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slicers/slicer1.xml" ContentType="application/vnd.ms-excel.slicer+xml"/>
  <Override PartName="/xl/pivotTables/pivotTable1.xml" ContentType="application/vnd.openxmlformats-officedocument.spreadsheetml.pivotTable+xml"/>
  <Override PartName="/xl/drawings/drawing11.xml" ContentType="application/vnd.openxmlformats-officedocument.drawing+xml"/>
  <Override PartName="/xl/slicers/slicer2.xml" ContentType="application/vnd.ms-excel.slicer+xml"/>
  <Override PartName="/xl/drawings/drawing12.xml" ContentType="application/vnd.openxmlformats-officedocument.drawing+xml"/>
  <Override PartName="/xl/slicers/slicer3.xml" ContentType="application/vnd.ms-excel.slicer+xml"/>
  <Override PartName="/xl/drawings/drawing13.xml" ContentType="application/vnd.openxmlformats-officedocument.drawing+xml"/>
  <Override PartName="/xl/slicers/slicer4.xml" ContentType="application/vnd.ms-excel.slicer+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4.xml" ContentType="application/vnd.openxmlformats-officedocument.drawing+xml"/>
  <Override PartName="/xl/slicers/slicer5.xml" ContentType="application/vnd.ms-excel.slicer+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drawings/drawing16.xml" ContentType="application/vnd.openxmlformats-officedocument.drawing+xml"/>
  <Override PartName="/xl/slicers/slicer7.xml" ContentType="application/vnd.ms-excel.slicer+xml"/>
  <Override PartName="/xl/drawings/drawing17.xml" ContentType="application/vnd.openxmlformats-officedocument.drawing+xml"/>
  <Override PartName="/xl/slicers/slicer8.xml" ContentType="application/vnd.ms-excel.slicer+xml"/>
  <Override PartName="/xl/drawings/drawing18.xml" ContentType="application/vnd.openxmlformats-officedocument.drawing+xml"/>
  <Override PartName="/xl/slicers/slicer9.xml" ContentType="application/vnd.ms-excel.slicer+xml"/>
  <Override PartName="/xl/drawings/drawing19.xml" ContentType="application/vnd.openxmlformats-officedocument.drawing+xml"/>
  <Override PartName="/xl/slicers/slicer10.xml" ContentType="application/vnd.ms-excel.slicer+xml"/>
  <Override PartName="/xl/drawings/drawing20.xml" ContentType="application/vnd.openxmlformats-officedocument.drawing+xml"/>
  <Override PartName="/xl/slicers/slicer11.xml" ContentType="application/vnd.ms-excel.slicer+xml"/>
  <Override PartName="/xl/drawings/drawing21.xml" ContentType="application/vnd.openxmlformats-officedocument.drawing+xml"/>
  <Override PartName="/xl/slicers/slicer12.xml" ContentType="application/vnd.ms-excel.slicer+xml"/>
  <Override PartName="/xl/drawings/drawing22.xml" ContentType="application/vnd.openxmlformats-officedocument.drawing+xml"/>
  <Override PartName="/xl/slicers/slicer13.xml" ContentType="application/vnd.ms-excel.slicer+xml"/>
  <Override PartName="/xl/drawings/drawing23.xml" ContentType="application/vnd.openxmlformats-officedocument.drawing+xml"/>
  <Override PartName="/xl/slicers/slicer14.xml" ContentType="application/vnd.ms-excel.slicer+xml"/>
  <Override PartName="/xl/drawings/drawing24.xml" ContentType="application/vnd.openxmlformats-officedocument.drawing+xml"/>
  <Override PartName="/xl/slicers/slicer15.xml" ContentType="application/vnd.ms-excel.slicer+xml"/>
  <Override PartName="/xl/drawings/drawing25.xml" ContentType="application/vnd.openxmlformats-officedocument.drawing+xml"/>
  <Override PartName="/xl/slicers/slicer16.xml" ContentType="application/vnd.ms-excel.slicer+xml"/>
  <Override PartName="/xl/drawings/drawing2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slicers/slicer17.xml" ContentType="application/vnd.ms-excel.slicer+xml"/>
  <Override PartName="/xl/drawings/drawing37.xml" ContentType="application/vnd.openxmlformats-officedocument.drawing+xml"/>
  <Override PartName="/xl/slicers/slicer18.xml" ContentType="application/vnd.ms-excel.slicer+xml"/>
  <Override PartName="/xl/pivotTables/pivotTable46.xml" ContentType="application/vnd.openxmlformats-officedocument.spreadsheetml.pivotTable+xml"/>
  <Override PartName="/xl/pivotTables/pivotTable47.xml" ContentType="application/vnd.openxmlformats-officedocument.spreadsheetml.pivotTable+xml"/>
  <Override PartName="/xl/drawings/drawing38.xml" ContentType="application/vnd.openxmlformats-officedocument.drawing+xml"/>
  <Override PartName="/xl/slicers/slicer19.xml" ContentType="application/vnd.ms-excel.slicer+xml"/>
  <Override PartName="/xl/drawings/drawing39.xml" ContentType="application/vnd.openxmlformats-officedocument.drawing+xml"/>
  <Override PartName="/xl/slicers/slicer20.xml" ContentType="application/vnd.ms-excel.slicer+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slicers/slicer21.xml" ContentType="application/vnd.ms-excel.slicer+xml"/>
  <Override PartName="/xl/drawings/drawing46.xml" ContentType="application/vnd.openxmlformats-officedocument.drawing+xml"/>
  <Override PartName="/xl/slicers/slicer22.xml" ContentType="application/vnd.ms-excel.slicer+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slicers/slicer23.xml" ContentType="application/vnd.ms-excel.slicer+xml"/>
  <Override PartName="/xl/drawings/drawing54.xml" ContentType="application/vnd.openxmlformats-officedocument.drawing+xml"/>
  <Override PartName="/xl/slicers/slicer24.xml" ContentType="application/vnd.ms-excel.slicer+xml"/>
  <Override PartName="/xl/pivotTables/pivotTable48.xml" ContentType="application/vnd.openxmlformats-officedocument.spreadsheetml.pivotTable+xml"/>
  <Override PartName="/xl/drawings/drawing55.xml" ContentType="application/vnd.openxmlformats-officedocument.drawing+xml"/>
  <Override PartName="/xl/slicers/slicer25.xml" ContentType="application/vnd.ms-excel.slicer+xml"/>
  <Override PartName="/xl/drawings/drawing56.xml" ContentType="application/vnd.openxmlformats-officedocument.drawing+xml"/>
  <Override PartName="/xl/slicers/slicer26.xml" ContentType="application/vnd.ms-excel.slicer+xml"/>
  <Override PartName="/xl/drawings/drawing57.xml" ContentType="application/vnd.openxmlformats-officedocument.drawing+xml"/>
  <Override PartName="/xl/slicers/slicer27.xml" ContentType="application/vnd.ms-excel.slicer+xml"/>
  <Override PartName="/xl/drawings/drawing58.xml" ContentType="application/vnd.openxmlformats-officedocument.drawing+xml"/>
  <Override PartName="/xl/slicers/slicer28.xml" ContentType="application/vnd.ms-excel.slicer+xml"/>
  <Override PartName="/xl/drawings/drawing59.xml" ContentType="application/vnd.openxmlformats-officedocument.drawing+xml"/>
  <Override PartName="/xl/slicers/slicer29.xml" ContentType="application/vnd.ms-excel.slicer+xml"/>
  <Override PartName="/xl/drawings/drawing60.xml" ContentType="application/vnd.openxmlformats-officedocument.drawing+xml"/>
  <Override PartName="/xl/slicers/slicer30.xml" ContentType="application/vnd.ms-excel.slicer+xml"/>
  <Override PartName="/xl/drawings/drawing61.xml" ContentType="application/vnd.openxmlformats-officedocument.drawing+xml"/>
  <Override PartName="/xl/slicers/slicer31.xml" ContentType="application/vnd.ms-excel.slicer+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drawings/drawing62.xml" ContentType="application/vnd.openxmlformats-officedocument.drawing+xml"/>
  <Override PartName="/xl/slicers/slicer32.xml" ContentType="application/vnd.ms-excel.slicer+xml"/>
  <Override PartName="/xl/drawings/drawing63.xml" ContentType="application/vnd.openxmlformats-officedocument.drawing+xml"/>
  <Override PartName="/xl/slicers/slicer33.xml" ContentType="application/vnd.ms-excel.slicer+xml"/>
  <Override PartName="/xl/drawings/drawing64.xml" ContentType="application/vnd.openxmlformats-officedocument.drawing+xml"/>
  <Override PartName="/xl/slicers/slicer34.xml" ContentType="application/vnd.ms-excel.slicer+xml"/>
  <Override PartName="/xl/drawings/drawing65.xml" ContentType="application/vnd.openxmlformats-officedocument.drawing+xml"/>
  <Override PartName="/xl/slicers/slicer35.xml" ContentType="application/vnd.ms-excel.slicer+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drawings/drawing73.xml" ContentType="application/vnd.openxmlformats-officedocument.drawing+xml"/>
  <Override PartName="/xl/slicers/slicer36.xml" ContentType="application/vnd.ms-excel.slicer+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slicers/slicer37.xml" ContentType="application/vnd.ms-excel.slicer+xml"/>
  <Override PartName="/xl/drawings/drawing78.xml" ContentType="application/vnd.openxmlformats-officedocument.drawing+xml"/>
  <Override PartName="/xl/slicers/slicer38.xml" ContentType="application/vnd.ms-excel.slicer+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comments32.xml" ContentType="application/vnd.openxmlformats-officedocument.spreadsheetml.comments+xml"/>
  <Override PartName="/xl/comments9.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10.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11.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2.xml" ContentType="application/vnd.openxmlformats-officedocument.spreadsheetml.comments+xml"/>
  <Override PartName="/xl/comments41.xml" ContentType="application/vnd.openxmlformats-officedocument.spreadsheetml.comments+xml"/>
  <Override PartName="/xl/comments12.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13.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14.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3.xml" ContentType="application/vnd.openxmlformats-officedocument.spreadsheetml.comments+xml"/>
  <Override PartName="/xl/comments50.xml" ContentType="application/vnd.openxmlformats-officedocument.spreadsheetml.comments+xml"/>
  <Override PartName="/xl/comments15.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16.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17.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4.xml" ContentType="application/vnd.openxmlformats-officedocument.spreadsheetml.comments+xml"/>
  <Override PartName="/xl/comments59.xml" ContentType="application/vnd.openxmlformats-officedocument.spreadsheetml.comments+xml"/>
  <Override PartName="/xl/comments18.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19.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20.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5.xml" ContentType="application/vnd.openxmlformats-officedocument.spreadsheetml.comments+xml"/>
  <Override PartName="/xl/comments68.xml" ContentType="application/vnd.openxmlformats-officedocument.spreadsheetml.comments+xml"/>
  <Override PartName="/xl/comments21.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22.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3.xml" ContentType="application/vnd.openxmlformats-officedocument.spreadsheetml.comments+xml"/>
  <Override PartName="/xl/comments6.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7.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8.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hidePivotFieldList="1" defaultThemeVersion="124226"/>
  <mc:AlternateContent xmlns:mc="http://schemas.openxmlformats.org/markup-compatibility/2006">
    <mc:Choice Requires="x15">
      <x15ac:absPath xmlns:x15ac="http://schemas.microsoft.com/office/spreadsheetml/2010/11/ac" url="https://firescotland-my.sharepoint.com/personal/morag_allan_firescotland_gov_uk/Documents/Desktop/"/>
    </mc:Choice>
  </mc:AlternateContent>
  <xr:revisionPtr revIDLastSave="0" documentId="8_{E791F228-8CAF-40B0-A4BD-4DFA0AE27C8D}" xr6:coauthVersionLast="47" xr6:coauthVersionMax="47" xr10:uidLastSave="{00000000-0000-0000-0000-000000000000}"/>
  <workbookProtection workbookAlgorithmName="SHA-512" workbookHashValue="uzTTITe6QnWfPyCUSUb4MVd/UvIto9pYXfpL+hYwHGtjNstST8lfh4xR19PSXM6jNH7er9u34hh+Kh5nDJux8g==" workbookSaltValue="HdrRIiAodnhupNcuJ40AlQ==" workbookSpinCount="100000" lockStructure="1"/>
  <bookViews>
    <workbookView xWindow="-120" yWindow="-120" windowWidth="24240" windowHeight="13140" tabRatio="797" xr2:uid="{00000000-000D-0000-FFFF-FFFF00000000}"/>
  </bookViews>
  <sheets>
    <sheet name="Introduction" sheetId="70" r:id="rId1"/>
    <sheet name="Table of Contents" sheetId="296" r:id="rId2"/>
    <sheet name="Incidents Timeseries" sheetId="97" r:id="rId3"/>
    <sheet name="Casualties Timeseries" sheetId="232" r:id="rId4"/>
    <sheet name="Chart Fires" sheetId="214" r:id="rId5"/>
    <sheet name="Chart Fire False Alarms" sheetId="298" r:id="rId6"/>
    <sheet name="Chart Non-fire" sheetId="299" r:id="rId7"/>
    <sheet name="Chart Share Incidents" sheetId="168" r:id="rId8"/>
    <sheet name="Chart Share Fatal" sheetId="297" r:id="rId9"/>
    <sheet name="Chart Share Non-fatal" sheetId="302" r:id="rId10"/>
    <sheet name="Chart Fatal Fire Casualties" sheetId="300" r:id="rId11"/>
    <sheet name="Chart Non-fatal Fire Casualties" sheetId="167" r:id="rId12"/>
    <sheet name="Chart Non-fire Casualties" sheetId="308" r:id="rId13"/>
    <sheet name="Fires" sheetId="181" r:id="rId14"/>
    <sheet name="T_01" sheetId="188" state="hidden" r:id="rId15"/>
    <sheet name="Fires LA" sheetId="233" r:id="rId16"/>
    <sheet name="Building Fires-old" sheetId="11" state="hidden" r:id="rId17"/>
    <sheet name="Building Fires" sheetId="329" r:id="rId18"/>
    <sheet name="Building Fires LA-old" sheetId="237" state="hidden" r:id="rId19"/>
    <sheet name="Building Fires LA" sheetId="330" r:id="rId20"/>
    <sheet name="Multistorey" sheetId="331" r:id="rId21"/>
    <sheet name="T_08" sheetId="196" state="hidden" r:id="rId22"/>
    <sheet name="T_02" sheetId="189" state="hidden" r:id="rId23"/>
    <sheet name="T__02" sheetId="234" state="hidden" r:id="rId24"/>
    <sheet name="T_03" sheetId="190" state="hidden" r:id="rId25"/>
    <sheet name="T_04" sheetId="192" state="hidden" r:id="rId26"/>
    <sheet name="T_05" sheetId="193" state="hidden" r:id="rId27"/>
    <sheet name="T_06" sheetId="194" state="hidden" r:id="rId28"/>
    <sheet name="T_06b" sheetId="195" state="hidden" r:id="rId29"/>
    <sheet name="T_09" sheetId="197" state="hidden" r:id="rId30"/>
    <sheet name="T_09b" sheetId="198" state="hidden" r:id="rId31"/>
    <sheet name="T_M" sheetId="276" state="hidden" r:id="rId32"/>
    <sheet name="T_MLA" sheetId="268" state="hidden" r:id="rId33"/>
    <sheet name="T_03b" sheetId="191" state="hidden" r:id="rId34"/>
    <sheet name="T_12" sheetId="200" state="hidden" r:id="rId35"/>
    <sheet name="T_11_1" sheetId="242" state="hidden" r:id="rId36"/>
    <sheet name="T_11" sheetId="199" state="hidden" r:id="rId37"/>
    <sheet name="T_13_1" sheetId="246" state="hidden" r:id="rId38"/>
    <sheet name="T_13" sheetId="201" state="hidden" r:id="rId39"/>
    <sheet name="T_13b" sheetId="202" state="hidden" r:id="rId40"/>
    <sheet name="T_14_1" sheetId="247" state="hidden" r:id="rId41"/>
    <sheet name="T_14" sheetId="203" state="hidden" r:id="rId42"/>
    <sheet name="T_15" sheetId="204" state="hidden" r:id="rId43"/>
    <sheet name="T_1616a_old" sheetId="294" state="hidden" r:id="rId44"/>
    <sheet name="T_17_2" sheetId="273" state="hidden" r:id="rId45"/>
    <sheet name="T_18" sheetId="260" state="hidden" r:id="rId46"/>
    <sheet name="T_1_19" sheetId="253" state="hidden" r:id="rId47"/>
    <sheet name="T_19" sheetId="210" state="hidden" r:id="rId48"/>
    <sheet name="T_21" sheetId="211" state="hidden" r:id="rId49"/>
    <sheet name="Sheet3" sheetId="254" state="hidden" r:id="rId50"/>
    <sheet name="Sheet1" sheetId="255" state="hidden" r:id="rId51"/>
    <sheet name="T_1_23" sheetId="256" state="hidden" r:id="rId52"/>
    <sheet name="T_23" sheetId="212" state="hidden" r:id="rId53"/>
    <sheet name="Sheet6" sheetId="257" state="hidden" r:id="rId54"/>
    <sheet name="Sheet7" sheetId="258" state="hidden" r:id="rId55"/>
    <sheet name="Building Fires Spread" sheetId="138" r:id="rId56"/>
    <sheet name="Sheet16" sheetId="293" state="hidden" r:id="rId57"/>
    <sheet name="Building Fires Area" sheetId="292" r:id="rId58"/>
    <sheet name="Dwelling Fires Motive LA" sheetId="94" r:id="rId59"/>
    <sheet name="Smoke Alarms" sheetId="135" r:id="rId60"/>
    <sheet name="Smoke Alarms LA" sheetId="137" r:id="rId61"/>
    <sheet name="Alarms Non-op Reason" sheetId="145" r:id="rId62"/>
    <sheet name="ADF Source" sheetId="142" r:id="rId63"/>
    <sheet name="ADF AlcoholDrugs" sheetId="140" r:id="rId64"/>
    <sheet name="ADF AlcoholDrugs LA" sheetId="243" r:id="rId65"/>
    <sheet name="Outdoor Fires" sheetId="12" r:id="rId66"/>
    <sheet name="Outdoor Fires Prim LA" sheetId="13" r:id="rId67"/>
    <sheet name="Outdoor Fires Sec LA" sheetId="99" r:id="rId68"/>
    <sheet name="Motive" sheetId="261" r:id="rId69"/>
    <sheet name="Motive LA" sheetId="269" r:id="rId70"/>
    <sheet name="Motive Primary LA Rate" sheetId="79" r:id="rId71"/>
    <sheet name="Motive Secondary" sheetId="27" r:id="rId72"/>
    <sheet name="Motive Secondary LA" sheetId="28" r:id="rId73"/>
    <sheet name="Motive Secondary LA Rate" sheetId="80" r:id="rId74"/>
    <sheet name="Appliances" sheetId="136" r:id="rId75"/>
    <sheet name="Appliances LA" sheetId="244" r:id="rId76"/>
    <sheet name="Time of Call" sheetId="146" r:id="rId77"/>
    <sheet name="Chart - Time of Incident" sheetId="219" state="hidden" r:id="rId78"/>
    <sheet name="Chart - Time of Injury" sheetId="221" state="hidden" r:id="rId79"/>
    <sheet name="Chart Primary Fire" sheetId="303" r:id="rId80"/>
    <sheet name="Chart Secondary Fire" sheetId="304" r:id="rId81"/>
    <sheet name="Chart Fire Motive" sheetId="305" r:id="rId82"/>
    <sheet name="Chart Fire Map" sheetId="320" r:id="rId83"/>
    <sheet name="Chart Primary Fire Map" sheetId="321" r:id="rId84"/>
    <sheet name="Chart Secondary Fire Map" sheetId="322" r:id="rId85"/>
    <sheet name="Chart Deliberate Fire Map" sheetId="323" r:id="rId86"/>
    <sheet name="Chart ADF Map" sheetId="324" r:id="rId87"/>
    <sheet name="Fire False Alarms" sheetId="5" r:id="rId88"/>
    <sheet name="Fire False Alarms LA" sheetId="236" r:id="rId89"/>
    <sheet name="UFAS" sheetId="341" r:id="rId90"/>
    <sheet name="UFAS LA" sheetId="340" r:id="rId91"/>
    <sheet name="Tufas" sheetId="339" state="hidden" r:id="rId92"/>
    <sheet name="Fire False Alarms Location" sheetId="122" r:id="rId93"/>
    <sheet name="Non-fire False Alarms" sheetId="120" r:id="rId94"/>
    <sheet name="Non-fire False Alarms LA" sheetId="262" r:id="rId95"/>
    <sheet name="Chart FFA Type" sheetId="179" r:id="rId96"/>
    <sheet name="Chart UFAS" sheetId="348" r:id="rId97"/>
    <sheet name="Chart UFAS Map" sheetId="349" r:id="rId98"/>
    <sheet name="Chart FFA Apparatus" sheetId="307" r:id="rId99"/>
    <sheet name="Chart False Alarm App Map" sheetId="325" r:id="rId100"/>
    <sheet name="Non-fire" sheetId="8" r:id="rId101"/>
    <sheet name="Non-fire LA" sheetId="263" r:id="rId102"/>
    <sheet name="Non-fire LA Rate" sheetId="98" r:id="rId103"/>
    <sheet name="RTC Flooding" sheetId="123" r:id="rId104"/>
    <sheet name="Chart Non-fire Type" sheetId="301" r:id="rId105"/>
    <sheet name="Chart Non-fire Map" sheetId="326" r:id="rId106"/>
    <sheet name="Chart RTC Map" sheetId="327" r:id="rId107"/>
    <sheet name="Chart EEE Map" sheetId="328" r:id="rId108"/>
    <sheet name="Casualties Non-fire" sheetId="10" r:id="rId109"/>
    <sheet name="Chart Non-fire Fatal" sheetId="309" r:id="rId110"/>
    <sheet name="Chart Non-fire Non-fatal" sheetId="310" r:id="rId111"/>
    <sheet name="Casualties Fire" sheetId="182" r:id="rId112"/>
    <sheet name="Casualties Fire LA" sheetId="235" r:id="rId113"/>
    <sheet name="Casualties Building" sheetId="332" r:id="rId114"/>
    <sheet name="T_buildcas" sheetId="334" state="hidden" r:id="rId115"/>
    <sheet name="Casualties Multistorey" sheetId="333" r:id="rId116"/>
    <sheet name="Casualties Motive" sheetId="25" r:id="rId117"/>
    <sheet name="Casualties Motive LA" sheetId="26" r:id="rId118"/>
    <sheet name="Dwelling Non-fatal Rate" sheetId="238" r:id="rId119"/>
    <sheet name="ADF Casualty" sheetId="4" r:id="rId120"/>
    <sheet name="ADF Casualty LA" sheetId="266" r:id="rId121"/>
    <sheet name="ADF Casualty AlcoholDrugs" sheetId="139" r:id="rId122"/>
    <sheet name="Treatment" sheetId="127" r:id="rId123"/>
    <sheet name="Casualty Gender" sheetId="125" r:id="rId124"/>
    <sheet name="Casualty Gender Rate" sheetId="128" r:id="rId125"/>
    <sheet name="Treatment Gender" sheetId="248" r:id="rId126"/>
    <sheet name="Treatment Gender Rate" sheetId="249" r:id="rId127"/>
    <sheet name="Type of Injury Gender" sheetId="126" r:id="rId128"/>
    <sheet name="Type of Injury Gender Rate" sheetId="129" r:id="rId129"/>
    <sheet name="Casualty Age" sheetId="271" r:id="rId130"/>
    <sheet name="Casualty Age Rate" sheetId="272" r:id="rId131"/>
    <sheet name="T_16" sheetId="205" state="hidden" r:id="rId132"/>
    <sheet name="Type of Injury Age" sheetId="131" r:id="rId133"/>
    <sheet name="Type of Injury Age Rate" sheetId="133" r:id="rId134"/>
    <sheet name="Treatment Age" sheetId="251" r:id="rId135"/>
    <sheet name="Treatment Age Rate" sheetId="252" r:id="rId136"/>
    <sheet name="Rescues" sheetId="134" r:id="rId137"/>
    <sheet name="Time of Call Casualty" sheetId="147" r:id="rId138"/>
    <sheet name="Chart Casualty Treatment" sheetId="306" r:id="rId139"/>
    <sheet name="Chart Fatal Age" sheetId="312" r:id="rId140"/>
    <sheet name="Chart Non-fatal Age" sheetId="313" r:id="rId141"/>
    <sheet name="Deprivation Incident" sheetId="279" r:id="rId142"/>
    <sheet name="Deprivation Incident Rate" sheetId="280" r:id="rId143"/>
    <sheet name="Deprivation Casualty" sheetId="286" r:id="rId144"/>
    <sheet name="Deprivation Casualty Rate" sheetId="291" r:id="rId145"/>
    <sheet name="Rurality Incident" sheetId="281" r:id="rId146"/>
    <sheet name="Rurality Incident Rate" sheetId="282" r:id="rId147"/>
    <sheet name="Rurality Casualty" sheetId="289" r:id="rId148"/>
    <sheet name="Rurality Casualty Rate" sheetId="290" r:id="rId149"/>
    <sheet name="Chart Deprivation" sheetId="314" r:id="rId150"/>
    <sheet name="Chart Fatality Profile" sheetId="337" r:id="rId151"/>
    <sheet name="Chart Hospitalised Profile" sheetId="338" r:id="rId152"/>
    <sheet name="Chart Rurality" sheetId="315" r:id="rId153"/>
    <sheet name="T_simd" sheetId="278" state="hidden" r:id="rId154"/>
    <sheet name="T_simdcas" sheetId="287" state="hidden" r:id="rId155"/>
    <sheet name="T_ur" sheetId="283" state="hidden" r:id="rId156"/>
    <sheet name="T_urcas" sheetId="288" state="hidden" r:id="rId157"/>
    <sheet name="GB Incident" sheetId="166" r:id="rId158"/>
    <sheet name="GB Fires" sheetId="240" r:id="rId159"/>
    <sheet name="T_10" sheetId="239" state="hidden" r:id="rId160"/>
    <sheet name="GB Casualties" sheetId="14" r:id="rId161"/>
    <sheet name="Chart Incidents GB" sheetId="316" r:id="rId162"/>
    <sheet name="Chart Fire Types GB" sheetId="318" r:id="rId163"/>
    <sheet name="Chart Casualties GB" sheetId="319" r:id="rId164"/>
    <sheet name="PopulationScotland" sheetId="93" r:id="rId165"/>
    <sheet name="PopulationOtherArea" sheetId="295" r:id="rId166"/>
    <sheet name="Dwellings" sheetId="95" r:id="rId167"/>
    <sheet name="T_ref" sheetId="213" state="hidden" r:id="rId168"/>
    <sheet name="T_Qtr" sheetId="285" state="hidden" r:id="rId169"/>
    <sheet name="MultiAll" sheetId="342" state="hidden" r:id="rId170"/>
    <sheet name="MultiAllFatal" sheetId="343" state="hidden" r:id="rId171"/>
    <sheet name="MultiAllNonFatal" sheetId="345" state="hidden" r:id="rId172"/>
    <sheet name="MultiOverSixNonFatal" sheetId="347" state="hidden" r:id="rId173"/>
    <sheet name="MultiOverSixFatal" sheetId="346" state="hidden" r:id="rId174"/>
    <sheet name="MultiOverSix" sheetId="344" state="hidden" r:id="rId175"/>
    <sheet name="T01" sheetId="350" state="hidden" r:id="rId176"/>
    <sheet name="T01a" sheetId="351" state="hidden" r:id="rId177"/>
    <sheet name="T02" sheetId="352" state="hidden" r:id="rId178"/>
    <sheet name="T02b" sheetId="353" state="hidden" r:id="rId179"/>
    <sheet name="T03" sheetId="354" state="hidden" r:id="rId180"/>
    <sheet name="T03a" sheetId="355" state="hidden" r:id="rId181"/>
    <sheet name="T04" sheetId="356" state="hidden" r:id="rId182"/>
    <sheet name="T04a" sheetId="357" state="hidden" r:id="rId183"/>
    <sheet name="T04cde" sheetId="358" state="hidden" r:id="rId184"/>
    <sheet name="T05" sheetId="359" state="hidden" r:id="rId185"/>
    <sheet name="T05a" sheetId="360" state="hidden" r:id="rId186"/>
    <sheet name="T06" sheetId="361" state="hidden" r:id="rId187"/>
    <sheet name="T06a" sheetId="362" state="hidden" r:id="rId188"/>
    <sheet name="T06c" sheetId="363" state="hidden" r:id="rId189"/>
    <sheet name="T06d" sheetId="364" state="hidden" r:id="rId190"/>
    <sheet name="T07" sheetId="365" state="hidden" r:id="rId191"/>
    <sheet name="T08" sheetId="366" state="hidden" r:id="rId192"/>
    <sheet name="T08a" sheetId="367" state="hidden" r:id="rId193"/>
    <sheet name="T09" sheetId="368" state="hidden" r:id="rId194"/>
    <sheet name="T09_2" sheetId="369" state="hidden" r:id="rId195"/>
    <sheet name="T09a" sheetId="370" state="hidden" r:id="rId196"/>
    <sheet name="T09b" sheetId="371" state="hidden" r:id="rId197"/>
    <sheet name="T11" sheetId="372" state="hidden" r:id="rId198"/>
    <sheet name="T11f" sheetId="373" state="hidden" r:id="rId199"/>
    <sheet name="T11nf" sheetId="374" state="hidden" r:id="rId200"/>
    <sheet name="T11a" sheetId="375" state="hidden" r:id="rId201"/>
    <sheet name="T12" sheetId="376" state="hidden" r:id="rId202"/>
    <sheet name="T17c" sheetId="377" state="hidden" r:id="rId203"/>
    <sheet name="Tnull" sheetId="378" state="hidden" r:id="rId204"/>
    <sheet name="T13" sheetId="379" state="hidden" r:id="rId205"/>
    <sheet name="T13a" sheetId="380" state="hidden" r:id="rId206"/>
    <sheet name="T14" sheetId="381" state="hidden" r:id="rId207"/>
    <sheet name="T14a" sheetId="382" state="hidden" r:id="rId208"/>
    <sheet name="T14b" sheetId="383" state="hidden" r:id="rId209"/>
    <sheet name="T14c" sheetId="384" state="hidden" r:id="rId210"/>
    <sheet name="T14d" sheetId="385" state="hidden" r:id="rId211"/>
    <sheet name="T14e" sheetId="386" state="hidden" r:id="rId212"/>
    <sheet name="T14f" sheetId="387" state="hidden" r:id="rId213"/>
    <sheet name="T16" sheetId="388" state="hidden" r:id="rId214"/>
    <sheet name="T16a" sheetId="389" state="hidden" r:id="rId215"/>
    <sheet name="T16b" sheetId="390" state="hidden" r:id="rId216"/>
    <sheet name="T16c" sheetId="391" state="hidden" r:id="rId217"/>
    <sheet name="T16d" sheetId="392" state="hidden" r:id="rId218"/>
    <sheet name="T18" sheetId="393" state="hidden" r:id="rId219"/>
    <sheet name="T18a" sheetId="394" state="hidden" r:id="rId220"/>
    <sheet name="T19" sheetId="395" state="hidden" r:id="rId221"/>
    <sheet name="T19a" sheetId="396" state="hidden" r:id="rId222"/>
    <sheet name="T19b" sheetId="397" state="hidden" r:id="rId223"/>
    <sheet name="T20" sheetId="398" state="hidden" r:id="rId224"/>
    <sheet name="T21" sheetId="399" state="hidden" r:id="rId225"/>
    <sheet name="T21b" sheetId="400" state="hidden" r:id="rId226"/>
    <sheet name="T21a" sheetId="401" state="hidden" r:id="rId227"/>
    <sheet name="T22" sheetId="402" state="hidden" r:id="rId228"/>
    <sheet name="T23" sheetId="403" state="hidden" r:id="rId229"/>
    <sheet name="T23a" sheetId="404" state="hidden" r:id="rId230"/>
    <sheet name="T24" sheetId="405" state="hidden" r:id="rId231"/>
    <sheet name="T25" sheetId="406" state="hidden" r:id="rId232"/>
    <sheet name="T03b" sheetId="407" state="hidden" r:id="rId233"/>
    <sheet name="T10" sheetId="408" state="hidden" r:id="rId234"/>
    <sheet name="Tref" sheetId="409" state="hidden" r:id="rId235"/>
    <sheet name="T17b" sheetId="410" state="hidden" r:id="rId236"/>
    <sheet name="Tsimd" sheetId="411" state="hidden" r:id="rId237"/>
    <sheet name="Tur" sheetId="412" state="hidden" r:id="rId238"/>
    <sheet name="Tmotive" sheetId="413" state="hidden" r:id="rId239"/>
    <sheet name="Tqtrmotive" sheetId="414" state="hidden" r:id="rId240"/>
    <sheet name="TqtrIncidents" sheetId="415" state="hidden" r:id="rId241"/>
    <sheet name="TqtrCasF" sheetId="416" state="hidden" r:id="rId242"/>
    <sheet name="TqtrCasNF" sheetId="417" state="hidden" r:id="rId243"/>
    <sheet name="TqtrCAS" sheetId="418" state="hidden" r:id="rId244"/>
    <sheet name="T16_new" sheetId="419" state="hidden" r:id="rId245"/>
    <sheet name="T16a_new" sheetId="420" state="hidden" r:id="rId246"/>
    <sheet name="TsimdCas" sheetId="421" state="hidden" r:id="rId247"/>
    <sheet name="TurCas" sheetId="422" state="hidden" r:id="rId248"/>
    <sheet name="Tbuildingarea" sheetId="423" state="hidden" r:id="rId249"/>
    <sheet name="T17d" sheetId="424" state="hidden" r:id="rId250"/>
    <sheet name="T08v2" sheetId="425" state="hidden" r:id="rId251"/>
    <sheet name="T08av2" sheetId="426" state="hidden" r:id="rId252"/>
    <sheet name="T08v2caslong" sheetId="427" state="hidden" r:id="rId253"/>
  </sheets>
  <externalReferences>
    <externalReference r:id="rId254"/>
    <externalReference r:id="rId255"/>
    <externalReference r:id="rId256"/>
    <externalReference r:id="rId257"/>
    <externalReference r:id="rId258"/>
    <externalReference r:id="rId259"/>
  </externalReferences>
  <definedNames>
    <definedName name="_xlnm._FilterDatabase" localSheetId="111" hidden="1">'Casualties Fire'!$U$3:$AA$68</definedName>
    <definedName name="_xlnm._FilterDatabase" localSheetId="164" hidden="1">PopulationScotland!$P$7:$S$16</definedName>
    <definedName name="_xlnm._FilterDatabase" localSheetId="136" hidden="1">Rescues!#REF!</definedName>
    <definedName name="_xlnm._FilterDatabase" localSheetId="59" hidden="1">'Smoke Alarms'!$Q$3:$Z$67</definedName>
    <definedName name="_xlnm._FilterDatabase" localSheetId="43" hidden="1">T_1616a_old!#REF!</definedName>
    <definedName name="_xlnm._FilterDatabase" localSheetId="122" hidden="1">Treatment!#REF!</definedName>
    <definedName name="_xlnm._FilterDatabase" localSheetId="91" hidden="1">Tufas!$A$1:$C$420</definedName>
    <definedName name="_xlnm._FilterDatabase" localSheetId="127" hidden="1">'Type of Injury Gender'!#REF!</definedName>
    <definedName name="Contents">#REF!</definedName>
    <definedName name="Dwellings" localSheetId="111">[1]Dwellings!$A$4:$B$35</definedName>
    <definedName name="Dwellings" localSheetId="13">[1]Dwellings!$A$4:$B$35</definedName>
    <definedName name="Dwellings" localSheetId="14">[2]Dwellings!$A$4:$B$35</definedName>
    <definedName name="Dwellings">Dwellings!$B$9:$C$40</definedName>
    <definedName name="DwellingsPage">Dwellings!$A$3</definedName>
    <definedName name="Figure1">'Chart Non-fatal Fire Casualties'!$J$1</definedName>
    <definedName name="Figure10">#REF!</definedName>
    <definedName name="Figure11">#REF!</definedName>
    <definedName name="Figure12">#REF!</definedName>
    <definedName name="Figure13">#REF!</definedName>
    <definedName name="Figure14">#REF!</definedName>
    <definedName name="Figure15">'Chart FFA Type'!$K$6</definedName>
    <definedName name="Figure16">#REF!</definedName>
    <definedName name="Figure17">#REF!</definedName>
    <definedName name="Figure2">'Chart Share Incidents'!$I$1</definedName>
    <definedName name="Figure3">#REF!</definedName>
    <definedName name="Figure4">#REF!</definedName>
    <definedName name="Figure5">#REF!</definedName>
    <definedName name="Figure6">#REF!</definedName>
    <definedName name="Figure7">#REF!</definedName>
    <definedName name="Figure8">#REF!</definedName>
    <definedName name="Figure9">#REF!</definedName>
    <definedName name="Index" localSheetId="78">#REF!</definedName>
    <definedName name="Index" localSheetId="42">#REF!</definedName>
    <definedName name="Index" localSheetId="43">#REF!</definedName>
    <definedName name="Index">#REF!</definedName>
    <definedName name="Index2" localSheetId="43">#REF!</definedName>
    <definedName name="Index2">#REF!</definedName>
    <definedName name="Population" localSheetId="111">[1]Population!$A$4:$B$35</definedName>
    <definedName name="Population" localSheetId="13">[1]Population!$A$4:$B$35</definedName>
    <definedName name="Population" localSheetId="14">#REF!</definedName>
    <definedName name="Population">PopulationScotland!$A$20:$B$41</definedName>
    <definedName name="PopulationPage">PopulationScotland!$A$3</definedName>
    <definedName name="_xlnm.Print_Area" localSheetId="63">'ADF AlcoholDrugs'!$A$3:$J$19</definedName>
    <definedName name="_xlnm.Print_Area" localSheetId="119">'ADF Casualty'!$A$3:$I$22</definedName>
    <definedName name="_xlnm.Print_Area" localSheetId="121">'ADF Casualty AlcoholDrugs'!$A$3:$K$45</definedName>
    <definedName name="_xlnm.Print_Area" localSheetId="62">'ADF Source'!$A$3:$J$95</definedName>
    <definedName name="_xlnm.Print_Area" localSheetId="61">'Alarms Non-op Reason'!$A$3:$H$42</definedName>
    <definedName name="_xlnm.Print_Area" localSheetId="74">Appliances!$A$3:$R$43</definedName>
    <definedName name="_xlnm.Print_Area" localSheetId="55">'Building Fires Spread'!$A$3:$P$37</definedName>
    <definedName name="_xlnm.Print_Area" localSheetId="16">'Building Fires-old'!$A$3:$Q$64</definedName>
    <definedName name="_xlnm.Print_Area" localSheetId="111">'Casualties Fire'!$A$3:$S$51</definedName>
    <definedName name="_xlnm.Print_Area" localSheetId="116">'Casualties Motive'!$A$3:$U$47</definedName>
    <definedName name="_xlnm.Print_Area" localSheetId="117">'Casualties Motive LA'!$B$3:$O$92</definedName>
    <definedName name="_xlnm.Print_Area" localSheetId="108">'Casualties Non-fire'!$A$3:$W$37</definedName>
    <definedName name="_xlnm.Print_Area" localSheetId="123">'Casualty Gender'!$A$3:$J$44</definedName>
    <definedName name="_xlnm.Print_Area" localSheetId="124">'Casualty Gender Rate'!$A$3:$J$23</definedName>
    <definedName name="_xlnm.Print_Area" localSheetId="77">'Chart - Time of Incident'!$A$1:$L$40</definedName>
    <definedName name="_xlnm.Print_Area" localSheetId="78">'Chart - Time of Injury'!$A$1:$P$38</definedName>
    <definedName name="_xlnm.Print_Area" localSheetId="95">'Chart FFA Type'!$A$6:$J$33</definedName>
    <definedName name="_xlnm.Print_Area" localSheetId="4">'Chart Fires'!$A$1:$T$38</definedName>
    <definedName name="_xlnm.Print_Area" localSheetId="11">'Chart Non-fatal Fire Casualties'!$A$1:$K$40</definedName>
    <definedName name="_xlnm.Print_Area" localSheetId="7">'Chart Share Incidents'!$A$1:$R$30</definedName>
    <definedName name="_xlnm.Print_Area" localSheetId="58">'Dwelling Fires Motive LA'!$B$3:$J$47</definedName>
    <definedName name="_xlnm.Print_Area" localSheetId="166">Dwellings!$B$3:$G$43</definedName>
    <definedName name="_xlnm.Print_Area" localSheetId="87">'Fire False Alarms'!$A$3:$K$114</definedName>
    <definedName name="_xlnm.Print_Area" localSheetId="92">'Fire False Alarms Location'!$A$3:$K$56</definedName>
    <definedName name="_xlnm.Print_Area" localSheetId="13">Fires!$A$3:$J$79,Fires!$A$80:$M$124</definedName>
    <definedName name="_xlnm.Print_Area" localSheetId="160">'GB Casualties'!$A$3:$I$73</definedName>
    <definedName name="_xlnm.Print_Area" localSheetId="157">'GB Incident'!$A$3:$H$65</definedName>
    <definedName name="_xlnm.Print_Area" localSheetId="2">'Incidents Timeseries'!$A$3:$Q$49</definedName>
    <definedName name="_xlnm.Print_Area" localSheetId="0">Introduction!$B$1:$K$30</definedName>
    <definedName name="_xlnm.Print_Area" localSheetId="70">'Motive Primary LA Rate'!$B$3:$J$46</definedName>
    <definedName name="_xlnm.Print_Area" localSheetId="71">'Motive Secondary'!$A$3:$M$41</definedName>
    <definedName name="_xlnm.Print_Area" localSheetId="72">'Motive Secondary LA'!$B$3:$N$84</definedName>
    <definedName name="_xlnm.Print_Area" localSheetId="73">'Motive Secondary LA Rate'!$B$3:$J$46</definedName>
    <definedName name="_xlnm.Print_Area" localSheetId="100">'Non-fire'!$A$3:$W$25</definedName>
    <definedName name="_xlnm.Print_Area" localSheetId="93">'Non-fire False Alarms'!$A$3:$I$22</definedName>
    <definedName name="_xlnm.Print_Area" localSheetId="102">'Non-fire LA Rate'!$B$3:$I$46</definedName>
    <definedName name="_xlnm.Print_Area" localSheetId="65">'Outdoor Fires'!$A$3:$P$45</definedName>
    <definedName name="_xlnm.Print_Area" localSheetId="66">'Outdoor Fires Prim LA'!$B$3:$Q$49</definedName>
    <definedName name="_xlnm.Print_Area" localSheetId="67">'Outdoor Fires Sec LA'!$B$3:$P$47</definedName>
    <definedName name="_xlnm.Print_Area" localSheetId="164">PopulationScotland!$A$3:$M$58</definedName>
    <definedName name="_xlnm.Print_Area" localSheetId="136">Rescues!$A$3:$I$63</definedName>
    <definedName name="_xlnm.Print_Area" localSheetId="103">'RTC Flooding'!$A$3:$L$47</definedName>
    <definedName name="_xlnm.Print_Area" localSheetId="59">'Smoke Alarms'!$A$3:$O$53</definedName>
    <definedName name="_xlnm.Print_Area" localSheetId="60">'Smoke Alarms LA'!$B$3:$N$124</definedName>
    <definedName name="_xlnm.Print_Area" localSheetId="43">T_1616a_old!$A$3:$Q$38</definedName>
    <definedName name="_xlnm.Print_Area" localSheetId="76">'Time of Call'!$A$3:$AA$78</definedName>
    <definedName name="_xlnm.Print_Area" localSheetId="137">'Time of Call Casualty'!$A$3:$AA$85</definedName>
    <definedName name="_xlnm.Print_Area" localSheetId="122">Treatment!$A$3:$H$66</definedName>
    <definedName name="_xlnm.Print_Area" localSheetId="132">'Type of Injury Age'!$A$3:$O$45</definedName>
    <definedName name="_xlnm.Print_Area" localSheetId="133">'Type of Injury Age Rate'!$A$3:$H$53</definedName>
    <definedName name="_xlnm.Print_Area" localSheetId="127">'Type of Injury Gender'!$A$3:$M$48</definedName>
    <definedName name="_xlnm.Print_Area" localSheetId="128">'Type of Injury Gender Rate'!$A$3:$H$72</definedName>
    <definedName name="_xlnm.Print_Titles" localSheetId="175">'T01'!$4:$4</definedName>
    <definedName name="_xlnm.Print_Titles" localSheetId="176">T01a!$4:$4</definedName>
    <definedName name="_xlnm.Print_Titles" localSheetId="177">'T02'!$60:$60</definedName>
    <definedName name="_xlnm.Print_Titles" localSheetId="178">T02b!$4:$4</definedName>
    <definedName name="_xlnm.Print_Titles" localSheetId="179">'T03'!$4:$4</definedName>
    <definedName name="_xlnm.Print_Titles" localSheetId="180">T03a!$4:$4</definedName>
    <definedName name="_xlnm.Print_Titles" localSheetId="232">T03b!$4:$4</definedName>
    <definedName name="_xlnm.Print_Titles" localSheetId="181">'T04'!$4:$4</definedName>
    <definedName name="_xlnm.Print_Titles" localSheetId="182">T04a!$4:$4</definedName>
    <definedName name="_xlnm.Print_Titles" localSheetId="183">T04cde!$4:$4</definedName>
    <definedName name="_xlnm.Print_Titles" localSheetId="184">'T05'!$4:$4</definedName>
    <definedName name="_xlnm.Print_Titles" localSheetId="185">T05a!$4:$4</definedName>
    <definedName name="_xlnm.Print_Titles" localSheetId="186">'T06'!$4:$4</definedName>
    <definedName name="_xlnm.Print_Titles" localSheetId="187">T06a!$4:$4</definedName>
    <definedName name="_xlnm.Print_Titles" localSheetId="188">T06c!$4:$4</definedName>
    <definedName name="_xlnm.Print_Titles" localSheetId="189">T06d!$4:$4</definedName>
    <definedName name="_xlnm.Print_Titles" localSheetId="190">'T07'!$4:$4</definedName>
    <definedName name="_xlnm.Print_Titles" localSheetId="191">'T08'!$4:$4</definedName>
    <definedName name="_xlnm.Print_Titles" localSheetId="192">T08a!$4:$4</definedName>
    <definedName name="_xlnm.Print_Titles" localSheetId="251">T08av2!$4:$4</definedName>
    <definedName name="_xlnm.Print_Titles" localSheetId="250">T08v2!$4:$4</definedName>
    <definedName name="_xlnm.Print_Titles" localSheetId="252">T08v2caslong!$4:$4</definedName>
    <definedName name="_xlnm.Print_Titles" localSheetId="193">'T09'!$4:$4</definedName>
    <definedName name="_xlnm.Print_Titles" localSheetId="194">T09_2!$4:$4</definedName>
    <definedName name="_xlnm.Print_Titles" localSheetId="195">T09a!$4:$4</definedName>
    <definedName name="_xlnm.Print_Titles" localSheetId="196">T09b!$4:$4</definedName>
    <definedName name="_xlnm.Print_Titles" localSheetId="233">'T10'!$4:$4</definedName>
    <definedName name="_xlnm.Print_Titles" localSheetId="197">'T11'!$4:$4</definedName>
    <definedName name="_xlnm.Print_Titles" localSheetId="200">T11a!$4:$4</definedName>
    <definedName name="_xlnm.Print_Titles" localSheetId="198">T11f!$4:$4</definedName>
    <definedName name="_xlnm.Print_Titles" localSheetId="199">T11nf!$4:$4</definedName>
    <definedName name="_xlnm.Print_Titles" localSheetId="201">'T12'!$4:$4</definedName>
    <definedName name="_xlnm.Print_Titles" localSheetId="204">'T13'!$4:$4</definedName>
    <definedName name="_xlnm.Print_Titles" localSheetId="205">T13a!$4:$4</definedName>
    <definedName name="_xlnm.Print_Titles" localSheetId="206">'T14'!$4:$4</definedName>
    <definedName name="_xlnm.Print_Titles" localSheetId="207">T14a!$4:$4</definedName>
    <definedName name="_xlnm.Print_Titles" localSheetId="208">T14b!$4:$4</definedName>
    <definedName name="_xlnm.Print_Titles" localSheetId="209">T14c!$4:$4</definedName>
    <definedName name="_xlnm.Print_Titles" localSheetId="210">T14d!$4:$4</definedName>
    <definedName name="_xlnm.Print_Titles" localSheetId="211">T14e!$4:$4</definedName>
    <definedName name="_xlnm.Print_Titles" localSheetId="212">T14f!$4:$4</definedName>
    <definedName name="_xlnm.Print_Titles" localSheetId="213">'T16'!$4:$4</definedName>
    <definedName name="_xlnm.Print_Titles" localSheetId="244">T16_new!$4:$4</definedName>
    <definedName name="_xlnm.Print_Titles" localSheetId="214">T16a!$4:$4</definedName>
    <definedName name="_xlnm.Print_Titles" localSheetId="245">T16a_new!$4:$4</definedName>
    <definedName name="_xlnm.Print_Titles" localSheetId="215">T16b!$4:$4</definedName>
    <definedName name="_xlnm.Print_Titles" localSheetId="216">T16c!$4:$4</definedName>
    <definedName name="_xlnm.Print_Titles" localSheetId="217">T16d!$4:$4</definedName>
    <definedName name="_xlnm.Print_Titles" localSheetId="235">T17b!$4:$4</definedName>
    <definedName name="_xlnm.Print_Titles" localSheetId="202">T17c!$4:$4</definedName>
    <definedName name="_xlnm.Print_Titles" localSheetId="249">T17d!$4:$4</definedName>
    <definedName name="_xlnm.Print_Titles" localSheetId="218">'T18'!$4:$4</definedName>
    <definedName name="_xlnm.Print_Titles" localSheetId="219">T18a!$4:$4</definedName>
    <definedName name="_xlnm.Print_Titles" localSheetId="220">'T19'!$4:$4</definedName>
    <definedName name="_xlnm.Print_Titles" localSheetId="221">T19a!$4:$4</definedName>
    <definedName name="_xlnm.Print_Titles" localSheetId="222">T19b!$4:$4</definedName>
    <definedName name="_xlnm.Print_Titles" localSheetId="223">'T20'!$4:$4</definedName>
    <definedName name="_xlnm.Print_Titles" localSheetId="224">'T21'!$4:$4</definedName>
    <definedName name="_xlnm.Print_Titles" localSheetId="226">T21a!$4:$4</definedName>
    <definedName name="_xlnm.Print_Titles" localSheetId="225">T21b!$4:$4</definedName>
    <definedName name="_xlnm.Print_Titles" localSheetId="227">'T22'!$4:$4</definedName>
    <definedName name="_xlnm.Print_Titles" localSheetId="228">'T23'!$4:$4</definedName>
    <definedName name="_xlnm.Print_Titles" localSheetId="229">T23a!$4:$4</definedName>
    <definedName name="_xlnm.Print_Titles" localSheetId="230">'T24'!$4:$4</definedName>
    <definedName name="_xlnm.Print_Titles" localSheetId="231">'T25'!$4:$4</definedName>
    <definedName name="_xlnm.Print_Titles" localSheetId="248">Tbuildingarea!$4:$4</definedName>
    <definedName name="_xlnm.Print_Titles" localSheetId="238">Tmotive!$4:$4</definedName>
    <definedName name="_xlnm.Print_Titles" localSheetId="203">Tnull!$10:$10</definedName>
    <definedName name="_xlnm.Print_Titles" localSheetId="243">TqtrCAS!$4:$4</definedName>
    <definedName name="_xlnm.Print_Titles" localSheetId="241">TqtrCasF!$4:$4</definedName>
    <definedName name="_xlnm.Print_Titles" localSheetId="242">TqtrCasNF!$4:$4</definedName>
    <definedName name="_xlnm.Print_Titles" localSheetId="240">TqtrIncidents!$4:$4</definedName>
    <definedName name="_xlnm.Print_Titles" localSheetId="239">Tqtrmotive!$4:$4</definedName>
    <definedName name="_xlnm.Print_Titles" localSheetId="234">Tref!$57:$57</definedName>
    <definedName name="_xlnm.Print_Titles" localSheetId="236">Tsimd!$4:$4</definedName>
    <definedName name="_xlnm.Print_Titles" localSheetId="246">TsimdCas!$4:$4</definedName>
    <definedName name="_xlnm.Print_Titles" localSheetId="237">Tur!$4:$4</definedName>
    <definedName name="_xlnm.Print_Titles" localSheetId="247">TurCas!$4:$4</definedName>
    <definedName name="Slicer_a.Year">#N/A</definedName>
    <definedName name="Slicer_a.Year1">#N/A</definedName>
    <definedName name="Slicer_a.Year2">#N/A</definedName>
    <definedName name="Slicer_a.Year3">#N/A</definedName>
    <definedName name="Slicer_a.Year4">#N/A</definedName>
    <definedName name="Slicer_Expr1000">#N/A</definedName>
    <definedName name="Slicer_Fiscal_Yr_New1">#N/A</definedName>
    <definedName name="Slicer_Type">#N/A</definedName>
    <definedName name="Slicer_Year">#N/A</definedName>
    <definedName name="Slicer_Year1">#N/A</definedName>
    <definedName name="Slicer_Year10">#N/A</definedName>
    <definedName name="Slicer_Year11">#N/A</definedName>
    <definedName name="Slicer_Year12">#N/A</definedName>
    <definedName name="Slicer_Year13">#N/A</definedName>
    <definedName name="Slicer_Year14">#N/A</definedName>
    <definedName name="Slicer_Year15">#N/A</definedName>
    <definedName name="Slicer_Year16">#N/A</definedName>
    <definedName name="Slicer_Year17">#N/A</definedName>
    <definedName name="Slicer_Year18">#N/A</definedName>
    <definedName name="Slicer_Year19">#N/A</definedName>
    <definedName name="Slicer_Year2">#N/A</definedName>
    <definedName name="Slicer_Year20">#N/A</definedName>
    <definedName name="Slicer_Year21">#N/A</definedName>
    <definedName name="Slicer_Year22">#N/A</definedName>
    <definedName name="Slicer_Year23">#N/A</definedName>
    <definedName name="Slicer_Year25">#N/A</definedName>
    <definedName name="Slicer_Year27">#N/A</definedName>
    <definedName name="Slicer_Year28">#N/A</definedName>
    <definedName name="Slicer_Year29">#N/A</definedName>
    <definedName name="Slicer_Year3">#N/A</definedName>
    <definedName name="Slicer_Year4">#N/A</definedName>
    <definedName name="Slicer_Year5">#N/A</definedName>
    <definedName name="Slicer_Year6">#N/A</definedName>
    <definedName name="Slicer_Year7">#N/A</definedName>
    <definedName name="Slicer_Year8">#N/A</definedName>
    <definedName name="Slicer_Year9">#N/A</definedName>
    <definedName name="Table0">'Incidents Timeseries'!$A$3</definedName>
    <definedName name="Table1">Fires!$A$3</definedName>
    <definedName name="Table10">'GB Casualties'!$A$3</definedName>
    <definedName name="Table10a" localSheetId="169">'GB Casualties'!#REF!</definedName>
    <definedName name="Table10a" localSheetId="170">'GB Casualties'!#REF!</definedName>
    <definedName name="Table10a" localSheetId="174">'GB Casualties'!#REF!</definedName>
    <definedName name="Table10a" localSheetId="43">'[3]10 10a'!#REF!</definedName>
    <definedName name="Table10a" localSheetId="175">'GB Casualties'!#REF!</definedName>
    <definedName name="Table10a" localSheetId="176">'[4]GB Casualties'!#REF!</definedName>
    <definedName name="Table10a" localSheetId="177">'[4]GB Casualties'!#REF!</definedName>
    <definedName name="Table10a" localSheetId="178">'[4]GB Casualties'!#REF!</definedName>
    <definedName name="Table10a" localSheetId="179">'[4]GB Casualties'!#REF!</definedName>
    <definedName name="Table10a" localSheetId="180">'[4]GB Casualties'!#REF!</definedName>
    <definedName name="Table10a" localSheetId="232">'[4]GB Casualties'!#REF!</definedName>
    <definedName name="Table10a" localSheetId="181">'[4]GB Casualties'!#REF!</definedName>
    <definedName name="Table10a" localSheetId="182">'[4]GB Casualties'!#REF!</definedName>
    <definedName name="Table10a" localSheetId="183">'[4]GB Casualties'!#REF!</definedName>
    <definedName name="Table10a" localSheetId="184">'[4]GB Casualties'!#REF!</definedName>
    <definedName name="Table10a" localSheetId="185">'[4]GB Casualties'!#REF!</definedName>
    <definedName name="Table10a" localSheetId="186">'[4]GB Casualties'!#REF!</definedName>
    <definedName name="Table10a" localSheetId="187">'[4]GB Casualties'!#REF!</definedName>
    <definedName name="Table10a" localSheetId="188">'[4]GB Casualties'!#REF!</definedName>
    <definedName name="Table10a" localSheetId="189">'[4]GB Casualties'!#REF!</definedName>
    <definedName name="Table10a" localSheetId="190">'[4]GB Casualties'!#REF!</definedName>
    <definedName name="Table10a" localSheetId="191">'[4]GB Casualties'!#REF!</definedName>
    <definedName name="Table10a" localSheetId="192">'[4]GB Casualties'!#REF!</definedName>
    <definedName name="Table10a" localSheetId="251">'[4]GB Casualties'!#REF!</definedName>
    <definedName name="Table10a" localSheetId="250">'[4]GB Casualties'!#REF!</definedName>
    <definedName name="Table10a" localSheetId="252">'[4]GB Casualties'!#REF!</definedName>
    <definedName name="Table10a" localSheetId="193">'[4]GB Casualties'!#REF!</definedName>
    <definedName name="Table10a" localSheetId="194">'[4]GB Casualties'!#REF!</definedName>
    <definedName name="Table10a" localSheetId="195">'[4]GB Casualties'!#REF!</definedName>
    <definedName name="Table10a" localSheetId="196">'[4]GB Casualties'!#REF!</definedName>
    <definedName name="Table10a" localSheetId="233">'[4]GB Casualties'!#REF!</definedName>
    <definedName name="Table10a" localSheetId="197">'[4]GB Casualties'!#REF!</definedName>
    <definedName name="Table10a" localSheetId="200">'[4]GB Casualties'!#REF!</definedName>
    <definedName name="Table10a" localSheetId="198">'[4]GB Casualties'!#REF!</definedName>
    <definedName name="Table10a" localSheetId="199">'[4]GB Casualties'!#REF!</definedName>
    <definedName name="Table10a" localSheetId="201">'[4]GB Casualties'!#REF!</definedName>
    <definedName name="Table10a" localSheetId="204">'[4]GB Casualties'!#REF!</definedName>
    <definedName name="Table10a" localSheetId="205">'[4]GB Casualties'!#REF!</definedName>
    <definedName name="Table10a" localSheetId="206">'[4]GB Casualties'!#REF!</definedName>
    <definedName name="Table10a" localSheetId="207">'[4]GB Casualties'!#REF!</definedName>
    <definedName name="Table10a" localSheetId="208">'[4]GB Casualties'!#REF!</definedName>
    <definedName name="Table10a" localSheetId="209">'[4]GB Casualties'!#REF!</definedName>
    <definedName name="Table10a" localSheetId="210">'[4]GB Casualties'!#REF!</definedName>
    <definedName name="Table10a" localSheetId="211">'[4]GB Casualties'!#REF!</definedName>
    <definedName name="Table10a" localSheetId="212">'[4]GB Casualties'!#REF!</definedName>
    <definedName name="Table10a" localSheetId="213">'[4]GB Casualties'!#REF!</definedName>
    <definedName name="Table10a" localSheetId="244">'[4]GB Casualties'!#REF!</definedName>
    <definedName name="Table10a" localSheetId="214">'[4]GB Casualties'!#REF!</definedName>
    <definedName name="Table10a" localSheetId="245">'[4]GB Casualties'!#REF!</definedName>
    <definedName name="Table10a" localSheetId="215">'[4]GB Casualties'!#REF!</definedName>
    <definedName name="Table10a" localSheetId="216">'[4]GB Casualties'!#REF!</definedName>
    <definedName name="Table10a" localSheetId="217">'[4]GB Casualties'!#REF!</definedName>
    <definedName name="Table10a" localSheetId="235">'[4]GB Casualties'!#REF!</definedName>
    <definedName name="Table10a" localSheetId="202">'[4]GB Casualties'!#REF!</definedName>
    <definedName name="Table10a" localSheetId="249">'[4]GB Casualties'!#REF!</definedName>
    <definedName name="Table10a" localSheetId="218">'[4]GB Casualties'!#REF!</definedName>
    <definedName name="Table10a" localSheetId="219">'[4]GB Casualties'!#REF!</definedName>
    <definedName name="Table10a" localSheetId="220">'[4]GB Casualties'!#REF!</definedName>
    <definedName name="Table10a" localSheetId="221">'[4]GB Casualties'!#REF!</definedName>
    <definedName name="Table10a" localSheetId="222">'[4]GB Casualties'!#REF!</definedName>
    <definedName name="Table10a" localSheetId="223">'[4]GB Casualties'!#REF!</definedName>
    <definedName name="Table10a" localSheetId="224">'[4]GB Casualties'!#REF!</definedName>
    <definedName name="Table10a" localSheetId="226">'[4]GB Casualties'!#REF!</definedName>
    <definedName name="Table10a" localSheetId="225">'[4]GB Casualties'!#REF!</definedName>
    <definedName name="Table10a" localSheetId="227">'[4]GB Casualties'!#REF!</definedName>
    <definedName name="Table10a" localSheetId="228">'[4]GB Casualties'!#REF!</definedName>
    <definedName name="Table10a" localSheetId="229">'[4]GB Casualties'!#REF!</definedName>
    <definedName name="Table10a" localSheetId="230">'[4]GB Casualties'!#REF!</definedName>
    <definedName name="Table10a" localSheetId="231">'[4]GB Casualties'!#REF!</definedName>
    <definedName name="Table10a" localSheetId="248">'[4]GB Casualties'!#REF!</definedName>
    <definedName name="Table10a" localSheetId="238">'[4]GB Casualties'!#REF!</definedName>
    <definedName name="Table10a" localSheetId="203">'[4]GB Casualties'!#REF!</definedName>
    <definedName name="Table10a" localSheetId="243">'[4]GB Casualties'!#REF!</definedName>
    <definedName name="Table10a" localSheetId="241">'[4]GB Casualties'!#REF!</definedName>
    <definedName name="Table10a" localSheetId="242">'[4]GB Casualties'!#REF!</definedName>
    <definedName name="Table10a" localSheetId="240">'[4]GB Casualties'!#REF!</definedName>
    <definedName name="Table10a" localSheetId="239">'[4]GB Casualties'!#REF!</definedName>
    <definedName name="Table10a" localSheetId="234">'[4]GB Casualties'!#REF!</definedName>
    <definedName name="Table10a" localSheetId="236">'[4]GB Casualties'!#REF!</definedName>
    <definedName name="Table10a" localSheetId="246">'[4]GB Casualties'!#REF!</definedName>
    <definedName name="Table10a" localSheetId="237">'[4]GB Casualties'!#REF!</definedName>
    <definedName name="Table10a" localSheetId="247">'[4]GB Casualties'!#REF!</definedName>
    <definedName name="Table10a">'GB Casualties'!#REF!</definedName>
    <definedName name="Table10b">'GB Incident'!$A$3</definedName>
    <definedName name="Table10c" localSheetId="169">'GB Incident'!#REF!</definedName>
    <definedName name="Table10c" localSheetId="170">'GB Incident'!#REF!</definedName>
    <definedName name="Table10c" localSheetId="174">'GB Incident'!#REF!</definedName>
    <definedName name="Table10c" localSheetId="43">'[3]10b 10c 10d'!#REF!</definedName>
    <definedName name="Table10c" localSheetId="175">'GB Incident'!#REF!</definedName>
    <definedName name="Table10c" localSheetId="176">'[4]GB Incident'!#REF!</definedName>
    <definedName name="Table10c" localSheetId="177">'[4]GB Incident'!#REF!</definedName>
    <definedName name="Table10c" localSheetId="178">'[4]GB Incident'!#REF!</definedName>
    <definedName name="Table10c" localSheetId="179">'[4]GB Incident'!#REF!</definedName>
    <definedName name="Table10c" localSheetId="180">'[4]GB Incident'!#REF!</definedName>
    <definedName name="Table10c" localSheetId="232">'[4]GB Incident'!#REF!</definedName>
    <definedName name="Table10c" localSheetId="181">'[4]GB Incident'!#REF!</definedName>
    <definedName name="Table10c" localSheetId="182">'[4]GB Incident'!#REF!</definedName>
    <definedName name="Table10c" localSheetId="183">'[4]GB Incident'!#REF!</definedName>
    <definedName name="Table10c" localSheetId="184">'[4]GB Incident'!#REF!</definedName>
    <definedName name="Table10c" localSheetId="185">'[4]GB Incident'!#REF!</definedName>
    <definedName name="Table10c" localSheetId="186">'[4]GB Incident'!#REF!</definedName>
    <definedName name="Table10c" localSheetId="187">'[4]GB Incident'!#REF!</definedName>
    <definedName name="Table10c" localSheetId="188">'[4]GB Incident'!#REF!</definedName>
    <definedName name="Table10c" localSheetId="189">'[4]GB Incident'!#REF!</definedName>
    <definedName name="Table10c" localSheetId="190">'[4]GB Incident'!#REF!</definedName>
    <definedName name="Table10c" localSheetId="191">'[4]GB Incident'!#REF!</definedName>
    <definedName name="Table10c" localSheetId="192">'[4]GB Incident'!#REF!</definedName>
    <definedName name="Table10c" localSheetId="251">'[4]GB Incident'!#REF!</definedName>
    <definedName name="Table10c" localSheetId="250">'[4]GB Incident'!#REF!</definedName>
    <definedName name="Table10c" localSheetId="252">'[4]GB Incident'!#REF!</definedName>
    <definedName name="Table10c" localSheetId="193">'[4]GB Incident'!#REF!</definedName>
    <definedName name="Table10c" localSheetId="194">'[4]GB Incident'!#REF!</definedName>
    <definedName name="Table10c" localSheetId="195">'[4]GB Incident'!#REF!</definedName>
    <definedName name="Table10c" localSheetId="196">'[4]GB Incident'!#REF!</definedName>
    <definedName name="Table10c" localSheetId="233">'[4]GB Incident'!#REF!</definedName>
    <definedName name="Table10c" localSheetId="197">'[4]GB Incident'!#REF!</definedName>
    <definedName name="Table10c" localSheetId="200">'[4]GB Incident'!#REF!</definedName>
    <definedName name="Table10c" localSheetId="198">'[4]GB Incident'!#REF!</definedName>
    <definedName name="Table10c" localSheetId="199">'[4]GB Incident'!#REF!</definedName>
    <definedName name="Table10c" localSheetId="201">'[4]GB Incident'!#REF!</definedName>
    <definedName name="Table10c" localSheetId="204">'[4]GB Incident'!#REF!</definedName>
    <definedName name="Table10c" localSheetId="205">'[4]GB Incident'!#REF!</definedName>
    <definedName name="Table10c" localSheetId="206">'[4]GB Incident'!#REF!</definedName>
    <definedName name="Table10c" localSheetId="207">'[4]GB Incident'!#REF!</definedName>
    <definedName name="Table10c" localSheetId="208">'[4]GB Incident'!#REF!</definedName>
    <definedName name="Table10c" localSheetId="209">'[4]GB Incident'!#REF!</definedName>
    <definedName name="Table10c" localSheetId="210">'[4]GB Incident'!#REF!</definedName>
    <definedName name="Table10c" localSheetId="211">'[4]GB Incident'!#REF!</definedName>
    <definedName name="Table10c" localSheetId="212">'[4]GB Incident'!#REF!</definedName>
    <definedName name="Table10c" localSheetId="213">'[4]GB Incident'!#REF!</definedName>
    <definedName name="Table10c" localSheetId="244">'[4]GB Incident'!#REF!</definedName>
    <definedName name="Table10c" localSheetId="214">'[4]GB Incident'!#REF!</definedName>
    <definedName name="Table10c" localSheetId="245">'[4]GB Incident'!#REF!</definedName>
    <definedName name="Table10c" localSheetId="215">'[4]GB Incident'!#REF!</definedName>
    <definedName name="Table10c" localSheetId="216">'[4]GB Incident'!#REF!</definedName>
    <definedName name="Table10c" localSheetId="217">'[4]GB Incident'!#REF!</definedName>
    <definedName name="Table10c" localSheetId="235">'[4]GB Incident'!#REF!</definedName>
    <definedName name="Table10c" localSheetId="202">'[4]GB Incident'!#REF!</definedName>
    <definedName name="Table10c" localSheetId="249">'[4]GB Incident'!#REF!</definedName>
    <definedName name="Table10c" localSheetId="218">'[4]GB Incident'!#REF!</definedName>
    <definedName name="Table10c" localSheetId="219">'[4]GB Incident'!#REF!</definedName>
    <definedName name="Table10c" localSheetId="220">'[4]GB Incident'!#REF!</definedName>
    <definedName name="Table10c" localSheetId="221">'[4]GB Incident'!#REF!</definedName>
    <definedName name="Table10c" localSheetId="222">'[4]GB Incident'!#REF!</definedName>
    <definedName name="Table10c" localSheetId="223">'[4]GB Incident'!#REF!</definedName>
    <definedName name="Table10c" localSheetId="224">'[4]GB Incident'!#REF!</definedName>
    <definedName name="Table10c" localSheetId="226">'[4]GB Incident'!#REF!</definedName>
    <definedName name="Table10c" localSheetId="225">'[4]GB Incident'!#REF!</definedName>
    <definedName name="Table10c" localSheetId="227">'[4]GB Incident'!#REF!</definedName>
    <definedName name="Table10c" localSheetId="228">'[4]GB Incident'!#REF!</definedName>
    <definedName name="Table10c" localSheetId="229">'[4]GB Incident'!#REF!</definedName>
    <definedName name="Table10c" localSheetId="230">'[4]GB Incident'!#REF!</definedName>
    <definedName name="Table10c" localSheetId="231">'[4]GB Incident'!#REF!</definedName>
    <definedName name="Table10c" localSheetId="248">'[4]GB Incident'!#REF!</definedName>
    <definedName name="Table10c" localSheetId="238">'[4]GB Incident'!#REF!</definedName>
    <definedName name="Table10c" localSheetId="203">'[4]GB Incident'!#REF!</definedName>
    <definedName name="Table10c" localSheetId="243">'[4]GB Incident'!#REF!</definedName>
    <definedName name="Table10c" localSheetId="241">'[4]GB Incident'!#REF!</definedName>
    <definedName name="Table10c" localSheetId="242">'[4]GB Incident'!#REF!</definedName>
    <definedName name="Table10c" localSheetId="240">'[4]GB Incident'!#REF!</definedName>
    <definedName name="Table10c" localSheetId="239">'[4]GB Incident'!#REF!</definedName>
    <definedName name="Table10c" localSheetId="234">'[4]GB Incident'!#REF!</definedName>
    <definedName name="Table10c" localSheetId="236">'[4]GB Incident'!#REF!</definedName>
    <definedName name="Table10c" localSheetId="246">'[4]GB Incident'!#REF!</definedName>
    <definedName name="Table10c" localSheetId="237">'[4]GB Incident'!#REF!</definedName>
    <definedName name="Table10c" localSheetId="247">'[4]GB Incident'!#REF!</definedName>
    <definedName name="Table10c">'GB Incident'!#REF!</definedName>
    <definedName name="Table11">'Casualties Motive'!$A$3</definedName>
    <definedName name="Table11a">'Motive Primary LA Rate'!$A$3</definedName>
    <definedName name="Table11b">'Dwelling Non-fatal Rate'!$A$3</definedName>
    <definedName name="Table12">'Casualties Motive LA'!$A$3</definedName>
    <definedName name="Table12a">'Casualties Motive LA'!$B$49</definedName>
    <definedName name="Table13">'Motive Secondary'!$A$3</definedName>
    <definedName name="Table13a">'Motive Secondary LA'!$A$3</definedName>
    <definedName name="Table13b">'[5]Initial Form'!$N$49</definedName>
    <definedName name="Table14">'Casualty Gender'!$A$3</definedName>
    <definedName name="Table14a" localSheetId="169">'Casualty Gender'!#REF!</definedName>
    <definedName name="Table14a" localSheetId="170">'Casualty Gender'!#REF!</definedName>
    <definedName name="Table14a" localSheetId="174">'Casualty Gender'!#REF!</definedName>
    <definedName name="Table14a" localSheetId="43">'[3]14 14a'!#REF!</definedName>
    <definedName name="Table14a" localSheetId="175">'Casualty Gender'!#REF!</definedName>
    <definedName name="Table14a" localSheetId="176">'[4]Casualty Gender'!#REF!</definedName>
    <definedName name="Table14a" localSheetId="177">'[4]Casualty Gender'!#REF!</definedName>
    <definedName name="Table14a" localSheetId="178">'[4]Casualty Gender'!#REF!</definedName>
    <definedName name="Table14a" localSheetId="179">'[4]Casualty Gender'!#REF!</definedName>
    <definedName name="Table14a" localSheetId="180">'[4]Casualty Gender'!#REF!</definedName>
    <definedName name="Table14a" localSheetId="232">'[4]Casualty Gender'!#REF!</definedName>
    <definedName name="Table14a" localSheetId="181">'[4]Casualty Gender'!#REF!</definedName>
    <definedName name="Table14a" localSheetId="182">'[4]Casualty Gender'!#REF!</definedName>
    <definedName name="Table14a" localSheetId="183">'[4]Casualty Gender'!#REF!</definedName>
    <definedName name="Table14a" localSheetId="184">'[4]Casualty Gender'!#REF!</definedName>
    <definedName name="Table14a" localSheetId="185">'[4]Casualty Gender'!#REF!</definedName>
    <definedName name="Table14a" localSheetId="186">'[4]Casualty Gender'!#REF!</definedName>
    <definedName name="Table14a" localSheetId="187">'[4]Casualty Gender'!#REF!</definedName>
    <definedName name="Table14a" localSheetId="188">'[4]Casualty Gender'!#REF!</definedName>
    <definedName name="Table14a" localSheetId="189">'[4]Casualty Gender'!#REF!</definedName>
    <definedName name="Table14a" localSheetId="190">'[4]Casualty Gender'!#REF!</definedName>
    <definedName name="Table14a" localSheetId="191">'[4]Casualty Gender'!#REF!</definedName>
    <definedName name="Table14a" localSheetId="192">'[4]Casualty Gender'!#REF!</definedName>
    <definedName name="Table14a" localSheetId="251">'[4]Casualty Gender'!#REF!</definedName>
    <definedName name="Table14a" localSheetId="250">'[4]Casualty Gender'!#REF!</definedName>
    <definedName name="Table14a" localSheetId="252">'[4]Casualty Gender'!#REF!</definedName>
    <definedName name="Table14a" localSheetId="193">'[4]Casualty Gender'!#REF!</definedName>
    <definedName name="Table14a" localSheetId="194">'[4]Casualty Gender'!#REF!</definedName>
    <definedName name="Table14a" localSheetId="195">'[4]Casualty Gender'!#REF!</definedName>
    <definedName name="Table14a" localSheetId="196">'[4]Casualty Gender'!#REF!</definedName>
    <definedName name="Table14a" localSheetId="233">'[4]Casualty Gender'!#REF!</definedName>
    <definedName name="Table14a" localSheetId="197">'[4]Casualty Gender'!#REF!</definedName>
    <definedName name="Table14a" localSheetId="200">'[4]Casualty Gender'!#REF!</definedName>
    <definedName name="Table14a" localSheetId="198">'[4]Casualty Gender'!#REF!</definedName>
    <definedName name="Table14a" localSheetId="199">'[4]Casualty Gender'!#REF!</definedName>
    <definedName name="Table14a" localSheetId="201">'[4]Casualty Gender'!#REF!</definedName>
    <definedName name="Table14a" localSheetId="204">'[4]Casualty Gender'!#REF!</definedName>
    <definedName name="Table14a" localSheetId="205">'[4]Casualty Gender'!#REF!</definedName>
    <definedName name="Table14a" localSheetId="206">'[4]Casualty Gender'!#REF!</definedName>
    <definedName name="Table14a" localSheetId="207">'[4]Casualty Gender'!#REF!</definedName>
    <definedName name="Table14a" localSheetId="208">'[4]Casualty Gender'!#REF!</definedName>
    <definedName name="Table14a" localSheetId="209">'[4]Casualty Gender'!#REF!</definedName>
    <definedName name="Table14a" localSheetId="210">'[4]Casualty Gender'!#REF!</definedName>
    <definedName name="Table14a" localSheetId="211">'[4]Casualty Gender'!#REF!</definedName>
    <definedName name="Table14a" localSheetId="212">'[4]Casualty Gender'!#REF!</definedName>
    <definedName name="Table14a" localSheetId="213">'[4]Casualty Gender'!#REF!</definedName>
    <definedName name="Table14a" localSheetId="244">'[4]Casualty Gender'!#REF!</definedName>
    <definedName name="Table14a" localSheetId="214">'[4]Casualty Gender'!#REF!</definedName>
    <definedName name="Table14a" localSheetId="245">'[4]Casualty Gender'!#REF!</definedName>
    <definedName name="Table14a" localSheetId="215">'[4]Casualty Gender'!#REF!</definedName>
    <definedName name="Table14a" localSheetId="216">'[4]Casualty Gender'!#REF!</definedName>
    <definedName name="Table14a" localSheetId="217">'[4]Casualty Gender'!#REF!</definedName>
    <definedName name="Table14a" localSheetId="235">'[4]Casualty Gender'!#REF!</definedName>
    <definedName name="Table14a" localSheetId="202">'[4]Casualty Gender'!#REF!</definedName>
    <definedName name="Table14a" localSheetId="249">'[4]Casualty Gender'!#REF!</definedName>
    <definedName name="Table14a" localSheetId="218">'[4]Casualty Gender'!#REF!</definedName>
    <definedName name="Table14a" localSheetId="219">'[4]Casualty Gender'!#REF!</definedName>
    <definedName name="Table14a" localSheetId="220">'[4]Casualty Gender'!#REF!</definedName>
    <definedName name="Table14a" localSheetId="221">'[4]Casualty Gender'!#REF!</definedName>
    <definedName name="Table14a" localSheetId="222">'[4]Casualty Gender'!#REF!</definedName>
    <definedName name="Table14a" localSheetId="223">'[4]Casualty Gender'!#REF!</definedName>
    <definedName name="Table14a" localSheetId="224">'[4]Casualty Gender'!#REF!</definedName>
    <definedName name="Table14a" localSheetId="226">'[4]Casualty Gender'!#REF!</definedName>
    <definedName name="Table14a" localSheetId="225">'[4]Casualty Gender'!#REF!</definedName>
    <definedName name="Table14a" localSheetId="227">'[4]Casualty Gender'!#REF!</definedName>
    <definedName name="Table14a" localSheetId="228">'[4]Casualty Gender'!#REF!</definedName>
    <definedName name="Table14a" localSheetId="229">'[4]Casualty Gender'!#REF!</definedName>
    <definedName name="Table14a" localSheetId="230">'[4]Casualty Gender'!#REF!</definedName>
    <definedName name="Table14a" localSheetId="231">'[4]Casualty Gender'!#REF!</definedName>
    <definedName name="Table14a" localSheetId="248">'[4]Casualty Gender'!#REF!</definedName>
    <definedName name="Table14a" localSheetId="238">'[4]Casualty Gender'!#REF!</definedName>
    <definedName name="Table14a" localSheetId="203">'[4]Casualty Gender'!#REF!</definedName>
    <definedName name="Table14a" localSheetId="243">'[4]Casualty Gender'!#REF!</definedName>
    <definedName name="Table14a" localSheetId="241">'[4]Casualty Gender'!#REF!</definedName>
    <definedName name="Table14a" localSheetId="242">'[4]Casualty Gender'!#REF!</definedName>
    <definedName name="Table14a" localSheetId="240">'[4]Casualty Gender'!#REF!</definedName>
    <definedName name="Table14a" localSheetId="239">'[4]Casualty Gender'!#REF!</definedName>
    <definedName name="Table14a" localSheetId="234">'[4]Casualty Gender'!#REF!</definedName>
    <definedName name="Table14a" localSheetId="236">'[4]Casualty Gender'!#REF!</definedName>
    <definedName name="Table14a" localSheetId="246">'[4]Casualty Gender'!#REF!</definedName>
    <definedName name="Table14a" localSheetId="237">'[4]Casualty Gender'!#REF!</definedName>
    <definedName name="Table14a" localSheetId="247">'[4]Casualty Gender'!#REF!</definedName>
    <definedName name="Table14a">'Casualty Gender'!#REF!</definedName>
    <definedName name="Table14b">'Type of Injury Gender'!$A$3</definedName>
    <definedName name="Table14c" localSheetId="169">'Type of Injury Gender'!#REF!</definedName>
    <definedName name="Table14c" localSheetId="170">'Type of Injury Gender'!#REF!</definedName>
    <definedName name="Table14c" localSheetId="174">'Type of Injury Gender'!#REF!</definedName>
    <definedName name="Table14c" localSheetId="43">'[3]14b 14c'!#REF!</definedName>
    <definedName name="Table14c" localSheetId="175">'Type of Injury Gender'!#REF!</definedName>
    <definedName name="Table14c" localSheetId="176">'[4]Type of Injury Gender'!#REF!</definedName>
    <definedName name="Table14c" localSheetId="177">'[4]Type of Injury Gender'!#REF!</definedName>
    <definedName name="Table14c" localSheetId="178">'[4]Type of Injury Gender'!#REF!</definedName>
    <definedName name="Table14c" localSheetId="179">'[4]Type of Injury Gender'!#REF!</definedName>
    <definedName name="Table14c" localSheetId="180">'[4]Type of Injury Gender'!#REF!</definedName>
    <definedName name="Table14c" localSheetId="232">'[4]Type of Injury Gender'!#REF!</definedName>
    <definedName name="Table14c" localSheetId="181">'[4]Type of Injury Gender'!#REF!</definedName>
    <definedName name="Table14c" localSheetId="182">'[4]Type of Injury Gender'!#REF!</definedName>
    <definedName name="Table14c" localSheetId="183">'[4]Type of Injury Gender'!#REF!</definedName>
    <definedName name="Table14c" localSheetId="184">'[4]Type of Injury Gender'!#REF!</definedName>
    <definedName name="Table14c" localSheetId="185">'[4]Type of Injury Gender'!#REF!</definedName>
    <definedName name="Table14c" localSheetId="186">'[4]Type of Injury Gender'!#REF!</definedName>
    <definedName name="Table14c" localSheetId="187">'[4]Type of Injury Gender'!#REF!</definedName>
    <definedName name="Table14c" localSheetId="188">'[4]Type of Injury Gender'!#REF!</definedName>
    <definedName name="Table14c" localSheetId="189">'[4]Type of Injury Gender'!#REF!</definedName>
    <definedName name="Table14c" localSheetId="190">'[4]Type of Injury Gender'!#REF!</definedName>
    <definedName name="Table14c" localSheetId="191">'[4]Type of Injury Gender'!#REF!</definedName>
    <definedName name="Table14c" localSheetId="192">'[4]Type of Injury Gender'!#REF!</definedName>
    <definedName name="Table14c" localSheetId="251">'[4]Type of Injury Gender'!#REF!</definedName>
    <definedName name="Table14c" localSheetId="250">'[4]Type of Injury Gender'!#REF!</definedName>
    <definedName name="Table14c" localSheetId="252">'[4]Type of Injury Gender'!#REF!</definedName>
    <definedName name="Table14c" localSheetId="193">'[4]Type of Injury Gender'!#REF!</definedName>
    <definedName name="Table14c" localSheetId="194">'[4]Type of Injury Gender'!#REF!</definedName>
    <definedName name="Table14c" localSheetId="195">'[4]Type of Injury Gender'!#REF!</definedName>
    <definedName name="Table14c" localSheetId="196">'[4]Type of Injury Gender'!#REF!</definedName>
    <definedName name="Table14c" localSheetId="233">'[4]Type of Injury Gender'!#REF!</definedName>
    <definedName name="Table14c" localSheetId="197">'[4]Type of Injury Gender'!#REF!</definedName>
    <definedName name="Table14c" localSheetId="200">'[4]Type of Injury Gender'!#REF!</definedName>
    <definedName name="Table14c" localSheetId="198">'[4]Type of Injury Gender'!#REF!</definedName>
    <definedName name="Table14c" localSheetId="199">'[4]Type of Injury Gender'!#REF!</definedName>
    <definedName name="Table14c" localSheetId="201">'[4]Type of Injury Gender'!#REF!</definedName>
    <definedName name="Table14c" localSheetId="204">'[4]Type of Injury Gender'!#REF!</definedName>
    <definedName name="Table14c" localSheetId="205">'[4]Type of Injury Gender'!#REF!</definedName>
    <definedName name="Table14c" localSheetId="206">'[4]Type of Injury Gender'!#REF!</definedName>
    <definedName name="Table14c" localSheetId="207">'[4]Type of Injury Gender'!#REF!</definedName>
    <definedName name="Table14c" localSheetId="208">'[4]Type of Injury Gender'!#REF!</definedName>
    <definedName name="Table14c" localSheetId="209">'[4]Type of Injury Gender'!#REF!</definedName>
    <definedName name="Table14c" localSheetId="210">'[4]Type of Injury Gender'!#REF!</definedName>
    <definedName name="Table14c" localSheetId="211">'[4]Type of Injury Gender'!#REF!</definedName>
    <definedName name="Table14c" localSheetId="212">'[4]Type of Injury Gender'!#REF!</definedName>
    <definedName name="Table14c" localSheetId="213">'[4]Type of Injury Gender'!#REF!</definedName>
    <definedName name="Table14c" localSheetId="244">'[4]Type of Injury Gender'!#REF!</definedName>
    <definedName name="Table14c" localSheetId="214">'[4]Type of Injury Gender'!#REF!</definedName>
    <definedName name="Table14c" localSheetId="245">'[4]Type of Injury Gender'!#REF!</definedName>
    <definedName name="Table14c" localSheetId="215">'[4]Type of Injury Gender'!#REF!</definedName>
    <definedName name="Table14c" localSheetId="216">'[4]Type of Injury Gender'!#REF!</definedName>
    <definedName name="Table14c" localSheetId="217">'[4]Type of Injury Gender'!#REF!</definedName>
    <definedName name="Table14c" localSheetId="235">'[4]Type of Injury Gender'!#REF!</definedName>
    <definedName name="Table14c" localSheetId="202">'[4]Type of Injury Gender'!#REF!</definedName>
    <definedName name="Table14c" localSheetId="249">'[4]Type of Injury Gender'!#REF!</definedName>
    <definedName name="Table14c" localSheetId="218">'[4]Type of Injury Gender'!#REF!</definedName>
    <definedName name="Table14c" localSheetId="219">'[4]Type of Injury Gender'!#REF!</definedName>
    <definedName name="Table14c" localSheetId="220">'[4]Type of Injury Gender'!#REF!</definedName>
    <definedName name="Table14c" localSheetId="221">'[4]Type of Injury Gender'!#REF!</definedName>
    <definedName name="Table14c" localSheetId="222">'[4]Type of Injury Gender'!#REF!</definedName>
    <definedName name="Table14c" localSheetId="223">'[4]Type of Injury Gender'!#REF!</definedName>
    <definedName name="Table14c" localSheetId="224">'[4]Type of Injury Gender'!#REF!</definedName>
    <definedName name="Table14c" localSheetId="226">'[4]Type of Injury Gender'!#REF!</definedName>
    <definedName name="Table14c" localSheetId="225">'[4]Type of Injury Gender'!#REF!</definedName>
    <definedName name="Table14c" localSheetId="227">'[4]Type of Injury Gender'!#REF!</definedName>
    <definedName name="Table14c" localSheetId="228">'[4]Type of Injury Gender'!#REF!</definedName>
    <definedName name="Table14c" localSheetId="229">'[4]Type of Injury Gender'!#REF!</definedName>
    <definedName name="Table14c" localSheetId="230">'[4]Type of Injury Gender'!#REF!</definedName>
    <definedName name="Table14c" localSheetId="231">'[4]Type of Injury Gender'!#REF!</definedName>
    <definedName name="Table14c" localSheetId="248">'[4]Type of Injury Gender'!#REF!</definedName>
    <definedName name="Table14c" localSheetId="238">'[4]Type of Injury Gender'!#REF!</definedName>
    <definedName name="Table14c" localSheetId="203">'[4]Type of Injury Gender'!#REF!</definedName>
    <definedName name="Table14c" localSheetId="243">'[4]Type of Injury Gender'!#REF!</definedName>
    <definedName name="Table14c" localSheetId="241">'[4]Type of Injury Gender'!#REF!</definedName>
    <definedName name="Table14c" localSheetId="242">'[4]Type of Injury Gender'!#REF!</definedName>
    <definedName name="Table14c" localSheetId="240">'[4]Type of Injury Gender'!#REF!</definedName>
    <definedName name="Table14c" localSheetId="239">'[4]Type of Injury Gender'!#REF!</definedName>
    <definedName name="Table14c" localSheetId="234">'[4]Type of Injury Gender'!#REF!</definedName>
    <definedName name="Table14c" localSheetId="236">'[4]Type of Injury Gender'!#REF!</definedName>
    <definedName name="Table14c" localSheetId="246">'[4]Type of Injury Gender'!#REF!</definedName>
    <definedName name="Table14c" localSheetId="237">'[4]Type of Injury Gender'!#REF!</definedName>
    <definedName name="Table14c" localSheetId="247">'[4]Type of Injury Gender'!#REF!</definedName>
    <definedName name="Table14c">'Type of Injury Gender'!#REF!</definedName>
    <definedName name="Table14d" localSheetId="169">'Type of Injury Gender'!#REF!</definedName>
    <definedName name="Table14d" localSheetId="170">'Type of Injury Gender'!#REF!</definedName>
    <definedName name="Table14d" localSheetId="174">'Type of Injury Gender'!#REF!</definedName>
    <definedName name="Table14d" localSheetId="43">'[3]14b 14c'!#REF!</definedName>
    <definedName name="Table14d" localSheetId="175">'Type of Injury Gender'!#REF!</definedName>
    <definedName name="Table14d" localSheetId="176">'[4]Type of Injury Gender'!#REF!</definedName>
    <definedName name="Table14d" localSheetId="177">'[4]Type of Injury Gender'!#REF!</definedName>
    <definedName name="Table14d" localSheetId="178">'[4]Type of Injury Gender'!#REF!</definedName>
    <definedName name="Table14d" localSheetId="179">'[4]Type of Injury Gender'!#REF!</definedName>
    <definedName name="Table14d" localSheetId="180">'[4]Type of Injury Gender'!#REF!</definedName>
    <definedName name="Table14d" localSheetId="232">'[4]Type of Injury Gender'!#REF!</definedName>
    <definedName name="Table14d" localSheetId="181">'[4]Type of Injury Gender'!#REF!</definedName>
    <definedName name="Table14d" localSheetId="182">'[4]Type of Injury Gender'!#REF!</definedName>
    <definedName name="Table14d" localSheetId="183">'[4]Type of Injury Gender'!#REF!</definedName>
    <definedName name="Table14d" localSheetId="184">'[4]Type of Injury Gender'!#REF!</definedName>
    <definedName name="Table14d" localSheetId="185">'[4]Type of Injury Gender'!#REF!</definedName>
    <definedName name="Table14d" localSheetId="186">'[4]Type of Injury Gender'!#REF!</definedName>
    <definedName name="Table14d" localSheetId="187">'[4]Type of Injury Gender'!#REF!</definedName>
    <definedName name="Table14d" localSheetId="188">'[4]Type of Injury Gender'!#REF!</definedName>
    <definedName name="Table14d" localSheetId="189">'[4]Type of Injury Gender'!#REF!</definedName>
    <definedName name="Table14d" localSheetId="190">'[4]Type of Injury Gender'!#REF!</definedName>
    <definedName name="Table14d" localSheetId="191">'[4]Type of Injury Gender'!#REF!</definedName>
    <definedName name="Table14d" localSheetId="192">'[4]Type of Injury Gender'!#REF!</definedName>
    <definedName name="Table14d" localSheetId="251">'[4]Type of Injury Gender'!#REF!</definedName>
    <definedName name="Table14d" localSheetId="250">'[4]Type of Injury Gender'!#REF!</definedName>
    <definedName name="Table14d" localSheetId="252">'[4]Type of Injury Gender'!#REF!</definedName>
    <definedName name="Table14d" localSheetId="193">'[4]Type of Injury Gender'!#REF!</definedName>
    <definedName name="Table14d" localSheetId="194">'[4]Type of Injury Gender'!#REF!</definedName>
    <definedName name="Table14d" localSheetId="195">'[4]Type of Injury Gender'!#REF!</definedName>
    <definedName name="Table14d" localSheetId="196">'[4]Type of Injury Gender'!#REF!</definedName>
    <definedName name="Table14d" localSheetId="233">'[4]Type of Injury Gender'!#REF!</definedName>
    <definedName name="Table14d" localSheetId="197">'[4]Type of Injury Gender'!#REF!</definedName>
    <definedName name="Table14d" localSheetId="200">'[4]Type of Injury Gender'!#REF!</definedName>
    <definedName name="Table14d" localSheetId="198">'[4]Type of Injury Gender'!#REF!</definedName>
    <definedName name="Table14d" localSheetId="199">'[4]Type of Injury Gender'!#REF!</definedName>
    <definedName name="Table14d" localSheetId="201">'[4]Type of Injury Gender'!#REF!</definedName>
    <definedName name="Table14d" localSheetId="204">'[4]Type of Injury Gender'!#REF!</definedName>
    <definedName name="Table14d" localSheetId="205">'[4]Type of Injury Gender'!#REF!</definedName>
    <definedName name="Table14d" localSheetId="206">'[4]Type of Injury Gender'!#REF!</definedName>
    <definedName name="Table14d" localSheetId="207">'[4]Type of Injury Gender'!#REF!</definedName>
    <definedName name="Table14d" localSheetId="208">'[4]Type of Injury Gender'!#REF!</definedName>
    <definedName name="Table14d" localSheetId="209">'[4]Type of Injury Gender'!#REF!</definedName>
    <definedName name="Table14d" localSheetId="210">'[4]Type of Injury Gender'!#REF!</definedName>
    <definedName name="Table14d" localSheetId="211">'[4]Type of Injury Gender'!#REF!</definedName>
    <definedName name="Table14d" localSheetId="212">'[4]Type of Injury Gender'!#REF!</definedName>
    <definedName name="Table14d" localSheetId="213">'[4]Type of Injury Gender'!#REF!</definedName>
    <definedName name="Table14d" localSheetId="244">'[4]Type of Injury Gender'!#REF!</definedName>
    <definedName name="Table14d" localSheetId="214">'[4]Type of Injury Gender'!#REF!</definedName>
    <definedName name="Table14d" localSheetId="245">'[4]Type of Injury Gender'!#REF!</definedName>
    <definedName name="Table14d" localSheetId="215">'[4]Type of Injury Gender'!#REF!</definedName>
    <definedName name="Table14d" localSheetId="216">'[4]Type of Injury Gender'!#REF!</definedName>
    <definedName name="Table14d" localSheetId="217">'[4]Type of Injury Gender'!#REF!</definedName>
    <definedName name="Table14d" localSheetId="235">'[4]Type of Injury Gender'!#REF!</definedName>
    <definedName name="Table14d" localSheetId="202">'[4]Type of Injury Gender'!#REF!</definedName>
    <definedName name="Table14d" localSheetId="249">'[4]Type of Injury Gender'!#REF!</definedName>
    <definedName name="Table14d" localSheetId="218">'[4]Type of Injury Gender'!#REF!</definedName>
    <definedName name="Table14d" localSheetId="219">'[4]Type of Injury Gender'!#REF!</definedName>
    <definedName name="Table14d" localSheetId="220">'[4]Type of Injury Gender'!#REF!</definedName>
    <definedName name="Table14d" localSheetId="221">'[4]Type of Injury Gender'!#REF!</definedName>
    <definedName name="Table14d" localSheetId="222">'[4]Type of Injury Gender'!#REF!</definedName>
    <definedName name="Table14d" localSheetId="223">'[4]Type of Injury Gender'!#REF!</definedName>
    <definedName name="Table14d" localSheetId="224">'[4]Type of Injury Gender'!#REF!</definedName>
    <definedName name="Table14d" localSheetId="226">'[4]Type of Injury Gender'!#REF!</definedName>
    <definedName name="Table14d" localSheetId="225">'[4]Type of Injury Gender'!#REF!</definedName>
    <definedName name="Table14d" localSheetId="227">'[4]Type of Injury Gender'!#REF!</definedName>
    <definedName name="Table14d" localSheetId="228">'[4]Type of Injury Gender'!#REF!</definedName>
    <definedName name="Table14d" localSheetId="229">'[4]Type of Injury Gender'!#REF!</definedName>
    <definedName name="Table14d" localSheetId="230">'[4]Type of Injury Gender'!#REF!</definedName>
    <definedName name="Table14d" localSheetId="231">'[4]Type of Injury Gender'!#REF!</definedName>
    <definedName name="Table14d" localSheetId="248">'[4]Type of Injury Gender'!#REF!</definedName>
    <definedName name="Table14d" localSheetId="238">'[4]Type of Injury Gender'!#REF!</definedName>
    <definedName name="Table14d" localSheetId="203">'[4]Type of Injury Gender'!#REF!</definedName>
    <definedName name="Table14d" localSheetId="243">'[4]Type of Injury Gender'!#REF!</definedName>
    <definedName name="Table14d" localSheetId="241">'[4]Type of Injury Gender'!#REF!</definedName>
    <definedName name="Table14d" localSheetId="242">'[4]Type of Injury Gender'!#REF!</definedName>
    <definedName name="Table14d" localSheetId="240">'[4]Type of Injury Gender'!#REF!</definedName>
    <definedName name="Table14d" localSheetId="239">'[4]Type of Injury Gender'!#REF!</definedName>
    <definedName name="Table14d" localSheetId="234">'[4]Type of Injury Gender'!#REF!</definedName>
    <definedName name="Table14d" localSheetId="236">'[4]Type of Injury Gender'!#REF!</definedName>
    <definedName name="Table14d" localSheetId="246">'[4]Type of Injury Gender'!#REF!</definedName>
    <definedName name="Table14d" localSheetId="237">'[4]Type of Injury Gender'!#REF!</definedName>
    <definedName name="Table14d" localSheetId="247">'[4]Type of Injury Gender'!#REF!</definedName>
    <definedName name="Table14d">'Type of Injury Gender'!#REF!</definedName>
    <definedName name="Table14e">Treatment!$A$3</definedName>
    <definedName name="Table14f">Treatment!$A$24</definedName>
    <definedName name="Table14g">Treatment!$A$45</definedName>
    <definedName name="Table15">'Casualty Gender Rate'!$A$3</definedName>
    <definedName name="Table15a" localSheetId="169">'Casualty Gender Rate'!#REF!</definedName>
    <definedName name="Table15a" localSheetId="170">'Casualty Gender Rate'!#REF!</definedName>
    <definedName name="Table15a" localSheetId="174">'Casualty Gender Rate'!#REF!</definedName>
    <definedName name="Table15a" localSheetId="43">'[3]15 15a'!#REF!</definedName>
    <definedName name="Table15a" localSheetId="175">'Casualty Gender Rate'!#REF!</definedName>
    <definedName name="Table15a" localSheetId="176">'[4]Casualty Gender Rate'!#REF!</definedName>
    <definedName name="Table15a" localSheetId="177">'[4]Casualty Gender Rate'!#REF!</definedName>
    <definedName name="Table15a" localSheetId="178">'[4]Casualty Gender Rate'!#REF!</definedName>
    <definedName name="Table15a" localSheetId="179">'[4]Casualty Gender Rate'!#REF!</definedName>
    <definedName name="Table15a" localSheetId="180">'[4]Casualty Gender Rate'!#REF!</definedName>
    <definedName name="Table15a" localSheetId="232">'[4]Casualty Gender Rate'!#REF!</definedName>
    <definedName name="Table15a" localSheetId="181">'[4]Casualty Gender Rate'!#REF!</definedName>
    <definedName name="Table15a" localSheetId="182">'[4]Casualty Gender Rate'!#REF!</definedName>
    <definedName name="Table15a" localSheetId="183">'[4]Casualty Gender Rate'!#REF!</definedName>
    <definedName name="Table15a" localSheetId="184">'[4]Casualty Gender Rate'!#REF!</definedName>
    <definedName name="Table15a" localSheetId="185">'[4]Casualty Gender Rate'!#REF!</definedName>
    <definedName name="Table15a" localSheetId="186">'[4]Casualty Gender Rate'!#REF!</definedName>
    <definedName name="Table15a" localSheetId="187">'[4]Casualty Gender Rate'!#REF!</definedName>
    <definedName name="Table15a" localSheetId="188">'[4]Casualty Gender Rate'!#REF!</definedName>
    <definedName name="Table15a" localSheetId="189">'[4]Casualty Gender Rate'!#REF!</definedName>
    <definedName name="Table15a" localSheetId="190">'[4]Casualty Gender Rate'!#REF!</definedName>
    <definedName name="Table15a" localSheetId="191">'[4]Casualty Gender Rate'!#REF!</definedName>
    <definedName name="Table15a" localSheetId="192">'[4]Casualty Gender Rate'!#REF!</definedName>
    <definedName name="Table15a" localSheetId="251">'[4]Casualty Gender Rate'!#REF!</definedName>
    <definedName name="Table15a" localSheetId="250">'[4]Casualty Gender Rate'!#REF!</definedName>
    <definedName name="Table15a" localSheetId="252">'[4]Casualty Gender Rate'!#REF!</definedName>
    <definedName name="Table15a" localSheetId="193">'[4]Casualty Gender Rate'!#REF!</definedName>
    <definedName name="Table15a" localSheetId="194">'[4]Casualty Gender Rate'!#REF!</definedName>
    <definedName name="Table15a" localSheetId="195">'[4]Casualty Gender Rate'!#REF!</definedName>
    <definedName name="Table15a" localSheetId="196">'[4]Casualty Gender Rate'!#REF!</definedName>
    <definedName name="Table15a" localSheetId="233">'[4]Casualty Gender Rate'!#REF!</definedName>
    <definedName name="Table15a" localSheetId="197">'[4]Casualty Gender Rate'!#REF!</definedName>
    <definedName name="Table15a" localSheetId="200">'[4]Casualty Gender Rate'!#REF!</definedName>
    <definedName name="Table15a" localSheetId="198">'[4]Casualty Gender Rate'!#REF!</definedName>
    <definedName name="Table15a" localSheetId="199">'[4]Casualty Gender Rate'!#REF!</definedName>
    <definedName name="Table15a" localSheetId="201">'[4]Casualty Gender Rate'!#REF!</definedName>
    <definedName name="Table15a" localSheetId="204">'[4]Casualty Gender Rate'!#REF!</definedName>
    <definedName name="Table15a" localSheetId="205">'[4]Casualty Gender Rate'!#REF!</definedName>
    <definedName name="Table15a" localSheetId="206">'[4]Casualty Gender Rate'!#REF!</definedName>
    <definedName name="Table15a" localSheetId="207">'[4]Casualty Gender Rate'!#REF!</definedName>
    <definedName name="Table15a" localSheetId="208">'[4]Casualty Gender Rate'!#REF!</definedName>
    <definedName name="Table15a" localSheetId="209">'[4]Casualty Gender Rate'!#REF!</definedName>
    <definedName name="Table15a" localSheetId="210">'[4]Casualty Gender Rate'!#REF!</definedName>
    <definedName name="Table15a" localSheetId="211">'[4]Casualty Gender Rate'!#REF!</definedName>
    <definedName name="Table15a" localSheetId="212">'[4]Casualty Gender Rate'!#REF!</definedName>
    <definedName name="Table15a" localSheetId="213">'[4]Casualty Gender Rate'!#REF!</definedName>
    <definedName name="Table15a" localSheetId="244">'[4]Casualty Gender Rate'!#REF!</definedName>
    <definedName name="Table15a" localSheetId="214">'[4]Casualty Gender Rate'!#REF!</definedName>
    <definedName name="Table15a" localSheetId="245">'[4]Casualty Gender Rate'!#REF!</definedName>
    <definedName name="Table15a" localSheetId="215">'[4]Casualty Gender Rate'!#REF!</definedName>
    <definedName name="Table15a" localSheetId="216">'[4]Casualty Gender Rate'!#REF!</definedName>
    <definedName name="Table15a" localSheetId="217">'[4]Casualty Gender Rate'!#REF!</definedName>
    <definedName name="Table15a" localSheetId="235">'[4]Casualty Gender Rate'!#REF!</definedName>
    <definedName name="Table15a" localSheetId="202">'[4]Casualty Gender Rate'!#REF!</definedName>
    <definedName name="Table15a" localSheetId="249">'[4]Casualty Gender Rate'!#REF!</definedName>
    <definedName name="Table15a" localSheetId="218">'[4]Casualty Gender Rate'!#REF!</definedName>
    <definedName name="Table15a" localSheetId="219">'[4]Casualty Gender Rate'!#REF!</definedName>
    <definedName name="Table15a" localSheetId="220">'[4]Casualty Gender Rate'!#REF!</definedName>
    <definedName name="Table15a" localSheetId="221">'[4]Casualty Gender Rate'!#REF!</definedName>
    <definedName name="Table15a" localSheetId="222">'[4]Casualty Gender Rate'!#REF!</definedName>
    <definedName name="Table15a" localSheetId="223">'[4]Casualty Gender Rate'!#REF!</definedName>
    <definedName name="Table15a" localSheetId="224">'[4]Casualty Gender Rate'!#REF!</definedName>
    <definedName name="Table15a" localSheetId="226">'[4]Casualty Gender Rate'!#REF!</definedName>
    <definedName name="Table15a" localSheetId="225">'[4]Casualty Gender Rate'!#REF!</definedName>
    <definedName name="Table15a" localSheetId="227">'[4]Casualty Gender Rate'!#REF!</definedName>
    <definedName name="Table15a" localSheetId="228">'[4]Casualty Gender Rate'!#REF!</definedName>
    <definedName name="Table15a" localSheetId="229">'[4]Casualty Gender Rate'!#REF!</definedName>
    <definedName name="Table15a" localSheetId="230">'[4]Casualty Gender Rate'!#REF!</definedName>
    <definedName name="Table15a" localSheetId="231">'[4]Casualty Gender Rate'!#REF!</definedName>
    <definedName name="Table15a" localSheetId="248">'[4]Casualty Gender Rate'!#REF!</definedName>
    <definedName name="Table15a" localSheetId="238">'[4]Casualty Gender Rate'!#REF!</definedName>
    <definedName name="Table15a" localSheetId="203">'[4]Casualty Gender Rate'!#REF!</definedName>
    <definedName name="Table15a" localSheetId="243">'[4]Casualty Gender Rate'!#REF!</definedName>
    <definedName name="Table15a" localSheetId="241">'[4]Casualty Gender Rate'!#REF!</definedName>
    <definedName name="Table15a" localSheetId="242">'[4]Casualty Gender Rate'!#REF!</definedName>
    <definedName name="Table15a" localSheetId="240">'[4]Casualty Gender Rate'!#REF!</definedName>
    <definedName name="Table15a" localSheetId="239">'[4]Casualty Gender Rate'!#REF!</definedName>
    <definedName name="Table15a" localSheetId="234">'[4]Casualty Gender Rate'!#REF!</definedName>
    <definedName name="Table15a" localSheetId="236">'[4]Casualty Gender Rate'!#REF!</definedName>
    <definedName name="Table15a" localSheetId="246">'[4]Casualty Gender Rate'!#REF!</definedName>
    <definedName name="Table15a" localSheetId="237">'[4]Casualty Gender Rate'!#REF!</definedName>
    <definedName name="Table15a" localSheetId="247">'[4]Casualty Gender Rate'!#REF!</definedName>
    <definedName name="Table15a">'Casualty Gender Rate'!#REF!</definedName>
    <definedName name="Table15b">'Type of Injury Gender Rate'!$A$3</definedName>
    <definedName name="Table15c">'Type of Injury Gender Rate'!$A$29</definedName>
    <definedName name="Table15d">'Type of Injury Gender Rate'!$A$53</definedName>
    <definedName name="Table16" localSheetId="43">T_1616a_old!$A$3</definedName>
    <definedName name="Table16">#REF!</definedName>
    <definedName name="Table16a" localSheetId="43">T_1616a_old!#REF!</definedName>
    <definedName name="Table16a">#REF!</definedName>
    <definedName name="Table16b">'Type of Injury Age'!$A$3</definedName>
    <definedName name="Table16c">'Type of Injury Age'!$A$24</definedName>
    <definedName name="Table16d" localSheetId="169">'Type of Injury Age'!#REF!</definedName>
    <definedName name="Table16d" localSheetId="170">'Type of Injury Age'!#REF!</definedName>
    <definedName name="Table16d" localSheetId="174">'Type of Injury Age'!#REF!</definedName>
    <definedName name="Table16d" localSheetId="43">'[3]16b 16c'!#REF!</definedName>
    <definedName name="Table16d" localSheetId="175">'Type of Injury Age'!#REF!</definedName>
    <definedName name="Table16d" localSheetId="176">'[4]Type of Injury Age'!#REF!</definedName>
    <definedName name="Table16d" localSheetId="177">'[4]Type of Injury Age'!#REF!</definedName>
    <definedName name="Table16d" localSheetId="178">'[4]Type of Injury Age'!#REF!</definedName>
    <definedName name="Table16d" localSheetId="179">'[4]Type of Injury Age'!#REF!</definedName>
    <definedName name="Table16d" localSheetId="180">'[4]Type of Injury Age'!#REF!</definedName>
    <definedName name="Table16d" localSheetId="232">'[4]Type of Injury Age'!#REF!</definedName>
    <definedName name="Table16d" localSheetId="181">'[4]Type of Injury Age'!#REF!</definedName>
    <definedName name="Table16d" localSheetId="182">'[4]Type of Injury Age'!#REF!</definedName>
    <definedName name="Table16d" localSheetId="183">'[4]Type of Injury Age'!#REF!</definedName>
    <definedName name="Table16d" localSheetId="184">'[4]Type of Injury Age'!#REF!</definedName>
    <definedName name="Table16d" localSheetId="185">'[4]Type of Injury Age'!#REF!</definedName>
    <definedName name="Table16d" localSheetId="186">'[4]Type of Injury Age'!#REF!</definedName>
    <definedName name="Table16d" localSheetId="187">'[4]Type of Injury Age'!#REF!</definedName>
    <definedName name="Table16d" localSheetId="188">'[4]Type of Injury Age'!#REF!</definedName>
    <definedName name="Table16d" localSheetId="189">'[4]Type of Injury Age'!#REF!</definedName>
    <definedName name="Table16d" localSheetId="190">'[4]Type of Injury Age'!#REF!</definedName>
    <definedName name="Table16d" localSheetId="191">'[4]Type of Injury Age'!#REF!</definedName>
    <definedName name="Table16d" localSheetId="192">'[4]Type of Injury Age'!#REF!</definedName>
    <definedName name="Table16d" localSheetId="251">'[4]Type of Injury Age'!#REF!</definedName>
    <definedName name="Table16d" localSheetId="250">'[4]Type of Injury Age'!#REF!</definedName>
    <definedName name="Table16d" localSheetId="252">'[4]Type of Injury Age'!#REF!</definedName>
    <definedName name="Table16d" localSheetId="193">'[4]Type of Injury Age'!#REF!</definedName>
    <definedName name="Table16d" localSheetId="194">'[4]Type of Injury Age'!#REF!</definedName>
    <definedName name="Table16d" localSheetId="195">'[4]Type of Injury Age'!#REF!</definedName>
    <definedName name="Table16d" localSheetId="196">'[4]Type of Injury Age'!#REF!</definedName>
    <definedName name="Table16d" localSheetId="233">'[4]Type of Injury Age'!#REF!</definedName>
    <definedName name="Table16d" localSheetId="197">'[4]Type of Injury Age'!#REF!</definedName>
    <definedName name="Table16d" localSheetId="200">'[4]Type of Injury Age'!#REF!</definedName>
    <definedName name="Table16d" localSheetId="198">'[4]Type of Injury Age'!#REF!</definedName>
    <definedName name="Table16d" localSheetId="199">'[4]Type of Injury Age'!#REF!</definedName>
    <definedName name="Table16d" localSheetId="201">'[4]Type of Injury Age'!#REF!</definedName>
    <definedName name="Table16d" localSheetId="204">'[4]Type of Injury Age'!#REF!</definedName>
    <definedName name="Table16d" localSheetId="205">'[4]Type of Injury Age'!#REF!</definedName>
    <definedName name="Table16d" localSheetId="206">'[4]Type of Injury Age'!#REF!</definedName>
    <definedName name="Table16d" localSheetId="207">'[4]Type of Injury Age'!#REF!</definedName>
    <definedName name="Table16d" localSheetId="208">'[4]Type of Injury Age'!#REF!</definedName>
    <definedName name="Table16d" localSheetId="209">'[4]Type of Injury Age'!#REF!</definedName>
    <definedName name="Table16d" localSheetId="210">'[4]Type of Injury Age'!#REF!</definedName>
    <definedName name="Table16d" localSheetId="211">'[4]Type of Injury Age'!#REF!</definedName>
    <definedName name="Table16d" localSheetId="212">'[4]Type of Injury Age'!#REF!</definedName>
    <definedName name="Table16d" localSheetId="213">'[4]Type of Injury Age'!#REF!</definedName>
    <definedName name="Table16d" localSheetId="244">'[4]Type of Injury Age'!#REF!</definedName>
    <definedName name="Table16d" localSheetId="214">'[4]Type of Injury Age'!#REF!</definedName>
    <definedName name="Table16d" localSheetId="245">'[4]Type of Injury Age'!#REF!</definedName>
    <definedName name="Table16d" localSheetId="215">'[4]Type of Injury Age'!#REF!</definedName>
    <definedName name="Table16d" localSheetId="216">'[4]Type of Injury Age'!#REF!</definedName>
    <definedName name="Table16d" localSheetId="217">'[4]Type of Injury Age'!#REF!</definedName>
    <definedName name="Table16d" localSheetId="235">'[4]Type of Injury Age'!#REF!</definedName>
    <definedName name="Table16d" localSheetId="202">'[4]Type of Injury Age'!#REF!</definedName>
    <definedName name="Table16d" localSheetId="249">'[4]Type of Injury Age'!#REF!</definedName>
    <definedName name="Table16d" localSheetId="218">'[4]Type of Injury Age'!#REF!</definedName>
    <definedName name="Table16d" localSheetId="219">'[4]Type of Injury Age'!#REF!</definedName>
    <definedName name="Table16d" localSheetId="220">'[4]Type of Injury Age'!#REF!</definedName>
    <definedName name="Table16d" localSheetId="221">'[4]Type of Injury Age'!#REF!</definedName>
    <definedName name="Table16d" localSheetId="222">'[4]Type of Injury Age'!#REF!</definedName>
    <definedName name="Table16d" localSheetId="223">'[4]Type of Injury Age'!#REF!</definedName>
    <definedName name="Table16d" localSheetId="224">'[4]Type of Injury Age'!#REF!</definedName>
    <definedName name="Table16d" localSheetId="226">'[4]Type of Injury Age'!#REF!</definedName>
    <definedName name="Table16d" localSheetId="225">'[4]Type of Injury Age'!#REF!</definedName>
    <definedName name="Table16d" localSheetId="227">'[4]Type of Injury Age'!#REF!</definedName>
    <definedName name="Table16d" localSheetId="228">'[4]Type of Injury Age'!#REF!</definedName>
    <definedName name="Table16d" localSheetId="229">'[4]Type of Injury Age'!#REF!</definedName>
    <definedName name="Table16d" localSheetId="230">'[4]Type of Injury Age'!#REF!</definedName>
    <definedName name="Table16d" localSheetId="231">'[4]Type of Injury Age'!#REF!</definedName>
    <definedName name="Table16d" localSheetId="248">'[4]Type of Injury Age'!#REF!</definedName>
    <definedName name="Table16d" localSheetId="238">'[4]Type of Injury Age'!#REF!</definedName>
    <definedName name="Table16d" localSheetId="203">'[4]Type of Injury Age'!#REF!</definedName>
    <definedName name="Table16d" localSheetId="243">'[4]Type of Injury Age'!#REF!</definedName>
    <definedName name="Table16d" localSheetId="241">'[4]Type of Injury Age'!#REF!</definedName>
    <definedName name="Table16d" localSheetId="242">'[4]Type of Injury Age'!#REF!</definedName>
    <definedName name="Table16d" localSheetId="240">'[4]Type of Injury Age'!#REF!</definedName>
    <definedName name="Table16d" localSheetId="239">'[4]Type of Injury Age'!#REF!</definedName>
    <definedName name="Table16d" localSheetId="234">'[4]Type of Injury Age'!#REF!</definedName>
    <definedName name="Table16d" localSheetId="236">'[4]Type of Injury Age'!#REF!</definedName>
    <definedName name="Table16d" localSheetId="246">'[4]Type of Injury Age'!#REF!</definedName>
    <definedName name="Table16d" localSheetId="237">'[4]Type of Injury Age'!#REF!</definedName>
    <definedName name="Table16d" localSheetId="247">'[4]Type of Injury Age'!#REF!</definedName>
    <definedName name="Table16d">'Type of Injury Age'!#REF!</definedName>
    <definedName name="Table17">#REF!</definedName>
    <definedName name="Table17a" localSheetId="43">'[3]17 17a'!#REF!</definedName>
    <definedName name="Table17a" localSheetId="175">#REF!</definedName>
    <definedName name="Table17a" localSheetId="176">#REF!</definedName>
    <definedName name="Table17a" localSheetId="177">#REF!</definedName>
    <definedName name="Table17a" localSheetId="178">#REF!</definedName>
    <definedName name="Table17a" localSheetId="179">#REF!</definedName>
    <definedName name="Table17a" localSheetId="180">#REF!</definedName>
    <definedName name="Table17a" localSheetId="232">#REF!</definedName>
    <definedName name="Table17a" localSheetId="181">#REF!</definedName>
    <definedName name="Table17a" localSheetId="182">#REF!</definedName>
    <definedName name="Table17a" localSheetId="183">#REF!</definedName>
    <definedName name="Table17a" localSheetId="184">#REF!</definedName>
    <definedName name="Table17a" localSheetId="185">#REF!</definedName>
    <definedName name="Table17a" localSheetId="186">#REF!</definedName>
    <definedName name="Table17a" localSheetId="187">#REF!</definedName>
    <definedName name="Table17a" localSheetId="188">#REF!</definedName>
    <definedName name="Table17a" localSheetId="189">#REF!</definedName>
    <definedName name="Table17a" localSheetId="190">#REF!</definedName>
    <definedName name="Table17a" localSheetId="191">#REF!</definedName>
    <definedName name="Table17a" localSheetId="192">#REF!</definedName>
    <definedName name="Table17a" localSheetId="251">#REF!</definedName>
    <definedName name="Table17a" localSheetId="250">#REF!</definedName>
    <definedName name="Table17a" localSheetId="252">#REF!</definedName>
    <definedName name="Table17a" localSheetId="193">#REF!</definedName>
    <definedName name="Table17a" localSheetId="194">#REF!</definedName>
    <definedName name="Table17a" localSheetId="195">#REF!</definedName>
    <definedName name="Table17a" localSheetId="196">#REF!</definedName>
    <definedName name="Table17a" localSheetId="233">#REF!</definedName>
    <definedName name="Table17a" localSheetId="197">#REF!</definedName>
    <definedName name="Table17a" localSheetId="200">#REF!</definedName>
    <definedName name="Table17a" localSheetId="198">#REF!</definedName>
    <definedName name="Table17a" localSheetId="199">#REF!</definedName>
    <definedName name="Table17a" localSheetId="201">#REF!</definedName>
    <definedName name="Table17a" localSheetId="204">#REF!</definedName>
    <definedName name="Table17a" localSheetId="205">#REF!</definedName>
    <definedName name="Table17a" localSheetId="206">#REF!</definedName>
    <definedName name="Table17a" localSheetId="207">#REF!</definedName>
    <definedName name="Table17a" localSheetId="208">#REF!</definedName>
    <definedName name="Table17a" localSheetId="209">#REF!</definedName>
    <definedName name="Table17a" localSheetId="210">#REF!</definedName>
    <definedName name="Table17a" localSheetId="211">#REF!</definedName>
    <definedName name="Table17a" localSheetId="212">#REF!</definedName>
    <definedName name="Table17a" localSheetId="213">#REF!</definedName>
    <definedName name="Table17a" localSheetId="244">#REF!</definedName>
    <definedName name="Table17a" localSheetId="214">#REF!</definedName>
    <definedName name="Table17a" localSheetId="245">#REF!</definedName>
    <definedName name="Table17a" localSheetId="215">#REF!</definedName>
    <definedName name="Table17a" localSheetId="216">#REF!</definedName>
    <definedName name="Table17a" localSheetId="217">#REF!</definedName>
    <definedName name="Table17a" localSheetId="235">#REF!</definedName>
    <definedName name="Table17a" localSheetId="202">#REF!</definedName>
    <definedName name="Table17a" localSheetId="249">#REF!</definedName>
    <definedName name="Table17a" localSheetId="218">#REF!</definedName>
    <definedName name="Table17a" localSheetId="219">#REF!</definedName>
    <definedName name="Table17a" localSheetId="220">#REF!</definedName>
    <definedName name="Table17a" localSheetId="221">#REF!</definedName>
    <definedName name="Table17a" localSheetId="222">#REF!</definedName>
    <definedName name="Table17a" localSheetId="223">#REF!</definedName>
    <definedName name="Table17a" localSheetId="224">#REF!</definedName>
    <definedName name="Table17a" localSheetId="226">#REF!</definedName>
    <definedName name="Table17a" localSheetId="225">#REF!</definedName>
    <definedName name="Table17a" localSheetId="227">#REF!</definedName>
    <definedName name="Table17a" localSheetId="228">#REF!</definedName>
    <definedName name="Table17a" localSheetId="229">#REF!</definedName>
    <definedName name="Table17a" localSheetId="230">#REF!</definedName>
    <definedName name="Table17a" localSheetId="231">#REF!</definedName>
    <definedName name="Table17a" localSheetId="248">#REF!</definedName>
    <definedName name="Table17a" localSheetId="238">#REF!</definedName>
    <definedName name="Table17a" localSheetId="203">#REF!</definedName>
    <definedName name="Table17a" localSheetId="243">#REF!</definedName>
    <definedName name="Table17a" localSheetId="241">#REF!</definedName>
    <definedName name="Table17a" localSheetId="242">#REF!</definedName>
    <definedName name="Table17a" localSheetId="240">#REF!</definedName>
    <definedName name="Table17a" localSheetId="239">#REF!</definedName>
    <definedName name="Table17a" localSheetId="234">#REF!</definedName>
    <definedName name="Table17a" localSheetId="236">#REF!</definedName>
    <definedName name="Table17a" localSheetId="246">#REF!</definedName>
    <definedName name="Table17a" localSheetId="237">#REF!</definedName>
    <definedName name="Table17a" localSheetId="247">#REF!</definedName>
    <definedName name="Table17a">#REF!</definedName>
    <definedName name="Table17b">'Type of Injury Age Rate'!$A$3</definedName>
    <definedName name="Table17c">'Type of Injury Age Rate'!$A$29</definedName>
    <definedName name="Table17d" localSheetId="169">'Type of Injury Age Rate'!#REF!</definedName>
    <definedName name="Table17d" localSheetId="170">'Type of Injury Age Rate'!#REF!</definedName>
    <definedName name="Table17d" localSheetId="174">'Type of Injury Age Rate'!#REF!</definedName>
    <definedName name="Table17d" localSheetId="43">'[3]17b 17c'!#REF!</definedName>
    <definedName name="Table17d" localSheetId="175">'Type of Injury Age Rate'!#REF!</definedName>
    <definedName name="Table17d" localSheetId="176">'[4]Type of Injury Age Rate'!#REF!</definedName>
    <definedName name="Table17d" localSheetId="177">'[4]Type of Injury Age Rate'!#REF!</definedName>
    <definedName name="Table17d" localSheetId="178">'[4]Type of Injury Age Rate'!#REF!</definedName>
    <definedName name="Table17d" localSheetId="179">'[4]Type of Injury Age Rate'!#REF!</definedName>
    <definedName name="Table17d" localSheetId="180">'[4]Type of Injury Age Rate'!#REF!</definedName>
    <definedName name="Table17d" localSheetId="232">'[4]Type of Injury Age Rate'!#REF!</definedName>
    <definedName name="Table17d" localSheetId="181">'[4]Type of Injury Age Rate'!#REF!</definedName>
    <definedName name="Table17d" localSheetId="182">'[4]Type of Injury Age Rate'!#REF!</definedName>
    <definedName name="Table17d" localSheetId="183">'[4]Type of Injury Age Rate'!#REF!</definedName>
    <definedName name="Table17d" localSheetId="184">'[4]Type of Injury Age Rate'!#REF!</definedName>
    <definedName name="Table17d" localSheetId="185">'[4]Type of Injury Age Rate'!#REF!</definedName>
    <definedName name="Table17d" localSheetId="186">'[4]Type of Injury Age Rate'!#REF!</definedName>
    <definedName name="Table17d" localSheetId="187">'[4]Type of Injury Age Rate'!#REF!</definedName>
    <definedName name="Table17d" localSheetId="188">'[4]Type of Injury Age Rate'!#REF!</definedName>
    <definedName name="Table17d" localSheetId="189">'[4]Type of Injury Age Rate'!#REF!</definedName>
    <definedName name="Table17d" localSheetId="190">'[4]Type of Injury Age Rate'!#REF!</definedName>
    <definedName name="Table17d" localSheetId="191">'[4]Type of Injury Age Rate'!#REF!</definedName>
    <definedName name="Table17d" localSheetId="192">'[4]Type of Injury Age Rate'!#REF!</definedName>
    <definedName name="Table17d" localSheetId="251">'[4]Type of Injury Age Rate'!#REF!</definedName>
    <definedName name="Table17d" localSheetId="250">'[4]Type of Injury Age Rate'!#REF!</definedName>
    <definedName name="Table17d" localSheetId="252">'[4]Type of Injury Age Rate'!#REF!</definedName>
    <definedName name="Table17d" localSheetId="193">'[4]Type of Injury Age Rate'!#REF!</definedName>
    <definedName name="Table17d" localSheetId="194">'[4]Type of Injury Age Rate'!#REF!</definedName>
    <definedName name="Table17d" localSheetId="195">'[4]Type of Injury Age Rate'!#REF!</definedName>
    <definedName name="Table17d" localSheetId="196">'[4]Type of Injury Age Rate'!#REF!</definedName>
    <definedName name="Table17d" localSheetId="233">'[4]Type of Injury Age Rate'!#REF!</definedName>
    <definedName name="Table17d" localSheetId="197">'[4]Type of Injury Age Rate'!#REF!</definedName>
    <definedName name="Table17d" localSheetId="200">'[4]Type of Injury Age Rate'!#REF!</definedName>
    <definedName name="Table17d" localSheetId="198">'[4]Type of Injury Age Rate'!#REF!</definedName>
    <definedName name="Table17d" localSheetId="199">'[4]Type of Injury Age Rate'!#REF!</definedName>
    <definedName name="Table17d" localSheetId="201">'[4]Type of Injury Age Rate'!#REF!</definedName>
    <definedName name="Table17d" localSheetId="204">'[4]Type of Injury Age Rate'!#REF!</definedName>
    <definedName name="Table17d" localSheetId="205">'[4]Type of Injury Age Rate'!#REF!</definedName>
    <definedName name="Table17d" localSheetId="206">'[4]Type of Injury Age Rate'!#REF!</definedName>
    <definedName name="Table17d" localSheetId="207">'[4]Type of Injury Age Rate'!#REF!</definedName>
    <definedName name="Table17d" localSheetId="208">'[4]Type of Injury Age Rate'!#REF!</definedName>
    <definedName name="Table17d" localSheetId="209">'[4]Type of Injury Age Rate'!#REF!</definedName>
    <definedName name="Table17d" localSheetId="210">'[4]Type of Injury Age Rate'!#REF!</definedName>
    <definedName name="Table17d" localSheetId="211">'[4]Type of Injury Age Rate'!#REF!</definedName>
    <definedName name="Table17d" localSheetId="212">'[4]Type of Injury Age Rate'!#REF!</definedName>
    <definedName name="Table17d" localSheetId="213">'[4]Type of Injury Age Rate'!#REF!</definedName>
    <definedName name="Table17d" localSheetId="244">'[4]Type of Injury Age Rate'!#REF!</definedName>
    <definedName name="Table17d" localSheetId="214">'[4]Type of Injury Age Rate'!#REF!</definedName>
    <definedName name="Table17d" localSheetId="245">'[4]Type of Injury Age Rate'!#REF!</definedName>
    <definedName name="Table17d" localSheetId="215">'[4]Type of Injury Age Rate'!#REF!</definedName>
    <definedName name="Table17d" localSheetId="216">'[4]Type of Injury Age Rate'!#REF!</definedName>
    <definedName name="Table17d" localSheetId="217">'[4]Type of Injury Age Rate'!#REF!</definedName>
    <definedName name="Table17d" localSheetId="235">'[4]Type of Injury Age Rate'!#REF!</definedName>
    <definedName name="Table17d" localSheetId="202">'[4]Type of Injury Age Rate'!#REF!</definedName>
    <definedName name="Table17d" localSheetId="249">'[4]Type of Injury Age Rate'!#REF!</definedName>
    <definedName name="Table17d" localSheetId="218">'[4]Type of Injury Age Rate'!#REF!</definedName>
    <definedName name="Table17d" localSheetId="219">'[4]Type of Injury Age Rate'!#REF!</definedName>
    <definedName name="Table17d" localSheetId="220">'[4]Type of Injury Age Rate'!#REF!</definedName>
    <definedName name="Table17d" localSheetId="221">'[4]Type of Injury Age Rate'!#REF!</definedName>
    <definedName name="Table17d" localSheetId="222">'[4]Type of Injury Age Rate'!#REF!</definedName>
    <definedName name="Table17d" localSheetId="223">'[4]Type of Injury Age Rate'!#REF!</definedName>
    <definedName name="Table17d" localSheetId="224">'[4]Type of Injury Age Rate'!#REF!</definedName>
    <definedName name="Table17d" localSheetId="226">'[4]Type of Injury Age Rate'!#REF!</definedName>
    <definedName name="Table17d" localSheetId="225">'[4]Type of Injury Age Rate'!#REF!</definedName>
    <definedName name="Table17d" localSheetId="227">'[4]Type of Injury Age Rate'!#REF!</definedName>
    <definedName name="Table17d" localSheetId="228">'[4]Type of Injury Age Rate'!#REF!</definedName>
    <definedName name="Table17d" localSheetId="229">'[4]Type of Injury Age Rate'!#REF!</definedName>
    <definedName name="Table17d" localSheetId="230">'[4]Type of Injury Age Rate'!#REF!</definedName>
    <definedName name="Table17d" localSheetId="231">'[4]Type of Injury Age Rate'!#REF!</definedName>
    <definedName name="Table17d" localSheetId="248">'[4]Type of Injury Age Rate'!#REF!</definedName>
    <definedName name="Table17d" localSheetId="238">'[4]Type of Injury Age Rate'!#REF!</definedName>
    <definedName name="Table17d" localSheetId="203">'[4]Type of Injury Age Rate'!#REF!</definedName>
    <definedName name="Table17d" localSheetId="243">'[4]Type of Injury Age Rate'!#REF!</definedName>
    <definedName name="Table17d" localSheetId="241">'[4]Type of Injury Age Rate'!#REF!</definedName>
    <definedName name="Table17d" localSheetId="242">'[4]Type of Injury Age Rate'!#REF!</definedName>
    <definedName name="Table17d" localSheetId="240">'[4]Type of Injury Age Rate'!#REF!</definedName>
    <definedName name="Table17d" localSheetId="239">'[4]Type of Injury Age Rate'!#REF!</definedName>
    <definedName name="Table17d" localSheetId="234">'[4]Type of Injury Age Rate'!#REF!</definedName>
    <definedName name="Table17d" localSheetId="236">'[4]Type of Injury Age Rate'!#REF!</definedName>
    <definedName name="Table17d" localSheetId="246">'[4]Type of Injury Age Rate'!#REF!</definedName>
    <definedName name="Table17d" localSheetId="237">'[4]Type of Injury Age Rate'!#REF!</definedName>
    <definedName name="Table17d" localSheetId="247">'[4]Type of Injury Age Rate'!#REF!</definedName>
    <definedName name="Table17d">'Type of Injury Age Rate'!#REF!</definedName>
    <definedName name="Table18">Rescues!$A$3</definedName>
    <definedName name="Table18a">Rescues!$A$24</definedName>
    <definedName name="Table18b">Rescues!$A$44</definedName>
    <definedName name="Table19">'Smoke Alarms'!$A$3</definedName>
    <definedName name="Table19a">'Smoke Alarms LA'!$A$3</definedName>
    <definedName name="Table19b">'Alarms Non-op Reason'!$A$3</definedName>
    <definedName name="Table1a">Fires!$A$35</definedName>
    <definedName name="Table1b" localSheetId="13">Fires!$A$81</definedName>
    <definedName name="Table2">'Casualties Fire'!$A$3</definedName>
    <definedName name="Table20">'ADF Source'!$A$3</definedName>
    <definedName name="Table21">'ADF AlcoholDrugs'!$A$3</definedName>
    <definedName name="Table21a" localSheetId="169">'ADF AlcoholDrugs'!#REF!</definedName>
    <definedName name="Table21a" localSheetId="170">'ADF AlcoholDrugs'!#REF!</definedName>
    <definedName name="Table21a" localSheetId="174">'ADF AlcoholDrugs'!#REF!</definedName>
    <definedName name="Table21a" localSheetId="43">'[3]21'!#REF!</definedName>
    <definedName name="Table21a" localSheetId="175">'ADF AlcoholDrugs'!#REF!</definedName>
    <definedName name="Table21a" localSheetId="176">'[4]ADF AlcoholDrugs'!#REF!</definedName>
    <definedName name="Table21a" localSheetId="177">'[4]ADF AlcoholDrugs'!#REF!</definedName>
    <definedName name="Table21a" localSheetId="178">'[4]ADF AlcoholDrugs'!#REF!</definedName>
    <definedName name="Table21a" localSheetId="179">'[4]ADF AlcoholDrugs'!#REF!</definedName>
    <definedName name="Table21a" localSheetId="180">'[4]ADF AlcoholDrugs'!#REF!</definedName>
    <definedName name="Table21a" localSheetId="232">'[4]ADF AlcoholDrugs'!#REF!</definedName>
    <definedName name="Table21a" localSheetId="181">'[4]ADF AlcoholDrugs'!#REF!</definedName>
    <definedName name="Table21a" localSheetId="182">'[4]ADF AlcoholDrugs'!#REF!</definedName>
    <definedName name="Table21a" localSheetId="183">'[4]ADF AlcoholDrugs'!#REF!</definedName>
    <definedName name="Table21a" localSheetId="184">'[4]ADF AlcoholDrugs'!#REF!</definedName>
    <definedName name="Table21a" localSheetId="185">'[4]ADF AlcoholDrugs'!#REF!</definedName>
    <definedName name="Table21a" localSheetId="186">'[4]ADF AlcoholDrugs'!#REF!</definedName>
    <definedName name="Table21a" localSheetId="187">'[4]ADF AlcoholDrugs'!#REF!</definedName>
    <definedName name="Table21a" localSheetId="188">'[4]ADF AlcoholDrugs'!#REF!</definedName>
    <definedName name="Table21a" localSheetId="189">'[4]ADF AlcoholDrugs'!#REF!</definedName>
    <definedName name="Table21a" localSheetId="190">'[4]ADF AlcoholDrugs'!#REF!</definedName>
    <definedName name="Table21a" localSheetId="191">'[4]ADF AlcoholDrugs'!#REF!</definedName>
    <definedName name="Table21a" localSheetId="192">'[4]ADF AlcoholDrugs'!#REF!</definedName>
    <definedName name="Table21a" localSheetId="251">'[4]ADF AlcoholDrugs'!#REF!</definedName>
    <definedName name="Table21a" localSheetId="250">'[4]ADF AlcoholDrugs'!#REF!</definedName>
    <definedName name="Table21a" localSheetId="252">'[4]ADF AlcoholDrugs'!#REF!</definedName>
    <definedName name="Table21a" localSheetId="193">'[4]ADF AlcoholDrugs'!#REF!</definedName>
    <definedName name="Table21a" localSheetId="194">'[4]ADF AlcoholDrugs'!#REF!</definedName>
    <definedName name="Table21a" localSheetId="195">'[4]ADF AlcoholDrugs'!#REF!</definedName>
    <definedName name="Table21a" localSheetId="196">'[4]ADF AlcoholDrugs'!#REF!</definedName>
    <definedName name="Table21a" localSheetId="233">'[4]ADF AlcoholDrugs'!#REF!</definedName>
    <definedName name="Table21a" localSheetId="197">'[4]ADF AlcoholDrugs'!#REF!</definedName>
    <definedName name="Table21a" localSheetId="200">'[4]ADF AlcoholDrugs'!#REF!</definedName>
    <definedName name="Table21a" localSheetId="198">'[4]ADF AlcoholDrugs'!#REF!</definedName>
    <definedName name="Table21a" localSheetId="199">'[4]ADF AlcoholDrugs'!#REF!</definedName>
    <definedName name="Table21a" localSheetId="201">'[4]ADF AlcoholDrugs'!#REF!</definedName>
    <definedName name="Table21a" localSheetId="204">'[4]ADF AlcoholDrugs'!#REF!</definedName>
    <definedName name="Table21a" localSheetId="205">'[4]ADF AlcoholDrugs'!#REF!</definedName>
    <definedName name="Table21a" localSheetId="206">'[4]ADF AlcoholDrugs'!#REF!</definedName>
    <definedName name="Table21a" localSheetId="207">'[4]ADF AlcoholDrugs'!#REF!</definedName>
    <definedName name="Table21a" localSheetId="208">'[4]ADF AlcoholDrugs'!#REF!</definedName>
    <definedName name="Table21a" localSheetId="209">'[4]ADF AlcoholDrugs'!#REF!</definedName>
    <definedName name="Table21a" localSheetId="210">'[4]ADF AlcoholDrugs'!#REF!</definedName>
    <definedName name="Table21a" localSheetId="211">'[4]ADF AlcoholDrugs'!#REF!</definedName>
    <definedName name="Table21a" localSheetId="212">'[4]ADF AlcoholDrugs'!#REF!</definedName>
    <definedName name="Table21a" localSheetId="213">'[4]ADF AlcoholDrugs'!#REF!</definedName>
    <definedName name="Table21a" localSheetId="244">'[4]ADF AlcoholDrugs'!#REF!</definedName>
    <definedName name="Table21a" localSheetId="214">'[4]ADF AlcoholDrugs'!#REF!</definedName>
    <definedName name="Table21a" localSheetId="245">'[4]ADF AlcoholDrugs'!#REF!</definedName>
    <definedName name="Table21a" localSheetId="215">'[4]ADF AlcoholDrugs'!#REF!</definedName>
    <definedName name="Table21a" localSheetId="216">'[4]ADF AlcoholDrugs'!#REF!</definedName>
    <definedName name="Table21a" localSheetId="217">'[4]ADF AlcoholDrugs'!#REF!</definedName>
    <definedName name="Table21a" localSheetId="235">'[4]ADF AlcoholDrugs'!#REF!</definedName>
    <definedName name="Table21a" localSheetId="202">'[4]ADF AlcoholDrugs'!#REF!</definedName>
    <definedName name="Table21a" localSheetId="249">'[4]ADF AlcoholDrugs'!#REF!</definedName>
    <definedName name="Table21a" localSheetId="218">'[4]ADF AlcoholDrugs'!#REF!</definedName>
    <definedName name="Table21a" localSheetId="219">'[4]ADF AlcoholDrugs'!#REF!</definedName>
    <definedName name="Table21a" localSheetId="220">'[4]ADF AlcoholDrugs'!#REF!</definedName>
    <definedName name="Table21a" localSheetId="221">'[4]ADF AlcoholDrugs'!#REF!</definedName>
    <definedName name="Table21a" localSheetId="222">'[4]ADF AlcoholDrugs'!#REF!</definedName>
    <definedName name="Table21a" localSheetId="223">'[4]ADF AlcoholDrugs'!#REF!</definedName>
    <definedName name="Table21a" localSheetId="224">'[4]ADF AlcoholDrugs'!#REF!</definedName>
    <definedName name="Table21a" localSheetId="226">'[4]ADF AlcoholDrugs'!#REF!</definedName>
    <definedName name="Table21a" localSheetId="225">'[4]ADF AlcoholDrugs'!#REF!</definedName>
    <definedName name="Table21a" localSheetId="227">'[4]ADF AlcoholDrugs'!#REF!</definedName>
    <definedName name="Table21a" localSheetId="228">'[4]ADF AlcoholDrugs'!#REF!</definedName>
    <definedName name="Table21a" localSheetId="229">'[4]ADF AlcoholDrugs'!#REF!</definedName>
    <definedName name="Table21a" localSheetId="230">'[4]ADF AlcoholDrugs'!#REF!</definedName>
    <definedName name="Table21a" localSheetId="231">'[4]ADF AlcoholDrugs'!#REF!</definedName>
    <definedName name="Table21a" localSheetId="248">'[4]ADF AlcoholDrugs'!#REF!</definedName>
    <definedName name="Table21a" localSheetId="238">'[4]ADF AlcoholDrugs'!#REF!</definedName>
    <definedName name="Table21a" localSheetId="203">'[4]ADF AlcoholDrugs'!#REF!</definedName>
    <definedName name="Table21a" localSheetId="243">'[4]ADF AlcoholDrugs'!#REF!</definedName>
    <definedName name="Table21a" localSheetId="241">'[4]ADF AlcoholDrugs'!#REF!</definedName>
    <definedName name="Table21a" localSheetId="242">'[4]ADF AlcoholDrugs'!#REF!</definedName>
    <definedName name="Table21a" localSheetId="240">'[4]ADF AlcoholDrugs'!#REF!</definedName>
    <definedName name="Table21a" localSheetId="239">'[4]ADF AlcoholDrugs'!#REF!</definedName>
    <definedName name="Table21a" localSheetId="234">'[4]ADF AlcoholDrugs'!#REF!</definedName>
    <definedName name="Table21a" localSheetId="236">'[4]ADF AlcoholDrugs'!#REF!</definedName>
    <definedName name="Table21a" localSheetId="246">'[4]ADF AlcoholDrugs'!#REF!</definedName>
    <definedName name="Table21a" localSheetId="237">'[4]ADF AlcoholDrugs'!#REF!</definedName>
    <definedName name="Table21a" localSheetId="247">'[4]ADF AlcoholDrugs'!#REF!</definedName>
    <definedName name="Table21a">'ADF AlcoholDrugs'!#REF!</definedName>
    <definedName name="Table21b">'ADF Casualty AlcoholDrugs'!$A$3</definedName>
    <definedName name="Table21c" localSheetId="169">'ADF Casualty AlcoholDrugs'!#REF!</definedName>
    <definedName name="Table21c" localSheetId="170">'ADF Casualty AlcoholDrugs'!#REF!</definedName>
    <definedName name="Table21c" localSheetId="174">'ADF Casualty AlcoholDrugs'!#REF!</definedName>
    <definedName name="Table21c" localSheetId="43">'[3]21b 21c'!#REF!</definedName>
    <definedName name="Table21c" localSheetId="175">'ADF Casualty AlcoholDrugs'!#REF!</definedName>
    <definedName name="Table21c" localSheetId="176">'[4]ADF Casualty AlcoholDrugs'!#REF!</definedName>
    <definedName name="Table21c" localSheetId="177">'[4]ADF Casualty AlcoholDrugs'!#REF!</definedName>
    <definedName name="Table21c" localSheetId="178">'[4]ADF Casualty AlcoholDrugs'!#REF!</definedName>
    <definedName name="Table21c" localSheetId="179">'[4]ADF Casualty AlcoholDrugs'!#REF!</definedName>
    <definedName name="Table21c" localSheetId="180">'[4]ADF Casualty AlcoholDrugs'!#REF!</definedName>
    <definedName name="Table21c" localSheetId="232">'[4]ADF Casualty AlcoholDrugs'!#REF!</definedName>
    <definedName name="Table21c" localSheetId="181">'[4]ADF Casualty AlcoholDrugs'!#REF!</definedName>
    <definedName name="Table21c" localSheetId="182">'[4]ADF Casualty AlcoholDrugs'!#REF!</definedName>
    <definedName name="Table21c" localSheetId="183">'[4]ADF Casualty AlcoholDrugs'!#REF!</definedName>
    <definedName name="Table21c" localSheetId="184">'[4]ADF Casualty AlcoholDrugs'!#REF!</definedName>
    <definedName name="Table21c" localSheetId="185">'[4]ADF Casualty AlcoholDrugs'!#REF!</definedName>
    <definedName name="Table21c" localSheetId="186">'[4]ADF Casualty AlcoholDrugs'!#REF!</definedName>
    <definedName name="Table21c" localSheetId="187">'[4]ADF Casualty AlcoholDrugs'!#REF!</definedName>
    <definedName name="Table21c" localSheetId="188">'[4]ADF Casualty AlcoholDrugs'!#REF!</definedName>
    <definedName name="Table21c" localSheetId="189">'[4]ADF Casualty AlcoholDrugs'!#REF!</definedName>
    <definedName name="Table21c" localSheetId="190">'[4]ADF Casualty AlcoholDrugs'!#REF!</definedName>
    <definedName name="Table21c" localSheetId="191">'[4]ADF Casualty AlcoholDrugs'!#REF!</definedName>
    <definedName name="Table21c" localSheetId="192">'[4]ADF Casualty AlcoholDrugs'!#REF!</definedName>
    <definedName name="Table21c" localSheetId="251">'[4]ADF Casualty AlcoholDrugs'!#REF!</definedName>
    <definedName name="Table21c" localSheetId="250">'[4]ADF Casualty AlcoholDrugs'!#REF!</definedName>
    <definedName name="Table21c" localSheetId="252">'[4]ADF Casualty AlcoholDrugs'!#REF!</definedName>
    <definedName name="Table21c" localSheetId="193">'[4]ADF Casualty AlcoholDrugs'!#REF!</definedName>
    <definedName name="Table21c" localSheetId="194">'[4]ADF Casualty AlcoholDrugs'!#REF!</definedName>
    <definedName name="Table21c" localSheetId="195">'[4]ADF Casualty AlcoholDrugs'!#REF!</definedName>
    <definedName name="Table21c" localSheetId="196">'[4]ADF Casualty AlcoholDrugs'!#REF!</definedName>
    <definedName name="Table21c" localSheetId="233">'[4]ADF Casualty AlcoholDrugs'!#REF!</definedName>
    <definedName name="Table21c" localSheetId="197">'[4]ADF Casualty AlcoholDrugs'!#REF!</definedName>
    <definedName name="Table21c" localSheetId="200">'[4]ADF Casualty AlcoholDrugs'!#REF!</definedName>
    <definedName name="Table21c" localSheetId="198">'[4]ADF Casualty AlcoholDrugs'!#REF!</definedName>
    <definedName name="Table21c" localSheetId="199">'[4]ADF Casualty AlcoholDrugs'!#REF!</definedName>
    <definedName name="Table21c" localSheetId="201">'[4]ADF Casualty AlcoholDrugs'!#REF!</definedName>
    <definedName name="Table21c" localSheetId="204">'[4]ADF Casualty AlcoholDrugs'!#REF!</definedName>
    <definedName name="Table21c" localSheetId="205">'[4]ADF Casualty AlcoholDrugs'!#REF!</definedName>
    <definedName name="Table21c" localSheetId="206">'[4]ADF Casualty AlcoholDrugs'!#REF!</definedName>
    <definedName name="Table21c" localSheetId="207">'[4]ADF Casualty AlcoholDrugs'!#REF!</definedName>
    <definedName name="Table21c" localSheetId="208">'[4]ADF Casualty AlcoholDrugs'!#REF!</definedName>
    <definedName name="Table21c" localSheetId="209">'[4]ADF Casualty AlcoholDrugs'!#REF!</definedName>
    <definedName name="Table21c" localSheetId="210">'[4]ADF Casualty AlcoholDrugs'!#REF!</definedName>
    <definedName name="Table21c" localSheetId="211">'[4]ADF Casualty AlcoholDrugs'!#REF!</definedName>
    <definedName name="Table21c" localSheetId="212">'[4]ADF Casualty AlcoholDrugs'!#REF!</definedName>
    <definedName name="Table21c" localSheetId="213">'[4]ADF Casualty AlcoholDrugs'!#REF!</definedName>
    <definedName name="Table21c" localSheetId="244">'[4]ADF Casualty AlcoholDrugs'!#REF!</definedName>
    <definedName name="Table21c" localSheetId="214">'[4]ADF Casualty AlcoholDrugs'!#REF!</definedName>
    <definedName name="Table21c" localSheetId="245">'[4]ADF Casualty AlcoholDrugs'!#REF!</definedName>
    <definedName name="Table21c" localSheetId="215">'[4]ADF Casualty AlcoholDrugs'!#REF!</definedName>
    <definedName name="Table21c" localSheetId="216">'[4]ADF Casualty AlcoholDrugs'!#REF!</definedName>
    <definedName name="Table21c" localSheetId="217">'[4]ADF Casualty AlcoholDrugs'!#REF!</definedName>
    <definedName name="Table21c" localSheetId="235">'[4]ADF Casualty AlcoholDrugs'!#REF!</definedName>
    <definedName name="Table21c" localSheetId="202">'[4]ADF Casualty AlcoholDrugs'!#REF!</definedName>
    <definedName name="Table21c" localSheetId="249">'[4]ADF Casualty AlcoholDrugs'!#REF!</definedName>
    <definedName name="Table21c" localSheetId="218">'[4]ADF Casualty AlcoholDrugs'!#REF!</definedName>
    <definedName name="Table21c" localSheetId="219">'[4]ADF Casualty AlcoholDrugs'!#REF!</definedName>
    <definedName name="Table21c" localSheetId="220">'[4]ADF Casualty AlcoholDrugs'!#REF!</definedName>
    <definedName name="Table21c" localSheetId="221">'[4]ADF Casualty AlcoholDrugs'!#REF!</definedName>
    <definedName name="Table21c" localSheetId="222">'[4]ADF Casualty AlcoholDrugs'!#REF!</definedName>
    <definedName name="Table21c" localSheetId="223">'[4]ADF Casualty AlcoholDrugs'!#REF!</definedName>
    <definedName name="Table21c" localSheetId="224">'[4]ADF Casualty AlcoholDrugs'!#REF!</definedName>
    <definedName name="Table21c" localSheetId="226">'[4]ADF Casualty AlcoholDrugs'!#REF!</definedName>
    <definedName name="Table21c" localSheetId="225">'[4]ADF Casualty AlcoholDrugs'!#REF!</definedName>
    <definedName name="Table21c" localSheetId="227">'[4]ADF Casualty AlcoholDrugs'!#REF!</definedName>
    <definedName name="Table21c" localSheetId="228">'[4]ADF Casualty AlcoholDrugs'!#REF!</definedName>
    <definedName name="Table21c" localSheetId="229">'[4]ADF Casualty AlcoholDrugs'!#REF!</definedName>
    <definedName name="Table21c" localSheetId="230">'[4]ADF Casualty AlcoholDrugs'!#REF!</definedName>
    <definedName name="Table21c" localSheetId="231">'[4]ADF Casualty AlcoholDrugs'!#REF!</definedName>
    <definedName name="Table21c" localSheetId="248">'[4]ADF Casualty AlcoholDrugs'!#REF!</definedName>
    <definedName name="Table21c" localSheetId="238">'[4]ADF Casualty AlcoholDrugs'!#REF!</definedName>
    <definedName name="Table21c" localSheetId="203">'[4]ADF Casualty AlcoholDrugs'!#REF!</definedName>
    <definedName name="Table21c" localSheetId="243">'[4]ADF Casualty AlcoholDrugs'!#REF!</definedName>
    <definedName name="Table21c" localSheetId="241">'[4]ADF Casualty AlcoholDrugs'!#REF!</definedName>
    <definedName name="Table21c" localSheetId="242">'[4]ADF Casualty AlcoholDrugs'!#REF!</definedName>
    <definedName name="Table21c" localSheetId="240">'[4]ADF Casualty AlcoholDrugs'!#REF!</definedName>
    <definedName name="Table21c" localSheetId="239">'[4]ADF Casualty AlcoholDrugs'!#REF!</definedName>
    <definedName name="Table21c" localSheetId="234">'[4]ADF Casualty AlcoholDrugs'!#REF!</definedName>
    <definedName name="Table21c" localSheetId="236">'[4]ADF Casualty AlcoholDrugs'!#REF!</definedName>
    <definedName name="Table21c" localSheetId="246">'[4]ADF Casualty AlcoholDrugs'!#REF!</definedName>
    <definedName name="Table21c" localSheetId="237">'[4]ADF Casualty AlcoholDrugs'!#REF!</definedName>
    <definedName name="Table21c" localSheetId="247">'[4]ADF Casualty AlcoholDrugs'!#REF!</definedName>
    <definedName name="Table21c">'ADF Casualty AlcoholDrugs'!#REF!</definedName>
    <definedName name="Table22">'Building Fires Spread'!$A$3</definedName>
    <definedName name="Table23">Appliances!$A$3</definedName>
    <definedName name="Table23a" localSheetId="169">Appliances!#REF!</definedName>
    <definedName name="Table23a" localSheetId="170">Appliances!#REF!</definedName>
    <definedName name="Table23a" localSheetId="174">Appliances!#REF!</definedName>
    <definedName name="Table23a" localSheetId="43">'[3]23 23a'!#REF!</definedName>
    <definedName name="Table23a" localSheetId="175">Appliances!#REF!</definedName>
    <definedName name="Table23a" localSheetId="176">[4]Appliances!#REF!</definedName>
    <definedName name="Table23a" localSheetId="177">[4]Appliances!#REF!</definedName>
    <definedName name="Table23a" localSheetId="178">[4]Appliances!#REF!</definedName>
    <definedName name="Table23a" localSheetId="179">[4]Appliances!#REF!</definedName>
    <definedName name="Table23a" localSheetId="180">[4]Appliances!#REF!</definedName>
    <definedName name="Table23a" localSheetId="232">[4]Appliances!#REF!</definedName>
    <definedName name="Table23a" localSheetId="181">[4]Appliances!#REF!</definedName>
    <definedName name="Table23a" localSheetId="182">[4]Appliances!#REF!</definedName>
    <definedName name="Table23a" localSheetId="183">[4]Appliances!#REF!</definedName>
    <definedName name="Table23a" localSheetId="184">[4]Appliances!#REF!</definedName>
    <definedName name="Table23a" localSheetId="185">[4]Appliances!#REF!</definedName>
    <definedName name="Table23a" localSheetId="186">[4]Appliances!#REF!</definedName>
    <definedName name="Table23a" localSheetId="187">[4]Appliances!#REF!</definedName>
    <definedName name="Table23a" localSheetId="188">[4]Appliances!#REF!</definedName>
    <definedName name="Table23a" localSheetId="189">[4]Appliances!#REF!</definedName>
    <definedName name="Table23a" localSheetId="190">[4]Appliances!#REF!</definedName>
    <definedName name="Table23a" localSheetId="191">[4]Appliances!#REF!</definedName>
    <definedName name="Table23a" localSheetId="192">[4]Appliances!#REF!</definedName>
    <definedName name="Table23a" localSheetId="251">[4]Appliances!#REF!</definedName>
    <definedName name="Table23a" localSheetId="250">[4]Appliances!#REF!</definedName>
    <definedName name="Table23a" localSheetId="252">[4]Appliances!#REF!</definedName>
    <definedName name="Table23a" localSheetId="193">[4]Appliances!#REF!</definedName>
    <definedName name="Table23a" localSheetId="194">[4]Appliances!#REF!</definedName>
    <definedName name="Table23a" localSheetId="195">[4]Appliances!#REF!</definedName>
    <definedName name="Table23a" localSheetId="196">[4]Appliances!#REF!</definedName>
    <definedName name="Table23a" localSheetId="233">[4]Appliances!#REF!</definedName>
    <definedName name="Table23a" localSheetId="197">[4]Appliances!#REF!</definedName>
    <definedName name="Table23a" localSheetId="200">[4]Appliances!#REF!</definedName>
    <definedName name="Table23a" localSheetId="198">[4]Appliances!#REF!</definedName>
    <definedName name="Table23a" localSheetId="199">[4]Appliances!#REF!</definedName>
    <definedName name="Table23a" localSheetId="201">[4]Appliances!#REF!</definedName>
    <definedName name="Table23a" localSheetId="204">[4]Appliances!#REF!</definedName>
    <definedName name="Table23a" localSheetId="205">[4]Appliances!#REF!</definedName>
    <definedName name="Table23a" localSheetId="206">[4]Appliances!#REF!</definedName>
    <definedName name="Table23a" localSheetId="207">[4]Appliances!#REF!</definedName>
    <definedName name="Table23a" localSheetId="208">[4]Appliances!#REF!</definedName>
    <definedName name="Table23a" localSheetId="209">[4]Appliances!#REF!</definedName>
    <definedName name="Table23a" localSheetId="210">[4]Appliances!#REF!</definedName>
    <definedName name="Table23a" localSheetId="211">[4]Appliances!#REF!</definedName>
    <definedName name="Table23a" localSheetId="212">[4]Appliances!#REF!</definedName>
    <definedName name="Table23a" localSheetId="213">[4]Appliances!#REF!</definedName>
    <definedName name="Table23a" localSheetId="244">[4]Appliances!#REF!</definedName>
    <definedName name="Table23a" localSheetId="214">[4]Appliances!#REF!</definedName>
    <definedName name="Table23a" localSheetId="245">[4]Appliances!#REF!</definedName>
    <definedName name="Table23a" localSheetId="215">[4]Appliances!#REF!</definedName>
    <definedName name="Table23a" localSheetId="216">[4]Appliances!#REF!</definedName>
    <definedName name="Table23a" localSheetId="217">[4]Appliances!#REF!</definedName>
    <definedName name="Table23a" localSheetId="235">[4]Appliances!#REF!</definedName>
    <definedName name="Table23a" localSheetId="202">[4]Appliances!#REF!</definedName>
    <definedName name="Table23a" localSheetId="249">[4]Appliances!#REF!</definedName>
    <definedName name="Table23a" localSheetId="218">[4]Appliances!#REF!</definedName>
    <definedName name="Table23a" localSheetId="219">[4]Appliances!#REF!</definedName>
    <definedName name="Table23a" localSheetId="220">[4]Appliances!#REF!</definedName>
    <definedName name="Table23a" localSheetId="221">[4]Appliances!#REF!</definedName>
    <definedName name="Table23a" localSheetId="222">[4]Appliances!#REF!</definedName>
    <definedName name="Table23a" localSheetId="223">[4]Appliances!#REF!</definedName>
    <definedName name="Table23a" localSheetId="224">[4]Appliances!#REF!</definedName>
    <definedName name="Table23a" localSheetId="226">[4]Appliances!#REF!</definedName>
    <definedName name="Table23a" localSheetId="225">[4]Appliances!#REF!</definedName>
    <definedName name="Table23a" localSheetId="227">[4]Appliances!#REF!</definedName>
    <definedName name="Table23a" localSheetId="228">[4]Appliances!#REF!</definedName>
    <definedName name="Table23a" localSheetId="229">[4]Appliances!#REF!</definedName>
    <definedName name="Table23a" localSheetId="230">[4]Appliances!#REF!</definedName>
    <definedName name="Table23a" localSheetId="231">[4]Appliances!#REF!</definedName>
    <definedName name="Table23a" localSheetId="248">[4]Appliances!#REF!</definedName>
    <definedName name="Table23a" localSheetId="238">[4]Appliances!#REF!</definedName>
    <definedName name="Table23a" localSheetId="203">[4]Appliances!#REF!</definedName>
    <definedName name="Table23a" localSheetId="243">[4]Appliances!#REF!</definedName>
    <definedName name="Table23a" localSheetId="241">[4]Appliances!#REF!</definedName>
    <definedName name="Table23a" localSheetId="242">[4]Appliances!#REF!</definedName>
    <definedName name="Table23a" localSheetId="240">[4]Appliances!#REF!</definedName>
    <definedName name="Table23a" localSheetId="239">[4]Appliances!#REF!</definedName>
    <definedName name="Table23a" localSheetId="234">[4]Appliances!#REF!</definedName>
    <definedName name="Table23a" localSheetId="236">[4]Appliances!#REF!</definedName>
    <definedName name="Table23a" localSheetId="246">[4]Appliances!#REF!</definedName>
    <definedName name="Table23a" localSheetId="237">[4]Appliances!#REF!</definedName>
    <definedName name="Table23a" localSheetId="247">[4]Appliances!#REF!</definedName>
    <definedName name="Table23a">Appliances!#REF!</definedName>
    <definedName name="Table24">'Time of Call'!$A$3</definedName>
    <definedName name="Table25">'Time of Call Casualty'!$A$3</definedName>
    <definedName name="Table2a" localSheetId="111">'Casualties Fire'!$A$29</definedName>
    <definedName name="Table2b" localSheetId="111">'Casualties Fire LA'!$A$3</definedName>
    <definedName name="Table3">'ADF Casualty'!$A$3</definedName>
    <definedName name="Table3a" localSheetId="169">'ADF Casualty'!#REF!</definedName>
    <definedName name="Table3a" localSheetId="170">'ADF Casualty'!#REF!</definedName>
    <definedName name="Table3a" localSheetId="174">'ADF Casualty'!#REF!</definedName>
    <definedName name="Table3a" localSheetId="43">'[3]3'!#REF!</definedName>
    <definedName name="Table3a" localSheetId="175">'ADF Casualty'!#REF!</definedName>
    <definedName name="Table3a" localSheetId="176">'[4]ADF Casualty'!#REF!</definedName>
    <definedName name="Table3a" localSheetId="177">'[4]ADF Casualty'!#REF!</definedName>
    <definedName name="Table3a" localSheetId="178">'[4]ADF Casualty'!#REF!</definedName>
    <definedName name="Table3a" localSheetId="179">'[4]ADF Casualty'!#REF!</definedName>
    <definedName name="Table3a" localSheetId="180">'[4]ADF Casualty'!#REF!</definedName>
    <definedName name="Table3a" localSheetId="232">'[4]ADF Casualty'!#REF!</definedName>
    <definedName name="Table3a" localSheetId="181">'[4]ADF Casualty'!#REF!</definedName>
    <definedName name="Table3a" localSheetId="182">'[4]ADF Casualty'!#REF!</definedName>
    <definedName name="Table3a" localSheetId="183">'[4]ADF Casualty'!#REF!</definedName>
    <definedName name="Table3a" localSheetId="184">'[4]ADF Casualty'!#REF!</definedName>
    <definedName name="Table3a" localSheetId="185">'[4]ADF Casualty'!#REF!</definedName>
    <definedName name="Table3a" localSheetId="186">'[4]ADF Casualty'!#REF!</definedName>
    <definedName name="Table3a" localSheetId="187">'[4]ADF Casualty'!#REF!</definedName>
    <definedName name="Table3a" localSheetId="188">'[4]ADF Casualty'!#REF!</definedName>
    <definedName name="Table3a" localSheetId="189">'[4]ADF Casualty'!#REF!</definedName>
    <definedName name="Table3a" localSheetId="190">'[4]ADF Casualty'!#REF!</definedName>
    <definedName name="Table3a" localSheetId="191">'[4]ADF Casualty'!#REF!</definedName>
    <definedName name="Table3a" localSheetId="192">'[4]ADF Casualty'!#REF!</definedName>
    <definedName name="Table3a" localSheetId="251">'[4]ADF Casualty'!#REF!</definedName>
    <definedName name="Table3a" localSheetId="250">'[4]ADF Casualty'!#REF!</definedName>
    <definedName name="Table3a" localSheetId="252">'[4]ADF Casualty'!#REF!</definedName>
    <definedName name="Table3a" localSheetId="193">'[4]ADF Casualty'!#REF!</definedName>
    <definedName name="Table3a" localSheetId="194">'[4]ADF Casualty'!#REF!</definedName>
    <definedName name="Table3a" localSheetId="195">'[4]ADF Casualty'!#REF!</definedName>
    <definedName name="Table3a" localSheetId="196">'[4]ADF Casualty'!#REF!</definedName>
    <definedName name="Table3a" localSheetId="233">'[4]ADF Casualty'!#REF!</definedName>
    <definedName name="Table3a" localSheetId="197">'[4]ADF Casualty'!#REF!</definedName>
    <definedName name="Table3a" localSheetId="200">'[4]ADF Casualty'!#REF!</definedName>
    <definedName name="Table3a" localSheetId="198">'[4]ADF Casualty'!#REF!</definedName>
    <definedName name="Table3a" localSheetId="199">'[4]ADF Casualty'!#REF!</definedName>
    <definedName name="Table3a" localSheetId="201">'[4]ADF Casualty'!#REF!</definedName>
    <definedName name="Table3a" localSheetId="204">'[4]ADF Casualty'!#REF!</definedName>
    <definedName name="Table3a" localSheetId="205">'[4]ADF Casualty'!#REF!</definedName>
    <definedName name="Table3a" localSheetId="206">'[4]ADF Casualty'!#REF!</definedName>
    <definedName name="Table3a" localSheetId="207">'[4]ADF Casualty'!#REF!</definedName>
    <definedName name="Table3a" localSheetId="208">'[4]ADF Casualty'!#REF!</definedName>
    <definedName name="Table3a" localSheetId="209">'[4]ADF Casualty'!#REF!</definedName>
    <definedName name="Table3a" localSheetId="210">'[4]ADF Casualty'!#REF!</definedName>
    <definedName name="Table3a" localSheetId="211">'[4]ADF Casualty'!#REF!</definedName>
    <definedName name="Table3a" localSheetId="212">'[4]ADF Casualty'!#REF!</definedName>
    <definedName name="Table3a" localSheetId="213">'[4]ADF Casualty'!#REF!</definedName>
    <definedName name="Table3a" localSheetId="244">'[4]ADF Casualty'!#REF!</definedName>
    <definedName name="Table3a" localSheetId="214">'[4]ADF Casualty'!#REF!</definedName>
    <definedName name="Table3a" localSheetId="245">'[4]ADF Casualty'!#REF!</definedName>
    <definedName name="Table3a" localSheetId="215">'[4]ADF Casualty'!#REF!</definedName>
    <definedName name="Table3a" localSheetId="216">'[4]ADF Casualty'!#REF!</definedName>
    <definedName name="Table3a" localSheetId="217">'[4]ADF Casualty'!#REF!</definedName>
    <definedName name="Table3a" localSheetId="235">'[4]ADF Casualty'!#REF!</definedName>
    <definedName name="Table3a" localSheetId="202">'[4]ADF Casualty'!#REF!</definedName>
    <definedName name="Table3a" localSheetId="249">'[4]ADF Casualty'!#REF!</definedName>
    <definedName name="Table3a" localSheetId="218">'[4]ADF Casualty'!#REF!</definedName>
    <definedName name="Table3a" localSheetId="219">'[4]ADF Casualty'!#REF!</definedName>
    <definedName name="Table3a" localSheetId="220">'[4]ADF Casualty'!#REF!</definedName>
    <definedName name="Table3a" localSheetId="221">'[4]ADF Casualty'!#REF!</definedName>
    <definedName name="Table3a" localSheetId="222">'[4]ADF Casualty'!#REF!</definedName>
    <definedName name="Table3a" localSheetId="223">'[4]ADF Casualty'!#REF!</definedName>
    <definedName name="Table3a" localSheetId="224">'[4]ADF Casualty'!#REF!</definedName>
    <definedName name="Table3a" localSheetId="226">'[4]ADF Casualty'!#REF!</definedName>
    <definedName name="Table3a" localSheetId="225">'[4]ADF Casualty'!#REF!</definedName>
    <definedName name="Table3a" localSheetId="227">'[4]ADF Casualty'!#REF!</definedName>
    <definedName name="Table3a" localSheetId="228">'[4]ADF Casualty'!#REF!</definedName>
    <definedName name="Table3a" localSheetId="229">'[4]ADF Casualty'!#REF!</definedName>
    <definedName name="Table3a" localSheetId="230">'[4]ADF Casualty'!#REF!</definedName>
    <definedName name="Table3a" localSheetId="231">'[4]ADF Casualty'!#REF!</definedName>
    <definedName name="Table3a" localSheetId="248">'[4]ADF Casualty'!#REF!</definedName>
    <definedName name="Table3a" localSheetId="238">'[4]ADF Casualty'!#REF!</definedName>
    <definedName name="Table3a" localSheetId="203">'[4]ADF Casualty'!#REF!</definedName>
    <definedName name="Table3a" localSheetId="243">'[4]ADF Casualty'!#REF!</definedName>
    <definedName name="Table3a" localSheetId="241">'[4]ADF Casualty'!#REF!</definedName>
    <definedName name="Table3a" localSheetId="242">'[4]ADF Casualty'!#REF!</definedName>
    <definedName name="Table3a" localSheetId="240">'[4]ADF Casualty'!#REF!</definedName>
    <definedName name="Table3a" localSheetId="239">'[4]ADF Casualty'!#REF!</definedName>
    <definedName name="Table3a" localSheetId="234">'[4]ADF Casualty'!#REF!</definedName>
    <definedName name="Table3a" localSheetId="236">'[4]ADF Casualty'!#REF!</definedName>
    <definedName name="Table3a" localSheetId="246">'[4]ADF Casualty'!#REF!</definedName>
    <definedName name="Table3a" localSheetId="237">'[4]ADF Casualty'!#REF!</definedName>
    <definedName name="Table3a" localSheetId="247">'[4]ADF Casualty'!#REF!</definedName>
    <definedName name="Table3a">'ADF Casualty'!#REF!</definedName>
    <definedName name="Table3b">'Dwelling Fires Motive LA'!$A$3</definedName>
    <definedName name="Table4">'Fire False Alarms'!$A$3</definedName>
    <definedName name="Table4a">'Fire False Alarms LA'!$A$3</definedName>
    <definedName name="Table4b">'Fire False Alarms LA'!$A$47</definedName>
    <definedName name="Table4c">'Fire False Alarms Location'!$A$3</definedName>
    <definedName name="Table4d">'Fire False Alarms Location'!$A$24</definedName>
    <definedName name="Table4e">'Fire False Alarms Location'!$A$40</definedName>
    <definedName name="Table5">'Non-fire False Alarms'!$B$3</definedName>
    <definedName name="Table5a" localSheetId="169">'Non-fire False Alarms'!#REF!</definedName>
    <definedName name="Table5a" localSheetId="170">'Non-fire False Alarms'!#REF!</definedName>
    <definedName name="Table5a" localSheetId="174">'Non-fire False Alarms'!#REF!</definedName>
    <definedName name="Table5a" localSheetId="43">'[3]5'!#REF!</definedName>
    <definedName name="Table5a" localSheetId="175">'Non-fire False Alarms'!#REF!</definedName>
    <definedName name="Table5a" localSheetId="176">'[4]Non-fire False Alarms'!#REF!</definedName>
    <definedName name="Table5a" localSheetId="177">'[4]Non-fire False Alarms'!#REF!</definedName>
    <definedName name="Table5a" localSheetId="178">'[4]Non-fire False Alarms'!#REF!</definedName>
    <definedName name="Table5a" localSheetId="179">'[4]Non-fire False Alarms'!#REF!</definedName>
    <definedName name="Table5a" localSheetId="180">'[4]Non-fire False Alarms'!#REF!</definedName>
    <definedName name="Table5a" localSheetId="232">'[4]Non-fire False Alarms'!#REF!</definedName>
    <definedName name="Table5a" localSheetId="181">'[4]Non-fire False Alarms'!#REF!</definedName>
    <definedName name="Table5a" localSheetId="182">'[4]Non-fire False Alarms'!#REF!</definedName>
    <definedName name="Table5a" localSheetId="183">'[4]Non-fire False Alarms'!#REF!</definedName>
    <definedName name="Table5a" localSheetId="184">'[4]Non-fire False Alarms'!#REF!</definedName>
    <definedName name="Table5a" localSheetId="185">'[4]Non-fire False Alarms'!#REF!</definedName>
    <definedName name="Table5a" localSheetId="186">'[4]Non-fire False Alarms'!#REF!</definedName>
    <definedName name="Table5a" localSheetId="187">'[4]Non-fire False Alarms'!#REF!</definedName>
    <definedName name="Table5a" localSheetId="188">'[4]Non-fire False Alarms'!#REF!</definedName>
    <definedName name="Table5a" localSheetId="189">'[4]Non-fire False Alarms'!#REF!</definedName>
    <definedName name="Table5a" localSheetId="190">'[4]Non-fire False Alarms'!#REF!</definedName>
    <definedName name="Table5a" localSheetId="191">'[4]Non-fire False Alarms'!#REF!</definedName>
    <definedName name="Table5a" localSheetId="192">'[4]Non-fire False Alarms'!#REF!</definedName>
    <definedName name="Table5a" localSheetId="251">'[4]Non-fire False Alarms'!#REF!</definedName>
    <definedName name="Table5a" localSheetId="250">'[4]Non-fire False Alarms'!#REF!</definedName>
    <definedName name="Table5a" localSheetId="252">'[4]Non-fire False Alarms'!#REF!</definedName>
    <definedName name="Table5a" localSheetId="193">'[4]Non-fire False Alarms'!#REF!</definedName>
    <definedName name="Table5a" localSheetId="194">'[4]Non-fire False Alarms'!#REF!</definedName>
    <definedName name="Table5a" localSheetId="195">'[4]Non-fire False Alarms'!#REF!</definedName>
    <definedName name="Table5a" localSheetId="196">'[4]Non-fire False Alarms'!#REF!</definedName>
    <definedName name="Table5a" localSheetId="233">'[4]Non-fire False Alarms'!#REF!</definedName>
    <definedName name="Table5a" localSheetId="197">'[4]Non-fire False Alarms'!#REF!</definedName>
    <definedName name="Table5a" localSheetId="200">'[4]Non-fire False Alarms'!#REF!</definedName>
    <definedName name="Table5a" localSheetId="198">'[4]Non-fire False Alarms'!#REF!</definedName>
    <definedName name="Table5a" localSheetId="199">'[4]Non-fire False Alarms'!#REF!</definedName>
    <definedName name="Table5a" localSheetId="201">'[4]Non-fire False Alarms'!#REF!</definedName>
    <definedName name="Table5a" localSheetId="204">'[4]Non-fire False Alarms'!#REF!</definedName>
    <definedName name="Table5a" localSheetId="205">'[4]Non-fire False Alarms'!#REF!</definedName>
    <definedName name="Table5a" localSheetId="206">'[4]Non-fire False Alarms'!#REF!</definedName>
    <definedName name="Table5a" localSheetId="207">'[4]Non-fire False Alarms'!#REF!</definedName>
    <definedName name="Table5a" localSheetId="208">'[4]Non-fire False Alarms'!#REF!</definedName>
    <definedName name="Table5a" localSheetId="209">'[4]Non-fire False Alarms'!#REF!</definedName>
    <definedName name="Table5a" localSheetId="210">'[4]Non-fire False Alarms'!#REF!</definedName>
    <definedName name="Table5a" localSheetId="211">'[4]Non-fire False Alarms'!#REF!</definedName>
    <definedName name="Table5a" localSheetId="212">'[4]Non-fire False Alarms'!#REF!</definedName>
    <definedName name="Table5a" localSheetId="213">'[4]Non-fire False Alarms'!#REF!</definedName>
    <definedName name="Table5a" localSheetId="244">'[4]Non-fire False Alarms'!#REF!</definedName>
    <definedName name="Table5a" localSheetId="214">'[4]Non-fire False Alarms'!#REF!</definedName>
    <definedName name="Table5a" localSheetId="245">'[4]Non-fire False Alarms'!#REF!</definedName>
    <definedName name="Table5a" localSheetId="215">'[4]Non-fire False Alarms'!#REF!</definedName>
    <definedName name="Table5a" localSheetId="216">'[4]Non-fire False Alarms'!#REF!</definedName>
    <definedName name="Table5a" localSheetId="217">'[4]Non-fire False Alarms'!#REF!</definedName>
    <definedName name="Table5a" localSheetId="235">'[4]Non-fire False Alarms'!#REF!</definedName>
    <definedName name="Table5a" localSheetId="202">'[4]Non-fire False Alarms'!#REF!</definedName>
    <definedName name="Table5a" localSheetId="249">'[4]Non-fire False Alarms'!#REF!</definedName>
    <definedName name="Table5a" localSheetId="218">'[4]Non-fire False Alarms'!#REF!</definedName>
    <definedName name="Table5a" localSheetId="219">'[4]Non-fire False Alarms'!#REF!</definedName>
    <definedName name="Table5a" localSheetId="220">'[4]Non-fire False Alarms'!#REF!</definedName>
    <definedName name="Table5a" localSheetId="221">'[4]Non-fire False Alarms'!#REF!</definedName>
    <definedName name="Table5a" localSheetId="222">'[4]Non-fire False Alarms'!#REF!</definedName>
    <definedName name="Table5a" localSheetId="223">'[4]Non-fire False Alarms'!#REF!</definedName>
    <definedName name="Table5a" localSheetId="224">'[4]Non-fire False Alarms'!#REF!</definedName>
    <definedName name="Table5a" localSheetId="226">'[4]Non-fire False Alarms'!#REF!</definedName>
    <definedName name="Table5a" localSheetId="225">'[4]Non-fire False Alarms'!#REF!</definedName>
    <definedName name="Table5a" localSheetId="227">'[4]Non-fire False Alarms'!#REF!</definedName>
    <definedName name="Table5a" localSheetId="228">'[4]Non-fire False Alarms'!#REF!</definedName>
    <definedName name="Table5a" localSheetId="229">'[4]Non-fire False Alarms'!#REF!</definedName>
    <definedName name="Table5a" localSheetId="230">'[4]Non-fire False Alarms'!#REF!</definedName>
    <definedName name="Table5a" localSheetId="231">'[4]Non-fire False Alarms'!#REF!</definedName>
    <definedName name="Table5a" localSheetId="248">'[4]Non-fire False Alarms'!#REF!</definedName>
    <definedName name="Table5a" localSheetId="238">'[4]Non-fire False Alarms'!#REF!</definedName>
    <definedName name="Table5a" localSheetId="203">'[4]Non-fire False Alarms'!#REF!</definedName>
    <definedName name="Table5a" localSheetId="243">'[4]Non-fire False Alarms'!#REF!</definedName>
    <definedName name="Table5a" localSheetId="241">'[4]Non-fire False Alarms'!#REF!</definedName>
    <definedName name="Table5a" localSheetId="242">'[4]Non-fire False Alarms'!#REF!</definedName>
    <definedName name="Table5a" localSheetId="240">'[4]Non-fire False Alarms'!#REF!</definedName>
    <definedName name="Table5a" localSheetId="239">'[4]Non-fire False Alarms'!#REF!</definedName>
    <definedName name="Table5a" localSheetId="234">'[4]Non-fire False Alarms'!#REF!</definedName>
    <definedName name="Table5a" localSheetId="236">'[4]Non-fire False Alarms'!#REF!</definedName>
    <definedName name="Table5a" localSheetId="246">'[4]Non-fire False Alarms'!#REF!</definedName>
    <definedName name="Table5a" localSheetId="237">'[4]Non-fire False Alarms'!#REF!</definedName>
    <definedName name="Table5a" localSheetId="247">'[4]Non-fire False Alarms'!#REF!</definedName>
    <definedName name="Table5a">'Non-fire False Alarms'!#REF!</definedName>
    <definedName name="Table6">'Non-fire'!$B$3</definedName>
    <definedName name="Table6a" localSheetId="169">'Non-fire'!#REF!</definedName>
    <definedName name="Table6a" localSheetId="170">'Non-fire'!#REF!</definedName>
    <definedName name="Table6a" localSheetId="174">'Non-fire'!#REF!</definedName>
    <definedName name="Table6a" localSheetId="43">'[3]6'!#REF!</definedName>
    <definedName name="Table6a" localSheetId="175">'Non-fire'!#REF!</definedName>
    <definedName name="Table6a" localSheetId="176">'[4]Non-fire'!#REF!</definedName>
    <definedName name="Table6a" localSheetId="177">'[4]Non-fire'!#REF!</definedName>
    <definedName name="Table6a" localSheetId="178">'[4]Non-fire'!#REF!</definedName>
    <definedName name="Table6a" localSheetId="179">'[4]Non-fire'!#REF!</definedName>
    <definedName name="Table6a" localSheetId="180">'[4]Non-fire'!#REF!</definedName>
    <definedName name="Table6a" localSheetId="232">'[4]Non-fire'!#REF!</definedName>
    <definedName name="Table6a" localSheetId="181">'[4]Non-fire'!#REF!</definedName>
    <definedName name="Table6a" localSheetId="182">'[4]Non-fire'!#REF!</definedName>
    <definedName name="Table6a" localSheetId="183">'[4]Non-fire'!#REF!</definedName>
    <definedName name="Table6a" localSheetId="184">'[4]Non-fire'!#REF!</definedName>
    <definedName name="Table6a" localSheetId="185">'[4]Non-fire'!#REF!</definedName>
    <definedName name="Table6a" localSheetId="186">'[4]Non-fire'!#REF!</definedName>
    <definedName name="Table6a" localSheetId="187">'[4]Non-fire'!#REF!</definedName>
    <definedName name="Table6a" localSheetId="188">'[4]Non-fire'!#REF!</definedName>
    <definedName name="Table6a" localSheetId="189">'[4]Non-fire'!#REF!</definedName>
    <definedName name="Table6a" localSheetId="190">'[4]Non-fire'!#REF!</definedName>
    <definedName name="Table6a" localSheetId="191">'[4]Non-fire'!#REF!</definedName>
    <definedName name="Table6a" localSheetId="192">'[4]Non-fire'!#REF!</definedName>
    <definedName name="Table6a" localSheetId="251">'[4]Non-fire'!#REF!</definedName>
    <definedName name="Table6a" localSheetId="250">'[4]Non-fire'!#REF!</definedName>
    <definedName name="Table6a" localSheetId="252">'[4]Non-fire'!#REF!</definedName>
    <definedName name="Table6a" localSheetId="193">'[4]Non-fire'!#REF!</definedName>
    <definedName name="Table6a" localSheetId="194">'[4]Non-fire'!#REF!</definedName>
    <definedName name="Table6a" localSheetId="195">'[4]Non-fire'!#REF!</definedName>
    <definedName name="Table6a" localSheetId="196">'[4]Non-fire'!#REF!</definedName>
    <definedName name="Table6a" localSheetId="233">'[4]Non-fire'!#REF!</definedName>
    <definedName name="Table6a" localSheetId="197">'[4]Non-fire'!#REF!</definedName>
    <definedName name="Table6a" localSheetId="200">'[4]Non-fire'!#REF!</definedName>
    <definedName name="Table6a" localSheetId="198">'[4]Non-fire'!#REF!</definedName>
    <definedName name="Table6a" localSheetId="199">'[4]Non-fire'!#REF!</definedName>
    <definedName name="Table6a" localSheetId="201">'[4]Non-fire'!#REF!</definedName>
    <definedName name="Table6a" localSheetId="204">'[4]Non-fire'!#REF!</definedName>
    <definedName name="Table6a" localSheetId="205">'[4]Non-fire'!#REF!</definedName>
    <definedName name="Table6a" localSheetId="206">'[4]Non-fire'!#REF!</definedName>
    <definedName name="Table6a" localSheetId="207">'[4]Non-fire'!#REF!</definedName>
    <definedName name="Table6a" localSheetId="208">'[4]Non-fire'!#REF!</definedName>
    <definedName name="Table6a" localSheetId="209">'[4]Non-fire'!#REF!</definedName>
    <definedName name="Table6a" localSheetId="210">'[4]Non-fire'!#REF!</definedName>
    <definedName name="Table6a" localSheetId="211">'[4]Non-fire'!#REF!</definedName>
    <definedName name="Table6a" localSheetId="212">'[4]Non-fire'!#REF!</definedName>
    <definedName name="Table6a" localSheetId="213">'[4]Non-fire'!#REF!</definedName>
    <definedName name="Table6a" localSheetId="244">'[4]Non-fire'!#REF!</definedName>
    <definedName name="Table6a" localSheetId="214">'[4]Non-fire'!#REF!</definedName>
    <definedName name="Table6a" localSheetId="245">'[4]Non-fire'!#REF!</definedName>
    <definedName name="Table6a" localSheetId="215">'[4]Non-fire'!#REF!</definedName>
    <definedName name="Table6a" localSheetId="216">'[4]Non-fire'!#REF!</definedName>
    <definedName name="Table6a" localSheetId="217">'[4]Non-fire'!#REF!</definedName>
    <definedName name="Table6a" localSheetId="235">'[4]Non-fire'!#REF!</definedName>
    <definedName name="Table6a" localSheetId="202">'[4]Non-fire'!#REF!</definedName>
    <definedName name="Table6a" localSheetId="249">'[4]Non-fire'!#REF!</definedName>
    <definedName name="Table6a" localSheetId="218">'[4]Non-fire'!#REF!</definedName>
    <definedName name="Table6a" localSheetId="219">'[4]Non-fire'!#REF!</definedName>
    <definedName name="Table6a" localSheetId="220">'[4]Non-fire'!#REF!</definedName>
    <definedName name="Table6a" localSheetId="221">'[4]Non-fire'!#REF!</definedName>
    <definedName name="Table6a" localSheetId="222">'[4]Non-fire'!#REF!</definedName>
    <definedName name="Table6a" localSheetId="223">'[4]Non-fire'!#REF!</definedName>
    <definedName name="Table6a" localSheetId="224">'[4]Non-fire'!#REF!</definedName>
    <definedName name="Table6a" localSheetId="226">'[4]Non-fire'!#REF!</definedName>
    <definedName name="Table6a" localSheetId="225">'[4]Non-fire'!#REF!</definedName>
    <definedName name="Table6a" localSheetId="227">'[4]Non-fire'!#REF!</definedName>
    <definedName name="Table6a" localSheetId="228">'[4]Non-fire'!#REF!</definedName>
    <definedName name="Table6a" localSheetId="229">'[4]Non-fire'!#REF!</definedName>
    <definedName name="Table6a" localSheetId="230">'[4]Non-fire'!#REF!</definedName>
    <definedName name="Table6a" localSheetId="231">'[4]Non-fire'!#REF!</definedName>
    <definedName name="Table6a" localSheetId="248">'[4]Non-fire'!#REF!</definedName>
    <definedName name="Table6a" localSheetId="238">'[4]Non-fire'!#REF!</definedName>
    <definedName name="Table6a" localSheetId="203">'[4]Non-fire'!#REF!</definedName>
    <definedName name="Table6a" localSheetId="243">'[4]Non-fire'!#REF!</definedName>
    <definedName name="Table6a" localSheetId="241">'[4]Non-fire'!#REF!</definedName>
    <definedName name="Table6a" localSheetId="242">'[4]Non-fire'!#REF!</definedName>
    <definedName name="Table6a" localSheetId="240">'[4]Non-fire'!#REF!</definedName>
    <definedName name="Table6a" localSheetId="239">'[4]Non-fire'!#REF!</definedName>
    <definedName name="Table6a" localSheetId="234">'[4]Non-fire'!#REF!</definedName>
    <definedName name="Table6a" localSheetId="236">'[4]Non-fire'!#REF!</definedName>
    <definedName name="Table6a" localSheetId="246">'[4]Non-fire'!#REF!</definedName>
    <definedName name="Table6a" localSheetId="237">'[4]Non-fire'!#REF!</definedName>
    <definedName name="Table6a" localSheetId="247">'[4]Non-fire'!#REF!</definedName>
    <definedName name="Table6a">'Non-fire'!#REF!</definedName>
    <definedName name="Table6b" localSheetId="169">'Non-fire LA Rate'!#REF!</definedName>
    <definedName name="Table6b" localSheetId="170">'Non-fire LA Rate'!#REF!</definedName>
    <definedName name="Table6b" localSheetId="174">'Non-fire LA Rate'!#REF!</definedName>
    <definedName name="Table6b" localSheetId="43">'[3]6b'!#REF!</definedName>
    <definedName name="Table6b" localSheetId="175">'Non-fire LA Rate'!#REF!</definedName>
    <definedName name="Table6b" localSheetId="176">'[4]Non-fire LA Rate'!#REF!</definedName>
    <definedName name="Table6b" localSheetId="177">'[4]Non-fire LA Rate'!#REF!</definedName>
    <definedName name="Table6b" localSheetId="178">'[4]Non-fire LA Rate'!#REF!</definedName>
    <definedName name="Table6b" localSheetId="179">'[4]Non-fire LA Rate'!#REF!</definedName>
    <definedName name="Table6b" localSheetId="180">'[4]Non-fire LA Rate'!#REF!</definedName>
    <definedName name="Table6b" localSheetId="232">'[4]Non-fire LA Rate'!#REF!</definedName>
    <definedName name="Table6b" localSheetId="181">'[4]Non-fire LA Rate'!#REF!</definedName>
    <definedName name="Table6b" localSheetId="182">'[4]Non-fire LA Rate'!#REF!</definedName>
    <definedName name="Table6b" localSheetId="183">'[4]Non-fire LA Rate'!#REF!</definedName>
    <definedName name="Table6b" localSheetId="184">'[4]Non-fire LA Rate'!#REF!</definedName>
    <definedName name="Table6b" localSheetId="185">'[4]Non-fire LA Rate'!#REF!</definedName>
    <definedName name="Table6b" localSheetId="186">'[4]Non-fire LA Rate'!#REF!</definedName>
    <definedName name="Table6b" localSheetId="187">'[4]Non-fire LA Rate'!#REF!</definedName>
    <definedName name="Table6b" localSheetId="188">'[4]Non-fire LA Rate'!#REF!</definedName>
    <definedName name="Table6b" localSheetId="189">'[4]Non-fire LA Rate'!#REF!</definedName>
    <definedName name="Table6b" localSheetId="190">'[4]Non-fire LA Rate'!#REF!</definedName>
    <definedName name="Table6b" localSheetId="191">'[4]Non-fire LA Rate'!#REF!</definedName>
    <definedName name="Table6b" localSheetId="192">'[4]Non-fire LA Rate'!#REF!</definedName>
    <definedName name="Table6b" localSheetId="251">'[4]Non-fire LA Rate'!#REF!</definedName>
    <definedName name="Table6b" localSheetId="250">'[4]Non-fire LA Rate'!#REF!</definedName>
    <definedName name="Table6b" localSheetId="252">'[4]Non-fire LA Rate'!#REF!</definedName>
    <definedName name="Table6b" localSheetId="193">'[4]Non-fire LA Rate'!#REF!</definedName>
    <definedName name="Table6b" localSheetId="194">'[4]Non-fire LA Rate'!#REF!</definedName>
    <definedName name="Table6b" localSheetId="195">'[4]Non-fire LA Rate'!#REF!</definedName>
    <definedName name="Table6b" localSheetId="196">'[4]Non-fire LA Rate'!#REF!</definedName>
    <definedName name="Table6b" localSheetId="233">'[4]Non-fire LA Rate'!#REF!</definedName>
    <definedName name="Table6b" localSheetId="197">'[4]Non-fire LA Rate'!#REF!</definedName>
    <definedName name="Table6b" localSheetId="200">'[4]Non-fire LA Rate'!#REF!</definedName>
    <definedName name="Table6b" localSheetId="198">'[4]Non-fire LA Rate'!#REF!</definedName>
    <definedName name="Table6b" localSheetId="199">'[4]Non-fire LA Rate'!#REF!</definedName>
    <definedName name="Table6b" localSheetId="201">'[4]Non-fire LA Rate'!#REF!</definedName>
    <definedName name="Table6b" localSheetId="204">'[4]Non-fire LA Rate'!#REF!</definedName>
    <definedName name="Table6b" localSheetId="205">'[4]Non-fire LA Rate'!#REF!</definedName>
    <definedName name="Table6b" localSheetId="206">'[4]Non-fire LA Rate'!#REF!</definedName>
    <definedName name="Table6b" localSheetId="207">'[4]Non-fire LA Rate'!#REF!</definedName>
    <definedName name="Table6b" localSheetId="208">'[4]Non-fire LA Rate'!#REF!</definedName>
    <definedName name="Table6b" localSheetId="209">'[4]Non-fire LA Rate'!#REF!</definedName>
    <definedName name="Table6b" localSheetId="210">'[4]Non-fire LA Rate'!#REF!</definedName>
    <definedName name="Table6b" localSheetId="211">'[4]Non-fire LA Rate'!#REF!</definedName>
    <definedName name="Table6b" localSheetId="212">'[4]Non-fire LA Rate'!#REF!</definedName>
    <definedName name="Table6b" localSheetId="213">'[4]Non-fire LA Rate'!#REF!</definedName>
    <definedName name="Table6b" localSheetId="244">'[4]Non-fire LA Rate'!#REF!</definedName>
    <definedName name="Table6b" localSheetId="214">'[4]Non-fire LA Rate'!#REF!</definedName>
    <definedName name="Table6b" localSheetId="245">'[4]Non-fire LA Rate'!#REF!</definedName>
    <definedName name="Table6b" localSheetId="215">'[4]Non-fire LA Rate'!#REF!</definedName>
    <definedName name="Table6b" localSheetId="216">'[4]Non-fire LA Rate'!#REF!</definedName>
    <definedName name="Table6b" localSheetId="217">'[4]Non-fire LA Rate'!#REF!</definedName>
    <definedName name="Table6b" localSheetId="235">'[4]Non-fire LA Rate'!#REF!</definedName>
    <definedName name="Table6b" localSheetId="202">'[4]Non-fire LA Rate'!#REF!</definedName>
    <definedName name="Table6b" localSheetId="249">'[4]Non-fire LA Rate'!#REF!</definedName>
    <definedName name="Table6b" localSheetId="218">'[4]Non-fire LA Rate'!#REF!</definedName>
    <definedName name="Table6b" localSheetId="219">'[4]Non-fire LA Rate'!#REF!</definedName>
    <definedName name="Table6b" localSheetId="220">'[4]Non-fire LA Rate'!#REF!</definedName>
    <definedName name="Table6b" localSheetId="221">'[4]Non-fire LA Rate'!#REF!</definedName>
    <definedName name="Table6b" localSheetId="222">'[4]Non-fire LA Rate'!#REF!</definedName>
    <definedName name="Table6b" localSheetId="223">'[4]Non-fire LA Rate'!#REF!</definedName>
    <definedName name="Table6b" localSheetId="224">'[4]Non-fire LA Rate'!#REF!</definedName>
    <definedName name="Table6b" localSheetId="226">'[4]Non-fire LA Rate'!#REF!</definedName>
    <definedName name="Table6b" localSheetId="225">'[4]Non-fire LA Rate'!#REF!</definedName>
    <definedName name="Table6b" localSheetId="227">'[4]Non-fire LA Rate'!#REF!</definedName>
    <definedName name="Table6b" localSheetId="228">'[4]Non-fire LA Rate'!#REF!</definedName>
    <definedName name="Table6b" localSheetId="229">'[4]Non-fire LA Rate'!#REF!</definedName>
    <definedName name="Table6b" localSheetId="230">'[4]Non-fire LA Rate'!#REF!</definedName>
    <definedName name="Table6b" localSheetId="231">'[4]Non-fire LA Rate'!#REF!</definedName>
    <definedName name="Table6b" localSheetId="248">'[4]Non-fire LA Rate'!#REF!</definedName>
    <definedName name="Table6b" localSheetId="238">'[4]Non-fire LA Rate'!#REF!</definedName>
    <definedName name="Table6b" localSheetId="203">'[4]Non-fire LA Rate'!#REF!</definedName>
    <definedName name="Table6b" localSheetId="243">'[4]Non-fire LA Rate'!#REF!</definedName>
    <definedName name="Table6b" localSheetId="241">'[4]Non-fire LA Rate'!#REF!</definedName>
    <definedName name="Table6b" localSheetId="242">'[4]Non-fire LA Rate'!#REF!</definedName>
    <definedName name="Table6b" localSheetId="240">'[4]Non-fire LA Rate'!#REF!</definedName>
    <definedName name="Table6b" localSheetId="239">'[4]Non-fire LA Rate'!#REF!</definedName>
    <definedName name="Table6b" localSheetId="234">'[4]Non-fire LA Rate'!#REF!</definedName>
    <definedName name="Table6b" localSheetId="236">'[4]Non-fire LA Rate'!#REF!</definedName>
    <definedName name="Table6b" localSheetId="246">'[4]Non-fire LA Rate'!#REF!</definedName>
    <definedName name="Table6b" localSheetId="237">'[4]Non-fire LA Rate'!#REF!</definedName>
    <definedName name="Table6b" localSheetId="247">'[4]Non-fire LA Rate'!#REF!</definedName>
    <definedName name="Table6b">'Non-fire LA Rate'!#REF!</definedName>
    <definedName name="Table6c">'RTC Flooding'!$A$3</definedName>
    <definedName name="Table6d">'RTC Flooding'!$A$26</definedName>
    <definedName name="Table7">'Casualties Non-fire'!$A$3</definedName>
    <definedName name="Table8">'Building Fires-old'!$A$3</definedName>
    <definedName name="Table8a">'Building Fires LA-old'!$A$3</definedName>
    <definedName name="Table9">'Outdoor Fires'!$A$3</definedName>
    <definedName name="Table9a">'Outdoor Fires Prim LA'!$A$3</definedName>
    <definedName name="Table9b">'Outdoor Fires Sec LA'!$A$3</definedName>
    <definedName name="ThisYear" localSheetId="14">#REF!</definedName>
    <definedName name="ThisYear" localSheetId="43">'[3]Reference Page'!$B$2</definedName>
    <definedName name="ThisYear" localSheetId="175">#REF!</definedName>
    <definedName name="ThisYear" localSheetId="176">#REF!</definedName>
    <definedName name="ThisYear" localSheetId="177">#REF!</definedName>
    <definedName name="ThisYear" localSheetId="178">#REF!</definedName>
    <definedName name="ThisYear" localSheetId="179">#REF!</definedName>
    <definedName name="ThisYear" localSheetId="180">#REF!</definedName>
    <definedName name="ThisYear" localSheetId="232">#REF!</definedName>
    <definedName name="ThisYear" localSheetId="181">#REF!</definedName>
    <definedName name="ThisYear" localSheetId="182">#REF!</definedName>
    <definedName name="ThisYear" localSheetId="183">#REF!</definedName>
    <definedName name="ThisYear" localSheetId="184">#REF!</definedName>
    <definedName name="ThisYear" localSheetId="185">#REF!</definedName>
    <definedName name="ThisYear" localSheetId="186">#REF!</definedName>
    <definedName name="ThisYear" localSheetId="187">#REF!</definedName>
    <definedName name="ThisYear" localSheetId="188">#REF!</definedName>
    <definedName name="ThisYear" localSheetId="189">#REF!</definedName>
    <definedName name="ThisYear" localSheetId="190">#REF!</definedName>
    <definedName name="ThisYear" localSheetId="191">#REF!</definedName>
    <definedName name="ThisYear" localSheetId="192">#REF!</definedName>
    <definedName name="ThisYear" localSheetId="251">#REF!</definedName>
    <definedName name="ThisYear" localSheetId="250">#REF!</definedName>
    <definedName name="ThisYear" localSheetId="252">#REF!</definedName>
    <definedName name="ThisYear" localSheetId="193">#REF!</definedName>
    <definedName name="ThisYear" localSheetId="194">#REF!</definedName>
    <definedName name="ThisYear" localSheetId="195">#REF!</definedName>
    <definedName name="ThisYear" localSheetId="196">#REF!</definedName>
    <definedName name="ThisYear" localSheetId="233">#REF!</definedName>
    <definedName name="ThisYear" localSheetId="197">#REF!</definedName>
    <definedName name="ThisYear" localSheetId="200">#REF!</definedName>
    <definedName name="ThisYear" localSheetId="198">#REF!</definedName>
    <definedName name="ThisYear" localSheetId="199">#REF!</definedName>
    <definedName name="ThisYear" localSheetId="201">#REF!</definedName>
    <definedName name="ThisYear" localSheetId="204">#REF!</definedName>
    <definedName name="ThisYear" localSheetId="205">#REF!</definedName>
    <definedName name="ThisYear" localSheetId="206">#REF!</definedName>
    <definedName name="ThisYear" localSheetId="207">#REF!</definedName>
    <definedName name="ThisYear" localSheetId="208">#REF!</definedName>
    <definedName name="ThisYear" localSheetId="209">#REF!</definedName>
    <definedName name="ThisYear" localSheetId="210">#REF!</definedName>
    <definedName name="ThisYear" localSheetId="211">#REF!</definedName>
    <definedName name="ThisYear" localSheetId="212">#REF!</definedName>
    <definedName name="ThisYear" localSheetId="213">#REF!</definedName>
    <definedName name="ThisYear" localSheetId="244">#REF!</definedName>
    <definedName name="ThisYear" localSheetId="214">#REF!</definedName>
    <definedName name="ThisYear" localSheetId="245">#REF!</definedName>
    <definedName name="ThisYear" localSheetId="215">#REF!</definedName>
    <definedName name="ThisYear" localSheetId="216">#REF!</definedName>
    <definedName name="ThisYear" localSheetId="217">#REF!</definedName>
    <definedName name="ThisYear" localSheetId="235">#REF!</definedName>
    <definedName name="ThisYear" localSheetId="202">#REF!</definedName>
    <definedName name="ThisYear" localSheetId="249">#REF!</definedName>
    <definedName name="ThisYear" localSheetId="218">#REF!</definedName>
    <definedName name="ThisYear" localSheetId="219">#REF!</definedName>
    <definedName name="ThisYear" localSheetId="220">#REF!</definedName>
    <definedName name="ThisYear" localSheetId="221">#REF!</definedName>
    <definedName name="ThisYear" localSheetId="222">#REF!</definedName>
    <definedName name="ThisYear" localSheetId="223">#REF!</definedName>
    <definedName name="ThisYear" localSheetId="224">#REF!</definedName>
    <definedName name="ThisYear" localSheetId="226">#REF!</definedName>
    <definedName name="ThisYear" localSheetId="225">#REF!</definedName>
    <definedName name="ThisYear" localSheetId="227">#REF!</definedName>
    <definedName name="ThisYear" localSheetId="228">#REF!</definedName>
    <definedName name="ThisYear" localSheetId="229">#REF!</definedName>
    <definedName name="ThisYear" localSheetId="230">#REF!</definedName>
    <definedName name="ThisYear" localSheetId="231">#REF!</definedName>
    <definedName name="ThisYear" localSheetId="248">#REF!</definedName>
    <definedName name="ThisYear" localSheetId="238">#REF!</definedName>
    <definedName name="ThisYear" localSheetId="203">#REF!</definedName>
    <definedName name="ThisYear" localSheetId="243">#REF!</definedName>
    <definedName name="ThisYear" localSheetId="241">#REF!</definedName>
    <definedName name="ThisYear" localSheetId="242">#REF!</definedName>
    <definedName name="ThisYear" localSheetId="240">#REF!</definedName>
    <definedName name="ThisYear" localSheetId="239">#REF!</definedName>
    <definedName name="ThisYear" localSheetId="234">#REF!</definedName>
    <definedName name="ThisYear" localSheetId="236">#REF!</definedName>
    <definedName name="ThisYear" localSheetId="246">#REF!</definedName>
    <definedName name="ThisYear" localSheetId="237">#REF!</definedName>
    <definedName name="ThisYear" localSheetId="247">#REF!</definedName>
    <definedName name="ThisYear">#REF!</definedName>
    <definedName name="WorkSheet_1" localSheetId="78">Introduction!#REF!</definedName>
    <definedName name="WorkSheet_1" localSheetId="169">Introduction!#REF!</definedName>
    <definedName name="WorkSheet_1" localSheetId="170">Introduction!#REF!</definedName>
    <definedName name="WorkSheet_1" localSheetId="174">Introduction!#REF!</definedName>
    <definedName name="WorkSheet_1" localSheetId="14">[2]Introduction!#REF!</definedName>
    <definedName name="WorkSheet_1" localSheetId="42">Introduction!#REF!</definedName>
    <definedName name="WorkSheet_1" localSheetId="43">[3]Introduction!#REF!</definedName>
    <definedName name="WorkSheet_1" localSheetId="175">Introduction!#REF!</definedName>
    <definedName name="WorkSheet_1" localSheetId="176">[4]Introduction!#REF!</definedName>
    <definedName name="WorkSheet_1" localSheetId="177">[4]Introduction!#REF!</definedName>
    <definedName name="WorkSheet_1" localSheetId="178">[4]Introduction!#REF!</definedName>
    <definedName name="WorkSheet_1" localSheetId="179">[4]Introduction!#REF!</definedName>
    <definedName name="WorkSheet_1" localSheetId="180">[4]Introduction!#REF!</definedName>
    <definedName name="WorkSheet_1" localSheetId="232">[4]Introduction!#REF!</definedName>
    <definedName name="WorkSheet_1" localSheetId="181">[4]Introduction!#REF!</definedName>
    <definedName name="WorkSheet_1" localSheetId="182">[4]Introduction!#REF!</definedName>
    <definedName name="WorkSheet_1" localSheetId="183">[4]Introduction!#REF!</definedName>
    <definedName name="WorkSheet_1" localSheetId="184">[4]Introduction!#REF!</definedName>
    <definedName name="WorkSheet_1" localSheetId="185">[4]Introduction!#REF!</definedName>
    <definedName name="WorkSheet_1" localSheetId="186">[4]Introduction!#REF!</definedName>
    <definedName name="WorkSheet_1" localSheetId="187">[4]Introduction!#REF!</definedName>
    <definedName name="WorkSheet_1" localSheetId="188">[4]Introduction!#REF!</definedName>
    <definedName name="WorkSheet_1" localSheetId="189">[4]Introduction!#REF!</definedName>
    <definedName name="WorkSheet_1" localSheetId="190">[4]Introduction!#REF!</definedName>
    <definedName name="WorkSheet_1" localSheetId="191">[4]Introduction!#REF!</definedName>
    <definedName name="WorkSheet_1" localSheetId="192">[4]Introduction!#REF!</definedName>
    <definedName name="WorkSheet_1" localSheetId="251">[4]Introduction!#REF!</definedName>
    <definedName name="WorkSheet_1" localSheetId="250">[4]Introduction!#REF!</definedName>
    <definedName name="WorkSheet_1" localSheetId="252">[4]Introduction!#REF!</definedName>
    <definedName name="WorkSheet_1" localSheetId="193">[4]Introduction!#REF!</definedName>
    <definedName name="WorkSheet_1" localSheetId="194">[4]Introduction!#REF!</definedName>
    <definedName name="WorkSheet_1" localSheetId="195">[4]Introduction!#REF!</definedName>
    <definedName name="WorkSheet_1" localSheetId="196">[4]Introduction!#REF!</definedName>
    <definedName name="WorkSheet_1" localSheetId="233">[4]Introduction!#REF!</definedName>
    <definedName name="WorkSheet_1" localSheetId="197">[4]Introduction!#REF!</definedName>
    <definedName name="WorkSheet_1" localSheetId="200">[4]Introduction!#REF!</definedName>
    <definedName name="WorkSheet_1" localSheetId="198">[4]Introduction!#REF!</definedName>
    <definedName name="WorkSheet_1" localSheetId="199">[4]Introduction!#REF!</definedName>
    <definedName name="WorkSheet_1" localSheetId="201">[4]Introduction!#REF!</definedName>
    <definedName name="WorkSheet_1" localSheetId="204">[4]Introduction!#REF!</definedName>
    <definedName name="WorkSheet_1" localSheetId="205">[4]Introduction!#REF!</definedName>
    <definedName name="WorkSheet_1" localSheetId="206">[4]Introduction!#REF!</definedName>
    <definedName name="WorkSheet_1" localSheetId="207">[4]Introduction!#REF!</definedName>
    <definedName name="WorkSheet_1" localSheetId="208">[4]Introduction!#REF!</definedName>
    <definedName name="WorkSheet_1" localSheetId="209">[4]Introduction!#REF!</definedName>
    <definedName name="WorkSheet_1" localSheetId="210">[4]Introduction!#REF!</definedName>
    <definedName name="WorkSheet_1" localSheetId="211">[4]Introduction!#REF!</definedName>
    <definedName name="WorkSheet_1" localSheetId="212">[4]Introduction!#REF!</definedName>
    <definedName name="WorkSheet_1" localSheetId="213">[4]Introduction!#REF!</definedName>
    <definedName name="WorkSheet_1" localSheetId="244">[4]Introduction!#REF!</definedName>
    <definedName name="WorkSheet_1" localSheetId="214">[4]Introduction!#REF!</definedName>
    <definedName name="WorkSheet_1" localSheetId="245">[4]Introduction!#REF!</definedName>
    <definedName name="WorkSheet_1" localSheetId="215">[4]Introduction!#REF!</definedName>
    <definedName name="WorkSheet_1" localSheetId="216">[4]Introduction!#REF!</definedName>
    <definedName name="WorkSheet_1" localSheetId="217">[4]Introduction!#REF!</definedName>
    <definedName name="WorkSheet_1" localSheetId="235">[4]Introduction!#REF!</definedName>
    <definedName name="WorkSheet_1" localSheetId="202">[4]Introduction!#REF!</definedName>
    <definedName name="WorkSheet_1" localSheetId="249">[4]Introduction!#REF!</definedName>
    <definedName name="WorkSheet_1" localSheetId="218">[4]Introduction!#REF!</definedName>
    <definedName name="WorkSheet_1" localSheetId="219">[4]Introduction!#REF!</definedName>
    <definedName name="WorkSheet_1" localSheetId="220">[4]Introduction!#REF!</definedName>
    <definedName name="WorkSheet_1" localSheetId="221">[4]Introduction!#REF!</definedName>
    <definedName name="WorkSheet_1" localSheetId="222">[4]Introduction!#REF!</definedName>
    <definedName name="WorkSheet_1" localSheetId="223">[4]Introduction!#REF!</definedName>
    <definedName name="WorkSheet_1" localSheetId="224">[4]Introduction!#REF!</definedName>
    <definedName name="WorkSheet_1" localSheetId="226">[4]Introduction!#REF!</definedName>
    <definedName name="WorkSheet_1" localSheetId="225">[4]Introduction!#REF!</definedName>
    <definedName name="WorkSheet_1" localSheetId="227">[4]Introduction!#REF!</definedName>
    <definedName name="WorkSheet_1" localSheetId="228">[4]Introduction!#REF!</definedName>
    <definedName name="WorkSheet_1" localSheetId="229">[4]Introduction!#REF!</definedName>
    <definedName name="WorkSheet_1" localSheetId="230">[4]Introduction!#REF!</definedName>
    <definedName name="WorkSheet_1" localSheetId="231">[4]Introduction!#REF!</definedName>
    <definedName name="WorkSheet_1" localSheetId="248">[4]Introduction!#REF!</definedName>
    <definedName name="WorkSheet_1" localSheetId="238">[4]Introduction!#REF!</definedName>
    <definedName name="WorkSheet_1" localSheetId="203">[4]Introduction!#REF!</definedName>
    <definedName name="WorkSheet_1" localSheetId="243">[4]Introduction!#REF!</definedName>
    <definedName name="WorkSheet_1" localSheetId="241">[4]Introduction!#REF!</definedName>
    <definedName name="WorkSheet_1" localSheetId="242">[4]Introduction!#REF!</definedName>
    <definedName name="WorkSheet_1" localSheetId="240">[4]Introduction!#REF!</definedName>
    <definedName name="WorkSheet_1" localSheetId="239">[4]Introduction!#REF!</definedName>
    <definedName name="WorkSheet_1" localSheetId="234">[4]Introduction!#REF!</definedName>
    <definedName name="WorkSheet_1" localSheetId="236">[4]Introduction!#REF!</definedName>
    <definedName name="WorkSheet_1" localSheetId="246">[4]Introduction!#REF!</definedName>
    <definedName name="WorkSheet_1" localSheetId="237">[4]Introduction!#REF!</definedName>
    <definedName name="WorkSheet_1" localSheetId="247">[4]Introduction!#REF!</definedName>
    <definedName name="WorkSheet_1">Introduction!#REF!</definedName>
    <definedName name="WorkSheet_10">'Non-fire False Alarms'!$A$8</definedName>
    <definedName name="WorkSheet_100" localSheetId="169">Introduction!#REF!</definedName>
    <definedName name="WorkSheet_100" localSheetId="170">Introduction!#REF!</definedName>
    <definedName name="WorkSheet_100" localSheetId="174">Introduction!#REF!</definedName>
    <definedName name="WorkSheet_100" localSheetId="43">[3]Introduction!#REF!</definedName>
    <definedName name="WorkSheet_100" localSheetId="175">Introduction!#REF!</definedName>
    <definedName name="WorkSheet_100" localSheetId="176">[4]Introduction!#REF!</definedName>
    <definedName name="WorkSheet_100" localSheetId="177">[4]Introduction!#REF!</definedName>
    <definedName name="WorkSheet_100" localSheetId="178">[4]Introduction!#REF!</definedName>
    <definedName name="WorkSheet_100" localSheetId="179">[4]Introduction!#REF!</definedName>
    <definedName name="WorkSheet_100" localSheetId="180">[4]Introduction!#REF!</definedName>
    <definedName name="WorkSheet_100" localSheetId="232">[4]Introduction!#REF!</definedName>
    <definedName name="WorkSheet_100" localSheetId="181">[4]Introduction!#REF!</definedName>
    <definedName name="WorkSheet_100" localSheetId="182">[4]Introduction!#REF!</definedName>
    <definedName name="WorkSheet_100" localSheetId="183">[4]Introduction!#REF!</definedName>
    <definedName name="WorkSheet_100" localSheetId="184">[4]Introduction!#REF!</definedName>
    <definedName name="WorkSheet_100" localSheetId="185">[4]Introduction!#REF!</definedName>
    <definedName name="WorkSheet_100" localSheetId="186">[4]Introduction!#REF!</definedName>
    <definedName name="WorkSheet_100" localSheetId="187">[4]Introduction!#REF!</definedName>
    <definedName name="WorkSheet_100" localSheetId="188">[4]Introduction!#REF!</definedName>
    <definedName name="WorkSheet_100" localSheetId="189">[4]Introduction!#REF!</definedName>
    <definedName name="WorkSheet_100" localSheetId="190">[4]Introduction!#REF!</definedName>
    <definedName name="WorkSheet_100" localSheetId="191">[4]Introduction!#REF!</definedName>
    <definedName name="WorkSheet_100" localSheetId="192">[4]Introduction!#REF!</definedName>
    <definedName name="WorkSheet_100" localSheetId="251">[4]Introduction!#REF!</definedName>
    <definedName name="WorkSheet_100" localSheetId="250">[4]Introduction!#REF!</definedName>
    <definedName name="WorkSheet_100" localSheetId="252">[4]Introduction!#REF!</definedName>
    <definedName name="WorkSheet_100" localSheetId="193">[4]Introduction!#REF!</definedName>
    <definedName name="WorkSheet_100" localSheetId="194">[4]Introduction!#REF!</definedName>
    <definedName name="WorkSheet_100" localSheetId="195">[4]Introduction!#REF!</definedName>
    <definedName name="WorkSheet_100" localSheetId="196">[4]Introduction!#REF!</definedName>
    <definedName name="WorkSheet_100" localSheetId="233">[4]Introduction!#REF!</definedName>
    <definedName name="WorkSheet_100" localSheetId="197">[4]Introduction!#REF!</definedName>
    <definedName name="WorkSheet_100" localSheetId="200">[4]Introduction!#REF!</definedName>
    <definedName name="WorkSheet_100" localSheetId="198">[4]Introduction!#REF!</definedName>
    <definedName name="WorkSheet_100" localSheetId="199">[4]Introduction!#REF!</definedName>
    <definedName name="WorkSheet_100" localSheetId="201">[4]Introduction!#REF!</definedName>
    <definedName name="WorkSheet_100" localSheetId="204">[4]Introduction!#REF!</definedName>
    <definedName name="WorkSheet_100" localSheetId="205">[4]Introduction!#REF!</definedName>
    <definedName name="WorkSheet_100" localSheetId="206">[4]Introduction!#REF!</definedName>
    <definedName name="WorkSheet_100" localSheetId="207">[4]Introduction!#REF!</definedName>
    <definedName name="WorkSheet_100" localSheetId="208">[4]Introduction!#REF!</definedName>
    <definedName name="WorkSheet_100" localSheetId="209">[4]Introduction!#REF!</definedName>
    <definedName name="WorkSheet_100" localSheetId="210">[4]Introduction!#REF!</definedName>
    <definedName name="WorkSheet_100" localSheetId="211">[4]Introduction!#REF!</definedName>
    <definedName name="WorkSheet_100" localSheetId="212">[4]Introduction!#REF!</definedName>
    <definedName name="WorkSheet_100" localSheetId="213">[4]Introduction!#REF!</definedName>
    <definedName name="WorkSheet_100" localSheetId="244">[4]Introduction!#REF!</definedName>
    <definedName name="WorkSheet_100" localSheetId="214">[4]Introduction!#REF!</definedName>
    <definedName name="WorkSheet_100" localSheetId="245">[4]Introduction!#REF!</definedName>
    <definedName name="WorkSheet_100" localSheetId="215">[4]Introduction!#REF!</definedName>
    <definedName name="WorkSheet_100" localSheetId="216">[4]Introduction!#REF!</definedName>
    <definedName name="WorkSheet_100" localSheetId="217">[4]Introduction!#REF!</definedName>
    <definedName name="WorkSheet_100" localSheetId="235">[4]Introduction!#REF!</definedName>
    <definedName name="WorkSheet_100" localSheetId="202">[4]Introduction!#REF!</definedName>
    <definedName name="WorkSheet_100" localSheetId="249">[4]Introduction!#REF!</definedName>
    <definedName name="WorkSheet_100" localSheetId="218">[4]Introduction!#REF!</definedName>
    <definedName name="WorkSheet_100" localSheetId="219">[4]Introduction!#REF!</definedName>
    <definedName name="WorkSheet_100" localSheetId="220">[4]Introduction!#REF!</definedName>
    <definedName name="WorkSheet_100" localSheetId="221">[4]Introduction!#REF!</definedName>
    <definedName name="WorkSheet_100" localSheetId="222">[4]Introduction!#REF!</definedName>
    <definedName name="WorkSheet_100" localSheetId="223">[4]Introduction!#REF!</definedName>
    <definedName name="WorkSheet_100" localSheetId="224">[4]Introduction!#REF!</definedName>
    <definedName name="WorkSheet_100" localSheetId="226">[4]Introduction!#REF!</definedName>
    <definedName name="WorkSheet_100" localSheetId="225">[4]Introduction!#REF!</definedName>
    <definedName name="WorkSheet_100" localSheetId="227">[4]Introduction!#REF!</definedName>
    <definedName name="WorkSheet_100" localSheetId="228">[4]Introduction!#REF!</definedName>
    <definedName name="WorkSheet_100" localSheetId="229">[4]Introduction!#REF!</definedName>
    <definedName name="WorkSheet_100" localSheetId="230">[4]Introduction!#REF!</definedName>
    <definedName name="WorkSheet_100" localSheetId="231">[4]Introduction!#REF!</definedName>
    <definedName name="WorkSheet_100" localSheetId="248">[4]Introduction!#REF!</definedName>
    <definedName name="WorkSheet_100" localSheetId="238">[4]Introduction!#REF!</definedName>
    <definedName name="WorkSheet_100" localSheetId="203">[4]Introduction!#REF!</definedName>
    <definedName name="WorkSheet_100" localSheetId="243">[4]Introduction!#REF!</definedName>
    <definedName name="WorkSheet_100" localSheetId="241">[4]Introduction!#REF!</definedName>
    <definedName name="WorkSheet_100" localSheetId="242">[4]Introduction!#REF!</definedName>
    <definedName name="WorkSheet_100" localSheetId="240">[4]Introduction!#REF!</definedName>
    <definedName name="WorkSheet_100" localSheetId="239">[4]Introduction!#REF!</definedName>
    <definedName name="WorkSheet_100" localSheetId="234">[4]Introduction!#REF!</definedName>
    <definedName name="WorkSheet_100" localSheetId="236">[4]Introduction!#REF!</definedName>
    <definedName name="WorkSheet_100" localSheetId="246">[4]Introduction!#REF!</definedName>
    <definedName name="WorkSheet_100" localSheetId="237">[4]Introduction!#REF!</definedName>
    <definedName name="WorkSheet_100" localSheetId="247">[4]Introduction!#REF!</definedName>
    <definedName name="WorkSheet_100">Introduction!#REF!</definedName>
    <definedName name="WorkSheet_11">'Non-fire'!$A$8</definedName>
    <definedName name="WorkSheet_12">'Non-fire LA Rate'!$B$8</definedName>
    <definedName name="WorkSheet_13">'RTC Flooding'!$A$8</definedName>
    <definedName name="WorkSheet_14">'Casualties Non-fire'!$A$8</definedName>
    <definedName name="WorkSheet_15">'Building Fires-old'!$A$8</definedName>
    <definedName name="WorkSheet_16">'Outdoor Fires'!$A$8</definedName>
    <definedName name="WorkSheet_17">'Outdoor Fires Prim LA'!$B$9</definedName>
    <definedName name="WorkSheet_18">'Outdoor Fires Sec LA'!$B$8</definedName>
    <definedName name="WorkSheet_19">'GB Casualties'!$A$8</definedName>
    <definedName name="WorkSheet_2">#REF!</definedName>
    <definedName name="WorkSheet_20">'GB Incident'!$A$8</definedName>
    <definedName name="WorkSheet_21">'Casualties Motive'!$A$8</definedName>
    <definedName name="WorkSheet_22">'Motive Primary LA Rate'!$B$8</definedName>
    <definedName name="WorkSheet_23">'Casualties Motive LA'!$B$8</definedName>
    <definedName name="WorkSheet_24">'Motive Secondary'!$A$8</definedName>
    <definedName name="WorkSheet_25">'Motive Secondary LA'!$B$8</definedName>
    <definedName name="WorkSheet_26">'Motive Secondary LA Rate'!$B$8</definedName>
    <definedName name="WorkSheet_27">'Casualty Gender'!$A$10</definedName>
    <definedName name="WorkSheet_28">'Type of Injury Gender'!$A$10</definedName>
    <definedName name="WorkSheet_29">Treatment!$A$8</definedName>
    <definedName name="WorkSheet_3" localSheetId="78">'Incidents Timeseries'!#REF!</definedName>
    <definedName name="WorkSheet_3" localSheetId="169">'Incidents Timeseries'!#REF!</definedName>
    <definedName name="WorkSheet_3" localSheetId="170">'Incidents Timeseries'!#REF!</definedName>
    <definedName name="WorkSheet_3" localSheetId="174">'Incidents Timeseries'!#REF!</definedName>
    <definedName name="WorkSheet_3" localSheetId="14">'[6]Long-Term Trend'!#REF!</definedName>
    <definedName name="WorkSheet_3" localSheetId="42">'Incidents Timeseries'!#REF!</definedName>
    <definedName name="WorkSheet_3" localSheetId="43">'[3]Incidents Timeseries'!#REF!</definedName>
    <definedName name="WorkSheet_3" localSheetId="175">'Incidents Timeseries'!#REF!</definedName>
    <definedName name="WorkSheet_3" localSheetId="176">'[4]Incidents Timeseries'!#REF!</definedName>
    <definedName name="WorkSheet_3" localSheetId="177">'[4]Incidents Timeseries'!#REF!</definedName>
    <definedName name="WorkSheet_3" localSheetId="178">'[4]Incidents Timeseries'!#REF!</definedName>
    <definedName name="WorkSheet_3" localSheetId="179">'[4]Incidents Timeseries'!#REF!</definedName>
    <definedName name="WorkSheet_3" localSheetId="180">'[4]Incidents Timeseries'!#REF!</definedName>
    <definedName name="WorkSheet_3" localSheetId="232">'[4]Incidents Timeseries'!#REF!</definedName>
    <definedName name="WorkSheet_3" localSheetId="181">'[4]Incidents Timeseries'!#REF!</definedName>
    <definedName name="WorkSheet_3" localSheetId="182">'[4]Incidents Timeseries'!#REF!</definedName>
    <definedName name="WorkSheet_3" localSheetId="183">'[4]Incidents Timeseries'!#REF!</definedName>
    <definedName name="WorkSheet_3" localSheetId="184">'[4]Incidents Timeseries'!#REF!</definedName>
    <definedName name="WorkSheet_3" localSheetId="185">'[4]Incidents Timeseries'!#REF!</definedName>
    <definedName name="WorkSheet_3" localSheetId="186">'[4]Incidents Timeseries'!#REF!</definedName>
    <definedName name="WorkSheet_3" localSheetId="187">'[4]Incidents Timeseries'!#REF!</definedName>
    <definedName name="WorkSheet_3" localSheetId="188">'[4]Incidents Timeseries'!#REF!</definedName>
    <definedName name="WorkSheet_3" localSheetId="189">'[4]Incidents Timeseries'!#REF!</definedName>
    <definedName name="WorkSheet_3" localSheetId="190">'[4]Incidents Timeseries'!#REF!</definedName>
    <definedName name="WorkSheet_3" localSheetId="191">'[4]Incidents Timeseries'!#REF!</definedName>
    <definedName name="WorkSheet_3" localSheetId="192">'[4]Incidents Timeseries'!#REF!</definedName>
    <definedName name="WorkSheet_3" localSheetId="251">'[4]Incidents Timeseries'!#REF!</definedName>
    <definedName name="WorkSheet_3" localSheetId="250">'[4]Incidents Timeseries'!#REF!</definedName>
    <definedName name="WorkSheet_3" localSheetId="252">'[4]Incidents Timeseries'!#REF!</definedName>
    <definedName name="WorkSheet_3" localSheetId="193">'[4]Incidents Timeseries'!#REF!</definedName>
    <definedName name="WorkSheet_3" localSheetId="194">'[4]Incidents Timeseries'!#REF!</definedName>
    <definedName name="WorkSheet_3" localSheetId="195">'[4]Incidents Timeseries'!#REF!</definedName>
    <definedName name="WorkSheet_3" localSheetId="196">'[4]Incidents Timeseries'!#REF!</definedName>
    <definedName name="WorkSheet_3" localSheetId="233">'[4]Incidents Timeseries'!#REF!</definedName>
    <definedName name="WorkSheet_3" localSheetId="197">'[4]Incidents Timeseries'!#REF!</definedName>
    <definedName name="WorkSheet_3" localSheetId="200">'[4]Incidents Timeseries'!#REF!</definedName>
    <definedName name="WorkSheet_3" localSheetId="198">'[4]Incidents Timeseries'!#REF!</definedName>
    <definedName name="WorkSheet_3" localSheetId="199">'[4]Incidents Timeseries'!#REF!</definedName>
    <definedName name="WorkSheet_3" localSheetId="201">'[4]Incidents Timeseries'!#REF!</definedName>
    <definedName name="WorkSheet_3" localSheetId="204">'[4]Incidents Timeseries'!#REF!</definedName>
    <definedName name="WorkSheet_3" localSheetId="205">'[4]Incidents Timeseries'!#REF!</definedName>
    <definedName name="WorkSheet_3" localSheetId="206">'[4]Incidents Timeseries'!#REF!</definedName>
    <definedName name="WorkSheet_3" localSheetId="207">'[4]Incidents Timeseries'!#REF!</definedName>
    <definedName name="WorkSheet_3" localSheetId="208">'[4]Incidents Timeseries'!#REF!</definedName>
    <definedName name="WorkSheet_3" localSheetId="209">'[4]Incidents Timeseries'!#REF!</definedName>
    <definedName name="WorkSheet_3" localSheetId="210">'[4]Incidents Timeseries'!#REF!</definedName>
    <definedName name="WorkSheet_3" localSheetId="211">'[4]Incidents Timeseries'!#REF!</definedName>
    <definedName name="WorkSheet_3" localSheetId="212">'[4]Incidents Timeseries'!#REF!</definedName>
    <definedName name="WorkSheet_3" localSheetId="213">'[4]Incidents Timeseries'!#REF!</definedName>
    <definedName name="WorkSheet_3" localSheetId="244">'[4]Incidents Timeseries'!#REF!</definedName>
    <definedName name="WorkSheet_3" localSheetId="214">'[4]Incidents Timeseries'!#REF!</definedName>
    <definedName name="WorkSheet_3" localSheetId="245">'[4]Incidents Timeseries'!#REF!</definedName>
    <definedName name="WorkSheet_3" localSheetId="215">'[4]Incidents Timeseries'!#REF!</definedName>
    <definedName name="WorkSheet_3" localSheetId="216">'[4]Incidents Timeseries'!#REF!</definedName>
    <definedName name="WorkSheet_3" localSheetId="217">'[4]Incidents Timeseries'!#REF!</definedName>
    <definedName name="WorkSheet_3" localSheetId="235">'[4]Incidents Timeseries'!#REF!</definedName>
    <definedName name="WorkSheet_3" localSheetId="202">'[4]Incidents Timeseries'!#REF!</definedName>
    <definedName name="WorkSheet_3" localSheetId="249">'[4]Incidents Timeseries'!#REF!</definedName>
    <definedName name="WorkSheet_3" localSheetId="218">'[4]Incidents Timeseries'!#REF!</definedName>
    <definedName name="WorkSheet_3" localSheetId="219">'[4]Incidents Timeseries'!#REF!</definedName>
    <definedName name="WorkSheet_3" localSheetId="220">'[4]Incidents Timeseries'!#REF!</definedName>
    <definedName name="WorkSheet_3" localSheetId="221">'[4]Incidents Timeseries'!#REF!</definedName>
    <definedName name="WorkSheet_3" localSheetId="222">'[4]Incidents Timeseries'!#REF!</definedName>
    <definedName name="WorkSheet_3" localSheetId="223">'[4]Incidents Timeseries'!#REF!</definedName>
    <definedName name="WorkSheet_3" localSheetId="224">'[4]Incidents Timeseries'!#REF!</definedName>
    <definedName name="WorkSheet_3" localSheetId="226">'[4]Incidents Timeseries'!#REF!</definedName>
    <definedName name="WorkSheet_3" localSheetId="225">'[4]Incidents Timeseries'!#REF!</definedName>
    <definedName name="WorkSheet_3" localSheetId="227">'[4]Incidents Timeseries'!#REF!</definedName>
    <definedName name="WorkSheet_3" localSheetId="228">'[4]Incidents Timeseries'!#REF!</definedName>
    <definedName name="WorkSheet_3" localSheetId="229">'[4]Incidents Timeseries'!#REF!</definedName>
    <definedName name="WorkSheet_3" localSheetId="230">'[4]Incidents Timeseries'!#REF!</definedName>
    <definedName name="WorkSheet_3" localSheetId="231">'[4]Incidents Timeseries'!#REF!</definedName>
    <definedName name="WorkSheet_3" localSheetId="248">'[4]Incidents Timeseries'!#REF!</definedName>
    <definedName name="WorkSheet_3" localSheetId="238">'[4]Incidents Timeseries'!#REF!</definedName>
    <definedName name="WorkSheet_3" localSheetId="203">'[4]Incidents Timeseries'!#REF!</definedName>
    <definedName name="WorkSheet_3" localSheetId="243">'[4]Incidents Timeseries'!#REF!</definedName>
    <definedName name="WorkSheet_3" localSheetId="241">'[4]Incidents Timeseries'!#REF!</definedName>
    <definedName name="WorkSheet_3" localSheetId="242">'[4]Incidents Timeseries'!#REF!</definedName>
    <definedName name="WorkSheet_3" localSheetId="240">'[4]Incidents Timeseries'!#REF!</definedName>
    <definedName name="WorkSheet_3" localSheetId="239">'[4]Incidents Timeseries'!#REF!</definedName>
    <definedName name="WorkSheet_3" localSheetId="234">'[4]Incidents Timeseries'!#REF!</definedName>
    <definedName name="WorkSheet_3" localSheetId="236">'[4]Incidents Timeseries'!#REF!</definedName>
    <definedName name="WorkSheet_3" localSheetId="246">'[4]Incidents Timeseries'!#REF!</definedName>
    <definedName name="WorkSheet_3" localSheetId="237">'[4]Incidents Timeseries'!#REF!</definedName>
    <definedName name="WorkSheet_3" localSheetId="247">'[4]Incidents Timeseries'!#REF!</definedName>
    <definedName name="WorkSheet_3">'Incidents Timeseries'!#REF!</definedName>
    <definedName name="WorkSheet_30">'Casualty Gender Rate'!$A$8</definedName>
    <definedName name="WorkSheet_31">'Type of Injury Gender Rate'!$A$8</definedName>
    <definedName name="WorkSheet_32" localSheetId="43">T_1616a_old!$A$9</definedName>
    <definedName name="WorkSheet_32">#REF!</definedName>
    <definedName name="WorkSheet_33">'Type of Injury Age'!$A$8</definedName>
    <definedName name="WorkSheet_34">#REF!</definedName>
    <definedName name="WorkSheet_35">'Type of Injury Age Rate'!$A$8</definedName>
    <definedName name="WorkSheet_36">Rescues!$A$8</definedName>
    <definedName name="WorkSheet_37">'Smoke Alarms'!$A$8</definedName>
    <definedName name="WorkSheet_38">'Smoke Alarms LA'!$B$8</definedName>
    <definedName name="WorkSheet_39">'Alarms Non-op Reason'!$A$9</definedName>
    <definedName name="WorkSheet_4">Fires!$A$8</definedName>
    <definedName name="WorkSheet_40">'ADF Source'!$A$35</definedName>
    <definedName name="WorkSheet_41">'ADF AlcoholDrugs'!$A$8</definedName>
    <definedName name="WorkSheet_42">'ADF Casualty AlcoholDrugs'!$A$8</definedName>
    <definedName name="WorkSheet_43">'Building Fires Spread'!$A$8</definedName>
    <definedName name="WorkSheet_44">Appliances!$A$8</definedName>
    <definedName name="WorkSheet_45">'Time of Call'!$A$8</definedName>
    <definedName name="WorkSheet_46">'Time of Call Casualty'!$A$8</definedName>
    <definedName name="WorkSheet_47" localSheetId="169">'Chart Non-fatal Fire Casualties'!#REF!</definedName>
    <definedName name="WorkSheet_47" localSheetId="170">'Chart Non-fatal Fire Casualties'!#REF!</definedName>
    <definedName name="WorkSheet_47" localSheetId="174">'Chart Non-fatal Fire Casualties'!#REF!</definedName>
    <definedName name="WorkSheet_47" localSheetId="175">'Chart Non-fatal Fire Casualties'!#REF!</definedName>
    <definedName name="WorkSheet_47" localSheetId="176">'[4]Chart Non-fatal Fire Casualties'!#REF!</definedName>
    <definedName name="WorkSheet_47" localSheetId="177">'[4]Chart Non-fatal Fire Casualties'!#REF!</definedName>
    <definedName name="WorkSheet_47" localSheetId="178">'[4]Chart Non-fatal Fire Casualties'!#REF!</definedName>
    <definedName name="WorkSheet_47" localSheetId="179">'[4]Chart Non-fatal Fire Casualties'!#REF!</definedName>
    <definedName name="WorkSheet_47" localSheetId="180">'[4]Chart Non-fatal Fire Casualties'!#REF!</definedName>
    <definedName name="WorkSheet_47" localSheetId="232">'[4]Chart Non-fatal Fire Casualties'!#REF!</definedName>
    <definedName name="WorkSheet_47" localSheetId="181">'[4]Chart Non-fatal Fire Casualties'!#REF!</definedName>
    <definedName name="WorkSheet_47" localSheetId="182">'[4]Chart Non-fatal Fire Casualties'!#REF!</definedName>
    <definedName name="WorkSheet_47" localSheetId="183">'[4]Chart Non-fatal Fire Casualties'!#REF!</definedName>
    <definedName name="WorkSheet_47" localSheetId="184">'[4]Chart Non-fatal Fire Casualties'!#REF!</definedName>
    <definedName name="WorkSheet_47" localSheetId="185">'[4]Chart Non-fatal Fire Casualties'!#REF!</definedName>
    <definedName name="WorkSheet_47" localSheetId="186">'[4]Chart Non-fatal Fire Casualties'!#REF!</definedName>
    <definedName name="WorkSheet_47" localSheetId="187">'[4]Chart Non-fatal Fire Casualties'!#REF!</definedName>
    <definedName name="WorkSheet_47" localSheetId="188">'[4]Chart Non-fatal Fire Casualties'!#REF!</definedName>
    <definedName name="WorkSheet_47" localSheetId="189">'[4]Chart Non-fatal Fire Casualties'!#REF!</definedName>
    <definedName name="WorkSheet_47" localSheetId="190">'[4]Chart Non-fatal Fire Casualties'!#REF!</definedName>
    <definedName name="WorkSheet_47" localSheetId="191">'[4]Chart Non-fatal Fire Casualties'!#REF!</definedName>
    <definedName name="WorkSheet_47" localSheetId="192">'[4]Chart Non-fatal Fire Casualties'!#REF!</definedName>
    <definedName name="WorkSheet_47" localSheetId="251">'[4]Chart Non-fatal Fire Casualties'!#REF!</definedName>
    <definedName name="WorkSheet_47" localSheetId="250">'[4]Chart Non-fatal Fire Casualties'!#REF!</definedName>
    <definedName name="WorkSheet_47" localSheetId="252">'[4]Chart Non-fatal Fire Casualties'!#REF!</definedName>
    <definedName name="WorkSheet_47" localSheetId="193">'[4]Chart Non-fatal Fire Casualties'!#REF!</definedName>
    <definedName name="WorkSheet_47" localSheetId="194">'[4]Chart Non-fatal Fire Casualties'!#REF!</definedName>
    <definedName name="WorkSheet_47" localSheetId="195">'[4]Chart Non-fatal Fire Casualties'!#REF!</definedName>
    <definedName name="WorkSheet_47" localSheetId="196">'[4]Chart Non-fatal Fire Casualties'!#REF!</definedName>
    <definedName name="WorkSheet_47" localSheetId="233">'[4]Chart Non-fatal Fire Casualties'!#REF!</definedName>
    <definedName name="WorkSheet_47" localSheetId="197">'[4]Chart Non-fatal Fire Casualties'!#REF!</definedName>
    <definedName name="WorkSheet_47" localSheetId="200">'[4]Chart Non-fatal Fire Casualties'!#REF!</definedName>
    <definedName name="WorkSheet_47" localSheetId="198">'[4]Chart Non-fatal Fire Casualties'!#REF!</definedName>
    <definedName name="WorkSheet_47" localSheetId="199">'[4]Chart Non-fatal Fire Casualties'!#REF!</definedName>
    <definedName name="WorkSheet_47" localSheetId="201">'[4]Chart Non-fatal Fire Casualties'!#REF!</definedName>
    <definedName name="WorkSheet_47" localSheetId="204">'[4]Chart Non-fatal Fire Casualties'!#REF!</definedName>
    <definedName name="WorkSheet_47" localSheetId="205">'[4]Chart Non-fatal Fire Casualties'!#REF!</definedName>
    <definedName name="WorkSheet_47" localSheetId="206">'[4]Chart Non-fatal Fire Casualties'!#REF!</definedName>
    <definedName name="WorkSheet_47" localSheetId="207">'[4]Chart Non-fatal Fire Casualties'!#REF!</definedName>
    <definedName name="WorkSheet_47" localSheetId="208">'[4]Chart Non-fatal Fire Casualties'!#REF!</definedName>
    <definedName name="WorkSheet_47" localSheetId="209">'[4]Chart Non-fatal Fire Casualties'!#REF!</definedName>
    <definedName name="WorkSheet_47" localSheetId="210">'[4]Chart Non-fatal Fire Casualties'!#REF!</definedName>
    <definedName name="WorkSheet_47" localSheetId="211">'[4]Chart Non-fatal Fire Casualties'!#REF!</definedName>
    <definedName name="WorkSheet_47" localSheetId="212">'[4]Chart Non-fatal Fire Casualties'!#REF!</definedName>
    <definedName name="WorkSheet_47" localSheetId="213">'[4]Chart Non-fatal Fire Casualties'!#REF!</definedName>
    <definedName name="WorkSheet_47" localSheetId="244">'[4]Chart Non-fatal Fire Casualties'!#REF!</definedName>
    <definedName name="WorkSheet_47" localSheetId="214">'[4]Chart Non-fatal Fire Casualties'!#REF!</definedName>
    <definedName name="WorkSheet_47" localSheetId="245">'[4]Chart Non-fatal Fire Casualties'!#REF!</definedName>
    <definedName name="WorkSheet_47" localSheetId="215">'[4]Chart Non-fatal Fire Casualties'!#REF!</definedName>
    <definedName name="WorkSheet_47" localSheetId="216">'[4]Chart Non-fatal Fire Casualties'!#REF!</definedName>
    <definedName name="WorkSheet_47" localSheetId="217">'[4]Chart Non-fatal Fire Casualties'!#REF!</definedName>
    <definedName name="WorkSheet_47" localSheetId="235">'[4]Chart Non-fatal Fire Casualties'!#REF!</definedName>
    <definedName name="WorkSheet_47" localSheetId="202">'[4]Chart Non-fatal Fire Casualties'!#REF!</definedName>
    <definedName name="WorkSheet_47" localSheetId="249">'[4]Chart Non-fatal Fire Casualties'!#REF!</definedName>
    <definedName name="WorkSheet_47" localSheetId="218">'[4]Chart Non-fatal Fire Casualties'!#REF!</definedName>
    <definedName name="WorkSheet_47" localSheetId="219">'[4]Chart Non-fatal Fire Casualties'!#REF!</definedName>
    <definedName name="WorkSheet_47" localSheetId="220">'[4]Chart Non-fatal Fire Casualties'!#REF!</definedName>
    <definedName name="WorkSheet_47" localSheetId="221">'[4]Chart Non-fatal Fire Casualties'!#REF!</definedName>
    <definedName name="WorkSheet_47" localSheetId="222">'[4]Chart Non-fatal Fire Casualties'!#REF!</definedName>
    <definedName name="WorkSheet_47" localSheetId="223">'[4]Chart Non-fatal Fire Casualties'!#REF!</definedName>
    <definedName name="WorkSheet_47" localSheetId="224">'[4]Chart Non-fatal Fire Casualties'!#REF!</definedName>
    <definedName name="WorkSheet_47" localSheetId="226">'[4]Chart Non-fatal Fire Casualties'!#REF!</definedName>
    <definedName name="WorkSheet_47" localSheetId="225">'[4]Chart Non-fatal Fire Casualties'!#REF!</definedName>
    <definedName name="WorkSheet_47" localSheetId="227">'[4]Chart Non-fatal Fire Casualties'!#REF!</definedName>
    <definedName name="WorkSheet_47" localSheetId="228">'[4]Chart Non-fatal Fire Casualties'!#REF!</definedName>
    <definedName name="WorkSheet_47" localSheetId="229">'[4]Chart Non-fatal Fire Casualties'!#REF!</definedName>
    <definedName name="WorkSheet_47" localSheetId="230">'[4]Chart Non-fatal Fire Casualties'!#REF!</definedName>
    <definedName name="WorkSheet_47" localSheetId="231">'[4]Chart Non-fatal Fire Casualties'!#REF!</definedName>
    <definedName name="WorkSheet_47" localSheetId="248">'[4]Chart Non-fatal Fire Casualties'!#REF!</definedName>
    <definedName name="WorkSheet_47" localSheetId="238">'[4]Chart Non-fatal Fire Casualties'!#REF!</definedName>
    <definedName name="WorkSheet_47" localSheetId="203">'[4]Chart Non-fatal Fire Casualties'!#REF!</definedName>
    <definedName name="WorkSheet_47" localSheetId="243">'[4]Chart Non-fatal Fire Casualties'!#REF!</definedName>
    <definedName name="WorkSheet_47" localSheetId="241">'[4]Chart Non-fatal Fire Casualties'!#REF!</definedName>
    <definedName name="WorkSheet_47" localSheetId="242">'[4]Chart Non-fatal Fire Casualties'!#REF!</definedName>
    <definedName name="WorkSheet_47" localSheetId="240">'[4]Chart Non-fatal Fire Casualties'!#REF!</definedName>
    <definedName name="WorkSheet_47" localSheetId="239">'[4]Chart Non-fatal Fire Casualties'!#REF!</definedName>
    <definedName name="WorkSheet_47" localSheetId="234">'[4]Chart Non-fatal Fire Casualties'!#REF!</definedName>
    <definedName name="WorkSheet_47" localSheetId="236">'[4]Chart Non-fatal Fire Casualties'!#REF!</definedName>
    <definedName name="WorkSheet_47" localSheetId="246">'[4]Chart Non-fatal Fire Casualties'!#REF!</definedName>
    <definedName name="WorkSheet_47" localSheetId="237">'[4]Chart Non-fatal Fire Casualties'!#REF!</definedName>
    <definedName name="WorkSheet_47" localSheetId="247">'[4]Chart Non-fatal Fire Casualties'!#REF!</definedName>
    <definedName name="WorkSheet_47">'Chart Non-fatal Fire Casualties'!#REF!</definedName>
    <definedName name="WorkSheet_48" localSheetId="169">'Chart Share Incidents'!#REF!</definedName>
    <definedName name="WorkSheet_48" localSheetId="170">'Chart Share Incidents'!#REF!</definedName>
    <definedName name="WorkSheet_48" localSheetId="174">'Chart Share Incidents'!#REF!</definedName>
    <definedName name="WorkSheet_48" localSheetId="175">'Chart Share Incidents'!#REF!</definedName>
    <definedName name="WorkSheet_48" localSheetId="176">'[4]Chart Share Incidents'!#REF!</definedName>
    <definedName name="WorkSheet_48" localSheetId="177">'[4]Chart Share Incidents'!#REF!</definedName>
    <definedName name="WorkSheet_48" localSheetId="178">'[4]Chart Share Incidents'!#REF!</definedName>
    <definedName name="WorkSheet_48" localSheetId="179">'[4]Chart Share Incidents'!#REF!</definedName>
    <definedName name="WorkSheet_48" localSheetId="180">'[4]Chart Share Incidents'!#REF!</definedName>
    <definedName name="WorkSheet_48" localSheetId="232">'[4]Chart Share Incidents'!#REF!</definedName>
    <definedName name="WorkSheet_48" localSheetId="181">'[4]Chart Share Incidents'!#REF!</definedName>
    <definedName name="WorkSheet_48" localSheetId="182">'[4]Chart Share Incidents'!#REF!</definedName>
    <definedName name="WorkSheet_48" localSheetId="183">'[4]Chart Share Incidents'!#REF!</definedName>
    <definedName name="WorkSheet_48" localSheetId="184">'[4]Chart Share Incidents'!#REF!</definedName>
    <definedName name="WorkSheet_48" localSheetId="185">'[4]Chart Share Incidents'!#REF!</definedName>
    <definedName name="WorkSheet_48" localSheetId="186">'[4]Chart Share Incidents'!#REF!</definedName>
    <definedName name="WorkSheet_48" localSheetId="187">'[4]Chart Share Incidents'!#REF!</definedName>
    <definedName name="WorkSheet_48" localSheetId="188">'[4]Chart Share Incidents'!#REF!</definedName>
    <definedName name="WorkSheet_48" localSheetId="189">'[4]Chart Share Incidents'!#REF!</definedName>
    <definedName name="WorkSheet_48" localSheetId="190">'[4]Chart Share Incidents'!#REF!</definedName>
    <definedName name="WorkSheet_48" localSheetId="191">'[4]Chart Share Incidents'!#REF!</definedName>
    <definedName name="WorkSheet_48" localSheetId="192">'[4]Chart Share Incidents'!#REF!</definedName>
    <definedName name="WorkSheet_48" localSheetId="251">'[4]Chart Share Incidents'!#REF!</definedName>
    <definedName name="WorkSheet_48" localSheetId="250">'[4]Chart Share Incidents'!#REF!</definedName>
    <definedName name="WorkSheet_48" localSheetId="252">'[4]Chart Share Incidents'!#REF!</definedName>
    <definedName name="WorkSheet_48" localSheetId="193">'[4]Chart Share Incidents'!#REF!</definedName>
    <definedName name="WorkSheet_48" localSheetId="194">'[4]Chart Share Incidents'!#REF!</definedName>
    <definedName name="WorkSheet_48" localSheetId="195">'[4]Chart Share Incidents'!#REF!</definedName>
    <definedName name="WorkSheet_48" localSheetId="196">'[4]Chart Share Incidents'!#REF!</definedName>
    <definedName name="WorkSheet_48" localSheetId="233">'[4]Chart Share Incidents'!#REF!</definedName>
    <definedName name="WorkSheet_48" localSheetId="197">'[4]Chart Share Incidents'!#REF!</definedName>
    <definedName name="WorkSheet_48" localSheetId="200">'[4]Chart Share Incidents'!#REF!</definedName>
    <definedName name="WorkSheet_48" localSheetId="198">'[4]Chart Share Incidents'!#REF!</definedName>
    <definedName name="WorkSheet_48" localSheetId="199">'[4]Chart Share Incidents'!#REF!</definedName>
    <definedName name="WorkSheet_48" localSheetId="201">'[4]Chart Share Incidents'!#REF!</definedName>
    <definedName name="WorkSheet_48" localSheetId="204">'[4]Chart Share Incidents'!#REF!</definedName>
    <definedName name="WorkSheet_48" localSheetId="205">'[4]Chart Share Incidents'!#REF!</definedName>
    <definedName name="WorkSheet_48" localSheetId="206">'[4]Chart Share Incidents'!#REF!</definedName>
    <definedName name="WorkSheet_48" localSheetId="207">'[4]Chart Share Incidents'!#REF!</definedName>
    <definedName name="WorkSheet_48" localSheetId="208">'[4]Chart Share Incidents'!#REF!</definedName>
    <definedName name="WorkSheet_48" localSheetId="209">'[4]Chart Share Incidents'!#REF!</definedName>
    <definedName name="WorkSheet_48" localSheetId="210">'[4]Chart Share Incidents'!#REF!</definedName>
    <definedName name="WorkSheet_48" localSheetId="211">'[4]Chart Share Incidents'!#REF!</definedName>
    <definedName name="WorkSheet_48" localSheetId="212">'[4]Chart Share Incidents'!#REF!</definedName>
    <definedName name="WorkSheet_48" localSheetId="213">'[4]Chart Share Incidents'!#REF!</definedName>
    <definedName name="WorkSheet_48" localSheetId="244">'[4]Chart Share Incidents'!#REF!</definedName>
    <definedName name="WorkSheet_48" localSheetId="214">'[4]Chart Share Incidents'!#REF!</definedName>
    <definedName name="WorkSheet_48" localSheetId="245">'[4]Chart Share Incidents'!#REF!</definedName>
    <definedName name="WorkSheet_48" localSheetId="215">'[4]Chart Share Incidents'!#REF!</definedName>
    <definedName name="WorkSheet_48" localSheetId="216">'[4]Chart Share Incidents'!#REF!</definedName>
    <definedName name="WorkSheet_48" localSheetId="217">'[4]Chart Share Incidents'!#REF!</definedName>
    <definedName name="WorkSheet_48" localSheetId="235">'[4]Chart Share Incidents'!#REF!</definedName>
    <definedName name="WorkSheet_48" localSheetId="202">'[4]Chart Share Incidents'!#REF!</definedName>
    <definedName name="WorkSheet_48" localSheetId="249">'[4]Chart Share Incidents'!#REF!</definedName>
    <definedName name="WorkSheet_48" localSheetId="218">'[4]Chart Share Incidents'!#REF!</definedName>
    <definedName name="WorkSheet_48" localSheetId="219">'[4]Chart Share Incidents'!#REF!</definedName>
    <definedName name="WorkSheet_48" localSheetId="220">'[4]Chart Share Incidents'!#REF!</definedName>
    <definedName name="WorkSheet_48" localSheetId="221">'[4]Chart Share Incidents'!#REF!</definedName>
    <definedName name="WorkSheet_48" localSheetId="222">'[4]Chart Share Incidents'!#REF!</definedName>
    <definedName name="WorkSheet_48" localSheetId="223">'[4]Chart Share Incidents'!#REF!</definedName>
    <definedName name="WorkSheet_48" localSheetId="224">'[4]Chart Share Incidents'!#REF!</definedName>
    <definedName name="WorkSheet_48" localSheetId="226">'[4]Chart Share Incidents'!#REF!</definedName>
    <definedName name="WorkSheet_48" localSheetId="225">'[4]Chart Share Incidents'!#REF!</definedName>
    <definedName name="WorkSheet_48" localSheetId="227">'[4]Chart Share Incidents'!#REF!</definedName>
    <definedName name="WorkSheet_48" localSheetId="228">'[4]Chart Share Incidents'!#REF!</definedName>
    <definedName name="WorkSheet_48" localSheetId="229">'[4]Chart Share Incidents'!#REF!</definedName>
    <definedName name="WorkSheet_48" localSheetId="230">'[4]Chart Share Incidents'!#REF!</definedName>
    <definedName name="WorkSheet_48" localSheetId="231">'[4]Chart Share Incidents'!#REF!</definedName>
    <definedName name="WorkSheet_48" localSheetId="248">'[4]Chart Share Incidents'!#REF!</definedName>
    <definedName name="WorkSheet_48" localSheetId="238">'[4]Chart Share Incidents'!#REF!</definedName>
    <definedName name="WorkSheet_48" localSheetId="203">'[4]Chart Share Incidents'!#REF!</definedName>
    <definedName name="WorkSheet_48" localSheetId="243">'[4]Chart Share Incidents'!#REF!</definedName>
    <definedName name="WorkSheet_48" localSheetId="241">'[4]Chart Share Incidents'!#REF!</definedName>
    <definedName name="WorkSheet_48" localSheetId="242">'[4]Chart Share Incidents'!#REF!</definedName>
    <definedName name="WorkSheet_48" localSheetId="240">'[4]Chart Share Incidents'!#REF!</definedName>
    <definedName name="WorkSheet_48" localSheetId="239">'[4]Chart Share Incidents'!#REF!</definedName>
    <definedName name="WorkSheet_48" localSheetId="234">'[4]Chart Share Incidents'!#REF!</definedName>
    <definedName name="WorkSheet_48" localSheetId="236">'[4]Chart Share Incidents'!#REF!</definedName>
    <definedName name="WorkSheet_48" localSheetId="246">'[4]Chart Share Incidents'!#REF!</definedName>
    <definedName name="WorkSheet_48" localSheetId="237">'[4]Chart Share Incidents'!#REF!</definedName>
    <definedName name="WorkSheet_48" localSheetId="247">'[4]Chart Share Incidents'!#REF!</definedName>
    <definedName name="WorkSheet_48">'Chart Share Incidents'!#REF!</definedName>
    <definedName name="WorkSheet_49">#REF!</definedName>
    <definedName name="WorkSheet_5">'Casualties Fire'!$A$8</definedName>
    <definedName name="WorkSheet_50">#REF!</definedName>
    <definedName name="WorkSheet_51">#REF!</definedName>
    <definedName name="WorkSheet_52">#REF!</definedName>
    <definedName name="WorkSheet_53">#REF!</definedName>
    <definedName name="WorkSheet_54">#REF!</definedName>
    <definedName name="WorkSheet_55">#REF!</definedName>
    <definedName name="WorkSheet_56">#REF!</definedName>
    <definedName name="WorkSheet_57">#REF!</definedName>
    <definedName name="WorkSheet_58">'Chart FFA Type'!$A$8</definedName>
    <definedName name="WorkSheet_59">#REF!</definedName>
    <definedName name="WorkSheet_6">'ADF Casualty'!$A$8</definedName>
    <definedName name="WorkSheet_60" localSheetId="169">PopulationScotland!#REF!</definedName>
    <definedName name="WorkSheet_60" localSheetId="170">PopulationScotland!#REF!</definedName>
    <definedName name="WorkSheet_60" localSheetId="174">PopulationScotland!#REF!</definedName>
    <definedName name="WorkSheet_60" localSheetId="175">PopulationScotland!#REF!</definedName>
    <definedName name="WorkSheet_60" localSheetId="176">[4]PopulationScotland!#REF!</definedName>
    <definedName name="WorkSheet_60" localSheetId="177">[4]PopulationScotland!#REF!</definedName>
    <definedName name="WorkSheet_60" localSheetId="178">[4]PopulationScotland!#REF!</definedName>
    <definedName name="WorkSheet_60" localSheetId="179">[4]PopulationScotland!#REF!</definedName>
    <definedName name="WorkSheet_60" localSheetId="180">[4]PopulationScotland!#REF!</definedName>
    <definedName name="WorkSheet_60" localSheetId="232">[4]PopulationScotland!#REF!</definedName>
    <definedName name="WorkSheet_60" localSheetId="181">[4]PopulationScotland!#REF!</definedName>
    <definedName name="WorkSheet_60" localSheetId="182">[4]PopulationScotland!#REF!</definedName>
    <definedName name="WorkSheet_60" localSheetId="183">[4]PopulationScotland!#REF!</definedName>
    <definedName name="WorkSheet_60" localSheetId="184">[4]PopulationScotland!#REF!</definedName>
    <definedName name="WorkSheet_60" localSheetId="185">[4]PopulationScotland!#REF!</definedName>
    <definedName name="WorkSheet_60" localSheetId="186">[4]PopulationScotland!#REF!</definedName>
    <definedName name="WorkSheet_60" localSheetId="187">[4]PopulationScotland!#REF!</definedName>
    <definedName name="WorkSheet_60" localSheetId="188">[4]PopulationScotland!#REF!</definedName>
    <definedName name="WorkSheet_60" localSheetId="189">[4]PopulationScotland!#REF!</definedName>
    <definedName name="WorkSheet_60" localSheetId="190">[4]PopulationScotland!#REF!</definedName>
    <definedName name="WorkSheet_60" localSheetId="191">[4]PopulationScotland!#REF!</definedName>
    <definedName name="WorkSheet_60" localSheetId="192">[4]PopulationScotland!#REF!</definedName>
    <definedName name="WorkSheet_60" localSheetId="251">[4]PopulationScotland!#REF!</definedName>
    <definedName name="WorkSheet_60" localSheetId="250">[4]PopulationScotland!#REF!</definedName>
    <definedName name="WorkSheet_60" localSheetId="252">[4]PopulationScotland!#REF!</definedName>
    <definedName name="WorkSheet_60" localSheetId="193">[4]PopulationScotland!#REF!</definedName>
    <definedName name="WorkSheet_60" localSheetId="194">[4]PopulationScotland!#REF!</definedName>
    <definedName name="WorkSheet_60" localSheetId="195">[4]PopulationScotland!#REF!</definedName>
    <definedName name="WorkSheet_60" localSheetId="196">[4]PopulationScotland!#REF!</definedName>
    <definedName name="WorkSheet_60" localSheetId="233">[4]PopulationScotland!#REF!</definedName>
    <definedName name="WorkSheet_60" localSheetId="197">[4]PopulationScotland!#REF!</definedName>
    <definedName name="WorkSheet_60" localSheetId="200">[4]PopulationScotland!#REF!</definedName>
    <definedName name="WorkSheet_60" localSheetId="198">[4]PopulationScotland!#REF!</definedName>
    <definedName name="WorkSheet_60" localSheetId="199">[4]PopulationScotland!#REF!</definedName>
    <definedName name="WorkSheet_60" localSheetId="201">[4]PopulationScotland!#REF!</definedName>
    <definedName name="WorkSheet_60" localSheetId="204">[4]PopulationScotland!#REF!</definedName>
    <definedName name="WorkSheet_60" localSheetId="205">[4]PopulationScotland!#REF!</definedName>
    <definedName name="WorkSheet_60" localSheetId="206">[4]PopulationScotland!#REF!</definedName>
    <definedName name="WorkSheet_60" localSheetId="207">[4]PopulationScotland!#REF!</definedName>
    <definedName name="WorkSheet_60" localSheetId="208">[4]PopulationScotland!#REF!</definedName>
    <definedName name="WorkSheet_60" localSheetId="209">[4]PopulationScotland!#REF!</definedName>
    <definedName name="WorkSheet_60" localSheetId="210">[4]PopulationScotland!#REF!</definedName>
    <definedName name="WorkSheet_60" localSheetId="211">[4]PopulationScotland!#REF!</definedName>
    <definedName name="WorkSheet_60" localSheetId="212">[4]PopulationScotland!#REF!</definedName>
    <definedName name="WorkSheet_60" localSheetId="213">[4]PopulationScotland!#REF!</definedName>
    <definedName name="WorkSheet_60" localSheetId="244">[4]PopulationScotland!#REF!</definedName>
    <definedName name="WorkSheet_60" localSheetId="214">[4]PopulationScotland!#REF!</definedName>
    <definedName name="WorkSheet_60" localSheetId="245">[4]PopulationScotland!#REF!</definedName>
    <definedName name="WorkSheet_60" localSheetId="215">[4]PopulationScotland!#REF!</definedName>
    <definedName name="WorkSheet_60" localSheetId="216">[4]PopulationScotland!#REF!</definedName>
    <definedName name="WorkSheet_60" localSheetId="217">[4]PopulationScotland!#REF!</definedName>
    <definedName name="WorkSheet_60" localSheetId="235">[4]PopulationScotland!#REF!</definedName>
    <definedName name="WorkSheet_60" localSheetId="202">[4]PopulationScotland!#REF!</definedName>
    <definedName name="WorkSheet_60" localSheetId="249">[4]PopulationScotland!#REF!</definedName>
    <definedName name="WorkSheet_60" localSheetId="218">[4]PopulationScotland!#REF!</definedName>
    <definedName name="WorkSheet_60" localSheetId="219">[4]PopulationScotland!#REF!</definedName>
    <definedName name="WorkSheet_60" localSheetId="220">[4]PopulationScotland!#REF!</definedName>
    <definedName name="WorkSheet_60" localSheetId="221">[4]PopulationScotland!#REF!</definedName>
    <definedName name="WorkSheet_60" localSheetId="222">[4]PopulationScotland!#REF!</definedName>
    <definedName name="WorkSheet_60" localSheetId="223">[4]PopulationScotland!#REF!</definedName>
    <definedName name="WorkSheet_60" localSheetId="224">[4]PopulationScotland!#REF!</definedName>
    <definedName name="WorkSheet_60" localSheetId="226">[4]PopulationScotland!#REF!</definedName>
    <definedName name="WorkSheet_60" localSheetId="225">[4]PopulationScotland!#REF!</definedName>
    <definedName name="WorkSheet_60" localSheetId="227">[4]PopulationScotland!#REF!</definedName>
    <definedName name="WorkSheet_60" localSheetId="228">[4]PopulationScotland!#REF!</definedName>
    <definedName name="WorkSheet_60" localSheetId="229">[4]PopulationScotland!#REF!</definedName>
    <definedName name="WorkSheet_60" localSheetId="230">[4]PopulationScotland!#REF!</definedName>
    <definedName name="WorkSheet_60" localSheetId="231">[4]PopulationScotland!#REF!</definedName>
    <definedName name="WorkSheet_60" localSheetId="248">[4]PopulationScotland!#REF!</definedName>
    <definedName name="WorkSheet_60" localSheetId="238">[4]PopulationScotland!#REF!</definedName>
    <definedName name="WorkSheet_60" localSheetId="203">[4]PopulationScotland!#REF!</definedName>
    <definedName name="WorkSheet_60" localSheetId="243">[4]PopulationScotland!#REF!</definedName>
    <definedName name="WorkSheet_60" localSheetId="241">[4]PopulationScotland!#REF!</definedName>
    <definedName name="WorkSheet_60" localSheetId="242">[4]PopulationScotland!#REF!</definedName>
    <definedName name="WorkSheet_60" localSheetId="240">[4]PopulationScotland!#REF!</definedName>
    <definedName name="WorkSheet_60" localSheetId="239">[4]PopulationScotland!#REF!</definedName>
    <definedName name="WorkSheet_60" localSheetId="234">[4]PopulationScotland!#REF!</definedName>
    <definedName name="WorkSheet_60" localSheetId="236">[4]PopulationScotland!#REF!</definedName>
    <definedName name="WorkSheet_60" localSheetId="246">[4]PopulationScotland!#REF!</definedName>
    <definedName name="WorkSheet_60" localSheetId="237">[4]PopulationScotland!#REF!</definedName>
    <definedName name="WorkSheet_60" localSheetId="247">[4]PopulationScotland!#REF!</definedName>
    <definedName name="WorkSheet_60">PopulationScotland!#REF!</definedName>
    <definedName name="WorkSheet_61">Dwellings!$B$8</definedName>
    <definedName name="WorkSheet_62">#REF!</definedName>
    <definedName name="WorkSheet_63" localSheetId="78">#REF!</definedName>
    <definedName name="WorkSheet_63" localSheetId="42">#REF!</definedName>
    <definedName name="WorkSheet_63" localSheetId="43">#REF!</definedName>
    <definedName name="WorkSheet_63">#REF!</definedName>
    <definedName name="WorkSheet_630" localSheetId="43">#REF!</definedName>
    <definedName name="WorkSheet_630">#REF!</definedName>
    <definedName name="WorkSheet_7">'Dwelling Fires Motive LA'!$B$8</definedName>
    <definedName name="WorkSheet_8">'Fire False Alarms'!$A$9</definedName>
    <definedName name="WorkSheet_9">'Fire False Alarms Location'!$A$10</definedName>
    <definedName name="YearsToChart" localSheetId="14">#REF!</definedName>
    <definedName name="YearsToChart">#REF!</definedName>
  </definedNames>
  <calcPr calcId="191029"/>
  <pivotCaches>
    <pivotCache cacheId="0" r:id="rId260"/>
    <pivotCache cacheId="1" r:id="rId261"/>
    <pivotCache cacheId="2" r:id="rId262"/>
    <pivotCache cacheId="3" r:id="rId263"/>
    <pivotCache cacheId="4" r:id="rId264"/>
    <pivotCache cacheId="5" r:id="rId265"/>
    <pivotCache cacheId="6" r:id="rId266"/>
    <pivotCache cacheId="7" r:id="rId267"/>
    <pivotCache cacheId="8" r:id="rId268"/>
    <pivotCache cacheId="9" r:id="rId269"/>
    <pivotCache cacheId="10" r:id="rId270"/>
    <pivotCache cacheId="11" r:id="rId271"/>
    <pivotCache cacheId="12" r:id="rId272"/>
    <pivotCache cacheId="13" r:id="rId273"/>
    <pivotCache cacheId="14" r:id="rId274"/>
    <pivotCache cacheId="15" r:id="rId275"/>
    <pivotCache cacheId="16" r:id="rId276"/>
    <pivotCache cacheId="17" r:id="rId277"/>
    <pivotCache cacheId="18" r:id="rId278"/>
    <pivotCache cacheId="19" r:id="rId279"/>
    <pivotCache cacheId="20" r:id="rId280"/>
    <pivotCache cacheId="21" r:id="rId281"/>
    <pivotCache cacheId="22" r:id="rId282"/>
    <pivotCache cacheId="23" r:id="rId283"/>
    <pivotCache cacheId="24" r:id="rId284"/>
    <pivotCache cacheId="25" r:id="rId285"/>
    <pivotCache cacheId="26" r:id="rId286"/>
    <pivotCache cacheId="27" r:id="rId287"/>
    <pivotCache cacheId="28" r:id="rId288"/>
    <pivotCache cacheId="29" r:id="rId289"/>
    <pivotCache cacheId="30" r:id="rId290"/>
    <pivotCache cacheId="31" r:id="rId291"/>
    <pivotCache cacheId="32" r:id="rId292"/>
    <pivotCache cacheId="33" r:id="rId293"/>
    <pivotCache cacheId="34" r:id="rId294"/>
    <pivotCache cacheId="35" r:id="rId295"/>
    <pivotCache cacheId="36" r:id="rId296"/>
    <pivotCache cacheId="37" r:id="rId297"/>
    <pivotCache cacheId="38" r:id="rId298"/>
    <pivotCache cacheId="39" r:id="rId299"/>
    <pivotCache cacheId="40" r:id="rId300"/>
    <pivotCache cacheId="41" r:id="rId301"/>
    <pivotCache cacheId="42" r:id="rId302"/>
    <pivotCache cacheId="43" r:id="rId303"/>
    <pivotCache cacheId="44" r:id="rId304"/>
    <pivotCache cacheId="45" r:id="rId305"/>
    <pivotCache cacheId="46" r:id="rId306"/>
    <pivotCache cacheId="47" r:id="rId307"/>
    <pivotCache cacheId="48" r:id="rId308"/>
    <pivotCache cacheId="49" r:id="rId309"/>
    <pivotCache cacheId="50" r:id="rId310"/>
    <pivotCache cacheId="51" r:id="rId311"/>
    <pivotCache cacheId="52" r:id="rId312"/>
    <pivotCache cacheId="53" r:id="rId313"/>
    <pivotCache cacheId="54" r:id="rId314"/>
  </pivotCaches>
  <extLst>
    <ext xmlns:x14="http://schemas.microsoft.com/office/spreadsheetml/2009/9/main" uri="{BBE1A952-AA13-448e-AADC-164F8A28A991}">
      <x14:slicerCaches>
        <x14:slicerCache r:id="rId315"/>
        <x14:slicerCache r:id="rId316"/>
        <x14:slicerCache r:id="rId317"/>
        <x14:slicerCache r:id="rId318"/>
        <x14:slicerCache r:id="rId319"/>
        <x14:slicerCache r:id="rId320"/>
        <x14:slicerCache r:id="rId321"/>
        <x14:slicerCache r:id="rId322"/>
        <x14:slicerCache r:id="rId323"/>
        <x14:slicerCache r:id="rId324"/>
        <x14:slicerCache r:id="rId325"/>
        <x14:slicerCache r:id="rId326"/>
        <x14:slicerCache r:id="rId327"/>
        <x14:slicerCache r:id="rId328"/>
        <x14:slicerCache r:id="rId329"/>
        <x14:slicerCache r:id="rId330"/>
        <x14:slicerCache r:id="rId331"/>
        <x14:slicerCache r:id="rId332"/>
        <x14:slicerCache r:id="rId333"/>
        <x14:slicerCache r:id="rId334"/>
        <x14:slicerCache r:id="rId335"/>
        <x14:slicerCache r:id="rId336"/>
        <x14:slicerCache r:id="rId337"/>
        <x14:slicerCache r:id="rId338"/>
        <x14:slicerCache r:id="rId339"/>
        <x14:slicerCache r:id="rId340"/>
        <x14:slicerCache r:id="rId341"/>
        <x14:slicerCache r:id="rId342"/>
        <x14:slicerCache r:id="rId343"/>
        <x14:slicerCache r:id="rId344"/>
        <x14:slicerCache r:id="rId345"/>
        <x14:slicerCache r:id="rId346"/>
        <x14:slicerCache r:id="rId347"/>
        <x14:slicerCache r:id="rId348"/>
        <x14:slicerCache r:id="rId349"/>
        <x14:slicerCache r:id="rId35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0" i="289" l="1"/>
  <c r="F20" i="133"/>
  <c r="E20" i="133"/>
  <c r="D20" i="133"/>
  <c r="B20" i="133"/>
  <c r="C20" i="133"/>
  <c r="C38" i="14" l="1"/>
  <c r="C39" i="14"/>
  <c r="C40" i="14"/>
  <c r="C41" i="14"/>
  <c r="C42" i="14"/>
  <c r="C43" i="14"/>
  <c r="C44" i="14"/>
  <c r="C45" i="14"/>
  <c r="C46" i="14"/>
  <c r="C47" i="14"/>
  <c r="C48" i="14"/>
  <c r="C37" i="14"/>
  <c r="A38" i="14"/>
  <c r="A39" i="14"/>
  <c r="A40" i="14"/>
  <c r="A41" i="14"/>
  <c r="A42" i="14"/>
  <c r="A43" i="14"/>
  <c r="A44" i="14"/>
  <c r="A45" i="14"/>
  <c r="A46" i="14"/>
  <c r="A47" i="14"/>
  <c r="A48" i="14"/>
  <c r="A37" i="14"/>
  <c r="A51" i="134"/>
  <c r="A52" i="134"/>
  <c r="A53" i="134"/>
  <c r="A54" i="134"/>
  <c r="A55" i="134"/>
  <c r="A56" i="134"/>
  <c r="A57" i="134"/>
  <c r="A58" i="134"/>
  <c r="A59" i="134"/>
  <c r="A60" i="134"/>
  <c r="A61" i="134"/>
  <c r="A50" i="134"/>
  <c r="P11" i="272"/>
  <c r="Q11" i="272"/>
  <c r="R11" i="272"/>
  <c r="S11" i="272"/>
  <c r="T11" i="272"/>
  <c r="U11" i="272"/>
  <c r="V11" i="272"/>
  <c r="W11" i="272"/>
  <c r="X11" i="272"/>
  <c r="P12" i="272"/>
  <c r="Q12" i="272"/>
  <c r="R12" i="272"/>
  <c r="S12" i="272"/>
  <c r="T12" i="272"/>
  <c r="U12" i="272"/>
  <c r="V12" i="272"/>
  <c r="W12" i="272"/>
  <c r="X12" i="272"/>
  <c r="P13" i="272"/>
  <c r="Q13" i="272"/>
  <c r="R13" i="272"/>
  <c r="S13" i="272"/>
  <c r="T13" i="272"/>
  <c r="U13" i="272"/>
  <c r="V13" i="272"/>
  <c r="W13" i="272"/>
  <c r="X13" i="272"/>
  <c r="P14" i="272"/>
  <c r="Q14" i="272"/>
  <c r="R14" i="272"/>
  <c r="S14" i="272"/>
  <c r="T14" i="272"/>
  <c r="U14" i="272"/>
  <c r="V14" i="272"/>
  <c r="W14" i="272"/>
  <c r="X14" i="272"/>
  <c r="P15" i="272"/>
  <c r="Q15" i="272"/>
  <c r="R15" i="272"/>
  <c r="S15" i="272"/>
  <c r="T15" i="272"/>
  <c r="U15" i="272"/>
  <c r="V15" i="272"/>
  <c r="W15" i="272"/>
  <c r="X15" i="272"/>
  <c r="P16" i="272"/>
  <c r="Q16" i="272"/>
  <c r="R16" i="272"/>
  <c r="S16" i="272"/>
  <c r="T16" i="272"/>
  <c r="U16" i="272"/>
  <c r="V16" i="272"/>
  <c r="W16" i="272"/>
  <c r="X16" i="272"/>
  <c r="P17" i="272"/>
  <c r="Q17" i="272"/>
  <c r="R17" i="272"/>
  <c r="S17" i="272"/>
  <c r="T17" i="272"/>
  <c r="U17" i="272"/>
  <c r="V17" i="272"/>
  <c r="W17" i="272"/>
  <c r="X17" i="272"/>
  <c r="P18" i="272"/>
  <c r="Q18" i="272"/>
  <c r="R18" i="272"/>
  <c r="S18" i="272"/>
  <c r="T18" i="272"/>
  <c r="U18" i="272"/>
  <c r="V18" i="272"/>
  <c r="W18" i="272"/>
  <c r="X18" i="272"/>
  <c r="P19" i="272"/>
  <c r="Q19" i="272"/>
  <c r="R19" i="272"/>
  <c r="S19" i="272"/>
  <c r="T19" i="272"/>
  <c r="U19" i="272"/>
  <c r="V19" i="272"/>
  <c r="W19" i="272"/>
  <c r="X19" i="272"/>
  <c r="P20" i="272"/>
  <c r="Q20" i="272"/>
  <c r="R20" i="272"/>
  <c r="S20" i="272"/>
  <c r="T20" i="272"/>
  <c r="U20" i="272"/>
  <c r="V20" i="272"/>
  <c r="W20" i="272"/>
  <c r="X20" i="272"/>
  <c r="P21" i="272"/>
  <c r="Q21" i="272"/>
  <c r="R21" i="272"/>
  <c r="S21" i="272"/>
  <c r="T21" i="272"/>
  <c r="U21" i="272"/>
  <c r="V21" i="272"/>
  <c r="W21" i="272"/>
  <c r="X21" i="272"/>
  <c r="P22" i="272"/>
  <c r="Q22" i="272"/>
  <c r="R22" i="272"/>
  <c r="S22" i="272"/>
  <c r="T22" i="272"/>
  <c r="U22" i="272"/>
  <c r="V22" i="272"/>
  <c r="W22" i="272"/>
  <c r="X22" i="272"/>
  <c r="O12" i="272"/>
  <c r="O13" i="272"/>
  <c r="O14" i="272"/>
  <c r="O15" i="272"/>
  <c r="O16" i="272"/>
  <c r="O17" i="272"/>
  <c r="O18" i="272"/>
  <c r="O19" i="272"/>
  <c r="O20" i="272"/>
  <c r="O21" i="272"/>
  <c r="O22" i="272"/>
  <c r="O11" i="272"/>
  <c r="N12" i="272"/>
  <c r="N13" i="272"/>
  <c r="N14" i="272"/>
  <c r="N15" i="272"/>
  <c r="N16" i="272"/>
  <c r="N17" i="272"/>
  <c r="N18" i="272"/>
  <c r="N19" i="272"/>
  <c r="N20" i="272"/>
  <c r="N21" i="272"/>
  <c r="N22" i="272"/>
  <c r="N11" i="272"/>
  <c r="F25" i="125"/>
  <c r="F18" i="125"/>
  <c r="F10" i="251"/>
  <c r="M10" i="251"/>
  <c r="J12" i="251"/>
  <c r="C11" i="251"/>
  <c r="J10" i="251"/>
  <c r="H33" i="131"/>
  <c r="J34" i="131"/>
  <c r="I32" i="131"/>
  <c r="H31" i="131"/>
  <c r="J32" i="131"/>
  <c r="K32" i="131"/>
  <c r="L32" i="131"/>
  <c r="B31" i="131"/>
  <c r="C32" i="131"/>
  <c r="H34" i="131"/>
  <c r="I11" i="251"/>
  <c r="D33" i="131"/>
  <c r="D13" i="251"/>
  <c r="K35" i="131"/>
  <c r="C33" i="131"/>
  <c r="F24" i="125"/>
  <c r="F16" i="125"/>
  <c r="J13" i="251"/>
  <c r="E12" i="251"/>
  <c r="L12" i="251"/>
  <c r="J11" i="251"/>
  <c r="D11" i="251"/>
  <c r="F36" i="131"/>
  <c r="I33" i="131"/>
  <c r="F34" i="131"/>
  <c r="E32" i="131"/>
  <c r="I31" i="131"/>
  <c r="J31" i="131"/>
  <c r="K31" i="131"/>
  <c r="L31" i="131"/>
  <c r="B37" i="131"/>
  <c r="K33" i="131"/>
  <c r="F23" i="125"/>
  <c r="F15" i="125"/>
  <c r="F13" i="251"/>
  <c r="D10" i="251"/>
  <c r="L10" i="251"/>
  <c r="F12" i="251"/>
  <c r="E13" i="251"/>
  <c r="E34" i="131"/>
  <c r="H32" i="131"/>
  <c r="C36" i="131"/>
  <c r="B34" i="131"/>
  <c r="F37" i="131"/>
  <c r="H37" i="131"/>
  <c r="I37" i="131"/>
  <c r="J37" i="131"/>
  <c r="F20" i="125"/>
  <c r="B12" i="251"/>
  <c r="E35" i="131"/>
  <c r="B32" i="131"/>
  <c r="L11" i="251"/>
  <c r="K34" i="131"/>
  <c r="D34" i="131"/>
  <c r="F22" i="125"/>
  <c r="F14" i="125"/>
  <c r="F11" i="251"/>
  <c r="K12" i="251"/>
  <c r="D12" i="251"/>
  <c r="I10" i="251"/>
  <c r="B10" i="251"/>
  <c r="D32" i="131"/>
  <c r="F35" i="131"/>
  <c r="D36" i="131"/>
  <c r="C34" i="131"/>
  <c r="F33" i="131"/>
  <c r="E37" i="131"/>
  <c r="H36" i="131"/>
  <c r="I36" i="131"/>
  <c r="K13" i="251"/>
  <c r="B13" i="251"/>
  <c r="K36" i="131"/>
  <c r="C35" i="131"/>
  <c r="C37" i="131"/>
  <c r="M12" i="251"/>
  <c r="J33" i="131"/>
  <c r="F21" i="125"/>
  <c r="I13" i="251"/>
  <c r="C13" i="251"/>
  <c r="K10" i="251"/>
  <c r="C10" i="251"/>
  <c r="E11" i="251"/>
  <c r="L37" i="131"/>
  <c r="B36" i="131"/>
  <c r="E33" i="131"/>
  <c r="I35" i="131"/>
  <c r="K37" i="131"/>
  <c r="E31" i="131"/>
  <c r="F32" i="131"/>
  <c r="D37" i="131"/>
  <c r="H35" i="131"/>
  <c r="E10" i="251"/>
  <c r="D31" i="131"/>
  <c r="F31" i="131"/>
  <c r="M11" i="251"/>
  <c r="C31" i="131"/>
  <c r="F19" i="125"/>
  <c r="K11" i="251"/>
  <c r="I12" i="251"/>
  <c r="B11" i="251"/>
  <c r="C12" i="251"/>
  <c r="M13" i="251"/>
  <c r="J35" i="131"/>
  <c r="L36" i="131"/>
  <c r="B35" i="131"/>
  <c r="L35" i="131"/>
  <c r="L34" i="131"/>
  <c r="B33" i="131"/>
  <c r="J36" i="131"/>
  <c r="D35" i="131"/>
  <c r="E36" i="131"/>
  <c r="F17" i="125"/>
  <c r="L13" i="251"/>
  <c r="I34" i="131"/>
  <c r="L33" i="131"/>
  <c r="I30" i="232" l="1"/>
  <c r="I31" i="232"/>
  <c r="I32" i="232"/>
  <c r="I33" i="232"/>
  <c r="I34" i="232"/>
  <c r="I35" i="232"/>
  <c r="I36" i="232"/>
  <c r="I37" i="232"/>
  <c r="I38" i="232"/>
  <c r="I39" i="232"/>
  <c r="I40" i="232"/>
  <c r="I29" i="232"/>
  <c r="I10" i="295"/>
  <c r="I11" i="295"/>
  <c r="I12" i="295"/>
  <c r="I13" i="295"/>
  <c r="I14" i="295"/>
  <c r="I15" i="295"/>
  <c r="I16" i="295"/>
  <c r="I17" i="295"/>
  <c r="I18" i="295"/>
  <c r="I19" i="295"/>
  <c r="I20" i="295"/>
  <c r="I21" i="295"/>
  <c r="I22" i="295"/>
  <c r="I23" i="295"/>
  <c r="I24" i="295"/>
  <c r="I25" i="295"/>
  <c r="I26" i="295"/>
  <c r="I27" i="295"/>
  <c r="I28" i="295"/>
  <c r="I9" i="295"/>
  <c r="H10" i="295"/>
  <c r="H11" i="295"/>
  <c r="H12" i="295"/>
  <c r="H13" i="295"/>
  <c r="H14" i="295"/>
  <c r="H15" i="295"/>
  <c r="H16" i="295"/>
  <c r="H17" i="295"/>
  <c r="H18" i="295"/>
  <c r="H19" i="295"/>
  <c r="H20" i="295"/>
  <c r="H21" i="295"/>
  <c r="H22" i="295"/>
  <c r="H23" i="295"/>
  <c r="H24" i="295"/>
  <c r="H25" i="295"/>
  <c r="H26" i="295"/>
  <c r="H27" i="295"/>
  <c r="H28" i="295"/>
  <c r="H9" i="295"/>
  <c r="G10" i="295"/>
  <c r="G11" i="295"/>
  <c r="G12" i="295"/>
  <c r="G13" i="295"/>
  <c r="G14" i="295"/>
  <c r="G15" i="295"/>
  <c r="G16" i="295"/>
  <c r="G17" i="295"/>
  <c r="G18" i="295"/>
  <c r="G19" i="295"/>
  <c r="G20" i="295"/>
  <c r="G21" i="295"/>
  <c r="G22" i="295"/>
  <c r="G23" i="295"/>
  <c r="G24" i="295"/>
  <c r="G25" i="295"/>
  <c r="G26" i="295"/>
  <c r="G27" i="295"/>
  <c r="G28" i="295"/>
  <c r="G9" i="295"/>
  <c r="P24" i="93"/>
  <c r="Q24" i="93"/>
  <c r="R24" i="93"/>
  <c r="P25" i="93"/>
  <c r="Q25" i="93"/>
  <c r="R25" i="93"/>
  <c r="P26" i="93"/>
  <c r="Q26" i="93"/>
  <c r="R26" i="93"/>
  <c r="P27" i="93"/>
  <c r="Q27" i="93"/>
  <c r="R27" i="93"/>
  <c r="P28" i="93"/>
  <c r="Q28" i="93"/>
  <c r="R28" i="93"/>
  <c r="P29" i="93"/>
  <c r="Q29" i="93"/>
  <c r="R29" i="93"/>
  <c r="P30" i="93"/>
  <c r="Q30" i="93"/>
  <c r="R30" i="93"/>
  <c r="P31" i="93"/>
  <c r="Q31" i="93"/>
  <c r="R31" i="93"/>
  <c r="P32" i="93"/>
  <c r="Q32" i="93"/>
  <c r="R32" i="93"/>
  <c r="P33" i="93"/>
  <c r="Q33" i="93"/>
  <c r="R33" i="93"/>
  <c r="P34" i="93"/>
  <c r="Q34" i="93"/>
  <c r="R34" i="93"/>
  <c r="P35" i="93"/>
  <c r="Q35" i="93"/>
  <c r="R35" i="93"/>
  <c r="O25" i="93"/>
  <c r="O26" i="93"/>
  <c r="O27" i="93"/>
  <c r="O28" i="93"/>
  <c r="O29" i="93"/>
  <c r="O30" i="93"/>
  <c r="O31" i="93"/>
  <c r="O32" i="93"/>
  <c r="O33" i="93"/>
  <c r="O34" i="93"/>
  <c r="O35" i="93"/>
  <c r="O24" i="93"/>
  <c r="C24" i="93"/>
  <c r="D24" i="93"/>
  <c r="E24" i="93"/>
  <c r="F24" i="93"/>
  <c r="G24" i="93"/>
  <c r="H24" i="93"/>
  <c r="I24" i="93"/>
  <c r="J24" i="93"/>
  <c r="K24" i="93"/>
  <c r="C25" i="93"/>
  <c r="D25" i="93"/>
  <c r="E25" i="93"/>
  <c r="F25" i="93"/>
  <c r="G25" i="93"/>
  <c r="H25" i="93"/>
  <c r="I25" i="93"/>
  <c r="J25" i="93"/>
  <c r="K25" i="93"/>
  <c r="C26" i="93"/>
  <c r="D26" i="93"/>
  <c r="E26" i="93"/>
  <c r="F26" i="93"/>
  <c r="G26" i="93"/>
  <c r="H26" i="93"/>
  <c r="I26" i="93"/>
  <c r="J26" i="93"/>
  <c r="K26" i="93"/>
  <c r="C27" i="93"/>
  <c r="D27" i="93"/>
  <c r="E27" i="93"/>
  <c r="F27" i="93"/>
  <c r="G27" i="93"/>
  <c r="H27" i="93"/>
  <c r="I27" i="93"/>
  <c r="J27" i="93"/>
  <c r="K27" i="93"/>
  <c r="C28" i="93"/>
  <c r="D28" i="93"/>
  <c r="E28" i="93"/>
  <c r="F28" i="93"/>
  <c r="G28" i="93"/>
  <c r="H28" i="93"/>
  <c r="I28" i="93"/>
  <c r="J28" i="93"/>
  <c r="K28" i="93"/>
  <c r="C29" i="93"/>
  <c r="D29" i="93"/>
  <c r="E29" i="93"/>
  <c r="F29" i="93"/>
  <c r="G29" i="93"/>
  <c r="H29" i="93"/>
  <c r="I29" i="93"/>
  <c r="J29" i="93"/>
  <c r="K29" i="93"/>
  <c r="C30" i="93"/>
  <c r="D30" i="93"/>
  <c r="E30" i="93"/>
  <c r="F30" i="93"/>
  <c r="G30" i="93"/>
  <c r="H30" i="93"/>
  <c r="I30" i="93"/>
  <c r="J30" i="93"/>
  <c r="K30" i="93"/>
  <c r="C31" i="93"/>
  <c r="D31" i="93"/>
  <c r="E31" i="93"/>
  <c r="F31" i="93"/>
  <c r="G31" i="93"/>
  <c r="H31" i="93"/>
  <c r="I31" i="93"/>
  <c r="J31" i="93"/>
  <c r="K31" i="93"/>
  <c r="C32" i="93"/>
  <c r="D32" i="93"/>
  <c r="E32" i="93"/>
  <c r="F32" i="93"/>
  <c r="G32" i="93"/>
  <c r="H32" i="93"/>
  <c r="I32" i="93"/>
  <c r="J32" i="93"/>
  <c r="K32" i="93"/>
  <c r="C33" i="93"/>
  <c r="D33" i="93"/>
  <c r="E33" i="93"/>
  <c r="F33" i="93"/>
  <c r="G33" i="93"/>
  <c r="H33" i="93"/>
  <c r="I33" i="93"/>
  <c r="J33" i="93"/>
  <c r="K33" i="93"/>
  <c r="C34" i="93"/>
  <c r="D34" i="93"/>
  <c r="E34" i="93"/>
  <c r="F34" i="93"/>
  <c r="G34" i="93"/>
  <c r="H34" i="93"/>
  <c r="I34" i="93"/>
  <c r="J34" i="93"/>
  <c r="K34" i="93"/>
  <c r="C35" i="93"/>
  <c r="D35" i="93"/>
  <c r="E35" i="93"/>
  <c r="F35" i="93"/>
  <c r="G35" i="93"/>
  <c r="H35" i="93"/>
  <c r="I35" i="93"/>
  <c r="J35" i="93"/>
  <c r="K35" i="93"/>
  <c r="B25" i="93"/>
  <c r="B26" i="93"/>
  <c r="B27" i="93"/>
  <c r="B28" i="93"/>
  <c r="B29" i="93"/>
  <c r="B30" i="93"/>
  <c r="B31" i="93"/>
  <c r="B32" i="93"/>
  <c r="B33" i="93"/>
  <c r="B34" i="93"/>
  <c r="B35" i="93"/>
  <c r="B24" i="93"/>
  <c r="B10" i="93"/>
  <c r="C10" i="93"/>
  <c r="D10" i="93"/>
  <c r="B11" i="93"/>
  <c r="C11" i="93"/>
  <c r="D11" i="93"/>
  <c r="B12" i="93"/>
  <c r="C12" i="93"/>
  <c r="D12" i="93"/>
  <c r="B13" i="93"/>
  <c r="C13" i="93"/>
  <c r="D13" i="93"/>
  <c r="B14" i="93"/>
  <c r="C14" i="93"/>
  <c r="D14" i="93"/>
  <c r="B15" i="93"/>
  <c r="C15" i="93"/>
  <c r="D15" i="93"/>
  <c r="B16" i="93"/>
  <c r="C16" i="93"/>
  <c r="D16" i="93"/>
  <c r="B17" i="93"/>
  <c r="C17" i="93"/>
  <c r="D17" i="93"/>
  <c r="B18" i="93"/>
  <c r="C18" i="93"/>
  <c r="D18" i="93"/>
  <c r="B19" i="93"/>
  <c r="C19" i="93"/>
  <c r="D19" i="93"/>
  <c r="B20" i="93"/>
  <c r="C20" i="93"/>
  <c r="D20" i="93"/>
  <c r="D9" i="93"/>
  <c r="C9" i="93"/>
  <c r="B9" i="93"/>
  <c r="A31" i="134"/>
  <c r="B31" i="134"/>
  <c r="C31" i="134"/>
  <c r="D31" i="134"/>
  <c r="E31" i="134"/>
  <c r="F31" i="134"/>
  <c r="G31" i="134"/>
  <c r="H31" i="134"/>
  <c r="I31" i="134"/>
  <c r="J31" i="134"/>
  <c r="K31" i="134"/>
  <c r="L31" i="134"/>
  <c r="A32" i="134"/>
  <c r="B32" i="134"/>
  <c r="C32" i="134"/>
  <c r="D32" i="134"/>
  <c r="E32" i="134"/>
  <c r="F32" i="134"/>
  <c r="G32" i="134"/>
  <c r="H32" i="134"/>
  <c r="I32" i="134"/>
  <c r="J32" i="134"/>
  <c r="K32" i="134"/>
  <c r="L32" i="134"/>
  <c r="A33" i="134"/>
  <c r="B33" i="134"/>
  <c r="C33" i="134"/>
  <c r="D33" i="134"/>
  <c r="E33" i="134"/>
  <c r="F33" i="134"/>
  <c r="G33" i="134"/>
  <c r="H33" i="134"/>
  <c r="I33" i="134"/>
  <c r="J33" i="134"/>
  <c r="K33" i="134"/>
  <c r="L33" i="134"/>
  <c r="A34" i="134"/>
  <c r="B34" i="134"/>
  <c r="C34" i="134"/>
  <c r="D34" i="134"/>
  <c r="E34" i="134"/>
  <c r="F34" i="134"/>
  <c r="G34" i="134"/>
  <c r="H34" i="134"/>
  <c r="I34" i="134"/>
  <c r="J34" i="134"/>
  <c r="K34" i="134"/>
  <c r="L34" i="134"/>
  <c r="A35" i="134"/>
  <c r="B35" i="134"/>
  <c r="C35" i="134"/>
  <c r="D35" i="134"/>
  <c r="E35" i="134"/>
  <c r="F35" i="134"/>
  <c r="G35" i="134"/>
  <c r="H35" i="134"/>
  <c r="I35" i="134"/>
  <c r="J35" i="134"/>
  <c r="K35" i="134"/>
  <c r="L35" i="134"/>
  <c r="A36" i="134"/>
  <c r="B36" i="134"/>
  <c r="C36" i="134"/>
  <c r="D36" i="134"/>
  <c r="E36" i="134"/>
  <c r="F36" i="134"/>
  <c r="G36" i="134"/>
  <c r="H36" i="134"/>
  <c r="I36" i="134"/>
  <c r="J36" i="134"/>
  <c r="K36" i="134"/>
  <c r="L36" i="134"/>
  <c r="A37" i="134"/>
  <c r="B37" i="134"/>
  <c r="C37" i="134"/>
  <c r="D37" i="134"/>
  <c r="E37" i="134"/>
  <c r="F37" i="134"/>
  <c r="G37" i="134"/>
  <c r="H37" i="134"/>
  <c r="I37" i="134"/>
  <c r="J37" i="134"/>
  <c r="K37" i="134"/>
  <c r="L37" i="134"/>
  <c r="A38" i="134"/>
  <c r="B38" i="134"/>
  <c r="C38" i="134"/>
  <c r="D38" i="134"/>
  <c r="E38" i="134"/>
  <c r="F38" i="134"/>
  <c r="G38" i="134"/>
  <c r="H38" i="134"/>
  <c r="I38" i="134"/>
  <c r="J38" i="134"/>
  <c r="K38" i="134"/>
  <c r="L38" i="134"/>
  <c r="A39" i="134"/>
  <c r="B39" i="134"/>
  <c r="C39" i="134"/>
  <c r="D39" i="134"/>
  <c r="E39" i="134"/>
  <c r="F39" i="134"/>
  <c r="G39" i="134"/>
  <c r="H39" i="134"/>
  <c r="I39" i="134"/>
  <c r="J39" i="134"/>
  <c r="K39" i="134"/>
  <c r="L39" i="134"/>
  <c r="A40" i="134"/>
  <c r="B40" i="134"/>
  <c r="C40" i="134"/>
  <c r="D40" i="134"/>
  <c r="E40" i="134"/>
  <c r="F40" i="134"/>
  <c r="G40" i="134"/>
  <c r="H40" i="134"/>
  <c r="I40" i="134"/>
  <c r="J40" i="134"/>
  <c r="K40" i="134"/>
  <c r="L40" i="134"/>
  <c r="A41" i="134"/>
  <c r="B41" i="134"/>
  <c r="C41" i="134"/>
  <c r="D41" i="134"/>
  <c r="E41" i="134"/>
  <c r="F41" i="134"/>
  <c r="G41" i="134"/>
  <c r="H41" i="134"/>
  <c r="I41" i="134"/>
  <c r="J41" i="134"/>
  <c r="K41" i="134"/>
  <c r="L41" i="134"/>
  <c r="L30" i="134"/>
  <c r="K30" i="134"/>
  <c r="J30" i="134"/>
  <c r="I30" i="134"/>
  <c r="H30" i="134"/>
  <c r="G30" i="134"/>
  <c r="F30" i="134"/>
  <c r="E30" i="134"/>
  <c r="D30" i="134"/>
  <c r="C30" i="134"/>
  <c r="B30" i="134"/>
  <c r="A30" i="134"/>
  <c r="B29" i="271"/>
  <c r="C29" i="271"/>
  <c r="D29" i="271"/>
  <c r="E29" i="271"/>
  <c r="F29" i="271"/>
  <c r="G29" i="271"/>
  <c r="H29" i="271"/>
  <c r="I29" i="271"/>
  <c r="J29" i="271"/>
  <c r="K29" i="271"/>
  <c r="L29" i="271"/>
  <c r="B30" i="271"/>
  <c r="C30" i="271"/>
  <c r="D30" i="271"/>
  <c r="E30" i="271"/>
  <c r="F30" i="271"/>
  <c r="G30" i="271"/>
  <c r="H30" i="271"/>
  <c r="I30" i="271"/>
  <c r="J30" i="271"/>
  <c r="K30" i="271"/>
  <c r="L30" i="271"/>
  <c r="B31" i="271"/>
  <c r="C31" i="271"/>
  <c r="D31" i="271"/>
  <c r="E31" i="271"/>
  <c r="F31" i="271"/>
  <c r="G31" i="271"/>
  <c r="H31" i="271"/>
  <c r="I31" i="271"/>
  <c r="J31" i="271"/>
  <c r="K31" i="271"/>
  <c r="L31" i="271"/>
  <c r="B32" i="271"/>
  <c r="C32" i="271"/>
  <c r="D32" i="271"/>
  <c r="E32" i="271"/>
  <c r="F32" i="271"/>
  <c r="G32" i="271"/>
  <c r="H32" i="271"/>
  <c r="I32" i="271"/>
  <c r="J32" i="271"/>
  <c r="K32" i="271"/>
  <c r="L32" i="271"/>
  <c r="B33" i="271"/>
  <c r="C33" i="271"/>
  <c r="D33" i="271"/>
  <c r="E33" i="271"/>
  <c r="F33" i="271"/>
  <c r="G33" i="271"/>
  <c r="H33" i="271"/>
  <c r="I33" i="271"/>
  <c r="J33" i="271"/>
  <c r="K33" i="271"/>
  <c r="L33" i="271"/>
  <c r="B34" i="271"/>
  <c r="C34" i="271"/>
  <c r="D34" i="271"/>
  <c r="E34" i="271"/>
  <c r="F34" i="271"/>
  <c r="G34" i="271"/>
  <c r="H34" i="271"/>
  <c r="I34" i="271"/>
  <c r="J34" i="271"/>
  <c r="K34" i="271"/>
  <c r="L34" i="271"/>
  <c r="B35" i="271"/>
  <c r="C35" i="271"/>
  <c r="D35" i="271"/>
  <c r="E35" i="271"/>
  <c r="F35" i="271"/>
  <c r="G35" i="271"/>
  <c r="H35" i="271"/>
  <c r="I35" i="271"/>
  <c r="J35" i="271"/>
  <c r="K35" i="271"/>
  <c r="L35" i="271"/>
  <c r="B36" i="271"/>
  <c r="C36" i="271"/>
  <c r="D36" i="271"/>
  <c r="E36" i="271"/>
  <c r="F36" i="271"/>
  <c r="G36" i="271"/>
  <c r="H36" i="271"/>
  <c r="I36" i="271"/>
  <c r="J36" i="271"/>
  <c r="K36" i="271"/>
  <c r="L36" i="271"/>
  <c r="B37" i="271"/>
  <c r="C37" i="271"/>
  <c r="D37" i="271"/>
  <c r="E37" i="271"/>
  <c r="F37" i="271"/>
  <c r="G37" i="271"/>
  <c r="H37" i="271"/>
  <c r="I37" i="271"/>
  <c r="J37" i="271"/>
  <c r="K37" i="271"/>
  <c r="L37" i="271"/>
  <c r="B38" i="271"/>
  <c r="C38" i="271"/>
  <c r="D38" i="271"/>
  <c r="E38" i="271"/>
  <c r="F38" i="271"/>
  <c r="G38" i="271"/>
  <c r="H38" i="271"/>
  <c r="I38" i="271"/>
  <c r="J38" i="271"/>
  <c r="K38" i="271"/>
  <c r="L38" i="271"/>
  <c r="B39" i="271"/>
  <c r="C39" i="271"/>
  <c r="D39" i="271"/>
  <c r="E39" i="271"/>
  <c r="F39" i="271"/>
  <c r="G39" i="271"/>
  <c r="H39" i="271"/>
  <c r="I39" i="271"/>
  <c r="J39" i="271"/>
  <c r="K39" i="271"/>
  <c r="L39" i="271"/>
  <c r="L28" i="271"/>
  <c r="K28" i="271"/>
  <c r="J28" i="271"/>
  <c r="I28" i="271"/>
  <c r="H28" i="271"/>
  <c r="G28" i="271"/>
  <c r="F28" i="271"/>
  <c r="E28" i="271"/>
  <c r="D28" i="271"/>
  <c r="C28" i="271"/>
  <c r="B28" i="271"/>
  <c r="A29" i="271"/>
  <c r="A30" i="271"/>
  <c r="A31" i="271"/>
  <c r="A32" i="271"/>
  <c r="A33" i="271"/>
  <c r="A34" i="271"/>
  <c r="A35" i="271"/>
  <c r="A36" i="271"/>
  <c r="A37" i="271"/>
  <c r="A38" i="271"/>
  <c r="A39" i="271"/>
  <c r="A28" i="271"/>
  <c r="B12" i="271"/>
  <c r="C12" i="271"/>
  <c r="D12" i="271"/>
  <c r="E12" i="271"/>
  <c r="F12" i="271"/>
  <c r="G12" i="271"/>
  <c r="H12" i="271"/>
  <c r="I12" i="271"/>
  <c r="J12" i="271"/>
  <c r="K12" i="271"/>
  <c r="L12" i="271"/>
  <c r="M12" i="271"/>
  <c r="B13" i="271"/>
  <c r="C13" i="271"/>
  <c r="D13" i="271"/>
  <c r="E13" i="271"/>
  <c r="F13" i="271"/>
  <c r="G13" i="271"/>
  <c r="H13" i="271"/>
  <c r="I13" i="271"/>
  <c r="J13" i="271"/>
  <c r="K13" i="271"/>
  <c r="L13" i="271"/>
  <c r="M13" i="271"/>
  <c r="B14" i="271"/>
  <c r="C14" i="271"/>
  <c r="D14" i="271"/>
  <c r="E14" i="271"/>
  <c r="F14" i="271"/>
  <c r="G14" i="271"/>
  <c r="H14" i="271"/>
  <c r="I14" i="271"/>
  <c r="J14" i="271"/>
  <c r="K14" i="271"/>
  <c r="L14" i="271"/>
  <c r="M14" i="271"/>
  <c r="B15" i="271"/>
  <c r="C15" i="271"/>
  <c r="D15" i="271"/>
  <c r="E15" i="271"/>
  <c r="F15" i="271"/>
  <c r="G15" i="271"/>
  <c r="H15" i="271"/>
  <c r="I15" i="271"/>
  <c r="J15" i="271"/>
  <c r="K15" i="271"/>
  <c r="L15" i="271"/>
  <c r="M15" i="271"/>
  <c r="B16" i="271"/>
  <c r="C16" i="271"/>
  <c r="D16" i="271"/>
  <c r="E16" i="271"/>
  <c r="F16" i="271"/>
  <c r="G16" i="271"/>
  <c r="H16" i="271"/>
  <c r="I16" i="271"/>
  <c r="J16" i="271"/>
  <c r="K16" i="271"/>
  <c r="L16" i="271"/>
  <c r="M16" i="271"/>
  <c r="B17" i="271"/>
  <c r="C17" i="271"/>
  <c r="D17" i="271"/>
  <c r="E17" i="271"/>
  <c r="F17" i="271"/>
  <c r="G17" i="271"/>
  <c r="H17" i="271"/>
  <c r="I17" i="271"/>
  <c r="J17" i="271"/>
  <c r="K17" i="271"/>
  <c r="L17" i="271"/>
  <c r="M17" i="271"/>
  <c r="B18" i="271"/>
  <c r="C18" i="271"/>
  <c r="D18" i="271"/>
  <c r="E18" i="271"/>
  <c r="F18" i="271"/>
  <c r="G18" i="271"/>
  <c r="H18" i="271"/>
  <c r="I18" i="271"/>
  <c r="J18" i="271"/>
  <c r="K18" i="271"/>
  <c r="L18" i="271"/>
  <c r="M18" i="271"/>
  <c r="B19" i="271"/>
  <c r="C19" i="271"/>
  <c r="D19" i="271"/>
  <c r="E19" i="271"/>
  <c r="F19" i="271"/>
  <c r="G19" i="271"/>
  <c r="H19" i="271"/>
  <c r="I19" i="271"/>
  <c r="J19" i="271"/>
  <c r="K19" i="271"/>
  <c r="L19" i="271"/>
  <c r="M19" i="271"/>
  <c r="B20" i="271"/>
  <c r="C20" i="271"/>
  <c r="D20" i="271"/>
  <c r="E20" i="271"/>
  <c r="F20" i="271"/>
  <c r="G20" i="271"/>
  <c r="H20" i="271"/>
  <c r="I20" i="271"/>
  <c r="J20" i="271"/>
  <c r="K20" i="271"/>
  <c r="L20" i="271"/>
  <c r="M20" i="271"/>
  <c r="B21" i="271"/>
  <c r="C21" i="271"/>
  <c r="D21" i="271"/>
  <c r="E21" i="271"/>
  <c r="F21" i="271"/>
  <c r="G21" i="271"/>
  <c r="H21" i="271"/>
  <c r="I21" i="271"/>
  <c r="J21" i="271"/>
  <c r="K21" i="271"/>
  <c r="L21" i="271"/>
  <c r="M21" i="271"/>
  <c r="B22" i="271"/>
  <c r="C22" i="271"/>
  <c r="D22" i="271"/>
  <c r="E22" i="271"/>
  <c r="F22" i="271"/>
  <c r="G22" i="271"/>
  <c r="H22" i="271"/>
  <c r="I22" i="271"/>
  <c r="J22" i="271"/>
  <c r="K22" i="271"/>
  <c r="L22" i="271"/>
  <c r="M22" i="271"/>
  <c r="M11" i="271"/>
  <c r="L11" i="271"/>
  <c r="K11" i="271"/>
  <c r="J11" i="271"/>
  <c r="I11" i="271"/>
  <c r="H11" i="271"/>
  <c r="G11" i="271"/>
  <c r="F11" i="271"/>
  <c r="E11" i="271"/>
  <c r="D11" i="271"/>
  <c r="C11" i="271"/>
  <c r="A12" i="271"/>
  <c r="A13" i="271"/>
  <c r="A14" i="271"/>
  <c r="A15" i="271"/>
  <c r="A16" i="271"/>
  <c r="A17" i="271"/>
  <c r="A18" i="271"/>
  <c r="A19" i="271"/>
  <c r="A20" i="271"/>
  <c r="A21" i="271"/>
  <c r="A22" i="271"/>
  <c r="A11" i="271"/>
  <c r="B11" i="271"/>
  <c r="C31" i="127"/>
  <c r="D31" i="127"/>
  <c r="E31" i="127"/>
  <c r="C32" i="127"/>
  <c r="D32" i="127"/>
  <c r="E32" i="127"/>
  <c r="C33" i="127"/>
  <c r="D33" i="127"/>
  <c r="E33" i="127"/>
  <c r="C34" i="127"/>
  <c r="D34" i="127"/>
  <c r="E34" i="127"/>
  <c r="C35" i="127"/>
  <c r="D35" i="127"/>
  <c r="E35" i="127"/>
  <c r="C36" i="127"/>
  <c r="D36" i="127"/>
  <c r="E36" i="127"/>
  <c r="C37" i="127"/>
  <c r="D37" i="127"/>
  <c r="E37" i="127"/>
  <c r="C38" i="127"/>
  <c r="D38" i="127"/>
  <c r="E38" i="127"/>
  <c r="C39" i="127"/>
  <c r="D39" i="127"/>
  <c r="E39" i="127"/>
  <c r="C40" i="127"/>
  <c r="D40" i="127"/>
  <c r="E40" i="127"/>
  <c r="C41" i="127"/>
  <c r="D41" i="127"/>
  <c r="E41" i="127"/>
  <c r="C42" i="127"/>
  <c r="D42" i="127"/>
  <c r="E42" i="127"/>
  <c r="B32" i="127"/>
  <c r="B33" i="127"/>
  <c r="B34" i="127"/>
  <c r="B35" i="127"/>
  <c r="B36" i="127"/>
  <c r="B37" i="127"/>
  <c r="B38" i="127"/>
  <c r="B39" i="127"/>
  <c r="B40" i="127"/>
  <c r="B41" i="127"/>
  <c r="B42" i="127"/>
  <c r="B31" i="127"/>
  <c r="A32" i="127"/>
  <c r="A33" i="127"/>
  <c r="A34" i="127"/>
  <c r="A35" i="127"/>
  <c r="A36" i="127"/>
  <c r="A37" i="127"/>
  <c r="A38" i="127"/>
  <c r="A39" i="127"/>
  <c r="A40" i="127"/>
  <c r="A41" i="127"/>
  <c r="A42" i="127"/>
  <c r="A31" i="127"/>
  <c r="C10" i="127"/>
  <c r="D10" i="127"/>
  <c r="E10" i="127"/>
  <c r="C11" i="127"/>
  <c r="D11" i="127"/>
  <c r="E11" i="127"/>
  <c r="C12" i="127"/>
  <c r="D12" i="127"/>
  <c r="E12" i="127"/>
  <c r="C13" i="127"/>
  <c r="D13" i="127"/>
  <c r="E13" i="127"/>
  <c r="C14" i="127"/>
  <c r="D14" i="127"/>
  <c r="E14" i="127"/>
  <c r="C15" i="127"/>
  <c r="D15" i="127"/>
  <c r="E15" i="127"/>
  <c r="C16" i="127"/>
  <c r="D16" i="127"/>
  <c r="E16" i="127"/>
  <c r="C17" i="127"/>
  <c r="D17" i="127"/>
  <c r="E17" i="127"/>
  <c r="C18" i="127"/>
  <c r="D18" i="127"/>
  <c r="E18" i="127"/>
  <c r="C19" i="127"/>
  <c r="D19" i="127"/>
  <c r="E19" i="127"/>
  <c r="C20" i="127"/>
  <c r="D20" i="127"/>
  <c r="E20" i="127"/>
  <c r="C21" i="127"/>
  <c r="D21" i="127"/>
  <c r="E21" i="127"/>
  <c r="B11" i="127"/>
  <c r="B12" i="127"/>
  <c r="B13" i="127"/>
  <c r="B14" i="127"/>
  <c r="B15" i="127"/>
  <c r="B16" i="127"/>
  <c r="B17" i="127"/>
  <c r="B18" i="127"/>
  <c r="B19" i="127"/>
  <c r="B20" i="127"/>
  <c r="B21" i="127"/>
  <c r="B10" i="127"/>
  <c r="A11" i="127"/>
  <c r="A12" i="127"/>
  <c r="A13" i="127"/>
  <c r="A14" i="127"/>
  <c r="A15" i="127"/>
  <c r="A16" i="127"/>
  <c r="A17" i="127"/>
  <c r="A18" i="127"/>
  <c r="A19" i="127"/>
  <c r="A20" i="127"/>
  <c r="A21" i="127"/>
  <c r="A10" i="127"/>
  <c r="G11" i="4"/>
  <c r="G12" i="4"/>
  <c r="G13" i="4"/>
  <c r="G14" i="4"/>
  <c r="G15" i="4"/>
  <c r="G16" i="4"/>
  <c r="G17" i="4"/>
  <c r="G18" i="4"/>
  <c r="G19" i="4"/>
  <c r="G20" i="4"/>
  <c r="G21" i="4"/>
  <c r="G10" i="4"/>
  <c r="D11" i="4"/>
  <c r="D12" i="4"/>
  <c r="D13" i="4"/>
  <c r="D14" i="4"/>
  <c r="D15" i="4"/>
  <c r="D16" i="4"/>
  <c r="D17" i="4"/>
  <c r="D18" i="4"/>
  <c r="D19" i="4"/>
  <c r="D20" i="4"/>
  <c r="D21" i="4"/>
  <c r="D10" i="4"/>
  <c r="B10" i="4"/>
  <c r="B11" i="4"/>
  <c r="B12" i="4"/>
  <c r="B13" i="4"/>
  <c r="B14" i="4"/>
  <c r="B15" i="4"/>
  <c r="B16" i="4"/>
  <c r="B17" i="4"/>
  <c r="B18" i="4"/>
  <c r="B19" i="4"/>
  <c r="B20" i="4"/>
  <c r="B21" i="4"/>
  <c r="A11" i="4"/>
  <c r="A12" i="4"/>
  <c r="A13" i="4"/>
  <c r="A14" i="4"/>
  <c r="A15" i="4"/>
  <c r="A16" i="4"/>
  <c r="A17" i="4"/>
  <c r="A18" i="4"/>
  <c r="A19" i="4"/>
  <c r="A20" i="4"/>
  <c r="A21" i="4"/>
  <c r="A10" i="4"/>
  <c r="A11" i="332"/>
  <c r="A12" i="332"/>
  <c r="A13" i="332"/>
  <c r="A14" i="332"/>
  <c r="A15" i="332"/>
  <c r="A16" i="332"/>
  <c r="A17" i="332"/>
  <c r="A18" i="332"/>
  <c r="A19" i="332"/>
  <c r="A20" i="332"/>
  <c r="A21" i="332"/>
  <c r="A10" i="332"/>
  <c r="A11" i="182"/>
  <c r="A12" i="182"/>
  <c r="A13" i="182"/>
  <c r="A14" i="182"/>
  <c r="A15" i="182"/>
  <c r="A16" i="182"/>
  <c r="A17" i="182"/>
  <c r="A18" i="182"/>
  <c r="A19" i="182"/>
  <c r="A20" i="182"/>
  <c r="A21" i="182"/>
  <c r="A10" i="182"/>
  <c r="C36" i="10"/>
  <c r="D36" i="10"/>
  <c r="E36" i="10"/>
  <c r="F36" i="10"/>
  <c r="G36" i="10"/>
  <c r="H36" i="10"/>
  <c r="I36" i="10"/>
  <c r="J36" i="10"/>
  <c r="K36" i="10"/>
  <c r="L36" i="10"/>
  <c r="M36" i="10"/>
  <c r="C37" i="10"/>
  <c r="D37" i="10"/>
  <c r="E37" i="10"/>
  <c r="F37" i="10"/>
  <c r="G37" i="10"/>
  <c r="H37" i="10"/>
  <c r="I37" i="10"/>
  <c r="J37" i="10"/>
  <c r="K37" i="10"/>
  <c r="L37" i="10"/>
  <c r="M37" i="10"/>
  <c r="C38" i="10"/>
  <c r="D38" i="10"/>
  <c r="E38" i="10"/>
  <c r="F38" i="10"/>
  <c r="G38" i="10"/>
  <c r="H38" i="10"/>
  <c r="I38" i="10"/>
  <c r="J38" i="10"/>
  <c r="K38" i="10"/>
  <c r="L38" i="10"/>
  <c r="M38" i="10"/>
  <c r="C39" i="10"/>
  <c r="D39" i="10"/>
  <c r="E39" i="10"/>
  <c r="F39" i="10"/>
  <c r="G39" i="10"/>
  <c r="H39" i="10"/>
  <c r="I39" i="10"/>
  <c r="J39" i="10"/>
  <c r="K39" i="10"/>
  <c r="L39" i="10"/>
  <c r="M39" i="10"/>
  <c r="C40" i="10"/>
  <c r="D40" i="10"/>
  <c r="E40" i="10"/>
  <c r="F40" i="10"/>
  <c r="G40" i="10"/>
  <c r="H40" i="10"/>
  <c r="I40" i="10"/>
  <c r="J40" i="10"/>
  <c r="K40" i="10"/>
  <c r="L40" i="10"/>
  <c r="M40" i="10"/>
  <c r="C41" i="10"/>
  <c r="D41" i="10"/>
  <c r="E41" i="10"/>
  <c r="F41" i="10"/>
  <c r="G41" i="10"/>
  <c r="H41" i="10"/>
  <c r="I41" i="10"/>
  <c r="J41" i="10"/>
  <c r="K41" i="10"/>
  <c r="L41" i="10"/>
  <c r="M41" i="10"/>
  <c r="C42" i="10"/>
  <c r="D42" i="10"/>
  <c r="E42" i="10"/>
  <c r="F42" i="10"/>
  <c r="G42" i="10"/>
  <c r="H42" i="10"/>
  <c r="I42" i="10"/>
  <c r="J42" i="10"/>
  <c r="K42" i="10"/>
  <c r="L42" i="10"/>
  <c r="M42" i="10"/>
  <c r="C43" i="10"/>
  <c r="D43" i="10"/>
  <c r="E43" i="10"/>
  <c r="F43" i="10"/>
  <c r="G43" i="10"/>
  <c r="H43" i="10"/>
  <c r="I43" i="10"/>
  <c r="J43" i="10"/>
  <c r="K43" i="10"/>
  <c r="L43" i="10"/>
  <c r="M43" i="10"/>
  <c r="C44" i="10"/>
  <c r="D44" i="10"/>
  <c r="E44" i="10"/>
  <c r="F44" i="10"/>
  <c r="G44" i="10"/>
  <c r="H44" i="10"/>
  <c r="I44" i="10"/>
  <c r="J44" i="10"/>
  <c r="K44" i="10"/>
  <c r="L44" i="10"/>
  <c r="M44" i="10"/>
  <c r="C45" i="10"/>
  <c r="D45" i="10"/>
  <c r="E45" i="10"/>
  <c r="F45" i="10"/>
  <c r="G45" i="10"/>
  <c r="H45" i="10"/>
  <c r="I45" i="10"/>
  <c r="J45" i="10"/>
  <c r="K45" i="10"/>
  <c r="L45" i="10"/>
  <c r="M45" i="10"/>
  <c r="C46" i="10"/>
  <c r="D46" i="10"/>
  <c r="E46" i="10"/>
  <c r="F46" i="10"/>
  <c r="G46" i="10"/>
  <c r="H46" i="10"/>
  <c r="I46" i="10"/>
  <c r="J46" i="10"/>
  <c r="K46" i="10"/>
  <c r="L46" i="10"/>
  <c r="M46" i="10"/>
  <c r="C47" i="10"/>
  <c r="D47" i="10"/>
  <c r="E47" i="10"/>
  <c r="F47" i="10"/>
  <c r="G47" i="10"/>
  <c r="H47" i="10"/>
  <c r="I47" i="10"/>
  <c r="J47" i="10"/>
  <c r="K47" i="10"/>
  <c r="L47" i="10"/>
  <c r="M47" i="10"/>
  <c r="C48" i="10"/>
  <c r="D48" i="10"/>
  <c r="E48" i="10"/>
  <c r="F48" i="10"/>
  <c r="G48" i="10"/>
  <c r="H48" i="10"/>
  <c r="I48" i="10"/>
  <c r="J48" i="10"/>
  <c r="K48" i="10"/>
  <c r="L48" i="10"/>
  <c r="M48" i="10"/>
  <c r="C49" i="10"/>
  <c r="D49" i="10"/>
  <c r="E49" i="10"/>
  <c r="F49" i="10"/>
  <c r="G49" i="10"/>
  <c r="H49" i="10"/>
  <c r="I49" i="10"/>
  <c r="J49" i="10"/>
  <c r="K49" i="10"/>
  <c r="L49" i="10"/>
  <c r="M49" i="10"/>
  <c r="C50" i="10"/>
  <c r="D50" i="10"/>
  <c r="E50" i="10"/>
  <c r="F50" i="10"/>
  <c r="G50" i="10"/>
  <c r="H50" i="10"/>
  <c r="I50" i="10"/>
  <c r="J50" i="10"/>
  <c r="K50" i="10"/>
  <c r="L50" i="10"/>
  <c r="M50" i="10"/>
  <c r="C51" i="10"/>
  <c r="D51" i="10"/>
  <c r="E51" i="10"/>
  <c r="F51" i="10"/>
  <c r="G51" i="10"/>
  <c r="H51" i="10"/>
  <c r="I51" i="10"/>
  <c r="J51" i="10"/>
  <c r="K51" i="10"/>
  <c r="L51" i="10"/>
  <c r="M51" i="10"/>
  <c r="C52" i="10"/>
  <c r="D52" i="10"/>
  <c r="E52" i="10"/>
  <c r="F52" i="10"/>
  <c r="G52" i="10"/>
  <c r="H52" i="10"/>
  <c r="I52" i="10"/>
  <c r="J52" i="10"/>
  <c r="K52" i="10"/>
  <c r="L52" i="10"/>
  <c r="M52" i="10"/>
  <c r="C53" i="10"/>
  <c r="D53" i="10"/>
  <c r="E53" i="10"/>
  <c r="F53" i="10"/>
  <c r="G53" i="10"/>
  <c r="H53" i="10"/>
  <c r="I53" i="10"/>
  <c r="J53" i="10"/>
  <c r="K53" i="10"/>
  <c r="L53" i="10"/>
  <c r="M53" i="10"/>
  <c r="C54" i="10"/>
  <c r="D54" i="10"/>
  <c r="E54" i="10"/>
  <c r="F54" i="10"/>
  <c r="G54" i="10"/>
  <c r="H54" i="10"/>
  <c r="I54" i="10"/>
  <c r="J54" i="10"/>
  <c r="K54" i="10"/>
  <c r="L54" i="10"/>
  <c r="M54" i="10"/>
  <c r="C55" i="10"/>
  <c r="D55" i="10"/>
  <c r="E55" i="10"/>
  <c r="F55" i="10"/>
  <c r="G55" i="10"/>
  <c r="H55" i="10"/>
  <c r="I55" i="10"/>
  <c r="J55" i="10"/>
  <c r="K55" i="10"/>
  <c r="L55" i="10"/>
  <c r="M55" i="10"/>
  <c r="B37" i="10"/>
  <c r="B38" i="10"/>
  <c r="B39" i="10"/>
  <c r="B40" i="10"/>
  <c r="B41" i="10"/>
  <c r="B42" i="10"/>
  <c r="B43" i="10"/>
  <c r="B44" i="10"/>
  <c r="B45" i="10"/>
  <c r="B46" i="10"/>
  <c r="B47" i="10"/>
  <c r="B48" i="10"/>
  <c r="B49" i="10"/>
  <c r="B50" i="10"/>
  <c r="B51" i="10"/>
  <c r="B52" i="10"/>
  <c r="B53" i="10"/>
  <c r="B54" i="10"/>
  <c r="B55" i="10"/>
  <c r="B36" i="10"/>
  <c r="C10" i="10"/>
  <c r="D10" i="10"/>
  <c r="E10" i="10"/>
  <c r="F10" i="10"/>
  <c r="G10" i="10"/>
  <c r="H10" i="10"/>
  <c r="I10" i="10"/>
  <c r="J10" i="10"/>
  <c r="K10" i="10"/>
  <c r="L10" i="10"/>
  <c r="M10" i="10"/>
  <c r="C11" i="10"/>
  <c r="D11" i="10"/>
  <c r="E11" i="10"/>
  <c r="F11" i="10"/>
  <c r="G11" i="10"/>
  <c r="H11" i="10"/>
  <c r="I11" i="10"/>
  <c r="J11" i="10"/>
  <c r="K11" i="10"/>
  <c r="L11" i="10"/>
  <c r="M11" i="10"/>
  <c r="C12" i="10"/>
  <c r="D12" i="10"/>
  <c r="E12" i="10"/>
  <c r="F12" i="10"/>
  <c r="G12" i="10"/>
  <c r="H12" i="10"/>
  <c r="I12" i="10"/>
  <c r="J12" i="10"/>
  <c r="K12" i="10"/>
  <c r="L12" i="10"/>
  <c r="M12" i="10"/>
  <c r="C13" i="10"/>
  <c r="D13" i="10"/>
  <c r="E13" i="10"/>
  <c r="F13" i="10"/>
  <c r="G13" i="10"/>
  <c r="H13" i="10"/>
  <c r="I13" i="10"/>
  <c r="J13" i="10"/>
  <c r="K13" i="10"/>
  <c r="L13" i="10"/>
  <c r="M13" i="10"/>
  <c r="C14" i="10"/>
  <c r="D14" i="10"/>
  <c r="E14" i="10"/>
  <c r="F14" i="10"/>
  <c r="G14" i="10"/>
  <c r="H14" i="10"/>
  <c r="I14" i="10"/>
  <c r="J14" i="10"/>
  <c r="K14" i="10"/>
  <c r="L14" i="10"/>
  <c r="M14" i="10"/>
  <c r="C15" i="10"/>
  <c r="D15" i="10"/>
  <c r="E15" i="10"/>
  <c r="F15" i="10"/>
  <c r="G15" i="10"/>
  <c r="H15" i="10"/>
  <c r="I15" i="10"/>
  <c r="J15" i="10"/>
  <c r="K15" i="10"/>
  <c r="L15" i="10"/>
  <c r="M15" i="10"/>
  <c r="C16" i="10"/>
  <c r="D16" i="10"/>
  <c r="E16" i="10"/>
  <c r="F16" i="10"/>
  <c r="G16" i="10"/>
  <c r="H16" i="10"/>
  <c r="I16" i="10"/>
  <c r="J16" i="10"/>
  <c r="K16" i="10"/>
  <c r="L16" i="10"/>
  <c r="M16" i="10"/>
  <c r="C17" i="10"/>
  <c r="D17" i="10"/>
  <c r="E17" i="10"/>
  <c r="F17" i="10"/>
  <c r="G17" i="10"/>
  <c r="H17" i="10"/>
  <c r="I17" i="10"/>
  <c r="J17" i="10"/>
  <c r="K17" i="10"/>
  <c r="L17" i="10"/>
  <c r="M17" i="10"/>
  <c r="C18" i="10"/>
  <c r="D18" i="10"/>
  <c r="E18" i="10"/>
  <c r="F18" i="10"/>
  <c r="G18" i="10"/>
  <c r="H18" i="10"/>
  <c r="I18" i="10"/>
  <c r="J18" i="10"/>
  <c r="K18" i="10"/>
  <c r="L18" i="10"/>
  <c r="M18" i="10"/>
  <c r="C19" i="10"/>
  <c r="D19" i="10"/>
  <c r="E19" i="10"/>
  <c r="F19" i="10"/>
  <c r="G19" i="10"/>
  <c r="H19" i="10"/>
  <c r="I19" i="10"/>
  <c r="J19" i="10"/>
  <c r="K19" i="10"/>
  <c r="L19" i="10"/>
  <c r="M19" i="10"/>
  <c r="C20" i="10"/>
  <c r="D20" i="10"/>
  <c r="E20" i="10"/>
  <c r="F20" i="10"/>
  <c r="G20" i="10"/>
  <c r="H20" i="10"/>
  <c r="I20" i="10"/>
  <c r="J20" i="10"/>
  <c r="K20" i="10"/>
  <c r="L20" i="10"/>
  <c r="M20" i="10"/>
  <c r="C21" i="10"/>
  <c r="D21" i="10"/>
  <c r="E21" i="10"/>
  <c r="F21" i="10"/>
  <c r="G21" i="10"/>
  <c r="H21" i="10"/>
  <c r="I21" i="10"/>
  <c r="J21" i="10"/>
  <c r="K21" i="10"/>
  <c r="L21" i="10"/>
  <c r="M21" i="10"/>
  <c r="C22" i="10"/>
  <c r="D22" i="10"/>
  <c r="E22" i="10"/>
  <c r="F22" i="10"/>
  <c r="G22" i="10"/>
  <c r="H22" i="10"/>
  <c r="I22" i="10"/>
  <c r="J22" i="10"/>
  <c r="K22" i="10"/>
  <c r="L22" i="10"/>
  <c r="M22" i="10"/>
  <c r="C23" i="10"/>
  <c r="D23" i="10"/>
  <c r="E23" i="10"/>
  <c r="F23" i="10"/>
  <c r="G23" i="10"/>
  <c r="H23" i="10"/>
  <c r="I23" i="10"/>
  <c r="J23" i="10"/>
  <c r="K23" i="10"/>
  <c r="L23" i="10"/>
  <c r="M23" i="10"/>
  <c r="C24" i="10"/>
  <c r="D24" i="10"/>
  <c r="E24" i="10"/>
  <c r="F24" i="10"/>
  <c r="G24" i="10"/>
  <c r="H24" i="10"/>
  <c r="I24" i="10"/>
  <c r="J24" i="10"/>
  <c r="K24" i="10"/>
  <c r="L24" i="10"/>
  <c r="M24" i="10"/>
  <c r="C25" i="10"/>
  <c r="D25" i="10"/>
  <c r="E25" i="10"/>
  <c r="F25" i="10"/>
  <c r="G25" i="10"/>
  <c r="H25" i="10"/>
  <c r="I25" i="10"/>
  <c r="J25" i="10"/>
  <c r="K25" i="10"/>
  <c r="L25" i="10"/>
  <c r="M25" i="10"/>
  <c r="C26" i="10"/>
  <c r="D26" i="10"/>
  <c r="E26" i="10"/>
  <c r="F26" i="10"/>
  <c r="G26" i="10"/>
  <c r="H26" i="10"/>
  <c r="I26" i="10"/>
  <c r="J26" i="10"/>
  <c r="K26" i="10"/>
  <c r="L26" i="10"/>
  <c r="M26" i="10"/>
  <c r="C27" i="10"/>
  <c r="D27" i="10"/>
  <c r="E27" i="10"/>
  <c r="F27" i="10"/>
  <c r="G27" i="10"/>
  <c r="H27" i="10"/>
  <c r="I27" i="10"/>
  <c r="J27" i="10"/>
  <c r="K27" i="10"/>
  <c r="L27" i="10"/>
  <c r="M27" i="10"/>
  <c r="C28" i="10"/>
  <c r="D28" i="10"/>
  <c r="E28" i="10"/>
  <c r="F28" i="10"/>
  <c r="G28" i="10"/>
  <c r="H28" i="10"/>
  <c r="I28" i="10"/>
  <c r="J28" i="10"/>
  <c r="K28" i="10"/>
  <c r="L28" i="10"/>
  <c r="M28" i="10"/>
  <c r="C29" i="10"/>
  <c r="D29" i="10"/>
  <c r="E29" i="10"/>
  <c r="F29" i="10"/>
  <c r="G29" i="10"/>
  <c r="H29" i="10"/>
  <c r="I29" i="10"/>
  <c r="J29" i="10"/>
  <c r="K29" i="10"/>
  <c r="L29" i="10"/>
  <c r="M29" i="10"/>
  <c r="B11" i="10"/>
  <c r="B12" i="10"/>
  <c r="B13" i="10"/>
  <c r="B14" i="10"/>
  <c r="B15" i="10"/>
  <c r="B16" i="10"/>
  <c r="B17" i="10"/>
  <c r="B18" i="10"/>
  <c r="B19" i="10"/>
  <c r="B20" i="10"/>
  <c r="B21" i="10"/>
  <c r="B22" i="10"/>
  <c r="B23" i="10"/>
  <c r="B24" i="10"/>
  <c r="B25" i="10"/>
  <c r="B26" i="10"/>
  <c r="B27" i="10"/>
  <c r="B28" i="10"/>
  <c r="B29" i="10"/>
  <c r="B10" i="10"/>
  <c r="H33" i="123"/>
  <c r="H34" i="123"/>
  <c r="H35" i="123"/>
  <c r="H36" i="123"/>
  <c r="H37" i="123"/>
  <c r="H38" i="123"/>
  <c r="H39" i="123"/>
  <c r="H40" i="123"/>
  <c r="H41" i="123"/>
  <c r="H42" i="123"/>
  <c r="H43" i="123"/>
  <c r="H32" i="123"/>
  <c r="C32" i="123"/>
  <c r="D32" i="123"/>
  <c r="E32" i="123"/>
  <c r="F32" i="123"/>
  <c r="G32" i="123"/>
  <c r="C33" i="123"/>
  <c r="D33" i="123"/>
  <c r="E33" i="123"/>
  <c r="F33" i="123"/>
  <c r="G33" i="123"/>
  <c r="C34" i="123"/>
  <c r="D34" i="123"/>
  <c r="E34" i="123"/>
  <c r="F34" i="123"/>
  <c r="G34" i="123"/>
  <c r="C35" i="123"/>
  <c r="D35" i="123"/>
  <c r="E35" i="123"/>
  <c r="F35" i="123"/>
  <c r="G35" i="123"/>
  <c r="C36" i="123"/>
  <c r="D36" i="123"/>
  <c r="E36" i="123"/>
  <c r="F36" i="123"/>
  <c r="G36" i="123"/>
  <c r="C37" i="123"/>
  <c r="D37" i="123"/>
  <c r="E37" i="123"/>
  <c r="F37" i="123"/>
  <c r="G37" i="123"/>
  <c r="C38" i="123"/>
  <c r="D38" i="123"/>
  <c r="E38" i="123"/>
  <c r="F38" i="123"/>
  <c r="G38" i="123"/>
  <c r="C39" i="123"/>
  <c r="D39" i="123"/>
  <c r="E39" i="123"/>
  <c r="F39" i="123"/>
  <c r="G39" i="123"/>
  <c r="C40" i="123"/>
  <c r="D40" i="123"/>
  <c r="E40" i="123"/>
  <c r="F40" i="123"/>
  <c r="G40" i="123"/>
  <c r="C41" i="123"/>
  <c r="D41" i="123"/>
  <c r="E41" i="123"/>
  <c r="F41" i="123"/>
  <c r="G41" i="123"/>
  <c r="C42" i="123"/>
  <c r="D42" i="123"/>
  <c r="E42" i="123"/>
  <c r="F42" i="123"/>
  <c r="G42" i="123"/>
  <c r="C43" i="123"/>
  <c r="D43" i="123"/>
  <c r="E43" i="123"/>
  <c r="F43" i="123"/>
  <c r="G43" i="123"/>
  <c r="B33" i="123"/>
  <c r="B34" i="123"/>
  <c r="B35" i="123"/>
  <c r="B36" i="123"/>
  <c r="B37" i="123"/>
  <c r="B38" i="123"/>
  <c r="B39" i="123"/>
  <c r="B40" i="123"/>
  <c r="B41" i="123"/>
  <c r="B42" i="123"/>
  <c r="B43" i="123"/>
  <c r="B32" i="123"/>
  <c r="A33" i="123"/>
  <c r="A34" i="123"/>
  <c r="A35" i="123"/>
  <c r="A36" i="123"/>
  <c r="A37" i="123"/>
  <c r="A38" i="123"/>
  <c r="A39" i="123"/>
  <c r="A40" i="123"/>
  <c r="A41" i="123"/>
  <c r="A42" i="123"/>
  <c r="A43" i="123"/>
  <c r="A32" i="123"/>
  <c r="C9" i="123"/>
  <c r="D9" i="123"/>
  <c r="E9" i="123"/>
  <c r="F9" i="123"/>
  <c r="G9" i="123"/>
  <c r="H9" i="123"/>
  <c r="I9" i="123"/>
  <c r="J9" i="123"/>
  <c r="C10" i="123"/>
  <c r="D10" i="123"/>
  <c r="E10" i="123"/>
  <c r="F10" i="123"/>
  <c r="G10" i="123"/>
  <c r="H10" i="123"/>
  <c r="I10" i="123"/>
  <c r="J10" i="123"/>
  <c r="C11" i="123"/>
  <c r="D11" i="123"/>
  <c r="E11" i="123"/>
  <c r="F11" i="123"/>
  <c r="G11" i="123"/>
  <c r="H11" i="123"/>
  <c r="I11" i="123"/>
  <c r="J11" i="123"/>
  <c r="C12" i="123"/>
  <c r="D12" i="123"/>
  <c r="E12" i="123"/>
  <c r="F12" i="123"/>
  <c r="G12" i="123"/>
  <c r="H12" i="123"/>
  <c r="I12" i="123"/>
  <c r="J12" i="123"/>
  <c r="C13" i="123"/>
  <c r="D13" i="123"/>
  <c r="E13" i="123"/>
  <c r="F13" i="123"/>
  <c r="G13" i="123"/>
  <c r="H13" i="123"/>
  <c r="I13" i="123"/>
  <c r="J13" i="123"/>
  <c r="C14" i="123"/>
  <c r="D14" i="123"/>
  <c r="E14" i="123"/>
  <c r="F14" i="123"/>
  <c r="G14" i="123"/>
  <c r="H14" i="123"/>
  <c r="I14" i="123"/>
  <c r="J14" i="123"/>
  <c r="C15" i="123"/>
  <c r="D15" i="123"/>
  <c r="E15" i="123"/>
  <c r="F15" i="123"/>
  <c r="G15" i="123"/>
  <c r="H15" i="123"/>
  <c r="I15" i="123"/>
  <c r="J15" i="123"/>
  <c r="C16" i="123"/>
  <c r="D16" i="123"/>
  <c r="E16" i="123"/>
  <c r="F16" i="123"/>
  <c r="G16" i="123"/>
  <c r="H16" i="123"/>
  <c r="I16" i="123"/>
  <c r="J16" i="123"/>
  <c r="C17" i="123"/>
  <c r="D17" i="123"/>
  <c r="E17" i="123"/>
  <c r="F17" i="123"/>
  <c r="G17" i="123"/>
  <c r="H17" i="123"/>
  <c r="I17" i="123"/>
  <c r="J17" i="123"/>
  <c r="C18" i="123"/>
  <c r="D18" i="123"/>
  <c r="E18" i="123"/>
  <c r="F18" i="123"/>
  <c r="G18" i="123"/>
  <c r="H18" i="123"/>
  <c r="I18" i="123"/>
  <c r="J18" i="123"/>
  <c r="C19" i="123"/>
  <c r="D19" i="123"/>
  <c r="E19" i="123"/>
  <c r="F19" i="123"/>
  <c r="G19" i="123"/>
  <c r="H19" i="123"/>
  <c r="I19" i="123"/>
  <c r="J19" i="123"/>
  <c r="C20" i="123"/>
  <c r="D20" i="123"/>
  <c r="E20" i="123"/>
  <c r="F20" i="123"/>
  <c r="G20" i="123"/>
  <c r="H20" i="123"/>
  <c r="I20" i="123"/>
  <c r="J20" i="123"/>
  <c r="B10" i="123"/>
  <c r="B11" i="123"/>
  <c r="B12" i="123"/>
  <c r="B13" i="123"/>
  <c r="B14" i="123"/>
  <c r="B15" i="123"/>
  <c r="B16" i="123"/>
  <c r="B17" i="123"/>
  <c r="B18" i="123"/>
  <c r="B19" i="123"/>
  <c r="B20" i="123"/>
  <c r="B9" i="123"/>
  <c r="A10" i="123"/>
  <c r="A11" i="123"/>
  <c r="A12" i="123"/>
  <c r="A13" i="123"/>
  <c r="A14" i="123"/>
  <c r="A15" i="123"/>
  <c r="A16" i="123"/>
  <c r="A17" i="123"/>
  <c r="A18" i="123"/>
  <c r="A19" i="123"/>
  <c r="A20" i="123"/>
  <c r="A9" i="123"/>
  <c r="C9" i="8"/>
  <c r="D9" i="8"/>
  <c r="E9" i="8"/>
  <c r="F9" i="8"/>
  <c r="G9" i="8"/>
  <c r="H9" i="8"/>
  <c r="I9" i="8"/>
  <c r="J9" i="8"/>
  <c r="K9" i="8"/>
  <c r="L9" i="8"/>
  <c r="M9" i="8"/>
  <c r="N9" i="8"/>
  <c r="O9" i="8"/>
  <c r="P9" i="8"/>
  <c r="Q9" i="8"/>
  <c r="R9" i="8"/>
  <c r="S9" i="8"/>
  <c r="T9" i="8"/>
  <c r="U9" i="8"/>
  <c r="C10" i="8"/>
  <c r="D10" i="8"/>
  <c r="E10" i="8"/>
  <c r="F10" i="8"/>
  <c r="G10" i="8"/>
  <c r="H10" i="8"/>
  <c r="I10" i="8"/>
  <c r="J10" i="8"/>
  <c r="K10" i="8"/>
  <c r="L10" i="8"/>
  <c r="M10" i="8"/>
  <c r="N10" i="8"/>
  <c r="O10" i="8"/>
  <c r="P10" i="8"/>
  <c r="Q10" i="8"/>
  <c r="R10" i="8"/>
  <c r="S10" i="8"/>
  <c r="T10" i="8"/>
  <c r="U10" i="8"/>
  <c r="C11" i="8"/>
  <c r="D11" i="8"/>
  <c r="E11" i="8"/>
  <c r="F11" i="8"/>
  <c r="G11" i="8"/>
  <c r="H11" i="8"/>
  <c r="I11" i="8"/>
  <c r="J11" i="8"/>
  <c r="K11" i="8"/>
  <c r="L11" i="8"/>
  <c r="M11" i="8"/>
  <c r="N11" i="8"/>
  <c r="O11" i="8"/>
  <c r="P11" i="8"/>
  <c r="Q11" i="8"/>
  <c r="R11" i="8"/>
  <c r="S11" i="8"/>
  <c r="T11" i="8"/>
  <c r="U11" i="8"/>
  <c r="C12" i="8"/>
  <c r="D12" i="8"/>
  <c r="E12" i="8"/>
  <c r="F12" i="8"/>
  <c r="G12" i="8"/>
  <c r="H12" i="8"/>
  <c r="I12" i="8"/>
  <c r="J12" i="8"/>
  <c r="K12" i="8"/>
  <c r="L12" i="8"/>
  <c r="M12" i="8"/>
  <c r="N12" i="8"/>
  <c r="O12" i="8"/>
  <c r="P12" i="8"/>
  <c r="Q12" i="8"/>
  <c r="R12" i="8"/>
  <c r="S12" i="8"/>
  <c r="T12" i="8"/>
  <c r="U12" i="8"/>
  <c r="C13" i="8"/>
  <c r="D13" i="8"/>
  <c r="E13" i="8"/>
  <c r="F13" i="8"/>
  <c r="G13" i="8"/>
  <c r="H13" i="8"/>
  <c r="I13" i="8"/>
  <c r="J13" i="8"/>
  <c r="K13" i="8"/>
  <c r="L13" i="8"/>
  <c r="M13" i="8"/>
  <c r="N13" i="8"/>
  <c r="O13" i="8"/>
  <c r="P13" i="8"/>
  <c r="Q13" i="8"/>
  <c r="R13" i="8"/>
  <c r="S13" i="8"/>
  <c r="T13" i="8"/>
  <c r="U13" i="8"/>
  <c r="C14" i="8"/>
  <c r="D14" i="8"/>
  <c r="E14" i="8"/>
  <c r="F14" i="8"/>
  <c r="G14" i="8"/>
  <c r="H14" i="8"/>
  <c r="I14" i="8"/>
  <c r="J14" i="8"/>
  <c r="K14" i="8"/>
  <c r="L14" i="8"/>
  <c r="M14" i="8"/>
  <c r="N14" i="8"/>
  <c r="O14" i="8"/>
  <c r="P14" i="8"/>
  <c r="Q14" i="8"/>
  <c r="R14" i="8"/>
  <c r="S14" i="8"/>
  <c r="T14" i="8"/>
  <c r="U14" i="8"/>
  <c r="C15" i="8"/>
  <c r="D15" i="8"/>
  <c r="E15" i="8"/>
  <c r="F15" i="8"/>
  <c r="G15" i="8"/>
  <c r="H15" i="8"/>
  <c r="I15" i="8"/>
  <c r="J15" i="8"/>
  <c r="K15" i="8"/>
  <c r="L15" i="8"/>
  <c r="M15" i="8"/>
  <c r="N15" i="8"/>
  <c r="O15" i="8"/>
  <c r="P15" i="8"/>
  <c r="Q15" i="8"/>
  <c r="R15" i="8"/>
  <c r="S15" i="8"/>
  <c r="T15" i="8"/>
  <c r="U15" i="8"/>
  <c r="C16" i="8"/>
  <c r="D16" i="8"/>
  <c r="E16" i="8"/>
  <c r="F16" i="8"/>
  <c r="G16" i="8"/>
  <c r="H16" i="8"/>
  <c r="I16" i="8"/>
  <c r="J16" i="8"/>
  <c r="K16" i="8"/>
  <c r="L16" i="8"/>
  <c r="M16" i="8"/>
  <c r="N16" i="8"/>
  <c r="O16" i="8"/>
  <c r="P16" i="8"/>
  <c r="Q16" i="8"/>
  <c r="R16" i="8"/>
  <c r="S16" i="8"/>
  <c r="T16" i="8"/>
  <c r="U16" i="8"/>
  <c r="C17" i="8"/>
  <c r="D17" i="8"/>
  <c r="E17" i="8"/>
  <c r="F17" i="8"/>
  <c r="G17" i="8"/>
  <c r="H17" i="8"/>
  <c r="I17" i="8"/>
  <c r="J17" i="8"/>
  <c r="K17" i="8"/>
  <c r="L17" i="8"/>
  <c r="M17" i="8"/>
  <c r="N17" i="8"/>
  <c r="O17" i="8"/>
  <c r="P17" i="8"/>
  <c r="Q17" i="8"/>
  <c r="R17" i="8"/>
  <c r="S17" i="8"/>
  <c r="T17" i="8"/>
  <c r="U17" i="8"/>
  <c r="C18" i="8"/>
  <c r="D18" i="8"/>
  <c r="E18" i="8"/>
  <c r="F18" i="8"/>
  <c r="G18" i="8"/>
  <c r="H18" i="8"/>
  <c r="I18" i="8"/>
  <c r="J18" i="8"/>
  <c r="K18" i="8"/>
  <c r="L18" i="8"/>
  <c r="M18" i="8"/>
  <c r="N18" i="8"/>
  <c r="O18" i="8"/>
  <c r="P18" i="8"/>
  <c r="Q18" i="8"/>
  <c r="R18" i="8"/>
  <c r="S18" i="8"/>
  <c r="T18" i="8"/>
  <c r="U18" i="8"/>
  <c r="C19" i="8"/>
  <c r="D19" i="8"/>
  <c r="E19" i="8"/>
  <c r="F19" i="8"/>
  <c r="G19" i="8"/>
  <c r="H19" i="8"/>
  <c r="I19" i="8"/>
  <c r="J19" i="8"/>
  <c r="K19" i="8"/>
  <c r="L19" i="8"/>
  <c r="M19" i="8"/>
  <c r="N19" i="8"/>
  <c r="O19" i="8"/>
  <c r="P19" i="8"/>
  <c r="Q19" i="8"/>
  <c r="R19" i="8"/>
  <c r="S19" i="8"/>
  <c r="T19" i="8"/>
  <c r="U19" i="8"/>
  <c r="C20" i="8"/>
  <c r="D20" i="8"/>
  <c r="E20" i="8"/>
  <c r="F20" i="8"/>
  <c r="G20" i="8"/>
  <c r="H20" i="8"/>
  <c r="I20" i="8"/>
  <c r="J20" i="8"/>
  <c r="K20" i="8"/>
  <c r="L20" i="8"/>
  <c r="M20" i="8"/>
  <c r="N20" i="8"/>
  <c r="O20" i="8"/>
  <c r="P20" i="8"/>
  <c r="Q20" i="8"/>
  <c r="R20" i="8"/>
  <c r="S20" i="8"/>
  <c r="T20" i="8"/>
  <c r="U20" i="8"/>
  <c r="B10" i="8"/>
  <c r="B11" i="8"/>
  <c r="B12" i="8"/>
  <c r="B13" i="8"/>
  <c r="B14" i="8"/>
  <c r="B15" i="8"/>
  <c r="B16" i="8"/>
  <c r="B17" i="8"/>
  <c r="B18" i="8"/>
  <c r="B19" i="8"/>
  <c r="B20" i="8"/>
  <c r="B9" i="8"/>
  <c r="A10" i="8"/>
  <c r="A11" i="8"/>
  <c r="A12" i="8"/>
  <c r="A13" i="8"/>
  <c r="A14" i="8"/>
  <c r="A15" i="8"/>
  <c r="A16" i="8"/>
  <c r="A17" i="8"/>
  <c r="A18" i="8"/>
  <c r="A19" i="8"/>
  <c r="A20" i="8"/>
  <c r="A9" i="8"/>
  <c r="E9" i="120"/>
  <c r="E10" i="120"/>
  <c r="E11" i="120"/>
  <c r="E12" i="120"/>
  <c r="E13" i="120"/>
  <c r="E14" i="120"/>
  <c r="E15" i="120"/>
  <c r="E16" i="120"/>
  <c r="E17" i="120"/>
  <c r="E18" i="120"/>
  <c r="E19" i="120"/>
  <c r="E20" i="120"/>
  <c r="D10" i="120"/>
  <c r="D11" i="120"/>
  <c r="D12" i="120"/>
  <c r="D13" i="120"/>
  <c r="D14" i="120"/>
  <c r="D15" i="120"/>
  <c r="D16" i="120"/>
  <c r="D17" i="120"/>
  <c r="D18" i="120"/>
  <c r="D19" i="120"/>
  <c r="D20" i="120"/>
  <c r="D9" i="120"/>
  <c r="B9" i="120"/>
  <c r="B10" i="120"/>
  <c r="B11" i="120"/>
  <c r="B12" i="120"/>
  <c r="B13" i="120"/>
  <c r="B14" i="120"/>
  <c r="B15" i="120"/>
  <c r="B16" i="120"/>
  <c r="B17" i="120"/>
  <c r="B18" i="120"/>
  <c r="B19" i="120"/>
  <c r="B20" i="120"/>
  <c r="A10" i="120"/>
  <c r="A11" i="120"/>
  <c r="A12" i="120"/>
  <c r="A13" i="120"/>
  <c r="A14" i="120"/>
  <c r="A15" i="120"/>
  <c r="A16" i="120"/>
  <c r="A17" i="120"/>
  <c r="A18" i="120"/>
  <c r="A19" i="120"/>
  <c r="A20" i="120"/>
  <c r="A9" i="120"/>
  <c r="G44" i="122"/>
  <c r="G45" i="122"/>
  <c r="G46" i="122"/>
  <c r="G47" i="122"/>
  <c r="G48" i="122"/>
  <c r="G49" i="122"/>
  <c r="G50" i="122"/>
  <c r="G51" i="122"/>
  <c r="G52" i="122"/>
  <c r="G53" i="122"/>
  <c r="G54" i="122"/>
  <c r="G43" i="122"/>
  <c r="B44" i="122"/>
  <c r="C44" i="122"/>
  <c r="D44" i="122"/>
  <c r="E44" i="122"/>
  <c r="F44" i="122"/>
  <c r="B45" i="122"/>
  <c r="C45" i="122"/>
  <c r="D45" i="122"/>
  <c r="E45" i="122"/>
  <c r="F45" i="122"/>
  <c r="B46" i="122"/>
  <c r="C46" i="122"/>
  <c r="D46" i="122"/>
  <c r="E46" i="122"/>
  <c r="F46" i="122"/>
  <c r="B47" i="122"/>
  <c r="C47" i="122"/>
  <c r="D47" i="122"/>
  <c r="E47" i="122"/>
  <c r="F47" i="122"/>
  <c r="B48" i="122"/>
  <c r="C48" i="122"/>
  <c r="D48" i="122"/>
  <c r="E48" i="122"/>
  <c r="F48" i="122"/>
  <c r="B49" i="122"/>
  <c r="C49" i="122"/>
  <c r="D49" i="122"/>
  <c r="E49" i="122"/>
  <c r="F49" i="122"/>
  <c r="B50" i="122"/>
  <c r="C50" i="122"/>
  <c r="D50" i="122"/>
  <c r="E50" i="122"/>
  <c r="F50" i="122"/>
  <c r="B51" i="122"/>
  <c r="C51" i="122"/>
  <c r="D51" i="122"/>
  <c r="E51" i="122"/>
  <c r="F51" i="122"/>
  <c r="B52" i="122"/>
  <c r="C52" i="122"/>
  <c r="D52" i="122"/>
  <c r="E52" i="122"/>
  <c r="F52" i="122"/>
  <c r="B53" i="122"/>
  <c r="C53" i="122"/>
  <c r="D53" i="122"/>
  <c r="E53" i="122"/>
  <c r="F53" i="122"/>
  <c r="B54" i="122"/>
  <c r="C54" i="122"/>
  <c r="D54" i="122"/>
  <c r="E54" i="122"/>
  <c r="F54" i="122"/>
  <c r="C43" i="122"/>
  <c r="D43" i="122"/>
  <c r="E43" i="122"/>
  <c r="F43" i="122"/>
  <c r="B43" i="122"/>
  <c r="G28" i="122"/>
  <c r="G29" i="122"/>
  <c r="G30" i="122"/>
  <c r="G31" i="122"/>
  <c r="G32" i="122"/>
  <c r="G33" i="122"/>
  <c r="G34" i="122"/>
  <c r="G35" i="122"/>
  <c r="G36" i="122"/>
  <c r="G37" i="122"/>
  <c r="G38" i="122"/>
  <c r="G27" i="122"/>
  <c r="C27" i="122"/>
  <c r="D27" i="122"/>
  <c r="E27" i="122"/>
  <c r="F27" i="122"/>
  <c r="C28" i="122"/>
  <c r="D28" i="122"/>
  <c r="E28" i="122"/>
  <c r="F28" i="122"/>
  <c r="C29" i="122"/>
  <c r="D29" i="122"/>
  <c r="E29" i="122"/>
  <c r="F29" i="122"/>
  <c r="C30" i="122"/>
  <c r="D30" i="122"/>
  <c r="E30" i="122"/>
  <c r="F30" i="122"/>
  <c r="C31" i="122"/>
  <c r="D31" i="122"/>
  <c r="E31" i="122"/>
  <c r="F31" i="122"/>
  <c r="C32" i="122"/>
  <c r="D32" i="122"/>
  <c r="E32" i="122"/>
  <c r="F32" i="122"/>
  <c r="C33" i="122"/>
  <c r="D33" i="122"/>
  <c r="E33" i="122"/>
  <c r="F33" i="122"/>
  <c r="C34" i="122"/>
  <c r="D34" i="122"/>
  <c r="E34" i="122"/>
  <c r="F34" i="122"/>
  <c r="C35" i="122"/>
  <c r="D35" i="122"/>
  <c r="E35" i="122"/>
  <c r="F35" i="122"/>
  <c r="C36" i="122"/>
  <c r="D36" i="122"/>
  <c r="E36" i="122"/>
  <c r="F36" i="122"/>
  <c r="C37" i="122"/>
  <c r="D37" i="122"/>
  <c r="E37" i="122"/>
  <c r="F37" i="122"/>
  <c r="C38" i="122"/>
  <c r="D38" i="122"/>
  <c r="E38" i="122"/>
  <c r="F38" i="122"/>
  <c r="B28" i="122"/>
  <c r="B29" i="122"/>
  <c r="B30" i="122"/>
  <c r="B31" i="122"/>
  <c r="B32" i="122"/>
  <c r="B33" i="122"/>
  <c r="B34" i="122"/>
  <c r="B35" i="122"/>
  <c r="B36" i="122"/>
  <c r="B37" i="122"/>
  <c r="B38" i="122"/>
  <c r="B27" i="122"/>
  <c r="G12" i="122"/>
  <c r="G13" i="122"/>
  <c r="G14" i="122"/>
  <c r="G15" i="122"/>
  <c r="G16" i="122"/>
  <c r="G17" i="122"/>
  <c r="G18" i="122"/>
  <c r="G19" i="122"/>
  <c r="G20" i="122"/>
  <c r="G21" i="122"/>
  <c r="G22" i="122"/>
  <c r="G11" i="122"/>
  <c r="C11" i="122"/>
  <c r="D11" i="122"/>
  <c r="E11" i="122"/>
  <c r="F11" i="122"/>
  <c r="C12" i="122"/>
  <c r="D12" i="122"/>
  <c r="E12" i="122"/>
  <c r="F12" i="122"/>
  <c r="C13" i="122"/>
  <c r="D13" i="122"/>
  <c r="E13" i="122"/>
  <c r="F13" i="122"/>
  <c r="C14" i="122"/>
  <c r="D14" i="122"/>
  <c r="E14" i="122"/>
  <c r="F14" i="122"/>
  <c r="C15" i="122"/>
  <c r="D15" i="122"/>
  <c r="E15" i="122"/>
  <c r="F15" i="122"/>
  <c r="C16" i="122"/>
  <c r="D16" i="122"/>
  <c r="E16" i="122"/>
  <c r="F16" i="122"/>
  <c r="C17" i="122"/>
  <c r="D17" i="122"/>
  <c r="E17" i="122"/>
  <c r="F17" i="122"/>
  <c r="C18" i="122"/>
  <c r="D18" i="122"/>
  <c r="E18" i="122"/>
  <c r="F18" i="122"/>
  <c r="C19" i="122"/>
  <c r="D19" i="122"/>
  <c r="E19" i="122"/>
  <c r="F19" i="122"/>
  <c r="C20" i="122"/>
  <c r="D20" i="122"/>
  <c r="E20" i="122"/>
  <c r="F20" i="122"/>
  <c r="C21" i="122"/>
  <c r="D21" i="122"/>
  <c r="E21" i="122"/>
  <c r="F21" i="122"/>
  <c r="C22" i="122"/>
  <c r="D22" i="122"/>
  <c r="E22" i="122"/>
  <c r="F22" i="122"/>
  <c r="B12" i="122"/>
  <c r="B13" i="122"/>
  <c r="B14" i="122"/>
  <c r="B15" i="122"/>
  <c r="B16" i="122"/>
  <c r="B17" i="122"/>
  <c r="B18" i="122"/>
  <c r="B19" i="122"/>
  <c r="B20" i="122"/>
  <c r="B21" i="122"/>
  <c r="B22" i="122"/>
  <c r="B11" i="122"/>
  <c r="A12" i="122"/>
  <c r="A13" i="122"/>
  <c r="A14" i="122"/>
  <c r="A15" i="122"/>
  <c r="A16" i="122"/>
  <c r="A17" i="122"/>
  <c r="A18" i="122"/>
  <c r="A19" i="122"/>
  <c r="A20" i="122"/>
  <c r="A21" i="122"/>
  <c r="A22" i="122"/>
  <c r="A11" i="122"/>
  <c r="E11" i="5"/>
  <c r="F11" i="5"/>
  <c r="E12" i="5"/>
  <c r="F12" i="5"/>
  <c r="E13" i="5"/>
  <c r="F13" i="5"/>
  <c r="E14" i="5"/>
  <c r="F14" i="5"/>
  <c r="E15" i="5"/>
  <c r="F15" i="5"/>
  <c r="E16" i="5"/>
  <c r="F16" i="5"/>
  <c r="E17" i="5"/>
  <c r="F17" i="5"/>
  <c r="E18" i="5"/>
  <c r="F18" i="5"/>
  <c r="E19" i="5"/>
  <c r="F19" i="5"/>
  <c r="E20" i="5"/>
  <c r="F20" i="5"/>
  <c r="E21" i="5"/>
  <c r="F21" i="5"/>
  <c r="F10" i="5"/>
  <c r="E10" i="5"/>
  <c r="D11" i="5"/>
  <c r="D12" i="5"/>
  <c r="D13" i="5"/>
  <c r="D14" i="5"/>
  <c r="D15" i="5"/>
  <c r="D16" i="5"/>
  <c r="D17" i="5"/>
  <c r="D18" i="5"/>
  <c r="D19" i="5"/>
  <c r="D20" i="5"/>
  <c r="D21" i="5"/>
  <c r="D10" i="5"/>
  <c r="B11" i="5"/>
  <c r="B12" i="5"/>
  <c r="B13" i="5"/>
  <c r="B14" i="5"/>
  <c r="B15" i="5"/>
  <c r="B16" i="5"/>
  <c r="B17" i="5"/>
  <c r="B18" i="5"/>
  <c r="B19" i="5"/>
  <c r="B20" i="5"/>
  <c r="B21" i="5"/>
  <c r="B10" i="5"/>
  <c r="A10" i="5"/>
  <c r="A11" i="5"/>
  <c r="A12" i="5"/>
  <c r="A13" i="5"/>
  <c r="A14" i="5"/>
  <c r="A15" i="5"/>
  <c r="A16" i="5"/>
  <c r="A17" i="5"/>
  <c r="A18" i="5"/>
  <c r="A19" i="5"/>
  <c r="A20" i="5"/>
  <c r="A21" i="5"/>
  <c r="C28" i="12"/>
  <c r="D28" i="12"/>
  <c r="E28" i="12"/>
  <c r="F28" i="12"/>
  <c r="G28" i="12"/>
  <c r="H28" i="12"/>
  <c r="I28" i="12"/>
  <c r="J28" i="12"/>
  <c r="C29" i="12"/>
  <c r="D29" i="12"/>
  <c r="E29" i="12"/>
  <c r="F29" i="12"/>
  <c r="G29" i="12"/>
  <c r="H29" i="12"/>
  <c r="I29" i="12"/>
  <c r="J29" i="12"/>
  <c r="C30" i="12"/>
  <c r="D30" i="12"/>
  <c r="E30" i="12"/>
  <c r="F30" i="12"/>
  <c r="G30" i="12"/>
  <c r="H30" i="12"/>
  <c r="I30" i="12"/>
  <c r="J30" i="12"/>
  <c r="C31" i="12"/>
  <c r="D31" i="12"/>
  <c r="E31" i="12"/>
  <c r="F31" i="12"/>
  <c r="G31" i="12"/>
  <c r="H31" i="12"/>
  <c r="I31" i="12"/>
  <c r="J31" i="12"/>
  <c r="C32" i="12"/>
  <c r="D32" i="12"/>
  <c r="E32" i="12"/>
  <c r="F32" i="12"/>
  <c r="G32" i="12"/>
  <c r="H32" i="12"/>
  <c r="I32" i="12"/>
  <c r="J32" i="12"/>
  <c r="C33" i="12"/>
  <c r="D33" i="12"/>
  <c r="E33" i="12"/>
  <c r="F33" i="12"/>
  <c r="G33" i="12"/>
  <c r="H33" i="12"/>
  <c r="I33" i="12"/>
  <c r="J33" i="12"/>
  <c r="C34" i="12"/>
  <c r="D34" i="12"/>
  <c r="E34" i="12"/>
  <c r="F34" i="12"/>
  <c r="G34" i="12"/>
  <c r="H34" i="12"/>
  <c r="I34" i="12"/>
  <c r="J34" i="12"/>
  <c r="C35" i="12"/>
  <c r="D35" i="12"/>
  <c r="E35" i="12"/>
  <c r="F35" i="12"/>
  <c r="G35" i="12"/>
  <c r="H35" i="12"/>
  <c r="I35" i="12"/>
  <c r="J35" i="12"/>
  <c r="C36" i="12"/>
  <c r="D36" i="12"/>
  <c r="E36" i="12"/>
  <c r="F36" i="12"/>
  <c r="G36" i="12"/>
  <c r="H36" i="12"/>
  <c r="I36" i="12"/>
  <c r="J36" i="12"/>
  <c r="C37" i="12"/>
  <c r="D37" i="12"/>
  <c r="E37" i="12"/>
  <c r="F37" i="12"/>
  <c r="G37" i="12"/>
  <c r="H37" i="12"/>
  <c r="I37" i="12"/>
  <c r="J37" i="12"/>
  <c r="C38" i="12"/>
  <c r="D38" i="12"/>
  <c r="E38" i="12"/>
  <c r="F38" i="12"/>
  <c r="G38" i="12"/>
  <c r="H38" i="12"/>
  <c r="I38" i="12"/>
  <c r="J38" i="12"/>
  <c r="C39" i="12"/>
  <c r="D39" i="12"/>
  <c r="E39" i="12"/>
  <c r="F39" i="12"/>
  <c r="G39" i="12"/>
  <c r="H39" i="12"/>
  <c r="I39" i="12"/>
  <c r="J39" i="12"/>
  <c r="B29" i="12"/>
  <c r="B30" i="12"/>
  <c r="B31" i="12"/>
  <c r="B32" i="12"/>
  <c r="B33" i="12"/>
  <c r="B34" i="12"/>
  <c r="B35" i="12"/>
  <c r="B36" i="12"/>
  <c r="B37" i="12"/>
  <c r="B38" i="12"/>
  <c r="B39" i="12"/>
  <c r="B28" i="12"/>
  <c r="A29" i="12"/>
  <c r="A30" i="12"/>
  <c r="A31" i="12"/>
  <c r="A32" i="12"/>
  <c r="A33" i="12"/>
  <c r="A34" i="12"/>
  <c r="A35" i="12"/>
  <c r="A36" i="12"/>
  <c r="A37" i="12"/>
  <c r="A38" i="12"/>
  <c r="A39" i="12"/>
  <c r="A28" i="12"/>
  <c r="C11" i="12"/>
  <c r="D11" i="12"/>
  <c r="E11" i="12"/>
  <c r="F11" i="12"/>
  <c r="G11" i="12"/>
  <c r="H11" i="12"/>
  <c r="I11" i="12"/>
  <c r="J11" i="12"/>
  <c r="K11" i="12"/>
  <c r="C12" i="12"/>
  <c r="D12" i="12"/>
  <c r="E12" i="12"/>
  <c r="F12" i="12"/>
  <c r="G12" i="12"/>
  <c r="H12" i="12"/>
  <c r="I12" i="12"/>
  <c r="J12" i="12"/>
  <c r="K12" i="12"/>
  <c r="C13" i="12"/>
  <c r="D13" i="12"/>
  <c r="E13" i="12"/>
  <c r="F13" i="12"/>
  <c r="G13" i="12"/>
  <c r="H13" i="12"/>
  <c r="I13" i="12"/>
  <c r="J13" i="12"/>
  <c r="K13" i="12"/>
  <c r="C14" i="12"/>
  <c r="D14" i="12"/>
  <c r="E14" i="12"/>
  <c r="F14" i="12"/>
  <c r="G14" i="12"/>
  <c r="H14" i="12"/>
  <c r="I14" i="12"/>
  <c r="J14" i="12"/>
  <c r="K14" i="12"/>
  <c r="C15" i="12"/>
  <c r="D15" i="12"/>
  <c r="E15" i="12"/>
  <c r="F15" i="12"/>
  <c r="G15" i="12"/>
  <c r="H15" i="12"/>
  <c r="I15" i="12"/>
  <c r="J15" i="12"/>
  <c r="K15" i="12"/>
  <c r="C16" i="12"/>
  <c r="D16" i="12"/>
  <c r="E16" i="12"/>
  <c r="F16" i="12"/>
  <c r="G16" i="12"/>
  <c r="H16" i="12"/>
  <c r="I16" i="12"/>
  <c r="J16" i="12"/>
  <c r="K16" i="12"/>
  <c r="C17" i="12"/>
  <c r="D17" i="12"/>
  <c r="E17" i="12"/>
  <c r="F17" i="12"/>
  <c r="G17" i="12"/>
  <c r="H17" i="12"/>
  <c r="I17" i="12"/>
  <c r="J17" i="12"/>
  <c r="K17" i="12"/>
  <c r="C18" i="12"/>
  <c r="D18" i="12"/>
  <c r="E18" i="12"/>
  <c r="F18" i="12"/>
  <c r="G18" i="12"/>
  <c r="H18" i="12"/>
  <c r="I18" i="12"/>
  <c r="J18" i="12"/>
  <c r="K18" i="12"/>
  <c r="C19" i="12"/>
  <c r="D19" i="12"/>
  <c r="E19" i="12"/>
  <c r="F19" i="12"/>
  <c r="G19" i="12"/>
  <c r="H19" i="12"/>
  <c r="I19" i="12"/>
  <c r="J19" i="12"/>
  <c r="K19" i="12"/>
  <c r="C20" i="12"/>
  <c r="D20" i="12"/>
  <c r="E20" i="12"/>
  <c r="F20" i="12"/>
  <c r="G20" i="12"/>
  <c r="H20" i="12"/>
  <c r="I20" i="12"/>
  <c r="J20" i="12"/>
  <c r="K20" i="12"/>
  <c r="C21" i="12"/>
  <c r="D21" i="12"/>
  <c r="E21" i="12"/>
  <c r="F21" i="12"/>
  <c r="G21" i="12"/>
  <c r="H21" i="12"/>
  <c r="I21" i="12"/>
  <c r="J21" i="12"/>
  <c r="K21" i="12"/>
  <c r="C22" i="12"/>
  <c r="D22" i="12"/>
  <c r="E22" i="12"/>
  <c r="F22" i="12"/>
  <c r="G22" i="12"/>
  <c r="H22" i="12"/>
  <c r="I22" i="12"/>
  <c r="J22" i="12"/>
  <c r="K22" i="12"/>
  <c r="B12" i="12"/>
  <c r="B13" i="12"/>
  <c r="B14" i="12"/>
  <c r="B15" i="12"/>
  <c r="B16" i="12"/>
  <c r="B17" i="12"/>
  <c r="B18" i="12"/>
  <c r="B19" i="12"/>
  <c r="B20" i="12"/>
  <c r="B21" i="12"/>
  <c r="B22" i="12"/>
  <c r="B11" i="12"/>
  <c r="A12" i="12"/>
  <c r="A13" i="12"/>
  <c r="A14" i="12"/>
  <c r="A15" i="12"/>
  <c r="A16" i="12"/>
  <c r="A17" i="12"/>
  <c r="A18" i="12"/>
  <c r="A19" i="12"/>
  <c r="A20" i="12"/>
  <c r="A21" i="12"/>
  <c r="A22" i="12"/>
  <c r="A11" i="12"/>
  <c r="C10" i="140"/>
  <c r="D10" i="140"/>
  <c r="C11" i="140"/>
  <c r="D11" i="140"/>
  <c r="C12" i="140"/>
  <c r="D12" i="140"/>
  <c r="C13" i="140"/>
  <c r="D13" i="140"/>
  <c r="C14" i="140"/>
  <c r="D14" i="140"/>
  <c r="C15" i="140"/>
  <c r="D15" i="140"/>
  <c r="C16" i="140"/>
  <c r="D16" i="140"/>
  <c r="C17" i="140"/>
  <c r="D17" i="140"/>
  <c r="C18" i="140"/>
  <c r="D18" i="140"/>
  <c r="C19" i="140"/>
  <c r="D19" i="140"/>
  <c r="C20" i="140"/>
  <c r="D20" i="140"/>
  <c r="C21" i="140"/>
  <c r="D21" i="140"/>
  <c r="B11" i="140"/>
  <c r="B12" i="140"/>
  <c r="B13" i="140"/>
  <c r="B14" i="140"/>
  <c r="B15" i="140"/>
  <c r="B16" i="140"/>
  <c r="B17" i="140"/>
  <c r="B18" i="140"/>
  <c r="B19" i="140"/>
  <c r="B20" i="140"/>
  <c r="B21" i="140"/>
  <c r="B10" i="140"/>
  <c r="A11" i="140"/>
  <c r="A12" i="140"/>
  <c r="A13" i="140"/>
  <c r="A14" i="140"/>
  <c r="A15" i="140"/>
  <c r="A16" i="140"/>
  <c r="A17" i="140"/>
  <c r="A18" i="140"/>
  <c r="A19" i="140"/>
  <c r="A20" i="140"/>
  <c r="A21" i="140"/>
  <c r="A10" i="140"/>
  <c r="D36" i="142"/>
  <c r="E36" i="142"/>
  <c r="F36" i="142"/>
  <c r="G36" i="142"/>
  <c r="H36" i="142"/>
  <c r="I36" i="142"/>
  <c r="J36" i="142"/>
  <c r="K36" i="142"/>
  <c r="L36" i="142"/>
  <c r="M36" i="142"/>
  <c r="N36" i="142"/>
  <c r="D37" i="142"/>
  <c r="E37" i="142"/>
  <c r="F37" i="142"/>
  <c r="G37" i="142"/>
  <c r="H37" i="142"/>
  <c r="I37" i="142"/>
  <c r="J37" i="142"/>
  <c r="K37" i="142"/>
  <c r="L37" i="142"/>
  <c r="M37" i="142"/>
  <c r="N37" i="142"/>
  <c r="D38" i="142"/>
  <c r="E38" i="142"/>
  <c r="F38" i="142"/>
  <c r="G38" i="142"/>
  <c r="H38" i="142"/>
  <c r="I38" i="142"/>
  <c r="J38" i="142"/>
  <c r="K38" i="142"/>
  <c r="L38" i="142"/>
  <c r="M38" i="142"/>
  <c r="N38" i="142"/>
  <c r="D39" i="142"/>
  <c r="E39" i="142"/>
  <c r="F39" i="142"/>
  <c r="G39" i="142"/>
  <c r="H39" i="142"/>
  <c r="I39" i="142"/>
  <c r="J39" i="142"/>
  <c r="K39" i="142"/>
  <c r="L39" i="142"/>
  <c r="M39" i="142"/>
  <c r="N39" i="142"/>
  <c r="D40" i="142"/>
  <c r="E40" i="142"/>
  <c r="F40" i="142"/>
  <c r="G40" i="142"/>
  <c r="H40" i="142"/>
  <c r="I40" i="142"/>
  <c r="J40" i="142"/>
  <c r="K40" i="142"/>
  <c r="L40" i="142"/>
  <c r="M40" i="142"/>
  <c r="N40" i="142"/>
  <c r="D41" i="142"/>
  <c r="E41" i="142"/>
  <c r="F41" i="142"/>
  <c r="G41" i="142"/>
  <c r="H41" i="142"/>
  <c r="I41" i="142"/>
  <c r="J41" i="142"/>
  <c r="K41" i="142"/>
  <c r="L41" i="142"/>
  <c r="M41" i="142"/>
  <c r="N41" i="142"/>
  <c r="D42" i="142"/>
  <c r="E42" i="142"/>
  <c r="F42" i="142"/>
  <c r="G42" i="142"/>
  <c r="H42" i="142"/>
  <c r="I42" i="142"/>
  <c r="J42" i="142"/>
  <c r="K42" i="142"/>
  <c r="L42" i="142"/>
  <c r="M42" i="142"/>
  <c r="N42" i="142"/>
  <c r="D43" i="142"/>
  <c r="E43" i="142"/>
  <c r="F43" i="142"/>
  <c r="G43" i="142"/>
  <c r="H43" i="142"/>
  <c r="I43" i="142"/>
  <c r="J43" i="142"/>
  <c r="K43" i="142"/>
  <c r="L43" i="142"/>
  <c r="M43" i="142"/>
  <c r="N43" i="142"/>
  <c r="D44" i="142"/>
  <c r="E44" i="142"/>
  <c r="F44" i="142"/>
  <c r="G44" i="142"/>
  <c r="H44" i="142"/>
  <c r="I44" i="142"/>
  <c r="J44" i="142"/>
  <c r="K44" i="142"/>
  <c r="L44" i="142"/>
  <c r="M44" i="142"/>
  <c r="N44" i="142"/>
  <c r="D45" i="142"/>
  <c r="E45" i="142"/>
  <c r="F45" i="142"/>
  <c r="G45" i="142"/>
  <c r="H45" i="142"/>
  <c r="I45" i="142"/>
  <c r="J45" i="142"/>
  <c r="K45" i="142"/>
  <c r="L45" i="142"/>
  <c r="M45" i="142"/>
  <c r="N45" i="142"/>
  <c r="D46" i="142"/>
  <c r="E46" i="142"/>
  <c r="F46" i="142"/>
  <c r="G46" i="142"/>
  <c r="H46" i="142"/>
  <c r="I46" i="142"/>
  <c r="J46" i="142"/>
  <c r="K46" i="142"/>
  <c r="L46" i="142"/>
  <c r="M46" i="142"/>
  <c r="N46" i="142"/>
  <c r="D47" i="142"/>
  <c r="E47" i="142"/>
  <c r="F47" i="142"/>
  <c r="G47" i="142"/>
  <c r="H47" i="142"/>
  <c r="I47" i="142"/>
  <c r="J47" i="142"/>
  <c r="K47" i="142"/>
  <c r="L47" i="142"/>
  <c r="M47" i="142"/>
  <c r="N47" i="142"/>
  <c r="D48" i="142"/>
  <c r="E48" i="142"/>
  <c r="F48" i="142"/>
  <c r="G48" i="142"/>
  <c r="H48" i="142"/>
  <c r="I48" i="142"/>
  <c r="J48" i="142"/>
  <c r="K48" i="142"/>
  <c r="L48" i="142"/>
  <c r="M48" i="142"/>
  <c r="N48" i="142"/>
  <c r="D49" i="142"/>
  <c r="E49" i="142"/>
  <c r="F49" i="142"/>
  <c r="G49" i="142"/>
  <c r="H49" i="142"/>
  <c r="I49" i="142"/>
  <c r="J49" i="142"/>
  <c r="K49" i="142"/>
  <c r="L49" i="142"/>
  <c r="M49" i="142"/>
  <c r="N49" i="142"/>
  <c r="D50" i="142"/>
  <c r="E50" i="142"/>
  <c r="F50" i="142"/>
  <c r="G50" i="142"/>
  <c r="H50" i="142"/>
  <c r="I50" i="142"/>
  <c r="J50" i="142"/>
  <c r="K50" i="142"/>
  <c r="L50" i="142"/>
  <c r="M50" i="142"/>
  <c r="N50" i="142"/>
  <c r="D51" i="142"/>
  <c r="E51" i="142"/>
  <c r="F51" i="142"/>
  <c r="G51" i="142"/>
  <c r="H51" i="142"/>
  <c r="I51" i="142"/>
  <c r="J51" i="142"/>
  <c r="K51" i="142"/>
  <c r="L51" i="142"/>
  <c r="M51" i="142"/>
  <c r="N51" i="142"/>
  <c r="D52" i="142"/>
  <c r="E52" i="142"/>
  <c r="F52" i="142"/>
  <c r="G52" i="142"/>
  <c r="H52" i="142"/>
  <c r="I52" i="142"/>
  <c r="J52" i="142"/>
  <c r="K52" i="142"/>
  <c r="L52" i="142"/>
  <c r="M52" i="142"/>
  <c r="N52" i="142"/>
  <c r="D53" i="142"/>
  <c r="E53" i="142"/>
  <c r="F53" i="142"/>
  <c r="G53" i="142"/>
  <c r="H53" i="142"/>
  <c r="I53" i="142"/>
  <c r="J53" i="142"/>
  <c r="K53" i="142"/>
  <c r="L53" i="142"/>
  <c r="M53" i="142"/>
  <c r="N53" i="142"/>
  <c r="D54" i="142"/>
  <c r="E54" i="142"/>
  <c r="F54" i="142"/>
  <c r="G54" i="142"/>
  <c r="H54" i="142"/>
  <c r="I54" i="142"/>
  <c r="J54" i="142"/>
  <c r="K54" i="142"/>
  <c r="L54" i="142"/>
  <c r="M54" i="142"/>
  <c r="N54" i="142"/>
  <c r="D55" i="142"/>
  <c r="E55" i="142"/>
  <c r="F55" i="142"/>
  <c r="G55" i="142"/>
  <c r="H55" i="142"/>
  <c r="I55" i="142"/>
  <c r="J55" i="142"/>
  <c r="K55" i="142"/>
  <c r="L55" i="142"/>
  <c r="M55" i="142"/>
  <c r="N55" i="142"/>
  <c r="D56" i="142"/>
  <c r="E56" i="142"/>
  <c r="F56" i="142"/>
  <c r="G56" i="142"/>
  <c r="H56" i="142"/>
  <c r="I56" i="142"/>
  <c r="J56" i="142"/>
  <c r="K56" i="142"/>
  <c r="L56" i="142"/>
  <c r="M56" i="142"/>
  <c r="N56" i="142"/>
  <c r="D57" i="142"/>
  <c r="E57" i="142"/>
  <c r="F57" i="142"/>
  <c r="G57" i="142"/>
  <c r="H57" i="142"/>
  <c r="I57" i="142"/>
  <c r="J57" i="142"/>
  <c r="K57" i="142"/>
  <c r="L57" i="142"/>
  <c r="M57" i="142"/>
  <c r="N57" i="142"/>
  <c r="D58" i="142"/>
  <c r="E58" i="142"/>
  <c r="F58" i="142"/>
  <c r="G58" i="142"/>
  <c r="H58" i="142"/>
  <c r="I58" i="142"/>
  <c r="J58" i="142"/>
  <c r="K58" i="142"/>
  <c r="L58" i="142"/>
  <c r="M58" i="142"/>
  <c r="N58" i="142"/>
  <c r="D59" i="142"/>
  <c r="E59" i="142"/>
  <c r="F59" i="142"/>
  <c r="G59" i="142"/>
  <c r="H59" i="142"/>
  <c r="I59" i="142"/>
  <c r="J59" i="142"/>
  <c r="K59" i="142"/>
  <c r="L59" i="142"/>
  <c r="M59" i="142"/>
  <c r="N59" i="142"/>
  <c r="D60" i="142"/>
  <c r="E60" i="142"/>
  <c r="F60" i="142"/>
  <c r="G60" i="142"/>
  <c r="H60" i="142"/>
  <c r="I60" i="142"/>
  <c r="J60" i="142"/>
  <c r="K60" i="142"/>
  <c r="L60" i="142"/>
  <c r="M60" i="142"/>
  <c r="N60" i="142"/>
  <c r="D61" i="142"/>
  <c r="E61" i="142"/>
  <c r="F61" i="142"/>
  <c r="G61" i="142"/>
  <c r="H61" i="142"/>
  <c r="I61" i="142"/>
  <c r="J61" i="142"/>
  <c r="K61" i="142"/>
  <c r="L61" i="142"/>
  <c r="M61" i="142"/>
  <c r="N61" i="142"/>
  <c r="D62" i="142"/>
  <c r="E62" i="142"/>
  <c r="F62" i="142"/>
  <c r="G62" i="142"/>
  <c r="H62" i="142"/>
  <c r="I62" i="142"/>
  <c r="J62" i="142"/>
  <c r="K62" i="142"/>
  <c r="L62" i="142"/>
  <c r="M62" i="142"/>
  <c r="N62" i="142"/>
  <c r="D63" i="142"/>
  <c r="E63" i="142"/>
  <c r="F63" i="142"/>
  <c r="G63" i="142"/>
  <c r="H63" i="142"/>
  <c r="I63" i="142"/>
  <c r="J63" i="142"/>
  <c r="K63" i="142"/>
  <c r="L63" i="142"/>
  <c r="M63" i="142"/>
  <c r="N63" i="142"/>
  <c r="D64" i="142"/>
  <c r="E64" i="142"/>
  <c r="F64" i="142"/>
  <c r="G64" i="142"/>
  <c r="H64" i="142"/>
  <c r="I64" i="142"/>
  <c r="J64" i="142"/>
  <c r="K64" i="142"/>
  <c r="L64" i="142"/>
  <c r="M64" i="142"/>
  <c r="N64" i="142"/>
  <c r="D65" i="142"/>
  <c r="E65" i="142"/>
  <c r="F65" i="142"/>
  <c r="G65" i="142"/>
  <c r="H65" i="142"/>
  <c r="I65" i="142"/>
  <c r="J65" i="142"/>
  <c r="K65" i="142"/>
  <c r="L65" i="142"/>
  <c r="M65" i="142"/>
  <c r="N65" i="142"/>
  <c r="D66" i="142"/>
  <c r="E66" i="142"/>
  <c r="F66" i="142"/>
  <c r="G66" i="142"/>
  <c r="H66" i="142"/>
  <c r="I66" i="142"/>
  <c r="J66" i="142"/>
  <c r="K66" i="142"/>
  <c r="L66" i="142"/>
  <c r="M66" i="142"/>
  <c r="N66" i="142"/>
  <c r="D67" i="142"/>
  <c r="E67" i="142"/>
  <c r="F67" i="142"/>
  <c r="G67" i="142"/>
  <c r="H67" i="142"/>
  <c r="I67" i="142"/>
  <c r="J67" i="142"/>
  <c r="K67" i="142"/>
  <c r="L67" i="142"/>
  <c r="M67" i="142"/>
  <c r="N67" i="142"/>
  <c r="D68" i="142"/>
  <c r="E68" i="142"/>
  <c r="F68" i="142"/>
  <c r="G68" i="142"/>
  <c r="H68" i="142"/>
  <c r="I68" i="142"/>
  <c r="J68" i="142"/>
  <c r="K68" i="142"/>
  <c r="L68" i="142"/>
  <c r="M68" i="142"/>
  <c r="N68" i="142"/>
  <c r="D69" i="142"/>
  <c r="E69" i="142"/>
  <c r="F69" i="142"/>
  <c r="G69" i="142"/>
  <c r="H69" i="142"/>
  <c r="I69" i="142"/>
  <c r="J69" i="142"/>
  <c r="K69" i="142"/>
  <c r="L69" i="142"/>
  <c r="M69" i="142"/>
  <c r="N69" i="142"/>
  <c r="D70" i="142"/>
  <c r="E70" i="142"/>
  <c r="F70" i="142"/>
  <c r="G70" i="142"/>
  <c r="H70" i="142"/>
  <c r="I70" i="142"/>
  <c r="J70" i="142"/>
  <c r="K70" i="142"/>
  <c r="L70" i="142"/>
  <c r="M70" i="142"/>
  <c r="N70" i="142"/>
  <c r="D71" i="142"/>
  <c r="E71" i="142"/>
  <c r="F71" i="142"/>
  <c r="G71" i="142"/>
  <c r="H71" i="142"/>
  <c r="I71" i="142"/>
  <c r="J71" i="142"/>
  <c r="K71" i="142"/>
  <c r="L71" i="142"/>
  <c r="M71" i="142"/>
  <c r="N71" i="142"/>
  <c r="D72" i="142"/>
  <c r="E72" i="142"/>
  <c r="F72" i="142"/>
  <c r="G72" i="142"/>
  <c r="H72" i="142"/>
  <c r="I72" i="142"/>
  <c r="J72" i="142"/>
  <c r="K72" i="142"/>
  <c r="L72" i="142"/>
  <c r="M72" i="142"/>
  <c r="N72" i="142"/>
  <c r="D73" i="142"/>
  <c r="E73" i="142"/>
  <c r="F73" i="142"/>
  <c r="G73" i="142"/>
  <c r="H73" i="142"/>
  <c r="I73" i="142"/>
  <c r="J73" i="142"/>
  <c r="K73" i="142"/>
  <c r="L73" i="142"/>
  <c r="M73" i="142"/>
  <c r="N73" i="142"/>
  <c r="D74" i="142"/>
  <c r="E74" i="142"/>
  <c r="F74" i="142"/>
  <c r="G74" i="142"/>
  <c r="H74" i="142"/>
  <c r="I74" i="142"/>
  <c r="J74" i="142"/>
  <c r="K74" i="142"/>
  <c r="L74" i="142"/>
  <c r="M74" i="142"/>
  <c r="N74" i="142"/>
  <c r="D75" i="142"/>
  <c r="E75" i="142"/>
  <c r="F75" i="142"/>
  <c r="G75" i="142"/>
  <c r="H75" i="142"/>
  <c r="I75" i="142"/>
  <c r="J75" i="142"/>
  <c r="K75" i="142"/>
  <c r="L75" i="142"/>
  <c r="M75" i="142"/>
  <c r="N75" i="142"/>
  <c r="D76" i="142"/>
  <c r="E76" i="142"/>
  <c r="F76" i="142"/>
  <c r="G76" i="142"/>
  <c r="H76" i="142"/>
  <c r="I76" i="142"/>
  <c r="J76" i="142"/>
  <c r="K76" i="142"/>
  <c r="L76" i="142"/>
  <c r="M76" i="142"/>
  <c r="N76" i="142"/>
  <c r="D77" i="142"/>
  <c r="E77" i="142"/>
  <c r="F77" i="142"/>
  <c r="G77" i="142"/>
  <c r="H77" i="142"/>
  <c r="I77" i="142"/>
  <c r="J77" i="142"/>
  <c r="K77" i="142"/>
  <c r="L77" i="142"/>
  <c r="M77" i="142"/>
  <c r="N77" i="142"/>
  <c r="D78" i="142"/>
  <c r="E78" i="142"/>
  <c r="F78" i="142"/>
  <c r="G78" i="142"/>
  <c r="H78" i="142"/>
  <c r="I78" i="142"/>
  <c r="J78" i="142"/>
  <c r="K78" i="142"/>
  <c r="L78" i="142"/>
  <c r="M78" i="142"/>
  <c r="N78" i="142"/>
  <c r="D79" i="142"/>
  <c r="E79" i="142"/>
  <c r="F79" i="142"/>
  <c r="G79" i="142"/>
  <c r="H79" i="142"/>
  <c r="I79" i="142"/>
  <c r="J79" i="142"/>
  <c r="K79" i="142"/>
  <c r="L79" i="142"/>
  <c r="M79" i="142"/>
  <c r="N79" i="142"/>
  <c r="D80" i="142"/>
  <c r="E80" i="142"/>
  <c r="F80" i="142"/>
  <c r="G80" i="142"/>
  <c r="H80" i="142"/>
  <c r="I80" i="142"/>
  <c r="J80" i="142"/>
  <c r="K80" i="142"/>
  <c r="L80" i="142"/>
  <c r="M80" i="142"/>
  <c r="N80" i="142"/>
  <c r="D81" i="142"/>
  <c r="E81" i="142"/>
  <c r="F81" i="142"/>
  <c r="G81" i="142"/>
  <c r="H81" i="142"/>
  <c r="I81" i="142"/>
  <c r="J81" i="142"/>
  <c r="K81" i="142"/>
  <c r="L81" i="142"/>
  <c r="M81" i="142"/>
  <c r="N81" i="142"/>
  <c r="D82" i="142"/>
  <c r="E82" i="142"/>
  <c r="F82" i="142"/>
  <c r="G82" i="142"/>
  <c r="H82" i="142"/>
  <c r="I82" i="142"/>
  <c r="J82" i="142"/>
  <c r="K82" i="142"/>
  <c r="L82" i="142"/>
  <c r="M82" i="142"/>
  <c r="N82" i="142"/>
  <c r="D83" i="142"/>
  <c r="E83" i="142"/>
  <c r="F83" i="142"/>
  <c r="G83" i="142"/>
  <c r="H83" i="142"/>
  <c r="I83" i="142"/>
  <c r="J83" i="142"/>
  <c r="K83" i="142"/>
  <c r="L83" i="142"/>
  <c r="M83" i="142"/>
  <c r="N83" i="142"/>
  <c r="D84" i="142"/>
  <c r="E84" i="142"/>
  <c r="F84" i="142"/>
  <c r="G84" i="142"/>
  <c r="H84" i="142"/>
  <c r="I84" i="142"/>
  <c r="J84" i="142"/>
  <c r="K84" i="142"/>
  <c r="L84" i="142"/>
  <c r="M84" i="142"/>
  <c r="N84" i="142"/>
  <c r="D85" i="142"/>
  <c r="E85" i="142"/>
  <c r="F85" i="142"/>
  <c r="G85" i="142"/>
  <c r="H85" i="142"/>
  <c r="I85" i="142"/>
  <c r="J85" i="142"/>
  <c r="K85" i="142"/>
  <c r="L85" i="142"/>
  <c r="M85" i="142"/>
  <c r="N85" i="142"/>
  <c r="D86" i="142"/>
  <c r="E86" i="142"/>
  <c r="F86" i="142"/>
  <c r="G86" i="142"/>
  <c r="H86" i="142"/>
  <c r="I86" i="142"/>
  <c r="J86" i="142"/>
  <c r="K86" i="142"/>
  <c r="L86" i="142"/>
  <c r="M86" i="142"/>
  <c r="N86" i="142"/>
  <c r="D87" i="142"/>
  <c r="E87" i="142"/>
  <c r="F87" i="142"/>
  <c r="G87" i="142"/>
  <c r="H87" i="142"/>
  <c r="I87" i="142"/>
  <c r="J87" i="142"/>
  <c r="K87" i="142"/>
  <c r="L87" i="142"/>
  <c r="M87" i="142"/>
  <c r="N87" i="142"/>
  <c r="D88" i="142"/>
  <c r="E88" i="142"/>
  <c r="F88" i="142"/>
  <c r="G88" i="142"/>
  <c r="H88" i="142"/>
  <c r="I88" i="142"/>
  <c r="J88" i="142"/>
  <c r="K88" i="142"/>
  <c r="L88" i="142"/>
  <c r="M88" i="142"/>
  <c r="N88" i="142"/>
  <c r="D89" i="142"/>
  <c r="E89" i="142"/>
  <c r="F89" i="142"/>
  <c r="G89" i="142"/>
  <c r="H89" i="142"/>
  <c r="I89" i="142"/>
  <c r="J89" i="142"/>
  <c r="K89" i="142"/>
  <c r="L89" i="142"/>
  <c r="M89" i="142"/>
  <c r="N89" i="142"/>
  <c r="D90" i="142"/>
  <c r="E90" i="142"/>
  <c r="F90" i="142"/>
  <c r="G90" i="142"/>
  <c r="H90" i="142"/>
  <c r="I90" i="142"/>
  <c r="J90" i="142"/>
  <c r="K90" i="142"/>
  <c r="L90" i="142"/>
  <c r="M90" i="142"/>
  <c r="N90" i="142"/>
  <c r="D91" i="142"/>
  <c r="E91" i="142"/>
  <c r="F91" i="142"/>
  <c r="G91" i="142"/>
  <c r="H91" i="142"/>
  <c r="I91" i="142"/>
  <c r="J91" i="142"/>
  <c r="K91" i="142"/>
  <c r="L91" i="142"/>
  <c r="M91" i="142"/>
  <c r="N91" i="142"/>
  <c r="D92" i="142"/>
  <c r="E92" i="142"/>
  <c r="F92" i="142"/>
  <c r="G92" i="142"/>
  <c r="H92" i="142"/>
  <c r="I92" i="142"/>
  <c r="J92" i="142"/>
  <c r="K92" i="142"/>
  <c r="L92" i="142"/>
  <c r="M92" i="142"/>
  <c r="N92" i="142"/>
  <c r="C37" i="142"/>
  <c r="C38" i="142"/>
  <c r="C39" i="142"/>
  <c r="C40" i="142"/>
  <c r="C41" i="142"/>
  <c r="C42" i="142"/>
  <c r="C43" i="142"/>
  <c r="C44" i="142"/>
  <c r="C45" i="142"/>
  <c r="C46" i="142"/>
  <c r="C47" i="142"/>
  <c r="C48" i="142"/>
  <c r="C49" i="142"/>
  <c r="C50" i="142"/>
  <c r="C51" i="142"/>
  <c r="C52" i="142"/>
  <c r="C53" i="142"/>
  <c r="C54" i="142"/>
  <c r="C55" i="142"/>
  <c r="C56" i="142"/>
  <c r="C57" i="142"/>
  <c r="C58" i="142"/>
  <c r="C59" i="142"/>
  <c r="C60" i="142"/>
  <c r="C61" i="142"/>
  <c r="C62" i="142"/>
  <c r="C63" i="142"/>
  <c r="C64" i="142"/>
  <c r="C65" i="142"/>
  <c r="C66" i="142"/>
  <c r="C67" i="142"/>
  <c r="C68" i="142"/>
  <c r="C69" i="142"/>
  <c r="C70" i="142"/>
  <c r="C71" i="142"/>
  <c r="C72" i="142"/>
  <c r="C73" i="142"/>
  <c r="C74" i="142"/>
  <c r="C75" i="142"/>
  <c r="C76" i="142"/>
  <c r="C77" i="142"/>
  <c r="C78" i="142"/>
  <c r="C79" i="142"/>
  <c r="C80" i="142"/>
  <c r="C81" i="142"/>
  <c r="C82" i="142"/>
  <c r="C83" i="142"/>
  <c r="C84" i="142"/>
  <c r="C85" i="142"/>
  <c r="C86" i="142"/>
  <c r="C87" i="142"/>
  <c r="C88" i="142"/>
  <c r="C89" i="142"/>
  <c r="C90" i="142"/>
  <c r="C91" i="142"/>
  <c r="C92" i="142"/>
  <c r="C36" i="142"/>
  <c r="D35" i="142"/>
  <c r="E35" i="142"/>
  <c r="F35" i="142"/>
  <c r="G35" i="142"/>
  <c r="H35" i="142"/>
  <c r="I35" i="142"/>
  <c r="J35" i="142"/>
  <c r="K35" i="142"/>
  <c r="L35" i="142"/>
  <c r="M35" i="142"/>
  <c r="N35" i="142"/>
  <c r="C35" i="142"/>
  <c r="B10" i="142" s="1"/>
  <c r="C10" i="145"/>
  <c r="D10" i="145"/>
  <c r="E10" i="145"/>
  <c r="F10" i="145"/>
  <c r="G10" i="145"/>
  <c r="H10" i="145"/>
  <c r="I10" i="145"/>
  <c r="J10" i="145"/>
  <c r="K10" i="145"/>
  <c r="L10" i="145"/>
  <c r="M10" i="145"/>
  <c r="C11" i="145"/>
  <c r="D11" i="145"/>
  <c r="E11" i="145"/>
  <c r="F11" i="145"/>
  <c r="G11" i="145"/>
  <c r="H11" i="145"/>
  <c r="I11" i="145"/>
  <c r="J11" i="145"/>
  <c r="K11" i="145"/>
  <c r="L11" i="145"/>
  <c r="M11" i="145"/>
  <c r="C12" i="145"/>
  <c r="D12" i="145"/>
  <c r="E12" i="145"/>
  <c r="F12" i="145"/>
  <c r="G12" i="145"/>
  <c r="H12" i="145"/>
  <c r="I12" i="145"/>
  <c r="J12" i="145"/>
  <c r="K12" i="145"/>
  <c r="L12" i="145"/>
  <c r="M12" i="145"/>
  <c r="C13" i="145"/>
  <c r="D13" i="145"/>
  <c r="E13" i="145"/>
  <c r="F13" i="145"/>
  <c r="G13" i="145"/>
  <c r="H13" i="145"/>
  <c r="I13" i="145"/>
  <c r="J13" i="145"/>
  <c r="K13" i="145"/>
  <c r="L13" i="145"/>
  <c r="M13" i="145"/>
  <c r="C14" i="145"/>
  <c r="D14" i="145"/>
  <c r="E14" i="145"/>
  <c r="F14" i="145"/>
  <c r="G14" i="145"/>
  <c r="H14" i="145"/>
  <c r="I14" i="145"/>
  <c r="J14" i="145"/>
  <c r="K14" i="145"/>
  <c r="L14" i="145"/>
  <c r="M14" i="145"/>
  <c r="C15" i="145"/>
  <c r="D15" i="145"/>
  <c r="E15" i="145"/>
  <c r="F15" i="145"/>
  <c r="G15" i="145"/>
  <c r="H15" i="145"/>
  <c r="I15" i="145"/>
  <c r="J15" i="145"/>
  <c r="K15" i="145"/>
  <c r="L15" i="145"/>
  <c r="M15" i="145"/>
  <c r="C16" i="145"/>
  <c r="D16" i="145"/>
  <c r="E16" i="145"/>
  <c r="F16" i="145"/>
  <c r="G16" i="145"/>
  <c r="H16" i="145"/>
  <c r="I16" i="145"/>
  <c r="J16" i="145"/>
  <c r="K16" i="145"/>
  <c r="L16" i="145"/>
  <c r="M16" i="145"/>
  <c r="C17" i="145"/>
  <c r="D17" i="145"/>
  <c r="E17" i="145"/>
  <c r="F17" i="145"/>
  <c r="G17" i="145"/>
  <c r="H17" i="145"/>
  <c r="I17" i="145"/>
  <c r="J17" i="145"/>
  <c r="K17" i="145"/>
  <c r="L17" i="145"/>
  <c r="M17" i="145"/>
  <c r="C18" i="145"/>
  <c r="D18" i="145"/>
  <c r="E18" i="145"/>
  <c r="F18" i="145"/>
  <c r="G18" i="145"/>
  <c r="H18" i="145"/>
  <c r="I18" i="145"/>
  <c r="J18" i="145"/>
  <c r="K18" i="145"/>
  <c r="L18" i="145"/>
  <c r="M18" i="145"/>
  <c r="C19" i="145"/>
  <c r="D19" i="145"/>
  <c r="E19" i="145"/>
  <c r="F19" i="145"/>
  <c r="G19" i="145"/>
  <c r="H19" i="145"/>
  <c r="I19" i="145"/>
  <c r="J19" i="145"/>
  <c r="K19" i="145"/>
  <c r="L19" i="145"/>
  <c r="M19" i="145"/>
  <c r="C20" i="145"/>
  <c r="D20" i="145"/>
  <c r="E20" i="145"/>
  <c r="F20" i="145"/>
  <c r="G20" i="145"/>
  <c r="H20" i="145"/>
  <c r="I20" i="145"/>
  <c r="J20" i="145"/>
  <c r="K20" i="145"/>
  <c r="L20" i="145"/>
  <c r="M20" i="145"/>
  <c r="C21" i="145"/>
  <c r="D21" i="145"/>
  <c r="E21" i="145"/>
  <c r="F21" i="145"/>
  <c r="G21" i="145"/>
  <c r="H21" i="145"/>
  <c r="I21" i="145"/>
  <c r="J21" i="145"/>
  <c r="K21" i="145"/>
  <c r="L21" i="145"/>
  <c r="M21" i="145"/>
  <c r="B11" i="145"/>
  <c r="B12" i="145"/>
  <c r="B13" i="145"/>
  <c r="B14" i="145"/>
  <c r="B15" i="145"/>
  <c r="B16" i="145"/>
  <c r="B17" i="145"/>
  <c r="B18" i="145"/>
  <c r="B19" i="145"/>
  <c r="B20" i="145"/>
  <c r="B21" i="145"/>
  <c r="B10" i="145"/>
  <c r="C9" i="145"/>
  <c r="D9" i="145"/>
  <c r="E9" i="145"/>
  <c r="F9" i="145"/>
  <c r="G9" i="145"/>
  <c r="H9" i="145"/>
  <c r="I9" i="145"/>
  <c r="J9" i="145"/>
  <c r="K9" i="145"/>
  <c r="L9" i="145"/>
  <c r="M9" i="145"/>
  <c r="B9" i="145"/>
  <c r="A12" i="331"/>
  <c r="A13" i="331"/>
  <c r="A14" i="331"/>
  <c r="A15" i="331"/>
  <c r="A16" i="331"/>
  <c r="A17" i="331"/>
  <c r="A18" i="331"/>
  <c r="A19" i="331"/>
  <c r="A20" i="331"/>
  <c r="A21" i="331"/>
  <c r="A22" i="331"/>
  <c r="A11" i="331"/>
  <c r="C50" i="329"/>
  <c r="D50" i="329"/>
  <c r="E50" i="329"/>
  <c r="F50" i="329"/>
  <c r="G50" i="329"/>
  <c r="H50" i="329"/>
  <c r="I50" i="329"/>
  <c r="J50" i="329"/>
  <c r="K50" i="329"/>
  <c r="L50" i="329"/>
  <c r="M50" i="329"/>
  <c r="C51" i="329"/>
  <c r="D51" i="329"/>
  <c r="E51" i="329"/>
  <c r="F51" i="329"/>
  <c r="G51" i="329"/>
  <c r="H51" i="329"/>
  <c r="I51" i="329"/>
  <c r="J51" i="329"/>
  <c r="K51" i="329"/>
  <c r="L51" i="329"/>
  <c r="M51" i="329"/>
  <c r="C52" i="329"/>
  <c r="D52" i="329"/>
  <c r="E52" i="329"/>
  <c r="F52" i="329"/>
  <c r="G52" i="329"/>
  <c r="H52" i="329"/>
  <c r="I52" i="329"/>
  <c r="J52" i="329"/>
  <c r="K52" i="329"/>
  <c r="L52" i="329"/>
  <c r="M52" i="329"/>
  <c r="C53" i="329"/>
  <c r="D53" i="329"/>
  <c r="E53" i="329"/>
  <c r="F53" i="329"/>
  <c r="G53" i="329"/>
  <c r="H53" i="329"/>
  <c r="I53" i="329"/>
  <c r="J53" i="329"/>
  <c r="K53" i="329"/>
  <c r="L53" i="329"/>
  <c r="M53" i="329"/>
  <c r="C54" i="329"/>
  <c r="D54" i="329"/>
  <c r="E54" i="329"/>
  <c r="F54" i="329"/>
  <c r="G54" i="329"/>
  <c r="H54" i="329"/>
  <c r="I54" i="329"/>
  <c r="J54" i="329"/>
  <c r="K54" i="329"/>
  <c r="L54" i="329"/>
  <c r="M54" i="329"/>
  <c r="C55" i="329"/>
  <c r="D55" i="329"/>
  <c r="E55" i="329"/>
  <c r="F55" i="329"/>
  <c r="G55" i="329"/>
  <c r="H55" i="329"/>
  <c r="I55" i="329"/>
  <c r="J55" i="329"/>
  <c r="K55" i="329"/>
  <c r="L55" i="329"/>
  <c r="M55" i="329"/>
  <c r="C56" i="329"/>
  <c r="D56" i="329"/>
  <c r="E56" i="329"/>
  <c r="F56" i="329"/>
  <c r="G56" i="329"/>
  <c r="H56" i="329"/>
  <c r="I56" i="329"/>
  <c r="J56" i="329"/>
  <c r="K56" i="329"/>
  <c r="L56" i="329"/>
  <c r="M56" i="329"/>
  <c r="C57" i="329"/>
  <c r="D57" i="329"/>
  <c r="E57" i="329"/>
  <c r="F57" i="329"/>
  <c r="G57" i="329"/>
  <c r="H57" i="329"/>
  <c r="I57" i="329"/>
  <c r="J57" i="329"/>
  <c r="K57" i="329"/>
  <c r="L57" i="329"/>
  <c r="M57" i="329"/>
  <c r="C58" i="329"/>
  <c r="D58" i="329"/>
  <c r="E58" i="329"/>
  <c r="F58" i="329"/>
  <c r="G58" i="329"/>
  <c r="H58" i="329"/>
  <c r="I58" i="329"/>
  <c r="J58" i="329"/>
  <c r="K58" i="329"/>
  <c r="L58" i="329"/>
  <c r="M58" i="329"/>
  <c r="C59" i="329"/>
  <c r="D59" i="329"/>
  <c r="E59" i="329"/>
  <c r="F59" i="329"/>
  <c r="G59" i="329"/>
  <c r="H59" i="329"/>
  <c r="I59" i="329"/>
  <c r="J59" i="329"/>
  <c r="K59" i="329"/>
  <c r="L59" i="329"/>
  <c r="M59" i="329"/>
  <c r="C60" i="329"/>
  <c r="D60" i="329"/>
  <c r="E60" i="329"/>
  <c r="F60" i="329"/>
  <c r="G60" i="329"/>
  <c r="H60" i="329"/>
  <c r="I60" i="329"/>
  <c r="J60" i="329"/>
  <c r="K60" i="329"/>
  <c r="L60" i="329"/>
  <c r="M60" i="329"/>
  <c r="C61" i="329"/>
  <c r="D61" i="329"/>
  <c r="E61" i="329"/>
  <c r="F61" i="329"/>
  <c r="G61" i="329"/>
  <c r="H61" i="329"/>
  <c r="I61" i="329"/>
  <c r="J61" i="329"/>
  <c r="K61" i="329"/>
  <c r="L61" i="329"/>
  <c r="M61" i="329"/>
  <c r="B51" i="329"/>
  <c r="B52" i="329"/>
  <c r="B53" i="329"/>
  <c r="B54" i="329"/>
  <c r="B55" i="329"/>
  <c r="B56" i="329"/>
  <c r="B57" i="329"/>
  <c r="B58" i="329"/>
  <c r="B59" i="329"/>
  <c r="B60" i="329"/>
  <c r="B61" i="329"/>
  <c r="B50" i="329"/>
  <c r="C30" i="329"/>
  <c r="D30" i="329"/>
  <c r="E30" i="329"/>
  <c r="F30" i="329"/>
  <c r="G30" i="329"/>
  <c r="H30" i="329"/>
  <c r="I30" i="329"/>
  <c r="J30" i="329"/>
  <c r="K30" i="329"/>
  <c r="C31" i="329"/>
  <c r="D31" i="329"/>
  <c r="E31" i="329"/>
  <c r="F31" i="329"/>
  <c r="G31" i="329"/>
  <c r="H31" i="329"/>
  <c r="I31" i="329"/>
  <c r="J31" i="329"/>
  <c r="K31" i="329"/>
  <c r="C32" i="329"/>
  <c r="D32" i="329"/>
  <c r="E32" i="329"/>
  <c r="F32" i="329"/>
  <c r="G32" i="329"/>
  <c r="H32" i="329"/>
  <c r="I32" i="329"/>
  <c r="J32" i="329"/>
  <c r="K32" i="329"/>
  <c r="C33" i="329"/>
  <c r="D33" i="329"/>
  <c r="E33" i="329"/>
  <c r="F33" i="329"/>
  <c r="G33" i="329"/>
  <c r="H33" i="329"/>
  <c r="I33" i="329"/>
  <c r="J33" i="329"/>
  <c r="K33" i="329"/>
  <c r="C34" i="329"/>
  <c r="D34" i="329"/>
  <c r="E34" i="329"/>
  <c r="F34" i="329"/>
  <c r="G34" i="329"/>
  <c r="H34" i="329"/>
  <c r="I34" i="329"/>
  <c r="J34" i="329"/>
  <c r="K34" i="329"/>
  <c r="C35" i="329"/>
  <c r="D35" i="329"/>
  <c r="E35" i="329"/>
  <c r="F35" i="329"/>
  <c r="G35" i="329"/>
  <c r="H35" i="329"/>
  <c r="I35" i="329"/>
  <c r="J35" i="329"/>
  <c r="K35" i="329"/>
  <c r="C36" i="329"/>
  <c r="D36" i="329"/>
  <c r="E36" i="329"/>
  <c r="F36" i="329"/>
  <c r="G36" i="329"/>
  <c r="H36" i="329"/>
  <c r="I36" i="329"/>
  <c r="J36" i="329"/>
  <c r="K36" i="329"/>
  <c r="C37" i="329"/>
  <c r="D37" i="329"/>
  <c r="E37" i="329"/>
  <c r="F37" i="329"/>
  <c r="G37" i="329"/>
  <c r="H37" i="329"/>
  <c r="I37" i="329"/>
  <c r="J37" i="329"/>
  <c r="K37" i="329"/>
  <c r="C38" i="329"/>
  <c r="D38" i="329"/>
  <c r="E38" i="329"/>
  <c r="F38" i="329"/>
  <c r="G38" i="329"/>
  <c r="H38" i="329"/>
  <c r="I38" i="329"/>
  <c r="J38" i="329"/>
  <c r="K38" i="329"/>
  <c r="C39" i="329"/>
  <c r="D39" i="329"/>
  <c r="E39" i="329"/>
  <c r="F39" i="329"/>
  <c r="G39" i="329"/>
  <c r="H39" i="329"/>
  <c r="I39" i="329"/>
  <c r="J39" i="329"/>
  <c r="K39" i="329"/>
  <c r="C40" i="329"/>
  <c r="D40" i="329"/>
  <c r="E40" i="329"/>
  <c r="F40" i="329"/>
  <c r="G40" i="329"/>
  <c r="H40" i="329"/>
  <c r="I40" i="329"/>
  <c r="J40" i="329"/>
  <c r="K40" i="329"/>
  <c r="C41" i="329"/>
  <c r="D41" i="329"/>
  <c r="E41" i="329"/>
  <c r="F41" i="329"/>
  <c r="G41" i="329"/>
  <c r="H41" i="329"/>
  <c r="I41" i="329"/>
  <c r="J41" i="329"/>
  <c r="K41" i="329"/>
  <c r="B31" i="329"/>
  <c r="B32" i="329"/>
  <c r="B33" i="329"/>
  <c r="B34" i="329"/>
  <c r="B35" i="329"/>
  <c r="B36" i="329"/>
  <c r="B37" i="329"/>
  <c r="B38" i="329"/>
  <c r="B39" i="329"/>
  <c r="B40" i="329"/>
  <c r="B41" i="329"/>
  <c r="B30" i="329"/>
  <c r="A11" i="329"/>
  <c r="A12" i="329"/>
  <c r="A13" i="329"/>
  <c r="A14" i="329"/>
  <c r="A15" i="329"/>
  <c r="A16" i="329"/>
  <c r="A17" i="329"/>
  <c r="A18" i="329"/>
  <c r="A19" i="329"/>
  <c r="A20" i="329"/>
  <c r="A21" i="329"/>
  <c r="A10" i="329"/>
  <c r="C10" i="329"/>
  <c r="D10" i="329"/>
  <c r="E10" i="329"/>
  <c r="F10" i="329"/>
  <c r="G10" i="329"/>
  <c r="H10" i="329"/>
  <c r="I10" i="329"/>
  <c r="C11" i="329"/>
  <c r="D11" i="329"/>
  <c r="E11" i="329"/>
  <c r="F11" i="329"/>
  <c r="G11" i="329"/>
  <c r="H11" i="329"/>
  <c r="I11" i="329"/>
  <c r="C12" i="329"/>
  <c r="D12" i="329"/>
  <c r="E12" i="329"/>
  <c r="F12" i="329"/>
  <c r="G12" i="329"/>
  <c r="H12" i="329"/>
  <c r="I12" i="329"/>
  <c r="C13" i="329"/>
  <c r="D13" i="329"/>
  <c r="E13" i="329"/>
  <c r="F13" i="329"/>
  <c r="G13" i="329"/>
  <c r="H13" i="329"/>
  <c r="I13" i="329"/>
  <c r="C14" i="329"/>
  <c r="D14" i="329"/>
  <c r="E14" i="329"/>
  <c r="F14" i="329"/>
  <c r="G14" i="329"/>
  <c r="H14" i="329"/>
  <c r="I14" i="329"/>
  <c r="C15" i="329"/>
  <c r="D15" i="329"/>
  <c r="E15" i="329"/>
  <c r="F15" i="329"/>
  <c r="G15" i="329"/>
  <c r="H15" i="329"/>
  <c r="I15" i="329"/>
  <c r="C16" i="329"/>
  <c r="D16" i="329"/>
  <c r="E16" i="329"/>
  <c r="F16" i="329"/>
  <c r="G16" i="329"/>
  <c r="H16" i="329"/>
  <c r="I16" i="329"/>
  <c r="C17" i="329"/>
  <c r="D17" i="329"/>
  <c r="E17" i="329"/>
  <c r="F17" i="329"/>
  <c r="G17" i="329"/>
  <c r="H17" i="329"/>
  <c r="I17" i="329"/>
  <c r="C18" i="329"/>
  <c r="D18" i="329"/>
  <c r="E18" i="329"/>
  <c r="F18" i="329"/>
  <c r="G18" i="329"/>
  <c r="H18" i="329"/>
  <c r="I18" i="329"/>
  <c r="C19" i="329"/>
  <c r="D19" i="329"/>
  <c r="E19" i="329"/>
  <c r="F19" i="329"/>
  <c r="G19" i="329"/>
  <c r="H19" i="329"/>
  <c r="I19" i="329"/>
  <c r="C20" i="329"/>
  <c r="D20" i="329"/>
  <c r="E20" i="329"/>
  <c r="F20" i="329"/>
  <c r="G20" i="329"/>
  <c r="H20" i="329"/>
  <c r="I20" i="329"/>
  <c r="C21" i="329"/>
  <c r="D21" i="329"/>
  <c r="E21" i="329"/>
  <c r="F21" i="329"/>
  <c r="G21" i="329"/>
  <c r="H21" i="329"/>
  <c r="I21" i="329"/>
  <c r="B11" i="329"/>
  <c r="B12" i="329"/>
  <c r="B13" i="329"/>
  <c r="B14" i="329"/>
  <c r="B15" i="329"/>
  <c r="B16" i="329"/>
  <c r="B17" i="329"/>
  <c r="B18" i="329"/>
  <c r="B19" i="329"/>
  <c r="B20" i="329"/>
  <c r="B21" i="329"/>
  <c r="B10" i="329"/>
  <c r="B29" i="341" l="1"/>
  <c r="B30" i="341" s="1"/>
  <c r="A28" i="341"/>
  <c r="B25" i="341"/>
  <c r="B26" i="341" s="1"/>
  <c r="A24" i="341"/>
  <c r="H47" i="333"/>
  <c r="H48" i="333"/>
  <c r="H49" i="333"/>
  <c r="H50" i="333"/>
  <c r="H51" i="333"/>
  <c r="H52" i="333"/>
  <c r="H53" i="333"/>
  <c r="H54" i="333"/>
  <c r="H55" i="333"/>
  <c r="H56" i="333"/>
  <c r="H57" i="333"/>
  <c r="H46" i="333"/>
  <c r="G47" i="333"/>
  <c r="G48" i="333"/>
  <c r="G49" i="333"/>
  <c r="G50" i="333"/>
  <c r="G51" i="333"/>
  <c r="G52" i="333"/>
  <c r="G53" i="333"/>
  <c r="G54" i="333"/>
  <c r="G55" i="333"/>
  <c r="G56" i="333"/>
  <c r="G57" i="333"/>
  <c r="G46" i="333"/>
  <c r="F47" i="333"/>
  <c r="F48" i="333"/>
  <c r="F49" i="333"/>
  <c r="F50" i="333"/>
  <c r="F51" i="333"/>
  <c r="F52" i="333"/>
  <c r="F53" i="333"/>
  <c r="F54" i="333"/>
  <c r="F55" i="333"/>
  <c r="F56" i="333"/>
  <c r="F57" i="333"/>
  <c r="F46" i="333"/>
  <c r="C50" i="333"/>
  <c r="C51" i="333"/>
  <c r="C52" i="333"/>
  <c r="C53" i="333"/>
  <c r="C54" i="333"/>
  <c r="C55" i="333"/>
  <c r="C56" i="333"/>
  <c r="C57" i="333"/>
  <c r="C46" i="333"/>
  <c r="C47" i="333"/>
  <c r="C48" i="333"/>
  <c r="C49" i="333"/>
  <c r="D47" i="333"/>
  <c r="D48" i="333"/>
  <c r="D49" i="333"/>
  <c r="D50" i="333"/>
  <c r="D51" i="333"/>
  <c r="D52" i="333"/>
  <c r="D53" i="333"/>
  <c r="D54" i="333"/>
  <c r="D55" i="333"/>
  <c r="D56" i="333"/>
  <c r="D57" i="333"/>
  <c r="D46" i="333"/>
  <c r="B47" i="333"/>
  <c r="B48" i="333"/>
  <c r="B49" i="333"/>
  <c r="B50" i="333"/>
  <c r="B51" i="333"/>
  <c r="B52" i="333"/>
  <c r="B53" i="333"/>
  <c r="B54" i="333"/>
  <c r="B55" i="333"/>
  <c r="B56" i="333"/>
  <c r="B57" i="333"/>
  <c r="B46" i="333"/>
  <c r="A31" i="333"/>
  <c r="A32" i="333"/>
  <c r="A33" i="333"/>
  <c r="A34" i="333"/>
  <c r="A35" i="333"/>
  <c r="A36" i="333"/>
  <c r="A37" i="333"/>
  <c r="A38" i="333"/>
  <c r="A39" i="333"/>
  <c r="A40" i="333"/>
  <c r="A41" i="333"/>
  <c r="A30" i="333"/>
  <c r="D31" i="333"/>
  <c r="E31" i="333"/>
  <c r="F31" i="333"/>
  <c r="G31" i="333"/>
  <c r="H31" i="333"/>
  <c r="D32" i="333"/>
  <c r="E32" i="333"/>
  <c r="F32" i="333"/>
  <c r="G32" i="333"/>
  <c r="H32" i="333"/>
  <c r="D33" i="333"/>
  <c r="E33" i="333"/>
  <c r="F33" i="333"/>
  <c r="G33" i="333"/>
  <c r="H33" i="333"/>
  <c r="D34" i="333"/>
  <c r="E34" i="333"/>
  <c r="F34" i="333"/>
  <c r="G34" i="333"/>
  <c r="H34" i="333"/>
  <c r="D35" i="333"/>
  <c r="E35" i="333"/>
  <c r="F35" i="333"/>
  <c r="G35" i="333"/>
  <c r="H35" i="333"/>
  <c r="D36" i="333"/>
  <c r="E36" i="333"/>
  <c r="F36" i="333"/>
  <c r="G36" i="333"/>
  <c r="H36" i="333"/>
  <c r="D37" i="333"/>
  <c r="E37" i="333"/>
  <c r="F37" i="333"/>
  <c r="G37" i="333"/>
  <c r="H37" i="333"/>
  <c r="D38" i="333"/>
  <c r="E38" i="333"/>
  <c r="F38" i="333"/>
  <c r="G38" i="333"/>
  <c r="H38" i="333"/>
  <c r="D39" i="333"/>
  <c r="E39" i="333"/>
  <c r="F39" i="333"/>
  <c r="G39" i="333"/>
  <c r="H39" i="333"/>
  <c r="D40" i="333"/>
  <c r="E40" i="333"/>
  <c r="F40" i="333"/>
  <c r="G40" i="333"/>
  <c r="H40" i="333"/>
  <c r="D41" i="333"/>
  <c r="E41" i="333"/>
  <c r="F41" i="333"/>
  <c r="G41" i="333"/>
  <c r="H41" i="333"/>
  <c r="H30" i="333"/>
  <c r="G30" i="333"/>
  <c r="F30" i="333"/>
  <c r="E30" i="333"/>
  <c r="D30" i="333"/>
  <c r="C31" i="333"/>
  <c r="C32" i="333"/>
  <c r="C33" i="333"/>
  <c r="C34" i="333"/>
  <c r="C35" i="333"/>
  <c r="C36" i="333"/>
  <c r="C37" i="333"/>
  <c r="C38" i="333"/>
  <c r="C39" i="333"/>
  <c r="C40" i="333"/>
  <c r="C41" i="333"/>
  <c r="C30" i="333"/>
  <c r="B31" i="333"/>
  <c r="B32" i="333"/>
  <c r="B33" i="333"/>
  <c r="B34" i="333"/>
  <c r="B35" i="333"/>
  <c r="B36" i="333"/>
  <c r="B37" i="333"/>
  <c r="B38" i="333"/>
  <c r="B39" i="333"/>
  <c r="B40" i="333"/>
  <c r="B41" i="333"/>
  <c r="B30" i="333"/>
  <c r="A14" i="333"/>
  <c r="A15" i="333"/>
  <c r="A16" i="333"/>
  <c r="A17" i="333"/>
  <c r="A18" i="333"/>
  <c r="A19" i="333"/>
  <c r="A20" i="333"/>
  <c r="A21" i="333"/>
  <c r="A22" i="333"/>
  <c r="A23" i="333"/>
  <c r="A24" i="333"/>
  <c r="A13" i="333"/>
  <c r="H14" i="333"/>
  <c r="H15" i="333"/>
  <c r="H16" i="333"/>
  <c r="H17" i="333"/>
  <c r="H18" i="333"/>
  <c r="H19" i="333"/>
  <c r="H20" i="333"/>
  <c r="H21" i="333"/>
  <c r="H22" i="333"/>
  <c r="H23" i="333"/>
  <c r="H24" i="333"/>
  <c r="H13" i="333"/>
  <c r="G14" i="333"/>
  <c r="G15" i="333"/>
  <c r="G16" i="333"/>
  <c r="G17" i="333"/>
  <c r="G18" i="333"/>
  <c r="G19" i="333"/>
  <c r="G20" i="333"/>
  <c r="G21" i="333"/>
  <c r="G22" i="333"/>
  <c r="G23" i="333"/>
  <c r="G24" i="333"/>
  <c r="G13" i="333"/>
  <c r="F14" i="333"/>
  <c r="F15" i="333"/>
  <c r="F16" i="333"/>
  <c r="F17" i="333"/>
  <c r="F18" i="333"/>
  <c r="F19" i="333"/>
  <c r="F20" i="333"/>
  <c r="F21" i="333"/>
  <c r="F22" i="333"/>
  <c r="F23" i="333"/>
  <c r="F24" i="333"/>
  <c r="F13" i="333"/>
  <c r="E14" i="333"/>
  <c r="E15" i="333"/>
  <c r="E16" i="333"/>
  <c r="E17" i="333"/>
  <c r="E18" i="333"/>
  <c r="E19" i="333"/>
  <c r="E20" i="333"/>
  <c r="E21" i="333"/>
  <c r="E22" i="333"/>
  <c r="E23" i="333"/>
  <c r="E24" i="333"/>
  <c r="E13" i="333"/>
  <c r="D14" i="333"/>
  <c r="D15" i="333"/>
  <c r="D16" i="333"/>
  <c r="D17" i="333"/>
  <c r="D18" i="333"/>
  <c r="D19" i="333"/>
  <c r="D20" i="333"/>
  <c r="D21" i="333"/>
  <c r="D22" i="333"/>
  <c r="D23" i="333"/>
  <c r="D24" i="333"/>
  <c r="D13" i="333"/>
  <c r="C14" i="333"/>
  <c r="C15" i="333"/>
  <c r="C16" i="333"/>
  <c r="C17" i="333"/>
  <c r="C18" i="333"/>
  <c r="C19" i="333"/>
  <c r="C20" i="333"/>
  <c r="C21" i="333"/>
  <c r="C22" i="333"/>
  <c r="C23" i="333"/>
  <c r="C24" i="333"/>
  <c r="C13" i="333"/>
  <c r="B14" i="333"/>
  <c r="B15" i="333"/>
  <c r="B16" i="333"/>
  <c r="B17" i="333"/>
  <c r="B18" i="333"/>
  <c r="B19" i="333"/>
  <c r="B20" i="333"/>
  <c r="B21" i="333"/>
  <c r="B22" i="333"/>
  <c r="B23" i="333"/>
  <c r="B24" i="333"/>
  <c r="B13" i="333"/>
  <c r="D25" i="125"/>
  <c r="D17" i="125"/>
  <c r="C21" i="125"/>
  <c r="B25" i="125"/>
  <c r="B17" i="125"/>
  <c r="B21" i="125"/>
  <c r="D24" i="125"/>
  <c r="D16" i="125"/>
  <c r="C20" i="125"/>
  <c r="B24" i="125"/>
  <c r="B16" i="125"/>
  <c r="B18" i="125"/>
  <c r="D23" i="125"/>
  <c r="D15" i="125"/>
  <c r="C19" i="125"/>
  <c r="B23" i="125"/>
  <c r="B15" i="125"/>
  <c r="C17" i="125"/>
  <c r="D22" i="125"/>
  <c r="D14" i="125"/>
  <c r="C18" i="125"/>
  <c r="B22" i="125"/>
  <c r="B14" i="125"/>
  <c r="C14" i="125"/>
  <c r="D21" i="125"/>
  <c r="C25" i="125"/>
  <c r="D20" i="125"/>
  <c r="C24" i="125"/>
  <c r="C16" i="125"/>
  <c r="B20" i="125"/>
  <c r="C22" i="125"/>
  <c r="D19" i="125"/>
  <c r="C23" i="125"/>
  <c r="C15" i="125"/>
  <c r="B19" i="125"/>
  <c r="D18" i="125"/>
  <c r="D13" i="126"/>
  <c r="D16" i="126"/>
  <c r="D15" i="126"/>
  <c r="D12" i="126"/>
  <c r="E18" i="252"/>
  <c r="D17" i="126"/>
  <c r="D14" i="126"/>
  <c r="D26" i="331" l="1"/>
  <c r="D27" i="331"/>
  <c r="D28" i="331"/>
  <c r="D29" i="331"/>
  <c r="D30" i="331"/>
  <c r="D31" i="331"/>
  <c r="D32" i="331"/>
  <c r="D33" i="331"/>
  <c r="D34" i="331"/>
  <c r="D35" i="331"/>
  <c r="D36" i="331"/>
  <c r="D37" i="331"/>
  <c r="C27" i="331"/>
  <c r="C28" i="331"/>
  <c r="C29" i="331"/>
  <c r="C30" i="331"/>
  <c r="C31" i="331"/>
  <c r="C32" i="331"/>
  <c r="C33" i="331"/>
  <c r="C34" i="331"/>
  <c r="C35" i="331"/>
  <c r="C36" i="331"/>
  <c r="C37" i="331"/>
  <c r="C26" i="331"/>
  <c r="B37" i="331"/>
  <c r="B27" i="331"/>
  <c r="B28" i="331"/>
  <c r="B29" i="331"/>
  <c r="B30" i="331"/>
  <c r="B31" i="331"/>
  <c r="B32" i="331"/>
  <c r="B33" i="331"/>
  <c r="B34" i="331"/>
  <c r="B35" i="331"/>
  <c r="B36" i="331"/>
  <c r="B26" i="331"/>
  <c r="H12" i="331"/>
  <c r="H13" i="331"/>
  <c r="H14" i="331"/>
  <c r="H15" i="331"/>
  <c r="H16" i="331"/>
  <c r="H17" i="331"/>
  <c r="H18" i="331"/>
  <c r="H19" i="331"/>
  <c r="H20" i="331"/>
  <c r="H21" i="331"/>
  <c r="H22" i="331"/>
  <c r="G12" i="331"/>
  <c r="G13" i="331"/>
  <c r="G14" i="331"/>
  <c r="G15" i="331"/>
  <c r="G16" i="331"/>
  <c r="G17" i="331"/>
  <c r="G18" i="331"/>
  <c r="G19" i="331"/>
  <c r="G20" i="331"/>
  <c r="G21" i="331"/>
  <c r="G22" i="331"/>
  <c r="G11" i="331"/>
  <c r="H11" i="331"/>
  <c r="F12" i="331"/>
  <c r="F13" i="331"/>
  <c r="F14" i="331"/>
  <c r="F15" i="331"/>
  <c r="F16" i="331"/>
  <c r="F17" i="331"/>
  <c r="F18" i="331"/>
  <c r="F19" i="331"/>
  <c r="F20" i="331"/>
  <c r="F21" i="331"/>
  <c r="F22" i="331"/>
  <c r="F11" i="331"/>
  <c r="E12" i="331"/>
  <c r="E13" i="331"/>
  <c r="E14" i="331"/>
  <c r="E15" i="331"/>
  <c r="E16" i="331"/>
  <c r="E17" i="331"/>
  <c r="E18" i="331"/>
  <c r="E19" i="331"/>
  <c r="E20" i="331"/>
  <c r="E21" i="331"/>
  <c r="E22" i="331"/>
  <c r="E11" i="331"/>
  <c r="D12" i="331"/>
  <c r="D13" i="331"/>
  <c r="D14" i="331"/>
  <c r="D15" i="331"/>
  <c r="D16" i="331"/>
  <c r="D17" i="331"/>
  <c r="D18" i="331"/>
  <c r="D19" i="331"/>
  <c r="D20" i="331"/>
  <c r="D21" i="331"/>
  <c r="D22" i="331"/>
  <c r="D11" i="331"/>
  <c r="C12" i="331"/>
  <c r="C13" i="331"/>
  <c r="C14" i="331"/>
  <c r="C15" i="331"/>
  <c r="C16" i="331"/>
  <c r="C17" i="331"/>
  <c r="C18" i="331"/>
  <c r="C19" i="331"/>
  <c r="C20" i="331"/>
  <c r="C21" i="331"/>
  <c r="C22" i="331"/>
  <c r="C11" i="331"/>
  <c r="B12" i="331"/>
  <c r="B13" i="331"/>
  <c r="B14" i="331"/>
  <c r="B15" i="331"/>
  <c r="B16" i="331"/>
  <c r="B17" i="331"/>
  <c r="B18" i="331"/>
  <c r="B19" i="331"/>
  <c r="B20" i="331"/>
  <c r="B21" i="331"/>
  <c r="B22" i="331"/>
  <c r="B11" i="331"/>
  <c r="B43" i="340" l="1"/>
  <c r="C43" i="340" s="1"/>
  <c r="C28" i="340"/>
  <c r="C25" i="340"/>
  <c r="C14" i="340"/>
  <c r="C41" i="340"/>
  <c r="C35" i="340"/>
  <c r="C34" i="340"/>
  <c r="C20" i="340"/>
  <c r="C30" i="340"/>
  <c r="C31" i="340"/>
  <c r="C37" i="340"/>
  <c r="C18" i="340"/>
  <c r="C24" i="340"/>
  <c r="C15" i="340"/>
  <c r="C26" i="340"/>
  <c r="C38" i="340"/>
  <c r="C11" i="340"/>
  <c r="C17" i="340"/>
  <c r="C29" i="340"/>
  <c r="C16" i="340"/>
  <c r="C39" i="340"/>
  <c r="C36" i="340"/>
  <c r="C40" i="340"/>
  <c r="C27" i="340"/>
  <c r="C32" i="340"/>
  <c r="C42" i="340"/>
  <c r="C22" i="340"/>
  <c r="C21" i="340"/>
  <c r="C12" i="340"/>
  <c r="C19" i="340"/>
  <c r="C13" i="340"/>
  <c r="C33" i="340"/>
  <c r="C23" i="340"/>
  <c r="D18" i="340" l="1"/>
  <c r="D13" i="340"/>
  <c r="D21" i="340"/>
  <c r="D29" i="340"/>
  <c r="D37" i="340"/>
  <c r="D34" i="340"/>
  <c r="D11" i="340"/>
  <c r="D22" i="340"/>
  <c r="D30" i="340"/>
  <c r="D38" i="340"/>
  <c r="D26" i="340"/>
  <c r="D15" i="340"/>
  <c r="D31" i="340"/>
  <c r="D39" i="340"/>
  <c r="D19" i="340"/>
  <c r="D14" i="340"/>
  <c r="D23" i="340"/>
  <c r="D16" i="340"/>
  <c r="D24" i="340"/>
  <c r="D32" i="340"/>
  <c r="D40" i="340"/>
  <c r="D42" i="340"/>
  <c r="D35" i="340"/>
  <c r="D17" i="340"/>
  <c r="D25" i="340"/>
  <c r="D33" i="340"/>
  <c r="D41" i="340"/>
  <c r="D27" i="340"/>
  <c r="D12" i="340"/>
  <c r="D20" i="340"/>
  <c r="D28" i="340"/>
  <c r="D36" i="340"/>
  <c r="C44" i="340"/>
  <c r="D44" i="340" l="1"/>
  <c r="I11" i="181" l="1"/>
  <c r="I12" i="181"/>
  <c r="I13" i="181"/>
  <c r="I14" i="181"/>
  <c r="I15" i="181"/>
  <c r="I16" i="181"/>
  <c r="I17" i="181"/>
  <c r="I18" i="181"/>
  <c r="I19" i="181"/>
  <c r="I20" i="181"/>
  <c r="I21" i="181"/>
  <c r="I10" i="181"/>
  <c r="H11" i="181"/>
  <c r="H12" i="181"/>
  <c r="H13" i="181"/>
  <c r="H14" i="181"/>
  <c r="H15" i="181"/>
  <c r="H16" i="181"/>
  <c r="H17" i="181"/>
  <c r="H18" i="181"/>
  <c r="H19" i="181"/>
  <c r="H20" i="181"/>
  <c r="H21" i="181"/>
  <c r="H10" i="181"/>
  <c r="G11" i="181"/>
  <c r="G12" i="181"/>
  <c r="G13" i="181"/>
  <c r="G14" i="181"/>
  <c r="G15" i="181"/>
  <c r="G16" i="181"/>
  <c r="G17" i="181"/>
  <c r="G18" i="181"/>
  <c r="G19" i="181"/>
  <c r="G20" i="181"/>
  <c r="G21" i="181"/>
  <c r="G10" i="181"/>
  <c r="E11" i="181"/>
  <c r="E12" i="181"/>
  <c r="E13" i="181"/>
  <c r="E14" i="181"/>
  <c r="E15" i="181"/>
  <c r="E16" i="181"/>
  <c r="E17" i="181"/>
  <c r="E18" i="181"/>
  <c r="E19" i="181"/>
  <c r="E20" i="181"/>
  <c r="E21" i="181"/>
  <c r="E10" i="181"/>
  <c r="D11" i="181"/>
  <c r="D12" i="181"/>
  <c r="D13" i="181"/>
  <c r="D14" i="181"/>
  <c r="D15" i="181"/>
  <c r="D16" i="181"/>
  <c r="D17" i="181"/>
  <c r="D18" i="181"/>
  <c r="D19" i="181"/>
  <c r="D20" i="181"/>
  <c r="D21" i="181"/>
  <c r="D10" i="181"/>
  <c r="C11" i="181"/>
  <c r="C12" i="181"/>
  <c r="C13" i="181"/>
  <c r="C14" i="181"/>
  <c r="C15" i="181"/>
  <c r="C16" i="181"/>
  <c r="C17" i="181"/>
  <c r="C18" i="181"/>
  <c r="C19" i="181"/>
  <c r="C20" i="181"/>
  <c r="C21" i="181"/>
  <c r="C10" i="181"/>
  <c r="B11" i="181"/>
  <c r="B12" i="181"/>
  <c r="B13" i="181"/>
  <c r="B14" i="181"/>
  <c r="B15" i="181"/>
  <c r="B16" i="181"/>
  <c r="B17" i="181"/>
  <c r="B18" i="181"/>
  <c r="B19" i="181"/>
  <c r="B20" i="181"/>
  <c r="B21" i="181"/>
  <c r="B10" i="181"/>
  <c r="A11" i="181"/>
  <c r="A12" i="181"/>
  <c r="A13" i="181"/>
  <c r="A14" i="181"/>
  <c r="A15" i="181"/>
  <c r="A16" i="181"/>
  <c r="A17" i="181"/>
  <c r="A18" i="181"/>
  <c r="A19" i="181"/>
  <c r="A20" i="181"/>
  <c r="A21" i="181"/>
  <c r="A10" i="181"/>
  <c r="B67" i="14" l="1"/>
  <c r="C67" i="14"/>
  <c r="F67" i="14"/>
  <c r="G67" i="14"/>
  <c r="B48" i="14"/>
  <c r="F48" i="14"/>
  <c r="G48" i="14"/>
  <c r="A67" i="14"/>
  <c r="B29" i="14"/>
  <c r="C29" i="14"/>
  <c r="F29" i="14"/>
  <c r="G29" i="14"/>
  <c r="A29" i="14"/>
  <c r="J57" i="240"/>
  <c r="K57" i="240"/>
  <c r="N57" i="240"/>
  <c r="O57" i="240"/>
  <c r="B57" i="240"/>
  <c r="C57" i="240"/>
  <c r="F57" i="240"/>
  <c r="G57" i="240"/>
  <c r="A57" i="240"/>
  <c r="I57" i="240" s="1"/>
  <c r="J29" i="240"/>
  <c r="K29" i="240"/>
  <c r="N29" i="240"/>
  <c r="O29" i="240"/>
  <c r="I29" i="240"/>
  <c r="B29" i="240"/>
  <c r="C29" i="240"/>
  <c r="F29" i="240"/>
  <c r="G29" i="240"/>
  <c r="A29" i="240"/>
  <c r="I29" i="166"/>
  <c r="J29" i="166"/>
  <c r="K29" i="166"/>
  <c r="N29" i="166"/>
  <c r="O29" i="166"/>
  <c r="B29" i="166"/>
  <c r="C29" i="166"/>
  <c r="F29" i="166"/>
  <c r="G29" i="166"/>
  <c r="A29" i="166"/>
  <c r="A30" i="166" s="1"/>
  <c r="J56" i="166"/>
  <c r="K56" i="166"/>
  <c r="N56" i="166"/>
  <c r="O56" i="166"/>
  <c r="B56" i="166"/>
  <c r="C56" i="166"/>
  <c r="F56" i="166"/>
  <c r="G56" i="166"/>
  <c r="A56" i="166"/>
  <c r="I56" i="166" s="1"/>
  <c r="A50" i="14" l="1"/>
  <c r="A49" i="14"/>
  <c r="A51" i="14"/>
  <c r="A37" i="136" l="1"/>
  <c r="B37" i="136"/>
  <c r="C37" i="136"/>
  <c r="D37" i="136"/>
  <c r="E37" i="136"/>
  <c r="H37" i="136"/>
  <c r="B21" i="136"/>
  <c r="C21" i="136"/>
  <c r="D21" i="136"/>
  <c r="E21" i="136"/>
  <c r="F21" i="136"/>
  <c r="G21" i="136"/>
  <c r="H21" i="136"/>
  <c r="A21" i="136"/>
  <c r="I37" i="136" l="1"/>
  <c r="L37" i="136" s="1"/>
  <c r="I21" i="136"/>
  <c r="Q21" i="136" s="1"/>
  <c r="D19" i="279"/>
  <c r="K37" i="136" l="1"/>
  <c r="M37" i="136"/>
  <c r="O21" i="136"/>
  <c r="N37" i="136"/>
  <c r="Q37" i="136"/>
  <c r="K21" i="136"/>
  <c r="N21" i="136"/>
  <c r="L21" i="136"/>
  <c r="M21" i="136"/>
  <c r="P21" i="136"/>
  <c r="I30" i="283"/>
  <c r="H50" i="278"/>
  <c r="B59" i="93" l="1"/>
  <c r="C59" i="93"/>
  <c r="D59" i="93"/>
  <c r="E59" i="93"/>
  <c r="F59" i="93"/>
  <c r="G59" i="93"/>
  <c r="H59" i="93"/>
  <c r="B47" i="93"/>
  <c r="C47" i="93"/>
  <c r="D47" i="93"/>
  <c r="E47" i="93"/>
  <c r="F47" i="93"/>
  <c r="G47" i="93"/>
  <c r="A79" i="147"/>
  <c r="B61" i="147"/>
  <c r="C61" i="147"/>
  <c r="D61" i="147"/>
  <c r="E61" i="147"/>
  <c r="F61" i="147"/>
  <c r="G61" i="147"/>
  <c r="H61" i="147"/>
  <c r="I61" i="147"/>
  <c r="J61" i="147"/>
  <c r="K61" i="147"/>
  <c r="L61" i="147"/>
  <c r="M61" i="147"/>
  <c r="N61" i="147"/>
  <c r="O61" i="147"/>
  <c r="P61" i="147"/>
  <c r="Q61" i="147"/>
  <c r="R61" i="147"/>
  <c r="S61" i="147"/>
  <c r="T61" i="147"/>
  <c r="U61" i="147"/>
  <c r="V61" i="147"/>
  <c r="W61" i="147"/>
  <c r="X61" i="147"/>
  <c r="Y61" i="147"/>
  <c r="A61" i="147"/>
  <c r="A43" i="147"/>
  <c r="B23" i="147"/>
  <c r="C23" i="147"/>
  <c r="D23" i="147"/>
  <c r="E23" i="147"/>
  <c r="F23" i="147"/>
  <c r="G23" i="147"/>
  <c r="H23" i="147"/>
  <c r="I23" i="147"/>
  <c r="J23" i="147"/>
  <c r="K23" i="147"/>
  <c r="L23" i="147"/>
  <c r="M23" i="147"/>
  <c r="N23" i="147"/>
  <c r="O23" i="147"/>
  <c r="P23" i="147"/>
  <c r="Q23" i="147"/>
  <c r="R23" i="147"/>
  <c r="S23" i="147"/>
  <c r="T23" i="147"/>
  <c r="U23" i="147"/>
  <c r="V23" i="147"/>
  <c r="W23" i="147"/>
  <c r="X23" i="147"/>
  <c r="Y23" i="147"/>
  <c r="A23" i="147"/>
  <c r="J61" i="134"/>
  <c r="K61" i="134"/>
  <c r="F61" i="134"/>
  <c r="G61" i="134"/>
  <c r="A21" i="134"/>
  <c r="C21" i="134"/>
  <c r="F21" i="134"/>
  <c r="H21" i="134"/>
  <c r="I24" i="272" l="1"/>
  <c r="K24" i="272"/>
  <c r="C24" i="272"/>
  <c r="J24" i="272"/>
  <c r="F24" i="272"/>
  <c r="H24" i="272"/>
  <c r="G24" i="272"/>
  <c r="E24" i="272"/>
  <c r="D24" i="272"/>
  <c r="H61" i="134"/>
  <c r="Y22" i="272"/>
  <c r="D61" i="134"/>
  <c r="C61" i="134"/>
  <c r="I61" i="134"/>
  <c r="M41" i="134"/>
  <c r="L35" i="93"/>
  <c r="E61" i="134"/>
  <c r="B61" i="134"/>
  <c r="J21" i="134"/>
  <c r="AA61" i="147"/>
  <c r="AA23" i="147"/>
  <c r="B10" i="133"/>
  <c r="L61" i="134" l="1"/>
  <c r="J21" i="128" l="1"/>
  <c r="K21" i="128"/>
  <c r="A42" i="125"/>
  <c r="B42" i="125"/>
  <c r="C42" i="125"/>
  <c r="D42" i="125"/>
  <c r="F42" i="125"/>
  <c r="G42" i="125"/>
  <c r="H42" i="125"/>
  <c r="A25" i="125"/>
  <c r="A21" i="128" s="1"/>
  <c r="A45" i="139"/>
  <c r="B22" i="139"/>
  <c r="C22" i="139"/>
  <c r="D22" i="139"/>
  <c r="G22" i="139"/>
  <c r="H22" i="139"/>
  <c r="I22" i="139"/>
  <c r="A22" i="139"/>
  <c r="A41" i="25"/>
  <c r="B41" i="25"/>
  <c r="C22" i="238" s="1"/>
  <c r="C41" i="25"/>
  <c r="D41" i="25"/>
  <c r="G22" i="238" s="1"/>
  <c r="F41" i="25"/>
  <c r="G41" i="25"/>
  <c r="H41" i="25"/>
  <c r="J41" i="25"/>
  <c r="K41" i="25"/>
  <c r="L41" i="25"/>
  <c r="N41" i="25"/>
  <c r="O41" i="25"/>
  <c r="P41" i="25"/>
  <c r="B23" i="25"/>
  <c r="B22" i="238" s="1"/>
  <c r="C23" i="25"/>
  <c r="D23" i="25"/>
  <c r="E22" i="238" s="1"/>
  <c r="F23" i="25"/>
  <c r="G23" i="25"/>
  <c r="H23" i="25"/>
  <c r="J23" i="25"/>
  <c r="K23" i="25"/>
  <c r="L23" i="25"/>
  <c r="N23" i="25"/>
  <c r="O23" i="25"/>
  <c r="P23" i="25"/>
  <c r="A23" i="25"/>
  <c r="A22" i="238" s="1"/>
  <c r="F22" i="238" l="1"/>
  <c r="E25" i="125"/>
  <c r="G25" i="125" s="1"/>
  <c r="E21" i="4"/>
  <c r="C21" i="128"/>
  <c r="H21" i="4"/>
  <c r="S23" i="25"/>
  <c r="T41" i="25"/>
  <c r="E42" i="125"/>
  <c r="H22" i="238"/>
  <c r="S41" i="25"/>
  <c r="J22" i="139"/>
  <c r="R41" i="25"/>
  <c r="I42" i="125"/>
  <c r="E22" i="139"/>
  <c r="L21" i="128"/>
  <c r="G21" i="128"/>
  <c r="F21" i="128"/>
  <c r="B21" i="128"/>
  <c r="R23" i="25"/>
  <c r="T23" i="25"/>
  <c r="B52" i="332"/>
  <c r="C52" i="332"/>
  <c r="D52" i="332"/>
  <c r="E52" i="332"/>
  <c r="F52" i="332"/>
  <c r="G52" i="332"/>
  <c r="H52" i="332"/>
  <c r="I52" i="332"/>
  <c r="J52" i="332"/>
  <c r="K52" i="332"/>
  <c r="L52" i="332"/>
  <c r="M52" i="332"/>
  <c r="B36" i="332"/>
  <c r="C36" i="332"/>
  <c r="D36" i="332"/>
  <c r="E36" i="332"/>
  <c r="F36" i="332"/>
  <c r="G36" i="332"/>
  <c r="H36" i="332"/>
  <c r="I36" i="332"/>
  <c r="J36" i="332"/>
  <c r="K36" i="332"/>
  <c r="B21" i="332"/>
  <c r="C21" i="332"/>
  <c r="D21" i="332"/>
  <c r="E21" i="332"/>
  <c r="F21" i="332"/>
  <c r="G21" i="332"/>
  <c r="H21" i="332"/>
  <c r="I21" i="332"/>
  <c r="A36" i="332"/>
  <c r="A52" i="332" s="1"/>
  <c r="B74" i="146"/>
  <c r="C74" i="146"/>
  <c r="D74" i="146"/>
  <c r="E74" i="146"/>
  <c r="F74" i="146"/>
  <c r="G74" i="146"/>
  <c r="H74" i="146"/>
  <c r="I74" i="146"/>
  <c r="J74" i="146"/>
  <c r="K74" i="146"/>
  <c r="L74" i="146"/>
  <c r="M74" i="146"/>
  <c r="N74" i="146"/>
  <c r="O74" i="146"/>
  <c r="P74" i="146"/>
  <c r="Q74" i="146"/>
  <c r="R74" i="146"/>
  <c r="S74" i="146"/>
  <c r="T74" i="146"/>
  <c r="U74" i="146"/>
  <c r="V74" i="146"/>
  <c r="W74" i="146"/>
  <c r="X74" i="146"/>
  <c r="Y74" i="146"/>
  <c r="A74" i="146"/>
  <c r="B57" i="146"/>
  <c r="C57" i="146"/>
  <c r="D57" i="146"/>
  <c r="E57" i="146"/>
  <c r="F57" i="146"/>
  <c r="G57" i="146"/>
  <c r="H57" i="146"/>
  <c r="I57" i="146"/>
  <c r="J57" i="146"/>
  <c r="K57" i="146"/>
  <c r="L57" i="146"/>
  <c r="M57" i="146"/>
  <c r="N57" i="146"/>
  <c r="O57" i="146"/>
  <c r="P57" i="146"/>
  <c r="Q57" i="146"/>
  <c r="R57" i="146"/>
  <c r="S57" i="146"/>
  <c r="T57" i="146"/>
  <c r="U57" i="146"/>
  <c r="V57" i="146"/>
  <c r="W57" i="146"/>
  <c r="X57" i="146"/>
  <c r="Y57" i="146"/>
  <c r="A57" i="146"/>
  <c r="B40" i="146"/>
  <c r="C40" i="146"/>
  <c r="D40" i="146"/>
  <c r="E40" i="146"/>
  <c r="F40" i="146"/>
  <c r="G40" i="146"/>
  <c r="H40" i="146"/>
  <c r="I40" i="146"/>
  <c r="J40" i="146"/>
  <c r="K40" i="146"/>
  <c r="L40" i="146"/>
  <c r="M40" i="146"/>
  <c r="N40" i="146"/>
  <c r="O40" i="146"/>
  <c r="P40" i="146"/>
  <c r="Q40" i="146"/>
  <c r="R40" i="146"/>
  <c r="S40" i="146"/>
  <c r="T40" i="146"/>
  <c r="U40" i="146"/>
  <c r="V40" i="146"/>
  <c r="W40" i="146"/>
  <c r="X40" i="146"/>
  <c r="Y40" i="146"/>
  <c r="A40" i="146"/>
  <c r="B23" i="146"/>
  <c r="C23" i="146"/>
  <c r="D23" i="146"/>
  <c r="E23" i="146"/>
  <c r="F23" i="146"/>
  <c r="G23" i="146"/>
  <c r="H23" i="146"/>
  <c r="I23" i="146"/>
  <c r="J23" i="146"/>
  <c r="K23" i="146"/>
  <c r="L23" i="146"/>
  <c r="M23" i="146"/>
  <c r="N23" i="146"/>
  <c r="O23" i="146"/>
  <c r="P23" i="146"/>
  <c r="Q23" i="146"/>
  <c r="R23" i="146"/>
  <c r="S23" i="146"/>
  <c r="T23" i="146"/>
  <c r="U23" i="146"/>
  <c r="V23" i="146"/>
  <c r="W23" i="146"/>
  <c r="X23" i="146"/>
  <c r="Y23" i="146"/>
  <c r="A23" i="146"/>
  <c r="D21" i="128" l="1"/>
  <c r="K20" i="123"/>
  <c r="H21" i="128"/>
  <c r="AA74" i="146"/>
  <c r="J42" i="125"/>
  <c r="J21" i="332"/>
  <c r="Y79" i="147"/>
  <c r="Y43" i="147"/>
  <c r="X79" i="147"/>
  <c r="X43" i="147"/>
  <c r="I79" i="147"/>
  <c r="I43" i="147"/>
  <c r="H43" i="147"/>
  <c r="H79" i="147"/>
  <c r="W79" i="147"/>
  <c r="W43" i="147"/>
  <c r="V43" i="147"/>
  <c r="V79" i="147"/>
  <c r="N43" i="147"/>
  <c r="N79" i="147"/>
  <c r="F79" i="147"/>
  <c r="F43" i="147"/>
  <c r="AA57" i="146"/>
  <c r="U79" i="147"/>
  <c r="U43" i="147"/>
  <c r="M43" i="147"/>
  <c r="M79" i="147"/>
  <c r="E43" i="147"/>
  <c r="E79" i="147"/>
  <c r="Q79" i="147"/>
  <c r="Q43" i="147"/>
  <c r="T43" i="147"/>
  <c r="T79" i="147"/>
  <c r="L79" i="147"/>
  <c r="L43" i="147"/>
  <c r="D79" i="147"/>
  <c r="D43" i="147"/>
  <c r="AA23" i="146"/>
  <c r="G79" i="147"/>
  <c r="G43" i="147"/>
  <c r="S79" i="147"/>
  <c r="S43" i="147"/>
  <c r="K43" i="147"/>
  <c r="K79" i="147"/>
  <c r="C79" i="147"/>
  <c r="C43" i="147"/>
  <c r="P43" i="147"/>
  <c r="P79" i="147"/>
  <c r="O79" i="147"/>
  <c r="O43" i="147"/>
  <c r="R79" i="147"/>
  <c r="R43" i="147"/>
  <c r="J79" i="147"/>
  <c r="J43" i="147"/>
  <c r="B79" i="147"/>
  <c r="B43" i="147"/>
  <c r="L36" i="332"/>
  <c r="N52" i="332"/>
  <c r="AA40" i="146"/>
  <c r="AA43" i="147" l="1"/>
  <c r="AA79" i="147"/>
  <c r="N41" i="97" l="1"/>
  <c r="A38" i="122"/>
  <c r="A54" i="122" s="1"/>
  <c r="A23" i="5" l="1"/>
  <c r="T23" i="8"/>
  <c r="T24" i="8" s="1"/>
  <c r="L23" i="8"/>
  <c r="L24" i="8" s="1"/>
  <c r="D23" i="8"/>
  <c r="D24" i="8" s="1"/>
  <c r="G20" i="120"/>
  <c r="B24" i="5"/>
  <c r="B25" i="5" s="1"/>
  <c r="S23" i="8"/>
  <c r="S24" i="8" s="1"/>
  <c r="K23" i="8"/>
  <c r="K24" i="8" s="1"/>
  <c r="Q23" i="8"/>
  <c r="Q24" i="8" s="1"/>
  <c r="I23" i="8"/>
  <c r="I24" i="8" s="1"/>
  <c r="U23" i="8"/>
  <c r="U24" i="8" s="1"/>
  <c r="M23" i="8"/>
  <c r="M24" i="8" s="1"/>
  <c r="E23" i="8"/>
  <c r="E24" i="8" s="1"/>
  <c r="H20" i="120"/>
  <c r="H21" i="5"/>
  <c r="N23" i="8"/>
  <c r="N24" i="8" s="1"/>
  <c r="F23" i="8"/>
  <c r="F24" i="8" s="1"/>
  <c r="C23" i="8"/>
  <c r="C24" i="8" s="1"/>
  <c r="B23" i="8"/>
  <c r="B24" i="8" s="1"/>
  <c r="R23" i="8"/>
  <c r="R24" i="8" s="1"/>
  <c r="J23" i="8"/>
  <c r="J24" i="8" s="1"/>
  <c r="J21" i="5"/>
  <c r="P23" i="8"/>
  <c r="P24" i="8" s="1"/>
  <c r="H23" i="8"/>
  <c r="H24" i="8" s="1"/>
  <c r="O23" i="8"/>
  <c r="O24" i="8" s="1"/>
  <c r="G23" i="8"/>
  <c r="G24" i="8" s="1"/>
  <c r="I21" i="5"/>
  <c r="A22" i="8"/>
  <c r="V20" i="8"/>
  <c r="P41" i="97" s="1"/>
  <c r="D56" i="166" s="1"/>
  <c r="F24" i="5"/>
  <c r="F25" i="5" s="1"/>
  <c r="E24" i="5"/>
  <c r="E25" i="5" s="1"/>
  <c r="D24" i="5"/>
  <c r="D25" i="5" s="1"/>
  <c r="L41" i="97"/>
  <c r="K41" i="97"/>
  <c r="J41" i="97"/>
  <c r="J36" i="290"/>
  <c r="K36" i="290"/>
  <c r="L36" i="290"/>
  <c r="M36" i="290"/>
  <c r="N36" i="290"/>
  <c r="O36" i="290"/>
  <c r="B36" i="290"/>
  <c r="C36" i="290"/>
  <c r="D36" i="290"/>
  <c r="E36" i="290"/>
  <c r="F36" i="290"/>
  <c r="G36" i="290"/>
  <c r="J20" i="290"/>
  <c r="K20" i="290"/>
  <c r="L20" i="290"/>
  <c r="M20" i="290"/>
  <c r="N20" i="290"/>
  <c r="O20" i="290"/>
  <c r="A20" i="290"/>
  <c r="A36" i="290" s="1"/>
  <c r="B20" i="290"/>
  <c r="C20" i="290"/>
  <c r="D20" i="290"/>
  <c r="E20" i="290"/>
  <c r="F20" i="290"/>
  <c r="G20" i="290"/>
  <c r="B59" i="289"/>
  <c r="C59" i="289"/>
  <c r="D59" i="289"/>
  <c r="E59" i="289"/>
  <c r="F59" i="289"/>
  <c r="G59" i="289"/>
  <c r="H59" i="289"/>
  <c r="I59" i="289"/>
  <c r="K47" i="289"/>
  <c r="L47" i="289"/>
  <c r="M47" i="289"/>
  <c r="N47" i="289"/>
  <c r="O47" i="289"/>
  <c r="P47" i="289"/>
  <c r="R47" i="289"/>
  <c r="B47" i="289"/>
  <c r="C47" i="289"/>
  <c r="D47" i="289"/>
  <c r="E47" i="289"/>
  <c r="F47" i="289"/>
  <c r="G47" i="289"/>
  <c r="I47" i="289"/>
  <c r="K35" i="289"/>
  <c r="L35" i="289"/>
  <c r="M35" i="289"/>
  <c r="N35" i="289"/>
  <c r="O35" i="289"/>
  <c r="P35" i="289"/>
  <c r="R35" i="289"/>
  <c r="P36" i="290" s="1"/>
  <c r="B35" i="289"/>
  <c r="C35" i="289"/>
  <c r="D35" i="289"/>
  <c r="E35" i="289"/>
  <c r="F35" i="289"/>
  <c r="G35" i="289"/>
  <c r="H35" i="289"/>
  <c r="K20" i="289"/>
  <c r="L20" i="289"/>
  <c r="M20" i="289"/>
  <c r="N20" i="289"/>
  <c r="O20" i="289"/>
  <c r="P20" i="289"/>
  <c r="A20" i="289"/>
  <c r="A35" i="289" s="1"/>
  <c r="A47" i="289" s="1"/>
  <c r="A59" i="289" s="1"/>
  <c r="B20" i="289"/>
  <c r="C20" i="289"/>
  <c r="D20" i="289"/>
  <c r="E20" i="289"/>
  <c r="F20" i="289"/>
  <c r="G20" i="289"/>
  <c r="I20" i="289"/>
  <c r="H20" i="290" s="1"/>
  <c r="B79" i="282"/>
  <c r="C79" i="282"/>
  <c r="D79" i="282"/>
  <c r="E79" i="282"/>
  <c r="F79" i="282"/>
  <c r="G79" i="282"/>
  <c r="H79" i="282"/>
  <c r="B67" i="282"/>
  <c r="C67" i="282"/>
  <c r="D67" i="282"/>
  <c r="E67" i="282"/>
  <c r="F67" i="282"/>
  <c r="G67" i="282"/>
  <c r="H67" i="282"/>
  <c r="B55" i="282"/>
  <c r="C55" i="282"/>
  <c r="D55" i="282"/>
  <c r="E55" i="282"/>
  <c r="F55" i="282"/>
  <c r="G55" i="282"/>
  <c r="H55" i="282"/>
  <c r="B43" i="282"/>
  <c r="C43" i="282"/>
  <c r="D43" i="282"/>
  <c r="E43" i="282"/>
  <c r="F43" i="282"/>
  <c r="G43" i="282"/>
  <c r="H43" i="282"/>
  <c r="B31" i="282"/>
  <c r="C31" i="282"/>
  <c r="D31" i="282"/>
  <c r="E31" i="282"/>
  <c r="F31" i="282"/>
  <c r="G31" i="282"/>
  <c r="H31" i="282"/>
  <c r="K19" i="282"/>
  <c r="L19" i="282"/>
  <c r="M19" i="282"/>
  <c r="N19" i="282"/>
  <c r="O19" i="282"/>
  <c r="P19" i="282"/>
  <c r="Q19" i="282"/>
  <c r="A19" i="282"/>
  <c r="A31" i="282" s="1"/>
  <c r="A43" i="282" s="1"/>
  <c r="A55" i="282" s="1"/>
  <c r="A67" i="282" s="1"/>
  <c r="A79" i="282" s="1"/>
  <c r="B19" i="282"/>
  <c r="C19" i="282"/>
  <c r="D19" i="282"/>
  <c r="E19" i="282"/>
  <c r="F19" i="282"/>
  <c r="G19" i="282"/>
  <c r="H19" i="282"/>
  <c r="B79" i="281"/>
  <c r="C79" i="281"/>
  <c r="D79" i="281"/>
  <c r="E79" i="281"/>
  <c r="F79" i="281"/>
  <c r="G79" i="281"/>
  <c r="H79" i="281"/>
  <c r="I79" i="281"/>
  <c r="B67" i="281"/>
  <c r="C67" i="281"/>
  <c r="D67" i="281"/>
  <c r="E67" i="281"/>
  <c r="F67" i="281"/>
  <c r="G67" i="281"/>
  <c r="H67" i="281"/>
  <c r="I67" i="281"/>
  <c r="B55" i="281"/>
  <c r="C55" i="281"/>
  <c r="D55" i="281"/>
  <c r="E55" i="281"/>
  <c r="F55" i="281"/>
  <c r="G55" i="281"/>
  <c r="H55" i="281"/>
  <c r="I55" i="281"/>
  <c r="B43" i="281"/>
  <c r="C43" i="281"/>
  <c r="D43" i="281"/>
  <c r="E43" i="281"/>
  <c r="F43" i="281"/>
  <c r="G43" i="281"/>
  <c r="H43" i="281"/>
  <c r="I43" i="281"/>
  <c r="B31" i="281"/>
  <c r="C31" i="281"/>
  <c r="D31" i="281"/>
  <c r="E31" i="281"/>
  <c r="F31" i="281"/>
  <c r="G31" i="281"/>
  <c r="H31" i="281"/>
  <c r="I31" i="281"/>
  <c r="B19" i="281"/>
  <c r="C19" i="281"/>
  <c r="D19" i="281"/>
  <c r="E19" i="281"/>
  <c r="F19" i="281"/>
  <c r="G19" i="281"/>
  <c r="H19" i="281"/>
  <c r="I19" i="281"/>
  <c r="A19" i="281"/>
  <c r="A31" i="281" s="1"/>
  <c r="A43" i="281" s="1"/>
  <c r="A55" i="281" s="1"/>
  <c r="A67" i="281" s="1"/>
  <c r="A79" i="281" s="1"/>
  <c r="I39" i="291"/>
  <c r="J39" i="291"/>
  <c r="K39" i="291"/>
  <c r="L39" i="291"/>
  <c r="M39" i="291"/>
  <c r="B39" i="291"/>
  <c r="C39" i="291"/>
  <c r="D39" i="291"/>
  <c r="E39" i="291"/>
  <c r="F39" i="291"/>
  <c r="G39" i="291"/>
  <c r="P20" i="291"/>
  <c r="Q20" i="291"/>
  <c r="R20" i="291"/>
  <c r="S20" i="291"/>
  <c r="T20" i="291"/>
  <c r="U20" i="291"/>
  <c r="I20" i="291"/>
  <c r="J20" i="291"/>
  <c r="K20" i="291"/>
  <c r="L20" i="291"/>
  <c r="M20" i="291"/>
  <c r="B20" i="291"/>
  <c r="C20" i="291"/>
  <c r="D20" i="291"/>
  <c r="E20" i="291"/>
  <c r="F20" i="291"/>
  <c r="A20" i="291"/>
  <c r="A39" i="291" s="1"/>
  <c r="B61" i="286"/>
  <c r="C61" i="286"/>
  <c r="D61" i="286"/>
  <c r="E61" i="286"/>
  <c r="F61" i="286"/>
  <c r="G61" i="286"/>
  <c r="J49" i="286"/>
  <c r="K49" i="286"/>
  <c r="L49" i="286"/>
  <c r="M49" i="286"/>
  <c r="N49" i="286"/>
  <c r="P49" i="286"/>
  <c r="B49" i="286"/>
  <c r="C49" i="286"/>
  <c r="D49" i="286"/>
  <c r="E49" i="286"/>
  <c r="F49" i="286"/>
  <c r="H49" i="286"/>
  <c r="J37" i="286"/>
  <c r="K37" i="286"/>
  <c r="L37" i="286"/>
  <c r="M37" i="286"/>
  <c r="N37" i="286"/>
  <c r="P37" i="286"/>
  <c r="B37" i="286"/>
  <c r="C37" i="286"/>
  <c r="D37" i="286"/>
  <c r="E37" i="286"/>
  <c r="F37" i="286"/>
  <c r="G37" i="286"/>
  <c r="J20" i="286"/>
  <c r="K20" i="286"/>
  <c r="L20" i="286"/>
  <c r="M20" i="286"/>
  <c r="N20" i="286"/>
  <c r="P20" i="286"/>
  <c r="N20" i="291" s="1"/>
  <c r="B20" i="286"/>
  <c r="C20" i="286"/>
  <c r="D20" i="286"/>
  <c r="E20" i="286"/>
  <c r="F20" i="286"/>
  <c r="H20" i="286"/>
  <c r="A20" i="286"/>
  <c r="A37" i="286" s="1"/>
  <c r="A49" i="286" s="1"/>
  <c r="A61" i="286" s="1"/>
  <c r="I19" i="280"/>
  <c r="J19" i="280"/>
  <c r="K19" i="280"/>
  <c r="L19" i="280"/>
  <c r="M19" i="280"/>
  <c r="N19" i="280"/>
  <c r="B43" i="280"/>
  <c r="C43" i="280"/>
  <c r="D43" i="280"/>
  <c r="E43" i="280"/>
  <c r="F43" i="280"/>
  <c r="G43" i="280"/>
  <c r="B31" i="280"/>
  <c r="C31" i="280"/>
  <c r="D31" i="280"/>
  <c r="E31" i="280"/>
  <c r="F31" i="280"/>
  <c r="G31" i="280"/>
  <c r="B19" i="280"/>
  <c r="C19" i="280"/>
  <c r="D19" i="280"/>
  <c r="E19" i="280"/>
  <c r="F19" i="280"/>
  <c r="G19" i="280"/>
  <c r="A19" i="280"/>
  <c r="A31" i="280" s="1"/>
  <c r="A43" i="280" s="1"/>
  <c r="B79" i="279"/>
  <c r="C79" i="279"/>
  <c r="D79" i="279"/>
  <c r="E79" i="279"/>
  <c r="F79" i="279"/>
  <c r="G79" i="279"/>
  <c r="B67" i="279"/>
  <c r="C67" i="279"/>
  <c r="D67" i="279"/>
  <c r="E67" i="279"/>
  <c r="F67" i="279"/>
  <c r="G67" i="279"/>
  <c r="B55" i="279"/>
  <c r="C55" i="279"/>
  <c r="D55" i="279"/>
  <c r="E55" i="279"/>
  <c r="F55" i="279"/>
  <c r="G55" i="279"/>
  <c r="B43" i="279"/>
  <c r="C43" i="279"/>
  <c r="D43" i="279"/>
  <c r="E43" i="279"/>
  <c r="F43" i="279"/>
  <c r="G43" i="279"/>
  <c r="B31" i="279"/>
  <c r="C31" i="279"/>
  <c r="D31" i="279"/>
  <c r="E31" i="279"/>
  <c r="F31" i="279"/>
  <c r="G31" i="279"/>
  <c r="B19" i="279"/>
  <c r="C19" i="279"/>
  <c r="E19" i="279"/>
  <c r="F19" i="279"/>
  <c r="G19" i="279"/>
  <c r="A19" i="279"/>
  <c r="A31" i="279" s="1"/>
  <c r="A43" i="279" s="1"/>
  <c r="A55" i="279" s="1"/>
  <c r="A67" i="279" s="1"/>
  <c r="A79" i="279" s="1"/>
  <c r="E56" i="166" l="1"/>
  <c r="G20" i="291"/>
  <c r="G49" i="286"/>
  <c r="O49" i="286"/>
  <c r="Q47" i="289"/>
  <c r="O37" i="286"/>
  <c r="G20" i="286"/>
  <c r="H47" i="289"/>
  <c r="Q20" i="289"/>
  <c r="H79" i="279"/>
  <c r="H37" i="286"/>
  <c r="N39" i="291"/>
  <c r="O20" i="286"/>
  <c r="P20" i="290"/>
  <c r="H61" i="286"/>
  <c r="H20" i="289"/>
  <c r="I35" i="289"/>
  <c r="H36" i="290" s="1"/>
  <c r="Q35" i="289"/>
  <c r="M41" i="97"/>
  <c r="H67" i="279"/>
  <c r="H31" i="279"/>
  <c r="H19" i="279"/>
  <c r="H55" i="279"/>
  <c r="H43" i="279"/>
  <c r="K40" i="272"/>
  <c r="J40" i="272"/>
  <c r="I40" i="272"/>
  <c r="H40" i="272"/>
  <c r="F40" i="272"/>
  <c r="G40" i="272"/>
  <c r="E40" i="272"/>
  <c r="B40" i="272"/>
  <c r="C40" i="272"/>
  <c r="D40" i="272"/>
  <c r="B22" i="272"/>
  <c r="C22" i="272"/>
  <c r="D22" i="272"/>
  <c r="E22" i="272"/>
  <c r="F22" i="272"/>
  <c r="G22" i="272"/>
  <c r="H22" i="272"/>
  <c r="I22" i="272"/>
  <c r="J22" i="272"/>
  <c r="K22" i="272"/>
  <c r="A22" i="272"/>
  <c r="A40" i="272" s="1"/>
  <c r="N39" i="271"/>
  <c r="B24" i="272" l="1"/>
  <c r="O41" i="97"/>
  <c r="L56" i="166"/>
  <c r="D42" i="272"/>
  <c r="G42" i="272"/>
  <c r="C42" i="272"/>
  <c r="F42" i="272"/>
  <c r="E42" i="272"/>
  <c r="I42" i="272"/>
  <c r="K42" i="272"/>
  <c r="B42" i="272"/>
  <c r="H42" i="272"/>
  <c r="J42" i="272"/>
  <c r="M39" i="271"/>
  <c r="L22" i="272"/>
  <c r="N22" i="271"/>
  <c r="M56" i="166" l="1"/>
  <c r="O39" i="271"/>
  <c r="L40" i="272"/>
  <c r="O22" i="271"/>
  <c r="L40" i="232"/>
  <c r="M40" i="232"/>
  <c r="N40" i="232"/>
  <c r="O40" i="232"/>
  <c r="M39" i="232"/>
  <c r="N39" i="232"/>
  <c r="O39" i="232"/>
  <c r="L39" i="232"/>
  <c r="N21" i="182"/>
  <c r="O21" i="182"/>
  <c r="P21" i="182"/>
  <c r="Q21" i="182"/>
  <c r="H21" i="182"/>
  <c r="I21" i="182"/>
  <c r="J21" i="182"/>
  <c r="K21" i="182"/>
  <c r="B21" i="182"/>
  <c r="C21" i="182"/>
  <c r="D21" i="182"/>
  <c r="E21" i="182"/>
  <c r="B20" i="182"/>
  <c r="A47" i="182"/>
  <c r="A63" i="127"/>
  <c r="D40" i="232"/>
  <c r="E40" i="232"/>
  <c r="F40" i="232" l="1"/>
  <c r="D67" i="14"/>
  <c r="R21" i="182"/>
  <c r="F21" i="127"/>
  <c r="G40" i="232" s="1"/>
  <c r="L21" i="182"/>
  <c r="C40" i="232"/>
  <c r="M31" i="10"/>
  <c r="Q40" i="232" s="1"/>
  <c r="M57" i="10"/>
  <c r="K40" i="232" s="1"/>
  <c r="F42" i="127"/>
  <c r="F21" i="182"/>
  <c r="P40" i="232" l="1"/>
  <c r="E21" i="134"/>
  <c r="D48" i="14"/>
  <c r="S40" i="232"/>
  <c r="E67" i="14"/>
  <c r="H40" i="232"/>
  <c r="R40" i="232" s="1"/>
  <c r="B21" i="134"/>
  <c r="E48" i="14" l="1"/>
  <c r="D29" i="14"/>
  <c r="J40" i="232"/>
  <c r="B37" i="27"/>
  <c r="C37" i="27"/>
  <c r="D37" i="27"/>
  <c r="E37" i="27"/>
  <c r="F37" i="27"/>
  <c r="G37" i="27"/>
  <c r="H37" i="27"/>
  <c r="I37" i="27"/>
  <c r="J37" i="27"/>
  <c r="A37" i="27"/>
  <c r="B21" i="27"/>
  <c r="C21" i="27"/>
  <c r="D21" i="27"/>
  <c r="E21" i="27"/>
  <c r="F21" i="27"/>
  <c r="G21" i="27"/>
  <c r="H21" i="27"/>
  <c r="I21" i="27"/>
  <c r="J21" i="27"/>
  <c r="A21" i="27"/>
  <c r="E29" i="14" l="1"/>
  <c r="K37" i="27"/>
  <c r="K21" i="27"/>
  <c r="L37" i="27"/>
  <c r="L21" i="27"/>
  <c r="B22" i="261"/>
  <c r="C22" i="261"/>
  <c r="D22" i="261"/>
  <c r="E22" i="261"/>
  <c r="F22" i="261"/>
  <c r="G22" i="261"/>
  <c r="H22" i="261"/>
  <c r="I22" i="261"/>
  <c r="J22" i="261"/>
  <c r="K22" i="261"/>
  <c r="L22" i="261"/>
  <c r="M22" i="261"/>
  <c r="N22" i="261"/>
  <c r="O22" i="261"/>
  <c r="P22" i="261"/>
  <c r="A22" i="261"/>
  <c r="A42" i="261" s="1"/>
  <c r="M10" i="142"/>
  <c r="O10" i="142" s="1"/>
  <c r="M11" i="142"/>
  <c r="M14" i="142"/>
  <c r="M15" i="142"/>
  <c r="M16" i="142"/>
  <c r="M17" i="142"/>
  <c r="M23" i="142"/>
  <c r="M24" i="142"/>
  <c r="M26" i="142"/>
  <c r="M27" i="142"/>
  <c r="M28" i="142"/>
  <c r="M27" i="145"/>
  <c r="B53" i="135"/>
  <c r="C53" i="135"/>
  <c r="D53" i="135"/>
  <c r="E53" i="135"/>
  <c r="F53" i="135"/>
  <c r="B37" i="135"/>
  <c r="C37" i="135"/>
  <c r="D37" i="135"/>
  <c r="E37" i="135"/>
  <c r="F37" i="135"/>
  <c r="B21" i="135"/>
  <c r="C21" i="135"/>
  <c r="D21" i="135"/>
  <c r="E21" i="135"/>
  <c r="F21" i="135"/>
  <c r="A21" i="135"/>
  <c r="I21" i="135" s="1"/>
  <c r="B37" i="292"/>
  <c r="C37" i="292"/>
  <c r="D37" i="292"/>
  <c r="E37" i="292"/>
  <c r="F37" i="292"/>
  <c r="A37" i="292"/>
  <c r="B21" i="292"/>
  <c r="C21" i="292"/>
  <c r="D21" i="292"/>
  <c r="E21" i="292"/>
  <c r="F21" i="292"/>
  <c r="A21" i="292"/>
  <c r="B37" i="138"/>
  <c r="C37" i="138"/>
  <c r="D37" i="138"/>
  <c r="E37" i="138"/>
  <c r="F37" i="138"/>
  <c r="G37" i="138"/>
  <c r="G37" i="292" s="1"/>
  <c r="A37" i="138"/>
  <c r="B21" i="138"/>
  <c r="C21" i="138"/>
  <c r="D21" i="138"/>
  <c r="E21" i="138"/>
  <c r="F21" i="138"/>
  <c r="G21" i="138"/>
  <c r="A21" i="138"/>
  <c r="I41" i="97"/>
  <c r="H41" i="97"/>
  <c r="L57" i="240" s="1"/>
  <c r="G41" i="97"/>
  <c r="D57" i="240" s="1"/>
  <c r="A41" i="97"/>
  <c r="B40" i="232"/>
  <c r="B42" i="261" l="1"/>
  <c r="M22" i="12"/>
  <c r="E57" i="240"/>
  <c r="Q41" i="97"/>
  <c r="D29" i="166" s="1"/>
  <c r="L29" i="166"/>
  <c r="M57" i="240"/>
  <c r="A27" i="181"/>
  <c r="A23" i="181"/>
  <c r="M63" i="329"/>
  <c r="M64" i="329" s="1"/>
  <c r="E63" i="329"/>
  <c r="E64" i="329" s="1"/>
  <c r="L63" i="329"/>
  <c r="L64" i="329" s="1"/>
  <c r="D63" i="329"/>
  <c r="D64" i="329" s="1"/>
  <c r="H21" i="138"/>
  <c r="K21" i="138" s="1"/>
  <c r="F42" i="261"/>
  <c r="F19" i="181"/>
  <c r="G53" i="135"/>
  <c r="M53" i="135" s="1"/>
  <c r="G42" i="261"/>
  <c r="C42" i="261"/>
  <c r="E42" i="261"/>
  <c r="D42" i="261"/>
  <c r="H37" i="292"/>
  <c r="N37" i="292" s="1"/>
  <c r="H37" i="138"/>
  <c r="O37" i="138" s="1"/>
  <c r="G21" i="292"/>
  <c r="H21" i="292" s="1"/>
  <c r="D45" i="139"/>
  <c r="I45" i="139"/>
  <c r="H42" i="261"/>
  <c r="A53" i="135"/>
  <c r="I53" i="135" s="1"/>
  <c r="H45" i="139"/>
  <c r="C45" i="139"/>
  <c r="B45" i="139"/>
  <c r="G45" i="139"/>
  <c r="H63" i="329"/>
  <c r="H64" i="329" s="1"/>
  <c r="I63" i="329"/>
  <c r="I64" i="329" s="1"/>
  <c r="G63" i="329"/>
  <c r="G64" i="329" s="1"/>
  <c r="M25" i="142"/>
  <c r="C41" i="97"/>
  <c r="I47" i="182"/>
  <c r="O47" i="182"/>
  <c r="C47" i="182"/>
  <c r="D24" i="329"/>
  <c r="D25" i="329" s="1"/>
  <c r="F24" i="329"/>
  <c r="F25" i="329" s="1"/>
  <c r="H24" i="329"/>
  <c r="H25" i="329" s="1"/>
  <c r="D44" i="329"/>
  <c r="D45" i="329" s="1"/>
  <c r="H44" i="329"/>
  <c r="H45" i="329" s="1"/>
  <c r="J44" i="329"/>
  <c r="J45" i="329" s="1"/>
  <c r="F63" i="329"/>
  <c r="F64" i="329" s="1"/>
  <c r="K39" i="12"/>
  <c r="B41" i="97"/>
  <c r="L29" i="240" s="1"/>
  <c r="H47" i="182"/>
  <c r="N47" i="182"/>
  <c r="B47" i="182"/>
  <c r="D63" i="127"/>
  <c r="C63" i="127"/>
  <c r="E63" i="127"/>
  <c r="B63" i="127"/>
  <c r="F63" i="127"/>
  <c r="K63" i="329"/>
  <c r="K64" i="329" s="1"/>
  <c r="C44" i="329"/>
  <c r="C45" i="329" s="1"/>
  <c r="E44" i="329"/>
  <c r="E45" i="329" s="1"/>
  <c r="G44" i="329"/>
  <c r="G45" i="329" s="1"/>
  <c r="I44" i="329"/>
  <c r="I45" i="329" s="1"/>
  <c r="K44" i="329"/>
  <c r="K45" i="329" s="1"/>
  <c r="J63" i="329"/>
  <c r="J64" i="329" s="1"/>
  <c r="L22" i="12"/>
  <c r="D41" i="97"/>
  <c r="P47" i="182"/>
  <c r="J47" i="182"/>
  <c r="D47" i="182"/>
  <c r="E41" i="97"/>
  <c r="Q47" i="182"/>
  <c r="E47" i="182"/>
  <c r="K47" i="182"/>
  <c r="C63" i="329"/>
  <c r="C64" i="329" s="1"/>
  <c r="M12" i="142"/>
  <c r="D23" i="145"/>
  <c r="F23" i="145"/>
  <c r="H23" i="145"/>
  <c r="J23" i="145"/>
  <c r="L23" i="145"/>
  <c r="M18" i="142"/>
  <c r="M19" i="142"/>
  <c r="F44" i="329"/>
  <c r="F45" i="329" s="1"/>
  <c r="M21" i="142"/>
  <c r="M13" i="142"/>
  <c r="B63" i="329"/>
  <c r="B64" i="329" s="1"/>
  <c r="M22" i="142"/>
  <c r="M20" i="142"/>
  <c r="C24" i="329"/>
  <c r="C25" i="329" s="1"/>
  <c r="E24" i="329"/>
  <c r="E25" i="329" s="1"/>
  <c r="G24" i="329"/>
  <c r="G25" i="329" s="1"/>
  <c r="I24" i="329"/>
  <c r="I25" i="329" s="1"/>
  <c r="C23" i="145"/>
  <c r="E23" i="145"/>
  <c r="G23" i="145"/>
  <c r="I23" i="145"/>
  <c r="K23" i="145"/>
  <c r="L39" i="12"/>
  <c r="F20" i="181"/>
  <c r="I24" i="181"/>
  <c r="I25" i="181" s="1"/>
  <c r="I28" i="181"/>
  <c r="I29" i="181" s="1"/>
  <c r="A40" i="232"/>
  <c r="M23" i="145"/>
  <c r="M35" i="145" s="1"/>
  <c r="H24" i="181"/>
  <c r="H25" i="181" s="1"/>
  <c r="H28" i="181"/>
  <c r="H29" i="181" s="1"/>
  <c r="L41" i="329"/>
  <c r="G24" i="181"/>
  <c r="G25" i="181" s="1"/>
  <c r="G28" i="181"/>
  <c r="G29" i="181" s="1"/>
  <c r="N61" i="329"/>
  <c r="E21" i="140"/>
  <c r="E24" i="181"/>
  <c r="E25" i="181" s="1"/>
  <c r="E28" i="181"/>
  <c r="E29" i="181" s="1"/>
  <c r="A23" i="329"/>
  <c r="A41" i="329"/>
  <c r="A61" i="329" s="1"/>
  <c r="D24" i="181"/>
  <c r="D25" i="181" s="1"/>
  <c r="D28" i="181"/>
  <c r="D29" i="181" s="1"/>
  <c r="B24" i="329"/>
  <c r="B25" i="329" s="1"/>
  <c r="F21" i="181"/>
  <c r="C24" i="181"/>
  <c r="C25" i="181" s="1"/>
  <c r="C28" i="181"/>
  <c r="C29" i="181" s="1"/>
  <c r="B24" i="181"/>
  <c r="B25" i="181" s="1"/>
  <c r="B28" i="181"/>
  <c r="B29" i="181" s="1"/>
  <c r="N94" i="142"/>
  <c r="G37" i="135"/>
  <c r="A37" i="135"/>
  <c r="I37" i="135" s="1"/>
  <c r="G21" i="135"/>
  <c r="M21" i="135" s="1"/>
  <c r="B44" i="329"/>
  <c r="B45" i="329" s="1"/>
  <c r="J21" i="329"/>
  <c r="J53" i="135" l="1"/>
  <c r="K53" i="135"/>
  <c r="M29" i="240"/>
  <c r="M29" i="166"/>
  <c r="E29" i="166"/>
  <c r="M21" i="138"/>
  <c r="J21" i="138"/>
  <c r="N21" i="138"/>
  <c r="O21" i="138"/>
  <c r="L21" i="138"/>
  <c r="N53" i="135"/>
  <c r="L53" i="135"/>
  <c r="K37" i="292"/>
  <c r="L37" i="292"/>
  <c r="J37" i="292"/>
  <c r="M37" i="292"/>
  <c r="L21" i="292"/>
  <c r="N21" i="292"/>
  <c r="M21" i="292"/>
  <c r="K21" i="292"/>
  <c r="J21" i="292"/>
  <c r="I21" i="140"/>
  <c r="E45" i="139"/>
  <c r="J45" i="139"/>
  <c r="M30" i="142"/>
  <c r="O30" i="142" s="1"/>
  <c r="L37" i="138"/>
  <c r="N37" i="138"/>
  <c r="K37" i="138"/>
  <c r="M37" i="138"/>
  <c r="J37" i="138"/>
  <c r="R47" i="182"/>
  <c r="L47" i="182"/>
  <c r="F47" i="182"/>
  <c r="M37" i="145"/>
  <c r="H21" i="140"/>
  <c r="M28" i="145"/>
  <c r="M29" i="145"/>
  <c r="M36" i="145"/>
  <c r="M31" i="145"/>
  <c r="F41" i="97"/>
  <c r="D29" i="240" s="1"/>
  <c r="F24" i="181"/>
  <c r="F25" i="181" s="1"/>
  <c r="M30" i="145"/>
  <c r="M39" i="145"/>
  <c r="M38" i="145"/>
  <c r="M34" i="145"/>
  <c r="G21" i="140"/>
  <c r="M32" i="145"/>
  <c r="M33" i="145"/>
  <c r="K37" i="135"/>
  <c r="M37" i="135"/>
  <c r="J37" i="135"/>
  <c r="L37" i="135"/>
  <c r="N37" i="135"/>
  <c r="K21" i="135"/>
  <c r="J21" i="135"/>
  <c r="N21" i="135"/>
  <c r="L21" i="135"/>
  <c r="O12" i="142" l="1"/>
  <c r="E29" i="240"/>
  <c r="O19" i="142"/>
  <c r="O15" i="142"/>
  <c r="O17" i="142"/>
  <c r="O11" i="142"/>
  <c r="O16" i="142"/>
  <c r="O14" i="142"/>
  <c r="O13" i="142"/>
  <c r="O24" i="142"/>
  <c r="O22" i="142"/>
  <c r="O20" i="142"/>
  <c r="O23" i="142"/>
  <c r="O28" i="142"/>
  <c r="O18" i="142"/>
  <c r="O27" i="142"/>
  <c r="O25" i="142"/>
  <c r="O21" i="142"/>
  <c r="O26" i="142"/>
  <c r="M41" i="145"/>
  <c r="B42" i="235"/>
  <c r="B41" i="263"/>
  <c r="C41" i="235"/>
  <c r="C89" i="330" l="1"/>
  <c r="D89" i="330"/>
  <c r="E89" i="330"/>
  <c r="F89" i="330"/>
  <c r="G89" i="330"/>
  <c r="H89" i="330"/>
  <c r="I89" i="330"/>
  <c r="J89" i="330"/>
  <c r="K89" i="330"/>
  <c r="L89" i="330"/>
  <c r="M89" i="330"/>
  <c r="N89" i="330"/>
  <c r="C90" i="330"/>
  <c r="D90" i="330"/>
  <c r="E90" i="330"/>
  <c r="F90" i="330"/>
  <c r="G90" i="330"/>
  <c r="H90" i="330"/>
  <c r="I90" i="330"/>
  <c r="J90" i="330"/>
  <c r="K90" i="330"/>
  <c r="L90" i="330"/>
  <c r="M90" i="330"/>
  <c r="N90" i="330"/>
  <c r="C91" i="330"/>
  <c r="D91" i="330"/>
  <c r="E91" i="330"/>
  <c r="F91" i="330"/>
  <c r="G91" i="330"/>
  <c r="H91" i="330"/>
  <c r="I91" i="330"/>
  <c r="J91" i="330"/>
  <c r="K91" i="330"/>
  <c r="L91" i="330"/>
  <c r="M91" i="330"/>
  <c r="N91" i="330"/>
  <c r="C92" i="330"/>
  <c r="D92" i="330"/>
  <c r="E92" i="330"/>
  <c r="F92" i="330"/>
  <c r="G92" i="330"/>
  <c r="H92" i="330"/>
  <c r="I92" i="330"/>
  <c r="J92" i="330"/>
  <c r="K92" i="330"/>
  <c r="L92" i="330"/>
  <c r="M92" i="330"/>
  <c r="N92" i="330"/>
  <c r="C93" i="330"/>
  <c r="D93" i="330"/>
  <c r="E93" i="330"/>
  <c r="F93" i="330"/>
  <c r="G93" i="330"/>
  <c r="H93" i="330"/>
  <c r="I93" i="330"/>
  <c r="J93" i="330"/>
  <c r="K93" i="330"/>
  <c r="L93" i="330"/>
  <c r="M93" i="330"/>
  <c r="N93" i="330"/>
  <c r="C94" i="330"/>
  <c r="D94" i="330"/>
  <c r="E94" i="330"/>
  <c r="F94" i="330"/>
  <c r="G94" i="330"/>
  <c r="H94" i="330"/>
  <c r="I94" i="330"/>
  <c r="J94" i="330"/>
  <c r="K94" i="330"/>
  <c r="L94" i="330"/>
  <c r="M94" i="330"/>
  <c r="N94" i="330"/>
  <c r="C95" i="330"/>
  <c r="D95" i="330"/>
  <c r="E95" i="330"/>
  <c r="F95" i="330"/>
  <c r="G95" i="330"/>
  <c r="H95" i="330"/>
  <c r="I95" i="330"/>
  <c r="J95" i="330"/>
  <c r="K95" i="330"/>
  <c r="L95" i="330"/>
  <c r="M95" i="330"/>
  <c r="N95" i="330"/>
  <c r="C96" i="330"/>
  <c r="D96" i="330"/>
  <c r="E96" i="330"/>
  <c r="F96" i="330"/>
  <c r="G96" i="330"/>
  <c r="H96" i="330"/>
  <c r="I96" i="330"/>
  <c r="J96" i="330"/>
  <c r="K96" i="330"/>
  <c r="L96" i="330"/>
  <c r="M96" i="330"/>
  <c r="N96" i="330"/>
  <c r="C97" i="330"/>
  <c r="D97" i="330"/>
  <c r="E97" i="330"/>
  <c r="F97" i="330"/>
  <c r="G97" i="330"/>
  <c r="H97" i="330"/>
  <c r="I97" i="330"/>
  <c r="J97" i="330"/>
  <c r="K97" i="330"/>
  <c r="L97" i="330"/>
  <c r="M97" i="330"/>
  <c r="N97" i="330"/>
  <c r="C98" i="330"/>
  <c r="D98" i="330"/>
  <c r="E98" i="330"/>
  <c r="F98" i="330"/>
  <c r="G98" i="330"/>
  <c r="H98" i="330"/>
  <c r="I98" i="330"/>
  <c r="J98" i="330"/>
  <c r="K98" i="330"/>
  <c r="L98" i="330"/>
  <c r="M98" i="330"/>
  <c r="N98" i="330"/>
  <c r="C99" i="330"/>
  <c r="D99" i="330"/>
  <c r="E99" i="330"/>
  <c r="F99" i="330"/>
  <c r="G99" i="330"/>
  <c r="H99" i="330"/>
  <c r="I99" i="330"/>
  <c r="J99" i="330"/>
  <c r="K99" i="330"/>
  <c r="L99" i="330"/>
  <c r="M99" i="330"/>
  <c r="N99" i="330"/>
  <c r="C100" i="330"/>
  <c r="D100" i="330"/>
  <c r="E100" i="330"/>
  <c r="F100" i="330"/>
  <c r="G100" i="330"/>
  <c r="H100" i="330"/>
  <c r="I100" i="330"/>
  <c r="J100" i="330"/>
  <c r="K100" i="330"/>
  <c r="L100" i="330"/>
  <c r="M100" i="330"/>
  <c r="N100" i="330"/>
  <c r="C101" i="330"/>
  <c r="D101" i="330"/>
  <c r="E101" i="330"/>
  <c r="F101" i="330"/>
  <c r="G101" i="330"/>
  <c r="H101" i="330"/>
  <c r="I101" i="330"/>
  <c r="J101" i="330"/>
  <c r="K101" i="330"/>
  <c r="L101" i="330"/>
  <c r="M101" i="330"/>
  <c r="N101" i="330"/>
  <c r="C102" i="330"/>
  <c r="D102" i="330"/>
  <c r="E102" i="330"/>
  <c r="F102" i="330"/>
  <c r="G102" i="330"/>
  <c r="H102" i="330"/>
  <c r="I102" i="330"/>
  <c r="J102" i="330"/>
  <c r="K102" i="330"/>
  <c r="L102" i="330"/>
  <c r="M102" i="330"/>
  <c r="N102" i="330"/>
  <c r="C103" i="330"/>
  <c r="D103" i="330"/>
  <c r="E103" i="330"/>
  <c r="F103" i="330"/>
  <c r="G103" i="330"/>
  <c r="H103" i="330"/>
  <c r="I103" i="330"/>
  <c r="J103" i="330"/>
  <c r="K103" i="330"/>
  <c r="L103" i="330"/>
  <c r="M103" i="330"/>
  <c r="N103" i="330"/>
  <c r="C104" i="330"/>
  <c r="D104" i="330"/>
  <c r="E104" i="330"/>
  <c r="F104" i="330"/>
  <c r="G104" i="330"/>
  <c r="H104" i="330"/>
  <c r="I104" i="330"/>
  <c r="J104" i="330"/>
  <c r="K104" i="330"/>
  <c r="L104" i="330"/>
  <c r="M104" i="330"/>
  <c r="N104" i="330"/>
  <c r="C105" i="330"/>
  <c r="D105" i="330"/>
  <c r="E105" i="330"/>
  <c r="F105" i="330"/>
  <c r="G105" i="330"/>
  <c r="H105" i="330"/>
  <c r="I105" i="330"/>
  <c r="J105" i="330"/>
  <c r="K105" i="330"/>
  <c r="L105" i="330"/>
  <c r="M105" i="330"/>
  <c r="N105" i="330"/>
  <c r="C106" i="330"/>
  <c r="D106" i="330"/>
  <c r="E106" i="330"/>
  <c r="F106" i="330"/>
  <c r="G106" i="330"/>
  <c r="H106" i="330"/>
  <c r="I106" i="330"/>
  <c r="J106" i="330"/>
  <c r="K106" i="330"/>
  <c r="L106" i="330"/>
  <c r="M106" i="330"/>
  <c r="N106" i="330"/>
  <c r="C107" i="330"/>
  <c r="D107" i="330"/>
  <c r="E107" i="330"/>
  <c r="F107" i="330"/>
  <c r="G107" i="330"/>
  <c r="H107" i="330"/>
  <c r="I107" i="330"/>
  <c r="J107" i="330"/>
  <c r="K107" i="330"/>
  <c r="L107" i="330"/>
  <c r="M107" i="330"/>
  <c r="N107" i="330"/>
  <c r="C108" i="330"/>
  <c r="D108" i="330"/>
  <c r="E108" i="330"/>
  <c r="F108" i="330"/>
  <c r="G108" i="330"/>
  <c r="H108" i="330"/>
  <c r="I108" i="330"/>
  <c r="J108" i="330"/>
  <c r="K108" i="330"/>
  <c r="L108" i="330"/>
  <c r="M108" i="330"/>
  <c r="N108" i="330"/>
  <c r="C109" i="330"/>
  <c r="D109" i="330"/>
  <c r="E109" i="330"/>
  <c r="F109" i="330"/>
  <c r="G109" i="330"/>
  <c r="H109" i="330"/>
  <c r="I109" i="330"/>
  <c r="J109" i="330"/>
  <c r="K109" i="330"/>
  <c r="L109" i="330"/>
  <c r="M109" i="330"/>
  <c r="N109" i="330"/>
  <c r="C110" i="330"/>
  <c r="D110" i="330"/>
  <c r="E110" i="330"/>
  <c r="F110" i="330"/>
  <c r="G110" i="330"/>
  <c r="H110" i="330"/>
  <c r="I110" i="330"/>
  <c r="J110" i="330"/>
  <c r="K110" i="330"/>
  <c r="L110" i="330"/>
  <c r="M110" i="330"/>
  <c r="N110" i="330"/>
  <c r="C111" i="330"/>
  <c r="D111" i="330"/>
  <c r="E111" i="330"/>
  <c r="F111" i="330"/>
  <c r="G111" i="330"/>
  <c r="H111" i="330"/>
  <c r="I111" i="330"/>
  <c r="J111" i="330"/>
  <c r="K111" i="330"/>
  <c r="L111" i="330"/>
  <c r="M111" i="330"/>
  <c r="N111" i="330"/>
  <c r="C112" i="330"/>
  <c r="D112" i="330"/>
  <c r="E112" i="330"/>
  <c r="F112" i="330"/>
  <c r="G112" i="330"/>
  <c r="H112" i="330"/>
  <c r="I112" i="330"/>
  <c r="J112" i="330"/>
  <c r="K112" i="330"/>
  <c r="L112" i="330"/>
  <c r="M112" i="330"/>
  <c r="N112" i="330"/>
  <c r="C113" i="330"/>
  <c r="D113" i="330"/>
  <c r="E113" i="330"/>
  <c r="F113" i="330"/>
  <c r="G113" i="330"/>
  <c r="H113" i="330"/>
  <c r="I113" i="330"/>
  <c r="J113" i="330"/>
  <c r="K113" i="330"/>
  <c r="L113" i="330"/>
  <c r="M113" i="330"/>
  <c r="N113" i="330"/>
  <c r="C114" i="330"/>
  <c r="D114" i="330"/>
  <c r="E114" i="330"/>
  <c r="F114" i="330"/>
  <c r="G114" i="330"/>
  <c r="H114" i="330"/>
  <c r="I114" i="330"/>
  <c r="J114" i="330"/>
  <c r="K114" i="330"/>
  <c r="L114" i="330"/>
  <c r="M114" i="330"/>
  <c r="N114" i="330"/>
  <c r="C115" i="330"/>
  <c r="D115" i="330"/>
  <c r="E115" i="330"/>
  <c r="F115" i="330"/>
  <c r="G115" i="330"/>
  <c r="H115" i="330"/>
  <c r="I115" i="330"/>
  <c r="J115" i="330"/>
  <c r="K115" i="330"/>
  <c r="L115" i="330"/>
  <c r="M115" i="330"/>
  <c r="N115" i="330"/>
  <c r="C116" i="330"/>
  <c r="D116" i="330"/>
  <c r="E116" i="330"/>
  <c r="F116" i="330"/>
  <c r="G116" i="330"/>
  <c r="H116" i="330"/>
  <c r="I116" i="330"/>
  <c r="J116" i="330"/>
  <c r="K116" i="330"/>
  <c r="L116" i="330"/>
  <c r="M116" i="330"/>
  <c r="N116" i="330"/>
  <c r="C117" i="330"/>
  <c r="D117" i="330"/>
  <c r="E117" i="330"/>
  <c r="F117" i="330"/>
  <c r="G117" i="330"/>
  <c r="H117" i="330"/>
  <c r="I117" i="330"/>
  <c r="J117" i="330"/>
  <c r="K117" i="330"/>
  <c r="L117" i="330"/>
  <c r="M117" i="330"/>
  <c r="N117" i="330"/>
  <c r="C118" i="330"/>
  <c r="D118" i="330"/>
  <c r="E118" i="330"/>
  <c r="F118" i="330"/>
  <c r="G118" i="330"/>
  <c r="H118" i="330"/>
  <c r="I118" i="330"/>
  <c r="J118" i="330"/>
  <c r="K118" i="330"/>
  <c r="L118" i="330"/>
  <c r="M118" i="330"/>
  <c r="N118" i="330"/>
  <c r="C119" i="330"/>
  <c r="D119" i="330"/>
  <c r="E119" i="330"/>
  <c r="F119" i="330"/>
  <c r="G119" i="330"/>
  <c r="H119" i="330"/>
  <c r="I119" i="330"/>
  <c r="J119" i="330"/>
  <c r="K119" i="330"/>
  <c r="L119" i="330"/>
  <c r="M119" i="330"/>
  <c r="N119" i="330"/>
  <c r="C120" i="330"/>
  <c r="D120" i="330"/>
  <c r="E120" i="330"/>
  <c r="F120" i="330"/>
  <c r="G120" i="330"/>
  <c r="H120" i="330"/>
  <c r="I120" i="330"/>
  <c r="J120" i="330"/>
  <c r="K120" i="330"/>
  <c r="L120" i="330"/>
  <c r="M120" i="330"/>
  <c r="N120" i="330"/>
  <c r="D88" i="330"/>
  <c r="E88" i="330"/>
  <c r="F88" i="330"/>
  <c r="G88" i="330"/>
  <c r="H88" i="330"/>
  <c r="I88" i="330"/>
  <c r="J88" i="330"/>
  <c r="K88" i="330"/>
  <c r="L88" i="330"/>
  <c r="M88" i="330"/>
  <c r="N88" i="330"/>
  <c r="C88" i="330"/>
  <c r="C50" i="330"/>
  <c r="D50" i="330"/>
  <c r="E50" i="330"/>
  <c r="F50" i="330"/>
  <c r="G50" i="330"/>
  <c r="H50" i="330"/>
  <c r="I50" i="330"/>
  <c r="J50" i="330"/>
  <c r="K50" i="330"/>
  <c r="L50" i="330"/>
  <c r="C51" i="330"/>
  <c r="D51" i="330"/>
  <c r="E51" i="330"/>
  <c r="F51" i="330"/>
  <c r="G51" i="330"/>
  <c r="H51" i="330"/>
  <c r="I51" i="330"/>
  <c r="J51" i="330"/>
  <c r="K51" i="330"/>
  <c r="L51" i="330"/>
  <c r="C52" i="330"/>
  <c r="D52" i="330"/>
  <c r="E52" i="330"/>
  <c r="F52" i="330"/>
  <c r="G52" i="330"/>
  <c r="H52" i="330"/>
  <c r="I52" i="330"/>
  <c r="J52" i="330"/>
  <c r="K52" i="330"/>
  <c r="L52" i="330"/>
  <c r="C53" i="330"/>
  <c r="D53" i="330"/>
  <c r="E53" i="330"/>
  <c r="F53" i="330"/>
  <c r="G53" i="330"/>
  <c r="H53" i="330"/>
  <c r="I53" i="330"/>
  <c r="J53" i="330"/>
  <c r="K53" i="330"/>
  <c r="L53" i="330"/>
  <c r="C54" i="330"/>
  <c r="D54" i="330"/>
  <c r="E54" i="330"/>
  <c r="F54" i="330"/>
  <c r="G54" i="330"/>
  <c r="H54" i="330"/>
  <c r="I54" i="330"/>
  <c r="J54" i="330"/>
  <c r="K54" i="330"/>
  <c r="L54" i="330"/>
  <c r="C55" i="330"/>
  <c r="D55" i="330"/>
  <c r="E55" i="330"/>
  <c r="F55" i="330"/>
  <c r="G55" i="330"/>
  <c r="H55" i="330"/>
  <c r="I55" i="330"/>
  <c r="J55" i="330"/>
  <c r="K55" i="330"/>
  <c r="L55" i="330"/>
  <c r="C56" i="330"/>
  <c r="D56" i="330"/>
  <c r="E56" i="330"/>
  <c r="F56" i="330"/>
  <c r="G56" i="330"/>
  <c r="H56" i="330"/>
  <c r="I56" i="330"/>
  <c r="J56" i="330"/>
  <c r="K56" i="330"/>
  <c r="L56" i="330"/>
  <c r="C57" i="330"/>
  <c r="D57" i="330"/>
  <c r="E57" i="330"/>
  <c r="F57" i="330"/>
  <c r="G57" i="330"/>
  <c r="H57" i="330"/>
  <c r="I57" i="330"/>
  <c r="J57" i="330"/>
  <c r="K57" i="330"/>
  <c r="L57" i="330"/>
  <c r="C58" i="330"/>
  <c r="D58" i="330"/>
  <c r="E58" i="330"/>
  <c r="F58" i="330"/>
  <c r="G58" i="330"/>
  <c r="H58" i="330"/>
  <c r="I58" i="330"/>
  <c r="J58" i="330"/>
  <c r="K58" i="330"/>
  <c r="L58" i="330"/>
  <c r="C59" i="330"/>
  <c r="D59" i="330"/>
  <c r="E59" i="330"/>
  <c r="F59" i="330"/>
  <c r="G59" i="330"/>
  <c r="H59" i="330"/>
  <c r="I59" i="330"/>
  <c r="J59" i="330"/>
  <c r="K59" i="330"/>
  <c r="L59" i="330"/>
  <c r="C60" i="330"/>
  <c r="D60" i="330"/>
  <c r="E60" i="330"/>
  <c r="F60" i="330"/>
  <c r="G60" i="330"/>
  <c r="H60" i="330"/>
  <c r="I60" i="330"/>
  <c r="J60" i="330"/>
  <c r="K60" i="330"/>
  <c r="L60" i="330"/>
  <c r="C61" i="330"/>
  <c r="D61" i="330"/>
  <c r="E61" i="330"/>
  <c r="F61" i="330"/>
  <c r="G61" i="330"/>
  <c r="H61" i="330"/>
  <c r="I61" i="330"/>
  <c r="J61" i="330"/>
  <c r="K61" i="330"/>
  <c r="L61" i="330"/>
  <c r="C62" i="330"/>
  <c r="D62" i="330"/>
  <c r="E62" i="330"/>
  <c r="F62" i="330"/>
  <c r="G62" i="330"/>
  <c r="H62" i="330"/>
  <c r="I62" i="330"/>
  <c r="J62" i="330"/>
  <c r="K62" i="330"/>
  <c r="L62" i="330"/>
  <c r="C63" i="330"/>
  <c r="D63" i="330"/>
  <c r="E63" i="330"/>
  <c r="F63" i="330"/>
  <c r="G63" i="330"/>
  <c r="H63" i="330"/>
  <c r="I63" i="330"/>
  <c r="J63" i="330"/>
  <c r="K63" i="330"/>
  <c r="L63" i="330"/>
  <c r="C64" i="330"/>
  <c r="D64" i="330"/>
  <c r="E64" i="330"/>
  <c r="F64" i="330"/>
  <c r="G64" i="330"/>
  <c r="H64" i="330"/>
  <c r="I64" i="330"/>
  <c r="J64" i="330"/>
  <c r="K64" i="330"/>
  <c r="L64" i="330"/>
  <c r="C65" i="330"/>
  <c r="D65" i="330"/>
  <c r="E65" i="330"/>
  <c r="F65" i="330"/>
  <c r="G65" i="330"/>
  <c r="H65" i="330"/>
  <c r="I65" i="330"/>
  <c r="J65" i="330"/>
  <c r="K65" i="330"/>
  <c r="L65" i="330"/>
  <c r="C66" i="330"/>
  <c r="D66" i="330"/>
  <c r="E66" i="330"/>
  <c r="F66" i="330"/>
  <c r="G66" i="330"/>
  <c r="H66" i="330"/>
  <c r="I66" i="330"/>
  <c r="J66" i="330"/>
  <c r="K66" i="330"/>
  <c r="L66" i="330"/>
  <c r="C67" i="330"/>
  <c r="D67" i="330"/>
  <c r="E67" i="330"/>
  <c r="F67" i="330"/>
  <c r="G67" i="330"/>
  <c r="H67" i="330"/>
  <c r="I67" i="330"/>
  <c r="J67" i="330"/>
  <c r="K67" i="330"/>
  <c r="L67" i="330"/>
  <c r="C68" i="330"/>
  <c r="D68" i="330"/>
  <c r="E68" i="330"/>
  <c r="F68" i="330"/>
  <c r="G68" i="330"/>
  <c r="H68" i="330"/>
  <c r="I68" i="330"/>
  <c r="J68" i="330"/>
  <c r="K68" i="330"/>
  <c r="L68" i="330"/>
  <c r="C69" i="330"/>
  <c r="D69" i="330"/>
  <c r="E69" i="330"/>
  <c r="F69" i="330"/>
  <c r="G69" i="330"/>
  <c r="H69" i="330"/>
  <c r="I69" i="330"/>
  <c r="J69" i="330"/>
  <c r="K69" i="330"/>
  <c r="L69" i="330"/>
  <c r="C70" i="330"/>
  <c r="D70" i="330"/>
  <c r="E70" i="330"/>
  <c r="F70" i="330"/>
  <c r="G70" i="330"/>
  <c r="H70" i="330"/>
  <c r="I70" i="330"/>
  <c r="J70" i="330"/>
  <c r="K70" i="330"/>
  <c r="L70" i="330"/>
  <c r="C71" i="330"/>
  <c r="D71" i="330"/>
  <c r="E71" i="330"/>
  <c r="F71" i="330"/>
  <c r="G71" i="330"/>
  <c r="H71" i="330"/>
  <c r="I71" i="330"/>
  <c r="J71" i="330"/>
  <c r="K71" i="330"/>
  <c r="L71" i="330"/>
  <c r="C72" i="330"/>
  <c r="D72" i="330"/>
  <c r="E72" i="330"/>
  <c r="F72" i="330"/>
  <c r="G72" i="330"/>
  <c r="H72" i="330"/>
  <c r="I72" i="330"/>
  <c r="J72" i="330"/>
  <c r="K72" i="330"/>
  <c r="L72" i="330"/>
  <c r="C73" i="330"/>
  <c r="D73" i="330"/>
  <c r="E73" i="330"/>
  <c r="F73" i="330"/>
  <c r="G73" i="330"/>
  <c r="H73" i="330"/>
  <c r="I73" i="330"/>
  <c r="J73" i="330"/>
  <c r="K73" i="330"/>
  <c r="L73" i="330"/>
  <c r="C74" i="330"/>
  <c r="D74" i="330"/>
  <c r="E74" i="330"/>
  <c r="F74" i="330"/>
  <c r="G74" i="330"/>
  <c r="H74" i="330"/>
  <c r="I74" i="330"/>
  <c r="J74" i="330"/>
  <c r="K74" i="330"/>
  <c r="L74" i="330"/>
  <c r="C75" i="330"/>
  <c r="D75" i="330"/>
  <c r="E75" i="330"/>
  <c r="F75" i="330"/>
  <c r="G75" i="330"/>
  <c r="H75" i="330"/>
  <c r="I75" i="330"/>
  <c r="J75" i="330"/>
  <c r="K75" i="330"/>
  <c r="L75" i="330"/>
  <c r="C76" i="330"/>
  <c r="D76" i="330"/>
  <c r="E76" i="330"/>
  <c r="F76" i="330"/>
  <c r="G76" i="330"/>
  <c r="H76" i="330"/>
  <c r="I76" i="330"/>
  <c r="J76" i="330"/>
  <c r="K76" i="330"/>
  <c r="L76" i="330"/>
  <c r="C77" i="330"/>
  <c r="D77" i="330"/>
  <c r="E77" i="330"/>
  <c r="F77" i="330"/>
  <c r="G77" i="330"/>
  <c r="H77" i="330"/>
  <c r="I77" i="330"/>
  <c r="J77" i="330"/>
  <c r="K77" i="330"/>
  <c r="L77" i="330"/>
  <c r="C78" i="330"/>
  <c r="D78" i="330"/>
  <c r="E78" i="330"/>
  <c r="F78" i="330"/>
  <c r="G78" i="330"/>
  <c r="H78" i="330"/>
  <c r="I78" i="330"/>
  <c r="J78" i="330"/>
  <c r="K78" i="330"/>
  <c r="L78" i="330"/>
  <c r="C79" i="330"/>
  <c r="D79" i="330"/>
  <c r="E79" i="330"/>
  <c r="F79" i="330"/>
  <c r="G79" i="330"/>
  <c r="H79" i="330"/>
  <c r="I79" i="330"/>
  <c r="J79" i="330"/>
  <c r="K79" i="330"/>
  <c r="L79" i="330"/>
  <c r="C80" i="330"/>
  <c r="D80" i="330"/>
  <c r="E80" i="330"/>
  <c r="F80" i="330"/>
  <c r="G80" i="330"/>
  <c r="H80" i="330"/>
  <c r="I80" i="330"/>
  <c r="J80" i="330"/>
  <c r="K80" i="330"/>
  <c r="L80" i="330"/>
  <c r="C81" i="330"/>
  <c r="D81" i="330"/>
  <c r="E81" i="330"/>
  <c r="F81" i="330"/>
  <c r="G81" i="330"/>
  <c r="H81" i="330"/>
  <c r="I81" i="330"/>
  <c r="J81" i="330"/>
  <c r="K81" i="330"/>
  <c r="L81" i="330"/>
  <c r="D49" i="330"/>
  <c r="E49" i="330"/>
  <c r="F49" i="330"/>
  <c r="G49" i="330"/>
  <c r="H49" i="330"/>
  <c r="I49" i="330"/>
  <c r="J49" i="330"/>
  <c r="K49" i="330"/>
  <c r="L49" i="330"/>
  <c r="C49" i="330"/>
  <c r="C12" i="330"/>
  <c r="D12" i="330"/>
  <c r="E12" i="330"/>
  <c r="F12" i="330"/>
  <c r="G12" i="330"/>
  <c r="H12" i="330"/>
  <c r="I12" i="330"/>
  <c r="J12" i="330"/>
  <c r="C13" i="330"/>
  <c r="D13" i="330"/>
  <c r="E13" i="330"/>
  <c r="F13" i="330"/>
  <c r="G13" i="330"/>
  <c r="H13" i="330"/>
  <c r="I13" i="330"/>
  <c r="J13" i="330"/>
  <c r="C14" i="330"/>
  <c r="D14" i="330"/>
  <c r="E14" i="330"/>
  <c r="F14" i="330"/>
  <c r="G14" i="330"/>
  <c r="H14" i="330"/>
  <c r="I14" i="330"/>
  <c r="J14" i="330"/>
  <c r="C15" i="330"/>
  <c r="D15" i="330"/>
  <c r="E15" i="330"/>
  <c r="F15" i="330"/>
  <c r="G15" i="330"/>
  <c r="H15" i="330"/>
  <c r="I15" i="330"/>
  <c r="J15" i="330"/>
  <c r="C16" i="330"/>
  <c r="D16" i="330"/>
  <c r="E16" i="330"/>
  <c r="F16" i="330"/>
  <c r="G16" i="330"/>
  <c r="H16" i="330"/>
  <c r="I16" i="330"/>
  <c r="J16" i="330"/>
  <c r="C17" i="330"/>
  <c r="D17" i="330"/>
  <c r="E17" i="330"/>
  <c r="F17" i="330"/>
  <c r="G17" i="330"/>
  <c r="H17" i="330"/>
  <c r="I17" i="330"/>
  <c r="J17" i="330"/>
  <c r="C18" i="330"/>
  <c r="D18" i="330"/>
  <c r="E18" i="330"/>
  <c r="F18" i="330"/>
  <c r="G18" i="330"/>
  <c r="H18" i="330"/>
  <c r="I18" i="330"/>
  <c r="J18" i="330"/>
  <c r="C19" i="330"/>
  <c r="D19" i="330"/>
  <c r="E19" i="330"/>
  <c r="F19" i="330"/>
  <c r="G19" i="330"/>
  <c r="H19" i="330"/>
  <c r="I19" i="330"/>
  <c r="J19" i="330"/>
  <c r="C20" i="330"/>
  <c r="D20" i="330"/>
  <c r="E20" i="330"/>
  <c r="F20" i="330"/>
  <c r="G20" i="330"/>
  <c r="H20" i="330"/>
  <c r="I20" i="330"/>
  <c r="J20" i="330"/>
  <c r="C21" i="330"/>
  <c r="D21" i="330"/>
  <c r="E21" i="330"/>
  <c r="F21" i="330"/>
  <c r="G21" i="330"/>
  <c r="H21" i="330"/>
  <c r="I21" i="330"/>
  <c r="J21" i="330"/>
  <c r="C22" i="330"/>
  <c r="D22" i="330"/>
  <c r="E22" i="330"/>
  <c r="F22" i="330"/>
  <c r="G22" i="330"/>
  <c r="H22" i="330"/>
  <c r="I22" i="330"/>
  <c r="J22" i="330"/>
  <c r="C23" i="330"/>
  <c r="D23" i="330"/>
  <c r="E23" i="330"/>
  <c r="F23" i="330"/>
  <c r="G23" i="330"/>
  <c r="H23" i="330"/>
  <c r="I23" i="330"/>
  <c r="J23" i="330"/>
  <c r="C24" i="330"/>
  <c r="D24" i="330"/>
  <c r="E24" i="330"/>
  <c r="F24" i="330"/>
  <c r="G24" i="330"/>
  <c r="H24" i="330"/>
  <c r="I24" i="330"/>
  <c r="J24" i="330"/>
  <c r="C25" i="330"/>
  <c r="D25" i="330"/>
  <c r="E25" i="330"/>
  <c r="F25" i="330"/>
  <c r="G25" i="330"/>
  <c r="H25" i="330"/>
  <c r="I25" i="330"/>
  <c r="J25" i="330"/>
  <c r="C26" i="330"/>
  <c r="D26" i="330"/>
  <c r="E26" i="330"/>
  <c r="F26" i="330"/>
  <c r="G26" i="330"/>
  <c r="H26" i="330"/>
  <c r="I26" i="330"/>
  <c r="J26" i="330"/>
  <c r="C27" i="330"/>
  <c r="D27" i="330"/>
  <c r="E27" i="330"/>
  <c r="F27" i="330"/>
  <c r="G27" i="330"/>
  <c r="H27" i="330"/>
  <c r="I27" i="330"/>
  <c r="J27" i="330"/>
  <c r="C28" i="330"/>
  <c r="D28" i="330"/>
  <c r="E28" i="330"/>
  <c r="F28" i="330"/>
  <c r="G28" i="330"/>
  <c r="H28" i="330"/>
  <c r="I28" i="330"/>
  <c r="J28" i="330"/>
  <c r="C29" i="330"/>
  <c r="D29" i="330"/>
  <c r="E29" i="330"/>
  <c r="F29" i="330"/>
  <c r="G29" i="330"/>
  <c r="H29" i="330"/>
  <c r="I29" i="330"/>
  <c r="J29" i="330"/>
  <c r="C30" i="330"/>
  <c r="D30" i="330"/>
  <c r="E30" i="330"/>
  <c r="F30" i="330"/>
  <c r="G30" i="330"/>
  <c r="H30" i="330"/>
  <c r="I30" i="330"/>
  <c r="J30" i="330"/>
  <c r="C31" i="330"/>
  <c r="D31" i="330"/>
  <c r="E31" i="330"/>
  <c r="F31" i="330"/>
  <c r="G31" i="330"/>
  <c r="H31" i="330"/>
  <c r="I31" i="330"/>
  <c r="J31" i="330"/>
  <c r="C32" i="330"/>
  <c r="D32" i="330"/>
  <c r="E32" i="330"/>
  <c r="F32" i="330"/>
  <c r="G32" i="330"/>
  <c r="H32" i="330"/>
  <c r="I32" i="330"/>
  <c r="J32" i="330"/>
  <c r="C33" i="330"/>
  <c r="D33" i="330"/>
  <c r="E33" i="330"/>
  <c r="F33" i="330"/>
  <c r="G33" i="330"/>
  <c r="H33" i="330"/>
  <c r="I33" i="330"/>
  <c r="J33" i="330"/>
  <c r="C34" i="330"/>
  <c r="D34" i="330"/>
  <c r="E34" i="330"/>
  <c r="F34" i="330"/>
  <c r="G34" i="330"/>
  <c r="H34" i="330"/>
  <c r="I34" i="330"/>
  <c r="J34" i="330"/>
  <c r="C35" i="330"/>
  <c r="D35" i="330"/>
  <c r="E35" i="330"/>
  <c r="F35" i="330"/>
  <c r="G35" i="330"/>
  <c r="H35" i="330"/>
  <c r="I35" i="330"/>
  <c r="J35" i="330"/>
  <c r="C36" i="330"/>
  <c r="D36" i="330"/>
  <c r="E36" i="330"/>
  <c r="F36" i="330"/>
  <c r="G36" i="330"/>
  <c r="H36" i="330"/>
  <c r="I36" i="330"/>
  <c r="J36" i="330"/>
  <c r="C37" i="330"/>
  <c r="D37" i="330"/>
  <c r="E37" i="330"/>
  <c r="F37" i="330"/>
  <c r="G37" i="330"/>
  <c r="H37" i="330"/>
  <c r="I37" i="330"/>
  <c r="J37" i="330"/>
  <c r="C38" i="330"/>
  <c r="D38" i="330"/>
  <c r="E38" i="330"/>
  <c r="F38" i="330"/>
  <c r="G38" i="330"/>
  <c r="H38" i="330"/>
  <c r="I38" i="330"/>
  <c r="J38" i="330"/>
  <c r="C39" i="330"/>
  <c r="D39" i="330"/>
  <c r="E39" i="330"/>
  <c r="F39" i="330"/>
  <c r="G39" i="330"/>
  <c r="H39" i="330"/>
  <c r="I39" i="330"/>
  <c r="J39" i="330"/>
  <c r="C40" i="330"/>
  <c r="D40" i="330"/>
  <c r="E40" i="330"/>
  <c r="F40" i="330"/>
  <c r="G40" i="330"/>
  <c r="H40" i="330"/>
  <c r="I40" i="330"/>
  <c r="J40" i="330"/>
  <c r="C41" i="330"/>
  <c r="D41" i="330"/>
  <c r="E41" i="330"/>
  <c r="F41" i="330"/>
  <c r="G41" i="330"/>
  <c r="H41" i="330"/>
  <c r="I41" i="330"/>
  <c r="J41" i="330"/>
  <c r="C42" i="330"/>
  <c r="D42" i="330"/>
  <c r="E42" i="330"/>
  <c r="F42" i="330"/>
  <c r="G42" i="330"/>
  <c r="H42" i="330"/>
  <c r="I42" i="330"/>
  <c r="J42" i="330"/>
  <c r="C43" i="330"/>
  <c r="D43" i="330"/>
  <c r="E43" i="330"/>
  <c r="F43" i="330"/>
  <c r="G43" i="330"/>
  <c r="H43" i="330"/>
  <c r="I43" i="330"/>
  <c r="J43" i="330"/>
  <c r="D11" i="330"/>
  <c r="E11" i="330"/>
  <c r="F11" i="330"/>
  <c r="G11" i="330"/>
  <c r="H11" i="330"/>
  <c r="I11" i="330"/>
  <c r="J11" i="330"/>
  <c r="C11" i="330"/>
  <c r="B120" i="330"/>
  <c r="B81" i="330"/>
  <c r="B43" i="330"/>
  <c r="G121" i="330" l="1"/>
  <c r="E44" i="330"/>
  <c r="G44" i="330"/>
  <c r="D121" i="330"/>
  <c r="M121" i="330"/>
  <c r="C82" i="330"/>
  <c r="D44" i="330"/>
  <c r="K43" i="330"/>
  <c r="K41" i="330"/>
  <c r="K40" i="330"/>
  <c r="K39" i="330"/>
  <c r="K38" i="330"/>
  <c r="K37" i="330"/>
  <c r="K36" i="330"/>
  <c r="K35" i="330"/>
  <c r="K33" i="330"/>
  <c r="K32" i="330"/>
  <c r="K31" i="330"/>
  <c r="K30" i="330"/>
  <c r="K29" i="330"/>
  <c r="K28" i="330"/>
  <c r="K27" i="330"/>
  <c r="K25" i="330"/>
  <c r="K24" i="330"/>
  <c r="K23" i="330"/>
  <c r="K22" i="330"/>
  <c r="K21" i="330"/>
  <c r="K20" i="330"/>
  <c r="K19" i="330"/>
  <c r="K17" i="330"/>
  <c r="K16" i="330"/>
  <c r="K15" i="330"/>
  <c r="K14" i="330"/>
  <c r="K13" i="330"/>
  <c r="K12" i="330"/>
  <c r="M79" i="330"/>
  <c r="M75" i="330"/>
  <c r="M71" i="330"/>
  <c r="M67" i="330"/>
  <c r="M63" i="330"/>
  <c r="M59" i="330"/>
  <c r="M55" i="330"/>
  <c r="M51" i="330"/>
  <c r="O120" i="330"/>
  <c r="E121" i="330"/>
  <c r="O112" i="330"/>
  <c r="O104" i="330"/>
  <c r="O96" i="330"/>
  <c r="M78" i="330"/>
  <c r="M76" i="330"/>
  <c r="M74" i="330"/>
  <c r="M70" i="330"/>
  <c r="M68" i="330"/>
  <c r="M66" i="330"/>
  <c r="M62" i="330"/>
  <c r="M60" i="330"/>
  <c r="M58" i="330"/>
  <c r="M54" i="330"/>
  <c r="H82" i="330"/>
  <c r="M50" i="330"/>
  <c r="K11" i="330"/>
  <c r="K34" i="330"/>
  <c r="K26" i="330"/>
  <c r="K18" i="330"/>
  <c r="O118" i="330"/>
  <c r="O116" i="330"/>
  <c r="O114" i="330"/>
  <c r="O110" i="330"/>
  <c r="O108" i="330"/>
  <c r="O106" i="330"/>
  <c r="O102" i="330"/>
  <c r="O100" i="330"/>
  <c r="O98" i="330"/>
  <c r="O92" i="330"/>
  <c r="O90" i="330"/>
  <c r="I44" i="330"/>
  <c r="K82" i="330"/>
  <c r="O88" i="330"/>
  <c r="K42" i="330"/>
  <c r="M81" i="330"/>
  <c r="M77" i="330"/>
  <c r="M73" i="330"/>
  <c r="M69" i="330"/>
  <c r="M65" i="330"/>
  <c r="M61" i="330"/>
  <c r="M57" i="330"/>
  <c r="M53" i="330"/>
  <c r="F44" i="330"/>
  <c r="M80" i="330"/>
  <c r="M72" i="330"/>
  <c r="M64" i="330"/>
  <c r="M56" i="330"/>
  <c r="O119" i="330"/>
  <c r="O117" i="330"/>
  <c r="O115" i="330"/>
  <c r="O113" i="330"/>
  <c r="O111" i="330"/>
  <c r="O109" i="330"/>
  <c r="O107" i="330"/>
  <c r="O105" i="330"/>
  <c r="O103" i="330"/>
  <c r="O101" i="330"/>
  <c r="O99" i="330"/>
  <c r="O97" i="330"/>
  <c r="O95" i="330"/>
  <c r="O93" i="330"/>
  <c r="O91" i="330"/>
  <c r="O89" i="330"/>
  <c r="M52" i="330"/>
  <c r="G82" i="330"/>
  <c r="I121" i="330"/>
  <c r="H121" i="330"/>
  <c r="J82" i="330"/>
  <c r="M49" i="330"/>
  <c r="C121" i="330"/>
  <c r="O94" i="330"/>
  <c r="N121" i="330"/>
  <c r="F121" i="330"/>
  <c r="L121" i="330"/>
  <c r="K121" i="330"/>
  <c r="J121" i="330"/>
  <c r="I82" i="330"/>
  <c r="E82" i="330"/>
  <c r="F82" i="330"/>
  <c r="L82" i="330"/>
  <c r="D82" i="330"/>
  <c r="C44" i="330"/>
  <c r="J44" i="330"/>
  <c r="H44" i="330"/>
  <c r="C41" i="332"/>
  <c r="D41" i="332"/>
  <c r="E41" i="332"/>
  <c r="F41" i="332"/>
  <c r="G41" i="332"/>
  <c r="H41" i="332"/>
  <c r="I41" i="332"/>
  <c r="J41" i="332"/>
  <c r="K41" i="332"/>
  <c r="L41" i="332"/>
  <c r="M41" i="332"/>
  <c r="C42" i="332"/>
  <c r="D42" i="332"/>
  <c r="E42" i="332"/>
  <c r="F42" i="332"/>
  <c r="G42" i="332"/>
  <c r="H42" i="332"/>
  <c r="I42" i="332"/>
  <c r="J42" i="332"/>
  <c r="K42" i="332"/>
  <c r="L42" i="332"/>
  <c r="M42" i="332"/>
  <c r="C43" i="332"/>
  <c r="D43" i="332"/>
  <c r="E43" i="332"/>
  <c r="F43" i="332"/>
  <c r="G43" i="332"/>
  <c r="H43" i="332"/>
  <c r="I43" i="332"/>
  <c r="J43" i="332"/>
  <c r="K43" i="332"/>
  <c r="L43" i="332"/>
  <c r="M43" i="332"/>
  <c r="C44" i="332"/>
  <c r="D44" i="332"/>
  <c r="E44" i="332"/>
  <c r="F44" i="332"/>
  <c r="G44" i="332"/>
  <c r="H44" i="332"/>
  <c r="I44" i="332"/>
  <c r="J44" i="332"/>
  <c r="K44" i="332"/>
  <c r="L44" i="332"/>
  <c r="M44" i="332"/>
  <c r="C45" i="332"/>
  <c r="D45" i="332"/>
  <c r="E45" i="332"/>
  <c r="F45" i="332"/>
  <c r="G45" i="332"/>
  <c r="H45" i="332"/>
  <c r="I45" i="332"/>
  <c r="J45" i="332"/>
  <c r="K45" i="332"/>
  <c r="L45" i="332"/>
  <c r="M45" i="332"/>
  <c r="C46" i="332"/>
  <c r="D46" i="332"/>
  <c r="E46" i="332"/>
  <c r="F46" i="332"/>
  <c r="G46" i="332"/>
  <c r="H46" i="332"/>
  <c r="I46" i="332"/>
  <c r="J46" i="332"/>
  <c r="K46" i="332"/>
  <c r="L46" i="332"/>
  <c r="M46" i="332"/>
  <c r="C47" i="332"/>
  <c r="D47" i="332"/>
  <c r="E47" i="332"/>
  <c r="F47" i="332"/>
  <c r="G47" i="332"/>
  <c r="H47" i="332"/>
  <c r="I47" i="332"/>
  <c r="J47" i="332"/>
  <c r="K47" i="332"/>
  <c r="L47" i="332"/>
  <c r="M47" i="332"/>
  <c r="C48" i="332"/>
  <c r="D48" i="332"/>
  <c r="E48" i="332"/>
  <c r="F48" i="332"/>
  <c r="G48" i="332"/>
  <c r="H48" i="332"/>
  <c r="I48" i="332"/>
  <c r="J48" i="332"/>
  <c r="K48" i="332"/>
  <c r="L48" i="332"/>
  <c r="M48" i="332"/>
  <c r="C49" i="332"/>
  <c r="D49" i="332"/>
  <c r="E49" i="332"/>
  <c r="F49" i="332"/>
  <c r="G49" i="332"/>
  <c r="H49" i="332"/>
  <c r="I49" i="332"/>
  <c r="J49" i="332"/>
  <c r="K49" i="332"/>
  <c r="L49" i="332"/>
  <c r="M49" i="332"/>
  <c r="C50" i="332"/>
  <c r="D50" i="332"/>
  <c r="E50" i="332"/>
  <c r="F50" i="332"/>
  <c r="G50" i="332"/>
  <c r="H50" i="332"/>
  <c r="I50" i="332"/>
  <c r="J50" i="332"/>
  <c r="K50" i="332"/>
  <c r="L50" i="332"/>
  <c r="M50" i="332"/>
  <c r="C51" i="332"/>
  <c r="D51" i="332"/>
  <c r="E51" i="332"/>
  <c r="F51" i="332"/>
  <c r="G51" i="332"/>
  <c r="H51" i="332"/>
  <c r="I51" i="332"/>
  <c r="J51" i="332"/>
  <c r="K51" i="332"/>
  <c r="L51" i="332"/>
  <c r="M51" i="332"/>
  <c r="B42" i="332"/>
  <c r="B43" i="332"/>
  <c r="B44" i="332"/>
  <c r="B45" i="332"/>
  <c r="B46" i="332"/>
  <c r="B47" i="332"/>
  <c r="B48" i="332"/>
  <c r="B49" i="332"/>
  <c r="B50" i="332"/>
  <c r="B51" i="332"/>
  <c r="B41" i="332"/>
  <c r="A39" i="332"/>
  <c r="A23" i="332"/>
  <c r="A8" i="332"/>
  <c r="C25" i="332"/>
  <c r="D25" i="332"/>
  <c r="E25" i="332"/>
  <c r="F25" i="332"/>
  <c r="G25" i="332"/>
  <c r="H25" i="332"/>
  <c r="I25" i="332"/>
  <c r="J25" i="332"/>
  <c r="K25" i="332"/>
  <c r="C26" i="332"/>
  <c r="D26" i="332"/>
  <c r="E26" i="332"/>
  <c r="F26" i="332"/>
  <c r="G26" i="332"/>
  <c r="H26" i="332"/>
  <c r="I26" i="332"/>
  <c r="J26" i="332"/>
  <c r="K26" i="332"/>
  <c r="C27" i="332"/>
  <c r="D27" i="332"/>
  <c r="E27" i="332"/>
  <c r="F27" i="332"/>
  <c r="G27" i="332"/>
  <c r="H27" i="332"/>
  <c r="I27" i="332"/>
  <c r="J27" i="332"/>
  <c r="K27" i="332"/>
  <c r="C28" i="332"/>
  <c r="D28" i="332"/>
  <c r="E28" i="332"/>
  <c r="F28" i="332"/>
  <c r="G28" i="332"/>
  <c r="H28" i="332"/>
  <c r="I28" i="332"/>
  <c r="J28" i="332"/>
  <c r="K28" i="332"/>
  <c r="C29" i="332"/>
  <c r="D29" i="332"/>
  <c r="E29" i="332"/>
  <c r="F29" i="332"/>
  <c r="G29" i="332"/>
  <c r="H29" i="332"/>
  <c r="I29" i="332"/>
  <c r="J29" i="332"/>
  <c r="K29" i="332"/>
  <c r="C30" i="332"/>
  <c r="D30" i="332"/>
  <c r="E30" i="332"/>
  <c r="F30" i="332"/>
  <c r="G30" i="332"/>
  <c r="H30" i="332"/>
  <c r="I30" i="332"/>
  <c r="J30" i="332"/>
  <c r="K30" i="332"/>
  <c r="C31" i="332"/>
  <c r="D31" i="332"/>
  <c r="E31" i="332"/>
  <c r="F31" i="332"/>
  <c r="G31" i="332"/>
  <c r="H31" i="332"/>
  <c r="I31" i="332"/>
  <c r="J31" i="332"/>
  <c r="K31" i="332"/>
  <c r="C32" i="332"/>
  <c r="D32" i="332"/>
  <c r="E32" i="332"/>
  <c r="F32" i="332"/>
  <c r="G32" i="332"/>
  <c r="H32" i="332"/>
  <c r="I32" i="332"/>
  <c r="J32" i="332"/>
  <c r="K32" i="332"/>
  <c r="C33" i="332"/>
  <c r="D33" i="332"/>
  <c r="E33" i="332"/>
  <c r="F33" i="332"/>
  <c r="G33" i="332"/>
  <c r="H33" i="332"/>
  <c r="I33" i="332"/>
  <c r="J33" i="332"/>
  <c r="K33" i="332"/>
  <c r="C34" i="332"/>
  <c r="D34" i="332"/>
  <c r="E34" i="332"/>
  <c r="F34" i="332"/>
  <c r="G34" i="332"/>
  <c r="H34" i="332"/>
  <c r="I34" i="332"/>
  <c r="J34" i="332"/>
  <c r="K34" i="332"/>
  <c r="C35" i="332"/>
  <c r="D35" i="332"/>
  <c r="E35" i="332"/>
  <c r="F35" i="332"/>
  <c r="G35" i="332"/>
  <c r="H35" i="332"/>
  <c r="I35" i="332"/>
  <c r="J35" i="332"/>
  <c r="K35" i="332"/>
  <c r="B26" i="332"/>
  <c r="B27" i="332"/>
  <c r="B28" i="332"/>
  <c r="B29" i="332"/>
  <c r="B30" i="332"/>
  <c r="B31" i="332"/>
  <c r="B32" i="332"/>
  <c r="B33" i="332"/>
  <c r="B34" i="332"/>
  <c r="B35" i="332"/>
  <c r="B25" i="332"/>
  <c r="C10" i="332"/>
  <c r="D10" i="332"/>
  <c r="E10" i="332"/>
  <c r="F10" i="332"/>
  <c r="G10" i="332"/>
  <c r="H10" i="332"/>
  <c r="I10" i="332"/>
  <c r="C11" i="332"/>
  <c r="D11" i="332"/>
  <c r="E11" i="332"/>
  <c r="F11" i="332"/>
  <c r="G11" i="332"/>
  <c r="H11" i="332"/>
  <c r="I11" i="332"/>
  <c r="C12" i="332"/>
  <c r="D12" i="332"/>
  <c r="E12" i="332"/>
  <c r="F12" i="332"/>
  <c r="G12" i="332"/>
  <c r="H12" i="332"/>
  <c r="I12" i="332"/>
  <c r="C13" i="332"/>
  <c r="D13" i="332"/>
  <c r="E13" i="332"/>
  <c r="F13" i="332"/>
  <c r="G13" i="332"/>
  <c r="H13" i="332"/>
  <c r="I13" i="332"/>
  <c r="C14" i="332"/>
  <c r="D14" i="332"/>
  <c r="E14" i="332"/>
  <c r="F14" i="332"/>
  <c r="G14" i="332"/>
  <c r="H14" i="332"/>
  <c r="I14" i="332"/>
  <c r="C15" i="332"/>
  <c r="D15" i="332"/>
  <c r="E15" i="332"/>
  <c r="F15" i="332"/>
  <c r="G15" i="332"/>
  <c r="H15" i="332"/>
  <c r="I15" i="332"/>
  <c r="C16" i="332"/>
  <c r="D16" i="332"/>
  <c r="E16" i="332"/>
  <c r="F16" i="332"/>
  <c r="G16" i="332"/>
  <c r="H16" i="332"/>
  <c r="I16" i="332"/>
  <c r="C17" i="332"/>
  <c r="D17" i="332"/>
  <c r="E17" i="332"/>
  <c r="F17" i="332"/>
  <c r="G17" i="332"/>
  <c r="H17" i="332"/>
  <c r="I17" i="332"/>
  <c r="C18" i="332"/>
  <c r="D18" i="332"/>
  <c r="E18" i="332"/>
  <c r="F18" i="332"/>
  <c r="G18" i="332"/>
  <c r="H18" i="332"/>
  <c r="I18" i="332"/>
  <c r="C19" i="332"/>
  <c r="D19" i="332"/>
  <c r="E19" i="332"/>
  <c r="F19" i="332"/>
  <c r="G19" i="332"/>
  <c r="H19" i="332"/>
  <c r="I19" i="332"/>
  <c r="C20" i="332"/>
  <c r="D20" i="332"/>
  <c r="E20" i="332"/>
  <c r="F20" i="332"/>
  <c r="G20" i="332"/>
  <c r="H20" i="332"/>
  <c r="I20" i="332"/>
  <c r="B11" i="332"/>
  <c r="B12" i="332"/>
  <c r="B13" i="332"/>
  <c r="B14" i="332"/>
  <c r="B15" i="332"/>
  <c r="B16" i="332"/>
  <c r="B17" i="332"/>
  <c r="B18" i="332"/>
  <c r="B19" i="332"/>
  <c r="B20" i="332"/>
  <c r="B10" i="332"/>
  <c r="A35" i="332"/>
  <c r="A51" i="332" s="1"/>
  <c r="A33" i="332"/>
  <c r="A49" i="332" s="1"/>
  <c r="A32" i="332"/>
  <c r="A48" i="332" s="1"/>
  <c r="A31" i="332"/>
  <c r="A47" i="332" s="1"/>
  <c r="A30" i="332"/>
  <c r="A46" i="332" s="1"/>
  <c r="A29" i="332"/>
  <c r="A45" i="332" s="1"/>
  <c r="A28" i="332"/>
  <c r="A44" i="332" s="1"/>
  <c r="A27" i="332"/>
  <c r="A43" i="332" s="1"/>
  <c r="A26" i="332"/>
  <c r="A42" i="332" s="1"/>
  <c r="A25" i="332"/>
  <c r="A41" i="332" s="1"/>
  <c r="T125" i="330"/>
  <c r="K44" i="330" l="1"/>
  <c r="O121" i="330"/>
  <c r="M82" i="330"/>
  <c r="J10" i="332"/>
  <c r="L25" i="332"/>
  <c r="L35" i="332"/>
  <c r="N48" i="332"/>
  <c r="N50" i="332"/>
  <c r="J15" i="332"/>
  <c r="L28" i="332"/>
  <c r="L32" i="332"/>
  <c r="N41" i="332"/>
  <c r="L29" i="332"/>
  <c r="N45" i="332"/>
  <c r="N42" i="332"/>
  <c r="N49" i="332"/>
  <c r="L31" i="332"/>
  <c r="J13" i="332"/>
  <c r="N43" i="332"/>
  <c r="N44" i="332"/>
  <c r="N47" i="332"/>
  <c r="L33" i="332"/>
  <c r="N46" i="332"/>
  <c r="J12" i="332"/>
  <c r="L27" i="332"/>
  <c r="J14" i="332"/>
  <c r="L30" i="332"/>
  <c r="J16" i="332"/>
  <c r="J17" i="332"/>
  <c r="J18" i="332"/>
  <c r="J11" i="332"/>
  <c r="J19" i="332"/>
  <c r="L26" i="332"/>
  <c r="L34" i="332"/>
  <c r="J20" i="332"/>
  <c r="A34" i="332"/>
  <c r="N51" i="332"/>
  <c r="A40" i="329"/>
  <c r="A39" i="329"/>
  <c r="A38" i="329"/>
  <c r="A58" i="329" s="1"/>
  <c r="A37" i="329"/>
  <c r="A57" i="329" s="1"/>
  <c r="A36" i="329"/>
  <c r="A56" i="329" s="1"/>
  <c r="A35" i="329"/>
  <c r="A55" i="329" s="1"/>
  <c r="A34" i="329"/>
  <c r="A54" i="329" s="1"/>
  <c r="A33" i="329"/>
  <c r="A53" i="329" s="1"/>
  <c r="A32" i="329"/>
  <c r="A52" i="329" s="1"/>
  <c r="A31" i="329"/>
  <c r="A51" i="329" s="1"/>
  <c r="A30" i="329"/>
  <c r="A50" i="329" s="1"/>
  <c r="H11" i="131"/>
  <c r="H12" i="131"/>
  <c r="H14" i="131"/>
  <c r="H13" i="131"/>
  <c r="H10" i="131"/>
  <c r="H15" i="131"/>
  <c r="A60" i="329" l="1"/>
  <c r="A62" i="329" s="1"/>
  <c r="A43" i="329"/>
  <c r="L30" i="329"/>
  <c r="L33" i="329"/>
  <c r="N54" i="329"/>
  <c r="L40" i="329"/>
  <c r="L44" i="329" s="1"/>
  <c r="L45" i="329" s="1"/>
  <c r="L32" i="329"/>
  <c r="L37" i="329"/>
  <c r="L34" i="329"/>
  <c r="L36" i="329"/>
  <c r="A50" i="332"/>
  <c r="L39" i="329"/>
  <c r="L35" i="329"/>
  <c r="N56" i="329"/>
  <c r="J14" i="329"/>
  <c r="L31" i="329"/>
  <c r="L38" i="329"/>
  <c r="N52" i="329"/>
  <c r="J10" i="329"/>
  <c r="J13" i="329"/>
  <c r="J20" i="329"/>
  <c r="J24" i="329" s="1"/>
  <c r="J25" i="329" s="1"/>
  <c r="J19" i="329"/>
  <c r="J12" i="329"/>
  <c r="J11" i="329"/>
  <c r="N50" i="329"/>
  <c r="N53" i="329"/>
  <c r="N55" i="329"/>
  <c r="J17" i="329"/>
  <c r="N59" i="329"/>
  <c r="N51" i="329"/>
  <c r="J16" i="329"/>
  <c r="N58" i="329"/>
  <c r="J15" i="329"/>
  <c r="J18" i="329"/>
  <c r="N57" i="329"/>
  <c r="N60" i="329"/>
  <c r="N63" i="329" s="1"/>
  <c r="N64" i="329" s="1"/>
  <c r="A59" i="329"/>
  <c r="N39" i="240"/>
  <c r="O39" i="240"/>
  <c r="N40" i="240"/>
  <c r="O40" i="240"/>
  <c r="N41" i="240"/>
  <c r="O41" i="240"/>
  <c r="N42" i="240"/>
  <c r="O42" i="240"/>
  <c r="N43" i="240"/>
  <c r="O43" i="240"/>
  <c r="N44" i="240"/>
  <c r="O44" i="240"/>
  <c r="N45" i="240"/>
  <c r="O45" i="240"/>
  <c r="N46" i="240"/>
  <c r="O46" i="240"/>
  <c r="N47" i="240"/>
  <c r="O47" i="240"/>
  <c r="N48" i="240"/>
  <c r="O48" i="240"/>
  <c r="N49" i="240"/>
  <c r="O49" i="240"/>
  <c r="N50" i="240"/>
  <c r="O50" i="240"/>
  <c r="N51" i="240"/>
  <c r="O51" i="240"/>
  <c r="N52" i="240"/>
  <c r="O52" i="240"/>
  <c r="N53" i="240"/>
  <c r="O53" i="240"/>
  <c r="N54" i="240"/>
  <c r="O54" i="240"/>
  <c r="N55" i="240"/>
  <c r="O55" i="240"/>
  <c r="N56" i="240"/>
  <c r="O56" i="240"/>
  <c r="O38" i="240"/>
  <c r="N38" i="240"/>
  <c r="F39" i="240"/>
  <c r="G39" i="240"/>
  <c r="F40" i="240"/>
  <c r="G40" i="240"/>
  <c r="F41" i="240"/>
  <c r="G41" i="240"/>
  <c r="F42" i="240"/>
  <c r="G42" i="240"/>
  <c r="F43" i="240"/>
  <c r="G43" i="240"/>
  <c r="F44" i="240"/>
  <c r="G44" i="240"/>
  <c r="F45" i="240"/>
  <c r="G45" i="240"/>
  <c r="F46" i="240"/>
  <c r="G46" i="240"/>
  <c r="F47" i="240"/>
  <c r="G47" i="240"/>
  <c r="F48" i="240"/>
  <c r="G48" i="240"/>
  <c r="F49" i="240"/>
  <c r="G49" i="240"/>
  <c r="F50" i="240"/>
  <c r="G50" i="240"/>
  <c r="F51" i="240"/>
  <c r="G51" i="240"/>
  <c r="F52" i="240"/>
  <c r="G52" i="240"/>
  <c r="F53" i="240"/>
  <c r="G53" i="240"/>
  <c r="F54" i="240"/>
  <c r="G54" i="240"/>
  <c r="F55" i="240"/>
  <c r="G55" i="240"/>
  <c r="F56" i="240"/>
  <c r="G56" i="240"/>
  <c r="G38" i="240"/>
  <c r="F38" i="240"/>
  <c r="N11" i="240"/>
  <c r="O11" i="240"/>
  <c r="N12" i="240"/>
  <c r="O12" i="240"/>
  <c r="N13" i="240"/>
  <c r="O13" i="240"/>
  <c r="N14" i="240"/>
  <c r="O14" i="240"/>
  <c r="N15" i="240"/>
  <c r="O15" i="240"/>
  <c r="N16" i="240"/>
  <c r="O16" i="240"/>
  <c r="N17" i="240"/>
  <c r="O17" i="240"/>
  <c r="N18" i="240"/>
  <c r="O18" i="240"/>
  <c r="N19" i="240"/>
  <c r="O19" i="240"/>
  <c r="N20" i="240"/>
  <c r="O20" i="240"/>
  <c r="N21" i="240"/>
  <c r="O21" i="240"/>
  <c r="N22" i="240"/>
  <c r="O22" i="240"/>
  <c r="N23" i="240"/>
  <c r="O23" i="240"/>
  <c r="N24" i="240"/>
  <c r="O24" i="240"/>
  <c r="N25" i="240"/>
  <c r="O25" i="240"/>
  <c r="N26" i="240"/>
  <c r="O26" i="240"/>
  <c r="N27" i="240"/>
  <c r="O27" i="240"/>
  <c r="N28" i="240"/>
  <c r="O28" i="240"/>
  <c r="O10" i="240"/>
  <c r="N10" i="240"/>
  <c r="F11" i="240"/>
  <c r="G11" i="240"/>
  <c r="F12" i="240"/>
  <c r="G12" i="240"/>
  <c r="F13" i="240"/>
  <c r="G13" i="240"/>
  <c r="F14" i="240"/>
  <c r="G14" i="240"/>
  <c r="F15" i="240"/>
  <c r="G15" i="240"/>
  <c r="F16" i="240"/>
  <c r="G16" i="240"/>
  <c r="F17" i="240"/>
  <c r="G17" i="240"/>
  <c r="F18" i="240"/>
  <c r="G18" i="240"/>
  <c r="F19" i="240"/>
  <c r="G19" i="240"/>
  <c r="F20" i="240"/>
  <c r="G20" i="240"/>
  <c r="F21" i="240"/>
  <c r="G21" i="240"/>
  <c r="F22" i="240"/>
  <c r="G22" i="240"/>
  <c r="F23" i="240"/>
  <c r="G23" i="240"/>
  <c r="F24" i="240"/>
  <c r="G24" i="240"/>
  <c r="F25" i="240"/>
  <c r="G25" i="240"/>
  <c r="F26" i="240"/>
  <c r="G26" i="240"/>
  <c r="F27" i="240"/>
  <c r="G27" i="240"/>
  <c r="F28" i="240"/>
  <c r="G28" i="240"/>
  <c r="G10" i="240"/>
  <c r="F10" i="240"/>
  <c r="N38" i="166"/>
  <c r="O38" i="166"/>
  <c r="N39" i="166"/>
  <c r="O39" i="166"/>
  <c r="N40" i="166"/>
  <c r="O40" i="166"/>
  <c r="N41" i="166"/>
  <c r="O41" i="166"/>
  <c r="N42" i="166"/>
  <c r="O42" i="166"/>
  <c r="N43" i="166"/>
  <c r="O43" i="166"/>
  <c r="N44" i="166"/>
  <c r="O44" i="166"/>
  <c r="N45" i="166"/>
  <c r="O45" i="166"/>
  <c r="N46" i="166"/>
  <c r="O46" i="166"/>
  <c r="N47" i="166"/>
  <c r="O47" i="166"/>
  <c r="N48" i="166"/>
  <c r="O48" i="166"/>
  <c r="N49" i="166"/>
  <c r="O49" i="166"/>
  <c r="N50" i="166"/>
  <c r="O50" i="166"/>
  <c r="N51" i="166"/>
  <c r="O51" i="166"/>
  <c r="N52" i="166"/>
  <c r="O52" i="166"/>
  <c r="N53" i="166"/>
  <c r="O53" i="166"/>
  <c r="N54" i="166"/>
  <c r="O54" i="166"/>
  <c r="N55" i="166"/>
  <c r="O55" i="166"/>
  <c r="O37" i="166"/>
  <c r="N37" i="166"/>
  <c r="F38" i="166"/>
  <c r="G38" i="166"/>
  <c r="F39" i="166"/>
  <c r="G39" i="166"/>
  <c r="F40" i="166"/>
  <c r="G40" i="166"/>
  <c r="F41" i="166"/>
  <c r="G41" i="166"/>
  <c r="F42" i="166"/>
  <c r="G42" i="166"/>
  <c r="F43" i="166"/>
  <c r="G43" i="166"/>
  <c r="F44" i="166"/>
  <c r="G44" i="166"/>
  <c r="F45" i="166"/>
  <c r="G45" i="166"/>
  <c r="F46" i="166"/>
  <c r="G46" i="166"/>
  <c r="F47" i="166"/>
  <c r="G47" i="166"/>
  <c r="F48" i="166"/>
  <c r="G48" i="166"/>
  <c r="F49" i="166"/>
  <c r="G49" i="166"/>
  <c r="F50" i="166"/>
  <c r="G50" i="166"/>
  <c r="F51" i="166"/>
  <c r="G51" i="166"/>
  <c r="F52" i="166"/>
  <c r="G52" i="166"/>
  <c r="F53" i="166"/>
  <c r="G53" i="166"/>
  <c r="F54" i="166"/>
  <c r="G54" i="166"/>
  <c r="F55" i="166"/>
  <c r="G55" i="166"/>
  <c r="G37" i="166"/>
  <c r="F37" i="166"/>
  <c r="N11" i="166"/>
  <c r="O11" i="166"/>
  <c r="N12" i="166"/>
  <c r="O12" i="166"/>
  <c r="N13" i="166"/>
  <c r="O13" i="166"/>
  <c r="N14" i="166"/>
  <c r="O14" i="166"/>
  <c r="N15" i="166"/>
  <c r="O15" i="166"/>
  <c r="N16" i="166"/>
  <c r="O16" i="166"/>
  <c r="N17" i="166"/>
  <c r="O17" i="166"/>
  <c r="N18" i="166"/>
  <c r="O18" i="166"/>
  <c r="N19" i="166"/>
  <c r="O19" i="166"/>
  <c r="N20" i="166"/>
  <c r="O20" i="166"/>
  <c r="N21" i="166"/>
  <c r="O21" i="166"/>
  <c r="N22" i="166"/>
  <c r="O22" i="166"/>
  <c r="N23" i="166"/>
  <c r="O23" i="166"/>
  <c r="N24" i="166"/>
  <c r="O24" i="166"/>
  <c r="N25" i="166"/>
  <c r="O25" i="166"/>
  <c r="N26" i="166"/>
  <c r="O26" i="166"/>
  <c r="N27" i="166"/>
  <c r="O27" i="166"/>
  <c r="N28" i="166"/>
  <c r="O28" i="166"/>
  <c r="O10" i="166"/>
  <c r="N10" i="166"/>
  <c r="F11" i="166"/>
  <c r="G11" i="166"/>
  <c r="F12" i="166"/>
  <c r="G12" i="166"/>
  <c r="F13" i="166"/>
  <c r="G13" i="166"/>
  <c r="F14" i="166"/>
  <c r="G14" i="166"/>
  <c r="F15" i="166"/>
  <c r="G15" i="166"/>
  <c r="F16" i="166"/>
  <c r="G16" i="166"/>
  <c r="F17" i="166"/>
  <c r="G17" i="166"/>
  <c r="F18" i="166"/>
  <c r="G18" i="166"/>
  <c r="F19" i="166"/>
  <c r="G19" i="166"/>
  <c r="F20" i="166"/>
  <c r="G20" i="166"/>
  <c r="F21" i="166"/>
  <c r="G21" i="166"/>
  <c r="F22" i="166"/>
  <c r="G22" i="166"/>
  <c r="F23" i="166"/>
  <c r="G23" i="166"/>
  <c r="F24" i="166"/>
  <c r="G24" i="166"/>
  <c r="F25" i="166"/>
  <c r="G25" i="166"/>
  <c r="F26" i="166"/>
  <c r="G26" i="166"/>
  <c r="F27" i="166"/>
  <c r="G27" i="166"/>
  <c r="F28" i="166"/>
  <c r="G28" i="166"/>
  <c r="G10" i="166"/>
  <c r="F10" i="166"/>
  <c r="F66" i="14"/>
  <c r="G66" i="14"/>
  <c r="F57" i="14"/>
  <c r="G57" i="14"/>
  <c r="F58" i="14"/>
  <c r="G58" i="14"/>
  <c r="F59" i="14"/>
  <c r="G59" i="14"/>
  <c r="F60" i="14"/>
  <c r="G60" i="14"/>
  <c r="F61" i="14"/>
  <c r="G61" i="14"/>
  <c r="F62" i="14"/>
  <c r="G62" i="14"/>
  <c r="F63" i="14"/>
  <c r="G63" i="14"/>
  <c r="F64" i="14"/>
  <c r="G64" i="14"/>
  <c r="F65" i="14"/>
  <c r="G65" i="14"/>
  <c r="G56" i="14"/>
  <c r="F56" i="14"/>
  <c r="B57" i="14"/>
  <c r="B70" i="14" s="1"/>
  <c r="C57" i="14"/>
  <c r="C70" i="14" s="1"/>
  <c r="B58" i="14"/>
  <c r="C58" i="14"/>
  <c r="B59" i="14"/>
  <c r="C59" i="14"/>
  <c r="B60" i="14"/>
  <c r="C60" i="14"/>
  <c r="B61" i="14"/>
  <c r="C61" i="14"/>
  <c r="B62" i="14"/>
  <c r="C62" i="14"/>
  <c r="B63" i="14"/>
  <c r="C63" i="14"/>
  <c r="B64" i="14"/>
  <c r="B69" i="14" s="1"/>
  <c r="C64" i="14"/>
  <c r="C69" i="14" s="1"/>
  <c r="B65" i="14"/>
  <c r="C65" i="14"/>
  <c r="B66" i="14"/>
  <c r="B68" i="14" s="1"/>
  <c r="C66" i="14"/>
  <c r="C68" i="14" s="1"/>
  <c r="C56" i="14"/>
  <c r="B56" i="14"/>
  <c r="G47" i="14"/>
  <c r="F47" i="14"/>
  <c r="G37" i="14"/>
  <c r="G38" i="14"/>
  <c r="G39" i="14"/>
  <c r="G40" i="14"/>
  <c r="G41" i="14"/>
  <c r="G42" i="14"/>
  <c r="G43" i="14"/>
  <c r="G44" i="14"/>
  <c r="G45" i="14"/>
  <c r="G46" i="14"/>
  <c r="F38" i="14"/>
  <c r="F39" i="14"/>
  <c r="F40" i="14"/>
  <c r="F41" i="14"/>
  <c r="F42" i="14"/>
  <c r="F43" i="14"/>
  <c r="F44" i="14"/>
  <c r="F45" i="14"/>
  <c r="F46" i="14"/>
  <c r="F37" i="14"/>
  <c r="F28" i="14"/>
  <c r="G28" i="14"/>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G10" i="14"/>
  <c r="F10" i="14"/>
  <c r="B34" i="290" l="1"/>
  <c r="C34" i="290"/>
  <c r="D34" i="290"/>
  <c r="E34" i="290"/>
  <c r="F34" i="290"/>
  <c r="G34" i="290"/>
  <c r="J34" i="290"/>
  <c r="K34" i="290"/>
  <c r="L34" i="290"/>
  <c r="M34" i="290"/>
  <c r="N34" i="290"/>
  <c r="O34" i="290"/>
  <c r="B35" i="290"/>
  <c r="C35" i="290"/>
  <c r="D35" i="290"/>
  <c r="E35" i="290"/>
  <c r="F35" i="290"/>
  <c r="G35" i="290"/>
  <c r="J35" i="290"/>
  <c r="K35" i="290"/>
  <c r="L35" i="290"/>
  <c r="M35" i="290"/>
  <c r="N35" i="290"/>
  <c r="O35" i="290"/>
  <c r="A18" i="290"/>
  <c r="A34" i="290" s="1"/>
  <c r="B18" i="290"/>
  <c r="C18" i="290"/>
  <c r="D18" i="290"/>
  <c r="E18" i="290"/>
  <c r="F18" i="290"/>
  <c r="G18" i="290"/>
  <c r="J18" i="290"/>
  <c r="K18" i="290"/>
  <c r="L18" i="290"/>
  <c r="M18" i="290"/>
  <c r="N18" i="290"/>
  <c r="O18" i="290"/>
  <c r="A19" i="290"/>
  <c r="A35" i="290" s="1"/>
  <c r="B19" i="290"/>
  <c r="C19" i="290"/>
  <c r="D19" i="290"/>
  <c r="E19" i="290"/>
  <c r="F19" i="290"/>
  <c r="G19" i="290"/>
  <c r="J19" i="290"/>
  <c r="K19" i="290"/>
  <c r="L19" i="290"/>
  <c r="M19" i="290"/>
  <c r="N19" i="290"/>
  <c r="O19" i="290"/>
  <c r="B57" i="289"/>
  <c r="C57" i="289"/>
  <c r="D57" i="289"/>
  <c r="E57" i="289"/>
  <c r="F57" i="289"/>
  <c r="G57" i="289"/>
  <c r="H57" i="289"/>
  <c r="I57" i="289"/>
  <c r="B58" i="289"/>
  <c r="C58" i="289"/>
  <c r="D58" i="289"/>
  <c r="E58" i="289"/>
  <c r="F58" i="289"/>
  <c r="G58" i="289"/>
  <c r="H58" i="289"/>
  <c r="I58" i="289"/>
  <c r="R40" i="289"/>
  <c r="R41" i="289"/>
  <c r="R42" i="289"/>
  <c r="R43" i="289"/>
  <c r="R44" i="289"/>
  <c r="R45" i="289"/>
  <c r="R46" i="289"/>
  <c r="R39" i="289"/>
  <c r="I40" i="289"/>
  <c r="I41" i="289"/>
  <c r="I42" i="289"/>
  <c r="I43" i="289"/>
  <c r="I44" i="289"/>
  <c r="I45" i="289"/>
  <c r="I46" i="289"/>
  <c r="I39" i="289"/>
  <c r="B45" i="289"/>
  <c r="C45" i="289"/>
  <c r="D45" i="289"/>
  <c r="E45" i="289"/>
  <c r="F45" i="289"/>
  <c r="G45" i="289"/>
  <c r="K45" i="289"/>
  <c r="L45" i="289"/>
  <c r="M45" i="289"/>
  <c r="N45" i="289"/>
  <c r="O45" i="289"/>
  <c r="P45" i="289"/>
  <c r="B46" i="289"/>
  <c r="C46" i="289"/>
  <c r="D46" i="289"/>
  <c r="E46" i="289"/>
  <c r="F46" i="289"/>
  <c r="G46" i="289"/>
  <c r="K46" i="289"/>
  <c r="L46" i="289"/>
  <c r="M46" i="289"/>
  <c r="N46" i="289"/>
  <c r="O46" i="289"/>
  <c r="P46" i="289"/>
  <c r="R28" i="289"/>
  <c r="R29" i="289"/>
  <c r="R30" i="289"/>
  <c r="R31" i="289"/>
  <c r="R32" i="289"/>
  <c r="R33" i="289"/>
  <c r="R34" i="289"/>
  <c r="R27" i="289"/>
  <c r="B33" i="289"/>
  <c r="C33" i="289"/>
  <c r="D33" i="289"/>
  <c r="E33" i="289"/>
  <c r="F33" i="289"/>
  <c r="G33" i="289"/>
  <c r="H33" i="289"/>
  <c r="K33" i="289"/>
  <c r="L33" i="289"/>
  <c r="M33" i="289"/>
  <c r="N33" i="289"/>
  <c r="O33" i="289"/>
  <c r="P33" i="289"/>
  <c r="B34" i="289"/>
  <c r="C34" i="289"/>
  <c r="D34" i="289"/>
  <c r="E34" i="289"/>
  <c r="F34" i="289"/>
  <c r="G34" i="289"/>
  <c r="H34" i="289"/>
  <c r="K34" i="289"/>
  <c r="L34" i="289"/>
  <c r="M34" i="289"/>
  <c r="N34" i="289"/>
  <c r="O34" i="289"/>
  <c r="P34" i="289"/>
  <c r="R13" i="289"/>
  <c r="R14" i="289"/>
  <c r="R15" i="289"/>
  <c r="R16" i="289"/>
  <c r="R17" i="289"/>
  <c r="R18" i="289"/>
  <c r="R19" i="289"/>
  <c r="R12" i="289"/>
  <c r="I13" i="289"/>
  <c r="I14" i="289"/>
  <c r="I15" i="289"/>
  <c r="I16" i="289"/>
  <c r="I17" i="289"/>
  <c r="I18" i="289"/>
  <c r="I19" i="289"/>
  <c r="I12" i="289"/>
  <c r="A18" i="289"/>
  <c r="A33" i="289" s="1"/>
  <c r="A45" i="289" s="1"/>
  <c r="A57" i="289" s="1"/>
  <c r="B18" i="289"/>
  <c r="C18" i="289"/>
  <c r="D18" i="289"/>
  <c r="E18" i="289"/>
  <c r="F18" i="289"/>
  <c r="G18" i="289"/>
  <c r="K18" i="289"/>
  <c r="L18" i="289"/>
  <c r="M18" i="289"/>
  <c r="N18" i="289"/>
  <c r="O18" i="289"/>
  <c r="P18" i="289"/>
  <c r="A19" i="289"/>
  <c r="A34" i="289" s="1"/>
  <c r="A46" i="289" s="1"/>
  <c r="A58" i="289" s="1"/>
  <c r="B19" i="289"/>
  <c r="C19" i="289"/>
  <c r="D19" i="289"/>
  <c r="E19" i="289"/>
  <c r="F19" i="289"/>
  <c r="G19" i="289"/>
  <c r="K19" i="289"/>
  <c r="L19" i="289"/>
  <c r="M19" i="289"/>
  <c r="N19" i="289"/>
  <c r="O19" i="289"/>
  <c r="P19" i="289"/>
  <c r="B18" i="282"/>
  <c r="G78" i="282"/>
  <c r="B77" i="282"/>
  <c r="C77" i="282"/>
  <c r="D77" i="282"/>
  <c r="E77" i="282"/>
  <c r="F77" i="282"/>
  <c r="G77" i="282"/>
  <c r="B78" i="282"/>
  <c r="C78" i="282"/>
  <c r="D78" i="282"/>
  <c r="E78" i="282"/>
  <c r="F78" i="282"/>
  <c r="B65" i="282"/>
  <c r="C65" i="282"/>
  <c r="D65" i="282"/>
  <c r="E65" i="282"/>
  <c r="F65" i="282"/>
  <c r="G65" i="282"/>
  <c r="B66" i="282"/>
  <c r="C66" i="282"/>
  <c r="D66" i="282"/>
  <c r="E66" i="282"/>
  <c r="F66" i="282"/>
  <c r="G66" i="282"/>
  <c r="B53" i="282"/>
  <c r="C53" i="282"/>
  <c r="D53" i="282"/>
  <c r="E53" i="282"/>
  <c r="F53" i="282"/>
  <c r="G53" i="282"/>
  <c r="B54" i="282"/>
  <c r="C54" i="282"/>
  <c r="D54" i="282"/>
  <c r="E54" i="282"/>
  <c r="F54" i="282"/>
  <c r="G54" i="282"/>
  <c r="B41" i="282"/>
  <c r="C41" i="282"/>
  <c r="D41" i="282"/>
  <c r="E41" i="282"/>
  <c r="F41" i="282"/>
  <c r="G41" i="282"/>
  <c r="B42" i="282"/>
  <c r="C42" i="282"/>
  <c r="D42" i="282"/>
  <c r="E42" i="282"/>
  <c r="F42" i="282"/>
  <c r="G42" i="282"/>
  <c r="B29" i="282"/>
  <c r="C29" i="282"/>
  <c r="D29" i="282"/>
  <c r="E29" i="282"/>
  <c r="F29" i="282"/>
  <c r="G29" i="282"/>
  <c r="B30" i="282"/>
  <c r="C30" i="282"/>
  <c r="D30" i="282"/>
  <c r="E30" i="282"/>
  <c r="F30" i="282"/>
  <c r="G30" i="282"/>
  <c r="A17" i="282"/>
  <c r="A29" i="282" s="1"/>
  <c r="A41" i="282" s="1"/>
  <c r="A53" i="282" s="1"/>
  <c r="A65" i="282" s="1"/>
  <c r="A77" i="282" s="1"/>
  <c r="B17" i="282"/>
  <c r="C17" i="282"/>
  <c r="D17" i="282"/>
  <c r="E17" i="282"/>
  <c r="F17" i="282"/>
  <c r="G17" i="282"/>
  <c r="K17" i="282"/>
  <c r="L17" i="282"/>
  <c r="M17" i="282"/>
  <c r="N17" i="282"/>
  <c r="O17" i="282"/>
  <c r="P17" i="282"/>
  <c r="A18" i="282"/>
  <c r="A30" i="282" s="1"/>
  <c r="A42" i="282" s="1"/>
  <c r="A54" i="282" s="1"/>
  <c r="A66" i="282" s="1"/>
  <c r="A78" i="282" s="1"/>
  <c r="C18" i="282"/>
  <c r="D18" i="282"/>
  <c r="E18" i="282"/>
  <c r="F18" i="282"/>
  <c r="G18" i="282"/>
  <c r="K18" i="282"/>
  <c r="L18" i="282"/>
  <c r="M18" i="282"/>
  <c r="N18" i="282"/>
  <c r="O18" i="282"/>
  <c r="P18" i="282"/>
  <c r="B77" i="281"/>
  <c r="C77" i="281"/>
  <c r="D77" i="281"/>
  <c r="E77" i="281"/>
  <c r="F77" i="281"/>
  <c r="G77" i="281"/>
  <c r="H77" i="281"/>
  <c r="I77" i="281"/>
  <c r="B78" i="281"/>
  <c r="C78" i="281"/>
  <c r="D78" i="281"/>
  <c r="E78" i="281"/>
  <c r="F78" i="281"/>
  <c r="G78" i="281"/>
  <c r="H78" i="281"/>
  <c r="I78" i="281"/>
  <c r="B65" i="281"/>
  <c r="C65" i="281"/>
  <c r="D65" i="281"/>
  <c r="E65" i="281"/>
  <c r="F65" i="281"/>
  <c r="G65" i="281"/>
  <c r="H65" i="281"/>
  <c r="I65" i="281"/>
  <c r="B66" i="281"/>
  <c r="C66" i="281"/>
  <c r="D66" i="281"/>
  <c r="E66" i="281"/>
  <c r="F66" i="281"/>
  <c r="G66" i="281"/>
  <c r="H66" i="281"/>
  <c r="I66" i="281"/>
  <c r="B53" i="281"/>
  <c r="C53" i="281"/>
  <c r="D53" i="281"/>
  <c r="E53" i="281"/>
  <c r="F53" i="281"/>
  <c r="G53" i="281"/>
  <c r="H53" i="281"/>
  <c r="I53" i="281"/>
  <c r="B54" i="281"/>
  <c r="C54" i="281"/>
  <c r="D54" i="281"/>
  <c r="E54" i="281"/>
  <c r="F54" i="281"/>
  <c r="G54" i="281"/>
  <c r="H54" i="281"/>
  <c r="I54" i="281"/>
  <c r="B41" i="281"/>
  <c r="C41" i="281"/>
  <c r="D41" i="281"/>
  <c r="E41" i="281"/>
  <c r="F41" i="281"/>
  <c r="G41" i="281"/>
  <c r="H41" i="281"/>
  <c r="I41" i="281"/>
  <c r="B42" i="281"/>
  <c r="C42" i="281"/>
  <c r="D42" i="281"/>
  <c r="E42" i="281"/>
  <c r="F42" i="281"/>
  <c r="G42" i="281"/>
  <c r="H42" i="281"/>
  <c r="I42" i="281"/>
  <c r="B29" i="281"/>
  <c r="C29" i="281"/>
  <c r="D29" i="281"/>
  <c r="E29" i="281"/>
  <c r="F29" i="281"/>
  <c r="G29" i="281"/>
  <c r="H29" i="281"/>
  <c r="I29" i="281"/>
  <c r="B30" i="281"/>
  <c r="C30" i="281"/>
  <c r="D30" i="281"/>
  <c r="E30" i="281"/>
  <c r="F30" i="281"/>
  <c r="G30" i="281"/>
  <c r="H30" i="281"/>
  <c r="I30" i="281"/>
  <c r="A17" i="281"/>
  <c r="A29" i="281" s="1"/>
  <c r="A41" i="281" s="1"/>
  <c r="A53" i="281" s="1"/>
  <c r="A65" i="281" s="1"/>
  <c r="A77" i="281" s="1"/>
  <c r="B17" i="281"/>
  <c r="C17" i="281"/>
  <c r="D17" i="281"/>
  <c r="E17" i="281"/>
  <c r="F17" i="281"/>
  <c r="G17" i="281"/>
  <c r="H17" i="281"/>
  <c r="I17" i="281"/>
  <c r="A18" i="281"/>
  <c r="A30" i="281" s="1"/>
  <c r="A42" i="281" s="1"/>
  <c r="A54" i="281" s="1"/>
  <c r="A66" i="281" s="1"/>
  <c r="A78" i="281" s="1"/>
  <c r="B18" i="281"/>
  <c r="C18" i="281"/>
  <c r="D18" i="281"/>
  <c r="E18" i="281"/>
  <c r="F18" i="281"/>
  <c r="G18" i="281"/>
  <c r="H18" i="281"/>
  <c r="I18" i="281"/>
  <c r="B37" i="291"/>
  <c r="C37" i="291"/>
  <c r="D37" i="291"/>
  <c r="E37" i="291"/>
  <c r="F37" i="291"/>
  <c r="I37" i="291"/>
  <c r="J37" i="291"/>
  <c r="K37" i="291"/>
  <c r="L37" i="291"/>
  <c r="M37" i="291"/>
  <c r="B38" i="291"/>
  <c r="C38" i="291"/>
  <c r="D38" i="291"/>
  <c r="E38" i="291"/>
  <c r="F38" i="291"/>
  <c r="I38" i="291"/>
  <c r="J38" i="291"/>
  <c r="K38" i="291"/>
  <c r="L38" i="291"/>
  <c r="M38" i="291"/>
  <c r="B19" i="291"/>
  <c r="A18" i="291"/>
  <c r="A37" i="291" s="1"/>
  <c r="B18" i="291"/>
  <c r="C18" i="291"/>
  <c r="D18" i="291"/>
  <c r="E18" i="291"/>
  <c r="F18" i="291"/>
  <c r="I18" i="291"/>
  <c r="J18" i="291"/>
  <c r="K18" i="291"/>
  <c r="L18" i="291"/>
  <c r="M18" i="291"/>
  <c r="P18" i="291"/>
  <c r="Q18" i="291"/>
  <c r="R18" i="291"/>
  <c r="S18" i="291"/>
  <c r="T18" i="291"/>
  <c r="A19" i="291"/>
  <c r="A38" i="291" s="1"/>
  <c r="C19" i="291"/>
  <c r="D19" i="291"/>
  <c r="E19" i="291"/>
  <c r="F19" i="291"/>
  <c r="I19" i="291"/>
  <c r="J19" i="291"/>
  <c r="K19" i="291"/>
  <c r="L19" i="291"/>
  <c r="M19" i="291"/>
  <c r="P19" i="291"/>
  <c r="Q19" i="291"/>
  <c r="R19" i="291"/>
  <c r="S19" i="291"/>
  <c r="T19" i="291"/>
  <c r="P42" i="286"/>
  <c r="P43" i="286"/>
  <c r="P44" i="286"/>
  <c r="P45" i="286"/>
  <c r="P46" i="286"/>
  <c r="P47" i="286"/>
  <c r="P48" i="286"/>
  <c r="P41" i="286"/>
  <c r="N41" i="286"/>
  <c r="H42" i="286"/>
  <c r="H43" i="286"/>
  <c r="H44" i="286"/>
  <c r="H45" i="286"/>
  <c r="H46" i="286"/>
  <c r="H47" i="286"/>
  <c r="H48" i="286"/>
  <c r="H41" i="286"/>
  <c r="F41" i="286"/>
  <c r="P30" i="286"/>
  <c r="P31" i="286"/>
  <c r="P32" i="286"/>
  <c r="P33" i="286"/>
  <c r="P34" i="286"/>
  <c r="P35" i="286"/>
  <c r="P36" i="286"/>
  <c r="P29" i="286"/>
  <c r="P13" i="286"/>
  <c r="P14" i="286"/>
  <c r="P15" i="286"/>
  <c r="P16" i="286"/>
  <c r="P17" i="286"/>
  <c r="P18" i="286"/>
  <c r="P19" i="286"/>
  <c r="P12" i="286"/>
  <c r="H14" i="286"/>
  <c r="H15" i="286"/>
  <c r="H16" i="286"/>
  <c r="H17" i="286"/>
  <c r="H18" i="286"/>
  <c r="H19" i="286"/>
  <c r="H13" i="286"/>
  <c r="H12" i="286"/>
  <c r="F12" i="286"/>
  <c r="B59" i="286"/>
  <c r="C59" i="286"/>
  <c r="D59" i="286"/>
  <c r="E59" i="286"/>
  <c r="F59" i="286"/>
  <c r="G59" i="286"/>
  <c r="B60" i="286"/>
  <c r="C60" i="286"/>
  <c r="D60" i="286"/>
  <c r="E60" i="286"/>
  <c r="F60" i="286"/>
  <c r="G60" i="286"/>
  <c r="B47" i="286"/>
  <c r="C47" i="286"/>
  <c r="D47" i="286"/>
  <c r="E47" i="286"/>
  <c r="F47" i="286"/>
  <c r="J47" i="286"/>
  <c r="K47" i="286"/>
  <c r="L47" i="286"/>
  <c r="M47" i="286"/>
  <c r="N47" i="286"/>
  <c r="B48" i="286"/>
  <c r="C48" i="286"/>
  <c r="D48" i="286"/>
  <c r="E48" i="286"/>
  <c r="F48" i="286"/>
  <c r="J48" i="286"/>
  <c r="K48" i="286"/>
  <c r="L48" i="286"/>
  <c r="M48" i="286"/>
  <c r="N48" i="286"/>
  <c r="B35" i="286"/>
  <c r="C35" i="286"/>
  <c r="D35" i="286"/>
  <c r="E35" i="286"/>
  <c r="F35" i="286"/>
  <c r="G35" i="286"/>
  <c r="J35" i="286"/>
  <c r="K35" i="286"/>
  <c r="L35" i="286"/>
  <c r="M35" i="286"/>
  <c r="N35" i="286"/>
  <c r="B36" i="286"/>
  <c r="C36" i="286"/>
  <c r="D36" i="286"/>
  <c r="E36" i="286"/>
  <c r="F36" i="286"/>
  <c r="G36" i="286"/>
  <c r="J36" i="286"/>
  <c r="K36" i="286"/>
  <c r="L36" i="286"/>
  <c r="M36" i="286"/>
  <c r="N36" i="286"/>
  <c r="A18" i="286"/>
  <c r="A35" i="286" s="1"/>
  <c r="A47" i="286" s="1"/>
  <c r="A59" i="286" s="1"/>
  <c r="B18" i="286"/>
  <c r="C18" i="286"/>
  <c r="D18" i="286"/>
  <c r="E18" i="286"/>
  <c r="F18" i="286"/>
  <c r="J18" i="286"/>
  <c r="K18" i="286"/>
  <c r="L18" i="286"/>
  <c r="M18" i="286"/>
  <c r="N18" i="286"/>
  <c r="A19" i="286"/>
  <c r="A36" i="286" s="1"/>
  <c r="A48" i="286" s="1"/>
  <c r="A60" i="286" s="1"/>
  <c r="B19" i="286"/>
  <c r="C19" i="286"/>
  <c r="D19" i="286"/>
  <c r="E19" i="286"/>
  <c r="F19" i="286"/>
  <c r="J19" i="286"/>
  <c r="K19" i="286"/>
  <c r="L19" i="286"/>
  <c r="M19" i="286"/>
  <c r="N19" i="286"/>
  <c r="B41" i="280"/>
  <c r="C41" i="280"/>
  <c r="D41" i="280"/>
  <c r="E41" i="280"/>
  <c r="F41" i="280"/>
  <c r="B42" i="280"/>
  <c r="C42" i="280"/>
  <c r="D42" i="280"/>
  <c r="E42" i="280"/>
  <c r="F42" i="280"/>
  <c r="B29" i="280"/>
  <c r="C29" i="280"/>
  <c r="D29" i="280"/>
  <c r="E29" i="280"/>
  <c r="F29" i="280"/>
  <c r="B30" i="280"/>
  <c r="C30" i="280"/>
  <c r="D30" i="280"/>
  <c r="E30" i="280"/>
  <c r="F30" i="280"/>
  <c r="A17" i="280"/>
  <c r="A29" i="280" s="1"/>
  <c r="A41" i="280" s="1"/>
  <c r="B17" i="280"/>
  <c r="C17" i="280"/>
  <c r="D17" i="280"/>
  <c r="E17" i="280"/>
  <c r="F17" i="280"/>
  <c r="I17" i="280"/>
  <c r="J17" i="280"/>
  <c r="K17" i="280"/>
  <c r="L17" i="280"/>
  <c r="M17" i="280"/>
  <c r="A18" i="280"/>
  <c r="A30" i="280" s="1"/>
  <c r="B18" i="280"/>
  <c r="C18" i="280"/>
  <c r="D18" i="280"/>
  <c r="E18" i="280"/>
  <c r="F18" i="280"/>
  <c r="I18" i="280"/>
  <c r="J18" i="280"/>
  <c r="K18" i="280"/>
  <c r="L18" i="280"/>
  <c r="M18" i="280"/>
  <c r="B77" i="279"/>
  <c r="C77" i="279"/>
  <c r="D77" i="279"/>
  <c r="E77" i="279"/>
  <c r="F77" i="279"/>
  <c r="G77" i="279"/>
  <c r="B78" i="279"/>
  <c r="C78" i="279"/>
  <c r="D78" i="279"/>
  <c r="E78" i="279"/>
  <c r="F78" i="279"/>
  <c r="G78" i="279"/>
  <c r="B65" i="279"/>
  <c r="C65" i="279"/>
  <c r="D65" i="279"/>
  <c r="E65" i="279"/>
  <c r="F65" i="279"/>
  <c r="G65" i="279"/>
  <c r="B66" i="279"/>
  <c r="C66" i="279"/>
  <c r="D66" i="279"/>
  <c r="E66" i="279"/>
  <c r="F66" i="279"/>
  <c r="G66" i="279"/>
  <c r="B53" i="279"/>
  <c r="C53" i="279"/>
  <c r="D53" i="279"/>
  <c r="E53" i="279"/>
  <c r="F53" i="279"/>
  <c r="G53" i="279"/>
  <c r="B54" i="279"/>
  <c r="C54" i="279"/>
  <c r="D54" i="279"/>
  <c r="E54" i="279"/>
  <c r="F54" i="279"/>
  <c r="G54" i="279"/>
  <c r="B42" i="279"/>
  <c r="C42" i="279"/>
  <c r="D42" i="279"/>
  <c r="E42" i="279"/>
  <c r="F42" i="279"/>
  <c r="G42" i="279"/>
  <c r="B41" i="279"/>
  <c r="C41" i="279"/>
  <c r="D41" i="279"/>
  <c r="E41" i="279"/>
  <c r="F41" i="279"/>
  <c r="G41" i="279"/>
  <c r="B29" i="279"/>
  <c r="C29" i="279"/>
  <c r="D29" i="279"/>
  <c r="E29" i="279"/>
  <c r="F29" i="279"/>
  <c r="G29" i="279"/>
  <c r="B30" i="279"/>
  <c r="C30" i="279"/>
  <c r="D30" i="279"/>
  <c r="E30" i="279"/>
  <c r="F30" i="279"/>
  <c r="G30" i="279"/>
  <c r="A17" i="279"/>
  <c r="A29" i="279" s="1"/>
  <c r="A41" i="279" s="1"/>
  <c r="A53" i="279" s="1"/>
  <c r="A65" i="279" s="1"/>
  <c r="A77" i="279" s="1"/>
  <c r="B17" i="279"/>
  <c r="C17" i="279"/>
  <c r="D17" i="279"/>
  <c r="E17" i="279"/>
  <c r="F17" i="279"/>
  <c r="G17" i="279"/>
  <c r="A18" i="279"/>
  <c r="A30" i="279" s="1"/>
  <c r="A42" i="279" s="1"/>
  <c r="A54" i="279" s="1"/>
  <c r="A66" i="279" s="1"/>
  <c r="A78" i="279" s="1"/>
  <c r="B18" i="279"/>
  <c r="C18" i="279"/>
  <c r="D18" i="279"/>
  <c r="E18" i="279"/>
  <c r="F18" i="279"/>
  <c r="G18" i="279"/>
  <c r="G18" i="286" l="1"/>
  <c r="Q33" i="289"/>
  <c r="H53" i="279"/>
  <c r="H77" i="279"/>
  <c r="H54" i="279"/>
  <c r="H30" i="279"/>
  <c r="H45" i="289"/>
  <c r="H17" i="279"/>
  <c r="H46" i="289"/>
  <c r="Q46" i="289"/>
  <c r="G47" i="286"/>
  <c r="O47" i="286"/>
  <c r="Q45" i="289"/>
  <c r="O48" i="286"/>
  <c r="H29" i="279"/>
  <c r="H60" i="286"/>
  <c r="A42" i="280"/>
  <c r="O35" i="286"/>
  <c r="H18" i="279"/>
  <c r="H78" i="279"/>
  <c r="G19" i="286"/>
  <c r="H42" i="279"/>
  <c r="O19" i="286"/>
  <c r="Q19" i="289"/>
  <c r="H65" i="279"/>
  <c r="H59" i="286"/>
  <c r="O18" i="286"/>
  <c r="G48" i="286"/>
  <c r="H66" i="279"/>
  <c r="H18" i="289"/>
  <c r="Q18" i="289"/>
  <c r="H41" i="279"/>
  <c r="H36" i="286"/>
  <c r="O36" i="286"/>
  <c r="I33" i="289"/>
  <c r="I34" i="289"/>
  <c r="Q34" i="289"/>
  <c r="H19" i="289"/>
  <c r="H35" i="286"/>
  <c r="H42" i="278"/>
  <c r="A57" i="14" l="1"/>
  <c r="A70" i="14" s="1"/>
  <c r="B38" i="14"/>
  <c r="B51" i="14" s="1"/>
  <c r="C51" i="14"/>
  <c r="A58" i="14"/>
  <c r="B39" i="14"/>
  <c r="A59" i="14"/>
  <c r="B40" i="14"/>
  <c r="A60" i="14"/>
  <c r="B41" i="14"/>
  <c r="A61" i="14"/>
  <c r="B42" i="14"/>
  <c r="A62" i="14"/>
  <c r="B43" i="14"/>
  <c r="A63" i="14"/>
  <c r="B44" i="14"/>
  <c r="A64" i="14"/>
  <c r="A69" i="14" s="1"/>
  <c r="B45" i="14"/>
  <c r="B50" i="14" s="1"/>
  <c r="C50" i="14"/>
  <c r="A65" i="14"/>
  <c r="B46" i="14"/>
  <c r="A66" i="14"/>
  <c r="A68" i="14" s="1"/>
  <c r="B47" i="14"/>
  <c r="B49" i="14" s="1"/>
  <c r="C49" i="14"/>
  <c r="A17" i="14"/>
  <c r="B17" i="14"/>
  <c r="C17" i="14"/>
  <c r="D17" i="14"/>
  <c r="A18" i="14"/>
  <c r="B18" i="14"/>
  <c r="C18" i="14"/>
  <c r="A19" i="14"/>
  <c r="B19" i="14"/>
  <c r="B32" i="14" s="1"/>
  <c r="C19" i="14"/>
  <c r="C32" i="14" s="1"/>
  <c r="A20" i="14"/>
  <c r="B20" i="14"/>
  <c r="C20" i="14"/>
  <c r="A21" i="14"/>
  <c r="B21" i="14"/>
  <c r="C21" i="14"/>
  <c r="A22" i="14"/>
  <c r="B22" i="14"/>
  <c r="C22" i="14"/>
  <c r="A23" i="14"/>
  <c r="B23" i="14"/>
  <c r="C23" i="14"/>
  <c r="A24" i="14"/>
  <c r="B24" i="14"/>
  <c r="C24" i="14"/>
  <c r="A25" i="14"/>
  <c r="B25" i="14"/>
  <c r="C25" i="14"/>
  <c r="A26" i="14"/>
  <c r="B26" i="14"/>
  <c r="B31" i="14" s="1"/>
  <c r="C26" i="14"/>
  <c r="C31" i="14" s="1"/>
  <c r="A27" i="14"/>
  <c r="A30" i="14" s="1"/>
  <c r="B27" i="14"/>
  <c r="C27" i="14"/>
  <c r="A28" i="14"/>
  <c r="B28" i="14"/>
  <c r="B30" i="14" s="1"/>
  <c r="C28" i="14"/>
  <c r="C30" i="14" s="1"/>
  <c r="A45" i="240"/>
  <c r="I45" i="240" s="1"/>
  <c r="B45" i="240"/>
  <c r="C45" i="240"/>
  <c r="D45" i="240"/>
  <c r="J45" i="240"/>
  <c r="K45" i="240"/>
  <c r="L45" i="240"/>
  <c r="A46" i="240"/>
  <c r="I46" i="240" s="1"/>
  <c r="B46" i="240"/>
  <c r="C46" i="240"/>
  <c r="J46" i="240"/>
  <c r="K46" i="240"/>
  <c r="A47" i="240"/>
  <c r="B47" i="240"/>
  <c r="B60" i="240" s="1"/>
  <c r="C47" i="240"/>
  <c r="C60" i="240" s="1"/>
  <c r="J47" i="240"/>
  <c r="J60" i="240" s="1"/>
  <c r="K47" i="240"/>
  <c r="K60" i="240" s="1"/>
  <c r="A48" i="240"/>
  <c r="I48" i="240" s="1"/>
  <c r="B48" i="240"/>
  <c r="C48" i="240"/>
  <c r="J48" i="240"/>
  <c r="K48" i="240"/>
  <c r="A49" i="240"/>
  <c r="I49" i="240" s="1"/>
  <c r="B49" i="240"/>
  <c r="C49" i="240"/>
  <c r="J49" i="240"/>
  <c r="K49" i="240"/>
  <c r="A50" i="240"/>
  <c r="I50" i="240" s="1"/>
  <c r="B50" i="240"/>
  <c r="C50" i="240"/>
  <c r="J50" i="240"/>
  <c r="K50" i="240"/>
  <c r="A51" i="240"/>
  <c r="I51" i="240" s="1"/>
  <c r="B51" i="240"/>
  <c r="C51" i="240"/>
  <c r="J51" i="240"/>
  <c r="K51" i="240"/>
  <c r="A52" i="240"/>
  <c r="I52" i="240" s="1"/>
  <c r="B52" i="240"/>
  <c r="C52" i="240"/>
  <c r="J52" i="240"/>
  <c r="K52" i="240"/>
  <c r="A53" i="240"/>
  <c r="I53" i="240" s="1"/>
  <c r="B53" i="240"/>
  <c r="C53" i="240"/>
  <c r="J53" i="240"/>
  <c r="K53" i="240"/>
  <c r="A54" i="240"/>
  <c r="B54" i="240"/>
  <c r="B59" i="240" s="1"/>
  <c r="C54" i="240"/>
  <c r="C59" i="240" s="1"/>
  <c r="J54" i="240"/>
  <c r="J59" i="240" s="1"/>
  <c r="K54" i="240"/>
  <c r="K59" i="240" s="1"/>
  <c r="A55" i="240"/>
  <c r="I55" i="240" s="1"/>
  <c r="B55" i="240"/>
  <c r="C55" i="240"/>
  <c r="J55" i="240"/>
  <c r="K55" i="240"/>
  <c r="A56" i="240"/>
  <c r="B56" i="240"/>
  <c r="B58" i="240" s="1"/>
  <c r="C56" i="240"/>
  <c r="C58" i="240" s="1"/>
  <c r="J56" i="240"/>
  <c r="J58" i="240" s="1"/>
  <c r="K56" i="240"/>
  <c r="K58" i="240" s="1"/>
  <c r="A17" i="240"/>
  <c r="B17" i="240"/>
  <c r="C17" i="240"/>
  <c r="I17" i="240"/>
  <c r="J17" i="240"/>
  <c r="K17" i="240"/>
  <c r="L17" i="240"/>
  <c r="A18" i="240"/>
  <c r="B18" i="240"/>
  <c r="C18" i="240"/>
  <c r="I18" i="240"/>
  <c r="J18" i="240"/>
  <c r="K18" i="240"/>
  <c r="A19" i="240"/>
  <c r="B19" i="240"/>
  <c r="B32" i="240" s="1"/>
  <c r="C19" i="240"/>
  <c r="C32" i="240" s="1"/>
  <c r="I19" i="240"/>
  <c r="J19" i="240"/>
  <c r="J32" i="240" s="1"/>
  <c r="K19" i="240"/>
  <c r="K32" i="240" s="1"/>
  <c r="A20" i="240"/>
  <c r="B20" i="240"/>
  <c r="C20" i="240"/>
  <c r="I20" i="240"/>
  <c r="J20" i="240"/>
  <c r="K20" i="240"/>
  <c r="A21" i="240"/>
  <c r="B21" i="240"/>
  <c r="C21" i="240"/>
  <c r="I21" i="240"/>
  <c r="J21" i="240"/>
  <c r="K21" i="240"/>
  <c r="A22" i="240"/>
  <c r="B22" i="240"/>
  <c r="C22" i="240"/>
  <c r="I22" i="240"/>
  <c r="J22" i="240"/>
  <c r="K22" i="240"/>
  <c r="A23" i="240"/>
  <c r="B23" i="240"/>
  <c r="C23" i="240"/>
  <c r="I23" i="240"/>
  <c r="J23" i="240"/>
  <c r="K23" i="240"/>
  <c r="A24" i="240"/>
  <c r="B24" i="240"/>
  <c r="C24" i="240"/>
  <c r="I24" i="240"/>
  <c r="J24" i="240"/>
  <c r="K24" i="240"/>
  <c r="A25" i="240"/>
  <c r="B25" i="240"/>
  <c r="C25" i="240"/>
  <c r="I25" i="240"/>
  <c r="J25" i="240"/>
  <c r="K25" i="240"/>
  <c r="A26" i="240"/>
  <c r="B26" i="240"/>
  <c r="B31" i="240" s="1"/>
  <c r="C26" i="240"/>
  <c r="C31" i="240" s="1"/>
  <c r="I26" i="240"/>
  <c r="J26" i="240"/>
  <c r="J31" i="240" s="1"/>
  <c r="K26" i="240"/>
  <c r="K31" i="240" s="1"/>
  <c r="A27" i="240"/>
  <c r="B27" i="240"/>
  <c r="C27" i="240"/>
  <c r="I27" i="240"/>
  <c r="J27" i="240"/>
  <c r="K27" i="240"/>
  <c r="A28" i="240"/>
  <c r="A30" i="240" s="1"/>
  <c r="B28" i="240"/>
  <c r="B30" i="240" s="1"/>
  <c r="C28" i="240"/>
  <c r="C30" i="240" s="1"/>
  <c r="I28" i="240"/>
  <c r="J28" i="240"/>
  <c r="J30" i="240" s="1"/>
  <c r="K28" i="240"/>
  <c r="K30" i="240" s="1"/>
  <c r="A46" i="166"/>
  <c r="B46" i="166"/>
  <c r="B59" i="166" s="1"/>
  <c r="C46" i="166"/>
  <c r="C59" i="166" s="1"/>
  <c r="J46" i="166"/>
  <c r="J59" i="166" s="1"/>
  <c r="K46" i="166"/>
  <c r="K59" i="166" s="1"/>
  <c r="A47" i="166"/>
  <c r="I47" i="166" s="1"/>
  <c r="B47" i="166"/>
  <c r="C47" i="166"/>
  <c r="J47" i="166"/>
  <c r="K47" i="166"/>
  <c r="A48" i="166"/>
  <c r="I48" i="166" s="1"/>
  <c r="B48" i="166"/>
  <c r="C48" i="166"/>
  <c r="J48" i="166"/>
  <c r="K48" i="166"/>
  <c r="A49" i="166"/>
  <c r="I49" i="166" s="1"/>
  <c r="B49" i="166"/>
  <c r="C49" i="166"/>
  <c r="J49" i="166"/>
  <c r="K49" i="166"/>
  <c r="A50" i="166"/>
  <c r="I50" i="166" s="1"/>
  <c r="B50" i="166"/>
  <c r="C50" i="166"/>
  <c r="J50" i="166"/>
  <c r="K50" i="166"/>
  <c r="A51" i="166"/>
  <c r="I51" i="166" s="1"/>
  <c r="B51" i="166"/>
  <c r="C51" i="166"/>
  <c r="J51" i="166"/>
  <c r="K51" i="166"/>
  <c r="A52" i="166"/>
  <c r="I52" i="166" s="1"/>
  <c r="B52" i="166"/>
  <c r="C52" i="166"/>
  <c r="J52" i="166"/>
  <c r="K52" i="166"/>
  <c r="A53" i="166"/>
  <c r="B53" i="166"/>
  <c r="B58" i="166" s="1"/>
  <c r="C53" i="166"/>
  <c r="C58" i="166" s="1"/>
  <c r="J53" i="166"/>
  <c r="J58" i="166" s="1"/>
  <c r="K53" i="166"/>
  <c r="K58" i="166" s="1"/>
  <c r="A54" i="166"/>
  <c r="I54" i="166" s="1"/>
  <c r="B54" i="166"/>
  <c r="C54" i="166"/>
  <c r="J54" i="166"/>
  <c r="K54" i="166"/>
  <c r="A55" i="166"/>
  <c r="B55" i="166"/>
  <c r="B57" i="166" s="1"/>
  <c r="C55" i="166"/>
  <c r="C57" i="166" s="1"/>
  <c r="J55" i="166"/>
  <c r="J57" i="166" s="1"/>
  <c r="K55" i="166"/>
  <c r="K57" i="166" s="1"/>
  <c r="A19" i="166"/>
  <c r="A32" i="166" s="1"/>
  <c r="B19" i="166"/>
  <c r="B32" i="166" s="1"/>
  <c r="C19" i="166"/>
  <c r="C32" i="166" s="1"/>
  <c r="I19" i="166"/>
  <c r="J19" i="166"/>
  <c r="J32" i="166" s="1"/>
  <c r="K19" i="166"/>
  <c r="K32" i="166" s="1"/>
  <c r="A20" i="166"/>
  <c r="B20" i="166"/>
  <c r="C20" i="166"/>
  <c r="I20" i="166"/>
  <c r="J20" i="166"/>
  <c r="K20" i="166"/>
  <c r="A21" i="166"/>
  <c r="B21" i="166"/>
  <c r="C21" i="166"/>
  <c r="I21" i="166"/>
  <c r="J21" i="166"/>
  <c r="K21" i="166"/>
  <c r="A22" i="166"/>
  <c r="B22" i="166"/>
  <c r="C22" i="166"/>
  <c r="I22" i="166"/>
  <c r="J22" i="166"/>
  <c r="K22" i="166"/>
  <c r="A23" i="166"/>
  <c r="B23" i="166"/>
  <c r="C23" i="166"/>
  <c r="I23" i="166"/>
  <c r="J23" i="166"/>
  <c r="K23" i="166"/>
  <c r="A24" i="166"/>
  <c r="B24" i="166"/>
  <c r="C24" i="166"/>
  <c r="I24" i="166"/>
  <c r="J24" i="166"/>
  <c r="K24" i="166"/>
  <c r="A25" i="166"/>
  <c r="B25" i="166"/>
  <c r="C25" i="166"/>
  <c r="I25" i="166"/>
  <c r="J25" i="166"/>
  <c r="K25" i="166"/>
  <c r="A26" i="166"/>
  <c r="A31" i="166" s="1"/>
  <c r="B26" i="166"/>
  <c r="B31" i="166" s="1"/>
  <c r="C26" i="166"/>
  <c r="C31" i="166" s="1"/>
  <c r="I26" i="166"/>
  <c r="J26" i="166"/>
  <c r="J31" i="166" s="1"/>
  <c r="K26" i="166"/>
  <c r="K31" i="166" s="1"/>
  <c r="A27" i="166"/>
  <c r="B27" i="166"/>
  <c r="C27" i="166"/>
  <c r="I27" i="166"/>
  <c r="J27" i="166"/>
  <c r="K27" i="166"/>
  <c r="A28" i="166"/>
  <c r="B28" i="166"/>
  <c r="B30" i="166" s="1"/>
  <c r="C28" i="166"/>
  <c r="C30" i="166" s="1"/>
  <c r="I28" i="166"/>
  <c r="J28" i="166"/>
  <c r="J30" i="166" s="1"/>
  <c r="K28" i="166"/>
  <c r="K30" i="166" s="1"/>
  <c r="B37" i="232"/>
  <c r="B38" i="232"/>
  <c r="B39" i="232"/>
  <c r="B34" i="232"/>
  <c r="B35" i="232"/>
  <c r="B36" i="232"/>
  <c r="A76" i="147"/>
  <c r="A77" i="147"/>
  <c r="A78" i="147"/>
  <c r="A51" i="147"/>
  <c r="B51" i="147"/>
  <c r="C51" i="147"/>
  <c r="D51" i="147"/>
  <c r="E51" i="147"/>
  <c r="F51" i="147"/>
  <c r="G51" i="147"/>
  <c r="H51" i="147"/>
  <c r="I51" i="147"/>
  <c r="J51" i="147"/>
  <c r="K51" i="147"/>
  <c r="L51" i="147"/>
  <c r="M51" i="147"/>
  <c r="N51" i="147"/>
  <c r="O51" i="147"/>
  <c r="P51" i="147"/>
  <c r="Q51" i="147"/>
  <c r="R51" i="147"/>
  <c r="S51" i="147"/>
  <c r="T51" i="147"/>
  <c r="U51" i="147"/>
  <c r="V51" i="147"/>
  <c r="W51" i="147"/>
  <c r="X51" i="147"/>
  <c r="Y51" i="147"/>
  <c r="A52" i="147"/>
  <c r="B52" i="147"/>
  <c r="C52" i="147"/>
  <c r="D52" i="147"/>
  <c r="E52" i="147"/>
  <c r="F52" i="147"/>
  <c r="G52" i="147"/>
  <c r="H52" i="147"/>
  <c r="I52" i="147"/>
  <c r="J52" i="147"/>
  <c r="K52" i="147"/>
  <c r="L52" i="147"/>
  <c r="M52" i="147"/>
  <c r="N52" i="147"/>
  <c r="O52" i="147"/>
  <c r="P52" i="147"/>
  <c r="Q52" i="147"/>
  <c r="R52" i="147"/>
  <c r="S52" i="147"/>
  <c r="T52" i="147"/>
  <c r="U52" i="147"/>
  <c r="V52" i="147"/>
  <c r="W52" i="147"/>
  <c r="X52" i="147"/>
  <c r="Y52" i="147"/>
  <c r="A53" i="147"/>
  <c r="B53" i="147"/>
  <c r="C53" i="147"/>
  <c r="D53" i="147"/>
  <c r="E53" i="147"/>
  <c r="F53" i="147"/>
  <c r="G53" i="147"/>
  <c r="H53" i="147"/>
  <c r="I53" i="147"/>
  <c r="J53" i="147"/>
  <c r="K53" i="147"/>
  <c r="L53" i="147"/>
  <c r="M53" i="147"/>
  <c r="N53" i="147"/>
  <c r="O53" i="147"/>
  <c r="P53" i="147"/>
  <c r="Q53" i="147"/>
  <c r="R53" i="147"/>
  <c r="S53" i="147"/>
  <c r="T53" i="147"/>
  <c r="U53" i="147"/>
  <c r="V53" i="147"/>
  <c r="W53" i="147"/>
  <c r="X53" i="147"/>
  <c r="Y53" i="147"/>
  <c r="A54" i="147"/>
  <c r="B54" i="147"/>
  <c r="C54" i="147"/>
  <c r="D54" i="147"/>
  <c r="E54" i="147"/>
  <c r="F54" i="147"/>
  <c r="G54" i="147"/>
  <c r="H54" i="147"/>
  <c r="I54" i="147"/>
  <c r="J54" i="147"/>
  <c r="K54" i="147"/>
  <c r="L54" i="147"/>
  <c r="M54" i="147"/>
  <c r="N54" i="147"/>
  <c r="O54" i="147"/>
  <c r="P54" i="147"/>
  <c r="Q54" i="147"/>
  <c r="R54" i="147"/>
  <c r="S54" i="147"/>
  <c r="T54" i="147"/>
  <c r="U54" i="147"/>
  <c r="V54" i="147"/>
  <c r="W54" i="147"/>
  <c r="X54" i="147"/>
  <c r="Y54" i="147"/>
  <c r="A55" i="147"/>
  <c r="B55" i="147"/>
  <c r="C55" i="147"/>
  <c r="D55" i="147"/>
  <c r="E55" i="147"/>
  <c r="F55" i="147"/>
  <c r="G55" i="147"/>
  <c r="H55" i="147"/>
  <c r="I55" i="147"/>
  <c r="J55" i="147"/>
  <c r="K55" i="147"/>
  <c r="L55" i="147"/>
  <c r="M55" i="147"/>
  <c r="N55" i="147"/>
  <c r="O55" i="147"/>
  <c r="P55" i="147"/>
  <c r="Q55" i="147"/>
  <c r="R55" i="147"/>
  <c r="S55" i="147"/>
  <c r="T55" i="147"/>
  <c r="U55" i="147"/>
  <c r="V55" i="147"/>
  <c r="W55" i="147"/>
  <c r="X55" i="147"/>
  <c r="Y55" i="147"/>
  <c r="A56" i="147"/>
  <c r="B56" i="147"/>
  <c r="C56" i="147"/>
  <c r="D56" i="147"/>
  <c r="E56" i="147"/>
  <c r="F56" i="147"/>
  <c r="G56" i="147"/>
  <c r="H56" i="147"/>
  <c r="I56" i="147"/>
  <c r="J56" i="147"/>
  <c r="K56" i="147"/>
  <c r="L56" i="147"/>
  <c r="M56" i="147"/>
  <c r="N56" i="147"/>
  <c r="O56" i="147"/>
  <c r="P56" i="147"/>
  <c r="Q56" i="147"/>
  <c r="R56" i="147"/>
  <c r="S56" i="147"/>
  <c r="T56" i="147"/>
  <c r="U56" i="147"/>
  <c r="V56" i="147"/>
  <c r="W56" i="147"/>
  <c r="X56" i="147"/>
  <c r="Y56" i="147"/>
  <c r="A57" i="147"/>
  <c r="B57" i="147"/>
  <c r="C57" i="147"/>
  <c r="D57" i="147"/>
  <c r="E57" i="147"/>
  <c r="F57" i="147"/>
  <c r="G57" i="147"/>
  <c r="H57" i="147"/>
  <c r="I57" i="147"/>
  <c r="J57" i="147"/>
  <c r="K57" i="147"/>
  <c r="L57" i="147"/>
  <c r="M57" i="147"/>
  <c r="N57" i="147"/>
  <c r="O57" i="147"/>
  <c r="P57" i="147"/>
  <c r="Q57" i="147"/>
  <c r="R57" i="147"/>
  <c r="S57" i="147"/>
  <c r="T57" i="147"/>
  <c r="U57" i="147"/>
  <c r="V57" i="147"/>
  <c r="W57" i="147"/>
  <c r="X57" i="147"/>
  <c r="Y57" i="147"/>
  <c r="A58" i="147"/>
  <c r="B58" i="147"/>
  <c r="C58" i="147"/>
  <c r="D58" i="147"/>
  <c r="E58" i="147"/>
  <c r="F58" i="147"/>
  <c r="G58" i="147"/>
  <c r="H58" i="147"/>
  <c r="I58" i="147"/>
  <c r="J58" i="147"/>
  <c r="K58" i="147"/>
  <c r="L58" i="147"/>
  <c r="M58" i="147"/>
  <c r="N58" i="147"/>
  <c r="O58" i="147"/>
  <c r="P58" i="147"/>
  <c r="Q58" i="147"/>
  <c r="R58" i="147"/>
  <c r="S58" i="147"/>
  <c r="T58" i="147"/>
  <c r="U58" i="147"/>
  <c r="V58" i="147"/>
  <c r="W58" i="147"/>
  <c r="X58" i="147"/>
  <c r="Y58" i="147"/>
  <c r="A59" i="147"/>
  <c r="B59" i="147"/>
  <c r="C59" i="147"/>
  <c r="D59" i="147"/>
  <c r="E59" i="147"/>
  <c r="F59" i="147"/>
  <c r="G59" i="147"/>
  <c r="H59" i="147"/>
  <c r="I59" i="147"/>
  <c r="J59" i="147"/>
  <c r="K59" i="147"/>
  <c r="L59" i="147"/>
  <c r="M59" i="147"/>
  <c r="N59" i="147"/>
  <c r="O59" i="147"/>
  <c r="P59" i="147"/>
  <c r="Q59" i="147"/>
  <c r="R59" i="147"/>
  <c r="S59" i="147"/>
  <c r="T59" i="147"/>
  <c r="U59" i="147"/>
  <c r="V59" i="147"/>
  <c r="W59" i="147"/>
  <c r="X59" i="147"/>
  <c r="Y59" i="147"/>
  <c r="A60" i="147"/>
  <c r="B60" i="147"/>
  <c r="C60" i="147"/>
  <c r="D60" i="147"/>
  <c r="E60" i="147"/>
  <c r="F60" i="147"/>
  <c r="G60" i="147"/>
  <c r="H60" i="147"/>
  <c r="I60" i="147"/>
  <c r="J60" i="147"/>
  <c r="K60" i="147"/>
  <c r="L60" i="147"/>
  <c r="M60" i="147"/>
  <c r="N60" i="147"/>
  <c r="O60" i="147"/>
  <c r="P60" i="147"/>
  <c r="Q60" i="147"/>
  <c r="R60" i="147"/>
  <c r="S60" i="147"/>
  <c r="T60" i="147"/>
  <c r="U60" i="147"/>
  <c r="V60" i="147"/>
  <c r="W60" i="147"/>
  <c r="X60" i="147"/>
  <c r="Y60" i="147"/>
  <c r="B31" i="147"/>
  <c r="C31" i="147"/>
  <c r="D31" i="147"/>
  <c r="E31" i="147"/>
  <c r="F31" i="147"/>
  <c r="G31" i="147"/>
  <c r="H31" i="147"/>
  <c r="I31" i="147"/>
  <c r="J31" i="147"/>
  <c r="K31" i="147"/>
  <c r="L31" i="147"/>
  <c r="M31" i="147"/>
  <c r="N31" i="147"/>
  <c r="O31" i="147"/>
  <c r="P31" i="147"/>
  <c r="Q31" i="147"/>
  <c r="R31" i="147"/>
  <c r="S31" i="147"/>
  <c r="T31" i="147"/>
  <c r="U31" i="147"/>
  <c r="V31" i="147"/>
  <c r="W31" i="147"/>
  <c r="X31" i="147"/>
  <c r="Y31" i="147"/>
  <c r="C30" i="147"/>
  <c r="D30" i="147"/>
  <c r="E30" i="147"/>
  <c r="F30" i="147"/>
  <c r="G30" i="147"/>
  <c r="H30" i="147"/>
  <c r="I30" i="147"/>
  <c r="J30" i="147"/>
  <c r="K30" i="147"/>
  <c r="L30" i="147"/>
  <c r="M30" i="147"/>
  <c r="N30" i="147"/>
  <c r="O30" i="147"/>
  <c r="P30" i="147"/>
  <c r="Q30" i="147"/>
  <c r="R30" i="147"/>
  <c r="S30" i="147"/>
  <c r="T30" i="147"/>
  <c r="U30" i="147"/>
  <c r="V30" i="147"/>
  <c r="W30" i="147"/>
  <c r="X30" i="147"/>
  <c r="Y30" i="147"/>
  <c r="A40" i="147"/>
  <c r="A41" i="147"/>
  <c r="A42" i="147"/>
  <c r="A20" i="147"/>
  <c r="B20" i="147"/>
  <c r="C20" i="147"/>
  <c r="D20" i="147"/>
  <c r="E20" i="147"/>
  <c r="F20" i="147"/>
  <c r="G20" i="147"/>
  <c r="H20" i="147"/>
  <c r="I20" i="147"/>
  <c r="J20" i="147"/>
  <c r="K20" i="147"/>
  <c r="L20" i="147"/>
  <c r="M20" i="147"/>
  <c r="N20" i="147"/>
  <c r="O20" i="147"/>
  <c r="P20" i="147"/>
  <c r="Q20" i="147"/>
  <c r="R20" i="147"/>
  <c r="S20" i="147"/>
  <c r="T20" i="147"/>
  <c r="U20" i="147"/>
  <c r="V20" i="147"/>
  <c r="W20" i="147"/>
  <c r="X20" i="147"/>
  <c r="Y20" i="147"/>
  <c r="A21" i="147"/>
  <c r="B21" i="147"/>
  <c r="C21" i="147"/>
  <c r="D21" i="147"/>
  <c r="E21" i="147"/>
  <c r="F21" i="147"/>
  <c r="G21" i="147"/>
  <c r="H21" i="147"/>
  <c r="I21" i="147"/>
  <c r="J21" i="147"/>
  <c r="K21" i="147"/>
  <c r="L21" i="147"/>
  <c r="M21" i="147"/>
  <c r="N21" i="147"/>
  <c r="O21" i="147"/>
  <c r="P21" i="147"/>
  <c r="Q21" i="147"/>
  <c r="R21" i="147"/>
  <c r="S21" i="147"/>
  <c r="T21" i="147"/>
  <c r="U21" i="147"/>
  <c r="V21" i="147"/>
  <c r="W21" i="147"/>
  <c r="X21" i="147"/>
  <c r="Y21" i="147"/>
  <c r="A22" i="147"/>
  <c r="B22" i="147"/>
  <c r="C22" i="147"/>
  <c r="D22" i="147"/>
  <c r="E22" i="147"/>
  <c r="F22" i="147"/>
  <c r="G22" i="147"/>
  <c r="H22" i="147"/>
  <c r="I22" i="147"/>
  <c r="J22" i="147"/>
  <c r="K22" i="147"/>
  <c r="L22" i="147"/>
  <c r="M22" i="147"/>
  <c r="N22" i="147"/>
  <c r="O22" i="147"/>
  <c r="P22" i="147"/>
  <c r="Q22" i="147"/>
  <c r="R22" i="147"/>
  <c r="S22" i="147"/>
  <c r="T22" i="147"/>
  <c r="U22" i="147"/>
  <c r="V22" i="147"/>
  <c r="W22" i="147"/>
  <c r="X22" i="147"/>
  <c r="Y22" i="147"/>
  <c r="A18" i="134"/>
  <c r="C18" i="134"/>
  <c r="F18" i="134"/>
  <c r="H18" i="134"/>
  <c r="A19" i="134"/>
  <c r="C19" i="134"/>
  <c r="F19" i="134"/>
  <c r="H19" i="134"/>
  <c r="A20" i="134"/>
  <c r="C20" i="134"/>
  <c r="F20" i="134"/>
  <c r="H20" i="134"/>
  <c r="A19" i="272"/>
  <c r="A37" i="272" s="1"/>
  <c r="A20" i="272"/>
  <c r="A38" i="272" s="1"/>
  <c r="A21" i="272"/>
  <c r="A39" i="272" s="1"/>
  <c r="N38" i="271"/>
  <c r="N35" i="271"/>
  <c r="N36" i="271"/>
  <c r="N33" i="271"/>
  <c r="N29" i="271"/>
  <c r="F13" i="131"/>
  <c r="F15" i="131"/>
  <c r="N37" i="271"/>
  <c r="F11" i="131"/>
  <c r="F12" i="131"/>
  <c r="N31" i="271"/>
  <c r="F10" i="131"/>
  <c r="N30" i="271"/>
  <c r="N32" i="271"/>
  <c r="N34" i="271"/>
  <c r="I55" i="166" l="1"/>
  <c r="A57" i="166"/>
  <c r="I47" i="240"/>
  <c r="A60" i="240"/>
  <c r="I53" i="166"/>
  <c r="A58" i="166"/>
  <c r="I56" i="240"/>
  <c r="A58" i="240"/>
  <c r="I46" i="166"/>
  <c r="A59" i="166"/>
  <c r="I54" i="240"/>
  <c r="A59" i="240"/>
  <c r="M31" i="271"/>
  <c r="O31" i="271" s="1"/>
  <c r="AA54" i="147"/>
  <c r="J19" i="134"/>
  <c r="AA56" i="147"/>
  <c r="AA51" i="147"/>
  <c r="AA60" i="147"/>
  <c r="AA53" i="147"/>
  <c r="AA55" i="147"/>
  <c r="AA52" i="147"/>
  <c r="AA57" i="147"/>
  <c r="AA59" i="147"/>
  <c r="AA58" i="147"/>
  <c r="M32" i="271"/>
  <c r="O32" i="271" s="1"/>
  <c r="M37" i="271"/>
  <c r="O37" i="271" s="1"/>
  <c r="M29" i="271"/>
  <c r="O29" i="271" s="1"/>
  <c r="M34" i="271"/>
  <c r="O34" i="271" s="1"/>
  <c r="M35" i="271"/>
  <c r="O35" i="271" s="1"/>
  <c r="M36" i="271"/>
  <c r="O36" i="271" s="1"/>
  <c r="M33" i="271"/>
  <c r="O33" i="271" s="1"/>
  <c r="M38" i="271"/>
  <c r="O38" i="271" s="1"/>
  <c r="M30" i="271"/>
  <c r="AA21" i="147"/>
  <c r="AA22" i="147"/>
  <c r="AA20" i="147"/>
  <c r="M39" i="134"/>
  <c r="M38" i="134"/>
  <c r="M40" i="134"/>
  <c r="J18" i="134"/>
  <c r="J20" i="134"/>
  <c r="B58" i="134"/>
  <c r="C58" i="134"/>
  <c r="D58" i="134"/>
  <c r="E58" i="134"/>
  <c r="F58" i="134"/>
  <c r="G58" i="134"/>
  <c r="H58" i="134"/>
  <c r="I58" i="134"/>
  <c r="J58" i="134"/>
  <c r="K58" i="134"/>
  <c r="B59" i="134"/>
  <c r="C59" i="134"/>
  <c r="D59" i="134"/>
  <c r="E59" i="134"/>
  <c r="F59" i="134"/>
  <c r="G59" i="134"/>
  <c r="H59" i="134"/>
  <c r="I59" i="134"/>
  <c r="J59" i="134"/>
  <c r="K59" i="134"/>
  <c r="B60" i="134"/>
  <c r="C60" i="134"/>
  <c r="D60" i="134"/>
  <c r="E60" i="134"/>
  <c r="F60" i="134"/>
  <c r="G60" i="134"/>
  <c r="H60" i="134"/>
  <c r="I60" i="134"/>
  <c r="J60" i="134"/>
  <c r="K60" i="134"/>
  <c r="B56" i="93"/>
  <c r="C56" i="93"/>
  <c r="D56" i="93"/>
  <c r="E56" i="93"/>
  <c r="F56" i="93"/>
  <c r="G56" i="93"/>
  <c r="B57" i="93"/>
  <c r="C57" i="93"/>
  <c r="D57" i="93"/>
  <c r="E57" i="93"/>
  <c r="F57" i="93"/>
  <c r="G57" i="93"/>
  <c r="B58" i="93"/>
  <c r="C58" i="93"/>
  <c r="D58" i="93"/>
  <c r="E58" i="93"/>
  <c r="F58" i="93"/>
  <c r="G58" i="93"/>
  <c r="B44" i="93"/>
  <c r="C44" i="93"/>
  <c r="D44" i="93"/>
  <c r="E44" i="93"/>
  <c r="F44" i="93"/>
  <c r="B45" i="93"/>
  <c r="C45" i="93"/>
  <c r="D45" i="93"/>
  <c r="E45" i="93"/>
  <c r="F45" i="93"/>
  <c r="B46" i="93"/>
  <c r="C46" i="93"/>
  <c r="D46" i="93"/>
  <c r="E46" i="93"/>
  <c r="F46" i="93"/>
  <c r="J18" i="128"/>
  <c r="K18" i="128"/>
  <c r="J19" i="128"/>
  <c r="K19" i="128"/>
  <c r="J20" i="128"/>
  <c r="K20" i="128"/>
  <c r="A39" i="125"/>
  <c r="B39" i="125"/>
  <c r="C39" i="125"/>
  <c r="D39" i="125"/>
  <c r="F39" i="125"/>
  <c r="G39" i="125"/>
  <c r="H39" i="125"/>
  <c r="A40" i="125"/>
  <c r="B40" i="125"/>
  <c r="C40" i="125"/>
  <c r="D40" i="125"/>
  <c r="F40" i="125"/>
  <c r="G40" i="125"/>
  <c r="H40" i="125"/>
  <c r="A41" i="125"/>
  <c r="B41" i="125"/>
  <c r="C41" i="125"/>
  <c r="D41" i="125"/>
  <c r="F41" i="125"/>
  <c r="G41" i="125"/>
  <c r="H41" i="125"/>
  <c r="A22" i="125"/>
  <c r="A18" i="128" s="1"/>
  <c r="A23" i="125"/>
  <c r="A19" i="128" s="1"/>
  <c r="A24" i="125"/>
  <c r="A20" i="128" s="1"/>
  <c r="A60" i="127"/>
  <c r="A61" i="127"/>
  <c r="A62" i="127"/>
  <c r="C37" i="232"/>
  <c r="D37" i="232"/>
  <c r="E37" i="232"/>
  <c r="D38" i="232"/>
  <c r="E38" i="232"/>
  <c r="D39" i="232"/>
  <c r="E39" i="232"/>
  <c r="A42" i="139"/>
  <c r="A43" i="139"/>
  <c r="A44" i="139"/>
  <c r="A19" i="139"/>
  <c r="B19" i="139"/>
  <c r="B42" i="139" s="1"/>
  <c r="C19" i="139"/>
  <c r="D19" i="139"/>
  <c r="G19" i="139"/>
  <c r="H19" i="139"/>
  <c r="I19" i="139"/>
  <c r="A20" i="139"/>
  <c r="B20" i="139"/>
  <c r="C20" i="139"/>
  <c r="C43" i="139" s="1"/>
  <c r="D20" i="139"/>
  <c r="G20" i="139"/>
  <c r="H20" i="139"/>
  <c r="I20" i="139"/>
  <c r="A21" i="139"/>
  <c r="B21" i="139"/>
  <c r="C21" i="139"/>
  <c r="D21" i="139"/>
  <c r="D44" i="139" s="1"/>
  <c r="G21" i="139"/>
  <c r="H21" i="139"/>
  <c r="I21" i="139"/>
  <c r="E19" i="4"/>
  <c r="A38" i="25"/>
  <c r="B38" i="25"/>
  <c r="C19" i="238" s="1"/>
  <c r="C38" i="25"/>
  <c r="D38" i="25"/>
  <c r="G19" i="238" s="1"/>
  <c r="F38" i="25"/>
  <c r="G38" i="25"/>
  <c r="H38" i="25"/>
  <c r="J38" i="25"/>
  <c r="K38" i="25"/>
  <c r="L38" i="25"/>
  <c r="N38" i="25"/>
  <c r="O38" i="25"/>
  <c r="P38" i="25"/>
  <c r="A39" i="25"/>
  <c r="B39" i="25"/>
  <c r="C20" i="238" s="1"/>
  <c r="C39" i="25"/>
  <c r="D39" i="25"/>
  <c r="G20" i="238" s="1"/>
  <c r="F39" i="25"/>
  <c r="G39" i="25"/>
  <c r="H39" i="25"/>
  <c r="J39" i="25"/>
  <c r="K39" i="25"/>
  <c r="L39" i="25"/>
  <c r="N39" i="25"/>
  <c r="O39" i="25"/>
  <c r="P39" i="25"/>
  <c r="A40" i="25"/>
  <c r="B40" i="25"/>
  <c r="C21" i="238" s="1"/>
  <c r="C40" i="25"/>
  <c r="D40" i="25"/>
  <c r="G21" i="238" s="1"/>
  <c r="F40" i="25"/>
  <c r="G40" i="25"/>
  <c r="H40" i="25"/>
  <c r="J40" i="25"/>
  <c r="K40" i="25"/>
  <c r="L40" i="25"/>
  <c r="N40" i="25"/>
  <c r="O40" i="25"/>
  <c r="P40" i="25"/>
  <c r="A20" i="25"/>
  <c r="A19" i="238" s="1"/>
  <c r="B20" i="25"/>
  <c r="B19" i="238" s="1"/>
  <c r="C20" i="25"/>
  <c r="D20" i="25"/>
  <c r="E19" i="238" s="1"/>
  <c r="F20" i="25"/>
  <c r="G20" i="25"/>
  <c r="H20" i="25"/>
  <c r="J20" i="25"/>
  <c r="K20" i="25"/>
  <c r="L20" i="25"/>
  <c r="N20" i="25"/>
  <c r="O20" i="25"/>
  <c r="P20" i="25"/>
  <c r="A21" i="25"/>
  <c r="A20" i="238" s="1"/>
  <c r="B21" i="25"/>
  <c r="B20" i="238" s="1"/>
  <c r="C21" i="25"/>
  <c r="D21" i="25"/>
  <c r="E20" i="238" s="1"/>
  <c r="F21" i="25"/>
  <c r="G21" i="25"/>
  <c r="H21" i="25"/>
  <c r="J21" i="25"/>
  <c r="K21" i="25"/>
  <c r="L21" i="25"/>
  <c r="N21" i="25"/>
  <c r="O21" i="25"/>
  <c r="P21" i="25"/>
  <c r="A22" i="25"/>
  <c r="A21" i="238" s="1"/>
  <c r="B22" i="25"/>
  <c r="B21" i="238" s="1"/>
  <c r="C22" i="25"/>
  <c r="D22" i="25"/>
  <c r="E21" i="238" s="1"/>
  <c r="F22" i="25"/>
  <c r="G22" i="25"/>
  <c r="H22" i="25"/>
  <c r="J22" i="25"/>
  <c r="K22" i="25"/>
  <c r="L22" i="25"/>
  <c r="N22" i="25"/>
  <c r="O22" i="25"/>
  <c r="P22" i="25"/>
  <c r="A44" i="182"/>
  <c r="B18" i="182"/>
  <c r="C18" i="182"/>
  <c r="D18" i="182"/>
  <c r="E18" i="182"/>
  <c r="H18" i="182"/>
  <c r="I18" i="182"/>
  <c r="J18" i="182"/>
  <c r="K18" i="182"/>
  <c r="N18" i="182"/>
  <c r="O18" i="182"/>
  <c r="P18" i="182"/>
  <c r="Q18" i="182"/>
  <c r="A45" i="182"/>
  <c r="B19" i="182"/>
  <c r="C19" i="182"/>
  <c r="D19" i="182"/>
  <c r="E19" i="182"/>
  <c r="H19" i="182"/>
  <c r="I19" i="182"/>
  <c r="J19" i="182"/>
  <c r="K19" i="182"/>
  <c r="N19" i="182"/>
  <c r="O19" i="182"/>
  <c r="P19" i="182"/>
  <c r="Q19" i="182"/>
  <c r="A46" i="182"/>
  <c r="C20" i="182"/>
  <c r="D20" i="182"/>
  <c r="E20" i="182"/>
  <c r="H20" i="182"/>
  <c r="I20" i="182"/>
  <c r="J20" i="182"/>
  <c r="K20" i="182"/>
  <c r="N20" i="182"/>
  <c r="O20" i="182"/>
  <c r="P20" i="182"/>
  <c r="Q20" i="182"/>
  <c r="N38" i="97"/>
  <c r="N39" i="97"/>
  <c r="N40" i="97"/>
  <c r="H19" i="120"/>
  <c r="A35" i="122"/>
  <c r="A51" i="122" s="1"/>
  <c r="A36" i="122"/>
  <c r="A52" i="122" s="1"/>
  <c r="A37" i="122"/>
  <c r="A53" i="122" s="1"/>
  <c r="A28" i="122"/>
  <c r="A44" i="122" s="1"/>
  <c r="A29" i="122"/>
  <c r="A45" i="122" s="1"/>
  <c r="A30" i="122"/>
  <c r="A46" i="122" s="1"/>
  <c r="A31" i="122"/>
  <c r="A47" i="122" s="1"/>
  <c r="A32" i="122"/>
  <c r="A48" i="122" s="1"/>
  <c r="A33" i="122"/>
  <c r="A49" i="122" s="1"/>
  <c r="A34" i="122"/>
  <c r="A50" i="122" s="1"/>
  <c r="A27" i="122"/>
  <c r="A43" i="122" s="1"/>
  <c r="J37" i="97"/>
  <c r="K37" i="97"/>
  <c r="L37" i="97"/>
  <c r="J38" i="97"/>
  <c r="K38" i="97"/>
  <c r="L38" i="97"/>
  <c r="J39" i="97"/>
  <c r="K39" i="97"/>
  <c r="L39" i="97"/>
  <c r="J40" i="97"/>
  <c r="K40" i="97"/>
  <c r="L40" i="97"/>
  <c r="A70" i="146"/>
  <c r="B70" i="146"/>
  <c r="C70" i="146"/>
  <c r="D70" i="146"/>
  <c r="E70" i="146"/>
  <c r="F70" i="146"/>
  <c r="G70" i="146"/>
  <c r="H70" i="146"/>
  <c r="I70" i="146"/>
  <c r="J70" i="146"/>
  <c r="K70" i="146"/>
  <c r="L70" i="146"/>
  <c r="M70" i="146"/>
  <c r="N70" i="146"/>
  <c r="O70" i="146"/>
  <c r="P70" i="146"/>
  <c r="Q70" i="146"/>
  <c r="R70" i="146"/>
  <c r="S70" i="146"/>
  <c r="T70" i="146"/>
  <c r="U70" i="146"/>
  <c r="V70" i="146"/>
  <c r="W70" i="146"/>
  <c r="X70" i="146"/>
  <c r="Y70" i="146"/>
  <c r="A71" i="146"/>
  <c r="B71" i="146"/>
  <c r="C71" i="146"/>
  <c r="D71" i="146"/>
  <c r="E71" i="146"/>
  <c r="F71" i="146"/>
  <c r="G71" i="146"/>
  <c r="H71" i="146"/>
  <c r="I71" i="146"/>
  <c r="J71" i="146"/>
  <c r="K71" i="146"/>
  <c r="L71" i="146"/>
  <c r="M71" i="146"/>
  <c r="N71" i="146"/>
  <c r="O71" i="146"/>
  <c r="P71" i="146"/>
  <c r="Q71" i="146"/>
  <c r="R71" i="146"/>
  <c r="S71" i="146"/>
  <c r="T71" i="146"/>
  <c r="U71" i="146"/>
  <c r="V71" i="146"/>
  <c r="W71" i="146"/>
  <c r="X71" i="146"/>
  <c r="Y71" i="146"/>
  <c r="A72" i="146"/>
  <c r="B72" i="146"/>
  <c r="C72" i="146"/>
  <c r="D72" i="146"/>
  <c r="E72" i="146"/>
  <c r="F72" i="146"/>
  <c r="G72" i="146"/>
  <c r="H72" i="146"/>
  <c r="I72" i="146"/>
  <c r="J72" i="146"/>
  <c r="K72" i="146"/>
  <c r="L72" i="146"/>
  <c r="M72" i="146"/>
  <c r="N72" i="146"/>
  <c r="O72" i="146"/>
  <c r="P72" i="146"/>
  <c r="Q72" i="146"/>
  <c r="R72" i="146"/>
  <c r="S72" i="146"/>
  <c r="T72" i="146"/>
  <c r="U72" i="146"/>
  <c r="V72" i="146"/>
  <c r="W72" i="146"/>
  <c r="X72" i="146"/>
  <c r="Y72" i="146"/>
  <c r="A73" i="146"/>
  <c r="B73" i="146"/>
  <c r="C73" i="146"/>
  <c r="D73" i="146"/>
  <c r="E73" i="146"/>
  <c r="F73" i="146"/>
  <c r="G73" i="146"/>
  <c r="H73" i="146"/>
  <c r="I73" i="146"/>
  <c r="J73" i="146"/>
  <c r="K73" i="146"/>
  <c r="L73" i="146"/>
  <c r="M73" i="146"/>
  <c r="N73" i="146"/>
  <c r="O73" i="146"/>
  <c r="P73" i="146"/>
  <c r="Q73" i="146"/>
  <c r="R73" i="146"/>
  <c r="S73" i="146"/>
  <c r="T73" i="146"/>
  <c r="U73" i="146"/>
  <c r="V73" i="146"/>
  <c r="W73" i="146"/>
  <c r="X73" i="146"/>
  <c r="Y73" i="146"/>
  <c r="A53" i="146"/>
  <c r="B53" i="146"/>
  <c r="C53" i="146"/>
  <c r="D53" i="146"/>
  <c r="E53" i="146"/>
  <c r="F53" i="146"/>
  <c r="G53" i="146"/>
  <c r="H53" i="146"/>
  <c r="I53" i="146"/>
  <c r="J53" i="146"/>
  <c r="K53" i="146"/>
  <c r="L53" i="146"/>
  <c r="M53" i="146"/>
  <c r="N53" i="146"/>
  <c r="O53" i="146"/>
  <c r="P53" i="146"/>
  <c r="Q53" i="146"/>
  <c r="R53" i="146"/>
  <c r="S53" i="146"/>
  <c r="T53" i="146"/>
  <c r="U53" i="146"/>
  <c r="V53" i="146"/>
  <c r="W53" i="146"/>
  <c r="X53" i="146"/>
  <c r="Y53" i="146"/>
  <c r="A54" i="146"/>
  <c r="B54" i="146"/>
  <c r="C54" i="146"/>
  <c r="D54" i="146"/>
  <c r="E54" i="146"/>
  <c r="F54" i="146"/>
  <c r="G54" i="146"/>
  <c r="H54" i="146"/>
  <c r="I54" i="146"/>
  <c r="J54" i="146"/>
  <c r="K54" i="146"/>
  <c r="L54" i="146"/>
  <c r="M54" i="146"/>
  <c r="N54" i="146"/>
  <c r="O54" i="146"/>
  <c r="P54" i="146"/>
  <c r="Q54" i="146"/>
  <c r="R54" i="146"/>
  <c r="S54" i="146"/>
  <c r="T54" i="146"/>
  <c r="U54" i="146"/>
  <c r="V54" i="146"/>
  <c r="W54" i="146"/>
  <c r="X54" i="146"/>
  <c r="Y54" i="146"/>
  <c r="A55" i="146"/>
  <c r="B55" i="146"/>
  <c r="C55" i="146"/>
  <c r="D55" i="146"/>
  <c r="E55" i="146"/>
  <c r="F55" i="146"/>
  <c r="G55" i="146"/>
  <c r="H55" i="146"/>
  <c r="I55" i="146"/>
  <c r="J55" i="146"/>
  <c r="K55" i="146"/>
  <c r="L55" i="146"/>
  <c r="M55" i="146"/>
  <c r="N55" i="146"/>
  <c r="O55" i="146"/>
  <c r="P55" i="146"/>
  <c r="Q55" i="146"/>
  <c r="R55" i="146"/>
  <c r="S55" i="146"/>
  <c r="T55" i="146"/>
  <c r="U55" i="146"/>
  <c r="V55" i="146"/>
  <c r="W55" i="146"/>
  <c r="X55" i="146"/>
  <c r="Y55" i="146"/>
  <c r="A56" i="146"/>
  <c r="B56" i="146"/>
  <c r="C56" i="146"/>
  <c r="D56" i="146"/>
  <c r="E56" i="146"/>
  <c r="F56" i="146"/>
  <c r="G56" i="146"/>
  <c r="H56" i="146"/>
  <c r="I56" i="146"/>
  <c r="J56" i="146"/>
  <c r="K56" i="146"/>
  <c r="L56" i="146"/>
  <c r="M56" i="146"/>
  <c r="N56" i="146"/>
  <c r="O56" i="146"/>
  <c r="P56" i="146"/>
  <c r="Q56" i="146"/>
  <c r="R56" i="146"/>
  <c r="S56" i="146"/>
  <c r="T56" i="146"/>
  <c r="U56" i="146"/>
  <c r="V56" i="146"/>
  <c r="W56" i="146"/>
  <c r="X56" i="146"/>
  <c r="Y56" i="146"/>
  <c r="A36" i="146"/>
  <c r="B36" i="146"/>
  <c r="B75" i="147" s="1"/>
  <c r="C36" i="146"/>
  <c r="C75" i="147" s="1"/>
  <c r="D36" i="146"/>
  <c r="D75" i="147" s="1"/>
  <c r="E36" i="146"/>
  <c r="E75" i="147" s="1"/>
  <c r="F36" i="146"/>
  <c r="F75" i="147" s="1"/>
  <c r="G36" i="146"/>
  <c r="G75" i="147" s="1"/>
  <c r="H36" i="146"/>
  <c r="H75" i="147" s="1"/>
  <c r="I36" i="146"/>
  <c r="I75" i="147" s="1"/>
  <c r="J36" i="146"/>
  <c r="J75" i="147" s="1"/>
  <c r="K36" i="146"/>
  <c r="K75" i="147" s="1"/>
  <c r="L36" i="146"/>
  <c r="L75" i="147" s="1"/>
  <c r="M36" i="146"/>
  <c r="M75" i="147" s="1"/>
  <c r="N36" i="146"/>
  <c r="N75" i="147" s="1"/>
  <c r="O36" i="146"/>
  <c r="O75" i="147" s="1"/>
  <c r="P36" i="146"/>
  <c r="P75" i="147" s="1"/>
  <c r="Q36" i="146"/>
  <c r="Q75" i="147" s="1"/>
  <c r="R36" i="146"/>
  <c r="R75" i="147" s="1"/>
  <c r="S36" i="146"/>
  <c r="S75" i="147" s="1"/>
  <c r="T36" i="146"/>
  <c r="T75" i="147" s="1"/>
  <c r="U36" i="146"/>
  <c r="U75" i="147" s="1"/>
  <c r="V36" i="146"/>
  <c r="V75" i="147" s="1"/>
  <c r="W36" i="146"/>
  <c r="W75" i="147" s="1"/>
  <c r="X36" i="146"/>
  <c r="X75" i="147" s="1"/>
  <c r="Y36" i="146"/>
  <c r="Y75" i="147" s="1"/>
  <c r="A37" i="146"/>
  <c r="B37" i="146"/>
  <c r="B76" i="147" s="1"/>
  <c r="C37" i="146"/>
  <c r="C40" i="147" s="1"/>
  <c r="D37" i="146"/>
  <c r="D40" i="147" s="1"/>
  <c r="E37" i="146"/>
  <c r="E40" i="147" s="1"/>
  <c r="F37" i="146"/>
  <c r="F40" i="147" s="1"/>
  <c r="G37" i="146"/>
  <c r="G40" i="147" s="1"/>
  <c r="H37" i="146"/>
  <c r="H76" i="147" s="1"/>
  <c r="I37" i="146"/>
  <c r="I76" i="147" s="1"/>
  <c r="J37" i="146"/>
  <c r="J76" i="147" s="1"/>
  <c r="K37" i="146"/>
  <c r="K40" i="147" s="1"/>
  <c r="L37" i="146"/>
  <c r="L76" i="147" s="1"/>
  <c r="M37" i="146"/>
  <c r="M40" i="147" s="1"/>
  <c r="N37" i="146"/>
  <c r="N40" i="147" s="1"/>
  <c r="O37" i="146"/>
  <c r="O76" i="147" s="1"/>
  <c r="P37" i="146"/>
  <c r="P76" i="147" s="1"/>
  <c r="Q37" i="146"/>
  <c r="Q76" i="147" s="1"/>
  <c r="R37" i="146"/>
  <c r="R76" i="147" s="1"/>
  <c r="S37" i="146"/>
  <c r="S40" i="147" s="1"/>
  <c r="T37" i="146"/>
  <c r="T40" i="147" s="1"/>
  <c r="U37" i="146"/>
  <c r="U40" i="147" s="1"/>
  <c r="V37" i="146"/>
  <c r="V40" i="147" s="1"/>
  <c r="W37" i="146"/>
  <c r="W40" i="147" s="1"/>
  <c r="X37" i="146"/>
  <c r="X76" i="147" s="1"/>
  <c r="Y37" i="146"/>
  <c r="Y76" i="147" s="1"/>
  <c r="A38" i="146"/>
  <c r="B38" i="146"/>
  <c r="B41" i="147" s="1"/>
  <c r="C38" i="146"/>
  <c r="C41" i="147" s="1"/>
  <c r="D38" i="146"/>
  <c r="D77" i="147" s="1"/>
  <c r="E38" i="146"/>
  <c r="E77" i="147" s="1"/>
  <c r="F38" i="146"/>
  <c r="F41" i="147" s="1"/>
  <c r="G38" i="146"/>
  <c r="G77" i="147" s="1"/>
  <c r="H38" i="146"/>
  <c r="H41" i="147" s="1"/>
  <c r="I38" i="146"/>
  <c r="I77" i="147" s="1"/>
  <c r="J38" i="146"/>
  <c r="J41" i="147" s="1"/>
  <c r="K38" i="146"/>
  <c r="K41" i="147" s="1"/>
  <c r="L38" i="146"/>
  <c r="L41" i="147" s="1"/>
  <c r="M38" i="146"/>
  <c r="M41" i="147" s="1"/>
  <c r="N38" i="146"/>
  <c r="N41" i="147" s="1"/>
  <c r="O38" i="146"/>
  <c r="O77" i="147" s="1"/>
  <c r="P38" i="146"/>
  <c r="P77" i="147" s="1"/>
  <c r="Q38" i="146"/>
  <c r="Q41" i="147" s="1"/>
  <c r="R38" i="146"/>
  <c r="R41" i="147" s="1"/>
  <c r="S38" i="146"/>
  <c r="S41" i="147" s="1"/>
  <c r="T38" i="146"/>
  <c r="T41" i="147" s="1"/>
  <c r="U38" i="146"/>
  <c r="U41" i="147" s="1"/>
  <c r="V38" i="146"/>
  <c r="V41" i="147" s="1"/>
  <c r="W38" i="146"/>
  <c r="W77" i="147" s="1"/>
  <c r="X38" i="146"/>
  <c r="X77" i="147" s="1"/>
  <c r="Y38" i="146"/>
  <c r="Y41" i="147" s="1"/>
  <c r="A39" i="146"/>
  <c r="B39" i="146"/>
  <c r="B42" i="147" s="1"/>
  <c r="C39" i="146"/>
  <c r="C78" i="147" s="1"/>
  <c r="D39" i="146"/>
  <c r="D42" i="147" s="1"/>
  <c r="E39" i="146"/>
  <c r="E42" i="147" s="1"/>
  <c r="F39" i="146"/>
  <c r="F78" i="147" s="1"/>
  <c r="G39" i="146"/>
  <c r="G78" i="147" s="1"/>
  <c r="H39" i="146"/>
  <c r="H42" i="147" s="1"/>
  <c r="I39" i="146"/>
  <c r="I78" i="147" s="1"/>
  <c r="J39" i="146"/>
  <c r="J42" i="147" s="1"/>
  <c r="K39" i="146"/>
  <c r="K42" i="147" s="1"/>
  <c r="L39" i="146"/>
  <c r="L42" i="147" s="1"/>
  <c r="M39" i="146"/>
  <c r="M42" i="147" s="1"/>
  <c r="N39" i="146"/>
  <c r="N78" i="147" s="1"/>
  <c r="O39" i="146"/>
  <c r="O78" i="147" s="1"/>
  <c r="P39" i="146"/>
  <c r="P78" i="147" s="1"/>
  <c r="Q39" i="146"/>
  <c r="Q78" i="147" s="1"/>
  <c r="R39" i="146"/>
  <c r="R42" i="147" s="1"/>
  <c r="S39" i="146"/>
  <c r="S42" i="147" s="1"/>
  <c r="T39" i="146"/>
  <c r="T42" i="147" s="1"/>
  <c r="U39" i="146"/>
  <c r="U42" i="147" s="1"/>
  <c r="V39" i="146"/>
  <c r="V78" i="147" s="1"/>
  <c r="W39" i="146"/>
  <c r="W78" i="147" s="1"/>
  <c r="X39" i="146"/>
  <c r="X42" i="147" s="1"/>
  <c r="Y39" i="146"/>
  <c r="Y78" i="147" s="1"/>
  <c r="A19" i="146"/>
  <c r="B19" i="146"/>
  <c r="C19" i="146"/>
  <c r="D19" i="146"/>
  <c r="E19" i="146"/>
  <c r="F19" i="146"/>
  <c r="G19" i="146"/>
  <c r="H19" i="146"/>
  <c r="I19" i="146"/>
  <c r="J19" i="146"/>
  <c r="K19" i="146"/>
  <c r="L19" i="146"/>
  <c r="M19" i="146"/>
  <c r="N19" i="146"/>
  <c r="O19" i="146"/>
  <c r="P19" i="146"/>
  <c r="Q19" i="146"/>
  <c r="R19" i="146"/>
  <c r="S19" i="146"/>
  <c r="T19" i="146"/>
  <c r="U19" i="146"/>
  <c r="V19" i="146"/>
  <c r="W19" i="146"/>
  <c r="X19" i="146"/>
  <c r="Y19" i="146"/>
  <c r="A20" i="146"/>
  <c r="B20" i="146"/>
  <c r="C20" i="146"/>
  <c r="D20" i="146"/>
  <c r="E20" i="146"/>
  <c r="F20" i="146"/>
  <c r="G20" i="146"/>
  <c r="H20" i="146"/>
  <c r="I20" i="146"/>
  <c r="J20" i="146"/>
  <c r="K20" i="146"/>
  <c r="L20" i="146"/>
  <c r="M20" i="146"/>
  <c r="N20" i="146"/>
  <c r="O20" i="146"/>
  <c r="P20" i="146"/>
  <c r="Q20" i="146"/>
  <c r="R20" i="146"/>
  <c r="S20" i="146"/>
  <c r="T20" i="146"/>
  <c r="U20" i="146"/>
  <c r="V20" i="146"/>
  <c r="W20" i="146"/>
  <c r="X20" i="146"/>
  <c r="Y20" i="146"/>
  <c r="A21" i="146"/>
  <c r="B21" i="146"/>
  <c r="C21" i="146"/>
  <c r="D21" i="146"/>
  <c r="E21" i="146"/>
  <c r="F21" i="146"/>
  <c r="G21" i="146"/>
  <c r="H21" i="146"/>
  <c r="I21" i="146"/>
  <c r="J21" i="146"/>
  <c r="K21" i="146"/>
  <c r="L21" i="146"/>
  <c r="M21" i="146"/>
  <c r="N21" i="146"/>
  <c r="O21" i="146"/>
  <c r="P21" i="146"/>
  <c r="Q21" i="146"/>
  <c r="R21" i="146"/>
  <c r="S21" i="146"/>
  <c r="T21" i="146"/>
  <c r="U21" i="146"/>
  <c r="V21" i="146"/>
  <c r="W21" i="146"/>
  <c r="X21" i="146"/>
  <c r="Y21" i="146"/>
  <c r="A22" i="146"/>
  <c r="B22" i="146"/>
  <c r="C22" i="146"/>
  <c r="D22" i="146"/>
  <c r="E22" i="146"/>
  <c r="F22" i="146"/>
  <c r="G22" i="146"/>
  <c r="H22" i="146"/>
  <c r="I22" i="146"/>
  <c r="J22" i="146"/>
  <c r="K22" i="146"/>
  <c r="L22" i="146"/>
  <c r="M22" i="146"/>
  <c r="N22" i="146"/>
  <c r="O22" i="146"/>
  <c r="P22" i="146"/>
  <c r="Q22" i="146"/>
  <c r="R22" i="146"/>
  <c r="S22" i="146"/>
  <c r="T22" i="146"/>
  <c r="U22" i="146"/>
  <c r="V22" i="146"/>
  <c r="W22" i="146"/>
  <c r="X22" i="146"/>
  <c r="Y22" i="146"/>
  <c r="A33" i="136"/>
  <c r="B33" i="136"/>
  <c r="C33" i="136"/>
  <c r="D33" i="136"/>
  <c r="E33" i="136"/>
  <c r="H33" i="136"/>
  <c r="A34" i="136"/>
  <c r="B34" i="136"/>
  <c r="C34" i="136"/>
  <c r="D34" i="136"/>
  <c r="E34" i="136"/>
  <c r="H34" i="136"/>
  <c r="A35" i="136"/>
  <c r="B35" i="136"/>
  <c r="C35" i="136"/>
  <c r="D35" i="136"/>
  <c r="E35" i="136"/>
  <c r="H35" i="136"/>
  <c r="A36" i="136"/>
  <c r="B36" i="136"/>
  <c r="C36" i="136"/>
  <c r="D36" i="136"/>
  <c r="E36" i="136"/>
  <c r="H36" i="136"/>
  <c r="A17" i="136"/>
  <c r="B17" i="136"/>
  <c r="C17" i="136"/>
  <c r="D17" i="136"/>
  <c r="E17" i="136"/>
  <c r="F17" i="136"/>
  <c r="G17" i="136"/>
  <c r="H17" i="136"/>
  <c r="A18" i="136"/>
  <c r="B18" i="136"/>
  <c r="C18" i="136"/>
  <c r="D18" i="136"/>
  <c r="E18" i="136"/>
  <c r="F18" i="136"/>
  <c r="G18" i="136"/>
  <c r="H18" i="136"/>
  <c r="A19" i="136"/>
  <c r="B19" i="136"/>
  <c r="C19" i="136"/>
  <c r="D19" i="136"/>
  <c r="E19" i="136"/>
  <c r="F19" i="136"/>
  <c r="G19" i="136"/>
  <c r="H19" i="136"/>
  <c r="A20" i="136"/>
  <c r="B20" i="136"/>
  <c r="C20" i="136"/>
  <c r="D20" i="136"/>
  <c r="E20" i="136"/>
  <c r="F20" i="136"/>
  <c r="G20" i="136"/>
  <c r="H20" i="136"/>
  <c r="A33" i="27"/>
  <c r="B33" i="27"/>
  <c r="C33" i="27"/>
  <c r="D33" i="27"/>
  <c r="E33" i="27"/>
  <c r="F33" i="27"/>
  <c r="G33" i="27"/>
  <c r="H33" i="27"/>
  <c r="I33" i="27"/>
  <c r="J33" i="27"/>
  <c r="A34" i="27"/>
  <c r="B34" i="27"/>
  <c r="C34" i="27"/>
  <c r="D34" i="27"/>
  <c r="E34" i="27"/>
  <c r="F34" i="27"/>
  <c r="G34" i="27"/>
  <c r="H34" i="27"/>
  <c r="I34" i="27"/>
  <c r="J34" i="27"/>
  <c r="A35" i="27"/>
  <c r="B35" i="27"/>
  <c r="C35" i="27"/>
  <c r="D35" i="27"/>
  <c r="E35" i="27"/>
  <c r="F35" i="27"/>
  <c r="G35" i="27"/>
  <c r="H35" i="27"/>
  <c r="I35" i="27"/>
  <c r="J35" i="27"/>
  <c r="A36" i="27"/>
  <c r="B36" i="27"/>
  <c r="C36" i="27"/>
  <c r="D36" i="27"/>
  <c r="E36" i="27"/>
  <c r="F36" i="27"/>
  <c r="G36" i="27"/>
  <c r="H36" i="27"/>
  <c r="I36" i="27"/>
  <c r="J36" i="27"/>
  <c r="A17" i="27"/>
  <c r="B17" i="27"/>
  <c r="C17" i="27"/>
  <c r="D17" i="27"/>
  <c r="E17" i="27"/>
  <c r="F17" i="27"/>
  <c r="G17" i="27"/>
  <c r="H17" i="27"/>
  <c r="I17" i="27"/>
  <c r="J17" i="27"/>
  <c r="A18" i="27"/>
  <c r="B18" i="27"/>
  <c r="C18" i="27"/>
  <c r="D18" i="27"/>
  <c r="E18" i="27"/>
  <c r="F18" i="27"/>
  <c r="G18" i="27"/>
  <c r="H18" i="27"/>
  <c r="I18" i="27"/>
  <c r="J18" i="27"/>
  <c r="A19" i="27"/>
  <c r="B19" i="27"/>
  <c r="C19" i="27"/>
  <c r="D19" i="27"/>
  <c r="E19" i="27"/>
  <c r="F19" i="27"/>
  <c r="G19" i="27"/>
  <c r="H19" i="27"/>
  <c r="I19" i="27"/>
  <c r="J19" i="27"/>
  <c r="A20" i="27"/>
  <c r="B20" i="27"/>
  <c r="C20" i="27"/>
  <c r="D20" i="27"/>
  <c r="E20" i="27"/>
  <c r="F20" i="27"/>
  <c r="G20" i="27"/>
  <c r="H20" i="27"/>
  <c r="I20" i="27"/>
  <c r="J20" i="27"/>
  <c r="A18" i="261"/>
  <c r="A38" i="261" s="1"/>
  <c r="B18" i="261"/>
  <c r="C18" i="261"/>
  <c r="D18" i="261"/>
  <c r="E18" i="261"/>
  <c r="F18" i="261"/>
  <c r="G18" i="261"/>
  <c r="H18" i="261"/>
  <c r="I18" i="261"/>
  <c r="J18" i="261"/>
  <c r="K18" i="261"/>
  <c r="L18" i="261"/>
  <c r="M18" i="261"/>
  <c r="N18" i="261"/>
  <c r="O18" i="261"/>
  <c r="P18" i="261"/>
  <c r="A19" i="261"/>
  <c r="A39" i="261" s="1"/>
  <c r="B19" i="261"/>
  <c r="C19" i="261"/>
  <c r="D19" i="261"/>
  <c r="E19" i="261"/>
  <c r="F19" i="261"/>
  <c r="G19" i="261"/>
  <c r="H19" i="261"/>
  <c r="I19" i="261"/>
  <c r="J19" i="261"/>
  <c r="K19" i="261"/>
  <c r="L19" i="261"/>
  <c r="M19" i="261"/>
  <c r="N19" i="261"/>
  <c r="O19" i="261"/>
  <c r="P19" i="261"/>
  <c r="A20" i="261"/>
  <c r="A40" i="261" s="1"/>
  <c r="B20" i="261"/>
  <c r="C20" i="261"/>
  <c r="D20" i="261"/>
  <c r="E20" i="261"/>
  <c r="F20" i="261"/>
  <c r="G20" i="261"/>
  <c r="H20" i="261"/>
  <c r="I20" i="261"/>
  <c r="J20" i="261"/>
  <c r="K20" i="261"/>
  <c r="L20" i="261"/>
  <c r="M20" i="261"/>
  <c r="N20" i="261"/>
  <c r="O20" i="261"/>
  <c r="P20" i="261"/>
  <c r="A21" i="261"/>
  <c r="B21" i="261"/>
  <c r="B25" i="261" s="1"/>
  <c r="B26" i="261" s="1"/>
  <c r="C21" i="261"/>
  <c r="C25" i="261" s="1"/>
  <c r="C26" i="261" s="1"/>
  <c r="D21" i="261"/>
  <c r="D25" i="261" s="1"/>
  <c r="D26" i="261" s="1"/>
  <c r="E21" i="261"/>
  <c r="F21" i="261"/>
  <c r="F25" i="261" s="1"/>
  <c r="F26" i="261" s="1"/>
  <c r="G21" i="261"/>
  <c r="G25" i="261" s="1"/>
  <c r="G26" i="261" s="1"/>
  <c r="H21" i="261"/>
  <c r="H25" i="261" s="1"/>
  <c r="H26" i="261" s="1"/>
  <c r="I21" i="261"/>
  <c r="I25" i="261" s="1"/>
  <c r="I26" i="261" s="1"/>
  <c r="J21" i="261"/>
  <c r="J25" i="261" s="1"/>
  <c r="J26" i="261" s="1"/>
  <c r="K21" i="261"/>
  <c r="K25" i="261" s="1"/>
  <c r="K26" i="261" s="1"/>
  <c r="L21" i="261"/>
  <c r="L25" i="261" s="1"/>
  <c r="L26" i="261" s="1"/>
  <c r="M21" i="261"/>
  <c r="M25" i="261" s="1"/>
  <c r="M26" i="261" s="1"/>
  <c r="N21" i="261"/>
  <c r="N25" i="261" s="1"/>
  <c r="N26" i="261" s="1"/>
  <c r="O21" i="261"/>
  <c r="O25" i="261" s="1"/>
  <c r="O26" i="261" s="1"/>
  <c r="P21" i="261"/>
  <c r="P25" i="261" s="1"/>
  <c r="P26" i="261" s="1"/>
  <c r="C44" i="139"/>
  <c r="L10" i="142"/>
  <c r="L11" i="142"/>
  <c r="L14" i="142"/>
  <c r="L15" i="142"/>
  <c r="L16" i="142"/>
  <c r="L17" i="142"/>
  <c r="L23" i="142"/>
  <c r="L24" i="142"/>
  <c r="L26" i="142"/>
  <c r="L27" i="142"/>
  <c r="L28" i="142"/>
  <c r="L27" i="145"/>
  <c r="B49" i="135"/>
  <c r="C49" i="135"/>
  <c r="D49" i="135"/>
  <c r="E49" i="135"/>
  <c r="F49" i="135"/>
  <c r="B50" i="135"/>
  <c r="C50" i="135"/>
  <c r="D50" i="135"/>
  <c r="E50" i="135"/>
  <c r="F50" i="135"/>
  <c r="B51" i="135"/>
  <c r="C51" i="135"/>
  <c r="D51" i="135"/>
  <c r="E51" i="135"/>
  <c r="F51" i="135"/>
  <c r="B52" i="135"/>
  <c r="C52" i="135"/>
  <c r="D52" i="135"/>
  <c r="E52" i="135"/>
  <c r="F52" i="135"/>
  <c r="B33" i="135"/>
  <c r="C33" i="135"/>
  <c r="D33" i="135"/>
  <c r="E33" i="135"/>
  <c r="F33" i="135"/>
  <c r="B34" i="135"/>
  <c r="C34" i="135"/>
  <c r="D34" i="135"/>
  <c r="E34" i="135"/>
  <c r="F34" i="135"/>
  <c r="B35" i="135"/>
  <c r="C35" i="135"/>
  <c r="D35" i="135"/>
  <c r="E35" i="135"/>
  <c r="F35" i="135"/>
  <c r="B36" i="135"/>
  <c r="C36" i="135"/>
  <c r="D36" i="135"/>
  <c r="E36" i="135"/>
  <c r="F36" i="135"/>
  <c r="A17" i="135"/>
  <c r="I17" i="135" s="1"/>
  <c r="B17" i="135"/>
  <c r="C17" i="135"/>
  <c r="D17" i="135"/>
  <c r="E17" i="135"/>
  <c r="F17" i="135"/>
  <c r="A18" i="135"/>
  <c r="I18" i="135" s="1"/>
  <c r="B18" i="135"/>
  <c r="C18" i="135"/>
  <c r="D18" i="135"/>
  <c r="E18" i="135"/>
  <c r="F18" i="135"/>
  <c r="A19" i="135"/>
  <c r="I19" i="135" s="1"/>
  <c r="B19" i="135"/>
  <c r="C19" i="135"/>
  <c r="D19" i="135"/>
  <c r="E19" i="135"/>
  <c r="F19" i="135"/>
  <c r="A20" i="135"/>
  <c r="I20" i="135" s="1"/>
  <c r="B20" i="135"/>
  <c r="C20" i="135"/>
  <c r="D20" i="135"/>
  <c r="E20" i="135"/>
  <c r="F20" i="135"/>
  <c r="G36" i="138"/>
  <c r="N20" i="271"/>
  <c r="N21" i="271"/>
  <c r="N19" i="271"/>
  <c r="O30" i="271" l="1"/>
  <c r="C38" i="261"/>
  <c r="A41" i="261"/>
  <c r="A24" i="261"/>
  <c r="E41" i="261"/>
  <c r="E25" i="261"/>
  <c r="E26" i="261" s="1"/>
  <c r="O20" i="271"/>
  <c r="T40" i="25"/>
  <c r="F19" i="238"/>
  <c r="D41" i="261"/>
  <c r="D40" i="261"/>
  <c r="D39" i="261"/>
  <c r="D38" i="261"/>
  <c r="C41" i="261"/>
  <c r="C40" i="261"/>
  <c r="G18" i="120"/>
  <c r="C39" i="261"/>
  <c r="T22" i="25"/>
  <c r="F20" i="238"/>
  <c r="H21" i="238"/>
  <c r="I41" i="125"/>
  <c r="G41" i="261"/>
  <c r="G40" i="261"/>
  <c r="G39" i="261"/>
  <c r="G38" i="261"/>
  <c r="I35" i="136"/>
  <c r="L35" i="136" s="1"/>
  <c r="R19" i="182"/>
  <c r="S40" i="25"/>
  <c r="S39" i="25"/>
  <c r="T38" i="25"/>
  <c r="K37" i="12"/>
  <c r="H17" i="120"/>
  <c r="B43" i="139"/>
  <c r="F39" i="127"/>
  <c r="O21" i="271"/>
  <c r="O19" i="271"/>
  <c r="M19" i="12"/>
  <c r="G17" i="120"/>
  <c r="B44" i="139"/>
  <c r="F38" i="232"/>
  <c r="D65" i="14"/>
  <c r="E65" i="14" s="1"/>
  <c r="M40" i="97"/>
  <c r="V17" i="8"/>
  <c r="P38" i="97" s="1"/>
  <c r="I43" i="139"/>
  <c r="L18" i="142"/>
  <c r="I44" i="139"/>
  <c r="F39" i="232"/>
  <c r="D66" i="14"/>
  <c r="D68" i="14" s="1"/>
  <c r="G43" i="139"/>
  <c r="L19" i="12"/>
  <c r="D64" i="14"/>
  <c r="D69" i="14" s="1"/>
  <c r="F41" i="127"/>
  <c r="F41" i="261"/>
  <c r="F38" i="261"/>
  <c r="H19" i="238"/>
  <c r="G35" i="135"/>
  <c r="J35" i="135" s="1"/>
  <c r="D42" i="139"/>
  <c r="E40" i="261"/>
  <c r="E39" i="261"/>
  <c r="E38" i="261"/>
  <c r="K19" i="27"/>
  <c r="L17" i="27"/>
  <c r="K35" i="27"/>
  <c r="K34" i="27"/>
  <c r="I36" i="136"/>
  <c r="M36" i="136" s="1"/>
  <c r="AA19" i="146"/>
  <c r="AA39" i="146"/>
  <c r="AA78" i="147" s="1"/>
  <c r="T21" i="25"/>
  <c r="R21" i="25"/>
  <c r="T20" i="25"/>
  <c r="E19" i="139"/>
  <c r="F40" i="261"/>
  <c r="G19" i="135"/>
  <c r="K19" i="135" s="1"/>
  <c r="A35" i="135"/>
  <c r="I35" i="135" s="1"/>
  <c r="C42" i="139"/>
  <c r="AA73" i="146"/>
  <c r="F18" i="182"/>
  <c r="H37" i="232" s="1"/>
  <c r="I39" i="125"/>
  <c r="I19" i="136"/>
  <c r="Q19" i="136" s="1"/>
  <c r="I33" i="136"/>
  <c r="L33" i="136" s="1"/>
  <c r="R20" i="25"/>
  <c r="B41" i="261"/>
  <c r="B40" i="261"/>
  <c r="B39" i="261"/>
  <c r="B38" i="261"/>
  <c r="S38" i="25"/>
  <c r="J19" i="139"/>
  <c r="I18" i="136"/>
  <c r="N18" i="136" s="1"/>
  <c r="K17" i="27"/>
  <c r="K33" i="27"/>
  <c r="I34" i="136"/>
  <c r="M34" i="136" s="1"/>
  <c r="F21" i="238"/>
  <c r="S21" i="25"/>
  <c r="I40" i="125"/>
  <c r="F39" i="261"/>
  <c r="I17" i="136"/>
  <c r="P17" i="136" s="1"/>
  <c r="G17" i="135"/>
  <c r="J17" i="135" s="1"/>
  <c r="H41" i="261"/>
  <c r="H40" i="261"/>
  <c r="H39" i="261"/>
  <c r="H38" i="261"/>
  <c r="T39" i="25"/>
  <c r="H20" i="238"/>
  <c r="A36" i="135"/>
  <c r="I36" i="135" s="1"/>
  <c r="A51" i="135"/>
  <c r="I51" i="135" s="1"/>
  <c r="AA22" i="146"/>
  <c r="L57" i="10"/>
  <c r="K39" i="232" s="1"/>
  <c r="S22" i="25"/>
  <c r="E39" i="125"/>
  <c r="U77" i="147"/>
  <c r="P41" i="147"/>
  <c r="W76" i="147"/>
  <c r="J40" i="147"/>
  <c r="I42" i="147"/>
  <c r="L40" i="147"/>
  <c r="T76" i="147"/>
  <c r="O40" i="147"/>
  <c r="E76" i="147"/>
  <c r="S78" i="147"/>
  <c r="K35" i="135"/>
  <c r="G34" i="135"/>
  <c r="K34" i="135" s="1"/>
  <c r="A34" i="135"/>
  <c r="I34" i="135" s="1"/>
  <c r="G51" i="135"/>
  <c r="L51" i="135" s="1"/>
  <c r="G50" i="135"/>
  <c r="N50" i="135" s="1"/>
  <c r="A49" i="135"/>
  <c r="I49" i="135" s="1"/>
  <c r="G36" i="135"/>
  <c r="L36" i="135" s="1"/>
  <c r="A50" i="135"/>
  <c r="I50" i="135" s="1"/>
  <c r="G18" i="135"/>
  <c r="K18" i="135" s="1"/>
  <c r="G52" i="135"/>
  <c r="L52" i="135" s="1"/>
  <c r="M21" i="12"/>
  <c r="L18" i="27"/>
  <c r="L34" i="27"/>
  <c r="AA37" i="146"/>
  <c r="AA76" i="147" s="1"/>
  <c r="AA71" i="146"/>
  <c r="F19" i="182"/>
  <c r="R22" i="25"/>
  <c r="J21" i="139"/>
  <c r="D78" i="147"/>
  <c r="X41" i="147"/>
  <c r="F77" i="147"/>
  <c r="R40" i="147"/>
  <c r="H77" i="147"/>
  <c r="Y77" i="147"/>
  <c r="B77" i="147"/>
  <c r="C77" i="147"/>
  <c r="K78" i="147"/>
  <c r="P40" i="147"/>
  <c r="AA21" i="146"/>
  <c r="AA20" i="146"/>
  <c r="AA55" i="146"/>
  <c r="E41" i="125"/>
  <c r="L78" i="147"/>
  <c r="G42" i="147"/>
  <c r="N77" i="147"/>
  <c r="I41" i="147"/>
  <c r="X78" i="147"/>
  <c r="K77" i="147"/>
  <c r="H40" i="147"/>
  <c r="M76" i="147"/>
  <c r="G41" i="147"/>
  <c r="L19" i="27"/>
  <c r="K18" i="27"/>
  <c r="L33" i="27"/>
  <c r="AA53" i="146"/>
  <c r="L31" i="10"/>
  <c r="Q39" i="232" s="1"/>
  <c r="R20" i="182"/>
  <c r="F20" i="182"/>
  <c r="R38" i="25"/>
  <c r="H20" i="4"/>
  <c r="H18" i="4"/>
  <c r="E40" i="125"/>
  <c r="L28" i="93"/>
  <c r="L25" i="93"/>
  <c r="F76" i="147"/>
  <c r="T78" i="147"/>
  <c r="O42" i="147"/>
  <c r="Q77" i="147"/>
  <c r="C76" i="147"/>
  <c r="V77" i="147"/>
  <c r="C42" i="147"/>
  <c r="E41" i="147"/>
  <c r="S77" i="147"/>
  <c r="X40" i="147"/>
  <c r="U76" i="147"/>
  <c r="W41" i="147"/>
  <c r="A52" i="135"/>
  <c r="I52" i="135" s="1"/>
  <c r="G20" i="135"/>
  <c r="M20" i="135" s="1"/>
  <c r="A33" i="135"/>
  <c r="I33" i="135" s="1"/>
  <c r="L12" i="142"/>
  <c r="AA36" i="146"/>
  <c r="AA75" i="147" s="1"/>
  <c r="AA54" i="146"/>
  <c r="R39" i="25"/>
  <c r="E20" i="4"/>
  <c r="E18" i="4"/>
  <c r="E21" i="139"/>
  <c r="I42" i="139"/>
  <c r="N76" i="147"/>
  <c r="I40" i="147"/>
  <c r="W42" i="147"/>
  <c r="H78" i="147"/>
  <c r="R77" i="147"/>
  <c r="E78" i="147"/>
  <c r="B78" i="147"/>
  <c r="O41" i="147"/>
  <c r="F42" i="147"/>
  <c r="L20" i="27"/>
  <c r="K36" i="27"/>
  <c r="L36" i="27"/>
  <c r="AA70" i="146"/>
  <c r="S20" i="25"/>
  <c r="R40" i="25"/>
  <c r="E22" i="125"/>
  <c r="G22" i="125" s="1"/>
  <c r="L31" i="93"/>
  <c r="L27" i="93"/>
  <c r="V76" i="147"/>
  <c r="Q40" i="147"/>
  <c r="Q42" i="147"/>
  <c r="M78" i="147"/>
  <c r="S76" i="147"/>
  <c r="J78" i="147"/>
  <c r="L77" i="147"/>
  <c r="N42" i="147"/>
  <c r="J77" i="147"/>
  <c r="AA38" i="146"/>
  <c r="AA41" i="147" s="1"/>
  <c r="D41" i="147"/>
  <c r="AA56" i="146"/>
  <c r="Y40" i="147"/>
  <c r="Y42" i="147"/>
  <c r="G76" i="147"/>
  <c r="U78" i="147"/>
  <c r="P42" i="147"/>
  <c r="K76" i="147"/>
  <c r="D76" i="147"/>
  <c r="R78" i="147"/>
  <c r="T77" i="147"/>
  <c r="V42" i="147"/>
  <c r="K20" i="27"/>
  <c r="L35" i="27"/>
  <c r="AA72" i="146"/>
  <c r="L34" i="93"/>
  <c r="L60" i="134" s="1"/>
  <c r="L30" i="93"/>
  <c r="L29" i="93"/>
  <c r="L26" i="93"/>
  <c r="M77" i="147"/>
  <c r="B40" i="147"/>
  <c r="L13" i="142"/>
  <c r="E18" i="140"/>
  <c r="H18" i="140" s="1"/>
  <c r="C18" i="128"/>
  <c r="G18" i="128"/>
  <c r="M20" i="12"/>
  <c r="G19" i="120"/>
  <c r="H44" i="139"/>
  <c r="H43" i="139"/>
  <c r="H42" i="139"/>
  <c r="B18" i="128"/>
  <c r="L18" i="128"/>
  <c r="F18" i="128"/>
  <c r="L21" i="142"/>
  <c r="L38" i="12"/>
  <c r="L32" i="93"/>
  <c r="L58" i="134" s="1"/>
  <c r="K36" i="12"/>
  <c r="M38" i="97"/>
  <c r="L20" i="142"/>
  <c r="G42" i="139"/>
  <c r="L25" i="142"/>
  <c r="L19" i="142"/>
  <c r="E19" i="140"/>
  <c r="I19" i="140" s="1"/>
  <c r="E17" i="140"/>
  <c r="I17" i="140" s="1"/>
  <c r="L20" i="12"/>
  <c r="L36" i="12"/>
  <c r="M39" i="97"/>
  <c r="F40" i="127"/>
  <c r="B20" i="128"/>
  <c r="L20" i="128"/>
  <c r="F20" i="128"/>
  <c r="L33" i="93"/>
  <c r="L59" i="134" s="1"/>
  <c r="E20" i="140"/>
  <c r="I20" i="140" s="1"/>
  <c r="V19" i="8"/>
  <c r="F20" i="127"/>
  <c r="G39" i="232" s="1"/>
  <c r="C39" i="232"/>
  <c r="L22" i="142"/>
  <c r="G44" i="139"/>
  <c r="C20" i="128"/>
  <c r="G20" i="128"/>
  <c r="L29" i="145"/>
  <c r="K38" i="12"/>
  <c r="L37" i="12"/>
  <c r="V18" i="8"/>
  <c r="P39" i="97" s="1"/>
  <c r="D43" i="139"/>
  <c r="F19" i="127"/>
  <c r="G38" i="232" s="1"/>
  <c r="C38" i="232"/>
  <c r="F18" i="127"/>
  <c r="G37" i="232" s="1"/>
  <c r="F37" i="232"/>
  <c r="B19" i="128"/>
  <c r="F19" i="128"/>
  <c r="L19" i="128"/>
  <c r="L21" i="12"/>
  <c r="M18" i="12"/>
  <c r="L35" i="12"/>
  <c r="L18" i="12"/>
  <c r="K35" i="12"/>
  <c r="M37" i="97"/>
  <c r="H18" i="120"/>
  <c r="H19" i="4"/>
  <c r="C19" i="128"/>
  <c r="G19" i="128"/>
  <c r="L24" i="93"/>
  <c r="E39" i="272"/>
  <c r="E21" i="272"/>
  <c r="H38" i="272"/>
  <c r="H20" i="272"/>
  <c r="K37" i="272"/>
  <c r="K19" i="272"/>
  <c r="C37" i="272"/>
  <c r="C19" i="272"/>
  <c r="D21" i="272"/>
  <c r="D39" i="272"/>
  <c r="G38" i="272"/>
  <c r="G20" i="272"/>
  <c r="J37" i="272"/>
  <c r="J19" i="272"/>
  <c r="B37" i="272"/>
  <c r="B19" i="272"/>
  <c r="K39" i="272"/>
  <c r="K21" i="272"/>
  <c r="C39" i="272"/>
  <c r="C21" i="272"/>
  <c r="F38" i="272"/>
  <c r="F20" i="272"/>
  <c r="I37" i="272"/>
  <c r="I19" i="272"/>
  <c r="B39" i="272"/>
  <c r="B21" i="272"/>
  <c r="H37" i="272"/>
  <c r="H19" i="272"/>
  <c r="I21" i="272"/>
  <c r="I39" i="272"/>
  <c r="D38" i="272"/>
  <c r="D20" i="272"/>
  <c r="G37" i="272"/>
  <c r="G19" i="272"/>
  <c r="J39" i="272"/>
  <c r="J21" i="272"/>
  <c r="E38" i="272"/>
  <c r="E20" i="272"/>
  <c r="H39" i="272"/>
  <c r="H21" i="272"/>
  <c r="K38" i="272"/>
  <c r="K20" i="272"/>
  <c r="C38" i="272"/>
  <c r="C20" i="272"/>
  <c r="F37" i="272"/>
  <c r="F19" i="272"/>
  <c r="G39" i="272"/>
  <c r="G21" i="272"/>
  <c r="J38" i="272"/>
  <c r="J20" i="272"/>
  <c r="B38" i="272"/>
  <c r="B20" i="272"/>
  <c r="E37" i="272"/>
  <c r="E19" i="272"/>
  <c r="F39" i="272"/>
  <c r="F21" i="272"/>
  <c r="I38" i="272"/>
  <c r="I20" i="272"/>
  <c r="D37" i="272"/>
  <c r="D19" i="272"/>
  <c r="Y21" i="272"/>
  <c r="Y19" i="272"/>
  <c r="Y20" i="272"/>
  <c r="E24" i="125"/>
  <c r="G24" i="125" s="1"/>
  <c r="E23" i="125"/>
  <c r="G23" i="125" s="1"/>
  <c r="J20" i="139"/>
  <c r="E20" i="139"/>
  <c r="L19" i="182"/>
  <c r="R18" i="182"/>
  <c r="L18" i="182"/>
  <c r="L20" i="182"/>
  <c r="K19" i="123"/>
  <c r="K17" i="123"/>
  <c r="K18" i="123"/>
  <c r="H20" i="5"/>
  <c r="J19" i="5"/>
  <c r="J17" i="5"/>
  <c r="I17" i="5"/>
  <c r="H17" i="5"/>
  <c r="H18" i="5"/>
  <c r="H19" i="5"/>
  <c r="J18" i="5"/>
  <c r="J20" i="5"/>
  <c r="I18" i="5"/>
  <c r="I19" i="5"/>
  <c r="I20" i="5"/>
  <c r="L34" i="136"/>
  <c r="I20" i="136"/>
  <c r="K20" i="136" s="1"/>
  <c r="M94" i="142"/>
  <c r="G49" i="135"/>
  <c r="M49" i="135" s="1"/>
  <c r="G33" i="135"/>
  <c r="M36" i="135" l="1"/>
  <c r="N36" i="135"/>
  <c r="J36" i="135"/>
  <c r="K34" i="136"/>
  <c r="J20" i="135"/>
  <c r="K51" i="135"/>
  <c r="P19" i="136"/>
  <c r="M18" i="136"/>
  <c r="L18" i="136"/>
  <c r="O18" i="136"/>
  <c r="N34" i="136"/>
  <c r="Q34" i="136"/>
  <c r="K36" i="136"/>
  <c r="Q17" i="136"/>
  <c r="Q36" i="136"/>
  <c r="O17" i="136"/>
  <c r="N17" i="136"/>
  <c r="M17" i="136"/>
  <c r="M33" i="136"/>
  <c r="M35" i="135"/>
  <c r="K17" i="136"/>
  <c r="L35" i="135"/>
  <c r="L17" i="136"/>
  <c r="K18" i="136"/>
  <c r="Q18" i="136"/>
  <c r="Q33" i="136"/>
  <c r="K33" i="136"/>
  <c r="P18" i="136"/>
  <c r="N35" i="135"/>
  <c r="AA42" i="147"/>
  <c r="L36" i="136"/>
  <c r="K36" i="135"/>
  <c r="N36" i="136"/>
  <c r="J40" i="125"/>
  <c r="M17" i="135"/>
  <c r="AA77" i="147"/>
  <c r="J41" i="125"/>
  <c r="N33" i="136"/>
  <c r="P40" i="97"/>
  <c r="D55" i="166" s="1"/>
  <c r="D57" i="166" s="1"/>
  <c r="V23" i="8"/>
  <c r="V24" i="8" s="1"/>
  <c r="D54" i="166"/>
  <c r="E54" i="166" s="1"/>
  <c r="D53" i="166"/>
  <c r="D58" i="166" s="1"/>
  <c r="L52" i="166"/>
  <c r="L53" i="166"/>
  <c r="L58" i="166" s="1"/>
  <c r="L54" i="166"/>
  <c r="M54" i="166" s="1"/>
  <c r="B18" i="134"/>
  <c r="M34" i="135"/>
  <c r="J52" i="135"/>
  <c r="L34" i="135"/>
  <c r="L18" i="135"/>
  <c r="N34" i="135"/>
  <c r="J34" i="135"/>
  <c r="O40" i="97"/>
  <c r="J39" i="125"/>
  <c r="I18" i="140"/>
  <c r="AA40" i="147"/>
  <c r="M52" i="135"/>
  <c r="N52" i="135"/>
  <c r="M35" i="136"/>
  <c r="M19" i="135"/>
  <c r="K52" i="135"/>
  <c r="N35" i="136"/>
  <c r="J19" i="135"/>
  <c r="L19" i="135"/>
  <c r="G17" i="140"/>
  <c r="K17" i="135"/>
  <c r="K35" i="136"/>
  <c r="G19" i="140"/>
  <c r="M50" i="135"/>
  <c r="L17" i="135"/>
  <c r="N17" i="135"/>
  <c r="Q35" i="136"/>
  <c r="N19" i="135"/>
  <c r="G18" i="140"/>
  <c r="L55" i="166"/>
  <c r="E66" i="14"/>
  <c r="E68" i="14" s="1"/>
  <c r="K20" i="135"/>
  <c r="O19" i="136"/>
  <c r="N19" i="136"/>
  <c r="M19" i="136"/>
  <c r="K50" i="135"/>
  <c r="N20" i="135"/>
  <c r="J18" i="135"/>
  <c r="J50" i="135"/>
  <c r="L19" i="136"/>
  <c r="M18" i="135"/>
  <c r="L50" i="135"/>
  <c r="K19" i="136"/>
  <c r="N18" i="135"/>
  <c r="M51" i="135"/>
  <c r="J51" i="135"/>
  <c r="D47" i="14"/>
  <c r="D49" i="14" s="1"/>
  <c r="E20" i="134"/>
  <c r="B20" i="134"/>
  <c r="H39" i="232"/>
  <c r="D45" i="14"/>
  <c r="D50" i="14" s="1"/>
  <c r="E18" i="134"/>
  <c r="O38" i="97"/>
  <c r="D26" i="14"/>
  <c r="D31" i="14" s="1"/>
  <c r="J37" i="232"/>
  <c r="D46" i="14"/>
  <c r="E46" i="14" s="1"/>
  <c r="E19" i="134"/>
  <c r="N51" i="135"/>
  <c r="L20" i="135"/>
  <c r="H38" i="232"/>
  <c r="B19" i="134"/>
  <c r="H18" i="128"/>
  <c r="D18" i="128"/>
  <c r="L36" i="145"/>
  <c r="L38" i="145"/>
  <c r="O39" i="97"/>
  <c r="L37" i="145"/>
  <c r="L32" i="145"/>
  <c r="H19" i="128"/>
  <c r="D19" i="128"/>
  <c r="E42" i="139"/>
  <c r="J42" i="139"/>
  <c r="H20" i="140"/>
  <c r="J44" i="139"/>
  <c r="E44" i="139"/>
  <c r="L30" i="142"/>
  <c r="D20" i="128"/>
  <c r="H20" i="128"/>
  <c r="H17" i="140"/>
  <c r="L31" i="145"/>
  <c r="L34" i="145"/>
  <c r="L39" i="145"/>
  <c r="L33" i="145"/>
  <c r="L35" i="145"/>
  <c r="G20" i="140"/>
  <c r="H19" i="140"/>
  <c r="E43" i="139"/>
  <c r="J43" i="139"/>
  <c r="L28" i="145"/>
  <c r="L30" i="145"/>
  <c r="L19" i="272"/>
  <c r="L37" i="272"/>
  <c r="L39" i="272"/>
  <c r="L21" i="272"/>
  <c r="L38" i="272"/>
  <c r="L20" i="272"/>
  <c r="L20" i="136"/>
  <c r="M20" i="136"/>
  <c r="N20" i="136"/>
  <c r="O20" i="136"/>
  <c r="P20" i="136"/>
  <c r="Q20" i="136"/>
  <c r="J49" i="135"/>
  <c r="K49" i="135"/>
  <c r="N49" i="135"/>
  <c r="L49" i="135"/>
  <c r="K33" i="135"/>
  <c r="N33" i="135"/>
  <c r="L33" i="135"/>
  <c r="J33" i="135"/>
  <c r="M33" i="135"/>
  <c r="M55" i="166" l="1"/>
  <c r="M57" i="166" s="1"/>
  <c r="L57" i="166"/>
  <c r="L41" i="145"/>
  <c r="J38" i="232"/>
  <c r="D27" i="14"/>
  <c r="E27" i="14" s="1"/>
  <c r="D28" i="14"/>
  <c r="J39" i="232"/>
  <c r="E47" i="14"/>
  <c r="E49" i="14" s="1"/>
  <c r="E55" i="166"/>
  <c r="E57" i="166" s="1"/>
  <c r="E28" i="14" l="1"/>
  <c r="E30" i="14" s="1"/>
  <c r="D30" i="14"/>
  <c r="A33" i="292"/>
  <c r="B33" i="292"/>
  <c r="C33" i="292"/>
  <c r="D33" i="292"/>
  <c r="E33" i="292"/>
  <c r="F33" i="292"/>
  <c r="A34" i="292"/>
  <c r="B34" i="292"/>
  <c r="C34" i="292"/>
  <c r="D34" i="292"/>
  <c r="E34" i="292"/>
  <c r="F34" i="292"/>
  <c r="A35" i="292"/>
  <c r="B35" i="292"/>
  <c r="C35" i="292"/>
  <c r="D35" i="292"/>
  <c r="E35" i="292"/>
  <c r="F35" i="292"/>
  <c r="A36" i="292"/>
  <c r="B36" i="292"/>
  <c r="C36" i="292"/>
  <c r="D36" i="292"/>
  <c r="E36" i="292"/>
  <c r="F36" i="292"/>
  <c r="G36" i="292"/>
  <c r="A17" i="292"/>
  <c r="B17" i="292"/>
  <c r="C17" i="292"/>
  <c r="D17" i="292"/>
  <c r="E17" i="292"/>
  <c r="F17" i="292"/>
  <c r="A18" i="292"/>
  <c r="B18" i="292"/>
  <c r="C18" i="292"/>
  <c r="D18" i="292"/>
  <c r="E18" i="292"/>
  <c r="F18" i="292"/>
  <c r="A19" i="292"/>
  <c r="B19" i="292"/>
  <c r="C19" i="292"/>
  <c r="D19" i="292"/>
  <c r="E19" i="292"/>
  <c r="F19" i="292"/>
  <c r="A20" i="292"/>
  <c r="B20" i="292"/>
  <c r="C20" i="292"/>
  <c r="D20" i="292"/>
  <c r="E20" i="292"/>
  <c r="F20" i="292"/>
  <c r="A33" i="138"/>
  <c r="B33" i="138"/>
  <c r="C33" i="138"/>
  <c r="D33" i="138"/>
  <c r="E33" i="138"/>
  <c r="F33" i="138"/>
  <c r="G33" i="138"/>
  <c r="A34" i="138"/>
  <c r="B34" i="138"/>
  <c r="C34" i="138"/>
  <c r="D34" i="138"/>
  <c r="E34" i="138"/>
  <c r="F34" i="138"/>
  <c r="G34" i="138"/>
  <c r="G34" i="292" s="1"/>
  <c r="A35" i="138"/>
  <c r="B35" i="138"/>
  <c r="C35" i="138"/>
  <c r="D35" i="138"/>
  <c r="E35" i="138"/>
  <c r="F35" i="138"/>
  <c r="G35" i="138"/>
  <c r="A36" i="138"/>
  <c r="B36" i="138"/>
  <c r="C36" i="138"/>
  <c r="D36" i="138"/>
  <c r="E36" i="138"/>
  <c r="F36" i="138"/>
  <c r="A17" i="138"/>
  <c r="B17" i="138"/>
  <c r="C17" i="138"/>
  <c r="D17" i="138"/>
  <c r="E17" i="138"/>
  <c r="F17" i="138"/>
  <c r="G17" i="138"/>
  <c r="G17" i="292" s="1"/>
  <c r="A18" i="138"/>
  <c r="B18" i="138"/>
  <c r="C18" i="138"/>
  <c r="D18" i="138"/>
  <c r="E18" i="138"/>
  <c r="F18" i="138"/>
  <c r="G18" i="138"/>
  <c r="G18" i="292" s="1"/>
  <c r="A19" i="138"/>
  <c r="B19" i="138"/>
  <c r="C19" i="138"/>
  <c r="D19" i="138"/>
  <c r="E19" i="138"/>
  <c r="F19" i="138"/>
  <c r="G19" i="138"/>
  <c r="G19" i="292" s="1"/>
  <c r="A20" i="138"/>
  <c r="B20" i="138"/>
  <c r="C20" i="138"/>
  <c r="D20" i="138"/>
  <c r="E20" i="138"/>
  <c r="F20" i="138"/>
  <c r="G20" i="138"/>
  <c r="G20" i="292" s="1"/>
  <c r="A18" i="11"/>
  <c r="B18" i="11"/>
  <c r="C18" i="11"/>
  <c r="D18" i="11"/>
  <c r="E18" i="11"/>
  <c r="F18" i="11"/>
  <c r="G18" i="11"/>
  <c r="H18" i="11"/>
  <c r="I18" i="11"/>
  <c r="J18" i="11"/>
  <c r="K18" i="11"/>
  <c r="L18" i="11"/>
  <c r="M18" i="11"/>
  <c r="N18" i="11"/>
  <c r="O18" i="11"/>
  <c r="A19" i="11"/>
  <c r="B19" i="11"/>
  <c r="C19" i="11"/>
  <c r="D19" i="11"/>
  <c r="E19" i="11"/>
  <c r="F19" i="11"/>
  <c r="G19" i="11"/>
  <c r="H19" i="11"/>
  <c r="I19" i="11"/>
  <c r="J19" i="11"/>
  <c r="K19" i="11"/>
  <c r="L19" i="11"/>
  <c r="M19" i="11"/>
  <c r="N19" i="11"/>
  <c r="O19" i="11"/>
  <c r="A20" i="11"/>
  <c r="B20" i="11"/>
  <c r="C20" i="11"/>
  <c r="D20" i="11"/>
  <c r="E20" i="11"/>
  <c r="F20" i="11"/>
  <c r="G20" i="11"/>
  <c r="H20" i="11"/>
  <c r="I20" i="11"/>
  <c r="J20" i="11"/>
  <c r="K20" i="11"/>
  <c r="L20" i="11"/>
  <c r="M20" i="11"/>
  <c r="N20" i="11"/>
  <c r="O20" i="11"/>
  <c r="K23" i="11" l="1"/>
  <c r="K24" i="11" s="1"/>
  <c r="B23" i="11"/>
  <c r="B24" i="11" s="1"/>
  <c r="C23" i="11"/>
  <c r="C24" i="11" s="1"/>
  <c r="J23" i="11"/>
  <c r="J24" i="11" s="1"/>
  <c r="I23" i="11"/>
  <c r="I24" i="11" s="1"/>
  <c r="H33" i="138"/>
  <c r="M33" i="138" s="1"/>
  <c r="H35" i="138"/>
  <c r="M35" i="138" s="1"/>
  <c r="H36" i="138"/>
  <c r="L36" i="138" s="1"/>
  <c r="H36" i="292"/>
  <c r="L36" i="292" s="1"/>
  <c r="G33" i="292"/>
  <c r="H33" i="292" s="1"/>
  <c r="J33" i="292" s="1"/>
  <c r="H17" i="138"/>
  <c r="J17" i="138" s="1"/>
  <c r="G35" i="292"/>
  <c r="H35" i="292" s="1"/>
  <c r="L35" i="292" s="1"/>
  <c r="H19" i="292"/>
  <c r="K19" i="292" s="1"/>
  <c r="H34" i="138"/>
  <c r="O34" i="138" s="1"/>
  <c r="F23" i="11"/>
  <c r="F24" i="11" s="1"/>
  <c r="H23" i="11"/>
  <c r="H24" i="11" s="1"/>
  <c r="N23" i="11"/>
  <c r="N24" i="11" s="1"/>
  <c r="M23" i="11"/>
  <c r="M24" i="11" s="1"/>
  <c r="E23" i="11"/>
  <c r="E24" i="11" s="1"/>
  <c r="L23" i="11"/>
  <c r="L24" i="11" s="1"/>
  <c r="D23" i="11"/>
  <c r="D24" i="11" s="1"/>
  <c r="P18" i="11"/>
  <c r="O23" i="11"/>
  <c r="O24" i="11" s="1"/>
  <c r="G23" i="11"/>
  <c r="G24" i="11" s="1"/>
  <c r="A22" i="11"/>
  <c r="H17" i="292"/>
  <c r="K17" i="292" s="1"/>
  <c r="H34" i="292"/>
  <c r="L34" i="292" s="1"/>
  <c r="H20" i="292"/>
  <c r="N20" i="292" s="1"/>
  <c r="H18" i="292"/>
  <c r="H18" i="138"/>
  <c r="N18" i="138" s="1"/>
  <c r="H19" i="138"/>
  <c r="M19" i="138" s="1"/>
  <c r="H20" i="138"/>
  <c r="N20" i="138" s="1"/>
  <c r="P19" i="11"/>
  <c r="P20" i="11"/>
  <c r="J33" i="138" l="1"/>
  <c r="J36" i="138"/>
  <c r="M36" i="138"/>
  <c r="N35" i="138"/>
  <c r="N36" i="138"/>
  <c r="L34" i="138"/>
  <c r="O36" i="138"/>
  <c r="K19" i="138"/>
  <c r="K36" i="138"/>
  <c r="J34" i="138"/>
  <c r="K35" i="138"/>
  <c r="O35" i="138"/>
  <c r="J35" i="138"/>
  <c r="K20" i="138"/>
  <c r="K34" i="138"/>
  <c r="L35" i="138"/>
  <c r="N33" i="138"/>
  <c r="L33" i="138"/>
  <c r="O33" i="138"/>
  <c r="K33" i="138"/>
  <c r="O20" i="138"/>
  <c r="M20" i="138"/>
  <c r="N36" i="292"/>
  <c r="M34" i="138"/>
  <c r="L17" i="138"/>
  <c r="N34" i="138"/>
  <c r="O17" i="138"/>
  <c r="K17" i="138"/>
  <c r="M17" i="138"/>
  <c r="O18" i="138"/>
  <c r="N17" i="138"/>
  <c r="K18" i="138"/>
  <c r="K20" i="292"/>
  <c r="M20" i="292"/>
  <c r="P23" i="11"/>
  <c r="P24" i="11" s="1"/>
  <c r="L18" i="138"/>
  <c r="J35" i="292"/>
  <c r="M36" i="292"/>
  <c r="K35" i="292"/>
  <c r="L19" i="292"/>
  <c r="M35" i="292"/>
  <c r="N35" i="292"/>
  <c r="J36" i="292"/>
  <c r="K36" i="292"/>
  <c r="K34" i="292"/>
  <c r="N17" i="292"/>
  <c r="M19" i="292"/>
  <c r="L20" i="292"/>
  <c r="N19" i="292"/>
  <c r="J19" i="292"/>
  <c r="M17" i="292"/>
  <c r="L17" i="292"/>
  <c r="J17" i="292"/>
  <c r="J34" i="292"/>
  <c r="N34" i="292"/>
  <c r="M34" i="292"/>
  <c r="M33" i="292"/>
  <c r="N33" i="292"/>
  <c r="K33" i="292"/>
  <c r="L33" i="292"/>
  <c r="N18" i="292"/>
  <c r="M18" i="292"/>
  <c r="J20" i="292"/>
  <c r="K18" i="292"/>
  <c r="J18" i="292"/>
  <c r="L18" i="292"/>
  <c r="J20" i="138"/>
  <c r="L20" i="138"/>
  <c r="O19" i="138"/>
  <c r="L19" i="138"/>
  <c r="N19" i="138"/>
  <c r="J19" i="138"/>
  <c r="M18" i="138"/>
  <c r="J18" i="138"/>
  <c r="G38" i="97" l="1"/>
  <c r="D54" i="240" s="1"/>
  <c r="D59" i="240" s="1"/>
  <c r="H38" i="97"/>
  <c r="L54" i="240" s="1"/>
  <c r="L59" i="240" s="1"/>
  <c r="I38" i="97"/>
  <c r="G39" i="97"/>
  <c r="D55" i="240" s="1"/>
  <c r="E55" i="240" s="1"/>
  <c r="H39" i="97"/>
  <c r="L55" i="240" s="1"/>
  <c r="M55" i="240" s="1"/>
  <c r="I39" i="97"/>
  <c r="G40" i="97"/>
  <c r="H40" i="97"/>
  <c r="I40" i="97"/>
  <c r="D56" i="240" l="1"/>
  <c r="L56" i="240"/>
  <c r="B40" i="97"/>
  <c r="C62" i="127"/>
  <c r="B46" i="182"/>
  <c r="E62" i="127"/>
  <c r="N46" i="182"/>
  <c r="H46" i="182"/>
  <c r="F62" i="127"/>
  <c r="D62" i="127"/>
  <c r="B62" i="127"/>
  <c r="B38" i="97"/>
  <c r="L26" i="240" s="1"/>
  <c r="L31" i="240" s="1"/>
  <c r="N44" i="182"/>
  <c r="B44" i="182"/>
  <c r="H44" i="182"/>
  <c r="E60" i="127"/>
  <c r="C60" i="127"/>
  <c r="F60" i="127"/>
  <c r="D60" i="127"/>
  <c r="B60" i="127"/>
  <c r="L28" i="166"/>
  <c r="Q40" i="97"/>
  <c r="L27" i="166"/>
  <c r="M27" i="166" s="1"/>
  <c r="Q39" i="97"/>
  <c r="L26" i="166"/>
  <c r="L31" i="166" s="1"/>
  <c r="Q38" i="97"/>
  <c r="D38" i="97"/>
  <c r="J44" i="182"/>
  <c r="D44" i="182"/>
  <c r="P44" i="182"/>
  <c r="E40" i="97"/>
  <c r="E46" i="182"/>
  <c r="K46" i="182"/>
  <c r="Q46" i="182"/>
  <c r="E39" i="97"/>
  <c r="E45" i="182"/>
  <c r="Q45" i="182"/>
  <c r="K45" i="182"/>
  <c r="E38" i="97"/>
  <c r="K44" i="182"/>
  <c r="E44" i="182"/>
  <c r="Q44" i="182"/>
  <c r="D40" i="97"/>
  <c r="P46" i="182"/>
  <c r="D46" i="182"/>
  <c r="J46" i="182"/>
  <c r="D39" i="97"/>
  <c r="P45" i="182"/>
  <c r="J45" i="182"/>
  <c r="D45" i="182"/>
  <c r="C40" i="97"/>
  <c r="C46" i="182"/>
  <c r="O46" i="182"/>
  <c r="I46" i="182"/>
  <c r="C39" i="97"/>
  <c r="C45" i="182"/>
  <c r="O45" i="182"/>
  <c r="I45" i="182"/>
  <c r="C38" i="97"/>
  <c r="C44" i="182"/>
  <c r="O44" i="182"/>
  <c r="I44" i="182"/>
  <c r="B39" i="97"/>
  <c r="L27" i="240" s="1"/>
  <c r="M27" i="240" s="1"/>
  <c r="N45" i="182"/>
  <c r="B45" i="182"/>
  <c r="H45" i="182"/>
  <c r="D61" i="127"/>
  <c r="B61" i="127"/>
  <c r="C61" i="127"/>
  <c r="E61" i="127"/>
  <c r="F61" i="127"/>
  <c r="A40" i="97"/>
  <c r="A39" i="232"/>
  <c r="A39" i="97"/>
  <c r="A38" i="232"/>
  <c r="A38" i="97"/>
  <c r="A37" i="232"/>
  <c r="F18" i="181"/>
  <c r="K17" i="128"/>
  <c r="J17" i="128"/>
  <c r="K16" i="128"/>
  <c r="J16" i="128"/>
  <c r="I37" i="294"/>
  <c r="F37" i="294"/>
  <c r="E37" i="294"/>
  <c r="D37" i="294"/>
  <c r="C37" i="294"/>
  <c r="B37" i="294"/>
  <c r="A37" i="294"/>
  <c r="I36" i="294"/>
  <c r="F36" i="294"/>
  <c r="E36" i="294"/>
  <c r="D36" i="294"/>
  <c r="C36" i="294"/>
  <c r="B36" i="294"/>
  <c r="A36" i="294"/>
  <c r="I35" i="294"/>
  <c r="F35" i="294"/>
  <c r="E35" i="294"/>
  <c r="D35" i="294"/>
  <c r="C35" i="294"/>
  <c r="B35" i="294"/>
  <c r="A35" i="294"/>
  <c r="I34" i="294"/>
  <c r="F34" i="294"/>
  <c r="E34" i="294"/>
  <c r="D34" i="294"/>
  <c r="C34" i="294"/>
  <c r="B34" i="294"/>
  <c r="A34" i="294"/>
  <c r="I33" i="294"/>
  <c r="F33" i="294"/>
  <c r="E33" i="294"/>
  <c r="D33" i="294"/>
  <c r="C33" i="294"/>
  <c r="B33" i="294"/>
  <c r="A33" i="294"/>
  <c r="I32" i="294"/>
  <c r="F32" i="294"/>
  <c r="E32" i="294"/>
  <c r="D32" i="294"/>
  <c r="C32" i="294"/>
  <c r="B32" i="294"/>
  <c r="A32" i="294"/>
  <c r="I31" i="294"/>
  <c r="F31" i="294"/>
  <c r="E31" i="294"/>
  <c r="D31" i="294"/>
  <c r="C31" i="294"/>
  <c r="B31" i="294"/>
  <c r="A31" i="294"/>
  <c r="I30" i="294"/>
  <c r="F30" i="294"/>
  <c r="E30" i="294"/>
  <c r="D30" i="294"/>
  <c r="C30" i="294"/>
  <c r="B30" i="294"/>
  <c r="A30" i="294"/>
  <c r="I29" i="294"/>
  <c r="F29" i="294"/>
  <c r="E29" i="294"/>
  <c r="D29" i="294"/>
  <c r="C29" i="294"/>
  <c r="B29" i="294"/>
  <c r="A29" i="294"/>
  <c r="I28" i="294"/>
  <c r="F28" i="294"/>
  <c r="E28" i="294"/>
  <c r="D28" i="294"/>
  <c r="C28" i="294"/>
  <c r="B28" i="294"/>
  <c r="A28" i="294"/>
  <c r="F22" i="294"/>
  <c r="E22" i="294"/>
  <c r="D22" i="294"/>
  <c r="C22" i="294"/>
  <c r="B22" i="294"/>
  <c r="A22" i="294"/>
  <c r="F21" i="294"/>
  <c r="E21" i="294"/>
  <c r="D21" i="294"/>
  <c r="C21" i="294"/>
  <c r="B21" i="294"/>
  <c r="A21" i="294"/>
  <c r="F20" i="294"/>
  <c r="E20" i="294"/>
  <c r="D20" i="294"/>
  <c r="C20" i="294"/>
  <c r="B20" i="294"/>
  <c r="A20" i="294"/>
  <c r="F19" i="294"/>
  <c r="E19" i="294"/>
  <c r="D19" i="294"/>
  <c r="C19" i="294"/>
  <c r="B19" i="294"/>
  <c r="A19" i="294"/>
  <c r="F18" i="294"/>
  <c r="E18" i="294"/>
  <c r="D18" i="294"/>
  <c r="C18" i="294"/>
  <c r="B18" i="294"/>
  <c r="A18" i="294"/>
  <c r="F17" i="294"/>
  <c r="E17" i="294"/>
  <c r="D17" i="294"/>
  <c r="C17" i="294"/>
  <c r="B17" i="294"/>
  <c r="A17" i="294"/>
  <c r="F16" i="294"/>
  <c r="E16" i="294"/>
  <c r="D16" i="294"/>
  <c r="C16" i="294"/>
  <c r="B16" i="294"/>
  <c r="A16" i="294"/>
  <c r="F15" i="294"/>
  <c r="E15" i="294"/>
  <c r="D15" i="294"/>
  <c r="C15" i="294"/>
  <c r="B15" i="294"/>
  <c r="A15" i="294"/>
  <c r="F14" i="294"/>
  <c r="E14" i="294"/>
  <c r="D14" i="294"/>
  <c r="C14" i="294"/>
  <c r="B14" i="294"/>
  <c r="A14" i="294"/>
  <c r="I13" i="294"/>
  <c r="F13" i="294"/>
  <c r="E13" i="294"/>
  <c r="D13" i="294"/>
  <c r="C13" i="294"/>
  <c r="B13" i="294"/>
  <c r="A13" i="294"/>
  <c r="A18" i="272"/>
  <c r="A36" i="272" s="1"/>
  <c r="E36" i="232"/>
  <c r="D36" i="232"/>
  <c r="C36" i="232"/>
  <c r="E35" i="232"/>
  <c r="D35" i="232"/>
  <c r="C35" i="232"/>
  <c r="E34" i="232"/>
  <c r="D34" i="232"/>
  <c r="C34" i="232"/>
  <c r="O38" i="232"/>
  <c r="O37" i="232"/>
  <c r="O36" i="232"/>
  <c r="O34" i="232"/>
  <c r="N38" i="232"/>
  <c r="N37" i="232"/>
  <c r="N36" i="232"/>
  <c r="N34" i="232"/>
  <c r="M38" i="232"/>
  <c r="M37" i="232"/>
  <c r="M36" i="232"/>
  <c r="M34" i="232"/>
  <c r="L38" i="232"/>
  <c r="L37" i="232"/>
  <c r="L36" i="232"/>
  <c r="L34" i="232"/>
  <c r="N37" i="97"/>
  <c r="N36" i="97"/>
  <c r="L36" i="97"/>
  <c r="K36" i="97"/>
  <c r="J36" i="97"/>
  <c r="O17" i="11"/>
  <c r="N17" i="11"/>
  <c r="M17" i="11"/>
  <c r="L17" i="11"/>
  <c r="K17" i="11"/>
  <c r="J17" i="11"/>
  <c r="I17" i="11"/>
  <c r="H17" i="11"/>
  <c r="G17" i="11"/>
  <c r="F17" i="11"/>
  <c r="E17" i="11"/>
  <c r="D17" i="11"/>
  <c r="C17" i="11"/>
  <c r="B17" i="11"/>
  <c r="A17" i="11"/>
  <c r="O16" i="11"/>
  <c r="N16" i="11"/>
  <c r="M16" i="11"/>
  <c r="L16" i="11"/>
  <c r="K16" i="11"/>
  <c r="J16" i="11"/>
  <c r="I16" i="11"/>
  <c r="H16" i="11"/>
  <c r="G16" i="11"/>
  <c r="F16" i="11"/>
  <c r="E16" i="11"/>
  <c r="D16" i="11"/>
  <c r="C16" i="11"/>
  <c r="B16" i="11"/>
  <c r="A16" i="11"/>
  <c r="O15" i="11"/>
  <c r="N15" i="11"/>
  <c r="M15" i="11"/>
  <c r="L15" i="11"/>
  <c r="K15" i="11"/>
  <c r="J15" i="11"/>
  <c r="I15" i="11"/>
  <c r="H15" i="11"/>
  <c r="G15" i="11"/>
  <c r="F15" i="11"/>
  <c r="E15" i="11"/>
  <c r="D15" i="11"/>
  <c r="C15" i="11"/>
  <c r="B15" i="11"/>
  <c r="A15" i="11"/>
  <c r="O14" i="11"/>
  <c r="N14" i="11"/>
  <c r="M14" i="11"/>
  <c r="L14" i="11"/>
  <c r="K14" i="11"/>
  <c r="J14" i="11"/>
  <c r="I14" i="11"/>
  <c r="H14" i="11"/>
  <c r="G14" i="11"/>
  <c r="F14" i="11"/>
  <c r="E14" i="11"/>
  <c r="D14" i="11"/>
  <c r="C14" i="11"/>
  <c r="B14" i="11"/>
  <c r="A14" i="11"/>
  <c r="O13" i="11"/>
  <c r="N13" i="11"/>
  <c r="M13" i="11"/>
  <c r="L13" i="11"/>
  <c r="K13" i="11"/>
  <c r="J13" i="11"/>
  <c r="I13" i="11"/>
  <c r="H13" i="11"/>
  <c r="G13" i="11"/>
  <c r="F13" i="11"/>
  <c r="E13" i="11"/>
  <c r="D13" i="11"/>
  <c r="C13" i="11"/>
  <c r="B13" i="11"/>
  <c r="A13" i="11"/>
  <c r="O12" i="11"/>
  <c r="N12" i="11"/>
  <c r="M12" i="11"/>
  <c r="L12" i="11"/>
  <c r="K12" i="11"/>
  <c r="J12" i="11"/>
  <c r="I12" i="11"/>
  <c r="H12" i="11"/>
  <c r="G12" i="11"/>
  <c r="F12" i="11"/>
  <c r="E12" i="11"/>
  <c r="D12" i="11"/>
  <c r="C12" i="11"/>
  <c r="B12" i="11"/>
  <c r="A12" i="11"/>
  <c r="O11" i="11"/>
  <c r="N11" i="11"/>
  <c r="M11" i="11"/>
  <c r="L11" i="11"/>
  <c r="K11" i="11"/>
  <c r="J11" i="11"/>
  <c r="I11" i="11"/>
  <c r="H11" i="11"/>
  <c r="G11" i="11"/>
  <c r="F11" i="11"/>
  <c r="E11" i="11"/>
  <c r="D11" i="11"/>
  <c r="C11" i="11"/>
  <c r="B11" i="11"/>
  <c r="A11" i="11"/>
  <c r="O10" i="11"/>
  <c r="N10" i="11"/>
  <c r="M10" i="11"/>
  <c r="L10" i="11"/>
  <c r="K10" i="11"/>
  <c r="J10" i="11"/>
  <c r="I10" i="11"/>
  <c r="H10" i="11"/>
  <c r="G10" i="11"/>
  <c r="F10" i="11"/>
  <c r="E10" i="11"/>
  <c r="D10" i="11"/>
  <c r="C10" i="11"/>
  <c r="B10" i="11"/>
  <c r="A10" i="11"/>
  <c r="I37" i="97"/>
  <c r="L25" i="166" s="1"/>
  <c r="M25" i="166" s="1"/>
  <c r="H37" i="97"/>
  <c r="L53" i="240" s="1"/>
  <c r="M53" i="240" s="1"/>
  <c r="G37" i="97"/>
  <c r="D53" i="240" s="1"/>
  <c r="E53" i="240" s="1"/>
  <c r="E37" i="97"/>
  <c r="D37" i="97"/>
  <c r="C37" i="97"/>
  <c r="B37" i="97"/>
  <c r="L25" i="240" s="1"/>
  <c r="M25" i="240" s="1"/>
  <c r="I36" i="97"/>
  <c r="L24" i="166" s="1"/>
  <c r="H36" i="97"/>
  <c r="L52" i="240" s="1"/>
  <c r="G36" i="97"/>
  <c r="D52" i="240" s="1"/>
  <c r="E36" i="97"/>
  <c r="D36" i="97"/>
  <c r="C36" i="97"/>
  <c r="B36" i="97"/>
  <c r="L24" i="240" s="1"/>
  <c r="M28" i="166" l="1"/>
  <c r="M30" i="166" s="1"/>
  <c r="L30" i="166"/>
  <c r="M56" i="240"/>
  <c r="M58" i="240" s="1"/>
  <c r="L58" i="240"/>
  <c r="E56" i="240"/>
  <c r="E58" i="240" s="1"/>
  <c r="D58" i="240"/>
  <c r="O37" i="97"/>
  <c r="D27" i="166"/>
  <c r="E27" i="166" s="1"/>
  <c r="D26" i="166"/>
  <c r="D28" i="166"/>
  <c r="L28" i="240"/>
  <c r="D58" i="14"/>
  <c r="E58" i="14" s="1"/>
  <c r="E52" i="240"/>
  <c r="D56" i="14"/>
  <c r="D59" i="14"/>
  <c r="E59" i="14" s="1"/>
  <c r="M52" i="240"/>
  <c r="F34" i="232"/>
  <c r="D61" i="14"/>
  <c r="E61" i="14" s="1"/>
  <c r="E54" i="240"/>
  <c r="E59" i="240" s="1"/>
  <c r="E64" i="14"/>
  <c r="E69" i="14" s="1"/>
  <c r="M24" i="166"/>
  <c r="A56" i="14"/>
  <c r="F36" i="232"/>
  <c r="D63" i="14"/>
  <c r="M24" i="240"/>
  <c r="D60" i="14"/>
  <c r="E60" i="14" s="1"/>
  <c r="F35" i="232"/>
  <c r="D62" i="14"/>
  <c r="E62" i="14" s="1"/>
  <c r="D57" i="14"/>
  <c r="M36" i="97"/>
  <c r="M26" i="240"/>
  <c r="M31" i="240" s="1"/>
  <c r="F40" i="97"/>
  <c r="L46" i="182"/>
  <c r="F46" i="182"/>
  <c r="R46" i="182"/>
  <c r="L17" i="128"/>
  <c r="M35" i="232"/>
  <c r="N35" i="232"/>
  <c r="M17" i="240"/>
  <c r="E45" i="240"/>
  <c r="E17" i="14"/>
  <c r="M45" i="240"/>
  <c r="M52" i="166"/>
  <c r="F39" i="97"/>
  <c r="D27" i="240" s="1"/>
  <c r="E27" i="240" s="1"/>
  <c r="L45" i="182"/>
  <c r="F45" i="182"/>
  <c r="R45" i="182"/>
  <c r="A35" i="232"/>
  <c r="A36" i="97"/>
  <c r="E26" i="14"/>
  <c r="E31" i="14" s="1"/>
  <c r="E45" i="14"/>
  <c r="E50" i="14" s="1"/>
  <c r="E53" i="166"/>
  <c r="E58" i="166" s="1"/>
  <c r="M53" i="166"/>
  <c r="M58" i="166" s="1"/>
  <c r="M26" i="166"/>
  <c r="M31" i="166" s="1"/>
  <c r="A37" i="97"/>
  <c r="A36" i="232"/>
  <c r="O35" i="232"/>
  <c r="L16" i="128"/>
  <c r="L35" i="232"/>
  <c r="F38" i="97"/>
  <c r="D26" i="240" s="1"/>
  <c r="L44" i="182"/>
  <c r="F44" i="182"/>
  <c r="R44" i="182"/>
  <c r="M54" i="240"/>
  <c r="M59" i="240" s="1"/>
  <c r="K36" i="272"/>
  <c r="K18" i="272"/>
  <c r="D36" i="272"/>
  <c r="D18" i="272"/>
  <c r="E36" i="272"/>
  <c r="E18" i="272"/>
  <c r="F36" i="272"/>
  <c r="F18" i="272"/>
  <c r="G36" i="272"/>
  <c r="G18" i="272"/>
  <c r="C36" i="272"/>
  <c r="C18" i="272"/>
  <c r="H18" i="272"/>
  <c r="H36" i="272"/>
  <c r="I36" i="272"/>
  <c r="I18" i="272"/>
  <c r="B36" i="272"/>
  <c r="B18" i="272"/>
  <c r="J36" i="272"/>
  <c r="J18" i="272"/>
  <c r="B41" i="95"/>
  <c r="B41" i="295"/>
  <c r="E57" i="14" l="1"/>
  <c r="E70" i="14" s="1"/>
  <c r="D70" i="14"/>
  <c r="M28" i="240"/>
  <c r="M30" i="240" s="1"/>
  <c r="L30" i="240"/>
  <c r="E26" i="240"/>
  <c r="E31" i="240" s="1"/>
  <c r="D31" i="240"/>
  <c r="E28" i="166"/>
  <c r="E30" i="166" s="1"/>
  <c r="D30" i="166"/>
  <c r="E26" i="166"/>
  <c r="E31" i="166" s="1"/>
  <c r="D31" i="166"/>
  <c r="L51" i="166"/>
  <c r="M51" i="166" s="1"/>
  <c r="O36" i="97"/>
  <c r="D28" i="240"/>
  <c r="E63" i="14"/>
  <c r="E56" i="14"/>
  <c r="B41" i="286"/>
  <c r="C41" i="286"/>
  <c r="D41" i="286"/>
  <c r="E41" i="286"/>
  <c r="B42" i="286"/>
  <c r="C42" i="286"/>
  <c r="D42" i="286"/>
  <c r="E42" i="286"/>
  <c r="F42" i="286"/>
  <c r="B43" i="286"/>
  <c r="C43" i="286"/>
  <c r="D43" i="286"/>
  <c r="E43" i="286"/>
  <c r="F43" i="286"/>
  <c r="B44" i="286"/>
  <c r="C44" i="286"/>
  <c r="D44" i="286"/>
  <c r="E44" i="286"/>
  <c r="F44" i="286"/>
  <c r="B45" i="286"/>
  <c r="C45" i="286"/>
  <c r="D45" i="286"/>
  <c r="E45" i="286"/>
  <c r="F45" i="286"/>
  <c r="B46" i="286"/>
  <c r="C46" i="286"/>
  <c r="D46" i="286"/>
  <c r="E46" i="286"/>
  <c r="F46" i="286"/>
  <c r="E28" i="240" l="1"/>
  <c r="E30" i="240" s="1"/>
  <c r="D30" i="240"/>
  <c r="G41" i="286"/>
  <c r="G44" i="286"/>
  <c r="G45" i="286"/>
  <c r="G42" i="286"/>
  <c r="G43" i="286"/>
  <c r="G46" i="286"/>
  <c r="M34" i="134"/>
  <c r="M30" i="134"/>
  <c r="M37" i="134"/>
  <c r="M33" i="134"/>
  <c r="M36" i="134"/>
  <c r="M32" i="134"/>
  <c r="M35" i="134"/>
  <c r="M31" i="134"/>
  <c r="C18" i="252"/>
  <c r="F18" i="252"/>
  <c r="D18" i="252"/>
  <c r="B18" i="252"/>
  <c r="E10" i="252" l="1"/>
  <c r="F15" i="252"/>
  <c r="F10" i="252"/>
  <c r="F13" i="252"/>
  <c r="F12" i="252"/>
  <c r="F11" i="252"/>
  <c r="D12" i="252"/>
  <c r="D13" i="252"/>
  <c r="D11" i="252"/>
  <c r="D10" i="252"/>
  <c r="E12" i="252"/>
  <c r="E13" i="252"/>
  <c r="E11" i="252"/>
  <c r="C10" i="252"/>
  <c r="C13" i="252"/>
  <c r="C12" i="252"/>
  <c r="C11" i="252"/>
  <c r="B11" i="252"/>
  <c r="B13" i="252"/>
  <c r="B12" i="252"/>
  <c r="B10" i="252"/>
  <c r="C51" i="93"/>
  <c r="D51" i="93"/>
  <c r="E51" i="93"/>
  <c r="F51" i="93"/>
  <c r="G51" i="93"/>
  <c r="C52" i="93"/>
  <c r="D52" i="93"/>
  <c r="E52" i="93"/>
  <c r="F52" i="93"/>
  <c r="G52" i="93"/>
  <c r="C53" i="93"/>
  <c r="D53" i="93"/>
  <c r="E53" i="93"/>
  <c r="F53" i="93"/>
  <c r="G53" i="93"/>
  <c r="C54" i="93"/>
  <c r="D54" i="93"/>
  <c r="E54" i="93"/>
  <c r="F54" i="93"/>
  <c r="G54" i="93"/>
  <c r="C55" i="93"/>
  <c r="D55" i="93"/>
  <c r="E55" i="93"/>
  <c r="F55" i="93"/>
  <c r="G55" i="93"/>
  <c r="B52" i="93"/>
  <c r="B53" i="93"/>
  <c r="B54" i="93"/>
  <c r="B55" i="93"/>
  <c r="B51" i="93"/>
  <c r="L11" i="282"/>
  <c r="M11" i="282"/>
  <c r="N11" i="282"/>
  <c r="O11" i="282"/>
  <c r="P11" i="282"/>
  <c r="L12" i="282"/>
  <c r="M12" i="282"/>
  <c r="N12" i="282"/>
  <c r="O12" i="282"/>
  <c r="P12" i="282"/>
  <c r="L13" i="282"/>
  <c r="M13" i="282"/>
  <c r="N13" i="282"/>
  <c r="O13" i="282"/>
  <c r="P13" i="282"/>
  <c r="L14" i="282"/>
  <c r="M14" i="282"/>
  <c r="N14" i="282"/>
  <c r="O14" i="282"/>
  <c r="P14" i="282"/>
  <c r="L15" i="282"/>
  <c r="M15" i="282"/>
  <c r="N15" i="282"/>
  <c r="O15" i="282"/>
  <c r="P15" i="282"/>
  <c r="L16" i="282"/>
  <c r="M16" i="282"/>
  <c r="N16" i="282"/>
  <c r="O16" i="282"/>
  <c r="P16" i="282"/>
  <c r="K12" i="282"/>
  <c r="K13" i="282"/>
  <c r="K14" i="282"/>
  <c r="K15" i="282"/>
  <c r="K16" i="282"/>
  <c r="K11" i="282"/>
  <c r="B52" i="289"/>
  <c r="C52" i="289"/>
  <c r="D52" i="289"/>
  <c r="E52" i="289"/>
  <c r="F52" i="289"/>
  <c r="G52" i="289"/>
  <c r="H52" i="289"/>
  <c r="I52" i="289"/>
  <c r="B53" i="289"/>
  <c r="C53" i="289"/>
  <c r="D53" i="289"/>
  <c r="E53" i="289"/>
  <c r="F53" i="289"/>
  <c r="G53" i="289"/>
  <c r="H53" i="289"/>
  <c r="I53" i="289"/>
  <c r="B54" i="289"/>
  <c r="C54" i="289"/>
  <c r="D54" i="289"/>
  <c r="E54" i="289"/>
  <c r="F54" i="289"/>
  <c r="G54" i="289"/>
  <c r="H54" i="289"/>
  <c r="I54" i="289"/>
  <c r="B55" i="289"/>
  <c r="C55" i="289"/>
  <c r="D55" i="289"/>
  <c r="E55" i="289"/>
  <c r="F55" i="289"/>
  <c r="G55" i="289"/>
  <c r="H55" i="289"/>
  <c r="I55" i="289"/>
  <c r="B56" i="289"/>
  <c r="C56" i="289"/>
  <c r="D56" i="289"/>
  <c r="E56" i="289"/>
  <c r="F56" i="289"/>
  <c r="G56" i="289"/>
  <c r="H56" i="289"/>
  <c r="I56" i="289"/>
  <c r="C51" i="289"/>
  <c r="D51" i="289"/>
  <c r="E51" i="289"/>
  <c r="F51" i="289"/>
  <c r="G51" i="289"/>
  <c r="H51" i="289"/>
  <c r="I51" i="289"/>
  <c r="B51" i="289"/>
  <c r="K40" i="289"/>
  <c r="L40" i="289"/>
  <c r="M40" i="289"/>
  <c r="N40" i="289"/>
  <c r="O40" i="289"/>
  <c r="P40" i="289"/>
  <c r="K41" i="289"/>
  <c r="L41" i="289"/>
  <c r="M41" i="289"/>
  <c r="N41" i="289"/>
  <c r="O41" i="289"/>
  <c r="P41" i="289"/>
  <c r="K42" i="289"/>
  <c r="L42" i="289"/>
  <c r="M42" i="289"/>
  <c r="N42" i="289"/>
  <c r="O42" i="289"/>
  <c r="P42" i="289"/>
  <c r="K43" i="289"/>
  <c r="L43" i="289"/>
  <c r="M43" i="289"/>
  <c r="N43" i="289"/>
  <c r="O43" i="289"/>
  <c r="P43" i="289"/>
  <c r="K44" i="289"/>
  <c r="L44" i="289"/>
  <c r="M44" i="289"/>
  <c r="N44" i="289"/>
  <c r="O44" i="289"/>
  <c r="P44" i="289"/>
  <c r="L39" i="289"/>
  <c r="M39" i="289"/>
  <c r="N39" i="289"/>
  <c r="O39" i="289"/>
  <c r="P39" i="289"/>
  <c r="K39" i="289"/>
  <c r="B40" i="289"/>
  <c r="C40" i="289"/>
  <c r="D40" i="289"/>
  <c r="E40" i="289"/>
  <c r="F40" i="289"/>
  <c r="G40" i="289"/>
  <c r="B41" i="289"/>
  <c r="C41" i="289"/>
  <c r="D41" i="289"/>
  <c r="E41" i="289"/>
  <c r="F41" i="289"/>
  <c r="G41" i="289"/>
  <c r="B42" i="289"/>
  <c r="C42" i="289"/>
  <c r="D42" i="289"/>
  <c r="E42" i="289"/>
  <c r="F42" i="289"/>
  <c r="G42" i="289"/>
  <c r="B43" i="289"/>
  <c r="C43" i="289"/>
  <c r="D43" i="289"/>
  <c r="E43" i="289"/>
  <c r="F43" i="289"/>
  <c r="G43" i="289"/>
  <c r="B44" i="289"/>
  <c r="C44" i="289"/>
  <c r="D44" i="289"/>
  <c r="E44" i="289"/>
  <c r="F44" i="289"/>
  <c r="G44" i="289"/>
  <c r="C39" i="289"/>
  <c r="D39" i="289"/>
  <c r="E39" i="289"/>
  <c r="F39" i="289"/>
  <c r="G39" i="289"/>
  <c r="B39" i="289"/>
  <c r="P12" i="291"/>
  <c r="Q12" i="291"/>
  <c r="R12" i="291"/>
  <c r="S12" i="291"/>
  <c r="T12" i="291"/>
  <c r="P13" i="291"/>
  <c r="Q13" i="291"/>
  <c r="R13" i="291"/>
  <c r="S13" i="291"/>
  <c r="T13" i="291"/>
  <c r="P14" i="291"/>
  <c r="Q14" i="291"/>
  <c r="R14" i="291"/>
  <c r="S14" i="291"/>
  <c r="T14" i="291"/>
  <c r="P15" i="291"/>
  <c r="Q15" i="291"/>
  <c r="R15" i="291"/>
  <c r="S15" i="291"/>
  <c r="T15" i="291"/>
  <c r="P16" i="291"/>
  <c r="Q16" i="291"/>
  <c r="R16" i="291"/>
  <c r="S16" i="291"/>
  <c r="T16" i="291"/>
  <c r="P17" i="291"/>
  <c r="Q17" i="291"/>
  <c r="R17" i="291"/>
  <c r="S17" i="291"/>
  <c r="T17" i="291"/>
  <c r="B40" i="93"/>
  <c r="C40" i="93"/>
  <c r="D40" i="93"/>
  <c r="E40" i="93"/>
  <c r="F40" i="93"/>
  <c r="B41" i="93"/>
  <c r="C41" i="93"/>
  <c r="D41" i="93"/>
  <c r="E41" i="93"/>
  <c r="F41" i="93"/>
  <c r="B42" i="93"/>
  <c r="C42" i="93"/>
  <c r="D42" i="93"/>
  <c r="E42" i="93"/>
  <c r="F42" i="93"/>
  <c r="B43" i="93"/>
  <c r="C43" i="93"/>
  <c r="D43" i="93"/>
  <c r="E43" i="93"/>
  <c r="F43" i="93"/>
  <c r="C39" i="93"/>
  <c r="D39" i="93"/>
  <c r="E39" i="93"/>
  <c r="F39" i="93"/>
  <c r="B39" i="93"/>
  <c r="I12" i="280"/>
  <c r="J12" i="280"/>
  <c r="K12" i="280"/>
  <c r="L12" i="280"/>
  <c r="M12" i="280"/>
  <c r="I13" i="280"/>
  <c r="J13" i="280"/>
  <c r="K13" i="280"/>
  <c r="L13" i="280"/>
  <c r="M13" i="280"/>
  <c r="I14" i="280"/>
  <c r="J14" i="280"/>
  <c r="K14" i="280"/>
  <c r="L14" i="280"/>
  <c r="M14" i="280"/>
  <c r="I15" i="280"/>
  <c r="J15" i="280"/>
  <c r="K15" i="280"/>
  <c r="L15" i="280"/>
  <c r="M15" i="280"/>
  <c r="I16" i="280"/>
  <c r="J16" i="280"/>
  <c r="K16" i="280"/>
  <c r="L16" i="280"/>
  <c r="M16" i="280"/>
  <c r="J11" i="280"/>
  <c r="K11" i="280"/>
  <c r="L11" i="280"/>
  <c r="M11" i="280"/>
  <c r="I11" i="280"/>
  <c r="G49" i="244"/>
  <c r="G50" i="244"/>
  <c r="G51" i="244"/>
  <c r="G52" i="244"/>
  <c r="G53" i="244"/>
  <c r="G54" i="244"/>
  <c r="G55" i="244"/>
  <c r="G56" i="244"/>
  <c r="G57" i="244"/>
  <c r="G58" i="244"/>
  <c r="G59" i="244"/>
  <c r="G60" i="244"/>
  <c r="G61" i="244"/>
  <c r="G62" i="244"/>
  <c r="G63" i="244"/>
  <c r="G64" i="244"/>
  <c r="G65" i="244"/>
  <c r="G66" i="244"/>
  <c r="G67" i="244"/>
  <c r="G68" i="244"/>
  <c r="G69" i="244"/>
  <c r="G70" i="244"/>
  <c r="G71" i="244"/>
  <c r="G72" i="244"/>
  <c r="G73" i="244"/>
  <c r="G74" i="244"/>
  <c r="G75" i="244"/>
  <c r="G76" i="244"/>
  <c r="G77" i="244"/>
  <c r="G78" i="244"/>
  <c r="G79" i="244"/>
  <c r="G48" i="244"/>
  <c r="H27" i="136"/>
  <c r="H28" i="136"/>
  <c r="H29" i="136"/>
  <c r="H30" i="136"/>
  <c r="H31" i="136"/>
  <c r="H32" i="136"/>
  <c r="H26" i="136"/>
  <c r="D15" i="252"/>
  <c r="B15" i="252"/>
  <c r="E15" i="252"/>
  <c r="C15" i="252"/>
  <c r="H42" i="289" l="1"/>
  <c r="Q40" i="289"/>
  <c r="Q44" i="289"/>
  <c r="H41" i="289"/>
  <c r="Q43" i="289"/>
  <c r="H39" i="289"/>
  <c r="H43" i="289"/>
  <c r="Q41" i="289"/>
  <c r="H44" i="289"/>
  <c r="H40" i="289"/>
  <c r="Q42" i="289"/>
  <c r="Q39" i="289"/>
  <c r="C40" i="295"/>
  <c r="C39" i="295"/>
  <c r="C38" i="295"/>
  <c r="C37" i="295"/>
  <c r="C36" i="295"/>
  <c r="C35" i="295"/>
  <c r="C34" i="295"/>
  <c r="C33" i="295"/>
  <c r="C32" i="295"/>
  <c r="C31" i="295"/>
  <c r="C30" i="295"/>
  <c r="C29" i="295"/>
  <c r="C28" i="295"/>
  <c r="C27" i="295"/>
  <c r="C26" i="295"/>
  <c r="C25" i="295"/>
  <c r="C24" i="295"/>
  <c r="C23" i="295"/>
  <c r="C22" i="295"/>
  <c r="C21" i="295"/>
  <c r="C20" i="295"/>
  <c r="C19" i="295"/>
  <c r="C18" i="295"/>
  <c r="C17" i="295"/>
  <c r="C16" i="295"/>
  <c r="C15" i="295"/>
  <c r="C14" i="295"/>
  <c r="C13" i="295"/>
  <c r="C12" i="295"/>
  <c r="C11" i="295"/>
  <c r="C10" i="295"/>
  <c r="C9" i="295"/>
  <c r="B23" i="93"/>
  <c r="C23" i="93"/>
  <c r="D23" i="93"/>
  <c r="E23" i="93"/>
  <c r="F23" i="93"/>
  <c r="G23" i="93"/>
  <c r="H23" i="93"/>
  <c r="I23" i="93"/>
  <c r="J23" i="93"/>
  <c r="K23" i="93"/>
  <c r="L23" i="93"/>
  <c r="G37" i="294"/>
  <c r="G36" i="294"/>
  <c r="K36" i="294" s="1"/>
  <c r="G35" i="294"/>
  <c r="G34" i="294"/>
  <c r="K34" i="294" s="1"/>
  <c r="G33" i="294"/>
  <c r="G32" i="294"/>
  <c r="K32" i="294" s="1"/>
  <c r="G31" i="294"/>
  <c r="G30" i="294"/>
  <c r="K30" i="294" s="1"/>
  <c r="G29" i="294"/>
  <c r="G28" i="294"/>
  <c r="K28" i="294" s="1"/>
  <c r="G22" i="294"/>
  <c r="K22" i="294" s="1"/>
  <c r="G21" i="294"/>
  <c r="K21" i="294" s="1"/>
  <c r="G20" i="294"/>
  <c r="K20" i="294" s="1"/>
  <c r="G19" i="294"/>
  <c r="K19" i="294" s="1"/>
  <c r="G18" i="294"/>
  <c r="K18" i="294" s="1"/>
  <c r="G17" i="294"/>
  <c r="K17" i="294" s="1"/>
  <c r="G16" i="294"/>
  <c r="K16" i="294" s="1"/>
  <c r="G15" i="294"/>
  <c r="K15" i="294" s="1"/>
  <c r="G14" i="294"/>
  <c r="K14" i="294" s="1"/>
  <c r="G13" i="294"/>
  <c r="K13" i="294" s="1"/>
  <c r="G12" i="294"/>
  <c r="K12" i="294" s="1"/>
  <c r="G11" i="294"/>
  <c r="K11" i="294" s="1"/>
  <c r="B47" i="133"/>
  <c r="E47" i="133"/>
  <c r="D47" i="133"/>
  <c r="C47" i="133"/>
  <c r="F47" i="133"/>
  <c r="C42" i="295" l="1"/>
  <c r="K29" i="294"/>
  <c r="K33" i="294"/>
  <c r="K37" i="294"/>
  <c r="K31" i="294"/>
  <c r="K35" i="294"/>
  <c r="E41" i="133"/>
  <c r="D36" i="133"/>
  <c r="C41" i="133"/>
  <c r="E39" i="133"/>
  <c r="C42" i="133"/>
  <c r="C44" i="133"/>
  <c r="F44" i="133"/>
  <c r="B41" i="133"/>
  <c r="F39" i="133"/>
  <c r="B38" i="133"/>
  <c r="E40" i="133"/>
  <c r="B39" i="133"/>
  <c r="B44" i="133"/>
  <c r="F42" i="133"/>
  <c r="C40" i="133"/>
  <c r="C36" i="133"/>
  <c r="F41" i="133"/>
  <c r="B36" i="133"/>
  <c r="F38" i="133"/>
  <c r="E42" i="133"/>
  <c r="D44" i="133"/>
  <c r="B42" i="133"/>
  <c r="F36" i="133"/>
  <c r="D39" i="133"/>
  <c r="C39" i="133"/>
  <c r="E38" i="133"/>
  <c r="B40" i="133"/>
  <c r="B37" i="133"/>
  <c r="C38" i="133"/>
  <c r="F37" i="133"/>
  <c r="F40" i="133"/>
  <c r="D41" i="133"/>
  <c r="D37" i="133"/>
  <c r="D40" i="133"/>
  <c r="E44" i="133"/>
  <c r="D42" i="133"/>
  <c r="C37" i="133"/>
  <c r="E37" i="133"/>
  <c r="D38" i="133"/>
  <c r="E36" i="133"/>
  <c r="C9" i="98" l="1"/>
  <c r="D10" i="98"/>
  <c r="J31" i="10" l="1"/>
  <c r="F31" i="10"/>
  <c r="I31" i="10"/>
  <c r="Q36" i="232" s="1"/>
  <c r="H31" i="10"/>
  <c r="Q35" i="232" s="1"/>
  <c r="E31" i="10"/>
  <c r="B31" i="10"/>
  <c r="D31" i="10"/>
  <c r="G31" i="10"/>
  <c r="Q34" i="232" s="1"/>
  <c r="K31" i="10"/>
  <c r="Q38" i="232" s="1"/>
  <c r="C31" i="10"/>
  <c r="P39" i="232" l="1"/>
  <c r="R39" i="232"/>
  <c r="P34" i="232"/>
  <c r="P35" i="232"/>
  <c r="P36" i="232"/>
  <c r="Q37" i="232"/>
  <c r="G9" i="98"/>
  <c r="P37" i="232" l="1"/>
  <c r="R37" i="232"/>
  <c r="P38" i="232"/>
  <c r="R38" i="232"/>
  <c r="G25" i="292"/>
  <c r="G9" i="292" l="1"/>
  <c r="B27" i="292"/>
  <c r="C27" i="292"/>
  <c r="D27" i="292"/>
  <c r="E27" i="292"/>
  <c r="F27" i="292"/>
  <c r="B28" i="292"/>
  <c r="C28" i="292"/>
  <c r="D28" i="292"/>
  <c r="E28" i="292"/>
  <c r="F28" i="292"/>
  <c r="B29" i="292"/>
  <c r="C29" i="292"/>
  <c r="D29" i="292"/>
  <c r="E29" i="292"/>
  <c r="F29" i="292"/>
  <c r="B30" i="292"/>
  <c r="C30" i="292"/>
  <c r="D30" i="292"/>
  <c r="E30" i="292"/>
  <c r="F30" i="292"/>
  <c r="B31" i="292"/>
  <c r="C31" i="292"/>
  <c r="D31" i="292"/>
  <c r="E31" i="292"/>
  <c r="F31" i="292"/>
  <c r="B32" i="292"/>
  <c r="C32" i="292"/>
  <c r="D32" i="292"/>
  <c r="E32" i="292"/>
  <c r="F32" i="292"/>
  <c r="C26" i="292"/>
  <c r="D26" i="292"/>
  <c r="E26" i="292"/>
  <c r="F26" i="292"/>
  <c r="B26" i="292"/>
  <c r="B11" i="292"/>
  <c r="C11" i="292"/>
  <c r="D11" i="292"/>
  <c r="E11" i="292"/>
  <c r="F11" i="292"/>
  <c r="B12" i="292"/>
  <c r="C12" i="292"/>
  <c r="D12" i="292"/>
  <c r="E12" i="292"/>
  <c r="F12" i="292"/>
  <c r="B13" i="292"/>
  <c r="C13" i="292"/>
  <c r="D13" i="292"/>
  <c r="E13" i="292"/>
  <c r="F13" i="292"/>
  <c r="B14" i="292"/>
  <c r="C14" i="292"/>
  <c r="D14" i="292"/>
  <c r="E14" i="292"/>
  <c r="F14" i="292"/>
  <c r="B15" i="292"/>
  <c r="C15" i="292"/>
  <c r="D15" i="292"/>
  <c r="E15" i="292"/>
  <c r="F15" i="292"/>
  <c r="B16" i="292"/>
  <c r="C16" i="292"/>
  <c r="D16" i="292"/>
  <c r="E16" i="292"/>
  <c r="F16" i="292"/>
  <c r="C10" i="292"/>
  <c r="D10" i="292"/>
  <c r="E10" i="292"/>
  <c r="F10" i="292"/>
  <c r="B10" i="292"/>
  <c r="A32" i="292" l="1"/>
  <c r="A31" i="292"/>
  <c r="A30" i="292"/>
  <c r="A29" i="292"/>
  <c r="A28" i="292"/>
  <c r="A27" i="292"/>
  <c r="A26" i="292"/>
  <c r="A16" i="292"/>
  <c r="A15" i="292"/>
  <c r="A14" i="292"/>
  <c r="A13" i="292"/>
  <c r="A12" i="292"/>
  <c r="A11" i="292"/>
  <c r="A10" i="292"/>
  <c r="K28" i="290" l="1"/>
  <c r="L28" i="290"/>
  <c r="M28" i="290"/>
  <c r="N28" i="290"/>
  <c r="O28" i="290"/>
  <c r="K29" i="290"/>
  <c r="L29" i="290"/>
  <c r="M29" i="290"/>
  <c r="N29" i="290"/>
  <c r="O29" i="290"/>
  <c r="K30" i="290"/>
  <c r="L30" i="290"/>
  <c r="M30" i="290"/>
  <c r="N30" i="290"/>
  <c r="O30" i="290"/>
  <c r="K31" i="290"/>
  <c r="L31" i="290"/>
  <c r="M31" i="290"/>
  <c r="N31" i="290"/>
  <c r="O31" i="290"/>
  <c r="K32" i="290"/>
  <c r="L32" i="290"/>
  <c r="M32" i="290"/>
  <c r="N32" i="290"/>
  <c r="O32" i="290"/>
  <c r="K33" i="290"/>
  <c r="L33" i="290"/>
  <c r="M33" i="290"/>
  <c r="N33" i="290"/>
  <c r="O33" i="290"/>
  <c r="J29" i="290"/>
  <c r="J30" i="290"/>
  <c r="J31" i="290"/>
  <c r="J32" i="290"/>
  <c r="J33" i="290"/>
  <c r="C28" i="290"/>
  <c r="D28" i="290"/>
  <c r="E28" i="290"/>
  <c r="F28" i="290"/>
  <c r="G28" i="290"/>
  <c r="C29" i="290"/>
  <c r="D29" i="290"/>
  <c r="E29" i="290"/>
  <c r="F29" i="290"/>
  <c r="G29" i="290"/>
  <c r="C30" i="290"/>
  <c r="D30" i="290"/>
  <c r="E30" i="290"/>
  <c r="F30" i="290"/>
  <c r="G30" i="290"/>
  <c r="C31" i="290"/>
  <c r="D31" i="290"/>
  <c r="E31" i="290"/>
  <c r="F31" i="290"/>
  <c r="G31" i="290"/>
  <c r="C32" i="290"/>
  <c r="D32" i="290"/>
  <c r="E32" i="290"/>
  <c r="F32" i="290"/>
  <c r="G32" i="290"/>
  <c r="C33" i="290"/>
  <c r="D33" i="290"/>
  <c r="E33" i="290"/>
  <c r="F33" i="290"/>
  <c r="G33" i="290"/>
  <c r="B29" i="290"/>
  <c r="B30" i="290"/>
  <c r="B31" i="290"/>
  <c r="B32" i="290"/>
  <c r="B33" i="290"/>
  <c r="J28" i="290"/>
  <c r="B28" i="290"/>
  <c r="B12" i="290"/>
  <c r="K12" i="290"/>
  <c r="L12" i="290"/>
  <c r="M12" i="290"/>
  <c r="N12" i="290"/>
  <c r="O12" i="290"/>
  <c r="K13" i="290"/>
  <c r="L13" i="290"/>
  <c r="M13" i="290"/>
  <c r="N13" i="290"/>
  <c r="O13" i="290"/>
  <c r="K14" i="290"/>
  <c r="L14" i="290"/>
  <c r="M14" i="290"/>
  <c r="N14" i="290"/>
  <c r="O14" i="290"/>
  <c r="K15" i="290"/>
  <c r="L15" i="290"/>
  <c r="M15" i="290"/>
  <c r="N15" i="290"/>
  <c r="O15" i="290"/>
  <c r="K16" i="290"/>
  <c r="L16" i="290"/>
  <c r="M16" i="290"/>
  <c r="N16" i="290"/>
  <c r="O16" i="290"/>
  <c r="K17" i="290"/>
  <c r="L17" i="290"/>
  <c r="M17" i="290"/>
  <c r="N17" i="290"/>
  <c r="O17" i="290"/>
  <c r="J13" i="290"/>
  <c r="J14" i="290"/>
  <c r="J15" i="290"/>
  <c r="J16" i="290"/>
  <c r="J17" i="290"/>
  <c r="J12" i="290"/>
  <c r="B13" i="290"/>
  <c r="C13" i="290"/>
  <c r="D13" i="290"/>
  <c r="E13" i="290"/>
  <c r="F13" i="290"/>
  <c r="G13" i="290"/>
  <c r="B14" i="290"/>
  <c r="C14" i="290"/>
  <c r="D14" i="290"/>
  <c r="E14" i="290"/>
  <c r="F14" i="290"/>
  <c r="G14" i="290"/>
  <c r="B15" i="290"/>
  <c r="C15" i="290"/>
  <c r="D15" i="290"/>
  <c r="E15" i="290"/>
  <c r="F15" i="290"/>
  <c r="G15" i="290"/>
  <c r="B16" i="290"/>
  <c r="C16" i="290"/>
  <c r="D16" i="290"/>
  <c r="E16" i="290"/>
  <c r="F16" i="290"/>
  <c r="G16" i="290"/>
  <c r="B17" i="290"/>
  <c r="C17" i="290"/>
  <c r="D17" i="290"/>
  <c r="E17" i="290"/>
  <c r="F17" i="290"/>
  <c r="G17" i="290"/>
  <c r="C12" i="290"/>
  <c r="D12" i="290"/>
  <c r="E12" i="290"/>
  <c r="F12" i="290"/>
  <c r="G12" i="290"/>
  <c r="A17" i="290"/>
  <c r="A33" i="290" s="1"/>
  <c r="A16" i="290"/>
  <c r="A32" i="290" s="1"/>
  <c r="A15" i="290"/>
  <c r="A31" i="290" s="1"/>
  <c r="A14" i="290"/>
  <c r="A30" i="290" s="1"/>
  <c r="A13" i="290"/>
  <c r="A29" i="290" s="1"/>
  <c r="A12" i="290"/>
  <c r="A28" i="290" s="1"/>
  <c r="K28" i="289"/>
  <c r="L28" i="289"/>
  <c r="M28" i="289"/>
  <c r="N28" i="289"/>
  <c r="O28" i="289"/>
  <c r="P28" i="289"/>
  <c r="K29" i="289"/>
  <c r="L29" i="289"/>
  <c r="M29" i="289"/>
  <c r="N29" i="289"/>
  <c r="O29" i="289"/>
  <c r="P29" i="289"/>
  <c r="K30" i="289"/>
  <c r="L30" i="289"/>
  <c r="M30" i="289"/>
  <c r="N30" i="289"/>
  <c r="O30" i="289"/>
  <c r="P30" i="289"/>
  <c r="K31" i="289"/>
  <c r="L31" i="289"/>
  <c r="M31" i="289"/>
  <c r="N31" i="289"/>
  <c r="O31" i="289"/>
  <c r="P31" i="289"/>
  <c r="K32" i="289"/>
  <c r="L32" i="289"/>
  <c r="M32" i="289"/>
  <c r="N32" i="289"/>
  <c r="O32" i="289"/>
  <c r="P32" i="289"/>
  <c r="L27" i="289"/>
  <c r="M27" i="289"/>
  <c r="N27" i="289"/>
  <c r="O27" i="289"/>
  <c r="P27" i="289"/>
  <c r="K27" i="289"/>
  <c r="B28" i="289"/>
  <c r="C28" i="289"/>
  <c r="D28" i="289"/>
  <c r="E28" i="289"/>
  <c r="F28" i="289"/>
  <c r="G28" i="289"/>
  <c r="H28" i="289"/>
  <c r="B29" i="289"/>
  <c r="C29" i="289"/>
  <c r="D29" i="289"/>
  <c r="E29" i="289"/>
  <c r="F29" i="289"/>
  <c r="G29" i="289"/>
  <c r="H29" i="289"/>
  <c r="B30" i="289"/>
  <c r="C30" i="289"/>
  <c r="D30" i="289"/>
  <c r="E30" i="289"/>
  <c r="F30" i="289"/>
  <c r="G30" i="289"/>
  <c r="H30" i="289"/>
  <c r="B31" i="289"/>
  <c r="C31" i="289"/>
  <c r="D31" i="289"/>
  <c r="E31" i="289"/>
  <c r="F31" i="289"/>
  <c r="G31" i="289"/>
  <c r="H31" i="289"/>
  <c r="B32" i="289"/>
  <c r="C32" i="289"/>
  <c r="D32" i="289"/>
  <c r="E32" i="289"/>
  <c r="F32" i="289"/>
  <c r="G32" i="289"/>
  <c r="H32" i="289"/>
  <c r="C27" i="289"/>
  <c r="D27" i="289"/>
  <c r="E27" i="289"/>
  <c r="F27" i="289"/>
  <c r="G27" i="289"/>
  <c r="H27" i="289"/>
  <c r="B27" i="289"/>
  <c r="K13" i="289"/>
  <c r="L13" i="289"/>
  <c r="M13" i="289"/>
  <c r="N13" i="289"/>
  <c r="O13" i="289"/>
  <c r="P13" i="289"/>
  <c r="K14" i="289"/>
  <c r="L14" i="289"/>
  <c r="M14" i="289"/>
  <c r="N14" i="289"/>
  <c r="O14" i="289"/>
  <c r="P14" i="289"/>
  <c r="K15" i="289"/>
  <c r="L15" i="289"/>
  <c r="M15" i="289"/>
  <c r="N15" i="289"/>
  <c r="O15" i="289"/>
  <c r="P15" i="289"/>
  <c r="K16" i="289"/>
  <c r="L16" i="289"/>
  <c r="M16" i="289"/>
  <c r="N16" i="289"/>
  <c r="O16" i="289"/>
  <c r="P16" i="289"/>
  <c r="K17" i="289"/>
  <c r="L17" i="289"/>
  <c r="M17" i="289"/>
  <c r="N17" i="289"/>
  <c r="O17" i="289"/>
  <c r="P17" i="289"/>
  <c r="L12" i="289"/>
  <c r="M12" i="289"/>
  <c r="N12" i="289"/>
  <c r="O12" i="289"/>
  <c r="P12" i="289"/>
  <c r="K12" i="289"/>
  <c r="B13" i="289"/>
  <c r="C13" i="289"/>
  <c r="D13" i="289"/>
  <c r="E13" i="289"/>
  <c r="F13" i="289"/>
  <c r="G13" i="289"/>
  <c r="B14" i="289"/>
  <c r="C14" i="289"/>
  <c r="D14" i="289"/>
  <c r="E14" i="289"/>
  <c r="F14" i="289"/>
  <c r="G14" i="289"/>
  <c r="B15" i="289"/>
  <c r="C15" i="289"/>
  <c r="D15" i="289"/>
  <c r="E15" i="289"/>
  <c r="F15" i="289"/>
  <c r="G15" i="289"/>
  <c r="B16" i="289"/>
  <c r="C16" i="289"/>
  <c r="D16" i="289"/>
  <c r="E16" i="289"/>
  <c r="F16" i="289"/>
  <c r="G16" i="289"/>
  <c r="B17" i="289"/>
  <c r="C17" i="289"/>
  <c r="D17" i="289"/>
  <c r="E17" i="289"/>
  <c r="F17" i="289"/>
  <c r="G17" i="289"/>
  <c r="C12" i="289"/>
  <c r="D12" i="289"/>
  <c r="E12" i="289"/>
  <c r="F12" i="289"/>
  <c r="G12" i="289"/>
  <c r="B12" i="289"/>
  <c r="A17" i="289"/>
  <c r="A32" i="289" s="1"/>
  <c r="A44" i="289" s="1"/>
  <c r="A56" i="289" s="1"/>
  <c r="A16" i="289"/>
  <c r="A31" i="289" s="1"/>
  <c r="A43" i="289" s="1"/>
  <c r="A55" i="289" s="1"/>
  <c r="A15" i="289"/>
  <c r="A30" i="289" s="1"/>
  <c r="A42" i="289" s="1"/>
  <c r="A54" i="289" s="1"/>
  <c r="A14" i="289"/>
  <c r="A29" i="289" s="1"/>
  <c r="A41" i="289" s="1"/>
  <c r="A53" i="289" s="1"/>
  <c r="A13" i="289"/>
  <c r="A28" i="289" s="1"/>
  <c r="A40" i="289" s="1"/>
  <c r="A52" i="289" s="1"/>
  <c r="A12" i="289"/>
  <c r="A27" i="289" s="1"/>
  <c r="A39" i="289" s="1"/>
  <c r="A51" i="289" s="1"/>
  <c r="J31" i="291"/>
  <c r="K31" i="291"/>
  <c r="L31" i="291"/>
  <c r="M31" i="291"/>
  <c r="J32" i="291"/>
  <c r="K32" i="291"/>
  <c r="L32" i="291"/>
  <c r="M32" i="291"/>
  <c r="J33" i="291"/>
  <c r="K33" i="291"/>
  <c r="L33" i="291"/>
  <c r="M33" i="291"/>
  <c r="J34" i="291"/>
  <c r="K34" i="291"/>
  <c r="L34" i="291"/>
  <c r="M34" i="291"/>
  <c r="J35" i="291"/>
  <c r="K35" i="291"/>
  <c r="L35" i="291"/>
  <c r="M35" i="291"/>
  <c r="J36" i="291"/>
  <c r="K36" i="291"/>
  <c r="L36" i="291"/>
  <c r="M36" i="291"/>
  <c r="I32" i="291"/>
  <c r="I33" i="291"/>
  <c r="I34" i="291"/>
  <c r="I35" i="291"/>
  <c r="I36" i="291"/>
  <c r="B32" i="291"/>
  <c r="C32" i="291"/>
  <c r="D32" i="291"/>
  <c r="E32" i="291"/>
  <c r="F32" i="291"/>
  <c r="B33" i="291"/>
  <c r="C33" i="291"/>
  <c r="D33" i="291"/>
  <c r="E33" i="291"/>
  <c r="F33" i="291"/>
  <c r="B34" i="291"/>
  <c r="C34" i="291"/>
  <c r="D34" i="291"/>
  <c r="E34" i="291"/>
  <c r="F34" i="291"/>
  <c r="B35" i="291"/>
  <c r="C35" i="291"/>
  <c r="D35" i="291"/>
  <c r="E35" i="291"/>
  <c r="F35" i="291"/>
  <c r="B36" i="291"/>
  <c r="C36" i="291"/>
  <c r="D36" i="291"/>
  <c r="E36" i="291"/>
  <c r="F36" i="291"/>
  <c r="C31" i="291"/>
  <c r="D31" i="291"/>
  <c r="E31" i="291"/>
  <c r="F31" i="291"/>
  <c r="I13" i="291"/>
  <c r="J13" i="291"/>
  <c r="K13" i="291"/>
  <c r="L13" i="291"/>
  <c r="M13" i="291"/>
  <c r="I14" i="291"/>
  <c r="J14" i="291"/>
  <c r="K14" i="291"/>
  <c r="L14" i="291"/>
  <c r="M14" i="291"/>
  <c r="I15" i="291"/>
  <c r="J15" i="291"/>
  <c r="K15" i="291"/>
  <c r="L15" i="291"/>
  <c r="M15" i="291"/>
  <c r="I16" i="291"/>
  <c r="J16" i="291"/>
  <c r="K16" i="291"/>
  <c r="L16" i="291"/>
  <c r="M16" i="291"/>
  <c r="I17" i="291"/>
  <c r="J17" i="291"/>
  <c r="K17" i="291"/>
  <c r="L17" i="291"/>
  <c r="M17" i="291"/>
  <c r="J12" i="291"/>
  <c r="K12" i="291"/>
  <c r="L12" i="291"/>
  <c r="M12" i="291"/>
  <c r="F13" i="291"/>
  <c r="F14" i="291"/>
  <c r="F15" i="291"/>
  <c r="F16" i="291"/>
  <c r="F17" i="291"/>
  <c r="I31" i="291"/>
  <c r="B31" i="291"/>
  <c r="I12" i="291"/>
  <c r="B12" i="291"/>
  <c r="C12" i="291"/>
  <c r="D12" i="291"/>
  <c r="E12" i="291"/>
  <c r="F12" i="291"/>
  <c r="C13" i="291"/>
  <c r="D13" i="291"/>
  <c r="E13" i="291"/>
  <c r="C14" i="291"/>
  <c r="D14" i="291"/>
  <c r="E14" i="291"/>
  <c r="C15" i="291"/>
  <c r="D15" i="291"/>
  <c r="E15" i="291"/>
  <c r="C16" i="291"/>
  <c r="D16" i="291"/>
  <c r="E16" i="291"/>
  <c r="C17" i="291"/>
  <c r="D17" i="291"/>
  <c r="E17" i="291"/>
  <c r="B13" i="291"/>
  <c r="B14" i="291"/>
  <c r="B15" i="291"/>
  <c r="B16" i="291"/>
  <c r="B17" i="291"/>
  <c r="A17" i="291"/>
  <c r="A36" i="291" s="1"/>
  <c r="A16" i="291"/>
  <c r="A35" i="291" s="1"/>
  <c r="A15" i="291"/>
  <c r="A34" i="291" s="1"/>
  <c r="A14" i="291"/>
  <c r="A33" i="291" s="1"/>
  <c r="A13" i="291"/>
  <c r="A32" i="291" s="1"/>
  <c r="A12" i="291"/>
  <c r="A31" i="291" s="1"/>
  <c r="B54" i="286"/>
  <c r="C54" i="286"/>
  <c r="D54" i="286"/>
  <c r="E54" i="286"/>
  <c r="F54" i="286"/>
  <c r="G54" i="286"/>
  <c r="B55" i="286"/>
  <c r="C55" i="286"/>
  <c r="D55" i="286"/>
  <c r="E55" i="286"/>
  <c r="F55" i="286"/>
  <c r="G55" i="286"/>
  <c r="B56" i="286"/>
  <c r="C56" i="286"/>
  <c r="D56" i="286"/>
  <c r="E56" i="286"/>
  <c r="F56" i="286"/>
  <c r="G56" i="286"/>
  <c r="B57" i="286"/>
  <c r="C57" i="286"/>
  <c r="D57" i="286"/>
  <c r="E57" i="286"/>
  <c r="F57" i="286"/>
  <c r="G57" i="286"/>
  <c r="B58" i="286"/>
  <c r="C58" i="286"/>
  <c r="D58" i="286"/>
  <c r="E58" i="286"/>
  <c r="F58" i="286"/>
  <c r="G58" i="286"/>
  <c r="G53" i="286"/>
  <c r="C53" i="286"/>
  <c r="D53" i="286"/>
  <c r="E53" i="286"/>
  <c r="F53" i="286"/>
  <c r="B53" i="286"/>
  <c r="J42" i="286"/>
  <c r="K42" i="286"/>
  <c r="L42" i="286"/>
  <c r="M42" i="286"/>
  <c r="N42" i="286"/>
  <c r="J43" i="286"/>
  <c r="K43" i="286"/>
  <c r="L43" i="286"/>
  <c r="M43" i="286"/>
  <c r="N43" i="286"/>
  <c r="J44" i="286"/>
  <c r="K44" i="286"/>
  <c r="L44" i="286"/>
  <c r="M44" i="286"/>
  <c r="N44" i="286"/>
  <c r="J45" i="286"/>
  <c r="K45" i="286"/>
  <c r="L45" i="286"/>
  <c r="M45" i="286"/>
  <c r="N45" i="286"/>
  <c r="J46" i="286"/>
  <c r="K46" i="286"/>
  <c r="L46" i="286"/>
  <c r="M46" i="286"/>
  <c r="N46" i="286"/>
  <c r="K41" i="286"/>
  <c r="L41" i="286"/>
  <c r="M41" i="286"/>
  <c r="J41" i="286"/>
  <c r="J30" i="286"/>
  <c r="K30" i="286"/>
  <c r="L30" i="286"/>
  <c r="M30" i="286"/>
  <c r="N30" i="286"/>
  <c r="J31" i="286"/>
  <c r="K31" i="286"/>
  <c r="L31" i="286"/>
  <c r="M31" i="286"/>
  <c r="N31" i="286"/>
  <c r="J32" i="286"/>
  <c r="K32" i="286"/>
  <c r="L32" i="286"/>
  <c r="M32" i="286"/>
  <c r="N32" i="286"/>
  <c r="J33" i="286"/>
  <c r="K33" i="286"/>
  <c r="L33" i="286"/>
  <c r="M33" i="286"/>
  <c r="N33" i="286"/>
  <c r="J34" i="286"/>
  <c r="K34" i="286"/>
  <c r="L34" i="286"/>
  <c r="M34" i="286"/>
  <c r="N34" i="286"/>
  <c r="K29" i="286"/>
  <c r="L29" i="286"/>
  <c r="M29" i="286"/>
  <c r="N29" i="286"/>
  <c r="J29" i="286"/>
  <c r="B30" i="286"/>
  <c r="C30" i="286"/>
  <c r="D30" i="286"/>
  <c r="E30" i="286"/>
  <c r="F30" i="286"/>
  <c r="G30" i="286"/>
  <c r="B31" i="286"/>
  <c r="C31" i="286"/>
  <c r="D31" i="286"/>
  <c r="E31" i="286"/>
  <c r="F31" i="286"/>
  <c r="G31" i="286"/>
  <c r="B32" i="286"/>
  <c r="C32" i="286"/>
  <c r="D32" i="286"/>
  <c r="E32" i="286"/>
  <c r="F32" i="286"/>
  <c r="G32" i="286"/>
  <c r="B33" i="286"/>
  <c r="C33" i="286"/>
  <c r="D33" i="286"/>
  <c r="E33" i="286"/>
  <c r="F33" i="286"/>
  <c r="G33" i="286"/>
  <c r="B34" i="286"/>
  <c r="C34" i="286"/>
  <c r="D34" i="286"/>
  <c r="E34" i="286"/>
  <c r="F34" i="286"/>
  <c r="G34" i="286"/>
  <c r="C29" i="286"/>
  <c r="D29" i="286"/>
  <c r="E29" i="286"/>
  <c r="F29" i="286"/>
  <c r="G29" i="286"/>
  <c r="B29" i="286"/>
  <c r="J13" i="286"/>
  <c r="K13" i="286"/>
  <c r="L13" i="286"/>
  <c r="M13" i="286"/>
  <c r="N13" i="286"/>
  <c r="J14" i="286"/>
  <c r="K14" i="286"/>
  <c r="L14" i="286"/>
  <c r="M14" i="286"/>
  <c r="N14" i="286"/>
  <c r="J15" i="286"/>
  <c r="K15" i="286"/>
  <c r="L15" i="286"/>
  <c r="M15" i="286"/>
  <c r="N15" i="286"/>
  <c r="J16" i="286"/>
  <c r="K16" i="286"/>
  <c r="L16" i="286"/>
  <c r="M16" i="286"/>
  <c r="N16" i="286"/>
  <c r="J17" i="286"/>
  <c r="K17" i="286"/>
  <c r="L17" i="286"/>
  <c r="M17" i="286"/>
  <c r="N17" i="286"/>
  <c r="K12" i="286"/>
  <c r="L12" i="286"/>
  <c r="M12" i="286"/>
  <c r="N12" i="286"/>
  <c r="J12" i="286"/>
  <c r="B13" i="286"/>
  <c r="C13" i="286"/>
  <c r="D13" i="286"/>
  <c r="E13" i="286"/>
  <c r="F13" i="286"/>
  <c r="B14" i="286"/>
  <c r="C14" i="286"/>
  <c r="D14" i="286"/>
  <c r="E14" i="286"/>
  <c r="F14" i="286"/>
  <c r="B15" i="286"/>
  <c r="C15" i="286"/>
  <c r="D15" i="286"/>
  <c r="E15" i="286"/>
  <c r="F15" i="286"/>
  <c r="B16" i="286"/>
  <c r="C16" i="286"/>
  <c r="D16" i="286"/>
  <c r="E16" i="286"/>
  <c r="F16" i="286"/>
  <c r="B17" i="286"/>
  <c r="C17" i="286"/>
  <c r="D17" i="286"/>
  <c r="E17" i="286"/>
  <c r="F17" i="286"/>
  <c r="C12" i="286"/>
  <c r="D12" i="286"/>
  <c r="E12" i="286"/>
  <c r="B12" i="286"/>
  <c r="A17" i="286"/>
  <c r="A34" i="286" s="1"/>
  <c r="A46" i="286" s="1"/>
  <c r="A58" i="286" s="1"/>
  <c r="A16" i="286"/>
  <c r="A33" i="286" s="1"/>
  <c r="A45" i="286" s="1"/>
  <c r="A57" i="286" s="1"/>
  <c r="A15" i="286"/>
  <c r="A32" i="286" s="1"/>
  <c r="A44" i="286" s="1"/>
  <c r="A56" i="286" s="1"/>
  <c r="A14" i="286"/>
  <c r="A31" i="286" s="1"/>
  <c r="A43" i="286" s="1"/>
  <c r="A55" i="286" s="1"/>
  <c r="A13" i="286"/>
  <c r="A30" i="286" s="1"/>
  <c r="A42" i="286" s="1"/>
  <c r="A54" i="286" s="1"/>
  <c r="A12" i="286"/>
  <c r="A29" i="286" s="1"/>
  <c r="A41" i="286" s="1"/>
  <c r="A53" i="286" s="1"/>
  <c r="F22" i="291" l="1"/>
  <c r="E22" i="291"/>
  <c r="D22" i="291"/>
  <c r="C22" i="291"/>
  <c r="B22" i="291"/>
  <c r="B38" i="290"/>
  <c r="B41" i="291"/>
  <c r="G38" i="290"/>
  <c r="F38" i="290"/>
  <c r="G22" i="290"/>
  <c r="E38" i="290"/>
  <c r="F22" i="290"/>
  <c r="D38" i="290"/>
  <c r="F41" i="291"/>
  <c r="E22" i="290"/>
  <c r="C38" i="290"/>
  <c r="D22" i="290"/>
  <c r="E41" i="291"/>
  <c r="D41" i="291"/>
  <c r="C22" i="290"/>
  <c r="C41" i="291"/>
  <c r="B22" i="290"/>
  <c r="O17" i="286"/>
  <c r="Q12" i="289"/>
  <c r="O29" i="286"/>
  <c r="H17" i="289"/>
  <c r="G14" i="286"/>
  <c r="O31" i="286"/>
  <c r="O44" i="286"/>
  <c r="H14" i="289"/>
  <c r="Q16" i="289"/>
  <c r="Q32" i="289"/>
  <c r="Q28" i="289"/>
  <c r="O15" i="286"/>
  <c r="O34" i="286"/>
  <c r="G17" i="286"/>
  <c r="O42" i="286"/>
  <c r="H15" i="289"/>
  <c r="Q17" i="289"/>
  <c r="Q13" i="289"/>
  <c r="Q29" i="289"/>
  <c r="G15" i="286"/>
  <c r="O13" i="286"/>
  <c r="O32" i="286"/>
  <c r="O45" i="286"/>
  <c r="H12" i="289"/>
  <c r="G12" i="286"/>
  <c r="O16" i="286"/>
  <c r="H16" i="289"/>
  <c r="Q14" i="289"/>
  <c r="Q30" i="289"/>
  <c r="G13" i="286"/>
  <c r="O30" i="286"/>
  <c r="O43" i="286"/>
  <c r="Q27" i="289"/>
  <c r="G16" i="286"/>
  <c r="O12" i="286"/>
  <c r="O14" i="286"/>
  <c r="O33" i="286"/>
  <c r="O41" i="286"/>
  <c r="O46" i="286"/>
  <c r="H13" i="289"/>
  <c r="Q15" i="289"/>
  <c r="Q31" i="289"/>
  <c r="H57" i="286"/>
  <c r="H53" i="286"/>
  <c r="H55" i="286"/>
  <c r="H58" i="286"/>
  <c r="H56" i="286"/>
  <c r="H54" i="286"/>
  <c r="I32" i="289"/>
  <c r="I27" i="289"/>
  <c r="I30" i="289"/>
  <c r="I31" i="289"/>
  <c r="I28" i="289"/>
  <c r="I29" i="289"/>
  <c r="H29" i="286"/>
  <c r="H31" i="286"/>
  <c r="H33" i="286"/>
  <c r="H30" i="286"/>
  <c r="H32" i="286"/>
  <c r="H34" i="286"/>
  <c r="B30" i="232" l="1"/>
  <c r="B31" i="232"/>
  <c r="B32" i="232"/>
  <c r="B33" i="232"/>
  <c r="B29" i="232"/>
  <c r="H10" i="134"/>
  <c r="B36" i="282" l="1"/>
  <c r="C36" i="282"/>
  <c r="D36" i="282"/>
  <c r="E36" i="282"/>
  <c r="F36" i="282"/>
  <c r="G36" i="282"/>
  <c r="B37" i="282"/>
  <c r="C37" i="282"/>
  <c r="D37" i="282"/>
  <c r="E37" i="282"/>
  <c r="F37" i="282"/>
  <c r="G37" i="282"/>
  <c r="B38" i="282"/>
  <c r="C38" i="282"/>
  <c r="D38" i="282"/>
  <c r="E38" i="282"/>
  <c r="F38" i="282"/>
  <c r="G38" i="282"/>
  <c r="B39" i="282"/>
  <c r="C39" i="282"/>
  <c r="D39" i="282"/>
  <c r="E39" i="282"/>
  <c r="F39" i="282"/>
  <c r="G39" i="282"/>
  <c r="B40" i="282"/>
  <c r="C40" i="282"/>
  <c r="D40" i="282"/>
  <c r="E40" i="282"/>
  <c r="F40" i="282"/>
  <c r="G40" i="282"/>
  <c r="C35" i="282"/>
  <c r="D35" i="282"/>
  <c r="E35" i="282"/>
  <c r="F35" i="282"/>
  <c r="G35" i="282"/>
  <c r="B24" i="282"/>
  <c r="C24" i="282"/>
  <c r="D24" i="282"/>
  <c r="E24" i="282"/>
  <c r="F24" i="282"/>
  <c r="G24" i="282"/>
  <c r="B25" i="282"/>
  <c r="C25" i="282"/>
  <c r="D25" i="282"/>
  <c r="E25" i="282"/>
  <c r="F25" i="282"/>
  <c r="G25" i="282"/>
  <c r="B26" i="282"/>
  <c r="C26" i="282"/>
  <c r="D26" i="282"/>
  <c r="E26" i="282"/>
  <c r="F26" i="282"/>
  <c r="G26" i="282"/>
  <c r="B27" i="282"/>
  <c r="C27" i="282"/>
  <c r="D27" i="282"/>
  <c r="E27" i="282"/>
  <c r="F27" i="282"/>
  <c r="G27" i="282"/>
  <c r="B28" i="282"/>
  <c r="C28" i="282"/>
  <c r="D28" i="282"/>
  <c r="E28" i="282"/>
  <c r="F28" i="282"/>
  <c r="G28" i="282"/>
  <c r="C23" i="282"/>
  <c r="D23" i="282"/>
  <c r="E23" i="282"/>
  <c r="F23" i="282"/>
  <c r="G23" i="282"/>
  <c r="B48" i="282"/>
  <c r="C48" i="282"/>
  <c r="D48" i="282"/>
  <c r="E48" i="282"/>
  <c r="F48" i="282"/>
  <c r="G48" i="282"/>
  <c r="B49" i="282"/>
  <c r="C49" i="282"/>
  <c r="D49" i="282"/>
  <c r="E49" i="282"/>
  <c r="F49" i="282"/>
  <c r="G49" i="282"/>
  <c r="B50" i="282"/>
  <c r="C50" i="282"/>
  <c r="D50" i="282"/>
  <c r="E50" i="282"/>
  <c r="F50" i="282"/>
  <c r="G50" i="282"/>
  <c r="B51" i="282"/>
  <c r="C51" i="282"/>
  <c r="D51" i="282"/>
  <c r="E51" i="282"/>
  <c r="F51" i="282"/>
  <c r="G51" i="282"/>
  <c r="B52" i="282"/>
  <c r="C52" i="282"/>
  <c r="D52" i="282"/>
  <c r="E52" i="282"/>
  <c r="F52" i="282"/>
  <c r="G52" i="282"/>
  <c r="C47" i="282"/>
  <c r="D47" i="282"/>
  <c r="E47" i="282"/>
  <c r="F47" i="282"/>
  <c r="G47" i="282"/>
  <c r="B60" i="282"/>
  <c r="C60" i="282"/>
  <c r="D60" i="282"/>
  <c r="E60" i="282"/>
  <c r="F60" i="282"/>
  <c r="G60" i="282"/>
  <c r="B61" i="282"/>
  <c r="C61" i="282"/>
  <c r="D61" i="282"/>
  <c r="E61" i="282"/>
  <c r="F61" i="282"/>
  <c r="G61" i="282"/>
  <c r="B62" i="282"/>
  <c r="C62" i="282"/>
  <c r="D62" i="282"/>
  <c r="E62" i="282"/>
  <c r="F62" i="282"/>
  <c r="G62" i="282"/>
  <c r="B63" i="282"/>
  <c r="C63" i="282"/>
  <c r="D63" i="282"/>
  <c r="E63" i="282"/>
  <c r="F63" i="282"/>
  <c r="G63" i="282"/>
  <c r="B64" i="282"/>
  <c r="C64" i="282"/>
  <c r="D64" i="282"/>
  <c r="E64" i="282"/>
  <c r="F64" i="282"/>
  <c r="G64" i="282"/>
  <c r="C59" i="282"/>
  <c r="D59" i="282"/>
  <c r="E59" i="282"/>
  <c r="F59" i="282"/>
  <c r="G59" i="282"/>
  <c r="B72" i="282"/>
  <c r="C72" i="282"/>
  <c r="D72" i="282"/>
  <c r="E72" i="282"/>
  <c r="F72" i="282"/>
  <c r="G72" i="282"/>
  <c r="B73" i="282"/>
  <c r="C73" i="282"/>
  <c r="D73" i="282"/>
  <c r="E73" i="282"/>
  <c r="F73" i="282"/>
  <c r="G73" i="282"/>
  <c r="B74" i="282"/>
  <c r="C74" i="282"/>
  <c r="D74" i="282"/>
  <c r="E74" i="282"/>
  <c r="F74" i="282"/>
  <c r="G74" i="282"/>
  <c r="B75" i="282"/>
  <c r="C75" i="282"/>
  <c r="D75" i="282"/>
  <c r="E75" i="282"/>
  <c r="F75" i="282"/>
  <c r="G75" i="282"/>
  <c r="B76" i="282"/>
  <c r="C76" i="282"/>
  <c r="D76" i="282"/>
  <c r="E76" i="282"/>
  <c r="F76" i="282"/>
  <c r="G76" i="282"/>
  <c r="C71" i="282"/>
  <c r="D71" i="282"/>
  <c r="E71" i="282"/>
  <c r="F71" i="282"/>
  <c r="G71" i="282"/>
  <c r="B71" i="282"/>
  <c r="B59" i="282"/>
  <c r="B47" i="282"/>
  <c r="B35" i="282"/>
  <c r="B23" i="282"/>
  <c r="B11" i="282"/>
  <c r="B12" i="282"/>
  <c r="C12" i="282"/>
  <c r="D12" i="282"/>
  <c r="E12" i="282"/>
  <c r="F12" i="282"/>
  <c r="G12" i="282"/>
  <c r="B13" i="282"/>
  <c r="C13" i="282"/>
  <c r="D13" i="282"/>
  <c r="E13" i="282"/>
  <c r="F13" i="282"/>
  <c r="G13" i="282"/>
  <c r="B14" i="282"/>
  <c r="C14" i="282"/>
  <c r="D14" i="282"/>
  <c r="E14" i="282"/>
  <c r="F14" i="282"/>
  <c r="G14" i="282"/>
  <c r="B15" i="282"/>
  <c r="C15" i="282"/>
  <c r="D15" i="282"/>
  <c r="E15" i="282"/>
  <c r="F15" i="282"/>
  <c r="G15" i="282"/>
  <c r="B16" i="282"/>
  <c r="C16" i="282"/>
  <c r="D16" i="282"/>
  <c r="E16" i="282"/>
  <c r="F16" i="282"/>
  <c r="G16" i="282"/>
  <c r="C11" i="282"/>
  <c r="D11" i="282"/>
  <c r="E11" i="282"/>
  <c r="F11" i="282"/>
  <c r="G11" i="282"/>
  <c r="A16" i="282"/>
  <c r="A28" i="282" s="1"/>
  <c r="A40" i="282" s="1"/>
  <c r="A52" i="282" s="1"/>
  <c r="A64" i="282" s="1"/>
  <c r="A76" i="282" s="1"/>
  <c r="A15" i="282"/>
  <c r="A27" i="282" s="1"/>
  <c r="A39" i="282" s="1"/>
  <c r="A51" i="282" s="1"/>
  <c r="A63" i="282" s="1"/>
  <c r="A75" i="282" s="1"/>
  <c r="A14" i="282"/>
  <c r="A26" i="282" s="1"/>
  <c r="A38" i="282" s="1"/>
  <c r="A50" i="282" s="1"/>
  <c r="A62" i="282" s="1"/>
  <c r="A74" i="282" s="1"/>
  <c r="A13" i="282"/>
  <c r="A25" i="282" s="1"/>
  <c r="A37" i="282" s="1"/>
  <c r="A49" i="282" s="1"/>
  <c r="A61" i="282" s="1"/>
  <c r="A73" i="282" s="1"/>
  <c r="A12" i="282"/>
  <c r="A24" i="282" s="1"/>
  <c r="A36" i="282" s="1"/>
  <c r="A48" i="282" s="1"/>
  <c r="A60" i="282" s="1"/>
  <c r="A72" i="282" s="1"/>
  <c r="A11" i="282"/>
  <c r="A23" i="282" s="1"/>
  <c r="A35" i="282" s="1"/>
  <c r="A47" i="282" s="1"/>
  <c r="A59" i="282" s="1"/>
  <c r="A71" i="282" s="1"/>
  <c r="B72" i="281"/>
  <c r="C72" i="281"/>
  <c r="D72" i="281"/>
  <c r="E72" i="281"/>
  <c r="F72" i="281"/>
  <c r="G72" i="281"/>
  <c r="H72" i="281"/>
  <c r="I72" i="281"/>
  <c r="B73" i="281"/>
  <c r="C73" i="281"/>
  <c r="D73" i="281"/>
  <c r="E73" i="281"/>
  <c r="F73" i="281"/>
  <c r="G73" i="281"/>
  <c r="H73" i="281"/>
  <c r="I73" i="281"/>
  <c r="B74" i="281"/>
  <c r="C74" i="281"/>
  <c r="D74" i="281"/>
  <c r="E74" i="281"/>
  <c r="F74" i="281"/>
  <c r="G74" i="281"/>
  <c r="H74" i="281"/>
  <c r="I74" i="281"/>
  <c r="B75" i="281"/>
  <c r="C75" i="281"/>
  <c r="D75" i="281"/>
  <c r="E75" i="281"/>
  <c r="F75" i="281"/>
  <c r="G75" i="281"/>
  <c r="H75" i="281"/>
  <c r="I75" i="281"/>
  <c r="B76" i="281"/>
  <c r="C76" i="281"/>
  <c r="D76" i="281"/>
  <c r="E76" i="281"/>
  <c r="F76" i="281"/>
  <c r="G76" i="281"/>
  <c r="H76" i="281"/>
  <c r="I76" i="281"/>
  <c r="C71" i="281"/>
  <c r="D71" i="281"/>
  <c r="E71" i="281"/>
  <c r="F71" i="281"/>
  <c r="G71" i="281"/>
  <c r="H71" i="281"/>
  <c r="I71" i="281"/>
  <c r="B71" i="281"/>
  <c r="B60" i="281"/>
  <c r="C60" i="281"/>
  <c r="D60" i="281"/>
  <c r="E60" i="281"/>
  <c r="F60" i="281"/>
  <c r="G60" i="281"/>
  <c r="H60" i="281"/>
  <c r="I60" i="281"/>
  <c r="B61" i="281"/>
  <c r="C61" i="281"/>
  <c r="D61" i="281"/>
  <c r="E61" i="281"/>
  <c r="F61" i="281"/>
  <c r="G61" i="281"/>
  <c r="H61" i="281"/>
  <c r="I61" i="281"/>
  <c r="B62" i="281"/>
  <c r="C62" i="281"/>
  <c r="D62" i="281"/>
  <c r="E62" i="281"/>
  <c r="F62" i="281"/>
  <c r="G62" i="281"/>
  <c r="H62" i="281"/>
  <c r="I62" i="281"/>
  <c r="B63" i="281"/>
  <c r="C63" i="281"/>
  <c r="D63" i="281"/>
  <c r="E63" i="281"/>
  <c r="F63" i="281"/>
  <c r="G63" i="281"/>
  <c r="H63" i="281"/>
  <c r="I63" i="281"/>
  <c r="B64" i="281"/>
  <c r="C64" i="281"/>
  <c r="D64" i="281"/>
  <c r="E64" i="281"/>
  <c r="F64" i="281"/>
  <c r="G64" i="281"/>
  <c r="H64" i="281"/>
  <c r="I64" i="281"/>
  <c r="C59" i="281"/>
  <c r="D59" i="281"/>
  <c r="E59" i="281"/>
  <c r="F59" i="281"/>
  <c r="G59" i="281"/>
  <c r="H59" i="281"/>
  <c r="I59" i="281"/>
  <c r="B59" i="281"/>
  <c r="B48" i="281"/>
  <c r="C48" i="281"/>
  <c r="D48" i="281"/>
  <c r="E48" i="281"/>
  <c r="F48" i="281"/>
  <c r="G48" i="281"/>
  <c r="H48" i="281"/>
  <c r="I48" i="281"/>
  <c r="B49" i="281"/>
  <c r="C49" i="281"/>
  <c r="D49" i="281"/>
  <c r="E49" i="281"/>
  <c r="F49" i="281"/>
  <c r="G49" i="281"/>
  <c r="H49" i="281"/>
  <c r="I49" i="281"/>
  <c r="B50" i="281"/>
  <c r="C50" i="281"/>
  <c r="D50" i="281"/>
  <c r="E50" i="281"/>
  <c r="F50" i="281"/>
  <c r="G50" i="281"/>
  <c r="H50" i="281"/>
  <c r="I50" i="281"/>
  <c r="B51" i="281"/>
  <c r="C51" i="281"/>
  <c r="D51" i="281"/>
  <c r="E51" i="281"/>
  <c r="F51" i="281"/>
  <c r="G51" i="281"/>
  <c r="H51" i="281"/>
  <c r="I51" i="281"/>
  <c r="B52" i="281"/>
  <c r="C52" i="281"/>
  <c r="D52" i="281"/>
  <c r="E52" i="281"/>
  <c r="F52" i="281"/>
  <c r="G52" i="281"/>
  <c r="H52" i="281"/>
  <c r="I52" i="281"/>
  <c r="C47" i="281"/>
  <c r="D47" i="281"/>
  <c r="E47" i="281"/>
  <c r="F47" i="281"/>
  <c r="G47" i="281"/>
  <c r="H47" i="281"/>
  <c r="I47" i="281"/>
  <c r="B47" i="281"/>
  <c r="B36" i="281"/>
  <c r="C36" i="281"/>
  <c r="D36" i="281"/>
  <c r="E36" i="281"/>
  <c r="F36" i="281"/>
  <c r="G36" i="281"/>
  <c r="H36" i="281"/>
  <c r="I36" i="281"/>
  <c r="B37" i="281"/>
  <c r="C37" i="281"/>
  <c r="D37" i="281"/>
  <c r="E37" i="281"/>
  <c r="F37" i="281"/>
  <c r="G37" i="281"/>
  <c r="H37" i="281"/>
  <c r="I37" i="281"/>
  <c r="B38" i="281"/>
  <c r="C38" i="281"/>
  <c r="D38" i="281"/>
  <c r="E38" i="281"/>
  <c r="F38" i="281"/>
  <c r="G38" i="281"/>
  <c r="H38" i="281"/>
  <c r="I38" i="281"/>
  <c r="B39" i="281"/>
  <c r="C39" i="281"/>
  <c r="D39" i="281"/>
  <c r="E39" i="281"/>
  <c r="F39" i="281"/>
  <c r="G39" i="281"/>
  <c r="H39" i="281"/>
  <c r="I39" i="281"/>
  <c r="B40" i="281"/>
  <c r="C40" i="281"/>
  <c r="D40" i="281"/>
  <c r="E40" i="281"/>
  <c r="F40" i="281"/>
  <c r="G40" i="281"/>
  <c r="H40" i="281"/>
  <c r="I40" i="281"/>
  <c r="C35" i="281"/>
  <c r="D35" i="281"/>
  <c r="E35" i="281"/>
  <c r="F35" i="281"/>
  <c r="G35" i="281"/>
  <c r="H35" i="281"/>
  <c r="I35" i="281"/>
  <c r="B35" i="281"/>
  <c r="B24" i="281"/>
  <c r="C24" i="281"/>
  <c r="D24" i="281"/>
  <c r="E24" i="281"/>
  <c r="F24" i="281"/>
  <c r="G24" i="281"/>
  <c r="H24" i="281"/>
  <c r="I24" i="281"/>
  <c r="B25" i="281"/>
  <c r="C25" i="281"/>
  <c r="D25" i="281"/>
  <c r="E25" i="281"/>
  <c r="F25" i="281"/>
  <c r="G25" i="281"/>
  <c r="H25" i="281"/>
  <c r="I25" i="281"/>
  <c r="B26" i="281"/>
  <c r="C26" i="281"/>
  <c r="D26" i="281"/>
  <c r="E26" i="281"/>
  <c r="F26" i="281"/>
  <c r="G26" i="281"/>
  <c r="H26" i="281"/>
  <c r="I26" i="281"/>
  <c r="B27" i="281"/>
  <c r="C27" i="281"/>
  <c r="D27" i="281"/>
  <c r="E27" i="281"/>
  <c r="F27" i="281"/>
  <c r="G27" i="281"/>
  <c r="H27" i="281"/>
  <c r="I27" i="281"/>
  <c r="B28" i="281"/>
  <c r="C28" i="281"/>
  <c r="D28" i="281"/>
  <c r="E28" i="281"/>
  <c r="F28" i="281"/>
  <c r="G28" i="281"/>
  <c r="H28" i="281"/>
  <c r="I28" i="281"/>
  <c r="C23" i="281"/>
  <c r="D23" i="281"/>
  <c r="E23" i="281"/>
  <c r="F23" i="281"/>
  <c r="G23" i="281"/>
  <c r="H23" i="281"/>
  <c r="I23" i="281"/>
  <c r="B23" i="281"/>
  <c r="B12" i="281"/>
  <c r="C12" i="281"/>
  <c r="D12" i="281"/>
  <c r="E12" i="281"/>
  <c r="F12" i="281"/>
  <c r="G12" i="281"/>
  <c r="H12" i="281"/>
  <c r="I12" i="281"/>
  <c r="B13" i="281"/>
  <c r="C13" i="281"/>
  <c r="D13" i="281"/>
  <c r="E13" i="281"/>
  <c r="F13" i="281"/>
  <c r="G13" i="281"/>
  <c r="H13" i="281"/>
  <c r="I13" i="281"/>
  <c r="B14" i="281"/>
  <c r="C14" i="281"/>
  <c r="D14" i="281"/>
  <c r="E14" i="281"/>
  <c r="F14" i="281"/>
  <c r="G14" i="281"/>
  <c r="H14" i="281"/>
  <c r="I14" i="281"/>
  <c r="B15" i="281"/>
  <c r="C15" i="281"/>
  <c r="D15" i="281"/>
  <c r="E15" i="281"/>
  <c r="F15" i="281"/>
  <c r="G15" i="281"/>
  <c r="H15" i="281"/>
  <c r="I15" i="281"/>
  <c r="B16" i="281"/>
  <c r="C16" i="281"/>
  <c r="D16" i="281"/>
  <c r="E16" i="281"/>
  <c r="F16" i="281"/>
  <c r="G16" i="281"/>
  <c r="H16" i="281"/>
  <c r="I16" i="281"/>
  <c r="C11" i="281"/>
  <c r="D11" i="281"/>
  <c r="E11" i="281"/>
  <c r="F11" i="281"/>
  <c r="G11" i="281"/>
  <c r="H11" i="281"/>
  <c r="I11" i="281"/>
  <c r="B11" i="281"/>
  <c r="A12" i="281"/>
  <c r="A24" i="281" s="1"/>
  <c r="A36" i="281" s="1"/>
  <c r="A48" i="281" s="1"/>
  <c r="A60" i="281" s="1"/>
  <c r="A72" i="281" s="1"/>
  <c r="A13" i="281"/>
  <c r="A25" i="281" s="1"/>
  <c r="A37" i="281" s="1"/>
  <c r="A49" i="281" s="1"/>
  <c r="A61" i="281" s="1"/>
  <c r="A73" i="281" s="1"/>
  <c r="A14" i="281"/>
  <c r="A26" i="281" s="1"/>
  <c r="A38" i="281" s="1"/>
  <c r="A50" i="281" s="1"/>
  <c r="A62" i="281" s="1"/>
  <c r="A74" i="281" s="1"/>
  <c r="A15" i="281"/>
  <c r="A27" i="281" s="1"/>
  <c r="A39" i="281" s="1"/>
  <c r="A51" i="281" s="1"/>
  <c r="A63" i="281" s="1"/>
  <c r="A75" i="281" s="1"/>
  <c r="A16" i="281"/>
  <c r="A28" i="281" s="1"/>
  <c r="A40" i="281" s="1"/>
  <c r="A52" i="281" s="1"/>
  <c r="A64" i="281" s="1"/>
  <c r="A76" i="281" s="1"/>
  <c r="A11" i="281"/>
  <c r="A23" i="281" s="1"/>
  <c r="A35" i="281" s="1"/>
  <c r="A47" i="281" s="1"/>
  <c r="A59" i="281" s="1"/>
  <c r="A71" i="281" s="1"/>
  <c r="I29" i="283"/>
  <c r="I23" i="283"/>
  <c r="I24" i="283"/>
  <c r="I25" i="283"/>
  <c r="I26" i="283"/>
  <c r="I27" i="283"/>
  <c r="H56" i="93" s="1"/>
  <c r="I28" i="283"/>
  <c r="I22" i="283"/>
  <c r="B36" i="280"/>
  <c r="C36" i="280"/>
  <c r="D36" i="280"/>
  <c r="E36" i="280"/>
  <c r="F36" i="280"/>
  <c r="B37" i="280"/>
  <c r="C37" i="280"/>
  <c r="D37" i="280"/>
  <c r="E37" i="280"/>
  <c r="F37" i="280"/>
  <c r="B38" i="280"/>
  <c r="C38" i="280"/>
  <c r="D38" i="280"/>
  <c r="E38" i="280"/>
  <c r="F38" i="280"/>
  <c r="B39" i="280"/>
  <c r="C39" i="280"/>
  <c r="D39" i="280"/>
  <c r="E39" i="280"/>
  <c r="F39" i="280"/>
  <c r="B40" i="280"/>
  <c r="C40" i="280"/>
  <c r="D40" i="280"/>
  <c r="E40" i="280"/>
  <c r="F40" i="280"/>
  <c r="C35" i="280"/>
  <c r="D35" i="280"/>
  <c r="E35" i="280"/>
  <c r="F35" i="280"/>
  <c r="B35" i="280"/>
  <c r="B24" i="280"/>
  <c r="C24" i="280"/>
  <c r="D24" i="280"/>
  <c r="E24" i="280"/>
  <c r="F24" i="280"/>
  <c r="B25" i="280"/>
  <c r="C25" i="280"/>
  <c r="D25" i="280"/>
  <c r="E25" i="280"/>
  <c r="F25" i="280"/>
  <c r="B26" i="280"/>
  <c r="C26" i="280"/>
  <c r="D26" i="280"/>
  <c r="E26" i="280"/>
  <c r="F26" i="280"/>
  <c r="B27" i="280"/>
  <c r="C27" i="280"/>
  <c r="D27" i="280"/>
  <c r="E27" i="280"/>
  <c r="F27" i="280"/>
  <c r="B28" i="280"/>
  <c r="C28" i="280"/>
  <c r="D28" i="280"/>
  <c r="E28" i="280"/>
  <c r="F28" i="280"/>
  <c r="C23" i="280"/>
  <c r="D23" i="280"/>
  <c r="E23" i="280"/>
  <c r="F23" i="280"/>
  <c r="B23" i="280"/>
  <c r="B11" i="280"/>
  <c r="F11" i="280"/>
  <c r="F12" i="280"/>
  <c r="F13" i="280"/>
  <c r="F14" i="280"/>
  <c r="F15" i="280"/>
  <c r="F16" i="280"/>
  <c r="H43" i="278"/>
  <c r="H44" i="278"/>
  <c r="H45" i="278"/>
  <c r="H46" i="278"/>
  <c r="H47" i="278"/>
  <c r="G44" i="93" s="1"/>
  <c r="H48" i="278"/>
  <c r="H49" i="278"/>
  <c r="B12" i="280"/>
  <c r="C12" i="280"/>
  <c r="D12" i="280"/>
  <c r="E12" i="280"/>
  <c r="B13" i="280"/>
  <c r="C13" i="280"/>
  <c r="D13" i="280"/>
  <c r="E13" i="280"/>
  <c r="B14" i="280"/>
  <c r="C14" i="280"/>
  <c r="D14" i="280"/>
  <c r="E14" i="280"/>
  <c r="B15" i="280"/>
  <c r="C15" i="280"/>
  <c r="D15" i="280"/>
  <c r="E15" i="280"/>
  <c r="B16" i="280"/>
  <c r="C16" i="280"/>
  <c r="D16" i="280"/>
  <c r="E16" i="280"/>
  <c r="C11" i="280"/>
  <c r="D11" i="280"/>
  <c r="E11" i="280"/>
  <c r="A16" i="280"/>
  <c r="A28" i="280" s="1"/>
  <c r="A15" i="280"/>
  <c r="A27" i="280" s="1"/>
  <c r="A14" i="280"/>
  <c r="A26" i="280" s="1"/>
  <c r="A13" i="280"/>
  <c r="A25" i="280" s="1"/>
  <c r="A12" i="280"/>
  <c r="A24" i="280" s="1"/>
  <c r="A11" i="280"/>
  <c r="A23" i="280" s="1"/>
  <c r="B24" i="279"/>
  <c r="C24" i="279"/>
  <c r="D24" i="279"/>
  <c r="E24" i="279"/>
  <c r="F24" i="279"/>
  <c r="G24" i="279"/>
  <c r="B25" i="279"/>
  <c r="C25" i="279"/>
  <c r="D25" i="279"/>
  <c r="E25" i="279"/>
  <c r="F25" i="279"/>
  <c r="G25" i="279"/>
  <c r="B26" i="279"/>
  <c r="C26" i="279"/>
  <c r="D26" i="279"/>
  <c r="E26" i="279"/>
  <c r="F26" i="279"/>
  <c r="G26" i="279"/>
  <c r="B27" i="279"/>
  <c r="C27" i="279"/>
  <c r="D27" i="279"/>
  <c r="E27" i="279"/>
  <c r="F27" i="279"/>
  <c r="G27" i="279"/>
  <c r="B28" i="279"/>
  <c r="C28" i="279"/>
  <c r="D28" i="279"/>
  <c r="E28" i="279"/>
  <c r="F28" i="279"/>
  <c r="G28" i="279"/>
  <c r="C23" i="279"/>
  <c r="D23" i="279"/>
  <c r="E23" i="279"/>
  <c r="F23" i="279"/>
  <c r="G23" i="279"/>
  <c r="B23" i="279"/>
  <c r="B36" i="279"/>
  <c r="C36" i="279"/>
  <c r="D36" i="279"/>
  <c r="E36" i="279"/>
  <c r="F36" i="279"/>
  <c r="G36" i="279"/>
  <c r="B37" i="279"/>
  <c r="C37" i="279"/>
  <c r="D37" i="279"/>
  <c r="E37" i="279"/>
  <c r="F37" i="279"/>
  <c r="G37" i="279"/>
  <c r="B38" i="279"/>
  <c r="C38" i="279"/>
  <c r="D38" i="279"/>
  <c r="E38" i="279"/>
  <c r="F38" i="279"/>
  <c r="G38" i="279"/>
  <c r="B39" i="279"/>
  <c r="C39" i="279"/>
  <c r="D39" i="279"/>
  <c r="E39" i="279"/>
  <c r="F39" i="279"/>
  <c r="G39" i="279"/>
  <c r="B40" i="279"/>
  <c r="C40" i="279"/>
  <c r="D40" i="279"/>
  <c r="E40" i="279"/>
  <c r="F40" i="279"/>
  <c r="G40" i="279"/>
  <c r="C35" i="279"/>
  <c r="D35" i="279"/>
  <c r="E35" i="279"/>
  <c r="F35" i="279"/>
  <c r="G35" i="279"/>
  <c r="B48" i="279"/>
  <c r="C48" i="279"/>
  <c r="D48" i="279"/>
  <c r="E48" i="279"/>
  <c r="F48" i="279"/>
  <c r="G48" i="279"/>
  <c r="B49" i="279"/>
  <c r="C49" i="279"/>
  <c r="D49" i="279"/>
  <c r="E49" i="279"/>
  <c r="F49" i="279"/>
  <c r="G49" i="279"/>
  <c r="B50" i="279"/>
  <c r="C50" i="279"/>
  <c r="D50" i="279"/>
  <c r="E50" i="279"/>
  <c r="F50" i="279"/>
  <c r="G50" i="279"/>
  <c r="B51" i="279"/>
  <c r="C51" i="279"/>
  <c r="D51" i="279"/>
  <c r="E51" i="279"/>
  <c r="F51" i="279"/>
  <c r="G51" i="279"/>
  <c r="B52" i="279"/>
  <c r="C52" i="279"/>
  <c r="D52" i="279"/>
  <c r="E52" i="279"/>
  <c r="F52" i="279"/>
  <c r="G52" i="279"/>
  <c r="C47" i="279"/>
  <c r="D47" i="279"/>
  <c r="E47" i="279"/>
  <c r="F47" i="279"/>
  <c r="G47" i="279"/>
  <c r="B47" i="279"/>
  <c r="B60" i="279"/>
  <c r="C60" i="279"/>
  <c r="D60" i="279"/>
  <c r="E60" i="279"/>
  <c r="F60" i="279"/>
  <c r="G60" i="279"/>
  <c r="B61" i="279"/>
  <c r="C61" i="279"/>
  <c r="D61" i="279"/>
  <c r="E61" i="279"/>
  <c r="F61" i="279"/>
  <c r="G61" i="279"/>
  <c r="B62" i="279"/>
  <c r="C62" i="279"/>
  <c r="D62" i="279"/>
  <c r="E62" i="279"/>
  <c r="F62" i="279"/>
  <c r="G62" i="279"/>
  <c r="B63" i="279"/>
  <c r="C63" i="279"/>
  <c r="D63" i="279"/>
  <c r="E63" i="279"/>
  <c r="F63" i="279"/>
  <c r="G63" i="279"/>
  <c r="B64" i="279"/>
  <c r="C64" i="279"/>
  <c r="D64" i="279"/>
  <c r="E64" i="279"/>
  <c r="F64" i="279"/>
  <c r="G64" i="279"/>
  <c r="C59" i="279"/>
  <c r="D59" i="279"/>
  <c r="E59" i="279"/>
  <c r="F59" i="279"/>
  <c r="G59" i="279"/>
  <c r="B72" i="279"/>
  <c r="C72" i="279"/>
  <c r="D72" i="279"/>
  <c r="E72" i="279"/>
  <c r="F72" i="279"/>
  <c r="G72" i="279"/>
  <c r="B73" i="279"/>
  <c r="C73" i="279"/>
  <c r="D73" i="279"/>
  <c r="E73" i="279"/>
  <c r="F73" i="279"/>
  <c r="G73" i="279"/>
  <c r="B74" i="279"/>
  <c r="C74" i="279"/>
  <c r="D74" i="279"/>
  <c r="E74" i="279"/>
  <c r="F74" i="279"/>
  <c r="G74" i="279"/>
  <c r="B75" i="279"/>
  <c r="C75" i="279"/>
  <c r="D75" i="279"/>
  <c r="E75" i="279"/>
  <c r="F75" i="279"/>
  <c r="G75" i="279"/>
  <c r="B76" i="279"/>
  <c r="C76" i="279"/>
  <c r="D76" i="279"/>
  <c r="E76" i="279"/>
  <c r="F76" i="279"/>
  <c r="G76" i="279"/>
  <c r="C71" i="279"/>
  <c r="D71" i="279"/>
  <c r="E71" i="279"/>
  <c r="F71" i="279"/>
  <c r="G71" i="279"/>
  <c r="B71" i="279"/>
  <c r="B59" i="279"/>
  <c r="B35" i="279"/>
  <c r="G11" i="279"/>
  <c r="G12" i="279"/>
  <c r="G13" i="279"/>
  <c r="G14" i="279"/>
  <c r="G15" i="279"/>
  <c r="G16" i="279"/>
  <c r="A12" i="279"/>
  <c r="A24" i="279" s="1"/>
  <c r="A36" i="279" s="1"/>
  <c r="A48" i="279" s="1"/>
  <c r="A60" i="279" s="1"/>
  <c r="A72" i="279" s="1"/>
  <c r="A13" i="279"/>
  <c r="A25" i="279" s="1"/>
  <c r="A37" i="279" s="1"/>
  <c r="A49" i="279" s="1"/>
  <c r="A61" i="279" s="1"/>
  <c r="A73" i="279" s="1"/>
  <c r="A14" i="279"/>
  <c r="A26" i="279" s="1"/>
  <c r="A38" i="279" s="1"/>
  <c r="A50" i="279" s="1"/>
  <c r="A62" i="279" s="1"/>
  <c r="A74" i="279" s="1"/>
  <c r="A15" i="279"/>
  <c r="A27" i="279" s="1"/>
  <c r="A39" i="279" s="1"/>
  <c r="A51" i="279" s="1"/>
  <c r="A63" i="279" s="1"/>
  <c r="A75" i="279" s="1"/>
  <c r="A16" i="279"/>
  <c r="A28" i="279" s="1"/>
  <c r="A40" i="279" s="1"/>
  <c r="A52" i="279" s="1"/>
  <c r="A64" i="279" s="1"/>
  <c r="A76" i="279" s="1"/>
  <c r="A11" i="279"/>
  <c r="A23" i="279" s="1"/>
  <c r="A35" i="279" s="1"/>
  <c r="A47" i="279" s="1"/>
  <c r="A59" i="279" s="1"/>
  <c r="A71" i="279" s="1"/>
  <c r="B12" i="279"/>
  <c r="C12" i="279"/>
  <c r="D12" i="279"/>
  <c r="E12" i="279"/>
  <c r="F12" i="279"/>
  <c r="B13" i="279"/>
  <c r="C13" i="279"/>
  <c r="D13" i="279"/>
  <c r="E13" i="279"/>
  <c r="F13" i="279"/>
  <c r="B14" i="279"/>
  <c r="C14" i="279"/>
  <c r="D14" i="279"/>
  <c r="E14" i="279"/>
  <c r="F14" i="279"/>
  <c r="B15" i="279"/>
  <c r="C15" i="279"/>
  <c r="D15" i="279"/>
  <c r="E15" i="279"/>
  <c r="F15" i="279"/>
  <c r="B16" i="279"/>
  <c r="C16" i="279"/>
  <c r="D16" i="279"/>
  <c r="E16" i="279"/>
  <c r="F16" i="279"/>
  <c r="C11" i="279"/>
  <c r="D11" i="279"/>
  <c r="E11" i="279"/>
  <c r="F11" i="279"/>
  <c r="B11" i="279"/>
  <c r="G11" i="261"/>
  <c r="B11" i="261"/>
  <c r="C11" i="261"/>
  <c r="D11" i="261"/>
  <c r="E11" i="261"/>
  <c r="F11" i="261"/>
  <c r="H11" i="261"/>
  <c r="N11" i="261"/>
  <c r="I11" i="261"/>
  <c r="J11" i="261"/>
  <c r="K11" i="261"/>
  <c r="L11" i="261"/>
  <c r="M11" i="261"/>
  <c r="O11" i="261"/>
  <c r="P11" i="261"/>
  <c r="G12" i="261"/>
  <c r="B12" i="261"/>
  <c r="C12" i="261"/>
  <c r="D12" i="261"/>
  <c r="E12" i="261"/>
  <c r="F12" i="261"/>
  <c r="H12" i="261"/>
  <c r="N12" i="261"/>
  <c r="I12" i="261"/>
  <c r="J12" i="261"/>
  <c r="K12" i="261"/>
  <c r="L12" i="261"/>
  <c r="M12" i="261"/>
  <c r="O12" i="261"/>
  <c r="P12" i="261"/>
  <c r="G13" i="261"/>
  <c r="B13" i="261"/>
  <c r="C13" i="261"/>
  <c r="D13" i="261"/>
  <c r="E13" i="261"/>
  <c r="F13" i="261"/>
  <c r="H13" i="261"/>
  <c r="N13" i="261"/>
  <c r="I13" i="261"/>
  <c r="J13" i="261"/>
  <c r="K13" i="261"/>
  <c r="L13" i="261"/>
  <c r="M13" i="261"/>
  <c r="O13" i="261"/>
  <c r="P13" i="261"/>
  <c r="G14" i="261"/>
  <c r="B14" i="261"/>
  <c r="C14" i="261"/>
  <c r="D14" i="261"/>
  <c r="E14" i="261"/>
  <c r="F14" i="261"/>
  <c r="H14" i="261"/>
  <c r="N14" i="261"/>
  <c r="I14" i="261"/>
  <c r="J14" i="261"/>
  <c r="K14" i="261"/>
  <c r="L14" i="261"/>
  <c r="M14" i="261"/>
  <c r="O14" i="261"/>
  <c r="P14" i="261"/>
  <c r="G15" i="261"/>
  <c r="B15" i="261"/>
  <c r="C15" i="261"/>
  <c r="D15" i="261"/>
  <c r="E15" i="261"/>
  <c r="F15" i="261"/>
  <c r="H15" i="261"/>
  <c r="N15" i="261"/>
  <c r="I15" i="261"/>
  <c r="J15" i="261"/>
  <c r="K15" i="261"/>
  <c r="L15" i="261"/>
  <c r="M15" i="261"/>
  <c r="O15" i="261"/>
  <c r="P15" i="261"/>
  <c r="G16" i="261"/>
  <c r="B16" i="261"/>
  <c r="C16" i="261"/>
  <c r="D16" i="261"/>
  <c r="E16" i="261"/>
  <c r="F16" i="261"/>
  <c r="H16" i="261"/>
  <c r="N16" i="261"/>
  <c r="I16" i="261"/>
  <c r="J16" i="261"/>
  <c r="K16" i="261"/>
  <c r="L16" i="261"/>
  <c r="M16" i="261"/>
  <c r="O16" i="261"/>
  <c r="P16" i="261"/>
  <c r="G17" i="261"/>
  <c r="B17" i="261"/>
  <c r="C17" i="261"/>
  <c r="D17" i="261"/>
  <c r="E17" i="261"/>
  <c r="F17" i="261"/>
  <c r="H17" i="261"/>
  <c r="N17" i="261"/>
  <c r="I17" i="261"/>
  <c r="J17" i="261"/>
  <c r="K17" i="261"/>
  <c r="L17" i="261"/>
  <c r="M17" i="261"/>
  <c r="O17" i="261"/>
  <c r="P17" i="261"/>
  <c r="A12" i="261"/>
  <c r="A32" i="261" s="1"/>
  <c r="A13" i="261"/>
  <c r="A33" i="261" s="1"/>
  <c r="A14" i="261"/>
  <c r="A34" i="261" s="1"/>
  <c r="A15" i="261"/>
  <c r="A35" i="261" s="1"/>
  <c r="A16" i="261"/>
  <c r="A36" i="261" s="1"/>
  <c r="A17" i="261"/>
  <c r="A37" i="261" s="1"/>
  <c r="A11" i="261"/>
  <c r="A31" i="261" s="1"/>
  <c r="B51" i="134"/>
  <c r="C51" i="134"/>
  <c r="D51" i="134"/>
  <c r="E51" i="134"/>
  <c r="F51" i="134"/>
  <c r="G51" i="134"/>
  <c r="H51" i="134"/>
  <c r="I51" i="134"/>
  <c r="J51" i="134"/>
  <c r="K51" i="134"/>
  <c r="B52" i="134"/>
  <c r="C52" i="134"/>
  <c r="D52" i="134"/>
  <c r="F52" i="134"/>
  <c r="G52" i="134"/>
  <c r="H52" i="134"/>
  <c r="J52" i="134"/>
  <c r="K52" i="134"/>
  <c r="B53" i="134"/>
  <c r="C53" i="134"/>
  <c r="D53" i="134"/>
  <c r="E53" i="134"/>
  <c r="F53" i="134"/>
  <c r="G53" i="134"/>
  <c r="H53" i="134"/>
  <c r="I53" i="134"/>
  <c r="J53" i="134"/>
  <c r="K53" i="134"/>
  <c r="B54" i="134"/>
  <c r="D54" i="134"/>
  <c r="E54" i="134"/>
  <c r="F54" i="134"/>
  <c r="H54" i="134"/>
  <c r="I54" i="134"/>
  <c r="J54" i="134"/>
  <c r="B55" i="134"/>
  <c r="C55" i="134"/>
  <c r="D55" i="134"/>
  <c r="E55" i="134"/>
  <c r="F55" i="134"/>
  <c r="G55" i="134"/>
  <c r="H55" i="134"/>
  <c r="I55" i="134"/>
  <c r="J55" i="134"/>
  <c r="K55" i="134"/>
  <c r="B56" i="134"/>
  <c r="C56" i="134"/>
  <c r="D56" i="134"/>
  <c r="F56" i="134"/>
  <c r="G56" i="134"/>
  <c r="H56" i="134"/>
  <c r="J56" i="134"/>
  <c r="K56" i="134"/>
  <c r="C57" i="134"/>
  <c r="D57" i="134"/>
  <c r="E57" i="134"/>
  <c r="F57" i="134"/>
  <c r="G57" i="134"/>
  <c r="H57" i="134"/>
  <c r="I57" i="134"/>
  <c r="J57" i="134"/>
  <c r="K57" i="134"/>
  <c r="D50" i="134"/>
  <c r="E50" i="134"/>
  <c r="F50" i="134"/>
  <c r="H50" i="134"/>
  <c r="I50" i="134"/>
  <c r="J50" i="134"/>
  <c r="K50" i="134"/>
  <c r="B50" i="134"/>
  <c r="A42" i="272"/>
  <c r="A17" i="272"/>
  <c r="A16" i="272"/>
  <c r="A15" i="272"/>
  <c r="A14" i="272"/>
  <c r="A13" i="272"/>
  <c r="A12" i="272"/>
  <c r="A11" i="272"/>
  <c r="D31" i="25"/>
  <c r="G12" i="238" s="1"/>
  <c r="D32" i="25"/>
  <c r="G13" i="238" s="1"/>
  <c r="D33" i="25"/>
  <c r="G14" i="238" s="1"/>
  <c r="D34" i="25"/>
  <c r="G15" i="238" s="1"/>
  <c r="D35" i="25"/>
  <c r="G16" i="238" s="1"/>
  <c r="D36" i="25"/>
  <c r="G17" i="238" s="1"/>
  <c r="D37" i="25"/>
  <c r="G18" i="238" s="1"/>
  <c r="H31" i="25"/>
  <c r="H32" i="25"/>
  <c r="H33" i="25"/>
  <c r="H34" i="25"/>
  <c r="H35" i="25"/>
  <c r="H36" i="25"/>
  <c r="H37" i="25"/>
  <c r="L31" i="25"/>
  <c r="L32" i="25"/>
  <c r="L33" i="25"/>
  <c r="L34" i="25"/>
  <c r="L35" i="25"/>
  <c r="L36" i="25"/>
  <c r="L37" i="25"/>
  <c r="P31" i="25"/>
  <c r="P32" i="25"/>
  <c r="P33" i="25"/>
  <c r="P34" i="25"/>
  <c r="P35" i="25"/>
  <c r="P36" i="25"/>
  <c r="P37" i="25"/>
  <c r="P30" i="25"/>
  <c r="L30" i="25"/>
  <c r="H30" i="25"/>
  <c r="D30" i="25"/>
  <c r="G11" i="238" s="1"/>
  <c r="P13" i="25"/>
  <c r="P14" i="25"/>
  <c r="P15" i="25"/>
  <c r="P16" i="25"/>
  <c r="P17" i="25"/>
  <c r="P18" i="25"/>
  <c r="P19" i="25"/>
  <c r="L13" i="25"/>
  <c r="L14" i="25"/>
  <c r="L15" i="25"/>
  <c r="L16" i="25"/>
  <c r="L17" i="25"/>
  <c r="L18" i="25"/>
  <c r="L19" i="25"/>
  <c r="H13" i="25"/>
  <c r="H14" i="25"/>
  <c r="H15" i="25"/>
  <c r="H16" i="25"/>
  <c r="H17" i="25"/>
  <c r="H18" i="25"/>
  <c r="H19" i="25"/>
  <c r="D13" i="25"/>
  <c r="E12" i="238" s="1"/>
  <c r="D14" i="25"/>
  <c r="E13" i="238" s="1"/>
  <c r="D15" i="25"/>
  <c r="E14" i="238" s="1"/>
  <c r="D16" i="25"/>
  <c r="E15" i="238" s="1"/>
  <c r="D17" i="25"/>
  <c r="E16" i="238" s="1"/>
  <c r="D18" i="25"/>
  <c r="E17" i="238" s="1"/>
  <c r="D19" i="25"/>
  <c r="E18" i="238" s="1"/>
  <c r="P12" i="25"/>
  <c r="L12" i="25"/>
  <c r="H12" i="25"/>
  <c r="D12" i="25"/>
  <c r="C31" i="25"/>
  <c r="C32" i="25"/>
  <c r="C33" i="25"/>
  <c r="C34" i="25"/>
  <c r="C35" i="25"/>
  <c r="C36" i="25"/>
  <c r="C37" i="25"/>
  <c r="G31" i="25"/>
  <c r="G32" i="25"/>
  <c r="G33" i="25"/>
  <c r="G34" i="25"/>
  <c r="G35" i="25"/>
  <c r="G36" i="25"/>
  <c r="G37" i="25"/>
  <c r="K31" i="25"/>
  <c r="K32" i="25"/>
  <c r="K33" i="25"/>
  <c r="K34" i="25"/>
  <c r="K35" i="25"/>
  <c r="K36" i="25"/>
  <c r="K37" i="25"/>
  <c r="O31" i="25"/>
  <c r="O32" i="25"/>
  <c r="O33" i="25"/>
  <c r="O34" i="25"/>
  <c r="O35" i="25"/>
  <c r="O36" i="25"/>
  <c r="O37" i="25"/>
  <c r="O30" i="25"/>
  <c r="K30" i="25"/>
  <c r="G30" i="25"/>
  <c r="C30" i="25"/>
  <c r="O13" i="25"/>
  <c r="O14" i="25"/>
  <c r="O15" i="25"/>
  <c r="O16" i="25"/>
  <c r="O17" i="25"/>
  <c r="O18" i="25"/>
  <c r="O19" i="25"/>
  <c r="K13" i="25"/>
  <c r="K14" i="25"/>
  <c r="K15" i="25"/>
  <c r="K16" i="25"/>
  <c r="K17" i="25"/>
  <c r="K18" i="25"/>
  <c r="K19" i="25"/>
  <c r="G13" i="25"/>
  <c r="G14" i="25"/>
  <c r="G15" i="25"/>
  <c r="G16" i="25"/>
  <c r="G17" i="25"/>
  <c r="G18" i="25"/>
  <c r="G19" i="25"/>
  <c r="B13" i="25"/>
  <c r="B14" i="25"/>
  <c r="B13" i="238" s="1"/>
  <c r="B15" i="25"/>
  <c r="B14" i="238" s="1"/>
  <c r="B16" i="25"/>
  <c r="B15" i="238" s="1"/>
  <c r="B17" i="25"/>
  <c r="B18" i="25"/>
  <c r="B17" i="238" s="1"/>
  <c r="B19" i="25"/>
  <c r="B18" i="238" s="1"/>
  <c r="C13" i="25"/>
  <c r="C14" i="25"/>
  <c r="C15" i="25"/>
  <c r="C16" i="25"/>
  <c r="C17" i="25"/>
  <c r="C18" i="25"/>
  <c r="C19" i="25"/>
  <c r="O12" i="25"/>
  <c r="K12" i="25"/>
  <c r="G12" i="25"/>
  <c r="C12" i="25"/>
  <c r="B31" i="25"/>
  <c r="C12" i="238" s="1"/>
  <c r="B32" i="25"/>
  <c r="C13" i="238" s="1"/>
  <c r="B33" i="25"/>
  <c r="C14" i="238" s="1"/>
  <c r="B34" i="25"/>
  <c r="C15" i="238" s="1"/>
  <c r="B35" i="25"/>
  <c r="C16" i="238" s="1"/>
  <c r="B36" i="25"/>
  <c r="C17" i="238" s="1"/>
  <c r="B37" i="25"/>
  <c r="C18" i="238" s="1"/>
  <c r="F31" i="25"/>
  <c r="F32" i="25"/>
  <c r="F33" i="25"/>
  <c r="F34" i="25"/>
  <c r="F35" i="25"/>
  <c r="F36" i="25"/>
  <c r="F37" i="25"/>
  <c r="J31" i="25"/>
  <c r="J32" i="25"/>
  <c r="J33" i="25"/>
  <c r="J34" i="25"/>
  <c r="J35" i="25"/>
  <c r="J36" i="25"/>
  <c r="J37" i="25"/>
  <c r="N31" i="25"/>
  <c r="N32" i="25"/>
  <c r="N33" i="25"/>
  <c r="N34" i="25"/>
  <c r="N35" i="25"/>
  <c r="N36" i="25"/>
  <c r="N37" i="25"/>
  <c r="N30" i="25"/>
  <c r="J30" i="25"/>
  <c r="F30" i="25"/>
  <c r="B30" i="25"/>
  <c r="C11" i="238" s="1"/>
  <c r="N13" i="25"/>
  <c r="N14" i="25"/>
  <c r="N15" i="25"/>
  <c r="N16" i="25"/>
  <c r="N17" i="25"/>
  <c r="N18" i="25"/>
  <c r="N19" i="25"/>
  <c r="J13" i="25"/>
  <c r="J14" i="25"/>
  <c r="J15" i="25"/>
  <c r="J16" i="25"/>
  <c r="J17" i="25"/>
  <c r="J18" i="25"/>
  <c r="J19" i="25"/>
  <c r="F13" i="25"/>
  <c r="F14" i="25"/>
  <c r="F15" i="25"/>
  <c r="F16" i="25"/>
  <c r="F17" i="25"/>
  <c r="F18" i="25"/>
  <c r="F19" i="25"/>
  <c r="N12" i="25"/>
  <c r="J12" i="25"/>
  <c r="F12" i="25"/>
  <c r="B12" i="25"/>
  <c r="B11" i="238" s="1"/>
  <c r="A31" i="25"/>
  <c r="A32" i="25"/>
  <c r="A33" i="25"/>
  <c r="A34" i="25"/>
  <c r="A35" i="25"/>
  <c r="A36" i="25"/>
  <c r="A37" i="25"/>
  <c r="A30" i="25"/>
  <c r="A13" i="25"/>
  <c r="A12" i="238" s="1"/>
  <c r="A14" i="25"/>
  <c r="A13" i="238" s="1"/>
  <c r="A15" i="25"/>
  <c r="A14" i="238" s="1"/>
  <c r="A16" i="25"/>
  <c r="A15" i="238" s="1"/>
  <c r="A17" i="25"/>
  <c r="A16" i="238" s="1"/>
  <c r="A18" i="25"/>
  <c r="A17" i="238" s="1"/>
  <c r="A19" i="25"/>
  <c r="A18" i="238" s="1"/>
  <c r="A12" i="25"/>
  <c r="A11" i="238" s="1"/>
  <c r="K40" i="94"/>
  <c r="C41" i="269"/>
  <c r="B43" i="269"/>
  <c r="C43" i="269" s="1"/>
  <c r="C11" i="269"/>
  <c r="D11" i="269"/>
  <c r="E11" i="269"/>
  <c r="F11" i="269"/>
  <c r="G11" i="269"/>
  <c r="I11" i="269"/>
  <c r="O11" i="269"/>
  <c r="J11" i="269"/>
  <c r="K11" i="269"/>
  <c r="L11" i="269"/>
  <c r="M11" i="269"/>
  <c r="N11" i="269"/>
  <c r="P11" i="269"/>
  <c r="Q11" i="269"/>
  <c r="C12" i="269"/>
  <c r="D12" i="269"/>
  <c r="E12" i="269"/>
  <c r="F12" i="269"/>
  <c r="G12" i="269"/>
  <c r="I12" i="269"/>
  <c r="O12" i="269"/>
  <c r="J12" i="269"/>
  <c r="K12" i="269"/>
  <c r="L12" i="269"/>
  <c r="M12" i="269"/>
  <c r="N12" i="269"/>
  <c r="P12" i="269"/>
  <c r="Q12" i="269"/>
  <c r="C13" i="269"/>
  <c r="D13" i="269"/>
  <c r="E13" i="269"/>
  <c r="F13" i="269"/>
  <c r="G13" i="269"/>
  <c r="I13" i="269"/>
  <c r="O13" i="269"/>
  <c r="J13" i="269"/>
  <c r="K13" i="269"/>
  <c r="L13" i="269"/>
  <c r="M13" i="269"/>
  <c r="N13" i="269"/>
  <c r="P13" i="269"/>
  <c r="Q13" i="269"/>
  <c r="C14" i="269"/>
  <c r="D14" i="269"/>
  <c r="E14" i="269"/>
  <c r="F14" i="269"/>
  <c r="G14" i="269"/>
  <c r="I14" i="269"/>
  <c r="O14" i="269"/>
  <c r="J14" i="269"/>
  <c r="K14" i="269"/>
  <c r="L14" i="269"/>
  <c r="M14" i="269"/>
  <c r="N14" i="269"/>
  <c r="P14" i="269"/>
  <c r="Q14" i="269"/>
  <c r="C15" i="269"/>
  <c r="D15" i="269"/>
  <c r="E15" i="269"/>
  <c r="F15" i="269"/>
  <c r="G15" i="269"/>
  <c r="I15" i="269"/>
  <c r="O15" i="269"/>
  <c r="J15" i="269"/>
  <c r="K15" i="269"/>
  <c r="L15" i="269"/>
  <c r="M15" i="269"/>
  <c r="N15" i="269"/>
  <c r="P15" i="269"/>
  <c r="Q15" i="269"/>
  <c r="C16" i="269"/>
  <c r="D16" i="269"/>
  <c r="E16" i="269"/>
  <c r="F16" i="269"/>
  <c r="G16" i="269"/>
  <c r="I16" i="269"/>
  <c r="O16" i="269"/>
  <c r="J16" i="269"/>
  <c r="K16" i="269"/>
  <c r="L16" i="269"/>
  <c r="M16" i="269"/>
  <c r="N16" i="269"/>
  <c r="P16" i="269"/>
  <c r="Q16" i="269"/>
  <c r="C17" i="269"/>
  <c r="D17" i="269"/>
  <c r="E17" i="269"/>
  <c r="F17" i="269"/>
  <c r="G17" i="269"/>
  <c r="I17" i="269"/>
  <c r="O17" i="269"/>
  <c r="J17" i="269"/>
  <c r="K17" i="269"/>
  <c r="L17" i="269"/>
  <c r="M17" i="269"/>
  <c r="N17" i="269"/>
  <c r="P17" i="269"/>
  <c r="Q17" i="269"/>
  <c r="C18" i="269"/>
  <c r="D18" i="269"/>
  <c r="E18" i="269"/>
  <c r="F18" i="269"/>
  <c r="G18" i="269"/>
  <c r="I18" i="269"/>
  <c r="O18" i="269"/>
  <c r="J18" i="269"/>
  <c r="K18" i="269"/>
  <c r="L18" i="269"/>
  <c r="M18" i="269"/>
  <c r="N18" i="269"/>
  <c r="P18" i="269"/>
  <c r="Q18" i="269"/>
  <c r="C19" i="269"/>
  <c r="D19" i="269"/>
  <c r="E19" i="269"/>
  <c r="F19" i="269"/>
  <c r="G19" i="269"/>
  <c r="I19" i="269"/>
  <c r="O19" i="269"/>
  <c r="J19" i="269"/>
  <c r="K19" i="269"/>
  <c r="L19" i="269"/>
  <c r="M19" i="269"/>
  <c r="N19" i="269"/>
  <c r="P19" i="269"/>
  <c r="Q19" i="269"/>
  <c r="C20" i="269"/>
  <c r="D20" i="269"/>
  <c r="E20" i="269"/>
  <c r="F20" i="269"/>
  <c r="G20" i="269"/>
  <c r="I20" i="269"/>
  <c r="O20" i="269"/>
  <c r="J20" i="269"/>
  <c r="K20" i="269"/>
  <c r="L20" i="269"/>
  <c r="M20" i="269"/>
  <c r="N20" i="269"/>
  <c r="P20" i="269"/>
  <c r="Q20" i="269"/>
  <c r="C21" i="269"/>
  <c r="D21" i="269"/>
  <c r="E21" i="269"/>
  <c r="F21" i="269"/>
  <c r="G21" i="269"/>
  <c r="I21" i="269"/>
  <c r="O21" i="269"/>
  <c r="J21" i="269"/>
  <c r="K21" i="269"/>
  <c r="L21" i="269"/>
  <c r="M21" i="269"/>
  <c r="N21" i="269"/>
  <c r="P21" i="269"/>
  <c r="Q21" i="269"/>
  <c r="C22" i="269"/>
  <c r="D22" i="269"/>
  <c r="E22" i="269"/>
  <c r="F22" i="269"/>
  <c r="G22" i="269"/>
  <c r="I22" i="269"/>
  <c r="O22" i="269"/>
  <c r="J22" i="269"/>
  <c r="K22" i="269"/>
  <c r="L22" i="269"/>
  <c r="M22" i="269"/>
  <c r="N22" i="269"/>
  <c r="P22" i="269"/>
  <c r="Q22" i="269"/>
  <c r="C23" i="269"/>
  <c r="D23" i="269"/>
  <c r="E23" i="269"/>
  <c r="F23" i="269"/>
  <c r="G23" i="269"/>
  <c r="I23" i="269"/>
  <c r="O23" i="269"/>
  <c r="J23" i="269"/>
  <c r="K23" i="269"/>
  <c r="L23" i="269"/>
  <c r="M23" i="269"/>
  <c r="N23" i="269"/>
  <c r="P23" i="269"/>
  <c r="Q23" i="269"/>
  <c r="C24" i="269"/>
  <c r="D24" i="269"/>
  <c r="E24" i="269"/>
  <c r="F24" i="269"/>
  <c r="G24" i="269"/>
  <c r="I24" i="269"/>
  <c r="O24" i="269"/>
  <c r="J24" i="269"/>
  <c r="K24" i="269"/>
  <c r="L24" i="269"/>
  <c r="M24" i="269"/>
  <c r="N24" i="269"/>
  <c r="P24" i="269"/>
  <c r="Q24" i="269"/>
  <c r="C25" i="269"/>
  <c r="D25" i="269"/>
  <c r="E25" i="269"/>
  <c r="F25" i="269"/>
  <c r="G25" i="269"/>
  <c r="I25" i="269"/>
  <c r="O25" i="269"/>
  <c r="J25" i="269"/>
  <c r="K25" i="269"/>
  <c r="L25" i="269"/>
  <c r="M25" i="269"/>
  <c r="N25" i="269"/>
  <c r="P25" i="269"/>
  <c r="Q25" i="269"/>
  <c r="C26" i="269"/>
  <c r="D26" i="269"/>
  <c r="E26" i="269"/>
  <c r="F26" i="269"/>
  <c r="G26" i="269"/>
  <c r="I26" i="269"/>
  <c r="O26" i="269"/>
  <c r="J26" i="269"/>
  <c r="K26" i="269"/>
  <c r="L26" i="269"/>
  <c r="M26" i="269"/>
  <c r="N26" i="269"/>
  <c r="P26" i="269"/>
  <c r="Q26" i="269"/>
  <c r="C27" i="269"/>
  <c r="D27" i="269"/>
  <c r="E27" i="269"/>
  <c r="F27" i="269"/>
  <c r="G27" i="269"/>
  <c r="I27" i="269"/>
  <c r="O27" i="269"/>
  <c r="J27" i="269"/>
  <c r="K27" i="269"/>
  <c r="L27" i="269"/>
  <c r="M27" i="269"/>
  <c r="N27" i="269"/>
  <c r="P27" i="269"/>
  <c r="Q27" i="269"/>
  <c r="C28" i="269"/>
  <c r="D28" i="269"/>
  <c r="E28" i="269"/>
  <c r="F28" i="269"/>
  <c r="G28" i="269"/>
  <c r="I28" i="269"/>
  <c r="O28" i="269"/>
  <c r="J28" i="269"/>
  <c r="K28" i="269"/>
  <c r="L28" i="269"/>
  <c r="M28" i="269"/>
  <c r="N28" i="269"/>
  <c r="P28" i="269"/>
  <c r="Q28" i="269"/>
  <c r="C29" i="269"/>
  <c r="D29" i="269"/>
  <c r="E29" i="269"/>
  <c r="F29" i="269"/>
  <c r="G29" i="269"/>
  <c r="I29" i="269"/>
  <c r="O29" i="269"/>
  <c r="J29" i="269"/>
  <c r="K29" i="269"/>
  <c r="L29" i="269"/>
  <c r="M29" i="269"/>
  <c r="N29" i="269"/>
  <c r="P29" i="269"/>
  <c r="Q29" i="269"/>
  <c r="C30" i="269"/>
  <c r="D30" i="269"/>
  <c r="E30" i="269"/>
  <c r="F30" i="269"/>
  <c r="G30" i="269"/>
  <c r="I30" i="269"/>
  <c r="O30" i="269"/>
  <c r="J30" i="269"/>
  <c r="K30" i="269"/>
  <c r="L30" i="269"/>
  <c r="M30" i="269"/>
  <c r="N30" i="269"/>
  <c r="P30" i="269"/>
  <c r="Q30" i="269"/>
  <c r="C31" i="269"/>
  <c r="D31" i="269"/>
  <c r="E31" i="269"/>
  <c r="F31" i="269"/>
  <c r="G31" i="269"/>
  <c r="I31" i="269"/>
  <c r="O31" i="269"/>
  <c r="J31" i="269"/>
  <c r="K31" i="269"/>
  <c r="L31" i="269"/>
  <c r="M31" i="269"/>
  <c r="N31" i="269"/>
  <c r="P31" i="269"/>
  <c r="Q31" i="269"/>
  <c r="C32" i="269"/>
  <c r="D32" i="269"/>
  <c r="E32" i="269"/>
  <c r="F32" i="269"/>
  <c r="G32" i="269"/>
  <c r="I32" i="269"/>
  <c r="O32" i="269"/>
  <c r="J32" i="269"/>
  <c r="K32" i="269"/>
  <c r="L32" i="269"/>
  <c r="M32" i="269"/>
  <c r="N32" i="269"/>
  <c r="P32" i="269"/>
  <c r="Q32" i="269"/>
  <c r="C33" i="269"/>
  <c r="D33" i="269"/>
  <c r="E33" i="269"/>
  <c r="F33" i="269"/>
  <c r="G33" i="269"/>
  <c r="I33" i="269"/>
  <c r="O33" i="269"/>
  <c r="J33" i="269"/>
  <c r="K33" i="269"/>
  <c r="L33" i="269"/>
  <c r="M33" i="269"/>
  <c r="N33" i="269"/>
  <c r="P33" i="269"/>
  <c r="Q33" i="269"/>
  <c r="C34" i="269"/>
  <c r="D34" i="269"/>
  <c r="E34" i="269"/>
  <c r="F34" i="269"/>
  <c r="G34" i="269"/>
  <c r="I34" i="269"/>
  <c r="O34" i="269"/>
  <c r="J34" i="269"/>
  <c r="K34" i="269"/>
  <c r="L34" i="269"/>
  <c r="M34" i="269"/>
  <c r="N34" i="269"/>
  <c r="P34" i="269"/>
  <c r="Q34" i="269"/>
  <c r="C35" i="269"/>
  <c r="D35" i="269"/>
  <c r="E35" i="269"/>
  <c r="F35" i="269"/>
  <c r="G35" i="269"/>
  <c r="I35" i="269"/>
  <c r="O35" i="269"/>
  <c r="J35" i="269"/>
  <c r="K35" i="269"/>
  <c r="L35" i="269"/>
  <c r="M35" i="269"/>
  <c r="N35" i="269"/>
  <c r="P35" i="269"/>
  <c r="Q35" i="269"/>
  <c r="C36" i="269"/>
  <c r="D36" i="269"/>
  <c r="E36" i="269"/>
  <c r="F36" i="269"/>
  <c r="G36" i="269"/>
  <c r="I36" i="269"/>
  <c r="O36" i="269"/>
  <c r="J36" i="269"/>
  <c r="K36" i="269"/>
  <c r="L36" i="269"/>
  <c r="M36" i="269"/>
  <c r="N36" i="269"/>
  <c r="P36" i="269"/>
  <c r="Q36" i="269"/>
  <c r="C37" i="269"/>
  <c r="D37" i="269"/>
  <c r="E37" i="269"/>
  <c r="F37" i="269"/>
  <c r="G37" i="269"/>
  <c r="I37" i="269"/>
  <c r="O37" i="269"/>
  <c r="J37" i="269"/>
  <c r="K37" i="269"/>
  <c r="L37" i="269"/>
  <c r="M37" i="269"/>
  <c r="N37" i="269"/>
  <c r="P37" i="269"/>
  <c r="Q37" i="269"/>
  <c r="C38" i="269"/>
  <c r="D38" i="269"/>
  <c r="E38" i="269"/>
  <c r="F38" i="269"/>
  <c r="G38" i="269"/>
  <c r="I38" i="269"/>
  <c r="O38" i="269"/>
  <c r="J38" i="269"/>
  <c r="K38" i="269"/>
  <c r="L38" i="269"/>
  <c r="M38" i="269"/>
  <c r="N38" i="269"/>
  <c r="P38" i="269"/>
  <c r="Q38" i="269"/>
  <c r="C39" i="269"/>
  <c r="D39" i="269"/>
  <c r="E39" i="269"/>
  <c r="F39" i="269"/>
  <c r="G39" i="269"/>
  <c r="I39" i="269"/>
  <c r="O39" i="269"/>
  <c r="J39" i="269"/>
  <c r="K39" i="269"/>
  <c r="L39" i="269"/>
  <c r="M39" i="269"/>
  <c r="N39" i="269"/>
  <c r="P39" i="269"/>
  <c r="Q39" i="269"/>
  <c r="C40" i="269"/>
  <c r="D40" i="269"/>
  <c r="E40" i="269"/>
  <c r="F40" i="269"/>
  <c r="G40" i="269"/>
  <c r="I40" i="269"/>
  <c r="O40" i="269"/>
  <c r="J40" i="269"/>
  <c r="K40" i="269"/>
  <c r="L40" i="269"/>
  <c r="M40" i="269"/>
  <c r="N40" i="269"/>
  <c r="P40" i="269"/>
  <c r="Q40" i="269"/>
  <c r="D41" i="269"/>
  <c r="E41" i="269"/>
  <c r="F41" i="269"/>
  <c r="G41" i="269"/>
  <c r="I41" i="269"/>
  <c r="O41" i="269"/>
  <c r="J41" i="269"/>
  <c r="K41" i="269"/>
  <c r="L41" i="269"/>
  <c r="M41" i="269"/>
  <c r="N41" i="269"/>
  <c r="P41" i="269"/>
  <c r="Q41" i="269"/>
  <c r="C42" i="269"/>
  <c r="D42" i="269"/>
  <c r="E42" i="269"/>
  <c r="F42" i="269"/>
  <c r="G42" i="269"/>
  <c r="I42" i="269"/>
  <c r="O42" i="269"/>
  <c r="J42" i="269"/>
  <c r="K42" i="269"/>
  <c r="L42" i="269"/>
  <c r="M42" i="269"/>
  <c r="N42" i="269"/>
  <c r="P42" i="269"/>
  <c r="Q42" i="269"/>
  <c r="H12" i="269"/>
  <c r="H13" i="269"/>
  <c r="H14" i="269"/>
  <c r="H15" i="269"/>
  <c r="H16" i="269"/>
  <c r="H17" i="269"/>
  <c r="H18" i="269"/>
  <c r="H19" i="269"/>
  <c r="H20" i="269"/>
  <c r="H21" i="269"/>
  <c r="H22" i="269"/>
  <c r="H23" i="269"/>
  <c r="H24" i="269"/>
  <c r="H25" i="269"/>
  <c r="H26" i="269"/>
  <c r="H27" i="269"/>
  <c r="H28" i="269"/>
  <c r="H29" i="269"/>
  <c r="H30" i="269"/>
  <c r="H31" i="269"/>
  <c r="H32" i="269"/>
  <c r="H33" i="269"/>
  <c r="H34" i="269"/>
  <c r="H35" i="269"/>
  <c r="H36" i="269"/>
  <c r="H37" i="269"/>
  <c r="H38" i="269"/>
  <c r="H39" i="269"/>
  <c r="H40" i="269"/>
  <c r="H41" i="269"/>
  <c r="H42" i="269"/>
  <c r="H11" i="269"/>
  <c r="N28" i="271"/>
  <c r="N12" i="271"/>
  <c r="N14" i="271"/>
  <c r="C42" i="94"/>
  <c r="D42" i="94"/>
  <c r="G22" i="291" l="1"/>
  <c r="G41" i="291"/>
  <c r="H22" i="290"/>
  <c r="H38" i="290"/>
  <c r="B31" i="261"/>
  <c r="H36" i="261"/>
  <c r="E34" i="261"/>
  <c r="H58" i="93"/>
  <c r="H18" i="282"/>
  <c r="H78" i="282"/>
  <c r="H66" i="282"/>
  <c r="H54" i="282"/>
  <c r="H42" i="282"/>
  <c r="H30" i="282"/>
  <c r="Q18" i="282"/>
  <c r="P19" i="290"/>
  <c r="H19" i="290"/>
  <c r="P35" i="290"/>
  <c r="H35" i="290"/>
  <c r="G46" i="93"/>
  <c r="G30" i="280"/>
  <c r="U19" i="291"/>
  <c r="G42" i="280"/>
  <c r="G38" i="291"/>
  <c r="N18" i="280"/>
  <c r="G18" i="280"/>
  <c r="N38" i="291"/>
  <c r="N19" i="291"/>
  <c r="G19" i="291"/>
  <c r="G45" i="93"/>
  <c r="G29" i="280"/>
  <c r="G17" i="280"/>
  <c r="G37" i="291"/>
  <c r="N18" i="291"/>
  <c r="G41" i="280"/>
  <c r="U18" i="291"/>
  <c r="N17" i="280"/>
  <c r="N37" i="291"/>
  <c r="G18" i="291"/>
  <c r="H57" i="93"/>
  <c r="Q17" i="282"/>
  <c r="H65" i="282"/>
  <c r="H53" i="282"/>
  <c r="H41" i="282"/>
  <c r="H29" i="282"/>
  <c r="H17" i="282"/>
  <c r="H77" i="282"/>
  <c r="P34" i="290"/>
  <c r="H18" i="290"/>
  <c r="P18" i="290"/>
  <c r="H34" i="290"/>
  <c r="F35" i="261"/>
  <c r="D33" i="261"/>
  <c r="C32" i="261"/>
  <c r="G31" i="261"/>
  <c r="H18" i="238"/>
  <c r="F18" i="238"/>
  <c r="F37" i="261"/>
  <c r="E36" i="261"/>
  <c r="D35" i="261"/>
  <c r="C34" i="261"/>
  <c r="B33" i="261"/>
  <c r="G32" i="261"/>
  <c r="H33" i="261"/>
  <c r="E31" i="261"/>
  <c r="N12" i="280"/>
  <c r="U13" i="291"/>
  <c r="G40" i="93"/>
  <c r="H53" i="93"/>
  <c r="Q13" i="282"/>
  <c r="G42" i="93"/>
  <c r="U15" i="291"/>
  <c r="N14" i="280"/>
  <c r="C36" i="261"/>
  <c r="H32" i="261"/>
  <c r="Q14" i="282"/>
  <c r="H54" i="93"/>
  <c r="B37" i="261"/>
  <c r="G36" i="261"/>
  <c r="H34" i="261"/>
  <c r="F33" i="261"/>
  <c r="E32" i="261"/>
  <c r="D31" i="261"/>
  <c r="N11" i="280"/>
  <c r="U12" i="291"/>
  <c r="G39" i="93"/>
  <c r="H52" i="93"/>
  <c r="Q12" i="282"/>
  <c r="U16" i="291"/>
  <c r="N15" i="280"/>
  <c r="G43" i="93"/>
  <c r="Q16" i="282"/>
  <c r="H55" i="93"/>
  <c r="Q15" i="282"/>
  <c r="B35" i="261"/>
  <c r="G41" i="93"/>
  <c r="N13" i="280"/>
  <c r="U14" i="291"/>
  <c r="H51" i="93"/>
  <c r="Q11" i="282"/>
  <c r="D37" i="261"/>
  <c r="G34" i="261"/>
  <c r="F31" i="261"/>
  <c r="H37" i="261"/>
  <c r="D34" i="261"/>
  <c r="N16" i="280"/>
  <c r="U17" i="291"/>
  <c r="I15" i="272"/>
  <c r="A38" i="280"/>
  <c r="A37" i="280"/>
  <c r="A39" i="280"/>
  <c r="A36" i="280"/>
  <c r="A40" i="280"/>
  <c r="C37" i="261"/>
  <c r="F36" i="261"/>
  <c r="B36" i="261"/>
  <c r="E35" i="261"/>
  <c r="G35" i="261"/>
  <c r="C33" i="261"/>
  <c r="F32" i="261"/>
  <c r="B32" i="261"/>
  <c r="E37" i="261"/>
  <c r="G37" i="261"/>
  <c r="D36" i="261"/>
  <c r="H35" i="261"/>
  <c r="C35" i="261"/>
  <c r="F34" i="261"/>
  <c r="B34" i="261"/>
  <c r="E33" i="261"/>
  <c r="G33" i="261"/>
  <c r="D32" i="261"/>
  <c r="H31" i="261"/>
  <c r="C31" i="261"/>
  <c r="G11" i="272"/>
  <c r="G50" i="134"/>
  <c r="C11" i="272"/>
  <c r="C50" i="134"/>
  <c r="B57" i="134"/>
  <c r="I17" i="272"/>
  <c r="I56" i="134"/>
  <c r="E17" i="272"/>
  <c r="E56" i="134"/>
  <c r="K15" i="272"/>
  <c r="K54" i="134"/>
  <c r="G15" i="272"/>
  <c r="G54" i="134"/>
  <c r="C15" i="272"/>
  <c r="C54" i="134"/>
  <c r="I13" i="272"/>
  <c r="I52" i="134"/>
  <c r="E13" i="272"/>
  <c r="E52" i="134"/>
  <c r="M28" i="271"/>
  <c r="K11" i="272"/>
  <c r="H51" i="279"/>
  <c r="E33" i="272"/>
  <c r="H73" i="279"/>
  <c r="G28" i="280"/>
  <c r="G36" i="291"/>
  <c r="G17" i="291"/>
  <c r="N17" i="291"/>
  <c r="N36" i="291"/>
  <c r="G24" i="280"/>
  <c r="G32" i="291"/>
  <c r="G13" i="291"/>
  <c r="N32" i="291"/>
  <c r="N13" i="291"/>
  <c r="H15" i="282"/>
  <c r="P32" i="290"/>
  <c r="H16" i="290"/>
  <c r="P16" i="290"/>
  <c r="H32" i="290"/>
  <c r="H51" i="282"/>
  <c r="G35" i="280"/>
  <c r="G31" i="291"/>
  <c r="G12" i="291"/>
  <c r="N12" i="291"/>
  <c r="N31" i="291"/>
  <c r="G39" i="280"/>
  <c r="G35" i="291"/>
  <c r="G16" i="291"/>
  <c r="N16" i="291"/>
  <c r="N35" i="291"/>
  <c r="H11" i="282"/>
  <c r="P12" i="290"/>
  <c r="H12" i="290"/>
  <c r="P28" i="290"/>
  <c r="H28" i="290"/>
  <c r="H38" i="282"/>
  <c r="P31" i="290"/>
  <c r="P15" i="290"/>
  <c r="H31" i="290"/>
  <c r="H15" i="290"/>
  <c r="G26" i="280"/>
  <c r="G34" i="291"/>
  <c r="G15" i="291"/>
  <c r="N15" i="291"/>
  <c r="N34" i="291"/>
  <c r="H37" i="282"/>
  <c r="P14" i="290"/>
  <c r="H30" i="290"/>
  <c r="P30" i="290"/>
  <c r="H14" i="290"/>
  <c r="H61" i="282"/>
  <c r="H52" i="279"/>
  <c r="H23" i="279"/>
  <c r="G33" i="291"/>
  <c r="G14" i="291"/>
  <c r="N33" i="291"/>
  <c r="N14" i="291"/>
  <c r="P33" i="290"/>
  <c r="H33" i="290"/>
  <c r="H17" i="290"/>
  <c r="P17" i="290"/>
  <c r="H29" i="290"/>
  <c r="P29" i="290"/>
  <c r="H13" i="290"/>
  <c r="P13" i="290"/>
  <c r="G23" i="280"/>
  <c r="H13" i="282"/>
  <c r="H75" i="282"/>
  <c r="H25" i="282"/>
  <c r="H25" i="279"/>
  <c r="H76" i="279"/>
  <c r="H39" i="282"/>
  <c r="H16" i="279"/>
  <c r="H36" i="279"/>
  <c r="G14" i="280"/>
  <c r="G38" i="280"/>
  <c r="H59" i="282"/>
  <c r="H48" i="279"/>
  <c r="H37" i="279"/>
  <c r="H14" i="282"/>
  <c r="H47" i="282"/>
  <c r="H49" i="282"/>
  <c r="H27" i="282"/>
  <c r="H23" i="282"/>
  <c r="H35" i="279"/>
  <c r="H71" i="279"/>
  <c r="H72" i="279"/>
  <c r="H59" i="279"/>
  <c r="H62" i="279"/>
  <c r="H61" i="279"/>
  <c r="H40" i="279"/>
  <c r="G27" i="280"/>
  <c r="H71" i="282"/>
  <c r="H73" i="282"/>
  <c r="H63" i="282"/>
  <c r="H35" i="282"/>
  <c r="H12" i="279"/>
  <c r="H64" i="279"/>
  <c r="H50" i="279"/>
  <c r="H26" i="279"/>
  <c r="H63" i="279"/>
  <c r="H49" i="279"/>
  <c r="H16" i="282"/>
  <c r="H40" i="282"/>
  <c r="H28" i="282"/>
  <c r="H52" i="282"/>
  <c r="H64" i="282"/>
  <c r="H76" i="282"/>
  <c r="H12" i="282"/>
  <c r="H36" i="282"/>
  <c r="H24" i="282"/>
  <c r="H48" i="282"/>
  <c r="H60" i="282"/>
  <c r="H72" i="282"/>
  <c r="H75" i="279"/>
  <c r="H60" i="279"/>
  <c r="H39" i="279"/>
  <c r="H74" i="279"/>
  <c r="H47" i="279"/>
  <c r="H38" i="279"/>
  <c r="G37" i="280"/>
  <c r="G13" i="280"/>
  <c r="G25" i="280"/>
  <c r="G16" i="280"/>
  <c r="G12" i="280"/>
  <c r="G40" i="280"/>
  <c r="G36" i="280"/>
  <c r="H11" i="279"/>
  <c r="H15" i="279"/>
  <c r="H14" i="279"/>
  <c r="H27" i="279"/>
  <c r="G11" i="280"/>
  <c r="H13" i="279"/>
  <c r="H28" i="279"/>
  <c r="H24" i="279"/>
  <c r="G15" i="280"/>
  <c r="H74" i="282"/>
  <c r="H62" i="282"/>
  <c r="H50" i="282"/>
  <c r="H26" i="282"/>
  <c r="H16" i="272"/>
  <c r="D16" i="272"/>
  <c r="J14" i="272"/>
  <c r="F14" i="272"/>
  <c r="H12" i="272"/>
  <c r="D12" i="272"/>
  <c r="I35" i="272"/>
  <c r="E35" i="272"/>
  <c r="H34" i="272"/>
  <c r="D34" i="272"/>
  <c r="K33" i="272"/>
  <c r="G33" i="272"/>
  <c r="C33" i="272"/>
  <c r="J32" i="272"/>
  <c r="F32" i="272"/>
  <c r="I31" i="272"/>
  <c r="E31" i="272"/>
  <c r="H30" i="272"/>
  <c r="D30" i="272"/>
  <c r="H35" i="272"/>
  <c r="D35" i="272"/>
  <c r="K34" i="272"/>
  <c r="G34" i="272"/>
  <c r="C34" i="272"/>
  <c r="J33" i="272"/>
  <c r="F33" i="272"/>
  <c r="B33" i="272"/>
  <c r="I32" i="272"/>
  <c r="E32" i="272"/>
  <c r="H31" i="272"/>
  <c r="D31" i="272"/>
  <c r="K30" i="272"/>
  <c r="G30" i="272"/>
  <c r="C30" i="272"/>
  <c r="E15" i="272"/>
  <c r="J16" i="272"/>
  <c r="F16" i="272"/>
  <c r="J12" i="272"/>
  <c r="F12" i="272"/>
  <c r="I33" i="272"/>
  <c r="B11" i="272"/>
  <c r="B17" i="272"/>
  <c r="B13" i="272"/>
  <c r="I16" i="272"/>
  <c r="E16" i="272"/>
  <c r="I12" i="272"/>
  <c r="E12" i="272"/>
  <c r="J29" i="272"/>
  <c r="F29" i="272"/>
  <c r="C12" i="272"/>
  <c r="R35" i="25"/>
  <c r="R31" i="25"/>
  <c r="B15" i="272"/>
  <c r="K16" i="272"/>
  <c r="G16" i="272"/>
  <c r="C16" i="272"/>
  <c r="I14" i="272"/>
  <c r="E14" i="272"/>
  <c r="K12" i="272"/>
  <c r="G12" i="272"/>
  <c r="B32" i="272"/>
  <c r="Y16" i="272"/>
  <c r="L55" i="134" s="1"/>
  <c r="Y12" i="272"/>
  <c r="H17" i="272"/>
  <c r="D17" i="272"/>
  <c r="J15" i="272"/>
  <c r="F15" i="272"/>
  <c r="H13" i="272"/>
  <c r="D13" i="272"/>
  <c r="K35" i="272"/>
  <c r="G35" i="272"/>
  <c r="C35" i="272"/>
  <c r="J34" i="272"/>
  <c r="F34" i="272"/>
  <c r="B34" i="272"/>
  <c r="H32" i="272"/>
  <c r="D32" i="272"/>
  <c r="K31" i="272"/>
  <c r="G31" i="272"/>
  <c r="C31" i="272"/>
  <c r="J30" i="272"/>
  <c r="F30" i="272"/>
  <c r="B30" i="272"/>
  <c r="Y11" i="272"/>
  <c r="L50" i="134" s="1"/>
  <c r="B16" i="272"/>
  <c r="B12" i="272"/>
  <c r="K17" i="272"/>
  <c r="G17" i="272"/>
  <c r="C17" i="272"/>
  <c r="K13" i="272"/>
  <c r="G13" i="272"/>
  <c r="C13" i="272"/>
  <c r="I11" i="272"/>
  <c r="E11" i="272"/>
  <c r="J35" i="272"/>
  <c r="F35" i="272"/>
  <c r="B35" i="272"/>
  <c r="I34" i="272"/>
  <c r="E34" i="272"/>
  <c r="H33" i="272"/>
  <c r="D33" i="272"/>
  <c r="J31" i="272"/>
  <c r="F31" i="272"/>
  <c r="B31" i="272"/>
  <c r="I30" i="272"/>
  <c r="E30" i="272"/>
  <c r="Y17" i="272"/>
  <c r="L56" i="134" s="1"/>
  <c r="K32" i="272"/>
  <c r="K14" i="272"/>
  <c r="G32" i="272"/>
  <c r="G14" i="272"/>
  <c r="C14" i="272"/>
  <c r="C32" i="272"/>
  <c r="Y13" i="272"/>
  <c r="J17" i="272"/>
  <c r="F17" i="272"/>
  <c r="H15" i="272"/>
  <c r="D15" i="272"/>
  <c r="J13" i="272"/>
  <c r="F13" i="272"/>
  <c r="H11" i="272"/>
  <c r="D11" i="272"/>
  <c r="I29" i="272"/>
  <c r="E29" i="272"/>
  <c r="Y18" i="272"/>
  <c r="B14" i="272"/>
  <c r="H14" i="272"/>
  <c r="D14" i="272"/>
  <c r="B29" i="272"/>
  <c r="H29" i="272"/>
  <c r="D29" i="272"/>
  <c r="Y15" i="272"/>
  <c r="L54" i="134" s="1"/>
  <c r="Y14" i="272"/>
  <c r="L53" i="134" s="1"/>
  <c r="K29" i="272"/>
  <c r="G29" i="272"/>
  <c r="C29" i="272"/>
  <c r="J11" i="272"/>
  <c r="F11" i="272"/>
  <c r="S14" i="25"/>
  <c r="S18" i="25"/>
  <c r="S34" i="25"/>
  <c r="T17" i="25"/>
  <c r="T13" i="25"/>
  <c r="T19" i="25"/>
  <c r="T15" i="25"/>
  <c r="T34" i="25"/>
  <c r="S13" i="25"/>
  <c r="R19" i="25"/>
  <c r="R15" i="25"/>
  <c r="R34" i="25"/>
  <c r="S16" i="25"/>
  <c r="S37" i="25"/>
  <c r="S33" i="25"/>
  <c r="F14" i="238"/>
  <c r="T18" i="25"/>
  <c r="T14" i="25"/>
  <c r="T37" i="25"/>
  <c r="T33" i="25"/>
  <c r="R18" i="25"/>
  <c r="R14" i="25"/>
  <c r="R37" i="25"/>
  <c r="R33" i="25"/>
  <c r="S19" i="25"/>
  <c r="S15" i="25"/>
  <c r="S36" i="25"/>
  <c r="S32" i="25"/>
  <c r="T12" i="25"/>
  <c r="T36" i="25"/>
  <c r="T32" i="25"/>
  <c r="S17" i="25"/>
  <c r="R12" i="25"/>
  <c r="R36" i="25"/>
  <c r="R32" i="25"/>
  <c r="S12" i="25"/>
  <c r="S35" i="25"/>
  <c r="S31" i="25"/>
  <c r="T16" i="25"/>
  <c r="T35" i="25"/>
  <c r="T31" i="25"/>
  <c r="H15" i="238"/>
  <c r="H17" i="238"/>
  <c r="H13" i="238"/>
  <c r="H16" i="238"/>
  <c r="H12" i="238"/>
  <c r="H14" i="238"/>
  <c r="R17" i="25"/>
  <c r="R13" i="25"/>
  <c r="R16" i="25"/>
  <c r="B16" i="238"/>
  <c r="F16" i="238" s="1"/>
  <c r="B12" i="238"/>
  <c r="F12" i="238" s="1"/>
  <c r="F17" i="238"/>
  <c r="F13" i="238"/>
  <c r="F15" i="238"/>
  <c r="C44" i="269"/>
  <c r="N43" i="269"/>
  <c r="N44" i="269" s="1"/>
  <c r="J43" i="269"/>
  <c r="J44" i="269" s="1"/>
  <c r="F43" i="269"/>
  <c r="F44" i="269" s="1"/>
  <c r="H43" i="269"/>
  <c r="H44" i="269" s="1"/>
  <c r="M43" i="269"/>
  <c r="M44" i="269" s="1"/>
  <c r="O43" i="269"/>
  <c r="O44" i="269" s="1"/>
  <c r="E43" i="269"/>
  <c r="E44" i="269" s="1"/>
  <c r="Q43" i="269"/>
  <c r="Q44" i="269" s="1"/>
  <c r="L43" i="269"/>
  <c r="L44" i="269" s="1"/>
  <c r="I43" i="269"/>
  <c r="I44" i="269" s="1"/>
  <c r="D43" i="269"/>
  <c r="D44" i="269" s="1"/>
  <c r="P43" i="269"/>
  <c r="P44" i="269" s="1"/>
  <c r="K43" i="269"/>
  <c r="K44" i="269" s="1"/>
  <c r="G43" i="269"/>
  <c r="G44" i="269" s="1"/>
  <c r="N16" i="271"/>
  <c r="F12" i="133"/>
  <c r="C17" i="133"/>
  <c r="C13" i="133"/>
  <c r="B15" i="133"/>
  <c r="C10" i="133"/>
  <c r="C11" i="133"/>
  <c r="C12" i="133"/>
  <c r="E11" i="133"/>
  <c r="B14" i="133"/>
  <c r="D10" i="133"/>
  <c r="N17" i="271"/>
  <c r="D15" i="133"/>
  <c r="B11" i="133"/>
  <c r="E17" i="133"/>
  <c r="F13" i="133"/>
  <c r="D14" i="133"/>
  <c r="E13" i="133"/>
  <c r="B13" i="133"/>
  <c r="D11" i="133"/>
  <c r="E14" i="133"/>
  <c r="F11" i="133"/>
  <c r="D13" i="133"/>
  <c r="F17" i="133"/>
  <c r="D17" i="133"/>
  <c r="N18" i="271"/>
  <c r="N13" i="271"/>
  <c r="E12" i="133"/>
  <c r="C15" i="133"/>
  <c r="F10" i="133"/>
  <c r="C14" i="133"/>
  <c r="B12" i="133"/>
  <c r="N15" i="271"/>
  <c r="D12" i="133"/>
  <c r="E10" i="133"/>
  <c r="F14" i="133"/>
  <c r="B17" i="133"/>
  <c r="F15" i="133"/>
  <c r="E15" i="133"/>
  <c r="L24" i="272" l="1"/>
  <c r="L42" i="272"/>
  <c r="L52" i="134"/>
  <c r="L51" i="134"/>
  <c r="L57" i="134"/>
  <c r="L36" i="272"/>
  <c r="L18" i="272"/>
  <c r="A35" i="280"/>
  <c r="L11" i="272"/>
  <c r="L32" i="272"/>
  <c r="L33" i="272"/>
  <c r="L34" i="272"/>
  <c r="O18" i="271"/>
  <c r="O16" i="271"/>
  <c r="L16" i="272"/>
  <c r="O15" i="271"/>
  <c r="L15" i="272"/>
  <c r="L30" i="272"/>
  <c r="L31" i="272"/>
  <c r="O14" i="271"/>
  <c r="L14" i="272"/>
  <c r="L35" i="272"/>
  <c r="L29" i="272"/>
  <c r="O17" i="271"/>
  <c r="L17" i="272"/>
  <c r="O13" i="271"/>
  <c r="L13" i="272"/>
  <c r="O12" i="271"/>
  <c r="L12" i="272"/>
  <c r="D11" i="14"/>
  <c r="E11" i="14" s="1"/>
  <c r="D12" i="14"/>
  <c r="E12" i="14" s="1"/>
  <c r="D13" i="14"/>
  <c r="E13" i="14" s="1"/>
  <c r="D14" i="14"/>
  <c r="E14" i="14" s="1"/>
  <c r="D15" i="14"/>
  <c r="E15" i="14" s="1"/>
  <c r="D16" i="14"/>
  <c r="E16" i="14" s="1"/>
  <c r="D10" i="14"/>
  <c r="E10" i="14" s="1"/>
  <c r="L39" i="240"/>
  <c r="M39" i="240" s="1"/>
  <c r="L40" i="240"/>
  <c r="M40" i="240" s="1"/>
  <c r="L41" i="240"/>
  <c r="M41" i="240" s="1"/>
  <c r="L42" i="240"/>
  <c r="M42" i="240" s="1"/>
  <c r="L43" i="240"/>
  <c r="M43" i="240" s="1"/>
  <c r="L44" i="240"/>
  <c r="M44" i="240" s="1"/>
  <c r="L38" i="240"/>
  <c r="M38" i="240" s="1"/>
  <c r="D39" i="240"/>
  <c r="E39" i="240" s="1"/>
  <c r="D40" i="240"/>
  <c r="E40" i="240" s="1"/>
  <c r="D41" i="240"/>
  <c r="E41" i="240" s="1"/>
  <c r="D42" i="240"/>
  <c r="E42" i="240" s="1"/>
  <c r="D43" i="240"/>
  <c r="E43" i="240" s="1"/>
  <c r="D44" i="240"/>
  <c r="E44" i="240" s="1"/>
  <c r="D38" i="240"/>
  <c r="E38" i="240" s="1"/>
  <c r="L11" i="240"/>
  <c r="M11" i="240" s="1"/>
  <c r="L12" i="240"/>
  <c r="M12" i="240" s="1"/>
  <c r="L13" i="240"/>
  <c r="M13" i="240" s="1"/>
  <c r="L14" i="240"/>
  <c r="M14" i="240" s="1"/>
  <c r="L15" i="240"/>
  <c r="M15" i="240" s="1"/>
  <c r="L16" i="240"/>
  <c r="M16" i="240" s="1"/>
  <c r="L10" i="240"/>
  <c r="M10" i="240" s="1"/>
  <c r="B42" i="266"/>
  <c r="H41" i="266"/>
  <c r="E41" i="266"/>
  <c r="C41" i="266"/>
  <c r="H40" i="266"/>
  <c r="E40" i="266"/>
  <c r="C40" i="266"/>
  <c r="H39" i="266"/>
  <c r="E39" i="266"/>
  <c r="C39" i="266"/>
  <c r="H38" i="266"/>
  <c r="E38" i="266"/>
  <c r="C38" i="266"/>
  <c r="H37" i="266"/>
  <c r="E37" i="266"/>
  <c r="C37" i="266"/>
  <c r="H36" i="266"/>
  <c r="E36" i="266"/>
  <c r="C36" i="266"/>
  <c r="H35" i="266"/>
  <c r="E35" i="266"/>
  <c r="C35" i="266"/>
  <c r="H34" i="266"/>
  <c r="E34" i="266"/>
  <c r="C34" i="266"/>
  <c r="H33" i="266"/>
  <c r="E33" i="266"/>
  <c r="C33" i="266"/>
  <c r="H32" i="266"/>
  <c r="E32" i="266"/>
  <c r="C32" i="266"/>
  <c r="H31" i="266"/>
  <c r="E31" i="266"/>
  <c r="C31" i="266"/>
  <c r="H30" i="266"/>
  <c r="E30" i="266"/>
  <c r="C30" i="266"/>
  <c r="H29" i="266"/>
  <c r="E29" i="266"/>
  <c r="C29" i="266"/>
  <c r="H28" i="266"/>
  <c r="E28" i="266"/>
  <c r="C28" i="266"/>
  <c r="H27" i="266"/>
  <c r="E27" i="266"/>
  <c r="C27" i="266"/>
  <c r="H26" i="266"/>
  <c r="E26" i="266"/>
  <c r="C26" i="266"/>
  <c r="H25" i="266"/>
  <c r="E25" i="266"/>
  <c r="C25" i="266"/>
  <c r="H24" i="266"/>
  <c r="E24" i="266"/>
  <c r="C24" i="266"/>
  <c r="H23" i="266"/>
  <c r="E23" i="266"/>
  <c r="C23" i="266"/>
  <c r="H22" i="266"/>
  <c r="E22" i="266"/>
  <c r="C22" i="266"/>
  <c r="H21" i="266"/>
  <c r="E21" i="266"/>
  <c r="C21" i="266"/>
  <c r="H20" i="266"/>
  <c r="E20" i="266"/>
  <c r="C20" i="266"/>
  <c r="H19" i="266"/>
  <c r="E19" i="266"/>
  <c r="C19" i="266"/>
  <c r="H18" i="266"/>
  <c r="E18" i="266"/>
  <c r="C18" i="266"/>
  <c r="H17" i="266"/>
  <c r="E17" i="266"/>
  <c r="C17" i="266"/>
  <c r="H16" i="266"/>
  <c r="E16" i="266"/>
  <c r="C16" i="266"/>
  <c r="H15" i="266"/>
  <c r="E15" i="266"/>
  <c r="C15" i="266"/>
  <c r="H14" i="266"/>
  <c r="E14" i="266"/>
  <c r="C14" i="266"/>
  <c r="H13" i="266"/>
  <c r="E13" i="266"/>
  <c r="C13" i="266"/>
  <c r="H12" i="266"/>
  <c r="E12" i="266"/>
  <c r="C12" i="266"/>
  <c r="H11" i="266"/>
  <c r="E11" i="266"/>
  <c r="C11" i="266"/>
  <c r="H10" i="266"/>
  <c r="E10" i="266"/>
  <c r="C10" i="266"/>
  <c r="B41" i="262"/>
  <c r="F23" i="266" l="1"/>
  <c r="F10" i="266"/>
  <c r="F20" i="266"/>
  <c r="F24" i="266"/>
  <c r="F32" i="266"/>
  <c r="F36" i="266"/>
  <c r="F39" i="266"/>
  <c r="F18" i="266"/>
  <c r="F22" i="266"/>
  <c r="F26" i="266"/>
  <c r="F30" i="266"/>
  <c r="F34" i="266"/>
  <c r="I35" i="266"/>
  <c r="I39" i="266"/>
  <c r="F17" i="266"/>
  <c r="F29" i="266"/>
  <c r="F33" i="266"/>
  <c r="F38" i="266"/>
  <c r="I29" i="266"/>
  <c r="I33" i="266"/>
  <c r="I17" i="266"/>
  <c r="I14" i="266"/>
  <c r="I16" i="266"/>
  <c r="F11" i="266"/>
  <c r="F41" i="266"/>
  <c r="I11" i="266"/>
  <c r="F14" i="266"/>
  <c r="I26" i="266"/>
  <c r="I41" i="266"/>
  <c r="F12" i="266"/>
  <c r="I19" i="266"/>
  <c r="I23" i="266"/>
  <c r="I38" i="266"/>
  <c r="I40" i="266"/>
  <c r="I30" i="266"/>
  <c r="F37" i="266"/>
  <c r="H43" i="266"/>
  <c r="F13" i="266"/>
  <c r="I15" i="266"/>
  <c r="I18" i="266"/>
  <c r="I21" i="266"/>
  <c r="F25" i="266"/>
  <c r="I27" i="266"/>
  <c r="F31" i="266"/>
  <c r="I34" i="266"/>
  <c r="I37" i="266"/>
  <c r="F40" i="266"/>
  <c r="C43" i="266"/>
  <c r="I13" i="266"/>
  <c r="F16" i="266"/>
  <c r="F19" i="266"/>
  <c r="I22" i="266"/>
  <c r="I25" i="266"/>
  <c r="F28" i="266"/>
  <c r="I31" i="266"/>
  <c r="F35" i="266"/>
  <c r="F15" i="266"/>
  <c r="F21" i="266"/>
  <c r="F27" i="266"/>
  <c r="I28" i="266"/>
  <c r="I36" i="266"/>
  <c r="E43" i="266"/>
  <c r="I12" i="266"/>
  <c r="I20" i="266"/>
  <c r="I24" i="266"/>
  <c r="I32" i="266"/>
  <c r="I10" i="266"/>
  <c r="C41" i="262"/>
  <c r="I43" i="266" l="1"/>
  <c r="F43" i="266"/>
  <c r="A11" i="134"/>
  <c r="A12" i="134"/>
  <c r="A13" i="134"/>
  <c r="A14" i="134"/>
  <c r="A15" i="134"/>
  <c r="A16" i="134"/>
  <c r="A17" i="134"/>
  <c r="C11" i="134"/>
  <c r="C12" i="134"/>
  <c r="C13" i="134"/>
  <c r="C14" i="134"/>
  <c r="C15" i="134"/>
  <c r="C16" i="134"/>
  <c r="C17" i="134"/>
  <c r="F11" i="134"/>
  <c r="F12" i="134"/>
  <c r="F13" i="134"/>
  <c r="F14" i="134"/>
  <c r="F15" i="134"/>
  <c r="F16" i="134"/>
  <c r="F17" i="134"/>
  <c r="H11" i="134"/>
  <c r="H12" i="134"/>
  <c r="H13" i="134"/>
  <c r="H14" i="134"/>
  <c r="H15" i="134"/>
  <c r="H16" i="134"/>
  <c r="H17" i="134"/>
  <c r="F10" i="134"/>
  <c r="C10" i="134"/>
  <c r="A10" i="134"/>
  <c r="Q37" i="263"/>
  <c r="J31" i="263"/>
  <c r="O23" i="263"/>
  <c r="E39" i="263"/>
  <c r="L23" i="263"/>
  <c r="H22" i="263"/>
  <c r="S20" i="263"/>
  <c r="T36" i="263"/>
  <c r="O16" i="263"/>
  <c r="G22" i="263"/>
  <c r="P14" i="263"/>
  <c r="U10" i="263"/>
  <c r="T26" i="263"/>
  <c r="Q41" i="263"/>
  <c r="N28" i="263"/>
  <c r="V30" i="263"/>
  <c r="C11" i="263"/>
  <c r="U18" i="263"/>
  <c r="K40" i="263"/>
  <c r="R34" i="263"/>
  <c r="H28" i="263"/>
  <c r="D21" i="263"/>
  <c r="K36" i="263"/>
  <c r="H31" i="263"/>
  <c r="J36" i="263"/>
  <c r="G30" i="263"/>
  <c r="T14" i="263"/>
  <c r="U9" i="263"/>
  <c r="R38" i="263"/>
  <c r="J39" i="263"/>
  <c r="D39" i="263"/>
  <c r="G26" i="263"/>
  <c r="E13" i="263"/>
  <c r="K17" i="263"/>
  <c r="I29" i="263"/>
  <c r="T32" i="263"/>
  <c r="Q32" i="263"/>
  <c r="H21" i="263"/>
  <c r="R36" i="263"/>
  <c r="F25" i="263"/>
  <c r="U22" i="263"/>
  <c r="T21" i="263"/>
  <c r="H16" i="263"/>
  <c r="V20" i="263"/>
  <c r="O24" i="263"/>
  <c r="H18" i="263"/>
  <c r="P19" i="263"/>
  <c r="L32" i="263"/>
  <c r="S13" i="263"/>
  <c r="R25" i="263"/>
  <c r="V17" i="263"/>
  <c r="Q30" i="263"/>
  <c r="I28" i="263"/>
  <c r="S24" i="263"/>
  <c r="E35" i="263"/>
  <c r="L17" i="263"/>
  <c r="F34" i="263"/>
  <c r="P16" i="263"/>
  <c r="Q18" i="263"/>
  <c r="H30" i="263"/>
  <c r="U19" i="263"/>
  <c r="N12" i="263"/>
  <c r="V41" i="263"/>
  <c r="O10" i="263"/>
  <c r="R15" i="263"/>
  <c r="Q34" i="263"/>
  <c r="M39" i="263"/>
  <c r="V38" i="263"/>
  <c r="O17" i="263"/>
  <c r="N40" i="263"/>
  <c r="L11" i="263"/>
  <c r="M11" i="263"/>
  <c r="E15" i="263"/>
  <c r="S9" i="263"/>
  <c r="I37" i="263"/>
  <c r="R19" i="263"/>
  <c r="F26" i="263"/>
  <c r="I30" i="263"/>
  <c r="M12" i="263"/>
  <c r="F19" i="263"/>
  <c r="K16" i="263"/>
  <c r="T33" i="263"/>
  <c r="E40" i="262"/>
  <c r="E17" i="262"/>
  <c r="E39" i="262"/>
  <c r="E12" i="262"/>
  <c r="E21" i="262"/>
  <c r="F38" i="262"/>
  <c r="E11" i="262"/>
  <c r="E33" i="262"/>
  <c r="C20" i="263"/>
  <c r="F31" i="263"/>
  <c r="C41" i="263"/>
  <c r="D36" i="263"/>
  <c r="D40" i="263"/>
  <c r="D38" i="263"/>
  <c r="F9" i="263"/>
  <c r="T31" i="263"/>
  <c r="M27" i="263"/>
  <c r="T10" i="263"/>
  <c r="V31" i="263"/>
  <c r="H17" i="263"/>
  <c r="F28" i="263"/>
  <c r="Q15" i="263"/>
  <c r="F18" i="262"/>
  <c r="K35" i="263"/>
  <c r="P37" i="263"/>
  <c r="P24" i="263"/>
  <c r="D10" i="263"/>
  <c r="G11" i="263"/>
  <c r="D24" i="263"/>
  <c r="H41" i="263"/>
  <c r="V14" i="263"/>
  <c r="U25" i="263"/>
  <c r="E38" i="263"/>
  <c r="T24" i="263"/>
  <c r="E31" i="263"/>
  <c r="E14" i="263"/>
  <c r="K29" i="263"/>
  <c r="J19" i="263"/>
  <c r="J37" i="263"/>
  <c r="N37" i="263"/>
  <c r="K12" i="263"/>
  <c r="L33" i="263"/>
  <c r="V33" i="263"/>
  <c r="J26" i="263"/>
  <c r="H34" i="263"/>
  <c r="T16" i="263"/>
  <c r="R18" i="263"/>
  <c r="E16" i="263"/>
  <c r="S36" i="263"/>
  <c r="I38" i="263"/>
  <c r="O21" i="263"/>
  <c r="M18" i="263"/>
  <c r="Q19" i="263"/>
  <c r="R41" i="263"/>
  <c r="U35" i="263"/>
  <c r="N30" i="263"/>
  <c r="O13" i="263"/>
  <c r="G9" i="263"/>
  <c r="M21" i="263"/>
  <c r="E23" i="263"/>
  <c r="S12" i="263"/>
  <c r="E40" i="263"/>
  <c r="C22" i="263"/>
  <c r="D30" i="263"/>
  <c r="U38" i="263"/>
  <c r="P12" i="263"/>
  <c r="E28" i="263"/>
  <c r="K10" i="263"/>
  <c r="S40" i="263"/>
  <c r="K31" i="263"/>
  <c r="P30" i="263"/>
  <c r="Q28" i="263"/>
  <c r="D18" i="263"/>
  <c r="C31" i="263"/>
  <c r="O15" i="263"/>
  <c r="M40" i="263"/>
  <c r="E26" i="263"/>
  <c r="P23" i="263"/>
  <c r="M37" i="263"/>
  <c r="R13" i="263"/>
  <c r="P38" i="263"/>
  <c r="K24" i="263"/>
  <c r="E17" i="263"/>
  <c r="G13" i="263"/>
  <c r="N33" i="263"/>
  <c r="R22" i="263"/>
  <c r="Q22" i="263"/>
  <c r="C9" i="263"/>
  <c r="I39" i="263"/>
  <c r="G39" i="263"/>
  <c r="S27" i="263"/>
  <c r="R27" i="263"/>
  <c r="L15" i="263"/>
  <c r="Q13" i="263"/>
  <c r="S25" i="263"/>
  <c r="O34" i="263"/>
  <c r="M32" i="263"/>
  <c r="H15" i="263"/>
  <c r="M30" i="263"/>
  <c r="P26" i="263"/>
  <c r="T22" i="263"/>
  <c r="C23" i="263"/>
  <c r="M16" i="263"/>
  <c r="G21" i="263"/>
  <c r="N21" i="263"/>
  <c r="L41" i="263"/>
  <c r="E32" i="262"/>
  <c r="E20" i="262"/>
  <c r="F13" i="262"/>
  <c r="F31" i="262"/>
  <c r="F19" i="262"/>
  <c r="E19" i="262"/>
  <c r="E23" i="262"/>
  <c r="E30" i="262"/>
  <c r="V19" i="263"/>
  <c r="L19" i="263"/>
  <c r="E21" i="263"/>
  <c r="J28" i="263"/>
  <c r="F16" i="263"/>
  <c r="D11" i="263"/>
  <c r="T41" i="263"/>
  <c r="I9" i="263"/>
  <c r="E31" i="262"/>
  <c r="I12" i="263"/>
  <c r="K15" i="263"/>
  <c r="D25" i="263"/>
  <c r="D29" i="263"/>
  <c r="R24" i="263"/>
  <c r="O14" i="263"/>
  <c r="V11" i="263"/>
  <c r="G20" i="263"/>
  <c r="O30" i="263"/>
  <c r="L38" i="263"/>
  <c r="T19" i="263"/>
  <c r="F23" i="263"/>
  <c r="O28" i="263"/>
  <c r="O25" i="263"/>
  <c r="L26" i="263"/>
  <c r="F22" i="263"/>
  <c r="S17" i="263"/>
  <c r="P39" i="263"/>
  <c r="G12" i="263"/>
  <c r="C34" i="263"/>
  <c r="P33" i="263"/>
  <c r="E36" i="263"/>
  <c r="C33" i="263"/>
  <c r="D41" i="263"/>
  <c r="F10" i="263"/>
  <c r="P27" i="263"/>
  <c r="S19" i="263"/>
  <c r="T18" i="263"/>
  <c r="I36" i="263"/>
  <c r="D12" i="263"/>
  <c r="G25" i="263"/>
  <c r="N36" i="263"/>
  <c r="F32" i="263"/>
  <c r="S34" i="263"/>
  <c r="C21" i="263"/>
  <c r="R33" i="263"/>
  <c r="F30" i="263"/>
  <c r="L12" i="263"/>
  <c r="D37" i="263"/>
  <c r="R9" i="263"/>
  <c r="S37" i="263"/>
  <c r="G17" i="263"/>
  <c r="I23" i="263"/>
  <c r="S33" i="263"/>
  <c r="R26" i="263"/>
  <c r="S38" i="263"/>
  <c r="H12" i="263"/>
  <c r="K37" i="263"/>
  <c r="F24" i="263"/>
  <c r="I19" i="263"/>
  <c r="P9" i="263"/>
  <c r="R40" i="263"/>
  <c r="N11" i="263"/>
  <c r="P35" i="263"/>
  <c r="H40" i="263"/>
  <c r="C16" i="263"/>
  <c r="U32" i="263"/>
  <c r="U37" i="263"/>
  <c r="T30" i="263"/>
  <c r="J22" i="263"/>
  <c r="I16" i="263"/>
  <c r="U33" i="263"/>
  <c r="U41" i="263"/>
  <c r="E9" i="263"/>
  <c r="E20" i="263"/>
  <c r="C27" i="263"/>
  <c r="F21" i="263"/>
  <c r="R28" i="263"/>
  <c r="J41" i="263"/>
  <c r="V23" i="263"/>
  <c r="C36" i="263"/>
  <c r="G34" i="263"/>
  <c r="R39" i="263"/>
  <c r="P17" i="263"/>
  <c r="F33" i="263"/>
  <c r="Q26" i="263"/>
  <c r="I24" i="263"/>
  <c r="C12" i="263"/>
  <c r="N34" i="263"/>
  <c r="H9" i="263"/>
  <c r="T40" i="263"/>
  <c r="G19" i="263"/>
  <c r="T15" i="263"/>
  <c r="E16" i="262"/>
  <c r="E18" i="262"/>
  <c r="E38" i="262"/>
  <c r="E27" i="262"/>
  <c r="F10" i="262"/>
  <c r="E25" i="262"/>
  <c r="F40" i="262"/>
  <c r="E34" i="262"/>
  <c r="H14" i="263"/>
  <c r="E34" i="263"/>
  <c r="C17" i="263"/>
  <c r="U13" i="263"/>
  <c r="L37" i="263"/>
  <c r="I22" i="263"/>
  <c r="U39" i="263"/>
  <c r="F41" i="263"/>
  <c r="U29" i="263"/>
  <c r="F20" i="262"/>
  <c r="M20" i="263"/>
  <c r="M9" i="263"/>
  <c r="K18" i="263"/>
  <c r="K22" i="263"/>
  <c r="N20" i="263"/>
  <c r="N32" i="263"/>
  <c r="S22" i="263"/>
  <c r="N23" i="263"/>
  <c r="T27" i="263"/>
  <c r="L22" i="263"/>
  <c r="J24" i="263"/>
  <c r="J20" i="263"/>
  <c r="D27" i="263"/>
  <c r="M28" i="263"/>
  <c r="I34" i="263"/>
  <c r="C38" i="263"/>
  <c r="J10" i="263"/>
  <c r="E25" i="263"/>
  <c r="I33" i="263"/>
  <c r="S23" i="263"/>
  <c r="C30" i="263"/>
  <c r="J9" i="263"/>
  <c r="I17" i="263"/>
  <c r="J17" i="263"/>
  <c r="K30" i="263"/>
  <c r="P18" i="263"/>
  <c r="N29" i="263"/>
  <c r="G31" i="263"/>
  <c r="U40" i="263"/>
  <c r="D34" i="263"/>
  <c r="C13" i="263"/>
  <c r="C29" i="263"/>
  <c r="E27" i="263"/>
  <c r="G33" i="263"/>
  <c r="S15" i="263"/>
  <c r="T35" i="263"/>
  <c r="M41" i="263"/>
  <c r="L25" i="263"/>
  <c r="E22" i="263"/>
  <c r="R12" i="263"/>
  <c r="L16" i="263"/>
  <c r="I32" i="263"/>
  <c r="P22" i="263"/>
  <c r="H23" i="263"/>
  <c r="J38" i="263"/>
  <c r="P21" i="263"/>
  <c r="V32" i="263"/>
  <c r="O40" i="263"/>
  <c r="C25" i="263"/>
  <c r="E19" i="263"/>
  <c r="U26" i="263"/>
  <c r="Q35" i="263"/>
  <c r="C18" i="263"/>
  <c r="O29" i="263"/>
  <c r="S35" i="263"/>
  <c r="O26" i="263"/>
  <c r="G24" i="263"/>
  <c r="J29" i="263"/>
  <c r="N15" i="263"/>
  <c r="H27" i="263"/>
  <c r="P32" i="263"/>
  <c r="K33" i="263"/>
  <c r="J18" i="263"/>
  <c r="M25" i="263"/>
  <c r="M29" i="263"/>
  <c r="H38" i="263"/>
  <c r="V27" i="263"/>
  <c r="I20" i="263"/>
  <c r="J13" i="263"/>
  <c r="V37" i="263"/>
  <c r="Q24" i="263"/>
  <c r="L14" i="263"/>
  <c r="L27" i="263"/>
  <c r="P31" i="263"/>
  <c r="I26" i="263"/>
  <c r="S14" i="263"/>
  <c r="I31" i="263"/>
  <c r="O35" i="263"/>
  <c r="Q29" i="263"/>
  <c r="T11" i="263"/>
  <c r="I40" i="263"/>
  <c r="K39" i="263"/>
  <c r="N22" i="263"/>
  <c r="F11" i="262"/>
  <c r="E35" i="262"/>
  <c r="F37" i="262"/>
  <c r="E9" i="262"/>
  <c r="F21" i="262"/>
  <c r="F29" i="262"/>
  <c r="F15" i="262"/>
  <c r="F34" i="262"/>
  <c r="R10" i="263"/>
  <c r="O19" i="263"/>
  <c r="N27" i="263"/>
  <c r="S26" i="263"/>
  <c r="N9" i="263"/>
  <c r="N16" i="263"/>
  <c r="T13" i="263"/>
  <c r="O33" i="263"/>
  <c r="G29" i="263"/>
  <c r="E30" i="263"/>
  <c r="P36" i="263"/>
  <c r="M23" i="263"/>
  <c r="E15" i="262"/>
  <c r="G37" i="263"/>
  <c r="G16" i="263"/>
  <c r="J33" i="263"/>
  <c r="N35" i="263"/>
  <c r="J32" i="263"/>
  <c r="J30" i="263"/>
  <c r="U36" i="263"/>
  <c r="H37" i="263"/>
  <c r="D15" i="263"/>
  <c r="L18" i="263"/>
  <c r="M22" i="263"/>
  <c r="I21" i="263"/>
  <c r="G15" i="263"/>
  <c r="L28" i="263"/>
  <c r="G41" i="263"/>
  <c r="R32" i="263"/>
  <c r="Q9" i="263"/>
  <c r="N17" i="263"/>
  <c r="V25" i="263"/>
  <c r="K32" i="263"/>
  <c r="G32" i="263"/>
  <c r="J15" i="263"/>
  <c r="J23" i="263"/>
  <c r="O11" i="263"/>
  <c r="N38" i="263"/>
  <c r="S32" i="263"/>
  <c r="M19" i="263"/>
  <c r="R31" i="263"/>
  <c r="F13" i="263"/>
  <c r="Q33" i="263"/>
  <c r="S29" i="263"/>
  <c r="K38" i="263"/>
  <c r="Q21" i="263"/>
  <c r="L21" i="263"/>
  <c r="J16" i="263"/>
  <c r="F17" i="263"/>
  <c r="K11" i="263"/>
  <c r="H11" i="263"/>
  <c r="G28" i="263"/>
  <c r="O32" i="263"/>
  <c r="T9" i="263"/>
  <c r="S41" i="263"/>
  <c r="V15" i="263"/>
  <c r="K28" i="263"/>
  <c r="H32" i="263"/>
  <c r="M10" i="263"/>
  <c r="V40" i="263"/>
  <c r="J14" i="263"/>
  <c r="F20" i="263"/>
  <c r="E29" i="263"/>
  <c r="D26" i="263"/>
  <c r="S31" i="263"/>
  <c r="U28" i="263"/>
  <c r="P15" i="263"/>
  <c r="E33" i="263"/>
  <c r="K13" i="263"/>
  <c r="U17" i="263"/>
  <c r="U34" i="263"/>
  <c r="Q27" i="263"/>
  <c r="P10" i="263"/>
  <c r="F29" i="263"/>
  <c r="F37" i="263"/>
  <c r="T29" i="263"/>
  <c r="S21" i="263"/>
  <c r="H36" i="263"/>
  <c r="M31" i="263"/>
  <c r="O36" i="263"/>
  <c r="I27" i="263"/>
  <c r="G18" i="263"/>
  <c r="U12" i="263"/>
  <c r="D32" i="263"/>
  <c r="J21" i="263"/>
  <c r="P13" i="263"/>
  <c r="M15" i="263"/>
  <c r="L29" i="263"/>
  <c r="N13" i="263"/>
  <c r="V34" i="263"/>
  <c r="I11" i="263"/>
  <c r="E32" i="263"/>
  <c r="K34" i="263"/>
  <c r="H35" i="263"/>
  <c r="C26" i="263"/>
  <c r="U31" i="263"/>
  <c r="F17" i="262"/>
  <c r="E37" i="262"/>
  <c r="F32" i="262"/>
  <c r="F12" i="262"/>
  <c r="F14" i="262"/>
  <c r="F27" i="262"/>
  <c r="F24" i="262"/>
  <c r="F16" i="262"/>
  <c r="P11" i="263"/>
  <c r="E24" i="263"/>
  <c r="R21" i="263"/>
  <c r="H25" i="263"/>
  <c r="K14" i="263"/>
  <c r="O37" i="263"/>
  <c r="L9" i="263"/>
  <c r="T37" i="263"/>
  <c r="O12" i="263"/>
  <c r="H29" i="263"/>
  <c r="F18" i="263"/>
  <c r="O39" i="263"/>
  <c r="E26" i="262"/>
  <c r="F30" i="262"/>
  <c r="O27" i="263"/>
  <c r="S28" i="263"/>
  <c r="F27" i="263"/>
  <c r="L31" i="263"/>
  <c r="S39" i="263"/>
  <c r="D22" i="263"/>
  <c r="D28" i="263"/>
  <c r="O20" i="263"/>
  <c r="F39" i="263"/>
  <c r="J35" i="263"/>
  <c r="J11" i="263"/>
  <c r="D23" i="263"/>
  <c r="R17" i="263"/>
  <c r="Q17" i="263"/>
  <c r="M36" i="263"/>
  <c r="J25" i="263"/>
  <c r="V39" i="263"/>
  <c r="J27" i="263"/>
  <c r="C10" i="263"/>
  <c r="M33" i="263"/>
  <c r="G35" i="263"/>
  <c r="Q23" i="263"/>
  <c r="I18" i="263"/>
  <c r="D16" i="263"/>
  <c r="R35" i="263"/>
  <c r="P41" i="263"/>
  <c r="R20" i="263"/>
  <c r="R30" i="263"/>
  <c r="L10" i="263"/>
  <c r="Q39" i="263"/>
  <c r="I41" i="263"/>
  <c r="V26" i="263"/>
  <c r="J34" i="263"/>
  <c r="C14" i="263"/>
  <c r="M13" i="263"/>
  <c r="N14" i="263"/>
  <c r="V35" i="263"/>
  <c r="P40" i="263"/>
  <c r="C19" i="263"/>
  <c r="M38" i="263"/>
  <c r="N25" i="263"/>
  <c r="Q25" i="263"/>
  <c r="P34" i="263"/>
  <c r="D20" i="263"/>
  <c r="C32" i="263"/>
  <c r="T28" i="263"/>
  <c r="I35" i="263"/>
  <c r="V28" i="263"/>
  <c r="P25" i="263"/>
  <c r="U27" i="263"/>
  <c r="L34" i="263"/>
  <c r="L24" i="263"/>
  <c r="U23" i="263"/>
  <c r="T17" i="263"/>
  <c r="G40" i="263"/>
  <c r="S18" i="263"/>
  <c r="G38" i="263"/>
  <c r="Q36" i="263"/>
  <c r="D31" i="263"/>
  <c r="C15" i="263"/>
  <c r="N41" i="263"/>
  <c r="O41" i="263"/>
  <c r="V13" i="263"/>
  <c r="H19" i="263"/>
  <c r="H13" i="263"/>
  <c r="V24" i="263"/>
  <c r="O38" i="263"/>
  <c r="D13" i="263"/>
  <c r="T23" i="263"/>
  <c r="U16" i="263"/>
  <c r="I10" i="263"/>
  <c r="V22" i="263"/>
  <c r="G14" i="263"/>
  <c r="L30" i="263"/>
  <c r="Q20" i="263"/>
  <c r="U15" i="263"/>
  <c r="L40" i="263"/>
  <c r="P28" i="263"/>
  <c r="N10" i="263"/>
  <c r="D9" i="263"/>
  <c r="O31" i="263"/>
  <c r="V29" i="263"/>
  <c r="F36" i="262"/>
  <c r="E41" i="262"/>
  <c r="F39" i="262"/>
  <c r="E29" i="262"/>
  <c r="F22" i="262"/>
  <c r="F23" i="262"/>
  <c r="F41" i="262"/>
  <c r="F9" i="262"/>
  <c r="E28" i="262"/>
  <c r="L39" i="263"/>
  <c r="H10" i="263"/>
  <c r="C28" i="263"/>
  <c r="U14" i="263"/>
  <c r="K19" i="263"/>
  <c r="H33" i="263"/>
  <c r="D17" i="263"/>
  <c r="I13" i="263"/>
  <c r="F11" i="263"/>
  <c r="F14" i="263"/>
  <c r="O18" i="263"/>
  <c r="G10" i="263"/>
  <c r="H20" i="263"/>
  <c r="E14" i="262"/>
  <c r="F25" i="262"/>
  <c r="K23" i="263"/>
  <c r="U21" i="263"/>
  <c r="G23" i="263"/>
  <c r="I15" i="263"/>
  <c r="U24" i="263"/>
  <c r="R23" i="263"/>
  <c r="N39" i="263"/>
  <c r="S30" i="263"/>
  <c r="U20" i="263"/>
  <c r="F40" i="263"/>
  <c r="U11" i="263"/>
  <c r="N26" i="263"/>
  <c r="V21" i="263"/>
  <c r="V18" i="263"/>
  <c r="I25" i="263"/>
  <c r="U30" i="263"/>
  <c r="T25" i="263"/>
  <c r="I14" i="263"/>
  <c r="C37" i="263"/>
  <c r="P29" i="263"/>
  <c r="G36" i="263"/>
  <c r="H26" i="263"/>
  <c r="O9" i="263"/>
  <c r="K26" i="263"/>
  <c r="P20" i="263"/>
  <c r="L36" i="263"/>
  <c r="R29" i="263"/>
  <c r="J12" i="263"/>
  <c r="C40" i="263"/>
  <c r="K9" i="263"/>
  <c r="H39" i="263"/>
  <c r="T39" i="263"/>
  <c r="Q12" i="263"/>
  <c r="M26" i="263"/>
  <c r="D19" i="263"/>
  <c r="V12" i="263"/>
  <c r="F36" i="263"/>
  <c r="F15" i="263"/>
  <c r="F12" i="263"/>
  <c r="Q16" i="263"/>
  <c r="S11" i="263"/>
  <c r="M14" i="263"/>
  <c r="D33" i="263"/>
  <c r="Q31" i="263"/>
  <c r="N19" i="263"/>
  <c r="E12" i="263"/>
  <c r="K21" i="263"/>
  <c r="Q14" i="263"/>
  <c r="H24" i="263"/>
  <c r="V9" i="263"/>
  <c r="V36" i="263"/>
  <c r="T34" i="263"/>
  <c r="T20" i="263"/>
  <c r="K20" i="263"/>
  <c r="R37" i="263"/>
  <c r="D35" i="263"/>
  <c r="K25" i="263"/>
  <c r="N24" i="263"/>
  <c r="S10" i="263"/>
  <c r="L13" i="263"/>
  <c r="K27" i="263"/>
  <c r="Q38" i="263"/>
  <c r="S16" i="263"/>
  <c r="D14" i="263"/>
  <c r="J40" i="263"/>
  <c r="E41" i="263"/>
  <c r="K41" i="263"/>
  <c r="R16" i="263"/>
  <c r="N31" i="263"/>
  <c r="R11" i="263"/>
  <c r="C35" i="263"/>
  <c r="L20" i="263"/>
  <c r="E11" i="263"/>
  <c r="M34" i="263"/>
  <c r="T38" i="263"/>
  <c r="Q11" i="263"/>
  <c r="E10" i="263"/>
  <c r="F35" i="263"/>
  <c r="E18" i="263"/>
  <c r="M24" i="263"/>
  <c r="V16" i="263"/>
  <c r="O22" i="263"/>
  <c r="F35" i="262"/>
  <c r="F26" i="262"/>
  <c r="E10" i="262"/>
  <c r="F33" i="262"/>
  <c r="E36" i="262"/>
  <c r="F28" i="262"/>
  <c r="E24" i="262"/>
  <c r="E22" i="262"/>
  <c r="G27" i="263"/>
  <c r="N18" i="263"/>
  <c r="M35" i="263"/>
  <c r="F38" i="263"/>
  <c r="Q10" i="263"/>
  <c r="C39" i="263"/>
  <c r="C24" i="263"/>
  <c r="R14" i="263"/>
  <c r="M17" i="263"/>
  <c r="E37" i="263"/>
  <c r="L35" i="263"/>
  <c r="V10" i="263"/>
  <c r="Q40" i="263"/>
  <c r="T12" i="263"/>
  <c r="E13" i="262"/>
  <c r="W20" i="263" l="1"/>
  <c r="C38" i="262"/>
  <c r="H38" i="262" s="1"/>
  <c r="I41" i="262"/>
  <c r="W14" i="263"/>
  <c r="C30" i="262"/>
  <c r="I30" i="262" s="1"/>
  <c r="C19" i="262"/>
  <c r="H19" i="262" s="1"/>
  <c r="W23" i="263"/>
  <c r="C23" i="262"/>
  <c r="H23" i="262" s="1"/>
  <c r="W37" i="263"/>
  <c r="C24" i="262"/>
  <c r="H24" i="262" s="1"/>
  <c r="C28" i="262"/>
  <c r="I28" i="262" s="1"/>
  <c r="W39" i="263"/>
  <c r="W15" i="263"/>
  <c r="W36" i="263"/>
  <c r="W21" i="263"/>
  <c r="J42" i="263"/>
  <c r="G42" i="263"/>
  <c r="C34" i="262"/>
  <c r="I34" i="262" s="1"/>
  <c r="H34" i="262"/>
  <c r="W33" i="263"/>
  <c r="C31" i="262"/>
  <c r="H31" i="262" s="1"/>
  <c r="W13" i="263"/>
  <c r="C9" i="262"/>
  <c r="H9" i="262" s="1"/>
  <c r="E42" i="262"/>
  <c r="W12" i="263"/>
  <c r="W38" i="263"/>
  <c r="C29" i="262"/>
  <c r="I29" i="262" s="1"/>
  <c r="W10" i="263"/>
  <c r="C22" i="262"/>
  <c r="H22" i="262" s="1"/>
  <c r="C14" i="262"/>
  <c r="I14" i="262" s="1"/>
  <c r="F42" i="262"/>
  <c r="W26" i="263"/>
  <c r="C26" i="262"/>
  <c r="H26" i="262" s="1"/>
  <c r="C10" i="262"/>
  <c r="I10" i="262" s="1"/>
  <c r="W18" i="263"/>
  <c r="Q42" i="263"/>
  <c r="W9" i="263"/>
  <c r="C42" i="263"/>
  <c r="H41" i="262"/>
  <c r="W31" i="263"/>
  <c r="C20" i="262"/>
  <c r="H20" i="262" s="1"/>
  <c r="C35" i="262"/>
  <c r="H35" i="262" s="1"/>
  <c r="C33" i="262"/>
  <c r="H33" i="262" s="1"/>
  <c r="W32" i="263"/>
  <c r="W40" i="263"/>
  <c r="C12" i="262"/>
  <c r="I12" i="262" s="1"/>
  <c r="P42" i="263"/>
  <c r="O42" i="263"/>
  <c r="C15" i="262"/>
  <c r="I15" i="262" s="1"/>
  <c r="C17" i="262"/>
  <c r="H17" i="262" s="1"/>
  <c r="W29" i="263"/>
  <c r="N42" i="263"/>
  <c r="W35" i="263"/>
  <c r="S42" i="263"/>
  <c r="C36" i="262"/>
  <c r="H36" i="262" s="1"/>
  <c r="W11" i="263"/>
  <c r="C13" i="262"/>
  <c r="H13" i="262" s="1"/>
  <c r="U42" i="263"/>
  <c r="L42" i="263"/>
  <c r="E42" i="263"/>
  <c r="F42" i="263"/>
  <c r="C32" i="262"/>
  <c r="H32" i="262" s="1"/>
  <c r="I42" i="263"/>
  <c r="C21" i="262"/>
  <c r="H21" i="262" s="1"/>
  <c r="W17" i="263"/>
  <c r="W41" i="263"/>
  <c r="C16" i="262"/>
  <c r="H16" i="262" s="1"/>
  <c r="M42" i="263"/>
  <c r="W19" i="263"/>
  <c r="W34" i="263"/>
  <c r="R42" i="263"/>
  <c r="W25" i="263"/>
  <c r="C25" i="262"/>
  <c r="H25" i="262" s="1"/>
  <c r="W22" i="263"/>
  <c r="C11" i="262"/>
  <c r="H11" i="262" s="1"/>
  <c r="V42" i="263"/>
  <c r="W30" i="263"/>
  <c r="K42" i="263"/>
  <c r="C40" i="262"/>
  <c r="H40" i="262" s="1"/>
  <c r="C18" i="262"/>
  <c r="H18" i="262" s="1"/>
  <c r="T42" i="263"/>
  <c r="W27" i="263"/>
  <c r="C27" i="262"/>
  <c r="H27" i="262" s="1"/>
  <c r="W16" i="263"/>
  <c r="W24" i="263"/>
  <c r="H42" i="263"/>
  <c r="C39" i="262"/>
  <c r="H39" i="262" s="1"/>
  <c r="C37" i="262"/>
  <c r="H37" i="262" s="1"/>
  <c r="W28" i="263"/>
  <c r="D42" i="263"/>
  <c r="J17" i="134"/>
  <c r="J13" i="134"/>
  <c r="J12" i="134"/>
  <c r="J16" i="134"/>
  <c r="J10" i="134"/>
  <c r="J15" i="134"/>
  <c r="J11" i="134"/>
  <c r="J14" i="134"/>
  <c r="I11" i="262" l="1"/>
  <c r="H28" i="262"/>
  <c r="I32" i="262"/>
  <c r="I19" i="262"/>
  <c r="I24" i="262"/>
  <c r="I23" i="262"/>
  <c r="H30" i="262"/>
  <c r="I22" i="262"/>
  <c r="I38" i="262"/>
  <c r="H29" i="262"/>
  <c r="I36" i="262"/>
  <c r="C42" i="262"/>
  <c r="H42" i="262" s="1"/>
  <c r="I33" i="262"/>
  <c r="I9" i="262"/>
  <c r="I39" i="262"/>
  <c r="I21" i="262"/>
  <c r="I16" i="262"/>
  <c r="I13" i="262"/>
  <c r="I40" i="262"/>
  <c r="H14" i="262"/>
  <c r="H12" i="262"/>
  <c r="H15" i="262"/>
  <c r="I27" i="262"/>
  <c r="I25" i="262"/>
  <c r="W42" i="263"/>
  <c r="I26" i="262"/>
  <c r="I20" i="262"/>
  <c r="I37" i="262"/>
  <c r="I35" i="262"/>
  <c r="I18" i="262"/>
  <c r="I31" i="262"/>
  <c r="H10" i="262"/>
  <c r="I17" i="262"/>
  <c r="I42" i="262" l="1"/>
  <c r="A69" i="147"/>
  <c r="A70" i="147"/>
  <c r="A71" i="147"/>
  <c r="A72" i="147"/>
  <c r="A73" i="147"/>
  <c r="A74" i="147"/>
  <c r="A75" i="147"/>
  <c r="A68" i="147"/>
  <c r="D50" i="147"/>
  <c r="E50" i="147"/>
  <c r="F50" i="147"/>
  <c r="G50" i="147"/>
  <c r="H50" i="147"/>
  <c r="I50" i="147"/>
  <c r="J50" i="147"/>
  <c r="K50" i="147"/>
  <c r="L50" i="147"/>
  <c r="M50" i="147"/>
  <c r="N50" i="147"/>
  <c r="O50" i="147"/>
  <c r="P50" i="147"/>
  <c r="Q50" i="147"/>
  <c r="R50" i="147"/>
  <c r="S50" i="147"/>
  <c r="T50" i="147"/>
  <c r="U50" i="147"/>
  <c r="V50" i="147"/>
  <c r="W50" i="147"/>
  <c r="X50" i="147"/>
  <c r="Y50" i="147"/>
  <c r="C50" i="147"/>
  <c r="B50" i="147"/>
  <c r="A50" i="147"/>
  <c r="A33" i="147"/>
  <c r="A34" i="147"/>
  <c r="A35" i="147"/>
  <c r="A36" i="147"/>
  <c r="A37" i="147"/>
  <c r="A38" i="147"/>
  <c r="A39" i="147"/>
  <c r="A32" i="147"/>
  <c r="A13" i="147"/>
  <c r="B13" i="147"/>
  <c r="C13" i="147"/>
  <c r="D13" i="147"/>
  <c r="E13" i="147"/>
  <c r="F13" i="147"/>
  <c r="G13" i="147"/>
  <c r="H13" i="147"/>
  <c r="I13" i="147"/>
  <c r="J13" i="147"/>
  <c r="K13" i="147"/>
  <c r="L13" i="147"/>
  <c r="M13" i="147"/>
  <c r="N13" i="147"/>
  <c r="O13" i="147"/>
  <c r="P13" i="147"/>
  <c r="Q13" i="147"/>
  <c r="R13" i="147"/>
  <c r="S13" i="147"/>
  <c r="T13" i="147"/>
  <c r="U13" i="147"/>
  <c r="V13" i="147"/>
  <c r="W13" i="147"/>
  <c r="X13" i="147"/>
  <c r="Y13" i="147"/>
  <c r="A14" i="147"/>
  <c r="B14" i="147"/>
  <c r="C14" i="147"/>
  <c r="D14" i="147"/>
  <c r="E14" i="147"/>
  <c r="F14" i="147"/>
  <c r="G14" i="147"/>
  <c r="H14" i="147"/>
  <c r="I14" i="147"/>
  <c r="J14" i="147"/>
  <c r="K14" i="147"/>
  <c r="L14" i="147"/>
  <c r="M14" i="147"/>
  <c r="N14" i="147"/>
  <c r="O14" i="147"/>
  <c r="P14" i="147"/>
  <c r="Q14" i="147"/>
  <c r="R14" i="147"/>
  <c r="S14" i="147"/>
  <c r="T14" i="147"/>
  <c r="U14" i="147"/>
  <c r="V14" i="147"/>
  <c r="W14" i="147"/>
  <c r="X14" i="147"/>
  <c r="Y14" i="147"/>
  <c r="A15" i="147"/>
  <c r="B15" i="147"/>
  <c r="C15" i="147"/>
  <c r="D15" i="147"/>
  <c r="E15" i="147"/>
  <c r="F15" i="147"/>
  <c r="G15" i="147"/>
  <c r="H15" i="147"/>
  <c r="I15" i="147"/>
  <c r="J15" i="147"/>
  <c r="K15" i="147"/>
  <c r="L15" i="147"/>
  <c r="M15" i="147"/>
  <c r="N15" i="147"/>
  <c r="O15" i="147"/>
  <c r="P15" i="147"/>
  <c r="Q15" i="147"/>
  <c r="R15" i="147"/>
  <c r="S15" i="147"/>
  <c r="T15" i="147"/>
  <c r="U15" i="147"/>
  <c r="V15" i="147"/>
  <c r="W15" i="147"/>
  <c r="X15" i="147"/>
  <c r="Y15" i="147"/>
  <c r="A16" i="147"/>
  <c r="B16" i="147"/>
  <c r="C16" i="147"/>
  <c r="D16" i="147"/>
  <c r="E16" i="147"/>
  <c r="F16" i="147"/>
  <c r="G16" i="147"/>
  <c r="H16" i="147"/>
  <c r="I16" i="147"/>
  <c r="J16" i="147"/>
  <c r="K16" i="147"/>
  <c r="L16" i="147"/>
  <c r="M16" i="147"/>
  <c r="N16" i="147"/>
  <c r="O16" i="147"/>
  <c r="P16" i="147"/>
  <c r="Q16" i="147"/>
  <c r="R16" i="147"/>
  <c r="S16" i="147"/>
  <c r="T16" i="147"/>
  <c r="U16" i="147"/>
  <c r="V16" i="147"/>
  <c r="W16" i="147"/>
  <c r="X16" i="147"/>
  <c r="Y16" i="147"/>
  <c r="A17" i="147"/>
  <c r="B17" i="147"/>
  <c r="C17" i="147"/>
  <c r="D17" i="147"/>
  <c r="E17" i="147"/>
  <c r="F17" i="147"/>
  <c r="G17" i="147"/>
  <c r="H17" i="147"/>
  <c r="I17" i="147"/>
  <c r="J17" i="147"/>
  <c r="K17" i="147"/>
  <c r="L17" i="147"/>
  <c r="M17" i="147"/>
  <c r="N17" i="147"/>
  <c r="O17" i="147"/>
  <c r="P17" i="147"/>
  <c r="Q17" i="147"/>
  <c r="R17" i="147"/>
  <c r="S17" i="147"/>
  <c r="T17" i="147"/>
  <c r="U17" i="147"/>
  <c r="V17" i="147"/>
  <c r="W17" i="147"/>
  <c r="X17" i="147"/>
  <c r="Y17" i="147"/>
  <c r="A18" i="147"/>
  <c r="B18" i="147"/>
  <c r="C18" i="147"/>
  <c r="D18" i="147"/>
  <c r="E18" i="147"/>
  <c r="F18" i="147"/>
  <c r="G18" i="147"/>
  <c r="H18" i="147"/>
  <c r="I18" i="147"/>
  <c r="J18" i="147"/>
  <c r="K18" i="147"/>
  <c r="L18" i="147"/>
  <c r="M18" i="147"/>
  <c r="N18" i="147"/>
  <c r="O18" i="147"/>
  <c r="P18" i="147"/>
  <c r="Q18" i="147"/>
  <c r="R18" i="147"/>
  <c r="S18" i="147"/>
  <c r="T18" i="147"/>
  <c r="U18" i="147"/>
  <c r="V18" i="147"/>
  <c r="W18" i="147"/>
  <c r="X18" i="147"/>
  <c r="Y18" i="147"/>
  <c r="A19" i="147"/>
  <c r="B19" i="147"/>
  <c r="B39" i="147" s="1"/>
  <c r="C19" i="147"/>
  <c r="C39" i="147" s="1"/>
  <c r="D19" i="147"/>
  <c r="D39" i="147" s="1"/>
  <c r="E19" i="147"/>
  <c r="E39" i="147" s="1"/>
  <c r="F19" i="147"/>
  <c r="F39" i="147" s="1"/>
  <c r="G19" i="147"/>
  <c r="G39" i="147" s="1"/>
  <c r="H19" i="147"/>
  <c r="H39" i="147" s="1"/>
  <c r="I19" i="147"/>
  <c r="I39" i="147" s="1"/>
  <c r="J19" i="147"/>
  <c r="J39" i="147" s="1"/>
  <c r="K19" i="147"/>
  <c r="K39" i="147" s="1"/>
  <c r="L19" i="147"/>
  <c r="L39" i="147" s="1"/>
  <c r="M19" i="147"/>
  <c r="M39" i="147" s="1"/>
  <c r="N19" i="147"/>
  <c r="N39" i="147" s="1"/>
  <c r="O19" i="147"/>
  <c r="O39" i="147" s="1"/>
  <c r="P19" i="147"/>
  <c r="P39" i="147" s="1"/>
  <c r="Q19" i="147"/>
  <c r="Q39" i="147" s="1"/>
  <c r="R19" i="147"/>
  <c r="R39" i="147" s="1"/>
  <c r="S19" i="147"/>
  <c r="S39" i="147" s="1"/>
  <c r="T19" i="147"/>
  <c r="T39" i="147" s="1"/>
  <c r="U19" i="147"/>
  <c r="U39" i="147" s="1"/>
  <c r="V19" i="147"/>
  <c r="V39" i="147" s="1"/>
  <c r="W19" i="147"/>
  <c r="W39" i="147" s="1"/>
  <c r="X19" i="147"/>
  <c r="X39" i="147" s="1"/>
  <c r="Y19" i="147"/>
  <c r="Y39" i="147" s="1"/>
  <c r="C12" i="147"/>
  <c r="D12" i="147"/>
  <c r="E12" i="147"/>
  <c r="F12" i="147"/>
  <c r="G12" i="147"/>
  <c r="H12" i="147"/>
  <c r="I12" i="147"/>
  <c r="J12" i="147"/>
  <c r="K12" i="147"/>
  <c r="L12" i="147"/>
  <c r="M12" i="147"/>
  <c r="N12" i="147"/>
  <c r="O12" i="147"/>
  <c r="P12" i="147"/>
  <c r="Q12" i="147"/>
  <c r="R12" i="147"/>
  <c r="S12" i="147"/>
  <c r="T12" i="147"/>
  <c r="U12" i="147"/>
  <c r="V12" i="147"/>
  <c r="W12" i="147"/>
  <c r="X12" i="147"/>
  <c r="Y12" i="147"/>
  <c r="B12" i="147"/>
  <c r="A12" i="147"/>
  <c r="A64" i="146"/>
  <c r="B64" i="146"/>
  <c r="C64" i="146"/>
  <c r="D64" i="146"/>
  <c r="E64" i="146"/>
  <c r="F64" i="146"/>
  <c r="G64" i="146"/>
  <c r="H64" i="146"/>
  <c r="I64" i="146"/>
  <c r="J64" i="146"/>
  <c r="K64" i="146"/>
  <c r="L64" i="146"/>
  <c r="M64" i="146"/>
  <c r="N64" i="146"/>
  <c r="O64" i="146"/>
  <c r="P64" i="146"/>
  <c r="Q64" i="146"/>
  <c r="R64" i="146"/>
  <c r="S64" i="146"/>
  <c r="T64" i="146"/>
  <c r="U64" i="146"/>
  <c r="V64" i="146"/>
  <c r="W64" i="146"/>
  <c r="X64" i="146"/>
  <c r="Y64" i="146"/>
  <c r="A65" i="146"/>
  <c r="B65" i="146"/>
  <c r="C65" i="146"/>
  <c r="D65" i="146"/>
  <c r="E65" i="146"/>
  <c r="F65" i="146"/>
  <c r="G65" i="146"/>
  <c r="H65" i="146"/>
  <c r="I65" i="146"/>
  <c r="J65" i="146"/>
  <c r="K65" i="146"/>
  <c r="L65" i="146"/>
  <c r="M65" i="146"/>
  <c r="N65" i="146"/>
  <c r="O65" i="146"/>
  <c r="P65" i="146"/>
  <c r="Q65" i="146"/>
  <c r="R65" i="146"/>
  <c r="S65" i="146"/>
  <c r="T65" i="146"/>
  <c r="U65" i="146"/>
  <c r="V65" i="146"/>
  <c r="W65" i="146"/>
  <c r="X65" i="146"/>
  <c r="Y65" i="146"/>
  <c r="A66" i="146"/>
  <c r="B66" i="146"/>
  <c r="C66" i="146"/>
  <c r="D66" i="146"/>
  <c r="E66" i="146"/>
  <c r="F66" i="146"/>
  <c r="G66" i="146"/>
  <c r="H66" i="146"/>
  <c r="I66" i="146"/>
  <c r="J66" i="146"/>
  <c r="K66" i="146"/>
  <c r="L66" i="146"/>
  <c r="M66" i="146"/>
  <c r="N66" i="146"/>
  <c r="O66" i="146"/>
  <c r="P66" i="146"/>
  <c r="Q66" i="146"/>
  <c r="R66" i="146"/>
  <c r="S66" i="146"/>
  <c r="T66" i="146"/>
  <c r="U66" i="146"/>
  <c r="V66" i="146"/>
  <c r="W66" i="146"/>
  <c r="X66" i="146"/>
  <c r="Y66" i="146"/>
  <c r="A67" i="146"/>
  <c r="B67" i="146"/>
  <c r="C67" i="146"/>
  <c r="D67" i="146"/>
  <c r="E67" i="146"/>
  <c r="F67" i="146"/>
  <c r="G67" i="146"/>
  <c r="H67" i="146"/>
  <c r="I67" i="146"/>
  <c r="J67" i="146"/>
  <c r="K67" i="146"/>
  <c r="L67" i="146"/>
  <c r="M67" i="146"/>
  <c r="N67" i="146"/>
  <c r="O67" i="146"/>
  <c r="P67" i="146"/>
  <c r="Q67" i="146"/>
  <c r="R67" i="146"/>
  <c r="S67" i="146"/>
  <c r="T67" i="146"/>
  <c r="U67" i="146"/>
  <c r="V67" i="146"/>
  <c r="W67" i="146"/>
  <c r="X67" i="146"/>
  <c r="Y67" i="146"/>
  <c r="A68" i="146"/>
  <c r="B68" i="146"/>
  <c r="C68" i="146"/>
  <c r="D68" i="146"/>
  <c r="E68" i="146"/>
  <c r="F68" i="146"/>
  <c r="G68" i="146"/>
  <c r="H68" i="146"/>
  <c r="I68" i="146"/>
  <c r="J68" i="146"/>
  <c r="K68" i="146"/>
  <c r="L68" i="146"/>
  <c r="M68" i="146"/>
  <c r="N68" i="146"/>
  <c r="O68" i="146"/>
  <c r="P68" i="146"/>
  <c r="Q68" i="146"/>
  <c r="R68" i="146"/>
  <c r="S68" i="146"/>
  <c r="T68" i="146"/>
  <c r="U68" i="146"/>
  <c r="V68" i="146"/>
  <c r="W68" i="146"/>
  <c r="X68" i="146"/>
  <c r="Y68" i="146"/>
  <c r="A69" i="146"/>
  <c r="B69" i="146"/>
  <c r="C69" i="146"/>
  <c r="D69" i="146"/>
  <c r="E69" i="146"/>
  <c r="F69" i="146"/>
  <c r="G69" i="146"/>
  <c r="H69" i="146"/>
  <c r="I69" i="146"/>
  <c r="J69" i="146"/>
  <c r="K69" i="146"/>
  <c r="L69" i="146"/>
  <c r="M69" i="146"/>
  <c r="N69" i="146"/>
  <c r="O69" i="146"/>
  <c r="P69" i="146"/>
  <c r="Q69" i="146"/>
  <c r="R69" i="146"/>
  <c r="S69" i="146"/>
  <c r="T69" i="146"/>
  <c r="U69" i="146"/>
  <c r="V69" i="146"/>
  <c r="W69" i="146"/>
  <c r="X69" i="146"/>
  <c r="Y69" i="146"/>
  <c r="C63" i="146"/>
  <c r="D63" i="146"/>
  <c r="E63" i="146"/>
  <c r="F63" i="146"/>
  <c r="G63" i="146"/>
  <c r="H63" i="146"/>
  <c r="I63" i="146"/>
  <c r="J63" i="146"/>
  <c r="K63" i="146"/>
  <c r="L63" i="146"/>
  <c r="M63" i="146"/>
  <c r="N63" i="146"/>
  <c r="O63" i="146"/>
  <c r="P63" i="146"/>
  <c r="Q63" i="146"/>
  <c r="R63" i="146"/>
  <c r="S63" i="146"/>
  <c r="T63" i="146"/>
  <c r="U63" i="146"/>
  <c r="V63" i="146"/>
  <c r="W63" i="146"/>
  <c r="X63" i="146"/>
  <c r="Y63" i="146"/>
  <c r="B63" i="146"/>
  <c r="A47" i="146"/>
  <c r="B47" i="146"/>
  <c r="C47" i="146"/>
  <c r="D47" i="146"/>
  <c r="E47" i="146"/>
  <c r="F47" i="146"/>
  <c r="G47" i="146"/>
  <c r="H47" i="146"/>
  <c r="I47" i="146"/>
  <c r="J47" i="146"/>
  <c r="K47" i="146"/>
  <c r="L47" i="146"/>
  <c r="M47" i="146"/>
  <c r="N47" i="146"/>
  <c r="O47" i="146"/>
  <c r="P47" i="146"/>
  <c r="Q47" i="146"/>
  <c r="R47" i="146"/>
  <c r="S47" i="146"/>
  <c r="T47" i="146"/>
  <c r="U47" i="146"/>
  <c r="V47" i="146"/>
  <c r="W47" i="146"/>
  <c r="X47" i="146"/>
  <c r="Y47" i="146"/>
  <c r="A48" i="146"/>
  <c r="B48" i="146"/>
  <c r="C48" i="146"/>
  <c r="D48" i="146"/>
  <c r="E48" i="146"/>
  <c r="F48" i="146"/>
  <c r="G48" i="146"/>
  <c r="H48" i="146"/>
  <c r="I48" i="146"/>
  <c r="J48" i="146"/>
  <c r="K48" i="146"/>
  <c r="L48" i="146"/>
  <c r="M48" i="146"/>
  <c r="N48" i="146"/>
  <c r="O48" i="146"/>
  <c r="P48" i="146"/>
  <c r="Q48" i="146"/>
  <c r="R48" i="146"/>
  <c r="S48" i="146"/>
  <c r="T48" i="146"/>
  <c r="U48" i="146"/>
  <c r="V48" i="146"/>
  <c r="W48" i="146"/>
  <c r="X48" i="146"/>
  <c r="Y48" i="146"/>
  <c r="A49" i="146"/>
  <c r="B49" i="146"/>
  <c r="C49" i="146"/>
  <c r="D49" i="146"/>
  <c r="E49" i="146"/>
  <c r="F49" i="146"/>
  <c r="G49" i="146"/>
  <c r="H49" i="146"/>
  <c r="I49" i="146"/>
  <c r="J49" i="146"/>
  <c r="K49" i="146"/>
  <c r="L49" i="146"/>
  <c r="M49" i="146"/>
  <c r="N49" i="146"/>
  <c r="O49" i="146"/>
  <c r="P49" i="146"/>
  <c r="Q49" i="146"/>
  <c r="R49" i="146"/>
  <c r="S49" i="146"/>
  <c r="T49" i="146"/>
  <c r="U49" i="146"/>
  <c r="V49" i="146"/>
  <c r="W49" i="146"/>
  <c r="X49" i="146"/>
  <c r="Y49" i="146"/>
  <c r="A50" i="146"/>
  <c r="B50" i="146"/>
  <c r="C50" i="146"/>
  <c r="D50" i="146"/>
  <c r="E50" i="146"/>
  <c r="F50" i="146"/>
  <c r="G50" i="146"/>
  <c r="H50" i="146"/>
  <c r="I50" i="146"/>
  <c r="J50" i="146"/>
  <c r="K50" i="146"/>
  <c r="L50" i="146"/>
  <c r="M50" i="146"/>
  <c r="N50" i="146"/>
  <c r="O50" i="146"/>
  <c r="P50" i="146"/>
  <c r="Q50" i="146"/>
  <c r="R50" i="146"/>
  <c r="S50" i="146"/>
  <c r="T50" i="146"/>
  <c r="U50" i="146"/>
  <c r="V50" i="146"/>
  <c r="W50" i="146"/>
  <c r="X50" i="146"/>
  <c r="Y50" i="146"/>
  <c r="A51" i="146"/>
  <c r="B51" i="146"/>
  <c r="C51" i="146"/>
  <c r="D51" i="146"/>
  <c r="E51" i="146"/>
  <c r="F51" i="146"/>
  <c r="G51" i="146"/>
  <c r="H51" i="146"/>
  <c r="I51" i="146"/>
  <c r="J51" i="146"/>
  <c r="K51" i="146"/>
  <c r="L51" i="146"/>
  <c r="M51" i="146"/>
  <c r="N51" i="146"/>
  <c r="O51" i="146"/>
  <c r="P51" i="146"/>
  <c r="Q51" i="146"/>
  <c r="R51" i="146"/>
  <c r="S51" i="146"/>
  <c r="T51" i="146"/>
  <c r="U51" i="146"/>
  <c r="V51" i="146"/>
  <c r="W51" i="146"/>
  <c r="X51" i="146"/>
  <c r="Y51" i="146"/>
  <c r="A52" i="146"/>
  <c r="B52" i="146"/>
  <c r="C52" i="146"/>
  <c r="D52" i="146"/>
  <c r="E52" i="146"/>
  <c r="F52" i="146"/>
  <c r="G52" i="146"/>
  <c r="H52" i="146"/>
  <c r="I52" i="146"/>
  <c r="J52" i="146"/>
  <c r="K52" i="146"/>
  <c r="L52" i="146"/>
  <c r="M52" i="146"/>
  <c r="N52" i="146"/>
  <c r="O52" i="146"/>
  <c r="P52" i="146"/>
  <c r="Q52" i="146"/>
  <c r="R52" i="146"/>
  <c r="S52" i="146"/>
  <c r="T52" i="146"/>
  <c r="U52" i="146"/>
  <c r="V52" i="146"/>
  <c r="W52" i="146"/>
  <c r="X52" i="146"/>
  <c r="Y52" i="146"/>
  <c r="C46" i="146"/>
  <c r="D46" i="146"/>
  <c r="E46" i="146"/>
  <c r="F46" i="146"/>
  <c r="G46" i="146"/>
  <c r="H46" i="146"/>
  <c r="I46" i="146"/>
  <c r="J46" i="146"/>
  <c r="K46" i="146"/>
  <c r="L46" i="146"/>
  <c r="M46" i="146"/>
  <c r="N46" i="146"/>
  <c r="O46" i="146"/>
  <c r="P46" i="146"/>
  <c r="Q46" i="146"/>
  <c r="R46" i="146"/>
  <c r="S46" i="146"/>
  <c r="T46" i="146"/>
  <c r="U46" i="146"/>
  <c r="V46" i="146"/>
  <c r="W46" i="146"/>
  <c r="X46" i="146"/>
  <c r="Y46" i="146"/>
  <c r="B46" i="146"/>
  <c r="A30" i="146"/>
  <c r="B30" i="146"/>
  <c r="B69" i="147" s="1"/>
  <c r="C30" i="146"/>
  <c r="C69" i="147" s="1"/>
  <c r="D30" i="146"/>
  <c r="D69" i="147" s="1"/>
  <c r="E30" i="146"/>
  <c r="E69" i="147" s="1"/>
  <c r="F30" i="146"/>
  <c r="F69" i="147" s="1"/>
  <c r="G30" i="146"/>
  <c r="G69" i="147" s="1"/>
  <c r="H30" i="146"/>
  <c r="H69" i="147" s="1"/>
  <c r="I30" i="146"/>
  <c r="I69" i="147" s="1"/>
  <c r="J30" i="146"/>
  <c r="J69" i="147" s="1"/>
  <c r="K30" i="146"/>
  <c r="K69" i="147" s="1"/>
  <c r="L30" i="146"/>
  <c r="L69" i="147" s="1"/>
  <c r="M30" i="146"/>
  <c r="M69" i="147" s="1"/>
  <c r="N30" i="146"/>
  <c r="N69" i="147" s="1"/>
  <c r="O30" i="146"/>
  <c r="O69" i="147" s="1"/>
  <c r="P30" i="146"/>
  <c r="P69" i="147" s="1"/>
  <c r="Q30" i="146"/>
  <c r="Q69" i="147" s="1"/>
  <c r="R30" i="146"/>
  <c r="R69" i="147" s="1"/>
  <c r="S30" i="146"/>
  <c r="S69" i="147" s="1"/>
  <c r="T30" i="146"/>
  <c r="T69" i="147" s="1"/>
  <c r="U30" i="146"/>
  <c r="U69" i="147" s="1"/>
  <c r="V30" i="146"/>
  <c r="V69" i="147" s="1"/>
  <c r="W30" i="146"/>
  <c r="W69" i="147" s="1"/>
  <c r="X30" i="146"/>
  <c r="X69" i="147" s="1"/>
  <c r="Y30" i="146"/>
  <c r="Y69" i="147" s="1"/>
  <c r="A31" i="146"/>
  <c r="B31" i="146"/>
  <c r="B70" i="147" s="1"/>
  <c r="C31" i="146"/>
  <c r="C70" i="147" s="1"/>
  <c r="D31" i="146"/>
  <c r="D70" i="147" s="1"/>
  <c r="E31" i="146"/>
  <c r="E70" i="147" s="1"/>
  <c r="F31" i="146"/>
  <c r="F70" i="147" s="1"/>
  <c r="G31" i="146"/>
  <c r="G70" i="147" s="1"/>
  <c r="H31" i="146"/>
  <c r="H70" i="147" s="1"/>
  <c r="I31" i="146"/>
  <c r="I70" i="147" s="1"/>
  <c r="J31" i="146"/>
  <c r="J70" i="147" s="1"/>
  <c r="K31" i="146"/>
  <c r="K70" i="147" s="1"/>
  <c r="L31" i="146"/>
  <c r="L70" i="147" s="1"/>
  <c r="M31" i="146"/>
  <c r="M70" i="147" s="1"/>
  <c r="N31" i="146"/>
  <c r="N70" i="147" s="1"/>
  <c r="O31" i="146"/>
  <c r="O70" i="147" s="1"/>
  <c r="P31" i="146"/>
  <c r="P70" i="147" s="1"/>
  <c r="Q31" i="146"/>
  <c r="Q70" i="147" s="1"/>
  <c r="R31" i="146"/>
  <c r="R70" i="147" s="1"/>
  <c r="S31" i="146"/>
  <c r="S70" i="147" s="1"/>
  <c r="T31" i="146"/>
  <c r="T70" i="147" s="1"/>
  <c r="U31" i="146"/>
  <c r="U70" i="147" s="1"/>
  <c r="V31" i="146"/>
  <c r="V70" i="147" s="1"/>
  <c r="W31" i="146"/>
  <c r="W70" i="147" s="1"/>
  <c r="X31" i="146"/>
  <c r="X70" i="147" s="1"/>
  <c r="Y31" i="146"/>
  <c r="Y70" i="147" s="1"/>
  <c r="A32" i="146"/>
  <c r="B32" i="146"/>
  <c r="B71" i="147" s="1"/>
  <c r="C32" i="146"/>
  <c r="C71" i="147" s="1"/>
  <c r="D32" i="146"/>
  <c r="D71" i="147" s="1"/>
  <c r="E32" i="146"/>
  <c r="E71" i="147" s="1"/>
  <c r="F32" i="146"/>
  <c r="F71" i="147" s="1"/>
  <c r="G32" i="146"/>
  <c r="G71" i="147" s="1"/>
  <c r="H32" i="146"/>
  <c r="H71" i="147" s="1"/>
  <c r="I32" i="146"/>
  <c r="I71" i="147" s="1"/>
  <c r="J32" i="146"/>
  <c r="J71" i="147" s="1"/>
  <c r="K32" i="146"/>
  <c r="K71" i="147" s="1"/>
  <c r="L32" i="146"/>
  <c r="L71" i="147" s="1"/>
  <c r="M32" i="146"/>
  <c r="M71" i="147" s="1"/>
  <c r="N32" i="146"/>
  <c r="N71" i="147" s="1"/>
  <c r="O32" i="146"/>
  <c r="O71" i="147" s="1"/>
  <c r="P32" i="146"/>
  <c r="P71" i="147" s="1"/>
  <c r="Q32" i="146"/>
  <c r="Q71" i="147" s="1"/>
  <c r="R32" i="146"/>
  <c r="R71" i="147" s="1"/>
  <c r="S32" i="146"/>
  <c r="S71" i="147" s="1"/>
  <c r="T32" i="146"/>
  <c r="T71" i="147" s="1"/>
  <c r="U32" i="146"/>
  <c r="U71" i="147" s="1"/>
  <c r="V32" i="146"/>
  <c r="V71" i="147" s="1"/>
  <c r="W32" i="146"/>
  <c r="W71" i="147" s="1"/>
  <c r="X32" i="146"/>
  <c r="X71" i="147" s="1"/>
  <c r="Y32" i="146"/>
  <c r="Y71" i="147" s="1"/>
  <c r="A33" i="146"/>
  <c r="B33" i="146"/>
  <c r="B72" i="147" s="1"/>
  <c r="C33" i="146"/>
  <c r="C72" i="147" s="1"/>
  <c r="D33" i="146"/>
  <c r="D72" i="147" s="1"/>
  <c r="E33" i="146"/>
  <c r="E72" i="147" s="1"/>
  <c r="F33" i="146"/>
  <c r="F72" i="147" s="1"/>
  <c r="G33" i="146"/>
  <c r="G72" i="147" s="1"/>
  <c r="H33" i="146"/>
  <c r="H72" i="147" s="1"/>
  <c r="I33" i="146"/>
  <c r="I72" i="147" s="1"/>
  <c r="J33" i="146"/>
  <c r="J72" i="147" s="1"/>
  <c r="K33" i="146"/>
  <c r="K72" i="147" s="1"/>
  <c r="L33" i="146"/>
  <c r="L72" i="147" s="1"/>
  <c r="M33" i="146"/>
  <c r="M72" i="147" s="1"/>
  <c r="N33" i="146"/>
  <c r="N72" i="147" s="1"/>
  <c r="O33" i="146"/>
  <c r="O72" i="147" s="1"/>
  <c r="P33" i="146"/>
  <c r="P72" i="147" s="1"/>
  <c r="Q33" i="146"/>
  <c r="Q72" i="147" s="1"/>
  <c r="R33" i="146"/>
  <c r="R72" i="147" s="1"/>
  <c r="S33" i="146"/>
  <c r="S72" i="147" s="1"/>
  <c r="T33" i="146"/>
  <c r="T72" i="147" s="1"/>
  <c r="U33" i="146"/>
  <c r="U72" i="147" s="1"/>
  <c r="V33" i="146"/>
  <c r="V72" i="147" s="1"/>
  <c r="W33" i="146"/>
  <c r="W72" i="147" s="1"/>
  <c r="X33" i="146"/>
  <c r="X72" i="147" s="1"/>
  <c r="Y33" i="146"/>
  <c r="Y72" i="147" s="1"/>
  <c r="A34" i="146"/>
  <c r="B34" i="146"/>
  <c r="B73" i="147" s="1"/>
  <c r="C34" i="146"/>
  <c r="C73" i="147" s="1"/>
  <c r="D34" i="146"/>
  <c r="D73" i="147" s="1"/>
  <c r="E34" i="146"/>
  <c r="E73" i="147" s="1"/>
  <c r="F34" i="146"/>
  <c r="F73" i="147" s="1"/>
  <c r="G34" i="146"/>
  <c r="G73" i="147" s="1"/>
  <c r="H34" i="146"/>
  <c r="H73" i="147" s="1"/>
  <c r="I34" i="146"/>
  <c r="I73" i="147" s="1"/>
  <c r="J34" i="146"/>
  <c r="J73" i="147" s="1"/>
  <c r="K34" i="146"/>
  <c r="K73" i="147" s="1"/>
  <c r="L34" i="146"/>
  <c r="L73" i="147" s="1"/>
  <c r="M34" i="146"/>
  <c r="M73" i="147" s="1"/>
  <c r="N34" i="146"/>
  <c r="N73" i="147" s="1"/>
  <c r="O34" i="146"/>
  <c r="O73" i="147" s="1"/>
  <c r="P34" i="146"/>
  <c r="P73" i="147" s="1"/>
  <c r="Q34" i="146"/>
  <c r="Q73" i="147" s="1"/>
  <c r="R34" i="146"/>
  <c r="R73" i="147" s="1"/>
  <c r="S34" i="146"/>
  <c r="S73" i="147" s="1"/>
  <c r="T34" i="146"/>
  <c r="T73" i="147" s="1"/>
  <c r="U34" i="146"/>
  <c r="U73" i="147" s="1"/>
  <c r="V34" i="146"/>
  <c r="V73" i="147" s="1"/>
  <c r="W34" i="146"/>
  <c r="W73" i="147" s="1"/>
  <c r="X34" i="146"/>
  <c r="X73" i="147" s="1"/>
  <c r="Y34" i="146"/>
  <c r="Y73" i="147" s="1"/>
  <c r="A35" i="146"/>
  <c r="B35" i="146"/>
  <c r="B74" i="147" s="1"/>
  <c r="C35" i="146"/>
  <c r="C74" i="147" s="1"/>
  <c r="D35" i="146"/>
  <c r="D74" i="147" s="1"/>
  <c r="E35" i="146"/>
  <c r="E74" i="147" s="1"/>
  <c r="F35" i="146"/>
  <c r="F74" i="147" s="1"/>
  <c r="G35" i="146"/>
  <c r="G74" i="147" s="1"/>
  <c r="H35" i="146"/>
  <c r="H74" i="147" s="1"/>
  <c r="I35" i="146"/>
  <c r="I74" i="147" s="1"/>
  <c r="J35" i="146"/>
  <c r="J74" i="147" s="1"/>
  <c r="K35" i="146"/>
  <c r="K74" i="147" s="1"/>
  <c r="L35" i="146"/>
  <c r="L74" i="147" s="1"/>
  <c r="M35" i="146"/>
  <c r="M74" i="147" s="1"/>
  <c r="N35" i="146"/>
  <c r="N74" i="147" s="1"/>
  <c r="O35" i="146"/>
  <c r="O74" i="147" s="1"/>
  <c r="P35" i="146"/>
  <c r="P74" i="147" s="1"/>
  <c r="Q35" i="146"/>
  <c r="Q74" i="147" s="1"/>
  <c r="R35" i="146"/>
  <c r="R74" i="147" s="1"/>
  <c r="S35" i="146"/>
  <c r="S74" i="147" s="1"/>
  <c r="T35" i="146"/>
  <c r="T74" i="147" s="1"/>
  <c r="U35" i="146"/>
  <c r="U74" i="147" s="1"/>
  <c r="V35" i="146"/>
  <c r="V74" i="147" s="1"/>
  <c r="W35" i="146"/>
  <c r="W74" i="147" s="1"/>
  <c r="X35" i="146"/>
  <c r="X74" i="147" s="1"/>
  <c r="Y35" i="146"/>
  <c r="Y74" i="147" s="1"/>
  <c r="C29" i="146"/>
  <c r="D29" i="146"/>
  <c r="E29" i="146"/>
  <c r="F29" i="146"/>
  <c r="G29" i="146"/>
  <c r="H29" i="146"/>
  <c r="I29" i="146"/>
  <c r="J29" i="146"/>
  <c r="K29" i="146"/>
  <c r="L29" i="146"/>
  <c r="M29" i="146"/>
  <c r="N29" i="146"/>
  <c r="O29" i="146"/>
  <c r="P29" i="146"/>
  <c r="Q29" i="146"/>
  <c r="R29" i="146"/>
  <c r="S29" i="146"/>
  <c r="T29" i="146"/>
  <c r="U29" i="146"/>
  <c r="V29" i="146"/>
  <c r="W29" i="146"/>
  <c r="X29" i="146"/>
  <c r="Y29" i="146"/>
  <c r="B29" i="146"/>
  <c r="A13" i="146"/>
  <c r="B13" i="146"/>
  <c r="C13" i="146"/>
  <c r="D13" i="146"/>
  <c r="E13" i="146"/>
  <c r="F13" i="146"/>
  <c r="G13" i="146"/>
  <c r="H13" i="146"/>
  <c r="I13" i="146"/>
  <c r="J13" i="146"/>
  <c r="K13" i="146"/>
  <c r="L13" i="146"/>
  <c r="M13" i="146"/>
  <c r="N13" i="146"/>
  <c r="O13" i="146"/>
  <c r="P13" i="146"/>
  <c r="Q13" i="146"/>
  <c r="R13" i="146"/>
  <c r="S13" i="146"/>
  <c r="T13" i="146"/>
  <c r="U13" i="146"/>
  <c r="V13" i="146"/>
  <c r="W13" i="146"/>
  <c r="X13" i="146"/>
  <c r="Y13" i="146"/>
  <c r="A14" i="146"/>
  <c r="B14" i="146"/>
  <c r="C14" i="146"/>
  <c r="D14" i="146"/>
  <c r="E14" i="146"/>
  <c r="F14" i="146"/>
  <c r="G14" i="146"/>
  <c r="H14" i="146"/>
  <c r="I14" i="146"/>
  <c r="J14" i="146"/>
  <c r="K14" i="146"/>
  <c r="L14" i="146"/>
  <c r="M14" i="146"/>
  <c r="N14" i="146"/>
  <c r="O14" i="146"/>
  <c r="P14" i="146"/>
  <c r="Q14" i="146"/>
  <c r="R14" i="146"/>
  <c r="S14" i="146"/>
  <c r="T14" i="146"/>
  <c r="U14" i="146"/>
  <c r="V14" i="146"/>
  <c r="W14" i="146"/>
  <c r="X14" i="146"/>
  <c r="Y14" i="146"/>
  <c r="A15" i="146"/>
  <c r="B15" i="146"/>
  <c r="C15" i="146"/>
  <c r="D15" i="146"/>
  <c r="E15" i="146"/>
  <c r="F15" i="146"/>
  <c r="G15" i="146"/>
  <c r="H15" i="146"/>
  <c r="I15" i="146"/>
  <c r="J15" i="146"/>
  <c r="K15" i="146"/>
  <c r="L15" i="146"/>
  <c r="M15" i="146"/>
  <c r="N15" i="146"/>
  <c r="O15" i="146"/>
  <c r="P15" i="146"/>
  <c r="Q15" i="146"/>
  <c r="R15" i="146"/>
  <c r="S15" i="146"/>
  <c r="T15" i="146"/>
  <c r="U15" i="146"/>
  <c r="V15" i="146"/>
  <c r="W15" i="146"/>
  <c r="X15" i="146"/>
  <c r="Y15" i="146"/>
  <c r="A16" i="146"/>
  <c r="B16" i="146"/>
  <c r="C16" i="146"/>
  <c r="D16" i="146"/>
  <c r="E16" i="146"/>
  <c r="F16" i="146"/>
  <c r="G16" i="146"/>
  <c r="H16" i="146"/>
  <c r="I16" i="146"/>
  <c r="J16" i="146"/>
  <c r="K16" i="146"/>
  <c r="L16" i="146"/>
  <c r="M16" i="146"/>
  <c r="N16" i="146"/>
  <c r="O16" i="146"/>
  <c r="P16" i="146"/>
  <c r="Q16" i="146"/>
  <c r="R16" i="146"/>
  <c r="S16" i="146"/>
  <c r="T16" i="146"/>
  <c r="U16" i="146"/>
  <c r="V16" i="146"/>
  <c r="W16" i="146"/>
  <c r="X16" i="146"/>
  <c r="Y16" i="146"/>
  <c r="A17" i="146"/>
  <c r="B17" i="146"/>
  <c r="C17" i="146"/>
  <c r="D17" i="146"/>
  <c r="E17" i="146"/>
  <c r="F17" i="146"/>
  <c r="G17" i="146"/>
  <c r="H17" i="146"/>
  <c r="I17" i="146"/>
  <c r="J17" i="146"/>
  <c r="K17" i="146"/>
  <c r="L17" i="146"/>
  <c r="M17" i="146"/>
  <c r="N17" i="146"/>
  <c r="O17" i="146"/>
  <c r="P17" i="146"/>
  <c r="Q17" i="146"/>
  <c r="R17" i="146"/>
  <c r="S17" i="146"/>
  <c r="T17" i="146"/>
  <c r="U17" i="146"/>
  <c r="V17" i="146"/>
  <c r="W17" i="146"/>
  <c r="X17" i="146"/>
  <c r="Y17" i="146"/>
  <c r="A18" i="146"/>
  <c r="B18" i="146"/>
  <c r="C18" i="146"/>
  <c r="D18" i="146"/>
  <c r="E18" i="146"/>
  <c r="F18" i="146"/>
  <c r="G18" i="146"/>
  <c r="H18" i="146"/>
  <c r="I18" i="146"/>
  <c r="J18" i="146"/>
  <c r="K18" i="146"/>
  <c r="L18" i="146"/>
  <c r="M18" i="146"/>
  <c r="N18" i="146"/>
  <c r="O18" i="146"/>
  <c r="P18" i="146"/>
  <c r="Q18" i="146"/>
  <c r="R18" i="146"/>
  <c r="S18" i="146"/>
  <c r="T18" i="146"/>
  <c r="U18" i="146"/>
  <c r="V18" i="146"/>
  <c r="W18" i="146"/>
  <c r="X18" i="146"/>
  <c r="Y18" i="146"/>
  <c r="D12" i="146"/>
  <c r="E12" i="146"/>
  <c r="F12" i="146"/>
  <c r="G12" i="146"/>
  <c r="H12" i="146"/>
  <c r="I12" i="146"/>
  <c r="J12" i="146"/>
  <c r="K12" i="146"/>
  <c r="L12" i="146"/>
  <c r="M12" i="146"/>
  <c r="N12" i="146"/>
  <c r="O12" i="146"/>
  <c r="P12" i="146"/>
  <c r="Q12" i="146"/>
  <c r="R12" i="146"/>
  <c r="S12" i="146"/>
  <c r="T12" i="146"/>
  <c r="U12" i="146"/>
  <c r="V12" i="146"/>
  <c r="W12" i="146"/>
  <c r="X12" i="146"/>
  <c r="Y12" i="146"/>
  <c r="C12" i="146"/>
  <c r="B12" i="146"/>
  <c r="A63" i="146"/>
  <c r="A46" i="146"/>
  <c r="A29" i="146"/>
  <c r="A12" i="146"/>
  <c r="C49" i="244"/>
  <c r="D49" i="244"/>
  <c r="E49" i="244"/>
  <c r="F49" i="244"/>
  <c r="C50" i="244"/>
  <c r="D50" i="244"/>
  <c r="E50" i="244"/>
  <c r="F50" i="244"/>
  <c r="C51" i="244"/>
  <c r="D51" i="244"/>
  <c r="E51" i="244"/>
  <c r="F51" i="244"/>
  <c r="C52" i="244"/>
  <c r="D52" i="244"/>
  <c r="E52" i="244"/>
  <c r="F52" i="244"/>
  <c r="C53" i="244"/>
  <c r="D53" i="244"/>
  <c r="E53" i="244"/>
  <c r="F53" i="244"/>
  <c r="C54" i="244"/>
  <c r="D54" i="244"/>
  <c r="E54" i="244"/>
  <c r="F54" i="244"/>
  <c r="C55" i="244"/>
  <c r="D55" i="244"/>
  <c r="E55" i="244"/>
  <c r="F55" i="244"/>
  <c r="C56" i="244"/>
  <c r="D56" i="244"/>
  <c r="E56" i="244"/>
  <c r="F56" i="244"/>
  <c r="C57" i="244"/>
  <c r="D57" i="244"/>
  <c r="E57" i="244"/>
  <c r="F57" i="244"/>
  <c r="C58" i="244"/>
  <c r="D58" i="244"/>
  <c r="E58" i="244"/>
  <c r="F58" i="244"/>
  <c r="C59" i="244"/>
  <c r="D59" i="244"/>
  <c r="E59" i="244"/>
  <c r="F59" i="244"/>
  <c r="C60" i="244"/>
  <c r="D60" i="244"/>
  <c r="E60" i="244"/>
  <c r="F60" i="244"/>
  <c r="C61" i="244"/>
  <c r="D61" i="244"/>
  <c r="E61" i="244"/>
  <c r="F61" i="244"/>
  <c r="C62" i="244"/>
  <c r="D62" i="244"/>
  <c r="E62" i="244"/>
  <c r="F62" i="244"/>
  <c r="C63" i="244"/>
  <c r="D63" i="244"/>
  <c r="E63" i="244"/>
  <c r="F63" i="244"/>
  <c r="C64" i="244"/>
  <c r="D64" i="244"/>
  <c r="E64" i="244"/>
  <c r="F64" i="244"/>
  <c r="C65" i="244"/>
  <c r="D65" i="244"/>
  <c r="E65" i="244"/>
  <c r="F65" i="244"/>
  <c r="C66" i="244"/>
  <c r="D66" i="244"/>
  <c r="E66" i="244"/>
  <c r="F66" i="244"/>
  <c r="C67" i="244"/>
  <c r="D67" i="244"/>
  <c r="E67" i="244"/>
  <c r="F67" i="244"/>
  <c r="C68" i="244"/>
  <c r="D68" i="244"/>
  <c r="E68" i="244"/>
  <c r="F68" i="244"/>
  <c r="C69" i="244"/>
  <c r="D69" i="244"/>
  <c r="E69" i="244"/>
  <c r="F69" i="244"/>
  <c r="C70" i="244"/>
  <c r="D70" i="244"/>
  <c r="E70" i="244"/>
  <c r="F70" i="244"/>
  <c r="C71" i="244"/>
  <c r="D71" i="244"/>
  <c r="E71" i="244"/>
  <c r="F71" i="244"/>
  <c r="C72" i="244"/>
  <c r="D72" i="244"/>
  <c r="E72" i="244"/>
  <c r="F72" i="244"/>
  <c r="C73" i="244"/>
  <c r="D73" i="244"/>
  <c r="E73" i="244"/>
  <c r="F73" i="244"/>
  <c r="C74" i="244"/>
  <c r="D74" i="244"/>
  <c r="E74" i="244"/>
  <c r="F74" i="244"/>
  <c r="C75" i="244"/>
  <c r="D75" i="244"/>
  <c r="E75" i="244"/>
  <c r="F75" i="244"/>
  <c r="C76" i="244"/>
  <c r="D76" i="244"/>
  <c r="E76" i="244"/>
  <c r="F76" i="244"/>
  <c r="C77" i="244"/>
  <c r="D77" i="244"/>
  <c r="E77" i="244"/>
  <c r="F77" i="244"/>
  <c r="C78" i="244"/>
  <c r="D78" i="244"/>
  <c r="E78" i="244"/>
  <c r="F78" i="244"/>
  <c r="C79" i="244"/>
  <c r="D79" i="244"/>
  <c r="E79" i="244"/>
  <c r="F79" i="244"/>
  <c r="D48" i="244"/>
  <c r="E48" i="244"/>
  <c r="F48" i="244"/>
  <c r="C48" i="244"/>
  <c r="C11" i="244"/>
  <c r="D11" i="244"/>
  <c r="E11" i="244"/>
  <c r="F11" i="244"/>
  <c r="G11" i="244"/>
  <c r="H11" i="244"/>
  <c r="I11" i="244"/>
  <c r="C12" i="244"/>
  <c r="D12" i="244"/>
  <c r="E12" i="244"/>
  <c r="F12" i="244"/>
  <c r="G12" i="244"/>
  <c r="H12" i="244"/>
  <c r="I12" i="244"/>
  <c r="C13" i="244"/>
  <c r="D13" i="244"/>
  <c r="E13" i="244"/>
  <c r="F13" i="244"/>
  <c r="G13" i="244"/>
  <c r="H13" i="244"/>
  <c r="I13" i="244"/>
  <c r="C14" i="244"/>
  <c r="D14" i="244"/>
  <c r="E14" i="244"/>
  <c r="F14" i="244"/>
  <c r="G14" i="244"/>
  <c r="H14" i="244"/>
  <c r="I14" i="244"/>
  <c r="C15" i="244"/>
  <c r="D15" i="244"/>
  <c r="E15" i="244"/>
  <c r="F15" i="244"/>
  <c r="G15" i="244"/>
  <c r="H15" i="244"/>
  <c r="I15" i="244"/>
  <c r="C16" i="244"/>
  <c r="D16" i="244"/>
  <c r="E16" i="244"/>
  <c r="F16" i="244"/>
  <c r="G16" i="244"/>
  <c r="H16" i="244"/>
  <c r="I16" i="244"/>
  <c r="C17" i="244"/>
  <c r="D17" i="244"/>
  <c r="E17" i="244"/>
  <c r="F17" i="244"/>
  <c r="G17" i="244"/>
  <c r="H17" i="244"/>
  <c r="I17" i="244"/>
  <c r="C18" i="244"/>
  <c r="D18" i="244"/>
  <c r="E18" i="244"/>
  <c r="F18" i="244"/>
  <c r="G18" i="244"/>
  <c r="H18" i="244"/>
  <c r="I18" i="244"/>
  <c r="C19" i="244"/>
  <c r="D19" i="244"/>
  <c r="E19" i="244"/>
  <c r="F19" i="244"/>
  <c r="G19" i="244"/>
  <c r="H19" i="244"/>
  <c r="I19" i="244"/>
  <c r="C20" i="244"/>
  <c r="D20" i="244"/>
  <c r="E20" i="244"/>
  <c r="F20" i="244"/>
  <c r="G20" i="244"/>
  <c r="H20" i="244"/>
  <c r="I20" i="244"/>
  <c r="C21" i="244"/>
  <c r="D21" i="244"/>
  <c r="E21" i="244"/>
  <c r="F21" i="244"/>
  <c r="G21" i="244"/>
  <c r="H21" i="244"/>
  <c r="I21" i="244"/>
  <c r="C22" i="244"/>
  <c r="D22" i="244"/>
  <c r="E22" i="244"/>
  <c r="F22" i="244"/>
  <c r="G22" i="244"/>
  <c r="H22" i="244"/>
  <c r="I22" i="244"/>
  <c r="C23" i="244"/>
  <c r="D23" i="244"/>
  <c r="E23" i="244"/>
  <c r="F23" i="244"/>
  <c r="G23" i="244"/>
  <c r="H23" i="244"/>
  <c r="I23" i="244"/>
  <c r="C24" i="244"/>
  <c r="D24" i="244"/>
  <c r="E24" i="244"/>
  <c r="F24" i="244"/>
  <c r="G24" i="244"/>
  <c r="H24" i="244"/>
  <c r="I24" i="244"/>
  <c r="C25" i="244"/>
  <c r="D25" i="244"/>
  <c r="E25" i="244"/>
  <c r="F25" i="244"/>
  <c r="G25" i="244"/>
  <c r="H25" i="244"/>
  <c r="I25" i="244"/>
  <c r="C26" i="244"/>
  <c r="D26" i="244"/>
  <c r="E26" i="244"/>
  <c r="F26" i="244"/>
  <c r="G26" i="244"/>
  <c r="H26" i="244"/>
  <c r="I26" i="244"/>
  <c r="C27" i="244"/>
  <c r="D27" i="244"/>
  <c r="E27" i="244"/>
  <c r="F27" i="244"/>
  <c r="G27" i="244"/>
  <c r="H27" i="244"/>
  <c r="I27" i="244"/>
  <c r="C28" i="244"/>
  <c r="D28" i="244"/>
  <c r="E28" i="244"/>
  <c r="F28" i="244"/>
  <c r="G28" i="244"/>
  <c r="H28" i="244"/>
  <c r="I28" i="244"/>
  <c r="C29" i="244"/>
  <c r="D29" i="244"/>
  <c r="E29" i="244"/>
  <c r="F29" i="244"/>
  <c r="G29" i="244"/>
  <c r="H29" i="244"/>
  <c r="I29" i="244"/>
  <c r="C30" i="244"/>
  <c r="D30" i="244"/>
  <c r="E30" i="244"/>
  <c r="F30" i="244"/>
  <c r="G30" i="244"/>
  <c r="H30" i="244"/>
  <c r="I30" i="244"/>
  <c r="C31" i="244"/>
  <c r="D31" i="244"/>
  <c r="E31" i="244"/>
  <c r="F31" i="244"/>
  <c r="G31" i="244"/>
  <c r="H31" i="244"/>
  <c r="I31" i="244"/>
  <c r="C32" i="244"/>
  <c r="D32" i="244"/>
  <c r="E32" i="244"/>
  <c r="F32" i="244"/>
  <c r="G32" i="244"/>
  <c r="H32" i="244"/>
  <c r="I32" i="244"/>
  <c r="C33" i="244"/>
  <c r="D33" i="244"/>
  <c r="E33" i="244"/>
  <c r="F33" i="244"/>
  <c r="G33" i="244"/>
  <c r="H33" i="244"/>
  <c r="I33" i="244"/>
  <c r="C34" i="244"/>
  <c r="D34" i="244"/>
  <c r="E34" i="244"/>
  <c r="F34" i="244"/>
  <c r="G34" i="244"/>
  <c r="H34" i="244"/>
  <c r="I34" i="244"/>
  <c r="C35" i="244"/>
  <c r="D35" i="244"/>
  <c r="E35" i="244"/>
  <c r="F35" i="244"/>
  <c r="G35" i="244"/>
  <c r="H35" i="244"/>
  <c r="I35" i="244"/>
  <c r="C36" i="244"/>
  <c r="D36" i="244"/>
  <c r="E36" i="244"/>
  <c r="F36" i="244"/>
  <c r="G36" i="244"/>
  <c r="H36" i="244"/>
  <c r="I36" i="244"/>
  <c r="C37" i="244"/>
  <c r="D37" i="244"/>
  <c r="E37" i="244"/>
  <c r="F37" i="244"/>
  <c r="G37" i="244"/>
  <c r="H37" i="244"/>
  <c r="I37" i="244"/>
  <c r="C38" i="244"/>
  <c r="D38" i="244"/>
  <c r="E38" i="244"/>
  <c r="F38" i="244"/>
  <c r="G38" i="244"/>
  <c r="H38" i="244"/>
  <c r="I38" i="244"/>
  <c r="C39" i="244"/>
  <c r="D39" i="244"/>
  <c r="E39" i="244"/>
  <c r="F39" i="244"/>
  <c r="G39" i="244"/>
  <c r="H39" i="244"/>
  <c r="I39" i="244"/>
  <c r="C40" i="244"/>
  <c r="D40" i="244"/>
  <c r="E40" i="244"/>
  <c r="F40" i="244"/>
  <c r="G40" i="244"/>
  <c r="H40" i="244"/>
  <c r="I40" i="244"/>
  <c r="C41" i="244"/>
  <c r="D41" i="244"/>
  <c r="E41" i="244"/>
  <c r="F41" i="244"/>
  <c r="G41" i="244"/>
  <c r="H41" i="244"/>
  <c r="I41" i="244"/>
  <c r="D10" i="244"/>
  <c r="E10" i="244"/>
  <c r="F10" i="244"/>
  <c r="G10" i="244"/>
  <c r="H10" i="244"/>
  <c r="I10" i="244"/>
  <c r="C10" i="244"/>
  <c r="A27" i="136"/>
  <c r="B27" i="136"/>
  <c r="C27" i="136"/>
  <c r="D27" i="136"/>
  <c r="E27" i="136"/>
  <c r="A28" i="136"/>
  <c r="B28" i="136"/>
  <c r="C28" i="136"/>
  <c r="D28" i="136"/>
  <c r="E28" i="136"/>
  <c r="A29" i="136"/>
  <c r="B29" i="136"/>
  <c r="C29" i="136"/>
  <c r="D29" i="136"/>
  <c r="E29" i="136"/>
  <c r="A30" i="136"/>
  <c r="B30" i="136"/>
  <c r="C30" i="136"/>
  <c r="D30" i="136"/>
  <c r="E30" i="136"/>
  <c r="A31" i="136"/>
  <c r="B31" i="136"/>
  <c r="C31" i="136"/>
  <c r="D31" i="136"/>
  <c r="E31" i="136"/>
  <c r="A32" i="136"/>
  <c r="B32" i="136"/>
  <c r="C32" i="136"/>
  <c r="D32" i="136"/>
  <c r="E32" i="136"/>
  <c r="C26" i="136"/>
  <c r="D26" i="136"/>
  <c r="E26" i="136"/>
  <c r="A26" i="136"/>
  <c r="A11" i="136"/>
  <c r="B11" i="136"/>
  <c r="C11" i="136"/>
  <c r="D11" i="136"/>
  <c r="E11" i="136"/>
  <c r="F11" i="136"/>
  <c r="G11" i="136"/>
  <c r="H11" i="136"/>
  <c r="A12" i="136"/>
  <c r="B12" i="136"/>
  <c r="C12" i="136"/>
  <c r="D12" i="136"/>
  <c r="E12" i="136"/>
  <c r="F12" i="136"/>
  <c r="G12" i="136"/>
  <c r="H12" i="136"/>
  <c r="A13" i="136"/>
  <c r="B13" i="136"/>
  <c r="C13" i="136"/>
  <c r="D13" i="136"/>
  <c r="E13" i="136"/>
  <c r="F13" i="136"/>
  <c r="G13" i="136"/>
  <c r="H13" i="136"/>
  <c r="A14" i="136"/>
  <c r="B14" i="136"/>
  <c r="C14" i="136"/>
  <c r="D14" i="136"/>
  <c r="E14" i="136"/>
  <c r="F14" i="136"/>
  <c r="G14" i="136"/>
  <c r="H14" i="136"/>
  <c r="A15" i="136"/>
  <c r="B15" i="136"/>
  <c r="C15" i="136"/>
  <c r="D15" i="136"/>
  <c r="E15" i="136"/>
  <c r="F15" i="136"/>
  <c r="G15" i="136"/>
  <c r="H15" i="136"/>
  <c r="A16" i="136"/>
  <c r="B16" i="136"/>
  <c r="C16" i="136"/>
  <c r="D16" i="136"/>
  <c r="E16" i="136"/>
  <c r="F16" i="136"/>
  <c r="G16" i="136"/>
  <c r="H16" i="136"/>
  <c r="C10" i="136"/>
  <c r="D10" i="136"/>
  <c r="E10" i="136"/>
  <c r="F10" i="136"/>
  <c r="G10" i="136"/>
  <c r="H10" i="136"/>
  <c r="B10" i="136"/>
  <c r="B26" i="136"/>
  <c r="A10" i="136"/>
  <c r="B27" i="138"/>
  <c r="C27" i="138"/>
  <c r="D27" i="138"/>
  <c r="E27" i="138"/>
  <c r="F27" i="138"/>
  <c r="G27" i="138"/>
  <c r="G27" i="292" s="1"/>
  <c r="H27" i="292" s="1"/>
  <c r="B28" i="138"/>
  <c r="C28" i="138"/>
  <c r="D28" i="138"/>
  <c r="E28" i="138"/>
  <c r="F28" i="138"/>
  <c r="G28" i="138"/>
  <c r="G28" i="292" s="1"/>
  <c r="H28" i="292" s="1"/>
  <c r="B29" i="138"/>
  <c r="C29" i="138"/>
  <c r="D29" i="138"/>
  <c r="E29" i="138"/>
  <c r="F29" i="138"/>
  <c r="G29" i="138"/>
  <c r="G29" i="292" s="1"/>
  <c r="H29" i="292" s="1"/>
  <c r="B30" i="138"/>
  <c r="C30" i="138"/>
  <c r="D30" i="138"/>
  <c r="E30" i="138"/>
  <c r="F30" i="138"/>
  <c r="G30" i="138"/>
  <c r="G30" i="292" s="1"/>
  <c r="H30" i="292" s="1"/>
  <c r="B31" i="138"/>
  <c r="C31" i="138"/>
  <c r="D31" i="138"/>
  <c r="E31" i="138"/>
  <c r="F31" i="138"/>
  <c r="G31" i="138"/>
  <c r="G31" i="292" s="1"/>
  <c r="H31" i="292" s="1"/>
  <c r="B32" i="138"/>
  <c r="C32" i="138"/>
  <c r="D32" i="138"/>
  <c r="E32" i="138"/>
  <c r="F32" i="138"/>
  <c r="G32" i="138"/>
  <c r="G32" i="292" s="1"/>
  <c r="H32" i="292" s="1"/>
  <c r="C26" i="138"/>
  <c r="D26" i="138"/>
  <c r="E26" i="138"/>
  <c r="F26" i="138"/>
  <c r="G26" i="138"/>
  <c r="G26" i="292" s="1"/>
  <c r="H26" i="292" s="1"/>
  <c r="B26" i="138"/>
  <c r="B11" i="138"/>
  <c r="C11" i="138"/>
  <c r="D11" i="138"/>
  <c r="E11" i="138"/>
  <c r="F11" i="138"/>
  <c r="G11" i="138"/>
  <c r="G11" i="292" s="1"/>
  <c r="H11" i="292" s="1"/>
  <c r="B12" i="138"/>
  <c r="C12" i="138"/>
  <c r="D12" i="138"/>
  <c r="E12" i="138"/>
  <c r="F12" i="138"/>
  <c r="G12" i="138"/>
  <c r="G12" i="292" s="1"/>
  <c r="H12" i="292" s="1"/>
  <c r="B13" i="138"/>
  <c r="C13" i="138"/>
  <c r="D13" i="138"/>
  <c r="E13" i="138"/>
  <c r="F13" i="138"/>
  <c r="G13" i="138"/>
  <c r="G13" i="292" s="1"/>
  <c r="H13" i="292" s="1"/>
  <c r="B14" i="138"/>
  <c r="C14" i="138"/>
  <c r="D14" i="138"/>
  <c r="E14" i="138"/>
  <c r="F14" i="138"/>
  <c r="G14" i="138"/>
  <c r="G14" i="292" s="1"/>
  <c r="H14" i="292" s="1"/>
  <c r="B15" i="138"/>
  <c r="C15" i="138"/>
  <c r="D15" i="138"/>
  <c r="E15" i="138"/>
  <c r="F15" i="138"/>
  <c r="G15" i="138"/>
  <c r="G15" i="292" s="1"/>
  <c r="H15" i="292" s="1"/>
  <c r="B16" i="138"/>
  <c r="C16" i="138"/>
  <c r="D16" i="138"/>
  <c r="E16" i="138"/>
  <c r="F16" i="138"/>
  <c r="G16" i="138"/>
  <c r="G16" i="292" s="1"/>
  <c r="H16" i="292" s="1"/>
  <c r="C10" i="138"/>
  <c r="D10" i="138"/>
  <c r="E10" i="138"/>
  <c r="F10" i="138"/>
  <c r="G10" i="138"/>
  <c r="G10" i="292" s="1"/>
  <c r="H10" i="292" s="1"/>
  <c r="B10" i="138"/>
  <c r="A27" i="138"/>
  <c r="A28" i="138"/>
  <c r="A29" i="138"/>
  <c r="A30" i="138"/>
  <c r="A31" i="138"/>
  <c r="A32" i="138"/>
  <c r="A26" i="138"/>
  <c r="A11" i="138"/>
  <c r="A12" i="138"/>
  <c r="A13" i="138"/>
  <c r="A14" i="138"/>
  <c r="A15" i="138"/>
  <c r="A16" i="138"/>
  <c r="A10" i="138"/>
  <c r="C10" i="95"/>
  <c r="C11" i="95"/>
  <c r="C12" i="95"/>
  <c r="C13" i="95"/>
  <c r="C14" i="95"/>
  <c r="C15" i="95"/>
  <c r="C16" i="95"/>
  <c r="C17" i="95"/>
  <c r="C18" i="95"/>
  <c r="C19" i="95"/>
  <c r="C20" i="95"/>
  <c r="C21" i="95"/>
  <c r="C22" i="95"/>
  <c r="C23" i="95"/>
  <c r="C24" i="95"/>
  <c r="C25" i="95"/>
  <c r="C26" i="95"/>
  <c r="C27" i="95"/>
  <c r="C28" i="95"/>
  <c r="C29" i="95"/>
  <c r="C30" i="95"/>
  <c r="C31" i="95"/>
  <c r="C32" i="95"/>
  <c r="C33" i="95"/>
  <c r="C34" i="95"/>
  <c r="C35" i="95"/>
  <c r="C36" i="95"/>
  <c r="C37" i="95"/>
  <c r="C38" i="95"/>
  <c r="C39" i="95"/>
  <c r="C40" i="95"/>
  <c r="C9" i="95"/>
  <c r="Y45" i="147" l="1"/>
  <c r="Y25" i="147"/>
  <c r="Q45" i="147"/>
  <c r="Q25" i="147"/>
  <c r="I25" i="147"/>
  <c r="I45" i="147"/>
  <c r="C81" i="147"/>
  <c r="C63" i="147"/>
  <c r="R81" i="147"/>
  <c r="R63" i="147"/>
  <c r="J81" i="147"/>
  <c r="J63" i="147"/>
  <c r="X45" i="147"/>
  <c r="X25" i="147"/>
  <c r="P45" i="147"/>
  <c r="P25" i="147"/>
  <c r="H45" i="147"/>
  <c r="H25" i="147"/>
  <c r="Y81" i="147"/>
  <c r="Y63" i="147"/>
  <c r="Q81" i="147"/>
  <c r="Q63" i="147"/>
  <c r="I81" i="147"/>
  <c r="I63" i="147"/>
  <c r="W45" i="147"/>
  <c r="W25" i="147"/>
  <c r="O45" i="147"/>
  <c r="O25" i="147"/>
  <c r="G45" i="147"/>
  <c r="G25" i="147"/>
  <c r="X81" i="147"/>
  <c r="X63" i="147"/>
  <c r="P81" i="147"/>
  <c r="P63" i="147"/>
  <c r="H81" i="147"/>
  <c r="H63" i="147"/>
  <c r="V45" i="147"/>
  <c r="V25" i="147"/>
  <c r="N45" i="147"/>
  <c r="N25" i="147"/>
  <c r="F45" i="147"/>
  <c r="F25" i="147"/>
  <c r="W63" i="147"/>
  <c r="W81" i="147"/>
  <c r="O63" i="147"/>
  <c r="O81" i="147"/>
  <c r="G63" i="147"/>
  <c r="G81" i="147"/>
  <c r="U45" i="147"/>
  <c r="U25" i="147"/>
  <c r="M45" i="147"/>
  <c r="M25" i="147"/>
  <c r="E45" i="147"/>
  <c r="E25" i="147"/>
  <c r="V81" i="147"/>
  <c r="V63" i="147"/>
  <c r="N81" i="147"/>
  <c r="N63" i="147"/>
  <c r="F63" i="147"/>
  <c r="F81" i="147"/>
  <c r="T45" i="147"/>
  <c r="T25" i="147"/>
  <c r="L45" i="147"/>
  <c r="L25" i="147"/>
  <c r="D45" i="147"/>
  <c r="D25" i="147"/>
  <c r="U81" i="147"/>
  <c r="U63" i="147"/>
  <c r="M81" i="147"/>
  <c r="M63" i="147"/>
  <c r="E81" i="147"/>
  <c r="E63" i="147"/>
  <c r="S45" i="147"/>
  <c r="S25" i="147"/>
  <c r="K25" i="147"/>
  <c r="K45" i="147"/>
  <c r="C25" i="147"/>
  <c r="C45" i="147"/>
  <c r="T81" i="147"/>
  <c r="T63" i="147"/>
  <c r="L81" i="147"/>
  <c r="L63" i="147"/>
  <c r="D63" i="147"/>
  <c r="D81" i="147"/>
  <c r="B25" i="147"/>
  <c r="B45" i="147"/>
  <c r="R45" i="147"/>
  <c r="R25" i="147"/>
  <c r="J45" i="147"/>
  <c r="J25" i="147"/>
  <c r="B81" i="147"/>
  <c r="B63" i="147"/>
  <c r="S81" i="147"/>
  <c r="S63" i="147"/>
  <c r="K63" i="147"/>
  <c r="K81" i="147"/>
  <c r="B32" i="147"/>
  <c r="R32" i="147"/>
  <c r="J32" i="147"/>
  <c r="R38" i="147"/>
  <c r="J38" i="147"/>
  <c r="B38" i="147"/>
  <c r="S37" i="147"/>
  <c r="K37" i="147"/>
  <c r="C37" i="147"/>
  <c r="T36" i="147"/>
  <c r="L36" i="147"/>
  <c r="D36" i="147"/>
  <c r="U35" i="147"/>
  <c r="M35" i="147"/>
  <c r="E35" i="147"/>
  <c r="V34" i="147"/>
  <c r="N34" i="147"/>
  <c r="F34" i="147"/>
  <c r="W33" i="147"/>
  <c r="O33" i="147"/>
  <c r="G33" i="147"/>
  <c r="B68" i="147"/>
  <c r="Y32" i="147"/>
  <c r="Q32" i="147"/>
  <c r="I32" i="147"/>
  <c r="Y38" i="147"/>
  <c r="Q38" i="147"/>
  <c r="I38" i="147"/>
  <c r="R37" i="147"/>
  <c r="J37" i="147"/>
  <c r="B37" i="147"/>
  <c r="S36" i="147"/>
  <c r="K36" i="147"/>
  <c r="C36" i="147"/>
  <c r="T35" i="147"/>
  <c r="L35" i="147"/>
  <c r="D35" i="147"/>
  <c r="U34" i="147"/>
  <c r="M34" i="147"/>
  <c r="E34" i="147"/>
  <c r="V33" i="147"/>
  <c r="N33" i="147"/>
  <c r="F33" i="147"/>
  <c r="X32" i="147"/>
  <c r="P32" i="147"/>
  <c r="H32" i="147"/>
  <c r="X38" i="147"/>
  <c r="P38" i="147"/>
  <c r="H38" i="147"/>
  <c r="Y37" i="147"/>
  <c r="Q37" i="147"/>
  <c r="I37" i="147"/>
  <c r="R36" i="147"/>
  <c r="J36" i="147"/>
  <c r="B36" i="147"/>
  <c r="S35" i="147"/>
  <c r="K35" i="147"/>
  <c r="C35" i="147"/>
  <c r="T34" i="147"/>
  <c r="L34" i="147"/>
  <c r="D34" i="147"/>
  <c r="U33" i="147"/>
  <c r="M33" i="147"/>
  <c r="E33" i="147"/>
  <c r="W32" i="147"/>
  <c r="O32" i="147"/>
  <c r="G32" i="147"/>
  <c r="W38" i="147"/>
  <c r="O38" i="147"/>
  <c r="G38" i="147"/>
  <c r="X37" i="147"/>
  <c r="P37" i="147"/>
  <c r="H37" i="147"/>
  <c r="Y36" i="147"/>
  <c r="Q36" i="147"/>
  <c r="I36" i="147"/>
  <c r="R35" i="147"/>
  <c r="J35" i="147"/>
  <c r="B35" i="147"/>
  <c r="S34" i="147"/>
  <c r="K34" i="147"/>
  <c r="C34" i="147"/>
  <c r="T33" i="147"/>
  <c r="L33" i="147"/>
  <c r="D33" i="147"/>
  <c r="V32" i="147"/>
  <c r="N32" i="147"/>
  <c r="F32" i="147"/>
  <c r="V38" i="147"/>
  <c r="N38" i="147"/>
  <c r="F38" i="147"/>
  <c r="W37" i="147"/>
  <c r="O37" i="147"/>
  <c r="G37" i="147"/>
  <c r="X36" i="147"/>
  <c r="P36" i="147"/>
  <c r="H36" i="147"/>
  <c r="Y35" i="147"/>
  <c r="Q35" i="147"/>
  <c r="I35" i="147"/>
  <c r="R34" i="147"/>
  <c r="J34" i="147"/>
  <c r="B34" i="147"/>
  <c r="S33" i="147"/>
  <c r="K33" i="147"/>
  <c r="C33" i="147"/>
  <c r="U32" i="147"/>
  <c r="M32" i="147"/>
  <c r="E32" i="147"/>
  <c r="U38" i="147"/>
  <c r="M38" i="147"/>
  <c r="E38" i="147"/>
  <c r="V37" i="147"/>
  <c r="N37" i="147"/>
  <c r="F37" i="147"/>
  <c r="W36" i="147"/>
  <c r="O36" i="147"/>
  <c r="G36" i="147"/>
  <c r="X35" i="147"/>
  <c r="P35" i="147"/>
  <c r="H35" i="147"/>
  <c r="Y34" i="147"/>
  <c r="Q34" i="147"/>
  <c r="I34" i="147"/>
  <c r="R33" i="147"/>
  <c r="J33" i="147"/>
  <c r="B33" i="147"/>
  <c r="T32" i="147"/>
  <c r="L32" i="147"/>
  <c r="D32" i="147"/>
  <c r="T38" i="147"/>
  <c r="L38" i="147"/>
  <c r="D38" i="147"/>
  <c r="U37" i="147"/>
  <c r="M37" i="147"/>
  <c r="E37" i="147"/>
  <c r="V36" i="147"/>
  <c r="N36" i="147"/>
  <c r="F36" i="147"/>
  <c r="W35" i="147"/>
  <c r="O35" i="147"/>
  <c r="G35" i="147"/>
  <c r="X34" i="147"/>
  <c r="P34" i="147"/>
  <c r="H34" i="147"/>
  <c r="Y33" i="147"/>
  <c r="Q33" i="147"/>
  <c r="I33" i="147"/>
  <c r="S32" i="147"/>
  <c r="K32" i="147"/>
  <c r="C32" i="147"/>
  <c r="S38" i="147"/>
  <c r="K38" i="147"/>
  <c r="C38" i="147"/>
  <c r="T37" i="147"/>
  <c r="L37" i="147"/>
  <c r="D37" i="147"/>
  <c r="U36" i="147"/>
  <c r="M36" i="147"/>
  <c r="E36" i="147"/>
  <c r="V35" i="147"/>
  <c r="N35" i="147"/>
  <c r="F35" i="147"/>
  <c r="W34" i="147"/>
  <c r="O34" i="147"/>
  <c r="G34" i="147"/>
  <c r="X33" i="147"/>
  <c r="P33" i="147"/>
  <c r="H33" i="147"/>
  <c r="H43" i="244"/>
  <c r="D43" i="244"/>
  <c r="G43" i="244"/>
  <c r="C43" i="244"/>
  <c r="F43" i="244"/>
  <c r="I43" i="244"/>
  <c r="E43" i="244"/>
  <c r="H73" i="244"/>
  <c r="M16" i="292"/>
  <c r="N16" i="292"/>
  <c r="K16" i="292"/>
  <c r="J16" i="292"/>
  <c r="L16" i="292"/>
  <c r="J14" i="292"/>
  <c r="M14" i="292"/>
  <c r="L14" i="292"/>
  <c r="K14" i="292"/>
  <c r="N14" i="292"/>
  <c r="M32" i="292"/>
  <c r="N32" i="292"/>
  <c r="K32" i="292"/>
  <c r="J32" i="292"/>
  <c r="L32" i="292"/>
  <c r="J30" i="292"/>
  <c r="K30" i="292"/>
  <c r="N30" i="292"/>
  <c r="L30" i="292"/>
  <c r="M30" i="292"/>
  <c r="J28" i="292"/>
  <c r="N28" i="292"/>
  <c r="L28" i="292"/>
  <c r="M28" i="292"/>
  <c r="K28" i="292"/>
  <c r="K26" i="292"/>
  <c r="L26" i="292"/>
  <c r="N26" i="292"/>
  <c r="M26" i="292"/>
  <c r="J26" i="292"/>
  <c r="J12" i="292"/>
  <c r="L12" i="292"/>
  <c r="K12" i="292"/>
  <c r="N12" i="292"/>
  <c r="M12" i="292"/>
  <c r="M10" i="292"/>
  <c r="J10" i="292"/>
  <c r="N10" i="292"/>
  <c r="K10" i="292"/>
  <c r="L10" i="292"/>
  <c r="N15" i="292"/>
  <c r="J15" i="292"/>
  <c r="L15" i="292"/>
  <c r="M15" i="292"/>
  <c r="K15" i="292"/>
  <c r="K13" i="292"/>
  <c r="N13" i="292"/>
  <c r="M13" i="292"/>
  <c r="J13" i="292"/>
  <c r="L13" i="292"/>
  <c r="K11" i="292"/>
  <c r="J11" i="292"/>
  <c r="L11" i="292"/>
  <c r="M11" i="292"/>
  <c r="N11" i="292"/>
  <c r="N31" i="292"/>
  <c r="M31" i="292"/>
  <c r="L31" i="292"/>
  <c r="K31" i="292"/>
  <c r="J31" i="292"/>
  <c r="L29" i="292"/>
  <c r="J29" i="292"/>
  <c r="M29" i="292"/>
  <c r="K29" i="292"/>
  <c r="N29" i="292"/>
  <c r="N27" i="292"/>
  <c r="K27" i="292"/>
  <c r="M27" i="292"/>
  <c r="L27" i="292"/>
  <c r="J27" i="292"/>
  <c r="W68" i="147"/>
  <c r="S68" i="147"/>
  <c r="O68" i="147"/>
  <c r="G68" i="147"/>
  <c r="H13" i="138"/>
  <c r="O13" i="138" s="1"/>
  <c r="AA48" i="146"/>
  <c r="I15" i="136"/>
  <c r="P15" i="136" s="1"/>
  <c r="I12" i="136"/>
  <c r="M12" i="136" s="1"/>
  <c r="I26" i="136"/>
  <c r="Q26" i="136" s="1"/>
  <c r="I11" i="136"/>
  <c r="L11" i="136" s="1"/>
  <c r="H32" i="138"/>
  <c r="O32" i="138" s="1"/>
  <c r="AA12" i="146"/>
  <c r="AA69" i="146"/>
  <c r="H10" i="138"/>
  <c r="N10" i="138" s="1"/>
  <c r="H26" i="138"/>
  <c r="N26" i="138" s="1"/>
  <c r="H27" i="138"/>
  <c r="K27" i="138" s="1"/>
  <c r="K68" i="147"/>
  <c r="H16" i="138"/>
  <c r="M16" i="138" s="1"/>
  <c r="H15" i="138"/>
  <c r="K15" i="138" s="1"/>
  <c r="H12" i="138"/>
  <c r="O12" i="138" s="1"/>
  <c r="I29" i="136"/>
  <c r="I14" i="136"/>
  <c r="O14" i="136" s="1"/>
  <c r="I28" i="136"/>
  <c r="K28" i="136" s="1"/>
  <c r="AA63" i="146"/>
  <c r="H11" i="138"/>
  <c r="K11" i="138" s="1"/>
  <c r="H14" i="138"/>
  <c r="AA35" i="146"/>
  <c r="AA74" i="147" s="1"/>
  <c r="AA50" i="146"/>
  <c r="AA47" i="146"/>
  <c r="AA65" i="146"/>
  <c r="H31" i="138"/>
  <c r="M31" i="138" s="1"/>
  <c r="H28" i="138"/>
  <c r="N28" i="138" s="1"/>
  <c r="I10" i="136"/>
  <c r="K10" i="136" s="1"/>
  <c r="I16" i="136"/>
  <c r="Q16" i="136" s="1"/>
  <c r="I31" i="136"/>
  <c r="N31" i="136" s="1"/>
  <c r="AA46" i="146"/>
  <c r="AA52" i="146"/>
  <c r="AA67" i="146"/>
  <c r="H30" i="138"/>
  <c r="N30" i="138" s="1"/>
  <c r="I13" i="136"/>
  <c r="N13" i="136" s="1"/>
  <c r="AA33" i="146"/>
  <c r="AA72" i="147" s="1"/>
  <c r="AA32" i="146"/>
  <c r="AA71" i="147" s="1"/>
  <c r="C42" i="95"/>
  <c r="H29" i="138"/>
  <c r="I32" i="136"/>
  <c r="I30" i="136"/>
  <c r="I27" i="136"/>
  <c r="N27" i="136" s="1"/>
  <c r="AA18" i="146"/>
  <c r="AA14" i="146"/>
  <c r="AA68" i="146"/>
  <c r="AA17" i="146"/>
  <c r="AA13" i="146"/>
  <c r="AA66" i="146"/>
  <c r="V68" i="147"/>
  <c r="R68" i="147"/>
  <c r="N68" i="147"/>
  <c r="J68" i="147"/>
  <c r="F68" i="147"/>
  <c r="AA15" i="146"/>
  <c r="AA49" i="146"/>
  <c r="AA16" i="146"/>
  <c r="AA34" i="146"/>
  <c r="AA73" i="147" s="1"/>
  <c r="AA31" i="146"/>
  <c r="AA70" i="147" s="1"/>
  <c r="AA30" i="146"/>
  <c r="AA69" i="147" s="1"/>
  <c r="AA51" i="146"/>
  <c r="AA64" i="146"/>
  <c r="C68" i="147"/>
  <c r="AA50" i="147"/>
  <c r="X68" i="147"/>
  <c r="T68" i="147"/>
  <c r="P68" i="147"/>
  <c r="L68" i="147"/>
  <c r="H68" i="147"/>
  <c r="D68" i="147"/>
  <c r="Y68" i="147"/>
  <c r="U68" i="147"/>
  <c r="Q68" i="147"/>
  <c r="M68" i="147"/>
  <c r="I68" i="147"/>
  <c r="E68" i="147"/>
  <c r="AA19" i="147"/>
  <c r="AA39" i="147" s="1"/>
  <c r="AA16" i="147"/>
  <c r="AA12" i="147"/>
  <c r="AA15" i="147"/>
  <c r="AA13" i="147"/>
  <c r="AA14" i="147"/>
  <c r="AA17" i="147"/>
  <c r="AA18" i="147"/>
  <c r="C81" i="244"/>
  <c r="D81" i="244"/>
  <c r="F81" i="244"/>
  <c r="G81" i="244"/>
  <c r="E81" i="244"/>
  <c r="H79" i="244"/>
  <c r="H71" i="244"/>
  <c r="H67" i="244"/>
  <c r="H59" i="244"/>
  <c r="H55" i="244"/>
  <c r="H51" i="244"/>
  <c r="H77" i="244"/>
  <c r="H61" i="244"/>
  <c r="H57" i="244"/>
  <c r="H53" i="244"/>
  <c r="H49" i="244"/>
  <c r="H78" i="244"/>
  <c r="H74" i="244"/>
  <c r="H70" i="244"/>
  <c r="H69" i="244"/>
  <c r="H66" i="244"/>
  <c r="H65" i="244"/>
  <c r="H62" i="244"/>
  <c r="H58" i="244"/>
  <c r="H54" i="244"/>
  <c r="H50" i="244"/>
  <c r="H48" i="244"/>
  <c r="H76" i="244"/>
  <c r="H75" i="244"/>
  <c r="H72" i="244"/>
  <c r="H68" i="244"/>
  <c r="H64" i="244"/>
  <c r="H63" i="244"/>
  <c r="H60" i="244"/>
  <c r="H56" i="244"/>
  <c r="H52" i="244"/>
  <c r="J36" i="244"/>
  <c r="O36" i="244" s="1"/>
  <c r="J32" i="244"/>
  <c r="O32" i="244" s="1"/>
  <c r="J28" i="244"/>
  <c r="Q28" i="244" s="1"/>
  <c r="J24" i="244"/>
  <c r="O24" i="244" s="1"/>
  <c r="J16" i="244"/>
  <c r="Q16" i="244" s="1"/>
  <c r="J40" i="244"/>
  <c r="Q40" i="244" s="1"/>
  <c r="J23" i="244"/>
  <c r="P23" i="244" s="1"/>
  <c r="J20" i="244"/>
  <c r="Q20" i="244" s="1"/>
  <c r="J12" i="244"/>
  <c r="O12" i="244" s="1"/>
  <c r="J10" i="244"/>
  <c r="J38" i="244"/>
  <c r="O38" i="244" s="1"/>
  <c r="J34" i="244"/>
  <c r="R34" i="244" s="1"/>
  <c r="J30" i="244"/>
  <c r="O30" i="244" s="1"/>
  <c r="J26" i="244"/>
  <c r="R26" i="244" s="1"/>
  <c r="J22" i="244"/>
  <c r="O22" i="244" s="1"/>
  <c r="J18" i="244"/>
  <c r="R18" i="244" s="1"/>
  <c r="J14" i="244"/>
  <c r="N14" i="244" s="1"/>
  <c r="J39" i="244"/>
  <c r="R39" i="244" s="1"/>
  <c r="J35" i="244"/>
  <c r="R35" i="244" s="1"/>
  <c r="J31" i="244"/>
  <c r="Q31" i="244" s="1"/>
  <c r="J27" i="244"/>
  <c r="P27" i="244" s="1"/>
  <c r="J19" i="244"/>
  <c r="O19" i="244" s="1"/>
  <c r="J15" i="244"/>
  <c r="L15" i="244" s="1"/>
  <c r="J11" i="244"/>
  <c r="P11" i="244" s="1"/>
  <c r="J41" i="244"/>
  <c r="P41" i="244" s="1"/>
  <c r="J37" i="244"/>
  <c r="P37" i="244" s="1"/>
  <c r="J33" i="244"/>
  <c r="R33" i="244" s="1"/>
  <c r="J29" i="244"/>
  <c r="Q29" i="244" s="1"/>
  <c r="J25" i="244"/>
  <c r="L25" i="244" s="1"/>
  <c r="J21" i="244"/>
  <c r="N21" i="244" s="1"/>
  <c r="J17" i="244"/>
  <c r="L17" i="244" s="1"/>
  <c r="J13" i="244"/>
  <c r="N13" i="244" s="1"/>
  <c r="J11" i="128"/>
  <c r="K11" i="128"/>
  <c r="J12" i="128"/>
  <c r="K12" i="128"/>
  <c r="J13" i="128"/>
  <c r="K13" i="128"/>
  <c r="J14" i="128"/>
  <c r="K14" i="128"/>
  <c r="J15" i="128"/>
  <c r="K15" i="128"/>
  <c r="K10" i="128"/>
  <c r="J10" i="128"/>
  <c r="AA38" i="147" l="1"/>
  <c r="AA63" i="147"/>
  <c r="N40" i="244"/>
  <c r="AA33" i="147"/>
  <c r="AA35" i="147"/>
  <c r="AA37" i="147"/>
  <c r="AA34" i="147"/>
  <c r="AA36" i="147"/>
  <c r="N26" i="136"/>
  <c r="M10" i="244"/>
  <c r="J43" i="244"/>
  <c r="H81" i="244"/>
  <c r="L15" i="138"/>
  <c r="M28" i="136"/>
  <c r="Q29" i="136"/>
  <c r="L13" i="138"/>
  <c r="O16" i="138"/>
  <c r="O10" i="138"/>
  <c r="K31" i="136"/>
  <c r="P16" i="136"/>
  <c r="J10" i="138"/>
  <c r="K10" i="138"/>
  <c r="M10" i="138"/>
  <c r="N15" i="138"/>
  <c r="Q28" i="136"/>
  <c r="L28" i="136"/>
  <c r="J13" i="138"/>
  <c r="M15" i="138"/>
  <c r="L15" i="136"/>
  <c r="N28" i="136"/>
  <c r="L10" i="138"/>
  <c r="J15" i="138"/>
  <c r="N29" i="136"/>
  <c r="O11" i="136"/>
  <c r="N13" i="138"/>
  <c r="L12" i="136"/>
  <c r="M31" i="136"/>
  <c r="N12" i="136"/>
  <c r="K12" i="136"/>
  <c r="M13" i="138"/>
  <c r="K13" i="138"/>
  <c r="P12" i="136"/>
  <c r="M29" i="136"/>
  <c r="Q11" i="136"/>
  <c r="K29" i="136"/>
  <c r="O12" i="136"/>
  <c r="Q12" i="136"/>
  <c r="L31" i="136"/>
  <c r="N14" i="136"/>
  <c r="Q14" i="136"/>
  <c r="K12" i="138"/>
  <c r="M15" i="136"/>
  <c r="M32" i="138"/>
  <c r="K26" i="138"/>
  <c r="J32" i="138"/>
  <c r="N15" i="136"/>
  <c r="K32" i="138"/>
  <c r="N30" i="136"/>
  <c r="O15" i="136"/>
  <c r="N32" i="138"/>
  <c r="L32" i="138"/>
  <c r="L29" i="136"/>
  <c r="L10" i="128"/>
  <c r="N11" i="136"/>
  <c r="M26" i="136"/>
  <c r="L26" i="136"/>
  <c r="M11" i="136"/>
  <c r="Q15" i="136"/>
  <c r="K11" i="136"/>
  <c r="K15" i="136"/>
  <c r="Q30" i="136"/>
  <c r="L16" i="138"/>
  <c r="P11" i="136"/>
  <c r="P13" i="136"/>
  <c r="J26" i="138"/>
  <c r="M27" i="136"/>
  <c r="K26" i="136"/>
  <c r="J16" i="138"/>
  <c r="L26" i="138"/>
  <c r="O28" i="138"/>
  <c r="O26" i="138"/>
  <c r="K16" i="138"/>
  <c r="N16" i="138"/>
  <c r="L27" i="138"/>
  <c r="L13" i="136"/>
  <c r="N16" i="136"/>
  <c r="M14" i="136"/>
  <c r="J12" i="138"/>
  <c r="J27" i="138"/>
  <c r="K14" i="136"/>
  <c r="M27" i="138"/>
  <c r="L12" i="138"/>
  <c r="M12" i="138"/>
  <c r="O15" i="138"/>
  <c r="L27" i="136"/>
  <c r="L14" i="136"/>
  <c r="L30" i="136"/>
  <c r="K16" i="136"/>
  <c r="J28" i="138"/>
  <c r="N12" i="138"/>
  <c r="O27" i="138"/>
  <c r="N27" i="138"/>
  <c r="P14" i="136"/>
  <c r="M13" i="136"/>
  <c r="K13" i="136"/>
  <c r="J30" i="138"/>
  <c r="M26" i="138"/>
  <c r="Q27" i="136"/>
  <c r="Q13" i="136"/>
  <c r="M32" i="136"/>
  <c r="O14" i="138"/>
  <c r="K14" i="138"/>
  <c r="L14" i="138"/>
  <c r="K27" i="136"/>
  <c r="K32" i="136"/>
  <c r="M30" i="136"/>
  <c r="K28" i="138"/>
  <c r="O30" i="138"/>
  <c r="N14" i="138"/>
  <c r="K29" i="138"/>
  <c r="O29" i="138"/>
  <c r="N29" i="138"/>
  <c r="J29" i="138"/>
  <c r="O11" i="138"/>
  <c r="K30" i="136"/>
  <c r="L16" i="136"/>
  <c r="Q32" i="136"/>
  <c r="L32" i="136"/>
  <c r="M28" i="138"/>
  <c r="L28" i="138"/>
  <c r="N32" i="136"/>
  <c r="O13" i="136"/>
  <c r="O16" i="136"/>
  <c r="M16" i="136"/>
  <c r="M29" i="138"/>
  <c r="L11" i="138"/>
  <c r="J11" i="138"/>
  <c r="M11" i="138"/>
  <c r="N11" i="138"/>
  <c r="M30" i="138"/>
  <c r="L30" i="138"/>
  <c r="K31" i="138"/>
  <c r="O31" i="138"/>
  <c r="N31" i="138"/>
  <c r="J31" i="138"/>
  <c r="Q31" i="136"/>
  <c r="L29" i="138"/>
  <c r="L31" i="138"/>
  <c r="K30" i="138"/>
  <c r="J14" i="138"/>
  <c r="M14" i="138"/>
  <c r="L11" i="128"/>
  <c r="L12" i="128"/>
  <c r="L15" i="128"/>
  <c r="L14" i="128"/>
  <c r="L13" i="128"/>
  <c r="M33" i="244"/>
  <c r="M17" i="244"/>
  <c r="M37" i="244"/>
  <c r="M21" i="244"/>
  <c r="M25" i="244"/>
  <c r="M13" i="244"/>
  <c r="M29" i="244"/>
  <c r="M41" i="244"/>
  <c r="M34" i="244"/>
  <c r="P14" i="244"/>
  <c r="N36" i="244"/>
  <c r="L18" i="244"/>
  <c r="M14" i="244"/>
  <c r="N24" i="244"/>
  <c r="O29" i="244"/>
  <c r="R14" i="244"/>
  <c r="L30" i="244"/>
  <c r="R40" i="244"/>
  <c r="P24" i="244"/>
  <c r="Q10" i="244"/>
  <c r="N10" i="244"/>
  <c r="M36" i="244"/>
  <c r="Q23" i="244"/>
  <c r="P30" i="244"/>
  <c r="M40" i="244"/>
  <c r="P40" i="244"/>
  <c r="L29" i="244"/>
  <c r="R28" i="244"/>
  <c r="N32" i="244"/>
  <c r="M32" i="244"/>
  <c r="L12" i="244"/>
  <c r="L32" i="244"/>
  <c r="M12" i="244"/>
  <c r="N12" i="244"/>
  <c r="P10" i="244"/>
  <c r="P28" i="244"/>
  <c r="R32" i="244"/>
  <c r="L16" i="244"/>
  <c r="P32" i="244"/>
  <c r="Q32" i="244"/>
  <c r="L22" i="244"/>
  <c r="R24" i="244"/>
  <c r="Q35" i="244"/>
  <c r="L23" i="244"/>
  <c r="L13" i="244"/>
  <c r="Q14" i="244"/>
  <c r="P20" i="244"/>
  <c r="N30" i="244"/>
  <c r="P29" i="244"/>
  <c r="Q24" i="244"/>
  <c r="L14" i="244"/>
  <c r="M23" i="244"/>
  <c r="P26" i="244"/>
  <c r="M24" i="244"/>
  <c r="P13" i="244"/>
  <c r="L24" i="244"/>
  <c r="R30" i="244"/>
  <c r="O14" i="244"/>
  <c r="P35" i="244"/>
  <c r="R41" i="244"/>
  <c r="Q34" i="244"/>
  <c r="L31" i="244"/>
  <c r="Q15" i="244"/>
  <c r="P22" i="244"/>
  <c r="O11" i="244"/>
  <c r="N22" i="244"/>
  <c r="Q41" i="244"/>
  <c r="N25" i="244"/>
  <c r="P31" i="244"/>
  <c r="O28" i="244"/>
  <c r="N16" i="244"/>
  <c r="M35" i="244"/>
  <c r="M20" i="244"/>
  <c r="R16" i="244"/>
  <c r="R20" i="244"/>
  <c r="N28" i="244"/>
  <c r="P34" i="244"/>
  <c r="O37" i="244"/>
  <c r="N11" i="244"/>
  <c r="M18" i="244"/>
  <c r="M22" i="244"/>
  <c r="R10" i="244"/>
  <c r="L20" i="244"/>
  <c r="O23" i="244"/>
  <c r="L28" i="244"/>
  <c r="P36" i="244"/>
  <c r="M28" i="244"/>
  <c r="R13" i="244"/>
  <c r="P25" i="244"/>
  <c r="R31" i="244"/>
  <c r="P15" i="244"/>
  <c r="N29" i="244"/>
  <c r="L35" i="244"/>
  <c r="O18" i="244"/>
  <c r="Q11" i="244"/>
  <c r="P18" i="244"/>
  <c r="N15" i="244"/>
  <c r="Q18" i="244"/>
  <c r="Q22" i="244"/>
  <c r="O35" i="244"/>
  <c r="N35" i="244"/>
  <c r="M15" i="244"/>
  <c r="N20" i="244"/>
  <c r="L34" i="244"/>
  <c r="R36" i="244"/>
  <c r="M16" i="244"/>
  <c r="O16" i="244"/>
  <c r="O20" i="244"/>
  <c r="P16" i="244"/>
  <c r="R22" i="244"/>
  <c r="Q25" i="244"/>
  <c r="L36" i="244"/>
  <c r="N23" i="244"/>
  <c r="N31" i="244"/>
  <c r="O10" i="244"/>
  <c r="R25" i="244"/>
  <c r="O34" i="244"/>
  <c r="Q36" i="244"/>
  <c r="M39" i="244"/>
  <c r="L38" i="244"/>
  <c r="N19" i="244"/>
  <c r="P21" i="244"/>
  <c r="R38" i="244"/>
  <c r="Q26" i="244"/>
  <c r="M38" i="244"/>
  <c r="R21" i="244"/>
  <c r="M27" i="244"/>
  <c r="M26" i="244"/>
  <c r="R12" i="244"/>
  <c r="O25" i="244"/>
  <c r="O33" i="244"/>
  <c r="P38" i="244"/>
  <c r="O41" i="244"/>
  <c r="R11" i="244"/>
  <c r="R15" i="244"/>
  <c r="R19" i="244"/>
  <c r="P12" i="244"/>
  <c r="O15" i="244"/>
  <c r="N18" i="244"/>
  <c r="N26" i="244"/>
  <c r="O31" i="244"/>
  <c r="N34" i="244"/>
  <c r="O39" i="244"/>
  <c r="L11" i="244"/>
  <c r="Q12" i="244"/>
  <c r="N41" i="244"/>
  <c r="R23" i="244"/>
  <c r="N27" i="244"/>
  <c r="M30" i="244"/>
  <c r="L33" i="244"/>
  <c r="Q38" i="244"/>
  <c r="L41" i="244"/>
  <c r="N17" i="244"/>
  <c r="P19" i="244"/>
  <c r="O26" i="244"/>
  <c r="R29" i="244"/>
  <c r="N33" i="244"/>
  <c r="N37" i="244"/>
  <c r="P39" i="244"/>
  <c r="M19" i="244"/>
  <c r="O17" i="244"/>
  <c r="Q27" i="244"/>
  <c r="P17" i="244"/>
  <c r="Q17" i="244"/>
  <c r="Q33" i="244"/>
  <c r="O40" i="244"/>
  <c r="L19" i="244"/>
  <c r="L39" i="244"/>
  <c r="M11" i="244"/>
  <c r="M31" i="244"/>
  <c r="O13" i="244"/>
  <c r="O21" i="244"/>
  <c r="L26" i="244"/>
  <c r="Q39" i="244"/>
  <c r="Q13" i="244"/>
  <c r="Q21" i="244"/>
  <c r="Q37" i="244"/>
  <c r="L40" i="244"/>
  <c r="L10" i="244"/>
  <c r="R27" i="244"/>
  <c r="Q30" i="244"/>
  <c r="P33" i="244"/>
  <c r="L37" i="244"/>
  <c r="N39" i="244"/>
  <c r="R17" i="244"/>
  <c r="L27" i="244"/>
  <c r="R37" i="244"/>
  <c r="Q19" i="244"/>
  <c r="L21" i="244"/>
  <c r="O27" i="244"/>
  <c r="N38" i="244"/>
  <c r="A35" i="139"/>
  <c r="A36" i="139"/>
  <c r="A37" i="139"/>
  <c r="A38" i="139"/>
  <c r="A39" i="139"/>
  <c r="A40" i="139"/>
  <c r="A41" i="139"/>
  <c r="B12" i="139"/>
  <c r="C12" i="139"/>
  <c r="D12" i="139"/>
  <c r="B13" i="139"/>
  <c r="C13" i="139"/>
  <c r="D13" i="139"/>
  <c r="B14" i="139"/>
  <c r="C14" i="139"/>
  <c r="D14" i="139"/>
  <c r="B15" i="139"/>
  <c r="C15" i="139"/>
  <c r="C38" i="139" s="1"/>
  <c r="D15" i="139"/>
  <c r="D38" i="139" s="1"/>
  <c r="B16" i="139"/>
  <c r="C16" i="139"/>
  <c r="D16" i="139"/>
  <c r="B17" i="139"/>
  <c r="C17" i="139"/>
  <c r="D17" i="139"/>
  <c r="B18" i="139"/>
  <c r="B41" i="139" s="1"/>
  <c r="C18" i="139"/>
  <c r="C41" i="139" s="1"/>
  <c r="D18" i="139"/>
  <c r="D41" i="139" s="1"/>
  <c r="A12" i="139"/>
  <c r="A13" i="139"/>
  <c r="A14" i="139"/>
  <c r="A15" i="139"/>
  <c r="A16" i="139"/>
  <c r="A17" i="139"/>
  <c r="A18" i="139"/>
  <c r="G12" i="139"/>
  <c r="H12" i="139"/>
  <c r="I12" i="139"/>
  <c r="G13" i="139"/>
  <c r="H13" i="139"/>
  <c r="I13" i="139"/>
  <c r="G14" i="139"/>
  <c r="H14" i="139"/>
  <c r="I14" i="139"/>
  <c r="G15" i="139"/>
  <c r="H15" i="139"/>
  <c r="I15" i="139"/>
  <c r="G16" i="139"/>
  <c r="H16" i="139"/>
  <c r="I16" i="139"/>
  <c r="G17" i="139"/>
  <c r="H17" i="139"/>
  <c r="I17" i="139"/>
  <c r="G18" i="139"/>
  <c r="G41" i="139" s="1"/>
  <c r="H18" i="139"/>
  <c r="H41" i="139" s="1"/>
  <c r="I18" i="139"/>
  <c r="I41" i="139" s="1"/>
  <c r="H11" i="139"/>
  <c r="I11" i="139"/>
  <c r="G11" i="139"/>
  <c r="C11" i="139"/>
  <c r="D11" i="139"/>
  <c r="B11" i="139"/>
  <c r="B34" i="139" s="1"/>
  <c r="A34" i="139"/>
  <c r="A11" i="139"/>
  <c r="C11" i="243"/>
  <c r="D11" i="243"/>
  <c r="E11" i="243"/>
  <c r="C12" i="243"/>
  <c r="D12" i="243"/>
  <c r="E12" i="243"/>
  <c r="C13" i="243"/>
  <c r="D13" i="243"/>
  <c r="E13" i="243"/>
  <c r="C14" i="243"/>
  <c r="D14" i="243"/>
  <c r="E14" i="243"/>
  <c r="C15" i="243"/>
  <c r="D15" i="243"/>
  <c r="E15" i="243"/>
  <c r="C16" i="243"/>
  <c r="D16" i="243"/>
  <c r="E16" i="243"/>
  <c r="C17" i="243"/>
  <c r="D17" i="243"/>
  <c r="E17" i="243"/>
  <c r="C18" i="243"/>
  <c r="D18" i="243"/>
  <c r="E18" i="243"/>
  <c r="C19" i="243"/>
  <c r="D19" i="243"/>
  <c r="E19" i="243"/>
  <c r="C20" i="243"/>
  <c r="D20" i="243"/>
  <c r="E20" i="243"/>
  <c r="C21" i="243"/>
  <c r="D21" i="243"/>
  <c r="E21" i="243"/>
  <c r="C22" i="243"/>
  <c r="D22" i="243"/>
  <c r="E22" i="243"/>
  <c r="C23" i="243"/>
  <c r="D23" i="243"/>
  <c r="E23" i="243"/>
  <c r="C24" i="243"/>
  <c r="D24" i="243"/>
  <c r="E24" i="243"/>
  <c r="C25" i="243"/>
  <c r="D25" i="243"/>
  <c r="E25" i="243"/>
  <c r="C26" i="243"/>
  <c r="D26" i="243"/>
  <c r="E26" i="243"/>
  <c r="C27" i="243"/>
  <c r="D27" i="243"/>
  <c r="E27" i="243"/>
  <c r="C28" i="243"/>
  <c r="D28" i="243"/>
  <c r="E28" i="243"/>
  <c r="C29" i="243"/>
  <c r="D29" i="243"/>
  <c r="E29" i="243"/>
  <c r="C30" i="243"/>
  <c r="D30" i="243"/>
  <c r="E30" i="243"/>
  <c r="C31" i="243"/>
  <c r="D31" i="243"/>
  <c r="E31" i="243"/>
  <c r="C32" i="243"/>
  <c r="D32" i="243"/>
  <c r="E32" i="243"/>
  <c r="C33" i="243"/>
  <c r="D33" i="243"/>
  <c r="E33" i="243"/>
  <c r="C34" i="243"/>
  <c r="D34" i="243"/>
  <c r="E34" i="243"/>
  <c r="C35" i="243"/>
  <c r="D35" i="243"/>
  <c r="E35" i="243"/>
  <c r="C36" i="243"/>
  <c r="D36" i="243"/>
  <c r="E36" i="243"/>
  <c r="C37" i="243"/>
  <c r="D37" i="243"/>
  <c r="E37" i="243"/>
  <c r="C38" i="243"/>
  <c r="D38" i="243"/>
  <c r="E38" i="243"/>
  <c r="C39" i="243"/>
  <c r="D39" i="243"/>
  <c r="E39" i="243"/>
  <c r="C40" i="243"/>
  <c r="D40" i="243"/>
  <c r="E40" i="243"/>
  <c r="C41" i="243"/>
  <c r="D41" i="243"/>
  <c r="E41" i="243"/>
  <c r="B47" i="139" l="1"/>
  <c r="G47" i="139"/>
  <c r="C47" i="139"/>
  <c r="H47" i="139"/>
  <c r="Q43" i="244"/>
  <c r="M43" i="244"/>
  <c r="O43" i="244"/>
  <c r="P43" i="244"/>
  <c r="L43" i="244"/>
  <c r="R43" i="244"/>
  <c r="N43" i="244"/>
  <c r="D40" i="139"/>
  <c r="D36" i="139"/>
  <c r="J17" i="139"/>
  <c r="J16" i="139"/>
  <c r="J13" i="139"/>
  <c r="J12" i="139"/>
  <c r="D39" i="139"/>
  <c r="D35" i="139"/>
  <c r="C34" i="139"/>
  <c r="C37" i="139"/>
  <c r="J15" i="139"/>
  <c r="B39" i="139"/>
  <c r="B35" i="139"/>
  <c r="E15" i="139"/>
  <c r="D37" i="139"/>
  <c r="E11" i="139"/>
  <c r="J18" i="139"/>
  <c r="J41" i="139" s="1"/>
  <c r="J14" i="139"/>
  <c r="C39" i="139"/>
  <c r="C35" i="139"/>
  <c r="F16" i="243"/>
  <c r="E16" i="139"/>
  <c r="E12" i="139"/>
  <c r="B38" i="139"/>
  <c r="F41" i="243"/>
  <c r="F37" i="243"/>
  <c r="F33" i="243"/>
  <c r="F29" i="243"/>
  <c r="F25" i="243"/>
  <c r="F21" i="243"/>
  <c r="F17" i="243"/>
  <c r="F13" i="243"/>
  <c r="E17" i="139"/>
  <c r="E13" i="139"/>
  <c r="E18" i="139"/>
  <c r="E41" i="139" s="1"/>
  <c r="E14" i="139"/>
  <c r="I38" i="139"/>
  <c r="H39" i="139"/>
  <c r="H35" i="139"/>
  <c r="E13" i="140"/>
  <c r="E10" i="140"/>
  <c r="G10" i="140" s="1"/>
  <c r="B40" i="139"/>
  <c r="E15" i="140"/>
  <c r="I15" i="140" s="1"/>
  <c r="E11" i="140"/>
  <c r="H40" i="139"/>
  <c r="C40" i="139"/>
  <c r="I39" i="139"/>
  <c r="G37" i="139"/>
  <c r="B37" i="139"/>
  <c r="H36" i="139"/>
  <c r="C36" i="139"/>
  <c r="I35" i="139"/>
  <c r="G40" i="139"/>
  <c r="G36" i="139"/>
  <c r="G39" i="139"/>
  <c r="H38" i="139"/>
  <c r="I37" i="139"/>
  <c r="G35" i="139"/>
  <c r="E14" i="140"/>
  <c r="I14" i="140" s="1"/>
  <c r="B36" i="139"/>
  <c r="E16" i="140"/>
  <c r="H16" i="140" s="1"/>
  <c r="E12" i="140"/>
  <c r="H12" i="140" s="1"/>
  <c r="I40" i="139"/>
  <c r="G38" i="139"/>
  <c r="H37" i="139"/>
  <c r="I36" i="139"/>
  <c r="F40" i="243"/>
  <c r="F36" i="243"/>
  <c r="F32" i="243"/>
  <c r="F28" i="243"/>
  <c r="F24" i="243"/>
  <c r="F20" i="243"/>
  <c r="F12" i="243"/>
  <c r="F38" i="243"/>
  <c r="F34" i="243"/>
  <c r="F30" i="243"/>
  <c r="F26" i="243"/>
  <c r="F22" i="243"/>
  <c r="F18" i="243"/>
  <c r="F14" i="243"/>
  <c r="F39" i="243"/>
  <c r="F35" i="243"/>
  <c r="F31" i="243"/>
  <c r="F27" i="243"/>
  <c r="F23" i="243"/>
  <c r="F19" i="243"/>
  <c r="F15" i="243"/>
  <c r="F11" i="243"/>
  <c r="E47" i="139" l="1"/>
  <c r="J47" i="139"/>
  <c r="J37" i="139"/>
  <c r="G11" i="140"/>
  <c r="H10" i="140"/>
  <c r="G13" i="140"/>
  <c r="I10" i="140"/>
  <c r="G16" i="140"/>
  <c r="I13" i="140"/>
  <c r="E37" i="139"/>
  <c r="H13" i="140"/>
  <c r="G14" i="140"/>
  <c r="H14" i="140"/>
  <c r="I12" i="140"/>
  <c r="E36" i="139"/>
  <c r="J36" i="139"/>
  <c r="E35" i="139"/>
  <c r="J35" i="139"/>
  <c r="H11" i="140"/>
  <c r="I11" i="140"/>
  <c r="E39" i="139"/>
  <c r="J39" i="139"/>
  <c r="H15" i="140"/>
  <c r="G12" i="140"/>
  <c r="E38" i="139"/>
  <c r="J38" i="139"/>
  <c r="E40" i="139"/>
  <c r="J40" i="139"/>
  <c r="I16" i="140"/>
  <c r="G15" i="140"/>
  <c r="C10" i="142"/>
  <c r="D10" i="142"/>
  <c r="E10" i="142"/>
  <c r="F10" i="142"/>
  <c r="G10" i="142"/>
  <c r="H10" i="142"/>
  <c r="I10" i="142"/>
  <c r="J10" i="142"/>
  <c r="K10" i="142"/>
  <c r="C11" i="142"/>
  <c r="D11" i="142"/>
  <c r="E11" i="142"/>
  <c r="F11" i="142"/>
  <c r="G11" i="142"/>
  <c r="H11" i="142"/>
  <c r="I11" i="142"/>
  <c r="J11" i="142"/>
  <c r="C14" i="142"/>
  <c r="D14" i="142"/>
  <c r="E14" i="142"/>
  <c r="F14" i="142"/>
  <c r="G14" i="142"/>
  <c r="H14" i="142"/>
  <c r="I14" i="142"/>
  <c r="J14" i="142"/>
  <c r="K14" i="142"/>
  <c r="C15" i="142"/>
  <c r="D15" i="142"/>
  <c r="E15" i="142"/>
  <c r="F15" i="142"/>
  <c r="G15" i="142"/>
  <c r="H15" i="142"/>
  <c r="I15" i="142"/>
  <c r="J15" i="142"/>
  <c r="K15" i="142"/>
  <c r="C16" i="142"/>
  <c r="D16" i="142"/>
  <c r="E16" i="142"/>
  <c r="F16" i="142"/>
  <c r="G16" i="142"/>
  <c r="H16" i="142"/>
  <c r="I16" i="142"/>
  <c r="J16" i="142"/>
  <c r="K16" i="142"/>
  <c r="C17" i="142"/>
  <c r="D17" i="142"/>
  <c r="E17" i="142"/>
  <c r="F17" i="142"/>
  <c r="G17" i="142"/>
  <c r="H17" i="142"/>
  <c r="I17" i="142"/>
  <c r="J17" i="142"/>
  <c r="K17" i="142"/>
  <c r="C23" i="142"/>
  <c r="D23" i="142"/>
  <c r="E23" i="142"/>
  <c r="F23" i="142"/>
  <c r="G23" i="142"/>
  <c r="H23" i="142"/>
  <c r="I23" i="142"/>
  <c r="J23" i="142"/>
  <c r="K23" i="142"/>
  <c r="C24" i="142"/>
  <c r="D24" i="142"/>
  <c r="E24" i="142"/>
  <c r="F24" i="142"/>
  <c r="G24" i="142"/>
  <c r="H24" i="142"/>
  <c r="I24" i="142"/>
  <c r="J24" i="142"/>
  <c r="K24" i="142"/>
  <c r="C26" i="142"/>
  <c r="D26" i="142"/>
  <c r="E26" i="142"/>
  <c r="F26" i="142"/>
  <c r="G26" i="142"/>
  <c r="H26" i="142"/>
  <c r="I26" i="142"/>
  <c r="J26" i="142"/>
  <c r="K26" i="142"/>
  <c r="C27" i="142"/>
  <c r="D27" i="142"/>
  <c r="E27" i="142"/>
  <c r="F27" i="142"/>
  <c r="G27" i="142"/>
  <c r="H27" i="142"/>
  <c r="I27" i="142"/>
  <c r="J27" i="142"/>
  <c r="K27" i="142"/>
  <c r="C28" i="142"/>
  <c r="D28" i="142"/>
  <c r="E28" i="142"/>
  <c r="F28" i="142"/>
  <c r="G28" i="142"/>
  <c r="H28" i="142"/>
  <c r="I28" i="142"/>
  <c r="J28" i="142"/>
  <c r="K28" i="142"/>
  <c r="B11" i="142"/>
  <c r="B14" i="142"/>
  <c r="B15" i="142"/>
  <c r="B16" i="142"/>
  <c r="B17" i="142"/>
  <c r="B23" i="142"/>
  <c r="B24" i="142"/>
  <c r="B26" i="142"/>
  <c r="B27" i="142"/>
  <c r="B28" i="142"/>
  <c r="C27" i="145"/>
  <c r="D27" i="145"/>
  <c r="E27" i="145"/>
  <c r="F27" i="145"/>
  <c r="G27" i="145"/>
  <c r="H27" i="145"/>
  <c r="I27" i="145"/>
  <c r="J27" i="145"/>
  <c r="K27" i="145"/>
  <c r="B27" i="145"/>
  <c r="C89" i="137"/>
  <c r="D89" i="137"/>
  <c r="E89" i="137"/>
  <c r="F89" i="137"/>
  <c r="G89" i="137"/>
  <c r="C90" i="137"/>
  <c r="D90" i="137"/>
  <c r="E90" i="137"/>
  <c r="F90" i="137"/>
  <c r="G90" i="137"/>
  <c r="C91" i="137"/>
  <c r="D91" i="137"/>
  <c r="E91" i="137"/>
  <c r="F91" i="137"/>
  <c r="G91" i="137"/>
  <c r="C92" i="137"/>
  <c r="D92" i="137"/>
  <c r="E92" i="137"/>
  <c r="F92" i="137"/>
  <c r="G92" i="137"/>
  <c r="C93" i="137"/>
  <c r="D93" i="137"/>
  <c r="E93" i="137"/>
  <c r="F93" i="137"/>
  <c r="G93" i="137"/>
  <c r="C94" i="137"/>
  <c r="D94" i="137"/>
  <c r="E94" i="137"/>
  <c r="F94" i="137"/>
  <c r="G94" i="137"/>
  <c r="C95" i="137"/>
  <c r="D95" i="137"/>
  <c r="E95" i="137"/>
  <c r="F95" i="137"/>
  <c r="G95" i="137"/>
  <c r="C96" i="137"/>
  <c r="D96" i="137"/>
  <c r="E96" i="137"/>
  <c r="F96" i="137"/>
  <c r="G96" i="137"/>
  <c r="C97" i="137"/>
  <c r="D97" i="137"/>
  <c r="E97" i="137"/>
  <c r="F97" i="137"/>
  <c r="G97" i="137"/>
  <c r="C98" i="137"/>
  <c r="D98" i="137"/>
  <c r="E98" i="137"/>
  <c r="F98" i="137"/>
  <c r="G98" i="137"/>
  <c r="C99" i="137"/>
  <c r="D99" i="137"/>
  <c r="E99" i="137"/>
  <c r="F99" i="137"/>
  <c r="G99" i="137"/>
  <c r="C100" i="137"/>
  <c r="D100" i="137"/>
  <c r="E100" i="137"/>
  <c r="F100" i="137"/>
  <c r="G100" i="137"/>
  <c r="C101" i="137"/>
  <c r="D101" i="137"/>
  <c r="E101" i="137"/>
  <c r="F101" i="137"/>
  <c r="G101" i="137"/>
  <c r="C102" i="137"/>
  <c r="D102" i="137"/>
  <c r="E102" i="137"/>
  <c r="F102" i="137"/>
  <c r="G102" i="137"/>
  <c r="C103" i="137"/>
  <c r="D103" i="137"/>
  <c r="E103" i="137"/>
  <c r="F103" i="137"/>
  <c r="G103" i="137"/>
  <c r="C104" i="137"/>
  <c r="D104" i="137"/>
  <c r="E104" i="137"/>
  <c r="F104" i="137"/>
  <c r="G104" i="137"/>
  <c r="C105" i="137"/>
  <c r="D105" i="137"/>
  <c r="E105" i="137"/>
  <c r="F105" i="137"/>
  <c r="G105" i="137"/>
  <c r="C106" i="137"/>
  <c r="D106" i="137"/>
  <c r="E106" i="137"/>
  <c r="F106" i="137"/>
  <c r="G106" i="137"/>
  <c r="C107" i="137"/>
  <c r="D107" i="137"/>
  <c r="E107" i="137"/>
  <c r="F107" i="137"/>
  <c r="G107" i="137"/>
  <c r="C108" i="137"/>
  <c r="D108" i="137"/>
  <c r="E108" i="137"/>
  <c r="F108" i="137"/>
  <c r="G108" i="137"/>
  <c r="C109" i="137"/>
  <c r="D109" i="137"/>
  <c r="E109" i="137"/>
  <c r="F109" i="137"/>
  <c r="G109" i="137"/>
  <c r="C110" i="137"/>
  <c r="D110" i="137"/>
  <c r="E110" i="137"/>
  <c r="F110" i="137"/>
  <c r="G110" i="137"/>
  <c r="C111" i="137"/>
  <c r="D111" i="137"/>
  <c r="E111" i="137"/>
  <c r="F111" i="137"/>
  <c r="G111" i="137"/>
  <c r="C112" i="137"/>
  <c r="D112" i="137"/>
  <c r="E112" i="137"/>
  <c r="F112" i="137"/>
  <c r="G112" i="137"/>
  <c r="C113" i="137"/>
  <c r="D113" i="137"/>
  <c r="E113" i="137"/>
  <c r="F113" i="137"/>
  <c r="G113" i="137"/>
  <c r="C114" i="137"/>
  <c r="D114" i="137"/>
  <c r="E114" i="137"/>
  <c r="F114" i="137"/>
  <c r="G114" i="137"/>
  <c r="C115" i="137"/>
  <c r="D115" i="137"/>
  <c r="E115" i="137"/>
  <c r="F115" i="137"/>
  <c r="G115" i="137"/>
  <c r="C116" i="137"/>
  <c r="D116" i="137"/>
  <c r="E116" i="137"/>
  <c r="F116" i="137"/>
  <c r="G116" i="137"/>
  <c r="C117" i="137"/>
  <c r="D117" i="137"/>
  <c r="E117" i="137"/>
  <c r="F117" i="137"/>
  <c r="G117" i="137"/>
  <c r="C118" i="137"/>
  <c r="D118" i="137"/>
  <c r="E118" i="137"/>
  <c r="F118" i="137"/>
  <c r="G118" i="137"/>
  <c r="C119" i="137"/>
  <c r="D119" i="137"/>
  <c r="E119" i="137"/>
  <c r="F119" i="137"/>
  <c r="G119" i="137"/>
  <c r="C50" i="137"/>
  <c r="D50" i="137"/>
  <c r="E50" i="137"/>
  <c r="F50" i="137"/>
  <c r="G50" i="137"/>
  <c r="C51" i="137"/>
  <c r="D51" i="137"/>
  <c r="E51" i="137"/>
  <c r="F51" i="137"/>
  <c r="G51" i="137"/>
  <c r="C52" i="137"/>
  <c r="D52" i="137"/>
  <c r="E52" i="137"/>
  <c r="F52" i="137"/>
  <c r="G52" i="137"/>
  <c r="C53" i="137"/>
  <c r="D53" i="137"/>
  <c r="E53" i="137"/>
  <c r="F53" i="137"/>
  <c r="G53" i="137"/>
  <c r="C54" i="137"/>
  <c r="D54" i="137"/>
  <c r="E54" i="137"/>
  <c r="F54" i="137"/>
  <c r="G54" i="137"/>
  <c r="C55" i="137"/>
  <c r="D55" i="137"/>
  <c r="E55" i="137"/>
  <c r="F55" i="137"/>
  <c r="G55" i="137"/>
  <c r="C56" i="137"/>
  <c r="D56" i="137"/>
  <c r="E56" i="137"/>
  <c r="F56" i="137"/>
  <c r="G56" i="137"/>
  <c r="C57" i="137"/>
  <c r="D57" i="137"/>
  <c r="E57" i="137"/>
  <c r="F57" i="137"/>
  <c r="G57" i="137"/>
  <c r="C58" i="137"/>
  <c r="D58" i="137"/>
  <c r="E58" i="137"/>
  <c r="F58" i="137"/>
  <c r="G58" i="137"/>
  <c r="C59" i="137"/>
  <c r="D59" i="137"/>
  <c r="E59" i="137"/>
  <c r="F59" i="137"/>
  <c r="G59" i="137"/>
  <c r="C60" i="137"/>
  <c r="D60" i="137"/>
  <c r="E60" i="137"/>
  <c r="F60" i="137"/>
  <c r="G60" i="137"/>
  <c r="C61" i="137"/>
  <c r="D61" i="137"/>
  <c r="E61" i="137"/>
  <c r="F61" i="137"/>
  <c r="G61" i="137"/>
  <c r="C62" i="137"/>
  <c r="D62" i="137"/>
  <c r="E62" i="137"/>
  <c r="F62" i="137"/>
  <c r="G62" i="137"/>
  <c r="C63" i="137"/>
  <c r="D63" i="137"/>
  <c r="E63" i="137"/>
  <c r="F63" i="137"/>
  <c r="G63" i="137"/>
  <c r="C64" i="137"/>
  <c r="D64" i="137"/>
  <c r="E64" i="137"/>
  <c r="F64" i="137"/>
  <c r="G64" i="137"/>
  <c r="C65" i="137"/>
  <c r="D65" i="137"/>
  <c r="E65" i="137"/>
  <c r="F65" i="137"/>
  <c r="G65" i="137"/>
  <c r="C66" i="137"/>
  <c r="D66" i="137"/>
  <c r="E66" i="137"/>
  <c r="F66" i="137"/>
  <c r="G66" i="137"/>
  <c r="C67" i="137"/>
  <c r="D67" i="137"/>
  <c r="E67" i="137"/>
  <c r="F67" i="137"/>
  <c r="G67" i="137"/>
  <c r="C68" i="137"/>
  <c r="D68" i="137"/>
  <c r="E68" i="137"/>
  <c r="F68" i="137"/>
  <c r="G68" i="137"/>
  <c r="C69" i="137"/>
  <c r="D69" i="137"/>
  <c r="E69" i="137"/>
  <c r="F69" i="137"/>
  <c r="G69" i="137"/>
  <c r="C70" i="137"/>
  <c r="D70" i="137"/>
  <c r="E70" i="137"/>
  <c r="F70" i="137"/>
  <c r="G70" i="137"/>
  <c r="C71" i="137"/>
  <c r="D71" i="137"/>
  <c r="E71" i="137"/>
  <c r="F71" i="137"/>
  <c r="G71" i="137"/>
  <c r="C72" i="137"/>
  <c r="D72" i="137"/>
  <c r="E72" i="137"/>
  <c r="F72" i="137"/>
  <c r="G72" i="137"/>
  <c r="C73" i="137"/>
  <c r="D73" i="137"/>
  <c r="E73" i="137"/>
  <c r="F73" i="137"/>
  <c r="G73" i="137"/>
  <c r="C74" i="137"/>
  <c r="D74" i="137"/>
  <c r="E74" i="137"/>
  <c r="F74" i="137"/>
  <c r="G74" i="137"/>
  <c r="C75" i="137"/>
  <c r="D75" i="137"/>
  <c r="E75" i="137"/>
  <c r="F75" i="137"/>
  <c r="G75" i="137"/>
  <c r="C76" i="137"/>
  <c r="D76" i="137"/>
  <c r="E76" i="137"/>
  <c r="F76" i="137"/>
  <c r="G76" i="137"/>
  <c r="C77" i="137"/>
  <c r="D77" i="137"/>
  <c r="E77" i="137"/>
  <c r="F77" i="137"/>
  <c r="G77" i="137"/>
  <c r="C78" i="137"/>
  <c r="D78" i="137"/>
  <c r="E78" i="137"/>
  <c r="F78" i="137"/>
  <c r="G78" i="137"/>
  <c r="C79" i="137"/>
  <c r="D79" i="137"/>
  <c r="E79" i="137"/>
  <c r="F79" i="137"/>
  <c r="G79" i="137"/>
  <c r="C80" i="137"/>
  <c r="D80" i="137"/>
  <c r="E80" i="137"/>
  <c r="F80" i="137"/>
  <c r="G80" i="137"/>
  <c r="C11" i="137"/>
  <c r="D11" i="137"/>
  <c r="E11" i="137"/>
  <c r="F11" i="137"/>
  <c r="G11" i="137"/>
  <c r="C12" i="137"/>
  <c r="D12" i="137"/>
  <c r="E12" i="137"/>
  <c r="F12" i="137"/>
  <c r="G12" i="137"/>
  <c r="C13" i="137"/>
  <c r="D13" i="137"/>
  <c r="E13" i="137"/>
  <c r="F13" i="137"/>
  <c r="G13" i="137"/>
  <c r="C14" i="137"/>
  <c r="D14" i="137"/>
  <c r="E14" i="137"/>
  <c r="F14" i="137"/>
  <c r="G14" i="137"/>
  <c r="C15" i="137"/>
  <c r="D15" i="137"/>
  <c r="E15" i="137"/>
  <c r="F15" i="137"/>
  <c r="G15" i="137"/>
  <c r="C16" i="137"/>
  <c r="D16" i="137"/>
  <c r="E16" i="137"/>
  <c r="F16" i="137"/>
  <c r="G16" i="137"/>
  <c r="C17" i="137"/>
  <c r="D17" i="137"/>
  <c r="E17" i="137"/>
  <c r="F17" i="137"/>
  <c r="G17" i="137"/>
  <c r="C18" i="137"/>
  <c r="D18" i="137"/>
  <c r="E18" i="137"/>
  <c r="F18" i="137"/>
  <c r="G18" i="137"/>
  <c r="C19" i="137"/>
  <c r="D19" i="137"/>
  <c r="E19" i="137"/>
  <c r="F19" i="137"/>
  <c r="G19" i="137"/>
  <c r="C20" i="137"/>
  <c r="D20" i="137"/>
  <c r="E20" i="137"/>
  <c r="F20" i="137"/>
  <c r="G20" i="137"/>
  <c r="C21" i="137"/>
  <c r="D21" i="137"/>
  <c r="E21" i="137"/>
  <c r="F21" i="137"/>
  <c r="G21" i="137"/>
  <c r="C22" i="137"/>
  <c r="D22" i="137"/>
  <c r="E22" i="137"/>
  <c r="F22" i="137"/>
  <c r="G22" i="137"/>
  <c r="C23" i="137"/>
  <c r="D23" i="137"/>
  <c r="E23" i="137"/>
  <c r="F23" i="137"/>
  <c r="G23" i="137"/>
  <c r="C24" i="137"/>
  <c r="D24" i="137"/>
  <c r="E24" i="137"/>
  <c r="F24" i="137"/>
  <c r="G24" i="137"/>
  <c r="C25" i="137"/>
  <c r="D25" i="137"/>
  <c r="E25" i="137"/>
  <c r="F25" i="137"/>
  <c r="G25" i="137"/>
  <c r="C26" i="137"/>
  <c r="D26" i="137"/>
  <c r="E26" i="137"/>
  <c r="F26" i="137"/>
  <c r="G26" i="137"/>
  <c r="C27" i="137"/>
  <c r="D27" i="137"/>
  <c r="E27" i="137"/>
  <c r="F27" i="137"/>
  <c r="G27" i="137"/>
  <c r="C28" i="137"/>
  <c r="D28" i="137"/>
  <c r="E28" i="137"/>
  <c r="F28" i="137"/>
  <c r="G28" i="137"/>
  <c r="C29" i="137"/>
  <c r="D29" i="137"/>
  <c r="E29" i="137"/>
  <c r="F29" i="137"/>
  <c r="G29" i="137"/>
  <c r="C30" i="137"/>
  <c r="D30" i="137"/>
  <c r="E30" i="137"/>
  <c r="F30" i="137"/>
  <c r="G30" i="137"/>
  <c r="C31" i="137"/>
  <c r="D31" i="137"/>
  <c r="E31" i="137"/>
  <c r="F31" i="137"/>
  <c r="G31" i="137"/>
  <c r="C32" i="137"/>
  <c r="D32" i="137"/>
  <c r="E32" i="137"/>
  <c r="F32" i="137"/>
  <c r="G32" i="137"/>
  <c r="C33" i="137"/>
  <c r="D33" i="137"/>
  <c r="E33" i="137"/>
  <c r="F33" i="137"/>
  <c r="G33" i="137"/>
  <c r="C34" i="137"/>
  <c r="D34" i="137"/>
  <c r="E34" i="137"/>
  <c r="F34" i="137"/>
  <c r="G34" i="137"/>
  <c r="C35" i="137"/>
  <c r="D35" i="137"/>
  <c r="E35" i="137"/>
  <c r="F35" i="137"/>
  <c r="G35" i="137"/>
  <c r="C36" i="137"/>
  <c r="D36" i="137"/>
  <c r="E36" i="137"/>
  <c r="F36" i="137"/>
  <c r="G36" i="137"/>
  <c r="C37" i="137"/>
  <c r="D37" i="137"/>
  <c r="E37" i="137"/>
  <c r="F37" i="137"/>
  <c r="G37" i="137"/>
  <c r="C38" i="137"/>
  <c r="D38" i="137"/>
  <c r="E38" i="137"/>
  <c r="F38" i="137"/>
  <c r="G38" i="137"/>
  <c r="C39" i="137"/>
  <c r="D39" i="137"/>
  <c r="E39" i="137"/>
  <c r="F39" i="137"/>
  <c r="G39" i="137"/>
  <c r="C40" i="137"/>
  <c r="D40" i="137"/>
  <c r="E40" i="137"/>
  <c r="F40" i="137"/>
  <c r="G40" i="137"/>
  <c r="C41" i="137"/>
  <c r="D41" i="137"/>
  <c r="E41" i="137"/>
  <c r="F41" i="137"/>
  <c r="G41" i="137"/>
  <c r="C10" i="137"/>
  <c r="B43" i="135"/>
  <c r="C43" i="135"/>
  <c r="D43" i="135"/>
  <c r="E43" i="135"/>
  <c r="F43" i="135"/>
  <c r="B44" i="135"/>
  <c r="C44" i="135"/>
  <c r="D44" i="135"/>
  <c r="E44" i="135"/>
  <c r="F44" i="135"/>
  <c r="B45" i="135"/>
  <c r="C45" i="135"/>
  <c r="D45" i="135"/>
  <c r="E45" i="135"/>
  <c r="F45" i="135"/>
  <c r="B46" i="135"/>
  <c r="C46" i="135"/>
  <c r="D46" i="135"/>
  <c r="E46" i="135"/>
  <c r="F46" i="135"/>
  <c r="B47" i="135"/>
  <c r="C47" i="135"/>
  <c r="D47" i="135"/>
  <c r="E47" i="135"/>
  <c r="F47" i="135"/>
  <c r="B48" i="135"/>
  <c r="C48" i="135"/>
  <c r="D48" i="135"/>
  <c r="E48" i="135"/>
  <c r="F48" i="135"/>
  <c r="C42" i="135"/>
  <c r="D42" i="135"/>
  <c r="E42" i="135"/>
  <c r="F42" i="135"/>
  <c r="B42" i="135"/>
  <c r="B27" i="135"/>
  <c r="C27" i="135"/>
  <c r="D27" i="135"/>
  <c r="E27" i="135"/>
  <c r="F27" i="135"/>
  <c r="B28" i="135"/>
  <c r="C28" i="135"/>
  <c r="D28" i="135"/>
  <c r="E28" i="135"/>
  <c r="F28" i="135"/>
  <c r="B29" i="135"/>
  <c r="C29" i="135"/>
  <c r="D29" i="135"/>
  <c r="E29" i="135"/>
  <c r="F29" i="135"/>
  <c r="B30" i="135"/>
  <c r="C30" i="135"/>
  <c r="D30" i="135"/>
  <c r="E30" i="135"/>
  <c r="F30" i="135"/>
  <c r="B31" i="135"/>
  <c r="C31" i="135"/>
  <c r="D31" i="135"/>
  <c r="E31" i="135"/>
  <c r="F31" i="135"/>
  <c r="B32" i="135"/>
  <c r="C32" i="135"/>
  <c r="D32" i="135"/>
  <c r="E32" i="135"/>
  <c r="F32" i="135"/>
  <c r="C26" i="135"/>
  <c r="D26" i="135"/>
  <c r="E26" i="135"/>
  <c r="F26" i="135"/>
  <c r="B11" i="135"/>
  <c r="C11" i="135"/>
  <c r="D11" i="135"/>
  <c r="E11" i="135"/>
  <c r="F11" i="135"/>
  <c r="B12" i="135"/>
  <c r="C12" i="135"/>
  <c r="D12" i="135"/>
  <c r="E12" i="135"/>
  <c r="F12" i="135"/>
  <c r="B13" i="135"/>
  <c r="C13" i="135"/>
  <c r="D13" i="135"/>
  <c r="E13" i="135"/>
  <c r="F13" i="135"/>
  <c r="B14" i="135"/>
  <c r="C14" i="135"/>
  <c r="D14" i="135"/>
  <c r="E14" i="135"/>
  <c r="F14" i="135"/>
  <c r="B15" i="135"/>
  <c r="C15" i="135"/>
  <c r="D15" i="135"/>
  <c r="E15" i="135"/>
  <c r="F15" i="135"/>
  <c r="B16" i="135"/>
  <c r="C16" i="135"/>
  <c r="D16" i="135"/>
  <c r="E16" i="135"/>
  <c r="F16" i="135"/>
  <c r="C10" i="135"/>
  <c r="D10" i="135"/>
  <c r="E10" i="135"/>
  <c r="F10" i="135"/>
  <c r="B10" i="135"/>
  <c r="B26" i="135"/>
  <c r="A11" i="135"/>
  <c r="I11" i="135" s="1"/>
  <c r="A12" i="135"/>
  <c r="A44" i="135" s="1"/>
  <c r="I44" i="135" s="1"/>
  <c r="A13" i="135"/>
  <c r="I13" i="135" s="1"/>
  <c r="A14" i="135"/>
  <c r="A30" i="135" s="1"/>
  <c r="I30" i="135" s="1"/>
  <c r="A15" i="135"/>
  <c r="I15" i="135" s="1"/>
  <c r="A16" i="135"/>
  <c r="A48" i="135" s="1"/>
  <c r="I48" i="135" s="1"/>
  <c r="A10" i="135"/>
  <c r="A42" i="135" s="1"/>
  <c r="I42" i="135" s="1"/>
  <c r="Q24" i="142" l="1"/>
  <c r="Q27" i="142"/>
  <c r="Q26" i="142"/>
  <c r="Q23" i="142"/>
  <c r="Q17" i="142"/>
  <c r="Q16" i="142"/>
  <c r="Q15" i="142"/>
  <c r="Q28" i="142"/>
  <c r="Q14" i="142"/>
  <c r="K25" i="142"/>
  <c r="C25" i="142"/>
  <c r="J20" i="142"/>
  <c r="D19" i="142"/>
  <c r="K13" i="142"/>
  <c r="G13" i="142"/>
  <c r="G25" i="142"/>
  <c r="F20" i="142"/>
  <c r="H19" i="142"/>
  <c r="C13" i="142"/>
  <c r="F22" i="142"/>
  <c r="K21" i="142"/>
  <c r="E18" i="142"/>
  <c r="K11" i="142"/>
  <c r="Q11" i="142" s="1"/>
  <c r="B25" i="142"/>
  <c r="B13" i="142"/>
  <c r="H25" i="142"/>
  <c r="D25" i="142"/>
  <c r="K22" i="142"/>
  <c r="G22" i="142"/>
  <c r="C22" i="142"/>
  <c r="H21" i="142"/>
  <c r="D21" i="142"/>
  <c r="K20" i="142"/>
  <c r="G20" i="142"/>
  <c r="C20" i="142"/>
  <c r="I19" i="142"/>
  <c r="E19" i="142"/>
  <c r="J18" i="142"/>
  <c r="F18" i="142"/>
  <c r="H13" i="142"/>
  <c r="D13" i="142"/>
  <c r="K12" i="142"/>
  <c r="G12" i="142"/>
  <c r="C12" i="142"/>
  <c r="C21" i="142"/>
  <c r="J12" i="142"/>
  <c r="J25" i="142"/>
  <c r="F25" i="142"/>
  <c r="I22" i="142"/>
  <c r="E22" i="142"/>
  <c r="J21" i="142"/>
  <c r="F21" i="142"/>
  <c r="I20" i="142"/>
  <c r="E20" i="142"/>
  <c r="K19" i="142"/>
  <c r="G19" i="142"/>
  <c r="C19" i="142"/>
  <c r="H18" i="142"/>
  <c r="D18" i="142"/>
  <c r="J13" i="142"/>
  <c r="F13" i="142"/>
  <c r="I12" i="142"/>
  <c r="E12" i="142"/>
  <c r="J22" i="142"/>
  <c r="G21" i="142"/>
  <c r="I18" i="142"/>
  <c r="F12" i="142"/>
  <c r="I25" i="142"/>
  <c r="E25" i="142"/>
  <c r="H22" i="142"/>
  <c r="D22" i="142"/>
  <c r="I21" i="142"/>
  <c r="E21" i="142"/>
  <c r="H20" i="142"/>
  <c r="D20" i="142"/>
  <c r="J19" i="142"/>
  <c r="F19" i="142"/>
  <c r="K18" i="142"/>
  <c r="G18" i="142"/>
  <c r="C18" i="142"/>
  <c r="I13" i="142"/>
  <c r="E13" i="142"/>
  <c r="H12" i="142"/>
  <c r="D12" i="142"/>
  <c r="B21" i="142"/>
  <c r="B19" i="142"/>
  <c r="B18" i="142"/>
  <c r="B22" i="142"/>
  <c r="B20" i="142"/>
  <c r="B12" i="142"/>
  <c r="G32" i="135"/>
  <c r="N32" i="135" s="1"/>
  <c r="G31" i="135"/>
  <c r="J31" i="135" s="1"/>
  <c r="G14" i="135"/>
  <c r="N14" i="135" s="1"/>
  <c r="G44" i="135"/>
  <c r="N44" i="135" s="1"/>
  <c r="G43" i="135"/>
  <c r="L43" i="135" s="1"/>
  <c r="G10" i="135"/>
  <c r="M10" i="135" s="1"/>
  <c r="G16" i="135"/>
  <c r="N16" i="135" s="1"/>
  <c r="G12" i="135"/>
  <c r="N12" i="135" s="1"/>
  <c r="L32" i="135"/>
  <c r="G42" i="135"/>
  <c r="N42" i="135" s="1"/>
  <c r="K30" i="145"/>
  <c r="G34" i="145"/>
  <c r="I94" i="142"/>
  <c r="E94" i="142"/>
  <c r="G94" i="142"/>
  <c r="C38" i="145"/>
  <c r="J94" i="142"/>
  <c r="K94" i="142"/>
  <c r="J39" i="145"/>
  <c r="F33" i="145"/>
  <c r="F94" i="142"/>
  <c r="I32" i="145"/>
  <c r="E36" i="145"/>
  <c r="B23" i="145"/>
  <c r="B32" i="145" s="1"/>
  <c r="H37" i="145"/>
  <c r="C94" i="142"/>
  <c r="L94" i="142"/>
  <c r="H94" i="142"/>
  <c r="D94" i="142"/>
  <c r="H50" i="137"/>
  <c r="L50" i="137" s="1"/>
  <c r="H99" i="137"/>
  <c r="J99" i="137" s="1"/>
  <c r="H97" i="137"/>
  <c r="J97" i="137" s="1"/>
  <c r="H89" i="137"/>
  <c r="L89" i="137" s="1"/>
  <c r="H17" i="137"/>
  <c r="L17" i="137" s="1"/>
  <c r="H65" i="137"/>
  <c r="M65" i="137" s="1"/>
  <c r="H37" i="137"/>
  <c r="L37" i="137" s="1"/>
  <c r="H29" i="137"/>
  <c r="L29" i="137" s="1"/>
  <c r="H25" i="137"/>
  <c r="L25" i="137" s="1"/>
  <c r="H13" i="137"/>
  <c r="L13" i="137" s="1"/>
  <c r="H75" i="137"/>
  <c r="J75" i="137" s="1"/>
  <c r="H116" i="137"/>
  <c r="J116" i="137" s="1"/>
  <c r="H113" i="137"/>
  <c r="J113" i="137" s="1"/>
  <c r="H21" i="137"/>
  <c r="L21" i="137" s="1"/>
  <c r="H77" i="137"/>
  <c r="N77" i="137" s="1"/>
  <c r="H68" i="137"/>
  <c r="M68" i="137" s="1"/>
  <c r="H112" i="137"/>
  <c r="N112" i="137" s="1"/>
  <c r="H74" i="137"/>
  <c r="N74" i="137" s="1"/>
  <c r="H114" i="137"/>
  <c r="J114" i="137" s="1"/>
  <c r="C43" i="137"/>
  <c r="H69" i="137"/>
  <c r="L69" i="137" s="1"/>
  <c r="H61" i="137"/>
  <c r="M61" i="137" s="1"/>
  <c r="H59" i="137"/>
  <c r="N59" i="137" s="1"/>
  <c r="H54" i="137"/>
  <c r="L54" i="137" s="1"/>
  <c r="H51" i="137"/>
  <c r="K51" i="137" s="1"/>
  <c r="H108" i="137"/>
  <c r="M108" i="137" s="1"/>
  <c r="H101" i="137"/>
  <c r="K101" i="137" s="1"/>
  <c r="H93" i="137"/>
  <c r="M93" i="137" s="1"/>
  <c r="H66" i="137"/>
  <c r="K66" i="137" s="1"/>
  <c r="H106" i="137"/>
  <c r="L106" i="137" s="1"/>
  <c r="H105" i="137"/>
  <c r="L105" i="137" s="1"/>
  <c r="H96" i="137"/>
  <c r="N96" i="137" s="1"/>
  <c r="H94" i="137"/>
  <c r="N94" i="137" s="1"/>
  <c r="H79" i="137"/>
  <c r="K79" i="137" s="1"/>
  <c r="H73" i="137"/>
  <c r="K73" i="137" s="1"/>
  <c r="H71" i="137"/>
  <c r="J71" i="137" s="1"/>
  <c r="H70" i="137"/>
  <c r="N70" i="137" s="1"/>
  <c r="H67" i="137"/>
  <c r="L67" i="137" s="1"/>
  <c r="H63" i="137"/>
  <c r="K63" i="137" s="1"/>
  <c r="H95" i="137"/>
  <c r="N95" i="137" s="1"/>
  <c r="H92" i="137"/>
  <c r="M92" i="137" s="1"/>
  <c r="H90" i="137"/>
  <c r="L90" i="137" s="1"/>
  <c r="H58" i="137"/>
  <c r="L58" i="137" s="1"/>
  <c r="H53" i="137"/>
  <c r="K53" i="137" s="1"/>
  <c r="H33" i="137"/>
  <c r="L33" i="137" s="1"/>
  <c r="H78" i="137"/>
  <c r="L78" i="137" s="1"/>
  <c r="H72" i="137"/>
  <c r="K72" i="137" s="1"/>
  <c r="H60" i="137"/>
  <c r="K60" i="137" s="1"/>
  <c r="H57" i="137"/>
  <c r="K57" i="137" s="1"/>
  <c r="H55" i="137"/>
  <c r="K55" i="137" s="1"/>
  <c r="H52" i="137"/>
  <c r="J52" i="137" s="1"/>
  <c r="H118" i="137"/>
  <c r="K118" i="137" s="1"/>
  <c r="H117" i="137"/>
  <c r="K117" i="137" s="1"/>
  <c r="H110" i="137"/>
  <c r="N110" i="137" s="1"/>
  <c r="H109" i="137"/>
  <c r="M109" i="137" s="1"/>
  <c r="H102" i="137"/>
  <c r="K102" i="137" s="1"/>
  <c r="H98" i="137"/>
  <c r="J98" i="137" s="1"/>
  <c r="H119" i="137"/>
  <c r="K119" i="137" s="1"/>
  <c r="H115" i="137"/>
  <c r="J115" i="137" s="1"/>
  <c r="H111" i="137"/>
  <c r="N111" i="137" s="1"/>
  <c r="H107" i="137"/>
  <c r="M107" i="137" s="1"/>
  <c r="H103" i="137"/>
  <c r="K103" i="137" s="1"/>
  <c r="H91" i="137"/>
  <c r="M91" i="137" s="1"/>
  <c r="H100" i="137"/>
  <c r="J100" i="137" s="1"/>
  <c r="H104" i="137"/>
  <c r="L104" i="137" s="1"/>
  <c r="H80" i="137"/>
  <c r="H76" i="137"/>
  <c r="L76" i="137" s="1"/>
  <c r="H64" i="137"/>
  <c r="H56" i="137"/>
  <c r="M56" i="137" s="1"/>
  <c r="H62" i="137"/>
  <c r="K62" i="137" s="1"/>
  <c r="H20" i="137"/>
  <c r="J20" i="137" s="1"/>
  <c r="H34" i="137"/>
  <c r="L34" i="137" s="1"/>
  <c r="H26" i="137"/>
  <c r="K26" i="137" s="1"/>
  <c r="H18" i="137"/>
  <c r="L18" i="137" s="1"/>
  <c r="H41" i="137"/>
  <c r="J41" i="137" s="1"/>
  <c r="H40" i="137"/>
  <c r="J40" i="137" s="1"/>
  <c r="H28" i="137"/>
  <c r="H38" i="137"/>
  <c r="L38" i="137" s="1"/>
  <c r="H30" i="137"/>
  <c r="H22" i="137"/>
  <c r="K22" i="137" s="1"/>
  <c r="H14" i="137"/>
  <c r="L14" i="137" s="1"/>
  <c r="H36" i="137"/>
  <c r="J36" i="137" s="1"/>
  <c r="H12" i="137"/>
  <c r="M12" i="137" s="1"/>
  <c r="H32" i="137"/>
  <c r="J32" i="137" s="1"/>
  <c r="H24" i="137"/>
  <c r="N24" i="137" s="1"/>
  <c r="H16" i="137"/>
  <c r="M16" i="137" s="1"/>
  <c r="H39" i="137"/>
  <c r="H35" i="137"/>
  <c r="M35" i="137" s="1"/>
  <c r="H31" i="137"/>
  <c r="L31" i="137" s="1"/>
  <c r="H27" i="137"/>
  <c r="L27" i="137" s="1"/>
  <c r="H23" i="137"/>
  <c r="M23" i="137" s="1"/>
  <c r="H19" i="137"/>
  <c r="M19" i="137" s="1"/>
  <c r="H15" i="137"/>
  <c r="M15" i="137" s="1"/>
  <c r="H11" i="137"/>
  <c r="A26" i="135"/>
  <c r="I26" i="135" s="1"/>
  <c r="A29" i="135"/>
  <c r="I29" i="135" s="1"/>
  <c r="A46" i="135"/>
  <c r="I46" i="135" s="1"/>
  <c r="G15" i="135"/>
  <c r="L15" i="135" s="1"/>
  <c r="G11" i="135"/>
  <c r="M11" i="135" s="1"/>
  <c r="G28" i="135"/>
  <c r="K28" i="135" s="1"/>
  <c r="G46" i="135"/>
  <c r="L46" i="135" s="1"/>
  <c r="I10" i="135"/>
  <c r="A32" i="135"/>
  <c r="I32" i="135" s="1"/>
  <c r="A28" i="135"/>
  <c r="I28" i="135" s="1"/>
  <c r="A45" i="135"/>
  <c r="I45" i="135" s="1"/>
  <c r="G26" i="135"/>
  <c r="K26" i="135" s="1"/>
  <c r="G30" i="135"/>
  <c r="N30" i="135" s="1"/>
  <c r="G29" i="135"/>
  <c r="L29" i="135" s="1"/>
  <c r="G48" i="135"/>
  <c r="N48" i="135" s="1"/>
  <c r="G47" i="135"/>
  <c r="L47" i="135" s="1"/>
  <c r="G45" i="135"/>
  <c r="N45" i="135" s="1"/>
  <c r="I16" i="135"/>
  <c r="I14" i="135"/>
  <c r="I12" i="135"/>
  <c r="A31" i="135"/>
  <c r="I31" i="135" s="1"/>
  <c r="A27" i="135"/>
  <c r="I27" i="135" s="1"/>
  <c r="G13" i="135"/>
  <c r="M13" i="135" s="1"/>
  <c r="A47" i="135"/>
  <c r="I47" i="135" s="1"/>
  <c r="A43" i="135"/>
  <c r="I43" i="135" s="1"/>
  <c r="G27" i="135"/>
  <c r="M27" i="135" s="1"/>
  <c r="I15" i="251"/>
  <c r="O28" i="271"/>
  <c r="O11" i="271"/>
  <c r="A53" i="127"/>
  <c r="A54" i="127"/>
  <c r="A55" i="127"/>
  <c r="A56" i="127"/>
  <c r="A57" i="127"/>
  <c r="A58" i="127"/>
  <c r="A59" i="127"/>
  <c r="A52" i="127"/>
  <c r="C30" i="232"/>
  <c r="D30" i="232"/>
  <c r="E30" i="232"/>
  <c r="F30" i="232"/>
  <c r="C31" i="232"/>
  <c r="D31" i="232"/>
  <c r="E31" i="232"/>
  <c r="F31" i="232"/>
  <c r="C32" i="232"/>
  <c r="D32" i="232"/>
  <c r="E32" i="232"/>
  <c r="F32" i="232"/>
  <c r="C33" i="232"/>
  <c r="D33" i="232"/>
  <c r="E33" i="232"/>
  <c r="F33" i="232"/>
  <c r="C29" i="232"/>
  <c r="D29" i="232"/>
  <c r="E29" i="232"/>
  <c r="F29" i="232"/>
  <c r="I13" i="248"/>
  <c r="H13" i="248"/>
  <c r="G13" i="248"/>
  <c r="D13" i="248"/>
  <c r="C13" i="248"/>
  <c r="B13" i="248"/>
  <c r="I12" i="248"/>
  <c r="H12" i="248"/>
  <c r="G12" i="248"/>
  <c r="D12" i="248"/>
  <c r="C12" i="248"/>
  <c r="B12" i="248"/>
  <c r="I11" i="248"/>
  <c r="H11" i="248"/>
  <c r="G11" i="248"/>
  <c r="D11" i="248"/>
  <c r="C11" i="248"/>
  <c r="B11" i="248"/>
  <c r="I10" i="248"/>
  <c r="H10" i="248"/>
  <c r="G10" i="248"/>
  <c r="D10" i="248"/>
  <c r="C10" i="248"/>
  <c r="B10" i="248"/>
  <c r="H32" i="125"/>
  <c r="H33" i="125"/>
  <c r="H34" i="125"/>
  <c r="H35" i="125"/>
  <c r="H36" i="125"/>
  <c r="H37" i="125"/>
  <c r="H38" i="125"/>
  <c r="H31" i="125"/>
  <c r="G38" i="125"/>
  <c r="F38" i="125"/>
  <c r="G37" i="125"/>
  <c r="F37" i="125"/>
  <c r="G36" i="125"/>
  <c r="F36" i="125"/>
  <c r="G35" i="125"/>
  <c r="F35" i="125"/>
  <c r="G34" i="125"/>
  <c r="F34" i="125"/>
  <c r="G33" i="125"/>
  <c r="F33" i="125"/>
  <c r="G32" i="125"/>
  <c r="F32" i="125"/>
  <c r="G31" i="125"/>
  <c r="F31" i="125"/>
  <c r="B32" i="125"/>
  <c r="C32" i="125"/>
  <c r="G11" i="128" s="1"/>
  <c r="D32" i="125"/>
  <c r="B33" i="125"/>
  <c r="F12" i="128" s="1"/>
  <c r="C33" i="125"/>
  <c r="G12" i="128" s="1"/>
  <c r="D33" i="125"/>
  <c r="B34" i="125"/>
  <c r="C34" i="125"/>
  <c r="G13" i="128" s="1"/>
  <c r="D34" i="125"/>
  <c r="B35" i="125"/>
  <c r="F14" i="128" s="1"/>
  <c r="C35" i="125"/>
  <c r="G14" i="128" s="1"/>
  <c r="D35" i="125"/>
  <c r="B36" i="125"/>
  <c r="C36" i="125"/>
  <c r="G15" i="128" s="1"/>
  <c r="D36" i="125"/>
  <c r="B37" i="125"/>
  <c r="F16" i="128" s="1"/>
  <c r="C37" i="125"/>
  <c r="G16" i="128" s="1"/>
  <c r="D37" i="125"/>
  <c r="B38" i="125"/>
  <c r="F17" i="128" s="1"/>
  <c r="C38" i="125"/>
  <c r="G17" i="128" s="1"/>
  <c r="D38" i="125"/>
  <c r="D31" i="125"/>
  <c r="C31" i="125"/>
  <c r="A32" i="125"/>
  <c r="A33" i="125"/>
  <c r="A34" i="125"/>
  <c r="A35" i="125"/>
  <c r="A36" i="125"/>
  <c r="A37" i="125"/>
  <c r="A38" i="125"/>
  <c r="A31" i="125"/>
  <c r="B31" i="125"/>
  <c r="C11" i="128"/>
  <c r="C12" i="128"/>
  <c r="B13" i="128"/>
  <c r="C13" i="128"/>
  <c r="B14" i="128"/>
  <c r="C14" i="128"/>
  <c r="C15" i="128"/>
  <c r="B16" i="128"/>
  <c r="C16" i="128"/>
  <c r="B17" i="128"/>
  <c r="C17" i="128"/>
  <c r="B10" i="128"/>
  <c r="A15" i="125"/>
  <c r="A11" i="128" s="1"/>
  <c r="A16" i="125"/>
  <c r="A12" i="128" s="1"/>
  <c r="A17" i="125"/>
  <c r="A13" i="128" s="1"/>
  <c r="A18" i="125"/>
  <c r="A14" i="128" s="1"/>
  <c r="A19" i="125"/>
  <c r="A15" i="128" s="1"/>
  <c r="A20" i="125"/>
  <c r="A16" i="128" s="1"/>
  <c r="A21" i="125"/>
  <c r="A17" i="128" s="1"/>
  <c r="A14" i="125"/>
  <c r="A10" i="128" s="1"/>
  <c r="E41" i="80"/>
  <c r="D41" i="80"/>
  <c r="C41" i="80"/>
  <c r="B41" i="80"/>
  <c r="D80" i="28"/>
  <c r="E80" i="28"/>
  <c r="F80" i="28"/>
  <c r="G80" i="28"/>
  <c r="H80" i="28"/>
  <c r="I80" i="28"/>
  <c r="J80" i="28"/>
  <c r="L80" i="28" s="1"/>
  <c r="K80" i="28"/>
  <c r="C80" i="28"/>
  <c r="B80" i="28"/>
  <c r="K42" i="28"/>
  <c r="J42" i="28"/>
  <c r="I42" i="28"/>
  <c r="L42" i="28" s="1"/>
  <c r="H42" i="28"/>
  <c r="G42" i="28"/>
  <c r="F42" i="28"/>
  <c r="E42" i="28"/>
  <c r="M42" i="28" s="1"/>
  <c r="D42" i="28"/>
  <c r="C42" i="28"/>
  <c r="B42" i="28"/>
  <c r="B27" i="27"/>
  <c r="C27" i="27"/>
  <c r="D27" i="27"/>
  <c r="E27" i="27"/>
  <c r="F27" i="27"/>
  <c r="G27" i="27"/>
  <c r="H27" i="27"/>
  <c r="I27" i="27"/>
  <c r="J27" i="27"/>
  <c r="B28" i="27"/>
  <c r="C28" i="27"/>
  <c r="D28" i="27"/>
  <c r="E28" i="27"/>
  <c r="F28" i="27"/>
  <c r="G28" i="27"/>
  <c r="H28" i="27"/>
  <c r="I28" i="27"/>
  <c r="J28" i="27"/>
  <c r="B29" i="27"/>
  <c r="C29" i="27"/>
  <c r="D29" i="27"/>
  <c r="E29" i="27"/>
  <c r="F29" i="27"/>
  <c r="G29" i="27"/>
  <c r="H29" i="27"/>
  <c r="I29" i="27"/>
  <c r="J29" i="27"/>
  <c r="B30" i="27"/>
  <c r="C30" i="27"/>
  <c r="D30" i="27"/>
  <c r="E30" i="27"/>
  <c r="F30" i="27"/>
  <c r="G30" i="27"/>
  <c r="H30" i="27"/>
  <c r="I30" i="27"/>
  <c r="J30" i="27"/>
  <c r="B31" i="27"/>
  <c r="C31" i="27"/>
  <c r="D31" i="27"/>
  <c r="E31" i="27"/>
  <c r="F31" i="27"/>
  <c r="G31" i="27"/>
  <c r="H31" i="27"/>
  <c r="I31" i="27"/>
  <c r="J31" i="27"/>
  <c r="B32" i="27"/>
  <c r="C32" i="27"/>
  <c r="D32" i="27"/>
  <c r="E32" i="27"/>
  <c r="F32" i="27"/>
  <c r="G32" i="27"/>
  <c r="H32" i="27"/>
  <c r="I32" i="27"/>
  <c r="J32" i="27"/>
  <c r="C26" i="27"/>
  <c r="D26" i="27"/>
  <c r="E26" i="27"/>
  <c r="F26" i="27"/>
  <c r="G26" i="27"/>
  <c r="H26" i="27"/>
  <c r="I26" i="27"/>
  <c r="J26" i="27"/>
  <c r="B26" i="27"/>
  <c r="B11" i="27"/>
  <c r="C11" i="27"/>
  <c r="D11" i="27"/>
  <c r="E11" i="27"/>
  <c r="F11" i="27"/>
  <c r="G11" i="27"/>
  <c r="H11" i="27"/>
  <c r="I11" i="27"/>
  <c r="J11" i="27"/>
  <c r="B12" i="27"/>
  <c r="C12" i="27"/>
  <c r="D12" i="27"/>
  <c r="E12" i="27"/>
  <c r="F12" i="27"/>
  <c r="G12" i="27"/>
  <c r="H12" i="27"/>
  <c r="I12" i="27"/>
  <c r="J12" i="27"/>
  <c r="B13" i="27"/>
  <c r="C13" i="27"/>
  <c r="D13" i="27"/>
  <c r="E13" i="27"/>
  <c r="F13" i="27"/>
  <c r="G13" i="27"/>
  <c r="H13" i="27"/>
  <c r="I13" i="27"/>
  <c r="J13" i="27"/>
  <c r="B14" i="27"/>
  <c r="C14" i="27"/>
  <c r="D14" i="27"/>
  <c r="E14" i="27"/>
  <c r="F14" i="27"/>
  <c r="G14" i="27"/>
  <c r="H14" i="27"/>
  <c r="I14" i="27"/>
  <c r="J14" i="27"/>
  <c r="B15" i="27"/>
  <c r="C15" i="27"/>
  <c r="D15" i="27"/>
  <c r="E15" i="27"/>
  <c r="F15" i="27"/>
  <c r="G15" i="27"/>
  <c r="H15" i="27"/>
  <c r="I15" i="27"/>
  <c r="J15" i="27"/>
  <c r="B16" i="27"/>
  <c r="C16" i="27"/>
  <c r="D16" i="27"/>
  <c r="E16" i="27"/>
  <c r="F16" i="27"/>
  <c r="G16" i="27"/>
  <c r="H16" i="27"/>
  <c r="I16" i="27"/>
  <c r="J16" i="27"/>
  <c r="C10" i="27"/>
  <c r="D10" i="27"/>
  <c r="E10" i="27"/>
  <c r="F10" i="27"/>
  <c r="G10" i="27"/>
  <c r="H10" i="27"/>
  <c r="I10" i="27"/>
  <c r="J10" i="27"/>
  <c r="B10" i="27"/>
  <c r="A27" i="27"/>
  <c r="A28" i="27"/>
  <c r="A29" i="27"/>
  <c r="A30" i="27"/>
  <c r="A31" i="27"/>
  <c r="A32" i="27"/>
  <c r="A26" i="27"/>
  <c r="A11" i="27"/>
  <c r="A12" i="27"/>
  <c r="A13" i="27"/>
  <c r="A14" i="27"/>
  <c r="A15" i="27"/>
  <c r="A16" i="27"/>
  <c r="A10" i="27"/>
  <c r="B41" i="79"/>
  <c r="B80" i="244"/>
  <c r="B42" i="244"/>
  <c r="B42" i="243"/>
  <c r="E10" i="243"/>
  <c r="D10" i="243"/>
  <c r="C10" i="243"/>
  <c r="B120" i="137"/>
  <c r="B42" i="137"/>
  <c r="B81" i="137"/>
  <c r="B87"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B42" i="26"/>
  <c r="J39" i="240"/>
  <c r="K39" i="240"/>
  <c r="J40" i="240"/>
  <c r="K40" i="240"/>
  <c r="J41" i="240"/>
  <c r="K41" i="240"/>
  <c r="J42" i="240"/>
  <c r="K42" i="240"/>
  <c r="J43" i="240"/>
  <c r="K43" i="240"/>
  <c r="J44" i="240"/>
  <c r="K44" i="240"/>
  <c r="K38" i="240"/>
  <c r="J38" i="240"/>
  <c r="B39" i="240"/>
  <c r="C39" i="240"/>
  <c r="B40" i="240"/>
  <c r="C40" i="240"/>
  <c r="B41" i="240"/>
  <c r="C41" i="240"/>
  <c r="B42" i="240"/>
  <c r="C42" i="240"/>
  <c r="B43" i="240"/>
  <c r="C43" i="240"/>
  <c r="B44" i="240"/>
  <c r="C44" i="240"/>
  <c r="C38" i="240"/>
  <c r="B38" i="240"/>
  <c r="J11" i="240"/>
  <c r="K11" i="240"/>
  <c r="J12" i="240"/>
  <c r="K12" i="240"/>
  <c r="J13" i="240"/>
  <c r="K13" i="240"/>
  <c r="J14" i="240"/>
  <c r="K14" i="240"/>
  <c r="J15" i="240"/>
  <c r="K15" i="240"/>
  <c r="J16" i="240"/>
  <c r="K16" i="240"/>
  <c r="K10" i="240"/>
  <c r="J10" i="240"/>
  <c r="B11" i="240"/>
  <c r="C11" i="240"/>
  <c r="B12" i="240"/>
  <c r="C12" i="240"/>
  <c r="B13" i="240"/>
  <c r="C13" i="240"/>
  <c r="B14" i="240"/>
  <c r="C14" i="240"/>
  <c r="B15" i="240"/>
  <c r="C15" i="240"/>
  <c r="B16" i="240"/>
  <c r="C16" i="240"/>
  <c r="C10" i="240"/>
  <c r="B10" i="240"/>
  <c r="A44" i="240"/>
  <c r="I44" i="240" s="1"/>
  <c r="A43" i="240"/>
  <c r="I43" i="240" s="1"/>
  <c r="A42" i="240"/>
  <c r="I42" i="240" s="1"/>
  <c r="A41" i="240"/>
  <c r="I41" i="240" s="1"/>
  <c r="A40" i="240"/>
  <c r="I40" i="240" s="1"/>
  <c r="A39" i="240"/>
  <c r="I39" i="240" s="1"/>
  <c r="A38" i="240"/>
  <c r="I38" i="240" s="1"/>
  <c r="I16" i="240"/>
  <c r="A16" i="240"/>
  <c r="I15" i="240"/>
  <c r="A15" i="240"/>
  <c r="I14" i="240"/>
  <c r="A14" i="240"/>
  <c r="I13" i="240"/>
  <c r="A13" i="240"/>
  <c r="I12" i="240"/>
  <c r="A12" i="240"/>
  <c r="I11" i="240"/>
  <c r="A11" i="240"/>
  <c r="I10" i="240"/>
  <c r="A10" i="240"/>
  <c r="J38" i="166"/>
  <c r="K38" i="166"/>
  <c r="J39" i="166"/>
  <c r="K39" i="166"/>
  <c r="J40" i="166"/>
  <c r="K40" i="166"/>
  <c r="J41" i="166"/>
  <c r="K41" i="166"/>
  <c r="J42" i="166"/>
  <c r="K42" i="166"/>
  <c r="J43" i="166"/>
  <c r="K43" i="166"/>
  <c r="J44" i="166"/>
  <c r="K44" i="166"/>
  <c r="J45" i="166"/>
  <c r="K45" i="166"/>
  <c r="K37" i="166"/>
  <c r="J37" i="166"/>
  <c r="B45" i="166"/>
  <c r="C45" i="166"/>
  <c r="I11" i="166"/>
  <c r="J11" i="166"/>
  <c r="K11" i="166"/>
  <c r="I12" i="166"/>
  <c r="J12" i="166"/>
  <c r="K12" i="166"/>
  <c r="I13" i="166"/>
  <c r="J13" i="166"/>
  <c r="K13" i="166"/>
  <c r="I14" i="166"/>
  <c r="J14" i="166"/>
  <c r="K14" i="166"/>
  <c r="I15" i="166"/>
  <c r="J15" i="166"/>
  <c r="K15" i="166"/>
  <c r="I16" i="166"/>
  <c r="J16" i="166"/>
  <c r="K16" i="166"/>
  <c r="I17" i="166"/>
  <c r="J17" i="166"/>
  <c r="K17" i="166"/>
  <c r="I18" i="166"/>
  <c r="J18" i="166"/>
  <c r="K18" i="166"/>
  <c r="K10" i="166"/>
  <c r="J10" i="166"/>
  <c r="I10" i="166"/>
  <c r="A38" i="166"/>
  <c r="I38" i="166" s="1"/>
  <c r="A39" i="166"/>
  <c r="I39" i="166" s="1"/>
  <c r="A40" i="166"/>
  <c r="I40" i="166" s="1"/>
  <c r="A41" i="166"/>
  <c r="I41" i="166" s="1"/>
  <c r="A42" i="166"/>
  <c r="I42" i="166" s="1"/>
  <c r="A43" i="166"/>
  <c r="I43" i="166" s="1"/>
  <c r="A44" i="166"/>
  <c r="A45" i="166"/>
  <c r="A37" i="166"/>
  <c r="I37" i="166" s="1"/>
  <c r="B11" i="166"/>
  <c r="C11" i="166"/>
  <c r="B12" i="166"/>
  <c r="C12" i="166"/>
  <c r="B13" i="166"/>
  <c r="C13" i="166"/>
  <c r="B14" i="166"/>
  <c r="C14" i="166"/>
  <c r="B15" i="166"/>
  <c r="C15" i="166"/>
  <c r="B16" i="166"/>
  <c r="C16" i="166"/>
  <c r="B17" i="166"/>
  <c r="C17" i="166"/>
  <c r="B18" i="166"/>
  <c r="C18" i="166"/>
  <c r="C10" i="166"/>
  <c r="B10" i="166"/>
  <c r="A11" i="166"/>
  <c r="A12" i="166"/>
  <c r="A13" i="166"/>
  <c r="A14" i="166"/>
  <c r="A15" i="166"/>
  <c r="A16" i="166"/>
  <c r="A17" i="166"/>
  <c r="A18" i="166"/>
  <c r="A10" i="166"/>
  <c r="B11" i="14"/>
  <c r="C11" i="14"/>
  <c r="B12" i="14"/>
  <c r="C12" i="14"/>
  <c r="B13" i="14"/>
  <c r="C13" i="14"/>
  <c r="B14" i="14"/>
  <c r="C14" i="14"/>
  <c r="B15" i="14"/>
  <c r="C15" i="14"/>
  <c r="B16" i="14"/>
  <c r="C16" i="14"/>
  <c r="C10" i="14"/>
  <c r="B10" i="14"/>
  <c r="A11" i="14"/>
  <c r="A12" i="14"/>
  <c r="A13" i="14"/>
  <c r="A14" i="14"/>
  <c r="A15" i="14"/>
  <c r="A16" i="14"/>
  <c r="A10" i="14"/>
  <c r="B37" i="14"/>
  <c r="E11" i="238"/>
  <c r="F11" i="238" s="1"/>
  <c r="B43" i="99"/>
  <c r="D43" i="99" s="1"/>
  <c r="B43" i="237"/>
  <c r="D43" i="237" s="1"/>
  <c r="B44" i="13"/>
  <c r="D41" i="79"/>
  <c r="C41" i="79"/>
  <c r="B10" i="131"/>
  <c r="F13" i="126"/>
  <c r="F14" i="131"/>
  <c r="F15" i="126"/>
  <c r="C12" i="126"/>
  <c r="E11" i="131"/>
  <c r="B20" i="129"/>
  <c r="B18" i="249"/>
  <c r="E13" i="131"/>
  <c r="F12" i="126"/>
  <c r="F17" i="126"/>
  <c r="C18" i="249"/>
  <c r="F14" i="126"/>
  <c r="F16" i="126"/>
  <c r="K10" i="135" l="1"/>
  <c r="M69" i="137"/>
  <c r="Q21" i="142"/>
  <c r="Q22" i="142"/>
  <c r="Q19" i="142"/>
  <c r="Q12" i="142"/>
  <c r="Q20" i="142"/>
  <c r="Q18" i="142"/>
  <c r="Q25" i="142"/>
  <c r="Q13" i="142"/>
  <c r="D29" i="145"/>
  <c r="D28" i="145"/>
  <c r="L59" i="137"/>
  <c r="J77" i="137"/>
  <c r="I45" i="166"/>
  <c r="K32" i="135"/>
  <c r="N31" i="135"/>
  <c r="A32" i="240"/>
  <c r="D30" i="142"/>
  <c r="L11" i="12"/>
  <c r="A31" i="240"/>
  <c r="I44" i="166"/>
  <c r="I30" i="142"/>
  <c r="J30" i="142"/>
  <c r="C30" i="142"/>
  <c r="H30" i="142"/>
  <c r="F30" i="142"/>
  <c r="E30" i="142"/>
  <c r="G30" i="142"/>
  <c r="B30" i="142"/>
  <c r="K30" i="142"/>
  <c r="A31" i="14"/>
  <c r="A32" i="14"/>
  <c r="F44" i="13"/>
  <c r="M44" i="13"/>
  <c r="G10" i="128"/>
  <c r="L53" i="137"/>
  <c r="K16" i="135"/>
  <c r="J16" i="135"/>
  <c r="K31" i="135"/>
  <c r="M46" i="135"/>
  <c r="L31" i="135"/>
  <c r="M16" i="135"/>
  <c r="M31" i="135"/>
  <c r="J32" i="135"/>
  <c r="K67" i="137"/>
  <c r="M32" i="135"/>
  <c r="A34" i="272"/>
  <c r="A30" i="272"/>
  <c r="A33" i="272"/>
  <c r="A32" i="272"/>
  <c r="A29" i="272"/>
  <c r="A35" i="272"/>
  <c r="A31" i="272"/>
  <c r="L72" i="137"/>
  <c r="I34" i="125"/>
  <c r="I38" i="125"/>
  <c r="M17" i="137"/>
  <c r="J68" i="137"/>
  <c r="N69" i="137"/>
  <c r="N55" i="137"/>
  <c r="J12" i="135"/>
  <c r="M53" i="137"/>
  <c r="M59" i="137"/>
  <c r="J55" i="137"/>
  <c r="N43" i="135"/>
  <c r="J42" i="135"/>
  <c r="M42" i="135"/>
  <c r="K42" i="135"/>
  <c r="M13" i="137"/>
  <c r="L42" i="135"/>
  <c r="N72" i="137"/>
  <c r="L44" i="135"/>
  <c r="K15" i="27"/>
  <c r="K11" i="27"/>
  <c r="K29" i="27"/>
  <c r="L27" i="27"/>
  <c r="I36" i="125"/>
  <c r="L77" i="137"/>
  <c r="M21" i="137"/>
  <c r="E17" i="125"/>
  <c r="D13" i="128" s="1"/>
  <c r="K37" i="137"/>
  <c r="M77" i="137"/>
  <c r="M60" i="137"/>
  <c r="K77" i="137"/>
  <c r="L60" i="137"/>
  <c r="J72" i="137"/>
  <c r="K75" i="137"/>
  <c r="M12" i="135"/>
  <c r="L31" i="27"/>
  <c r="I32" i="125"/>
  <c r="N75" i="137"/>
  <c r="M44" i="135"/>
  <c r="K12" i="135"/>
  <c r="L12" i="135"/>
  <c r="N37" i="137"/>
  <c r="K21" i="137"/>
  <c r="L61" i="137"/>
  <c r="J53" i="137"/>
  <c r="J70" i="137"/>
  <c r="K52" i="137"/>
  <c r="M72" i="137"/>
  <c r="L75" i="137"/>
  <c r="K61" i="137"/>
  <c r="K44" i="135"/>
  <c r="J43" i="135"/>
  <c r="J44" i="135"/>
  <c r="L13" i="27"/>
  <c r="L16" i="27"/>
  <c r="K14" i="27"/>
  <c r="L12" i="27"/>
  <c r="K32" i="27"/>
  <c r="L30" i="27"/>
  <c r="K28" i="27"/>
  <c r="E19" i="125"/>
  <c r="G19" i="125" s="1"/>
  <c r="E15" i="125"/>
  <c r="G15" i="125" s="1"/>
  <c r="E36" i="125"/>
  <c r="H15" i="128" s="1"/>
  <c r="E32" i="125"/>
  <c r="H11" i="128" s="1"/>
  <c r="N10" i="135"/>
  <c r="N65" i="137"/>
  <c r="K16" i="27"/>
  <c r="L14" i="27"/>
  <c r="K12" i="27"/>
  <c r="L32" i="27"/>
  <c r="K30" i="27"/>
  <c r="L28" i="27"/>
  <c r="E38" i="125"/>
  <c r="H17" i="128" s="1"/>
  <c r="E34" i="125"/>
  <c r="H13" i="128" s="1"/>
  <c r="M14" i="135"/>
  <c r="N13" i="137"/>
  <c r="N21" i="137"/>
  <c r="N67" i="137"/>
  <c r="J65" i="137"/>
  <c r="N60" i="137"/>
  <c r="J60" i="137"/>
  <c r="M54" i="137"/>
  <c r="K65" i="137"/>
  <c r="K10" i="27"/>
  <c r="L15" i="27"/>
  <c r="K13" i="27"/>
  <c r="L11" i="27"/>
  <c r="K31" i="27"/>
  <c r="L29" i="27"/>
  <c r="K27" i="27"/>
  <c r="E31" i="125"/>
  <c r="H10" i="128" s="1"/>
  <c r="I31" i="125"/>
  <c r="I33" i="125"/>
  <c r="I35" i="125"/>
  <c r="I37" i="125"/>
  <c r="J10" i="135"/>
  <c r="J28" i="135"/>
  <c r="J14" i="135"/>
  <c r="L14" i="135"/>
  <c r="L10" i="135"/>
  <c r="K14" i="135"/>
  <c r="J13" i="137"/>
  <c r="J21" i="137"/>
  <c r="J37" i="137"/>
  <c r="K13" i="137"/>
  <c r="L65" i="137"/>
  <c r="M55" i="137"/>
  <c r="N51" i="137"/>
  <c r="M75" i="137"/>
  <c r="B38" i="145"/>
  <c r="H44" i="13"/>
  <c r="C43" i="26"/>
  <c r="E35" i="125"/>
  <c r="H14" i="128" s="1"/>
  <c r="F13" i="128"/>
  <c r="K43" i="135"/>
  <c r="L16" i="135"/>
  <c r="E14" i="125"/>
  <c r="E20" i="125"/>
  <c r="D16" i="128" s="1"/>
  <c r="E16" i="125"/>
  <c r="D12" i="128" s="1"/>
  <c r="E21" i="125"/>
  <c r="D17" i="128" s="1"/>
  <c r="F10" i="128"/>
  <c r="E37" i="125"/>
  <c r="H16" i="128" s="1"/>
  <c r="E33" i="125"/>
  <c r="H12" i="128" s="1"/>
  <c r="C10" i="128"/>
  <c r="B15" i="128"/>
  <c r="B12" i="128"/>
  <c r="B11" i="128"/>
  <c r="F15" i="128"/>
  <c r="F11" i="128"/>
  <c r="M48" i="135"/>
  <c r="L63" i="137"/>
  <c r="M73" i="137"/>
  <c r="J74" i="137"/>
  <c r="N17" i="137"/>
  <c r="M43" i="135"/>
  <c r="E18" i="125"/>
  <c r="M63" i="137"/>
  <c r="L55" i="137"/>
  <c r="N61" i="137"/>
  <c r="J63" i="137"/>
  <c r="L73" i="137"/>
  <c r="J59" i="137"/>
  <c r="M37" i="137"/>
  <c r="J28" i="145"/>
  <c r="J30" i="145"/>
  <c r="J29" i="145"/>
  <c r="K31" i="145"/>
  <c r="F37" i="145"/>
  <c r="K33" i="145"/>
  <c r="I29" i="145"/>
  <c r="G32" i="145"/>
  <c r="I39" i="145"/>
  <c r="K32" i="12"/>
  <c r="F32" i="127"/>
  <c r="K39" i="145"/>
  <c r="K34" i="145"/>
  <c r="F17" i="127"/>
  <c r="G36" i="232" s="1"/>
  <c r="F16" i="127"/>
  <c r="G35" i="232" s="1"/>
  <c r="F14" i="127"/>
  <c r="G33" i="232" s="1"/>
  <c r="F13" i="127"/>
  <c r="G32" i="232" s="1"/>
  <c r="K35" i="145"/>
  <c r="F34" i="145"/>
  <c r="K32" i="145"/>
  <c r="K28" i="145"/>
  <c r="J36" i="145"/>
  <c r="K29" i="145"/>
  <c r="K37" i="145"/>
  <c r="D31" i="145"/>
  <c r="E33" i="145"/>
  <c r="E32" i="145"/>
  <c r="C32" i="145"/>
  <c r="G30" i="145"/>
  <c r="C31" i="145"/>
  <c r="C35" i="145"/>
  <c r="H38" i="145"/>
  <c r="C28" i="145"/>
  <c r="H35" i="145"/>
  <c r="C29" i="145"/>
  <c r="H32" i="145"/>
  <c r="D36" i="145"/>
  <c r="H29" i="145"/>
  <c r="B34" i="145"/>
  <c r="J33" i="145"/>
  <c r="G31" i="145"/>
  <c r="G35" i="145"/>
  <c r="C39" i="145"/>
  <c r="G28" i="145"/>
  <c r="G36" i="145"/>
  <c r="G29" i="145"/>
  <c r="G33" i="145"/>
  <c r="G37" i="145"/>
  <c r="K36" i="145"/>
  <c r="C34" i="145"/>
  <c r="K38" i="145"/>
  <c r="G38" i="145"/>
  <c r="K31" i="12"/>
  <c r="E28" i="145"/>
  <c r="C36" i="145"/>
  <c r="G39" i="145"/>
  <c r="H31" i="145"/>
  <c r="I28" i="145"/>
  <c r="K28" i="12"/>
  <c r="K34" i="12"/>
  <c r="L32" i="12"/>
  <c r="K30" i="12"/>
  <c r="F38" i="127"/>
  <c r="F28" i="145"/>
  <c r="B39" i="145"/>
  <c r="B35" i="145"/>
  <c r="B31" i="145"/>
  <c r="B30" i="145"/>
  <c r="I34" i="145"/>
  <c r="B28" i="145"/>
  <c r="E29" i="145"/>
  <c r="J32" i="145"/>
  <c r="H34" i="145"/>
  <c r="F36" i="145"/>
  <c r="D38" i="145"/>
  <c r="E30" i="145"/>
  <c r="E34" i="145"/>
  <c r="D39" i="145"/>
  <c r="H28" i="145"/>
  <c r="F30" i="145"/>
  <c r="D32" i="145"/>
  <c r="I35" i="145"/>
  <c r="E39" i="145"/>
  <c r="B37" i="145"/>
  <c r="D35" i="145"/>
  <c r="B36" i="145"/>
  <c r="I36" i="145"/>
  <c r="F39" i="145"/>
  <c r="H33" i="145"/>
  <c r="L16" i="12"/>
  <c r="L15" i="12"/>
  <c r="L14" i="12"/>
  <c r="M14" i="12"/>
  <c r="M13" i="12"/>
  <c r="L12" i="12"/>
  <c r="F10" i="127"/>
  <c r="G29" i="232" s="1"/>
  <c r="F12" i="127"/>
  <c r="G31" i="232" s="1"/>
  <c r="D30" i="145"/>
  <c r="I33" i="145"/>
  <c r="E37" i="145"/>
  <c r="E31" i="145"/>
  <c r="C33" i="145"/>
  <c r="J34" i="145"/>
  <c r="H36" i="145"/>
  <c r="F38" i="145"/>
  <c r="B29" i="145"/>
  <c r="I30" i="145"/>
  <c r="E38" i="145"/>
  <c r="C30" i="145"/>
  <c r="J35" i="145"/>
  <c r="F31" i="145"/>
  <c r="F35" i="145"/>
  <c r="L17" i="12"/>
  <c r="M16" i="12"/>
  <c r="L13" i="12"/>
  <c r="M12" i="12"/>
  <c r="L28" i="12"/>
  <c r="L34" i="12"/>
  <c r="L30" i="12"/>
  <c r="I38" i="145"/>
  <c r="H30" i="145"/>
  <c r="F32" i="145"/>
  <c r="D34" i="145"/>
  <c r="I37" i="145"/>
  <c r="F29" i="145"/>
  <c r="J37" i="145"/>
  <c r="I31" i="145"/>
  <c r="E35" i="145"/>
  <c r="C37" i="145"/>
  <c r="J38" i="145"/>
  <c r="B33" i="145"/>
  <c r="H39" i="145"/>
  <c r="D33" i="145"/>
  <c r="J31" i="145"/>
  <c r="D37" i="145"/>
  <c r="F10" i="243"/>
  <c r="F43" i="243" s="1"/>
  <c r="L15" i="137"/>
  <c r="L91" i="137"/>
  <c r="M94" i="137"/>
  <c r="N97" i="137"/>
  <c r="J101" i="137"/>
  <c r="K104" i="137"/>
  <c r="L107" i="137"/>
  <c r="M110" i="137"/>
  <c r="N113" i="137"/>
  <c r="J117" i="137"/>
  <c r="K89" i="137"/>
  <c r="L92" i="137"/>
  <c r="M95" i="137"/>
  <c r="N98" i="137"/>
  <c r="J102" i="137"/>
  <c r="K105" i="137"/>
  <c r="L108" i="137"/>
  <c r="M111" i="137"/>
  <c r="N114" i="137"/>
  <c r="J118" i="137"/>
  <c r="K90" i="137"/>
  <c r="L93" i="137"/>
  <c r="M96" i="137"/>
  <c r="N99" i="137"/>
  <c r="J103" i="137"/>
  <c r="K106" i="137"/>
  <c r="L109" i="137"/>
  <c r="M112" i="137"/>
  <c r="N115" i="137"/>
  <c r="J119" i="137"/>
  <c r="K91" i="137"/>
  <c r="L94" i="137"/>
  <c r="M97" i="137"/>
  <c r="N100" i="137"/>
  <c r="J104" i="137"/>
  <c r="K107" i="137"/>
  <c r="L110" i="137"/>
  <c r="M113" i="137"/>
  <c r="N116" i="137"/>
  <c r="J89" i="137"/>
  <c r="K92" i="137"/>
  <c r="L95" i="137"/>
  <c r="M98" i="137"/>
  <c r="N101" i="137"/>
  <c r="J105" i="137"/>
  <c r="K108" i="137"/>
  <c r="L111" i="137"/>
  <c r="M114" i="137"/>
  <c r="N117" i="137"/>
  <c r="J90" i="137"/>
  <c r="K93" i="137"/>
  <c r="L96" i="137"/>
  <c r="M99" i="137"/>
  <c r="N102" i="137"/>
  <c r="J106" i="137"/>
  <c r="K109" i="137"/>
  <c r="L112" i="137"/>
  <c r="M115" i="137"/>
  <c r="N118" i="137"/>
  <c r="J91" i="137"/>
  <c r="K94" i="137"/>
  <c r="L97" i="137"/>
  <c r="M100" i="137"/>
  <c r="N103" i="137"/>
  <c r="J107" i="137"/>
  <c r="K110" i="137"/>
  <c r="L113" i="137"/>
  <c r="M116" i="137"/>
  <c r="N119" i="137"/>
  <c r="J92" i="137"/>
  <c r="K95" i="137"/>
  <c r="L98" i="137"/>
  <c r="M101" i="137"/>
  <c r="N104" i="137"/>
  <c r="J108" i="137"/>
  <c r="K111" i="137"/>
  <c r="L114" i="137"/>
  <c r="M117" i="137"/>
  <c r="N41" i="137"/>
  <c r="N89" i="137"/>
  <c r="J93" i="137"/>
  <c r="K96" i="137"/>
  <c r="L99" i="137"/>
  <c r="M102" i="137"/>
  <c r="N105" i="137"/>
  <c r="J109" i="137"/>
  <c r="K112" i="137"/>
  <c r="L115" i="137"/>
  <c r="M118" i="137"/>
  <c r="N90" i="137"/>
  <c r="J94" i="137"/>
  <c r="K97" i="137"/>
  <c r="L100" i="137"/>
  <c r="M103" i="137"/>
  <c r="N106" i="137"/>
  <c r="J110" i="137"/>
  <c r="K113" i="137"/>
  <c r="L116" i="137"/>
  <c r="M119" i="137"/>
  <c r="N91" i="137"/>
  <c r="J95" i="137"/>
  <c r="K98" i="137"/>
  <c r="L101" i="137"/>
  <c r="M104" i="137"/>
  <c r="N107" i="137"/>
  <c r="J111" i="137"/>
  <c r="K114" i="137"/>
  <c r="L117" i="137"/>
  <c r="M89" i="137"/>
  <c r="N92" i="137"/>
  <c r="J96" i="137"/>
  <c r="K99" i="137"/>
  <c r="L102" i="137"/>
  <c r="M105" i="137"/>
  <c r="N108" i="137"/>
  <c r="J112" i="137"/>
  <c r="K115" i="137"/>
  <c r="L118" i="137"/>
  <c r="M90" i="137"/>
  <c r="N93" i="137"/>
  <c r="K100" i="137"/>
  <c r="L103" i="137"/>
  <c r="M106" i="137"/>
  <c r="N109" i="137"/>
  <c r="K116" i="137"/>
  <c r="L119" i="137"/>
  <c r="J50" i="137"/>
  <c r="K50" i="137"/>
  <c r="M70" i="137"/>
  <c r="J66" i="137"/>
  <c r="M74" i="137"/>
  <c r="K74" i="137"/>
  <c r="M50" i="137"/>
  <c r="K17" i="137"/>
  <c r="N50" i="137"/>
  <c r="K70" i="137"/>
  <c r="L70" i="137"/>
  <c r="L74" i="137"/>
  <c r="J61" i="137"/>
  <c r="J17" i="137"/>
  <c r="J67" i="137"/>
  <c r="J51" i="137"/>
  <c r="J69" i="137"/>
  <c r="K29" i="137"/>
  <c r="M67" i="137"/>
  <c r="M51" i="137"/>
  <c r="K68" i="137"/>
  <c r="K69" i="137"/>
  <c r="N29" i="137"/>
  <c r="K18" i="137"/>
  <c r="L51" i="137"/>
  <c r="N68" i="137"/>
  <c r="M57" i="137"/>
  <c r="M29" i="137"/>
  <c r="M24" i="137"/>
  <c r="J16" i="137"/>
  <c r="J24" i="137"/>
  <c r="K38" i="137"/>
  <c r="K25" i="137"/>
  <c r="L57" i="137"/>
  <c r="N57" i="137"/>
  <c r="N16" i="137"/>
  <c r="J29" i="137"/>
  <c r="M52" i="137"/>
  <c r="J57" i="137"/>
  <c r="K59" i="137"/>
  <c r="N63" i="137"/>
  <c r="J73" i="137"/>
  <c r="J79" i="137"/>
  <c r="L68" i="137"/>
  <c r="N25" i="137"/>
  <c r="N53" i="137"/>
  <c r="M20" i="137"/>
  <c r="J54" i="137"/>
  <c r="M25" i="137"/>
  <c r="N32" i="137"/>
  <c r="J12" i="137"/>
  <c r="N54" i="137"/>
  <c r="N73" i="137"/>
  <c r="K71" i="137"/>
  <c r="K78" i="137"/>
  <c r="K54" i="137"/>
  <c r="J25" i="137"/>
  <c r="K58" i="137"/>
  <c r="M58" i="137"/>
  <c r="K14" i="137"/>
  <c r="K34" i="137"/>
  <c r="K33" i="137"/>
  <c r="L71" i="137"/>
  <c r="L79" i="137"/>
  <c r="N66" i="137"/>
  <c r="M71" i="137"/>
  <c r="L52" i="137"/>
  <c r="M33" i="137"/>
  <c r="L19" i="137"/>
  <c r="N79" i="137"/>
  <c r="J78" i="137"/>
  <c r="N71" i="137"/>
  <c r="M79" i="137"/>
  <c r="L66" i="137"/>
  <c r="N52" i="137"/>
  <c r="M78" i="137"/>
  <c r="N78" i="137"/>
  <c r="N33" i="137"/>
  <c r="J33" i="137"/>
  <c r="N58" i="137"/>
  <c r="M66" i="137"/>
  <c r="J58" i="137"/>
  <c r="K64" i="137"/>
  <c r="L64" i="137"/>
  <c r="M64" i="137"/>
  <c r="J80" i="137"/>
  <c r="L80" i="137"/>
  <c r="M80" i="137"/>
  <c r="J64" i="137"/>
  <c r="J56" i="137"/>
  <c r="N64" i="137"/>
  <c r="K56" i="137"/>
  <c r="L56" i="137"/>
  <c r="N56" i="137"/>
  <c r="K80" i="137"/>
  <c r="N80" i="137"/>
  <c r="M62" i="137"/>
  <c r="J62" i="137"/>
  <c r="N62" i="137"/>
  <c r="J76" i="137"/>
  <c r="N76" i="137"/>
  <c r="K76" i="137"/>
  <c r="M76" i="137"/>
  <c r="L62" i="137"/>
  <c r="J11" i="137"/>
  <c r="N11" i="137"/>
  <c r="K11" i="137"/>
  <c r="M30" i="137"/>
  <c r="J30" i="137"/>
  <c r="N30" i="137"/>
  <c r="M27" i="137"/>
  <c r="J23" i="137"/>
  <c r="N23" i="137"/>
  <c r="K23" i="137"/>
  <c r="K39" i="137"/>
  <c r="N39" i="137"/>
  <c r="J39" i="137"/>
  <c r="L23" i="137"/>
  <c r="L39" i="137"/>
  <c r="M22" i="137"/>
  <c r="J22" i="137"/>
  <c r="N22" i="137"/>
  <c r="L30" i="137"/>
  <c r="M40" i="137"/>
  <c r="K28" i="137"/>
  <c r="L28" i="137"/>
  <c r="M26" i="137"/>
  <c r="N26" i="137"/>
  <c r="J26" i="137"/>
  <c r="J27" i="137"/>
  <c r="N27" i="137"/>
  <c r="K27" i="137"/>
  <c r="L40" i="137"/>
  <c r="K40" i="137"/>
  <c r="K20" i="137"/>
  <c r="L20" i="137"/>
  <c r="J15" i="137"/>
  <c r="N15" i="137"/>
  <c r="K15" i="137"/>
  <c r="J31" i="137"/>
  <c r="N31" i="137"/>
  <c r="K31" i="137"/>
  <c r="K16" i="137"/>
  <c r="L16" i="137"/>
  <c r="K24" i="137"/>
  <c r="L24" i="137"/>
  <c r="K32" i="137"/>
  <c r="L32" i="137"/>
  <c r="K12" i="137"/>
  <c r="L12" i="137"/>
  <c r="K36" i="137"/>
  <c r="L36" i="137"/>
  <c r="M28" i="137"/>
  <c r="M31" i="137"/>
  <c r="M38" i="137"/>
  <c r="J38" i="137"/>
  <c r="N38" i="137"/>
  <c r="N20" i="137"/>
  <c r="L35" i="137"/>
  <c r="M41" i="137"/>
  <c r="L41" i="137"/>
  <c r="M32" i="137"/>
  <c r="N28" i="137"/>
  <c r="M34" i="137"/>
  <c r="J34" i="137"/>
  <c r="N34" i="137"/>
  <c r="J19" i="137"/>
  <c r="N19" i="137"/>
  <c r="K19" i="137"/>
  <c r="J35" i="137"/>
  <c r="N35" i="137"/>
  <c r="K35" i="137"/>
  <c r="K30" i="137"/>
  <c r="N40" i="137"/>
  <c r="M14" i="137"/>
  <c r="J14" i="137"/>
  <c r="N14" i="137"/>
  <c r="L22" i="137"/>
  <c r="M36" i="137"/>
  <c r="M39" i="137"/>
  <c r="N12" i="137"/>
  <c r="J28" i="137"/>
  <c r="N36" i="137"/>
  <c r="M11" i="137"/>
  <c r="M18" i="137"/>
  <c r="N18" i="137"/>
  <c r="J18" i="137"/>
  <c r="L26" i="137"/>
  <c r="L11" i="137"/>
  <c r="K41" i="137"/>
  <c r="M45" i="135"/>
  <c r="K45" i="135"/>
  <c r="L48" i="135"/>
  <c r="N27" i="135"/>
  <c r="J47" i="135"/>
  <c r="N28" i="135"/>
  <c r="J13" i="135"/>
  <c r="K47" i="135"/>
  <c r="J29" i="135"/>
  <c r="K48" i="135"/>
  <c r="L28" i="135"/>
  <c r="J11" i="135"/>
  <c r="J15" i="135"/>
  <c r="J46" i="135"/>
  <c r="M28" i="135"/>
  <c r="L26" i="135"/>
  <c r="K15" i="135"/>
  <c r="N47" i="135"/>
  <c r="M29" i="135"/>
  <c r="M26" i="135"/>
  <c r="N13" i="135"/>
  <c r="J48" i="135"/>
  <c r="N29" i="135"/>
  <c r="K13" i="135"/>
  <c r="J45" i="135"/>
  <c r="K29" i="135"/>
  <c r="N11" i="135"/>
  <c r="N15" i="135"/>
  <c r="N46" i="135"/>
  <c r="K11" i="135"/>
  <c r="L45" i="135"/>
  <c r="L30" i="135"/>
  <c r="L11" i="135"/>
  <c r="J26" i="135"/>
  <c r="L27" i="135"/>
  <c r="M30" i="135"/>
  <c r="N26" i="135"/>
  <c r="M15" i="135"/>
  <c r="J30" i="135"/>
  <c r="L13" i="135"/>
  <c r="M47" i="135"/>
  <c r="J27" i="135"/>
  <c r="K30" i="135"/>
  <c r="K46" i="135"/>
  <c r="K27" i="135"/>
  <c r="L33" i="12"/>
  <c r="L29" i="12"/>
  <c r="K33" i="12"/>
  <c r="L31" i="12"/>
  <c r="K29" i="12"/>
  <c r="M17" i="12"/>
  <c r="M11" i="12"/>
  <c r="F15" i="127"/>
  <c r="G34" i="232" s="1"/>
  <c r="F11" i="127"/>
  <c r="G30" i="232" s="1"/>
  <c r="F35" i="127"/>
  <c r="F36" i="127"/>
  <c r="M15" i="12"/>
  <c r="F31" i="127"/>
  <c r="F37" i="127"/>
  <c r="F33" i="127"/>
  <c r="F34" i="127"/>
  <c r="G10" i="251"/>
  <c r="N11" i="251"/>
  <c r="H17" i="131"/>
  <c r="E15" i="251"/>
  <c r="L15" i="251"/>
  <c r="N12" i="251"/>
  <c r="G13" i="251"/>
  <c r="C15" i="251"/>
  <c r="J15" i="251"/>
  <c r="D15" i="251"/>
  <c r="K15" i="251"/>
  <c r="G11" i="251"/>
  <c r="G12" i="251"/>
  <c r="B15" i="251"/>
  <c r="F15" i="251"/>
  <c r="M15" i="251"/>
  <c r="N13" i="251"/>
  <c r="N10" i="251"/>
  <c r="D18" i="249"/>
  <c r="C15" i="248"/>
  <c r="I15" i="248"/>
  <c r="F19" i="126"/>
  <c r="J12" i="248"/>
  <c r="G15" i="248"/>
  <c r="E10" i="248"/>
  <c r="J10" i="248"/>
  <c r="J11" i="248"/>
  <c r="D15" i="248"/>
  <c r="E12" i="248"/>
  <c r="J13" i="248"/>
  <c r="E11" i="248"/>
  <c r="E13" i="248"/>
  <c r="B15" i="248"/>
  <c r="H15" i="248"/>
  <c r="M80" i="28"/>
  <c r="E41" i="79"/>
  <c r="P53" i="244"/>
  <c r="L61" i="244"/>
  <c r="P69" i="244"/>
  <c r="P77" i="244"/>
  <c r="L48" i="244"/>
  <c r="O56" i="244"/>
  <c r="O64" i="244"/>
  <c r="O72" i="244"/>
  <c r="O49" i="244"/>
  <c r="O52" i="244"/>
  <c r="N57" i="244"/>
  <c r="O60" i="244"/>
  <c r="N65" i="244"/>
  <c r="O68" i="244"/>
  <c r="N73" i="244"/>
  <c r="O76" i="244"/>
  <c r="N51" i="244"/>
  <c r="N59" i="244"/>
  <c r="N67" i="244"/>
  <c r="N75" i="244"/>
  <c r="N55" i="244"/>
  <c r="N56" i="244"/>
  <c r="N63" i="244"/>
  <c r="N71" i="244"/>
  <c r="N79" i="244"/>
  <c r="M50" i="244"/>
  <c r="M54" i="244"/>
  <c r="M58" i="244"/>
  <c r="M62" i="244"/>
  <c r="M66" i="244"/>
  <c r="M70" i="244"/>
  <c r="M74" i="244"/>
  <c r="M78" i="244"/>
  <c r="I16" i="243"/>
  <c r="I23" i="243"/>
  <c r="H24" i="243"/>
  <c r="E43" i="243"/>
  <c r="J12" i="243"/>
  <c r="J28" i="243"/>
  <c r="C43" i="243"/>
  <c r="J15" i="243"/>
  <c r="J31" i="243"/>
  <c r="I32" i="243"/>
  <c r="I37" i="243"/>
  <c r="H39" i="243"/>
  <c r="D43" i="243"/>
  <c r="J19" i="243"/>
  <c r="I25" i="243"/>
  <c r="J32" i="243"/>
  <c r="J35" i="243"/>
  <c r="H40" i="243"/>
  <c r="I41" i="243"/>
  <c r="I19" i="243"/>
  <c r="I40" i="243"/>
  <c r="J11" i="243"/>
  <c r="J17" i="243"/>
  <c r="H20" i="243"/>
  <c r="J27" i="243"/>
  <c r="H32" i="243"/>
  <c r="H33" i="243"/>
  <c r="H36" i="243"/>
  <c r="J40" i="243"/>
  <c r="J13" i="243"/>
  <c r="I13" i="243"/>
  <c r="I14" i="243"/>
  <c r="J18" i="243"/>
  <c r="H22" i="243"/>
  <c r="H26" i="243"/>
  <c r="H30" i="243"/>
  <c r="J34" i="243"/>
  <c r="H38" i="243"/>
  <c r="H13" i="243"/>
  <c r="J21" i="243"/>
  <c r="H29" i="243"/>
  <c r="H11" i="238"/>
  <c r="I43" i="99"/>
  <c r="G43" i="99"/>
  <c r="C43" i="99"/>
  <c r="E43" i="99"/>
  <c r="K43" i="99"/>
  <c r="J43" i="99"/>
  <c r="F43" i="99"/>
  <c r="L43" i="99"/>
  <c r="H43" i="99"/>
  <c r="K44" i="13"/>
  <c r="G44" i="13"/>
  <c r="L44" i="13"/>
  <c r="D44" i="13"/>
  <c r="I44" i="13"/>
  <c r="E44" i="13"/>
  <c r="C44" i="13"/>
  <c r="N44" i="13" s="1"/>
  <c r="J44" i="13"/>
  <c r="C15" i="249"/>
  <c r="C10" i="249"/>
  <c r="B10" i="129"/>
  <c r="B15" i="249"/>
  <c r="C13" i="249"/>
  <c r="B12" i="249"/>
  <c r="B13" i="249"/>
  <c r="C11" i="249"/>
  <c r="B11" i="249"/>
  <c r="B10" i="249"/>
  <c r="C12" i="249"/>
  <c r="Q30" i="142" l="1"/>
  <c r="R11" i="142" s="1"/>
  <c r="L11" i="248"/>
  <c r="G17" i="125"/>
  <c r="J32" i="125"/>
  <c r="J34" i="125"/>
  <c r="D11" i="128"/>
  <c r="J31" i="125"/>
  <c r="G16" i="125"/>
  <c r="J38" i="125"/>
  <c r="G20" i="125"/>
  <c r="D15" i="128"/>
  <c r="J36" i="125"/>
  <c r="G18" i="125"/>
  <c r="D14" i="128"/>
  <c r="G21" i="125"/>
  <c r="J35" i="125"/>
  <c r="J33" i="125"/>
  <c r="D10" i="128"/>
  <c r="G14" i="125"/>
  <c r="J37" i="125"/>
  <c r="K41" i="145"/>
  <c r="G41" i="145"/>
  <c r="J41" i="145"/>
  <c r="P48" i="244"/>
  <c r="N48" i="244"/>
  <c r="O53" i="244"/>
  <c r="L53" i="244"/>
  <c r="M53" i="244"/>
  <c r="M57" i="244"/>
  <c r="N72" i="244"/>
  <c r="N53" i="244"/>
  <c r="N64" i="244"/>
  <c r="P72" i="244"/>
  <c r="P76" i="244"/>
  <c r="L63" i="244"/>
  <c r="L52" i="244"/>
  <c r="L72" i="244"/>
  <c r="M77" i="244"/>
  <c r="M69" i="244"/>
  <c r="N68" i="244"/>
  <c r="P56" i="244"/>
  <c r="L68" i="244"/>
  <c r="M61" i="244"/>
  <c r="O61" i="244"/>
  <c r="L56" i="244"/>
  <c r="N61" i="244"/>
  <c r="P61" i="244"/>
  <c r="O57" i="244"/>
  <c r="N69" i="244"/>
  <c r="P68" i="244"/>
  <c r="O77" i="244"/>
  <c r="L64" i="244"/>
  <c r="P51" i="244"/>
  <c r="L77" i="244"/>
  <c r="P79" i="244"/>
  <c r="M73" i="244"/>
  <c r="L79" i="244"/>
  <c r="O73" i="244"/>
  <c r="P64" i="244"/>
  <c r="N52" i="244"/>
  <c r="N77" i="244"/>
  <c r="I41" i="145"/>
  <c r="C41" i="145"/>
  <c r="D41" i="145"/>
  <c r="F41" i="145"/>
  <c r="H41" i="145"/>
  <c r="E41" i="145"/>
  <c r="J10" i="243"/>
  <c r="H10" i="243"/>
  <c r="I10" i="243"/>
  <c r="J24" i="243"/>
  <c r="I31" i="243"/>
  <c r="J41" i="243"/>
  <c r="H41" i="243"/>
  <c r="H28" i="243"/>
  <c r="I28" i="243"/>
  <c r="I24" i="243"/>
  <c r="J16" i="243"/>
  <c r="J39" i="243"/>
  <c r="I11" i="243"/>
  <c r="M64" i="244"/>
  <c r="P58" i="244"/>
  <c r="O69" i="244"/>
  <c r="L69" i="244"/>
  <c r="P59" i="244"/>
  <c r="P12" i="251"/>
  <c r="P13" i="251"/>
  <c r="N15" i="251"/>
  <c r="P11" i="251"/>
  <c r="P10" i="251"/>
  <c r="G15" i="251"/>
  <c r="L10" i="248"/>
  <c r="L13" i="248"/>
  <c r="L12" i="248"/>
  <c r="E15" i="248"/>
  <c r="J15" i="248"/>
  <c r="P55" i="244"/>
  <c r="L70" i="244"/>
  <c r="P78" i="244"/>
  <c r="M68" i="244"/>
  <c r="M72" i="244"/>
  <c r="M56" i="244"/>
  <c r="L78" i="244"/>
  <c r="L54" i="244"/>
  <c r="L51" i="244"/>
  <c r="M79" i="244"/>
  <c r="M52" i="244"/>
  <c r="N78" i="244"/>
  <c r="N62" i="244"/>
  <c r="L67" i="244"/>
  <c r="P62" i="244"/>
  <c r="O78" i="244"/>
  <c r="O62" i="244"/>
  <c r="M55" i="244"/>
  <c r="O79" i="244"/>
  <c r="O75" i="244"/>
  <c r="P74" i="244"/>
  <c r="P60" i="244"/>
  <c r="P75" i="244"/>
  <c r="L74" i="244"/>
  <c r="L71" i="244"/>
  <c r="O65" i="244"/>
  <c r="L60" i="244"/>
  <c r="N54" i="244"/>
  <c r="P50" i="244"/>
  <c r="L75" i="244"/>
  <c r="N60" i="244"/>
  <c r="N58" i="244"/>
  <c r="P54" i="244"/>
  <c r="M49" i="244"/>
  <c r="M76" i="244"/>
  <c r="O70" i="244"/>
  <c r="O67" i="244"/>
  <c r="L57" i="244"/>
  <c r="P57" i="244"/>
  <c r="N49" i="244"/>
  <c r="O58" i="244"/>
  <c r="O48" i="244"/>
  <c r="P81" i="244"/>
  <c r="M51" i="244"/>
  <c r="L50" i="244"/>
  <c r="M75" i="244"/>
  <c r="O50" i="244"/>
  <c r="O71" i="244"/>
  <c r="L76" i="244"/>
  <c r="N70" i="244"/>
  <c r="P66" i="244"/>
  <c r="P63" i="244"/>
  <c r="L58" i="244"/>
  <c r="L55" i="244"/>
  <c r="P52" i="244"/>
  <c r="N76" i="244"/>
  <c r="N74" i="244"/>
  <c r="P70" i="244"/>
  <c r="P67" i="244"/>
  <c r="M65" i="244"/>
  <c r="L62" i="244"/>
  <c r="L59" i="244"/>
  <c r="L73" i="244"/>
  <c r="P73" i="244"/>
  <c r="M63" i="244"/>
  <c r="M60" i="244"/>
  <c r="O54" i="244"/>
  <c r="O51" i="244"/>
  <c r="O74" i="244"/>
  <c r="M48" i="244"/>
  <c r="M67" i="244"/>
  <c r="M59" i="244"/>
  <c r="O63" i="244"/>
  <c r="N66" i="244"/>
  <c r="L65" i="244"/>
  <c r="P65" i="244"/>
  <c r="P71" i="244"/>
  <c r="L66" i="244"/>
  <c r="N50" i="244"/>
  <c r="M71" i="244"/>
  <c r="O59" i="244"/>
  <c r="L49" i="244"/>
  <c r="P49" i="244"/>
  <c r="O66" i="244"/>
  <c r="O55" i="244"/>
  <c r="H37" i="243"/>
  <c r="H16" i="243"/>
  <c r="H17" i="243"/>
  <c r="I15" i="243"/>
  <c r="J23" i="243"/>
  <c r="H15" i="243"/>
  <c r="I17" i="243"/>
  <c r="I35" i="243"/>
  <c r="H23" i="243"/>
  <c r="I12" i="243"/>
  <c r="H31" i="243"/>
  <c r="H19" i="243"/>
  <c r="I34" i="243"/>
  <c r="I21" i="243"/>
  <c r="I39" i="243"/>
  <c r="H12" i="243"/>
  <c r="J33" i="243"/>
  <c r="H35" i="243"/>
  <c r="H25" i="243"/>
  <c r="J25" i="243"/>
  <c r="I33" i="243"/>
  <c r="I20" i="243"/>
  <c r="H21" i="243"/>
  <c r="H34" i="243"/>
  <c r="J37" i="243"/>
  <c r="J38" i="243"/>
  <c r="I27" i="243"/>
  <c r="J36" i="243"/>
  <c r="J14" i="243"/>
  <c r="I36" i="243"/>
  <c r="H27" i="243"/>
  <c r="H11" i="243"/>
  <c r="I38" i="243"/>
  <c r="H18" i="243"/>
  <c r="J20" i="243"/>
  <c r="I29" i="243"/>
  <c r="I26" i="243"/>
  <c r="I18" i="243"/>
  <c r="J22" i="243"/>
  <c r="I30" i="243"/>
  <c r="J29" i="243"/>
  <c r="I22" i="243"/>
  <c r="J30" i="243"/>
  <c r="J26" i="243"/>
  <c r="H14" i="243"/>
  <c r="M43" i="99"/>
  <c r="D13" i="249"/>
  <c r="D12" i="249"/>
  <c r="D11" i="249"/>
  <c r="D15" i="249"/>
  <c r="D10" i="249"/>
  <c r="R30" i="142" l="1"/>
  <c r="R23" i="142"/>
  <c r="R12" i="142"/>
  <c r="R13" i="142"/>
  <c r="R17" i="142"/>
  <c r="R25" i="142"/>
  <c r="R16" i="142"/>
  <c r="R22" i="142"/>
  <c r="R18" i="142"/>
  <c r="R20" i="142"/>
  <c r="R14" i="142"/>
  <c r="R26" i="142"/>
  <c r="R24" i="142"/>
  <c r="R27" i="142"/>
  <c r="R21" i="142"/>
  <c r="R15" i="142"/>
  <c r="R28" i="142"/>
  <c r="R19" i="142"/>
  <c r="M81" i="244"/>
  <c r="N81" i="244"/>
  <c r="P15" i="251"/>
  <c r="L15" i="248"/>
  <c r="L81" i="244"/>
  <c r="O81" i="244"/>
  <c r="H43" i="243"/>
  <c r="J43" i="243"/>
  <c r="I43" i="243"/>
  <c r="P43" i="237" l="1"/>
  <c r="L43" i="237"/>
  <c r="H43" i="237"/>
  <c r="O43" i="237"/>
  <c r="K43" i="237"/>
  <c r="G43" i="237"/>
  <c r="C43" i="237"/>
  <c r="N43" i="237"/>
  <c r="J43" i="237"/>
  <c r="F43" i="237"/>
  <c r="M43" i="237"/>
  <c r="I43" i="237"/>
  <c r="E43" i="237"/>
  <c r="T43" i="237"/>
  <c r="Q43" i="237" l="1"/>
  <c r="P42" i="237"/>
  <c r="O42" i="237"/>
  <c r="N42" i="237"/>
  <c r="M42" i="237"/>
  <c r="L42" i="237"/>
  <c r="K42" i="237"/>
  <c r="J42" i="237"/>
  <c r="I42" i="237"/>
  <c r="H42" i="237"/>
  <c r="G42" i="237"/>
  <c r="F42" i="237"/>
  <c r="E42" i="237"/>
  <c r="D42" i="237"/>
  <c r="C42" i="237"/>
  <c r="P41" i="237"/>
  <c r="O41" i="237"/>
  <c r="N41" i="237"/>
  <c r="M41" i="237"/>
  <c r="L41" i="237"/>
  <c r="K41" i="237"/>
  <c r="J41" i="237"/>
  <c r="I41" i="237"/>
  <c r="H41" i="237"/>
  <c r="G41" i="237"/>
  <c r="F41" i="237"/>
  <c r="E41" i="237"/>
  <c r="D41" i="237"/>
  <c r="C41" i="237"/>
  <c r="P40" i="237"/>
  <c r="O40" i="237"/>
  <c r="N40" i="237"/>
  <c r="M40" i="237"/>
  <c r="L40" i="237"/>
  <c r="K40" i="237"/>
  <c r="J40" i="237"/>
  <c r="I40" i="237"/>
  <c r="H40" i="237"/>
  <c r="G40" i="237"/>
  <c r="F40" i="237"/>
  <c r="E40" i="237"/>
  <c r="D40" i="237"/>
  <c r="C40" i="237"/>
  <c r="P39" i="237"/>
  <c r="O39" i="237"/>
  <c r="N39" i="237"/>
  <c r="M39" i="237"/>
  <c r="L39" i="237"/>
  <c r="K39" i="237"/>
  <c r="J39" i="237"/>
  <c r="I39" i="237"/>
  <c r="H39" i="237"/>
  <c r="G39" i="237"/>
  <c r="F39" i="237"/>
  <c r="E39" i="237"/>
  <c r="D39" i="237"/>
  <c r="C39" i="237"/>
  <c r="P38" i="237"/>
  <c r="O38" i="237"/>
  <c r="N38" i="237"/>
  <c r="M38" i="237"/>
  <c r="L38" i="237"/>
  <c r="K38" i="237"/>
  <c r="J38" i="237"/>
  <c r="I38" i="237"/>
  <c r="H38" i="237"/>
  <c r="G38" i="237"/>
  <c r="F38" i="237"/>
  <c r="E38" i="237"/>
  <c r="D38" i="237"/>
  <c r="C38" i="237"/>
  <c r="P37" i="237"/>
  <c r="O37" i="237"/>
  <c r="N37" i="237"/>
  <c r="M37" i="237"/>
  <c r="L37" i="237"/>
  <c r="K37" i="237"/>
  <c r="J37" i="237"/>
  <c r="I37" i="237"/>
  <c r="H37" i="237"/>
  <c r="G37" i="237"/>
  <c r="F37" i="237"/>
  <c r="E37" i="237"/>
  <c r="D37" i="237"/>
  <c r="C37" i="237"/>
  <c r="P36" i="237"/>
  <c r="O36" i="237"/>
  <c r="N36" i="237"/>
  <c r="M36" i="237"/>
  <c r="L36" i="237"/>
  <c r="K36" i="237"/>
  <c r="J36" i="237"/>
  <c r="I36" i="237"/>
  <c r="H36" i="237"/>
  <c r="G36" i="237"/>
  <c r="F36" i="237"/>
  <c r="E36" i="237"/>
  <c r="D36" i="237"/>
  <c r="C36" i="237"/>
  <c r="P35" i="237"/>
  <c r="O35" i="237"/>
  <c r="N35" i="237"/>
  <c r="M35" i="237"/>
  <c r="L35" i="237"/>
  <c r="K35" i="237"/>
  <c r="J35" i="237"/>
  <c r="I35" i="237"/>
  <c r="H35" i="237"/>
  <c r="G35" i="237"/>
  <c r="F35" i="237"/>
  <c r="E35" i="237"/>
  <c r="D35" i="237"/>
  <c r="C35" i="237"/>
  <c r="P34" i="237"/>
  <c r="O34" i="237"/>
  <c r="N34" i="237"/>
  <c r="M34" i="237"/>
  <c r="L34" i="237"/>
  <c r="K34" i="237"/>
  <c r="J34" i="237"/>
  <c r="I34" i="237"/>
  <c r="H34" i="237"/>
  <c r="G34" i="237"/>
  <c r="F34" i="237"/>
  <c r="E34" i="237"/>
  <c r="D34" i="237"/>
  <c r="C34" i="237"/>
  <c r="P33" i="237"/>
  <c r="O33" i="237"/>
  <c r="N33" i="237"/>
  <c r="M33" i="237"/>
  <c r="L33" i="237"/>
  <c r="K33" i="237"/>
  <c r="J33" i="237"/>
  <c r="I33" i="237"/>
  <c r="H33" i="237"/>
  <c r="G33" i="237"/>
  <c r="F33" i="237"/>
  <c r="E33" i="237"/>
  <c r="D33" i="237"/>
  <c r="C33" i="237"/>
  <c r="P32" i="237"/>
  <c r="O32" i="237"/>
  <c r="N32" i="237"/>
  <c r="M32" i="237"/>
  <c r="L32" i="237"/>
  <c r="K32" i="237"/>
  <c r="J32" i="237"/>
  <c r="I32" i="237"/>
  <c r="H32" i="237"/>
  <c r="G32" i="237"/>
  <c r="F32" i="237"/>
  <c r="E32" i="237"/>
  <c r="D32" i="237"/>
  <c r="C32" i="237"/>
  <c r="P31" i="237"/>
  <c r="O31" i="237"/>
  <c r="N31" i="237"/>
  <c r="M31" i="237"/>
  <c r="L31" i="237"/>
  <c r="K31" i="237"/>
  <c r="J31" i="237"/>
  <c r="I31" i="237"/>
  <c r="H31" i="237"/>
  <c r="G31" i="237"/>
  <c r="F31" i="237"/>
  <c r="E31" i="237"/>
  <c r="D31" i="237"/>
  <c r="C31" i="237"/>
  <c r="P30" i="237"/>
  <c r="O30" i="237"/>
  <c r="N30" i="237"/>
  <c r="M30" i="237"/>
  <c r="L30" i="237"/>
  <c r="K30" i="237"/>
  <c r="J30" i="237"/>
  <c r="I30" i="237"/>
  <c r="H30" i="237"/>
  <c r="G30" i="237"/>
  <c r="F30" i="237"/>
  <c r="E30" i="237"/>
  <c r="D30" i="237"/>
  <c r="C30" i="237"/>
  <c r="P29" i="237"/>
  <c r="O29" i="237"/>
  <c r="N29" i="237"/>
  <c r="M29" i="237"/>
  <c r="L29" i="237"/>
  <c r="K29" i="237"/>
  <c r="J29" i="237"/>
  <c r="I29" i="237"/>
  <c r="H29" i="237"/>
  <c r="G29" i="237"/>
  <c r="F29" i="237"/>
  <c r="E29" i="237"/>
  <c r="D29" i="237"/>
  <c r="C29" i="237"/>
  <c r="P28" i="237"/>
  <c r="O28" i="237"/>
  <c r="N28" i="237"/>
  <c r="M28" i="237"/>
  <c r="L28" i="237"/>
  <c r="K28" i="237"/>
  <c r="J28" i="237"/>
  <c r="I28" i="237"/>
  <c r="H28" i="237"/>
  <c r="G28" i="237"/>
  <c r="F28" i="237"/>
  <c r="E28" i="237"/>
  <c r="D28" i="237"/>
  <c r="C28" i="237"/>
  <c r="P27" i="237"/>
  <c r="O27" i="237"/>
  <c r="N27" i="237"/>
  <c r="M27" i="237"/>
  <c r="L27" i="237"/>
  <c r="K27" i="237"/>
  <c r="J27" i="237"/>
  <c r="I27" i="237"/>
  <c r="H27" i="237"/>
  <c r="G27" i="237"/>
  <c r="F27" i="237"/>
  <c r="E27" i="237"/>
  <c r="D27" i="237"/>
  <c r="C27" i="237"/>
  <c r="P26" i="237"/>
  <c r="O26" i="237"/>
  <c r="N26" i="237"/>
  <c r="M26" i="237"/>
  <c r="L26" i="237"/>
  <c r="K26" i="237"/>
  <c r="J26" i="237"/>
  <c r="I26" i="237"/>
  <c r="H26" i="237"/>
  <c r="G26" i="237"/>
  <c r="F26" i="237"/>
  <c r="E26" i="237"/>
  <c r="D26" i="237"/>
  <c r="C26" i="237"/>
  <c r="P25" i="237"/>
  <c r="O25" i="237"/>
  <c r="N25" i="237"/>
  <c r="M25" i="237"/>
  <c r="L25" i="237"/>
  <c r="K25" i="237"/>
  <c r="J25" i="237"/>
  <c r="I25" i="237"/>
  <c r="H25" i="237"/>
  <c r="G25" i="237"/>
  <c r="F25" i="237"/>
  <c r="E25" i="237"/>
  <c r="D25" i="237"/>
  <c r="C25" i="237"/>
  <c r="P24" i="237"/>
  <c r="O24" i="237"/>
  <c r="N24" i="237"/>
  <c r="M24" i="237"/>
  <c r="L24" i="237"/>
  <c r="K24" i="237"/>
  <c r="J24" i="237"/>
  <c r="I24" i="237"/>
  <c r="H24" i="237"/>
  <c r="G24" i="237"/>
  <c r="F24" i="237"/>
  <c r="E24" i="237"/>
  <c r="D24" i="237"/>
  <c r="C24" i="237"/>
  <c r="P23" i="237"/>
  <c r="O23" i="237"/>
  <c r="N23" i="237"/>
  <c r="M23" i="237"/>
  <c r="L23" i="237"/>
  <c r="K23" i="237"/>
  <c r="J23" i="237"/>
  <c r="I23" i="237"/>
  <c r="H23" i="237"/>
  <c r="G23" i="237"/>
  <c r="F23" i="237"/>
  <c r="E23" i="237"/>
  <c r="D23" i="237"/>
  <c r="C23" i="237"/>
  <c r="P22" i="237"/>
  <c r="O22" i="237"/>
  <c r="N22" i="237"/>
  <c r="M22" i="237"/>
  <c r="L22" i="237"/>
  <c r="K22" i="237"/>
  <c r="J22" i="237"/>
  <c r="I22" i="237"/>
  <c r="H22" i="237"/>
  <c r="G22" i="237"/>
  <c r="F22" i="237"/>
  <c r="E22" i="237"/>
  <c r="D22" i="237"/>
  <c r="C22" i="237"/>
  <c r="P21" i="237"/>
  <c r="O21" i="237"/>
  <c r="N21" i="237"/>
  <c r="M21" i="237"/>
  <c r="L21" i="237"/>
  <c r="K21" i="237"/>
  <c r="J21" i="237"/>
  <c r="I21" i="237"/>
  <c r="H21" i="237"/>
  <c r="G21" i="237"/>
  <c r="F21" i="237"/>
  <c r="E21" i="237"/>
  <c r="D21" i="237"/>
  <c r="C21" i="237"/>
  <c r="P20" i="237"/>
  <c r="O20" i="237"/>
  <c r="N20" i="237"/>
  <c r="M20" i="237"/>
  <c r="L20" i="237"/>
  <c r="K20" i="237"/>
  <c r="J20" i="237"/>
  <c r="I20" i="237"/>
  <c r="H20" i="237"/>
  <c r="G20" i="237"/>
  <c r="F20" i="237"/>
  <c r="E20" i="237"/>
  <c r="D20" i="237"/>
  <c r="C20" i="237"/>
  <c r="P19" i="237"/>
  <c r="O19" i="237"/>
  <c r="N19" i="237"/>
  <c r="M19" i="237"/>
  <c r="L19" i="237"/>
  <c r="K19" i="237"/>
  <c r="J19" i="237"/>
  <c r="I19" i="237"/>
  <c r="H19" i="237"/>
  <c r="G19" i="237"/>
  <c r="F19" i="237"/>
  <c r="E19" i="237"/>
  <c r="D19" i="237"/>
  <c r="C19" i="237"/>
  <c r="P18" i="237"/>
  <c r="O18" i="237"/>
  <c r="N18" i="237"/>
  <c r="M18" i="237"/>
  <c r="L18" i="237"/>
  <c r="K18" i="237"/>
  <c r="J18" i="237"/>
  <c r="I18" i="237"/>
  <c r="H18" i="237"/>
  <c r="G18" i="237"/>
  <c r="F18" i="237"/>
  <c r="E18" i="237"/>
  <c r="D18" i="237"/>
  <c r="C18" i="237"/>
  <c r="P17" i="237"/>
  <c r="O17" i="237"/>
  <c r="N17" i="237"/>
  <c r="M17" i="237"/>
  <c r="L17" i="237"/>
  <c r="K17" i="237"/>
  <c r="J17" i="237"/>
  <c r="I17" i="237"/>
  <c r="H17" i="237"/>
  <c r="G17" i="237"/>
  <c r="F17" i="237"/>
  <c r="E17" i="237"/>
  <c r="D17" i="237"/>
  <c r="C17" i="237"/>
  <c r="P16" i="237"/>
  <c r="O16" i="237"/>
  <c r="N16" i="237"/>
  <c r="M16" i="237"/>
  <c r="L16" i="237"/>
  <c r="K16" i="237"/>
  <c r="J16" i="237"/>
  <c r="I16" i="237"/>
  <c r="H16" i="237"/>
  <c r="G16" i="237"/>
  <c r="F16" i="237"/>
  <c r="E16" i="237"/>
  <c r="D16" i="237"/>
  <c r="C16" i="237"/>
  <c r="P15" i="237"/>
  <c r="O15" i="237"/>
  <c r="N15" i="237"/>
  <c r="M15" i="237"/>
  <c r="L15" i="237"/>
  <c r="K15" i="237"/>
  <c r="J15" i="237"/>
  <c r="I15" i="237"/>
  <c r="H15" i="237"/>
  <c r="G15" i="237"/>
  <c r="F15" i="237"/>
  <c r="E15" i="237"/>
  <c r="D15" i="237"/>
  <c r="C15" i="237"/>
  <c r="P14" i="237"/>
  <c r="O14" i="237"/>
  <c r="N14" i="237"/>
  <c r="M14" i="237"/>
  <c r="L14" i="237"/>
  <c r="K14" i="237"/>
  <c r="J14" i="237"/>
  <c r="I14" i="237"/>
  <c r="H14" i="237"/>
  <c r="G14" i="237"/>
  <c r="F14" i="237"/>
  <c r="E14" i="237"/>
  <c r="D14" i="237"/>
  <c r="C14" i="237"/>
  <c r="P13" i="237"/>
  <c r="O13" i="237"/>
  <c r="N13" i="237"/>
  <c r="M13" i="237"/>
  <c r="L13" i="237"/>
  <c r="K13" i="237"/>
  <c r="J13" i="237"/>
  <c r="I13" i="237"/>
  <c r="H13" i="237"/>
  <c r="G13" i="237"/>
  <c r="F13" i="237"/>
  <c r="E13" i="237"/>
  <c r="D13" i="237"/>
  <c r="C13" i="237"/>
  <c r="P12" i="237"/>
  <c r="O12" i="237"/>
  <c r="N12" i="237"/>
  <c r="M12" i="237"/>
  <c r="L12" i="237"/>
  <c r="K12" i="237"/>
  <c r="J12" i="237"/>
  <c r="I12" i="237"/>
  <c r="H12" i="237"/>
  <c r="G12" i="237"/>
  <c r="F12" i="237"/>
  <c r="E12" i="237"/>
  <c r="D12" i="237"/>
  <c r="C12" i="237"/>
  <c r="P11" i="237"/>
  <c r="O11" i="237"/>
  <c r="N11" i="237"/>
  <c r="M11" i="237"/>
  <c r="L11" i="237"/>
  <c r="K11" i="237"/>
  <c r="J11" i="237"/>
  <c r="I11" i="237"/>
  <c r="H11" i="237"/>
  <c r="G11" i="237"/>
  <c r="F11" i="237"/>
  <c r="E11" i="237"/>
  <c r="D11" i="237"/>
  <c r="C11" i="237"/>
  <c r="Q11" i="237" l="1"/>
  <c r="G44" i="237"/>
  <c r="K44" i="237"/>
  <c r="O44" i="237"/>
  <c r="Q12" i="237"/>
  <c r="Q28" i="237"/>
  <c r="Q30" i="237"/>
  <c r="Q34" i="237"/>
  <c r="Q38" i="237"/>
  <c r="Q42" i="237"/>
  <c r="E44" i="237"/>
  <c r="I44" i="237"/>
  <c r="M44" i="237"/>
  <c r="Q29" i="237"/>
  <c r="Q31" i="237"/>
  <c r="Q32" i="237"/>
  <c r="Q33" i="237"/>
  <c r="Q35" i="237"/>
  <c r="Q36" i="237"/>
  <c r="Q37" i="237"/>
  <c r="Q39" i="237"/>
  <c r="Q40" i="237"/>
  <c r="Q41" i="237"/>
  <c r="F44" i="237"/>
  <c r="J44" i="237"/>
  <c r="N44" i="237"/>
  <c r="Q14" i="237"/>
  <c r="Q18" i="237"/>
  <c r="Q22" i="237"/>
  <c r="Q26" i="237"/>
  <c r="D44" i="237"/>
  <c r="H44" i="237"/>
  <c r="L44" i="237"/>
  <c r="P44" i="237"/>
  <c r="Q13" i="237"/>
  <c r="Q15" i="237"/>
  <c r="Q16" i="237"/>
  <c r="Q17" i="237"/>
  <c r="Q19" i="237"/>
  <c r="Q20" i="237"/>
  <c r="Q21" i="237"/>
  <c r="Q23" i="237"/>
  <c r="Q24" i="237"/>
  <c r="Q25" i="237"/>
  <c r="Q27" i="237"/>
  <c r="P13" i="11"/>
  <c r="P17" i="11"/>
  <c r="P15" i="11"/>
  <c r="P10" i="11"/>
  <c r="P11" i="11"/>
  <c r="P16" i="11"/>
  <c r="P14" i="11"/>
  <c r="P12" i="11"/>
  <c r="C44" i="237"/>
  <c r="M29" i="232"/>
  <c r="M30" i="232"/>
  <c r="M31" i="232"/>
  <c r="M32" i="232"/>
  <c r="M33" i="232"/>
  <c r="N29" i="232"/>
  <c r="N30" i="232"/>
  <c r="N31" i="232"/>
  <c r="N32" i="232"/>
  <c r="N33" i="232"/>
  <c r="O29" i="232"/>
  <c r="O30" i="232"/>
  <c r="O31" i="232"/>
  <c r="O32" i="232"/>
  <c r="O33" i="232"/>
  <c r="L30" i="232"/>
  <c r="L31" i="232"/>
  <c r="L32" i="232"/>
  <c r="L33" i="232"/>
  <c r="L29" i="232"/>
  <c r="B41" i="98"/>
  <c r="F41" i="236"/>
  <c r="E41" i="236"/>
  <c r="D41" i="236"/>
  <c r="C41" i="236"/>
  <c r="B42" i="233"/>
  <c r="B41" i="236"/>
  <c r="G41" i="236"/>
  <c r="C10" i="236"/>
  <c r="D10" i="236"/>
  <c r="E10" i="236"/>
  <c r="E54" i="236" s="1"/>
  <c r="F10" i="236"/>
  <c r="C11" i="236"/>
  <c r="D11" i="236"/>
  <c r="D55" i="236" s="1"/>
  <c r="E11" i="236"/>
  <c r="F11" i="236"/>
  <c r="C12" i="236"/>
  <c r="D12" i="236"/>
  <c r="E12" i="236"/>
  <c r="E56" i="236" s="1"/>
  <c r="F12" i="236"/>
  <c r="C13" i="236"/>
  <c r="D13" i="236"/>
  <c r="D57" i="236" s="1"/>
  <c r="E13" i="236"/>
  <c r="E57" i="236" s="1"/>
  <c r="F13" i="236"/>
  <c r="C14" i="236"/>
  <c r="D14" i="236"/>
  <c r="E14" i="236"/>
  <c r="E58" i="236" s="1"/>
  <c r="F14" i="236"/>
  <c r="C15" i="236"/>
  <c r="D15" i="236"/>
  <c r="D59" i="236" s="1"/>
  <c r="E15" i="236"/>
  <c r="E59" i="236" s="1"/>
  <c r="F15" i="236"/>
  <c r="C16" i="236"/>
  <c r="D16" i="236"/>
  <c r="E16" i="236"/>
  <c r="E60" i="236" s="1"/>
  <c r="F16" i="236"/>
  <c r="C17" i="236"/>
  <c r="D17" i="236"/>
  <c r="D61" i="236" s="1"/>
  <c r="E17" i="236"/>
  <c r="E61" i="236" s="1"/>
  <c r="F17" i="236"/>
  <c r="C18" i="236"/>
  <c r="D18" i="236"/>
  <c r="E18" i="236"/>
  <c r="E62" i="236" s="1"/>
  <c r="F18" i="236"/>
  <c r="C19" i="236"/>
  <c r="D19" i="236"/>
  <c r="D63" i="236" s="1"/>
  <c r="E19" i="236"/>
  <c r="F19" i="236"/>
  <c r="C20" i="236"/>
  <c r="D20" i="236"/>
  <c r="E20" i="236"/>
  <c r="E64" i="236" s="1"/>
  <c r="F20" i="236"/>
  <c r="C21" i="236"/>
  <c r="D21" i="236"/>
  <c r="D65" i="236" s="1"/>
  <c r="E21" i="236"/>
  <c r="F21" i="236"/>
  <c r="C22" i="236"/>
  <c r="D22" i="236"/>
  <c r="E22" i="236"/>
  <c r="E66" i="236" s="1"/>
  <c r="F22" i="236"/>
  <c r="C23" i="236"/>
  <c r="D23" i="236"/>
  <c r="D67" i="236" s="1"/>
  <c r="E23" i="236"/>
  <c r="E67" i="236" s="1"/>
  <c r="F23" i="236"/>
  <c r="C24" i="236"/>
  <c r="D24" i="236"/>
  <c r="E24" i="236"/>
  <c r="E68" i="236" s="1"/>
  <c r="F24" i="236"/>
  <c r="C25" i="236"/>
  <c r="D25" i="236"/>
  <c r="D69" i="236" s="1"/>
  <c r="E25" i="236"/>
  <c r="E69" i="236" s="1"/>
  <c r="F25" i="236"/>
  <c r="C26" i="236"/>
  <c r="D26" i="236"/>
  <c r="E26" i="236"/>
  <c r="E70" i="236" s="1"/>
  <c r="F26" i="236"/>
  <c r="C27" i="236"/>
  <c r="D27" i="236"/>
  <c r="D71" i="236" s="1"/>
  <c r="E27" i="236"/>
  <c r="E71" i="236" s="1"/>
  <c r="F27" i="236"/>
  <c r="C28" i="236"/>
  <c r="D28" i="236"/>
  <c r="E28" i="236"/>
  <c r="E72" i="236" s="1"/>
  <c r="F28" i="236"/>
  <c r="C29" i="236"/>
  <c r="D29" i="236"/>
  <c r="D73" i="236" s="1"/>
  <c r="E29" i="236"/>
  <c r="E73" i="236" s="1"/>
  <c r="F29" i="236"/>
  <c r="C30" i="236"/>
  <c r="D30" i="236"/>
  <c r="E30" i="236"/>
  <c r="E74" i="236" s="1"/>
  <c r="F30" i="236"/>
  <c r="C31" i="236"/>
  <c r="D31" i="236"/>
  <c r="D75" i="236" s="1"/>
  <c r="E31" i="236"/>
  <c r="E75" i="236" s="1"/>
  <c r="F31" i="236"/>
  <c r="C32" i="236"/>
  <c r="D32" i="236"/>
  <c r="E32" i="236"/>
  <c r="E76" i="236" s="1"/>
  <c r="F32" i="236"/>
  <c r="C33" i="236"/>
  <c r="D33" i="236"/>
  <c r="D77" i="236" s="1"/>
  <c r="E33" i="236"/>
  <c r="E77" i="236" s="1"/>
  <c r="F33" i="236"/>
  <c r="C34" i="236"/>
  <c r="D34" i="236"/>
  <c r="E34" i="236"/>
  <c r="E78" i="236" s="1"/>
  <c r="F34" i="236"/>
  <c r="C35" i="236"/>
  <c r="D35" i="236"/>
  <c r="D79" i="236" s="1"/>
  <c r="E35" i="236"/>
  <c r="F35" i="236"/>
  <c r="C36" i="236"/>
  <c r="D36" i="236"/>
  <c r="E36" i="236"/>
  <c r="E80" i="236" s="1"/>
  <c r="F36" i="236"/>
  <c r="C37" i="236"/>
  <c r="D37" i="236"/>
  <c r="D81" i="236" s="1"/>
  <c r="E37" i="236"/>
  <c r="F37" i="236"/>
  <c r="C38" i="236"/>
  <c r="D38" i="236"/>
  <c r="E38" i="236"/>
  <c r="E82" i="236" s="1"/>
  <c r="F38" i="236"/>
  <c r="C39" i="236"/>
  <c r="D39" i="236"/>
  <c r="D83" i="236" s="1"/>
  <c r="E39" i="236"/>
  <c r="F39" i="236"/>
  <c r="F83" i="236" s="1"/>
  <c r="C40" i="236"/>
  <c r="D40" i="236"/>
  <c r="E40" i="236"/>
  <c r="E84" i="236" s="1"/>
  <c r="F40" i="236"/>
  <c r="D9" i="236"/>
  <c r="E9" i="236"/>
  <c r="F9" i="236"/>
  <c r="F53" i="236" s="1"/>
  <c r="C9" i="236"/>
  <c r="V13" i="8" l="1"/>
  <c r="V12" i="8"/>
  <c r="D42" i="236"/>
  <c r="C42" i="236"/>
  <c r="C86" i="236" s="1"/>
  <c r="E42" i="236"/>
  <c r="F42" i="236"/>
  <c r="D53" i="236"/>
  <c r="J30" i="97"/>
  <c r="J32" i="97"/>
  <c r="K34" i="97"/>
  <c r="L30" i="97"/>
  <c r="L32" i="97"/>
  <c r="N34" i="97"/>
  <c r="J35" i="97"/>
  <c r="J31" i="97"/>
  <c r="K33" i="97"/>
  <c r="L35" i="97"/>
  <c r="L31" i="97"/>
  <c r="N33" i="97"/>
  <c r="J34" i="97"/>
  <c r="K30" i="97"/>
  <c r="K32" i="97"/>
  <c r="L34" i="97"/>
  <c r="N30" i="97"/>
  <c r="N32" i="97"/>
  <c r="J33" i="97"/>
  <c r="K35" i="97"/>
  <c r="K31" i="97"/>
  <c r="L33" i="97"/>
  <c r="N35" i="97"/>
  <c r="N31" i="97"/>
  <c r="G13" i="120"/>
  <c r="G16" i="120"/>
  <c r="G12" i="120"/>
  <c r="H13" i="120"/>
  <c r="Q31" i="232"/>
  <c r="B57" i="10"/>
  <c r="K29" i="232" s="1"/>
  <c r="S29" i="232" s="1"/>
  <c r="H15" i="120"/>
  <c r="H11" i="120"/>
  <c r="J57" i="10"/>
  <c r="K37" i="232" s="1"/>
  <c r="S37" i="232" s="1"/>
  <c r="F57" i="10"/>
  <c r="K33" i="232" s="1"/>
  <c r="S33" i="232" s="1"/>
  <c r="G14" i="120"/>
  <c r="G10" i="120"/>
  <c r="H14" i="120"/>
  <c r="H10" i="120"/>
  <c r="V9" i="8"/>
  <c r="P30" i="97" s="1"/>
  <c r="Q30" i="232"/>
  <c r="Q33" i="232"/>
  <c r="Q29" i="232"/>
  <c r="K57" i="10"/>
  <c r="K38" i="232" s="1"/>
  <c r="S38" i="232" s="1"/>
  <c r="G57" i="10"/>
  <c r="K34" i="232" s="1"/>
  <c r="S34" i="232" s="1"/>
  <c r="C57" i="10"/>
  <c r="K30" i="232" s="1"/>
  <c r="S30" i="232" s="1"/>
  <c r="H57" i="10"/>
  <c r="D57" i="10"/>
  <c r="K31" i="232" s="1"/>
  <c r="S31" i="232" s="1"/>
  <c r="Q32" i="232"/>
  <c r="G9" i="120"/>
  <c r="G15" i="120"/>
  <c r="G11" i="120"/>
  <c r="H16" i="120"/>
  <c r="H12" i="120"/>
  <c r="I57" i="10"/>
  <c r="K36" i="232" s="1"/>
  <c r="S36" i="232" s="1"/>
  <c r="E57" i="10"/>
  <c r="K32" i="232" s="1"/>
  <c r="S32" i="232" s="1"/>
  <c r="Q44" i="237"/>
  <c r="V16" i="8"/>
  <c r="P37" i="97" s="1"/>
  <c r="V15" i="8"/>
  <c r="P36" i="97" s="1"/>
  <c r="V14" i="8"/>
  <c r="V11" i="8"/>
  <c r="V10" i="8"/>
  <c r="K16" i="123"/>
  <c r="K12" i="123"/>
  <c r="K11" i="123"/>
  <c r="K14" i="123"/>
  <c r="K13" i="123"/>
  <c r="K9" i="123"/>
  <c r="K15" i="123"/>
  <c r="K10" i="123"/>
  <c r="I9" i="236"/>
  <c r="J9" i="236"/>
  <c r="H9" i="236"/>
  <c r="E53" i="236"/>
  <c r="F57" i="236"/>
  <c r="F61" i="236"/>
  <c r="F65" i="236"/>
  <c r="F69" i="236"/>
  <c r="F73" i="236"/>
  <c r="F77" i="236"/>
  <c r="F81" i="236"/>
  <c r="F55" i="236"/>
  <c r="F59" i="236"/>
  <c r="F63" i="236"/>
  <c r="F67" i="236"/>
  <c r="F71" i="236"/>
  <c r="F75" i="236"/>
  <c r="F79" i="236"/>
  <c r="C53" i="236"/>
  <c r="C55" i="236"/>
  <c r="C69" i="236"/>
  <c r="C57" i="236"/>
  <c r="C73" i="236"/>
  <c r="C61" i="236"/>
  <c r="C77" i="236"/>
  <c r="C65" i="236"/>
  <c r="C81" i="236"/>
  <c r="J39" i="236"/>
  <c r="F54" i="236"/>
  <c r="J12" i="236"/>
  <c r="D56" i="236"/>
  <c r="F58" i="236"/>
  <c r="J16" i="236"/>
  <c r="D60" i="236"/>
  <c r="F66" i="236"/>
  <c r="F70" i="236"/>
  <c r="J28" i="236"/>
  <c r="D72" i="236"/>
  <c r="F74" i="236"/>
  <c r="H32" i="236"/>
  <c r="D76" i="236"/>
  <c r="D54" i="236"/>
  <c r="J10" i="236"/>
  <c r="F56" i="236"/>
  <c r="D58" i="236"/>
  <c r="H14" i="236"/>
  <c r="F60" i="236"/>
  <c r="D62" i="236"/>
  <c r="J18" i="236"/>
  <c r="F64" i="236"/>
  <c r="D66" i="236"/>
  <c r="J22" i="236"/>
  <c r="I23" i="236"/>
  <c r="F68" i="236"/>
  <c r="D70" i="236"/>
  <c r="J26" i="236"/>
  <c r="I27" i="236"/>
  <c r="F72" i="236"/>
  <c r="D74" i="236"/>
  <c r="I31" i="236"/>
  <c r="F76" i="236"/>
  <c r="D78" i="236"/>
  <c r="H34" i="236"/>
  <c r="F80" i="236"/>
  <c r="E81" i="236"/>
  <c r="D82" i="236"/>
  <c r="H38" i="236"/>
  <c r="F84" i="236"/>
  <c r="E55" i="236"/>
  <c r="E63" i="236"/>
  <c r="E65" i="236"/>
  <c r="E79" i="236"/>
  <c r="D68" i="236"/>
  <c r="F82" i="236"/>
  <c r="H40" i="236"/>
  <c r="D84" i="236"/>
  <c r="I15" i="236"/>
  <c r="F62" i="236"/>
  <c r="J20" i="236"/>
  <c r="D64" i="236"/>
  <c r="F78" i="236"/>
  <c r="J36" i="236"/>
  <c r="D80" i="236"/>
  <c r="E83" i="236"/>
  <c r="H15" i="4"/>
  <c r="H11" i="4"/>
  <c r="H13" i="4"/>
  <c r="N11" i="182"/>
  <c r="O11" i="182"/>
  <c r="P11" i="182"/>
  <c r="Q11" i="182"/>
  <c r="N12" i="182"/>
  <c r="O12" i="182"/>
  <c r="P12" i="182"/>
  <c r="Q12" i="182"/>
  <c r="N13" i="182"/>
  <c r="O13" i="182"/>
  <c r="P13" i="182"/>
  <c r="Q13" i="182"/>
  <c r="N14" i="182"/>
  <c r="O14" i="182"/>
  <c r="P14" i="182"/>
  <c r="Q14" i="182"/>
  <c r="N15" i="182"/>
  <c r="O15" i="182"/>
  <c r="P15" i="182"/>
  <c r="Q15" i="182"/>
  <c r="N16" i="182"/>
  <c r="O16" i="182"/>
  <c r="P16" i="182"/>
  <c r="Q16" i="182"/>
  <c r="N17" i="182"/>
  <c r="O17" i="182"/>
  <c r="P17" i="182"/>
  <c r="Q17" i="182"/>
  <c r="O10" i="182"/>
  <c r="P10" i="182"/>
  <c r="Q10" i="182"/>
  <c r="N10" i="182"/>
  <c r="H11" i="182"/>
  <c r="I11" i="182"/>
  <c r="J11" i="182"/>
  <c r="K11" i="182"/>
  <c r="H12" i="182"/>
  <c r="I12" i="182"/>
  <c r="J12" i="182"/>
  <c r="K12" i="182"/>
  <c r="H13" i="182"/>
  <c r="I13" i="182"/>
  <c r="J13" i="182"/>
  <c r="K13" i="182"/>
  <c r="H14" i="182"/>
  <c r="I14" i="182"/>
  <c r="J14" i="182"/>
  <c r="K14" i="182"/>
  <c r="H15" i="182"/>
  <c r="I15" i="182"/>
  <c r="J15" i="182"/>
  <c r="K15" i="182"/>
  <c r="H16" i="182"/>
  <c r="I16" i="182"/>
  <c r="J16" i="182"/>
  <c r="K16" i="182"/>
  <c r="H17" i="182"/>
  <c r="I17" i="182"/>
  <c r="J17" i="182"/>
  <c r="K17" i="182"/>
  <c r="I10" i="182"/>
  <c r="J10" i="182"/>
  <c r="K10" i="182"/>
  <c r="H10" i="182"/>
  <c r="C10" i="182"/>
  <c r="D10" i="182"/>
  <c r="E10" i="182"/>
  <c r="C11" i="182"/>
  <c r="D11" i="182"/>
  <c r="E11" i="182"/>
  <c r="C12" i="182"/>
  <c r="D12" i="182"/>
  <c r="E12" i="182"/>
  <c r="C13" i="182"/>
  <c r="D13" i="182"/>
  <c r="E13" i="182"/>
  <c r="C14" i="182"/>
  <c r="D14" i="182"/>
  <c r="E14" i="182"/>
  <c r="C15" i="182"/>
  <c r="D15" i="182"/>
  <c r="E15" i="182"/>
  <c r="C16" i="182"/>
  <c r="D16" i="182"/>
  <c r="E16" i="182"/>
  <c r="C17" i="182"/>
  <c r="D17" i="182"/>
  <c r="E17" i="182"/>
  <c r="B11" i="182"/>
  <c r="B12" i="182"/>
  <c r="B13" i="182"/>
  <c r="B14" i="182"/>
  <c r="B15" i="182"/>
  <c r="B16" i="182"/>
  <c r="B17" i="182"/>
  <c r="B10" i="182"/>
  <c r="A37" i="182"/>
  <c r="A38" i="182"/>
  <c r="A39" i="182"/>
  <c r="A40" i="182"/>
  <c r="A41" i="182"/>
  <c r="A42" i="182"/>
  <c r="A43" i="182"/>
  <c r="A36" i="182"/>
  <c r="I42" i="233"/>
  <c r="H42" i="233"/>
  <c r="G42" i="233"/>
  <c r="F42" i="233"/>
  <c r="E42" i="233"/>
  <c r="D42" i="233"/>
  <c r="C42" i="233"/>
  <c r="L30" i="235"/>
  <c r="I10" i="235"/>
  <c r="C34" i="235"/>
  <c r="C33" i="235"/>
  <c r="D32" i="235"/>
  <c r="O23" i="235"/>
  <c r="L39" i="235"/>
  <c r="I41" i="235"/>
  <c r="E21" i="235"/>
  <c r="O10" i="235"/>
  <c r="O27" i="235"/>
  <c r="O26" i="235"/>
  <c r="E35" i="235"/>
  <c r="R34" i="235"/>
  <c r="Q27" i="235"/>
  <c r="F17" i="235"/>
  <c r="R15" i="235"/>
  <c r="O36" i="235"/>
  <c r="D14" i="235"/>
  <c r="G43" i="233"/>
  <c r="O17" i="235"/>
  <c r="J19" i="235"/>
  <c r="Q12" i="235"/>
  <c r="R10" i="235"/>
  <c r="J23" i="235"/>
  <c r="E23" i="235"/>
  <c r="K28" i="235"/>
  <c r="K37" i="235"/>
  <c r="D12" i="235"/>
  <c r="E36" i="235"/>
  <c r="D31" i="235"/>
  <c r="K12" i="235"/>
  <c r="F19" i="235"/>
  <c r="E19" i="235"/>
  <c r="I27" i="235"/>
  <c r="F22" i="235"/>
  <c r="D37" i="235"/>
  <c r="Q26" i="235"/>
  <c r="I16" i="235"/>
  <c r="C40" i="235"/>
  <c r="C36" i="235"/>
  <c r="D22" i="235"/>
  <c r="O25" i="235"/>
  <c r="J15" i="235"/>
  <c r="L26" i="235"/>
  <c r="L10" i="235"/>
  <c r="P13" i="235"/>
  <c r="I25" i="235"/>
  <c r="F21" i="235"/>
  <c r="O18" i="235"/>
  <c r="D17" i="235"/>
  <c r="E32" i="235"/>
  <c r="P12" i="235"/>
  <c r="J31" i="235"/>
  <c r="L38" i="235"/>
  <c r="I40" i="235"/>
  <c r="I21" i="235"/>
  <c r="E25" i="235"/>
  <c r="J33" i="235"/>
  <c r="E28" i="235"/>
  <c r="L17" i="235"/>
  <c r="I18" i="235"/>
  <c r="D13" i="235"/>
  <c r="P25" i="235"/>
  <c r="K32" i="235"/>
  <c r="R31" i="235"/>
  <c r="P28" i="235"/>
  <c r="J40" i="235"/>
  <c r="D42" i="98"/>
  <c r="H43" i="233"/>
  <c r="I26" i="235"/>
  <c r="K20" i="235"/>
  <c r="P24" i="235"/>
  <c r="L27" i="235"/>
  <c r="J12" i="235"/>
  <c r="Q32" i="235"/>
  <c r="L18" i="235"/>
  <c r="R27" i="235"/>
  <c r="J22" i="235"/>
  <c r="J41" i="235"/>
  <c r="G42" i="98"/>
  <c r="F36" i="235"/>
  <c r="O24" i="235"/>
  <c r="D19" i="235"/>
  <c r="P30" i="235"/>
  <c r="O15" i="235"/>
  <c r="R32" i="235"/>
  <c r="O29" i="235"/>
  <c r="C29" i="235"/>
  <c r="P36" i="235"/>
  <c r="C16" i="235"/>
  <c r="I31" i="235"/>
  <c r="R16" i="235"/>
  <c r="Q39" i="235"/>
  <c r="K15" i="235"/>
  <c r="L33" i="235"/>
  <c r="E38" i="235"/>
  <c r="D16" i="235"/>
  <c r="J29" i="235"/>
  <c r="P32" i="235"/>
  <c r="C21" i="235"/>
  <c r="C14" i="235"/>
  <c r="K17" i="235"/>
  <c r="P16" i="235"/>
  <c r="Q23" i="235"/>
  <c r="Q15" i="235"/>
  <c r="I20" i="235"/>
  <c r="C24" i="235"/>
  <c r="J25" i="235"/>
  <c r="C31" i="235"/>
  <c r="P21" i="235"/>
  <c r="I22" i="235"/>
  <c r="P35" i="235"/>
  <c r="Q20" i="235"/>
  <c r="K10" i="235"/>
  <c r="L19" i="235"/>
  <c r="J13" i="235"/>
  <c r="Q38" i="235"/>
  <c r="F25" i="235"/>
  <c r="F40" i="235"/>
  <c r="E12" i="235"/>
  <c r="P14" i="235"/>
  <c r="Q33" i="235"/>
  <c r="K22" i="235"/>
  <c r="L35" i="235"/>
  <c r="D34" i="235"/>
  <c r="K31" i="235"/>
  <c r="R30" i="235"/>
  <c r="Q16" i="235"/>
  <c r="E42" i="98"/>
  <c r="E43" i="233"/>
  <c r="R23" i="235"/>
  <c r="F27" i="235"/>
  <c r="R39" i="235"/>
  <c r="F26" i="235"/>
  <c r="K36" i="235"/>
  <c r="R17" i="235"/>
  <c r="C20" i="235"/>
  <c r="Q35" i="235"/>
  <c r="J24" i="235"/>
  <c r="Q19" i="235"/>
  <c r="O41" i="235"/>
  <c r="E33" i="235"/>
  <c r="Q13" i="235"/>
  <c r="C26" i="235"/>
  <c r="L28" i="235"/>
  <c r="J39" i="235"/>
  <c r="P20" i="235"/>
  <c r="E39" i="235"/>
  <c r="I30" i="235"/>
  <c r="L41" i="235"/>
  <c r="K29" i="235"/>
  <c r="J26" i="235"/>
  <c r="F20" i="235"/>
  <c r="C18" i="235"/>
  <c r="I33" i="235"/>
  <c r="E29" i="235"/>
  <c r="O14" i="235"/>
  <c r="P26" i="235"/>
  <c r="K30" i="235"/>
  <c r="I24" i="235"/>
  <c r="P29" i="235"/>
  <c r="P23" i="235"/>
  <c r="K19" i="235"/>
  <c r="R11" i="235"/>
  <c r="O30" i="235"/>
  <c r="R41" i="235"/>
  <c r="R25" i="235"/>
  <c r="K34" i="235"/>
  <c r="R21" i="235"/>
  <c r="P18" i="235"/>
  <c r="J20" i="235"/>
  <c r="C10" i="235"/>
  <c r="D25" i="235"/>
  <c r="Q10" i="235"/>
  <c r="C25" i="235"/>
  <c r="O37" i="235"/>
  <c r="K26" i="235"/>
  <c r="E40" i="235"/>
  <c r="E34" i="235"/>
  <c r="F18" i="235"/>
  <c r="D41" i="235"/>
  <c r="J28" i="235"/>
  <c r="D20" i="235"/>
  <c r="J10" i="235"/>
  <c r="L13" i="235"/>
  <c r="F38" i="235"/>
  <c r="C39" i="235"/>
  <c r="I17" i="235"/>
  <c r="E26" i="235"/>
  <c r="J18" i="235"/>
  <c r="P22" i="235"/>
  <c r="J17" i="235"/>
  <c r="K23" i="235"/>
  <c r="Q24" i="235"/>
  <c r="L24" i="235"/>
  <c r="K35" i="235"/>
  <c r="I19" i="235"/>
  <c r="K40" i="235"/>
  <c r="R35" i="235"/>
  <c r="F35" i="235"/>
  <c r="K13" i="235"/>
  <c r="K18" i="235"/>
  <c r="Q37" i="235"/>
  <c r="C22" i="235"/>
  <c r="K25" i="235"/>
  <c r="D28" i="235"/>
  <c r="I34" i="235"/>
  <c r="K33" i="235"/>
  <c r="P19" i="235"/>
  <c r="R33" i="235"/>
  <c r="C38" i="235"/>
  <c r="C13" i="235"/>
  <c r="R40" i="235"/>
  <c r="E27" i="235"/>
  <c r="D18" i="235"/>
  <c r="Q17" i="235"/>
  <c r="C27" i="235"/>
  <c r="I28" i="235"/>
  <c r="O28" i="235"/>
  <c r="Q29" i="235"/>
  <c r="Q40" i="235"/>
  <c r="E20" i="235"/>
  <c r="F31" i="235"/>
  <c r="E16" i="235"/>
  <c r="R19" i="235"/>
  <c r="O34" i="235"/>
  <c r="D26" i="235"/>
  <c r="J32" i="235"/>
  <c r="D30" i="235"/>
  <c r="Q28" i="235"/>
  <c r="F42" i="98"/>
  <c r="D21" i="235"/>
  <c r="E30" i="235"/>
  <c r="E11" i="235"/>
  <c r="Q22" i="235"/>
  <c r="L12" i="235"/>
  <c r="J35" i="235"/>
  <c r="I15" i="235"/>
  <c r="D27" i="235"/>
  <c r="Q30" i="235"/>
  <c r="R20" i="235"/>
  <c r="F29" i="235"/>
  <c r="L34" i="235"/>
  <c r="P40" i="235"/>
  <c r="O21" i="235"/>
  <c r="D15" i="235"/>
  <c r="J38" i="235"/>
  <c r="O31" i="235"/>
  <c r="C42" i="98"/>
  <c r="D33" i="235"/>
  <c r="J30" i="235"/>
  <c r="D11" i="235"/>
  <c r="E18" i="235"/>
  <c r="P34" i="235"/>
  <c r="C28" i="235"/>
  <c r="L14" i="235"/>
  <c r="C35" i="235"/>
  <c r="L11" i="235"/>
  <c r="F10" i="235"/>
  <c r="I32" i="235"/>
  <c r="D35" i="235"/>
  <c r="F24" i="235"/>
  <c r="E14" i="235"/>
  <c r="J36" i="235"/>
  <c r="K24" i="235"/>
  <c r="O32" i="235"/>
  <c r="C12" i="235"/>
  <c r="R13" i="235"/>
  <c r="I35" i="235"/>
  <c r="D36" i="235"/>
  <c r="K14" i="235"/>
  <c r="Q25" i="235"/>
  <c r="P37" i="235"/>
  <c r="O40" i="235"/>
  <c r="L25" i="235"/>
  <c r="Q14" i="235"/>
  <c r="R38" i="235"/>
  <c r="C37" i="235"/>
  <c r="I12" i="235"/>
  <c r="I38" i="235"/>
  <c r="F28" i="235"/>
  <c r="D24" i="235"/>
  <c r="F32" i="235"/>
  <c r="D23" i="235"/>
  <c r="K39" i="235"/>
  <c r="Q41" i="235"/>
  <c r="O20" i="235"/>
  <c r="P33" i="235"/>
  <c r="I39" i="235"/>
  <c r="L23" i="235"/>
  <c r="R36" i="235"/>
  <c r="P17" i="235"/>
  <c r="O33" i="235"/>
  <c r="L29" i="235"/>
  <c r="P27" i="235"/>
  <c r="K11" i="235"/>
  <c r="R26" i="235"/>
  <c r="R37" i="235"/>
  <c r="D43" i="233"/>
  <c r="E10" i="235"/>
  <c r="Q31" i="235"/>
  <c r="R18" i="235"/>
  <c r="J37" i="235"/>
  <c r="I36" i="235"/>
  <c r="P31" i="235"/>
  <c r="K38" i="235"/>
  <c r="F33" i="235"/>
  <c r="C32" i="235"/>
  <c r="I11" i="235"/>
  <c r="C17" i="235"/>
  <c r="C15" i="235"/>
  <c r="K16" i="235"/>
  <c r="J16" i="235"/>
  <c r="L31" i="235"/>
  <c r="R28" i="235"/>
  <c r="F15" i="235"/>
  <c r="E17" i="235"/>
  <c r="I14" i="235"/>
  <c r="L37" i="235"/>
  <c r="O38" i="235"/>
  <c r="Q36" i="235"/>
  <c r="O12" i="235"/>
  <c r="F39" i="235"/>
  <c r="O11" i="235"/>
  <c r="Q18" i="235"/>
  <c r="I23" i="235"/>
  <c r="I13" i="235"/>
  <c r="J21" i="235"/>
  <c r="O19" i="235"/>
  <c r="D38" i="235"/>
  <c r="P39" i="235"/>
  <c r="F30" i="235"/>
  <c r="C11" i="235"/>
  <c r="K21" i="235"/>
  <c r="Q34" i="235"/>
  <c r="J34" i="235"/>
  <c r="O39" i="235"/>
  <c r="D39" i="235"/>
  <c r="J27" i="235"/>
  <c r="E24" i="235"/>
  <c r="E13" i="235"/>
  <c r="O13" i="235"/>
  <c r="O16" i="235"/>
  <c r="C23" i="235"/>
  <c r="D10" i="235"/>
  <c r="R12" i="235"/>
  <c r="E31" i="235"/>
  <c r="L36" i="235"/>
  <c r="E41" i="235"/>
  <c r="R29" i="235"/>
  <c r="F11" i="235"/>
  <c r="D29" i="235"/>
  <c r="F23" i="235"/>
  <c r="P10" i="235"/>
  <c r="L16" i="235"/>
  <c r="E15" i="235"/>
  <c r="P41" i="235"/>
  <c r="F12" i="235"/>
  <c r="F37" i="235"/>
  <c r="K27" i="235"/>
  <c r="L32" i="235"/>
  <c r="L20" i="235"/>
  <c r="C30" i="235"/>
  <c r="L22" i="235"/>
  <c r="F14" i="235"/>
  <c r="I37" i="235"/>
  <c r="R14" i="235"/>
  <c r="F34" i="235"/>
  <c r="R22" i="235"/>
  <c r="O35" i="235"/>
  <c r="I43" i="233"/>
  <c r="F16" i="235"/>
  <c r="P38" i="235"/>
  <c r="R24" i="235"/>
  <c r="J11" i="235"/>
  <c r="P15" i="235"/>
  <c r="E22" i="235"/>
  <c r="D40" i="235"/>
  <c r="L40" i="235"/>
  <c r="L21" i="235"/>
  <c r="K41" i="235"/>
  <c r="P11" i="235"/>
  <c r="F13" i="235"/>
  <c r="Q11" i="235"/>
  <c r="J14" i="235"/>
  <c r="C43" i="233"/>
  <c r="L15" i="235"/>
  <c r="Q21" i="235"/>
  <c r="F41" i="235"/>
  <c r="O22" i="235"/>
  <c r="C19" i="235"/>
  <c r="E37" i="235"/>
  <c r="I29" i="235"/>
  <c r="F43" i="233"/>
  <c r="D51" i="166" l="1"/>
  <c r="E51" i="166" s="1"/>
  <c r="Q36" i="97"/>
  <c r="Q37" i="97"/>
  <c r="D52" i="166"/>
  <c r="E52" i="166" s="1"/>
  <c r="S39" i="232"/>
  <c r="K35" i="232"/>
  <c r="S35" i="232" s="1"/>
  <c r="H42" i="236"/>
  <c r="P30" i="232"/>
  <c r="P31" i="232"/>
  <c r="P33" i="232"/>
  <c r="P29" i="232"/>
  <c r="P32" i="232"/>
  <c r="I42" i="236"/>
  <c r="J43" i="235"/>
  <c r="I43" i="235"/>
  <c r="P43" i="235"/>
  <c r="L10" i="182"/>
  <c r="J42" i="236"/>
  <c r="E30" i="97"/>
  <c r="D34" i="97"/>
  <c r="D31" i="97"/>
  <c r="A34" i="97"/>
  <c r="B30" i="97"/>
  <c r="L18" i="240" s="1"/>
  <c r="M18" i="240" s="1"/>
  <c r="E35" i="97"/>
  <c r="E34" i="97"/>
  <c r="E33" i="97"/>
  <c r="E32" i="97"/>
  <c r="E31" i="97"/>
  <c r="G30" i="97"/>
  <c r="D46" i="240" s="1"/>
  <c r="E46" i="240" s="1"/>
  <c r="H35" i="97"/>
  <c r="L51" i="240" s="1"/>
  <c r="M51" i="240" s="1"/>
  <c r="G34" i="97"/>
  <c r="D50" i="240" s="1"/>
  <c r="E50" i="240" s="1"/>
  <c r="I32" i="97"/>
  <c r="L20" i="166" s="1"/>
  <c r="M20" i="166" s="1"/>
  <c r="H31" i="97"/>
  <c r="L47" i="240" s="1"/>
  <c r="P33" i="97"/>
  <c r="A33" i="97"/>
  <c r="D33" i="97"/>
  <c r="D32" i="97"/>
  <c r="G35" i="97"/>
  <c r="D51" i="240" s="1"/>
  <c r="E51" i="240" s="1"/>
  <c r="H32" i="97"/>
  <c r="L48" i="240" s="1"/>
  <c r="M48" i="240" s="1"/>
  <c r="G31" i="97"/>
  <c r="D47" i="240" s="1"/>
  <c r="P34" i="97"/>
  <c r="A30" i="97"/>
  <c r="A32" i="97"/>
  <c r="D30" i="97"/>
  <c r="C35" i="97"/>
  <c r="C34" i="97"/>
  <c r="C33" i="97"/>
  <c r="C32" i="97"/>
  <c r="C31" i="97"/>
  <c r="H30" i="97"/>
  <c r="L46" i="240" s="1"/>
  <c r="M46" i="240" s="1"/>
  <c r="I34" i="97"/>
  <c r="L22" i="166" s="1"/>
  <c r="M22" i="166" s="1"/>
  <c r="H33" i="97"/>
  <c r="L49" i="240" s="1"/>
  <c r="M49" i="240" s="1"/>
  <c r="G32" i="97"/>
  <c r="D48" i="240" s="1"/>
  <c r="E48" i="240" s="1"/>
  <c r="P31" i="97"/>
  <c r="P35" i="97"/>
  <c r="M30" i="97"/>
  <c r="D35" i="97"/>
  <c r="I30" i="97"/>
  <c r="I33" i="97"/>
  <c r="L21" i="166" s="1"/>
  <c r="M21" i="166" s="1"/>
  <c r="A35" i="97"/>
  <c r="A31" i="97"/>
  <c r="C30" i="97"/>
  <c r="B35" i="97"/>
  <c r="L23" i="240" s="1"/>
  <c r="M23" i="240" s="1"/>
  <c r="B34" i="97"/>
  <c r="L22" i="240" s="1"/>
  <c r="M22" i="240" s="1"/>
  <c r="B33" i="97"/>
  <c r="L21" i="240" s="1"/>
  <c r="M21" i="240" s="1"/>
  <c r="B32" i="97"/>
  <c r="L20" i="240" s="1"/>
  <c r="M20" i="240" s="1"/>
  <c r="B31" i="97"/>
  <c r="L19" i="240" s="1"/>
  <c r="I35" i="97"/>
  <c r="L23" i="166" s="1"/>
  <c r="M23" i="166" s="1"/>
  <c r="H34" i="97"/>
  <c r="L50" i="240" s="1"/>
  <c r="M50" i="240" s="1"/>
  <c r="G33" i="97"/>
  <c r="D49" i="240" s="1"/>
  <c r="E49" i="240" s="1"/>
  <c r="I31" i="97"/>
  <c r="L19" i="166" s="1"/>
  <c r="P32" i="97"/>
  <c r="D42" i="182"/>
  <c r="C41" i="182"/>
  <c r="D38" i="182"/>
  <c r="C37" i="182"/>
  <c r="E58" i="127"/>
  <c r="C58" i="127"/>
  <c r="B58" i="127"/>
  <c r="D58" i="127"/>
  <c r="F58" i="127"/>
  <c r="D56" i="127"/>
  <c r="B56" i="127"/>
  <c r="C56" i="127"/>
  <c r="E56" i="127"/>
  <c r="F56" i="127"/>
  <c r="E59" i="127"/>
  <c r="F59" i="127"/>
  <c r="D59" i="127"/>
  <c r="C59" i="127"/>
  <c r="B59" i="127"/>
  <c r="E57" i="127"/>
  <c r="D57" i="127"/>
  <c r="C57" i="127"/>
  <c r="B57" i="127"/>
  <c r="F57" i="127"/>
  <c r="B55" i="127"/>
  <c r="D55" i="127"/>
  <c r="E55" i="127"/>
  <c r="C55" i="127"/>
  <c r="F55" i="127"/>
  <c r="D54" i="127"/>
  <c r="B54" i="127"/>
  <c r="C54" i="127"/>
  <c r="E54" i="127"/>
  <c r="F54" i="127"/>
  <c r="B43" i="182"/>
  <c r="B39" i="182"/>
  <c r="E42" i="182"/>
  <c r="D41" i="182"/>
  <c r="C40" i="182"/>
  <c r="E38" i="182"/>
  <c r="D37" i="182"/>
  <c r="C36" i="182"/>
  <c r="I36" i="182"/>
  <c r="H43" i="182"/>
  <c r="H42" i="182"/>
  <c r="H41" i="182"/>
  <c r="H40" i="182"/>
  <c r="B53" i="127"/>
  <c r="F53" i="127"/>
  <c r="E53" i="127"/>
  <c r="C53" i="127"/>
  <c r="D53" i="127"/>
  <c r="B52" i="127"/>
  <c r="E52" i="127"/>
  <c r="C52" i="127"/>
  <c r="D52" i="127"/>
  <c r="F52" i="127"/>
  <c r="H38" i="182"/>
  <c r="O36" i="182"/>
  <c r="N42" i="182"/>
  <c r="N40" i="182"/>
  <c r="N38" i="182"/>
  <c r="B36" i="182"/>
  <c r="E39" i="182"/>
  <c r="H36" i="182"/>
  <c r="K42" i="182"/>
  <c r="K40" i="182"/>
  <c r="K38" i="182"/>
  <c r="N36" i="182"/>
  <c r="Q41" i="182"/>
  <c r="Q39" i="182"/>
  <c r="Q37" i="182"/>
  <c r="B40" i="182"/>
  <c r="C43" i="182"/>
  <c r="E41" i="182"/>
  <c r="D40" i="182"/>
  <c r="C39" i="182"/>
  <c r="E37" i="182"/>
  <c r="D36" i="182"/>
  <c r="J36" i="182"/>
  <c r="I43" i="182"/>
  <c r="I42" i="182"/>
  <c r="I41" i="182"/>
  <c r="I40" i="182"/>
  <c r="I39" i="182"/>
  <c r="I38" i="182"/>
  <c r="I37" i="182"/>
  <c r="P36" i="182"/>
  <c r="O43" i="182"/>
  <c r="O42" i="182"/>
  <c r="O41" i="182"/>
  <c r="O40" i="182"/>
  <c r="O39" i="182"/>
  <c r="O38" i="182"/>
  <c r="O37" i="182"/>
  <c r="E17" i="4"/>
  <c r="E15" i="4"/>
  <c r="H39" i="182"/>
  <c r="H37" i="182"/>
  <c r="N43" i="182"/>
  <c r="N41" i="182"/>
  <c r="N39" i="182"/>
  <c r="N37" i="182"/>
  <c r="B42" i="182"/>
  <c r="B38" i="182"/>
  <c r="E43" i="182"/>
  <c r="K43" i="182"/>
  <c r="K41" i="182"/>
  <c r="K39" i="182"/>
  <c r="K37" i="182"/>
  <c r="Q43" i="182"/>
  <c r="Q42" i="182"/>
  <c r="Q40" i="182"/>
  <c r="Q38" i="182"/>
  <c r="B41" i="182"/>
  <c r="B37" i="182"/>
  <c r="D43" i="182"/>
  <c r="C42" i="182"/>
  <c r="E40" i="182"/>
  <c r="D39" i="182"/>
  <c r="C38" i="182"/>
  <c r="E36" i="182"/>
  <c r="K36" i="182"/>
  <c r="J43" i="182"/>
  <c r="J42" i="182"/>
  <c r="J41" i="182"/>
  <c r="J40" i="182"/>
  <c r="J39" i="182"/>
  <c r="J38" i="182"/>
  <c r="J37" i="182"/>
  <c r="Q36" i="182"/>
  <c r="P43" i="182"/>
  <c r="P42" i="182"/>
  <c r="P41" i="182"/>
  <c r="P40" i="182"/>
  <c r="P39" i="182"/>
  <c r="P38" i="182"/>
  <c r="P37" i="182"/>
  <c r="C83" i="236"/>
  <c r="H11" i="236"/>
  <c r="I17" i="236"/>
  <c r="J11" i="236"/>
  <c r="J29" i="236"/>
  <c r="I11" i="236"/>
  <c r="H17" i="236"/>
  <c r="H21" i="236"/>
  <c r="H16" i="236"/>
  <c r="J25" i="236"/>
  <c r="I39" i="236"/>
  <c r="J38" i="236"/>
  <c r="I25" i="236"/>
  <c r="H22" i="236"/>
  <c r="I37" i="236"/>
  <c r="J14" i="236"/>
  <c r="H12" i="236"/>
  <c r="J13" i="236"/>
  <c r="H37" i="236"/>
  <c r="H29" i="236"/>
  <c r="I29" i="236"/>
  <c r="J37" i="236"/>
  <c r="H13" i="236"/>
  <c r="J17" i="236"/>
  <c r="J32" i="236"/>
  <c r="H10" i="236"/>
  <c r="H25" i="236"/>
  <c r="H39" i="236"/>
  <c r="H33" i="236"/>
  <c r="H26" i="236"/>
  <c r="I21" i="236"/>
  <c r="J21" i="236"/>
  <c r="I13" i="236"/>
  <c r="I33" i="236"/>
  <c r="J33" i="236"/>
  <c r="J34" i="236"/>
  <c r="H20" i="236"/>
  <c r="C59" i="236"/>
  <c r="J15" i="236"/>
  <c r="H15" i="236"/>
  <c r="D86" i="236"/>
  <c r="C71" i="236"/>
  <c r="J27" i="236"/>
  <c r="H27" i="236"/>
  <c r="I22" i="236"/>
  <c r="C66" i="236"/>
  <c r="I10" i="236"/>
  <c r="C54" i="236"/>
  <c r="C60" i="236"/>
  <c r="I16" i="236"/>
  <c r="C68" i="236"/>
  <c r="I24" i="236"/>
  <c r="F86" i="236"/>
  <c r="C84" i="236"/>
  <c r="I40" i="236"/>
  <c r="J40" i="236"/>
  <c r="C75" i="236"/>
  <c r="J31" i="236"/>
  <c r="H31" i="236"/>
  <c r="C70" i="236"/>
  <c r="I26" i="236"/>
  <c r="J24" i="236"/>
  <c r="C76" i="236"/>
  <c r="I32" i="236"/>
  <c r="C56" i="236"/>
  <c r="I12" i="236"/>
  <c r="C80" i="236"/>
  <c r="I36" i="236"/>
  <c r="C63" i="236"/>
  <c r="J19" i="236"/>
  <c r="H19" i="236"/>
  <c r="C79" i="236"/>
  <c r="J35" i="236"/>
  <c r="H35" i="236"/>
  <c r="C74" i="236"/>
  <c r="I30" i="236"/>
  <c r="I18" i="236"/>
  <c r="C62" i="236"/>
  <c r="C72" i="236"/>
  <c r="I28" i="236"/>
  <c r="I19" i="236"/>
  <c r="H36" i="236"/>
  <c r="C64" i="236"/>
  <c r="I20" i="236"/>
  <c r="E86" i="236"/>
  <c r="H24" i="236"/>
  <c r="C82" i="236"/>
  <c r="I38" i="236"/>
  <c r="C78" i="236"/>
  <c r="I34" i="236"/>
  <c r="H30" i="236"/>
  <c r="C67" i="236"/>
  <c r="J23" i="236"/>
  <c r="H23" i="236"/>
  <c r="H18" i="236"/>
  <c r="I14" i="236"/>
  <c r="C58" i="236"/>
  <c r="I35" i="236"/>
  <c r="J30" i="236"/>
  <c r="H28" i="236"/>
  <c r="G32" i="235"/>
  <c r="G10" i="235"/>
  <c r="E11" i="4"/>
  <c r="E16" i="4"/>
  <c r="H17" i="4"/>
  <c r="H10" i="4"/>
  <c r="H16" i="4"/>
  <c r="H12" i="4"/>
  <c r="E14" i="4"/>
  <c r="E10" i="4"/>
  <c r="E12" i="4"/>
  <c r="H14" i="4"/>
  <c r="E13" i="4"/>
  <c r="S41" i="235"/>
  <c r="C43" i="235"/>
  <c r="G41" i="235"/>
  <c r="D43" i="235"/>
  <c r="G20" i="235"/>
  <c r="M20" i="235"/>
  <c r="S20" i="235"/>
  <c r="G21" i="235"/>
  <c r="M21" i="235"/>
  <c r="S22" i="235"/>
  <c r="G24" i="235"/>
  <c r="M29" i="235"/>
  <c r="S29" i="235"/>
  <c r="G30" i="235"/>
  <c r="M30" i="235"/>
  <c r="S30" i="235"/>
  <c r="S34" i="235"/>
  <c r="G36" i="235"/>
  <c r="M36" i="235"/>
  <c r="S36" i="235"/>
  <c r="G37" i="235"/>
  <c r="M37" i="235"/>
  <c r="S37" i="235"/>
  <c r="G38" i="235"/>
  <c r="M38" i="235"/>
  <c r="S38" i="235"/>
  <c r="G39" i="235"/>
  <c r="M39" i="235"/>
  <c r="S39" i="235"/>
  <c r="G40" i="235"/>
  <c r="M41" i="235"/>
  <c r="E43" i="235"/>
  <c r="K43" i="235"/>
  <c r="Q43" i="235"/>
  <c r="S21" i="235"/>
  <c r="G22" i="235"/>
  <c r="M22" i="235"/>
  <c r="G31" i="235"/>
  <c r="M31" i="235"/>
  <c r="S31" i="235"/>
  <c r="M40" i="235"/>
  <c r="S40" i="235"/>
  <c r="F43" i="235"/>
  <c r="R43" i="235"/>
  <c r="L43" i="235"/>
  <c r="G23" i="235"/>
  <c r="M23" i="235"/>
  <c r="S23" i="235"/>
  <c r="M32" i="235"/>
  <c r="S32" i="235"/>
  <c r="G33" i="235"/>
  <c r="M33" i="235"/>
  <c r="S33" i="235"/>
  <c r="G34" i="235"/>
  <c r="M34" i="235"/>
  <c r="O43" i="235"/>
  <c r="G11" i="235"/>
  <c r="M11" i="235"/>
  <c r="S11" i="235"/>
  <c r="M12" i="235"/>
  <c r="S12" i="235"/>
  <c r="G13" i="235"/>
  <c r="M13" i="235"/>
  <c r="S13" i="235"/>
  <c r="G14" i="235"/>
  <c r="M14" i="235"/>
  <c r="S14" i="235"/>
  <c r="G15" i="235"/>
  <c r="M15" i="235"/>
  <c r="S15" i="235"/>
  <c r="G16" i="235"/>
  <c r="M16" i="235"/>
  <c r="S16" i="235"/>
  <c r="G17" i="235"/>
  <c r="M17" i="235"/>
  <c r="S17" i="235"/>
  <c r="G18" i="235"/>
  <c r="M18" i="235"/>
  <c r="S18" i="235"/>
  <c r="G19" i="235"/>
  <c r="M19" i="235"/>
  <c r="S19" i="235"/>
  <c r="M24" i="235"/>
  <c r="S24" i="235"/>
  <c r="G25" i="235"/>
  <c r="M25" i="235"/>
  <c r="S25" i="235"/>
  <c r="G26" i="235"/>
  <c r="M26" i="235"/>
  <c r="S26" i="235"/>
  <c r="G27" i="235"/>
  <c r="M27" i="235"/>
  <c r="S27" i="235"/>
  <c r="G28" i="235"/>
  <c r="M28" i="235"/>
  <c r="S28" i="235"/>
  <c r="G29" i="235"/>
  <c r="G35" i="235"/>
  <c r="M35" i="235"/>
  <c r="S35" i="235"/>
  <c r="R17" i="182"/>
  <c r="F17" i="182"/>
  <c r="H36" i="232" s="1"/>
  <c r="L17" i="182"/>
  <c r="D44" i="14" s="1"/>
  <c r="E44" i="14" s="1"/>
  <c r="L16" i="182"/>
  <c r="D43" i="14" s="1"/>
  <c r="E43" i="14" s="1"/>
  <c r="L15" i="182"/>
  <c r="D42" i="14" s="1"/>
  <c r="E42" i="14" s="1"/>
  <c r="L13" i="182"/>
  <c r="D40" i="14" s="1"/>
  <c r="E40" i="14" s="1"/>
  <c r="L12" i="182"/>
  <c r="D39" i="14" s="1"/>
  <c r="E39" i="14" s="1"/>
  <c r="L11" i="182"/>
  <c r="D38" i="14" s="1"/>
  <c r="R10" i="182"/>
  <c r="R15" i="182"/>
  <c r="R14" i="182"/>
  <c r="R13" i="182"/>
  <c r="R11" i="182"/>
  <c r="L14" i="182"/>
  <c r="D41" i="14" s="1"/>
  <c r="E41" i="14" s="1"/>
  <c r="G12" i="235"/>
  <c r="F16" i="182"/>
  <c r="H35" i="232" s="1"/>
  <c r="R16" i="182"/>
  <c r="R12" i="182"/>
  <c r="M10" i="235"/>
  <c r="S10" i="235"/>
  <c r="F15" i="182"/>
  <c r="H34" i="232" s="1"/>
  <c r="F10" i="182"/>
  <c r="J42" i="233"/>
  <c r="J43" i="233"/>
  <c r="L85" i="233"/>
  <c r="L84" i="233"/>
  <c r="L83" i="233"/>
  <c r="L82" i="233"/>
  <c r="L81" i="233"/>
  <c r="L80" i="233"/>
  <c r="L79" i="233"/>
  <c r="L78" i="233"/>
  <c r="L77" i="233"/>
  <c r="L76" i="233"/>
  <c r="L75" i="233"/>
  <c r="L74" i="233"/>
  <c r="L73" i="233"/>
  <c r="L72" i="233"/>
  <c r="L71" i="233"/>
  <c r="L70" i="233"/>
  <c r="L69" i="233"/>
  <c r="L68" i="233"/>
  <c r="L67" i="233"/>
  <c r="L66" i="233"/>
  <c r="L65" i="233"/>
  <c r="L64" i="233"/>
  <c r="L63" i="233"/>
  <c r="L62" i="233"/>
  <c r="L61" i="233"/>
  <c r="L60" i="233"/>
  <c r="L59" i="233"/>
  <c r="L58" i="233"/>
  <c r="L57" i="233"/>
  <c r="L56" i="233"/>
  <c r="L55" i="233"/>
  <c r="L54" i="233"/>
  <c r="I41" i="233"/>
  <c r="I85" i="233" s="1"/>
  <c r="H41" i="233"/>
  <c r="G41" i="233"/>
  <c r="F41" i="233"/>
  <c r="E41" i="233"/>
  <c r="D41" i="233"/>
  <c r="C41" i="233"/>
  <c r="I40" i="233"/>
  <c r="H40" i="233"/>
  <c r="G40" i="233"/>
  <c r="F40" i="233"/>
  <c r="E40" i="233"/>
  <c r="D40" i="233"/>
  <c r="C40" i="233"/>
  <c r="I39" i="233"/>
  <c r="H39" i="233"/>
  <c r="G39" i="233"/>
  <c r="F39" i="233"/>
  <c r="E39" i="233"/>
  <c r="D39" i="233"/>
  <c r="C39" i="233"/>
  <c r="I38" i="233"/>
  <c r="H38" i="233"/>
  <c r="G38" i="233"/>
  <c r="F38" i="233"/>
  <c r="E38" i="233"/>
  <c r="D38" i="233"/>
  <c r="C38" i="233"/>
  <c r="C82" i="233" s="1"/>
  <c r="I37" i="233"/>
  <c r="I81" i="233" s="1"/>
  <c r="H37" i="233"/>
  <c r="G37" i="233"/>
  <c r="F37" i="233"/>
  <c r="E37" i="233"/>
  <c r="D37" i="233"/>
  <c r="C37" i="233"/>
  <c r="I36" i="233"/>
  <c r="H36" i="233"/>
  <c r="G36" i="233"/>
  <c r="F36" i="233"/>
  <c r="E36" i="233"/>
  <c r="D36" i="233"/>
  <c r="C36" i="233"/>
  <c r="I35" i="233"/>
  <c r="H35" i="233"/>
  <c r="G35" i="233"/>
  <c r="F35" i="233"/>
  <c r="E35" i="233"/>
  <c r="E79" i="233" s="1"/>
  <c r="D35" i="233"/>
  <c r="C35" i="233"/>
  <c r="I34" i="233"/>
  <c r="H34" i="233"/>
  <c r="G34" i="233"/>
  <c r="F34" i="233"/>
  <c r="E34" i="233"/>
  <c r="D34" i="233"/>
  <c r="C34" i="233"/>
  <c r="C78" i="233" s="1"/>
  <c r="I33" i="233"/>
  <c r="I77" i="233" s="1"/>
  <c r="H33" i="233"/>
  <c r="G33" i="233"/>
  <c r="F33" i="233"/>
  <c r="E33" i="233"/>
  <c r="D33" i="233"/>
  <c r="C33" i="233"/>
  <c r="I32" i="233"/>
  <c r="H32" i="233"/>
  <c r="G32" i="233"/>
  <c r="F32" i="233"/>
  <c r="E32" i="233"/>
  <c r="D32" i="233"/>
  <c r="C32" i="233"/>
  <c r="I31" i="233"/>
  <c r="H31" i="233"/>
  <c r="G31" i="233"/>
  <c r="F31" i="233"/>
  <c r="E31" i="233"/>
  <c r="E75" i="233" s="1"/>
  <c r="D31" i="233"/>
  <c r="C31" i="233"/>
  <c r="I30" i="233"/>
  <c r="H30" i="233"/>
  <c r="G30" i="233"/>
  <c r="F30" i="233"/>
  <c r="E30" i="233"/>
  <c r="D30" i="233"/>
  <c r="C30" i="233"/>
  <c r="C74" i="233" s="1"/>
  <c r="I29" i="233"/>
  <c r="I73" i="233" s="1"/>
  <c r="H29" i="233"/>
  <c r="G29" i="233"/>
  <c r="F29" i="233"/>
  <c r="E29" i="233"/>
  <c r="D29" i="233"/>
  <c r="C29" i="233"/>
  <c r="I28" i="233"/>
  <c r="H28" i="233"/>
  <c r="G28" i="233"/>
  <c r="F28" i="233"/>
  <c r="E28" i="233"/>
  <c r="D28" i="233"/>
  <c r="C28" i="233"/>
  <c r="I27" i="233"/>
  <c r="H27" i="233"/>
  <c r="G27" i="233"/>
  <c r="F27" i="233"/>
  <c r="E27" i="233"/>
  <c r="D27" i="233"/>
  <c r="C27" i="233"/>
  <c r="I26" i="233"/>
  <c r="H26" i="233"/>
  <c r="G26" i="233"/>
  <c r="F26" i="233"/>
  <c r="E26" i="233"/>
  <c r="D26" i="233"/>
  <c r="C26" i="233"/>
  <c r="I25" i="233"/>
  <c r="I69" i="233" s="1"/>
  <c r="H25" i="233"/>
  <c r="G25" i="233"/>
  <c r="F25" i="233"/>
  <c r="E25" i="233"/>
  <c r="D25" i="233"/>
  <c r="C25" i="233"/>
  <c r="I24" i="233"/>
  <c r="H24" i="233"/>
  <c r="G24" i="233"/>
  <c r="G68" i="233" s="1"/>
  <c r="F24" i="233"/>
  <c r="E24" i="233"/>
  <c r="D24" i="233"/>
  <c r="C24" i="233"/>
  <c r="I23" i="233"/>
  <c r="H23" i="233"/>
  <c r="G23" i="233"/>
  <c r="F23" i="233"/>
  <c r="E23" i="233"/>
  <c r="D23" i="233"/>
  <c r="C23" i="233"/>
  <c r="I22" i="233"/>
  <c r="H22" i="233"/>
  <c r="G22" i="233"/>
  <c r="F22" i="233"/>
  <c r="E22" i="233"/>
  <c r="D22" i="233"/>
  <c r="C22" i="233"/>
  <c r="C66" i="233" s="1"/>
  <c r="I21" i="233"/>
  <c r="I65" i="233" s="1"/>
  <c r="H21" i="233"/>
  <c r="G21" i="233"/>
  <c r="F21" i="233"/>
  <c r="E21" i="233"/>
  <c r="D21" i="233"/>
  <c r="C21" i="233"/>
  <c r="I20" i="233"/>
  <c r="H20" i="233"/>
  <c r="G20" i="233"/>
  <c r="G64" i="233" s="1"/>
  <c r="F20" i="233"/>
  <c r="E20" i="233"/>
  <c r="D20" i="233"/>
  <c r="C20" i="233"/>
  <c r="I19" i="233"/>
  <c r="H19" i="233"/>
  <c r="G19" i="233"/>
  <c r="F19" i="233"/>
  <c r="E19" i="233"/>
  <c r="E63" i="233" s="1"/>
  <c r="D19" i="233"/>
  <c r="C19" i="233"/>
  <c r="I18" i="233"/>
  <c r="H18" i="233"/>
  <c r="G18" i="233"/>
  <c r="F18" i="233"/>
  <c r="E18" i="233"/>
  <c r="D18" i="233"/>
  <c r="C18" i="233"/>
  <c r="C62" i="233" s="1"/>
  <c r="I17" i="233"/>
  <c r="I61" i="233" s="1"/>
  <c r="H17" i="233"/>
  <c r="G17" i="233"/>
  <c r="F17" i="233"/>
  <c r="E17" i="233"/>
  <c r="D17" i="233"/>
  <c r="C17" i="233"/>
  <c r="I16" i="233"/>
  <c r="H16" i="233"/>
  <c r="G16" i="233"/>
  <c r="G60" i="233" s="1"/>
  <c r="F16" i="233"/>
  <c r="E16" i="233"/>
  <c r="D16" i="233"/>
  <c r="C16" i="233"/>
  <c r="I15" i="233"/>
  <c r="H15" i="233"/>
  <c r="G15" i="233"/>
  <c r="F15" i="233"/>
  <c r="E15" i="233"/>
  <c r="E59" i="233" s="1"/>
  <c r="D15" i="233"/>
  <c r="C15" i="233"/>
  <c r="I14" i="233"/>
  <c r="H14" i="233"/>
  <c r="G14" i="233"/>
  <c r="F14" i="233"/>
  <c r="E14" i="233"/>
  <c r="D14" i="233"/>
  <c r="C14" i="233"/>
  <c r="C58" i="233" s="1"/>
  <c r="I13" i="233"/>
  <c r="I57" i="233" s="1"/>
  <c r="H13" i="233"/>
  <c r="G13" i="233"/>
  <c r="F13" i="233"/>
  <c r="E13" i="233"/>
  <c r="D13" i="233"/>
  <c r="C13" i="233"/>
  <c r="I12" i="233"/>
  <c r="H12" i="233"/>
  <c r="G12" i="233"/>
  <c r="G56" i="233" s="1"/>
  <c r="F12" i="233"/>
  <c r="E12" i="233"/>
  <c r="D12" i="233"/>
  <c r="C12" i="233"/>
  <c r="I11" i="233"/>
  <c r="H11" i="233"/>
  <c r="G11" i="233"/>
  <c r="F11" i="233"/>
  <c r="E11" i="233"/>
  <c r="E55" i="233" s="1"/>
  <c r="D11" i="233"/>
  <c r="C11" i="233"/>
  <c r="I10" i="233"/>
  <c r="H10" i="233"/>
  <c r="G10" i="233"/>
  <c r="F10" i="233"/>
  <c r="E10" i="233"/>
  <c r="D10" i="233"/>
  <c r="C10" i="233"/>
  <c r="C54" i="233" s="1"/>
  <c r="C60" i="233" l="1"/>
  <c r="C68" i="233"/>
  <c r="C76" i="233"/>
  <c r="C84" i="233"/>
  <c r="E38" i="14"/>
  <c r="E51" i="14" s="1"/>
  <c r="D51" i="14"/>
  <c r="E47" i="240"/>
  <c r="E60" i="240" s="1"/>
  <c r="D60" i="240"/>
  <c r="M19" i="166"/>
  <c r="M32" i="166" s="1"/>
  <c r="L32" i="166"/>
  <c r="M19" i="240"/>
  <c r="M32" i="240" s="1"/>
  <c r="L32" i="240"/>
  <c r="M47" i="240"/>
  <c r="M60" i="240" s="1"/>
  <c r="L60" i="240"/>
  <c r="G58" i="233"/>
  <c r="G66" i="233"/>
  <c r="G74" i="233"/>
  <c r="G82" i="233"/>
  <c r="E69" i="233"/>
  <c r="E71" i="233"/>
  <c r="E61" i="233"/>
  <c r="E77" i="233"/>
  <c r="E85" i="233"/>
  <c r="E83" i="233"/>
  <c r="C56" i="233"/>
  <c r="C64" i="233"/>
  <c r="C72" i="233"/>
  <c r="D50" i="166"/>
  <c r="E50" i="166" s="1"/>
  <c r="D46" i="166"/>
  <c r="D48" i="166"/>
  <c r="E48" i="166" s="1"/>
  <c r="D49" i="166"/>
  <c r="E49" i="166" s="1"/>
  <c r="D47" i="166"/>
  <c r="E47" i="166" s="1"/>
  <c r="D25" i="166"/>
  <c r="E25" i="166" s="1"/>
  <c r="D24" i="166"/>
  <c r="E24" i="166" s="1"/>
  <c r="L45" i="166"/>
  <c r="M45" i="166" s="1"/>
  <c r="G54" i="233"/>
  <c r="G62" i="233"/>
  <c r="I75" i="233"/>
  <c r="I83" i="233"/>
  <c r="C80" i="233"/>
  <c r="G78" i="233"/>
  <c r="D25" i="14"/>
  <c r="E25" i="14" s="1"/>
  <c r="J36" i="232"/>
  <c r="R36" i="232"/>
  <c r="D24" i="14"/>
  <c r="E24" i="14" s="1"/>
  <c r="J35" i="232"/>
  <c r="R35" i="232"/>
  <c r="D23" i="14"/>
  <c r="E23" i="14" s="1"/>
  <c r="J34" i="232"/>
  <c r="R34" i="232"/>
  <c r="I59" i="233"/>
  <c r="I67" i="233"/>
  <c r="E67" i="233"/>
  <c r="E57" i="233"/>
  <c r="E65" i="233"/>
  <c r="E73" i="233"/>
  <c r="E81" i="233"/>
  <c r="I55" i="233"/>
  <c r="I63" i="233"/>
  <c r="I71" i="233"/>
  <c r="I79" i="233"/>
  <c r="E54" i="233"/>
  <c r="C70" i="233"/>
  <c r="G70" i="233"/>
  <c r="B15" i="134"/>
  <c r="B17" i="134"/>
  <c r="H29" i="232"/>
  <c r="B10" i="134"/>
  <c r="E10" i="134"/>
  <c r="D37" i="14"/>
  <c r="E11" i="134"/>
  <c r="E16" i="134"/>
  <c r="E13" i="134"/>
  <c r="B16" i="134"/>
  <c r="E15" i="134"/>
  <c r="E14" i="134"/>
  <c r="E12" i="134"/>
  <c r="E17" i="134"/>
  <c r="D45" i="166"/>
  <c r="G43" i="235"/>
  <c r="S43" i="235"/>
  <c r="M43" i="235"/>
  <c r="D54" i="233"/>
  <c r="F77" i="233"/>
  <c r="D57" i="233"/>
  <c r="H57" i="233"/>
  <c r="D61" i="233"/>
  <c r="H61" i="233"/>
  <c r="D65" i="233"/>
  <c r="H65" i="233"/>
  <c r="D69" i="233"/>
  <c r="H69" i="233"/>
  <c r="D73" i="233"/>
  <c r="H73" i="233"/>
  <c r="D77" i="233"/>
  <c r="H77" i="233"/>
  <c r="D81" i="233"/>
  <c r="H81" i="233"/>
  <c r="D85" i="233"/>
  <c r="H85" i="233"/>
  <c r="D56" i="233"/>
  <c r="H56" i="233"/>
  <c r="D60" i="233"/>
  <c r="H60" i="233"/>
  <c r="D64" i="233"/>
  <c r="H64" i="233"/>
  <c r="D68" i="233"/>
  <c r="H68" i="233"/>
  <c r="D72" i="233"/>
  <c r="H72" i="233"/>
  <c r="D76" i="233"/>
  <c r="H76" i="233"/>
  <c r="D80" i="233"/>
  <c r="H80" i="233"/>
  <c r="D84" i="233"/>
  <c r="E56" i="233"/>
  <c r="I56" i="233"/>
  <c r="F57" i="233"/>
  <c r="E60" i="233"/>
  <c r="I60" i="233"/>
  <c r="J60" i="233" s="1"/>
  <c r="F61" i="233"/>
  <c r="E64" i="233"/>
  <c r="I64" i="233"/>
  <c r="F65" i="233"/>
  <c r="E68" i="233"/>
  <c r="I68" i="233"/>
  <c r="F69" i="233"/>
  <c r="E72" i="233"/>
  <c r="I72" i="233"/>
  <c r="F73" i="233"/>
  <c r="E76" i="233"/>
  <c r="I76" i="233"/>
  <c r="E80" i="233"/>
  <c r="I80" i="233"/>
  <c r="F81" i="233"/>
  <c r="E84" i="233"/>
  <c r="I84" i="233"/>
  <c r="F85" i="233"/>
  <c r="F56" i="233"/>
  <c r="C57" i="233"/>
  <c r="G57" i="233"/>
  <c r="F60" i="233"/>
  <c r="C61" i="233"/>
  <c r="G61" i="233"/>
  <c r="F64" i="233"/>
  <c r="C65" i="233"/>
  <c r="G65" i="233"/>
  <c r="F68" i="233"/>
  <c r="C69" i="233"/>
  <c r="F72" i="233"/>
  <c r="C73" i="233"/>
  <c r="G73" i="233"/>
  <c r="F76" i="233"/>
  <c r="C77" i="233"/>
  <c r="G77" i="233"/>
  <c r="F80" i="233"/>
  <c r="C81" i="233"/>
  <c r="G81" i="233"/>
  <c r="F84" i="233"/>
  <c r="C85" i="233"/>
  <c r="G85" i="233"/>
  <c r="H84" i="233"/>
  <c r="J10" i="233"/>
  <c r="D55" i="233"/>
  <c r="H55" i="233"/>
  <c r="D59" i="233"/>
  <c r="H59" i="233"/>
  <c r="D63" i="233"/>
  <c r="H63" i="233"/>
  <c r="D67" i="233"/>
  <c r="H67" i="233"/>
  <c r="D71" i="233"/>
  <c r="H71" i="233"/>
  <c r="D75" i="233"/>
  <c r="H75" i="233"/>
  <c r="D79" i="233"/>
  <c r="H79" i="233"/>
  <c r="D83" i="233"/>
  <c r="H83" i="233"/>
  <c r="L86" i="233"/>
  <c r="J86" i="233" s="1"/>
  <c r="F55" i="233"/>
  <c r="C55" i="233"/>
  <c r="G55" i="233"/>
  <c r="H58" i="233"/>
  <c r="D62" i="233"/>
  <c r="D70" i="233"/>
  <c r="H82" i="233"/>
  <c r="D66" i="233"/>
  <c r="H74" i="233"/>
  <c r="D78" i="233"/>
  <c r="D82" i="233"/>
  <c r="E58" i="233"/>
  <c r="I58" i="233"/>
  <c r="F59" i="233"/>
  <c r="E62" i="233"/>
  <c r="I62" i="233"/>
  <c r="F63" i="233"/>
  <c r="E66" i="233"/>
  <c r="I66" i="233"/>
  <c r="F67" i="233"/>
  <c r="E70" i="233"/>
  <c r="I70" i="233"/>
  <c r="F71" i="233"/>
  <c r="J28" i="233"/>
  <c r="E74" i="233"/>
  <c r="I74" i="233"/>
  <c r="F75" i="233"/>
  <c r="J32" i="233"/>
  <c r="E78" i="233"/>
  <c r="I78" i="233"/>
  <c r="F79" i="233"/>
  <c r="J36" i="233"/>
  <c r="E82" i="233"/>
  <c r="I82" i="233"/>
  <c r="F83" i="233"/>
  <c r="J40" i="233"/>
  <c r="D58" i="233"/>
  <c r="H62" i="233"/>
  <c r="H66" i="233"/>
  <c r="H70" i="233"/>
  <c r="D74" i="233"/>
  <c r="H78" i="233"/>
  <c r="F58" i="233"/>
  <c r="C59" i="233"/>
  <c r="G59" i="233"/>
  <c r="F62" i="233"/>
  <c r="C63" i="233"/>
  <c r="G63" i="233"/>
  <c r="F66" i="233"/>
  <c r="C67" i="233"/>
  <c r="G67" i="233"/>
  <c r="F70" i="233"/>
  <c r="C71" i="233"/>
  <c r="J27" i="233"/>
  <c r="F74" i="233"/>
  <c r="C75" i="233"/>
  <c r="J31" i="233"/>
  <c r="F78" i="233"/>
  <c r="C79" i="233"/>
  <c r="J35" i="233"/>
  <c r="F82" i="233"/>
  <c r="C83" i="233"/>
  <c r="J39" i="233"/>
  <c r="F54" i="233"/>
  <c r="J11" i="233"/>
  <c r="J12" i="233"/>
  <c r="J13" i="233"/>
  <c r="J14" i="233"/>
  <c r="J15" i="233"/>
  <c r="J16" i="233"/>
  <c r="J17" i="233"/>
  <c r="J18" i="233"/>
  <c r="J19" i="233"/>
  <c r="J20" i="233"/>
  <c r="J21" i="233"/>
  <c r="J22" i="233"/>
  <c r="J23" i="233"/>
  <c r="J24" i="233"/>
  <c r="H54" i="233"/>
  <c r="G69" i="233"/>
  <c r="J25" i="233"/>
  <c r="I54" i="233"/>
  <c r="G71" i="233"/>
  <c r="G75" i="233"/>
  <c r="G79" i="233"/>
  <c r="G83" i="233"/>
  <c r="G72" i="233"/>
  <c r="G76" i="233"/>
  <c r="G80" i="233"/>
  <c r="G84" i="233"/>
  <c r="J26" i="233"/>
  <c r="J29" i="233"/>
  <c r="J30" i="233"/>
  <c r="J33" i="233"/>
  <c r="J34" i="233"/>
  <c r="J37" i="233"/>
  <c r="J38" i="233"/>
  <c r="J41" i="233"/>
  <c r="E46" i="166" l="1"/>
  <c r="E59" i="166" s="1"/>
  <c r="D59" i="166"/>
  <c r="D18" i="14"/>
  <c r="E18" i="14" s="1"/>
  <c r="E37" i="14"/>
  <c r="E45" i="166"/>
  <c r="J54" i="233"/>
  <c r="R29" i="232"/>
  <c r="J29" i="232"/>
  <c r="J57" i="233"/>
  <c r="E86" i="233"/>
  <c r="G86" i="233"/>
  <c r="J77" i="233"/>
  <c r="J59" i="233"/>
  <c r="J85" i="233"/>
  <c r="J68" i="233"/>
  <c r="J64" i="233"/>
  <c r="J81" i="233"/>
  <c r="J65" i="233"/>
  <c r="J69" i="233"/>
  <c r="J62" i="233"/>
  <c r="J61" i="233"/>
  <c r="J82" i="233"/>
  <c r="J67" i="233"/>
  <c r="J80" i="233"/>
  <c r="J73" i="233"/>
  <c r="J55" i="233"/>
  <c r="J76" i="233"/>
  <c r="J75" i="233"/>
  <c r="J56" i="233"/>
  <c r="J72" i="233"/>
  <c r="J84" i="233"/>
  <c r="J83" i="233"/>
  <c r="J63" i="233"/>
  <c r="J58" i="233"/>
  <c r="J71" i="233"/>
  <c r="J79" i="233"/>
  <c r="J74" i="233"/>
  <c r="I86" i="233"/>
  <c r="H86" i="233"/>
  <c r="C86" i="233"/>
  <c r="F86" i="233"/>
  <c r="D86" i="233"/>
  <c r="J66" i="233"/>
  <c r="J78" i="233"/>
  <c r="J70" i="233"/>
  <c r="F11" i="97" l="1"/>
  <c r="A1" i="221" l="1"/>
  <c r="G27" i="98" l="1"/>
  <c r="F12" i="98"/>
  <c r="B47" i="129"/>
  <c r="B13" i="129"/>
  <c r="C47" i="129"/>
  <c r="B11" i="129"/>
  <c r="B14" i="129"/>
  <c r="B15" i="129"/>
  <c r="B12" i="129"/>
  <c r="C20" i="129"/>
  <c r="D13" i="129"/>
  <c r="B17" i="129"/>
  <c r="D20" i="129" l="1"/>
  <c r="A1" i="219"/>
  <c r="J5" i="221"/>
  <c r="K5" i="221"/>
  <c r="L5" i="221"/>
  <c r="M5" i="221"/>
  <c r="N5" i="221"/>
  <c r="O5" i="221"/>
  <c r="P5" i="221"/>
  <c r="Q5" i="221"/>
  <c r="R5" i="221"/>
  <c r="S5" i="221"/>
  <c r="T5" i="221"/>
  <c r="U5" i="221"/>
  <c r="V5" i="221"/>
  <c r="W5" i="221"/>
  <c r="X5" i="221"/>
  <c r="Y5" i="221"/>
  <c r="Z5" i="221"/>
  <c r="AA5" i="221"/>
  <c r="AB5" i="221"/>
  <c r="AC5" i="221"/>
  <c r="AD5" i="221"/>
  <c r="AE5" i="221"/>
  <c r="AF5" i="221"/>
  <c r="I5" i="221"/>
  <c r="B40" i="129"/>
  <c r="C37" i="129"/>
  <c r="C14" i="129"/>
  <c r="B36" i="129"/>
  <c r="C42" i="129"/>
  <c r="C40" i="129"/>
  <c r="C36" i="129"/>
  <c r="C10" i="129"/>
  <c r="B37" i="129"/>
  <c r="C12" i="129"/>
  <c r="C41" i="129"/>
  <c r="C17" i="129"/>
  <c r="B38" i="129"/>
  <c r="B39" i="129"/>
  <c r="C15" i="129"/>
  <c r="C44" i="129"/>
  <c r="B42" i="129"/>
  <c r="C39" i="129"/>
  <c r="B41" i="129"/>
  <c r="C11" i="129"/>
  <c r="C38" i="129"/>
  <c r="C13" i="129"/>
  <c r="B44" i="129"/>
  <c r="G88" i="137" l="1"/>
  <c r="D88" i="137"/>
  <c r="E88" i="137"/>
  <c r="F88" i="137"/>
  <c r="C88" i="137"/>
  <c r="D49" i="137"/>
  <c r="D82" i="137" s="1"/>
  <c r="E49" i="137"/>
  <c r="F49" i="137"/>
  <c r="G49" i="137"/>
  <c r="C49" i="137"/>
  <c r="D10" i="137"/>
  <c r="E10" i="137"/>
  <c r="F10" i="137"/>
  <c r="G10" i="137"/>
  <c r="D17" i="129"/>
  <c r="D12" i="129"/>
  <c r="D14" i="129"/>
  <c r="D11" i="129"/>
  <c r="D15" i="129"/>
  <c r="D10" i="129"/>
  <c r="H88" i="137" l="1"/>
  <c r="K88" i="137" s="1"/>
  <c r="H10" i="137"/>
  <c r="L10" i="137" s="1"/>
  <c r="D43" i="137"/>
  <c r="AD6" i="221"/>
  <c r="AD7" i="221" s="1"/>
  <c r="Z6" i="221"/>
  <c r="Z7" i="221" s="1"/>
  <c r="V6" i="221"/>
  <c r="V7" i="221" s="1"/>
  <c r="R6" i="221"/>
  <c r="R7" i="221" s="1"/>
  <c r="N6" i="221"/>
  <c r="N7" i="221" s="1"/>
  <c r="J6" i="221"/>
  <c r="J7" i="221" s="1"/>
  <c r="AD8" i="221"/>
  <c r="AD9" i="221" s="1"/>
  <c r="Z8" i="221"/>
  <c r="Z9" i="221" s="1"/>
  <c r="V8" i="221"/>
  <c r="V9" i="221" s="1"/>
  <c r="R8" i="221"/>
  <c r="R9" i="221" s="1"/>
  <c r="N8" i="221"/>
  <c r="N9" i="221" s="1"/>
  <c r="J8" i="221"/>
  <c r="J9" i="221" s="1"/>
  <c r="AE6" i="221"/>
  <c r="AE7" i="221" s="1"/>
  <c r="AA6" i="221"/>
  <c r="AA7" i="221" s="1"/>
  <c r="W6" i="221"/>
  <c r="W7" i="221" s="1"/>
  <c r="S6" i="221"/>
  <c r="S7" i="221" s="1"/>
  <c r="O6" i="221"/>
  <c r="O7" i="221" s="1"/>
  <c r="K6" i="221"/>
  <c r="K7" i="221" s="1"/>
  <c r="AE8" i="221"/>
  <c r="AE9" i="221" s="1"/>
  <c r="AA8" i="221"/>
  <c r="AA9" i="221" s="1"/>
  <c r="W8" i="221"/>
  <c r="W9" i="221" s="1"/>
  <c r="S8" i="221"/>
  <c r="S9" i="221" s="1"/>
  <c r="O8" i="221"/>
  <c r="O9" i="221" s="1"/>
  <c r="K8" i="221"/>
  <c r="K9" i="221" s="1"/>
  <c r="AF6" i="221"/>
  <c r="AF7" i="221" s="1"/>
  <c r="AB6" i="221"/>
  <c r="AB7" i="221" s="1"/>
  <c r="X6" i="221"/>
  <c r="X7" i="221" s="1"/>
  <c r="T6" i="221"/>
  <c r="T7" i="221" s="1"/>
  <c r="P6" i="221"/>
  <c r="P7" i="221" s="1"/>
  <c r="L6" i="221"/>
  <c r="L7" i="221" s="1"/>
  <c r="AF8" i="221"/>
  <c r="AF9" i="221" s="1"/>
  <c r="AB8" i="221"/>
  <c r="AB9" i="221" s="1"/>
  <c r="X8" i="221"/>
  <c r="X9" i="221" s="1"/>
  <c r="T8" i="221"/>
  <c r="T9" i="221" s="1"/>
  <c r="P8" i="221"/>
  <c r="P9" i="221" s="1"/>
  <c r="L8" i="221"/>
  <c r="L9" i="221" s="1"/>
  <c r="I6" i="221"/>
  <c r="I7" i="221" s="1"/>
  <c r="AC6" i="221"/>
  <c r="AC7" i="221" s="1"/>
  <c r="Y6" i="221"/>
  <c r="Y7" i="221" s="1"/>
  <c r="U6" i="221"/>
  <c r="U7" i="221" s="1"/>
  <c r="Q6" i="221"/>
  <c r="Q7" i="221" s="1"/>
  <c r="M6" i="221"/>
  <c r="M7" i="221" s="1"/>
  <c r="I8" i="221"/>
  <c r="I9" i="221" s="1"/>
  <c r="AC8" i="221"/>
  <c r="AC9" i="221" s="1"/>
  <c r="Y8" i="221"/>
  <c r="Y9" i="221" s="1"/>
  <c r="U8" i="221"/>
  <c r="U9" i="221" s="1"/>
  <c r="Q8" i="221"/>
  <c r="Q9" i="221" s="1"/>
  <c r="M8" i="221"/>
  <c r="M9" i="221" s="1"/>
  <c r="H49" i="137"/>
  <c r="F43" i="137"/>
  <c r="M88" i="137" l="1"/>
  <c r="N88" i="137"/>
  <c r="J88" i="137"/>
  <c r="L88" i="137"/>
  <c r="N10" i="137"/>
  <c r="K10" i="137"/>
  <c r="H43" i="137"/>
  <c r="J43" i="137" s="1"/>
  <c r="J10" i="137"/>
  <c r="M10" i="137"/>
  <c r="H121" i="137"/>
  <c r="K43" i="137" l="1"/>
  <c r="G31" i="131" l="1"/>
  <c r="M37" i="131"/>
  <c r="B39" i="131"/>
  <c r="C10" i="131"/>
  <c r="D13" i="131"/>
  <c r="D15" i="131"/>
  <c r="C13" i="131"/>
  <c r="C12" i="131"/>
  <c r="E12" i="131"/>
  <c r="C14" i="131"/>
  <c r="D11" i="131"/>
  <c r="E10" i="131"/>
  <c r="C15" i="131"/>
  <c r="D12" i="131"/>
  <c r="D14" i="131"/>
  <c r="E15" i="131"/>
  <c r="D10" i="131"/>
  <c r="E14" i="131"/>
  <c r="B14" i="131"/>
  <c r="B12" i="131"/>
  <c r="B15" i="131"/>
  <c r="B11" i="131"/>
  <c r="C11" i="131"/>
  <c r="B13" i="131"/>
  <c r="G12" i="131" l="1"/>
  <c r="J12" i="131" s="1"/>
  <c r="G13" i="131"/>
  <c r="J13" i="131" s="1"/>
  <c r="G11" i="131"/>
  <c r="J11" i="131" s="1"/>
  <c r="G14" i="131"/>
  <c r="J14" i="131" s="1"/>
  <c r="G10" i="131"/>
  <c r="J10" i="131" s="1"/>
  <c r="H36" i="126"/>
  <c r="H37" i="126"/>
  <c r="H38" i="126"/>
  <c r="H39" i="126"/>
  <c r="H40" i="126"/>
  <c r="H41" i="126"/>
  <c r="H35" i="126"/>
  <c r="D36" i="126"/>
  <c r="D37" i="126"/>
  <c r="D38" i="126"/>
  <c r="D39" i="126"/>
  <c r="D40" i="126"/>
  <c r="D41" i="126"/>
  <c r="D35" i="126"/>
  <c r="F36" i="126"/>
  <c r="B41" i="126"/>
  <c r="C38" i="126"/>
  <c r="C35" i="126"/>
  <c r="B35" i="126"/>
  <c r="B38" i="126"/>
  <c r="F40" i="126"/>
  <c r="B37" i="126"/>
  <c r="G35" i="126"/>
  <c r="F39" i="126"/>
  <c r="B36" i="126"/>
  <c r="C37" i="126"/>
  <c r="G40" i="126"/>
  <c r="C39" i="126"/>
  <c r="G39" i="126"/>
  <c r="G36" i="126"/>
  <c r="F35" i="126"/>
  <c r="B39" i="126"/>
  <c r="C40" i="126"/>
  <c r="G38" i="126"/>
  <c r="C41" i="126"/>
  <c r="C36" i="126"/>
  <c r="G41" i="126"/>
  <c r="G37" i="126"/>
  <c r="F38" i="126"/>
  <c r="F41" i="126"/>
  <c r="B40" i="126"/>
  <c r="F37" i="126"/>
  <c r="C43" i="126" l="1"/>
  <c r="D47" i="129"/>
  <c r="C10" i="80"/>
  <c r="D10" i="80"/>
  <c r="H10" i="80" s="1"/>
  <c r="C11" i="80"/>
  <c r="G11" i="80" s="1"/>
  <c r="D11" i="80"/>
  <c r="H11" i="80" s="1"/>
  <c r="C12" i="80"/>
  <c r="G12" i="80" s="1"/>
  <c r="D12" i="80"/>
  <c r="H12" i="80" s="1"/>
  <c r="C13" i="80"/>
  <c r="G13" i="80" s="1"/>
  <c r="D13" i="80"/>
  <c r="H13" i="80" s="1"/>
  <c r="C14" i="80"/>
  <c r="G14" i="80" s="1"/>
  <c r="D14" i="80"/>
  <c r="H14" i="80" s="1"/>
  <c r="C15" i="80"/>
  <c r="G15" i="80" s="1"/>
  <c r="D15" i="80"/>
  <c r="H15" i="80" s="1"/>
  <c r="C16" i="80"/>
  <c r="G16" i="80" s="1"/>
  <c r="D16" i="80"/>
  <c r="H16" i="80" s="1"/>
  <c r="C17" i="80"/>
  <c r="G17" i="80" s="1"/>
  <c r="D17" i="80"/>
  <c r="H17" i="80" s="1"/>
  <c r="C18" i="80"/>
  <c r="G18" i="80" s="1"/>
  <c r="D18" i="80"/>
  <c r="H18" i="80" s="1"/>
  <c r="C19" i="80"/>
  <c r="G19" i="80" s="1"/>
  <c r="D19" i="80"/>
  <c r="H19" i="80" s="1"/>
  <c r="C20" i="80"/>
  <c r="G20" i="80" s="1"/>
  <c r="D20" i="80"/>
  <c r="H20" i="80" s="1"/>
  <c r="C21" i="80"/>
  <c r="G21" i="80" s="1"/>
  <c r="D21" i="80"/>
  <c r="H21" i="80" s="1"/>
  <c r="C22" i="80"/>
  <c r="G22" i="80" s="1"/>
  <c r="D22" i="80"/>
  <c r="H22" i="80" s="1"/>
  <c r="C23" i="80"/>
  <c r="G23" i="80" s="1"/>
  <c r="D23" i="80"/>
  <c r="H23" i="80" s="1"/>
  <c r="C24" i="80"/>
  <c r="G24" i="80" s="1"/>
  <c r="D24" i="80"/>
  <c r="H24" i="80" s="1"/>
  <c r="C25" i="80"/>
  <c r="G25" i="80" s="1"/>
  <c r="D25" i="80"/>
  <c r="H25" i="80" s="1"/>
  <c r="C26" i="80"/>
  <c r="G26" i="80" s="1"/>
  <c r="D26" i="80"/>
  <c r="H26" i="80" s="1"/>
  <c r="C27" i="80"/>
  <c r="G27" i="80" s="1"/>
  <c r="D27" i="80"/>
  <c r="H27" i="80" s="1"/>
  <c r="C28" i="80"/>
  <c r="G28" i="80" s="1"/>
  <c r="D28" i="80"/>
  <c r="H28" i="80" s="1"/>
  <c r="C29" i="80"/>
  <c r="G29" i="80" s="1"/>
  <c r="D29" i="80"/>
  <c r="H29" i="80" s="1"/>
  <c r="C30" i="80"/>
  <c r="G30" i="80" s="1"/>
  <c r="D30" i="80"/>
  <c r="H30" i="80" s="1"/>
  <c r="C31" i="80"/>
  <c r="G31" i="80" s="1"/>
  <c r="D31" i="80"/>
  <c r="H31" i="80" s="1"/>
  <c r="C32" i="80"/>
  <c r="G32" i="80" s="1"/>
  <c r="D32" i="80"/>
  <c r="H32" i="80" s="1"/>
  <c r="C33" i="80"/>
  <c r="G33" i="80" s="1"/>
  <c r="D33" i="80"/>
  <c r="H33" i="80" s="1"/>
  <c r="C34" i="80"/>
  <c r="G34" i="80" s="1"/>
  <c r="D34" i="80"/>
  <c r="H34" i="80" s="1"/>
  <c r="C35" i="80"/>
  <c r="G35" i="80" s="1"/>
  <c r="D35" i="80"/>
  <c r="H35" i="80" s="1"/>
  <c r="C36" i="80"/>
  <c r="G36" i="80" s="1"/>
  <c r="D36" i="80"/>
  <c r="H36" i="80" s="1"/>
  <c r="C37" i="80"/>
  <c r="G37" i="80" s="1"/>
  <c r="D37" i="80"/>
  <c r="H37" i="80" s="1"/>
  <c r="C38" i="80"/>
  <c r="G38" i="80" s="1"/>
  <c r="D38" i="80"/>
  <c r="H38" i="80" s="1"/>
  <c r="C39" i="80"/>
  <c r="G39" i="80" s="1"/>
  <c r="D39" i="80"/>
  <c r="H39" i="80" s="1"/>
  <c r="C40" i="80"/>
  <c r="G40" i="80" s="1"/>
  <c r="D40" i="80"/>
  <c r="H40" i="80" s="1"/>
  <c r="D9" i="80"/>
  <c r="C9" i="80"/>
  <c r="G9" i="80" s="1"/>
  <c r="D48" i="28"/>
  <c r="E48" i="28"/>
  <c r="F48" i="28"/>
  <c r="G48" i="28"/>
  <c r="H48" i="28"/>
  <c r="I48" i="28"/>
  <c r="J48" i="28"/>
  <c r="K48" i="28"/>
  <c r="D49" i="28"/>
  <c r="E49" i="28"/>
  <c r="F49" i="28"/>
  <c r="G49" i="28"/>
  <c r="H49" i="28"/>
  <c r="I49" i="28"/>
  <c r="J49" i="28"/>
  <c r="K49" i="28"/>
  <c r="D50" i="28"/>
  <c r="E50" i="28"/>
  <c r="F50" i="28"/>
  <c r="G50" i="28"/>
  <c r="H50" i="28"/>
  <c r="I50" i="28"/>
  <c r="J50" i="28"/>
  <c r="K50" i="28"/>
  <c r="D51" i="28"/>
  <c r="E51" i="28"/>
  <c r="F51" i="28"/>
  <c r="G51" i="28"/>
  <c r="H51" i="28"/>
  <c r="I51" i="28"/>
  <c r="J51" i="28"/>
  <c r="K51" i="28"/>
  <c r="D52" i="28"/>
  <c r="E52" i="28"/>
  <c r="F52" i="28"/>
  <c r="G52" i="28"/>
  <c r="H52" i="28"/>
  <c r="I52" i="28"/>
  <c r="J52" i="28"/>
  <c r="K52" i="28"/>
  <c r="D53" i="28"/>
  <c r="E53" i="28"/>
  <c r="F53" i="28"/>
  <c r="G53" i="28"/>
  <c r="H53" i="28"/>
  <c r="I53" i="28"/>
  <c r="J53" i="28"/>
  <c r="K53" i="28"/>
  <c r="D54" i="28"/>
  <c r="E54" i="28"/>
  <c r="F54" i="28"/>
  <c r="G54" i="28"/>
  <c r="H54" i="28"/>
  <c r="I54" i="28"/>
  <c r="J54" i="28"/>
  <c r="K54" i="28"/>
  <c r="D55" i="28"/>
  <c r="E55" i="28"/>
  <c r="F55" i="28"/>
  <c r="G55" i="28"/>
  <c r="H55" i="28"/>
  <c r="I55" i="28"/>
  <c r="J55" i="28"/>
  <c r="K55" i="28"/>
  <c r="D56" i="28"/>
  <c r="E56" i="28"/>
  <c r="F56" i="28"/>
  <c r="G56" i="28"/>
  <c r="H56" i="28"/>
  <c r="I56" i="28"/>
  <c r="J56" i="28"/>
  <c r="K56" i="28"/>
  <c r="D57" i="28"/>
  <c r="E57" i="28"/>
  <c r="F57" i="28"/>
  <c r="G57" i="28"/>
  <c r="H57" i="28"/>
  <c r="I57" i="28"/>
  <c r="J57" i="28"/>
  <c r="K57" i="28"/>
  <c r="D58" i="28"/>
  <c r="E58" i="28"/>
  <c r="F58" i="28"/>
  <c r="G58" i="28"/>
  <c r="H58" i="28"/>
  <c r="I58" i="28"/>
  <c r="J58" i="28"/>
  <c r="K58" i="28"/>
  <c r="D59" i="28"/>
  <c r="E59" i="28"/>
  <c r="F59" i="28"/>
  <c r="G59" i="28"/>
  <c r="H59" i="28"/>
  <c r="I59" i="28"/>
  <c r="J59" i="28"/>
  <c r="K59" i="28"/>
  <c r="D60" i="28"/>
  <c r="E60" i="28"/>
  <c r="F60" i="28"/>
  <c r="G60" i="28"/>
  <c r="H60" i="28"/>
  <c r="I60" i="28"/>
  <c r="J60" i="28"/>
  <c r="K60" i="28"/>
  <c r="D61" i="28"/>
  <c r="E61" i="28"/>
  <c r="F61" i="28"/>
  <c r="G61" i="28"/>
  <c r="H61" i="28"/>
  <c r="I61" i="28"/>
  <c r="J61" i="28"/>
  <c r="K61" i="28"/>
  <c r="D62" i="28"/>
  <c r="E62" i="28"/>
  <c r="F62" i="28"/>
  <c r="G62" i="28"/>
  <c r="H62" i="28"/>
  <c r="I62" i="28"/>
  <c r="J62" i="28"/>
  <c r="K62" i="28"/>
  <c r="D63" i="28"/>
  <c r="E63" i="28"/>
  <c r="F63" i="28"/>
  <c r="G63" i="28"/>
  <c r="H63" i="28"/>
  <c r="I63" i="28"/>
  <c r="J63" i="28"/>
  <c r="K63" i="28"/>
  <c r="D64" i="28"/>
  <c r="E64" i="28"/>
  <c r="F64" i="28"/>
  <c r="G64" i="28"/>
  <c r="H64" i="28"/>
  <c r="I64" i="28"/>
  <c r="J64" i="28"/>
  <c r="K64" i="28"/>
  <c r="D65" i="28"/>
  <c r="E65" i="28"/>
  <c r="F65" i="28"/>
  <c r="G65" i="28"/>
  <c r="H65" i="28"/>
  <c r="I65" i="28"/>
  <c r="J65" i="28"/>
  <c r="K65" i="28"/>
  <c r="D66" i="28"/>
  <c r="E66" i="28"/>
  <c r="F66" i="28"/>
  <c r="G66" i="28"/>
  <c r="H66" i="28"/>
  <c r="I66" i="28"/>
  <c r="J66" i="28"/>
  <c r="K66" i="28"/>
  <c r="D67" i="28"/>
  <c r="E67" i="28"/>
  <c r="F67" i="28"/>
  <c r="G67" i="28"/>
  <c r="H67" i="28"/>
  <c r="I67" i="28"/>
  <c r="J67" i="28"/>
  <c r="K67" i="28"/>
  <c r="D68" i="28"/>
  <c r="E68" i="28"/>
  <c r="F68" i="28"/>
  <c r="G68" i="28"/>
  <c r="H68" i="28"/>
  <c r="I68" i="28"/>
  <c r="J68" i="28"/>
  <c r="K68" i="28"/>
  <c r="D69" i="28"/>
  <c r="E69" i="28"/>
  <c r="F69" i="28"/>
  <c r="G69" i="28"/>
  <c r="H69" i="28"/>
  <c r="I69" i="28"/>
  <c r="J69" i="28"/>
  <c r="K69" i="28"/>
  <c r="D70" i="28"/>
  <c r="E70" i="28"/>
  <c r="F70" i="28"/>
  <c r="G70" i="28"/>
  <c r="H70" i="28"/>
  <c r="I70" i="28"/>
  <c r="J70" i="28"/>
  <c r="K70" i="28"/>
  <c r="D71" i="28"/>
  <c r="E71" i="28"/>
  <c r="F71" i="28"/>
  <c r="G71" i="28"/>
  <c r="H71" i="28"/>
  <c r="I71" i="28"/>
  <c r="J71" i="28"/>
  <c r="K71" i="28"/>
  <c r="D72" i="28"/>
  <c r="E72" i="28"/>
  <c r="F72" i="28"/>
  <c r="G72" i="28"/>
  <c r="H72" i="28"/>
  <c r="I72" i="28"/>
  <c r="J72" i="28"/>
  <c r="K72" i="28"/>
  <c r="D73" i="28"/>
  <c r="E73" i="28"/>
  <c r="F73" i="28"/>
  <c r="G73" i="28"/>
  <c r="H73" i="28"/>
  <c r="I73" i="28"/>
  <c r="J73" i="28"/>
  <c r="K73" i="28"/>
  <c r="D74" i="28"/>
  <c r="E74" i="28"/>
  <c r="F74" i="28"/>
  <c r="G74" i="28"/>
  <c r="H74" i="28"/>
  <c r="I74" i="28"/>
  <c r="J74" i="28"/>
  <c r="K74" i="28"/>
  <c r="D75" i="28"/>
  <c r="E75" i="28"/>
  <c r="F75" i="28"/>
  <c r="G75" i="28"/>
  <c r="H75" i="28"/>
  <c r="I75" i="28"/>
  <c r="J75" i="28"/>
  <c r="K75" i="28"/>
  <c r="D76" i="28"/>
  <c r="E76" i="28"/>
  <c r="F76" i="28"/>
  <c r="G76" i="28"/>
  <c r="H76" i="28"/>
  <c r="I76" i="28"/>
  <c r="J76" i="28"/>
  <c r="K76" i="28"/>
  <c r="D77" i="28"/>
  <c r="E77" i="28"/>
  <c r="F77" i="28"/>
  <c r="G77" i="28"/>
  <c r="H77" i="28"/>
  <c r="I77" i="28"/>
  <c r="J77" i="28"/>
  <c r="K77" i="28"/>
  <c r="D78" i="28"/>
  <c r="E78" i="28"/>
  <c r="F78" i="28"/>
  <c r="G78" i="28"/>
  <c r="H78" i="28"/>
  <c r="I78" i="28"/>
  <c r="J78" i="28"/>
  <c r="K78" i="28"/>
  <c r="D79" i="28"/>
  <c r="E79" i="28"/>
  <c r="F79" i="28"/>
  <c r="G79" i="28"/>
  <c r="H79" i="28"/>
  <c r="I79" i="28"/>
  <c r="J79" i="28"/>
  <c r="K79"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48" i="28"/>
  <c r="D10" i="28"/>
  <c r="E10" i="28"/>
  <c r="F10" i="28"/>
  <c r="G10" i="28"/>
  <c r="H10" i="28"/>
  <c r="I10" i="28"/>
  <c r="J10" i="28"/>
  <c r="K10" i="28"/>
  <c r="D11" i="28"/>
  <c r="E11" i="28"/>
  <c r="F11" i="28"/>
  <c r="G11" i="28"/>
  <c r="H11" i="28"/>
  <c r="I11" i="28"/>
  <c r="J11" i="28"/>
  <c r="K11" i="28"/>
  <c r="D12" i="28"/>
  <c r="E12" i="28"/>
  <c r="F12" i="28"/>
  <c r="G12" i="28"/>
  <c r="H12" i="28"/>
  <c r="I12" i="28"/>
  <c r="J12" i="28"/>
  <c r="K12" i="28"/>
  <c r="D13" i="28"/>
  <c r="E13" i="28"/>
  <c r="F13" i="28"/>
  <c r="G13" i="28"/>
  <c r="H13" i="28"/>
  <c r="I13" i="28"/>
  <c r="J13" i="28"/>
  <c r="K13" i="28"/>
  <c r="D14" i="28"/>
  <c r="E14" i="28"/>
  <c r="F14" i="28"/>
  <c r="G14" i="28"/>
  <c r="H14" i="28"/>
  <c r="I14" i="28"/>
  <c r="J14" i="28"/>
  <c r="K14" i="28"/>
  <c r="D15" i="28"/>
  <c r="E15" i="28"/>
  <c r="F15" i="28"/>
  <c r="G15" i="28"/>
  <c r="H15" i="28"/>
  <c r="I15" i="28"/>
  <c r="J15" i="28"/>
  <c r="K15" i="28"/>
  <c r="D16" i="28"/>
  <c r="E16" i="28"/>
  <c r="F16" i="28"/>
  <c r="G16" i="28"/>
  <c r="H16" i="28"/>
  <c r="I16" i="28"/>
  <c r="J16" i="28"/>
  <c r="K16" i="28"/>
  <c r="D17" i="28"/>
  <c r="E17" i="28"/>
  <c r="F17" i="28"/>
  <c r="G17" i="28"/>
  <c r="H17" i="28"/>
  <c r="I17" i="28"/>
  <c r="J17" i="28"/>
  <c r="K17" i="28"/>
  <c r="D18" i="28"/>
  <c r="E18" i="28"/>
  <c r="F18" i="28"/>
  <c r="G18" i="28"/>
  <c r="H18" i="28"/>
  <c r="I18" i="28"/>
  <c r="J18" i="28"/>
  <c r="K18" i="28"/>
  <c r="D19" i="28"/>
  <c r="E19" i="28"/>
  <c r="F19" i="28"/>
  <c r="G19" i="28"/>
  <c r="H19" i="28"/>
  <c r="I19" i="28"/>
  <c r="J19" i="28"/>
  <c r="K19" i="28"/>
  <c r="D20" i="28"/>
  <c r="E20" i="28"/>
  <c r="F20" i="28"/>
  <c r="G20" i="28"/>
  <c r="H20" i="28"/>
  <c r="I20" i="28"/>
  <c r="J20" i="28"/>
  <c r="K20" i="28"/>
  <c r="D21" i="28"/>
  <c r="E21" i="28"/>
  <c r="F21" i="28"/>
  <c r="G21" i="28"/>
  <c r="H21" i="28"/>
  <c r="I21" i="28"/>
  <c r="J21" i="28"/>
  <c r="K21" i="28"/>
  <c r="D22" i="28"/>
  <c r="E22" i="28"/>
  <c r="F22" i="28"/>
  <c r="G22" i="28"/>
  <c r="H22" i="28"/>
  <c r="I22" i="28"/>
  <c r="J22" i="28"/>
  <c r="K22" i="28"/>
  <c r="D23" i="28"/>
  <c r="E23" i="28"/>
  <c r="F23" i="28"/>
  <c r="G23" i="28"/>
  <c r="H23" i="28"/>
  <c r="I23" i="28"/>
  <c r="J23" i="28"/>
  <c r="K23" i="28"/>
  <c r="D24" i="28"/>
  <c r="E24" i="28"/>
  <c r="F24" i="28"/>
  <c r="G24" i="28"/>
  <c r="H24" i="28"/>
  <c r="I24" i="28"/>
  <c r="J24" i="28"/>
  <c r="K24" i="28"/>
  <c r="D25" i="28"/>
  <c r="E25" i="28"/>
  <c r="F25" i="28"/>
  <c r="G25" i="28"/>
  <c r="H25" i="28"/>
  <c r="I25" i="28"/>
  <c r="J25" i="28"/>
  <c r="K25" i="28"/>
  <c r="D26" i="28"/>
  <c r="E26" i="28"/>
  <c r="F26" i="28"/>
  <c r="G26" i="28"/>
  <c r="H26" i="28"/>
  <c r="I26" i="28"/>
  <c r="J26" i="28"/>
  <c r="K26" i="28"/>
  <c r="D27" i="28"/>
  <c r="E27" i="28"/>
  <c r="F27" i="28"/>
  <c r="G27" i="28"/>
  <c r="H27" i="28"/>
  <c r="I27" i="28"/>
  <c r="J27" i="28"/>
  <c r="K27" i="28"/>
  <c r="D28" i="28"/>
  <c r="E28" i="28"/>
  <c r="F28" i="28"/>
  <c r="G28" i="28"/>
  <c r="H28" i="28"/>
  <c r="I28" i="28"/>
  <c r="J28" i="28"/>
  <c r="K28" i="28"/>
  <c r="D29" i="28"/>
  <c r="E29" i="28"/>
  <c r="F29" i="28"/>
  <c r="G29" i="28"/>
  <c r="H29" i="28"/>
  <c r="I29" i="28"/>
  <c r="J29" i="28"/>
  <c r="K29" i="28"/>
  <c r="D30" i="28"/>
  <c r="E30" i="28"/>
  <c r="F30" i="28"/>
  <c r="G30" i="28"/>
  <c r="H30" i="28"/>
  <c r="I30" i="28"/>
  <c r="J30" i="28"/>
  <c r="K30" i="28"/>
  <c r="D31" i="28"/>
  <c r="E31" i="28"/>
  <c r="F31" i="28"/>
  <c r="G31" i="28"/>
  <c r="H31" i="28"/>
  <c r="I31" i="28"/>
  <c r="J31" i="28"/>
  <c r="K31" i="28"/>
  <c r="D32" i="28"/>
  <c r="E32" i="28"/>
  <c r="F32" i="28"/>
  <c r="G32" i="28"/>
  <c r="H32" i="28"/>
  <c r="I32" i="28"/>
  <c r="J32" i="28"/>
  <c r="K32" i="28"/>
  <c r="D33" i="28"/>
  <c r="E33" i="28"/>
  <c r="F33" i="28"/>
  <c r="G33" i="28"/>
  <c r="H33" i="28"/>
  <c r="I33" i="28"/>
  <c r="J33" i="28"/>
  <c r="K33" i="28"/>
  <c r="D34" i="28"/>
  <c r="E34" i="28"/>
  <c r="F34" i="28"/>
  <c r="G34" i="28"/>
  <c r="H34" i="28"/>
  <c r="I34" i="28"/>
  <c r="J34" i="28"/>
  <c r="K34" i="28"/>
  <c r="D35" i="28"/>
  <c r="E35" i="28"/>
  <c r="F35" i="28"/>
  <c r="G35" i="28"/>
  <c r="H35" i="28"/>
  <c r="I35" i="28"/>
  <c r="J35" i="28"/>
  <c r="K35" i="28"/>
  <c r="D36" i="28"/>
  <c r="E36" i="28"/>
  <c r="F36" i="28"/>
  <c r="G36" i="28"/>
  <c r="H36" i="28"/>
  <c r="I36" i="28"/>
  <c r="J36" i="28"/>
  <c r="K36" i="28"/>
  <c r="D37" i="28"/>
  <c r="E37" i="28"/>
  <c r="F37" i="28"/>
  <c r="G37" i="28"/>
  <c r="H37" i="28"/>
  <c r="I37" i="28"/>
  <c r="J37" i="28"/>
  <c r="K37" i="28"/>
  <c r="D38" i="28"/>
  <c r="E38" i="28"/>
  <c r="F38" i="28"/>
  <c r="G38" i="28"/>
  <c r="H38" i="28"/>
  <c r="I38" i="28"/>
  <c r="J38" i="28"/>
  <c r="K38" i="28"/>
  <c r="D39" i="28"/>
  <c r="E39" i="28"/>
  <c r="F39" i="28"/>
  <c r="G39" i="28"/>
  <c r="H39" i="28"/>
  <c r="I39" i="28"/>
  <c r="J39" i="28"/>
  <c r="K39" i="28"/>
  <c r="D40" i="28"/>
  <c r="E40" i="28"/>
  <c r="F40" i="28"/>
  <c r="G40" i="28"/>
  <c r="H40" i="28"/>
  <c r="I40" i="28"/>
  <c r="J40" i="28"/>
  <c r="K40" i="28"/>
  <c r="D41" i="28"/>
  <c r="E41" i="28"/>
  <c r="F41" i="28"/>
  <c r="G41" i="28"/>
  <c r="H41" i="28"/>
  <c r="I41" i="28"/>
  <c r="J41" i="28"/>
  <c r="K41"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10" i="28"/>
  <c r="D11" i="26"/>
  <c r="E11" i="26"/>
  <c r="C56" i="26" s="1"/>
  <c r="G11" i="26"/>
  <c r="H11" i="26"/>
  <c r="I11" i="26"/>
  <c r="D12" i="26"/>
  <c r="E12" i="26"/>
  <c r="C57" i="26" s="1"/>
  <c r="G12" i="26"/>
  <c r="H12" i="26"/>
  <c r="I12" i="26"/>
  <c r="D13" i="26"/>
  <c r="E13" i="26"/>
  <c r="C58" i="26" s="1"/>
  <c r="G13" i="26"/>
  <c r="H13" i="26"/>
  <c r="I13" i="26"/>
  <c r="D14" i="26"/>
  <c r="E14" i="26"/>
  <c r="C59" i="26" s="1"/>
  <c r="G14" i="26"/>
  <c r="H14" i="26"/>
  <c r="I14" i="26"/>
  <c r="D15" i="26"/>
  <c r="E15" i="26"/>
  <c r="C60" i="26" s="1"/>
  <c r="G15" i="26"/>
  <c r="H15" i="26"/>
  <c r="I15" i="26"/>
  <c r="D16" i="26"/>
  <c r="E16" i="26"/>
  <c r="C61" i="26" s="1"/>
  <c r="G16" i="26"/>
  <c r="H16" i="26"/>
  <c r="I16" i="26"/>
  <c r="D17" i="26"/>
  <c r="E17" i="26"/>
  <c r="C62" i="26" s="1"/>
  <c r="G17" i="26"/>
  <c r="H17" i="26"/>
  <c r="I17" i="26"/>
  <c r="D18" i="26"/>
  <c r="E18" i="26"/>
  <c r="C63" i="26" s="1"/>
  <c r="G18" i="26"/>
  <c r="H18" i="26"/>
  <c r="I18" i="26"/>
  <c r="D19" i="26"/>
  <c r="E19" i="26"/>
  <c r="C64" i="26" s="1"/>
  <c r="G19" i="26"/>
  <c r="H19" i="26"/>
  <c r="I19" i="26"/>
  <c r="D20" i="26"/>
  <c r="E20" i="26"/>
  <c r="C65" i="26" s="1"/>
  <c r="G20" i="26"/>
  <c r="H20" i="26"/>
  <c r="I20" i="26"/>
  <c r="D21" i="26"/>
  <c r="E21" i="26"/>
  <c r="C66" i="26" s="1"/>
  <c r="G21" i="26"/>
  <c r="H21" i="26"/>
  <c r="I21" i="26"/>
  <c r="D22" i="26"/>
  <c r="E22" i="26"/>
  <c r="C67" i="26" s="1"/>
  <c r="G22" i="26"/>
  <c r="H22" i="26"/>
  <c r="I22" i="26"/>
  <c r="D23" i="26"/>
  <c r="E23" i="26"/>
  <c r="C68" i="26" s="1"/>
  <c r="G23" i="26"/>
  <c r="H23" i="26"/>
  <c r="I23" i="26"/>
  <c r="D24" i="26"/>
  <c r="E24" i="26"/>
  <c r="C69" i="26" s="1"/>
  <c r="G24" i="26"/>
  <c r="H24" i="26"/>
  <c r="I24" i="26"/>
  <c r="D25" i="26"/>
  <c r="E25" i="26"/>
  <c r="C70" i="26" s="1"/>
  <c r="G25" i="26"/>
  <c r="H25" i="26"/>
  <c r="I25" i="26"/>
  <c r="D26" i="26"/>
  <c r="E26" i="26"/>
  <c r="C71" i="26" s="1"/>
  <c r="G26" i="26"/>
  <c r="H26" i="26"/>
  <c r="I26" i="26"/>
  <c r="D27" i="26"/>
  <c r="E27" i="26"/>
  <c r="C72" i="26" s="1"/>
  <c r="G27" i="26"/>
  <c r="H27" i="26"/>
  <c r="I27" i="26"/>
  <c r="D28" i="26"/>
  <c r="E28" i="26"/>
  <c r="C73" i="26" s="1"/>
  <c r="G28" i="26"/>
  <c r="H28" i="26"/>
  <c r="I28" i="26"/>
  <c r="D29" i="26"/>
  <c r="E29" i="26"/>
  <c r="C74" i="26" s="1"/>
  <c r="G29" i="26"/>
  <c r="H29" i="26"/>
  <c r="I29" i="26"/>
  <c r="D30" i="26"/>
  <c r="E30" i="26"/>
  <c r="C75" i="26" s="1"/>
  <c r="G30" i="26"/>
  <c r="H30" i="26"/>
  <c r="I30" i="26"/>
  <c r="D31" i="26"/>
  <c r="E31" i="26"/>
  <c r="C76" i="26" s="1"/>
  <c r="G31" i="26"/>
  <c r="H31" i="26"/>
  <c r="I31" i="26"/>
  <c r="D32" i="26"/>
  <c r="E32" i="26"/>
  <c r="C77" i="26" s="1"/>
  <c r="G32" i="26"/>
  <c r="H32" i="26"/>
  <c r="I32" i="26"/>
  <c r="D33" i="26"/>
  <c r="E33" i="26"/>
  <c r="C78" i="26" s="1"/>
  <c r="G33" i="26"/>
  <c r="H33" i="26"/>
  <c r="I33" i="26"/>
  <c r="D34" i="26"/>
  <c r="E34" i="26"/>
  <c r="C79" i="26" s="1"/>
  <c r="G34" i="26"/>
  <c r="H34" i="26"/>
  <c r="I34" i="26"/>
  <c r="D35" i="26"/>
  <c r="E35" i="26"/>
  <c r="C80" i="26" s="1"/>
  <c r="G35" i="26"/>
  <c r="H35" i="26"/>
  <c r="I35" i="26"/>
  <c r="D36" i="26"/>
  <c r="E36" i="26"/>
  <c r="C81" i="26" s="1"/>
  <c r="G36" i="26"/>
  <c r="H36" i="26"/>
  <c r="I36" i="26"/>
  <c r="D37" i="26"/>
  <c r="E37" i="26"/>
  <c r="C82" i="26" s="1"/>
  <c r="G37" i="26"/>
  <c r="H37" i="26"/>
  <c r="I37" i="26"/>
  <c r="D38" i="26"/>
  <c r="E38" i="26"/>
  <c r="C83" i="26" s="1"/>
  <c r="G38" i="26"/>
  <c r="H38" i="26"/>
  <c r="I38" i="26"/>
  <c r="D39" i="26"/>
  <c r="E39" i="26"/>
  <c r="C84" i="26" s="1"/>
  <c r="G39" i="26"/>
  <c r="H39" i="26"/>
  <c r="I39" i="26"/>
  <c r="D40" i="26"/>
  <c r="E40" i="26"/>
  <c r="C85" i="26" s="1"/>
  <c r="G40" i="26"/>
  <c r="H40" i="26"/>
  <c r="I40" i="26"/>
  <c r="D41" i="26"/>
  <c r="E41" i="26"/>
  <c r="C86" i="26" s="1"/>
  <c r="G41" i="26"/>
  <c r="H41" i="26"/>
  <c r="I41" i="26"/>
  <c r="H10" i="26"/>
  <c r="I10" i="26"/>
  <c r="G10" i="26"/>
  <c r="E10" i="26"/>
  <c r="C55" i="26" s="1"/>
  <c r="D10" i="26"/>
  <c r="C10" i="79"/>
  <c r="D10" i="79"/>
  <c r="H10" i="79" s="1"/>
  <c r="C11" i="79"/>
  <c r="G11" i="79" s="1"/>
  <c r="D11" i="79"/>
  <c r="C12" i="79"/>
  <c r="G12" i="79" s="1"/>
  <c r="D12" i="79"/>
  <c r="H12" i="79" s="1"/>
  <c r="C13" i="79"/>
  <c r="G13" i="79" s="1"/>
  <c r="D13" i="79"/>
  <c r="H13" i="79" s="1"/>
  <c r="C14" i="79"/>
  <c r="G14" i="79" s="1"/>
  <c r="D14" i="79"/>
  <c r="H14" i="79" s="1"/>
  <c r="C15" i="79"/>
  <c r="G15" i="79" s="1"/>
  <c r="D15" i="79"/>
  <c r="C16" i="79"/>
  <c r="G16" i="79" s="1"/>
  <c r="D16" i="79"/>
  <c r="H16" i="79" s="1"/>
  <c r="C17" i="79"/>
  <c r="D17" i="79"/>
  <c r="H17" i="79" s="1"/>
  <c r="C18" i="79"/>
  <c r="G18" i="79" s="1"/>
  <c r="D18" i="79"/>
  <c r="H18" i="79" s="1"/>
  <c r="C19" i="79"/>
  <c r="G19" i="79" s="1"/>
  <c r="D19" i="79"/>
  <c r="H19" i="79" s="1"/>
  <c r="C20" i="79"/>
  <c r="D20" i="79"/>
  <c r="H20" i="79" s="1"/>
  <c r="C21" i="79"/>
  <c r="G21" i="79" s="1"/>
  <c r="D21" i="79"/>
  <c r="H21" i="79" s="1"/>
  <c r="C22" i="79"/>
  <c r="D22" i="79"/>
  <c r="H22" i="79" s="1"/>
  <c r="C23" i="79"/>
  <c r="G23" i="79" s="1"/>
  <c r="D23" i="79"/>
  <c r="C24" i="79"/>
  <c r="G24" i="79" s="1"/>
  <c r="D24" i="79"/>
  <c r="H24" i="79" s="1"/>
  <c r="C25" i="79"/>
  <c r="G25" i="79" s="1"/>
  <c r="D25" i="79"/>
  <c r="H25" i="79" s="1"/>
  <c r="C26" i="79"/>
  <c r="G26" i="79" s="1"/>
  <c r="D26" i="79"/>
  <c r="H26" i="79" s="1"/>
  <c r="C27" i="79"/>
  <c r="G27" i="79" s="1"/>
  <c r="D27" i="79"/>
  <c r="C28" i="79"/>
  <c r="D28" i="79"/>
  <c r="H28" i="79" s="1"/>
  <c r="C29" i="79"/>
  <c r="D29" i="79"/>
  <c r="H29" i="79" s="1"/>
  <c r="C30" i="79"/>
  <c r="D30" i="79"/>
  <c r="H30" i="79" s="1"/>
  <c r="C31" i="79"/>
  <c r="G31" i="79" s="1"/>
  <c r="D31" i="79"/>
  <c r="H31" i="79" s="1"/>
  <c r="C32" i="79"/>
  <c r="G32" i="79" s="1"/>
  <c r="D32" i="79"/>
  <c r="H32" i="79" s="1"/>
  <c r="C33" i="79"/>
  <c r="D33" i="79"/>
  <c r="H33" i="79" s="1"/>
  <c r="C34" i="79"/>
  <c r="D34" i="79"/>
  <c r="H34" i="79" s="1"/>
  <c r="C35" i="79"/>
  <c r="G35" i="79" s="1"/>
  <c r="D35" i="79"/>
  <c r="H35" i="79" s="1"/>
  <c r="C36" i="79"/>
  <c r="D36" i="79"/>
  <c r="H36" i="79" s="1"/>
  <c r="C37" i="79"/>
  <c r="G37" i="79" s="1"/>
  <c r="D37" i="79"/>
  <c r="H37" i="79" s="1"/>
  <c r="C38" i="79"/>
  <c r="D38" i="79"/>
  <c r="H38" i="79" s="1"/>
  <c r="C39" i="79"/>
  <c r="G39" i="79" s="1"/>
  <c r="D39" i="79"/>
  <c r="C40" i="79"/>
  <c r="D40" i="79"/>
  <c r="H40" i="79" s="1"/>
  <c r="D9" i="79"/>
  <c r="H9" i="79" s="1"/>
  <c r="C9" i="79"/>
  <c r="D11" i="99"/>
  <c r="E11" i="99"/>
  <c r="F11" i="99"/>
  <c r="G11" i="99"/>
  <c r="H11" i="99"/>
  <c r="I11" i="99"/>
  <c r="J11" i="99"/>
  <c r="K11" i="99"/>
  <c r="D12" i="99"/>
  <c r="E12" i="99"/>
  <c r="F12" i="99"/>
  <c r="G12" i="99"/>
  <c r="H12" i="99"/>
  <c r="I12" i="99"/>
  <c r="J12" i="99"/>
  <c r="K12" i="99"/>
  <c r="D13" i="99"/>
  <c r="E13" i="99"/>
  <c r="F13" i="99"/>
  <c r="G13" i="99"/>
  <c r="H13" i="99"/>
  <c r="I13" i="99"/>
  <c r="J13" i="99"/>
  <c r="K13" i="99"/>
  <c r="D14" i="99"/>
  <c r="E14" i="99"/>
  <c r="F14" i="99"/>
  <c r="G14" i="99"/>
  <c r="H14" i="99"/>
  <c r="I14" i="99"/>
  <c r="J14" i="99"/>
  <c r="K14" i="99"/>
  <c r="D15" i="99"/>
  <c r="E15" i="99"/>
  <c r="F15" i="99"/>
  <c r="G15" i="99"/>
  <c r="H15" i="99"/>
  <c r="I15" i="99"/>
  <c r="J15" i="99"/>
  <c r="K15" i="99"/>
  <c r="D16" i="99"/>
  <c r="E16" i="99"/>
  <c r="F16" i="99"/>
  <c r="G16" i="99"/>
  <c r="H16" i="99"/>
  <c r="I16" i="99"/>
  <c r="J16" i="99"/>
  <c r="K16" i="99"/>
  <c r="D17" i="99"/>
  <c r="E17" i="99"/>
  <c r="F17" i="99"/>
  <c r="G17" i="99"/>
  <c r="H17" i="99"/>
  <c r="I17" i="99"/>
  <c r="J17" i="99"/>
  <c r="K17" i="99"/>
  <c r="D18" i="99"/>
  <c r="E18" i="99"/>
  <c r="F18" i="99"/>
  <c r="G18" i="99"/>
  <c r="H18" i="99"/>
  <c r="I18" i="99"/>
  <c r="J18" i="99"/>
  <c r="K18" i="99"/>
  <c r="D19" i="99"/>
  <c r="E19" i="99"/>
  <c r="F19" i="99"/>
  <c r="G19" i="99"/>
  <c r="H19" i="99"/>
  <c r="I19" i="99"/>
  <c r="J19" i="99"/>
  <c r="K19" i="99"/>
  <c r="D20" i="99"/>
  <c r="E20" i="99"/>
  <c r="F20" i="99"/>
  <c r="G20" i="99"/>
  <c r="H20" i="99"/>
  <c r="I20" i="99"/>
  <c r="J20" i="99"/>
  <c r="K20" i="99"/>
  <c r="D21" i="99"/>
  <c r="E21" i="99"/>
  <c r="F21" i="99"/>
  <c r="G21" i="99"/>
  <c r="H21" i="99"/>
  <c r="I21" i="99"/>
  <c r="J21" i="99"/>
  <c r="K21" i="99"/>
  <c r="D22" i="99"/>
  <c r="E22" i="99"/>
  <c r="F22" i="99"/>
  <c r="G22" i="99"/>
  <c r="H22" i="99"/>
  <c r="I22" i="99"/>
  <c r="J22" i="99"/>
  <c r="K22" i="99"/>
  <c r="D23" i="99"/>
  <c r="E23" i="99"/>
  <c r="F23" i="99"/>
  <c r="G23" i="99"/>
  <c r="H23" i="99"/>
  <c r="I23" i="99"/>
  <c r="J23" i="99"/>
  <c r="K23" i="99"/>
  <c r="D24" i="99"/>
  <c r="E24" i="99"/>
  <c r="F24" i="99"/>
  <c r="G24" i="99"/>
  <c r="H24" i="99"/>
  <c r="I24" i="99"/>
  <c r="J24" i="99"/>
  <c r="K24" i="99"/>
  <c r="D25" i="99"/>
  <c r="E25" i="99"/>
  <c r="F25" i="99"/>
  <c r="G25" i="99"/>
  <c r="H25" i="99"/>
  <c r="I25" i="99"/>
  <c r="J25" i="99"/>
  <c r="K25" i="99"/>
  <c r="D26" i="99"/>
  <c r="E26" i="99"/>
  <c r="F26" i="99"/>
  <c r="G26" i="99"/>
  <c r="H26" i="99"/>
  <c r="I26" i="99"/>
  <c r="J26" i="99"/>
  <c r="K26" i="99"/>
  <c r="D27" i="99"/>
  <c r="E27" i="99"/>
  <c r="F27" i="99"/>
  <c r="G27" i="99"/>
  <c r="H27" i="99"/>
  <c r="I27" i="99"/>
  <c r="J27" i="99"/>
  <c r="K27" i="99"/>
  <c r="D28" i="99"/>
  <c r="E28" i="99"/>
  <c r="F28" i="99"/>
  <c r="G28" i="99"/>
  <c r="H28" i="99"/>
  <c r="I28" i="99"/>
  <c r="J28" i="99"/>
  <c r="K28" i="99"/>
  <c r="D29" i="99"/>
  <c r="E29" i="99"/>
  <c r="F29" i="99"/>
  <c r="G29" i="99"/>
  <c r="H29" i="99"/>
  <c r="I29" i="99"/>
  <c r="J29" i="99"/>
  <c r="K29" i="99"/>
  <c r="D30" i="99"/>
  <c r="E30" i="99"/>
  <c r="F30" i="99"/>
  <c r="G30" i="99"/>
  <c r="H30" i="99"/>
  <c r="I30" i="99"/>
  <c r="J30" i="99"/>
  <c r="K30" i="99"/>
  <c r="D31" i="99"/>
  <c r="E31" i="99"/>
  <c r="F31" i="99"/>
  <c r="G31" i="99"/>
  <c r="H31" i="99"/>
  <c r="I31" i="99"/>
  <c r="J31" i="99"/>
  <c r="K31" i="99"/>
  <c r="D32" i="99"/>
  <c r="E32" i="99"/>
  <c r="F32" i="99"/>
  <c r="G32" i="99"/>
  <c r="H32" i="99"/>
  <c r="I32" i="99"/>
  <c r="J32" i="99"/>
  <c r="K32" i="99"/>
  <c r="D33" i="99"/>
  <c r="E33" i="99"/>
  <c r="F33" i="99"/>
  <c r="G33" i="99"/>
  <c r="H33" i="99"/>
  <c r="I33" i="99"/>
  <c r="J33" i="99"/>
  <c r="K33" i="99"/>
  <c r="D34" i="99"/>
  <c r="E34" i="99"/>
  <c r="F34" i="99"/>
  <c r="G34" i="99"/>
  <c r="H34" i="99"/>
  <c r="I34" i="99"/>
  <c r="J34" i="99"/>
  <c r="K34" i="99"/>
  <c r="D35" i="99"/>
  <c r="E35" i="99"/>
  <c r="F35" i="99"/>
  <c r="G35" i="99"/>
  <c r="H35" i="99"/>
  <c r="I35" i="99"/>
  <c r="J35" i="99"/>
  <c r="K35" i="99"/>
  <c r="D36" i="99"/>
  <c r="E36" i="99"/>
  <c r="F36" i="99"/>
  <c r="G36" i="99"/>
  <c r="H36" i="99"/>
  <c r="I36" i="99"/>
  <c r="J36" i="99"/>
  <c r="K36" i="99"/>
  <c r="D37" i="99"/>
  <c r="E37" i="99"/>
  <c r="F37" i="99"/>
  <c r="G37" i="99"/>
  <c r="H37" i="99"/>
  <c r="I37" i="99"/>
  <c r="J37" i="99"/>
  <c r="K37" i="99"/>
  <c r="D38" i="99"/>
  <c r="E38" i="99"/>
  <c r="F38" i="99"/>
  <c r="G38" i="99"/>
  <c r="H38" i="99"/>
  <c r="I38" i="99"/>
  <c r="J38" i="99"/>
  <c r="K38" i="99"/>
  <c r="D39" i="99"/>
  <c r="E39" i="99"/>
  <c r="F39" i="99"/>
  <c r="G39" i="99"/>
  <c r="H39" i="99"/>
  <c r="I39" i="99"/>
  <c r="J39" i="99"/>
  <c r="K39" i="99"/>
  <c r="D40" i="99"/>
  <c r="E40" i="99"/>
  <c r="F40" i="99"/>
  <c r="G40" i="99"/>
  <c r="H40" i="99"/>
  <c r="I40" i="99"/>
  <c r="J40" i="99"/>
  <c r="K40" i="99"/>
  <c r="D41" i="99"/>
  <c r="E41" i="99"/>
  <c r="F41" i="99"/>
  <c r="G41" i="99"/>
  <c r="H41" i="99"/>
  <c r="I41" i="99"/>
  <c r="J41" i="99"/>
  <c r="K41" i="99"/>
  <c r="D42" i="99"/>
  <c r="E42" i="99"/>
  <c r="F42" i="99"/>
  <c r="G42" i="99"/>
  <c r="H42" i="99"/>
  <c r="I42" i="99"/>
  <c r="J42" i="99"/>
  <c r="K42" i="99"/>
  <c r="C12" i="99"/>
  <c r="C13" i="99"/>
  <c r="C14" i="99"/>
  <c r="C15" i="99"/>
  <c r="C16" i="99"/>
  <c r="C17" i="99"/>
  <c r="C18" i="99"/>
  <c r="C19" i="99"/>
  <c r="C20" i="99"/>
  <c r="C21" i="99"/>
  <c r="C22" i="99"/>
  <c r="C23" i="99"/>
  <c r="C24" i="99"/>
  <c r="C25" i="99"/>
  <c r="C26" i="99"/>
  <c r="C27" i="99"/>
  <c r="C28" i="99"/>
  <c r="C29" i="99"/>
  <c r="C30" i="99"/>
  <c r="C31" i="99"/>
  <c r="C32" i="99"/>
  <c r="C33" i="99"/>
  <c r="C34" i="99"/>
  <c r="C35" i="99"/>
  <c r="C36" i="99"/>
  <c r="C37" i="99"/>
  <c r="C38" i="99"/>
  <c r="C39" i="99"/>
  <c r="C40" i="99"/>
  <c r="C41" i="99"/>
  <c r="C42" i="99"/>
  <c r="C11" i="99"/>
  <c r="D12" i="13"/>
  <c r="E12" i="13"/>
  <c r="F12" i="13"/>
  <c r="G12" i="13"/>
  <c r="H12" i="13"/>
  <c r="I12" i="13"/>
  <c r="J12" i="13"/>
  <c r="K12" i="13"/>
  <c r="L12" i="13"/>
  <c r="D13" i="13"/>
  <c r="E13" i="13"/>
  <c r="F13" i="13"/>
  <c r="G13" i="13"/>
  <c r="H13" i="13"/>
  <c r="I13" i="13"/>
  <c r="J13" i="13"/>
  <c r="K13" i="13"/>
  <c r="L13" i="13"/>
  <c r="D14" i="13"/>
  <c r="E14" i="13"/>
  <c r="F14" i="13"/>
  <c r="G14" i="13"/>
  <c r="H14" i="13"/>
  <c r="I14" i="13"/>
  <c r="J14" i="13"/>
  <c r="K14" i="13"/>
  <c r="L14" i="13"/>
  <c r="D15" i="13"/>
  <c r="E15" i="13"/>
  <c r="F15" i="13"/>
  <c r="G15" i="13"/>
  <c r="H15" i="13"/>
  <c r="I15" i="13"/>
  <c r="J15" i="13"/>
  <c r="K15" i="13"/>
  <c r="L15" i="13"/>
  <c r="D16" i="13"/>
  <c r="E16" i="13"/>
  <c r="F16" i="13"/>
  <c r="G16" i="13"/>
  <c r="H16" i="13"/>
  <c r="I16" i="13"/>
  <c r="J16" i="13"/>
  <c r="K16" i="13"/>
  <c r="L16" i="13"/>
  <c r="D17" i="13"/>
  <c r="E17" i="13"/>
  <c r="F17" i="13"/>
  <c r="G17" i="13"/>
  <c r="H17" i="13"/>
  <c r="I17" i="13"/>
  <c r="J17" i="13"/>
  <c r="K17" i="13"/>
  <c r="L17" i="13"/>
  <c r="D18" i="13"/>
  <c r="E18" i="13"/>
  <c r="F18" i="13"/>
  <c r="G18" i="13"/>
  <c r="H18" i="13"/>
  <c r="I18" i="13"/>
  <c r="J18" i="13"/>
  <c r="K18" i="13"/>
  <c r="L18" i="13"/>
  <c r="D19" i="13"/>
  <c r="E19" i="13"/>
  <c r="F19" i="13"/>
  <c r="G19" i="13"/>
  <c r="H19" i="13"/>
  <c r="I19" i="13"/>
  <c r="J19" i="13"/>
  <c r="K19" i="13"/>
  <c r="L19" i="13"/>
  <c r="D20" i="13"/>
  <c r="E20" i="13"/>
  <c r="F20" i="13"/>
  <c r="G20" i="13"/>
  <c r="H20" i="13"/>
  <c r="I20" i="13"/>
  <c r="J20" i="13"/>
  <c r="K20" i="13"/>
  <c r="L20" i="13"/>
  <c r="D21" i="13"/>
  <c r="E21" i="13"/>
  <c r="F21" i="13"/>
  <c r="G21" i="13"/>
  <c r="H21" i="13"/>
  <c r="I21" i="13"/>
  <c r="J21" i="13"/>
  <c r="K21" i="13"/>
  <c r="L21" i="13"/>
  <c r="D22" i="13"/>
  <c r="E22" i="13"/>
  <c r="F22" i="13"/>
  <c r="G22" i="13"/>
  <c r="H22" i="13"/>
  <c r="I22" i="13"/>
  <c r="J22" i="13"/>
  <c r="K22" i="13"/>
  <c r="L22" i="13"/>
  <c r="D23" i="13"/>
  <c r="E23" i="13"/>
  <c r="F23" i="13"/>
  <c r="G23" i="13"/>
  <c r="H23" i="13"/>
  <c r="I23" i="13"/>
  <c r="J23" i="13"/>
  <c r="K23" i="13"/>
  <c r="L23" i="13"/>
  <c r="D24" i="13"/>
  <c r="E24" i="13"/>
  <c r="F24" i="13"/>
  <c r="G24" i="13"/>
  <c r="H24" i="13"/>
  <c r="I24" i="13"/>
  <c r="J24" i="13"/>
  <c r="K24" i="13"/>
  <c r="L24" i="13"/>
  <c r="D25" i="13"/>
  <c r="E25" i="13"/>
  <c r="F25" i="13"/>
  <c r="G25" i="13"/>
  <c r="H25" i="13"/>
  <c r="I25" i="13"/>
  <c r="J25" i="13"/>
  <c r="K25" i="13"/>
  <c r="L25" i="13"/>
  <c r="D26" i="13"/>
  <c r="E26" i="13"/>
  <c r="F26" i="13"/>
  <c r="G26" i="13"/>
  <c r="H26" i="13"/>
  <c r="I26" i="13"/>
  <c r="J26" i="13"/>
  <c r="K26" i="13"/>
  <c r="L26" i="13"/>
  <c r="D27" i="13"/>
  <c r="E27" i="13"/>
  <c r="F27" i="13"/>
  <c r="G27" i="13"/>
  <c r="H27" i="13"/>
  <c r="I27" i="13"/>
  <c r="J27" i="13"/>
  <c r="K27" i="13"/>
  <c r="L27" i="13"/>
  <c r="D28" i="13"/>
  <c r="E28" i="13"/>
  <c r="F28" i="13"/>
  <c r="G28" i="13"/>
  <c r="H28" i="13"/>
  <c r="I28" i="13"/>
  <c r="J28" i="13"/>
  <c r="K28" i="13"/>
  <c r="L28" i="13"/>
  <c r="D29" i="13"/>
  <c r="E29" i="13"/>
  <c r="F29" i="13"/>
  <c r="G29" i="13"/>
  <c r="H29" i="13"/>
  <c r="I29" i="13"/>
  <c r="J29" i="13"/>
  <c r="K29" i="13"/>
  <c r="L29" i="13"/>
  <c r="D30" i="13"/>
  <c r="E30" i="13"/>
  <c r="F30" i="13"/>
  <c r="G30" i="13"/>
  <c r="H30" i="13"/>
  <c r="I30" i="13"/>
  <c r="J30" i="13"/>
  <c r="K30" i="13"/>
  <c r="L30" i="13"/>
  <c r="D31" i="13"/>
  <c r="E31" i="13"/>
  <c r="F31" i="13"/>
  <c r="G31" i="13"/>
  <c r="H31" i="13"/>
  <c r="I31" i="13"/>
  <c r="J31" i="13"/>
  <c r="K31" i="13"/>
  <c r="L31" i="13"/>
  <c r="D32" i="13"/>
  <c r="E32" i="13"/>
  <c r="F32" i="13"/>
  <c r="G32" i="13"/>
  <c r="H32" i="13"/>
  <c r="I32" i="13"/>
  <c r="J32" i="13"/>
  <c r="K32" i="13"/>
  <c r="L32" i="13"/>
  <c r="D33" i="13"/>
  <c r="E33" i="13"/>
  <c r="F33" i="13"/>
  <c r="G33" i="13"/>
  <c r="H33" i="13"/>
  <c r="I33" i="13"/>
  <c r="J33" i="13"/>
  <c r="K33" i="13"/>
  <c r="L33" i="13"/>
  <c r="D34" i="13"/>
  <c r="E34" i="13"/>
  <c r="F34" i="13"/>
  <c r="G34" i="13"/>
  <c r="H34" i="13"/>
  <c r="I34" i="13"/>
  <c r="J34" i="13"/>
  <c r="K34" i="13"/>
  <c r="L34" i="13"/>
  <c r="D35" i="13"/>
  <c r="E35" i="13"/>
  <c r="F35" i="13"/>
  <c r="G35" i="13"/>
  <c r="H35" i="13"/>
  <c r="I35" i="13"/>
  <c r="J35" i="13"/>
  <c r="K35" i="13"/>
  <c r="L35" i="13"/>
  <c r="D36" i="13"/>
  <c r="E36" i="13"/>
  <c r="F36" i="13"/>
  <c r="G36" i="13"/>
  <c r="H36" i="13"/>
  <c r="I36" i="13"/>
  <c r="J36" i="13"/>
  <c r="K36" i="13"/>
  <c r="L36" i="13"/>
  <c r="D37" i="13"/>
  <c r="E37" i="13"/>
  <c r="F37" i="13"/>
  <c r="G37" i="13"/>
  <c r="H37" i="13"/>
  <c r="I37" i="13"/>
  <c r="J37" i="13"/>
  <c r="K37" i="13"/>
  <c r="L37" i="13"/>
  <c r="D38" i="13"/>
  <c r="E38" i="13"/>
  <c r="F38" i="13"/>
  <c r="G38" i="13"/>
  <c r="H38" i="13"/>
  <c r="I38" i="13"/>
  <c r="J38" i="13"/>
  <c r="K38" i="13"/>
  <c r="L38" i="13"/>
  <c r="D39" i="13"/>
  <c r="E39" i="13"/>
  <c r="F39" i="13"/>
  <c r="G39" i="13"/>
  <c r="H39" i="13"/>
  <c r="I39" i="13"/>
  <c r="J39" i="13"/>
  <c r="K39" i="13"/>
  <c r="L39" i="13"/>
  <c r="D40" i="13"/>
  <c r="E40" i="13"/>
  <c r="F40" i="13"/>
  <c r="G40" i="13"/>
  <c r="H40" i="13"/>
  <c r="I40" i="13"/>
  <c r="J40" i="13"/>
  <c r="K40" i="13"/>
  <c r="L40" i="13"/>
  <c r="D41" i="13"/>
  <c r="E41" i="13"/>
  <c r="F41" i="13"/>
  <c r="G41" i="13"/>
  <c r="H41" i="13"/>
  <c r="I41" i="13"/>
  <c r="J41" i="13"/>
  <c r="K41" i="13"/>
  <c r="L41" i="13"/>
  <c r="D42" i="13"/>
  <c r="E42" i="13"/>
  <c r="F42" i="13"/>
  <c r="G42" i="13"/>
  <c r="H42" i="13"/>
  <c r="I42" i="13"/>
  <c r="J42" i="13"/>
  <c r="K42" i="13"/>
  <c r="L42" i="13"/>
  <c r="D43" i="13"/>
  <c r="E43" i="13"/>
  <c r="F43" i="13"/>
  <c r="G43" i="13"/>
  <c r="H43" i="13"/>
  <c r="I43" i="13"/>
  <c r="J43" i="13"/>
  <c r="K43" i="13"/>
  <c r="L43"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12" i="13"/>
  <c r="B12" i="126"/>
  <c r="B14" i="126"/>
  <c r="C16" i="126"/>
  <c r="D37" i="129"/>
  <c r="B16" i="126"/>
  <c r="C14" i="126"/>
  <c r="D39" i="129"/>
  <c r="C15" i="126"/>
  <c r="B13" i="126"/>
  <c r="C17" i="126"/>
  <c r="B17" i="126"/>
  <c r="B15" i="126"/>
  <c r="C13" i="126"/>
  <c r="D56" i="26" l="1"/>
  <c r="D83" i="26"/>
  <c r="D79" i="26"/>
  <c r="D75" i="26"/>
  <c r="D71" i="26"/>
  <c r="D67" i="26"/>
  <c r="D63" i="26"/>
  <c r="D55" i="26"/>
  <c r="D84" i="26"/>
  <c r="D80" i="26"/>
  <c r="D59" i="26"/>
  <c r="D86" i="26"/>
  <c r="D82" i="26"/>
  <c r="D78" i="26"/>
  <c r="D74" i="26"/>
  <c r="D70" i="26"/>
  <c r="D58" i="26"/>
  <c r="D76" i="26"/>
  <c r="D72" i="26"/>
  <c r="D64" i="26"/>
  <c r="D60" i="26"/>
  <c r="D62" i="26"/>
  <c r="D68" i="26"/>
  <c r="D66" i="26"/>
  <c r="D85" i="26"/>
  <c r="D81" i="26"/>
  <c r="D77" i="26"/>
  <c r="D73" i="26"/>
  <c r="D69" i="26"/>
  <c r="D65" i="26"/>
  <c r="D61" i="26"/>
  <c r="D57" i="26"/>
  <c r="L29" i="28"/>
  <c r="E12" i="126"/>
  <c r="G12" i="126" s="1"/>
  <c r="E13" i="126"/>
  <c r="G13" i="126" s="1"/>
  <c r="E15" i="126"/>
  <c r="G15" i="126" s="1"/>
  <c r="E16" i="126"/>
  <c r="G16" i="126" s="1"/>
  <c r="E14" i="126"/>
  <c r="G14" i="126" s="1"/>
  <c r="E17" i="126"/>
  <c r="G17" i="126" s="1"/>
  <c r="H9" i="80"/>
  <c r="D42" i="80"/>
  <c r="E10" i="80"/>
  <c r="I10" i="80" s="1"/>
  <c r="G10" i="80"/>
  <c r="C42" i="80"/>
  <c r="I43" i="28"/>
  <c r="J43" i="28"/>
  <c r="F43" i="28"/>
  <c r="J81" i="28"/>
  <c r="F81" i="28"/>
  <c r="E43" i="28"/>
  <c r="I81" i="28"/>
  <c r="H43" i="28"/>
  <c r="D43" i="28"/>
  <c r="H81" i="28"/>
  <c r="D81" i="28"/>
  <c r="E81" i="28"/>
  <c r="C43" i="28"/>
  <c r="K43" i="28"/>
  <c r="G43" i="28"/>
  <c r="C81" i="28"/>
  <c r="K81" i="28"/>
  <c r="G81" i="28"/>
  <c r="M30" i="28"/>
  <c r="G9" i="79"/>
  <c r="E9" i="79"/>
  <c r="I9" i="79" s="1"/>
  <c r="N43" i="13"/>
  <c r="P43" i="13" s="1"/>
  <c r="C44" i="99"/>
  <c r="E12" i="79"/>
  <c r="I12" i="79" s="1"/>
  <c r="E17" i="79"/>
  <c r="I17" i="79" s="1"/>
  <c r="E10" i="79"/>
  <c r="I10" i="79" s="1"/>
  <c r="E16" i="79"/>
  <c r="I16" i="79" s="1"/>
  <c r="E11" i="79"/>
  <c r="I11" i="79" s="1"/>
  <c r="L23" i="28"/>
  <c r="L74" i="28"/>
  <c r="M23" i="28"/>
  <c r="K10" i="26"/>
  <c r="E40" i="79"/>
  <c r="I40" i="79" s="1"/>
  <c r="E38" i="79"/>
  <c r="I38" i="79" s="1"/>
  <c r="E36" i="79"/>
  <c r="I36" i="79" s="1"/>
  <c r="E28" i="79"/>
  <c r="I28" i="79" s="1"/>
  <c r="H11" i="79"/>
  <c r="E39" i="79"/>
  <c r="I39" i="79" s="1"/>
  <c r="E33" i="79"/>
  <c r="I33" i="79" s="1"/>
  <c r="E22" i="79"/>
  <c r="I22" i="79" s="1"/>
  <c r="E20" i="79"/>
  <c r="I20" i="79" s="1"/>
  <c r="G36" i="79"/>
  <c r="G33" i="79"/>
  <c r="E32" i="79"/>
  <c r="I32" i="79" s="1"/>
  <c r="E29" i="79"/>
  <c r="I29" i="79" s="1"/>
  <c r="E27" i="79"/>
  <c r="I27" i="79" s="1"/>
  <c r="E23" i="79"/>
  <c r="I23" i="79" s="1"/>
  <c r="G28" i="79"/>
  <c r="G38" i="79"/>
  <c r="E34" i="79"/>
  <c r="I34" i="79" s="1"/>
  <c r="E18" i="79"/>
  <c r="I18" i="79" s="1"/>
  <c r="G40" i="79"/>
  <c r="G20" i="79"/>
  <c r="E35" i="79"/>
  <c r="I35" i="79" s="1"/>
  <c r="E30" i="79"/>
  <c r="I30" i="79" s="1"/>
  <c r="E24" i="79"/>
  <c r="I24" i="79" s="1"/>
  <c r="E21" i="79"/>
  <c r="I21" i="79" s="1"/>
  <c r="E19" i="79"/>
  <c r="I19" i="79" s="1"/>
  <c r="E14" i="79"/>
  <c r="I14" i="79" s="1"/>
  <c r="G29" i="79"/>
  <c r="E31" i="79"/>
  <c r="I31" i="79" s="1"/>
  <c r="C42" i="79"/>
  <c r="E15" i="79"/>
  <c r="I15" i="79" s="1"/>
  <c r="H39" i="79"/>
  <c r="H27" i="79"/>
  <c r="G22" i="79"/>
  <c r="G17" i="79"/>
  <c r="H15" i="79"/>
  <c r="E37" i="79"/>
  <c r="I37" i="79" s="1"/>
  <c r="E25" i="79"/>
  <c r="I25" i="79" s="1"/>
  <c r="E13" i="79"/>
  <c r="I13" i="79" s="1"/>
  <c r="G34" i="79"/>
  <c r="G30" i="79"/>
  <c r="H23" i="79"/>
  <c r="G10" i="79"/>
  <c r="E26" i="79"/>
  <c r="I26" i="79" s="1"/>
  <c r="M25" i="99"/>
  <c r="O25" i="99" s="1"/>
  <c r="L25" i="99"/>
  <c r="L11" i="99"/>
  <c r="M11" i="99"/>
  <c r="O11" i="99" s="1"/>
  <c r="C45" i="13"/>
  <c r="M27" i="13"/>
  <c r="M21" i="13"/>
  <c r="N41" i="13"/>
  <c r="P41" i="13" s="1"/>
  <c r="N37" i="13"/>
  <c r="P37" i="13" s="1"/>
  <c r="N33" i="13"/>
  <c r="P33" i="13" s="1"/>
  <c r="N29" i="13"/>
  <c r="P29" i="13" s="1"/>
  <c r="N25" i="13"/>
  <c r="P25" i="13" s="1"/>
  <c r="N21" i="13"/>
  <c r="P21" i="13" s="1"/>
  <c r="N17" i="13"/>
  <c r="P17" i="13" s="1"/>
  <c r="N13" i="13"/>
  <c r="P13" i="13" s="1"/>
  <c r="M43" i="13"/>
  <c r="M32" i="13"/>
  <c r="M26" i="13"/>
  <c r="M16" i="13"/>
  <c r="M12" i="13"/>
  <c r="N39" i="13"/>
  <c r="P39" i="13" s="1"/>
  <c r="N35" i="13"/>
  <c r="P35" i="13" s="1"/>
  <c r="N31" i="13"/>
  <c r="P31" i="13" s="1"/>
  <c r="N27" i="13"/>
  <c r="P27" i="13" s="1"/>
  <c r="N23" i="13"/>
  <c r="P23" i="13" s="1"/>
  <c r="N19" i="13"/>
  <c r="P19" i="13" s="1"/>
  <c r="N15" i="13"/>
  <c r="P15" i="13" s="1"/>
  <c r="N42" i="13"/>
  <c r="P42" i="13" s="1"/>
  <c r="N38" i="13"/>
  <c r="P38" i="13" s="1"/>
  <c r="N34" i="13"/>
  <c r="P34" i="13" s="1"/>
  <c r="N30" i="13"/>
  <c r="P30" i="13" s="1"/>
  <c r="N26" i="13"/>
  <c r="P26" i="13" s="1"/>
  <c r="N22" i="13"/>
  <c r="P22" i="13" s="1"/>
  <c r="N18" i="13"/>
  <c r="P18" i="13" s="1"/>
  <c r="N14" i="13"/>
  <c r="P14" i="13" s="1"/>
  <c r="M42" i="13"/>
  <c r="M37" i="13"/>
  <c r="N40" i="13"/>
  <c r="P40" i="13" s="1"/>
  <c r="N36" i="13"/>
  <c r="P36" i="13" s="1"/>
  <c r="N32" i="13"/>
  <c r="P32" i="13" s="1"/>
  <c r="N28" i="13"/>
  <c r="P28" i="13" s="1"/>
  <c r="N24" i="13"/>
  <c r="P24" i="13" s="1"/>
  <c r="N20" i="13"/>
  <c r="P20" i="13" s="1"/>
  <c r="N16" i="13"/>
  <c r="P16" i="13" s="1"/>
  <c r="N12" i="13"/>
  <c r="P12" i="13" s="1"/>
  <c r="M41" i="13"/>
  <c r="M39" i="13"/>
  <c r="M38" i="13"/>
  <c r="M36" i="13"/>
  <c r="M34" i="13"/>
  <c r="M30" i="13"/>
  <c r="M25" i="13"/>
  <c r="M23" i="13"/>
  <c r="M22" i="13"/>
  <c r="M20" i="13"/>
  <c r="M18" i="13"/>
  <c r="M14" i="13"/>
  <c r="M40" i="13"/>
  <c r="M35" i="13"/>
  <c r="M33" i="13"/>
  <c r="M31" i="13"/>
  <c r="M29" i="13"/>
  <c r="M28" i="13"/>
  <c r="M24" i="13"/>
  <c r="M19" i="13"/>
  <c r="M17" i="13"/>
  <c r="M15" i="13"/>
  <c r="M13" i="13"/>
  <c r="G10" i="98"/>
  <c r="G11" i="98"/>
  <c r="G12" i="98"/>
  <c r="G13" i="98"/>
  <c r="G14" i="98"/>
  <c r="G15" i="98"/>
  <c r="G16" i="98"/>
  <c r="G17" i="98"/>
  <c r="G18" i="98"/>
  <c r="G19" i="98"/>
  <c r="G20" i="98"/>
  <c r="G21" i="98"/>
  <c r="G22" i="98"/>
  <c r="G23" i="98"/>
  <c r="G24" i="98"/>
  <c r="G25" i="98"/>
  <c r="G26" i="98"/>
  <c r="G28" i="98"/>
  <c r="G29" i="98"/>
  <c r="G30" i="98"/>
  <c r="G31" i="98"/>
  <c r="G32" i="98"/>
  <c r="G33" i="98"/>
  <c r="G34" i="98"/>
  <c r="G35" i="98"/>
  <c r="G36" i="98"/>
  <c r="G37" i="98"/>
  <c r="G38" i="98"/>
  <c r="G39" i="98"/>
  <c r="G40" i="98"/>
  <c r="D9" i="98"/>
  <c r="C10" i="98"/>
  <c r="E10" i="98"/>
  <c r="F10" i="98"/>
  <c r="C11" i="98"/>
  <c r="D11" i="98"/>
  <c r="E11" i="98"/>
  <c r="F11" i="98"/>
  <c r="C12" i="98"/>
  <c r="D12" i="98"/>
  <c r="E12" i="98"/>
  <c r="C13" i="98"/>
  <c r="D13" i="98"/>
  <c r="E13" i="98"/>
  <c r="F13" i="98"/>
  <c r="C14" i="98"/>
  <c r="D14" i="98"/>
  <c r="E14" i="98"/>
  <c r="F14" i="98"/>
  <c r="C15" i="98"/>
  <c r="D15" i="98"/>
  <c r="E15" i="98"/>
  <c r="F15" i="98"/>
  <c r="C16" i="98"/>
  <c r="D16" i="98"/>
  <c r="E16" i="98"/>
  <c r="F16" i="98"/>
  <c r="C17" i="98"/>
  <c r="D17" i="98"/>
  <c r="E17" i="98"/>
  <c r="F17" i="98"/>
  <c r="C18" i="98"/>
  <c r="D18" i="98"/>
  <c r="E18" i="98"/>
  <c r="F18" i="98"/>
  <c r="C19" i="98"/>
  <c r="D19" i="98"/>
  <c r="E19" i="98"/>
  <c r="F19" i="98"/>
  <c r="C20" i="98"/>
  <c r="D20" i="98"/>
  <c r="E20" i="98"/>
  <c r="F20" i="98"/>
  <c r="C21" i="98"/>
  <c r="D21" i="98"/>
  <c r="E21" i="98"/>
  <c r="F21" i="98"/>
  <c r="C22" i="98"/>
  <c r="D22" i="98"/>
  <c r="E22" i="98"/>
  <c r="F22" i="98"/>
  <c r="C23" i="98"/>
  <c r="D23" i="98"/>
  <c r="E23" i="98"/>
  <c r="F23" i="98"/>
  <c r="C24" i="98"/>
  <c r="D24" i="98"/>
  <c r="E24" i="98"/>
  <c r="F24" i="98"/>
  <c r="C25" i="98"/>
  <c r="D25" i="98"/>
  <c r="E25" i="98"/>
  <c r="F25" i="98"/>
  <c r="C26" i="98"/>
  <c r="D26" i="98"/>
  <c r="E26" i="98"/>
  <c r="F26" i="98"/>
  <c r="C27" i="98"/>
  <c r="D27" i="98"/>
  <c r="E27" i="98"/>
  <c r="F27" i="98"/>
  <c r="C28" i="98"/>
  <c r="D28" i="98"/>
  <c r="E28" i="98"/>
  <c r="F28" i="98"/>
  <c r="C29" i="98"/>
  <c r="D29" i="98"/>
  <c r="E29" i="98"/>
  <c r="F29" i="98"/>
  <c r="C30" i="98"/>
  <c r="D30" i="98"/>
  <c r="E30" i="98"/>
  <c r="F30" i="98"/>
  <c r="C31" i="98"/>
  <c r="D31" i="98"/>
  <c r="E31" i="98"/>
  <c r="F31" i="98"/>
  <c r="C32" i="98"/>
  <c r="D32" i="98"/>
  <c r="E32" i="98"/>
  <c r="F32" i="98"/>
  <c r="C33" i="98"/>
  <c r="D33" i="98"/>
  <c r="E33" i="98"/>
  <c r="F33" i="98"/>
  <c r="C34" i="98"/>
  <c r="D34" i="98"/>
  <c r="E34" i="98"/>
  <c r="F34" i="98"/>
  <c r="C35" i="98"/>
  <c r="D35" i="98"/>
  <c r="E35" i="98"/>
  <c r="F35" i="98"/>
  <c r="C36" i="98"/>
  <c r="D36" i="98"/>
  <c r="E36" i="98"/>
  <c r="F36" i="98"/>
  <c r="C37" i="98"/>
  <c r="D37" i="98"/>
  <c r="E37" i="98"/>
  <c r="F37" i="98"/>
  <c r="C38" i="98"/>
  <c r="D38" i="98"/>
  <c r="E38" i="98"/>
  <c r="F38" i="98"/>
  <c r="C39" i="98"/>
  <c r="D39" i="98"/>
  <c r="E39" i="98"/>
  <c r="F39" i="98"/>
  <c r="C40" i="98"/>
  <c r="D40" i="98"/>
  <c r="E40" i="98"/>
  <c r="F40" i="98"/>
  <c r="F9" i="98"/>
  <c r="E9" i="98"/>
  <c r="G42" i="79"/>
  <c r="D42" i="129"/>
  <c r="D36" i="129"/>
  <c r="H42" i="80"/>
  <c r="D41" i="129"/>
  <c r="D40" i="129"/>
  <c r="D38" i="129"/>
  <c r="G42" i="80"/>
  <c r="D44" i="129"/>
  <c r="E19" i="126" l="1"/>
  <c r="K10" i="94" l="1"/>
  <c r="E10" i="94"/>
  <c r="E11" i="94"/>
  <c r="E12" i="94"/>
  <c r="E13" i="94"/>
  <c r="E14" i="94"/>
  <c r="E15" i="94"/>
  <c r="E16" i="94"/>
  <c r="E17" i="94"/>
  <c r="E18" i="94"/>
  <c r="E19" i="94"/>
  <c r="E20" i="94"/>
  <c r="E21" i="94"/>
  <c r="E22" i="94"/>
  <c r="E23" i="94"/>
  <c r="E24" i="94"/>
  <c r="E25" i="94"/>
  <c r="E26" i="94"/>
  <c r="E27" i="94"/>
  <c r="E28" i="94"/>
  <c r="E29" i="94"/>
  <c r="E30" i="94"/>
  <c r="E31" i="94"/>
  <c r="E32" i="94"/>
  <c r="E33" i="94"/>
  <c r="E34" i="94"/>
  <c r="E35" i="94"/>
  <c r="E36" i="94"/>
  <c r="E37" i="94"/>
  <c r="E38" i="94"/>
  <c r="E39" i="94"/>
  <c r="E40" i="94"/>
  <c r="I40" i="94" s="1"/>
  <c r="D10" i="94"/>
  <c r="D11" i="94"/>
  <c r="D12" i="94"/>
  <c r="D13" i="94"/>
  <c r="D14" i="94"/>
  <c r="D15" i="94"/>
  <c r="D16" i="94"/>
  <c r="D17" i="94"/>
  <c r="D18" i="94"/>
  <c r="D19" i="94"/>
  <c r="D20" i="94"/>
  <c r="D21" i="94"/>
  <c r="D22" i="94"/>
  <c r="D23" i="94"/>
  <c r="D24" i="94"/>
  <c r="D25" i="94"/>
  <c r="D26" i="94"/>
  <c r="D27" i="94"/>
  <c r="D28" i="94"/>
  <c r="D29" i="94"/>
  <c r="D30" i="94"/>
  <c r="D31" i="94"/>
  <c r="D32" i="94"/>
  <c r="D33" i="94"/>
  <c r="D34" i="94"/>
  <c r="D35" i="94"/>
  <c r="D36" i="94"/>
  <c r="D37" i="94"/>
  <c r="D38" i="94"/>
  <c r="D39" i="94"/>
  <c r="D40" i="94"/>
  <c r="C10" i="94"/>
  <c r="C11" i="94"/>
  <c r="C12" i="94"/>
  <c r="C13" i="94"/>
  <c r="C14" i="94"/>
  <c r="C15" i="94"/>
  <c r="C16" i="94"/>
  <c r="C17" i="94"/>
  <c r="C18" i="94"/>
  <c r="C19" i="94"/>
  <c r="C20" i="94"/>
  <c r="C21" i="94"/>
  <c r="C22" i="94"/>
  <c r="C23" i="94"/>
  <c r="C24" i="94"/>
  <c r="C25" i="94"/>
  <c r="C26" i="94"/>
  <c r="C27" i="94"/>
  <c r="C28" i="94"/>
  <c r="C29" i="94"/>
  <c r="C30" i="94"/>
  <c r="C31" i="94"/>
  <c r="C32" i="94"/>
  <c r="C33" i="94"/>
  <c r="C34" i="94"/>
  <c r="C35" i="94"/>
  <c r="C36" i="94"/>
  <c r="C37" i="94"/>
  <c r="C38" i="94"/>
  <c r="C39" i="94"/>
  <c r="C40" i="94"/>
  <c r="G40" i="94" s="1"/>
  <c r="K11" i="94"/>
  <c r="K12" i="94"/>
  <c r="K13" i="94"/>
  <c r="K14" i="94"/>
  <c r="K15" i="94"/>
  <c r="K16" i="94"/>
  <c r="K17" i="94"/>
  <c r="K18" i="94"/>
  <c r="K19" i="94"/>
  <c r="K20" i="94"/>
  <c r="K21" i="94"/>
  <c r="K22" i="94"/>
  <c r="K23" i="94"/>
  <c r="K24" i="94"/>
  <c r="K25" i="94"/>
  <c r="K26" i="94"/>
  <c r="K27" i="94"/>
  <c r="K28" i="94"/>
  <c r="K29" i="94"/>
  <c r="K30" i="94"/>
  <c r="K31" i="94"/>
  <c r="K32" i="94"/>
  <c r="K33" i="94"/>
  <c r="K34" i="94"/>
  <c r="K35" i="94"/>
  <c r="K36" i="94"/>
  <c r="K37" i="94"/>
  <c r="K38" i="94"/>
  <c r="K39" i="94"/>
  <c r="K9" i="94"/>
  <c r="C9" i="94"/>
  <c r="D9" i="94"/>
  <c r="E9" i="94"/>
  <c r="G35" i="94" l="1"/>
  <c r="I9" i="94"/>
  <c r="E42" i="94"/>
  <c r="K42" i="94"/>
  <c r="I42" i="94" l="1"/>
  <c r="G42" i="94"/>
  <c r="H42" i="94"/>
  <c r="F17" i="181" l="1"/>
  <c r="F37" i="97" s="1"/>
  <c r="D25" i="240" s="1"/>
  <c r="E25" i="240" s="1"/>
  <c r="F16" i="181"/>
  <c r="F36" i="97" l="1"/>
  <c r="D24" i="240" s="1"/>
  <c r="E24" i="240" s="1"/>
  <c r="F28" i="181"/>
  <c r="F29" i="181" s="1"/>
  <c r="F42" i="182"/>
  <c r="L42" i="182"/>
  <c r="R42" i="182"/>
  <c r="F43" i="182"/>
  <c r="L43" i="182"/>
  <c r="R43" i="182"/>
  <c r="F14" i="181" l="1"/>
  <c r="F15" i="181"/>
  <c r="F13" i="181"/>
  <c r="F12" i="181"/>
  <c r="F11" i="181"/>
  <c r="F10" i="181"/>
  <c r="F14" i="182"/>
  <c r="F13" i="182"/>
  <c r="F12" i="182"/>
  <c r="F11" i="182"/>
  <c r="H31" i="232" l="1"/>
  <c r="B12" i="134"/>
  <c r="H30" i="232"/>
  <c r="B11" i="134"/>
  <c r="H32" i="232"/>
  <c r="B13" i="134"/>
  <c r="H33" i="232"/>
  <c r="B14" i="134"/>
  <c r="F33" i="97"/>
  <c r="D21" i="240" s="1"/>
  <c r="E21" i="240" s="1"/>
  <c r="F35" i="97"/>
  <c r="D23" i="240" s="1"/>
  <c r="E23" i="240" s="1"/>
  <c r="F32" i="97"/>
  <c r="D20" i="240" s="1"/>
  <c r="E20" i="240" s="1"/>
  <c r="F30" i="97"/>
  <c r="D18" i="240" s="1"/>
  <c r="E18" i="240" s="1"/>
  <c r="F31" i="97"/>
  <c r="D19" i="240" s="1"/>
  <c r="F34" i="97"/>
  <c r="D22" i="240" s="1"/>
  <c r="E22" i="240" s="1"/>
  <c r="R41" i="182"/>
  <c r="F41" i="182"/>
  <c r="L41" i="182"/>
  <c r="L40" i="182"/>
  <c r="R40" i="182"/>
  <c r="R39" i="182"/>
  <c r="L39" i="182"/>
  <c r="F36" i="182"/>
  <c r="L36" i="182"/>
  <c r="R36" i="182"/>
  <c r="L37" i="182"/>
  <c r="R37" i="182"/>
  <c r="R38" i="182"/>
  <c r="L38" i="182"/>
  <c r="F37" i="182"/>
  <c r="F39" i="182"/>
  <c r="F40" i="182"/>
  <c r="F38" i="182"/>
  <c r="E19" i="240" l="1"/>
  <c r="E32" i="240" s="1"/>
  <c r="D32" i="240"/>
  <c r="D22" i="14"/>
  <c r="E22" i="14" s="1"/>
  <c r="D19" i="14"/>
  <c r="D21" i="14"/>
  <c r="E21" i="14" s="1"/>
  <c r="D20" i="14"/>
  <c r="E20" i="14" s="1"/>
  <c r="R31" i="232"/>
  <c r="J31" i="232"/>
  <c r="R32" i="232"/>
  <c r="J32" i="232"/>
  <c r="R33" i="232"/>
  <c r="J33" i="232"/>
  <c r="R30" i="232"/>
  <c r="J30" i="232"/>
  <c r="E19" i="14" l="1"/>
  <c r="E32" i="14" s="1"/>
  <c r="D32" i="14"/>
  <c r="F29" i="97"/>
  <c r="D17" i="240" s="1"/>
  <c r="E17" i="240" s="1"/>
  <c r="F28" i="97"/>
  <c r="D16" i="240" s="1"/>
  <c r="E16" i="240" s="1"/>
  <c r="F27" i="97"/>
  <c r="F26" i="97"/>
  <c r="F25" i="97"/>
  <c r="F24" i="97"/>
  <c r="F23" i="97"/>
  <c r="F22" i="97"/>
  <c r="F21" i="97"/>
  <c r="I21" i="97" s="1"/>
  <c r="F20" i="97"/>
  <c r="I20" i="97" s="1"/>
  <c r="F19" i="97"/>
  <c r="I19" i="97" s="1"/>
  <c r="F18" i="97"/>
  <c r="I18" i="97" s="1"/>
  <c r="F17" i="97"/>
  <c r="I17" i="97" s="1"/>
  <c r="F16" i="97"/>
  <c r="I16" i="97" s="1"/>
  <c r="F15" i="97"/>
  <c r="F14" i="97"/>
  <c r="I14" i="97" s="1"/>
  <c r="F13" i="97"/>
  <c r="I13" i="97" s="1"/>
  <c r="F12" i="97"/>
  <c r="I12" i="97" s="1"/>
  <c r="I11" i="97"/>
  <c r="I23" i="97" l="1"/>
  <c r="L11" i="166" s="1"/>
  <c r="M11" i="166" s="1"/>
  <c r="D11" i="240"/>
  <c r="E11" i="240" s="1"/>
  <c r="I27" i="97"/>
  <c r="L15" i="166" s="1"/>
  <c r="M15" i="166" s="1"/>
  <c r="D15" i="240"/>
  <c r="E15" i="240" s="1"/>
  <c r="I22" i="97"/>
  <c r="L10" i="166" s="1"/>
  <c r="M10" i="166" s="1"/>
  <c r="D10" i="240"/>
  <c r="E10" i="240" s="1"/>
  <c r="I26" i="97"/>
  <c r="L14" i="166" s="1"/>
  <c r="M14" i="166" s="1"/>
  <c r="D14" i="240"/>
  <c r="E14" i="240" s="1"/>
  <c r="I24" i="97"/>
  <c r="L12" i="166" s="1"/>
  <c r="M12" i="166" s="1"/>
  <c r="D12" i="240"/>
  <c r="E12" i="240" s="1"/>
  <c r="I25" i="97"/>
  <c r="L13" i="166" s="1"/>
  <c r="M13" i="166" s="1"/>
  <c r="D13" i="240"/>
  <c r="E13" i="240" s="1"/>
  <c r="I28" i="97"/>
  <c r="L16" i="166" s="1"/>
  <c r="M16" i="166" s="1"/>
  <c r="L18" i="166"/>
  <c r="I29" i="97"/>
  <c r="L17" i="166" s="1"/>
  <c r="M17" i="166" s="1"/>
  <c r="R28" i="25"/>
  <c r="S28" i="25"/>
  <c r="R29" i="25"/>
  <c r="S29" i="25"/>
  <c r="R30" i="25"/>
  <c r="S30" i="25"/>
  <c r="T30" i="25"/>
  <c r="J11" i="139"/>
  <c r="M18" i="166" l="1"/>
  <c r="M41" i="26"/>
  <c r="L41" i="26"/>
  <c r="K41" i="26"/>
  <c r="M40" i="26"/>
  <c r="L40" i="26"/>
  <c r="K40" i="26"/>
  <c r="M39" i="26"/>
  <c r="L39" i="26"/>
  <c r="K39" i="26"/>
  <c r="M38" i="26"/>
  <c r="L38" i="26"/>
  <c r="K38" i="26"/>
  <c r="M37" i="26"/>
  <c r="L37" i="26"/>
  <c r="K37" i="26"/>
  <c r="M36" i="26"/>
  <c r="L36" i="26"/>
  <c r="K36" i="26"/>
  <c r="M35" i="26"/>
  <c r="L35" i="26"/>
  <c r="K35" i="26"/>
  <c r="M34" i="26"/>
  <c r="L34" i="26"/>
  <c r="K34" i="26"/>
  <c r="M33" i="26"/>
  <c r="L33" i="26"/>
  <c r="K33" i="26"/>
  <c r="M32" i="26"/>
  <c r="L32" i="26"/>
  <c r="K32" i="26"/>
  <c r="M31" i="26"/>
  <c r="L31" i="26"/>
  <c r="K31" i="26"/>
  <c r="M30" i="26"/>
  <c r="L30" i="26"/>
  <c r="K30" i="26"/>
  <c r="M29" i="26"/>
  <c r="L29" i="26"/>
  <c r="K29" i="26"/>
  <c r="M28" i="26"/>
  <c r="L28" i="26"/>
  <c r="K28" i="26"/>
  <c r="M27" i="26"/>
  <c r="L27" i="26"/>
  <c r="K27" i="26"/>
  <c r="M26" i="26"/>
  <c r="L26" i="26"/>
  <c r="K26" i="26"/>
  <c r="M25" i="26"/>
  <c r="L25" i="26"/>
  <c r="K25" i="26"/>
  <c r="M24" i="26"/>
  <c r="L24" i="26"/>
  <c r="K24" i="26"/>
  <c r="M23" i="26"/>
  <c r="L23" i="26"/>
  <c r="K23" i="26"/>
  <c r="M22" i="26"/>
  <c r="L22" i="26"/>
  <c r="K22" i="26"/>
  <c r="M21" i="26"/>
  <c r="L21" i="26"/>
  <c r="K21" i="26"/>
  <c r="M20" i="26"/>
  <c r="L20" i="26"/>
  <c r="K20" i="26"/>
  <c r="M19" i="26"/>
  <c r="L19" i="26"/>
  <c r="K19" i="26"/>
  <c r="M18" i="26"/>
  <c r="L18" i="26"/>
  <c r="K18" i="26"/>
  <c r="M17" i="26"/>
  <c r="L17" i="26"/>
  <c r="K17" i="26"/>
  <c r="M16" i="26"/>
  <c r="L16" i="26"/>
  <c r="K16" i="26"/>
  <c r="M15" i="26"/>
  <c r="L15" i="26"/>
  <c r="K15" i="26"/>
  <c r="M14" i="26"/>
  <c r="L14" i="26"/>
  <c r="K14" i="26"/>
  <c r="M13" i="26"/>
  <c r="L13" i="26"/>
  <c r="K13" i="26"/>
  <c r="M12" i="26"/>
  <c r="L12" i="26"/>
  <c r="K12" i="26"/>
  <c r="M11" i="26"/>
  <c r="L11" i="26"/>
  <c r="K11" i="26"/>
  <c r="M10" i="26"/>
  <c r="E55" i="26" s="1"/>
  <c r="L10" i="26"/>
  <c r="S11" i="25"/>
  <c r="S10" i="25"/>
  <c r="R11" i="25"/>
  <c r="R10" i="25"/>
  <c r="E56" i="26" l="1"/>
  <c r="E76" i="26"/>
  <c r="L43" i="26"/>
  <c r="M43" i="26"/>
  <c r="N49" i="137" l="1"/>
  <c r="M49" i="137"/>
  <c r="L49" i="137"/>
  <c r="K49" i="137"/>
  <c r="J49" i="137"/>
  <c r="M17" i="97" l="1"/>
  <c r="M18" i="97"/>
  <c r="M19" i="97"/>
  <c r="M20" i="97"/>
  <c r="M21" i="97"/>
  <c r="M22" i="97"/>
  <c r="L37" i="166" s="1"/>
  <c r="M37" i="166" s="1"/>
  <c r="M23" i="97"/>
  <c r="L38" i="166" s="1"/>
  <c r="M38" i="166" s="1"/>
  <c r="M24" i="97"/>
  <c r="L39" i="166" s="1"/>
  <c r="M39" i="166" s="1"/>
  <c r="M25" i="97"/>
  <c r="L40" i="166" s="1"/>
  <c r="M40" i="166" s="1"/>
  <c r="M26" i="97"/>
  <c r="L41" i="166" s="1"/>
  <c r="M41" i="166" s="1"/>
  <c r="M27" i="97"/>
  <c r="L42" i="166" s="1"/>
  <c r="M42" i="166" s="1"/>
  <c r="M28" i="97"/>
  <c r="L43" i="166" s="1"/>
  <c r="M43" i="166" s="1"/>
  <c r="M29" i="97"/>
  <c r="L44" i="166" s="1"/>
  <c r="O30" i="97"/>
  <c r="M31" i="97"/>
  <c r="M32" i="97"/>
  <c r="M33" i="97"/>
  <c r="M34" i="97"/>
  <c r="M35" i="97"/>
  <c r="M16" i="97"/>
  <c r="L46" i="166" l="1"/>
  <c r="L50" i="166"/>
  <c r="M50" i="166" s="1"/>
  <c r="L49" i="166"/>
  <c r="M49" i="166" s="1"/>
  <c r="L47" i="166"/>
  <c r="M47" i="166" s="1"/>
  <c r="Q30" i="97"/>
  <c r="L48" i="166"/>
  <c r="M48" i="166" s="1"/>
  <c r="M44" i="166"/>
  <c r="O31" i="97"/>
  <c r="O32" i="97"/>
  <c r="O35" i="97"/>
  <c r="O34" i="97"/>
  <c r="O33" i="97"/>
  <c r="H34" i="139"/>
  <c r="I34" i="139"/>
  <c r="G34" i="139"/>
  <c r="D34" i="139"/>
  <c r="B30" i="147"/>
  <c r="M46" i="166" l="1"/>
  <c r="M59" i="166" s="1"/>
  <c r="L59" i="166"/>
  <c r="D18" i="166"/>
  <c r="Q31" i="97"/>
  <c r="Q32" i="97"/>
  <c r="Q35" i="97"/>
  <c r="Q34" i="97"/>
  <c r="Q33" i="97"/>
  <c r="AA11" i="147"/>
  <c r="AA10" i="147"/>
  <c r="AA62" i="146"/>
  <c r="AA61" i="146"/>
  <c r="AA45" i="146"/>
  <c r="AA44" i="146"/>
  <c r="AA28" i="146"/>
  <c r="AA29" i="146"/>
  <c r="AA27" i="146"/>
  <c r="AA11" i="146"/>
  <c r="AA10" i="146"/>
  <c r="L10" i="136"/>
  <c r="D121" i="137"/>
  <c r="E121" i="137"/>
  <c r="F121" i="137"/>
  <c r="G121" i="137"/>
  <c r="C121" i="137"/>
  <c r="J121" i="137" s="1"/>
  <c r="E43" i="137"/>
  <c r="G43" i="137"/>
  <c r="N43" i="137" s="1"/>
  <c r="AA25" i="147" l="1"/>
  <c r="AA45" i="147"/>
  <c r="AA32" i="147"/>
  <c r="AA81" i="147"/>
  <c r="E18" i="166"/>
  <c r="D19" i="166"/>
  <c r="D23" i="166"/>
  <c r="E23" i="166" s="1"/>
  <c r="D21" i="166"/>
  <c r="E21" i="166" s="1"/>
  <c r="D20" i="166"/>
  <c r="E20" i="166" s="1"/>
  <c r="D22" i="166"/>
  <c r="E22" i="166" s="1"/>
  <c r="AA31" i="147"/>
  <c r="AA30" i="147"/>
  <c r="AA68" i="147"/>
  <c r="J34" i="139"/>
  <c r="N10" i="136"/>
  <c r="E34" i="139"/>
  <c r="Q10" i="136"/>
  <c r="M10" i="136"/>
  <c r="O10" i="136"/>
  <c r="P10" i="136"/>
  <c r="E19" i="166" l="1"/>
  <c r="E32" i="166" s="1"/>
  <c r="D32" i="166"/>
  <c r="B41" i="145"/>
  <c r="L43" i="137"/>
  <c r="M43" i="137"/>
  <c r="I39" i="131"/>
  <c r="J39" i="131"/>
  <c r="K39" i="131"/>
  <c r="L39" i="131"/>
  <c r="H39" i="131"/>
  <c r="M32" i="131"/>
  <c r="M33" i="131"/>
  <c r="M34" i="131"/>
  <c r="M35" i="131"/>
  <c r="M36" i="131"/>
  <c r="M31" i="131"/>
  <c r="C39" i="131"/>
  <c r="D39" i="131"/>
  <c r="E39" i="131"/>
  <c r="F39" i="131"/>
  <c r="G32" i="131"/>
  <c r="G33" i="131"/>
  <c r="G34" i="131"/>
  <c r="G35" i="131"/>
  <c r="G36" i="131"/>
  <c r="G37" i="131"/>
  <c r="C17" i="131"/>
  <c r="D17" i="131"/>
  <c r="E17" i="131"/>
  <c r="F17" i="131"/>
  <c r="B17" i="131"/>
  <c r="G15" i="131"/>
  <c r="J15" i="131" s="1"/>
  <c r="G43" i="126"/>
  <c r="H43" i="126"/>
  <c r="F43" i="126"/>
  <c r="I36" i="126"/>
  <c r="I37" i="126"/>
  <c r="I38" i="126"/>
  <c r="I39" i="126"/>
  <c r="I40" i="126"/>
  <c r="I41" i="126"/>
  <c r="I35" i="126"/>
  <c r="D43" i="126"/>
  <c r="B43" i="126"/>
  <c r="E36" i="126"/>
  <c r="E37" i="126"/>
  <c r="E38" i="126"/>
  <c r="E39" i="126"/>
  <c r="E40" i="126"/>
  <c r="E41" i="126"/>
  <c r="E35" i="126"/>
  <c r="C19" i="126"/>
  <c r="D19" i="126"/>
  <c r="B19" i="126"/>
  <c r="E13" i="125"/>
  <c r="G13" i="125" s="1"/>
  <c r="E12" i="125"/>
  <c r="G12" i="125" s="1"/>
  <c r="M49" i="28"/>
  <c r="M50" i="28"/>
  <c r="M51" i="28"/>
  <c r="M52" i="28"/>
  <c r="M53"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5" i="28"/>
  <c r="L76" i="28"/>
  <c r="L77" i="28"/>
  <c r="L78" i="28"/>
  <c r="L79" i="28"/>
  <c r="L48" i="28"/>
  <c r="M11" i="28"/>
  <c r="M12" i="28"/>
  <c r="M13" i="28"/>
  <c r="M14" i="28"/>
  <c r="M15" i="28"/>
  <c r="M16" i="28"/>
  <c r="M17" i="28"/>
  <c r="M18" i="28"/>
  <c r="M19" i="28"/>
  <c r="M20" i="28"/>
  <c r="M21" i="28"/>
  <c r="M22" i="28"/>
  <c r="M24" i="28"/>
  <c r="M25" i="28"/>
  <c r="M26" i="28"/>
  <c r="M27" i="28"/>
  <c r="M28" i="28"/>
  <c r="M29" i="28"/>
  <c r="M31" i="28"/>
  <c r="M32" i="28"/>
  <c r="M33" i="28"/>
  <c r="M34" i="28"/>
  <c r="M35" i="28"/>
  <c r="M36" i="28"/>
  <c r="M37" i="28"/>
  <c r="M38" i="28"/>
  <c r="M39" i="28"/>
  <c r="M40" i="28"/>
  <c r="M41" i="28"/>
  <c r="M10" i="28"/>
  <c r="L11" i="28"/>
  <c r="L12" i="28"/>
  <c r="L13" i="28"/>
  <c r="L14" i="28"/>
  <c r="L15" i="28"/>
  <c r="L16" i="28"/>
  <c r="L17" i="28"/>
  <c r="L18" i="28"/>
  <c r="L19" i="28"/>
  <c r="L20" i="28"/>
  <c r="L21" i="28"/>
  <c r="L22" i="28"/>
  <c r="L24" i="28"/>
  <c r="L25" i="28"/>
  <c r="L26" i="28"/>
  <c r="L27" i="28"/>
  <c r="L28" i="28"/>
  <c r="L30" i="28"/>
  <c r="L31" i="28"/>
  <c r="L32" i="28"/>
  <c r="L33" i="28"/>
  <c r="L34" i="28"/>
  <c r="L35" i="28"/>
  <c r="L36" i="28"/>
  <c r="L37" i="28"/>
  <c r="L38" i="28"/>
  <c r="L39" i="28"/>
  <c r="L40" i="28"/>
  <c r="L41" i="28"/>
  <c r="L10" i="28"/>
  <c r="L26" i="27"/>
  <c r="K26" i="27"/>
  <c r="L10" i="27"/>
  <c r="E57" i="26"/>
  <c r="E58" i="26"/>
  <c r="E59" i="26"/>
  <c r="E60" i="26"/>
  <c r="E61" i="26"/>
  <c r="E62" i="26"/>
  <c r="E63" i="26"/>
  <c r="E64" i="26"/>
  <c r="E65" i="26"/>
  <c r="E66" i="26"/>
  <c r="E67" i="26"/>
  <c r="E68" i="26"/>
  <c r="E69" i="26"/>
  <c r="E70" i="26"/>
  <c r="E71" i="26"/>
  <c r="E72" i="26"/>
  <c r="E73" i="26"/>
  <c r="E74" i="26"/>
  <c r="E75" i="26"/>
  <c r="E77" i="26"/>
  <c r="E78" i="26"/>
  <c r="E79" i="26"/>
  <c r="E80" i="26"/>
  <c r="E81" i="26"/>
  <c r="E82" i="26"/>
  <c r="E83" i="26"/>
  <c r="E84" i="26"/>
  <c r="E85" i="26"/>
  <c r="E86" i="26"/>
  <c r="K43" i="26"/>
  <c r="E88" i="26" s="1"/>
  <c r="I43" i="26"/>
  <c r="H43" i="26"/>
  <c r="G43" i="26"/>
  <c r="E43" i="26"/>
  <c r="D43" i="26"/>
  <c r="D42" i="79"/>
  <c r="H42" i="79"/>
  <c r="L43" i="28" l="1"/>
  <c r="L81" i="28"/>
  <c r="M81" i="28"/>
  <c r="M43" i="28"/>
  <c r="M39" i="131"/>
  <c r="N37" i="131"/>
  <c r="G39" i="131"/>
  <c r="N31" i="131"/>
  <c r="E37" i="80"/>
  <c r="I37" i="80" s="1"/>
  <c r="E21" i="80"/>
  <c r="I21" i="80" s="1"/>
  <c r="E33" i="80"/>
  <c r="I33" i="80" s="1"/>
  <c r="E17" i="80"/>
  <c r="I17" i="80" s="1"/>
  <c r="E29" i="80"/>
  <c r="I29" i="80" s="1"/>
  <c r="E13" i="80"/>
  <c r="I13" i="80" s="1"/>
  <c r="E9" i="80"/>
  <c r="I9" i="80" s="1"/>
  <c r="E25" i="80"/>
  <c r="I25" i="80" s="1"/>
  <c r="E40" i="80"/>
  <c r="I40" i="80" s="1"/>
  <c r="E36" i="80"/>
  <c r="I36" i="80" s="1"/>
  <c r="E32" i="80"/>
  <c r="I32" i="80" s="1"/>
  <c r="E28" i="80"/>
  <c r="I28" i="80" s="1"/>
  <c r="E24" i="80"/>
  <c r="I24" i="80" s="1"/>
  <c r="E20" i="80"/>
  <c r="I20" i="80" s="1"/>
  <c r="E16" i="80"/>
  <c r="I16" i="80" s="1"/>
  <c r="E12" i="80"/>
  <c r="I12" i="80" s="1"/>
  <c r="E39" i="80"/>
  <c r="I39" i="80" s="1"/>
  <c r="E35" i="80"/>
  <c r="I35" i="80" s="1"/>
  <c r="E31" i="80"/>
  <c r="I31" i="80" s="1"/>
  <c r="E27" i="80"/>
  <c r="I27" i="80" s="1"/>
  <c r="E23" i="80"/>
  <c r="I23" i="80" s="1"/>
  <c r="E19" i="80"/>
  <c r="I19" i="80" s="1"/>
  <c r="E15" i="80"/>
  <c r="I15" i="80" s="1"/>
  <c r="E11" i="80"/>
  <c r="I11" i="80" s="1"/>
  <c r="E38" i="80"/>
  <c r="I38" i="80" s="1"/>
  <c r="E34" i="80"/>
  <c r="I34" i="80" s="1"/>
  <c r="E30" i="80"/>
  <c r="I30" i="80" s="1"/>
  <c r="E26" i="80"/>
  <c r="I26" i="80" s="1"/>
  <c r="E22" i="80"/>
  <c r="I22" i="80" s="1"/>
  <c r="E18" i="80"/>
  <c r="I18" i="80" s="1"/>
  <c r="E14" i="80"/>
  <c r="I14" i="80" s="1"/>
  <c r="N35" i="131"/>
  <c r="N32" i="131"/>
  <c r="J39" i="126"/>
  <c r="J38" i="126"/>
  <c r="E43" i="126"/>
  <c r="J40" i="126"/>
  <c r="J36" i="126"/>
  <c r="I43" i="126"/>
  <c r="D88" i="26"/>
  <c r="C88" i="26"/>
  <c r="J35" i="126"/>
  <c r="G17" i="131"/>
  <c r="N34" i="131"/>
  <c r="J41" i="126"/>
  <c r="J37" i="126"/>
  <c r="N36" i="131"/>
  <c r="E42" i="79"/>
  <c r="N33" i="131"/>
  <c r="D44" i="99"/>
  <c r="E44" i="99"/>
  <c r="F44" i="99"/>
  <c r="G44" i="99"/>
  <c r="H44" i="99"/>
  <c r="I44" i="99"/>
  <c r="J44" i="99"/>
  <c r="K44" i="99"/>
  <c r="M12" i="99"/>
  <c r="M13" i="99"/>
  <c r="O13" i="99" s="1"/>
  <c r="M14" i="99"/>
  <c r="O14" i="99" s="1"/>
  <c r="M15" i="99"/>
  <c r="O15" i="99" s="1"/>
  <c r="M16" i="99"/>
  <c r="O16" i="99" s="1"/>
  <c r="M17" i="99"/>
  <c r="O17" i="99" s="1"/>
  <c r="M18" i="99"/>
  <c r="O18" i="99" s="1"/>
  <c r="M19" i="99"/>
  <c r="O19" i="99" s="1"/>
  <c r="M20" i="99"/>
  <c r="O20" i="99" s="1"/>
  <c r="M21" i="99"/>
  <c r="O21" i="99" s="1"/>
  <c r="M22" i="99"/>
  <c r="O22" i="99" s="1"/>
  <c r="M23" i="99"/>
  <c r="O23" i="99" s="1"/>
  <c r="M24" i="99"/>
  <c r="O24" i="99" s="1"/>
  <c r="M26" i="99"/>
  <c r="O26" i="99" s="1"/>
  <c r="M27" i="99"/>
  <c r="O27" i="99" s="1"/>
  <c r="M28" i="99"/>
  <c r="O28" i="99" s="1"/>
  <c r="M29" i="99"/>
  <c r="O29" i="99" s="1"/>
  <c r="M30" i="99"/>
  <c r="O30" i="99" s="1"/>
  <c r="M31" i="99"/>
  <c r="O31" i="99" s="1"/>
  <c r="M32" i="99"/>
  <c r="O32" i="99" s="1"/>
  <c r="M33" i="99"/>
  <c r="O33" i="99" s="1"/>
  <c r="M34" i="99"/>
  <c r="O34" i="99" s="1"/>
  <c r="M35" i="99"/>
  <c r="O35" i="99" s="1"/>
  <c r="M36" i="99"/>
  <c r="O36" i="99" s="1"/>
  <c r="M37" i="99"/>
  <c r="O37" i="99" s="1"/>
  <c r="M38" i="99"/>
  <c r="O38" i="99" s="1"/>
  <c r="M39" i="99"/>
  <c r="O39" i="99" s="1"/>
  <c r="M40" i="99"/>
  <c r="O40" i="99" s="1"/>
  <c r="M41" i="99"/>
  <c r="O41" i="99" s="1"/>
  <c r="M42" i="99"/>
  <c r="O42" i="99" s="1"/>
  <c r="L12" i="99"/>
  <c r="L13" i="99"/>
  <c r="L14" i="99"/>
  <c r="L15" i="99"/>
  <c r="L16" i="99"/>
  <c r="L17" i="99"/>
  <c r="L18" i="99"/>
  <c r="L19" i="99"/>
  <c r="L20" i="99"/>
  <c r="L21" i="99"/>
  <c r="L22" i="99"/>
  <c r="L23" i="99"/>
  <c r="L24" i="99"/>
  <c r="L26" i="99"/>
  <c r="L27" i="99"/>
  <c r="L28" i="99"/>
  <c r="L29" i="99"/>
  <c r="L30" i="99"/>
  <c r="L31" i="99"/>
  <c r="L32" i="99"/>
  <c r="L33" i="99"/>
  <c r="L34" i="99"/>
  <c r="L35" i="99"/>
  <c r="L36" i="99"/>
  <c r="L37" i="99"/>
  <c r="L38" i="99"/>
  <c r="L39" i="99"/>
  <c r="L40" i="99"/>
  <c r="L41" i="99"/>
  <c r="L42" i="99"/>
  <c r="D45" i="13"/>
  <c r="E45" i="13"/>
  <c r="F45" i="13"/>
  <c r="G45" i="13"/>
  <c r="H45" i="13"/>
  <c r="I45" i="13"/>
  <c r="J45" i="13"/>
  <c r="K45" i="13"/>
  <c r="L45" i="13"/>
  <c r="H9" i="120"/>
  <c r="I42" i="79"/>
  <c r="N39" i="131" l="1"/>
  <c r="J43" i="126"/>
  <c r="E42" i="80"/>
  <c r="O12" i="99"/>
  <c r="M44" i="99"/>
  <c r="G19" i="126"/>
  <c r="L44" i="99"/>
  <c r="M45" i="13"/>
  <c r="N45" i="13"/>
  <c r="J17" i="131"/>
  <c r="I10" i="94"/>
  <c r="I11" i="94"/>
  <c r="I12" i="94"/>
  <c r="I13" i="94"/>
  <c r="I14" i="94"/>
  <c r="I15" i="94"/>
  <c r="I16" i="94"/>
  <c r="I17" i="94"/>
  <c r="I18" i="94"/>
  <c r="I19" i="94"/>
  <c r="I20" i="94"/>
  <c r="I21" i="94"/>
  <c r="I22" i="94"/>
  <c r="I23" i="94"/>
  <c r="I24" i="94"/>
  <c r="I25" i="94"/>
  <c r="I26" i="94"/>
  <c r="I27" i="94"/>
  <c r="I28" i="94"/>
  <c r="I29" i="94"/>
  <c r="I30" i="94"/>
  <c r="I31" i="94"/>
  <c r="I32" i="94"/>
  <c r="I33" i="94"/>
  <c r="I34" i="94"/>
  <c r="I35" i="94"/>
  <c r="I36" i="94"/>
  <c r="I37" i="94"/>
  <c r="I38" i="94"/>
  <c r="I39" i="94"/>
  <c r="H10" i="94"/>
  <c r="H11" i="94"/>
  <c r="H12" i="94"/>
  <c r="H13" i="94"/>
  <c r="H14" i="94"/>
  <c r="H15" i="94"/>
  <c r="H16" i="94"/>
  <c r="H17" i="94"/>
  <c r="H18" i="94"/>
  <c r="H19" i="94"/>
  <c r="H20" i="94"/>
  <c r="H21" i="94"/>
  <c r="H22" i="94"/>
  <c r="H23" i="94"/>
  <c r="H24" i="94"/>
  <c r="H25" i="94"/>
  <c r="H26" i="94"/>
  <c r="H27" i="94"/>
  <c r="H28" i="94"/>
  <c r="H29" i="94"/>
  <c r="H30" i="94"/>
  <c r="H31" i="94"/>
  <c r="H32" i="94"/>
  <c r="H33" i="94"/>
  <c r="H34" i="94"/>
  <c r="H35" i="94"/>
  <c r="H36" i="94"/>
  <c r="H37" i="94"/>
  <c r="H38" i="94"/>
  <c r="H39" i="94"/>
  <c r="H40" i="94"/>
  <c r="H9" i="94"/>
  <c r="G10" i="94"/>
  <c r="G11" i="94"/>
  <c r="G12" i="94"/>
  <c r="G13" i="94"/>
  <c r="G14" i="94"/>
  <c r="G15" i="94"/>
  <c r="G16" i="94"/>
  <c r="G17" i="94"/>
  <c r="G18" i="94"/>
  <c r="G19" i="94"/>
  <c r="G20" i="94"/>
  <c r="G21" i="94"/>
  <c r="G22" i="94"/>
  <c r="G23" i="94"/>
  <c r="G24" i="94"/>
  <c r="G25" i="94"/>
  <c r="G26" i="94"/>
  <c r="G27" i="94"/>
  <c r="G28" i="94"/>
  <c r="G29" i="94"/>
  <c r="G30" i="94"/>
  <c r="G31" i="94"/>
  <c r="G32" i="94"/>
  <c r="G33" i="94"/>
  <c r="G34" i="94"/>
  <c r="G36" i="94"/>
  <c r="G37" i="94"/>
  <c r="G38" i="94"/>
  <c r="G39" i="94"/>
  <c r="G9" i="94"/>
  <c r="I10" i="5"/>
  <c r="J11" i="5"/>
  <c r="J12" i="5"/>
  <c r="I13" i="5"/>
  <c r="J14" i="5"/>
  <c r="J15" i="5"/>
  <c r="J16" i="5"/>
  <c r="I42" i="80"/>
  <c r="O44" i="99"/>
  <c r="P45" i="13"/>
  <c r="I16" i="5" l="1"/>
  <c r="I12" i="5"/>
  <c r="H13" i="5"/>
  <c r="I15" i="5"/>
  <c r="I11" i="5"/>
  <c r="J13" i="5"/>
  <c r="H10" i="5"/>
  <c r="H16" i="5"/>
  <c r="H12" i="5"/>
  <c r="I14" i="5"/>
  <c r="J10" i="5"/>
  <c r="H14" i="5"/>
  <c r="H15" i="5"/>
  <c r="H11" i="5"/>
  <c r="E82" i="137"/>
  <c r="F82" i="137"/>
  <c r="G82" i="137"/>
  <c r="C82" i="137"/>
  <c r="H82" i="137"/>
  <c r="K82" i="137" s="1"/>
  <c r="L82" i="137" l="1"/>
  <c r="J82" i="137"/>
  <c r="N82" i="137"/>
  <c r="M82" i="137"/>
  <c r="K121" i="137" l="1"/>
  <c r="N121" i="137"/>
  <c r="L121" i="137"/>
  <c r="M121" i="1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AF00-000001000000}">
      <text>
        <r>
          <rPr>
            <sz val="10"/>
            <color indexed="18"/>
            <rFont val="Tahoma"/>
            <family val="2"/>
          </rPr>
          <t>Source [qryT01]</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800-000001000000}">
      <text>
        <r>
          <rPr>
            <sz val="10"/>
            <color indexed="18"/>
            <rFont val="Tahoma"/>
            <family val="2"/>
          </rPr>
          <t>Source [qryT05]</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900-000001000000}">
      <text>
        <r>
          <rPr>
            <sz val="10"/>
            <color indexed="18"/>
            <rFont val="Tahoma"/>
            <family val="2"/>
          </rPr>
          <t>Source [qryT05a]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A00-000001000000}">
      <text>
        <r>
          <rPr>
            <sz val="10"/>
            <color indexed="18"/>
            <rFont val="Tahoma"/>
            <family val="2"/>
          </rPr>
          <t>Source [qryT06]</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B00-000001000000}">
      <text>
        <r>
          <rPr>
            <sz val="10"/>
            <color indexed="18"/>
            <rFont val="Tahoma"/>
            <family val="2"/>
          </rPr>
          <t>Source [qryT06a]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C00-000001000000}">
      <text>
        <r>
          <rPr>
            <sz val="10"/>
            <color indexed="18"/>
            <rFont val="Tahoma"/>
            <family val="2"/>
          </rPr>
          <t>Source [qryT06c]</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D00-000001000000}">
      <text>
        <r>
          <rPr>
            <sz val="10"/>
            <color indexed="18"/>
            <rFont val="Tahoma"/>
            <family val="2"/>
          </rPr>
          <t>Source [qryT06d]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E00-000001000000}">
      <text>
        <r>
          <rPr>
            <sz val="10"/>
            <color indexed="18"/>
            <rFont val="Tahoma"/>
            <family val="2"/>
          </rPr>
          <t>Source [qryT07]</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F00-000001000000}">
      <text>
        <r>
          <rPr>
            <sz val="10"/>
            <color indexed="18"/>
            <rFont val="Tahoma"/>
            <family val="2"/>
          </rPr>
          <t>Source [qryT08]</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000-000001000000}">
      <text>
        <r>
          <rPr>
            <sz val="10"/>
            <color indexed="18"/>
            <rFont val="Tahoma"/>
            <family val="2"/>
          </rPr>
          <t>Source [qryT08a]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100-000001000000}">
      <text>
        <r>
          <rPr>
            <sz val="10"/>
            <color indexed="18"/>
            <rFont val="Tahoma"/>
            <family val="2"/>
          </rPr>
          <t>Source [qryT09_1]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000-000001000000}">
      <text>
        <r>
          <rPr>
            <sz val="10"/>
            <color indexed="18"/>
            <rFont val="Tahoma"/>
            <family val="2"/>
          </rPr>
          <t>Source [qryT01a]</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200-000001000000}">
      <text>
        <r>
          <rPr>
            <sz val="10"/>
            <color indexed="18"/>
            <rFont val="Tahoma"/>
            <family val="2"/>
          </rPr>
          <t>Source [qryT09_2]</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300-000001000000}">
      <text>
        <r>
          <rPr>
            <sz val="10"/>
            <color indexed="18"/>
            <rFont val="Tahoma"/>
            <family val="2"/>
          </rPr>
          <t>Source [qryT09a]</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400-000001000000}">
      <text>
        <r>
          <rPr>
            <sz val="10"/>
            <color indexed="18"/>
            <rFont val="Tahoma"/>
            <family val="2"/>
          </rPr>
          <t>Source [qryT09b]</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500-000001000000}">
      <text>
        <r>
          <rPr>
            <sz val="10"/>
            <color indexed="18"/>
            <rFont val="Tahoma"/>
            <family val="2"/>
          </rPr>
          <t>Source [qryT11_fires]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600-000001000000}">
      <text>
        <r>
          <rPr>
            <sz val="10"/>
            <color indexed="18"/>
            <rFont val="Tahoma"/>
            <family val="2"/>
          </rPr>
          <t>Source [qryT11_fatal]</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700-000001000000}">
      <text>
        <r>
          <rPr>
            <sz val="10"/>
            <color indexed="18"/>
            <rFont val="Tahoma"/>
            <family val="2"/>
          </rPr>
          <t>Source [qryT11_nonfatal]</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800-000001000000}">
      <text>
        <r>
          <rPr>
            <sz val="10"/>
            <color indexed="18"/>
            <rFont val="Tahoma"/>
            <family val="2"/>
          </rPr>
          <t>Source [qryT11a]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900-000001000000}">
      <text>
        <r>
          <rPr>
            <sz val="10"/>
            <color indexed="18"/>
            <rFont val="Tahoma"/>
            <family val="2"/>
          </rPr>
          <t>Source [qryT12]</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A00-000001000000}">
      <text>
        <r>
          <rPr>
            <sz val="10"/>
            <color indexed="18"/>
            <rFont val="Tahoma"/>
            <family val="2"/>
          </rPr>
          <t>Source [qryT17c]</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B00-000001000000}">
      <text>
        <r>
          <rPr>
            <sz val="10"/>
            <color indexed="18"/>
            <rFont val="Tahoma"/>
            <family val="2"/>
          </rPr>
          <t>Source [qrynull]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100-000001000000}">
      <text>
        <r>
          <rPr>
            <sz val="10"/>
            <color indexed="18"/>
            <rFont val="Tahoma"/>
            <family val="2"/>
          </rPr>
          <t>Source [qryT02_other]</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C00-000001000000}">
      <text>
        <r>
          <rPr>
            <sz val="10"/>
            <color indexed="18"/>
            <rFont val="Tahoma"/>
            <family val="2"/>
          </rPr>
          <t>Source [qryT13]</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D00-000001000000}">
      <text>
        <r>
          <rPr>
            <sz val="10"/>
            <color indexed="18"/>
            <rFont val="Tahoma"/>
            <family val="2"/>
          </rPr>
          <t>Source [qryT13a]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E00-000001000000}">
      <text>
        <r>
          <rPr>
            <sz val="10"/>
            <color indexed="18"/>
            <rFont val="Tahoma"/>
            <family val="2"/>
          </rPr>
          <t>Source [qryT14]</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CF00-000001000000}">
      <text>
        <r>
          <rPr>
            <sz val="10"/>
            <color indexed="18"/>
            <rFont val="Tahoma"/>
            <family val="2"/>
          </rPr>
          <t>Source [qryT14a]</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000-000001000000}">
      <text>
        <r>
          <rPr>
            <sz val="10"/>
            <color indexed="18"/>
            <rFont val="Tahoma"/>
            <family val="2"/>
          </rPr>
          <t>Source [qryT14b]</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100-000001000000}">
      <text>
        <r>
          <rPr>
            <sz val="10"/>
            <color indexed="18"/>
            <rFont val="Tahoma"/>
            <family val="2"/>
          </rPr>
          <t>Source [qryT14c]</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200-000001000000}">
      <text>
        <r>
          <rPr>
            <sz val="10"/>
            <color indexed="18"/>
            <rFont val="Tahoma"/>
            <family val="2"/>
          </rPr>
          <t>Source [qryT14d]</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300-000001000000}">
      <text>
        <r>
          <rPr>
            <sz val="10"/>
            <color indexed="18"/>
            <rFont val="Tahoma"/>
            <family val="2"/>
          </rPr>
          <t>Source [qryT14e]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400-000001000000}">
      <text>
        <r>
          <rPr>
            <sz val="10"/>
            <color indexed="18"/>
            <rFont val="Tahoma"/>
            <family val="2"/>
          </rPr>
          <t>Source [qryT14f]</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500-000001000000}">
      <text>
        <r>
          <rPr>
            <sz val="10"/>
            <color indexed="18"/>
            <rFont val="Tahoma"/>
            <family val="2"/>
          </rPr>
          <t>Source [qryT16]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200-000001000000}">
      <text>
        <r>
          <rPr>
            <sz val="10"/>
            <color indexed="18"/>
            <rFont val="Tahoma"/>
            <family val="2"/>
          </rPr>
          <t>Source [qryT02b]</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600-000001000000}">
      <text>
        <r>
          <rPr>
            <sz val="10"/>
            <color indexed="18"/>
            <rFont val="Tahoma"/>
            <family val="2"/>
          </rPr>
          <t>Source [qryT16a]</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700-000001000000}">
      <text>
        <r>
          <rPr>
            <sz val="10"/>
            <color indexed="18"/>
            <rFont val="Tahoma"/>
            <family val="2"/>
          </rPr>
          <t>Source [qryT16b]</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800-000001000000}">
      <text>
        <r>
          <rPr>
            <sz val="10"/>
            <color indexed="18"/>
            <rFont val="Tahoma"/>
            <family val="2"/>
          </rPr>
          <t>Source [qryT16c]</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900-000001000000}">
      <text>
        <r>
          <rPr>
            <sz val="10"/>
            <color indexed="18"/>
            <rFont val="Tahoma"/>
            <family val="2"/>
          </rPr>
          <t>Source [qryT16d]</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A00-000001000000}">
      <text>
        <r>
          <rPr>
            <sz val="10"/>
            <color indexed="18"/>
            <rFont val="Tahoma"/>
            <family val="2"/>
          </rPr>
          <t>Source [qryT18]</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B00-000001000000}">
      <text>
        <r>
          <rPr>
            <sz val="10"/>
            <color indexed="18"/>
            <rFont val="Tahoma"/>
            <family val="2"/>
          </rPr>
          <t>Source [qryT18a]</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C00-000001000000}">
      <text>
        <r>
          <rPr>
            <sz val="10"/>
            <color indexed="18"/>
            <rFont val="Tahoma"/>
            <family val="2"/>
          </rPr>
          <t>Source [qryT19]</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D00-000001000000}">
      <text>
        <r>
          <rPr>
            <sz val="10"/>
            <color indexed="18"/>
            <rFont val="Tahoma"/>
            <family val="2"/>
          </rPr>
          <t>Source [qryT19a]</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E00-000001000000}">
      <text>
        <r>
          <rPr>
            <sz val="10"/>
            <color indexed="18"/>
            <rFont val="Tahoma"/>
            <family val="2"/>
          </rPr>
          <t>Source [qryT19b]</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DF00-000001000000}">
      <text>
        <r>
          <rPr>
            <sz val="10"/>
            <color indexed="18"/>
            <rFont val="Tahoma"/>
            <family val="2"/>
          </rPr>
          <t>Source [qryT20]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300-000001000000}">
      <text>
        <r>
          <rPr>
            <sz val="10"/>
            <color indexed="18"/>
            <rFont val="Tahoma"/>
            <family val="2"/>
          </rPr>
          <t>Source [qryT03]</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000-000001000000}">
      <text>
        <r>
          <rPr>
            <sz val="10"/>
            <color indexed="18"/>
            <rFont val="Tahoma"/>
            <family val="2"/>
          </rPr>
          <t>Source [qryT21]</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100-000001000000}">
      <text>
        <r>
          <rPr>
            <sz val="10"/>
            <color indexed="18"/>
            <rFont val="Tahoma"/>
            <family val="2"/>
          </rPr>
          <t>Source [qryT21b]</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200-000001000000}">
      <text>
        <r>
          <rPr>
            <sz val="10"/>
            <color indexed="18"/>
            <rFont val="Tahoma"/>
            <family val="2"/>
          </rPr>
          <t>Source [qryT21a]</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300-000001000000}">
      <text>
        <r>
          <rPr>
            <sz val="10"/>
            <color indexed="18"/>
            <rFont val="Tahoma"/>
            <family val="2"/>
          </rPr>
          <t>Source [qryT22]</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400-000001000000}">
      <text>
        <r>
          <rPr>
            <sz val="10"/>
            <color indexed="18"/>
            <rFont val="Tahoma"/>
            <family val="2"/>
          </rPr>
          <t>Source [qryT23]</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500-000001000000}">
      <text>
        <r>
          <rPr>
            <sz val="10"/>
            <color indexed="18"/>
            <rFont val="Tahoma"/>
            <family val="2"/>
          </rPr>
          <t>Source [qryT23a]</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600-000001000000}">
      <text>
        <r>
          <rPr>
            <sz val="10"/>
            <color indexed="18"/>
            <rFont val="Tahoma"/>
            <family val="2"/>
          </rPr>
          <t>Source [qryT24]</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700-000001000000}">
      <text>
        <r>
          <rPr>
            <sz val="10"/>
            <color indexed="18"/>
            <rFont val="Tahoma"/>
            <family val="2"/>
          </rPr>
          <t>Source [qryT25]</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800-000001000000}">
      <text>
        <r>
          <rPr>
            <sz val="10"/>
            <color indexed="18"/>
            <rFont val="Tahoma"/>
            <family val="2"/>
          </rPr>
          <t>Source [qryT03b]</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900-000001000000}">
      <text>
        <r>
          <rPr>
            <sz val="10"/>
            <color indexed="18"/>
            <rFont val="Tahoma"/>
            <family val="2"/>
          </rPr>
          <t>Source [qryT10v2]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400-000001000000}">
      <text>
        <r>
          <rPr>
            <sz val="10"/>
            <color indexed="18"/>
            <rFont val="Tahoma"/>
            <family val="2"/>
          </rPr>
          <t>Source [qryT03a]</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A00-000001000000}">
      <text>
        <r>
          <rPr>
            <sz val="10"/>
            <color indexed="18"/>
            <rFont val="Tahoma"/>
            <family val="2"/>
          </rPr>
          <t>Source [qryRefage_new]</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C00-000001000000}">
      <text>
        <r>
          <rPr>
            <sz val="10"/>
            <color indexed="18"/>
            <rFont val="Tahoma"/>
            <family val="2"/>
          </rPr>
          <t>Source [qrySIMD]</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D00-000001000000}">
      <text>
        <r>
          <rPr>
            <sz val="10"/>
            <color indexed="18"/>
            <rFont val="Tahoma"/>
            <family val="2"/>
          </rPr>
          <t>Source [qryUR]</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EF00-000001000000}">
      <text>
        <r>
          <rPr>
            <sz val="10"/>
            <color indexed="18"/>
            <rFont val="Tahoma"/>
            <family val="2"/>
          </rPr>
          <t>Source [qtrMotive]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F000-000001000000}">
      <text>
        <r>
          <rPr>
            <sz val="10"/>
            <color indexed="18"/>
            <rFont val="Tahoma"/>
            <family val="2"/>
          </rPr>
          <t>Source [qtrIncidents]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F100-000001000000}">
      <text>
        <r>
          <rPr>
            <sz val="10"/>
            <color indexed="18"/>
            <rFont val="Tahoma"/>
            <family val="2"/>
          </rPr>
          <t>Source [qtr_firecasualty]</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F200-000001000000}">
      <text>
        <r>
          <rPr>
            <sz val="10"/>
            <color indexed="18"/>
            <rFont val="Tahoma"/>
            <family val="2"/>
          </rPr>
          <t>Source [qtr_nonfirecasualty]</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F300-000001000000}">
      <text>
        <r>
          <rPr>
            <sz val="10"/>
            <color indexed="18"/>
            <rFont val="Tahoma"/>
            <family val="2"/>
          </rPr>
          <t>Source [qtrCasualties]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F400-000001000000}">
      <text>
        <r>
          <rPr>
            <sz val="10"/>
            <color indexed="18"/>
            <rFont val="Tahoma"/>
            <family val="2"/>
          </rPr>
          <t>Source [qryT16_new]</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F500-000001000000}">
      <text>
        <r>
          <rPr>
            <sz val="10"/>
            <color indexed="18"/>
            <rFont val="Tahoma"/>
            <family val="2"/>
          </rPr>
          <t>Source [qryT16a_new]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500-000001000000}">
      <text>
        <r>
          <rPr>
            <sz val="10"/>
            <color indexed="18"/>
            <rFont val="Tahoma"/>
            <family val="2"/>
          </rPr>
          <t>Source [qryT04]</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F600-000001000000}">
      <text>
        <r>
          <rPr>
            <sz val="10"/>
            <color indexed="18"/>
            <rFont val="Tahoma"/>
            <family val="2"/>
          </rPr>
          <t>Source [qrySIMDCas]</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F700-000001000000}">
      <text>
        <r>
          <rPr>
            <sz val="10"/>
            <color indexed="18"/>
            <rFont val="Tahoma"/>
            <family val="2"/>
          </rPr>
          <t>Source [qryURCas]</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F800-000001000000}">
      <text>
        <r>
          <rPr>
            <sz val="10"/>
            <color indexed="18"/>
            <rFont val="Tahoma"/>
            <family val="2"/>
          </rPr>
          <t>Source [qryBuildingArea]</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F900-000001000000}">
      <text>
        <r>
          <rPr>
            <sz val="10"/>
            <color indexed="18"/>
            <rFont val="Tahoma"/>
            <family val="2"/>
          </rPr>
          <t>Source [qryT17d]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600-000001000000}">
      <text>
        <r>
          <rPr>
            <sz val="10"/>
            <color indexed="18"/>
            <rFont val="Tahoma"/>
            <family val="2"/>
          </rPr>
          <t>Source [qryT04a]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Cameron, Rebecca</author>
  </authors>
  <commentList>
    <comment ref="A1" authorId="0" shapeId="0" xr:uid="{00000000-0006-0000-B700-000001000000}">
      <text>
        <r>
          <rPr>
            <sz val="10"/>
            <color indexed="18"/>
            <rFont val="Tahoma"/>
            <family val="2"/>
          </rPr>
          <t>Source [qryT04cde]</t>
        </r>
      </text>
    </comment>
  </commentList>
</comments>
</file>

<file path=xl/sharedStrings.xml><?xml version="1.0" encoding="utf-8"?>
<sst xmlns="http://schemas.openxmlformats.org/spreadsheetml/2006/main" count="96658" uniqueCount="2038">
  <si>
    <t>Number</t>
  </si>
  <si>
    <t>Primary Total</t>
  </si>
  <si>
    <t>Secondary Fires</t>
  </si>
  <si>
    <t>Chimney Fires</t>
  </si>
  <si>
    <t>Year</t>
  </si>
  <si>
    <t>Dwellings</t>
  </si>
  <si>
    <t>Other Buildings</t>
  </si>
  <si>
    <t>Road Vehicles</t>
  </si>
  <si>
    <t>Others</t>
  </si>
  <si>
    <t>2004-05</t>
  </si>
  <si>
    <t>Road Vehicle</t>
  </si>
  <si>
    <t>Total</t>
  </si>
  <si>
    <t>2005-06</t>
  </si>
  <si>
    <t>2011-12</t>
  </si>
  <si>
    <t>2006-07</t>
  </si>
  <si>
    <t>2012-13</t>
  </si>
  <si>
    <t>2007-08</t>
  </si>
  <si>
    <t>2013-14</t>
  </si>
  <si>
    <t>2008-09</t>
  </si>
  <si>
    <t>2009-10</t>
  </si>
  <si>
    <t>2010-11</t>
  </si>
  <si>
    <t>Primary Fires</t>
  </si>
  <si>
    <t>Local Authority</t>
  </si>
  <si>
    <t>Aberdeen City</t>
  </si>
  <si>
    <t>Aberdeenshire</t>
  </si>
  <si>
    <t>Angus</t>
  </si>
  <si>
    <t>Argyll and Bute</t>
  </si>
  <si>
    <t>Clackmannanshire</t>
  </si>
  <si>
    <t>Dumfries and Galloway</t>
  </si>
  <si>
    <t>Dundee City</t>
  </si>
  <si>
    <t>East Ayrshire</t>
  </si>
  <si>
    <t>East Dunbartonshire</t>
  </si>
  <si>
    <t>East Lothian</t>
  </si>
  <si>
    <t>East Renfrewshire</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</si>
  <si>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</si>
  <si>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</si>
  <si>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</si>
  <si>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</si>
  <si>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</si>
  <si>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</si>
  <si>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</si>
  <si>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</si>
  <si>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</si>
  <si>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</si>
  <si>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</si>
  <si>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</si>
  <si>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</si>
  <si>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</si>
  <si>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</si>
  <si>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</si>
  <si>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</si>
  <si>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</si>
  <si>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</si>
  <si>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Scotland</t>
  </si>
  <si>
    <t>Fatal Casualties Total</t>
  </si>
  <si>
    <t>Non-Fatal Casualties Total</t>
  </si>
  <si>
    <t>Non-Fatal Casualties in Primary Fires</t>
  </si>
  <si>
    <t>Rate</t>
  </si>
  <si>
    <t>Accidental Dwelling Fires</t>
  </si>
  <si>
    <t>Fatal Casualties</t>
  </si>
  <si>
    <t>(per 1,000 fires)</t>
  </si>
  <si>
    <t>Accidental</t>
  </si>
  <si>
    <t>Percentage</t>
  </si>
  <si>
    <t>Road Traffic Collisions (RTC)</t>
  </si>
  <si>
    <t>Flooding</t>
  </si>
  <si>
    <t>Evacuation (no fire)</t>
  </si>
  <si>
    <t>Lift Release</t>
  </si>
  <si>
    <t>Spills and Leaks (not RTC)</t>
  </si>
  <si>
    <t>Making Safe (not RTC)</t>
  </si>
  <si>
    <t>Stand By</t>
  </si>
  <si>
    <t>Advice Only</t>
  </si>
  <si>
    <t>RTC</t>
  </si>
  <si>
    <t>Other</t>
  </si>
  <si>
    <t>Non-fatal Casualties</t>
  </si>
  <si>
    <t>Other Residential</t>
  </si>
  <si>
    <t>Private garages, sheds, etc</t>
  </si>
  <si>
    <t>Permanent Agricultural</t>
  </si>
  <si>
    <t>Industrial</t>
  </si>
  <si>
    <t>Entertainment, Sport and Culture</t>
  </si>
  <si>
    <t>Food and Drink</t>
  </si>
  <si>
    <t>Retail</t>
  </si>
  <si>
    <t>Education</t>
  </si>
  <si>
    <t>Woodland</t>
  </si>
  <si>
    <t>Car</t>
  </si>
  <si>
    <t>Abandoned Car</t>
  </si>
  <si>
    <t>Other Road Vehicle</t>
  </si>
  <si>
    <t>Abandoned Other Road Vehicle</t>
  </si>
  <si>
    <t>Road Vehicle (subtotal)</t>
  </si>
  <si>
    <t>Primary Outdoor Fire Total</t>
  </si>
  <si>
    <t>Grasslands</t>
  </si>
  <si>
    <t>Outdoor structure</t>
  </si>
  <si>
    <t>Other Outdoors (including land)</t>
  </si>
  <si>
    <t>Secondary Outdoor Fires Total</t>
  </si>
  <si>
    <t>Derelict Building</t>
  </si>
  <si>
    <t>Grassland</t>
  </si>
  <si>
    <t>Derelict Vehicle</t>
  </si>
  <si>
    <t>Rate per million population</t>
  </si>
  <si>
    <t>Fatal</t>
  </si>
  <si>
    <r>
      <t>Dwellings</t>
    </r>
    <r>
      <rPr>
        <b/>
        <sz val="10"/>
        <rFont val="Arial"/>
        <family val="2"/>
      </rPr>
      <t xml:space="preserve"> - Accidental</t>
    </r>
  </si>
  <si>
    <t>Other Buildings - Accidental</t>
  </si>
  <si>
    <t>Road Vehicles - Accidental</t>
  </si>
  <si>
    <t>Other - Accidental</t>
  </si>
  <si>
    <t>Total Accidental Primary Fires</t>
  </si>
  <si>
    <t>Fires</t>
  </si>
  <si>
    <t>Other Buildings - Deliberate</t>
  </si>
  <si>
    <t>Road Vehicles - Deliberate</t>
  </si>
  <si>
    <t>Others - Deliberate</t>
  </si>
  <si>
    <t>Total Deliberate Primary Fires</t>
  </si>
  <si>
    <t>Accidental Primary Fires</t>
  </si>
  <si>
    <t>Deliberate Primary Fires</t>
  </si>
  <si>
    <t>Total Primary Fires</t>
  </si>
  <si>
    <t>Non-Fatal Casualties</t>
  </si>
  <si>
    <t>2003-04</t>
  </si>
  <si>
    <t>Secondary fires</t>
  </si>
  <si>
    <t>Fire False Alarms</t>
  </si>
  <si>
    <t>Refuse</t>
  </si>
  <si>
    <t>Deliberate</t>
  </si>
  <si>
    <t>1995-96</t>
  </si>
  <si>
    <t>1996-97</t>
  </si>
  <si>
    <t>1997-98</t>
  </si>
  <si>
    <t>1998-99</t>
  </si>
  <si>
    <t>1999-00</t>
  </si>
  <si>
    <t>2000-01</t>
  </si>
  <si>
    <t>2001-02</t>
  </si>
  <si>
    <t>England</t>
  </si>
  <si>
    <t>Wales</t>
  </si>
  <si>
    <t>Total Primary Outdoor Fires per 100,000 population</t>
  </si>
  <si>
    <t>Total Secondary Outdoor Fires per 100,000 population</t>
  </si>
  <si>
    <t>Deliberate Dwelling Fires</t>
  </si>
  <si>
    <t>All Primary Fires</t>
  </si>
  <si>
    <t>Accidental Secondary Fires</t>
  </si>
  <si>
    <t>Deliberate Secondary Fires</t>
  </si>
  <si>
    <t>All Secondary Fires</t>
  </si>
  <si>
    <t>2014-15</t>
  </si>
  <si>
    <t>Dwellings - Deliberate</t>
  </si>
  <si>
    <t>Fire Casualties</t>
  </si>
  <si>
    <t>Non-Fatal</t>
  </si>
  <si>
    <t>Malicious</t>
  </si>
  <si>
    <t>Due to apparatus</t>
  </si>
  <si>
    <t>Good Intent</t>
  </si>
  <si>
    <t>http://www.scotland.gov.uk/Topics/Statistics/Browse/Crime-Justice/PubFires</t>
  </si>
  <si>
    <t>Population</t>
  </si>
  <si>
    <t>Chimney fires</t>
  </si>
  <si>
    <t>Scotland (total)</t>
  </si>
  <si>
    <t>2015-16</t>
  </si>
  <si>
    <t>Due to Apparatus</t>
  </si>
  <si>
    <t>Note</t>
  </si>
  <si>
    <t>Total Fires</t>
  </si>
  <si>
    <t>Total False Alarms</t>
  </si>
  <si>
    <t>Refuse (subtotal)</t>
  </si>
  <si>
    <t>Location not found</t>
  </si>
  <si>
    <t>Evacuation</t>
  </si>
  <si>
    <t>Total Flooding Incidents</t>
  </si>
  <si>
    <t>Make Vehicle Safe</t>
  </si>
  <si>
    <t>Stand By - No Action</t>
  </si>
  <si>
    <t>Wash Down Road</t>
  </si>
  <si>
    <t>Total Road Traffic Collisions Incidents</t>
  </si>
  <si>
    <t>Pumping Out</t>
  </si>
  <si>
    <t>Female</t>
  </si>
  <si>
    <t>Male</t>
  </si>
  <si>
    <t>Unknown/
unspecified</t>
  </si>
  <si>
    <t>Unknown/ Unspecified</t>
  </si>
  <si>
    <t>Burns</t>
  </si>
  <si>
    <t>SFRS Personnel</t>
  </si>
  <si>
    <t>Non SFRS Personnel</t>
  </si>
  <si>
    <t>Nature of treatment</t>
  </si>
  <si>
    <t>Precautionary check recommended</t>
  </si>
  <si>
    <t>First aid given at scene</t>
  </si>
  <si>
    <t>Unknown</t>
  </si>
  <si>
    <t>Unknown/ unspecified</t>
  </si>
  <si>
    <t>Nature of Injury</t>
  </si>
  <si>
    <t>Nature of Treatment</t>
  </si>
  <si>
    <t>Total non-fatal casualties</t>
  </si>
  <si>
    <t>Hospital visit, slight injuries</t>
  </si>
  <si>
    <t>Hospital visit, serious injuries</t>
  </si>
  <si>
    <t>0-16</t>
  </si>
  <si>
    <t>17-29</t>
  </si>
  <si>
    <t>30-59</t>
  </si>
  <si>
    <t>60+</t>
  </si>
  <si>
    <t>Scotland's Population</t>
  </si>
  <si>
    <t>Fatal casualties</t>
  </si>
  <si>
    <t>Non-fatal casualties</t>
  </si>
  <si>
    <t>of which were rescued</t>
  </si>
  <si>
    <t>Not known</t>
  </si>
  <si>
    <t>Smoke alarm absent</t>
  </si>
  <si>
    <t>Total fires</t>
  </si>
  <si>
    <t>Total fatal casualties</t>
  </si>
  <si>
    <t>Present, operated/ raised alarm</t>
  </si>
  <si>
    <t>Present, operated/ did not raise alarm</t>
  </si>
  <si>
    <t>Present, did not operate</t>
  </si>
  <si>
    <t>Reason for failure to operate</t>
  </si>
  <si>
    <t>Fire not close enough to detector</t>
  </si>
  <si>
    <t>Fire in area not covered by system</t>
  </si>
  <si>
    <t>Alarm battery defective</t>
  </si>
  <si>
    <t>Alerted by other means</t>
  </si>
  <si>
    <t>Alarm battery missing</t>
  </si>
  <si>
    <t>Fault in system</t>
  </si>
  <si>
    <t>Detector removed</t>
  </si>
  <si>
    <t>System damaged by fire</t>
  </si>
  <si>
    <t>System not set up correctly</t>
  </si>
  <si>
    <t>System turned off</t>
  </si>
  <si>
    <t>Unspecified</t>
  </si>
  <si>
    <t>Matches</t>
  </si>
  <si>
    <t>Candles</t>
  </si>
  <si>
    <t>Oil/Incense burners</t>
  </si>
  <si>
    <t>Other appliance or equipment</t>
  </si>
  <si>
    <t>Fireworks</t>
  </si>
  <si>
    <t>Office equipment</t>
  </si>
  <si>
    <t>Not known/other</t>
  </si>
  <si>
    <t>Yes</t>
  </si>
  <si>
    <t>No</t>
  </si>
  <si>
    <t>Total accidental dwelling fires</t>
  </si>
  <si>
    <t xml:space="preserve">Yes </t>
  </si>
  <si>
    <t>Primary Fires in Dwellings</t>
  </si>
  <si>
    <t>Fire confined to the item</t>
  </si>
  <si>
    <t>Fire beyond item but confined to room</t>
  </si>
  <si>
    <t>Fire elsewhere in building</t>
  </si>
  <si>
    <t>Primary Fires in Other Buildings</t>
  </si>
  <si>
    <t xml:space="preserve">Primary fires </t>
  </si>
  <si>
    <t>1 appliance</t>
  </si>
  <si>
    <t>2 appliances</t>
  </si>
  <si>
    <t>3-5 appliances</t>
  </si>
  <si>
    <t>6-10 appliances</t>
  </si>
  <si>
    <t>11- 15 appliances</t>
  </si>
  <si>
    <t>All Primary Fires - Time of Call</t>
  </si>
  <si>
    <t>1am</t>
  </si>
  <si>
    <t>2am</t>
  </si>
  <si>
    <t>3am</t>
  </si>
  <si>
    <t>4am</t>
  </si>
  <si>
    <t>5am</t>
  </si>
  <si>
    <t>6am</t>
  </si>
  <si>
    <t>7am</t>
  </si>
  <si>
    <t>8am</t>
  </si>
  <si>
    <t>9am</t>
  </si>
  <si>
    <t>10am</t>
  </si>
  <si>
    <t>11am</t>
  </si>
  <si>
    <t>1pm</t>
  </si>
  <si>
    <t>2pm</t>
  </si>
  <si>
    <t>3pm</t>
  </si>
  <si>
    <t>4pm</t>
  </si>
  <si>
    <t>5pm</t>
  </si>
  <si>
    <t>6pm</t>
  </si>
  <si>
    <t>7pm</t>
  </si>
  <si>
    <t>8pm</t>
  </si>
  <si>
    <t>9pm</t>
  </si>
  <si>
    <t>10pm</t>
  </si>
  <si>
    <t>11pm</t>
  </si>
  <si>
    <t>unspecified</t>
  </si>
  <si>
    <t>Primary Outdoor - Time of Call</t>
  </si>
  <si>
    <t>16+ appliances</t>
  </si>
  <si>
    <t>16+ above appliances</t>
  </si>
  <si>
    <t>Midnight</t>
  </si>
  <si>
    <t>Total Accidental Secondary fires</t>
  </si>
  <si>
    <t>Total Deliberate Secondary fires</t>
  </si>
  <si>
    <t>Non-Fatal Casualties in Primary Fires excluding precautionary check-ups</t>
  </si>
  <si>
    <t>Scotland Population</t>
  </si>
  <si>
    <t>Fatal Casualties - Dwelling Fires</t>
  </si>
  <si>
    <t>Midday</t>
  </si>
  <si>
    <t>Type of Non-fire Incident</t>
  </si>
  <si>
    <t>Fatal Casualties in Fires</t>
  </si>
  <si>
    <t>Non-fire Incident Total</t>
  </si>
  <si>
    <t>Total Primary Fires in Buildings</t>
  </si>
  <si>
    <t>Rescued and not Injured</t>
  </si>
  <si>
    <t>Non SFRS Personnel Non-fatal Casualties</t>
  </si>
  <si>
    <t>Primary Outdoor Fires</t>
  </si>
  <si>
    <t>Secondary Outdoor Fires</t>
  </si>
  <si>
    <t>Refuse (Subtotal)</t>
  </si>
  <si>
    <t>Total Other Buildings fires</t>
  </si>
  <si>
    <t>Total Dwelling fires</t>
  </si>
  <si>
    <t xml:space="preserve"> Total Primary Fires</t>
  </si>
  <si>
    <t>Total Dwelling Fires</t>
  </si>
  <si>
    <t>Total Other Building Fires</t>
  </si>
  <si>
    <t>Total Outdoor Fires</t>
  </si>
  <si>
    <t xml:space="preserve"> Total Fatal Casualties</t>
  </si>
  <si>
    <t>Number of Fatal Casualties in Dwelling Fires</t>
  </si>
  <si>
    <t xml:space="preserve"> Total Non-Fatal Casualties</t>
  </si>
  <si>
    <t>Non-fire Incidents</t>
  </si>
  <si>
    <t>False Alarms</t>
  </si>
  <si>
    <t>data not available</t>
  </si>
  <si>
    <t>Number of Dwellings</t>
  </si>
  <si>
    <t>Per million population</t>
  </si>
  <si>
    <t>Rescues</t>
  </si>
  <si>
    <t>2016-17</t>
  </si>
  <si>
    <t>ENGLAND</t>
  </si>
  <si>
    <t>WALES</t>
  </si>
  <si>
    <t>SCOTLAND</t>
  </si>
  <si>
    <t>Mid 2015</t>
  </si>
  <si>
    <t>Mid 2014</t>
  </si>
  <si>
    <t>Mid 2013</t>
  </si>
  <si>
    <t>Mid 2012</t>
  </si>
  <si>
    <t>Mid 2011</t>
  </si>
  <si>
    <t>Mid 2010</t>
  </si>
  <si>
    <t>Mid 2009</t>
  </si>
  <si>
    <t>Mid 2008</t>
  </si>
  <si>
    <t>Mid 2007</t>
  </si>
  <si>
    <t>Na h-Eileanan Siar</t>
  </si>
  <si>
    <t>Other False Alarms</t>
  </si>
  <si>
    <t>Non-Fire Incidents</t>
  </si>
  <si>
    <t>Cause of Death</t>
  </si>
  <si>
    <t>Source of ignition</t>
  </si>
  <si>
    <t>Fires by Location</t>
  </si>
  <si>
    <t>Casualties from Accidental Dwelling Fires</t>
  </si>
  <si>
    <t>Outdoor Fires by Location</t>
  </si>
  <si>
    <t>Accidental Dwelling Fires by Source of Ignition</t>
  </si>
  <si>
    <t>Primary Fires by Location and Time of Call</t>
  </si>
  <si>
    <t>Population and Dwelling Rates:</t>
  </si>
  <si>
    <t>Key to workbook tab colours:</t>
  </si>
  <si>
    <t>Primary</t>
  </si>
  <si>
    <t>Secondary</t>
  </si>
  <si>
    <t>Chimney</t>
  </si>
  <si>
    <t>Mid-Year Dwellings Estimates</t>
  </si>
  <si>
    <t>2017-18</t>
  </si>
  <si>
    <t>Total Incidents</t>
  </si>
  <si>
    <t>1994-95</t>
  </si>
  <si>
    <t>2002-03</t>
  </si>
  <si>
    <t>Make Safe</t>
  </si>
  <si>
    <t>Make Scene Safe</t>
  </si>
  <si>
    <t>Medical Assistance Only</t>
  </si>
  <si>
    <t>Non-Fatal casualties Total</t>
  </si>
  <si>
    <t>Don't know if smoke alarm was present</t>
  </si>
  <si>
    <t>Suspected alcohol/drugs</t>
  </si>
  <si>
    <t>Smoke and/or heat damage only 
(no fire)</t>
  </si>
  <si>
    <t>Primary fires</t>
  </si>
  <si>
    <t>Rate of Fatal Casualties per 1,000 Dwelling Fires</t>
  </si>
  <si>
    <t>Total Fatal Casualties (per 1,000)</t>
  </si>
  <si>
    <t xml:space="preserve"> Total Non-Fatal Casualties (per 1,000)</t>
  </si>
  <si>
    <t>Row Labels</t>
  </si>
  <si>
    <t>Sum of Primary_Total</t>
  </si>
  <si>
    <t>Sum of 1:Dwelling</t>
  </si>
  <si>
    <t>Sum of 2:Other Buildings</t>
  </si>
  <si>
    <t>Sum of 3:Road Vehicle</t>
  </si>
  <si>
    <t>Sum of 4:Others</t>
  </si>
  <si>
    <t>Sum of Secondary_Total</t>
  </si>
  <si>
    <t>Grand Total</t>
  </si>
  <si>
    <t>Sum of Chimney_Total</t>
  </si>
  <si>
    <t>Sum of pop</t>
  </si>
  <si>
    <t>Column Labels</t>
  </si>
  <si>
    <t>Total Sum of 1:Dwelling</t>
  </si>
  <si>
    <t>Total Sum of 2:Other Buildings</t>
  </si>
  <si>
    <t>Total Sum of 3:Road Vehicle</t>
  </si>
  <si>
    <t>Total Sum of 4:Others</t>
  </si>
  <si>
    <t>Exprecautionary</t>
  </si>
  <si>
    <t>Fatality</t>
  </si>
  <si>
    <t>Injured (incl. rescue with injury)</t>
  </si>
  <si>
    <t>Sum of Total</t>
  </si>
  <si>
    <t>Sum of Total_ADF</t>
  </si>
  <si>
    <t>Sum of Total_nonfatal_ADF</t>
  </si>
  <si>
    <t>Sum of Total_fatal_ADF</t>
  </si>
  <si>
    <t>Sum of Dwellings</t>
  </si>
  <si>
    <t>Sum of DDF</t>
  </si>
  <si>
    <t>Sum of 3Good Intent false alarm</t>
  </si>
  <si>
    <t>Sum of 1Malicious False Alarm</t>
  </si>
  <si>
    <t>Sum of 2Fire alarm due to Apparatus</t>
  </si>
  <si>
    <t>Sum of 01:RTC</t>
  </si>
  <si>
    <t>Sum of 02:Other Transport incident</t>
  </si>
  <si>
    <t>Sum of 03:Flooding</t>
  </si>
  <si>
    <t>Sum of 04:Rescue or evacuation from water</t>
  </si>
  <si>
    <t>Sum of 05:Other rescue/release of persons</t>
  </si>
  <si>
    <t>Sum of 06:Evacuation (no fire)</t>
  </si>
  <si>
    <t>Sum of 07:Lift Release</t>
  </si>
  <si>
    <t>Sum of 08:Medical Incident - First responder/Co-responder</t>
  </si>
  <si>
    <t>Sum of 09:Suicide/attempts</t>
  </si>
  <si>
    <t>Sum of 10:Hazardous Materials incident</t>
  </si>
  <si>
    <t>Sum of 11:Spills and Leaks (not RTC)</t>
  </si>
  <si>
    <t>Sum of 12:Removal of objects</t>
  </si>
  <si>
    <t>Sum of 13:Animal assistance incidents</t>
  </si>
  <si>
    <t>Sum of 14:Effecting entry/exit</t>
  </si>
  <si>
    <t>Sum of 15:Making Safe (not RTC)</t>
  </si>
  <si>
    <t>Sum of 16:No action (not false alarm)</t>
  </si>
  <si>
    <t>Sum of 17:Water provision</t>
  </si>
  <si>
    <t>Sum of 18:Stand By</t>
  </si>
  <si>
    <t>Sum of 19:Assist other agencies</t>
  </si>
  <si>
    <t>Sum of 20:Advice Only</t>
  </si>
  <si>
    <t>(All)</t>
  </si>
  <si>
    <t>Sum of Buildings_Total</t>
  </si>
  <si>
    <t>Sum of 01:Outdoor structures</t>
  </si>
  <si>
    <t>Sum of 02:Outdoor equipment and machinery</t>
  </si>
  <si>
    <t>Sum of 03:Grassland and crops</t>
  </si>
  <si>
    <t>Sum of 04:Woodland</t>
  </si>
  <si>
    <t>Sum of 05:Other Transport Vehicle</t>
  </si>
  <si>
    <t>Sum of 06:Other outdoors (including land)</t>
  </si>
  <si>
    <t>Sum of 07:Car</t>
  </si>
  <si>
    <t>Sum of 08:Abandoned Car</t>
  </si>
  <si>
    <t>Sum of 09:Other Road Vehicle</t>
  </si>
  <si>
    <t>Sum of 10:Abandoned Other Road Vehicle</t>
  </si>
  <si>
    <t>Sum of Total_Primary_Outdoor_Fires</t>
  </si>
  <si>
    <t>Sum of 01:Derelict Building</t>
  </si>
  <si>
    <t>Sum of 02:Grassland</t>
  </si>
  <si>
    <t>Sum of 03:Intentional straw or stubble</t>
  </si>
  <si>
    <t>Sum of 04:Outdoor structures</t>
  </si>
  <si>
    <t>Sum of 05:Derelict Vehicle</t>
  </si>
  <si>
    <t>Sum of 07:Refuse - small/rubbish container</t>
  </si>
  <si>
    <t>Sum of 08:Refuse - large/rubbish container</t>
  </si>
  <si>
    <t>Sum of 09:Refuse - loose/rubbish tip</t>
  </si>
  <si>
    <t>Sum of Total_Secondary_Outdoor_Fires</t>
  </si>
  <si>
    <t>Sum of Accidental</t>
  </si>
  <si>
    <t>Sum of Deliberate</t>
  </si>
  <si>
    <t>Rate (per 100,000) Population</t>
  </si>
  <si>
    <t>Sum of 1:fires</t>
  </si>
  <si>
    <t>Sum of 2:fatal</t>
  </si>
  <si>
    <t>Sum of 3:nonfatal</t>
  </si>
  <si>
    <t>Total Sum of 1:fires</t>
  </si>
  <si>
    <t>Total Sum of 2:fatal</t>
  </si>
  <si>
    <t>Total Sum of 3:nonfatal</t>
  </si>
  <si>
    <t>Total Sum of 01:Derelict Building</t>
  </si>
  <si>
    <t>Total Sum of 02:Grassland</t>
  </si>
  <si>
    <t>Total Sum of 03:Intentional straw or stubble</t>
  </si>
  <si>
    <t>Total Sum of 04:Outdoor structures</t>
  </si>
  <si>
    <t>Total Sum of 05:Derelict Vehicle</t>
  </si>
  <si>
    <t>Total Sum of 06:Other outdoors (including land)</t>
  </si>
  <si>
    <t>Total Sum of 07:Refuse - small/rubbish container</t>
  </si>
  <si>
    <t>Total Sum of 08:Refuse - large/rubbish container</t>
  </si>
  <si>
    <t>Total Sum of 09:Refuse - loose/rubbish tip</t>
  </si>
  <si>
    <t>Rate per 100,000 Population</t>
  </si>
  <si>
    <t>Non FRS personnel</t>
  </si>
  <si>
    <t>Sum of Female</t>
  </si>
  <si>
    <t>Sum of Male</t>
  </si>
  <si>
    <t>Combination of burns and overcome by gas/smoke</t>
  </si>
  <si>
    <t>Overcome by gas, smoke or toxic fumes</t>
  </si>
  <si>
    <t>Sum of Total_Fatal</t>
  </si>
  <si>
    <t>Sum of Not known</t>
  </si>
  <si>
    <t>FRS personnel</t>
  </si>
  <si>
    <t>Sum of Not specified</t>
  </si>
  <si>
    <t>Sum of Total_Nonfatal</t>
  </si>
  <si>
    <t>1Burns</t>
  </si>
  <si>
    <t>2Combination of burns and overcome by gas/smoke</t>
  </si>
  <si>
    <t>3Overcome by gas, smoke or toxic fumes</t>
  </si>
  <si>
    <t>4Physical injuries</t>
  </si>
  <si>
    <t>5Shock</t>
  </si>
  <si>
    <t>6Other specified</t>
  </si>
  <si>
    <t>8Other/Not known</t>
  </si>
  <si>
    <t>Tables show main injuries only, priority is given to 'burns' and 'overcome by gas or smoke'. However, if both these injuries occur, these are categorised as "Burns and overcome by gas or smoke".</t>
  </si>
  <si>
    <t>1Precautionary check recommended</t>
  </si>
  <si>
    <t>2First aid given at scene</t>
  </si>
  <si>
    <t>3Victim went to hospital, injuries appear to be Slight</t>
  </si>
  <si>
    <t>4Victim went to hospital, injuries appear to be Serious</t>
  </si>
  <si>
    <t>Sum of FRS personnelFemale</t>
  </si>
  <si>
    <t>Sum of FRS personnelMale</t>
  </si>
  <si>
    <t>Sum of FRS personnelNot known</t>
  </si>
  <si>
    <t>Sum of FRS personnelNot specified</t>
  </si>
  <si>
    <t>Sum of Non FRS personnelFemale</t>
  </si>
  <si>
    <t>Sum of Non FRS personnelMale</t>
  </si>
  <si>
    <t>Sum of Non FRS personnelNot known</t>
  </si>
  <si>
    <t>Sum of Non FRS personnelNot specified</t>
  </si>
  <si>
    <t>Who</t>
  </si>
  <si>
    <t>Sum of 17-29</t>
  </si>
  <si>
    <t>Total Sum of 17-29</t>
  </si>
  <si>
    <t>Total Sum of 30-59</t>
  </si>
  <si>
    <t>Sum of 30-59</t>
  </si>
  <si>
    <t>Total Sum of 60+</t>
  </si>
  <si>
    <t>Sum of 60+</t>
  </si>
  <si>
    <t>Total Sum of Unknown</t>
  </si>
  <si>
    <t>Sum of Unknown</t>
  </si>
  <si>
    <t>Sum of 0-16</t>
  </si>
  <si>
    <t>Sum of Non FRS personnel0-16</t>
  </si>
  <si>
    <t>Sum of Non FRS personnel17-29</t>
  </si>
  <si>
    <t>Sum of Non FRS personnel30-59</t>
  </si>
  <si>
    <t>Sum of Non FRS personnel60+</t>
  </si>
  <si>
    <t>Sum of Non FRS personnelUnknown</t>
  </si>
  <si>
    <t>Sum of FRS personnel17-29</t>
  </si>
  <si>
    <t>Sum of FRS personnel30-59</t>
  </si>
  <si>
    <t>Sum of FRS personnel60+</t>
  </si>
  <si>
    <t>Sum of FRS personnelUnknown</t>
  </si>
  <si>
    <t>Figures before 2009-10 for primary fires are based on sample data weighted to (former) Fire and Rescue Service totals</t>
  </si>
  <si>
    <t>a.Year</t>
  </si>
  <si>
    <t>Sum of a.1Present, operated and raised the alarm</t>
  </si>
  <si>
    <t>Sum of a.2Present, operated but did not raise the alarm</t>
  </si>
  <si>
    <t>Sum of a.3Present but did not operate</t>
  </si>
  <si>
    <t>Sum of a.4Smoke alarm absent</t>
  </si>
  <si>
    <t>Sum of a.5Don't know if smoke alarm was present</t>
  </si>
  <si>
    <t>Sum of f.1Present, operated and raised the alarm</t>
  </si>
  <si>
    <t>Sum of f.2Present, operated but did not raise the alarm</t>
  </si>
  <si>
    <t>Sum of f.3Present but did not operate</t>
  </si>
  <si>
    <t>Sum of f.4Smoke alarm absent</t>
  </si>
  <si>
    <t>Sum of f.5Don't know if smoke alarm was present</t>
  </si>
  <si>
    <t>Sum of n.1Present, operated and raised the alarm</t>
  </si>
  <si>
    <t>Sum of n.2Present, operated but did not raise the alarm</t>
  </si>
  <si>
    <t>Sum of n.3Present but did not operate</t>
  </si>
  <si>
    <t>Sum of n.4Smoke alarm absent</t>
  </si>
  <si>
    <t>Sum of n.5Don't know if smoke alarm was present</t>
  </si>
  <si>
    <t>Sum of 1:Yes</t>
  </si>
  <si>
    <t>Sum of 2:No</t>
  </si>
  <si>
    <t>Sum of 3:Not Known</t>
  </si>
  <si>
    <t>Sum of 01</t>
  </si>
  <si>
    <t>Sum of 02</t>
  </si>
  <si>
    <t>Sum of 03-05</t>
  </si>
  <si>
    <t>Sum of 06-10</t>
  </si>
  <si>
    <t>Sum of 11-15</t>
  </si>
  <si>
    <t>Sum of 16+</t>
  </si>
  <si>
    <t>Total Sum of 01</t>
  </si>
  <si>
    <t>Total Sum of 02</t>
  </si>
  <si>
    <t>Total Sum of 03-05</t>
  </si>
  <si>
    <t>Total Sum of 06-10</t>
  </si>
  <si>
    <t>Total Sum of 11-15</t>
  </si>
  <si>
    <t>Total Sum of 16+</t>
  </si>
  <si>
    <t>no</t>
  </si>
  <si>
    <t>yes</t>
  </si>
  <si>
    <t>Total incidents is the sum of all fires, false alarms and non-fire incidents</t>
  </si>
  <si>
    <t>Non-SFRS Personnel</t>
  </si>
  <si>
    <t>Non-SFRS Personnel Fatal Casualties</t>
  </si>
  <si>
    <t>Non-SFRS Personnel Non-fatal Casualties</t>
  </si>
  <si>
    <t>Non-SFRS Personnel Non-Fatal Casualties</t>
  </si>
  <si>
    <t>Were alcohol/drugs a contributory factor to the fire?</t>
  </si>
  <si>
    <t>fatal casualties in 11 years</t>
  </si>
  <si>
    <t>Rate per 1,000 fires</t>
  </si>
  <si>
    <t>Average of Dwellings</t>
  </si>
  <si>
    <t>Mid 2016</t>
  </si>
  <si>
    <t>Sum of SpecialServiceFalseAlarms</t>
  </si>
  <si>
    <t>(formerly Fire Statistics, Scotland)</t>
  </si>
  <si>
    <t>Fire and Rescue Incident Statistics, Scotland</t>
  </si>
  <si>
    <t xml:space="preserve">For enquiries or feedback please contact - </t>
  </si>
  <si>
    <t>National.Statistics@firescotland.gov.uk</t>
  </si>
  <si>
    <t>Incidents that occurred during national industrial action in November 2002 and February 2003 are not included</t>
  </si>
  <si>
    <t>Non-fatal casualty data from 2009-10 onwards should not be compared to previous years. This is due to a change in the recording of non-fatal casualties. Please see Technical Notes on Statistics for more details.</t>
  </si>
  <si>
    <t>Extrication of Person(s)</t>
  </si>
  <si>
    <t>Release of Person(s)</t>
  </si>
  <si>
    <t xml:space="preserve">Effecting Entry or Exit </t>
  </si>
  <si>
    <t>Other Special Service</t>
  </si>
  <si>
    <t>Other Transport Incident</t>
  </si>
  <si>
    <t>Rescue or Evacuation from Water</t>
  </si>
  <si>
    <t>Other Rescue or Release of Persons</t>
  </si>
  <si>
    <t>Medical Incident: Co-responder or First responder</t>
  </si>
  <si>
    <t>Suicide and Suicide Attempts</t>
  </si>
  <si>
    <t>Hazardous Materials Incident</t>
  </si>
  <si>
    <t>Removal of Objects</t>
  </si>
  <si>
    <t>Animal Assistance Incidents</t>
  </si>
  <si>
    <t>No Action (not false alarm)</t>
  </si>
  <si>
    <t>Water Provision</t>
  </si>
  <si>
    <t>Assist Other Agencies</t>
  </si>
  <si>
    <t>Medical Incident - Co-responder or First responder</t>
  </si>
  <si>
    <t>Removal of Objects from People</t>
  </si>
  <si>
    <t>Warehouses and Bulk Storage</t>
  </si>
  <si>
    <t>Offices and Call Centres</t>
  </si>
  <si>
    <t>Public Admin, Security and Safety</t>
  </si>
  <si>
    <t>Hospitals and Medical Care</t>
  </si>
  <si>
    <t>Figures for primary fires prior to 2009-10 are based on sample data weighted to (former) Fire and Rescue Service totals.</t>
  </si>
  <si>
    <t>Outdoor Structures</t>
  </si>
  <si>
    <t>Outdoor Equipment and Machinery</t>
  </si>
  <si>
    <t>Grassland and Crops</t>
  </si>
  <si>
    <t>Other Transport Vehicle</t>
  </si>
  <si>
    <t>Derelict Buildings</t>
  </si>
  <si>
    <t>Intentional Straw or Stubble</t>
  </si>
  <si>
    <t>Small Rubbish Container 
(eg wheelie bin)</t>
  </si>
  <si>
    <t>Large Rubbish container
 (eg skip)</t>
  </si>
  <si>
    <t>Loose Rubbish Tip</t>
  </si>
  <si>
    <t>Refuse - Small Rubbish Container (eg wheelie bin)</t>
  </si>
  <si>
    <t>Refuse - Large Rubbish Container (eg skip)</t>
  </si>
  <si>
    <t>Refuse - Loose Rubbish Tip</t>
  </si>
  <si>
    <t>Burns and Overcome by Gas or Smoke</t>
  </si>
  <si>
    <t>Overcome by Gas, Smoke or Fumes</t>
  </si>
  <si>
    <t>Physical Injuries</t>
  </si>
  <si>
    <t>Other Specified</t>
  </si>
  <si>
    <t>Other/Not Known</t>
  </si>
  <si>
    <t>Shock Only</t>
  </si>
  <si>
    <t>"Other Specified" is an aggregate category including impalement, drowning, hypothermia, heat exhaustion, chest pain or heart condition or cardiac arrest, and other medical conditions.</t>
  </si>
  <si>
    <t>Precautionary Check Recommended</t>
  </si>
  <si>
    <t>First Aid Given at Scene</t>
  </si>
  <si>
    <t>Hospital Visit, Slight Injuries</t>
  </si>
  <si>
    <t>Hospital Visit, Serious Injuries</t>
  </si>
  <si>
    <t>"Other Specified"is an aggregate category including chocking, chest pain or heart condition or cardiac arrest, collapse, impalement, drowning, hypothermia, heat exhaustion, concussion, bruising, unconscious or fitting or unresponsive (with no other evident significant injury),  other medical conditions, and other breathing difficulties.</t>
  </si>
  <si>
    <t>Total Population</t>
  </si>
  <si>
    <t>Sum of Females</t>
  </si>
  <si>
    <t>Sum of Males</t>
  </si>
  <si>
    <t>who</t>
  </si>
  <si>
    <t>Figures before 2009-10 for primary fires are based on sample data weighted to (former) Fire and Rescue Service totals.</t>
  </si>
  <si>
    <t>The time of call presented here refers to the hour in which SFRS were first alerted to the incident determined by truncation i.e. a call received at 1:53am would be reported as 1am.</t>
  </si>
  <si>
    <t>The number of appliances presented here is the total number of appliances that attended an incident at any time and counts both Pumping Appliances and Arial Rescue Platforms.</t>
  </si>
  <si>
    <t>Late call incidents are excluded from these figures.</t>
  </si>
  <si>
    <t>"Other Specified"is an aggregate category including chocking, chest pain or heart condition or cardiac arrest, collapse, impalement, drowning, hypothermia, heat exhaustion, concussion, bruising, unconscious or fitting or unresponsive (with no other evident significant injury), other medical conditions, and other breathing difficulties.</t>
  </si>
  <si>
    <t>Fire and Rescue Incident Statistics - Tables and Charts</t>
  </si>
  <si>
    <t>Scottish Fire and Rescue Service</t>
  </si>
  <si>
    <t>Updates are published annually in this workbook.</t>
  </si>
  <si>
    <t>Please see the most recent Fire and Rescue Incident Statistics (Scotland) publication for commentary on the statistics included in this workbook.</t>
  </si>
  <si>
    <t>Please source statistics from the latest version of this workbook as figures may be revised.</t>
  </si>
  <si>
    <t>This series was formerly published by the Scottish Government as National Statistics, please see their website for publications prior to 2014-15.</t>
  </si>
  <si>
    <t>Incidents Attended Timeseries</t>
  </si>
  <si>
    <t>The FDR1(94) paper recording system was introduced January 1994 and was replaced at the start of 2009-10 by the Incident Recording System (IRS). This change resulted in discontinuities including in the non-fatal casualties timeseries.</t>
  </si>
  <si>
    <t>Headline Tables</t>
  </si>
  <si>
    <t>Back to Table of Contents</t>
  </si>
  <si>
    <t>Table code</t>
  </si>
  <si>
    <t>Update frequency</t>
  </si>
  <si>
    <t>Annual</t>
  </si>
  <si>
    <t>Revisions policy</t>
  </si>
  <si>
    <t>2009-10 till present are revised annually</t>
  </si>
  <si>
    <t>Total primary fires</t>
  </si>
  <si>
    <t>All figures revised annually</t>
  </si>
  <si>
    <t>LA Code</t>
  </si>
  <si>
    <t>S12000033</t>
  </si>
  <si>
    <t>S12000034</t>
  </si>
  <si>
    <t>S12000041</t>
  </si>
  <si>
    <t>S12000035</t>
  </si>
  <si>
    <t>S12000036</t>
  </si>
  <si>
    <t>S12000005</t>
  </si>
  <si>
    <t>S12000006</t>
  </si>
  <si>
    <t>S12000042</t>
  </si>
  <si>
    <t>S12000008</t>
  </si>
  <si>
    <t>S12000045</t>
  </si>
  <si>
    <t>S12000010</t>
  </si>
  <si>
    <t>S12000011</t>
  </si>
  <si>
    <t>S12000014</t>
  </si>
  <si>
    <t>S12000015</t>
  </si>
  <si>
    <t>S12000046</t>
  </si>
  <si>
    <t>S12000017</t>
  </si>
  <si>
    <t>S12000018</t>
  </si>
  <si>
    <t>S12000019</t>
  </si>
  <si>
    <t>S12000020</t>
  </si>
  <si>
    <t>S12000013</t>
  </si>
  <si>
    <t>S12000021</t>
  </si>
  <si>
    <t>S12000044</t>
  </si>
  <si>
    <t>S12000023</t>
  </si>
  <si>
    <t>S12000024</t>
  </si>
  <si>
    <t>S12000038</t>
  </si>
  <si>
    <t>S12000026</t>
  </si>
  <si>
    <t>S12000027</t>
  </si>
  <si>
    <t>S12000028</t>
  </si>
  <si>
    <t>S12000029</t>
  </si>
  <si>
    <t>S12000030</t>
  </si>
  <si>
    <t>S12000039</t>
  </si>
  <si>
    <t>S12000040</t>
  </si>
  <si>
    <t>City of Edinburgh</t>
  </si>
  <si>
    <t>S92000003</t>
  </si>
  <si>
    <t>2018-19</t>
  </si>
  <si>
    <t>Non-Fatal Casualties in Fires</t>
  </si>
  <si>
    <t>Non-Fatal Casualties in Fires - excluding precautionary check-ups</t>
  </si>
  <si>
    <t>Rate per 100,000 Dwellings</t>
  </si>
  <si>
    <t>Total Fire False Alarms</t>
  </si>
  <si>
    <t>Non-fatal casualty data from 2009-10 onwards should not be compared to previous years. This is due to a change in the recording of non-fatal casualties. Please see Guidance Notes on Statistics for more details.</t>
  </si>
  <si>
    <t>Great Britain Comparison Tables</t>
  </si>
  <si>
    <t>Sum of Fatal</t>
  </si>
  <si>
    <t>Sum of Fatalpm</t>
  </si>
  <si>
    <t>Sum of Nonfatal</t>
  </si>
  <si>
    <t>Sum of Nonfatalpm</t>
  </si>
  <si>
    <t>Sum of Totalfires</t>
  </si>
  <si>
    <t>Sum of Totalfirespm</t>
  </si>
  <si>
    <t>Sum of PrimaryFires</t>
  </si>
  <si>
    <t>Sum of PrimaryFirespm</t>
  </si>
  <si>
    <t>Sum of Population</t>
  </si>
  <si>
    <t>Sum of SecondaryFires</t>
  </si>
  <si>
    <t>Sum of SecondaryFirespm</t>
  </si>
  <si>
    <t>Sum of ChimneyFires</t>
  </si>
  <si>
    <t>Sum of ChimneyFirespm</t>
  </si>
  <si>
    <t>Sum of DwellingFires</t>
  </si>
  <si>
    <t>Sum of DwellingFirespm</t>
  </si>
  <si>
    <t>Sum of FireFalseAlarms</t>
  </si>
  <si>
    <t>Sum of FireFalseAlarmspm</t>
  </si>
  <si>
    <t>Sum of TotalIncidents</t>
  </si>
  <si>
    <t>Sum of TotalIncidentspm</t>
  </si>
  <si>
    <t>Sum of NonFireIncidentspm</t>
  </si>
  <si>
    <t>Sum of NonFireIncidents</t>
  </si>
  <si>
    <t>All Incidents</t>
  </si>
  <si>
    <t>All Fires</t>
  </si>
  <si>
    <t>Dwelling Fires</t>
  </si>
  <si>
    <t>Sum of Total_Primary_Fires</t>
  </si>
  <si>
    <t>Total Sum of Total_Primary_Fires</t>
  </si>
  <si>
    <t>Total Sum of Total_Fatal_Casulaties</t>
  </si>
  <si>
    <t>Sum of Total_Fatal_Casulaties</t>
  </si>
  <si>
    <t>Sum of Non_fatal Casualties Total</t>
  </si>
  <si>
    <t>Total Sum of Non_fatal Casualties Total</t>
  </si>
  <si>
    <t>Total Sum of Total_Secondary_Fires</t>
  </si>
  <si>
    <t>Sum of Total_Secondary_Fires</t>
  </si>
  <si>
    <t>Local Authority population estimates were produced by National Records Scotland and have been sourced from:</t>
  </si>
  <si>
    <t>Total Sum of Total_Fatal</t>
  </si>
  <si>
    <t>Total Sum of Male</t>
  </si>
  <si>
    <t>Total Sum of Female</t>
  </si>
  <si>
    <t>Total Sum of Not known</t>
  </si>
  <si>
    <t>Total Sum of Total_Nonfatal</t>
  </si>
  <si>
    <t>Total Sum of Not specified</t>
  </si>
  <si>
    <t>Fatal Casualties (Non SFRS Personnel)</t>
  </si>
  <si>
    <t>Non-Fatal Casualties (Non SFRS Personnel)</t>
  </si>
  <si>
    <t xml:space="preserve"> </t>
  </si>
  <si>
    <t>Total Sum of 0-16</t>
  </si>
  <si>
    <t>Non-fatal</t>
  </si>
  <si>
    <t>Dwelling: Fatal</t>
  </si>
  <si>
    <t>Dwelling: Nonfatal</t>
  </si>
  <si>
    <t>Dwelling: Primary fires</t>
  </si>
  <si>
    <t>Sum of 1Present, operated and raised the alarm</t>
  </si>
  <si>
    <t>Total Sum of 1Present, operated and raised the alarm</t>
  </si>
  <si>
    <t>Total Sum of 2Present, operated but did not raise the alarm</t>
  </si>
  <si>
    <t>Sum of 2Present, operated but did not raise the alarm</t>
  </si>
  <si>
    <t>Total Sum of 3Present but did not operate</t>
  </si>
  <si>
    <t>Sum of 3Present but did not operate</t>
  </si>
  <si>
    <t>Total Sum of 4Smoke alarm absent</t>
  </si>
  <si>
    <t>Sum of 4Smoke alarm absent</t>
  </si>
  <si>
    <t>Total Sum of 5Don't know if smoke alarm was present</t>
  </si>
  <si>
    <t>Sum of 5Don't know if smoke alarm was present</t>
  </si>
  <si>
    <t>Total Sum of Total</t>
  </si>
  <si>
    <t>Barbecue/Camping stove</t>
  </si>
  <si>
    <t>Cooking appliance</t>
  </si>
  <si>
    <t>Cooker incl. oven</t>
  </si>
  <si>
    <t>Deep fat fryer</t>
  </si>
  <si>
    <t>Grill/Toaster</t>
  </si>
  <si>
    <t>Microwave oven</t>
  </si>
  <si>
    <t>Ring/hot plate (separate appliance)</t>
  </si>
  <si>
    <t>Other cooking appliance</t>
  </si>
  <si>
    <t>Cigarette lighter</t>
  </si>
  <si>
    <t>Smoking materials</t>
  </si>
  <si>
    <t>Smoking related</t>
  </si>
  <si>
    <t>Naked flame</t>
  </si>
  <si>
    <t>Lighted paper or card, or other naked flame</t>
  </si>
  <si>
    <t>Electric lighting</t>
  </si>
  <si>
    <t>Fairy lights</t>
  </si>
  <si>
    <t>Fluorescent lights</t>
  </si>
  <si>
    <t>Other incandescent light bulbs</t>
  </si>
  <si>
    <t>Spot lights</t>
  </si>
  <si>
    <t>Other lights</t>
  </si>
  <si>
    <t>Apparatus - batteries, generators</t>
  </si>
  <si>
    <t>Electricity supply</t>
  </si>
  <si>
    <t>Wiring, cabling, plugs</t>
  </si>
  <si>
    <t>Fuel/Chemical</t>
  </si>
  <si>
    <t>Gases/Flammable chemicals</t>
  </si>
  <si>
    <t>Liquids; petrol/oil related</t>
  </si>
  <si>
    <t>Solids; coal, coke, wood, card</t>
  </si>
  <si>
    <t>Heating equipment</t>
  </si>
  <si>
    <t>Central heating/Hot water</t>
  </si>
  <si>
    <t>Heating/Fire</t>
  </si>
  <si>
    <t>Power Source</t>
  </si>
  <si>
    <t>Separate water heating</t>
  </si>
  <si>
    <t>Other domestic style appliance</t>
  </si>
  <si>
    <t>Audio equipment</t>
  </si>
  <si>
    <t>Battery charger</t>
  </si>
  <si>
    <t>Blow lamp/Paint remover</t>
  </si>
  <si>
    <t>Dishwasher</t>
  </si>
  <si>
    <t>Electric blanket</t>
  </si>
  <si>
    <t>Electric kettle</t>
  </si>
  <si>
    <t>Extractor fan</t>
  </si>
  <si>
    <t>Fridge/Freezer</t>
  </si>
  <si>
    <t>Hair dryer</t>
  </si>
  <si>
    <t>Iron</t>
  </si>
  <si>
    <t>PC equipment (domestic use)</t>
  </si>
  <si>
    <t>Spin dryer</t>
  </si>
  <si>
    <t>Trouser press</t>
  </si>
  <si>
    <t>Tumble dryer</t>
  </si>
  <si>
    <t>TV</t>
  </si>
  <si>
    <t>Vacuum cleaner</t>
  </si>
  <si>
    <t>Video/DVD</t>
  </si>
  <si>
    <t>Washer/Dryer combined</t>
  </si>
  <si>
    <t>Washing machine</t>
  </si>
  <si>
    <t>Natural occurrence</t>
  </si>
  <si>
    <t>Industrial equipment</t>
  </si>
  <si>
    <t>Welding/Cutting equipment</t>
  </si>
  <si>
    <t>Total Sum of 1:Yes</t>
  </si>
  <si>
    <t>Total Sum of 2:No</t>
  </si>
  <si>
    <t>Total Sum of 3:Not Known</t>
  </si>
  <si>
    <t>Mid 2017</t>
  </si>
  <si>
    <t>Mid 2001</t>
  </si>
  <si>
    <t>Mid 2002</t>
  </si>
  <si>
    <t>Mid 2003</t>
  </si>
  <si>
    <t>Mid 2004</t>
  </si>
  <si>
    <t>Mid 2005</t>
  </si>
  <si>
    <t>Mid 2006</t>
  </si>
  <si>
    <t>Mid 2018</t>
  </si>
  <si>
    <t>Expr1000</t>
  </si>
  <si>
    <t>Dwelling</t>
  </si>
  <si>
    <t>Sum of 1Confined to the item</t>
  </si>
  <si>
    <t>Total Sum of 1Confined to the item</t>
  </si>
  <si>
    <t>Total Sum of 2Beyond item but limited to room</t>
  </si>
  <si>
    <t>Sum of 2Beyond item but limited to room</t>
  </si>
  <si>
    <t>Total Sum of 3Elsewhere in building</t>
  </si>
  <si>
    <t>Sum of 3Elsewhere in building</t>
  </si>
  <si>
    <t>Total Sum of 5Not applicable</t>
  </si>
  <si>
    <t>Sum of 5Not applicable</t>
  </si>
  <si>
    <t>Total Sum of 6Smoke and/or Heat damage only</t>
  </si>
  <si>
    <t>Sum of 6Smoke and/or Heat damage only</t>
  </si>
  <si>
    <t>Outdoor</t>
  </si>
  <si>
    <t>Sum of 0</t>
  </si>
  <si>
    <t>Total Sum of 0</t>
  </si>
  <si>
    <t>Total Sum of 1</t>
  </si>
  <si>
    <t>Sum of 1</t>
  </si>
  <si>
    <t>Total Sum of 2</t>
  </si>
  <si>
    <t>Sum of 2</t>
  </si>
  <si>
    <t>Total Sum of 3</t>
  </si>
  <si>
    <t>Sum of 3</t>
  </si>
  <si>
    <t>Total Sum of 4</t>
  </si>
  <si>
    <t>Sum of 4</t>
  </si>
  <si>
    <t>Total Sum of 5</t>
  </si>
  <si>
    <t>Sum of 5</t>
  </si>
  <si>
    <t>Total Sum of 6</t>
  </si>
  <si>
    <t>Sum of 6</t>
  </si>
  <si>
    <t>Total Sum of 7</t>
  </si>
  <si>
    <t>Sum of 7</t>
  </si>
  <si>
    <t>Total Sum of 8</t>
  </si>
  <si>
    <t>Sum of 8</t>
  </si>
  <si>
    <t>Total Sum of 9</t>
  </si>
  <si>
    <t>Sum of 9</t>
  </si>
  <si>
    <t>Total Sum of 10</t>
  </si>
  <si>
    <t>Sum of 10</t>
  </si>
  <si>
    <t>Total Sum of 11</t>
  </si>
  <si>
    <t>Sum of 11</t>
  </si>
  <si>
    <t>Total Sum of 12</t>
  </si>
  <si>
    <t>Sum of 12</t>
  </si>
  <si>
    <t>Total Sum of 13</t>
  </si>
  <si>
    <t>Sum of 13</t>
  </si>
  <si>
    <t>Total Sum of 14</t>
  </si>
  <si>
    <t>Sum of 14</t>
  </si>
  <si>
    <t>Total Sum of 15</t>
  </si>
  <si>
    <t>Sum of 15</t>
  </si>
  <si>
    <t>Total Sum of 16</t>
  </si>
  <si>
    <t>Sum of 16</t>
  </si>
  <si>
    <t>Total Sum of 17</t>
  </si>
  <si>
    <t>Sum of 17</t>
  </si>
  <si>
    <t>Total Sum of 18</t>
  </si>
  <si>
    <t>Sum of 18</t>
  </si>
  <si>
    <t>Total Sum of 19</t>
  </si>
  <si>
    <t>Sum of 19</t>
  </si>
  <si>
    <t>Total Sum of 20</t>
  </si>
  <si>
    <t>Sum of 20</t>
  </si>
  <si>
    <t>Total Sum of 21</t>
  </si>
  <si>
    <t>Sum of 21</t>
  </si>
  <si>
    <t>Total Sum of 22</t>
  </si>
  <si>
    <t>Sum of 22</t>
  </si>
  <si>
    <t>Total Sum of 23</t>
  </si>
  <si>
    <t>Sum of 23</t>
  </si>
  <si>
    <t>Dwelling Fires - Time of Call</t>
  </si>
  <si>
    <t>Other Building Fires - Time of Call</t>
  </si>
  <si>
    <t>All Year Average</t>
  </si>
  <si>
    <t>Non-Fatal Casualties in Dwelling Fires</t>
  </si>
  <si>
    <t>Rate of Non-fatal Casualties per 1,000 Dwelling Fires</t>
  </si>
  <si>
    <t>Rescued (rescue without injury)</t>
  </si>
  <si>
    <t>Fires by Motive</t>
  </si>
  <si>
    <t>Accidental Fires</t>
  </si>
  <si>
    <t>Deliberate Fires</t>
  </si>
  <si>
    <t>Accidental Total</t>
  </si>
  <si>
    <t>Deliberate Total</t>
  </si>
  <si>
    <t>Primary1:Dwelling</t>
  </si>
  <si>
    <t>Primary2:Other Buildings</t>
  </si>
  <si>
    <t>Primary3:Road Vehicle</t>
  </si>
  <si>
    <t>Primary4:Others</t>
  </si>
  <si>
    <t>Sum of Expr1004</t>
  </si>
  <si>
    <t>1:Dwelling</t>
  </si>
  <si>
    <t>10 Year Average</t>
  </si>
  <si>
    <t>0-4</t>
  </si>
  <si>
    <t>5-16</t>
  </si>
  <si>
    <t>30-39</t>
  </si>
  <si>
    <t>40-49</t>
  </si>
  <si>
    <t>50-59</t>
  </si>
  <si>
    <t>60-69</t>
  </si>
  <si>
    <t>70-79</t>
  </si>
  <si>
    <t>80-89</t>
  </si>
  <si>
    <t>90+</t>
  </si>
  <si>
    <t>Sum of a.0-16</t>
  </si>
  <si>
    <t>Sum of a.17-29</t>
  </si>
  <si>
    <t>Sum of a.30-59</t>
  </si>
  <si>
    <t>Sum of a.60+</t>
  </si>
  <si>
    <t>Average of Total</t>
  </si>
  <si>
    <t>Average of b.0-16</t>
  </si>
  <si>
    <t>Average of b.17-29</t>
  </si>
  <si>
    <t>Average of b.30-59</t>
  </si>
  <si>
    <t>Average of b.60+</t>
  </si>
  <si>
    <t>(blank)</t>
  </si>
  <si>
    <t>Secondary Total</t>
  </si>
  <si>
    <t>2:Other Buildings</t>
  </si>
  <si>
    <t>3:Road Vehicle</t>
  </si>
  <si>
    <t>4:Others</t>
  </si>
  <si>
    <t>Fire alarm due to Apparatus</t>
  </si>
  <si>
    <t>Good Intent false alarm</t>
  </si>
  <si>
    <t>Malicious False Alarm</t>
  </si>
  <si>
    <t>1:Dwelling Total</t>
  </si>
  <si>
    <t>2:Other Buildings Total</t>
  </si>
  <si>
    <t>3:Road Vehicle Total</t>
  </si>
  <si>
    <t>4:Others Total</t>
  </si>
  <si>
    <t>Fire alarm due to Apparatus Total</t>
  </si>
  <si>
    <t>Good Intent false alarm Total</t>
  </si>
  <si>
    <t>Malicious False Alarm Total</t>
  </si>
  <si>
    <t>Average of pop</t>
  </si>
  <si>
    <t>Max of pop</t>
  </si>
  <si>
    <t>Other Primary Fire</t>
  </si>
  <si>
    <t>HAVENT USED THIS ONE:</t>
  </si>
  <si>
    <t>Incidents Attended by Urban Rural Index</t>
  </si>
  <si>
    <t>2009-04</t>
  </si>
  <si>
    <t>2009-05</t>
  </si>
  <si>
    <t>2009-06</t>
  </si>
  <si>
    <t>2009-07</t>
  </si>
  <si>
    <t>2009-08</t>
  </si>
  <si>
    <t>2009-09</t>
  </si>
  <si>
    <t>2009-11</t>
  </si>
  <si>
    <t>2009-12</t>
  </si>
  <si>
    <t>2010-01</t>
  </si>
  <si>
    <t>2010-02</t>
  </si>
  <si>
    <t>2010-03</t>
  </si>
  <si>
    <t>2010-04</t>
  </si>
  <si>
    <t>2010-05</t>
  </si>
  <si>
    <t>2010-06</t>
  </si>
  <si>
    <t>2010-07</t>
  </si>
  <si>
    <t>2010-08</t>
  </si>
  <si>
    <t>2010-09</t>
  </si>
  <si>
    <t>2010-10</t>
  </si>
  <si>
    <t>2010-12</t>
  </si>
  <si>
    <t>2011-01</t>
  </si>
  <si>
    <t>2011-02</t>
  </si>
  <si>
    <t>2011-03</t>
  </si>
  <si>
    <t>2011-04</t>
  </si>
  <si>
    <t>2011-05</t>
  </si>
  <si>
    <t>2011-06</t>
  </si>
  <si>
    <t>2011-07</t>
  </si>
  <si>
    <t>2011-08</t>
  </si>
  <si>
    <t>2011-09</t>
  </si>
  <si>
    <t>2011-10</t>
  </si>
  <si>
    <t>2011-11</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</si>
  <si>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</si>
  <si>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</si>
  <si>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</si>
  <si>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</si>
  <si>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</si>
  <si>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</si>
  <si>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</si>
  <si>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</si>
  <si>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</si>
  <si>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</si>
  <si>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</si>
  <si>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</si>
  <si>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</si>
  <si>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</si>
  <si>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</si>
  <si>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</si>
  <si>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</si>
  <si>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</si>
  <si>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</si>
  <si>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</si>
  <si>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</si>
  <si>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</si>
  <si>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</si>
  <si>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</si>
  <si>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</si>
  <si>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</si>
  <si>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</si>
  <si>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</si>
  <si>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</si>
  <si>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</si>
  <si>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</si>
  <si>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</si>
  <si>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</si>
  <si>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</si>
  <si>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</si>
  <si>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</si>
  <si>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</si>
  <si>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</si>
  <si>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</si>
  <si>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</si>
  <si>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</si>
  <si>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</si>
  <si>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</si>
  <si>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</si>
  <si>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</si>
  <si>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</si>
  <si>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</si>
  <si>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</si>
  <si>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</si>
  <si>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</si>
  <si>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</si>
  <si>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</si>
  <si>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</si>
  <si>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</si>
  <si>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</si>
  <si>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</si>
  <si>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</si>
  <si>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</si>
  <si>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</si>
  <si>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</si>
  <si>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</si>
  <si>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</si>
  <si>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</si>
  <si>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</si>
  <si>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</si>
  <si>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</si>
  <si>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</si>
  <si>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</si>
  <si>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</si>
  <si>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</si>
  <si>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</si>
  <si>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</si>
  <si>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</si>
  <si>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</si>
  <si>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</si>
  <si>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</si>
  <si>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</si>
  <si>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</si>
  <si>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</si>
  <si>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</si>
  <si>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</si>
  <si>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</si>
  <si>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</si>
  <si>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</si>
  <si>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</si>
  <si>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</si>
  <si>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</si>
  <si>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Sum of Expr1007</t>
  </si>
  <si>
    <t>Rescued and not injured</t>
  </si>
  <si>
    <t>Total Fatal Casualties</t>
  </si>
  <si>
    <t>Non-fire Casualties</t>
  </si>
  <si>
    <t>Total Non-fatal Casualties</t>
  </si>
  <si>
    <t>Exprecautionary Total</t>
  </si>
  <si>
    <t>Fatality Total</t>
  </si>
  <si>
    <t>Injured (incl. rescue with injury) Total</t>
  </si>
  <si>
    <t>Pub_level_type_o</t>
  </si>
  <si>
    <t>Sum of None</t>
  </si>
  <si>
    <t>Total Sum of None</t>
  </si>
  <si>
    <t>Total Sum of Up to 5</t>
  </si>
  <si>
    <t>Sum of Up to 5</t>
  </si>
  <si>
    <t>Total Sum of Over 20</t>
  </si>
  <si>
    <t>Sum of Over 20</t>
  </si>
  <si>
    <t>None</t>
  </si>
  <si>
    <t>6 - 10</t>
  </si>
  <si>
    <t>11 - 20</t>
  </si>
  <si>
    <t>Over 20</t>
  </si>
  <si>
    <t>1 - Most Deprived 20%</t>
  </si>
  <si>
    <t>5 - Least Deprived 20%</t>
  </si>
  <si>
    <t>1 - Large Urban Areas</t>
  </si>
  <si>
    <t>2 - Other Urban Areas</t>
  </si>
  <si>
    <t>3 - Accessible Small Towns</t>
  </si>
  <si>
    <t>4 - Remote Small Towns</t>
  </si>
  <si>
    <t>5 - Accessible Rural</t>
  </si>
  <si>
    <t>6 - Remote Rural</t>
  </si>
  <si>
    <t>Total Fatal</t>
  </si>
  <si>
    <t>Fatal caused by fire</t>
  </si>
  <si>
    <t>Fatal not caused by fire</t>
  </si>
  <si>
    <t>Fires by Location and Local Authority - Rate per 100,000 Population</t>
  </si>
  <si>
    <t>Fires by Location and Local Authority</t>
  </si>
  <si>
    <t>Casualties from Accidental Dwelling Fires by Local Authority</t>
  </si>
  <si>
    <t>Fire False Alarms by Local Authority</t>
  </si>
  <si>
    <t>Fire False Alarms by Local Authority - Rate per 100,000 Population</t>
  </si>
  <si>
    <t>Fire False Alarms by Intent and Location</t>
  </si>
  <si>
    <t>Non-fire False Alarms</t>
  </si>
  <si>
    <t>Non-fire False Alarms by Local Authority</t>
  </si>
  <si>
    <t>Casualties from Non-fire Incidents</t>
  </si>
  <si>
    <t>Non-fire Incidents by Incident Type</t>
  </si>
  <si>
    <t>Non-fire Incidents by Incident Type and Local Authority</t>
  </si>
  <si>
    <t>Non-fire Incidents by Incident Type and Local Authority - Rate per 100,000 Population</t>
  </si>
  <si>
    <t>Road Traffic Collision Incidents by Action Required</t>
  </si>
  <si>
    <t>Flooding Incidents by Action Required</t>
  </si>
  <si>
    <t>Building Fires by Location</t>
  </si>
  <si>
    <t>Building Fires by Location and Local Authority</t>
  </si>
  <si>
    <t>Primary Outdoor Fires by Location and Local Authority</t>
  </si>
  <si>
    <t>Secondary Outdoor Fires by Location and Local Authority</t>
  </si>
  <si>
    <t>Incidents Attended by Nation - Rate per million Population</t>
  </si>
  <si>
    <t>Fire Incidents Attended by Nation - Rate per million Population</t>
  </si>
  <si>
    <t>Casualties from Fires by Nation - Rate per million Population</t>
  </si>
  <si>
    <t>Fires by Motive and Local Authority</t>
  </si>
  <si>
    <t>Dwelling Fires by Motive and Local Authority - Rate per 100,000 Dwellings</t>
  </si>
  <si>
    <t>Fire Casualties by Location</t>
  </si>
  <si>
    <t>Fire Casualties by Location - Rate per 1,000 Fires</t>
  </si>
  <si>
    <t>Non-fatal Casualties in Dwelling Fires by Motive - Rate per 1,000 fires</t>
  </si>
  <si>
    <t>Casualties in Fires by Motive and Local Authority</t>
  </si>
  <si>
    <t>Primary Fires by Motive and Local Authority - Rate per 100,000 Population</t>
  </si>
  <si>
    <t>Secondary Fires by Location and Motive</t>
  </si>
  <si>
    <t>Secondary Fires by Location and Motive, by Local Authority</t>
  </si>
  <si>
    <t>Secondary Fires by Motive and Local Authority - Rate per 100,000 Population</t>
  </si>
  <si>
    <t>Non-fatal Casualties in Fires by Nature of Treatment</t>
  </si>
  <si>
    <t>Non-fatal Casualties in Dwelling Fires by Nature of Treatment</t>
  </si>
  <si>
    <t>Non-fatal Casualties in Dwelling Fires by Nature of Treatment - Rate per 1,000 Dwelling Fires</t>
  </si>
  <si>
    <t>Casualties in Fires by Location and Motive</t>
  </si>
  <si>
    <t>Casualties in Fires by Gender</t>
  </si>
  <si>
    <t>Non-fatal Casualties in Fires by Gender and Nature of Treatment</t>
  </si>
  <si>
    <t>Non-fatal Casualties in Fires by Gender and Nature of Treatment - Rate per million Population</t>
  </si>
  <si>
    <t>Casualties in Fires by Gender - Rate per Million Population</t>
  </si>
  <si>
    <t>Fatal Casualties in Fires by Gender and Type of Injury - Rate per Million Population</t>
  </si>
  <si>
    <t>Non-fatal Casualties in Fires by Gender and Type of Injury - Rate per Million Population</t>
  </si>
  <si>
    <t>Fatal Casualties in Fires by Gender and Type of Injury</t>
  </si>
  <si>
    <t>Non-fatal Casualties in Fires by Gender and Type of Injury</t>
  </si>
  <si>
    <t>Casualties in Fires by Age</t>
  </si>
  <si>
    <t>Non-fatal Casualties in Fires by Age and Type of Injury</t>
  </si>
  <si>
    <t>Fatal Casualties in Fires by Age and Type of Injury</t>
  </si>
  <si>
    <t>Non-fatal Casualties in Fires by Age and Nature of Treatment</t>
  </si>
  <si>
    <t>Casualties in Fires by Age (Non-SFRS Personnel) - Rate per Million Population</t>
  </si>
  <si>
    <t>Fatal Casualties (Non-SFRS Personnel)</t>
  </si>
  <si>
    <t>Non-Fatal Casualties (Non-SFRS Personnel)</t>
  </si>
  <si>
    <t>Fatal Casualties in Fires by Age by Type of Injury (Non-SFRS Personnel) - Rate per Million Population</t>
  </si>
  <si>
    <t>Non-fatal Casualties in Fires by Age by Type of Injury (Non-SFRS Personnel) - Rate per Million Population</t>
  </si>
  <si>
    <t>Non-fatal Casualties in Fires by Age and Nature of Treatment (Non SFRS Personnel) - Rate per Million Population</t>
  </si>
  <si>
    <t>Rescues from Fire</t>
  </si>
  <si>
    <t>Rescues from Fire by Age</t>
  </si>
  <si>
    <t>Rescues from Fires by Age - Rate per Million Population</t>
  </si>
  <si>
    <t>Dwelling Fires and Casualties by the Presence and Operation of Smoke Alarms</t>
  </si>
  <si>
    <t>Dwelling Fires and Casualties by the Presence and Operation of Smoke Alarms, by Local Authority</t>
  </si>
  <si>
    <t>Dwelling Fires by Reason for Non-operation of Smoke Alarms</t>
  </si>
  <si>
    <t>Accidental Dwelling Fires by Suspected Alcohol or Drug Impairment as a Contributory Factor</t>
  </si>
  <si>
    <t>Accidental Dwelling Fires by Suspected Alcohol or Drug Impairment as a Contributory Factor, by Local Authority</t>
  </si>
  <si>
    <t>Casualties from Accidental Dwelling Fires where Suspected Alcohol/Drug use was a Contributory Factor to the Fire</t>
  </si>
  <si>
    <t>Casualties from Accidental Dwelling Fires where Suspected Alcohol/Drug use was a Contributory Factor to the Fire - Rate per 1,000 Fires</t>
  </si>
  <si>
    <t>Building Fires by Spread of Fire</t>
  </si>
  <si>
    <t>Building Fires by Area of Damage</t>
  </si>
  <si>
    <t>Fires by Appliances in Attendance</t>
  </si>
  <si>
    <t>Fires by Appliances in Attendance, by Local Authority</t>
  </si>
  <si>
    <t>Casualties in Dwelling Fires by Time of Call - Number and Rate per 1,000 Fires</t>
  </si>
  <si>
    <t>Incidents Attended by Scottish Index of Multiple Deprivation Quintile</t>
  </si>
  <si>
    <t>Incidents Attended by Scottish Index of Multiple Deprivation Quintile - Rate per Million Population</t>
  </si>
  <si>
    <t>Casualties in Fires by Scottish Index of Multiple Deprivation Quintile</t>
  </si>
  <si>
    <t>Casualties in Fires by Scottish Index of Multiple Deprivation Quintile - Rate per Million Population</t>
  </si>
  <si>
    <t>Incidents Attended by Urban Rural Index - Rate per Million Population</t>
  </si>
  <si>
    <t>Casualties in Fires by Urban Rural Index</t>
  </si>
  <si>
    <t>Casualties in Fires by Urban Rural Index - Rate per Million Population</t>
  </si>
  <si>
    <t>Casualties by Location and Local Authority</t>
  </si>
  <si>
    <t>Percentage of Deliberate Fires</t>
  </si>
  <si>
    <t>https://www.nrscotland.gov.uk/statistics-and-data/statistics/statistics-by-theme/households/household-estimates/</t>
  </si>
  <si>
    <t>https://www.nrscotland.gov.uk/statistics-and-data/statistics/statistics-by-theme/population/population-estimates/mid-year-population-estimates/</t>
  </si>
  <si>
    <t>Casualties from fires by age</t>
  </si>
  <si>
    <t>Table 16: Fatal casualties from fires by age, 2007-08 to 2017-18</t>
  </si>
  <si>
    <t>Table 16a: Non-fatal casualties from fires by age, 2007-08 to 2017-18</t>
  </si>
  <si>
    <t xml:space="preserve">Fatal Casualties </t>
  </si>
  <si>
    <t xml:space="preserve">Non-fatal Casualties </t>
  </si>
  <si>
    <t>Gender Scotland</t>
  </si>
  <si>
    <t>Age Scotland</t>
  </si>
  <si>
    <t>Summary Table</t>
  </si>
  <si>
    <t>Full Table</t>
  </si>
  <si>
    <r>
      <t>Up to 5 m</t>
    </r>
    <r>
      <rPr>
        <b/>
        <vertAlign val="superscript"/>
        <sz val="10"/>
        <rFont val="Arial"/>
        <family val="2"/>
      </rPr>
      <t>2</t>
    </r>
  </si>
  <si>
    <t>Primary Fires in Dwellings (excluding smoke or heat damage)</t>
  </si>
  <si>
    <t>Primary Fires in Other Buildings (excluding smoke or heat damage)</t>
  </si>
  <si>
    <t>It is possible for secondary fires to have more than 5 appliances recorded  in attendace as these can be non-consecutive and so do not meet the criteria for primary fires.</t>
  </si>
  <si>
    <t>All figures for years after 2009-10 are revised annually</t>
  </si>
  <si>
    <t>Scottish Population</t>
  </si>
  <si>
    <t>Scottish Index of Multiple Deprivation Quintile Populations</t>
  </si>
  <si>
    <r>
      <t xml:space="preserve">Non-fatal Casualties </t>
    </r>
    <r>
      <rPr>
        <b/>
        <sz val="10"/>
        <rFont val="Arial"/>
        <family val="2"/>
      </rPr>
      <t>(excluding precautionary check)</t>
    </r>
  </si>
  <si>
    <t>VICTIM_TYPE_DESCRIPTION</t>
  </si>
  <si>
    <t>Scottish Urban Rural 6 Fold Populations</t>
  </si>
  <si>
    <t>Average of 17-29</t>
  </si>
  <si>
    <t>Average of 0-16</t>
  </si>
  <si>
    <t>Average of 30-59</t>
  </si>
  <si>
    <t>Total Rescues</t>
  </si>
  <si>
    <t>Mid Year Population Estimates Scotland</t>
  </si>
  <si>
    <t>Mid Year Population Estimates Local Authority and Nation</t>
  </si>
  <si>
    <t>Non-fatal Casualties in Fires by Motive and Local Authority - Rate per 1,000 fires</t>
  </si>
  <si>
    <t>Table of Contents</t>
  </si>
  <si>
    <t>Click on a hyperlink to select the corresponding worksheet</t>
  </si>
  <si>
    <t>Topic</t>
  </si>
  <si>
    <t>Metric</t>
  </si>
  <si>
    <t>Link</t>
  </si>
  <si>
    <t>Code</t>
  </si>
  <si>
    <t>link</t>
  </si>
  <si>
    <t>Sum</t>
  </si>
  <si>
    <t>Gender</t>
  </si>
  <si>
    <t>Fire Tables</t>
  </si>
  <si>
    <t>False Alarm Tables</t>
  </si>
  <si>
    <t>Non-fire Incident Tables</t>
  </si>
  <si>
    <t>Non-fire Casualty Table</t>
  </si>
  <si>
    <t>Fire Casualty Tables</t>
  </si>
  <si>
    <t>Area Comparisons</t>
  </si>
  <si>
    <t>Reference Tables</t>
  </si>
  <si>
    <t>GB Comparison Tables</t>
  </si>
  <si>
    <t>Area Comparison Tables</t>
  </si>
  <si>
    <t>Incidents Timeseries</t>
  </si>
  <si>
    <t>Casualties Timeseries</t>
  </si>
  <si>
    <t>Location</t>
  </si>
  <si>
    <t>Rate of Population</t>
  </si>
  <si>
    <t>Building Fires</t>
  </si>
  <si>
    <t>Sublocation</t>
  </si>
  <si>
    <t>Spread of Fire</t>
  </si>
  <si>
    <t>Area of Damage</t>
  </si>
  <si>
    <t>Motive</t>
  </si>
  <si>
    <t>Sum &amp; Rate of Dwellings</t>
  </si>
  <si>
    <t>Smoke Alarms</t>
  </si>
  <si>
    <t>Sum &amp; Percentage</t>
  </si>
  <si>
    <t>Reason for Non-operation</t>
  </si>
  <si>
    <t>Source of Ignition</t>
  </si>
  <si>
    <t>Impairment by Alcohol/Drugs</t>
  </si>
  <si>
    <t>Outdoor Fires</t>
  </si>
  <si>
    <t>Outdoor Fires - Primary</t>
  </si>
  <si>
    <t>Outdoor Fires - Secondary</t>
  </si>
  <si>
    <t>Appliances in Attendance</t>
  </si>
  <si>
    <t>Time of Call</t>
  </si>
  <si>
    <t>Intent</t>
  </si>
  <si>
    <t>Incident Type</t>
  </si>
  <si>
    <t>Road Traffic Collision</t>
  </si>
  <si>
    <t>Action Required</t>
  </si>
  <si>
    <t>Casualties in Non-fire Incidents</t>
  </si>
  <si>
    <t>Casualties in Fires</t>
  </si>
  <si>
    <t>Rate of Fires</t>
  </si>
  <si>
    <t>Sum &amp; Rate of Fires</t>
  </si>
  <si>
    <t>Type of Injury</t>
  </si>
  <si>
    <t>Age</t>
  </si>
  <si>
    <t>Deprivation (SIMD)</t>
  </si>
  <si>
    <t>Incidents Attended</t>
  </si>
  <si>
    <t>Urban Rural Index</t>
  </si>
  <si>
    <t>Casualties</t>
  </si>
  <si>
    <t>Great Britain</t>
  </si>
  <si>
    <t>Nations</t>
  </si>
  <si>
    <t>Sum &amp; Rate of Population</t>
  </si>
  <si>
    <t>1a</t>
  </si>
  <si>
    <t>1b</t>
  </si>
  <si>
    <t>8a</t>
  </si>
  <si>
    <t>3b</t>
  </si>
  <si>
    <t>19a</t>
  </si>
  <si>
    <t>19b</t>
  </si>
  <si>
    <t>21a</t>
  </si>
  <si>
    <t>9a</t>
  </si>
  <si>
    <t>9b</t>
  </si>
  <si>
    <t>11a</t>
  </si>
  <si>
    <t>23a</t>
  </si>
  <si>
    <t>13a</t>
  </si>
  <si>
    <t>13b</t>
  </si>
  <si>
    <t>4a</t>
  </si>
  <si>
    <t>4b</t>
  </si>
  <si>
    <t>4c</t>
  </si>
  <si>
    <t>5a</t>
  </si>
  <si>
    <t>6a</t>
  </si>
  <si>
    <t>6b</t>
  </si>
  <si>
    <t>6c</t>
  </si>
  <si>
    <t>6d</t>
  </si>
  <si>
    <t>2a</t>
  </si>
  <si>
    <t>2b</t>
  </si>
  <si>
    <t>12a</t>
  </si>
  <si>
    <t>3a</t>
  </si>
  <si>
    <t>21b</t>
  </si>
  <si>
    <t>21c</t>
  </si>
  <si>
    <t>14e</t>
  </si>
  <si>
    <t>14f</t>
  </si>
  <si>
    <t>14g</t>
  </si>
  <si>
    <t>14d</t>
  </si>
  <si>
    <t>15d</t>
  </si>
  <si>
    <t>14b</t>
  </si>
  <si>
    <t>14c</t>
  </si>
  <si>
    <t>15b</t>
  </si>
  <si>
    <t>15c</t>
  </si>
  <si>
    <t>16b</t>
  </si>
  <si>
    <t>17b</t>
  </si>
  <si>
    <t>16c</t>
  </si>
  <si>
    <t>17c</t>
  </si>
  <si>
    <t>16d</t>
  </si>
  <si>
    <t>17d</t>
  </si>
  <si>
    <t>18a</t>
  </si>
  <si>
    <t>18b</t>
  </si>
  <si>
    <t>10b</t>
  </si>
  <si>
    <t>For figures prior to 2009-10 please see the Casualties Timeseries Table</t>
  </si>
  <si>
    <t xml:space="preserve">Several of the tables use population and dwellings estimates to derive incident rates.  The population and dwellings estimates are shown at the first time of use and are also contained in the Reference Tables of the workbook. They have not been repeated throughout the tables to avoid unneccessary repetition.  </t>
  </si>
  <si>
    <t>In April 2012 there was an upgrade to the Incident Recording System which changed some of the incident subcategories. Values in the greyed areas are provided for correct aggregation only.</t>
  </si>
  <si>
    <t>11b</t>
  </si>
  <si>
    <t>In 2019 we changed our approach to revisions; we now revise all statistics after 2009-10 at each publication as these are based on the Incident Recording System records which is a live data system.</t>
  </si>
  <si>
    <t>For figures prior to 2009-10 please see the Incidents Attended Timeseries</t>
  </si>
  <si>
    <t>Population estimates were produced by National Records Scotland and published at:</t>
  </si>
  <si>
    <t>Dwelling estimates were produced by National Records of Scotland and published at:</t>
  </si>
  <si>
    <t>For statistics on casualties in fires where alcohol/drugs is recorded as a contributory factor, please use the following link:</t>
  </si>
  <si>
    <t>Casualties in Fires &gt; Accidental Dwelling Fires &gt; Impairment by Alcohol/Drugs</t>
  </si>
  <si>
    <t>Please see the Reference Tables for population figures.</t>
  </si>
  <si>
    <t>Notes</t>
  </si>
  <si>
    <t>We intend to review the publication of this table next year, please let us know if you statistics on casualties by motive of the fire at Local Authority level.</t>
  </si>
  <si>
    <t>For statistics on fires where alcohol/drugs is recorded as a contributory factor, please use the following link:</t>
  </si>
  <si>
    <t>Population estimates were produced by National Records Scotland and have been sourced from:</t>
  </si>
  <si>
    <t>A small number of incidents have not yet been sucessfully coded to datazone geographies and are presented in the 'Unknown' column.</t>
  </si>
  <si>
    <t>For details on the Scottish Index of Multiple Deprivation please see:</t>
  </si>
  <si>
    <t>https://www2.gov.scot/Topics/Statistics/About/Methodology/UrbanRuralClassification</t>
  </si>
  <si>
    <t>https://www.nrscotland.gov.uk/statistics-and-data/statistics/statistics-by-theme/population/population-estimates/2011-based-special-area-population-estimates/small-area-population-estimates</t>
  </si>
  <si>
    <t>Local Area population estimates were produced by National Records Scotland and have been sourced from:</t>
  </si>
  <si>
    <t>Please note that non-fire false alarms are included in the all incidents total but not provided as break down</t>
  </si>
  <si>
    <t>The introduction of the Incident Recording System in April 2009-10 caused a discontinuity in non-fatal casualty statistics, we therefore do not present these figures in comparisons</t>
  </si>
  <si>
    <t>Urban Rural and SIMD Quintile populations were aggregated from local area population figures published by National Records Scotland here:</t>
  </si>
  <si>
    <t>Welsh Fire Statistics were sourced from:
https://gov.wales/statistics-and-research/fire-statistics/?lang=en
Nation Population Statistics were sourced from:
https://www.ons.gov.uk/peoplepopulationandcommunity/populationandmigration/populationestimates
English Fire Statistics were sourced from:
https://www.gov.uk/government/statistical-data-sets/fire-statistics-data-tables
Scottish Population Statistics were sourced from:
https://www.nrscotland.gov.uk/statistics-and-data/statistics/statistics-by-theme/population/population-estimates/mid-year-population-estimates/population-estimates-time-series-data</t>
  </si>
  <si>
    <t>Nation Population Statistics were sourced from:</t>
  </si>
  <si>
    <t>https://www.ons.gov.uk/peoplepopulationandcommunity/populationandmigration/populationestimates</t>
  </si>
  <si>
    <t>Chart Code</t>
  </si>
  <si>
    <t>Headline Charts</t>
  </si>
  <si>
    <t>Fire Charts</t>
  </si>
  <si>
    <t>Non-fire Charts</t>
  </si>
  <si>
    <t>Fire False Alarms due to Apparatus</t>
  </si>
  <si>
    <t>Non-fire Casualty Charts</t>
  </si>
  <si>
    <t>Fatal Casualties in Non-fire Incidents by Incident Type</t>
  </si>
  <si>
    <t>Non-fatal Casualties in Non-fire Incidents by Incident Type</t>
  </si>
  <si>
    <t>Fire Casualty Charts</t>
  </si>
  <si>
    <t>Fatal Fire Casualties by Age - Rate per Million Population</t>
  </si>
  <si>
    <t>Non-fatal Fire Casualties by Age - Rate per Million Population</t>
  </si>
  <si>
    <t>Area Comparison Charts</t>
  </si>
  <si>
    <t>Great Britain Comparison Charts</t>
  </si>
  <si>
    <t>Fires Long-term Trend</t>
  </si>
  <si>
    <t>Fire False Alarms Long-term Trend</t>
  </si>
  <si>
    <t>Non-fire Incidents Trend</t>
  </si>
  <si>
    <t>Percentage of Incidents Attended by Type</t>
  </si>
  <si>
    <t>Fatal Fire Casualties Long-term Trend</t>
  </si>
  <si>
    <t>Non-fatal Fire Casualties Long-term Trend</t>
  </si>
  <si>
    <t>Non-fatal Casualties in Incidents Attended</t>
  </si>
  <si>
    <t>Fatal Casualties in Incidents Attended</t>
  </si>
  <si>
    <t>Primary Fires - Long-term Trends</t>
  </si>
  <si>
    <t>Fire False Alarm Long-term Trends</t>
  </si>
  <si>
    <t>False Alarm Charts</t>
  </si>
  <si>
    <t>Secondary and Chimney Fires by Location</t>
  </si>
  <si>
    <t>Treatment of Non-fatal Casualties</t>
  </si>
  <si>
    <t>Incidents and Casualties by Urban Rural Index</t>
  </si>
  <si>
    <t>Incidents and Casualties by Scottish Index of Multiple Deprivation Quintile</t>
  </si>
  <si>
    <t>Fire Casualties by Nation</t>
  </si>
  <si>
    <t>Fires by Location by Nation</t>
  </si>
  <si>
    <t>Incidents Attended by Nation</t>
  </si>
  <si>
    <t>Trend</t>
  </si>
  <si>
    <t>Share</t>
  </si>
  <si>
    <t>Fire Incident Tables</t>
  </si>
  <si>
    <t>Fire Incident Charts</t>
  </si>
  <si>
    <t>Map</t>
  </si>
  <si>
    <t>Motive - Deliberate</t>
  </si>
  <si>
    <t>False Alarm Incident Tables</t>
  </si>
  <si>
    <t>False Alarm Incident Charts</t>
  </si>
  <si>
    <t>Non-Fire Incident Tables</t>
  </si>
  <si>
    <t>Non-Fire Incident Charts</t>
  </si>
  <si>
    <t>Effect Entry or Exit</t>
  </si>
  <si>
    <t>Casualties in Non-fire Incident Tables</t>
  </si>
  <si>
    <t>Casualties in Fires Tables</t>
  </si>
  <si>
    <t>Casualties in Fires Chart</t>
  </si>
  <si>
    <t>Treatment</t>
  </si>
  <si>
    <t>Incidents and Casualties</t>
  </si>
  <si>
    <t>IH_IT1</t>
  </si>
  <si>
    <t>IH_CT1</t>
  </si>
  <si>
    <t>C_IH_FR1</t>
  </si>
  <si>
    <t>C_IH_NF1</t>
  </si>
  <si>
    <t>C_IH_CNF1</t>
  </si>
  <si>
    <t>C_IH_CF1</t>
  </si>
  <si>
    <t>C_IH_CF2</t>
  </si>
  <si>
    <t>C_IH_CNF2</t>
  </si>
  <si>
    <t>IFR_L1</t>
  </si>
  <si>
    <t>IFR_LLA1</t>
  </si>
  <si>
    <t>IFR_LLARP1</t>
  </si>
  <si>
    <t>IFR_B1</t>
  </si>
  <si>
    <t>IFR_BLA1</t>
  </si>
  <si>
    <t>IFR_BSP1</t>
  </si>
  <si>
    <t>IFR_BA1</t>
  </si>
  <si>
    <t>IFR_MOTDLARD1</t>
  </si>
  <si>
    <t>IFR_DWSA1</t>
  </si>
  <si>
    <t>IFR_DWSALA1</t>
  </si>
  <si>
    <t>IFR_DWSAR1</t>
  </si>
  <si>
    <t>IFR_ADFIG1</t>
  </si>
  <si>
    <t>IFR_ADFIMP1</t>
  </si>
  <si>
    <t>IFR_ADFIMPLA1</t>
  </si>
  <si>
    <t>IFR_OUT1</t>
  </si>
  <si>
    <t>IFR_OUTPLA1</t>
  </si>
  <si>
    <t>IFR_OUTSLA1</t>
  </si>
  <si>
    <t>IFR_MOT1</t>
  </si>
  <si>
    <t>IFR_MOTLA1</t>
  </si>
  <si>
    <t>IFR_MOTPLARP1</t>
  </si>
  <si>
    <t>IFR_MOTS1</t>
  </si>
  <si>
    <t>IFR_MOTSLA1</t>
  </si>
  <si>
    <t>IFR_MOTSLARP1</t>
  </si>
  <si>
    <t>IFR_APP1</t>
  </si>
  <si>
    <t>IFR_APPLA1</t>
  </si>
  <si>
    <t>IFR_TIMP1</t>
  </si>
  <si>
    <t>C_IFR_P1</t>
  </si>
  <si>
    <t>C_IFR_S1</t>
  </si>
  <si>
    <t>C_IFR_MOT1</t>
  </si>
  <si>
    <t>C_IFR_FM1</t>
  </si>
  <si>
    <t>C_IFR_PM1</t>
  </si>
  <si>
    <t>C_IFR_SM1</t>
  </si>
  <si>
    <t>C_IFR_MOTM1</t>
  </si>
  <si>
    <t>C_IFR_ADFM1</t>
  </si>
  <si>
    <t>IFA_I1</t>
  </si>
  <si>
    <t>IFA_ILA1</t>
  </si>
  <si>
    <t>IFA_ILARP1</t>
  </si>
  <si>
    <t>IFA_ILAL1</t>
  </si>
  <si>
    <t>IFA_NFI1</t>
  </si>
  <si>
    <t>IFA_NFILA1</t>
  </si>
  <si>
    <t>C_IFA_APPM1</t>
  </si>
  <si>
    <t>C_IFA_APP1</t>
  </si>
  <si>
    <t>C_IFA_I1</t>
  </si>
  <si>
    <t>INF_T1</t>
  </si>
  <si>
    <t>INF_TLA1</t>
  </si>
  <si>
    <t>INF_TLARP1</t>
  </si>
  <si>
    <t>INF_RTC1</t>
  </si>
  <si>
    <t>INF_FL1</t>
  </si>
  <si>
    <t>C_INF_T1</t>
  </si>
  <si>
    <t>C_INF_M1</t>
  </si>
  <si>
    <t>C_INF_RTCM1</t>
  </si>
  <si>
    <t>C_INF_FLM1</t>
  </si>
  <si>
    <t>ICNF_T1</t>
  </si>
  <si>
    <t>Casualties in Non-fire Incident Charts</t>
  </si>
  <si>
    <t>C_ICNF_F1</t>
  </si>
  <si>
    <t>C_ICNF_NF1</t>
  </si>
  <si>
    <t>C_ICNF_C1</t>
  </si>
  <si>
    <t>ICF_L1</t>
  </si>
  <si>
    <t>ICF_LR1</t>
  </si>
  <si>
    <t>ICF_LLA1</t>
  </si>
  <si>
    <t>ICF_MOTLA1</t>
  </si>
  <si>
    <t>ICF_LMOT1</t>
  </si>
  <si>
    <t>ICF_MOTLANFR1</t>
  </si>
  <si>
    <t>ICF_MOTLADFR1</t>
  </si>
  <si>
    <t>ICF_ADF1</t>
  </si>
  <si>
    <t>ICF_ADFLA1</t>
  </si>
  <si>
    <t>ICF_ADFAD1</t>
  </si>
  <si>
    <t>ICF_ADFADR1</t>
  </si>
  <si>
    <t>ICF_TRE1</t>
  </si>
  <si>
    <t>ICF_DTRE1</t>
  </si>
  <si>
    <t>ICF_DTRER1</t>
  </si>
  <si>
    <t>ICF_G1</t>
  </si>
  <si>
    <t>ICF_GRP1</t>
  </si>
  <si>
    <t>ICF_GTRE1</t>
  </si>
  <si>
    <t>ICF_GTRERP1</t>
  </si>
  <si>
    <t>ICF_A1</t>
  </si>
  <si>
    <t>ICF_ARP1</t>
  </si>
  <si>
    <t>ICF_AFI1</t>
  </si>
  <si>
    <t>ICF_AFIRP1</t>
  </si>
  <si>
    <t>ICF_ANFI1</t>
  </si>
  <si>
    <t>ICF_ANFIRP1</t>
  </si>
  <si>
    <t>ICF_GFI1</t>
  </si>
  <si>
    <t>ICF_GNFI1</t>
  </si>
  <si>
    <t>ICF_GFIRP1</t>
  </si>
  <si>
    <t>ICF_GNFIRP1</t>
  </si>
  <si>
    <t>ICF_ANFTRE1</t>
  </si>
  <si>
    <t>ICF_ANFTRERP1</t>
  </si>
  <si>
    <t>ICF_RES1</t>
  </si>
  <si>
    <t>ICF_RESA1</t>
  </si>
  <si>
    <t>ICF_RESARP1</t>
  </si>
  <si>
    <t>ICF_DTIM1</t>
  </si>
  <si>
    <t>C_ICF_TRE1</t>
  </si>
  <si>
    <t>C_ICF_AFRP1</t>
  </si>
  <si>
    <t>C_ICF_ANFRP1</t>
  </si>
  <si>
    <t>IAC_ISIMD1</t>
  </si>
  <si>
    <t>IAC_ISIMDRP1</t>
  </si>
  <si>
    <t>IAC_CSIMD1</t>
  </si>
  <si>
    <t>IAC_CSIMDRP1</t>
  </si>
  <si>
    <t>IAC_IUR1</t>
  </si>
  <si>
    <t>IAC_IURRP1</t>
  </si>
  <si>
    <t>IAC_CUR1</t>
  </si>
  <si>
    <t>IAC_CURRP1</t>
  </si>
  <si>
    <t>C_IAC_UR1</t>
  </si>
  <si>
    <t>C_IAC_SIMD1</t>
  </si>
  <si>
    <t>IGB_I1</t>
  </si>
  <si>
    <t>IGB_F1</t>
  </si>
  <si>
    <t>IGB_C1</t>
  </si>
  <si>
    <t>C_IGB_I1</t>
  </si>
  <si>
    <t>C_IGB_F1</t>
  </si>
  <si>
    <t>C_IGB_C1</t>
  </si>
  <si>
    <t>REF_DW</t>
  </si>
  <si>
    <t>C_IH_FA1</t>
  </si>
  <si>
    <t>C_IH_I1</t>
  </si>
  <si>
    <t>Fire Incidents &gt; Accidental Dwelling Fires &gt; Impairment by Alcohol/Drugs</t>
  </si>
  <si>
    <t>REF_POP_S</t>
  </si>
  <si>
    <t>REF_POP_O</t>
  </si>
  <si>
    <t>For figures prior to 2009-10 please the Incidents Timeseries Table</t>
  </si>
  <si>
    <t>Please see the Guidance Notes on Statistics publication for further details on these statistics including definitions and advice on interpretation.</t>
  </si>
  <si>
    <t>2019-20</t>
  </si>
  <si>
    <t>Total Sum of 10-Jun</t>
  </si>
  <si>
    <t>Sum of 10-Jun</t>
  </si>
  <si>
    <t>Total Sum of 20-Nov</t>
  </si>
  <si>
    <t>Sum of 20-Nov</t>
  </si>
  <si>
    <t>Non-Fatal Casualties - Dwelling Fires</t>
  </si>
  <si>
    <t>Mid 2019</t>
  </si>
  <si>
    <t>Welsh Fire Statistics were sourced from:
https://gov.wales/statistics-and-research
Nation Population Statistics were sourced from:
https://www.ons.gov.uk/peoplepopulationandcommunity/populationandmigration/populationestimates
English Fire Statistics were sourced from:
https://www.gov.uk/government/statistical-data-sets/fire-statistics-data-tables
Scottish Population Statistics were sourced from:
https://www.nrscotland.gov.uk/statistics-and-data/statistics/statistics-by-theme/population/population-estimates/mid-year-population-estimates/population-estimates-time-series-data</t>
  </si>
  <si>
    <t>2019-04</t>
  </si>
  <si>
    <t>2019-05</t>
  </si>
  <si>
    <t>2019-06</t>
  </si>
  <si>
    <t>2019-07</t>
  </si>
  <si>
    <t>2019-08</t>
  </si>
  <si>
    <t>2019-09</t>
  </si>
  <si>
    <t>2019-10</t>
  </si>
  <si>
    <t>2019-11</t>
  </si>
  <si>
    <t>2019-12</t>
  </si>
  <si>
    <t>2020-01</t>
  </si>
  <si>
    <t>2020-02</t>
  </si>
  <si>
    <t>2020-03</t>
  </si>
  <si>
    <t>8 Year Average</t>
  </si>
  <si>
    <t>Experimental</t>
  </si>
  <si>
    <t>✓</t>
  </si>
  <si>
    <t>Historic Table Number</t>
  </si>
  <si>
    <t>Sum of HospitalTreatment</t>
  </si>
  <si>
    <t>Sum of HospitalTreatmentpm</t>
  </si>
  <si>
    <t>Hospitalised Non-Fatal Casualties</t>
  </si>
  <si>
    <t>Residential - Dwellings</t>
  </si>
  <si>
    <t>Tenement</t>
  </si>
  <si>
    <t>HMO</t>
  </si>
  <si>
    <t>HMO - unlicenced</t>
  </si>
  <si>
    <t>Sheltered Housing - Self Contained</t>
  </si>
  <si>
    <t>Hostel</t>
  </si>
  <si>
    <t>Holiday Residence</t>
  </si>
  <si>
    <t>Residential Home</t>
  </si>
  <si>
    <t>Student Accommodation</t>
  </si>
  <si>
    <t>Sheltered Housing - Not Self Contained</t>
  </si>
  <si>
    <t>Other Residential Home</t>
  </si>
  <si>
    <t>Boarding House/ B&amp;B/ Youth Hostel</t>
  </si>
  <si>
    <t>Caravan      (On-Site)</t>
  </si>
  <si>
    <t>Hotel/ Motel</t>
  </si>
  <si>
    <t>Flat/ Maisonette</t>
  </si>
  <si>
    <t>House/ Bungalow</t>
  </si>
  <si>
    <t>Caravan/ Mobile Home</t>
  </si>
  <si>
    <t>Residential - Other</t>
  </si>
  <si>
    <t>Non-Residential</t>
  </si>
  <si>
    <t>Total Dwellings</t>
  </si>
  <si>
    <t>Total Other Residential</t>
  </si>
  <si>
    <t>Total Non-Residential</t>
  </si>
  <si>
    <t>IFR_B2</t>
  </si>
  <si>
    <t>Converted Flat/ Maisonette</t>
  </si>
  <si>
    <t>Purpose Built Flat/ Maisonette</t>
  </si>
  <si>
    <t>Up to 3 storeys</t>
  </si>
  <si>
    <t>4 to 9 storeys</t>
  </si>
  <si>
    <t>10 or more storeys</t>
  </si>
  <si>
    <t>Up to 2 storeys</t>
  </si>
  <si>
    <t>3 or more storeys</t>
  </si>
  <si>
    <t>6 Storeys and Over</t>
  </si>
  <si>
    <t>Purpose Built Flat / Maisonette</t>
  </si>
  <si>
    <t>Converted Flat / Maisonette</t>
  </si>
  <si>
    <t>IFR_BLA2</t>
  </si>
  <si>
    <t>IFR_BA2</t>
  </si>
  <si>
    <t>IFR_BMS1</t>
  </si>
  <si>
    <t>ICF_LBMS1</t>
  </si>
  <si>
    <t>ICF_LB1</t>
  </si>
  <si>
    <t>Experimental Statistics introduced in 2019-20</t>
  </si>
  <si>
    <t>Casualties in Building Fires by Location</t>
  </si>
  <si>
    <t>Type</t>
  </si>
  <si>
    <t>Dwelling:01:House/Bungalow</t>
  </si>
  <si>
    <t>Dwelling:02:Flat/Maisonette</t>
  </si>
  <si>
    <t>Dwelling:03:Tenement</t>
  </si>
  <si>
    <t>Dwelling:04:HMO</t>
  </si>
  <si>
    <t>Dwelling:05:HMO - unlicenced</t>
  </si>
  <si>
    <t>Dwelling:06:Sheltered Housing - Self Contained</t>
  </si>
  <si>
    <t>Dwelling:07:Caravan/Mobile Home</t>
  </si>
  <si>
    <t>Dwelling:09:Other</t>
  </si>
  <si>
    <t>Non-Residential:02:Private garages, sheds, etc</t>
  </si>
  <si>
    <t>Non-Residential:03:Permanent Agricultural</t>
  </si>
  <si>
    <t>Non-Residential:04:Industrial</t>
  </si>
  <si>
    <t>Non-Residential:05:Warehouses and bulk storage</t>
  </si>
  <si>
    <t>Non-Residential:06:Offices and call centres</t>
  </si>
  <si>
    <t>Non-Residential:07:Public admin, security and safety</t>
  </si>
  <si>
    <t>Non-Residential:08:Entertainment, Sport and Culture</t>
  </si>
  <si>
    <t>Non-Residential:09:Food and Drink</t>
  </si>
  <si>
    <t>Non-Residential:10:Retail</t>
  </si>
  <si>
    <t>Non-Residential:11:Education</t>
  </si>
  <si>
    <t>Non-Residential:12:Hospitals and medical care</t>
  </si>
  <si>
    <t>Non-Residential:13:Others</t>
  </si>
  <si>
    <t>Other Residential:01:Hotel/Motel</t>
  </si>
  <si>
    <t>Other Residential:02:Hostel</t>
  </si>
  <si>
    <t>Other Residential:03:Holiday Residence</t>
  </si>
  <si>
    <t>Other Residential:04:Caravan (On-Site)</t>
  </si>
  <si>
    <t>Other Residential:05:Residential Home</t>
  </si>
  <si>
    <t>Other Residential:06:Student Accommodation</t>
  </si>
  <si>
    <t>Other Residential:07:Boarding House/B&amp;B/Youth Hostel</t>
  </si>
  <si>
    <t>Other Residential:08:Sheltered Housing - Not Self Contained</t>
  </si>
  <si>
    <t>Other Residential:12:Other Residential Home</t>
  </si>
  <si>
    <t>Other Residential:13:Other</t>
  </si>
  <si>
    <t>Casualties in Multi-storey Residential Fires</t>
  </si>
  <si>
    <t>Multi-storey Residential</t>
  </si>
  <si>
    <t>Multi-storey Residential Fires</t>
  </si>
  <si>
    <t>changed to 2020 For details on the Scottish Index of Multiple Deprivation please see simd.scot/2020</t>
  </si>
  <si>
    <t>Z_Not Known</t>
  </si>
  <si>
    <t>The statistics included in this workbook are classed as Official Statistics. This means that they were produced in compliance with the Code of Practice for Statistics and without political interference.</t>
  </si>
  <si>
    <t>In 2020 we modified this table to include more detailed categories for residential property types. This was in response to user feedback.</t>
  </si>
  <si>
    <t>Sum of Dwelling:01:House/Bungalow</t>
  </si>
  <si>
    <t>Sum of Dwelling:02:Flat/Maisonette</t>
  </si>
  <si>
    <t>Sum of Dwelling:03:Tenement</t>
  </si>
  <si>
    <t>Sum of Dwelling:04:HMO</t>
  </si>
  <si>
    <t>Sum of Dwelling:05:HMO - unlicenced</t>
  </si>
  <si>
    <t>Sum of Dwelling:06:Sheltered Housing - Self Contained</t>
  </si>
  <si>
    <t>Sum of Dwelling:07:Caravan/Mobile Home</t>
  </si>
  <si>
    <t>Sum of Dwelling:09:Other</t>
  </si>
  <si>
    <t>Sum of Other Residential:01:Hotel/Motel</t>
  </si>
  <si>
    <t>Sum of Other Residential:02:Hostel</t>
  </si>
  <si>
    <t>Sum of Other Residential:03:Holiday Residence</t>
  </si>
  <si>
    <t>Sum of Other Residential:04:Caravan (On-Site)</t>
  </si>
  <si>
    <t>Sum of Other Residential:05:Residential Home</t>
  </si>
  <si>
    <t>Sum of Other Residential:06:Student Accommodation</t>
  </si>
  <si>
    <t>Sum of Other Residential:07:Boarding House/B&amp;B/Youth Hostel</t>
  </si>
  <si>
    <t>Sum of Other Residential:08:Sheltered Housing - Not Self Contained</t>
  </si>
  <si>
    <t>Sum of Other Residential:12:Other Residential Home</t>
  </si>
  <si>
    <t>Sum of Other Residential:13:Other</t>
  </si>
  <si>
    <t>Sum of Non-Residential:02:Private garages, sheds, etc</t>
  </si>
  <si>
    <t>Sum of Non-Residential:03:Permanent Agricultural</t>
  </si>
  <si>
    <t>Sum of Non-Residential:04:Industrial</t>
  </si>
  <si>
    <t>Sum of Non-Residential:05:Warehouses and bulk storage</t>
  </si>
  <si>
    <t>Sum of Non-Residential:06:Offices and call centres</t>
  </si>
  <si>
    <t>Sum of Non-Residential:07:Public admin, security and safety</t>
  </si>
  <si>
    <t>Sum of Non-Residential:08:Entertainment, Sport and Culture</t>
  </si>
  <si>
    <t>Sum of Non-Residential:09:Food and Drink</t>
  </si>
  <si>
    <t>Sum of Non-Residential:10:Retail</t>
  </si>
  <si>
    <t>Sum of Non-Residential:11:Education</t>
  </si>
  <si>
    <t>Sum of Non-Residential:12:Hospitals and medical care</t>
  </si>
  <si>
    <t>Sum of Non-Residential:13:Others</t>
  </si>
  <si>
    <t>HMO, or 'House in multiple occupation' is property rented out by three or more unrelated people who share common facilities. This type of property requires a licence in Scotland.</t>
  </si>
  <si>
    <t>6 Storeys and Over*</t>
  </si>
  <si>
    <t>We present statistics on properties over 6 storeys, this requires the use of more detailed data which is challenging to qualtiy assure. Nevertheless we believe publishing is in the public interest as in Scotland 'high rise' residential properties are considered to be those over 18 meters tall or 6 storeys. These statistics should therefore be considered a best estimate.</t>
  </si>
  <si>
    <t>Please note that flooding incidents includes both groundwater flooding and flooding through other causes such as brust pipes in homes.</t>
  </si>
  <si>
    <t>For details on the Scottish Index of Multiple Deprivation please see simd.scot/2020</t>
  </si>
  <si>
    <t>We have withdrawn the other buildings, road vehicles, and other primary fires sections of this table due to concerns around their interpretation and value.</t>
  </si>
  <si>
    <t>Dwelling Fires:</t>
  </si>
  <si>
    <t>All Casualties:</t>
  </si>
  <si>
    <t>Historic Fatal Casualties Profile by Gender, Age and Scottish Index of Multiple Deprivation Quintile</t>
  </si>
  <si>
    <t>Including 90+:</t>
  </si>
  <si>
    <t>Excluding 90+:</t>
  </si>
  <si>
    <t>C_IAC_FSIMDAG1</t>
  </si>
  <si>
    <t>Historic Hospitalised Casualties Profile by Gender, Age and Scottish Index of Multiple Deprivation Quintile</t>
  </si>
  <si>
    <t>C_IAC_HSIMDAG1</t>
  </si>
  <si>
    <t>Hospitalised Casualties</t>
  </si>
  <si>
    <t>Age and Gender</t>
  </si>
  <si>
    <t>IGB_C2</t>
  </si>
  <si>
    <t>29 October 2021</t>
  </si>
  <si>
    <t>2020-21</t>
  </si>
  <si>
    <t>Mid 2020</t>
  </si>
  <si>
    <t>Whole building</t>
  </si>
  <si>
    <t>Fiscal_Yr_New</t>
  </si>
  <si>
    <t>Council</t>
  </si>
  <si>
    <t>NULL</t>
  </si>
  <si>
    <t>Unwanted Fire Alarm Signals by Local Authority</t>
  </si>
  <si>
    <t>Experimental table introduced in 2020-21</t>
  </si>
  <si>
    <t>Total Unwanted Fire Alarm Signals</t>
  </si>
  <si>
    <t>Unwanted Fire Alarm Signals Rate</t>
  </si>
  <si>
    <t>pop</t>
  </si>
  <si>
    <t>LA</t>
  </si>
  <si>
    <t>Sum of 4Whole building</t>
  </si>
  <si>
    <t>Total Sum of 4Whole building</t>
  </si>
  <si>
    <t>Unwanted Fire Alarm Signals</t>
  </si>
  <si>
    <t>IFA_UFAS1</t>
  </si>
  <si>
    <t>IFA_UFASLA1</t>
  </si>
  <si>
    <t>Purpose Built Flat/MaisonetteUp to 3 storeys</t>
  </si>
  <si>
    <t>Purpose Built Flat/Maisonette4 to 9 storeys</t>
  </si>
  <si>
    <t>Purpose Built Flat/Maisonette10 or more storeys</t>
  </si>
  <si>
    <t>HMOUp to 2 storeys</t>
  </si>
  <si>
    <t>HMO3 or more storeys</t>
  </si>
  <si>
    <t>Converted Flat/MaisonetteUp to 2 storeys</t>
  </si>
  <si>
    <t>Converted Flat/Maisonette3 or more storeys</t>
  </si>
  <si>
    <t>Purpose Built Flat/Maisonette</t>
  </si>
  <si>
    <t>Converted Flat/Maisonette</t>
  </si>
  <si>
    <t>Data captured 27/09/2021</t>
  </si>
  <si>
    <t>Unwanted Fire Alarm Signals (UFAS)</t>
  </si>
  <si>
    <t>Average of 60+</t>
  </si>
  <si>
    <t>UFAS Map</t>
  </si>
  <si>
    <t>Unwanted Fire Alarm Signal (UFAS) Trends</t>
  </si>
  <si>
    <t>Unwanted Fire Alarm Signals (UFAS) Choropleth Map and Cartogram 2020-21 - Rates per 100,000 Population</t>
  </si>
  <si>
    <t>C_IFA_UFAS1</t>
  </si>
  <si>
    <t>C_IFA_UFASM1</t>
  </si>
  <si>
    <t>Fires by Motive 2020-21</t>
  </si>
  <si>
    <t>All Fires Choropleth Map and Cartogram 2020-21 - Rate per 100,000 Population</t>
  </si>
  <si>
    <t>Primary Fires Choropleth Map and Cartogram 2020-21 - Rates per 100,000 Population</t>
  </si>
  <si>
    <t>Secondary Fires Choropleth Map and Cartogram 2020-21 - Rates per 100,000 Population</t>
  </si>
  <si>
    <t>Deliberate Fires Choropleth Map and Cartogram 2020-21 - Rates per 100,000 Population</t>
  </si>
  <si>
    <t>Accidental Dwelling Fires Choropleth Map and Cartogram 2020-21 - Rates per 100,000 Population</t>
  </si>
  <si>
    <t>False Alarms due to Apparatus Choropleth Map and Cartogram 2020-21 - Rates per 100,000 Population</t>
  </si>
  <si>
    <t>Non-fire Incidents Choropleth Map and Cartogram 2020-21 - Rates per 100,000 Population</t>
  </si>
  <si>
    <t>Road Traffic Collision Incidents Attended Choropleth Map and Cartogram 2020-21 - Rates per 100,000 Population</t>
  </si>
  <si>
    <t>Effect Entry or Exit Incidents Attended Choropleth Map and Cartogram 2020-21 - Rates per 100,000 Population</t>
  </si>
  <si>
    <t>Fatal Fire Casualties - 13-Week Rolling Average</t>
  </si>
  <si>
    <t>C_IH_CF13</t>
  </si>
  <si>
    <t>Fatal 13-Week Rolling Average</t>
  </si>
  <si>
    <t>Primary_Total</t>
  </si>
  <si>
    <t>Primary:1:Dwelling</t>
  </si>
  <si>
    <t>Primary:2:Other Buildings</t>
  </si>
  <si>
    <t>Primary:3:Road Vehicle</t>
  </si>
  <si>
    <t>Primary:4:Others</t>
  </si>
  <si>
    <t>Secondary_Total</t>
  </si>
  <si>
    <t>Chimney_Total</t>
  </si>
  <si>
    <t>TOTAL</t>
  </si>
  <si>
    <t>PubLANAME</t>
  </si>
  <si>
    <t>OtherFatal</t>
  </si>
  <si>
    <t>Total_ADF</t>
  </si>
  <si>
    <t>a.Accidental</t>
  </si>
  <si>
    <t>a.Not known</t>
  </si>
  <si>
    <t>b.Year</t>
  </si>
  <si>
    <t>Total_fatal_ADF</t>
  </si>
  <si>
    <t>b.Accidental</t>
  </si>
  <si>
    <t>b.Not known</t>
  </si>
  <si>
    <t>c.Year</t>
  </si>
  <si>
    <t>Total_nonfatal_ADF</t>
  </si>
  <si>
    <t>c.Accidental</t>
  </si>
  <si>
    <t>c.Not known</t>
  </si>
  <si>
    <t>1Malicious False Alarm</t>
  </si>
  <si>
    <t>2Fire alarm due to Apparatus</t>
  </si>
  <si>
    <t>3Good Intent false alarm</t>
  </si>
  <si>
    <t>Pub_falsealarm</t>
  </si>
  <si>
    <t>False Alarm - Property not found</t>
  </si>
  <si>
    <t>Special Services False Alarms</t>
  </si>
  <si>
    <t>SpecialServiceFalseAlarms</t>
  </si>
  <si>
    <t>:</t>
  </si>
  <si>
    <t>01:RTC</t>
  </si>
  <si>
    <t>02:Other Transport incident</t>
  </si>
  <si>
    <t>03:Flooding</t>
  </si>
  <si>
    <t>04:Rescue or evacuation from water</t>
  </si>
  <si>
    <t>05:Other rescue/release of persons</t>
  </si>
  <si>
    <t>06:Evacuation (no fire)</t>
  </si>
  <si>
    <t>07:Lift Release</t>
  </si>
  <si>
    <t>08:Medical Incident - First responder/Co-responder</t>
  </si>
  <si>
    <t>09:Suicide/attempts</t>
  </si>
  <si>
    <t>10:Hazardous Materials incident</t>
  </si>
  <si>
    <t>11:Spills and Leaks (not RTC)</t>
  </si>
  <si>
    <t>12:Removal of objects</t>
  </si>
  <si>
    <t>13:Animal assistance incidents</t>
  </si>
  <si>
    <t>14:Effecting entry/exit</t>
  </si>
  <si>
    <t>15:Making Safe (not RTC)</t>
  </si>
  <si>
    <t>16:No action (not false alarm)</t>
  </si>
  <si>
    <t>17:Water provision</t>
  </si>
  <si>
    <t>18:Stand By</t>
  </si>
  <si>
    <t>19:Assist other agencies</t>
  </si>
  <si>
    <t>20:Advice Only</t>
  </si>
  <si>
    <t>SpecialServices_LEVEL 1</t>
  </si>
  <si>
    <t>Total_RTC</t>
  </si>
  <si>
    <t>1Extrication of person/s</t>
  </si>
  <si>
    <t>2Release of person/s</t>
  </si>
  <si>
    <t>3Make vehicle safe</t>
  </si>
  <si>
    <t>4Make scene safe</t>
  </si>
  <si>
    <t>5Medical assistance only</t>
  </si>
  <si>
    <t>6Stand by - no action</t>
  </si>
  <si>
    <t>7Wash down road</t>
  </si>
  <si>
    <t>8Advice only</t>
  </si>
  <si>
    <t>9Other</t>
  </si>
  <si>
    <t>Total_Flooding</t>
  </si>
  <si>
    <t>1Evacuation</t>
  </si>
  <si>
    <t>2Pumping out</t>
  </si>
  <si>
    <t>3Stand by - no action</t>
  </si>
  <si>
    <t>4Advice only</t>
  </si>
  <si>
    <t>5Make safe</t>
  </si>
  <si>
    <t>7Other</t>
  </si>
  <si>
    <t>a.Pub_specialservice</t>
  </si>
  <si>
    <t>b.Expr1002</t>
  </si>
  <si>
    <t>b.Pub_specialservice</t>
  </si>
  <si>
    <t>b.2009-10</t>
  </si>
  <si>
    <t>b.2010-11</t>
  </si>
  <si>
    <t>b.2011-12</t>
  </si>
  <si>
    <t>b.2012-13</t>
  </si>
  <si>
    <t>b.2013-14</t>
  </si>
  <si>
    <t>b.2014-15</t>
  </si>
  <si>
    <t>b.2015-16</t>
  </si>
  <si>
    <t>b.2016-17</t>
  </si>
  <si>
    <t>b.2017-18</t>
  </si>
  <si>
    <t>b.2018-19</t>
  </si>
  <si>
    <t>b.2019-20</t>
  </si>
  <si>
    <t>b.2020-21</t>
  </si>
  <si>
    <t>c.Expr1002</t>
  </si>
  <si>
    <t>c.Pub_specialservice</t>
  </si>
  <si>
    <t>c.2009-10</t>
  </si>
  <si>
    <t>c.2010-11</t>
  </si>
  <si>
    <t>c.2011-12</t>
  </si>
  <si>
    <t>c.2012-13</t>
  </si>
  <si>
    <t>c.2013-14</t>
  </si>
  <si>
    <t>c.2014-15</t>
  </si>
  <si>
    <t>c.2015-16</t>
  </si>
  <si>
    <t>c.2016-17</t>
  </si>
  <si>
    <t>c.2017-18</t>
  </si>
  <si>
    <t>c.2018-19</t>
  </si>
  <si>
    <t>c.2019-20</t>
  </si>
  <si>
    <t>c.2020-21</t>
  </si>
  <si>
    <t>fatal</t>
  </si>
  <si>
    <t>nonfatal</t>
  </si>
  <si>
    <t>Other Transport incident</t>
  </si>
  <si>
    <t>Rescue or evacuation from water</t>
  </si>
  <si>
    <t>Other rescue/release of persons</t>
  </si>
  <si>
    <t>Medical Incident - First responder/Co-responder</t>
  </si>
  <si>
    <t>Suicide/attempts</t>
  </si>
  <si>
    <t>Hazardous Materials incident</t>
  </si>
  <si>
    <t>Removal of objects</t>
  </si>
  <si>
    <t>Animal assistance incidents</t>
  </si>
  <si>
    <t xml:space="preserve">Effecting entry/exit </t>
  </si>
  <si>
    <t>No action (not false alarm)</t>
  </si>
  <si>
    <t>Water provision</t>
  </si>
  <si>
    <t>Assist other agencies</t>
  </si>
  <si>
    <t>Buildings_Total</t>
  </si>
  <si>
    <t>01:Other Residential</t>
  </si>
  <si>
    <t>02:Private garages, sheds, etc</t>
  </si>
  <si>
    <t>03:Permanent Agricultural</t>
  </si>
  <si>
    <t>04:Industrial</t>
  </si>
  <si>
    <t>05:Warehouses and bulk storage</t>
  </si>
  <si>
    <t>06:Offices and call centres</t>
  </si>
  <si>
    <t>07:Public admin, security and safety</t>
  </si>
  <si>
    <t>08:Entertainment, Sport and Culture</t>
  </si>
  <si>
    <t>09:Food and Drink</t>
  </si>
  <si>
    <t>10:Retail</t>
  </si>
  <si>
    <t>11:Education</t>
  </si>
  <si>
    <t>12:Hospitals and medical care</t>
  </si>
  <si>
    <t>13:Others</t>
  </si>
  <si>
    <t>IS_PRIMARY_FIRE</t>
  </si>
  <si>
    <t>Total_Primary_Outdoor_Fires</t>
  </si>
  <si>
    <t>01:Outdoor structures</t>
  </si>
  <si>
    <t>02:Outdoor equipment and machinery</t>
  </si>
  <si>
    <t>03:Grassland and crops</t>
  </si>
  <si>
    <t>04:Woodland</t>
  </si>
  <si>
    <t>05:Other Transport Vehicle</t>
  </si>
  <si>
    <t>06:Other outdoors (including land)</t>
  </si>
  <si>
    <t>07:Car</t>
  </si>
  <si>
    <t>08:Abandoned Car</t>
  </si>
  <si>
    <t>09:Other Road Vehicle</t>
  </si>
  <si>
    <t>10:Abandoned Other Road Vehicle</t>
  </si>
  <si>
    <t>Total_Secondary_Outdoor_Fires</t>
  </si>
  <si>
    <t>01:Derelict Building</t>
  </si>
  <si>
    <t>02:Grassland</t>
  </si>
  <si>
    <t>03:Intentional straw or stubble</t>
  </si>
  <si>
    <t>04:Outdoor structures</t>
  </si>
  <si>
    <t>05:Derelict Vehicle</t>
  </si>
  <si>
    <t>07:Refuse - small/rubbish container</t>
  </si>
  <si>
    <t>08:Refuse - large/rubbish container</t>
  </si>
  <si>
    <t>09:Refuse - loose/rubbish tip</t>
  </si>
  <si>
    <t>Pub_cause_txt</t>
  </si>
  <si>
    <t>Total_Primary_Fires</t>
  </si>
  <si>
    <t>Total_Fatal_Casulaties</t>
  </si>
  <si>
    <t>Non_fatal Casualties Total</t>
  </si>
  <si>
    <t>1:fires</t>
  </si>
  <si>
    <t>2:fatal</t>
  </si>
  <si>
    <t>3:nonfatal</t>
  </si>
  <si>
    <t>Pub_injury_withchecks</t>
  </si>
  <si>
    <t>Total_Nonfatal</t>
  </si>
  <si>
    <t>a.0-16</t>
  </si>
  <si>
    <t>a.17-29</t>
  </si>
  <si>
    <t>a.30-59</t>
  </si>
  <si>
    <t>a.60+</t>
  </si>
  <si>
    <t>b.0-16</t>
  </si>
  <si>
    <t>b.17-29</t>
  </si>
  <si>
    <t>b.30-59</t>
  </si>
  <si>
    <t>b.60+</t>
  </si>
  <si>
    <t>Total_Secondary_Fires</t>
  </si>
  <si>
    <t>Total_Fatal</t>
  </si>
  <si>
    <t>Not specified</t>
  </si>
  <si>
    <t>Pub_fatalCode</t>
  </si>
  <si>
    <t>Pub_fataldescription</t>
  </si>
  <si>
    <t>Females</t>
  </si>
  <si>
    <t>Males</t>
  </si>
  <si>
    <t>Other specified</t>
  </si>
  <si>
    <t>Physical injuries</t>
  </si>
  <si>
    <t>FRS personnelFemale</t>
  </si>
  <si>
    <t>FRS personnelMale</t>
  </si>
  <si>
    <t>FRS personnelNot known</t>
  </si>
  <si>
    <t>FRS personnelNot specified</t>
  </si>
  <si>
    <t>Non FRS personnelFemale</t>
  </si>
  <si>
    <t>Non FRS personnelMale</t>
  </si>
  <si>
    <t>Non FRS personnelNot known</t>
  </si>
  <si>
    <t>Non FRS personnelNot specified</t>
  </si>
  <si>
    <t>FRS personnel0-16</t>
  </si>
  <si>
    <t>FRS personnel17-29</t>
  </si>
  <si>
    <t>FRS personnel30-59</t>
  </si>
  <si>
    <t>FRS personnel60+</t>
  </si>
  <si>
    <t>FRS personnelUnknown</t>
  </si>
  <si>
    <t>Non FRS personnel0-16</t>
  </si>
  <si>
    <t>Non FRS personnel17-29</t>
  </si>
  <si>
    <t>Non FRS personnel30-59</t>
  </si>
  <si>
    <t>Non FRS personnel60+</t>
  </si>
  <si>
    <t>Non FRS personnelUnknown</t>
  </si>
  <si>
    <t>VICTIM_TYPE_CODE</t>
  </si>
  <si>
    <t>1</t>
  </si>
  <si>
    <t>2</t>
  </si>
  <si>
    <t>3</t>
  </si>
  <si>
    <t>1Present, operated and raised the alarm</t>
  </si>
  <si>
    <t>2Present, operated but did not raise the alarm</t>
  </si>
  <si>
    <t>3Present but did not operate</t>
  </si>
  <si>
    <t>4Smoke alarm absent</t>
  </si>
  <si>
    <t>5Don't know if smoke alarm was present</t>
  </si>
  <si>
    <t>a.Type</t>
  </si>
  <si>
    <t>a.PubLANAME</t>
  </si>
  <si>
    <t>a.Total</t>
  </si>
  <si>
    <t>a.1Present, operated and raised the alarm</t>
  </si>
  <si>
    <t>a.2Present, operated but did not raise the alarm</t>
  </si>
  <si>
    <t>a.3Present but did not operate</t>
  </si>
  <si>
    <t>a.4Smoke alarm absent</t>
  </si>
  <si>
    <t>a.5Don't know if smoke alarm was present</t>
  </si>
  <si>
    <t>f.Year</t>
  </si>
  <si>
    <t>f.PubLANAME</t>
  </si>
  <si>
    <t>f.Type</t>
  </si>
  <si>
    <t>f.Total</t>
  </si>
  <si>
    <t>f.1Present, operated and raised the alarm</t>
  </si>
  <si>
    <t>f.2Present, operated but did not raise the alarm</t>
  </si>
  <si>
    <t>f.3Present but did not operate</t>
  </si>
  <si>
    <t>f.4Smoke alarm absent</t>
  </si>
  <si>
    <t>f.5Don't know if smoke alarm was present</t>
  </si>
  <si>
    <t>n.Year</t>
  </si>
  <si>
    <t>n.PubLANAME</t>
  </si>
  <si>
    <t>n.Type</t>
  </si>
  <si>
    <t>n.Total</t>
  </si>
  <si>
    <t>n.1Present, operated and raised the alarm</t>
  </si>
  <si>
    <t>n.2Present, operated but did not raise the alarm</t>
  </si>
  <si>
    <t>n.3Present but did not operate</t>
  </si>
  <si>
    <t>n.4Smoke alarm absent</t>
  </si>
  <si>
    <t>n.5Don't know if smoke alarm was present</t>
  </si>
  <si>
    <t>PublishAs</t>
  </si>
  <si>
    <t>01:Fire not close enough to detector</t>
  </si>
  <si>
    <t>02:Fire in area not covered by system</t>
  </si>
  <si>
    <t>03:Alarm battery defective</t>
  </si>
  <si>
    <t>04:Alerted by other means</t>
  </si>
  <si>
    <t>05:Alarm battery missing</t>
  </si>
  <si>
    <t>06:Fault in system</t>
  </si>
  <si>
    <t>07:Other</t>
  </si>
  <si>
    <t>08:Detector removed</t>
  </si>
  <si>
    <t>09:Not Known</t>
  </si>
  <si>
    <t>10:System damaged by fire</t>
  </si>
  <si>
    <t>11:System not set up correctly</t>
  </si>
  <si>
    <t>12:System turned off</t>
  </si>
  <si>
    <t>publication_code</t>
  </si>
  <si>
    <t>Publication_text</t>
  </si>
  <si>
    <t>Chimney - Chimney</t>
  </si>
  <si>
    <t>Cooking appliance - Barbecue/Camping stove</t>
  </si>
  <si>
    <t>Cooking appliance - Cooker incl. oven</t>
  </si>
  <si>
    <t>Cooking appliance - Deep fat fryer</t>
  </si>
  <si>
    <t>Cooking appliance - Grill/Toaster</t>
  </si>
  <si>
    <t>Cooking appliance - Microwave oven</t>
  </si>
  <si>
    <t>Cooking appliance - Ring/hot plate (separate appliance)</t>
  </si>
  <si>
    <t>Cooking appliance - Other cooking appliance</t>
  </si>
  <si>
    <t>Smoking related - Cigarette lighter</t>
  </si>
  <si>
    <t>Smoking related - Smoking materials</t>
  </si>
  <si>
    <t>Naked flame - Lighted paper or card, or other naked flame</t>
  </si>
  <si>
    <t>Electric lighting - Fairy lights</t>
  </si>
  <si>
    <t>Electric lighting - Fluorescent lights</t>
  </si>
  <si>
    <t>Electric lighting - Other incandescent light bulbs</t>
  </si>
  <si>
    <t>Electric lighting - Spot lights</t>
  </si>
  <si>
    <t>Electric lighting - Other lights</t>
  </si>
  <si>
    <t>Electricity supply - Apparatus - batteries, generators</t>
  </si>
  <si>
    <t>Electricity supply - Wiring, cabling, plugs</t>
  </si>
  <si>
    <t>Fuel/Chemical - Gases/Flammable chemicals</t>
  </si>
  <si>
    <t>Fuel/Chemical - Liquids; petrol/oil related</t>
  </si>
  <si>
    <t>Fuel/Chemical - Solids; coal, coke, wood, card</t>
  </si>
  <si>
    <t>Heating equipment - Central heating/Hot water</t>
  </si>
  <si>
    <t>Heating equipment - Heating/Fire</t>
  </si>
  <si>
    <t>Heating equipment - Power Source</t>
  </si>
  <si>
    <t>Heating equipment - Separate water heating</t>
  </si>
  <si>
    <t>Heating equipment - Other</t>
  </si>
  <si>
    <t>Other domestic style appliance - Audio equipment</t>
  </si>
  <si>
    <t>Other domestic style appliance - Battery charger</t>
  </si>
  <si>
    <t>Other domestic style appliance - Blow lamp/Paint remover</t>
  </si>
  <si>
    <t>Other domestic style appliance - Dishwasher</t>
  </si>
  <si>
    <t>Other domestic style appliance - Electric blanket</t>
  </si>
  <si>
    <t>Other domestic style appliance - Electric kettle</t>
  </si>
  <si>
    <t>Other domestic style appliance - Extractor fan</t>
  </si>
  <si>
    <t>Other domestic style appliance - Fridge/Freezer</t>
  </si>
  <si>
    <t>Other domestic style appliance - Hair dryer</t>
  </si>
  <si>
    <t>Other domestic style appliance - Iron</t>
  </si>
  <si>
    <t>Other domestic style appliance - Other domestic style appliance</t>
  </si>
  <si>
    <t>Other domestic style appliance - PC equipment (domestic use)</t>
  </si>
  <si>
    <t>Other domestic style appliance - Spin dryer</t>
  </si>
  <si>
    <t>Other domestic style appliance - Trouser press</t>
  </si>
  <si>
    <t>Other domestic style appliance - Tumble dryer</t>
  </si>
  <si>
    <t>Other domestic style appliance - TV</t>
  </si>
  <si>
    <t>Other domestic style appliance - Vacuum cleaner</t>
  </si>
  <si>
    <t>Other domestic style appliance - Video/DVD</t>
  </si>
  <si>
    <t>Other domestic style appliance - Washer/Dryer combined</t>
  </si>
  <si>
    <t>Other domestic style appliance - Washing machine</t>
  </si>
  <si>
    <t>Other domestic style appliance - Other</t>
  </si>
  <si>
    <t>Industrial equipment - Welding/Cutting equipment</t>
  </si>
  <si>
    <t>Industrial equipment - other</t>
  </si>
  <si>
    <t>Natural occurrence - Natural occurrence</t>
  </si>
  <si>
    <t>Not know/other</t>
  </si>
  <si>
    <t>1:Yes</t>
  </si>
  <si>
    <t>2:No</t>
  </si>
  <si>
    <t>3:Not Known</t>
  </si>
  <si>
    <t>Pub_level_type</t>
  </si>
  <si>
    <t>1Confined to the item</t>
  </si>
  <si>
    <t>2Beyond item but limited to room</t>
  </si>
  <si>
    <t>3Elsewhere in building</t>
  </si>
  <si>
    <t>4Whole building</t>
  </si>
  <si>
    <t>5Not applicable</t>
  </si>
  <si>
    <t>6Smoke and/or Heat damage only</t>
  </si>
  <si>
    <t>01</t>
  </si>
  <si>
    <t>02</t>
  </si>
  <si>
    <t>03-05</t>
  </si>
  <si>
    <t>06-10</t>
  </si>
  <si>
    <t>11-15</t>
  </si>
  <si>
    <t>16+</t>
  </si>
  <si>
    <t>Casualty</t>
  </si>
  <si>
    <t>DDF</t>
  </si>
  <si>
    <t>Country</t>
  </si>
  <si>
    <t>Fatalpm</t>
  </si>
  <si>
    <t>Nonfatal</t>
  </si>
  <si>
    <t>Nonfatalpm</t>
  </si>
  <si>
    <t>Totalfires</t>
  </si>
  <si>
    <t>Totalfirespm</t>
  </si>
  <si>
    <t>PrimaryFires</t>
  </si>
  <si>
    <t>PrimaryFirespm</t>
  </si>
  <si>
    <t>SecondaryFires</t>
  </si>
  <si>
    <t>SecondaryFirespm</t>
  </si>
  <si>
    <t>ChimneyFires</t>
  </si>
  <si>
    <t>ChimneyFirespm</t>
  </si>
  <si>
    <t>DwellingFires</t>
  </si>
  <si>
    <t>DwellingFirespm</t>
  </si>
  <si>
    <t>FireFalseAlarms</t>
  </si>
  <si>
    <t>FireFalseAlarmspm</t>
  </si>
  <si>
    <t>NonFireIncidents</t>
  </si>
  <si>
    <t>NonFireIncidentspm</t>
  </si>
  <si>
    <t>TotalIncidents</t>
  </si>
  <si>
    <t>TotalIncidentspm</t>
  </si>
  <si>
    <t>HospitalTreatment</t>
  </si>
  <si>
    <t>HospitalTreatmentpm</t>
  </si>
  <si>
    <t>Persons</t>
  </si>
  <si>
    <t>2001</t>
  </si>
  <si>
    <t>2002</t>
  </si>
  <si>
    <t>2003</t>
  </si>
  <si>
    <t>2004</t>
  </si>
  <si>
    <t>2005</t>
  </si>
  <si>
    <t>2006</t>
  </si>
  <si>
    <t>2007</t>
  </si>
  <si>
    <t>2008</t>
  </si>
  <si>
    <t>2009</t>
  </si>
  <si>
    <t>2010</t>
  </si>
  <si>
    <t>2011</t>
  </si>
  <si>
    <t>2012</t>
  </si>
  <si>
    <t>2013</t>
  </si>
  <si>
    <t>2014</t>
  </si>
  <si>
    <t>2015</t>
  </si>
  <si>
    <t>2016</t>
  </si>
  <si>
    <t>2017</t>
  </si>
  <si>
    <t>2018</t>
  </si>
  <si>
    <t>2019</t>
  </si>
  <si>
    <t>2020</t>
  </si>
  <si>
    <t>Council area</t>
  </si>
  <si>
    <t>Expr1001</t>
  </si>
  <si>
    <t>a.SIMD2020_Quintile</t>
  </si>
  <si>
    <t>b.SIMD2020_Quintile</t>
  </si>
  <si>
    <t>a.UR6FOLD</t>
  </si>
  <si>
    <t>b.UR6FOLD</t>
  </si>
  <si>
    <t>Expr1004</t>
  </si>
  <si>
    <t>Month</t>
  </si>
  <si>
    <t>Season</t>
  </si>
  <si>
    <t>Quarter</t>
  </si>
  <si>
    <t>Expr1007</t>
  </si>
  <si>
    <t>Spring</t>
  </si>
  <si>
    <t>Q1</t>
  </si>
  <si>
    <t>Summer</t>
  </si>
  <si>
    <t>Q2</t>
  </si>
  <si>
    <t>Autumn</t>
  </si>
  <si>
    <t>Q3</t>
  </si>
  <si>
    <t>Winter</t>
  </si>
  <si>
    <t>Q4</t>
  </si>
  <si>
    <t>2020-04</t>
  </si>
  <si>
    <t>2020-05</t>
  </si>
  <si>
    <t>2020-06</t>
  </si>
  <si>
    <t>2020-07</t>
  </si>
  <si>
    <t>2020-08</t>
  </si>
  <si>
    <t>2020-09</t>
  </si>
  <si>
    <t>2020-10</t>
  </si>
  <si>
    <t>2020-11</t>
  </si>
  <si>
    <t>2020-12</t>
  </si>
  <si>
    <t>2021-01</t>
  </si>
  <si>
    <t>2021-02</t>
  </si>
  <si>
    <t>2021-03</t>
  </si>
  <si>
    <t>a.Month</t>
  </si>
  <si>
    <t>Fires_Total</t>
  </si>
  <si>
    <t>b.Month</t>
  </si>
  <si>
    <t>FFA_Total</t>
  </si>
  <si>
    <t>FFire alarm due to Apparatus</t>
  </si>
  <si>
    <t>FGood Intent false alarm</t>
  </si>
  <si>
    <t>FMalicious False Alarm</t>
  </si>
  <si>
    <t>SSGood Intent false alarm</t>
  </si>
  <si>
    <t>SSMalicious False Alarm</t>
  </si>
  <si>
    <t>c.Month</t>
  </si>
  <si>
    <t>SS_Total</t>
  </si>
  <si>
    <t>Cas</t>
  </si>
  <si>
    <t>01RTC</t>
  </si>
  <si>
    <t>02Other Transport incident</t>
  </si>
  <si>
    <t>03Flooding</t>
  </si>
  <si>
    <t>04Rescue or evacuation from water</t>
  </si>
  <si>
    <t>05Other rescue/release of persons</t>
  </si>
  <si>
    <t>06Evacuation (no fire)</t>
  </si>
  <si>
    <t>08Medical Incident - First responder/Co-responder</t>
  </si>
  <si>
    <t>09Suicide/attempts</t>
  </si>
  <si>
    <t>10Hazardous Materials incident</t>
  </si>
  <si>
    <t>12Removal of objects</t>
  </si>
  <si>
    <t>14Effecting entry/exit</t>
  </si>
  <si>
    <t>15Making Safe (not RTC)</t>
  </si>
  <si>
    <t>16No action (not false alarm)</t>
  </si>
  <si>
    <t>18Stand By</t>
  </si>
  <si>
    <t>19Assist other agencies</t>
  </si>
  <si>
    <t>20Advice Only</t>
  </si>
  <si>
    <t>ON_ATTENDANCE_INCIDENT_CATEGORY_DESCRIPTION</t>
  </si>
  <si>
    <t>Expr1005</t>
  </si>
  <si>
    <t>Fire</t>
  </si>
  <si>
    <t>1Fatality</t>
  </si>
  <si>
    <t>2Injured (incl. rescue with injury)</t>
  </si>
  <si>
    <t>3Rescued (rescue without injury)</t>
  </si>
  <si>
    <t>Special Service</t>
  </si>
  <si>
    <t>Up to 5</t>
  </si>
  <si>
    <t>Table6_location_v2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</si>
</sst>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1" formatCode="_-* #,##0_-;\-* #,##0_-;_-* &quot;-&quot;_-;_-@_-"/>
    <numFmt numFmtId="43" formatCode="_-* #,##0.00_-;\-* #,##0.00_-;_-* &quot;-&quot;??_-;_-@_-"/>
    <numFmt numFmtId="164" formatCode="_(* #,##0_);_(* \(#,##0\);_(* &quot;-&quot;_);_(@_)"/>
    <numFmt numFmtId="165" formatCode="_(* #,##0.00_);_(* \(#,##0.00\);_(* &quot;-&quot;??_);_(@_)"/>
    <numFmt numFmtId="166" formatCode="#,##0.0"/>
    <numFmt numFmtId="167" formatCode="0.0"/>
    <numFmt numFmtId="168" formatCode="_-* #,##0.0_-;\-* #,##0.0_-;_-* &quot;-&quot;??_-;_-@_-"/>
    <numFmt numFmtId="169" formatCode="_-* #,##0_-;\-* #,##0_-;_-* &quot;-&quot;??_-;_-@_-"/>
    <numFmt numFmtId="170" formatCode="General_)"/>
    <numFmt numFmtId="171" formatCode="_-* #,##0.0_-;\-* #,##0.0_-;_-* &quot;-&quot;_-;_-@_-"/>
    <numFmt numFmtId="172" formatCode="#,##0;\ \-0;\ &quot;-&quot;"/>
    <numFmt numFmtId="173" formatCode="#,##0.0_ ;\-#,##0.0\ "/>
    <numFmt numFmtId="174" formatCode="0.0%"/>
    <numFmt numFmtId="175" formatCode="0.000"/>
    <numFmt numFmtId="176" formatCode="#,##0_ ;\-#,##0\ "/>
    <numFmt numFmtId="177" formatCode="_-* #,##0.0_-;\-* #,##0.0_-;_-* &quot;-&quot;?_-;_-@_-"/>
    <numFmt numFmtId="178" formatCode="#,##0.0000"/>
  </numFmts>
  <fonts count="14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0"/>
      <color rgb="FFFF0000"/>
      <name val="Arial"/>
      <family val="2"/>
    </font>
    <font>
      <b/>
      <sz val="10"/>
      <color theme="1"/>
      <name val="Arial"/>
      <family val="2"/>
    </font>
    <font>
      <b/>
      <sz val="10"/>
      <name val="Arial"/>
      <family val="2"/>
    </font>
    <font>
      <sz val="10"/>
      <color indexed="8"/>
      <name val="Arial"/>
      <family val="2"/>
    </font>
    <font>
      <sz val="11"/>
      <color indexed="8"/>
      <name val="Calibri"/>
      <family val="2"/>
    </font>
    <font>
      <sz val="10"/>
      <name val="Arial"/>
      <family val="2"/>
    </font>
    <font>
      <i/>
      <sz val="10"/>
      <color theme="1"/>
      <name val="Arial"/>
      <family val="2"/>
    </font>
    <font>
      <b/>
      <i/>
      <sz val="10"/>
      <name val="Arial"/>
      <family val="2"/>
    </font>
    <font>
      <i/>
      <sz val="10"/>
      <name val="Arial"/>
      <family val="2"/>
    </font>
    <font>
      <b/>
      <sz val="10"/>
      <color rgb="FFFF0000"/>
      <name val="Arial"/>
      <family val="2"/>
    </font>
    <font>
      <b/>
      <sz val="10"/>
      <color indexed="8"/>
      <name val="Arial"/>
      <family val="2"/>
    </font>
    <font>
      <sz val="10"/>
      <color indexed="10"/>
      <name val="Arial"/>
      <family val="2"/>
    </font>
    <font>
      <u/>
      <sz val="10"/>
      <color indexed="12"/>
      <name val="Arial"/>
      <family val="2"/>
    </font>
    <font>
      <sz val="10"/>
      <color indexed="8"/>
      <name val="Calibri"/>
      <family val="2"/>
    </font>
    <font>
      <sz val="10"/>
      <color indexed="57"/>
      <name val="Arial"/>
      <family val="2"/>
    </font>
    <font>
      <i/>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30"/>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1"/>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rial"/>
      <family val="2"/>
    </font>
    <font>
      <sz val="12"/>
      <color theme="1"/>
      <name val="Arial"/>
      <family val="2"/>
    </font>
    <font>
      <b/>
      <sz val="12"/>
      <color theme="1"/>
      <name val="Arial"/>
      <family val="2"/>
    </font>
    <font>
      <b/>
      <sz val="11"/>
      <color theme="1"/>
      <name val="Arial"/>
      <family val="2"/>
    </font>
    <font>
      <sz val="11"/>
      <color theme="1"/>
      <name val="Arial"/>
      <family val="2"/>
    </font>
    <font>
      <sz val="11"/>
      <name val="Arial"/>
      <family val="2"/>
    </font>
    <font>
      <b/>
      <sz val="9.5"/>
      <name val="Arial"/>
      <family val="2"/>
    </font>
    <font>
      <b/>
      <i/>
      <sz val="10"/>
      <color theme="1"/>
      <name val="Arial"/>
      <family val="2"/>
    </font>
    <font>
      <sz val="11"/>
      <name val="Times New Roman"/>
      <family val="1"/>
    </font>
    <font>
      <b/>
      <sz val="12"/>
      <name val="Arial"/>
      <family val="2"/>
    </font>
    <font>
      <b/>
      <sz val="11"/>
      <name val="Arial"/>
      <family val="2"/>
    </font>
    <font>
      <sz val="10"/>
      <name val="MS Sans Serif"/>
      <family val="2"/>
    </font>
    <font>
      <sz val="14"/>
      <name val="Arial"/>
      <family val="2"/>
    </font>
    <font>
      <b/>
      <i/>
      <sz val="11"/>
      <name val="Arial"/>
      <family val="2"/>
    </font>
    <font>
      <b/>
      <i/>
      <sz val="11"/>
      <color theme="1"/>
      <name val="Arial"/>
      <family val="2"/>
    </font>
    <font>
      <sz val="10"/>
      <name val="Arial"/>
      <family val="2"/>
    </font>
    <font>
      <sz val="8"/>
      <name val="Arial"/>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u/>
      <sz val="10"/>
      <color indexed="12"/>
      <name val="MS Sans Serif"/>
      <family val="2"/>
    </font>
    <font>
      <b/>
      <sz val="9"/>
      <name val="Arial"/>
      <family val="2"/>
    </font>
    <font>
      <b/>
      <sz val="9"/>
      <color theme="1"/>
      <name val="Arial"/>
      <family val="2"/>
    </font>
    <font>
      <sz val="9"/>
      <color theme="1"/>
      <name val="Arial"/>
      <family val="2"/>
    </font>
    <font>
      <u/>
      <sz val="9"/>
      <color indexed="12"/>
      <name val="Arial"/>
      <family val="2"/>
    </font>
    <font>
      <sz val="9"/>
      <name val="Arial"/>
      <family val="2"/>
    </font>
    <font>
      <u/>
      <sz val="11"/>
      <color rgb="FF0563C1"/>
      <name val="Arial"/>
      <family val="2"/>
    </font>
    <font>
      <b/>
      <sz val="11"/>
      <color rgb="FF000000"/>
      <name val="Arial"/>
      <family val="2"/>
    </font>
    <font>
      <sz val="11"/>
      <color indexed="8"/>
      <name val="Calibri"/>
      <family val="2"/>
    </font>
    <font>
      <sz val="10"/>
      <color indexed="8"/>
      <name val="Arial"/>
      <family val="2"/>
    </font>
    <font>
      <sz val="10"/>
      <color indexed="17"/>
      <name val="Arial"/>
      <family val="2"/>
    </font>
    <font>
      <b/>
      <sz val="10"/>
      <color indexed="17"/>
      <name val="Arial"/>
      <family val="2"/>
    </font>
    <font>
      <sz val="10"/>
      <name val="Arial"/>
      <family val="2"/>
    </font>
    <font>
      <b/>
      <i/>
      <sz val="10"/>
      <color indexed="8"/>
      <name val="Arial"/>
      <family val="2"/>
    </font>
    <font>
      <b/>
      <sz val="8"/>
      <name val="Arial"/>
      <family val="2"/>
    </font>
    <font>
      <sz val="8"/>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8"/>
      <color indexed="8"/>
      <name val="Arial"/>
      <family val="2"/>
    </font>
    <font>
      <sz val="16"/>
      <color theme="1"/>
      <name val="Calibri"/>
      <family val="2"/>
      <scheme val="minor"/>
    </font>
    <font>
      <b/>
      <sz val="11"/>
      <color rgb="FF404040"/>
      <name val="Arial"/>
      <family val="2"/>
    </font>
    <font>
      <u/>
      <sz val="11"/>
      <color theme="10"/>
      <name val="Calibri"/>
      <family val="2"/>
      <scheme val="minor"/>
    </font>
    <font>
      <sz val="11"/>
      <color rgb="FF000000"/>
      <name val="Calibri"/>
      <family val="2"/>
    </font>
    <font>
      <b/>
      <sz val="18"/>
      <color theme="1" tint="0.249977111117893"/>
      <name val="Calibri"/>
      <family val="2"/>
      <scheme val="minor"/>
    </font>
    <font>
      <sz val="12"/>
      <color rgb="FF000000"/>
      <name val="Calibri"/>
      <family val="2"/>
      <scheme val="minor"/>
    </font>
    <font>
      <i/>
      <sz val="12"/>
      <color rgb="FF000000"/>
      <name val="Calibri"/>
      <family val="2"/>
      <scheme val="minor"/>
    </font>
    <font>
      <u/>
      <sz val="12"/>
      <color indexed="12"/>
      <name val="Calibri"/>
      <family val="2"/>
      <scheme val="minor"/>
    </font>
    <font>
      <b/>
      <sz val="12"/>
      <color rgb="FF000000"/>
      <name val="Calibri"/>
      <family val="2"/>
      <scheme val="minor"/>
    </font>
    <font>
      <sz val="12"/>
      <color theme="1"/>
      <name val="Calibri"/>
      <family val="2"/>
      <scheme val="minor"/>
    </font>
    <font>
      <sz val="12"/>
      <color theme="0"/>
      <name val="Calibri"/>
      <family val="2"/>
      <scheme val="minor"/>
    </font>
    <font>
      <sz val="12"/>
      <name val="Calibri"/>
      <family val="2"/>
      <scheme val="minor"/>
    </font>
    <font>
      <sz val="10"/>
      <name val="Calibri"/>
      <family val="2"/>
      <scheme val="minor"/>
    </font>
    <font>
      <sz val="11"/>
      <name val="Calibri"/>
      <family val="2"/>
      <scheme val="minor"/>
    </font>
    <font>
      <sz val="10"/>
      <color theme="1"/>
      <name val="Calibri"/>
      <family val="2"/>
      <scheme val="minor"/>
    </font>
    <font>
      <u/>
      <sz val="10"/>
      <color indexed="12"/>
      <name val="Calibri"/>
      <family val="2"/>
      <scheme val="minor"/>
    </font>
    <font>
      <u/>
      <sz val="11"/>
      <color indexed="12"/>
      <name val="Calibri"/>
      <family val="2"/>
      <scheme val="minor"/>
    </font>
    <font>
      <sz val="11"/>
      <color indexed="8"/>
      <name val="Calibri"/>
      <family val="2"/>
      <scheme val="minor"/>
    </font>
    <font>
      <b/>
      <sz val="11"/>
      <name val="Calibri"/>
      <family val="2"/>
      <scheme val="minor"/>
    </font>
    <font>
      <b/>
      <u/>
      <sz val="12"/>
      <name val="Arial"/>
      <family val="2"/>
    </font>
    <font>
      <b/>
      <sz val="11"/>
      <color theme="1"/>
      <name val="Calibri"/>
      <family val="2"/>
      <scheme val="minor"/>
    </font>
    <font>
      <sz val="10"/>
      <color indexed="8"/>
      <name val="Arial"/>
      <family val="2"/>
    </font>
    <font>
      <sz val="11"/>
      <color indexed="8"/>
      <name val="Calibri"/>
      <family val="2"/>
    </font>
    <font>
      <b/>
      <vertAlign val="superscript"/>
      <sz val="10"/>
      <name val="Arial"/>
      <family val="2"/>
    </font>
    <font>
      <i/>
      <sz val="11"/>
      <color theme="1"/>
      <name val="Calibri"/>
      <family val="2"/>
      <scheme val="minor"/>
    </font>
    <font>
      <sz val="12"/>
      <color rgb="FF222222"/>
      <name val="Arial"/>
      <family val="2"/>
    </font>
    <font>
      <sz val="11"/>
      <color theme="1"/>
      <name val="Calibri"/>
      <family val="2"/>
    </font>
    <font>
      <b/>
      <sz val="12"/>
      <color theme="1"/>
      <name val="Calibri"/>
      <family val="2"/>
      <scheme val="minor"/>
    </font>
    <font>
      <sz val="10"/>
      <color indexed="18"/>
      <name val="Tahoma"/>
      <family val="2"/>
    </font>
  </fonts>
  <fills count="75">
    <fill>
      <patternFill patternType="none"/>
    </fill>
    <fill>
      <patternFill patternType="gray125"/>
    </fill>
    <fill>
      <patternFill patternType="solid">
        <fgColor theme="0"/>
        <bgColor indexed="64"/>
      </patternFill>
    </fill>
    <fill>
      <patternFill patternType="solid">
        <fgColor theme="0"/>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4" tint="0.79998168889431442"/>
      </patternFill>
    </fill>
    <fill>
      <patternFill patternType="solid">
        <fgColor indexed="56"/>
      </patternFill>
    </fill>
    <fill>
      <patternFill patternType="solid">
        <fgColor indexed="54"/>
      </patternFill>
    </fill>
    <fill>
      <patternFill patternType="solid">
        <fgColor indexed="9"/>
      </patternFill>
    </fill>
    <fill>
      <patternFill patternType="solid">
        <fgColor theme="0" tint="-0.14999847407452621"/>
        <bgColor indexed="64"/>
      </patternFill>
    </fill>
    <fill>
      <patternFill patternType="solid">
        <fgColor rgb="FFFFFFFF"/>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6"/>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AFF0"/>
        <bgColor indexed="64"/>
      </patternFill>
    </fill>
    <fill>
      <patternFill patternType="solid">
        <fgColor rgb="FFD9B3FF"/>
        <bgColor indexed="64"/>
      </patternFill>
    </fill>
    <fill>
      <patternFill patternType="solid">
        <fgColor rgb="FFBF8F00"/>
        <bgColor indexed="64"/>
      </patternFill>
    </fill>
    <fill>
      <patternFill patternType="solid">
        <fgColor rgb="FF8497B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indexed="41"/>
        <bgColor indexed="64"/>
      </patternFill>
    </fill>
  </fills>
  <borders count="87">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top/>
      <bottom style="mediumDashDot">
        <color rgb="FFFF0000"/>
      </bottom>
      <diagonal/>
    </border>
    <border>
      <left/>
      <right style="thin">
        <color indexed="64"/>
      </right>
      <top style="thin">
        <color indexed="64"/>
      </top>
      <bottom style="medium">
        <color indexed="64"/>
      </bottom>
      <diagonal/>
    </border>
    <border>
      <left/>
      <right style="thick">
        <color rgb="FF4F81BD"/>
      </right>
      <top/>
      <bottom/>
      <diagonal/>
    </border>
    <border>
      <left/>
      <right style="thick">
        <color rgb="FFFFAFF0"/>
      </right>
      <top/>
      <bottom/>
      <diagonal/>
    </border>
    <border>
      <left/>
      <right style="thick">
        <color rgb="FF8497B0"/>
      </right>
      <top/>
      <bottom/>
      <diagonal/>
    </border>
    <border>
      <left/>
      <right style="thick">
        <color rgb="FFB8CCE4"/>
      </right>
      <top/>
      <bottom/>
      <diagonal/>
    </border>
    <border>
      <left/>
      <right style="thick">
        <color rgb="FFD9B3FF"/>
      </right>
      <top/>
      <bottom/>
      <diagonal/>
    </border>
    <border>
      <left/>
      <right style="thick">
        <color rgb="FFFCD5B4"/>
      </right>
      <top/>
      <bottom/>
      <diagonal/>
    </border>
    <border>
      <left/>
      <right style="thick">
        <color rgb="FFBF8F00"/>
      </right>
      <top/>
      <bottom/>
      <diagonal/>
    </border>
    <border>
      <left/>
      <right style="thick">
        <color theme="5" tint="0.39997558519241921"/>
      </right>
      <top/>
      <bottom/>
      <diagonal/>
    </border>
    <border>
      <left/>
      <right style="thick">
        <color rgb="FF9BBB59"/>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top/>
      <bottom/>
      <diagonal/>
    </border>
    <border>
      <left/>
      <right style="thin">
        <color theme="1"/>
      </right>
      <top/>
      <bottom/>
      <diagonal/>
    </border>
    <border>
      <left/>
      <right/>
      <top/>
      <bottom style="medium">
        <color theme="1"/>
      </bottom>
      <diagonal/>
    </border>
    <border>
      <left/>
      <right style="thin">
        <color theme="1"/>
      </right>
      <top/>
      <bottom style="medium">
        <color theme="1"/>
      </bottom>
      <diagonal/>
    </border>
    <border>
      <left style="thin">
        <color indexed="64"/>
      </left>
      <right style="thin">
        <color indexed="64"/>
      </right>
      <top/>
      <bottom style="medium">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right style="thick">
        <color rgb="FF4F81BD"/>
      </right>
      <top/>
      <bottom style="thin">
        <color theme="0" tint="-0.14999847407452621"/>
      </bottom>
      <diagonal/>
    </border>
    <border>
      <left/>
      <right style="thick">
        <color rgb="FFB8CCE4"/>
      </right>
      <top style="thin">
        <color theme="0" tint="-0.14999847407452621"/>
      </top>
      <bottom/>
      <diagonal/>
    </border>
    <border>
      <left/>
      <right style="thick">
        <color rgb="FFBF8F00"/>
      </right>
      <top style="thin">
        <color theme="0" tint="-0.14999847407452621"/>
      </top>
      <bottom/>
      <diagonal/>
    </border>
    <border>
      <left/>
      <right style="thick">
        <color rgb="FFD9B3FF"/>
      </right>
      <top style="thin">
        <color theme="0" tint="-0.14999847407452621"/>
      </top>
      <bottom/>
      <diagonal/>
    </border>
    <border>
      <left/>
      <right style="thick">
        <color rgb="FF8497B0"/>
      </right>
      <top style="thin">
        <color theme="0" tint="-0.14999847407452621"/>
      </top>
      <bottom/>
      <diagonal/>
    </border>
    <border>
      <left/>
      <right style="thick">
        <color theme="5" tint="0.39997558519241921"/>
      </right>
      <top style="thin">
        <color theme="0" tint="-0.14999847407452621"/>
      </top>
      <bottom/>
      <diagonal/>
    </border>
    <border>
      <left/>
      <right style="thick">
        <color rgb="FF9BBB59"/>
      </right>
      <top style="thin">
        <color theme="0" tint="-0.14999847407452621"/>
      </top>
      <bottom/>
      <diagonal/>
    </border>
    <border>
      <left style="thin">
        <color indexed="64"/>
      </left>
      <right style="thin">
        <color indexed="64"/>
      </right>
      <top style="thin">
        <color indexed="64"/>
      </top>
      <bottom style="medium">
        <color indexed="64"/>
      </bottom>
      <diagonal/>
    </border>
    <border>
      <left/>
      <right style="thick">
        <color rgb="FFD9B3FF"/>
      </right>
      <top/>
      <bottom style="thin">
        <color theme="0" tint="-0.14999847407452621"/>
      </bottom>
      <diagonal/>
    </border>
    <border>
      <left style="thin">
        <color indexed="64"/>
      </left>
      <right style="thin">
        <color indexed="64"/>
      </right>
      <top/>
      <bottom style="medium">
        <color indexed="64"/>
      </bottom>
      <diagonal/>
    </border>
    <border>
      <left/>
      <right style="thin">
        <color theme="1"/>
      </right>
      <top/>
      <bottom style="medium">
        <color indexed="64"/>
      </bottom>
      <diagonal/>
    </border>
    <border>
      <left style="thin">
        <color indexed="64"/>
      </left>
      <right style="thin">
        <color indexed="64"/>
      </right>
      <top style="medium">
        <color indexed="64"/>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s>
  <cellStyleXfs count="202">
    <xf numFmtId="0" fontId="0" fillId="0" borderId="0"/>
    <xf numFmtId="9" fontId="23" fillId="0" borderId="0" applyFont="0" applyFill="0" applyBorder="0" applyAlignment="0" applyProtection="0"/>
    <xf numFmtId="0" fontId="27" fillId="0" borderId="0"/>
    <xf numFmtId="0" fontId="27" fillId="0" borderId="0"/>
    <xf numFmtId="0" fontId="36" fillId="0" borderId="0" applyNumberFormat="0" applyFill="0" applyBorder="0" applyAlignment="0" applyProtection="0">
      <alignment vertical="top"/>
      <protection locked="0"/>
    </xf>
    <xf numFmtId="165" fontId="29" fillId="0" borderId="0" applyFont="0" applyFill="0" applyBorder="0" applyAlignment="0" applyProtection="0"/>
    <xf numFmtId="0" fontId="29" fillId="0" borderId="0"/>
    <xf numFmtId="0" fontId="27"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40" fillId="14"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21" borderId="0" applyNumberFormat="0" applyBorder="0" applyAlignment="0" applyProtection="0"/>
    <xf numFmtId="0" fontId="41" fillId="5" borderId="0" applyNumberFormat="0" applyBorder="0" applyAlignment="0" applyProtection="0"/>
    <xf numFmtId="0" fontId="42" fillId="22" borderId="17" applyNumberFormat="0" applyAlignment="0" applyProtection="0"/>
    <xf numFmtId="0" fontId="43" fillId="23" borderId="18" applyNumberFormat="0" applyAlignment="0" applyProtection="0"/>
    <xf numFmtId="165" fontId="37" fillId="0" borderId="0" applyFont="0" applyFill="0" applyBorder="0" applyAlignment="0" applyProtection="0"/>
    <xf numFmtId="0" fontId="29" fillId="0" borderId="0"/>
    <xf numFmtId="0" fontId="44" fillId="0" borderId="0" applyNumberFormat="0" applyFill="0" applyBorder="0" applyAlignment="0" applyProtection="0"/>
    <xf numFmtId="0" fontId="45" fillId="6" borderId="0" applyNumberFormat="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29" fillId="0" borderId="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9" borderId="17" applyNumberFormat="0" applyAlignment="0" applyProtection="0"/>
    <xf numFmtId="0" fontId="52" fillId="0" borderId="22" applyNumberFormat="0" applyFill="0" applyAlignment="0" applyProtection="0"/>
    <xf numFmtId="0" fontId="53" fillId="24" borderId="0" applyNumberFormat="0" applyBorder="0" applyAlignment="0" applyProtection="0"/>
    <xf numFmtId="0" fontId="54" fillId="0" borderId="0"/>
    <xf numFmtId="0" fontId="37" fillId="0" borderId="0"/>
    <xf numFmtId="0" fontId="29" fillId="0" borderId="0"/>
    <xf numFmtId="0" fontId="28" fillId="25" borderId="13" applyNumberFormat="0" applyFont="0" applyAlignment="0" applyProtection="0"/>
    <xf numFmtId="0" fontId="37" fillId="25" borderId="13" applyNumberFormat="0" applyFont="0" applyAlignment="0" applyProtection="0"/>
    <xf numFmtId="0" fontId="55" fillId="22" borderId="23" applyNumberFormat="0" applyAlignment="0" applyProtection="0"/>
    <xf numFmtId="9" fontId="29"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0" fontId="29" fillId="0" borderId="0"/>
    <xf numFmtId="0" fontId="29" fillId="0" borderId="0"/>
    <xf numFmtId="0" fontId="29" fillId="0" borderId="0"/>
    <xf numFmtId="0" fontId="56" fillId="0" borderId="0" applyNumberFormat="0" applyFill="0" applyBorder="0" applyAlignment="0" applyProtection="0"/>
    <xf numFmtId="0" fontId="57" fillId="0" borderId="24" applyNumberFormat="0" applyFill="0" applyAlignment="0" applyProtection="0"/>
    <xf numFmtId="0" fontId="58" fillId="0" borderId="0" applyNumberFormat="0" applyFill="0" applyBorder="0" applyAlignment="0" applyProtection="0"/>
    <xf numFmtId="0" fontId="29" fillId="0" borderId="0"/>
    <xf numFmtId="165" fontId="23" fillId="0" borderId="0" applyFont="0" applyFill="0" applyBorder="0" applyAlignment="0" applyProtection="0"/>
    <xf numFmtId="0" fontId="27" fillId="0" borderId="0"/>
    <xf numFmtId="0" fontId="27" fillId="0" borderId="0"/>
    <xf numFmtId="170" fontId="67" fillId="0" borderId="0" applyNumberFormat="0" applyFill="0" applyBorder="0" applyProtection="0"/>
    <xf numFmtId="170" fontId="67" fillId="0" borderId="0" applyNumberFormat="0" applyFill="0" applyBorder="0" applyProtection="0"/>
    <xf numFmtId="165" fontId="22" fillId="0" borderId="0" applyFont="0" applyFill="0" applyBorder="0" applyAlignment="0" applyProtection="0"/>
    <xf numFmtId="0" fontId="74" fillId="0" borderId="0"/>
    <xf numFmtId="0" fontId="28" fillId="10" borderId="0" applyNumberFormat="0" applyBorder="0" applyAlignment="0" applyProtection="0"/>
    <xf numFmtId="0" fontId="28" fillId="11" borderId="0" applyNumberFormat="0" applyBorder="0" applyAlignment="0" applyProtection="0"/>
    <xf numFmtId="0" fontId="28" fillId="25" borderId="0" applyNumberFormat="0" applyBorder="0" applyAlignment="0" applyProtection="0"/>
    <xf numFmtId="0" fontId="28" fillId="9" borderId="0" applyNumberFormat="0" applyBorder="0" applyAlignment="0" applyProtection="0"/>
    <xf numFmtId="0" fontId="28" fillId="25" borderId="0" applyNumberFormat="0" applyBorder="0" applyAlignment="0" applyProtection="0"/>
    <xf numFmtId="0" fontId="28" fillId="8" borderId="0" applyNumberFormat="0" applyBorder="0" applyAlignment="0" applyProtection="0"/>
    <xf numFmtId="0" fontId="28" fillId="24"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25" borderId="0" applyNumberFormat="0" applyBorder="0" applyAlignment="0" applyProtection="0"/>
    <xf numFmtId="0" fontId="40" fillId="8" borderId="0" applyNumberFormat="0" applyBorder="0" applyAlignment="0" applyProtection="0"/>
    <xf numFmtId="0" fontId="40" fillId="21" borderId="0" applyNumberFormat="0" applyBorder="0" applyAlignment="0" applyProtection="0"/>
    <xf numFmtId="0" fontId="40" fillId="13"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27" borderId="0" applyNumberFormat="0" applyBorder="0" applyAlignment="0" applyProtection="0"/>
    <xf numFmtId="0" fontId="40" fillId="21" borderId="0" applyNumberFormat="0" applyBorder="0" applyAlignment="0" applyProtection="0"/>
    <xf numFmtId="0" fontId="40" fillId="13" borderId="0" applyNumberFormat="0" applyBorder="0" applyAlignment="0" applyProtection="0"/>
    <xf numFmtId="0" fontId="40" fillId="28" borderId="0" applyNumberFormat="0" applyBorder="0" applyAlignment="0" applyProtection="0"/>
    <xf numFmtId="0" fontId="27" fillId="0" borderId="0"/>
    <xf numFmtId="0" fontId="40" fillId="19" borderId="0" applyNumberFormat="0" applyBorder="0" applyAlignment="0" applyProtection="0"/>
    <xf numFmtId="0" fontId="41" fillId="7" borderId="0" applyNumberFormat="0" applyBorder="0" applyAlignment="0" applyProtection="0"/>
    <xf numFmtId="0" fontId="76" fillId="29" borderId="17" applyNumberFormat="0" applyAlignment="0" applyProtection="0"/>
    <xf numFmtId="40" fontId="70" fillId="0" borderId="0" applyFont="0" applyFill="0" applyBorder="0" applyAlignment="0" applyProtection="0"/>
    <xf numFmtId="0" fontId="45" fillId="8" borderId="0" applyNumberFormat="0" applyBorder="0" applyAlignment="0" applyProtection="0"/>
    <xf numFmtId="0" fontId="77" fillId="0" borderId="25" applyNumberFormat="0" applyFill="0" applyAlignment="0" applyProtection="0"/>
    <xf numFmtId="0" fontId="78" fillId="0" borderId="26" applyNumberFormat="0" applyFill="0" applyAlignment="0" applyProtection="0"/>
    <xf numFmtId="0" fontId="79" fillId="0" borderId="27" applyNumberFormat="0" applyFill="0" applyAlignment="0" applyProtection="0"/>
    <xf numFmtId="0" fontId="79" fillId="0" borderId="0" applyNumberFormat="0" applyFill="0" applyBorder="0" applyAlignment="0" applyProtection="0"/>
    <xf numFmtId="0" fontId="51" fillId="24" borderId="17" applyNumberFormat="0" applyAlignment="0" applyProtection="0"/>
    <xf numFmtId="0" fontId="58" fillId="0" borderId="28" applyNumberFormat="0" applyFill="0" applyAlignment="0" applyProtection="0"/>
    <xf numFmtId="0" fontId="80" fillId="24" borderId="0" applyNumberFormat="0" applyBorder="0" applyAlignment="0" applyProtection="0"/>
    <xf numFmtId="0" fontId="75" fillId="0" borderId="0"/>
    <xf numFmtId="0" fontId="75" fillId="25" borderId="13" applyNumberFormat="0" applyFont="0" applyAlignment="0" applyProtection="0"/>
    <xf numFmtId="0" fontId="55" fillId="29" borderId="23" applyNumberFormat="0" applyAlignment="0" applyProtection="0"/>
    <xf numFmtId="9" fontId="22" fillId="0" borderId="0" applyFont="0" applyFill="0" applyBorder="0" applyAlignment="0" applyProtection="0"/>
    <xf numFmtId="0" fontId="81" fillId="0" borderId="0" applyNumberFormat="0" applyFill="0" applyBorder="0" applyAlignment="0" applyProtection="0"/>
    <xf numFmtId="0" fontId="57" fillId="0" borderId="29" applyNumberFormat="0" applyFill="0" applyAlignment="0" applyProtection="0"/>
    <xf numFmtId="0" fontId="75" fillId="0" borderId="0"/>
    <xf numFmtId="0" fontId="75" fillId="0" borderId="0"/>
    <xf numFmtId="0" fontId="22" fillId="0" borderId="0"/>
    <xf numFmtId="0" fontId="23" fillId="0" borderId="0"/>
    <xf numFmtId="0" fontId="22" fillId="0" borderId="0"/>
    <xf numFmtId="0" fontId="27" fillId="0" borderId="0"/>
    <xf numFmtId="0" fontId="82"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1" fillId="0" borderId="0"/>
    <xf numFmtId="0" fontId="94" fillId="0" borderId="0"/>
    <xf numFmtId="0" fontId="91" fillId="0" borderId="0"/>
    <xf numFmtId="0" fontId="27" fillId="0" borderId="0"/>
    <xf numFmtId="0" fontId="27" fillId="0" borderId="0"/>
    <xf numFmtId="0" fontId="21" fillId="0" borderId="0"/>
    <xf numFmtId="165" fontId="21" fillId="0" borderId="0" applyFont="0" applyFill="0" applyBorder="0" applyAlignment="0" applyProtection="0"/>
    <xf numFmtId="165" fontId="22" fillId="0" borderId="0" applyFont="0" applyFill="0" applyBorder="0" applyAlignment="0" applyProtection="0"/>
    <xf numFmtId="0" fontId="22" fillId="0" borderId="0"/>
    <xf numFmtId="165" fontId="37" fillId="0" borderId="0" applyFont="0" applyFill="0" applyBorder="0" applyAlignment="0" applyProtection="0"/>
    <xf numFmtId="0" fontId="22" fillId="0" borderId="0"/>
    <xf numFmtId="0" fontId="20" fillId="0" borderId="0"/>
    <xf numFmtId="0" fontId="22" fillId="0" borderId="0"/>
    <xf numFmtId="9" fontId="22" fillId="0" borderId="0" applyFont="0" applyFill="0" applyBorder="0" applyAlignment="0" applyProtection="0"/>
    <xf numFmtId="0" fontId="22" fillId="0" borderId="0"/>
    <xf numFmtId="0" fontId="22" fillId="0" borderId="0"/>
    <xf numFmtId="165" fontId="23" fillId="0" borderId="0" applyFont="0" applyFill="0" applyBorder="0" applyAlignment="0" applyProtection="0"/>
    <xf numFmtId="0" fontId="98" fillId="0" borderId="0" applyNumberFormat="0" applyFill="0" applyBorder="0" applyAlignment="0" applyProtection="0"/>
    <xf numFmtId="0" fontId="99" fillId="0" borderId="30" applyNumberFormat="0" applyFill="0" applyAlignment="0" applyProtection="0"/>
    <xf numFmtId="0" fontId="100" fillId="0" borderId="31" applyNumberFormat="0" applyFill="0" applyAlignment="0" applyProtection="0"/>
    <xf numFmtId="0" fontId="101" fillId="0" borderId="32" applyNumberFormat="0" applyFill="0" applyAlignment="0" applyProtection="0"/>
    <xf numFmtId="0" fontId="101" fillId="0" borderId="0" applyNumberFormat="0" applyFill="0" applyBorder="0" applyAlignment="0" applyProtection="0"/>
    <xf numFmtId="0" fontId="102" fillId="32" borderId="0" applyNumberFormat="0" applyBorder="0" applyAlignment="0" applyProtection="0"/>
    <xf numFmtId="0" fontId="103" fillId="33" borderId="0" applyNumberFormat="0" applyBorder="0" applyAlignment="0" applyProtection="0"/>
    <xf numFmtId="0" fontId="104" fillId="34" borderId="0" applyNumberFormat="0" applyBorder="0" applyAlignment="0" applyProtection="0"/>
    <xf numFmtId="0" fontId="105" fillId="35" borderId="33" applyNumberFormat="0" applyAlignment="0" applyProtection="0"/>
    <xf numFmtId="0" fontId="106" fillId="36" borderId="34" applyNumberFormat="0" applyAlignment="0" applyProtection="0"/>
    <xf numFmtId="0" fontId="107" fillId="36" borderId="33" applyNumberFormat="0" applyAlignment="0" applyProtection="0"/>
    <xf numFmtId="0" fontId="108" fillId="0" borderId="35" applyNumberFormat="0" applyFill="0" applyAlignment="0" applyProtection="0"/>
    <xf numFmtId="0" fontId="109" fillId="37" borderId="36" applyNumberFormat="0" applyAlignment="0" applyProtection="0"/>
    <xf numFmtId="0" fontId="24" fillId="0" borderId="0" applyNumberFormat="0" applyFill="0" applyBorder="0" applyAlignment="0" applyProtection="0"/>
    <xf numFmtId="0" fontId="110" fillId="0" borderId="0" applyNumberFormat="0" applyFill="0" applyBorder="0" applyAlignment="0" applyProtection="0"/>
    <xf numFmtId="0" fontId="25" fillId="0" borderId="38" applyNumberFormat="0" applyFill="0" applyAlignment="0" applyProtection="0"/>
    <xf numFmtId="0" fontId="111"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111" fillId="46" borderId="0" applyNumberFormat="0" applyBorder="0" applyAlignment="0" applyProtection="0"/>
    <xf numFmtId="0" fontId="111"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111" fillId="50" borderId="0" applyNumberFormat="0" applyBorder="0" applyAlignment="0" applyProtection="0"/>
    <xf numFmtId="0" fontId="111" fillId="51"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111" fillId="54" borderId="0" applyNumberFormat="0" applyBorder="0" applyAlignment="0" applyProtection="0"/>
    <xf numFmtId="0" fontId="111" fillId="55"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111" fillId="58" borderId="0" applyNumberFormat="0" applyBorder="0" applyAlignment="0" applyProtection="0"/>
    <xf numFmtId="0" fontId="111" fillId="59"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111" fillId="62" borderId="0" applyNumberFormat="0" applyBorder="0" applyAlignment="0" applyProtection="0"/>
    <xf numFmtId="0" fontId="23" fillId="0" borderId="0"/>
    <xf numFmtId="0" fontId="23" fillId="38" borderId="37" applyNumberFormat="0" applyFont="0" applyAlignment="0" applyProtection="0"/>
    <xf numFmtId="165" fontId="22" fillId="0" borderId="0" applyFont="0" applyFill="0" applyBorder="0" applyAlignment="0" applyProtection="0"/>
    <xf numFmtId="0" fontId="19" fillId="0" borderId="0"/>
    <xf numFmtId="165" fontId="19" fillId="0" borderId="0" applyFont="0" applyFill="0" applyBorder="0" applyAlignment="0" applyProtection="0"/>
    <xf numFmtId="0" fontId="115" fillId="0" borderId="0" applyNumberFormat="0" applyFill="0" applyBorder="0" applyAlignment="0" applyProtection="0"/>
    <xf numFmtId="9" fontId="19" fillId="0" borderId="0" applyFont="0" applyFill="0" applyBorder="0" applyAlignment="0" applyProtection="0"/>
    <xf numFmtId="165" fontId="19" fillId="0" borderId="0" applyFont="0" applyFill="0" applyBorder="0" applyAlignment="0" applyProtection="0"/>
    <xf numFmtId="165" fontId="22" fillId="0" borderId="0" applyFont="0" applyFill="0" applyBorder="0" applyAlignment="0" applyProtection="0"/>
    <xf numFmtId="0" fontId="116" fillId="0" borderId="0" applyNumberFormat="0" applyBorder="0" applyProtection="0"/>
    <xf numFmtId="0" fontId="134" fillId="0" borderId="0"/>
  </cellStyleXfs>
  <cellXfs count="1432">
    <xf numFmtId="0" fontId="0" fillId="0" borderId="0" xfId="0"/>
    <xf numFmtId="0" fontId="0" fillId="2" borderId="0" xfId="0" applyFill="1"/>
    <xf numFmtId="0" fontId="26" fillId="2" borderId="0" xfId="0" applyFont="1" applyFill="1"/>
    <xf numFmtId="0" fontId="26" fillId="2" borderId="0" xfId="0" applyFont="1" applyFill="1" applyAlignment="1">
      <alignment horizontal="right"/>
    </xf>
    <xf numFmtId="3" fontId="0" fillId="2" borderId="0" xfId="0" applyNumberFormat="1" applyFill="1"/>
    <xf numFmtId="0" fontId="25" fillId="2" borderId="0" xfId="0" applyFont="1" applyFill="1"/>
    <xf numFmtId="0" fontId="26" fillId="2" borderId="3" xfId="0" applyFont="1" applyFill="1" applyBorder="1"/>
    <xf numFmtId="3" fontId="29" fillId="2" borderId="0" xfId="0" applyNumberFormat="1" applyFont="1" applyFill="1"/>
    <xf numFmtId="0" fontId="29" fillId="2" borderId="0" xfId="0" applyFont="1" applyFill="1"/>
    <xf numFmtId="9" fontId="0" fillId="2" borderId="0" xfId="1" applyFont="1" applyFill="1"/>
    <xf numFmtId="167" fontId="32" fillId="2" borderId="0" xfId="0" applyNumberFormat="1" applyFont="1" applyFill="1"/>
    <xf numFmtId="3" fontId="29" fillId="2" borderId="0" xfId="0" applyNumberFormat="1" applyFont="1" applyFill="1" applyAlignment="1">
      <alignment horizontal="right"/>
    </xf>
    <xf numFmtId="0" fontId="0" fillId="2" borderId="0" xfId="0" applyFill="1" applyAlignment="1">
      <alignment horizontal="right"/>
    </xf>
    <xf numFmtId="3" fontId="26" fillId="2" borderId="0" xfId="0" applyNumberFormat="1" applyFont="1" applyFill="1"/>
    <xf numFmtId="0" fontId="24" fillId="2" borderId="0" xfId="0" applyFont="1" applyFill="1"/>
    <xf numFmtId="3" fontId="0" fillId="2" borderId="0" xfId="0" applyNumberFormat="1" applyFill="1" applyAlignment="1">
      <alignment horizontal="right"/>
    </xf>
    <xf numFmtId="0" fontId="35" fillId="2" borderId="0" xfId="0" applyFont="1" applyFill="1"/>
    <xf numFmtId="3" fontId="0" fillId="2" borderId="11" xfId="0" applyNumberFormat="1" applyFill="1" applyBorder="1"/>
    <xf numFmtId="0" fontId="36" fillId="2" borderId="0" xfId="4" applyFill="1" applyAlignment="1" applyProtection="1"/>
    <xf numFmtId="0" fontId="38" fillId="2" borderId="0" xfId="0" applyFont="1" applyFill="1"/>
    <xf numFmtId="3" fontId="38" fillId="2" borderId="0" xfId="0" applyNumberFormat="1" applyFont="1" applyFill="1"/>
    <xf numFmtId="3" fontId="26" fillId="2" borderId="0" xfId="0" applyNumberFormat="1" applyFont="1" applyFill="1" applyAlignment="1">
      <alignment horizontal="right"/>
    </xf>
    <xf numFmtId="3" fontId="34" fillId="2" borderId="0" xfId="7" applyNumberFormat="1" applyFont="1" applyFill="1" applyAlignment="1">
      <alignment wrapText="1"/>
    </xf>
    <xf numFmtId="3" fontId="32" fillId="2" borderId="0" xfId="0" applyNumberFormat="1" applyFont="1" applyFill="1"/>
    <xf numFmtId="3" fontId="34" fillId="2" borderId="0" xfId="7" applyNumberFormat="1" applyFont="1" applyFill="1" applyAlignment="1">
      <alignment horizontal="left" wrapText="1"/>
    </xf>
    <xf numFmtId="0" fontId="59" fillId="2" borderId="0" xfId="0" applyFont="1" applyFill="1"/>
    <xf numFmtId="165" fontId="0" fillId="2" borderId="0" xfId="65" applyFont="1" applyFill="1" applyAlignment="1"/>
    <xf numFmtId="3" fontId="26" fillId="2" borderId="0" xfId="0" applyNumberFormat="1" applyFont="1" applyFill="1" applyAlignment="1">
      <alignment horizontal="center" wrapText="1"/>
    </xf>
    <xf numFmtId="0" fontId="0" fillId="2" borderId="0" xfId="0" applyFill="1" applyAlignment="1">
      <alignment wrapText="1"/>
    </xf>
    <xf numFmtId="0" fontId="26" fillId="2" borderId="0" xfId="0" applyFont="1" applyFill="1" applyAlignment="1">
      <alignment horizontal="left"/>
    </xf>
    <xf numFmtId="167" fontId="26" fillId="2" borderId="0" xfId="0" applyNumberFormat="1" applyFont="1" applyFill="1"/>
    <xf numFmtId="0" fontId="22" fillId="2" borderId="0" xfId="0" applyFont="1" applyFill="1"/>
    <xf numFmtId="167" fontId="0" fillId="2" borderId="0" xfId="0" applyNumberFormat="1" applyFill="1"/>
    <xf numFmtId="3" fontId="22" fillId="2" borderId="0" xfId="0" applyNumberFormat="1" applyFont="1" applyFill="1"/>
    <xf numFmtId="3" fontId="29" fillId="2" borderId="2" xfId="0" applyNumberFormat="1" applyFont="1" applyFill="1" applyBorder="1"/>
    <xf numFmtId="0" fontId="27" fillId="2" borderId="0" xfId="2" applyFill="1" applyAlignment="1">
      <alignment horizontal="right" wrapText="1"/>
    </xf>
    <xf numFmtId="167" fontId="22" fillId="2" borderId="0" xfId="0" applyNumberFormat="1" applyFont="1" applyFill="1"/>
    <xf numFmtId="0" fontId="26" fillId="2" borderId="5" xfId="0" applyFont="1" applyFill="1" applyBorder="1"/>
    <xf numFmtId="0" fontId="65" fillId="0" borderId="0" xfId="0" applyFont="1"/>
    <xf numFmtId="0" fontId="0" fillId="2" borderId="0" xfId="0" applyFill="1" applyAlignment="1">
      <alignment vertical="center"/>
    </xf>
    <xf numFmtId="0" fontId="0" fillId="2" borderId="0" xfId="0" applyFill="1" applyAlignment="1">
      <alignment horizontal="center" vertical="center"/>
    </xf>
    <xf numFmtId="0" fontId="25" fillId="2" borderId="0" xfId="0" applyFont="1" applyFill="1" applyAlignment="1">
      <alignment vertical="center"/>
    </xf>
    <xf numFmtId="3" fontId="26" fillId="2" borderId="0" xfId="0" quotePrefix="1" applyNumberFormat="1" applyFont="1" applyFill="1" applyAlignment="1">
      <alignment horizontal="right"/>
    </xf>
    <xf numFmtId="3" fontId="22" fillId="2" borderId="0" xfId="0" applyNumberFormat="1" applyFont="1" applyFill="1" applyAlignment="1">
      <alignment horizontal="right"/>
    </xf>
    <xf numFmtId="3" fontId="26" fillId="2" borderId="0" xfId="0" applyNumberFormat="1" applyFont="1" applyFill="1" applyAlignment="1">
      <alignment vertical="center"/>
    </xf>
    <xf numFmtId="167" fontId="32" fillId="2" borderId="0" xfId="0" quotePrefix="1" applyNumberFormat="1" applyFont="1" applyFill="1" applyAlignment="1">
      <alignment horizontal="right"/>
    </xf>
    <xf numFmtId="167" fontId="32" fillId="2" borderId="0" xfId="0" applyNumberFormat="1" applyFont="1" applyFill="1" applyAlignment="1">
      <alignment horizontal="right"/>
    </xf>
    <xf numFmtId="3" fontId="25" fillId="2" borderId="0" xfId="0" applyNumberFormat="1" applyFont="1" applyFill="1" applyAlignment="1">
      <alignment horizontal="right"/>
    </xf>
    <xf numFmtId="1" fontId="31" fillId="2" borderId="0" xfId="0" quotePrefix="1" applyNumberFormat="1" applyFont="1" applyFill="1" applyAlignment="1">
      <alignment horizontal="right"/>
    </xf>
    <xf numFmtId="1" fontId="31" fillId="2" borderId="0" xfId="0" applyNumberFormat="1" applyFont="1" applyFill="1" applyAlignment="1">
      <alignment horizontal="right"/>
    </xf>
    <xf numFmtId="0" fontId="22" fillId="2" borderId="0" xfId="0" applyFont="1" applyFill="1" applyAlignment="1">
      <alignment horizontal="left"/>
    </xf>
    <xf numFmtId="0" fontId="26" fillId="2" borderId="0" xfId="0" applyFont="1" applyFill="1" applyAlignment="1">
      <alignment horizontal="right" vertical="center"/>
    </xf>
    <xf numFmtId="3" fontId="22" fillId="2" borderId="0" xfId="0" quotePrefix="1" applyNumberFormat="1" applyFont="1" applyFill="1" applyAlignment="1">
      <alignment horizontal="right"/>
    </xf>
    <xf numFmtId="169" fontId="22" fillId="2" borderId="0" xfId="70" applyNumberFormat="1" applyFont="1" applyFill="1" applyBorder="1"/>
    <xf numFmtId="170" fontId="22" fillId="2" borderId="0" xfId="68" applyFont="1" applyFill="1" applyBorder="1" applyAlignment="1">
      <alignment wrapText="1"/>
    </xf>
    <xf numFmtId="170" fontId="22" fillId="2" borderId="0" xfId="68" applyFont="1" applyFill="1" applyBorder="1"/>
    <xf numFmtId="0" fontId="22" fillId="0" borderId="0" xfId="0" applyFont="1"/>
    <xf numFmtId="0" fontId="22" fillId="2" borderId="0" xfId="0" applyFont="1" applyFill="1" applyAlignment="1">
      <alignment horizontal="right"/>
    </xf>
    <xf numFmtId="0" fontId="0" fillId="2" borderId="0" xfId="0" applyFill="1" applyAlignment="1">
      <alignment horizontal="center"/>
    </xf>
    <xf numFmtId="0" fontId="71" fillId="2" borderId="0" xfId="0" applyFont="1" applyFill="1" applyAlignment="1">
      <alignment vertical="center"/>
    </xf>
    <xf numFmtId="0" fontId="72" fillId="2" borderId="0" xfId="0" applyFont="1" applyFill="1" applyAlignment="1">
      <alignment horizontal="right"/>
    </xf>
    <xf numFmtId="0" fontId="73" fillId="2" borderId="0" xfId="0" applyFont="1" applyFill="1" applyAlignment="1">
      <alignment horizontal="right"/>
    </xf>
    <xf numFmtId="0" fontId="36" fillId="2" borderId="0" xfId="4" applyFill="1" applyBorder="1" applyAlignment="1" applyProtection="1"/>
    <xf numFmtId="0" fontId="0" fillId="2" borderId="15" xfId="0" applyFill="1" applyBorder="1"/>
    <xf numFmtId="0" fontId="22" fillId="2" borderId="0" xfId="0" applyFont="1" applyFill="1" applyAlignment="1">
      <alignment vertical="center"/>
    </xf>
    <xf numFmtId="0" fontId="23" fillId="0" borderId="0" xfId="0" applyFont="1"/>
    <xf numFmtId="0" fontId="26" fillId="2" borderId="15" xfId="0" applyFont="1" applyFill="1" applyBorder="1" applyAlignment="1">
      <alignment horizontal="right"/>
    </xf>
    <xf numFmtId="0" fontId="72" fillId="2" borderId="15" xfId="0" applyFont="1" applyFill="1" applyBorder="1" applyAlignment="1">
      <alignment horizontal="right"/>
    </xf>
    <xf numFmtId="164" fontId="0" fillId="2" borderId="0" xfId="0" applyNumberFormat="1" applyFill="1"/>
    <xf numFmtId="164" fontId="22" fillId="2" borderId="0" xfId="0" applyNumberFormat="1" applyFont="1" applyFill="1"/>
    <xf numFmtId="164" fontId="22" fillId="2" borderId="0" xfId="0" applyNumberFormat="1" applyFont="1" applyFill="1" applyAlignment="1">
      <alignment horizontal="right"/>
    </xf>
    <xf numFmtId="167" fontId="30" fillId="0" borderId="0" xfId="0" applyNumberFormat="1" applyFont="1" applyAlignment="1">
      <alignment horizontal="right"/>
    </xf>
    <xf numFmtId="0" fontId="25" fillId="0" borderId="0" xfId="0" applyFont="1" applyAlignment="1">
      <alignment vertical="center"/>
    </xf>
    <xf numFmtId="0" fontId="66" fillId="2" borderId="15" xfId="0" applyFont="1" applyFill="1" applyBorder="1"/>
    <xf numFmtId="0" fontId="73" fillId="2" borderId="15" xfId="0" applyFont="1" applyFill="1" applyBorder="1" applyAlignment="1">
      <alignment horizontal="right"/>
    </xf>
    <xf numFmtId="0" fontId="68" fillId="2" borderId="0" xfId="0" applyFont="1" applyFill="1" applyAlignment="1">
      <alignment vertical="center" wrapText="1"/>
    </xf>
    <xf numFmtId="3" fontId="72" fillId="2" borderId="0" xfId="0" applyNumberFormat="1" applyFont="1" applyFill="1" applyAlignment="1">
      <alignment horizontal="right"/>
    </xf>
    <xf numFmtId="0" fontId="26" fillId="2" borderId="0" xfId="0" applyFont="1" applyFill="1" applyAlignment="1">
      <alignment horizontal="center" wrapText="1"/>
    </xf>
    <xf numFmtId="3" fontId="29" fillId="0" borderId="0" xfId="0" applyNumberFormat="1" applyFont="1" applyAlignment="1">
      <alignment horizontal="right"/>
    </xf>
    <xf numFmtId="0" fontId="26" fillId="2" borderId="0" xfId="0" applyFont="1" applyFill="1" applyAlignment="1">
      <alignment horizontal="right" wrapText="1"/>
    </xf>
    <xf numFmtId="0" fontId="62" fillId="2" borderId="0" xfId="0" applyFont="1" applyFill="1" applyAlignment="1">
      <alignment horizontal="right"/>
    </xf>
    <xf numFmtId="3" fontId="26" fillId="2" borderId="0" xfId="0" applyNumberFormat="1" applyFont="1" applyFill="1" applyAlignment="1">
      <alignment horizontal="right" vertical="center"/>
    </xf>
    <xf numFmtId="0" fontId="69" fillId="2" borderId="0" xfId="0" applyFont="1" applyFill="1" applyAlignment="1">
      <alignment horizontal="left" vertical="center"/>
    </xf>
    <xf numFmtId="0" fontId="69" fillId="2" borderId="0" xfId="0" applyFont="1" applyFill="1" applyAlignment="1">
      <alignment horizontal="right"/>
    </xf>
    <xf numFmtId="0" fontId="84" fillId="2" borderId="0" xfId="0" applyFont="1" applyFill="1"/>
    <xf numFmtId="166" fontId="25" fillId="2" borderId="0" xfId="0" applyNumberFormat="1" applyFont="1" applyFill="1" applyAlignment="1">
      <alignment vertical="center"/>
    </xf>
    <xf numFmtId="0" fontId="85" fillId="2" borderId="0" xfId="0" applyFont="1" applyFill="1"/>
    <xf numFmtId="166" fontId="30" fillId="2" borderId="0" xfId="0" applyNumberFormat="1" applyFont="1" applyFill="1"/>
    <xf numFmtId="167" fontId="30" fillId="2" borderId="0" xfId="0" applyNumberFormat="1" applyFont="1" applyFill="1"/>
    <xf numFmtId="166" fontId="32" fillId="2" borderId="0" xfId="0" applyNumberFormat="1" applyFont="1" applyFill="1"/>
    <xf numFmtId="0" fontId="32" fillId="2" borderId="0" xfId="0" applyFont="1" applyFill="1"/>
    <xf numFmtId="0" fontId="87" fillId="2" borderId="0" xfId="0" applyFont="1" applyFill="1"/>
    <xf numFmtId="167" fontId="0" fillId="0" borderId="0" xfId="0" applyNumberFormat="1"/>
    <xf numFmtId="0" fontId="36" fillId="2" borderId="0" xfId="4" applyFill="1" applyAlignment="1" applyProtection="1">
      <alignment horizontal="left"/>
    </xf>
    <xf numFmtId="0" fontId="0" fillId="31" borderId="0" xfId="0" applyFill="1"/>
    <xf numFmtId="0" fontId="89" fillId="31" borderId="0" xfId="0" applyFont="1" applyFill="1"/>
    <xf numFmtId="0" fontId="87" fillId="2" borderId="0" xfId="0" applyFont="1" applyFill="1" applyAlignment="1">
      <alignment horizontal="left"/>
    </xf>
    <xf numFmtId="0" fontId="86" fillId="2" borderId="0" xfId="4" applyFont="1" applyFill="1" applyAlignment="1" applyProtection="1">
      <alignment horizontal="left"/>
    </xf>
    <xf numFmtId="0" fontId="69" fillId="2" borderId="0" xfId="0" applyFont="1" applyFill="1" applyAlignment="1">
      <alignment vertical="center"/>
    </xf>
    <xf numFmtId="164" fontId="27" fillId="0" borderId="0" xfId="118" applyNumberFormat="1" applyAlignment="1">
      <alignment horizontal="right" wrapText="1"/>
    </xf>
    <xf numFmtId="0" fontId="26" fillId="2" borderId="0" xfId="0" applyFont="1" applyFill="1" applyAlignment="1">
      <alignment vertical="center"/>
    </xf>
    <xf numFmtId="168" fontId="26" fillId="2" borderId="0" xfId="65" applyNumberFormat="1" applyFont="1" applyFill="1" applyBorder="1" applyAlignment="1">
      <alignment horizontal="right" vertical="center" wrapText="1"/>
    </xf>
    <xf numFmtId="0" fontId="26" fillId="0" borderId="11" xfId="0" applyFont="1" applyBorder="1"/>
    <xf numFmtId="3" fontId="0" fillId="2" borderId="2" xfId="0" applyNumberFormat="1" applyFill="1" applyBorder="1"/>
    <xf numFmtId="10" fontId="0" fillId="2" borderId="0" xfId="0" applyNumberFormat="1" applyFill="1"/>
    <xf numFmtId="0" fontId="0" fillId="0" borderId="0" xfId="0" applyAlignment="1">
      <alignment vertical="center"/>
    </xf>
    <xf numFmtId="0" fontId="36" fillId="0" borderId="0" xfId="4" applyAlignment="1" applyProtection="1"/>
    <xf numFmtId="0" fontId="83" fillId="2" borderId="0" xfId="0" applyFont="1" applyFill="1" applyAlignment="1">
      <alignment horizontal="left"/>
    </xf>
    <xf numFmtId="0" fontId="0" fillId="30" borderId="11" xfId="0" applyFill="1" applyBorder="1" applyAlignment="1">
      <alignment horizontal="right"/>
    </xf>
    <xf numFmtId="0" fontId="0" fillId="30" borderId="0" xfId="0" applyFill="1" applyAlignment="1">
      <alignment horizontal="right"/>
    </xf>
    <xf numFmtId="164" fontId="27" fillId="0" borderId="11" xfId="120" applyNumberFormat="1" applyBorder="1" applyAlignment="1">
      <alignment horizontal="right" wrapText="1"/>
    </xf>
    <xf numFmtId="164" fontId="27" fillId="0" borderId="0" xfId="120" applyNumberFormat="1" applyAlignment="1">
      <alignment horizontal="right" wrapText="1"/>
    </xf>
    <xf numFmtId="0" fontId="23" fillId="2" borderId="0" xfId="0" applyFont="1" applyFill="1"/>
    <xf numFmtId="0" fontId="69" fillId="2" borderId="0" xfId="0" applyFont="1" applyFill="1" applyAlignment="1">
      <alignment horizontal="right" wrapText="1"/>
    </xf>
    <xf numFmtId="169" fontId="26" fillId="2" borderId="0" xfId="65" applyNumberFormat="1" applyFont="1" applyFill="1" applyBorder="1" applyAlignment="1">
      <alignment horizontal="right" vertical="center" wrapText="1"/>
    </xf>
    <xf numFmtId="168" fontId="31" fillId="2" borderId="0" xfId="65" applyNumberFormat="1" applyFont="1" applyFill="1" applyBorder="1" applyAlignment="1">
      <alignment horizontal="right" vertical="center" wrapText="1"/>
    </xf>
    <xf numFmtId="164" fontId="27" fillId="0" borderId="0" xfId="124" applyNumberFormat="1" applyAlignment="1">
      <alignment horizontal="right" wrapText="1"/>
    </xf>
    <xf numFmtId="0" fontId="25" fillId="0" borderId="0" xfId="0" applyFont="1"/>
    <xf numFmtId="0" fontId="69" fillId="0" borderId="0" xfId="0" applyFont="1" applyAlignment="1">
      <alignment vertical="center"/>
    </xf>
    <xf numFmtId="0" fontId="26" fillId="2" borderId="1" xfId="0" applyFont="1" applyFill="1" applyBorder="1" applyAlignment="1">
      <alignment horizontal="center" wrapText="1"/>
    </xf>
    <xf numFmtId="0" fontId="68" fillId="2" borderId="0" xfId="0" applyFont="1" applyFill="1" applyAlignment="1">
      <alignment vertical="center"/>
    </xf>
    <xf numFmtId="0" fontId="90" fillId="0" borderId="0" xfId="125" applyFont="1" applyAlignment="1">
      <alignment wrapText="1"/>
    </xf>
    <xf numFmtId="0" fontId="90" fillId="0" borderId="0" xfId="125" applyFont="1" applyAlignment="1">
      <alignment horizontal="right" wrapText="1"/>
    </xf>
    <xf numFmtId="3" fontId="25" fillId="2" borderId="0" xfId="0" applyNumberFormat="1" applyFont="1" applyFill="1"/>
    <xf numFmtId="0" fontId="0" fillId="2" borderId="0" xfId="0" quotePrefix="1" applyFill="1" applyAlignment="1">
      <alignment horizontal="right"/>
    </xf>
    <xf numFmtId="0" fontId="85" fillId="2" borderId="0" xfId="0" applyFont="1" applyFill="1" applyAlignment="1">
      <alignment horizontal="left" wrapText="1"/>
    </xf>
    <xf numFmtId="164" fontId="0" fillId="2" borderId="0" xfId="0" quotePrefix="1" applyNumberFormat="1" applyFill="1" applyAlignment="1">
      <alignment horizontal="right"/>
    </xf>
    <xf numFmtId="164" fontId="27" fillId="2" borderId="0" xfId="127" applyNumberFormat="1" applyFill="1" applyAlignment="1">
      <alignment horizontal="right"/>
    </xf>
    <xf numFmtId="3" fontId="0" fillId="2" borderId="0" xfId="0" applyNumberFormat="1" applyFill="1" applyAlignment="1">
      <alignment vertical="center"/>
    </xf>
    <xf numFmtId="0" fontId="68" fillId="2" borderId="0" xfId="0" applyFont="1" applyFill="1" applyAlignment="1">
      <alignment horizontal="left" vertical="center"/>
    </xf>
    <xf numFmtId="164" fontId="0" fillId="2" borderId="0" xfId="0" applyNumberFormat="1" applyFill="1" applyAlignment="1">
      <alignment horizontal="right"/>
    </xf>
    <xf numFmtId="164" fontId="0" fillId="2" borderId="2" xfId="0" applyNumberFormat="1" applyFill="1" applyBorder="1" applyAlignment="1">
      <alignment horizontal="right"/>
    </xf>
    <xf numFmtId="166" fontId="27" fillId="2" borderId="0" xfId="127" applyNumberFormat="1" applyFill="1" applyAlignment="1">
      <alignment horizontal="right"/>
    </xf>
    <xf numFmtId="164" fontId="27" fillId="2" borderId="2" xfId="127" quotePrefix="1" applyNumberFormat="1" applyFill="1" applyBorder="1" applyAlignment="1">
      <alignment horizontal="right"/>
    </xf>
    <xf numFmtId="164" fontId="27" fillId="2" borderId="0" xfId="127" quotePrefix="1" applyNumberFormat="1" applyFill="1" applyAlignment="1">
      <alignment horizontal="right"/>
    </xf>
    <xf numFmtId="0" fontId="60" fillId="0" borderId="0" xfId="0" applyFont="1" applyAlignment="1">
      <alignment vertical="center"/>
    </xf>
    <xf numFmtId="0" fontId="26" fillId="2" borderId="0" xfId="0" applyFont="1" applyFill="1" applyAlignment="1">
      <alignment wrapText="1"/>
    </xf>
    <xf numFmtId="0" fontId="22" fillId="2" borderId="0" xfId="128" applyFont="1" applyFill="1" applyAlignment="1">
      <alignment horizontal="center"/>
    </xf>
    <xf numFmtId="0" fontId="26" fillId="2" borderId="0" xfId="0" applyFont="1" applyFill="1" applyAlignment="1">
      <alignment horizontal="left" wrapText="1"/>
    </xf>
    <xf numFmtId="0" fontId="86" fillId="2" borderId="0" xfId="4" applyFont="1" applyFill="1" applyAlignment="1" applyProtection="1"/>
    <xf numFmtId="0" fontId="68" fillId="2" borderId="0" xfId="0" applyFont="1" applyFill="1" applyAlignment="1">
      <alignment wrapText="1"/>
    </xf>
    <xf numFmtId="0" fontId="26" fillId="2" borderId="4" xfId="0" applyFont="1" applyFill="1" applyBorder="1" applyAlignment="1">
      <alignment vertical="center"/>
    </xf>
    <xf numFmtId="164" fontId="22" fillId="2" borderId="2" xfId="0" applyNumberFormat="1" applyFont="1" applyFill="1" applyBorder="1" applyAlignment="1">
      <alignment horizontal="right"/>
    </xf>
    <xf numFmtId="0" fontId="69" fillId="2" borderId="0" xfId="0" applyFont="1" applyFill="1" applyAlignment="1">
      <alignment horizontal="right" vertical="center"/>
    </xf>
    <xf numFmtId="164" fontId="26" fillId="2" borderId="12" xfId="0" applyNumberFormat="1" applyFont="1" applyFill="1" applyBorder="1" applyAlignment="1">
      <alignment horizontal="right"/>
    </xf>
    <xf numFmtId="0" fontId="26" fillId="2" borderId="0" xfId="0" applyFont="1" applyFill="1" applyAlignment="1">
      <alignment horizontal="center" vertical="center" wrapText="1"/>
    </xf>
    <xf numFmtId="164" fontId="26" fillId="2" borderId="0" xfId="0" applyNumberFormat="1" applyFont="1" applyFill="1" applyAlignment="1">
      <alignment horizontal="right"/>
    </xf>
    <xf numFmtId="0" fontId="28" fillId="0" borderId="0" xfId="130" applyFont="1" applyAlignment="1">
      <alignment wrapText="1"/>
    </xf>
    <xf numFmtId="0" fontId="28" fillId="0" borderId="0" xfId="130" applyFont="1" applyAlignment="1">
      <alignment horizontal="right" wrapText="1"/>
    </xf>
    <xf numFmtId="3" fontId="83" fillId="2" borderId="0" xfId="0" applyNumberFormat="1" applyFont="1" applyFill="1"/>
    <xf numFmtId="3" fontId="22" fillId="2" borderId="2" xfId="0" applyNumberFormat="1" applyFont="1" applyFill="1" applyBorder="1"/>
    <xf numFmtId="0" fontId="31" fillId="2" borderId="0" xfId="0" applyFont="1" applyFill="1" applyAlignment="1">
      <alignment horizontal="right"/>
    </xf>
    <xf numFmtId="166" fontId="32" fillId="2" borderId="0" xfId="0" quotePrefix="1" applyNumberFormat="1" applyFont="1" applyFill="1" applyAlignment="1">
      <alignment horizontal="right"/>
    </xf>
    <xf numFmtId="0" fontId="26" fillId="2" borderId="1" xfId="0" applyFont="1" applyFill="1" applyBorder="1"/>
    <xf numFmtId="164" fontId="27" fillId="0" borderId="0" xfId="131" applyNumberFormat="1" applyAlignment="1">
      <alignment horizontal="right" wrapText="1"/>
    </xf>
    <xf numFmtId="164" fontId="22" fillId="2" borderId="0" xfId="0" quotePrefix="1" applyNumberFormat="1" applyFont="1" applyFill="1" applyAlignment="1">
      <alignment horizontal="right"/>
    </xf>
    <xf numFmtId="0" fontId="73" fillId="2" borderId="0" xfId="0" applyFont="1" applyFill="1"/>
    <xf numFmtId="0" fontId="92" fillId="2" borderId="0" xfId="0" applyFont="1" applyFill="1"/>
    <xf numFmtId="0" fontId="93" fillId="2" borderId="0" xfId="0" applyFont="1" applyFill="1" applyAlignment="1">
      <alignment horizontal="center" wrapText="1"/>
    </xf>
    <xf numFmtId="167" fontId="92" fillId="2" borderId="0" xfId="0" applyNumberFormat="1" applyFont="1" applyFill="1"/>
    <xf numFmtId="166" fontId="31" fillId="2" borderId="0" xfId="0" applyNumberFormat="1" applyFont="1" applyFill="1"/>
    <xf numFmtId="3" fontId="0" fillId="2" borderId="0" xfId="0" applyNumberFormat="1" applyFill="1" applyAlignment="1">
      <alignment wrapText="1"/>
    </xf>
    <xf numFmtId="3" fontId="0" fillId="2" borderId="0" xfId="0" quotePrefix="1" applyNumberFormat="1" applyFill="1" applyAlignment="1">
      <alignment horizontal="right" wrapText="1"/>
    </xf>
    <xf numFmtId="3" fontId="0" fillId="2" borderId="0" xfId="0" applyNumberFormat="1" applyFill="1" applyAlignment="1">
      <alignment horizontal="right" wrapText="1"/>
    </xf>
    <xf numFmtId="164" fontId="22" fillId="0" borderId="0" xfId="0" applyNumberFormat="1" applyFont="1" applyAlignment="1">
      <alignment horizontal="right"/>
    </xf>
    <xf numFmtId="0" fontId="60" fillId="2" borderId="0" xfId="0" applyFont="1" applyFill="1" applyAlignment="1">
      <alignment vertical="center"/>
    </xf>
    <xf numFmtId="3" fontId="85" fillId="2" borderId="0" xfId="0" applyNumberFormat="1" applyFont="1" applyFill="1"/>
    <xf numFmtId="3" fontId="0" fillId="2" borderId="2" xfId="0" applyNumberFormat="1" applyFill="1" applyBorder="1" applyAlignment="1">
      <alignment wrapText="1"/>
    </xf>
    <xf numFmtId="164" fontId="27" fillId="0" borderId="0" xfId="133" applyNumberFormat="1" applyAlignment="1">
      <alignment horizontal="right" wrapText="1"/>
    </xf>
    <xf numFmtId="0" fontId="26" fillId="2" borderId="3" xfId="0" applyFont="1" applyFill="1" applyBorder="1" applyAlignment="1">
      <alignment horizontal="center" wrapText="1"/>
    </xf>
    <xf numFmtId="0" fontId="90" fillId="0" borderId="0" xfId="134" applyFont="1" applyAlignment="1">
      <alignment wrapText="1"/>
    </xf>
    <xf numFmtId="167" fontId="30" fillId="2" borderId="2" xfId="0" applyNumberFormat="1" applyFont="1" applyFill="1" applyBorder="1"/>
    <xf numFmtId="0" fontId="85" fillId="2" borderId="0" xfId="0" applyFont="1" applyFill="1" applyAlignment="1">
      <alignment horizontal="left"/>
    </xf>
    <xf numFmtId="3" fontId="25" fillId="26" borderId="0" xfId="0" applyNumberFormat="1" applyFont="1" applyFill="1" applyAlignment="1">
      <alignment vertical="center"/>
    </xf>
    <xf numFmtId="3" fontId="25" fillId="2" borderId="0" xfId="0" applyNumberFormat="1" applyFont="1" applyFill="1" applyAlignment="1">
      <alignment vertical="center"/>
    </xf>
    <xf numFmtId="1" fontId="66" fillId="2" borderId="0" xfId="1" applyNumberFormat="1" applyFont="1" applyFill="1" applyBorder="1" applyAlignment="1">
      <alignment horizontal="right" vertical="center"/>
    </xf>
    <xf numFmtId="167" fontId="26" fillId="2" borderId="0" xfId="0" applyNumberFormat="1" applyFont="1" applyFill="1" applyAlignment="1">
      <alignment vertical="center"/>
    </xf>
    <xf numFmtId="0" fontId="69" fillId="2" borderId="0" xfId="0" applyFont="1" applyFill="1" applyAlignment="1">
      <alignment horizontal="left" vertical="center" wrapText="1"/>
    </xf>
    <xf numFmtId="167" fontId="31" fillId="2" borderId="0" xfId="0" quotePrefix="1" applyNumberFormat="1" applyFont="1" applyFill="1" applyAlignment="1">
      <alignment horizontal="right" vertical="center"/>
    </xf>
    <xf numFmtId="167" fontId="31" fillId="2" borderId="0" xfId="0" applyNumberFormat="1" applyFont="1" applyFill="1" applyAlignment="1">
      <alignment vertical="center"/>
    </xf>
    <xf numFmtId="167" fontId="30" fillId="2" borderId="0" xfId="0" applyNumberFormat="1" applyFont="1" applyFill="1" applyAlignment="1">
      <alignment horizontal="right"/>
    </xf>
    <xf numFmtId="0" fontId="61" fillId="0" borderId="0" xfId="0" applyFont="1" applyAlignment="1">
      <alignment vertical="center"/>
    </xf>
    <xf numFmtId="0" fontId="90" fillId="0" borderId="0" xfId="136" applyFont="1" applyAlignment="1">
      <alignment horizontal="right" wrapText="1"/>
    </xf>
    <xf numFmtId="164" fontId="0" fillId="0" borderId="0" xfId="0" applyNumberFormat="1" applyAlignment="1">
      <alignment horizontal="right"/>
    </xf>
    <xf numFmtId="164" fontId="0" fillId="2" borderId="2" xfId="0" applyNumberFormat="1" applyFill="1" applyBorder="1"/>
    <xf numFmtId="0" fontId="27" fillId="0" borderId="0" xfId="137" applyAlignment="1">
      <alignment horizontal="right" wrapText="1"/>
    </xf>
    <xf numFmtId="0" fontId="26" fillId="2" borderId="4" xfId="0" applyFont="1" applyFill="1" applyBorder="1" applyAlignment="1">
      <alignment horizontal="center" wrapText="1"/>
    </xf>
    <xf numFmtId="0" fontId="0" fillId="2" borderId="11" xfId="0" applyFill="1" applyBorder="1" applyAlignment="1">
      <alignment vertical="center"/>
    </xf>
    <xf numFmtId="0" fontId="26" fillId="2" borderId="0" xfId="0" applyFont="1" applyFill="1" applyAlignment="1">
      <alignment horizontal="left" vertical="center"/>
    </xf>
    <xf numFmtId="3" fontId="24" fillId="0" borderId="0" xfId="0" applyNumberFormat="1" applyFont="1"/>
    <xf numFmtId="164" fontId="23" fillId="2" borderId="0" xfId="0" applyNumberFormat="1" applyFont="1" applyFill="1"/>
    <xf numFmtId="3" fontId="0" fillId="0" borderId="0" xfId="0" applyNumberFormat="1"/>
    <xf numFmtId="0" fontId="39" fillId="3" borderId="3" xfId="7" applyFont="1" applyFill="1" applyBorder="1" applyAlignment="1">
      <alignment horizontal="center" vertical="center" wrapText="1"/>
    </xf>
    <xf numFmtId="164" fontId="0" fillId="0" borderId="0" xfId="0" applyNumberFormat="1"/>
    <xf numFmtId="0" fontId="26" fillId="2" borderId="0" xfId="0" applyFont="1" applyFill="1" applyAlignment="1">
      <alignment horizontal="center" vertical="center"/>
    </xf>
    <xf numFmtId="0" fontId="27" fillId="0" borderId="0" xfId="138" applyAlignment="1">
      <alignment horizontal="right" wrapText="1"/>
    </xf>
    <xf numFmtId="0" fontId="0" fillId="0" borderId="15" xfId="0" applyBorder="1"/>
    <xf numFmtId="0" fontId="68" fillId="2" borderId="0" xfId="0" applyFont="1" applyFill="1" applyAlignment="1">
      <alignment horizontal="left" vertical="center" wrapText="1"/>
    </xf>
    <xf numFmtId="164" fontId="0" fillId="2" borderId="0" xfId="0" applyNumberFormat="1" applyFill="1" applyAlignment="1">
      <alignment horizontal="right" wrapText="1"/>
    </xf>
    <xf numFmtId="164" fontId="0" fillId="2" borderId="0" xfId="0" quotePrefix="1" applyNumberFormat="1" applyFill="1" applyAlignment="1">
      <alignment horizontal="right" wrapText="1"/>
    </xf>
    <xf numFmtId="166" fontId="30" fillId="2" borderId="0" xfId="0" applyNumberFormat="1" applyFont="1" applyFill="1" applyAlignment="1">
      <alignment horizontal="right"/>
    </xf>
    <xf numFmtId="3" fontId="26" fillId="2" borderId="0" xfId="0" applyNumberFormat="1" applyFont="1" applyFill="1" applyAlignment="1">
      <alignment horizontal="right" wrapText="1"/>
    </xf>
    <xf numFmtId="171" fontId="30" fillId="2" borderId="2" xfId="0" applyNumberFormat="1" applyFont="1" applyFill="1" applyBorder="1" applyAlignment="1">
      <alignment horizontal="right"/>
    </xf>
    <xf numFmtId="171" fontId="30" fillId="2" borderId="0" xfId="0" applyNumberFormat="1" applyFont="1" applyFill="1" applyAlignment="1">
      <alignment horizontal="right"/>
    </xf>
    <xf numFmtId="171" fontId="30" fillId="2" borderId="0" xfId="0" applyNumberFormat="1" applyFont="1" applyFill="1"/>
    <xf numFmtId="0" fontId="34" fillId="2" borderId="5" xfId="0" applyFont="1" applyFill="1" applyBorder="1" applyAlignment="1">
      <alignment horizontal="center" vertical="center" wrapText="1"/>
    </xf>
    <xf numFmtId="3" fontId="22" fillId="30" borderId="1" xfId="0" quotePrefix="1" applyNumberFormat="1" applyFont="1" applyFill="1" applyBorder="1" applyAlignment="1">
      <alignment horizontal="right"/>
    </xf>
    <xf numFmtId="3" fontId="22" fillId="30" borderId="11" xfId="0" applyNumberFormat="1" applyFont="1" applyFill="1" applyBorder="1" applyAlignment="1">
      <alignment horizontal="right" vertical="center"/>
    </xf>
    <xf numFmtId="3" fontId="22" fillId="30" borderId="0" xfId="0" applyNumberFormat="1" applyFont="1" applyFill="1" applyAlignment="1">
      <alignment horizontal="right" vertical="center"/>
    </xf>
    <xf numFmtId="3" fontId="23" fillId="0" borderId="0" xfId="0" applyNumberFormat="1" applyFont="1"/>
    <xf numFmtId="1" fontId="31" fillId="2" borderId="0" xfId="0" quotePrefix="1" applyNumberFormat="1" applyFont="1" applyFill="1" applyAlignment="1">
      <alignment horizontal="right" wrapText="1"/>
    </xf>
    <xf numFmtId="164" fontId="27" fillId="0" borderId="0" xfId="66" applyNumberFormat="1" applyAlignment="1">
      <alignment horizontal="right"/>
    </xf>
    <xf numFmtId="164" fontId="27" fillId="0" borderId="0" xfId="66" applyNumberFormat="1"/>
    <xf numFmtId="3" fontId="36" fillId="2" borderId="11" xfId="4" applyNumberFormat="1" applyFill="1" applyBorder="1" applyAlignment="1" applyProtection="1"/>
    <xf numFmtId="3" fontId="22" fillId="0" borderId="0" xfId="0" applyNumberFormat="1" applyFont="1" applyAlignment="1">
      <alignment vertical="center"/>
    </xf>
    <xf numFmtId="0" fontId="26" fillId="2" borderId="3" xfId="0" applyFont="1" applyFill="1" applyBorder="1" applyAlignment="1">
      <alignment horizontal="center" vertical="center" wrapText="1"/>
    </xf>
    <xf numFmtId="167" fontId="32" fillId="2" borderId="2" xfId="0" applyNumberFormat="1" applyFont="1" applyFill="1" applyBorder="1"/>
    <xf numFmtId="166" fontId="32" fillId="2" borderId="2" xfId="0" applyNumberFormat="1" applyFont="1" applyFill="1" applyBorder="1"/>
    <xf numFmtId="164" fontId="0" fillId="2" borderId="2" xfId="0" quotePrefix="1" applyNumberFormat="1" applyFill="1" applyBorder="1" applyAlignment="1">
      <alignment horizontal="right"/>
    </xf>
    <xf numFmtId="166" fontId="30" fillId="2" borderId="2" xfId="0" applyNumberFormat="1" applyFont="1" applyFill="1" applyBorder="1"/>
    <xf numFmtId="164" fontId="0" fillId="2" borderId="2" xfId="0" quotePrefix="1" applyNumberFormat="1" applyFill="1" applyBorder="1" applyAlignment="1">
      <alignment wrapText="1"/>
    </xf>
    <xf numFmtId="164" fontId="0" fillId="2" borderId="0" xfId="0" quotePrefix="1" applyNumberFormat="1" applyFill="1" applyAlignment="1">
      <alignment wrapText="1"/>
    </xf>
    <xf numFmtId="3" fontId="0" fillId="2" borderId="2" xfId="0" quotePrefix="1" applyNumberFormat="1" applyFill="1" applyBorder="1" applyAlignment="1">
      <alignment horizontal="right" wrapText="1"/>
    </xf>
    <xf numFmtId="164" fontId="27" fillId="0" borderId="0" xfId="137" applyNumberFormat="1" applyAlignment="1">
      <alignment horizontal="right" wrapText="1"/>
    </xf>
    <xf numFmtId="37" fontId="112" fillId="0" borderId="0" xfId="0" applyNumberFormat="1" applyFont="1" applyAlignment="1">
      <alignment horizontal="right"/>
    </xf>
    <xf numFmtId="0" fontId="0" fillId="0" borderId="0" xfId="0" applyAlignment="1">
      <alignment vertical="top"/>
    </xf>
    <xf numFmtId="3" fontId="25" fillId="0" borderId="0" xfId="0" applyNumberFormat="1" applyFont="1" applyAlignment="1">
      <alignment horizontal="right"/>
    </xf>
    <xf numFmtId="3" fontId="85" fillId="2" borderId="0" xfId="0" applyNumberFormat="1" applyFont="1" applyFill="1" applyAlignment="1">
      <alignment horizontal="left"/>
    </xf>
    <xf numFmtId="172" fontId="0" fillId="2" borderId="0" xfId="0" applyNumberFormat="1" applyFill="1"/>
    <xf numFmtId="172" fontId="0" fillId="0" borderId="0" xfId="0" applyNumberFormat="1"/>
    <xf numFmtId="0" fontId="113" fillId="0" borderId="0" xfId="0" applyFont="1"/>
    <xf numFmtId="0" fontId="36" fillId="2" borderId="8" xfId="4" applyFill="1" applyBorder="1" applyAlignment="1" applyProtection="1">
      <alignment vertical="center"/>
    </xf>
    <xf numFmtId="0" fontId="63" fillId="0" borderId="0" xfId="0" applyFont="1"/>
    <xf numFmtId="0" fontId="26" fillId="2" borderId="9" xfId="0" applyFont="1" applyFill="1" applyBorder="1" applyAlignment="1">
      <alignment horizontal="center" vertical="center" wrapText="1"/>
    </xf>
    <xf numFmtId="0" fontId="0" fillId="0" borderId="0" xfId="0" pivotButton="1"/>
    <xf numFmtId="0" fontId="0" fillId="0" borderId="0" xfId="0" applyAlignment="1">
      <alignment horizontal="left"/>
    </xf>
    <xf numFmtId="164" fontId="22" fillId="0" borderId="0" xfId="120" applyNumberFormat="1" applyFont="1" applyAlignment="1">
      <alignment horizontal="right" wrapText="1"/>
    </xf>
    <xf numFmtId="0" fontId="68" fillId="0" borderId="0" xfId="0" applyFont="1" applyAlignment="1">
      <alignment vertical="center"/>
    </xf>
    <xf numFmtId="0" fontId="63" fillId="2" borderId="0" xfId="0" applyFont="1" applyFill="1" applyAlignment="1">
      <alignment horizontal="center"/>
    </xf>
    <xf numFmtId="0" fontId="0" fillId="2" borderId="0" xfId="0" applyFill="1" applyAlignment="1">
      <alignment horizontal="left"/>
    </xf>
    <xf numFmtId="164" fontId="0" fillId="0" borderId="2" xfId="0" applyNumberFormat="1" applyBorder="1"/>
    <xf numFmtId="3" fontId="0" fillId="0" borderId="0" xfId="0" quotePrefix="1" applyNumberFormat="1"/>
    <xf numFmtId="167" fontId="39" fillId="2" borderId="0" xfId="65" applyNumberFormat="1" applyFont="1" applyFill="1" applyBorder="1" applyAlignment="1">
      <alignment horizontal="right" wrapText="1"/>
    </xf>
    <xf numFmtId="3" fontId="27" fillId="2" borderId="0" xfId="127" applyNumberFormat="1" applyFill="1" applyAlignment="1">
      <alignment horizontal="right" wrapText="1"/>
    </xf>
    <xf numFmtId="171" fontId="32" fillId="2" borderId="0" xfId="0" applyNumberFormat="1" applyFont="1" applyFill="1"/>
    <xf numFmtId="168" fontId="30" fillId="0" borderId="0" xfId="0" applyNumberFormat="1" applyFont="1" applyAlignment="1">
      <alignment horizontal="right"/>
    </xf>
    <xf numFmtId="0" fontId="36" fillId="0" borderId="0" xfId="4" applyFill="1" applyBorder="1" applyAlignment="1" applyProtection="1">
      <alignment wrapText="1"/>
    </xf>
    <xf numFmtId="0" fontId="26" fillId="0" borderId="0" xfId="0" applyFont="1" applyAlignment="1">
      <alignment wrapText="1"/>
    </xf>
    <xf numFmtId="0" fontId="0" fillId="0" borderId="0" xfId="0" applyAlignment="1">
      <alignment wrapText="1"/>
    </xf>
    <xf numFmtId="168" fontId="32" fillId="2" borderId="2" xfId="0" applyNumberFormat="1" applyFont="1" applyFill="1" applyBorder="1"/>
    <xf numFmtId="168" fontId="32" fillId="2" borderId="0" xfId="0" applyNumberFormat="1" applyFont="1" applyFill="1"/>
    <xf numFmtId="168" fontId="30" fillId="0" borderId="2" xfId="0" applyNumberFormat="1" applyFont="1" applyBorder="1"/>
    <xf numFmtId="168" fontId="30" fillId="0" borderId="0" xfId="0" applyNumberFormat="1" applyFont="1"/>
    <xf numFmtId="165" fontId="0" fillId="2" borderId="0" xfId="0" applyNumberFormat="1" applyFill="1"/>
    <xf numFmtId="0" fontId="114" fillId="0" borderId="0" xfId="0" applyFont="1" applyAlignment="1">
      <alignment horizontal="center" vertical="center" readingOrder="1"/>
    </xf>
    <xf numFmtId="0" fontId="26" fillId="2" borderId="5" xfId="0" applyFont="1" applyFill="1" applyBorder="1" applyAlignment="1">
      <alignment horizontal="center" vertical="center" wrapText="1"/>
    </xf>
    <xf numFmtId="0" fontId="26" fillId="2" borderId="6"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87" fillId="2" borderId="0" xfId="0" applyFont="1" applyFill="1" applyAlignment="1">
      <alignment horizontal="left" wrapText="1"/>
    </xf>
    <xf numFmtId="0" fontId="117" fillId="0" borderId="0" xfId="0" applyFont="1" applyAlignment="1">
      <alignment horizontal="center" vertical="center"/>
    </xf>
    <xf numFmtId="0" fontId="118" fillId="0" borderId="0" xfId="0" applyFont="1" applyAlignment="1">
      <alignment horizontal="center"/>
    </xf>
    <xf numFmtId="0" fontId="120" fillId="0" borderId="0" xfId="4" applyFont="1" applyFill="1" applyBorder="1" applyAlignment="1" applyProtection="1">
      <alignment horizontal="center"/>
    </xf>
    <xf numFmtId="0" fontId="121" fillId="0" borderId="0" xfId="0" applyFont="1"/>
    <xf numFmtId="0" fontId="118" fillId="0" borderId="0" xfId="0" applyFont="1" applyAlignment="1">
      <alignment horizontal="left"/>
    </xf>
    <xf numFmtId="0" fontId="122" fillId="0" borderId="0" xfId="0" applyFont="1"/>
    <xf numFmtId="0" fontId="120" fillId="0" borderId="0" xfId="4" applyFont="1" applyAlignment="1" applyProtection="1"/>
    <xf numFmtId="0" fontId="118" fillId="0" borderId="0" xfId="0" applyFont="1" applyAlignment="1">
      <alignment horizontal="left" vertical="center" wrapText="1"/>
    </xf>
    <xf numFmtId="0" fontId="122" fillId="0" borderId="0" xfId="0" applyFont="1" applyAlignment="1">
      <alignment vertical="center"/>
    </xf>
    <xf numFmtId="0" fontId="118" fillId="0" borderId="0" xfId="0" applyFont="1" applyAlignment="1">
      <alignment wrapText="1"/>
    </xf>
    <xf numFmtId="0" fontId="122" fillId="0" borderId="0" xfId="0" applyFont="1" applyAlignment="1">
      <alignment horizontal="left"/>
    </xf>
    <xf numFmtId="0" fontId="122" fillId="0" borderId="0" xfId="0" applyFont="1" applyAlignment="1">
      <alignment wrapText="1"/>
    </xf>
    <xf numFmtId="0" fontId="122" fillId="0" borderId="0" xfId="0" applyFont="1" applyAlignment="1">
      <alignment horizontal="left" wrapText="1"/>
    </xf>
    <xf numFmtId="0" fontId="120" fillId="2" borderId="0" xfId="4" applyFont="1" applyFill="1" applyAlignment="1" applyProtection="1">
      <alignment horizontal="left"/>
    </xf>
    <xf numFmtId="0" fontId="25" fillId="2" borderId="0" xfId="0" applyFont="1" applyFill="1" applyAlignment="1">
      <alignment horizontal="left"/>
    </xf>
    <xf numFmtId="0" fontId="26" fillId="0" borderId="0" xfId="0" applyFont="1" applyAlignment="1">
      <alignment horizontal="left"/>
    </xf>
    <xf numFmtId="0" fontId="33" fillId="0" borderId="0" xfId="0" applyFont="1"/>
    <xf numFmtId="0" fontId="87" fillId="0" borderId="0" xfId="0" applyFont="1" applyAlignment="1">
      <alignment horizontal="left"/>
    </xf>
    <xf numFmtId="0" fontId="87" fillId="2" borderId="0" xfId="4" applyFont="1" applyFill="1" applyBorder="1" applyAlignment="1" applyProtection="1">
      <alignment wrapText="1"/>
    </xf>
    <xf numFmtId="0" fontId="22" fillId="0" borderId="0" xfId="0" applyFont="1" applyAlignment="1">
      <alignment wrapText="1"/>
    </xf>
    <xf numFmtId="0" fontId="22" fillId="0" borderId="0" xfId="0" quotePrefix="1" applyFont="1" applyAlignment="1">
      <alignment wrapText="1"/>
    </xf>
    <xf numFmtId="0" fontId="22" fillId="2" borderId="0" xfId="4" applyFont="1" applyFill="1" applyBorder="1" applyAlignment="1" applyProtection="1">
      <alignment wrapText="1"/>
    </xf>
    <xf numFmtId="166" fontId="32" fillId="0" borderId="0" xfId="0" applyNumberFormat="1" applyFont="1"/>
    <xf numFmtId="0" fontId="122" fillId="64" borderId="0" xfId="0" applyFont="1" applyFill="1"/>
    <xf numFmtId="0" fontId="26" fillId="2" borderId="0" xfId="0" applyFont="1" applyFill="1" applyAlignment="1">
      <alignment horizontal="center"/>
    </xf>
    <xf numFmtId="0" fontId="118" fillId="0" borderId="0" xfId="0" applyFont="1" applyAlignment="1">
      <alignment vertical="center" wrapText="1"/>
    </xf>
    <xf numFmtId="0" fontId="25" fillId="2" borderId="0" xfId="0" applyFont="1" applyFill="1" applyAlignment="1">
      <alignment horizontal="center" vertical="center"/>
    </xf>
    <xf numFmtId="0" fontId="118" fillId="0" borderId="0" xfId="0" applyFont="1" applyAlignment="1">
      <alignment horizontal="left" vertical="center"/>
    </xf>
    <xf numFmtId="0" fontId="126" fillId="2" borderId="0" xfId="0" applyFont="1" applyFill="1"/>
    <xf numFmtId="0" fontId="127" fillId="2" borderId="0" xfId="0" applyFont="1" applyFill="1"/>
    <xf numFmtId="0" fontId="125" fillId="2" borderId="0" xfId="0" applyFont="1" applyFill="1" applyAlignment="1">
      <alignment horizontal="left"/>
    </xf>
    <xf numFmtId="0" fontId="126" fillId="30" borderId="0" xfId="0" applyFont="1" applyFill="1" applyAlignment="1">
      <alignment horizontal="left"/>
    </xf>
    <xf numFmtId="0" fontId="126" fillId="2" borderId="0" xfId="0" quotePrefix="1" applyFont="1" applyFill="1" applyAlignment="1">
      <alignment horizontal="left"/>
    </xf>
    <xf numFmtId="0" fontId="18" fillId="2" borderId="0" xfId="0" applyFont="1" applyFill="1"/>
    <xf numFmtId="0" fontId="126" fillId="2" borderId="0" xfId="0" applyFont="1" applyFill="1" applyAlignment="1">
      <alignment horizontal="left"/>
    </xf>
    <xf numFmtId="0" fontId="128" fillId="2" borderId="0" xfId="4" applyFont="1" applyFill="1" applyAlignment="1" applyProtection="1">
      <alignment horizontal="left"/>
    </xf>
    <xf numFmtId="0" fontId="18" fillId="0" borderId="0" xfId="0" applyFont="1"/>
    <xf numFmtId="0" fontId="131" fillId="2" borderId="0" xfId="0" applyFont="1" applyFill="1" applyAlignment="1">
      <alignment horizontal="left"/>
    </xf>
    <xf numFmtId="0" fontId="129" fillId="2" borderId="0" xfId="4" applyFont="1" applyFill="1" applyAlignment="1" applyProtection="1"/>
    <xf numFmtId="0" fontId="132" fillId="0" borderId="0" xfId="0" applyFont="1" applyAlignment="1">
      <alignment vertical="center"/>
    </xf>
    <xf numFmtId="3" fontId="27" fillId="0" borderId="0" xfId="0" applyNumberFormat="1" applyFont="1" applyAlignment="1">
      <alignment horizontal="right" wrapText="1"/>
    </xf>
    <xf numFmtId="3" fontId="27" fillId="0" borderId="0" xfId="0" applyNumberFormat="1" applyFont="1" applyAlignment="1">
      <alignment horizontal="right" vertical="center" wrapText="1"/>
    </xf>
    <xf numFmtId="3" fontId="22" fillId="0" borderId="11" xfId="0" applyNumberFormat="1" applyFont="1" applyBorder="1" applyAlignment="1">
      <alignment vertical="center"/>
    </xf>
    <xf numFmtId="3" fontId="22" fillId="0" borderId="11" xfId="0" applyNumberFormat="1" applyFont="1" applyBorder="1" applyAlignment="1">
      <alignment horizontal="right" vertical="center"/>
    </xf>
    <xf numFmtId="3" fontId="22" fillId="0" borderId="11" xfId="0" quotePrefix="1" applyNumberFormat="1" applyFont="1" applyBorder="1" applyAlignment="1">
      <alignment horizontal="right" vertical="center"/>
    </xf>
    <xf numFmtId="3" fontId="22" fillId="0" borderId="0" xfId="0" quotePrefix="1" applyNumberFormat="1" applyFont="1" applyAlignment="1">
      <alignment horizontal="right" vertical="center"/>
    </xf>
    <xf numFmtId="3" fontId="34" fillId="0" borderId="0" xfId="0" applyNumberFormat="1" applyFont="1" applyAlignment="1">
      <alignment horizontal="left" vertical="top"/>
    </xf>
    <xf numFmtId="3" fontId="34" fillId="0" borderId="0" xfId="0" applyNumberFormat="1" applyFont="1" applyAlignment="1">
      <alignment horizontal="right" vertical="center" wrapText="1"/>
    </xf>
    <xf numFmtId="3" fontId="26" fillId="0" borderId="0" xfId="0" applyNumberFormat="1" applyFont="1" applyAlignment="1">
      <alignment vertical="center"/>
    </xf>
    <xf numFmtId="3" fontId="26" fillId="0" borderId="0" xfId="0" quotePrefix="1" applyNumberFormat="1" applyFont="1" applyAlignment="1">
      <alignment horizontal="right" vertical="center"/>
    </xf>
    <xf numFmtId="1" fontId="34" fillId="0" borderId="0" xfId="0" applyNumberFormat="1" applyFont="1" applyAlignment="1">
      <alignment horizontal="left"/>
    </xf>
    <xf numFmtId="3" fontId="22" fillId="0" borderId="0" xfId="0" applyNumberFormat="1" applyFont="1"/>
    <xf numFmtId="3" fontId="26" fillId="0" borderId="0" xfId="0" applyNumberFormat="1" applyFont="1"/>
    <xf numFmtId="3" fontId="22" fillId="30" borderId="0" xfId="0" quotePrefix="1" applyNumberFormat="1" applyFont="1" applyFill="1" applyAlignment="1">
      <alignment horizontal="right"/>
    </xf>
    <xf numFmtId="3" fontId="26" fillId="0" borderId="0" xfId="0" applyNumberFormat="1" applyFont="1" applyAlignment="1">
      <alignment horizontal="right"/>
    </xf>
    <xf numFmtId="3" fontId="26" fillId="0" borderId="0" xfId="0" applyNumberFormat="1" applyFont="1" applyAlignment="1">
      <alignment horizontal="right" vertical="center"/>
    </xf>
    <xf numFmtId="0" fontId="0" fillId="30" borderId="0" xfId="0" applyFill="1" applyAlignment="1">
      <alignment horizontal="right" vertical="center"/>
    </xf>
    <xf numFmtId="0" fontId="34" fillId="0" borderId="0" xfId="0" applyFont="1" applyAlignment="1">
      <alignment horizontal="left" wrapText="1"/>
    </xf>
    <xf numFmtId="3" fontId="22" fillId="30" borderId="0" xfId="0" applyNumberFormat="1" applyFont="1" applyFill="1" applyAlignment="1">
      <alignment vertical="center"/>
    </xf>
    <xf numFmtId="3" fontId="26" fillId="30" borderId="0" xfId="0" applyNumberFormat="1" applyFont="1" applyFill="1" applyAlignment="1">
      <alignment horizontal="right" vertical="center"/>
    </xf>
    <xf numFmtId="0" fontId="34" fillId="2" borderId="15" xfId="0" applyFont="1" applyFill="1" applyBorder="1" applyAlignment="1">
      <alignment horizontal="center" vertical="center" wrapText="1"/>
    </xf>
    <xf numFmtId="3" fontId="26" fillId="30" borderId="11" xfId="0" applyNumberFormat="1" applyFont="1" applyFill="1" applyBorder="1" applyAlignment="1">
      <alignment horizontal="right" vertical="center"/>
    </xf>
    <xf numFmtId="0" fontId="0" fillId="30" borderId="11" xfId="0" applyFill="1" applyBorder="1" applyAlignment="1">
      <alignment horizontal="right" vertical="center"/>
    </xf>
    <xf numFmtId="3" fontId="22" fillId="30" borderId="11" xfId="0" quotePrefix="1" applyNumberFormat="1" applyFont="1" applyFill="1" applyBorder="1" applyAlignment="1">
      <alignment horizontal="right" vertical="center"/>
    </xf>
    <xf numFmtId="3" fontId="26" fillId="30" borderId="11" xfId="0" applyNumberFormat="1" applyFont="1" applyFill="1" applyBorder="1" applyAlignment="1">
      <alignment vertical="center"/>
    </xf>
    <xf numFmtId="3" fontId="26" fillId="0" borderId="11" xfId="0" applyNumberFormat="1" applyFont="1" applyBorder="1" applyAlignment="1">
      <alignment vertical="center"/>
    </xf>
    <xf numFmtId="0" fontId="34" fillId="2" borderId="14" xfId="0" applyFont="1" applyFill="1" applyBorder="1" applyAlignment="1">
      <alignment horizontal="right" vertical="center" wrapText="1"/>
    </xf>
    <xf numFmtId="1" fontId="34" fillId="0" borderId="2" xfId="0" applyNumberFormat="1" applyFont="1" applyBorder="1" applyAlignment="1">
      <alignment horizontal="left"/>
    </xf>
    <xf numFmtId="3" fontId="34" fillId="0" borderId="39" xfId="0" applyNumberFormat="1" applyFont="1" applyBorder="1" applyAlignment="1">
      <alignment horizontal="left" vertical="top"/>
    </xf>
    <xf numFmtId="3" fontId="27" fillId="0" borderId="2" xfId="0" applyNumberFormat="1" applyFont="1" applyBorder="1" applyAlignment="1">
      <alignment horizontal="right" wrapText="1"/>
    </xf>
    <xf numFmtId="3" fontId="27" fillId="0" borderId="39" xfId="0" applyNumberFormat="1" applyFont="1" applyBorder="1" applyAlignment="1">
      <alignment horizontal="right" vertical="center" wrapText="1"/>
    </xf>
    <xf numFmtId="3" fontId="34" fillId="0" borderId="39" xfId="0" applyNumberFormat="1" applyFont="1" applyBorder="1" applyAlignment="1">
      <alignment horizontal="right" vertical="center" wrapText="1"/>
    </xf>
    <xf numFmtId="3" fontId="22" fillId="0" borderId="40" xfId="0" applyNumberFormat="1" applyFont="1" applyBorder="1" applyAlignment="1">
      <alignment vertical="center"/>
    </xf>
    <xf numFmtId="3" fontId="22" fillId="0" borderId="39" xfId="0" applyNumberFormat="1" applyFont="1" applyBorder="1" applyAlignment="1">
      <alignment vertical="center"/>
    </xf>
    <xf numFmtId="3" fontId="26" fillId="0" borderId="39" xfId="0" applyNumberFormat="1" applyFont="1" applyBorder="1" applyAlignment="1">
      <alignment vertical="center"/>
    </xf>
    <xf numFmtId="3" fontId="26" fillId="0" borderId="39" xfId="0" quotePrefix="1" applyNumberFormat="1" applyFont="1" applyBorder="1" applyAlignment="1">
      <alignment horizontal="right" vertical="center"/>
    </xf>
    <xf numFmtId="3" fontId="26" fillId="0" borderId="40" xfId="0" applyNumberFormat="1" applyFont="1" applyBorder="1" applyAlignment="1">
      <alignment vertical="center"/>
    </xf>
    <xf numFmtId="0" fontId="26" fillId="2" borderId="1"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2" borderId="15" xfId="0" applyFont="1" applyFill="1" applyBorder="1" applyAlignment="1">
      <alignment horizontal="center" vertical="center" wrapText="1"/>
    </xf>
    <xf numFmtId="0" fontId="61" fillId="0" borderId="0" xfId="0" applyFont="1" applyAlignment="1">
      <alignment horizontal="left" vertical="center"/>
    </xf>
    <xf numFmtId="0" fontId="68" fillId="2" borderId="0" xfId="0" applyFont="1" applyFill="1" applyAlignment="1">
      <alignment horizontal="left" vertical="top" wrapText="1"/>
    </xf>
    <xf numFmtId="0" fontId="26" fillId="2" borderId="16" xfId="0" applyFont="1" applyFill="1" applyBorder="1" applyAlignment="1">
      <alignment horizontal="center" vertical="center" wrapText="1"/>
    </xf>
    <xf numFmtId="0" fontId="34" fillId="2" borderId="12" xfId="0" applyFont="1" applyFill="1" applyBorder="1" applyAlignment="1">
      <alignment horizontal="center" vertical="center" wrapText="1"/>
    </xf>
    <xf numFmtId="3" fontId="34" fillId="0" borderId="2" xfId="0" applyNumberFormat="1" applyFont="1" applyBorder="1" applyAlignment="1">
      <alignment horizontal="right" wrapText="1"/>
    </xf>
    <xf numFmtId="3" fontId="22" fillId="0" borderId="2" xfId="0" applyNumberFormat="1" applyFont="1" applyBorder="1"/>
    <xf numFmtId="0" fontId="26" fillId="2" borderId="2" xfId="0" applyFont="1" applyFill="1" applyBorder="1" applyAlignment="1">
      <alignment horizontal="center" vertical="center" wrapText="1"/>
    </xf>
    <xf numFmtId="3" fontId="26" fillId="2" borderId="0" xfId="0" applyNumberFormat="1" applyFont="1" applyFill="1" applyAlignment="1">
      <alignment horizontal="left"/>
    </xf>
    <xf numFmtId="3" fontId="26" fillId="2" borderId="2" xfId="0" applyNumberFormat="1" applyFont="1" applyFill="1" applyBorder="1"/>
    <xf numFmtId="3" fontId="26" fillId="2" borderId="39" xfId="0" applyNumberFormat="1" applyFont="1" applyFill="1" applyBorder="1" applyAlignment="1">
      <alignment horizontal="left"/>
    </xf>
    <xf numFmtId="3" fontId="0" fillId="2" borderId="39" xfId="0" applyNumberFormat="1" applyFill="1" applyBorder="1"/>
    <xf numFmtId="3" fontId="26" fillId="2" borderId="39" xfId="0" applyNumberFormat="1" applyFont="1" applyFill="1" applyBorder="1"/>
    <xf numFmtId="0" fontId="17" fillId="0" borderId="0" xfId="0" applyFont="1"/>
    <xf numFmtId="0" fontId="17" fillId="2" borderId="0" xfId="0" applyFont="1" applyFill="1"/>
    <xf numFmtId="3" fontId="25" fillId="0" borderId="0" xfId="0" applyNumberFormat="1" applyFont="1"/>
    <xf numFmtId="3" fontId="0" fillId="0" borderId="2" xfId="0" applyNumberFormat="1" applyBorder="1"/>
    <xf numFmtId="3" fontId="25" fillId="0" borderId="2" xfId="0" applyNumberFormat="1" applyFont="1" applyBorder="1"/>
    <xf numFmtId="0" fontId="0" fillId="0" borderId="12" xfId="0" applyBorder="1"/>
    <xf numFmtId="0" fontId="26" fillId="2" borderId="8" xfId="0" applyFont="1" applyFill="1" applyBorder="1"/>
    <xf numFmtId="0" fontId="25" fillId="0" borderId="15" xfId="0" applyFont="1" applyBorder="1"/>
    <xf numFmtId="0" fontId="0" fillId="2" borderId="41" xfId="0" applyFill="1" applyBorder="1" applyAlignment="1">
      <alignment vertical="center"/>
    </xf>
    <xf numFmtId="0" fontId="62" fillId="2" borderId="41" xfId="0" applyFont="1" applyFill="1" applyBorder="1" applyAlignment="1">
      <alignment vertical="center"/>
    </xf>
    <xf numFmtId="3" fontId="25" fillId="26" borderId="41" xfId="0" applyNumberFormat="1" applyFont="1" applyFill="1" applyBorder="1" applyAlignment="1">
      <alignment vertical="center"/>
    </xf>
    <xf numFmtId="3" fontId="25" fillId="2" borderId="41" xfId="0" applyNumberFormat="1" applyFont="1" applyFill="1" applyBorder="1" applyAlignment="1">
      <alignment vertical="center"/>
    </xf>
    <xf numFmtId="0" fontId="26" fillId="2" borderId="15" xfId="0" applyFont="1" applyFill="1" applyBorder="1"/>
    <xf numFmtId="166" fontId="30" fillId="0" borderId="0" xfId="0" applyNumberFormat="1" applyFont="1"/>
    <xf numFmtId="166" fontId="66" fillId="0" borderId="0" xfId="0" applyNumberFormat="1" applyFont="1"/>
    <xf numFmtId="166" fontId="30" fillId="0" borderId="2" xfId="0" applyNumberFormat="1" applyFont="1" applyBorder="1"/>
    <xf numFmtId="166" fontId="66" fillId="0" borderId="2" xfId="0" applyNumberFormat="1" applyFont="1" applyBorder="1"/>
    <xf numFmtId="166" fontId="66" fillId="2" borderId="41" xfId="0" applyNumberFormat="1" applyFont="1" applyFill="1" applyBorder="1" applyAlignment="1">
      <alignment vertical="center"/>
    </xf>
    <xf numFmtId="0" fontId="17" fillId="2" borderId="0" xfId="0" applyFont="1" applyFill="1" applyAlignment="1">
      <alignment horizontal="left"/>
    </xf>
    <xf numFmtId="0" fontId="129" fillId="2" borderId="0" xfId="4" applyFont="1" applyFill="1" applyAlignment="1" applyProtection="1">
      <alignment horizontal="left"/>
    </xf>
    <xf numFmtId="0" fontId="68" fillId="0" borderId="0" xfId="0" applyFont="1" applyAlignment="1">
      <alignment horizontal="left" vertical="center" wrapText="1"/>
    </xf>
    <xf numFmtId="0" fontId="26" fillId="2" borderId="9" xfId="0" applyFont="1" applyFill="1" applyBorder="1" applyAlignment="1">
      <alignment horizontal="center" wrapText="1"/>
    </xf>
    <xf numFmtId="0" fontId="68" fillId="0" borderId="0" xfId="0" applyFont="1" applyAlignment="1">
      <alignment horizontal="left" vertical="center"/>
    </xf>
    <xf numFmtId="0" fontId="61" fillId="2" borderId="0" xfId="0" applyFont="1" applyFill="1" applyAlignment="1">
      <alignment horizontal="left" vertical="center" wrapText="1"/>
    </xf>
    <xf numFmtId="0" fontId="22" fillId="0" borderId="0" xfId="0" applyFont="1" applyAlignment="1">
      <alignment horizontal="left" vertical="top" wrapText="1"/>
    </xf>
    <xf numFmtId="170" fontId="68" fillId="2" borderId="0" xfId="68" applyFont="1" applyFill="1" applyAlignment="1">
      <alignment horizontal="left" vertical="center" wrapText="1"/>
    </xf>
    <xf numFmtId="164" fontId="26" fillId="2" borderId="0" xfId="0" applyNumberFormat="1" applyFont="1" applyFill="1"/>
    <xf numFmtId="0" fontId="26" fillId="2" borderId="2" xfId="0" applyFont="1" applyFill="1" applyBorder="1" applyAlignment="1">
      <alignment horizontal="left"/>
    </xf>
    <xf numFmtId="164" fontId="26" fillId="2" borderId="2" xfId="0" applyNumberFormat="1" applyFont="1" applyFill="1" applyBorder="1"/>
    <xf numFmtId="0" fontId="26" fillId="2" borderId="39" xfId="0" applyFont="1" applyFill="1" applyBorder="1" applyAlignment="1">
      <alignment horizontal="left"/>
    </xf>
    <xf numFmtId="164" fontId="0" fillId="2" borderId="39" xfId="0" applyNumberFormat="1" applyFill="1" applyBorder="1"/>
    <xf numFmtId="164" fontId="26" fillId="2" borderId="39" xfId="0" applyNumberFormat="1" applyFont="1" applyFill="1" applyBorder="1"/>
    <xf numFmtId="3" fontId="22" fillId="2" borderId="39" xfId="0" applyNumberFormat="1" applyFont="1" applyFill="1" applyBorder="1"/>
    <xf numFmtId="167" fontId="31" fillId="2" borderId="0" xfId="0" applyNumberFormat="1" applyFont="1" applyFill="1"/>
    <xf numFmtId="0" fontId="30" fillId="2" borderId="0" xfId="0" applyFont="1" applyFill="1"/>
    <xf numFmtId="167" fontId="66" fillId="2" borderId="0" xfId="0" applyNumberFormat="1" applyFont="1" applyFill="1"/>
    <xf numFmtId="167" fontId="31" fillId="2" borderId="2" xfId="0" applyNumberFormat="1" applyFont="1" applyFill="1" applyBorder="1"/>
    <xf numFmtId="0" fontId="30" fillId="2" borderId="2" xfId="0" applyFont="1" applyFill="1" applyBorder="1"/>
    <xf numFmtId="166" fontId="31" fillId="2" borderId="2" xfId="0" applyNumberFormat="1" applyFont="1" applyFill="1" applyBorder="1"/>
    <xf numFmtId="167" fontId="30" fillId="2" borderId="39" xfId="0" applyNumberFormat="1" applyFont="1" applyFill="1" applyBorder="1"/>
    <xf numFmtId="167" fontId="31" fillId="2" borderId="39" xfId="0" applyNumberFormat="1" applyFont="1" applyFill="1" applyBorder="1"/>
    <xf numFmtId="0" fontId="32" fillId="2" borderId="39" xfId="0" applyFont="1" applyFill="1" applyBorder="1"/>
    <xf numFmtId="167" fontId="32" fillId="2" borderId="39" xfId="0" applyNumberFormat="1" applyFont="1" applyFill="1" applyBorder="1"/>
    <xf numFmtId="166" fontId="32" fillId="2" borderId="39" xfId="0" applyNumberFormat="1" applyFont="1" applyFill="1" applyBorder="1"/>
    <xf numFmtId="166" fontId="31" fillId="2" borderId="39" xfId="0" applyNumberFormat="1" applyFont="1" applyFill="1" applyBorder="1"/>
    <xf numFmtId="164" fontId="27" fillId="0" borderId="2" xfId="92" applyNumberFormat="1" applyBorder="1" applyAlignment="1">
      <alignment horizontal="right"/>
    </xf>
    <xf numFmtId="164" fontId="27" fillId="0" borderId="0" xfId="92" applyNumberFormat="1" applyAlignment="1">
      <alignment horizontal="right"/>
    </xf>
    <xf numFmtId="0" fontId="26" fillId="2" borderId="12" xfId="0" applyFont="1" applyFill="1" applyBorder="1"/>
    <xf numFmtId="164" fontId="34" fillId="0" borderId="0" xfId="92" applyNumberFormat="1" applyFont="1" applyAlignment="1">
      <alignment horizontal="right" wrapText="1"/>
    </xf>
    <xf numFmtId="0" fontId="25" fillId="0" borderId="2" xfId="0" applyFont="1" applyBorder="1"/>
    <xf numFmtId="164" fontId="34" fillId="0" borderId="2" xfId="92" applyNumberFormat="1" applyFont="1" applyBorder="1" applyAlignment="1">
      <alignment horizontal="right" wrapText="1"/>
    </xf>
    <xf numFmtId="3" fontId="23" fillId="0" borderId="2" xfId="0" applyNumberFormat="1" applyFont="1" applyBorder="1"/>
    <xf numFmtId="0" fontId="23" fillId="0" borderId="2" xfId="0" applyFont="1" applyBorder="1"/>
    <xf numFmtId="0" fontId="0" fillId="0" borderId="2" xfId="0" applyBorder="1"/>
    <xf numFmtId="0" fontId="62" fillId="2" borderId="39" xfId="0" applyFont="1" applyFill="1" applyBorder="1" applyAlignment="1">
      <alignment vertical="center"/>
    </xf>
    <xf numFmtId="3" fontId="26" fillId="2" borderId="39" xfId="0" applyNumberFormat="1" applyFont="1" applyFill="1" applyBorder="1" applyAlignment="1">
      <alignment horizontal="right" vertical="center"/>
    </xf>
    <xf numFmtId="3" fontId="25" fillId="0" borderId="39" xfId="0" applyNumberFormat="1" applyFont="1" applyBorder="1" applyAlignment="1">
      <alignment vertical="center"/>
    </xf>
    <xf numFmtId="0" fontId="25" fillId="0" borderId="39" xfId="0" applyFont="1" applyBorder="1" applyAlignment="1">
      <alignment vertical="center"/>
    </xf>
    <xf numFmtId="0" fontId="0" fillId="2" borderId="39" xfId="0" applyFill="1" applyBorder="1"/>
    <xf numFmtId="164" fontId="34" fillId="0" borderId="15" xfId="92" applyNumberFormat="1" applyFont="1" applyBorder="1" applyAlignment="1">
      <alignment horizontal="right" wrapText="1"/>
    </xf>
    <xf numFmtId="3" fontId="23" fillId="0" borderId="15" xfId="0" applyNumberFormat="1" applyFont="1" applyBorder="1"/>
    <xf numFmtId="0" fontId="23" fillId="0" borderId="15" xfId="0" applyFont="1" applyBorder="1"/>
    <xf numFmtId="3" fontId="26" fillId="2" borderId="2" xfId="0" applyNumberFormat="1" applyFont="1" applyFill="1" applyBorder="1" applyAlignment="1">
      <alignment horizontal="right"/>
    </xf>
    <xf numFmtId="0" fontId="0" fillId="2" borderId="2" xfId="0" applyFill="1" applyBorder="1"/>
    <xf numFmtId="3" fontId="26" fillId="2" borderId="39" xfId="0" applyNumberFormat="1" applyFont="1" applyFill="1" applyBorder="1" applyAlignment="1">
      <alignment horizontal="right"/>
    </xf>
    <xf numFmtId="0" fontId="22" fillId="2" borderId="39" xfId="0" applyFont="1" applyFill="1" applyBorder="1"/>
    <xf numFmtId="0" fontId="34" fillId="0" borderId="0" xfId="116" applyFont="1" applyAlignment="1">
      <alignment horizontal="right" wrapText="1"/>
    </xf>
    <xf numFmtId="164" fontId="27" fillId="0" borderId="0" xfId="116" applyNumberFormat="1" applyAlignment="1">
      <alignment horizontal="right" wrapText="1"/>
    </xf>
    <xf numFmtId="167" fontId="30" fillId="0" borderId="0" xfId="0" applyNumberFormat="1" applyFont="1"/>
    <xf numFmtId="0" fontId="27" fillId="0" borderId="0" xfId="116" applyAlignment="1">
      <alignment horizontal="right" wrapText="1"/>
    </xf>
    <xf numFmtId="164" fontId="27" fillId="0" borderId="0" xfId="67" applyNumberFormat="1" applyAlignment="1">
      <alignment horizontal="right" wrapText="1"/>
    </xf>
    <xf numFmtId="0" fontId="27" fillId="0" borderId="0" xfId="67" applyAlignment="1">
      <alignment horizontal="right" wrapText="1"/>
    </xf>
    <xf numFmtId="3" fontId="26" fillId="2" borderId="41" xfId="0" applyNumberFormat="1" applyFont="1" applyFill="1" applyBorder="1" applyAlignment="1">
      <alignment vertical="center"/>
    </xf>
    <xf numFmtId="0" fontId="26" fillId="0" borderId="41" xfId="0" applyFont="1" applyBorder="1" applyAlignment="1">
      <alignment vertical="center"/>
    </xf>
    <xf numFmtId="164" fontId="34" fillId="2" borderId="41" xfId="67" applyNumberFormat="1" applyFont="1" applyFill="1" applyBorder="1" applyAlignment="1">
      <alignment horizontal="right" vertical="center" wrapText="1"/>
    </xf>
    <xf numFmtId="167" fontId="66" fillId="2" borderId="41" xfId="0" applyNumberFormat="1" applyFont="1" applyFill="1" applyBorder="1" applyAlignment="1">
      <alignment vertical="center"/>
    </xf>
    <xf numFmtId="0" fontId="133" fillId="2" borderId="0" xfId="0" applyFont="1" applyFill="1"/>
    <xf numFmtId="3" fontId="26" fillId="0" borderId="0" xfId="135" applyNumberFormat="1" applyFont="1"/>
    <xf numFmtId="3" fontId="26" fillId="0" borderId="2" xfId="135" applyNumberFormat="1" applyFont="1" applyBorder="1"/>
    <xf numFmtId="0" fontId="0" fillId="2" borderId="15" xfId="0" applyFill="1" applyBorder="1" applyAlignment="1">
      <alignment horizontal="center" vertical="center"/>
    </xf>
    <xf numFmtId="0" fontId="26" fillId="2" borderId="15" xfId="0" applyFont="1" applyFill="1" applyBorder="1" applyAlignment="1">
      <alignment horizontal="left"/>
    </xf>
    <xf numFmtId="0" fontId="25" fillId="2" borderId="15" xfId="0" applyFont="1" applyFill="1" applyBorder="1"/>
    <xf numFmtId="0" fontId="25" fillId="2" borderId="15" xfId="0" applyFont="1" applyFill="1" applyBorder="1" applyAlignment="1">
      <alignment horizontal="right"/>
    </xf>
    <xf numFmtId="3" fontId="25" fillId="2" borderId="39" xfId="0" applyNumberFormat="1" applyFont="1" applyFill="1" applyBorder="1" applyAlignment="1">
      <alignment vertical="center"/>
    </xf>
    <xf numFmtId="164" fontId="34" fillId="0" borderId="0" xfId="118" applyNumberFormat="1" applyFont="1" applyAlignment="1">
      <alignment horizontal="right" wrapText="1"/>
    </xf>
    <xf numFmtId="164" fontId="27" fillId="0" borderId="2" xfId="118" applyNumberFormat="1" applyBorder="1" applyAlignment="1">
      <alignment horizontal="right" wrapText="1"/>
    </xf>
    <xf numFmtId="167" fontId="30" fillId="0" borderId="0" xfId="1" applyNumberFormat="1" applyFont="1" applyFill="1" applyBorder="1" applyAlignment="1">
      <alignment horizontal="right"/>
    </xf>
    <xf numFmtId="0" fontId="26" fillId="0" borderId="0" xfId="0" applyFont="1"/>
    <xf numFmtId="164" fontId="27" fillId="0" borderId="0" xfId="118" applyNumberFormat="1"/>
    <xf numFmtId="164" fontId="34" fillId="0" borderId="2" xfId="118" applyNumberFormat="1" applyFont="1" applyBorder="1" applyAlignment="1">
      <alignment horizontal="right" wrapText="1"/>
    </xf>
    <xf numFmtId="167" fontId="30" fillId="0" borderId="2" xfId="1" applyNumberFormat="1" applyFont="1" applyFill="1" applyBorder="1" applyAlignment="1">
      <alignment horizontal="right"/>
    </xf>
    <xf numFmtId="0" fontId="26" fillId="0" borderId="2" xfId="0" applyFont="1" applyBorder="1"/>
    <xf numFmtId="167" fontId="26" fillId="0" borderId="0" xfId="0" applyNumberFormat="1" applyFont="1"/>
    <xf numFmtId="168" fontId="22" fillId="0" borderId="0" xfId="65" applyNumberFormat="1" applyFont="1" applyFill="1" applyBorder="1" applyAlignment="1">
      <alignment horizontal="right" wrapText="1"/>
    </xf>
    <xf numFmtId="168" fontId="26" fillId="0" borderId="0" xfId="65" applyNumberFormat="1" applyFont="1" applyFill="1" applyBorder="1" applyAlignment="1">
      <alignment horizontal="right" wrapText="1"/>
    </xf>
    <xf numFmtId="0" fontId="26" fillId="2" borderId="2" xfId="0" applyFont="1" applyFill="1" applyBorder="1"/>
    <xf numFmtId="0" fontId="26" fillId="2" borderId="39" xfId="0" applyFont="1" applyFill="1" applyBorder="1"/>
    <xf numFmtId="168" fontId="26" fillId="2" borderId="41" xfId="65" applyNumberFormat="1" applyFont="1" applyFill="1" applyBorder="1" applyAlignment="1">
      <alignment horizontal="right" vertical="center" wrapText="1"/>
    </xf>
    <xf numFmtId="167" fontId="26" fillId="2" borderId="41" xfId="0" applyNumberFormat="1" applyFont="1" applyFill="1" applyBorder="1" applyAlignment="1">
      <alignment vertical="center"/>
    </xf>
    <xf numFmtId="0" fontId="23" fillId="0" borderId="41" xfId="0" applyFont="1" applyBorder="1"/>
    <xf numFmtId="1" fontId="66" fillId="2" borderId="41" xfId="1" applyNumberFormat="1" applyFont="1" applyFill="1" applyBorder="1" applyAlignment="1">
      <alignment horizontal="right" vertical="center"/>
    </xf>
    <xf numFmtId="164" fontId="34" fillId="0" borderId="0" xfId="119" applyNumberFormat="1" applyFont="1" applyAlignment="1">
      <alignment horizontal="right" wrapText="1"/>
    </xf>
    <xf numFmtId="164" fontId="27" fillId="0" borderId="0" xfId="119" applyNumberFormat="1" applyAlignment="1">
      <alignment horizontal="right" wrapText="1"/>
    </xf>
    <xf numFmtId="168" fontId="30" fillId="0" borderId="0" xfId="0" applyNumberFormat="1" applyFont="1" applyAlignment="1">
      <alignment horizontal="right" wrapText="1"/>
    </xf>
    <xf numFmtId="164" fontId="26" fillId="0" borderId="0" xfId="0" applyNumberFormat="1" applyFont="1" applyAlignment="1">
      <alignment horizontal="right"/>
    </xf>
    <xf numFmtId="169" fontId="30" fillId="0" borderId="0" xfId="0" applyNumberFormat="1" applyFont="1" applyAlignment="1">
      <alignment horizontal="right" wrapText="1"/>
    </xf>
    <xf numFmtId="1" fontId="30" fillId="0" borderId="0" xfId="0" applyNumberFormat="1" applyFont="1" applyAlignment="1">
      <alignment horizontal="right"/>
    </xf>
    <xf numFmtId="164" fontId="34" fillId="0" borderId="2" xfId="119" applyNumberFormat="1" applyFont="1" applyBorder="1" applyAlignment="1">
      <alignment horizontal="right" wrapText="1"/>
    </xf>
    <xf numFmtId="164" fontId="27" fillId="0" borderId="2" xfId="119" applyNumberFormat="1" applyBorder="1" applyAlignment="1">
      <alignment horizontal="right" wrapText="1"/>
    </xf>
    <xf numFmtId="168" fontId="30" fillId="0" borderId="2" xfId="0" applyNumberFormat="1" applyFont="1" applyBorder="1" applyAlignment="1">
      <alignment horizontal="right" wrapText="1"/>
    </xf>
    <xf numFmtId="168" fontId="30" fillId="0" borderId="2" xfId="0" applyNumberFormat="1" applyFont="1" applyBorder="1" applyAlignment="1">
      <alignment horizontal="right"/>
    </xf>
    <xf numFmtId="3" fontId="26" fillId="0" borderId="41" xfId="0" applyNumberFormat="1" applyFont="1" applyBorder="1" applyAlignment="1">
      <alignment horizontal="right" vertical="center"/>
    </xf>
    <xf numFmtId="3" fontId="25" fillId="0" borderId="41" xfId="0" applyNumberFormat="1" applyFont="1" applyBorder="1" applyAlignment="1">
      <alignment horizontal="right" vertical="center"/>
    </xf>
    <xf numFmtId="167" fontId="66" fillId="0" borderId="41" xfId="0" applyNumberFormat="1" applyFont="1" applyBorder="1" applyAlignment="1">
      <alignment horizontal="right" vertical="center" wrapText="1"/>
    </xf>
    <xf numFmtId="167" fontId="66" fillId="0" borderId="41" xfId="0" applyNumberFormat="1" applyFont="1" applyBorder="1" applyAlignment="1">
      <alignment horizontal="right" vertical="center"/>
    </xf>
    <xf numFmtId="164" fontId="26" fillId="0" borderId="0" xfId="65" applyNumberFormat="1" applyFont="1" applyFill="1" applyBorder="1" applyAlignment="1"/>
    <xf numFmtId="168" fontId="32" fillId="0" borderId="0" xfId="65" applyNumberFormat="1" applyFont="1" applyFill="1" applyBorder="1" applyAlignment="1">
      <alignment horizontal="right" wrapText="1"/>
    </xf>
    <xf numFmtId="168" fontId="31" fillId="0" borderId="0" xfId="65" applyNumberFormat="1" applyFont="1" applyFill="1" applyBorder="1" applyAlignment="1">
      <alignment horizontal="right" wrapText="1"/>
    </xf>
    <xf numFmtId="0" fontId="34" fillId="2" borderId="0" xfId="3" applyFont="1" applyFill="1"/>
    <xf numFmtId="9" fontId="0" fillId="2" borderId="0" xfId="1" applyFont="1" applyFill="1" applyBorder="1" applyAlignment="1"/>
    <xf numFmtId="164" fontId="26" fillId="2" borderId="41" xfId="0" applyNumberFormat="1" applyFont="1" applyFill="1" applyBorder="1" applyAlignment="1">
      <alignment horizontal="right" vertical="center"/>
    </xf>
    <xf numFmtId="164" fontId="27" fillId="0" borderId="2" xfId="66" applyNumberFormat="1" applyBorder="1" applyAlignment="1">
      <alignment horizontal="right"/>
    </xf>
    <xf numFmtId="164" fontId="27" fillId="0" borderId="2" xfId="66" applyNumberFormat="1" applyBorder="1"/>
    <xf numFmtId="164" fontId="26" fillId="0" borderId="2" xfId="65" applyNumberFormat="1" applyFont="1" applyFill="1" applyBorder="1" applyAlignment="1"/>
    <xf numFmtId="168" fontId="32" fillId="0" borderId="2" xfId="65" applyNumberFormat="1" applyFont="1" applyFill="1" applyBorder="1" applyAlignment="1">
      <alignment horizontal="right" wrapText="1"/>
    </xf>
    <xf numFmtId="168" fontId="31" fillId="0" borderId="2" xfId="65" applyNumberFormat="1" applyFont="1" applyFill="1" applyBorder="1" applyAlignment="1">
      <alignment horizontal="right" wrapText="1"/>
    </xf>
    <xf numFmtId="168" fontId="31" fillId="2" borderId="41" xfId="65" applyNumberFormat="1" applyFont="1" applyFill="1" applyBorder="1" applyAlignment="1">
      <alignment horizontal="right" vertical="center" wrapText="1"/>
    </xf>
    <xf numFmtId="3" fontId="0" fillId="30" borderId="0" xfId="0" applyNumberFormat="1" applyFill="1"/>
    <xf numFmtId="0" fontId="69" fillId="2" borderId="41" xfId="0" applyFont="1" applyFill="1" applyBorder="1" applyAlignment="1">
      <alignment vertical="center"/>
    </xf>
    <xf numFmtId="164" fontId="26" fillId="2" borderId="41" xfId="0" applyNumberFormat="1" applyFont="1" applyFill="1" applyBorder="1" applyAlignment="1">
      <alignment vertical="center"/>
    </xf>
    <xf numFmtId="3" fontId="0" fillId="0" borderId="0" xfId="0" applyNumberFormat="1" applyAlignment="1">
      <alignment horizontal="right" wrapText="1"/>
    </xf>
    <xf numFmtId="164" fontId="27" fillId="0" borderId="1" xfId="120" applyNumberFormat="1" applyBorder="1" applyAlignment="1">
      <alignment horizontal="right" wrapText="1"/>
    </xf>
    <xf numFmtId="164" fontId="27" fillId="0" borderId="2" xfId="120" applyNumberFormat="1" applyBorder="1" applyAlignment="1">
      <alignment horizontal="right" wrapText="1"/>
    </xf>
    <xf numFmtId="164" fontId="27" fillId="0" borderId="2" xfId="120" applyNumberFormat="1" applyBorder="1"/>
    <xf numFmtId="164" fontId="27" fillId="0" borderId="0" xfId="120" applyNumberFormat="1"/>
    <xf numFmtId="0" fontId="0" fillId="0" borderId="0" xfId="0" applyAlignment="1">
      <alignment horizontal="right"/>
    </xf>
    <xf numFmtId="3" fontId="26" fillId="0" borderId="0" xfId="0" applyNumberFormat="1" applyFont="1" applyAlignment="1">
      <alignment horizontal="left"/>
    </xf>
    <xf numFmtId="0" fontId="26" fillId="0" borderId="2" xfId="0" applyFont="1" applyBorder="1" applyAlignment="1">
      <alignment horizontal="left"/>
    </xf>
    <xf numFmtId="0" fontId="0" fillId="0" borderId="2" xfId="0" applyBorder="1" applyAlignment="1">
      <alignment horizontal="right"/>
    </xf>
    <xf numFmtId="3" fontId="25" fillId="0" borderId="2" xfId="0" applyNumberFormat="1" applyFont="1" applyBorder="1" applyAlignment="1">
      <alignment horizontal="right"/>
    </xf>
    <xf numFmtId="0" fontId="26" fillId="0" borderId="39" xfId="0" applyFont="1" applyBorder="1" applyAlignment="1">
      <alignment horizontal="left"/>
    </xf>
    <xf numFmtId="3" fontId="0" fillId="0" borderId="39" xfId="0" applyNumberFormat="1" applyBorder="1"/>
    <xf numFmtId="0" fontId="0" fillId="0" borderId="39" xfId="0" applyBorder="1" applyAlignment="1">
      <alignment horizontal="right"/>
    </xf>
    <xf numFmtId="3" fontId="25" fillId="0" borderId="39" xfId="0" applyNumberFormat="1" applyFont="1" applyBorder="1" applyAlignment="1">
      <alignment horizontal="right"/>
    </xf>
    <xf numFmtId="3" fontId="0" fillId="0" borderId="0" xfId="0" applyNumberFormat="1" applyAlignment="1">
      <alignment horizontal="right"/>
    </xf>
    <xf numFmtId="3" fontId="26" fillId="2" borderId="1" xfId="0" applyNumberFormat="1" applyFont="1" applyFill="1" applyBorder="1" applyAlignment="1">
      <alignment horizontal="center" vertical="center" wrapText="1"/>
    </xf>
    <xf numFmtId="3" fontId="26" fillId="2" borderId="2" xfId="0" applyNumberFormat="1" applyFont="1" applyFill="1" applyBorder="1" applyAlignment="1">
      <alignment horizontal="center" vertical="center" wrapText="1"/>
    </xf>
    <xf numFmtId="3" fontId="32" fillId="2" borderId="9" xfId="0" applyNumberFormat="1" applyFont="1" applyFill="1" applyBorder="1" applyAlignment="1">
      <alignment horizontal="center" vertical="center" wrapText="1"/>
    </xf>
    <xf numFmtId="3" fontId="32" fillId="0" borderId="0" xfId="0" applyNumberFormat="1" applyFont="1" applyAlignment="1">
      <alignment horizontal="right"/>
    </xf>
    <xf numFmtId="3" fontId="22" fillId="0" borderId="0" xfId="0" applyNumberFormat="1" applyFont="1" applyAlignment="1">
      <alignment horizontal="right"/>
    </xf>
    <xf numFmtId="9" fontId="0" fillId="0" borderId="0" xfId="1" applyFont="1" applyFill="1" applyBorder="1"/>
    <xf numFmtId="9" fontId="24" fillId="0" borderId="0" xfId="0" applyNumberFormat="1" applyFont="1"/>
    <xf numFmtId="3" fontId="32" fillId="0" borderId="2" xfId="0" applyNumberFormat="1" applyFont="1" applyBorder="1" applyAlignment="1">
      <alignment horizontal="right"/>
    </xf>
    <xf numFmtId="3" fontId="26" fillId="0" borderId="2" xfId="0" applyNumberFormat="1" applyFont="1" applyBorder="1" applyAlignment="1">
      <alignment horizontal="right"/>
    </xf>
    <xf numFmtId="3" fontId="29" fillId="0" borderId="39" xfId="0" applyNumberFormat="1" applyFont="1" applyBorder="1" applyAlignment="1">
      <alignment horizontal="right"/>
    </xf>
    <xf numFmtId="3" fontId="32" fillId="0" borderId="39" xfId="0" applyNumberFormat="1" applyFont="1" applyBorder="1" applyAlignment="1">
      <alignment horizontal="right"/>
    </xf>
    <xf numFmtId="3" fontId="26" fillId="0" borderId="39" xfId="0" applyNumberFormat="1" applyFont="1" applyBorder="1" applyAlignment="1">
      <alignment horizontal="right"/>
    </xf>
    <xf numFmtId="3" fontId="0" fillId="0" borderId="2" xfId="0" applyNumberFormat="1" applyBorder="1" applyAlignment="1">
      <alignment horizontal="right"/>
    </xf>
    <xf numFmtId="3" fontId="26" fillId="0" borderId="2" xfId="0" applyNumberFormat="1" applyFont="1" applyBorder="1"/>
    <xf numFmtId="0" fontId="0" fillId="0" borderId="39" xfId="0" applyBorder="1"/>
    <xf numFmtId="3" fontId="26" fillId="0" borderId="39" xfId="0" applyNumberFormat="1" applyFont="1" applyBorder="1"/>
    <xf numFmtId="164" fontId="23" fillId="0" borderId="0" xfId="0" applyNumberFormat="1" applyFont="1"/>
    <xf numFmtId="166" fontId="31" fillId="0" borderId="10" xfId="0" applyNumberFormat="1" applyFont="1" applyBorder="1"/>
    <xf numFmtId="166" fontId="31" fillId="0" borderId="3" xfId="0" applyNumberFormat="1" applyFont="1" applyBorder="1"/>
    <xf numFmtId="3" fontId="30" fillId="0" borderId="0" xfId="0" applyNumberFormat="1" applyFont="1"/>
    <xf numFmtId="164" fontId="34" fillId="0" borderId="0" xfId="122" applyNumberFormat="1" applyFont="1" applyAlignment="1">
      <alignment horizontal="right" wrapText="1"/>
    </xf>
    <xf numFmtId="164" fontId="39" fillId="0" borderId="0" xfId="67" applyNumberFormat="1" applyFont="1" applyAlignment="1">
      <alignment horizontal="right" wrapText="1"/>
    </xf>
    <xf numFmtId="164" fontId="34" fillId="0" borderId="0" xfId="121" applyNumberFormat="1" applyFont="1" applyAlignment="1">
      <alignment horizontal="right" wrapText="1"/>
    </xf>
    <xf numFmtId="164" fontId="32" fillId="0" borderId="0" xfId="67" applyNumberFormat="1" applyFont="1" applyAlignment="1">
      <alignment horizontal="right" wrapText="1"/>
    </xf>
    <xf numFmtId="164" fontId="39" fillId="0" borderId="2" xfId="67" applyNumberFormat="1" applyFont="1" applyBorder="1" applyAlignment="1">
      <alignment horizontal="right" wrapText="1"/>
    </xf>
    <xf numFmtId="164" fontId="34" fillId="0" borderId="2" xfId="121" applyNumberFormat="1" applyFont="1" applyBorder="1" applyAlignment="1">
      <alignment horizontal="right" wrapText="1"/>
    </xf>
    <xf numFmtId="0" fontId="0" fillId="2" borderId="39" xfId="0" applyFill="1" applyBorder="1" applyAlignment="1">
      <alignment vertical="center"/>
    </xf>
    <xf numFmtId="3" fontId="26" fillId="2" borderId="39" xfId="0" applyNumberFormat="1" applyFont="1" applyFill="1" applyBorder="1" applyAlignment="1">
      <alignment vertical="center"/>
    </xf>
    <xf numFmtId="3" fontId="30" fillId="0" borderId="2" xfId="0" applyNumberFormat="1" applyFont="1" applyBorder="1"/>
    <xf numFmtId="164" fontId="34" fillId="0" borderId="2" xfId="122" applyNumberFormat="1" applyFont="1" applyBorder="1" applyAlignment="1">
      <alignment horizontal="right" wrapText="1"/>
    </xf>
    <xf numFmtId="164" fontId="22" fillId="0" borderId="15" xfId="120" applyNumberFormat="1" applyFont="1" applyBorder="1" applyAlignment="1">
      <alignment horizontal="right" wrapText="1"/>
    </xf>
    <xf numFmtId="164" fontId="34" fillId="0" borderId="15" xfId="121" applyNumberFormat="1" applyFont="1" applyBorder="1" applyAlignment="1">
      <alignment horizontal="right" wrapText="1"/>
    </xf>
    <xf numFmtId="164" fontId="34" fillId="0" borderId="15" xfId="122" applyNumberFormat="1" applyFont="1" applyBorder="1" applyAlignment="1">
      <alignment horizontal="right" wrapText="1"/>
    </xf>
    <xf numFmtId="170" fontId="68" fillId="2" borderId="0" xfId="68" applyFont="1" applyFill="1" applyAlignment="1">
      <alignment vertical="center" wrapText="1"/>
    </xf>
    <xf numFmtId="0" fontId="68" fillId="0" borderId="0" xfId="0" applyFont="1" applyAlignment="1">
      <alignment vertical="center" wrapText="1"/>
    </xf>
    <xf numFmtId="164" fontId="27" fillId="0" borderId="2" xfId="133" applyNumberFormat="1" applyBorder="1" applyAlignment="1">
      <alignment horizontal="right" wrapText="1"/>
    </xf>
    <xf numFmtId="164" fontId="22" fillId="0" borderId="2" xfId="0" applyNumberFormat="1" applyFont="1" applyBorder="1" applyAlignment="1">
      <alignment horizontal="right"/>
    </xf>
    <xf numFmtId="168" fontId="32" fillId="0" borderId="2" xfId="0" applyNumberFormat="1" applyFont="1" applyBorder="1"/>
    <xf numFmtId="168" fontId="32" fillId="0" borderId="0" xfId="0" applyNumberFormat="1" applyFont="1"/>
    <xf numFmtId="164" fontId="26" fillId="0" borderId="0" xfId="0" applyNumberFormat="1" applyFont="1"/>
    <xf numFmtId="164" fontId="23" fillId="0" borderId="2" xfId="0" applyNumberFormat="1" applyFont="1" applyBorder="1" applyAlignment="1">
      <alignment horizontal="right"/>
    </xf>
    <xf numFmtId="164" fontId="27" fillId="0" borderId="2" xfId="133" applyNumberFormat="1" applyBorder="1"/>
    <xf numFmtId="164" fontId="23" fillId="0" borderId="0" xfId="0" applyNumberFormat="1" applyFont="1" applyAlignment="1">
      <alignment horizontal="right"/>
    </xf>
    <xf numFmtId="164" fontId="27" fillId="0" borderId="0" xfId="133" applyNumberFormat="1"/>
    <xf numFmtId="0" fontId="61" fillId="2" borderId="0" xfId="0" applyFont="1" applyFill="1" applyAlignment="1">
      <alignment vertical="center" wrapText="1"/>
    </xf>
    <xf numFmtId="0" fontId="61" fillId="2" borderId="0" xfId="0" applyFont="1" applyFill="1" applyAlignment="1">
      <alignment vertical="center"/>
    </xf>
    <xf numFmtId="0" fontId="34" fillId="0" borderId="0" xfId="132" applyFont="1"/>
    <xf numFmtId="164" fontId="0" fillId="0" borderId="0" xfId="0" quotePrefix="1" applyNumberFormat="1" applyAlignment="1">
      <alignment horizontal="right"/>
    </xf>
    <xf numFmtId="164" fontId="22" fillId="0" borderId="0" xfId="0" applyNumberFormat="1" applyFont="1"/>
    <xf numFmtId="0" fontId="34" fillId="3" borderId="1" xfId="7" applyFont="1" applyFill="1" applyBorder="1" applyAlignment="1">
      <alignment horizontal="center" vertical="center" wrapText="1"/>
    </xf>
    <xf numFmtId="0" fontId="34" fillId="3" borderId="2" xfId="7" applyFont="1" applyFill="1" applyBorder="1" applyAlignment="1">
      <alignment horizontal="center" vertical="center" wrapText="1"/>
    </xf>
    <xf numFmtId="0" fontId="34" fillId="3" borderId="9" xfId="7" applyFont="1" applyFill="1" applyBorder="1" applyAlignment="1">
      <alignment horizontal="center" vertical="center" wrapText="1"/>
    </xf>
    <xf numFmtId="0" fontId="34" fillId="3" borderId="1" xfId="7" applyFont="1" applyFill="1" applyBorder="1" applyAlignment="1">
      <alignment horizontal="center" wrapText="1"/>
    </xf>
    <xf numFmtId="0" fontId="34" fillId="3" borderId="2" xfId="7" applyFont="1" applyFill="1" applyBorder="1" applyAlignment="1">
      <alignment horizontal="center" wrapText="1"/>
    </xf>
    <xf numFmtId="0" fontId="34" fillId="3" borderId="9" xfId="7" applyFont="1" applyFill="1" applyBorder="1" applyAlignment="1">
      <alignment horizontal="center" wrapText="1"/>
    </xf>
    <xf numFmtId="0" fontId="39" fillId="3" borderId="9" xfId="7" applyFont="1" applyFill="1" applyBorder="1" applyAlignment="1">
      <alignment horizontal="center" vertical="center" wrapText="1"/>
    </xf>
    <xf numFmtId="3" fontId="32" fillId="0" borderId="0" xfId="0" applyNumberFormat="1" applyFont="1" applyAlignment="1">
      <alignment horizontal="right" wrapText="1"/>
    </xf>
    <xf numFmtId="164" fontId="34" fillId="0" borderId="0" xfId="7" applyNumberFormat="1" applyFont="1" applyAlignment="1">
      <alignment horizontal="right" wrapText="1"/>
    </xf>
    <xf numFmtId="164" fontId="27" fillId="0" borderId="2" xfId="124" applyNumberFormat="1" applyBorder="1" applyAlignment="1">
      <alignment horizontal="right" wrapText="1"/>
    </xf>
    <xf numFmtId="164" fontId="29" fillId="0" borderId="0" xfId="0" applyNumberFormat="1" applyFont="1" applyAlignment="1">
      <alignment horizontal="right" wrapText="1"/>
    </xf>
    <xf numFmtId="164" fontId="26" fillId="0" borderId="0" xfId="0" applyNumberFormat="1" applyFont="1" applyAlignment="1">
      <alignment horizontal="right" wrapText="1"/>
    </xf>
    <xf numFmtId="164" fontId="22" fillId="0" borderId="0" xfId="0" applyNumberFormat="1" applyFont="1" applyAlignment="1">
      <alignment horizontal="right" wrapText="1"/>
    </xf>
    <xf numFmtId="164" fontId="29" fillId="0" borderId="0" xfId="0" quotePrefix="1" applyNumberFormat="1" applyFont="1" applyAlignment="1">
      <alignment horizontal="right" wrapText="1"/>
    </xf>
    <xf numFmtId="168" fontId="30" fillId="0" borderId="0" xfId="65" applyNumberFormat="1" applyFont="1" applyFill="1" applyBorder="1" applyAlignment="1">
      <alignment horizontal="right" wrapText="1"/>
    </xf>
    <xf numFmtId="164" fontId="29" fillId="0" borderId="0" xfId="0" applyNumberFormat="1" applyFont="1" applyAlignment="1">
      <alignment horizontal="right"/>
    </xf>
    <xf numFmtId="164" fontId="27" fillId="0" borderId="0" xfId="7" applyNumberFormat="1" applyAlignment="1">
      <alignment horizontal="right" wrapText="1"/>
    </xf>
    <xf numFmtId="169" fontId="26" fillId="0" borderId="0" xfId="65" applyNumberFormat="1" applyFont="1" applyFill="1" applyBorder="1" applyAlignment="1">
      <alignment horizontal="right" wrapText="1"/>
    </xf>
    <xf numFmtId="164" fontId="0" fillId="0" borderId="0" xfId="0" applyNumberFormat="1" applyAlignment="1">
      <alignment wrapText="1"/>
    </xf>
    <xf numFmtId="164" fontId="32" fillId="0" borderId="0" xfId="0" applyNumberFormat="1" applyFont="1" applyAlignment="1">
      <alignment horizontal="right"/>
    </xf>
    <xf numFmtId="164" fontId="34" fillId="0" borderId="0" xfId="131" applyNumberFormat="1" applyFont="1" applyAlignment="1">
      <alignment horizontal="right" wrapText="1"/>
    </xf>
    <xf numFmtId="0" fontId="25" fillId="2" borderId="0" xfId="0" applyFont="1" applyFill="1" applyAlignment="1">
      <alignment horizontal="right"/>
    </xf>
    <xf numFmtId="0" fontId="34" fillId="2" borderId="0" xfId="127" applyFont="1" applyFill="1"/>
    <xf numFmtId="170" fontId="68" fillId="2" borderId="0" xfId="68" applyFont="1" applyFill="1" applyAlignment="1">
      <alignment vertical="center"/>
    </xf>
    <xf numFmtId="168" fontId="32" fillId="0" borderId="0" xfId="0" applyNumberFormat="1" applyFont="1" applyAlignment="1">
      <alignment horizontal="right"/>
    </xf>
    <xf numFmtId="0" fontId="26" fillId="0" borderId="14" xfId="0" applyFont="1" applyBorder="1" applyAlignment="1">
      <alignment horizontal="center" wrapText="1"/>
    </xf>
    <xf numFmtId="0" fontId="31" fillId="0" borderId="8" xfId="0" applyFont="1" applyBorder="1" applyAlignment="1">
      <alignment horizontal="center" wrapText="1"/>
    </xf>
    <xf numFmtId="0" fontId="36" fillId="0" borderId="0" xfId="4" applyFill="1" applyBorder="1" applyAlignment="1" applyProtection="1"/>
    <xf numFmtId="167" fontId="32" fillId="0" borderId="0" xfId="0" applyNumberFormat="1" applyFont="1"/>
    <xf numFmtId="0" fontId="26" fillId="2" borderId="14" xfId="0" applyFont="1" applyFill="1" applyBorder="1" applyAlignment="1">
      <alignment horizontal="center" wrapText="1"/>
    </xf>
    <xf numFmtId="0" fontId="31" fillId="2" borderId="8" xfId="0" applyFont="1" applyFill="1" applyBorder="1" applyAlignment="1">
      <alignment horizontal="center" wrapText="1"/>
    </xf>
    <xf numFmtId="3" fontId="30" fillId="2" borderId="0" xfId="0" applyNumberFormat="1" applyFont="1" applyFill="1"/>
    <xf numFmtId="0" fontId="62" fillId="2" borderId="0" xfId="0" applyFont="1" applyFill="1"/>
    <xf numFmtId="169" fontId="0" fillId="0" borderId="0" xfId="0" applyNumberFormat="1"/>
    <xf numFmtId="164" fontId="26" fillId="2" borderId="0" xfId="0" quotePrefix="1" applyNumberFormat="1" applyFont="1" applyFill="1" applyAlignment="1">
      <alignment horizontal="right"/>
    </xf>
    <xf numFmtId="167" fontId="66" fillId="2" borderId="0" xfId="0" applyNumberFormat="1" applyFont="1" applyFill="1" applyAlignment="1">
      <alignment horizontal="right"/>
    </xf>
    <xf numFmtId="173" fontId="32" fillId="2" borderId="0" xfId="0" applyNumberFormat="1" applyFont="1" applyFill="1" applyAlignment="1">
      <alignment horizontal="right"/>
    </xf>
    <xf numFmtId="171" fontId="32" fillId="2" borderId="0" xfId="0" quotePrefix="1" applyNumberFormat="1" applyFont="1" applyFill="1" applyAlignment="1">
      <alignment horizontal="right"/>
    </xf>
    <xf numFmtId="0" fontId="64" fillId="2" borderId="0" xfId="0" applyFont="1" applyFill="1" applyAlignment="1">
      <alignment horizontal="center"/>
    </xf>
    <xf numFmtId="0" fontId="22" fillId="0" borderId="0" xfId="0" applyFont="1" applyAlignment="1">
      <alignment horizontal="left" vertical="top"/>
    </xf>
    <xf numFmtId="3" fontId="26" fillId="2" borderId="0" xfId="0" quotePrefix="1" applyNumberFormat="1" applyFont="1" applyFill="1" applyAlignment="1">
      <alignment horizontal="right" wrapText="1"/>
    </xf>
    <xf numFmtId="171" fontId="66" fillId="2" borderId="0" xfId="0" applyNumberFormat="1" applyFont="1" applyFill="1" applyAlignment="1">
      <alignment horizontal="right"/>
    </xf>
    <xf numFmtId="171" fontId="66" fillId="2" borderId="0" xfId="0" applyNumberFormat="1" applyFont="1" applyFill="1"/>
    <xf numFmtId="3" fontId="0" fillId="0" borderId="11" xfId="0" applyNumberFormat="1" applyBorder="1"/>
    <xf numFmtId="0" fontId="26" fillId="2" borderId="16" xfId="0" applyFont="1" applyFill="1" applyBorder="1" applyAlignment="1">
      <alignment horizontal="center" wrapText="1"/>
    </xf>
    <xf numFmtId="0" fontId="26" fillId="2" borderId="15" xfId="0" applyFont="1" applyFill="1" applyBorder="1" applyAlignment="1">
      <alignment wrapText="1"/>
    </xf>
    <xf numFmtId="0" fontId="0" fillId="2" borderId="0" xfId="0" applyFill="1" applyAlignment="1">
      <alignment horizontal="center" vertical="center" wrapText="1"/>
    </xf>
    <xf numFmtId="0" fontId="62" fillId="0" borderId="15" xfId="0" applyFont="1" applyBorder="1"/>
    <xf numFmtId="0" fontId="25" fillId="0" borderId="15" xfId="0" applyFont="1" applyBorder="1" applyAlignment="1">
      <alignment horizontal="right"/>
    </xf>
    <xf numFmtId="1" fontId="0" fillId="0" borderId="0" xfId="0" applyNumberFormat="1"/>
    <xf numFmtId="3" fontId="27" fillId="0" borderId="0" xfId="0" applyNumberFormat="1" applyFont="1" applyAlignment="1">
      <alignment horizontal="right" vertical="top"/>
    </xf>
    <xf numFmtId="1" fontId="34" fillId="30" borderId="0" xfId="0" applyNumberFormat="1" applyFont="1" applyFill="1" applyAlignment="1">
      <alignment horizontal="left"/>
    </xf>
    <xf numFmtId="0" fontId="34" fillId="30" borderId="0" xfId="0" applyFont="1" applyFill="1" applyAlignment="1">
      <alignment horizontal="left" wrapText="1"/>
    </xf>
    <xf numFmtId="3" fontId="34" fillId="30" borderId="0" xfId="0" applyNumberFormat="1" applyFont="1" applyFill="1" applyAlignment="1">
      <alignment horizontal="left" vertical="top"/>
    </xf>
    <xf numFmtId="3" fontId="18" fillId="0" borderId="0" xfId="0" applyNumberFormat="1" applyFont="1"/>
    <xf numFmtId="167" fontId="25" fillId="0" borderId="0" xfId="0" applyNumberFormat="1" applyFont="1"/>
    <xf numFmtId="174" fontId="130" fillId="2" borderId="0" xfId="0" applyNumberFormat="1" applyFont="1" applyFill="1" applyAlignment="1">
      <alignment horizontal="right" vertical="top" wrapText="1"/>
    </xf>
    <xf numFmtId="0" fontId="0" fillId="0" borderId="9" xfId="0" applyBorder="1"/>
    <xf numFmtId="0" fontId="26" fillId="2" borderId="8" xfId="0" applyFont="1" applyFill="1" applyBorder="1" applyAlignment="1">
      <alignment wrapText="1"/>
    </xf>
    <xf numFmtId="174" fontId="130" fillId="0" borderId="0" xfId="0" applyNumberFormat="1" applyFont="1" applyAlignment="1">
      <alignment horizontal="right" vertical="top" wrapText="1"/>
    </xf>
    <xf numFmtId="174" fontId="0" fillId="0" borderId="0" xfId="0" applyNumberFormat="1"/>
    <xf numFmtId="174" fontId="0" fillId="2" borderId="0" xfId="0" applyNumberFormat="1" applyFill="1"/>
    <xf numFmtId="175" fontId="0" fillId="0" borderId="0" xfId="0" applyNumberFormat="1"/>
    <xf numFmtId="3" fontId="27" fillId="2" borderId="0" xfId="2" applyNumberFormat="1" applyFill="1" applyAlignment="1">
      <alignment horizontal="right" wrapText="1"/>
    </xf>
    <xf numFmtId="166" fontId="31" fillId="2" borderId="41" xfId="0" applyNumberFormat="1" applyFont="1" applyFill="1" applyBorder="1" applyAlignment="1">
      <alignment vertical="center"/>
    </xf>
    <xf numFmtId="166" fontId="0" fillId="2" borderId="0" xfId="0" applyNumberFormat="1" applyFill="1"/>
    <xf numFmtId="174" fontId="18" fillId="2" borderId="0" xfId="0" applyNumberFormat="1" applyFont="1" applyFill="1"/>
    <xf numFmtId="174" fontId="18" fillId="0" borderId="0" xfId="0" applyNumberFormat="1" applyFont="1"/>
    <xf numFmtId="0" fontId="26" fillId="2" borderId="12" xfId="0" applyFont="1" applyFill="1" applyBorder="1" applyAlignment="1">
      <alignment horizontal="center" vertical="center" wrapText="1"/>
    </xf>
    <xf numFmtId="0" fontId="73" fillId="0" borderId="15" xfId="0" applyFont="1" applyBorder="1" applyAlignment="1">
      <alignment horizontal="right"/>
    </xf>
    <xf numFmtId="9" fontId="22" fillId="0" borderId="0" xfId="57" applyFont="1" applyFill="1" applyAlignment="1">
      <alignment horizontal="right" wrapText="1"/>
    </xf>
    <xf numFmtId="9" fontId="22" fillId="0" borderId="0" xfId="57" applyFont="1" applyFill="1" applyBorder="1" applyAlignment="1">
      <alignment horizontal="right" wrapText="1"/>
    </xf>
    <xf numFmtId="0" fontId="26" fillId="0" borderId="0" xfId="0" applyFont="1" applyAlignment="1">
      <alignment vertical="center" wrapText="1"/>
    </xf>
    <xf numFmtId="176" fontId="22" fillId="0" borderId="2" xfId="0" applyNumberFormat="1" applyFont="1" applyBorder="1"/>
    <xf numFmtId="0" fontId="31" fillId="0" borderId="39" xfId="0" applyFont="1" applyBorder="1" applyAlignment="1">
      <alignment wrapText="1"/>
    </xf>
    <xf numFmtId="174" fontId="32" fillId="0" borderId="39" xfId="57" applyNumberFormat="1" applyFont="1" applyFill="1" applyBorder="1" applyAlignment="1">
      <alignment horizontal="right" wrapText="1"/>
    </xf>
    <xf numFmtId="0" fontId="31" fillId="0" borderId="0" xfId="0" applyFont="1" applyAlignment="1">
      <alignment wrapText="1"/>
    </xf>
    <xf numFmtId="174" fontId="32" fillId="0" borderId="0" xfId="57" applyNumberFormat="1" applyFont="1" applyFill="1" applyBorder="1" applyAlignment="1">
      <alignment horizontal="right" wrapText="1"/>
    </xf>
    <xf numFmtId="174" fontId="32" fillId="0" borderId="2" xfId="57" applyNumberFormat="1" applyFont="1" applyFill="1" applyBorder="1" applyAlignment="1">
      <alignment horizontal="right" wrapText="1"/>
    </xf>
    <xf numFmtId="0" fontId="26" fillId="2" borderId="12" xfId="0" applyFont="1" applyFill="1" applyBorder="1" applyAlignment="1">
      <alignment wrapText="1"/>
    </xf>
    <xf numFmtId="0" fontId="25" fillId="0" borderId="11" xfId="0" applyFont="1" applyBorder="1"/>
    <xf numFmtId="0" fontId="27" fillId="0" borderId="9" xfId="116" applyBorder="1" applyAlignment="1">
      <alignment horizontal="right" wrapText="1"/>
    </xf>
    <xf numFmtId="0" fontId="27" fillId="0" borderId="12" xfId="116" applyBorder="1" applyAlignment="1">
      <alignment horizontal="right" wrapText="1"/>
    </xf>
    <xf numFmtId="0" fontId="27" fillId="0" borderId="8" xfId="116" applyBorder="1" applyAlignment="1">
      <alignment horizontal="right" wrapText="1"/>
    </xf>
    <xf numFmtId="0" fontId="36" fillId="0" borderId="0" xfId="4" applyAlignment="1" applyProtection="1">
      <alignment vertical="center"/>
    </xf>
    <xf numFmtId="3" fontId="29" fillId="2" borderId="2" xfId="0" applyNumberFormat="1" applyFont="1" applyFill="1" applyBorder="1" applyAlignment="1">
      <alignment horizontal="right"/>
    </xf>
    <xf numFmtId="3" fontId="29" fillId="2" borderId="39" xfId="0" applyNumberFormat="1" applyFont="1" applyFill="1" applyBorder="1"/>
    <xf numFmtId="0" fontId="24" fillId="2" borderId="39" xfId="0" applyFont="1" applyFill="1" applyBorder="1"/>
    <xf numFmtId="3" fontId="29" fillId="2" borderId="39" xfId="0" applyNumberFormat="1" applyFont="1" applyFill="1" applyBorder="1" applyAlignment="1">
      <alignment horizontal="right"/>
    </xf>
    <xf numFmtId="3" fontId="29" fillId="2" borderId="43" xfId="0" applyNumberFormat="1" applyFont="1" applyFill="1" applyBorder="1"/>
    <xf numFmtId="3" fontId="30" fillId="2" borderId="2" xfId="0" applyNumberFormat="1" applyFont="1" applyFill="1" applyBorder="1"/>
    <xf numFmtId="3" fontId="32" fillId="2" borderId="2" xfId="0" applyNumberFormat="1" applyFont="1" applyFill="1" applyBorder="1"/>
    <xf numFmtId="3" fontId="30" fillId="2" borderId="39" xfId="0" applyNumberFormat="1" applyFont="1" applyFill="1" applyBorder="1"/>
    <xf numFmtId="3" fontId="32" fillId="2" borderId="39" xfId="0" applyNumberFormat="1" applyFont="1" applyFill="1" applyBorder="1"/>
    <xf numFmtId="164" fontId="29" fillId="0" borderId="2" xfId="0" applyNumberFormat="1" applyFont="1" applyBorder="1" applyAlignment="1">
      <alignment horizontal="right" wrapText="1"/>
    </xf>
    <xf numFmtId="164" fontId="26" fillId="0" borderId="2" xfId="0" applyNumberFormat="1" applyFont="1" applyBorder="1" applyAlignment="1">
      <alignment horizontal="right" wrapText="1"/>
    </xf>
    <xf numFmtId="164" fontId="26" fillId="2" borderId="39" xfId="0" applyNumberFormat="1" applyFont="1" applyFill="1" applyBorder="1" applyAlignment="1">
      <alignment horizontal="right" vertical="center" wrapText="1"/>
    </xf>
    <xf numFmtId="164" fontId="26" fillId="0" borderId="39" xfId="0" applyNumberFormat="1" applyFont="1" applyBorder="1" applyAlignment="1">
      <alignment horizontal="right" vertical="center"/>
    </xf>
    <xf numFmtId="164" fontId="29" fillId="0" borderId="15" xfId="0" applyNumberFormat="1" applyFont="1" applyBorder="1" applyAlignment="1">
      <alignment horizontal="right" wrapText="1"/>
    </xf>
    <xf numFmtId="164" fontId="29" fillId="0" borderId="15" xfId="0" applyNumberFormat="1" applyFont="1" applyBorder="1" applyAlignment="1">
      <alignment horizontal="right"/>
    </xf>
    <xf numFmtId="168" fontId="30" fillId="0" borderId="2" xfId="65" applyNumberFormat="1" applyFont="1" applyFill="1" applyBorder="1" applyAlignment="1">
      <alignment horizontal="right" wrapText="1"/>
    </xf>
    <xf numFmtId="168" fontId="31" fillId="2" borderId="39" xfId="65" applyNumberFormat="1" applyFont="1" applyFill="1" applyBorder="1" applyAlignment="1">
      <alignment horizontal="right" vertical="center" wrapText="1"/>
    </xf>
    <xf numFmtId="168" fontId="66" fillId="2" borderId="39" xfId="65" applyNumberFormat="1" applyFont="1" applyFill="1" applyBorder="1" applyAlignment="1">
      <alignment horizontal="right" vertical="center" wrapText="1"/>
    </xf>
    <xf numFmtId="168" fontId="32" fillId="0" borderId="15" xfId="65" applyNumberFormat="1" applyFont="1" applyFill="1" applyBorder="1" applyAlignment="1">
      <alignment horizontal="right" wrapText="1"/>
    </xf>
    <xf numFmtId="168" fontId="30" fillId="0" borderId="15" xfId="65" applyNumberFormat="1" applyFont="1" applyFill="1" applyBorder="1" applyAlignment="1">
      <alignment horizontal="right" wrapText="1"/>
    </xf>
    <xf numFmtId="168" fontId="31" fillId="0" borderId="15" xfId="65" applyNumberFormat="1" applyFont="1" applyFill="1" applyBorder="1" applyAlignment="1">
      <alignment horizontal="right" wrapText="1"/>
    </xf>
    <xf numFmtId="0" fontId="26" fillId="2" borderId="3" xfId="0" applyFont="1" applyFill="1" applyBorder="1" applyAlignment="1">
      <alignment horizontal="right" wrapText="1"/>
    </xf>
    <xf numFmtId="0" fontId="26" fillId="2" borderId="9" xfId="0" applyFont="1" applyFill="1" applyBorder="1" applyAlignment="1">
      <alignment horizontal="right" wrapText="1"/>
    </xf>
    <xf numFmtId="3" fontId="27" fillId="0" borderId="0" xfId="123" applyNumberFormat="1" applyAlignment="1">
      <alignment horizontal="right" wrapText="1"/>
    </xf>
    <xf numFmtId="3" fontId="26" fillId="0" borderId="0" xfId="65" applyNumberFormat="1" applyFont="1" applyFill="1" applyBorder="1" applyAlignment="1">
      <alignment horizontal="right" wrapText="1"/>
    </xf>
    <xf numFmtId="166" fontId="32" fillId="0" borderId="0" xfId="65" applyNumberFormat="1" applyFont="1" applyFill="1" applyBorder="1" applyAlignment="1">
      <alignment horizontal="right" wrapText="1"/>
    </xf>
    <xf numFmtId="166" fontId="31" fillId="0" borderId="0" xfId="65" applyNumberFormat="1" applyFont="1" applyFill="1" applyBorder="1" applyAlignment="1">
      <alignment horizontal="right" wrapText="1"/>
    </xf>
    <xf numFmtId="3" fontId="27" fillId="0" borderId="0" xfId="123" applyNumberFormat="1"/>
    <xf numFmtId="3" fontId="0" fillId="0" borderId="0" xfId="0" applyNumberFormat="1" applyAlignment="1">
      <alignment wrapText="1"/>
    </xf>
    <xf numFmtId="3" fontId="27" fillId="0" borderId="2" xfId="123" applyNumberFormat="1" applyBorder="1" applyAlignment="1">
      <alignment horizontal="right" wrapText="1"/>
    </xf>
    <xf numFmtId="3" fontId="26" fillId="0" borderId="2" xfId="65" applyNumberFormat="1" applyFont="1" applyFill="1" applyBorder="1" applyAlignment="1">
      <alignment horizontal="right" wrapText="1"/>
    </xf>
    <xf numFmtId="166" fontId="32" fillId="0" borderId="2" xfId="65" applyNumberFormat="1" applyFont="1" applyFill="1" applyBorder="1" applyAlignment="1">
      <alignment horizontal="right" wrapText="1"/>
    </xf>
    <xf numFmtId="166" fontId="31" fillId="0" borderId="2" xfId="65" applyNumberFormat="1" applyFont="1" applyFill="1" applyBorder="1" applyAlignment="1">
      <alignment horizontal="right" wrapText="1"/>
    </xf>
    <xf numFmtId="3" fontId="26" fillId="2" borderId="39" xfId="65" applyNumberFormat="1" applyFont="1" applyFill="1" applyBorder="1" applyAlignment="1">
      <alignment horizontal="right" vertical="center" wrapText="1"/>
    </xf>
    <xf numFmtId="3" fontId="0" fillId="2" borderId="39" xfId="0" applyNumberFormat="1" applyFill="1" applyBorder="1" applyAlignment="1">
      <alignment wrapText="1"/>
    </xf>
    <xf numFmtId="166" fontId="31" fillId="2" borderId="39" xfId="65" applyNumberFormat="1" applyFont="1" applyFill="1" applyBorder="1" applyAlignment="1">
      <alignment horizontal="right" vertical="center" wrapText="1"/>
    </xf>
    <xf numFmtId="3" fontId="22" fillId="0" borderId="15" xfId="65" applyNumberFormat="1" applyFont="1" applyFill="1" applyBorder="1" applyAlignment="1">
      <alignment horizontal="right" wrapText="1"/>
    </xf>
    <xf numFmtId="3" fontId="26" fillId="0" borderId="15" xfId="65" applyNumberFormat="1" applyFont="1" applyFill="1" applyBorder="1" applyAlignment="1">
      <alignment horizontal="right" wrapText="1"/>
    </xf>
    <xf numFmtId="3" fontId="0" fillId="0" borderId="15" xfId="0" applyNumberFormat="1" applyBorder="1" applyAlignment="1">
      <alignment wrapText="1"/>
    </xf>
    <xf numFmtId="3" fontId="32" fillId="0" borderId="15" xfId="65" applyNumberFormat="1" applyFont="1" applyFill="1" applyBorder="1" applyAlignment="1">
      <alignment horizontal="right" wrapText="1"/>
    </xf>
    <xf numFmtId="3" fontId="31" fillId="0" borderId="15" xfId="65" applyNumberFormat="1" applyFont="1" applyFill="1" applyBorder="1" applyAlignment="1">
      <alignment horizontal="right" wrapText="1"/>
    </xf>
    <xf numFmtId="3" fontId="32" fillId="0" borderId="2" xfId="0" applyNumberFormat="1" applyFont="1" applyBorder="1" applyAlignment="1">
      <alignment horizontal="right" wrapText="1"/>
    </xf>
    <xf numFmtId="164" fontId="34" fillId="0" borderId="2" xfId="7" applyNumberFormat="1" applyFont="1" applyBorder="1" applyAlignment="1">
      <alignment horizontal="right" wrapText="1"/>
    </xf>
    <xf numFmtId="3" fontId="26" fillId="2" borderId="41" xfId="0" applyNumberFormat="1" applyFont="1" applyFill="1" applyBorder="1" applyAlignment="1">
      <alignment horizontal="right" vertical="center" wrapText="1"/>
    </xf>
    <xf numFmtId="164" fontId="32" fillId="0" borderId="0" xfId="0" applyNumberFormat="1" applyFont="1" applyAlignment="1">
      <alignment horizontal="right" wrapText="1"/>
    </xf>
    <xf numFmtId="164" fontId="32" fillId="0" borderId="2" xfId="0" applyNumberFormat="1" applyFont="1" applyBorder="1" applyAlignment="1">
      <alignment horizontal="right" wrapText="1"/>
    </xf>
    <xf numFmtId="164" fontId="27" fillId="0" borderId="2" xfId="7" applyNumberFormat="1" applyBorder="1" applyAlignment="1">
      <alignment horizontal="right" wrapText="1"/>
    </xf>
    <xf numFmtId="169" fontId="26" fillId="0" borderId="2" xfId="65" applyNumberFormat="1" applyFont="1" applyFill="1" applyBorder="1" applyAlignment="1">
      <alignment horizontal="right" wrapText="1"/>
    </xf>
    <xf numFmtId="164" fontId="0" fillId="0" borderId="2" xfId="0" applyNumberFormat="1" applyBorder="1" applyAlignment="1">
      <alignment wrapText="1"/>
    </xf>
    <xf numFmtId="164" fontId="34" fillId="2" borderId="41" xfId="7" applyNumberFormat="1" applyFont="1" applyFill="1" applyBorder="1" applyAlignment="1">
      <alignment horizontal="right" vertical="center" wrapText="1"/>
    </xf>
    <xf numFmtId="164" fontId="0" fillId="2" borderId="41" xfId="0" applyNumberFormat="1" applyFill="1" applyBorder="1" applyAlignment="1">
      <alignment wrapText="1"/>
    </xf>
    <xf numFmtId="43" fontId="31" fillId="2" borderId="41" xfId="65" applyNumberFormat="1" applyFont="1" applyFill="1" applyBorder="1" applyAlignment="1">
      <alignment horizontal="right" vertical="center" wrapText="1"/>
    </xf>
    <xf numFmtId="168" fontId="66" fillId="2" borderId="41" xfId="65" applyNumberFormat="1" applyFont="1" applyFill="1" applyBorder="1" applyAlignment="1">
      <alignment horizontal="right" vertical="center" wrapText="1"/>
    </xf>
    <xf numFmtId="0" fontId="34" fillId="2" borderId="1" xfId="127" applyFont="1" applyFill="1" applyBorder="1" applyAlignment="1">
      <alignment horizontal="center" vertical="center" wrapText="1"/>
    </xf>
    <xf numFmtId="0" fontId="34" fillId="2" borderId="2" xfId="127" applyFont="1" applyFill="1" applyBorder="1" applyAlignment="1">
      <alignment horizontal="center" vertical="center" wrapText="1"/>
    </xf>
    <xf numFmtId="3" fontId="34" fillId="2" borderId="0" xfId="127" applyNumberFormat="1" applyFont="1" applyFill="1" applyAlignment="1">
      <alignment horizontal="right"/>
    </xf>
    <xf numFmtId="164" fontId="34" fillId="2" borderId="0" xfId="127" applyNumberFormat="1" applyFont="1" applyFill="1" applyAlignment="1">
      <alignment horizontal="right"/>
    </xf>
    <xf numFmtId="168" fontId="30" fillId="2" borderId="0" xfId="0" applyNumberFormat="1" applyFont="1" applyFill="1" applyAlignment="1">
      <alignment horizontal="right"/>
    </xf>
    <xf numFmtId="168" fontId="39" fillId="2" borderId="0" xfId="127" quotePrefix="1" applyNumberFormat="1" applyFont="1" applyFill="1" applyAlignment="1">
      <alignment horizontal="right"/>
    </xf>
    <xf numFmtId="168" fontId="95" fillId="2" borderId="0" xfId="127" applyNumberFormat="1" applyFont="1" applyFill="1" applyAlignment="1">
      <alignment horizontal="right"/>
    </xf>
    <xf numFmtId="0" fontId="34" fillId="2" borderId="2" xfId="127" applyFont="1" applyFill="1" applyBorder="1"/>
    <xf numFmtId="168" fontId="30" fillId="2" borderId="2" xfId="0" applyNumberFormat="1" applyFont="1" applyFill="1" applyBorder="1" applyAlignment="1">
      <alignment horizontal="right"/>
    </xf>
    <xf numFmtId="168" fontId="39" fillId="2" borderId="2" xfId="127" quotePrefix="1" applyNumberFormat="1" applyFont="1" applyFill="1" applyBorder="1" applyAlignment="1">
      <alignment horizontal="right"/>
    </xf>
    <xf numFmtId="168" fontId="95" fillId="2" borderId="2" xfId="127" applyNumberFormat="1" applyFont="1" applyFill="1" applyBorder="1" applyAlignment="1">
      <alignment horizontal="right"/>
    </xf>
    <xf numFmtId="168" fontId="30" fillId="2" borderId="39" xfId="0" applyNumberFormat="1" applyFont="1" applyFill="1" applyBorder="1" applyAlignment="1">
      <alignment horizontal="right"/>
    </xf>
    <xf numFmtId="168" fontId="39" fillId="2" borderId="39" xfId="127" quotePrefix="1" applyNumberFormat="1" applyFont="1" applyFill="1" applyBorder="1" applyAlignment="1">
      <alignment horizontal="right"/>
    </xf>
    <xf numFmtId="168" fontId="95" fillId="2" borderId="39" xfId="127" applyNumberFormat="1" applyFont="1" applyFill="1" applyBorder="1" applyAlignment="1">
      <alignment horizontal="right"/>
    </xf>
    <xf numFmtId="0" fontId="34" fillId="2" borderId="39" xfId="127" applyFont="1" applyFill="1" applyBorder="1"/>
    <xf numFmtId="164" fontId="22" fillId="2" borderId="39" xfId="0" applyNumberFormat="1" applyFont="1" applyFill="1" applyBorder="1" applyAlignment="1">
      <alignment horizontal="right"/>
    </xf>
    <xf numFmtId="164" fontId="34" fillId="2" borderId="39" xfId="127" applyNumberFormat="1" applyFont="1" applyFill="1" applyBorder="1" applyAlignment="1">
      <alignment horizontal="right"/>
    </xf>
    <xf numFmtId="3" fontId="34" fillId="2" borderId="2" xfId="127" applyNumberFormat="1" applyFont="1" applyFill="1" applyBorder="1" applyAlignment="1">
      <alignment horizontal="right"/>
    </xf>
    <xf numFmtId="3" fontId="34" fillId="2" borderId="39" xfId="127" applyNumberFormat="1" applyFont="1" applyFill="1" applyBorder="1" applyAlignment="1">
      <alignment horizontal="right"/>
    </xf>
    <xf numFmtId="164" fontId="0" fillId="2" borderId="39" xfId="0" quotePrefix="1" applyNumberFormat="1" applyFill="1" applyBorder="1" applyAlignment="1">
      <alignment horizontal="right"/>
    </xf>
    <xf numFmtId="3" fontId="25" fillId="2" borderId="39" xfId="0" applyNumberFormat="1" applyFont="1" applyFill="1" applyBorder="1" applyAlignment="1">
      <alignment horizontal="right"/>
    </xf>
    <xf numFmtId="164" fontId="0" fillId="0" borderId="39" xfId="0" applyNumberFormat="1" applyBorder="1"/>
    <xf numFmtId="169" fontId="0" fillId="0" borderId="39" xfId="0" applyNumberFormat="1" applyBorder="1"/>
    <xf numFmtId="3" fontId="25" fillId="2" borderId="39" xfId="0" applyNumberFormat="1" applyFont="1" applyFill="1" applyBorder="1"/>
    <xf numFmtId="164" fontId="25" fillId="0" borderId="0" xfId="0" quotePrefix="1" applyNumberFormat="1" applyFont="1" applyAlignment="1">
      <alignment horizontal="right"/>
    </xf>
    <xf numFmtId="0" fontId="62" fillId="0" borderId="0" xfId="0" applyFont="1"/>
    <xf numFmtId="3" fontId="25" fillId="2" borderId="2" xfId="0" applyNumberFormat="1" applyFont="1" applyFill="1" applyBorder="1" applyAlignment="1">
      <alignment horizontal="right"/>
    </xf>
    <xf numFmtId="0" fontId="22" fillId="2" borderId="0" xfId="128" applyFont="1" applyFill="1" applyAlignment="1">
      <alignment horizontal="left"/>
    </xf>
    <xf numFmtId="167" fontId="66" fillId="2" borderId="2" xfId="0" applyNumberFormat="1" applyFont="1" applyFill="1" applyBorder="1"/>
    <xf numFmtId="3" fontId="25" fillId="0" borderId="39" xfId="0" applyNumberFormat="1" applyFont="1" applyBorder="1"/>
    <xf numFmtId="3" fontId="0" fillId="0" borderId="1" xfId="0" applyNumberFormat="1" applyBorder="1"/>
    <xf numFmtId="3" fontId="25" fillId="0" borderId="9" xfId="0" applyNumberFormat="1" applyFont="1" applyBorder="1"/>
    <xf numFmtId="3" fontId="25" fillId="0" borderId="12" xfId="0" applyNumberFormat="1" applyFont="1" applyBorder="1"/>
    <xf numFmtId="3" fontId="25" fillId="0" borderId="42" xfId="0" applyNumberFormat="1" applyFont="1" applyBorder="1"/>
    <xf numFmtId="0" fontId="16" fillId="0" borderId="0" xfId="0" applyFont="1"/>
    <xf numFmtId="0" fontId="16" fillId="65" borderId="0" xfId="0" applyFont="1" applyFill="1"/>
    <xf numFmtId="0" fontId="26" fillId="2" borderId="0" xfId="0" quotePrefix="1" applyFont="1" applyFill="1" applyAlignment="1">
      <alignment horizontal="center" vertical="center" wrapText="1"/>
    </xf>
    <xf numFmtId="164" fontId="22" fillId="2" borderId="39" xfId="0" quotePrefix="1" applyNumberFormat="1" applyFont="1" applyFill="1" applyBorder="1" applyAlignment="1">
      <alignment horizontal="right"/>
    </xf>
    <xf numFmtId="164" fontId="26" fillId="2" borderId="12" xfId="0" applyNumberFormat="1" applyFont="1" applyFill="1" applyBorder="1"/>
    <xf numFmtId="164" fontId="26" fillId="2" borderId="42" xfId="0" applyNumberFormat="1" applyFont="1" applyFill="1" applyBorder="1"/>
    <xf numFmtId="164" fontId="26" fillId="2" borderId="9" xfId="0" applyNumberFormat="1" applyFont="1" applyFill="1" applyBorder="1" applyAlignment="1">
      <alignment horizontal="right"/>
    </xf>
    <xf numFmtId="167" fontId="30" fillId="2" borderId="2" xfId="0" applyNumberFormat="1" applyFont="1" applyFill="1" applyBorder="1" applyAlignment="1">
      <alignment horizontal="right"/>
    </xf>
    <xf numFmtId="167" fontId="30" fillId="2" borderId="39" xfId="0" applyNumberFormat="1" applyFont="1" applyFill="1" applyBorder="1" applyAlignment="1">
      <alignment horizontal="right"/>
    </xf>
    <xf numFmtId="0" fontId="26" fillId="2" borderId="41" xfId="0" applyFont="1" applyFill="1" applyBorder="1" applyAlignment="1">
      <alignment horizontal="left"/>
    </xf>
    <xf numFmtId="167" fontId="30" fillId="2" borderId="41" xfId="0" applyNumberFormat="1" applyFont="1" applyFill="1" applyBorder="1" applyAlignment="1">
      <alignment horizontal="right"/>
    </xf>
    <xf numFmtId="167" fontId="30" fillId="2" borderId="41" xfId="0" applyNumberFormat="1" applyFont="1" applyFill="1" applyBorder="1"/>
    <xf numFmtId="0" fontId="26" fillId="2" borderId="41" xfId="0" applyFont="1" applyFill="1" applyBorder="1"/>
    <xf numFmtId="3" fontId="22" fillId="0" borderId="39" xfId="0" applyNumberFormat="1" applyFont="1" applyBorder="1"/>
    <xf numFmtId="0" fontId="26" fillId="0" borderId="1" xfId="0" applyFont="1" applyBorder="1"/>
    <xf numFmtId="0" fontId="26" fillId="0" borderId="40" xfId="0" applyFont="1" applyBorder="1"/>
    <xf numFmtId="0" fontId="26" fillId="2" borderId="0" xfId="0" quotePrefix="1" applyFont="1" applyFill="1" applyAlignment="1">
      <alignment horizontal="center" wrapText="1"/>
    </xf>
    <xf numFmtId="0" fontId="26" fillId="0" borderId="0" xfId="0" applyFont="1" applyAlignment="1">
      <alignment horizontal="left" wrapText="1"/>
    </xf>
    <xf numFmtId="0" fontId="68" fillId="2" borderId="0" xfId="0" applyFont="1" applyFill="1" applyAlignment="1">
      <alignment horizontal="center" vertical="center" wrapText="1"/>
    </xf>
    <xf numFmtId="167" fontId="32" fillId="0" borderId="2" xfId="0" quotePrefix="1" applyNumberFormat="1" applyFont="1" applyBorder="1" applyAlignment="1">
      <alignment horizontal="right"/>
    </xf>
    <xf numFmtId="167" fontId="32" fillId="0" borderId="0" xfId="0" quotePrefix="1" applyNumberFormat="1" applyFont="1" applyAlignment="1">
      <alignment horizontal="right"/>
    </xf>
    <xf numFmtId="0" fontId="69" fillId="0" borderId="0" xfId="0" applyFont="1" applyAlignment="1">
      <alignment horizontal="left" vertical="center" wrapText="1"/>
    </xf>
    <xf numFmtId="167" fontId="31" fillId="0" borderId="0" xfId="0" quotePrefix="1" applyNumberFormat="1" applyFont="1" applyAlignment="1">
      <alignment horizontal="right" vertical="center"/>
    </xf>
    <xf numFmtId="167" fontId="31" fillId="0" borderId="0" xfId="0" applyNumberFormat="1" applyFont="1" applyAlignment="1">
      <alignment horizontal="right" vertical="center"/>
    </xf>
    <xf numFmtId="0" fontId="36" fillId="0" borderId="0" xfId="4" applyFill="1" applyAlignment="1" applyProtection="1"/>
    <xf numFmtId="172" fontId="0" fillId="2" borderId="2" xfId="0" applyNumberFormat="1" applyFill="1" applyBorder="1"/>
    <xf numFmtId="172" fontId="0" fillId="2" borderId="39" xfId="0" applyNumberFormat="1" applyFill="1" applyBorder="1"/>
    <xf numFmtId="173" fontId="32" fillId="2" borderId="2" xfId="0" applyNumberFormat="1" applyFont="1" applyFill="1" applyBorder="1" applyAlignment="1">
      <alignment horizontal="right"/>
    </xf>
    <xf numFmtId="173" fontId="32" fillId="2" borderId="39" xfId="0" applyNumberFormat="1" applyFont="1" applyFill="1" applyBorder="1" applyAlignment="1">
      <alignment horizontal="right"/>
    </xf>
    <xf numFmtId="171" fontId="32" fillId="2" borderId="2" xfId="0" applyNumberFormat="1" applyFont="1" applyFill="1" applyBorder="1"/>
    <xf numFmtId="171" fontId="32" fillId="2" borderId="2" xfId="0" quotePrefix="1" applyNumberFormat="1" applyFont="1" applyFill="1" applyBorder="1" applyAlignment="1">
      <alignment horizontal="right"/>
    </xf>
    <xf numFmtId="171" fontId="32" fillId="2" borderId="39" xfId="0" applyNumberFormat="1" applyFont="1" applyFill="1" applyBorder="1"/>
    <xf numFmtId="171" fontId="32" fillId="2" borderId="39" xfId="0" quotePrefix="1" applyNumberFormat="1" applyFont="1" applyFill="1" applyBorder="1" applyAlignment="1">
      <alignment horizontal="right"/>
    </xf>
    <xf numFmtId="172" fontId="0" fillId="0" borderId="2" xfId="0" applyNumberFormat="1" applyBorder="1"/>
    <xf numFmtId="0" fontId="0" fillId="0" borderId="39" xfId="0" applyBorder="1" applyAlignment="1">
      <alignment vertical="center"/>
    </xf>
    <xf numFmtId="0" fontId="62" fillId="0" borderId="39" xfId="0" applyFont="1" applyBorder="1" applyAlignment="1">
      <alignment vertical="center"/>
    </xf>
    <xf numFmtId="0" fontId="62" fillId="0" borderId="0" xfId="0" applyFont="1" applyAlignment="1">
      <alignment horizontal="right"/>
    </xf>
    <xf numFmtId="0" fontId="73" fillId="0" borderId="0" xfId="0" applyFont="1" applyAlignment="1">
      <alignment horizontal="right"/>
    </xf>
    <xf numFmtId="0" fontId="26" fillId="0" borderId="0" xfId="0" applyFont="1" applyAlignment="1">
      <alignment horizontal="center" vertical="center" wrapText="1"/>
    </xf>
    <xf numFmtId="0" fontId="31" fillId="0" borderId="0" xfId="0" applyFont="1" applyAlignment="1">
      <alignment horizontal="right"/>
    </xf>
    <xf numFmtId="0" fontId="72" fillId="0" borderId="0" xfId="0" applyFont="1" applyAlignment="1">
      <alignment horizontal="right"/>
    </xf>
    <xf numFmtId="164" fontId="27" fillId="0" borderId="2" xfId="131" applyNumberFormat="1" applyBorder="1" applyAlignment="1">
      <alignment horizontal="right" wrapText="1"/>
    </xf>
    <xf numFmtId="164" fontId="26" fillId="0" borderId="2" xfId="0" applyNumberFormat="1" applyFont="1" applyBorder="1" applyAlignment="1">
      <alignment horizontal="right"/>
    </xf>
    <xf numFmtId="0" fontId="0" fillId="0" borderId="41" xfId="0" applyBorder="1" applyAlignment="1">
      <alignment vertical="center"/>
    </xf>
    <xf numFmtId="0" fontId="62" fillId="0" borderId="41" xfId="0" applyFont="1" applyBorder="1" applyAlignment="1">
      <alignment vertical="center"/>
    </xf>
    <xf numFmtId="3" fontId="26" fillId="0" borderId="41" xfId="0" applyNumberFormat="1" applyFont="1" applyBorder="1" applyAlignment="1">
      <alignment vertical="center"/>
    </xf>
    <xf numFmtId="0" fontId="23" fillId="0" borderId="41" xfId="0" applyFont="1" applyBorder="1" applyAlignment="1">
      <alignment vertical="center"/>
    </xf>
    <xf numFmtId="168" fontId="66" fillId="0" borderId="41" xfId="0" applyNumberFormat="1" applyFont="1" applyBorder="1" applyAlignment="1">
      <alignment horizontal="right" vertical="center"/>
    </xf>
    <xf numFmtId="164" fontId="0" fillId="0" borderId="2" xfId="0" applyNumberFormat="1" applyBorder="1" applyAlignment="1">
      <alignment horizontal="right"/>
    </xf>
    <xf numFmtId="3" fontId="26" fillId="0" borderId="39" xfId="0" applyNumberFormat="1" applyFont="1" applyBorder="1" applyAlignment="1">
      <alignment horizontal="right" vertical="center"/>
    </xf>
    <xf numFmtId="0" fontId="0" fillId="0" borderId="39" xfId="0" applyBorder="1" applyAlignment="1">
      <alignment horizontal="right" vertical="center"/>
    </xf>
    <xf numFmtId="168" fontId="26" fillId="0" borderId="39" xfId="0" applyNumberFormat="1" applyFont="1" applyBorder="1" applyAlignment="1">
      <alignment horizontal="right" vertical="center"/>
    </xf>
    <xf numFmtId="164" fontId="34" fillId="0" borderId="2" xfId="131" applyNumberFormat="1" applyFont="1" applyBorder="1" applyAlignment="1">
      <alignment horizontal="right" wrapText="1"/>
    </xf>
    <xf numFmtId="164" fontId="26" fillId="0" borderId="39" xfId="0" applyNumberFormat="1" applyFont="1" applyBorder="1" applyAlignment="1">
      <alignment vertical="center"/>
    </xf>
    <xf numFmtId="164" fontId="0" fillId="0" borderId="39" xfId="0" applyNumberFormat="1" applyBorder="1" applyAlignment="1">
      <alignment vertical="center"/>
    </xf>
    <xf numFmtId="168" fontId="31" fillId="0" borderId="39" xfId="0" applyNumberFormat="1" applyFont="1" applyBorder="1" applyAlignment="1">
      <alignment horizontal="right" vertical="center"/>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7" xfId="0" applyFont="1" applyBorder="1" applyAlignment="1">
      <alignment horizontal="center" vertical="center" wrapText="1"/>
    </xf>
    <xf numFmtId="167" fontId="30" fillId="2" borderId="2" xfId="65" applyNumberFormat="1" applyFont="1" applyFill="1" applyBorder="1" applyAlignment="1">
      <alignment horizontal="right" wrapText="1"/>
    </xf>
    <xf numFmtId="173" fontId="26" fillId="2" borderId="41" xfId="65" applyNumberFormat="1" applyFont="1" applyFill="1" applyBorder="1" applyAlignment="1">
      <alignment horizontal="right" vertical="center" wrapText="1"/>
    </xf>
    <xf numFmtId="0" fontId="34" fillId="0" borderId="2" xfId="132" applyFont="1" applyBorder="1"/>
    <xf numFmtId="0" fontId="34" fillId="0" borderId="39" xfId="132" applyFont="1" applyBorder="1"/>
    <xf numFmtId="0" fontId="69" fillId="2" borderId="41" xfId="132" applyFont="1" applyFill="1" applyBorder="1" applyAlignment="1">
      <alignment vertical="center"/>
    </xf>
    <xf numFmtId="167" fontId="32" fillId="2" borderId="2" xfId="0" applyNumberFormat="1" applyFont="1" applyFill="1" applyBorder="1" applyAlignment="1">
      <alignment horizontal="right"/>
    </xf>
    <xf numFmtId="167" fontId="32" fillId="2" borderId="39" xfId="0" applyNumberFormat="1" applyFont="1" applyFill="1" applyBorder="1" applyAlignment="1">
      <alignment horizontal="right"/>
    </xf>
    <xf numFmtId="168" fontId="32" fillId="0" borderId="2" xfId="0" applyNumberFormat="1" applyFont="1" applyBorder="1" applyAlignment="1">
      <alignment horizontal="right"/>
    </xf>
    <xf numFmtId="164" fontId="0" fillId="2" borderId="41" xfId="0" applyNumberFormat="1" applyFill="1" applyBorder="1"/>
    <xf numFmtId="168" fontId="31" fillId="2" borderId="41" xfId="0" applyNumberFormat="1" applyFont="1" applyFill="1" applyBorder="1" applyAlignment="1">
      <alignment horizontal="right" vertical="center"/>
    </xf>
    <xf numFmtId="0" fontId="0" fillId="0" borderId="41" xfId="0" applyBorder="1"/>
    <xf numFmtId="166" fontId="30" fillId="0" borderId="41" xfId="0" applyNumberFormat="1" applyFont="1" applyBorder="1"/>
    <xf numFmtId="0" fontId="25" fillId="0" borderId="41" xfId="0" applyFont="1" applyBorder="1"/>
    <xf numFmtId="3" fontId="0" fillId="2" borderId="2" xfId="0" applyNumberFormat="1" applyFill="1" applyBorder="1" applyAlignment="1">
      <alignment horizontal="right"/>
    </xf>
    <xf numFmtId="3" fontId="0" fillId="2" borderId="39" xfId="0" applyNumberFormat="1" applyFill="1" applyBorder="1" applyAlignment="1">
      <alignment horizontal="right"/>
    </xf>
    <xf numFmtId="0" fontId="90" fillId="0" borderId="39" xfId="136" applyFont="1" applyBorder="1" applyAlignment="1">
      <alignment horizontal="right" wrapText="1"/>
    </xf>
    <xf numFmtId="167" fontId="32" fillId="0" borderId="0" xfId="0" applyNumberFormat="1" applyFont="1" applyAlignment="1">
      <alignment horizontal="right"/>
    </xf>
    <xf numFmtId="0" fontId="69" fillId="0" borderId="0" xfId="0" applyFont="1" applyAlignment="1">
      <alignment horizontal="right"/>
    </xf>
    <xf numFmtId="0" fontId="26" fillId="0" borderId="0" xfId="0" applyFont="1" applyAlignment="1">
      <alignment horizontal="center"/>
    </xf>
    <xf numFmtId="0" fontId="26" fillId="0" borderId="39" xfId="0" applyFont="1" applyBorder="1"/>
    <xf numFmtId="3" fontId="0" fillId="0" borderId="39" xfId="0" applyNumberFormat="1" applyBorder="1" applyAlignment="1">
      <alignment horizontal="right"/>
    </xf>
    <xf numFmtId="167" fontId="32" fillId="0" borderId="2" xfId="0" applyNumberFormat="1" applyFont="1" applyBorder="1" applyAlignment="1">
      <alignment horizontal="right"/>
    </xf>
    <xf numFmtId="167" fontId="32" fillId="0" borderId="39" xfId="0" applyNumberFormat="1" applyFont="1" applyBorder="1" applyAlignment="1">
      <alignment horizontal="right"/>
    </xf>
    <xf numFmtId="0" fontId="26" fillId="0" borderId="0" xfId="0" applyFont="1" applyAlignment="1">
      <alignment horizontal="center" wrapText="1"/>
    </xf>
    <xf numFmtId="0" fontId="26" fillId="0" borderId="0" xfId="0" quotePrefix="1" applyFont="1" applyAlignment="1">
      <alignment horizontal="center" wrapText="1"/>
    </xf>
    <xf numFmtId="0" fontId="25" fillId="2" borderId="0" xfId="0" applyFont="1" applyFill="1" applyAlignment="1">
      <alignment horizontal="center"/>
    </xf>
    <xf numFmtId="3" fontId="24" fillId="2" borderId="0" xfId="0" applyNumberFormat="1" applyFont="1" applyFill="1"/>
    <xf numFmtId="168" fontId="30" fillId="2" borderId="0" xfId="0" applyNumberFormat="1" applyFont="1" applyFill="1"/>
    <xf numFmtId="166" fontId="26" fillId="2" borderId="0" xfId="0" applyNumberFormat="1" applyFont="1" applyFill="1" applyAlignment="1">
      <alignment horizontal="center" wrapText="1"/>
    </xf>
    <xf numFmtId="0" fontId="25" fillId="0" borderId="0" xfId="0" applyFont="1" applyAlignment="1">
      <alignment horizontal="left"/>
    </xf>
    <xf numFmtId="168" fontId="30" fillId="2" borderId="2" xfId="0" applyNumberFormat="1" applyFont="1" applyFill="1" applyBorder="1"/>
    <xf numFmtId="168" fontId="32" fillId="2" borderId="39" xfId="0" applyNumberFormat="1" applyFont="1" applyFill="1" applyBorder="1"/>
    <xf numFmtId="168" fontId="30" fillId="2" borderId="39" xfId="0" applyNumberFormat="1" applyFont="1" applyFill="1" applyBorder="1"/>
    <xf numFmtId="168" fontId="30" fillId="0" borderId="39" xfId="0" applyNumberFormat="1" applyFont="1" applyBorder="1"/>
    <xf numFmtId="164" fontId="25" fillId="0" borderId="0" xfId="0" applyNumberFormat="1" applyFont="1"/>
    <xf numFmtId="166" fontId="26" fillId="2" borderId="0" xfId="0" applyNumberFormat="1" applyFont="1" applyFill="1" applyAlignment="1">
      <alignment horizontal="center"/>
    </xf>
    <xf numFmtId="168" fontId="66" fillId="2" borderId="41" xfId="0" applyNumberFormat="1" applyFont="1" applyFill="1" applyBorder="1" applyAlignment="1">
      <alignment horizontal="right" vertical="center"/>
    </xf>
    <xf numFmtId="168" fontId="66" fillId="2" borderId="39" xfId="0" applyNumberFormat="1" applyFont="1" applyFill="1" applyBorder="1" applyAlignment="1">
      <alignment horizontal="right" vertical="center"/>
    </xf>
    <xf numFmtId="168" fontId="31" fillId="2" borderId="39" xfId="0" applyNumberFormat="1" applyFont="1" applyFill="1" applyBorder="1" applyAlignment="1">
      <alignment vertical="center"/>
    </xf>
    <xf numFmtId="168" fontId="66" fillId="2" borderId="39" xfId="0" applyNumberFormat="1" applyFont="1" applyFill="1" applyBorder="1" applyAlignment="1">
      <alignment vertical="center"/>
    </xf>
    <xf numFmtId="164" fontId="25" fillId="0" borderId="2" xfId="0" applyNumberFormat="1" applyFont="1" applyBorder="1"/>
    <xf numFmtId="3" fontId="26" fillId="2" borderId="0" xfId="0" applyNumberFormat="1" applyFont="1" applyFill="1" applyAlignment="1">
      <alignment wrapText="1"/>
    </xf>
    <xf numFmtId="3" fontId="26" fillId="2" borderId="2" xfId="0" applyNumberFormat="1" applyFont="1" applyFill="1" applyBorder="1" applyAlignment="1">
      <alignment wrapText="1"/>
    </xf>
    <xf numFmtId="3" fontId="26" fillId="2" borderId="39" xfId="0" applyNumberFormat="1" applyFont="1" applyFill="1" applyBorder="1" applyAlignment="1">
      <alignment wrapText="1"/>
    </xf>
    <xf numFmtId="0" fontId="27" fillId="0" borderId="39" xfId="137" applyBorder="1" applyAlignment="1">
      <alignment horizontal="right" wrapText="1"/>
    </xf>
    <xf numFmtId="164" fontId="27" fillId="0" borderId="39" xfId="137" applyNumberFormat="1" applyBorder="1" applyAlignment="1">
      <alignment horizontal="right" wrapText="1"/>
    </xf>
    <xf numFmtId="0" fontId="27" fillId="0" borderId="39" xfId="138" applyBorder="1" applyAlignment="1">
      <alignment horizontal="right" wrapText="1"/>
    </xf>
    <xf numFmtId="164" fontId="0" fillId="2" borderId="39" xfId="0" quotePrefix="1" applyNumberFormat="1" applyFill="1" applyBorder="1" applyAlignment="1">
      <alignment horizontal="right" wrapText="1"/>
    </xf>
    <xf numFmtId="0" fontId="15" fillId="0" borderId="0" xfId="0" applyFont="1"/>
    <xf numFmtId="0" fontId="34" fillId="2" borderId="0" xfId="67" applyFont="1" applyFill="1" applyAlignment="1">
      <alignment wrapText="1"/>
    </xf>
    <xf numFmtId="3" fontId="26" fillId="2" borderId="2" xfId="0" applyNumberFormat="1" applyFont="1" applyFill="1" applyBorder="1" applyAlignment="1">
      <alignment horizontal="left"/>
    </xf>
    <xf numFmtId="164" fontId="0" fillId="2" borderId="39" xfId="0" applyNumberFormat="1" applyFill="1" applyBorder="1" applyAlignment="1">
      <alignment horizontal="right" wrapText="1"/>
    </xf>
    <xf numFmtId="3" fontId="26" fillId="2" borderId="39" xfId="0" quotePrefix="1" applyNumberFormat="1" applyFont="1" applyFill="1" applyBorder="1" applyAlignment="1">
      <alignment horizontal="right" wrapText="1"/>
    </xf>
    <xf numFmtId="166" fontId="30" fillId="2" borderId="41" xfId="0" quotePrefix="1" applyNumberFormat="1" applyFont="1" applyFill="1" applyBorder="1" applyAlignment="1">
      <alignment horizontal="right"/>
    </xf>
    <xf numFmtId="171" fontId="66" fillId="2" borderId="2" xfId="0" applyNumberFormat="1" applyFont="1" applyFill="1" applyBorder="1" applyAlignment="1">
      <alignment horizontal="right"/>
    </xf>
    <xf numFmtId="171" fontId="30" fillId="2" borderId="39" xfId="0" applyNumberFormat="1" applyFont="1" applyFill="1" applyBorder="1" applyAlignment="1">
      <alignment horizontal="right"/>
    </xf>
    <xf numFmtId="171" fontId="66" fillId="2" borderId="39" xfId="0" applyNumberFormat="1" applyFont="1" applyFill="1" applyBorder="1" applyAlignment="1">
      <alignment horizontal="right"/>
    </xf>
    <xf numFmtId="0" fontId="25" fillId="2" borderId="39" xfId="0" applyFont="1" applyFill="1" applyBorder="1"/>
    <xf numFmtId="3" fontId="0" fillId="2" borderId="39" xfId="0" applyNumberFormat="1" applyFill="1" applyBorder="1" applyAlignment="1">
      <alignment horizontal="right" wrapText="1"/>
    </xf>
    <xf numFmtId="171" fontId="30" fillId="2" borderId="2" xfId="0" applyNumberFormat="1" applyFont="1" applyFill="1" applyBorder="1"/>
    <xf numFmtId="171" fontId="66" fillId="2" borderId="2" xfId="0" applyNumberFormat="1" applyFont="1" applyFill="1" applyBorder="1"/>
    <xf numFmtId="171" fontId="30" fillId="2" borderId="39" xfId="0" applyNumberFormat="1" applyFont="1" applyFill="1" applyBorder="1"/>
    <xf numFmtId="171" fontId="66" fillId="2" borderId="39" xfId="0" applyNumberFormat="1" applyFont="1" applyFill="1" applyBorder="1"/>
    <xf numFmtId="0" fontId="133" fillId="0" borderId="15" xfId="0" applyFont="1" applyBorder="1" applyAlignment="1">
      <alignment horizontal="center" wrapText="1"/>
    </xf>
    <xf numFmtId="0" fontId="133" fillId="0" borderId="0" xfId="0" applyFont="1" applyAlignment="1">
      <alignment horizontal="center" wrapText="1"/>
    </xf>
    <xf numFmtId="0" fontId="25" fillId="0" borderId="0" xfId="0" applyFont="1" applyAlignment="1">
      <alignment horizontal="right"/>
    </xf>
    <xf numFmtId="0" fontId="25" fillId="0" borderId="39" xfId="0" applyFont="1" applyBorder="1"/>
    <xf numFmtId="1" fontId="0" fillId="0" borderId="2" xfId="0" applyNumberFormat="1" applyBorder="1"/>
    <xf numFmtId="1" fontId="0" fillId="0" borderId="39" xfId="0" applyNumberFormat="1" applyBorder="1"/>
    <xf numFmtId="0" fontId="25" fillId="0" borderId="0" xfId="0" applyFont="1" applyAlignment="1">
      <alignment horizontal="right" wrapText="1"/>
    </xf>
    <xf numFmtId="0" fontId="68" fillId="2" borderId="0" xfId="0" applyFont="1" applyFill="1" applyAlignment="1">
      <alignment horizontal="center"/>
    </xf>
    <xf numFmtId="167" fontId="0" fillId="0" borderId="2" xfId="0" applyNumberFormat="1" applyBorder="1"/>
    <xf numFmtId="167" fontId="25" fillId="0" borderId="2" xfId="0" applyNumberFormat="1" applyFont="1" applyBorder="1"/>
    <xf numFmtId="167" fontId="0" fillId="0" borderId="39" xfId="0" applyNumberFormat="1" applyBorder="1"/>
    <xf numFmtId="167" fontId="25" fillId="0" borderId="39" xfId="0" applyNumberFormat="1" applyFont="1" applyBorder="1"/>
    <xf numFmtId="167" fontId="0" fillId="0" borderId="41" xfId="0" applyNumberFormat="1" applyBorder="1"/>
    <xf numFmtId="1" fontId="25" fillId="0" borderId="2" xfId="0" applyNumberFormat="1" applyFont="1" applyBorder="1"/>
    <xf numFmtId="1" fontId="25" fillId="0" borderId="0" xfId="0" applyNumberFormat="1" applyFont="1"/>
    <xf numFmtId="1" fontId="25" fillId="0" borderId="39" xfId="0" applyNumberFormat="1" applyFont="1" applyBorder="1"/>
    <xf numFmtId="1" fontId="0" fillId="0" borderId="41" xfId="0" applyNumberFormat="1" applyBorder="1"/>
    <xf numFmtId="0" fontId="25" fillId="0" borderId="15" xfId="0" applyFont="1" applyBorder="1" applyAlignment="1">
      <alignment horizontal="right" wrapText="1"/>
    </xf>
    <xf numFmtId="0" fontId="26" fillId="0" borderId="15" xfId="0" applyFont="1" applyBorder="1" applyAlignment="1">
      <alignment wrapText="1"/>
    </xf>
    <xf numFmtId="3" fontId="23" fillId="0" borderId="0" xfId="0" applyNumberFormat="1" applyFont="1" applyAlignment="1">
      <alignment horizontal="right"/>
    </xf>
    <xf numFmtId="3" fontId="96" fillId="0" borderId="0" xfId="0" applyNumberFormat="1" applyFont="1" applyAlignment="1">
      <alignment horizontal="center" wrapText="1"/>
    </xf>
    <xf numFmtId="0" fontId="97" fillId="0" borderId="0" xfId="0" applyFont="1" applyAlignment="1">
      <alignment horizontal="right"/>
    </xf>
    <xf numFmtId="0" fontId="97" fillId="0" borderId="2" xfId="0" applyFont="1" applyBorder="1" applyAlignment="1">
      <alignment horizontal="right"/>
    </xf>
    <xf numFmtId="37" fontId="112" fillId="0" borderId="2" xfId="0" applyNumberFormat="1" applyFont="1" applyBorder="1" applyAlignment="1">
      <alignment horizontal="right"/>
    </xf>
    <xf numFmtId="0" fontId="97" fillId="0" borderId="39" xfId="0" applyFont="1" applyBorder="1" applyAlignment="1">
      <alignment horizontal="right"/>
    </xf>
    <xf numFmtId="37" fontId="112" fillId="0" borderId="39" xfId="0" applyNumberFormat="1" applyFont="1" applyBorder="1" applyAlignment="1">
      <alignment horizontal="right"/>
    </xf>
    <xf numFmtId="3" fontId="26" fillId="2" borderId="41" xfId="0" applyNumberFormat="1" applyFont="1" applyFill="1" applyBorder="1" applyAlignment="1">
      <alignment horizontal="right" vertical="center"/>
    </xf>
    <xf numFmtId="0" fontId="25" fillId="0" borderId="0" xfId="0" applyFont="1" applyAlignment="1">
      <alignment horizontal="center" wrapText="1"/>
    </xf>
    <xf numFmtId="166" fontId="66" fillId="2" borderId="0" xfId="0" applyNumberFormat="1" applyFont="1" applyFill="1"/>
    <xf numFmtId="166" fontId="66" fillId="2" borderId="2" xfId="0" applyNumberFormat="1" applyFont="1" applyFill="1" applyBorder="1"/>
    <xf numFmtId="166" fontId="30" fillId="2" borderId="39" xfId="0" applyNumberFormat="1" applyFont="1" applyFill="1" applyBorder="1"/>
    <xf numFmtId="166" fontId="66" fillId="2" borderId="39" xfId="0" applyNumberFormat="1" applyFont="1" applyFill="1" applyBorder="1"/>
    <xf numFmtId="0" fontId="62" fillId="2" borderId="15" xfId="0" applyFont="1" applyFill="1" applyBorder="1"/>
    <xf numFmtId="3" fontId="26" fillId="2" borderId="0" xfId="0" applyNumberFormat="1" applyFont="1" applyFill="1" applyAlignment="1">
      <alignment horizontal="center"/>
    </xf>
    <xf numFmtId="0" fontId="26" fillId="2" borderId="41" xfId="0" applyFont="1" applyFill="1" applyBorder="1" applyAlignment="1">
      <alignment vertical="center"/>
    </xf>
    <xf numFmtId="0" fontId="0" fillId="0" borderId="0" xfId="0" applyAlignment="1">
      <alignment vertical="center" wrapText="1"/>
    </xf>
    <xf numFmtId="0" fontId="32" fillId="0" borderId="0" xfId="0" applyFont="1"/>
    <xf numFmtId="1" fontId="32" fillId="0" borderId="0" xfId="0" applyNumberFormat="1" applyFont="1" applyAlignment="1">
      <alignment horizontal="right"/>
    </xf>
    <xf numFmtId="1" fontId="22" fillId="0" borderId="0" xfId="0" applyNumberFormat="1" applyFont="1" applyAlignment="1">
      <alignment horizontal="right"/>
    </xf>
    <xf numFmtId="0" fontId="34" fillId="0" borderId="0" xfId="67" applyFont="1" applyAlignment="1">
      <alignment wrapText="1"/>
    </xf>
    <xf numFmtId="0" fontId="32" fillId="0" borderId="2" xfId="0" applyFont="1" applyBorder="1"/>
    <xf numFmtId="0" fontId="22" fillId="0" borderId="2" xfId="0" applyFont="1" applyBorder="1"/>
    <xf numFmtId="1" fontId="32" fillId="0" borderId="39" xfId="0" applyNumberFormat="1" applyFont="1" applyBorder="1" applyAlignment="1">
      <alignment horizontal="right"/>
    </xf>
    <xf numFmtId="1" fontId="22" fillId="0" borderId="39" xfId="0" applyNumberFormat="1" applyFont="1" applyBorder="1" applyAlignment="1">
      <alignment horizontal="right"/>
    </xf>
    <xf numFmtId="0" fontId="22" fillId="0" borderId="39" xfId="0" applyFont="1" applyBorder="1"/>
    <xf numFmtId="0" fontId="25" fillId="0" borderId="0" xfId="0" applyFont="1" applyAlignment="1">
      <alignment wrapText="1"/>
    </xf>
    <xf numFmtId="3" fontId="26" fillId="0" borderId="0" xfId="0" applyNumberFormat="1" applyFont="1" applyAlignment="1">
      <alignment horizontal="left" wrapText="1"/>
    </xf>
    <xf numFmtId="3" fontId="26" fillId="0" borderId="0" xfId="0" applyNumberFormat="1" applyFont="1" applyAlignment="1">
      <alignment wrapText="1"/>
    </xf>
    <xf numFmtId="167" fontId="31" fillId="0" borderId="0" xfId="0" applyNumberFormat="1" applyFont="1" applyAlignment="1">
      <alignment horizontal="right"/>
    </xf>
    <xf numFmtId="3" fontId="26" fillId="0" borderId="0" xfId="0" applyNumberFormat="1" applyFont="1" applyAlignment="1">
      <alignment horizontal="center"/>
    </xf>
    <xf numFmtId="0" fontId="0" fillId="2" borderId="0" xfId="0" quotePrefix="1" applyFill="1" applyAlignment="1">
      <alignment horizontal="center"/>
    </xf>
    <xf numFmtId="3" fontId="26" fillId="2" borderId="0" xfId="0" applyNumberFormat="1" applyFont="1" applyFill="1" applyAlignment="1">
      <alignment horizontal="left" wrapText="1"/>
    </xf>
    <xf numFmtId="3" fontId="26" fillId="2" borderId="2" xfId="0" applyNumberFormat="1" applyFont="1" applyFill="1" applyBorder="1" applyAlignment="1">
      <alignment horizontal="left" wrapText="1"/>
    </xf>
    <xf numFmtId="0" fontId="26" fillId="0" borderId="41" xfId="0" applyFont="1" applyBorder="1"/>
    <xf numFmtId="3" fontId="26" fillId="0" borderId="2" xfId="0" applyNumberFormat="1" applyFont="1" applyBorder="1" applyAlignment="1">
      <alignment horizontal="left" wrapText="1"/>
    </xf>
    <xf numFmtId="0" fontId="69" fillId="0" borderId="41" xfId="0" applyFont="1" applyBorder="1" applyAlignment="1">
      <alignment horizontal="left" vertical="center" wrapText="1"/>
    </xf>
    <xf numFmtId="167" fontId="31" fillId="0" borderId="41" xfId="0" quotePrefix="1" applyNumberFormat="1" applyFont="1" applyBorder="1" applyAlignment="1">
      <alignment horizontal="right" vertical="center"/>
    </xf>
    <xf numFmtId="167" fontId="31" fillId="0" borderId="41" xfId="0" applyNumberFormat="1" applyFont="1" applyBorder="1" applyAlignment="1">
      <alignment horizontal="right" vertical="center"/>
    </xf>
    <xf numFmtId="166" fontId="66" fillId="0" borderId="41" xfId="0" applyNumberFormat="1" applyFont="1" applyBorder="1" applyAlignment="1">
      <alignment vertical="center"/>
    </xf>
    <xf numFmtId="0" fontId="25" fillId="2" borderId="0" xfId="0" applyFont="1" applyFill="1" applyAlignment="1">
      <alignment horizontal="center" vertical="center" wrapText="1"/>
    </xf>
    <xf numFmtId="164" fontId="25" fillId="2" borderId="0" xfId="0" applyNumberFormat="1" applyFont="1" applyFill="1" applyAlignment="1">
      <alignment horizontal="right"/>
    </xf>
    <xf numFmtId="164" fontId="26" fillId="2" borderId="2" xfId="0" applyNumberFormat="1" applyFont="1" applyFill="1" applyBorder="1" applyAlignment="1">
      <alignment horizontal="right"/>
    </xf>
    <xf numFmtId="0" fontId="0" fillId="2" borderId="2" xfId="0" applyFill="1" applyBorder="1" applyAlignment="1">
      <alignment horizontal="right"/>
    </xf>
    <xf numFmtId="0" fontId="0" fillId="2" borderId="41" xfId="0" applyFill="1" applyBorder="1" applyAlignment="1">
      <alignment horizontal="right" vertical="center"/>
    </xf>
    <xf numFmtId="0" fontId="26" fillId="2" borderId="12" xfId="0" applyFont="1" applyFill="1" applyBorder="1" applyAlignment="1">
      <alignment horizontal="center" vertical="center"/>
    </xf>
    <xf numFmtId="164" fontId="26" fillId="2" borderId="44" xfId="0" applyNumberFormat="1" applyFont="1" applyFill="1" applyBorder="1" applyAlignment="1">
      <alignment horizontal="right" vertical="center"/>
    </xf>
    <xf numFmtId="164" fontId="34" fillId="2" borderId="9" xfId="129" applyNumberFormat="1" applyFont="1" applyFill="1" applyBorder="1" applyAlignment="1">
      <alignment horizontal="right"/>
    </xf>
    <xf numFmtId="164" fontId="34" fillId="2" borderId="12" xfId="129" applyNumberFormat="1" applyFont="1" applyFill="1" applyBorder="1" applyAlignment="1">
      <alignment horizontal="right"/>
    </xf>
    <xf numFmtId="164" fontId="25" fillId="2" borderId="12" xfId="0" applyNumberFormat="1" applyFont="1" applyFill="1" applyBorder="1" applyAlignment="1">
      <alignment horizontal="right"/>
    </xf>
    <xf numFmtId="0" fontId="69" fillId="2" borderId="41" xfId="0" applyFont="1" applyFill="1" applyBorder="1" applyAlignment="1">
      <alignment horizontal="left" vertical="center" wrapText="1"/>
    </xf>
    <xf numFmtId="164" fontId="26" fillId="2" borderId="41" xfId="0" quotePrefix="1" applyNumberFormat="1" applyFont="1" applyFill="1" applyBorder="1" applyAlignment="1">
      <alignment horizontal="right" vertical="center"/>
    </xf>
    <xf numFmtId="0" fontId="26" fillId="2" borderId="41" xfId="0" applyFont="1" applyFill="1" applyBorder="1" applyAlignment="1">
      <alignment horizontal="right" vertical="center"/>
    </xf>
    <xf numFmtId="164" fontId="0" fillId="2" borderId="9" xfId="0" quotePrefix="1" applyNumberFormat="1" applyFill="1" applyBorder="1" applyAlignment="1">
      <alignment horizontal="right"/>
    </xf>
    <xf numFmtId="164" fontId="0" fillId="2" borderId="12" xfId="0" quotePrefix="1" applyNumberFormat="1" applyFill="1" applyBorder="1" applyAlignment="1">
      <alignment horizontal="right"/>
    </xf>
    <xf numFmtId="0" fontId="26" fillId="2" borderId="12" xfId="0" quotePrefix="1" applyFont="1" applyFill="1" applyBorder="1" applyAlignment="1">
      <alignment horizontal="right"/>
    </xf>
    <xf numFmtId="164" fontId="0" fillId="2" borderId="44" xfId="0" quotePrefix="1" applyNumberFormat="1" applyFill="1" applyBorder="1" applyAlignment="1">
      <alignment horizontal="right"/>
    </xf>
    <xf numFmtId="164" fontId="34" fillId="2" borderId="9" xfId="127" applyNumberFormat="1" applyFont="1" applyFill="1" applyBorder="1" applyAlignment="1">
      <alignment horizontal="right"/>
    </xf>
    <xf numFmtId="164" fontId="34" fillId="2" borderId="12" xfId="127" applyNumberFormat="1" applyFont="1" applyFill="1" applyBorder="1" applyAlignment="1">
      <alignment horizontal="right"/>
    </xf>
    <xf numFmtId="0" fontId="25" fillId="2" borderId="0" xfId="0" applyFont="1" applyFill="1" applyAlignment="1">
      <alignment horizontal="left" vertical="top"/>
    </xf>
    <xf numFmtId="167" fontId="30" fillId="2" borderId="0" xfId="0" quotePrefix="1" applyNumberFormat="1" applyFont="1" applyFill="1" applyAlignment="1">
      <alignment horizontal="right"/>
    </xf>
    <xf numFmtId="167" fontId="31" fillId="2" borderId="0" xfId="0" quotePrefix="1" applyNumberFormat="1" applyFont="1" applyFill="1" applyAlignment="1">
      <alignment horizontal="right"/>
    </xf>
    <xf numFmtId="167" fontId="26" fillId="2" borderId="0" xfId="0" quotePrefix="1" applyNumberFormat="1" applyFont="1" applyFill="1" applyAlignment="1">
      <alignment horizontal="center" vertical="center"/>
    </xf>
    <xf numFmtId="167" fontId="26" fillId="2" borderId="0" xfId="0" applyNumberFormat="1" applyFont="1" applyFill="1" applyAlignment="1">
      <alignment horizontal="center" vertical="center"/>
    </xf>
    <xf numFmtId="3" fontId="62" fillId="2" borderId="0" xfId="0" applyNumberFormat="1" applyFont="1" applyFill="1" applyAlignment="1">
      <alignment horizontal="right"/>
    </xf>
    <xf numFmtId="166" fontId="39" fillId="2" borderId="0" xfId="127" applyNumberFormat="1" applyFont="1" applyFill="1" applyAlignment="1">
      <alignment horizontal="right"/>
    </xf>
    <xf numFmtId="166" fontId="95" fillId="2" borderId="0" xfId="127" applyNumberFormat="1" applyFont="1" applyFill="1" applyAlignment="1">
      <alignment horizontal="right"/>
    </xf>
    <xf numFmtId="0" fontId="34" fillId="0" borderId="2" xfId="7" applyFont="1" applyBorder="1" applyAlignment="1">
      <alignment horizontal="center" vertical="center" wrapText="1"/>
    </xf>
    <xf numFmtId="3" fontId="29" fillId="0" borderId="0" xfId="0" applyNumberFormat="1" applyFont="1"/>
    <xf numFmtId="169" fontId="22" fillId="2" borderId="0" xfId="65" applyNumberFormat="1" applyFont="1" applyFill="1" applyBorder="1"/>
    <xf numFmtId="169" fontId="32" fillId="2" borderId="0" xfId="65" applyNumberFormat="1" applyFont="1" applyFill="1" applyBorder="1"/>
    <xf numFmtId="41" fontId="32" fillId="2" borderId="0" xfId="65" applyNumberFormat="1" applyFont="1" applyFill="1" applyBorder="1"/>
    <xf numFmtId="169" fontId="22" fillId="0" borderId="0" xfId="65" applyNumberFormat="1" applyFont="1" applyFill="1" applyBorder="1"/>
    <xf numFmtId="169" fontId="32" fillId="0" borderId="0" xfId="65" applyNumberFormat="1" applyFont="1" applyFill="1" applyBorder="1"/>
    <xf numFmtId="169" fontId="22" fillId="30" borderId="0" xfId="65" applyNumberFormat="1" applyFont="1" applyFill="1" applyBorder="1"/>
    <xf numFmtId="169" fontId="32" fillId="30" borderId="0" xfId="65" applyNumberFormat="1" applyFont="1" applyFill="1" applyBorder="1"/>
    <xf numFmtId="0" fontId="0" fillId="66" borderId="0" xfId="0" applyFill="1"/>
    <xf numFmtId="169" fontId="32" fillId="66" borderId="0" xfId="65" applyNumberFormat="1" applyFont="1" applyFill="1" applyBorder="1"/>
    <xf numFmtId="169" fontId="22" fillId="66" borderId="0" xfId="65" applyNumberFormat="1" applyFont="1" applyFill="1" applyBorder="1"/>
    <xf numFmtId="169" fontId="34" fillId="0" borderId="11" xfId="65" applyNumberFormat="1" applyFont="1" applyFill="1" applyBorder="1" applyAlignment="1">
      <alignment horizontal="right" wrapText="1"/>
    </xf>
    <xf numFmtId="169" fontId="34" fillId="0" borderId="1" xfId="65" applyNumberFormat="1" applyFont="1" applyFill="1" applyBorder="1" applyAlignment="1">
      <alignment horizontal="right" wrapText="1"/>
    </xf>
    <xf numFmtId="166" fontId="39" fillId="0" borderId="0" xfId="116" applyNumberFormat="1" applyFont="1" applyAlignment="1">
      <alignment horizontal="right" wrapText="1"/>
    </xf>
    <xf numFmtId="0" fontId="26" fillId="0" borderId="8" xfId="0" applyFont="1" applyBorder="1"/>
    <xf numFmtId="0" fontId="27" fillId="0" borderId="2" xfId="116" applyBorder="1" applyAlignment="1">
      <alignment horizontal="right" wrapText="1"/>
    </xf>
    <xf numFmtId="0" fontId="26" fillId="2" borderId="8" xfId="0" applyFont="1" applyFill="1" applyBorder="1" applyAlignment="1">
      <alignment horizontal="center" vertical="center" wrapText="1"/>
    </xf>
    <xf numFmtId="164" fontId="25" fillId="2" borderId="2" xfId="0" applyNumberFormat="1" applyFont="1" applyFill="1" applyBorder="1" applyAlignment="1">
      <alignment horizontal="right"/>
    </xf>
    <xf numFmtId="166" fontId="39" fillId="2" borderId="2" xfId="127" applyNumberFormat="1" applyFont="1" applyFill="1" applyBorder="1" applyAlignment="1">
      <alignment horizontal="right"/>
    </xf>
    <xf numFmtId="166" fontId="95" fillId="2" borderId="2" xfId="127" applyNumberFormat="1" applyFont="1" applyFill="1" applyBorder="1" applyAlignment="1">
      <alignment horizontal="right"/>
    </xf>
    <xf numFmtId="166" fontId="95" fillId="2" borderId="41" xfId="127" applyNumberFormat="1" applyFont="1" applyFill="1" applyBorder="1" applyAlignment="1">
      <alignment horizontal="right" vertical="center"/>
    </xf>
    <xf numFmtId="3" fontId="25" fillId="2" borderId="41" xfId="0" applyNumberFormat="1" applyFont="1" applyFill="1" applyBorder="1" applyAlignment="1">
      <alignment horizontal="right" vertical="center"/>
    </xf>
    <xf numFmtId="3" fontId="69" fillId="2" borderId="41" xfId="0" applyNumberFormat="1" applyFont="1" applyFill="1" applyBorder="1" applyAlignment="1">
      <alignment horizontal="left" vertical="center" wrapText="1"/>
    </xf>
    <xf numFmtId="167" fontId="30" fillId="2" borderId="2" xfId="0" quotePrefix="1" applyNumberFormat="1" applyFont="1" applyFill="1" applyBorder="1" applyAlignment="1">
      <alignment horizontal="right"/>
    </xf>
    <xf numFmtId="167" fontId="31" fillId="2" borderId="41" xfId="0" quotePrefix="1" applyNumberFormat="1" applyFont="1" applyFill="1" applyBorder="1" applyAlignment="1">
      <alignment horizontal="right" vertical="center"/>
    </xf>
    <xf numFmtId="167" fontId="31" fillId="2" borderId="41" xfId="0" applyNumberFormat="1" applyFont="1" applyFill="1" applyBorder="1" applyAlignment="1">
      <alignment vertical="center"/>
    </xf>
    <xf numFmtId="0" fontId="26" fillId="2" borderId="8" xfId="0" applyFont="1" applyFill="1" applyBorder="1" applyAlignment="1">
      <alignment horizontal="center" vertical="center"/>
    </xf>
    <xf numFmtId="0" fontId="25" fillId="2" borderId="8" xfId="0" applyFont="1" applyFill="1" applyBorder="1" applyAlignment="1">
      <alignment horizontal="center" vertical="center"/>
    </xf>
    <xf numFmtId="0" fontId="22" fillId="0" borderId="0" xfId="0" applyFont="1" applyAlignment="1">
      <alignment horizontal="left" wrapText="1"/>
    </xf>
    <xf numFmtId="0" fontId="22" fillId="0" borderId="0" xfId="0" quotePrefix="1" applyFont="1" applyAlignment="1">
      <alignment horizontal="left" wrapText="1"/>
    </xf>
    <xf numFmtId="0" fontId="133" fillId="0" borderId="0" xfId="0" applyFont="1"/>
    <xf numFmtId="0" fontId="14" fillId="0" borderId="0" xfId="0" applyFont="1"/>
    <xf numFmtId="0" fontId="122" fillId="67" borderId="0" xfId="0" applyFont="1" applyFill="1"/>
    <xf numFmtId="0" fontId="122" fillId="68" borderId="0" xfId="0" applyFont="1" applyFill="1"/>
    <xf numFmtId="0" fontId="122" fillId="69" borderId="0" xfId="0" applyFont="1" applyFill="1"/>
    <xf numFmtId="0" fontId="122" fillId="70" borderId="0" xfId="0" applyFont="1" applyFill="1"/>
    <xf numFmtId="0" fontId="122" fillId="71" borderId="0" xfId="0" applyFont="1" applyFill="1"/>
    <xf numFmtId="0" fontId="122" fillId="72" borderId="0" xfId="0" applyFont="1" applyFill="1"/>
    <xf numFmtId="0" fontId="122" fillId="73" borderId="0" xfId="0" applyFont="1" applyFill="1"/>
    <xf numFmtId="0" fontId="123" fillId="63" borderId="0" xfId="0" applyFont="1" applyFill="1"/>
    <xf numFmtId="0" fontId="13" fillId="0" borderId="0" xfId="0" applyFont="1"/>
    <xf numFmtId="0" fontId="133" fillId="0" borderId="45" xfId="0" applyFont="1" applyBorder="1"/>
    <xf numFmtId="0" fontId="133" fillId="0" borderId="46" xfId="0" applyFont="1" applyBorder="1"/>
    <xf numFmtId="0" fontId="133" fillId="0" borderId="47" xfId="0" applyFont="1" applyBorder="1"/>
    <xf numFmtId="0" fontId="133" fillId="0" borderId="48" xfId="0" applyFont="1" applyBorder="1"/>
    <xf numFmtId="0" fontId="133" fillId="0" borderId="49" xfId="0" applyFont="1" applyBorder="1"/>
    <xf numFmtId="0" fontId="133" fillId="0" borderId="51" xfId="0" applyFont="1" applyBorder="1"/>
    <xf numFmtId="0" fontId="133" fillId="0" borderId="52" xfId="0" applyFont="1" applyBorder="1"/>
    <xf numFmtId="3" fontId="22" fillId="30" borderId="0" xfId="0" quotePrefix="1" applyNumberFormat="1" applyFont="1" applyFill="1"/>
    <xf numFmtId="0" fontId="0" fillId="30" borderId="0" xfId="0" applyFill="1"/>
    <xf numFmtId="3" fontId="22" fillId="0" borderId="0" xfId="0" quotePrefix="1" applyNumberFormat="1" applyFont="1"/>
    <xf numFmtId="0" fontId="135" fillId="0" borderId="0" xfId="201" applyFont="1" applyAlignment="1">
      <alignment horizontal="right" wrapText="1"/>
    </xf>
    <xf numFmtId="0" fontId="26" fillId="2" borderId="58" xfId="0" applyFont="1" applyFill="1" applyBorder="1" applyAlignment="1">
      <alignment horizontal="center" vertical="center" wrapText="1"/>
    </xf>
    <xf numFmtId="0" fontId="26" fillId="2" borderId="59" xfId="0" applyFont="1" applyFill="1" applyBorder="1" applyAlignment="1">
      <alignment horizontal="center" vertical="center" wrapText="1"/>
    </xf>
    <xf numFmtId="0" fontId="25" fillId="2" borderId="60" xfId="0" applyFont="1" applyFill="1" applyBorder="1" applyAlignment="1">
      <alignment horizontal="center" vertical="center"/>
    </xf>
    <xf numFmtId="0" fontId="26" fillId="2" borderId="61" xfId="0" applyFont="1" applyFill="1" applyBorder="1" applyAlignment="1">
      <alignment horizontal="center" vertical="center" wrapText="1"/>
    </xf>
    <xf numFmtId="1" fontId="34" fillId="0" borderId="55" xfId="0" applyNumberFormat="1" applyFont="1" applyBorder="1" applyAlignment="1">
      <alignment horizontal="left"/>
    </xf>
    <xf numFmtId="1" fontId="34" fillId="30" borderId="55" xfId="0" applyNumberFormat="1" applyFont="1" applyFill="1" applyBorder="1" applyAlignment="1">
      <alignment horizontal="left"/>
    </xf>
    <xf numFmtId="3" fontId="22" fillId="30" borderId="55" xfId="0" quotePrefix="1" applyNumberFormat="1" applyFont="1" applyFill="1" applyBorder="1"/>
    <xf numFmtId="0" fontId="0" fillId="30" borderId="55" xfId="0" applyFill="1" applyBorder="1"/>
    <xf numFmtId="3" fontId="22" fillId="0" borderId="55" xfId="0" applyNumberFormat="1" applyFont="1" applyBorder="1"/>
    <xf numFmtId="0" fontId="0" fillId="0" borderId="55" xfId="0" applyBorder="1"/>
    <xf numFmtId="3" fontId="34" fillId="0" borderId="64" xfId="0" applyNumberFormat="1" applyFont="1" applyBorder="1" applyAlignment="1">
      <alignment horizontal="left" vertical="top"/>
    </xf>
    <xf numFmtId="3" fontId="27" fillId="0" borderId="64" xfId="0" applyNumberFormat="1" applyFont="1" applyBorder="1" applyAlignment="1">
      <alignment horizontal="right" vertical="top"/>
    </xf>
    <xf numFmtId="0" fontId="0" fillId="2" borderId="64" xfId="0" applyFill="1" applyBorder="1"/>
    <xf numFmtId="0" fontId="0" fillId="0" borderId="64" xfId="0" applyBorder="1"/>
    <xf numFmtId="3" fontId="0" fillId="0" borderId="64" xfId="0" applyNumberFormat="1" applyBorder="1"/>
    <xf numFmtId="3" fontId="22" fillId="0" borderId="56" xfId="0" applyNumberFormat="1" applyFont="1" applyBorder="1"/>
    <xf numFmtId="3" fontId="22" fillId="0" borderId="63" xfId="0" applyNumberFormat="1" applyFont="1" applyBorder="1" applyAlignment="1">
      <alignment vertical="center"/>
    </xf>
    <xf numFmtId="0" fontId="0" fillId="0" borderId="63" xfId="0" applyBorder="1"/>
    <xf numFmtId="3" fontId="135" fillId="0" borderId="63" xfId="201" applyNumberFormat="1" applyFont="1" applyBorder="1" applyAlignment="1">
      <alignment horizontal="right" wrapText="1"/>
    </xf>
    <xf numFmtId="0" fontId="0" fillId="30" borderId="56" xfId="0" applyFill="1" applyBorder="1"/>
    <xf numFmtId="0" fontId="0" fillId="30" borderId="63" xfId="0" applyFill="1" applyBorder="1"/>
    <xf numFmtId="0" fontId="0" fillId="0" borderId="65" xfId="0" applyBorder="1"/>
    <xf numFmtId="0" fontId="13" fillId="2" borderId="0" xfId="0" applyFont="1" applyFill="1"/>
    <xf numFmtId="3" fontId="26" fillId="2" borderId="66" xfId="0" applyNumberFormat="1" applyFont="1" applyFill="1" applyBorder="1" applyAlignment="1">
      <alignment vertical="center"/>
    </xf>
    <xf numFmtId="3" fontId="22" fillId="0" borderId="0" xfId="105" applyNumberFormat="1" applyFont="1"/>
    <xf numFmtId="3" fontId="22" fillId="0" borderId="15" xfId="105" applyNumberFormat="1" applyFont="1" applyBorder="1"/>
    <xf numFmtId="0" fontId="87" fillId="30" borderId="0" xfId="0" applyFont="1" applyFill="1"/>
    <xf numFmtId="0" fontId="87" fillId="0" borderId="0" xfId="0" applyFont="1"/>
    <xf numFmtId="0" fontId="87" fillId="0" borderId="0" xfId="0" applyFont="1" applyAlignment="1">
      <alignment horizontal="left" wrapText="1"/>
    </xf>
    <xf numFmtId="0" fontId="68" fillId="0" borderId="0" xfId="0" applyFont="1" applyAlignment="1">
      <alignment horizontal="right" vertical="center"/>
    </xf>
    <xf numFmtId="2" fontId="18" fillId="2" borderId="0" xfId="1" applyNumberFormat="1" applyFont="1" applyFill="1" applyAlignment="1">
      <alignment horizontal="right"/>
    </xf>
    <xf numFmtId="174" fontId="18" fillId="2" borderId="0" xfId="0" applyNumberFormat="1" applyFont="1" applyFill="1" applyAlignment="1">
      <alignment horizontal="right"/>
    </xf>
    <xf numFmtId="0" fontId="18" fillId="2" borderId="0" xfId="0" applyFont="1" applyFill="1" applyAlignment="1">
      <alignment horizontal="right"/>
    </xf>
    <xf numFmtId="0" fontId="13" fillId="2" borderId="0" xfId="0" applyFont="1" applyFill="1" applyAlignment="1">
      <alignment horizontal="left"/>
    </xf>
    <xf numFmtId="0" fontId="26" fillId="2" borderId="57" xfId="0" applyFont="1" applyFill="1" applyBorder="1" applyAlignment="1">
      <alignment horizontal="center" vertical="center" wrapText="1"/>
    </xf>
    <xf numFmtId="0" fontId="25" fillId="2" borderId="60" xfId="0" applyFont="1" applyFill="1" applyBorder="1" applyAlignment="1">
      <alignment horizontal="center" vertical="center" wrapText="1"/>
    </xf>
    <xf numFmtId="0" fontId="26" fillId="2" borderId="57" xfId="0" applyFont="1" applyFill="1" applyBorder="1" applyAlignment="1">
      <alignment horizontal="center" vertical="center"/>
    </xf>
    <xf numFmtId="0" fontId="26" fillId="2" borderId="58" xfId="0" applyFont="1" applyFill="1" applyBorder="1" applyAlignment="1">
      <alignment horizontal="center" vertical="center"/>
    </xf>
    <xf numFmtId="0" fontId="26" fillId="2" borderId="59" xfId="0" applyFont="1" applyFill="1" applyBorder="1" applyAlignment="1">
      <alignment horizontal="center" vertical="center"/>
    </xf>
    <xf numFmtId="0" fontId="26" fillId="2" borderId="60" xfId="0" applyFont="1" applyFill="1" applyBorder="1" applyAlignment="1">
      <alignment horizontal="center" vertical="center" wrapText="1"/>
    </xf>
    <xf numFmtId="3" fontId="62" fillId="2" borderId="0" xfId="0" applyNumberFormat="1" applyFont="1" applyFill="1"/>
    <xf numFmtId="3" fontId="26" fillId="2" borderId="57" xfId="0" applyNumberFormat="1" applyFont="1" applyFill="1" applyBorder="1" applyAlignment="1">
      <alignment horizontal="center" vertical="center"/>
    </xf>
    <xf numFmtId="3" fontId="26" fillId="2" borderId="58" xfId="0" applyNumberFormat="1" applyFont="1" applyFill="1" applyBorder="1" applyAlignment="1">
      <alignment horizontal="center" vertical="center"/>
    </xf>
    <xf numFmtId="3" fontId="26" fillId="2" borderId="58" xfId="0" applyNumberFormat="1" applyFont="1" applyFill="1" applyBorder="1" applyAlignment="1">
      <alignment horizontal="center" vertical="center" wrapText="1"/>
    </xf>
    <xf numFmtId="3" fontId="26" fillId="2" borderId="59"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3" fontId="25" fillId="2" borderId="58" xfId="0" applyNumberFormat="1" applyFont="1" applyFill="1" applyBorder="1" applyAlignment="1">
      <alignment horizontal="center" vertical="center"/>
    </xf>
    <xf numFmtId="3" fontId="25" fillId="2" borderId="58" xfId="0" applyNumberFormat="1" applyFont="1" applyFill="1" applyBorder="1" applyAlignment="1">
      <alignment horizontal="center" vertical="center" wrapText="1"/>
    </xf>
    <xf numFmtId="3" fontId="26" fillId="2" borderId="59" xfId="0" applyNumberFormat="1" applyFont="1" applyFill="1" applyBorder="1" applyAlignment="1">
      <alignment horizontal="center" vertical="center" wrapText="1"/>
    </xf>
    <xf numFmtId="0" fontId="22" fillId="2" borderId="0" xfId="4" applyFont="1" applyFill="1" applyBorder="1" applyAlignment="1" applyProtection="1"/>
    <xf numFmtId="0" fontId="129" fillId="0" borderId="0" xfId="4" applyFont="1" applyAlignment="1" applyProtection="1">
      <alignment vertical="center"/>
    </xf>
    <xf numFmtId="0" fontId="13" fillId="0" borderId="0" xfId="0" applyFont="1" applyAlignment="1">
      <alignment vertical="top"/>
    </xf>
    <xf numFmtId="0" fontId="22" fillId="2" borderId="0" xfId="0" applyFont="1" applyFill="1" applyAlignment="1">
      <alignment horizontal="left" wrapText="1"/>
    </xf>
    <xf numFmtId="0" fontId="132" fillId="0" borderId="0" xfId="0" applyFont="1" applyAlignment="1">
      <alignment horizontal="left" vertical="center" wrapText="1"/>
    </xf>
    <xf numFmtId="0" fontId="137" fillId="0" borderId="0" xfId="0" applyFont="1"/>
    <xf numFmtId="0" fontId="34" fillId="2" borderId="68" xfId="127" applyFont="1" applyFill="1" applyBorder="1" applyAlignment="1">
      <alignment horizontal="center" vertical="center" wrapText="1"/>
    </xf>
    <xf numFmtId="0" fontId="34" fillId="2" borderId="69" xfId="127" applyFont="1" applyFill="1" applyBorder="1" applyAlignment="1">
      <alignment horizontal="center" vertical="center" wrapText="1"/>
    </xf>
    <xf numFmtId="0" fontId="26" fillId="2" borderId="69" xfId="0" applyFont="1" applyFill="1" applyBorder="1" applyAlignment="1">
      <alignment horizontal="center" vertical="center" wrapText="1"/>
    </xf>
    <xf numFmtId="0" fontId="26" fillId="2" borderId="70" xfId="0" applyFont="1" applyFill="1" applyBorder="1" applyAlignment="1">
      <alignment horizontal="center" vertical="center" wrapText="1"/>
    </xf>
    <xf numFmtId="0" fontId="26" fillId="0" borderId="69" xfId="0" applyFont="1" applyBorder="1" applyAlignment="1">
      <alignment horizontal="center" vertical="center" wrapText="1"/>
    </xf>
    <xf numFmtId="0" fontId="26" fillId="0" borderId="70" xfId="0" applyFont="1" applyBorder="1" applyAlignment="1">
      <alignment horizontal="center" vertical="center" wrapText="1"/>
    </xf>
    <xf numFmtId="0" fontId="26" fillId="2" borderId="67" xfId="0" applyFont="1" applyFill="1" applyBorder="1" applyAlignment="1">
      <alignment horizontal="center" vertical="center" wrapText="1"/>
    </xf>
    <xf numFmtId="0" fontId="25" fillId="2" borderId="69" xfId="0" applyFont="1" applyFill="1" applyBorder="1" applyAlignment="1">
      <alignment horizontal="center" vertical="center"/>
    </xf>
    <xf numFmtId="0" fontId="25" fillId="2" borderId="69" xfId="0" applyFont="1" applyFill="1" applyBorder="1" applyAlignment="1">
      <alignment horizontal="center" vertical="center" wrapText="1"/>
    </xf>
    <xf numFmtId="0" fontId="25" fillId="2" borderId="70" xfId="0" applyFont="1" applyFill="1" applyBorder="1" applyAlignment="1">
      <alignment horizontal="center" vertical="center" wrapText="1"/>
    </xf>
    <xf numFmtId="0" fontId="12" fillId="0" borderId="0" xfId="0" applyFont="1"/>
    <xf numFmtId="0" fontId="12" fillId="0" borderId="71" xfId="0" applyFont="1" applyBorder="1"/>
    <xf numFmtId="0" fontId="12" fillId="0" borderId="71" xfId="0" applyFont="1" applyBorder="1" applyAlignment="1">
      <alignment horizontal="right"/>
    </xf>
    <xf numFmtId="0" fontId="0" fillId="0" borderId="71" xfId="0" applyBorder="1"/>
    <xf numFmtId="0" fontId="12" fillId="0" borderId="71" xfId="0" applyFont="1" applyBorder="1" applyAlignment="1">
      <alignment horizontal="left"/>
    </xf>
    <xf numFmtId="0" fontId="12" fillId="0" borderId="72" xfId="0" applyFont="1" applyBorder="1"/>
    <xf numFmtId="0" fontId="12" fillId="0" borderId="72" xfId="0" applyFont="1" applyBorder="1" applyAlignment="1">
      <alignment horizontal="right"/>
    </xf>
    <xf numFmtId="0" fontId="133" fillId="0" borderId="45" xfId="0" applyFont="1" applyBorder="1" applyAlignment="1">
      <alignment horizontal="left"/>
    </xf>
    <xf numFmtId="0" fontId="12" fillId="0" borderId="46" xfId="0" applyFont="1" applyBorder="1"/>
    <xf numFmtId="0" fontId="12" fillId="0" borderId="48" xfId="0" applyFont="1" applyBorder="1"/>
    <xf numFmtId="0" fontId="12" fillId="0" borderId="49" xfId="0" applyFont="1" applyBorder="1"/>
    <xf numFmtId="0" fontId="12" fillId="0" borderId="51" xfId="0" applyFont="1" applyBorder="1"/>
    <xf numFmtId="0" fontId="12" fillId="0" borderId="47" xfId="0" applyFont="1" applyBorder="1"/>
    <xf numFmtId="0" fontId="12" fillId="0" borderId="52" xfId="0" applyFont="1" applyBorder="1"/>
    <xf numFmtId="0" fontId="12" fillId="0" borderId="53" xfId="0" applyFont="1" applyBorder="1"/>
    <xf numFmtId="0" fontId="12" fillId="0" borderId="45" xfId="0" applyFont="1" applyBorder="1"/>
    <xf numFmtId="0" fontId="12" fillId="0" borderId="45" xfId="0" applyFont="1" applyBorder="1" applyAlignment="1">
      <alignment horizontal="left"/>
    </xf>
    <xf numFmtId="0" fontId="12" fillId="0" borderId="50" xfId="0" applyFont="1" applyBorder="1"/>
    <xf numFmtId="0" fontId="12" fillId="0" borderId="73" xfId="0" applyFont="1" applyBorder="1" applyAlignment="1">
      <alignment horizontal="left"/>
    </xf>
    <xf numFmtId="0" fontId="133" fillId="0" borderId="74" xfId="0" applyFont="1" applyBorder="1"/>
    <xf numFmtId="0" fontId="133" fillId="0" borderId="75" xfId="0" applyFont="1" applyBorder="1"/>
    <xf numFmtId="0" fontId="133" fillId="0" borderId="76" xfId="0" applyFont="1" applyBorder="1"/>
    <xf numFmtId="0" fontId="133" fillId="0" borderId="77" xfId="0" applyFont="1" applyBorder="1"/>
    <xf numFmtId="0" fontId="133" fillId="0" borderId="78" xfId="0" applyFont="1" applyBorder="1"/>
    <xf numFmtId="0" fontId="133" fillId="0" borderId="79" xfId="0" applyFont="1" applyBorder="1"/>
    <xf numFmtId="0" fontId="11" fillId="0" borderId="71" xfId="0" applyFont="1" applyBorder="1"/>
    <xf numFmtId="0" fontId="11" fillId="0" borderId="0" xfId="0" applyFont="1"/>
    <xf numFmtId="0" fontId="129" fillId="0" borderId="72" xfId="4" applyFont="1" applyBorder="1" applyAlignment="1" applyProtection="1"/>
    <xf numFmtId="0" fontId="129" fillId="0" borderId="71" xfId="4" applyFont="1" applyBorder="1" applyAlignment="1" applyProtection="1"/>
    <xf numFmtId="0" fontId="129" fillId="0" borderId="0" xfId="4" applyFont="1" applyAlignment="1" applyProtection="1"/>
    <xf numFmtId="0" fontId="26" fillId="2" borderId="15" xfId="0" applyFont="1" applyFill="1" applyBorder="1" applyAlignment="1">
      <alignment vertical="center" wrapText="1"/>
    </xf>
    <xf numFmtId="166" fontId="31" fillId="2" borderId="80" xfId="0" applyNumberFormat="1" applyFont="1" applyFill="1" applyBorder="1" applyAlignment="1">
      <alignment vertical="center"/>
    </xf>
    <xf numFmtId="0" fontId="11" fillId="2" borderId="0" xfId="0" applyFont="1" applyFill="1"/>
    <xf numFmtId="0" fontId="133" fillId="0" borderId="50" xfId="0" applyFont="1" applyBorder="1"/>
    <xf numFmtId="0" fontId="12" fillId="0" borderId="81" xfId="0" applyFont="1" applyBorder="1"/>
    <xf numFmtId="0" fontId="62" fillId="0" borderId="15" xfId="0" applyFont="1" applyBorder="1" applyAlignment="1">
      <alignment horizontal="right"/>
    </xf>
    <xf numFmtId="0" fontId="25" fillId="2" borderId="6" xfId="0" applyFont="1" applyFill="1" applyBorder="1" applyAlignment="1">
      <alignment horizontal="center" vertical="center"/>
    </xf>
    <xf numFmtId="0" fontId="26" fillId="2" borderId="5" xfId="0" applyFont="1" applyFill="1" applyBorder="1" applyAlignment="1">
      <alignment horizontal="center" vertical="center"/>
    </xf>
    <xf numFmtId="0" fontId="26" fillId="2" borderId="5" xfId="0" applyFont="1" applyFill="1" applyBorder="1" applyAlignment="1">
      <alignment horizontal="center"/>
    </xf>
    <xf numFmtId="0" fontId="26" fillId="2" borderId="6" xfId="0" applyFont="1" applyFill="1" applyBorder="1" applyAlignment="1">
      <alignment horizontal="center"/>
    </xf>
    <xf numFmtId="0" fontId="119" fillId="0" borderId="0" xfId="0" quotePrefix="1" applyFont="1" applyAlignment="1">
      <alignment horizontal="center"/>
    </xf>
    <xf numFmtId="0" fontId="31" fillId="0" borderId="0" xfId="0" applyFont="1" applyAlignment="1">
      <alignment horizontal="left" wrapText="1"/>
    </xf>
    <xf numFmtId="0" fontId="25" fillId="2" borderId="5" xfId="0" applyFont="1" applyFill="1" applyBorder="1"/>
    <xf numFmtId="166" fontId="66" fillId="0" borderId="41" xfId="0" applyNumberFormat="1" applyFont="1" applyBorder="1"/>
    <xf numFmtId="0" fontId="0" fillId="2" borderId="15" xfId="0" applyFill="1" applyBorder="1" applyAlignment="1">
      <alignment vertical="center"/>
    </xf>
    <xf numFmtId="0" fontId="26" fillId="2" borderId="14" xfId="0" applyFont="1" applyFill="1" applyBorder="1" applyAlignment="1">
      <alignment horizontal="center" vertical="center" wrapText="1"/>
    </xf>
    <xf numFmtId="0" fontId="26" fillId="0" borderId="16" xfId="0" applyFont="1" applyBorder="1" applyAlignment="1">
      <alignment horizontal="center" vertical="center" wrapText="1"/>
    </xf>
    <xf numFmtId="0" fontId="26" fillId="2" borderId="5" xfId="0" applyFont="1" applyFill="1" applyBorder="1" applyAlignment="1">
      <alignment horizontal="center" wrapText="1"/>
    </xf>
    <xf numFmtId="0" fontId="26" fillId="2" borderId="6" xfId="0" applyFont="1" applyFill="1" applyBorder="1" applyAlignment="1">
      <alignment horizontal="center" wrapText="1"/>
    </xf>
    <xf numFmtId="0" fontId="26" fillId="2" borderId="7" xfId="0" applyFont="1" applyFill="1" applyBorder="1" applyAlignment="1">
      <alignment horizontal="center" wrapText="1"/>
    </xf>
    <xf numFmtId="0" fontId="26" fillId="2" borderId="11" xfId="0" applyFont="1" applyFill="1" applyBorder="1" applyAlignment="1">
      <alignment horizontal="left" wrapText="1"/>
    </xf>
    <xf numFmtId="0" fontId="26" fillId="2" borderId="15" xfId="0" applyFont="1" applyFill="1" applyBorder="1" applyAlignment="1">
      <alignment vertical="center"/>
    </xf>
    <xf numFmtId="0" fontId="68" fillId="2" borderId="15" xfId="0" applyFont="1" applyFill="1" applyBorder="1" applyAlignment="1">
      <alignment vertical="center"/>
    </xf>
    <xf numFmtId="0" fontId="26" fillId="2" borderId="1" xfId="0" applyFont="1" applyFill="1" applyBorder="1" applyAlignment="1">
      <alignment wrapText="1"/>
    </xf>
    <xf numFmtId="0" fontId="26" fillId="0" borderId="15" xfId="0" applyFont="1" applyBorder="1" applyAlignment="1">
      <alignment vertical="center"/>
    </xf>
    <xf numFmtId="0" fontId="139" fillId="0" borderId="0" xfId="0" applyFont="1"/>
    <xf numFmtId="0" fontId="8" fillId="0" borderId="0" xfId="0" applyFont="1"/>
    <xf numFmtId="0" fontId="68" fillId="2" borderId="0" xfId="0" applyFont="1" applyFill="1" applyAlignment="1">
      <alignment horizontal="center" vertical="center"/>
    </xf>
    <xf numFmtId="164" fontId="27" fillId="0" borderId="39" xfId="92" applyNumberFormat="1" applyBorder="1" applyAlignment="1">
      <alignment horizontal="right"/>
    </xf>
    <xf numFmtId="0" fontId="7" fillId="0" borderId="0" xfId="0" applyFont="1"/>
    <xf numFmtId="0" fontId="138" fillId="0" borderId="0" xfId="0" applyFont="1" applyAlignment="1">
      <alignment horizontal="center"/>
    </xf>
    <xf numFmtId="0" fontId="12" fillId="0" borderId="71" xfId="0" applyFont="1" applyBorder="1" applyAlignment="1">
      <alignment horizontal="center"/>
    </xf>
    <xf numFmtId="0" fontId="8" fillId="0" borderId="71" xfId="0" applyFont="1" applyBorder="1"/>
    <xf numFmtId="0" fontId="129" fillId="0" borderId="71" xfId="4" applyFont="1" applyFill="1" applyBorder="1" applyAlignment="1" applyProtection="1"/>
    <xf numFmtId="0" fontId="10" fillId="0" borderId="71" xfId="0" applyFont="1" applyBorder="1" applyAlignment="1">
      <alignment horizontal="center"/>
    </xf>
    <xf numFmtId="174" fontId="0" fillId="0" borderId="0" xfId="1" applyNumberFormat="1" applyFont="1" applyBorder="1"/>
    <xf numFmtId="0" fontId="6" fillId="0" borderId="0" xfId="0" applyFont="1"/>
    <xf numFmtId="0" fontId="6" fillId="0" borderId="71" xfId="0" applyFont="1" applyBorder="1" applyAlignment="1">
      <alignment horizontal="left"/>
    </xf>
    <xf numFmtId="0" fontId="9" fillId="0" borderId="0" xfId="0" applyFont="1"/>
    <xf numFmtId="3" fontId="0" fillId="0" borderId="11" xfId="0" applyNumberFormat="1" applyBorder="1" applyAlignment="1">
      <alignment horizontal="right" wrapText="1"/>
    </xf>
    <xf numFmtId="164" fontId="34" fillId="0" borderId="2" xfId="120" applyNumberFormat="1" applyFont="1" applyBorder="1" applyAlignment="1">
      <alignment horizontal="right" wrapText="1"/>
    </xf>
    <xf numFmtId="164" fontId="34" fillId="0" borderId="0" xfId="120" applyNumberFormat="1" applyFont="1" applyAlignment="1">
      <alignment horizontal="right" wrapText="1"/>
    </xf>
    <xf numFmtId="164" fontId="27" fillId="0" borderId="14" xfId="120" applyNumberFormat="1" applyBorder="1" applyAlignment="1">
      <alignment horizontal="right" wrapText="1"/>
    </xf>
    <xf numFmtId="0" fontId="83" fillId="0" borderId="0" xfId="0" applyFont="1" applyAlignment="1">
      <alignment horizontal="left"/>
    </xf>
    <xf numFmtId="164" fontId="27" fillId="0" borderId="15" xfId="92" applyNumberFormat="1" applyBorder="1" applyAlignment="1">
      <alignment horizontal="right"/>
    </xf>
    <xf numFmtId="0" fontId="122" fillId="2" borderId="0" xfId="0" applyFont="1" applyFill="1"/>
    <xf numFmtId="0" fontId="126" fillId="2" borderId="0" xfId="4" applyFont="1" applyFill="1" applyBorder="1" applyAlignment="1" applyProtection="1"/>
    <xf numFmtId="0" fontId="126" fillId="0" borderId="0" xfId="0" applyFont="1" applyAlignment="1">
      <alignment horizontal="left" wrapText="1"/>
    </xf>
    <xf numFmtId="0" fontId="6" fillId="2" borderId="0" xfId="0" applyFont="1" applyFill="1" applyAlignment="1">
      <alignment horizontal="left"/>
    </xf>
    <xf numFmtId="0" fontId="6" fillId="2" borderId="0" xfId="0" applyFont="1" applyFill="1"/>
    <xf numFmtId="0" fontId="140" fillId="0" borderId="0" xfId="0" applyFont="1"/>
    <xf numFmtId="0" fontId="6" fillId="0" borderId="71" xfId="0" applyFont="1" applyBorder="1"/>
    <xf numFmtId="3" fontId="26" fillId="0" borderId="42" xfId="0" applyNumberFormat="1" applyFont="1" applyBorder="1" applyAlignment="1">
      <alignment horizontal="right" vertical="center"/>
    </xf>
    <xf numFmtId="176" fontId="26" fillId="0" borderId="2" xfId="0" applyNumberFormat="1" applyFont="1" applyBorder="1"/>
    <xf numFmtId="174" fontId="31" fillId="0" borderId="39" xfId="57" applyNumberFormat="1" applyFont="1" applyFill="1" applyBorder="1" applyAlignment="1">
      <alignment horizontal="right" wrapText="1"/>
    </xf>
    <xf numFmtId="3" fontId="0" fillId="0" borderId="42" xfId="0" applyNumberFormat="1" applyBorder="1"/>
    <xf numFmtId="3" fontId="25" fillId="0" borderId="3" xfId="0" applyNumberFormat="1" applyFont="1" applyBorder="1"/>
    <xf numFmtId="3" fontId="25" fillId="0" borderId="10" xfId="0" applyNumberFormat="1" applyFont="1" applyBorder="1"/>
    <xf numFmtId="3" fontId="25" fillId="0" borderId="82" xfId="0" applyNumberFormat="1" applyFont="1" applyBorder="1"/>
    <xf numFmtId="0" fontId="25" fillId="2" borderId="39" xfId="0" applyFont="1" applyFill="1" applyBorder="1" applyAlignment="1">
      <alignment horizontal="right"/>
    </xf>
    <xf numFmtId="3" fontId="26" fillId="2" borderId="5" xfId="0" applyNumberFormat="1" applyFont="1" applyFill="1" applyBorder="1" applyAlignment="1">
      <alignment horizontal="center" vertical="center" wrapText="1"/>
    </xf>
    <xf numFmtId="3" fontId="26" fillId="2" borderId="6" xfId="0" applyNumberFormat="1" applyFont="1" applyFill="1" applyBorder="1" applyAlignment="1">
      <alignment horizontal="center" vertical="center" wrapText="1"/>
    </xf>
    <xf numFmtId="3" fontId="22" fillId="2" borderId="39" xfId="0" applyNumberFormat="1" applyFont="1" applyFill="1" applyBorder="1" applyAlignment="1">
      <alignment horizontal="right"/>
    </xf>
    <xf numFmtId="0" fontId="34" fillId="2" borderId="5" xfId="127" applyFont="1" applyFill="1" applyBorder="1" applyAlignment="1">
      <alignment horizontal="center" vertical="center" wrapText="1"/>
    </xf>
    <xf numFmtId="0" fontId="34" fillId="2" borderId="6" xfId="127" applyFont="1" applyFill="1" applyBorder="1" applyAlignment="1">
      <alignment horizontal="center" vertical="center" wrapText="1"/>
    </xf>
    <xf numFmtId="3" fontId="22" fillId="0" borderId="39" xfId="0" quotePrefix="1" applyNumberFormat="1" applyFont="1" applyBorder="1"/>
    <xf numFmtId="0" fontId="135" fillId="0" borderId="39" xfId="201" applyFont="1" applyBorder="1" applyAlignment="1">
      <alignment horizontal="right" wrapText="1"/>
    </xf>
    <xf numFmtId="3" fontId="135" fillId="0" borderId="83" xfId="201" applyNumberFormat="1" applyFont="1" applyBorder="1" applyAlignment="1">
      <alignment horizontal="right" wrapText="1"/>
    </xf>
    <xf numFmtId="172" fontId="22" fillId="2" borderId="0" xfId="0" applyNumberFormat="1" applyFont="1" applyFill="1" applyAlignment="1">
      <alignment horizontal="right"/>
    </xf>
    <xf numFmtId="3" fontId="135" fillId="0" borderId="12" xfId="201" applyNumberFormat="1" applyFont="1" applyBorder="1" applyAlignment="1">
      <alignment horizontal="right" wrapText="1"/>
    </xf>
    <xf numFmtId="164" fontId="26" fillId="2" borderId="82" xfId="0" applyNumberFormat="1" applyFont="1" applyFill="1" applyBorder="1" applyAlignment="1">
      <alignment horizontal="right"/>
    </xf>
    <xf numFmtId="164" fontId="26" fillId="2" borderId="11" xfId="0" applyNumberFormat="1" applyFont="1" applyFill="1" applyBorder="1"/>
    <xf numFmtId="0" fontId="26" fillId="2" borderId="15" xfId="0" quotePrefix="1" applyFont="1" applyFill="1" applyBorder="1" applyAlignment="1">
      <alignment horizontal="center" vertical="center" wrapText="1"/>
    </xf>
    <xf numFmtId="0" fontId="26" fillId="2" borderId="39" xfId="0" applyFont="1" applyFill="1" applyBorder="1" applyAlignment="1">
      <alignment horizontal="center" vertical="center" wrapText="1"/>
    </xf>
    <xf numFmtId="0" fontId="26" fillId="2" borderId="39" xfId="0" quotePrefix="1" applyFont="1" applyFill="1" applyBorder="1" applyAlignment="1">
      <alignment horizontal="center" vertical="center" wrapText="1"/>
    </xf>
    <xf numFmtId="0" fontId="26" fillId="2" borderId="42" xfId="0" applyFont="1" applyFill="1" applyBorder="1" applyAlignment="1">
      <alignment horizontal="center" vertical="center" wrapText="1"/>
    </xf>
    <xf numFmtId="164" fontId="26" fillId="2" borderId="84" xfId="0" quotePrefix="1" applyNumberFormat="1" applyFont="1" applyFill="1" applyBorder="1" applyAlignment="1">
      <alignment horizontal="right"/>
    </xf>
    <xf numFmtId="164" fontId="26" fillId="2" borderId="10" xfId="0" quotePrefix="1" applyNumberFormat="1" applyFont="1" applyFill="1" applyBorder="1" applyAlignment="1">
      <alignment horizontal="right"/>
    </xf>
    <xf numFmtId="164" fontId="26" fillId="2" borderId="82" xfId="0" quotePrefix="1" applyNumberFormat="1" applyFont="1" applyFill="1" applyBorder="1" applyAlignment="1">
      <alignment horizontal="right"/>
    </xf>
    <xf numFmtId="0" fontId="26" fillId="2" borderId="16" xfId="0" applyFont="1" applyFill="1" applyBorder="1" applyAlignment="1">
      <alignment horizontal="left" wrapText="1"/>
    </xf>
    <xf numFmtId="0" fontId="26" fillId="2" borderId="4" xfId="0" applyFont="1" applyFill="1" applyBorder="1"/>
    <xf numFmtId="0" fontId="26" fillId="2" borderId="15" xfId="0" applyFont="1" applyFill="1" applyBorder="1" applyAlignment="1">
      <alignment horizontal="center" wrapText="1"/>
    </xf>
    <xf numFmtId="0" fontId="83" fillId="2" borderId="0" xfId="0" applyFont="1" applyFill="1"/>
    <xf numFmtId="0" fontId="87" fillId="2" borderId="39" xfId="0" applyFont="1" applyFill="1" applyBorder="1"/>
    <xf numFmtId="0" fontId="34" fillId="2" borderId="6" xfId="126" applyFont="1" applyFill="1" applyBorder="1" applyAlignment="1">
      <alignment horizontal="center" vertical="center" wrapText="1"/>
    </xf>
    <xf numFmtId="0" fontId="34" fillId="2" borderId="6" xfId="126" applyFont="1" applyFill="1" applyBorder="1" applyAlignment="1">
      <alignment horizontal="center" vertical="center"/>
    </xf>
    <xf numFmtId="0" fontId="26" fillId="2" borderId="15" xfId="0" quotePrefix="1" applyFont="1" applyFill="1" applyBorder="1" applyAlignment="1">
      <alignment horizontal="center" wrapText="1"/>
    </xf>
    <xf numFmtId="3" fontId="26" fillId="2" borderId="15" xfId="0" applyNumberFormat="1" applyFont="1" applyFill="1" applyBorder="1" applyAlignment="1">
      <alignment horizontal="right" wrapText="1"/>
    </xf>
    <xf numFmtId="3" fontId="26" fillId="2" borderId="15" xfId="0" applyNumberFormat="1" applyFont="1" applyFill="1" applyBorder="1" applyAlignment="1">
      <alignment horizontal="center" wrapText="1"/>
    </xf>
    <xf numFmtId="3" fontId="0" fillId="0" borderId="40" xfId="0" applyNumberFormat="1" applyBorder="1"/>
    <xf numFmtId="3" fontId="96" fillId="0" borderId="15" xfId="0" applyNumberFormat="1" applyFont="1" applyBorder="1" applyAlignment="1">
      <alignment horizontal="center" wrapText="1"/>
    </xf>
    <xf numFmtId="0" fontId="0" fillId="0" borderId="14" xfId="0" applyBorder="1"/>
    <xf numFmtId="3" fontId="22" fillId="2" borderId="2" xfId="0" applyNumberFormat="1" applyFont="1" applyFill="1" applyBorder="1" applyAlignment="1">
      <alignment horizontal="right"/>
    </xf>
    <xf numFmtId="3" fontId="26" fillId="2" borderId="9" xfId="0" applyNumberFormat="1" applyFont="1" applyFill="1" applyBorder="1" applyAlignment="1">
      <alignment horizontal="right"/>
    </xf>
    <xf numFmtId="3" fontId="26" fillId="2" borderId="11" xfId="0" applyNumberFormat="1" applyFont="1" applyFill="1" applyBorder="1" applyAlignment="1">
      <alignment horizontal="right"/>
    </xf>
    <xf numFmtId="3" fontId="26" fillId="2" borderId="12" xfId="0" applyNumberFormat="1" applyFont="1" applyFill="1" applyBorder="1" applyAlignment="1">
      <alignment horizontal="right"/>
    </xf>
    <xf numFmtId="3" fontId="26" fillId="2" borderId="42" xfId="0" applyNumberFormat="1" applyFont="1" applyFill="1" applyBorder="1" applyAlignment="1">
      <alignment horizontal="right"/>
    </xf>
    <xf numFmtId="3" fontId="26" fillId="2" borderId="40" xfId="0" applyNumberFormat="1" applyFont="1" applyFill="1" applyBorder="1" applyAlignment="1">
      <alignment horizontal="right"/>
    </xf>
    <xf numFmtId="174" fontId="30" fillId="0" borderId="2" xfId="0" applyNumberFormat="1" applyFont="1" applyBorder="1"/>
    <xf numFmtId="174" fontId="30" fillId="0" borderId="0" xfId="0" applyNumberFormat="1" applyFont="1"/>
    <xf numFmtId="174" fontId="30" fillId="0" borderId="39" xfId="0" applyNumberFormat="1" applyFont="1" applyBorder="1"/>
    <xf numFmtId="167" fontId="66" fillId="2" borderId="9" xfId="0" applyNumberFormat="1" applyFont="1" applyFill="1" applyBorder="1"/>
    <xf numFmtId="167" fontId="66" fillId="2" borderId="12" xfId="0" applyNumberFormat="1" applyFont="1" applyFill="1" applyBorder="1"/>
    <xf numFmtId="167" fontId="66" fillId="2" borderId="42" xfId="0" applyNumberFormat="1" applyFont="1" applyFill="1" applyBorder="1"/>
    <xf numFmtId="164" fontId="25" fillId="0" borderId="39" xfId="0" applyNumberFormat="1" applyFont="1" applyBorder="1"/>
    <xf numFmtId="164" fontId="34" fillId="0" borderId="2" xfId="92" applyNumberFormat="1" applyFont="1" applyBorder="1" applyAlignment="1">
      <alignment horizontal="right"/>
    </xf>
    <xf numFmtId="164" fontId="34" fillId="0" borderId="0" xfId="92" applyNumberFormat="1" applyFont="1" applyAlignment="1">
      <alignment horizontal="right"/>
    </xf>
    <xf numFmtId="164" fontId="34" fillId="0" borderId="39" xfId="92" applyNumberFormat="1" applyFont="1" applyBorder="1" applyAlignment="1">
      <alignment horizontal="right"/>
    </xf>
    <xf numFmtId="41" fontId="0" fillId="2" borderId="0" xfId="0" applyNumberFormat="1" applyFill="1"/>
    <xf numFmtId="41" fontId="0" fillId="2" borderId="64" xfId="0" applyNumberFormat="1" applyFill="1" applyBorder="1"/>
    <xf numFmtId="166" fontId="0" fillId="0" borderId="0" xfId="0" applyNumberFormat="1"/>
    <xf numFmtId="0" fontId="73" fillId="2" borderId="15" xfId="0" applyFont="1" applyFill="1" applyBorder="1"/>
    <xf numFmtId="0" fontId="26" fillId="2" borderId="4" xfId="0" applyFont="1" applyFill="1" applyBorder="1" applyAlignment="1">
      <alignment horizontal="right" wrapText="1"/>
    </xf>
    <xf numFmtId="0" fontId="0" fillId="0" borderId="85" xfId="0" applyBorder="1" applyAlignment="1">
      <alignment vertical="top"/>
    </xf>
    <xf numFmtId="0" fontId="4" fillId="0" borderId="0" xfId="0" applyFont="1"/>
    <xf numFmtId="164" fontId="26" fillId="0" borderId="44" xfId="0" quotePrefix="1" applyNumberFormat="1" applyFont="1" applyBorder="1" applyAlignment="1">
      <alignment horizontal="right" vertical="center"/>
    </xf>
    <xf numFmtId="164" fontId="34" fillId="0" borderId="2" xfId="92" applyNumberFormat="1" applyFont="1" applyBorder="1" applyAlignment="1">
      <alignment horizontal="left"/>
    </xf>
    <xf numFmtId="164" fontId="34" fillId="0" borderId="0" xfId="92" applyNumberFormat="1" applyFont="1" applyAlignment="1">
      <alignment horizontal="left"/>
    </xf>
    <xf numFmtId="164" fontId="34" fillId="0" borderId="39" xfId="92" applyNumberFormat="1" applyFont="1" applyBorder="1" applyAlignment="1">
      <alignment horizontal="left"/>
    </xf>
    <xf numFmtId="41" fontId="26" fillId="2" borderId="2" xfId="0" applyNumberFormat="1" applyFont="1" applyFill="1" applyBorder="1" applyAlignment="1">
      <alignment horizontal="right"/>
    </xf>
    <xf numFmtId="41" fontId="26" fillId="2" borderId="0" xfId="0" applyNumberFormat="1" applyFont="1" applyFill="1" applyAlignment="1">
      <alignment horizontal="right"/>
    </xf>
    <xf numFmtId="41" fontId="26" fillId="2" borderId="39" xfId="0" applyNumberFormat="1" applyFont="1" applyFill="1" applyBorder="1" applyAlignment="1">
      <alignment horizontal="right"/>
    </xf>
    <xf numFmtId="0" fontId="3" fillId="0" borderId="71" xfId="0" applyFont="1" applyBorder="1"/>
    <xf numFmtId="0" fontId="36" fillId="0" borderId="71" xfId="4" applyBorder="1" applyAlignment="1" applyProtection="1"/>
    <xf numFmtId="0" fontId="132" fillId="2" borderId="0" xfId="0" applyFont="1" applyFill="1" applyAlignment="1">
      <alignment vertical="center"/>
    </xf>
    <xf numFmtId="0" fontId="4" fillId="2" borderId="0" xfId="0" applyFont="1" applyFill="1"/>
    <xf numFmtId="0" fontId="137" fillId="2" borderId="0" xfId="0" applyFont="1" applyFill="1"/>
    <xf numFmtId="0" fontId="133" fillId="2" borderId="7" xfId="0" applyFont="1" applyFill="1" applyBorder="1"/>
    <xf numFmtId="0" fontId="133" fillId="2" borderId="4" xfId="0" applyFont="1" applyFill="1" applyBorder="1" applyAlignment="1">
      <alignment horizontal="right" wrapText="1"/>
    </xf>
    <xf numFmtId="41" fontId="25" fillId="2" borderId="9" xfId="0" applyNumberFormat="1" applyFont="1" applyFill="1" applyBorder="1"/>
    <xf numFmtId="41" fontId="25" fillId="2" borderId="12" xfId="0" applyNumberFormat="1" applyFont="1" applyFill="1" applyBorder="1"/>
    <xf numFmtId="41" fontId="25" fillId="2" borderId="42" xfId="0" applyNumberFormat="1" applyFont="1" applyFill="1" applyBorder="1"/>
    <xf numFmtId="0" fontId="26" fillId="2" borderId="2" xfId="0" applyFont="1" applyFill="1" applyBorder="1" applyAlignment="1">
      <alignment vertical="center" wrapText="1"/>
    </xf>
    <xf numFmtId="176" fontId="22" fillId="2" borderId="2" xfId="0" applyNumberFormat="1" applyFont="1" applyFill="1" applyBorder="1"/>
    <xf numFmtId="0" fontId="31" fillId="2" borderId="39" xfId="0" applyFont="1" applyFill="1" applyBorder="1" applyAlignment="1">
      <alignment wrapText="1"/>
    </xf>
    <xf numFmtId="174" fontId="32" fillId="2" borderId="39" xfId="57" applyNumberFormat="1" applyFont="1" applyFill="1" applyBorder="1" applyAlignment="1">
      <alignment horizontal="right" wrapText="1"/>
    </xf>
    <xf numFmtId="0" fontId="25" fillId="2" borderId="2" xfId="0" applyFont="1" applyFill="1" applyBorder="1"/>
    <xf numFmtId="164" fontId="34" fillId="2" borderId="2" xfId="119" applyNumberFormat="1" applyFont="1" applyFill="1" applyBorder="1" applyAlignment="1">
      <alignment horizontal="right" wrapText="1"/>
    </xf>
    <xf numFmtId="177" fontId="30" fillId="2" borderId="0" xfId="0" applyNumberFormat="1" applyFont="1" applyFill="1"/>
    <xf numFmtId="164" fontId="34" fillId="2" borderId="0" xfId="119" applyNumberFormat="1" applyFont="1" applyFill="1" applyAlignment="1">
      <alignment horizontal="right" wrapText="1"/>
    </xf>
    <xf numFmtId="177" fontId="30" fillId="2" borderId="41" xfId="0" applyNumberFormat="1" applyFont="1" applyFill="1" applyBorder="1"/>
    <xf numFmtId="0" fontId="2" fillId="0" borderId="71" xfId="0" applyFont="1" applyBorder="1"/>
    <xf numFmtId="0" fontId="1" fillId="2" borderId="0" xfId="0" applyFont="1" applyFill="1"/>
    <xf numFmtId="0" fontId="1" fillId="0" borderId="71" xfId="0" applyFont="1" applyBorder="1"/>
    <xf numFmtId="0" fontId="61" fillId="0" borderId="0" xfId="0" applyFont="1"/>
    <xf numFmtId="0" fontId="1" fillId="0" borderId="71" xfId="0" applyFont="1" applyBorder="1" applyAlignment="1">
      <alignment horizontal="left"/>
    </xf>
    <xf numFmtId="0" fontId="30" fillId="0" borderId="0" xfId="0" applyFont="1"/>
    <xf numFmtId="178" fontId="26" fillId="2" borderId="0" xfId="0" applyNumberFormat="1" applyFont="1" applyFill="1"/>
    <xf numFmtId="164" fontId="0" fillId="2" borderId="39" xfId="0" applyNumberFormat="1" applyFill="1" applyBorder="1" applyAlignment="1">
      <alignment horizontal="right"/>
    </xf>
    <xf numFmtId="0" fontId="22" fillId="0" borderId="0" xfId="0" applyFont="1" applyAlignment="1">
      <alignment horizontal="left"/>
    </xf>
    <xf numFmtId="0" fontId="0" fillId="74" borderId="85" xfId="0" applyFill="1" applyBorder="1"/>
    <xf numFmtId="0" fontId="0" fillId="0" borderId="85" xfId="0" applyBorder="1"/>
    <xf numFmtId="16" fontId="0" fillId="74" borderId="85" xfId="0" applyNumberFormat="1" applyFill="1" applyBorder="1"/>
    <xf numFmtId="0" fontId="0" fillId="74" borderId="85" xfId="0" quotePrefix="1" applyFill="1" applyBorder="1"/>
    <xf numFmtId="16" fontId="0" fillId="0" borderId="85" xfId="0" applyNumberFormat="1" applyBorder="1"/>
    <xf numFmtId="0" fontId="0" fillId="74" borderId="86" xfId="0" applyFill="1" applyBorder="1"/>
    <xf numFmtId="0" fontId="0" fillId="0" borderId="86" xfId="0" applyBorder="1" applyAlignment="1">
      <alignment vertical="top"/>
    </xf>
    <xf numFmtId="3" fontId="130" fillId="2" borderId="0" xfId="0" applyNumberFormat="1" applyFont="1" applyFill="1" applyAlignment="1">
      <alignment horizontal="right" vertical="top" wrapText="1"/>
    </xf>
    <xf numFmtId="164" fontId="25" fillId="0" borderId="39" xfId="0" quotePrefix="1" applyNumberFormat="1" applyFont="1" applyBorder="1" applyAlignment="1">
      <alignment horizontal="right"/>
    </xf>
    <xf numFmtId="0" fontId="0" fillId="0" borderId="0" xfId="0" applyAlignment="1">
      <alignment horizontal="center" wrapText="1"/>
    </xf>
    <xf numFmtId="0" fontId="118" fillId="0" borderId="0" xfId="0" applyFont="1" applyAlignment="1">
      <alignment horizontal="left" wrapText="1"/>
    </xf>
    <xf numFmtId="0" fontId="118" fillId="0" borderId="0" xfId="0" applyFont="1" applyAlignment="1">
      <alignment horizontal="left" vertical="center" wrapText="1"/>
    </xf>
    <xf numFmtId="0" fontId="122" fillId="0" borderId="0" xfId="0" applyFont="1" applyAlignment="1">
      <alignment horizontal="left" wrapText="1"/>
    </xf>
    <xf numFmtId="0" fontId="124" fillId="2" borderId="0" xfId="0" applyFont="1" applyFill="1" applyAlignment="1">
      <alignment horizontal="left" wrapText="1"/>
    </xf>
    <xf numFmtId="0" fontId="34" fillId="2" borderId="9" xfId="0" applyFont="1" applyFill="1" applyBorder="1" applyAlignment="1">
      <alignment horizontal="center" vertical="center" wrapText="1"/>
    </xf>
    <xf numFmtId="0" fontId="34" fillId="2" borderId="8" xfId="0" applyFont="1" applyFill="1" applyBorder="1" applyAlignment="1">
      <alignment horizontal="center" vertical="center" wrapText="1"/>
    </xf>
    <xf numFmtId="3" fontId="34" fillId="2" borderId="5" xfId="0" applyNumberFormat="1" applyFont="1" applyFill="1" applyBorder="1" applyAlignment="1">
      <alignment horizontal="center" vertical="center"/>
    </xf>
    <xf numFmtId="3" fontId="34" fillId="2" borderId="6" xfId="0" applyNumberFormat="1" applyFont="1" applyFill="1" applyBorder="1" applyAlignment="1">
      <alignment horizontal="center" vertical="center"/>
    </xf>
    <xf numFmtId="3" fontId="34" fillId="2" borderId="7" xfId="0" applyNumberFormat="1" applyFont="1" applyFill="1" applyBorder="1" applyAlignment="1">
      <alignment horizontal="right" vertical="center"/>
    </xf>
    <xf numFmtId="0" fontId="34" fillId="2" borderId="3"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25" fillId="2" borderId="5" xfId="0" applyFont="1" applyFill="1" applyBorder="1" applyAlignment="1">
      <alignment horizontal="center" vertical="center"/>
    </xf>
    <xf numFmtId="0" fontId="25" fillId="2" borderId="6" xfId="0" applyFont="1" applyFill="1" applyBorder="1" applyAlignment="1">
      <alignment horizontal="center" vertical="center"/>
    </xf>
    <xf numFmtId="0" fontId="25" fillId="2" borderId="7" xfId="0" applyFont="1" applyFill="1" applyBorder="1" applyAlignment="1">
      <alignment horizontal="center" vertical="center"/>
    </xf>
    <xf numFmtId="0" fontId="25" fillId="0" borderId="4" xfId="0" applyFont="1" applyBorder="1" applyAlignment="1">
      <alignment horizontal="center" vertical="center" wrapText="1"/>
    </xf>
    <xf numFmtId="3" fontId="34" fillId="2" borderId="7" xfId="0" applyNumberFormat="1" applyFont="1" applyFill="1" applyBorder="1" applyAlignment="1">
      <alignment horizontal="center" vertical="center"/>
    </xf>
    <xf numFmtId="0" fontId="34" fillId="2" borderId="4" xfId="0" applyFont="1" applyFill="1" applyBorder="1" applyAlignment="1">
      <alignment horizontal="right" vertical="center" wrapText="1"/>
    </xf>
    <xf numFmtId="0" fontId="34" fillId="2" borderId="2"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15"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14" xfId="0" applyFont="1" applyFill="1" applyBorder="1" applyAlignment="1">
      <alignment horizontal="center" vertical="center" wrapText="1"/>
    </xf>
    <xf numFmtId="0" fontId="25" fillId="0" borderId="54" xfId="0" applyFont="1" applyBorder="1" applyAlignment="1">
      <alignment horizontal="center" vertical="center" wrapText="1"/>
    </xf>
    <xf numFmtId="0" fontId="25" fillId="0" borderId="62"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63" xfId="0" applyFont="1" applyBorder="1" applyAlignment="1">
      <alignment horizontal="center" vertical="center" wrapText="1"/>
    </xf>
    <xf numFmtId="0" fontId="25" fillId="2" borderId="68" xfId="0" applyFont="1" applyFill="1" applyBorder="1" applyAlignment="1">
      <alignment horizontal="center"/>
    </xf>
    <xf numFmtId="0" fontId="25" fillId="2" borderId="69" xfId="0" applyFont="1" applyFill="1" applyBorder="1" applyAlignment="1">
      <alignment horizontal="center"/>
    </xf>
    <xf numFmtId="0" fontId="25" fillId="2" borderId="70" xfId="0" applyFont="1" applyFill="1" applyBorder="1" applyAlignment="1">
      <alignment horizontal="center"/>
    </xf>
    <xf numFmtId="3" fontId="34" fillId="2" borderId="68" xfId="0" applyNumberFormat="1" applyFont="1" applyFill="1" applyBorder="1" applyAlignment="1">
      <alignment horizontal="center" vertical="center"/>
    </xf>
    <xf numFmtId="3" fontId="34" fillId="2" borderId="69" xfId="0" applyNumberFormat="1" applyFont="1" applyFill="1" applyBorder="1" applyAlignment="1">
      <alignment horizontal="center" vertical="center"/>
    </xf>
    <xf numFmtId="3" fontId="34" fillId="2" borderId="70" xfId="0" applyNumberFormat="1" applyFont="1" applyFill="1" applyBorder="1" applyAlignment="1">
      <alignment horizontal="center" vertical="center"/>
    </xf>
    <xf numFmtId="0" fontId="25" fillId="2" borderId="55" xfId="0" applyFont="1" applyFill="1" applyBorder="1" applyAlignment="1">
      <alignment horizontal="center" vertical="center"/>
    </xf>
    <xf numFmtId="0" fontId="25" fillId="2" borderId="56" xfId="0" applyFont="1" applyFill="1" applyBorder="1" applyAlignment="1">
      <alignment horizontal="center" vertical="center"/>
    </xf>
    <xf numFmtId="0" fontId="26" fillId="2" borderId="54" xfId="0" applyFont="1" applyFill="1" applyBorder="1" applyAlignment="1">
      <alignment horizontal="center" vertical="center"/>
    </xf>
    <xf numFmtId="0" fontId="26" fillId="2" borderId="55" xfId="0" applyFont="1" applyFill="1" applyBorder="1" applyAlignment="1">
      <alignment horizontal="center" vertical="center"/>
    </xf>
    <xf numFmtId="0" fontId="26" fillId="2" borderId="56" xfId="0" applyFont="1" applyFill="1" applyBorder="1" applyAlignment="1">
      <alignment horizontal="center" vertical="center"/>
    </xf>
    <xf numFmtId="0" fontId="132" fillId="0" borderId="0" xfId="0" applyFont="1" applyAlignment="1">
      <alignment horizontal="left" vertical="center" wrapText="1"/>
    </xf>
    <xf numFmtId="0" fontId="68" fillId="2" borderId="0" xfId="0" applyFont="1" applyFill="1" applyAlignment="1">
      <alignment horizontal="left" vertical="center" wrapText="1"/>
    </xf>
    <xf numFmtId="0" fontId="31" fillId="0" borderId="15" xfId="0" applyFont="1" applyBorder="1" applyAlignment="1">
      <alignment horizontal="left" wrapText="1"/>
    </xf>
    <xf numFmtId="0" fontId="26" fillId="2" borderId="4" xfId="0" applyFont="1" applyFill="1" applyBorder="1" applyAlignment="1">
      <alignment horizontal="center" vertical="center"/>
    </xf>
    <xf numFmtId="0" fontId="26" fillId="2" borderId="1" xfId="0" applyFont="1" applyFill="1" applyBorder="1" applyAlignment="1">
      <alignment horizontal="center" vertical="center"/>
    </xf>
    <xf numFmtId="0" fontId="26" fillId="2" borderId="2" xfId="0" applyFont="1" applyFill="1" applyBorder="1" applyAlignment="1">
      <alignment horizontal="center" vertical="center"/>
    </xf>
    <xf numFmtId="0" fontId="26" fillId="2" borderId="3"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2" borderId="14" xfId="0" applyFont="1" applyFill="1" applyBorder="1" applyAlignment="1">
      <alignment horizontal="center" vertical="center" wrapText="1"/>
    </xf>
    <xf numFmtId="0" fontId="26" fillId="2" borderId="9" xfId="0" applyFont="1" applyFill="1" applyBorder="1" applyAlignment="1">
      <alignment horizontal="center" vertical="center" wrapText="1"/>
    </xf>
    <xf numFmtId="0" fontId="26" fillId="2" borderId="0" xfId="0" applyFont="1" applyFill="1" applyAlignment="1">
      <alignment horizontal="center" vertical="center" wrapText="1"/>
    </xf>
    <xf numFmtId="0" fontId="26" fillId="2" borderId="58" xfId="0" applyFont="1" applyFill="1" applyBorder="1" applyAlignment="1">
      <alignment horizontal="center" vertical="center" wrapText="1"/>
    </xf>
    <xf numFmtId="0" fontId="88" fillId="31" borderId="0" xfId="4" applyFont="1" applyFill="1" applyAlignment="1" applyProtection="1">
      <alignment horizontal="left" wrapText="1"/>
    </xf>
    <xf numFmtId="0" fontId="61" fillId="2" borderId="0" xfId="0" applyFont="1" applyFill="1" applyAlignment="1">
      <alignment horizontal="left" vertical="center"/>
    </xf>
    <xf numFmtId="0" fontId="26" fillId="2" borderId="3" xfId="0" applyFont="1" applyFill="1" applyBorder="1" applyAlignment="1">
      <alignment horizontal="center" vertical="center"/>
    </xf>
    <xf numFmtId="0" fontId="26" fillId="2" borderId="16" xfId="0" applyFont="1" applyFill="1" applyBorder="1" applyAlignment="1">
      <alignment horizontal="center" vertical="center"/>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6" fillId="2" borderId="7" xfId="0" applyFont="1" applyFill="1" applyBorder="1" applyAlignment="1">
      <alignment horizontal="center" vertical="center"/>
    </xf>
    <xf numFmtId="0" fontId="26" fillId="2" borderId="10" xfId="0" applyFont="1" applyFill="1" applyBorder="1" applyAlignment="1">
      <alignment horizontal="center" vertical="center" wrapText="1"/>
    </xf>
    <xf numFmtId="0" fontId="26" fillId="2" borderId="10" xfId="0" applyFont="1" applyFill="1" applyBorder="1" applyAlignment="1">
      <alignment horizontal="center" vertical="center"/>
    </xf>
    <xf numFmtId="0" fontId="26" fillId="2" borderId="16" xfId="0" applyFont="1" applyFill="1" applyBorder="1" applyAlignment="1">
      <alignment horizontal="center" vertical="center" wrapText="1"/>
    </xf>
    <xf numFmtId="0" fontId="26" fillId="2" borderId="3" xfId="0" applyFont="1" applyFill="1" applyBorder="1" applyAlignment="1">
      <alignment horizontal="left" wrapText="1"/>
    </xf>
    <xf numFmtId="0" fontId="26" fillId="2" borderId="10" xfId="0" applyFont="1" applyFill="1" applyBorder="1" applyAlignment="1">
      <alignment horizontal="left" wrapText="1"/>
    </xf>
    <xf numFmtId="0" fontId="26" fillId="2" borderId="3" xfId="0" applyFont="1" applyFill="1" applyBorder="1" applyAlignment="1">
      <alignment horizontal="center" wrapText="1"/>
    </xf>
    <xf numFmtId="0" fontId="26" fillId="2" borderId="10" xfId="0" applyFont="1" applyFill="1" applyBorder="1" applyAlignment="1">
      <alignment horizontal="center" wrapText="1"/>
    </xf>
    <xf numFmtId="0" fontId="26" fillId="2" borderId="0" xfId="0" applyFont="1" applyFill="1" applyAlignment="1">
      <alignment horizontal="center" vertical="center"/>
    </xf>
    <xf numFmtId="0" fontId="87" fillId="2" borderId="0" xfId="0" applyFont="1" applyFill="1" applyAlignment="1">
      <alignment horizontal="left"/>
    </xf>
    <xf numFmtId="0" fontId="26" fillId="2" borderId="16" xfId="0" applyFont="1" applyFill="1" applyBorder="1" applyAlignment="1">
      <alignment horizontal="center" wrapText="1"/>
    </xf>
    <xf numFmtId="0" fontId="6" fillId="0" borderId="0" xfId="0" applyFont="1" applyAlignment="1">
      <alignment horizontal="left" wrapText="1"/>
    </xf>
    <xf numFmtId="0" fontId="69" fillId="2" borderId="15" xfId="0" applyFont="1" applyFill="1" applyBorder="1" applyAlignment="1">
      <alignment horizontal="center" vertical="center"/>
    </xf>
    <xf numFmtId="0" fontId="26" fillId="2" borderId="16" xfId="0" applyFont="1" applyFill="1" applyBorder="1" applyAlignment="1">
      <alignment horizontal="left" wrapText="1"/>
    </xf>
    <xf numFmtId="0" fontId="26" fillId="2" borderId="5" xfId="0" applyFont="1" applyFill="1" applyBorder="1" applyAlignment="1">
      <alignment horizontal="center"/>
    </xf>
    <xf numFmtId="0" fontId="26" fillId="2" borderId="6" xfId="0" applyFont="1" applyFill="1" applyBorder="1" applyAlignment="1">
      <alignment horizontal="center"/>
    </xf>
    <xf numFmtId="0" fontId="26" fillId="2" borderId="7" xfId="0" applyFont="1" applyFill="1" applyBorder="1" applyAlignment="1">
      <alignment horizontal="center"/>
    </xf>
    <xf numFmtId="0" fontId="26" fillId="0" borderId="5" xfId="0" applyFont="1" applyBorder="1" applyAlignment="1">
      <alignment horizontal="center" vertical="center"/>
    </xf>
    <xf numFmtId="0" fontId="26" fillId="0" borderId="7" xfId="0" applyFont="1" applyBorder="1" applyAlignment="1">
      <alignment horizontal="center" vertical="center"/>
    </xf>
    <xf numFmtId="0" fontId="25" fillId="2" borderId="3" xfId="0" applyFont="1" applyFill="1" applyBorder="1" applyAlignment="1">
      <alignment horizontal="left"/>
    </xf>
    <xf numFmtId="0" fontId="25" fillId="2" borderId="10" xfId="0" applyFont="1" applyFill="1" applyBorder="1" applyAlignment="1">
      <alignment horizontal="left"/>
    </xf>
    <xf numFmtId="0" fontId="26" fillId="2" borderId="5" xfId="0" applyFont="1" applyFill="1" applyBorder="1" applyAlignment="1">
      <alignment horizontal="center" vertical="center" wrapText="1"/>
    </xf>
    <xf numFmtId="0" fontId="62" fillId="0" borderId="15" xfId="0" applyFont="1" applyBorder="1" applyAlignment="1">
      <alignment horizontal="center"/>
    </xf>
    <xf numFmtId="0" fontId="26" fillId="2" borderId="3" xfId="0" applyFont="1" applyFill="1" applyBorder="1" applyAlignment="1">
      <alignment horizontal="left"/>
    </xf>
    <xf numFmtId="0" fontId="26" fillId="2" borderId="10" xfId="0" applyFont="1" applyFill="1" applyBorder="1" applyAlignment="1">
      <alignment horizontal="left"/>
    </xf>
    <xf numFmtId="0" fontId="62" fillId="2" borderId="15" xfId="0" applyFont="1" applyFill="1" applyBorder="1" applyAlignment="1">
      <alignment horizontal="center"/>
    </xf>
    <xf numFmtId="0" fontId="26" fillId="2" borderId="15" xfId="0" applyFont="1" applyFill="1" applyBorder="1" applyAlignment="1">
      <alignment horizontal="center"/>
    </xf>
    <xf numFmtId="0" fontId="26" fillId="2" borderId="0" xfId="0" applyFont="1" applyFill="1" applyAlignment="1">
      <alignment horizontal="left"/>
    </xf>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wrapText="1"/>
    </xf>
    <xf numFmtId="0" fontId="26" fillId="2" borderId="0" xfId="0" applyFont="1" applyFill="1" applyAlignment="1">
      <alignment horizontal="left" wrapText="1"/>
    </xf>
    <xf numFmtId="0" fontId="26" fillId="0" borderId="3"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0" xfId="0" applyFont="1" applyAlignment="1">
      <alignment horizontal="center" vertical="center"/>
    </xf>
    <xf numFmtId="0" fontId="22" fillId="0" borderId="0" xfId="0" applyFont="1" applyAlignment="1">
      <alignment horizontal="left"/>
    </xf>
    <xf numFmtId="0" fontId="26" fillId="2" borderId="0" xfId="0" applyFont="1" applyFill="1" applyAlignment="1">
      <alignment horizontal="center"/>
    </xf>
    <xf numFmtId="0" fontId="26" fillId="2" borderId="15" xfId="0" applyFont="1" applyFill="1" applyBorder="1" applyAlignment="1">
      <alignment horizontal="left" wrapText="1"/>
    </xf>
    <xf numFmtId="0" fontId="22" fillId="2" borderId="0" xfId="0" applyFont="1" applyFill="1" applyAlignment="1">
      <alignment horizontal="left"/>
    </xf>
    <xf numFmtId="0" fontId="0" fillId="2" borderId="0" xfId="0" applyFill="1" applyAlignment="1">
      <alignment horizontal="center"/>
    </xf>
    <xf numFmtId="3" fontId="26" fillId="2" borderId="3" xfId="0" applyNumberFormat="1" applyFont="1" applyFill="1" applyBorder="1" applyAlignment="1">
      <alignment horizontal="center" vertical="center" wrapText="1"/>
    </xf>
    <xf numFmtId="3" fontId="26" fillId="2" borderId="10" xfId="0" applyNumberFormat="1" applyFont="1" applyFill="1" applyBorder="1" applyAlignment="1">
      <alignment horizontal="center" vertical="center" wrapText="1"/>
    </xf>
    <xf numFmtId="0" fontId="22" fillId="2" borderId="0" xfId="0" applyFont="1" applyFill="1" applyAlignment="1">
      <alignment horizontal="left" vertical="center"/>
    </xf>
    <xf numFmtId="0" fontId="22" fillId="2" borderId="0" xfId="0" applyFont="1" applyFill="1" applyAlignment="1">
      <alignment horizontal="left" vertical="center" wrapText="1"/>
    </xf>
    <xf numFmtId="0" fontId="26" fillId="2" borderId="9" xfId="0" applyFont="1" applyFill="1" applyBorder="1" applyAlignment="1">
      <alignment horizontal="center" vertical="center"/>
    </xf>
    <xf numFmtId="3" fontId="26" fillId="2" borderId="16" xfId="0" applyNumberFormat="1" applyFont="1" applyFill="1" applyBorder="1" applyAlignment="1">
      <alignment horizontal="center" vertical="center" wrapText="1"/>
    </xf>
    <xf numFmtId="167" fontId="26" fillId="2" borderId="3" xfId="0" applyNumberFormat="1" applyFont="1" applyFill="1" applyBorder="1" applyAlignment="1">
      <alignment horizontal="center" vertical="center" wrapText="1"/>
    </xf>
    <xf numFmtId="167" fontId="26" fillId="2" borderId="10" xfId="0" applyNumberFormat="1" applyFont="1" applyFill="1" applyBorder="1" applyAlignment="1">
      <alignment horizontal="center" vertical="center" wrapText="1"/>
    </xf>
    <xf numFmtId="0" fontId="25" fillId="2" borderId="5" xfId="0" applyFont="1" applyFill="1" applyBorder="1" applyAlignment="1">
      <alignment horizontal="center"/>
    </xf>
    <xf numFmtId="0" fontId="25" fillId="2" borderId="6" xfId="0" applyFont="1" applyFill="1" applyBorder="1" applyAlignment="1">
      <alignment horizontal="center"/>
    </xf>
    <xf numFmtId="0" fontId="25" fillId="2" borderId="7" xfId="0" applyFont="1" applyFill="1" applyBorder="1" applyAlignment="1">
      <alignment horizontal="center"/>
    </xf>
    <xf numFmtId="0" fontId="26" fillId="2" borderId="11" xfId="0" applyFont="1" applyFill="1" applyBorder="1" applyAlignment="1">
      <alignment horizontal="center"/>
    </xf>
    <xf numFmtId="0" fontId="26" fillId="2" borderId="12" xfId="0" applyFont="1" applyFill="1" applyBorder="1" applyAlignment="1">
      <alignment horizontal="center"/>
    </xf>
    <xf numFmtId="0" fontId="26" fillId="2" borderId="11" xfId="0" applyFont="1" applyFill="1" applyBorder="1" applyAlignment="1">
      <alignment horizontal="center" vertical="center" wrapText="1"/>
    </xf>
    <xf numFmtId="0" fontId="25" fillId="0" borderId="15" xfId="0" applyFont="1" applyBorder="1" applyAlignment="1">
      <alignment horizontal="center"/>
    </xf>
    <xf numFmtId="0" fontId="25" fillId="0" borderId="8" xfId="0" applyFont="1" applyBorder="1" applyAlignment="1">
      <alignment horizontal="center"/>
    </xf>
    <xf numFmtId="0" fontId="25" fillId="0" borderId="6" xfId="0" applyFont="1" applyBorder="1" applyAlignment="1">
      <alignment horizontal="center"/>
    </xf>
    <xf numFmtId="0" fontId="25" fillId="0" borderId="14" xfId="0" applyFont="1" applyBorder="1" applyAlignment="1">
      <alignment horizontal="center"/>
    </xf>
    <xf numFmtId="0" fontId="25" fillId="0" borderId="0" xfId="0" applyFont="1" applyAlignment="1">
      <alignment horizontal="center"/>
    </xf>
    <xf numFmtId="0" fontId="73" fillId="0" borderId="15" xfId="0" applyFont="1" applyBorder="1" applyAlignment="1">
      <alignment horizontal="right"/>
    </xf>
    <xf numFmtId="0" fontId="34" fillId="3" borderId="3" xfId="7" applyFont="1" applyFill="1" applyBorder="1" applyAlignment="1">
      <alignment horizontal="left" wrapText="1"/>
    </xf>
    <xf numFmtId="0" fontId="34" fillId="3" borderId="10" xfId="7" applyFont="1" applyFill="1" applyBorder="1" applyAlignment="1">
      <alignment horizontal="left" wrapText="1"/>
    </xf>
    <xf numFmtId="0" fontId="34" fillId="3" borderId="3" xfId="7" applyFont="1" applyFill="1" applyBorder="1" applyAlignment="1">
      <alignment horizontal="center" vertical="center" wrapText="1"/>
    </xf>
    <xf numFmtId="0" fontId="34" fillId="3" borderId="10" xfId="7" applyFont="1" applyFill="1" applyBorder="1" applyAlignment="1">
      <alignment horizontal="center" vertical="center" wrapText="1"/>
    </xf>
    <xf numFmtId="0" fontId="73" fillId="2" borderId="15" xfId="0" applyFont="1" applyFill="1" applyBorder="1" applyAlignment="1">
      <alignment horizontal="right"/>
    </xf>
    <xf numFmtId="0" fontId="22" fillId="0" borderId="0" xfId="0" applyFont="1" applyAlignment="1">
      <alignment horizontal="left" vertical="top" wrapText="1"/>
    </xf>
    <xf numFmtId="0" fontId="0" fillId="0" borderId="0" xfId="0" applyAlignment="1">
      <alignment horizontal="left" wrapText="1"/>
    </xf>
    <xf numFmtId="3" fontId="26" fillId="2" borderId="0" xfId="0" applyNumberFormat="1" applyFont="1" applyFill="1" applyAlignment="1">
      <alignment horizontal="left" wrapText="1"/>
    </xf>
    <xf numFmtId="3" fontId="26" fillId="2" borderId="0" xfId="0" applyNumberFormat="1" applyFont="1" applyFill="1" applyAlignment="1">
      <alignment horizontal="center" vertical="center" wrapText="1"/>
    </xf>
    <xf numFmtId="3" fontId="26" fillId="2" borderId="0" xfId="0" applyNumberFormat="1" applyFont="1" applyFill="1" applyAlignment="1">
      <alignment horizontal="center" wrapText="1"/>
    </xf>
    <xf numFmtId="0" fontId="36" fillId="0" borderId="0" xfId="4" applyAlignment="1" applyProtection="1">
      <alignment horizontal="left"/>
    </xf>
    <xf numFmtId="0" fontId="68" fillId="2" borderId="0" xfId="0" applyFont="1" applyFill="1" applyAlignment="1">
      <alignment horizontal="left" vertical="center"/>
    </xf>
    <xf numFmtId="0" fontId="132" fillId="2" borderId="0" xfId="0" applyFont="1" applyFill="1" applyAlignment="1">
      <alignment horizontal="left" vertical="center"/>
    </xf>
    <xf numFmtId="0" fontId="132" fillId="2" borderId="0" xfId="0" applyFont="1" applyFill="1" applyAlignment="1">
      <alignment horizontal="left" vertical="center" wrapText="1"/>
    </xf>
    <xf numFmtId="0" fontId="22" fillId="0" borderId="0" xfId="0" applyFont="1" applyAlignment="1">
      <alignment horizontal="left" wrapText="1"/>
    </xf>
    <xf numFmtId="0" fontId="26" fillId="2" borderId="12" xfId="0" applyFont="1" applyFill="1" applyBorder="1" applyAlignment="1">
      <alignment horizontal="center" vertical="center" wrapText="1"/>
    </xf>
    <xf numFmtId="0" fontId="26" fillId="2" borderId="6"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126" fillId="2" borderId="0" xfId="0" applyFont="1" applyFill="1" applyAlignment="1">
      <alignment horizontal="left" wrapText="1"/>
    </xf>
    <xf numFmtId="0" fontId="26" fillId="2" borderId="1" xfId="0" applyFont="1" applyFill="1" applyBorder="1" applyAlignment="1">
      <alignment horizontal="left" wrapText="1"/>
    </xf>
    <xf numFmtId="0" fontId="26" fillId="2" borderId="11" xfId="0" applyFont="1" applyFill="1" applyBorder="1" applyAlignment="1">
      <alignment horizontal="left" wrapText="1"/>
    </xf>
    <xf numFmtId="0" fontId="26" fillId="2" borderId="1" xfId="0" applyFont="1" applyFill="1" applyBorder="1" applyAlignment="1">
      <alignment horizontal="center"/>
    </xf>
    <xf numFmtId="0" fontId="26" fillId="2" borderId="2" xfId="0" applyFont="1" applyFill="1" applyBorder="1" applyAlignment="1">
      <alignment horizontal="center"/>
    </xf>
    <xf numFmtId="0" fontId="26" fillId="2" borderId="9" xfId="0" applyFont="1" applyFill="1" applyBorder="1" applyAlignment="1">
      <alignment horizontal="center"/>
    </xf>
    <xf numFmtId="0" fontId="22" fillId="2" borderId="0" xfId="0" applyFont="1" applyFill="1" applyAlignment="1">
      <alignment horizontal="left" wrapText="1"/>
    </xf>
    <xf numFmtId="0" fontId="26" fillId="2" borderId="0" xfId="0" applyFont="1" applyFill="1" applyAlignment="1">
      <alignment horizontal="center" wrapText="1"/>
    </xf>
    <xf numFmtId="0" fontId="26" fillId="2" borderId="8" xfId="0" applyFont="1" applyFill="1" applyBorder="1" applyAlignment="1">
      <alignment horizontal="center"/>
    </xf>
    <xf numFmtId="0" fontId="26" fillId="2" borderId="16" xfId="0" applyFont="1" applyFill="1" applyBorder="1" applyAlignment="1">
      <alignment horizontal="left"/>
    </xf>
    <xf numFmtId="0" fontId="26" fillId="0" borderId="15" xfId="0" applyFont="1" applyBorder="1" applyAlignment="1">
      <alignment horizontal="center" wrapText="1"/>
    </xf>
    <xf numFmtId="0" fontId="26" fillId="0" borderId="2" xfId="0" applyFont="1" applyBorder="1" applyAlignment="1">
      <alignment horizontal="center" wrapText="1"/>
    </xf>
    <xf numFmtId="0" fontId="25" fillId="2" borderId="3"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87" fillId="2" borderId="0" xfId="0" applyFont="1" applyFill="1" applyAlignment="1">
      <alignment horizontal="left" wrapText="1"/>
    </xf>
    <xf numFmtId="0" fontId="85" fillId="2" borderId="0" xfId="0" applyFont="1" applyFill="1" applyAlignment="1">
      <alignment horizontal="left" wrapText="1"/>
    </xf>
    <xf numFmtId="0" fontId="25" fillId="2" borderId="10" xfId="0" applyFont="1" applyFill="1" applyBorder="1" applyAlignment="1">
      <alignment horizontal="center" vertical="center" wrapText="1"/>
    </xf>
    <xf numFmtId="0" fontId="62" fillId="2" borderId="0" xfId="0" applyFont="1" applyFill="1" applyAlignment="1">
      <alignment horizontal="center"/>
    </xf>
    <xf numFmtId="0" fontId="26" fillId="2" borderId="60" xfId="0" applyFont="1" applyFill="1" applyBorder="1" applyAlignment="1">
      <alignment horizontal="center" vertical="center" wrapText="1"/>
    </xf>
    <xf numFmtId="0" fontId="26" fillId="2" borderId="61" xfId="0" applyFont="1" applyFill="1" applyBorder="1" applyAlignment="1">
      <alignment horizontal="center" vertical="center" wrapText="1"/>
    </xf>
    <xf numFmtId="0" fontId="25" fillId="2" borderId="0" xfId="0" applyFont="1" applyFill="1" applyAlignment="1">
      <alignment horizontal="left"/>
    </xf>
    <xf numFmtId="0" fontId="26" fillId="2" borderId="54" xfId="0" applyFont="1" applyFill="1" applyBorder="1" applyAlignment="1">
      <alignment horizontal="center" vertical="center" wrapText="1"/>
    </xf>
    <xf numFmtId="0" fontId="26" fillId="2" borderId="55" xfId="0" applyFont="1" applyFill="1" applyBorder="1" applyAlignment="1">
      <alignment horizontal="center" vertical="center" wrapText="1"/>
    </xf>
    <xf numFmtId="0" fontId="26" fillId="2" borderId="56" xfId="0" applyFont="1" applyFill="1" applyBorder="1" applyAlignment="1">
      <alignment horizontal="center" vertical="center" wrapText="1"/>
    </xf>
    <xf numFmtId="0" fontId="22" fillId="2" borderId="0" xfId="4" applyFont="1" applyFill="1" applyBorder="1" applyAlignment="1" applyProtection="1">
      <alignment horizontal="left" wrapText="1"/>
    </xf>
    <xf numFmtId="0" fontId="26" fillId="2" borderId="5" xfId="0" applyFont="1" applyFill="1" applyBorder="1" applyAlignment="1">
      <alignment horizontal="center" wrapText="1"/>
    </xf>
    <xf numFmtId="0" fontId="26" fillId="2" borderId="6" xfId="0" applyFont="1" applyFill="1" applyBorder="1" applyAlignment="1">
      <alignment horizontal="center" wrapText="1"/>
    </xf>
    <xf numFmtId="0" fontId="26" fillId="2" borderId="7" xfId="0" applyFont="1" applyFill="1" applyBorder="1" applyAlignment="1">
      <alignment horizontal="center" wrapText="1"/>
    </xf>
    <xf numFmtId="0" fontId="26" fillId="2" borderId="15" xfId="0" applyFont="1" applyFill="1" applyBorder="1" applyAlignment="1">
      <alignment horizontal="center" vertical="center" wrapText="1"/>
    </xf>
    <xf numFmtId="0" fontId="25" fillId="2" borderId="15" xfId="0" applyFont="1" applyFill="1" applyBorder="1" applyAlignment="1">
      <alignment horizontal="center" vertical="center"/>
    </xf>
    <xf numFmtId="0" fontId="124" fillId="2" borderId="0" xfId="4" applyFont="1" applyFill="1" applyBorder="1" applyAlignment="1" applyProtection="1">
      <alignment horizontal="left" wrapText="1"/>
    </xf>
    <xf numFmtId="3" fontId="62" fillId="2" borderId="0" xfId="0" applyNumberFormat="1" applyFont="1" applyFill="1" applyAlignment="1">
      <alignment horizontal="center"/>
    </xf>
    <xf numFmtId="3" fontId="26" fillId="2" borderId="54" xfId="0" applyNumberFormat="1" applyFont="1" applyFill="1" applyBorder="1" applyAlignment="1">
      <alignment horizontal="center" vertical="center" wrapText="1"/>
    </xf>
    <xf numFmtId="3" fontId="26" fillId="2" borderId="55" xfId="0" applyNumberFormat="1" applyFont="1" applyFill="1" applyBorder="1" applyAlignment="1">
      <alignment horizontal="center" vertical="center" wrapText="1"/>
    </xf>
    <xf numFmtId="3" fontId="26" fillId="2" borderId="56" xfId="0" applyNumberFormat="1" applyFont="1" applyFill="1" applyBorder="1" applyAlignment="1">
      <alignment horizontal="center" vertical="center" wrapText="1"/>
    </xf>
    <xf numFmtId="0" fontId="124" fillId="0" borderId="0" xfId="0" applyFont="1" applyAlignment="1">
      <alignment horizontal="left" wrapText="1"/>
    </xf>
    <xf numFmtId="3" fontId="26" fillId="2" borderId="60" xfId="0" applyNumberFormat="1" applyFont="1" applyFill="1" applyBorder="1" applyAlignment="1">
      <alignment horizontal="center" vertical="center" wrapText="1"/>
    </xf>
    <xf numFmtId="3" fontId="26" fillId="2" borderId="61" xfId="0" applyNumberFormat="1" applyFont="1" applyFill="1" applyBorder="1" applyAlignment="1">
      <alignment horizontal="center" vertical="center" wrapText="1"/>
    </xf>
    <xf numFmtId="3" fontId="26" fillId="2" borderId="0" xfId="0" applyNumberFormat="1" applyFont="1" applyFill="1" applyAlignment="1">
      <alignment horizontal="left"/>
    </xf>
    <xf numFmtId="3" fontId="6" fillId="2" borderId="0" xfId="0" applyNumberFormat="1" applyFont="1" applyFill="1" applyAlignment="1">
      <alignment horizontal="left" wrapText="1"/>
    </xf>
    <xf numFmtId="0" fontId="126" fillId="0" borderId="0" xfId="0" quotePrefix="1" applyFont="1" applyAlignment="1">
      <alignment horizontal="left" wrapText="1"/>
    </xf>
    <xf numFmtId="0" fontId="124" fillId="0" borderId="0" xfId="0" quotePrefix="1" applyFont="1" applyAlignment="1">
      <alignment horizontal="left" wrapText="1"/>
    </xf>
    <xf numFmtId="3" fontId="122" fillId="2" borderId="0" xfId="0" applyNumberFormat="1" applyFont="1" applyFill="1" applyAlignment="1">
      <alignment horizontal="left" wrapText="1"/>
    </xf>
    <xf numFmtId="0" fontId="25" fillId="2" borderId="39" xfId="0" applyFont="1" applyFill="1" applyBorder="1" applyAlignment="1">
      <alignment horizontal="left"/>
    </xf>
    <xf numFmtId="0" fontId="62" fillId="0" borderId="0" xfId="0" applyFont="1" applyAlignment="1">
      <alignment horizontal="center"/>
    </xf>
    <xf numFmtId="0" fontId="26" fillId="2" borderId="15" xfId="0" applyFont="1" applyFill="1" applyBorder="1" applyAlignment="1">
      <alignment horizontal="left"/>
    </xf>
    <xf numFmtId="0" fontId="69" fillId="0" borderId="0" xfId="0" applyFont="1" applyAlignment="1">
      <alignment horizontal="center"/>
    </xf>
    <xf numFmtId="0" fontId="68" fillId="2" borderId="0" xfId="0" applyFont="1" applyFill="1" applyAlignment="1">
      <alignment horizontal="center" vertical="center" wrapText="1"/>
    </xf>
    <xf numFmtId="0" fontId="6" fillId="2" borderId="0" xfId="0" applyFont="1" applyFill="1" applyAlignment="1">
      <alignment horizontal="left" wrapText="1"/>
    </xf>
    <xf numFmtId="0" fontId="126" fillId="0" borderId="0" xfId="0" applyFont="1" applyAlignment="1">
      <alignment horizontal="left" wrapText="1"/>
    </xf>
    <xf numFmtId="0" fontId="25" fillId="2" borderId="0" xfId="0" applyFont="1" applyFill="1" applyAlignment="1">
      <alignment horizontal="center" vertical="center"/>
    </xf>
    <xf numFmtId="3" fontId="6" fillId="0" borderId="0" xfId="0" applyNumberFormat="1" applyFont="1" applyAlignment="1">
      <alignment horizontal="left" wrapText="1"/>
    </xf>
    <xf numFmtId="0" fontId="26" fillId="0" borderId="0" xfId="0" applyFont="1" applyAlignment="1">
      <alignment horizontal="center" vertical="center" wrapText="1"/>
    </xf>
    <xf numFmtId="0" fontId="26" fillId="0" borderId="15" xfId="0" applyFont="1" applyBorder="1" applyAlignment="1">
      <alignment horizontal="center" vertical="center"/>
    </xf>
    <xf numFmtId="3" fontId="26" fillId="2" borderId="15" xfId="0" applyNumberFormat="1" applyFont="1" applyFill="1" applyBorder="1" applyAlignment="1">
      <alignment horizontal="center" vertical="center" wrapText="1"/>
    </xf>
    <xf numFmtId="0" fontId="25" fillId="0" borderId="0" xfId="0" applyFont="1" applyAlignment="1">
      <alignment horizontal="center" vertical="center"/>
    </xf>
    <xf numFmtId="3" fontId="26" fillId="2" borderId="15" xfId="0" applyNumberFormat="1" applyFont="1" applyFill="1" applyBorder="1" applyAlignment="1">
      <alignment horizontal="left" wrapText="1"/>
    </xf>
    <xf numFmtId="0" fontId="68" fillId="2" borderId="15" xfId="0" applyFont="1" applyFill="1" applyBorder="1" applyAlignment="1">
      <alignment horizontal="center"/>
    </xf>
    <xf numFmtId="0" fontId="132" fillId="0" borderId="0" xfId="0" applyFont="1" applyAlignment="1">
      <alignment horizontal="left" vertical="center"/>
    </xf>
    <xf numFmtId="0" fontId="5" fillId="0" borderId="0" xfId="0" applyFont="1" applyAlignment="1">
      <alignment horizontal="left" wrapText="1"/>
    </xf>
    <xf numFmtId="0" fontId="13" fillId="0" borderId="0" xfId="0" applyFont="1" applyAlignment="1">
      <alignment horizontal="left" wrapText="1"/>
    </xf>
    <xf numFmtId="0" fontId="68" fillId="0" borderId="0" xfId="0" applyFont="1" applyAlignment="1">
      <alignment horizontal="left" vertical="center" wrapText="1"/>
    </xf>
    <xf numFmtId="0" fontId="26" fillId="0" borderId="1" xfId="0" applyFont="1" applyBorder="1" applyAlignment="1">
      <alignment horizontal="center"/>
    </xf>
    <xf numFmtId="0" fontId="26" fillId="0" borderId="9" xfId="0" applyFont="1" applyBorder="1" applyAlignment="1">
      <alignment horizontal="center"/>
    </xf>
  </cellXfs>
  <cellStyles count="202">
    <cellStyle name="20% - Accent1 2" xfId="8" xr:uid="{00000000-0005-0000-0000-000000000000}"/>
    <cellStyle name="20% - Accent1 3" xfId="72" xr:uid="{00000000-0005-0000-0000-000001000000}"/>
    <cellStyle name="20% - Accent1 4" xfId="168" xr:uid="{00000000-0005-0000-0000-000002000000}"/>
    <cellStyle name="20% - Accent2 2" xfId="9" xr:uid="{00000000-0005-0000-0000-000003000000}"/>
    <cellStyle name="20% - Accent2 3" xfId="73" xr:uid="{00000000-0005-0000-0000-000004000000}"/>
    <cellStyle name="20% - Accent2 4" xfId="172" xr:uid="{00000000-0005-0000-0000-000005000000}"/>
    <cellStyle name="20% - Accent3 2" xfId="10" xr:uid="{00000000-0005-0000-0000-000006000000}"/>
    <cellStyle name="20% - Accent3 3" xfId="74" xr:uid="{00000000-0005-0000-0000-000007000000}"/>
    <cellStyle name="20% - Accent3 4" xfId="176" xr:uid="{00000000-0005-0000-0000-000008000000}"/>
    <cellStyle name="20% - Accent4 2" xfId="11" xr:uid="{00000000-0005-0000-0000-000009000000}"/>
    <cellStyle name="20% - Accent4 3" xfId="75" xr:uid="{00000000-0005-0000-0000-00000A000000}"/>
    <cellStyle name="20% - Accent4 4" xfId="180" xr:uid="{00000000-0005-0000-0000-00000B000000}"/>
    <cellStyle name="20% - Accent5 2" xfId="12" xr:uid="{00000000-0005-0000-0000-00000C000000}"/>
    <cellStyle name="20% - Accent5 3" xfId="184" xr:uid="{00000000-0005-0000-0000-00000D000000}"/>
    <cellStyle name="20% - Accent6 2" xfId="13" xr:uid="{00000000-0005-0000-0000-00000E000000}"/>
    <cellStyle name="20% - Accent6 3" xfId="76" xr:uid="{00000000-0005-0000-0000-00000F000000}"/>
    <cellStyle name="20% - Accent6 4" xfId="188" xr:uid="{00000000-0005-0000-0000-000010000000}"/>
    <cellStyle name="40% - Accent1 2" xfId="14" xr:uid="{00000000-0005-0000-0000-000011000000}"/>
    <cellStyle name="40% - Accent1 3" xfId="77" xr:uid="{00000000-0005-0000-0000-000012000000}"/>
    <cellStyle name="40% - Accent1 4" xfId="169" xr:uid="{00000000-0005-0000-0000-000013000000}"/>
    <cellStyle name="40% - Accent2 2" xfId="15" xr:uid="{00000000-0005-0000-0000-000014000000}"/>
    <cellStyle name="40% - Accent2 3" xfId="173" xr:uid="{00000000-0005-0000-0000-000015000000}"/>
    <cellStyle name="40% - Accent3 2" xfId="16" xr:uid="{00000000-0005-0000-0000-000016000000}"/>
    <cellStyle name="40% - Accent3 3" xfId="78" xr:uid="{00000000-0005-0000-0000-000017000000}"/>
    <cellStyle name="40% - Accent3 4" xfId="177" xr:uid="{00000000-0005-0000-0000-000018000000}"/>
    <cellStyle name="40% - Accent4 2" xfId="17" xr:uid="{00000000-0005-0000-0000-000019000000}"/>
    <cellStyle name="40% - Accent4 3" xfId="79" xr:uid="{00000000-0005-0000-0000-00001A000000}"/>
    <cellStyle name="40% - Accent4 4" xfId="181" xr:uid="{00000000-0005-0000-0000-00001B000000}"/>
    <cellStyle name="40% - Accent5 2" xfId="18" xr:uid="{00000000-0005-0000-0000-00001C000000}"/>
    <cellStyle name="40% - Accent5 3" xfId="80" xr:uid="{00000000-0005-0000-0000-00001D000000}"/>
    <cellStyle name="40% - Accent5 4" xfId="185" xr:uid="{00000000-0005-0000-0000-00001E000000}"/>
    <cellStyle name="40% - Accent6 2" xfId="19" xr:uid="{00000000-0005-0000-0000-00001F000000}"/>
    <cellStyle name="40% - Accent6 3" xfId="81" xr:uid="{00000000-0005-0000-0000-000020000000}"/>
    <cellStyle name="40% - Accent6 4" xfId="189" xr:uid="{00000000-0005-0000-0000-000021000000}"/>
    <cellStyle name="60% - Accent1 2" xfId="20" xr:uid="{00000000-0005-0000-0000-000022000000}"/>
    <cellStyle name="60% - Accent1 3" xfId="82" xr:uid="{00000000-0005-0000-0000-000023000000}"/>
    <cellStyle name="60% - Accent1 4" xfId="170" xr:uid="{00000000-0005-0000-0000-000024000000}"/>
    <cellStyle name="60% - Accent2 2" xfId="21" xr:uid="{00000000-0005-0000-0000-000025000000}"/>
    <cellStyle name="60% - Accent2 3" xfId="83" xr:uid="{00000000-0005-0000-0000-000026000000}"/>
    <cellStyle name="60% - Accent2 4" xfId="174" xr:uid="{00000000-0005-0000-0000-000027000000}"/>
    <cellStyle name="60% - Accent3 2" xfId="22" xr:uid="{00000000-0005-0000-0000-000028000000}"/>
    <cellStyle name="60% - Accent3 3" xfId="84" xr:uid="{00000000-0005-0000-0000-000029000000}"/>
    <cellStyle name="60% - Accent3 4" xfId="178" xr:uid="{00000000-0005-0000-0000-00002A000000}"/>
    <cellStyle name="60% - Accent4 2" xfId="23" xr:uid="{00000000-0005-0000-0000-00002B000000}"/>
    <cellStyle name="60% - Accent4 3" xfId="85" xr:uid="{00000000-0005-0000-0000-00002C000000}"/>
    <cellStyle name="60% - Accent4 4" xfId="182" xr:uid="{00000000-0005-0000-0000-00002D000000}"/>
    <cellStyle name="60% - Accent5 2" xfId="24" xr:uid="{00000000-0005-0000-0000-00002E000000}"/>
    <cellStyle name="60% - Accent5 3" xfId="86" xr:uid="{00000000-0005-0000-0000-00002F000000}"/>
    <cellStyle name="60% - Accent5 4" xfId="186" xr:uid="{00000000-0005-0000-0000-000030000000}"/>
    <cellStyle name="60% - Accent6 2" xfId="25" xr:uid="{00000000-0005-0000-0000-000031000000}"/>
    <cellStyle name="60% - Accent6 3" xfId="87" xr:uid="{00000000-0005-0000-0000-000032000000}"/>
    <cellStyle name="60% - Accent6 4" xfId="190" xr:uid="{00000000-0005-0000-0000-000033000000}"/>
    <cellStyle name="Accent1 2" xfId="26" xr:uid="{00000000-0005-0000-0000-000034000000}"/>
    <cellStyle name="Accent1 3" xfId="88" xr:uid="{00000000-0005-0000-0000-000035000000}"/>
    <cellStyle name="Accent1 4" xfId="167" xr:uid="{00000000-0005-0000-0000-000036000000}"/>
    <cellStyle name="Accent2 2" xfId="27" xr:uid="{00000000-0005-0000-0000-000037000000}"/>
    <cellStyle name="Accent2 3" xfId="89" xr:uid="{00000000-0005-0000-0000-000038000000}"/>
    <cellStyle name="Accent2 4" xfId="171" xr:uid="{00000000-0005-0000-0000-000039000000}"/>
    <cellStyle name="Accent3 2" xfId="28" xr:uid="{00000000-0005-0000-0000-00003A000000}"/>
    <cellStyle name="Accent3 3" xfId="90" xr:uid="{00000000-0005-0000-0000-00003B000000}"/>
    <cellStyle name="Accent3 4" xfId="175" xr:uid="{00000000-0005-0000-0000-00003C000000}"/>
    <cellStyle name="Accent4 2" xfId="29" xr:uid="{00000000-0005-0000-0000-00003D000000}"/>
    <cellStyle name="Accent4 3" xfId="91" xr:uid="{00000000-0005-0000-0000-00003E000000}"/>
    <cellStyle name="Accent4 4" xfId="179" xr:uid="{00000000-0005-0000-0000-00003F000000}"/>
    <cellStyle name="Accent5 2" xfId="30" xr:uid="{00000000-0005-0000-0000-000040000000}"/>
    <cellStyle name="Accent5 3" xfId="183" xr:uid="{00000000-0005-0000-0000-000041000000}"/>
    <cellStyle name="Accent6 2" xfId="31" xr:uid="{00000000-0005-0000-0000-000042000000}"/>
    <cellStyle name="Accent6 3" xfId="93" xr:uid="{00000000-0005-0000-0000-000043000000}"/>
    <cellStyle name="Accent6 4" xfId="187" xr:uid="{00000000-0005-0000-0000-000044000000}"/>
    <cellStyle name="Bad 2" xfId="32" xr:uid="{00000000-0005-0000-0000-000045000000}"/>
    <cellStyle name="Bad 3" xfId="94" xr:uid="{00000000-0005-0000-0000-000046000000}"/>
    <cellStyle name="Bad 4" xfId="157" xr:uid="{00000000-0005-0000-0000-000047000000}"/>
    <cellStyle name="Calculation 2" xfId="33" xr:uid="{00000000-0005-0000-0000-000048000000}"/>
    <cellStyle name="Calculation 3" xfId="95" xr:uid="{00000000-0005-0000-0000-000049000000}"/>
    <cellStyle name="Calculation 4" xfId="161" xr:uid="{00000000-0005-0000-0000-00004A000000}"/>
    <cellStyle name="Check Cell 2" xfId="34" xr:uid="{00000000-0005-0000-0000-00004B000000}"/>
    <cellStyle name="Check Cell 3" xfId="163" xr:uid="{00000000-0005-0000-0000-00004C000000}"/>
    <cellStyle name="Comma" xfId="65" builtinId="3"/>
    <cellStyle name="Comma 2" xfId="5" xr:uid="{00000000-0005-0000-0000-00004E000000}"/>
    <cellStyle name="Comma 2 2" xfId="35" xr:uid="{00000000-0005-0000-0000-00004F000000}"/>
    <cellStyle name="Comma 2 2 2" xfId="143" xr:uid="{00000000-0005-0000-0000-000050000000}"/>
    <cellStyle name="Comma 2 3" xfId="70" xr:uid="{00000000-0005-0000-0000-000051000000}"/>
    <cellStyle name="Comma 2 4" xfId="96" xr:uid="{00000000-0005-0000-0000-000052000000}"/>
    <cellStyle name="Comma 2 5" xfId="141" xr:uid="{00000000-0005-0000-0000-000053000000}"/>
    <cellStyle name="Comma 2 6" xfId="195" xr:uid="{00000000-0005-0000-0000-000054000000}"/>
    <cellStyle name="Comma 3" xfId="140" xr:uid="{00000000-0005-0000-0000-000055000000}"/>
    <cellStyle name="Comma 3 2" xfId="199" xr:uid="{00000000-0005-0000-0000-000056000000}"/>
    <cellStyle name="Comma 4" xfId="150" xr:uid="{00000000-0005-0000-0000-000057000000}"/>
    <cellStyle name="Comma 5" xfId="193" xr:uid="{00000000-0005-0000-0000-000058000000}"/>
    <cellStyle name="Comma 6" xfId="198" xr:uid="{00000000-0005-0000-0000-000059000000}"/>
    <cellStyle name="Data_Total" xfId="36" xr:uid="{00000000-0005-0000-0000-00005A000000}"/>
    <cellStyle name="Explanatory Text 2" xfId="37" xr:uid="{00000000-0005-0000-0000-00005B000000}"/>
    <cellStyle name="Explanatory Text 3" xfId="165" xr:uid="{00000000-0005-0000-0000-00005C000000}"/>
    <cellStyle name="Good 2" xfId="38" xr:uid="{00000000-0005-0000-0000-00005D000000}"/>
    <cellStyle name="Good 3" xfId="97" xr:uid="{00000000-0005-0000-0000-00005E000000}"/>
    <cellStyle name="Good 4" xfId="156" xr:uid="{00000000-0005-0000-0000-00005F000000}"/>
    <cellStyle name="Heading 1 2" xfId="39" xr:uid="{00000000-0005-0000-0000-000060000000}"/>
    <cellStyle name="Heading 1 3" xfId="98" xr:uid="{00000000-0005-0000-0000-000061000000}"/>
    <cellStyle name="Heading 1 4" xfId="152" xr:uid="{00000000-0005-0000-0000-000062000000}"/>
    <cellStyle name="Heading 2 2" xfId="40" xr:uid="{00000000-0005-0000-0000-000063000000}"/>
    <cellStyle name="Heading 2 3" xfId="99" xr:uid="{00000000-0005-0000-0000-000064000000}"/>
    <cellStyle name="Heading 2 4" xfId="153" xr:uid="{00000000-0005-0000-0000-000065000000}"/>
    <cellStyle name="Heading 3 2" xfId="41" xr:uid="{00000000-0005-0000-0000-000066000000}"/>
    <cellStyle name="Heading 3 3" xfId="100" xr:uid="{00000000-0005-0000-0000-000067000000}"/>
    <cellStyle name="Heading 3 4" xfId="154" xr:uid="{00000000-0005-0000-0000-000068000000}"/>
    <cellStyle name="Heading 4 2" xfId="42" xr:uid="{00000000-0005-0000-0000-000069000000}"/>
    <cellStyle name="Heading 4 3" xfId="101" xr:uid="{00000000-0005-0000-0000-00006A000000}"/>
    <cellStyle name="Heading 4 4" xfId="155" xr:uid="{00000000-0005-0000-0000-00006B000000}"/>
    <cellStyle name="Headings" xfId="43" xr:uid="{00000000-0005-0000-0000-00006C000000}"/>
    <cellStyle name="Headings 2" xfId="144" xr:uid="{00000000-0005-0000-0000-00006D000000}"/>
    <cellStyle name="Hyperlink" xfId="4" builtinId="8"/>
    <cellStyle name="Hyperlink 2" xfId="44" xr:uid="{00000000-0005-0000-0000-00006F000000}"/>
    <cellStyle name="Hyperlink 3" xfId="45" xr:uid="{00000000-0005-0000-0000-000070000000}"/>
    <cellStyle name="Hyperlink 4" xfId="117" xr:uid="{00000000-0005-0000-0000-000071000000}"/>
    <cellStyle name="Hyperlink 5" xfId="196" xr:uid="{00000000-0005-0000-0000-000072000000}"/>
    <cellStyle name="Input 2" xfId="46" xr:uid="{00000000-0005-0000-0000-000073000000}"/>
    <cellStyle name="Input 3" xfId="102" xr:uid="{00000000-0005-0000-0000-000074000000}"/>
    <cellStyle name="Input 4" xfId="159" xr:uid="{00000000-0005-0000-0000-000075000000}"/>
    <cellStyle name="Linked Cell 2" xfId="47" xr:uid="{00000000-0005-0000-0000-000076000000}"/>
    <cellStyle name="Linked Cell 3" xfId="103" xr:uid="{00000000-0005-0000-0000-000077000000}"/>
    <cellStyle name="Linked Cell 4" xfId="162" xr:uid="{00000000-0005-0000-0000-000078000000}"/>
    <cellStyle name="Neutral 2" xfId="48" xr:uid="{00000000-0005-0000-0000-000079000000}"/>
    <cellStyle name="Neutral 3" xfId="104" xr:uid="{00000000-0005-0000-0000-00007A000000}"/>
    <cellStyle name="Neutral 4" xfId="158" xr:uid="{00000000-0005-0000-0000-00007B000000}"/>
    <cellStyle name="Normal" xfId="0" builtinId="0"/>
    <cellStyle name="Normal 17" xfId="69" xr:uid="{00000000-0005-0000-0000-00007D000000}"/>
    <cellStyle name="Normal 2" xfId="49" xr:uid="{00000000-0005-0000-0000-00007E000000}"/>
    <cellStyle name="Normal 2 2" xfId="50" xr:uid="{00000000-0005-0000-0000-00007F000000}"/>
    <cellStyle name="Normal 2 2 2" xfId="115" xr:uid="{00000000-0005-0000-0000-000080000000}"/>
    <cellStyle name="Normal 2 3" xfId="113" xr:uid="{00000000-0005-0000-0000-000081000000}"/>
    <cellStyle name="Normal 2 4" xfId="145" xr:uid="{00000000-0005-0000-0000-000082000000}"/>
    <cellStyle name="Normal 3" xfId="6" xr:uid="{00000000-0005-0000-0000-000083000000}"/>
    <cellStyle name="Normal 3 2" xfId="114" xr:uid="{00000000-0005-0000-0000-000084000000}"/>
    <cellStyle name="Normal 3 3" xfId="142" xr:uid="{00000000-0005-0000-0000-000085000000}"/>
    <cellStyle name="Normal 4" xfId="51" xr:uid="{00000000-0005-0000-0000-000086000000}"/>
    <cellStyle name="Normal 4 2" xfId="146" xr:uid="{00000000-0005-0000-0000-000087000000}"/>
    <cellStyle name="Normal 4 3" xfId="191" xr:uid="{00000000-0005-0000-0000-000088000000}"/>
    <cellStyle name="Normal 4 4" xfId="200" xr:uid="{00000000-0005-0000-0000-000089000000}"/>
    <cellStyle name="Normal 5" xfId="71" xr:uid="{00000000-0005-0000-0000-00008A000000}"/>
    <cellStyle name="Normal 6" xfId="135" xr:uid="{00000000-0005-0000-0000-00008B000000}"/>
    <cellStyle name="Normal 7" xfId="139" xr:uid="{00000000-0005-0000-0000-00008C000000}"/>
    <cellStyle name="Normal 8" xfId="194" xr:uid="{00000000-0005-0000-0000-00008D000000}"/>
    <cellStyle name="Normal_11a - Fires by motive - LA" xfId="123" xr:uid="{00000000-0005-0000-0000-00008E000000}"/>
    <cellStyle name="Normal_13a - Secondary accidental - LA" xfId="124" xr:uid="{00000000-0005-0000-0000-00008F000000}"/>
    <cellStyle name="Normal_14b 14c 14d" xfId="130" xr:uid="{00000000-0005-0000-0000-000090000000}"/>
    <cellStyle name="Normal_2 - Casualties by fire type" xfId="92" xr:uid="{00000000-0005-0000-0000-000091000000}"/>
    <cellStyle name="Normal_20a" xfId="131" xr:uid="{00000000-0005-0000-0000-000092000000}"/>
    <cellStyle name="Normal_24" xfId="138" xr:uid="{00000000-0005-0000-0000-000093000000}"/>
    <cellStyle name="Normal_25_1" xfId="136" xr:uid="{00000000-0005-0000-0000-000094000000}"/>
    <cellStyle name="Normal_26 26a" xfId="133" xr:uid="{00000000-0005-0000-0000-000095000000}"/>
    <cellStyle name="Normal_27" xfId="134" xr:uid="{00000000-0005-0000-0000-000096000000}"/>
    <cellStyle name="Normal_27_1" xfId="137" xr:uid="{00000000-0005-0000-0000-000097000000}"/>
    <cellStyle name="Normal_3 - Casulties by ADF" xfId="116" xr:uid="{00000000-0005-0000-0000-000098000000}"/>
    <cellStyle name="Normal_4 - False alarms_1" xfId="118" xr:uid="{00000000-0005-0000-0000-000099000000}"/>
    <cellStyle name="Normal_4c 4d 4e" xfId="125" xr:uid="{00000000-0005-0000-0000-00009A000000}"/>
    <cellStyle name="Normal_5 - Special service false alarm" xfId="119" xr:uid="{00000000-0005-0000-0000-00009B000000}"/>
    <cellStyle name="Normal_8 - Primary fires by building" xfId="120" xr:uid="{00000000-0005-0000-0000-00009C000000}"/>
    <cellStyle name="Normal_9a - Primary outdoor by LA" xfId="121" xr:uid="{00000000-0005-0000-0000-00009D000000}"/>
    <cellStyle name="Normal_9b - Secondary outdoor by LA" xfId="122" xr:uid="{00000000-0005-0000-0000-00009E000000}"/>
    <cellStyle name="Normal_Age" xfId="129" xr:uid="{00000000-0005-0000-0000-00009F000000}"/>
    <cellStyle name="Normal_Casualties Timeseries" xfId="201" xr:uid="{00000000-0005-0000-0000-0000A0000000}"/>
    <cellStyle name="Normal_Key information and summary tables" xfId="68" xr:uid="{00000000-0005-0000-0000-0000A1000000}"/>
    <cellStyle name="Normal_new Table 13" xfId="7" xr:uid="{00000000-0005-0000-0000-0000A2000000}"/>
    <cellStyle name="Normal_Sheet1" xfId="128" xr:uid="{00000000-0005-0000-0000-0000A3000000}"/>
    <cellStyle name="Normal_Sheet2" xfId="67" xr:uid="{00000000-0005-0000-0000-0000A4000000}"/>
    <cellStyle name="Normal_Sheet4" xfId="66" xr:uid="{00000000-0005-0000-0000-0000A5000000}"/>
    <cellStyle name="Normal_source of ignition" xfId="132" xr:uid="{00000000-0005-0000-0000-0000A6000000}"/>
    <cellStyle name="Normal_Table 16" xfId="3" xr:uid="{00000000-0005-0000-0000-0000A7000000}"/>
    <cellStyle name="Normal_Table 5 and 5a" xfId="2" xr:uid="{00000000-0005-0000-0000-0000A8000000}"/>
    <cellStyle name="Normal_table 6b and 6c" xfId="126" xr:uid="{00000000-0005-0000-0000-0000A9000000}"/>
    <cellStyle name="Normal_Table 9" xfId="127" xr:uid="{00000000-0005-0000-0000-0000AA000000}"/>
    <cellStyle name="Normal_TABLE4" xfId="105" xr:uid="{00000000-0005-0000-0000-0000AB000000}"/>
    <cellStyle name="Note 2" xfId="52" xr:uid="{00000000-0005-0000-0000-0000AC000000}"/>
    <cellStyle name="Note 2 2" xfId="192" xr:uid="{00000000-0005-0000-0000-0000AD000000}"/>
    <cellStyle name="Note 3" xfId="53" xr:uid="{00000000-0005-0000-0000-0000AE000000}"/>
    <cellStyle name="Note 4" xfId="106" xr:uid="{00000000-0005-0000-0000-0000AF000000}"/>
    <cellStyle name="Output 2" xfId="54" xr:uid="{00000000-0005-0000-0000-0000B0000000}"/>
    <cellStyle name="Output 3" xfId="107" xr:uid="{00000000-0005-0000-0000-0000B1000000}"/>
    <cellStyle name="Output 4" xfId="160" xr:uid="{00000000-0005-0000-0000-0000B2000000}"/>
    <cellStyle name="Per cent" xfId="1" builtinId="5"/>
    <cellStyle name="Percent 2" xfId="55" xr:uid="{00000000-0005-0000-0000-0000B4000000}"/>
    <cellStyle name="Percent 2 2" xfId="56" xr:uid="{00000000-0005-0000-0000-0000B5000000}"/>
    <cellStyle name="Percent 2 3" xfId="147" xr:uid="{00000000-0005-0000-0000-0000B6000000}"/>
    <cellStyle name="Percent 3" xfId="57" xr:uid="{00000000-0005-0000-0000-0000B7000000}"/>
    <cellStyle name="Percent 4" xfId="108" xr:uid="{00000000-0005-0000-0000-0000B8000000}"/>
    <cellStyle name="Percent 5" xfId="197" xr:uid="{00000000-0005-0000-0000-0000B9000000}"/>
    <cellStyle name="Row_CategoryHeadings" xfId="58" xr:uid="{00000000-0005-0000-0000-0000BA000000}"/>
    <cellStyle name="Source" xfId="59" xr:uid="{00000000-0005-0000-0000-0000BB000000}"/>
    <cellStyle name="Source 2" xfId="148" xr:uid="{00000000-0005-0000-0000-0000BC000000}"/>
    <cellStyle name="Table_Name" xfId="60" xr:uid="{00000000-0005-0000-0000-0000BD000000}"/>
    <cellStyle name="Title 2" xfId="61" xr:uid="{00000000-0005-0000-0000-0000BE000000}"/>
    <cellStyle name="Title 3" xfId="109" xr:uid="{00000000-0005-0000-0000-0000BF000000}"/>
    <cellStyle name="Title 4" xfId="151" xr:uid="{00000000-0005-0000-0000-0000C0000000}"/>
    <cellStyle name="Total 2" xfId="62" xr:uid="{00000000-0005-0000-0000-0000C1000000}"/>
    <cellStyle name="Total 3" xfId="110" xr:uid="{00000000-0005-0000-0000-0000C2000000}"/>
    <cellStyle name="Total 4" xfId="166" xr:uid="{00000000-0005-0000-0000-0000C3000000}"/>
    <cellStyle name="Warning Text 2" xfId="63" xr:uid="{00000000-0005-0000-0000-0000C4000000}"/>
    <cellStyle name="Warning Text 3" xfId="164" xr:uid="{00000000-0005-0000-0000-0000C5000000}"/>
    <cellStyle name="Warnings" xfId="64" xr:uid="{00000000-0005-0000-0000-0000C6000000}"/>
    <cellStyle name="Warnings 2" xfId="149" xr:uid="{00000000-0005-0000-0000-0000C7000000}"/>
    <cellStyle name="whole number" xfId="111" xr:uid="{00000000-0005-0000-0000-0000C8000000}"/>
    <cellStyle name="whole number 2" xfId="112" xr:uid="{00000000-0005-0000-0000-0000C9000000}"/>
  </cellStyles>
  <dxfs count="9">
    <dxf>
      <numFmt numFmtId="167" formatCode="0.0"/>
    </dxf>
    <dxf>
      <font>
        <b/>
        <color theme="1"/>
      </font>
      <border>
        <bottom style="thin">
          <color theme="4"/>
        </bottom>
        <vertical/>
        <horizontal/>
      </border>
    </dxf>
    <dxf>
      <font>
        <b val="0"/>
        <i val="0"/>
        <sz val="8"/>
        <color theme="1"/>
        <name val="Arial"/>
        <scheme val="none"/>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b val="0"/>
        <i val="0"/>
        <sz val="10"/>
        <color theme="1"/>
        <name val="Arial"/>
        <scheme val="none"/>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b val="0"/>
        <i val="0"/>
        <strike val="0"/>
        <sz val="11"/>
        <color theme="1"/>
        <name val="Arial"/>
        <scheme val="none"/>
      </font>
      <border>
        <left style="thin">
          <color theme="4"/>
        </left>
        <right style="thin">
          <color theme="4"/>
        </right>
        <top style="thin">
          <color theme="4"/>
        </top>
        <bottom style="thin">
          <color theme="4"/>
        </bottom>
        <vertical/>
        <horizontal/>
      </border>
    </dxf>
  </dxfs>
  <tableStyles count="4" defaultTableStyle="TableStyleMedium2" defaultPivotStyle="PivotStyleLight16">
    <tableStyle name="SlicerStyleLight1 2" pivot="0" table="0" count="10" xr9:uid="{00000000-0011-0000-FFFF-FFFF00000000}">
      <tableStyleElement type="wholeTable" dxfId="8"/>
      <tableStyleElement type="headerRow" dxfId="7"/>
    </tableStyle>
    <tableStyle name="SlicerStyleLight1 3" pivot="0" table="0" count="10" xr9:uid="{00000000-0011-0000-FFFF-FFFF01000000}">
      <tableStyleElement type="wholeTable" dxfId="6"/>
      <tableStyleElement type="headerRow" dxfId="5"/>
    </tableStyle>
    <tableStyle name="SlicerStyleLight1 4" pivot="0" table="0" count="10" xr9:uid="{00000000-0011-0000-FFFF-FFFF02000000}">
      <tableStyleElement type="wholeTable" dxfId="4"/>
      <tableStyleElement type="headerRow" dxfId="3"/>
    </tableStyle>
    <tableStyle name="SlicerStyleLight1 5" pivot="0" table="0" count="10" xr9:uid="{00000000-0011-0000-FFFF-FFFF03000000}">
      <tableStyleElement type="wholeTable" dxfId="2"/>
      <tableStyleElement type="headerRow" dxfId="1"/>
    </tableStyle>
  </tableStyles>
  <colors>
    <mruColors>
      <color rgb="FF4F81BD"/>
      <color rgb="FFFFAFF0"/>
      <color rgb="FFD9B3FF"/>
      <color rgb="FF8497B0"/>
      <color rgb="FFBF8F00"/>
      <color rgb="FF9BBB59"/>
      <color rgb="FFFCD5B4"/>
      <color rgb="FFB8CCE4"/>
      <color rgb="FFC00000"/>
      <color rgb="FFDA1010"/>
    </mruColors>
  </colors>
  <extLst>
    <ext xmlns:x14="http://schemas.microsoft.com/office/spreadsheetml/2009/9/main" uri="{46F421CA-312F-682f-3DD2-61675219B42D}">
      <x14:dxfs count="32">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StyleLight1 3">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4">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5">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pivotCacheDefinition" Target="pivotCache/pivotCacheDefinition40.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microsoft.com/office/2007/relationships/slicerCache" Target="slicerCaches/slicerCache10.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pivotCacheDefinition" Target="pivotCache/pivotCacheDefinition9.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microsoft.com/office/2007/relationships/slicerCache" Target="slicerCaches/slicerCache21.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pivotCacheDefinition" Target="pivotCache/pivotCacheDefinition20.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pivotCacheDefinition" Target="pivotCache/pivotCacheDefinition31.xml"/><Relationship Id="rId304" Type="http://schemas.openxmlformats.org/officeDocument/2006/relationships/pivotCacheDefinition" Target="pivotCache/pivotCacheDefinition45.xml"/><Relationship Id="rId346" Type="http://schemas.microsoft.com/office/2007/relationships/slicerCache" Target="slicerCaches/slicerCache32.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microsoft.com/office/2007/relationships/slicerCache" Target="slicerCaches/slicerCache1.xml"/><Relationship Id="rId357" Type="http://schemas.openxmlformats.org/officeDocument/2006/relationships/customXml" Target="../customXml/item3.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externalLink" Target="externalLinks/externalLink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pivotCacheDefinition" Target="pivotCache/pivotCacheDefinition11.xml"/><Relationship Id="rId326" Type="http://schemas.microsoft.com/office/2007/relationships/slicerCache" Target="slicerCaches/slicerCache12.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pivotCacheDefinition" Target="pivotCache/pivotCacheDefinition22.xml"/><Relationship Id="rId337" Type="http://schemas.microsoft.com/office/2007/relationships/slicerCache" Target="slicerCaches/slicerCache23.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pivotCacheDefinition" Target="pivotCache/pivotCacheDefinition33.xml"/><Relationship Id="rId306" Type="http://schemas.openxmlformats.org/officeDocument/2006/relationships/pivotCacheDefinition" Target="pivotCache/pivotCacheDefinition47.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microsoft.com/office/2007/relationships/slicerCache" Target="slicerCaches/slicerCache34.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pivotCacheDefinition" Target="pivotCache/pivotCacheDefinition2.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microsoft.com/office/2007/relationships/slicerCache" Target="slicerCaches/slicerCache3.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pivotCacheDefinition" Target="pivotCache/pivotCacheDefinition13.xml"/><Relationship Id="rId293" Type="http://schemas.openxmlformats.org/officeDocument/2006/relationships/pivotCacheDefinition" Target="pivotCache/pivotCacheDefinition34.xml"/><Relationship Id="rId307" Type="http://schemas.openxmlformats.org/officeDocument/2006/relationships/pivotCacheDefinition" Target="pivotCache/pivotCacheDefinition48.xml"/><Relationship Id="rId328" Type="http://schemas.microsoft.com/office/2007/relationships/slicerCache" Target="slicerCaches/slicerCache14.xml"/><Relationship Id="rId349" Type="http://schemas.microsoft.com/office/2007/relationships/slicerCache" Target="slicerCaches/slicerCache35.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pivotCacheDefinition" Target="pivotCache/pivotCacheDefinition3.xml"/><Relationship Id="rId283" Type="http://schemas.openxmlformats.org/officeDocument/2006/relationships/pivotCacheDefinition" Target="pivotCache/pivotCacheDefinition24.xml"/><Relationship Id="rId318" Type="http://schemas.microsoft.com/office/2007/relationships/slicerCache" Target="slicerCaches/slicerCache4.xml"/><Relationship Id="rId339" Type="http://schemas.microsoft.com/office/2007/relationships/slicerCache" Target="slicerCaches/slicerCache25.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microsoft.com/office/2007/relationships/slicerCache" Target="slicerCaches/slicerCache36.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pivotCacheDefinition" Target="pivotCache/pivotCacheDefinition14.xml"/><Relationship Id="rId294" Type="http://schemas.openxmlformats.org/officeDocument/2006/relationships/pivotCacheDefinition" Target="pivotCache/pivotCacheDefinition35.xml"/><Relationship Id="rId308" Type="http://schemas.openxmlformats.org/officeDocument/2006/relationships/pivotCacheDefinition" Target="pivotCache/pivotCacheDefinition49.xml"/><Relationship Id="rId329" Type="http://schemas.microsoft.com/office/2007/relationships/slicerCache" Target="slicerCaches/slicerCache15.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microsoft.com/office/2007/relationships/slicerCache" Target="slicerCaches/slicerCache26.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pivotCacheDefinition" Target="pivotCache/pivotCacheDefinition4.xml"/><Relationship Id="rId284" Type="http://schemas.openxmlformats.org/officeDocument/2006/relationships/pivotCacheDefinition" Target="pivotCache/pivotCacheDefinition25.xml"/><Relationship Id="rId319" Type="http://schemas.microsoft.com/office/2007/relationships/slicerCache" Target="slicerCaches/slicerCache5.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microsoft.com/office/2007/relationships/slicerCache" Target="slicerCaches/slicerCache16.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theme" Target="theme/theme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pivotCacheDefinition" Target="pivotCache/pivotCacheDefinition15.xml"/><Relationship Id="rId295" Type="http://schemas.openxmlformats.org/officeDocument/2006/relationships/pivotCacheDefinition" Target="pivotCache/pivotCacheDefinition36.xml"/><Relationship Id="rId309" Type="http://schemas.openxmlformats.org/officeDocument/2006/relationships/pivotCacheDefinition" Target="pivotCache/pivotCacheDefinition5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microsoft.com/office/2007/relationships/slicerCache" Target="slicerCaches/slicerCache6.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microsoft.com/office/2007/relationships/slicerCache" Target="slicerCaches/slicerCache2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pivotCacheDefinition" Target="pivotCache/pivotCacheDefinition5.xml"/><Relationship Id="rId285" Type="http://schemas.openxmlformats.org/officeDocument/2006/relationships/pivotCacheDefinition" Target="pivotCache/pivotCacheDefinition2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pivotCacheDefinition" Target="pivotCache/pivotCacheDefinition51.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microsoft.com/office/2007/relationships/slicerCache" Target="slicerCaches/slicerCache17.xml"/><Relationship Id="rId352" Type="http://schemas.openxmlformats.org/officeDocument/2006/relationships/styles" Target="styles.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externalLink" Target="externalLinks/externalLink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pivotCacheDefinition" Target="pivotCache/pivotCacheDefinition16.xml"/><Relationship Id="rId296" Type="http://schemas.openxmlformats.org/officeDocument/2006/relationships/pivotCacheDefinition" Target="pivotCache/pivotCacheDefinition37.xml"/><Relationship Id="rId300" Type="http://schemas.openxmlformats.org/officeDocument/2006/relationships/pivotCacheDefinition" Target="pivotCache/pivotCacheDefinition4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microsoft.com/office/2007/relationships/slicerCache" Target="slicerCaches/slicerCache7.xml"/><Relationship Id="rId342" Type="http://schemas.microsoft.com/office/2007/relationships/slicerCache" Target="slicerCaches/slicerCache2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pivotCacheDefinition" Target="pivotCache/pivotCacheDefinition6.xml"/><Relationship Id="rId286" Type="http://schemas.openxmlformats.org/officeDocument/2006/relationships/pivotCacheDefinition" Target="pivotCache/pivotCacheDefinition27.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pivotCacheDefinition" Target="pivotCache/pivotCacheDefinition52.xml"/><Relationship Id="rId332" Type="http://schemas.microsoft.com/office/2007/relationships/slicerCache" Target="slicerCaches/slicerCache18.xml"/><Relationship Id="rId353" Type="http://schemas.openxmlformats.org/officeDocument/2006/relationships/sharedStrings" Target="sharedStrings.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2.xml"/><Relationship Id="rId276" Type="http://schemas.openxmlformats.org/officeDocument/2006/relationships/pivotCacheDefinition" Target="pivotCache/pivotCacheDefinition17.xml"/><Relationship Id="rId297" Type="http://schemas.openxmlformats.org/officeDocument/2006/relationships/pivotCacheDefinition" Target="pivotCache/pivotCacheDefinition38.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pivotCacheDefinition" Target="pivotCache/pivotCacheDefinition42.xml"/><Relationship Id="rId322" Type="http://schemas.microsoft.com/office/2007/relationships/slicerCache" Target="slicerCaches/slicerCache8.xml"/><Relationship Id="rId343" Type="http://schemas.microsoft.com/office/2007/relationships/slicerCache" Target="slicerCaches/slicerCache29.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pivotCacheDefinition" Target="pivotCache/pivotCacheDefinition7.xml"/><Relationship Id="rId287" Type="http://schemas.openxmlformats.org/officeDocument/2006/relationships/pivotCacheDefinition" Target="pivotCache/pivotCacheDefinition28.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pivotCacheDefinition" Target="pivotCache/pivotCacheDefinition53.xml"/><Relationship Id="rId333" Type="http://schemas.microsoft.com/office/2007/relationships/slicerCache" Target="slicerCaches/slicerCache19.xml"/><Relationship Id="rId354" Type="http://schemas.openxmlformats.org/officeDocument/2006/relationships/calcChain" Target="calcChain.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externalLink" Target="externalLinks/externalLink3.xml"/><Relationship Id="rId277" Type="http://schemas.openxmlformats.org/officeDocument/2006/relationships/pivotCacheDefinition" Target="pivotCache/pivotCacheDefinition18.xml"/><Relationship Id="rId298" Type="http://schemas.openxmlformats.org/officeDocument/2006/relationships/pivotCacheDefinition" Target="pivotCache/pivotCacheDefinition39.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pivotCacheDefinition" Target="pivotCache/pivotCacheDefinition43.xml"/><Relationship Id="rId323" Type="http://schemas.microsoft.com/office/2007/relationships/slicerCache" Target="slicerCaches/slicerCache9.xml"/><Relationship Id="rId344" Type="http://schemas.microsoft.com/office/2007/relationships/slicerCache" Target="slicerCaches/slicerCache3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pivotCacheDefinition" Target="pivotCache/pivotCacheDefinition8.xml"/><Relationship Id="rId288" Type="http://schemas.openxmlformats.org/officeDocument/2006/relationships/pivotCacheDefinition" Target="pivotCache/pivotCacheDefinition29.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pivotCacheDefinition" Target="pivotCache/pivotCacheDefinition5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microsoft.com/office/2007/relationships/slicerCache" Target="slicerCaches/slicerCache20.xml"/><Relationship Id="rId355" Type="http://schemas.openxmlformats.org/officeDocument/2006/relationships/customXml" Target="../customXml/item1.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externalLink" Target="externalLinks/externalLink4.xml"/><Relationship Id="rId278" Type="http://schemas.openxmlformats.org/officeDocument/2006/relationships/pivotCacheDefinition" Target="pivotCache/pivotCacheDefinition19.xml"/><Relationship Id="rId303" Type="http://schemas.openxmlformats.org/officeDocument/2006/relationships/pivotCacheDefinition" Target="pivotCache/pivotCacheDefinition44.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microsoft.com/office/2007/relationships/slicerCache" Target="slicerCaches/slicerCache31.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pivotCacheDefinition" Target="pivotCache/pivotCacheDefinition30.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pivotCacheDefinition" Target="pivotCache/pivotCacheDefinition55.xml"/><Relationship Id="rId356" Type="http://schemas.openxmlformats.org/officeDocument/2006/relationships/customXml" Target="../customXml/item2.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externalLink" Target="externalLinks/externalLink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microsoft.com/office/2007/relationships/slicerCache" Target="slicerCaches/slicerCache11.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pivotCacheDefinition" Target="pivotCache/pivotCacheDefinition10.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pivotCacheDefinition" Target="pivotCache/pivotCacheDefinition21.xml"/><Relationship Id="rId336" Type="http://schemas.microsoft.com/office/2007/relationships/slicerCache" Target="slicerCaches/slicerCache22.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pivotCacheDefinition" Target="pivotCache/pivotCacheDefinition32.xml"/><Relationship Id="rId305" Type="http://schemas.openxmlformats.org/officeDocument/2006/relationships/pivotCacheDefinition" Target="pivotCache/pivotCacheDefinition46.xml"/><Relationship Id="rId347" Type="http://schemas.microsoft.com/office/2007/relationships/slicerCache" Target="slicerCaches/slicerCache33.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pivotCacheDefinition" Target="pivotCache/pivotCacheDefinition1.xml"/><Relationship Id="rId316" Type="http://schemas.microsoft.com/office/2007/relationships/slicerCache" Target="slicerCaches/slicerCache2.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customXml" Target="../customXml/item4.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pivotCacheDefinition" Target="pivotCache/pivotCacheDefinition12.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microsoft.com/office/2007/relationships/slicerCache" Target="slicerCaches/slicerCache13.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pivotCacheDefinition" Target="pivotCache/pivotCacheDefinition23.xml"/><Relationship Id="rId338" Type="http://schemas.microsoft.com/office/2007/relationships/slicerCache" Target="slicerCaches/slicerCache24.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v>All Primary Fires</c:v>
          </c:tx>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Call'!$B$22:$Y$22</c:f>
              <c:numCache>
                <c:formatCode>General</c:formatCode>
                <c:ptCount val="24"/>
                <c:pt idx="0">
                  <c:v>391</c:v>
                </c:pt>
                <c:pt idx="1">
                  <c:v>390</c:v>
                </c:pt>
                <c:pt idx="2">
                  <c:v>286</c:v>
                </c:pt>
                <c:pt idx="3">
                  <c:v>225</c:v>
                </c:pt>
                <c:pt idx="4">
                  <c:v>195</c:v>
                </c:pt>
                <c:pt idx="5">
                  <c:v>150</c:v>
                </c:pt>
                <c:pt idx="6">
                  <c:v>154</c:v>
                </c:pt>
                <c:pt idx="7">
                  <c:v>183</c:v>
                </c:pt>
                <c:pt idx="8">
                  <c:v>257</c:v>
                </c:pt>
                <c:pt idx="9">
                  <c:v>297</c:v>
                </c:pt>
                <c:pt idx="10">
                  <c:v>347</c:v>
                </c:pt>
                <c:pt idx="11">
                  <c:v>398</c:v>
                </c:pt>
                <c:pt idx="12">
                  <c:v>414</c:v>
                </c:pt>
                <c:pt idx="13">
                  <c:v>454</c:v>
                </c:pt>
                <c:pt idx="14">
                  <c:v>502</c:v>
                </c:pt>
                <c:pt idx="15">
                  <c:v>514</c:v>
                </c:pt>
                <c:pt idx="16">
                  <c:v>602</c:v>
                </c:pt>
                <c:pt idx="17">
                  <c:v>653</c:v>
                </c:pt>
                <c:pt idx="18">
                  <c:v>699</c:v>
                </c:pt>
                <c:pt idx="19">
                  <c:v>600</c:v>
                </c:pt>
                <c:pt idx="20">
                  <c:v>636</c:v>
                </c:pt>
                <c:pt idx="21">
                  <c:v>532</c:v>
                </c:pt>
                <c:pt idx="22">
                  <c:v>521</c:v>
                </c:pt>
                <c:pt idx="23">
                  <c:v>452</c:v>
                </c:pt>
              </c:numCache>
            </c:numRef>
          </c:val>
          <c:extLst>
            <c:ext xmlns:c16="http://schemas.microsoft.com/office/drawing/2014/chart" uri="{C3380CC4-5D6E-409C-BE32-E72D297353CC}">
              <c16:uniqueId val="{00000000-7DC7-4D41-B475-445A6E204107}"/>
            </c:ext>
          </c:extLst>
        </c:ser>
        <c:dLbls>
          <c:showLegendKey val="0"/>
          <c:showVal val="0"/>
          <c:showCatName val="0"/>
          <c:showSerName val="0"/>
          <c:showPercent val="0"/>
          <c:showBubbleSize val="0"/>
        </c:dLbls>
        <c:axId val="361112184"/>
        <c:axId val="361109440"/>
      </c:radarChart>
      <c:catAx>
        <c:axId val="361112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61109440"/>
        <c:crosses val="autoZero"/>
        <c:auto val="1"/>
        <c:lblAlgn val="ctr"/>
        <c:lblOffset val="100"/>
        <c:noMultiLvlLbl val="0"/>
      </c:catAx>
      <c:valAx>
        <c:axId val="361109440"/>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61112184"/>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Dwelling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Call'!$B$39:$Y$39</c:f>
              <c:numCache>
                <c:formatCode>General</c:formatCode>
                <c:ptCount val="24"/>
                <c:pt idx="0">
                  <c:v>157</c:v>
                </c:pt>
                <c:pt idx="1">
                  <c:v>152</c:v>
                </c:pt>
                <c:pt idx="2">
                  <c:v>112</c:v>
                </c:pt>
                <c:pt idx="3">
                  <c:v>107</c:v>
                </c:pt>
                <c:pt idx="4">
                  <c:v>91</c:v>
                </c:pt>
                <c:pt idx="5">
                  <c:v>52</c:v>
                </c:pt>
                <c:pt idx="6">
                  <c:v>74</c:v>
                </c:pt>
                <c:pt idx="7">
                  <c:v>88</c:v>
                </c:pt>
                <c:pt idx="8">
                  <c:v>108</c:v>
                </c:pt>
                <c:pt idx="9">
                  <c:v>140</c:v>
                </c:pt>
                <c:pt idx="10">
                  <c:v>166</c:v>
                </c:pt>
                <c:pt idx="11">
                  <c:v>181</c:v>
                </c:pt>
                <c:pt idx="12">
                  <c:v>220</c:v>
                </c:pt>
                <c:pt idx="13">
                  <c:v>231</c:v>
                </c:pt>
                <c:pt idx="14">
                  <c:v>270</c:v>
                </c:pt>
                <c:pt idx="15">
                  <c:v>267</c:v>
                </c:pt>
                <c:pt idx="16">
                  <c:v>330</c:v>
                </c:pt>
                <c:pt idx="17">
                  <c:v>344</c:v>
                </c:pt>
                <c:pt idx="18">
                  <c:v>423</c:v>
                </c:pt>
                <c:pt idx="19">
                  <c:v>315</c:v>
                </c:pt>
                <c:pt idx="20">
                  <c:v>358</c:v>
                </c:pt>
                <c:pt idx="21">
                  <c:v>250</c:v>
                </c:pt>
                <c:pt idx="22">
                  <c:v>257</c:v>
                </c:pt>
                <c:pt idx="23">
                  <c:v>197</c:v>
                </c:pt>
              </c:numCache>
            </c:numRef>
          </c:val>
          <c:extLst>
            <c:ext xmlns:c16="http://schemas.microsoft.com/office/drawing/2014/chart" uri="{C3380CC4-5D6E-409C-BE32-E72D297353CC}">
              <c16:uniqueId val="{00000000-A0F9-441F-B109-F16802CBF554}"/>
            </c:ext>
          </c:extLst>
        </c:ser>
        <c:dLbls>
          <c:showLegendKey val="0"/>
          <c:showVal val="0"/>
          <c:showCatName val="0"/>
          <c:showSerName val="0"/>
          <c:showPercent val="0"/>
          <c:showBubbleSize val="0"/>
        </c:dLbls>
        <c:axId val="193218304"/>
        <c:axId val="193217912"/>
      </c:radarChart>
      <c:catAx>
        <c:axId val="193218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3217912"/>
        <c:crosses val="autoZero"/>
        <c:auto val="1"/>
        <c:lblAlgn val="ctr"/>
        <c:lblOffset val="100"/>
        <c:noMultiLvlLbl val="0"/>
      </c:catAx>
      <c:valAx>
        <c:axId val="193217912"/>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9321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Other Building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Call'!$B$56:$Y$56</c:f>
              <c:numCache>
                <c:formatCode>General</c:formatCode>
                <c:ptCount val="24"/>
                <c:pt idx="0">
                  <c:v>60</c:v>
                </c:pt>
                <c:pt idx="1">
                  <c:v>72</c:v>
                </c:pt>
                <c:pt idx="2">
                  <c:v>39</c:v>
                </c:pt>
                <c:pt idx="3">
                  <c:v>33</c:v>
                </c:pt>
                <c:pt idx="4">
                  <c:v>38</c:v>
                </c:pt>
                <c:pt idx="5">
                  <c:v>36</c:v>
                </c:pt>
                <c:pt idx="6">
                  <c:v>44</c:v>
                </c:pt>
                <c:pt idx="7">
                  <c:v>46</c:v>
                </c:pt>
                <c:pt idx="8">
                  <c:v>79</c:v>
                </c:pt>
                <c:pt idx="9">
                  <c:v>84</c:v>
                </c:pt>
                <c:pt idx="10">
                  <c:v>85</c:v>
                </c:pt>
                <c:pt idx="11">
                  <c:v>127</c:v>
                </c:pt>
                <c:pt idx="12">
                  <c:v>103</c:v>
                </c:pt>
                <c:pt idx="13">
                  <c:v>105</c:v>
                </c:pt>
                <c:pt idx="14">
                  <c:v>123</c:v>
                </c:pt>
                <c:pt idx="15">
                  <c:v>97</c:v>
                </c:pt>
                <c:pt idx="16">
                  <c:v>106</c:v>
                </c:pt>
                <c:pt idx="17">
                  <c:v>134</c:v>
                </c:pt>
                <c:pt idx="18">
                  <c:v>122</c:v>
                </c:pt>
                <c:pt idx="19">
                  <c:v>109</c:v>
                </c:pt>
                <c:pt idx="20">
                  <c:v>101</c:v>
                </c:pt>
                <c:pt idx="21">
                  <c:v>95</c:v>
                </c:pt>
                <c:pt idx="22">
                  <c:v>74</c:v>
                </c:pt>
                <c:pt idx="23">
                  <c:v>68</c:v>
                </c:pt>
              </c:numCache>
            </c:numRef>
          </c:val>
          <c:extLst>
            <c:ext xmlns:c16="http://schemas.microsoft.com/office/drawing/2014/chart" uri="{C3380CC4-5D6E-409C-BE32-E72D297353CC}">
              <c16:uniqueId val="{00000000-49F4-41DC-ADF1-C1611EF1ADA8}"/>
            </c:ext>
          </c:extLst>
        </c:ser>
        <c:dLbls>
          <c:showLegendKey val="0"/>
          <c:showVal val="0"/>
          <c:showCatName val="0"/>
          <c:showSerName val="0"/>
          <c:showPercent val="0"/>
          <c:showBubbleSize val="0"/>
        </c:dLbls>
        <c:axId val="272020208"/>
        <c:axId val="272020600"/>
      </c:radarChart>
      <c:catAx>
        <c:axId val="272020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2020600"/>
        <c:crosses val="autoZero"/>
        <c:auto val="1"/>
        <c:lblAlgn val="ctr"/>
        <c:lblOffset val="100"/>
        <c:noMultiLvlLbl val="0"/>
      </c:catAx>
      <c:valAx>
        <c:axId val="272020600"/>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72020208"/>
        <c:crosses val="autoZero"/>
        <c:crossBetween val="between"/>
        <c:majorUnit val="4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Primary</a:t>
            </a:r>
            <a:r>
              <a:rPr lang="en-GB" baseline="0"/>
              <a:t> </a:t>
            </a:r>
            <a:r>
              <a:rPr lang="en-GB"/>
              <a:t>Outdoor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Call'!$B$73:$Y$73</c:f>
              <c:numCache>
                <c:formatCode>General</c:formatCode>
                <c:ptCount val="24"/>
                <c:pt idx="0">
                  <c:v>174</c:v>
                </c:pt>
                <c:pt idx="1">
                  <c:v>166</c:v>
                </c:pt>
                <c:pt idx="2">
                  <c:v>135</c:v>
                </c:pt>
                <c:pt idx="3">
                  <c:v>85</c:v>
                </c:pt>
                <c:pt idx="4">
                  <c:v>66</c:v>
                </c:pt>
                <c:pt idx="5">
                  <c:v>62</c:v>
                </c:pt>
                <c:pt idx="6">
                  <c:v>36</c:v>
                </c:pt>
                <c:pt idx="7">
                  <c:v>49</c:v>
                </c:pt>
                <c:pt idx="8">
                  <c:v>70</c:v>
                </c:pt>
                <c:pt idx="9">
                  <c:v>73</c:v>
                </c:pt>
                <c:pt idx="10">
                  <c:v>96</c:v>
                </c:pt>
                <c:pt idx="11">
                  <c:v>90</c:v>
                </c:pt>
                <c:pt idx="12">
                  <c:v>91</c:v>
                </c:pt>
                <c:pt idx="13">
                  <c:v>118</c:v>
                </c:pt>
                <c:pt idx="14">
                  <c:v>109</c:v>
                </c:pt>
                <c:pt idx="15">
                  <c:v>150</c:v>
                </c:pt>
                <c:pt idx="16">
                  <c:v>166</c:v>
                </c:pt>
                <c:pt idx="17">
                  <c:v>175</c:v>
                </c:pt>
                <c:pt idx="18">
                  <c:v>154</c:v>
                </c:pt>
                <c:pt idx="19">
                  <c:v>176</c:v>
                </c:pt>
                <c:pt idx="20">
                  <c:v>177</c:v>
                </c:pt>
                <c:pt idx="21">
                  <c:v>187</c:v>
                </c:pt>
                <c:pt idx="22">
                  <c:v>190</c:v>
                </c:pt>
                <c:pt idx="23">
                  <c:v>187</c:v>
                </c:pt>
              </c:numCache>
            </c:numRef>
          </c:val>
          <c:extLst>
            <c:ext xmlns:c16="http://schemas.microsoft.com/office/drawing/2014/chart" uri="{C3380CC4-5D6E-409C-BE32-E72D297353CC}">
              <c16:uniqueId val="{00000000-FD26-4752-939E-0F22E6B4D92D}"/>
            </c:ext>
          </c:extLst>
        </c:ser>
        <c:dLbls>
          <c:showLegendKey val="0"/>
          <c:showVal val="0"/>
          <c:showCatName val="0"/>
          <c:showSerName val="0"/>
          <c:showPercent val="0"/>
          <c:showBubbleSize val="0"/>
        </c:dLbls>
        <c:axId val="272021776"/>
        <c:axId val="272022168"/>
      </c:radarChart>
      <c:catAx>
        <c:axId val="2720217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a:outerShdw blurRad="50800" dist="2540000" dir="5400000" sx="1000" sy="1000" algn="ctr" rotWithShape="0">
              <a:srgbClr val="000000">
                <a:alpha val="43137"/>
              </a:srgbClr>
            </a:outerShdw>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2022168"/>
        <c:crosses val="autoZero"/>
        <c:auto val="1"/>
        <c:lblAlgn val="ctr"/>
        <c:lblOffset val="100"/>
        <c:noMultiLvlLbl val="0"/>
      </c:catAx>
      <c:valAx>
        <c:axId val="272022168"/>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72021776"/>
        <c:crosses val="autoZero"/>
        <c:crossBetween val="between"/>
        <c:majorUnit val="6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Rate of Fatal Casualties in Primary Dwelling Fires 11 Year Average</a:t>
            </a:r>
          </a:p>
        </c:rich>
      </c:tx>
      <c:overlay val="0"/>
      <c:spPr>
        <a:noFill/>
        <a:ln>
          <a:noFill/>
        </a:ln>
        <a:effectLst/>
      </c:sp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Injury'!$I$7:$AF$7</c:f>
              <c:numCache>
                <c:formatCode>General</c:formatCode>
                <c:ptCount val="24"/>
                <c:pt idx="0">
                  <c:v>7.0136581764488746</c:v>
                </c:pt>
                <c:pt idx="1">
                  <c:v>10.76158940397351</c:v>
                </c:pt>
                <c:pt idx="2">
                  <c:v>17.085427135678394</c:v>
                </c:pt>
                <c:pt idx="3">
                  <c:v>15.13317191283293</c:v>
                </c:pt>
                <c:pt idx="4">
                  <c:v>16.185784658691063</c:v>
                </c:pt>
                <c:pt idx="5">
                  <c:v>22.589052997393573</c:v>
                </c:pt>
                <c:pt idx="6">
                  <c:v>13.799448022079117</c:v>
                </c:pt>
                <c:pt idx="7">
                  <c:v>24.408848207475209</c:v>
                </c:pt>
                <c:pt idx="8">
                  <c:v>12.763241863433313</c:v>
                </c:pt>
                <c:pt idx="9">
                  <c:v>6.8192888455918164</c:v>
                </c:pt>
                <c:pt idx="10">
                  <c:v>7.0862859524801998</c:v>
                </c:pt>
                <c:pt idx="11">
                  <c:v>5.1194539249146755</c:v>
                </c:pt>
                <c:pt idx="12">
                  <c:v>5.9259259259259256</c:v>
                </c:pt>
                <c:pt idx="13">
                  <c:v>6.0439560439560438</c:v>
                </c:pt>
                <c:pt idx="14">
                  <c:v>4.2895442359249332</c:v>
                </c:pt>
                <c:pt idx="15">
                  <c:v>5.6958890539871216</c:v>
                </c:pt>
                <c:pt idx="16">
                  <c:v>6.5763252291749694</c:v>
                </c:pt>
                <c:pt idx="17">
                  <c:v>2.7836908465695105</c:v>
                </c:pt>
                <c:pt idx="18">
                  <c:v>5.2748000680619365</c:v>
                </c:pt>
                <c:pt idx="19">
                  <c:v>4.6520282843319682</c:v>
                </c:pt>
                <c:pt idx="20">
                  <c:v>4.1701417848206841</c:v>
                </c:pt>
                <c:pt idx="21">
                  <c:v>4.5205805377111581</c:v>
                </c:pt>
                <c:pt idx="22">
                  <c:v>5.9863945578231297</c:v>
                </c:pt>
                <c:pt idx="23">
                  <c:v>6.3593004769475359</c:v>
                </c:pt>
              </c:numCache>
            </c:numRef>
          </c:val>
          <c:extLst>
            <c:ext xmlns:c16="http://schemas.microsoft.com/office/drawing/2014/chart" uri="{C3380CC4-5D6E-409C-BE32-E72D297353CC}">
              <c16:uniqueId val="{00000005-A0DB-4FCB-AF99-DE66DB7985B3}"/>
            </c:ext>
          </c:extLst>
        </c:ser>
        <c:dLbls>
          <c:showLegendKey val="0"/>
          <c:showVal val="0"/>
          <c:showCatName val="0"/>
          <c:showSerName val="0"/>
          <c:showPercent val="0"/>
          <c:showBubbleSize val="0"/>
        </c:dLbls>
        <c:axId val="272023344"/>
        <c:axId val="275686000"/>
      </c:radarChart>
      <c:catAx>
        <c:axId val="272023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5686000"/>
        <c:crosses val="autoZero"/>
        <c:auto val="1"/>
        <c:lblAlgn val="ctr"/>
        <c:lblOffset val="100"/>
        <c:noMultiLvlLbl val="0"/>
      </c:catAx>
      <c:valAx>
        <c:axId val="275686000"/>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72023344"/>
        <c:crosses val="autoZero"/>
        <c:crossBetween val="between"/>
      </c:valAx>
    </c:plotArea>
    <c:plotVisOnly val="1"/>
    <c:dispBlanksAs val="gap"/>
    <c:showDLblsOverMax val="0"/>
  </c:chart>
  <c:spPr>
    <a:noFill/>
    <a:ln>
      <a:noFill/>
    </a:ln>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Rate of Non-fatal Casualties in Primary Dwelling Fires 11 Year Average</a:t>
            </a:r>
          </a:p>
        </c:rich>
      </c:tx>
      <c:overlay val="0"/>
      <c:spPr>
        <a:noFill/>
        <a:ln>
          <a:noFill/>
        </a:ln>
        <a:effectLst/>
      </c:sp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Injury'!$I$9:$AF$9</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4D82-479E-9AC6-DDA01FB99407}"/>
            </c:ext>
          </c:extLst>
        </c:ser>
        <c:dLbls>
          <c:showLegendKey val="0"/>
          <c:showVal val="0"/>
          <c:showCatName val="0"/>
          <c:showSerName val="0"/>
          <c:showPercent val="0"/>
          <c:showBubbleSize val="0"/>
        </c:dLbls>
        <c:axId val="275687568"/>
        <c:axId val="275687960"/>
      </c:radarChart>
      <c:catAx>
        <c:axId val="275687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5687960"/>
        <c:crosses val="autoZero"/>
        <c:auto val="1"/>
        <c:lblAlgn val="ctr"/>
        <c:lblOffset val="100"/>
        <c:noMultiLvlLbl val="0"/>
      </c:catAx>
      <c:valAx>
        <c:axId val="275687960"/>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75687568"/>
        <c:crosses val="autoZero"/>
        <c:crossBetween val="between"/>
        <c:majorUnit val="100"/>
      </c:valAx>
    </c:plotArea>
    <c:plotVisOnly val="1"/>
    <c:dispBlanksAs val="gap"/>
    <c:showDLblsOverMax val="0"/>
  </c:chart>
  <c:spPr>
    <a:noFill/>
    <a:ln>
      <a:noFill/>
    </a:ln>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Non-fatal Casualties in Primary Dwelling Fires 11 Year Average</a:t>
            </a:r>
          </a:p>
        </c:rich>
      </c:tx>
      <c:overlay val="0"/>
      <c:spPr>
        <a:noFill/>
        <a:ln>
          <a:noFill/>
        </a:ln>
        <a:effectLst/>
      </c:spPr>
      <c:txPr>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Injury'!$I$8:$AF$8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7920-49ED-B09C-D4E638F12213}"/>
            </c:ext>
          </c:extLst>
        </c:ser>
        <c:dLbls>
          <c:showLegendKey val="0"/>
          <c:showVal val="0"/>
          <c:showCatName val="0"/>
          <c:showSerName val="0"/>
          <c:showPercent val="0"/>
          <c:showBubbleSize val="0"/>
        </c:dLbls>
        <c:axId val="275689136"/>
        <c:axId val="275689528"/>
      </c:radarChart>
      <c:catAx>
        <c:axId val="275689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5689528"/>
        <c:crosses val="autoZero"/>
        <c:auto val="1"/>
        <c:lblAlgn val="ctr"/>
        <c:lblOffset val="100"/>
        <c:noMultiLvlLbl val="0"/>
      </c:catAx>
      <c:valAx>
        <c:axId val="275689528"/>
        <c:scaling>
          <c:orientation val="minMax"/>
          <c:max val="900"/>
        </c:scaling>
        <c:delete val="0"/>
        <c:axPos val="l"/>
        <c:majorGridlines>
          <c:spPr>
            <a:ln w="9525" cap="flat" cmpd="sng" algn="ctr">
              <a:solidFill>
                <a:schemeClr val="tx1">
                  <a:lumMod val="65000"/>
                  <a:lumOff val="35000"/>
                  <a:alpha val="14000"/>
                </a:schemeClr>
              </a:solidFill>
              <a:round/>
            </a:ln>
            <a:effectLst/>
          </c:spPr>
        </c:majorGridlines>
        <c:numFmt formatCode="#,##0"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75689136"/>
        <c:crosses val="autoZero"/>
        <c:crossBetween val="between"/>
        <c:majorUnit val="2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spc="0" baseline="0">
                <a:solidFill>
                  <a:sysClr val="windowText" lastClr="000000">
                    <a:lumMod val="75000"/>
                    <a:lumOff val="25000"/>
                  </a:sysClr>
                </a:solidFill>
                <a:latin typeface="+mn-lt"/>
                <a:ea typeface="+mn-ea"/>
                <a:cs typeface="+mn-cs"/>
              </a:rPr>
              <a:t>Fatal Casualties in Primary Dwelling Fires 11 Year Average</a:t>
            </a:r>
          </a:p>
        </c:rich>
      </c:tx>
      <c:overlay val="0"/>
      <c:spPr>
        <a:noFill/>
        <a:ln>
          <a:noFill/>
        </a:ln>
        <a:effectLst/>
      </c:spPr>
      <c:txPr>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Injury'!$I$6:$AF$6</c:f>
              <c:numCache>
                <c:formatCode>General</c:formatCode>
                <c:ptCount val="24"/>
                <c:pt idx="0">
                  <c:v>19</c:v>
                </c:pt>
                <c:pt idx="1">
                  <c:v>26</c:v>
                </c:pt>
                <c:pt idx="2">
                  <c:v>34</c:v>
                </c:pt>
                <c:pt idx="3">
                  <c:v>25</c:v>
                </c:pt>
                <c:pt idx="4">
                  <c:v>23</c:v>
                </c:pt>
                <c:pt idx="5">
                  <c:v>26</c:v>
                </c:pt>
                <c:pt idx="6">
                  <c:v>15</c:v>
                </c:pt>
                <c:pt idx="7">
                  <c:v>32</c:v>
                </c:pt>
                <c:pt idx="8">
                  <c:v>20</c:v>
                </c:pt>
                <c:pt idx="9">
                  <c:v>14</c:v>
                </c:pt>
                <c:pt idx="10">
                  <c:v>17</c:v>
                </c:pt>
                <c:pt idx="11">
                  <c:v>15</c:v>
                </c:pt>
                <c:pt idx="12">
                  <c:v>20</c:v>
                </c:pt>
                <c:pt idx="13">
                  <c:v>22</c:v>
                </c:pt>
                <c:pt idx="14">
                  <c:v>16</c:v>
                </c:pt>
                <c:pt idx="15">
                  <c:v>23</c:v>
                </c:pt>
                <c:pt idx="16">
                  <c:v>33</c:v>
                </c:pt>
                <c:pt idx="17">
                  <c:v>17</c:v>
                </c:pt>
                <c:pt idx="18">
                  <c:v>31</c:v>
                </c:pt>
                <c:pt idx="19">
                  <c:v>25</c:v>
                </c:pt>
                <c:pt idx="20">
                  <c:v>20</c:v>
                </c:pt>
                <c:pt idx="21">
                  <c:v>19</c:v>
                </c:pt>
                <c:pt idx="22">
                  <c:v>22</c:v>
                </c:pt>
                <c:pt idx="23">
                  <c:v>20</c:v>
                </c:pt>
              </c:numCache>
            </c:numRef>
          </c:val>
          <c:extLst>
            <c:ext xmlns:c16="http://schemas.microsoft.com/office/drawing/2014/chart" uri="{C3380CC4-5D6E-409C-BE32-E72D297353CC}">
              <c16:uniqueId val="{00000000-C8C3-4116-B0FC-ADE87E1F9004}"/>
            </c:ext>
          </c:extLst>
        </c:ser>
        <c:dLbls>
          <c:showLegendKey val="0"/>
          <c:showVal val="0"/>
          <c:showCatName val="0"/>
          <c:showSerName val="0"/>
          <c:showPercent val="0"/>
          <c:showBubbleSize val="0"/>
        </c:dLbls>
        <c:axId val="349518032"/>
        <c:axId val="349518424"/>
      </c:radarChart>
      <c:catAx>
        <c:axId val="349518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49518424"/>
        <c:crosses val="autoZero"/>
        <c:auto val="1"/>
        <c:lblAlgn val="ctr"/>
        <c:lblOffset val="100"/>
        <c:noMultiLvlLbl val="0"/>
      </c:catAx>
      <c:valAx>
        <c:axId val="349518424"/>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495180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Contents"/><Relationship Id="rId4"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hyperlink" Target="#Contents"/><Relationship Id="rId4" Type="http://schemas.openxmlformats.org/officeDocument/2006/relationships/chart" Target="../charts/chart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4.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48.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52.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6.xml.rels><?xml version="1.0" encoding="UTF-8" standalone="yes"?>
<Relationships xmlns="http://schemas.openxmlformats.org/package/2006/relationships"><Relationship Id="rId1" Type="http://schemas.openxmlformats.org/officeDocument/2006/relationships/image" Target="../media/image56.png"/></Relationships>
</file>

<file path=xl/drawings/_rels/drawing6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68.xml.rels><?xml version="1.0" encoding="UTF-8" standalone="yes"?>
<Relationships xmlns="http://schemas.openxmlformats.org/package/2006/relationships"><Relationship Id="rId1" Type="http://schemas.openxmlformats.org/officeDocument/2006/relationships/image" Target="../media/image58.png"/></Relationships>
</file>

<file path=xl/drawings/_rels/drawing69.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62.png"/></Relationships>
</file>

<file path=xl/drawings/_rels/drawing71.xml.rels><?xml version="1.0" encoding="UTF-8" standalone="yes"?>
<Relationships xmlns="http://schemas.openxmlformats.org/package/2006/relationships"><Relationship Id="rId1" Type="http://schemas.openxmlformats.org/officeDocument/2006/relationships/image" Target="../media/image64.png"/></Relationships>
</file>

<file path=xl/drawings/_rels/drawing72.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65.png"/></Relationships>
</file>

<file path=xl/drawings/_rels/drawing74.xml.rels><?xml version="1.0" encoding="UTF-8" standalone="yes"?>
<Relationships xmlns="http://schemas.openxmlformats.org/package/2006/relationships"><Relationship Id="rId3" Type="http://schemas.openxmlformats.org/officeDocument/2006/relationships/image" Target="../media/image70.png"/><Relationship Id="rId2" Type="http://schemas.openxmlformats.org/officeDocument/2006/relationships/image" Target="../media/image69.png"/><Relationship Id="rId1" Type="http://schemas.openxmlformats.org/officeDocument/2006/relationships/image" Target="../media/image68.png"/><Relationship Id="rId4" Type="http://schemas.openxmlformats.org/officeDocument/2006/relationships/image" Target="../media/image71.png"/></Relationships>
</file>

<file path=xl/drawings/_rels/drawing75.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72.png"/><Relationship Id="rId4" Type="http://schemas.openxmlformats.org/officeDocument/2006/relationships/image" Target="../media/image75.png"/></Relationships>
</file>

<file path=xl/drawings/_rels/drawing76.xml.rels><?xml version="1.0" encoding="UTF-8" standalone="yes"?>
<Relationships xmlns="http://schemas.openxmlformats.org/package/2006/relationships"><Relationship Id="rId3" Type="http://schemas.openxmlformats.org/officeDocument/2006/relationships/image" Target="../media/image78.png"/><Relationship Id="rId2" Type="http://schemas.openxmlformats.org/officeDocument/2006/relationships/image" Target="../media/image77.png"/><Relationship Id="rId1" Type="http://schemas.openxmlformats.org/officeDocument/2006/relationships/image" Target="../media/image76.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25" name="Rectangle 24">
          <a:extLst>
            <a:ext uri="{FF2B5EF4-FFF2-40B4-BE49-F238E27FC236}">
              <a16:creationId xmlns:a16="http://schemas.microsoft.com/office/drawing/2014/main" id="{00000000-0008-0000-0400-000019000000}"/>
            </a:ext>
          </a:extLst>
        </xdr:cNvPr>
        <xdr:cNvSpPr/>
      </xdr:nvSpPr>
      <xdr:spPr>
        <a:xfrm>
          <a:off x="3048000" y="73914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139700</xdr:colOff>
      <xdr:row>4</xdr:row>
      <xdr:rowOff>0</xdr:rowOff>
    </xdr:from>
    <xdr:to>
      <xdr:col>12</xdr:col>
      <xdr:colOff>228600</xdr:colOff>
      <xdr:row>29</xdr:row>
      <xdr:rowOff>87299</xdr:rowOff>
    </xdr:to>
    <xdr:pic>
      <xdr:nvPicPr>
        <xdr:cNvPr id="3" name="Picture 2">
          <a:extLst>
            <a:ext uri="{FF2B5EF4-FFF2-40B4-BE49-F238E27FC236}">
              <a16:creationId xmlns:a16="http://schemas.microsoft.com/office/drawing/2014/main" id="{C0488511-FEA6-45ED-91B2-2B8FF86C9A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050" y="977900"/>
          <a:ext cx="7143750" cy="40814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79</xdr:row>
      <xdr:rowOff>133351</xdr:rowOff>
    </xdr:from>
    <xdr:to>
      <xdr:col>10</xdr:col>
      <xdr:colOff>205725</xdr:colOff>
      <xdr:row>80</xdr:row>
      <xdr:rowOff>367426</xdr:rowOff>
    </xdr:to>
    <mc:AlternateContent xmlns:mc="http://schemas.openxmlformats.org/markup-compatibility/2006" xmlns:a14="http://schemas.microsoft.com/office/drawing/2010/main">
      <mc:Choice Requires="a14">
        <xdr:graphicFrame macro="">
          <xdr:nvGraphicFramePr>
            <xdr:cNvPr id="3" name="Year 1">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4886325" y="11906251"/>
              <a:ext cx="3168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466723</xdr:colOff>
      <xdr:row>0</xdr:row>
      <xdr:rowOff>28575</xdr:rowOff>
    </xdr:from>
    <xdr:to>
      <xdr:col>12</xdr:col>
      <xdr:colOff>260350</xdr:colOff>
      <xdr:row>1</xdr:row>
      <xdr:rowOff>219075</xdr:rowOff>
    </xdr:to>
    <mc:AlternateContent xmlns:mc="http://schemas.openxmlformats.org/markup-compatibility/2006" xmlns:a14="http://schemas.microsoft.com/office/drawing/2010/main">
      <mc:Choice Requires="a14">
        <xdr:graphicFrame macro="">
          <xdr:nvGraphicFramePr>
            <xdr:cNvPr id="2" name="Year 9">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Year 9"/>
            </a:graphicData>
          </a:graphic>
        </xdr:graphicFrame>
      </mc:Choice>
      <mc:Fallback xmlns="">
        <xdr:sp macro="" textlink="">
          <xdr:nvSpPr>
            <xdr:cNvPr id="0" name=""/>
            <xdr:cNvSpPr>
              <a:spLocks noTextEdit="1"/>
            </xdr:cNvSpPr>
          </xdr:nvSpPr>
          <xdr:spPr>
            <a:xfrm>
              <a:off x="1657349" y="28575"/>
              <a:ext cx="7191376"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247647</xdr:colOff>
      <xdr:row>47</xdr:row>
      <xdr:rowOff>152402</xdr:rowOff>
    </xdr:from>
    <xdr:to>
      <xdr:col>14</xdr:col>
      <xdr:colOff>6350</xdr:colOff>
      <xdr:row>49</xdr:row>
      <xdr:rowOff>180976</xdr:rowOff>
    </xdr:to>
    <mc:AlternateContent xmlns:mc="http://schemas.openxmlformats.org/markup-compatibility/2006" xmlns:a14="http://schemas.microsoft.com/office/drawing/2010/main">
      <mc:Choice Requires="a14">
        <xdr:graphicFrame macro="">
          <xdr:nvGraphicFramePr>
            <xdr:cNvPr id="3" name="Year 36">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microsoft.com/office/drawing/2010/slicer">
              <sle:slicer xmlns:sle="http://schemas.microsoft.com/office/drawing/2010/slicer" name="Year 36"/>
            </a:graphicData>
          </a:graphic>
        </xdr:graphicFrame>
      </mc:Choice>
      <mc:Fallback xmlns="">
        <xdr:sp macro="" textlink="">
          <xdr:nvSpPr>
            <xdr:cNvPr id="0" name=""/>
            <xdr:cNvSpPr>
              <a:spLocks noTextEdit="1"/>
            </xdr:cNvSpPr>
          </xdr:nvSpPr>
          <xdr:spPr>
            <a:xfrm>
              <a:off x="2962273" y="9058277"/>
              <a:ext cx="7467602" cy="4095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2.xml><?xml version="1.0" encoding="utf-8"?>
<xdr:wsDr xmlns:xdr="http://schemas.openxmlformats.org/drawingml/2006/spreadsheetDrawing" xmlns:a="http://schemas.openxmlformats.org/drawingml/2006/main">
  <xdr:oneCellAnchor>
    <xdr:from>
      <xdr:col>1</xdr:col>
      <xdr:colOff>647697</xdr:colOff>
      <xdr:row>0</xdr:row>
      <xdr:rowOff>28575</xdr:rowOff>
    </xdr:from>
    <xdr:ext cx="7791453" cy="396000"/>
    <mc:AlternateContent xmlns:mc="http://schemas.openxmlformats.org/markup-compatibility/2006" xmlns:a14="http://schemas.microsoft.com/office/drawing/2010/main">
      <mc:Choice Requires="a14">
        <xdr:graphicFrame macro="">
          <xdr:nvGraphicFramePr>
            <xdr:cNvPr id="2" name="Year 10">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microsoft.com/office/drawing/2010/slicer">
              <sle:slicer xmlns:sle="http://schemas.microsoft.com/office/drawing/2010/slicer" name="Year 10"/>
            </a:graphicData>
          </a:graphic>
        </xdr:graphicFrame>
      </mc:Choice>
      <mc:Fallback xmlns="">
        <xdr:sp macro="" textlink="">
          <xdr:nvSpPr>
            <xdr:cNvPr id="0" name=""/>
            <xdr:cNvSpPr>
              <a:spLocks noTextEdit="1"/>
            </xdr:cNvSpPr>
          </xdr:nvSpPr>
          <xdr:spPr>
            <a:xfrm>
              <a:off x="1619248" y="28575"/>
              <a:ext cx="6677027"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647697</xdr:colOff>
      <xdr:row>0</xdr:row>
      <xdr:rowOff>28575</xdr:rowOff>
    </xdr:from>
    <xdr:ext cx="8343903" cy="396000"/>
    <mc:AlternateContent xmlns:mc="http://schemas.openxmlformats.org/markup-compatibility/2006" xmlns:a14="http://schemas.microsoft.com/office/drawing/2010/main">
      <mc:Choice Requires="a14">
        <xdr:graphicFrame macro="">
          <xdr:nvGraphicFramePr>
            <xdr:cNvPr id="2" name="Year 20">
              <a:extLst>
                <a:ext uri="{FF2B5EF4-FFF2-40B4-BE49-F238E27FC236}">
                  <a16:creationId xmlns:a16="http://schemas.microsoft.com/office/drawing/2014/main" id="{0B23FC9D-E9EE-4B7F-A6AE-C7AC6560E006}"/>
                </a:ext>
              </a:extLst>
            </xdr:cNvPr>
            <xdr:cNvGraphicFramePr/>
          </xdr:nvGraphicFramePr>
          <xdr:xfrm>
            <a:off x="0" y="0"/>
            <a:ext cx="0" cy="0"/>
          </xdr:xfrm>
          <a:graphic>
            <a:graphicData uri="http://schemas.microsoft.com/office/drawing/2010/slicer">
              <sle:slicer xmlns:sle="http://schemas.microsoft.com/office/drawing/2010/slicer" name="Year 20"/>
            </a:graphicData>
          </a:graphic>
        </xdr:graphicFrame>
      </mc:Choice>
      <mc:Fallback xmlns="">
        <xdr:sp macro="" textlink="">
          <xdr:nvSpPr>
            <xdr:cNvPr id="0" name=""/>
            <xdr:cNvSpPr>
              <a:spLocks noTextEdit="1"/>
            </xdr:cNvSpPr>
          </xdr:nvSpPr>
          <xdr:spPr>
            <a:xfrm>
              <a:off x="1847847" y="28575"/>
              <a:ext cx="7791453"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14.xml><?xml version="1.0" encoding="utf-8"?>
<xdr:wsDr xmlns:xdr="http://schemas.openxmlformats.org/drawingml/2006/spreadsheetDrawing" xmlns:a="http://schemas.openxmlformats.org/drawingml/2006/main">
  <xdr:twoCellAnchor editAs="oneCell">
    <xdr:from>
      <xdr:col>0</xdr:col>
      <xdr:colOff>298450</xdr:colOff>
      <xdr:row>32</xdr:row>
      <xdr:rowOff>0</xdr:rowOff>
    </xdr:from>
    <xdr:to>
      <xdr:col>5</xdr:col>
      <xdr:colOff>971550</xdr:colOff>
      <xdr:row>36</xdr:row>
      <xdr:rowOff>69850</xdr:rowOff>
    </xdr:to>
    <mc:AlternateContent xmlns:mc="http://schemas.openxmlformats.org/markup-compatibility/2006" xmlns:a14="http://schemas.microsoft.com/office/drawing/2010/main">
      <mc:Choice Requires="a14">
        <xdr:graphicFrame macro="">
          <xdr:nvGraphicFramePr>
            <xdr:cNvPr id="2" name="Year">
              <a:extLst>
                <a:ext uri="{FF2B5EF4-FFF2-40B4-BE49-F238E27FC236}">
                  <a16:creationId xmlns:a16="http://schemas.microsoft.com/office/drawing/2014/main" id="{DE69F3B1-4AA3-4DFF-AA65-9A913B6B3E8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98450" y="5080000"/>
              <a:ext cx="8213725" cy="7048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1790700</xdr:colOff>
      <xdr:row>13</xdr:row>
      <xdr:rowOff>101600</xdr:rowOff>
    </xdr:from>
    <xdr:to>
      <xdr:col>7</xdr:col>
      <xdr:colOff>147637</xdr:colOff>
      <xdr:row>17</xdr:row>
      <xdr:rowOff>146050</xdr:rowOff>
    </xdr:to>
    <mc:AlternateContent xmlns:mc="http://schemas.openxmlformats.org/markup-compatibility/2006" xmlns:a14="http://schemas.microsoft.com/office/drawing/2010/main">
      <mc:Choice Requires="a14">
        <xdr:graphicFrame macro="">
          <xdr:nvGraphicFramePr>
            <xdr:cNvPr id="3" name="Year 26">
              <a:extLst>
                <a:ext uri="{FF2B5EF4-FFF2-40B4-BE49-F238E27FC236}">
                  <a16:creationId xmlns:a16="http://schemas.microsoft.com/office/drawing/2014/main" id="{7A344D43-5D3F-4FE8-A6B4-BD7455D02251}"/>
                </a:ext>
              </a:extLst>
            </xdr:cNvPr>
            <xdr:cNvGraphicFramePr/>
          </xdr:nvGraphicFramePr>
          <xdr:xfrm>
            <a:off x="0" y="0"/>
            <a:ext cx="0" cy="0"/>
          </xdr:xfrm>
          <a:graphic>
            <a:graphicData uri="http://schemas.microsoft.com/office/drawing/2010/slicer">
              <sle:slicer xmlns:sle="http://schemas.microsoft.com/office/drawing/2010/slicer" name="Year 26"/>
            </a:graphicData>
          </a:graphic>
        </xdr:graphicFrame>
      </mc:Choice>
      <mc:Fallback xmlns="">
        <xdr:sp macro="" textlink="">
          <xdr:nvSpPr>
            <xdr:cNvPr id="0" name=""/>
            <xdr:cNvSpPr>
              <a:spLocks noTextEdit="1"/>
            </xdr:cNvSpPr>
          </xdr:nvSpPr>
          <xdr:spPr>
            <a:xfrm>
              <a:off x="1790700" y="2165350"/>
              <a:ext cx="8604250" cy="679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1114425</xdr:colOff>
      <xdr:row>11</xdr:row>
      <xdr:rowOff>85726</xdr:rowOff>
    </xdr:from>
    <xdr:to>
      <xdr:col>4</xdr:col>
      <xdr:colOff>618730</xdr:colOff>
      <xdr:row>14</xdr:row>
      <xdr:rowOff>38101</xdr:rowOff>
    </xdr:to>
    <mc:AlternateContent xmlns:mc="http://schemas.openxmlformats.org/markup-compatibility/2006" xmlns:a14="http://schemas.microsoft.com/office/drawing/2010/main">
      <mc:Choice Requires="a14">
        <xdr:graphicFrame macro="">
          <xdr:nvGraphicFramePr>
            <xdr:cNvPr id="2" name="a.Year 1">
              <a:extLst>
                <a:ext uri="{FF2B5EF4-FFF2-40B4-BE49-F238E27FC236}">
                  <a16:creationId xmlns:a16="http://schemas.microsoft.com/office/drawing/2014/main" id="{00000000-0008-0000-8500-000002000000}"/>
                </a:ext>
              </a:extLst>
            </xdr:cNvPr>
            <xdr:cNvGraphicFramePr/>
          </xdr:nvGraphicFramePr>
          <xdr:xfrm>
            <a:off x="0" y="0"/>
            <a:ext cx="0" cy="0"/>
          </xdr:xfrm>
          <a:graphic>
            <a:graphicData uri="http://schemas.microsoft.com/office/drawing/2010/slicer">
              <sle:slicer xmlns:sle="http://schemas.microsoft.com/office/drawing/2010/slicer" name="a.Year 1"/>
            </a:graphicData>
          </a:graphic>
        </xdr:graphicFrame>
      </mc:Choice>
      <mc:Fallback xmlns="">
        <xdr:sp macro="" textlink="">
          <xdr:nvSpPr>
            <xdr:cNvPr id="0" name=""/>
            <xdr:cNvSpPr>
              <a:spLocks noTextEdit="1"/>
            </xdr:cNvSpPr>
          </xdr:nvSpPr>
          <xdr:spPr>
            <a:xfrm>
              <a:off x="1114425" y="1811432"/>
              <a:ext cx="8374715" cy="42302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204506</xdr:colOff>
      <xdr:row>15</xdr:row>
      <xdr:rowOff>89647</xdr:rowOff>
    </xdr:from>
    <xdr:to>
      <xdr:col>5</xdr:col>
      <xdr:colOff>2028136</xdr:colOff>
      <xdr:row>18</xdr:row>
      <xdr:rowOff>56029</xdr:rowOff>
    </xdr:to>
    <mc:AlternateContent xmlns:mc="http://schemas.openxmlformats.org/markup-compatibility/2006" xmlns:a14="http://schemas.microsoft.com/office/drawing/2010/main">
      <mc:Choice Requires="a14">
        <xdr:graphicFrame macro="">
          <xdr:nvGraphicFramePr>
            <xdr:cNvPr id="3" name="a.Year 3">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microsoft.com/office/drawing/2010/slicer">
              <sle:slicer xmlns:sle="http://schemas.microsoft.com/office/drawing/2010/slicer" name="a.Year 3"/>
            </a:graphicData>
          </a:graphic>
        </xdr:graphicFrame>
      </mc:Choice>
      <mc:Fallback xmlns="">
        <xdr:sp macro="" textlink="">
          <xdr:nvSpPr>
            <xdr:cNvPr id="0" name=""/>
            <xdr:cNvSpPr>
              <a:spLocks noTextEdit="1"/>
            </xdr:cNvSpPr>
          </xdr:nvSpPr>
          <xdr:spPr>
            <a:xfrm>
              <a:off x="5348006" y="2442882"/>
              <a:ext cx="7684433" cy="4370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54908</xdr:colOff>
      <xdr:row>35</xdr:row>
      <xdr:rowOff>117102</xdr:rowOff>
    </xdr:from>
    <xdr:to>
      <xdr:col>5</xdr:col>
      <xdr:colOff>1568697</xdr:colOff>
      <xdr:row>38</xdr:row>
      <xdr:rowOff>67236</xdr:rowOff>
    </xdr:to>
    <mc:AlternateContent xmlns:mc="http://schemas.openxmlformats.org/markup-compatibility/2006" xmlns:a14="http://schemas.microsoft.com/office/drawing/2010/main">
      <mc:Choice Requires="a14">
        <xdr:graphicFrame macro="">
          <xdr:nvGraphicFramePr>
            <xdr:cNvPr id="4" name="a.Year 6">
              <a:extLst>
                <a:ext uri="{FF2B5EF4-FFF2-40B4-BE49-F238E27FC236}">
                  <a16:creationId xmlns:a16="http://schemas.microsoft.com/office/drawing/2014/main" id="{00000000-0008-0000-8500-000004000000}"/>
                </a:ext>
              </a:extLst>
            </xdr:cNvPr>
            <xdr:cNvGraphicFramePr/>
          </xdr:nvGraphicFramePr>
          <xdr:xfrm>
            <a:off x="0" y="0"/>
            <a:ext cx="0" cy="0"/>
          </xdr:xfrm>
          <a:graphic>
            <a:graphicData uri="http://schemas.microsoft.com/office/drawing/2010/slicer">
              <sle:slicer xmlns:sle="http://schemas.microsoft.com/office/drawing/2010/slicer" name="a.Year 6"/>
            </a:graphicData>
          </a:graphic>
        </xdr:graphicFrame>
      </mc:Choice>
      <mc:Fallback xmlns="">
        <xdr:sp macro="" textlink="">
          <xdr:nvSpPr>
            <xdr:cNvPr id="0" name=""/>
            <xdr:cNvSpPr>
              <a:spLocks noTextEdit="1"/>
            </xdr:cNvSpPr>
          </xdr:nvSpPr>
          <xdr:spPr>
            <a:xfrm>
              <a:off x="5198408" y="5607984"/>
              <a:ext cx="7374592" cy="42078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152398</xdr:colOff>
      <xdr:row>0</xdr:row>
      <xdr:rowOff>9525</xdr:rowOff>
    </xdr:from>
    <xdr:to>
      <xdr:col>11</xdr:col>
      <xdr:colOff>539750</xdr:colOff>
      <xdr:row>1</xdr:row>
      <xdr:rowOff>195975</xdr:rowOff>
    </xdr:to>
    <mc:AlternateContent xmlns:mc="http://schemas.openxmlformats.org/markup-compatibility/2006" xmlns:a14="http://schemas.microsoft.com/office/drawing/2010/main">
      <mc:Choice Requires="a14">
        <xdr:graphicFrame macro="">
          <xdr:nvGraphicFramePr>
            <xdr:cNvPr id="3" name="Year 4">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microsoft.com/office/drawing/2010/slicer">
              <sle:slicer xmlns:sle="http://schemas.microsoft.com/office/drawing/2010/slicer" name="Year 4"/>
            </a:graphicData>
          </a:graphic>
        </xdr:graphicFrame>
      </mc:Choice>
      <mc:Fallback xmlns="">
        <xdr:sp macro="" textlink="">
          <xdr:nvSpPr>
            <xdr:cNvPr id="0" name=""/>
            <xdr:cNvSpPr>
              <a:spLocks noTextEdit="1"/>
            </xdr:cNvSpPr>
          </xdr:nvSpPr>
          <xdr:spPr>
            <a:xfrm>
              <a:off x="1638299" y="9525"/>
              <a:ext cx="6753226"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400050</xdr:colOff>
      <xdr:row>0</xdr:row>
      <xdr:rowOff>28575</xdr:rowOff>
    </xdr:from>
    <xdr:to>
      <xdr:col>10</xdr:col>
      <xdr:colOff>819150</xdr:colOff>
      <xdr:row>1</xdr:row>
      <xdr:rowOff>219075</xdr:rowOff>
    </xdr:to>
    <mc:AlternateContent xmlns:mc="http://schemas.openxmlformats.org/markup-compatibility/2006" xmlns:a14="http://schemas.microsoft.com/office/drawing/2010/main">
      <mc:Choice Requires="a14">
        <xdr:graphicFrame macro="">
          <xdr:nvGraphicFramePr>
            <xdr:cNvPr id="2" name="a.Year">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microsoft.com/office/drawing/2010/slicer">
              <sle:slicer xmlns:sle="http://schemas.microsoft.com/office/drawing/2010/slicer" name="a.Year"/>
            </a:graphicData>
          </a:graphic>
        </xdr:graphicFrame>
      </mc:Choice>
      <mc:Fallback xmlns="">
        <xdr:sp macro="" textlink="">
          <xdr:nvSpPr>
            <xdr:cNvPr id="0" name=""/>
            <xdr:cNvSpPr>
              <a:spLocks noTextEdit="1"/>
            </xdr:cNvSpPr>
          </xdr:nvSpPr>
          <xdr:spPr>
            <a:xfrm>
              <a:off x="1533525" y="28575"/>
              <a:ext cx="6981825"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466724</xdr:colOff>
      <xdr:row>0</xdr:row>
      <xdr:rowOff>38100</xdr:rowOff>
    </xdr:from>
    <xdr:to>
      <xdr:col>11</xdr:col>
      <xdr:colOff>177800</xdr:colOff>
      <xdr:row>1</xdr:row>
      <xdr:rowOff>209550</xdr:rowOff>
    </xdr:to>
    <mc:AlternateContent xmlns:mc="http://schemas.openxmlformats.org/markup-compatibility/2006" xmlns:a14="http://schemas.microsoft.com/office/drawing/2010/main">
      <mc:Choice Requires="a14">
        <xdr:graphicFrame macro="">
          <xdr:nvGraphicFramePr>
            <xdr:cNvPr id="2" name="Year 37">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microsoft.com/office/drawing/2010/slicer">
              <sle:slicer xmlns:sle="http://schemas.microsoft.com/office/drawing/2010/slicer" name="Year 37"/>
            </a:graphicData>
          </a:graphic>
        </xdr:graphicFrame>
      </mc:Choice>
      <mc:Fallback xmlns="">
        <xdr:sp macro="" textlink="">
          <xdr:nvSpPr>
            <xdr:cNvPr id="0" name=""/>
            <xdr:cNvSpPr>
              <a:spLocks noTextEdit="1"/>
            </xdr:cNvSpPr>
          </xdr:nvSpPr>
          <xdr:spPr>
            <a:xfrm>
              <a:off x="1638299" y="38100"/>
              <a:ext cx="7029451"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9.xml><?xml version="1.0" encoding="utf-8"?>
<xdr:wsDr xmlns:xdr="http://schemas.openxmlformats.org/drawingml/2006/spreadsheetDrawing" xmlns:a="http://schemas.openxmlformats.org/drawingml/2006/main">
  <xdr:twoCellAnchor editAs="oneCell">
    <xdr:from>
      <xdr:col>1</xdr:col>
      <xdr:colOff>838200</xdr:colOff>
      <xdr:row>0</xdr:row>
      <xdr:rowOff>28576</xdr:rowOff>
    </xdr:from>
    <xdr:to>
      <xdr:col>12</xdr:col>
      <xdr:colOff>292100</xdr:colOff>
      <xdr:row>1</xdr:row>
      <xdr:rowOff>195976</xdr:rowOff>
    </xdr:to>
    <mc:AlternateContent xmlns:mc="http://schemas.openxmlformats.org/markup-compatibility/2006" xmlns:a14="http://schemas.microsoft.com/office/drawing/2010/main">
      <mc:Choice Requires="a14">
        <xdr:graphicFrame macro="">
          <xdr:nvGraphicFramePr>
            <xdr:cNvPr id="2" name="Year 1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microsoft.com/office/drawing/2010/slicer">
              <sle:slicer xmlns:sle="http://schemas.microsoft.com/office/drawing/2010/slicer" name="Year 11"/>
            </a:graphicData>
          </a:graphic>
        </xdr:graphicFrame>
      </mc:Choice>
      <mc:Fallback xmlns="">
        <xdr:sp macro="" textlink="">
          <xdr:nvSpPr>
            <xdr:cNvPr id="0" name=""/>
            <xdr:cNvSpPr>
              <a:spLocks noTextEdit="1"/>
            </xdr:cNvSpPr>
          </xdr:nvSpPr>
          <xdr:spPr>
            <a:xfrm>
              <a:off x="1666875" y="28576"/>
              <a:ext cx="7019925"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3048000" y="72771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304800</xdr:colOff>
      <xdr:row>6</xdr:row>
      <xdr:rowOff>76200</xdr:rowOff>
    </xdr:from>
    <xdr:to>
      <xdr:col>12</xdr:col>
      <xdr:colOff>577850</xdr:colOff>
      <xdr:row>32</xdr:row>
      <xdr:rowOff>135360</xdr:rowOff>
    </xdr:to>
    <xdr:pic>
      <xdr:nvPicPr>
        <xdr:cNvPr id="4" name="Picture 3">
          <a:extLst>
            <a:ext uri="{FF2B5EF4-FFF2-40B4-BE49-F238E27FC236}">
              <a16:creationId xmlns:a16="http://schemas.microsoft.com/office/drawing/2014/main" id="{00668796-0FB1-4D5E-996F-58C29293B1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6150" y="1346200"/>
          <a:ext cx="7327900" cy="41866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657221</xdr:colOff>
      <xdr:row>0</xdr:row>
      <xdr:rowOff>28577</xdr:rowOff>
    </xdr:from>
    <xdr:to>
      <xdr:col>9</xdr:col>
      <xdr:colOff>717550</xdr:colOff>
      <xdr:row>1</xdr:row>
      <xdr:rowOff>195977</xdr:rowOff>
    </xdr:to>
    <mc:AlternateContent xmlns:mc="http://schemas.openxmlformats.org/markup-compatibility/2006" xmlns:a14="http://schemas.microsoft.com/office/drawing/2010/main">
      <mc:Choice Requires="a14">
        <xdr:graphicFrame macro="">
          <xdr:nvGraphicFramePr>
            <xdr:cNvPr id="2" name="Year 12">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microsoft.com/office/drawing/2010/slicer">
              <sle:slicer xmlns:sle="http://schemas.microsoft.com/office/drawing/2010/slicer" name="Year 12"/>
            </a:graphicData>
          </a:graphic>
        </xdr:graphicFrame>
      </mc:Choice>
      <mc:Fallback xmlns="">
        <xdr:sp macro="" textlink="">
          <xdr:nvSpPr>
            <xdr:cNvPr id="0" name=""/>
            <xdr:cNvSpPr>
              <a:spLocks noTextEdit="1"/>
            </xdr:cNvSpPr>
          </xdr:nvSpPr>
          <xdr:spPr>
            <a:xfrm>
              <a:off x="1600197" y="28577"/>
              <a:ext cx="6677028"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342900</xdr:colOff>
      <xdr:row>0</xdr:row>
      <xdr:rowOff>28575</xdr:rowOff>
    </xdr:from>
    <xdr:to>
      <xdr:col>12</xdr:col>
      <xdr:colOff>361950</xdr:colOff>
      <xdr:row>1</xdr:row>
      <xdr:rowOff>219075</xdr:rowOff>
    </xdr:to>
    <mc:AlternateContent xmlns:mc="http://schemas.openxmlformats.org/markup-compatibility/2006" xmlns:a14="http://schemas.microsoft.com/office/drawing/2010/main">
      <mc:Choice Requires="a14">
        <xdr:graphicFrame macro="">
          <xdr:nvGraphicFramePr>
            <xdr:cNvPr id="5" name="Year 3">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1562100" y="28575"/>
              <a:ext cx="6657975"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552448</xdr:colOff>
      <xdr:row>0</xdr:row>
      <xdr:rowOff>47626</xdr:rowOff>
    </xdr:from>
    <xdr:to>
      <xdr:col>10</xdr:col>
      <xdr:colOff>685800</xdr:colOff>
      <xdr:row>1</xdr:row>
      <xdr:rowOff>222250</xdr:rowOff>
    </xdr:to>
    <mc:AlternateContent xmlns:mc="http://schemas.openxmlformats.org/markup-compatibility/2006" xmlns:a14="http://schemas.microsoft.com/office/drawing/2010/main">
      <mc:Choice Requires="a14">
        <xdr:graphicFrame macro="">
          <xdr:nvGraphicFramePr>
            <xdr:cNvPr id="2" name="Year 13">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microsoft.com/office/drawing/2010/slicer">
              <sle:slicer xmlns:sle="http://schemas.microsoft.com/office/drawing/2010/slicer" name="Year 13"/>
            </a:graphicData>
          </a:graphic>
        </xdr:graphicFrame>
      </mc:Choice>
      <mc:Fallback xmlns="">
        <xdr:sp macro="" textlink="">
          <xdr:nvSpPr>
            <xdr:cNvPr id="0" name=""/>
            <xdr:cNvSpPr>
              <a:spLocks noTextEdit="1"/>
            </xdr:cNvSpPr>
          </xdr:nvSpPr>
          <xdr:spPr>
            <a:xfrm>
              <a:off x="1685923" y="47626"/>
              <a:ext cx="7181852"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561973</xdr:colOff>
      <xdr:row>0</xdr:row>
      <xdr:rowOff>19050</xdr:rowOff>
    </xdr:from>
    <xdr:to>
      <xdr:col>11</xdr:col>
      <xdr:colOff>200025</xdr:colOff>
      <xdr:row>1</xdr:row>
      <xdr:rowOff>195975</xdr:rowOff>
    </xdr:to>
    <mc:AlternateContent xmlns:mc="http://schemas.openxmlformats.org/markup-compatibility/2006" xmlns:a14="http://schemas.microsoft.com/office/drawing/2010/main">
      <mc:Choice Requires="a14">
        <xdr:graphicFrame macro="">
          <xdr:nvGraphicFramePr>
            <xdr:cNvPr id="2" name="Year 16">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microsoft.com/office/drawing/2010/slicer">
              <sle:slicer xmlns:sle="http://schemas.microsoft.com/office/drawing/2010/slicer" name="Year 16"/>
            </a:graphicData>
          </a:graphic>
        </xdr:graphicFrame>
      </mc:Choice>
      <mc:Fallback xmlns="">
        <xdr:sp macro="" textlink="">
          <xdr:nvSpPr>
            <xdr:cNvPr id="0" name=""/>
            <xdr:cNvSpPr>
              <a:spLocks noTextEdit="1"/>
            </xdr:cNvSpPr>
          </xdr:nvSpPr>
          <xdr:spPr>
            <a:xfrm>
              <a:off x="1685923" y="19050"/>
              <a:ext cx="6600827"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4.xml><?xml version="1.0" encoding="utf-8"?>
<xdr:wsDr xmlns:xdr="http://schemas.openxmlformats.org/drawingml/2006/spreadsheetDrawing" xmlns:a="http://schemas.openxmlformats.org/drawingml/2006/main">
  <xdr:twoCellAnchor editAs="oneCell">
    <xdr:from>
      <xdr:col>1</xdr:col>
      <xdr:colOff>609600</xdr:colOff>
      <xdr:row>0</xdr:row>
      <xdr:rowOff>38100</xdr:rowOff>
    </xdr:from>
    <xdr:to>
      <xdr:col>11</xdr:col>
      <xdr:colOff>57150</xdr:colOff>
      <xdr:row>1</xdr:row>
      <xdr:rowOff>205500</xdr:rowOff>
    </xdr:to>
    <mc:AlternateContent xmlns:mc="http://schemas.openxmlformats.org/markup-compatibility/2006" xmlns:a14="http://schemas.microsoft.com/office/drawing/2010/main">
      <mc:Choice Requires="a14">
        <xdr:graphicFrame macro="">
          <xdr:nvGraphicFramePr>
            <xdr:cNvPr id="2" name="Year 17">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microsoft.com/office/drawing/2010/slicer">
              <sle:slicer xmlns:sle="http://schemas.microsoft.com/office/drawing/2010/slicer" name="Year 17"/>
            </a:graphicData>
          </a:graphic>
        </xdr:graphicFrame>
      </mc:Choice>
      <mc:Fallback xmlns="">
        <xdr:sp macro="" textlink="">
          <xdr:nvSpPr>
            <xdr:cNvPr id="0" name=""/>
            <xdr:cNvSpPr>
              <a:spLocks noTextEdit="1"/>
            </xdr:cNvSpPr>
          </xdr:nvSpPr>
          <xdr:spPr>
            <a:xfrm>
              <a:off x="1733550" y="38100"/>
              <a:ext cx="6524625"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5.xml><?xml version="1.0" encoding="utf-8"?>
<xdr:wsDr xmlns:xdr="http://schemas.openxmlformats.org/drawingml/2006/spreadsheetDrawing" xmlns:a="http://schemas.openxmlformats.org/drawingml/2006/main">
  <xdr:twoCellAnchor editAs="oneCell">
    <xdr:from>
      <xdr:col>1</xdr:col>
      <xdr:colOff>733425</xdr:colOff>
      <xdr:row>0</xdr:row>
      <xdr:rowOff>47627</xdr:rowOff>
    </xdr:from>
    <xdr:to>
      <xdr:col>11</xdr:col>
      <xdr:colOff>469900</xdr:colOff>
      <xdr:row>2</xdr:row>
      <xdr:rowOff>12700</xdr:rowOff>
    </xdr:to>
    <mc:AlternateContent xmlns:mc="http://schemas.openxmlformats.org/markup-compatibility/2006" xmlns:a14="http://schemas.microsoft.com/office/drawing/2010/main">
      <mc:Choice Requires="a14">
        <xdr:graphicFrame macro="">
          <xdr:nvGraphicFramePr>
            <xdr:cNvPr id="2" name="Year 38">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microsoft.com/office/drawing/2010/slicer">
              <sle:slicer xmlns:sle="http://schemas.microsoft.com/office/drawing/2010/slicer" name="Year 38"/>
            </a:graphicData>
          </a:graphic>
        </xdr:graphicFrame>
      </mc:Choice>
      <mc:Fallback xmlns="">
        <xdr:sp macro="" textlink="">
          <xdr:nvSpPr>
            <xdr:cNvPr id="0" name=""/>
            <xdr:cNvSpPr>
              <a:spLocks noTextEdit="1"/>
            </xdr:cNvSpPr>
          </xdr:nvSpPr>
          <xdr:spPr>
            <a:xfrm>
              <a:off x="1885950" y="47627"/>
              <a:ext cx="6657975" cy="3905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6.xml><?xml version="1.0" encoding="utf-8"?>
<xdr:wsDr xmlns:xdr="http://schemas.openxmlformats.org/drawingml/2006/spreadsheetDrawing" xmlns:a="http://schemas.openxmlformats.org/drawingml/2006/main">
  <xdr:twoCellAnchor>
    <xdr:from>
      <xdr:col>0</xdr:col>
      <xdr:colOff>57152</xdr:colOff>
      <xdr:row>1</xdr:row>
      <xdr:rowOff>152400</xdr:rowOff>
    </xdr:from>
    <xdr:to>
      <xdr:col>5</xdr:col>
      <xdr:colOff>323850</xdr:colOff>
      <xdr:row>20</xdr:row>
      <xdr:rowOff>19050</xdr:rowOff>
    </xdr:to>
    <xdr:graphicFrame macro="">
      <xdr:nvGraphicFramePr>
        <xdr:cNvPr id="3" name="Chart 2">
          <a:extLst>
            <a:ext uri="{FF2B5EF4-FFF2-40B4-BE49-F238E27FC236}">
              <a16:creationId xmlns:a16="http://schemas.microsoft.com/office/drawing/2014/main" id="{00000000-0008-0000-9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323850</xdr:colOff>
      <xdr:row>1</xdr:row>
      <xdr:rowOff>161924</xdr:rowOff>
    </xdr:from>
    <xdr:to>
      <xdr:col>10</xdr:col>
      <xdr:colOff>600075</xdr:colOff>
      <xdr:row>20</xdr:row>
      <xdr:rowOff>28574</xdr:rowOff>
    </xdr:to>
    <xdr:graphicFrame macro="">
      <xdr:nvGraphicFramePr>
        <xdr:cNvPr id="4" name="Chart 3">
          <a:extLst>
            <a:ext uri="{FF2B5EF4-FFF2-40B4-BE49-F238E27FC236}">
              <a16:creationId xmlns:a16="http://schemas.microsoft.com/office/drawing/2014/main" id="{00000000-0008-0000-9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20</xdr:row>
      <xdr:rowOff>19050</xdr:rowOff>
    </xdr:from>
    <xdr:to>
      <xdr:col>5</xdr:col>
      <xdr:colOff>323850</xdr:colOff>
      <xdr:row>38</xdr:row>
      <xdr:rowOff>38100</xdr:rowOff>
    </xdr:to>
    <xdr:graphicFrame macro="">
      <xdr:nvGraphicFramePr>
        <xdr:cNvPr id="5" name="Chart 4">
          <a:extLst>
            <a:ext uri="{FF2B5EF4-FFF2-40B4-BE49-F238E27FC236}">
              <a16:creationId xmlns:a16="http://schemas.microsoft.com/office/drawing/2014/main" id="{00000000-0008-0000-9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323851</xdr:colOff>
      <xdr:row>20</xdr:row>
      <xdr:rowOff>28575</xdr:rowOff>
    </xdr:from>
    <xdr:to>
      <xdr:col>10</xdr:col>
      <xdr:colOff>590551</xdr:colOff>
      <xdr:row>38</xdr:row>
      <xdr:rowOff>47625</xdr:rowOff>
    </xdr:to>
    <xdr:graphicFrame macro="">
      <xdr:nvGraphicFramePr>
        <xdr:cNvPr id="6" name="Chart 5">
          <a:extLst>
            <a:ext uri="{FF2B5EF4-FFF2-40B4-BE49-F238E27FC236}">
              <a16:creationId xmlns:a16="http://schemas.microsoft.com/office/drawing/2014/main" id="{00000000-0008-0000-9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0</xdr:row>
      <xdr:rowOff>0</xdr:rowOff>
    </xdr:from>
    <xdr:to>
      <xdr:col>13</xdr:col>
      <xdr:colOff>276225</xdr:colOff>
      <xdr:row>0</xdr:row>
      <xdr:rowOff>209550</xdr:rowOff>
    </xdr:to>
    <xdr:sp macro="" textlink="">
      <xdr:nvSpPr>
        <xdr:cNvPr id="7" name="Left Arrow 5">
          <a:hlinkClick xmlns:r="http://schemas.openxmlformats.org/officeDocument/2006/relationships" r:id="rId5"/>
          <a:extLst>
            <a:ext uri="{FF2B5EF4-FFF2-40B4-BE49-F238E27FC236}">
              <a16:creationId xmlns:a16="http://schemas.microsoft.com/office/drawing/2014/main" id="{00000000-0008-0000-9100-000007000000}"/>
            </a:ext>
          </a:extLst>
        </xdr:cNvPr>
        <xdr:cNvSpPr/>
      </xdr:nvSpPr>
      <xdr:spPr>
        <a:xfrm>
          <a:off x="7924800"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19</xdr:row>
      <xdr:rowOff>142875</xdr:rowOff>
    </xdr:from>
    <xdr:to>
      <xdr:col>8</xdr:col>
      <xdr:colOff>9524</xdr:colOff>
      <xdr:row>36</xdr:row>
      <xdr:rowOff>133350</xdr:rowOff>
    </xdr:to>
    <xdr:graphicFrame macro="">
      <xdr:nvGraphicFramePr>
        <xdr:cNvPr id="4" name="Chart 3">
          <a:extLst>
            <a:ext uri="{FF2B5EF4-FFF2-40B4-BE49-F238E27FC236}">
              <a16:creationId xmlns:a16="http://schemas.microsoft.com/office/drawing/2014/main" id="{00000000-0008-0000-9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476250</xdr:colOff>
      <xdr:row>19</xdr:row>
      <xdr:rowOff>152400</xdr:rowOff>
    </xdr:from>
    <xdr:to>
      <xdr:col>16</xdr:col>
      <xdr:colOff>238125</xdr:colOff>
      <xdr:row>36</xdr:row>
      <xdr:rowOff>142875</xdr:rowOff>
    </xdr:to>
    <xdr:graphicFrame macro="">
      <xdr:nvGraphicFramePr>
        <xdr:cNvPr id="8" name="Chart 7">
          <a:extLst>
            <a:ext uri="{FF2B5EF4-FFF2-40B4-BE49-F238E27FC236}">
              <a16:creationId xmlns:a16="http://schemas.microsoft.com/office/drawing/2014/main" id="{00000000-0008-0000-9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95250</xdr:rowOff>
    </xdr:from>
    <xdr:to>
      <xdr:col>32</xdr:col>
      <xdr:colOff>85726</xdr:colOff>
      <xdr:row>13</xdr:row>
      <xdr:rowOff>57150</xdr:rowOff>
    </xdr:to>
    <xdr:sp macro="" textlink="">
      <xdr:nvSpPr>
        <xdr:cNvPr id="13" name="Rectangle 12">
          <a:extLst>
            <a:ext uri="{FF2B5EF4-FFF2-40B4-BE49-F238E27FC236}">
              <a16:creationId xmlns:a16="http://schemas.microsoft.com/office/drawing/2014/main" id="{00000000-0008-0000-9200-00000D000000}"/>
            </a:ext>
          </a:extLst>
        </xdr:cNvPr>
        <xdr:cNvSpPr/>
      </xdr:nvSpPr>
      <xdr:spPr>
        <a:xfrm>
          <a:off x="0" y="361950"/>
          <a:ext cx="19592926" cy="190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xdr:row>
      <xdr:rowOff>152400</xdr:rowOff>
    </xdr:from>
    <xdr:to>
      <xdr:col>16</xdr:col>
      <xdr:colOff>28575</xdr:colOff>
      <xdr:row>19</xdr:row>
      <xdr:rowOff>128589</xdr:rowOff>
    </xdr:to>
    <xdr:graphicFrame macro="">
      <xdr:nvGraphicFramePr>
        <xdr:cNvPr id="7" name="Chart 6">
          <a:extLst>
            <a:ext uri="{FF2B5EF4-FFF2-40B4-BE49-F238E27FC236}">
              <a16:creationId xmlns:a16="http://schemas.microsoft.com/office/drawing/2014/main" id="{00000000-0008-0000-9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xdr:row>
      <xdr:rowOff>0</xdr:rowOff>
    </xdr:from>
    <xdr:to>
      <xdr:col>8</xdr:col>
      <xdr:colOff>19050</xdr:colOff>
      <xdr:row>19</xdr:row>
      <xdr:rowOff>138114</xdr:rowOff>
    </xdr:to>
    <xdr:graphicFrame macro="">
      <xdr:nvGraphicFramePr>
        <xdr:cNvPr id="3" name="Chart 2">
          <a:extLst>
            <a:ext uri="{FF2B5EF4-FFF2-40B4-BE49-F238E27FC236}">
              <a16:creationId xmlns:a16="http://schemas.microsoft.com/office/drawing/2014/main" id="{00000000-0008-0000-9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123825</xdr:colOff>
      <xdr:row>0</xdr:row>
      <xdr:rowOff>28575</xdr:rowOff>
    </xdr:from>
    <xdr:to>
      <xdr:col>16</xdr:col>
      <xdr:colOff>400050</xdr:colOff>
      <xdr:row>0</xdr:row>
      <xdr:rowOff>238125</xdr:rowOff>
    </xdr:to>
    <xdr:sp macro="" textlink="">
      <xdr:nvSpPr>
        <xdr:cNvPr id="9" name="Left Arrow 5">
          <a:hlinkClick xmlns:r="http://schemas.openxmlformats.org/officeDocument/2006/relationships" r:id="rId5"/>
          <a:extLst>
            <a:ext uri="{FF2B5EF4-FFF2-40B4-BE49-F238E27FC236}">
              <a16:creationId xmlns:a16="http://schemas.microsoft.com/office/drawing/2014/main" id="{00000000-0008-0000-9200-000009000000}"/>
            </a:ext>
          </a:extLst>
        </xdr:cNvPr>
        <xdr:cNvSpPr/>
      </xdr:nvSpPr>
      <xdr:spPr>
        <a:xfrm>
          <a:off x="9877425" y="28575"/>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508000</xdr:colOff>
      <xdr:row>2</xdr:row>
      <xdr:rowOff>368300</xdr:rowOff>
    </xdr:from>
    <xdr:to>
      <xdr:col>12</xdr:col>
      <xdr:colOff>295547</xdr:colOff>
      <xdr:row>37</xdr:row>
      <xdr:rowOff>6350</xdr:rowOff>
    </xdr:to>
    <xdr:pic>
      <xdr:nvPicPr>
        <xdr:cNvPr id="3" name="Picture 2">
          <a:extLst>
            <a:ext uri="{FF2B5EF4-FFF2-40B4-BE49-F238E27FC236}">
              <a16:creationId xmlns:a16="http://schemas.microsoft.com/office/drawing/2014/main" id="{6EB814A6-AC69-4A7C-A442-A65DA24B08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 y="800100"/>
          <a:ext cx="6842397" cy="54737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82551</xdr:colOff>
      <xdr:row>4</xdr:row>
      <xdr:rowOff>0</xdr:rowOff>
    </xdr:from>
    <xdr:to>
      <xdr:col>12</xdr:col>
      <xdr:colOff>419101</xdr:colOff>
      <xdr:row>37</xdr:row>
      <xdr:rowOff>135675</xdr:rowOff>
    </xdr:to>
    <xdr:pic>
      <xdr:nvPicPr>
        <xdr:cNvPr id="3" name="Picture 2">
          <a:extLst>
            <a:ext uri="{FF2B5EF4-FFF2-40B4-BE49-F238E27FC236}">
              <a16:creationId xmlns:a16="http://schemas.microsoft.com/office/drawing/2014/main" id="{F966A696-632F-4D9D-9D76-1613A31A2C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251" y="996950"/>
          <a:ext cx="6750050" cy="5399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3048000" y="72771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520700</xdr:colOff>
      <xdr:row>4</xdr:row>
      <xdr:rowOff>88900</xdr:rowOff>
    </xdr:from>
    <xdr:to>
      <xdr:col>12</xdr:col>
      <xdr:colOff>490144</xdr:colOff>
      <xdr:row>29</xdr:row>
      <xdr:rowOff>107950</xdr:rowOff>
    </xdr:to>
    <xdr:pic>
      <xdr:nvPicPr>
        <xdr:cNvPr id="7" name="Picture 6">
          <a:extLst>
            <a:ext uri="{FF2B5EF4-FFF2-40B4-BE49-F238E27FC236}">
              <a16:creationId xmlns:a16="http://schemas.microsoft.com/office/drawing/2014/main" id="{47513CAF-1ED6-4D5D-BCF3-A503A1EB22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2050" y="1054100"/>
          <a:ext cx="7024294" cy="4013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12</xdr:col>
      <xdr:colOff>571500</xdr:colOff>
      <xdr:row>35</xdr:row>
      <xdr:rowOff>31750</xdr:rowOff>
    </xdr:to>
    <xdr:pic>
      <xdr:nvPicPr>
        <xdr:cNvPr id="4" name="Picture 3">
          <a:extLst>
            <a:ext uri="{FF2B5EF4-FFF2-40B4-BE49-F238E27FC236}">
              <a16:creationId xmlns:a16="http://schemas.microsoft.com/office/drawing/2014/main" id="{F75D8D6D-85BB-4BE4-8C95-C47890239B3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4050" y="996950"/>
          <a:ext cx="6343650" cy="49784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3</xdr:row>
      <xdr:rowOff>57149</xdr:rowOff>
    </xdr:from>
    <xdr:to>
      <xdr:col>6</xdr:col>
      <xdr:colOff>552450</xdr:colOff>
      <xdr:row>33</xdr:row>
      <xdr:rowOff>144136</xdr:rowOff>
    </xdr:to>
    <xdr:pic>
      <xdr:nvPicPr>
        <xdr:cNvPr id="9" name="Picture 8">
          <a:extLst>
            <a:ext uri="{FF2B5EF4-FFF2-40B4-BE49-F238E27FC236}">
              <a16:creationId xmlns:a16="http://schemas.microsoft.com/office/drawing/2014/main" id="{8498D989-437D-45E4-A7A7-CCA4AA2A4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00" y="908049"/>
          <a:ext cx="3117850" cy="4900287"/>
        </a:xfrm>
        <a:prstGeom prst="rect">
          <a:avLst/>
        </a:prstGeom>
      </xdr:spPr>
    </xdr:pic>
    <xdr:clientData/>
  </xdr:twoCellAnchor>
  <xdr:twoCellAnchor editAs="oneCell">
    <xdr:from>
      <xdr:col>6</xdr:col>
      <xdr:colOff>507339</xdr:colOff>
      <xdr:row>4</xdr:row>
      <xdr:rowOff>25400</xdr:rowOff>
    </xdr:from>
    <xdr:to>
      <xdr:col>12</xdr:col>
      <xdr:colOff>450850</xdr:colOff>
      <xdr:row>33</xdr:row>
      <xdr:rowOff>82550</xdr:rowOff>
    </xdr:to>
    <xdr:pic>
      <xdr:nvPicPr>
        <xdr:cNvPr id="11" name="Picture 10">
          <a:extLst>
            <a:ext uri="{FF2B5EF4-FFF2-40B4-BE49-F238E27FC236}">
              <a16:creationId xmlns:a16="http://schemas.microsoft.com/office/drawing/2014/main" id="{EFCAB23A-E793-4143-AB81-4DD62AD7F1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55439" y="1060450"/>
          <a:ext cx="3791611" cy="46863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419100</xdr:colOff>
      <xdr:row>4</xdr:row>
      <xdr:rowOff>31749</xdr:rowOff>
    </xdr:from>
    <xdr:to>
      <xdr:col>6</xdr:col>
      <xdr:colOff>431800</xdr:colOff>
      <xdr:row>35</xdr:row>
      <xdr:rowOff>145070</xdr:rowOff>
    </xdr:to>
    <xdr:pic>
      <xdr:nvPicPr>
        <xdr:cNvPr id="3" name="Picture 2">
          <a:extLst>
            <a:ext uri="{FF2B5EF4-FFF2-40B4-BE49-F238E27FC236}">
              <a16:creationId xmlns:a16="http://schemas.microsoft.com/office/drawing/2014/main" id="{66E3CA5A-BD07-48B5-B615-718D890BFB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450" y="1066799"/>
          <a:ext cx="3219450" cy="5059971"/>
        </a:xfrm>
        <a:prstGeom prst="rect">
          <a:avLst/>
        </a:prstGeom>
      </xdr:spPr>
    </xdr:pic>
    <xdr:clientData/>
  </xdr:twoCellAnchor>
  <xdr:twoCellAnchor editAs="oneCell">
    <xdr:from>
      <xdr:col>6</xdr:col>
      <xdr:colOff>552450</xdr:colOff>
      <xdr:row>5</xdr:row>
      <xdr:rowOff>0</xdr:rowOff>
    </xdr:from>
    <xdr:to>
      <xdr:col>12</xdr:col>
      <xdr:colOff>511374</xdr:colOff>
      <xdr:row>34</xdr:row>
      <xdr:rowOff>101600</xdr:rowOff>
    </xdr:to>
    <xdr:pic>
      <xdr:nvPicPr>
        <xdr:cNvPr id="5" name="Picture 4">
          <a:extLst>
            <a:ext uri="{FF2B5EF4-FFF2-40B4-BE49-F238E27FC236}">
              <a16:creationId xmlns:a16="http://schemas.microsoft.com/office/drawing/2014/main" id="{16335C6E-1DC7-4B3A-9EFF-568AADB132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00550" y="1219200"/>
          <a:ext cx="3807024" cy="47053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4</xdr:row>
      <xdr:rowOff>184149</xdr:rowOff>
    </xdr:from>
    <xdr:to>
      <xdr:col>6</xdr:col>
      <xdr:colOff>444500</xdr:colOff>
      <xdr:row>34</xdr:row>
      <xdr:rowOff>126872</xdr:rowOff>
    </xdr:to>
    <xdr:pic>
      <xdr:nvPicPr>
        <xdr:cNvPr id="3" name="Picture 2">
          <a:extLst>
            <a:ext uri="{FF2B5EF4-FFF2-40B4-BE49-F238E27FC236}">
              <a16:creationId xmlns:a16="http://schemas.microsoft.com/office/drawing/2014/main" id="{D03E55A1-6FEE-4A2E-8517-1089B66F38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00" y="1206499"/>
          <a:ext cx="3009900" cy="4730623"/>
        </a:xfrm>
        <a:prstGeom prst="rect">
          <a:avLst/>
        </a:prstGeom>
      </xdr:spPr>
    </xdr:pic>
    <xdr:clientData/>
  </xdr:twoCellAnchor>
  <xdr:twoCellAnchor editAs="oneCell">
    <xdr:from>
      <xdr:col>6</xdr:col>
      <xdr:colOff>304800</xdr:colOff>
      <xdr:row>6</xdr:row>
      <xdr:rowOff>31750</xdr:rowOff>
    </xdr:from>
    <xdr:to>
      <xdr:col>12</xdr:col>
      <xdr:colOff>99318</xdr:colOff>
      <xdr:row>34</xdr:row>
      <xdr:rowOff>88900</xdr:rowOff>
    </xdr:to>
    <xdr:pic>
      <xdr:nvPicPr>
        <xdr:cNvPr id="7" name="Picture 6">
          <a:extLst>
            <a:ext uri="{FF2B5EF4-FFF2-40B4-BE49-F238E27FC236}">
              <a16:creationId xmlns:a16="http://schemas.microsoft.com/office/drawing/2014/main" id="{59B42BA2-FFB0-4EAB-AE73-BBBB352F87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52900" y="1397000"/>
          <a:ext cx="3642618" cy="45021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7</xdr:col>
      <xdr:colOff>57766</xdr:colOff>
      <xdr:row>37</xdr:row>
      <xdr:rowOff>50800</xdr:rowOff>
    </xdr:to>
    <xdr:pic>
      <xdr:nvPicPr>
        <xdr:cNvPr id="3" name="Picture 2">
          <a:extLst>
            <a:ext uri="{FF2B5EF4-FFF2-40B4-BE49-F238E27FC236}">
              <a16:creationId xmlns:a16="http://schemas.microsoft.com/office/drawing/2014/main" id="{525906D1-E090-480E-8DE8-4EAC633178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00" y="996950"/>
          <a:ext cx="3264516" cy="5130800"/>
        </a:xfrm>
        <a:prstGeom prst="rect">
          <a:avLst/>
        </a:prstGeom>
      </xdr:spPr>
    </xdr:pic>
    <xdr:clientData/>
  </xdr:twoCellAnchor>
  <xdr:twoCellAnchor editAs="oneCell">
    <xdr:from>
      <xdr:col>7</xdr:col>
      <xdr:colOff>25400</xdr:colOff>
      <xdr:row>7</xdr:row>
      <xdr:rowOff>69850</xdr:rowOff>
    </xdr:from>
    <xdr:to>
      <xdr:col>12</xdr:col>
      <xdr:colOff>558884</xdr:colOff>
      <xdr:row>36</xdr:row>
      <xdr:rowOff>88900</xdr:rowOff>
    </xdr:to>
    <xdr:pic>
      <xdr:nvPicPr>
        <xdr:cNvPr id="7" name="Picture 6">
          <a:extLst>
            <a:ext uri="{FF2B5EF4-FFF2-40B4-BE49-F238E27FC236}">
              <a16:creationId xmlns:a16="http://schemas.microsoft.com/office/drawing/2014/main" id="{45FCBF9C-3420-4BD6-8A4C-8317890784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14850" y="1384300"/>
          <a:ext cx="3740234" cy="4622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7</xdr:col>
      <xdr:colOff>152400</xdr:colOff>
      <xdr:row>35</xdr:row>
      <xdr:rowOff>148736</xdr:rowOff>
    </xdr:to>
    <xdr:pic>
      <xdr:nvPicPr>
        <xdr:cNvPr id="3" name="Picture 2">
          <a:extLst>
            <a:ext uri="{FF2B5EF4-FFF2-40B4-BE49-F238E27FC236}">
              <a16:creationId xmlns:a16="http://schemas.microsoft.com/office/drawing/2014/main" id="{CDC41C46-EE03-4C46-B286-87F34A11CB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00" y="850900"/>
          <a:ext cx="3359150" cy="5279536"/>
        </a:xfrm>
        <a:prstGeom prst="rect">
          <a:avLst/>
        </a:prstGeom>
      </xdr:spPr>
    </xdr:pic>
    <xdr:clientData/>
  </xdr:twoCellAnchor>
  <xdr:twoCellAnchor editAs="oneCell">
    <xdr:from>
      <xdr:col>6</xdr:col>
      <xdr:colOff>488950</xdr:colOff>
      <xdr:row>5</xdr:row>
      <xdr:rowOff>152400</xdr:rowOff>
    </xdr:from>
    <xdr:to>
      <xdr:col>12</xdr:col>
      <xdr:colOff>375946</xdr:colOff>
      <xdr:row>35</xdr:row>
      <xdr:rowOff>6350</xdr:rowOff>
    </xdr:to>
    <xdr:pic>
      <xdr:nvPicPr>
        <xdr:cNvPr id="5" name="Picture 4">
          <a:extLst>
            <a:ext uri="{FF2B5EF4-FFF2-40B4-BE49-F238E27FC236}">
              <a16:creationId xmlns:a16="http://schemas.microsoft.com/office/drawing/2014/main" id="{A552C253-DEEA-4FF7-AF01-117BD2379A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37050" y="1371600"/>
          <a:ext cx="3735096" cy="46164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1</xdr:col>
      <xdr:colOff>581026</xdr:colOff>
      <xdr:row>0</xdr:row>
      <xdr:rowOff>47626</xdr:rowOff>
    </xdr:from>
    <xdr:ext cx="8429624" cy="396000"/>
    <mc:AlternateContent xmlns:mc="http://schemas.openxmlformats.org/markup-compatibility/2006" xmlns:a14="http://schemas.microsoft.com/office/drawing/2010/main">
      <mc:Choice Requires="a14">
        <xdr:graphicFrame macro="">
          <xdr:nvGraphicFramePr>
            <xdr:cNvPr id="2" name="Year 5">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microsoft.com/office/drawing/2010/slicer">
              <sle:slicer xmlns:sle="http://schemas.microsoft.com/office/drawing/2010/slicer" name="Year 5"/>
            </a:graphicData>
          </a:graphic>
        </xdr:graphicFrame>
      </mc:Choice>
      <mc:Fallback xmlns="">
        <xdr:sp macro="" textlink="">
          <xdr:nvSpPr>
            <xdr:cNvPr id="0" name=""/>
            <xdr:cNvSpPr>
              <a:spLocks noTextEdit="1"/>
            </xdr:cNvSpPr>
          </xdr:nvSpPr>
          <xdr:spPr>
            <a:xfrm>
              <a:off x="1733551" y="47626"/>
              <a:ext cx="6924674"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oneCellAnchor>
    <xdr:from>
      <xdr:col>4</xdr:col>
      <xdr:colOff>447672</xdr:colOff>
      <xdr:row>45</xdr:row>
      <xdr:rowOff>66676</xdr:rowOff>
    </xdr:from>
    <xdr:ext cx="8442328" cy="438150"/>
    <mc:AlternateContent xmlns:mc="http://schemas.openxmlformats.org/markup-compatibility/2006" xmlns:a14="http://schemas.microsoft.com/office/drawing/2010/main">
      <mc:Choice Requires="a14">
        <xdr:graphicFrame macro="">
          <xdr:nvGraphicFramePr>
            <xdr:cNvPr id="3" name="Year 6">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microsoft.com/office/drawing/2010/slicer">
              <sle:slicer xmlns:sle="http://schemas.microsoft.com/office/drawing/2010/slicer" name="Year 6"/>
            </a:graphicData>
          </a:graphic>
        </xdr:graphicFrame>
      </mc:Choice>
      <mc:Fallback xmlns="">
        <xdr:sp macro="" textlink="">
          <xdr:nvSpPr>
            <xdr:cNvPr id="0" name=""/>
            <xdr:cNvSpPr>
              <a:spLocks noTextEdit="1"/>
            </xdr:cNvSpPr>
          </xdr:nvSpPr>
          <xdr:spPr>
            <a:xfrm>
              <a:off x="4886322" y="8210551"/>
              <a:ext cx="7639053"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37.xml><?xml version="1.0" encoding="utf-8"?>
<xdr:wsDr xmlns:xdr="http://schemas.openxmlformats.org/drawingml/2006/spreadsheetDrawing" xmlns:a="http://schemas.openxmlformats.org/drawingml/2006/main">
  <xdr:twoCellAnchor editAs="oneCell">
    <xdr:from>
      <xdr:col>2</xdr:col>
      <xdr:colOff>234950</xdr:colOff>
      <xdr:row>0</xdr:row>
      <xdr:rowOff>63500</xdr:rowOff>
    </xdr:from>
    <xdr:to>
      <xdr:col>12</xdr:col>
      <xdr:colOff>177800</xdr:colOff>
      <xdr:row>2</xdr:row>
      <xdr:rowOff>101600</xdr:rowOff>
    </xdr:to>
    <mc:AlternateContent xmlns:mc="http://schemas.openxmlformats.org/markup-compatibility/2006" xmlns:a14="http://schemas.microsoft.com/office/drawing/2010/main">
      <mc:Choice Requires="a14">
        <xdr:graphicFrame macro="">
          <xdr:nvGraphicFramePr>
            <xdr:cNvPr id="4" name="Fiscal_Yr_New 2">
              <a:extLst>
                <a:ext uri="{FF2B5EF4-FFF2-40B4-BE49-F238E27FC236}">
                  <a16:creationId xmlns:a16="http://schemas.microsoft.com/office/drawing/2014/main" id="{8B00467B-E8F6-4F23-86FE-2C5630E9860A}"/>
                </a:ext>
              </a:extLst>
            </xdr:cNvPr>
            <xdr:cNvGraphicFramePr/>
          </xdr:nvGraphicFramePr>
          <xdr:xfrm>
            <a:off x="0" y="0"/>
            <a:ext cx="0" cy="0"/>
          </xdr:xfrm>
          <a:graphic>
            <a:graphicData uri="http://schemas.microsoft.com/office/drawing/2010/slicer">
              <sle:slicer xmlns:sle="http://schemas.microsoft.com/office/drawing/2010/slicer" name="Fiscal_Yr_New 2"/>
            </a:graphicData>
          </a:graphic>
        </xdr:graphicFrame>
      </mc:Choice>
      <mc:Fallback xmlns="">
        <xdr:sp macro="" textlink="">
          <xdr:nvSpPr>
            <xdr:cNvPr id="0" name=""/>
            <xdr:cNvSpPr>
              <a:spLocks noTextEdit="1"/>
            </xdr:cNvSpPr>
          </xdr:nvSpPr>
          <xdr:spPr>
            <a:xfrm>
              <a:off x="3689350" y="63500"/>
              <a:ext cx="8509000" cy="3937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285750</xdr:colOff>
      <xdr:row>12</xdr:row>
      <xdr:rowOff>95250</xdr:rowOff>
    </xdr:from>
    <xdr:to>
      <xdr:col>14</xdr:col>
      <xdr:colOff>146050</xdr:colOff>
      <xdr:row>14</xdr:row>
      <xdr:rowOff>158750</xdr:rowOff>
    </xdr:to>
    <mc:AlternateContent xmlns:mc="http://schemas.openxmlformats.org/markup-compatibility/2006" xmlns:a14="http://schemas.microsoft.com/office/drawing/2010/main">
      <mc:Choice Requires="a14">
        <xdr:graphicFrame macro="">
          <xdr:nvGraphicFramePr>
            <xdr:cNvPr id="3" name="Fiscal_Yr_New">
              <a:extLst>
                <a:ext uri="{FF2B5EF4-FFF2-40B4-BE49-F238E27FC236}">
                  <a16:creationId xmlns:a16="http://schemas.microsoft.com/office/drawing/2014/main" id="{A58C082A-2141-4C6D-B6C6-DEDA81061DE7}"/>
                </a:ext>
              </a:extLst>
            </xdr:cNvPr>
            <xdr:cNvGraphicFramePr/>
          </xdr:nvGraphicFramePr>
          <xdr:xfrm>
            <a:off x="0" y="0"/>
            <a:ext cx="0" cy="0"/>
          </xdr:xfrm>
          <a:graphic>
            <a:graphicData uri="http://schemas.microsoft.com/office/drawing/2010/slicer">
              <sle:slicer xmlns:sle="http://schemas.microsoft.com/office/drawing/2010/slicer" name="Fiscal_Yr_New"/>
            </a:graphicData>
          </a:graphic>
        </xdr:graphicFrame>
      </mc:Choice>
      <mc:Fallback xmlns="">
        <xdr:sp macro="" textlink="">
          <xdr:nvSpPr>
            <xdr:cNvPr id="0" name=""/>
            <xdr:cNvSpPr>
              <a:spLocks noTextEdit="1"/>
            </xdr:cNvSpPr>
          </xdr:nvSpPr>
          <xdr:spPr>
            <a:xfrm>
              <a:off x="2114550" y="2038350"/>
              <a:ext cx="8509000" cy="3937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514346</xdr:colOff>
      <xdr:row>0</xdr:row>
      <xdr:rowOff>28575</xdr:rowOff>
    </xdr:from>
    <xdr:to>
      <xdr:col>12</xdr:col>
      <xdr:colOff>12700</xdr:colOff>
      <xdr:row>1</xdr:row>
      <xdr:rowOff>209550</xdr:rowOff>
    </xdr:to>
    <mc:AlternateContent xmlns:mc="http://schemas.openxmlformats.org/markup-compatibility/2006" xmlns:a14="http://schemas.microsoft.com/office/drawing/2010/main">
      <mc:Choice Requires="a14">
        <xdr:graphicFrame macro="">
          <xdr:nvGraphicFramePr>
            <xdr:cNvPr id="2" name="Year 28">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microsoft.com/office/drawing/2010/slicer">
              <sle:slicer xmlns:sle="http://schemas.microsoft.com/office/drawing/2010/slicer" name="Year 28"/>
            </a:graphicData>
          </a:graphic>
        </xdr:graphicFrame>
      </mc:Choice>
      <mc:Fallback xmlns="">
        <xdr:sp macro="" textlink="">
          <xdr:nvSpPr>
            <xdr:cNvPr id="0" name=""/>
            <xdr:cNvSpPr>
              <a:spLocks noTextEdit="1"/>
            </xdr:cNvSpPr>
          </xdr:nvSpPr>
          <xdr:spPr>
            <a:xfrm>
              <a:off x="1676397" y="28575"/>
              <a:ext cx="7077078" cy="4095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6" name="Rectangle 5">
          <a:extLst>
            <a:ext uri="{FF2B5EF4-FFF2-40B4-BE49-F238E27FC236}">
              <a16:creationId xmlns:a16="http://schemas.microsoft.com/office/drawing/2014/main" id="{00000000-0008-0000-0700-000006000000}"/>
            </a:ext>
          </a:extLst>
        </xdr:cNvPr>
        <xdr:cNvSpPr/>
      </xdr:nvSpPr>
      <xdr:spPr>
        <a:xfrm>
          <a:off x="3048000" y="72771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101600</xdr:colOff>
      <xdr:row>5</xdr:row>
      <xdr:rowOff>12700</xdr:rowOff>
    </xdr:from>
    <xdr:to>
      <xdr:col>13</xdr:col>
      <xdr:colOff>285750</xdr:colOff>
      <xdr:row>31</xdr:row>
      <xdr:rowOff>21068</xdr:rowOff>
    </xdr:to>
    <xdr:pic>
      <xdr:nvPicPr>
        <xdr:cNvPr id="3" name="Picture 2">
          <a:extLst>
            <a:ext uri="{FF2B5EF4-FFF2-40B4-BE49-F238E27FC236}">
              <a16:creationId xmlns:a16="http://schemas.microsoft.com/office/drawing/2014/main" id="{CF14B24A-CD78-4B54-84A9-EB73D8C644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4300" y="1155700"/>
          <a:ext cx="7239000" cy="413586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215900</xdr:colOff>
      <xdr:row>4</xdr:row>
      <xdr:rowOff>182980</xdr:rowOff>
    </xdr:from>
    <xdr:to>
      <xdr:col>12</xdr:col>
      <xdr:colOff>292100</xdr:colOff>
      <xdr:row>28</xdr:row>
      <xdr:rowOff>97923</xdr:rowOff>
    </xdr:to>
    <xdr:pic>
      <xdr:nvPicPr>
        <xdr:cNvPr id="3" name="Picture 2">
          <a:extLst>
            <a:ext uri="{FF2B5EF4-FFF2-40B4-BE49-F238E27FC236}">
              <a16:creationId xmlns:a16="http://schemas.microsoft.com/office/drawing/2014/main" id="{B92CFC97-48BB-4B1A-9EFA-89C54F01E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2550" y="1160880"/>
          <a:ext cx="7131050" cy="407419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311150</xdr:colOff>
      <xdr:row>5</xdr:row>
      <xdr:rowOff>146050</xdr:rowOff>
    </xdr:from>
    <xdr:to>
      <xdr:col>13</xdr:col>
      <xdr:colOff>469900</xdr:colOff>
      <xdr:row>30</xdr:row>
      <xdr:rowOff>99119</xdr:rowOff>
    </xdr:to>
    <xdr:pic>
      <xdr:nvPicPr>
        <xdr:cNvPr id="3" name="Picture 2">
          <a:extLst>
            <a:ext uri="{FF2B5EF4-FFF2-40B4-BE49-F238E27FC236}">
              <a16:creationId xmlns:a16="http://schemas.microsoft.com/office/drawing/2014/main" id="{171EC261-EBB7-4476-AE92-CCDF49D7AB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0350" y="1066800"/>
          <a:ext cx="6864350" cy="392181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400050</xdr:colOff>
      <xdr:row>3</xdr:row>
      <xdr:rowOff>177800</xdr:rowOff>
    </xdr:from>
    <xdr:to>
      <xdr:col>8</xdr:col>
      <xdr:colOff>0</xdr:colOff>
      <xdr:row>36</xdr:row>
      <xdr:rowOff>8102</xdr:rowOff>
    </xdr:to>
    <xdr:pic>
      <xdr:nvPicPr>
        <xdr:cNvPr id="4" name="Picture 3">
          <a:extLst>
            <a:ext uri="{FF2B5EF4-FFF2-40B4-BE49-F238E27FC236}">
              <a16:creationId xmlns:a16="http://schemas.microsoft.com/office/drawing/2014/main" id="{F0229193-6B04-42E6-86DB-DA75146B7D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0" y="863600"/>
          <a:ext cx="3257550" cy="5119852"/>
        </a:xfrm>
        <a:prstGeom prst="rect">
          <a:avLst/>
        </a:prstGeom>
      </xdr:spPr>
    </xdr:pic>
    <xdr:clientData/>
  </xdr:twoCellAnchor>
  <xdr:twoCellAnchor editAs="oneCell">
    <xdr:from>
      <xdr:col>7</xdr:col>
      <xdr:colOff>552450</xdr:colOff>
      <xdr:row>6</xdr:row>
      <xdr:rowOff>57150</xdr:rowOff>
    </xdr:from>
    <xdr:to>
      <xdr:col>13</xdr:col>
      <xdr:colOff>532330</xdr:colOff>
      <xdr:row>34</xdr:row>
      <xdr:rowOff>107950</xdr:rowOff>
    </xdr:to>
    <xdr:pic>
      <xdr:nvPicPr>
        <xdr:cNvPr id="7" name="Picture 6">
          <a:extLst>
            <a:ext uri="{FF2B5EF4-FFF2-40B4-BE49-F238E27FC236}">
              <a16:creationId xmlns:a16="http://schemas.microsoft.com/office/drawing/2014/main" id="{7AE2408C-539E-45C2-B09E-1B68F4540F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19650" y="1270000"/>
          <a:ext cx="3637480" cy="4495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177800</xdr:colOff>
      <xdr:row>4</xdr:row>
      <xdr:rowOff>132210</xdr:rowOff>
    </xdr:from>
    <xdr:to>
      <xdr:col>12</xdr:col>
      <xdr:colOff>565150</xdr:colOff>
      <xdr:row>29</xdr:row>
      <xdr:rowOff>66173</xdr:rowOff>
    </xdr:to>
    <xdr:pic>
      <xdr:nvPicPr>
        <xdr:cNvPr id="3" name="Picture 2">
          <a:extLst>
            <a:ext uri="{FF2B5EF4-FFF2-40B4-BE49-F238E27FC236}">
              <a16:creationId xmlns:a16="http://schemas.microsoft.com/office/drawing/2014/main" id="{5EC9C0D8-2D8B-4BB2-B55F-4535B953A8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4450" y="1129160"/>
          <a:ext cx="7442200" cy="425196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19050</xdr:colOff>
      <xdr:row>4</xdr:row>
      <xdr:rowOff>184149</xdr:rowOff>
    </xdr:from>
    <xdr:to>
      <xdr:col>6</xdr:col>
      <xdr:colOff>16213</xdr:colOff>
      <xdr:row>36</xdr:row>
      <xdr:rowOff>114300</xdr:rowOff>
    </xdr:to>
    <xdr:pic>
      <xdr:nvPicPr>
        <xdr:cNvPr id="3" name="Picture 2">
          <a:extLst>
            <a:ext uri="{FF2B5EF4-FFF2-40B4-BE49-F238E27FC236}">
              <a16:creationId xmlns:a16="http://schemas.microsoft.com/office/drawing/2014/main" id="{673C3DD3-32ED-4870-8A91-292A8FB0CA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400" y="1244599"/>
          <a:ext cx="3203913" cy="5035551"/>
        </a:xfrm>
        <a:prstGeom prst="rect">
          <a:avLst/>
        </a:prstGeom>
      </xdr:spPr>
    </xdr:pic>
    <xdr:clientData/>
  </xdr:twoCellAnchor>
  <xdr:twoCellAnchor editAs="oneCell">
    <xdr:from>
      <xdr:col>6</xdr:col>
      <xdr:colOff>247650</xdr:colOff>
      <xdr:row>4</xdr:row>
      <xdr:rowOff>107950</xdr:rowOff>
    </xdr:from>
    <xdr:to>
      <xdr:col>12</xdr:col>
      <xdr:colOff>227124</xdr:colOff>
      <xdr:row>34</xdr:row>
      <xdr:rowOff>50800</xdr:rowOff>
    </xdr:to>
    <xdr:pic>
      <xdr:nvPicPr>
        <xdr:cNvPr id="5" name="Picture 4">
          <a:extLst>
            <a:ext uri="{FF2B5EF4-FFF2-40B4-BE49-F238E27FC236}">
              <a16:creationId xmlns:a16="http://schemas.microsoft.com/office/drawing/2014/main" id="{0F764045-87D1-449D-B0A6-E96A4B7381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5750" y="1168400"/>
          <a:ext cx="3827574" cy="47307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596010</xdr:colOff>
      <xdr:row>0</xdr:row>
      <xdr:rowOff>41041</xdr:rowOff>
    </xdr:from>
    <xdr:to>
      <xdr:col>13</xdr:col>
      <xdr:colOff>31750</xdr:colOff>
      <xdr:row>1</xdr:row>
      <xdr:rowOff>207169</xdr:rowOff>
    </xdr:to>
    <mc:AlternateContent xmlns:mc="http://schemas.openxmlformats.org/markup-compatibility/2006" xmlns:a14="http://schemas.microsoft.com/office/drawing/2010/main">
      <mc:Choice Requires="a14">
        <xdr:graphicFrame macro="">
          <xdr:nvGraphicFramePr>
            <xdr:cNvPr id="2" name="Year 29">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microsoft.com/office/drawing/2010/slicer">
              <sle:slicer xmlns:sle="http://schemas.microsoft.com/office/drawing/2010/slicer" name="Year 29"/>
            </a:graphicData>
          </a:graphic>
        </xdr:graphicFrame>
      </mc:Choice>
      <mc:Fallback xmlns="">
        <xdr:sp macro="" textlink="">
          <xdr:nvSpPr>
            <xdr:cNvPr id="0" name=""/>
            <xdr:cNvSpPr>
              <a:spLocks noTextEdit="1"/>
            </xdr:cNvSpPr>
          </xdr:nvSpPr>
          <xdr:spPr>
            <a:xfrm>
              <a:off x="1767587" y="41041"/>
              <a:ext cx="6807294" cy="40425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6.xml><?xml version="1.0" encoding="utf-8"?>
<xdr:wsDr xmlns:xdr="http://schemas.openxmlformats.org/drawingml/2006/spreadsheetDrawing" xmlns:a="http://schemas.openxmlformats.org/drawingml/2006/main">
  <xdr:oneCellAnchor>
    <xdr:from>
      <xdr:col>1</xdr:col>
      <xdr:colOff>761998</xdr:colOff>
      <xdr:row>0</xdr:row>
      <xdr:rowOff>28575</xdr:rowOff>
    </xdr:from>
    <xdr:ext cx="8293101" cy="396000"/>
    <mc:AlternateContent xmlns:mc="http://schemas.openxmlformats.org/markup-compatibility/2006" xmlns:a14="http://schemas.microsoft.com/office/drawing/2010/main">
      <mc:Choice Requires="a14">
        <xdr:graphicFrame macro="">
          <xdr:nvGraphicFramePr>
            <xdr:cNvPr id="3" name="Year 34">
              <a:extLst>
                <a:ext uri="{FF2B5EF4-FFF2-40B4-BE49-F238E27FC236}">
                  <a16:creationId xmlns:a16="http://schemas.microsoft.com/office/drawing/2014/main" id="{00000000-0008-0000-3A00-000003000000}"/>
                </a:ext>
              </a:extLst>
            </xdr:cNvPr>
            <xdr:cNvGraphicFramePr/>
          </xdr:nvGraphicFramePr>
          <xdr:xfrm>
            <a:off x="0" y="0"/>
            <a:ext cx="0" cy="0"/>
          </xdr:xfrm>
          <a:graphic>
            <a:graphicData uri="http://schemas.microsoft.com/office/drawing/2010/slicer">
              <sle:slicer xmlns:sle="http://schemas.microsoft.com/office/drawing/2010/slicer" name="Year 34"/>
            </a:graphicData>
          </a:graphic>
        </xdr:graphicFrame>
      </mc:Choice>
      <mc:Fallback xmlns="">
        <xdr:sp macro="" textlink="">
          <xdr:nvSpPr>
            <xdr:cNvPr id="0" name=""/>
            <xdr:cNvSpPr>
              <a:spLocks noTextEdit="1"/>
            </xdr:cNvSpPr>
          </xdr:nvSpPr>
          <xdr:spPr>
            <a:xfrm>
              <a:off x="1895474" y="28575"/>
              <a:ext cx="6657976"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47.xml><?xml version="1.0" encoding="utf-8"?>
<xdr:wsDr xmlns:xdr="http://schemas.openxmlformats.org/drawingml/2006/spreadsheetDrawing" xmlns:a="http://schemas.openxmlformats.org/drawingml/2006/main">
  <xdr:twoCellAnchor editAs="oneCell">
    <xdr:from>
      <xdr:col>7</xdr:col>
      <xdr:colOff>76200</xdr:colOff>
      <xdr:row>3</xdr:row>
      <xdr:rowOff>19050</xdr:rowOff>
    </xdr:from>
    <xdr:to>
      <xdr:col>12</xdr:col>
      <xdr:colOff>413518</xdr:colOff>
      <xdr:row>21</xdr:row>
      <xdr:rowOff>26168</xdr:rowOff>
    </xdr:to>
    <xdr:pic>
      <xdr:nvPicPr>
        <xdr:cNvPr id="7" name="Picture 6">
          <a:extLst>
            <a:ext uri="{FF2B5EF4-FFF2-40B4-BE49-F238E27FC236}">
              <a16:creationId xmlns:a16="http://schemas.microsoft.com/office/drawing/2014/main" id="{2C3294AB-CE79-4A3A-9115-9341D3E4F9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60950" y="812800"/>
          <a:ext cx="3239268" cy="3239268"/>
        </a:xfrm>
        <a:prstGeom prst="rect">
          <a:avLst/>
        </a:prstGeom>
      </xdr:spPr>
    </xdr:pic>
    <xdr:clientData/>
  </xdr:twoCellAnchor>
  <xdr:twoCellAnchor editAs="oneCell">
    <xdr:from>
      <xdr:col>12</xdr:col>
      <xdr:colOff>412750</xdr:colOff>
      <xdr:row>3</xdr:row>
      <xdr:rowOff>12700</xdr:rowOff>
    </xdr:from>
    <xdr:to>
      <xdr:col>18</xdr:col>
      <xdr:colOff>115068</xdr:colOff>
      <xdr:row>21</xdr:row>
      <xdr:rowOff>19818</xdr:rowOff>
    </xdr:to>
    <xdr:pic>
      <xdr:nvPicPr>
        <xdr:cNvPr id="10" name="Picture 9">
          <a:extLst>
            <a:ext uri="{FF2B5EF4-FFF2-40B4-BE49-F238E27FC236}">
              <a16:creationId xmlns:a16="http://schemas.microsoft.com/office/drawing/2014/main" id="{B887768B-9614-4B77-B8E0-08B78ADDEA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99450" y="806450"/>
          <a:ext cx="3239268" cy="3239268"/>
        </a:xfrm>
        <a:prstGeom prst="rect">
          <a:avLst/>
        </a:prstGeom>
      </xdr:spPr>
    </xdr:pic>
    <xdr:clientData/>
  </xdr:twoCellAnchor>
  <xdr:twoCellAnchor editAs="oneCell">
    <xdr:from>
      <xdr:col>2</xdr:col>
      <xdr:colOff>57150</xdr:colOff>
      <xdr:row>24</xdr:row>
      <xdr:rowOff>95250</xdr:rowOff>
    </xdr:from>
    <xdr:to>
      <xdr:col>7</xdr:col>
      <xdr:colOff>89668</xdr:colOff>
      <xdr:row>45</xdr:row>
      <xdr:rowOff>768</xdr:rowOff>
    </xdr:to>
    <xdr:pic>
      <xdr:nvPicPr>
        <xdr:cNvPr id="12" name="Picture 11">
          <a:extLst>
            <a:ext uri="{FF2B5EF4-FFF2-40B4-BE49-F238E27FC236}">
              <a16:creationId xmlns:a16="http://schemas.microsoft.com/office/drawing/2014/main" id="{05EE27E1-627B-49E6-BF1E-3E92C5EC3D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35150" y="4597400"/>
          <a:ext cx="3239268" cy="3239268"/>
        </a:xfrm>
        <a:prstGeom prst="rect">
          <a:avLst/>
        </a:prstGeom>
      </xdr:spPr>
    </xdr:pic>
    <xdr:clientData/>
  </xdr:twoCellAnchor>
  <xdr:twoCellAnchor editAs="oneCell">
    <xdr:from>
      <xdr:col>12</xdr:col>
      <xdr:colOff>457199</xdr:colOff>
      <xdr:row>24</xdr:row>
      <xdr:rowOff>85725</xdr:rowOff>
    </xdr:from>
    <xdr:to>
      <xdr:col>18</xdr:col>
      <xdr:colOff>157930</xdr:colOff>
      <xdr:row>44</xdr:row>
      <xdr:rowOff>149993</xdr:rowOff>
    </xdr:to>
    <xdr:pic>
      <xdr:nvPicPr>
        <xdr:cNvPr id="16" name="Picture 15">
          <a:extLst>
            <a:ext uri="{FF2B5EF4-FFF2-40B4-BE49-F238E27FC236}">
              <a16:creationId xmlns:a16="http://schemas.microsoft.com/office/drawing/2014/main" id="{45F8928F-6D05-496B-BAC5-F24F29CDC4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355012" y="4586288"/>
          <a:ext cx="3248793" cy="3239268"/>
        </a:xfrm>
        <a:prstGeom prst="rect">
          <a:avLst/>
        </a:prstGeom>
      </xdr:spPr>
    </xdr:pic>
    <xdr:clientData/>
  </xdr:twoCellAnchor>
  <xdr:twoCellAnchor editAs="oneCell">
    <xdr:from>
      <xdr:col>2</xdr:col>
      <xdr:colOff>15875</xdr:colOff>
      <xdr:row>3</xdr:row>
      <xdr:rowOff>31750</xdr:rowOff>
    </xdr:from>
    <xdr:to>
      <xdr:col>7</xdr:col>
      <xdr:colOff>40455</xdr:colOff>
      <xdr:row>21</xdr:row>
      <xdr:rowOff>40455</xdr:rowOff>
    </xdr:to>
    <xdr:pic>
      <xdr:nvPicPr>
        <xdr:cNvPr id="20" name="Picture 19">
          <a:extLst>
            <a:ext uri="{FF2B5EF4-FFF2-40B4-BE49-F238E27FC236}">
              <a16:creationId xmlns:a16="http://schemas.microsoft.com/office/drawing/2014/main" id="{5B5894AE-2DD0-46D4-9A1B-A27CD3B2DD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93875" y="825500"/>
          <a:ext cx="3239268" cy="3239268"/>
        </a:xfrm>
        <a:prstGeom prst="rect">
          <a:avLst/>
        </a:prstGeom>
      </xdr:spPr>
    </xdr:pic>
    <xdr:clientData/>
  </xdr:twoCellAnchor>
  <xdr:twoCellAnchor editAs="oneCell">
    <xdr:from>
      <xdr:col>7</xdr:col>
      <xdr:colOff>150813</xdr:colOff>
      <xdr:row>24</xdr:row>
      <xdr:rowOff>79375</xdr:rowOff>
    </xdr:from>
    <xdr:to>
      <xdr:col>12</xdr:col>
      <xdr:colOff>484956</xdr:colOff>
      <xdr:row>44</xdr:row>
      <xdr:rowOff>143643</xdr:rowOff>
    </xdr:to>
    <xdr:pic>
      <xdr:nvPicPr>
        <xdr:cNvPr id="27" name="Picture 26">
          <a:extLst>
            <a:ext uri="{FF2B5EF4-FFF2-40B4-BE49-F238E27FC236}">
              <a16:creationId xmlns:a16="http://schemas.microsoft.com/office/drawing/2014/main" id="{AB4E446A-1E1E-4179-8781-A246EE5FB7A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43501" y="4579938"/>
          <a:ext cx="3239268" cy="323926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273050</xdr:colOff>
      <xdr:row>3</xdr:row>
      <xdr:rowOff>127000</xdr:rowOff>
    </xdr:from>
    <xdr:to>
      <xdr:col>6</xdr:col>
      <xdr:colOff>323850</xdr:colOff>
      <xdr:row>35</xdr:row>
      <xdr:rowOff>116052</xdr:rowOff>
    </xdr:to>
    <xdr:pic>
      <xdr:nvPicPr>
        <xdr:cNvPr id="3" name="Picture 2">
          <a:extLst>
            <a:ext uri="{FF2B5EF4-FFF2-40B4-BE49-F238E27FC236}">
              <a16:creationId xmlns:a16="http://schemas.microsoft.com/office/drawing/2014/main" id="{25F38CB1-AA2E-490D-9366-748CFB9156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0" y="984250"/>
          <a:ext cx="3257550" cy="5119852"/>
        </a:xfrm>
        <a:prstGeom prst="rect">
          <a:avLst/>
        </a:prstGeom>
      </xdr:spPr>
    </xdr:pic>
    <xdr:clientData/>
  </xdr:twoCellAnchor>
  <xdr:twoCellAnchor editAs="oneCell">
    <xdr:from>
      <xdr:col>6</xdr:col>
      <xdr:colOff>406400</xdr:colOff>
      <xdr:row>4</xdr:row>
      <xdr:rowOff>133350</xdr:rowOff>
    </xdr:from>
    <xdr:to>
      <xdr:col>12</xdr:col>
      <xdr:colOff>627346</xdr:colOff>
      <xdr:row>36</xdr:row>
      <xdr:rowOff>57150</xdr:rowOff>
    </xdr:to>
    <xdr:pic>
      <xdr:nvPicPr>
        <xdr:cNvPr id="5" name="Picture 4">
          <a:extLst>
            <a:ext uri="{FF2B5EF4-FFF2-40B4-BE49-F238E27FC236}">
              <a16:creationId xmlns:a16="http://schemas.microsoft.com/office/drawing/2014/main" id="{35698EC2-4706-471F-8B75-ECED4D0FC6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54500" y="1174750"/>
          <a:ext cx="4069046" cy="5029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501650</xdr:colOff>
      <xdr:row>3</xdr:row>
      <xdr:rowOff>184149</xdr:rowOff>
    </xdr:from>
    <xdr:to>
      <xdr:col>6</xdr:col>
      <xdr:colOff>584200</xdr:colOff>
      <xdr:row>36</xdr:row>
      <xdr:rowOff>64352</xdr:rowOff>
    </xdr:to>
    <xdr:pic>
      <xdr:nvPicPr>
        <xdr:cNvPr id="3" name="Picture 2">
          <a:extLst>
            <a:ext uri="{FF2B5EF4-FFF2-40B4-BE49-F238E27FC236}">
              <a16:creationId xmlns:a16="http://schemas.microsoft.com/office/drawing/2014/main" id="{EE486EF5-8877-4585-82DD-3E8D64086C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0" y="1054099"/>
          <a:ext cx="3289300" cy="5169753"/>
        </a:xfrm>
        <a:prstGeom prst="rect">
          <a:avLst/>
        </a:prstGeom>
      </xdr:spPr>
    </xdr:pic>
    <xdr:clientData/>
  </xdr:twoCellAnchor>
  <xdr:twoCellAnchor editAs="oneCell">
    <xdr:from>
      <xdr:col>6</xdr:col>
      <xdr:colOff>336550</xdr:colOff>
      <xdr:row>5</xdr:row>
      <xdr:rowOff>36444</xdr:rowOff>
    </xdr:from>
    <xdr:to>
      <xdr:col>12</xdr:col>
      <xdr:colOff>546100</xdr:colOff>
      <xdr:row>36</xdr:row>
      <xdr:rowOff>130310</xdr:rowOff>
    </xdr:to>
    <xdr:pic>
      <xdr:nvPicPr>
        <xdr:cNvPr id="5" name="Picture 4">
          <a:extLst>
            <a:ext uri="{FF2B5EF4-FFF2-40B4-BE49-F238E27FC236}">
              <a16:creationId xmlns:a16="http://schemas.microsoft.com/office/drawing/2014/main" id="{C8C86826-95FB-4B36-9933-0DB435508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84650" y="1274694"/>
          <a:ext cx="4057650" cy="50151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577850</xdr:colOff>
      <xdr:row>4</xdr:row>
      <xdr:rowOff>133350</xdr:rowOff>
    </xdr:from>
    <xdr:to>
      <xdr:col>15</xdr:col>
      <xdr:colOff>490866</xdr:colOff>
      <xdr:row>31</xdr:row>
      <xdr:rowOff>44450</xdr:rowOff>
    </xdr:to>
    <xdr:pic>
      <xdr:nvPicPr>
        <xdr:cNvPr id="4" name="Picture 3">
          <a:extLst>
            <a:ext uri="{FF2B5EF4-FFF2-40B4-BE49-F238E27FC236}">
              <a16:creationId xmlns:a16="http://schemas.microsoft.com/office/drawing/2014/main" id="{60CFCCD1-33A5-4559-B184-0CB907B8D3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7450" y="1098550"/>
          <a:ext cx="8447416" cy="42227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285750</xdr:colOff>
      <xdr:row>4</xdr:row>
      <xdr:rowOff>63500</xdr:rowOff>
    </xdr:from>
    <xdr:to>
      <xdr:col>6</xdr:col>
      <xdr:colOff>209550</xdr:colOff>
      <xdr:row>35</xdr:row>
      <xdr:rowOff>37098</xdr:rowOff>
    </xdr:to>
    <xdr:pic>
      <xdr:nvPicPr>
        <xdr:cNvPr id="3" name="Picture 2">
          <a:extLst>
            <a:ext uri="{FF2B5EF4-FFF2-40B4-BE49-F238E27FC236}">
              <a16:creationId xmlns:a16="http://schemas.microsoft.com/office/drawing/2014/main" id="{D740CD50-981B-4F56-AD2A-94BF5BC075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0" y="1085850"/>
          <a:ext cx="3130550" cy="4920248"/>
        </a:xfrm>
        <a:prstGeom prst="rect">
          <a:avLst/>
        </a:prstGeom>
      </xdr:spPr>
    </xdr:pic>
    <xdr:clientData/>
  </xdr:twoCellAnchor>
  <xdr:twoCellAnchor editAs="oneCell">
    <xdr:from>
      <xdr:col>6</xdr:col>
      <xdr:colOff>152400</xdr:colOff>
      <xdr:row>5</xdr:row>
      <xdr:rowOff>114299</xdr:rowOff>
    </xdr:from>
    <xdr:to>
      <xdr:col>12</xdr:col>
      <xdr:colOff>88900</xdr:colOff>
      <xdr:row>35</xdr:row>
      <xdr:rowOff>29434</xdr:rowOff>
    </xdr:to>
    <xdr:pic>
      <xdr:nvPicPr>
        <xdr:cNvPr id="5" name="Picture 4">
          <a:extLst>
            <a:ext uri="{FF2B5EF4-FFF2-40B4-BE49-F238E27FC236}">
              <a16:creationId xmlns:a16="http://schemas.microsoft.com/office/drawing/2014/main" id="{11A6FCEA-06F0-488D-8A75-EEF592B313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0500" y="1320799"/>
          <a:ext cx="3784600" cy="467763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32518</xdr:colOff>
      <xdr:row>22</xdr:row>
      <xdr:rowOff>32518</xdr:rowOff>
    </xdr:to>
    <xdr:pic>
      <xdr:nvPicPr>
        <xdr:cNvPr id="5" name="Picture 4">
          <a:extLst>
            <a:ext uri="{FF2B5EF4-FFF2-40B4-BE49-F238E27FC236}">
              <a16:creationId xmlns:a16="http://schemas.microsoft.com/office/drawing/2014/main" id="{C55726DA-A357-43A6-81B6-3EEDA948CF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6650" y="996950"/>
          <a:ext cx="3239268" cy="3239268"/>
        </a:xfrm>
        <a:prstGeom prst="rect">
          <a:avLst/>
        </a:prstGeom>
      </xdr:spPr>
    </xdr:pic>
    <xdr:clientData/>
  </xdr:twoCellAnchor>
  <xdr:twoCellAnchor editAs="oneCell">
    <xdr:from>
      <xdr:col>6</xdr:col>
      <xdr:colOff>82550</xdr:colOff>
      <xdr:row>3</xdr:row>
      <xdr:rowOff>165100</xdr:rowOff>
    </xdr:from>
    <xdr:to>
      <xdr:col>11</xdr:col>
      <xdr:colOff>508768</xdr:colOff>
      <xdr:row>22</xdr:row>
      <xdr:rowOff>13468</xdr:rowOff>
    </xdr:to>
    <xdr:pic>
      <xdr:nvPicPr>
        <xdr:cNvPr id="7" name="Picture 6">
          <a:extLst>
            <a:ext uri="{FF2B5EF4-FFF2-40B4-BE49-F238E27FC236}">
              <a16:creationId xmlns:a16="http://schemas.microsoft.com/office/drawing/2014/main" id="{ABCA46A3-A144-4134-AB83-EBEF513AC3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25950" y="977900"/>
          <a:ext cx="3239268" cy="3239268"/>
        </a:xfrm>
        <a:prstGeom prst="rect">
          <a:avLst/>
        </a:prstGeom>
      </xdr:spPr>
    </xdr:pic>
    <xdr:clientData/>
  </xdr:twoCellAnchor>
  <xdr:twoCellAnchor editAs="oneCell">
    <xdr:from>
      <xdr:col>11</xdr:col>
      <xdr:colOff>527050</xdr:colOff>
      <xdr:row>3</xdr:row>
      <xdr:rowOff>165100</xdr:rowOff>
    </xdr:from>
    <xdr:to>
      <xdr:col>17</xdr:col>
      <xdr:colOff>267468</xdr:colOff>
      <xdr:row>22</xdr:row>
      <xdr:rowOff>13468</xdr:rowOff>
    </xdr:to>
    <xdr:pic>
      <xdr:nvPicPr>
        <xdr:cNvPr id="10" name="Picture 9">
          <a:extLst>
            <a:ext uri="{FF2B5EF4-FFF2-40B4-BE49-F238E27FC236}">
              <a16:creationId xmlns:a16="http://schemas.microsoft.com/office/drawing/2014/main" id="{77277096-94E4-441C-970E-A28B48AF47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83500" y="977900"/>
          <a:ext cx="3239268" cy="3239268"/>
        </a:xfrm>
        <a:prstGeom prst="rect">
          <a:avLst/>
        </a:prstGeom>
      </xdr:spPr>
    </xdr:pic>
    <xdr:clientData/>
  </xdr:twoCellAnchor>
  <xdr:twoCellAnchor editAs="oneCell">
    <xdr:from>
      <xdr:col>1</xdr:col>
      <xdr:colOff>31750</xdr:colOff>
      <xdr:row>25</xdr:row>
      <xdr:rowOff>44450</xdr:rowOff>
    </xdr:from>
    <xdr:to>
      <xdr:col>6</xdr:col>
      <xdr:colOff>64268</xdr:colOff>
      <xdr:row>45</xdr:row>
      <xdr:rowOff>108718</xdr:rowOff>
    </xdr:to>
    <xdr:pic>
      <xdr:nvPicPr>
        <xdr:cNvPr id="12" name="Picture 11">
          <a:extLst>
            <a:ext uri="{FF2B5EF4-FFF2-40B4-BE49-F238E27FC236}">
              <a16:creationId xmlns:a16="http://schemas.microsoft.com/office/drawing/2014/main" id="{4EE2B7DD-0A93-478F-9927-71A05DCCBD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8400" y="4724400"/>
          <a:ext cx="3239268" cy="3239268"/>
        </a:xfrm>
        <a:prstGeom prst="rect">
          <a:avLst/>
        </a:prstGeom>
      </xdr:spPr>
    </xdr:pic>
    <xdr:clientData/>
  </xdr:twoCellAnchor>
  <xdr:twoCellAnchor editAs="oneCell">
    <xdr:from>
      <xdr:col>11</xdr:col>
      <xdr:colOff>596900</xdr:colOff>
      <xdr:row>24</xdr:row>
      <xdr:rowOff>76200</xdr:rowOff>
    </xdr:from>
    <xdr:to>
      <xdr:col>17</xdr:col>
      <xdr:colOff>476250</xdr:colOff>
      <xdr:row>45</xdr:row>
      <xdr:rowOff>120650</xdr:rowOff>
    </xdr:to>
    <xdr:pic>
      <xdr:nvPicPr>
        <xdr:cNvPr id="21" name="Picture 20">
          <a:extLst>
            <a:ext uri="{FF2B5EF4-FFF2-40B4-BE49-F238E27FC236}">
              <a16:creationId xmlns:a16="http://schemas.microsoft.com/office/drawing/2014/main" id="{96F69829-A45D-4EA4-BE00-4FBD3B1CAF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53350" y="4597400"/>
          <a:ext cx="3378200" cy="3378200"/>
        </a:xfrm>
        <a:prstGeom prst="rect">
          <a:avLst/>
        </a:prstGeom>
      </xdr:spPr>
    </xdr:pic>
    <xdr:clientData/>
  </xdr:twoCellAnchor>
  <xdr:twoCellAnchor editAs="oneCell">
    <xdr:from>
      <xdr:col>6</xdr:col>
      <xdr:colOff>165100</xdr:colOff>
      <xdr:row>25</xdr:row>
      <xdr:rowOff>63500</xdr:rowOff>
    </xdr:from>
    <xdr:to>
      <xdr:col>11</xdr:col>
      <xdr:colOff>591318</xdr:colOff>
      <xdr:row>45</xdr:row>
      <xdr:rowOff>127768</xdr:rowOff>
    </xdr:to>
    <xdr:pic>
      <xdr:nvPicPr>
        <xdr:cNvPr id="6" name="Picture 5">
          <a:extLst>
            <a:ext uri="{FF2B5EF4-FFF2-40B4-BE49-F238E27FC236}">
              <a16:creationId xmlns:a16="http://schemas.microsoft.com/office/drawing/2014/main" id="{BE3E6ABA-997C-4977-B44B-D81173AB74C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08500" y="4743450"/>
          <a:ext cx="3239268" cy="323926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171450</xdr:colOff>
      <xdr:row>4</xdr:row>
      <xdr:rowOff>139700</xdr:rowOff>
    </xdr:from>
    <xdr:to>
      <xdr:col>6</xdr:col>
      <xdr:colOff>203968</xdr:colOff>
      <xdr:row>23</xdr:row>
      <xdr:rowOff>13468</xdr:rowOff>
    </xdr:to>
    <xdr:pic>
      <xdr:nvPicPr>
        <xdr:cNvPr id="5" name="Picture 4">
          <a:extLst>
            <a:ext uri="{FF2B5EF4-FFF2-40B4-BE49-F238E27FC236}">
              <a16:creationId xmlns:a16="http://schemas.microsoft.com/office/drawing/2014/main" id="{54B3C0E8-0D2B-44AA-A109-6EBEF91B64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8100" y="1136650"/>
          <a:ext cx="3239268" cy="3239268"/>
        </a:xfrm>
        <a:prstGeom prst="rect">
          <a:avLst/>
        </a:prstGeom>
      </xdr:spPr>
    </xdr:pic>
    <xdr:clientData/>
  </xdr:twoCellAnchor>
  <xdr:twoCellAnchor editAs="oneCell">
    <xdr:from>
      <xdr:col>6</xdr:col>
      <xdr:colOff>222250</xdr:colOff>
      <xdr:row>3</xdr:row>
      <xdr:rowOff>151264</xdr:rowOff>
    </xdr:from>
    <xdr:to>
      <xdr:col>12</xdr:col>
      <xdr:colOff>215900</xdr:colOff>
      <xdr:row>23</xdr:row>
      <xdr:rowOff>43314</xdr:rowOff>
    </xdr:to>
    <xdr:pic>
      <xdr:nvPicPr>
        <xdr:cNvPr id="7" name="Picture 6">
          <a:extLst>
            <a:ext uri="{FF2B5EF4-FFF2-40B4-BE49-F238E27FC236}">
              <a16:creationId xmlns:a16="http://schemas.microsoft.com/office/drawing/2014/main" id="{17CA3AD6-EE83-451A-A497-18D5D42056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65650" y="964064"/>
          <a:ext cx="3441700" cy="3441700"/>
        </a:xfrm>
        <a:prstGeom prst="rect">
          <a:avLst/>
        </a:prstGeom>
      </xdr:spPr>
    </xdr:pic>
    <xdr:clientData/>
  </xdr:twoCellAnchor>
  <xdr:twoCellAnchor editAs="oneCell">
    <xdr:from>
      <xdr:col>12</xdr:col>
      <xdr:colOff>215900</xdr:colOff>
      <xdr:row>5</xdr:row>
      <xdr:rowOff>0</xdr:rowOff>
    </xdr:from>
    <xdr:to>
      <xdr:col>18</xdr:col>
      <xdr:colOff>7118</xdr:colOff>
      <xdr:row>23</xdr:row>
      <xdr:rowOff>57918</xdr:rowOff>
    </xdr:to>
    <xdr:pic>
      <xdr:nvPicPr>
        <xdr:cNvPr id="11" name="Picture 10">
          <a:extLst>
            <a:ext uri="{FF2B5EF4-FFF2-40B4-BE49-F238E27FC236}">
              <a16:creationId xmlns:a16="http://schemas.microsoft.com/office/drawing/2014/main" id="{D7A00C77-D80C-4E76-9886-F880163C48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07350" y="1181100"/>
          <a:ext cx="3239268" cy="3239268"/>
        </a:xfrm>
        <a:prstGeom prst="rect">
          <a:avLst/>
        </a:prstGeom>
      </xdr:spPr>
    </xdr:pic>
    <xdr:clientData/>
  </xdr:twoCellAnchor>
  <xdr:twoCellAnchor editAs="oneCell">
    <xdr:from>
      <xdr:col>1</xdr:col>
      <xdr:colOff>38100</xdr:colOff>
      <xdr:row>24</xdr:row>
      <xdr:rowOff>133350</xdr:rowOff>
    </xdr:from>
    <xdr:to>
      <xdr:col>6</xdr:col>
      <xdr:colOff>139700</xdr:colOff>
      <xdr:row>45</xdr:row>
      <xdr:rowOff>107950</xdr:rowOff>
    </xdr:to>
    <xdr:pic>
      <xdr:nvPicPr>
        <xdr:cNvPr id="13" name="Picture 12">
          <a:extLst>
            <a:ext uri="{FF2B5EF4-FFF2-40B4-BE49-F238E27FC236}">
              <a16:creationId xmlns:a16="http://schemas.microsoft.com/office/drawing/2014/main" id="{F20C7880-3C8E-4BDA-A2E6-B71BC9D5FF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74750" y="4654550"/>
          <a:ext cx="3308350" cy="3308350"/>
        </a:xfrm>
        <a:prstGeom prst="rect">
          <a:avLst/>
        </a:prstGeom>
      </xdr:spPr>
    </xdr:pic>
    <xdr:clientData/>
  </xdr:twoCellAnchor>
  <xdr:twoCellAnchor editAs="oneCell">
    <xdr:from>
      <xdr:col>12</xdr:col>
      <xdr:colOff>273050</xdr:colOff>
      <xdr:row>25</xdr:row>
      <xdr:rowOff>25400</xdr:rowOff>
    </xdr:from>
    <xdr:to>
      <xdr:col>18</xdr:col>
      <xdr:colOff>64268</xdr:colOff>
      <xdr:row>45</xdr:row>
      <xdr:rowOff>89668</xdr:rowOff>
    </xdr:to>
    <xdr:pic>
      <xdr:nvPicPr>
        <xdr:cNvPr id="21" name="Picture 20">
          <a:extLst>
            <a:ext uri="{FF2B5EF4-FFF2-40B4-BE49-F238E27FC236}">
              <a16:creationId xmlns:a16="http://schemas.microsoft.com/office/drawing/2014/main" id="{7613738B-DA2E-467A-9B2C-142A0B9A1B3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64500" y="4705350"/>
          <a:ext cx="3239268" cy="3239268"/>
        </a:xfrm>
        <a:prstGeom prst="rect">
          <a:avLst/>
        </a:prstGeom>
      </xdr:spPr>
    </xdr:pic>
    <xdr:clientData/>
  </xdr:twoCellAnchor>
  <xdr:twoCellAnchor editAs="oneCell">
    <xdr:from>
      <xdr:col>6</xdr:col>
      <xdr:colOff>298450</xdr:colOff>
      <xdr:row>24</xdr:row>
      <xdr:rowOff>101600</xdr:rowOff>
    </xdr:from>
    <xdr:to>
      <xdr:col>12</xdr:col>
      <xdr:colOff>177800</xdr:colOff>
      <xdr:row>45</xdr:row>
      <xdr:rowOff>95250</xdr:rowOff>
    </xdr:to>
    <xdr:pic>
      <xdr:nvPicPr>
        <xdr:cNvPr id="3" name="Picture 2">
          <a:extLst>
            <a:ext uri="{FF2B5EF4-FFF2-40B4-BE49-F238E27FC236}">
              <a16:creationId xmlns:a16="http://schemas.microsoft.com/office/drawing/2014/main" id="{31DF5595-D491-4C88-B8AF-EB8EB67F6EF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41850" y="4622800"/>
          <a:ext cx="3327400" cy="33274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457196</xdr:colOff>
      <xdr:row>0</xdr:row>
      <xdr:rowOff>28575</xdr:rowOff>
    </xdr:from>
    <xdr:ext cx="8286754" cy="396000"/>
    <mc:AlternateContent xmlns:mc="http://schemas.openxmlformats.org/markup-compatibility/2006" xmlns:a14="http://schemas.microsoft.com/office/drawing/2010/main">
      <mc:Choice Requires="a14">
        <xdr:graphicFrame macro="">
          <xdr:nvGraphicFramePr>
            <xdr:cNvPr id="2" name="Year 2">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1704972" y="28575"/>
              <a:ext cx="6791328"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54.xml><?xml version="1.0" encoding="utf-8"?>
<xdr:wsDr xmlns:xdr="http://schemas.openxmlformats.org/drawingml/2006/spreadsheetDrawing" xmlns:a="http://schemas.openxmlformats.org/drawingml/2006/main">
  <xdr:twoCellAnchor editAs="oneCell">
    <xdr:from>
      <xdr:col>1</xdr:col>
      <xdr:colOff>857250</xdr:colOff>
      <xdr:row>0</xdr:row>
      <xdr:rowOff>66675</xdr:rowOff>
    </xdr:from>
    <xdr:to>
      <xdr:col>4</xdr:col>
      <xdr:colOff>209551</xdr:colOff>
      <xdr:row>1</xdr:row>
      <xdr:rowOff>133350</xdr:rowOff>
    </xdr:to>
    <mc:AlternateContent xmlns:mc="http://schemas.openxmlformats.org/markup-compatibility/2006" xmlns:a14="http://schemas.microsoft.com/office/drawing/2010/main">
      <mc:Choice Requires="a14">
        <xdr:graphicFrame macro="">
          <xdr:nvGraphicFramePr>
            <xdr:cNvPr id="2" name="Type 1">
              <a:extLst>
                <a:ext uri="{FF2B5EF4-FFF2-40B4-BE49-F238E27FC236}">
                  <a16:creationId xmlns:a16="http://schemas.microsoft.com/office/drawing/2014/main" id="{91CC7693-248D-4652-8DD5-B2C54EF64D1D}"/>
                </a:ext>
              </a:extLst>
            </xdr:cNvPr>
            <xdr:cNvGraphicFramePr/>
          </xdr:nvGraphicFramePr>
          <xdr:xfrm>
            <a:off x="0" y="0"/>
            <a:ext cx="0" cy="0"/>
          </xdr:xfrm>
          <a:graphic>
            <a:graphicData uri="http://schemas.microsoft.com/office/drawing/2010/slicer">
              <sle:slicer xmlns:sle="http://schemas.microsoft.com/office/drawing/2010/slicer" name="Type 1"/>
            </a:graphicData>
          </a:graphic>
        </xdr:graphicFrame>
      </mc:Choice>
      <mc:Fallback xmlns="">
        <xdr:sp macro="" textlink="">
          <xdr:nvSpPr>
            <xdr:cNvPr id="0" name=""/>
            <xdr:cNvSpPr>
              <a:spLocks noTextEdit="1"/>
            </xdr:cNvSpPr>
          </xdr:nvSpPr>
          <xdr:spPr>
            <a:xfrm>
              <a:off x="2066925" y="66675"/>
              <a:ext cx="2152651"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657224</xdr:colOff>
      <xdr:row>21</xdr:row>
      <xdr:rowOff>95250</xdr:rowOff>
    </xdr:from>
    <xdr:to>
      <xdr:col>3</xdr:col>
      <xdr:colOff>1165225</xdr:colOff>
      <xdr:row>24</xdr:row>
      <xdr:rowOff>95250</xdr:rowOff>
    </xdr:to>
    <mc:AlternateContent xmlns:mc="http://schemas.openxmlformats.org/markup-compatibility/2006" xmlns:a14="http://schemas.microsoft.com/office/drawing/2010/main">
      <mc:Choice Requires="a14">
        <xdr:graphicFrame macro="">
          <xdr:nvGraphicFramePr>
            <xdr:cNvPr id="2" name="Type">
              <a:extLst>
                <a:ext uri="{FF2B5EF4-FFF2-40B4-BE49-F238E27FC236}">
                  <a16:creationId xmlns:a16="http://schemas.microsoft.com/office/drawing/2014/main" id="{817D718D-26C2-496D-ABCE-84874733DFBD}"/>
                </a:ext>
              </a:extLst>
            </xdr:cNvPr>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4019549" y="3495675"/>
              <a:ext cx="2152651" cy="4857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1044574</xdr:colOff>
      <xdr:row>0</xdr:row>
      <xdr:rowOff>9524</xdr:rowOff>
    </xdr:from>
    <xdr:to>
      <xdr:col>13</xdr:col>
      <xdr:colOff>82549</xdr:colOff>
      <xdr:row>2</xdr:row>
      <xdr:rowOff>12700</xdr:rowOff>
    </xdr:to>
    <mc:AlternateContent xmlns:mc="http://schemas.openxmlformats.org/markup-compatibility/2006" xmlns:a14="http://schemas.microsoft.com/office/drawing/2010/main">
      <mc:Choice Requires="a14">
        <xdr:graphicFrame macro="">
          <xdr:nvGraphicFramePr>
            <xdr:cNvPr id="2" name="Year 14">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microsoft.com/office/drawing/2010/slicer">
              <sle:slicer xmlns:sle="http://schemas.microsoft.com/office/drawing/2010/slicer" name="Year 14"/>
            </a:graphicData>
          </a:graphic>
        </xdr:graphicFrame>
      </mc:Choice>
      <mc:Fallback xmlns="">
        <xdr:sp macro="" textlink="">
          <xdr:nvSpPr>
            <xdr:cNvPr id="0" name=""/>
            <xdr:cNvSpPr>
              <a:spLocks noTextEdit="1"/>
            </xdr:cNvSpPr>
          </xdr:nvSpPr>
          <xdr:spPr>
            <a:xfrm>
              <a:off x="2232024" y="9524"/>
              <a:ext cx="8353425" cy="41592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314324</xdr:colOff>
      <xdr:row>48</xdr:row>
      <xdr:rowOff>400051</xdr:rowOff>
    </xdr:from>
    <xdr:to>
      <xdr:col>15</xdr:col>
      <xdr:colOff>336550</xdr:colOff>
      <xdr:row>50</xdr:row>
      <xdr:rowOff>119776</xdr:rowOff>
    </xdr:to>
    <mc:AlternateContent xmlns:mc="http://schemas.openxmlformats.org/markup-compatibility/2006" xmlns:a14="http://schemas.microsoft.com/office/drawing/2010/main">
      <mc:Choice Requires="a14">
        <xdr:graphicFrame macro="">
          <xdr:nvGraphicFramePr>
            <xdr:cNvPr id="3" name="Year 15">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microsoft.com/office/drawing/2010/slicer">
              <sle:slicer xmlns:sle="http://schemas.microsoft.com/office/drawing/2010/slicer" name="Year 15"/>
            </a:graphicData>
          </a:graphic>
        </xdr:graphicFrame>
      </mc:Choice>
      <mc:Fallback xmlns="">
        <xdr:sp macro="" textlink="">
          <xdr:nvSpPr>
            <xdr:cNvPr id="0" name=""/>
            <xdr:cNvSpPr>
              <a:spLocks noTextEdit="1"/>
            </xdr:cNvSpPr>
          </xdr:nvSpPr>
          <xdr:spPr>
            <a:xfrm>
              <a:off x="3219449" y="9258301"/>
              <a:ext cx="6877051"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161924</xdr:colOff>
      <xdr:row>0</xdr:row>
      <xdr:rowOff>28576</xdr:rowOff>
    </xdr:from>
    <xdr:to>
      <xdr:col>11</xdr:col>
      <xdr:colOff>317500</xdr:colOff>
      <xdr:row>1</xdr:row>
      <xdr:rowOff>190500</xdr:rowOff>
    </xdr:to>
    <mc:AlternateContent xmlns:mc="http://schemas.openxmlformats.org/markup-compatibility/2006" xmlns:a14="http://schemas.microsoft.com/office/drawing/2010/main">
      <mc:Choice Requires="a14">
        <xdr:graphicFrame macro="">
          <xdr:nvGraphicFramePr>
            <xdr:cNvPr id="2" name="Year 7">
              <a:extLst>
                <a:ext uri="{FF2B5EF4-FFF2-40B4-BE49-F238E27FC236}">
                  <a16:creationId xmlns:a16="http://schemas.microsoft.com/office/drawing/2014/main" id="{00000000-0008-0000-4A00-000002000000}"/>
                </a:ext>
              </a:extLst>
            </xdr:cNvPr>
            <xdr:cNvGraphicFramePr/>
          </xdr:nvGraphicFramePr>
          <xdr:xfrm>
            <a:off x="0" y="0"/>
            <a:ext cx="0" cy="0"/>
          </xdr:xfrm>
          <a:graphic>
            <a:graphicData uri="http://schemas.microsoft.com/office/drawing/2010/slicer">
              <sle:slicer xmlns:sle="http://schemas.microsoft.com/office/drawing/2010/slicer" name="Year 7"/>
            </a:graphicData>
          </a:graphic>
        </xdr:graphicFrame>
      </mc:Choice>
      <mc:Fallback xmlns="">
        <xdr:sp macro="" textlink="">
          <xdr:nvSpPr>
            <xdr:cNvPr id="0" name=""/>
            <xdr:cNvSpPr>
              <a:spLocks noTextEdit="1"/>
            </xdr:cNvSpPr>
          </xdr:nvSpPr>
          <xdr:spPr>
            <a:xfrm>
              <a:off x="1590675" y="28576"/>
              <a:ext cx="6648450" cy="4000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8.xml><?xml version="1.0" encoding="utf-8"?>
<xdr:wsDr xmlns:xdr="http://schemas.openxmlformats.org/drawingml/2006/spreadsheetDrawing" xmlns:a="http://schemas.openxmlformats.org/drawingml/2006/main">
  <xdr:twoCellAnchor editAs="oneCell">
    <xdr:from>
      <xdr:col>1</xdr:col>
      <xdr:colOff>819150</xdr:colOff>
      <xdr:row>2</xdr:row>
      <xdr:rowOff>381000</xdr:rowOff>
    </xdr:from>
    <xdr:to>
      <xdr:col>11</xdr:col>
      <xdr:colOff>768350</xdr:colOff>
      <xdr:row>4</xdr:row>
      <xdr:rowOff>114300</xdr:rowOff>
    </xdr:to>
    <mc:AlternateContent xmlns:mc="http://schemas.openxmlformats.org/markup-compatibility/2006" xmlns:a14="http://schemas.microsoft.com/office/drawing/2010/main">
      <mc:Choice Requires="a14">
        <xdr:graphicFrame macro="">
          <xdr:nvGraphicFramePr>
            <xdr:cNvPr id="3" name="Year 23">
              <a:extLst>
                <a:ext uri="{FF2B5EF4-FFF2-40B4-BE49-F238E27FC236}">
                  <a16:creationId xmlns:a16="http://schemas.microsoft.com/office/drawing/2014/main" id="{41765A19-FB04-4DCE-909E-1DBA484C0186}"/>
                </a:ext>
              </a:extLst>
            </xdr:cNvPr>
            <xdr:cNvGraphicFramePr/>
          </xdr:nvGraphicFramePr>
          <xdr:xfrm>
            <a:off x="0" y="0"/>
            <a:ext cx="0" cy="0"/>
          </xdr:xfrm>
          <a:graphic>
            <a:graphicData uri="http://schemas.microsoft.com/office/drawing/2010/slicer">
              <sle:slicer xmlns:sle="http://schemas.microsoft.com/office/drawing/2010/slicer" name="Year 23"/>
            </a:graphicData>
          </a:graphic>
        </xdr:graphicFrame>
      </mc:Choice>
      <mc:Fallback xmlns="">
        <xdr:sp macro="" textlink="">
          <xdr:nvSpPr>
            <xdr:cNvPr id="0" name=""/>
            <xdr:cNvSpPr>
              <a:spLocks noTextEdit="1"/>
            </xdr:cNvSpPr>
          </xdr:nvSpPr>
          <xdr:spPr>
            <a:xfrm>
              <a:off x="3352800" y="838200"/>
              <a:ext cx="8216900" cy="4127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209550</xdr:colOff>
      <xdr:row>0</xdr:row>
      <xdr:rowOff>31750</xdr:rowOff>
    </xdr:from>
    <xdr:to>
      <xdr:col>10</xdr:col>
      <xdr:colOff>450849</xdr:colOff>
      <xdr:row>1</xdr:row>
      <xdr:rowOff>222250</xdr:rowOff>
    </xdr:to>
    <mc:AlternateContent xmlns:mc="http://schemas.openxmlformats.org/markup-compatibility/2006" xmlns:a14="http://schemas.microsoft.com/office/drawing/2010/main">
      <mc:Choice Requires="a14">
        <xdr:graphicFrame macro="">
          <xdr:nvGraphicFramePr>
            <xdr:cNvPr id="4" name="Year 40">
              <a:extLst>
                <a:ext uri="{FF2B5EF4-FFF2-40B4-BE49-F238E27FC236}">
                  <a16:creationId xmlns:a16="http://schemas.microsoft.com/office/drawing/2014/main" id="{00000000-0008-0000-5800-000004000000}"/>
                </a:ext>
              </a:extLst>
            </xdr:cNvPr>
            <xdr:cNvGraphicFramePr/>
          </xdr:nvGraphicFramePr>
          <xdr:xfrm>
            <a:off x="0" y="0"/>
            <a:ext cx="0" cy="0"/>
          </xdr:xfrm>
          <a:graphic>
            <a:graphicData uri="http://schemas.microsoft.com/office/drawing/2010/slicer">
              <sle:slicer xmlns:sle="http://schemas.microsoft.com/office/drawing/2010/slicer" name="Year 40"/>
            </a:graphicData>
          </a:graphic>
        </xdr:graphicFrame>
      </mc:Choice>
      <mc:Fallback xmlns="">
        <xdr:sp macro="" textlink="">
          <xdr:nvSpPr>
            <xdr:cNvPr id="0" name=""/>
            <xdr:cNvSpPr>
              <a:spLocks noTextEdit="1"/>
            </xdr:cNvSpPr>
          </xdr:nvSpPr>
          <xdr:spPr>
            <a:xfrm>
              <a:off x="2774950" y="31750"/>
              <a:ext cx="8801099" cy="425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624704</xdr:colOff>
      <xdr:row>5</xdr:row>
      <xdr:rowOff>19050</xdr:rowOff>
    </xdr:from>
    <xdr:to>
      <xdr:col>16</xdr:col>
      <xdr:colOff>134282</xdr:colOff>
      <xdr:row>29</xdr:row>
      <xdr:rowOff>120650</xdr:rowOff>
    </xdr:to>
    <xdr:pic>
      <xdr:nvPicPr>
        <xdr:cNvPr id="3" name="Picture 2">
          <a:extLst>
            <a:ext uri="{FF2B5EF4-FFF2-40B4-BE49-F238E27FC236}">
              <a16:creationId xmlns:a16="http://schemas.microsoft.com/office/drawing/2014/main" id="{800DB00F-696B-4525-8F81-FA243C37D1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054" y="1206500"/>
          <a:ext cx="9129828" cy="39116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800096</xdr:colOff>
      <xdr:row>2</xdr:row>
      <xdr:rowOff>158750</xdr:rowOff>
    </xdr:from>
    <xdr:to>
      <xdr:col>12</xdr:col>
      <xdr:colOff>31750</xdr:colOff>
      <xdr:row>3</xdr:row>
      <xdr:rowOff>111125</xdr:rowOff>
    </xdr:to>
    <mc:AlternateContent xmlns:mc="http://schemas.openxmlformats.org/markup-compatibility/2006" xmlns:a14="http://schemas.microsoft.com/office/drawing/2010/main">
      <mc:Choice Requires="a14">
        <xdr:graphicFrame macro="">
          <xdr:nvGraphicFramePr>
            <xdr:cNvPr id="2" name="Year 18">
              <a:extLst>
                <a:ext uri="{FF2B5EF4-FFF2-40B4-BE49-F238E27FC236}">
                  <a16:creationId xmlns:a16="http://schemas.microsoft.com/office/drawing/2014/main" id="{00000000-0008-0000-5900-000002000000}"/>
                </a:ext>
              </a:extLst>
            </xdr:cNvPr>
            <xdr:cNvGraphicFramePr/>
          </xdr:nvGraphicFramePr>
          <xdr:xfrm>
            <a:off x="0" y="0"/>
            <a:ext cx="0" cy="0"/>
          </xdr:xfrm>
          <a:graphic>
            <a:graphicData uri="http://schemas.microsoft.com/office/drawing/2010/slicer">
              <sle:slicer xmlns:sle="http://schemas.microsoft.com/office/drawing/2010/slicer" name="Year 18"/>
            </a:graphicData>
          </a:graphic>
        </xdr:graphicFrame>
      </mc:Choice>
      <mc:Fallback xmlns="">
        <xdr:sp macro="" textlink="">
          <xdr:nvSpPr>
            <xdr:cNvPr id="0" name=""/>
            <xdr:cNvSpPr>
              <a:spLocks noTextEdit="1"/>
            </xdr:cNvSpPr>
          </xdr:nvSpPr>
          <xdr:spPr>
            <a:xfrm>
              <a:off x="4254496" y="571500"/>
              <a:ext cx="8235954" cy="434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xdr:col>
      <xdr:colOff>225424</xdr:colOff>
      <xdr:row>25</xdr:row>
      <xdr:rowOff>152400</xdr:rowOff>
    </xdr:from>
    <xdr:to>
      <xdr:col>13</xdr:col>
      <xdr:colOff>158750</xdr:colOff>
      <xdr:row>26</xdr:row>
      <xdr:rowOff>357900</xdr:rowOff>
    </xdr:to>
    <mc:AlternateContent xmlns:mc="http://schemas.openxmlformats.org/markup-compatibility/2006" xmlns:a14="http://schemas.microsoft.com/office/drawing/2010/main">
      <mc:Choice Requires="a14">
        <xdr:graphicFrame macro="">
          <xdr:nvGraphicFramePr>
            <xdr:cNvPr id="3" name="Year 19">
              <a:extLst>
                <a:ext uri="{FF2B5EF4-FFF2-40B4-BE49-F238E27FC236}">
                  <a16:creationId xmlns:a16="http://schemas.microsoft.com/office/drawing/2014/main" id="{00000000-0008-0000-5900-000003000000}"/>
                </a:ext>
              </a:extLst>
            </xdr:cNvPr>
            <xdr:cNvGraphicFramePr/>
          </xdr:nvGraphicFramePr>
          <xdr:xfrm>
            <a:off x="0" y="0"/>
            <a:ext cx="0" cy="0"/>
          </xdr:xfrm>
          <a:graphic>
            <a:graphicData uri="http://schemas.microsoft.com/office/drawing/2010/slicer">
              <sle:slicer xmlns:sle="http://schemas.microsoft.com/office/drawing/2010/slicer" name="Year 19"/>
            </a:graphicData>
          </a:graphic>
        </xdr:graphicFrame>
      </mc:Choice>
      <mc:Fallback xmlns="">
        <xdr:sp macro="" textlink="">
          <xdr:nvSpPr>
            <xdr:cNvPr id="0" name=""/>
            <xdr:cNvSpPr>
              <a:spLocks noTextEdit="1"/>
            </xdr:cNvSpPr>
          </xdr:nvSpPr>
          <xdr:spPr>
            <a:xfrm>
              <a:off x="4600574" y="5949950"/>
              <a:ext cx="8575676"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1.xml><?xml version="1.0" encoding="utf-8"?>
<xdr:wsDr xmlns:xdr="http://schemas.openxmlformats.org/drawingml/2006/spreadsheetDrawing" xmlns:a="http://schemas.openxmlformats.org/drawingml/2006/main">
  <xdr:twoCellAnchor editAs="oneCell">
    <xdr:from>
      <xdr:col>2</xdr:col>
      <xdr:colOff>600076</xdr:colOff>
      <xdr:row>2</xdr:row>
      <xdr:rowOff>371475</xdr:rowOff>
    </xdr:from>
    <xdr:to>
      <xdr:col>12</xdr:col>
      <xdr:colOff>514350</xdr:colOff>
      <xdr:row>4</xdr:row>
      <xdr:rowOff>81675</xdr:rowOff>
    </xdr:to>
    <mc:AlternateContent xmlns:mc="http://schemas.openxmlformats.org/markup-compatibility/2006" xmlns:a14="http://schemas.microsoft.com/office/drawing/2010/main">
      <mc:Choice Requires="a14">
        <xdr:graphicFrame macro="">
          <xdr:nvGraphicFramePr>
            <xdr:cNvPr id="2" name="Year 2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microsoft.com/office/drawing/2010/slicer">
              <sle:slicer xmlns:sle="http://schemas.microsoft.com/office/drawing/2010/slicer" name="Year 21"/>
            </a:graphicData>
          </a:graphic>
        </xdr:graphicFrame>
      </mc:Choice>
      <mc:Fallback xmlns="">
        <xdr:sp macro="" textlink="">
          <xdr:nvSpPr>
            <xdr:cNvPr id="0" name=""/>
            <xdr:cNvSpPr>
              <a:spLocks noTextEdit="1"/>
            </xdr:cNvSpPr>
          </xdr:nvSpPr>
          <xdr:spPr>
            <a:xfrm>
              <a:off x="4200526" y="771525"/>
              <a:ext cx="7743824"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628648</xdr:colOff>
      <xdr:row>28</xdr:row>
      <xdr:rowOff>390526</xdr:rowOff>
    </xdr:from>
    <xdr:to>
      <xdr:col>13</xdr:col>
      <xdr:colOff>31750</xdr:colOff>
      <xdr:row>30</xdr:row>
      <xdr:rowOff>146050</xdr:rowOff>
    </xdr:to>
    <mc:AlternateContent xmlns:mc="http://schemas.openxmlformats.org/markup-compatibility/2006" xmlns:a14="http://schemas.microsoft.com/office/drawing/2010/main">
      <mc:Choice Requires="a14">
        <xdr:graphicFrame macro="">
          <xdr:nvGraphicFramePr>
            <xdr:cNvPr id="3" name="Year 22">
              <a:extLst>
                <a:ext uri="{FF2B5EF4-FFF2-40B4-BE49-F238E27FC236}">
                  <a16:creationId xmlns:a16="http://schemas.microsoft.com/office/drawing/2014/main" id="{00000000-0008-0000-5A00-000003000000}"/>
                </a:ext>
              </a:extLst>
            </xdr:cNvPr>
            <xdr:cNvGraphicFramePr/>
          </xdr:nvGraphicFramePr>
          <xdr:xfrm>
            <a:off x="0" y="0"/>
            <a:ext cx="0" cy="0"/>
          </xdr:xfrm>
          <a:graphic>
            <a:graphicData uri="http://schemas.microsoft.com/office/drawing/2010/slicer">
              <sle:slicer xmlns:sle="http://schemas.microsoft.com/office/drawing/2010/slicer" name="Year 22"/>
            </a:graphicData>
          </a:graphic>
        </xdr:graphicFrame>
      </mc:Choice>
      <mc:Fallback xmlns="">
        <xdr:sp macro="" textlink="">
          <xdr:nvSpPr>
            <xdr:cNvPr id="0" name=""/>
            <xdr:cNvSpPr>
              <a:spLocks noTextEdit="1"/>
            </xdr:cNvSpPr>
          </xdr:nvSpPr>
          <xdr:spPr>
            <a:xfrm>
              <a:off x="4229099" y="5924551"/>
              <a:ext cx="7534275"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2.xml><?xml version="1.0" encoding="utf-8"?>
<xdr:wsDr xmlns:xdr="http://schemas.openxmlformats.org/drawingml/2006/spreadsheetDrawing" xmlns:a="http://schemas.openxmlformats.org/drawingml/2006/main">
  <xdr:twoCellAnchor editAs="oneCell">
    <xdr:from>
      <xdr:col>2</xdr:col>
      <xdr:colOff>561972</xdr:colOff>
      <xdr:row>2</xdr:row>
      <xdr:rowOff>76200</xdr:rowOff>
    </xdr:from>
    <xdr:to>
      <xdr:col>12</xdr:col>
      <xdr:colOff>492125</xdr:colOff>
      <xdr:row>2</xdr:row>
      <xdr:rowOff>472200</xdr:rowOff>
    </xdr:to>
    <mc:AlternateContent xmlns:mc="http://schemas.openxmlformats.org/markup-compatibility/2006" xmlns:a14="http://schemas.microsoft.com/office/drawing/2010/main">
      <mc:Choice Requires="a14">
        <xdr:graphicFrame macro="">
          <xdr:nvGraphicFramePr>
            <xdr:cNvPr id="2" name="Year 24">
              <a:extLst>
                <a:ext uri="{FF2B5EF4-FFF2-40B4-BE49-F238E27FC236}">
                  <a16:creationId xmlns:a16="http://schemas.microsoft.com/office/drawing/2014/main" id="{00000000-0008-0000-5D00-000002000000}"/>
                </a:ext>
              </a:extLst>
            </xdr:cNvPr>
            <xdr:cNvGraphicFramePr/>
          </xdr:nvGraphicFramePr>
          <xdr:xfrm>
            <a:off x="0" y="0"/>
            <a:ext cx="0" cy="0"/>
          </xdr:xfrm>
          <a:graphic>
            <a:graphicData uri="http://schemas.microsoft.com/office/drawing/2010/slicer">
              <sle:slicer xmlns:sle="http://schemas.microsoft.com/office/drawing/2010/slicer" name="Year 24"/>
            </a:graphicData>
          </a:graphic>
        </xdr:graphicFrame>
      </mc:Choice>
      <mc:Fallback xmlns="">
        <xdr:sp macro="" textlink="">
          <xdr:nvSpPr>
            <xdr:cNvPr id="0" name=""/>
            <xdr:cNvSpPr>
              <a:spLocks noTextEdit="1"/>
            </xdr:cNvSpPr>
          </xdr:nvSpPr>
          <xdr:spPr>
            <a:xfrm>
              <a:off x="3943347" y="438150"/>
              <a:ext cx="6629403"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755649</xdr:colOff>
      <xdr:row>23</xdr:row>
      <xdr:rowOff>130175</xdr:rowOff>
    </xdr:from>
    <xdr:to>
      <xdr:col>12</xdr:col>
      <xdr:colOff>777875</xdr:colOff>
      <xdr:row>24</xdr:row>
      <xdr:rowOff>41987</xdr:rowOff>
    </xdr:to>
    <mc:AlternateContent xmlns:mc="http://schemas.openxmlformats.org/markup-compatibility/2006" xmlns:a14="http://schemas.microsoft.com/office/drawing/2010/main">
      <mc:Choice Requires="a14">
        <xdr:graphicFrame macro="">
          <xdr:nvGraphicFramePr>
            <xdr:cNvPr id="3" name="Year 25">
              <a:extLst>
                <a:ext uri="{FF2B5EF4-FFF2-40B4-BE49-F238E27FC236}">
                  <a16:creationId xmlns:a16="http://schemas.microsoft.com/office/drawing/2014/main" id="{00000000-0008-0000-5D00-000003000000}"/>
                </a:ext>
              </a:extLst>
            </xdr:cNvPr>
            <xdr:cNvGraphicFramePr/>
          </xdr:nvGraphicFramePr>
          <xdr:xfrm>
            <a:off x="0" y="0"/>
            <a:ext cx="0" cy="0"/>
          </xdr:xfrm>
          <a:graphic>
            <a:graphicData uri="http://schemas.microsoft.com/office/drawing/2010/slicer">
              <sle:slicer xmlns:sle="http://schemas.microsoft.com/office/drawing/2010/slicer" name="Year 25"/>
            </a:graphicData>
          </a:graphic>
        </xdr:graphicFrame>
      </mc:Choice>
      <mc:Fallback xmlns="">
        <xdr:sp macro="" textlink="">
          <xdr:nvSpPr>
            <xdr:cNvPr id="0" name=""/>
            <xdr:cNvSpPr>
              <a:spLocks noTextEdit="1"/>
            </xdr:cNvSpPr>
          </xdr:nvSpPr>
          <xdr:spPr>
            <a:xfrm>
              <a:off x="4292599" y="4930775"/>
              <a:ext cx="8689976" cy="39441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3.xml><?xml version="1.0" encoding="utf-8"?>
<xdr:wsDr xmlns:xdr="http://schemas.openxmlformats.org/drawingml/2006/spreadsheetDrawing" xmlns:a="http://schemas.openxmlformats.org/drawingml/2006/main">
  <xdr:twoCellAnchor editAs="oneCell">
    <xdr:from>
      <xdr:col>2</xdr:col>
      <xdr:colOff>409575</xdr:colOff>
      <xdr:row>2</xdr:row>
      <xdr:rowOff>419100</xdr:rowOff>
    </xdr:from>
    <xdr:to>
      <xdr:col>14</xdr:col>
      <xdr:colOff>590549</xdr:colOff>
      <xdr:row>4</xdr:row>
      <xdr:rowOff>171450</xdr:rowOff>
    </xdr:to>
    <mc:AlternateContent xmlns:mc="http://schemas.openxmlformats.org/markup-compatibility/2006" xmlns:a14="http://schemas.microsoft.com/office/drawing/2010/main">
      <mc:Choice Requires="a14">
        <xdr:graphicFrame macro="">
          <xdr:nvGraphicFramePr>
            <xdr:cNvPr id="4" name="a.Year 2">
              <a:extLst>
                <a:ext uri="{FF2B5EF4-FFF2-40B4-BE49-F238E27FC236}">
                  <a16:creationId xmlns:a16="http://schemas.microsoft.com/office/drawing/2014/main" id="{00000000-0008-0000-5E00-000004000000}"/>
                </a:ext>
              </a:extLst>
            </xdr:cNvPr>
            <xdr:cNvGraphicFramePr/>
          </xdr:nvGraphicFramePr>
          <xdr:xfrm>
            <a:off x="0" y="0"/>
            <a:ext cx="0" cy="0"/>
          </xdr:xfrm>
          <a:graphic>
            <a:graphicData uri="http://schemas.microsoft.com/office/drawing/2010/slicer">
              <sle:slicer xmlns:sle="http://schemas.microsoft.com/office/drawing/2010/slicer" name="a.Year 2"/>
            </a:graphicData>
          </a:graphic>
        </xdr:graphicFrame>
      </mc:Choice>
      <mc:Fallback xmlns="">
        <xdr:sp macro="" textlink="">
          <xdr:nvSpPr>
            <xdr:cNvPr id="0" name=""/>
            <xdr:cNvSpPr>
              <a:spLocks noTextEdit="1"/>
            </xdr:cNvSpPr>
          </xdr:nvSpPr>
          <xdr:spPr>
            <a:xfrm>
              <a:off x="3581400" y="819150"/>
              <a:ext cx="8362949"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381000</xdr:colOff>
      <xdr:row>28</xdr:row>
      <xdr:rowOff>409575</xdr:rowOff>
    </xdr:from>
    <xdr:to>
      <xdr:col>15</xdr:col>
      <xdr:colOff>273050</xdr:colOff>
      <xdr:row>30</xdr:row>
      <xdr:rowOff>160804</xdr:rowOff>
    </xdr:to>
    <mc:AlternateContent xmlns:mc="http://schemas.openxmlformats.org/markup-compatibility/2006" xmlns:a14="http://schemas.microsoft.com/office/drawing/2010/main">
      <mc:Choice Requires="a14">
        <xdr:graphicFrame macro="">
          <xdr:nvGraphicFramePr>
            <xdr:cNvPr id="7" name="a.Year 4">
              <a:extLst>
                <a:ext uri="{FF2B5EF4-FFF2-40B4-BE49-F238E27FC236}">
                  <a16:creationId xmlns:a16="http://schemas.microsoft.com/office/drawing/2014/main" id="{00000000-0008-0000-5E00-000007000000}"/>
                </a:ext>
              </a:extLst>
            </xdr:cNvPr>
            <xdr:cNvGraphicFramePr/>
          </xdr:nvGraphicFramePr>
          <xdr:xfrm>
            <a:off x="0" y="0"/>
            <a:ext cx="0" cy="0"/>
          </xdr:xfrm>
          <a:graphic>
            <a:graphicData uri="http://schemas.microsoft.com/office/drawing/2010/slicer">
              <sle:slicer xmlns:sle="http://schemas.microsoft.com/office/drawing/2010/slicer" name="a.Year 4"/>
            </a:graphicData>
          </a:graphic>
        </xdr:graphicFrame>
      </mc:Choice>
      <mc:Fallback xmlns="">
        <xdr:sp macro="" textlink="">
          <xdr:nvSpPr>
            <xdr:cNvPr id="0" name=""/>
            <xdr:cNvSpPr>
              <a:spLocks noTextEdit="1"/>
            </xdr:cNvSpPr>
          </xdr:nvSpPr>
          <xdr:spPr>
            <a:xfrm>
              <a:off x="3552825" y="6991350"/>
              <a:ext cx="7684433" cy="4370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107945</xdr:colOff>
      <xdr:row>2</xdr:row>
      <xdr:rowOff>406400</xdr:rowOff>
    </xdr:from>
    <xdr:to>
      <xdr:col>12</xdr:col>
      <xdr:colOff>56444</xdr:colOff>
      <xdr:row>4</xdr:row>
      <xdr:rowOff>177799</xdr:rowOff>
    </xdr:to>
    <mc:AlternateContent xmlns:mc="http://schemas.openxmlformats.org/markup-compatibility/2006" xmlns:a14="http://schemas.microsoft.com/office/drawing/2010/main">
      <mc:Choice Requires="a14">
        <xdr:graphicFrame macro="">
          <xdr:nvGraphicFramePr>
            <xdr:cNvPr id="4" name="Year 41">
              <a:extLst>
                <a:ext uri="{FF2B5EF4-FFF2-40B4-BE49-F238E27FC236}">
                  <a16:creationId xmlns:a16="http://schemas.microsoft.com/office/drawing/2014/main" id="{00000000-0008-0000-5F00-000004000000}"/>
                </a:ext>
              </a:extLst>
            </xdr:cNvPr>
            <xdr:cNvGraphicFramePr/>
          </xdr:nvGraphicFramePr>
          <xdr:xfrm>
            <a:off x="0" y="0"/>
            <a:ext cx="0" cy="0"/>
          </xdr:xfrm>
          <a:graphic>
            <a:graphicData uri="http://schemas.microsoft.com/office/drawing/2010/slicer">
              <sle:slicer xmlns:sle="http://schemas.microsoft.com/office/drawing/2010/slicer" name="Year 41"/>
            </a:graphicData>
          </a:graphic>
        </xdr:graphicFrame>
      </mc:Choice>
      <mc:Fallback xmlns="">
        <xdr:sp macro="" textlink="">
          <xdr:nvSpPr>
            <xdr:cNvPr id="0" name=""/>
            <xdr:cNvSpPr>
              <a:spLocks noTextEdit="1"/>
            </xdr:cNvSpPr>
          </xdr:nvSpPr>
          <xdr:spPr>
            <a:xfrm>
              <a:off x="3649834" y="872067"/>
              <a:ext cx="8408110" cy="44167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5.xml><?xml version="1.0" encoding="utf-8"?>
<xdr:wsDr xmlns:xdr="http://schemas.openxmlformats.org/drawingml/2006/spreadsheetDrawing" xmlns:a="http://schemas.openxmlformats.org/drawingml/2006/main">
  <xdr:twoCellAnchor editAs="oneCell">
    <xdr:from>
      <xdr:col>2</xdr:col>
      <xdr:colOff>492125</xdr:colOff>
      <xdr:row>3</xdr:row>
      <xdr:rowOff>19050</xdr:rowOff>
    </xdr:from>
    <xdr:to>
      <xdr:col>14</xdr:col>
      <xdr:colOff>515055</xdr:colOff>
      <xdr:row>5</xdr:row>
      <xdr:rowOff>8031</xdr:rowOff>
    </xdr:to>
    <mc:AlternateContent xmlns:mc="http://schemas.openxmlformats.org/markup-compatibility/2006" xmlns:a14="http://schemas.microsoft.com/office/drawing/2010/main">
      <mc:Choice Requires="a14">
        <xdr:graphicFrame macro="">
          <xdr:nvGraphicFramePr>
            <xdr:cNvPr id="3" name="a.Year 7">
              <a:extLst>
                <a:ext uri="{FF2B5EF4-FFF2-40B4-BE49-F238E27FC236}">
                  <a16:creationId xmlns:a16="http://schemas.microsoft.com/office/drawing/2014/main" id="{00000000-0008-0000-6000-000003000000}"/>
                </a:ext>
              </a:extLst>
            </xdr:cNvPr>
            <xdr:cNvGraphicFramePr/>
          </xdr:nvGraphicFramePr>
          <xdr:xfrm>
            <a:off x="0" y="0"/>
            <a:ext cx="0" cy="0"/>
          </xdr:xfrm>
          <a:graphic>
            <a:graphicData uri="http://schemas.microsoft.com/office/drawing/2010/slicer">
              <sle:slicer xmlns:sle="http://schemas.microsoft.com/office/drawing/2010/slicer" name="a.Year 7"/>
            </a:graphicData>
          </a:graphic>
        </xdr:graphicFrame>
      </mc:Choice>
      <mc:Fallback xmlns="">
        <xdr:sp macro="" textlink="">
          <xdr:nvSpPr>
            <xdr:cNvPr id="0" name=""/>
            <xdr:cNvSpPr>
              <a:spLocks noTextEdit="1"/>
            </xdr:cNvSpPr>
          </xdr:nvSpPr>
          <xdr:spPr>
            <a:xfrm>
              <a:off x="3815292" y="950383"/>
              <a:ext cx="8623652" cy="42642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635000</xdr:colOff>
      <xdr:row>3</xdr:row>
      <xdr:rowOff>158750</xdr:rowOff>
    </xdr:from>
    <xdr:to>
      <xdr:col>13</xdr:col>
      <xdr:colOff>498803</xdr:colOff>
      <xdr:row>35</xdr:row>
      <xdr:rowOff>71437</xdr:rowOff>
    </xdr:to>
    <xdr:pic>
      <xdr:nvPicPr>
        <xdr:cNvPr id="3" name="Picture 2">
          <a:extLst>
            <a:ext uri="{FF2B5EF4-FFF2-40B4-BE49-F238E27FC236}">
              <a16:creationId xmlns:a16="http://schemas.microsoft.com/office/drawing/2014/main" id="{6FFDE527-F823-419B-B6B9-52F4F2FD4C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7938" y="1008063"/>
          <a:ext cx="7579053" cy="504031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247650</xdr:colOff>
      <xdr:row>4</xdr:row>
      <xdr:rowOff>60338</xdr:rowOff>
    </xdr:from>
    <xdr:to>
      <xdr:col>11</xdr:col>
      <xdr:colOff>304800</xdr:colOff>
      <xdr:row>28</xdr:row>
      <xdr:rowOff>110624</xdr:rowOff>
    </xdr:to>
    <xdr:pic>
      <xdr:nvPicPr>
        <xdr:cNvPr id="3" name="Picture 2">
          <a:extLst>
            <a:ext uri="{FF2B5EF4-FFF2-40B4-BE49-F238E27FC236}">
              <a16:creationId xmlns:a16="http://schemas.microsoft.com/office/drawing/2014/main" id="{A3952732-4E29-4D90-B283-CB03988063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0350" y="1101738"/>
          <a:ext cx="5829300" cy="388568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127000</xdr:colOff>
      <xdr:row>4</xdr:row>
      <xdr:rowOff>152400</xdr:rowOff>
    </xdr:from>
    <xdr:to>
      <xdr:col>11</xdr:col>
      <xdr:colOff>469900</xdr:colOff>
      <xdr:row>30</xdr:row>
      <xdr:rowOff>75661</xdr:rowOff>
    </xdr:to>
    <xdr:pic>
      <xdr:nvPicPr>
        <xdr:cNvPr id="3" name="Picture 2">
          <a:extLst>
            <a:ext uri="{FF2B5EF4-FFF2-40B4-BE49-F238E27FC236}">
              <a16:creationId xmlns:a16="http://schemas.microsoft.com/office/drawing/2014/main" id="{D9A1F766-646E-4830-A03D-8623755213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9700" y="1187450"/>
          <a:ext cx="6115050" cy="407616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203200</xdr:colOff>
      <xdr:row>8</xdr:row>
      <xdr:rowOff>23423</xdr:rowOff>
    </xdr:from>
    <xdr:to>
      <xdr:col>9</xdr:col>
      <xdr:colOff>622300</xdr:colOff>
      <xdr:row>33</xdr:row>
      <xdr:rowOff>144914</xdr:rowOff>
    </xdr:to>
    <xdr:pic>
      <xdr:nvPicPr>
        <xdr:cNvPr id="12" name="Picture 11">
          <a:extLst>
            <a:ext uri="{FF2B5EF4-FFF2-40B4-BE49-F238E27FC236}">
              <a16:creationId xmlns:a16="http://schemas.microsoft.com/office/drawing/2014/main" id="{97A440B0-FEDE-44F4-BFA1-B3857A32EC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900" y="1756973"/>
          <a:ext cx="4908550" cy="4090241"/>
        </a:xfrm>
        <a:prstGeom prst="rect">
          <a:avLst/>
        </a:prstGeom>
      </xdr:spPr>
    </xdr:pic>
    <xdr:clientData/>
  </xdr:twoCellAnchor>
  <xdr:twoCellAnchor editAs="oneCell">
    <xdr:from>
      <xdr:col>2</xdr:col>
      <xdr:colOff>0</xdr:colOff>
      <xdr:row>35</xdr:row>
      <xdr:rowOff>0</xdr:rowOff>
    </xdr:from>
    <xdr:to>
      <xdr:col>9</xdr:col>
      <xdr:colOff>628650</xdr:colOff>
      <xdr:row>60</xdr:row>
      <xdr:rowOff>107950</xdr:rowOff>
    </xdr:to>
    <xdr:pic>
      <xdr:nvPicPr>
        <xdr:cNvPr id="17" name="Picture 16">
          <a:extLst>
            <a:ext uri="{FF2B5EF4-FFF2-40B4-BE49-F238E27FC236}">
              <a16:creationId xmlns:a16="http://schemas.microsoft.com/office/drawing/2014/main" id="{DF3A1C79-2F14-49EF-AA74-19466ACA787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2700" y="6019800"/>
          <a:ext cx="5118100" cy="4114800"/>
        </a:xfrm>
        <a:prstGeom prst="rect">
          <a:avLst/>
        </a:prstGeom>
      </xdr:spPr>
    </xdr:pic>
    <xdr:clientData/>
  </xdr:twoCellAnchor>
  <xdr:twoCellAnchor editAs="oneCell">
    <xdr:from>
      <xdr:col>11</xdr:col>
      <xdr:colOff>0</xdr:colOff>
      <xdr:row>35</xdr:row>
      <xdr:rowOff>0</xdr:rowOff>
    </xdr:from>
    <xdr:to>
      <xdr:col>18</xdr:col>
      <xdr:colOff>114300</xdr:colOff>
      <xdr:row>59</xdr:row>
      <xdr:rowOff>120650</xdr:rowOff>
    </xdr:to>
    <xdr:pic>
      <xdr:nvPicPr>
        <xdr:cNvPr id="18" name="Picture 17">
          <a:extLst>
            <a:ext uri="{FF2B5EF4-FFF2-40B4-BE49-F238E27FC236}">
              <a16:creationId xmlns:a16="http://schemas.microsoft.com/office/drawing/2014/main" id="{BDD41BB8-B42E-4610-B4A1-E4D87314FEA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54850" y="6019800"/>
          <a:ext cx="4603750" cy="3968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558800</xdr:colOff>
      <xdr:row>3</xdr:row>
      <xdr:rowOff>57151</xdr:rowOff>
    </xdr:from>
    <xdr:to>
      <xdr:col>12</xdr:col>
      <xdr:colOff>50800</xdr:colOff>
      <xdr:row>26</xdr:row>
      <xdr:rowOff>95523</xdr:rowOff>
    </xdr:to>
    <xdr:pic>
      <xdr:nvPicPr>
        <xdr:cNvPr id="4" name="Picture 3">
          <a:extLst>
            <a:ext uri="{FF2B5EF4-FFF2-40B4-BE49-F238E27FC236}">
              <a16:creationId xmlns:a16="http://schemas.microsoft.com/office/drawing/2014/main" id="{47749029-4E3C-402E-99FD-06E290A243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0150" y="876301"/>
          <a:ext cx="6546850" cy="3740422"/>
        </a:xfrm>
        <a:prstGeom prst="rect">
          <a:avLst/>
        </a:prstGeom>
      </xdr:spPr>
    </xdr:pic>
    <xdr:clientData/>
  </xdr:twoCellAnchor>
  <xdr:twoCellAnchor editAs="oneCell">
    <xdr:from>
      <xdr:col>3</xdr:col>
      <xdr:colOff>438150</xdr:colOff>
      <xdr:row>34</xdr:row>
      <xdr:rowOff>44449</xdr:rowOff>
    </xdr:from>
    <xdr:to>
      <xdr:col>13</xdr:col>
      <xdr:colOff>0</xdr:colOff>
      <xdr:row>55</xdr:row>
      <xdr:rowOff>118254</xdr:rowOff>
    </xdr:to>
    <xdr:pic>
      <xdr:nvPicPr>
        <xdr:cNvPr id="6" name="Picture 5">
          <a:extLst>
            <a:ext uri="{FF2B5EF4-FFF2-40B4-BE49-F238E27FC236}">
              <a16:creationId xmlns:a16="http://schemas.microsoft.com/office/drawing/2014/main" id="{A3F34FD4-4D03-4463-B0E8-9C8D74FD98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44750" y="5899149"/>
          <a:ext cx="5975350" cy="341390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330200</xdr:colOff>
      <xdr:row>8</xdr:row>
      <xdr:rowOff>9272</xdr:rowOff>
    </xdr:from>
    <xdr:to>
      <xdr:col>13</xdr:col>
      <xdr:colOff>516818</xdr:colOff>
      <xdr:row>34</xdr:row>
      <xdr:rowOff>19050</xdr:rowOff>
    </xdr:to>
    <xdr:pic>
      <xdr:nvPicPr>
        <xdr:cNvPr id="4" name="Picture 3">
          <a:extLst>
            <a:ext uri="{FF2B5EF4-FFF2-40B4-BE49-F238E27FC236}">
              <a16:creationId xmlns:a16="http://schemas.microsoft.com/office/drawing/2014/main" id="{FFC425AE-6652-4CB9-92D2-58EDB055F5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2900" y="1742822"/>
          <a:ext cx="7241468" cy="4137278"/>
        </a:xfrm>
        <a:prstGeom prst="rect">
          <a:avLst/>
        </a:prstGeom>
      </xdr:spPr>
    </xdr:pic>
    <xdr:clientData/>
  </xdr:twoCellAnchor>
  <xdr:twoCellAnchor editAs="oneCell">
    <xdr:from>
      <xdr:col>2</xdr:col>
      <xdr:colOff>514040</xdr:colOff>
      <xdr:row>39</xdr:row>
      <xdr:rowOff>38100</xdr:rowOff>
    </xdr:from>
    <xdr:to>
      <xdr:col>13</xdr:col>
      <xdr:colOff>321448</xdr:colOff>
      <xdr:row>63</xdr:row>
      <xdr:rowOff>148724</xdr:rowOff>
    </xdr:to>
    <xdr:pic>
      <xdr:nvPicPr>
        <xdr:cNvPr id="7" name="Picture 6">
          <a:extLst>
            <a:ext uri="{FF2B5EF4-FFF2-40B4-BE49-F238E27FC236}">
              <a16:creationId xmlns:a16="http://schemas.microsoft.com/office/drawing/2014/main" id="{10F58D9A-D7FC-4F4F-804A-81BC7990FF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6740" y="6769100"/>
          <a:ext cx="6862258" cy="392062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15</xdr:col>
      <xdr:colOff>153179</xdr:colOff>
      <xdr:row>33</xdr:row>
      <xdr:rowOff>44450</xdr:rowOff>
    </xdr:to>
    <xdr:pic>
      <xdr:nvPicPr>
        <xdr:cNvPr id="4" name="Picture 3">
          <a:extLst>
            <a:ext uri="{FF2B5EF4-FFF2-40B4-BE49-F238E27FC236}">
              <a16:creationId xmlns:a16="http://schemas.microsoft.com/office/drawing/2014/main" id="{3C534FA7-449E-4105-8DD3-452F3A3F8F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00" y="1219200"/>
          <a:ext cx="8490729" cy="452755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9</xdr:col>
      <xdr:colOff>355600</xdr:colOff>
      <xdr:row>31</xdr:row>
      <xdr:rowOff>101600</xdr:rowOff>
    </xdr:to>
    <xdr:pic>
      <xdr:nvPicPr>
        <xdr:cNvPr id="9" name="Picture 8">
          <a:extLst>
            <a:ext uri="{FF2B5EF4-FFF2-40B4-BE49-F238E27FC236}">
              <a16:creationId xmlns:a16="http://schemas.microsoft.com/office/drawing/2014/main" id="{2DCAC054-A84E-4C16-8939-0FF2551F6D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00" y="1384300"/>
          <a:ext cx="4845050" cy="4108450"/>
        </a:xfrm>
        <a:prstGeom prst="rect">
          <a:avLst/>
        </a:prstGeom>
      </xdr:spPr>
    </xdr:pic>
    <xdr:clientData/>
  </xdr:twoCellAnchor>
  <xdr:twoCellAnchor editAs="oneCell">
    <xdr:from>
      <xdr:col>1</xdr:col>
      <xdr:colOff>628650</xdr:colOff>
      <xdr:row>34</xdr:row>
      <xdr:rowOff>158749</xdr:rowOff>
    </xdr:from>
    <xdr:to>
      <xdr:col>9</xdr:col>
      <xdr:colOff>590550</xdr:colOff>
      <xdr:row>61</xdr:row>
      <xdr:rowOff>78090</xdr:rowOff>
    </xdr:to>
    <xdr:pic>
      <xdr:nvPicPr>
        <xdr:cNvPr id="11" name="Picture 10">
          <a:extLst>
            <a:ext uri="{FF2B5EF4-FFF2-40B4-BE49-F238E27FC236}">
              <a16:creationId xmlns:a16="http://schemas.microsoft.com/office/drawing/2014/main" id="{6E95298E-7C60-4A09-B785-3BAEDB993B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0" y="6026149"/>
          <a:ext cx="5092700" cy="4243691"/>
        </a:xfrm>
        <a:prstGeom prst="rect">
          <a:avLst/>
        </a:prstGeom>
      </xdr:spPr>
    </xdr:pic>
    <xdr:clientData/>
  </xdr:twoCellAnchor>
  <xdr:twoCellAnchor editAs="oneCell">
    <xdr:from>
      <xdr:col>10</xdr:col>
      <xdr:colOff>247650</xdr:colOff>
      <xdr:row>35</xdr:row>
      <xdr:rowOff>63500</xdr:rowOff>
    </xdr:from>
    <xdr:to>
      <xdr:col>17</xdr:col>
      <xdr:colOff>533400</xdr:colOff>
      <xdr:row>60</xdr:row>
      <xdr:rowOff>73872</xdr:rowOff>
    </xdr:to>
    <xdr:pic>
      <xdr:nvPicPr>
        <xdr:cNvPr id="13" name="Picture 12">
          <a:extLst>
            <a:ext uri="{FF2B5EF4-FFF2-40B4-BE49-F238E27FC236}">
              <a16:creationId xmlns:a16="http://schemas.microsoft.com/office/drawing/2014/main" id="{4E21ACAD-4EDF-4ADD-B772-E731308615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1150" y="6127750"/>
          <a:ext cx="4775200" cy="397912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4</xdr:col>
      <xdr:colOff>28574</xdr:colOff>
      <xdr:row>16</xdr:row>
      <xdr:rowOff>101600</xdr:rowOff>
    </xdr:from>
    <xdr:to>
      <xdr:col>14</xdr:col>
      <xdr:colOff>279399</xdr:colOff>
      <xdr:row>19</xdr:row>
      <xdr:rowOff>57150</xdr:rowOff>
    </xdr:to>
    <mc:AlternateContent xmlns:mc="http://schemas.openxmlformats.org/markup-compatibility/2006" xmlns:a14="http://schemas.microsoft.com/office/drawing/2010/main">
      <mc:Choice Requires="a14">
        <xdr:graphicFrame macro="">
          <xdr:nvGraphicFramePr>
            <xdr:cNvPr id="2" name="a.Year 5">
              <a:extLst>
                <a:ext uri="{FF2B5EF4-FFF2-40B4-BE49-F238E27FC236}">
                  <a16:creationId xmlns:a16="http://schemas.microsoft.com/office/drawing/2014/main" id="{00000000-0008-0000-9700-000002000000}"/>
                </a:ext>
              </a:extLst>
            </xdr:cNvPr>
            <xdr:cNvGraphicFramePr/>
          </xdr:nvGraphicFramePr>
          <xdr:xfrm>
            <a:off x="0" y="0"/>
            <a:ext cx="0" cy="0"/>
          </xdr:xfrm>
          <a:graphic>
            <a:graphicData uri="http://schemas.microsoft.com/office/drawing/2010/slicer">
              <sle:slicer xmlns:sle="http://schemas.microsoft.com/office/drawing/2010/slicer" name="a.Year 5"/>
            </a:graphicData>
          </a:graphic>
        </xdr:graphicFrame>
      </mc:Choice>
      <mc:Fallback xmlns="">
        <xdr:sp macro="" textlink="">
          <xdr:nvSpPr>
            <xdr:cNvPr id="0" name=""/>
            <xdr:cNvSpPr>
              <a:spLocks noTextEdit="1"/>
            </xdr:cNvSpPr>
          </xdr:nvSpPr>
          <xdr:spPr>
            <a:xfrm>
              <a:off x="4016375" y="2641600"/>
              <a:ext cx="5378450" cy="4318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303772</xdr:colOff>
      <xdr:row>2</xdr:row>
      <xdr:rowOff>331610</xdr:rowOff>
    </xdr:from>
    <xdr:to>
      <xdr:col>10</xdr:col>
      <xdr:colOff>272374</xdr:colOff>
      <xdr:row>20</xdr:row>
      <xdr:rowOff>155220</xdr:rowOff>
    </xdr:to>
    <xdr:pic>
      <xdr:nvPicPr>
        <xdr:cNvPr id="3" name="Picture 2">
          <a:extLst>
            <a:ext uri="{FF2B5EF4-FFF2-40B4-BE49-F238E27FC236}">
              <a16:creationId xmlns:a16="http://schemas.microsoft.com/office/drawing/2014/main" id="{EFB84B29-3EAE-4547-89CE-58BE40BBB5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5828" y="769054"/>
          <a:ext cx="5747102" cy="3047999"/>
        </a:xfrm>
        <a:prstGeom prst="rect">
          <a:avLst/>
        </a:prstGeom>
      </xdr:spPr>
    </xdr:pic>
    <xdr:clientData/>
  </xdr:twoCellAnchor>
  <xdr:twoCellAnchor editAs="oneCell">
    <xdr:from>
      <xdr:col>10</xdr:col>
      <xdr:colOff>272559</xdr:colOff>
      <xdr:row>2</xdr:row>
      <xdr:rowOff>359835</xdr:rowOff>
    </xdr:from>
    <xdr:to>
      <xdr:col>18</xdr:col>
      <xdr:colOff>381001</xdr:colOff>
      <xdr:row>20</xdr:row>
      <xdr:rowOff>132014</xdr:rowOff>
    </xdr:to>
    <xdr:pic>
      <xdr:nvPicPr>
        <xdr:cNvPr id="5" name="Picture 4">
          <a:extLst>
            <a:ext uri="{FF2B5EF4-FFF2-40B4-BE49-F238E27FC236}">
              <a16:creationId xmlns:a16="http://schemas.microsoft.com/office/drawing/2014/main" id="{82F7D7AD-2EE1-4635-B41F-8C03317CF3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93115" y="797279"/>
          <a:ext cx="5244886" cy="2996568"/>
        </a:xfrm>
        <a:prstGeom prst="rect">
          <a:avLst/>
        </a:prstGeom>
      </xdr:spPr>
    </xdr:pic>
    <xdr:clientData/>
  </xdr:twoCellAnchor>
  <xdr:twoCellAnchor editAs="oneCell">
    <xdr:from>
      <xdr:col>2</xdr:col>
      <xdr:colOff>91721</xdr:colOff>
      <xdr:row>21</xdr:row>
      <xdr:rowOff>129086</xdr:rowOff>
    </xdr:from>
    <xdr:to>
      <xdr:col>10</xdr:col>
      <xdr:colOff>324555</xdr:colOff>
      <xdr:row>40</xdr:row>
      <xdr:rowOff>113446</xdr:rowOff>
    </xdr:to>
    <xdr:pic>
      <xdr:nvPicPr>
        <xdr:cNvPr id="10" name="Picture 9">
          <a:extLst>
            <a:ext uri="{FF2B5EF4-FFF2-40B4-BE49-F238E27FC236}">
              <a16:creationId xmlns:a16="http://schemas.microsoft.com/office/drawing/2014/main" id="{5809CF89-B204-488B-8740-455F5431D0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5832" y="3953197"/>
          <a:ext cx="5369279" cy="3067638"/>
        </a:xfrm>
        <a:prstGeom prst="rect">
          <a:avLst/>
        </a:prstGeom>
      </xdr:spPr>
    </xdr:pic>
    <xdr:clientData/>
  </xdr:twoCellAnchor>
  <xdr:twoCellAnchor editAs="oneCell">
    <xdr:from>
      <xdr:col>10</xdr:col>
      <xdr:colOff>388055</xdr:colOff>
      <xdr:row>21</xdr:row>
      <xdr:rowOff>77612</xdr:rowOff>
    </xdr:from>
    <xdr:to>
      <xdr:col>19</xdr:col>
      <xdr:colOff>98778</xdr:colOff>
      <xdr:row>40</xdr:row>
      <xdr:rowOff>130500</xdr:rowOff>
    </xdr:to>
    <xdr:pic>
      <xdr:nvPicPr>
        <xdr:cNvPr id="13" name="Picture 12">
          <a:extLst>
            <a:ext uri="{FF2B5EF4-FFF2-40B4-BE49-F238E27FC236}">
              <a16:creationId xmlns:a16="http://schemas.microsoft.com/office/drawing/2014/main" id="{6B464B67-FBA1-4058-9D66-A462BAE1AF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08611" y="3901723"/>
          <a:ext cx="5489223" cy="313616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96837</xdr:colOff>
      <xdr:row>3</xdr:row>
      <xdr:rowOff>103174</xdr:rowOff>
    </xdr:from>
    <xdr:to>
      <xdr:col>10</xdr:col>
      <xdr:colOff>528637</xdr:colOff>
      <xdr:row>23</xdr:row>
      <xdr:rowOff>2327</xdr:rowOff>
    </xdr:to>
    <xdr:pic>
      <xdr:nvPicPr>
        <xdr:cNvPr id="3" name="Picture 2">
          <a:extLst>
            <a:ext uri="{FF2B5EF4-FFF2-40B4-BE49-F238E27FC236}">
              <a16:creationId xmlns:a16="http://schemas.microsoft.com/office/drawing/2014/main" id="{E4EE3A84-3D9F-4E71-B51F-9EC3A797E4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9775" y="952487"/>
          <a:ext cx="6218237" cy="3121778"/>
        </a:xfrm>
        <a:prstGeom prst="rect">
          <a:avLst/>
        </a:prstGeom>
      </xdr:spPr>
    </xdr:pic>
    <xdr:clientData/>
  </xdr:twoCellAnchor>
  <xdr:twoCellAnchor editAs="oneCell">
    <xdr:from>
      <xdr:col>11</xdr:col>
      <xdr:colOff>25398</xdr:colOff>
      <xdr:row>3</xdr:row>
      <xdr:rowOff>76200</xdr:rowOff>
    </xdr:from>
    <xdr:to>
      <xdr:col>19</xdr:col>
      <xdr:colOff>638239</xdr:colOff>
      <xdr:row>23</xdr:row>
      <xdr:rowOff>132604</xdr:rowOff>
    </xdr:to>
    <xdr:pic>
      <xdr:nvPicPr>
        <xdr:cNvPr id="8" name="Picture 7">
          <a:extLst>
            <a:ext uri="{FF2B5EF4-FFF2-40B4-BE49-F238E27FC236}">
              <a16:creationId xmlns:a16="http://schemas.microsoft.com/office/drawing/2014/main" id="{8DD66A7D-C3E7-4465-9F89-F7B4DDD8FE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97711" y="925513"/>
          <a:ext cx="5756341" cy="3279029"/>
        </a:xfrm>
        <a:prstGeom prst="rect">
          <a:avLst/>
        </a:prstGeom>
      </xdr:spPr>
    </xdr:pic>
    <xdr:clientData/>
  </xdr:twoCellAnchor>
  <xdr:twoCellAnchor editAs="oneCell">
    <xdr:from>
      <xdr:col>11</xdr:col>
      <xdr:colOff>254000</xdr:colOff>
      <xdr:row>25</xdr:row>
      <xdr:rowOff>40432</xdr:rowOff>
    </xdr:from>
    <xdr:to>
      <xdr:col>20</xdr:col>
      <xdr:colOff>317500</xdr:colOff>
      <xdr:row>46</xdr:row>
      <xdr:rowOff>40773</xdr:rowOff>
    </xdr:to>
    <xdr:pic>
      <xdr:nvPicPr>
        <xdr:cNvPr id="13" name="Picture 12">
          <a:extLst>
            <a:ext uri="{FF2B5EF4-FFF2-40B4-BE49-F238E27FC236}">
              <a16:creationId xmlns:a16="http://schemas.microsoft.com/office/drawing/2014/main" id="{A23629BE-E38D-4390-B634-C1DEA6698E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26313" y="4429870"/>
          <a:ext cx="5849937" cy="3334091"/>
        </a:xfrm>
        <a:prstGeom prst="rect">
          <a:avLst/>
        </a:prstGeom>
      </xdr:spPr>
    </xdr:pic>
    <xdr:clientData/>
  </xdr:twoCellAnchor>
  <xdr:twoCellAnchor editAs="oneCell">
    <xdr:from>
      <xdr:col>1</xdr:col>
      <xdr:colOff>202961</xdr:colOff>
      <xdr:row>24</xdr:row>
      <xdr:rowOff>104775</xdr:rowOff>
    </xdr:from>
    <xdr:to>
      <xdr:col>11</xdr:col>
      <xdr:colOff>223836</xdr:colOff>
      <xdr:row>46</xdr:row>
      <xdr:rowOff>17109</xdr:rowOff>
    </xdr:to>
    <xdr:pic>
      <xdr:nvPicPr>
        <xdr:cNvPr id="15" name="Picture 14">
          <a:extLst>
            <a:ext uri="{FF2B5EF4-FFF2-40B4-BE49-F238E27FC236}">
              <a16:creationId xmlns:a16="http://schemas.microsoft.com/office/drawing/2014/main" id="{1995217E-473F-438F-802E-4F2E790DC1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5899" y="4335463"/>
          <a:ext cx="6450250" cy="340483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47626</xdr:colOff>
      <xdr:row>25</xdr:row>
      <xdr:rowOff>3785</xdr:rowOff>
    </xdr:from>
    <xdr:to>
      <xdr:col>11</xdr:col>
      <xdr:colOff>531813</xdr:colOff>
      <xdr:row>47</xdr:row>
      <xdr:rowOff>7937</xdr:rowOff>
    </xdr:to>
    <xdr:pic>
      <xdr:nvPicPr>
        <xdr:cNvPr id="8" name="Picture 7">
          <a:extLst>
            <a:ext uri="{FF2B5EF4-FFF2-40B4-BE49-F238E27FC236}">
              <a16:creationId xmlns:a16="http://schemas.microsoft.com/office/drawing/2014/main" id="{95A6B338-EA9B-4231-BF04-B960654425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1" y="4409098"/>
          <a:ext cx="6270625" cy="3496652"/>
        </a:xfrm>
        <a:prstGeom prst="rect">
          <a:avLst/>
        </a:prstGeom>
      </xdr:spPr>
    </xdr:pic>
    <xdr:clientData/>
  </xdr:twoCellAnchor>
  <xdr:twoCellAnchor editAs="oneCell">
    <xdr:from>
      <xdr:col>11</xdr:col>
      <xdr:colOff>515937</xdr:colOff>
      <xdr:row>2</xdr:row>
      <xdr:rowOff>238125</xdr:rowOff>
    </xdr:from>
    <xdr:to>
      <xdr:col>21</xdr:col>
      <xdr:colOff>282834</xdr:colOff>
      <xdr:row>23</xdr:row>
      <xdr:rowOff>119062</xdr:rowOff>
    </xdr:to>
    <xdr:pic>
      <xdr:nvPicPr>
        <xdr:cNvPr id="10" name="Picture 9">
          <a:extLst>
            <a:ext uri="{FF2B5EF4-FFF2-40B4-BE49-F238E27FC236}">
              <a16:creationId xmlns:a16="http://schemas.microsoft.com/office/drawing/2014/main" id="{BE12BC8F-0DB7-4DF9-AB82-D1EE22965E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88250" y="666750"/>
          <a:ext cx="6196272" cy="3540125"/>
        </a:xfrm>
        <a:prstGeom prst="rect">
          <a:avLst/>
        </a:prstGeom>
      </xdr:spPr>
    </xdr:pic>
    <xdr:clientData/>
  </xdr:twoCellAnchor>
  <xdr:twoCellAnchor editAs="oneCell">
    <xdr:from>
      <xdr:col>2</xdr:col>
      <xdr:colOff>50800</xdr:colOff>
      <xdr:row>2</xdr:row>
      <xdr:rowOff>279400</xdr:rowOff>
    </xdr:from>
    <xdr:to>
      <xdr:col>11</xdr:col>
      <xdr:colOff>634693</xdr:colOff>
      <xdr:row>24</xdr:row>
      <xdr:rowOff>10557</xdr:rowOff>
    </xdr:to>
    <xdr:pic>
      <xdr:nvPicPr>
        <xdr:cNvPr id="3" name="Picture 2">
          <a:extLst>
            <a:ext uri="{FF2B5EF4-FFF2-40B4-BE49-F238E27FC236}">
              <a16:creationId xmlns:a16="http://schemas.microsoft.com/office/drawing/2014/main" id="{988B2BF3-83E6-4210-99CD-B6A0F332D5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3500" y="711200"/>
          <a:ext cx="6356043" cy="355385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428624</xdr:colOff>
      <xdr:row>0</xdr:row>
      <xdr:rowOff>19050</xdr:rowOff>
    </xdr:from>
    <xdr:to>
      <xdr:col>13</xdr:col>
      <xdr:colOff>158750</xdr:colOff>
      <xdr:row>1</xdr:row>
      <xdr:rowOff>180975</xdr:rowOff>
    </xdr:to>
    <mc:AlternateContent xmlns:mc="http://schemas.openxmlformats.org/markup-compatibility/2006" xmlns:a14="http://schemas.microsoft.com/office/drawing/2010/main">
      <mc:Choice Requires="a14">
        <xdr:graphicFrame macro="">
          <xdr:nvGraphicFramePr>
            <xdr:cNvPr id="2" name="Year 8">
              <a:extLst>
                <a:ext uri="{FF2B5EF4-FFF2-40B4-BE49-F238E27FC236}">
                  <a16:creationId xmlns:a16="http://schemas.microsoft.com/office/drawing/2014/main" id="{00000000-0008-0000-9500-000002000000}"/>
                </a:ext>
              </a:extLst>
            </xdr:cNvPr>
            <xdr:cNvGraphicFramePr/>
          </xdr:nvGraphicFramePr>
          <xdr:xfrm>
            <a:off x="0" y="0"/>
            <a:ext cx="0" cy="0"/>
          </xdr:xfrm>
          <a:graphic>
            <a:graphicData uri="http://schemas.microsoft.com/office/drawing/2010/slicer">
              <sle:slicer xmlns:sle="http://schemas.microsoft.com/office/drawing/2010/slicer" name="Year 8"/>
            </a:graphicData>
          </a:graphic>
        </xdr:graphicFrame>
      </mc:Choice>
      <mc:Fallback xmlns="">
        <xdr:sp macro="" textlink="">
          <xdr:nvSpPr>
            <xdr:cNvPr id="0" name=""/>
            <xdr:cNvSpPr>
              <a:spLocks noTextEdit="1"/>
            </xdr:cNvSpPr>
          </xdr:nvSpPr>
          <xdr:spPr>
            <a:xfrm>
              <a:off x="1695450" y="19050"/>
              <a:ext cx="7512050"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69850</xdr:colOff>
      <xdr:row>0</xdr:row>
      <xdr:rowOff>28575</xdr:rowOff>
    </xdr:from>
    <xdr:to>
      <xdr:col>11</xdr:col>
      <xdr:colOff>120650</xdr:colOff>
      <xdr:row>2</xdr:row>
      <xdr:rowOff>0</xdr:rowOff>
    </xdr:to>
    <mc:AlternateContent xmlns:mc="http://schemas.openxmlformats.org/markup-compatibility/2006" xmlns:a14="http://schemas.microsoft.com/office/drawing/2010/main">
      <mc:Choice Requires="a14">
        <xdr:graphicFrame macro="">
          <xdr:nvGraphicFramePr>
            <xdr:cNvPr id="3" name="2321e">
              <a:extLst>
                <a:ext uri="{FF2B5EF4-FFF2-40B4-BE49-F238E27FC236}">
                  <a16:creationId xmlns:a16="http://schemas.microsoft.com/office/drawing/2014/main" id="{00000000-0008-0000-9600-000003000000}"/>
                </a:ext>
              </a:extLst>
            </xdr:cNvPr>
            <xdr:cNvGraphicFramePr/>
          </xdr:nvGraphicFramePr>
          <xdr:xfrm>
            <a:off x="0" y="0"/>
            <a:ext cx="0" cy="0"/>
          </xdr:xfrm>
          <a:graphic>
            <a:graphicData uri="http://schemas.microsoft.com/office/drawing/2010/slicer">
              <sle:slicer xmlns:sle="http://schemas.microsoft.com/office/drawing/2010/slicer" name="2321e"/>
            </a:graphicData>
          </a:graphic>
        </xdr:graphicFrame>
      </mc:Choice>
      <mc:Fallback xmlns="">
        <xdr:sp macro="" textlink="">
          <xdr:nvSpPr>
            <xdr:cNvPr id="0" name=""/>
            <xdr:cNvSpPr>
              <a:spLocks noTextEdit="1"/>
            </xdr:cNvSpPr>
          </xdr:nvSpPr>
          <xdr:spPr>
            <a:xfrm>
              <a:off x="1587500" y="28575"/>
              <a:ext cx="8235950"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57150</xdr:colOff>
      <xdr:row>4</xdr:row>
      <xdr:rowOff>133350</xdr:rowOff>
    </xdr:from>
    <xdr:to>
      <xdr:col>13</xdr:col>
      <xdr:colOff>275815</xdr:colOff>
      <xdr:row>29</xdr:row>
      <xdr:rowOff>95250</xdr:rowOff>
    </xdr:to>
    <xdr:pic>
      <xdr:nvPicPr>
        <xdr:cNvPr id="6" name="Picture 5">
          <a:extLst>
            <a:ext uri="{FF2B5EF4-FFF2-40B4-BE49-F238E27FC236}">
              <a16:creationId xmlns:a16="http://schemas.microsoft.com/office/drawing/2014/main" id="{52CAA1B9-0C3E-4D36-BE48-779E6DFA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350" y="1136650"/>
          <a:ext cx="6924265" cy="3956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82550</xdr:colOff>
      <xdr:row>26</xdr:row>
      <xdr:rowOff>88900</xdr:rowOff>
    </xdr:to>
    <xdr:pic>
      <xdr:nvPicPr>
        <xdr:cNvPr id="4" name="Picture 3">
          <a:extLst>
            <a:ext uri="{FF2B5EF4-FFF2-40B4-BE49-F238E27FC236}">
              <a16:creationId xmlns:a16="http://schemas.microsoft.com/office/drawing/2014/main" id="{2DA698E0-A81F-4568-85E5-3E66740C4E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6650" y="984250"/>
          <a:ext cx="3930650" cy="3930650"/>
        </a:xfrm>
        <a:prstGeom prst="rect">
          <a:avLst/>
        </a:prstGeom>
      </xdr:spPr>
    </xdr:pic>
    <xdr:clientData/>
  </xdr:twoCellAnchor>
  <xdr:twoCellAnchor editAs="oneCell">
    <xdr:from>
      <xdr:col>7</xdr:col>
      <xdr:colOff>107950</xdr:colOff>
      <xdr:row>4</xdr:row>
      <xdr:rowOff>57150</xdr:rowOff>
    </xdr:from>
    <xdr:to>
      <xdr:col>13</xdr:col>
      <xdr:colOff>133350</xdr:colOff>
      <xdr:row>26</xdr:row>
      <xdr:rowOff>88900</xdr:rowOff>
    </xdr:to>
    <xdr:pic>
      <xdr:nvPicPr>
        <xdr:cNvPr id="7" name="Picture 6">
          <a:extLst>
            <a:ext uri="{FF2B5EF4-FFF2-40B4-BE49-F238E27FC236}">
              <a16:creationId xmlns:a16="http://schemas.microsoft.com/office/drawing/2014/main" id="{D3030478-9539-4A4E-B84B-426E6AB870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2700" y="1041400"/>
          <a:ext cx="3873500" cy="3873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eporting\National%20Statistics\Tools\2016-17%20Fire%20and%20Rescue%20Statistics%20Working%20V1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frs\dfs\Local_Documents\Incident2020\SFRS_Incident_201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FIL-V03\Directorates\Corporate%20Services\Data%20Intelligence\Reporting\National%20Statistics\Live\SFRS_Incident_2018-19_Template%20old%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rs\dfs\Directorates\Corporate%20Services\Data%20Intelligence\Reporting\Official%20Statistics\Statistics_Incident\2020-21\unlocked%20versions%20for%20pre-release\SFRS_Incident_2020-21%20-%20ol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rescotland.local\dfs\Home\SFB\gregor.welsh\My%20Documents\mappinh.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rescotland.local\dfs\home\sfb\gregor.welsh\Desktop\SFRS_Incident_2017-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ntents"/>
      <sheetName val="All incidents &amp; long term trend"/>
      <sheetName val="1 1a 1b"/>
      <sheetName val="2 2a 2b"/>
      <sheetName val="3 3a"/>
      <sheetName val="3b"/>
      <sheetName val="4 4a 4b"/>
      <sheetName val="4c 4d 4e"/>
      <sheetName val="5 5a"/>
      <sheetName val="6 6a"/>
      <sheetName val="6b"/>
      <sheetName val="6c 6d"/>
      <sheetName val="7"/>
      <sheetName val="8 8a"/>
      <sheetName val="9"/>
      <sheetName val="9a"/>
      <sheetName val="9b"/>
      <sheetName val="10 10a"/>
      <sheetName val="10b 10c"/>
      <sheetName val="11"/>
      <sheetName val="11a 11b"/>
      <sheetName val="12 12a"/>
      <sheetName val="13"/>
      <sheetName val="13a"/>
      <sheetName val="13b"/>
      <sheetName val="14 14a"/>
      <sheetName val="14b 14c 14d"/>
      <sheetName val="14e 14f 14g"/>
      <sheetName val="15 15a"/>
      <sheetName val="15b 15c 15d"/>
      <sheetName val="16 16a"/>
      <sheetName val="16b 16c 16d"/>
      <sheetName val="17 17a"/>
      <sheetName val="17b 17c 17d"/>
      <sheetName val="18 18a 18b"/>
      <sheetName val="19"/>
      <sheetName val="19a"/>
      <sheetName val="19b"/>
      <sheetName val="20"/>
      <sheetName val="21 21a"/>
      <sheetName val="21b 21c"/>
      <sheetName val="22"/>
      <sheetName val="23 23a"/>
      <sheetName val="24"/>
      <sheetName val="25"/>
      <sheetName val="Population"/>
      <sheetName val="Dwellings"/>
      <sheetName val="Figure 1"/>
      <sheetName val="Figure 2"/>
      <sheetName val="Figure 3"/>
      <sheetName val="Figure 4"/>
      <sheetName val="Figure 5"/>
      <sheetName val="Figure 6"/>
      <sheetName val="Figure 7a"/>
      <sheetName val="Figure 7b"/>
      <sheetName val="Figure 8"/>
      <sheetName val="Figure 9"/>
      <sheetName val="Figure 10"/>
      <sheetName val="Figure 11"/>
      <sheetName val="Figure 12"/>
      <sheetName val="Figure 13"/>
      <sheetName val="Figure 14"/>
      <sheetName val="Figure 15"/>
      <sheetName val="Figure 16"/>
      <sheetName val="Figure data - to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A4" t="str">
            <v>Aberdeen City</v>
          </cell>
          <cell r="B4">
            <v>229840</v>
          </cell>
        </row>
        <row r="5">
          <cell r="A5" t="str">
            <v>Aberdeenshire</v>
          </cell>
          <cell r="B5">
            <v>262190</v>
          </cell>
        </row>
        <row r="6">
          <cell r="A6" t="str">
            <v>Angus</v>
          </cell>
          <cell r="B6">
            <v>116520</v>
          </cell>
        </row>
        <row r="7">
          <cell r="A7" t="str">
            <v>Argyll and Bute</v>
          </cell>
          <cell r="B7">
            <v>87130</v>
          </cell>
        </row>
        <row r="8">
          <cell r="A8" t="str">
            <v>Clackmannanshire</v>
          </cell>
          <cell r="B8">
            <v>51350</v>
          </cell>
        </row>
        <row r="9">
          <cell r="A9" t="str">
            <v>Dumfries and Galloway</v>
          </cell>
          <cell r="B9">
            <v>149520</v>
          </cell>
        </row>
        <row r="10">
          <cell r="A10" t="str">
            <v>Dundee City</v>
          </cell>
          <cell r="B10">
            <v>148270</v>
          </cell>
        </row>
        <row r="11">
          <cell r="A11" t="str">
            <v>East Ayrshire</v>
          </cell>
          <cell r="B11">
            <v>122200</v>
          </cell>
        </row>
        <row r="12">
          <cell r="A12" t="str">
            <v>East Dunbartonshire</v>
          </cell>
          <cell r="B12">
            <v>107540</v>
          </cell>
        </row>
        <row r="13">
          <cell r="A13" t="str">
            <v>East Lothian</v>
          </cell>
          <cell r="B13">
            <v>104090</v>
          </cell>
        </row>
        <row r="14">
          <cell r="A14" t="str">
            <v>East Renfrewshire</v>
          </cell>
          <cell r="B14">
            <v>93810</v>
          </cell>
        </row>
        <row r="15">
          <cell r="A15" t="str">
            <v>Edinburgh City</v>
          </cell>
          <cell r="B15">
            <v>507170</v>
          </cell>
        </row>
        <row r="16">
          <cell r="A16" t="str">
            <v>Falkirk</v>
          </cell>
          <cell r="B16">
            <v>159380</v>
          </cell>
        </row>
        <row r="17">
          <cell r="A17" t="str">
            <v>Fife</v>
          </cell>
          <cell r="B17">
            <v>370330</v>
          </cell>
        </row>
        <row r="18">
          <cell r="A18" t="str">
            <v>Glasgow City</v>
          </cell>
          <cell r="B18">
            <v>615070</v>
          </cell>
        </row>
        <row r="19">
          <cell r="A19" t="str">
            <v>Highland</v>
          </cell>
          <cell r="B19">
            <v>234770</v>
          </cell>
        </row>
        <row r="20">
          <cell r="A20" t="str">
            <v>Inverclyde</v>
          </cell>
          <cell r="B20">
            <v>79160</v>
          </cell>
        </row>
        <row r="21">
          <cell r="A21" t="str">
            <v>Midlothian</v>
          </cell>
          <cell r="B21">
            <v>88610</v>
          </cell>
        </row>
        <row r="22">
          <cell r="A22" t="str">
            <v>Moray</v>
          </cell>
          <cell r="B22">
            <v>96070</v>
          </cell>
        </row>
        <row r="23">
          <cell r="A23" t="str">
            <v>Na h-Eileanan Siar</v>
          </cell>
          <cell r="B23">
            <v>26900</v>
          </cell>
        </row>
        <row r="24">
          <cell r="A24" t="str">
            <v>North Ayrshire</v>
          </cell>
          <cell r="B24">
            <v>135890</v>
          </cell>
        </row>
        <row r="25">
          <cell r="A25" t="str">
            <v>North Lanarkshire</v>
          </cell>
          <cell r="B25">
            <v>339390</v>
          </cell>
        </row>
        <row r="26">
          <cell r="A26" t="str">
            <v>Orkney Islands</v>
          </cell>
          <cell r="B26">
            <v>21850</v>
          </cell>
        </row>
        <row r="27">
          <cell r="A27" t="str">
            <v>Perth and Kinross</v>
          </cell>
          <cell r="B27">
            <v>150680</v>
          </cell>
        </row>
        <row r="28">
          <cell r="A28" t="str">
            <v>Renfrewshire</v>
          </cell>
          <cell r="B28">
            <v>175930</v>
          </cell>
        </row>
        <row r="29">
          <cell r="A29" t="str">
            <v>Scottish Borders</v>
          </cell>
          <cell r="B29">
            <v>114530</v>
          </cell>
        </row>
        <row r="30">
          <cell r="A30" t="str">
            <v>Shetland Islands</v>
          </cell>
          <cell r="B30">
            <v>23200</v>
          </cell>
        </row>
        <row r="31">
          <cell r="A31" t="str">
            <v>South Ayrshire</v>
          </cell>
          <cell r="B31">
            <v>112470</v>
          </cell>
        </row>
        <row r="32">
          <cell r="A32" t="str">
            <v>South Lanarkshire</v>
          </cell>
          <cell r="B32">
            <v>317100</v>
          </cell>
        </row>
        <row r="33">
          <cell r="A33" t="str">
            <v>Stirling</v>
          </cell>
          <cell r="B33">
            <v>93750</v>
          </cell>
        </row>
        <row r="34">
          <cell r="A34" t="str">
            <v>West Dunbartonshire</v>
          </cell>
          <cell r="B34">
            <v>89860</v>
          </cell>
        </row>
        <row r="35">
          <cell r="A35" t="str">
            <v>West Lothian</v>
          </cell>
          <cell r="B35">
            <v>180130</v>
          </cell>
        </row>
      </sheetData>
      <sheetData sheetId="47">
        <row r="4">
          <cell r="A4" t="str">
            <v>Aberdeen City</v>
          </cell>
          <cell r="B4">
            <v>115080</v>
          </cell>
        </row>
        <row r="5">
          <cell r="A5" t="str">
            <v>Aberdeenshire</v>
          </cell>
          <cell r="B5">
            <v>116421</v>
          </cell>
        </row>
        <row r="6">
          <cell r="A6" t="str">
            <v>Angus</v>
          </cell>
          <cell r="B6">
            <v>55872</v>
          </cell>
        </row>
        <row r="7">
          <cell r="A7" t="str">
            <v>Argyll and Bute</v>
          </cell>
          <cell r="B7">
            <v>47780</v>
          </cell>
        </row>
        <row r="8">
          <cell r="A8" t="str">
            <v>Clackmannanshire</v>
          </cell>
          <cell r="B8">
            <v>24221</v>
          </cell>
        </row>
        <row r="9">
          <cell r="A9" t="str">
            <v>Dumfries and Galloway</v>
          </cell>
          <cell r="B9">
            <v>74453</v>
          </cell>
        </row>
        <row r="10">
          <cell r="A10" t="str">
            <v>Dundee City</v>
          </cell>
          <cell r="B10">
            <v>74026</v>
          </cell>
        </row>
        <row r="11">
          <cell r="A11" t="str">
            <v>East Ayrshire</v>
          </cell>
          <cell r="B11">
            <v>57873</v>
          </cell>
        </row>
        <row r="12">
          <cell r="A12" t="str">
            <v>East Dunbartonshire</v>
          </cell>
          <cell r="B12">
            <v>46026</v>
          </cell>
        </row>
        <row r="13">
          <cell r="A13" t="str">
            <v>East Lothian</v>
          </cell>
          <cell r="B13">
            <v>46672</v>
          </cell>
        </row>
        <row r="14">
          <cell r="A14" t="str">
            <v>East Renfrewshire</v>
          </cell>
          <cell r="B14">
            <v>38389</v>
          </cell>
        </row>
        <row r="15">
          <cell r="A15" t="str">
            <v>Edinburgh City</v>
          </cell>
          <cell r="B15">
            <v>244131</v>
          </cell>
        </row>
        <row r="16">
          <cell r="A16" t="str">
            <v>Falkirk</v>
          </cell>
          <cell r="B16">
            <v>73767</v>
          </cell>
        </row>
        <row r="17">
          <cell r="A17" t="str">
            <v>Fife</v>
          </cell>
          <cell r="B17">
            <v>174528</v>
          </cell>
        </row>
        <row r="18">
          <cell r="A18" t="str">
            <v>Glasgow City</v>
          </cell>
          <cell r="B18">
            <v>306000</v>
          </cell>
        </row>
        <row r="19">
          <cell r="A19" t="str">
            <v>Highland</v>
          </cell>
          <cell r="B19">
            <v>116453</v>
          </cell>
        </row>
        <row r="20">
          <cell r="A20" t="str">
            <v>Inverclyde</v>
          </cell>
          <cell r="B20">
            <v>38835</v>
          </cell>
        </row>
        <row r="21">
          <cell r="A21" t="str">
            <v>Midlothian</v>
          </cell>
          <cell r="B21">
            <v>39297</v>
          </cell>
        </row>
        <row r="22">
          <cell r="A22" t="str">
            <v>Moray</v>
          </cell>
          <cell r="B22">
            <v>44454</v>
          </cell>
        </row>
        <row r="23">
          <cell r="A23" t="str">
            <v>Na h-Eileanan Siar</v>
          </cell>
          <cell r="B23">
            <v>14599</v>
          </cell>
        </row>
        <row r="24">
          <cell r="A24" t="str">
            <v>North Ayrshire</v>
          </cell>
          <cell r="B24">
            <v>67800</v>
          </cell>
        </row>
        <row r="25">
          <cell r="A25" t="str">
            <v>North Lanarkshire</v>
          </cell>
          <cell r="B25">
            <v>153388</v>
          </cell>
        </row>
        <row r="26">
          <cell r="A26" t="str">
            <v>Orkney Islands</v>
          </cell>
          <cell r="B26">
            <v>11063</v>
          </cell>
        </row>
        <row r="27">
          <cell r="A27" t="str">
            <v>Perth and Kinross</v>
          </cell>
          <cell r="B27">
            <v>71347</v>
          </cell>
        </row>
        <row r="28">
          <cell r="A28" t="str">
            <v>Renfrewshire</v>
          </cell>
          <cell r="B28">
            <v>85724</v>
          </cell>
        </row>
        <row r="29">
          <cell r="A29" t="str">
            <v>Scottish Borders</v>
          </cell>
          <cell r="B29">
            <v>57940</v>
          </cell>
        </row>
        <row r="30">
          <cell r="A30" t="str">
            <v>Shetland Islands</v>
          </cell>
          <cell r="B30">
            <v>11109</v>
          </cell>
        </row>
        <row r="31">
          <cell r="A31" t="str">
            <v>South Ayrshire</v>
          </cell>
          <cell r="B31">
            <v>54942</v>
          </cell>
        </row>
        <row r="32">
          <cell r="A32" t="str">
            <v>South Lanarkshire</v>
          </cell>
          <cell r="B32">
            <v>148771</v>
          </cell>
        </row>
        <row r="33">
          <cell r="A33" t="str">
            <v>Stirling</v>
          </cell>
          <cell r="B33">
            <v>40998</v>
          </cell>
        </row>
        <row r="34">
          <cell r="A34" t="str">
            <v>West Dunbartonshire</v>
          </cell>
          <cell r="B34">
            <v>45104</v>
          </cell>
        </row>
        <row r="35">
          <cell r="A35" t="str">
            <v>West Lothian</v>
          </cell>
          <cell r="B35">
            <v>78604</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Table of Contents"/>
      <sheetName val="Incidents Timeseries"/>
      <sheetName val="Casualties Timeseries"/>
      <sheetName val="Chart Fires"/>
      <sheetName val="Chart Fire False Alarms"/>
      <sheetName val="Chart Non-fire"/>
      <sheetName val="Chart Share Incidents"/>
      <sheetName val="Chart Share Fatal"/>
      <sheetName val="Chart Share Non-fatal"/>
      <sheetName val="Chart Fatal Fire Casualties"/>
      <sheetName val="Chart Non-fatal Fire Casualties"/>
      <sheetName val="Chart Non-fire Casualties"/>
      <sheetName val="Fires"/>
      <sheetName val="T_01"/>
      <sheetName val="Fires LA"/>
      <sheetName val="Building Fires-old"/>
      <sheetName val="Building Fires"/>
      <sheetName val="Building Fires LA-old"/>
      <sheetName val="Building Fires LA"/>
      <sheetName val="Multistorey"/>
      <sheetName val="T_08"/>
      <sheetName val="T_02"/>
      <sheetName val="T__02"/>
      <sheetName val="T_03"/>
      <sheetName val="T_04"/>
      <sheetName val="T_05"/>
      <sheetName val="T_06"/>
      <sheetName val="T_06b"/>
      <sheetName val="T_09"/>
      <sheetName val="T_09b"/>
      <sheetName val="T_M"/>
      <sheetName val="T_MLA"/>
      <sheetName val="T_03b"/>
      <sheetName val="T_12"/>
      <sheetName val="T_11_1"/>
      <sheetName val="T_11"/>
      <sheetName val="T_13_1"/>
      <sheetName val="T_13"/>
      <sheetName val="T_13b"/>
      <sheetName val="T_14_1"/>
      <sheetName val="T_14"/>
      <sheetName val="T_15"/>
      <sheetName val="T_1616a_old"/>
      <sheetName val="T_17_2"/>
      <sheetName val="T_18"/>
      <sheetName val="T_1_19"/>
      <sheetName val="T_19"/>
      <sheetName val="T_21"/>
      <sheetName val="Sheet3"/>
      <sheetName val="Sheet1"/>
      <sheetName val="T_1_23"/>
      <sheetName val="T_23"/>
      <sheetName val="Sheet6"/>
      <sheetName val="Sheet7"/>
      <sheetName val="Building Fires Spread"/>
      <sheetName val="Sheet16"/>
      <sheetName val="Building Fires Area"/>
      <sheetName val="Dwelling Fires Motive LA"/>
      <sheetName val="Smoke Alarms"/>
      <sheetName val="Smoke Alarms LA"/>
      <sheetName val="Alarms Non-op Reason"/>
      <sheetName val="ADF Source"/>
      <sheetName val="ADF AlcoholDrugs"/>
      <sheetName val="ADF AlcoholDrugs LA"/>
      <sheetName val="Outdoor Fires"/>
      <sheetName val="Outdoor Fires Prim LA"/>
      <sheetName val="Outdoor Fires Sec LA"/>
      <sheetName val="Motive"/>
      <sheetName val="Motive LA"/>
      <sheetName val="Motive Primary LA Rate"/>
      <sheetName val="Motive Secondary"/>
      <sheetName val="Motive Secondary LA"/>
      <sheetName val="Motive Secondary LA Rate"/>
      <sheetName val="Appliances"/>
      <sheetName val="Appliances LA"/>
      <sheetName val="Time of Call"/>
      <sheetName val="Chart - Time of Incident"/>
      <sheetName val="Chart - Time of Injury"/>
      <sheetName val="Chart Primary Fire"/>
      <sheetName val="Chart Secondary Fire"/>
      <sheetName val="Chart Fire Motive"/>
      <sheetName val="Chart Fire Map"/>
      <sheetName val="Chart Primary Fire Map"/>
      <sheetName val="Chart Secondary Fire Map"/>
      <sheetName val="Chart Deliberate Fire Map"/>
      <sheetName val="Chart ADF Map"/>
      <sheetName val="Fire False Alarms"/>
      <sheetName val="Fire False Alarms LA"/>
      <sheetName val="Fire False Alarms Location"/>
      <sheetName val="Non-fire False Alarms"/>
      <sheetName val="Non-fire False Alarms LA"/>
      <sheetName val="Chart FFA Type"/>
      <sheetName val="Chart FFA Apparatus"/>
      <sheetName val="Chart False Alarm App Map"/>
      <sheetName val="Non-fire"/>
      <sheetName val="Non-fire LA"/>
      <sheetName val="Non-fire LA Rate"/>
      <sheetName val="RTC Flooding"/>
      <sheetName val="Chart Non-fire Type"/>
      <sheetName val="Chart Non-fire Map"/>
      <sheetName val="Chart RTC Map"/>
      <sheetName val="Chart EEE Map"/>
      <sheetName val="Casualties Non-fire"/>
      <sheetName val="Chart Non-fire Fatal"/>
      <sheetName val="Chart Non-fire Non-fatal"/>
      <sheetName val="Casualties Fire"/>
      <sheetName val="Casualties Fire LA"/>
      <sheetName val="Casualties Building"/>
      <sheetName val="T_buildcas"/>
      <sheetName val="Casualties Multistorey"/>
      <sheetName val="Casualties Motive"/>
      <sheetName val="Casualties Motive LA"/>
      <sheetName val="Dwelling Non-fatal Rate"/>
      <sheetName val="ADF Casualty"/>
      <sheetName val="ADF Casualty LA"/>
      <sheetName val="ADF Casualty AlcoholDrugs"/>
      <sheetName val="Treatment"/>
      <sheetName val="Casualty Gender"/>
      <sheetName val="Casualty Gender Rate"/>
      <sheetName val="Treatment Gender"/>
      <sheetName val="Treatment Gender Rate"/>
      <sheetName val="Type of Injury Gender"/>
      <sheetName val="Type of Injury Gender Rate"/>
      <sheetName val="Casualty Age"/>
      <sheetName val="Casualty Age Rate"/>
      <sheetName val="T_16"/>
      <sheetName val="Type of Injury Age"/>
      <sheetName val="Type of Injury Age Rate"/>
      <sheetName val="Treatment Age"/>
      <sheetName val="Treatment Age Rate"/>
      <sheetName val="Rescues"/>
      <sheetName val="Time of Call Casualty"/>
      <sheetName val="Chart Casualty Treatment"/>
      <sheetName val="Chart Fatal Age"/>
      <sheetName val="Chart Non-fatal Age"/>
      <sheetName val="Deprivation Incident"/>
      <sheetName val="Deprivation Incident Rate"/>
      <sheetName val="Deprivation Casualty"/>
      <sheetName val="Deprivation Casualty Rate"/>
      <sheetName val="Rurality Incident"/>
      <sheetName val="Rurality Incident Rate"/>
      <sheetName val="Rurality Casualty"/>
      <sheetName val="Rurality Casualty Rate"/>
      <sheetName val="Chart Deprivation"/>
      <sheetName val="Chart Fatality Profile"/>
      <sheetName val="Chart Hospitalised Profile"/>
      <sheetName val="Chart Rurality"/>
      <sheetName val="T_simd"/>
      <sheetName val="T_simdcas"/>
      <sheetName val="T_ur"/>
      <sheetName val="T_urcas"/>
      <sheetName val="GB Incident"/>
      <sheetName val="GB Fires"/>
      <sheetName val="T_10"/>
      <sheetName val="GB Casualties"/>
      <sheetName val="Chart Incidents GB"/>
      <sheetName val="Chart Fire Types GB"/>
      <sheetName val="Chart Casualties GB"/>
      <sheetName val="PopulationScotland"/>
      <sheetName val="PopulationOtherArea"/>
      <sheetName val="Dwellings"/>
      <sheetName val="T01"/>
      <sheetName val="T01a"/>
      <sheetName val="T02"/>
      <sheetName val="T02b"/>
      <sheetName val="T03"/>
      <sheetName val="T03a"/>
      <sheetName val="T04"/>
      <sheetName val="T04a"/>
      <sheetName val="T04cde"/>
      <sheetName val="T05"/>
      <sheetName val="T05a"/>
      <sheetName val="T06"/>
      <sheetName val="T06a"/>
      <sheetName val="T06c"/>
      <sheetName val="T06d"/>
      <sheetName val="T07"/>
      <sheetName val="T08"/>
      <sheetName val="T08a"/>
      <sheetName val="T09"/>
      <sheetName val="T09_2"/>
      <sheetName val="T09a"/>
      <sheetName val="T11"/>
      <sheetName val="T11f"/>
      <sheetName val="T11nf"/>
      <sheetName val="T11a"/>
      <sheetName val="T12"/>
      <sheetName val="T17c"/>
      <sheetName val="Tnull"/>
      <sheetName val="T13"/>
      <sheetName val="T13a"/>
      <sheetName val="T14"/>
      <sheetName val="T14a"/>
      <sheetName val="T14b"/>
      <sheetName val="T14c"/>
      <sheetName val="T14d"/>
      <sheetName val="T14e"/>
      <sheetName val="T14f"/>
      <sheetName val="T16"/>
      <sheetName val="T16a"/>
      <sheetName val="T16b"/>
      <sheetName val="T16c"/>
      <sheetName val="T16d"/>
      <sheetName val="T18"/>
      <sheetName val="T18a"/>
      <sheetName val="T19"/>
      <sheetName val="T19a"/>
      <sheetName val="T19b"/>
      <sheetName val="T20"/>
      <sheetName val="T21"/>
      <sheetName val="T21b"/>
      <sheetName val="T21a"/>
      <sheetName val="T22"/>
      <sheetName val="T23"/>
      <sheetName val="T23a"/>
      <sheetName val="T24"/>
      <sheetName val="T25"/>
      <sheetName val="T03b"/>
      <sheetName val="T10"/>
      <sheetName val="Tref"/>
      <sheetName val="T17b"/>
      <sheetName val="Tsimd"/>
      <sheetName val="Tur"/>
      <sheetName val="Tmotive"/>
      <sheetName val="Tqtrmotive"/>
      <sheetName val="TqtrIncidents"/>
      <sheetName val="TqtrCasF"/>
      <sheetName val="TqtrCasNF"/>
      <sheetName val="TqtrCAS"/>
      <sheetName val="T16_new"/>
      <sheetName val="T16a_new"/>
      <sheetName val="TsimdCas"/>
      <sheetName val="TurCas"/>
      <sheetName val="Tbuildingarea"/>
      <sheetName val="T17d"/>
      <sheetName val="T08v2"/>
      <sheetName val="T08av2"/>
      <sheetName val="MultiAll"/>
      <sheetName val="MultiAllFatal"/>
      <sheetName val="MultiAllNonfatal"/>
      <sheetName val="MultiOverSix"/>
      <sheetName val="MultiOverSixFatal"/>
      <sheetName val="MultiOverSixNonfatal"/>
      <sheetName val="T08v2cas"/>
      <sheetName val="T08v2caslong"/>
      <sheetName val="T09b"/>
      <sheetName val="T_ref"/>
      <sheetName val="T_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row r="4">
          <cell r="A4" t="str">
            <v>Table code</v>
          </cell>
          <cell r="B4" t="str">
            <v>REF_DW</v>
          </cell>
        </row>
        <row r="5">
          <cell r="A5" t="str">
            <v>Update frequency</v>
          </cell>
          <cell r="B5" t="str">
            <v>Annual</v>
          </cell>
        </row>
        <row r="6">
          <cell r="A6" t="str">
            <v>Revisions policy</v>
          </cell>
          <cell r="B6" t="str">
            <v>All figures revised annually</v>
          </cell>
        </row>
        <row r="7">
          <cell r="B7"/>
        </row>
        <row r="8">
          <cell r="A8" t="str">
            <v>LA Code</v>
          </cell>
          <cell r="B8" t="str">
            <v>Local Authority</v>
          </cell>
        </row>
        <row r="9">
          <cell r="A9" t="str">
            <v>S12000033</v>
          </cell>
          <cell r="B9" t="str">
            <v>Aberdeen City</v>
          </cell>
        </row>
        <row r="10">
          <cell r="A10" t="str">
            <v>S12000034</v>
          </cell>
          <cell r="B10" t="str">
            <v>Aberdeenshire</v>
          </cell>
        </row>
        <row r="11">
          <cell r="A11" t="str">
            <v>S12000041</v>
          </cell>
          <cell r="B11" t="str">
            <v>Angus</v>
          </cell>
        </row>
        <row r="12">
          <cell r="A12" t="str">
            <v>S12000035</v>
          </cell>
          <cell r="B12" t="str">
            <v>Argyll and Bute</v>
          </cell>
        </row>
        <row r="13">
          <cell r="A13" t="str">
            <v>S12000036</v>
          </cell>
          <cell r="B13" t="str">
            <v>City of Edinburgh</v>
          </cell>
        </row>
        <row r="14">
          <cell r="A14" t="str">
            <v>S12000005</v>
          </cell>
          <cell r="B14" t="str">
            <v>Clackmannanshire</v>
          </cell>
        </row>
        <row r="15">
          <cell r="A15" t="str">
            <v>S12000006</v>
          </cell>
          <cell r="B15" t="str">
            <v>Dumfries and Galloway</v>
          </cell>
        </row>
        <row r="16">
          <cell r="A16" t="str">
            <v>S12000042</v>
          </cell>
          <cell r="B16" t="str">
            <v>Dundee City</v>
          </cell>
        </row>
        <row r="17">
          <cell r="A17" t="str">
            <v>S12000008</v>
          </cell>
          <cell r="B17" t="str">
            <v>East Ayrshire</v>
          </cell>
        </row>
        <row r="18">
          <cell r="A18" t="str">
            <v>S12000045</v>
          </cell>
          <cell r="B18" t="str">
            <v>East Dunbartonshire</v>
          </cell>
        </row>
        <row r="19">
          <cell r="A19" t="str">
            <v>S12000010</v>
          </cell>
          <cell r="B19" t="str">
            <v>East Lothian</v>
          </cell>
        </row>
        <row r="20">
          <cell r="A20" t="str">
            <v>S12000011</v>
          </cell>
          <cell r="B20" t="str">
            <v>East Renfrewshire</v>
          </cell>
        </row>
        <row r="21">
          <cell r="A21" t="str">
            <v>S12000014</v>
          </cell>
          <cell r="B21" t="str">
            <v>Falkirk</v>
          </cell>
        </row>
        <row r="22">
          <cell r="A22" t="str">
            <v>S12000015</v>
          </cell>
          <cell r="B22" t="str">
            <v>Fife</v>
          </cell>
        </row>
        <row r="23">
          <cell r="A23" t="str">
            <v>S12000046</v>
          </cell>
          <cell r="B23" t="str">
            <v>Glasgow City</v>
          </cell>
        </row>
        <row r="24">
          <cell r="A24" t="str">
            <v>S12000017</v>
          </cell>
          <cell r="B24" t="str">
            <v>Highland</v>
          </cell>
        </row>
        <row r="25">
          <cell r="A25" t="str">
            <v>S12000018</v>
          </cell>
          <cell r="B25" t="str">
            <v>Inverclyde</v>
          </cell>
        </row>
        <row r="26">
          <cell r="A26" t="str">
            <v>S12000019</v>
          </cell>
          <cell r="B26" t="str">
            <v>Midlothian</v>
          </cell>
        </row>
        <row r="27">
          <cell r="A27" t="str">
            <v>S12000020</v>
          </cell>
          <cell r="B27" t="str">
            <v>Moray</v>
          </cell>
        </row>
        <row r="28">
          <cell r="A28" t="str">
            <v>S12000013</v>
          </cell>
          <cell r="B28" t="str">
            <v>Na h-Eileanan Siar</v>
          </cell>
        </row>
        <row r="29">
          <cell r="A29" t="str">
            <v>S12000021</v>
          </cell>
          <cell r="B29" t="str">
            <v>North Ayrshire</v>
          </cell>
        </row>
        <row r="30">
          <cell r="A30" t="str">
            <v>S12000044</v>
          </cell>
          <cell r="B30" t="str">
            <v>North Lanarkshire</v>
          </cell>
        </row>
        <row r="31">
          <cell r="A31" t="str">
            <v>S12000023</v>
          </cell>
          <cell r="B31" t="str">
            <v>Orkney Islands</v>
          </cell>
        </row>
        <row r="32">
          <cell r="A32" t="str">
            <v>S12000024</v>
          </cell>
          <cell r="B32" t="str">
            <v>Perth and Kinross</v>
          </cell>
        </row>
        <row r="33">
          <cell r="A33" t="str">
            <v>S12000038</v>
          </cell>
          <cell r="B33" t="str">
            <v>Renfrewshire</v>
          </cell>
        </row>
        <row r="34">
          <cell r="A34" t="str">
            <v>S12000026</v>
          </cell>
          <cell r="B34" t="str">
            <v>Scottish Borders</v>
          </cell>
        </row>
        <row r="35">
          <cell r="A35" t="str">
            <v>S12000027</v>
          </cell>
          <cell r="B35" t="str">
            <v>Shetland Islands</v>
          </cell>
        </row>
      </sheetData>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row r="5">
          <cell r="A5" t="str">
            <v>2009-10</v>
          </cell>
          <cell r="C5">
            <v>611</v>
          </cell>
          <cell r="D5">
            <v>418</v>
          </cell>
          <cell r="E5">
            <v>88</v>
          </cell>
          <cell r="F5">
            <v>299</v>
          </cell>
          <cell r="G5">
            <v>64</v>
          </cell>
          <cell r="H5">
            <v>142</v>
          </cell>
          <cell r="I5">
            <v>87</v>
          </cell>
          <cell r="J5">
            <v>176</v>
          </cell>
          <cell r="K5">
            <v>205</v>
          </cell>
          <cell r="L5">
            <v>328</v>
          </cell>
          <cell r="M5">
            <v>220</v>
          </cell>
          <cell r="N5">
            <v>161</v>
          </cell>
          <cell r="O5">
            <v>206</v>
          </cell>
          <cell r="P5">
            <v>6560</v>
          </cell>
        </row>
        <row r="6">
          <cell r="A6" t="str">
            <v>2010-11</v>
          </cell>
          <cell r="C6">
            <v>582</v>
          </cell>
          <cell r="D6">
            <v>392</v>
          </cell>
          <cell r="E6">
            <v>88</v>
          </cell>
          <cell r="F6">
            <v>324</v>
          </cell>
          <cell r="G6">
            <v>53</v>
          </cell>
          <cell r="H6">
            <v>144</v>
          </cell>
          <cell r="I6">
            <v>110</v>
          </cell>
          <cell r="J6">
            <v>142</v>
          </cell>
          <cell r="K6">
            <v>196</v>
          </cell>
          <cell r="L6">
            <v>300</v>
          </cell>
          <cell r="M6">
            <v>187</v>
          </cell>
          <cell r="N6">
            <v>140</v>
          </cell>
          <cell r="O6">
            <v>138</v>
          </cell>
          <cell r="P6">
            <v>6293</v>
          </cell>
        </row>
        <row r="7">
          <cell r="A7" t="str">
            <v>2011-12</v>
          </cell>
          <cell r="C7">
            <v>512</v>
          </cell>
          <cell r="D7">
            <v>428</v>
          </cell>
          <cell r="E7">
            <v>84</v>
          </cell>
          <cell r="F7">
            <v>298</v>
          </cell>
          <cell r="G7">
            <v>38</v>
          </cell>
          <cell r="H7">
            <v>117</v>
          </cell>
          <cell r="I7">
            <v>110</v>
          </cell>
          <cell r="J7">
            <v>157</v>
          </cell>
          <cell r="K7">
            <v>188</v>
          </cell>
          <cell r="L7">
            <v>272</v>
          </cell>
          <cell r="M7">
            <v>164</v>
          </cell>
          <cell r="N7">
            <v>173</v>
          </cell>
          <cell r="O7">
            <v>176</v>
          </cell>
          <cell r="P7">
            <v>6159</v>
          </cell>
        </row>
        <row r="8">
          <cell r="A8" t="str">
            <v>2012-13</v>
          </cell>
          <cell r="C8">
            <v>475</v>
          </cell>
          <cell r="D8">
            <v>349</v>
          </cell>
          <cell r="E8">
            <v>86</v>
          </cell>
          <cell r="F8">
            <v>235</v>
          </cell>
          <cell r="G8">
            <v>37</v>
          </cell>
          <cell r="H8">
            <v>104</v>
          </cell>
          <cell r="I8">
            <v>121</v>
          </cell>
          <cell r="J8">
            <v>125</v>
          </cell>
          <cell r="K8">
            <v>145</v>
          </cell>
          <cell r="L8">
            <v>234</v>
          </cell>
          <cell r="M8">
            <v>160</v>
          </cell>
          <cell r="N8">
            <v>152</v>
          </cell>
          <cell r="O8">
            <v>185</v>
          </cell>
          <cell r="P8">
            <v>5836</v>
          </cell>
        </row>
        <row r="9">
          <cell r="A9" t="str">
            <v>2013-14</v>
          </cell>
          <cell r="C9">
            <v>447</v>
          </cell>
          <cell r="D9">
            <v>343</v>
          </cell>
          <cell r="E9">
            <v>88</v>
          </cell>
          <cell r="F9">
            <v>220</v>
          </cell>
          <cell r="G9">
            <v>39</v>
          </cell>
          <cell r="H9">
            <v>120</v>
          </cell>
          <cell r="I9">
            <v>113</v>
          </cell>
          <cell r="J9">
            <v>124</v>
          </cell>
          <cell r="K9">
            <v>156</v>
          </cell>
          <cell r="L9">
            <v>232</v>
          </cell>
          <cell r="M9">
            <v>151</v>
          </cell>
          <cell r="N9">
            <v>141</v>
          </cell>
          <cell r="O9">
            <v>176</v>
          </cell>
          <cell r="P9">
            <v>5334</v>
          </cell>
        </row>
        <row r="10">
          <cell r="A10" t="str">
            <v>2014-15</v>
          </cell>
          <cell r="C10">
            <v>429</v>
          </cell>
          <cell r="D10">
            <v>358</v>
          </cell>
          <cell r="E10">
            <v>91</v>
          </cell>
          <cell r="F10">
            <v>222</v>
          </cell>
          <cell r="G10">
            <v>30</v>
          </cell>
          <cell r="H10">
            <v>118</v>
          </cell>
          <cell r="I10">
            <v>99</v>
          </cell>
          <cell r="J10">
            <v>100</v>
          </cell>
          <cell r="K10">
            <v>160</v>
          </cell>
          <cell r="L10">
            <v>233</v>
          </cell>
          <cell r="M10">
            <v>157</v>
          </cell>
          <cell r="N10">
            <v>156</v>
          </cell>
          <cell r="O10">
            <v>171</v>
          </cell>
          <cell r="P10">
            <v>5582</v>
          </cell>
        </row>
        <row r="11">
          <cell r="A11" t="str">
            <v>2015-16</v>
          </cell>
          <cell r="C11">
            <v>490</v>
          </cell>
          <cell r="D11">
            <v>312</v>
          </cell>
          <cell r="E11">
            <v>86</v>
          </cell>
          <cell r="F11">
            <v>248</v>
          </cell>
          <cell r="G11">
            <v>45</v>
          </cell>
          <cell r="H11">
            <v>130</v>
          </cell>
          <cell r="I11">
            <v>118</v>
          </cell>
          <cell r="J11">
            <v>110</v>
          </cell>
          <cell r="K11">
            <v>167</v>
          </cell>
          <cell r="L11">
            <v>257</v>
          </cell>
          <cell r="M11">
            <v>175</v>
          </cell>
          <cell r="N11">
            <v>167</v>
          </cell>
          <cell r="O11">
            <v>192</v>
          </cell>
          <cell r="P11">
            <v>5677</v>
          </cell>
        </row>
        <row r="12">
          <cell r="A12" t="str">
            <v>2016-17</v>
          </cell>
          <cell r="C12">
            <v>415</v>
          </cell>
          <cell r="D12">
            <v>317</v>
          </cell>
          <cell r="E12">
            <v>73</v>
          </cell>
          <cell r="F12">
            <v>232</v>
          </cell>
          <cell r="G12">
            <v>52</v>
          </cell>
          <cell r="H12">
            <v>119</v>
          </cell>
          <cell r="I12">
            <v>99</v>
          </cell>
          <cell r="J12">
            <v>105</v>
          </cell>
          <cell r="K12">
            <v>172</v>
          </cell>
          <cell r="L12">
            <v>225</v>
          </cell>
          <cell r="M12">
            <v>164</v>
          </cell>
          <cell r="N12">
            <v>145</v>
          </cell>
          <cell r="O12">
            <v>161</v>
          </cell>
          <cell r="P12">
            <v>5549</v>
          </cell>
        </row>
        <row r="13">
          <cell r="A13" t="str">
            <v>2017-18</v>
          </cell>
          <cell r="C13">
            <v>385</v>
          </cell>
          <cell r="D13">
            <v>356</v>
          </cell>
          <cell r="E13">
            <v>68</v>
          </cell>
          <cell r="F13">
            <v>227</v>
          </cell>
          <cell r="G13">
            <v>35</v>
          </cell>
          <cell r="H13">
            <v>106</v>
          </cell>
          <cell r="I13">
            <v>155</v>
          </cell>
          <cell r="J13">
            <v>115</v>
          </cell>
          <cell r="K13">
            <v>156</v>
          </cell>
          <cell r="L13">
            <v>204</v>
          </cell>
          <cell r="M13">
            <v>177</v>
          </cell>
          <cell r="N13">
            <v>128</v>
          </cell>
          <cell r="O13">
            <v>179</v>
          </cell>
          <cell r="P13">
            <v>5321</v>
          </cell>
        </row>
        <row r="14">
          <cell r="A14" t="str">
            <v>2018-19</v>
          </cell>
          <cell r="C14">
            <v>423</v>
          </cell>
          <cell r="D14">
            <v>330</v>
          </cell>
          <cell r="E14">
            <v>79</v>
          </cell>
          <cell r="F14">
            <v>197</v>
          </cell>
          <cell r="G14">
            <v>38</v>
          </cell>
          <cell r="H14">
            <v>104</v>
          </cell>
          <cell r="I14">
            <v>160</v>
          </cell>
          <cell r="J14">
            <v>94</v>
          </cell>
          <cell r="K14">
            <v>165</v>
          </cell>
          <cell r="L14">
            <v>210</v>
          </cell>
          <cell r="M14">
            <v>154</v>
          </cell>
          <cell r="N14">
            <v>130</v>
          </cell>
          <cell r="O14">
            <v>169</v>
          </cell>
          <cell r="P14">
            <v>5144</v>
          </cell>
        </row>
        <row r="15">
          <cell r="A15" t="str">
            <v>2019-20</v>
          </cell>
          <cell r="C15">
            <v>390</v>
          </cell>
          <cell r="D15">
            <v>295</v>
          </cell>
          <cell r="E15">
            <v>54</v>
          </cell>
          <cell r="F15">
            <v>172</v>
          </cell>
          <cell r="G15">
            <v>30</v>
          </cell>
          <cell r="H15">
            <v>110</v>
          </cell>
          <cell r="I15">
            <v>92</v>
          </cell>
          <cell r="J15">
            <v>99</v>
          </cell>
          <cell r="K15">
            <v>141</v>
          </cell>
          <cell r="L15">
            <v>185</v>
          </cell>
          <cell r="M15">
            <v>157</v>
          </cell>
          <cell r="N15">
            <v>111</v>
          </cell>
          <cell r="O15">
            <v>142</v>
          </cell>
          <cell r="P15">
            <v>4887</v>
          </cell>
        </row>
      </sheetData>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row r="5">
          <cell r="C5">
            <v>1</v>
          </cell>
        </row>
        <row r="6">
          <cell r="B6" t="str">
            <v>2009-10</v>
          </cell>
          <cell r="D6">
            <v>2</v>
          </cell>
          <cell r="E6">
            <v>4</v>
          </cell>
          <cell r="F6">
            <v>27</v>
          </cell>
          <cell r="G6">
            <v>28</v>
          </cell>
        </row>
        <row r="7">
          <cell r="B7" t="str">
            <v>2010-11</v>
          </cell>
          <cell r="D7"/>
          <cell r="E7">
            <v>6</v>
          </cell>
          <cell r="F7">
            <v>23</v>
          </cell>
          <cell r="G7">
            <v>23</v>
          </cell>
        </row>
        <row r="8">
          <cell r="B8" t="str">
            <v>2011-12</v>
          </cell>
          <cell r="D8">
            <v>3</v>
          </cell>
          <cell r="E8">
            <v>3</v>
          </cell>
          <cell r="F8">
            <v>23</v>
          </cell>
          <cell r="G8">
            <v>30</v>
          </cell>
        </row>
        <row r="9">
          <cell r="B9" t="str">
            <v>2012-13</v>
          </cell>
          <cell r="D9"/>
          <cell r="E9">
            <v>1</v>
          </cell>
          <cell r="F9">
            <v>19</v>
          </cell>
          <cell r="G9">
            <v>26</v>
          </cell>
        </row>
        <row r="10">
          <cell r="B10" t="str">
            <v>2013-14</v>
          </cell>
          <cell r="D10"/>
          <cell r="E10"/>
          <cell r="F10">
            <v>15</v>
          </cell>
          <cell r="G10">
            <v>16</v>
          </cell>
        </row>
        <row r="11">
          <cell r="B11" t="str">
            <v>2014-15</v>
          </cell>
          <cell r="D11">
            <v>1</v>
          </cell>
          <cell r="E11">
            <v>2</v>
          </cell>
          <cell r="F11">
            <v>14</v>
          </cell>
          <cell r="G11">
            <v>23</v>
          </cell>
        </row>
        <row r="12">
          <cell r="B12" t="str">
            <v>2015-16</v>
          </cell>
          <cell r="D12"/>
          <cell r="E12">
            <v>3</v>
          </cell>
          <cell r="F12">
            <v>19</v>
          </cell>
          <cell r="G12">
            <v>23</v>
          </cell>
        </row>
        <row r="13">
          <cell r="B13" t="str">
            <v>2016-17</v>
          </cell>
          <cell r="D13"/>
          <cell r="E13">
            <v>4</v>
          </cell>
          <cell r="F13">
            <v>22</v>
          </cell>
          <cell r="G13">
            <v>18</v>
          </cell>
        </row>
        <row r="14">
          <cell r="B14" t="str">
            <v>2017-18</v>
          </cell>
          <cell r="D14"/>
          <cell r="E14">
            <v>3</v>
          </cell>
          <cell r="F14">
            <v>18</v>
          </cell>
          <cell r="G14">
            <v>23</v>
          </cell>
        </row>
        <row r="15">
          <cell r="B15" t="str">
            <v>2018-19</v>
          </cell>
          <cell r="D15">
            <v>1</v>
          </cell>
          <cell r="E15">
            <v>3</v>
          </cell>
          <cell r="F15">
            <v>16</v>
          </cell>
          <cell r="G15">
            <v>25</v>
          </cell>
        </row>
      </sheetData>
      <sheetData sheetId="200" refreshError="1">
        <row r="5">
          <cell r="C5">
            <v>18</v>
          </cell>
        </row>
        <row r="6">
          <cell r="C6">
            <v>28</v>
          </cell>
        </row>
        <row r="7">
          <cell r="C7">
            <v>28</v>
          </cell>
        </row>
        <row r="8">
          <cell r="C8">
            <v>18</v>
          </cell>
        </row>
        <row r="9">
          <cell r="C9">
            <v>15</v>
          </cell>
        </row>
        <row r="10">
          <cell r="C10">
            <v>12</v>
          </cell>
        </row>
        <row r="11">
          <cell r="C11">
            <v>10</v>
          </cell>
        </row>
        <row r="12">
          <cell r="C12">
            <v>18</v>
          </cell>
        </row>
        <row r="13">
          <cell r="C13">
            <v>28</v>
          </cell>
        </row>
        <row r="14">
          <cell r="C14">
            <v>21</v>
          </cell>
        </row>
        <row r="15">
          <cell r="B15" t="str">
            <v>2019-20</v>
          </cell>
          <cell r="D15"/>
          <cell r="E15">
            <v>2</v>
          </cell>
          <cell r="F15">
            <v>7</v>
          </cell>
          <cell r="G15">
            <v>1</v>
          </cell>
          <cell r="H15">
            <v>3</v>
          </cell>
        </row>
        <row r="16">
          <cell r="B16" t="str">
            <v>2009-10</v>
          </cell>
          <cell r="D16">
            <v>106</v>
          </cell>
          <cell r="E16">
            <v>238</v>
          </cell>
          <cell r="F16">
            <v>552</v>
          </cell>
          <cell r="G16">
            <v>308</v>
          </cell>
          <cell r="H16">
            <v>1</v>
          </cell>
        </row>
        <row r="17">
          <cell r="B17" t="str">
            <v>2010-11</v>
          </cell>
          <cell r="D17">
            <v>113</v>
          </cell>
          <cell r="E17">
            <v>283</v>
          </cell>
          <cell r="F17">
            <v>583</v>
          </cell>
          <cell r="G17">
            <v>323</v>
          </cell>
          <cell r="H17">
            <v>2</v>
          </cell>
        </row>
        <row r="18">
          <cell r="B18" t="str">
            <v>2011-12</v>
          </cell>
          <cell r="D18">
            <v>119</v>
          </cell>
          <cell r="E18">
            <v>268</v>
          </cell>
          <cell r="F18">
            <v>644</v>
          </cell>
          <cell r="G18">
            <v>350</v>
          </cell>
          <cell r="H18">
            <v>5</v>
          </cell>
        </row>
        <row r="19">
          <cell r="B19" t="str">
            <v>2012-13</v>
          </cell>
          <cell r="D19">
            <v>89</v>
          </cell>
          <cell r="E19">
            <v>252</v>
          </cell>
          <cell r="F19">
            <v>514</v>
          </cell>
          <cell r="G19">
            <v>389</v>
          </cell>
          <cell r="H19">
            <v>57</v>
          </cell>
        </row>
        <row r="20">
          <cell r="B20" t="str">
            <v>2013-14</v>
          </cell>
          <cell r="D20">
            <v>90</v>
          </cell>
          <cell r="E20">
            <v>227</v>
          </cell>
          <cell r="F20">
            <v>572</v>
          </cell>
          <cell r="G20">
            <v>339</v>
          </cell>
          <cell r="H20">
            <v>67</v>
          </cell>
        </row>
        <row r="21">
          <cell r="B21" t="str">
            <v>2014-15</v>
          </cell>
          <cell r="D21">
            <v>88</v>
          </cell>
          <cell r="E21">
            <v>186</v>
          </cell>
          <cell r="F21">
            <v>432</v>
          </cell>
          <cell r="G21">
            <v>314</v>
          </cell>
          <cell r="H21">
            <v>69</v>
          </cell>
        </row>
        <row r="22">
          <cell r="B22" t="str">
            <v>2015-16</v>
          </cell>
          <cell r="D22">
            <v>77</v>
          </cell>
          <cell r="E22">
            <v>204</v>
          </cell>
          <cell r="F22">
            <v>542</v>
          </cell>
          <cell r="G22">
            <v>381</v>
          </cell>
          <cell r="H22">
            <v>62</v>
          </cell>
        </row>
        <row r="23">
          <cell r="B23" t="str">
            <v>2016-17</v>
          </cell>
          <cell r="D23">
            <v>78</v>
          </cell>
          <cell r="E23">
            <v>201</v>
          </cell>
          <cell r="F23">
            <v>574</v>
          </cell>
          <cell r="G23">
            <v>334</v>
          </cell>
          <cell r="H23">
            <v>61</v>
          </cell>
        </row>
        <row r="24">
          <cell r="B24" t="str">
            <v>2017-18</v>
          </cell>
          <cell r="D24">
            <v>87</v>
          </cell>
          <cell r="E24">
            <v>183</v>
          </cell>
          <cell r="F24">
            <v>476</v>
          </cell>
          <cell r="G24">
            <v>270</v>
          </cell>
          <cell r="H24">
            <v>73</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Table of Contents"/>
      <sheetName val="Incidents Timeseries"/>
      <sheetName val="Casualties Timeseries"/>
      <sheetName val="quarterly1"/>
      <sheetName val="quarterly2"/>
      <sheetName val="Chart - Incidents Longterm"/>
      <sheetName val="Chart - Casualties Longterm"/>
      <sheetName val="Chart - Incidents"/>
      <sheetName val="Chart - Attendance Share"/>
      <sheetName val="Chart - Fires Share"/>
      <sheetName val="T_01"/>
      <sheetName val="Chart - Fire Map"/>
      <sheetName val="Chart - Primary Fire Map"/>
      <sheetName val="Chart - Secondary Fire Map"/>
      <sheetName val="1"/>
      <sheetName val="1a 1b"/>
      <sheetName val="2 2a"/>
      <sheetName val="2b"/>
      <sheetName val="T__02"/>
      <sheetName val="T_02"/>
      <sheetName val="3"/>
      <sheetName val="3a"/>
      <sheetName val="T_03"/>
      <sheetName val="Chart - ADF Map"/>
      <sheetName val="4"/>
      <sheetName val="4a 4b"/>
      <sheetName val="T_04"/>
      <sheetName val="4c 4d 4e"/>
      <sheetName val="T_05"/>
      <sheetName val="5"/>
      <sheetName val="5a"/>
      <sheetName val="Chart - FFA"/>
      <sheetName val="Chart - FFA Property"/>
      <sheetName val="7"/>
      <sheetName val="6"/>
      <sheetName val="6a"/>
      <sheetName val="6b"/>
      <sheetName val="T_06"/>
      <sheetName val="T_06b"/>
      <sheetName val="6c 6d"/>
      <sheetName val="Chart - NonFire "/>
      <sheetName val="Chart - NonFire Map"/>
      <sheetName val="Chart - NonFire Fatal"/>
      <sheetName val="Chart - NonFire Casualties"/>
      <sheetName val="Chart - NonFire Share"/>
      <sheetName val="8"/>
      <sheetName val="8a"/>
      <sheetName val="T_08"/>
      <sheetName val="9"/>
      <sheetName val="9a"/>
      <sheetName val="T_09"/>
      <sheetName val="9b"/>
      <sheetName val="T_09b"/>
      <sheetName val="Chart - Refuse Fires"/>
      <sheetName val="10b 10c 10d"/>
      <sheetName val="Sheet4"/>
      <sheetName val="T_10"/>
      <sheetName val="10 10a"/>
      <sheetName val="Chart - Incidents GB"/>
      <sheetName val="Chart - Fires GB"/>
      <sheetName val="Chart - Casualties GB"/>
      <sheetName val="Motive"/>
      <sheetName val="T_M"/>
      <sheetName val="Sheet10"/>
      <sheetName val="Motive_LA"/>
      <sheetName val="T_MLA"/>
      <sheetName val="3b"/>
      <sheetName val="T_03b"/>
      <sheetName val="11"/>
      <sheetName val="Sheet2"/>
      <sheetName val="T_11_1"/>
      <sheetName val="12 12a"/>
      <sheetName val="T_12"/>
      <sheetName val="11a 11b"/>
      <sheetName val="T_11"/>
      <sheetName val="13"/>
      <sheetName val="T_13_1"/>
      <sheetName val="13a"/>
      <sheetName val="T_13"/>
      <sheetName val="13b"/>
      <sheetName val="T_13b"/>
      <sheetName val="Chart - Fires Motive"/>
      <sheetName val="Chart - Fires Accidental"/>
      <sheetName val="Chart - Fires Deliberate"/>
      <sheetName val="14e 14f 14g"/>
      <sheetName val="14 14a"/>
      <sheetName val="T_14_1"/>
      <sheetName val="15 15a"/>
      <sheetName val="14d"/>
      <sheetName val="15d"/>
      <sheetName val="14b 14c"/>
      <sheetName val="T_14"/>
      <sheetName val="15b 15c"/>
      <sheetName val="T_15"/>
      <sheetName val="16 16a new"/>
      <sheetName val="16 16a"/>
      <sheetName val="16b 16c"/>
      <sheetName val="16d"/>
      <sheetName val="T_16"/>
      <sheetName val="17 17a new"/>
      <sheetName val="17 17a"/>
      <sheetName val="17b 17c"/>
      <sheetName val="T_17_2"/>
      <sheetName val="17d"/>
      <sheetName val="T_17"/>
      <sheetName val="Sheet5"/>
      <sheetName val="Chart - Hospitalisation"/>
      <sheetName val="18 18a 18b"/>
      <sheetName val="T_18"/>
      <sheetName val="19"/>
      <sheetName val="T_1_19"/>
      <sheetName val="19a"/>
      <sheetName val="T_19"/>
      <sheetName val="19b"/>
      <sheetName val="20"/>
      <sheetName val="Chart - ADF Ignition"/>
      <sheetName val="21"/>
      <sheetName val="21a"/>
      <sheetName val="T_21"/>
      <sheetName val="21b 21c"/>
      <sheetName val="Sheet3"/>
      <sheetName val="22"/>
      <sheetName val="BuildingAreaDamage"/>
      <sheetName val="Sheet16"/>
      <sheetName val="Sheet1"/>
      <sheetName val="23 23a"/>
      <sheetName val="T_1_23"/>
      <sheetName val="Sheet8"/>
      <sheetName val="T_23"/>
      <sheetName val="24"/>
      <sheetName val="Sheet6"/>
      <sheetName val="25"/>
      <sheetName val="Sheet7"/>
      <sheetName val="Chart - Time of Incident"/>
      <sheetName val="Chart - Time of Injury"/>
      <sheetName val="T_ref"/>
      <sheetName val="Population"/>
      <sheetName val="Dwellings"/>
      <sheetName val="PropCat"/>
      <sheetName val="SIMD"/>
      <sheetName val="SIMD_Rate"/>
      <sheetName val="T_simd"/>
      <sheetName val="SIMD_Casualties"/>
      <sheetName val="T_simdcas"/>
      <sheetName val="SIMD_CasRate"/>
      <sheetName val="UrbanRural"/>
      <sheetName val="UrbanRural_Rate"/>
      <sheetName val="Sheet9"/>
      <sheetName val="UR_Casualties"/>
      <sheetName val="UR_CasualtiesRate"/>
      <sheetName val="T_ur"/>
      <sheetName val="T_urcas"/>
      <sheetName val="Qtr"/>
      <sheetName val="Sheet17"/>
      <sheetName val="Reference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2">
          <cell r="B2" t="str">
            <v>2017-18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Table of Contents"/>
      <sheetName val="Incidents Timeseries"/>
      <sheetName val="Casualties Timeseries"/>
      <sheetName val="Chart Fires"/>
      <sheetName val="Chart Fire False Alarms"/>
      <sheetName val="Chart Non-fire"/>
      <sheetName val="Chart Share Incidents"/>
      <sheetName val="Chart Share Fatal"/>
      <sheetName val="Chart Share Non-fatal"/>
      <sheetName val="Chart Fatal Fire Casualties"/>
      <sheetName val="Chart Non-fatal Fire Casualties"/>
      <sheetName val="Chart Non-fire Casualties"/>
      <sheetName val="Fires"/>
      <sheetName val="T_01"/>
      <sheetName val="Fires LA"/>
      <sheetName val="Building Fires-old"/>
      <sheetName val="Building Fires"/>
      <sheetName val="Building Fires LA-old"/>
      <sheetName val="Building Fires LA"/>
      <sheetName val="Multistorey"/>
      <sheetName val="T_08"/>
      <sheetName val="T_02"/>
      <sheetName val="T__02"/>
      <sheetName val="T_03"/>
      <sheetName val="T_04"/>
      <sheetName val="T_05"/>
      <sheetName val="T_06"/>
      <sheetName val="T_06b"/>
      <sheetName val="T_09"/>
      <sheetName val="T_09b"/>
      <sheetName val="T_M"/>
      <sheetName val="T_MLA"/>
      <sheetName val="T_03b"/>
      <sheetName val="T_12"/>
      <sheetName val="T_11_1"/>
      <sheetName val="T_11"/>
      <sheetName val="T_13_1"/>
      <sheetName val="T_13"/>
      <sheetName val="T_13b"/>
      <sheetName val="T_14_1"/>
      <sheetName val="T_14"/>
      <sheetName val="T_15"/>
      <sheetName val="T_1616a_old"/>
      <sheetName val="T_17_2"/>
      <sheetName val="T_18"/>
      <sheetName val="T_1_19"/>
      <sheetName val="T_19"/>
      <sheetName val="T_21"/>
      <sheetName val="Sheet3"/>
      <sheetName val="Sheet1"/>
      <sheetName val="T_1_23"/>
      <sheetName val="T_23"/>
      <sheetName val="Sheet6"/>
      <sheetName val="Sheet7"/>
      <sheetName val="Building Fires Spread"/>
      <sheetName val="Sheet16"/>
      <sheetName val="Building Fires Area"/>
      <sheetName val="Dwelling Fires Motive LA"/>
      <sheetName val="Smoke Alarms"/>
      <sheetName val="Smoke Alarms LA"/>
      <sheetName val="Alarms Non-op Reason"/>
      <sheetName val="ADF Source"/>
      <sheetName val="ADF AlcoholDrugs"/>
      <sheetName val="ADF AlcoholDrugs LA"/>
      <sheetName val="Outdoor Fires"/>
      <sheetName val="Outdoor Fires Prim LA"/>
      <sheetName val="Outdoor Fires Sec LA"/>
      <sheetName val="Motive"/>
      <sheetName val="Motive LA"/>
      <sheetName val="Motive Primary LA Rate"/>
      <sheetName val="Motive Secondary"/>
      <sheetName val="Motive Secondary LA"/>
      <sheetName val="Motive Secondary LA Rate"/>
      <sheetName val="Appliances"/>
      <sheetName val="Appliances LA"/>
      <sheetName val="Time of Call"/>
      <sheetName val="Chart - Time of Incident"/>
      <sheetName val="Chart - Time of Injury"/>
      <sheetName val="Chart Primary Fire"/>
      <sheetName val="Chart Secondary Fire"/>
      <sheetName val="Chart Fire Motive"/>
      <sheetName val="Chart Fire Map"/>
      <sheetName val="Chart Primary Fire Map"/>
      <sheetName val="Chart Secondary Fire Map"/>
      <sheetName val="Chart Deliberate Fire Map"/>
      <sheetName val="Chart ADF Map"/>
      <sheetName val="Fire False Alarms"/>
      <sheetName val="Fire False Alarms LA"/>
      <sheetName val="Fire False Alarms Location"/>
      <sheetName val="Non-fire False Alarms"/>
      <sheetName val="Non-fire False Alarms LA"/>
      <sheetName val="Chart FFA Type"/>
      <sheetName val="Chart FFA Apparatus"/>
      <sheetName val="Chart False Alarm App Map"/>
      <sheetName val="Non-fire"/>
      <sheetName val="Non-fire LA"/>
      <sheetName val="Non-fire LA Rate"/>
      <sheetName val="RTC Flooding"/>
      <sheetName val="Chart Non-fire Type"/>
      <sheetName val="Chart Non-fire Map"/>
      <sheetName val="Chart RTC Map"/>
      <sheetName val="Chart EEE Map"/>
      <sheetName val="Casualties Non-fire"/>
      <sheetName val="Chart Non-fire Fatal"/>
      <sheetName val="Chart Non-fire Non-fatal"/>
      <sheetName val="Casualties Fire"/>
      <sheetName val="Casualties Fire LA"/>
      <sheetName val="Casualties Building"/>
      <sheetName val="T_buildcas"/>
      <sheetName val="Casualties Multistorey"/>
      <sheetName val="Casualties Motive"/>
      <sheetName val="Casualties Motive LA"/>
      <sheetName val="Dwelling Non-fatal Rate"/>
      <sheetName val="ADF Casualty"/>
      <sheetName val="ADF Casualty LA"/>
      <sheetName val="ADF Casualty AlcoholDrugs"/>
      <sheetName val="Treatment"/>
      <sheetName val="Casualty Gender"/>
      <sheetName val="Casualty Gender Rate"/>
      <sheetName val="Treatment Gender"/>
      <sheetName val="Treatment Gender Rate"/>
      <sheetName val="Type of Injury Gender"/>
      <sheetName val="Type of Injury Gender Rate"/>
      <sheetName val="Casualty Age"/>
      <sheetName val="Casualty Age Rate"/>
      <sheetName val="T_16"/>
      <sheetName val="Type of Injury Age"/>
      <sheetName val="Type of Injury Age Rate"/>
      <sheetName val="Treatment Age"/>
      <sheetName val="Treatment Age Rate"/>
      <sheetName val="Rescues"/>
      <sheetName val="Time of Call Casualty"/>
      <sheetName val="Chart Casualty Treatment"/>
      <sheetName val="Chart Fatal Age"/>
      <sheetName val="Chart Non-fatal Age"/>
      <sheetName val="Deprivation Incident"/>
      <sheetName val="Deprivation Incident Rate"/>
      <sheetName val="Deprivation Casualty"/>
      <sheetName val="Deprivation Casualty Rate"/>
      <sheetName val="Rurality Incident"/>
      <sheetName val="Rurality Incident Rate"/>
      <sheetName val="Rurality Casualty"/>
      <sheetName val="Rurality Casualty Rate"/>
      <sheetName val="Chart Deprivation"/>
      <sheetName val="Chart Fatality Profile"/>
      <sheetName val="Chart Hospitalised Profile"/>
      <sheetName val="Chart Rurality"/>
      <sheetName val="T_simd"/>
      <sheetName val="T_simdcas"/>
      <sheetName val="T_ur"/>
      <sheetName val="T_urcas"/>
      <sheetName val="GB Incident"/>
      <sheetName val="GB Fires"/>
      <sheetName val="T_10"/>
      <sheetName val="GB Casualties"/>
      <sheetName val="Chart Incidents GB"/>
      <sheetName val="Chart Fire Types GB"/>
      <sheetName val="Chart Casualties GB"/>
      <sheetName val="PopulationScotland"/>
      <sheetName val="PopulationOtherArea"/>
      <sheetName val="Dwellings"/>
      <sheetName val="T_ref"/>
      <sheetName val="T_Qtr"/>
      <sheetName val="T01"/>
      <sheetName val="T01a"/>
      <sheetName val="T02"/>
      <sheetName val="T02b"/>
      <sheetName val="T03"/>
      <sheetName val="T03a"/>
      <sheetName val="T04"/>
      <sheetName val="T04a"/>
      <sheetName val="T04cde"/>
      <sheetName val="T05"/>
      <sheetName val="T05a"/>
      <sheetName val="T06"/>
      <sheetName val="T06a"/>
      <sheetName val="T06c"/>
      <sheetName val="T06d"/>
      <sheetName val="T07"/>
      <sheetName val="T08"/>
      <sheetName val="T08a"/>
      <sheetName val="T09"/>
      <sheetName val="T09_2"/>
      <sheetName val="T09a"/>
      <sheetName val="T09b"/>
      <sheetName val="T11"/>
      <sheetName val="T11f"/>
      <sheetName val="T11nf"/>
      <sheetName val="T11a"/>
      <sheetName val="T12"/>
      <sheetName val="T17c"/>
      <sheetName val="Tnull"/>
      <sheetName val="T13"/>
      <sheetName val="T13a"/>
      <sheetName val="T14"/>
      <sheetName val="T14a"/>
      <sheetName val="T14b"/>
      <sheetName val="T14c"/>
      <sheetName val="T14d"/>
      <sheetName val="T14e"/>
      <sheetName val="T14f"/>
      <sheetName val="T16"/>
      <sheetName val="T16a"/>
      <sheetName val="T16b"/>
      <sheetName val="T16c"/>
      <sheetName val="T16d"/>
      <sheetName val="T18"/>
      <sheetName val="T18a"/>
      <sheetName val="T19"/>
      <sheetName val="T19a"/>
      <sheetName val="T19b"/>
      <sheetName val="T20"/>
      <sheetName val="T21"/>
      <sheetName val="T21b"/>
      <sheetName val="T21a"/>
      <sheetName val="T22"/>
      <sheetName val="T23"/>
      <sheetName val="T23a"/>
      <sheetName val="T24"/>
      <sheetName val="T25"/>
      <sheetName val="T03b"/>
      <sheetName val="T10"/>
      <sheetName val="Tref"/>
      <sheetName val="T17b"/>
      <sheetName val="Tsimd"/>
      <sheetName val="Tur"/>
      <sheetName val="Tmotive"/>
      <sheetName val="Tqtrmotive"/>
      <sheetName val="TqtrIncidents"/>
      <sheetName val="TqtrCasF"/>
      <sheetName val="TqtrCasNF"/>
      <sheetName val="TqtrCAS"/>
      <sheetName val="T16_new"/>
      <sheetName val="T16a_new"/>
      <sheetName val="TsimdCas"/>
      <sheetName val="TurCas"/>
      <sheetName val="Tbuildingarea"/>
      <sheetName val="T17d"/>
      <sheetName val="T08v2"/>
      <sheetName val="T08av2"/>
      <sheetName val="T08v2casl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 Form"/>
      <sheetName val="Reorder1"/>
      <sheetName val="Codes"/>
    </sheetNames>
    <sheetDataSet>
      <sheetData sheetId="0">
        <row r="49">
          <cell r="N49" t="str">
            <v xml:space="preserve">Table 13b: Secondary fires by motive, 2017-18, Local Authority, </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ntents"/>
      <sheetName val="Long-Term Trend"/>
      <sheetName val="1 1a 1b"/>
      <sheetName val="T_01"/>
      <sheetName val="T_02"/>
      <sheetName val="2 2a 2b"/>
      <sheetName val="3 3a"/>
      <sheetName val="T_03"/>
      <sheetName val="T_03b"/>
      <sheetName val="3b"/>
      <sheetName val="4 4a 4b"/>
      <sheetName val="T_04"/>
      <sheetName val="4c 4d 4e"/>
      <sheetName val="5 5a"/>
      <sheetName val="T_05"/>
      <sheetName val="6 6a"/>
      <sheetName val="T_06"/>
      <sheetName val="6b"/>
      <sheetName val="T_06b"/>
      <sheetName val="6c 6d"/>
      <sheetName val="7"/>
      <sheetName val="8 8a"/>
      <sheetName val="T_08"/>
      <sheetName val="9"/>
      <sheetName val="9a"/>
      <sheetName val="T_09"/>
      <sheetName val="9b"/>
      <sheetName val="T_09b"/>
      <sheetName val="10 10a"/>
      <sheetName val="10b 10c 10d"/>
      <sheetName val="11"/>
      <sheetName val="11a 11b"/>
      <sheetName val="T_11"/>
      <sheetName val="12 12a"/>
      <sheetName val="T_12"/>
      <sheetName val="13"/>
      <sheetName val="13a"/>
      <sheetName val="T_13"/>
      <sheetName val="13b"/>
      <sheetName val="T_13b"/>
      <sheetName val="14 14a"/>
      <sheetName val="14b 14c 14d"/>
      <sheetName val="T_14"/>
      <sheetName val="14e 14f 14g"/>
      <sheetName val="15 15a"/>
      <sheetName val="15b 15c 15d"/>
      <sheetName val="T_15"/>
      <sheetName val="16 16a"/>
      <sheetName val="16b 16c 16d"/>
      <sheetName val="T_16"/>
      <sheetName val="17 17a"/>
      <sheetName val="T_ref"/>
      <sheetName val="T_17"/>
      <sheetName val="17b 17c 17d"/>
      <sheetName val="18 18a 18b"/>
      <sheetName val="19"/>
      <sheetName val="19a"/>
      <sheetName val="T_19"/>
      <sheetName val="19b"/>
      <sheetName val="20"/>
      <sheetName val="21 21a"/>
      <sheetName val="T_21"/>
      <sheetName val="21b 21c"/>
      <sheetName val="22"/>
      <sheetName val="23 23a"/>
      <sheetName val="T_23"/>
      <sheetName val="24"/>
      <sheetName val="25"/>
      <sheetName val="Population"/>
      <sheetName val="Dwellings"/>
      <sheetName val="Figure Long-Term Trend"/>
      <sheetName val="Figure 1"/>
      <sheetName val="Figure 2"/>
      <sheetName val="Figure 3"/>
      <sheetName val="Figure 5"/>
      <sheetName val="Figure 4"/>
      <sheetName val="Figure 7"/>
      <sheetName val="Figure 9"/>
      <sheetName val="Figure 10"/>
      <sheetName val="Figure 27"/>
      <sheetName val="Figure 6"/>
      <sheetName val="Figure 24"/>
      <sheetName val="Figure 22"/>
      <sheetName val="Figure 8"/>
      <sheetName val="Figure 20"/>
      <sheetName val="Figure 28"/>
      <sheetName val="Figure 11"/>
      <sheetName val="Figure 30"/>
      <sheetName val="Figure 23"/>
      <sheetName val="Figure 21"/>
      <sheetName val="Figure 12"/>
      <sheetName val="Figure 29"/>
      <sheetName val="Figure 13"/>
      <sheetName val="Figure 14"/>
      <sheetName val="Figure 15"/>
      <sheetName val="Figure 18"/>
      <sheetName val="Figure 19"/>
      <sheetName val="Figure 26"/>
      <sheetName val="Figure 16"/>
      <sheetName val="Figure 25"/>
      <sheetName val="Figure 17"/>
      <sheetName val="Reference Page"/>
      <sheetName val="T01"/>
      <sheetName val="T02"/>
      <sheetName val="T03"/>
      <sheetName val="T04"/>
      <sheetName val="T04cde"/>
      <sheetName val="T05"/>
      <sheetName val="T06"/>
      <sheetName val="T07"/>
      <sheetName val="T08"/>
      <sheetName val="T09"/>
      <sheetName val="T09a"/>
      <sheetName val="T09b"/>
      <sheetName val="T11"/>
      <sheetName val="T12"/>
      <sheetName val="T13"/>
      <sheetName val="T14"/>
      <sheetName val="T14b"/>
      <sheetName val="T14c"/>
      <sheetName val="T14d"/>
      <sheetName val="T14e"/>
      <sheetName val="T14f"/>
      <sheetName val="T16"/>
      <sheetName val="T16c"/>
      <sheetName val="T16d"/>
      <sheetName val="T18"/>
      <sheetName val="T19"/>
      <sheetName val="T19a"/>
      <sheetName val="T19b"/>
      <sheetName val="T20"/>
      <sheetName val="T21"/>
      <sheetName val="T22"/>
      <sheetName val="T23"/>
      <sheetName val="T24"/>
      <sheetName val="T25"/>
      <sheetName val="T03b"/>
      <sheetName val="T10"/>
      <sheetName val="Tref"/>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4">
          <cell r="A4" t="str">
            <v>Aberdeen City</v>
          </cell>
        </row>
      </sheetData>
      <sheetData sheetId="70">
        <row r="4">
          <cell r="A4" t="str">
            <v>Aberdeen City</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1">
          <cell r="B1" t="str">
            <v>2010-11 to 2017-18</v>
          </cell>
        </row>
      </sheetData>
      <sheetData sheetId="103">
        <row r="5">
          <cell r="A5" t="str">
            <v>2015-16</v>
          </cell>
        </row>
      </sheetData>
      <sheetData sheetId="104">
        <row r="5">
          <cell r="D5">
            <v>825</v>
          </cell>
        </row>
      </sheetData>
      <sheetData sheetId="105">
        <row r="5">
          <cell r="A5" t="str">
            <v>2015-16</v>
          </cell>
        </row>
      </sheetData>
      <sheetData sheetId="106">
        <row r="5">
          <cell r="A5" t="str">
            <v>2015-16</v>
          </cell>
        </row>
      </sheetData>
      <sheetData sheetId="107">
        <row r="5">
          <cell r="A5" t="str">
            <v>2015-16</v>
          </cell>
        </row>
      </sheetData>
      <sheetData sheetId="108">
        <row r="5">
          <cell r="A5" t="str">
            <v>2015-16</v>
          </cell>
        </row>
      </sheetData>
      <sheetData sheetId="109">
        <row r="5">
          <cell r="A5" t="str">
            <v>2015-16</v>
          </cell>
        </row>
      </sheetData>
      <sheetData sheetId="110">
        <row r="5">
          <cell r="D5">
            <v>104</v>
          </cell>
        </row>
      </sheetData>
      <sheetData sheetId="111">
        <row r="5">
          <cell r="C5">
            <v>490</v>
          </cell>
        </row>
      </sheetData>
      <sheetData sheetId="112">
        <row r="5">
          <cell r="D5">
            <v>329</v>
          </cell>
        </row>
      </sheetData>
      <sheetData sheetId="113" refreshError="1"/>
      <sheetData sheetId="114" refreshError="1"/>
      <sheetData sheetId="115">
        <row r="5">
          <cell r="D5">
            <v>5072</v>
          </cell>
        </row>
      </sheetData>
      <sheetData sheetId="116" refreshError="1"/>
      <sheetData sheetId="117">
        <row r="5">
          <cell r="D5">
            <v>42</v>
          </cell>
        </row>
      </sheetData>
      <sheetData sheetId="118">
        <row r="5">
          <cell r="D5">
            <v>19</v>
          </cell>
        </row>
      </sheetData>
      <sheetData sheetId="119" refreshError="1"/>
      <sheetData sheetId="120" refreshError="1"/>
      <sheetData sheetId="121" refreshError="1"/>
      <sheetData sheetId="122">
        <row r="5">
          <cell r="B5">
            <v>263</v>
          </cell>
        </row>
      </sheetData>
      <sheetData sheetId="123">
        <row r="5">
          <cell r="C5">
            <v>238</v>
          </cell>
        </row>
      </sheetData>
      <sheetData sheetId="124">
        <row r="5">
          <cell r="D5">
            <v>3</v>
          </cell>
        </row>
      </sheetData>
      <sheetData sheetId="125">
        <row r="4">
          <cell r="A4" t="str">
            <v>Year</v>
          </cell>
        </row>
      </sheetData>
      <sheetData sheetId="126">
        <row r="4">
          <cell r="A4" t="str">
            <v>Year</v>
          </cell>
        </row>
      </sheetData>
      <sheetData sheetId="127">
        <row r="5">
          <cell r="D5">
            <v>28</v>
          </cell>
        </row>
      </sheetData>
      <sheetData sheetId="128">
        <row r="5">
          <cell r="D5">
            <v>6</v>
          </cell>
        </row>
      </sheetData>
      <sheetData sheetId="129" refreshError="1"/>
      <sheetData sheetId="130">
        <row r="5">
          <cell r="B5">
            <v>364</v>
          </cell>
        </row>
      </sheetData>
      <sheetData sheetId="131">
        <row r="5">
          <cell r="C5">
            <v>33</v>
          </cell>
        </row>
      </sheetData>
      <sheetData sheetId="132">
        <row r="5">
          <cell r="D5">
            <v>725</v>
          </cell>
        </row>
      </sheetData>
      <sheetData sheetId="133">
        <row r="5">
          <cell r="C5">
            <v>1550</v>
          </cell>
        </row>
      </sheetData>
      <sheetData sheetId="134">
        <row r="5">
          <cell r="D5">
            <v>3353</v>
          </cell>
        </row>
      </sheetData>
      <sheetData sheetId="135">
        <row r="5">
          <cell r="D5">
            <v>170</v>
          </cell>
        </row>
      </sheetData>
      <sheetData sheetId="136">
        <row r="5">
          <cell r="D5">
            <v>1</v>
          </cell>
        </row>
      </sheetData>
      <sheetData sheetId="137" refreshError="1"/>
      <sheetData sheetId="138">
        <row r="5">
          <cell r="C5">
            <v>358</v>
          </cell>
        </row>
      </sheetData>
      <sheetData sheetId="139">
        <row r="5">
          <cell r="A5" t="str">
            <v>2015-16</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sfrs\dfs\Local_Documents\Incident2020\SFRS_Incident_2019-20.xlsx"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25810185" createdVersion="6" refreshedVersion="6" minRefreshableVersion="3" recordCount="1474" xr:uid="{00000000-000A-0000-FFFF-FFFF00000000}">
  <cacheSource type="worksheet">
    <worksheetSource ref="A4:H1478" sheet="Tqtrmotive" r:id="rId2"/>
  </cacheSource>
  <cacheFields count="8">
    <cacheField name="Expr1000" numFmtId="0">
      <sharedItems count="11">
        <s v="2009-10"/>
        <s v="2010-11"/>
        <s v="2011-12"/>
        <s v="2012-13"/>
        <s v="2013-14"/>
        <s v="2014-15"/>
        <s v="2015-16"/>
        <s v="2016-17"/>
        <s v="2017-18"/>
        <s v="2018-19"/>
        <s v="2019-20"/>
      </sharedItems>
    </cacheField>
    <cacheField name="Expr1001" numFmtId="0">
      <sharedItems count="6">
        <s v="Chimney"/>
        <s v="Primary1:Dwelling"/>
        <s v="Primary2:Other Buildings"/>
        <s v="Primary3:Road Vehicle"/>
        <s v="Primary4:Others"/>
        <s v="Secondary"/>
      </sharedItems>
    </cacheField>
    <cacheField name="Pub_cause_txt" numFmtId="0">
      <sharedItems count="2">
        <s v="Accidental"/>
        <s v="Deliberate"/>
      </sharedItems>
    </cacheField>
    <cacheField name="Year" numFmtId="0">
      <sharedItems count="11">
        <s v="2009-10"/>
        <s v="2010-11"/>
        <s v="2011-12"/>
        <s v="2012-13"/>
        <s v="2013-14"/>
        <s v="2014-15"/>
        <s v="2015-16"/>
        <s v="2016-17"/>
        <s v="2017-18"/>
        <s v="2018-19"/>
        <s v="2019-20"/>
      </sharedItems>
    </cacheField>
    <cacheField name="Month" numFmtId="0">
      <sharedItems count="132">
        <s v="2009-04"/>
        <s v="2009-05"/>
        <s v="2009-06"/>
        <s v="2009-07"/>
        <s v="2009-08"/>
        <s v="2009-09"/>
        <s v="2009-10"/>
        <s v="2009-11"/>
        <s v="2009-12"/>
        <s v="2010-01"/>
        <s v="2010-02"/>
        <s v="2010-03"/>
        <s v="2010-04"/>
        <s v="2010-05"/>
        <s v="2010-06"/>
        <s v="2010-07"/>
        <s v="2010-08"/>
        <s v="2010-09"/>
        <s v="2010-10"/>
        <s v="2010-11"/>
        <s v="2010-12"/>
        <s v="2011-01"/>
        <s v="2011-02"/>
        <s v="2011-03"/>
        <s v="2011-04"/>
        <s v="2011-05"/>
        <s v="2011-06"/>
        <s v="2011-07"/>
        <s v="2011-08"/>
        <s v="2011-09"/>
        <s v="2011-10"/>
        <s v="2011-11"/>
        <s v="2011-12"/>
        <s v="2012-01"/>
        <s v="2012-02"/>
        <s v="2012-03"/>
        <s v="2012-04"/>
        <s v="2012-05"/>
        <s v="2012-06"/>
        <s v="2012-07"/>
        <s v="2012-08"/>
        <s v="2012-09"/>
        <s v="2012-10"/>
        <s v="2012-11"/>
        <s v="2012-12"/>
        <s v="2013-01"/>
        <s v="2013-02"/>
        <s v="2013-03"/>
        <s v="2013-04"/>
        <s v="2013-05"/>
        <s v="2013-06"/>
        <s v="2013-07"/>
        <s v="2013-08"/>
        <s v="2013-09"/>
        <s v="2013-10"/>
        <s v="2013-11"/>
        <s v="2013-12"/>
        <s v="2014-01"/>
        <s v="2014-02"/>
        <s v="2014-03"/>
        <s v="2014-04"/>
        <s v="2014-05"/>
        <s v="2014-06"/>
        <s v="2014-07"/>
        <s v="2014-08"/>
        <s v="2014-09"/>
        <s v="2014-10"/>
        <s v="2014-11"/>
        <s v="2014-12"/>
        <s v="2015-01"/>
        <s v="2015-02"/>
        <s v="2015-03"/>
        <s v="2015-04"/>
        <s v="2015-05"/>
        <s v="2015-06"/>
        <s v="2015-07"/>
        <s v="2015-08"/>
        <s v="2015-09"/>
        <s v="2015-10"/>
        <s v="2015-11"/>
        <s v="2015-12"/>
        <s v="2016-01"/>
        <s v="2016-02"/>
        <s v="2016-03"/>
        <s v="2016-04"/>
        <s v="2016-05"/>
        <s v="2016-06"/>
        <s v="2016-07"/>
        <s v="2016-08"/>
        <s v="2016-09"/>
        <s v="2016-10"/>
        <s v="2016-11"/>
        <s v="2016-12"/>
        <s v="2017-01"/>
        <s v="2017-02"/>
        <s v="2017-03"/>
        <s v="2017-04"/>
        <s v="2017-05"/>
        <s v="2017-06"/>
        <s v="2017-07"/>
        <s v="2017-08"/>
        <s v="2017-09"/>
        <s v="2017-10"/>
        <s v="2017-11"/>
        <s v="2017-12"/>
        <s v="2018-01"/>
        <s v="2018-02"/>
        <s v="2018-03"/>
        <s v="2018-04"/>
        <s v="2018-05"/>
        <s v="2018-06"/>
        <s v="2018-07"/>
        <s v="2018-08"/>
        <s v="2018-09"/>
        <s v="2018-10"/>
        <s v="2018-11"/>
        <s v="2018-12"/>
        <s v="2019-01"/>
        <s v="2019-02"/>
        <s v="2019-03"/>
        <s v="2019-04"/>
        <s v="2019-05"/>
        <s v="2019-06"/>
        <s v="2019-07"/>
        <s v="2019-08"/>
        <s v="2019-09"/>
        <s v="2019-10"/>
        <s v="2019-11"/>
        <s v="2019-12"/>
        <s v="2020-01"/>
        <s v="2020-02"/>
        <s v="2020-03"/>
      </sharedItems>
    </cacheField>
    <cacheField name="Season" numFmtId="0">
      <sharedItems count="4">
        <s v="Spring"/>
        <s v="Summer"/>
        <s v="Autumn"/>
        <s v="Winter"/>
      </sharedItems>
    </cacheField>
    <cacheField name="Quarter" numFmtId="0">
      <sharedItems count="4">
        <s v="Q1"/>
        <s v="Q2"/>
        <s v="Q3"/>
        <s v="Q4"/>
      </sharedItems>
    </cacheField>
    <cacheField name="Expr1007" numFmtId="0">
      <sharedItems containsSemiMixedTypes="0" containsString="0" containsNumber="1" containsInteger="1" minValue="1" maxValue="3786"/>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7523151" createdVersion="6" refreshedVersion="6" minRefreshableVersion="3" recordCount="388" xr:uid="{00000000-000A-0000-FFFF-FFFF09000000}">
  <cacheSource type="worksheet">
    <worksheetSource ref="A4:G392" sheet="T04a"/>
  </cacheSource>
  <cacheFields count="7">
    <cacheField name="Year" numFmtId="0">
      <sharedItems count="12">
        <s v="2009-10"/>
        <s v="2010-11"/>
        <s v="2011-12"/>
        <s v="2012-13"/>
        <s v="2013-14"/>
        <s v="2014-15"/>
        <s v="2015-16"/>
        <s v="2016-17"/>
        <s v="2017-18"/>
        <s v="2018-19"/>
        <s v="2019-20"/>
        <s v="2020-21"/>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 numFmtId="0">
      <sharedItems containsSemiMixedTypes="0" containsString="0" containsNumber="1" containsInteger="1" minValue="1" maxValue="10720"/>
    </cacheField>
    <cacheField name="1Malicious False Alarm" numFmtId="0">
      <sharedItems containsString="0" containsBlank="1" containsNumber="1" containsInteger="1" minValue="1" maxValue="761"/>
    </cacheField>
    <cacheField name="2Fire alarm due to Apparatus" numFmtId="0">
      <sharedItems containsString="0" containsBlank="1" containsNumber="1" containsInteger="1" minValue="1" maxValue="7715"/>
    </cacheField>
    <cacheField name="3Good Intent false alarm" numFmtId="0">
      <sharedItems containsString="0" containsBlank="1" containsNumber="1" containsInteger="1" minValue="1" maxValue="2266"/>
    </cacheField>
    <cacheField name="pop" numFmtId="0">
      <sharedItems containsString="0" containsBlank="1" containsNumber="1" containsInteger="1" minValue="20940" maxValue="635640"/>
    </cacheField>
  </cacheFields>
  <extLst>
    <ext xmlns:x14="http://schemas.microsoft.com/office/spreadsheetml/2009/9/main" uri="{725AE2AE-9491-48be-B2B4-4EB974FC3084}">
      <x14:pivotCacheDefinition pivotCacheId="2040399325"/>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8101852" createdVersion="6" refreshedVersion="6" minRefreshableVersion="3" recordCount="385" xr:uid="{00000000-000A-0000-FFFF-FFFF0A000000}">
  <cacheSource type="worksheet">
    <worksheetSource ref="A4:F389" sheet="T03a"/>
  </cacheSource>
  <cacheFields count="6">
    <cacheField name="Year" numFmtId="0">
      <sharedItems count="12">
        <s v="2009-10"/>
        <s v="2010-11"/>
        <s v="2011-12"/>
        <s v="2012-13"/>
        <s v="2013-14"/>
        <s v="2014-15"/>
        <s v="2015-16"/>
        <s v="2016-17"/>
        <s v="2017-18"/>
        <s v="2018-19"/>
        <s v="2019-20"/>
        <s v="2020-21"/>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_ADF" numFmtId="0">
      <sharedItems containsSemiMixedTypes="0" containsString="0" containsNumber="1" containsInteger="1" minValue="1" maxValue="1004"/>
    </cacheField>
    <cacheField name="Total_fatal_ADF" numFmtId="0">
      <sharedItems containsString="0" containsBlank="1" containsNumber="1" containsInteger="1" minValue="1" maxValue="11" count="10">
        <n v="2"/>
        <n v="1"/>
        <m/>
        <n v="3"/>
        <n v="4"/>
        <n v="11"/>
        <n v="6"/>
        <n v="10"/>
        <n v="7"/>
        <n v="5"/>
      </sharedItems>
    </cacheField>
    <cacheField name="Total_nonfatal_ADF" numFmtId="0">
      <sharedItems containsString="0" containsBlank="1" containsNumber="1" containsInteger="1" minValue="1" maxValue="207"/>
    </cacheField>
    <cacheField name="Dwellings" numFmtId="0">
      <sharedItems containsString="0" containsBlank="1" containsNumber="1" containsInteger="1" minValue="10190" maxValue="317193"/>
    </cacheField>
  </cacheFields>
  <extLst>
    <ext xmlns:x14="http://schemas.microsoft.com/office/spreadsheetml/2009/9/main" uri="{725AE2AE-9491-48be-B2B4-4EB974FC3084}">
      <x14:pivotCacheDefinition pivotCacheId="2040399330"/>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8912037" createdVersion="6" refreshedVersion="6" minRefreshableVersion="3" recordCount="385" xr:uid="{00000000-000A-0000-FFFF-FFFF0B000000}">
  <cacheSource type="worksheet">
    <worksheetSource ref="A4:AG389" sheet="T08av2"/>
  </cacheSource>
  <cacheFields count="33">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Year" numFmtId="0">
      <sharedItems count="12">
        <s v="2009-10"/>
        <s v="2010-11"/>
        <s v="2011-12"/>
        <s v="2012-13"/>
        <s v="2013-14"/>
        <s v="2014-15"/>
        <s v="2015-16"/>
        <s v="2016-17"/>
        <s v="2017-18"/>
        <s v="2018-19"/>
        <s v="2019-20"/>
        <s v="2020-21"/>
      </sharedItems>
    </cacheField>
    <cacheField name="Buildings_Total" numFmtId="0">
      <sharedItems containsSemiMixedTypes="0" containsString="0" containsNumber="1" containsInteger="1" minValue="1" maxValue="1800"/>
    </cacheField>
    <cacheField name="Dwelling:01:House/Bungalow" numFmtId="0">
      <sharedItems containsSemiMixedTypes="0" containsString="0" containsNumber="1" containsInteger="1" minValue="1" maxValue="165"/>
    </cacheField>
    <cacheField name="Dwelling:02:Flat/Maisonette" numFmtId="0">
      <sharedItems containsString="0" containsBlank="1" containsNumber="1" containsInteger="1" minValue="1" maxValue="758"/>
    </cacheField>
    <cacheField name="Dwelling:03:Tenement" numFmtId="0">
      <sharedItems containsString="0" containsBlank="1" containsNumber="1" containsInteger="1" minValue="1" maxValue="346"/>
    </cacheField>
    <cacheField name="Dwelling:04:HMO" numFmtId="0">
      <sharedItems containsString="0" containsBlank="1" containsNumber="1" containsInteger="1" minValue="1" maxValue="11" count="12">
        <n v="2"/>
        <n v="1"/>
        <m/>
        <n v="10"/>
        <n v="4"/>
        <n v="9"/>
        <n v="8"/>
        <n v="5"/>
        <n v="11"/>
        <n v="3"/>
        <n v="6"/>
        <n v="7"/>
      </sharedItems>
    </cacheField>
    <cacheField name="Dwelling:05:HMO - unlicenced" numFmtId="0">
      <sharedItems containsString="0" containsBlank="1" containsNumber="1" containsInteger="1" minValue="1" maxValue="3" count="4">
        <m/>
        <n v="1"/>
        <n v="2"/>
        <n v="3"/>
      </sharedItems>
    </cacheField>
    <cacheField name="Dwelling:06:Sheltered Housing - Self Contained" numFmtId="0">
      <sharedItems containsString="0" containsBlank="1" containsNumber="1" containsInteger="1" minValue="1" maxValue="69"/>
    </cacheField>
    <cacheField name="Dwelling:07:Caravan/Mobile Home" numFmtId="0">
      <sharedItems containsString="0" containsBlank="1" containsNumber="1" containsInteger="1" minValue="1" maxValue="7" count="6">
        <m/>
        <n v="4"/>
        <n v="1"/>
        <n v="2"/>
        <n v="3"/>
        <n v="7"/>
      </sharedItems>
    </cacheField>
    <cacheField name="Dwelling:09:Other" numFmtId="0">
      <sharedItems containsString="0" containsBlank="1" containsNumber="1" containsInteger="1" minValue="1" maxValue="11" count="11">
        <n v="1"/>
        <n v="3"/>
        <m/>
        <n v="11"/>
        <n v="6"/>
        <n v="2"/>
        <n v="5"/>
        <n v="4"/>
        <n v="7"/>
        <n v="8"/>
        <n v="9"/>
      </sharedItems>
    </cacheField>
    <cacheField name="Non-Residential:02:Private garages, sheds, etc" numFmtId="0">
      <sharedItems containsString="0" containsBlank="1" containsNumber="1" containsInteger="1" minValue="1" maxValue="56"/>
    </cacheField>
    <cacheField name="Non-Residential:03:Permanent Agricultural" numFmtId="0">
      <sharedItems containsString="0" containsBlank="1" containsNumber="1" containsInteger="1" minValue="1" maxValue="25" count="18">
        <m/>
        <n v="15"/>
        <n v="2"/>
        <n v="1"/>
        <n v="3"/>
        <n v="10"/>
        <n v="5"/>
        <n v="9"/>
        <n v="8"/>
        <n v="18"/>
        <n v="7"/>
        <n v="12"/>
        <n v="4"/>
        <n v="6"/>
        <n v="11"/>
        <n v="25"/>
        <n v="17"/>
        <n v="13"/>
      </sharedItems>
    </cacheField>
    <cacheField name="Non-Residential:04:Industrial" numFmtId="0">
      <sharedItems containsString="0" containsBlank="1" containsNumber="1" containsInteger="1" minValue="1" maxValue="34" count="30">
        <n v="15"/>
        <n v="10"/>
        <n v="5"/>
        <n v="25"/>
        <n v="7"/>
        <n v="11"/>
        <n v="12"/>
        <m/>
        <n v="3"/>
        <n v="6"/>
        <n v="16"/>
        <n v="28"/>
        <n v="14"/>
        <n v="1"/>
        <n v="21"/>
        <n v="4"/>
        <n v="17"/>
        <n v="8"/>
        <n v="27"/>
        <n v="32"/>
        <n v="9"/>
        <n v="13"/>
        <n v="22"/>
        <n v="18"/>
        <n v="2"/>
        <n v="19"/>
        <n v="26"/>
        <n v="34"/>
        <n v="29"/>
        <n v="20"/>
      </sharedItems>
    </cacheField>
    <cacheField name="Non-Residential:05:Warehouses and bulk storage" numFmtId="0">
      <sharedItems containsString="0" containsBlank="1" containsNumber="1" containsInteger="1" minValue="1" maxValue="10" count="10">
        <n v="1"/>
        <m/>
        <n v="5"/>
        <n v="3"/>
        <n v="2"/>
        <n v="8"/>
        <n v="6"/>
        <n v="4"/>
        <n v="7"/>
        <n v="10"/>
      </sharedItems>
    </cacheField>
    <cacheField name="Non-Residential:06:Offices and call centres" numFmtId="0">
      <sharedItems containsString="0" containsBlank="1" containsNumber="1" containsInteger="1" minValue="1" maxValue="41" count="30">
        <n v="14"/>
        <n v="4"/>
        <m/>
        <n v="2"/>
        <n v="17"/>
        <n v="1"/>
        <n v="3"/>
        <n v="5"/>
        <n v="7"/>
        <n v="6"/>
        <n v="21"/>
        <n v="10"/>
        <n v="9"/>
        <n v="20"/>
        <n v="39"/>
        <n v="8"/>
        <n v="26"/>
        <n v="30"/>
        <n v="18"/>
        <n v="28"/>
        <n v="15"/>
        <n v="38"/>
        <n v="12"/>
        <n v="23"/>
        <n v="19"/>
        <n v="41"/>
        <n v="31"/>
        <n v="13"/>
        <n v="25"/>
        <n v="16"/>
      </sharedItems>
    </cacheField>
    <cacheField name="Non-Residential:07:Public admin, security and safety" numFmtId="0">
      <sharedItems containsString="0" containsBlank="1" containsNumber="1" containsInteger="1" minValue="1" maxValue="33" count="25">
        <n v="6"/>
        <n v="5"/>
        <n v="1"/>
        <n v="8"/>
        <n v="4"/>
        <n v="2"/>
        <m/>
        <n v="16"/>
        <n v="3"/>
        <n v="7"/>
        <n v="9"/>
        <n v="14"/>
        <n v="10"/>
        <n v="13"/>
        <n v="12"/>
        <n v="11"/>
        <n v="21"/>
        <n v="15"/>
        <n v="30"/>
        <n v="18"/>
        <n v="17"/>
        <n v="33"/>
        <n v="19"/>
        <n v="27"/>
        <n v="23"/>
      </sharedItems>
    </cacheField>
    <cacheField name="Non-Residential:08:Entertainment, Sport and Culture" numFmtId="0">
      <sharedItems containsString="0" containsBlank="1" containsNumber="1" containsInteger="1" minValue="1" maxValue="39" count="21">
        <n v="6"/>
        <n v="2"/>
        <n v="1"/>
        <n v="25"/>
        <m/>
        <n v="4"/>
        <n v="27"/>
        <n v="5"/>
        <n v="7"/>
        <n v="8"/>
        <n v="15"/>
        <n v="9"/>
        <n v="3"/>
        <n v="20"/>
        <n v="39"/>
        <n v="10"/>
        <n v="11"/>
        <n v="18"/>
        <n v="14"/>
        <n v="12"/>
        <n v="17"/>
      </sharedItems>
    </cacheField>
    <cacheField name="Non-Residential:09:Food and Drink" numFmtId="0">
      <sharedItems containsString="0" containsBlank="1" containsNumber="1" containsInteger="1" minValue="1" maxValue="46"/>
    </cacheField>
    <cacheField name="Non-Residential:10:Retail" numFmtId="0">
      <sharedItems containsString="0" containsBlank="1" containsNumber="1" containsInteger="1" minValue="1" maxValue="61"/>
    </cacheField>
    <cacheField name="Non-Residential:11:Education" numFmtId="0">
      <sharedItems containsString="0" containsBlank="1" containsNumber="1" containsInteger="1" minValue="1" maxValue="56" count="27">
        <n v="7"/>
        <n v="6"/>
        <n v="4"/>
        <n v="5"/>
        <n v="23"/>
        <n v="1"/>
        <n v="3"/>
        <n v="2"/>
        <n v="10"/>
        <n v="56"/>
        <m/>
        <n v="14"/>
        <n v="15"/>
        <n v="9"/>
        <n v="34"/>
        <n v="19"/>
        <n v="37"/>
        <n v="33"/>
        <n v="18"/>
        <n v="11"/>
        <n v="12"/>
        <n v="31"/>
        <n v="8"/>
        <n v="28"/>
        <n v="16"/>
        <n v="17"/>
        <n v="13"/>
      </sharedItems>
    </cacheField>
    <cacheField name="Non-Residential:12:Hospitals and medical care" numFmtId="0">
      <sharedItems containsString="0" containsBlank="1" containsNumber="1" containsInteger="1" minValue="1" maxValue="70"/>
    </cacheField>
    <cacheField name="Non-Residential:13:Others" numFmtId="0">
      <sharedItems containsString="0" containsBlank="1" containsNumber="1" containsInteger="1" minValue="1" maxValue="43"/>
    </cacheField>
    <cacheField name="Other Residential:01:Hotel/Motel" numFmtId="0">
      <sharedItems containsString="0" containsBlank="1" containsNumber="1" containsInteger="1" minValue="1" maxValue="18" count="16">
        <n v="9"/>
        <n v="8"/>
        <n v="2"/>
        <n v="5"/>
        <m/>
        <n v="3"/>
        <n v="10"/>
        <n v="1"/>
        <n v="4"/>
        <n v="6"/>
        <n v="11"/>
        <n v="7"/>
        <n v="13"/>
        <n v="14"/>
        <n v="12"/>
        <n v="18"/>
      </sharedItems>
    </cacheField>
    <cacheField name="Other Residential:02:Hostel" numFmtId="0">
      <sharedItems containsString="0" containsBlank="1" containsNumber="1" containsInteger="1" minValue="1" maxValue="28" count="22">
        <n v="3"/>
        <m/>
        <n v="1"/>
        <n v="11"/>
        <n v="5"/>
        <n v="22"/>
        <n v="6"/>
        <n v="2"/>
        <n v="19"/>
        <n v="12"/>
        <n v="14"/>
        <n v="7"/>
        <n v="15"/>
        <n v="4"/>
        <n v="8"/>
        <n v="13"/>
        <n v="27"/>
        <n v="28"/>
        <n v="20"/>
        <n v="21"/>
        <n v="17"/>
        <n v="10"/>
      </sharedItems>
    </cacheField>
    <cacheField name="Other Residential:03:Holiday Residence" numFmtId="0">
      <sharedItems containsString="0" containsBlank="1" containsNumber="1" containsInteger="1" minValue="1" maxValue="6" count="7">
        <n v="1"/>
        <m/>
        <n v="3"/>
        <n v="2"/>
        <n v="6"/>
        <n v="4"/>
        <n v="5"/>
      </sharedItems>
    </cacheField>
    <cacheField name="Other Residential:04:Caravan (On-Site)" numFmtId="0">
      <sharedItems containsString="0" containsBlank="1" containsNumber="1" containsInteger="1" minValue="1" maxValue="4" count="5">
        <m/>
        <n v="3"/>
        <n v="2"/>
        <n v="1"/>
        <n v="4"/>
      </sharedItems>
    </cacheField>
    <cacheField name="Other Residential:05:Residential Home" numFmtId="0">
      <sharedItems containsString="0" containsBlank="1" containsNumber="1" containsInteger="1" minValue="1" maxValue="42" count="26">
        <n v="3"/>
        <n v="1"/>
        <n v="15"/>
        <n v="2"/>
        <n v="8"/>
        <m/>
        <n v="4"/>
        <n v="23"/>
        <n v="6"/>
        <n v="5"/>
        <n v="7"/>
        <n v="10"/>
        <n v="21"/>
        <n v="16"/>
        <n v="12"/>
        <n v="27"/>
        <n v="13"/>
        <n v="26"/>
        <n v="9"/>
        <n v="22"/>
        <n v="11"/>
        <n v="29"/>
        <n v="42"/>
        <n v="31"/>
        <n v="20"/>
        <n v="28"/>
      </sharedItems>
    </cacheField>
    <cacheField name="Other Residential:06:Student Accommodation" numFmtId="0">
      <sharedItems containsString="0" containsBlank="1" containsNumber="1" containsInteger="1" minValue="1" maxValue="64"/>
    </cacheField>
    <cacheField name="Other Residential:07:Boarding House/B&amp;B/Youth Hostel" numFmtId="0">
      <sharedItems containsString="0" containsBlank="1" containsNumber="1" containsInteger="1" minValue="1" maxValue="7" count="8">
        <m/>
        <n v="1"/>
        <n v="4"/>
        <n v="5"/>
        <n v="2"/>
        <n v="3"/>
        <n v="7"/>
        <n v="6"/>
      </sharedItems>
    </cacheField>
    <cacheField name="Other Residential:08:Sheltered Housing - Not Self Contained" numFmtId="0">
      <sharedItems containsString="0" containsBlank="1" containsNumber="1" containsInteger="1" minValue="1" maxValue="15" count="15">
        <n v="4"/>
        <m/>
        <n v="3"/>
        <n v="1"/>
        <n v="10"/>
        <n v="2"/>
        <n v="5"/>
        <n v="6"/>
        <n v="12"/>
        <n v="8"/>
        <n v="7"/>
        <n v="13"/>
        <n v="11"/>
        <n v="15"/>
        <n v="9"/>
      </sharedItems>
    </cacheField>
    <cacheField name="Other Residential:12:Other Residential Home" numFmtId="0">
      <sharedItems containsString="0" containsBlank="1" containsNumber="1" containsInteger="1" minValue="1" maxValue="6" count="7">
        <m/>
        <n v="2"/>
        <n v="6"/>
        <n v="1"/>
        <n v="5"/>
        <n v="3"/>
        <n v="4"/>
      </sharedItems>
    </cacheField>
    <cacheField name="Other Residential:13:Other" numFmtId="0">
      <sharedItems containsString="0" containsBlank="1" containsNumber="1" containsInteger="1" minValue="1" maxValue="3" count="4">
        <n v="2"/>
        <m/>
        <n v="1"/>
        <n v="3"/>
      </sharedItems>
    </cacheField>
  </cacheFields>
  <extLst>
    <ext xmlns:x14="http://schemas.microsoft.com/office/spreadsheetml/2009/9/main" uri="{725AE2AE-9491-48be-B2B4-4EB974FC3084}">
      <x14:pivotCacheDefinition pivotCacheId="2040399316"/>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9374999" createdVersion="6" refreshedVersion="6" minRefreshableVersion="3" recordCount="385" xr:uid="{00000000-000A-0000-FFFF-FFFF0C000000}">
  <cacheSource type="worksheet">
    <worksheetSource ref="A4:J389" sheet="T01a"/>
  </cacheSource>
  <cacheFields count="10">
    <cacheField name="Year" numFmtId="0">
      <sharedItems count="12">
        <s v="2009-10"/>
        <s v="2010-11"/>
        <s v="2011-12"/>
        <s v="2012-13"/>
        <s v="2013-14"/>
        <s v="2014-15"/>
        <s v="2015-16"/>
        <s v="2016-17"/>
        <s v="2017-18"/>
        <s v="2018-19"/>
        <s v="2019-20"/>
        <s v="2020-21"/>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Primary_Total" numFmtId="0">
      <sharedItems containsSemiMixedTypes="0" containsString="0" containsNumber="1" containsInteger="1" minValue="1" maxValue="2419"/>
    </cacheField>
    <cacheField name="1:Dwelling" numFmtId="0">
      <sharedItems containsSemiMixedTypes="0" containsString="0" containsNumber="1" containsInteger="1" minValue="1" maxValue="1284"/>
    </cacheField>
    <cacheField name="2:Other Buildings" numFmtId="0">
      <sharedItems containsString="0" containsBlank="1" containsNumber="1" containsInteger="1" minValue="2" maxValue="516"/>
    </cacheField>
    <cacheField name="3:Road Vehicle" numFmtId="0">
      <sharedItems containsString="0" containsBlank="1" containsNumber="1" containsInteger="1" minValue="1" maxValue="457"/>
    </cacheField>
    <cacheField name="4:Others" numFmtId="0">
      <sharedItems containsString="0" containsBlank="1" containsNumber="1" containsInteger="1" minValue="1" maxValue="181"/>
    </cacheField>
    <cacheField name="Secondary_Total" numFmtId="0">
      <sharedItems containsString="0" containsBlank="1" containsNumber="1" containsInteger="1" minValue="5" maxValue="3958"/>
    </cacheField>
    <cacheField name="Chimney_Total" numFmtId="0">
      <sharedItems containsString="0" containsBlank="1" containsNumber="1" containsInteger="1" minValue="1" maxValue="501"/>
    </cacheField>
    <cacheField name="pop" numFmtId="0">
      <sharedItems containsString="0" containsBlank="1" containsNumber="1" containsInteger="1" minValue="20940" maxValue="635640"/>
    </cacheField>
  </cacheFields>
  <extLst>
    <ext xmlns:x14="http://schemas.microsoft.com/office/spreadsheetml/2009/9/main" uri="{725AE2AE-9491-48be-B2B4-4EB974FC3084}">
      <x14:pivotCacheDefinition pivotCacheId="2040399315"/>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9953706" createdVersion="6" refreshedVersion="6" minRefreshableVersion="3" recordCount="40" xr:uid="{00000000-000A-0000-FFFF-FFFF0D000000}">
  <cacheSource type="worksheet">
    <worksheetSource ref="A4:Y44" sheet="T10"/>
  </cacheSource>
  <cacheFields count="25">
    <cacheField name="Country" numFmtId="0">
      <sharedItems count="2">
        <s v="England"/>
        <s v="Wales"/>
      </sharedItems>
    </cacheField>
    <cacheField name="Year" numFmtId="0">
      <sharedItems count="21">
        <s v="2001-02"/>
        <s v="2002-03"/>
        <s v="2003-04"/>
        <s v="2004-05"/>
        <s v="2005-06"/>
        <s v="2006-07"/>
        <s v="2007-08"/>
        <s v="2008-09"/>
        <s v="2009-10"/>
        <s v="2010-11"/>
        <s v="2011-12"/>
        <s v="2012-13"/>
        <s v="2013-14"/>
        <s v="2014-15"/>
        <s v="2015-16"/>
        <s v="2016-17"/>
        <s v="2017-18"/>
        <s v="2018-19"/>
        <s v="2019-20"/>
        <s v="2020-21"/>
        <s v="2019-29" u="1"/>
      </sharedItems>
    </cacheField>
    <cacheField name="Fatal" numFmtId="0">
      <sharedItems containsSemiMixedTypes="0" containsString="0" containsNumber="1" containsInteger="1" minValue="15" maxValue="458"/>
    </cacheField>
    <cacheField name="Fatalpm" numFmtId="0">
      <sharedItems containsSemiMixedTypes="0" containsString="0" containsNumber="1" minValue="4.24" maxValue="13.06"/>
    </cacheField>
    <cacheField name="Nonfatal" numFmtId="0">
      <sharedItems containsSemiMixedTypes="0" containsString="0" containsNumber="1" containsInteger="1" minValue="396" maxValue="13948"/>
    </cacheField>
    <cacheField name="Nonfatalpm" numFmtId="0">
      <sharedItems containsSemiMixedTypes="0" containsString="0" containsNumber="1" minValue="112.24" maxValue="320.60000000000002"/>
    </cacheField>
    <cacheField name="Totalfires" numFmtId="0">
      <sharedItems containsSemiMixedTypes="0" containsString="0" containsNumber="1" containsInteger="1" minValue="10328" maxValue="473563"/>
    </cacheField>
    <cacheField name="Totalfirespm" numFmtId="0">
      <sharedItems containsSemiMixedTypes="0" containsString="0" containsNumber="1" minValue="2671.72" maxValue="12338.56"/>
    </cacheField>
    <cacheField name="PrimaryFires" numFmtId="0">
      <sharedItems containsSemiMixedTypes="0" containsString="0" containsNumber="1" containsInteger="1" minValue="3796" maxValue="189068"/>
    </cacheField>
    <cacheField name="PrimaryFirespm" numFmtId="0">
      <sharedItems containsSemiMixedTypes="0" containsString="0" containsNumber="1" minValue="1094.82" maxValue="4371.5200000000004"/>
    </cacheField>
    <cacheField name="Population" numFmtId="0">
      <sharedItems containsSemiMixedTypes="0" containsString="0" containsNumber="1" containsInteger="1" minValue="2910200" maxValue="56550000"/>
    </cacheField>
    <cacheField name="SecondaryFires" numFmtId="0">
      <sharedItems containsSemiMixedTypes="0" containsString="0" containsNumber="1" containsInteger="1" minValue="5576" maxValue="294688"/>
    </cacheField>
    <cacheField name="SecondaryFirespm" numFmtId="0">
      <sharedItems containsSemiMixedTypes="0" containsString="0" containsNumber="1" minValue="1355.23" maxValue="8081.83"/>
    </cacheField>
    <cacheField name="ChimneyFires" numFmtId="0">
      <sharedItems containsSemiMixedTypes="0" containsString="0" containsNumber="1" containsInteger="1" minValue="330" maxValue="8201"/>
    </cacheField>
    <cacheField name="ChimneyFirespm" numFmtId="0">
      <sharedItems containsSemiMixedTypes="0" containsString="0" containsNumber="1" minValue="54.91" maxValue="307.88"/>
    </cacheField>
    <cacheField name="DwellingFires" numFmtId="0">
      <sharedItems containsSemiMixedTypes="0" containsString="0" containsNumber="1" containsInteger="1" minValue="1501" maxValue="54531"/>
    </cacheField>
    <cacheField name="DwellingFirespm" numFmtId="0">
      <sharedItems containsSemiMixedTypes="0" containsString="0" containsNumber="1" minValue="473.56" maxValue="1102.76"/>
    </cacheField>
    <cacheField name="FireFalseAlarms" numFmtId="0">
      <sharedItems containsSemiMixedTypes="0" containsString="0" containsNumber="1" containsInteger="1" minValue="14161" maxValue="393852"/>
    </cacheField>
    <cacheField name="FireFalseAlarmspm" numFmtId="0">
      <sharedItems containsSemiMixedTypes="0" containsString="0" containsNumber="1" minValue="3822.26" maxValue="7964.7"/>
    </cacheField>
    <cacheField name="NonFireIncidents" numFmtId="0">
      <sharedItems containsString="0" containsBlank="1" containsNumber="1" containsInteger="1" minValue="7020" maxValue="168632"/>
    </cacheField>
    <cacheField name="NonFireIncidentspm" numFmtId="0">
      <sharedItems containsString="0" containsBlank="1" containsNumber="1" minValue="2210.98" maxValue="3750.48"/>
    </cacheField>
    <cacheField name="TotalIncidents" numFmtId="0">
      <sharedItems containsSemiMixedTypes="0" containsString="0" containsNumber="1" containsInteger="1" minValue="32228" maxValue="1016028"/>
    </cacheField>
    <cacheField name="TotalIncidentspm" numFmtId="0">
      <sharedItems containsSemiMixedTypes="0" containsString="0" containsNumber="1" minValue="9136.7099999999991" maxValue="21959.66"/>
    </cacheField>
    <cacheField name="HospitalTreatment" numFmtId="0">
      <sharedItems containsString="0" containsBlank="1" containsNumber="1" containsInteger="1" minValue="130" maxValue="9242"/>
    </cacheField>
    <cacheField name="HospitalTreatmentpm" numFmtId="0">
      <sharedItems containsString="0" containsBlank="1" containsNumber="1" minValue="41.01" maxValue="186.9"/>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60300922" createdVersion="6" refreshedVersion="6" minRefreshableVersion="3" recordCount="48" xr:uid="{00000000-000A-0000-FFFF-FFFF0E000000}">
  <cacheSource type="worksheet">
    <worksheetSource ref="A4:M52" sheet="T14d"/>
  </cacheSource>
  <cacheFields count="13">
    <cacheField name="Year" numFmtId="0">
      <sharedItems count="12">
        <s v="2009-10"/>
        <s v="2010-11"/>
        <s v="2011-12"/>
        <s v="2012-13"/>
        <s v="2013-14"/>
        <s v="2014-15"/>
        <s v="2015-16"/>
        <s v="2016-17"/>
        <s v="2017-18"/>
        <s v="2018-19"/>
        <s v="2019-20"/>
        <s v="2020-21"/>
      </sharedItems>
    </cacheField>
    <cacheField name="Treatment" numFmtId="0">
      <sharedItems count="4">
        <s v="1Precautionary check recommended"/>
        <s v="2First aid given at scene"/>
        <s v="3Victim went to hospital, injuries appear to be Slight"/>
        <s v="4Victim went to hospital, injuries appear to be Serious"/>
      </sharedItems>
    </cacheField>
    <cacheField name="Total_Nonfatal" numFmtId="0">
      <sharedItems containsSemiMixedTypes="0" containsString="0" containsNumber="1" containsInteger="1" minValue="51" maxValue="570"/>
    </cacheField>
    <cacheField name="Females" numFmtId="0">
      <sharedItems containsSemiMixedTypes="0" containsString="0" containsNumber="1" containsInteger="1" minValue="2699931" maxValue="2800788" count="12">
        <n v="2699931"/>
        <n v="2713982"/>
        <n v="2729600"/>
        <n v="2736310"/>
        <n v="2741020"/>
        <n v="2751070"/>
        <n v="2762531"/>
        <n v="2777197"/>
        <n v="2784500"/>
        <n v="2789349"/>
        <n v="2800297"/>
        <n v="2800788"/>
      </sharedItems>
    </cacheField>
    <cacheField name="Males" numFmtId="0">
      <sharedItems containsSemiMixedTypes="0" containsString="0" containsNumber="1" containsInteger="1" minValue="2531969" maxValue="2665212" count="12">
        <n v="2531969"/>
        <n v="2548218"/>
        <n v="2570300"/>
        <n v="2577290"/>
        <n v="2586680"/>
        <n v="2596530"/>
        <n v="2610469"/>
        <n v="2627503"/>
        <n v="2640300"/>
        <n v="2648751"/>
        <n v="2663003"/>
        <n v="2665212"/>
      </sharedItems>
    </cacheField>
    <cacheField name="FRS personnelFemale" numFmtId="0">
      <sharedItems containsString="0" containsBlank="1" containsNumber="1" containsInteger="1" minValue="1" maxValue="1" count="2">
        <m/>
        <n v="1"/>
      </sharedItems>
    </cacheField>
    <cacheField name="FRS personnelMale" numFmtId="0">
      <sharedItems containsString="0" containsBlank="1" containsNumber="1" containsInteger="1" minValue="1" maxValue="19" count="13">
        <n v="2"/>
        <n v="4"/>
        <n v="10"/>
        <n v="3"/>
        <n v="19"/>
        <n v="9"/>
        <n v="12"/>
        <n v="1"/>
        <n v="7"/>
        <n v="6"/>
        <m/>
        <n v="5"/>
        <n v="8"/>
      </sharedItems>
    </cacheField>
    <cacheField name="FRS personnelNot known" numFmtId="0">
      <sharedItems containsString="0" containsBlank="1" containsNumber="1" containsInteger="1" minValue="1" maxValue="3" count="4">
        <m/>
        <n v="1"/>
        <n v="3"/>
        <n v="2"/>
      </sharedItems>
    </cacheField>
    <cacheField name="FRS personnelNot specified" numFmtId="0">
      <sharedItems containsString="0" containsBlank="1" containsNumber="1" containsInteger="1" minValue="1" maxValue="1" count="2">
        <m/>
        <n v="1"/>
      </sharedItems>
    </cacheField>
    <cacheField name="Non FRS personnelFemale" numFmtId="0">
      <sharedItems containsSemiMixedTypes="0" containsString="0" containsNumber="1" containsInteger="1" minValue="15" maxValue="273"/>
    </cacheField>
    <cacheField name="Non FRS personnelMale" numFmtId="0">
      <sharedItems containsSemiMixedTypes="0" containsString="0" containsNumber="1" containsInteger="1" minValue="34" maxValue="301"/>
    </cacheField>
    <cacheField name="Non FRS personnelNot known" numFmtId="0">
      <sharedItems containsString="0" containsBlank="1" containsNumber="1" containsInteger="1" minValue="1" maxValue="18" count="10">
        <n v="5"/>
        <n v="1"/>
        <m/>
        <n v="3"/>
        <n v="7"/>
        <n v="9"/>
        <n v="2"/>
        <n v="4"/>
        <n v="12"/>
        <n v="18"/>
      </sharedItems>
    </cacheField>
    <cacheField name="Non FRS personnelNot specified" numFmtId="0">
      <sharedItems containsString="0" containsBlank="1" containsNumber="1" containsInteger="1" minValue="1" maxValue="5" count="5">
        <n v="1"/>
        <n v="2"/>
        <m/>
        <n v="5"/>
        <n v="4"/>
      </sharedItems>
    </cacheField>
  </cacheFields>
  <extLst>
    <ext xmlns:x14="http://schemas.microsoft.com/office/spreadsheetml/2009/9/main" uri="{725AE2AE-9491-48be-B2B4-4EB974FC3084}">
      <x14:pivotCacheDefinition pivotCacheId="2040399306"/>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6087963" createdVersion="6" refreshedVersion="6" minRefreshableVersion="3" recordCount="769" xr:uid="{00000000-000A-0000-FFFF-FFFF0F000000}">
  <cacheSource type="worksheet">
    <worksheetSource ref="A4:K773" sheet="T23a"/>
  </cacheSource>
  <cacheFields count="11">
    <cacheField name="IS_PRIMARY_FIRE" numFmtId="0">
      <sharedItems count="2">
        <s v="yes"/>
        <s v="no"/>
      </sharedItems>
    </cacheField>
    <cacheField name="Year" numFmtId="0">
      <sharedItems count="12">
        <s v="2009-10"/>
        <s v="2010-11"/>
        <s v="2011-12"/>
        <s v="2012-13"/>
        <s v="2013-14"/>
        <s v="2014-15"/>
        <s v="2015-16"/>
        <s v="2016-17"/>
        <s v="2017-18"/>
        <s v="2018-19"/>
        <s v="2019-20"/>
        <s v="2020-21"/>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 numFmtId="0">
      <sharedItems containsSemiMixedTypes="0" containsString="0" containsNumber="1" containsInteger="1" minValue="1" maxValue="3958"/>
    </cacheField>
    <cacheField name="01" numFmtId="0">
      <sharedItems containsSemiMixedTypes="0" containsString="0" containsNumber="1" containsInteger="1" minValue="1" maxValue="3073"/>
    </cacheField>
    <cacheField name="02" numFmtId="0">
      <sharedItems containsString="0" containsBlank="1" containsNumber="1" containsInteger="1" minValue="1" maxValue="919"/>
    </cacheField>
    <cacheField name="03-05" numFmtId="0">
      <sharedItems containsString="0" containsBlank="1" containsNumber="1" containsInteger="1" minValue="1" maxValue="900"/>
    </cacheField>
    <cacheField name="06-10" numFmtId="0">
      <sharedItems containsString="0" containsBlank="1" containsNumber="1" containsInteger="1" minValue="1" maxValue="26" count="23">
        <n v="3"/>
        <n v="8"/>
        <n v="1"/>
        <n v="7"/>
        <n v="2"/>
        <m/>
        <n v="4"/>
        <n v="6"/>
        <n v="14"/>
        <n v="5"/>
        <n v="9"/>
        <n v="13"/>
        <n v="10"/>
        <n v="12"/>
        <n v="23"/>
        <n v="22"/>
        <n v="26"/>
        <n v="19"/>
        <n v="11"/>
        <n v="20"/>
        <n v="18"/>
        <n v="17"/>
        <n v="15"/>
      </sharedItems>
    </cacheField>
    <cacheField name="11-15" numFmtId="0">
      <sharedItems containsString="0" containsBlank="1" containsNumber="1" containsInteger="1" minValue="1" maxValue="7" count="8">
        <m/>
        <n v="2"/>
        <n v="1"/>
        <n v="6"/>
        <n v="4"/>
        <n v="3"/>
        <n v="7"/>
        <n v="5"/>
      </sharedItems>
    </cacheField>
    <cacheField name="16+" numFmtId="0">
      <sharedItems containsString="0" containsBlank="1" containsNumber="1" containsInteger="1" minValue="1" maxValue="8" count="8">
        <m/>
        <n v="3"/>
        <n v="1"/>
        <n v="5"/>
        <n v="4"/>
        <n v="2"/>
        <n v="8"/>
        <n v="7"/>
      </sharedItems>
    </cacheField>
    <cacheField name="Unknown" numFmtId="0">
      <sharedItems containsString="0" containsBlank="1" containsNumber="1" containsInteger="1" minValue="1" maxValue="45" count="23">
        <m/>
        <n v="2"/>
        <n v="1"/>
        <n v="3"/>
        <n v="27"/>
        <n v="7"/>
        <n v="26"/>
        <n v="22"/>
        <n v="19"/>
        <n v="11"/>
        <n v="14"/>
        <n v="9"/>
        <n v="23"/>
        <n v="6"/>
        <n v="4"/>
        <n v="45"/>
        <n v="15"/>
        <n v="18"/>
        <n v="10"/>
        <n v="13"/>
        <n v="31"/>
        <n v="5"/>
        <n v="21"/>
      </sharedItems>
    </cacheField>
  </cacheFields>
  <extLst>
    <ext xmlns:x14="http://schemas.microsoft.com/office/spreadsheetml/2009/9/main" uri="{725AE2AE-9491-48be-B2B4-4EB974FC3084}">
      <x14:pivotCacheDefinition pivotCacheId="2040399334"/>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61342592" createdVersion="6" refreshedVersion="6" minRefreshableVersion="3" recordCount="134" xr:uid="{00000000-000A-0000-FFFF-FFFF10000000}">
  <cacheSource type="worksheet">
    <worksheetSource ref="A4:J138" sheet="T14c"/>
  </cacheSource>
  <cacheFields count="10">
    <cacheField name="Year" numFmtId="0">
      <sharedItems count="12">
        <s v="2009-10"/>
        <s v="2010-11"/>
        <s v="2011-12"/>
        <s v="2012-13"/>
        <s v="2013-14"/>
        <s v="2014-15"/>
        <s v="2015-16"/>
        <s v="2016-17"/>
        <s v="2017-18"/>
        <s v="2018-19"/>
        <s v="2019-20"/>
        <s v="2020-21"/>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Females" numFmtId="0">
      <sharedItems containsSemiMixedTypes="0" containsString="0" containsNumber="1" containsInteger="1" minValue="2699931" maxValue="2800788" count="12">
        <n v="2699931"/>
        <n v="2713982"/>
        <n v="2729600"/>
        <n v="2736310"/>
        <n v="2741020"/>
        <n v="2751070"/>
        <n v="2762531"/>
        <n v="2777197"/>
        <n v="2784500"/>
        <n v="2789349"/>
        <n v="2800297"/>
        <n v="2800788"/>
      </sharedItems>
    </cacheField>
    <cacheField name="Males" numFmtId="0">
      <sharedItems containsSemiMixedTypes="0" containsString="0" containsNumber="1" containsInteger="1" minValue="2531969" maxValue="2665212" count="12">
        <n v="2531969"/>
        <n v="2548218"/>
        <n v="2570300"/>
        <n v="2577290"/>
        <n v="2586680"/>
        <n v="2596530"/>
        <n v="2610469"/>
        <n v="2627503"/>
        <n v="2640300"/>
        <n v="2648751"/>
        <n v="2663003"/>
        <n v="2665212"/>
      </sharedItems>
    </cacheField>
    <cacheField name="Female" numFmtId="0">
      <sharedItems containsString="0" containsBlank="1" containsNumber="1" containsInteger="1" minValue="1" maxValue="343"/>
    </cacheField>
    <cacheField name="Male" numFmtId="0">
      <sharedItems containsString="0" containsBlank="1" containsNumber="1" containsInteger="1" minValue="1" maxValue="405"/>
    </cacheField>
    <cacheField name="Not known" numFmtId="0">
      <sharedItems containsString="0" containsBlank="1" containsNumber="1" containsInteger="1" minValue="1" maxValue="26" count="11">
        <m/>
        <n v="5"/>
        <n v="1"/>
        <n v="4"/>
        <n v="17"/>
        <n v="3"/>
        <n v="2"/>
        <n v="8"/>
        <n v="16"/>
        <n v="11"/>
        <n v="26"/>
      </sharedItems>
    </cacheField>
    <cacheField name="Not specified" numFmtId="0">
      <sharedItems containsString="0" containsBlank="1" containsNumber="1" containsInteger="1" minValue="1" maxValue="6" count="5">
        <m/>
        <n v="1"/>
        <n v="2"/>
        <n v="5"/>
        <n v="6"/>
      </sharedItems>
    </cacheField>
  </cacheFields>
  <extLst>
    <ext xmlns:x14="http://schemas.microsoft.com/office/spreadsheetml/2009/9/main" uri="{725AE2AE-9491-48be-B2B4-4EB974FC3084}">
      <x14:pivotCacheDefinition pivotCacheId="2040399333"/>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62731478" createdVersion="6" refreshedVersion="6" minRefreshableVersion="3" recordCount="24" xr:uid="{00000000-000A-0000-FFFF-FFFF11000000}">
  <cacheSource type="worksheet">
    <worksheetSource ref="A4:G28" sheet="T11nf"/>
  </cacheSource>
  <cacheFields count="7">
    <cacheField name="Pub_cause_txt" numFmtId="0">
      <sharedItems count="2">
        <s v="Accidental"/>
        <s v="Deliberate"/>
      </sharedItems>
    </cacheField>
    <cacheField name="Year" numFmtId="0">
      <sharedItems count="12">
        <s v="2009-10"/>
        <s v="2010-11"/>
        <s v="2011-12"/>
        <s v="2012-13"/>
        <s v="2013-14"/>
        <s v="2014-15"/>
        <s v="2015-16"/>
        <s v="2016-17"/>
        <s v="2017-18"/>
        <s v="2018-19"/>
        <s v="2019-20"/>
        <s v="2020-21"/>
      </sharedItems>
    </cacheField>
    <cacheField name="Non_fatal Casualties Total" numFmtId="0">
      <sharedItems containsSemiMixedTypes="0" containsString="0" containsNumber="1" containsInteger="1" minValue="156" maxValue="1133" count="23">
        <n v="1042"/>
        <n v="1101"/>
        <n v="1133"/>
        <n v="1125"/>
        <n v="1118"/>
        <n v="940"/>
        <n v="1093"/>
        <n v="1053"/>
        <n v="935"/>
        <n v="1008"/>
        <n v="860"/>
        <n v="861"/>
        <n v="181"/>
        <n v="231"/>
        <n v="281"/>
        <n v="194"/>
        <n v="192"/>
        <n v="159"/>
        <n v="183"/>
        <n v="213"/>
        <n v="189"/>
        <n v="167"/>
        <n v="156"/>
      </sharedItems>
    </cacheField>
    <cacheField name="1:Dwelling" numFmtId="0">
      <sharedItems containsSemiMixedTypes="0" containsString="0" containsNumber="1" containsInteger="1" minValue="121" maxValue="1014" count="24">
        <n v="892"/>
        <n v="975"/>
        <n v="982"/>
        <n v="1014"/>
        <n v="986"/>
        <n v="826"/>
        <n v="925"/>
        <n v="940"/>
        <n v="797"/>
        <n v="886"/>
        <n v="743"/>
        <n v="751"/>
        <n v="140"/>
        <n v="167"/>
        <n v="237"/>
        <n v="152"/>
        <n v="154"/>
        <n v="121"/>
        <n v="138"/>
        <n v="175"/>
        <n v="124"/>
        <n v="130"/>
        <n v="134"/>
        <n v="125"/>
      </sharedItems>
    </cacheField>
    <cacheField name="2:Other Buildings" numFmtId="0">
      <sharedItems containsSemiMixedTypes="0" containsString="0" containsNumber="1" containsInteger="1" minValue="13" maxValue="94" count="21">
        <n v="74"/>
        <n v="70"/>
        <n v="82"/>
        <n v="62"/>
        <n v="66"/>
        <n v="94"/>
        <n v="55"/>
        <n v="75"/>
        <n v="71"/>
        <n v="61"/>
        <n v="21"/>
        <n v="39"/>
        <n v="17"/>
        <n v="30"/>
        <n v="24"/>
        <n v="25"/>
        <n v="23"/>
        <n v="45"/>
        <n v="34"/>
        <n v="20"/>
        <n v="13"/>
      </sharedItems>
    </cacheField>
    <cacheField name="3:Road Vehicle" numFmtId="0">
      <sharedItems containsSemiMixedTypes="0" containsString="0" containsNumber="1" containsInteger="1" minValue="1" maxValue="57" count="17">
        <n v="57"/>
        <n v="38"/>
        <n v="53"/>
        <n v="34"/>
        <n v="48"/>
        <n v="35"/>
        <n v="26"/>
        <n v="27"/>
        <n v="18"/>
        <n v="9"/>
        <n v="5"/>
        <n v="1"/>
        <n v="2"/>
        <n v="4"/>
        <n v="10"/>
        <n v="3"/>
        <n v="8"/>
      </sharedItems>
    </cacheField>
    <cacheField name="4:Others" numFmtId="0">
      <sharedItems containsSemiMixedTypes="0" containsString="0" containsNumber="1" containsInteger="1" minValue="8" maxValue="31" count="15">
        <n v="19"/>
        <n v="18"/>
        <n v="16"/>
        <n v="15"/>
        <n v="22"/>
        <n v="13"/>
        <n v="17"/>
        <n v="20"/>
        <n v="21"/>
        <n v="31"/>
        <n v="11"/>
        <n v="12"/>
        <n v="8"/>
        <n v="9"/>
        <n v="14"/>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63541663" createdVersion="6" refreshedVersion="6" minRefreshableVersion="3" recordCount="502" xr:uid="{00000000-000A-0000-FFFF-FFFF12000000}">
  <cacheSource type="worksheet">
    <worksheetSource ref="A4:H506" sheet="TurCas"/>
  </cacheSource>
  <cacheFields count="8">
    <cacheField name="VICTIM_TYPE_DESCRIPTION" numFmtId="0">
      <sharedItems count="3">
        <s v="Injured (incl. rescue with injury)"/>
        <s v="Exprecautionary"/>
        <s v="Fatality"/>
      </sharedItems>
    </cacheField>
    <cacheField name="a.Year" numFmtId="0">
      <sharedItems count="9">
        <s v="2014-15"/>
        <s v="2015-16"/>
        <s v="2017-18"/>
        <s v="2012-13"/>
        <s v="2013-14"/>
        <s v="2016-17"/>
        <s v="2018-19"/>
        <s v="2019-20"/>
        <s v="2020-21"/>
      </sharedItems>
    </cacheField>
    <cacheField name="a.UR6FOLD" numFmtId="0">
      <sharedItems containsString="0" containsBlank="1" containsNumber="1" containsInteger="1" minValue="1" maxValue="6" count="7">
        <m/>
        <n v="1"/>
        <n v="2"/>
        <n v="3"/>
        <n v="4"/>
        <n v="5"/>
        <n v="6"/>
      </sharedItems>
    </cacheField>
    <cacheField name="Pub_level_type_o" numFmtId="0">
      <sharedItems count="4">
        <s v="4:Others"/>
        <s v="3:Road Vehicle"/>
        <s v="2:Other Buildings"/>
        <s v="1:Dwelling"/>
      </sharedItems>
    </cacheField>
    <cacheField name="Total" numFmtId="0">
      <sharedItems containsSemiMixedTypes="0" containsString="0" containsNumber="1" containsInteger="1" minValue="1" maxValue="546"/>
    </cacheField>
    <cacheField name="b.Year" numFmtId="0">
      <sharedItems containsString="0" containsBlank="1" containsNumber="1" containsInteger="1" minValue="2012" maxValue="2020" count="10">
        <m/>
        <n v="2012"/>
        <n v="2013"/>
        <n v="2014"/>
        <n v="2015"/>
        <n v="2016"/>
        <n v="2017"/>
        <n v="2018"/>
        <n v="2019"/>
        <n v="2020"/>
      </sharedItems>
    </cacheField>
    <cacheField name="b.UR6FOLD" numFmtId="0">
      <sharedItems containsString="0" containsBlank="1" containsNumber="1" containsInteger="1" minValue="1" maxValue="6" count="7">
        <m/>
        <n v="1"/>
        <n v="2"/>
        <n v="3"/>
        <n v="4"/>
        <n v="5"/>
        <n v="6"/>
      </sharedItems>
    </cacheField>
    <cacheField name="pop" numFmtId="0">
      <sharedItems containsString="0" containsBlank="1" containsNumber="1" containsInteger="1" minValue="189997" maxValue="196170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3356479" createdVersion="6" refreshedVersion="6" minRefreshableVersion="3" recordCount="24" xr:uid="{00000000-000A-0000-FFFF-FFFF01000000}">
  <cacheSource type="worksheet">
    <worksheetSource ref="A4:L28" sheet="T13"/>
  </cacheSource>
  <cacheFields count="12">
    <cacheField name="Pub_cause_txt" numFmtId="0">
      <sharedItems count="2">
        <s v="Accidental"/>
        <s v="Deliberate"/>
      </sharedItems>
    </cacheField>
    <cacheField name="Year" numFmtId="0">
      <sharedItems count="12">
        <s v="2009-10"/>
        <s v="2010-11"/>
        <s v="2011-12"/>
        <s v="2012-13"/>
        <s v="2013-14"/>
        <s v="2014-15"/>
        <s v="2015-16"/>
        <s v="2016-17"/>
        <s v="2017-18"/>
        <s v="2018-19"/>
        <s v="2019-20"/>
        <s v="2020-21"/>
      </sharedItems>
    </cacheField>
    <cacheField name="Total_Secondary_Fires" numFmtId="0">
      <sharedItems containsSemiMixedTypes="0" containsString="0" containsNumber="1" containsInteger="1" minValue="2021" maxValue="21602" count="24">
        <n v="4718"/>
        <n v="2615"/>
        <n v="2485"/>
        <n v="2021"/>
        <n v="2914"/>
        <n v="2239"/>
        <n v="2454"/>
        <n v="2467"/>
        <n v="2612"/>
        <n v="3212"/>
        <n v="2438"/>
        <n v="3073"/>
        <n v="18287"/>
        <n v="21602"/>
        <n v="16198"/>
        <n v="12252"/>
        <n v="13447"/>
        <n v="11167"/>
        <n v="12278"/>
        <n v="13193"/>
        <n v="12116"/>
        <n v="12485"/>
        <n v="11652"/>
        <n v="12057"/>
      </sharedItems>
    </cacheField>
    <cacheField name="01:Derelict Building" numFmtId="0">
      <sharedItems containsSemiMixedTypes="0" containsString="0" containsNumber="1" containsInteger="1" minValue="29" maxValue="693" count="22">
        <n v="109"/>
        <n v="53"/>
        <n v="55"/>
        <n v="44"/>
        <n v="29"/>
        <n v="37"/>
        <n v="42"/>
        <n v="41"/>
        <n v="35"/>
        <n v="34"/>
        <n v="602"/>
        <n v="693"/>
        <n v="587"/>
        <n v="438"/>
        <n v="350"/>
        <n v="306"/>
        <n v="326"/>
        <n v="262"/>
        <n v="266"/>
        <n v="193"/>
        <n v="230"/>
        <n v="151"/>
      </sharedItems>
    </cacheField>
    <cacheField name="02:Grassland" numFmtId="0">
      <sharedItems containsSemiMixedTypes="0" containsString="0" containsNumber="1" containsInteger="1" minValue="733" maxValue="7398" count="24">
        <n v="1754"/>
        <n v="1230"/>
        <n v="1071"/>
        <n v="808"/>
        <n v="1390"/>
        <n v="733"/>
        <n v="864"/>
        <n v="935"/>
        <n v="1133"/>
        <n v="1612"/>
        <n v="947"/>
        <n v="1302"/>
        <n v="5225"/>
        <n v="7398"/>
        <n v="4147"/>
        <n v="2666"/>
        <n v="4697"/>
        <n v="3030"/>
        <n v="3702"/>
        <n v="3991"/>
        <n v="3937"/>
        <n v="4585"/>
        <n v="3440"/>
        <n v="3725"/>
      </sharedItems>
    </cacheField>
    <cacheField name="03:Intentional straw or stubble" numFmtId="0">
      <sharedItems containsSemiMixedTypes="0" containsString="0" containsNumber="1" containsInteger="1" minValue="14" maxValue="149" count="21">
        <n v="49"/>
        <n v="26"/>
        <n v="34"/>
        <n v="14"/>
        <n v="30"/>
        <n v="21"/>
        <n v="15"/>
        <n v="17"/>
        <n v="24"/>
        <n v="149"/>
        <n v="101"/>
        <n v="86"/>
        <n v="47"/>
        <n v="38"/>
        <n v="44"/>
        <n v="50"/>
        <n v="45"/>
        <n v="52"/>
        <n v="53"/>
        <n v="56"/>
        <n v="69"/>
      </sharedItems>
    </cacheField>
    <cacheField name="04:Outdoor structures" numFmtId="0">
      <sharedItems containsSemiMixedTypes="0" containsString="0" containsNumber="1" containsInteger="1" minValue="133" maxValue="265" count="21">
        <n v="163"/>
        <n v="166"/>
        <n v="161"/>
        <n v="145"/>
        <n v="186"/>
        <n v="143"/>
        <n v="144"/>
        <n v="133"/>
        <n v="154"/>
        <n v="173"/>
        <n v="188"/>
        <n v="205"/>
        <n v="265"/>
        <n v="231"/>
        <n v="191"/>
        <n v="189"/>
        <n v="178"/>
        <n v="190"/>
        <n v="220"/>
        <n v="242"/>
        <n v="196"/>
      </sharedItems>
    </cacheField>
    <cacheField name="05:Derelict Vehicle" numFmtId="0">
      <sharedItems containsSemiMixedTypes="0" containsString="0" containsNumber="1" containsInteger="1" minValue="13" maxValue="119" count="20">
        <n v="72"/>
        <n v="40"/>
        <n v="24"/>
        <n v="14"/>
        <n v="23"/>
        <n v="16"/>
        <n v="15"/>
        <n v="25"/>
        <n v="13"/>
        <n v="29"/>
        <n v="113"/>
        <n v="119"/>
        <n v="77"/>
        <n v="55"/>
        <n v="58"/>
        <n v="51"/>
        <n v="47"/>
        <n v="44"/>
        <n v="42"/>
        <n v="46"/>
      </sharedItems>
    </cacheField>
    <cacheField name="06:Other outdoors (including land)" numFmtId="0">
      <sharedItems containsSemiMixedTypes="0" containsString="0" containsNumber="1" containsInteger="1" minValue="90" maxValue="2861" count="24">
        <n v="464"/>
        <n v="194"/>
        <n v="184"/>
        <n v="143"/>
        <n v="191"/>
        <n v="182"/>
        <n v="169"/>
        <n v="188"/>
        <n v="202"/>
        <n v="159"/>
        <n v="90"/>
        <n v="284"/>
        <n v="2271"/>
        <n v="2861"/>
        <n v="2099"/>
        <n v="1762"/>
        <n v="1625"/>
        <n v="1521"/>
        <n v="1725"/>
        <n v="1833"/>
        <n v="1721"/>
        <n v="1262"/>
        <n v="891"/>
        <n v="1657"/>
      </sharedItems>
    </cacheField>
    <cacheField name="07:Refuse - small/rubbish container" numFmtId="0">
      <sharedItems containsSemiMixedTypes="0" containsString="0" containsNumber="1" containsInteger="1" minValue="523" maxValue="4137" count="24">
        <n v="932"/>
        <n v="523"/>
        <n v="579"/>
        <n v="528"/>
        <n v="631"/>
        <n v="713"/>
        <n v="806"/>
        <n v="781"/>
        <n v="721"/>
        <n v="832"/>
        <n v="787"/>
        <n v="740"/>
        <n v="3470"/>
        <n v="4137"/>
        <n v="3894"/>
        <n v="3194"/>
        <n v="2831"/>
        <n v="2712"/>
        <n v="2865"/>
        <n v="3122"/>
        <n v="2724"/>
        <n v="2735"/>
        <n v="2976"/>
        <n v="2642"/>
      </sharedItems>
    </cacheField>
    <cacheField name="08:Refuse - large/rubbish container" numFmtId="0">
      <sharedItems containsSemiMixedTypes="0" containsString="0" containsNumber="1" containsInteger="1" minValue="77" maxValue="788" count="23">
        <n v="197"/>
        <n v="91"/>
        <n v="80"/>
        <n v="77"/>
        <n v="126"/>
        <n v="105"/>
        <n v="135"/>
        <n v="130"/>
        <n v="118"/>
        <n v="124"/>
        <n v="150"/>
        <n v="678"/>
        <n v="788"/>
        <n v="625"/>
        <n v="548"/>
        <n v="522"/>
        <n v="411"/>
        <n v="453"/>
        <n v="426"/>
        <n v="387"/>
        <n v="328"/>
        <n v="329"/>
        <n v="291"/>
      </sharedItems>
    </cacheField>
    <cacheField name="09:Refuse - loose/rubbish tip" numFmtId="0">
      <sharedItems containsSemiMixedTypes="0" containsString="0" containsNumber="1" containsInteger="1" minValue="210" maxValue="5574" count="24">
        <n v="978"/>
        <n v="292"/>
        <n v="297"/>
        <n v="248"/>
        <n v="308"/>
        <n v="276"/>
        <n v="259"/>
        <n v="228"/>
        <n v="210"/>
        <n v="246"/>
        <n v="254"/>
        <n v="320"/>
        <n v="5574"/>
        <n v="5240"/>
        <n v="4452"/>
        <n v="3351"/>
        <n v="3137"/>
        <n v="2925"/>
        <n v="2916"/>
        <n v="3247"/>
        <n v="2743"/>
        <n v="3101"/>
        <n v="3488"/>
        <n v="3287"/>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64351855" createdVersion="6" refreshedVersion="6" minRefreshableVersion="3" recordCount="384" xr:uid="{00000000-000A-0000-FFFF-FFFF13000000}">
  <cacheSource type="worksheet">
    <worksheetSource ref="A80:C464" sheet="Tref"/>
  </cacheSource>
  <cacheFields count="3">
    <cacheField name="Expr1000" numFmtId="0">
      <sharedItems count="12">
        <s v="2009-10"/>
        <s v="2010-11"/>
        <s v="2011-12"/>
        <s v="2012-13"/>
        <s v="2013-14"/>
        <s v="2014-15"/>
        <s v="2015-16"/>
        <s v="2016-17"/>
        <s v="2017-18"/>
        <s v="2018-19"/>
        <s v="2019-20"/>
        <s v="2020-21"/>
      </sharedItems>
    </cacheField>
    <cacheField name="Council area"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Dwellings" numFmtId="0">
      <sharedItems containsSemiMixedTypes="0" containsString="0" containsNumber="1" containsInteger="1" minValue="10190" maxValue="317193"/>
    </cacheField>
  </cacheFields>
  <extLst>
    <ext xmlns:x14="http://schemas.microsoft.com/office/spreadsheetml/2009/9/main" uri="{725AE2AE-9491-48be-B2B4-4EB974FC3084}">
      <x14:pivotCacheDefinition pivotCacheId="204039933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66319442" createdVersion="6" refreshedVersion="6" minRefreshableVersion="3" recordCount="765" xr:uid="{00000000-000A-0000-FFFF-FFFF14000000}">
  <cacheSource type="worksheet">
    <worksheetSource ref="A4:N769" sheet="T13a"/>
  </cacheSource>
  <cacheFields count="14">
    <cacheField name="Year" numFmtId="0">
      <sharedItems count="12">
        <s v="2009-10"/>
        <s v="2010-11"/>
        <s v="2011-12"/>
        <s v="2012-13"/>
        <s v="2013-14"/>
        <s v="2014-15"/>
        <s v="2015-16"/>
        <s v="2016-17"/>
        <s v="2017-18"/>
        <s v="2018-19"/>
        <s v="2019-20"/>
        <s v="2020-21"/>
      </sharedItems>
    </cacheField>
    <cacheField name="Pub_cause_txt" numFmtId="0">
      <sharedItems count="2">
        <s v="Accidental"/>
        <s v="Deliberate"/>
      </sharedItems>
    </cacheField>
    <cacheField name="PubLANAME"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Total" numFmtId="0">
      <sharedItems containsSemiMixedTypes="0" containsString="0" containsNumber="1" containsInteger="1" minValue="1" maxValue="3771"/>
    </cacheField>
    <cacheField name="01:Derelict Building" numFmtId="0">
      <sharedItems containsString="0" containsBlank="1" containsNumber="1" containsInteger="1" minValue="1" maxValue="165"/>
    </cacheField>
    <cacheField name="02:Grassland" numFmtId="0">
      <sharedItems containsString="0" containsBlank="1" containsNumber="1" containsInteger="1" minValue="1" maxValue="939"/>
    </cacheField>
    <cacheField name="03:Intentional straw or stubble" numFmtId="0">
      <sharedItems containsString="0" containsBlank="1" containsNumber="1" containsInteger="1" minValue="1" maxValue="15" count="16">
        <n v="1"/>
        <n v="2"/>
        <n v="3"/>
        <m/>
        <n v="6"/>
        <n v="9"/>
        <n v="4"/>
        <n v="5"/>
        <n v="7"/>
        <n v="11"/>
        <n v="8"/>
        <n v="10"/>
        <n v="15"/>
        <n v="12"/>
        <n v="14"/>
        <n v="13"/>
      </sharedItems>
    </cacheField>
    <cacheField name="04:Outdoor structures" numFmtId="0">
      <sharedItems containsString="0" containsBlank="1" containsNumber="1" containsInteger="1" minValue="1" maxValue="59"/>
    </cacheField>
    <cacheField name="05:Derelict Vehicle" numFmtId="0">
      <sharedItems containsString="0" containsBlank="1" containsNumber="1" containsInteger="1" minValue="1" maxValue="23" count="16">
        <m/>
        <n v="1"/>
        <n v="3"/>
        <n v="2"/>
        <n v="7"/>
        <n v="11"/>
        <n v="9"/>
        <n v="8"/>
        <n v="4"/>
        <n v="6"/>
        <n v="5"/>
        <n v="13"/>
        <n v="16"/>
        <n v="23"/>
        <n v="10"/>
        <n v="15"/>
      </sharedItems>
    </cacheField>
    <cacheField name="06:Other outdoors (including land)" numFmtId="0">
      <sharedItems containsString="0" containsBlank="1" containsNumber="1" containsInteger="1" minValue="1" maxValue="620"/>
    </cacheField>
    <cacheField name="07:Refuse - small/rubbish container" numFmtId="0">
      <sharedItems containsString="0" containsBlank="1" containsNumber="1" containsInteger="1" minValue="1" maxValue="903"/>
    </cacheField>
    <cacheField name="08:Refuse - large/rubbish container" numFmtId="0">
      <sharedItems containsString="0" containsBlank="1" containsNumber="1" containsInteger="1" minValue="1" maxValue="164"/>
    </cacheField>
    <cacheField name="09:Refuse - loose/rubbish tip" numFmtId="0">
      <sharedItems containsString="0" containsBlank="1" containsNumber="1" containsInteger="1" minValue="1" maxValue="1087"/>
    </cacheField>
    <cacheField name="pop" numFmtId="0">
      <sharedItems containsSemiMixedTypes="0" containsString="0" containsNumber="1" containsInteger="1" minValue="20940" maxValue="635640"/>
    </cacheField>
  </cacheFields>
  <extLst>
    <ext xmlns:x14="http://schemas.microsoft.com/office/spreadsheetml/2009/9/main" uri="{725AE2AE-9491-48be-B2B4-4EB974FC3084}">
      <x14:pivotCacheDefinition pivotCacheId="2040399324"/>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6747685" createdVersion="6" refreshedVersion="6" minRefreshableVersion="3" recordCount="4137" xr:uid="{00000000-000A-0000-FFFF-FFFF15000000}">
  <cacheSource type="worksheet">
    <worksheetSource ref="A4:F4141" sheet="Tmotive"/>
  </cacheSource>
  <cacheFields count="6">
    <cacheField name="Year" numFmtId="0">
      <sharedItems count="12">
        <s v="2009-10"/>
        <s v="2010-11"/>
        <s v="2011-12"/>
        <s v="2012-13"/>
        <s v="2013-14"/>
        <s v="2014-15"/>
        <s v="2015-16"/>
        <s v="2016-17"/>
        <s v="2017-18"/>
        <s v="2018-19"/>
        <s v="2019-20"/>
        <s v="2020-21"/>
      </sharedItems>
    </cacheField>
    <cacheField name="Expr1001" numFmtId="0">
      <sharedItems count="6">
        <s v="Chimney"/>
        <s v="Primary1:Dwelling"/>
        <s v="Primary2:Other Buildings"/>
        <s v="Primary3:Road Vehicle"/>
        <s v="Primary4:Others"/>
        <s v="Secondary"/>
      </sharedItems>
    </cacheField>
    <cacheField name="Pub_cause_txt" numFmtId="0">
      <sharedItems count="2">
        <s v="Accidental"/>
        <s v="Deliberate"/>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East Renfrewshire"/>
        <s v="Z_Not Known"/>
      </sharedItems>
    </cacheField>
    <cacheField name="Expr1004" numFmtId="0">
      <sharedItems containsSemiMixedTypes="0" containsString="0" containsNumber="1" containsInteger="1" minValue="1" maxValue="3771"/>
    </cacheField>
    <cacheField name="pop" numFmtId="0">
      <sharedItems containsString="0" containsBlank="1" containsNumber="1" containsInteger="1" minValue="20940" maxValue="635640"/>
    </cacheField>
  </cacheFields>
  <extLst>
    <ext xmlns:x14="http://schemas.microsoft.com/office/spreadsheetml/2009/9/main" uri="{725AE2AE-9491-48be-B2B4-4EB974FC3084}">
      <x14:pivotCacheDefinition pivotCacheId="2040399322"/>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67939812" createdVersion="6" refreshedVersion="6" minRefreshableVersion="3" recordCount="385" xr:uid="{00000000-000A-0000-FFFF-FFFF16000000}">
  <cacheSource type="worksheet">
    <worksheetSource ref="A4:G389" sheet="T21a"/>
  </cacheSource>
  <cacheFields count="7">
    <cacheField name="Pub_level_type_o" numFmtId="0">
      <sharedItems count="1">
        <s v="1:Dwelling"/>
      </sharedItems>
    </cacheField>
    <cacheField name="Year" numFmtId="0">
      <sharedItems count="12">
        <s v="2009-10"/>
        <s v="2010-11"/>
        <s v="2011-12"/>
        <s v="2012-13"/>
        <s v="2013-14"/>
        <s v="2014-15"/>
        <s v="2015-16"/>
        <s v="2016-17"/>
        <s v="2017-18"/>
        <s v="2018-19"/>
        <s v="2019-20"/>
        <s v="2020-21"/>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 numFmtId="0">
      <sharedItems containsSemiMixedTypes="0" containsString="0" containsNumber="1" containsInteger="1" minValue="1" maxValue="1004"/>
    </cacheField>
    <cacheField name="1:Yes" numFmtId="0">
      <sharedItems containsString="0" containsBlank="1" containsNumber="1" containsInteger="1" minValue="1" maxValue="182"/>
    </cacheField>
    <cacheField name="2:No" numFmtId="0">
      <sharedItems containsSemiMixedTypes="0" containsString="0" containsNumber="1" containsInteger="1" minValue="1" maxValue="641"/>
    </cacheField>
    <cacheField name="3:Not Known" numFmtId="0">
      <sharedItems containsString="0" containsBlank="1" containsNumber="1" containsInteger="1" minValue="1" maxValue="182"/>
    </cacheField>
  </cacheFields>
  <extLst>
    <ext xmlns:x14="http://schemas.microsoft.com/office/spreadsheetml/2009/9/main" uri="{725AE2AE-9491-48be-B2B4-4EB974FC3084}">
      <x14:pivotCacheDefinition pivotCacheId="2040399319"/>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15138889" createdVersion="6" refreshedVersion="6" minRefreshableVersion="3" recordCount="24" xr:uid="{00000000-000A-0000-FFFF-FFFF17000000}">
  <cacheSource type="worksheet">
    <worksheetSource ref="A4:H28" sheet="T21b"/>
  </cacheSource>
  <cacheFields count="8">
    <cacheField name="Expr1000" numFmtId="0">
      <sharedItems count="2">
        <s v="Fatal"/>
        <s v="Non-fatal"/>
      </sharedItems>
    </cacheField>
    <cacheField name="Year" numFmtId="0">
      <sharedItems count="12">
        <s v="2009-10"/>
        <s v="2010-11"/>
        <s v="2011-12"/>
        <s v="2012-13"/>
        <s v="2013-14"/>
        <s v="2014-15"/>
        <s v="2015-16"/>
        <s v="2016-17"/>
        <s v="2017-18"/>
        <s v="2018-19"/>
        <s v="2019-20"/>
        <s v="2020-21"/>
      </sharedItems>
    </cacheField>
    <cacheField name="Pub_cause_txt" numFmtId="0">
      <sharedItems count="1">
        <s v="Accidental"/>
      </sharedItems>
    </cacheField>
    <cacheField name="Pub_level_type_o" numFmtId="0">
      <sharedItems count="1">
        <s v="1:Dwelling"/>
      </sharedItems>
    </cacheField>
    <cacheField name="Total" numFmtId="0">
      <sharedItems containsSemiMixedTypes="0" containsString="0" containsNumber="1" containsInteger="1" minValue="21" maxValue="1014" count="22">
        <n v="48"/>
        <n v="43"/>
        <n v="44"/>
        <n v="36"/>
        <n v="25"/>
        <n v="27"/>
        <n v="33"/>
        <n v="31"/>
        <n v="34"/>
        <n v="21"/>
        <n v="892"/>
        <n v="975"/>
        <n v="982"/>
        <n v="1014"/>
        <n v="986"/>
        <n v="826"/>
        <n v="925"/>
        <n v="940"/>
        <n v="797"/>
        <n v="886"/>
        <n v="743"/>
        <n v="751"/>
      </sharedItems>
    </cacheField>
    <cacheField name="1:Yes" numFmtId="0">
      <sharedItems containsSemiMixedTypes="0" containsString="0" containsNumber="1" containsInteger="1" minValue="4" maxValue="341" count="21">
        <n v="19"/>
        <n v="11"/>
        <n v="14"/>
        <n v="12"/>
        <n v="6"/>
        <n v="4"/>
        <n v="9"/>
        <n v="10"/>
        <n v="8"/>
        <n v="310"/>
        <n v="265"/>
        <n v="300"/>
        <n v="277"/>
        <n v="341"/>
        <n v="219"/>
        <n v="280"/>
        <n v="271"/>
        <n v="255"/>
        <n v="244"/>
        <n v="254"/>
        <n v="216"/>
      </sharedItems>
    </cacheField>
    <cacheField name="2:No" numFmtId="0">
      <sharedItems containsSemiMixedTypes="0" containsString="0" containsNumber="1" containsInteger="1" minValue="4" maxValue="608" count="20">
        <n v="4"/>
        <n v="12"/>
        <n v="13"/>
        <n v="10"/>
        <n v="6"/>
        <n v="11"/>
        <n v="9"/>
        <n v="5"/>
        <n v="446"/>
        <n v="538"/>
        <n v="513"/>
        <n v="608"/>
        <n v="510"/>
        <n v="460"/>
        <n v="509"/>
        <n v="518"/>
        <n v="417"/>
        <n v="472"/>
        <n v="375"/>
        <n v="392"/>
      </sharedItems>
    </cacheField>
    <cacheField name="3:Not Known" numFmtId="0">
      <sharedItems containsSemiMixedTypes="0" containsString="0" containsNumber="1" containsInteger="1" minValue="10" maxValue="172" count="21">
        <n v="25"/>
        <n v="20"/>
        <n v="17"/>
        <n v="14"/>
        <n v="13"/>
        <n v="12"/>
        <n v="18"/>
        <n v="15"/>
        <n v="10"/>
        <n v="16"/>
        <n v="136"/>
        <n v="172"/>
        <n v="169"/>
        <n v="129"/>
        <n v="135"/>
        <n v="147"/>
        <n v="151"/>
        <n v="125"/>
        <n v="170"/>
        <n v="114"/>
        <n v="143"/>
      </sharedItems>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152083337" createdVersion="6" refreshedVersion="6" minRefreshableVersion="3" recordCount="36" xr:uid="{00000000-000A-0000-FFFF-FFFF18000000}">
  <cacheSource type="worksheet">
    <worksheetSource ref="A4:AA40" sheet="T24"/>
  </cacheSource>
  <cacheFields count="27">
    <cacheField name="Type" numFmtId="0">
      <sharedItems count="3">
        <s v="Dwelling"/>
        <s v="Other Buildings"/>
        <s v="Outdoor"/>
      </sharedItems>
    </cacheField>
    <cacheField name="Year" numFmtId="0">
      <sharedItems count="12">
        <s v="2009-10"/>
        <s v="2010-11"/>
        <s v="2011-12"/>
        <s v="2012-13"/>
        <s v="2013-14"/>
        <s v="2014-15"/>
        <s v="2015-16"/>
        <s v="2016-17"/>
        <s v="2017-18"/>
        <s v="2018-19"/>
        <s v="2019-20"/>
        <s v="2020-21"/>
      </sharedItems>
    </cacheField>
    <cacheField name="Total" numFmtId="0">
      <sharedItems containsSemiMixedTypes="0" containsString="0" containsNumber="1" containsInteger="1" minValue="1718" maxValue="6560"/>
    </cacheField>
    <cacheField name="0" numFmtId="0">
      <sharedItems containsSemiMixedTypes="0" containsString="0" containsNumber="1" containsInteger="1" minValue="54" maxValue="270"/>
    </cacheField>
    <cacheField name="1" numFmtId="0">
      <sharedItems containsSemiMixedTypes="0" containsString="0" containsNumber="1" containsInteger="1" minValue="50" maxValue="251"/>
    </cacheField>
    <cacheField name="2" numFmtId="0">
      <sharedItems containsSemiMixedTypes="0" containsString="0" containsNumber="1" containsInteger="1" minValue="26" maxValue="236"/>
    </cacheField>
    <cacheField name="3" numFmtId="0">
      <sharedItems containsSemiMixedTypes="0" containsString="0" containsNumber="1" containsInteger="1" minValue="26" maxValue="177"/>
    </cacheField>
    <cacheField name="4" numFmtId="0">
      <sharedItems containsSemiMixedTypes="0" containsString="0" containsNumber="1" containsInteger="1" minValue="33" maxValue="168"/>
    </cacheField>
    <cacheField name="5" numFmtId="0">
      <sharedItems containsSemiMixedTypes="0" containsString="0" containsNumber="1" containsInteger="1" minValue="23" maxValue="126" count="28">
        <n v="91"/>
        <n v="126"/>
        <n v="101"/>
        <n v="104"/>
        <n v="79"/>
        <n v="86"/>
        <n v="78"/>
        <n v="77"/>
        <n v="68"/>
        <n v="52"/>
        <n v="56"/>
        <n v="49"/>
        <n v="46"/>
        <n v="42"/>
        <n v="39"/>
        <n v="43"/>
        <n v="50"/>
        <n v="44"/>
        <n v="36"/>
        <n v="23"/>
        <n v="96"/>
        <n v="107"/>
        <n v="67"/>
        <n v="65"/>
        <n v="63"/>
        <n v="66"/>
        <n v="55"/>
        <n v="62"/>
      </sharedItems>
    </cacheField>
    <cacheField name="6" numFmtId="0">
      <sharedItems containsSemiMixedTypes="0" containsString="0" containsNumber="1" containsInteger="1" minValue="31" maxValue="87" count="29">
        <n v="84"/>
        <n v="81"/>
        <n v="86"/>
        <n v="78"/>
        <n v="82"/>
        <n v="87"/>
        <n v="76"/>
        <n v="64"/>
        <n v="63"/>
        <n v="74"/>
        <n v="58"/>
        <n v="51"/>
        <n v="50"/>
        <n v="48"/>
        <n v="49"/>
        <n v="43"/>
        <n v="47"/>
        <n v="31"/>
        <n v="46"/>
        <n v="57"/>
        <n v="44"/>
        <n v="73"/>
        <n v="67"/>
        <n v="60"/>
        <n v="56"/>
        <n v="55"/>
        <n v="45"/>
        <n v="36"/>
        <n v="41"/>
      </sharedItems>
    </cacheField>
    <cacheField name="7" numFmtId="0">
      <sharedItems containsSemiMixedTypes="0" containsString="0" containsNumber="1" containsInteger="1" minValue="42" maxValue="109"/>
    </cacheField>
    <cacheField name="8" numFmtId="0">
      <sharedItems containsSemiMixedTypes="0" containsString="0" containsNumber="1" containsInteger="1" minValue="66" maxValue="136" count="27">
        <n v="108"/>
        <n v="127"/>
        <n v="125"/>
        <n v="102"/>
        <n v="124"/>
        <n v="135"/>
        <n v="136"/>
        <n v="95"/>
        <n v="96"/>
        <n v="105"/>
        <n v="91"/>
        <n v="94"/>
        <n v="76"/>
        <n v="106"/>
        <n v="79"/>
        <n v="90"/>
        <n v="66"/>
        <n v="80"/>
        <n v="85"/>
        <n v="81"/>
        <n v="82"/>
        <n v="67"/>
        <n v="87"/>
        <n v="78"/>
        <n v="72"/>
        <n v="70"/>
        <n v="68"/>
      </sharedItems>
    </cacheField>
    <cacheField name="9" numFmtId="0">
      <sharedItems containsSemiMixedTypes="0" containsString="0" containsNumber="1" containsInteger="1" minValue="52" maxValue="165"/>
    </cacheField>
    <cacheField name="10" numFmtId="0">
      <sharedItems containsSemiMixedTypes="0" containsString="0" containsNumber="1" containsInteger="1" minValue="73" maxValue="204"/>
    </cacheField>
    <cacheField name="11" numFmtId="0">
      <sharedItems containsSemiMixedTypes="0" containsString="0" containsNumber="1" containsInteger="1" minValue="82" maxValue="252"/>
    </cacheField>
    <cacheField name="12" numFmtId="0">
      <sharedItems containsSemiMixedTypes="0" containsString="0" containsNumber="1" containsInteger="1" minValue="83" maxValue="298"/>
    </cacheField>
    <cacheField name="13" numFmtId="0">
      <sharedItems containsSemiMixedTypes="0" containsString="0" containsNumber="1" containsInteger="1" minValue="90" maxValue="321"/>
    </cacheField>
    <cacheField name="14" numFmtId="0">
      <sharedItems containsSemiMixedTypes="0" containsString="0" containsNumber="1" containsInteger="1" minValue="95" maxValue="323"/>
    </cacheField>
    <cacheField name="15" numFmtId="0">
      <sharedItems containsSemiMixedTypes="0" containsString="0" containsNumber="1" containsInteger="1" minValue="97" maxValue="329" count="30">
        <n v="328"/>
        <n v="309"/>
        <n v="329"/>
        <n v="325"/>
        <n v="298"/>
        <n v="320"/>
        <n v="321"/>
        <n v="254"/>
        <n v="305"/>
        <n v="295"/>
        <n v="267"/>
        <n v="262"/>
        <n v="155"/>
        <n v="126"/>
        <n v="125"/>
        <n v="133"/>
        <n v="129"/>
        <n v="118"/>
        <n v="146"/>
        <n v="128"/>
        <n v="136"/>
        <n v="97"/>
        <n v="100"/>
        <n v="185"/>
        <n v="148"/>
        <n v="150"/>
        <n v="145"/>
        <n v="149"/>
        <n v="147"/>
        <n v="137"/>
      </sharedItems>
    </cacheField>
    <cacheField name="16" numFmtId="0">
      <sharedItems containsSemiMixedTypes="0" containsString="0" containsNumber="1" containsInteger="1" minValue="106" maxValue="425"/>
    </cacheField>
    <cacheField name="17" numFmtId="0">
      <sharedItems containsSemiMixedTypes="0" containsString="0" containsNumber="1" containsInteger="1" minValue="86" maxValue="495" count="30">
        <n v="495"/>
        <n v="488"/>
        <n v="479"/>
        <n v="487"/>
        <n v="454"/>
        <n v="434"/>
        <n v="471"/>
        <n v="460"/>
        <n v="427"/>
        <n v="344"/>
        <n v="348"/>
        <n v="168"/>
        <n v="161"/>
        <n v="124"/>
        <n v="121"/>
        <n v="126"/>
        <n v="142"/>
        <n v="118"/>
        <n v="139"/>
        <n v="134"/>
        <n v="86"/>
        <n v="186"/>
        <n v="227"/>
        <n v="180"/>
        <n v="133"/>
        <n v="201"/>
        <n v="156"/>
        <n v="175"/>
        <n v="170"/>
        <n v="171"/>
      </sharedItems>
    </cacheField>
    <cacheField name="18" numFmtId="0">
      <sharedItems containsSemiMixedTypes="0" containsString="0" containsNumber="1" containsInteger="1" minValue="114" maxValue="529"/>
    </cacheField>
    <cacheField name="19" numFmtId="0">
      <sharedItems containsSemiMixedTypes="0" containsString="0" containsNumber="1" containsInteger="1" minValue="80" maxValue="470"/>
    </cacheField>
    <cacheField name="20" numFmtId="0">
      <sharedItems containsSemiMixedTypes="0" containsString="0" containsNumber="1" containsInteger="1" minValue="99" maxValue="423"/>
    </cacheField>
    <cacheField name="21" numFmtId="0">
      <sharedItems containsSemiMixedTypes="0" containsString="0" containsNumber="1" containsInteger="1" minValue="77" maxValue="389"/>
    </cacheField>
    <cacheField name="22" numFmtId="0">
      <sharedItems containsSemiMixedTypes="0" containsString="0" containsNumber="1" containsInteger="1" minValue="70" maxValue="369"/>
    </cacheField>
    <cacheField name="23" numFmtId="0">
      <sharedItems containsSemiMixedTypes="0" containsString="0" containsNumber="1" containsInteger="1" minValue="68" maxValue="289"/>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153240738" createdVersion="6" refreshedVersion="6" minRefreshableVersion="3" recordCount="24" xr:uid="{00000000-000A-0000-FFFF-FFFF19000000}">
  <cacheSource type="worksheet">
    <worksheetSource ref="A4:H28" sheet="T16a"/>
  </cacheSource>
  <cacheFields count="8">
    <cacheField name="who" numFmtId="0">
      <sharedItems count="2">
        <s v="FRS personnel"/>
        <s v="Non FRS personnel"/>
      </sharedItems>
    </cacheField>
    <cacheField name="Year" numFmtId="0">
      <sharedItems count="12">
        <s v="2009-10"/>
        <s v="2010-11"/>
        <s v="2011-12"/>
        <s v="2012-13"/>
        <s v="2013-14"/>
        <s v="2014-15"/>
        <s v="2015-16"/>
        <s v="2016-17"/>
        <s v="2017-18"/>
        <s v="2018-19"/>
        <s v="2019-20"/>
        <s v="2020-21"/>
      </sharedItems>
    </cacheField>
    <cacheField name="Total_Nonfatal" numFmtId="0">
      <sharedItems containsSemiMixedTypes="0" containsString="0" containsNumber="1" containsInteger="1" minValue="8" maxValue="1386" count="20">
        <n v="18"/>
        <n v="28"/>
        <n v="15"/>
        <n v="12"/>
        <n v="10"/>
        <n v="21"/>
        <n v="13"/>
        <n v="8"/>
        <n v="1205"/>
        <n v="1304"/>
        <n v="1386"/>
        <n v="1301"/>
        <n v="1295"/>
        <n v="1087"/>
        <n v="1266"/>
        <n v="1248"/>
        <n v="1088"/>
        <n v="1176"/>
        <n v="1014"/>
        <n v="1009"/>
      </sharedItems>
    </cacheField>
    <cacheField name="0-16" numFmtId="0">
      <sharedItems containsString="0" containsBlank="1" containsNumber="1" containsInteger="1" minValue="2" maxValue="119" count="14">
        <m/>
        <n v="2"/>
        <n v="106"/>
        <n v="113"/>
        <n v="119"/>
        <n v="89"/>
        <n v="90"/>
        <n v="88"/>
        <n v="77"/>
        <n v="78"/>
        <n v="87"/>
        <n v="83"/>
        <n v="86"/>
        <n v="116"/>
      </sharedItems>
    </cacheField>
    <cacheField name="17-29" numFmtId="0">
      <sharedItems containsString="0" containsBlank="1" containsNumber="1" containsInteger="1" minValue="1" maxValue="283" count="18">
        <n v="5"/>
        <n v="4"/>
        <n v="2"/>
        <n v="3"/>
        <m/>
        <n v="1"/>
        <n v="238"/>
        <n v="283"/>
        <n v="268"/>
        <n v="252"/>
        <n v="227"/>
        <n v="186"/>
        <n v="204"/>
        <n v="201"/>
        <n v="183"/>
        <n v="181"/>
        <n v="133"/>
        <n v="126"/>
      </sharedItems>
    </cacheField>
    <cacheField name="30-59" numFmtId="0">
      <sharedItems containsSemiMixedTypes="0" containsString="0" containsNumber="1" containsInteger="1" minValue="5" maxValue="644" count="20">
        <n v="13"/>
        <n v="24"/>
        <n v="26"/>
        <n v="14"/>
        <n v="11"/>
        <n v="12"/>
        <n v="7"/>
        <n v="5"/>
        <n v="552"/>
        <n v="583"/>
        <n v="644"/>
        <n v="514"/>
        <n v="572"/>
        <n v="432"/>
        <n v="542"/>
        <n v="574"/>
        <n v="476"/>
        <n v="515"/>
        <n v="447"/>
        <n v="452"/>
      </sharedItems>
    </cacheField>
    <cacheField name="60+" numFmtId="0">
      <sharedItems containsString="0" containsBlank="1" containsNumber="1" containsInteger="1" minValue="1" maxValue="389" count="15">
        <m/>
        <n v="1"/>
        <n v="2"/>
        <n v="308"/>
        <n v="323"/>
        <n v="350"/>
        <n v="389"/>
        <n v="339"/>
        <n v="314"/>
        <n v="381"/>
        <n v="334"/>
        <n v="269"/>
        <n v="303"/>
        <n v="268"/>
        <n v="250"/>
      </sharedItems>
    </cacheField>
    <cacheField name="Unknown" numFmtId="0">
      <sharedItems containsString="0" containsBlank="1" containsNumber="1" containsInteger="1" minValue="1" maxValue="94" count="16">
        <m/>
        <n v="1"/>
        <n v="4"/>
        <n v="9"/>
        <n v="8"/>
        <n v="3"/>
        <n v="2"/>
        <n v="5"/>
        <n v="57"/>
        <n v="67"/>
        <n v="62"/>
        <n v="61"/>
        <n v="73"/>
        <n v="94"/>
        <n v="80"/>
        <n v="65"/>
      </sharedItems>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153819446" createdVersion="6" refreshedVersion="6" minRefreshableVersion="3" recordCount="24" xr:uid="{00000000-000A-0000-FFFF-FFFF1A000000}">
  <cacheSource type="worksheet">
    <worksheetSource ref="A4:G28" sheet="Tbuildingarea"/>
  </cacheSource>
  <cacheFields count="7">
    <cacheField name="Pub_level_type" numFmtId="0">
      <sharedItems count="2">
        <s v="Dwelling"/>
        <s v="Other Buildings"/>
      </sharedItems>
    </cacheField>
    <cacheField name="Year" numFmtId="0">
      <sharedItems count="12">
        <s v="2009-10"/>
        <s v="2010-11"/>
        <s v="2011-12"/>
        <s v="2012-13"/>
        <s v="2013-14"/>
        <s v="2014-15"/>
        <s v="2015-16"/>
        <s v="2016-17"/>
        <s v="2017-18"/>
        <s v="2018-19"/>
        <s v="2019-20"/>
        <s v="2020-21"/>
      </sharedItems>
    </cacheField>
    <cacheField name="20-Nov" numFmtId="0">
      <sharedItems containsSemiMixedTypes="0" containsString="0" containsNumber="1" containsInteger="1" minValue="107" maxValue="218" count="23">
        <n v="218"/>
        <n v="217"/>
        <n v="212"/>
        <n v="200"/>
        <n v="188"/>
        <n v="151"/>
        <n v="192"/>
        <n v="159"/>
        <n v="172"/>
        <n v="182"/>
        <n v="176"/>
        <n v="150"/>
        <n v="178"/>
        <n v="143"/>
        <n v="158"/>
        <n v="124"/>
        <n v="162"/>
        <n v="145"/>
        <n v="155"/>
        <n v="127"/>
        <n v="138"/>
        <n v="119"/>
        <n v="107"/>
      </sharedItems>
    </cacheField>
    <cacheField name="10-Jun" numFmtId="0">
      <sharedItems containsSemiMixedTypes="0" containsString="0" containsNumber="1" containsInteger="1" minValue="163" maxValue="333" count="23">
        <n v="302"/>
        <n v="333"/>
        <n v="299"/>
        <n v="295"/>
        <n v="278"/>
        <n v="293"/>
        <n v="269"/>
        <n v="258"/>
        <n v="260"/>
        <n v="229"/>
        <n v="243"/>
        <n v="272"/>
        <n v="208"/>
        <n v="214"/>
        <n v="201"/>
        <n v="186"/>
        <n v="193"/>
        <n v="197"/>
        <n v="202"/>
        <n v="227"/>
        <n v="191"/>
        <n v="163"/>
        <n v="170"/>
      </sharedItems>
    </cacheField>
    <cacheField name="None" numFmtId="0">
      <sharedItems containsSemiMixedTypes="0" containsString="0" containsNumber="1" containsInteger="1" minValue="255" maxValue="954" count="23">
        <n v="849"/>
        <n v="954"/>
        <n v="900"/>
        <n v="821"/>
        <n v="652"/>
        <n v="799"/>
        <n v="816"/>
        <n v="802"/>
        <n v="789"/>
        <n v="835"/>
        <n v="823"/>
        <n v="521"/>
        <n v="442"/>
        <n v="330"/>
        <n v="304"/>
        <n v="269"/>
        <n v="281"/>
        <n v="279"/>
        <n v="264"/>
        <n v="255"/>
        <n v="280"/>
        <n v="292"/>
        <n v="258"/>
      </sharedItems>
    </cacheField>
    <cacheField name="Over 20" numFmtId="0">
      <sharedItems containsSemiMixedTypes="0" containsString="0" containsNumber="1" containsInteger="1" minValue="186" maxValue="330" count="23">
        <n v="274"/>
        <n v="330"/>
        <n v="241"/>
        <n v="236"/>
        <n v="205"/>
        <n v="211"/>
        <n v="190"/>
        <n v="226"/>
        <n v="212"/>
        <n v="216"/>
        <n v="218"/>
        <n v="187"/>
        <n v="295"/>
        <n v="282"/>
        <n v="267"/>
        <n v="227"/>
        <n v="219"/>
        <n v="223"/>
        <n v="217"/>
        <n v="240"/>
        <n v="221"/>
        <n v="186"/>
        <n v="188"/>
      </sharedItems>
    </cacheField>
    <cacheField name="Up to 5" numFmtId="0">
      <sharedItems containsSemiMixedTypes="0" containsString="0" containsNumber="1" containsInteger="1" minValue="461" maxValue="1953" count="23">
        <n v="1953"/>
        <n v="1904"/>
        <n v="1740"/>
        <n v="1550"/>
        <n v="1585"/>
        <n v="1546"/>
        <n v="1442"/>
        <n v="1386"/>
        <n v="1255"/>
        <n v="1119"/>
        <n v="1157"/>
        <n v="1175"/>
        <n v="902"/>
        <n v="861"/>
        <n v="709"/>
        <n v="688"/>
        <n v="666"/>
        <n v="729"/>
        <n v="659"/>
        <n v="679"/>
        <n v="643"/>
        <n v="503"/>
        <n v="461"/>
      </sharedItems>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154282408" createdVersion="6" refreshedVersion="6" minRefreshableVersion="3" recordCount="36" xr:uid="{00000000-000A-0000-FFFF-FFFF1B000000}">
  <cacheSource type="worksheet">
    <worksheetSource ref="A4:D40" sheet="T18"/>
  </cacheSource>
  <cacheFields count="4">
    <cacheField name="VICTIM_TYPE_CODE" numFmtId="0">
      <sharedItems count="3">
        <s v="1"/>
        <s v="2"/>
        <s v="3"/>
      </sharedItems>
    </cacheField>
    <cacheField name="Year" numFmtId="0">
      <sharedItems count="12">
        <s v="2009-10"/>
        <s v="2010-11"/>
        <s v="2011-12"/>
        <s v="2012-13"/>
        <s v="2013-14"/>
        <s v="2014-15"/>
        <s v="2015-16"/>
        <s v="2016-17"/>
        <s v="2017-18"/>
        <s v="2018-19"/>
        <s v="2019-20"/>
        <s v="2020-21"/>
      </sharedItems>
    </cacheField>
    <cacheField name="VICTIM_TYPE_DESCRIPTION" numFmtId="0">
      <sharedItems count="3">
        <s v="Fatality"/>
        <s v="Injured (incl. rescue with injury)"/>
        <s v="Rescued (rescue without injury)"/>
      </sharedItems>
    </cacheField>
    <cacheField name="Total" numFmtId="0">
      <sharedItems containsSemiMixedTypes="0" containsString="0" containsNumber="1" containsInteger="1" minValue="12" maxValue="533"/>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844978587964" createdVersion="6" refreshedVersion="6" minRefreshableVersion="3" recordCount="451" xr:uid="{00000000-000A-0000-FFFF-FFFF1C000000}">
  <cacheSource type="worksheet">
    <worksheetSource ref="A4:H455" sheet="TsimdCas"/>
  </cacheSource>
  <cacheFields count="8">
    <cacheField name="VICTIM_TYPE_DESCRIPTION" numFmtId="0">
      <sharedItems count="3">
        <s v="Injured (incl. rescue with injury)"/>
        <s v="Fatality"/>
        <s v="Exprecautionary"/>
      </sharedItems>
    </cacheField>
    <cacheField name="a.Year" numFmtId="0">
      <sharedItems count="9">
        <s v="2012-13"/>
        <s v="2013-14"/>
        <s v="2014-15"/>
        <s v="2015-16"/>
        <s v="2016-17"/>
        <s v="2017-18"/>
        <s v="2018-19"/>
        <s v="2019-20"/>
        <s v="2020-21"/>
      </sharedItems>
    </cacheField>
    <cacheField name="a.SIMD2020_Quintile" numFmtId="0">
      <sharedItems containsString="0" containsBlank="1" containsNumber="1" containsInteger="1" minValue="1" maxValue="5" count="6">
        <n v="1"/>
        <n v="2"/>
        <n v="3"/>
        <n v="4"/>
        <n v="5"/>
        <m/>
      </sharedItems>
    </cacheField>
    <cacheField name="Pub_level_type_o" numFmtId="0">
      <sharedItems count="4">
        <s v="4:Others"/>
        <s v="2:Other Buildings"/>
        <s v="1:Dwelling"/>
        <s v="3:Road Vehicle"/>
      </sharedItems>
    </cacheField>
    <cacheField name="Total" numFmtId="0">
      <sharedItems containsSemiMixedTypes="0" containsString="0" containsNumber="1" containsInteger="1" minValue="1" maxValue="501"/>
    </cacheField>
    <cacheField name="b.Year" numFmtId="0">
      <sharedItems containsString="0" containsBlank="1" containsNumber="1" containsInteger="1" minValue="2012" maxValue="2020" count="10">
        <n v="2012"/>
        <n v="2013"/>
        <m/>
        <n v="2014"/>
        <n v="2015"/>
        <n v="2016"/>
        <n v="2017"/>
        <n v="2018"/>
        <n v="2019"/>
        <n v="2020"/>
      </sharedItems>
    </cacheField>
    <cacheField name="b.SIMD2020_Quintile" numFmtId="0">
      <sharedItems containsString="0" containsBlank="1" containsNumber="1" containsInteger="1" minValue="1" maxValue="5" count="6">
        <n v="1"/>
        <n v="2"/>
        <n v="3"/>
        <n v="4"/>
        <n v="5"/>
        <m/>
      </sharedItems>
    </cacheField>
    <cacheField name="pop" numFmtId="0">
      <sharedItems containsString="0" containsBlank="1" containsNumber="1" containsInteger="1" minValue="1051706" maxValue="114044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3703703" createdVersion="6" refreshedVersion="6" minRefreshableVersion="3" recordCount="24" xr:uid="{00000000-000A-0000-FFFF-FFFF02000000}">
  <cacheSource type="worksheet">
    <worksheetSource ref="A4:G28" sheet="T11"/>
  </cacheSource>
  <cacheFields count="7">
    <cacheField name="Year" numFmtId="0">
      <sharedItems count="12">
        <s v="2009-10"/>
        <s v="2010-11"/>
        <s v="2011-12"/>
        <s v="2012-13"/>
        <s v="2013-14"/>
        <s v="2014-15"/>
        <s v="2015-16"/>
        <s v="2016-17"/>
        <s v="2017-18"/>
        <s v="2018-19"/>
        <s v="2019-20"/>
        <s v="2020-21"/>
      </sharedItems>
    </cacheField>
    <cacheField name="Pub_cause_txt" numFmtId="0">
      <sharedItems count="2">
        <s v="Accidental"/>
        <s v="Deliberate"/>
      </sharedItems>
    </cacheField>
    <cacheField name="Total_Primary_Fires" numFmtId="0">
      <sharedItems containsSemiMixedTypes="0" containsString="0" containsNumber="1" containsInteger="1" minValue="2405" maxValue="9377" count="23">
        <n v="9377"/>
        <n v="9060"/>
        <n v="8631"/>
        <n v="8253"/>
        <n v="7941"/>
        <n v="8220"/>
        <n v="8419"/>
        <n v="8199"/>
        <n v="7969"/>
        <n v="7409"/>
        <n v="7011"/>
        <n v="4615"/>
        <n v="4084"/>
        <n v="3780"/>
        <n v="2833"/>
        <n v="2580"/>
        <n v="2413"/>
        <n v="2587"/>
        <n v="2695"/>
        <n v="2731"/>
        <n v="2504"/>
        <n v="2443"/>
        <n v="2405"/>
      </sharedItems>
    </cacheField>
    <cacheField name="1:Dwelling" numFmtId="0">
      <sharedItems containsSemiMixedTypes="0" containsString="0" containsNumber="1" containsInteger="1" minValue="510" maxValue="5367" count="24">
        <n v="5367"/>
        <n v="5209"/>
        <n v="5117"/>
        <n v="4997"/>
        <n v="4673"/>
        <n v="4953"/>
        <n v="5068"/>
        <n v="4922"/>
        <n v="4751"/>
        <n v="4635"/>
        <n v="4365"/>
        <n v="4141"/>
        <n v="1193"/>
        <n v="1084"/>
        <n v="1040"/>
        <n v="832"/>
        <n v="650"/>
        <n v="621"/>
        <n v="605"/>
        <n v="618"/>
        <n v="560"/>
        <n v="510"/>
        <n v="525"/>
        <n v="520"/>
      </sharedItems>
    </cacheField>
    <cacheField name="2:Other Buildings" numFmtId="0">
      <sharedItems containsSemiMixedTypes="0" containsString="0" containsNumber="1" containsInteger="1" minValue="383" maxValue="2031" count="24">
        <n v="2031"/>
        <n v="1980"/>
        <n v="1854"/>
        <n v="1719"/>
        <n v="1711"/>
        <n v="1759"/>
        <n v="1850"/>
        <n v="1720"/>
        <n v="1639"/>
        <n v="1703"/>
        <n v="1506"/>
        <n v="1335"/>
        <n v="973"/>
        <n v="815"/>
        <n v="863"/>
        <n v="689"/>
        <n v="635"/>
        <n v="565"/>
        <n v="644"/>
        <n v="557"/>
        <n v="648"/>
        <n v="549"/>
        <n v="474"/>
        <n v="383"/>
      </sharedItems>
    </cacheField>
    <cacheField name="3:Road Vehicle" numFmtId="0">
      <sharedItems containsSemiMixedTypes="0" containsString="0" containsNumber="1" containsInteger="1" minValue="749" maxValue="1507" count="23">
        <n v="1507"/>
        <n v="1433"/>
        <n v="1247"/>
        <n v="1220"/>
        <n v="1169"/>
        <n v="1148"/>
        <n v="1165"/>
        <n v="1211"/>
        <n v="1153"/>
        <n v="1207"/>
        <n v="1055"/>
        <n v="1478"/>
        <n v="1251"/>
        <n v="1115"/>
        <n v="814"/>
        <n v="769"/>
        <n v="749"/>
        <n v="800"/>
        <n v="909"/>
        <n v="863"/>
        <n v="787"/>
        <n v="892"/>
        <n v="761"/>
      </sharedItems>
    </cacheField>
    <cacheField name="4:Others" numFmtId="0">
      <sharedItems containsSemiMixedTypes="0" containsString="0" containsNumber="1" containsInteger="1" minValue="317" maxValue="971" count="24">
        <n v="472"/>
        <n v="438"/>
        <n v="413"/>
        <n v="317"/>
        <n v="388"/>
        <n v="360"/>
        <n v="336"/>
        <n v="346"/>
        <n v="398"/>
        <n v="466"/>
        <n v="331"/>
        <n v="480"/>
        <n v="971"/>
        <n v="934"/>
        <n v="762"/>
        <n v="498"/>
        <n v="526"/>
        <n v="478"/>
        <n v="538"/>
        <n v="611"/>
        <n v="660"/>
        <n v="658"/>
        <n v="552"/>
        <n v="74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845235532404" createdVersion="6" refreshedVersion="6" minRefreshableVersion="3" recordCount="420" xr:uid="{00000000-000A-0000-FFFF-FFFF1D000000}">
  <cacheSource type="worksheet">
    <worksheetSource ref="A4:G424" sheet="Tsimd"/>
  </cacheSource>
  <cacheFields count="7">
    <cacheField name="a.Year" numFmtId="0">
      <sharedItems containsBlank="1" count="10">
        <s v="2012-13"/>
        <s v="2013-14"/>
        <s v="2014-15"/>
        <s v="2015-16"/>
        <s v="2016-17"/>
        <s v="2017-18"/>
        <s v="2018-19"/>
        <s v="2019-20"/>
        <s v="2020-21"/>
        <m/>
      </sharedItems>
    </cacheField>
    <cacheField name="Expr1001" numFmtId="0">
      <sharedItems containsBlank="1" count="9">
        <s v="1:Dwelling"/>
        <s v="2:Other Buildings"/>
        <s v="3:Road Vehicle"/>
        <s v="4:Others"/>
        <s v="Fire alarm due to Apparatus"/>
        <s v="Good Intent false alarm"/>
        <s v="Malicious False Alarm"/>
        <s v="Secondary"/>
        <m/>
      </sharedItems>
    </cacheField>
    <cacheField name="a.SIMD2020_Quintile" numFmtId="0">
      <sharedItems containsString="0" containsBlank="1" containsNumber="1" containsInteger="1" minValue="1" maxValue="5" count="6">
        <m/>
        <n v="1"/>
        <n v="2"/>
        <n v="3"/>
        <n v="4"/>
        <n v="5"/>
      </sharedItems>
    </cacheField>
    <cacheField name="Total" numFmtId="0">
      <sharedItems containsString="0" containsBlank="1" containsNumber="1" containsInteger="1" minValue="1" maxValue="10019"/>
    </cacheField>
    <cacheField name="b.Year" numFmtId="0">
      <sharedItems containsString="0" containsBlank="1" containsNumber="1" containsInteger="1" minValue="2012" maxValue="2020" count="10">
        <m/>
        <n v="2012"/>
        <n v="2013"/>
        <n v="2014"/>
        <n v="2015"/>
        <n v="2016"/>
        <n v="2017"/>
        <n v="2018"/>
        <n v="2019"/>
        <n v="2020"/>
      </sharedItems>
    </cacheField>
    <cacheField name="b.SIMD2020_Quintile" numFmtId="0">
      <sharedItems containsString="0" containsBlank="1" containsNumber="1" containsInteger="1" minValue="1" maxValue="5" count="6">
        <m/>
        <n v="1"/>
        <n v="2"/>
        <n v="3"/>
        <n v="4"/>
        <n v="5"/>
      </sharedItems>
    </cacheField>
    <cacheField name="pop" numFmtId="0">
      <sharedItems containsString="0" containsBlank="1" containsNumber="1" containsInteger="1" minValue="1051706" maxValue="1140448"/>
    </cacheField>
  </cacheFields>
  <extLst>
    <ext xmlns:x14="http://schemas.microsoft.com/office/spreadsheetml/2009/9/main" uri="{725AE2AE-9491-48be-B2B4-4EB974FC3084}">
      <x14:pivotCacheDefinition pivotCacheId="2040399314"/>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3.382924189813" createdVersion="6" refreshedVersion="6" minRefreshableVersion="3" recordCount="36" xr:uid="{00000000-000A-0000-FFFF-FFFF1E000000}">
  <cacheSource type="worksheet">
    <worksheetSource ref="A4:G40" sheet="T02"/>
  </cacheSource>
  <cacheFields count="7">
    <cacheField name="VICTIM_TYPE_DESCRIPTION" numFmtId="0">
      <sharedItems count="3">
        <s v="Exprecautionary"/>
        <s v="Fatality"/>
        <s v="Injured (incl. rescue with injury)"/>
      </sharedItems>
    </cacheField>
    <cacheField name="Year" numFmtId="0">
      <sharedItems count="12">
        <s v="2009-10"/>
        <s v="2010-11"/>
        <s v="2011-12"/>
        <s v="2012-13"/>
        <s v="2013-14"/>
        <s v="2014-15"/>
        <s v="2015-16"/>
        <s v="2016-17"/>
        <s v="2017-18"/>
        <s v="2018-19"/>
        <s v="2019-20"/>
        <s v="2020-21"/>
      </sharedItems>
    </cacheField>
    <cacheField name="Casualties" numFmtId="0">
      <sharedItems containsSemiMixedTypes="0" containsString="0" containsNumber="1" containsInteger="1" minValue="27" maxValue="1414"/>
    </cacheField>
    <cacheField name="1:Dwelling" numFmtId="0">
      <sharedItems containsSemiMixedTypes="0" containsString="0" containsNumber="1" containsInteger="1" minValue="21" maxValue="1219"/>
    </cacheField>
    <cacheField name="2:Other Buildings" numFmtId="0">
      <sharedItems containsSemiMixedTypes="0" containsString="0" containsNumber="1" containsInteger="1" minValue="1" maxValue="119" count="23">
        <n v="84"/>
        <n v="89"/>
        <n v="85"/>
        <n v="78"/>
        <n v="76"/>
        <n v="103"/>
        <n v="56"/>
        <n v="90"/>
        <n v="54"/>
        <n v="4"/>
        <n v="3"/>
        <n v="2"/>
        <n v="1"/>
        <n v="95"/>
        <n v="109"/>
        <n v="99"/>
        <n v="92"/>
        <n v="86"/>
        <n v="91"/>
        <n v="117"/>
        <n v="72"/>
        <n v="119"/>
        <n v="74"/>
      </sharedItems>
    </cacheField>
    <cacheField name="3:Road Vehicle" numFmtId="0">
      <sharedItems containsSemiMixedTypes="0" containsString="0" containsNumber="1" containsInteger="1" minValue="1" maxValue="66" count="26">
        <n v="59"/>
        <n v="37"/>
        <n v="43"/>
        <n v="32"/>
        <n v="46"/>
        <n v="30"/>
        <n v="56"/>
        <n v="40"/>
        <n v="35"/>
        <n v="31"/>
        <n v="25"/>
        <n v="15"/>
        <n v="4"/>
        <n v="3"/>
        <n v="2"/>
        <n v="1"/>
        <n v="5"/>
        <n v="66"/>
        <n v="58"/>
        <n v="50"/>
        <n v="61"/>
        <n v="48"/>
        <n v="51"/>
        <n v="34"/>
        <n v="29"/>
        <n v="22"/>
      </sharedItems>
    </cacheField>
    <cacheField name="4:Others" numFmtId="0">
      <sharedItems containsString="0" containsBlank="1" containsNumber="1" containsInteger="1" minValue="1" maxValue="45" count="19">
        <n v="26"/>
        <n v="34"/>
        <n v="24"/>
        <n v="25"/>
        <n v="16"/>
        <n v="29"/>
        <n v="19"/>
        <n v="35"/>
        <n v="27"/>
        <n v="40"/>
        <n v="1"/>
        <n v="2"/>
        <m/>
        <n v="5"/>
        <n v="30"/>
        <n v="38"/>
        <n v="21"/>
        <n v="31"/>
        <n v="45"/>
      </sharedItems>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3.673188541667" createdVersion="6" refreshedVersion="6" minRefreshableVersion="3" recordCount="452" xr:uid="{00000000-000A-0000-FFFF-FFFF1F000000}">
  <cacheSource type="worksheet">
    <worksheetSource ref="A4:H456" sheet="TsimdCas"/>
  </cacheSource>
  <cacheFields count="8">
    <cacheField name="VICTIM_TYPE_DESCRIPTION" numFmtId="0">
      <sharedItems count="3">
        <s v="Injured (incl. rescue with injury)"/>
        <s v="Fatality"/>
        <s v="Exprecautionary"/>
      </sharedItems>
    </cacheField>
    <cacheField name="a.Year" numFmtId="0">
      <sharedItems count="9">
        <s v="2012-13"/>
        <s v="2013-14"/>
        <s v="2014-15"/>
        <s v="2015-16"/>
        <s v="2016-17"/>
        <s v="2017-18"/>
        <s v="2018-19"/>
        <s v="2019-20"/>
        <s v="2020-21"/>
      </sharedItems>
    </cacheField>
    <cacheField name="a.SIMD2020_Quintile" numFmtId="0">
      <sharedItems containsString="0" containsBlank="1" containsNumber="1" containsInteger="1" minValue="1" maxValue="5" count="6">
        <n v="1"/>
        <n v="2"/>
        <n v="3"/>
        <n v="4"/>
        <n v="5"/>
        <m/>
      </sharedItems>
    </cacheField>
    <cacheField name="Pub_level_type_o" numFmtId="0">
      <sharedItems count="4">
        <s v="4:Others"/>
        <s v="2:Other Buildings"/>
        <s v="1:Dwelling"/>
        <s v="3:Road Vehicle"/>
      </sharedItems>
    </cacheField>
    <cacheField name="Total" numFmtId="0">
      <sharedItems containsSemiMixedTypes="0" containsString="0" containsNumber="1" containsInteger="1" minValue="1" maxValue="501"/>
    </cacheField>
    <cacheField name="b.Year" numFmtId="0">
      <sharedItems containsString="0" containsBlank="1" containsNumber="1" containsInteger="1" minValue="2012" maxValue="2020" count="10">
        <n v="2012"/>
        <n v="2013"/>
        <m/>
        <n v="2014"/>
        <n v="2015"/>
        <n v="2016"/>
        <n v="2017"/>
        <n v="2018"/>
        <n v="2019"/>
        <n v="2020"/>
      </sharedItems>
    </cacheField>
    <cacheField name="b.SIMD2020_Quintile" numFmtId="0">
      <sharedItems containsString="0" containsBlank="1" containsNumber="1" containsInteger="1" minValue="1" maxValue="5" count="6">
        <n v="1"/>
        <n v="2"/>
        <n v="3"/>
        <n v="4"/>
        <n v="5"/>
        <m/>
      </sharedItems>
    </cacheField>
    <cacheField name="pop" numFmtId="0">
      <sharedItems containsString="0" containsBlank="1" containsNumber="1" containsInteger="1" minValue="1051706" maxValue="1140448"/>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3.673262384262" createdVersion="6" refreshedVersion="6" minRefreshableVersion="3" recordCount="419" xr:uid="{00000000-000A-0000-FFFF-FFFF20000000}">
  <cacheSource type="worksheet">
    <worksheetSource ref="A4:G423" sheet="Tsimd"/>
  </cacheSource>
  <cacheFields count="7">
    <cacheField name="a.Year" numFmtId="0">
      <sharedItems count="9">
        <s v="2012-13"/>
        <s v="2013-14"/>
        <s v="2014-15"/>
        <s v="2015-16"/>
        <s v="2016-17"/>
        <s v="2017-18"/>
        <s v="2018-19"/>
        <s v="2019-20"/>
        <s v="2020-21"/>
      </sharedItems>
    </cacheField>
    <cacheField name="Expr1001" numFmtId="0">
      <sharedItems count="8">
        <s v="1:Dwelling"/>
        <s v="2:Other Buildings"/>
        <s v="3:Road Vehicle"/>
        <s v="4:Others"/>
        <s v="Fire alarm due to Apparatus"/>
        <s v="Good Intent false alarm"/>
        <s v="Malicious False Alarm"/>
        <s v="Secondary"/>
      </sharedItems>
    </cacheField>
    <cacheField name="a.SIMD2020_Quintile" numFmtId="0">
      <sharedItems containsString="0" containsBlank="1" containsNumber="1" containsInteger="1" minValue="1" maxValue="5" count="6">
        <m/>
        <n v="1"/>
        <n v="2"/>
        <n v="3"/>
        <n v="4"/>
        <n v="5"/>
      </sharedItems>
    </cacheField>
    <cacheField name="Total" numFmtId="0">
      <sharedItems containsSemiMixedTypes="0" containsString="0" containsNumber="1" containsInteger="1" minValue="1" maxValue="10019"/>
    </cacheField>
    <cacheField name="b.Year" numFmtId="0">
      <sharedItems containsString="0" containsBlank="1" containsNumber="1" containsInteger="1" minValue="2012" maxValue="2020" count="10">
        <m/>
        <n v="2012"/>
        <n v="2013"/>
        <n v="2014"/>
        <n v="2015"/>
        <n v="2016"/>
        <n v="2017"/>
        <n v="2018"/>
        <n v="2019"/>
        <n v="2020"/>
      </sharedItems>
    </cacheField>
    <cacheField name="b.SIMD2020_Quintile" numFmtId="0">
      <sharedItems containsString="0" containsBlank="1" containsNumber="1" containsInteger="1" minValue="1" maxValue="5" count="6">
        <m/>
        <n v="1"/>
        <n v="2"/>
        <n v="3"/>
        <n v="4"/>
        <n v="5"/>
      </sharedItems>
    </cacheField>
    <cacheField name="pop" numFmtId="0">
      <sharedItems containsString="0" containsBlank="1" containsNumber="1" containsInteger="1" minValue="1051706" maxValue="1140448"/>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3.673817476854" createdVersion="6" refreshedVersion="6" minRefreshableVersion="3" recordCount="491" xr:uid="{00000000-000A-0000-FFFF-FFFF21000000}">
  <cacheSource type="worksheet">
    <worksheetSource ref="A4:G495" sheet="Tur"/>
  </cacheSource>
  <cacheFields count="7">
    <cacheField name="a.Year" numFmtId="0">
      <sharedItems count="9">
        <s v="2012-13"/>
        <s v="2013-14"/>
        <s v="2014-15"/>
        <s v="2015-16"/>
        <s v="2016-17"/>
        <s v="2017-18"/>
        <s v="2018-19"/>
        <s v="2019-20"/>
        <s v="2020-21"/>
      </sharedItems>
    </cacheField>
    <cacheField name="Expr1001" numFmtId="0">
      <sharedItems count="8">
        <s v="1:Dwelling"/>
        <s v="2:Other Buildings"/>
        <s v="3:Road Vehicle"/>
        <s v="4:Others"/>
        <s v="Fire alarm due to Apparatus"/>
        <s v="Good Intent false alarm"/>
        <s v="Malicious False Alarm"/>
        <s v="Secondary"/>
      </sharedItems>
    </cacheField>
    <cacheField name="a.UR6FOLD" numFmtId="0">
      <sharedItems containsString="0" containsBlank="1" containsNumber="1" containsInteger="1" minValue="1" maxValue="6" count="7">
        <m/>
        <n v="1"/>
        <n v="2"/>
        <n v="3"/>
        <n v="4"/>
        <n v="5"/>
        <n v="6"/>
      </sharedItems>
    </cacheField>
    <cacheField name="Total" numFmtId="0">
      <sharedItems containsSemiMixedTypes="0" containsString="0" containsNumber="1" containsInteger="1" minValue="1" maxValue="18649"/>
    </cacheField>
    <cacheField name="b.Year" numFmtId="0">
      <sharedItems containsString="0" containsBlank="1" containsNumber="1" containsInteger="1" minValue="2012" maxValue="2020" count="10">
        <m/>
        <n v="2012"/>
        <n v="2013"/>
        <n v="2014"/>
        <n v="2015"/>
        <n v="2016"/>
        <n v="2017"/>
        <n v="2018"/>
        <n v="2019"/>
        <n v="2020"/>
      </sharedItems>
    </cacheField>
    <cacheField name="b.UR6FOLD" numFmtId="0">
      <sharedItems containsString="0" containsBlank="1" containsNumber="1" containsInteger="1" minValue="1" maxValue="6" count="7">
        <m/>
        <n v="1"/>
        <n v="2"/>
        <n v="3"/>
        <n v="4"/>
        <n v="5"/>
        <n v="6"/>
      </sharedItems>
    </cacheField>
    <cacheField name="pop" numFmtId="0">
      <sharedItems containsString="0" containsBlank="1" containsNumber="1" containsInteger="1" minValue="189997" maxValue="1961709"/>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3.673861921299" createdVersion="6" refreshedVersion="6" minRefreshableVersion="3" recordCount="503" xr:uid="{00000000-000A-0000-FFFF-FFFF22000000}">
  <cacheSource type="worksheet">
    <worksheetSource ref="A4:H507" sheet="TurCas"/>
  </cacheSource>
  <cacheFields count="8">
    <cacheField name="VICTIM_TYPE_DESCRIPTION" numFmtId="0">
      <sharedItems count="3">
        <s v="Injured (incl. rescue with injury)"/>
        <s v="Exprecautionary"/>
        <s v="Fatality"/>
      </sharedItems>
    </cacheField>
    <cacheField name="a.Year" numFmtId="0">
      <sharedItems count="9">
        <s v="2014-15"/>
        <s v="2015-16"/>
        <s v="2017-18"/>
        <s v="2012-13"/>
        <s v="2013-14"/>
        <s v="2016-17"/>
        <s v="2018-19"/>
        <s v="2019-20"/>
        <s v="2020-21"/>
      </sharedItems>
    </cacheField>
    <cacheField name="a.UR6FOLD" numFmtId="0">
      <sharedItems containsString="0" containsBlank="1" containsNumber="1" containsInteger="1" minValue="1" maxValue="6" count="7">
        <m/>
        <n v="1"/>
        <n v="2"/>
        <n v="3"/>
        <n v="4"/>
        <n v="5"/>
        <n v="6"/>
      </sharedItems>
    </cacheField>
    <cacheField name="Pub_level_type_o" numFmtId="0">
      <sharedItems count="4">
        <s v="4:Others"/>
        <s v="3:Road Vehicle"/>
        <s v="2:Other Buildings"/>
        <s v="1:Dwelling"/>
      </sharedItems>
    </cacheField>
    <cacheField name="Total" numFmtId="0">
      <sharedItems containsSemiMixedTypes="0" containsString="0" containsNumber="1" containsInteger="1" minValue="1" maxValue="546"/>
    </cacheField>
    <cacheField name="b.Year" numFmtId="0">
      <sharedItems containsString="0" containsBlank="1" containsNumber="1" containsInteger="1" minValue="2012" maxValue="2020" count="10">
        <m/>
        <n v="2012"/>
        <n v="2013"/>
        <n v="2014"/>
        <n v="2015"/>
        <n v="2016"/>
        <n v="2017"/>
        <n v="2018"/>
        <n v="2019"/>
        <n v="2020"/>
      </sharedItems>
    </cacheField>
    <cacheField name="b.UR6FOLD" numFmtId="0">
      <sharedItems containsString="0" containsBlank="1" containsNumber="1" containsInteger="1" minValue="1" maxValue="6" count="7">
        <m/>
        <n v="1"/>
        <n v="2"/>
        <n v="3"/>
        <n v="4"/>
        <n v="5"/>
        <n v="6"/>
      </sharedItems>
    </cacheField>
    <cacheField name="pop" numFmtId="0">
      <sharedItems containsString="0" containsBlank="1" containsNumber="1" containsInteger="1" minValue="189997" maxValue="1961709"/>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81.407168865742" createdVersion="6" refreshedVersion="6" minRefreshableVersion="3" recordCount="24" xr:uid="{00000000-000A-0000-FFFF-FFFF23000000}">
  <cacheSource type="worksheet">
    <worksheetSource ref="A4:H28" sheet="T22"/>
  </cacheSource>
  <cacheFields count="8">
    <cacheField name="Pub_level_type" numFmtId="0">
      <sharedItems count="2">
        <s v="Dwelling"/>
        <s v="Other Buildings"/>
      </sharedItems>
    </cacheField>
    <cacheField name="Year" numFmtId="0">
      <sharedItems count="12">
        <s v="2009-10"/>
        <s v="2010-11"/>
        <s v="2011-12"/>
        <s v="2012-13"/>
        <s v="2013-14"/>
        <s v="2014-15"/>
        <s v="2015-16"/>
        <s v="2016-17"/>
        <s v="2017-18"/>
        <s v="2018-19"/>
        <s v="2019-20"/>
        <s v="2020-21"/>
      </sharedItems>
    </cacheField>
    <cacheField name="1Confined to the item" numFmtId="0">
      <sharedItems containsSemiMixedTypes="0" containsString="0" containsNumber="1" containsInteger="1" minValue="510" maxValue="1610" count="23">
        <n v="1387"/>
        <n v="1511"/>
        <n v="1610"/>
        <n v="1499"/>
        <n v="1326"/>
        <n v="1580"/>
        <n v="1550"/>
        <n v="1531"/>
        <n v="1464"/>
        <n v="1327"/>
        <n v="1193"/>
        <n v="1242"/>
        <n v="695"/>
        <n v="740"/>
        <n v="752"/>
        <n v="638"/>
        <n v="639"/>
        <n v="696"/>
        <n v="650"/>
        <n v="651"/>
        <n v="648"/>
        <n v="529"/>
        <n v="510"/>
      </sharedItems>
    </cacheField>
    <cacheField name="2Beyond item but limited to room" numFmtId="0">
      <sharedItems containsSemiMixedTypes="0" containsString="0" containsNumber="1" containsInteger="1" minValue="280" maxValue="1254" count="24">
        <n v="1249"/>
        <n v="1254"/>
        <n v="1222"/>
        <n v="1100"/>
        <n v="1000"/>
        <n v="925"/>
        <n v="980"/>
        <n v="866"/>
        <n v="845"/>
        <n v="811"/>
        <n v="751"/>
        <n v="745"/>
        <n v="601"/>
        <n v="482"/>
        <n v="478"/>
        <n v="443"/>
        <n v="450"/>
        <n v="406"/>
        <n v="446"/>
        <n v="388"/>
        <n v="423"/>
        <n v="373"/>
        <n v="323"/>
        <n v="280"/>
      </sharedItems>
    </cacheField>
    <cacheField name="3Elsewhere in building" numFmtId="0">
      <sharedItems containsSemiMixedTypes="0" containsString="0" containsNumber="1" containsInteger="1" minValue="104" maxValue="607" count="22">
        <n v="607"/>
        <n v="595"/>
        <n v="496"/>
        <n v="461"/>
        <n v="414"/>
        <n v="367"/>
        <n v="380"/>
        <n v="396"/>
        <n v="416"/>
        <n v="403"/>
        <n v="328"/>
        <n v="205"/>
        <n v="194"/>
        <n v="159"/>
        <n v="152"/>
        <n v="144"/>
        <n v="147"/>
        <n v="160"/>
        <n v="138"/>
        <n v="129"/>
        <n v="117"/>
        <n v="104"/>
      </sharedItems>
    </cacheField>
    <cacheField name="4Whole building" numFmtId="0">
      <sharedItems containsSemiMixedTypes="0" containsString="0" containsNumber="1" containsInteger="1" minValue="57" maxValue="332" count="23">
        <n v="85"/>
        <n v="113"/>
        <n v="59"/>
        <n v="81"/>
        <n v="61"/>
        <n v="57"/>
        <n v="67"/>
        <n v="80"/>
        <n v="64"/>
        <n v="74"/>
        <n v="66"/>
        <n v="316"/>
        <n v="331"/>
        <n v="332"/>
        <n v="277"/>
        <n v="255"/>
        <n v="291"/>
        <n v="262"/>
        <n v="272"/>
        <n v="302"/>
        <n v="286"/>
        <n v="231"/>
        <n v="243"/>
      </sharedItems>
    </cacheField>
    <cacheField name="5Not applicable" numFmtId="0">
      <sharedItems containsSemiMixedTypes="0" containsString="0" containsNumber="1" containsInteger="1" minValue="18" maxValue="624" count="22">
        <n v="268"/>
        <n v="265"/>
        <n v="218"/>
        <n v="151"/>
        <n v="72"/>
        <n v="95"/>
        <n v="65"/>
        <n v="39"/>
        <n v="41"/>
        <n v="76"/>
        <n v="179"/>
        <n v="624"/>
        <n v="230"/>
        <n v="109"/>
        <n v="55"/>
        <n v="37"/>
        <n v="29"/>
        <n v="19"/>
        <n v="21"/>
        <n v="18"/>
        <n v="63"/>
        <n v="47"/>
      </sharedItems>
    </cacheField>
    <cacheField name="6Smoke and/or Heat damage only" numFmtId="0">
      <sharedItems containsSemiMixedTypes="0" containsString="0" containsNumber="1" containsInteger="1" minValue="534" maxValue="2964" count="24">
        <n v="2964"/>
        <n v="2555"/>
        <n v="2552"/>
        <n v="2537"/>
        <n v="2450"/>
        <n v="2550"/>
        <n v="2631"/>
        <n v="2628"/>
        <n v="2481"/>
        <n v="2443"/>
        <n v="2313"/>
        <n v="2101"/>
        <n v="563"/>
        <n v="818"/>
        <n v="887"/>
        <n v="843"/>
        <n v="822"/>
        <n v="812"/>
        <n v="911"/>
        <n v="808"/>
        <n v="741"/>
        <n v="779"/>
        <n v="717"/>
        <n v="534"/>
      </sharedItems>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83.486657407404" createdVersion="6" refreshedVersion="6" minRefreshableVersion="3" recordCount="54" xr:uid="{00000000-000A-0000-FFFF-FFFF24000000}">
  <cacheSource type="worksheet">
    <worksheetSource ref="A4:I58" sheet="T16b"/>
  </cacheSource>
  <cacheFields count="9">
    <cacheField name="Year" numFmtId="0">
      <sharedItems count="12">
        <s v="2009-10"/>
        <s v="2010-11"/>
        <s v="2011-12"/>
        <s v="2012-13"/>
        <s v="2013-14"/>
        <s v="2014-15"/>
        <s v="2015-16"/>
        <s v="2016-17"/>
        <s v="2017-18"/>
        <s v="2018-19"/>
        <s v="2019-20"/>
        <s v="2020-21"/>
      </sharedItems>
    </cacheField>
    <cacheField name="Who" numFmtId="0">
      <sharedItems count="2">
        <s v="Non FRS personnel"/>
        <s v="FRS personnel"/>
      </sharedItems>
    </cacheField>
    <cacheField name="Pub_fatalCode" numFmtId="0">
      <sharedItems containsSemiMixedTypes="0" containsString="0" containsNumber="1" containsInteger="1" minValue="1" maxValue="8" count="6">
        <n v="1"/>
        <n v="2"/>
        <n v="3"/>
        <n v="6"/>
        <n v="8"/>
        <n v="4"/>
      </sharedItems>
    </cacheField>
    <cacheField name="Pub_fataldescription" numFmtId="0">
      <sharedItems count="6">
        <s v="Burns"/>
        <s v="Combination of burns and overcome by gas/smoke"/>
        <s v="Overcome by gas, smoke or toxic fumes"/>
        <s v="Other specified"/>
        <s v="Unspecified"/>
        <s v="Physical injuries"/>
      </sharedItems>
    </cacheField>
    <cacheField name="Total_Fatal" numFmtId="0">
      <sharedItems containsSemiMixedTypes="0" containsString="0" containsNumber="1" containsInteger="1" minValue="1" maxValue="27" count="21">
        <n v="13"/>
        <n v="10"/>
        <n v="22"/>
        <n v="3"/>
        <n v="1"/>
        <n v="11"/>
        <n v="6"/>
        <n v="7"/>
        <n v="18"/>
        <n v="27"/>
        <n v="12"/>
        <n v="4"/>
        <n v="14"/>
        <n v="24"/>
        <n v="9"/>
        <n v="15"/>
        <n v="5"/>
        <n v="20"/>
        <n v="2"/>
        <n v="17"/>
        <n v="8"/>
      </sharedItems>
    </cacheField>
    <cacheField name="0-16" numFmtId="0">
      <sharedItems containsString="0" containsBlank="1" containsNumber="1" containsInteger="1" minValue="1" maxValue="3" count="4">
        <m/>
        <n v="2"/>
        <n v="1"/>
        <n v="3"/>
      </sharedItems>
    </cacheField>
    <cacheField name="17-29" numFmtId="0">
      <sharedItems containsString="0" containsBlank="1" containsNumber="1" containsInteger="1" minValue="1" maxValue="3" count="4">
        <n v="1"/>
        <m/>
        <n v="2"/>
        <n v="3"/>
      </sharedItems>
    </cacheField>
    <cacheField name="30-59" numFmtId="0">
      <sharedItems containsString="0" containsBlank="1" containsNumber="1" containsInteger="1" minValue="1" maxValue="14" count="12">
        <n v="4"/>
        <n v="8"/>
        <n v="10"/>
        <m/>
        <n v="1"/>
        <n v="5"/>
        <n v="3"/>
        <n v="14"/>
        <n v="2"/>
        <n v="12"/>
        <n v="6"/>
        <n v="9"/>
      </sharedItems>
    </cacheField>
    <cacheField name="60+" numFmtId="0">
      <sharedItems containsString="0" containsBlank="1" containsNumber="1" containsInteger="1" minValue="1" maxValue="12" count="13">
        <n v="8"/>
        <n v="2"/>
        <n v="11"/>
        <n v="3"/>
        <m/>
        <n v="4"/>
        <n v="6"/>
        <n v="9"/>
        <n v="12"/>
        <n v="5"/>
        <n v="7"/>
        <n v="10"/>
        <n v="1"/>
      </sharedItems>
    </cacheField>
  </cacheFields>
  <extLst>
    <ext xmlns:x14="http://schemas.microsoft.com/office/spreadsheetml/2009/9/main" uri="{725AE2AE-9491-48be-B2B4-4EB974FC3084}">
      <x14:pivotCacheDefinition pivotCacheId="2040399308"/>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87.636477083332" createdVersion="6" refreshedVersion="6" minRefreshableVersion="3" recordCount="48" xr:uid="{00000000-000A-0000-FFFF-FFFF25000000}">
  <cacheSource type="worksheet">
    <worksheetSource ref="A4:S52" sheet="T17d"/>
  </cacheSource>
  <cacheFields count="19">
    <cacheField name="a.Year" numFmtId="0">
      <sharedItems count="12">
        <s v="2009-10"/>
        <s v="2010-11"/>
        <s v="2011-12"/>
        <s v="2012-13"/>
        <s v="2013-14"/>
        <s v="2014-15"/>
        <s v="2015-16"/>
        <s v="2016-17"/>
        <s v="2017-18"/>
        <s v="2018-19"/>
        <s v="2019-20"/>
        <s v="2020-21"/>
      </sharedItems>
    </cacheField>
    <cacheField name="Treatment" numFmtId="0">
      <sharedItems count="4">
        <s v="1Precautionary check recommended"/>
        <s v="2First aid given at scene"/>
        <s v="3Victim went to hospital, injuries appear to be Slight"/>
        <s v="4Victim went to hospital, injuries appear to be Serious"/>
      </sharedItems>
    </cacheField>
    <cacheField name="Total_Nonfatal" numFmtId="0">
      <sharedItems containsSemiMixedTypes="0" containsString="0" containsNumber="1" containsInteger="1" minValue="51" maxValue="570"/>
    </cacheField>
    <cacheField name="FRS personnel0-16" numFmtId="0">
      <sharedItems containsString="0" containsBlank="1" containsNumber="1" containsInteger="1" minValue="1" maxValue="1" count="2">
        <m/>
        <n v="1"/>
      </sharedItems>
    </cacheField>
    <cacheField name="FRS personnel17-29" numFmtId="0">
      <sharedItems containsString="0" containsBlank="1" containsNumber="1" containsInteger="1" minValue="1" maxValue="3" count="4">
        <n v="1"/>
        <n v="3"/>
        <m/>
        <n v="2"/>
      </sharedItems>
    </cacheField>
    <cacheField name="FRS personnel30-59" numFmtId="0">
      <sharedItems containsString="0" containsBlank="1" containsNumber="1" containsInteger="1" minValue="1" maxValue="16" count="11">
        <n v="1"/>
        <n v="3"/>
        <n v="7"/>
        <n v="2"/>
        <n v="16"/>
        <n v="9"/>
        <n v="11"/>
        <n v="6"/>
        <m/>
        <n v="5"/>
        <n v="4"/>
      </sharedItems>
    </cacheField>
    <cacheField name="FRS personnel60+" numFmtId="0">
      <sharedItems containsString="0" containsBlank="1" containsNumber="1" containsInteger="1" minValue="1" maxValue="2" count="3">
        <m/>
        <n v="1"/>
        <n v="2"/>
      </sharedItems>
    </cacheField>
    <cacheField name="FRS personnelUnknown" numFmtId="0">
      <sharedItems containsString="0" containsBlank="1" containsNumber="1" containsInteger="1" minValue="1" maxValue="6" count="5">
        <m/>
        <n v="1"/>
        <n v="2"/>
        <n v="6"/>
        <n v="4"/>
      </sharedItems>
    </cacheField>
    <cacheField name="Non FRS personnel0-16" numFmtId="0">
      <sharedItems containsString="0" containsBlank="1" containsNumber="1" containsInteger="1" minValue="1" maxValue="57" count="27">
        <n v="35"/>
        <n v="38"/>
        <n v="28"/>
        <n v="5"/>
        <n v="31"/>
        <n v="29"/>
        <n v="51"/>
        <n v="2"/>
        <n v="36"/>
        <n v="34"/>
        <n v="49"/>
        <m/>
        <n v="24"/>
        <n v="33"/>
        <n v="32"/>
        <n v="1"/>
        <n v="26"/>
        <n v="3"/>
        <n v="23"/>
        <n v="27"/>
        <n v="21"/>
        <n v="7"/>
        <n v="17"/>
        <n v="37"/>
        <n v="25"/>
        <n v="57"/>
        <n v="30"/>
      </sharedItems>
    </cacheField>
    <cacheField name="Non FRS personnel17-29" numFmtId="0">
      <sharedItems containsSemiMixedTypes="0" containsString="0" containsNumber="1" containsInteger="1" minValue="5" maxValue="113"/>
    </cacheField>
    <cacheField name="Non FRS personnel30-59" numFmtId="0">
      <sharedItems containsSemiMixedTypes="0" containsString="0" containsNumber="1" containsInteger="1" minValue="21" maxValue="256"/>
    </cacheField>
    <cacheField name="Non FRS personnel60+" numFmtId="0">
      <sharedItems containsSemiMixedTypes="0" containsString="0" containsNumber="1" containsInteger="1" minValue="9" maxValue="175"/>
    </cacheField>
    <cacheField name="Non FRS personnelUnknown" numFmtId="0">
      <sharedItems containsString="0" containsBlank="1" containsNumber="1" containsInteger="1" minValue="1" maxValue="50" count="23">
        <n v="1"/>
        <m/>
        <n v="2"/>
        <n v="3"/>
        <n v="21"/>
        <n v="23"/>
        <n v="13"/>
        <n v="15"/>
        <n v="24"/>
        <n v="22"/>
        <n v="6"/>
        <n v="18"/>
        <n v="25"/>
        <n v="4"/>
        <n v="12"/>
        <n v="43"/>
        <n v="50"/>
        <n v="16"/>
        <n v="38"/>
        <n v="20"/>
        <n v="27"/>
        <n v="11"/>
        <n v="5"/>
      </sharedItems>
    </cacheField>
    <cacheField name="b.Year" numFmtId="0">
      <sharedItems count="12">
        <s v="2009-10"/>
        <s v="2010-11"/>
        <s v="2011-12"/>
        <s v="2012-13"/>
        <s v="2013-14"/>
        <s v="2014-15"/>
        <s v="2015-16"/>
        <s v="2016-17"/>
        <s v="2017-18"/>
        <s v="2018-19"/>
        <s v="2019-20"/>
        <s v="2020-21"/>
      </sharedItems>
    </cacheField>
    <cacheField name="Total" numFmtId="0">
      <sharedItems containsSemiMixedTypes="0" containsString="0" containsNumber="1" containsInteger="1" minValue="5231900" maxValue="5466000" count="12">
        <n v="5231900"/>
        <n v="5262200"/>
        <n v="5299900"/>
        <n v="5313600"/>
        <n v="5327700"/>
        <n v="5347600"/>
        <n v="5373000"/>
        <n v="5404700"/>
        <n v="5424800"/>
        <n v="5438100"/>
        <n v="5463300"/>
        <n v="5466000"/>
      </sharedItems>
    </cacheField>
    <cacheField name="0-16" numFmtId="0">
      <sharedItems containsSemiMixedTypes="0" containsString="0" containsNumber="1" containsInteger="1" minValue="970875" maxValue="984309" count="12">
        <n v="984309"/>
        <n v="981096"/>
        <n v="978075"/>
        <n v="976055"/>
        <n v="973340"/>
        <n v="970875"/>
        <n v="971022"/>
        <n v="972780"/>
        <n v="973036"/>
        <n v="972972"/>
        <n v="975449"/>
        <n v="972673"/>
      </sharedItems>
    </cacheField>
    <cacheField name="17-29" numFmtId="0">
      <sharedItems containsSemiMixedTypes="0" containsString="0" containsNumber="1" containsInteger="1" minValue="888196" maxValue="924449" count="12">
        <n v="893916"/>
        <n v="903573"/>
        <n v="915437"/>
        <n v="914515"/>
        <n v="914383"/>
        <n v="915972"/>
        <n v="920189"/>
        <n v="924449"/>
        <n v="920015"/>
        <n v="910297"/>
        <n v="901925"/>
        <n v="888196"/>
      </sharedItems>
    </cacheField>
    <cacheField name="30-59" numFmtId="0">
      <sharedItems containsSemiMixedTypes="0" containsString="0" containsNumber="1" containsInteger="1" minValue="2159788" maxValue="2197088" count="12">
        <n v="2159788"/>
        <n v="2163995"/>
        <n v="2173561"/>
        <n v="2174666"/>
        <n v="2175770"/>
        <n v="2176493"/>
        <n v="2181793"/>
        <n v="2187067"/>
        <n v="2190171"/>
        <n v="2192411"/>
        <n v="2197088"/>
        <n v="2196482"/>
      </sharedItems>
    </cacheField>
    <cacheField name="60+" numFmtId="0">
      <sharedItems containsSemiMixedTypes="0" containsString="0" containsNumber="1" containsInteger="1" minValue="1193887" maxValue="1408649" count="12">
        <n v="1193887"/>
        <n v="1213536"/>
        <n v="1232827"/>
        <n v="1248364"/>
        <n v="1264207"/>
        <n v="1284260"/>
        <n v="1299996"/>
        <n v="1320404"/>
        <n v="1341578"/>
        <n v="1362420"/>
        <n v="1388838"/>
        <n v="1408649"/>
      </sharedItems>
    </cacheField>
  </cacheFields>
  <extLst>
    <ext xmlns:x14="http://schemas.microsoft.com/office/spreadsheetml/2009/9/main" uri="{725AE2AE-9491-48be-B2B4-4EB974FC3084}">
      <x14:pivotCacheDefinition pivotCacheId="2040399337"/>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88.652225578706" createdVersion="6" refreshedVersion="6" minRefreshableVersion="3" recordCount="54" xr:uid="{00000000-000A-0000-FFFF-FFFF26000000}">
  <cacheSource type="worksheet">
    <worksheetSource ref="A4:I58" sheet="T14b"/>
  </cacheSource>
  <cacheFields count="9">
    <cacheField name="Who" numFmtId="0">
      <sharedItems count="2">
        <s v="Non FRS personnel"/>
        <s v="FRS personnel"/>
      </sharedItems>
    </cacheField>
    <cacheField name="Pub_fatalCode" numFmtId="0">
      <sharedItems containsSemiMixedTypes="0" containsString="0" containsNumber="1" containsInteger="1" minValue="1" maxValue="8" count="6">
        <n v="1"/>
        <n v="2"/>
        <n v="3"/>
        <n v="6"/>
        <n v="8"/>
        <n v="4"/>
      </sharedItems>
    </cacheField>
    <cacheField name="Pub_fataldescription" numFmtId="0">
      <sharedItems count="6">
        <s v="Burns"/>
        <s v="Combination of burns and overcome by gas/smoke"/>
        <s v="Overcome by gas, smoke or toxic fumes"/>
        <s v="Other specified"/>
        <s v="Unspecified"/>
        <s v="Physical injuries"/>
      </sharedItems>
    </cacheField>
    <cacheField name="Year" numFmtId="0">
      <sharedItems count="12">
        <s v="2009-10"/>
        <s v="2010-11"/>
        <s v="2011-12"/>
        <s v="2012-13"/>
        <s v="2013-14"/>
        <s v="2014-15"/>
        <s v="2015-16"/>
        <s v="2016-17"/>
        <s v="2017-18"/>
        <s v="2018-19"/>
        <s v="2019-20"/>
        <s v="2020-21"/>
      </sharedItems>
    </cacheField>
    <cacheField name="Total_Fatal" numFmtId="0">
      <sharedItems containsSemiMixedTypes="0" containsString="0" containsNumber="1" containsInteger="1" minValue="1" maxValue="27" count="21">
        <n v="13"/>
        <n v="10"/>
        <n v="22"/>
        <n v="3"/>
        <n v="1"/>
        <n v="11"/>
        <n v="6"/>
        <n v="7"/>
        <n v="18"/>
        <n v="27"/>
        <n v="12"/>
        <n v="4"/>
        <n v="14"/>
        <n v="24"/>
        <n v="9"/>
        <n v="15"/>
        <n v="5"/>
        <n v="20"/>
        <n v="2"/>
        <n v="17"/>
        <n v="8"/>
      </sharedItems>
    </cacheField>
    <cacheField name="Females" numFmtId="0">
      <sharedItems containsSemiMixedTypes="0" containsString="0" containsNumber="1" containsInteger="1" minValue="2699931" maxValue="2800788" count="12">
        <n v="2699931"/>
        <n v="2713982"/>
        <n v="2729600"/>
        <n v="2736310"/>
        <n v="2741020"/>
        <n v="2751070"/>
        <n v="2762531"/>
        <n v="2777197"/>
        <n v="2784500"/>
        <n v="2789349"/>
        <n v="2800297"/>
        <n v="2800788"/>
      </sharedItems>
    </cacheField>
    <cacheField name="Males" numFmtId="0">
      <sharedItems containsSemiMixedTypes="0" containsString="0" containsNumber="1" containsInteger="1" minValue="2531969" maxValue="2665212" count="12">
        <n v="2531969"/>
        <n v="2548218"/>
        <n v="2570300"/>
        <n v="2577290"/>
        <n v="2586680"/>
        <n v="2596530"/>
        <n v="2610469"/>
        <n v="2627503"/>
        <n v="2640300"/>
        <n v="2648751"/>
        <n v="2663003"/>
        <n v="2665212"/>
      </sharedItems>
    </cacheField>
    <cacheField name="Female" numFmtId="0">
      <sharedItems containsString="0" containsBlank="1" containsNumber="1" containsInteger="1" minValue="1" maxValue="11" count="10">
        <n v="8"/>
        <n v="5"/>
        <n v="1"/>
        <m/>
        <n v="4"/>
        <n v="3"/>
        <n v="6"/>
        <n v="11"/>
        <n v="7"/>
        <n v="2"/>
      </sharedItems>
    </cacheField>
    <cacheField name="Male" numFmtId="0">
      <sharedItems containsString="0" containsBlank="1" containsNumber="1" containsInteger="1" minValue="1" maxValue="18" count="17">
        <n v="5"/>
        <n v="17"/>
        <n v="2"/>
        <n v="1"/>
        <n v="8"/>
        <n v="7"/>
        <n v="6"/>
        <n v="3"/>
        <n v="4"/>
        <n v="12"/>
        <n v="16"/>
        <m/>
        <n v="18"/>
        <n v="9"/>
        <n v="14"/>
        <n v="15"/>
        <n v="13"/>
      </sharedItems>
    </cacheField>
  </cacheFields>
  <extLst>
    <ext xmlns:x14="http://schemas.microsoft.com/office/spreadsheetml/2009/9/main" uri="{725AE2AE-9491-48be-B2B4-4EB974FC3084}">
      <x14:pivotCacheDefinition pivotCacheId="2040399340"/>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4050926" createdVersion="6" refreshedVersion="6" minRefreshableVersion="3" recordCount="385" xr:uid="{00000000-000A-0000-FFFF-FFFF03000000}">
  <cacheSource type="worksheet">
    <worksheetSource ref="A4:E389" sheet="T11a"/>
  </cacheSource>
  <cacheFields count="5">
    <cacheField name="Year" numFmtId="0">
      <sharedItems count="12">
        <s v="2009-10"/>
        <s v="2010-11"/>
        <s v="2011-12"/>
        <s v="2012-13"/>
        <s v="2013-14"/>
        <s v="2014-15"/>
        <s v="2015-16"/>
        <s v="2016-17"/>
        <s v="2017-18"/>
        <s v="2018-19"/>
        <s v="2019-20"/>
        <s v="2020-21"/>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Accidental" numFmtId="0">
      <sharedItems containsSemiMixedTypes="0" containsString="0" containsNumber="1" containsInteger="1" minValue="1" maxValue="1573"/>
    </cacheField>
    <cacheField name="Deliberate" numFmtId="0">
      <sharedItems containsString="0" containsBlank="1" containsNumber="1" containsInteger="1" minValue="1" maxValue="846"/>
    </cacheField>
    <cacheField name="pop" numFmtId="0">
      <sharedItems containsString="0" containsBlank="1" containsNumber="1" containsInteger="1" minValue="20940" maxValue="635640"/>
    </cacheField>
  </cacheFields>
  <extLst>
    <ext xmlns:x14="http://schemas.microsoft.com/office/spreadsheetml/2009/9/main" uri="{725AE2AE-9491-48be-B2B4-4EB974FC3084}">
      <x14:pivotCacheDefinition pivotCacheId="2040399323"/>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88.656790624998" createdVersion="6" refreshedVersion="6" minRefreshableVersion="3" recordCount="24" xr:uid="{00000000-000A-0000-FFFF-FFFF27000000}">
  <cacheSource type="worksheet">
    <worksheetSource ref="A4:G28" sheet="T14a"/>
  </cacheSource>
  <cacheFields count="7">
    <cacheField name="who" numFmtId="0">
      <sharedItems count="2">
        <s v="FRS personnel"/>
        <s v="Non FRS personnel"/>
      </sharedItems>
    </cacheField>
    <cacheField name="Year" numFmtId="0">
      <sharedItems count="12">
        <s v="2009-10"/>
        <s v="2010-11"/>
        <s v="2011-12"/>
        <s v="2012-13"/>
        <s v="2013-14"/>
        <s v="2014-15"/>
        <s v="2015-16"/>
        <s v="2016-17"/>
        <s v="2017-18"/>
        <s v="2018-19"/>
        <s v="2019-20"/>
        <s v="2020-21"/>
      </sharedItems>
    </cacheField>
    <cacheField name="Total_Nonfatal" numFmtId="0">
      <sharedItems containsSemiMixedTypes="0" containsString="0" containsNumber="1" containsInteger="1" minValue="8" maxValue="1386" count="20">
        <n v="18"/>
        <n v="28"/>
        <n v="15"/>
        <n v="12"/>
        <n v="10"/>
        <n v="21"/>
        <n v="13"/>
        <n v="8"/>
        <n v="1205"/>
        <n v="1304"/>
        <n v="1386"/>
        <n v="1301"/>
        <n v="1295"/>
        <n v="1087"/>
        <n v="1266"/>
        <n v="1248"/>
        <n v="1088"/>
        <n v="1176"/>
        <n v="1014"/>
        <n v="1009"/>
      </sharedItems>
    </cacheField>
    <cacheField name="Female" numFmtId="0">
      <sharedItems containsString="0" containsBlank="1" containsNumber="1" containsInteger="1" minValue="1" maxValue="649" count="15">
        <m/>
        <n v="1"/>
        <n v="2"/>
        <n v="523"/>
        <n v="570"/>
        <n v="649"/>
        <n v="597"/>
        <n v="574"/>
        <n v="463"/>
        <n v="551"/>
        <n v="548"/>
        <n v="478"/>
        <n v="512"/>
        <n v="437"/>
        <n v="422"/>
      </sharedItems>
    </cacheField>
    <cacheField name="Male" numFmtId="0">
      <sharedItems containsSemiMixedTypes="0" containsString="0" containsNumber="1" containsInteger="1" minValue="5" maxValue="729" count="21">
        <n v="18"/>
        <n v="28"/>
        <n v="14"/>
        <n v="12"/>
        <n v="8"/>
        <n v="17"/>
        <n v="23"/>
        <n v="20"/>
        <n v="5"/>
        <n v="672"/>
        <n v="729"/>
        <n v="714"/>
        <n v="697"/>
        <n v="706"/>
        <n v="617"/>
        <n v="710"/>
        <n v="695"/>
        <n v="599"/>
        <n v="647"/>
        <n v="555"/>
        <n v="554"/>
      </sharedItems>
    </cacheField>
    <cacheField name="Not known" numFmtId="0">
      <sharedItems containsString="0" containsBlank="1" containsNumber="1" containsInteger="1" minValue="1" maxValue="33" count="12">
        <m/>
        <n v="1"/>
        <n v="3"/>
        <n v="7"/>
        <n v="4"/>
        <n v="21"/>
        <n v="8"/>
        <n v="6"/>
        <n v="5"/>
        <n v="10"/>
        <n v="16"/>
        <n v="33"/>
      </sharedItems>
    </cacheField>
    <cacheField name="Not specified" numFmtId="0">
      <sharedItems containsString="0" containsBlank="1" containsNumber="1" containsInteger="1" minValue="1" maxValue="7" count="6">
        <m/>
        <n v="1"/>
        <n v="3"/>
        <n v="2"/>
        <n v="7"/>
        <n v="6"/>
      </sharedItems>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88.658237268515" createdVersion="6" refreshedVersion="6" minRefreshableVersion="3" recordCount="13" xr:uid="{00000000-000A-0000-FFFF-FFFF28000000}">
  <cacheSource type="worksheet">
    <worksheetSource ref="A4:E17" sheet="T14"/>
  </cacheSource>
  <cacheFields count="5">
    <cacheField name="Who" numFmtId="0">
      <sharedItems count="2">
        <s v="FRS personnel"/>
        <s v="Non FRS personnel"/>
      </sharedItems>
    </cacheField>
    <cacheField name="Year" numFmtId="0">
      <sharedItems count="12">
        <s v="2009-10"/>
        <s v="2010-11"/>
        <s v="2011-12"/>
        <s v="2012-13"/>
        <s v="2013-14"/>
        <s v="2014-15"/>
        <s v="2015-16"/>
        <s v="2016-17"/>
        <s v="2017-18"/>
        <s v="2018-19"/>
        <s v="2019-20"/>
        <s v="2020-21"/>
      </sharedItems>
    </cacheField>
    <cacheField name="Total_Fatal" numFmtId="0">
      <sharedItems containsSemiMixedTypes="0" containsString="0" containsNumber="1" containsInteger="1" minValue="1" maxValue="61" count="11">
        <n v="1"/>
        <n v="61"/>
        <n v="52"/>
        <n v="59"/>
        <n v="46"/>
        <n v="31"/>
        <n v="40"/>
        <n v="45"/>
        <n v="44"/>
        <n v="27"/>
        <n v="53"/>
      </sharedItems>
    </cacheField>
    <cacheField name="Female" numFmtId="0">
      <sharedItems containsString="0" containsBlank="1" containsNumber="1" containsInteger="1" minValue="7" maxValue="24" count="11">
        <m/>
        <n v="24"/>
        <n v="17"/>
        <n v="21"/>
        <n v="23"/>
        <n v="18"/>
        <n v="16"/>
        <n v="20"/>
        <n v="15"/>
        <n v="7"/>
        <n v="13"/>
      </sharedItems>
    </cacheField>
    <cacheField name="Male" numFmtId="0">
      <sharedItems containsSemiMixedTypes="0" containsString="0" containsNumber="1" containsInteger="1" minValue="1" maxValue="40" count="13">
        <n v="1"/>
        <n v="37"/>
        <n v="35"/>
        <n v="38"/>
        <n v="23"/>
        <n v="13"/>
        <n v="24"/>
        <n v="25"/>
        <n v="28"/>
        <n v="26"/>
        <n v="29"/>
        <n v="20"/>
        <n v="40"/>
      </sharedItems>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88.664281481484" createdVersion="6" refreshedVersion="6" minRefreshableVersion="3" recordCount="134" xr:uid="{00000000-000A-0000-FFFF-FFFF29000000}">
  <cacheSource type="worksheet">
    <worksheetSource ref="A4:J138" sheet="T14c"/>
  </cacheSource>
  <cacheFields count="10">
    <cacheField name="Year" numFmtId="0">
      <sharedItems count="12">
        <s v="2009-10"/>
        <s v="2010-11"/>
        <s v="2011-12"/>
        <s v="2012-13"/>
        <s v="2013-14"/>
        <s v="2014-15"/>
        <s v="2015-16"/>
        <s v="2016-17"/>
        <s v="2017-18"/>
        <s v="2018-19"/>
        <s v="2019-20"/>
        <s v="2020-21"/>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Females" numFmtId="0">
      <sharedItems containsSemiMixedTypes="0" containsString="0" containsNumber="1" containsInteger="1" minValue="2699931" maxValue="2800788" count="12">
        <n v="2699931"/>
        <n v="2713982"/>
        <n v="2729600"/>
        <n v="2736310"/>
        <n v="2741020"/>
        <n v="2751070"/>
        <n v="2762531"/>
        <n v="2777197"/>
        <n v="2784500"/>
        <n v="2789349"/>
        <n v="2800297"/>
        <n v="2800788"/>
      </sharedItems>
    </cacheField>
    <cacheField name="Males" numFmtId="0">
      <sharedItems containsSemiMixedTypes="0" containsString="0" containsNumber="1" containsInteger="1" minValue="2531969" maxValue="2665212" count="12">
        <n v="2531969"/>
        <n v="2548218"/>
        <n v="2570300"/>
        <n v="2577290"/>
        <n v="2586680"/>
        <n v="2596530"/>
        <n v="2610469"/>
        <n v="2627503"/>
        <n v="2640300"/>
        <n v="2648751"/>
        <n v="2663003"/>
        <n v="2665212"/>
      </sharedItems>
    </cacheField>
    <cacheField name="Female" numFmtId="0">
      <sharedItems containsString="0" containsBlank="1" containsNumber="1" containsInteger="1" minValue="1" maxValue="343"/>
    </cacheField>
    <cacheField name="Male" numFmtId="0">
      <sharedItems containsString="0" containsBlank="1" containsNumber="1" containsInteger="1" minValue="1" maxValue="405"/>
    </cacheField>
    <cacheField name="Not known" numFmtId="0">
      <sharedItems containsString="0" containsBlank="1" containsNumber="1" containsInteger="1" minValue="1" maxValue="26" count="11">
        <m/>
        <n v="5"/>
        <n v="1"/>
        <n v="4"/>
        <n v="17"/>
        <n v="3"/>
        <n v="2"/>
        <n v="8"/>
        <n v="16"/>
        <n v="11"/>
        <n v="26"/>
      </sharedItems>
    </cacheField>
    <cacheField name="Not specified" numFmtId="0">
      <sharedItems containsString="0" containsBlank="1" containsNumber="1" containsInteger="1" minValue="1" maxValue="6" count="5">
        <m/>
        <n v="1"/>
        <n v="2"/>
        <n v="5"/>
        <n v="6"/>
      </sharedItems>
    </cacheField>
  </cacheFields>
  <extLst>
    <ext xmlns:x14="http://schemas.microsoft.com/office/spreadsheetml/2009/9/main" uri="{725AE2AE-9491-48be-B2B4-4EB974FC3084}">
      <x14:pivotCacheDefinition pivotCacheId="2040399341"/>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0.542398032405" createdVersion="6" refreshedVersion="6" minRefreshableVersion="3" recordCount="134" xr:uid="{00000000-000A-0000-FFFF-FFFF2A000000}">
  <cacheSource type="worksheet">
    <worksheetSource ref="A4:O138" sheet="T17c"/>
  </cacheSource>
  <cacheFields count="15">
    <cacheField name="a.Year" numFmtId="0">
      <sharedItems count="12">
        <s v="2009-10"/>
        <s v="2010-11"/>
        <s v="2011-12"/>
        <s v="2012-13"/>
        <s v="2013-14"/>
        <s v="2014-15"/>
        <s v="2015-16"/>
        <s v="2016-17"/>
        <s v="2017-18"/>
        <s v="2018-19"/>
        <s v="2019-20"/>
        <s v="2020-21"/>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a.0-16" numFmtId="0">
      <sharedItems containsString="0" containsBlank="1" containsNumber="1" containsInteger="1" minValue="1" maxValue="61"/>
    </cacheField>
    <cacheField name="a.17-29" numFmtId="0">
      <sharedItems containsString="0" containsBlank="1" containsNumber="1" containsInteger="1" minValue="1" maxValue="130"/>
    </cacheField>
    <cacheField name="a.30-59" numFmtId="0">
      <sharedItems containsString="0" containsBlank="1" containsNumber="1" containsInteger="1" minValue="1" maxValue="349"/>
    </cacheField>
    <cacheField name="a.60+" numFmtId="0">
      <sharedItems containsString="0" containsBlank="1" containsNumber="1" containsInteger="1" minValue="1" maxValue="221"/>
    </cacheField>
    <cacheField name="Unknown" numFmtId="0">
      <sharedItems containsString="0" containsBlank="1" containsNumber="1" containsInteger="1" minValue="1" maxValue="58"/>
    </cacheField>
    <cacheField name="b.Year" numFmtId="0">
      <sharedItems/>
    </cacheField>
    <cacheField name="Total" numFmtId="0">
      <sharedItems containsSemiMixedTypes="0" containsString="0" containsNumber="1" containsInteger="1" minValue="5231900" maxValue="5466000"/>
    </cacheField>
    <cacheField name="b.0-16" numFmtId="0">
      <sharedItems containsSemiMixedTypes="0" containsString="0" containsNumber="1" containsInteger="1" minValue="970875" maxValue="984309"/>
    </cacheField>
    <cacheField name="b.17-29" numFmtId="0">
      <sharedItems containsSemiMixedTypes="0" containsString="0" containsNumber="1" containsInteger="1" minValue="888196" maxValue="924449"/>
    </cacheField>
    <cacheField name="b.30-59" numFmtId="0">
      <sharedItems containsSemiMixedTypes="0" containsString="0" containsNumber="1" containsInteger="1" minValue="2159788" maxValue="2197088"/>
    </cacheField>
    <cacheField name="b.60+" numFmtId="0">
      <sharedItems containsSemiMixedTypes="0" containsString="0" containsNumber="1" containsInteger="1" minValue="1193887" maxValue="1408649"/>
    </cacheField>
  </cacheFields>
  <extLst>
    <ext xmlns:x14="http://schemas.microsoft.com/office/spreadsheetml/2009/9/main" uri="{725AE2AE-9491-48be-B2B4-4EB974FC3084}">
      <x14:pivotCacheDefinition pivotCacheId="2040399342"/>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0.595760416669" createdVersion="6" refreshedVersion="6" minRefreshableVersion="3" recordCount="386" xr:uid="{00000000-000A-0000-FFFF-FFFF2B000000}">
  <cacheSource type="worksheet">
    <worksheetSource ref="A1:C387" sheet="Tufas"/>
  </cacheSource>
  <cacheFields count="3">
    <cacheField name="Fiscal_Yr_New" numFmtId="0">
      <sharedItems count="12">
        <s v="2014-15"/>
        <s v="2012-13"/>
        <s v="2011-12"/>
        <s v="2019-20"/>
        <s v="2010-11"/>
        <s v="2016-17"/>
        <s v="2009-10"/>
        <s v="2018-19"/>
        <s v="2013-14"/>
        <s v="2015-16"/>
        <s v="2017-18"/>
        <s v="2020-21"/>
      </sharedItems>
    </cacheField>
    <cacheField name="Council" numFmtId="0">
      <sharedItems count="33">
        <s v="NULL"/>
        <s v="Aberdeen City"/>
        <s v="Aberdeenshire"/>
        <s v="Angus"/>
        <s v="Argyll and Bute"/>
        <s v="City of Edinburgh"/>
        <s v="Clackmannanshire"/>
        <s v="Dumfries and Galloway"/>
        <s v="Dundee City"/>
        <s v="East Ayrshire"/>
        <s v="East Dunbartonshire"/>
        <s v="East Renfrewshire"/>
        <s v="Falkirk"/>
        <s v="Fife"/>
        <s v="Highland"/>
        <s v="Midlothian"/>
        <s v="Na h-Eileanan Siar"/>
        <s v="North Ayrshire"/>
        <s v="North Lanarkshire"/>
        <s v="Perth and Kinross"/>
        <s v="Scottish Borders"/>
        <s v="Shetland Islands"/>
        <s v="Stirling"/>
        <s v="West Dunbartonshire"/>
        <s v="West Lothian"/>
        <s v="East Lothian"/>
        <s v="Glasgow City"/>
        <s v="Inverclyde"/>
        <s v="Moray"/>
        <s v="Orkney Islands"/>
        <s v="Renfrewshire"/>
        <s v="South Ayrshire"/>
        <s v="South Lanarkshire"/>
      </sharedItems>
    </cacheField>
    <cacheField name="Total" numFmtId="0">
      <sharedItems containsSemiMixedTypes="0" containsString="0" containsNumber="1" containsInteger="1" minValue="1" maxValue="7263"/>
    </cacheField>
  </cacheFields>
  <extLst>
    <ext xmlns:x14="http://schemas.microsoft.com/office/spreadsheetml/2009/9/main" uri="{725AE2AE-9491-48be-B2B4-4EB974FC3084}">
      <x14:pivotCacheDefinition pivotCacheId="2040399343"/>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4.659217361113" createdVersion="6" refreshedVersion="6" minRefreshableVersion="3" recordCount="24" xr:uid="{00000000-000A-0000-FFFF-FFFF2C000000}">
  <cacheSource type="worksheet">
    <worksheetSource ref="A4:G28" sheet="T11f"/>
  </cacheSource>
  <cacheFields count="7">
    <cacheField name="Pub_cause_txt" numFmtId="0">
      <sharedItems count="2">
        <s v="Accidental"/>
        <s v="Deliberate"/>
      </sharedItems>
    </cacheField>
    <cacheField name="Year" numFmtId="0">
      <sharedItems count="12">
        <s v="2009-10"/>
        <s v="2010-11"/>
        <s v="2011-12"/>
        <s v="2012-13"/>
        <s v="2013-14"/>
        <s v="2014-15"/>
        <s v="2015-16"/>
        <s v="2016-17"/>
        <s v="2017-18"/>
        <s v="2018-19"/>
        <s v="2019-20"/>
        <s v="2020-21"/>
      </sharedItems>
    </cacheField>
    <cacheField name="Total_Fatal_Casulaties" numFmtId="0">
      <sharedItems containsSemiMixedTypes="0" containsString="0" containsNumber="1" containsInteger="1" minValue="2" maxValue="55"/>
    </cacheField>
    <cacheField name="1:Dwelling" numFmtId="0">
      <sharedItems containsString="0" containsBlank="1" containsNumber="1" containsInteger="1" minValue="2" maxValue="48"/>
    </cacheField>
    <cacheField name="2:Other Buildings" numFmtId="0">
      <sharedItems containsString="0" containsBlank="1" containsNumber="1" containsInteger="1" minValue="1" maxValue="4"/>
    </cacheField>
    <cacheField name="3:Road Vehicle" numFmtId="0">
      <sharedItems containsString="0" containsBlank="1" containsNumber="1" containsInteger="1" minValue="1" maxValue="4"/>
    </cacheField>
    <cacheField name="4:Others" numFmtId="0">
      <sharedItems containsString="0" containsBlank="1" containsNumber="1" containsInteger="1" minValue="1" maxValue="3"/>
    </cacheField>
  </cacheFields>
  <extLst>
    <ext xmlns:x14="http://schemas.microsoft.com/office/spreadsheetml/2009/9/main" uri="{725AE2AE-9491-48be-B2B4-4EB974FC3084}">
      <x14:pivotCacheDefinition/>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5.399639699077" createdVersion="6" refreshedVersion="6" minRefreshableVersion="3" recordCount="134" xr:uid="{00000000-000A-0000-FFFF-FFFF2D000000}">
  <cacheSource type="worksheet">
    <worksheetSource ref="A4:I138" sheet="T16c"/>
  </cacheSource>
  <cacheFields count="9">
    <cacheField name="Year" numFmtId="0">
      <sharedItems count="12">
        <s v="2009-10"/>
        <s v="2010-11"/>
        <s v="2011-12"/>
        <s v="2012-13"/>
        <s v="2013-14"/>
        <s v="2014-15"/>
        <s v="2015-16"/>
        <s v="2016-17"/>
        <s v="2017-18"/>
        <s v="2018-19"/>
        <s v="2019-20"/>
        <s v="2020-21"/>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0-16" numFmtId="0">
      <sharedItems containsString="0" containsBlank="1" containsNumber="1" containsInteger="1" minValue="1" maxValue="61"/>
    </cacheField>
    <cacheField name="17-29" numFmtId="0">
      <sharedItems containsString="0" containsBlank="1" containsNumber="1" containsInteger="1" minValue="1" maxValue="130"/>
    </cacheField>
    <cacheField name="30-59" numFmtId="0">
      <sharedItems containsString="0" containsBlank="1" containsNumber="1" containsInteger="1" minValue="1" maxValue="349"/>
    </cacheField>
    <cacheField name="60+" numFmtId="0">
      <sharedItems containsString="0" containsBlank="1" containsNumber="1" containsInteger="1" minValue="1" maxValue="221"/>
    </cacheField>
    <cacheField name="Unknown" numFmtId="0">
      <sharedItems containsString="0" containsBlank="1" containsNumber="1" containsInteger="1" minValue="1" maxValue="58"/>
    </cacheField>
  </cacheFields>
  <extLst>
    <ext xmlns:x14="http://schemas.microsoft.com/office/spreadsheetml/2009/9/main" uri="{725AE2AE-9491-48be-B2B4-4EB974FC3084}">
      <x14:pivotCacheDefinition pivotCacheId="2040399344"/>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5.410315740737" createdVersion="6" refreshedVersion="6" minRefreshableVersion="3" recordCount="36" xr:uid="{00000000-000A-0000-FFFF-FFFF2E000000}">
  <cacheSource type="worksheet">
    <worksheetSource ref="A4:H40" sheet="T19"/>
  </cacheSource>
  <cacheFields count="8">
    <cacheField name="Year" numFmtId="0">
      <sharedItems count="12">
        <s v="2009-10"/>
        <s v="2010-11"/>
        <s v="2011-12"/>
        <s v="2012-13"/>
        <s v="2013-14"/>
        <s v="2014-15"/>
        <s v="2015-16"/>
        <s v="2016-17"/>
        <s v="2017-18"/>
        <s v="2018-19"/>
        <s v="2019-20"/>
        <s v="2020-21"/>
      </sharedItems>
    </cacheField>
    <cacheField name="Type" numFmtId="0">
      <sharedItems count="3">
        <s v="Dwelling: Fatal"/>
        <s v="Dwelling: Nonfatal"/>
        <s v="Dwelling: Primary fires"/>
      </sharedItems>
    </cacheField>
    <cacheField name="Total" numFmtId="0">
      <sharedItems containsSemiMixedTypes="0" containsString="0" containsNumber="1" containsInteger="1" minValue="21" maxValue="6560"/>
    </cacheField>
    <cacheField name="1Present, operated and raised the alarm" numFmtId="0">
      <sharedItems containsSemiMixedTypes="0" containsString="0" containsNumber="1" containsInteger="1" minValue="6" maxValue="2953"/>
    </cacheField>
    <cacheField name="2Present, operated but did not raise the alarm" numFmtId="0">
      <sharedItems containsSemiMixedTypes="0" containsString="0" containsNumber="1" containsInteger="1" minValue="3" maxValue="531"/>
    </cacheField>
    <cacheField name="3Present but did not operate" numFmtId="0">
      <sharedItems containsSemiMixedTypes="0" containsString="0" containsNumber="1" containsInteger="1" minValue="3" maxValue="847"/>
    </cacheField>
    <cacheField name="4Smoke alarm absent" numFmtId="0">
      <sharedItems containsSemiMixedTypes="0" containsString="0" containsNumber="1" containsInteger="1" minValue="3" maxValue="2472"/>
    </cacheField>
    <cacheField name="5Don't know if smoke alarm was present" numFmtId="0">
      <sharedItems containsString="0" containsBlank="1" containsNumber="1" containsInteger="1" minValue="2" maxValue="240"/>
    </cacheField>
  </cacheFields>
  <extLst>
    <ext xmlns:x14="http://schemas.microsoft.com/office/spreadsheetml/2009/9/main" uri="{725AE2AE-9491-48be-B2B4-4EB974FC3084}">
      <x14:pivotCacheDefinition/>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5.41085763889" createdVersion="6" refreshedVersion="6" minRefreshableVersion="3" recordCount="385" xr:uid="{00000000-000A-0000-FFFF-FFFF2F000000}">
  <cacheSource type="worksheet">
    <worksheetSource ref="A4:AA389" sheet="T19a"/>
  </cacheSource>
  <cacheFields count="27">
    <cacheField name="a.Year" numFmtId="0">
      <sharedItems count="12">
        <s v="2009-10"/>
        <s v="2010-11"/>
        <s v="2011-12"/>
        <s v="2012-13"/>
        <s v="2013-14"/>
        <s v="2014-15"/>
        <s v="2015-16"/>
        <s v="2016-17"/>
        <s v="2017-18"/>
        <s v="2018-19"/>
        <s v="2019-20"/>
        <s v="2020-21"/>
      </sharedItems>
    </cacheField>
    <cacheField name="a.Type" numFmtId="0">
      <sharedItems/>
    </cacheField>
    <cacheField name="a.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a.Total" numFmtId="0">
      <sharedItems containsSemiMixedTypes="0" containsString="0" containsNumber="1" containsInteger="1" minValue="1" maxValue="1284"/>
    </cacheField>
    <cacheField name="a.1Present, operated and raised the alarm" numFmtId="0">
      <sharedItems containsString="0" containsBlank="1" containsNumber="1" containsInteger="1" minValue="1" maxValue="582"/>
    </cacheField>
    <cacheField name="a.2Present, operated but did not raise the alarm" numFmtId="0">
      <sharedItems containsString="0" containsBlank="1" containsNumber="1" containsInteger="1" minValue="1" maxValue="82"/>
    </cacheField>
    <cacheField name="a.3Present but did not operate" numFmtId="0">
      <sharedItems containsString="0" containsBlank="1" containsNumber="1" containsInteger="1" minValue="1" maxValue="156"/>
    </cacheField>
    <cacheField name="a.4Smoke alarm absent" numFmtId="0">
      <sharedItems containsString="0" containsBlank="1" containsNumber="1" containsInteger="1" minValue="1" maxValue="479"/>
    </cacheField>
    <cacheField name="a.5Don't know if smoke alarm was present" numFmtId="0">
      <sharedItems containsString="0" containsBlank="1" containsNumber="1" containsInteger="1" minValue="1" maxValue="56"/>
    </cacheField>
    <cacheField name="f.Year" numFmtId="0">
      <sharedItems containsBlank="1"/>
    </cacheField>
    <cacheField name="f.PubLANAME" numFmtId="0">
      <sharedItems containsBlank="1"/>
    </cacheField>
    <cacheField name="f.Type" numFmtId="0">
      <sharedItems containsBlank="1"/>
    </cacheField>
    <cacheField name="f.Total" numFmtId="0">
      <sharedItems containsString="0" containsBlank="1" containsNumber="1" containsInteger="1" minValue="1" maxValue="12"/>
    </cacheField>
    <cacheField name="f.1Present, operated and raised the alarm" numFmtId="0">
      <sharedItems containsString="0" containsBlank="1" containsNumber="1" containsInteger="1" minValue="1" maxValue="5"/>
    </cacheField>
    <cacheField name="f.2Present, operated but did not raise the alarm" numFmtId="0">
      <sharedItems containsString="0" containsBlank="1" containsNumber="1" containsInteger="1" minValue="1" maxValue="2"/>
    </cacheField>
    <cacheField name="f.3Present but did not operate" numFmtId="0">
      <sharedItems containsString="0" containsBlank="1" containsNumber="1" containsInteger="1" minValue="1" maxValue="2"/>
    </cacheField>
    <cacheField name="f.4Smoke alarm absent" numFmtId="0">
      <sharedItems containsString="0" containsBlank="1" containsNumber="1" containsInteger="1" minValue="1" maxValue="3"/>
    </cacheField>
    <cacheField name="f.5Don't know if smoke alarm was present" numFmtId="0">
      <sharedItems containsString="0" containsBlank="1" containsNumber="1" containsInteger="1" minValue="1" maxValue="3"/>
    </cacheField>
    <cacheField name="n.Year" numFmtId="0">
      <sharedItems containsBlank="1"/>
    </cacheField>
    <cacheField name="n.PubLANAME" numFmtId="0">
      <sharedItems containsBlank="1"/>
    </cacheField>
    <cacheField name="n.Type" numFmtId="0">
      <sharedItems containsBlank="1"/>
    </cacheField>
    <cacheField name="n.Total" numFmtId="0">
      <sharedItems containsString="0" containsBlank="1" containsNumber="1" containsInteger="1" minValue="1" maxValue="227"/>
    </cacheField>
    <cacheField name="n.1Present, operated and raised the alarm" numFmtId="0">
      <sharedItems containsString="0" containsBlank="1" containsNumber="1" containsInteger="1" minValue="1" maxValue="127"/>
    </cacheField>
    <cacheField name="n.2Present, operated but did not raise the alarm" numFmtId="0">
      <sharedItems containsString="0" containsBlank="1" containsNumber="1" containsInteger="1" minValue="1" maxValue="24"/>
    </cacheField>
    <cacheField name="n.3Present but did not operate" numFmtId="0">
      <sharedItems containsString="0" containsBlank="1" containsNumber="1" containsInteger="1" minValue="1" maxValue="30"/>
    </cacheField>
    <cacheField name="n.4Smoke alarm absent" numFmtId="0">
      <sharedItems containsString="0" containsBlank="1" containsNumber="1" containsInteger="1" minValue="1" maxValue="91"/>
    </cacheField>
    <cacheField name="n.5Don't know if smoke alarm was present" numFmtId="0">
      <sharedItems containsString="0" containsBlank="1" containsNumber="1" containsInteger="1" minValue="1" maxValue="18"/>
    </cacheField>
  </cacheFields>
  <extLst>
    <ext xmlns:x14="http://schemas.microsoft.com/office/spreadsheetml/2009/9/main" uri="{725AE2AE-9491-48be-B2B4-4EB974FC3084}">
      <x14:pivotCacheDefinition pivotCacheId="2040399318"/>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5.414557060183" createdVersion="6" refreshedVersion="6" minRefreshableVersion="3" recordCount="24" xr:uid="{00000000-000A-0000-FFFF-FFFF30000000}">
  <cacheSource type="worksheet">
    <worksheetSource ref="A4:J28" sheet="T23"/>
  </cacheSource>
  <cacheFields count="10">
    <cacheField name="IS_PRIMARY_FIRE" numFmtId="0">
      <sharedItems count="2">
        <s v="yes"/>
        <s v="no"/>
      </sharedItems>
    </cacheField>
    <cacheField name="Year" numFmtId="0">
      <sharedItems count="12">
        <s v="2009-10"/>
        <s v="2010-11"/>
        <s v="2011-12"/>
        <s v="2012-13"/>
        <s v="2013-14"/>
        <s v="2014-15"/>
        <s v="2015-16"/>
        <s v="2016-17"/>
        <s v="2017-18"/>
        <s v="2018-19"/>
        <s v="2019-20"/>
        <s v="2020-21"/>
      </sharedItems>
    </cacheField>
    <cacheField name="Total" numFmtId="0">
      <sharedItems containsSemiMixedTypes="0" containsString="0" containsNumber="1" containsInteger="1" minValue="9367" maxValue="24189"/>
    </cacheField>
    <cacheField name="01" numFmtId="0">
      <sharedItems containsSemiMixedTypes="0" containsString="0" containsNumber="1" containsInteger="1" minValue="3241" maxValue="20475"/>
    </cacheField>
    <cacheField name="02" numFmtId="0">
      <sharedItems containsSemiMixedTypes="0" containsString="0" containsNumber="1" containsInteger="1" minValue="1148" maxValue="6021"/>
    </cacheField>
    <cacheField name="03-05" numFmtId="0">
      <sharedItems containsSemiMixedTypes="0" containsString="0" containsNumber="1" containsInteger="1" minValue="236" maxValue="2828"/>
    </cacheField>
    <cacheField name="06-10" numFmtId="0">
      <sharedItems containsString="0" containsBlank="1" containsNumber="1" containsInteger="1" minValue="1" maxValue="157"/>
    </cacheField>
    <cacheField name="11-15" numFmtId="0">
      <sharedItems containsString="0" containsBlank="1" containsNumber="1" containsInteger="1" minValue="1" maxValue="38"/>
    </cacheField>
    <cacheField name="16+" numFmtId="0">
      <sharedItems containsString="0" containsBlank="1" containsNumber="1" containsInteger="1" minValue="1" maxValue="37"/>
    </cacheField>
    <cacheField name="Unknown" numFmtId="0">
      <sharedItems containsSemiMixedTypes="0" containsString="0" containsNumber="1" containsInteger="1" minValue="1" maxValue="15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5208334" createdVersion="6" refreshedVersion="6" minRefreshableVersion="3" recordCount="385" xr:uid="{00000000-000A-0000-FFFF-FFFF04000000}">
  <cacheSource type="worksheet">
    <worksheetSource ref="A4:F389" sheet="T03b"/>
  </cacheSource>
  <cacheFields count="6">
    <cacheField name="Year" numFmtId="0">
      <sharedItems count="12">
        <s v="2009-10"/>
        <s v="2010-11"/>
        <s v="2011-12"/>
        <s v="2012-13"/>
        <s v="2013-14"/>
        <s v="2014-15"/>
        <s v="2015-16"/>
        <s v="2016-17"/>
        <s v="2017-18"/>
        <s v="2018-19"/>
        <s v="2019-20"/>
        <s v="2020-21"/>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1:Dwelling" numFmtId="0">
      <sharedItems containsSemiMixedTypes="0" containsString="0" containsNumber="1" containsInteger="1" minValue="1" maxValue="1284"/>
    </cacheField>
    <cacheField name="Total_ADF" numFmtId="0">
      <sharedItems containsSemiMixedTypes="0" containsString="0" containsNumber="1" containsInteger="1" minValue="1" maxValue="1004"/>
    </cacheField>
    <cacheField name="DDF" numFmtId="0">
      <sharedItems containsSemiMixedTypes="0" containsString="0" containsNumber="1" containsInteger="1" minValue="0" maxValue="281"/>
    </cacheField>
    <cacheField name="Dwellings" numFmtId="0">
      <sharedItems containsString="0" containsBlank="1" containsNumber="1" containsInteger="1" minValue="10190" maxValue="317193"/>
    </cacheField>
  </cacheFields>
  <extLst>
    <ext xmlns:x14="http://schemas.microsoft.com/office/spreadsheetml/2009/9/main" uri="{725AE2AE-9491-48be-B2B4-4EB974FC3084}">
      <x14:pivotCacheDefinition pivotCacheId="2040399317"/>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5.418506365742" createdVersion="6" refreshedVersion="6" minRefreshableVersion="3" recordCount="1021" xr:uid="{00000000-000A-0000-FFFF-FFFF31000000}">
  <cacheSource type="worksheet">
    <worksheetSource ref="A4:H1025" sheet="T02b"/>
  </cacheSource>
  <cacheFields count="8">
    <cacheField name="VICTIM_TYPE_DESCRIPTION" numFmtId="0">
      <sharedItems count="3">
        <s v="Exprecautionary"/>
        <s v="Fatality"/>
        <s v="Injured (incl. rescue with injury)"/>
      </sharedItems>
    </cacheField>
    <cacheField name="Year" numFmtId="0">
      <sharedItems count="12">
        <s v="2009-10"/>
        <s v="2010-11"/>
        <s v="2011-12"/>
        <s v="2012-13"/>
        <s v="2013-14"/>
        <s v="2014-15"/>
        <s v="2015-16"/>
        <s v="2016-17"/>
        <s v="2017-18"/>
        <s v="2018-19"/>
        <s v="2019-20"/>
        <s v="2020-21"/>
      </sharedItems>
    </cacheField>
    <cacheField name="PubLANAME"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outh Ayrshire"/>
        <s v="South Lanarkshire"/>
        <s v="Stirling"/>
        <s v="West Dunbartonshire"/>
        <s v="West Lothian"/>
        <s v="Shetland Islands"/>
      </sharedItems>
    </cacheField>
    <cacheField name="Total" numFmtId="0">
      <sharedItems containsSemiMixedTypes="0" containsString="0" containsNumber="1" containsInteger="1" minValue="1" maxValue="243"/>
    </cacheField>
    <cacheField name="1:Dwelling" numFmtId="0">
      <sharedItems containsString="0" containsBlank="1" containsNumber="1" containsInteger="1" minValue="1" maxValue="227"/>
    </cacheField>
    <cacheField name="2:Other Buildings" numFmtId="0">
      <sharedItems containsString="0" containsBlank="1" containsNumber="1" containsInteger="1" minValue="1" maxValue="22"/>
    </cacheField>
    <cacheField name="3:Road Vehicle" numFmtId="0">
      <sharedItems containsString="0" containsBlank="1" containsNumber="1" containsInteger="1" minValue="1" maxValue="12"/>
    </cacheField>
    <cacheField name="4:Others" numFmtId="0">
      <sharedItems containsString="0" containsBlank="1" containsNumber="1" containsInteger="1" minValue="1" maxValue="7"/>
    </cacheField>
  </cacheFields>
  <extLst>
    <ext xmlns:x14="http://schemas.microsoft.com/office/spreadsheetml/2009/9/main" uri="{725AE2AE-9491-48be-B2B4-4EB974FC3084}">
      <x14:pivotCacheDefinition pivotCacheId="2040399328"/>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5.41957337963" createdVersion="6" refreshedVersion="6" minRefreshableVersion="3" recordCount="718" xr:uid="{00000000-000A-0000-FFFF-FFFF32000000}">
  <cacheSource type="worksheet">
    <worksheetSource ref="A4:D722" sheet="T08v2caslong"/>
  </cacheSource>
  <cacheFields count="4">
    <cacheField name="Type" numFmtId="0">
      <sharedItems count="2">
        <s v="Fatal"/>
        <s v="Non-fatal"/>
      </sharedItems>
    </cacheField>
    <cacheField name="Year" numFmtId="0">
      <sharedItems count="12">
        <s v="2009-10"/>
        <s v="2010-11"/>
        <s v="2011-12"/>
        <s v="2012-13"/>
        <s v="2013-14"/>
        <s v="2014-15"/>
        <s v="2015-16"/>
        <s v="2016-17"/>
        <s v="2017-18"/>
        <s v="2018-19"/>
        <s v="2019-20"/>
        <s v="2020-21"/>
      </sharedItems>
    </cacheField>
    <cacheField name="Table6_location_v2" numFmtId="0">
      <sharedItems count="30">
        <s v="Dwelling:01:House/Bungalow"/>
        <s v="Dwelling:02:Flat/Maisonette"/>
        <s v="Dwelling:03:Tenement"/>
        <s v="Dwelling:04:HMO"/>
        <s v="Dwelling:05:HMO - unlicenced"/>
        <s v="Dwelling:06:Sheltered Housing - Self Contained"/>
        <s v="Dwelling:07:Caravan/Mobile Home"/>
        <s v="Dwelling:09:Other"/>
        <s v="Non-Residential:02:Private garages, sheds, etc"/>
        <s v="Non-Residential:03:Permanent Agricultural"/>
        <s v="Non-Residential:04:Industrial"/>
        <s v="Non-Residential:05:Warehouses and bulk storage"/>
        <s v="Non-Residential:06:Offices and call centres"/>
        <s v="Non-Residential:07:Public admin, security and safety"/>
        <s v="Non-Residential:08:Entertainment, Sport and Culture"/>
        <s v="Non-Residential:09:Food and Drink"/>
        <s v="Non-Residential:10:Retail"/>
        <s v="Non-Residential:11:Education"/>
        <s v="Non-Residential:12:Hospitals and medical care"/>
        <s v="Non-Residential:13:Others"/>
        <s v="Other Residential:01:Hotel/Motel"/>
        <s v="Other Residential:02:Hostel"/>
        <s v="Other Residential:03:Holiday Residence"/>
        <s v="Other Residential:04:Caravan (On-Site)"/>
        <s v="Other Residential:05:Residential Home"/>
        <s v="Other Residential:06:Student Accommodation"/>
        <s v="Other Residential:07:Boarding House/B&amp;B/Youth Hostel"/>
        <s v="Other Residential:08:Sheltered Housing - Not Self Contained"/>
        <s v="Other Residential:12:Other Residential Home"/>
        <s v="Other Residential:13:Other"/>
      </sharedItems>
    </cacheField>
    <cacheField name="Buildings_Total" numFmtId="0">
      <sharedItems containsString="0" containsBlank="1" containsNumber="1" containsInteger="1" minValue="1" maxValue="588"/>
    </cacheField>
  </cacheFields>
  <extLst>
    <ext xmlns:x14="http://schemas.microsoft.com/office/spreadsheetml/2009/9/main" uri="{725AE2AE-9491-48be-B2B4-4EB974FC3084}">
      <x14:pivotCacheDefinition pivotCacheId="2040399304"/>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5.420749421297" createdVersion="6" refreshedVersion="6" minRefreshableVersion="3" recordCount="761" xr:uid="{00000000-000A-0000-FFFF-FFFF33000000}">
  <cacheSource type="worksheet">
    <worksheetSource ref="A4:F765" sheet="T12"/>
  </cacheSource>
  <cacheFields count="6">
    <cacheField name="Pub_cause_txt" numFmtId="0">
      <sharedItems count="2">
        <s v="Accidental"/>
        <s v="Deliberate"/>
      </sharedItems>
    </cacheField>
    <cacheField name="Year" numFmtId="0">
      <sharedItems count="12">
        <s v="2009-10"/>
        <s v="2010-11"/>
        <s v="2011-12"/>
        <s v="2012-13"/>
        <s v="2013-14"/>
        <s v="2014-15"/>
        <s v="2015-16"/>
        <s v="2016-17"/>
        <s v="2017-18"/>
        <s v="2018-19"/>
        <s v="2019-20"/>
        <s v="2020-21"/>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1:fires" numFmtId="0">
      <sharedItems containsSemiMixedTypes="0" containsString="0" containsNumber="1" containsInteger="1" minValue="1" maxValue="1573"/>
    </cacheField>
    <cacheField name="2:fatal" numFmtId="0">
      <sharedItems containsString="0" containsBlank="1" containsNumber="1" containsInteger="1" minValue="1" maxValue="11"/>
    </cacheField>
    <cacheField name="3:nonfatal" numFmtId="0">
      <sharedItems containsString="0" containsBlank="1" containsNumber="1" containsInteger="1" minValue="1" maxValue="217"/>
    </cacheField>
  </cacheFields>
  <extLst>
    <ext xmlns:x14="http://schemas.microsoft.com/office/spreadsheetml/2009/9/main" uri="{725AE2AE-9491-48be-B2B4-4EB974FC3084}">
      <x14:pivotCacheDefinition pivotCacheId="2040399329"/>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5.45397303241" createdVersion="6" refreshedVersion="6" minRefreshableVersion="3" recordCount="48" xr:uid="{00000000-000A-0000-FFFF-FFFF34000000}">
  <cacheSource type="worksheet">
    <worksheetSource ref="A4:M52" sheet="T16d"/>
  </cacheSource>
  <cacheFields count="13">
    <cacheField name="Year" numFmtId="0">
      <sharedItems count="12">
        <s v="2009-10"/>
        <s v="2010-11"/>
        <s v="2011-12"/>
        <s v="2012-13"/>
        <s v="2013-14"/>
        <s v="2014-15"/>
        <s v="2015-16"/>
        <s v="2016-17"/>
        <s v="2017-18"/>
        <s v="2018-19"/>
        <s v="2019-20"/>
        <s v="2020-21"/>
      </sharedItems>
    </cacheField>
    <cacheField name="Treatment" numFmtId="0">
      <sharedItems count="4">
        <s v="1Precautionary check recommended"/>
        <s v="2First aid given at scene"/>
        <s v="3Victim went to hospital, injuries appear to be Slight"/>
        <s v="4Victim went to hospital, injuries appear to be Serious"/>
      </sharedItems>
    </cacheField>
    <cacheField name="Total_Nonfatal" numFmtId="0">
      <sharedItems containsSemiMixedTypes="0" containsString="0" containsNumber="1" containsInteger="1" minValue="51" maxValue="570"/>
    </cacheField>
    <cacheField name="FRS personnel0-16" numFmtId="0">
      <sharedItems containsString="0" containsBlank="1" containsNumber="1" containsInteger="1" minValue="1" maxValue="1"/>
    </cacheField>
    <cacheField name="FRS personnel17-29" numFmtId="0">
      <sharedItems containsString="0" containsBlank="1" containsNumber="1" containsInteger="1" minValue="1" maxValue="3"/>
    </cacheField>
    <cacheField name="FRS personnel30-59" numFmtId="0">
      <sharedItems containsString="0" containsBlank="1" containsNumber="1" containsInteger="1" minValue="1" maxValue="16"/>
    </cacheField>
    <cacheField name="FRS personnel60+" numFmtId="0">
      <sharedItems containsString="0" containsBlank="1" containsNumber="1" containsInteger="1" minValue="1" maxValue="2"/>
    </cacheField>
    <cacheField name="FRS personnelUnknown" numFmtId="0">
      <sharedItems containsString="0" containsBlank="1" containsNumber="1" containsInteger="1" minValue="1" maxValue="6"/>
    </cacheField>
    <cacheField name="Non FRS personnel0-16" numFmtId="0">
      <sharedItems containsString="0" containsBlank="1" containsNumber="1" containsInteger="1" minValue="1" maxValue="57"/>
    </cacheField>
    <cacheField name="Non FRS personnel17-29" numFmtId="0">
      <sharedItems containsSemiMixedTypes="0" containsString="0" containsNumber="1" containsInteger="1" minValue="5" maxValue="113"/>
    </cacheField>
    <cacheField name="Non FRS personnel30-59" numFmtId="0">
      <sharedItems containsSemiMixedTypes="0" containsString="0" containsNumber="1" containsInteger="1" minValue="21" maxValue="256"/>
    </cacheField>
    <cacheField name="Non FRS personnel60+" numFmtId="0">
      <sharedItems containsSemiMixedTypes="0" containsString="0" containsNumber="1" containsInteger="1" minValue="9" maxValue="175"/>
    </cacheField>
    <cacheField name="Non FRS personnelUnknown" numFmtId="0">
      <sharedItems containsString="0" containsBlank="1" containsNumber="1" containsInteger="1" minValue="1" maxValue="50"/>
    </cacheField>
  </cacheFields>
  <extLst>
    <ext xmlns:x14="http://schemas.microsoft.com/office/spreadsheetml/2009/9/main" uri="{725AE2AE-9491-48be-B2B4-4EB974FC3084}">
      <x14:pivotCacheDefinition pivotCacheId="2040399345"/>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5.457651041666" createdVersion="6" refreshedVersion="6" minRefreshableVersion="3" recordCount="24" xr:uid="{00000000-000A-0000-FFFF-FFFF35000000}">
  <cacheSource type="worksheet">
    <worksheetSource ref="A4:AA28" sheet="T25"/>
  </cacheSource>
  <cacheFields count="27">
    <cacheField name="Casualty" numFmtId="0">
      <sharedItems count="2">
        <s v="Fatal"/>
        <s v="Non-fatal"/>
      </sharedItems>
    </cacheField>
    <cacheField name="Year" numFmtId="0">
      <sharedItems count="12">
        <s v="2009-10"/>
        <s v="2010-11"/>
        <s v="2011-12"/>
        <s v="2012-13"/>
        <s v="2013-14"/>
        <s v="2014-15"/>
        <s v="2015-16"/>
        <s v="2016-17"/>
        <s v="2017-18"/>
        <s v="2018-19"/>
        <s v="2019-20"/>
        <s v="2020-21"/>
      </sharedItems>
    </cacheField>
    <cacheField name="Total" numFmtId="0">
      <sharedItems containsSemiMixedTypes="0" containsString="0" containsNumber="1" containsInteger="1" minValue="21" maxValue="1219"/>
    </cacheField>
    <cacheField name="0" numFmtId="0">
      <sharedItems containsString="0" containsBlank="1" containsNumber="1" containsInteger="1" minValue="1" maxValue="65"/>
    </cacheField>
    <cacheField name="1" numFmtId="0">
      <sharedItems containsString="0" containsBlank="1" containsNumber="1" containsInteger="1" minValue="1" maxValue="62"/>
    </cacheField>
    <cacheField name="2" numFmtId="0">
      <sharedItems containsString="0" containsBlank="1" containsNumber="1" containsInteger="1" minValue="1" maxValue="68"/>
    </cacheField>
    <cacheField name="3" numFmtId="0">
      <sharedItems containsString="0" containsBlank="1" containsNumber="1" containsInteger="1" minValue="1" maxValue="60"/>
    </cacheField>
    <cacheField name="4" numFmtId="0">
      <sharedItems containsString="0" containsBlank="1" containsNumber="1" containsInteger="1" minValue="1" maxValue="66"/>
    </cacheField>
    <cacheField name="5" numFmtId="0">
      <sharedItems containsString="0" containsBlank="1" containsNumber="1" containsInteger="1" minValue="1" maxValue="34"/>
    </cacheField>
    <cacheField name="6" numFmtId="0">
      <sharedItems containsString="0" containsBlank="1" containsNumber="1" containsInteger="1" minValue="1" maxValue="32"/>
    </cacheField>
    <cacheField name="7" numFmtId="0">
      <sharedItems containsString="0" containsBlank="1" containsNumber="1" containsInteger="1" minValue="1" maxValue="27"/>
    </cacheField>
    <cacheField name="8" numFmtId="0">
      <sharedItems containsString="0" containsBlank="1" containsNumber="1" containsInteger="1" minValue="1" maxValue="32"/>
    </cacheField>
    <cacheField name="9" numFmtId="0">
      <sharedItems containsString="0" containsBlank="1" containsNumber="1" containsInteger="1" minValue="1" maxValue="37"/>
    </cacheField>
    <cacheField name="10" numFmtId="0">
      <sharedItems containsString="0" containsBlank="1" containsNumber="1" containsInteger="1" minValue="1" maxValue="33"/>
    </cacheField>
    <cacheField name="11" numFmtId="0">
      <sharedItems containsString="0" containsBlank="1" containsNumber="1" containsInteger="1" minValue="1" maxValue="50"/>
    </cacheField>
    <cacheField name="12" numFmtId="0">
      <sharedItems containsString="0" containsBlank="1" containsNumber="1" containsInteger="1" minValue="1" maxValue="48"/>
    </cacheField>
    <cacheField name="13" numFmtId="0">
      <sharedItems containsString="0" containsBlank="1" containsNumber="1" containsInteger="1" minValue="1" maxValue="44"/>
    </cacheField>
    <cacheField name="14" numFmtId="0">
      <sharedItems containsString="0" containsBlank="1" containsNumber="1" containsInteger="1" minValue="1" maxValue="54"/>
    </cacheField>
    <cacheField name="15" numFmtId="0">
      <sharedItems containsString="0" containsBlank="1" containsNumber="1" containsInteger="1" minValue="1" maxValue="55"/>
    </cacheField>
    <cacheField name="16" numFmtId="0">
      <sharedItems containsSemiMixedTypes="0" containsString="0" containsNumber="1" containsInteger="1" minValue="1" maxValue="77"/>
    </cacheField>
    <cacheField name="17" numFmtId="0">
      <sharedItems containsString="0" containsBlank="1" containsNumber="1" containsInteger="1" minValue="1" maxValue="91"/>
    </cacheField>
    <cacheField name="18" numFmtId="0">
      <sharedItems containsString="0" containsBlank="1" containsNumber="1" containsInteger="1" minValue="1" maxValue="106"/>
    </cacheField>
    <cacheField name="19" numFmtId="0">
      <sharedItems containsString="0" containsBlank="1" containsNumber="1" containsInteger="1" minValue="1" maxValue="93"/>
    </cacheField>
    <cacheField name="20" numFmtId="0">
      <sharedItems containsString="0" containsBlank="1" containsNumber="1" containsInteger="1" minValue="1" maxValue="94"/>
    </cacheField>
    <cacheField name="21" numFmtId="0">
      <sharedItems containsString="0" containsBlank="1" containsNumber="1" containsInteger="1" minValue="1" maxValue="86"/>
    </cacheField>
    <cacheField name="22" numFmtId="0">
      <sharedItems containsString="0" containsBlank="1" containsNumber="1" containsInteger="1" minValue="1" maxValue="74"/>
    </cacheField>
    <cacheField name="23" numFmtId="0">
      <sharedItems containsString="0" containsBlank="1" containsNumber="1" containsInteger="1" minValue="1" maxValue="69"/>
    </cacheField>
  </cacheFields>
  <extLst>
    <ext xmlns:x14="http://schemas.microsoft.com/office/spreadsheetml/2009/9/main" uri="{725AE2AE-9491-48be-B2B4-4EB974FC3084}">
      <x14:pivotCacheDefinition/>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95.666844444444" createdVersion="6" refreshedVersion="6" minRefreshableVersion="3" recordCount="54" xr:uid="{00000000-000A-0000-FFFF-FFFF36000000}">
  <cacheSource type="worksheet">
    <worksheetSource ref="A4:O58" sheet="T17b"/>
  </cacheSource>
  <cacheFields count="15">
    <cacheField name="a.Year" numFmtId="0">
      <sharedItems count="12">
        <s v="2009-10"/>
        <s v="2010-11"/>
        <s v="2011-12"/>
        <s v="2012-13"/>
        <s v="2013-14"/>
        <s v="2014-15"/>
        <s v="2015-16"/>
        <s v="2016-17"/>
        <s v="2017-18"/>
        <s v="2018-19"/>
        <s v="2019-20"/>
        <s v="2020-21"/>
      </sharedItems>
    </cacheField>
    <cacheField name="Who" numFmtId="0">
      <sharedItems count="2">
        <s v="Non FRS personnel"/>
        <s v="FRS personnel"/>
      </sharedItems>
    </cacheField>
    <cacheField name="Pub_fatalCode" numFmtId="0">
      <sharedItems containsSemiMixedTypes="0" containsString="0" containsNumber="1" containsInteger="1" minValue="1" maxValue="8"/>
    </cacheField>
    <cacheField name="Pub_fataldescription" numFmtId="0">
      <sharedItems count="6">
        <s v="Burns"/>
        <s v="Combination of burns and overcome by gas/smoke"/>
        <s v="Overcome by gas, smoke or toxic fumes"/>
        <s v="Other specified"/>
        <s v="Unspecified"/>
        <s v="Physical injuries"/>
      </sharedItems>
    </cacheField>
    <cacheField name="Total_Fatal" numFmtId="0">
      <sharedItems containsSemiMixedTypes="0" containsString="0" containsNumber="1" containsInteger="1" minValue="1" maxValue="27"/>
    </cacheField>
    <cacheField name="a.0-16" numFmtId="0">
      <sharedItems containsString="0" containsBlank="1" containsNumber="1" containsInteger="1" minValue="1" maxValue="3"/>
    </cacheField>
    <cacheField name="a.17-29" numFmtId="0">
      <sharedItems containsString="0" containsBlank="1" containsNumber="1" containsInteger="1" minValue="1" maxValue="3"/>
    </cacheField>
    <cacheField name="a.30-59" numFmtId="0">
      <sharedItems containsString="0" containsBlank="1" containsNumber="1" containsInteger="1" minValue="1" maxValue="14"/>
    </cacheField>
    <cacheField name="a.60+" numFmtId="0">
      <sharedItems containsString="0" containsBlank="1" containsNumber="1" containsInteger="1" minValue="1" maxValue="12"/>
    </cacheField>
    <cacheField name="b.Year" numFmtId="0">
      <sharedItems/>
    </cacheField>
    <cacheField name="Total" numFmtId="0">
      <sharedItems containsSemiMixedTypes="0" containsString="0" containsNumber="1" containsInteger="1" minValue="5231900" maxValue="5466000"/>
    </cacheField>
    <cacheField name="b.0-16" numFmtId="0">
      <sharedItems containsSemiMixedTypes="0" containsString="0" containsNumber="1" containsInteger="1" minValue="970875" maxValue="984309"/>
    </cacheField>
    <cacheField name="b.17-29" numFmtId="0">
      <sharedItems containsSemiMixedTypes="0" containsString="0" containsNumber="1" containsInteger="1" minValue="888196" maxValue="924449"/>
    </cacheField>
    <cacheField name="b.30-59" numFmtId="0">
      <sharedItems containsSemiMixedTypes="0" containsString="0" containsNumber="1" containsInteger="1" minValue="2159788" maxValue="2197088"/>
    </cacheField>
    <cacheField name="b.60+" numFmtId="0">
      <sharedItems containsSemiMixedTypes="0" containsString="0" containsNumber="1" containsInteger="1" minValue="1193887" maxValue="1408649"/>
    </cacheField>
  </cacheFields>
  <extLst>
    <ext xmlns:x14="http://schemas.microsoft.com/office/spreadsheetml/2009/9/main" uri="{725AE2AE-9491-48be-B2B4-4EB974FC3084}">
      <x14:pivotCacheDefinition pivotCacheId="204039931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5787035" createdVersion="6" refreshedVersion="6" minRefreshableVersion="3" recordCount="384" xr:uid="{00000000-000A-0000-FFFF-FFFF05000000}">
  <cacheSource type="worksheet">
    <worksheetSource ref="A4:M388" sheet="T09b"/>
  </cacheSource>
  <cacheFields count="13">
    <cacheField name="PubLANAME"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Year" numFmtId="0">
      <sharedItems count="12">
        <s v="2009-10"/>
        <s v="2010-11"/>
        <s v="2011-12"/>
        <s v="2012-13"/>
        <s v="2013-14"/>
        <s v="2014-15"/>
        <s v="2015-16"/>
        <s v="2016-17"/>
        <s v="2017-18"/>
        <s v="2018-19"/>
        <s v="2019-20"/>
        <s v="2020-21"/>
      </sharedItems>
    </cacheField>
    <cacheField name="Total_Secondary_Outdoor_Fires" numFmtId="0">
      <sharedItems containsSemiMixedTypes="0" containsString="0" containsNumber="1" containsInteger="1" minValue="5" maxValue="3958"/>
    </cacheField>
    <cacheField name="01:Derelict Building" numFmtId="0">
      <sharedItems containsString="0" containsBlank="1" containsNumber="1" containsInteger="1" minValue="1" maxValue="170"/>
    </cacheField>
    <cacheField name="02:Grassland" numFmtId="0">
      <sharedItems containsSemiMixedTypes="0" containsString="0" containsNumber="1" containsInteger="1" minValue="2" maxValue="966"/>
    </cacheField>
    <cacheField name="03:Intentional straw or stubble" numFmtId="0">
      <sharedItems containsString="0" containsBlank="1" containsNumber="1" containsInteger="1" minValue="1" maxValue="24" count="18">
        <n v="1"/>
        <n v="6"/>
        <n v="14"/>
        <m/>
        <n v="9"/>
        <n v="5"/>
        <n v="2"/>
        <n v="16"/>
        <n v="10"/>
        <n v="24"/>
        <n v="8"/>
        <n v="12"/>
        <n v="3"/>
        <n v="7"/>
        <n v="13"/>
        <n v="11"/>
        <n v="4"/>
        <n v="19"/>
      </sharedItems>
    </cacheField>
    <cacheField name="04:Outdoor structures" numFmtId="0">
      <sharedItems containsString="0" containsBlank="1" containsNumber="1" containsInteger="1" minValue="1" maxValue="74"/>
    </cacheField>
    <cacheField name="05:Derelict Vehicle" numFmtId="0">
      <sharedItems containsString="0" containsBlank="1" containsNumber="1" containsInteger="1" minValue="1" maxValue="26" count="20">
        <n v="5"/>
        <n v="1"/>
        <n v="16"/>
        <n v="3"/>
        <m/>
        <n v="6"/>
        <n v="18"/>
        <n v="19"/>
        <n v="25"/>
        <n v="13"/>
        <n v="4"/>
        <n v="2"/>
        <n v="12"/>
        <n v="8"/>
        <n v="9"/>
        <n v="7"/>
        <n v="26"/>
        <n v="10"/>
        <n v="11"/>
        <n v="14"/>
      </sharedItems>
    </cacheField>
    <cacheField name="06:Other outdoors (including land)" numFmtId="0">
      <sharedItems containsString="0" containsBlank="1" containsNumber="1" containsInteger="1" minValue="1" maxValue="636"/>
    </cacheField>
    <cacheField name="07:Refuse - small/rubbish container" numFmtId="0">
      <sharedItems containsString="0" containsBlank="1" containsNumber="1" containsInteger="1" minValue="1" maxValue="979"/>
    </cacheField>
    <cacheField name="08:Refuse - large/rubbish container" numFmtId="0">
      <sharedItems containsString="0" containsBlank="1" containsNumber="1" containsInteger="1" minValue="1" maxValue="176"/>
    </cacheField>
    <cacheField name="09:Refuse - loose/rubbish tip" numFmtId="0">
      <sharedItems containsString="0" containsBlank="1" containsNumber="1" containsInteger="1" minValue="1" maxValue="1290"/>
    </cacheField>
    <cacheField name="pop" numFmtId="0">
      <sharedItems containsSemiMixedTypes="0" containsString="0" containsNumber="1" containsInteger="1" minValue="20940" maxValue="635640"/>
    </cacheField>
  </cacheFields>
  <extLst>
    <ext xmlns:x14="http://schemas.microsoft.com/office/spreadsheetml/2009/9/main" uri="{725AE2AE-9491-48be-B2B4-4EB974FC3084}">
      <x14:pivotCacheDefinition pivotCacheId="204039932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6249997" createdVersion="6" refreshedVersion="6" minRefreshableVersion="3" recordCount="384" xr:uid="{00000000-000A-0000-FFFF-FFFF06000000}">
  <cacheSource type="worksheet">
    <worksheetSource ref="A4:O388" sheet="T09a"/>
  </cacheSource>
  <cacheFields count="15">
    <cacheField name="Year" numFmtId="0">
      <sharedItems count="12">
        <s v="2009-10"/>
        <s v="2010-11"/>
        <s v="2011-12"/>
        <s v="2012-13"/>
        <s v="2013-14"/>
        <s v="2014-15"/>
        <s v="2015-16"/>
        <s v="2016-17"/>
        <s v="2017-18"/>
        <s v="2018-19"/>
        <s v="2019-20"/>
        <s v="2020-21"/>
      </sharedItems>
    </cacheField>
    <cacheField name="IS_PRIMARY_FIRE" numFmtId="0">
      <sharedItems count="1">
        <s v="yes"/>
      </sharedItems>
    </cacheField>
    <cacheField name="PubLANAME"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Total_Primary_Outdoor_Fires" numFmtId="0">
      <sharedItems containsSemiMixedTypes="0" containsString="0" containsNumber="1" containsInteger="1" minValue="5" maxValue="619"/>
    </cacheField>
    <cacheField name="01:Outdoor structures" numFmtId="0">
      <sharedItems containsString="0" containsBlank="1" containsNumber="1" containsInteger="1" minValue="1" maxValue="115"/>
    </cacheField>
    <cacheField name="02:Outdoor equipment and machinery" numFmtId="0">
      <sharedItems containsString="0" containsBlank="1" containsNumber="1" containsInteger="1" minValue="1" maxValue="25" count="25">
        <n v="4"/>
        <n v="25"/>
        <n v="1"/>
        <m/>
        <n v="18"/>
        <n v="3"/>
        <n v="6"/>
        <n v="5"/>
        <n v="2"/>
        <n v="8"/>
        <n v="22"/>
        <n v="9"/>
        <n v="12"/>
        <n v="7"/>
        <n v="16"/>
        <n v="11"/>
        <n v="13"/>
        <n v="17"/>
        <n v="19"/>
        <n v="20"/>
        <n v="15"/>
        <n v="10"/>
        <n v="21"/>
        <n v="14"/>
        <n v="24"/>
      </sharedItems>
    </cacheField>
    <cacheField name="03:Grassland and crops" numFmtId="0">
      <sharedItems containsString="0" containsBlank="1" containsNumber="1" containsInteger="1" minValue="1" maxValue="23" count="23">
        <n v="2"/>
        <n v="14"/>
        <n v="3"/>
        <m/>
        <n v="8"/>
        <n v="19"/>
        <n v="1"/>
        <n v="17"/>
        <n v="12"/>
        <n v="5"/>
        <n v="7"/>
        <n v="10"/>
        <n v="4"/>
        <n v="11"/>
        <n v="18"/>
        <n v="9"/>
        <n v="6"/>
        <n v="15"/>
        <n v="16"/>
        <n v="13"/>
        <n v="22"/>
        <n v="23"/>
        <n v="20"/>
      </sharedItems>
    </cacheField>
    <cacheField name="04:Woodland" numFmtId="0">
      <sharedItems containsString="0" containsBlank="1" containsNumber="1" containsInteger="1" minValue="1" maxValue="79"/>
    </cacheField>
    <cacheField name="05:Other Transport Vehicle" numFmtId="0">
      <sharedItems containsString="0" containsBlank="1" containsNumber="1" containsInteger="1" minValue="1" maxValue="11" count="10">
        <m/>
        <n v="2"/>
        <n v="3"/>
        <n v="1"/>
        <n v="7"/>
        <n v="5"/>
        <n v="6"/>
        <n v="4"/>
        <n v="9"/>
        <n v="11"/>
      </sharedItems>
    </cacheField>
    <cacheField name="06:Other outdoors (including land)" numFmtId="0">
      <sharedItems containsString="0" containsBlank="1" containsNumber="1" containsInteger="1" minValue="1" maxValue="4" count="5">
        <m/>
        <n v="1"/>
        <n v="3"/>
        <n v="2"/>
        <n v="4"/>
      </sharedItems>
    </cacheField>
    <cacheField name="07:Car" numFmtId="0">
      <sharedItems containsString="0" containsBlank="1" containsNumber="1" containsInteger="1" minValue="1" maxValue="281"/>
    </cacheField>
    <cacheField name="08:Abandoned Car" numFmtId="0">
      <sharedItems containsString="0" containsBlank="1" containsNumber="1" containsInteger="1" minValue="1" maxValue="71"/>
    </cacheField>
    <cacheField name="09:Other Road Vehicle" numFmtId="0">
      <sharedItems containsString="0" containsBlank="1" containsNumber="1" containsInteger="1" minValue="1" maxValue="98"/>
    </cacheField>
    <cacheField name="10:Abandoned Other Road Vehicle" numFmtId="0">
      <sharedItems containsString="0" containsBlank="1" containsNumber="1" containsInteger="1" minValue="1" maxValue="64"/>
    </cacheField>
    <cacheField name="pop" numFmtId="0">
      <sharedItems containsSemiMixedTypes="0" containsString="0" containsNumber="1" containsInteger="1" minValue="20940" maxValue="635640"/>
    </cacheField>
  </cacheFields>
  <extLst>
    <ext xmlns:x14="http://schemas.microsoft.com/office/spreadsheetml/2009/9/main" uri="{725AE2AE-9491-48be-B2B4-4EB974FC3084}">
      <x14:pivotCacheDefinition pivotCacheId="2040399320"/>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659722" createdVersion="6" refreshedVersion="6" minRefreshableVersion="3" recordCount="386" xr:uid="{00000000-000A-0000-FFFF-FFFF07000000}">
  <cacheSource type="worksheet">
    <worksheetSource ref="A4:X390" sheet="T06a"/>
  </cacheSource>
  <cacheFields count="24">
    <cacheField name="Year" numFmtId="0">
      <sharedItems count="12">
        <s v="2009-10"/>
        <s v="2010-11"/>
        <s v="2011-12"/>
        <s v="2012-13"/>
        <s v="2013-14"/>
        <s v="2014-15"/>
        <s v="2015-16"/>
        <s v="2016-17"/>
        <s v="2017-18"/>
        <s v="2018-19"/>
        <s v="2019-20"/>
        <s v="2020-21"/>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 numFmtId="0">
      <sharedItems containsSemiMixedTypes="0" containsString="0" containsNumber="1" containsInteger="1" minValue="0" maxValue="1" count="2">
        <n v="1"/>
        <n v="0"/>
      </sharedItems>
    </cacheField>
    <cacheField name="01:RTC" numFmtId="0">
      <sharedItems containsSemiMixedTypes="0" containsString="0" containsNumber="1" containsInteger="1" minValue="0" maxValue="299"/>
    </cacheField>
    <cacheField name="02:Other Transport incident" numFmtId="0">
      <sharedItems containsSemiMixedTypes="0" containsString="0" containsNumber="1" containsInteger="1" minValue="0" maxValue="29" count="22">
        <n v="21"/>
        <n v="5"/>
        <n v="1"/>
        <n v="3"/>
        <n v="19"/>
        <n v="2"/>
        <n v="7"/>
        <n v="0"/>
        <n v="29"/>
        <n v="8"/>
        <n v="4"/>
        <n v="14"/>
        <n v="10"/>
        <n v="27"/>
        <n v="12"/>
        <n v="6"/>
        <n v="11"/>
        <n v="9"/>
        <n v="15"/>
        <n v="23"/>
        <n v="13"/>
        <n v="16"/>
      </sharedItems>
    </cacheField>
    <cacheField name="03:Flooding" numFmtId="0">
      <sharedItems containsSemiMixedTypes="0" containsString="0" containsNumber="1" containsInteger="1" minValue="0" maxValue="652"/>
    </cacheField>
    <cacheField name="04:Rescue or evacuation from water" numFmtId="0">
      <sharedItems containsSemiMixedTypes="0" containsString="0" containsNumber="1" containsInteger="1" minValue="0" maxValue="50"/>
    </cacheField>
    <cacheField name="05:Other rescue/release of persons" numFmtId="0">
      <sharedItems containsSemiMixedTypes="0" containsString="0" containsNumber="1" containsInteger="1" minValue="0" maxValue="117"/>
    </cacheField>
    <cacheField name="06:Evacuation (no fire)" numFmtId="0">
      <sharedItems containsSemiMixedTypes="0" containsString="0" containsNumber="1" containsInteger="1" minValue="0" maxValue="17" count="16">
        <n v="2"/>
        <n v="1"/>
        <n v="0"/>
        <n v="12"/>
        <n v="3"/>
        <n v="11"/>
        <n v="6"/>
        <n v="4"/>
        <n v="10"/>
        <n v="5"/>
        <n v="7"/>
        <n v="9"/>
        <n v="8"/>
        <n v="14"/>
        <n v="17"/>
        <n v="16"/>
      </sharedItems>
    </cacheField>
    <cacheField name="07:Lift Release" numFmtId="0">
      <sharedItems containsSemiMixedTypes="0" containsString="0" containsNumber="1" containsInteger="1" minValue="0" maxValue="202"/>
    </cacheField>
    <cacheField name="08:Medical Incident - First responder/Co-responder" numFmtId="0">
      <sharedItems containsSemiMixedTypes="0" containsString="0" containsNumber="1" containsInteger="1" minValue="0" maxValue="126"/>
    </cacheField>
    <cacheField name="09:Suicide/attempts" numFmtId="0">
      <sharedItems containsSemiMixedTypes="0" containsString="0" containsNumber="1" containsInteger="1" minValue="0" maxValue="59" count="30">
        <n v="2"/>
        <n v="0"/>
        <n v="16"/>
        <n v="1"/>
        <n v="4"/>
        <n v="12"/>
        <n v="19"/>
        <n v="7"/>
        <n v="3"/>
        <n v="8"/>
        <n v="5"/>
        <n v="18"/>
        <n v="9"/>
        <n v="28"/>
        <n v="6"/>
        <n v="17"/>
        <n v="11"/>
        <n v="43"/>
        <n v="10"/>
        <n v="36"/>
        <n v="29"/>
        <n v="14"/>
        <n v="23"/>
        <n v="15"/>
        <n v="21"/>
        <n v="25"/>
        <n v="13"/>
        <n v="59"/>
        <n v="32"/>
        <n v="48"/>
      </sharedItems>
    </cacheField>
    <cacheField name="10:Hazardous Materials incident" numFmtId="0">
      <sharedItems containsSemiMixedTypes="0" containsString="0" containsNumber="1" containsInteger="1" minValue="0" maxValue="56"/>
    </cacheField>
    <cacheField name="11:Spills and Leaks (not RTC)" numFmtId="0">
      <sharedItems containsSemiMixedTypes="0" containsString="0" containsNumber="1" containsInteger="1" minValue="0" maxValue="69"/>
    </cacheField>
    <cacheField name="12:Removal of objects" numFmtId="0">
      <sharedItems containsSemiMixedTypes="0" containsString="0" containsNumber="1" containsInteger="1" minValue="0" maxValue="67"/>
    </cacheField>
    <cacheField name="13:Animal assistance incidents" numFmtId="0">
      <sharedItems containsSemiMixedTypes="0" containsString="0" containsNumber="1" containsInteger="1" minValue="0" maxValue="62"/>
    </cacheField>
    <cacheField name="14:Effecting entry/exit" numFmtId="0">
      <sharedItems containsSemiMixedTypes="0" containsString="0" containsNumber="1" containsInteger="1" minValue="0" maxValue="704"/>
    </cacheField>
    <cacheField name="15:Making Safe (not RTC)" numFmtId="0">
      <sharedItems containsSemiMixedTypes="0" containsString="0" containsNumber="1" containsInteger="1" minValue="0" maxValue="168"/>
    </cacheField>
    <cacheField name="16:No action (not false alarm)" numFmtId="0">
      <sharedItems containsSemiMixedTypes="0" containsString="0" containsNumber="1" containsInteger="1" minValue="0" maxValue="317"/>
    </cacheField>
    <cacheField name="17:Water provision" numFmtId="0">
      <sharedItems containsSemiMixedTypes="0" containsString="0" containsNumber="1" containsInteger="1" minValue="0" maxValue="7" count="6">
        <n v="0"/>
        <n v="3"/>
        <n v="2"/>
        <n v="1"/>
        <n v="5"/>
        <n v="7"/>
      </sharedItems>
    </cacheField>
    <cacheField name="18:Stand By" numFmtId="0">
      <sharedItems containsSemiMixedTypes="0" containsString="0" containsNumber="1" containsInteger="1" minValue="0" maxValue="90" count="30">
        <n v="11"/>
        <n v="1"/>
        <n v="3"/>
        <n v="19"/>
        <n v="0"/>
        <n v="4"/>
        <n v="23"/>
        <n v="2"/>
        <n v="90"/>
        <n v="6"/>
        <n v="14"/>
        <n v="29"/>
        <n v="21"/>
        <n v="84"/>
        <n v="20"/>
        <n v="7"/>
        <n v="37"/>
        <n v="8"/>
        <n v="9"/>
        <n v="10"/>
        <n v="27"/>
        <n v="25"/>
        <n v="12"/>
        <n v="13"/>
        <n v="5"/>
        <n v="16"/>
        <n v="15"/>
        <n v="31"/>
        <n v="28"/>
        <n v="42"/>
      </sharedItems>
    </cacheField>
    <cacheField name="19:Assist other agencies" numFmtId="0">
      <sharedItems containsSemiMixedTypes="0" containsString="0" containsNumber="1" containsInteger="1" minValue="0" maxValue="246"/>
    </cacheField>
    <cacheField name="20:Advice Only" numFmtId="0">
      <sharedItems containsSemiMixedTypes="0" containsString="0" containsNumber="1" containsInteger="1" minValue="0" maxValue="69"/>
    </cacheField>
    <cacheField name="pop" numFmtId="0">
      <sharedItems containsString="0" containsBlank="1" containsNumber="1" containsInteger="1" minValue="20940" maxValue="635640"/>
    </cacheField>
  </cacheFields>
  <extLst>
    <ext xmlns:x14="http://schemas.microsoft.com/office/spreadsheetml/2009/9/main" uri="{725AE2AE-9491-48be-B2B4-4EB974FC3084}">
      <x14:pivotCacheDefinition pivotCacheId="2040399327"/>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4470.524057060182" createdVersion="6" refreshedVersion="6" minRefreshableVersion="3" recordCount="380" xr:uid="{00000000-000A-0000-FFFF-FFFF08000000}">
  <cacheSource type="worksheet">
    <worksheetSource ref="A4:E384" sheet="T05a"/>
  </cacheSource>
  <cacheFields count="5">
    <cacheField name="Year" numFmtId="0">
      <sharedItems count="12">
        <s v="2009-10"/>
        <s v="2010-11"/>
        <s v="2011-12"/>
        <s v="2012-13"/>
        <s v="2013-14"/>
        <s v="2014-15"/>
        <s v="2015-16"/>
        <s v="2016-17"/>
        <s v="2017-18"/>
        <s v="2018-19"/>
        <s v="2019-20"/>
        <s v="2020-21"/>
      </sharedItems>
    </cacheField>
    <cacheField name="PubLANAME"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SpecialServiceFalseAlarms" numFmtId="0">
      <sharedItems containsSemiMixedTypes="0" containsString="0" containsNumber="1" containsInteger="1" minValue="1" maxValue="307"/>
    </cacheField>
    <cacheField name="1Malicious False Alarm" numFmtId="0">
      <sharedItems containsSemiMixedTypes="0" containsString="0" containsNumber="1" containsInteger="1" minValue="0" maxValue="47" count="18">
        <n v="0"/>
        <n v="5"/>
        <n v="1"/>
        <n v="24"/>
        <n v="16"/>
        <n v="2"/>
        <n v="4"/>
        <n v="13"/>
        <n v="47"/>
        <n v="3"/>
        <n v="6"/>
        <n v="7"/>
        <n v="11"/>
        <n v="10"/>
        <n v="17"/>
        <n v="9"/>
        <n v="18"/>
        <n v="8"/>
      </sharedItems>
    </cacheField>
    <cacheField name="3Good Intent false alarm" numFmtId="0">
      <sharedItems containsSemiMixedTypes="0" containsString="0" containsNumber="1" containsInteger="1" minValue="0" maxValue="290"/>
    </cacheField>
  </cacheFields>
  <extLst>
    <ext xmlns:x14="http://schemas.microsoft.com/office/spreadsheetml/2009/9/main" uri="{725AE2AE-9491-48be-B2B4-4EB974FC3084}">
      <x14:pivotCacheDefinition pivotCacheId="2040399326"/>
    </ext>
  </extLst>
</pivotCacheDefinition>
</file>

<file path=xl/pivotCache/pivotCacheRecords1.xml><?xml version="1.0" encoding="utf-8"?>
<pivotCacheRecords xmlns="http://schemas.openxmlformats.org/spreadsheetml/2006/main" xmlns:r="http://schemas.openxmlformats.org/officeDocument/2006/relationships" count="1474">
  <r>
    <x v="0"/>
    <x v="0"/>
    <x v="0"/>
    <x v="0"/>
    <x v="0"/>
    <x v="0"/>
    <x v="0"/>
    <n v="145"/>
  </r>
  <r>
    <x v="0"/>
    <x v="0"/>
    <x v="0"/>
    <x v="0"/>
    <x v="1"/>
    <x v="0"/>
    <x v="0"/>
    <n v="92"/>
  </r>
  <r>
    <x v="0"/>
    <x v="0"/>
    <x v="0"/>
    <x v="0"/>
    <x v="2"/>
    <x v="1"/>
    <x v="0"/>
    <n v="45"/>
  </r>
  <r>
    <x v="0"/>
    <x v="0"/>
    <x v="0"/>
    <x v="0"/>
    <x v="3"/>
    <x v="1"/>
    <x v="1"/>
    <n v="28"/>
  </r>
  <r>
    <x v="0"/>
    <x v="0"/>
    <x v="0"/>
    <x v="0"/>
    <x v="4"/>
    <x v="1"/>
    <x v="1"/>
    <n v="38"/>
  </r>
  <r>
    <x v="0"/>
    <x v="0"/>
    <x v="0"/>
    <x v="0"/>
    <x v="5"/>
    <x v="2"/>
    <x v="1"/>
    <n v="62"/>
  </r>
  <r>
    <x v="0"/>
    <x v="0"/>
    <x v="0"/>
    <x v="0"/>
    <x v="6"/>
    <x v="2"/>
    <x v="2"/>
    <n v="104"/>
  </r>
  <r>
    <x v="0"/>
    <x v="0"/>
    <x v="0"/>
    <x v="0"/>
    <x v="7"/>
    <x v="2"/>
    <x v="2"/>
    <n v="142"/>
  </r>
  <r>
    <x v="0"/>
    <x v="0"/>
    <x v="0"/>
    <x v="0"/>
    <x v="8"/>
    <x v="3"/>
    <x v="2"/>
    <n v="271"/>
  </r>
  <r>
    <x v="0"/>
    <x v="0"/>
    <x v="0"/>
    <x v="0"/>
    <x v="9"/>
    <x v="3"/>
    <x v="3"/>
    <n v="300"/>
  </r>
  <r>
    <x v="0"/>
    <x v="0"/>
    <x v="0"/>
    <x v="0"/>
    <x v="10"/>
    <x v="3"/>
    <x v="3"/>
    <n v="250"/>
  </r>
  <r>
    <x v="0"/>
    <x v="0"/>
    <x v="0"/>
    <x v="0"/>
    <x v="11"/>
    <x v="0"/>
    <x v="3"/>
    <n v="262"/>
  </r>
  <r>
    <x v="0"/>
    <x v="0"/>
    <x v="1"/>
    <x v="0"/>
    <x v="11"/>
    <x v="0"/>
    <x v="3"/>
    <n v="1"/>
  </r>
  <r>
    <x v="0"/>
    <x v="1"/>
    <x v="0"/>
    <x v="0"/>
    <x v="0"/>
    <x v="0"/>
    <x v="0"/>
    <n v="467"/>
  </r>
  <r>
    <x v="0"/>
    <x v="1"/>
    <x v="0"/>
    <x v="0"/>
    <x v="1"/>
    <x v="0"/>
    <x v="0"/>
    <n v="429"/>
  </r>
  <r>
    <x v="0"/>
    <x v="1"/>
    <x v="0"/>
    <x v="0"/>
    <x v="2"/>
    <x v="1"/>
    <x v="0"/>
    <n v="383"/>
  </r>
  <r>
    <x v="0"/>
    <x v="1"/>
    <x v="0"/>
    <x v="0"/>
    <x v="3"/>
    <x v="1"/>
    <x v="1"/>
    <n v="447"/>
  </r>
  <r>
    <x v="0"/>
    <x v="1"/>
    <x v="0"/>
    <x v="0"/>
    <x v="4"/>
    <x v="1"/>
    <x v="1"/>
    <n v="392"/>
  </r>
  <r>
    <x v="0"/>
    <x v="1"/>
    <x v="0"/>
    <x v="0"/>
    <x v="5"/>
    <x v="2"/>
    <x v="1"/>
    <n v="400"/>
  </r>
  <r>
    <x v="0"/>
    <x v="1"/>
    <x v="0"/>
    <x v="0"/>
    <x v="6"/>
    <x v="2"/>
    <x v="2"/>
    <n v="429"/>
  </r>
  <r>
    <x v="0"/>
    <x v="1"/>
    <x v="0"/>
    <x v="0"/>
    <x v="7"/>
    <x v="2"/>
    <x v="2"/>
    <n v="436"/>
  </r>
  <r>
    <x v="0"/>
    <x v="1"/>
    <x v="0"/>
    <x v="0"/>
    <x v="8"/>
    <x v="3"/>
    <x v="2"/>
    <n v="539"/>
  </r>
  <r>
    <x v="0"/>
    <x v="1"/>
    <x v="0"/>
    <x v="0"/>
    <x v="9"/>
    <x v="3"/>
    <x v="3"/>
    <n v="530"/>
  </r>
  <r>
    <x v="0"/>
    <x v="1"/>
    <x v="0"/>
    <x v="0"/>
    <x v="10"/>
    <x v="3"/>
    <x v="3"/>
    <n v="448"/>
  </r>
  <r>
    <x v="0"/>
    <x v="1"/>
    <x v="0"/>
    <x v="0"/>
    <x v="11"/>
    <x v="0"/>
    <x v="3"/>
    <n v="467"/>
  </r>
  <r>
    <x v="0"/>
    <x v="1"/>
    <x v="1"/>
    <x v="0"/>
    <x v="0"/>
    <x v="0"/>
    <x v="0"/>
    <n v="125"/>
  </r>
  <r>
    <x v="0"/>
    <x v="1"/>
    <x v="1"/>
    <x v="0"/>
    <x v="1"/>
    <x v="0"/>
    <x v="0"/>
    <n v="114"/>
  </r>
  <r>
    <x v="0"/>
    <x v="1"/>
    <x v="1"/>
    <x v="0"/>
    <x v="2"/>
    <x v="1"/>
    <x v="0"/>
    <n v="109"/>
  </r>
  <r>
    <x v="0"/>
    <x v="1"/>
    <x v="1"/>
    <x v="0"/>
    <x v="3"/>
    <x v="1"/>
    <x v="1"/>
    <n v="114"/>
  </r>
  <r>
    <x v="0"/>
    <x v="1"/>
    <x v="1"/>
    <x v="0"/>
    <x v="4"/>
    <x v="1"/>
    <x v="1"/>
    <n v="98"/>
  </r>
  <r>
    <x v="0"/>
    <x v="1"/>
    <x v="1"/>
    <x v="0"/>
    <x v="5"/>
    <x v="2"/>
    <x v="1"/>
    <n v="94"/>
  </r>
  <r>
    <x v="0"/>
    <x v="1"/>
    <x v="1"/>
    <x v="0"/>
    <x v="6"/>
    <x v="2"/>
    <x v="2"/>
    <n v="106"/>
  </r>
  <r>
    <x v="0"/>
    <x v="1"/>
    <x v="1"/>
    <x v="0"/>
    <x v="7"/>
    <x v="2"/>
    <x v="2"/>
    <n v="112"/>
  </r>
  <r>
    <x v="0"/>
    <x v="1"/>
    <x v="1"/>
    <x v="0"/>
    <x v="8"/>
    <x v="3"/>
    <x v="2"/>
    <n v="72"/>
  </r>
  <r>
    <x v="0"/>
    <x v="1"/>
    <x v="1"/>
    <x v="0"/>
    <x v="9"/>
    <x v="3"/>
    <x v="3"/>
    <n v="79"/>
  </r>
  <r>
    <x v="0"/>
    <x v="1"/>
    <x v="1"/>
    <x v="0"/>
    <x v="10"/>
    <x v="3"/>
    <x v="3"/>
    <n v="76"/>
  </r>
  <r>
    <x v="0"/>
    <x v="1"/>
    <x v="1"/>
    <x v="0"/>
    <x v="11"/>
    <x v="0"/>
    <x v="3"/>
    <n v="94"/>
  </r>
  <r>
    <x v="0"/>
    <x v="2"/>
    <x v="0"/>
    <x v="0"/>
    <x v="0"/>
    <x v="0"/>
    <x v="0"/>
    <n v="205"/>
  </r>
  <r>
    <x v="0"/>
    <x v="2"/>
    <x v="0"/>
    <x v="0"/>
    <x v="1"/>
    <x v="0"/>
    <x v="0"/>
    <n v="185"/>
  </r>
  <r>
    <x v="0"/>
    <x v="2"/>
    <x v="0"/>
    <x v="0"/>
    <x v="2"/>
    <x v="1"/>
    <x v="0"/>
    <n v="156"/>
  </r>
  <r>
    <x v="0"/>
    <x v="2"/>
    <x v="0"/>
    <x v="0"/>
    <x v="3"/>
    <x v="1"/>
    <x v="1"/>
    <n v="174"/>
  </r>
  <r>
    <x v="0"/>
    <x v="2"/>
    <x v="0"/>
    <x v="0"/>
    <x v="4"/>
    <x v="1"/>
    <x v="1"/>
    <n v="163"/>
  </r>
  <r>
    <x v="0"/>
    <x v="2"/>
    <x v="0"/>
    <x v="0"/>
    <x v="5"/>
    <x v="2"/>
    <x v="1"/>
    <n v="149"/>
  </r>
  <r>
    <x v="0"/>
    <x v="2"/>
    <x v="0"/>
    <x v="0"/>
    <x v="6"/>
    <x v="2"/>
    <x v="2"/>
    <n v="174"/>
  </r>
  <r>
    <x v="0"/>
    <x v="2"/>
    <x v="0"/>
    <x v="0"/>
    <x v="7"/>
    <x v="2"/>
    <x v="2"/>
    <n v="176"/>
  </r>
  <r>
    <x v="0"/>
    <x v="2"/>
    <x v="0"/>
    <x v="0"/>
    <x v="8"/>
    <x v="3"/>
    <x v="2"/>
    <n v="166"/>
  </r>
  <r>
    <x v="0"/>
    <x v="2"/>
    <x v="0"/>
    <x v="0"/>
    <x v="9"/>
    <x v="3"/>
    <x v="3"/>
    <n v="169"/>
  </r>
  <r>
    <x v="0"/>
    <x v="2"/>
    <x v="0"/>
    <x v="0"/>
    <x v="10"/>
    <x v="3"/>
    <x v="3"/>
    <n v="157"/>
  </r>
  <r>
    <x v="0"/>
    <x v="2"/>
    <x v="0"/>
    <x v="0"/>
    <x v="11"/>
    <x v="0"/>
    <x v="3"/>
    <n v="158"/>
  </r>
  <r>
    <x v="0"/>
    <x v="2"/>
    <x v="1"/>
    <x v="0"/>
    <x v="0"/>
    <x v="0"/>
    <x v="0"/>
    <n v="97"/>
  </r>
  <r>
    <x v="0"/>
    <x v="2"/>
    <x v="1"/>
    <x v="0"/>
    <x v="1"/>
    <x v="0"/>
    <x v="0"/>
    <n v="105"/>
  </r>
  <r>
    <x v="0"/>
    <x v="2"/>
    <x v="1"/>
    <x v="0"/>
    <x v="2"/>
    <x v="1"/>
    <x v="0"/>
    <n v="124"/>
  </r>
  <r>
    <x v="0"/>
    <x v="2"/>
    <x v="1"/>
    <x v="0"/>
    <x v="3"/>
    <x v="1"/>
    <x v="1"/>
    <n v="90"/>
  </r>
  <r>
    <x v="0"/>
    <x v="2"/>
    <x v="1"/>
    <x v="0"/>
    <x v="4"/>
    <x v="1"/>
    <x v="1"/>
    <n v="87"/>
  </r>
  <r>
    <x v="0"/>
    <x v="2"/>
    <x v="1"/>
    <x v="0"/>
    <x v="5"/>
    <x v="2"/>
    <x v="1"/>
    <n v="78"/>
  </r>
  <r>
    <x v="0"/>
    <x v="2"/>
    <x v="1"/>
    <x v="0"/>
    <x v="6"/>
    <x v="2"/>
    <x v="2"/>
    <n v="101"/>
  </r>
  <r>
    <x v="0"/>
    <x v="2"/>
    <x v="1"/>
    <x v="0"/>
    <x v="7"/>
    <x v="2"/>
    <x v="2"/>
    <n v="68"/>
  </r>
  <r>
    <x v="0"/>
    <x v="2"/>
    <x v="1"/>
    <x v="0"/>
    <x v="8"/>
    <x v="3"/>
    <x v="2"/>
    <n v="52"/>
  </r>
  <r>
    <x v="0"/>
    <x v="2"/>
    <x v="1"/>
    <x v="0"/>
    <x v="9"/>
    <x v="3"/>
    <x v="3"/>
    <n v="61"/>
  </r>
  <r>
    <x v="0"/>
    <x v="2"/>
    <x v="1"/>
    <x v="0"/>
    <x v="10"/>
    <x v="3"/>
    <x v="3"/>
    <n v="45"/>
  </r>
  <r>
    <x v="0"/>
    <x v="2"/>
    <x v="1"/>
    <x v="0"/>
    <x v="11"/>
    <x v="0"/>
    <x v="3"/>
    <n v="65"/>
  </r>
  <r>
    <x v="0"/>
    <x v="3"/>
    <x v="0"/>
    <x v="0"/>
    <x v="0"/>
    <x v="0"/>
    <x v="0"/>
    <n v="128"/>
  </r>
  <r>
    <x v="0"/>
    <x v="3"/>
    <x v="0"/>
    <x v="0"/>
    <x v="1"/>
    <x v="0"/>
    <x v="0"/>
    <n v="140"/>
  </r>
  <r>
    <x v="0"/>
    <x v="3"/>
    <x v="0"/>
    <x v="0"/>
    <x v="2"/>
    <x v="1"/>
    <x v="0"/>
    <n v="146"/>
  </r>
  <r>
    <x v="0"/>
    <x v="3"/>
    <x v="0"/>
    <x v="0"/>
    <x v="3"/>
    <x v="1"/>
    <x v="1"/>
    <n v="122"/>
  </r>
  <r>
    <x v="0"/>
    <x v="3"/>
    <x v="0"/>
    <x v="0"/>
    <x v="4"/>
    <x v="1"/>
    <x v="1"/>
    <n v="138"/>
  </r>
  <r>
    <x v="0"/>
    <x v="3"/>
    <x v="0"/>
    <x v="0"/>
    <x v="5"/>
    <x v="2"/>
    <x v="1"/>
    <n v="129"/>
  </r>
  <r>
    <x v="0"/>
    <x v="3"/>
    <x v="0"/>
    <x v="0"/>
    <x v="6"/>
    <x v="2"/>
    <x v="2"/>
    <n v="125"/>
  </r>
  <r>
    <x v="0"/>
    <x v="3"/>
    <x v="0"/>
    <x v="0"/>
    <x v="7"/>
    <x v="2"/>
    <x v="2"/>
    <n v="100"/>
  </r>
  <r>
    <x v="0"/>
    <x v="3"/>
    <x v="0"/>
    <x v="0"/>
    <x v="8"/>
    <x v="3"/>
    <x v="2"/>
    <n v="134"/>
  </r>
  <r>
    <x v="0"/>
    <x v="3"/>
    <x v="0"/>
    <x v="0"/>
    <x v="9"/>
    <x v="3"/>
    <x v="3"/>
    <n v="120"/>
  </r>
  <r>
    <x v="0"/>
    <x v="3"/>
    <x v="0"/>
    <x v="0"/>
    <x v="10"/>
    <x v="3"/>
    <x v="3"/>
    <n v="102"/>
  </r>
  <r>
    <x v="0"/>
    <x v="3"/>
    <x v="0"/>
    <x v="0"/>
    <x v="11"/>
    <x v="0"/>
    <x v="3"/>
    <n v="123"/>
  </r>
  <r>
    <x v="0"/>
    <x v="3"/>
    <x v="1"/>
    <x v="0"/>
    <x v="0"/>
    <x v="0"/>
    <x v="0"/>
    <n v="154"/>
  </r>
  <r>
    <x v="0"/>
    <x v="3"/>
    <x v="1"/>
    <x v="0"/>
    <x v="1"/>
    <x v="0"/>
    <x v="0"/>
    <n v="129"/>
  </r>
  <r>
    <x v="0"/>
    <x v="3"/>
    <x v="1"/>
    <x v="0"/>
    <x v="2"/>
    <x v="1"/>
    <x v="0"/>
    <n v="149"/>
  </r>
  <r>
    <x v="0"/>
    <x v="3"/>
    <x v="1"/>
    <x v="0"/>
    <x v="3"/>
    <x v="1"/>
    <x v="1"/>
    <n v="132"/>
  </r>
  <r>
    <x v="0"/>
    <x v="3"/>
    <x v="1"/>
    <x v="0"/>
    <x v="4"/>
    <x v="1"/>
    <x v="1"/>
    <n v="150"/>
  </r>
  <r>
    <x v="0"/>
    <x v="3"/>
    <x v="1"/>
    <x v="0"/>
    <x v="5"/>
    <x v="2"/>
    <x v="1"/>
    <n v="118"/>
  </r>
  <r>
    <x v="0"/>
    <x v="3"/>
    <x v="1"/>
    <x v="0"/>
    <x v="6"/>
    <x v="2"/>
    <x v="2"/>
    <n v="151"/>
  </r>
  <r>
    <x v="0"/>
    <x v="3"/>
    <x v="1"/>
    <x v="0"/>
    <x v="7"/>
    <x v="2"/>
    <x v="2"/>
    <n v="103"/>
  </r>
  <r>
    <x v="0"/>
    <x v="3"/>
    <x v="1"/>
    <x v="0"/>
    <x v="8"/>
    <x v="3"/>
    <x v="2"/>
    <n v="87"/>
  </r>
  <r>
    <x v="0"/>
    <x v="3"/>
    <x v="1"/>
    <x v="0"/>
    <x v="9"/>
    <x v="3"/>
    <x v="3"/>
    <n v="91"/>
  </r>
  <r>
    <x v="0"/>
    <x v="3"/>
    <x v="1"/>
    <x v="0"/>
    <x v="10"/>
    <x v="3"/>
    <x v="3"/>
    <n v="107"/>
  </r>
  <r>
    <x v="0"/>
    <x v="3"/>
    <x v="1"/>
    <x v="0"/>
    <x v="11"/>
    <x v="0"/>
    <x v="3"/>
    <n v="107"/>
  </r>
  <r>
    <x v="0"/>
    <x v="4"/>
    <x v="0"/>
    <x v="0"/>
    <x v="0"/>
    <x v="0"/>
    <x v="0"/>
    <n v="45"/>
  </r>
  <r>
    <x v="0"/>
    <x v="4"/>
    <x v="0"/>
    <x v="0"/>
    <x v="1"/>
    <x v="0"/>
    <x v="0"/>
    <n v="52"/>
  </r>
  <r>
    <x v="0"/>
    <x v="4"/>
    <x v="0"/>
    <x v="0"/>
    <x v="2"/>
    <x v="1"/>
    <x v="0"/>
    <n v="73"/>
  </r>
  <r>
    <x v="0"/>
    <x v="4"/>
    <x v="0"/>
    <x v="0"/>
    <x v="3"/>
    <x v="1"/>
    <x v="1"/>
    <n v="37"/>
  </r>
  <r>
    <x v="0"/>
    <x v="4"/>
    <x v="0"/>
    <x v="0"/>
    <x v="4"/>
    <x v="1"/>
    <x v="1"/>
    <n v="37"/>
  </r>
  <r>
    <x v="0"/>
    <x v="4"/>
    <x v="0"/>
    <x v="0"/>
    <x v="5"/>
    <x v="2"/>
    <x v="1"/>
    <n v="67"/>
  </r>
  <r>
    <x v="0"/>
    <x v="4"/>
    <x v="0"/>
    <x v="0"/>
    <x v="6"/>
    <x v="2"/>
    <x v="2"/>
    <n v="35"/>
  </r>
  <r>
    <x v="0"/>
    <x v="4"/>
    <x v="0"/>
    <x v="0"/>
    <x v="7"/>
    <x v="2"/>
    <x v="2"/>
    <n v="25"/>
  </r>
  <r>
    <x v="0"/>
    <x v="4"/>
    <x v="0"/>
    <x v="0"/>
    <x v="8"/>
    <x v="3"/>
    <x v="2"/>
    <n v="20"/>
  </r>
  <r>
    <x v="0"/>
    <x v="4"/>
    <x v="0"/>
    <x v="0"/>
    <x v="9"/>
    <x v="3"/>
    <x v="3"/>
    <n v="27"/>
  </r>
  <r>
    <x v="0"/>
    <x v="4"/>
    <x v="0"/>
    <x v="0"/>
    <x v="10"/>
    <x v="3"/>
    <x v="3"/>
    <n v="18"/>
  </r>
  <r>
    <x v="0"/>
    <x v="4"/>
    <x v="0"/>
    <x v="0"/>
    <x v="11"/>
    <x v="0"/>
    <x v="3"/>
    <n v="36"/>
  </r>
  <r>
    <x v="0"/>
    <x v="4"/>
    <x v="1"/>
    <x v="0"/>
    <x v="0"/>
    <x v="0"/>
    <x v="0"/>
    <n v="112"/>
  </r>
  <r>
    <x v="0"/>
    <x v="4"/>
    <x v="1"/>
    <x v="0"/>
    <x v="1"/>
    <x v="0"/>
    <x v="0"/>
    <n v="85"/>
  </r>
  <r>
    <x v="0"/>
    <x v="4"/>
    <x v="1"/>
    <x v="0"/>
    <x v="2"/>
    <x v="1"/>
    <x v="0"/>
    <n v="120"/>
  </r>
  <r>
    <x v="0"/>
    <x v="4"/>
    <x v="1"/>
    <x v="0"/>
    <x v="3"/>
    <x v="1"/>
    <x v="1"/>
    <n v="82"/>
  </r>
  <r>
    <x v="0"/>
    <x v="4"/>
    <x v="1"/>
    <x v="0"/>
    <x v="4"/>
    <x v="1"/>
    <x v="1"/>
    <n v="85"/>
  </r>
  <r>
    <x v="0"/>
    <x v="4"/>
    <x v="1"/>
    <x v="0"/>
    <x v="5"/>
    <x v="2"/>
    <x v="1"/>
    <n v="132"/>
  </r>
  <r>
    <x v="0"/>
    <x v="4"/>
    <x v="1"/>
    <x v="0"/>
    <x v="6"/>
    <x v="2"/>
    <x v="2"/>
    <n v="105"/>
  </r>
  <r>
    <x v="0"/>
    <x v="4"/>
    <x v="1"/>
    <x v="0"/>
    <x v="7"/>
    <x v="2"/>
    <x v="2"/>
    <n v="75"/>
  </r>
  <r>
    <x v="0"/>
    <x v="4"/>
    <x v="1"/>
    <x v="0"/>
    <x v="8"/>
    <x v="3"/>
    <x v="2"/>
    <n v="46"/>
  </r>
  <r>
    <x v="0"/>
    <x v="4"/>
    <x v="1"/>
    <x v="0"/>
    <x v="9"/>
    <x v="3"/>
    <x v="3"/>
    <n v="24"/>
  </r>
  <r>
    <x v="0"/>
    <x v="4"/>
    <x v="1"/>
    <x v="0"/>
    <x v="10"/>
    <x v="3"/>
    <x v="3"/>
    <n v="45"/>
  </r>
  <r>
    <x v="0"/>
    <x v="4"/>
    <x v="1"/>
    <x v="0"/>
    <x v="11"/>
    <x v="0"/>
    <x v="3"/>
    <n v="60"/>
  </r>
  <r>
    <x v="0"/>
    <x v="5"/>
    <x v="0"/>
    <x v="0"/>
    <x v="0"/>
    <x v="0"/>
    <x v="0"/>
    <n v="782"/>
  </r>
  <r>
    <x v="0"/>
    <x v="5"/>
    <x v="0"/>
    <x v="0"/>
    <x v="1"/>
    <x v="0"/>
    <x v="0"/>
    <n v="429"/>
  </r>
  <r>
    <x v="0"/>
    <x v="5"/>
    <x v="0"/>
    <x v="0"/>
    <x v="2"/>
    <x v="1"/>
    <x v="0"/>
    <n v="617"/>
  </r>
  <r>
    <x v="0"/>
    <x v="5"/>
    <x v="0"/>
    <x v="0"/>
    <x v="3"/>
    <x v="1"/>
    <x v="1"/>
    <n v="386"/>
  </r>
  <r>
    <x v="0"/>
    <x v="5"/>
    <x v="0"/>
    <x v="0"/>
    <x v="4"/>
    <x v="1"/>
    <x v="1"/>
    <n v="301"/>
  </r>
  <r>
    <x v="0"/>
    <x v="5"/>
    <x v="0"/>
    <x v="0"/>
    <x v="5"/>
    <x v="2"/>
    <x v="1"/>
    <n v="327"/>
  </r>
  <r>
    <x v="0"/>
    <x v="5"/>
    <x v="0"/>
    <x v="0"/>
    <x v="6"/>
    <x v="2"/>
    <x v="2"/>
    <n v="371"/>
  </r>
  <r>
    <x v="0"/>
    <x v="5"/>
    <x v="0"/>
    <x v="0"/>
    <x v="7"/>
    <x v="2"/>
    <x v="2"/>
    <n v="291"/>
  </r>
  <r>
    <x v="0"/>
    <x v="5"/>
    <x v="0"/>
    <x v="0"/>
    <x v="8"/>
    <x v="3"/>
    <x v="2"/>
    <n v="162"/>
  </r>
  <r>
    <x v="0"/>
    <x v="5"/>
    <x v="0"/>
    <x v="0"/>
    <x v="9"/>
    <x v="3"/>
    <x v="3"/>
    <n v="188"/>
  </r>
  <r>
    <x v="0"/>
    <x v="5"/>
    <x v="0"/>
    <x v="0"/>
    <x v="10"/>
    <x v="3"/>
    <x v="3"/>
    <n v="213"/>
  </r>
  <r>
    <x v="0"/>
    <x v="5"/>
    <x v="0"/>
    <x v="0"/>
    <x v="11"/>
    <x v="0"/>
    <x v="3"/>
    <n v="651"/>
  </r>
  <r>
    <x v="0"/>
    <x v="5"/>
    <x v="1"/>
    <x v="0"/>
    <x v="0"/>
    <x v="0"/>
    <x v="0"/>
    <n v="2579"/>
  </r>
  <r>
    <x v="0"/>
    <x v="5"/>
    <x v="1"/>
    <x v="0"/>
    <x v="1"/>
    <x v="0"/>
    <x v="0"/>
    <n v="1557"/>
  </r>
  <r>
    <x v="0"/>
    <x v="5"/>
    <x v="1"/>
    <x v="0"/>
    <x v="2"/>
    <x v="1"/>
    <x v="0"/>
    <n v="1988"/>
  </r>
  <r>
    <x v="0"/>
    <x v="5"/>
    <x v="1"/>
    <x v="0"/>
    <x v="3"/>
    <x v="1"/>
    <x v="1"/>
    <n v="1401"/>
  </r>
  <r>
    <x v="0"/>
    <x v="5"/>
    <x v="1"/>
    <x v="0"/>
    <x v="4"/>
    <x v="1"/>
    <x v="1"/>
    <n v="1111"/>
  </r>
  <r>
    <x v="0"/>
    <x v="5"/>
    <x v="1"/>
    <x v="0"/>
    <x v="5"/>
    <x v="2"/>
    <x v="1"/>
    <n v="1521"/>
  </r>
  <r>
    <x v="0"/>
    <x v="5"/>
    <x v="1"/>
    <x v="0"/>
    <x v="6"/>
    <x v="2"/>
    <x v="2"/>
    <n v="2068"/>
  </r>
  <r>
    <x v="0"/>
    <x v="5"/>
    <x v="1"/>
    <x v="0"/>
    <x v="7"/>
    <x v="2"/>
    <x v="2"/>
    <n v="1882"/>
  </r>
  <r>
    <x v="0"/>
    <x v="5"/>
    <x v="1"/>
    <x v="0"/>
    <x v="8"/>
    <x v="3"/>
    <x v="2"/>
    <n v="574"/>
  </r>
  <r>
    <x v="0"/>
    <x v="5"/>
    <x v="1"/>
    <x v="0"/>
    <x v="9"/>
    <x v="3"/>
    <x v="3"/>
    <n v="615"/>
  </r>
  <r>
    <x v="0"/>
    <x v="5"/>
    <x v="1"/>
    <x v="0"/>
    <x v="10"/>
    <x v="3"/>
    <x v="3"/>
    <n v="886"/>
  </r>
  <r>
    <x v="0"/>
    <x v="5"/>
    <x v="1"/>
    <x v="0"/>
    <x v="11"/>
    <x v="0"/>
    <x v="3"/>
    <n v="2105"/>
  </r>
  <r>
    <x v="1"/>
    <x v="0"/>
    <x v="0"/>
    <x v="1"/>
    <x v="12"/>
    <x v="0"/>
    <x v="0"/>
    <n v="157"/>
  </r>
  <r>
    <x v="1"/>
    <x v="0"/>
    <x v="0"/>
    <x v="1"/>
    <x v="13"/>
    <x v="0"/>
    <x v="0"/>
    <n v="116"/>
  </r>
  <r>
    <x v="1"/>
    <x v="0"/>
    <x v="0"/>
    <x v="1"/>
    <x v="14"/>
    <x v="1"/>
    <x v="0"/>
    <n v="33"/>
  </r>
  <r>
    <x v="1"/>
    <x v="0"/>
    <x v="0"/>
    <x v="1"/>
    <x v="15"/>
    <x v="1"/>
    <x v="1"/>
    <n v="32"/>
  </r>
  <r>
    <x v="1"/>
    <x v="0"/>
    <x v="0"/>
    <x v="1"/>
    <x v="16"/>
    <x v="1"/>
    <x v="1"/>
    <n v="27"/>
  </r>
  <r>
    <x v="1"/>
    <x v="0"/>
    <x v="0"/>
    <x v="1"/>
    <x v="17"/>
    <x v="2"/>
    <x v="1"/>
    <n v="63"/>
  </r>
  <r>
    <x v="1"/>
    <x v="0"/>
    <x v="0"/>
    <x v="1"/>
    <x v="18"/>
    <x v="2"/>
    <x v="2"/>
    <n v="87"/>
  </r>
  <r>
    <x v="1"/>
    <x v="0"/>
    <x v="0"/>
    <x v="1"/>
    <x v="19"/>
    <x v="2"/>
    <x v="2"/>
    <n v="163"/>
  </r>
  <r>
    <x v="1"/>
    <x v="0"/>
    <x v="0"/>
    <x v="1"/>
    <x v="20"/>
    <x v="3"/>
    <x v="2"/>
    <n v="251"/>
  </r>
  <r>
    <x v="1"/>
    <x v="0"/>
    <x v="0"/>
    <x v="1"/>
    <x v="21"/>
    <x v="3"/>
    <x v="3"/>
    <n v="259"/>
  </r>
  <r>
    <x v="1"/>
    <x v="0"/>
    <x v="0"/>
    <x v="1"/>
    <x v="22"/>
    <x v="3"/>
    <x v="3"/>
    <n v="204"/>
  </r>
  <r>
    <x v="1"/>
    <x v="0"/>
    <x v="0"/>
    <x v="1"/>
    <x v="23"/>
    <x v="0"/>
    <x v="3"/>
    <n v="178"/>
  </r>
  <r>
    <x v="1"/>
    <x v="0"/>
    <x v="1"/>
    <x v="1"/>
    <x v="12"/>
    <x v="0"/>
    <x v="0"/>
    <n v="1"/>
  </r>
  <r>
    <x v="1"/>
    <x v="0"/>
    <x v="1"/>
    <x v="1"/>
    <x v="19"/>
    <x v="2"/>
    <x v="2"/>
    <n v="2"/>
  </r>
  <r>
    <x v="1"/>
    <x v="0"/>
    <x v="1"/>
    <x v="1"/>
    <x v="20"/>
    <x v="3"/>
    <x v="2"/>
    <n v="1"/>
  </r>
  <r>
    <x v="1"/>
    <x v="1"/>
    <x v="0"/>
    <x v="1"/>
    <x v="12"/>
    <x v="0"/>
    <x v="0"/>
    <n v="436"/>
  </r>
  <r>
    <x v="1"/>
    <x v="1"/>
    <x v="0"/>
    <x v="1"/>
    <x v="13"/>
    <x v="0"/>
    <x v="0"/>
    <n v="454"/>
  </r>
  <r>
    <x v="1"/>
    <x v="1"/>
    <x v="0"/>
    <x v="1"/>
    <x v="14"/>
    <x v="1"/>
    <x v="0"/>
    <n v="393"/>
  </r>
  <r>
    <x v="1"/>
    <x v="1"/>
    <x v="0"/>
    <x v="1"/>
    <x v="15"/>
    <x v="1"/>
    <x v="1"/>
    <n v="357"/>
  </r>
  <r>
    <x v="1"/>
    <x v="1"/>
    <x v="0"/>
    <x v="1"/>
    <x v="16"/>
    <x v="1"/>
    <x v="1"/>
    <n v="391"/>
  </r>
  <r>
    <x v="1"/>
    <x v="1"/>
    <x v="0"/>
    <x v="1"/>
    <x v="17"/>
    <x v="2"/>
    <x v="1"/>
    <n v="393"/>
  </r>
  <r>
    <x v="1"/>
    <x v="1"/>
    <x v="0"/>
    <x v="1"/>
    <x v="18"/>
    <x v="2"/>
    <x v="2"/>
    <n v="429"/>
  </r>
  <r>
    <x v="1"/>
    <x v="1"/>
    <x v="0"/>
    <x v="1"/>
    <x v="19"/>
    <x v="2"/>
    <x v="2"/>
    <n v="454"/>
  </r>
  <r>
    <x v="1"/>
    <x v="1"/>
    <x v="0"/>
    <x v="1"/>
    <x v="20"/>
    <x v="3"/>
    <x v="2"/>
    <n v="570"/>
  </r>
  <r>
    <x v="1"/>
    <x v="1"/>
    <x v="0"/>
    <x v="1"/>
    <x v="21"/>
    <x v="3"/>
    <x v="3"/>
    <n v="439"/>
  </r>
  <r>
    <x v="1"/>
    <x v="1"/>
    <x v="0"/>
    <x v="1"/>
    <x v="22"/>
    <x v="3"/>
    <x v="3"/>
    <n v="463"/>
  </r>
  <r>
    <x v="1"/>
    <x v="1"/>
    <x v="0"/>
    <x v="1"/>
    <x v="23"/>
    <x v="0"/>
    <x v="3"/>
    <n v="430"/>
  </r>
  <r>
    <x v="1"/>
    <x v="1"/>
    <x v="1"/>
    <x v="1"/>
    <x v="12"/>
    <x v="0"/>
    <x v="0"/>
    <n v="75"/>
  </r>
  <r>
    <x v="1"/>
    <x v="1"/>
    <x v="1"/>
    <x v="1"/>
    <x v="13"/>
    <x v="0"/>
    <x v="0"/>
    <n v="98"/>
  </r>
  <r>
    <x v="1"/>
    <x v="1"/>
    <x v="1"/>
    <x v="1"/>
    <x v="14"/>
    <x v="1"/>
    <x v="0"/>
    <n v="82"/>
  </r>
  <r>
    <x v="1"/>
    <x v="1"/>
    <x v="1"/>
    <x v="1"/>
    <x v="15"/>
    <x v="1"/>
    <x v="1"/>
    <n v="80"/>
  </r>
  <r>
    <x v="1"/>
    <x v="1"/>
    <x v="1"/>
    <x v="1"/>
    <x v="16"/>
    <x v="1"/>
    <x v="1"/>
    <n v="105"/>
  </r>
  <r>
    <x v="1"/>
    <x v="1"/>
    <x v="1"/>
    <x v="1"/>
    <x v="17"/>
    <x v="2"/>
    <x v="1"/>
    <n v="87"/>
  </r>
  <r>
    <x v="1"/>
    <x v="1"/>
    <x v="1"/>
    <x v="1"/>
    <x v="18"/>
    <x v="2"/>
    <x v="2"/>
    <n v="90"/>
  </r>
  <r>
    <x v="1"/>
    <x v="1"/>
    <x v="1"/>
    <x v="1"/>
    <x v="19"/>
    <x v="2"/>
    <x v="2"/>
    <n v="133"/>
  </r>
  <r>
    <x v="1"/>
    <x v="1"/>
    <x v="1"/>
    <x v="1"/>
    <x v="20"/>
    <x v="3"/>
    <x v="2"/>
    <n v="88"/>
  </r>
  <r>
    <x v="1"/>
    <x v="1"/>
    <x v="1"/>
    <x v="1"/>
    <x v="21"/>
    <x v="3"/>
    <x v="3"/>
    <n v="88"/>
  </r>
  <r>
    <x v="1"/>
    <x v="1"/>
    <x v="1"/>
    <x v="1"/>
    <x v="22"/>
    <x v="3"/>
    <x v="3"/>
    <n v="78"/>
  </r>
  <r>
    <x v="1"/>
    <x v="1"/>
    <x v="1"/>
    <x v="1"/>
    <x v="23"/>
    <x v="0"/>
    <x v="3"/>
    <n v="80"/>
  </r>
  <r>
    <x v="1"/>
    <x v="2"/>
    <x v="0"/>
    <x v="1"/>
    <x v="12"/>
    <x v="0"/>
    <x v="0"/>
    <n v="155"/>
  </r>
  <r>
    <x v="1"/>
    <x v="2"/>
    <x v="0"/>
    <x v="1"/>
    <x v="13"/>
    <x v="0"/>
    <x v="0"/>
    <n v="169"/>
  </r>
  <r>
    <x v="1"/>
    <x v="2"/>
    <x v="0"/>
    <x v="1"/>
    <x v="14"/>
    <x v="1"/>
    <x v="0"/>
    <n v="167"/>
  </r>
  <r>
    <x v="1"/>
    <x v="2"/>
    <x v="0"/>
    <x v="1"/>
    <x v="15"/>
    <x v="1"/>
    <x v="1"/>
    <n v="150"/>
  </r>
  <r>
    <x v="1"/>
    <x v="2"/>
    <x v="0"/>
    <x v="1"/>
    <x v="16"/>
    <x v="1"/>
    <x v="1"/>
    <n v="165"/>
  </r>
  <r>
    <x v="1"/>
    <x v="2"/>
    <x v="0"/>
    <x v="1"/>
    <x v="17"/>
    <x v="2"/>
    <x v="1"/>
    <n v="169"/>
  </r>
  <r>
    <x v="1"/>
    <x v="2"/>
    <x v="0"/>
    <x v="1"/>
    <x v="18"/>
    <x v="2"/>
    <x v="2"/>
    <n v="161"/>
  </r>
  <r>
    <x v="1"/>
    <x v="2"/>
    <x v="0"/>
    <x v="1"/>
    <x v="19"/>
    <x v="2"/>
    <x v="2"/>
    <n v="161"/>
  </r>
  <r>
    <x v="1"/>
    <x v="2"/>
    <x v="0"/>
    <x v="1"/>
    <x v="20"/>
    <x v="3"/>
    <x v="2"/>
    <n v="198"/>
  </r>
  <r>
    <x v="1"/>
    <x v="2"/>
    <x v="0"/>
    <x v="1"/>
    <x v="21"/>
    <x v="3"/>
    <x v="3"/>
    <n v="153"/>
  </r>
  <r>
    <x v="1"/>
    <x v="2"/>
    <x v="0"/>
    <x v="1"/>
    <x v="22"/>
    <x v="3"/>
    <x v="3"/>
    <n v="142"/>
  </r>
  <r>
    <x v="1"/>
    <x v="2"/>
    <x v="0"/>
    <x v="1"/>
    <x v="23"/>
    <x v="0"/>
    <x v="3"/>
    <n v="190"/>
  </r>
  <r>
    <x v="1"/>
    <x v="2"/>
    <x v="1"/>
    <x v="1"/>
    <x v="12"/>
    <x v="0"/>
    <x v="0"/>
    <n v="72"/>
  </r>
  <r>
    <x v="1"/>
    <x v="2"/>
    <x v="1"/>
    <x v="1"/>
    <x v="13"/>
    <x v="0"/>
    <x v="0"/>
    <n v="97"/>
  </r>
  <r>
    <x v="1"/>
    <x v="2"/>
    <x v="1"/>
    <x v="1"/>
    <x v="14"/>
    <x v="1"/>
    <x v="0"/>
    <n v="85"/>
  </r>
  <r>
    <x v="1"/>
    <x v="2"/>
    <x v="1"/>
    <x v="1"/>
    <x v="15"/>
    <x v="1"/>
    <x v="1"/>
    <n v="59"/>
  </r>
  <r>
    <x v="1"/>
    <x v="2"/>
    <x v="1"/>
    <x v="1"/>
    <x v="16"/>
    <x v="1"/>
    <x v="1"/>
    <n v="87"/>
  </r>
  <r>
    <x v="1"/>
    <x v="2"/>
    <x v="1"/>
    <x v="1"/>
    <x v="17"/>
    <x v="2"/>
    <x v="1"/>
    <n v="73"/>
  </r>
  <r>
    <x v="1"/>
    <x v="2"/>
    <x v="1"/>
    <x v="1"/>
    <x v="18"/>
    <x v="2"/>
    <x v="2"/>
    <n v="66"/>
  </r>
  <r>
    <x v="1"/>
    <x v="2"/>
    <x v="1"/>
    <x v="1"/>
    <x v="19"/>
    <x v="2"/>
    <x v="2"/>
    <n v="66"/>
  </r>
  <r>
    <x v="1"/>
    <x v="2"/>
    <x v="1"/>
    <x v="1"/>
    <x v="20"/>
    <x v="3"/>
    <x v="2"/>
    <n v="45"/>
  </r>
  <r>
    <x v="1"/>
    <x v="2"/>
    <x v="1"/>
    <x v="1"/>
    <x v="21"/>
    <x v="3"/>
    <x v="3"/>
    <n v="68"/>
  </r>
  <r>
    <x v="1"/>
    <x v="2"/>
    <x v="1"/>
    <x v="1"/>
    <x v="22"/>
    <x v="3"/>
    <x v="3"/>
    <n v="44"/>
  </r>
  <r>
    <x v="1"/>
    <x v="2"/>
    <x v="1"/>
    <x v="1"/>
    <x v="23"/>
    <x v="0"/>
    <x v="3"/>
    <n v="54"/>
  </r>
  <r>
    <x v="1"/>
    <x v="3"/>
    <x v="0"/>
    <x v="1"/>
    <x v="12"/>
    <x v="0"/>
    <x v="0"/>
    <n v="151"/>
  </r>
  <r>
    <x v="1"/>
    <x v="3"/>
    <x v="0"/>
    <x v="1"/>
    <x v="13"/>
    <x v="0"/>
    <x v="0"/>
    <n v="123"/>
  </r>
  <r>
    <x v="1"/>
    <x v="3"/>
    <x v="0"/>
    <x v="1"/>
    <x v="14"/>
    <x v="1"/>
    <x v="0"/>
    <n v="141"/>
  </r>
  <r>
    <x v="1"/>
    <x v="3"/>
    <x v="0"/>
    <x v="1"/>
    <x v="15"/>
    <x v="1"/>
    <x v="1"/>
    <n v="96"/>
  </r>
  <r>
    <x v="1"/>
    <x v="3"/>
    <x v="0"/>
    <x v="1"/>
    <x v="16"/>
    <x v="1"/>
    <x v="1"/>
    <n v="99"/>
  </r>
  <r>
    <x v="1"/>
    <x v="3"/>
    <x v="0"/>
    <x v="1"/>
    <x v="17"/>
    <x v="2"/>
    <x v="1"/>
    <n v="111"/>
  </r>
  <r>
    <x v="1"/>
    <x v="3"/>
    <x v="0"/>
    <x v="1"/>
    <x v="18"/>
    <x v="2"/>
    <x v="2"/>
    <n v="119"/>
  </r>
  <r>
    <x v="1"/>
    <x v="3"/>
    <x v="0"/>
    <x v="1"/>
    <x v="19"/>
    <x v="2"/>
    <x v="2"/>
    <n v="116"/>
  </r>
  <r>
    <x v="1"/>
    <x v="3"/>
    <x v="0"/>
    <x v="1"/>
    <x v="20"/>
    <x v="3"/>
    <x v="2"/>
    <n v="134"/>
  </r>
  <r>
    <x v="1"/>
    <x v="3"/>
    <x v="0"/>
    <x v="1"/>
    <x v="21"/>
    <x v="3"/>
    <x v="3"/>
    <n v="143"/>
  </r>
  <r>
    <x v="1"/>
    <x v="3"/>
    <x v="0"/>
    <x v="1"/>
    <x v="22"/>
    <x v="3"/>
    <x v="3"/>
    <n v="96"/>
  </r>
  <r>
    <x v="1"/>
    <x v="3"/>
    <x v="0"/>
    <x v="1"/>
    <x v="23"/>
    <x v="0"/>
    <x v="3"/>
    <n v="104"/>
  </r>
  <r>
    <x v="1"/>
    <x v="3"/>
    <x v="1"/>
    <x v="1"/>
    <x v="12"/>
    <x v="0"/>
    <x v="0"/>
    <n v="110"/>
  </r>
  <r>
    <x v="1"/>
    <x v="3"/>
    <x v="1"/>
    <x v="1"/>
    <x v="13"/>
    <x v="0"/>
    <x v="0"/>
    <n v="101"/>
  </r>
  <r>
    <x v="1"/>
    <x v="3"/>
    <x v="1"/>
    <x v="1"/>
    <x v="14"/>
    <x v="1"/>
    <x v="0"/>
    <n v="120"/>
  </r>
  <r>
    <x v="1"/>
    <x v="3"/>
    <x v="1"/>
    <x v="1"/>
    <x v="15"/>
    <x v="1"/>
    <x v="1"/>
    <n v="107"/>
  </r>
  <r>
    <x v="1"/>
    <x v="3"/>
    <x v="1"/>
    <x v="1"/>
    <x v="16"/>
    <x v="1"/>
    <x v="1"/>
    <n v="138"/>
  </r>
  <r>
    <x v="1"/>
    <x v="3"/>
    <x v="1"/>
    <x v="1"/>
    <x v="17"/>
    <x v="2"/>
    <x v="1"/>
    <n v="129"/>
  </r>
  <r>
    <x v="1"/>
    <x v="3"/>
    <x v="1"/>
    <x v="1"/>
    <x v="18"/>
    <x v="2"/>
    <x v="2"/>
    <n v="111"/>
  </r>
  <r>
    <x v="1"/>
    <x v="3"/>
    <x v="1"/>
    <x v="1"/>
    <x v="19"/>
    <x v="2"/>
    <x v="2"/>
    <n v="97"/>
  </r>
  <r>
    <x v="1"/>
    <x v="3"/>
    <x v="1"/>
    <x v="1"/>
    <x v="20"/>
    <x v="3"/>
    <x v="2"/>
    <n v="74"/>
  </r>
  <r>
    <x v="1"/>
    <x v="3"/>
    <x v="1"/>
    <x v="1"/>
    <x v="21"/>
    <x v="3"/>
    <x v="3"/>
    <n v="117"/>
  </r>
  <r>
    <x v="1"/>
    <x v="3"/>
    <x v="1"/>
    <x v="1"/>
    <x v="22"/>
    <x v="3"/>
    <x v="3"/>
    <n v="67"/>
  </r>
  <r>
    <x v="1"/>
    <x v="3"/>
    <x v="1"/>
    <x v="1"/>
    <x v="23"/>
    <x v="0"/>
    <x v="3"/>
    <n v="80"/>
  </r>
  <r>
    <x v="1"/>
    <x v="4"/>
    <x v="0"/>
    <x v="1"/>
    <x v="12"/>
    <x v="0"/>
    <x v="0"/>
    <n v="64"/>
  </r>
  <r>
    <x v="1"/>
    <x v="4"/>
    <x v="0"/>
    <x v="1"/>
    <x v="13"/>
    <x v="0"/>
    <x v="0"/>
    <n v="61"/>
  </r>
  <r>
    <x v="1"/>
    <x v="4"/>
    <x v="0"/>
    <x v="1"/>
    <x v="14"/>
    <x v="1"/>
    <x v="0"/>
    <n v="63"/>
  </r>
  <r>
    <x v="1"/>
    <x v="4"/>
    <x v="0"/>
    <x v="1"/>
    <x v="15"/>
    <x v="1"/>
    <x v="1"/>
    <n v="37"/>
  </r>
  <r>
    <x v="1"/>
    <x v="4"/>
    <x v="0"/>
    <x v="1"/>
    <x v="16"/>
    <x v="1"/>
    <x v="1"/>
    <n v="47"/>
  </r>
  <r>
    <x v="1"/>
    <x v="4"/>
    <x v="0"/>
    <x v="1"/>
    <x v="17"/>
    <x v="2"/>
    <x v="1"/>
    <n v="43"/>
  </r>
  <r>
    <x v="1"/>
    <x v="4"/>
    <x v="0"/>
    <x v="1"/>
    <x v="18"/>
    <x v="2"/>
    <x v="2"/>
    <n v="18"/>
  </r>
  <r>
    <x v="1"/>
    <x v="4"/>
    <x v="0"/>
    <x v="1"/>
    <x v="19"/>
    <x v="2"/>
    <x v="2"/>
    <n v="11"/>
  </r>
  <r>
    <x v="1"/>
    <x v="4"/>
    <x v="0"/>
    <x v="1"/>
    <x v="20"/>
    <x v="3"/>
    <x v="2"/>
    <n v="30"/>
  </r>
  <r>
    <x v="1"/>
    <x v="4"/>
    <x v="0"/>
    <x v="1"/>
    <x v="21"/>
    <x v="3"/>
    <x v="3"/>
    <n v="17"/>
  </r>
  <r>
    <x v="1"/>
    <x v="4"/>
    <x v="0"/>
    <x v="1"/>
    <x v="22"/>
    <x v="3"/>
    <x v="3"/>
    <n v="18"/>
  </r>
  <r>
    <x v="1"/>
    <x v="4"/>
    <x v="0"/>
    <x v="1"/>
    <x v="23"/>
    <x v="0"/>
    <x v="3"/>
    <n v="29"/>
  </r>
  <r>
    <x v="1"/>
    <x v="4"/>
    <x v="1"/>
    <x v="1"/>
    <x v="12"/>
    <x v="0"/>
    <x v="0"/>
    <n v="93"/>
  </r>
  <r>
    <x v="1"/>
    <x v="4"/>
    <x v="1"/>
    <x v="1"/>
    <x v="13"/>
    <x v="0"/>
    <x v="0"/>
    <n v="132"/>
  </r>
  <r>
    <x v="1"/>
    <x v="4"/>
    <x v="1"/>
    <x v="1"/>
    <x v="14"/>
    <x v="1"/>
    <x v="0"/>
    <n v="107"/>
  </r>
  <r>
    <x v="1"/>
    <x v="4"/>
    <x v="1"/>
    <x v="1"/>
    <x v="15"/>
    <x v="1"/>
    <x v="1"/>
    <n v="74"/>
  </r>
  <r>
    <x v="1"/>
    <x v="4"/>
    <x v="1"/>
    <x v="1"/>
    <x v="16"/>
    <x v="1"/>
    <x v="1"/>
    <n v="85"/>
  </r>
  <r>
    <x v="1"/>
    <x v="4"/>
    <x v="1"/>
    <x v="1"/>
    <x v="17"/>
    <x v="2"/>
    <x v="1"/>
    <n v="113"/>
  </r>
  <r>
    <x v="1"/>
    <x v="4"/>
    <x v="1"/>
    <x v="1"/>
    <x v="18"/>
    <x v="2"/>
    <x v="2"/>
    <n v="94"/>
  </r>
  <r>
    <x v="1"/>
    <x v="4"/>
    <x v="1"/>
    <x v="1"/>
    <x v="19"/>
    <x v="2"/>
    <x v="2"/>
    <n v="84"/>
  </r>
  <r>
    <x v="1"/>
    <x v="4"/>
    <x v="1"/>
    <x v="1"/>
    <x v="20"/>
    <x v="3"/>
    <x v="2"/>
    <n v="30"/>
  </r>
  <r>
    <x v="1"/>
    <x v="4"/>
    <x v="1"/>
    <x v="1"/>
    <x v="21"/>
    <x v="3"/>
    <x v="3"/>
    <n v="36"/>
  </r>
  <r>
    <x v="1"/>
    <x v="4"/>
    <x v="1"/>
    <x v="1"/>
    <x v="22"/>
    <x v="3"/>
    <x v="3"/>
    <n v="31"/>
  </r>
  <r>
    <x v="1"/>
    <x v="4"/>
    <x v="1"/>
    <x v="1"/>
    <x v="23"/>
    <x v="0"/>
    <x v="3"/>
    <n v="55"/>
  </r>
  <r>
    <x v="1"/>
    <x v="5"/>
    <x v="0"/>
    <x v="1"/>
    <x v="12"/>
    <x v="0"/>
    <x v="0"/>
    <n v="504"/>
  </r>
  <r>
    <x v="1"/>
    <x v="5"/>
    <x v="0"/>
    <x v="1"/>
    <x v="13"/>
    <x v="0"/>
    <x v="0"/>
    <n v="415"/>
  </r>
  <r>
    <x v="1"/>
    <x v="5"/>
    <x v="0"/>
    <x v="1"/>
    <x v="14"/>
    <x v="1"/>
    <x v="0"/>
    <n v="402"/>
  </r>
  <r>
    <x v="1"/>
    <x v="5"/>
    <x v="0"/>
    <x v="1"/>
    <x v="15"/>
    <x v="1"/>
    <x v="1"/>
    <n v="206"/>
  </r>
  <r>
    <x v="1"/>
    <x v="5"/>
    <x v="0"/>
    <x v="1"/>
    <x v="16"/>
    <x v="1"/>
    <x v="1"/>
    <n v="187"/>
  </r>
  <r>
    <x v="1"/>
    <x v="5"/>
    <x v="0"/>
    <x v="1"/>
    <x v="17"/>
    <x v="2"/>
    <x v="1"/>
    <n v="168"/>
  </r>
  <r>
    <x v="1"/>
    <x v="5"/>
    <x v="0"/>
    <x v="1"/>
    <x v="18"/>
    <x v="2"/>
    <x v="2"/>
    <n v="148"/>
  </r>
  <r>
    <x v="1"/>
    <x v="5"/>
    <x v="0"/>
    <x v="1"/>
    <x v="19"/>
    <x v="2"/>
    <x v="2"/>
    <n v="119"/>
  </r>
  <r>
    <x v="1"/>
    <x v="5"/>
    <x v="0"/>
    <x v="1"/>
    <x v="20"/>
    <x v="3"/>
    <x v="2"/>
    <n v="85"/>
  </r>
  <r>
    <x v="1"/>
    <x v="5"/>
    <x v="0"/>
    <x v="1"/>
    <x v="21"/>
    <x v="3"/>
    <x v="3"/>
    <n v="97"/>
  </r>
  <r>
    <x v="1"/>
    <x v="5"/>
    <x v="0"/>
    <x v="1"/>
    <x v="22"/>
    <x v="3"/>
    <x v="3"/>
    <n v="89"/>
  </r>
  <r>
    <x v="1"/>
    <x v="5"/>
    <x v="0"/>
    <x v="1"/>
    <x v="23"/>
    <x v="0"/>
    <x v="3"/>
    <n v="195"/>
  </r>
  <r>
    <x v="1"/>
    <x v="5"/>
    <x v="1"/>
    <x v="1"/>
    <x v="12"/>
    <x v="0"/>
    <x v="0"/>
    <n v="3786"/>
  </r>
  <r>
    <x v="1"/>
    <x v="5"/>
    <x v="1"/>
    <x v="1"/>
    <x v="13"/>
    <x v="0"/>
    <x v="0"/>
    <n v="3163"/>
  </r>
  <r>
    <x v="1"/>
    <x v="5"/>
    <x v="1"/>
    <x v="1"/>
    <x v="14"/>
    <x v="1"/>
    <x v="0"/>
    <n v="2445"/>
  </r>
  <r>
    <x v="1"/>
    <x v="5"/>
    <x v="1"/>
    <x v="1"/>
    <x v="15"/>
    <x v="1"/>
    <x v="1"/>
    <n v="1320"/>
  </r>
  <r>
    <x v="1"/>
    <x v="5"/>
    <x v="1"/>
    <x v="1"/>
    <x v="16"/>
    <x v="1"/>
    <x v="1"/>
    <n v="1595"/>
  </r>
  <r>
    <x v="1"/>
    <x v="5"/>
    <x v="1"/>
    <x v="1"/>
    <x v="17"/>
    <x v="2"/>
    <x v="1"/>
    <n v="1618"/>
  </r>
  <r>
    <x v="1"/>
    <x v="5"/>
    <x v="1"/>
    <x v="1"/>
    <x v="18"/>
    <x v="2"/>
    <x v="2"/>
    <n v="1953"/>
  </r>
  <r>
    <x v="1"/>
    <x v="5"/>
    <x v="1"/>
    <x v="1"/>
    <x v="19"/>
    <x v="2"/>
    <x v="2"/>
    <n v="1692"/>
  </r>
  <r>
    <x v="1"/>
    <x v="5"/>
    <x v="1"/>
    <x v="1"/>
    <x v="20"/>
    <x v="3"/>
    <x v="2"/>
    <n v="525"/>
  </r>
  <r>
    <x v="1"/>
    <x v="5"/>
    <x v="1"/>
    <x v="1"/>
    <x v="21"/>
    <x v="3"/>
    <x v="3"/>
    <n v="814"/>
  </r>
  <r>
    <x v="1"/>
    <x v="5"/>
    <x v="1"/>
    <x v="1"/>
    <x v="22"/>
    <x v="3"/>
    <x v="3"/>
    <n v="710"/>
  </r>
  <r>
    <x v="1"/>
    <x v="5"/>
    <x v="1"/>
    <x v="1"/>
    <x v="23"/>
    <x v="0"/>
    <x v="3"/>
    <n v="1981"/>
  </r>
  <r>
    <x v="2"/>
    <x v="0"/>
    <x v="0"/>
    <x v="2"/>
    <x v="24"/>
    <x v="0"/>
    <x v="0"/>
    <n v="110"/>
  </r>
  <r>
    <x v="2"/>
    <x v="0"/>
    <x v="0"/>
    <x v="2"/>
    <x v="25"/>
    <x v="0"/>
    <x v="0"/>
    <n v="83"/>
  </r>
  <r>
    <x v="2"/>
    <x v="0"/>
    <x v="0"/>
    <x v="2"/>
    <x v="26"/>
    <x v="1"/>
    <x v="0"/>
    <n v="44"/>
  </r>
  <r>
    <x v="2"/>
    <x v="0"/>
    <x v="0"/>
    <x v="2"/>
    <x v="27"/>
    <x v="1"/>
    <x v="1"/>
    <n v="23"/>
  </r>
  <r>
    <x v="2"/>
    <x v="0"/>
    <x v="0"/>
    <x v="2"/>
    <x v="28"/>
    <x v="1"/>
    <x v="1"/>
    <n v="33"/>
  </r>
  <r>
    <x v="2"/>
    <x v="0"/>
    <x v="0"/>
    <x v="2"/>
    <x v="29"/>
    <x v="2"/>
    <x v="1"/>
    <n v="54"/>
  </r>
  <r>
    <x v="2"/>
    <x v="0"/>
    <x v="0"/>
    <x v="2"/>
    <x v="30"/>
    <x v="2"/>
    <x v="2"/>
    <n v="79"/>
  </r>
  <r>
    <x v="2"/>
    <x v="0"/>
    <x v="0"/>
    <x v="2"/>
    <x v="31"/>
    <x v="2"/>
    <x v="2"/>
    <n v="135"/>
  </r>
  <r>
    <x v="2"/>
    <x v="0"/>
    <x v="0"/>
    <x v="2"/>
    <x v="32"/>
    <x v="3"/>
    <x v="2"/>
    <n v="175"/>
  </r>
  <r>
    <x v="2"/>
    <x v="0"/>
    <x v="0"/>
    <x v="2"/>
    <x v="33"/>
    <x v="3"/>
    <x v="3"/>
    <n v="181"/>
  </r>
  <r>
    <x v="2"/>
    <x v="0"/>
    <x v="0"/>
    <x v="2"/>
    <x v="34"/>
    <x v="3"/>
    <x v="3"/>
    <n v="189"/>
  </r>
  <r>
    <x v="2"/>
    <x v="0"/>
    <x v="0"/>
    <x v="2"/>
    <x v="35"/>
    <x v="0"/>
    <x v="3"/>
    <n v="135"/>
  </r>
  <r>
    <x v="2"/>
    <x v="0"/>
    <x v="1"/>
    <x v="2"/>
    <x v="30"/>
    <x v="2"/>
    <x v="2"/>
    <n v="1"/>
  </r>
  <r>
    <x v="2"/>
    <x v="0"/>
    <x v="1"/>
    <x v="2"/>
    <x v="34"/>
    <x v="3"/>
    <x v="3"/>
    <n v="1"/>
  </r>
  <r>
    <x v="2"/>
    <x v="1"/>
    <x v="0"/>
    <x v="2"/>
    <x v="24"/>
    <x v="0"/>
    <x v="0"/>
    <n v="420"/>
  </r>
  <r>
    <x v="2"/>
    <x v="1"/>
    <x v="0"/>
    <x v="2"/>
    <x v="25"/>
    <x v="0"/>
    <x v="0"/>
    <n v="393"/>
  </r>
  <r>
    <x v="2"/>
    <x v="1"/>
    <x v="0"/>
    <x v="2"/>
    <x v="26"/>
    <x v="1"/>
    <x v="0"/>
    <n v="401"/>
  </r>
  <r>
    <x v="2"/>
    <x v="1"/>
    <x v="0"/>
    <x v="2"/>
    <x v="27"/>
    <x v="1"/>
    <x v="1"/>
    <n v="466"/>
  </r>
  <r>
    <x v="2"/>
    <x v="1"/>
    <x v="0"/>
    <x v="2"/>
    <x v="28"/>
    <x v="1"/>
    <x v="1"/>
    <n v="410"/>
  </r>
  <r>
    <x v="2"/>
    <x v="1"/>
    <x v="0"/>
    <x v="2"/>
    <x v="29"/>
    <x v="2"/>
    <x v="1"/>
    <n v="394"/>
  </r>
  <r>
    <x v="2"/>
    <x v="1"/>
    <x v="0"/>
    <x v="2"/>
    <x v="30"/>
    <x v="2"/>
    <x v="2"/>
    <n v="423"/>
  </r>
  <r>
    <x v="2"/>
    <x v="1"/>
    <x v="0"/>
    <x v="2"/>
    <x v="31"/>
    <x v="2"/>
    <x v="2"/>
    <n v="401"/>
  </r>
  <r>
    <x v="2"/>
    <x v="1"/>
    <x v="0"/>
    <x v="2"/>
    <x v="32"/>
    <x v="3"/>
    <x v="2"/>
    <n v="466"/>
  </r>
  <r>
    <x v="2"/>
    <x v="1"/>
    <x v="0"/>
    <x v="2"/>
    <x v="33"/>
    <x v="3"/>
    <x v="3"/>
    <n v="496"/>
  </r>
  <r>
    <x v="2"/>
    <x v="1"/>
    <x v="0"/>
    <x v="2"/>
    <x v="34"/>
    <x v="3"/>
    <x v="3"/>
    <n v="417"/>
  </r>
  <r>
    <x v="2"/>
    <x v="1"/>
    <x v="0"/>
    <x v="2"/>
    <x v="35"/>
    <x v="0"/>
    <x v="3"/>
    <n v="432"/>
  </r>
  <r>
    <x v="2"/>
    <x v="1"/>
    <x v="1"/>
    <x v="2"/>
    <x v="24"/>
    <x v="0"/>
    <x v="0"/>
    <n v="71"/>
  </r>
  <r>
    <x v="2"/>
    <x v="1"/>
    <x v="1"/>
    <x v="2"/>
    <x v="25"/>
    <x v="0"/>
    <x v="0"/>
    <n v="96"/>
  </r>
  <r>
    <x v="2"/>
    <x v="1"/>
    <x v="1"/>
    <x v="2"/>
    <x v="26"/>
    <x v="1"/>
    <x v="0"/>
    <n v="93"/>
  </r>
  <r>
    <x v="2"/>
    <x v="1"/>
    <x v="1"/>
    <x v="2"/>
    <x v="27"/>
    <x v="1"/>
    <x v="1"/>
    <n v="105"/>
  </r>
  <r>
    <x v="2"/>
    <x v="1"/>
    <x v="1"/>
    <x v="2"/>
    <x v="28"/>
    <x v="1"/>
    <x v="1"/>
    <n v="83"/>
  </r>
  <r>
    <x v="2"/>
    <x v="1"/>
    <x v="1"/>
    <x v="2"/>
    <x v="29"/>
    <x v="2"/>
    <x v="1"/>
    <n v="71"/>
  </r>
  <r>
    <x v="2"/>
    <x v="1"/>
    <x v="1"/>
    <x v="2"/>
    <x v="30"/>
    <x v="2"/>
    <x v="2"/>
    <n v="85"/>
  </r>
  <r>
    <x v="2"/>
    <x v="1"/>
    <x v="1"/>
    <x v="2"/>
    <x v="31"/>
    <x v="2"/>
    <x v="2"/>
    <n v="99"/>
  </r>
  <r>
    <x v="2"/>
    <x v="1"/>
    <x v="1"/>
    <x v="2"/>
    <x v="32"/>
    <x v="3"/>
    <x v="2"/>
    <n v="101"/>
  </r>
  <r>
    <x v="2"/>
    <x v="1"/>
    <x v="1"/>
    <x v="2"/>
    <x v="33"/>
    <x v="3"/>
    <x v="3"/>
    <n v="64"/>
  </r>
  <r>
    <x v="2"/>
    <x v="1"/>
    <x v="1"/>
    <x v="2"/>
    <x v="34"/>
    <x v="3"/>
    <x v="3"/>
    <n v="85"/>
  </r>
  <r>
    <x v="2"/>
    <x v="1"/>
    <x v="1"/>
    <x v="2"/>
    <x v="35"/>
    <x v="0"/>
    <x v="3"/>
    <n v="87"/>
  </r>
  <r>
    <x v="2"/>
    <x v="2"/>
    <x v="0"/>
    <x v="2"/>
    <x v="24"/>
    <x v="0"/>
    <x v="0"/>
    <n v="154"/>
  </r>
  <r>
    <x v="2"/>
    <x v="2"/>
    <x v="0"/>
    <x v="2"/>
    <x v="25"/>
    <x v="0"/>
    <x v="0"/>
    <n v="177"/>
  </r>
  <r>
    <x v="2"/>
    <x v="2"/>
    <x v="0"/>
    <x v="2"/>
    <x v="26"/>
    <x v="1"/>
    <x v="0"/>
    <n v="133"/>
  </r>
  <r>
    <x v="2"/>
    <x v="2"/>
    <x v="0"/>
    <x v="2"/>
    <x v="27"/>
    <x v="1"/>
    <x v="1"/>
    <n v="158"/>
  </r>
  <r>
    <x v="2"/>
    <x v="2"/>
    <x v="0"/>
    <x v="2"/>
    <x v="28"/>
    <x v="1"/>
    <x v="1"/>
    <n v="135"/>
  </r>
  <r>
    <x v="2"/>
    <x v="2"/>
    <x v="0"/>
    <x v="2"/>
    <x v="29"/>
    <x v="2"/>
    <x v="1"/>
    <n v="149"/>
  </r>
  <r>
    <x v="2"/>
    <x v="2"/>
    <x v="0"/>
    <x v="2"/>
    <x v="30"/>
    <x v="2"/>
    <x v="2"/>
    <n v="153"/>
  </r>
  <r>
    <x v="2"/>
    <x v="2"/>
    <x v="0"/>
    <x v="2"/>
    <x v="31"/>
    <x v="2"/>
    <x v="2"/>
    <n v="159"/>
  </r>
  <r>
    <x v="2"/>
    <x v="2"/>
    <x v="0"/>
    <x v="2"/>
    <x v="32"/>
    <x v="3"/>
    <x v="2"/>
    <n v="171"/>
  </r>
  <r>
    <x v="2"/>
    <x v="2"/>
    <x v="0"/>
    <x v="2"/>
    <x v="33"/>
    <x v="3"/>
    <x v="3"/>
    <n v="147"/>
  </r>
  <r>
    <x v="2"/>
    <x v="2"/>
    <x v="0"/>
    <x v="2"/>
    <x v="34"/>
    <x v="3"/>
    <x v="3"/>
    <n v="170"/>
  </r>
  <r>
    <x v="2"/>
    <x v="2"/>
    <x v="0"/>
    <x v="2"/>
    <x v="35"/>
    <x v="0"/>
    <x v="3"/>
    <n v="148"/>
  </r>
  <r>
    <x v="2"/>
    <x v="2"/>
    <x v="1"/>
    <x v="2"/>
    <x v="24"/>
    <x v="0"/>
    <x v="0"/>
    <n v="94"/>
  </r>
  <r>
    <x v="2"/>
    <x v="2"/>
    <x v="1"/>
    <x v="2"/>
    <x v="25"/>
    <x v="0"/>
    <x v="0"/>
    <n v="86"/>
  </r>
  <r>
    <x v="2"/>
    <x v="2"/>
    <x v="1"/>
    <x v="2"/>
    <x v="26"/>
    <x v="1"/>
    <x v="0"/>
    <n v="76"/>
  </r>
  <r>
    <x v="2"/>
    <x v="2"/>
    <x v="1"/>
    <x v="2"/>
    <x v="27"/>
    <x v="1"/>
    <x v="1"/>
    <n v="96"/>
  </r>
  <r>
    <x v="2"/>
    <x v="2"/>
    <x v="1"/>
    <x v="2"/>
    <x v="28"/>
    <x v="1"/>
    <x v="1"/>
    <n v="72"/>
  </r>
  <r>
    <x v="2"/>
    <x v="2"/>
    <x v="1"/>
    <x v="2"/>
    <x v="29"/>
    <x v="2"/>
    <x v="1"/>
    <n v="74"/>
  </r>
  <r>
    <x v="2"/>
    <x v="2"/>
    <x v="1"/>
    <x v="2"/>
    <x v="30"/>
    <x v="2"/>
    <x v="2"/>
    <n v="71"/>
  </r>
  <r>
    <x v="2"/>
    <x v="2"/>
    <x v="1"/>
    <x v="2"/>
    <x v="31"/>
    <x v="2"/>
    <x v="2"/>
    <n v="71"/>
  </r>
  <r>
    <x v="2"/>
    <x v="2"/>
    <x v="1"/>
    <x v="2"/>
    <x v="32"/>
    <x v="3"/>
    <x v="2"/>
    <n v="49"/>
  </r>
  <r>
    <x v="2"/>
    <x v="2"/>
    <x v="1"/>
    <x v="2"/>
    <x v="33"/>
    <x v="3"/>
    <x v="3"/>
    <n v="58"/>
  </r>
  <r>
    <x v="2"/>
    <x v="2"/>
    <x v="1"/>
    <x v="2"/>
    <x v="34"/>
    <x v="3"/>
    <x v="3"/>
    <n v="46"/>
  </r>
  <r>
    <x v="2"/>
    <x v="2"/>
    <x v="1"/>
    <x v="2"/>
    <x v="35"/>
    <x v="0"/>
    <x v="3"/>
    <n v="70"/>
  </r>
  <r>
    <x v="2"/>
    <x v="3"/>
    <x v="0"/>
    <x v="2"/>
    <x v="24"/>
    <x v="0"/>
    <x v="0"/>
    <n v="130"/>
  </r>
  <r>
    <x v="2"/>
    <x v="3"/>
    <x v="0"/>
    <x v="2"/>
    <x v="25"/>
    <x v="0"/>
    <x v="0"/>
    <n v="99"/>
  </r>
  <r>
    <x v="2"/>
    <x v="3"/>
    <x v="0"/>
    <x v="2"/>
    <x v="26"/>
    <x v="1"/>
    <x v="0"/>
    <n v="119"/>
  </r>
  <r>
    <x v="2"/>
    <x v="3"/>
    <x v="0"/>
    <x v="2"/>
    <x v="27"/>
    <x v="1"/>
    <x v="1"/>
    <n v="98"/>
  </r>
  <r>
    <x v="2"/>
    <x v="3"/>
    <x v="0"/>
    <x v="2"/>
    <x v="28"/>
    <x v="1"/>
    <x v="1"/>
    <n v="128"/>
  </r>
  <r>
    <x v="2"/>
    <x v="3"/>
    <x v="0"/>
    <x v="2"/>
    <x v="29"/>
    <x v="2"/>
    <x v="1"/>
    <n v="100"/>
  </r>
  <r>
    <x v="2"/>
    <x v="3"/>
    <x v="0"/>
    <x v="2"/>
    <x v="30"/>
    <x v="2"/>
    <x v="2"/>
    <n v="92"/>
  </r>
  <r>
    <x v="2"/>
    <x v="3"/>
    <x v="0"/>
    <x v="2"/>
    <x v="31"/>
    <x v="2"/>
    <x v="2"/>
    <n v="78"/>
  </r>
  <r>
    <x v="2"/>
    <x v="3"/>
    <x v="0"/>
    <x v="2"/>
    <x v="32"/>
    <x v="3"/>
    <x v="2"/>
    <n v="99"/>
  </r>
  <r>
    <x v="2"/>
    <x v="3"/>
    <x v="0"/>
    <x v="2"/>
    <x v="33"/>
    <x v="3"/>
    <x v="3"/>
    <n v="84"/>
  </r>
  <r>
    <x v="2"/>
    <x v="3"/>
    <x v="0"/>
    <x v="2"/>
    <x v="34"/>
    <x v="3"/>
    <x v="3"/>
    <n v="94"/>
  </r>
  <r>
    <x v="2"/>
    <x v="3"/>
    <x v="0"/>
    <x v="2"/>
    <x v="35"/>
    <x v="0"/>
    <x v="3"/>
    <n v="126"/>
  </r>
  <r>
    <x v="2"/>
    <x v="3"/>
    <x v="1"/>
    <x v="2"/>
    <x v="24"/>
    <x v="0"/>
    <x v="0"/>
    <n v="124"/>
  </r>
  <r>
    <x v="2"/>
    <x v="3"/>
    <x v="1"/>
    <x v="2"/>
    <x v="25"/>
    <x v="0"/>
    <x v="0"/>
    <n v="96"/>
  </r>
  <r>
    <x v="2"/>
    <x v="3"/>
    <x v="1"/>
    <x v="2"/>
    <x v="26"/>
    <x v="1"/>
    <x v="0"/>
    <n v="99"/>
  </r>
  <r>
    <x v="2"/>
    <x v="3"/>
    <x v="1"/>
    <x v="2"/>
    <x v="27"/>
    <x v="1"/>
    <x v="1"/>
    <n v="87"/>
  </r>
  <r>
    <x v="2"/>
    <x v="3"/>
    <x v="1"/>
    <x v="2"/>
    <x v="28"/>
    <x v="1"/>
    <x v="1"/>
    <n v="97"/>
  </r>
  <r>
    <x v="2"/>
    <x v="3"/>
    <x v="1"/>
    <x v="2"/>
    <x v="29"/>
    <x v="2"/>
    <x v="1"/>
    <n v="88"/>
  </r>
  <r>
    <x v="2"/>
    <x v="3"/>
    <x v="1"/>
    <x v="2"/>
    <x v="30"/>
    <x v="2"/>
    <x v="2"/>
    <n v="100"/>
  </r>
  <r>
    <x v="2"/>
    <x v="3"/>
    <x v="1"/>
    <x v="2"/>
    <x v="31"/>
    <x v="2"/>
    <x v="2"/>
    <n v="100"/>
  </r>
  <r>
    <x v="2"/>
    <x v="3"/>
    <x v="1"/>
    <x v="2"/>
    <x v="32"/>
    <x v="3"/>
    <x v="2"/>
    <n v="71"/>
  </r>
  <r>
    <x v="2"/>
    <x v="3"/>
    <x v="1"/>
    <x v="2"/>
    <x v="33"/>
    <x v="3"/>
    <x v="3"/>
    <n v="80"/>
  </r>
  <r>
    <x v="2"/>
    <x v="3"/>
    <x v="1"/>
    <x v="2"/>
    <x v="34"/>
    <x v="3"/>
    <x v="3"/>
    <n v="73"/>
  </r>
  <r>
    <x v="2"/>
    <x v="3"/>
    <x v="1"/>
    <x v="2"/>
    <x v="35"/>
    <x v="0"/>
    <x v="3"/>
    <n v="100"/>
  </r>
  <r>
    <x v="2"/>
    <x v="4"/>
    <x v="0"/>
    <x v="2"/>
    <x v="24"/>
    <x v="0"/>
    <x v="0"/>
    <n v="60"/>
  </r>
  <r>
    <x v="2"/>
    <x v="4"/>
    <x v="0"/>
    <x v="2"/>
    <x v="25"/>
    <x v="0"/>
    <x v="0"/>
    <n v="46"/>
  </r>
  <r>
    <x v="2"/>
    <x v="4"/>
    <x v="0"/>
    <x v="2"/>
    <x v="26"/>
    <x v="1"/>
    <x v="0"/>
    <n v="30"/>
  </r>
  <r>
    <x v="2"/>
    <x v="4"/>
    <x v="0"/>
    <x v="2"/>
    <x v="27"/>
    <x v="1"/>
    <x v="1"/>
    <n v="24"/>
  </r>
  <r>
    <x v="2"/>
    <x v="4"/>
    <x v="0"/>
    <x v="2"/>
    <x v="28"/>
    <x v="1"/>
    <x v="1"/>
    <n v="41"/>
  </r>
  <r>
    <x v="2"/>
    <x v="4"/>
    <x v="0"/>
    <x v="2"/>
    <x v="29"/>
    <x v="2"/>
    <x v="1"/>
    <n v="38"/>
  </r>
  <r>
    <x v="2"/>
    <x v="4"/>
    <x v="0"/>
    <x v="2"/>
    <x v="30"/>
    <x v="2"/>
    <x v="2"/>
    <n v="29"/>
  </r>
  <r>
    <x v="2"/>
    <x v="4"/>
    <x v="0"/>
    <x v="2"/>
    <x v="31"/>
    <x v="2"/>
    <x v="2"/>
    <n v="15"/>
  </r>
  <r>
    <x v="2"/>
    <x v="4"/>
    <x v="0"/>
    <x v="2"/>
    <x v="32"/>
    <x v="3"/>
    <x v="2"/>
    <n v="30"/>
  </r>
  <r>
    <x v="2"/>
    <x v="4"/>
    <x v="0"/>
    <x v="2"/>
    <x v="33"/>
    <x v="3"/>
    <x v="3"/>
    <n v="26"/>
  </r>
  <r>
    <x v="2"/>
    <x v="4"/>
    <x v="0"/>
    <x v="2"/>
    <x v="34"/>
    <x v="3"/>
    <x v="3"/>
    <n v="21"/>
  </r>
  <r>
    <x v="2"/>
    <x v="4"/>
    <x v="0"/>
    <x v="2"/>
    <x v="35"/>
    <x v="0"/>
    <x v="3"/>
    <n v="53"/>
  </r>
  <r>
    <x v="2"/>
    <x v="4"/>
    <x v="1"/>
    <x v="2"/>
    <x v="24"/>
    <x v="0"/>
    <x v="0"/>
    <n v="102"/>
  </r>
  <r>
    <x v="2"/>
    <x v="4"/>
    <x v="1"/>
    <x v="2"/>
    <x v="25"/>
    <x v="0"/>
    <x v="0"/>
    <n v="76"/>
  </r>
  <r>
    <x v="2"/>
    <x v="4"/>
    <x v="1"/>
    <x v="2"/>
    <x v="26"/>
    <x v="1"/>
    <x v="0"/>
    <n v="68"/>
  </r>
  <r>
    <x v="2"/>
    <x v="4"/>
    <x v="1"/>
    <x v="2"/>
    <x v="27"/>
    <x v="1"/>
    <x v="1"/>
    <n v="86"/>
  </r>
  <r>
    <x v="2"/>
    <x v="4"/>
    <x v="1"/>
    <x v="2"/>
    <x v="28"/>
    <x v="1"/>
    <x v="1"/>
    <n v="74"/>
  </r>
  <r>
    <x v="2"/>
    <x v="4"/>
    <x v="1"/>
    <x v="2"/>
    <x v="29"/>
    <x v="2"/>
    <x v="1"/>
    <n v="55"/>
  </r>
  <r>
    <x v="2"/>
    <x v="4"/>
    <x v="1"/>
    <x v="2"/>
    <x v="30"/>
    <x v="2"/>
    <x v="2"/>
    <n v="68"/>
  </r>
  <r>
    <x v="2"/>
    <x v="4"/>
    <x v="1"/>
    <x v="2"/>
    <x v="31"/>
    <x v="2"/>
    <x v="2"/>
    <n v="82"/>
  </r>
  <r>
    <x v="2"/>
    <x v="4"/>
    <x v="1"/>
    <x v="2"/>
    <x v="32"/>
    <x v="3"/>
    <x v="2"/>
    <n v="22"/>
  </r>
  <r>
    <x v="2"/>
    <x v="4"/>
    <x v="1"/>
    <x v="2"/>
    <x v="33"/>
    <x v="3"/>
    <x v="3"/>
    <n v="29"/>
  </r>
  <r>
    <x v="2"/>
    <x v="4"/>
    <x v="1"/>
    <x v="2"/>
    <x v="34"/>
    <x v="3"/>
    <x v="3"/>
    <n v="38"/>
  </r>
  <r>
    <x v="2"/>
    <x v="4"/>
    <x v="1"/>
    <x v="2"/>
    <x v="35"/>
    <x v="0"/>
    <x v="3"/>
    <n v="62"/>
  </r>
  <r>
    <x v="2"/>
    <x v="5"/>
    <x v="0"/>
    <x v="2"/>
    <x v="24"/>
    <x v="0"/>
    <x v="0"/>
    <n v="457"/>
  </r>
  <r>
    <x v="2"/>
    <x v="5"/>
    <x v="0"/>
    <x v="2"/>
    <x v="25"/>
    <x v="0"/>
    <x v="0"/>
    <n v="354"/>
  </r>
  <r>
    <x v="2"/>
    <x v="5"/>
    <x v="0"/>
    <x v="2"/>
    <x v="26"/>
    <x v="1"/>
    <x v="0"/>
    <n v="212"/>
  </r>
  <r>
    <x v="2"/>
    <x v="5"/>
    <x v="0"/>
    <x v="2"/>
    <x v="27"/>
    <x v="1"/>
    <x v="1"/>
    <n v="236"/>
  </r>
  <r>
    <x v="2"/>
    <x v="5"/>
    <x v="0"/>
    <x v="2"/>
    <x v="28"/>
    <x v="1"/>
    <x v="1"/>
    <n v="146"/>
  </r>
  <r>
    <x v="2"/>
    <x v="5"/>
    <x v="0"/>
    <x v="2"/>
    <x v="29"/>
    <x v="2"/>
    <x v="1"/>
    <n v="141"/>
  </r>
  <r>
    <x v="2"/>
    <x v="5"/>
    <x v="0"/>
    <x v="2"/>
    <x v="30"/>
    <x v="2"/>
    <x v="2"/>
    <n v="129"/>
  </r>
  <r>
    <x v="2"/>
    <x v="5"/>
    <x v="0"/>
    <x v="2"/>
    <x v="31"/>
    <x v="2"/>
    <x v="2"/>
    <n v="102"/>
  </r>
  <r>
    <x v="2"/>
    <x v="5"/>
    <x v="0"/>
    <x v="2"/>
    <x v="32"/>
    <x v="3"/>
    <x v="2"/>
    <n v="88"/>
  </r>
  <r>
    <x v="2"/>
    <x v="5"/>
    <x v="0"/>
    <x v="2"/>
    <x v="33"/>
    <x v="3"/>
    <x v="3"/>
    <n v="97"/>
  </r>
  <r>
    <x v="2"/>
    <x v="5"/>
    <x v="0"/>
    <x v="2"/>
    <x v="34"/>
    <x v="3"/>
    <x v="3"/>
    <n v="117"/>
  </r>
  <r>
    <x v="2"/>
    <x v="5"/>
    <x v="0"/>
    <x v="2"/>
    <x v="35"/>
    <x v="0"/>
    <x v="3"/>
    <n v="406"/>
  </r>
  <r>
    <x v="2"/>
    <x v="5"/>
    <x v="1"/>
    <x v="2"/>
    <x v="24"/>
    <x v="0"/>
    <x v="0"/>
    <n v="2471"/>
  </r>
  <r>
    <x v="2"/>
    <x v="5"/>
    <x v="1"/>
    <x v="2"/>
    <x v="25"/>
    <x v="0"/>
    <x v="0"/>
    <n v="1589"/>
  </r>
  <r>
    <x v="2"/>
    <x v="5"/>
    <x v="1"/>
    <x v="2"/>
    <x v="26"/>
    <x v="1"/>
    <x v="0"/>
    <n v="1224"/>
  </r>
  <r>
    <x v="2"/>
    <x v="5"/>
    <x v="1"/>
    <x v="2"/>
    <x v="27"/>
    <x v="1"/>
    <x v="1"/>
    <n v="1568"/>
  </r>
  <r>
    <x v="2"/>
    <x v="5"/>
    <x v="1"/>
    <x v="2"/>
    <x v="28"/>
    <x v="1"/>
    <x v="1"/>
    <n v="1089"/>
  </r>
  <r>
    <x v="2"/>
    <x v="5"/>
    <x v="1"/>
    <x v="2"/>
    <x v="29"/>
    <x v="2"/>
    <x v="1"/>
    <n v="1019"/>
  </r>
  <r>
    <x v="2"/>
    <x v="5"/>
    <x v="1"/>
    <x v="2"/>
    <x v="30"/>
    <x v="2"/>
    <x v="2"/>
    <n v="1203"/>
  </r>
  <r>
    <x v="2"/>
    <x v="5"/>
    <x v="1"/>
    <x v="2"/>
    <x v="31"/>
    <x v="2"/>
    <x v="2"/>
    <n v="2002"/>
  </r>
  <r>
    <x v="2"/>
    <x v="5"/>
    <x v="1"/>
    <x v="2"/>
    <x v="32"/>
    <x v="3"/>
    <x v="2"/>
    <n v="463"/>
  </r>
  <r>
    <x v="2"/>
    <x v="5"/>
    <x v="1"/>
    <x v="2"/>
    <x v="33"/>
    <x v="3"/>
    <x v="3"/>
    <n v="623"/>
  </r>
  <r>
    <x v="2"/>
    <x v="5"/>
    <x v="1"/>
    <x v="2"/>
    <x v="34"/>
    <x v="3"/>
    <x v="3"/>
    <n v="798"/>
  </r>
  <r>
    <x v="2"/>
    <x v="5"/>
    <x v="1"/>
    <x v="2"/>
    <x v="35"/>
    <x v="0"/>
    <x v="3"/>
    <n v="2149"/>
  </r>
  <r>
    <x v="3"/>
    <x v="0"/>
    <x v="0"/>
    <x v="3"/>
    <x v="36"/>
    <x v="0"/>
    <x v="0"/>
    <n v="120"/>
  </r>
  <r>
    <x v="3"/>
    <x v="0"/>
    <x v="0"/>
    <x v="3"/>
    <x v="37"/>
    <x v="0"/>
    <x v="0"/>
    <n v="83"/>
  </r>
  <r>
    <x v="3"/>
    <x v="0"/>
    <x v="0"/>
    <x v="3"/>
    <x v="38"/>
    <x v="1"/>
    <x v="0"/>
    <n v="46"/>
  </r>
  <r>
    <x v="3"/>
    <x v="0"/>
    <x v="0"/>
    <x v="3"/>
    <x v="39"/>
    <x v="1"/>
    <x v="1"/>
    <n v="29"/>
  </r>
  <r>
    <x v="3"/>
    <x v="0"/>
    <x v="0"/>
    <x v="3"/>
    <x v="40"/>
    <x v="1"/>
    <x v="1"/>
    <n v="25"/>
  </r>
  <r>
    <x v="3"/>
    <x v="0"/>
    <x v="0"/>
    <x v="3"/>
    <x v="41"/>
    <x v="2"/>
    <x v="1"/>
    <n v="46"/>
  </r>
  <r>
    <x v="3"/>
    <x v="0"/>
    <x v="0"/>
    <x v="3"/>
    <x v="42"/>
    <x v="2"/>
    <x v="2"/>
    <n v="94"/>
  </r>
  <r>
    <x v="3"/>
    <x v="0"/>
    <x v="0"/>
    <x v="3"/>
    <x v="43"/>
    <x v="2"/>
    <x v="2"/>
    <n v="127"/>
  </r>
  <r>
    <x v="3"/>
    <x v="0"/>
    <x v="0"/>
    <x v="3"/>
    <x v="44"/>
    <x v="3"/>
    <x v="2"/>
    <n v="176"/>
  </r>
  <r>
    <x v="3"/>
    <x v="0"/>
    <x v="0"/>
    <x v="3"/>
    <x v="45"/>
    <x v="3"/>
    <x v="3"/>
    <n v="214"/>
  </r>
  <r>
    <x v="3"/>
    <x v="0"/>
    <x v="0"/>
    <x v="3"/>
    <x v="46"/>
    <x v="3"/>
    <x v="3"/>
    <n v="174"/>
  </r>
  <r>
    <x v="3"/>
    <x v="0"/>
    <x v="0"/>
    <x v="3"/>
    <x v="47"/>
    <x v="0"/>
    <x v="3"/>
    <n v="240"/>
  </r>
  <r>
    <x v="3"/>
    <x v="1"/>
    <x v="0"/>
    <x v="3"/>
    <x v="36"/>
    <x v="0"/>
    <x v="0"/>
    <n v="405"/>
  </r>
  <r>
    <x v="3"/>
    <x v="1"/>
    <x v="0"/>
    <x v="3"/>
    <x v="37"/>
    <x v="0"/>
    <x v="0"/>
    <n v="422"/>
  </r>
  <r>
    <x v="3"/>
    <x v="1"/>
    <x v="0"/>
    <x v="3"/>
    <x v="38"/>
    <x v="1"/>
    <x v="0"/>
    <n v="393"/>
  </r>
  <r>
    <x v="3"/>
    <x v="1"/>
    <x v="0"/>
    <x v="3"/>
    <x v="39"/>
    <x v="1"/>
    <x v="1"/>
    <n v="343"/>
  </r>
  <r>
    <x v="3"/>
    <x v="1"/>
    <x v="0"/>
    <x v="3"/>
    <x v="40"/>
    <x v="1"/>
    <x v="1"/>
    <n v="432"/>
  </r>
  <r>
    <x v="3"/>
    <x v="1"/>
    <x v="0"/>
    <x v="3"/>
    <x v="41"/>
    <x v="2"/>
    <x v="1"/>
    <n v="379"/>
  </r>
  <r>
    <x v="3"/>
    <x v="1"/>
    <x v="0"/>
    <x v="3"/>
    <x v="42"/>
    <x v="2"/>
    <x v="2"/>
    <n v="450"/>
  </r>
  <r>
    <x v="3"/>
    <x v="1"/>
    <x v="0"/>
    <x v="3"/>
    <x v="43"/>
    <x v="2"/>
    <x v="2"/>
    <n v="426"/>
  </r>
  <r>
    <x v="3"/>
    <x v="1"/>
    <x v="0"/>
    <x v="3"/>
    <x v="44"/>
    <x v="3"/>
    <x v="2"/>
    <n v="488"/>
  </r>
  <r>
    <x v="3"/>
    <x v="1"/>
    <x v="0"/>
    <x v="3"/>
    <x v="45"/>
    <x v="3"/>
    <x v="3"/>
    <n v="407"/>
  </r>
  <r>
    <x v="3"/>
    <x v="1"/>
    <x v="0"/>
    <x v="3"/>
    <x v="46"/>
    <x v="3"/>
    <x v="3"/>
    <n v="415"/>
  </r>
  <r>
    <x v="3"/>
    <x v="1"/>
    <x v="0"/>
    <x v="3"/>
    <x v="47"/>
    <x v="0"/>
    <x v="3"/>
    <n v="444"/>
  </r>
  <r>
    <x v="3"/>
    <x v="1"/>
    <x v="1"/>
    <x v="3"/>
    <x v="36"/>
    <x v="0"/>
    <x v="0"/>
    <n v="80"/>
  </r>
  <r>
    <x v="3"/>
    <x v="1"/>
    <x v="1"/>
    <x v="3"/>
    <x v="37"/>
    <x v="0"/>
    <x v="0"/>
    <n v="87"/>
  </r>
  <r>
    <x v="3"/>
    <x v="1"/>
    <x v="1"/>
    <x v="3"/>
    <x v="38"/>
    <x v="1"/>
    <x v="0"/>
    <n v="72"/>
  </r>
  <r>
    <x v="3"/>
    <x v="1"/>
    <x v="1"/>
    <x v="3"/>
    <x v="39"/>
    <x v="1"/>
    <x v="1"/>
    <n v="87"/>
  </r>
  <r>
    <x v="3"/>
    <x v="1"/>
    <x v="1"/>
    <x v="3"/>
    <x v="40"/>
    <x v="1"/>
    <x v="1"/>
    <n v="63"/>
  </r>
  <r>
    <x v="3"/>
    <x v="1"/>
    <x v="1"/>
    <x v="3"/>
    <x v="41"/>
    <x v="2"/>
    <x v="1"/>
    <n v="62"/>
  </r>
  <r>
    <x v="3"/>
    <x v="1"/>
    <x v="1"/>
    <x v="3"/>
    <x v="42"/>
    <x v="2"/>
    <x v="2"/>
    <n v="63"/>
  </r>
  <r>
    <x v="3"/>
    <x v="1"/>
    <x v="1"/>
    <x v="3"/>
    <x v="43"/>
    <x v="2"/>
    <x v="2"/>
    <n v="75"/>
  </r>
  <r>
    <x v="3"/>
    <x v="1"/>
    <x v="1"/>
    <x v="3"/>
    <x v="44"/>
    <x v="3"/>
    <x v="2"/>
    <n v="59"/>
  </r>
  <r>
    <x v="3"/>
    <x v="1"/>
    <x v="1"/>
    <x v="3"/>
    <x v="45"/>
    <x v="3"/>
    <x v="3"/>
    <n v="63"/>
  </r>
  <r>
    <x v="3"/>
    <x v="1"/>
    <x v="1"/>
    <x v="3"/>
    <x v="46"/>
    <x v="3"/>
    <x v="3"/>
    <n v="49"/>
  </r>
  <r>
    <x v="3"/>
    <x v="1"/>
    <x v="1"/>
    <x v="3"/>
    <x v="47"/>
    <x v="0"/>
    <x v="3"/>
    <n v="72"/>
  </r>
  <r>
    <x v="3"/>
    <x v="2"/>
    <x v="0"/>
    <x v="3"/>
    <x v="36"/>
    <x v="0"/>
    <x v="0"/>
    <n v="136"/>
  </r>
  <r>
    <x v="3"/>
    <x v="2"/>
    <x v="0"/>
    <x v="3"/>
    <x v="37"/>
    <x v="0"/>
    <x v="0"/>
    <n v="145"/>
  </r>
  <r>
    <x v="3"/>
    <x v="2"/>
    <x v="0"/>
    <x v="3"/>
    <x v="38"/>
    <x v="1"/>
    <x v="0"/>
    <n v="129"/>
  </r>
  <r>
    <x v="3"/>
    <x v="2"/>
    <x v="0"/>
    <x v="3"/>
    <x v="39"/>
    <x v="1"/>
    <x v="1"/>
    <n v="138"/>
  </r>
  <r>
    <x v="3"/>
    <x v="2"/>
    <x v="0"/>
    <x v="3"/>
    <x v="40"/>
    <x v="1"/>
    <x v="1"/>
    <n v="146"/>
  </r>
  <r>
    <x v="3"/>
    <x v="2"/>
    <x v="0"/>
    <x v="3"/>
    <x v="41"/>
    <x v="2"/>
    <x v="1"/>
    <n v="149"/>
  </r>
  <r>
    <x v="3"/>
    <x v="2"/>
    <x v="0"/>
    <x v="3"/>
    <x v="42"/>
    <x v="2"/>
    <x v="2"/>
    <n v="149"/>
  </r>
  <r>
    <x v="3"/>
    <x v="2"/>
    <x v="0"/>
    <x v="3"/>
    <x v="43"/>
    <x v="2"/>
    <x v="2"/>
    <n v="140"/>
  </r>
  <r>
    <x v="3"/>
    <x v="2"/>
    <x v="0"/>
    <x v="3"/>
    <x v="44"/>
    <x v="3"/>
    <x v="2"/>
    <n v="166"/>
  </r>
  <r>
    <x v="3"/>
    <x v="2"/>
    <x v="0"/>
    <x v="3"/>
    <x v="45"/>
    <x v="3"/>
    <x v="3"/>
    <n v="133"/>
  </r>
  <r>
    <x v="3"/>
    <x v="2"/>
    <x v="0"/>
    <x v="3"/>
    <x v="46"/>
    <x v="3"/>
    <x v="3"/>
    <n v="141"/>
  </r>
  <r>
    <x v="3"/>
    <x v="2"/>
    <x v="0"/>
    <x v="3"/>
    <x v="47"/>
    <x v="0"/>
    <x v="3"/>
    <n v="147"/>
  </r>
  <r>
    <x v="3"/>
    <x v="2"/>
    <x v="1"/>
    <x v="3"/>
    <x v="36"/>
    <x v="0"/>
    <x v="0"/>
    <n v="62"/>
  </r>
  <r>
    <x v="3"/>
    <x v="2"/>
    <x v="1"/>
    <x v="3"/>
    <x v="37"/>
    <x v="0"/>
    <x v="0"/>
    <n v="82"/>
  </r>
  <r>
    <x v="3"/>
    <x v="2"/>
    <x v="1"/>
    <x v="3"/>
    <x v="38"/>
    <x v="1"/>
    <x v="0"/>
    <n v="72"/>
  </r>
  <r>
    <x v="3"/>
    <x v="2"/>
    <x v="1"/>
    <x v="3"/>
    <x v="39"/>
    <x v="1"/>
    <x v="1"/>
    <n v="72"/>
  </r>
  <r>
    <x v="3"/>
    <x v="2"/>
    <x v="1"/>
    <x v="3"/>
    <x v="40"/>
    <x v="1"/>
    <x v="1"/>
    <n v="64"/>
  </r>
  <r>
    <x v="3"/>
    <x v="2"/>
    <x v="1"/>
    <x v="3"/>
    <x v="41"/>
    <x v="2"/>
    <x v="1"/>
    <n v="53"/>
  </r>
  <r>
    <x v="3"/>
    <x v="2"/>
    <x v="1"/>
    <x v="3"/>
    <x v="42"/>
    <x v="2"/>
    <x v="2"/>
    <n v="46"/>
  </r>
  <r>
    <x v="3"/>
    <x v="2"/>
    <x v="1"/>
    <x v="3"/>
    <x v="43"/>
    <x v="2"/>
    <x v="2"/>
    <n v="56"/>
  </r>
  <r>
    <x v="3"/>
    <x v="2"/>
    <x v="1"/>
    <x v="3"/>
    <x v="44"/>
    <x v="3"/>
    <x v="2"/>
    <n v="52"/>
  </r>
  <r>
    <x v="3"/>
    <x v="2"/>
    <x v="1"/>
    <x v="3"/>
    <x v="45"/>
    <x v="3"/>
    <x v="3"/>
    <n v="45"/>
  </r>
  <r>
    <x v="3"/>
    <x v="2"/>
    <x v="1"/>
    <x v="3"/>
    <x v="46"/>
    <x v="3"/>
    <x v="3"/>
    <n v="35"/>
  </r>
  <r>
    <x v="3"/>
    <x v="2"/>
    <x v="1"/>
    <x v="3"/>
    <x v="47"/>
    <x v="0"/>
    <x v="3"/>
    <n v="50"/>
  </r>
  <r>
    <x v="3"/>
    <x v="3"/>
    <x v="0"/>
    <x v="3"/>
    <x v="36"/>
    <x v="0"/>
    <x v="0"/>
    <n v="105"/>
  </r>
  <r>
    <x v="3"/>
    <x v="3"/>
    <x v="0"/>
    <x v="3"/>
    <x v="37"/>
    <x v="0"/>
    <x v="0"/>
    <n v="115"/>
  </r>
  <r>
    <x v="3"/>
    <x v="3"/>
    <x v="0"/>
    <x v="3"/>
    <x v="38"/>
    <x v="1"/>
    <x v="0"/>
    <n v="104"/>
  </r>
  <r>
    <x v="3"/>
    <x v="3"/>
    <x v="0"/>
    <x v="3"/>
    <x v="39"/>
    <x v="1"/>
    <x v="1"/>
    <n v="96"/>
  </r>
  <r>
    <x v="3"/>
    <x v="3"/>
    <x v="0"/>
    <x v="3"/>
    <x v="40"/>
    <x v="1"/>
    <x v="1"/>
    <n v="105"/>
  </r>
  <r>
    <x v="3"/>
    <x v="3"/>
    <x v="0"/>
    <x v="3"/>
    <x v="41"/>
    <x v="2"/>
    <x v="1"/>
    <n v="119"/>
  </r>
  <r>
    <x v="3"/>
    <x v="3"/>
    <x v="0"/>
    <x v="3"/>
    <x v="42"/>
    <x v="2"/>
    <x v="2"/>
    <n v="106"/>
  </r>
  <r>
    <x v="3"/>
    <x v="3"/>
    <x v="0"/>
    <x v="3"/>
    <x v="43"/>
    <x v="2"/>
    <x v="2"/>
    <n v="94"/>
  </r>
  <r>
    <x v="3"/>
    <x v="3"/>
    <x v="0"/>
    <x v="3"/>
    <x v="44"/>
    <x v="3"/>
    <x v="2"/>
    <n v="103"/>
  </r>
  <r>
    <x v="3"/>
    <x v="3"/>
    <x v="0"/>
    <x v="3"/>
    <x v="45"/>
    <x v="3"/>
    <x v="3"/>
    <n v="88"/>
  </r>
  <r>
    <x v="3"/>
    <x v="3"/>
    <x v="0"/>
    <x v="3"/>
    <x v="46"/>
    <x v="3"/>
    <x v="3"/>
    <n v="91"/>
  </r>
  <r>
    <x v="3"/>
    <x v="3"/>
    <x v="0"/>
    <x v="3"/>
    <x v="47"/>
    <x v="0"/>
    <x v="3"/>
    <n v="94"/>
  </r>
  <r>
    <x v="3"/>
    <x v="3"/>
    <x v="1"/>
    <x v="3"/>
    <x v="36"/>
    <x v="0"/>
    <x v="0"/>
    <n v="74"/>
  </r>
  <r>
    <x v="3"/>
    <x v="3"/>
    <x v="1"/>
    <x v="3"/>
    <x v="37"/>
    <x v="0"/>
    <x v="0"/>
    <n v="78"/>
  </r>
  <r>
    <x v="3"/>
    <x v="3"/>
    <x v="1"/>
    <x v="3"/>
    <x v="38"/>
    <x v="1"/>
    <x v="0"/>
    <n v="71"/>
  </r>
  <r>
    <x v="3"/>
    <x v="3"/>
    <x v="1"/>
    <x v="3"/>
    <x v="39"/>
    <x v="1"/>
    <x v="1"/>
    <n v="69"/>
  </r>
  <r>
    <x v="3"/>
    <x v="3"/>
    <x v="1"/>
    <x v="3"/>
    <x v="40"/>
    <x v="1"/>
    <x v="1"/>
    <n v="83"/>
  </r>
  <r>
    <x v="3"/>
    <x v="3"/>
    <x v="1"/>
    <x v="3"/>
    <x v="41"/>
    <x v="2"/>
    <x v="1"/>
    <n v="72"/>
  </r>
  <r>
    <x v="3"/>
    <x v="3"/>
    <x v="1"/>
    <x v="3"/>
    <x v="42"/>
    <x v="2"/>
    <x v="2"/>
    <n v="78"/>
  </r>
  <r>
    <x v="3"/>
    <x v="3"/>
    <x v="1"/>
    <x v="3"/>
    <x v="43"/>
    <x v="2"/>
    <x v="2"/>
    <n v="43"/>
  </r>
  <r>
    <x v="3"/>
    <x v="3"/>
    <x v="1"/>
    <x v="3"/>
    <x v="44"/>
    <x v="3"/>
    <x v="2"/>
    <n v="51"/>
  </r>
  <r>
    <x v="3"/>
    <x v="3"/>
    <x v="1"/>
    <x v="3"/>
    <x v="45"/>
    <x v="3"/>
    <x v="3"/>
    <n v="70"/>
  </r>
  <r>
    <x v="3"/>
    <x v="3"/>
    <x v="1"/>
    <x v="3"/>
    <x v="46"/>
    <x v="3"/>
    <x v="3"/>
    <n v="60"/>
  </r>
  <r>
    <x v="3"/>
    <x v="3"/>
    <x v="1"/>
    <x v="3"/>
    <x v="47"/>
    <x v="0"/>
    <x v="3"/>
    <n v="65"/>
  </r>
  <r>
    <x v="3"/>
    <x v="4"/>
    <x v="0"/>
    <x v="3"/>
    <x v="36"/>
    <x v="0"/>
    <x v="0"/>
    <n v="26"/>
  </r>
  <r>
    <x v="3"/>
    <x v="4"/>
    <x v="0"/>
    <x v="3"/>
    <x v="37"/>
    <x v="0"/>
    <x v="0"/>
    <n v="38"/>
  </r>
  <r>
    <x v="3"/>
    <x v="4"/>
    <x v="0"/>
    <x v="3"/>
    <x v="38"/>
    <x v="1"/>
    <x v="0"/>
    <n v="23"/>
  </r>
  <r>
    <x v="3"/>
    <x v="4"/>
    <x v="0"/>
    <x v="3"/>
    <x v="39"/>
    <x v="1"/>
    <x v="1"/>
    <n v="31"/>
  </r>
  <r>
    <x v="3"/>
    <x v="4"/>
    <x v="0"/>
    <x v="3"/>
    <x v="40"/>
    <x v="1"/>
    <x v="1"/>
    <n v="42"/>
  </r>
  <r>
    <x v="3"/>
    <x v="4"/>
    <x v="0"/>
    <x v="3"/>
    <x v="41"/>
    <x v="2"/>
    <x v="1"/>
    <n v="46"/>
  </r>
  <r>
    <x v="3"/>
    <x v="4"/>
    <x v="0"/>
    <x v="3"/>
    <x v="42"/>
    <x v="2"/>
    <x v="2"/>
    <n v="21"/>
  </r>
  <r>
    <x v="3"/>
    <x v="4"/>
    <x v="0"/>
    <x v="3"/>
    <x v="43"/>
    <x v="2"/>
    <x v="2"/>
    <n v="18"/>
  </r>
  <r>
    <x v="3"/>
    <x v="4"/>
    <x v="0"/>
    <x v="3"/>
    <x v="44"/>
    <x v="3"/>
    <x v="2"/>
    <n v="19"/>
  </r>
  <r>
    <x v="3"/>
    <x v="4"/>
    <x v="0"/>
    <x v="3"/>
    <x v="45"/>
    <x v="3"/>
    <x v="3"/>
    <n v="14"/>
  </r>
  <r>
    <x v="3"/>
    <x v="4"/>
    <x v="0"/>
    <x v="3"/>
    <x v="46"/>
    <x v="3"/>
    <x v="3"/>
    <n v="16"/>
  </r>
  <r>
    <x v="3"/>
    <x v="4"/>
    <x v="0"/>
    <x v="3"/>
    <x v="47"/>
    <x v="0"/>
    <x v="3"/>
    <n v="23"/>
  </r>
  <r>
    <x v="3"/>
    <x v="4"/>
    <x v="1"/>
    <x v="3"/>
    <x v="36"/>
    <x v="0"/>
    <x v="0"/>
    <n v="46"/>
  </r>
  <r>
    <x v="3"/>
    <x v="4"/>
    <x v="1"/>
    <x v="3"/>
    <x v="37"/>
    <x v="0"/>
    <x v="0"/>
    <n v="69"/>
  </r>
  <r>
    <x v="3"/>
    <x v="4"/>
    <x v="1"/>
    <x v="3"/>
    <x v="38"/>
    <x v="1"/>
    <x v="0"/>
    <n v="52"/>
  </r>
  <r>
    <x v="3"/>
    <x v="4"/>
    <x v="1"/>
    <x v="3"/>
    <x v="39"/>
    <x v="1"/>
    <x v="1"/>
    <n v="37"/>
  </r>
  <r>
    <x v="3"/>
    <x v="4"/>
    <x v="1"/>
    <x v="3"/>
    <x v="40"/>
    <x v="1"/>
    <x v="1"/>
    <n v="41"/>
  </r>
  <r>
    <x v="3"/>
    <x v="4"/>
    <x v="1"/>
    <x v="3"/>
    <x v="41"/>
    <x v="2"/>
    <x v="1"/>
    <n v="49"/>
  </r>
  <r>
    <x v="3"/>
    <x v="4"/>
    <x v="1"/>
    <x v="3"/>
    <x v="42"/>
    <x v="2"/>
    <x v="2"/>
    <n v="47"/>
  </r>
  <r>
    <x v="3"/>
    <x v="4"/>
    <x v="1"/>
    <x v="3"/>
    <x v="43"/>
    <x v="2"/>
    <x v="2"/>
    <n v="58"/>
  </r>
  <r>
    <x v="3"/>
    <x v="4"/>
    <x v="1"/>
    <x v="3"/>
    <x v="44"/>
    <x v="3"/>
    <x v="2"/>
    <n v="23"/>
  </r>
  <r>
    <x v="3"/>
    <x v="4"/>
    <x v="1"/>
    <x v="3"/>
    <x v="45"/>
    <x v="3"/>
    <x v="3"/>
    <n v="18"/>
  </r>
  <r>
    <x v="3"/>
    <x v="4"/>
    <x v="1"/>
    <x v="3"/>
    <x v="46"/>
    <x v="3"/>
    <x v="3"/>
    <n v="27"/>
  </r>
  <r>
    <x v="3"/>
    <x v="4"/>
    <x v="1"/>
    <x v="3"/>
    <x v="47"/>
    <x v="0"/>
    <x v="3"/>
    <n v="31"/>
  </r>
  <r>
    <x v="3"/>
    <x v="5"/>
    <x v="0"/>
    <x v="3"/>
    <x v="36"/>
    <x v="0"/>
    <x v="0"/>
    <n v="162"/>
  </r>
  <r>
    <x v="3"/>
    <x v="5"/>
    <x v="0"/>
    <x v="3"/>
    <x v="37"/>
    <x v="0"/>
    <x v="0"/>
    <n v="335"/>
  </r>
  <r>
    <x v="3"/>
    <x v="5"/>
    <x v="0"/>
    <x v="3"/>
    <x v="38"/>
    <x v="1"/>
    <x v="0"/>
    <n v="182"/>
  </r>
  <r>
    <x v="3"/>
    <x v="5"/>
    <x v="0"/>
    <x v="3"/>
    <x v="39"/>
    <x v="1"/>
    <x v="1"/>
    <n v="110"/>
  </r>
  <r>
    <x v="3"/>
    <x v="5"/>
    <x v="0"/>
    <x v="3"/>
    <x v="40"/>
    <x v="1"/>
    <x v="1"/>
    <n v="144"/>
  </r>
  <r>
    <x v="3"/>
    <x v="5"/>
    <x v="0"/>
    <x v="3"/>
    <x v="41"/>
    <x v="2"/>
    <x v="1"/>
    <n v="137"/>
  </r>
  <r>
    <x v="3"/>
    <x v="5"/>
    <x v="0"/>
    <x v="3"/>
    <x v="42"/>
    <x v="2"/>
    <x v="2"/>
    <n v="118"/>
  </r>
  <r>
    <x v="3"/>
    <x v="5"/>
    <x v="0"/>
    <x v="3"/>
    <x v="43"/>
    <x v="2"/>
    <x v="2"/>
    <n v="156"/>
  </r>
  <r>
    <x v="3"/>
    <x v="5"/>
    <x v="0"/>
    <x v="3"/>
    <x v="44"/>
    <x v="3"/>
    <x v="2"/>
    <n v="63"/>
  </r>
  <r>
    <x v="3"/>
    <x v="5"/>
    <x v="0"/>
    <x v="3"/>
    <x v="45"/>
    <x v="3"/>
    <x v="3"/>
    <n v="82"/>
  </r>
  <r>
    <x v="3"/>
    <x v="5"/>
    <x v="0"/>
    <x v="3"/>
    <x v="46"/>
    <x v="3"/>
    <x v="3"/>
    <n v="137"/>
  </r>
  <r>
    <x v="3"/>
    <x v="5"/>
    <x v="0"/>
    <x v="3"/>
    <x v="47"/>
    <x v="0"/>
    <x v="3"/>
    <n v="395"/>
  </r>
  <r>
    <x v="3"/>
    <x v="5"/>
    <x v="1"/>
    <x v="3"/>
    <x v="36"/>
    <x v="0"/>
    <x v="0"/>
    <n v="1516"/>
  </r>
  <r>
    <x v="3"/>
    <x v="5"/>
    <x v="1"/>
    <x v="3"/>
    <x v="37"/>
    <x v="0"/>
    <x v="0"/>
    <n v="1615"/>
  </r>
  <r>
    <x v="3"/>
    <x v="5"/>
    <x v="1"/>
    <x v="3"/>
    <x v="38"/>
    <x v="1"/>
    <x v="0"/>
    <n v="963"/>
  </r>
  <r>
    <x v="3"/>
    <x v="5"/>
    <x v="1"/>
    <x v="3"/>
    <x v="39"/>
    <x v="1"/>
    <x v="1"/>
    <n v="732"/>
  </r>
  <r>
    <x v="3"/>
    <x v="5"/>
    <x v="1"/>
    <x v="3"/>
    <x v="40"/>
    <x v="1"/>
    <x v="1"/>
    <n v="889"/>
  </r>
  <r>
    <x v="3"/>
    <x v="5"/>
    <x v="1"/>
    <x v="3"/>
    <x v="41"/>
    <x v="2"/>
    <x v="1"/>
    <n v="867"/>
  </r>
  <r>
    <x v="3"/>
    <x v="5"/>
    <x v="1"/>
    <x v="3"/>
    <x v="42"/>
    <x v="2"/>
    <x v="2"/>
    <n v="1210"/>
  </r>
  <r>
    <x v="3"/>
    <x v="5"/>
    <x v="1"/>
    <x v="3"/>
    <x v="43"/>
    <x v="2"/>
    <x v="2"/>
    <n v="1599"/>
  </r>
  <r>
    <x v="3"/>
    <x v="5"/>
    <x v="1"/>
    <x v="3"/>
    <x v="44"/>
    <x v="3"/>
    <x v="2"/>
    <n v="471"/>
  </r>
  <r>
    <x v="3"/>
    <x v="5"/>
    <x v="1"/>
    <x v="3"/>
    <x v="45"/>
    <x v="3"/>
    <x v="3"/>
    <n v="404"/>
  </r>
  <r>
    <x v="3"/>
    <x v="5"/>
    <x v="1"/>
    <x v="3"/>
    <x v="46"/>
    <x v="3"/>
    <x v="3"/>
    <n v="757"/>
  </r>
  <r>
    <x v="3"/>
    <x v="5"/>
    <x v="1"/>
    <x v="3"/>
    <x v="47"/>
    <x v="0"/>
    <x v="3"/>
    <n v="1229"/>
  </r>
  <r>
    <x v="4"/>
    <x v="0"/>
    <x v="0"/>
    <x v="4"/>
    <x v="48"/>
    <x v="0"/>
    <x v="0"/>
    <n v="159"/>
  </r>
  <r>
    <x v="4"/>
    <x v="0"/>
    <x v="0"/>
    <x v="4"/>
    <x v="49"/>
    <x v="0"/>
    <x v="0"/>
    <n v="84"/>
  </r>
  <r>
    <x v="4"/>
    <x v="0"/>
    <x v="0"/>
    <x v="4"/>
    <x v="50"/>
    <x v="1"/>
    <x v="0"/>
    <n v="41"/>
  </r>
  <r>
    <x v="4"/>
    <x v="0"/>
    <x v="0"/>
    <x v="4"/>
    <x v="51"/>
    <x v="1"/>
    <x v="1"/>
    <n v="16"/>
  </r>
  <r>
    <x v="4"/>
    <x v="0"/>
    <x v="0"/>
    <x v="4"/>
    <x v="52"/>
    <x v="1"/>
    <x v="1"/>
    <n v="20"/>
  </r>
  <r>
    <x v="4"/>
    <x v="0"/>
    <x v="0"/>
    <x v="4"/>
    <x v="53"/>
    <x v="2"/>
    <x v="1"/>
    <n v="31"/>
  </r>
  <r>
    <x v="4"/>
    <x v="0"/>
    <x v="0"/>
    <x v="4"/>
    <x v="54"/>
    <x v="2"/>
    <x v="2"/>
    <n v="84"/>
  </r>
  <r>
    <x v="4"/>
    <x v="0"/>
    <x v="0"/>
    <x v="4"/>
    <x v="55"/>
    <x v="2"/>
    <x v="2"/>
    <n v="117"/>
  </r>
  <r>
    <x v="4"/>
    <x v="0"/>
    <x v="0"/>
    <x v="4"/>
    <x v="56"/>
    <x v="3"/>
    <x v="2"/>
    <n v="137"/>
  </r>
  <r>
    <x v="4"/>
    <x v="0"/>
    <x v="0"/>
    <x v="4"/>
    <x v="57"/>
    <x v="3"/>
    <x v="3"/>
    <n v="135"/>
  </r>
  <r>
    <x v="4"/>
    <x v="0"/>
    <x v="0"/>
    <x v="4"/>
    <x v="58"/>
    <x v="3"/>
    <x v="3"/>
    <n v="126"/>
  </r>
  <r>
    <x v="4"/>
    <x v="0"/>
    <x v="0"/>
    <x v="4"/>
    <x v="59"/>
    <x v="0"/>
    <x v="3"/>
    <n v="141"/>
  </r>
  <r>
    <x v="4"/>
    <x v="0"/>
    <x v="1"/>
    <x v="4"/>
    <x v="48"/>
    <x v="0"/>
    <x v="0"/>
    <n v="1"/>
  </r>
  <r>
    <x v="4"/>
    <x v="0"/>
    <x v="1"/>
    <x v="4"/>
    <x v="59"/>
    <x v="0"/>
    <x v="3"/>
    <n v="1"/>
  </r>
  <r>
    <x v="4"/>
    <x v="1"/>
    <x v="0"/>
    <x v="4"/>
    <x v="48"/>
    <x v="0"/>
    <x v="0"/>
    <n v="378"/>
  </r>
  <r>
    <x v="4"/>
    <x v="1"/>
    <x v="0"/>
    <x v="4"/>
    <x v="49"/>
    <x v="0"/>
    <x v="0"/>
    <n v="417"/>
  </r>
  <r>
    <x v="4"/>
    <x v="1"/>
    <x v="0"/>
    <x v="4"/>
    <x v="50"/>
    <x v="1"/>
    <x v="0"/>
    <n v="401"/>
  </r>
  <r>
    <x v="4"/>
    <x v="1"/>
    <x v="0"/>
    <x v="4"/>
    <x v="51"/>
    <x v="1"/>
    <x v="1"/>
    <n v="392"/>
  </r>
  <r>
    <x v="4"/>
    <x v="1"/>
    <x v="0"/>
    <x v="4"/>
    <x v="52"/>
    <x v="1"/>
    <x v="1"/>
    <n v="372"/>
  </r>
  <r>
    <x v="4"/>
    <x v="1"/>
    <x v="0"/>
    <x v="4"/>
    <x v="53"/>
    <x v="2"/>
    <x v="1"/>
    <n v="402"/>
  </r>
  <r>
    <x v="4"/>
    <x v="1"/>
    <x v="0"/>
    <x v="4"/>
    <x v="54"/>
    <x v="2"/>
    <x v="2"/>
    <n v="365"/>
  </r>
  <r>
    <x v="4"/>
    <x v="1"/>
    <x v="0"/>
    <x v="4"/>
    <x v="55"/>
    <x v="2"/>
    <x v="2"/>
    <n v="436"/>
  </r>
  <r>
    <x v="4"/>
    <x v="1"/>
    <x v="0"/>
    <x v="4"/>
    <x v="56"/>
    <x v="3"/>
    <x v="2"/>
    <n v="472"/>
  </r>
  <r>
    <x v="4"/>
    <x v="1"/>
    <x v="0"/>
    <x v="4"/>
    <x v="57"/>
    <x v="3"/>
    <x v="3"/>
    <n v="358"/>
  </r>
  <r>
    <x v="4"/>
    <x v="1"/>
    <x v="0"/>
    <x v="4"/>
    <x v="58"/>
    <x v="3"/>
    <x v="3"/>
    <n v="317"/>
  </r>
  <r>
    <x v="4"/>
    <x v="1"/>
    <x v="0"/>
    <x v="4"/>
    <x v="59"/>
    <x v="0"/>
    <x v="3"/>
    <n v="374"/>
  </r>
  <r>
    <x v="4"/>
    <x v="1"/>
    <x v="1"/>
    <x v="4"/>
    <x v="48"/>
    <x v="0"/>
    <x v="0"/>
    <n v="49"/>
  </r>
  <r>
    <x v="4"/>
    <x v="1"/>
    <x v="1"/>
    <x v="4"/>
    <x v="49"/>
    <x v="0"/>
    <x v="0"/>
    <n v="50"/>
  </r>
  <r>
    <x v="4"/>
    <x v="1"/>
    <x v="1"/>
    <x v="4"/>
    <x v="50"/>
    <x v="1"/>
    <x v="0"/>
    <n v="63"/>
  </r>
  <r>
    <x v="4"/>
    <x v="1"/>
    <x v="1"/>
    <x v="4"/>
    <x v="51"/>
    <x v="1"/>
    <x v="1"/>
    <n v="61"/>
  </r>
  <r>
    <x v="4"/>
    <x v="1"/>
    <x v="1"/>
    <x v="4"/>
    <x v="52"/>
    <x v="1"/>
    <x v="1"/>
    <n v="53"/>
  </r>
  <r>
    <x v="4"/>
    <x v="1"/>
    <x v="1"/>
    <x v="4"/>
    <x v="53"/>
    <x v="2"/>
    <x v="1"/>
    <n v="66"/>
  </r>
  <r>
    <x v="4"/>
    <x v="1"/>
    <x v="1"/>
    <x v="4"/>
    <x v="54"/>
    <x v="2"/>
    <x v="2"/>
    <n v="67"/>
  </r>
  <r>
    <x v="4"/>
    <x v="1"/>
    <x v="1"/>
    <x v="4"/>
    <x v="55"/>
    <x v="2"/>
    <x v="2"/>
    <n v="65"/>
  </r>
  <r>
    <x v="4"/>
    <x v="1"/>
    <x v="1"/>
    <x v="4"/>
    <x v="56"/>
    <x v="3"/>
    <x v="2"/>
    <n v="47"/>
  </r>
  <r>
    <x v="4"/>
    <x v="1"/>
    <x v="1"/>
    <x v="4"/>
    <x v="57"/>
    <x v="3"/>
    <x v="3"/>
    <n v="46"/>
  </r>
  <r>
    <x v="4"/>
    <x v="1"/>
    <x v="1"/>
    <x v="4"/>
    <x v="58"/>
    <x v="3"/>
    <x v="3"/>
    <n v="37"/>
  </r>
  <r>
    <x v="4"/>
    <x v="1"/>
    <x v="1"/>
    <x v="4"/>
    <x v="59"/>
    <x v="0"/>
    <x v="3"/>
    <n v="46"/>
  </r>
  <r>
    <x v="4"/>
    <x v="2"/>
    <x v="0"/>
    <x v="4"/>
    <x v="48"/>
    <x v="0"/>
    <x v="0"/>
    <n v="153"/>
  </r>
  <r>
    <x v="4"/>
    <x v="2"/>
    <x v="0"/>
    <x v="4"/>
    <x v="49"/>
    <x v="0"/>
    <x v="0"/>
    <n v="149"/>
  </r>
  <r>
    <x v="4"/>
    <x v="2"/>
    <x v="0"/>
    <x v="4"/>
    <x v="50"/>
    <x v="1"/>
    <x v="0"/>
    <n v="158"/>
  </r>
  <r>
    <x v="4"/>
    <x v="2"/>
    <x v="0"/>
    <x v="4"/>
    <x v="51"/>
    <x v="1"/>
    <x v="1"/>
    <n v="155"/>
  </r>
  <r>
    <x v="4"/>
    <x v="2"/>
    <x v="0"/>
    <x v="4"/>
    <x v="52"/>
    <x v="1"/>
    <x v="1"/>
    <n v="142"/>
  </r>
  <r>
    <x v="4"/>
    <x v="2"/>
    <x v="0"/>
    <x v="4"/>
    <x v="53"/>
    <x v="2"/>
    <x v="1"/>
    <n v="148"/>
  </r>
  <r>
    <x v="4"/>
    <x v="2"/>
    <x v="0"/>
    <x v="4"/>
    <x v="54"/>
    <x v="2"/>
    <x v="2"/>
    <n v="149"/>
  </r>
  <r>
    <x v="4"/>
    <x v="2"/>
    <x v="0"/>
    <x v="4"/>
    <x v="55"/>
    <x v="2"/>
    <x v="2"/>
    <n v="138"/>
  </r>
  <r>
    <x v="4"/>
    <x v="2"/>
    <x v="0"/>
    <x v="4"/>
    <x v="56"/>
    <x v="3"/>
    <x v="2"/>
    <n v="126"/>
  </r>
  <r>
    <x v="4"/>
    <x v="2"/>
    <x v="0"/>
    <x v="4"/>
    <x v="57"/>
    <x v="3"/>
    <x v="3"/>
    <n v="121"/>
  </r>
  <r>
    <x v="4"/>
    <x v="2"/>
    <x v="0"/>
    <x v="4"/>
    <x v="58"/>
    <x v="3"/>
    <x v="3"/>
    <n v="140"/>
  </r>
  <r>
    <x v="4"/>
    <x v="2"/>
    <x v="0"/>
    <x v="4"/>
    <x v="59"/>
    <x v="0"/>
    <x v="3"/>
    <n v="135"/>
  </r>
  <r>
    <x v="4"/>
    <x v="2"/>
    <x v="1"/>
    <x v="4"/>
    <x v="48"/>
    <x v="0"/>
    <x v="0"/>
    <n v="61"/>
  </r>
  <r>
    <x v="4"/>
    <x v="2"/>
    <x v="1"/>
    <x v="4"/>
    <x v="49"/>
    <x v="0"/>
    <x v="0"/>
    <n v="70"/>
  </r>
  <r>
    <x v="4"/>
    <x v="2"/>
    <x v="1"/>
    <x v="4"/>
    <x v="50"/>
    <x v="1"/>
    <x v="0"/>
    <n v="69"/>
  </r>
  <r>
    <x v="4"/>
    <x v="2"/>
    <x v="1"/>
    <x v="4"/>
    <x v="51"/>
    <x v="1"/>
    <x v="1"/>
    <n v="61"/>
  </r>
  <r>
    <x v="4"/>
    <x v="2"/>
    <x v="1"/>
    <x v="4"/>
    <x v="52"/>
    <x v="1"/>
    <x v="1"/>
    <n v="56"/>
  </r>
  <r>
    <x v="4"/>
    <x v="2"/>
    <x v="1"/>
    <x v="4"/>
    <x v="53"/>
    <x v="2"/>
    <x v="1"/>
    <n v="54"/>
  </r>
  <r>
    <x v="4"/>
    <x v="2"/>
    <x v="1"/>
    <x v="4"/>
    <x v="54"/>
    <x v="2"/>
    <x v="2"/>
    <n v="41"/>
  </r>
  <r>
    <x v="4"/>
    <x v="2"/>
    <x v="1"/>
    <x v="4"/>
    <x v="55"/>
    <x v="2"/>
    <x v="2"/>
    <n v="50"/>
  </r>
  <r>
    <x v="4"/>
    <x v="2"/>
    <x v="1"/>
    <x v="4"/>
    <x v="56"/>
    <x v="3"/>
    <x v="2"/>
    <n v="43"/>
  </r>
  <r>
    <x v="4"/>
    <x v="2"/>
    <x v="1"/>
    <x v="4"/>
    <x v="57"/>
    <x v="3"/>
    <x v="3"/>
    <n v="43"/>
  </r>
  <r>
    <x v="4"/>
    <x v="2"/>
    <x v="1"/>
    <x v="4"/>
    <x v="58"/>
    <x v="3"/>
    <x v="3"/>
    <n v="40"/>
  </r>
  <r>
    <x v="4"/>
    <x v="2"/>
    <x v="1"/>
    <x v="4"/>
    <x v="59"/>
    <x v="0"/>
    <x v="3"/>
    <n v="48"/>
  </r>
  <r>
    <x v="4"/>
    <x v="3"/>
    <x v="0"/>
    <x v="4"/>
    <x v="48"/>
    <x v="0"/>
    <x v="0"/>
    <n v="103"/>
  </r>
  <r>
    <x v="4"/>
    <x v="3"/>
    <x v="0"/>
    <x v="4"/>
    <x v="49"/>
    <x v="0"/>
    <x v="0"/>
    <n v="78"/>
  </r>
  <r>
    <x v="4"/>
    <x v="3"/>
    <x v="0"/>
    <x v="4"/>
    <x v="50"/>
    <x v="1"/>
    <x v="0"/>
    <n v="93"/>
  </r>
  <r>
    <x v="4"/>
    <x v="3"/>
    <x v="0"/>
    <x v="4"/>
    <x v="51"/>
    <x v="1"/>
    <x v="1"/>
    <n v="119"/>
  </r>
  <r>
    <x v="4"/>
    <x v="3"/>
    <x v="0"/>
    <x v="4"/>
    <x v="52"/>
    <x v="1"/>
    <x v="1"/>
    <n v="115"/>
  </r>
  <r>
    <x v="4"/>
    <x v="3"/>
    <x v="0"/>
    <x v="4"/>
    <x v="53"/>
    <x v="2"/>
    <x v="1"/>
    <n v="118"/>
  </r>
  <r>
    <x v="4"/>
    <x v="3"/>
    <x v="0"/>
    <x v="4"/>
    <x v="54"/>
    <x v="2"/>
    <x v="2"/>
    <n v="111"/>
  </r>
  <r>
    <x v="4"/>
    <x v="3"/>
    <x v="0"/>
    <x v="4"/>
    <x v="55"/>
    <x v="2"/>
    <x v="2"/>
    <n v="94"/>
  </r>
  <r>
    <x v="4"/>
    <x v="3"/>
    <x v="0"/>
    <x v="4"/>
    <x v="56"/>
    <x v="3"/>
    <x v="2"/>
    <n v="89"/>
  </r>
  <r>
    <x v="4"/>
    <x v="3"/>
    <x v="0"/>
    <x v="4"/>
    <x v="57"/>
    <x v="3"/>
    <x v="3"/>
    <n v="86"/>
  </r>
  <r>
    <x v="4"/>
    <x v="3"/>
    <x v="0"/>
    <x v="4"/>
    <x v="58"/>
    <x v="3"/>
    <x v="3"/>
    <n v="68"/>
  </r>
  <r>
    <x v="4"/>
    <x v="3"/>
    <x v="0"/>
    <x v="4"/>
    <x v="59"/>
    <x v="0"/>
    <x v="3"/>
    <n v="95"/>
  </r>
  <r>
    <x v="4"/>
    <x v="3"/>
    <x v="1"/>
    <x v="4"/>
    <x v="48"/>
    <x v="0"/>
    <x v="0"/>
    <n v="43"/>
  </r>
  <r>
    <x v="4"/>
    <x v="3"/>
    <x v="1"/>
    <x v="4"/>
    <x v="49"/>
    <x v="0"/>
    <x v="0"/>
    <n v="68"/>
  </r>
  <r>
    <x v="4"/>
    <x v="3"/>
    <x v="1"/>
    <x v="4"/>
    <x v="50"/>
    <x v="1"/>
    <x v="0"/>
    <n v="76"/>
  </r>
  <r>
    <x v="4"/>
    <x v="3"/>
    <x v="1"/>
    <x v="4"/>
    <x v="51"/>
    <x v="1"/>
    <x v="1"/>
    <n v="88"/>
  </r>
  <r>
    <x v="4"/>
    <x v="3"/>
    <x v="1"/>
    <x v="4"/>
    <x v="52"/>
    <x v="1"/>
    <x v="1"/>
    <n v="80"/>
  </r>
  <r>
    <x v="4"/>
    <x v="3"/>
    <x v="1"/>
    <x v="4"/>
    <x v="53"/>
    <x v="2"/>
    <x v="1"/>
    <n v="67"/>
  </r>
  <r>
    <x v="4"/>
    <x v="3"/>
    <x v="1"/>
    <x v="4"/>
    <x v="54"/>
    <x v="2"/>
    <x v="2"/>
    <n v="65"/>
  </r>
  <r>
    <x v="4"/>
    <x v="3"/>
    <x v="1"/>
    <x v="4"/>
    <x v="55"/>
    <x v="2"/>
    <x v="2"/>
    <n v="66"/>
  </r>
  <r>
    <x v="4"/>
    <x v="3"/>
    <x v="1"/>
    <x v="4"/>
    <x v="56"/>
    <x v="3"/>
    <x v="2"/>
    <n v="65"/>
  </r>
  <r>
    <x v="4"/>
    <x v="3"/>
    <x v="1"/>
    <x v="4"/>
    <x v="57"/>
    <x v="3"/>
    <x v="3"/>
    <n v="48"/>
  </r>
  <r>
    <x v="4"/>
    <x v="3"/>
    <x v="1"/>
    <x v="4"/>
    <x v="58"/>
    <x v="3"/>
    <x v="3"/>
    <n v="47"/>
  </r>
  <r>
    <x v="4"/>
    <x v="3"/>
    <x v="1"/>
    <x v="4"/>
    <x v="59"/>
    <x v="0"/>
    <x v="3"/>
    <n v="56"/>
  </r>
  <r>
    <x v="4"/>
    <x v="4"/>
    <x v="0"/>
    <x v="4"/>
    <x v="48"/>
    <x v="0"/>
    <x v="0"/>
    <n v="46"/>
  </r>
  <r>
    <x v="4"/>
    <x v="4"/>
    <x v="0"/>
    <x v="4"/>
    <x v="49"/>
    <x v="0"/>
    <x v="0"/>
    <n v="28"/>
  </r>
  <r>
    <x v="4"/>
    <x v="4"/>
    <x v="0"/>
    <x v="4"/>
    <x v="50"/>
    <x v="1"/>
    <x v="0"/>
    <n v="42"/>
  </r>
  <r>
    <x v="4"/>
    <x v="4"/>
    <x v="0"/>
    <x v="4"/>
    <x v="51"/>
    <x v="1"/>
    <x v="1"/>
    <n v="58"/>
  </r>
  <r>
    <x v="4"/>
    <x v="4"/>
    <x v="0"/>
    <x v="4"/>
    <x v="52"/>
    <x v="1"/>
    <x v="1"/>
    <n v="46"/>
  </r>
  <r>
    <x v="4"/>
    <x v="4"/>
    <x v="0"/>
    <x v="4"/>
    <x v="53"/>
    <x v="2"/>
    <x v="1"/>
    <n v="43"/>
  </r>
  <r>
    <x v="4"/>
    <x v="4"/>
    <x v="0"/>
    <x v="4"/>
    <x v="54"/>
    <x v="2"/>
    <x v="2"/>
    <n v="28"/>
  </r>
  <r>
    <x v="4"/>
    <x v="4"/>
    <x v="0"/>
    <x v="4"/>
    <x v="55"/>
    <x v="2"/>
    <x v="2"/>
    <n v="30"/>
  </r>
  <r>
    <x v="4"/>
    <x v="4"/>
    <x v="0"/>
    <x v="4"/>
    <x v="56"/>
    <x v="3"/>
    <x v="2"/>
    <n v="22"/>
  </r>
  <r>
    <x v="4"/>
    <x v="4"/>
    <x v="0"/>
    <x v="4"/>
    <x v="57"/>
    <x v="3"/>
    <x v="3"/>
    <n v="10"/>
  </r>
  <r>
    <x v="4"/>
    <x v="4"/>
    <x v="0"/>
    <x v="4"/>
    <x v="58"/>
    <x v="3"/>
    <x v="3"/>
    <n v="10"/>
  </r>
  <r>
    <x v="4"/>
    <x v="4"/>
    <x v="0"/>
    <x v="4"/>
    <x v="59"/>
    <x v="0"/>
    <x v="3"/>
    <n v="25"/>
  </r>
  <r>
    <x v="4"/>
    <x v="4"/>
    <x v="1"/>
    <x v="4"/>
    <x v="48"/>
    <x v="0"/>
    <x v="0"/>
    <n v="61"/>
  </r>
  <r>
    <x v="4"/>
    <x v="4"/>
    <x v="1"/>
    <x v="4"/>
    <x v="49"/>
    <x v="0"/>
    <x v="0"/>
    <n v="47"/>
  </r>
  <r>
    <x v="4"/>
    <x v="4"/>
    <x v="1"/>
    <x v="4"/>
    <x v="50"/>
    <x v="1"/>
    <x v="0"/>
    <n v="63"/>
  </r>
  <r>
    <x v="4"/>
    <x v="4"/>
    <x v="1"/>
    <x v="4"/>
    <x v="51"/>
    <x v="1"/>
    <x v="1"/>
    <n v="93"/>
  </r>
  <r>
    <x v="4"/>
    <x v="4"/>
    <x v="1"/>
    <x v="4"/>
    <x v="52"/>
    <x v="1"/>
    <x v="1"/>
    <n v="51"/>
  </r>
  <r>
    <x v="4"/>
    <x v="4"/>
    <x v="1"/>
    <x v="4"/>
    <x v="53"/>
    <x v="2"/>
    <x v="1"/>
    <n v="54"/>
  </r>
  <r>
    <x v="4"/>
    <x v="4"/>
    <x v="1"/>
    <x v="4"/>
    <x v="54"/>
    <x v="2"/>
    <x v="2"/>
    <n v="35"/>
  </r>
  <r>
    <x v="4"/>
    <x v="4"/>
    <x v="1"/>
    <x v="4"/>
    <x v="55"/>
    <x v="2"/>
    <x v="2"/>
    <n v="41"/>
  </r>
  <r>
    <x v="4"/>
    <x v="4"/>
    <x v="1"/>
    <x v="4"/>
    <x v="56"/>
    <x v="3"/>
    <x v="2"/>
    <n v="23"/>
  </r>
  <r>
    <x v="4"/>
    <x v="4"/>
    <x v="1"/>
    <x v="4"/>
    <x v="57"/>
    <x v="3"/>
    <x v="3"/>
    <n v="16"/>
  </r>
  <r>
    <x v="4"/>
    <x v="4"/>
    <x v="1"/>
    <x v="4"/>
    <x v="58"/>
    <x v="3"/>
    <x v="3"/>
    <n v="14"/>
  </r>
  <r>
    <x v="4"/>
    <x v="4"/>
    <x v="1"/>
    <x v="4"/>
    <x v="59"/>
    <x v="0"/>
    <x v="3"/>
    <n v="28"/>
  </r>
  <r>
    <x v="4"/>
    <x v="5"/>
    <x v="0"/>
    <x v="4"/>
    <x v="48"/>
    <x v="0"/>
    <x v="0"/>
    <n v="615"/>
  </r>
  <r>
    <x v="4"/>
    <x v="5"/>
    <x v="0"/>
    <x v="4"/>
    <x v="49"/>
    <x v="0"/>
    <x v="0"/>
    <n v="247"/>
  </r>
  <r>
    <x v="4"/>
    <x v="5"/>
    <x v="0"/>
    <x v="4"/>
    <x v="50"/>
    <x v="1"/>
    <x v="0"/>
    <n v="367"/>
  </r>
  <r>
    <x v="4"/>
    <x v="5"/>
    <x v="0"/>
    <x v="4"/>
    <x v="51"/>
    <x v="1"/>
    <x v="1"/>
    <n v="528"/>
  </r>
  <r>
    <x v="4"/>
    <x v="5"/>
    <x v="0"/>
    <x v="4"/>
    <x v="52"/>
    <x v="1"/>
    <x v="1"/>
    <n v="218"/>
  </r>
  <r>
    <x v="4"/>
    <x v="5"/>
    <x v="0"/>
    <x v="4"/>
    <x v="53"/>
    <x v="2"/>
    <x v="1"/>
    <n v="191"/>
  </r>
  <r>
    <x v="4"/>
    <x v="5"/>
    <x v="0"/>
    <x v="4"/>
    <x v="54"/>
    <x v="2"/>
    <x v="2"/>
    <n v="155"/>
  </r>
  <r>
    <x v="4"/>
    <x v="5"/>
    <x v="0"/>
    <x v="4"/>
    <x v="55"/>
    <x v="2"/>
    <x v="2"/>
    <n v="145"/>
  </r>
  <r>
    <x v="4"/>
    <x v="5"/>
    <x v="0"/>
    <x v="4"/>
    <x v="56"/>
    <x v="3"/>
    <x v="2"/>
    <n v="94"/>
  </r>
  <r>
    <x v="4"/>
    <x v="5"/>
    <x v="0"/>
    <x v="4"/>
    <x v="57"/>
    <x v="3"/>
    <x v="3"/>
    <n v="89"/>
  </r>
  <r>
    <x v="4"/>
    <x v="5"/>
    <x v="0"/>
    <x v="4"/>
    <x v="58"/>
    <x v="3"/>
    <x v="3"/>
    <n v="65"/>
  </r>
  <r>
    <x v="4"/>
    <x v="5"/>
    <x v="0"/>
    <x v="4"/>
    <x v="59"/>
    <x v="0"/>
    <x v="3"/>
    <n v="200"/>
  </r>
  <r>
    <x v="4"/>
    <x v="5"/>
    <x v="1"/>
    <x v="4"/>
    <x v="48"/>
    <x v="0"/>
    <x v="0"/>
    <n v="2852"/>
  </r>
  <r>
    <x v="4"/>
    <x v="5"/>
    <x v="1"/>
    <x v="4"/>
    <x v="49"/>
    <x v="0"/>
    <x v="0"/>
    <n v="1219"/>
  </r>
  <r>
    <x v="4"/>
    <x v="5"/>
    <x v="1"/>
    <x v="4"/>
    <x v="50"/>
    <x v="1"/>
    <x v="0"/>
    <n v="1462"/>
  </r>
  <r>
    <x v="4"/>
    <x v="5"/>
    <x v="1"/>
    <x v="4"/>
    <x v="51"/>
    <x v="1"/>
    <x v="1"/>
    <n v="1712"/>
  </r>
  <r>
    <x v="4"/>
    <x v="5"/>
    <x v="1"/>
    <x v="4"/>
    <x v="52"/>
    <x v="1"/>
    <x v="1"/>
    <n v="1105"/>
  </r>
  <r>
    <x v="4"/>
    <x v="5"/>
    <x v="1"/>
    <x v="4"/>
    <x v="53"/>
    <x v="2"/>
    <x v="1"/>
    <n v="930"/>
  </r>
  <r>
    <x v="4"/>
    <x v="5"/>
    <x v="1"/>
    <x v="4"/>
    <x v="54"/>
    <x v="2"/>
    <x v="2"/>
    <n v="737"/>
  </r>
  <r>
    <x v="4"/>
    <x v="5"/>
    <x v="1"/>
    <x v="4"/>
    <x v="55"/>
    <x v="2"/>
    <x v="2"/>
    <n v="1360"/>
  </r>
  <r>
    <x v="4"/>
    <x v="5"/>
    <x v="1"/>
    <x v="4"/>
    <x v="56"/>
    <x v="3"/>
    <x v="2"/>
    <n v="488"/>
  </r>
  <r>
    <x v="4"/>
    <x v="5"/>
    <x v="1"/>
    <x v="4"/>
    <x v="57"/>
    <x v="3"/>
    <x v="3"/>
    <n v="409"/>
  </r>
  <r>
    <x v="4"/>
    <x v="5"/>
    <x v="1"/>
    <x v="4"/>
    <x v="58"/>
    <x v="3"/>
    <x v="3"/>
    <n v="373"/>
  </r>
  <r>
    <x v="4"/>
    <x v="5"/>
    <x v="1"/>
    <x v="4"/>
    <x v="59"/>
    <x v="0"/>
    <x v="3"/>
    <n v="799"/>
  </r>
  <r>
    <x v="5"/>
    <x v="0"/>
    <x v="0"/>
    <x v="5"/>
    <x v="60"/>
    <x v="0"/>
    <x v="0"/>
    <n v="111"/>
  </r>
  <r>
    <x v="5"/>
    <x v="0"/>
    <x v="0"/>
    <x v="5"/>
    <x v="61"/>
    <x v="0"/>
    <x v="0"/>
    <n v="68"/>
  </r>
  <r>
    <x v="5"/>
    <x v="0"/>
    <x v="0"/>
    <x v="5"/>
    <x v="62"/>
    <x v="1"/>
    <x v="0"/>
    <n v="26"/>
  </r>
  <r>
    <x v="5"/>
    <x v="0"/>
    <x v="0"/>
    <x v="5"/>
    <x v="63"/>
    <x v="1"/>
    <x v="1"/>
    <n v="24"/>
  </r>
  <r>
    <x v="5"/>
    <x v="0"/>
    <x v="0"/>
    <x v="5"/>
    <x v="64"/>
    <x v="1"/>
    <x v="1"/>
    <n v="30"/>
  </r>
  <r>
    <x v="5"/>
    <x v="0"/>
    <x v="0"/>
    <x v="5"/>
    <x v="65"/>
    <x v="2"/>
    <x v="1"/>
    <n v="28"/>
  </r>
  <r>
    <x v="5"/>
    <x v="0"/>
    <x v="0"/>
    <x v="5"/>
    <x v="66"/>
    <x v="2"/>
    <x v="2"/>
    <n v="80"/>
  </r>
  <r>
    <x v="5"/>
    <x v="0"/>
    <x v="0"/>
    <x v="5"/>
    <x v="67"/>
    <x v="2"/>
    <x v="2"/>
    <n v="80"/>
  </r>
  <r>
    <x v="5"/>
    <x v="0"/>
    <x v="0"/>
    <x v="5"/>
    <x v="68"/>
    <x v="3"/>
    <x v="2"/>
    <n v="150"/>
  </r>
  <r>
    <x v="5"/>
    <x v="0"/>
    <x v="0"/>
    <x v="5"/>
    <x v="69"/>
    <x v="3"/>
    <x v="3"/>
    <n v="132"/>
  </r>
  <r>
    <x v="5"/>
    <x v="0"/>
    <x v="0"/>
    <x v="5"/>
    <x v="70"/>
    <x v="3"/>
    <x v="3"/>
    <n v="129"/>
  </r>
  <r>
    <x v="5"/>
    <x v="0"/>
    <x v="0"/>
    <x v="5"/>
    <x v="71"/>
    <x v="0"/>
    <x v="3"/>
    <n v="117"/>
  </r>
  <r>
    <x v="5"/>
    <x v="0"/>
    <x v="1"/>
    <x v="5"/>
    <x v="66"/>
    <x v="2"/>
    <x v="2"/>
    <n v="1"/>
  </r>
  <r>
    <x v="5"/>
    <x v="0"/>
    <x v="1"/>
    <x v="5"/>
    <x v="69"/>
    <x v="3"/>
    <x v="3"/>
    <n v="1"/>
  </r>
  <r>
    <x v="5"/>
    <x v="1"/>
    <x v="0"/>
    <x v="5"/>
    <x v="60"/>
    <x v="0"/>
    <x v="0"/>
    <n v="386"/>
  </r>
  <r>
    <x v="5"/>
    <x v="1"/>
    <x v="0"/>
    <x v="5"/>
    <x v="61"/>
    <x v="0"/>
    <x v="0"/>
    <n v="418"/>
  </r>
  <r>
    <x v="5"/>
    <x v="1"/>
    <x v="0"/>
    <x v="5"/>
    <x v="62"/>
    <x v="1"/>
    <x v="0"/>
    <n v="386"/>
  </r>
  <r>
    <x v="5"/>
    <x v="1"/>
    <x v="0"/>
    <x v="5"/>
    <x v="63"/>
    <x v="1"/>
    <x v="1"/>
    <n v="419"/>
  </r>
  <r>
    <x v="5"/>
    <x v="1"/>
    <x v="0"/>
    <x v="5"/>
    <x v="64"/>
    <x v="1"/>
    <x v="1"/>
    <n v="358"/>
  </r>
  <r>
    <x v="5"/>
    <x v="1"/>
    <x v="0"/>
    <x v="5"/>
    <x v="65"/>
    <x v="2"/>
    <x v="1"/>
    <n v="417"/>
  </r>
  <r>
    <x v="5"/>
    <x v="1"/>
    <x v="0"/>
    <x v="5"/>
    <x v="66"/>
    <x v="2"/>
    <x v="2"/>
    <n v="397"/>
  </r>
  <r>
    <x v="5"/>
    <x v="1"/>
    <x v="0"/>
    <x v="5"/>
    <x v="67"/>
    <x v="2"/>
    <x v="2"/>
    <n v="364"/>
  </r>
  <r>
    <x v="5"/>
    <x v="1"/>
    <x v="0"/>
    <x v="5"/>
    <x v="68"/>
    <x v="3"/>
    <x v="2"/>
    <n v="502"/>
  </r>
  <r>
    <x v="5"/>
    <x v="1"/>
    <x v="0"/>
    <x v="5"/>
    <x v="69"/>
    <x v="3"/>
    <x v="3"/>
    <n v="477"/>
  </r>
  <r>
    <x v="5"/>
    <x v="1"/>
    <x v="0"/>
    <x v="5"/>
    <x v="70"/>
    <x v="3"/>
    <x v="3"/>
    <n v="385"/>
  </r>
  <r>
    <x v="5"/>
    <x v="1"/>
    <x v="0"/>
    <x v="5"/>
    <x v="71"/>
    <x v="0"/>
    <x v="3"/>
    <n v="452"/>
  </r>
  <r>
    <x v="5"/>
    <x v="1"/>
    <x v="1"/>
    <x v="5"/>
    <x v="60"/>
    <x v="0"/>
    <x v="0"/>
    <n v="53"/>
  </r>
  <r>
    <x v="5"/>
    <x v="1"/>
    <x v="1"/>
    <x v="5"/>
    <x v="61"/>
    <x v="0"/>
    <x v="0"/>
    <n v="52"/>
  </r>
  <r>
    <x v="5"/>
    <x v="1"/>
    <x v="1"/>
    <x v="5"/>
    <x v="62"/>
    <x v="1"/>
    <x v="0"/>
    <n v="54"/>
  </r>
  <r>
    <x v="5"/>
    <x v="1"/>
    <x v="1"/>
    <x v="5"/>
    <x v="63"/>
    <x v="1"/>
    <x v="1"/>
    <n v="44"/>
  </r>
  <r>
    <x v="5"/>
    <x v="1"/>
    <x v="1"/>
    <x v="5"/>
    <x v="64"/>
    <x v="1"/>
    <x v="1"/>
    <n v="45"/>
  </r>
  <r>
    <x v="5"/>
    <x v="1"/>
    <x v="1"/>
    <x v="5"/>
    <x v="65"/>
    <x v="2"/>
    <x v="1"/>
    <n v="54"/>
  </r>
  <r>
    <x v="5"/>
    <x v="1"/>
    <x v="1"/>
    <x v="5"/>
    <x v="66"/>
    <x v="2"/>
    <x v="2"/>
    <n v="51"/>
  </r>
  <r>
    <x v="5"/>
    <x v="1"/>
    <x v="1"/>
    <x v="5"/>
    <x v="67"/>
    <x v="2"/>
    <x v="2"/>
    <n v="62"/>
  </r>
  <r>
    <x v="5"/>
    <x v="1"/>
    <x v="1"/>
    <x v="5"/>
    <x v="68"/>
    <x v="3"/>
    <x v="2"/>
    <n v="59"/>
  </r>
  <r>
    <x v="5"/>
    <x v="1"/>
    <x v="1"/>
    <x v="5"/>
    <x v="69"/>
    <x v="3"/>
    <x v="3"/>
    <n v="52"/>
  </r>
  <r>
    <x v="5"/>
    <x v="1"/>
    <x v="1"/>
    <x v="5"/>
    <x v="70"/>
    <x v="3"/>
    <x v="3"/>
    <n v="54"/>
  </r>
  <r>
    <x v="5"/>
    <x v="1"/>
    <x v="1"/>
    <x v="5"/>
    <x v="71"/>
    <x v="0"/>
    <x v="3"/>
    <n v="41"/>
  </r>
  <r>
    <x v="5"/>
    <x v="2"/>
    <x v="0"/>
    <x v="5"/>
    <x v="60"/>
    <x v="0"/>
    <x v="0"/>
    <n v="144"/>
  </r>
  <r>
    <x v="5"/>
    <x v="2"/>
    <x v="0"/>
    <x v="5"/>
    <x v="61"/>
    <x v="0"/>
    <x v="0"/>
    <n v="149"/>
  </r>
  <r>
    <x v="5"/>
    <x v="2"/>
    <x v="0"/>
    <x v="5"/>
    <x v="62"/>
    <x v="1"/>
    <x v="0"/>
    <n v="132"/>
  </r>
  <r>
    <x v="5"/>
    <x v="2"/>
    <x v="0"/>
    <x v="5"/>
    <x v="63"/>
    <x v="1"/>
    <x v="1"/>
    <n v="132"/>
  </r>
  <r>
    <x v="5"/>
    <x v="2"/>
    <x v="0"/>
    <x v="5"/>
    <x v="64"/>
    <x v="1"/>
    <x v="1"/>
    <n v="136"/>
  </r>
  <r>
    <x v="5"/>
    <x v="2"/>
    <x v="0"/>
    <x v="5"/>
    <x v="65"/>
    <x v="2"/>
    <x v="1"/>
    <n v="145"/>
  </r>
  <r>
    <x v="5"/>
    <x v="2"/>
    <x v="0"/>
    <x v="5"/>
    <x v="66"/>
    <x v="2"/>
    <x v="2"/>
    <n v="165"/>
  </r>
  <r>
    <x v="5"/>
    <x v="2"/>
    <x v="0"/>
    <x v="5"/>
    <x v="67"/>
    <x v="2"/>
    <x v="2"/>
    <n v="142"/>
  </r>
  <r>
    <x v="5"/>
    <x v="2"/>
    <x v="0"/>
    <x v="5"/>
    <x v="68"/>
    <x v="3"/>
    <x v="2"/>
    <n v="168"/>
  </r>
  <r>
    <x v="5"/>
    <x v="2"/>
    <x v="0"/>
    <x v="5"/>
    <x v="69"/>
    <x v="3"/>
    <x v="3"/>
    <n v="165"/>
  </r>
  <r>
    <x v="5"/>
    <x v="2"/>
    <x v="0"/>
    <x v="5"/>
    <x v="70"/>
    <x v="3"/>
    <x v="3"/>
    <n v="142"/>
  </r>
  <r>
    <x v="5"/>
    <x v="2"/>
    <x v="0"/>
    <x v="5"/>
    <x v="71"/>
    <x v="0"/>
    <x v="3"/>
    <n v="139"/>
  </r>
  <r>
    <x v="5"/>
    <x v="2"/>
    <x v="1"/>
    <x v="5"/>
    <x v="60"/>
    <x v="0"/>
    <x v="0"/>
    <n v="49"/>
  </r>
  <r>
    <x v="5"/>
    <x v="2"/>
    <x v="1"/>
    <x v="5"/>
    <x v="61"/>
    <x v="0"/>
    <x v="0"/>
    <n v="48"/>
  </r>
  <r>
    <x v="5"/>
    <x v="2"/>
    <x v="1"/>
    <x v="5"/>
    <x v="62"/>
    <x v="1"/>
    <x v="0"/>
    <n v="55"/>
  </r>
  <r>
    <x v="5"/>
    <x v="2"/>
    <x v="1"/>
    <x v="5"/>
    <x v="63"/>
    <x v="1"/>
    <x v="1"/>
    <n v="55"/>
  </r>
  <r>
    <x v="5"/>
    <x v="2"/>
    <x v="1"/>
    <x v="5"/>
    <x v="64"/>
    <x v="1"/>
    <x v="1"/>
    <n v="58"/>
  </r>
  <r>
    <x v="5"/>
    <x v="2"/>
    <x v="1"/>
    <x v="5"/>
    <x v="65"/>
    <x v="2"/>
    <x v="1"/>
    <n v="65"/>
  </r>
  <r>
    <x v="5"/>
    <x v="2"/>
    <x v="1"/>
    <x v="5"/>
    <x v="66"/>
    <x v="2"/>
    <x v="2"/>
    <n v="40"/>
  </r>
  <r>
    <x v="5"/>
    <x v="2"/>
    <x v="1"/>
    <x v="5"/>
    <x v="67"/>
    <x v="2"/>
    <x v="2"/>
    <n v="41"/>
  </r>
  <r>
    <x v="5"/>
    <x v="2"/>
    <x v="1"/>
    <x v="5"/>
    <x v="68"/>
    <x v="3"/>
    <x v="2"/>
    <n v="42"/>
  </r>
  <r>
    <x v="5"/>
    <x v="2"/>
    <x v="1"/>
    <x v="5"/>
    <x v="69"/>
    <x v="3"/>
    <x v="3"/>
    <n v="42"/>
  </r>
  <r>
    <x v="5"/>
    <x v="2"/>
    <x v="1"/>
    <x v="5"/>
    <x v="70"/>
    <x v="3"/>
    <x v="3"/>
    <n v="40"/>
  </r>
  <r>
    <x v="5"/>
    <x v="2"/>
    <x v="1"/>
    <x v="5"/>
    <x v="71"/>
    <x v="0"/>
    <x v="3"/>
    <n v="30"/>
  </r>
  <r>
    <x v="5"/>
    <x v="3"/>
    <x v="0"/>
    <x v="5"/>
    <x v="60"/>
    <x v="0"/>
    <x v="0"/>
    <n v="112"/>
  </r>
  <r>
    <x v="5"/>
    <x v="3"/>
    <x v="0"/>
    <x v="5"/>
    <x v="61"/>
    <x v="0"/>
    <x v="0"/>
    <n v="97"/>
  </r>
  <r>
    <x v="5"/>
    <x v="3"/>
    <x v="0"/>
    <x v="5"/>
    <x v="62"/>
    <x v="1"/>
    <x v="0"/>
    <n v="102"/>
  </r>
  <r>
    <x v="5"/>
    <x v="3"/>
    <x v="0"/>
    <x v="5"/>
    <x v="63"/>
    <x v="1"/>
    <x v="1"/>
    <n v="94"/>
  </r>
  <r>
    <x v="5"/>
    <x v="3"/>
    <x v="0"/>
    <x v="5"/>
    <x v="64"/>
    <x v="1"/>
    <x v="1"/>
    <n v="113"/>
  </r>
  <r>
    <x v="5"/>
    <x v="3"/>
    <x v="0"/>
    <x v="5"/>
    <x v="65"/>
    <x v="2"/>
    <x v="1"/>
    <n v="85"/>
  </r>
  <r>
    <x v="5"/>
    <x v="3"/>
    <x v="0"/>
    <x v="5"/>
    <x v="66"/>
    <x v="2"/>
    <x v="2"/>
    <n v="81"/>
  </r>
  <r>
    <x v="5"/>
    <x v="3"/>
    <x v="0"/>
    <x v="5"/>
    <x v="67"/>
    <x v="2"/>
    <x v="2"/>
    <n v="87"/>
  </r>
  <r>
    <x v="5"/>
    <x v="3"/>
    <x v="0"/>
    <x v="5"/>
    <x v="68"/>
    <x v="3"/>
    <x v="2"/>
    <n v="98"/>
  </r>
  <r>
    <x v="5"/>
    <x v="3"/>
    <x v="0"/>
    <x v="5"/>
    <x v="69"/>
    <x v="3"/>
    <x v="3"/>
    <n v="74"/>
  </r>
  <r>
    <x v="5"/>
    <x v="3"/>
    <x v="0"/>
    <x v="5"/>
    <x v="70"/>
    <x v="3"/>
    <x v="3"/>
    <n v="103"/>
  </r>
  <r>
    <x v="5"/>
    <x v="3"/>
    <x v="0"/>
    <x v="5"/>
    <x v="71"/>
    <x v="0"/>
    <x v="3"/>
    <n v="102"/>
  </r>
  <r>
    <x v="5"/>
    <x v="3"/>
    <x v="1"/>
    <x v="5"/>
    <x v="60"/>
    <x v="0"/>
    <x v="0"/>
    <n v="56"/>
  </r>
  <r>
    <x v="5"/>
    <x v="3"/>
    <x v="1"/>
    <x v="5"/>
    <x v="61"/>
    <x v="0"/>
    <x v="0"/>
    <n v="81"/>
  </r>
  <r>
    <x v="5"/>
    <x v="3"/>
    <x v="1"/>
    <x v="5"/>
    <x v="62"/>
    <x v="1"/>
    <x v="0"/>
    <n v="70"/>
  </r>
  <r>
    <x v="5"/>
    <x v="3"/>
    <x v="1"/>
    <x v="5"/>
    <x v="63"/>
    <x v="1"/>
    <x v="1"/>
    <n v="61"/>
  </r>
  <r>
    <x v="5"/>
    <x v="3"/>
    <x v="1"/>
    <x v="5"/>
    <x v="64"/>
    <x v="1"/>
    <x v="1"/>
    <n v="66"/>
  </r>
  <r>
    <x v="5"/>
    <x v="3"/>
    <x v="1"/>
    <x v="5"/>
    <x v="65"/>
    <x v="2"/>
    <x v="1"/>
    <n v="71"/>
  </r>
  <r>
    <x v="5"/>
    <x v="3"/>
    <x v="1"/>
    <x v="5"/>
    <x v="66"/>
    <x v="2"/>
    <x v="2"/>
    <n v="50"/>
  </r>
  <r>
    <x v="5"/>
    <x v="3"/>
    <x v="1"/>
    <x v="5"/>
    <x v="67"/>
    <x v="2"/>
    <x v="2"/>
    <n v="75"/>
  </r>
  <r>
    <x v="5"/>
    <x v="3"/>
    <x v="1"/>
    <x v="5"/>
    <x v="68"/>
    <x v="3"/>
    <x v="2"/>
    <n v="55"/>
  </r>
  <r>
    <x v="5"/>
    <x v="3"/>
    <x v="1"/>
    <x v="5"/>
    <x v="69"/>
    <x v="3"/>
    <x v="3"/>
    <n v="47"/>
  </r>
  <r>
    <x v="5"/>
    <x v="3"/>
    <x v="1"/>
    <x v="5"/>
    <x v="70"/>
    <x v="3"/>
    <x v="3"/>
    <n v="50"/>
  </r>
  <r>
    <x v="5"/>
    <x v="3"/>
    <x v="1"/>
    <x v="5"/>
    <x v="71"/>
    <x v="0"/>
    <x v="3"/>
    <n v="67"/>
  </r>
  <r>
    <x v="5"/>
    <x v="4"/>
    <x v="0"/>
    <x v="5"/>
    <x v="60"/>
    <x v="0"/>
    <x v="0"/>
    <n v="27"/>
  </r>
  <r>
    <x v="5"/>
    <x v="4"/>
    <x v="0"/>
    <x v="5"/>
    <x v="61"/>
    <x v="0"/>
    <x v="0"/>
    <n v="30"/>
  </r>
  <r>
    <x v="5"/>
    <x v="4"/>
    <x v="0"/>
    <x v="5"/>
    <x v="62"/>
    <x v="1"/>
    <x v="0"/>
    <n v="30"/>
  </r>
  <r>
    <x v="5"/>
    <x v="4"/>
    <x v="0"/>
    <x v="5"/>
    <x v="63"/>
    <x v="1"/>
    <x v="1"/>
    <n v="47"/>
  </r>
  <r>
    <x v="5"/>
    <x v="4"/>
    <x v="0"/>
    <x v="5"/>
    <x v="64"/>
    <x v="1"/>
    <x v="1"/>
    <n v="41"/>
  </r>
  <r>
    <x v="5"/>
    <x v="4"/>
    <x v="0"/>
    <x v="5"/>
    <x v="65"/>
    <x v="2"/>
    <x v="1"/>
    <n v="34"/>
  </r>
  <r>
    <x v="5"/>
    <x v="4"/>
    <x v="0"/>
    <x v="5"/>
    <x v="66"/>
    <x v="2"/>
    <x v="2"/>
    <n v="29"/>
  </r>
  <r>
    <x v="5"/>
    <x v="4"/>
    <x v="0"/>
    <x v="5"/>
    <x v="67"/>
    <x v="2"/>
    <x v="2"/>
    <n v="25"/>
  </r>
  <r>
    <x v="5"/>
    <x v="4"/>
    <x v="0"/>
    <x v="5"/>
    <x v="68"/>
    <x v="3"/>
    <x v="2"/>
    <n v="21"/>
  </r>
  <r>
    <x v="5"/>
    <x v="4"/>
    <x v="0"/>
    <x v="5"/>
    <x v="69"/>
    <x v="3"/>
    <x v="3"/>
    <n v="34"/>
  </r>
  <r>
    <x v="5"/>
    <x v="4"/>
    <x v="0"/>
    <x v="5"/>
    <x v="70"/>
    <x v="3"/>
    <x v="3"/>
    <n v="16"/>
  </r>
  <r>
    <x v="5"/>
    <x v="4"/>
    <x v="0"/>
    <x v="5"/>
    <x v="71"/>
    <x v="0"/>
    <x v="3"/>
    <n v="26"/>
  </r>
  <r>
    <x v="5"/>
    <x v="4"/>
    <x v="1"/>
    <x v="5"/>
    <x v="60"/>
    <x v="0"/>
    <x v="0"/>
    <n v="45"/>
  </r>
  <r>
    <x v="5"/>
    <x v="4"/>
    <x v="1"/>
    <x v="5"/>
    <x v="61"/>
    <x v="0"/>
    <x v="0"/>
    <n v="31"/>
  </r>
  <r>
    <x v="5"/>
    <x v="4"/>
    <x v="1"/>
    <x v="5"/>
    <x v="62"/>
    <x v="1"/>
    <x v="0"/>
    <n v="43"/>
  </r>
  <r>
    <x v="5"/>
    <x v="4"/>
    <x v="1"/>
    <x v="5"/>
    <x v="63"/>
    <x v="1"/>
    <x v="1"/>
    <n v="68"/>
  </r>
  <r>
    <x v="5"/>
    <x v="4"/>
    <x v="1"/>
    <x v="5"/>
    <x v="64"/>
    <x v="1"/>
    <x v="1"/>
    <n v="55"/>
  </r>
  <r>
    <x v="5"/>
    <x v="4"/>
    <x v="1"/>
    <x v="5"/>
    <x v="65"/>
    <x v="2"/>
    <x v="1"/>
    <n v="82"/>
  </r>
  <r>
    <x v="5"/>
    <x v="4"/>
    <x v="1"/>
    <x v="5"/>
    <x v="66"/>
    <x v="2"/>
    <x v="2"/>
    <n v="41"/>
  </r>
  <r>
    <x v="5"/>
    <x v="4"/>
    <x v="1"/>
    <x v="5"/>
    <x v="67"/>
    <x v="2"/>
    <x v="2"/>
    <n v="41"/>
  </r>
  <r>
    <x v="5"/>
    <x v="4"/>
    <x v="1"/>
    <x v="5"/>
    <x v="68"/>
    <x v="3"/>
    <x v="2"/>
    <n v="14"/>
  </r>
  <r>
    <x v="5"/>
    <x v="4"/>
    <x v="1"/>
    <x v="5"/>
    <x v="69"/>
    <x v="3"/>
    <x v="3"/>
    <n v="15"/>
  </r>
  <r>
    <x v="5"/>
    <x v="4"/>
    <x v="1"/>
    <x v="5"/>
    <x v="70"/>
    <x v="3"/>
    <x v="3"/>
    <n v="18"/>
  </r>
  <r>
    <x v="5"/>
    <x v="4"/>
    <x v="1"/>
    <x v="5"/>
    <x v="71"/>
    <x v="0"/>
    <x v="3"/>
    <n v="25"/>
  </r>
  <r>
    <x v="5"/>
    <x v="5"/>
    <x v="0"/>
    <x v="5"/>
    <x v="60"/>
    <x v="0"/>
    <x v="0"/>
    <n v="286"/>
  </r>
  <r>
    <x v="5"/>
    <x v="5"/>
    <x v="0"/>
    <x v="5"/>
    <x v="61"/>
    <x v="0"/>
    <x v="0"/>
    <n v="180"/>
  </r>
  <r>
    <x v="5"/>
    <x v="5"/>
    <x v="0"/>
    <x v="5"/>
    <x v="62"/>
    <x v="1"/>
    <x v="0"/>
    <n v="236"/>
  </r>
  <r>
    <x v="5"/>
    <x v="5"/>
    <x v="0"/>
    <x v="5"/>
    <x v="63"/>
    <x v="1"/>
    <x v="1"/>
    <n v="356"/>
  </r>
  <r>
    <x v="5"/>
    <x v="5"/>
    <x v="0"/>
    <x v="5"/>
    <x v="64"/>
    <x v="1"/>
    <x v="1"/>
    <n v="192"/>
  </r>
  <r>
    <x v="5"/>
    <x v="5"/>
    <x v="0"/>
    <x v="5"/>
    <x v="65"/>
    <x v="2"/>
    <x v="1"/>
    <n v="208"/>
  </r>
  <r>
    <x v="5"/>
    <x v="5"/>
    <x v="0"/>
    <x v="5"/>
    <x v="66"/>
    <x v="2"/>
    <x v="2"/>
    <n v="148"/>
  </r>
  <r>
    <x v="5"/>
    <x v="5"/>
    <x v="0"/>
    <x v="5"/>
    <x v="67"/>
    <x v="2"/>
    <x v="2"/>
    <n v="137"/>
  </r>
  <r>
    <x v="5"/>
    <x v="5"/>
    <x v="0"/>
    <x v="5"/>
    <x v="68"/>
    <x v="3"/>
    <x v="2"/>
    <n v="96"/>
  </r>
  <r>
    <x v="5"/>
    <x v="5"/>
    <x v="0"/>
    <x v="5"/>
    <x v="69"/>
    <x v="3"/>
    <x v="3"/>
    <n v="81"/>
  </r>
  <r>
    <x v="5"/>
    <x v="5"/>
    <x v="0"/>
    <x v="5"/>
    <x v="70"/>
    <x v="3"/>
    <x v="3"/>
    <n v="111"/>
  </r>
  <r>
    <x v="5"/>
    <x v="5"/>
    <x v="0"/>
    <x v="5"/>
    <x v="71"/>
    <x v="0"/>
    <x v="3"/>
    <n v="208"/>
  </r>
  <r>
    <x v="5"/>
    <x v="5"/>
    <x v="1"/>
    <x v="5"/>
    <x v="60"/>
    <x v="0"/>
    <x v="0"/>
    <n v="1309"/>
  </r>
  <r>
    <x v="5"/>
    <x v="5"/>
    <x v="1"/>
    <x v="5"/>
    <x v="61"/>
    <x v="0"/>
    <x v="0"/>
    <n v="916"/>
  </r>
  <r>
    <x v="5"/>
    <x v="5"/>
    <x v="1"/>
    <x v="5"/>
    <x v="62"/>
    <x v="1"/>
    <x v="0"/>
    <n v="1080"/>
  </r>
  <r>
    <x v="5"/>
    <x v="5"/>
    <x v="1"/>
    <x v="5"/>
    <x v="63"/>
    <x v="1"/>
    <x v="1"/>
    <n v="1305"/>
  </r>
  <r>
    <x v="5"/>
    <x v="5"/>
    <x v="1"/>
    <x v="5"/>
    <x v="64"/>
    <x v="1"/>
    <x v="1"/>
    <n v="864"/>
  </r>
  <r>
    <x v="5"/>
    <x v="5"/>
    <x v="1"/>
    <x v="5"/>
    <x v="65"/>
    <x v="2"/>
    <x v="1"/>
    <n v="1376"/>
  </r>
  <r>
    <x v="5"/>
    <x v="5"/>
    <x v="1"/>
    <x v="5"/>
    <x v="66"/>
    <x v="2"/>
    <x v="2"/>
    <n v="864"/>
  </r>
  <r>
    <x v="5"/>
    <x v="5"/>
    <x v="1"/>
    <x v="5"/>
    <x v="67"/>
    <x v="2"/>
    <x v="2"/>
    <n v="1185"/>
  </r>
  <r>
    <x v="5"/>
    <x v="5"/>
    <x v="1"/>
    <x v="5"/>
    <x v="68"/>
    <x v="3"/>
    <x v="2"/>
    <n v="403"/>
  </r>
  <r>
    <x v="5"/>
    <x v="5"/>
    <x v="1"/>
    <x v="5"/>
    <x v="69"/>
    <x v="3"/>
    <x v="3"/>
    <n v="315"/>
  </r>
  <r>
    <x v="5"/>
    <x v="5"/>
    <x v="1"/>
    <x v="5"/>
    <x v="70"/>
    <x v="3"/>
    <x v="3"/>
    <n v="611"/>
  </r>
  <r>
    <x v="5"/>
    <x v="5"/>
    <x v="1"/>
    <x v="5"/>
    <x v="71"/>
    <x v="0"/>
    <x v="3"/>
    <n v="939"/>
  </r>
  <r>
    <x v="6"/>
    <x v="0"/>
    <x v="0"/>
    <x v="6"/>
    <x v="72"/>
    <x v="0"/>
    <x v="0"/>
    <n v="110"/>
  </r>
  <r>
    <x v="6"/>
    <x v="0"/>
    <x v="0"/>
    <x v="6"/>
    <x v="73"/>
    <x v="0"/>
    <x v="0"/>
    <n v="76"/>
  </r>
  <r>
    <x v="6"/>
    <x v="0"/>
    <x v="0"/>
    <x v="6"/>
    <x v="74"/>
    <x v="1"/>
    <x v="0"/>
    <n v="27"/>
  </r>
  <r>
    <x v="6"/>
    <x v="0"/>
    <x v="0"/>
    <x v="6"/>
    <x v="75"/>
    <x v="1"/>
    <x v="1"/>
    <n v="23"/>
  </r>
  <r>
    <x v="6"/>
    <x v="0"/>
    <x v="0"/>
    <x v="6"/>
    <x v="76"/>
    <x v="1"/>
    <x v="1"/>
    <n v="13"/>
  </r>
  <r>
    <x v="6"/>
    <x v="0"/>
    <x v="0"/>
    <x v="6"/>
    <x v="77"/>
    <x v="2"/>
    <x v="1"/>
    <n v="52"/>
  </r>
  <r>
    <x v="6"/>
    <x v="0"/>
    <x v="0"/>
    <x v="6"/>
    <x v="78"/>
    <x v="2"/>
    <x v="2"/>
    <n v="56"/>
  </r>
  <r>
    <x v="6"/>
    <x v="0"/>
    <x v="0"/>
    <x v="6"/>
    <x v="79"/>
    <x v="2"/>
    <x v="2"/>
    <n v="76"/>
  </r>
  <r>
    <x v="6"/>
    <x v="0"/>
    <x v="0"/>
    <x v="6"/>
    <x v="80"/>
    <x v="3"/>
    <x v="2"/>
    <n v="86"/>
  </r>
  <r>
    <x v="6"/>
    <x v="0"/>
    <x v="0"/>
    <x v="6"/>
    <x v="81"/>
    <x v="3"/>
    <x v="3"/>
    <n v="132"/>
  </r>
  <r>
    <x v="6"/>
    <x v="0"/>
    <x v="0"/>
    <x v="6"/>
    <x v="82"/>
    <x v="3"/>
    <x v="3"/>
    <n v="122"/>
  </r>
  <r>
    <x v="6"/>
    <x v="0"/>
    <x v="0"/>
    <x v="6"/>
    <x v="83"/>
    <x v="0"/>
    <x v="3"/>
    <n v="105"/>
  </r>
  <r>
    <x v="6"/>
    <x v="0"/>
    <x v="1"/>
    <x v="6"/>
    <x v="78"/>
    <x v="2"/>
    <x v="2"/>
    <n v="1"/>
  </r>
  <r>
    <x v="6"/>
    <x v="0"/>
    <x v="1"/>
    <x v="6"/>
    <x v="79"/>
    <x v="2"/>
    <x v="2"/>
    <n v="1"/>
  </r>
  <r>
    <x v="6"/>
    <x v="0"/>
    <x v="1"/>
    <x v="6"/>
    <x v="81"/>
    <x v="3"/>
    <x v="3"/>
    <n v="1"/>
  </r>
  <r>
    <x v="6"/>
    <x v="0"/>
    <x v="1"/>
    <x v="6"/>
    <x v="82"/>
    <x v="3"/>
    <x v="3"/>
    <n v="1"/>
  </r>
  <r>
    <x v="6"/>
    <x v="0"/>
    <x v="1"/>
    <x v="6"/>
    <x v="83"/>
    <x v="0"/>
    <x v="3"/>
    <n v="1"/>
  </r>
  <r>
    <x v="6"/>
    <x v="1"/>
    <x v="0"/>
    <x v="6"/>
    <x v="72"/>
    <x v="0"/>
    <x v="0"/>
    <n v="439"/>
  </r>
  <r>
    <x v="6"/>
    <x v="1"/>
    <x v="0"/>
    <x v="6"/>
    <x v="73"/>
    <x v="0"/>
    <x v="0"/>
    <n v="429"/>
  </r>
  <r>
    <x v="6"/>
    <x v="1"/>
    <x v="0"/>
    <x v="6"/>
    <x v="74"/>
    <x v="1"/>
    <x v="0"/>
    <n v="392"/>
  </r>
  <r>
    <x v="6"/>
    <x v="1"/>
    <x v="0"/>
    <x v="6"/>
    <x v="75"/>
    <x v="1"/>
    <x v="1"/>
    <n v="394"/>
  </r>
  <r>
    <x v="6"/>
    <x v="1"/>
    <x v="0"/>
    <x v="6"/>
    <x v="76"/>
    <x v="1"/>
    <x v="1"/>
    <n v="424"/>
  </r>
  <r>
    <x v="6"/>
    <x v="1"/>
    <x v="0"/>
    <x v="6"/>
    <x v="77"/>
    <x v="2"/>
    <x v="1"/>
    <n v="408"/>
  </r>
  <r>
    <x v="6"/>
    <x v="1"/>
    <x v="0"/>
    <x v="6"/>
    <x v="78"/>
    <x v="2"/>
    <x v="2"/>
    <n v="417"/>
  </r>
  <r>
    <x v="6"/>
    <x v="1"/>
    <x v="0"/>
    <x v="6"/>
    <x v="79"/>
    <x v="2"/>
    <x v="2"/>
    <n v="475"/>
  </r>
  <r>
    <x v="6"/>
    <x v="1"/>
    <x v="0"/>
    <x v="6"/>
    <x v="80"/>
    <x v="3"/>
    <x v="2"/>
    <n v="451"/>
  </r>
  <r>
    <x v="6"/>
    <x v="1"/>
    <x v="0"/>
    <x v="6"/>
    <x v="81"/>
    <x v="3"/>
    <x v="3"/>
    <n v="430"/>
  </r>
  <r>
    <x v="6"/>
    <x v="1"/>
    <x v="0"/>
    <x v="6"/>
    <x v="82"/>
    <x v="3"/>
    <x v="3"/>
    <n v="403"/>
  </r>
  <r>
    <x v="6"/>
    <x v="1"/>
    <x v="0"/>
    <x v="6"/>
    <x v="83"/>
    <x v="0"/>
    <x v="3"/>
    <n v="410"/>
  </r>
  <r>
    <x v="6"/>
    <x v="1"/>
    <x v="1"/>
    <x v="6"/>
    <x v="72"/>
    <x v="0"/>
    <x v="0"/>
    <n v="63"/>
  </r>
  <r>
    <x v="6"/>
    <x v="1"/>
    <x v="1"/>
    <x v="6"/>
    <x v="73"/>
    <x v="0"/>
    <x v="0"/>
    <n v="51"/>
  </r>
  <r>
    <x v="6"/>
    <x v="1"/>
    <x v="1"/>
    <x v="6"/>
    <x v="74"/>
    <x v="1"/>
    <x v="0"/>
    <n v="50"/>
  </r>
  <r>
    <x v="6"/>
    <x v="1"/>
    <x v="1"/>
    <x v="6"/>
    <x v="75"/>
    <x v="1"/>
    <x v="1"/>
    <n v="63"/>
  </r>
  <r>
    <x v="6"/>
    <x v="1"/>
    <x v="1"/>
    <x v="6"/>
    <x v="76"/>
    <x v="1"/>
    <x v="1"/>
    <n v="39"/>
  </r>
  <r>
    <x v="6"/>
    <x v="1"/>
    <x v="1"/>
    <x v="6"/>
    <x v="77"/>
    <x v="2"/>
    <x v="1"/>
    <n v="38"/>
  </r>
  <r>
    <x v="6"/>
    <x v="1"/>
    <x v="1"/>
    <x v="6"/>
    <x v="78"/>
    <x v="2"/>
    <x v="2"/>
    <n v="48"/>
  </r>
  <r>
    <x v="6"/>
    <x v="1"/>
    <x v="1"/>
    <x v="6"/>
    <x v="79"/>
    <x v="2"/>
    <x v="2"/>
    <n v="57"/>
  </r>
  <r>
    <x v="6"/>
    <x v="1"/>
    <x v="1"/>
    <x v="6"/>
    <x v="80"/>
    <x v="3"/>
    <x v="2"/>
    <n v="62"/>
  </r>
  <r>
    <x v="6"/>
    <x v="1"/>
    <x v="1"/>
    <x v="6"/>
    <x v="81"/>
    <x v="3"/>
    <x v="3"/>
    <n v="51"/>
  </r>
  <r>
    <x v="6"/>
    <x v="1"/>
    <x v="1"/>
    <x v="6"/>
    <x v="82"/>
    <x v="3"/>
    <x v="3"/>
    <n v="26"/>
  </r>
  <r>
    <x v="6"/>
    <x v="1"/>
    <x v="1"/>
    <x v="6"/>
    <x v="83"/>
    <x v="0"/>
    <x v="3"/>
    <n v="57"/>
  </r>
  <r>
    <x v="6"/>
    <x v="2"/>
    <x v="0"/>
    <x v="6"/>
    <x v="72"/>
    <x v="0"/>
    <x v="0"/>
    <n v="158"/>
  </r>
  <r>
    <x v="6"/>
    <x v="2"/>
    <x v="0"/>
    <x v="6"/>
    <x v="73"/>
    <x v="0"/>
    <x v="0"/>
    <n v="141"/>
  </r>
  <r>
    <x v="6"/>
    <x v="2"/>
    <x v="0"/>
    <x v="6"/>
    <x v="74"/>
    <x v="1"/>
    <x v="0"/>
    <n v="174"/>
  </r>
  <r>
    <x v="6"/>
    <x v="2"/>
    <x v="0"/>
    <x v="6"/>
    <x v="75"/>
    <x v="1"/>
    <x v="1"/>
    <n v="156"/>
  </r>
  <r>
    <x v="6"/>
    <x v="2"/>
    <x v="0"/>
    <x v="6"/>
    <x v="76"/>
    <x v="1"/>
    <x v="1"/>
    <n v="169"/>
  </r>
  <r>
    <x v="6"/>
    <x v="2"/>
    <x v="0"/>
    <x v="6"/>
    <x v="77"/>
    <x v="2"/>
    <x v="1"/>
    <n v="164"/>
  </r>
  <r>
    <x v="6"/>
    <x v="2"/>
    <x v="0"/>
    <x v="6"/>
    <x v="78"/>
    <x v="2"/>
    <x v="2"/>
    <n v="153"/>
  </r>
  <r>
    <x v="6"/>
    <x v="2"/>
    <x v="0"/>
    <x v="6"/>
    <x v="79"/>
    <x v="2"/>
    <x v="2"/>
    <n v="148"/>
  </r>
  <r>
    <x v="6"/>
    <x v="2"/>
    <x v="0"/>
    <x v="6"/>
    <x v="80"/>
    <x v="3"/>
    <x v="2"/>
    <n v="150"/>
  </r>
  <r>
    <x v="6"/>
    <x v="2"/>
    <x v="0"/>
    <x v="6"/>
    <x v="81"/>
    <x v="3"/>
    <x v="3"/>
    <n v="117"/>
  </r>
  <r>
    <x v="6"/>
    <x v="2"/>
    <x v="0"/>
    <x v="6"/>
    <x v="82"/>
    <x v="3"/>
    <x v="3"/>
    <n v="151"/>
  </r>
  <r>
    <x v="6"/>
    <x v="2"/>
    <x v="0"/>
    <x v="6"/>
    <x v="83"/>
    <x v="0"/>
    <x v="3"/>
    <n v="172"/>
  </r>
  <r>
    <x v="6"/>
    <x v="2"/>
    <x v="1"/>
    <x v="6"/>
    <x v="72"/>
    <x v="0"/>
    <x v="0"/>
    <n v="57"/>
  </r>
  <r>
    <x v="6"/>
    <x v="2"/>
    <x v="1"/>
    <x v="6"/>
    <x v="73"/>
    <x v="0"/>
    <x v="0"/>
    <n v="64"/>
  </r>
  <r>
    <x v="6"/>
    <x v="2"/>
    <x v="1"/>
    <x v="6"/>
    <x v="74"/>
    <x v="1"/>
    <x v="0"/>
    <n v="56"/>
  </r>
  <r>
    <x v="6"/>
    <x v="2"/>
    <x v="1"/>
    <x v="6"/>
    <x v="75"/>
    <x v="1"/>
    <x v="1"/>
    <n v="54"/>
  </r>
  <r>
    <x v="6"/>
    <x v="2"/>
    <x v="1"/>
    <x v="6"/>
    <x v="76"/>
    <x v="1"/>
    <x v="1"/>
    <n v="72"/>
  </r>
  <r>
    <x v="6"/>
    <x v="2"/>
    <x v="1"/>
    <x v="6"/>
    <x v="77"/>
    <x v="2"/>
    <x v="1"/>
    <n v="67"/>
  </r>
  <r>
    <x v="6"/>
    <x v="2"/>
    <x v="1"/>
    <x v="6"/>
    <x v="78"/>
    <x v="2"/>
    <x v="2"/>
    <n v="55"/>
  </r>
  <r>
    <x v="6"/>
    <x v="2"/>
    <x v="1"/>
    <x v="6"/>
    <x v="79"/>
    <x v="2"/>
    <x v="2"/>
    <n v="48"/>
  </r>
  <r>
    <x v="6"/>
    <x v="2"/>
    <x v="1"/>
    <x v="6"/>
    <x v="80"/>
    <x v="3"/>
    <x v="2"/>
    <n v="43"/>
  </r>
  <r>
    <x v="6"/>
    <x v="2"/>
    <x v="1"/>
    <x v="6"/>
    <x v="81"/>
    <x v="3"/>
    <x v="3"/>
    <n v="38"/>
  </r>
  <r>
    <x v="6"/>
    <x v="2"/>
    <x v="1"/>
    <x v="6"/>
    <x v="82"/>
    <x v="3"/>
    <x v="3"/>
    <n v="44"/>
  </r>
  <r>
    <x v="6"/>
    <x v="2"/>
    <x v="1"/>
    <x v="6"/>
    <x v="83"/>
    <x v="0"/>
    <x v="3"/>
    <n v="46"/>
  </r>
  <r>
    <x v="6"/>
    <x v="3"/>
    <x v="0"/>
    <x v="6"/>
    <x v="72"/>
    <x v="0"/>
    <x v="0"/>
    <n v="104"/>
  </r>
  <r>
    <x v="6"/>
    <x v="3"/>
    <x v="0"/>
    <x v="6"/>
    <x v="73"/>
    <x v="0"/>
    <x v="0"/>
    <n v="91"/>
  </r>
  <r>
    <x v="6"/>
    <x v="3"/>
    <x v="0"/>
    <x v="6"/>
    <x v="74"/>
    <x v="1"/>
    <x v="0"/>
    <n v="106"/>
  </r>
  <r>
    <x v="6"/>
    <x v="3"/>
    <x v="0"/>
    <x v="6"/>
    <x v="75"/>
    <x v="1"/>
    <x v="1"/>
    <n v="82"/>
  </r>
  <r>
    <x v="6"/>
    <x v="3"/>
    <x v="0"/>
    <x v="6"/>
    <x v="76"/>
    <x v="1"/>
    <x v="1"/>
    <n v="114"/>
  </r>
  <r>
    <x v="6"/>
    <x v="3"/>
    <x v="0"/>
    <x v="6"/>
    <x v="77"/>
    <x v="2"/>
    <x v="1"/>
    <n v="111"/>
  </r>
  <r>
    <x v="6"/>
    <x v="3"/>
    <x v="0"/>
    <x v="6"/>
    <x v="78"/>
    <x v="2"/>
    <x v="2"/>
    <n v="85"/>
  </r>
  <r>
    <x v="6"/>
    <x v="3"/>
    <x v="0"/>
    <x v="6"/>
    <x v="79"/>
    <x v="2"/>
    <x v="2"/>
    <n v="79"/>
  </r>
  <r>
    <x v="6"/>
    <x v="3"/>
    <x v="0"/>
    <x v="6"/>
    <x v="80"/>
    <x v="3"/>
    <x v="2"/>
    <n v="89"/>
  </r>
  <r>
    <x v="6"/>
    <x v="3"/>
    <x v="0"/>
    <x v="6"/>
    <x v="81"/>
    <x v="3"/>
    <x v="3"/>
    <n v="106"/>
  </r>
  <r>
    <x v="6"/>
    <x v="3"/>
    <x v="0"/>
    <x v="6"/>
    <x v="82"/>
    <x v="3"/>
    <x v="3"/>
    <n v="99"/>
  </r>
  <r>
    <x v="6"/>
    <x v="3"/>
    <x v="0"/>
    <x v="6"/>
    <x v="83"/>
    <x v="0"/>
    <x v="3"/>
    <n v="99"/>
  </r>
  <r>
    <x v="6"/>
    <x v="3"/>
    <x v="1"/>
    <x v="6"/>
    <x v="72"/>
    <x v="0"/>
    <x v="0"/>
    <n v="65"/>
  </r>
  <r>
    <x v="6"/>
    <x v="3"/>
    <x v="1"/>
    <x v="6"/>
    <x v="73"/>
    <x v="0"/>
    <x v="0"/>
    <n v="69"/>
  </r>
  <r>
    <x v="6"/>
    <x v="3"/>
    <x v="1"/>
    <x v="6"/>
    <x v="74"/>
    <x v="1"/>
    <x v="0"/>
    <n v="68"/>
  </r>
  <r>
    <x v="6"/>
    <x v="3"/>
    <x v="1"/>
    <x v="6"/>
    <x v="75"/>
    <x v="1"/>
    <x v="1"/>
    <n v="70"/>
  </r>
  <r>
    <x v="6"/>
    <x v="3"/>
    <x v="1"/>
    <x v="6"/>
    <x v="76"/>
    <x v="1"/>
    <x v="1"/>
    <n v="74"/>
  </r>
  <r>
    <x v="6"/>
    <x v="3"/>
    <x v="1"/>
    <x v="6"/>
    <x v="77"/>
    <x v="2"/>
    <x v="1"/>
    <n v="70"/>
  </r>
  <r>
    <x v="6"/>
    <x v="3"/>
    <x v="1"/>
    <x v="6"/>
    <x v="78"/>
    <x v="2"/>
    <x v="2"/>
    <n v="63"/>
  </r>
  <r>
    <x v="6"/>
    <x v="3"/>
    <x v="1"/>
    <x v="6"/>
    <x v="79"/>
    <x v="2"/>
    <x v="2"/>
    <n v="75"/>
  </r>
  <r>
    <x v="6"/>
    <x v="3"/>
    <x v="1"/>
    <x v="6"/>
    <x v="80"/>
    <x v="3"/>
    <x v="2"/>
    <n v="63"/>
  </r>
  <r>
    <x v="6"/>
    <x v="3"/>
    <x v="1"/>
    <x v="6"/>
    <x v="81"/>
    <x v="3"/>
    <x v="3"/>
    <n v="54"/>
  </r>
  <r>
    <x v="6"/>
    <x v="3"/>
    <x v="1"/>
    <x v="6"/>
    <x v="82"/>
    <x v="3"/>
    <x v="3"/>
    <n v="55"/>
  </r>
  <r>
    <x v="6"/>
    <x v="3"/>
    <x v="1"/>
    <x v="6"/>
    <x v="83"/>
    <x v="0"/>
    <x v="3"/>
    <n v="74"/>
  </r>
  <r>
    <x v="6"/>
    <x v="4"/>
    <x v="0"/>
    <x v="6"/>
    <x v="72"/>
    <x v="0"/>
    <x v="0"/>
    <n v="30"/>
  </r>
  <r>
    <x v="6"/>
    <x v="4"/>
    <x v="0"/>
    <x v="6"/>
    <x v="73"/>
    <x v="0"/>
    <x v="0"/>
    <n v="31"/>
  </r>
  <r>
    <x v="6"/>
    <x v="4"/>
    <x v="0"/>
    <x v="6"/>
    <x v="74"/>
    <x v="1"/>
    <x v="0"/>
    <n v="29"/>
  </r>
  <r>
    <x v="6"/>
    <x v="4"/>
    <x v="0"/>
    <x v="6"/>
    <x v="75"/>
    <x v="1"/>
    <x v="1"/>
    <n v="31"/>
  </r>
  <r>
    <x v="6"/>
    <x v="4"/>
    <x v="0"/>
    <x v="6"/>
    <x v="76"/>
    <x v="1"/>
    <x v="1"/>
    <n v="39"/>
  </r>
  <r>
    <x v="6"/>
    <x v="4"/>
    <x v="0"/>
    <x v="6"/>
    <x v="77"/>
    <x v="2"/>
    <x v="1"/>
    <n v="50"/>
  </r>
  <r>
    <x v="6"/>
    <x v="4"/>
    <x v="0"/>
    <x v="6"/>
    <x v="78"/>
    <x v="2"/>
    <x v="2"/>
    <n v="34"/>
  </r>
  <r>
    <x v="6"/>
    <x v="4"/>
    <x v="0"/>
    <x v="6"/>
    <x v="79"/>
    <x v="2"/>
    <x v="2"/>
    <n v="20"/>
  </r>
  <r>
    <x v="6"/>
    <x v="4"/>
    <x v="0"/>
    <x v="6"/>
    <x v="80"/>
    <x v="3"/>
    <x v="2"/>
    <n v="16"/>
  </r>
  <r>
    <x v="6"/>
    <x v="4"/>
    <x v="0"/>
    <x v="6"/>
    <x v="81"/>
    <x v="3"/>
    <x v="3"/>
    <n v="19"/>
  </r>
  <r>
    <x v="6"/>
    <x v="4"/>
    <x v="0"/>
    <x v="6"/>
    <x v="82"/>
    <x v="3"/>
    <x v="3"/>
    <n v="14"/>
  </r>
  <r>
    <x v="6"/>
    <x v="4"/>
    <x v="0"/>
    <x v="6"/>
    <x v="83"/>
    <x v="0"/>
    <x v="3"/>
    <n v="23"/>
  </r>
  <r>
    <x v="6"/>
    <x v="4"/>
    <x v="1"/>
    <x v="6"/>
    <x v="72"/>
    <x v="0"/>
    <x v="0"/>
    <n v="55"/>
  </r>
  <r>
    <x v="6"/>
    <x v="4"/>
    <x v="1"/>
    <x v="6"/>
    <x v="73"/>
    <x v="0"/>
    <x v="0"/>
    <n v="45"/>
  </r>
  <r>
    <x v="6"/>
    <x v="4"/>
    <x v="1"/>
    <x v="6"/>
    <x v="74"/>
    <x v="1"/>
    <x v="0"/>
    <n v="53"/>
  </r>
  <r>
    <x v="6"/>
    <x v="4"/>
    <x v="1"/>
    <x v="6"/>
    <x v="75"/>
    <x v="1"/>
    <x v="1"/>
    <n v="40"/>
  </r>
  <r>
    <x v="6"/>
    <x v="4"/>
    <x v="1"/>
    <x v="6"/>
    <x v="76"/>
    <x v="1"/>
    <x v="1"/>
    <n v="66"/>
  </r>
  <r>
    <x v="6"/>
    <x v="4"/>
    <x v="1"/>
    <x v="6"/>
    <x v="77"/>
    <x v="2"/>
    <x v="1"/>
    <n v="82"/>
  </r>
  <r>
    <x v="6"/>
    <x v="4"/>
    <x v="1"/>
    <x v="6"/>
    <x v="78"/>
    <x v="2"/>
    <x v="2"/>
    <n v="75"/>
  </r>
  <r>
    <x v="6"/>
    <x v="4"/>
    <x v="1"/>
    <x v="6"/>
    <x v="79"/>
    <x v="2"/>
    <x v="2"/>
    <n v="33"/>
  </r>
  <r>
    <x v="6"/>
    <x v="4"/>
    <x v="1"/>
    <x v="6"/>
    <x v="80"/>
    <x v="3"/>
    <x v="2"/>
    <n v="16"/>
  </r>
  <r>
    <x v="6"/>
    <x v="4"/>
    <x v="1"/>
    <x v="6"/>
    <x v="81"/>
    <x v="3"/>
    <x v="3"/>
    <n v="13"/>
  </r>
  <r>
    <x v="6"/>
    <x v="4"/>
    <x v="1"/>
    <x v="6"/>
    <x v="82"/>
    <x v="3"/>
    <x v="3"/>
    <n v="19"/>
  </r>
  <r>
    <x v="6"/>
    <x v="4"/>
    <x v="1"/>
    <x v="6"/>
    <x v="83"/>
    <x v="0"/>
    <x v="3"/>
    <n v="41"/>
  </r>
  <r>
    <x v="6"/>
    <x v="5"/>
    <x v="0"/>
    <x v="6"/>
    <x v="72"/>
    <x v="0"/>
    <x v="0"/>
    <n v="481"/>
  </r>
  <r>
    <x v="6"/>
    <x v="5"/>
    <x v="0"/>
    <x v="6"/>
    <x v="73"/>
    <x v="0"/>
    <x v="0"/>
    <n v="230"/>
  </r>
  <r>
    <x v="6"/>
    <x v="5"/>
    <x v="0"/>
    <x v="6"/>
    <x v="74"/>
    <x v="1"/>
    <x v="0"/>
    <n v="284"/>
  </r>
  <r>
    <x v="6"/>
    <x v="5"/>
    <x v="0"/>
    <x v="6"/>
    <x v="75"/>
    <x v="1"/>
    <x v="1"/>
    <n v="201"/>
  </r>
  <r>
    <x v="6"/>
    <x v="5"/>
    <x v="0"/>
    <x v="6"/>
    <x v="76"/>
    <x v="1"/>
    <x v="1"/>
    <n v="226"/>
  </r>
  <r>
    <x v="6"/>
    <x v="5"/>
    <x v="0"/>
    <x v="6"/>
    <x v="77"/>
    <x v="2"/>
    <x v="1"/>
    <n v="225"/>
  </r>
  <r>
    <x v="6"/>
    <x v="5"/>
    <x v="0"/>
    <x v="6"/>
    <x v="78"/>
    <x v="2"/>
    <x v="2"/>
    <n v="209"/>
  </r>
  <r>
    <x v="6"/>
    <x v="5"/>
    <x v="0"/>
    <x v="6"/>
    <x v="79"/>
    <x v="2"/>
    <x v="2"/>
    <n v="113"/>
  </r>
  <r>
    <x v="6"/>
    <x v="5"/>
    <x v="0"/>
    <x v="6"/>
    <x v="80"/>
    <x v="3"/>
    <x v="2"/>
    <n v="113"/>
  </r>
  <r>
    <x v="6"/>
    <x v="5"/>
    <x v="0"/>
    <x v="6"/>
    <x v="81"/>
    <x v="3"/>
    <x v="3"/>
    <n v="75"/>
  </r>
  <r>
    <x v="6"/>
    <x v="5"/>
    <x v="0"/>
    <x v="6"/>
    <x v="82"/>
    <x v="3"/>
    <x v="3"/>
    <n v="96"/>
  </r>
  <r>
    <x v="6"/>
    <x v="5"/>
    <x v="0"/>
    <x v="6"/>
    <x v="83"/>
    <x v="0"/>
    <x v="3"/>
    <n v="201"/>
  </r>
  <r>
    <x v="6"/>
    <x v="5"/>
    <x v="1"/>
    <x v="6"/>
    <x v="72"/>
    <x v="0"/>
    <x v="0"/>
    <n v="2109"/>
  </r>
  <r>
    <x v="6"/>
    <x v="5"/>
    <x v="1"/>
    <x v="6"/>
    <x v="73"/>
    <x v="0"/>
    <x v="0"/>
    <n v="972"/>
  </r>
  <r>
    <x v="6"/>
    <x v="5"/>
    <x v="1"/>
    <x v="6"/>
    <x v="74"/>
    <x v="1"/>
    <x v="0"/>
    <n v="1145"/>
  </r>
  <r>
    <x v="6"/>
    <x v="5"/>
    <x v="1"/>
    <x v="6"/>
    <x v="75"/>
    <x v="1"/>
    <x v="1"/>
    <n v="751"/>
  </r>
  <r>
    <x v="6"/>
    <x v="5"/>
    <x v="1"/>
    <x v="6"/>
    <x v="76"/>
    <x v="1"/>
    <x v="1"/>
    <n v="1091"/>
  </r>
  <r>
    <x v="6"/>
    <x v="5"/>
    <x v="1"/>
    <x v="6"/>
    <x v="77"/>
    <x v="2"/>
    <x v="1"/>
    <n v="1195"/>
  </r>
  <r>
    <x v="6"/>
    <x v="5"/>
    <x v="1"/>
    <x v="6"/>
    <x v="78"/>
    <x v="2"/>
    <x v="2"/>
    <n v="1378"/>
  </r>
  <r>
    <x v="6"/>
    <x v="5"/>
    <x v="1"/>
    <x v="6"/>
    <x v="79"/>
    <x v="2"/>
    <x v="2"/>
    <n v="955"/>
  </r>
  <r>
    <x v="6"/>
    <x v="5"/>
    <x v="1"/>
    <x v="6"/>
    <x v="80"/>
    <x v="3"/>
    <x v="2"/>
    <n v="321"/>
  </r>
  <r>
    <x v="6"/>
    <x v="5"/>
    <x v="1"/>
    <x v="6"/>
    <x v="81"/>
    <x v="3"/>
    <x v="3"/>
    <n v="308"/>
  </r>
  <r>
    <x v="6"/>
    <x v="5"/>
    <x v="1"/>
    <x v="6"/>
    <x v="82"/>
    <x v="3"/>
    <x v="3"/>
    <n v="591"/>
  </r>
  <r>
    <x v="6"/>
    <x v="5"/>
    <x v="1"/>
    <x v="6"/>
    <x v="83"/>
    <x v="0"/>
    <x v="3"/>
    <n v="1462"/>
  </r>
  <r>
    <x v="7"/>
    <x v="0"/>
    <x v="0"/>
    <x v="7"/>
    <x v="84"/>
    <x v="0"/>
    <x v="0"/>
    <n v="100"/>
  </r>
  <r>
    <x v="7"/>
    <x v="0"/>
    <x v="0"/>
    <x v="7"/>
    <x v="85"/>
    <x v="0"/>
    <x v="0"/>
    <n v="42"/>
  </r>
  <r>
    <x v="7"/>
    <x v="0"/>
    <x v="0"/>
    <x v="7"/>
    <x v="86"/>
    <x v="1"/>
    <x v="0"/>
    <n v="23"/>
  </r>
  <r>
    <x v="7"/>
    <x v="0"/>
    <x v="0"/>
    <x v="7"/>
    <x v="87"/>
    <x v="1"/>
    <x v="1"/>
    <n v="14"/>
  </r>
  <r>
    <x v="7"/>
    <x v="0"/>
    <x v="0"/>
    <x v="7"/>
    <x v="88"/>
    <x v="1"/>
    <x v="1"/>
    <n v="22"/>
  </r>
  <r>
    <x v="7"/>
    <x v="0"/>
    <x v="0"/>
    <x v="7"/>
    <x v="89"/>
    <x v="2"/>
    <x v="1"/>
    <n v="25"/>
  </r>
  <r>
    <x v="7"/>
    <x v="0"/>
    <x v="0"/>
    <x v="7"/>
    <x v="90"/>
    <x v="2"/>
    <x v="2"/>
    <n v="54"/>
  </r>
  <r>
    <x v="7"/>
    <x v="0"/>
    <x v="0"/>
    <x v="7"/>
    <x v="91"/>
    <x v="2"/>
    <x v="2"/>
    <n v="95"/>
  </r>
  <r>
    <x v="7"/>
    <x v="0"/>
    <x v="0"/>
    <x v="7"/>
    <x v="92"/>
    <x v="3"/>
    <x v="2"/>
    <n v="72"/>
  </r>
  <r>
    <x v="7"/>
    <x v="0"/>
    <x v="0"/>
    <x v="7"/>
    <x v="93"/>
    <x v="3"/>
    <x v="3"/>
    <n v="111"/>
  </r>
  <r>
    <x v="7"/>
    <x v="0"/>
    <x v="0"/>
    <x v="7"/>
    <x v="94"/>
    <x v="3"/>
    <x v="3"/>
    <n v="94"/>
  </r>
  <r>
    <x v="7"/>
    <x v="0"/>
    <x v="0"/>
    <x v="7"/>
    <x v="95"/>
    <x v="0"/>
    <x v="3"/>
    <n v="84"/>
  </r>
  <r>
    <x v="7"/>
    <x v="0"/>
    <x v="1"/>
    <x v="7"/>
    <x v="84"/>
    <x v="0"/>
    <x v="0"/>
    <n v="2"/>
  </r>
  <r>
    <x v="7"/>
    <x v="0"/>
    <x v="1"/>
    <x v="7"/>
    <x v="92"/>
    <x v="3"/>
    <x v="2"/>
    <n v="1"/>
  </r>
  <r>
    <x v="7"/>
    <x v="1"/>
    <x v="0"/>
    <x v="7"/>
    <x v="84"/>
    <x v="0"/>
    <x v="0"/>
    <n v="453"/>
  </r>
  <r>
    <x v="7"/>
    <x v="1"/>
    <x v="0"/>
    <x v="7"/>
    <x v="85"/>
    <x v="0"/>
    <x v="0"/>
    <n v="419"/>
  </r>
  <r>
    <x v="7"/>
    <x v="1"/>
    <x v="0"/>
    <x v="7"/>
    <x v="86"/>
    <x v="1"/>
    <x v="0"/>
    <n v="390"/>
  </r>
  <r>
    <x v="7"/>
    <x v="1"/>
    <x v="0"/>
    <x v="7"/>
    <x v="87"/>
    <x v="1"/>
    <x v="1"/>
    <n v="406"/>
  </r>
  <r>
    <x v="7"/>
    <x v="1"/>
    <x v="0"/>
    <x v="7"/>
    <x v="88"/>
    <x v="1"/>
    <x v="1"/>
    <n v="388"/>
  </r>
  <r>
    <x v="7"/>
    <x v="1"/>
    <x v="0"/>
    <x v="7"/>
    <x v="89"/>
    <x v="2"/>
    <x v="1"/>
    <n v="396"/>
  </r>
  <r>
    <x v="7"/>
    <x v="1"/>
    <x v="0"/>
    <x v="7"/>
    <x v="90"/>
    <x v="2"/>
    <x v="2"/>
    <n v="409"/>
  </r>
  <r>
    <x v="7"/>
    <x v="1"/>
    <x v="0"/>
    <x v="7"/>
    <x v="91"/>
    <x v="2"/>
    <x v="2"/>
    <n v="445"/>
  </r>
  <r>
    <x v="7"/>
    <x v="1"/>
    <x v="0"/>
    <x v="7"/>
    <x v="92"/>
    <x v="3"/>
    <x v="2"/>
    <n v="422"/>
  </r>
  <r>
    <x v="7"/>
    <x v="1"/>
    <x v="0"/>
    <x v="7"/>
    <x v="93"/>
    <x v="3"/>
    <x v="3"/>
    <n v="435"/>
  </r>
  <r>
    <x v="7"/>
    <x v="1"/>
    <x v="0"/>
    <x v="7"/>
    <x v="94"/>
    <x v="3"/>
    <x v="3"/>
    <n v="335"/>
  </r>
  <r>
    <x v="7"/>
    <x v="1"/>
    <x v="0"/>
    <x v="7"/>
    <x v="95"/>
    <x v="0"/>
    <x v="3"/>
    <n v="433"/>
  </r>
  <r>
    <x v="7"/>
    <x v="1"/>
    <x v="1"/>
    <x v="7"/>
    <x v="84"/>
    <x v="0"/>
    <x v="0"/>
    <n v="42"/>
  </r>
  <r>
    <x v="7"/>
    <x v="1"/>
    <x v="1"/>
    <x v="7"/>
    <x v="85"/>
    <x v="0"/>
    <x v="0"/>
    <n v="43"/>
  </r>
  <r>
    <x v="7"/>
    <x v="1"/>
    <x v="1"/>
    <x v="7"/>
    <x v="86"/>
    <x v="1"/>
    <x v="0"/>
    <n v="58"/>
  </r>
  <r>
    <x v="7"/>
    <x v="1"/>
    <x v="1"/>
    <x v="7"/>
    <x v="87"/>
    <x v="1"/>
    <x v="1"/>
    <n v="55"/>
  </r>
  <r>
    <x v="7"/>
    <x v="1"/>
    <x v="1"/>
    <x v="7"/>
    <x v="88"/>
    <x v="1"/>
    <x v="1"/>
    <n v="77"/>
  </r>
  <r>
    <x v="7"/>
    <x v="1"/>
    <x v="1"/>
    <x v="7"/>
    <x v="89"/>
    <x v="2"/>
    <x v="1"/>
    <n v="40"/>
  </r>
  <r>
    <x v="7"/>
    <x v="1"/>
    <x v="1"/>
    <x v="7"/>
    <x v="90"/>
    <x v="2"/>
    <x v="2"/>
    <n v="43"/>
  </r>
  <r>
    <x v="7"/>
    <x v="1"/>
    <x v="1"/>
    <x v="7"/>
    <x v="91"/>
    <x v="2"/>
    <x v="2"/>
    <n v="55"/>
  </r>
  <r>
    <x v="7"/>
    <x v="1"/>
    <x v="1"/>
    <x v="7"/>
    <x v="92"/>
    <x v="3"/>
    <x v="2"/>
    <n v="44"/>
  </r>
  <r>
    <x v="7"/>
    <x v="1"/>
    <x v="1"/>
    <x v="7"/>
    <x v="93"/>
    <x v="3"/>
    <x v="3"/>
    <n v="68"/>
  </r>
  <r>
    <x v="7"/>
    <x v="1"/>
    <x v="1"/>
    <x v="7"/>
    <x v="94"/>
    <x v="3"/>
    <x v="3"/>
    <n v="35"/>
  </r>
  <r>
    <x v="7"/>
    <x v="1"/>
    <x v="1"/>
    <x v="7"/>
    <x v="95"/>
    <x v="0"/>
    <x v="3"/>
    <n v="58"/>
  </r>
  <r>
    <x v="7"/>
    <x v="2"/>
    <x v="0"/>
    <x v="7"/>
    <x v="84"/>
    <x v="0"/>
    <x v="0"/>
    <n v="149"/>
  </r>
  <r>
    <x v="7"/>
    <x v="2"/>
    <x v="0"/>
    <x v="7"/>
    <x v="85"/>
    <x v="0"/>
    <x v="0"/>
    <n v="143"/>
  </r>
  <r>
    <x v="7"/>
    <x v="2"/>
    <x v="0"/>
    <x v="7"/>
    <x v="86"/>
    <x v="1"/>
    <x v="0"/>
    <n v="158"/>
  </r>
  <r>
    <x v="7"/>
    <x v="2"/>
    <x v="0"/>
    <x v="7"/>
    <x v="87"/>
    <x v="1"/>
    <x v="1"/>
    <n v="122"/>
  </r>
  <r>
    <x v="7"/>
    <x v="2"/>
    <x v="0"/>
    <x v="7"/>
    <x v="88"/>
    <x v="1"/>
    <x v="1"/>
    <n v="150"/>
  </r>
  <r>
    <x v="7"/>
    <x v="2"/>
    <x v="0"/>
    <x v="7"/>
    <x v="89"/>
    <x v="2"/>
    <x v="1"/>
    <n v="145"/>
  </r>
  <r>
    <x v="7"/>
    <x v="2"/>
    <x v="0"/>
    <x v="7"/>
    <x v="90"/>
    <x v="2"/>
    <x v="2"/>
    <n v="132"/>
  </r>
  <r>
    <x v="7"/>
    <x v="2"/>
    <x v="0"/>
    <x v="7"/>
    <x v="91"/>
    <x v="2"/>
    <x v="2"/>
    <n v="140"/>
  </r>
  <r>
    <x v="7"/>
    <x v="2"/>
    <x v="0"/>
    <x v="7"/>
    <x v="92"/>
    <x v="3"/>
    <x v="2"/>
    <n v="143"/>
  </r>
  <r>
    <x v="7"/>
    <x v="2"/>
    <x v="0"/>
    <x v="7"/>
    <x v="93"/>
    <x v="3"/>
    <x v="3"/>
    <n v="156"/>
  </r>
  <r>
    <x v="7"/>
    <x v="2"/>
    <x v="0"/>
    <x v="7"/>
    <x v="94"/>
    <x v="3"/>
    <x v="3"/>
    <n v="131"/>
  </r>
  <r>
    <x v="7"/>
    <x v="2"/>
    <x v="0"/>
    <x v="7"/>
    <x v="95"/>
    <x v="0"/>
    <x v="3"/>
    <n v="153"/>
  </r>
  <r>
    <x v="7"/>
    <x v="2"/>
    <x v="1"/>
    <x v="7"/>
    <x v="84"/>
    <x v="0"/>
    <x v="0"/>
    <n v="40"/>
  </r>
  <r>
    <x v="7"/>
    <x v="2"/>
    <x v="1"/>
    <x v="7"/>
    <x v="85"/>
    <x v="0"/>
    <x v="0"/>
    <n v="53"/>
  </r>
  <r>
    <x v="7"/>
    <x v="2"/>
    <x v="1"/>
    <x v="7"/>
    <x v="86"/>
    <x v="1"/>
    <x v="0"/>
    <n v="58"/>
  </r>
  <r>
    <x v="7"/>
    <x v="2"/>
    <x v="1"/>
    <x v="7"/>
    <x v="87"/>
    <x v="1"/>
    <x v="1"/>
    <n v="53"/>
  </r>
  <r>
    <x v="7"/>
    <x v="2"/>
    <x v="1"/>
    <x v="7"/>
    <x v="88"/>
    <x v="1"/>
    <x v="1"/>
    <n v="63"/>
  </r>
  <r>
    <x v="7"/>
    <x v="2"/>
    <x v="1"/>
    <x v="7"/>
    <x v="89"/>
    <x v="2"/>
    <x v="1"/>
    <n v="40"/>
  </r>
  <r>
    <x v="7"/>
    <x v="2"/>
    <x v="1"/>
    <x v="7"/>
    <x v="90"/>
    <x v="2"/>
    <x v="2"/>
    <n v="44"/>
  </r>
  <r>
    <x v="7"/>
    <x v="2"/>
    <x v="1"/>
    <x v="7"/>
    <x v="91"/>
    <x v="2"/>
    <x v="2"/>
    <n v="48"/>
  </r>
  <r>
    <x v="7"/>
    <x v="2"/>
    <x v="1"/>
    <x v="7"/>
    <x v="92"/>
    <x v="3"/>
    <x v="2"/>
    <n v="44"/>
  </r>
  <r>
    <x v="7"/>
    <x v="2"/>
    <x v="1"/>
    <x v="7"/>
    <x v="93"/>
    <x v="3"/>
    <x v="3"/>
    <n v="36"/>
  </r>
  <r>
    <x v="7"/>
    <x v="2"/>
    <x v="1"/>
    <x v="7"/>
    <x v="94"/>
    <x v="3"/>
    <x v="3"/>
    <n v="34"/>
  </r>
  <r>
    <x v="7"/>
    <x v="2"/>
    <x v="1"/>
    <x v="7"/>
    <x v="95"/>
    <x v="0"/>
    <x v="3"/>
    <n v="44"/>
  </r>
  <r>
    <x v="7"/>
    <x v="3"/>
    <x v="0"/>
    <x v="7"/>
    <x v="84"/>
    <x v="0"/>
    <x v="0"/>
    <n v="84"/>
  </r>
  <r>
    <x v="7"/>
    <x v="3"/>
    <x v="0"/>
    <x v="7"/>
    <x v="85"/>
    <x v="0"/>
    <x v="0"/>
    <n v="125"/>
  </r>
  <r>
    <x v="7"/>
    <x v="3"/>
    <x v="0"/>
    <x v="7"/>
    <x v="86"/>
    <x v="1"/>
    <x v="0"/>
    <n v="103"/>
  </r>
  <r>
    <x v="7"/>
    <x v="3"/>
    <x v="0"/>
    <x v="7"/>
    <x v="87"/>
    <x v="1"/>
    <x v="1"/>
    <n v="114"/>
  </r>
  <r>
    <x v="7"/>
    <x v="3"/>
    <x v="0"/>
    <x v="7"/>
    <x v="88"/>
    <x v="1"/>
    <x v="1"/>
    <n v="130"/>
  </r>
  <r>
    <x v="7"/>
    <x v="3"/>
    <x v="0"/>
    <x v="7"/>
    <x v="89"/>
    <x v="2"/>
    <x v="1"/>
    <n v="114"/>
  </r>
  <r>
    <x v="7"/>
    <x v="3"/>
    <x v="0"/>
    <x v="7"/>
    <x v="90"/>
    <x v="2"/>
    <x v="2"/>
    <n v="100"/>
  </r>
  <r>
    <x v="7"/>
    <x v="3"/>
    <x v="0"/>
    <x v="7"/>
    <x v="91"/>
    <x v="2"/>
    <x v="2"/>
    <n v="87"/>
  </r>
  <r>
    <x v="7"/>
    <x v="3"/>
    <x v="0"/>
    <x v="7"/>
    <x v="92"/>
    <x v="3"/>
    <x v="2"/>
    <n v="82"/>
  </r>
  <r>
    <x v="7"/>
    <x v="3"/>
    <x v="0"/>
    <x v="7"/>
    <x v="93"/>
    <x v="3"/>
    <x v="3"/>
    <n v="102"/>
  </r>
  <r>
    <x v="7"/>
    <x v="3"/>
    <x v="0"/>
    <x v="7"/>
    <x v="94"/>
    <x v="3"/>
    <x v="3"/>
    <n v="84"/>
  </r>
  <r>
    <x v="7"/>
    <x v="3"/>
    <x v="0"/>
    <x v="7"/>
    <x v="95"/>
    <x v="0"/>
    <x v="3"/>
    <n v="86"/>
  </r>
  <r>
    <x v="7"/>
    <x v="3"/>
    <x v="1"/>
    <x v="7"/>
    <x v="84"/>
    <x v="0"/>
    <x v="0"/>
    <n v="65"/>
  </r>
  <r>
    <x v="7"/>
    <x v="3"/>
    <x v="1"/>
    <x v="7"/>
    <x v="85"/>
    <x v="0"/>
    <x v="0"/>
    <n v="71"/>
  </r>
  <r>
    <x v="7"/>
    <x v="3"/>
    <x v="1"/>
    <x v="7"/>
    <x v="86"/>
    <x v="1"/>
    <x v="0"/>
    <n v="74"/>
  </r>
  <r>
    <x v="7"/>
    <x v="3"/>
    <x v="1"/>
    <x v="7"/>
    <x v="87"/>
    <x v="1"/>
    <x v="1"/>
    <n v="78"/>
  </r>
  <r>
    <x v="7"/>
    <x v="3"/>
    <x v="1"/>
    <x v="7"/>
    <x v="88"/>
    <x v="1"/>
    <x v="1"/>
    <n v="80"/>
  </r>
  <r>
    <x v="7"/>
    <x v="3"/>
    <x v="1"/>
    <x v="7"/>
    <x v="89"/>
    <x v="2"/>
    <x v="1"/>
    <n v="92"/>
  </r>
  <r>
    <x v="7"/>
    <x v="3"/>
    <x v="1"/>
    <x v="7"/>
    <x v="90"/>
    <x v="2"/>
    <x v="2"/>
    <n v="87"/>
  </r>
  <r>
    <x v="7"/>
    <x v="3"/>
    <x v="1"/>
    <x v="7"/>
    <x v="91"/>
    <x v="2"/>
    <x v="2"/>
    <n v="89"/>
  </r>
  <r>
    <x v="7"/>
    <x v="3"/>
    <x v="1"/>
    <x v="7"/>
    <x v="92"/>
    <x v="3"/>
    <x v="2"/>
    <n v="73"/>
  </r>
  <r>
    <x v="7"/>
    <x v="3"/>
    <x v="1"/>
    <x v="7"/>
    <x v="93"/>
    <x v="3"/>
    <x v="3"/>
    <n v="70"/>
  </r>
  <r>
    <x v="7"/>
    <x v="3"/>
    <x v="1"/>
    <x v="7"/>
    <x v="94"/>
    <x v="3"/>
    <x v="3"/>
    <n v="66"/>
  </r>
  <r>
    <x v="7"/>
    <x v="3"/>
    <x v="1"/>
    <x v="7"/>
    <x v="95"/>
    <x v="0"/>
    <x v="3"/>
    <n v="64"/>
  </r>
  <r>
    <x v="7"/>
    <x v="4"/>
    <x v="0"/>
    <x v="7"/>
    <x v="84"/>
    <x v="0"/>
    <x v="0"/>
    <n v="27"/>
  </r>
  <r>
    <x v="7"/>
    <x v="4"/>
    <x v="0"/>
    <x v="7"/>
    <x v="85"/>
    <x v="0"/>
    <x v="0"/>
    <n v="50"/>
  </r>
  <r>
    <x v="7"/>
    <x v="4"/>
    <x v="0"/>
    <x v="7"/>
    <x v="86"/>
    <x v="1"/>
    <x v="0"/>
    <n v="37"/>
  </r>
  <r>
    <x v="7"/>
    <x v="4"/>
    <x v="0"/>
    <x v="7"/>
    <x v="87"/>
    <x v="1"/>
    <x v="1"/>
    <n v="18"/>
  </r>
  <r>
    <x v="7"/>
    <x v="4"/>
    <x v="0"/>
    <x v="7"/>
    <x v="88"/>
    <x v="1"/>
    <x v="1"/>
    <n v="31"/>
  </r>
  <r>
    <x v="7"/>
    <x v="4"/>
    <x v="0"/>
    <x v="7"/>
    <x v="89"/>
    <x v="2"/>
    <x v="1"/>
    <n v="44"/>
  </r>
  <r>
    <x v="7"/>
    <x v="4"/>
    <x v="0"/>
    <x v="7"/>
    <x v="90"/>
    <x v="2"/>
    <x v="2"/>
    <n v="26"/>
  </r>
  <r>
    <x v="7"/>
    <x v="4"/>
    <x v="0"/>
    <x v="7"/>
    <x v="91"/>
    <x v="2"/>
    <x v="2"/>
    <n v="28"/>
  </r>
  <r>
    <x v="7"/>
    <x v="4"/>
    <x v="0"/>
    <x v="7"/>
    <x v="92"/>
    <x v="3"/>
    <x v="2"/>
    <n v="23"/>
  </r>
  <r>
    <x v="7"/>
    <x v="4"/>
    <x v="0"/>
    <x v="7"/>
    <x v="93"/>
    <x v="3"/>
    <x v="3"/>
    <n v="23"/>
  </r>
  <r>
    <x v="7"/>
    <x v="4"/>
    <x v="0"/>
    <x v="7"/>
    <x v="94"/>
    <x v="3"/>
    <x v="3"/>
    <n v="10"/>
  </r>
  <r>
    <x v="7"/>
    <x v="4"/>
    <x v="0"/>
    <x v="7"/>
    <x v="95"/>
    <x v="0"/>
    <x v="3"/>
    <n v="30"/>
  </r>
  <r>
    <x v="7"/>
    <x v="4"/>
    <x v="1"/>
    <x v="7"/>
    <x v="84"/>
    <x v="0"/>
    <x v="0"/>
    <n v="42"/>
  </r>
  <r>
    <x v="7"/>
    <x v="4"/>
    <x v="1"/>
    <x v="7"/>
    <x v="85"/>
    <x v="0"/>
    <x v="0"/>
    <n v="92"/>
  </r>
  <r>
    <x v="7"/>
    <x v="4"/>
    <x v="1"/>
    <x v="7"/>
    <x v="86"/>
    <x v="1"/>
    <x v="0"/>
    <n v="59"/>
  </r>
  <r>
    <x v="7"/>
    <x v="4"/>
    <x v="1"/>
    <x v="7"/>
    <x v="87"/>
    <x v="1"/>
    <x v="1"/>
    <n v="54"/>
  </r>
  <r>
    <x v="7"/>
    <x v="4"/>
    <x v="1"/>
    <x v="7"/>
    <x v="88"/>
    <x v="1"/>
    <x v="1"/>
    <n v="62"/>
  </r>
  <r>
    <x v="7"/>
    <x v="4"/>
    <x v="1"/>
    <x v="7"/>
    <x v="89"/>
    <x v="2"/>
    <x v="1"/>
    <n v="51"/>
  </r>
  <r>
    <x v="7"/>
    <x v="4"/>
    <x v="1"/>
    <x v="7"/>
    <x v="90"/>
    <x v="2"/>
    <x v="2"/>
    <n v="82"/>
  </r>
  <r>
    <x v="7"/>
    <x v="4"/>
    <x v="1"/>
    <x v="7"/>
    <x v="91"/>
    <x v="2"/>
    <x v="2"/>
    <n v="46"/>
  </r>
  <r>
    <x v="7"/>
    <x v="4"/>
    <x v="1"/>
    <x v="7"/>
    <x v="92"/>
    <x v="3"/>
    <x v="2"/>
    <n v="33"/>
  </r>
  <r>
    <x v="7"/>
    <x v="4"/>
    <x v="1"/>
    <x v="7"/>
    <x v="93"/>
    <x v="3"/>
    <x v="3"/>
    <n v="23"/>
  </r>
  <r>
    <x v="7"/>
    <x v="4"/>
    <x v="1"/>
    <x v="7"/>
    <x v="94"/>
    <x v="3"/>
    <x v="3"/>
    <n v="29"/>
  </r>
  <r>
    <x v="7"/>
    <x v="4"/>
    <x v="1"/>
    <x v="7"/>
    <x v="95"/>
    <x v="0"/>
    <x v="3"/>
    <n v="38"/>
  </r>
  <r>
    <x v="7"/>
    <x v="5"/>
    <x v="0"/>
    <x v="7"/>
    <x v="84"/>
    <x v="0"/>
    <x v="0"/>
    <n v="254"/>
  </r>
  <r>
    <x v="7"/>
    <x v="5"/>
    <x v="0"/>
    <x v="7"/>
    <x v="85"/>
    <x v="0"/>
    <x v="0"/>
    <n v="467"/>
  </r>
  <r>
    <x v="7"/>
    <x v="5"/>
    <x v="0"/>
    <x v="7"/>
    <x v="86"/>
    <x v="1"/>
    <x v="0"/>
    <n v="260"/>
  </r>
  <r>
    <x v="7"/>
    <x v="5"/>
    <x v="0"/>
    <x v="7"/>
    <x v="87"/>
    <x v="1"/>
    <x v="1"/>
    <n v="187"/>
  </r>
  <r>
    <x v="7"/>
    <x v="5"/>
    <x v="0"/>
    <x v="7"/>
    <x v="88"/>
    <x v="1"/>
    <x v="1"/>
    <n v="212"/>
  </r>
  <r>
    <x v="7"/>
    <x v="5"/>
    <x v="0"/>
    <x v="7"/>
    <x v="89"/>
    <x v="2"/>
    <x v="1"/>
    <n v="156"/>
  </r>
  <r>
    <x v="7"/>
    <x v="5"/>
    <x v="0"/>
    <x v="7"/>
    <x v="90"/>
    <x v="2"/>
    <x v="2"/>
    <n v="167"/>
  </r>
  <r>
    <x v="7"/>
    <x v="5"/>
    <x v="0"/>
    <x v="7"/>
    <x v="91"/>
    <x v="2"/>
    <x v="2"/>
    <n v="158"/>
  </r>
  <r>
    <x v="7"/>
    <x v="5"/>
    <x v="0"/>
    <x v="7"/>
    <x v="92"/>
    <x v="3"/>
    <x v="2"/>
    <n v="120"/>
  </r>
  <r>
    <x v="7"/>
    <x v="5"/>
    <x v="0"/>
    <x v="7"/>
    <x v="93"/>
    <x v="3"/>
    <x v="3"/>
    <n v="97"/>
  </r>
  <r>
    <x v="7"/>
    <x v="5"/>
    <x v="0"/>
    <x v="7"/>
    <x v="94"/>
    <x v="3"/>
    <x v="3"/>
    <n v="140"/>
  </r>
  <r>
    <x v="7"/>
    <x v="5"/>
    <x v="0"/>
    <x v="7"/>
    <x v="95"/>
    <x v="0"/>
    <x v="3"/>
    <n v="249"/>
  </r>
  <r>
    <x v="7"/>
    <x v="5"/>
    <x v="1"/>
    <x v="7"/>
    <x v="84"/>
    <x v="0"/>
    <x v="0"/>
    <n v="1614"/>
  </r>
  <r>
    <x v="7"/>
    <x v="5"/>
    <x v="1"/>
    <x v="7"/>
    <x v="85"/>
    <x v="0"/>
    <x v="0"/>
    <n v="2058"/>
  </r>
  <r>
    <x v="7"/>
    <x v="5"/>
    <x v="1"/>
    <x v="7"/>
    <x v="86"/>
    <x v="1"/>
    <x v="0"/>
    <n v="1269"/>
  </r>
  <r>
    <x v="7"/>
    <x v="5"/>
    <x v="1"/>
    <x v="7"/>
    <x v="87"/>
    <x v="1"/>
    <x v="1"/>
    <n v="759"/>
  </r>
  <r>
    <x v="7"/>
    <x v="5"/>
    <x v="1"/>
    <x v="7"/>
    <x v="88"/>
    <x v="1"/>
    <x v="1"/>
    <n v="970"/>
  </r>
  <r>
    <x v="7"/>
    <x v="5"/>
    <x v="1"/>
    <x v="7"/>
    <x v="89"/>
    <x v="2"/>
    <x v="1"/>
    <n v="852"/>
  </r>
  <r>
    <x v="7"/>
    <x v="5"/>
    <x v="1"/>
    <x v="7"/>
    <x v="90"/>
    <x v="2"/>
    <x v="2"/>
    <n v="1213"/>
  </r>
  <r>
    <x v="7"/>
    <x v="5"/>
    <x v="1"/>
    <x v="7"/>
    <x v="91"/>
    <x v="2"/>
    <x v="2"/>
    <n v="1394"/>
  </r>
  <r>
    <x v="7"/>
    <x v="5"/>
    <x v="1"/>
    <x v="7"/>
    <x v="92"/>
    <x v="3"/>
    <x v="2"/>
    <n v="694"/>
  </r>
  <r>
    <x v="7"/>
    <x v="5"/>
    <x v="1"/>
    <x v="7"/>
    <x v="93"/>
    <x v="3"/>
    <x v="3"/>
    <n v="668"/>
  </r>
  <r>
    <x v="7"/>
    <x v="5"/>
    <x v="1"/>
    <x v="7"/>
    <x v="94"/>
    <x v="3"/>
    <x v="3"/>
    <n v="621"/>
  </r>
  <r>
    <x v="7"/>
    <x v="5"/>
    <x v="1"/>
    <x v="7"/>
    <x v="95"/>
    <x v="0"/>
    <x v="3"/>
    <n v="1080"/>
  </r>
  <r>
    <x v="8"/>
    <x v="0"/>
    <x v="0"/>
    <x v="8"/>
    <x v="96"/>
    <x v="0"/>
    <x v="0"/>
    <n v="80"/>
  </r>
  <r>
    <x v="8"/>
    <x v="0"/>
    <x v="0"/>
    <x v="8"/>
    <x v="97"/>
    <x v="0"/>
    <x v="0"/>
    <n v="37"/>
  </r>
  <r>
    <x v="8"/>
    <x v="0"/>
    <x v="0"/>
    <x v="8"/>
    <x v="98"/>
    <x v="1"/>
    <x v="0"/>
    <n v="24"/>
  </r>
  <r>
    <x v="8"/>
    <x v="0"/>
    <x v="0"/>
    <x v="8"/>
    <x v="99"/>
    <x v="1"/>
    <x v="1"/>
    <n v="9"/>
  </r>
  <r>
    <x v="8"/>
    <x v="0"/>
    <x v="0"/>
    <x v="8"/>
    <x v="100"/>
    <x v="1"/>
    <x v="1"/>
    <n v="19"/>
  </r>
  <r>
    <x v="8"/>
    <x v="0"/>
    <x v="0"/>
    <x v="8"/>
    <x v="101"/>
    <x v="2"/>
    <x v="1"/>
    <n v="23"/>
  </r>
  <r>
    <x v="8"/>
    <x v="0"/>
    <x v="0"/>
    <x v="8"/>
    <x v="102"/>
    <x v="2"/>
    <x v="2"/>
    <n v="49"/>
  </r>
  <r>
    <x v="8"/>
    <x v="0"/>
    <x v="0"/>
    <x v="8"/>
    <x v="103"/>
    <x v="2"/>
    <x v="2"/>
    <n v="91"/>
  </r>
  <r>
    <x v="8"/>
    <x v="0"/>
    <x v="0"/>
    <x v="8"/>
    <x v="104"/>
    <x v="3"/>
    <x v="2"/>
    <n v="106"/>
  </r>
  <r>
    <x v="8"/>
    <x v="0"/>
    <x v="0"/>
    <x v="8"/>
    <x v="105"/>
    <x v="3"/>
    <x v="3"/>
    <n v="121"/>
  </r>
  <r>
    <x v="8"/>
    <x v="0"/>
    <x v="0"/>
    <x v="8"/>
    <x v="106"/>
    <x v="3"/>
    <x v="3"/>
    <n v="97"/>
  </r>
  <r>
    <x v="8"/>
    <x v="0"/>
    <x v="0"/>
    <x v="8"/>
    <x v="107"/>
    <x v="0"/>
    <x v="3"/>
    <n v="105"/>
  </r>
  <r>
    <x v="8"/>
    <x v="0"/>
    <x v="1"/>
    <x v="8"/>
    <x v="104"/>
    <x v="3"/>
    <x v="2"/>
    <n v="1"/>
  </r>
  <r>
    <x v="8"/>
    <x v="0"/>
    <x v="1"/>
    <x v="8"/>
    <x v="106"/>
    <x v="3"/>
    <x v="3"/>
    <n v="1"/>
  </r>
  <r>
    <x v="8"/>
    <x v="1"/>
    <x v="0"/>
    <x v="8"/>
    <x v="96"/>
    <x v="0"/>
    <x v="0"/>
    <n v="405"/>
  </r>
  <r>
    <x v="8"/>
    <x v="1"/>
    <x v="0"/>
    <x v="8"/>
    <x v="97"/>
    <x v="0"/>
    <x v="0"/>
    <n v="402"/>
  </r>
  <r>
    <x v="8"/>
    <x v="1"/>
    <x v="0"/>
    <x v="8"/>
    <x v="98"/>
    <x v="1"/>
    <x v="0"/>
    <n v="351"/>
  </r>
  <r>
    <x v="8"/>
    <x v="1"/>
    <x v="0"/>
    <x v="8"/>
    <x v="99"/>
    <x v="1"/>
    <x v="1"/>
    <n v="357"/>
  </r>
  <r>
    <x v="8"/>
    <x v="1"/>
    <x v="0"/>
    <x v="8"/>
    <x v="100"/>
    <x v="1"/>
    <x v="1"/>
    <n v="371"/>
  </r>
  <r>
    <x v="8"/>
    <x v="1"/>
    <x v="0"/>
    <x v="8"/>
    <x v="101"/>
    <x v="2"/>
    <x v="1"/>
    <n v="348"/>
  </r>
  <r>
    <x v="8"/>
    <x v="1"/>
    <x v="0"/>
    <x v="8"/>
    <x v="102"/>
    <x v="2"/>
    <x v="2"/>
    <n v="365"/>
  </r>
  <r>
    <x v="8"/>
    <x v="1"/>
    <x v="0"/>
    <x v="8"/>
    <x v="103"/>
    <x v="2"/>
    <x v="2"/>
    <n v="418"/>
  </r>
  <r>
    <x v="8"/>
    <x v="1"/>
    <x v="0"/>
    <x v="8"/>
    <x v="104"/>
    <x v="3"/>
    <x v="2"/>
    <n v="469"/>
  </r>
  <r>
    <x v="8"/>
    <x v="1"/>
    <x v="0"/>
    <x v="8"/>
    <x v="105"/>
    <x v="3"/>
    <x v="3"/>
    <n v="422"/>
  </r>
  <r>
    <x v="8"/>
    <x v="1"/>
    <x v="0"/>
    <x v="8"/>
    <x v="106"/>
    <x v="3"/>
    <x v="3"/>
    <n v="393"/>
  </r>
  <r>
    <x v="8"/>
    <x v="1"/>
    <x v="0"/>
    <x v="8"/>
    <x v="107"/>
    <x v="0"/>
    <x v="3"/>
    <n v="460"/>
  </r>
  <r>
    <x v="8"/>
    <x v="1"/>
    <x v="1"/>
    <x v="8"/>
    <x v="96"/>
    <x v="0"/>
    <x v="0"/>
    <n v="55"/>
  </r>
  <r>
    <x v="8"/>
    <x v="1"/>
    <x v="1"/>
    <x v="8"/>
    <x v="97"/>
    <x v="0"/>
    <x v="0"/>
    <n v="46"/>
  </r>
  <r>
    <x v="8"/>
    <x v="1"/>
    <x v="1"/>
    <x v="8"/>
    <x v="98"/>
    <x v="1"/>
    <x v="0"/>
    <n v="51"/>
  </r>
  <r>
    <x v="8"/>
    <x v="1"/>
    <x v="1"/>
    <x v="8"/>
    <x v="99"/>
    <x v="1"/>
    <x v="1"/>
    <n v="47"/>
  </r>
  <r>
    <x v="8"/>
    <x v="1"/>
    <x v="1"/>
    <x v="8"/>
    <x v="100"/>
    <x v="1"/>
    <x v="1"/>
    <n v="40"/>
  </r>
  <r>
    <x v="8"/>
    <x v="1"/>
    <x v="1"/>
    <x v="8"/>
    <x v="101"/>
    <x v="2"/>
    <x v="1"/>
    <n v="49"/>
  </r>
  <r>
    <x v="8"/>
    <x v="1"/>
    <x v="1"/>
    <x v="8"/>
    <x v="102"/>
    <x v="2"/>
    <x v="2"/>
    <n v="55"/>
  </r>
  <r>
    <x v="8"/>
    <x v="1"/>
    <x v="1"/>
    <x v="8"/>
    <x v="103"/>
    <x v="2"/>
    <x v="2"/>
    <n v="47"/>
  </r>
  <r>
    <x v="8"/>
    <x v="1"/>
    <x v="1"/>
    <x v="8"/>
    <x v="104"/>
    <x v="3"/>
    <x v="2"/>
    <n v="56"/>
  </r>
  <r>
    <x v="8"/>
    <x v="1"/>
    <x v="1"/>
    <x v="8"/>
    <x v="105"/>
    <x v="3"/>
    <x v="3"/>
    <n v="39"/>
  </r>
  <r>
    <x v="8"/>
    <x v="1"/>
    <x v="1"/>
    <x v="8"/>
    <x v="106"/>
    <x v="3"/>
    <x v="3"/>
    <n v="41"/>
  </r>
  <r>
    <x v="8"/>
    <x v="1"/>
    <x v="1"/>
    <x v="8"/>
    <x v="107"/>
    <x v="0"/>
    <x v="3"/>
    <n v="34"/>
  </r>
  <r>
    <x v="8"/>
    <x v="2"/>
    <x v="0"/>
    <x v="8"/>
    <x v="96"/>
    <x v="0"/>
    <x v="0"/>
    <n v="146"/>
  </r>
  <r>
    <x v="8"/>
    <x v="2"/>
    <x v="0"/>
    <x v="8"/>
    <x v="97"/>
    <x v="0"/>
    <x v="0"/>
    <n v="148"/>
  </r>
  <r>
    <x v="8"/>
    <x v="2"/>
    <x v="0"/>
    <x v="8"/>
    <x v="98"/>
    <x v="1"/>
    <x v="0"/>
    <n v="117"/>
  </r>
  <r>
    <x v="8"/>
    <x v="2"/>
    <x v="0"/>
    <x v="8"/>
    <x v="99"/>
    <x v="1"/>
    <x v="1"/>
    <n v="137"/>
  </r>
  <r>
    <x v="8"/>
    <x v="2"/>
    <x v="0"/>
    <x v="8"/>
    <x v="100"/>
    <x v="1"/>
    <x v="1"/>
    <n v="132"/>
  </r>
  <r>
    <x v="8"/>
    <x v="2"/>
    <x v="0"/>
    <x v="8"/>
    <x v="101"/>
    <x v="2"/>
    <x v="1"/>
    <n v="143"/>
  </r>
  <r>
    <x v="8"/>
    <x v="2"/>
    <x v="0"/>
    <x v="8"/>
    <x v="102"/>
    <x v="2"/>
    <x v="2"/>
    <n v="138"/>
  </r>
  <r>
    <x v="8"/>
    <x v="2"/>
    <x v="0"/>
    <x v="8"/>
    <x v="103"/>
    <x v="2"/>
    <x v="2"/>
    <n v="145"/>
  </r>
  <r>
    <x v="8"/>
    <x v="2"/>
    <x v="0"/>
    <x v="8"/>
    <x v="104"/>
    <x v="3"/>
    <x v="2"/>
    <n v="140"/>
  </r>
  <r>
    <x v="8"/>
    <x v="2"/>
    <x v="0"/>
    <x v="8"/>
    <x v="105"/>
    <x v="3"/>
    <x v="3"/>
    <n v="130"/>
  </r>
  <r>
    <x v="8"/>
    <x v="2"/>
    <x v="0"/>
    <x v="8"/>
    <x v="106"/>
    <x v="3"/>
    <x v="3"/>
    <n v="134"/>
  </r>
  <r>
    <x v="8"/>
    <x v="2"/>
    <x v="0"/>
    <x v="8"/>
    <x v="107"/>
    <x v="0"/>
    <x v="3"/>
    <n v="129"/>
  </r>
  <r>
    <x v="8"/>
    <x v="2"/>
    <x v="1"/>
    <x v="8"/>
    <x v="96"/>
    <x v="0"/>
    <x v="0"/>
    <n v="60"/>
  </r>
  <r>
    <x v="8"/>
    <x v="2"/>
    <x v="1"/>
    <x v="8"/>
    <x v="97"/>
    <x v="0"/>
    <x v="0"/>
    <n v="82"/>
  </r>
  <r>
    <x v="8"/>
    <x v="2"/>
    <x v="1"/>
    <x v="8"/>
    <x v="98"/>
    <x v="1"/>
    <x v="0"/>
    <n v="53"/>
  </r>
  <r>
    <x v="8"/>
    <x v="2"/>
    <x v="1"/>
    <x v="8"/>
    <x v="99"/>
    <x v="1"/>
    <x v="1"/>
    <n v="54"/>
  </r>
  <r>
    <x v="8"/>
    <x v="2"/>
    <x v="1"/>
    <x v="8"/>
    <x v="100"/>
    <x v="1"/>
    <x v="1"/>
    <n v="57"/>
  </r>
  <r>
    <x v="8"/>
    <x v="2"/>
    <x v="1"/>
    <x v="8"/>
    <x v="101"/>
    <x v="2"/>
    <x v="1"/>
    <n v="53"/>
  </r>
  <r>
    <x v="8"/>
    <x v="2"/>
    <x v="1"/>
    <x v="8"/>
    <x v="102"/>
    <x v="2"/>
    <x v="2"/>
    <n v="66"/>
  </r>
  <r>
    <x v="8"/>
    <x v="2"/>
    <x v="1"/>
    <x v="8"/>
    <x v="103"/>
    <x v="2"/>
    <x v="2"/>
    <n v="58"/>
  </r>
  <r>
    <x v="8"/>
    <x v="2"/>
    <x v="1"/>
    <x v="8"/>
    <x v="104"/>
    <x v="3"/>
    <x v="2"/>
    <n v="54"/>
  </r>
  <r>
    <x v="8"/>
    <x v="2"/>
    <x v="1"/>
    <x v="8"/>
    <x v="105"/>
    <x v="3"/>
    <x v="3"/>
    <n v="33"/>
  </r>
  <r>
    <x v="8"/>
    <x v="2"/>
    <x v="1"/>
    <x v="8"/>
    <x v="106"/>
    <x v="3"/>
    <x v="3"/>
    <n v="39"/>
  </r>
  <r>
    <x v="8"/>
    <x v="2"/>
    <x v="1"/>
    <x v="8"/>
    <x v="107"/>
    <x v="0"/>
    <x v="3"/>
    <n v="43"/>
  </r>
  <r>
    <x v="8"/>
    <x v="3"/>
    <x v="0"/>
    <x v="8"/>
    <x v="96"/>
    <x v="0"/>
    <x v="0"/>
    <n v="71"/>
  </r>
  <r>
    <x v="8"/>
    <x v="3"/>
    <x v="0"/>
    <x v="8"/>
    <x v="97"/>
    <x v="0"/>
    <x v="0"/>
    <n v="79"/>
  </r>
  <r>
    <x v="8"/>
    <x v="3"/>
    <x v="0"/>
    <x v="8"/>
    <x v="98"/>
    <x v="1"/>
    <x v="0"/>
    <n v="112"/>
  </r>
  <r>
    <x v="8"/>
    <x v="3"/>
    <x v="0"/>
    <x v="8"/>
    <x v="99"/>
    <x v="1"/>
    <x v="1"/>
    <n v="109"/>
  </r>
  <r>
    <x v="8"/>
    <x v="3"/>
    <x v="0"/>
    <x v="8"/>
    <x v="100"/>
    <x v="1"/>
    <x v="1"/>
    <n v="114"/>
  </r>
  <r>
    <x v="8"/>
    <x v="3"/>
    <x v="0"/>
    <x v="8"/>
    <x v="101"/>
    <x v="2"/>
    <x v="1"/>
    <n v="93"/>
  </r>
  <r>
    <x v="8"/>
    <x v="3"/>
    <x v="0"/>
    <x v="8"/>
    <x v="102"/>
    <x v="2"/>
    <x v="2"/>
    <n v="80"/>
  </r>
  <r>
    <x v="8"/>
    <x v="3"/>
    <x v="0"/>
    <x v="8"/>
    <x v="103"/>
    <x v="2"/>
    <x v="2"/>
    <n v="112"/>
  </r>
  <r>
    <x v="8"/>
    <x v="3"/>
    <x v="0"/>
    <x v="8"/>
    <x v="104"/>
    <x v="3"/>
    <x v="2"/>
    <n v="81"/>
  </r>
  <r>
    <x v="8"/>
    <x v="3"/>
    <x v="0"/>
    <x v="8"/>
    <x v="105"/>
    <x v="3"/>
    <x v="3"/>
    <n v="126"/>
  </r>
  <r>
    <x v="8"/>
    <x v="3"/>
    <x v="0"/>
    <x v="8"/>
    <x v="106"/>
    <x v="3"/>
    <x v="3"/>
    <n v="91"/>
  </r>
  <r>
    <x v="8"/>
    <x v="3"/>
    <x v="0"/>
    <x v="8"/>
    <x v="107"/>
    <x v="0"/>
    <x v="3"/>
    <n v="85"/>
  </r>
  <r>
    <x v="8"/>
    <x v="3"/>
    <x v="1"/>
    <x v="8"/>
    <x v="96"/>
    <x v="0"/>
    <x v="0"/>
    <n v="74"/>
  </r>
  <r>
    <x v="8"/>
    <x v="3"/>
    <x v="1"/>
    <x v="8"/>
    <x v="97"/>
    <x v="0"/>
    <x v="0"/>
    <n v="82"/>
  </r>
  <r>
    <x v="8"/>
    <x v="3"/>
    <x v="1"/>
    <x v="8"/>
    <x v="98"/>
    <x v="1"/>
    <x v="0"/>
    <n v="69"/>
  </r>
  <r>
    <x v="8"/>
    <x v="3"/>
    <x v="1"/>
    <x v="8"/>
    <x v="99"/>
    <x v="1"/>
    <x v="1"/>
    <n v="92"/>
  </r>
  <r>
    <x v="8"/>
    <x v="3"/>
    <x v="1"/>
    <x v="8"/>
    <x v="100"/>
    <x v="1"/>
    <x v="1"/>
    <n v="85"/>
  </r>
  <r>
    <x v="8"/>
    <x v="3"/>
    <x v="1"/>
    <x v="8"/>
    <x v="101"/>
    <x v="2"/>
    <x v="1"/>
    <n v="81"/>
  </r>
  <r>
    <x v="8"/>
    <x v="3"/>
    <x v="1"/>
    <x v="8"/>
    <x v="102"/>
    <x v="2"/>
    <x v="2"/>
    <n v="76"/>
  </r>
  <r>
    <x v="8"/>
    <x v="3"/>
    <x v="1"/>
    <x v="8"/>
    <x v="103"/>
    <x v="2"/>
    <x v="2"/>
    <n v="74"/>
  </r>
  <r>
    <x v="8"/>
    <x v="3"/>
    <x v="1"/>
    <x v="8"/>
    <x v="104"/>
    <x v="3"/>
    <x v="2"/>
    <n v="57"/>
  </r>
  <r>
    <x v="8"/>
    <x v="3"/>
    <x v="1"/>
    <x v="8"/>
    <x v="105"/>
    <x v="3"/>
    <x v="3"/>
    <n v="66"/>
  </r>
  <r>
    <x v="8"/>
    <x v="3"/>
    <x v="1"/>
    <x v="8"/>
    <x v="106"/>
    <x v="3"/>
    <x v="3"/>
    <n v="50"/>
  </r>
  <r>
    <x v="8"/>
    <x v="3"/>
    <x v="1"/>
    <x v="8"/>
    <x v="107"/>
    <x v="0"/>
    <x v="3"/>
    <n v="57"/>
  </r>
  <r>
    <x v="8"/>
    <x v="4"/>
    <x v="0"/>
    <x v="8"/>
    <x v="96"/>
    <x v="0"/>
    <x v="0"/>
    <n v="42"/>
  </r>
  <r>
    <x v="8"/>
    <x v="4"/>
    <x v="0"/>
    <x v="8"/>
    <x v="97"/>
    <x v="0"/>
    <x v="0"/>
    <n v="83"/>
  </r>
  <r>
    <x v="8"/>
    <x v="4"/>
    <x v="0"/>
    <x v="8"/>
    <x v="98"/>
    <x v="1"/>
    <x v="0"/>
    <n v="34"/>
  </r>
  <r>
    <x v="8"/>
    <x v="4"/>
    <x v="0"/>
    <x v="8"/>
    <x v="99"/>
    <x v="1"/>
    <x v="1"/>
    <n v="26"/>
  </r>
  <r>
    <x v="8"/>
    <x v="4"/>
    <x v="0"/>
    <x v="8"/>
    <x v="100"/>
    <x v="1"/>
    <x v="1"/>
    <n v="37"/>
  </r>
  <r>
    <x v="8"/>
    <x v="4"/>
    <x v="0"/>
    <x v="8"/>
    <x v="101"/>
    <x v="2"/>
    <x v="1"/>
    <n v="35"/>
  </r>
  <r>
    <x v="8"/>
    <x v="4"/>
    <x v="0"/>
    <x v="8"/>
    <x v="102"/>
    <x v="2"/>
    <x v="2"/>
    <n v="32"/>
  </r>
  <r>
    <x v="8"/>
    <x v="4"/>
    <x v="0"/>
    <x v="8"/>
    <x v="103"/>
    <x v="2"/>
    <x v="2"/>
    <n v="25"/>
  </r>
  <r>
    <x v="8"/>
    <x v="4"/>
    <x v="0"/>
    <x v="8"/>
    <x v="104"/>
    <x v="3"/>
    <x v="2"/>
    <n v="26"/>
  </r>
  <r>
    <x v="8"/>
    <x v="4"/>
    <x v="0"/>
    <x v="8"/>
    <x v="105"/>
    <x v="3"/>
    <x v="3"/>
    <n v="16"/>
  </r>
  <r>
    <x v="8"/>
    <x v="4"/>
    <x v="0"/>
    <x v="8"/>
    <x v="106"/>
    <x v="3"/>
    <x v="3"/>
    <n v="19"/>
  </r>
  <r>
    <x v="8"/>
    <x v="4"/>
    <x v="0"/>
    <x v="8"/>
    <x v="107"/>
    <x v="0"/>
    <x v="3"/>
    <n v="22"/>
  </r>
  <r>
    <x v="8"/>
    <x v="4"/>
    <x v="1"/>
    <x v="8"/>
    <x v="96"/>
    <x v="0"/>
    <x v="0"/>
    <n v="120"/>
  </r>
  <r>
    <x v="8"/>
    <x v="4"/>
    <x v="1"/>
    <x v="8"/>
    <x v="97"/>
    <x v="0"/>
    <x v="0"/>
    <n v="159"/>
  </r>
  <r>
    <x v="8"/>
    <x v="4"/>
    <x v="1"/>
    <x v="8"/>
    <x v="98"/>
    <x v="1"/>
    <x v="0"/>
    <n v="65"/>
  </r>
  <r>
    <x v="8"/>
    <x v="4"/>
    <x v="1"/>
    <x v="8"/>
    <x v="99"/>
    <x v="1"/>
    <x v="1"/>
    <n v="38"/>
  </r>
  <r>
    <x v="8"/>
    <x v="4"/>
    <x v="1"/>
    <x v="8"/>
    <x v="100"/>
    <x v="1"/>
    <x v="1"/>
    <n v="51"/>
  </r>
  <r>
    <x v="8"/>
    <x v="4"/>
    <x v="1"/>
    <x v="8"/>
    <x v="101"/>
    <x v="2"/>
    <x v="1"/>
    <n v="48"/>
  </r>
  <r>
    <x v="8"/>
    <x v="4"/>
    <x v="1"/>
    <x v="8"/>
    <x v="102"/>
    <x v="2"/>
    <x v="2"/>
    <n v="57"/>
  </r>
  <r>
    <x v="8"/>
    <x v="4"/>
    <x v="1"/>
    <x v="8"/>
    <x v="103"/>
    <x v="2"/>
    <x v="2"/>
    <n v="49"/>
  </r>
  <r>
    <x v="8"/>
    <x v="4"/>
    <x v="1"/>
    <x v="8"/>
    <x v="104"/>
    <x v="3"/>
    <x v="2"/>
    <n v="19"/>
  </r>
  <r>
    <x v="8"/>
    <x v="4"/>
    <x v="1"/>
    <x v="8"/>
    <x v="105"/>
    <x v="3"/>
    <x v="3"/>
    <n v="20"/>
  </r>
  <r>
    <x v="8"/>
    <x v="4"/>
    <x v="1"/>
    <x v="8"/>
    <x v="106"/>
    <x v="3"/>
    <x v="3"/>
    <n v="14"/>
  </r>
  <r>
    <x v="8"/>
    <x v="4"/>
    <x v="1"/>
    <x v="8"/>
    <x v="107"/>
    <x v="0"/>
    <x v="3"/>
    <n v="21"/>
  </r>
  <r>
    <x v="8"/>
    <x v="5"/>
    <x v="0"/>
    <x v="8"/>
    <x v="96"/>
    <x v="0"/>
    <x v="0"/>
    <n v="445"/>
  </r>
  <r>
    <x v="8"/>
    <x v="5"/>
    <x v="0"/>
    <x v="8"/>
    <x v="97"/>
    <x v="0"/>
    <x v="0"/>
    <n v="650"/>
  </r>
  <r>
    <x v="8"/>
    <x v="5"/>
    <x v="0"/>
    <x v="8"/>
    <x v="98"/>
    <x v="1"/>
    <x v="0"/>
    <n v="194"/>
  </r>
  <r>
    <x v="8"/>
    <x v="5"/>
    <x v="0"/>
    <x v="8"/>
    <x v="99"/>
    <x v="1"/>
    <x v="1"/>
    <n v="192"/>
  </r>
  <r>
    <x v="8"/>
    <x v="5"/>
    <x v="0"/>
    <x v="8"/>
    <x v="100"/>
    <x v="1"/>
    <x v="1"/>
    <n v="166"/>
  </r>
  <r>
    <x v="8"/>
    <x v="5"/>
    <x v="0"/>
    <x v="8"/>
    <x v="101"/>
    <x v="2"/>
    <x v="1"/>
    <n v="124"/>
  </r>
  <r>
    <x v="8"/>
    <x v="5"/>
    <x v="0"/>
    <x v="8"/>
    <x v="102"/>
    <x v="2"/>
    <x v="2"/>
    <n v="126"/>
  </r>
  <r>
    <x v="8"/>
    <x v="5"/>
    <x v="0"/>
    <x v="8"/>
    <x v="103"/>
    <x v="2"/>
    <x v="2"/>
    <n v="194"/>
  </r>
  <r>
    <x v="8"/>
    <x v="5"/>
    <x v="0"/>
    <x v="8"/>
    <x v="104"/>
    <x v="3"/>
    <x v="2"/>
    <n v="121"/>
  </r>
  <r>
    <x v="8"/>
    <x v="5"/>
    <x v="0"/>
    <x v="8"/>
    <x v="105"/>
    <x v="3"/>
    <x v="3"/>
    <n v="74"/>
  </r>
  <r>
    <x v="8"/>
    <x v="5"/>
    <x v="0"/>
    <x v="8"/>
    <x v="106"/>
    <x v="3"/>
    <x v="3"/>
    <n v="115"/>
  </r>
  <r>
    <x v="8"/>
    <x v="5"/>
    <x v="0"/>
    <x v="8"/>
    <x v="107"/>
    <x v="0"/>
    <x v="3"/>
    <n v="210"/>
  </r>
  <r>
    <x v="8"/>
    <x v="5"/>
    <x v="1"/>
    <x v="8"/>
    <x v="96"/>
    <x v="0"/>
    <x v="0"/>
    <n v="2247"/>
  </r>
  <r>
    <x v="8"/>
    <x v="5"/>
    <x v="1"/>
    <x v="8"/>
    <x v="97"/>
    <x v="0"/>
    <x v="0"/>
    <n v="2366"/>
  </r>
  <r>
    <x v="8"/>
    <x v="5"/>
    <x v="1"/>
    <x v="8"/>
    <x v="98"/>
    <x v="1"/>
    <x v="0"/>
    <n v="874"/>
  </r>
  <r>
    <x v="8"/>
    <x v="5"/>
    <x v="1"/>
    <x v="8"/>
    <x v="99"/>
    <x v="1"/>
    <x v="1"/>
    <n v="843"/>
  </r>
  <r>
    <x v="8"/>
    <x v="5"/>
    <x v="1"/>
    <x v="8"/>
    <x v="100"/>
    <x v="1"/>
    <x v="1"/>
    <n v="821"/>
  </r>
  <r>
    <x v="8"/>
    <x v="5"/>
    <x v="1"/>
    <x v="8"/>
    <x v="101"/>
    <x v="2"/>
    <x v="1"/>
    <n v="780"/>
  </r>
  <r>
    <x v="8"/>
    <x v="5"/>
    <x v="1"/>
    <x v="8"/>
    <x v="102"/>
    <x v="2"/>
    <x v="2"/>
    <n v="861"/>
  </r>
  <r>
    <x v="8"/>
    <x v="5"/>
    <x v="1"/>
    <x v="8"/>
    <x v="103"/>
    <x v="2"/>
    <x v="2"/>
    <n v="1233"/>
  </r>
  <r>
    <x v="8"/>
    <x v="5"/>
    <x v="1"/>
    <x v="8"/>
    <x v="104"/>
    <x v="3"/>
    <x v="2"/>
    <n v="518"/>
  </r>
  <r>
    <x v="8"/>
    <x v="5"/>
    <x v="1"/>
    <x v="8"/>
    <x v="105"/>
    <x v="3"/>
    <x v="3"/>
    <n v="366"/>
  </r>
  <r>
    <x v="8"/>
    <x v="5"/>
    <x v="1"/>
    <x v="8"/>
    <x v="106"/>
    <x v="3"/>
    <x v="3"/>
    <n v="531"/>
  </r>
  <r>
    <x v="8"/>
    <x v="5"/>
    <x v="1"/>
    <x v="8"/>
    <x v="107"/>
    <x v="0"/>
    <x v="3"/>
    <n v="673"/>
  </r>
  <r>
    <x v="9"/>
    <x v="0"/>
    <x v="0"/>
    <x v="9"/>
    <x v="108"/>
    <x v="0"/>
    <x v="0"/>
    <n v="69"/>
  </r>
  <r>
    <x v="9"/>
    <x v="0"/>
    <x v="0"/>
    <x v="9"/>
    <x v="109"/>
    <x v="0"/>
    <x v="0"/>
    <n v="35"/>
  </r>
  <r>
    <x v="9"/>
    <x v="0"/>
    <x v="0"/>
    <x v="9"/>
    <x v="110"/>
    <x v="1"/>
    <x v="0"/>
    <n v="15"/>
  </r>
  <r>
    <x v="9"/>
    <x v="0"/>
    <x v="0"/>
    <x v="9"/>
    <x v="111"/>
    <x v="1"/>
    <x v="1"/>
    <n v="11"/>
  </r>
  <r>
    <x v="9"/>
    <x v="0"/>
    <x v="0"/>
    <x v="9"/>
    <x v="112"/>
    <x v="1"/>
    <x v="1"/>
    <n v="18"/>
  </r>
  <r>
    <x v="9"/>
    <x v="0"/>
    <x v="0"/>
    <x v="9"/>
    <x v="113"/>
    <x v="2"/>
    <x v="1"/>
    <n v="26"/>
  </r>
  <r>
    <x v="9"/>
    <x v="0"/>
    <x v="0"/>
    <x v="9"/>
    <x v="114"/>
    <x v="2"/>
    <x v="2"/>
    <n v="49"/>
  </r>
  <r>
    <x v="9"/>
    <x v="0"/>
    <x v="0"/>
    <x v="9"/>
    <x v="115"/>
    <x v="2"/>
    <x v="2"/>
    <n v="81"/>
  </r>
  <r>
    <x v="9"/>
    <x v="0"/>
    <x v="0"/>
    <x v="9"/>
    <x v="116"/>
    <x v="3"/>
    <x v="2"/>
    <n v="91"/>
  </r>
  <r>
    <x v="9"/>
    <x v="0"/>
    <x v="0"/>
    <x v="9"/>
    <x v="117"/>
    <x v="3"/>
    <x v="3"/>
    <n v="79"/>
  </r>
  <r>
    <x v="9"/>
    <x v="0"/>
    <x v="0"/>
    <x v="9"/>
    <x v="118"/>
    <x v="3"/>
    <x v="3"/>
    <n v="73"/>
  </r>
  <r>
    <x v="9"/>
    <x v="0"/>
    <x v="0"/>
    <x v="9"/>
    <x v="119"/>
    <x v="0"/>
    <x v="3"/>
    <n v="94"/>
  </r>
  <r>
    <x v="9"/>
    <x v="0"/>
    <x v="1"/>
    <x v="9"/>
    <x v="116"/>
    <x v="3"/>
    <x v="2"/>
    <n v="2"/>
  </r>
  <r>
    <x v="9"/>
    <x v="1"/>
    <x v="0"/>
    <x v="9"/>
    <x v="108"/>
    <x v="0"/>
    <x v="0"/>
    <n v="376"/>
  </r>
  <r>
    <x v="9"/>
    <x v="1"/>
    <x v="0"/>
    <x v="9"/>
    <x v="109"/>
    <x v="0"/>
    <x v="0"/>
    <n v="390"/>
  </r>
  <r>
    <x v="9"/>
    <x v="1"/>
    <x v="0"/>
    <x v="9"/>
    <x v="110"/>
    <x v="1"/>
    <x v="0"/>
    <n v="404"/>
  </r>
  <r>
    <x v="9"/>
    <x v="1"/>
    <x v="0"/>
    <x v="9"/>
    <x v="111"/>
    <x v="1"/>
    <x v="1"/>
    <n v="375"/>
  </r>
  <r>
    <x v="9"/>
    <x v="1"/>
    <x v="0"/>
    <x v="9"/>
    <x v="112"/>
    <x v="1"/>
    <x v="1"/>
    <n v="374"/>
  </r>
  <r>
    <x v="9"/>
    <x v="1"/>
    <x v="0"/>
    <x v="9"/>
    <x v="113"/>
    <x v="2"/>
    <x v="1"/>
    <n v="377"/>
  </r>
  <r>
    <x v="9"/>
    <x v="1"/>
    <x v="0"/>
    <x v="9"/>
    <x v="114"/>
    <x v="2"/>
    <x v="2"/>
    <n v="386"/>
  </r>
  <r>
    <x v="9"/>
    <x v="1"/>
    <x v="0"/>
    <x v="9"/>
    <x v="115"/>
    <x v="2"/>
    <x v="2"/>
    <n v="363"/>
  </r>
  <r>
    <x v="9"/>
    <x v="1"/>
    <x v="0"/>
    <x v="9"/>
    <x v="116"/>
    <x v="3"/>
    <x v="2"/>
    <n v="412"/>
  </r>
  <r>
    <x v="9"/>
    <x v="1"/>
    <x v="0"/>
    <x v="9"/>
    <x v="117"/>
    <x v="3"/>
    <x v="3"/>
    <n v="431"/>
  </r>
  <r>
    <x v="9"/>
    <x v="1"/>
    <x v="0"/>
    <x v="9"/>
    <x v="118"/>
    <x v="3"/>
    <x v="3"/>
    <n v="358"/>
  </r>
  <r>
    <x v="9"/>
    <x v="1"/>
    <x v="0"/>
    <x v="9"/>
    <x v="119"/>
    <x v="0"/>
    <x v="3"/>
    <n v="388"/>
  </r>
  <r>
    <x v="9"/>
    <x v="1"/>
    <x v="1"/>
    <x v="9"/>
    <x v="108"/>
    <x v="0"/>
    <x v="0"/>
    <n v="38"/>
  </r>
  <r>
    <x v="9"/>
    <x v="1"/>
    <x v="1"/>
    <x v="9"/>
    <x v="109"/>
    <x v="0"/>
    <x v="0"/>
    <n v="47"/>
  </r>
  <r>
    <x v="9"/>
    <x v="1"/>
    <x v="1"/>
    <x v="9"/>
    <x v="110"/>
    <x v="1"/>
    <x v="0"/>
    <n v="42"/>
  </r>
  <r>
    <x v="9"/>
    <x v="1"/>
    <x v="1"/>
    <x v="9"/>
    <x v="111"/>
    <x v="1"/>
    <x v="1"/>
    <n v="44"/>
  </r>
  <r>
    <x v="9"/>
    <x v="1"/>
    <x v="1"/>
    <x v="9"/>
    <x v="112"/>
    <x v="1"/>
    <x v="1"/>
    <n v="41"/>
  </r>
  <r>
    <x v="9"/>
    <x v="1"/>
    <x v="1"/>
    <x v="9"/>
    <x v="113"/>
    <x v="2"/>
    <x v="1"/>
    <n v="32"/>
  </r>
  <r>
    <x v="9"/>
    <x v="1"/>
    <x v="1"/>
    <x v="9"/>
    <x v="114"/>
    <x v="2"/>
    <x v="2"/>
    <n v="54"/>
  </r>
  <r>
    <x v="9"/>
    <x v="1"/>
    <x v="1"/>
    <x v="9"/>
    <x v="115"/>
    <x v="2"/>
    <x v="2"/>
    <n v="50"/>
  </r>
  <r>
    <x v="9"/>
    <x v="1"/>
    <x v="1"/>
    <x v="9"/>
    <x v="116"/>
    <x v="3"/>
    <x v="2"/>
    <n v="37"/>
  </r>
  <r>
    <x v="9"/>
    <x v="1"/>
    <x v="1"/>
    <x v="9"/>
    <x v="117"/>
    <x v="3"/>
    <x v="3"/>
    <n v="42"/>
  </r>
  <r>
    <x v="9"/>
    <x v="1"/>
    <x v="1"/>
    <x v="9"/>
    <x v="118"/>
    <x v="3"/>
    <x v="3"/>
    <n v="41"/>
  </r>
  <r>
    <x v="9"/>
    <x v="1"/>
    <x v="1"/>
    <x v="9"/>
    <x v="119"/>
    <x v="0"/>
    <x v="3"/>
    <n v="42"/>
  </r>
  <r>
    <x v="9"/>
    <x v="2"/>
    <x v="0"/>
    <x v="9"/>
    <x v="108"/>
    <x v="0"/>
    <x v="0"/>
    <n v="150"/>
  </r>
  <r>
    <x v="9"/>
    <x v="2"/>
    <x v="0"/>
    <x v="9"/>
    <x v="109"/>
    <x v="0"/>
    <x v="0"/>
    <n v="162"/>
  </r>
  <r>
    <x v="9"/>
    <x v="2"/>
    <x v="0"/>
    <x v="9"/>
    <x v="110"/>
    <x v="1"/>
    <x v="0"/>
    <n v="141"/>
  </r>
  <r>
    <x v="9"/>
    <x v="2"/>
    <x v="0"/>
    <x v="9"/>
    <x v="111"/>
    <x v="1"/>
    <x v="1"/>
    <n v="164"/>
  </r>
  <r>
    <x v="9"/>
    <x v="2"/>
    <x v="0"/>
    <x v="9"/>
    <x v="112"/>
    <x v="1"/>
    <x v="1"/>
    <n v="122"/>
  </r>
  <r>
    <x v="9"/>
    <x v="2"/>
    <x v="0"/>
    <x v="9"/>
    <x v="113"/>
    <x v="2"/>
    <x v="1"/>
    <n v="135"/>
  </r>
  <r>
    <x v="9"/>
    <x v="2"/>
    <x v="0"/>
    <x v="9"/>
    <x v="114"/>
    <x v="2"/>
    <x v="2"/>
    <n v="136"/>
  </r>
  <r>
    <x v="9"/>
    <x v="2"/>
    <x v="0"/>
    <x v="9"/>
    <x v="115"/>
    <x v="2"/>
    <x v="2"/>
    <n v="140"/>
  </r>
  <r>
    <x v="9"/>
    <x v="2"/>
    <x v="0"/>
    <x v="9"/>
    <x v="116"/>
    <x v="3"/>
    <x v="2"/>
    <n v="147"/>
  </r>
  <r>
    <x v="9"/>
    <x v="2"/>
    <x v="0"/>
    <x v="9"/>
    <x v="117"/>
    <x v="3"/>
    <x v="3"/>
    <n v="145"/>
  </r>
  <r>
    <x v="9"/>
    <x v="2"/>
    <x v="0"/>
    <x v="9"/>
    <x v="118"/>
    <x v="3"/>
    <x v="3"/>
    <n v="126"/>
  </r>
  <r>
    <x v="9"/>
    <x v="2"/>
    <x v="0"/>
    <x v="9"/>
    <x v="119"/>
    <x v="0"/>
    <x v="3"/>
    <n v="136"/>
  </r>
  <r>
    <x v="9"/>
    <x v="2"/>
    <x v="1"/>
    <x v="9"/>
    <x v="108"/>
    <x v="0"/>
    <x v="0"/>
    <n v="35"/>
  </r>
  <r>
    <x v="9"/>
    <x v="2"/>
    <x v="1"/>
    <x v="9"/>
    <x v="109"/>
    <x v="0"/>
    <x v="0"/>
    <n v="54"/>
  </r>
  <r>
    <x v="9"/>
    <x v="2"/>
    <x v="1"/>
    <x v="9"/>
    <x v="110"/>
    <x v="1"/>
    <x v="0"/>
    <n v="51"/>
  </r>
  <r>
    <x v="9"/>
    <x v="2"/>
    <x v="1"/>
    <x v="9"/>
    <x v="111"/>
    <x v="1"/>
    <x v="1"/>
    <n v="59"/>
  </r>
  <r>
    <x v="9"/>
    <x v="2"/>
    <x v="1"/>
    <x v="9"/>
    <x v="112"/>
    <x v="1"/>
    <x v="1"/>
    <n v="52"/>
  </r>
  <r>
    <x v="9"/>
    <x v="2"/>
    <x v="1"/>
    <x v="9"/>
    <x v="113"/>
    <x v="2"/>
    <x v="1"/>
    <n v="53"/>
  </r>
  <r>
    <x v="9"/>
    <x v="2"/>
    <x v="1"/>
    <x v="9"/>
    <x v="114"/>
    <x v="2"/>
    <x v="2"/>
    <n v="43"/>
  </r>
  <r>
    <x v="9"/>
    <x v="2"/>
    <x v="1"/>
    <x v="9"/>
    <x v="115"/>
    <x v="2"/>
    <x v="2"/>
    <n v="59"/>
  </r>
  <r>
    <x v="9"/>
    <x v="2"/>
    <x v="1"/>
    <x v="9"/>
    <x v="116"/>
    <x v="3"/>
    <x v="2"/>
    <n v="38"/>
  </r>
  <r>
    <x v="9"/>
    <x v="2"/>
    <x v="1"/>
    <x v="9"/>
    <x v="117"/>
    <x v="3"/>
    <x v="3"/>
    <n v="41"/>
  </r>
  <r>
    <x v="9"/>
    <x v="2"/>
    <x v="1"/>
    <x v="9"/>
    <x v="118"/>
    <x v="3"/>
    <x v="3"/>
    <n v="27"/>
  </r>
  <r>
    <x v="9"/>
    <x v="2"/>
    <x v="1"/>
    <x v="9"/>
    <x v="119"/>
    <x v="0"/>
    <x v="3"/>
    <n v="37"/>
  </r>
  <r>
    <x v="9"/>
    <x v="3"/>
    <x v="0"/>
    <x v="9"/>
    <x v="108"/>
    <x v="0"/>
    <x v="0"/>
    <n v="87"/>
  </r>
  <r>
    <x v="9"/>
    <x v="3"/>
    <x v="0"/>
    <x v="9"/>
    <x v="109"/>
    <x v="0"/>
    <x v="0"/>
    <n v="114"/>
  </r>
  <r>
    <x v="9"/>
    <x v="3"/>
    <x v="0"/>
    <x v="9"/>
    <x v="110"/>
    <x v="1"/>
    <x v="0"/>
    <n v="112"/>
  </r>
  <r>
    <x v="9"/>
    <x v="3"/>
    <x v="0"/>
    <x v="9"/>
    <x v="111"/>
    <x v="1"/>
    <x v="1"/>
    <n v="114"/>
  </r>
  <r>
    <x v="9"/>
    <x v="3"/>
    <x v="0"/>
    <x v="9"/>
    <x v="112"/>
    <x v="1"/>
    <x v="1"/>
    <n v="125"/>
  </r>
  <r>
    <x v="9"/>
    <x v="3"/>
    <x v="0"/>
    <x v="9"/>
    <x v="113"/>
    <x v="2"/>
    <x v="1"/>
    <n v="90"/>
  </r>
  <r>
    <x v="9"/>
    <x v="3"/>
    <x v="0"/>
    <x v="9"/>
    <x v="114"/>
    <x v="2"/>
    <x v="2"/>
    <n v="93"/>
  </r>
  <r>
    <x v="9"/>
    <x v="3"/>
    <x v="0"/>
    <x v="9"/>
    <x v="115"/>
    <x v="2"/>
    <x v="2"/>
    <n v="93"/>
  </r>
  <r>
    <x v="9"/>
    <x v="3"/>
    <x v="0"/>
    <x v="9"/>
    <x v="116"/>
    <x v="3"/>
    <x v="2"/>
    <n v="74"/>
  </r>
  <r>
    <x v="9"/>
    <x v="3"/>
    <x v="0"/>
    <x v="9"/>
    <x v="117"/>
    <x v="3"/>
    <x v="3"/>
    <n v="91"/>
  </r>
  <r>
    <x v="9"/>
    <x v="3"/>
    <x v="0"/>
    <x v="9"/>
    <x v="118"/>
    <x v="3"/>
    <x v="3"/>
    <n v="101"/>
  </r>
  <r>
    <x v="9"/>
    <x v="3"/>
    <x v="0"/>
    <x v="9"/>
    <x v="119"/>
    <x v="0"/>
    <x v="3"/>
    <n v="70"/>
  </r>
  <r>
    <x v="9"/>
    <x v="3"/>
    <x v="1"/>
    <x v="9"/>
    <x v="108"/>
    <x v="0"/>
    <x v="0"/>
    <n v="61"/>
  </r>
  <r>
    <x v="9"/>
    <x v="3"/>
    <x v="1"/>
    <x v="9"/>
    <x v="109"/>
    <x v="0"/>
    <x v="0"/>
    <n v="73"/>
  </r>
  <r>
    <x v="9"/>
    <x v="3"/>
    <x v="1"/>
    <x v="9"/>
    <x v="110"/>
    <x v="1"/>
    <x v="0"/>
    <n v="72"/>
  </r>
  <r>
    <x v="9"/>
    <x v="3"/>
    <x v="1"/>
    <x v="9"/>
    <x v="111"/>
    <x v="1"/>
    <x v="1"/>
    <n v="67"/>
  </r>
  <r>
    <x v="9"/>
    <x v="3"/>
    <x v="1"/>
    <x v="9"/>
    <x v="112"/>
    <x v="1"/>
    <x v="1"/>
    <n v="83"/>
  </r>
  <r>
    <x v="9"/>
    <x v="3"/>
    <x v="1"/>
    <x v="9"/>
    <x v="113"/>
    <x v="2"/>
    <x v="1"/>
    <n v="68"/>
  </r>
  <r>
    <x v="9"/>
    <x v="3"/>
    <x v="1"/>
    <x v="9"/>
    <x v="114"/>
    <x v="2"/>
    <x v="2"/>
    <n v="51"/>
  </r>
  <r>
    <x v="9"/>
    <x v="3"/>
    <x v="1"/>
    <x v="9"/>
    <x v="115"/>
    <x v="2"/>
    <x v="2"/>
    <n v="73"/>
  </r>
  <r>
    <x v="9"/>
    <x v="3"/>
    <x v="1"/>
    <x v="9"/>
    <x v="116"/>
    <x v="3"/>
    <x v="2"/>
    <n v="51"/>
  </r>
  <r>
    <x v="9"/>
    <x v="3"/>
    <x v="1"/>
    <x v="9"/>
    <x v="117"/>
    <x v="3"/>
    <x v="3"/>
    <n v="55"/>
  </r>
  <r>
    <x v="9"/>
    <x v="3"/>
    <x v="1"/>
    <x v="9"/>
    <x v="118"/>
    <x v="3"/>
    <x v="3"/>
    <n v="72"/>
  </r>
  <r>
    <x v="9"/>
    <x v="3"/>
    <x v="1"/>
    <x v="9"/>
    <x v="119"/>
    <x v="0"/>
    <x v="3"/>
    <n v="60"/>
  </r>
  <r>
    <x v="9"/>
    <x v="4"/>
    <x v="0"/>
    <x v="9"/>
    <x v="108"/>
    <x v="0"/>
    <x v="0"/>
    <n v="23"/>
  </r>
  <r>
    <x v="9"/>
    <x v="4"/>
    <x v="0"/>
    <x v="9"/>
    <x v="109"/>
    <x v="0"/>
    <x v="0"/>
    <n v="62"/>
  </r>
  <r>
    <x v="9"/>
    <x v="4"/>
    <x v="0"/>
    <x v="9"/>
    <x v="110"/>
    <x v="1"/>
    <x v="0"/>
    <n v="66"/>
  </r>
  <r>
    <x v="9"/>
    <x v="4"/>
    <x v="0"/>
    <x v="9"/>
    <x v="111"/>
    <x v="1"/>
    <x v="1"/>
    <n v="113"/>
  </r>
  <r>
    <x v="9"/>
    <x v="4"/>
    <x v="0"/>
    <x v="9"/>
    <x v="112"/>
    <x v="1"/>
    <x v="1"/>
    <n v="41"/>
  </r>
  <r>
    <x v="9"/>
    <x v="4"/>
    <x v="0"/>
    <x v="9"/>
    <x v="113"/>
    <x v="2"/>
    <x v="1"/>
    <n v="38"/>
  </r>
  <r>
    <x v="9"/>
    <x v="4"/>
    <x v="0"/>
    <x v="9"/>
    <x v="114"/>
    <x v="2"/>
    <x v="2"/>
    <n v="21"/>
  </r>
  <r>
    <x v="9"/>
    <x v="4"/>
    <x v="0"/>
    <x v="9"/>
    <x v="115"/>
    <x v="2"/>
    <x v="2"/>
    <n v="30"/>
  </r>
  <r>
    <x v="9"/>
    <x v="4"/>
    <x v="0"/>
    <x v="9"/>
    <x v="116"/>
    <x v="3"/>
    <x v="2"/>
    <n v="16"/>
  </r>
  <r>
    <x v="9"/>
    <x v="4"/>
    <x v="0"/>
    <x v="9"/>
    <x v="117"/>
    <x v="3"/>
    <x v="3"/>
    <n v="16"/>
  </r>
  <r>
    <x v="9"/>
    <x v="4"/>
    <x v="0"/>
    <x v="9"/>
    <x v="118"/>
    <x v="3"/>
    <x v="3"/>
    <n v="19"/>
  </r>
  <r>
    <x v="9"/>
    <x v="4"/>
    <x v="0"/>
    <x v="9"/>
    <x v="119"/>
    <x v="0"/>
    <x v="3"/>
    <n v="21"/>
  </r>
  <r>
    <x v="9"/>
    <x v="4"/>
    <x v="1"/>
    <x v="9"/>
    <x v="108"/>
    <x v="0"/>
    <x v="0"/>
    <n v="34"/>
  </r>
  <r>
    <x v="9"/>
    <x v="4"/>
    <x v="1"/>
    <x v="9"/>
    <x v="109"/>
    <x v="0"/>
    <x v="0"/>
    <n v="89"/>
  </r>
  <r>
    <x v="9"/>
    <x v="4"/>
    <x v="1"/>
    <x v="9"/>
    <x v="110"/>
    <x v="1"/>
    <x v="0"/>
    <n v="63"/>
  </r>
  <r>
    <x v="9"/>
    <x v="4"/>
    <x v="1"/>
    <x v="9"/>
    <x v="111"/>
    <x v="1"/>
    <x v="1"/>
    <n v="131"/>
  </r>
  <r>
    <x v="9"/>
    <x v="4"/>
    <x v="1"/>
    <x v="9"/>
    <x v="112"/>
    <x v="1"/>
    <x v="1"/>
    <n v="37"/>
  </r>
  <r>
    <x v="9"/>
    <x v="4"/>
    <x v="1"/>
    <x v="9"/>
    <x v="113"/>
    <x v="2"/>
    <x v="1"/>
    <n v="67"/>
  </r>
  <r>
    <x v="9"/>
    <x v="4"/>
    <x v="1"/>
    <x v="9"/>
    <x v="114"/>
    <x v="2"/>
    <x v="2"/>
    <n v="59"/>
  </r>
  <r>
    <x v="9"/>
    <x v="4"/>
    <x v="1"/>
    <x v="9"/>
    <x v="115"/>
    <x v="2"/>
    <x v="2"/>
    <n v="44"/>
  </r>
  <r>
    <x v="9"/>
    <x v="4"/>
    <x v="1"/>
    <x v="9"/>
    <x v="116"/>
    <x v="3"/>
    <x v="2"/>
    <n v="23"/>
  </r>
  <r>
    <x v="9"/>
    <x v="4"/>
    <x v="1"/>
    <x v="9"/>
    <x v="117"/>
    <x v="3"/>
    <x v="3"/>
    <n v="28"/>
  </r>
  <r>
    <x v="9"/>
    <x v="4"/>
    <x v="1"/>
    <x v="9"/>
    <x v="118"/>
    <x v="3"/>
    <x v="3"/>
    <n v="41"/>
  </r>
  <r>
    <x v="9"/>
    <x v="4"/>
    <x v="1"/>
    <x v="9"/>
    <x v="119"/>
    <x v="0"/>
    <x v="3"/>
    <n v="42"/>
  </r>
  <r>
    <x v="9"/>
    <x v="5"/>
    <x v="0"/>
    <x v="9"/>
    <x v="108"/>
    <x v="0"/>
    <x v="0"/>
    <n v="280"/>
  </r>
  <r>
    <x v="9"/>
    <x v="5"/>
    <x v="0"/>
    <x v="9"/>
    <x v="109"/>
    <x v="0"/>
    <x v="0"/>
    <n v="567"/>
  </r>
  <r>
    <x v="9"/>
    <x v="5"/>
    <x v="0"/>
    <x v="9"/>
    <x v="110"/>
    <x v="1"/>
    <x v="0"/>
    <n v="436"/>
  </r>
  <r>
    <x v="9"/>
    <x v="5"/>
    <x v="0"/>
    <x v="9"/>
    <x v="111"/>
    <x v="1"/>
    <x v="1"/>
    <n v="689"/>
  </r>
  <r>
    <x v="9"/>
    <x v="5"/>
    <x v="0"/>
    <x v="9"/>
    <x v="112"/>
    <x v="1"/>
    <x v="1"/>
    <n v="203"/>
  </r>
  <r>
    <x v="9"/>
    <x v="5"/>
    <x v="0"/>
    <x v="9"/>
    <x v="113"/>
    <x v="2"/>
    <x v="1"/>
    <n v="184"/>
  </r>
  <r>
    <x v="9"/>
    <x v="5"/>
    <x v="0"/>
    <x v="9"/>
    <x v="114"/>
    <x v="2"/>
    <x v="2"/>
    <n v="167"/>
  </r>
  <r>
    <x v="9"/>
    <x v="5"/>
    <x v="0"/>
    <x v="9"/>
    <x v="115"/>
    <x v="2"/>
    <x v="2"/>
    <n v="138"/>
  </r>
  <r>
    <x v="9"/>
    <x v="5"/>
    <x v="0"/>
    <x v="9"/>
    <x v="116"/>
    <x v="3"/>
    <x v="2"/>
    <n v="118"/>
  </r>
  <r>
    <x v="9"/>
    <x v="5"/>
    <x v="0"/>
    <x v="9"/>
    <x v="117"/>
    <x v="3"/>
    <x v="3"/>
    <n v="115"/>
  </r>
  <r>
    <x v="9"/>
    <x v="5"/>
    <x v="0"/>
    <x v="9"/>
    <x v="118"/>
    <x v="3"/>
    <x v="3"/>
    <n v="138"/>
  </r>
  <r>
    <x v="9"/>
    <x v="5"/>
    <x v="0"/>
    <x v="9"/>
    <x v="119"/>
    <x v="0"/>
    <x v="3"/>
    <n v="175"/>
  </r>
  <r>
    <x v="9"/>
    <x v="5"/>
    <x v="1"/>
    <x v="9"/>
    <x v="108"/>
    <x v="0"/>
    <x v="0"/>
    <n v="933"/>
  </r>
  <r>
    <x v="9"/>
    <x v="5"/>
    <x v="1"/>
    <x v="9"/>
    <x v="109"/>
    <x v="0"/>
    <x v="0"/>
    <n v="1754"/>
  </r>
  <r>
    <x v="9"/>
    <x v="5"/>
    <x v="1"/>
    <x v="9"/>
    <x v="110"/>
    <x v="1"/>
    <x v="0"/>
    <n v="1355"/>
  </r>
  <r>
    <x v="9"/>
    <x v="5"/>
    <x v="1"/>
    <x v="9"/>
    <x v="111"/>
    <x v="1"/>
    <x v="1"/>
    <n v="2129"/>
  </r>
  <r>
    <x v="9"/>
    <x v="5"/>
    <x v="1"/>
    <x v="9"/>
    <x v="112"/>
    <x v="1"/>
    <x v="1"/>
    <n v="761"/>
  </r>
  <r>
    <x v="9"/>
    <x v="5"/>
    <x v="1"/>
    <x v="9"/>
    <x v="113"/>
    <x v="2"/>
    <x v="1"/>
    <n v="784"/>
  </r>
  <r>
    <x v="9"/>
    <x v="5"/>
    <x v="1"/>
    <x v="9"/>
    <x v="114"/>
    <x v="2"/>
    <x v="2"/>
    <n v="913"/>
  </r>
  <r>
    <x v="9"/>
    <x v="5"/>
    <x v="1"/>
    <x v="9"/>
    <x v="115"/>
    <x v="2"/>
    <x v="2"/>
    <n v="971"/>
  </r>
  <r>
    <x v="9"/>
    <x v="5"/>
    <x v="1"/>
    <x v="9"/>
    <x v="116"/>
    <x v="3"/>
    <x v="2"/>
    <n v="536"/>
  </r>
  <r>
    <x v="9"/>
    <x v="5"/>
    <x v="1"/>
    <x v="9"/>
    <x v="117"/>
    <x v="3"/>
    <x v="3"/>
    <n v="680"/>
  </r>
  <r>
    <x v="9"/>
    <x v="5"/>
    <x v="1"/>
    <x v="9"/>
    <x v="118"/>
    <x v="3"/>
    <x v="3"/>
    <n v="772"/>
  </r>
  <r>
    <x v="9"/>
    <x v="5"/>
    <x v="1"/>
    <x v="9"/>
    <x v="119"/>
    <x v="0"/>
    <x v="3"/>
    <n v="896"/>
  </r>
  <r>
    <x v="10"/>
    <x v="0"/>
    <x v="0"/>
    <x v="10"/>
    <x v="120"/>
    <x v="0"/>
    <x v="0"/>
    <n v="57"/>
  </r>
  <r>
    <x v="10"/>
    <x v="0"/>
    <x v="0"/>
    <x v="10"/>
    <x v="121"/>
    <x v="0"/>
    <x v="0"/>
    <n v="35"/>
  </r>
  <r>
    <x v="10"/>
    <x v="0"/>
    <x v="0"/>
    <x v="10"/>
    <x v="122"/>
    <x v="1"/>
    <x v="0"/>
    <n v="12"/>
  </r>
  <r>
    <x v="10"/>
    <x v="0"/>
    <x v="0"/>
    <x v="10"/>
    <x v="123"/>
    <x v="1"/>
    <x v="1"/>
    <n v="10"/>
  </r>
  <r>
    <x v="10"/>
    <x v="0"/>
    <x v="0"/>
    <x v="10"/>
    <x v="124"/>
    <x v="1"/>
    <x v="1"/>
    <n v="13"/>
  </r>
  <r>
    <x v="10"/>
    <x v="0"/>
    <x v="0"/>
    <x v="10"/>
    <x v="125"/>
    <x v="2"/>
    <x v="1"/>
    <n v="24"/>
  </r>
  <r>
    <x v="10"/>
    <x v="0"/>
    <x v="0"/>
    <x v="10"/>
    <x v="126"/>
    <x v="2"/>
    <x v="2"/>
    <n v="35"/>
  </r>
  <r>
    <x v="10"/>
    <x v="0"/>
    <x v="0"/>
    <x v="10"/>
    <x v="127"/>
    <x v="2"/>
    <x v="2"/>
    <n v="69"/>
  </r>
  <r>
    <x v="10"/>
    <x v="0"/>
    <x v="0"/>
    <x v="10"/>
    <x v="128"/>
    <x v="3"/>
    <x v="2"/>
    <n v="67"/>
  </r>
  <r>
    <x v="10"/>
    <x v="0"/>
    <x v="0"/>
    <x v="10"/>
    <x v="129"/>
    <x v="3"/>
    <x v="3"/>
    <n v="87"/>
  </r>
  <r>
    <x v="10"/>
    <x v="0"/>
    <x v="0"/>
    <x v="10"/>
    <x v="130"/>
    <x v="3"/>
    <x v="3"/>
    <n v="59"/>
  </r>
  <r>
    <x v="10"/>
    <x v="0"/>
    <x v="0"/>
    <x v="10"/>
    <x v="131"/>
    <x v="0"/>
    <x v="3"/>
    <n v="76"/>
  </r>
  <r>
    <x v="10"/>
    <x v="0"/>
    <x v="1"/>
    <x v="10"/>
    <x v="120"/>
    <x v="0"/>
    <x v="0"/>
    <n v="1"/>
  </r>
  <r>
    <x v="10"/>
    <x v="0"/>
    <x v="1"/>
    <x v="10"/>
    <x v="129"/>
    <x v="3"/>
    <x v="3"/>
    <n v="1"/>
  </r>
  <r>
    <x v="10"/>
    <x v="1"/>
    <x v="0"/>
    <x v="10"/>
    <x v="120"/>
    <x v="0"/>
    <x v="0"/>
    <n v="359"/>
  </r>
  <r>
    <x v="10"/>
    <x v="1"/>
    <x v="0"/>
    <x v="10"/>
    <x v="121"/>
    <x v="0"/>
    <x v="0"/>
    <n v="384"/>
  </r>
  <r>
    <x v="10"/>
    <x v="1"/>
    <x v="0"/>
    <x v="10"/>
    <x v="122"/>
    <x v="1"/>
    <x v="0"/>
    <n v="343"/>
  </r>
  <r>
    <x v="10"/>
    <x v="1"/>
    <x v="0"/>
    <x v="10"/>
    <x v="123"/>
    <x v="1"/>
    <x v="1"/>
    <n v="371"/>
  </r>
  <r>
    <x v="10"/>
    <x v="1"/>
    <x v="0"/>
    <x v="10"/>
    <x v="124"/>
    <x v="1"/>
    <x v="1"/>
    <n v="326"/>
  </r>
  <r>
    <x v="10"/>
    <x v="1"/>
    <x v="0"/>
    <x v="10"/>
    <x v="125"/>
    <x v="2"/>
    <x v="1"/>
    <n v="348"/>
  </r>
  <r>
    <x v="10"/>
    <x v="1"/>
    <x v="0"/>
    <x v="10"/>
    <x v="126"/>
    <x v="2"/>
    <x v="2"/>
    <n v="368"/>
  </r>
  <r>
    <x v="10"/>
    <x v="1"/>
    <x v="0"/>
    <x v="10"/>
    <x v="127"/>
    <x v="2"/>
    <x v="2"/>
    <n v="369"/>
  </r>
  <r>
    <x v="10"/>
    <x v="1"/>
    <x v="0"/>
    <x v="10"/>
    <x v="128"/>
    <x v="3"/>
    <x v="2"/>
    <n v="397"/>
  </r>
  <r>
    <x v="10"/>
    <x v="1"/>
    <x v="0"/>
    <x v="10"/>
    <x v="129"/>
    <x v="3"/>
    <x v="3"/>
    <n v="364"/>
  </r>
  <r>
    <x v="10"/>
    <x v="1"/>
    <x v="0"/>
    <x v="10"/>
    <x v="130"/>
    <x v="3"/>
    <x v="3"/>
    <n v="346"/>
  </r>
  <r>
    <x v="10"/>
    <x v="1"/>
    <x v="0"/>
    <x v="10"/>
    <x v="131"/>
    <x v="0"/>
    <x v="3"/>
    <n v="389"/>
  </r>
  <r>
    <x v="10"/>
    <x v="1"/>
    <x v="1"/>
    <x v="10"/>
    <x v="120"/>
    <x v="0"/>
    <x v="0"/>
    <n v="48"/>
  </r>
  <r>
    <x v="10"/>
    <x v="1"/>
    <x v="1"/>
    <x v="10"/>
    <x v="121"/>
    <x v="0"/>
    <x v="0"/>
    <n v="57"/>
  </r>
  <r>
    <x v="10"/>
    <x v="1"/>
    <x v="1"/>
    <x v="10"/>
    <x v="122"/>
    <x v="1"/>
    <x v="0"/>
    <n v="42"/>
  </r>
  <r>
    <x v="10"/>
    <x v="1"/>
    <x v="1"/>
    <x v="10"/>
    <x v="123"/>
    <x v="1"/>
    <x v="1"/>
    <n v="35"/>
  </r>
  <r>
    <x v="10"/>
    <x v="1"/>
    <x v="1"/>
    <x v="10"/>
    <x v="124"/>
    <x v="1"/>
    <x v="1"/>
    <n v="43"/>
  </r>
  <r>
    <x v="10"/>
    <x v="1"/>
    <x v="1"/>
    <x v="10"/>
    <x v="125"/>
    <x v="2"/>
    <x v="1"/>
    <n v="49"/>
  </r>
  <r>
    <x v="10"/>
    <x v="1"/>
    <x v="1"/>
    <x v="10"/>
    <x v="126"/>
    <x v="2"/>
    <x v="2"/>
    <n v="47"/>
  </r>
  <r>
    <x v="10"/>
    <x v="1"/>
    <x v="1"/>
    <x v="10"/>
    <x v="127"/>
    <x v="2"/>
    <x v="2"/>
    <n v="56"/>
  </r>
  <r>
    <x v="10"/>
    <x v="1"/>
    <x v="1"/>
    <x v="10"/>
    <x v="128"/>
    <x v="3"/>
    <x v="2"/>
    <n v="49"/>
  </r>
  <r>
    <x v="10"/>
    <x v="1"/>
    <x v="1"/>
    <x v="10"/>
    <x v="129"/>
    <x v="3"/>
    <x v="3"/>
    <n v="28"/>
  </r>
  <r>
    <x v="10"/>
    <x v="1"/>
    <x v="1"/>
    <x v="10"/>
    <x v="130"/>
    <x v="3"/>
    <x v="3"/>
    <n v="36"/>
  </r>
  <r>
    <x v="10"/>
    <x v="1"/>
    <x v="1"/>
    <x v="10"/>
    <x v="131"/>
    <x v="0"/>
    <x v="3"/>
    <n v="33"/>
  </r>
  <r>
    <x v="10"/>
    <x v="2"/>
    <x v="0"/>
    <x v="10"/>
    <x v="120"/>
    <x v="0"/>
    <x v="0"/>
    <n v="123"/>
  </r>
  <r>
    <x v="10"/>
    <x v="2"/>
    <x v="0"/>
    <x v="10"/>
    <x v="121"/>
    <x v="0"/>
    <x v="0"/>
    <n v="142"/>
  </r>
  <r>
    <x v="10"/>
    <x v="2"/>
    <x v="0"/>
    <x v="10"/>
    <x v="122"/>
    <x v="1"/>
    <x v="0"/>
    <n v="136"/>
  </r>
  <r>
    <x v="10"/>
    <x v="2"/>
    <x v="0"/>
    <x v="10"/>
    <x v="123"/>
    <x v="1"/>
    <x v="1"/>
    <n v="138"/>
  </r>
  <r>
    <x v="10"/>
    <x v="2"/>
    <x v="0"/>
    <x v="10"/>
    <x v="124"/>
    <x v="1"/>
    <x v="1"/>
    <n v="127"/>
  </r>
  <r>
    <x v="10"/>
    <x v="2"/>
    <x v="0"/>
    <x v="10"/>
    <x v="125"/>
    <x v="2"/>
    <x v="1"/>
    <n v="136"/>
  </r>
  <r>
    <x v="10"/>
    <x v="2"/>
    <x v="0"/>
    <x v="10"/>
    <x v="126"/>
    <x v="2"/>
    <x v="2"/>
    <n v="111"/>
  </r>
  <r>
    <x v="10"/>
    <x v="2"/>
    <x v="0"/>
    <x v="10"/>
    <x v="127"/>
    <x v="2"/>
    <x v="2"/>
    <n v="96"/>
  </r>
  <r>
    <x v="10"/>
    <x v="2"/>
    <x v="0"/>
    <x v="10"/>
    <x v="128"/>
    <x v="3"/>
    <x v="2"/>
    <n v="127"/>
  </r>
  <r>
    <x v="10"/>
    <x v="2"/>
    <x v="0"/>
    <x v="10"/>
    <x v="129"/>
    <x v="3"/>
    <x v="3"/>
    <n v="123"/>
  </r>
  <r>
    <x v="10"/>
    <x v="2"/>
    <x v="0"/>
    <x v="10"/>
    <x v="130"/>
    <x v="3"/>
    <x v="3"/>
    <n v="128"/>
  </r>
  <r>
    <x v="10"/>
    <x v="2"/>
    <x v="0"/>
    <x v="10"/>
    <x v="131"/>
    <x v="0"/>
    <x v="3"/>
    <n v="119"/>
  </r>
  <r>
    <x v="10"/>
    <x v="2"/>
    <x v="1"/>
    <x v="10"/>
    <x v="120"/>
    <x v="0"/>
    <x v="0"/>
    <n v="38"/>
  </r>
  <r>
    <x v="10"/>
    <x v="2"/>
    <x v="1"/>
    <x v="10"/>
    <x v="121"/>
    <x v="0"/>
    <x v="0"/>
    <n v="47"/>
  </r>
  <r>
    <x v="10"/>
    <x v="2"/>
    <x v="1"/>
    <x v="10"/>
    <x v="122"/>
    <x v="1"/>
    <x v="0"/>
    <n v="47"/>
  </r>
  <r>
    <x v="10"/>
    <x v="2"/>
    <x v="1"/>
    <x v="10"/>
    <x v="123"/>
    <x v="1"/>
    <x v="1"/>
    <n v="49"/>
  </r>
  <r>
    <x v="10"/>
    <x v="2"/>
    <x v="1"/>
    <x v="10"/>
    <x v="124"/>
    <x v="1"/>
    <x v="1"/>
    <n v="38"/>
  </r>
  <r>
    <x v="10"/>
    <x v="2"/>
    <x v="1"/>
    <x v="10"/>
    <x v="125"/>
    <x v="2"/>
    <x v="1"/>
    <n v="39"/>
  </r>
  <r>
    <x v="10"/>
    <x v="2"/>
    <x v="1"/>
    <x v="10"/>
    <x v="126"/>
    <x v="2"/>
    <x v="2"/>
    <n v="38"/>
  </r>
  <r>
    <x v="10"/>
    <x v="2"/>
    <x v="1"/>
    <x v="10"/>
    <x v="127"/>
    <x v="2"/>
    <x v="2"/>
    <n v="41"/>
  </r>
  <r>
    <x v="10"/>
    <x v="2"/>
    <x v="1"/>
    <x v="10"/>
    <x v="128"/>
    <x v="3"/>
    <x v="2"/>
    <n v="35"/>
  </r>
  <r>
    <x v="10"/>
    <x v="2"/>
    <x v="1"/>
    <x v="10"/>
    <x v="129"/>
    <x v="3"/>
    <x v="3"/>
    <n v="30"/>
  </r>
  <r>
    <x v="10"/>
    <x v="2"/>
    <x v="1"/>
    <x v="10"/>
    <x v="130"/>
    <x v="3"/>
    <x v="3"/>
    <n v="32"/>
  </r>
  <r>
    <x v="10"/>
    <x v="2"/>
    <x v="1"/>
    <x v="10"/>
    <x v="131"/>
    <x v="0"/>
    <x v="3"/>
    <n v="38"/>
  </r>
  <r>
    <x v="10"/>
    <x v="3"/>
    <x v="0"/>
    <x v="10"/>
    <x v="120"/>
    <x v="0"/>
    <x v="0"/>
    <n v="109"/>
  </r>
  <r>
    <x v="10"/>
    <x v="3"/>
    <x v="0"/>
    <x v="10"/>
    <x v="121"/>
    <x v="0"/>
    <x v="0"/>
    <n v="88"/>
  </r>
  <r>
    <x v="10"/>
    <x v="3"/>
    <x v="0"/>
    <x v="10"/>
    <x v="122"/>
    <x v="1"/>
    <x v="0"/>
    <n v="92"/>
  </r>
  <r>
    <x v="10"/>
    <x v="3"/>
    <x v="0"/>
    <x v="10"/>
    <x v="123"/>
    <x v="1"/>
    <x v="1"/>
    <n v="105"/>
  </r>
  <r>
    <x v="10"/>
    <x v="3"/>
    <x v="0"/>
    <x v="10"/>
    <x v="124"/>
    <x v="1"/>
    <x v="1"/>
    <n v="125"/>
  </r>
  <r>
    <x v="10"/>
    <x v="3"/>
    <x v="0"/>
    <x v="10"/>
    <x v="125"/>
    <x v="2"/>
    <x v="1"/>
    <n v="95"/>
  </r>
  <r>
    <x v="10"/>
    <x v="3"/>
    <x v="0"/>
    <x v="10"/>
    <x v="126"/>
    <x v="2"/>
    <x v="2"/>
    <n v="101"/>
  </r>
  <r>
    <x v="10"/>
    <x v="3"/>
    <x v="0"/>
    <x v="10"/>
    <x v="127"/>
    <x v="2"/>
    <x v="2"/>
    <n v="92"/>
  </r>
  <r>
    <x v="10"/>
    <x v="3"/>
    <x v="0"/>
    <x v="10"/>
    <x v="128"/>
    <x v="3"/>
    <x v="2"/>
    <n v="105"/>
  </r>
  <r>
    <x v="10"/>
    <x v="3"/>
    <x v="0"/>
    <x v="10"/>
    <x v="129"/>
    <x v="3"/>
    <x v="3"/>
    <n v="93"/>
  </r>
  <r>
    <x v="10"/>
    <x v="3"/>
    <x v="0"/>
    <x v="10"/>
    <x v="130"/>
    <x v="3"/>
    <x v="3"/>
    <n v="93"/>
  </r>
  <r>
    <x v="10"/>
    <x v="3"/>
    <x v="0"/>
    <x v="10"/>
    <x v="131"/>
    <x v="0"/>
    <x v="3"/>
    <n v="106"/>
  </r>
  <r>
    <x v="10"/>
    <x v="3"/>
    <x v="1"/>
    <x v="10"/>
    <x v="120"/>
    <x v="0"/>
    <x v="0"/>
    <n v="77"/>
  </r>
  <r>
    <x v="10"/>
    <x v="3"/>
    <x v="1"/>
    <x v="10"/>
    <x v="121"/>
    <x v="0"/>
    <x v="0"/>
    <n v="75"/>
  </r>
  <r>
    <x v="10"/>
    <x v="3"/>
    <x v="1"/>
    <x v="10"/>
    <x v="122"/>
    <x v="1"/>
    <x v="0"/>
    <n v="86"/>
  </r>
  <r>
    <x v="10"/>
    <x v="3"/>
    <x v="1"/>
    <x v="10"/>
    <x v="123"/>
    <x v="1"/>
    <x v="1"/>
    <n v="59"/>
  </r>
  <r>
    <x v="10"/>
    <x v="3"/>
    <x v="1"/>
    <x v="10"/>
    <x v="124"/>
    <x v="1"/>
    <x v="1"/>
    <n v="59"/>
  </r>
  <r>
    <x v="10"/>
    <x v="3"/>
    <x v="1"/>
    <x v="10"/>
    <x v="125"/>
    <x v="2"/>
    <x v="1"/>
    <n v="66"/>
  </r>
  <r>
    <x v="10"/>
    <x v="3"/>
    <x v="1"/>
    <x v="10"/>
    <x v="126"/>
    <x v="2"/>
    <x v="2"/>
    <n v="93"/>
  </r>
  <r>
    <x v="10"/>
    <x v="3"/>
    <x v="1"/>
    <x v="10"/>
    <x v="127"/>
    <x v="2"/>
    <x v="2"/>
    <n v="82"/>
  </r>
  <r>
    <x v="10"/>
    <x v="3"/>
    <x v="1"/>
    <x v="10"/>
    <x v="128"/>
    <x v="3"/>
    <x v="2"/>
    <n v="79"/>
  </r>
  <r>
    <x v="10"/>
    <x v="3"/>
    <x v="1"/>
    <x v="10"/>
    <x v="129"/>
    <x v="3"/>
    <x v="3"/>
    <n v="58"/>
  </r>
  <r>
    <x v="10"/>
    <x v="3"/>
    <x v="1"/>
    <x v="10"/>
    <x v="130"/>
    <x v="3"/>
    <x v="3"/>
    <n v="80"/>
  </r>
  <r>
    <x v="10"/>
    <x v="3"/>
    <x v="1"/>
    <x v="10"/>
    <x v="131"/>
    <x v="0"/>
    <x v="3"/>
    <n v="77"/>
  </r>
  <r>
    <x v="10"/>
    <x v="4"/>
    <x v="0"/>
    <x v="10"/>
    <x v="120"/>
    <x v="0"/>
    <x v="0"/>
    <n v="74"/>
  </r>
  <r>
    <x v="10"/>
    <x v="4"/>
    <x v="0"/>
    <x v="10"/>
    <x v="121"/>
    <x v="0"/>
    <x v="0"/>
    <n v="65"/>
  </r>
  <r>
    <x v="10"/>
    <x v="4"/>
    <x v="0"/>
    <x v="10"/>
    <x v="122"/>
    <x v="1"/>
    <x v="0"/>
    <n v="22"/>
  </r>
  <r>
    <x v="10"/>
    <x v="4"/>
    <x v="0"/>
    <x v="10"/>
    <x v="123"/>
    <x v="1"/>
    <x v="1"/>
    <n v="26"/>
  </r>
  <r>
    <x v="10"/>
    <x v="4"/>
    <x v="0"/>
    <x v="10"/>
    <x v="124"/>
    <x v="1"/>
    <x v="1"/>
    <n v="28"/>
  </r>
  <r>
    <x v="10"/>
    <x v="4"/>
    <x v="0"/>
    <x v="10"/>
    <x v="125"/>
    <x v="2"/>
    <x v="1"/>
    <n v="30"/>
  </r>
  <r>
    <x v="10"/>
    <x v="4"/>
    <x v="0"/>
    <x v="10"/>
    <x v="126"/>
    <x v="2"/>
    <x v="2"/>
    <n v="16"/>
  </r>
  <r>
    <x v="10"/>
    <x v="4"/>
    <x v="0"/>
    <x v="10"/>
    <x v="127"/>
    <x v="2"/>
    <x v="2"/>
    <n v="15"/>
  </r>
  <r>
    <x v="10"/>
    <x v="4"/>
    <x v="0"/>
    <x v="10"/>
    <x v="128"/>
    <x v="3"/>
    <x v="2"/>
    <n v="11"/>
  </r>
  <r>
    <x v="10"/>
    <x v="4"/>
    <x v="0"/>
    <x v="10"/>
    <x v="129"/>
    <x v="3"/>
    <x v="3"/>
    <n v="15"/>
  </r>
  <r>
    <x v="10"/>
    <x v="4"/>
    <x v="0"/>
    <x v="10"/>
    <x v="130"/>
    <x v="3"/>
    <x v="3"/>
    <n v="5"/>
  </r>
  <r>
    <x v="10"/>
    <x v="4"/>
    <x v="0"/>
    <x v="10"/>
    <x v="131"/>
    <x v="0"/>
    <x v="3"/>
    <n v="23"/>
  </r>
  <r>
    <x v="10"/>
    <x v="4"/>
    <x v="1"/>
    <x v="10"/>
    <x v="120"/>
    <x v="0"/>
    <x v="0"/>
    <n v="97"/>
  </r>
  <r>
    <x v="10"/>
    <x v="4"/>
    <x v="1"/>
    <x v="10"/>
    <x v="121"/>
    <x v="0"/>
    <x v="0"/>
    <n v="94"/>
  </r>
  <r>
    <x v="10"/>
    <x v="4"/>
    <x v="1"/>
    <x v="10"/>
    <x v="122"/>
    <x v="1"/>
    <x v="0"/>
    <n v="41"/>
  </r>
  <r>
    <x v="10"/>
    <x v="4"/>
    <x v="1"/>
    <x v="10"/>
    <x v="123"/>
    <x v="1"/>
    <x v="1"/>
    <n v="50"/>
  </r>
  <r>
    <x v="10"/>
    <x v="4"/>
    <x v="1"/>
    <x v="10"/>
    <x v="124"/>
    <x v="1"/>
    <x v="1"/>
    <n v="41"/>
  </r>
  <r>
    <x v="10"/>
    <x v="4"/>
    <x v="1"/>
    <x v="10"/>
    <x v="125"/>
    <x v="2"/>
    <x v="1"/>
    <n v="52"/>
  </r>
  <r>
    <x v="10"/>
    <x v="4"/>
    <x v="1"/>
    <x v="10"/>
    <x v="126"/>
    <x v="2"/>
    <x v="2"/>
    <n v="42"/>
  </r>
  <r>
    <x v="10"/>
    <x v="4"/>
    <x v="1"/>
    <x v="10"/>
    <x v="127"/>
    <x v="2"/>
    <x v="2"/>
    <n v="35"/>
  </r>
  <r>
    <x v="10"/>
    <x v="4"/>
    <x v="1"/>
    <x v="10"/>
    <x v="128"/>
    <x v="3"/>
    <x v="2"/>
    <n v="20"/>
  </r>
  <r>
    <x v="10"/>
    <x v="4"/>
    <x v="1"/>
    <x v="10"/>
    <x v="129"/>
    <x v="3"/>
    <x v="3"/>
    <n v="20"/>
  </r>
  <r>
    <x v="10"/>
    <x v="4"/>
    <x v="1"/>
    <x v="10"/>
    <x v="130"/>
    <x v="3"/>
    <x v="3"/>
    <n v="16"/>
  </r>
  <r>
    <x v="10"/>
    <x v="4"/>
    <x v="1"/>
    <x v="10"/>
    <x v="131"/>
    <x v="0"/>
    <x v="3"/>
    <n v="44"/>
  </r>
  <r>
    <x v="10"/>
    <x v="5"/>
    <x v="0"/>
    <x v="10"/>
    <x v="120"/>
    <x v="0"/>
    <x v="0"/>
    <n v="537"/>
  </r>
  <r>
    <x v="10"/>
    <x v="5"/>
    <x v="0"/>
    <x v="10"/>
    <x v="121"/>
    <x v="0"/>
    <x v="0"/>
    <n v="332"/>
  </r>
  <r>
    <x v="10"/>
    <x v="5"/>
    <x v="0"/>
    <x v="10"/>
    <x v="122"/>
    <x v="1"/>
    <x v="0"/>
    <n v="179"/>
  </r>
  <r>
    <x v="10"/>
    <x v="5"/>
    <x v="0"/>
    <x v="10"/>
    <x v="123"/>
    <x v="1"/>
    <x v="1"/>
    <n v="253"/>
  </r>
  <r>
    <x v="10"/>
    <x v="5"/>
    <x v="0"/>
    <x v="10"/>
    <x v="124"/>
    <x v="1"/>
    <x v="1"/>
    <n v="185"/>
  </r>
  <r>
    <x v="10"/>
    <x v="5"/>
    <x v="0"/>
    <x v="10"/>
    <x v="125"/>
    <x v="2"/>
    <x v="1"/>
    <n v="200"/>
  </r>
  <r>
    <x v="10"/>
    <x v="5"/>
    <x v="0"/>
    <x v="10"/>
    <x v="126"/>
    <x v="2"/>
    <x v="2"/>
    <n v="132"/>
  </r>
  <r>
    <x v="10"/>
    <x v="5"/>
    <x v="0"/>
    <x v="10"/>
    <x v="127"/>
    <x v="2"/>
    <x v="2"/>
    <n v="117"/>
  </r>
  <r>
    <x v="10"/>
    <x v="5"/>
    <x v="0"/>
    <x v="10"/>
    <x v="128"/>
    <x v="3"/>
    <x v="2"/>
    <n v="98"/>
  </r>
  <r>
    <x v="10"/>
    <x v="5"/>
    <x v="0"/>
    <x v="10"/>
    <x v="129"/>
    <x v="3"/>
    <x v="3"/>
    <n v="111"/>
  </r>
  <r>
    <x v="10"/>
    <x v="5"/>
    <x v="0"/>
    <x v="10"/>
    <x v="130"/>
    <x v="3"/>
    <x v="3"/>
    <n v="85"/>
  </r>
  <r>
    <x v="10"/>
    <x v="5"/>
    <x v="0"/>
    <x v="10"/>
    <x v="131"/>
    <x v="0"/>
    <x v="3"/>
    <n v="206"/>
  </r>
  <r>
    <x v="10"/>
    <x v="5"/>
    <x v="1"/>
    <x v="10"/>
    <x v="120"/>
    <x v="0"/>
    <x v="0"/>
    <n v="2330"/>
  </r>
  <r>
    <x v="10"/>
    <x v="5"/>
    <x v="1"/>
    <x v="10"/>
    <x v="121"/>
    <x v="0"/>
    <x v="0"/>
    <n v="1634"/>
  </r>
  <r>
    <x v="10"/>
    <x v="5"/>
    <x v="1"/>
    <x v="10"/>
    <x v="122"/>
    <x v="1"/>
    <x v="0"/>
    <n v="923"/>
  </r>
  <r>
    <x v="10"/>
    <x v="5"/>
    <x v="1"/>
    <x v="10"/>
    <x v="123"/>
    <x v="1"/>
    <x v="1"/>
    <n v="998"/>
  </r>
  <r>
    <x v="10"/>
    <x v="5"/>
    <x v="1"/>
    <x v="10"/>
    <x v="124"/>
    <x v="1"/>
    <x v="1"/>
    <n v="649"/>
  </r>
  <r>
    <x v="10"/>
    <x v="5"/>
    <x v="1"/>
    <x v="10"/>
    <x v="125"/>
    <x v="2"/>
    <x v="1"/>
    <n v="785"/>
  </r>
  <r>
    <x v="10"/>
    <x v="5"/>
    <x v="1"/>
    <x v="10"/>
    <x v="126"/>
    <x v="2"/>
    <x v="2"/>
    <n v="848"/>
  </r>
  <r>
    <x v="10"/>
    <x v="5"/>
    <x v="1"/>
    <x v="10"/>
    <x v="127"/>
    <x v="2"/>
    <x v="2"/>
    <n v="1115"/>
  </r>
  <r>
    <x v="10"/>
    <x v="5"/>
    <x v="1"/>
    <x v="10"/>
    <x v="128"/>
    <x v="3"/>
    <x v="2"/>
    <n v="550"/>
  </r>
  <r>
    <x v="10"/>
    <x v="5"/>
    <x v="1"/>
    <x v="10"/>
    <x v="129"/>
    <x v="3"/>
    <x v="3"/>
    <n v="560"/>
  </r>
  <r>
    <x v="10"/>
    <x v="5"/>
    <x v="1"/>
    <x v="10"/>
    <x v="130"/>
    <x v="3"/>
    <x v="3"/>
    <n v="383"/>
  </r>
  <r>
    <x v="10"/>
    <x v="5"/>
    <x v="1"/>
    <x v="10"/>
    <x v="131"/>
    <x v="0"/>
    <x v="3"/>
    <n v="874"/>
  </r>
</pivotCacheRecords>
</file>

<file path=xl/pivotCache/pivotCacheRecords10.xml><?xml version="1.0" encoding="utf-8"?>
<pivotCacheRecords xmlns="http://schemas.openxmlformats.org/spreadsheetml/2006/main" xmlns:r="http://schemas.openxmlformats.org/officeDocument/2006/relationships" count="388">
  <r>
    <x v="0"/>
    <x v="0"/>
    <n v="1889"/>
    <n v="138"/>
    <n v="1541"/>
    <n v="210"/>
    <n v="217020"/>
  </r>
  <r>
    <x v="0"/>
    <x v="1"/>
    <n v="839"/>
    <n v="41"/>
    <n v="644"/>
    <n v="154"/>
    <n v="249020"/>
  </r>
  <r>
    <x v="0"/>
    <x v="2"/>
    <n v="894"/>
    <n v="34"/>
    <n v="698"/>
    <n v="162"/>
    <n v="114830"/>
  </r>
  <r>
    <x v="0"/>
    <x v="3"/>
    <n v="1171"/>
    <n v="23"/>
    <n v="689"/>
    <n v="459"/>
    <n v="89450"/>
  </r>
  <r>
    <x v="0"/>
    <x v="4"/>
    <n v="6665"/>
    <n v="302"/>
    <n v="4946"/>
    <n v="1417"/>
    <n v="463230"/>
  </r>
  <r>
    <x v="0"/>
    <x v="5"/>
    <n v="520"/>
    <n v="21"/>
    <n v="336"/>
    <n v="163"/>
    <n v="51290"/>
  </r>
  <r>
    <x v="0"/>
    <x v="6"/>
    <n v="616"/>
    <n v="19"/>
    <n v="467"/>
    <n v="130"/>
    <n v="151160"/>
  </r>
  <r>
    <x v="0"/>
    <x v="7"/>
    <n v="2241"/>
    <n v="147"/>
    <n v="1610"/>
    <n v="484"/>
    <n v="145170"/>
  </r>
  <r>
    <x v="0"/>
    <x v="8"/>
    <n v="1212"/>
    <n v="135"/>
    <n v="715"/>
    <n v="362"/>
    <n v="122110"/>
  </r>
  <r>
    <x v="0"/>
    <x v="9"/>
    <n v="554"/>
    <n v="23"/>
    <n v="344"/>
    <n v="187"/>
    <n v="104960"/>
  </r>
  <r>
    <x v="0"/>
    <x v="10"/>
    <n v="705"/>
    <n v="35"/>
    <n v="452"/>
    <n v="218"/>
    <n v="98340"/>
  </r>
  <r>
    <x v="0"/>
    <x v="11"/>
    <n v="455"/>
    <n v="30"/>
    <n v="246"/>
    <n v="179"/>
    <n v="89980"/>
  </r>
  <r>
    <x v="0"/>
    <x v="12"/>
    <n v="1141"/>
    <n v="66"/>
    <n v="673"/>
    <n v="402"/>
    <n v="154210"/>
  </r>
  <r>
    <x v="0"/>
    <x v="13"/>
    <n v="2514"/>
    <n v="84"/>
    <n v="1945"/>
    <n v="485"/>
    <n v="361420"/>
  </r>
  <r>
    <x v="0"/>
    <x v="14"/>
    <n v="10720"/>
    <n v="739"/>
    <n v="7715"/>
    <n v="2266"/>
    <n v="581620"/>
  </r>
  <r>
    <x v="0"/>
    <x v="15"/>
    <n v="1956"/>
    <n v="63"/>
    <n v="1559"/>
    <n v="334"/>
    <n v="228750"/>
  </r>
  <r>
    <x v="0"/>
    <x v="16"/>
    <n v="822"/>
    <n v="53"/>
    <n v="500"/>
    <n v="269"/>
    <n v="81670"/>
  </r>
  <r>
    <x v="0"/>
    <x v="17"/>
    <n v="489"/>
    <n v="26"/>
    <n v="312"/>
    <n v="151"/>
    <n v="81900"/>
  </r>
  <r>
    <x v="0"/>
    <x v="18"/>
    <n v="477"/>
    <n v="10"/>
    <n v="413"/>
    <n v="54"/>
    <n v="93160"/>
  </r>
  <r>
    <x v="0"/>
    <x v="19"/>
    <n v="228"/>
    <m/>
    <n v="197"/>
    <n v="31"/>
    <n v="27420"/>
  </r>
  <r>
    <x v="0"/>
    <x v="20"/>
    <n v="1185"/>
    <n v="98"/>
    <n v="677"/>
    <n v="410"/>
    <n v="137830"/>
  </r>
  <r>
    <x v="0"/>
    <x v="21"/>
    <n v="3104"/>
    <n v="246"/>
    <n v="1801"/>
    <n v="1057"/>
    <n v="335160"/>
  </r>
  <r>
    <x v="0"/>
    <x v="22"/>
    <n v="188"/>
    <n v="1"/>
    <n v="168"/>
    <n v="19"/>
    <n v="20940"/>
  </r>
  <r>
    <x v="0"/>
    <x v="23"/>
    <n v="1176"/>
    <n v="26"/>
    <n v="930"/>
    <n v="220"/>
    <n v="144370"/>
  </r>
  <r>
    <x v="0"/>
    <x v="24"/>
    <n v="1892"/>
    <n v="183"/>
    <n v="1143"/>
    <n v="566"/>
    <n v="173020"/>
  </r>
  <r>
    <x v="0"/>
    <x v="25"/>
    <n v="903"/>
    <n v="33"/>
    <n v="610"/>
    <n v="260"/>
    <n v="113590"/>
  </r>
  <r>
    <x v="0"/>
    <x v="26"/>
    <n v="158"/>
    <n v="2"/>
    <n v="134"/>
    <n v="22"/>
    <n v="22800"/>
  </r>
  <r>
    <x v="0"/>
    <x v="27"/>
    <n v="904"/>
    <n v="41"/>
    <n v="653"/>
    <n v="210"/>
    <n v="112490"/>
  </r>
  <r>
    <x v="0"/>
    <x v="28"/>
    <n v="2672"/>
    <n v="161"/>
    <n v="1704"/>
    <n v="807"/>
    <n v="312180"/>
  </r>
  <r>
    <x v="0"/>
    <x v="29"/>
    <n v="976"/>
    <n v="24"/>
    <n v="721"/>
    <n v="231"/>
    <n v="88690"/>
  </r>
  <r>
    <x v="0"/>
    <x v="30"/>
    <n v="877"/>
    <n v="59"/>
    <n v="472"/>
    <n v="346"/>
    <n v="91080"/>
  </r>
  <r>
    <x v="0"/>
    <x v="31"/>
    <n v="1932"/>
    <n v="74"/>
    <n v="1296"/>
    <n v="562"/>
    <n v="173040"/>
  </r>
  <r>
    <x v="1"/>
    <x v="0"/>
    <n v="1837"/>
    <n v="81"/>
    <n v="1518"/>
    <n v="238"/>
    <n v="219730"/>
  </r>
  <r>
    <x v="1"/>
    <x v="1"/>
    <n v="826"/>
    <n v="37"/>
    <n v="630"/>
    <n v="159"/>
    <n v="251430"/>
  </r>
  <r>
    <x v="1"/>
    <x v="2"/>
    <n v="973"/>
    <n v="26"/>
    <n v="826"/>
    <n v="121"/>
    <n v="115410"/>
  </r>
  <r>
    <x v="1"/>
    <x v="3"/>
    <n v="1027"/>
    <n v="25"/>
    <n v="661"/>
    <n v="341"/>
    <n v="88620"/>
  </r>
  <r>
    <x v="1"/>
    <x v="4"/>
    <n v="6611"/>
    <n v="260"/>
    <n v="4938"/>
    <n v="1413"/>
    <n v="469930"/>
  </r>
  <r>
    <x v="1"/>
    <x v="5"/>
    <n v="458"/>
    <n v="12"/>
    <n v="286"/>
    <n v="160"/>
    <n v="51330"/>
  </r>
  <r>
    <x v="1"/>
    <x v="6"/>
    <n v="633"/>
    <n v="19"/>
    <n v="444"/>
    <n v="170"/>
    <n v="151100"/>
  </r>
  <r>
    <x v="1"/>
    <x v="7"/>
    <n v="2294"/>
    <n v="119"/>
    <n v="1844"/>
    <n v="331"/>
    <n v="146060"/>
  </r>
  <r>
    <x v="1"/>
    <x v="8"/>
    <n v="1396"/>
    <n v="110"/>
    <n v="866"/>
    <n v="420"/>
    <n v="122410"/>
  </r>
  <r>
    <x v="1"/>
    <x v="9"/>
    <n v="564"/>
    <n v="29"/>
    <n v="349"/>
    <n v="186"/>
    <n v="104920"/>
  </r>
  <r>
    <x v="1"/>
    <x v="10"/>
    <n v="714"/>
    <n v="28"/>
    <n v="496"/>
    <n v="190"/>
    <n v="99140"/>
  </r>
  <r>
    <x v="1"/>
    <x v="11"/>
    <n v="447"/>
    <n v="17"/>
    <n v="269"/>
    <n v="161"/>
    <n v="90410"/>
  </r>
  <r>
    <x v="1"/>
    <x v="12"/>
    <n v="1297"/>
    <n v="72"/>
    <n v="799"/>
    <n v="426"/>
    <n v="155130"/>
  </r>
  <r>
    <x v="1"/>
    <x v="13"/>
    <n v="2315"/>
    <n v="120"/>
    <n v="1771"/>
    <n v="424"/>
    <n v="362610"/>
  </r>
  <r>
    <x v="1"/>
    <x v="14"/>
    <n v="9417"/>
    <n v="761"/>
    <n v="6699"/>
    <n v="1957"/>
    <n v="586500"/>
  </r>
  <r>
    <x v="1"/>
    <x v="15"/>
    <n v="1775"/>
    <n v="36"/>
    <n v="1422"/>
    <n v="317"/>
    <n v="230730"/>
  </r>
  <r>
    <x v="1"/>
    <x v="16"/>
    <n v="834"/>
    <n v="58"/>
    <n v="524"/>
    <n v="252"/>
    <n v="81510"/>
  </r>
  <r>
    <x v="1"/>
    <x v="17"/>
    <n v="451"/>
    <n v="22"/>
    <n v="322"/>
    <n v="107"/>
    <n v="82360"/>
  </r>
  <r>
    <x v="1"/>
    <x v="18"/>
    <n v="482"/>
    <n v="13"/>
    <n v="402"/>
    <n v="67"/>
    <n v="93690"/>
  </r>
  <r>
    <x v="1"/>
    <x v="19"/>
    <n v="222"/>
    <m/>
    <n v="154"/>
    <n v="68"/>
    <n v="27600"/>
  </r>
  <r>
    <x v="1"/>
    <x v="20"/>
    <n v="1156"/>
    <n v="80"/>
    <n v="677"/>
    <n v="399"/>
    <n v="137800"/>
  </r>
  <r>
    <x v="1"/>
    <x v="21"/>
    <n v="2937"/>
    <n v="263"/>
    <n v="1674"/>
    <n v="1000"/>
    <n v="336280"/>
  </r>
  <r>
    <x v="1"/>
    <x v="22"/>
    <n v="127"/>
    <m/>
    <n v="108"/>
    <n v="19"/>
    <n v="21220"/>
  </r>
  <r>
    <x v="1"/>
    <x v="23"/>
    <n v="1148"/>
    <n v="29"/>
    <n v="894"/>
    <n v="225"/>
    <n v="145600"/>
  </r>
  <r>
    <x v="1"/>
    <x v="24"/>
    <n v="1674"/>
    <n v="130"/>
    <n v="1027"/>
    <n v="517"/>
    <n v="173700"/>
  </r>
  <r>
    <x v="1"/>
    <x v="25"/>
    <n v="891"/>
    <n v="10"/>
    <n v="634"/>
    <n v="247"/>
    <n v="113700"/>
  </r>
  <r>
    <x v="1"/>
    <x v="26"/>
    <n v="142"/>
    <n v="1"/>
    <n v="129"/>
    <n v="12"/>
    <n v="23060"/>
  </r>
  <r>
    <x v="1"/>
    <x v="27"/>
    <n v="1015"/>
    <n v="65"/>
    <n v="698"/>
    <n v="252"/>
    <n v="112600"/>
  </r>
  <r>
    <x v="1"/>
    <x v="28"/>
    <n v="2575"/>
    <n v="175"/>
    <n v="1731"/>
    <n v="669"/>
    <n v="313180"/>
  </r>
  <r>
    <x v="1"/>
    <x v="29"/>
    <n v="880"/>
    <n v="19"/>
    <n v="685"/>
    <n v="176"/>
    <n v="89550"/>
  </r>
  <r>
    <x v="1"/>
    <x v="30"/>
    <n v="798"/>
    <n v="62"/>
    <n v="413"/>
    <n v="323"/>
    <n v="90800"/>
  </r>
  <r>
    <x v="1"/>
    <x v="31"/>
    <n v="1935"/>
    <n v="74"/>
    <n v="1401"/>
    <n v="460"/>
    <n v="174090"/>
  </r>
  <r>
    <x v="2"/>
    <x v="0"/>
    <n v="1869"/>
    <n v="88"/>
    <n v="1554"/>
    <n v="227"/>
    <n v="222460"/>
  </r>
  <r>
    <x v="2"/>
    <x v="1"/>
    <n v="827"/>
    <n v="32"/>
    <n v="619"/>
    <n v="176"/>
    <n v="253650"/>
  </r>
  <r>
    <x v="2"/>
    <x v="2"/>
    <n v="959"/>
    <n v="19"/>
    <n v="816"/>
    <n v="124"/>
    <n v="116200"/>
  </r>
  <r>
    <x v="2"/>
    <x v="3"/>
    <n v="1175"/>
    <n v="27"/>
    <n v="822"/>
    <n v="326"/>
    <n v="88930"/>
  </r>
  <r>
    <x v="2"/>
    <x v="4"/>
    <n v="6592"/>
    <n v="237"/>
    <n v="5065"/>
    <n v="1290"/>
    <n v="477940"/>
  </r>
  <r>
    <x v="2"/>
    <x v="5"/>
    <n v="459"/>
    <n v="16"/>
    <n v="331"/>
    <n v="112"/>
    <n v="51500"/>
  </r>
  <r>
    <x v="2"/>
    <x v="6"/>
    <n v="636"/>
    <n v="21"/>
    <n v="481"/>
    <n v="134"/>
    <n v="151410"/>
  </r>
  <r>
    <x v="2"/>
    <x v="7"/>
    <n v="2187"/>
    <n v="119"/>
    <n v="1770"/>
    <n v="298"/>
    <n v="147200"/>
  </r>
  <r>
    <x v="2"/>
    <x v="8"/>
    <n v="1326"/>
    <n v="111"/>
    <n v="919"/>
    <n v="296"/>
    <n v="122690"/>
  </r>
  <r>
    <x v="2"/>
    <x v="9"/>
    <n v="544"/>
    <n v="21"/>
    <n v="372"/>
    <n v="151"/>
    <n v="105000"/>
  </r>
  <r>
    <x v="2"/>
    <x v="10"/>
    <n v="691"/>
    <n v="36"/>
    <n v="499"/>
    <n v="156"/>
    <n v="99920"/>
  </r>
  <r>
    <x v="2"/>
    <x v="11"/>
    <n v="421"/>
    <n v="26"/>
    <n v="256"/>
    <n v="139"/>
    <n v="90810"/>
  </r>
  <r>
    <x v="2"/>
    <x v="12"/>
    <n v="1283"/>
    <n v="65"/>
    <n v="813"/>
    <n v="405"/>
    <n v="156250"/>
  </r>
  <r>
    <x v="2"/>
    <x v="13"/>
    <n v="2385"/>
    <n v="107"/>
    <n v="1832"/>
    <n v="446"/>
    <n v="365300"/>
  </r>
  <r>
    <x v="2"/>
    <x v="14"/>
    <n v="8491"/>
    <n v="707"/>
    <n v="6143"/>
    <n v="1641"/>
    <n v="593060"/>
  </r>
  <r>
    <x v="2"/>
    <x v="15"/>
    <n v="1771"/>
    <n v="48"/>
    <n v="1369"/>
    <n v="354"/>
    <n v="232730"/>
  </r>
  <r>
    <x v="2"/>
    <x v="16"/>
    <n v="839"/>
    <n v="40"/>
    <n v="575"/>
    <n v="224"/>
    <n v="81220"/>
  </r>
  <r>
    <x v="2"/>
    <x v="17"/>
    <n v="510"/>
    <n v="29"/>
    <n v="359"/>
    <n v="122"/>
    <n v="83450"/>
  </r>
  <r>
    <x v="2"/>
    <x v="18"/>
    <n v="482"/>
    <n v="12"/>
    <n v="400"/>
    <n v="70"/>
    <n v="93470"/>
  </r>
  <r>
    <x v="2"/>
    <x v="19"/>
    <n v="252"/>
    <n v="2"/>
    <n v="192"/>
    <n v="58"/>
    <n v="27690"/>
  </r>
  <r>
    <x v="2"/>
    <x v="20"/>
    <n v="1049"/>
    <n v="89"/>
    <n v="628"/>
    <n v="332"/>
    <n v="138090"/>
  </r>
  <r>
    <x v="2"/>
    <x v="21"/>
    <n v="2515"/>
    <n v="223"/>
    <n v="1633"/>
    <n v="659"/>
    <n v="337720"/>
  </r>
  <r>
    <x v="2"/>
    <x v="22"/>
    <n v="116"/>
    <n v="2"/>
    <n v="88"/>
    <n v="26"/>
    <n v="21420"/>
  </r>
  <r>
    <x v="2"/>
    <x v="23"/>
    <n v="1146"/>
    <n v="45"/>
    <n v="911"/>
    <n v="190"/>
    <n v="146850"/>
  </r>
  <r>
    <x v="2"/>
    <x v="24"/>
    <n v="1430"/>
    <n v="119"/>
    <n v="941"/>
    <n v="370"/>
    <n v="174700"/>
  </r>
  <r>
    <x v="2"/>
    <x v="25"/>
    <n v="837"/>
    <n v="22"/>
    <n v="604"/>
    <n v="211"/>
    <n v="113880"/>
  </r>
  <r>
    <x v="2"/>
    <x v="26"/>
    <n v="86"/>
    <n v="2"/>
    <n v="77"/>
    <n v="7"/>
    <n v="23240"/>
  </r>
  <r>
    <x v="2"/>
    <x v="27"/>
    <n v="907"/>
    <n v="45"/>
    <n v="665"/>
    <n v="197"/>
    <n v="112980"/>
  </r>
  <r>
    <x v="2"/>
    <x v="28"/>
    <n v="2626"/>
    <n v="182"/>
    <n v="1773"/>
    <n v="671"/>
    <n v="313900"/>
  </r>
  <r>
    <x v="2"/>
    <x v="29"/>
    <n v="883"/>
    <n v="10"/>
    <n v="682"/>
    <n v="191"/>
    <n v="90330"/>
  </r>
  <r>
    <x v="2"/>
    <x v="30"/>
    <n v="668"/>
    <n v="53"/>
    <n v="348"/>
    <n v="267"/>
    <n v="90610"/>
  </r>
  <r>
    <x v="2"/>
    <x v="31"/>
    <n v="1960"/>
    <n v="67"/>
    <n v="1417"/>
    <n v="476"/>
    <n v="175300"/>
  </r>
  <r>
    <x v="3"/>
    <x v="0"/>
    <n v="1948"/>
    <n v="71"/>
    <n v="1663"/>
    <n v="214"/>
    <n v="224910"/>
  </r>
  <r>
    <x v="3"/>
    <x v="1"/>
    <n v="826"/>
    <n v="25"/>
    <n v="660"/>
    <n v="141"/>
    <n v="255560"/>
  </r>
  <r>
    <x v="3"/>
    <x v="2"/>
    <n v="1075"/>
    <n v="21"/>
    <n v="924"/>
    <n v="130"/>
    <n v="116220"/>
  </r>
  <r>
    <x v="3"/>
    <x v="3"/>
    <n v="1055"/>
    <n v="13"/>
    <n v="742"/>
    <n v="300"/>
    <n v="86910"/>
  </r>
  <r>
    <x v="3"/>
    <x v="4"/>
    <n v="6605"/>
    <n v="313"/>
    <n v="5056"/>
    <n v="1236"/>
    <n v="482630"/>
  </r>
  <r>
    <x v="3"/>
    <x v="5"/>
    <n v="467"/>
    <n v="15"/>
    <n v="305"/>
    <n v="147"/>
    <n v="51280"/>
  </r>
  <r>
    <x v="3"/>
    <x v="6"/>
    <n v="538"/>
    <n v="7"/>
    <n v="416"/>
    <n v="115"/>
    <n v="150840"/>
  </r>
  <r>
    <x v="3"/>
    <x v="7"/>
    <n v="2175"/>
    <n v="111"/>
    <n v="1770"/>
    <n v="294"/>
    <n v="147780"/>
  </r>
  <r>
    <x v="3"/>
    <x v="8"/>
    <n v="1160"/>
    <n v="134"/>
    <n v="740"/>
    <n v="286"/>
    <n v="122730"/>
  </r>
  <r>
    <x v="3"/>
    <x v="9"/>
    <n v="576"/>
    <n v="21"/>
    <n v="337"/>
    <n v="218"/>
    <n v="105880"/>
  </r>
  <r>
    <x v="3"/>
    <x v="10"/>
    <n v="804"/>
    <n v="28"/>
    <n v="601"/>
    <n v="175"/>
    <n v="100860"/>
  </r>
  <r>
    <x v="3"/>
    <x v="11"/>
    <n v="413"/>
    <n v="18"/>
    <n v="286"/>
    <n v="109"/>
    <n v="91040"/>
  </r>
  <r>
    <x v="3"/>
    <x v="12"/>
    <n v="1240"/>
    <n v="61"/>
    <n v="821"/>
    <n v="358"/>
    <n v="156800"/>
  </r>
  <r>
    <x v="3"/>
    <x v="13"/>
    <n v="2086"/>
    <n v="83"/>
    <n v="1610"/>
    <n v="393"/>
    <n v="366210"/>
  </r>
  <r>
    <x v="3"/>
    <x v="14"/>
    <n v="8124"/>
    <n v="532"/>
    <n v="5991"/>
    <n v="1601"/>
    <n v="595070"/>
  </r>
  <r>
    <x v="3"/>
    <x v="15"/>
    <n v="1766"/>
    <n v="79"/>
    <n v="1265"/>
    <n v="422"/>
    <n v="232890"/>
  </r>
  <r>
    <x v="3"/>
    <x v="16"/>
    <n v="762"/>
    <n v="51"/>
    <n v="539"/>
    <n v="172"/>
    <n v="80690"/>
  </r>
  <r>
    <x v="3"/>
    <x v="17"/>
    <n v="526"/>
    <n v="25"/>
    <n v="355"/>
    <n v="146"/>
    <n v="84240"/>
  </r>
  <r>
    <x v="3"/>
    <x v="18"/>
    <n v="604"/>
    <n v="7"/>
    <n v="541"/>
    <n v="56"/>
    <n v="92930"/>
  </r>
  <r>
    <x v="3"/>
    <x v="19"/>
    <n v="234"/>
    <n v="5"/>
    <n v="181"/>
    <n v="48"/>
    <n v="27560"/>
  </r>
  <r>
    <x v="3"/>
    <x v="20"/>
    <n v="988"/>
    <n v="52"/>
    <n v="650"/>
    <n v="286"/>
    <n v="137570"/>
  </r>
  <r>
    <x v="3"/>
    <x v="21"/>
    <n v="2403"/>
    <n v="167"/>
    <n v="1657"/>
    <n v="579"/>
    <n v="337890"/>
  </r>
  <r>
    <x v="3"/>
    <x v="22"/>
    <n v="103"/>
    <n v="2"/>
    <n v="78"/>
    <n v="23"/>
    <n v="21530"/>
  </r>
  <r>
    <x v="3"/>
    <x v="23"/>
    <n v="1134"/>
    <n v="34"/>
    <n v="906"/>
    <n v="194"/>
    <n v="147740"/>
  </r>
  <r>
    <x v="3"/>
    <x v="24"/>
    <n v="1406"/>
    <n v="103"/>
    <n v="938"/>
    <n v="365"/>
    <n v="174300"/>
  </r>
  <r>
    <x v="3"/>
    <x v="25"/>
    <n v="893"/>
    <n v="26"/>
    <n v="637"/>
    <n v="230"/>
    <n v="113720"/>
  </r>
  <r>
    <x v="3"/>
    <x v="26"/>
    <n v="105"/>
    <m/>
    <n v="92"/>
    <n v="13"/>
    <n v="23210"/>
  </r>
  <r>
    <x v="3"/>
    <x v="27"/>
    <n v="956"/>
    <n v="48"/>
    <n v="723"/>
    <n v="185"/>
    <n v="112920"/>
  </r>
  <r>
    <x v="3"/>
    <x v="28"/>
    <n v="2798"/>
    <n v="134"/>
    <n v="1961"/>
    <n v="703"/>
    <n v="314330"/>
  </r>
  <r>
    <x v="3"/>
    <x v="29"/>
    <n v="912"/>
    <n v="11"/>
    <n v="758"/>
    <n v="143"/>
    <n v="91010"/>
  </r>
  <r>
    <x v="3"/>
    <x v="30"/>
    <n v="641"/>
    <n v="60"/>
    <n v="336"/>
    <n v="245"/>
    <n v="90340"/>
  </r>
  <r>
    <x v="3"/>
    <x v="31"/>
    <n v="1965"/>
    <n v="50"/>
    <n v="1571"/>
    <n v="344"/>
    <n v="176010"/>
  </r>
  <r>
    <x v="4"/>
    <x v="0"/>
    <n v="2088"/>
    <n v="105"/>
    <n v="1755"/>
    <n v="228"/>
    <n v="227070"/>
  </r>
  <r>
    <x v="4"/>
    <x v="1"/>
    <n v="929"/>
    <n v="39"/>
    <n v="683"/>
    <n v="207"/>
    <n v="257770"/>
  </r>
  <r>
    <x v="4"/>
    <x v="2"/>
    <n v="1042"/>
    <n v="34"/>
    <n v="875"/>
    <n v="133"/>
    <n v="116290"/>
  </r>
  <r>
    <x v="4"/>
    <x v="3"/>
    <n v="1044"/>
    <n v="8"/>
    <n v="825"/>
    <n v="211"/>
    <n v="88050"/>
  </r>
  <r>
    <x v="4"/>
    <x v="4"/>
    <n v="6446"/>
    <n v="318"/>
    <n v="5008"/>
    <n v="1120"/>
    <n v="487460"/>
  </r>
  <r>
    <x v="4"/>
    <x v="5"/>
    <n v="404"/>
    <n v="19"/>
    <n v="254"/>
    <n v="131"/>
    <n v="51280"/>
  </r>
  <r>
    <x v="4"/>
    <x v="6"/>
    <n v="547"/>
    <n v="11"/>
    <n v="406"/>
    <n v="130"/>
    <n v="150280"/>
  </r>
  <r>
    <x v="4"/>
    <x v="7"/>
    <n v="2207"/>
    <n v="112"/>
    <n v="1836"/>
    <n v="259"/>
    <n v="148100"/>
  </r>
  <r>
    <x v="4"/>
    <x v="8"/>
    <n v="1261"/>
    <n v="46"/>
    <n v="905"/>
    <n v="310"/>
    <n v="122430"/>
  </r>
  <r>
    <x v="4"/>
    <x v="9"/>
    <n v="568"/>
    <n v="26"/>
    <n v="365"/>
    <n v="177"/>
    <n v="105840"/>
  </r>
  <r>
    <x v="4"/>
    <x v="10"/>
    <n v="783"/>
    <n v="18"/>
    <n v="587"/>
    <n v="178"/>
    <n v="101390"/>
  </r>
  <r>
    <x v="4"/>
    <x v="11"/>
    <n v="406"/>
    <n v="11"/>
    <n v="305"/>
    <n v="90"/>
    <n v="91530"/>
  </r>
  <r>
    <x v="4"/>
    <x v="12"/>
    <n v="1160"/>
    <n v="76"/>
    <n v="734"/>
    <n v="350"/>
    <n v="157160"/>
  </r>
  <r>
    <x v="4"/>
    <x v="13"/>
    <n v="2167"/>
    <n v="81"/>
    <n v="1704"/>
    <n v="382"/>
    <n v="366900"/>
  </r>
  <r>
    <x v="4"/>
    <x v="14"/>
    <n v="8137"/>
    <n v="585"/>
    <n v="6025"/>
    <n v="1527"/>
    <n v="596520"/>
  </r>
  <r>
    <x v="4"/>
    <x v="15"/>
    <n v="1891"/>
    <n v="108"/>
    <n v="1330"/>
    <n v="453"/>
    <n v="232930"/>
  </r>
  <r>
    <x v="4"/>
    <x v="16"/>
    <n v="675"/>
    <n v="36"/>
    <n v="471"/>
    <n v="168"/>
    <n v="80340"/>
  </r>
  <r>
    <x v="4"/>
    <x v="17"/>
    <n v="534"/>
    <n v="25"/>
    <n v="383"/>
    <n v="126"/>
    <n v="84710"/>
  </r>
  <r>
    <x v="4"/>
    <x v="18"/>
    <n v="452"/>
    <n v="14"/>
    <n v="372"/>
    <n v="66"/>
    <n v="94360"/>
  </r>
  <r>
    <x v="4"/>
    <x v="19"/>
    <n v="270"/>
    <n v="2"/>
    <n v="218"/>
    <n v="50"/>
    <n v="27400"/>
  </r>
  <r>
    <x v="4"/>
    <x v="20"/>
    <n v="1112"/>
    <n v="70"/>
    <n v="757"/>
    <n v="285"/>
    <n v="136940"/>
  </r>
  <r>
    <x v="4"/>
    <x v="21"/>
    <n v="2461"/>
    <n v="140"/>
    <n v="1659"/>
    <n v="662"/>
    <n v="337780"/>
  </r>
  <r>
    <x v="4"/>
    <x v="22"/>
    <n v="126"/>
    <n v="2"/>
    <n v="101"/>
    <n v="23"/>
    <n v="21560"/>
  </r>
  <r>
    <x v="4"/>
    <x v="23"/>
    <n v="1153"/>
    <n v="48"/>
    <n v="943"/>
    <n v="162"/>
    <n v="147770"/>
  </r>
  <r>
    <x v="4"/>
    <x v="24"/>
    <n v="1327"/>
    <n v="84"/>
    <n v="882"/>
    <n v="361"/>
    <n v="173890"/>
  </r>
  <r>
    <x v="4"/>
    <x v="25"/>
    <n v="864"/>
    <n v="32"/>
    <n v="630"/>
    <n v="202"/>
    <n v="113880"/>
  </r>
  <r>
    <x v="4"/>
    <x v="26"/>
    <n v="103"/>
    <m/>
    <n v="79"/>
    <n v="24"/>
    <n v="23200"/>
  </r>
  <r>
    <x v="4"/>
    <x v="27"/>
    <n v="960"/>
    <n v="29"/>
    <n v="752"/>
    <n v="179"/>
    <n v="112870"/>
  </r>
  <r>
    <x v="4"/>
    <x v="28"/>
    <n v="2679"/>
    <n v="135"/>
    <n v="1864"/>
    <n v="680"/>
    <n v="314810"/>
  </r>
  <r>
    <x v="4"/>
    <x v="29"/>
    <n v="857"/>
    <n v="32"/>
    <n v="677"/>
    <n v="148"/>
    <n v="91230"/>
  </r>
  <r>
    <x v="4"/>
    <x v="30"/>
    <n v="595"/>
    <n v="45"/>
    <n v="337"/>
    <n v="213"/>
    <n v="89800"/>
  </r>
  <r>
    <x v="4"/>
    <x v="31"/>
    <n v="1947"/>
    <n v="74"/>
    <n v="1491"/>
    <n v="382"/>
    <n v="176160"/>
  </r>
  <r>
    <x v="5"/>
    <x v="0"/>
    <n v="2241"/>
    <n v="126"/>
    <n v="1930"/>
    <n v="185"/>
    <n v="228920"/>
  </r>
  <r>
    <x v="5"/>
    <x v="1"/>
    <n v="998"/>
    <n v="26"/>
    <n v="799"/>
    <n v="173"/>
    <n v="260530"/>
  </r>
  <r>
    <x v="5"/>
    <x v="2"/>
    <n v="1062"/>
    <n v="22"/>
    <n v="916"/>
    <n v="124"/>
    <n v="116740"/>
  </r>
  <r>
    <x v="5"/>
    <x v="3"/>
    <n v="1051"/>
    <n v="11"/>
    <n v="814"/>
    <n v="226"/>
    <n v="87650"/>
  </r>
  <r>
    <x v="5"/>
    <x v="4"/>
    <n v="6715"/>
    <n v="371"/>
    <n v="5329"/>
    <n v="1015"/>
    <n v="492610"/>
  </r>
  <r>
    <x v="5"/>
    <x v="5"/>
    <n v="447"/>
    <n v="9"/>
    <n v="339"/>
    <n v="99"/>
    <n v="51190"/>
  </r>
  <r>
    <x v="5"/>
    <x v="6"/>
    <n v="712"/>
    <n v="17"/>
    <n v="533"/>
    <n v="162"/>
    <n v="149960"/>
  </r>
  <r>
    <x v="5"/>
    <x v="7"/>
    <n v="2239"/>
    <n v="105"/>
    <n v="1875"/>
    <n v="259"/>
    <n v="148130"/>
  </r>
  <r>
    <x v="5"/>
    <x v="8"/>
    <n v="1319"/>
    <n v="52"/>
    <n v="969"/>
    <n v="298"/>
    <n v="122130"/>
  </r>
  <r>
    <x v="5"/>
    <x v="9"/>
    <n v="508"/>
    <n v="24"/>
    <n v="329"/>
    <n v="155"/>
    <n v="106710"/>
  </r>
  <r>
    <x v="5"/>
    <x v="10"/>
    <n v="782"/>
    <n v="17"/>
    <n v="622"/>
    <n v="143"/>
    <n v="102090"/>
  </r>
  <r>
    <x v="5"/>
    <x v="11"/>
    <n v="447"/>
    <n v="14"/>
    <n v="337"/>
    <n v="96"/>
    <n v="92410"/>
  </r>
  <r>
    <x v="5"/>
    <x v="12"/>
    <n v="1085"/>
    <n v="49"/>
    <n v="733"/>
    <n v="303"/>
    <n v="157690"/>
  </r>
  <r>
    <x v="5"/>
    <x v="13"/>
    <n v="2246"/>
    <n v="58"/>
    <n v="1853"/>
    <n v="335"/>
    <n v="367250"/>
  </r>
  <r>
    <x v="5"/>
    <x v="14"/>
    <n v="8197"/>
    <n v="435"/>
    <n v="6209"/>
    <n v="1553"/>
    <n v="599640"/>
  </r>
  <r>
    <x v="5"/>
    <x v="15"/>
    <n v="2062"/>
    <n v="82"/>
    <n v="1466"/>
    <n v="514"/>
    <n v="233080"/>
  </r>
  <r>
    <x v="5"/>
    <x v="16"/>
    <n v="740"/>
    <n v="46"/>
    <n v="532"/>
    <n v="162"/>
    <n v="79890"/>
  </r>
  <r>
    <x v="5"/>
    <x v="17"/>
    <n v="492"/>
    <n v="34"/>
    <n v="349"/>
    <n v="109"/>
    <n v="86220"/>
  </r>
  <r>
    <x v="5"/>
    <x v="18"/>
    <n v="575"/>
    <n v="9"/>
    <n v="493"/>
    <n v="73"/>
    <n v="94770"/>
  </r>
  <r>
    <x v="5"/>
    <x v="19"/>
    <n v="224"/>
    <n v="1"/>
    <n v="190"/>
    <n v="33"/>
    <n v="27250"/>
  </r>
  <r>
    <x v="5"/>
    <x v="20"/>
    <n v="1014"/>
    <n v="50"/>
    <n v="645"/>
    <n v="319"/>
    <n v="136480"/>
  </r>
  <r>
    <x v="5"/>
    <x v="21"/>
    <n v="2683"/>
    <n v="118"/>
    <n v="1970"/>
    <n v="595"/>
    <n v="338000"/>
  </r>
  <r>
    <x v="5"/>
    <x v="22"/>
    <n v="138"/>
    <n v="1"/>
    <n v="117"/>
    <n v="20"/>
    <n v="21580"/>
  </r>
  <r>
    <x v="5"/>
    <x v="23"/>
    <n v="1214"/>
    <n v="28"/>
    <n v="1002"/>
    <n v="184"/>
    <n v="148930"/>
  </r>
  <r>
    <x v="5"/>
    <x v="24"/>
    <n v="1329"/>
    <n v="52"/>
    <n v="926"/>
    <n v="351"/>
    <n v="174230"/>
  </r>
  <r>
    <x v="5"/>
    <x v="25"/>
    <n v="894"/>
    <n v="41"/>
    <n v="645"/>
    <n v="208"/>
    <n v="114040"/>
  </r>
  <r>
    <x v="5"/>
    <x v="26"/>
    <n v="128"/>
    <n v="6"/>
    <n v="106"/>
    <n v="16"/>
    <n v="23220"/>
  </r>
  <r>
    <x v="5"/>
    <x v="27"/>
    <n v="1049"/>
    <n v="30"/>
    <n v="826"/>
    <n v="193"/>
    <n v="112530"/>
  </r>
  <r>
    <x v="5"/>
    <x v="28"/>
    <n v="2743"/>
    <n v="116"/>
    <n v="1923"/>
    <n v="704"/>
    <n v="315300"/>
  </r>
  <r>
    <x v="5"/>
    <x v="29"/>
    <n v="782"/>
    <n v="9"/>
    <n v="651"/>
    <n v="122"/>
    <n v="91520"/>
  </r>
  <r>
    <x v="5"/>
    <x v="30"/>
    <n v="595"/>
    <n v="27"/>
    <n v="359"/>
    <n v="209"/>
    <n v="89710"/>
  </r>
  <r>
    <x v="5"/>
    <x v="31"/>
    <n v="1937"/>
    <n v="69"/>
    <n v="1550"/>
    <n v="318"/>
    <n v="177200"/>
  </r>
  <r>
    <x v="5"/>
    <x v="32"/>
    <n v="1"/>
    <n v="1"/>
    <m/>
    <m/>
    <m/>
  </r>
  <r>
    <x v="6"/>
    <x v="0"/>
    <n v="2230"/>
    <n v="113"/>
    <n v="1904"/>
    <n v="213"/>
    <n v="230350"/>
  </r>
  <r>
    <x v="6"/>
    <x v="1"/>
    <n v="1106"/>
    <n v="35"/>
    <n v="865"/>
    <n v="206"/>
    <n v="261960"/>
  </r>
  <r>
    <x v="6"/>
    <x v="2"/>
    <n v="1060"/>
    <n v="27"/>
    <n v="923"/>
    <n v="110"/>
    <n v="116900"/>
  </r>
  <r>
    <x v="6"/>
    <x v="3"/>
    <n v="1018"/>
    <n v="17"/>
    <n v="860"/>
    <n v="141"/>
    <n v="86890"/>
  </r>
  <r>
    <x v="6"/>
    <x v="4"/>
    <n v="6777"/>
    <n v="351"/>
    <n v="5397"/>
    <n v="1029"/>
    <n v="498810"/>
  </r>
  <r>
    <x v="6"/>
    <x v="5"/>
    <n v="407"/>
    <n v="26"/>
    <n v="287"/>
    <n v="94"/>
    <n v="51360"/>
  </r>
  <r>
    <x v="6"/>
    <x v="6"/>
    <n v="912"/>
    <n v="51"/>
    <n v="619"/>
    <n v="242"/>
    <n v="149670"/>
  </r>
  <r>
    <x v="6"/>
    <x v="7"/>
    <n v="2107"/>
    <n v="76"/>
    <n v="1797"/>
    <n v="234"/>
    <n v="148210"/>
  </r>
  <r>
    <x v="6"/>
    <x v="8"/>
    <n v="1200"/>
    <n v="32"/>
    <n v="871"/>
    <n v="297"/>
    <n v="122060"/>
  </r>
  <r>
    <x v="6"/>
    <x v="9"/>
    <n v="523"/>
    <n v="18"/>
    <n v="384"/>
    <n v="121"/>
    <n v="106960"/>
  </r>
  <r>
    <x v="6"/>
    <x v="10"/>
    <n v="831"/>
    <n v="27"/>
    <n v="650"/>
    <n v="154"/>
    <n v="103050"/>
  </r>
  <r>
    <x v="6"/>
    <x v="11"/>
    <n v="489"/>
    <n v="17"/>
    <n v="360"/>
    <n v="112"/>
    <n v="92940"/>
  </r>
  <r>
    <x v="6"/>
    <x v="12"/>
    <n v="1032"/>
    <n v="57"/>
    <n v="696"/>
    <n v="279"/>
    <n v="158460"/>
  </r>
  <r>
    <x v="6"/>
    <x v="13"/>
    <n v="2595"/>
    <n v="96"/>
    <n v="2134"/>
    <n v="365"/>
    <n v="368080"/>
  </r>
  <r>
    <x v="6"/>
    <x v="14"/>
    <n v="8041"/>
    <n v="571"/>
    <n v="6206"/>
    <n v="1264"/>
    <n v="606340"/>
  </r>
  <r>
    <x v="6"/>
    <x v="15"/>
    <n v="2052"/>
    <n v="113"/>
    <n v="1386"/>
    <n v="553"/>
    <n v="234110"/>
  </r>
  <r>
    <x v="6"/>
    <x v="16"/>
    <n v="745"/>
    <n v="40"/>
    <n v="505"/>
    <n v="200"/>
    <n v="79500"/>
  </r>
  <r>
    <x v="6"/>
    <x v="17"/>
    <n v="559"/>
    <n v="37"/>
    <n v="377"/>
    <n v="145"/>
    <n v="87390"/>
  </r>
  <r>
    <x v="6"/>
    <x v="18"/>
    <n v="552"/>
    <n v="14"/>
    <n v="461"/>
    <n v="77"/>
    <n v="95510"/>
  </r>
  <r>
    <x v="6"/>
    <x v="19"/>
    <n v="244"/>
    <n v="2"/>
    <n v="181"/>
    <n v="61"/>
    <n v="27070"/>
  </r>
  <r>
    <x v="6"/>
    <x v="20"/>
    <n v="1124"/>
    <n v="63"/>
    <n v="740"/>
    <n v="321"/>
    <n v="136130"/>
  </r>
  <r>
    <x v="6"/>
    <x v="21"/>
    <n v="2608"/>
    <n v="117"/>
    <n v="1978"/>
    <n v="513"/>
    <n v="338260"/>
  </r>
  <r>
    <x v="6"/>
    <x v="22"/>
    <n v="109"/>
    <m/>
    <n v="85"/>
    <n v="24"/>
    <n v="21670"/>
  </r>
  <r>
    <x v="6"/>
    <x v="23"/>
    <n v="1143"/>
    <n v="40"/>
    <n v="938"/>
    <n v="165"/>
    <n v="149930"/>
  </r>
  <r>
    <x v="6"/>
    <x v="24"/>
    <n v="1395"/>
    <n v="80"/>
    <n v="995"/>
    <n v="320"/>
    <n v="174560"/>
  </r>
  <r>
    <x v="6"/>
    <x v="25"/>
    <n v="788"/>
    <n v="33"/>
    <n v="570"/>
    <n v="185"/>
    <n v="114030"/>
  </r>
  <r>
    <x v="6"/>
    <x v="26"/>
    <n v="125"/>
    <n v="11"/>
    <n v="93"/>
    <n v="21"/>
    <n v="23200"/>
  </r>
  <r>
    <x v="6"/>
    <x v="27"/>
    <n v="1005"/>
    <n v="37"/>
    <n v="791"/>
    <n v="177"/>
    <n v="112400"/>
  </r>
  <r>
    <x v="6"/>
    <x v="28"/>
    <n v="2743"/>
    <n v="131"/>
    <n v="2057"/>
    <n v="555"/>
    <n v="316230"/>
  </r>
  <r>
    <x v="6"/>
    <x v="29"/>
    <n v="765"/>
    <n v="18"/>
    <n v="620"/>
    <n v="127"/>
    <n v="92830"/>
  </r>
  <r>
    <x v="6"/>
    <x v="30"/>
    <n v="558"/>
    <n v="40"/>
    <n v="369"/>
    <n v="149"/>
    <n v="89590"/>
  </r>
  <r>
    <x v="6"/>
    <x v="31"/>
    <n v="2003"/>
    <n v="85"/>
    <n v="1522"/>
    <n v="396"/>
    <n v="178550"/>
  </r>
  <r>
    <x v="7"/>
    <x v="0"/>
    <n v="2547"/>
    <n v="103"/>
    <n v="2232"/>
    <n v="212"/>
    <n v="229840"/>
  </r>
  <r>
    <x v="7"/>
    <x v="1"/>
    <n v="1159"/>
    <n v="32"/>
    <n v="912"/>
    <n v="215"/>
    <n v="262190"/>
  </r>
  <r>
    <x v="7"/>
    <x v="2"/>
    <n v="1002"/>
    <n v="21"/>
    <n v="846"/>
    <n v="135"/>
    <n v="116520"/>
  </r>
  <r>
    <x v="7"/>
    <x v="3"/>
    <n v="960"/>
    <n v="22"/>
    <n v="772"/>
    <n v="166"/>
    <n v="87130"/>
  </r>
  <r>
    <x v="7"/>
    <x v="4"/>
    <n v="6561"/>
    <n v="353"/>
    <n v="5297"/>
    <n v="911"/>
    <n v="507170"/>
  </r>
  <r>
    <x v="7"/>
    <x v="5"/>
    <n v="459"/>
    <n v="16"/>
    <n v="316"/>
    <n v="127"/>
    <n v="51350"/>
  </r>
  <r>
    <x v="7"/>
    <x v="6"/>
    <n v="972"/>
    <n v="25"/>
    <n v="742"/>
    <n v="205"/>
    <n v="149520"/>
  </r>
  <r>
    <x v="7"/>
    <x v="7"/>
    <n v="2232"/>
    <n v="117"/>
    <n v="1880"/>
    <n v="235"/>
    <n v="148270"/>
  </r>
  <r>
    <x v="7"/>
    <x v="8"/>
    <n v="1212"/>
    <n v="57"/>
    <n v="915"/>
    <n v="240"/>
    <n v="122200"/>
  </r>
  <r>
    <x v="7"/>
    <x v="9"/>
    <n v="534"/>
    <n v="11"/>
    <n v="399"/>
    <n v="124"/>
    <n v="107540"/>
  </r>
  <r>
    <x v="7"/>
    <x v="10"/>
    <n v="813"/>
    <n v="37"/>
    <n v="669"/>
    <n v="107"/>
    <n v="104090"/>
  </r>
  <r>
    <x v="7"/>
    <x v="11"/>
    <n v="555"/>
    <n v="16"/>
    <n v="429"/>
    <n v="110"/>
    <n v="93810"/>
  </r>
  <r>
    <x v="7"/>
    <x v="12"/>
    <n v="1156"/>
    <n v="53"/>
    <n v="773"/>
    <n v="330"/>
    <n v="159380"/>
  </r>
  <r>
    <x v="7"/>
    <x v="13"/>
    <n v="2867"/>
    <n v="96"/>
    <n v="2332"/>
    <n v="439"/>
    <n v="370330"/>
  </r>
  <r>
    <x v="7"/>
    <x v="14"/>
    <n v="8235"/>
    <n v="528"/>
    <n v="6437"/>
    <n v="1270"/>
    <n v="615070"/>
  </r>
  <r>
    <x v="7"/>
    <x v="15"/>
    <n v="2084"/>
    <n v="67"/>
    <n v="1472"/>
    <n v="545"/>
    <n v="234770"/>
  </r>
  <r>
    <x v="7"/>
    <x v="16"/>
    <n v="826"/>
    <n v="36"/>
    <n v="578"/>
    <n v="212"/>
    <n v="79160"/>
  </r>
  <r>
    <x v="7"/>
    <x v="17"/>
    <n v="656"/>
    <n v="35"/>
    <n v="455"/>
    <n v="166"/>
    <n v="88610"/>
  </r>
  <r>
    <x v="7"/>
    <x v="18"/>
    <n v="538"/>
    <n v="9"/>
    <n v="466"/>
    <n v="63"/>
    <n v="96070"/>
  </r>
  <r>
    <x v="7"/>
    <x v="19"/>
    <n v="255"/>
    <n v="2"/>
    <n v="201"/>
    <n v="52"/>
    <n v="26900"/>
  </r>
  <r>
    <x v="7"/>
    <x v="20"/>
    <n v="1310"/>
    <n v="65"/>
    <n v="917"/>
    <n v="328"/>
    <n v="135890"/>
  </r>
  <r>
    <x v="7"/>
    <x v="21"/>
    <n v="2732"/>
    <n v="129"/>
    <n v="2029"/>
    <n v="574"/>
    <n v="339390"/>
  </r>
  <r>
    <x v="7"/>
    <x v="22"/>
    <n v="103"/>
    <n v="2"/>
    <n v="81"/>
    <n v="20"/>
    <n v="21850"/>
  </r>
  <r>
    <x v="7"/>
    <x v="23"/>
    <n v="1104"/>
    <n v="29"/>
    <n v="912"/>
    <n v="163"/>
    <n v="150680"/>
  </r>
  <r>
    <x v="7"/>
    <x v="24"/>
    <n v="1437"/>
    <n v="102"/>
    <n v="955"/>
    <n v="380"/>
    <n v="175930"/>
  </r>
  <r>
    <x v="7"/>
    <x v="25"/>
    <n v="874"/>
    <n v="38"/>
    <n v="629"/>
    <n v="207"/>
    <n v="114530"/>
  </r>
  <r>
    <x v="7"/>
    <x v="26"/>
    <n v="116"/>
    <n v="6"/>
    <n v="91"/>
    <n v="19"/>
    <n v="23200"/>
  </r>
  <r>
    <x v="7"/>
    <x v="27"/>
    <n v="1074"/>
    <n v="34"/>
    <n v="884"/>
    <n v="156"/>
    <n v="112470"/>
  </r>
  <r>
    <x v="7"/>
    <x v="28"/>
    <n v="2869"/>
    <n v="100"/>
    <n v="2280"/>
    <n v="489"/>
    <n v="317100"/>
  </r>
  <r>
    <x v="7"/>
    <x v="29"/>
    <n v="923"/>
    <n v="25"/>
    <n v="688"/>
    <n v="210"/>
    <n v="93750"/>
  </r>
  <r>
    <x v="7"/>
    <x v="30"/>
    <n v="644"/>
    <n v="47"/>
    <n v="432"/>
    <n v="165"/>
    <n v="89860"/>
  </r>
  <r>
    <x v="7"/>
    <x v="31"/>
    <n v="2058"/>
    <n v="68"/>
    <n v="1609"/>
    <n v="381"/>
    <n v="180130"/>
  </r>
  <r>
    <x v="7"/>
    <x v="32"/>
    <n v="1"/>
    <m/>
    <m/>
    <n v="1"/>
    <m/>
  </r>
  <r>
    <x v="8"/>
    <x v="0"/>
    <n v="2582"/>
    <n v="179"/>
    <n v="2139"/>
    <n v="264"/>
    <n v="228800"/>
  </r>
  <r>
    <x v="8"/>
    <x v="1"/>
    <n v="1212"/>
    <n v="36"/>
    <n v="922"/>
    <n v="254"/>
    <n v="261800"/>
  </r>
  <r>
    <x v="8"/>
    <x v="2"/>
    <n v="1003"/>
    <n v="40"/>
    <n v="819"/>
    <n v="144"/>
    <n v="116280"/>
  </r>
  <r>
    <x v="8"/>
    <x v="3"/>
    <n v="1094"/>
    <n v="16"/>
    <n v="938"/>
    <n v="140"/>
    <n v="86810"/>
  </r>
  <r>
    <x v="8"/>
    <x v="4"/>
    <n v="6422"/>
    <n v="319"/>
    <n v="5141"/>
    <n v="962"/>
    <n v="513210"/>
  </r>
  <r>
    <x v="8"/>
    <x v="5"/>
    <n v="495"/>
    <n v="23"/>
    <n v="339"/>
    <n v="133"/>
    <n v="51450"/>
  </r>
  <r>
    <x v="8"/>
    <x v="6"/>
    <n v="1016"/>
    <n v="22"/>
    <n v="750"/>
    <n v="244"/>
    <n v="149200"/>
  </r>
  <r>
    <x v="8"/>
    <x v="7"/>
    <n v="2211"/>
    <n v="139"/>
    <n v="1824"/>
    <n v="248"/>
    <n v="148710"/>
  </r>
  <r>
    <x v="8"/>
    <x v="8"/>
    <n v="1197"/>
    <n v="28"/>
    <n v="915"/>
    <n v="254"/>
    <n v="121940"/>
  </r>
  <r>
    <x v="8"/>
    <x v="9"/>
    <n v="648"/>
    <n v="10"/>
    <n v="507"/>
    <n v="131"/>
    <n v="108130"/>
  </r>
  <r>
    <x v="8"/>
    <x v="10"/>
    <n v="930"/>
    <n v="29"/>
    <n v="723"/>
    <n v="178"/>
    <n v="104840"/>
  </r>
  <r>
    <x v="8"/>
    <x v="11"/>
    <n v="630"/>
    <n v="18"/>
    <n v="502"/>
    <n v="110"/>
    <n v="94760"/>
  </r>
  <r>
    <x v="8"/>
    <x v="12"/>
    <n v="1197"/>
    <n v="71"/>
    <n v="819"/>
    <n v="307"/>
    <n v="160130"/>
  </r>
  <r>
    <x v="8"/>
    <x v="13"/>
    <n v="2849"/>
    <n v="100"/>
    <n v="2341"/>
    <n v="408"/>
    <n v="371410"/>
  </r>
  <r>
    <x v="8"/>
    <x v="14"/>
    <n v="8352"/>
    <n v="498"/>
    <n v="6607"/>
    <n v="1247"/>
    <n v="621020"/>
  </r>
  <r>
    <x v="8"/>
    <x v="15"/>
    <n v="2195"/>
    <n v="90"/>
    <n v="1544"/>
    <n v="561"/>
    <n v="235180"/>
  </r>
  <r>
    <x v="8"/>
    <x v="16"/>
    <n v="784"/>
    <n v="46"/>
    <n v="556"/>
    <n v="182"/>
    <n v="78760"/>
  </r>
  <r>
    <x v="8"/>
    <x v="17"/>
    <n v="648"/>
    <n v="38"/>
    <n v="496"/>
    <n v="114"/>
    <n v="90090"/>
  </r>
  <r>
    <x v="8"/>
    <x v="18"/>
    <n v="571"/>
    <n v="16"/>
    <n v="470"/>
    <n v="85"/>
    <n v="95780"/>
  </r>
  <r>
    <x v="8"/>
    <x v="19"/>
    <n v="233"/>
    <n v="2"/>
    <n v="176"/>
    <n v="55"/>
    <n v="26950"/>
  </r>
  <r>
    <x v="8"/>
    <x v="20"/>
    <n v="1296"/>
    <n v="45"/>
    <n v="975"/>
    <n v="276"/>
    <n v="135790"/>
  </r>
  <r>
    <x v="8"/>
    <x v="21"/>
    <n v="2856"/>
    <n v="134"/>
    <n v="2125"/>
    <n v="597"/>
    <n v="339960"/>
  </r>
  <r>
    <x v="8"/>
    <x v="22"/>
    <n v="83"/>
    <n v="3"/>
    <n v="55"/>
    <n v="25"/>
    <n v="22000"/>
  </r>
  <r>
    <x v="8"/>
    <x v="23"/>
    <n v="1097"/>
    <n v="33"/>
    <n v="891"/>
    <n v="173"/>
    <n v="151100"/>
  </r>
  <r>
    <x v="8"/>
    <x v="24"/>
    <n v="1658"/>
    <n v="62"/>
    <n v="1240"/>
    <n v="356"/>
    <n v="176830"/>
  </r>
  <r>
    <x v="8"/>
    <x v="25"/>
    <n v="893"/>
    <n v="42"/>
    <n v="614"/>
    <n v="237"/>
    <n v="115020"/>
  </r>
  <r>
    <x v="8"/>
    <x v="26"/>
    <n v="131"/>
    <n v="1"/>
    <n v="102"/>
    <n v="28"/>
    <n v="23080"/>
  </r>
  <r>
    <x v="8"/>
    <x v="27"/>
    <n v="1232"/>
    <n v="46"/>
    <n v="978"/>
    <n v="208"/>
    <n v="112680"/>
  </r>
  <r>
    <x v="8"/>
    <x v="28"/>
    <n v="2770"/>
    <n v="100"/>
    <n v="2228"/>
    <n v="442"/>
    <n v="318170"/>
  </r>
  <r>
    <x v="8"/>
    <x v="29"/>
    <n v="913"/>
    <n v="18"/>
    <n v="702"/>
    <n v="193"/>
    <n v="94000"/>
  </r>
  <r>
    <x v="8"/>
    <x v="30"/>
    <n v="691"/>
    <n v="41"/>
    <n v="501"/>
    <n v="149"/>
    <n v="89610"/>
  </r>
  <r>
    <x v="8"/>
    <x v="31"/>
    <n v="1995"/>
    <n v="92"/>
    <n v="1497"/>
    <n v="406"/>
    <n v="181310"/>
  </r>
  <r>
    <x v="9"/>
    <x v="0"/>
    <n v="2538"/>
    <n v="185"/>
    <n v="2092"/>
    <n v="261"/>
    <n v="227560"/>
  </r>
  <r>
    <x v="9"/>
    <x v="1"/>
    <n v="1212"/>
    <n v="38"/>
    <n v="890"/>
    <n v="284"/>
    <n v="261470"/>
  </r>
  <r>
    <x v="9"/>
    <x v="2"/>
    <n v="981"/>
    <n v="35"/>
    <n v="813"/>
    <n v="133"/>
    <n v="116040"/>
  </r>
  <r>
    <x v="9"/>
    <x v="3"/>
    <n v="1147"/>
    <n v="38"/>
    <n v="958"/>
    <n v="151"/>
    <n v="86260"/>
  </r>
  <r>
    <x v="9"/>
    <x v="4"/>
    <n v="6613"/>
    <n v="251"/>
    <n v="5373"/>
    <n v="989"/>
    <n v="518500"/>
  </r>
  <r>
    <x v="9"/>
    <x v="5"/>
    <n v="427"/>
    <n v="14"/>
    <n v="326"/>
    <n v="87"/>
    <n v="51400"/>
  </r>
  <r>
    <x v="9"/>
    <x v="6"/>
    <n v="1009"/>
    <n v="28"/>
    <n v="790"/>
    <n v="191"/>
    <n v="148790"/>
  </r>
  <r>
    <x v="9"/>
    <x v="7"/>
    <n v="2141"/>
    <n v="123"/>
    <n v="1793"/>
    <n v="225"/>
    <n v="148750"/>
  </r>
  <r>
    <x v="9"/>
    <x v="8"/>
    <n v="1302"/>
    <n v="51"/>
    <n v="954"/>
    <n v="297"/>
    <n v="121840"/>
  </r>
  <r>
    <x v="9"/>
    <x v="9"/>
    <n v="585"/>
    <n v="17"/>
    <n v="435"/>
    <n v="133"/>
    <n v="108330"/>
  </r>
  <r>
    <x v="9"/>
    <x v="10"/>
    <n v="926"/>
    <n v="46"/>
    <n v="712"/>
    <n v="168"/>
    <n v="105790"/>
  </r>
  <r>
    <x v="9"/>
    <x v="11"/>
    <n v="620"/>
    <n v="19"/>
    <n v="481"/>
    <n v="120"/>
    <n v="95170"/>
  </r>
  <r>
    <x v="9"/>
    <x v="12"/>
    <n v="1050"/>
    <n v="35"/>
    <n v="719"/>
    <n v="296"/>
    <n v="160340"/>
  </r>
  <r>
    <x v="9"/>
    <x v="13"/>
    <n v="3075"/>
    <n v="125"/>
    <n v="2512"/>
    <n v="438"/>
    <n v="371910"/>
  </r>
  <r>
    <x v="9"/>
    <x v="14"/>
    <n v="8441"/>
    <n v="418"/>
    <n v="6821"/>
    <n v="1202"/>
    <n v="626410"/>
  </r>
  <r>
    <x v="9"/>
    <x v="15"/>
    <n v="2236"/>
    <n v="100"/>
    <n v="1610"/>
    <n v="526"/>
    <n v="235540"/>
  </r>
  <r>
    <x v="9"/>
    <x v="16"/>
    <n v="833"/>
    <n v="39"/>
    <n v="596"/>
    <n v="198"/>
    <n v="78150"/>
  </r>
  <r>
    <x v="9"/>
    <x v="17"/>
    <n v="634"/>
    <n v="26"/>
    <n v="469"/>
    <n v="139"/>
    <n v="91340"/>
  </r>
  <r>
    <x v="9"/>
    <x v="18"/>
    <n v="610"/>
    <n v="14"/>
    <n v="458"/>
    <n v="138"/>
    <n v="95520"/>
  </r>
  <r>
    <x v="9"/>
    <x v="19"/>
    <n v="242"/>
    <n v="2"/>
    <n v="179"/>
    <n v="61"/>
    <n v="26830"/>
  </r>
  <r>
    <x v="9"/>
    <x v="20"/>
    <n v="1387"/>
    <n v="47"/>
    <n v="1043"/>
    <n v="297"/>
    <n v="135280"/>
  </r>
  <r>
    <x v="9"/>
    <x v="21"/>
    <n v="2672"/>
    <n v="105"/>
    <n v="1932"/>
    <n v="635"/>
    <n v="340180"/>
  </r>
  <r>
    <x v="9"/>
    <x v="22"/>
    <n v="91"/>
    <n v="2"/>
    <n v="64"/>
    <n v="25"/>
    <n v="22190"/>
  </r>
  <r>
    <x v="9"/>
    <x v="23"/>
    <n v="1163"/>
    <n v="36"/>
    <n v="930"/>
    <n v="197"/>
    <n v="151290"/>
  </r>
  <r>
    <x v="9"/>
    <x v="24"/>
    <n v="1690"/>
    <n v="93"/>
    <n v="1226"/>
    <n v="371"/>
    <n v="177790"/>
  </r>
  <r>
    <x v="9"/>
    <x v="25"/>
    <n v="956"/>
    <n v="66"/>
    <n v="654"/>
    <n v="236"/>
    <n v="115270"/>
  </r>
  <r>
    <x v="9"/>
    <x v="26"/>
    <n v="134"/>
    <n v="5"/>
    <n v="105"/>
    <n v="24"/>
    <n v="22990"/>
  </r>
  <r>
    <x v="9"/>
    <x v="27"/>
    <n v="1202"/>
    <n v="47"/>
    <n v="973"/>
    <n v="182"/>
    <n v="112550"/>
  </r>
  <r>
    <x v="9"/>
    <x v="28"/>
    <n v="2798"/>
    <n v="107"/>
    <n v="2255"/>
    <n v="436"/>
    <n v="319020"/>
  </r>
  <r>
    <x v="9"/>
    <x v="29"/>
    <n v="909"/>
    <n v="21"/>
    <n v="682"/>
    <n v="206"/>
    <n v="94330"/>
  </r>
  <r>
    <x v="9"/>
    <x v="30"/>
    <n v="641"/>
    <n v="28"/>
    <n v="420"/>
    <n v="193"/>
    <n v="89130"/>
  </r>
  <r>
    <x v="9"/>
    <x v="31"/>
    <n v="1891"/>
    <n v="118"/>
    <n v="1374"/>
    <n v="399"/>
    <n v="182140"/>
  </r>
  <r>
    <x v="9"/>
    <x v="32"/>
    <n v="2"/>
    <m/>
    <n v="2"/>
    <m/>
    <m/>
  </r>
  <r>
    <x v="10"/>
    <x v="0"/>
    <n v="2376"/>
    <n v="161"/>
    <n v="1963"/>
    <n v="252"/>
    <n v="228670"/>
  </r>
  <r>
    <x v="10"/>
    <x v="1"/>
    <n v="1102"/>
    <n v="30"/>
    <n v="849"/>
    <n v="223"/>
    <n v="261210"/>
  </r>
  <r>
    <x v="10"/>
    <x v="2"/>
    <n v="903"/>
    <n v="39"/>
    <n v="750"/>
    <n v="114"/>
    <n v="116200"/>
  </r>
  <r>
    <x v="10"/>
    <x v="3"/>
    <n v="1183"/>
    <n v="43"/>
    <n v="981"/>
    <n v="159"/>
    <n v="85870"/>
  </r>
  <r>
    <x v="10"/>
    <x v="4"/>
    <n v="6522"/>
    <n v="285"/>
    <n v="5360"/>
    <n v="877"/>
    <n v="524930"/>
  </r>
  <r>
    <x v="10"/>
    <x v="5"/>
    <n v="396"/>
    <n v="18"/>
    <n v="279"/>
    <n v="99"/>
    <n v="51540"/>
  </r>
  <r>
    <x v="10"/>
    <x v="6"/>
    <n v="940"/>
    <n v="35"/>
    <n v="726"/>
    <n v="179"/>
    <n v="148860"/>
  </r>
  <r>
    <x v="10"/>
    <x v="7"/>
    <n v="2106"/>
    <n v="127"/>
    <n v="1736"/>
    <n v="243"/>
    <n v="149320"/>
  </r>
  <r>
    <x v="10"/>
    <x v="8"/>
    <n v="1228"/>
    <n v="54"/>
    <n v="929"/>
    <n v="245"/>
    <n v="122010"/>
  </r>
  <r>
    <x v="10"/>
    <x v="9"/>
    <n v="622"/>
    <n v="15"/>
    <n v="487"/>
    <n v="120"/>
    <n v="108640"/>
  </r>
  <r>
    <x v="10"/>
    <x v="10"/>
    <n v="910"/>
    <n v="30"/>
    <n v="769"/>
    <n v="111"/>
    <n v="107090"/>
  </r>
  <r>
    <x v="10"/>
    <x v="11"/>
    <n v="631"/>
    <n v="14"/>
    <n v="501"/>
    <n v="116"/>
    <n v="95530"/>
  </r>
  <r>
    <x v="10"/>
    <x v="12"/>
    <n v="1208"/>
    <n v="57"/>
    <n v="863"/>
    <n v="288"/>
    <n v="160890"/>
  </r>
  <r>
    <x v="10"/>
    <x v="13"/>
    <n v="3059"/>
    <n v="106"/>
    <n v="2532"/>
    <n v="421"/>
    <n v="373550"/>
  </r>
  <r>
    <x v="10"/>
    <x v="14"/>
    <n v="8820"/>
    <n v="399"/>
    <n v="7214"/>
    <n v="1207"/>
    <n v="633120"/>
  </r>
  <r>
    <x v="10"/>
    <x v="15"/>
    <n v="2195"/>
    <n v="75"/>
    <n v="1641"/>
    <n v="479"/>
    <n v="235830"/>
  </r>
  <r>
    <x v="10"/>
    <x v="16"/>
    <n v="828"/>
    <n v="27"/>
    <n v="611"/>
    <n v="190"/>
    <n v="77800"/>
  </r>
  <r>
    <x v="10"/>
    <x v="17"/>
    <n v="668"/>
    <n v="30"/>
    <n v="506"/>
    <n v="132"/>
    <n v="92460"/>
  </r>
  <r>
    <x v="10"/>
    <x v="18"/>
    <n v="662"/>
    <n v="20"/>
    <n v="530"/>
    <n v="112"/>
    <n v="95820"/>
  </r>
  <r>
    <x v="10"/>
    <x v="19"/>
    <n v="267"/>
    <n v="9"/>
    <n v="188"/>
    <n v="70"/>
    <n v="26720"/>
  </r>
  <r>
    <x v="10"/>
    <x v="20"/>
    <n v="1478"/>
    <n v="53"/>
    <n v="1147"/>
    <n v="278"/>
    <n v="134740"/>
  </r>
  <r>
    <x v="10"/>
    <x v="21"/>
    <n v="2673"/>
    <n v="96"/>
    <n v="2000"/>
    <n v="577"/>
    <n v="341370"/>
  </r>
  <r>
    <x v="10"/>
    <x v="22"/>
    <n v="90"/>
    <n v="2"/>
    <n v="71"/>
    <n v="17"/>
    <n v="22270"/>
  </r>
  <r>
    <x v="10"/>
    <x v="23"/>
    <n v="1128"/>
    <n v="47"/>
    <n v="908"/>
    <n v="173"/>
    <n v="151950"/>
  </r>
  <r>
    <x v="10"/>
    <x v="24"/>
    <n v="1728"/>
    <n v="69"/>
    <n v="1357"/>
    <n v="302"/>
    <n v="179100"/>
  </r>
  <r>
    <x v="10"/>
    <x v="25"/>
    <n v="889"/>
    <n v="43"/>
    <n v="658"/>
    <n v="188"/>
    <n v="115510"/>
  </r>
  <r>
    <x v="10"/>
    <x v="26"/>
    <n v="128"/>
    <n v="5"/>
    <n v="94"/>
    <n v="29"/>
    <n v="22920"/>
  </r>
  <r>
    <x v="10"/>
    <x v="27"/>
    <n v="1256"/>
    <n v="55"/>
    <n v="984"/>
    <n v="217"/>
    <n v="112610"/>
  </r>
  <r>
    <x v="10"/>
    <x v="28"/>
    <n v="2862"/>
    <n v="97"/>
    <n v="2288"/>
    <n v="477"/>
    <n v="320530"/>
  </r>
  <r>
    <x v="10"/>
    <x v="29"/>
    <n v="971"/>
    <n v="27"/>
    <n v="744"/>
    <n v="200"/>
    <n v="94210"/>
  </r>
  <r>
    <x v="10"/>
    <x v="30"/>
    <n v="627"/>
    <n v="31"/>
    <n v="427"/>
    <n v="169"/>
    <n v="88930"/>
  </r>
  <r>
    <x v="10"/>
    <x v="31"/>
    <n v="1846"/>
    <n v="99"/>
    <n v="1374"/>
    <n v="373"/>
    <n v="183100"/>
  </r>
  <r>
    <x v="11"/>
    <x v="0"/>
    <n v="2115"/>
    <n v="86"/>
    <n v="1717"/>
    <n v="312"/>
    <n v="229060"/>
  </r>
  <r>
    <x v="11"/>
    <x v="1"/>
    <n v="1143"/>
    <n v="36"/>
    <n v="822"/>
    <n v="285"/>
    <n v="260780"/>
  </r>
  <r>
    <x v="11"/>
    <x v="2"/>
    <n v="796"/>
    <n v="21"/>
    <n v="636"/>
    <n v="139"/>
    <n v="115820"/>
  </r>
  <r>
    <x v="11"/>
    <x v="3"/>
    <n v="993"/>
    <n v="7"/>
    <n v="855"/>
    <n v="131"/>
    <n v="85430"/>
  </r>
  <r>
    <x v="11"/>
    <x v="4"/>
    <n v="5401"/>
    <n v="218"/>
    <n v="4235"/>
    <n v="948"/>
    <n v="527620"/>
  </r>
  <r>
    <x v="11"/>
    <x v="5"/>
    <n v="416"/>
    <n v="11"/>
    <n v="286"/>
    <n v="119"/>
    <n v="51290"/>
  </r>
  <r>
    <x v="11"/>
    <x v="6"/>
    <n v="877"/>
    <n v="24"/>
    <n v="655"/>
    <n v="198"/>
    <n v="148290"/>
  </r>
  <r>
    <x v="11"/>
    <x v="7"/>
    <n v="1826"/>
    <n v="79"/>
    <n v="1516"/>
    <n v="231"/>
    <n v="148820"/>
  </r>
  <r>
    <x v="11"/>
    <x v="8"/>
    <n v="1161"/>
    <n v="29"/>
    <n v="813"/>
    <n v="319"/>
    <n v="121600"/>
  </r>
  <r>
    <x v="11"/>
    <x v="9"/>
    <n v="571"/>
    <n v="18"/>
    <n v="389"/>
    <n v="164"/>
    <n v="108750"/>
  </r>
  <r>
    <x v="11"/>
    <x v="10"/>
    <n v="826"/>
    <n v="38"/>
    <n v="615"/>
    <n v="173"/>
    <n v="107900"/>
  </r>
  <r>
    <x v="11"/>
    <x v="11"/>
    <n v="610"/>
    <n v="7"/>
    <n v="459"/>
    <n v="144"/>
    <n v="96060"/>
  </r>
  <r>
    <x v="11"/>
    <x v="12"/>
    <n v="1121"/>
    <n v="34"/>
    <n v="705"/>
    <n v="382"/>
    <n v="160560"/>
  </r>
  <r>
    <x v="11"/>
    <x v="13"/>
    <n v="2783"/>
    <n v="93"/>
    <n v="2132"/>
    <n v="558"/>
    <n v="374130"/>
  </r>
  <r>
    <x v="11"/>
    <x v="14"/>
    <n v="7294"/>
    <n v="190"/>
    <n v="5878"/>
    <n v="1226"/>
    <n v="635640"/>
  </r>
  <r>
    <x v="11"/>
    <x v="15"/>
    <n v="2046"/>
    <n v="73"/>
    <n v="1531"/>
    <n v="442"/>
    <n v="235430"/>
  </r>
  <r>
    <x v="11"/>
    <x v="16"/>
    <n v="700"/>
    <n v="20"/>
    <n v="490"/>
    <n v="190"/>
    <n v="77060"/>
  </r>
  <r>
    <x v="11"/>
    <x v="17"/>
    <n v="632"/>
    <n v="24"/>
    <n v="454"/>
    <n v="154"/>
    <n v="93150"/>
  </r>
  <r>
    <x v="11"/>
    <x v="18"/>
    <n v="591"/>
    <n v="13"/>
    <n v="472"/>
    <n v="106"/>
    <n v="95710"/>
  </r>
  <r>
    <x v="11"/>
    <x v="19"/>
    <n v="221"/>
    <n v="1"/>
    <n v="148"/>
    <n v="72"/>
    <n v="26500"/>
  </r>
  <r>
    <x v="11"/>
    <x v="20"/>
    <n v="1516"/>
    <n v="30"/>
    <n v="1137"/>
    <n v="349"/>
    <n v="134250"/>
  </r>
  <r>
    <x v="11"/>
    <x v="21"/>
    <n v="2531"/>
    <n v="74"/>
    <n v="1849"/>
    <n v="608"/>
    <n v="341140"/>
  </r>
  <r>
    <x v="11"/>
    <x v="22"/>
    <n v="63"/>
    <m/>
    <n v="44"/>
    <n v="19"/>
    <n v="22400"/>
  </r>
  <r>
    <x v="11"/>
    <x v="23"/>
    <n v="1158"/>
    <n v="37"/>
    <n v="892"/>
    <n v="229"/>
    <n v="151910"/>
  </r>
  <r>
    <x v="11"/>
    <x v="24"/>
    <n v="1532"/>
    <n v="70"/>
    <n v="1143"/>
    <n v="319"/>
    <n v="179390"/>
  </r>
  <r>
    <x v="11"/>
    <x v="25"/>
    <n v="835"/>
    <n v="33"/>
    <n v="600"/>
    <n v="202"/>
    <n v="115240"/>
  </r>
  <r>
    <x v="11"/>
    <x v="26"/>
    <n v="132"/>
    <n v="2"/>
    <n v="100"/>
    <n v="30"/>
    <n v="22870"/>
  </r>
  <r>
    <x v="11"/>
    <x v="27"/>
    <n v="1106"/>
    <n v="34"/>
    <n v="914"/>
    <n v="158"/>
    <n v="112140"/>
  </r>
  <r>
    <x v="11"/>
    <x v="28"/>
    <n v="2645"/>
    <n v="80"/>
    <n v="2034"/>
    <n v="531"/>
    <n v="320820"/>
  </r>
  <r>
    <x v="11"/>
    <x v="29"/>
    <n v="846"/>
    <n v="11"/>
    <n v="649"/>
    <n v="186"/>
    <n v="94080"/>
  </r>
  <r>
    <x v="11"/>
    <x v="30"/>
    <n v="609"/>
    <n v="45"/>
    <n v="394"/>
    <n v="170"/>
    <n v="88340"/>
  </r>
  <r>
    <x v="11"/>
    <x v="31"/>
    <n v="1723"/>
    <n v="56"/>
    <n v="1244"/>
    <n v="423"/>
    <n v="183820"/>
  </r>
  <r>
    <x v="11"/>
    <x v="32"/>
    <n v="1"/>
    <m/>
    <n v="1"/>
    <m/>
    <m/>
  </r>
</pivotCacheRecords>
</file>

<file path=xl/pivotCache/pivotCacheRecords11.xml><?xml version="1.0" encoding="utf-8"?>
<pivotCacheRecords xmlns="http://schemas.openxmlformats.org/spreadsheetml/2006/main" xmlns:r="http://schemas.openxmlformats.org/officeDocument/2006/relationships" count="385">
  <r>
    <x v="0"/>
    <x v="0"/>
    <n v="340"/>
    <x v="0"/>
    <n v="50"/>
    <n v="110565"/>
  </r>
  <r>
    <x v="0"/>
    <x v="1"/>
    <n v="191"/>
    <x v="1"/>
    <n v="35"/>
    <n v="108051"/>
  </r>
  <r>
    <x v="0"/>
    <x v="2"/>
    <n v="96"/>
    <x v="1"/>
    <n v="16"/>
    <n v="53807"/>
  </r>
  <r>
    <x v="0"/>
    <x v="3"/>
    <n v="80"/>
    <x v="2"/>
    <n v="5"/>
    <n v="46446"/>
  </r>
  <r>
    <x v="0"/>
    <x v="4"/>
    <n v="587"/>
    <x v="1"/>
    <n v="141"/>
    <n v="231903"/>
  </r>
  <r>
    <x v="0"/>
    <x v="5"/>
    <n v="35"/>
    <x v="2"/>
    <n v="11"/>
    <n v="23549"/>
  </r>
  <r>
    <x v="0"/>
    <x v="6"/>
    <n v="123"/>
    <x v="3"/>
    <n v="15"/>
    <n v="72106"/>
  </r>
  <r>
    <x v="0"/>
    <x v="7"/>
    <n v="276"/>
    <x v="4"/>
    <n v="41"/>
    <n v="73696"/>
  </r>
  <r>
    <x v="0"/>
    <x v="8"/>
    <n v="103"/>
    <x v="2"/>
    <n v="14"/>
    <n v="56121"/>
  </r>
  <r>
    <x v="0"/>
    <x v="9"/>
    <n v="60"/>
    <x v="2"/>
    <n v="7"/>
    <n v="44154"/>
  </r>
  <r>
    <x v="0"/>
    <x v="10"/>
    <n v="88"/>
    <x v="2"/>
    <n v="20"/>
    <n v="44175"/>
  </r>
  <r>
    <x v="0"/>
    <x v="11"/>
    <n v="42"/>
    <x v="1"/>
    <n v="2"/>
    <n v="36890"/>
  </r>
  <r>
    <x v="0"/>
    <x v="12"/>
    <n v="96"/>
    <x v="1"/>
    <n v="21"/>
    <n v="70533"/>
  </r>
  <r>
    <x v="0"/>
    <x v="13"/>
    <n v="266"/>
    <x v="4"/>
    <n v="72"/>
    <n v="168677"/>
  </r>
  <r>
    <x v="0"/>
    <x v="14"/>
    <n v="1004"/>
    <x v="5"/>
    <n v="133"/>
    <n v="299915"/>
  </r>
  <r>
    <x v="0"/>
    <x v="15"/>
    <n v="141"/>
    <x v="1"/>
    <n v="25"/>
    <n v="109617"/>
  </r>
  <r>
    <x v="0"/>
    <x v="16"/>
    <n v="88"/>
    <x v="0"/>
    <n v="17"/>
    <n v="39299"/>
  </r>
  <r>
    <x v="0"/>
    <x v="17"/>
    <n v="61"/>
    <x v="2"/>
    <n v="12"/>
    <n v="35605"/>
  </r>
  <r>
    <x v="0"/>
    <x v="18"/>
    <n v="63"/>
    <x v="2"/>
    <n v="20"/>
    <n v="41981"/>
  </r>
  <r>
    <x v="0"/>
    <x v="19"/>
    <n v="22"/>
    <x v="2"/>
    <n v="12"/>
    <n v="14101"/>
  </r>
  <r>
    <x v="0"/>
    <x v="20"/>
    <n v="154"/>
    <x v="1"/>
    <n v="19"/>
    <n v="66204"/>
  </r>
  <r>
    <x v="0"/>
    <x v="21"/>
    <n v="283"/>
    <x v="1"/>
    <n v="38"/>
    <n v="147604"/>
  </r>
  <r>
    <x v="0"/>
    <x v="22"/>
    <n v="10"/>
    <x v="1"/>
    <n v="1"/>
    <n v="10190"/>
  </r>
  <r>
    <x v="0"/>
    <x v="23"/>
    <n v="115"/>
    <x v="0"/>
    <n v="10"/>
    <n v="68349"/>
  </r>
  <r>
    <x v="0"/>
    <x v="24"/>
    <n v="189"/>
    <x v="1"/>
    <n v="19"/>
    <n v="82663"/>
  </r>
  <r>
    <x v="0"/>
    <x v="25"/>
    <n v="105"/>
    <x v="2"/>
    <n v="28"/>
    <n v="55666"/>
  </r>
  <r>
    <x v="0"/>
    <x v="26"/>
    <n v="11"/>
    <x v="2"/>
    <m/>
    <n v="10522"/>
  </r>
  <r>
    <x v="0"/>
    <x v="27"/>
    <n v="84"/>
    <x v="1"/>
    <n v="10"/>
    <n v="53424"/>
  </r>
  <r>
    <x v="0"/>
    <x v="28"/>
    <n v="270"/>
    <x v="3"/>
    <n v="35"/>
    <n v="142594"/>
  </r>
  <r>
    <x v="0"/>
    <x v="29"/>
    <n v="83"/>
    <x v="1"/>
    <n v="9"/>
    <n v="39091"/>
  </r>
  <r>
    <x v="0"/>
    <x v="30"/>
    <n v="127"/>
    <x v="0"/>
    <n v="13"/>
    <n v="44262"/>
  </r>
  <r>
    <x v="0"/>
    <x v="31"/>
    <n v="174"/>
    <x v="3"/>
    <n v="41"/>
    <n v="74397"/>
  </r>
  <r>
    <x v="1"/>
    <x v="0"/>
    <n v="267"/>
    <x v="1"/>
    <n v="59"/>
    <n v="110968"/>
  </r>
  <r>
    <x v="1"/>
    <x v="1"/>
    <n v="192"/>
    <x v="4"/>
    <n v="22"/>
    <n v="109552"/>
  </r>
  <r>
    <x v="1"/>
    <x v="2"/>
    <n v="79"/>
    <x v="1"/>
    <n v="7"/>
    <n v="54060"/>
  </r>
  <r>
    <x v="1"/>
    <x v="3"/>
    <n v="109"/>
    <x v="0"/>
    <n v="11"/>
    <n v="46679"/>
  </r>
  <r>
    <x v="1"/>
    <x v="4"/>
    <n v="593"/>
    <x v="6"/>
    <n v="207"/>
    <n v="233068"/>
  </r>
  <r>
    <x v="1"/>
    <x v="5"/>
    <n v="37"/>
    <x v="2"/>
    <n v="5"/>
    <n v="23670"/>
  </r>
  <r>
    <x v="1"/>
    <x v="6"/>
    <n v="94"/>
    <x v="2"/>
    <n v="10"/>
    <n v="72421"/>
  </r>
  <r>
    <x v="1"/>
    <x v="7"/>
    <n v="294"/>
    <x v="4"/>
    <n v="30"/>
    <n v="74015"/>
  </r>
  <r>
    <x v="1"/>
    <x v="8"/>
    <n v="92"/>
    <x v="2"/>
    <n v="9"/>
    <n v="56398"/>
  </r>
  <r>
    <x v="1"/>
    <x v="9"/>
    <n v="64"/>
    <x v="1"/>
    <n v="6"/>
    <n v="44184"/>
  </r>
  <r>
    <x v="1"/>
    <x v="10"/>
    <n v="81"/>
    <x v="2"/>
    <n v="20"/>
    <n v="44544"/>
  </r>
  <r>
    <x v="1"/>
    <x v="11"/>
    <n v="51"/>
    <x v="2"/>
    <n v="9"/>
    <n v="37063"/>
  </r>
  <r>
    <x v="1"/>
    <x v="12"/>
    <n v="113"/>
    <x v="0"/>
    <n v="19"/>
    <n v="71010"/>
  </r>
  <r>
    <x v="1"/>
    <x v="13"/>
    <n v="257"/>
    <x v="0"/>
    <n v="50"/>
    <n v="169435"/>
  </r>
  <r>
    <x v="1"/>
    <x v="14"/>
    <n v="923"/>
    <x v="7"/>
    <n v="136"/>
    <n v="299160"/>
  </r>
  <r>
    <x v="1"/>
    <x v="15"/>
    <n v="151"/>
    <x v="1"/>
    <n v="44"/>
    <n v="110788"/>
  </r>
  <r>
    <x v="1"/>
    <x v="16"/>
    <n v="82"/>
    <x v="1"/>
    <n v="9"/>
    <n v="39377"/>
  </r>
  <r>
    <x v="1"/>
    <x v="17"/>
    <n v="63"/>
    <x v="2"/>
    <n v="22"/>
    <n v="35986"/>
  </r>
  <r>
    <x v="1"/>
    <x v="18"/>
    <n v="74"/>
    <x v="1"/>
    <n v="35"/>
    <n v="42241"/>
  </r>
  <r>
    <x v="1"/>
    <x v="19"/>
    <n v="16"/>
    <x v="2"/>
    <n v="4"/>
    <n v="14258"/>
  </r>
  <r>
    <x v="1"/>
    <x v="20"/>
    <n v="147"/>
    <x v="2"/>
    <n v="30"/>
    <n v="66461"/>
  </r>
  <r>
    <x v="1"/>
    <x v="21"/>
    <n v="280"/>
    <x v="1"/>
    <n v="45"/>
    <n v="148553"/>
  </r>
  <r>
    <x v="1"/>
    <x v="22"/>
    <n v="9"/>
    <x v="2"/>
    <n v="1"/>
    <n v="10265"/>
  </r>
  <r>
    <x v="1"/>
    <x v="23"/>
    <n v="135"/>
    <x v="2"/>
    <n v="15"/>
    <n v="68788"/>
  </r>
  <r>
    <x v="1"/>
    <x v="24"/>
    <n v="184"/>
    <x v="1"/>
    <n v="42"/>
    <n v="82760"/>
  </r>
  <r>
    <x v="1"/>
    <x v="25"/>
    <n v="100"/>
    <x v="2"/>
    <n v="19"/>
    <n v="56129"/>
  </r>
  <r>
    <x v="1"/>
    <x v="26"/>
    <n v="9"/>
    <x v="2"/>
    <n v="2"/>
    <n v="10621"/>
  </r>
  <r>
    <x v="1"/>
    <x v="27"/>
    <n v="96"/>
    <x v="1"/>
    <n v="24"/>
    <n v="53788"/>
  </r>
  <r>
    <x v="1"/>
    <x v="28"/>
    <n v="255"/>
    <x v="2"/>
    <n v="28"/>
    <n v="143470"/>
  </r>
  <r>
    <x v="1"/>
    <x v="29"/>
    <n v="71"/>
    <x v="2"/>
    <n v="7"/>
    <n v="39246"/>
  </r>
  <r>
    <x v="1"/>
    <x v="30"/>
    <n v="115"/>
    <x v="3"/>
    <n v="15"/>
    <n v="44415"/>
  </r>
  <r>
    <x v="1"/>
    <x v="31"/>
    <n v="176"/>
    <x v="1"/>
    <n v="33"/>
    <n v="75123"/>
  </r>
  <r>
    <x v="2"/>
    <x v="0"/>
    <n v="322"/>
    <x v="0"/>
    <n v="61"/>
    <n v="111419"/>
  </r>
  <r>
    <x v="2"/>
    <x v="1"/>
    <n v="198"/>
    <x v="0"/>
    <n v="20"/>
    <n v="110649"/>
  </r>
  <r>
    <x v="2"/>
    <x v="2"/>
    <n v="95"/>
    <x v="0"/>
    <n v="12"/>
    <n v="54372"/>
  </r>
  <r>
    <x v="2"/>
    <x v="3"/>
    <n v="83"/>
    <x v="0"/>
    <n v="6"/>
    <n v="46896"/>
  </r>
  <r>
    <x v="2"/>
    <x v="4"/>
    <n v="608"/>
    <x v="3"/>
    <n v="181"/>
    <n v="234541"/>
  </r>
  <r>
    <x v="2"/>
    <x v="5"/>
    <n v="51"/>
    <x v="2"/>
    <n v="16"/>
    <n v="23720"/>
  </r>
  <r>
    <x v="2"/>
    <x v="6"/>
    <n v="96"/>
    <x v="1"/>
    <n v="23"/>
    <n v="72871"/>
  </r>
  <r>
    <x v="2"/>
    <x v="7"/>
    <n v="236"/>
    <x v="0"/>
    <n v="35"/>
    <n v="73529"/>
  </r>
  <r>
    <x v="2"/>
    <x v="8"/>
    <n v="99"/>
    <x v="3"/>
    <n v="17"/>
    <n v="56614"/>
  </r>
  <r>
    <x v="2"/>
    <x v="9"/>
    <n v="64"/>
    <x v="2"/>
    <n v="6"/>
    <n v="44332"/>
  </r>
  <r>
    <x v="2"/>
    <x v="10"/>
    <n v="86"/>
    <x v="1"/>
    <n v="16"/>
    <n v="44967"/>
  </r>
  <r>
    <x v="2"/>
    <x v="11"/>
    <n v="59"/>
    <x v="2"/>
    <n v="13"/>
    <n v="37231"/>
  </r>
  <r>
    <x v="2"/>
    <x v="12"/>
    <n v="101"/>
    <x v="0"/>
    <n v="21"/>
    <n v="71303"/>
  </r>
  <r>
    <x v="2"/>
    <x v="13"/>
    <n v="247"/>
    <x v="3"/>
    <n v="52"/>
    <n v="170169"/>
  </r>
  <r>
    <x v="2"/>
    <x v="14"/>
    <n v="932"/>
    <x v="8"/>
    <n v="148"/>
    <n v="299881"/>
  </r>
  <r>
    <x v="2"/>
    <x v="15"/>
    <n v="136"/>
    <x v="0"/>
    <n v="55"/>
    <n v="111830"/>
  </r>
  <r>
    <x v="2"/>
    <x v="16"/>
    <n v="72"/>
    <x v="1"/>
    <n v="8"/>
    <n v="39457"/>
  </r>
  <r>
    <x v="2"/>
    <x v="17"/>
    <n v="65"/>
    <x v="0"/>
    <n v="18"/>
    <n v="36434"/>
  </r>
  <r>
    <x v="2"/>
    <x v="18"/>
    <n v="67"/>
    <x v="2"/>
    <n v="15"/>
    <n v="42699"/>
  </r>
  <r>
    <x v="2"/>
    <x v="19"/>
    <n v="17"/>
    <x v="1"/>
    <n v="3"/>
    <n v="14396"/>
  </r>
  <r>
    <x v="2"/>
    <x v="20"/>
    <n v="120"/>
    <x v="2"/>
    <n v="23"/>
    <n v="66648"/>
  </r>
  <r>
    <x v="2"/>
    <x v="21"/>
    <n v="279"/>
    <x v="1"/>
    <n v="62"/>
    <n v="149190"/>
  </r>
  <r>
    <x v="2"/>
    <x v="22"/>
    <n v="12"/>
    <x v="2"/>
    <n v="2"/>
    <n v="10438"/>
  </r>
  <r>
    <x v="2"/>
    <x v="23"/>
    <n v="112"/>
    <x v="1"/>
    <n v="8"/>
    <n v="69236"/>
  </r>
  <r>
    <x v="2"/>
    <x v="24"/>
    <n v="212"/>
    <x v="2"/>
    <n v="33"/>
    <n v="82944"/>
  </r>
  <r>
    <x v="2"/>
    <x v="25"/>
    <n v="92"/>
    <x v="0"/>
    <n v="14"/>
    <n v="56530"/>
  </r>
  <r>
    <x v="2"/>
    <x v="26"/>
    <n v="10"/>
    <x v="2"/>
    <n v="1"/>
    <n v="10707"/>
  </r>
  <r>
    <x v="2"/>
    <x v="27"/>
    <n v="73"/>
    <x v="2"/>
    <n v="15"/>
    <n v="53968"/>
  </r>
  <r>
    <x v="2"/>
    <x v="28"/>
    <n v="254"/>
    <x v="1"/>
    <n v="34"/>
    <n v="144386"/>
  </r>
  <r>
    <x v="2"/>
    <x v="29"/>
    <n v="64"/>
    <x v="1"/>
    <n v="9"/>
    <n v="39509"/>
  </r>
  <r>
    <x v="2"/>
    <x v="30"/>
    <n v="105"/>
    <x v="2"/>
    <n v="16"/>
    <n v="44586"/>
  </r>
  <r>
    <x v="2"/>
    <x v="31"/>
    <n v="150"/>
    <x v="0"/>
    <n v="39"/>
    <n v="75397"/>
  </r>
  <r>
    <x v="3"/>
    <x v="0"/>
    <n v="266"/>
    <x v="3"/>
    <n v="46"/>
    <n v="112073"/>
  </r>
  <r>
    <x v="3"/>
    <x v="1"/>
    <n v="163"/>
    <x v="0"/>
    <n v="28"/>
    <n v="111773"/>
  </r>
  <r>
    <x v="3"/>
    <x v="2"/>
    <n v="79"/>
    <x v="2"/>
    <n v="12"/>
    <n v="54566"/>
  </r>
  <r>
    <x v="3"/>
    <x v="3"/>
    <n v="81"/>
    <x v="2"/>
    <n v="15"/>
    <n v="47105"/>
  </r>
  <r>
    <x v="3"/>
    <x v="4"/>
    <n v="596"/>
    <x v="9"/>
    <n v="123"/>
    <n v="235850"/>
  </r>
  <r>
    <x v="3"/>
    <x v="5"/>
    <n v="38"/>
    <x v="2"/>
    <n v="6"/>
    <n v="23774"/>
  </r>
  <r>
    <x v="3"/>
    <x v="6"/>
    <n v="97"/>
    <x v="2"/>
    <n v="28"/>
    <n v="73224"/>
  </r>
  <r>
    <x v="3"/>
    <x v="7"/>
    <n v="235"/>
    <x v="1"/>
    <n v="52"/>
    <n v="73818"/>
  </r>
  <r>
    <x v="3"/>
    <x v="8"/>
    <n v="99"/>
    <x v="2"/>
    <n v="11"/>
    <n v="56919"/>
  </r>
  <r>
    <x v="3"/>
    <x v="9"/>
    <n v="60"/>
    <x v="1"/>
    <n v="20"/>
    <n v="44564"/>
  </r>
  <r>
    <x v="3"/>
    <x v="10"/>
    <n v="96"/>
    <x v="2"/>
    <n v="10"/>
    <n v="45364"/>
  </r>
  <r>
    <x v="3"/>
    <x v="11"/>
    <n v="60"/>
    <x v="2"/>
    <n v="6"/>
    <n v="37448"/>
  </r>
  <r>
    <x v="3"/>
    <x v="12"/>
    <n v="91"/>
    <x v="1"/>
    <n v="10"/>
    <n v="71742"/>
  </r>
  <r>
    <x v="3"/>
    <x v="13"/>
    <n v="262"/>
    <x v="0"/>
    <n v="59"/>
    <n v="170881"/>
  </r>
  <r>
    <x v="3"/>
    <x v="14"/>
    <n v="842"/>
    <x v="4"/>
    <n v="159"/>
    <n v="301513"/>
  </r>
  <r>
    <x v="3"/>
    <x v="15"/>
    <n v="126"/>
    <x v="1"/>
    <n v="41"/>
    <n v="112812"/>
  </r>
  <r>
    <x v="3"/>
    <x v="16"/>
    <n v="80"/>
    <x v="2"/>
    <n v="19"/>
    <n v="39590"/>
  </r>
  <r>
    <x v="3"/>
    <x v="17"/>
    <n v="87"/>
    <x v="1"/>
    <n v="17"/>
    <n v="37051"/>
  </r>
  <r>
    <x v="3"/>
    <x v="18"/>
    <n v="55"/>
    <x v="1"/>
    <n v="24"/>
    <n v="43139"/>
  </r>
  <r>
    <x v="3"/>
    <x v="19"/>
    <n v="22"/>
    <x v="1"/>
    <n v="11"/>
    <n v="14458"/>
  </r>
  <r>
    <x v="3"/>
    <x v="20"/>
    <n v="142"/>
    <x v="2"/>
    <n v="26"/>
    <n v="66888"/>
  </r>
  <r>
    <x v="3"/>
    <x v="21"/>
    <n v="284"/>
    <x v="0"/>
    <n v="59"/>
    <n v="149763"/>
  </r>
  <r>
    <x v="3"/>
    <x v="22"/>
    <n v="9"/>
    <x v="2"/>
    <m/>
    <n v="10613"/>
  </r>
  <r>
    <x v="3"/>
    <x v="23"/>
    <n v="114"/>
    <x v="1"/>
    <n v="25"/>
    <n v="69618"/>
  </r>
  <r>
    <x v="3"/>
    <x v="24"/>
    <n v="219"/>
    <x v="2"/>
    <n v="45"/>
    <n v="83166"/>
  </r>
  <r>
    <x v="3"/>
    <x v="25"/>
    <n v="100"/>
    <x v="1"/>
    <n v="14"/>
    <n v="56765"/>
  </r>
  <r>
    <x v="3"/>
    <x v="26"/>
    <n v="17"/>
    <x v="1"/>
    <n v="3"/>
    <n v="10789"/>
  </r>
  <r>
    <x v="3"/>
    <x v="27"/>
    <n v="99"/>
    <x v="0"/>
    <n v="22"/>
    <n v="54202"/>
  </r>
  <r>
    <x v="3"/>
    <x v="28"/>
    <n v="249"/>
    <x v="4"/>
    <n v="53"/>
    <n v="145257"/>
  </r>
  <r>
    <x v="3"/>
    <x v="29"/>
    <n v="54"/>
    <x v="2"/>
    <n v="6"/>
    <n v="39798"/>
  </r>
  <r>
    <x v="3"/>
    <x v="30"/>
    <n v="96"/>
    <x v="1"/>
    <n v="15"/>
    <n v="44790"/>
  </r>
  <r>
    <x v="3"/>
    <x v="31"/>
    <n v="179"/>
    <x v="1"/>
    <n v="49"/>
    <n v="75729"/>
  </r>
  <r>
    <x v="4"/>
    <x v="0"/>
    <n v="247"/>
    <x v="1"/>
    <n v="46"/>
    <n v="112713"/>
  </r>
  <r>
    <x v="4"/>
    <x v="1"/>
    <n v="173"/>
    <x v="3"/>
    <n v="28"/>
    <n v="112867"/>
  </r>
  <r>
    <x v="4"/>
    <x v="2"/>
    <n v="71"/>
    <x v="1"/>
    <n v="20"/>
    <n v="54872"/>
  </r>
  <r>
    <x v="4"/>
    <x v="3"/>
    <n v="78"/>
    <x v="2"/>
    <n v="10"/>
    <n v="47336"/>
  </r>
  <r>
    <x v="4"/>
    <x v="4"/>
    <n v="523"/>
    <x v="3"/>
    <n v="116"/>
    <n v="237524"/>
  </r>
  <r>
    <x v="4"/>
    <x v="5"/>
    <n v="38"/>
    <x v="2"/>
    <n v="3"/>
    <n v="23894"/>
  </r>
  <r>
    <x v="4"/>
    <x v="6"/>
    <n v="111"/>
    <x v="2"/>
    <n v="23"/>
    <n v="73555"/>
  </r>
  <r>
    <x v="4"/>
    <x v="7"/>
    <n v="195"/>
    <x v="2"/>
    <n v="66"/>
    <n v="73560"/>
  </r>
  <r>
    <x v="4"/>
    <x v="8"/>
    <n v="91"/>
    <x v="2"/>
    <n v="10"/>
    <n v="57172"/>
  </r>
  <r>
    <x v="4"/>
    <x v="9"/>
    <n v="53"/>
    <x v="2"/>
    <n v="7"/>
    <n v="44864"/>
  </r>
  <r>
    <x v="4"/>
    <x v="10"/>
    <n v="81"/>
    <x v="1"/>
    <n v="13"/>
    <n v="45613"/>
  </r>
  <r>
    <x v="4"/>
    <x v="11"/>
    <n v="61"/>
    <x v="2"/>
    <n v="11"/>
    <n v="37639"/>
  </r>
  <r>
    <x v="4"/>
    <x v="12"/>
    <n v="118"/>
    <x v="0"/>
    <n v="26"/>
    <n v="72128"/>
  </r>
  <r>
    <x v="4"/>
    <x v="13"/>
    <n v="216"/>
    <x v="0"/>
    <n v="42"/>
    <n v="171560"/>
  </r>
  <r>
    <x v="4"/>
    <x v="14"/>
    <n v="763"/>
    <x v="3"/>
    <n v="155"/>
    <n v="301633"/>
  </r>
  <r>
    <x v="4"/>
    <x v="15"/>
    <n v="140"/>
    <x v="1"/>
    <n v="54"/>
    <n v="113703"/>
  </r>
  <r>
    <x v="4"/>
    <x v="16"/>
    <n v="87"/>
    <x v="1"/>
    <n v="23"/>
    <n v="38791"/>
  </r>
  <r>
    <x v="4"/>
    <x v="17"/>
    <n v="62"/>
    <x v="2"/>
    <n v="28"/>
    <n v="37503"/>
  </r>
  <r>
    <x v="4"/>
    <x v="18"/>
    <n v="69"/>
    <x v="2"/>
    <n v="23"/>
    <n v="43495"/>
  </r>
  <r>
    <x v="4"/>
    <x v="19"/>
    <n v="11"/>
    <x v="2"/>
    <n v="3"/>
    <n v="14490"/>
  </r>
  <r>
    <x v="4"/>
    <x v="20"/>
    <n v="135"/>
    <x v="1"/>
    <n v="26"/>
    <n v="67082"/>
  </r>
  <r>
    <x v="4"/>
    <x v="21"/>
    <n v="259"/>
    <x v="1"/>
    <n v="62"/>
    <n v="150541"/>
  </r>
  <r>
    <x v="4"/>
    <x v="22"/>
    <n v="10"/>
    <x v="2"/>
    <n v="1"/>
    <n v="10717"/>
  </r>
  <r>
    <x v="4"/>
    <x v="23"/>
    <n v="97"/>
    <x v="2"/>
    <n v="32"/>
    <n v="69923"/>
  </r>
  <r>
    <x v="4"/>
    <x v="24"/>
    <n v="223"/>
    <x v="2"/>
    <n v="36"/>
    <n v="83933"/>
  </r>
  <r>
    <x v="4"/>
    <x v="25"/>
    <n v="101"/>
    <x v="2"/>
    <n v="24"/>
    <n v="57097"/>
  </r>
  <r>
    <x v="4"/>
    <x v="26"/>
    <n v="11"/>
    <x v="2"/>
    <n v="1"/>
    <n v="10852"/>
  </r>
  <r>
    <x v="4"/>
    <x v="27"/>
    <n v="86"/>
    <x v="0"/>
    <n v="12"/>
    <n v="54385"/>
  </r>
  <r>
    <x v="4"/>
    <x v="28"/>
    <n v="228"/>
    <x v="0"/>
    <n v="44"/>
    <n v="146110"/>
  </r>
  <r>
    <x v="4"/>
    <x v="29"/>
    <n v="66"/>
    <x v="2"/>
    <n v="8"/>
    <n v="39965"/>
  </r>
  <r>
    <x v="4"/>
    <x v="30"/>
    <n v="105"/>
    <x v="2"/>
    <n v="12"/>
    <n v="44880"/>
  </r>
  <r>
    <x v="4"/>
    <x v="31"/>
    <n v="164"/>
    <x v="1"/>
    <n v="21"/>
    <n v="76473"/>
  </r>
  <r>
    <x v="5"/>
    <x v="0"/>
    <n v="274"/>
    <x v="1"/>
    <n v="49"/>
    <n v="113508"/>
  </r>
  <r>
    <x v="5"/>
    <x v="1"/>
    <n v="191"/>
    <x v="0"/>
    <n v="30"/>
    <n v="114086"/>
  </r>
  <r>
    <x v="5"/>
    <x v="2"/>
    <n v="103"/>
    <x v="1"/>
    <n v="23"/>
    <n v="55267"/>
  </r>
  <r>
    <x v="5"/>
    <x v="3"/>
    <n v="81"/>
    <x v="2"/>
    <n v="11"/>
    <n v="47500"/>
  </r>
  <r>
    <x v="5"/>
    <x v="4"/>
    <n v="563"/>
    <x v="3"/>
    <n v="102"/>
    <n v="239525"/>
  </r>
  <r>
    <x v="5"/>
    <x v="5"/>
    <n v="43"/>
    <x v="2"/>
    <n v="8"/>
    <n v="23995"/>
  </r>
  <r>
    <x v="5"/>
    <x v="6"/>
    <n v="93"/>
    <x v="3"/>
    <n v="9"/>
    <n v="73895"/>
  </r>
  <r>
    <x v="5"/>
    <x v="7"/>
    <n v="180"/>
    <x v="1"/>
    <n v="35"/>
    <n v="73575"/>
  </r>
  <r>
    <x v="5"/>
    <x v="8"/>
    <n v="101"/>
    <x v="2"/>
    <n v="21"/>
    <n v="57324"/>
  </r>
  <r>
    <x v="5"/>
    <x v="9"/>
    <n v="69"/>
    <x v="2"/>
    <n v="7"/>
    <n v="45281"/>
  </r>
  <r>
    <x v="5"/>
    <x v="10"/>
    <n v="72"/>
    <x v="2"/>
    <n v="9"/>
    <n v="45968"/>
  </r>
  <r>
    <x v="5"/>
    <x v="11"/>
    <n v="66"/>
    <x v="2"/>
    <n v="7"/>
    <n v="37852"/>
  </r>
  <r>
    <x v="5"/>
    <x v="12"/>
    <n v="111"/>
    <x v="2"/>
    <n v="22"/>
    <n v="72624"/>
  </r>
  <r>
    <x v="5"/>
    <x v="13"/>
    <n v="231"/>
    <x v="0"/>
    <n v="44"/>
    <n v="172425"/>
  </r>
  <r>
    <x v="5"/>
    <x v="14"/>
    <n v="836"/>
    <x v="1"/>
    <n v="114"/>
    <n v="301891"/>
  </r>
  <r>
    <x v="5"/>
    <x v="15"/>
    <n v="160"/>
    <x v="4"/>
    <n v="51"/>
    <n v="114603"/>
  </r>
  <r>
    <x v="5"/>
    <x v="16"/>
    <n v="93"/>
    <x v="2"/>
    <n v="22"/>
    <n v="38699"/>
  </r>
  <r>
    <x v="5"/>
    <x v="17"/>
    <n v="56"/>
    <x v="1"/>
    <n v="10"/>
    <n v="38159"/>
  </r>
  <r>
    <x v="5"/>
    <x v="18"/>
    <n v="53"/>
    <x v="1"/>
    <n v="7"/>
    <n v="43788"/>
  </r>
  <r>
    <x v="5"/>
    <x v="19"/>
    <n v="22"/>
    <x v="2"/>
    <n v="6"/>
    <n v="14520"/>
  </r>
  <r>
    <x v="5"/>
    <x v="20"/>
    <n v="154"/>
    <x v="2"/>
    <n v="35"/>
    <n v="67204"/>
  </r>
  <r>
    <x v="5"/>
    <x v="21"/>
    <n v="286"/>
    <x v="0"/>
    <n v="46"/>
    <n v="151424"/>
  </r>
  <r>
    <x v="5"/>
    <x v="22"/>
    <n v="12"/>
    <x v="2"/>
    <n v="1"/>
    <n v="10816"/>
  </r>
  <r>
    <x v="5"/>
    <x v="23"/>
    <n v="124"/>
    <x v="2"/>
    <n v="22"/>
    <n v="70312"/>
  </r>
  <r>
    <x v="5"/>
    <x v="24"/>
    <n v="221"/>
    <x v="1"/>
    <n v="25"/>
    <n v="84442"/>
  </r>
  <r>
    <x v="5"/>
    <x v="25"/>
    <n v="80"/>
    <x v="2"/>
    <n v="13"/>
    <n v="57274"/>
  </r>
  <r>
    <x v="5"/>
    <x v="26"/>
    <n v="11"/>
    <x v="2"/>
    <n v="1"/>
    <n v="10950"/>
  </r>
  <r>
    <x v="5"/>
    <x v="27"/>
    <n v="78"/>
    <x v="0"/>
    <n v="13"/>
    <n v="54489"/>
  </r>
  <r>
    <x v="5"/>
    <x v="28"/>
    <n v="267"/>
    <x v="1"/>
    <n v="44"/>
    <n v="146925"/>
  </r>
  <r>
    <x v="5"/>
    <x v="29"/>
    <n v="83"/>
    <x v="1"/>
    <n v="10"/>
    <n v="40320"/>
  </r>
  <r>
    <x v="5"/>
    <x v="30"/>
    <n v="83"/>
    <x v="2"/>
    <n v="5"/>
    <n v="44734"/>
  </r>
  <r>
    <x v="5"/>
    <x v="31"/>
    <n v="156"/>
    <x v="2"/>
    <n v="24"/>
    <n v="77186"/>
  </r>
  <r>
    <x v="6"/>
    <x v="0"/>
    <n v="299"/>
    <x v="1"/>
    <n v="50"/>
    <n v="114234"/>
  </r>
  <r>
    <x v="6"/>
    <x v="1"/>
    <n v="180"/>
    <x v="2"/>
    <n v="18"/>
    <n v="115223"/>
  </r>
  <r>
    <x v="6"/>
    <x v="2"/>
    <n v="88"/>
    <x v="2"/>
    <n v="28"/>
    <n v="55619"/>
  </r>
  <r>
    <x v="6"/>
    <x v="3"/>
    <n v="60"/>
    <x v="2"/>
    <n v="7"/>
    <n v="47712"/>
  </r>
  <r>
    <x v="6"/>
    <x v="4"/>
    <n v="545"/>
    <x v="4"/>
    <n v="85"/>
    <n v="241433"/>
  </r>
  <r>
    <x v="6"/>
    <x v="5"/>
    <n v="71"/>
    <x v="2"/>
    <n v="10"/>
    <n v="24114"/>
  </r>
  <r>
    <x v="6"/>
    <x v="6"/>
    <n v="82"/>
    <x v="1"/>
    <n v="6"/>
    <n v="74190"/>
  </r>
  <r>
    <x v="6"/>
    <x v="7"/>
    <n v="227"/>
    <x v="0"/>
    <n v="71"/>
    <n v="73689"/>
  </r>
  <r>
    <x v="6"/>
    <x v="8"/>
    <n v="92"/>
    <x v="2"/>
    <n v="28"/>
    <n v="57654"/>
  </r>
  <r>
    <x v="6"/>
    <x v="9"/>
    <n v="71"/>
    <x v="2"/>
    <n v="12"/>
    <n v="45678"/>
  </r>
  <r>
    <x v="6"/>
    <x v="10"/>
    <n v="80"/>
    <x v="1"/>
    <n v="6"/>
    <n v="46332"/>
  </r>
  <r>
    <x v="6"/>
    <x v="11"/>
    <n v="63"/>
    <x v="1"/>
    <n v="11"/>
    <n v="38061"/>
  </r>
  <r>
    <x v="6"/>
    <x v="12"/>
    <n v="123"/>
    <x v="0"/>
    <n v="23"/>
    <n v="73290"/>
  </r>
  <r>
    <x v="6"/>
    <x v="13"/>
    <n v="254"/>
    <x v="1"/>
    <n v="26"/>
    <n v="173366"/>
  </r>
  <r>
    <x v="6"/>
    <x v="14"/>
    <n v="833"/>
    <x v="3"/>
    <n v="155"/>
    <n v="304013"/>
  </r>
  <r>
    <x v="6"/>
    <x v="15"/>
    <n v="120"/>
    <x v="9"/>
    <n v="34"/>
    <n v="115538"/>
  </r>
  <r>
    <x v="6"/>
    <x v="16"/>
    <n v="111"/>
    <x v="1"/>
    <n v="35"/>
    <n v="38787"/>
  </r>
  <r>
    <x v="6"/>
    <x v="17"/>
    <n v="60"/>
    <x v="2"/>
    <n v="9"/>
    <n v="38675"/>
  </r>
  <r>
    <x v="6"/>
    <x v="18"/>
    <n v="47"/>
    <x v="2"/>
    <n v="11"/>
    <n v="44096"/>
  </r>
  <r>
    <x v="6"/>
    <x v="19"/>
    <n v="20"/>
    <x v="2"/>
    <n v="7"/>
    <n v="14577"/>
  </r>
  <r>
    <x v="6"/>
    <x v="20"/>
    <n v="160"/>
    <x v="1"/>
    <n v="37"/>
    <n v="67590"/>
  </r>
  <r>
    <x v="6"/>
    <x v="21"/>
    <n v="294"/>
    <x v="4"/>
    <n v="61"/>
    <n v="152293"/>
  </r>
  <r>
    <x v="6"/>
    <x v="22"/>
    <n v="11"/>
    <x v="2"/>
    <n v="2"/>
    <n v="10924"/>
  </r>
  <r>
    <x v="6"/>
    <x v="23"/>
    <n v="119"/>
    <x v="2"/>
    <n v="23"/>
    <n v="70828"/>
  </r>
  <r>
    <x v="6"/>
    <x v="24"/>
    <n v="207"/>
    <x v="2"/>
    <n v="30"/>
    <n v="84997"/>
  </r>
  <r>
    <x v="6"/>
    <x v="25"/>
    <n v="104"/>
    <x v="1"/>
    <n v="13"/>
    <n v="57628"/>
  </r>
  <r>
    <x v="6"/>
    <x v="26"/>
    <n v="17"/>
    <x v="2"/>
    <n v="2"/>
    <n v="11021"/>
  </r>
  <r>
    <x v="6"/>
    <x v="27"/>
    <n v="89"/>
    <x v="2"/>
    <n v="20"/>
    <n v="54635"/>
  </r>
  <r>
    <x v="6"/>
    <x v="28"/>
    <n v="259"/>
    <x v="4"/>
    <n v="50"/>
    <n v="147849"/>
  </r>
  <r>
    <x v="6"/>
    <x v="29"/>
    <n v="107"/>
    <x v="1"/>
    <n v="8"/>
    <n v="40646"/>
  </r>
  <r>
    <x v="6"/>
    <x v="30"/>
    <n v="144"/>
    <x v="2"/>
    <n v="25"/>
    <n v="45056"/>
  </r>
  <r>
    <x v="6"/>
    <x v="31"/>
    <n v="131"/>
    <x v="2"/>
    <n v="22"/>
    <n v="77834"/>
  </r>
  <r>
    <x v="7"/>
    <x v="0"/>
    <n v="300"/>
    <x v="0"/>
    <n v="29"/>
    <n v="115080"/>
  </r>
  <r>
    <x v="7"/>
    <x v="1"/>
    <n v="170"/>
    <x v="0"/>
    <n v="17"/>
    <n v="116421"/>
  </r>
  <r>
    <x v="7"/>
    <x v="2"/>
    <n v="93"/>
    <x v="2"/>
    <n v="18"/>
    <n v="55872"/>
  </r>
  <r>
    <x v="7"/>
    <x v="3"/>
    <n v="77"/>
    <x v="2"/>
    <n v="8"/>
    <n v="47780"/>
  </r>
  <r>
    <x v="7"/>
    <x v="4"/>
    <n v="490"/>
    <x v="3"/>
    <n v="106"/>
    <n v="244131"/>
  </r>
  <r>
    <x v="7"/>
    <x v="5"/>
    <n v="67"/>
    <x v="2"/>
    <n v="20"/>
    <n v="24221"/>
  </r>
  <r>
    <x v="7"/>
    <x v="6"/>
    <n v="105"/>
    <x v="2"/>
    <n v="7"/>
    <n v="74453"/>
  </r>
  <r>
    <x v="7"/>
    <x v="7"/>
    <n v="225"/>
    <x v="2"/>
    <n v="46"/>
    <n v="74026"/>
  </r>
  <r>
    <x v="7"/>
    <x v="8"/>
    <n v="138"/>
    <x v="1"/>
    <n v="25"/>
    <n v="57873"/>
  </r>
  <r>
    <x v="7"/>
    <x v="9"/>
    <n v="75"/>
    <x v="1"/>
    <n v="21"/>
    <n v="46026"/>
  </r>
  <r>
    <x v="7"/>
    <x v="10"/>
    <n v="52"/>
    <x v="2"/>
    <n v="6"/>
    <n v="46672"/>
  </r>
  <r>
    <x v="7"/>
    <x v="11"/>
    <n v="57"/>
    <x v="2"/>
    <n v="6"/>
    <n v="38389"/>
  </r>
  <r>
    <x v="7"/>
    <x v="12"/>
    <n v="107"/>
    <x v="1"/>
    <n v="30"/>
    <n v="73767"/>
  </r>
  <r>
    <x v="7"/>
    <x v="13"/>
    <n v="246"/>
    <x v="4"/>
    <n v="58"/>
    <n v="174528"/>
  </r>
  <r>
    <x v="7"/>
    <x v="14"/>
    <n v="811"/>
    <x v="9"/>
    <n v="167"/>
    <n v="306000"/>
  </r>
  <r>
    <x v="7"/>
    <x v="15"/>
    <n v="147"/>
    <x v="0"/>
    <n v="41"/>
    <n v="116453"/>
  </r>
  <r>
    <x v="7"/>
    <x v="16"/>
    <n v="119"/>
    <x v="1"/>
    <n v="36"/>
    <n v="38835"/>
  </r>
  <r>
    <x v="7"/>
    <x v="17"/>
    <n v="74"/>
    <x v="2"/>
    <n v="12"/>
    <n v="39297"/>
  </r>
  <r>
    <x v="7"/>
    <x v="18"/>
    <n v="51"/>
    <x v="1"/>
    <n v="14"/>
    <n v="44454"/>
  </r>
  <r>
    <x v="7"/>
    <x v="19"/>
    <n v="22"/>
    <x v="3"/>
    <n v="8"/>
    <n v="14599"/>
  </r>
  <r>
    <x v="7"/>
    <x v="20"/>
    <n v="156"/>
    <x v="2"/>
    <n v="23"/>
    <n v="67800"/>
  </r>
  <r>
    <x v="7"/>
    <x v="21"/>
    <n v="290"/>
    <x v="1"/>
    <n v="60"/>
    <n v="153388"/>
  </r>
  <r>
    <x v="7"/>
    <x v="22"/>
    <n v="7"/>
    <x v="2"/>
    <n v="3"/>
    <n v="11063"/>
  </r>
  <r>
    <x v="7"/>
    <x v="23"/>
    <n v="137"/>
    <x v="1"/>
    <n v="20"/>
    <n v="71347"/>
  </r>
  <r>
    <x v="7"/>
    <x v="24"/>
    <n v="178"/>
    <x v="1"/>
    <n v="22"/>
    <n v="85724"/>
  </r>
  <r>
    <x v="7"/>
    <x v="25"/>
    <n v="87"/>
    <x v="1"/>
    <n v="25"/>
    <n v="57940"/>
  </r>
  <r>
    <x v="7"/>
    <x v="26"/>
    <n v="7"/>
    <x v="2"/>
    <n v="1"/>
    <n v="11109"/>
  </r>
  <r>
    <x v="7"/>
    <x v="27"/>
    <n v="82"/>
    <x v="2"/>
    <n v="18"/>
    <n v="54942"/>
  </r>
  <r>
    <x v="7"/>
    <x v="28"/>
    <n v="222"/>
    <x v="2"/>
    <n v="37"/>
    <n v="148771"/>
  </r>
  <r>
    <x v="7"/>
    <x v="29"/>
    <n v="76"/>
    <x v="1"/>
    <n v="11"/>
    <n v="40998"/>
  </r>
  <r>
    <x v="7"/>
    <x v="30"/>
    <n v="130"/>
    <x v="2"/>
    <n v="19"/>
    <n v="45104"/>
  </r>
  <r>
    <x v="7"/>
    <x v="31"/>
    <n v="124"/>
    <x v="2"/>
    <n v="26"/>
    <n v="78604"/>
  </r>
  <r>
    <x v="8"/>
    <x v="0"/>
    <n v="240"/>
    <x v="3"/>
    <n v="20"/>
    <n v="116821"/>
  </r>
  <r>
    <x v="8"/>
    <x v="1"/>
    <n v="162"/>
    <x v="1"/>
    <n v="31"/>
    <n v="117363"/>
  </r>
  <r>
    <x v="8"/>
    <x v="2"/>
    <n v="76"/>
    <x v="2"/>
    <n v="18"/>
    <n v="56135"/>
  </r>
  <r>
    <x v="8"/>
    <x v="3"/>
    <n v="77"/>
    <x v="1"/>
    <n v="16"/>
    <n v="47884"/>
  </r>
  <r>
    <x v="8"/>
    <x v="4"/>
    <n v="463"/>
    <x v="1"/>
    <n v="69"/>
    <n v="246818"/>
  </r>
  <r>
    <x v="8"/>
    <x v="5"/>
    <n v="47"/>
    <x v="2"/>
    <n v="8"/>
    <n v="24377"/>
  </r>
  <r>
    <x v="8"/>
    <x v="6"/>
    <n v="89"/>
    <x v="0"/>
    <n v="4"/>
    <n v="74687"/>
  </r>
  <r>
    <x v="8"/>
    <x v="7"/>
    <n v="197"/>
    <x v="2"/>
    <n v="31"/>
    <n v="74354"/>
  </r>
  <r>
    <x v="8"/>
    <x v="8"/>
    <n v="76"/>
    <x v="1"/>
    <n v="21"/>
    <n v="58158"/>
  </r>
  <r>
    <x v="8"/>
    <x v="9"/>
    <n v="65"/>
    <x v="2"/>
    <n v="13"/>
    <n v="46430"/>
  </r>
  <r>
    <x v="8"/>
    <x v="10"/>
    <n v="69"/>
    <x v="0"/>
    <n v="7"/>
    <n v="47407"/>
  </r>
  <r>
    <x v="8"/>
    <x v="11"/>
    <n v="79"/>
    <x v="2"/>
    <n v="7"/>
    <n v="38677"/>
  </r>
  <r>
    <x v="8"/>
    <x v="12"/>
    <n v="106"/>
    <x v="0"/>
    <n v="18"/>
    <n v="74361"/>
  </r>
  <r>
    <x v="8"/>
    <x v="13"/>
    <n v="287"/>
    <x v="0"/>
    <n v="30"/>
    <n v="175915"/>
  </r>
  <r>
    <x v="8"/>
    <x v="14"/>
    <n v="847"/>
    <x v="4"/>
    <n v="150"/>
    <n v="308293"/>
  </r>
  <r>
    <x v="8"/>
    <x v="15"/>
    <n v="143"/>
    <x v="0"/>
    <n v="30"/>
    <n v="117291"/>
  </r>
  <r>
    <x v="8"/>
    <x v="16"/>
    <n v="84"/>
    <x v="2"/>
    <n v="14"/>
    <n v="38848"/>
  </r>
  <r>
    <x v="8"/>
    <x v="17"/>
    <n v="60"/>
    <x v="2"/>
    <n v="14"/>
    <n v="39937"/>
  </r>
  <r>
    <x v="8"/>
    <x v="18"/>
    <n v="35"/>
    <x v="2"/>
    <n v="12"/>
    <n v="44838"/>
  </r>
  <r>
    <x v="8"/>
    <x v="19"/>
    <n v="14"/>
    <x v="2"/>
    <n v="1"/>
    <n v="14714"/>
  </r>
  <r>
    <x v="8"/>
    <x v="20"/>
    <n v="147"/>
    <x v="2"/>
    <n v="18"/>
    <n v="67960"/>
  </r>
  <r>
    <x v="8"/>
    <x v="21"/>
    <n v="262"/>
    <x v="1"/>
    <n v="75"/>
    <n v="154286"/>
  </r>
  <r>
    <x v="8"/>
    <x v="22"/>
    <n v="6"/>
    <x v="2"/>
    <n v="3"/>
    <n v="11192"/>
  </r>
  <r>
    <x v="8"/>
    <x v="23"/>
    <n v="113"/>
    <x v="2"/>
    <n v="20"/>
    <n v="71810"/>
  </r>
  <r>
    <x v="8"/>
    <x v="24"/>
    <n v="191"/>
    <x v="1"/>
    <n v="27"/>
    <n v="86449"/>
  </r>
  <r>
    <x v="8"/>
    <x v="25"/>
    <n v="92"/>
    <x v="1"/>
    <n v="15"/>
    <n v="58167"/>
  </r>
  <r>
    <x v="8"/>
    <x v="26"/>
    <n v="12"/>
    <x v="2"/>
    <n v="5"/>
    <n v="11180"/>
  </r>
  <r>
    <x v="8"/>
    <x v="27"/>
    <n v="96"/>
    <x v="3"/>
    <n v="18"/>
    <n v="55252"/>
  </r>
  <r>
    <x v="8"/>
    <x v="28"/>
    <n v="244"/>
    <x v="4"/>
    <n v="48"/>
    <n v="149972"/>
  </r>
  <r>
    <x v="8"/>
    <x v="29"/>
    <n v="82"/>
    <x v="0"/>
    <n v="13"/>
    <n v="41250"/>
  </r>
  <r>
    <x v="8"/>
    <x v="30"/>
    <n v="141"/>
    <x v="1"/>
    <n v="17"/>
    <n v="45093"/>
  </r>
  <r>
    <x v="8"/>
    <x v="31"/>
    <n v="149"/>
    <x v="2"/>
    <n v="24"/>
    <n v="79112"/>
  </r>
  <r>
    <x v="9"/>
    <x v="0"/>
    <n v="262"/>
    <x v="0"/>
    <n v="38"/>
    <n v="118131"/>
  </r>
  <r>
    <x v="9"/>
    <x v="1"/>
    <n v="163"/>
    <x v="1"/>
    <n v="20"/>
    <n v="118197"/>
  </r>
  <r>
    <x v="9"/>
    <x v="2"/>
    <n v="80"/>
    <x v="0"/>
    <n v="12"/>
    <n v="56485"/>
  </r>
  <r>
    <x v="9"/>
    <x v="3"/>
    <n v="85"/>
    <x v="2"/>
    <n v="19"/>
    <n v="48020"/>
  </r>
  <r>
    <x v="9"/>
    <x v="4"/>
    <n v="448"/>
    <x v="0"/>
    <n v="92"/>
    <n v="249810"/>
  </r>
  <r>
    <x v="9"/>
    <x v="5"/>
    <n v="45"/>
    <x v="2"/>
    <n v="16"/>
    <n v="24524"/>
  </r>
  <r>
    <x v="9"/>
    <x v="6"/>
    <n v="76"/>
    <x v="2"/>
    <n v="9"/>
    <n v="74823"/>
  </r>
  <r>
    <x v="9"/>
    <x v="7"/>
    <n v="182"/>
    <x v="2"/>
    <n v="38"/>
    <n v="74531"/>
  </r>
  <r>
    <x v="9"/>
    <x v="8"/>
    <n v="83"/>
    <x v="2"/>
    <n v="30"/>
    <n v="58453"/>
  </r>
  <r>
    <x v="9"/>
    <x v="9"/>
    <n v="64"/>
    <x v="2"/>
    <n v="6"/>
    <n v="46721"/>
  </r>
  <r>
    <x v="9"/>
    <x v="10"/>
    <n v="69"/>
    <x v="1"/>
    <n v="6"/>
    <n v="48055"/>
  </r>
  <r>
    <x v="9"/>
    <x v="11"/>
    <n v="60"/>
    <x v="2"/>
    <n v="14"/>
    <n v="38902"/>
  </r>
  <r>
    <x v="9"/>
    <x v="12"/>
    <n v="112"/>
    <x v="1"/>
    <n v="23"/>
    <n v="74826"/>
  </r>
  <r>
    <x v="9"/>
    <x v="13"/>
    <n v="244"/>
    <x v="0"/>
    <n v="47"/>
    <n v="177084"/>
  </r>
  <r>
    <x v="9"/>
    <x v="14"/>
    <n v="784"/>
    <x v="0"/>
    <n v="147"/>
    <n v="311447"/>
  </r>
  <r>
    <x v="9"/>
    <x v="15"/>
    <n v="145"/>
    <x v="1"/>
    <n v="27"/>
    <n v="118117"/>
  </r>
  <r>
    <x v="9"/>
    <x v="16"/>
    <n v="77"/>
    <x v="4"/>
    <n v="23"/>
    <n v="38985"/>
  </r>
  <r>
    <x v="9"/>
    <x v="17"/>
    <n v="52"/>
    <x v="1"/>
    <n v="8"/>
    <n v="40612"/>
  </r>
  <r>
    <x v="9"/>
    <x v="18"/>
    <n v="55"/>
    <x v="0"/>
    <n v="10"/>
    <n v="45209"/>
  </r>
  <r>
    <x v="9"/>
    <x v="19"/>
    <n v="22"/>
    <x v="2"/>
    <n v="3"/>
    <n v="14706"/>
  </r>
  <r>
    <x v="9"/>
    <x v="20"/>
    <n v="163"/>
    <x v="4"/>
    <n v="33"/>
    <n v="68158"/>
  </r>
  <r>
    <x v="9"/>
    <x v="21"/>
    <n v="296"/>
    <x v="0"/>
    <n v="88"/>
    <n v="155364"/>
  </r>
  <r>
    <x v="9"/>
    <x v="22"/>
    <n v="7"/>
    <x v="2"/>
    <m/>
    <n v="11261"/>
  </r>
  <r>
    <x v="9"/>
    <x v="23"/>
    <n v="111"/>
    <x v="1"/>
    <n v="17"/>
    <n v="72441"/>
  </r>
  <r>
    <x v="9"/>
    <x v="24"/>
    <n v="199"/>
    <x v="1"/>
    <n v="35"/>
    <n v="87265"/>
  </r>
  <r>
    <x v="9"/>
    <x v="25"/>
    <n v="92"/>
    <x v="1"/>
    <n v="15"/>
    <n v="58425"/>
  </r>
  <r>
    <x v="9"/>
    <x v="26"/>
    <n v="4"/>
    <x v="1"/>
    <m/>
    <n v="11270"/>
  </r>
  <r>
    <x v="9"/>
    <x v="27"/>
    <n v="84"/>
    <x v="1"/>
    <n v="15"/>
    <n v="55486"/>
  </r>
  <r>
    <x v="9"/>
    <x v="28"/>
    <n v="232"/>
    <x v="2"/>
    <n v="61"/>
    <n v="151352"/>
  </r>
  <r>
    <x v="9"/>
    <x v="29"/>
    <n v="64"/>
    <x v="0"/>
    <n v="2"/>
    <n v="41443"/>
  </r>
  <r>
    <x v="9"/>
    <x v="30"/>
    <n v="135"/>
    <x v="1"/>
    <n v="10"/>
    <n v="45228"/>
  </r>
  <r>
    <x v="9"/>
    <x v="31"/>
    <n v="140"/>
    <x v="1"/>
    <n v="22"/>
    <n v="79854"/>
  </r>
  <r>
    <x v="10"/>
    <x v="0"/>
    <n v="257"/>
    <x v="2"/>
    <n v="42"/>
    <n v="119523"/>
  </r>
  <r>
    <x v="10"/>
    <x v="1"/>
    <n v="160"/>
    <x v="0"/>
    <n v="23"/>
    <n v="119196"/>
  </r>
  <r>
    <x v="10"/>
    <x v="2"/>
    <n v="79"/>
    <x v="2"/>
    <n v="9"/>
    <n v="56928"/>
  </r>
  <r>
    <x v="10"/>
    <x v="3"/>
    <n v="84"/>
    <x v="1"/>
    <n v="9"/>
    <n v="48134"/>
  </r>
  <r>
    <x v="10"/>
    <x v="4"/>
    <n v="438"/>
    <x v="1"/>
    <n v="80"/>
    <n v="252731"/>
  </r>
  <r>
    <x v="10"/>
    <x v="5"/>
    <n v="40"/>
    <x v="2"/>
    <n v="8"/>
    <n v="24716"/>
  </r>
  <r>
    <x v="10"/>
    <x v="6"/>
    <n v="94"/>
    <x v="2"/>
    <n v="7"/>
    <n v="75089"/>
  </r>
  <r>
    <x v="10"/>
    <x v="7"/>
    <n v="175"/>
    <x v="2"/>
    <n v="25"/>
    <n v="74891"/>
  </r>
  <r>
    <x v="10"/>
    <x v="8"/>
    <n v="87"/>
    <x v="1"/>
    <n v="12"/>
    <n v="58628"/>
  </r>
  <r>
    <x v="10"/>
    <x v="9"/>
    <n v="62"/>
    <x v="2"/>
    <n v="9"/>
    <n v="46986"/>
  </r>
  <r>
    <x v="10"/>
    <x v="10"/>
    <n v="57"/>
    <x v="2"/>
    <n v="7"/>
    <n v="48851"/>
  </r>
  <r>
    <x v="10"/>
    <x v="11"/>
    <n v="67"/>
    <x v="2"/>
    <n v="10"/>
    <n v="39144"/>
  </r>
  <r>
    <x v="10"/>
    <x v="12"/>
    <n v="103"/>
    <x v="0"/>
    <n v="13"/>
    <n v="75226"/>
  </r>
  <r>
    <x v="10"/>
    <x v="13"/>
    <n v="218"/>
    <x v="1"/>
    <n v="34"/>
    <n v="178183"/>
  </r>
  <r>
    <x v="10"/>
    <x v="14"/>
    <n v="768"/>
    <x v="3"/>
    <n v="119"/>
    <n v="314604"/>
  </r>
  <r>
    <x v="10"/>
    <x v="15"/>
    <n v="113"/>
    <x v="2"/>
    <n v="25"/>
    <n v="119061"/>
  </r>
  <r>
    <x v="10"/>
    <x v="16"/>
    <n v="76"/>
    <x v="2"/>
    <n v="21"/>
    <n v="38977"/>
  </r>
  <r>
    <x v="10"/>
    <x v="17"/>
    <n v="71"/>
    <x v="2"/>
    <n v="10"/>
    <n v="41226"/>
  </r>
  <r>
    <x v="10"/>
    <x v="18"/>
    <n v="78"/>
    <x v="2"/>
    <n v="19"/>
    <n v="45630"/>
  </r>
  <r>
    <x v="10"/>
    <x v="19"/>
    <n v="20"/>
    <x v="2"/>
    <n v="8"/>
    <n v="14734"/>
  </r>
  <r>
    <x v="10"/>
    <x v="20"/>
    <n v="150"/>
    <x v="1"/>
    <n v="17"/>
    <n v="68496"/>
  </r>
  <r>
    <x v="10"/>
    <x v="21"/>
    <n v="227"/>
    <x v="4"/>
    <n v="48"/>
    <n v="156694"/>
  </r>
  <r>
    <x v="10"/>
    <x v="22"/>
    <n v="11"/>
    <x v="1"/>
    <n v="1"/>
    <n v="11322"/>
  </r>
  <r>
    <x v="10"/>
    <x v="23"/>
    <n v="106"/>
    <x v="2"/>
    <n v="31"/>
    <n v="73267"/>
  </r>
  <r>
    <x v="10"/>
    <x v="24"/>
    <n v="142"/>
    <x v="2"/>
    <n v="16"/>
    <n v="88086"/>
  </r>
  <r>
    <x v="10"/>
    <x v="25"/>
    <n v="96"/>
    <x v="2"/>
    <n v="23"/>
    <n v="58671"/>
  </r>
  <r>
    <x v="10"/>
    <x v="26"/>
    <n v="12"/>
    <x v="1"/>
    <n v="5"/>
    <n v="11305"/>
  </r>
  <r>
    <x v="10"/>
    <x v="27"/>
    <n v="86"/>
    <x v="2"/>
    <n v="15"/>
    <n v="55668"/>
  </r>
  <r>
    <x v="10"/>
    <x v="28"/>
    <n v="228"/>
    <x v="0"/>
    <n v="52"/>
    <n v="152998"/>
  </r>
  <r>
    <x v="10"/>
    <x v="29"/>
    <n v="44"/>
    <x v="1"/>
    <n v="3"/>
    <n v="41638"/>
  </r>
  <r>
    <x v="10"/>
    <x v="30"/>
    <n v="103"/>
    <x v="2"/>
    <n v="22"/>
    <n v="45357"/>
  </r>
  <r>
    <x v="10"/>
    <x v="31"/>
    <n v="112"/>
    <x v="2"/>
    <n v="20"/>
    <n v="80911"/>
  </r>
  <r>
    <x v="10"/>
    <x v="32"/>
    <n v="1"/>
    <x v="2"/>
    <m/>
    <m/>
  </r>
  <r>
    <x v="11"/>
    <x v="0"/>
    <n v="222"/>
    <x v="3"/>
    <n v="25"/>
    <n v="120980"/>
  </r>
  <r>
    <x v="11"/>
    <x v="1"/>
    <n v="164"/>
    <x v="1"/>
    <n v="15"/>
    <n v="119854"/>
  </r>
  <r>
    <x v="11"/>
    <x v="2"/>
    <n v="74"/>
    <x v="2"/>
    <n v="19"/>
    <n v="57206"/>
  </r>
  <r>
    <x v="11"/>
    <x v="3"/>
    <n v="84"/>
    <x v="1"/>
    <n v="7"/>
    <n v="48199"/>
  </r>
  <r>
    <x v="11"/>
    <x v="4"/>
    <n v="369"/>
    <x v="0"/>
    <n v="52"/>
    <n v="254929"/>
  </r>
  <r>
    <x v="11"/>
    <x v="5"/>
    <n v="54"/>
    <x v="0"/>
    <n v="19"/>
    <n v="24838"/>
  </r>
  <r>
    <x v="11"/>
    <x v="6"/>
    <n v="69"/>
    <x v="1"/>
    <n v="4"/>
    <n v="75298"/>
  </r>
  <r>
    <x v="11"/>
    <x v="7"/>
    <n v="186"/>
    <x v="3"/>
    <n v="31"/>
    <n v="75027"/>
  </r>
  <r>
    <x v="11"/>
    <x v="8"/>
    <n v="95"/>
    <x v="1"/>
    <n v="18"/>
    <n v="58821"/>
  </r>
  <r>
    <x v="11"/>
    <x v="9"/>
    <n v="65"/>
    <x v="1"/>
    <n v="7"/>
    <n v="47251"/>
  </r>
  <r>
    <x v="11"/>
    <x v="10"/>
    <n v="46"/>
    <x v="1"/>
    <n v="4"/>
    <n v="49642"/>
  </r>
  <r>
    <x v="11"/>
    <x v="11"/>
    <n v="49"/>
    <x v="2"/>
    <n v="5"/>
    <n v="39453"/>
  </r>
  <r>
    <x v="11"/>
    <x v="12"/>
    <n v="99"/>
    <x v="2"/>
    <n v="30"/>
    <n v="75595"/>
  </r>
  <r>
    <x v="11"/>
    <x v="13"/>
    <n v="227"/>
    <x v="0"/>
    <n v="43"/>
    <n v="179232"/>
  </r>
  <r>
    <x v="11"/>
    <x v="14"/>
    <n v="685"/>
    <x v="8"/>
    <n v="135"/>
    <n v="317193"/>
  </r>
  <r>
    <x v="11"/>
    <x v="15"/>
    <n v="126"/>
    <x v="2"/>
    <n v="17"/>
    <n v="119918"/>
  </r>
  <r>
    <x v="11"/>
    <x v="16"/>
    <n v="88"/>
    <x v="1"/>
    <n v="24"/>
    <n v="39107"/>
  </r>
  <r>
    <x v="11"/>
    <x v="17"/>
    <n v="57"/>
    <x v="1"/>
    <n v="10"/>
    <n v="41657"/>
  </r>
  <r>
    <x v="11"/>
    <x v="18"/>
    <n v="50"/>
    <x v="1"/>
    <n v="7"/>
    <n v="45838"/>
  </r>
  <r>
    <x v="11"/>
    <x v="19"/>
    <n v="21"/>
    <x v="2"/>
    <n v="4"/>
    <n v="14764"/>
  </r>
  <r>
    <x v="11"/>
    <x v="20"/>
    <n v="136"/>
    <x v="2"/>
    <n v="32"/>
    <n v="68843"/>
  </r>
  <r>
    <x v="11"/>
    <x v="21"/>
    <n v="279"/>
    <x v="1"/>
    <n v="64"/>
    <n v="157625"/>
  </r>
  <r>
    <x v="11"/>
    <x v="22"/>
    <n v="4"/>
    <x v="2"/>
    <n v="1"/>
    <n v="11391"/>
  </r>
  <r>
    <x v="11"/>
    <x v="23"/>
    <n v="97"/>
    <x v="2"/>
    <n v="23"/>
    <n v="73775"/>
  </r>
  <r>
    <x v="11"/>
    <x v="24"/>
    <n v="151"/>
    <x v="2"/>
    <n v="31"/>
    <n v="88624"/>
  </r>
  <r>
    <x v="11"/>
    <x v="25"/>
    <n v="77"/>
    <x v="1"/>
    <n v="12"/>
    <n v="58814"/>
  </r>
  <r>
    <x v="11"/>
    <x v="26"/>
    <n v="24"/>
    <x v="2"/>
    <n v="2"/>
    <n v="11374"/>
  </r>
  <r>
    <x v="11"/>
    <x v="27"/>
    <n v="73"/>
    <x v="1"/>
    <n v="16"/>
    <n v="55793"/>
  </r>
  <r>
    <x v="11"/>
    <x v="28"/>
    <n v="221"/>
    <x v="0"/>
    <n v="46"/>
    <n v="153863"/>
  </r>
  <r>
    <x v="11"/>
    <x v="29"/>
    <n v="48"/>
    <x v="2"/>
    <n v="7"/>
    <n v="41950"/>
  </r>
  <r>
    <x v="11"/>
    <x v="30"/>
    <n v="102"/>
    <x v="1"/>
    <n v="18"/>
    <n v="45148"/>
  </r>
  <r>
    <x v="11"/>
    <x v="31"/>
    <n v="99"/>
    <x v="0"/>
    <n v="23"/>
    <n v="81723"/>
  </r>
</pivotCacheRecords>
</file>

<file path=xl/pivotCache/pivotCacheRecords12.xml><?xml version="1.0" encoding="utf-8"?>
<pivotCacheRecords xmlns="http://schemas.openxmlformats.org/spreadsheetml/2006/main" xmlns:r="http://schemas.openxmlformats.org/officeDocument/2006/relationships" count="385">
  <r>
    <x v="0"/>
    <x v="0"/>
    <n v="537"/>
    <n v="62"/>
    <n v="246"/>
    <n v="60"/>
    <x v="0"/>
    <x v="0"/>
    <n v="20"/>
    <x v="0"/>
    <x v="0"/>
    <n v="11"/>
    <x v="0"/>
    <x v="0"/>
    <x v="0"/>
    <x v="0"/>
    <x v="0"/>
    <x v="0"/>
    <n v="8"/>
    <n v="18"/>
    <x v="0"/>
    <n v="14"/>
    <n v="9"/>
    <x v="0"/>
    <x v="0"/>
    <x v="0"/>
    <x v="0"/>
    <x v="0"/>
    <n v="15"/>
    <x v="0"/>
    <x v="0"/>
    <x v="0"/>
    <x v="0"/>
  </r>
  <r>
    <x v="1"/>
    <x v="0"/>
    <n v="293"/>
    <n v="95"/>
    <n v="41"/>
    <n v="5"/>
    <x v="1"/>
    <x v="0"/>
    <n v="55"/>
    <x v="1"/>
    <x v="1"/>
    <n v="14"/>
    <x v="1"/>
    <x v="1"/>
    <x v="1"/>
    <x v="1"/>
    <x v="1"/>
    <x v="0"/>
    <n v="4"/>
    <n v="5"/>
    <x v="1"/>
    <n v="6"/>
    <n v="1"/>
    <x v="1"/>
    <x v="1"/>
    <x v="1"/>
    <x v="0"/>
    <x v="0"/>
    <m/>
    <x v="0"/>
    <x v="1"/>
    <x v="1"/>
    <x v="1"/>
  </r>
  <r>
    <x v="2"/>
    <x v="0"/>
    <n v="145"/>
    <n v="35"/>
    <n v="39"/>
    <n v="8"/>
    <x v="2"/>
    <x v="0"/>
    <n v="16"/>
    <x v="2"/>
    <x v="1"/>
    <n v="6"/>
    <x v="2"/>
    <x v="2"/>
    <x v="0"/>
    <x v="2"/>
    <x v="2"/>
    <x v="1"/>
    <n v="2"/>
    <n v="6"/>
    <x v="2"/>
    <n v="1"/>
    <n v="5"/>
    <x v="2"/>
    <x v="1"/>
    <x v="1"/>
    <x v="0"/>
    <x v="1"/>
    <m/>
    <x v="1"/>
    <x v="2"/>
    <x v="0"/>
    <x v="2"/>
  </r>
  <r>
    <x v="3"/>
    <x v="0"/>
    <n v="136"/>
    <n v="35"/>
    <n v="26"/>
    <n v="15"/>
    <x v="2"/>
    <x v="0"/>
    <n v="8"/>
    <x v="3"/>
    <x v="2"/>
    <n v="5"/>
    <x v="3"/>
    <x v="2"/>
    <x v="1"/>
    <x v="3"/>
    <x v="2"/>
    <x v="2"/>
    <n v="4"/>
    <n v="7"/>
    <x v="3"/>
    <n v="1"/>
    <n v="2"/>
    <x v="3"/>
    <x v="2"/>
    <x v="2"/>
    <x v="1"/>
    <x v="0"/>
    <m/>
    <x v="0"/>
    <x v="3"/>
    <x v="0"/>
    <x v="1"/>
  </r>
  <r>
    <x v="4"/>
    <x v="0"/>
    <n v="1135"/>
    <n v="107"/>
    <n v="475"/>
    <n v="145"/>
    <x v="3"/>
    <x v="1"/>
    <n v="45"/>
    <x v="2"/>
    <x v="3"/>
    <n v="22"/>
    <x v="4"/>
    <x v="3"/>
    <x v="2"/>
    <x v="4"/>
    <x v="3"/>
    <x v="3"/>
    <n v="36"/>
    <n v="43"/>
    <x v="4"/>
    <n v="14"/>
    <n v="31"/>
    <x v="3"/>
    <x v="3"/>
    <x v="0"/>
    <x v="0"/>
    <x v="2"/>
    <n v="36"/>
    <x v="2"/>
    <x v="4"/>
    <x v="2"/>
    <x v="1"/>
  </r>
  <r>
    <x v="5"/>
    <x v="0"/>
    <n v="64"/>
    <n v="14"/>
    <n v="24"/>
    <m/>
    <x v="2"/>
    <x v="0"/>
    <n v="2"/>
    <x v="0"/>
    <x v="2"/>
    <n v="2"/>
    <x v="0"/>
    <x v="4"/>
    <x v="3"/>
    <x v="5"/>
    <x v="4"/>
    <x v="4"/>
    <m/>
    <n v="2"/>
    <x v="5"/>
    <m/>
    <m/>
    <x v="4"/>
    <x v="1"/>
    <x v="1"/>
    <x v="0"/>
    <x v="3"/>
    <m/>
    <x v="0"/>
    <x v="5"/>
    <x v="0"/>
    <x v="1"/>
  </r>
  <r>
    <x v="6"/>
    <x v="0"/>
    <n v="199"/>
    <n v="77"/>
    <n v="44"/>
    <m/>
    <x v="4"/>
    <x v="0"/>
    <n v="7"/>
    <x v="0"/>
    <x v="2"/>
    <n v="9"/>
    <x v="5"/>
    <x v="5"/>
    <x v="3"/>
    <x v="6"/>
    <x v="5"/>
    <x v="0"/>
    <n v="2"/>
    <n v="7"/>
    <x v="6"/>
    <m/>
    <n v="2"/>
    <x v="5"/>
    <x v="1"/>
    <x v="0"/>
    <x v="2"/>
    <x v="3"/>
    <m/>
    <x v="0"/>
    <x v="1"/>
    <x v="3"/>
    <x v="1"/>
  </r>
  <r>
    <x v="7"/>
    <x v="0"/>
    <n v="432"/>
    <n v="46"/>
    <n v="167"/>
    <n v="75"/>
    <x v="5"/>
    <x v="0"/>
    <n v="22"/>
    <x v="0"/>
    <x v="4"/>
    <n v="11"/>
    <x v="0"/>
    <x v="5"/>
    <x v="0"/>
    <x v="1"/>
    <x v="6"/>
    <x v="5"/>
    <n v="9"/>
    <n v="14"/>
    <x v="2"/>
    <n v="9"/>
    <n v="5"/>
    <x v="5"/>
    <x v="4"/>
    <x v="1"/>
    <x v="0"/>
    <x v="4"/>
    <n v="13"/>
    <x v="0"/>
    <x v="6"/>
    <x v="0"/>
    <x v="2"/>
  </r>
  <r>
    <x v="8"/>
    <x v="0"/>
    <n v="191"/>
    <n v="74"/>
    <n v="45"/>
    <n v="1"/>
    <x v="2"/>
    <x v="0"/>
    <n v="4"/>
    <x v="2"/>
    <x v="2"/>
    <n v="14"/>
    <x v="4"/>
    <x v="6"/>
    <x v="1"/>
    <x v="1"/>
    <x v="5"/>
    <x v="0"/>
    <n v="3"/>
    <n v="5"/>
    <x v="7"/>
    <n v="1"/>
    <n v="4"/>
    <x v="4"/>
    <x v="1"/>
    <x v="1"/>
    <x v="3"/>
    <x v="3"/>
    <m/>
    <x v="0"/>
    <x v="7"/>
    <x v="0"/>
    <x v="2"/>
  </r>
  <r>
    <x v="9"/>
    <x v="0"/>
    <n v="118"/>
    <n v="37"/>
    <n v="32"/>
    <n v="3"/>
    <x v="2"/>
    <x v="0"/>
    <n v="5"/>
    <x v="0"/>
    <x v="0"/>
    <n v="9"/>
    <x v="0"/>
    <x v="7"/>
    <x v="1"/>
    <x v="6"/>
    <x v="4"/>
    <x v="1"/>
    <n v="5"/>
    <n v="6"/>
    <x v="0"/>
    <m/>
    <n v="2"/>
    <x v="4"/>
    <x v="2"/>
    <x v="1"/>
    <x v="0"/>
    <x v="5"/>
    <m/>
    <x v="0"/>
    <x v="3"/>
    <x v="0"/>
    <x v="1"/>
  </r>
  <r>
    <x v="10"/>
    <x v="0"/>
    <n v="150"/>
    <n v="47"/>
    <n v="38"/>
    <n v="3"/>
    <x v="1"/>
    <x v="0"/>
    <n v="8"/>
    <x v="2"/>
    <x v="5"/>
    <n v="9"/>
    <x v="4"/>
    <x v="2"/>
    <x v="1"/>
    <x v="6"/>
    <x v="2"/>
    <x v="0"/>
    <n v="1"/>
    <n v="4"/>
    <x v="5"/>
    <m/>
    <n v="3"/>
    <x v="2"/>
    <x v="1"/>
    <x v="1"/>
    <x v="3"/>
    <x v="0"/>
    <n v="3"/>
    <x v="1"/>
    <x v="5"/>
    <x v="1"/>
    <x v="1"/>
  </r>
  <r>
    <x v="11"/>
    <x v="0"/>
    <n v="84"/>
    <n v="29"/>
    <n v="8"/>
    <n v="3"/>
    <x v="2"/>
    <x v="0"/>
    <n v="7"/>
    <x v="2"/>
    <x v="2"/>
    <n v="5"/>
    <x v="0"/>
    <x v="8"/>
    <x v="4"/>
    <x v="7"/>
    <x v="6"/>
    <x v="2"/>
    <n v="4"/>
    <n v="4"/>
    <x v="2"/>
    <n v="1"/>
    <n v="2"/>
    <x v="4"/>
    <x v="1"/>
    <x v="1"/>
    <x v="0"/>
    <x v="6"/>
    <n v="1"/>
    <x v="0"/>
    <x v="1"/>
    <x v="0"/>
    <x v="1"/>
  </r>
  <r>
    <x v="12"/>
    <x v="0"/>
    <n v="170"/>
    <n v="38"/>
    <n v="67"/>
    <m/>
    <x v="2"/>
    <x v="0"/>
    <n v="7"/>
    <x v="2"/>
    <x v="2"/>
    <n v="8"/>
    <x v="3"/>
    <x v="9"/>
    <x v="4"/>
    <x v="8"/>
    <x v="2"/>
    <x v="1"/>
    <n v="1"/>
    <n v="10"/>
    <x v="7"/>
    <n v="6"/>
    <n v="2"/>
    <x v="2"/>
    <x v="2"/>
    <x v="1"/>
    <x v="0"/>
    <x v="6"/>
    <m/>
    <x v="1"/>
    <x v="1"/>
    <x v="3"/>
    <x v="1"/>
  </r>
  <r>
    <x v="13"/>
    <x v="0"/>
    <n v="473"/>
    <n v="141"/>
    <n v="164"/>
    <n v="1"/>
    <x v="0"/>
    <x v="0"/>
    <n v="10"/>
    <x v="2"/>
    <x v="0"/>
    <n v="36"/>
    <x v="6"/>
    <x v="10"/>
    <x v="2"/>
    <x v="9"/>
    <x v="6"/>
    <x v="0"/>
    <n v="6"/>
    <n v="19"/>
    <x v="8"/>
    <n v="6"/>
    <n v="4"/>
    <x v="5"/>
    <x v="1"/>
    <x v="1"/>
    <x v="0"/>
    <x v="2"/>
    <n v="5"/>
    <x v="0"/>
    <x v="4"/>
    <x v="0"/>
    <x v="2"/>
  </r>
  <r>
    <x v="14"/>
    <x v="0"/>
    <n v="1800"/>
    <n v="165"/>
    <n v="758"/>
    <n v="306"/>
    <x v="6"/>
    <x v="1"/>
    <n v="38"/>
    <x v="4"/>
    <x v="6"/>
    <n v="43"/>
    <x v="0"/>
    <x v="11"/>
    <x v="5"/>
    <x v="10"/>
    <x v="7"/>
    <x v="6"/>
    <n v="35"/>
    <n v="55"/>
    <x v="9"/>
    <n v="50"/>
    <n v="34"/>
    <x v="6"/>
    <x v="5"/>
    <x v="1"/>
    <x v="2"/>
    <x v="7"/>
    <n v="64"/>
    <x v="3"/>
    <x v="8"/>
    <x v="4"/>
    <x v="1"/>
  </r>
  <r>
    <x v="15"/>
    <x v="0"/>
    <n v="226"/>
    <n v="100"/>
    <n v="33"/>
    <n v="1"/>
    <x v="0"/>
    <x v="0"/>
    <n v="6"/>
    <x v="4"/>
    <x v="2"/>
    <n v="7"/>
    <x v="2"/>
    <x v="12"/>
    <x v="4"/>
    <x v="1"/>
    <x v="6"/>
    <x v="7"/>
    <n v="8"/>
    <n v="11"/>
    <x v="0"/>
    <n v="2"/>
    <n v="5"/>
    <x v="0"/>
    <x v="1"/>
    <x v="1"/>
    <x v="3"/>
    <x v="0"/>
    <m/>
    <x v="1"/>
    <x v="1"/>
    <x v="0"/>
    <x v="1"/>
  </r>
  <r>
    <x v="16"/>
    <x v="0"/>
    <n v="195"/>
    <n v="27"/>
    <n v="57"/>
    <n v="49"/>
    <x v="1"/>
    <x v="0"/>
    <n v="10"/>
    <x v="0"/>
    <x v="2"/>
    <n v="6"/>
    <x v="0"/>
    <x v="2"/>
    <x v="0"/>
    <x v="5"/>
    <x v="5"/>
    <x v="7"/>
    <n v="1"/>
    <n v="4"/>
    <x v="3"/>
    <n v="5"/>
    <n v="5"/>
    <x v="7"/>
    <x v="1"/>
    <x v="1"/>
    <x v="0"/>
    <x v="5"/>
    <m/>
    <x v="0"/>
    <x v="9"/>
    <x v="1"/>
    <x v="1"/>
  </r>
  <r>
    <x v="17"/>
    <x v="0"/>
    <n v="120"/>
    <n v="39"/>
    <n v="25"/>
    <n v="2"/>
    <x v="2"/>
    <x v="0"/>
    <n v="5"/>
    <x v="3"/>
    <x v="2"/>
    <n v="12"/>
    <x v="4"/>
    <x v="4"/>
    <x v="1"/>
    <x v="5"/>
    <x v="2"/>
    <x v="1"/>
    <n v="1"/>
    <n v="4"/>
    <x v="0"/>
    <n v="1"/>
    <n v="3"/>
    <x v="7"/>
    <x v="1"/>
    <x v="1"/>
    <x v="0"/>
    <x v="3"/>
    <m/>
    <x v="1"/>
    <x v="3"/>
    <x v="0"/>
    <x v="1"/>
  </r>
  <r>
    <x v="18"/>
    <x v="0"/>
    <n v="110"/>
    <n v="38"/>
    <n v="20"/>
    <m/>
    <x v="2"/>
    <x v="0"/>
    <n v="11"/>
    <x v="2"/>
    <x v="0"/>
    <n v="8"/>
    <x v="4"/>
    <x v="2"/>
    <x v="0"/>
    <x v="5"/>
    <x v="2"/>
    <x v="1"/>
    <n v="2"/>
    <n v="3"/>
    <x v="5"/>
    <n v="3"/>
    <n v="4"/>
    <x v="7"/>
    <x v="1"/>
    <x v="0"/>
    <x v="0"/>
    <x v="0"/>
    <m/>
    <x v="0"/>
    <x v="1"/>
    <x v="0"/>
    <x v="1"/>
  </r>
  <r>
    <x v="19"/>
    <x v="0"/>
    <n v="32"/>
    <n v="22"/>
    <n v="2"/>
    <m/>
    <x v="2"/>
    <x v="0"/>
    <m/>
    <x v="0"/>
    <x v="2"/>
    <n v="3"/>
    <x v="0"/>
    <x v="13"/>
    <x v="0"/>
    <x v="2"/>
    <x v="6"/>
    <x v="4"/>
    <m/>
    <m/>
    <x v="10"/>
    <m/>
    <n v="1"/>
    <x v="2"/>
    <x v="1"/>
    <x v="1"/>
    <x v="0"/>
    <x v="5"/>
    <m/>
    <x v="0"/>
    <x v="1"/>
    <x v="0"/>
    <x v="1"/>
  </r>
  <r>
    <x v="20"/>
    <x v="0"/>
    <n v="251"/>
    <n v="93"/>
    <n v="57"/>
    <n v="8"/>
    <x v="2"/>
    <x v="1"/>
    <n v="17"/>
    <x v="2"/>
    <x v="2"/>
    <n v="17"/>
    <x v="3"/>
    <x v="2"/>
    <x v="4"/>
    <x v="1"/>
    <x v="6"/>
    <x v="0"/>
    <n v="7"/>
    <n v="5"/>
    <x v="6"/>
    <n v="4"/>
    <n v="9"/>
    <x v="5"/>
    <x v="1"/>
    <x v="1"/>
    <x v="0"/>
    <x v="3"/>
    <m/>
    <x v="1"/>
    <x v="0"/>
    <x v="3"/>
    <x v="1"/>
  </r>
  <r>
    <x v="21"/>
    <x v="0"/>
    <n v="567"/>
    <n v="145"/>
    <n v="204"/>
    <n v="17"/>
    <x v="2"/>
    <x v="0"/>
    <n v="10"/>
    <x v="0"/>
    <x v="5"/>
    <n v="51"/>
    <x v="0"/>
    <x v="10"/>
    <x v="6"/>
    <x v="11"/>
    <x v="0"/>
    <x v="8"/>
    <n v="15"/>
    <n v="16"/>
    <x v="11"/>
    <n v="8"/>
    <n v="22"/>
    <x v="7"/>
    <x v="2"/>
    <x v="1"/>
    <x v="1"/>
    <x v="8"/>
    <m/>
    <x v="0"/>
    <x v="0"/>
    <x v="1"/>
    <x v="2"/>
  </r>
  <r>
    <x v="22"/>
    <x v="0"/>
    <n v="16"/>
    <n v="10"/>
    <m/>
    <m/>
    <x v="1"/>
    <x v="0"/>
    <m/>
    <x v="0"/>
    <x v="2"/>
    <n v="2"/>
    <x v="0"/>
    <x v="7"/>
    <x v="0"/>
    <x v="2"/>
    <x v="6"/>
    <x v="4"/>
    <m/>
    <n v="1"/>
    <x v="10"/>
    <m/>
    <m/>
    <x v="4"/>
    <x v="1"/>
    <x v="1"/>
    <x v="0"/>
    <x v="1"/>
    <m/>
    <x v="0"/>
    <x v="1"/>
    <x v="0"/>
    <x v="1"/>
  </r>
  <r>
    <x v="23"/>
    <x v="0"/>
    <n v="206"/>
    <n v="47"/>
    <n v="62"/>
    <n v="9"/>
    <x v="2"/>
    <x v="0"/>
    <n v="2"/>
    <x v="0"/>
    <x v="5"/>
    <n v="9"/>
    <x v="7"/>
    <x v="6"/>
    <x v="0"/>
    <x v="6"/>
    <x v="3"/>
    <x v="5"/>
    <n v="5"/>
    <n v="10"/>
    <x v="3"/>
    <n v="2"/>
    <n v="4"/>
    <x v="8"/>
    <x v="1"/>
    <x v="1"/>
    <x v="0"/>
    <x v="3"/>
    <n v="1"/>
    <x v="4"/>
    <x v="3"/>
    <x v="1"/>
    <x v="1"/>
  </r>
  <r>
    <x v="24"/>
    <x v="0"/>
    <n v="382"/>
    <n v="68"/>
    <n v="103"/>
    <n v="51"/>
    <x v="2"/>
    <x v="0"/>
    <n v="14"/>
    <x v="2"/>
    <x v="2"/>
    <n v="16"/>
    <x v="2"/>
    <x v="14"/>
    <x v="6"/>
    <x v="12"/>
    <x v="5"/>
    <x v="9"/>
    <n v="9"/>
    <n v="12"/>
    <x v="3"/>
    <n v="7"/>
    <n v="16"/>
    <x v="5"/>
    <x v="1"/>
    <x v="3"/>
    <x v="3"/>
    <x v="6"/>
    <n v="14"/>
    <x v="0"/>
    <x v="10"/>
    <x v="3"/>
    <x v="1"/>
  </r>
  <r>
    <x v="25"/>
    <x v="0"/>
    <n v="157"/>
    <n v="50"/>
    <n v="46"/>
    <n v="2"/>
    <x v="2"/>
    <x v="0"/>
    <n v="9"/>
    <x v="0"/>
    <x v="7"/>
    <n v="4"/>
    <x v="8"/>
    <x v="4"/>
    <x v="1"/>
    <x v="3"/>
    <x v="2"/>
    <x v="2"/>
    <n v="1"/>
    <n v="2"/>
    <x v="7"/>
    <m/>
    <n v="1"/>
    <x v="5"/>
    <x v="1"/>
    <x v="1"/>
    <x v="3"/>
    <x v="9"/>
    <n v="3"/>
    <x v="0"/>
    <x v="0"/>
    <x v="3"/>
    <x v="1"/>
  </r>
  <r>
    <x v="26"/>
    <x v="0"/>
    <n v="21"/>
    <n v="11"/>
    <m/>
    <m/>
    <x v="2"/>
    <x v="0"/>
    <m/>
    <x v="0"/>
    <x v="2"/>
    <n v="3"/>
    <x v="0"/>
    <x v="13"/>
    <x v="1"/>
    <x v="5"/>
    <x v="6"/>
    <x v="4"/>
    <m/>
    <m/>
    <x v="7"/>
    <n v="2"/>
    <n v="1"/>
    <x v="4"/>
    <x v="1"/>
    <x v="1"/>
    <x v="0"/>
    <x v="5"/>
    <m/>
    <x v="0"/>
    <x v="1"/>
    <x v="0"/>
    <x v="1"/>
  </r>
  <r>
    <x v="27"/>
    <x v="0"/>
    <n v="158"/>
    <n v="51"/>
    <n v="42"/>
    <n v="4"/>
    <x v="2"/>
    <x v="0"/>
    <n v="2"/>
    <x v="0"/>
    <x v="2"/>
    <n v="3"/>
    <x v="4"/>
    <x v="15"/>
    <x v="0"/>
    <x v="5"/>
    <x v="2"/>
    <x v="7"/>
    <n v="6"/>
    <n v="10"/>
    <x v="5"/>
    <n v="5"/>
    <n v="9"/>
    <x v="7"/>
    <x v="2"/>
    <x v="1"/>
    <x v="0"/>
    <x v="0"/>
    <m/>
    <x v="0"/>
    <x v="2"/>
    <x v="3"/>
    <x v="2"/>
  </r>
  <r>
    <x v="28"/>
    <x v="0"/>
    <n v="496"/>
    <n v="159"/>
    <n v="127"/>
    <n v="25"/>
    <x v="2"/>
    <x v="0"/>
    <n v="11"/>
    <x v="3"/>
    <x v="5"/>
    <n v="37"/>
    <x v="7"/>
    <x v="16"/>
    <x v="7"/>
    <x v="7"/>
    <x v="8"/>
    <x v="10"/>
    <n v="11"/>
    <n v="25"/>
    <x v="12"/>
    <n v="6"/>
    <n v="8"/>
    <x v="7"/>
    <x v="2"/>
    <x v="1"/>
    <x v="3"/>
    <x v="10"/>
    <m/>
    <x v="1"/>
    <x v="0"/>
    <x v="0"/>
    <x v="1"/>
  </r>
  <r>
    <x v="29"/>
    <x v="0"/>
    <n v="140"/>
    <n v="32"/>
    <n v="52"/>
    <n v="2"/>
    <x v="1"/>
    <x v="0"/>
    <n v="3"/>
    <x v="3"/>
    <x v="5"/>
    <n v="2"/>
    <x v="2"/>
    <x v="2"/>
    <x v="1"/>
    <x v="2"/>
    <x v="9"/>
    <x v="1"/>
    <n v="4"/>
    <n v="3"/>
    <x v="7"/>
    <n v="3"/>
    <n v="2"/>
    <x v="4"/>
    <x v="1"/>
    <x v="0"/>
    <x v="0"/>
    <x v="11"/>
    <n v="2"/>
    <x v="0"/>
    <x v="3"/>
    <x v="0"/>
    <x v="1"/>
  </r>
  <r>
    <x v="30"/>
    <x v="0"/>
    <n v="223"/>
    <n v="36"/>
    <n v="117"/>
    <n v="16"/>
    <x v="2"/>
    <x v="0"/>
    <n v="3"/>
    <x v="0"/>
    <x v="2"/>
    <n v="6"/>
    <x v="0"/>
    <x v="8"/>
    <x v="1"/>
    <x v="5"/>
    <x v="6"/>
    <x v="11"/>
    <n v="6"/>
    <n v="7"/>
    <x v="1"/>
    <n v="1"/>
    <n v="5"/>
    <x v="7"/>
    <x v="1"/>
    <x v="1"/>
    <x v="3"/>
    <x v="6"/>
    <m/>
    <x v="0"/>
    <x v="3"/>
    <x v="0"/>
    <x v="1"/>
  </r>
  <r>
    <x v="31"/>
    <x v="0"/>
    <n v="337"/>
    <n v="134"/>
    <n v="74"/>
    <n v="7"/>
    <x v="2"/>
    <x v="0"/>
    <n v="5"/>
    <x v="0"/>
    <x v="5"/>
    <n v="28"/>
    <x v="4"/>
    <x v="16"/>
    <x v="8"/>
    <x v="9"/>
    <x v="4"/>
    <x v="0"/>
    <n v="8"/>
    <n v="10"/>
    <x v="13"/>
    <n v="3"/>
    <n v="4"/>
    <x v="2"/>
    <x v="1"/>
    <x v="1"/>
    <x v="3"/>
    <x v="6"/>
    <m/>
    <x v="0"/>
    <x v="5"/>
    <x v="0"/>
    <x v="2"/>
  </r>
  <r>
    <x v="0"/>
    <x v="1"/>
    <n v="479"/>
    <n v="53"/>
    <n v="219"/>
    <n v="39"/>
    <x v="7"/>
    <x v="2"/>
    <n v="22"/>
    <x v="0"/>
    <x v="2"/>
    <n v="11"/>
    <x v="0"/>
    <x v="12"/>
    <x v="4"/>
    <x v="12"/>
    <x v="10"/>
    <x v="8"/>
    <n v="9"/>
    <n v="9"/>
    <x v="13"/>
    <n v="11"/>
    <n v="4"/>
    <x v="9"/>
    <x v="1"/>
    <x v="1"/>
    <x v="3"/>
    <x v="4"/>
    <n v="24"/>
    <x v="4"/>
    <x v="0"/>
    <x v="0"/>
    <x v="1"/>
  </r>
  <r>
    <x v="1"/>
    <x v="1"/>
    <n v="309"/>
    <n v="89"/>
    <n v="40"/>
    <n v="3"/>
    <x v="0"/>
    <x v="0"/>
    <n v="67"/>
    <x v="3"/>
    <x v="2"/>
    <n v="17"/>
    <x v="9"/>
    <x v="6"/>
    <x v="0"/>
    <x v="7"/>
    <x v="5"/>
    <x v="1"/>
    <n v="4"/>
    <n v="13"/>
    <x v="2"/>
    <m/>
    <n v="11"/>
    <x v="0"/>
    <x v="2"/>
    <x v="1"/>
    <x v="3"/>
    <x v="9"/>
    <m/>
    <x v="0"/>
    <x v="1"/>
    <x v="0"/>
    <x v="2"/>
  </r>
  <r>
    <x v="2"/>
    <x v="1"/>
    <n v="125"/>
    <n v="37"/>
    <n v="36"/>
    <n v="2"/>
    <x v="1"/>
    <x v="0"/>
    <n v="9"/>
    <x v="0"/>
    <x v="5"/>
    <n v="5"/>
    <x v="10"/>
    <x v="4"/>
    <x v="1"/>
    <x v="2"/>
    <x v="6"/>
    <x v="2"/>
    <n v="2"/>
    <n v="5"/>
    <x v="7"/>
    <m/>
    <n v="1"/>
    <x v="7"/>
    <x v="1"/>
    <x v="1"/>
    <x v="0"/>
    <x v="0"/>
    <m/>
    <x v="1"/>
    <x v="2"/>
    <x v="0"/>
    <x v="1"/>
  </r>
  <r>
    <x v="3"/>
    <x v="1"/>
    <n v="188"/>
    <n v="50"/>
    <n v="40"/>
    <n v="23"/>
    <x v="2"/>
    <x v="0"/>
    <n v="11"/>
    <x v="3"/>
    <x v="2"/>
    <n v="4"/>
    <x v="4"/>
    <x v="17"/>
    <x v="4"/>
    <x v="3"/>
    <x v="5"/>
    <x v="12"/>
    <n v="2"/>
    <n v="8"/>
    <x v="6"/>
    <n v="2"/>
    <n v="3"/>
    <x v="9"/>
    <x v="1"/>
    <x v="3"/>
    <x v="0"/>
    <x v="9"/>
    <m/>
    <x v="1"/>
    <x v="0"/>
    <x v="3"/>
    <x v="2"/>
  </r>
  <r>
    <x v="4"/>
    <x v="1"/>
    <n v="1061"/>
    <n v="108"/>
    <n v="432"/>
    <n v="127"/>
    <x v="4"/>
    <x v="0"/>
    <n v="54"/>
    <x v="0"/>
    <x v="1"/>
    <n v="28"/>
    <x v="4"/>
    <x v="14"/>
    <x v="3"/>
    <x v="13"/>
    <x v="4"/>
    <x v="13"/>
    <n v="32"/>
    <n v="38"/>
    <x v="4"/>
    <n v="24"/>
    <n v="14"/>
    <x v="10"/>
    <x v="6"/>
    <x v="1"/>
    <x v="3"/>
    <x v="12"/>
    <n v="51"/>
    <x v="3"/>
    <x v="10"/>
    <x v="3"/>
    <x v="1"/>
  </r>
  <r>
    <x v="5"/>
    <x v="1"/>
    <n v="74"/>
    <n v="12"/>
    <n v="26"/>
    <n v="3"/>
    <x v="2"/>
    <x v="0"/>
    <n v="3"/>
    <x v="1"/>
    <x v="0"/>
    <n v="6"/>
    <x v="0"/>
    <x v="5"/>
    <x v="1"/>
    <x v="2"/>
    <x v="5"/>
    <x v="2"/>
    <n v="1"/>
    <n v="1"/>
    <x v="6"/>
    <m/>
    <m/>
    <x v="4"/>
    <x v="1"/>
    <x v="1"/>
    <x v="0"/>
    <x v="5"/>
    <m/>
    <x v="0"/>
    <x v="1"/>
    <x v="0"/>
    <x v="1"/>
  </r>
  <r>
    <x v="6"/>
    <x v="1"/>
    <n v="191"/>
    <n v="71"/>
    <n v="33"/>
    <m/>
    <x v="0"/>
    <x v="0"/>
    <n v="1"/>
    <x v="3"/>
    <x v="0"/>
    <n v="21"/>
    <x v="11"/>
    <x v="1"/>
    <x v="4"/>
    <x v="5"/>
    <x v="0"/>
    <x v="1"/>
    <n v="3"/>
    <n v="9"/>
    <x v="7"/>
    <n v="3"/>
    <n v="5"/>
    <x v="2"/>
    <x v="1"/>
    <x v="1"/>
    <x v="0"/>
    <x v="3"/>
    <m/>
    <x v="1"/>
    <x v="1"/>
    <x v="0"/>
    <x v="1"/>
  </r>
  <r>
    <x v="7"/>
    <x v="1"/>
    <n v="435"/>
    <n v="52"/>
    <n v="186"/>
    <n v="52"/>
    <x v="8"/>
    <x v="0"/>
    <n v="29"/>
    <x v="0"/>
    <x v="5"/>
    <n v="14"/>
    <x v="3"/>
    <x v="5"/>
    <x v="0"/>
    <x v="1"/>
    <x v="2"/>
    <x v="12"/>
    <n v="9"/>
    <n v="11"/>
    <x v="3"/>
    <n v="8"/>
    <n v="3"/>
    <x v="7"/>
    <x v="4"/>
    <x v="1"/>
    <x v="0"/>
    <x v="6"/>
    <n v="15"/>
    <x v="0"/>
    <x v="5"/>
    <x v="1"/>
    <x v="3"/>
  </r>
  <r>
    <x v="8"/>
    <x v="1"/>
    <n v="162"/>
    <n v="60"/>
    <n v="46"/>
    <n v="7"/>
    <x v="2"/>
    <x v="0"/>
    <n v="4"/>
    <x v="2"/>
    <x v="2"/>
    <n v="7"/>
    <x v="3"/>
    <x v="9"/>
    <x v="2"/>
    <x v="5"/>
    <x v="3"/>
    <x v="2"/>
    <n v="2"/>
    <n v="2"/>
    <x v="6"/>
    <n v="1"/>
    <n v="4"/>
    <x v="4"/>
    <x v="2"/>
    <x v="1"/>
    <x v="0"/>
    <x v="5"/>
    <n v="1"/>
    <x v="1"/>
    <x v="1"/>
    <x v="0"/>
    <x v="1"/>
  </r>
  <r>
    <x v="9"/>
    <x v="1"/>
    <n v="106"/>
    <n v="39"/>
    <n v="24"/>
    <n v="2"/>
    <x v="2"/>
    <x v="0"/>
    <n v="4"/>
    <x v="0"/>
    <x v="2"/>
    <n v="10"/>
    <x v="2"/>
    <x v="13"/>
    <x v="1"/>
    <x v="3"/>
    <x v="2"/>
    <x v="1"/>
    <n v="3"/>
    <n v="1"/>
    <x v="2"/>
    <m/>
    <n v="4"/>
    <x v="4"/>
    <x v="1"/>
    <x v="1"/>
    <x v="0"/>
    <x v="6"/>
    <m/>
    <x v="0"/>
    <x v="3"/>
    <x v="1"/>
    <x v="1"/>
  </r>
  <r>
    <x v="10"/>
    <x v="1"/>
    <n v="129"/>
    <n v="51"/>
    <n v="21"/>
    <n v="1"/>
    <x v="2"/>
    <x v="0"/>
    <n v="12"/>
    <x v="3"/>
    <x v="0"/>
    <n v="7"/>
    <x v="2"/>
    <x v="13"/>
    <x v="4"/>
    <x v="5"/>
    <x v="5"/>
    <x v="1"/>
    <n v="1"/>
    <n v="4"/>
    <x v="6"/>
    <n v="1"/>
    <n v="2"/>
    <x v="3"/>
    <x v="7"/>
    <x v="1"/>
    <x v="3"/>
    <x v="3"/>
    <n v="3"/>
    <x v="0"/>
    <x v="1"/>
    <x v="0"/>
    <x v="1"/>
  </r>
  <r>
    <x v="11"/>
    <x v="1"/>
    <n v="84"/>
    <n v="35"/>
    <n v="12"/>
    <n v="4"/>
    <x v="2"/>
    <x v="0"/>
    <n v="7"/>
    <x v="0"/>
    <x v="2"/>
    <n v="4"/>
    <x v="0"/>
    <x v="9"/>
    <x v="1"/>
    <x v="5"/>
    <x v="6"/>
    <x v="12"/>
    <n v="2"/>
    <n v="2"/>
    <x v="2"/>
    <m/>
    <m/>
    <x v="4"/>
    <x v="2"/>
    <x v="1"/>
    <x v="0"/>
    <x v="3"/>
    <m/>
    <x v="0"/>
    <x v="3"/>
    <x v="0"/>
    <x v="1"/>
  </r>
  <r>
    <x v="12"/>
    <x v="1"/>
    <n v="212"/>
    <n v="61"/>
    <n v="55"/>
    <n v="5"/>
    <x v="2"/>
    <x v="0"/>
    <n v="6"/>
    <x v="2"/>
    <x v="5"/>
    <n v="8"/>
    <x v="3"/>
    <x v="6"/>
    <x v="3"/>
    <x v="6"/>
    <x v="3"/>
    <x v="12"/>
    <n v="6"/>
    <n v="11"/>
    <x v="8"/>
    <n v="5"/>
    <n v="3"/>
    <x v="5"/>
    <x v="1"/>
    <x v="1"/>
    <x v="0"/>
    <x v="3"/>
    <m/>
    <x v="0"/>
    <x v="3"/>
    <x v="5"/>
    <x v="1"/>
  </r>
  <r>
    <x v="13"/>
    <x v="1"/>
    <n v="438"/>
    <n v="146"/>
    <n v="136"/>
    <m/>
    <x v="1"/>
    <x v="0"/>
    <n v="11"/>
    <x v="1"/>
    <x v="1"/>
    <n v="24"/>
    <x v="12"/>
    <x v="18"/>
    <x v="3"/>
    <x v="8"/>
    <x v="2"/>
    <x v="0"/>
    <n v="13"/>
    <n v="19"/>
    <x v="8"/>
    <n v="2"/>
    <n v="6"/>
    <x v="5"/>
    <x v="2"/>
    <x v="1"/>
    <x v="0"/>
    <x v="9"/>
    <n v="3"/>
    <x v="1"/>
    <x v="3"/>
    <x v="0"/>
    <x v="2"/>
  </r>
  <r>
    <x v="14"/>
    <x v="1"/>
    <n v="1619"/>
    <n v="141"/>
    <n v="723"/>
    <n v="264"/>
    <x v="7"/>
    <x v="0"/>
    <n v="38"/>
    <x v="2"/>
    <x v="8"/>
    <n v="29"/>
    <x v="0"/>
    <x v="19"/>
    <x v="2"/>
    <x v="14"/>
    <x v="11"/>
    <x v="6"/>
    <n v="43"/>
    <n v="52"/>
    <x v="14"/>
    <n v="44"/>
    <n v="19"/>
    <x v="8"/>
    <x v="8"/>
    <x v="1"/>
    <x v="0"/>
    <x v="13"/>
    <n v="49"/>
    <x v="0"/>
    <x v="11"/>
    <x v="3"/>
    <x v="1"/>
  </r>
  <r>
    <x v="15"/>
    <x v="1"/>
    <n v="252"/>
    <n v="113"/>
    <n v="33"/>
    <n v="3"/>
    <x v="1"/>
    <x v="1"/>
    <n v="6"/>
    <x v="3"/>
    <x v="1"/>
    <n v="11"/>
    <x v="10"/>
    <x v="1"/>
    <x v="4"/>
    <x v="5"/>
    <x v="5"/>
    <x v="5"/>
    <n v="9"/>
    <n v="7"/>
    <x v="8"/>
    <n v="2"/>
    <n v="4"/>
    <x v="0"/>
    <x v="2"/>
    <x v="3"/>
    <x v="2"/>
    <x v="6"/>
    <m/>
    <x v="1"/>
    <x v="1"/>
    <x v="0"/>
    <x v="0"/>
  </r>
  <r>
    <x v="16"/>
    <x v="1"/>
    <n v="193"/>
    <n v="22"/>
    <n v="50"/>
    <n v="50"/>
    <x v="2"/>
    <x v="0"/>
    <n v="10"/>
    <x v="0"/>
    <x v="2"/>
    <n v="8"/>
    <x v="0"/>
    <x v="6"/>
    <x v="0"/>
    <x v="1"/>
    <x v="2"/>
    <x v="12"/>
    <n v="4"/>
    <n v="3"/>
    <x v="3"/>
    <n v="4"/>
    <n v="3"/>
    <x v="4"/>
    <x v="2"/>
    <x v="1"/>
    <x v="0"/>
    <x v="6"/>
    <n v="1"/>
    <x v="0"/>
    <x v="7"/>
    <x v="3"/>
    <x v="1"/>
  </r>
  <r>
    <x v="17"/>
    <x v="1"/>
    <n v="106"/>
    <n v="44"/>
    <n v="22"/>
    <n v="1"/>
    <x v="2"/>
    <x v="0"/>
    <n v="2"/>
    <x v="4"/>
    <x v="0"/>
    <n v="3"/>
    <x v="0"/>
    <x v="2"/>
    <x v="4"/>
    <x v="6"/>
    <x v="6"/>
    <x v="2"/>
    <n v="3"/>
    <n v="5"/>
    <x v="3"/>
    <n v="1"/>
    <n v="1"/>
    <x v="7"/>
    <x v="2"/>
    <x v="1"/>
    <x v="0"/>
    <x v="1"/>
    <m/>
    <x v="0"/>
    <x v="3"/>
    <x v="0"/>
    <x v="1"/>
  </r>
  <r>
    <x v="18"/>
    <x v="1"/>
    <n v="122"/>
    <n v="41"/>
    <n v="18"/>
    <n v="1"/>
    <x v="2"/>
    <x v="0"/>
    <n v="14"/>
    <x v="3"/>
    <x v="2"/>
    <n v="12"/>
    <x v="2"/>
    <x v="4"/>
    <x v="0"/>
    <x v="5"/>
    <x v="5"/>
    <x v="1"/>
    <n v="2"/>
    <n v="5"/>
    <x v="6"/>
    <n v="4"/>
    <n v="1"/>
    <x v="4"/>
    <x v="1"/>
    <x v="1"/>
    <x v="3"/>
    <x v="3"/>
    <m/>
    <x v="0"/>
    <x v="3"/>
    <x v="0"/>
    <x v="1"/>
  </r>
  <r>
    <x v="19"/>
    <x v="1"/>
    <n v="27"/>
    <n v="12"/>
    <n v="4"/>
    <m/>
    <x v="2"/>
    <x v="0"/>
    <m/>
    <x v="2"/>
    <x v="2"/>
    <n v="1"/>
    <x v="3"/>
    <x v="7"/>
    <x v="0"/>
    <x v="5"/>
    <x v="6"/>
    <x v="1"/>
    <m/>
    <n v="1"/>
    <x v="10"/>
    <m/>
    <m/>
    <x v="7"/>
    <x v="1"/>
    <x v="1"/>
    <x v="0"/>
    <x v="1"/>
    <m/>
    <x v="0"/>
    <x v="1"/>
    <x v="0"/>
    <x v="2"/>
  </r>
  <r>
    <x v="20"/>
    <x v="1"/>
    <n v="245"/>
    <n v="76"/>
    <n v="63"/>
    <n v="9"/>
    <x v="0"/>
    <x v="0"/>
    <n v="14"/>
    <x v="4"/>
    <x v="2"/>
    <n v="18"/>
    <x v="3"/>
    <x v="10"/>
    <x v="0"/>
    <x v="5"/>
    <x v="6"/>
    <x v="9"/>
    <n v="2"/>
    <n v="12"/>
    <x v="7"/>
    <m/>
    <n v="4"/>
    <x v="2"/>
    <x v="7"/>
    <x v="1"/>
    <x v="4"/>
    <x v="5"/>
    <m/>
    <x v="1"/>
    <x v="5"/>
    <x v="1"/>
    <x v="1"/>
  </r>
  <r>
    <x v="21"/>
    <x v="1"/>
    <n v="499"/>
    <n v="142"/>
    <n v="198"/>
    <n v="16"/>
    <x v="2"/>
    <x v="0"/>
    <n v="14"/>
    <x v="0"/>
    <x v="2"/>
    <n v="38"/>
    <x v="3"/>
    <x v="1"/>
    <x v="3"/>
    <x v="9"/>
    <x v="4"/>
    <x v="8"/>
    <n v="9"/>
    <n v="18"/>
    <x v="3"/>
    <n v="3"/>
    <n v="10"/>
    <x v="7"/>
    <x v="7"/>
    <x v="1"/>
    <x v="3"/>
    <x v="4"/>
    <m/>
    <x v="0"/>
    <x v="5"/>
    <x v="3"/>
    <x v="1"/>
  </r>
  <r>
    <x v="22"/>
    <x v="1"/>
    <n v="17"/>
    <n v="7"/>
    <n v="2"/>
    <m/>
    <x v="2"/>
    <x v="0"/>
    <m/>
    <x v="0"/>
    <x v="2"/>
    <n v="1"/>
    <x v="0"/>
    <x v="13"/>
    <x v="1"/>
    <x v="2"/>
    <x v="6"/>
    <x v="4"/>
    <n v="1"/>
    <n v="1"/>
    <x v="10"/>
    <m/>
    <n v="1"/>
    <x v="7"/>
    <x v="1"/>
    <x v="0"/>
    <x v="0"/>
    <x v="1"/>
    <m/>
    <x v="0"/>
    <x v="1"/>
    <x v="0"/>
    <x v="1"/>
  </r>
  <r>
    <x v="23"/>
    <x v="1"/>
    <n v="207"/>
    <n v="50"/>
    <n v="53"/>
    <n v="20"/>
    <x v="9"/>
    <x v="0"/>
    <n v="9"/>
    <x v="0"/>
    <x v="1"/>
    <n v="2"/>
    <x v="7"/>
    <x v="20"/>
    <x v="1"/>
    <x v="6"/>
    <x v="12"/>
    <x v="5"/>
    <n v="1"/>
    <n v="4"/>
    <x v="7"/>
    <n v="4"/>
    <n v="2"/>
    <x v="0"/>
    <x v="1"/>
    <x v="1"/>
    <x v="2"/>
    <x v="9"/>
    <m/>
    <x v="0"/>
    <x v="5"/>
    <x v="3"/>
    <x v="1"/>
  </r>
  <r>
    <x v="24"/>
    <x v="1"/>
    <n v="344"/>
    <n v="62"/>
    <n v="92"/>
    <n v="75"/>
    <x v="0"/>
    <x v="0"/>
    <n v="13"/>
    <x v="3"/>
    <x v="2"/>
    <n v="16"/>
    <x v="0"/>
    <x v="21"/>
    <x v="4"/>
    <x v="9"/>
    <x v="2"/>
    <x v="9"/>
    <n v="6"/>
    <n v="12"/>
    <x v="2"/>
    <n v="2"/>
    <n v="4"/>
    <x v="2"/>
    <x v="0"/>
    <x v="1"/>
    <x v="0"/>
    <x v="6"/>
    <n v="6"/>
    <x v="0"/>
    <x v="10"/>
    <x v="1"/>
    <x v="1"/>
  </r>
  <r>
    <x v="25"/>
    <x v="1"/>
    <n v="162"/>
    <n v="53"/>
    <n v="54"/>
    <m/>
    <x v="1"/>
    <x v="0"/>
    <n v="4"/>
    <x v="2"/>
    <x v="2"/>
    <n v="5"/>
    <x v="12"/>
    <x v="2"/>
    <x v="1"/>
    <x v="3"/>
    <x v="2"/>
    <x v="2"/>
    <n v="4"/>
    <n v="7"/>
    <x v="2"/>
    <n v="1"/>
    <n v="6"/>
    <x v="5"/>
    <x v="1"/>
    <x v="1"/>
    <x v="2"/>
    <x v="1"/>
    <m/>
    <x v="0"/>
    <x v="5"/>
    <x v="3"/>
    <x v="1"/>
  </r>
  <r>
    <x v="26"/>
    <x v="1"/>
    <n v="12"/>
    <n v="8"/>
    <n v="2"/>
    <m/>
    <x v="2"/>
    <x v="0"/>
    <m/>
    <x v="0"/>
    <x v="2"/>
    <m/>
    <x v="0"/>
    <x v="13"/>
    <x v="1"/>
    <x v="2"/>
    <x v="6"/>
    <x v="4"/>
    <m/>
    <n v="1"/>
    <x v="10"/>
    <m/>
    <m/>
    <x v="4"/>
    <x v="1"/>
    <x v="1"/>
    <x v="0"/>
    <x v="5"/>
    <m/>
    <x v="0"/>
    <x v="1"/>
    <x v="0"/>
    <x v="1"/>
  </r>
  <r>
    <x v="27"/>
    <x v="1"/>
    <n v="166"/>
    <n v="52"/>
    <n v="44"/>
    <n v="7"/>
    <x v="2"/>
    <x v="0"/>
    <n v="4"/>
    <x v="0"/>
    <x v="2"/>
    <n v="10"/>
    <x v="4"/>
    <x v="9"/>
    <x v="0"/>
    <x v="6"/>
    <x v="5"/>
    <x v="7"/>
    <n v="4"/>
    <n v="6"/>
    <x v="2"/>
    <n v="3"/>
    <n v="3"/>
    <x v="7"/>
    <x v="1"/>
    <x v="0"/>
    <x v="3"/>
    <x v="8"/>
    <m/>
    <x v="0"/>
    <x v="1"/>
    <x v="0"/>
    <x v="1"/>
  </r>
  <r>
    <x v="28"/>
    <x v="1"/>
    <n v="481"/>
    <n v="141"/>
    <n v="139"/>
    <n v="16"/>
    <x v="2"/>
    <x v="0"/>
    <n v="19"/>
    <x v="2"/>
    <x v="2"/>
    <n v="46"/>
    <x v="13"/>
    <x v="22"/>
    <x v="3"/>
    <x v="15"/>
    <x v="4"/>
    <x v="9"/>
    <n v="7"/>
    <n v="16"/>
    <x v="6"/>
    <n v="4"/>
    <n v="11"/>
    <x v="8"/>
    <x v="2"/>
    <x v="1"/>
    <x v="3"/>
    <x v="4"/>
    <n v="1"/>
    <x v="0"/>
    <x v="12"/>
    <x v="3"/>
    <x v="1"/>
  </r>
  <r>
    <x v="29"/>
    <x v="1"/>
    <n v="136"/>
    <n v="32"/>
    <n v="31"/>
    <n v="4"/>
    <x v="0"/>
    <x v="0"/>
    <n v="6"/>
    <x v="0"/>
    <x v="2"/>
    <n v="4"/>
    <x v="0"/>
    <x v="2"/>
    <x v="1"/>
    <x v="3"/>
    <x v="13"/>
    <x v="1"/>
    <n v="3"/>
    <n v="9"/>
    <x v="3"/>
    <n v="1"/>
    <n v="2"/>
    <x v="5"/>
    <x v="1"/>
    <x v="0"/>
    <x v="0"/>
    <x v="0"/>
    <n v="3"/>
    <x v="1"/>
    <x v="5"/>
    <x v="1"/>
    <x v="1"/>
  </r>
  <r>
    <x v="30"/>
    <x v="1"/>
    <n v="196"/>
    <n v="28"/>
    <n v="99"/>
    <n v="18"/>
    <x v="2"/>
    <x v="0"/>
    <n v="5"/>
    <x v="2"/>
    <x v="2"/>
    <n v="7"/>
    <x v="0"/>
    <x v="17"/>
    <x v="4"/>
    <x v="6"/>
    <x v="6"/>
    <x v="2"/>
    <m/>
    <n v="5"/>
    <x v="1"/>
    <n v="3"/>
    <n v="1"/>
    <x v="2"/>
    <x v="1"/>
    <x v="1"/>
    <x v="0"/>
    <x v="10"/>
    <m/>
    <x v="0"/>
    <x v="1"/>
    <x v="0"/>
    <x v="1"/>
  </r>
  <r>
    <x v="31"/>
    <x v="1"/>
    <n v="311"/>
    <n v="138"/>
    <n v="56"/>
    <n v="1"/>
    <x v="1"/>
    <x v="0"/>
    <n v="15"/>
    <x v="2"/>
    <x v="0"/>
    <n v="16"/>
    <x v="0"/>
    <x v="0"/>
    <x v="2"/>
    <x v="7"/>
    <x v="12"/>
    <x v="12"/>
    <n v="9"/>
    <n v="4"/>
    <x v="8"/>
    <n v="7"/>
    <n v="4"/>
    <x v="3"/>
    <x v="1"/>
    <x v="1"/>
    <x v="0"/>
    <x v="0"/>
    <m/>
    <x v="0"/>
    <x v="5"/>
    <x v="0"/>
    <x v="1"/>
  </r>
  <r>
    <x v="0"/>
    <x v="2"/>
    <n v="530"/>
    <n v="62"/>
    <n v="227"/>
    <n v="53"/>
    <x v="0"/>
    <x v="0"/>
    <n v="30"/>
    <x v="2"/>
    <x v="2"/>
    <n v="21"/>
    <x v="2"/>
    <x v="20"/>
    <x v="0"/>
    <x v="11"/>
    <x v="9"/>
    <x v="5"/>
    <n v="6"/>
    <n v="19"/>
    <x v="12"/>
    <n v="14"/>
    <n v="13"/>
    <x v="8"/>
    <x v="7"/>
    <x v="1"/>
    <x v="3"/>
    <x v="10"/>
    <n v="17"/>
    <x v="0"/>
    <x v="1"/>
    <x v="0"/>
    <x v="3"/>
  </r>
  <r>
    <x v="1"/>
    <x v="2"/>
    <n v="300"/>
    <n v="101"/>
    <n v="36"/>
    <n v="5"/>
    <x v="1"/>
    <x v="0"/>
    <n v="62"/>
    <x v="0"/>
    <x v="5"/>
    <n v="21"/>
    <x v="14"/>
    <x v="23"/>
    <x v="4"/>
    <x v="5"/>
    <x v="5"/>
    <x v="12"/>
    <n v="4"/>
    <n v="7"/>
    <x v="2"/>
    <n v="2"/>
    <n v="8"/>
    <x v="3"/>
    <x v="1"/>
    <x v="1"/>
    <x v="0"/>
    <x v="6"/>
    <n v="1"/>
    <x v="0"/>
    <x v="1"/>
    <x v="0"/>
    <x v="1"/>
  </r>
  <r>
    <x v="2"/>
    <x v="2"/>
    <n v="133"/>
    <n v="45"/>
    <n v="37"/>
    <n v="3"/>
    <x v="2"/>
    <x v="3"/>
    <n v="13"/>
    <x v="0"/>
    <x v="2"/>
    <n v="10"/>
    <x v="3"/>
    <x v="8"/>
    <x v="1"/>
    <x v="5"/>
    <x v="8"/>
    <x v="4"/>
    <n v="2"/>
    <n v="2"/>
    <x v="10"/>
    <m/>
    <m/>
    <x v="7"/>
    <x v="1"/>
    <x v="1"/>
    <x v="3"/>
    <x v="0"/>
    <m/>
    <x v="1"/>
    <x v="2"/>
    <x v="3"/>
    <x v="1"/>
  </r>
  <r>
    <x v="3"/>
    <x v="2"/>
    <n v="148"/>
    <n v="43"/>
    <n v="23"/>
    <n v="8"/>
    <x v="1"/>
    <x v="0"/>
    <n v="17"/>
    <x v="0"/>
    <x v="2"/>
    <n v="3"/>
    <x v="3"/>
    <x v="15"/>
    <x v="0"/>
    <x v="6"/>
    <x v="6"/>
    <x v="4"/>
    <n v="8"/>
    <n v="1"/>
    <x v="2"/>
    <n v="4"/>
    <n v="8"/>
    <x v="9"/>
    <x v="7"/>
    <x v="0"/>
    <x v="2"/>
    <x v="3"/>
    <m/>
    <x v="1"/>
    <x v="5"/>
    <x v="5"/>
    <x v="1"/>
  </r>
  <r>
    <x v="4"/>
    <x v="2"/>
    <n v="1062"/>
    <n v="122"/>
    <n v="426"/>
    <n v="121"/>
    <x v="0"/>
    <x v="3"/>
    <n v="63"/>
    <x v="2"/>
    <x v="9"/>
    <n v="27"/>
    <x v="2"/>
    <x v="21"/>
    <x v="3"/>
    <x v="16"/>
    <x v="12"/>
    <x v="3"/>
    <n v="32"/>
    <n v="37"/>
    <x v="15"/>
    <n v="24"/>
    <n v="21"/>
    <x v="0"/>
    <x v="9"/>
    <x v="1"/>
    <x v="0"/>
    <x v="14"/>
    <n v="30"/>
    <x v="5"/>
    <x v="7"/>
    <x v="5"/>
    <x v="0"/>
  </r>
  <r>
    <x v="5"/>
    <x v="2"/>
    <n v="74"/>
    <n v="28"/>
    <n v="25"/>
    <n v="1"/>
    <x v="2"/>
    <x v="0"/>
    <n v="3"/>
    <x v="2"/>
    <x v="2"/>
    <n v="7"/>
    <x v="0"/>
    <x v="24"/>
    <x v="1"/>
    <x v="5"/>
    <x v="6"/>
    <x v="2"/>
    <n v="1"/>
    <n v="2"/>
    <x v="5"/>
    <m/>
    <m/>
    <x v="4"/>
    <x v="1"/>
    <x v="1"/>
    <x v="0"/>
    <x v="5"/>
    <m/>
    <x v="0"/>
    <x v="3"/>
    <x v="0"/>
    <x v="1"/>
  </r>
  <r>
    <x v="6"/>
    <x v="2"/>
    <n v="163"/>
    <n v="67"/>
    <n v="34"/>
    <m/>
    <x v="2"/>
    <x v="0"/>
    <n v="5"/>
    <x v="0"/>
    <x v="2"/>
    <n v="8"/>
    <x v="10"/>
    <x v="1"/>
    <x v="1"/>
    <x v="2"/>
    <x v="5"/>
    <x v="1"/>
    <n v="1"/>
    <n v="2"/>
    <x v="3"/>
    <n v="2"/>
    <n v="10"/>
    <x v="8"/>
    <x v="1"/>
    <x v="1"/>
    <x v="3"/>
    <x v="1"/>
    <m/>
    <x v="1"/>
    <x v="1"/>
    <x v="0"/>
    <x v="2"/>
  </r>
  <r>
    <x v="7"/>
    <x v="2"/>
    <n v="361"/>
    <n v="43"/>
    <n v="149"/>
    <n v="52"/>
    <x v="7"/>
    <x v="0"/>
    <n v="25"/>
    <x v="0"/>
    <x v="5"/>
    <n v="7"/>
    <x v="0"/>
    <x v="12"/>
    <x v="1"/>
    <x v="7"/>
    <x v="6"/>
    <x v="12"/>
    <n v="10"/>
    <n v="4"/>
    <x v="0"/>
    <n v="6"/>
    <n v="1"/>
    <x v="2"/>
    <x v="0"/>
    <x v="1"/>
    <x v="0"/>
    <x v="8"/>
    <n v="9"/>
    <x v="1"/>
    <x v="7"/>
    <x v="0"/>
    <x v="2"/>
  </r>
  <r>
    <x v="8"/>
    <x v="2"/>
    <n v="179"/>
    <n v="59"/>
    <n v="49"/>
    <n v="1"/>
    <x v="2"/>
    <x v="0"/>
    <n v="7"/>
    <x v="0"/>
    <x v="2"/>
    <n v="16"/>
    <x v="4"/>
    <x v="4"/>
    <x v="0"/>
    <x v="1"/>
    <x v="0"/>
    <x v="7"/>
    <m/>
    <n v="4"/>
    <x v="3"/>
    <n v="1"/>
    <n v="2"/>
    <x v="4"/>
    <x v="2"/>
    <x v="1"/>
    <x v="0"/>
    <x v="0"/>
    <m/>
    <x v="1"/>
    <x v="2"/>
    <x v="3"/>
    <x v="1"/>
  </r>
  <r>
    <x v="9"/>
    <x v="2"/>
    <n v="96"/>
    <n v="35"/>
    <n v="13"/>
    <n v="5"/>
    <x v="2"/>
    <x v="0"/>
    <n v="12"/>
    <x v="0"/>
    <x v="2"/>
    <n v="4"/>
    <x v="4"/>
    <x v="15"/>
    <x v="1"/>
    <x v="7"/>
    <x v="5"/>
    <x v="12"/>
    <n v="3"/>
    <m/>
    <x v="7"/>
    <m/>
    <n v="1"/>
    <x v="4"/>
    <x v="1"/>
    <x v="1"/>
    <x v="0"/>
    <x v="3"/>
    <m/>
    <x v="0"/>
    <x v="5"/>
    <x v="0"/>
    <x v="1"/>
  </r>
  <r>
    <x v="10"/>
    <x v="2"/>
    <n v="140"/>
    <n v="54"/>
    <n v="31"/>
    <n v="4"/>
    <x v="2"/>
    <x v="0"/>
    <n v="5"/>
    <x v="4"/>
    <x v="0"/>
    <n v="11"/>
    <x v="2"/>
    <x v="1"/>
    <x v="1"/>
    <x v="5"/>
    <x v="5"/>
    <x v="12"/>
    <n v="2"/>
    <n v="4"/>
    <x v="7"/>
    <m/>
    <n v="1"/>
    <x v="4"/>
    <x v="1"/>
    <x v="1"/>
    <x v="0"/>
    <x v="1"/>
    <n v="1"/>
    <x v="1"/>
    <x v="3"/>
    <x v="0"/>
    <x v="1"/>
  </r>
  <r>
    <x v="11"/>
    <x v="2"/>
    <n v="98"/>
    <n v="31"/>
    <n v="25"/>
    <n v="3"/>
    <x v="2"/>
    <x v="0"/>
    <n v="9"/>
    <x v="0"/>
    <x v="2"/>
    <n v="3"/>
    <x v="0"/>
    <x v="15"/>
    <x v="0"/>
    <x v="5"/>
    <x v="6"/>
    <x v="12"/>
    <m/>
    <n v="4"/>
    <x v="3"/>
    <m/>
    <n v="6"/>
    <x v="4"/>
    <x v="2"/>
    <x v="1"/>
    <x v="0"/>
    <x v="1"/>
    <m/>
    <x v="0"/>
    <x v="3"/>
    <x v="0"/>
    <x v="1"/>
  </r>
  <r>
    <x v="12"/>
    <x v="2"/>
    <n v="194"/>
    <n v="57"/>
    <n v="52"/>
    <n v="2"/>
    <x v="2"/>
    <x v="0"/>
    <n v="7"/>
    <x v="2"/>
    <x v="2"/>
    <n v="12"/>
    <x v="2"/>
    <x v="12"/>
    <x v="4"/>
    <x v="3"/>
    <x v="3"/>
    <x v="5"/>
    <n v="3"/>
    <n v="8"/>
    <x v="0"/>
    <n v="1"/>
    <n v="3"/>
    <x v="4"/>
    <x v="7"/>
    <x v="1"/>
    <x v="0"/>
    <x v="0"/>
    <n v="1"/>
    <x v="0"/>
    <x v="5"/>
    <x v="3"/>
    <x v="1"/>
  </r>
  <r>
    <x v="13"/>
    <x v="2"/>
    <n v="436"/>
    <n v="132"/>
    <n v="157"/>
    <n v="1"/>
    <x v="0"/>
    <x v="0"/>
    <n v="10"/>
    <x v="0"/>
    <x v="0"/>
    <n v="34"/>
    <x v="13"/>
    <x v="3"/>
    <x v="4"/>
    <x v="6"/>
    <x v="6"/>
    <x v="11"/>
    <n v="9"/>
    <n v="9"/>
    <x v="0"/>
    <n v="7"/>
    <n v="7"/>
    <x v="4"/>
    <x v="1"/>
    <x v="0"/>
    <x v="0"/>
    <x v="10"/>
    <n v="3"/>
    <x v="0"/>
    <x v="0"/>
    <x v="0"/>
    <x v="1"/>
  </r>
  <r>
    <x v="14"/>
    <x v="2"/>
    <n v="1724"/>
    <n v="122"/>
    <n v="689"/>
    <n v="346"/>
    <x v="1"/>
    <x v="1"/>
    <n v="53"/>
    <x v="2"/>
    <x v="2"/>
    <n v="30"/>
    <x v="3"/>
    <x v="11"/>
    <x v="3"/>
    <x v="17"/>
    <x v="11"/>
    <x v="14"/>
    <n v="46"/>
    <n v="61"/>
    <x v="16"/>
    <n v="70"/>
    <n v="25"/>
    <x v="5"/>
    <x v="10"/>
    <x v="1"/>
    <x v="2"/>
    <x v="15"/>
    <n v="58"/>
    <x v="5"/>
    <x v="13"/>
    <x v="4"/>
    <x v="1"/>
  </r>
  <r>
    <x v="15"/>
    <x v="2"/>
    <n v="231"/>
    <n v="93"/>
    <n v="39"/>
    <n v="1"/>
    <x v="1"/>
    <x v="0"/>
    <n v="6"/>
    <x v="3"/>
    <x v="0"/>
    <n v="14"/>
    <x v="6"/>
    <x v="0"/>
    <x v="4"/>
    <x v="5"/>
    <x v="5"/>
    <x v="12"/>
    <n v="6"/>
    <n v="14"/>
    <x v="10"/>
    <n v="1"/>
    <n v="8"/>
    <x v="11"/>
    <x v="1"/>
    <x v="1"/>
    <x v="3"/>
    <x v="0"/>
    <m/>
    <x v="0"/>
    <x v="5"/>
    <x v="1"/>
    <x v="0"/>
  </r>
  <r>
    <x v="16"/>
    <x v="2"/>
    <n v="151"/>
    <n v="18"/>
    <n v="43"/>
    <n v="39"/>
    <x v="2"/>
    <x v="0"/>
    <n v="8"/>
    <x v="0"/>
    <x v="2"/>
    <n v="14"/>
    <x v="0"/>
    <x v="15"/>
    <x v="0"/>
    <x v="5"/>
    <x v="4"/>
    <x v="12"/>
    <m/>
    <n v="6"/>
    <x v="7"/>
    <n v="4"/>
    <n v="2"/>
    <x v="4"/>
    <x v="1"/>
    <x v="1"/>
    <x v="0"/>
    <x v="1"/>
    <m/>
    <x v="0"/>
    <x v="3"/>
    <x v="0"/>
    <x v="1"/>
  </r>
  <r>
    <x v="17"/>
    <x v="2"/>
    <n v="119"/>
    <n v="44"/>
    <n v="18"/>
    <n v="2"/>
    <x v="1"/>
    <x v="0"/>
    <n v="12"/>
    <x v="2"/>
    <x v="0"/>
    <n v="8"/>
    <x v="4"/>
    <x v="9"/>
    <x v="1"/>
    <x v="5"/>
    <x v="2"/>
    <x v="12"/>
    <n v="2"/>
    <n v="2"/>
    <x v="3"/>
    <n v="1"/>
    <n v="1"/>
    <x v="7"/>
    <x v="2"/>
    <x v="1"/>
    <x v="0"/>
    <x v="0"/>
    <m/>
    <x v="1"/>
    <x v="3"/>
    <x v="0"/>
    <x v="1"/>
  </r>
  <r>
    <x v="18"/>
    <x v="2"/>
    <n v="110"/>
    <n v="38"/>
    <n v="20"/>
    <m/>
    <x v="1"/>
    <x v="0"/>
    <n v="12"/>
    <x v="3"/>
    <x v="5"/>
    <n v="6"/>
    <x v="4"/>
    <x v="4"/>
    <x v="1"/>
    <x v="2"/>
    <x v="5"/>
    <x v="1"/>
    <n v="1"/>
    <n v="1"/>
    <x v="5"/>
    <n v="2"/>
    <n v="4"/>
    <x v="7"/>
    <x v="1"/>
    <x v="1"/>
    <x v="3"/>
    <x v="1"/>
    <n v="2"/>
    <x v="1"/>
    <x v="1"/>
    <x v="0"/>
    <x v="1"/>
  </r>
  <r>
    <x v="19"/>
    <x v="2"/>
    <n v="22"/>
    <n v="17"/>
    <m/>
    <m/>
    <x v="2"/>
    <x v="0"/>
    <m/>
    <x v="0"/>
    <x v="2"/>
    <m/>
    <x v="0"/>
    <x v="7"/>
    <x v="1"/>
    <x v="2"/>
    <x v="6"/>
    <x v="4"/>
    <m/>
    <n v="1"/>
    <x v="10"/>
    <m/>
    <n v="1"/>
    <x v="7"/>
    <x v="7"/>
    <x v="1"/>
    <x v="0"/>
    <x v="5"/>
    <m/>
    <x v="0"/>
    <x v="1"/>
    <x v="0"/>
    <x v="1"/>
  </r>
  <r>
    <x v="20"/>
    <x v="2"/>
    <n v="210"/>
    <n v="70"/>
    <n v="48"/>
    <n v="5"/>
    <x v="2"/>
    <x v="0"/>
    <n v="19"/>
    <x v="0"/>
    <x v="2"/>
    <n v="21"/>
    <x v="4"/>
    <x v="17"/>
    <x v="1"/>
    <x v="2"/>
    <x v="6"/>
    <x v="1"/>
    <n v="2"/>
    <n v="6"/>
    <x v="6"/>
    <n v="2"/>
    <n v="7"/>
    <x v="5"/>
    <x v="1"/>
    <x v="0"/>
    <x v="3"/>
    <x v="6"/>
    <m/>
    <x v="0"/>
    <x v="2"/>
    <x v="1"/>
    <x v="1"/>
  </r>
  <r>
    <x v="21"/>
    <x v="2"/>
    <n v="509"/>
    <n v="147"/>
    <n v="178"/>
    <n v="7"/>
    <x v="2"/>
    <x v="0"/>
    <n v="13"/>
    <x v="0"/>
    <x v="2"/>
    <n v="56"/>
    <x v="3"/>
    <x v="25"/>
    <x v="8"/>
    <x v="1"/>
    <x v="8"/>
    <x v="10"/>
    <n v="10"/>
    <n v="10"/>
    <x v="13"/>
    <n v="3"/>
    <n v="12"/>
    <x v="7"/>
    <x v="0"/>
    <x v="1"/>
    <x v="3"/>
    <x v="10"/>
    <m/>
    <x v="1"/>
    <x v="5"/>
    <x v="0"/>
    <x v="1"/>
  </r>
  <r>
    <x v="22"/>
    <x v="2"/>
    <n v="17"/>
    <n v="7"/>
    <n v="3"/>
    <m/>
    <x v="2"/>
    <x v="0"/>
    <m/>
    <x v="3"/>
    <x v="2"/>
    <m/>
    <x v="2"/>
    <x v="8"/>
    <x v="1"/>
    <x v="2"/>
    <x v="6"/>
    <x v="4"/>
    <m/>
    <m/>
    <x v="10"/>
    <m/>
    <m/>
    <x v="4"/>
    <x v="1"/>
    <x v="1"/>
    <x v="0"/>
    <x v="5"/>
    <m/>
    <x v="0"/>
    <x v="1"/>
    <x v="0"/>
    <x v="1"/>
  </r>
  <r>
    <x v="23"/>
    <x v="2"/>
    <n v="199"/>
    <n v="54"/>
    <n v="46"/>
    <n v="14"/>
    <x v="2"/>
    <x v="0"/>
    <n v="12"/>
    <x v="0"/>
    <x v="0"/>
    <n v="9"/>
    <x v="13"/>
    <x v="6"/>
    <x v="1"/>
    <x v="2"/>
    <x v="10"/>
    <x v="1"/>
    <n v="4"/>
    <n v="3"/>
    <x v="1"/>
    <n v="4"/>
    <n v="4"/>
    <x v="3"/>
    <x v="1"/>
    <x v="1"/>
    <x v="0"/>
    <x v="6"/>
    <m/>
    <x v="1"/>
    <x v="2"/>
    <x v="0"/>
    <x v="1"/>
  </r>
  <r>
    <x v="24"/>
    <x v="2"/>
    <n v="355"/>
    <n v="66"/>
    <n v="114"/>
    <n v="60"/>
    <x v="2"/>
    <x v="0"/>
    <n v="23"/>
    <x v="2"/>
    <x v="2"/>
    <n v="17"/>
    <x v="2"/>
    <x v="17"/>
    <x v="7"/>
    <x v="6"/>
    <x v="5"/>
    <x v="5"/>
    <n v="4"/>
    <n v="11"/>
    <x v="3"/>
    <n v="7"/>
    <n v="5"/>
    <x v="4"/>
    <x v="7"/>
    <x v="1"/>
    <x v="1"/>
    <x v="4"/>
    <n v="1"/>
    <x v="0"/>
    <x v="6"/>
    <x v="0"/>
    <x v="1"/>
  </r>
  <r>
    <x v="25"/>
    <x v="2"/>
    <n v="139"/>
    <n v="33"/>
    <n v="39"/>
    <n v="3"/>
    <x v="1"/>
    <x v="0"/>
    <n v="16"/>
    <x v="0"/>
    <x v="1"/>
    <n v="4"/>
    <x v="10"/>
    <x v="1"/>
    <x v="1"/>
    <x v="6"/>
    <x v="6"/>
    <x v="2"/>
    <n v="1"/>
    <n v="4"/>
    <x v="7"/>
    <n v="2"/>
    <n v="3"/>
    <x v="7"/>
    <x v="1"/>
    <x v="1"/>
    <x v="0"/>
    <x v="9"/>
    <m/>
    <x v="0"/>
    <x v="1"/>
    <x v="3"/>
    <x v="1"/>
  </r>
  <r>
    <x v="26"/>
    <x v="2"/>
    <n v="18"/>
    <n v="9"/>
    <m/>
    <m/>
    <x v="2"/>
    <x v="0"/>
    <m/>
    <x v="0"/>
    <x v="0"/>
    <n v="2"/>
    <x v="0"/>
    <x v="13"/>
    <x v="1"/>
    <x v="2"/>
    <x v="6"/>
    <x v="4"/>
    <m/>
    <m/>
    <x v="10"/>
    <n v="1"/>
    <n v="2"/>
    <x v="7"/>
    <x v="1"/>
    <x v="1"/>
    <x v="0"/>
    <x v="1"/>
    <m/>
    <x v="0"/>
    <x v="1"/>
    <x v="0"/>
    <x v="1"/>
  </r>
  <r>
    <x v="27"/>
    <x v="2"/>
    <n v="126"/>
    <n v="38"/>
    <n v="39"/>
    <n v="2"/>
    <x v="2"/>
    <x v="0"/>
    <n v="7"/>
    <x v="0"/>
    <x v="2"/>
    <n v="4"/>
    <x v="4"/>
    <x v="24"/>
    <x v="1"/>
    <x v="5"/>
    <x v="6"/>
    <x v="4"/>
    <n v="7"/>
    <n v="9"/>
    <x v="10"/>
    <n v="2"/>
    <n v="2"/>
    <x v="5"/>
    <x v="7"/>
    <x v="1"/>
    <x v="0"/>
    <x v="3"/>
    <m/>
    <x v="0"/>
    <x v="5"/>
    <x v="0"/>
    <x v="2"/>
  </r>
  <r>
    <x v="28"/>
    <x v="2"/>
    <n v="428"/>
    <n v="120"/>
    <n v="155"/>
    <n v="10"/>
    <x v="1"/>
    <x v="0"/>
    <n v="23"/>
    <x v="3"/>
    <x v="0"/>
    <n v="33"/>
    <x v="4"/>
    <x v="0"/>
    <x v="1"/>
    <x v="7"/>
    <x v="2"/>
    <x v="5"/>
    <n v="15"/>
    <n v="15"/>
    <x v="3"/>
    <n v="6"/>
    <n v="8"/>
    <x v="4"/>
    <x v="2"/>
    <x v="1"/>
    <x v="3"/>
    <x v="0"/>
    <m/>
    <x v="0"/>
    <x v="3"/>
    <x v="0"/>
    <x v="1"/>
  </r>
  <r>
    <x v="29"/>
    <x v="2"/>
    <n v="123"/>
    <n v="30"/>
    <n v="21"/>
    <n v="3"/>
    <x v="0"/>
    <x v="1"/>
    <n v="11"/>
    <x v="2"/>
    <x v="2"/>
    <n v="5"/>
    <x v="2"/>
    <x v="9"/>
    <x v="0"/>
    <x v="6"/>
    <x v="7"/>
    <x v="2"/>
    <m/>
    <n v="4"/>
    <x v="10"/>
    <n v="1"/>
    <n v="1"/>
    <x v="8"/>
    <x v="2"/>
    <x v="0"/>
    <x v="0"/>
    <x v="6"/>
    <n v="2"/>
    <x v="0"/>
    <x v="5"/>
    <x v="0"/>
    <x v="1"/>
  </r>
  <r>
    <x v="30"/>
    <x v="2"/>
    <n v="194"/>
    <n v="46"/>
    <n v="90"/>
    <n v="10"/>
    <x v="2"/>
    <x v="0"/>
    <n v="2"/>
    <x v="0"/>
    <x v="2"/>
    <n v="7"/>
    <x v="0"/>
    <x v="15"/>
    <x v="3"/>
    <x v="5"/>
    <x v="6"/>
    <x v="12"/>
    <n v="3"/>
    <n v="7"/>
    <x v="6"/>
    <n v="1"/>
    <n v="5"/>
    <x v="2"/>
    <x v="2"/>
    <x v="1"/>
    <x v="0"/>
    <x v="9"/>
    <m/>
    <x v="0"/>
    <x v="3"/>
    <x v="0"/>
    <x v="1"/>
  </r>
  <r>
    <x v="31"/>
    <x v="2"/>
    <n v="285"/>
    <n v="105"/>
    <n v="53"/>
    <n v="3"/>
    <x v="4"/>
    <x v="1"/>
    <n v="16"/>
    <x v="0"/>
    <x v="2"/>
    <n v="14"/>
    <x v="4"/>
    <x v="21"/>
    <x v="7"/>
    <x v="3"/>
    <x v="11"/>
    <x v="15"/>
    <n v="6"/>
    <n v="15"/>
    <x v="6"/>
    <n v="5"/>
    <n v="4"/>
    <x v="2"/>
    <x v="2"/>
    <x v="1"/>
    <x v="0"/>
    <x v="9"/>
    <m/>
    <x v="0"/>
    <x v="5"/>
    <x v="0"/>
    <x v="1"/>
  </r>
  <r>
    <x v="0"/>
    <x v="3"/>
    <n v="452"/>
    <n v="66"/>
    <n v="167"/>
    <n v="50"/>
    <x v="7"/>
    <x v="1"/>
    <n v="28"/>
    <x v="4"/>
    <x v="2"/>
    <n v="4"/>
    <x v="2"/>
    <x v="6"/>
    <x v="0"/>
    <x v="12"/>
    <x v="12"/>
    <x v="9"/>
    <n v="10"/>
    <n v="13"/>
    <x v="8"/>
    <n v="14"/>
    <n v="9"/>
    <x v="11"/>
    <x v="2"/>
    <x v="0"/>
    <x v="0"/>
    <x v="11"/>
    <n v="9"/>
    <x v="0"/>
    <x v="1"/>
    <x v="0"/>
    <x v="0"/>
  </r>
  <r>
    <x v="1"/>
    <x v="3"/>
    <n v="268"/>
    <n v="85"/>
    <n v="33"/>
    <n v="2"/>
    <x v="9"/>
    <x v="1"/>
    <n v="47"/>
    <x v="5"/>
    <x v="0"/>
    <n v="11"/>
    <x v="15"/>
    <x v="21"/>
    <x v="1"/>
    <x v="3"/>
    <x v="2"/>
    <x v="5"/>
    <n v="5"/>
    <n v="6"/>
    <x v="0"/>
    <n v="3"/>
    <n v="3"/>
    <x v="2"/>
    <x v="1"/>
    <x v="1"/>
    <x v="0"/>
    <x v="9"/>
    <n v="1"/>
    <x v="1"/>
    <x v="1"/>
    <x v="0"/>
    <x v="1"/>
  </r>
  <r>
    <x v="2"/>
    <x v="3"/>
    <n v="134"/>
    <n v="35"/>
    <n v="27"/>
    <n v="4"/>
    <x v="1"/>
    <x v="1"/>
    <n v="15"/>
    <x v="4"/>
    <x v="2"/>
    <n v="12"/>
    <x v="10"/>
    <x v="4"/>
    <x v="1"/>
    <x v="2"/>
    <x v="5"/>
    <x v="1"/>
    <n v="3"/>
    <n v="3"/>
    <x v="10"/>
    <n v="2"/>
    <n v="3"/>
    <x v="4"/>
    <x v="1"/>
    <x v="1"/>
    <x v="0"/>
    <x v="3"/>
    <m/>
    <x v="0"/>
    <x v="0"/>
    <x v="0"/>
    <x v="2"/>
  </r>
  <r>
    <x v="3"/>
    <x v="3"/>
    <n v="134"/>
    <n v="35"/>
    <n v="31"/>
    <n v="8"/>
    <x v="2"/>
    <x v="0"/>
    <n v="12"/>
    <x v="3"/>
    <x v="2"/>
    <n v="6"/>
    <x v="3"/>
    <x v="15"/>
    <x v="4"/>
    <x v="5"/>
    <x v="6"/>
    <x v="12"/>
    <n v="1"/>
    <n v="3"/>
    <x v="7"/>
    <n v="3"/>
    <n v="4"/>
    <x v="3"/>
    <x v="7"/>
    <x v="3"/>
    <x v="3"/>
    <x v="5"/>
    <m/>
    <x v="1"/>
    <x v="2"/>
    <x v="3"/>
    <x v="2"/>
  </r>
  <r>
    <x v="4"/>
    <x v="3"/>
    <n v="957"/>
    <n v="101"/>
    <n v="378"/>
    <n v="153"/>
    <x v="7"/>
    <x v="0"/>
    <n v="53"/>
    <x v="2"/>
    <x v="10"/>
    <n v="19"/>
    <x v="0"/>
    <x v="17"/>
    <x v="0"/>
    <x v="18"/>
    <x v="7"/>
    <x v="16"/>
    <n v="23"/>
    <n v="29"/>
    <x v="12"/>
    <n v="23"/>
    <n v="17"/>
    <x v="12"/>
    <x v="11"/>
    <x v="1"/>
    <x v="3"/>
    <x v="16"/>
    <n v="31"/>
    <x v="4"/>
    <x v="9"/>
    <x v="3"/>
    <x v="2"/>
  </r>
  <r>
    <x v="5"/>
    <x v="3"/>
    <n v="66"/>
    <n v="20"/>
    <n v="18"/>
    <n v="1"/>
    <x v="2"/>
    <x v="1"/>
    <n v="4"/>
    <x v="0"/>
    <x v="2"/>
    <n v="3"/>
    <x v="3"/>
    <x v="15"/>
    <x v="0"/>
    <x v="2"/>
    <x v="2"/>
    <x v="4"/>
    <n v="3"/>
    <n v="2"/>
    <x v="10"/>
    <n v="2"/>
    <n v="2"/>
    <x v="4"/>
    <x v="2"/>
    <x v="1"/>
    <x v="3"/>
    <x v="5"/>
    <m/>
    <x v="0"/>
    <x v="1"/>
    <x v="3"/>
    <x v="1"/>
  </r>
  <r>
    <x v="6"/>
    <x v="3"/>
    <n v="171"/>
    <n v="65"/>
    <n v="34"/>
    <m/>
    <x v="1"/>
    <x v="0"/>
    <n v="6"/>
    <x v="0"/>
    <x v="2"/>
    <n v="9"/>
    <x v="8"/>
    <x v="6"/>
    <x v="0"/>
    <x v="6"/>
    <x v="8"/>
    <x v="12"/>
    <n v="5"/>
    <n v="8"/>
    <x v="2"/>
    <n v="1"/>
    <n v="3"/>
    <x v="7"/>
    <x v="1"/>
    <x v="1"/>
    <x v="3"/>
    <x v="0"/>
    <m/>
    <x v="0"/>
    <x v="1"/>
    <x v="0"/>
    <x v="1"/>
  </r>
  <r>
    <x v="7"/>
    <x v="3"/>
    <n v="343"/>
    <n v="68"/>
    <n v="113"/>
    <n v="50"/>
    <x v="9"/>
    <x v="0"/>
    <n v="35"/>
    <x v="0"/>
    <x v="2"/>
    <n v="4"/>
    <x v="0"/>
    <x v="9"/>
    <x v="0"/>
    <x v="5"/>
    <x v="4"/>
    <x v="5"/>
    <n v="4"/>
    <n v="8"/>
    <x v="3"/>
    <n v="8"/>
    <n v="7"/>
    <x v="5"/>
    <x v="0"/>
    <x v="1"/>
    <x v="0"/>
    <x v="9"/>
    <n v="8"/>
    <x v="1"/>
    <x v="1"/>
    <x v="0"/>
    <x v="0"/>
  </r>
  <r>
    <x v="8"/>
    <x v="3"/>
    <n v="161"/>
    <n v="74"/>
    <n v="21"/>
    <n v="5"/>
    <x v="2"/>
    <x v="0"/>
    <n v="6"/>
    <x v="3"/>
    <x v="2"/>
    <n v="12"/>
    <x v="12"/>
    <x v="4"/>
    <x v="1"/>
    <x v="3"/>
    <x v="8"/>
    <x v="2"/>
    <n v="1"/>
    <n v="9"/>
    <x v="3"/>
    <n v="1"/>
    <n v="3"/>
    <x v="4"/>
    <x v="2"/>
    <x v="1"/>
    <x v="0"/>
    <x v="1"/>
    <m/>
    <x v="0"/>
    <x v="5"/>
    <x v="3"/>
    <x v="1"/>
  </r>
  <r>
    <x v="9"/>
    <x v="3"/>
    <n v="112"/>
    <n v="50"/>
    <n v="13"/>
    <n v="2"/>
    <x v="2"/>
    <x v="0"/>
    <n v="4"/>
    <x v="2"/>
    <x v="2"/>
    <n v="7"/>
    <x v="0"/>
    <x v="24"/>
    <x v="1"/>
    <x v="6"/>
    <x v="0"/>
    <x v="12"/>
    <n v="2"/>
    <n v="4"/>
    <x v="2"/>
    <m/>
    <n v="3"/>
    <x v="4"/>
    <x v="2"/>
    <x v="1"/>
    <x v="0"/>
    <x v="9"/>
    <m/>
    <x v="0"/>
    <x v="5"/>
    <x v="0"/>
    <x v="1"/>
  </r>
  <r>
    <x v="10"/>
    <x v="3"/>
    <n v="139"/>
    <n v="64"/>
    <n v="28"/>
    <n v="1"/>
    <x v="2"/>
    <x v="0"/>
    <n v="10"/>
    <x v="0"/>
    <x v="2"/>
    <n v="4"/>
    <x v="2"/>
    <x v="2"/>
    <x v="1"/>
    <x v="2"/>
    <x v="2"/>
    <x v="8"/>
    <n v="2"/>
    <n v="5"/>
    <x v="6"/>
    <n v="1"/>
    <n v="1"/>
    <x v="7"/>
    <x v="7"/>
    <x v="1"/>
    <x v="0"/>
    <x v="1"/>
    <n v="1"/>
    <x v="0"/>
    <x v="1"/>
    <x v="0"/>
    <x v="1"/>
  </r>
  <r>
    <x v="11"/>
    <x v="3"/>
    <n v="105"/>
    <n v="29"/>
    <n v="31"/>
    <n v="8"/>
    <x v="2"/>
    <x v="0"/>
    <n v="7"/>
    <x v="0"/>
    <x v="2"/>
    <n v="9"/>
    <x v="0"/>
    <x v="7"/>
    <x v="0"/>
    <x v="6"/>
    <x v="6"/>
    <x v="2"/>
    <n v="1"/>
    <n v="5"/>
    <x v="1"/>
    <m/>
    <n v="2"/>
    <x v="4"/>
    <x v="1"/>
    <x v="1"/>
    <x v="0"/>
    <x v="1"/>
    <m/>
    <x v="0"/>
    <x v="1"/>
    <x v="3"/>
    <x v="1"/>
  </r>
  <r>
    <x v="12"/>
    <x v="3"/>
    <n v="156"/>
    <n v="48"/>
    <n v="46"/>
    <n v="3"/>
    <x v="2"/>
    <x v="0"/>
    <n v="4"/>
    <x v="2"/>
    <x v="0"/>
    <n v="10"/>
    <x v="0"/>
    <x v="2"/>
    <x v="3"/>
    <x v="3"/>
    <x v="14"/>
    <x v="1"/>
    <n v="3"/>
    <n v="3"/>
    <x v="3"/>
    <n v="1"/>
    <n v="2"/>
    <x v="7"/>
    <x v="1"/>
    <x v="1"/>
    <x v="0"/>
    <x v="3"/>
    <m/>
    <x v="0"/>
    <x v="3"/>
    <x v="3"/>
    <x v="1"/>
  </r>
  <r>
    <x v="13"/>
    <x v="3"/>
    <n v="430"/>
    <n v="156"/>
    <n v="131"/>
    <n v="1"/>
    <x v="1"/>
    <x v="0"/>
    <n v="9"/>
    <x v="0"/>
    <x v="2"/>
    <n v="35"/>
    <x v="12"/>
    <x v="3"/>
    <x v="4"/>
    <x v="3"/>
    <x v="5"/>
    <x v="7"/>
    <n v="9"/>
    <n v="12"/>
    <x v="1"/>
    <n v="6"/>
    <n v="8"/>
    <x v="8"/>
    <x v="2"/>
    <x v="0"/>
    <x v="0"/>
    <x v="9"/>
    <n v="2"/>
    <x v="0"/>
    <x v="2"/>
    <x v="0"/>
    <x v="1"/>
  </r>
  <r>
    <x v="14"/>
    <x v="3"/>
    <n v="1468"/>
    <n v="142"/>
    <n v="562"/>
    <n v="283"/>
    <x v="9"/>
    <x v="0"/>
    <n v="50"/>
    <x v="0"/>
    <x v="2"/>
    <n v="39"/>
    <x v="0"/>
    <x v="22"/>
    <x v="9"/>
    <x v="19"/>
    <x v="11"/>
    <x v="13"/>
    <n v="25"/>
    <n v="47"/>
    <x v="17"/>
    <n v="49"/>
    <n v="37"/>
    <x v="1"/>
    <x v="12"/>
    <x v="1"/>
    <x v="0"/>
    <x v="17"/>
    <n v="36"/>
    <x v="4"/>
    <x v="11"/>
    <x v="6"/>
    <x v="1"/>
  </r>
  <r>
    <x v="15"/>
    <x v="3"/>
    <n v="220"/>
    <n v="94"/>
    <n v="24"/>
    <n v="2"/>
    <x v="1"/>
    <x v="0"/>
    <n v="5"/>
    <x v="2"/>
    <x v="6"/>
    <n v="19"/>
    <x v="6"/>
    <x v="1"/>
    <x v="0"/>
    <x v="5"/>
    <x v="8"/>
    <x v="1"/>
    <n v="7"/>
    <n v="4"/>
    <x v="3"/>
    <n v="5"/>
    <n v="4"/>
    <x v="8"/>
    <x v="2"/>
    <x v="4"/>
    <x v="2"/>
    <x v="6"/>
    <m/>
    <x v="4"/>
    <x v="3"/>
    <x v="0"/>
    <x v="0"/>
  </r>
  <r>
    <x v="16"/>
    <x v="3"/>
    <n v="125"/>
    <n v="20"/>
    <n v="31"/>
    <n v="37"/>
    <x v="2"/>
    <x v="0"/>
    <n v="9"/>
    <x v="0"/>
    <x v="0"/>
    <m/>
    <x v="0"/>
    <x v="15"/>
    <x v="1"/>
    <x v="2"/>
    <x v="5"/>
    <x v="1"/>
    <n v="1"/>
    <n v="4"/>
    <x v="7"/>
    <n v="1"/>
    <n v="4"/>
    <x v="7"/>
    <x v="1"/>
    <x v="1"/>
    <x v="3"/>
    <x v="5"/>
    <m/>
    <x v="0"/>
    <x v="6"/>
    <x v="0"/>
    <x v="1"/>
  </r>
  <r>
    <x v="17"/>
    <x v="3"/>
    <n v="122"/>
    <n v="56"/>
    <n v="26"/>
    <n v="2"/>
    <x v="1"/>
    <x v="0"/>
    <n v="6"/>
    <x v="2"/>
    <x v="0"/>
    <n v="5"/>
    <x v="0"/>
    <x v="15"/>
    <x v="1"/>
    <x v="2"/>
    <x v="6"/>
    <x v="4"/>
    <n v="2"/>
    <n v="5"/>
    <x v="2"/>
    <n v="1"/>
    <n v="4"/>
    <x v="4"/>
    <x v="2"/>
    <x v="1"/>
    <x v="3"/>
    <x v="3"/>
    <m/>
    <x v="0"/>
    <x v="1"/>
    <x v="0"/>
    <x v="1"/>
  </r>
  <r>
    <x v="18"/>
    <x v="3"/>
    <n v="89"/>
    <n v="39"/>
    <n v="7"/>
    <m/>
    <x v="2"/>
    <x v="0"/>
    <n v="11"/>
    <x v="0"/>
    <x v="2"/>
    <n v="2"/>
    <x v="12"/>
    <x v="17"/>
    <x v="1"/>
    <x v="2"/>
    <x v="2"/>
    <x v="2"/>
    <n v="1"/>
    <n v="2"/>
    <x v="2"/>
    <n v="2"/>
    <n v="1"/>
    <x v="5"/>
    <x v="1"/>
    <x v="1"/>
    <x v="0"/>
    <x v="5"/>
    <m/>
    <x v="0"/>
    <x v="1"/>
    <x v="0"/>
    <x v="3"/>
  </r>
  <r>
    <x v="19"/>
    <x v="3"/>
    <n v="32"/>
    <n v="23"/>
    <m/>
    <m/>
    <x v="2"/>
    <x v="0"/>
    <m/>
    <x v="0"/>
    <x v="2"/>
    <n v="1"/>
    <x v="0"/>
    <x v="13"/>
    <x v="1"/>
    <x v="5"/>
    <x v="6"/>
    <x v="4"/>
    <n v="1"/>
    <n v="1"/>
    <x v="6"/>
    <m/>
    <m/>
    <x v="7"/>
    <x v="1"/>
    <x v="1"/>
    <x v="0"/>
    <x v="5"/>
    <m/>
    <x v="0"/>
    <x v="1"/>
    <x v="0"/>
    <x v="1"/>
  </r>
  <r>
    <x v="20"/>
    <x v="3"/>
    <n v="200"/>
    <n v="78"/>
    <n v="54"/>
    <n v="8"/>
    <x v="2"/>
    <x v="0"/>
    <n v="13"/>
    <x v="2"/>
    <x v="2"/>
    <n v="11"/>
    <x v="3"/>
    <x v="17"/>
    <x v="1"/>
    <x v="2"/>
    <x v="6"/>
    <x v="7"/>
    <n v="1"/>
    <n v="4"/>
    <x v="7"/>
    <m/>
    <n v="3"/>
    <x v="7"/>
    <x v="7"/>
    <x v="1"/>
    <x v="3"/>
    <x v="8"/>
    <m/>
    <x v="0"/>
    <x v="3"/>
    <x v="0"/>
    <x v="1"/>
  </r>
  <r>
    <x v="21"/>
    <x v="3"/>
    <n v="503"/>
    <n v="152"/>
    <n v="181"/>
    <n v="8"/>
    <x v="2"/>
    <x v="0"/>
    <n v="17"/>
    <x v="3"/>
    <x v="2"/>
    <n v="36"/>
    <x v="2"/>
    <x v="0"/>
    <x v="0"/>
    <x v="8"/>
    <x v="9"/>
    <x v="11"/>
    <n v="9"/>
    <n v="15"/>
    <x v="8"/>
    <n v="3"/>
    <n v="15"/>
    <x v="4"/>
    <x v="1"/>
    <x v="1"/>
    <x v="2"/>
    <x v="18"/>
    <m/>
    <x v="0"/>
    <x v="2"/>
    <x v="0"/>
    <x v="1"/>
  </r>
  <r>
    <x v="22"/>
    <x v="3"/>
    <n v="16"/>
    <n v="8"/>
    <n v="1"/>
    <n v="1"/>
    <x v="2"/>
    <x v="0"/>
    <m/>
    <x v="0"/>
    <x v="2"/>
    <n v="2"/>
    <x v="0"/>
    <x v="7"/>
    <x v="1"/>
    <x v="2"/>
    <x v="6"/>
    <x v="2"/>
    <n v="1"/>
    <m/>
    <x v="10"/>
    <m/>
    <n v="1"/>
    <x v="4"/>
    <x v="1"/>
    <x v="1"/>
    <x v="0"/>
    <x v="5"/>
    <m/>
    <x v="1"/>
    <x v="1"/>
    <x v="0"/>
    <x v="1"/>
  </r>
  <r>
    <x v="23"/>
    <x v="3"/>
    <n v="189"/>
    <n v="56"/>
    <n v="36"/>
    <n v="16"/>
    <x v="2"/>
    <x v="0"/>
    <n v="13"/>
    <x v="0"/>
    <x v="2"/>
    <n v="4"/>
    <x v="10"/>
    <x v="17"/>
    <x v="1"/>
    <x v="7"/>
    <x v="0"/>
    <x v="1"/>
    <n v="4"/>
    <n v="7"/>
    <x v="7"/>
    <n v="4"/>
    <n v="4"/>
    <x v="5"/>
    <x v="7"/>
    <x v="1"/>
    <x v="3"/>
    <x v="6"/>
    <m/>
    <x v="0"/>
    <x v="6"/>
    <x v="0"/>
    <x v="1"/>
  </r>
  <r>
    <x v="24"/>
    <x v="3"/>
    <n v="342"/>
    <n v="75"/>
    <n v="89"/>
    <n v="55"/>
    <x v="2"/>
    <x v="0"/>
    <n v="41"/>
    <x v="0"/>
    <x v="2"/>
    <n v="15"/>
    <x v="2"/>
    <x v="15"/>
    <x v="3"/>
    <x v="3"/>
    <x v="1"/>
    <x v="8"/>
    <n v="5"/>
    <n v="3"/>
    <x v="3"/>
    <n v="5"/>
    <n v="7"/>
    <x v="8"/>
    <x v="6"/>
    <x v="1"/>
    <x v="0"/>
    <x v="8"/>
    <n v="1"/>
    <x v="0"/>
    <x v="3"/>
    <x v="0"/>
    <x v="2"/>
  </r>
  <r>
    <x v="25"/>
    <x v="3"/>
    <n v="132"/>
    <n v="51"/>
    <n v="33"/>
    <n v="2"/>
    <x v="1"/>
    <x v="0"/>
    <n v="15"/>
    <x v="2"/>
    <x v="7"/>
    <n v="4"/>
    <x v="12"/>
    <x v="8"/>
    <x v="1"/>
    <x v="2"/>
    <x v="6"/>
    <x v="1"/>
    <n v="2"/>
    <n v="1"/>
    <x v="10"/>
    <m/>
    <n v="1"/>
    <x v="8"/>
    <x v="1"/>
    <x v="1"/>
    <x v="0"/>
    <x v="1"/>
    <m/>
    <x v="0"/>
    <x v="2"/>
    <x v="0"/>
    <x v="1"/>
  </r>
  <r>
    <x v="26"/>
    <x v="3"/>
    <n v="24"/>
    <n v="16"/>
    <m/>
    <m/>
    <x v="1"/>
    <x v="0"/>
    <m/>
    <x v="0"/>
    <x v="0"/>
    <n v="2"/>
    <x v="0"/>
    <x v="13"/>
    <x v="1"/>
    <x v="2"/>
    <x v="6"/>
    <x v="4"/>
    <n v="1"/>
    <m/>
    <x v="5"/>
    <m/>
    <n v="1"/>
    <x v="4"/>
    <x v="1"/>
    <x v="1"/>
    <x v="0"/>
    <x v="5"/>
    <m/>
    <x v="0"/>
    <x v="1"/>
    <x v="0"/>
    <x v="1"/>
  </r>
  <r>
    <x v="27"/>
    <x v="3"/>
    <n v="162"/>
    <n v="33"/>
    <n v="67"/>
    <n v="4"/>
    <x v="2"/>
    <x v="0"/>
    <n v="6"/>
    <x v="2"/>
    <x v="2"/>
    <n v="13"/>
    <x v="0"/>
    <x v="9"/>
    <x v="0"/>
    <x v="3"/>
    <x v="6"/>
    <x v="5"/>
    <m/>
    <n v="7"/>
    <x v="5"/>
    <n v="2"/>
    <n v="6"/>
    <x v="5"/>
    <x v="2"/>
    <x v="0"/>
    <x v="3"/>
    <x v="3"/>
    <m/>
    <x v="0"/>
    <x v="3"/>
    <x v="0"/>
    <x v="1"/>
  </r>
  <r>
    <x v="28"/>
    <x v="3"/>
    <n v="419"/>
    <n v="111"/>
    <n v="142"/>
    <n v="10"/>
    <x v="2"/>
    <x v="0"/>
    <n v="28"/>
    <x v="0"/>
    <x v="0"/>
    <n v="33"/>
    <x v="4"/>
    <x v="16"/>
    <x v="7"/>
    <x v="15"/>
    <x v="6"/>
    <x v="15"/>
    <n v="4"/>
    <n v="14"/>
    <x v="2"/>
    <n v="8"/>
    <n v="10"/>
    <x v="7"/>
    <x v="1"/>
    <x v="1"/>
    <x v="3"/>
    <x v="18"/>
    <n v="1"/>
    <x v="0"/>
    <x v="1"/>
    <x v="0"/>
    <x v="1"/>
  </r>
  <r>
    <x v="29"/>
    <x v="3"/>
    <n v="100"/>
    <n v="21"/>
    <n v="21"/>
    <n v="2"/>
    <x v="1"/>
    <x v="0"/>
    <n v="9"/>
    <x v="0"/>
    <x v="1"/>
    <n v="5"/>
    <x v="0"/>
    <x v="2"/>
    <x v="1"/>
    <x v="5"/>
    <x v="15"/>
    <x v="2"/>
    <n v="4"/>
    <n v="1"/>
    <x v="2"/>
    <m/>
    <n v="2"/>
    <x v="5"/>
    <x v="1"/>
    <x v="0"/>
    <x v="0"/>
    <x v="3"/>
    <m/>
    <x v="1"/>
    <x v="3"/>
    <x v="3"/>
    <x v="1"/>
  </r>
  <r>
    <x v="30"/>
    <x v="3"/>
    <n v="190"/>
    <n v="27"/>
    <n v="99"/>
    <n v="12"/>
    <x v="2"/>
    <x v="0"/>
    <n v="8"/>
    <x v="0"/>
    <x v="2"/>
    <n v="8"/>
    <x v="2"/>
    <x v="24"/>
    <x v="0"/>
    <x v="6"/>
    <x v="6"/>
    <x v="4"/>
    <n v="4"/>
    <n v="2"/>
    <x v="6"/>
    <n v="1"/>
    <n v="6"/>
    <x v="5"/>
    <x v="1"/>
    <x v="1"/>
    <x v="2"/>
    <x v="9"/>
    <m/>
    <x v="1"/>
    <x v="3"/>
    <x v="0"/>
    <x v="1"/>
  </r>
  <r>
    <x v="31"/>
    <x v="3"/>
    <n v="276"/>
    <n v="120"/>
    <n v="58"/>
    <n v="2"/>
    <x v="4"/>
    <x v="0"/>
    <n v="14"/>
    <x v="2"/>
    <x v="5"/>
    <n v="6"/>
    <x v="2"/>
    <x v="9"/>
    <x v="3"/>
    <x v="6"/>
    <x v="14"/>
    <x v="0"/>
    <n v="1"/>
    <n v="7"/>
    <x v="3"/>
    <n v="6"/>
    <n v="7"/>
    <x v="5"/>
    <x v="2"/>
    <x v="1"/>
    <x v="0"/>
    <x v="6"/>
    <m/>
    <x v="1"/>
    <x v="3"/>
    <x v="3"/>
    <x v="1"/>
  </r>
  <r>
    <x v="0"/>
    <x v="4"/>
    <n v="436"/>
    <n v="67"/>
    <n v="163"/>
    <n v="41"/>
    <x v="7"/>
    <x v="0"/>
    <n v="16"/>
    <x v="2"/>
    <x v="0"/>
    <n v="4"/>
    <x v="0"/>
    <x v="23"/>
    <x v="4"/>
    <x v="20"/>
    <x v="1"/>
    <x v="8"/>
    <n v="10"/>
    <n v="13"/>
    <x v="12"/>
    <n v="12"/>
    <n v="11"/>
    <x v="9"/>
    <x v="13"/>
    <x v="1"/>
    <x v="0"/>
    <x v="4"/>
    <n v="11"/>
    <x v="0"/>
    <x v="1"/>
    <x v="3"/>
    <x v="1"/>
  </r>
  <r>
    <x v="1"/>
    <x v="4"/>
    <n v="270"/>
    <n v="98"/>
    <n v="24"/>
    <n v="2"/>
    <x v="1"/>
    <x v="0"/>
    <n v="55"/>
    <x v="3"/>
    <x v="2"/>
    <n v="15"/>
    <x v="16"/>
    <x v="15"/>
    <x v="0"/>
    <x v="6"/>
    <x v="2"/>
    <x v="1"/>
    <n v="4"/>
    <n v="12"/>
    <x v="1"/>
    <n v="4"/>
    <n v="1"/>
    <x v="9"/>
    <x v="1"/>
    <x v="1"/>
    <x v="2"/>
    <x v="18"/>
    <n v="1"/>
    <x v="0"/>
    <x v="1"/>
    <x v="0"/>
    <x v="1"/>
  </r>
  <r>
    <x v="2"/>
    <x v="4"/>
    <n v="125"/>
    <n v="35"/>
    <n v="23"/>
    <n v="12"/>
    <x v="1"/>
    <x v="0"/>
    <n v="8"/>
    <x v="2"/>
    <x v="2"/>
    <n v="6"/>
    <x v="6"/>
    <x v="2"/>
    <x v="1"/>
    <x v="3"/>
    <x v="2"/>
    <x v="12"/>
    <n v="4"/>
    <n v="2"/>
    <x v="2"/>
    <n v="3"/>
    <n v="2"/>
    <x v="4"/>
    <x v="1"/>
    <x v="1"/>
    <x v="0"/>
    <x v="9"/>
    <m/>
    <x v="0"/>
    <x v="5"/>
    <x v="0"/>
    <x v="2"/>
  </r>
  <r>
    <x v="3"/>
    <x v="4"/>
    <n v="134"/>
    <n v="39"/>
    <n v="27"/>
    <n v="11"/>
    <x v="2"/>
    <x v="0"/>
    <n v="10"/>
    <x v="2"/>
    <x v="2"/>
    <n v="6"/>
    <x v="3"/>
    <x v="2"/>
    <x v="1"/>
    <x v="3"/>
    <x v="6"/>
    <x v="8"/>
    <n v="2"/>
    <n v="6"/>
    <x v="6"/>
    <n v="1"/>
    <n v="2"/>
    <x v="9"/>
    <x v="1"/>
    <x v="1"/>
    <x v="0"/>
    <x v="0"/>
    <m/>
    <x v="1"/>
    <x v="3"/>
    <x v="0"/>
    <x v="1"/>
  </r>
  <r>
    <x v="4"/>
    <x v="4"/>
    <n v="874"/>
    <n v="119"/>
    <n v="316"/>
    <n v="119"/>
    <x v="10"/>
    <x v="0"/>
    <n v="45"/>
    <x v="0"/>
    <x v="5"/>
    <n v="22"/>
    <x v="4"/>
    <x v="5"/>
    <x v="0"/>
    <x v="20"/>
    <x v="10"/>
    <x v="17"/>
    <n v="29"/>
    <n v="33"/>
    <x v="18"/>
    <n v="20"/>
    <n v="14"/>
    <x v="13"/>
    <x v="14"/>
    <x v="1"/>
    <x v="3"/>
    <x v="8"/>
    <n v="34"/>
    <x v="4"/>
    <x v="6"/>
    <x v="1"/>
    <x v="0"/>
  </r>
  <r>
    <x v="5"/>
    <x v="4"/>
    <n v="63"/>
    <n v="24"/>
    <n v="16"/>
    <m/>
    <x v="2"/>
    <x v="0"/>
    <n v="2"/>
    <x v="0"/>
    <x v="2"/>
    <n v="3"/>
    <x v="4"/>
    <x v="13"/>
    <x v="1"/>
    <x v="5"/>
    <x v="4"/>
    <x v="4"/>
    <n v="3"/>
    <m/>
    <x v="5"/>
    <m/>
    <n v="1"/>
    <x v="4"/>
    <x v="1"/>
    <x v="1"/>
    <x v="0"/>
    <x v="6"/>
    <m/>
    <x v="0"/>
    <x v="1"/>
    <x v="0"/>
    <x v="1"/>
  </r>
  <r>
    <x v="6"/>
    <x v="4"/>
    <n v="169"/>
    <n v="68"/>
    <n v="32"/>
    <m/>
    <x v="2"/>
    <x v="0"/>
    <n v="11"/>
    <x v="0"/>
    <x v="0"/>
    <n v="9"/>
    <x v="6"/>
    <x v="4"/>
    <x v="0"/>
    <x v="1"/>
    <x v="8"/>
    <x v="12"/>
    <n v="1"/>
    <n v="5"/>
    <x v="2"/>
    <n v="1"/>
    <n v="6"/>
    <x v="2"/>
    <x v="1"/>
    <x v="0"/>
    <x v="2"/>
    <x v="1"/>
    <m/>
    <x v="0"/>
    <x v="1"/>
    <x v="3"/>
    <x v="2"/>
  </r>
  <r>
    <x v="7"/>
    <x v="4"/>
    <n v="279"/>
    <n v="40"/>
    <n v="88"/>
    <n v="54"/>
    <x v="10"/>
    <x v="0"/>
    <n v="28"/>
    <x v="0"/>
    <x v="7"/>
    <n v="6"/>
    <x v="0"/>
    <x v="9"/>
    <x v="1"/>
    <x v="3"/>
    <x v="2"/>
    <x v="12"/>
    <n v="2"/>
    <n v="6"/>
    <x v="2"/>
    <n v="4"/>
    <n v="5"/>
    <x v="7"/>
    <x v="6"/>
    <x v="1"/>
    <x v="0"/>
    <x v="9"/>
    <n v="6"/>
    <x v="1"/>
    <x v="3"/>
    <x v="0"/>
    <x v="1"/>
  </r>
  <r>
    <x v="8"/>
    <x v="4"/>
    <n v="151"/>
    <n v="53"/>
    <n v="44"/>
    <n v="3"/>
    <x v="2"/>
    <x v="0"/>
    <n v="7"/>
    <x v="0"/>
    <x v="2"/>
    <n v="10"/>
    <x v="10"/>
    <x v="8"/>
    <x v="0"/>
    <x v="3"/>
    <x v="8"/>
    <x v="2"/>
    <n v="2"/>
    <n v="3"/>
    <x v="6"/>
    <n v="1"/>
    <n v="3"/>
    <x v="7"/>
    <x v="1"/>
    <x v="1"/>
    <x v="0"/>
    <x v="3"/>
    <m/>
    <x v="1"/>
    <x v="3"/>
    <x v="0"/>
    <x v="1"/>
  </r>
  <r>
    <x v="9"/>
    <x v="4"/>
    <n v="85"/>
    <n v="32"/>
    <n v="18"/>
    <n v="6"/>
    <x v="2"/>
    <x v="0"/>
    <n v="1"/>
    <x v="0"/>
    <x v="2"/>
    <n v="4"/>
    <x v="0"/>
    <x v="8"/>
    <x v="1"/>
    <x v="3"/>
    <x v="8"/>
    <x v="7"/>
    <n v="1"/>
    <n v="1"/>
    <x v="10"/>
    <m/>
    <n v="3"/>
    <x v="4"/>
    <x v="1"/>
    <x v="1"/>
    <x v="0"/>
    <x v="0"/>
    <m/>
    <x v="0"/>
    <x v="5"/>
    <x v="3"/>
    <x v="1"/>
  </r>
  <r>
    <x v="10"/>
    <x v="4"/>
    <n v="120"/>
    <n v="55"/>
    <n v="14"/>
    <n v="8"/>
    <x v="1"/>
    <x v="0"/>
    <n v="5"/>
    <x v="0"/>
    <x v="2"/>
    <n v="9"/>
    <x v="6"/>
    <x v="7"/>
    <x v="1"/>
    <x v="5"/>
    <x v="6"/>
    <x v="1"/>
    <n v="2"/>
    <n v="2"/>
    <x v="5"/>
    <n v="1"/>
    <n v="4"/>
    <x v="7"/>
    <x v="1"/>
    <x v="1"/>
    <x v="3"/>
    <x v="6"/>
    <n v="4"/>
    <x v="0"/>
    <x v="1"/>
    <x v="0"/>
    <x v="1"/>
  </r>
  <r>
    <x v="11"/>
    <x v="4"/>
    <n v="89"/>
    <n v="35"/>
    <n v="19"/>
    <n v="4"/>
    <x v="2"/>
    <x v="0"/>
    <n v="6"/>
    <x v="0"/>
    <x v="2"/>
    <n v="7"/>
    <x v="3"/>
    <x v="13"/>
    <x v="4"/>
    <x v="2"/>
    <x v="2"/>
    <x v="12"/>
    <n v="1"/>
    <n v="3"/>
    <x v="10"/>
    <n v="1"/>
    <n v="3"/>
    <x v="4"/>
    <x v="1"/>
    <x v="1"/>
    <x v="0"/>
    <x v="3"/>
    <m/>
    <x v="0"/>
    <x v="1"/>
    <x v="0"/>
    <x v="1"/>
  </r>
  <r>
    <x v="12"/>
    <x v="4"/>
    <n v="200"/>
    <n v="64"/>
    <n v="54"/>
    <n v="7"/>
    <x v="2"/>
    <x v="0"/>
    <n v="3"/>
    <x v="0"/>
    <x v="5"/>
    <n v="12"/>
    <x v="0"/>
    <x v="21"/>
    <x v="4"/>
    <x v="6"/>
    <x v="15"/>
    <x v="1"/>
    <n v="3"/>
    <n v="4"/>
    <x v="6"/>
    <n v="8"/>
    <n v="5"/>
    <x v="7"/>
    <x v="1"/>
    <x v="0"/>
    <x v="0"/>
    <x v="3"/>
    <m/>
    <x v="0"/>
    <x v="1"/>
    <x v="0"/>
    <x v="1"/>
  </r>
  <r>
    <x v="13"/>
    <x v="4"/>
    <n v="358"/>
    <n v="132"/>
    <n v="88"/>
    <n v="1"/>
    <x v="1"/>
    <x v="0"/>
    <n v="9"/>
    <x v="0"/>
    <x v="2"/>
    <n v="33"/>
    <x v="13"/>
    <x v="22"/>
    <x v="3"/>
    <x v="3"/>
    <x v="5"/>
    <x v="5"/>
    <n v="9"/>
    <n v="12"/>
    <x v="19"/>
    <n v="2"/>
    <n v="7"/>
    <x v="8"/>
    <x v="1"/>
    <x v="1"/>
    <x v="0"/>
    <x v="6"/>
    <n v="3"/>
    <x v="1"/>
    <x v="5"/>
    <x v="0"/>
    <x v="1"/>
  </r>
  <r>
    <x v="14"/>
    <x v="4"/>
    <n v="1341"/>
    <n v="125"/>
    <n v="472"/>
    <n v="269"/>
    <x v="11"/>
    <x v="0"/>
    <n v="43"/>
    <x v="0"/>
    <x v="2"/>
    <n v="29"/>
    <x v="0"/>
    <x v="26"/>
    <x v="9"/>
    <x v="21"/>
    <x v="16"/>
    <x v="13"/>
    <n v="23"/>
    <n v="51"/>
    <x v="17"/>
    <n v="45"/>
    <n v="43"/>
    <x v="14"/>
    <x v="15"/>
    <x v="1"/>
    <x v="0"/>
    <x v="19"/>
    <n v="25"/>
    <x v="3"/>
    <x v="9"/>
    <x v="3"/>
    <x v="1"/>
  </r>
  <r>
    <x v="15"/>
    <x v="4"/>
    <n v="228"/>
    <n v="101"/>
    <n v="31"/>
    <m/>
    <x v="1"/>
    <x v="1"/>
    <n v="6"/>
    <x v="3"/>
    <x v="0"/>
    <n v="9"/>
    <x v="13"/>
    <x v="0"/>
    <x v="0"/>
    <x v="2"/>
    <x v="5"/>
    <x v="8"/>
    <n v="8"/>
    <n v="6"/>
    <x v="5"/>
    <n v="3"/>
    <n v="6"/>
    <x v="8"/>
    <x v="13"/>
    <x v="5"/>
    <x v="0"/>
    <x v="6"/>
    <m/>
    <x v="2"/>
    <x v="1"/>
    <x v="0"/>
    <x v="2"/>
  </r>
  <r>
    <x v="16"/>
    <x v="4"/>
    <n v="137"/>
    <n v="24"/>
    <n v="33"/>
    <n v="36"/>
    <x v="2"/>
    <x v="0"/>
    <n v="13"/>
    <x v="0"/>
    <x v="2"/>
    <n v="5"/>
    <x v="0"/>
    <x v="24"/>
    <x v="1"/>
    <x v="3"/>
    <x v="6"/>
    <x v="2"/>
    <n v="2"/>
    <n v="3"/>
    <x v="3"/>
    <n v="2"/>
    <n v="6"/>
    <x v="4"/>
    <x v="1"/>
    <x v="1"/>
    <x v="0"/>
    <x v="3"/>
    <n v="1"/>
    <x v="0"/>
    <x v="1"/>
    <x v="0"/>
    <x v="1"/>
  </r>
  <r>
    <x v="17"/>
    <x v="4"/>
    <n v="96"/>
    <n v="39"/>
    <n v="15"/>
    <n v="1"/>
    <x v="0"/>
    <x v="0"/>
    <n v="7"/>
    <x v="2"/>
    <x v="0"/>
    <n v="10"/>
    <x v="12"/>
    <x v="7"/>
    <x v="1"/>
    <x v="2"/>
    <x v="6"/>
    <x v="2"/>
    <n v="1"/>
    <n v="3"/>
    <x v="2"/>
    <n v="1"/>
    <n v="1"/>
    <x v="4"/>
    <x v="1"/>
    <x v="1"/>
    <x v="0"/>
    <x v="3"/>
    <m/>
    <x v="1"/>
    <x v="5"/>
    <x v="0"/>
    <x v="1"/>
  </r>
  <r>
    <x v="18"/>
    <x v="4"/>
    <n v="119"/>
    <n v="46"/>
    <n v="9"/>
    <m/>
    <x v="1"/>
    <x v="0"/>
    <n v="15"/>
    <x v="0"/>
    <x v="1"/>
    <n v="5"/>
    <x v="13"/>
    <x v="2"/>
    <x v="1"/>
    <x v="5"/>
    <x v="5"/>
    <x v="4"/>
    <n v="3"/>
    <n v="6"/>
    <x v="5"/>
    <m/>
    <n v="7"/>
    <x v="2"/>
    <x v="1"/>
    <x v="1"/>
    <x v="3"/>
    <x v="1"/>
    <n v="1"/>
    <x v="1"/>
    <x v="1"/>
    <x v="3"/>
    <x v="0"/>
  </r>
  <r>
    <x v="19"/>
    <x v="4"/>
    <n v="20"/>
    <n v="10"/>
    <n v="1"/>
    <m/>
    <x v="2"/>
    <x v="0"/>
    <m/>
    <x v="0"/>
    <x v="2"/>
    <n v="2"/>
    <x v="3"/>
    <x v="7"/>
    <x v="1"/>
    <x v="2"/>
    <x v="6"/>
    <x v="4"/>
    <n v="1"/>
    <m/>
    <x v="10"/>
    <n v="1"/>
    <m/>
    <x v="7"/>
    <x v="1"/>
    <x v="1"/>
    <x v="0"/>
    <x v="1"/>
    <n v="1"/>
    <x v="1"/>
    <x v="1"/>
    <x v="0"/>
    <x v="1"/>
  </r>
  <r>
    <x v="20"/>
    <x v="4"/>
    <n v="190"/>
    <n v="80"/>
    <n v="48"/>
    <n v="8"/>
    <x v="2"/>
    <x v="0"/>
    <n v="10"/>
    <x v="3"/>
    <x v="2"/>
    <n v="5"/>
    <x v="4"/>
    <x v="2"/>
    <x v="4"/>
    <x v="5"/>
    <x v="2"/>
    <x v="1"/>
    <n v="3"/>
    <n v="3"/>
    <x v="3"/>
    <n v="1"/>
    <n v="3"/>
    <x v="4"/>
    <x v="1"/>
    <x v="1"/>
    <x v="3"/>
    <x v="6"/>
    <n v="1"/>
    <x v="0"/>
    <x v="3"/>
    <x v="0"/>
    <x v="2"/>
  </r>
  <r>
    <x v="21"/>
    <x v="4"/>
    <n v="450"/>
    <n v="118"/>
    <n v="169"/>
    <n v="10"/>
    <x v="4"/>
    <x v="0"/>
    <n v="14"/>
    <x v="0"/>
    <x v="2"/>
    <n v="36"/>
    <x v="4"/>
    <x v="12"/>
    <x v="8"/>
    <x v="11"/>
    <x v="10"/>
    <x v="9"/>
    <n v="6"/>
    <n v="9"/>
    <x v="3"/>
    <n v="5"/>
    <n v="8"/>
    <x v="2"/>
    <x v="0"/>
    <x v="1"/>
    <x v="2"/>
    <x v="9"/>
    <m/>
    <x v="0"/>
    <x v="2"/>
    <x v="0"/>
    <x v="1"/>
  </r>
  <r>
    <x v="22"/>
    <x v="4"/>
    <n v="21"/>
    <n v="6"/>
    <n v="2"/>
    <m/>
    <x v="2"/>
    <x v="0"/>
    <n v="1"/>
    <x v="2"/>
    <x v="2"/>
    <n v="3"/>
    <x v="3"/>
    <x v="13"/>
    <x v="1"/>
    <x v="2"/>
    <x v="6"/>
    <x v="4"/>
    <m/>
    <n v="3"/>
    <x v="10"/>
    <m/>
    <m/>
    <x v="4"/>
    <x v="1"/>
    <x v="1"/>
    <x v="0"/>
    <x v="0"/>
    <m/>
    <x v="0"/>
    <x v="1"/>
    <x v="0"/>
    <x v="1"/>
  </r>
  <r>
    <x v="23"/>
    <x v="4"/>
    <n v="163"/>
    <n v="48"/>
    <n v="34"/>
    <n v="11"/>
    <x v="2"/>
    <x v="0"/>
    <n v="9"/>
    <x v="3"/>
    <x v="0"/>
    <n v="5"/>
    <x v="2"/>
    <x v="2"/>
    <x v="0"/>
    <x v="2"/>
    <x v="14"/>
    <x v="4"/>
    <n v="7"/>
    <n v="5"/>
    <x v="5"/>
    <n v="5"/>
    <n v="6"/>
    <x v="9"/>
    <x v="2"/>
    <x v="1"/>
    <x v="0"/>
    <x v="1"/>
    <m/>
    <x v="0"/>
    <x v="3"/>
    <x v="0"/>
    <x v="1"/>
  </r>
  <r>
    <x v="24"/>
    <x v="4"/>
    <n v="339"/>
    <n v="62"/>
    <n v="104"/>
    <n v="55"/>
    <x v="1"/>
    <x v="0"/>
    <n v="39"/>
    <x v="2"/>
    <x v="2"/>
    <n v="13"/>
    <x v="2"/>
    <x v="20"/>
    <x v="0"/>
    <x v="3"/>
    <x v="5"/>
    <x v="5"/>
    <n v="5"/>
    <n v="5"/>
    <x v="3"/>
    <n v="7"/>
    <n v="7"/>
    <x v="3"/>
    <x v="1"/>
    <x v="1"/>
    <x v="0"/>
    <x v="10"/>
    <n v="2"/>
    <x v="0"/>
    <x v="3"/>
    <x v="0"/>
    <x v="1"/>
  </r>
  <r>
    <x v="25"/>
    <x v="4"/>
    <n v="139"/>
    <n v="58"/>
    <n v="26"/>
    <n v="6"/>
    <x v="2"/>
    <x v="0"/>
    <n v="15"/>
    <x v="3"/>
    <x v="1"/>
    <n v="3"/>
    <x v="2"/>
    <x v="15"/>
    <x v="1"/>
    <x v="3"/>
    <x v="2"/>
    <x v="2"/>
    <n v="2"/>
    <n v="2"/>
    <x v="7"/>
    <n v="1"/>
    <n v="1"/>
    <x v="2"/>
    <x v="1"/>
    <x v="1"/>
    <x v="0"/>
    <x v="6"/>
    <m/>
    <x v="0"/>
    <x v="5"/>
    <x v="0"/>
    <x v="1"/>
  </r>
  <r>
    <x v="26"/>
    <x v="4"/>
    <n v="15"/>
    <n v="7"/>
    <n v="4"/>
    <m/>
    <x v="2"/>
    <x v="0"/>
    <m/>
    <x v="0"/>
    <x v="2"/>
    <n v="3"/>
    <x v="0"/>
    <x v="7"/>
    <x v="1"/>
    <x v="2"/>
    <x v="6"/>
    <x v="4"/>
    <m/>
    <m/>
    <x v="10"/>
    <m/>
    <m/>
    <x v="4"/>
    <x v="1"/>
    <x v="1"/>
    <x v="0"/>
    <x v="1"/>
    <m/>
    <x v="0"/>
    <x v="1"/>
    <x v="0"/>
    <x v="1"/>
  </r>
  <r>
    <x v="27"/>
    <x v="4"/>
    <n v="141"/>
    <n v="45"/>
    <n v="31"/>
    <n v="6"/>
    <x v="2"/>
    <x v="0"/>
    <n v="11"/>
    <x v="0"/>
    <x v="2"/>
    <n v="8"/>
    <x v="0"/>
    <x v="8"/>
    <x v="1"/>
    <x v="3"/>
    <x v="2"/>
    <x v="1"/>
    <n v="3"/>
    <n v="5"/>
    <x v="3"/>
    <n v="2"/>
    <n v="4"/>
    <x v="3"/>
    <x v="2"/>
    <x v="1"/>
    <x v="3"/>
    <x v="9"/>
    <m/>
    <x v="0"/>
    <x v="3"/>
    <x v="0"/>
    <x v="1"/>
  </r>
  <r>
    <x v="28"/>
    <x v="4"/>
    <n v="360"/>
    <n v="109"/>
    <n v="126"/>
    <n v="7"/>
    <x v="1"/>
    <x v="0"/>
    <n v="18"/>
    <x v="3"/>
    <x v="2"/>
    <n v="33"/>
    <x v="2"/>
    <x v="1"/>
    <x v="0"/>
    <x v="7"/>
    <x v="2"/>
    <x v="9"/>
    <n v="8"/>
    <n v="14"/>
    <x v="6"/>
    <n v="1"/>
    <n v="1"/>
    <x v="7"/>
    <x v="2"/>
    <x v="1"/>
    <x v="0"/>
    <x v="8"/>
    <m/>
    <x v="0"/>
    <x v="3"/>
    <x v="0"/>
    <x v="2"/>
  </r>
  <r>
    <x v="29"/>
    <x v="4"/>
    <n v="118"/>
    <n v="44"/>
    <n v="17"/>
    <n v="1"/>
    <x v="9"/>
    <x v="0"/>
    <n v="7"/>
    <x v="0"/>
    <x v="2"/>
    <n v="4"/>
    <x v="3"/>
    <x v="1"/>
    <x v="0"/>
    <x v="2"/>
    <x v="1"/>
    <x v="12"/>
    <n v="1"/>
    <n v="6"/>
    <x v="10"/>
    <n v="1"/>
    <n v="3"/>
    <x v="5"/>
    <x v="1"/>
    <x v="1"/>
    <x v="3"/>
    <x v="3"/>
    <n v="2"/>
    <x v="1"/>
    <x v="5"/>
    <x v="0"/>
    <x v="1"/>
  </r>
  <r>
    <x v="30"/>
    <x v="4"/>
    <n v="170"/>
    <n v="32"/>
    <n v="88"/>
    <n v="9"/>
    <x v="2"/>
    <x v="0"/>
    <n v="4"/>
    <x v="0"/>
    <x v="2"/>
    <n v="8"/>
    <x v="3"/>
    <x v="24"/>
    <x v="1"/>
    <x v="5"/>
    <x v="2"/>
    <x v="12"/>
    <n v="3"/>
    <n v="3"/>
    <x v="6"/>
    <n v="3"/>
    <n v="4"/>
    <x v="2"/>
    <x v="1"/>
    <x v="1"/>
    <x v="0"/>
    <x v="3"/>
    <m/>
    <x v="0"/>
    <x v="3"/>
    <x v="0"/>
    <x v="1"/>
  </r>
  <r>
    <x v="31"/>
    <x v="4"/>
    <n v="269"/>
    <n v="117"/>
    <n v="48"/>
    <n v="4"/>
    <x v="0"/>
    <x v="0"/>
    <n v="13"/>
    <x v="2"/>
    <x v="1"/>
    <n v="19"/>
    <x v="3"/>
    <x v="20"/>
    <x v="3"/>
    <x v="6"/>
    <x v="15"/>
    <x v="5"/>
    <n v="6"/>
    <n v="6"/>
    <x v="3"/>
    <n v="5"/>
    <n v="3"/>
    <x v="2"/>
    <x v="1"/>
    <x v="1"/>
    <x v="3"/>
    <x v="5"/>
    <n v="1"/>
    <x v="0"/>
    <x v="3"/>
    <x v="3"/>
    <x v="1"/>
  </r>
  <r>
    <x v="0"/>
    <x v="5"/>
    <n v="445"/>
    <n v="49"/>
    <n v="200"/>
    <n v="43"/>
    <x v="1"/>
    <x v="0"/>
    <n v="26"/>
    <x v="0"/>
    <x v="0"/>
    <n v="10"/>
    <x v="0"/>
    <x v="12"/>
    <x v="0"/>
    <x v="8"/>
    <x v="8"/>
    <x v="7"/>
    <n v="14"/>
    <n v="16"/>
    <x v="20"/>
    <n v="10"/>
    <n v="4"/>
    <x v="11"/>
    <x v="1"/>
    <x v="1"/>
    <x v="0"/>
    <x v="11"/>
    <n v="11"/>
    <x v="0"/>
    <x v="1"/>
    <x v="3"/>
    <x v="1"/>
  </r>
  <r>
    <x v="1"/>
    <x v="5"/>
    <n v="308"/>
    <n v="111"/>
    <n v="24"/>
    <n v="4"/>
    <x v="1"/>
    <x v="0"/>
    <n v="57"/>
    <x v="2"/>
    <x v="5"/>
    <n v="19"/>
    <x v="17"/>
    <x v="16"/>
    <x v="4"/>
    <x v="1"/>
    <x v="0"/>
    <x v="5"/>
    <n v="4"/>
    <n v="7"/>
    <x v="1"/>
    <n v="3"/>
    <n v="5"/>
    <x v="3"/>
    <x v="2"/>
    <x v="0"/>
    <x v="0"/>
    <x v="20"/>
    <m/>
    <x v="0"/>
    <x v="1"/>
    <x v="0"/>
    <x v="1"/>
  </r>
  <r>
    <x v="2"/>
    <x v="5"/>
    <n v="148"/>
    <n v="48"/>
    <n v="28"/>
    <n v="15"/>
    <x v="2"/>
    <x v="0"/>
    <n v="17"/>
    <x v="1"/>
    <x v="0"/>
    <n v="6"/>
    <x v="2"/>
    <x v="2"/>
    <x v="1"/>
    <x v="5"/>
    <x v="2"/>
    <x v="1"/>
    <n v="2"/>
    <n v="3"/>
    <x v="7"/>
    <n v="1"/>
    <n v="3"/>
    <x v="4"/>
    <x v="1"/>
    <x v="0"/>
    <x v="3"/>
    <x v="6"/>
    <m/>
    <x v="0"/>
    <x v="1"/>
    <x v="0"/>
    <x v="2"/>
  </r>
  <r>
    <x v="3"/>
    <x v="5"/>
    <n v="124"/>
    <n v="36"/>
    <n v="34"/>
    <n v="7"/>
    <x v="2"/>
    <x v="0"/>
    <n v="11"/>
    <x v="0"/>
    <x v="2"/>
    <n v="5"/>
    <x v="2"/>
    <x v="2"/>
    <x v="1"/>
    <x v="3"/>
    <x v="6"/>
    <x v="12"/>
    <n v="3"/>
    <n v="4"/>
    <x v="5"/>
    <n v="1"/>
    <n v="2"/>
    <x v="5"/>
    <x v="1"/>
    <x v="1"/>
    <x v="3"/>
    <x v="0"/>
    <m/>
    <x v="0"/>
    <x v="1"/>
    <x v="3"/>
    <x v="1"/>
  </r>
  <r>
    <x v="4"/>
    <x v="5"/>
    <n v="936"/>
    <n v="108"/>
    <n v="340"/>
    <n v="140"/>
    <x v="11"/>
    <x v="0"/>
    <n v="63"/>
    <x v="0"/>
    <x v="6"/>
    <n v="15"/>
    <x v="2"/>
    <x v="23"/>
    <x v="1"/>
    <x v="13"/>
    <x v="1"/>
    <x v="18"/>
    <n v="38"/>
    <n v="26"/>
    <x v="18"/>
    <n v="24"/>
    <n v="19"/>
    <x v="12"/>
    <x v="6"/>
    <x v="0"/>
    <x v="0"/>
    <x v="4"/>
    <n v="33"/>
    <x v="5"/>
    <x v="14"/>
    <x v="3"/>
    <x v="1"/>
  </r>
  <r>
    <x v="5"/>
    <x v="5"/>
    <n v="72"/>
    <n v="26"/>
    <n v="17"/>
    <n v="1"/>
    <x v="2"/>
    <x v="0"/>
    <n v="4"/>
    <x v="0"/>
    <x v="0"/>
    <n v="4"/>
    <x v="0"/>
    <x v="15"/>
    <x v="1"/>
    <x v="2"/>
    <x v="5"/>
    <x v="2"/>
    <n v="2"/>
    <n v="1"/>
    <x v="6"/>
    <m/>
    <n v="3"/>
    <x v="4"/>
    <x v="1"/>
    <x v="1"/>
    <x v="3"/>
    <x v="1"/>
    <m/>
    <x v="0"/>
    <x v="3"/>
    <x v="0"/>
    <x v="1"/>
  </r>
  <r>
    <x v="6"/>
    <x v="5"/>
    <n v="147"/>
    <n v="64"/>
    <n v="26"/>
    <m/>
    <x v="2"/>
    <x v="0"/>
    <n v="8"/>
    <x v="0"/>
    <x v="2"/>
    <n v="7"/>
    <x v="8"/>
    <x v="15"/>
    <x v="1"/>
    <x v="1"/>
    <x v="1"/>
    <x v="2"/>
    <n v="2"/>
    <n v="5"/>
    <x v="7"/>
    <n v="2"/>
    <n v="3"/>
    <x v="7"/>
    <x v="1"/>
    <x v="3"/>
    <x v="0"/>
    <x v="0"/>
    <m/>
    <x v="0"/>
    <x v="1"/>
    <x v="0"/>
    <x v="1"/>
  </r>
  <r>
    <x v="7"/>
    <x v="5"/>
    <n v="283"/>
    <n v="34"/>
    <n v="77"/>
    <n v="53"/>
    <x v="7"/>
    <x v="0"/>
    <n v="45"/>
    <x v="0"/>
    <x v="2"/>
    <n v="8"/>
    <x v="0"/>
    <x v="9"/>
    <x v="0"/>
    <x v="5"/>
    <x v="8"/>
    <x v="1"/>
    <n v="2"/>
    <n v="6"/>
    <x v="19"/>
    <n v="8"/>
    <n v="6"/>
    <x v="7"/>
    <x v="13"/>
    <x v="1"/>
    <x v="0"/>
    <x v="9"/>
    <n v="3"/>
    <x v="1"/>
    <x v="1"/>
    <x v="0"/>
    <x v="2"/>
  </r>
  <r>
    <x v="8"/>
    <x v="5"/>
    <n v="150"/>
    <n v="70"/>
    <n v="32"/>
    <n v="2"/>
    <x v="2"/>
    <x v="0"/>
    <n v="8"/>
    <x v="2"/>
    <x v="2"/>
    <n v="9"/>
    <x v="2"/>
    <x v="13"/>
    <x v="1"/>
    <x v="5"/>
    <x v="4"/>
    <x v="12"/>
    <m/>
    <n v="5"/>
    <x v="5"/>
    <n v="3"/>
    <n v="5"/>
    <x v="4"/>
    <x v="1"/>
    <x v="1"/>
    <x v="0"/>
    <x v="0"/>
    <m/>
    <x v="0"/>
    <x v="1"/>
    <x v="0"/>
    <x v="1"/>
  </r>
  <r>
    <x v="9"/>
    <x v="5"/>
    <n v="98"/>
    <n v="43"/>
    <n v="11"/>
    <n v="4"/>
    <x v="1"/>
    <x v="0"/>
    <n v="14"/>
    <x v="0"/>
    <x v="2"/>
    <n v="6"/>
    <x v="0"/>
    <x v="13"/>
    <x v="1"/>
    <x v="2"/>
    <x v="4"/>
    <x v="4"/>
    <n v="1"/>
    <n v="2"/>
    <x v="2"/>
    <m/>
    <n v="5"/>
    <x v="4"/>
    <x v="1"/>
    <x v="1"/>
    <x v="0"/>
    <x v="3"/>
    <m/>
    <x v="0"/>
    <x v="1"/>
    <x v="0"/>
    <x v="1"/>
  </r>
  <r>
    <x v="10"/>
    <x v="5"/>
    <n v="119"/>
    <n v="51"/>
    <n v="16"/>
    <n v="4"/>
    <x v="1"/>
    <x v="0"/>
    <n v="1"/>
    <x v="3"/>
    <x v="2"/>
    <n v="3"/>
    <x v="12"/>
    <x v="20"/>
    <x v="1"/>
    <x v="2"/>
    <x v="6"/>
    <x v="2"/>
    <n v="4"/>
    <n v="3"/>
    <x v="6"/>
    <n v="1"/>
    <n v="2"/>
    <x v="8"/>
    <x v="1"/>
    <x v="1"/>
    <x v="0"/>
    <x v="9"/>
    <n v="3"/>
    <x v="0"/>
    <x v="5"/>
    <x v="0"/>
    <x v="1"/>
  </r>
  <r>
    <x v="11"/>
    <x v="5"/>
    <n v="87"/>
    <n v="35"/>
    <n v="17"/>
    <n v="8"/>
    <x v="2"/>
    <x v="0"/>
    <n v="10"/>
    <x v="0"/>
    <x v="2"/>
    <n v="4"/>
    <x v="3"/>
    <x v="13"/>
    <x v="0"/>
    <x v="2"/>
    <x v="6"/>
    <x v="1"/>
    <n v="1"/>
    <n v="2"/>
    <x v="2"/>
    <m/>
    <m/>
    <x v="4"/>
    <x v="1"/>
    <x v="1"/>
    <x v="0"/>
    <x v="5"/>
    <m/>
    <x v="0"/>
    <x v="3"/>
    <x v="0"/>
    <x v="1"/>
  </r>
  <r>
    <x v="12"/>
    <x v="5"/>
    <n v="169"/>
    <n v="64"/>
    <n v="43"/>
    <n v="4"/>
    <x v="2"/>
    <x v="1"/>
    <n v="8"/>
    <x v="4"/>
    <x v="2"/>
    <n v="6"/>
    <x v="3"/>
    <x v="17"/>
    <x v="0"/>
    <x v="5"/>
    <x v="5"/>
    <x v="12"/>
    <n v="6"/>
    <n v="2"/>
    <x v="10"/>
    <n v="11"/>
    <n v="4"/>
    <x v="4"/>
    <x v="1"/>
    <x v="1"/>
    <x v="0"/>
    <x v="1"/>
    <m/>
    <x v="0"/>
    <x v="1"/>
    <x v="0"/>
    <x v="1"/>
  </r>
  <r>
    <x v="13"/>
    <x v="5"/>
    <n v="372"/>
    <n v="131"/>
    <n v="108"/>
    <m/>
    <x v="1"/>
    <x v="0"/>
    <n v="8"/>
    <x v="3"/>
    <x v="0"/>
    <n v="33"/>
    <x v="4"/>
    <x v="14"/>
    <x v="0"/>
    <x v="3"/>
    <x v="1"/>
    <x v="0"/>
    <n v="7"/>
    <n v="10"/>
    <x v="3"/>
    <n v="9"/>
    <n v="6"/>
    <x v="7"/>
    <x v="7"/>
    <x v="1"/>
    <x v="3"/>
    <x v="8"/>
    <n v="1"/>
    <x v="0"/>
    <x v="5"/>
    <x v="0"/>
    <x v="1"/>
  </r>
  <r>
    <x v="14"/>
    <x v="5"/>
    <n v="1337"/>
    <n v="145"/>
    <n v="468"/>
    <n v="266"/>
    <x v="11"/>
    <x v="0"/>
    <n v="57"/>
    <x v="0"/>
    <x v="2"/>
    <n v="37"/>
    <x v="2"/>
    <x v="26"/>
    <x v="2"/>
    <x v="19"/>
    <x v="17"/>
    <x v="13"/>
    <n v="26"/>
    <n v="41"/>
    <x v="21"/>
    <n v="41"/>
    <n v="27"/>
    <x v="6"/>
    <x v="16"/>
    <x v="1"/>
    <x v="0"/>
    <x v="21"/>
    <n v="23"/>
    <x v="4"/>
    <x v="1"/>
    <x v="6"/>
    <x v="1"/>
  </r>
  <r>
    <x v="15"/>
    <x v="5"/>
    <n v="234"/>
    <n v="120"/>
    <n v="22"/>
    <n v="7"/>
    <x v="0"/>
    <x v="0"/>
    <n v="8"/>
    <x v="3"/>
    <x v="5"/>
    <n v="15"/>
    <x v="6"/>
    <x v="9"/>
    <x v="1"/>
    <x v="6"/>
    <x v="2"/>
    <x v="2"/>
    <n v="5"/>
    <n v="7"/>
    <x v="7"/>
    <n v="3"/>
    <n v="9"/>
    <x v="8"/>
    <x v="2"/>
    <x v="0"/>
    <x v="3"/>
    <x v="0"/>
    <m/>
    <x v="1"/>
    <x v="1"/>
    <x v="3"/>
    <x v="0"/>
  </r>
  <r>
    <x v="16"/>
    <x v="5"/>
    <n v="148"/>
    <n v="29"/>
    <n v="42"/>
    <n v="29"/>
    <x v="2"/>
    <x v="0"/>
    <n v="12"/>
    <x v="2"/>
    <x v="2"/>
    <n v="7"/>
    <x v="0"/>
    <x v="13"/>
    <x v="4"/>
    <x v="6"/>
    <x v="5"/>
    <x v="7"/>
    <n v="3"/>
    <n v="1"/>
    <x v="6"/>
    <n v="1"/>
    <n v="2"/>
    <x v="4"/>
    <x v="2"/>
    <x v="1"/>
    <x v="0"/>
    <x v="6"/>
    <m/>
    <x v="0"/>
    <x v="1"/>
    <x v="0"/>
    <x v="1"/>
  </r>
  <r>
    <x v="17"/>
    <x v="5"/>
    <n v="107"/>
    <n v="40"/>
    <n v="19"/>
    <n v="2"/>
    <x v="2"/>
    <x v="0"/>
    <n v="6"/>
    <x v="3"/>
    <x v="5"/>
    <n v="9"/>
    <x v="2"/>
    <x v="24"/>
    <x v="1"/>
    <x v="2"/>
    <x v="6"/>
    <x v="4"/>
    <n v="2"/>
    <n v="6"/>
    <x v="5"/>
    <n v="2"/>
    <n v="4"/>
    <x v="7"/>
    <x v="2"/>
    <x v="1"/>
    <x v="3"/>
    <x v="3"/>
    <m/>
    <x v="1"/>
    <x v="3"/>
    <x v="3"/>
    <x v="1"/>
  </r>
  <r>
    <x v="18"/>
    <x v="5"/>
    <n v="102"/>
    <n v="35"/>
    <n v="10"/>
    <m/>
    <x v="2"/>
    <x v="0"/>
    <n v="10"/>
    <x v="3"/>
    <x v="5"/>
    <n v="10"/>
    <x v="6"/>
    <x v="9"/>
    <x v="1"/>
    <x v="3"/>
    <x v="6"/>
    <x v="2"/>
    <n v="5"/>
    <n v="6"/>
    <x v="10"/>
    <n v="1"/>
    <m/>
    <x v="5"/>
    <x v="2"/>
    <x v="1"/>
    <x v="0"/>
    <x v="1"/>
    <m/>
    <x v="0"/>
    <x v="1"/>
    <x v="0"/>
    <x v="0"/>
  </r>
  <r>
    <x v="19"/>
    <x v="5"/>
    <n v="29"/>
    <n v="22"/>
    <m/>
    <m/>
    <x v="2"/>
    <x v="0"/>
    <m/>
    <x v="0"/>
    <x v="2"/>
    <m/>
    <x v="3"/>
    <x v="13"/>
    <x v="1"/>
    <x v="2"/>
    <x v="6"/>
    <x v="4"/>
    <m/>
    <n v="1"/>
    <x v="10"/>
    <n v="1"/>
    <n v="1"/>
    <x v="4"/>
    <x v="1"/>
    <x v="1"/>
    <x v="0"/>
    <x v="5"/>
    <n v="1"/>
    <x v="0"/>
    <x v="3"/>
    <x v="0"/>
    <x v="1"/>
  </r>
  <r>
    <x v="20"/>
    <x v="5"/>
    <n v="224"/>
    <n v="86"/>
    <n v="49"/>
    <n v="9"/>
    <x v="2"/>
    <x v="0"/>
    <n v="24"/>
    <x v="0"/>
    <x v="2"/>
    <n v="19"/>
    <x v="2"/>
    <x v="24"/>
    <x v="3"/>
    <x v="6"/>
    <x v="6"/>
    <x v="2"/>
    <m/>
    <n v="5"/>
    <x v="13"/>
    <n v="1"/>
    <n v="1"/>
    <x v="7"/>
    <x v="1"/>
    <x v="1"/>
    <x v="2"/>
    <x v="8"/>
    <m/>
    <x v="1"/>
    <x v="1"/>
    <x v="0"/>
    <x v="1"/>
  </r>
  <r>
    <x v="21"/>
    <x v="5"/>
    <n v="471"/>
    <n v="141"/>
    <n v="158"/>
    <n v="16"/>
    <x v="2"/>
    <x v="0"/>
    <n v="30"/>
    <x v="0"/>
    <x v="2"/>
    <n v="29"/>
    <x v="6"/>
    <x v="21"/>
    <x v="2"/>
    <x v="9"/>
    <x v="9"/>
    <x v="0"/>
    <n v="5"/>
    <n v="11"/>
    <x v="0"/>
    <n v="6"/>
    <n v="16"/>
    <x v="7"/>
    <x v="0"/>
    <x v="1"/>
    <x v="0"/>
    <x v="6"/>
    <n v="1"/>
    <x v="0"/>
    <x v="3"/>
    <x v="0"/>
    <x v="1"/>
  </r>
  <r>
    <x v="22"/>
    <x v="5"/>
    <n v="21"/>
    <n v="11"/>
    <n v="4"/>
    <m/>
    <x v="2"/>
    <x v="0"/>
    <m/>
    <x v="0"/>
    <x v="2"/>
    <n v="1"/>
    <x v="0"/>
    <x v="13"/>
    <x v="1"/>
    <x v="2"/>
    <x v="6"/>
    <x v="4"/>
    <m/>
    <m/>
    <x v="5"/>
    <m/>
    <n v="3"/>
    <x v="4"/>
    <x v="1"/>
    <x v="1"/>
    <x v="0"/>
    <x v="5"/>
    <m/>
    <x v="0"/>
    <x v="1"/>
    <x v="0"/>
    <x v="1"/>
  </r>
  <r>
    <x v="23"/>
    <x v="5"/>
    <n v="201"/>
    <n v="53"/>
    <n v="41"/>
    <n v="25"/>
    <x v="1"/>
    <x v="0"/>
    <n v="10"/>
    <x v="2"/>
    <x v="2"/>
    <n v="4"/>
    <x v="14"/>
    <x v="4"/>
    <x v="1"/>
    <x v="6"/>
    <x v="11"/>
    <x v="4"/>
    <n v="2"/>
    <n v="8"/>
    <x v="5"/>
    <n v="1"/>
    <n v="3"/>
    <x v="11"/>
    <x v="2"/>
    <x v="3"/>
    <x v="0"/>
    <x v="3"/>
    <n v="2"/>
    <x v="1"/>
    <x v="1"/>
    <x v="3"/>
    <x v="1"/>
  </r>
  <r>
    <x v="24"/>
    <x v="5"/>
    <n v="333"/>
    <n v="70"/>
    <n v="100"/>
    <n v="43"/>
    <x v="2"/>
    <x v="0"/>
    <n v="34"/>
    <x v="0"/>
    <x v="2"/>
    <n v="12"/>
    <x v="3"/>
    <x v="20"/>
    <x v="3"/>
    <x v="9"/>
    <x v="8"/>
    <x v="5"/>
    <n v="5"/>
    <n v="9"/>
    <x v="0"/>
    <n v="6"/>
    <n v="6"/>
    <x v="7"/>
    <x v="2"/>
    <x v="1"/>
    <x v="0"/>
    <x v="18"/>
    <n v="4"/>
    <x v="0"/>
    <x v="1"/>
    <x v="0"/>
    <x v="1"/>
  </r>
  <r>
    <x v="25"/>
    <x v="5"/>
    <n v="125"/>
    <n v="33"/>
    <n v="29"/>
    <n v="5"/>
    <x v="2"/>
    <x v="0"/>
    <n v="14"/>
    <x v="0"/>
    <x v="5"/>
    <n v="3"/>
    <x v="11"/>
    <x v="15"/>
    <x v="0"/>
    <x v="2"/>
    <x v="6"/>
    <x v="1"/>
    <n v="1"/>
    <n v="4"/>
    <x v="7"/>
    <m/>
    <n v="6"/>
    <x v="7"/>
    <x v="1"/>
    <x v="0"/>
    <x v="0"/>
    <x v="3"/>
    <m/>
    <x v="1"/>
    <x v="5"/>
    <x v="0"/>
    <x v="1"/>
  </r>
  <r>
    <x v="26"/>
    <x v="5"/>
    <n v="28"/>
    <n v="10"/>
    <n v="1"/>
    <m/>
    <x v="2"/>
    <x v="0"/>
    <m/>
    <x v="0"/>
    <x v="2"/>
    <n v="2"/>
    <x v="3"/>
    <x v="24"/>
    <x v="1"/>
    <x v="3"/>
    <x v="6"/>
    <x v="2"/>
    <m/>
    <m/>
    <x v="7"/>
    <n v="1"/>
    <n v="1"/>
    <x v="7"/>
    <x v="2"/>
    <x v="0"/>
    <x v="0"/>
    <x v="1"/>
    <m/>
    <x v="0"/>
    <x v="1"/>
    <x v="0"/>
    <x v="2"/>
  </r>
  <r>
    <x v="27"/>
    <x v="5"/>
    <n v="144"/>
    <n v="46"/>
    <n v="39"/>
    <n v="2"/>
    <x v="2"/>
    <x v="0"/>
    <n v="4"/>
    <x v="0"/>
    <x v="2"/>
    <n v="12"/>
    <x v="12"/>
    <x v="15"/>
    <x v="4"/>
    <x v="3"/>
    <x v="2"/>
    <x v="1"/>
    <n v="1"/>
    <n v="8"/>
    <x v="2"/>
    <n v="2"/>
    <n v="4"/>
    <x v="8"/>
    <x v="1"/>
    <x v="1"/>
    <x v="0"/>
    <x v="3"/>
    <m/>
    <x v="0"/>
    <x v="1"/>
    <x v="3"/>
    <x v="1"/>
  </r>
  <r>
    <x v="28"/>
    <x v="5"/>
    <n v="417"/>
    <n v="133"/>
    <n v="146"/>
    <n v="8"/>
    <x v="2"/>
    <x v="0"/>
    <n v="17"/>
    <x v="0"/>
    <x v="2"/>
    <n v="39"/>
    <x v="0"/>
    <x v="4"/>
    <x v="1"/>
    <x v="15"/>
    <x v="8"/>
    <x v="8"/>
    <n v="9"/>
    <n v="13"/>
    <x v="2"/>
    <n v="7"/>
    <n v="10"/>
    <x v="4"/>
    <x v="1"/>
    <x v="1"/>
    <x v="0"/>
    <x v="8"/>
    <m/>
    <x v="0"/>
    <x v="1"/>
    <x v="0"/>
    <x v="1"/>
  </r>
  <r>
    <x v="29"/>
    <x v="5"/>
    <n v="127"/>
    <n v="32"/>
    <n v="32"/>
    <n v="5"/>
    <x v="1"/>
    <x v="0"/>
    <n v="13"/>
    <x v="2"/>
    <x v="1"/>
    <n v="4"/>
    <x v="3"/>
    <x v="15"/>
    <x v="1"/>
    <x v="3"/>
    <x v="9"/>
    <x v="12"/>
    <n v="5"/>
    <n v="6"/>
    <x v="5"/>
    <m/>
    <m/>
    <x v="4"/>
    <x v="1"/>
    <x v="0"/>
    <x v="0"/>
    <x v="6"/>
    <m/>
    <x v="1"/>
    <x v="1"/>
    <x v="3"/>
    <x v="1"/>
  </r>
  <r>
    <x v="30"/>
    <x v="5"/>
    <n v="132"/>
    <n v="21"/>
    <n v="69"/>
    <n v="4"/>
    <x v="2"/>
    <x v="0"/>
    <n v="4"/>
    <x v="0"/>
    <x v="2"/>
    <n v="8"/>
    <x v="0"/>
    <x v="15"/>
    <x v="1"/>
    <x v="6"/>
    <x v="8"/>
    <x v="2"/>
    <m/>
    <n v="3"/>
    <x v="2"/>
    <n v="1"/>
    <n v="2"/>
    <x v="4"/>
    <x v="1"/>
    <x v="1"/>
    <x v="0"/>
    <x v="6"/>
    <m/>
    <x v="1"/>
    <x v="1"/>
    <x v="0"/>
    <x v="1"/>
  </r>
  <r>
    <x v="31"/>
    <x v="5"/>
    <n v="260"/>
    <n v="120"/>
    <n v="32"/>
    <n v="2"/>
    <x v="9"/>
    <x v="0"/>
    <n v="14"/>
    <x v="0"/>
    <x v="5"/>
    <n v="12"/>
    <x v="3"/>
    <x v="1"/>
    <x v="4"/>
    <x v="9"/>
    <x v="8"/>
    <x v="2"/>
    <n v="5"/>
    <n v="13"/>
    <x v="0"/>
    <n v="9"/>
    <n v="2"/>
    <x v="4"/>
    <x v="2"/>
    <x v="1"/>
    <x v="0"/>
    <x v="8"/>
    <m/>
    <x v="0"/>
    <x v="0"/>
    <x v="5"/>
    <x v="0"/>
  </r>
  <r>
    <x v="0"/>
    <x v="6"/>
    <n v="455"/>
    <n v="76"/>
    <n v="188"/>
    <n v="30"/>
    <x v="0"/>
    <x v="0"/>
    <n v="38"/>
    <x v="0"/>
    <x v="2"/>
    <n v="7"/>
    <x v="0"/>
    <x v="21"/>
    <x v="1"/>
    <x v="22"/>
    <x v="5"/>
    <x v="0"/>
    <n v="10"/>
    <n v="13"/>
    <x v="8"/>
    <n v="16"/>
    <n v="10"/>
    <x v="11"/>
    <x v="7"/>
    <x v="1"/>
    <x v="0"/>
    <x v="8"/>
    <n v="7"/>
    <x v="0"/>
    <x v="1"/>
    <x v="0"/>
    <x v="1"/>
  </r>
  <r>
    <x v="1"/>
    <x v="6"/>
    <n v="275"/>
    <n v="85"/>
    <n v="24"/>
    <n v="7"/>
    <x v="1"/>
    <x v="0"/>
    <n v="69"/>
    <x v="4"/>
    <x v="1"/>
    <n v="7"/>
    <x v="6"/>
    <x v="16"/>
    <x v="0"/>
    <x v="6"/>
    <x v="3"/>
    <x v="12"/>
    <n v="4"/>
    <n v="6"/>
    <x v="22"/>
    <n v="3"/>
    <n v="5"/>
    <x v="5"/>
    <x v="1"/>
    <x v="0"/>
    <x v="3"/>
    <x v="10"/>
    <n v="1"/>
    <x v="0"/>
    <x v="1"/>
    <x v="0"/>
    <x v="1"/>
  </r>
  <r>
    <x v="2"/>
    <x v="6"/>
    <n v="137"/>
    <n v="42"/>
    <n v="30"/>
    <n v="11"/>
    <x v="0"/>
    <x v="0"/>
    <n v="10"/>
    <x v="0"/>
    <x v="2"/>
    <n v="11"/>
    <x v="6"/>
    <x v="2"/>
    <x v="1"/>
    <x v="2"/>
    <x v="2"/>
    <x v="4"/>
    <n v="2"/>
    <n v="6"/>
    <x v="3"/>
    <n v="2"/>
    <n v="2"/>
    <x v="4"/>
    <x v="1"/>
    <x v="0"/>
    <x v="0"/>
    <x v="3"/>
    <m/>
    <x v="0"/>
    <x v="1"/>
    <x v="0"/>
    <x v="1"/>
  </r>
  <r>
    <x v="3"/>
    <x v="6"/>
    <n v="102"/>
    <n v="31"/>
    <n v="24"/>
    <n v="3"/>
    <x v="2"/>
    <x v="0"/>
    <n v="6"/>
    <x v="0"/>
    <x v="2"/>
    <n v="2"/>
    <x v="12"/>
    <x v="15"/>
    <x v="1"/>
    <x v="5"/>
    <x v="6"/>
    <x v="2"/>
    <n v="2"/>
    <n v="3"/>
    <x v="7"/>
    <m/>
    <n v="9"/>
    <x v="3"/>
    <x v="1"/>
    <x v="1"/>
    <x v="0"/>
    <x v="5"/>
    <m/>
    <x v="5"/>
    <x v="3"/>
    <x v="0"/>
    <x v="2"/>
  </r>
  <r>
    <x v="4"/>
    <x v="6"/>
    <n v="921"/>
    <n v="113"/>
    <n v="315"/>
    <n v="125"/>
    <x v="4"/>
    <x v="0"/>
    <n v="69"/>
    <x v="1"/>
    <x v="1"/>
    <n v="23"/>
    <x v="4"/>
    <x v="20"/>
    <x v="7"/>
    <x v="17"/>
    <x v="13"/>
    <x v="18"/>
    <n v="35"/>
    <n v="25"/>
    <x v="18"/>
    <n v="22"/>
    <n v="25"/>
    <x v="13"/>
    <x v="13"/>
    <x v="1"/>
    <x v="0"/>
    <x v="14"/>
    <n v="30"/>
    <x v="6"/>
    <x v="1"/>
    <x v="0"/>
    <x v="1"/>
  </r>
  <r>
    <x v="5"/>
    <x v="6"/>
    <n v="98"/>
    <n v="40"/>
    <n v="31"/>
    <n v="1"/>
    <x v="1"/>
    <x v="0"/>
    <n v="2"/>
    <x v="0"/>
    <x v="2"/>
    <n v="1"/>
    <x v="0"/>
    <x v="8"/>
    <x v="4"/>
    <x v="2"/>
    <x v="1"/>
    <x v="4"/>
    <n v="3"/>
    <n v="1"/>
    <x v="6"/>
    <n v="3"/>
    <n v="2"/>
    <x v="4"/>
    <x v="1"/>
    <x v="1"/>
    <x v="0"/>
    <x v="5"/>
    <m/>
    <x v="0"/>
    <x v="1"/>
    <x v="0"/>
    <x v="1"/>
  </r>
  <r>
    <x v="6"/>
    <x v="6"/>
    <n v="138"/>
    <n v="66"/>
    <n v="20"/>
    <n v="2"/>
    <x v="2"/>
    <x v="0"/>
    <n v="3"/>
    <x v="2"/>
    <x v="5"/>
    <n v="8"/>
    <x v="8"/>
    <x v="7"/>
    <x v="1"/>
    <x v="5"/>
    <x v="2"/>
    <x v="7"/>
    <n v="6"/>
    <n v="1"/>
    <x v="3"/>
    <n v="1"/>
    <n v="3"/>
    <x v="7"/>
    <x v="1"/>
    <x v="1"/>
    <x v="3"/>
    <x v="0"/>
    <m/>
    <x v="0"/>
    <x v="1"/>
    <x v="0"/>
    <x v="1"/>
  </r>
  <r>
    <x v="7"/>
    <x v="6"/>
    <n v="334"/>
    <n v="57"/>
    <n v="102"/>
    <n v="64"/>
    <x v="0"/>
    <x v="0"/>
    <n v="30"/>
    <x v="0"/>
    <x v="0"/>
    <n v="9"/>
    <x v="3"/>
    <x v="20"/>
    <x v="7"/>
    <x v="6"/>
    <x v="2"/>
    <x v="12"/>
    <n v="5"/>
    <n v="12"/>
    <x v="2"/>
    <n v="8"/>
    <n v="5"/>
    <x v="4"/>
    <x v="0"/>
    <x v="1"/>
    <x v="0"/>
    <x v="4"/>
    <n v="1"/>
    <x v="1"/>
    <x v="1"/>
    <x v="0"/>
    <x v="2"/>
  </r>
  <r>
    <x v="8"/>
    <x v="6"/>
    <n v="158"/>
    <n v="67"/>
    <n v="25"/>
    <n v="3"/>
    <x v="2"/>
    <x v="0"/>
    <n v="7"/>
    <x v="3"/>
    <x v="2"/>
    <n v="14"/>
    <x v="3"/>
    <x v="24"/>
    <x v="0"/>
    <x v="6"/>
    <x v="10"/>
    <x v="1"/>
    <n v="2"/>
    <n v="7"/>
    <x v="6"/>
    <n v="2"/>
    <n v="3"/>
    <x v="4"/>
    <x v="1"/>
    <x v="0"/>
    <x v="0"/>
    <x v="3"/>
    <n v="1"/>
    <x v="0"/>
    <x v="3"/>
    <x v="0"/>
    <x v="1"/>
  </r>
  <r>
    <x v="9"/>
    <x v="6"/>
    <n v="106"/>
    <n v="46"/>
    <n v="19"/>
    <n v="3"/>
    <x v="2"/>
    <x v="0"/>
    <n v="9"/>
    <x v="0"/>
    <x v="2"/>
    <n v="4"/>
    <x v="0"/>
    <x v="24"/>
    <x v="1"/>
    <x v="3"/>
    <x v="3"/>
    <x v="4"/>
    <m/>
    <n v="1"/>
    <x v="2"/>
    <m/>
    <n v="3"/>
    <x v="4"/>
    <x v="2"/>
    <x v="1"/>
    <x v="0"/>
    <x v="6"/>
    <m/>
    <x v="0"/>
    <x v="1"/>
    <x v="0"/>
    <x v="1"/>
  </r>
  <r>
    <x v="10"/>
    <x v="6"/>
    <n v="120"/>
    <n v="51"/>
    <n v="26"/>
    <n v="3"/>
    <x v="2"/>
    <x v="0"/>
    <n v="4"/>
    <x v="0"/>
    <x v="0"/>
    <n v="2"/>
    <x v="4"/>
    <x v="15"/>
    <x v="0"/>
    <x v="3"/>
    <x v="6"/>
    <x v="12"/>
    <n v="3"/>
    <n v="2"/>
    <x v="2"/>
    <n v="1"/>
    <n v="4"/>
    <x v="4"/>
    <x v="2"/>
    <x v="1"/>
    <x v="0"/>
    <x v="9"/>
    <m/>
    <x v="0"/>
    <x v="1"/>
    <x v="0"/>
    <x v="1"/>
  </r>
  <r>
    <x v="11"/>
    <x v="6"/>
    <n v="104"/>
    <n v="38"/>
    <n v="21"/>
    <n v="5"/>
    <x v="2"/>
    <x v="0"/>
    <n v="7"/>
    <x v="0"/>
    <x v="2"/>
    <n v="9"/>
    <x v="3"/>
    <x v="24"/>
    <x v="0"/>
    <x v="3"/>
    <x v="5"/>
    <x v="4"/>
    <n v="1"/>
    <m/>
    <x v="3"/>
    <n v="1"/>
    <n v="4"/>
    <x v="2"/>
    <x v="1"/>
    <x v="1"/>
    <x v="0"/>
    <x v="1"/>
    <m/>
    <x v="0"/>
    <x v="5"/>
    <x v="0"/>
    <x v="1"/>
  </r>
  <r>
    <x v="12"/>
    <x v="6"/>
    <n v="205"/>
    <n v="70"/>
    <n v="50"/>
    <n v="4"/>
    <x v="1"/>
    <x v="0"/>
    <n v="9"/>
    <x v="0"/>
    <x v="2"/>
    <n v="4"/>
    <x v="10"/>
    <x v="9"/>
    <x v="4"/>
    <x v="5"/>
    <x v="1"/>
    <x v="12"/>
    <n v="5"/>
    <n v="14"/>
    <x v="2"/>
    <n v="11"/>
    <m/>
    <x v="5"/>
    <x v="1"/>
    <x v="1"/>
    <x v="3"/>
    <x v="0"/>
    <m/>
    <x v="0"/>
    <x v="5"/>
    <x v="0"/>
    <x v="1"/>
  </r>
  <r>
    <x v="13"/>
    <x v="6"/>
    <n v="412"/>
    <n v="136"/>
    <n v="107"/>
    <n v="13"/>
    <x v="0"/>
    <x v="0"/>
    <n v="16"/>
    <x v="4"/>
    <x v="0"/>
    <n v="21"/>
    <x v="4"/>
    <x v="14"/>
    <x v="3"/>
    <x v="9"/>
    <x v="4"/>
    <x v="8"/>
    <n v="9"/>
    <n v="18"/>
    <x v="0"/>
    <n v="8"/>
    <n v="8"/>
    <x v="8"/>
    <x v="1"/>
    <x v="1"/>
    <x v="2"/>
    <x v="10"/>
    <n v="3"/>
    <x v="4"/>
    <x v="1"/>
    <x v="0"/>
    <x v="2"/>
  </r>
  <r>
    <x v="14"/>
    <x v="6"/>
    <n v="1368"/>
    <n v="155"/>
    <n v="475"/>
    <n v="259"/>
    <x v="7"/>
    <x v="0"/>
    <n v="66"/>
    <x v="0"/>
    <x v="2"/>
    <n v="42"/>
    <x v="3"/>
    <x v="27"/>
    <x v="7"/>
    <x v="23"/>
    <x v="1"/>
    <x v="17"/>
    <n v="20"/>
    <n v="38"/>
    <x v="23"/>
    <n v="37"/>
    <n v="40"/>
    <x v="10"/>
    <x v="17"/>
    <x v="0"/>
    <x v="0"/>
    <x v="22"/>
    <n v="19"/>
    <x v="7"/>
    <x v="4"/>
    <x v="3"/>
    <x v="1"/>
  </r>
  <r>
    <x v="15"/>
    <x v="6"/>
    <n v="231"/>
    <n v="92"/>
    <n v="26"/>
    <m/>
    <x v="1"/>
    <x v="0"/>
    <n v="5"/>
    <x v="4"/>
    <x v="5"/>
    <n v="12"/>
    <x v="14"/>
    <x v="20"/>
    <x v="3"/>
    <x v="5"/>
    <x v="2"/>
    <x v="5"/>
    <n v="9"/>
    <n v="5"/>
    <x v="6"/>
    <n v="6"/>
    <n v="7"/>
    <x v="15"/>
    <x v="1"/>
    <x v="6"/>
    <x v="0"/>
    <x v="9"/>
    <m/>
    <x v="5"/>
    <x v="1"/>
    <x v="0"/>
    <x v="1"/>
  </r>
  <r>
    <x v="16"/>
    <x v="6"/>
    <n v="166"/>
    <n v="36"/>
    <n v="45"/>
    <n v="35"/>
    <x v="2"/>
    <x v="0"/>
    <n v="13"/>
    <x v="0"/>
    <x v="2"/>
    <n v="6"/>
    <x v="3"/>
    <x v="24"/>
    <x v="0"/>
    <x v="3"/>
    <x v="2"/>
    <x v="1"/>
    <n v="1"/>
    <n v="3"/>
    <x v="7"/>
    <n v="4"/>
    <n v="7"/>
    <x v="4"/>
    <x v="1"/>
    <x v="1"/>
    <x v="0"/>
    <x v="9"/>
    <m/>
    <x v="0"/>
    <x v="1"/>
    <x v="0"/>
    <x v="1"/>
  </r>
  <r>
    <x v="17"/>
    <x v="6"/>
    <n v="101"/>
    <n v="43"/>
    <n v="12"/>
    <n v="2"/>
    <x v="2"/>
    <x v="0"/>
    <n v="10"/>
    <x v="0"/>
    <x v="5"/>
    <n v="6"/>
    <x v="4"/>
    <x v="13"/>
    <x v="4"/>
    <x v="5"/>
    <x v="6"/>
    <x v="2"/>
    <n v="2"/>
    <n v="5"/>
    <x v="7"/>
    <m/>
    <n v="3"/>
    <x v="4"/>
    <x v="13"/>
    <x v="1"/>
    <x v="0"/>
    <x v="3"/>
    <m/>
    <x v="0"/>
    <x v="1"/>
    <x v="0"/>
    <x v="1"/>
  </r>
  <r>
    <x v="18"/>
    <x v="6"/>
    <n v="86"/>
    <n v="34"/>
    <n v="6"/>
    <m/>
    <x v="2"/>
    <x v="0"/>
    <n v="7"/>
    <x v="3"/>
    <x v="0"/>
    <n v="6"/>
    <x v="2"/>
    <x v="4"/>
    <x v="0"/>
    <x v="3"/>
    <x v="2"/>
    <x v="1"/>
    <n v="3"/>
    <n v="1"/>
    <x v="5"/>
    <n v="3"/>
    <m/>
    <x v="4"/>
    <x v="2"/>
    <x v="1"/>
    <x v="0"/>
    <x v="6"/>
    <n v="1"/>
    <x v="1"/>
    <x v="1"/>
    <x v="0"/>
    <x v="1"/>
  </r>
  <r>
    <x v="19"/>
    <x v="6"/>
    <n v="27"/>
    <n v="18"/>
    <n v="1"/>
    <m/>
    <x v="2"/>
    <x v="0"/>
    <n v="1"/>
    <x v="0"/>
    <x v="2"/>
    <m/>
    <x v="0"/>
    <x v="13"/>
    <x v="1"/>
    <x v="5"/>
    <x v="6"/>
    <x v="4"/>
    <n v="1"/>
    <n v="1"/>
    <x v="10"/>
    <m/>
    <n v="1"/>
    <x v="4"/>
    <x v="1"/>
    <x v="1"/>
    <x v="0"/>
    <x v="5"/>
    <n v="1"/>
    <x v="1"/>
    <x v="1"/>
    <x v="0"/>
    <x v="1"/>
  </r>
  <r>
    <x v="20"/>
    <x v="6"/>
    <n v="239"/>
    <n v="91"/>
    <n v="53"/>
    <n v="9"/>
    <x v="2"/>
    <x v="0"/>
    <n v="23"/>
    <x v="0"/>
    <x v="2"/>
    <n v="11"/>
    <x v="2"/>
    <x v="20"/>
    <x v="0"/>
    <x v="3"/>
    <x v="6"/>
    <x v="5"/>
    <n v="2"/>
    <n v="10"/>
    <x v="0"/>
    <n v="1"/>
    <n v="5"/>
    <x v="4"/>
    <x v="0"/>
    <x v="1"/>
    <x v="0"/>
    <x v="3"/>
    <m/>
    <x v="0"/>
    <x v="0"/>
    <x v="0"/>
    <x v="1"/>
  </r>
  <r>
    <x v="21"/>
    <x v="6"/>
    <n v="476"/>
    <n v="136"/>
    <n v="166"/>
    <n v="15"/>
    <x v="2"/>
    <x v="0"/>
    <n v="19"/>
    <x v="0"/>
    <x v="2"/>
    <n v="28"/>
    <x v="4"/>
    <x v="16"/>
    <x v="3"/>
    <x v="8"/>
    <x v="0"/>
    <x v="7"/>
    <n v="13"/>
    <n v="15"/>
    <x v="24"/>
    <n v="7"/>
    <n v="5"/>
    <x v="4"/>
    <x v="7"/>
    <x v="1"/>
    <x v="3"/>
    <x v="9"/>
    <n v="1"/>
    <x v="0"/>
    <x v="7"/>
    <x v="0"/>
    <x v="1"/>
  </r>
  <r>
    <x v="22"/>
    <x v="6"/>
    <n v="20"/>
    <n v="10"/>
    <m/>
    <m/>
    <x v="2"/>
    <x v="0"/>
    <m/>
    <x v="0"/>
    <x v="0"/>
    <n v="3"/>
    <x v="4"/>
    <x v="7"/>
    <x v="1"/>
    <x v="2"/>
    <x v="6"/>
    <x v="4"/>
    <m/>
    <n v="1"/>
    <x v="10"/>
    <m/>
    <n v="1"/>
    <x v="4"/>
    <x v="1"/>
    <x v="1"/>
    <x v="0"/>
    <x v="1"/>
    <m/>
    <x v="0"/>
    <x v="1"/>
    <x v="0"/>
    <x v="1"/>
  </r>
  <r>
    <x v="23"/>
    <x v="6"/>
    <n v="196"/>
    <n v="50"/>
    <n v="28"/>
    <n v="11"/>
    <x v="1"/>
    <x v="0"/>
    <n v="28"/>
    <x v="3"/>
    <x v="5"/>
    <n v="8"/>
    <x v="4"/>
    <x v="10"/>
    <x v="1"/>
    <x v="5"/>
    <x v="9"/>
    <x v="7"/>
    <n v="6"/>
    <n v="8"/>
    <x v="7"/>
    <n v="5"/>
    <n v="4"/>
    <x v="7"/>
    <x v="2"/>
    <x v="1"/>
    <x v="0"/>
    <x v="6"/>
    <n v="2"/>
    <x v="0"/>
    <x v="3"/>
    <x v="0"/>
    <x v="1"/>
  </r>
  <r>
    <x v="24"/>
    <x v="6"/>
    <n v="331"/>
    <n v="70"/>
    <n v="81"/>
    <n v="60"/>
    <x v="2"/>
    <x v="0"/>
    <n v="31"/>
    <x v="0"/>
    <x v="2"/>
    <n v="11"/>
    <x v="0"/>
    <x v="17"/>
    <x v="8"/>
    <x v="6"/>
    <x v="5"/>
    <x v="4"/>
    <n v="6"/>
    <n v="14"/>
    <x v="22"/>
    <n v="9"/>
    <n v="7"/>
    <x v="2"/>
    <x v="1"/>
    <x v="1"/>
    <x v="0"/>
    <x v="18"/>
    <n v="2"/>
    <x v="0"/>
    <x v="3"/>
    <x v="0"/>
    <x v="1"/>
  </r>
  <r>
    <x v="25"/>
    <x v="6"/>
    <n v="157"/>
    <n v="61"/>
    <n v="22"/>
    <n v="5"/>
    <x v="1"/>
    <x v="0"/>
    <n v="14"/>
    <x v="3"/>
    <x v="7"/>
    <n v="3"/>
    <x v="10"/>
    <x v="9"/>
    <x v="1"/>
    <x v="3"/>
    <x v="2"/>
    <x v="1"/>
    <n v="2"/>
    <n v="5"/>
    <x v="2"/>
    <n v="3"/>
    <n v="3"/>
    <x v="9"/>
    <x v="1"/>
    <x v="1"/>
    <x v="3"/>
    <x v="3"/>
    <m/>
    <x v="1"/>
    <x v="1"/>
    <x v="0"/>
    <x v="1"/>
  </r>
  <r>
    <x v="26"/>
    <x v="6"/>
    <n v="23"/>
    <n v="14"/>
    <n v="3"/>
    <n v="1"/>
    <x v="2"/>
    <x v="0"/>
    <n v="1"/>
    <x v="0"/>
    <x v="2"/>
    <m/>
    <x v="0"/>
    <x v="7"/>
    <x v="1"/>
    <x v="2"/>
    <x v="6"/>
    <x v="4"/>
    <n v="1"/>
    <n v="1"/>
    <x v="10"/>
    <m/>
    <m/>
    <x v="7"/>
    <x v="1"/>
    <x v="1"/>
    <x v="0"/>
    <x v="5"/>
    <m/>
    <x v="0"/>
    <x v="1"/>
    <x v="3"/>
    <x v="1"/>
  </r>
  <r>
    <x v="27"/>
    <x v="6"/>
    <n v="155"/>
    <n v="48"/>
    <n v="49"/>
    <n v="1"/>
    <x v="2"/>
    <x v="0"/>
    <n v="3"/>
    <x v="0"/>
    <x v="2"/>
    <n v="12"/>
    <x v="3"/>
    <x v="9"/>
    <x v="1"/>
    <x v="5"/>
    <x v="2"/>
    <x v="12"/>
    <m/>
    <n v="10"/>
    <x v="6"/>
    <n v="5"/>
    <n v="3"/>
    <x v="2"/>
    <x v="7"/>
    <x v="1"/>
    <x v="0"/>
    <x v="6"/>
    <m/>
    <x v="0"/>
    <x v="3"/>
    <x v="0"/>
    <x v="1"/>
  </r>
  <r>
    <x v="28"/>
    <x v="6"/>
    <n v="393"/>
    <n v="135"/>
    <n v="128"/>
    <n v="5"/>
    <x v="2"/>
    <x v="0"/>
    <n v="26"/>
    <x v="0"/>
    <x v="2"/>
    <n v="23"/>
    <x v="4"/>
    <x v="2"/>
    <x v="4"/>
    <x v="1"/>
    <x v="5"/>
    <x v="9"/>
    <n v="3"/>
    <n v="14"/>
    <x v="2"/>
    <n v="1"/>
    <n v="8"/>
    <x v="8"/>
    <x v="0"/>
    <x v="1"/>
    <x v="0"/>
    <x v="2"/>
    <m/>
    <x v="0"/>
    <x v="1"/>
    <x v="0"/>
    <x v="1"/>
  </r>
  <r>
    <x v="29"/>
    <x v="6"/>
    <n v="180"/>
    <n v="39"/>
    <n v="36"/>
    <n v="6"/>
    <x v="9"/>
    <x v="1"/>
    <n v="22"/>
    <x v="0"/>
    <x v="0"/>
    <n v="2"/>
    <x v="2"/>
    <x v="15"/>
    <x v="1"/>
    <x v="3"/>
    <x v="18"/>
    <x v="2"/>
    <n v="4"/>
    <n v="2"/>
    <x v="0"/>
    <n v="2"/>
    <n v="3"/>
    <x v="5"/>
    <x v="1"/>
    <x v="0"/>
    <x v="0"/>
    <x v="10"/>
    <n v="1"/>
    <x v="1"/>
    <x v="1"/>
    <x v="0"/>
    <x v="1"/>
  </r>
  <r>
    <x v="30"/>
    <x v="6"/>
    <n v="215"/>
    <n v="44"/>
    <n v="84"/>
    <n v="9"/>
    <x v="2"/>
    <x v="0"/>
    <n v="18"/>
    <x v="2"/>
    <x v="2"/>
    <n v="5"/>
    <x v="0"/>
    <x v="2"/>
    <x v="1"/>
    <x v="1"/>
    <x v="5"/>
    <x v="5"/>
    <n v="2"/>
    <n v="4"/>
    <x v="5"/>
    <n v="4"/>
    <n v="4"/>
    <x v="5"/>
    <x v="1"/>
    <x v="1"/>
    <x v="0"/>
    <x v="16"/>
    <m/>
    <x v="1"/>
    <x v="10"/>
    <x v="0"/>
    <x v="1"/>
  </r>
  <r>
    <x v="31"/>
    <x v="6"/>
    <n v="238"/>
    <n v="97"/>
    <n v="40"/>
    <m/>
    <x v="0"/>
    <x v="0"/>
    <n v="10"/>
    <x v="0"/>
    <x v="0"/>
    <n v="12"/>
    <x v="12"/>
    <x v="25"/>
    <x v="7"/>
    <x v="12"/>
    <x v="2"/>
    <x v="5"/>
    <n v="3"/>
    <n v="11"/>
    <x v="3"/>
    <n v="2"/>
    <n v="4"/>
    <x v="5"/>
    <x v="2"/>
    <x v="1"/>
    <x v="0"/>
    <x v="6"/>
    <m/>
    <x v="0"/>
    <x v="1"/>
    <x v="0"/>
    <x v="0"/>
  </r>
  <r>
    <x v="0"/>
    <x v="7"/>
    <n v="458"/>
    <n v="65"/>
    <n v="201"/>
    <n v="43"/>
    <x v="9"/>
    <x v="0"/>
    <n v="36"/>
    <x v="2"/>
    <x v="0"/>
    <n v="10"/>
    <x v="0"/>
    <x v="1"/>
    <x v="7"/>
    <x v="12"/>
    <x v="2"/>
    <x v="7"/>
    <n v="6"/>
    <n v="11"/>
    <x v="0"/>
    <n v="11"/>
    <n v="3"/>
    <x v="2"/>
    <x v="13"/>
    <x v="1"/>
    <x v="0"/>
    <x v="4"/>
    <n v="15"/>
    <x v="0"/>
    <x v="3"/>
    <x v="0"/>
    <x v="2"/>
  </r>
  <r>
    <x v="1"/>
    <x v="7"/>
    <n v="272"/>
    <n v="100"/>
    <n v="23"/>
    <n v="6"/>
    <x v="2"/>
    <x v="0"/>
    <n v="50"/>
    <x v="1"/>
    <x v="0"/>
    <n v="11"/>
    <x v="6"/>
    <x v="1"/>
    <x v="7"/>
    <x v="3"/>
    <x v="9"/>
    <x v="12"/>
    <n v="5"/>
    <n v="6"/>
    <x v="1"/>
    <n v="6"/>
    <n v="6"/>
    <x v="3"/>
    <x v="2"/>
    <x v="1"/>
    <x v="3"/>
    <x v="18"/>
    <m/>
    <x v="0"/>
    <x v="3"/>
    <x v="0"/>
    <x v="1"/>
  </r>
  <r>
    <x v="2"/>
    <x v="7"/>
    <n v="126"/>
    <n v="51"/>
    <n v="18"/>
    <n v="10"/>
    <x v="1"/>
    <x v="0"/>
    <n v="17"/>
    <x v="0"/>
    <x v="0"/>
    <n v="6"/>
    <x v="3"/>
    <x v="2"/>
    <x v="1"/>
    <x v="5"/>
    <x v="5"/>
    <x v="2"/>
    <n v="1"/>
    <n v="2"/>
    <x v="7"/>
    <n v="3"/>
    <m/>
    <x v="5"/>
    <x v="1"/>
    <x v="1"/>
    <x v="0"/>
    <x v="5"/>
    <m/>
    <x v="0"/>
    <x v="3"/>
    <x v="0"/>
    <x v="1"/>
  </r>
  <r>
    <x v="3"/>
    <x v="7"/>
    <n v="111"/>
    <n v="41"/>
    <n v="30"/>
    <n v="5"/>
    <x v="2"/>
    <x v="0"/>
    <n v="3"/>
    <x v="2"/>
    <x v="2"/>
    <n v="5"/>
    <x v="0"/>
    <x v="8"/>
    <x v="1"/>
    <x v="3"/>
    <x v="2"/>
    <x v="5"/>
    <n v="2"/>
    <n v="1"/>
    <x v="10"/>
    <n v="1"/>
    <n v="6"/>
    <x v="2"/>
    <x v="1"/>
    <x v="3"/>
    <x v="3"/>
    <x v="1"/>
    <m/>
    <x v="0"/>
    <x v="1"/>
    <x v="0"/>
    <x v="1"/>
  </r>
  <r>
    <x v="4"/>
    <x v="7"/>
    <n v="838"/>
    <n v="112"/>
    <n v="278"/>
    <n v="127"/>
    <x v="2"/>
    <x v="0"/>
    <n v="59"/>
    <x v="0"/>
    <x v="1"/>
    <n v="15"/>
    <x v="3"/>
    <x v="10"/>
    <x v="4"/>
    <x v="24"/>
    <x v="10"/>
    <x v="19"/>
    <n v="34"/>
    <n v="28"/>
    <x v="15"/>
    <n v="17"/>
    <n v="26"/>
    <x v="12"/>
    <x v="4"/>
    <x v="0"/>
    <x v="0"/>
    <x v="20"/>
    <n v="27"/>
    <x v="4"/>
    <x v="3"/>
    <x v="3"/>
    <x v="1"/>
  </r>
  <r>
    <x v="5"/>
    <x v="7"/>
    <n v="92"/>
    <n v="35"/>
    <n v="26"/>
    <m/>
    <x v="2"/>
    <x v="0"/>
    <n v="10"/>
    <x v="2"/>
    <x v="2"/>
    <m/>
    <x v="2"/>
    <x v="4"/>
    <x v="1"/>
    <x v="5"/>
    <x v="2"/>
    <x v="4"/>
    <m/>
    <n v="3"/>
    <x v="7"/>
    <n v="1"/>
    <m/>
    <x v="4"/>
    <x v="2"/>
    <x v="1"/>
    <x v="0"/>
    <x v="1"/>
    <m/>
    <x v="0"/>
    <x v="3"/>
    <x v="0"/>
    <x v="1"/>
  </r>
  <r>
    <x v="6"/>
    <x v="7"/>
    <n v="172"/>
    <n v="83"/>
    <n v="18"/>
    <n v="1"/>
    <x v="2"/>
    <x v="0"/>
    <n v="11"/>
    <x v="3"/>
    <x v="1"/>
    <n v="8"/>
    <x v="13"/>
    <x v="9"/>
    <x v="4"/>
    <x v="1"/>
    <x v="8"/>
    <x v="1"/>
    <n v="4"/>
    <n v="4"/>
    <x v="6"/>
    <n v="2"/>
    <n v="1"/>
    <x v="3"/>
    <x v="1"/>
    <x v="0"/>
    <x v="0"/>
    <x v="3"/>
    <m/>
    <x v="0"/>
    <x v="3"/>
    <x v="0"/>
    <x v="1"/>
  </r>
  <r>
    <x v="7"/>
    <x v="7"/>
    <n v="324"/>
    <n v="47"/>
    <n v="98"/>
    <n v="73"/>
    <x v="10"/>
    <x v="0"/>
    <n v="33"/>
    <x v="0"/>
    <x v="2"/>
    <n v="12"/>
    <x v="0"/>
    <x v="6"/>
    <x v="3"/>
    <x v="3"/>
    <x v="5"/>
    <x v="4"/>
    <n v="4"/>
    <n v="5"/>
    <x v="1"/>
    <n v="5"/>
    <n v="4"/>
    <x v="2"/>
    <x v="13"/>
    <x v="1"/>
    <x v="0"/>
    <x v="3"/>
    <n v="3"/>
    <x v="1"/>
    <x v="1"/>
    <x v="0"/>
    <x v="1"/>
  </r>
  <r>
    <x v="8"/>
    <x v="7"/>
    <n v="201"/>
    <n v="83"/>
    <n v="40"/>
    <n v="2"/>
    <x v="1"/>
    <x v="0"/>
    <n v="20"/>
    <x v="0"/>
    <x v="2"/>
    <n v="19"/>
    <x v="3"/>
    <x v="15"/>
    <x v="0"/>
    <x v="2"/>
    <x v="1"/>
    <x v="7"/>
    <m/>
    <n v="6"/>
    <x v="7"/>
    <n v="2"/>
    <n v="3"/>
    <x v="4"/>
    <x v="1"/>
    <x v="1"/>
    <x v="3"/>
    <x v="9"/>
    <m/>
    <x v="1"/>
    <x v="1"/>
    <x v="0"/>
    <x v="1"/>
  </r>
  <r>
    <x v="9"/>
    <x v="7"/>
    <n v="118"/>
    <n v="49"/>
    <n v="20"/>
    <n v="3"/>
    <x v="2"/>
    <x v="0"/>
    <n v="10"/>
    <x v="0"/>
    <x v="2"/>
    <n v="9"/>
    <x v="0"/>
    <x v="24"/>
    <x v="1"/>
    <x v="5"/>
    <x v="12"/>
    <x v="2"/>
    <n v="1"/>
    <n v="2"/>
    <x v="0"/>
    <m/>
    <m/>
    <x v="4"/>
    <x v="1"/>
    <x v="1"/>
    <x v="0"/>
    <x v="0"/>
    <m/>
    <x v="0"/>
    <x v="1"/>
    <x v="0"/>
    <x v="1"/>
  </r>
  <r>
    <x v="10"/>
    <x v="7"/>
    <n v="103"/>
    <n v="36"/>
    <n v="17"/>
    <n v="1"/>
    <x v="2"/>
    <x v="0"/>
    <n v="3"/>
    <x v="0"/>
    <x v="5"/>
    <n v="6"/>
    <x v="2"/>
    <x v="15"/>
    <x v="0"/>
    <x v="6"/>
    <x v="2"/>
    <x v="0"/>
    <n v="4"/>
    <m/>
    <x v="6"/>
    <n v="3"/>
    <n v="3"/>
    <x v="4"/>
    <x v="2"/>
    <x v="1"/>
    <x v="0"/>
    <x v="9"/>
    <n v="1"/>
    <x v="0"/>
    <x v="3"/>
    <x v="0"/>
    <x v="1"/>
  </r>
  <r>
    <x v="11"/>
    <x v="7"/>
    <n v="82"/>
    <n v="34"/>
    <n v="17"/>
    <n v="3"/>
    <x v="2"/>
    <x v="0"/>
    <n v="10"/>
    <x v="0"/>
    <x v="2"/>
    <n v="6"/>
    <x v="0"/>
    <x v="24"/>
    <x v="1"/>
    <x v="5"/>
    <x v="6"/>
    <x v="2"/>
    <m/>
    <n v="2"/>
    <x v="6"/>
    <m/>
    <n v="1"/>
    <x v="4"/>
    <x v="1"/>
    <x v="1"/>
    <x v="0"/>
    <x v="5"/>
    <m/>
    <x v="0"/>
    <x v="5"/>
    <x v="0"/>
    <x v="1"/>
  </r>
  <r>
    <x v="12"/>
    <x v="7"/>
    <n v="182"/>
    <n v="60"/>
    <n v="46"/>
    <n v="2"/>
    <x v="2"/>
    <x v="0"/>
    <n v="7"/>
    <x v="0"/>
    <x v="5"/>
    <n v="13"/>
    <x v="3"/>
    <x v="4"/>
    <x v="0"/>
    <x v="3"/>
    <x v="0"/>
    <x v="2"/>
    <n v="8"/>
    <n v="3"/>
    <x v="1"/>
    <n v="7"/>
    <n v="2"/>
    <x v="7"/>
    <x v="1"/>
    <x v="1"/>
    <x v="0"/>
    <x v="6"/>
    <m/>
    <x v="0"/>
    <x v="5"/>
    <x v="3"/>
    <x v="1"/>
  </r>
  <r>
    <x v="13"/>
    <x v="7"/>
    <n v="417"/>
    <n v="156"/>
    <n v="83"/>
    <n v="11"/>
    <x v="7"/>
    <x v="0"/>
    <n v="14"/>
    <x v="3"/>
    <x v="0"/>
    <n v="20"/>
    <x v="13"/>
    <x v="26"/>
    <x v="7"/>
    <x v="1"/>
    <x v="4"/>
    <x v="5"/>
    <n v="11"/>
    <n v="13"/>
    <x v="25"/>
    <n v="8"/>
    <n v="11"/>
    <x v="8"/>
    <x v="1"/>
    <x v="1"/>
    <x v="0"/>
    <x v="4"/>
    <n v="2"/>
    <x v="0"/>
    <x v="3"/>
    <x v="1"/>
    <x v="1"/>
  </r>
  <r>
    <x v="14"/>
    <x v="7"/>
    <n v="1324"/>
    <n v="147"/>
    <n v="462"/>
    <n v="257"/>
    <x v="7"/>
    <x v="0"/>
    <n v="56"/>
    <x v="3"/>
    <x v="2"/>
    <n v="28"/>
    <x v="3"/>
    <x v="28"/>
    <x v="8"/>
    <x v="25"/>
    <x v="7"/>
    <x v="13"/>
    <n v="19"/>
    <n v="51"/>
    <x v="14"/>
    <n v="41"/>
    <n v="27"/>
    <x v="0"/>
    <x v="18"/>
    <x v="1"/>
    <x v="0"/>
    <x v="23"/>
    <n v="16"/>
    <x v="4"/>
    <x v="2"/>
    <x v="0"/>
    <x v="1"/>
  </r>
  <r>
    <x v="15"/>
    <x v="7"/>
    <n v="247"/>
    <n v="103"/>
    <n v="34"/>
    <n v="1"/>
    <x v="4"/>
    <x v="0"/>
    <n v="7"/>
    <x v="4"/>
    <x v="7"/>
    <n v="16"/>
    <x v="13"/>
    <x v="6"/>
    <x v="0"/>
    <x v="5"/>
    <x v="6"/>
    <x v="1"/>
    <n v="13"/>
    <n v="9"/>
    <x v="5"/>
    <n v="5"/>
    <n v="5"/>
    <x v="6"/>
    <x v="2"/>
    <x v="1"/>
    <x v="3"/>
    <x v="3"/>
    <n v="1"/>
    <x v="4"/>
    <x v="1"/>
    <x v="3"/>
    <x v="0"/>
  </r>
  <r>
    <x v="16"/>
    <x v="7"/>
    <n v="163"/>
    <n v="31"/>
    <n v="36"/>
    <n v="50"/>
    <x v="1"/>
    <x v="0"/>
    <n v="13"/>
    <x v="0"/>
    <x v="2"/>
    <n v="4"/>
    <x v="0"/>
    <x v="8"/>
    <x v="0"/>
    <x v="2"/>
    <x v="2"/>
    <x v="12"/>
    <n v="2"/>
    <n v="4"/>
    <x v="7"/>
    <n v="5"/>
    <n v="3"/>
    <x v="4"/>
    <x v="1"/>
    <x v="1"/>
    <x v="0"/>
    <x v="3"/>
    <m/>
    <x v="0"/>
    <x v="5"/>
    <x v="0"/>
    <x v="1"/>
  </r>
  <r>
    <x v="17"/>
    <x v="7"/>
    <n v="109"/>
    <n v="50"/>
    <n v="11"/>
    <n v="4"/>
    <x v="1"/>
    <x v="0"/>
    <n v="10"/>
    <x v="0"/>
    <x v="0"/>
    <n v="6"/>
    <x v="3"/>
    <x v="9"/>
    <x v="1"/>
    <x v="2"/>
    <x v="6"/>
    <x v="1"/>
    <n v="4"/>
    <m/>
    <x v="7"/>
    <n v="1"/>
    <n v="3"/>
    <x v="7"/>
    <x v="7"/>
    <x v="1"/>
    <x v="0"/>
    <x v="6"/>
    <m/>
    <x v="0"/>
    <x v="1"/>
    <x v="0"/>
    <x v="1"/>
  </r>
  <r>
    <x v="18"/>
    <x v="7"/>
    <n v="84"/>
    <n v="33"/>
    <n v="12"/>
    <m/>
    <x v="2"/>
    <x v="0"/>
    <n v="8"/>
    <x v="2"/>
    <x v="0"/>
    <n v="3"/>
    <x v="3"/>
    <x v="2"/>
    <x v="1"/>
    <x v="3"/>
    <x v="2"/>
    <x v="2"/>
    <n v="3"/>
    <n v="1"/>
    <x v="6"/>
    <n v="1"/>
    <n v="3"/>
    <x v="5"/>
    <x v="1"/>
    <x v="1"/>
    <x v="3"/>
    <x v="1"/>
    <m/>
    <x v="0"/>
    <x v="1"/>
    <x v="0"/>
    <x v="1"/>
  </r>
  <r>
    <x v="19"/>
    <x v="7"/>
    <n v="27"/>
    <n v="15"/>
    <n v="6"/>
    <m/>
    <x v="2"/>
    <x v="0"/>
    <n v="1"/>
    <x v="0"/>
    <x v="2"/>
    <n v="1"/>
    <x v="0"/>
    <x v="7"/>
    <x v="1"/>
    <x v="2"/>
    <x v="6"/>
    <x v="4"/>
    <m/>
    <n v="2"/>
    <x v="10"/>
    <m/>
    <m/>
    <x v="4"/>
    <x v="1"/>
    <x v="1"/>
    <x v="0"/>
    <x v="5"/>
    <m/>
    <x v="4"/>
    <x v="1"/>
    <x v="0"/>
    <x v="1"/>
  </r>
  <r>
    <x v="20"/>
    <x v="7"/>
    <n v="210"/>
    <n v="93"/>
    <n v="43"/>
    <n v="8"/>
    <x v="1"/>
    <x v="0"/>
    <n v="22"/>
    <x v="0"/>
    <x v="2"/>
    <n v="7"/>
    <x v="3"/>
    <x v="9"/>
    <x v="0"/>
    <x v="3"/>
    <x v="6"/>
    <x v="1"/>
    <n v="4"/>
    <n v="7"/>
    <x v="7"/>
    <n v="1"/>
    <n v="6"/>
    <x v="7"/>
    <x v="1"/>
    <x v="1"/>
    <x v="3"/>
    <x v="3"/>
    <m/>
    <x v="0"/>
    <x v="1"/>
    <x v="0"/>
    <x v="1"/>
  </r>
  <r>
    <x v="21"/>
    <x v="7"/>
    <n v="465"/>
    <n v="118"/>
    <n v="199"/>
    <n v="12"/>
    <x v="2"/>
    <x v="0"/>
    <n v="24"/>
    <x v="0"/>
    <x v="2"/>
    <n v="27"/>
    <x v="2"/>
    <x v="1"/>
    <x v="7"/>
    <x v="1"/>
    <x v="1"/>
    <x v="11"/>
    <n v="8"/>
    <n v="11"/>
    <x v="22"/>
    <n v="5"/>
    <n v="7"/>
    <x v="2"/>
    <x v="0"/>
    <x v="1"/>
    <x v="0"/>
    <x v="8"/>
    <m/>
    <x v="0"/>
    <x v="1"/>
    <x v="0"/>
    <x v="2"/>
  </r>
  <r>
    <x v="22"/>
    <x v="7"/>
    <n v="12"/>
    <n v="7"/>
    <m/>
    <m/>
    <x v="2"/>
    <x v="0"/>
    <m/>
    <x v="0"/>
    <x v="2"/>
    <n v="1"/>
    <x v="2"/>
    <x v="7"/>
    <x v="1"/>
    <x v="2"/>
    <x v="6"/>
    <x v="4"/>
    <m/>
    <m/>
    <x v="5"/>
    <m/>
    <n v="1"/>
    <x v="4"/>
    <x v="1"/>
    <x v="1"/>
    <x v="0"/>
    <x v="5"/>
    <m/>
    <x v="0"/>
    <x v="1"/>
    <x v="0"/>
    <x v="1"/>
  </r>
  <r>
    <x v="23"/>
    <x v="7"/>
    <n v="216"/>
    <n v="57"/>
    <n v="37"/>
    <n v="15"/>
    <x v="1"/>
    <x v="0"/>
    <n v="31"/>
    <x v="2"/>
    <x v="7"/>
    <n v="11"/>
    <x v="5"/>
    <x v="9"/>
    <x v="7"/>
    <x v="3"/>
    <x v="0"/>
    <x v="2"/>
    <n v="9"/>
    <n v="4"/>
    <x v="7"/>
    <m/>
    <n v="1"/>
    <x v="6"/>
    <x v="2"/>
    <x v="1"/>
    <x v="0"/>
    <x v="0"/>
    <m/>
    <x v="0"/>
    <x v="1"/>
    <x v="0"/>
    <x v="1"/>
  </r>
  <r>
    <x v="24"/>
    <x v="7"/>
    <n v="283"/>
    <n v="69"/>
    <n v="71"/>
    <n v="38"/>
    <x v="2"/>
    <x v="0"/>
    <n v="27"/>
    <x v="0"/>
    <x v="2"/>
    <n v="10"/>
    <x v="3"/>
    <x v="17"/>
    <x v="3"/>
    <x v="9"/>
    <x v="6"/>
    <x v="7"/>
    <n v="2"/>
    <n v="13"/>
    <x v="7"/>
    <n v="3"/>
    <n v="8"/>
    <x v="5"/>
    <x v="0"/>
    <x v="1"/>
    <x v="0"/>
    <x v="4"/>
    <m/>
    <x v="1"/>
    <x v="5"/>
    <x v="0"/>
    <x v="1"/>
  </r>
  <r>
    <x v="25"/>
    <x v="7"/>
    <n v="133"/>
    <n v="57"/>
    <n v="15"/>
    <n v="4"/>
    <x v="0"/>
    <x v="0"/>
    <n v="10"/>
    <x v="3"/>
    <x v="0"/>
    <n v="12"/>
    <x v="7"/>
    <x v="8"/>
    <x v="1"/>
    <x v="2"/>
    <x v="6"/>
    <x v="4"/>
    <n v="2"/>
    <n v="4"/>
    <x v="3"/>
    <n v="2"/>
    <n v="3"/>
    <x v="4"/>
    <x v="1"/>
    <x v="1"/>
    <x v="3"/>
    <x v="1"/>
    <m/>
    <x v="0"/>
    <x v="1"/>
    <x v="0"/>
    <x v="1"/>
  </r>
  <r>
    <x v="26"/>
    <x v="7"/>
    <n v="17"/>
    <n v="5"/>
    <n v="2"/>
    <n v="1"/>
    <x v="2"/>
    <x v="0"/>
    <m/>
    <x v="2"/>
    <x v="2"/>
    <n v="1"/>
    <x v="0"/>
    <x v="24"/>
    <x v="1"/>
    <x v="2"/>
    <x v="6"/>
    <x v="2"/>
    <m/>
    <m/>
    <x v="5"/>
    <n v="2"/>
    <n v="1"/>
    <x v="4"/>
    <x v="1"/>
    <x v="1"/>
    <x v="0"/>
    <x v="5"/>
    <m/>
    <x v="0"/>
    <x v="1"/>
    <x v="0"/>
    <x v="1"/>
  </r>
  <r>
    <x v="27"/>
    <x v="7"/>
    <n v="141"/>
    <n v="44"/>
    <n v="45"/>
    <m/>
    <x v="2"/>
    <x v="0"/>
    <n v="8"/>
    <x v="0"/>
    <x v="2"/>
    <n v="5"/>
    <x v="4"/>
    <x v="8"/>
    <x v="0"/>
    <x v="5"/>
    <x v="2"/>
    <x v="12"/>
    <n v="4"/>
    <n v="6"/>
    <x v="6"/>
    <n v="1"/>
    <n v="3"/>
    <x v="2"/>
    <x v="2"/>
    <x v="1"/>
    <x v="2"/>
    <x v="9"/>
    <m/>
    <x v="0"/>
    <x v="1"/>
    <x v="0"/>
    <x v="1"/>
  </r>
  <r>
    <x v="28"/>
    <x v="7"/>
    <n v="361"/>
    <n v="106"/>
    <n v="113"/>
    <n v="10"/>
    <x v="1"/>
    <x v="0"/>
    <n v="20"/>
    <x v="0"/>
    <x v="2"/>
    <n v="27"/>
    <x v="13"/>
    <x v="6"/>
    <x v="7"/>
    <x v="9"/>
    <x v="5"/>
    <x v="0"/>
    <n v="6"/>
    <n v="14"/>
    <x v="6"/>
    <n v="3"/>
    <n v="10"/>
    <x v="4"/>
    <x v="0"/>
    <x v="1"/>
    <x v="0"/>
    <x v="4"/>
    <m/>
    <x v="0"/>
    <x v="1"/>
    <x v="0"/>
    <x v="2"/>
  </r>
  <r>
    <x v="29"/>
    <x v="7"/>
    <n v="130"/>
    <n v="42"/>
    <n v="26"/>
    <n v="11"/>
    <x v="2"/>
    <x v="0"/>
    <n v="5"/>
    <x v="2"/>
    <x v="0"/>
    <n v="6"/>
    <x v="3"/>
    <x v="2"/>
    <x v="1"/>
    <x v="3"/>
    <x v="12"/>
    <x v="2"/>
    <n v="4"/>
    <n v="2"/>
    <x v="7"/>
    <n v="1"/>
    <n v="2"/>
    <x v="2"/>
    <x v="1"/>
    <x v="1"/>
    <x v="0"/>
    <x v="5"/>
    <n v="2"/>
    <x v="0"/>
    <x v="2"/>
    <x v="3"/>
    <x v="1"/>
  </r>
  <r>
    <x v="30"/>
    <x v="7"/>
    <n v="187"/>
    <n v="30"/>
    <n v="84"/>
    <n v="15"/>
    <x v="2"/>
    <x v="0"/>
    <n v="14"/>
    <x v="0"/>
    <x v="2"/>
    <n v="4"/>
    <x v="0"/>
    <x v="24"/>
    <x v="0"/>
    <x v="3"/>
    <x v="6"/>
    <x v="1"/>
    <n v="2"/>
    <n v="7"/>
    <x v="0"/>
    <n v="1"/>
    <n v="1"/>
    <x v="7"/>
    <x v="2"/>
    <x v="1"/>
    <x v="3"/>
    <x v="20"/>
    <m/>
    <x v="0"/>
    <x v="3"/>
    <x v="0"/>
    <x v="1"/>
  </r>
  <r>
    <x v="31"/>
    <x v="7"/>
    <n v="212"/>
    <n v="91"/>
    <n v="35"/>
    <m/>
    <x v="1"/>
    <x v="0"/>
    <n v="11"/>
    <x v="0"/>
    <x v="2"/>
    <n v="8"/>
    <x v="4"/>
    <x v="20"/>
    <x v="3"/>
    <x v="2"/>
    <x v="1"/>
    <x v="12"/>
    <n v="9"/>
    <n v="4"/>
    <x v="2"/>
    <n v="7"/>
    <n v="5"/>
    <x v="5"/>
    <x v="1"/>
    <x v="1"/>
    <x v="2"/>
    <x v="4"/>
    <n v="1"/>
    <x v="0"/>
    <x v="1"/>
    <x v="0"/>
    <x v="1"/>
  </r>
  <r>
    <x v="0"/>
    <x v="8"/>
    <n v="375"/>
    <n v="49"/>
    <n v="161"/>
    <n v="34"/>
    <x v="7"/>
    <x v="1"/>
    <n v="27"/>
    <x v="0"/>
    <x v="2"/>
    <n v="10"/>
    <x v="0"/>
    <x v="9"/>
    <x v="3"/>
    <x v="12"/>
    <x v="5"/>
    <x v="2"/>
    <n v="9"/>
    <n v="10"/>
    <x v="20"/>
    <n v="14"/>
    <n v="5"/>
    <x v="5"/>
    <x v="7"/>
    <x v="1"/>
    <x v="0"/>
    <x v="8"/>
    <n v="5"/>
    <x v="0"/>
    <x v="3"/>
    <x v="0"/>
    <x v="1"/>
  </r>
  <r>
    <x v="1"/>
    <x v="8"/>
    <n v="273"/>
    <n v="87"/>
    <n v="16"/>
    <n v="10"/>
    <x v="2"/>
    <x v="0"/>
    <n v="52"/>
    <x v="0"/>
    <x v="5"/>
    <n v="11"/>
    <x v="11"/>
    <x v="10"/>
    <x v="1"/>
    <x v="7"/>
    <x v="19"/>
    <x v="5"/>
    <n v="4"/>
    <n v="6"/>
    <x v="13"/>
    <n v="3"/>
    <n v="7"/>
    <x v="7"/>
    <x v="1"/>
    <x v="0"/>
    <x v="3"/>
    <x v="10"/>
    <n v="1"/>
    <x v="0"/>
    <x v="1"/>
    <x v="0"/>
    <x v="1"/>
  </r>
  <r>
    <x v="2"/>
    <x v="8"/>
    <n v="113"/>
    <n v="38"/>
    <n v="18"/>
    <n v="7"/>
    <x v="2"/>
    <x v="0"/>
    <n v="16"/>
    <x v="0"/>
    <x v="2"/>
    <n v="8"/>
    <x v="12"/>
    <x v="15"/>
    <x v="1"/>
    <x v="2"/>
    <x v="4"/>
    <x v="4"/>
    <n v="5"/>
    <n v="2"/>
    <x v="5"/>
    <m/>
    <n v="3"/>
    <x v="7"/>
    <x v="1"/>
    <x v="1"/>
    <x v="0"/>
    <x v="3"/>
    <m/>
    <x v="0"/>
    <x v="1"/>
    <x v="0"/>
    <x v="1"/>
  </r>
  <r>
    <x v="3"/>
    <x v="8"/>
    <n v="138"/>
    <n v="37"/>
    <n v="31"/>
    <n v="11"/>
    <x v="2"/>
    <x v="0"/>
    <n v="7"/>
    <x v="2"/>
    <x v="2"/>
    <n v="3"/>
    <x v="13"/>
    <x v="2"/>
    <x v="4"/>
    <x v="3"/>
    <x v="6"/>
    <x v="2"/>
    <n v="2"/>
    <n v="3"/>
    <x v="2"/>
    <n v="1"/>
    <n v="6"/>
    <x v="9"/>
    <x v="2"/>
    <x v="5"/>
    <x v="0"/>
    <x v="3"/>
    <m/>
    <x v="4"/>
    <x v="1"/>
    <x v="3"/>
    <x v="1"/>
  </r>
  <r>
    <x v="4"/>
    <x v="8"/>
    <n v="766"/>
    <n v="96"/>
    <n v="256"/>
    <n v="123"/>
    <x v="7"/>
    <x v="0"/>
    <n v="42"/>
    <x v="3"/>
    <x v="5"/>
    <n v="18"/>
    <x v="0"/>
    <x v="9"/>
    <x v="1"/>
    <x v="4"/>
    <x v="20"/>
    <x v="16"/>
    <n v="30"/>
    <n v="23"/>
    <x v="4"/>
    <n v="25"/>
    <n v="14"/>
    <x v="6"/>
    <x v="11"/>
    <x v="1"/>
    <x v="3"/>
    <x v="10"/>
    <n v="23"/>
    <x v="2"/>
    <x v="2"/>
    <x v="3"/>
    <x v="1"/>
  </r>
  <r>
    <x v="5"/>
    <x v="8"/>
    <n v="72"/>
    <n v="18"/>
    <n v="27"/>
    <m/>
    <x v="2"/>
    <x v="0"/>
    <n v="5"/>
    <x v="2"/>
    <x v="2"/>
    <n v="4"/>
    <x v="3"/>
    <x v="4"/>
    <x v="1"/>
    <x v="5"/>
    <x v="2"/>
    <x v="4"/>
    <m/>
    <m/>
    <x v="7"/>
    <m/>
    <n v="2"/>
    <x v="4"/>
    <x v="1"/>
    <x v="1"/>
    <x v="0"/>
    <x v="0"/>
    <m/>
    <x v="0"/>
    <x v="1"/>
    <x v="0"/>
    <x v="1"/>
  </r>
  <r>
    <x v="6"/>
    <x v="8"/>
    <n v="152"/>
    <n v="74"/>
    <n v="16"/>
    <n v="3"/>
    <x v="1"/>
    <x v="0"/>
    <n v="5"/>
    <x v="1"/>
    <x v="2"/>
    <n v="9"/>
    <x v="6"/>
    <x v="9"/>
    <x v="0"/>
    <x v="2"/>
    <x v="2"/>
    <x v="12"/>
    <n v="8"/>
    <n v="1"/>
    <x v="2"/>
    <n v="2"/>
    <n v="3"/>
    <x v="2"/>
    <x v="1"/>
    <x v="1"/>
    <x v="3"/>
    <x v="0"/>
    <m/>
    <x v="0"/>
    <x v="1"/>
    <x v="0"/>
    <x v="1"/>
  </r>
  <r>
    <x v="7"/>
    <x v="8"/>
    <n v="275"/>
    <n v="48"/>
    <n v="89"/>
    <n v="39"/>
    <x v="7"/>
    <x v="0"/>
    <n v="34"/>
    <x v="0"/>
    <x v="2"/>
    <n v="10"/>
    <x v="0"/>
    <x v="9"/>
    <x v="4"/>
    <x v="5"/>
    <x v="4"/>
    <x v="12"/>
    <n v="3"/>
    <n v="5"/>
    <x v="1"/>
    <m/>
    <n v="3"/>
    <x v="8"/>
    <x v="0"/>
    <x v="1"/>
    <x v="0"/>
    <x v="8"/>
    <n v="3"/>
    <x v="1"/>
    <x v="1"/>
    <x v="0"/>
    <x v="1"/>
  </r>
  <r>
    <x v="8"/>
    <x v="8"/>
    <n v="120"/>
    <n v="51"/>
    <n v="27"/>
    <n v="4"/>
    <x v="2"/>
    <x v="0"/>
    <n v="4"/>
    <x v="2"/>
    <x v="2"/>
    <n v="9"/>
    <x v="3"/>
    <x v="8"/>
    <x v="0"/>
    <x v="2"/>
    <x v="12"/>
    <x v="5"/>
    <n v="1"/>
    <n v="1"/>
    <x v="5"/>
    <m/>
    <n v="1"/>
    <x v="4"/>
    <x v="1"/>
    <x v="1"/>
    <x v="0"/>
    <x v="1"/>
    <m/>
    <x v="0"/>
    <x v="1"/>
    <x v="0"/>
    <x v="1"/>
  </r>
  <r>
    <x v="9"/>
    <x v="8"/>
    <n v="101"/>
    <n v="40"/>
    <n v="21"/>
    <m/>
    <x v="2"/>
    <x v="0"/>
    <n v="6"/>
    <x v="0"/>
    <x v="2"/>
    <n v="6"/>
    <x v="0"/>
    <x v="13"/>
    <x v="1"/>
    <x v="2"/>
    <x v="1"/>
    <x v="12"/>
    <n v="1"/>
    <n v="5"/>
    <x v="6"/>
    <n v="1"/>
    <n v="3"/>
    <x v="4"/>
    <x v="1"/>
    <x v="1"/>
    <x v="0"/>
    <x v="6"/>
    <m/>
    <x v="0"/>
    <x v="5"/>
    <x v="0"/>
    <x v="1"/>
  </r>
  <r>
    <x v="10"/>
    <x v="8"/>
    <n v="114"/>
    <n v="49"/>
    <n v="7"/>
    <n v="5"/>
    <x v="2"/>
    <x v="0"/>
    <n v="13"/>
    <x v="3"/>
    <x v="2"/>
    <n v="7"/>
    <x v="4"/>
    <x v="2"/>
    <x v="1"/>
    <x v="3"/>
    <x v="6"/>
    <x v="2"/>
    <n v="2"/>
    <n v="3"/>
    <x v="22"/>
    <n v="2"/>
    <m/>
    <x v="2"/>
    <x v="1"/>
    <x v="1"/>
    <x v="0"/>
    <x v="3"/>
    <m/>
    <x v="0"/>
    <x v="1"/>
    <x v="3"/>
    <x v="1"/>
  </r>
  <r>
    <x v="11"/>
    <x v="8"/>
    <n v="107"/>
    <n v="42"/>
    <n v="24"/>
    <n v="5"/>
    <x v="2"/>
    <x v="0"/>
    <n v="13"/>
    <x v="0"/>
    <x v="2"/>
    <n v="5"/>
    <x v="0"/>
    <x v="8"/>
    <x v="4"/>
    <x v="2"/>
    <x v="6"/>
    <x v="1"/>
    <n v="2"/>
    <n v="3"/>
    <x v="6"/>
    <n v="1"/>
    <m/>
    <x v="4"/>
    <x v="1"/>
    <x v="1"/>
    <x v="0"/>
    <x v="3"/>
    <m/>
    <x v="0"/>
    <x v="1"/>
    <x v="0"/>
    <x v="1"/>
  </r>
  <r>
    <x v="12"/>
    <x v="8"/>
    <n v="218"/>
    <n v="56"/>
    <n v="46"/>
    <n v="7"/>
    <x v="2"/>
    <x v="0"/>
    <n v="6"/>
    <x v="4"/>
    <x v="7"/>
    <n v="15"/>
    <x v="4"/>
    <x v="21"/>
    <x v="1"/>
    <x v="5"/>
    <x v="21"/>
    <x v="5"/>
    <n v="3"/>
    <n v="7"/>
    <x v="7"/>
    <n v="6"/>
    <n v="3"/>
    <x v="7"/>
    <x v="1"/>
    <x v="1"/>
    <x v="0"/>
    <x v="0"/>
    <m/>
    <x v="0"/>
    <x v="5"/>
    <x v="0"/>
    <x v="1"/>
  </r>
  <r>
    <x v="13"/>
    <x v="8"/>
    <n v="459"/>
    <n v="163"/>
    <n v="109"/>
    <n v="8"/>
    <x v="7"/>
    <x v="2"/>
    <n v="10"/>
    <x v="1"/>
    <x v="1"/>
    <n v="34"/>
    <x v="6"/>
    <x v="0"/>
    <x v="3"/>
    <x v="15"/>
    <x v="2"/>
    <x v="9"/>
    <n v="8"/>
    <n v="9"/>
    <x v="25"/>
    <n v="8"/>
    <n v="16"/>
    <x v="8"/>
    <x v="1"/>
    <x v="1"/>
    <x v="0"/>
    <x v="14"/>
    <n v="4"/>
    <x v="0"/>
    <x v="5"/>
    <x v="3"/>
    <x v="1"/>
  </r>
  <r>
    <x v="14"/>
    <x v="8"/>
    <n v="1330"/>
    <n v="148"/>
    <n v="463"/>
    <n v="290"/>
    <x v="11"/>
    <x v="0"/>
    <n v="54"/>
    <x v="0"/>
    <x v="2"/>
    <n v="39"/>
    <x v="0"/>
    <x v="23"/>
    <x v="5"/>
    <x v="26"/>
    <x v="19"/>
    <x v="20"/>
    <n v="20"/>
    <n v="40"/>
    <x v="23"/>
    <n v="28"/>
    <n v="42"/>
    <x v="5"/>
    <x v="5"/>
    <x v="1"/>
    <x v="3"/>
    <x v="23"/>
    <n v="13"/>
    <x v="2"/>
    <x v="6"/>
    <x v="0"/>
    <x v="1"/>
  </r>
  <r>
    <x v="15"/>
    <x v="8"/>
    <n v="238"/>
    <n v="108"/>
    <n v="28"/>
    <m/>
    <x v="1"/>
    <x v="0"/>
    <n v="5"/>
    <x v="4"/>
    <x v="6"/>
    <n v="17"/>
    <x v="3"/>
    <x v="20"/>
    <x v="0"/>
    <x v="3"/>
    <x v="2"/>
    <x v="7"/>
    <n v="11"/>
    <n v="5"/>
    <x v="6"/>
    <n v="8"/>
    <n v="12"/>
    <x v="3"/>
    <x v="2"/>
    <x v="5"/>
    <x v="0"/>
    <x v="3"/>
    <m/>
    <x v="0"/>
    <x v="1"/>
    <x v="0"/>
    <x v="2"/>
  </r>
  <r>
    <x v="16"/>
    <x v="8"/>
    <n v="136"/>
    <n v="22"/>
    <n v="36"/>
    <n v="32"/>
    <x v="2"/>
    <x v="0"/>
    <n v="12"/>
    <x v="2"/>
    <x v="2"/>
    <n v="5"/>
    <x v="2"/>
    <x v="8"/>
    <x v="1"/>
    <x v="2"/>
    <x v="2"/>
    <x v="5"/>
    <n v="3"/>
    <n v="6"/>
    <x v="5"/>
    <n v="1"/>
    <n v="4"/>
    <x v="7"/>
    <x v="2"/>
    <x v="1"/>
    <x v="0"/>
    <x v="1"/>
    <m/>
    <x v="0"/>
    <x v="1"/>
    <x v="0"/>
    <x v="1"/>
  </r>
  <r>
    <x v="17"/>
    <x v="8"/>
    <n v="107"/>
    <n v="42"/>
    <n v="16"/>
    <n v="5"/>
    <x v="2"/>
    <x v="0"/>
    <n v="6"/>
    <x v="0"/>
    <x v="0"/>
    <n v="6"/>
    <x v="2"/>
    <x v="13"/>
    <x v="1"/>
    <x v="5"/>
    <x v="6"/>
    <x v="2"/>
    <n v="3"/>
    <n v="2"/>
    <x v="6"/>
    <n v="1"/>
    <n v="5"/>
    <x v="7"/>
    <x v="13"/>
    <x v="1"/>
    <x v="0"/>
    <x v="10"/>
    <m/>
    <x v="0"/>
    <x v="1"/>
    <x v="0"/>
    <x v="1"/>
  </r>
  <r>
    <x v="18"/>
    <x v="8"/>
    <n v="75"/>
    <n v="26"/>
    <n v="6"/>
    <n v="1"/>
    <x v="2"/>
    <x v="0"/>
    <n v="6"/>
    <x v="0"/>
    <x v="2"/>
    <n v="10"/>
    <x v="12"/>
    <x v="15"/>
    <x v="1"/>
    <x v="5"/>
    <x v="6"/>
    <x v="2"/>
    <n v="6"/>
    <n v="3"/>
    <x v="5"/>
    <n v="1"/>
    <n v="4"/>
    <x v="4"/>
    <x v="1"/>
    <x v="1"/>
    <x v="0"/>
    <x v="5"/>
    <m/>
    <x v="0"/>
    <x v="3"/>
    <x v="0"/>
    <x v="1"/>
  </r>
  <r>
    <x v="19"/>
    <x v="8"/>
    <n v="23"/>
    <n v="12"/>
    <n v="3"/>
    <m/>
    <x v="2"/>
    <x v="0"/>
    <m/>
    <x v="0"/>
    <x v="2"/>
    <m/>
    <x v="0"/>
    <x v="8"/>
    <x v="1"/>
    <x v="2"/>
    <x v="6"/>
    <x v="4"/>
    <n v="3"/>
    <m/>
    <x v="5"/>
    <m/>
    <n v="1"/>
    <x v="4"/>
    <x v="1"/>
    <x v="1"/>
    <x v="0"/>
    <x v="5"/>
    <m/>
    <x v="0"/>
    <x v="1"/>
    <x v="0"/>
    <x v="1"/>
  </r>
  <r>
    <x v="20"/>
    <x v="8"/>
    <n v="214"/>
    <n v="79"/>
    <n v="59"/>
    <n v="6"/>
    <x v="2"/>
    <x v="0"/>
    <n v="17"/>
    <x v="2"/>
    <x v="2"/>
    <n v="10"/>
    <x v="0"/>
    <x v="9"/>
    <x v="1"/>
    <x v="5"/>
    <x v="6"/>
    <x v="1"/>
    <n v="1"/>
    <n v="5"/>
    <x v="2"/>
    <n v="2"/>
    <n v="2"/>
    <x v="2"/>
    <x v="4"/>
    <x v="1"/>
    <x v="2"/>
    <x v="8"/>
    <m/>
    <x v="0"/>
    <x v="0"/>
    <x v="0"/>
    <x v="1"/>
  </r>
  <r>
    <x v="21"/>
    <x v="8"/>
    <n v="434"/>
    <n v="112"/>
    <n v="165"/>
    <n v="12"/>
    <x v="2"/>
    <x v="0"/>
    <n v="16"/>
    <x v="3"/>
    <x v="2"/>
    <n v="33"/>
    <x v="2"/>
    <x v="29"/>
    <x v="7"/>
    <x v="11"/>
    <x v="9"/>
    <x v="11"/>
    <n v="7"/>
    <n v="10"/>
    <x v="6"/>
    <n v="5"/>
    <n v="4"/>
    <x v="2"/>
    <x v="6"/>
    <x v="1"/>
    <x v="0"/>
    <x v="0"/>
    <m/>
    <x v="0"/>
    <x v="1"/>
    <x v="0"/>
    <x v="0"/>
  </r>
  <r>
    <x v="22"/>
    <x v="8"/>
    <n v="8"/>
    <n v="5"/>
    <n v="1"/>
    <m/>
    <x v="2"/>
    <x v="0"/>
    <m/>
    <x v="0"/>
    <x v="2"/>
    <m/>
    <x v="0"/>
    <x v="24"/>
    <x v="1"/>
    <x v="2"/>
    <x v="6"/>
    <x v="4"/>
    <m/>
    <m/>
    <x v="10"/>
    <m/>
    <m/>
    <x v="4"/>
    <x v="1"/>
    <x v="1"/>
    <x v="0"/>
    <x v="5"/>
    <m/>
    <x v="0"/>
    <x v="1"/>
    <x v="0"/>
    <x v="1"/>
  </r>
  <r>
    <x v="23"/>
    <x v="8"/>
    <n v="173"/>
    <n v="60"/>
    <n v="24"/>
    <n v="12"/>
    <x v="1"/>
    <x v="0"/>
    <n v="16"/>
    <x v="3"/>
    <x v="0"/>
    <n v="5"/>
    <x v="10"/>
    <x v="2"/>
    <x v="4"/>
    <x v="5"/>
    <x v="10"/>
    <x v="12"/>
    <n v="3"/>
    <n v="8"/>
    <x v="7"/>
    <n v="1"/>
    <n v="4"/>
    <x v="7"/>
    <x v="2"/>
    <x v="3"/>
    <x v="0"/>
    <x v="3"/>
    <m/>
    <x v="0"/>
    <x v="3"/>
    <x v="0"/>
    <x v="1"/>
  </r>
  <r>
    <x v="24"/>
    <x v="8"/>
    <n v="293"/>
    <n v="65"/>
    <n v="90"/>
    <n v="48"/>
    <x v="1"/>
    <x v="0"/>
    <n v="19"/>
    <x v="0"/>
    <x v="2"/>
    <n v="12"/>
    <x v="0"/>
    <x v="9"/>
    <x v="0"/>
    <x v="3"/>
    <x v="2"/>
    <x v="8"/>
    <n v="3"/>
    <n v="6"/>
    <x v="13"/>
    <n v="9"/>
    <n v="3"/>
    <x v="2"/>
    <x v="2"/>
    <x v="1"/>
    <x v="0"/>
    <x v="9"/>
    <n v="2"/>
    <x v="0"/>
    <x v="3"/>
    <x v="0"/>
    <x v="1"/>
  </r>
  <r>
    <x v="25"/>
    <x v="8"/>
    <n v="135"/>
    <n v="58"/>
    <n v="25"/>
    <n v="3"/>
    <x v="1"/>
    <x v="0"/>
    <n v="11"/>
    <x v="3"/>
    <x v="2"/>
    <n v="4"/>
    <x v="12"/>
    <x v="9"/>
    <x v="1"/>
    <x v="5"/>
    <x v="6"/>
    <x v="12"/>
    <m/>
    <n v="3"/>
    <x v="3"/>
    <m/>
    <n v="1"/>
    <x v="7"/>
    <x v="1"/>
    <x v="1"/>
    <x v="0"/>
    <x v="6"/>
    <m/>
    <x v="1"/>
    <x v="5"/>
    <x v="0"/>
    <x v="1"/>
  </r>
  <r>
    <x v="26"/>
    <x v="8"/>
    <n v="20"/>
    <n v="12"/>
    <n v="1"/>
    <m/>
    <x v="2"/>
    <x v="0"/>
    <m/>
    <x v="0"/>
    <x v="2"/>
    <n v="1"/>
    <x v="0"/>
    <x v="7"/>
    <x v="1"/>
    <x v="2"/>
    <x v="2"/>
    <x v="2"/>
    <n v="1"/>
    <m/>
    <x v="7"/>
    <m/>
    <m/>
    <x v="4"/>
    <x v="1"/>
    <x v="1"/>
    <x v="0"/>
    <x v="5"/>
    <n v="1"/>
    <x v="0"/>
    <x v="1"/>
    <x v="0"/>
    <x v="1"/>
  </r>
  <r>
    <x v="27"/>
    <x v="8"/>
    <n v="150"/>
    <n v="50"/>
    <n v="44"/>
    <n v="5"/>
    <x v="2"/>
    <x v="0"/>
    <n v="6"/>
    <x v="2"/>
    <x v="2"/>
    <n v="11"/>
    <x v="0"/>
    <x v="4"/>
    <x v="4"/>
    <x v="3"/>
    <x v="6"/>
    <x v="12"/>
    <n v="2"/>
    <n v="8"/>
    <x v="6"/>
    <n v="1"/>
    <n v="2"/>
    <x v="4"/>
    <x v="1"/>
    <x v="1"/>
    <x v="0"/>
    <x v="3"/>
    <m/>
    <x v="0"/>
    <x v="3"/>
    <x v="0"/>
    <x v="1"/>
  </r>
  <r>
    <x v="28"/>
    <x v="8"/>
    <n v="393"/>
    <n v="126"/>
    <n v="123"/>
    <n v="14"/>
    <x v="9"/>
    <x v="0"/>
    <n v="12"/>
    <x v="0"/>
    <x v="2"/>
    <n v="32"/>
    <x v="2"/>
    <x v="23"/>
    <x v="4"/>
    <x v="9"/>
    <x v="6"/>
    <x v="1"/>
    <n v="1"/>
    <n v="18"/>
    <x v="1"/>
    <n v="2"/>
    <n v="14"/>
    <x v="4"/>
    <x v="2"/>
    <x v="1"/>
    <x v="3"/>
    <x v="18"/>
    <m/>
    <x v="0"/>
    <x v="3"/>
    <x v="0"/>
    <x v="1"/>
  </r>
  <r>
    <x v="29"/>
    <x v="8"/>
    <n v="137"/>
    <n v="49"/>
    <n v="32"/>
    <n v="6"/>
    <x v="2"/>
    <x v="0"/>
    <n v="2"/>
    <x v="0"/>
    <x v="2"/>
    <n v="7"/>
    <x v="2"/>
    <x v="8"/>
    <x v="1"/>
    <x v="2"/>
    <x v="12"/>
    <x v="5"/>
    <n v="5"/>
    <n v="2"/>
    <x v="7"/>
    <m/>
    <n v="4"/>
    <x v="7"/>
    <x v="1"/>
    <x v="1"/>
    <x v="0"/>
    <x v="0"/>
    <n v="2"/>
    <x v="4"/>
    <x v="3"/>
    <x v="0"/>
    <x v="1"/>
  </r>
  <r>
    <x v="30"/>
    <x v="8"/>
    <n v="205"/>
    <n v="39"/>
    <n v="92"/>
    <n v="11"/>
    <x v="2"/>
    <x v="0"/>
    <n v="16"/>
    <x v="0"/>
    <x v="2"/>
    <n v="4"/>
    <x v="0"/>
    <x v="9"/>
    <x v="1"/>
    <x v="3"/>
    <x v="2"/>
    <x v="12"/>
    <n v="6"/>
    <n v="5"/>
    <x v="7"/>
    <m/>
    <n v="2"/>
    <x v="7"/>
    <x v="1"/>
    <x v="1"/>
    <x v="0"/>
    <x v="10"/>
    <m/>
    <x v="0"/>
    <x v="9"/>
    <x v="0"/>
    <x v="1"/>
  </r>
  <r>
    <x v="31"/>
    <x v="8"/>
    <n v="244"/>
    <n v="110"/>
    <n v="43"/>
    <m/>
    <x v="2"/>
    <x v="0"/>
    <n v="15"/>
    <x v="2"/>
    <x v="2"/>
    <n v="10"/>
    <x v="2"/>
    <x v="0"/>
    <x v="0"/>
    <x v="5"/>
    <x v="12"/>
    <x v="7"/>
    <n v="3"/>
    <n v="6"/>
    <x v="0"/>
    <n v="6"/>
    <n v="3"/>
    <x v="4"/>
    <x v="1"/>
    <x v="1"/>
    <x v="0"/>
    <x v="6"/>
    <n v="1"/>
    <x v="0"/>
    <x v="3"/>
    <x v="0"/>
    <x v="1"/>
  </r>
  <r>
    <x v="0"/>
    <x v="9"/>
    <n v="407"/>
    <n v="68"/>
    <n v="153"/>
    <n v="38"/>
    <x v="0"/>
    <x v="0"/>
    <n v="28"/>
    <x v="0"/>
    <x v="2"/>
    <n v="10"/>
    <x v="0"/>
    <x v="5"/>
    <x v="3"/>
    <x v="8"/>
    <x v="6"/>
    <x v="0"/>
    <n v="9"/>
    <n v="11"/>
    <x v="13"/>
    <n v="15"/>
    <n v="3"/>
    <x v="5"/>
    <x v="13"/>
    <x v="1"/>
    <x v="0"/>
    <x v="20"/>
    <n v="9"/>
    <x v="5"/>
    <x v="0"/>
    <x v="0"/>
    <x v="1"/>
  </r>
  <r>
    <x v="1"/>
    <x v="9"/>
    <n v="276"/>
    <n v="86"/>
    <n v="17"/>
    <n v="3"/>
    <x v="2"/>
    <x v="0"/>
    <n v="58"/>
    <x v="0"/>
    <x v="4"/>
    <n v="19"/>
    <x v="1"/>
    <x v="21"/>
    <x v="0"/>
    <x v="3"/>
    <x v="22"/>
    <x v="2"/>
    <n v="5"/>
    <n v="3"/>
    <x v="1"/>
    <n v="3"/>
    <n v="3"/>
    <x v="2"/>
    <x v="1"/>
    <x v="1"/>
    <x v="0"/>
    <x v="10"/>
    <m/>
    <x v="0"/>
    <x v="7"/>
    <x v="3"/>
    <x v="1"/>
  </r>
  <r>
    <x v="2"/>
    <x v="9"/>
    <n v="118"/>
    <n v="49"/>
    <n v="22"/>
    <n v="6"/>
    <x v="2"/>
    <x v="0"/>
    <n v="5"/>
    <x v="2"/>
    <x v="2"/>
    <n v="7"/>
    <x v="7"/>
    <x v="24"/>
    <x v="1"/>
    <x v="2"/>
    <x v="2"/>
    <x v="4"/>
    <n v="3"/>
    <n v="3"/>
    <x v="7"/>
    <n v="2"/>
    <n v="2"/>
    <x v="4"/>
    <x v="1"/>
    <x v="0"/>
    <x v="0"/>
    <x v="1"/>
    <m/>
    <x v="0"/>
    <x v="1"/>
    <x v="0"/>
    <x v="0"/>
  </r>
  <r>
    <x v="3"/>
    <x v="9"/>
    <n v="131"/>
    <n v="42"/>
    <n v="34"/>
    <n v="7"/>
    <x v="2"/>
    <x v="0"/>
    <n v="8"/>
    <x v="0"/>
    <x v="2"/>
    <n v="5"/>
    <x v="3"/>
    <x v="1"/>
    <x v="0"/>
    <x v="5"/>
    <x v="6"/>
    <x v="5"/>
    <m/>
    <n v="4"/>
    <x v="5"/>
    <m/>
    <n v="2"/>
    <x v="8"/>
    <x v="2"/>
    <x v="3"/>
    <x v="2"/>
    <x v="3"/>
    <m/>
    <x v="0"/>
    <x v="1"/>
    <x v="0"/>
    <x v="1"/>
  </r>
  <r>
    <x v="4"/>
    <x v="9"/>
    <n v="750"/>
    <n v="99"/>
    <n v="260"/>
    <n v="103"/>
    <x v="9"/>
    <x v="1"/>
    <n v="45"/>
    <x v="2"/>
    <x v="1"/>
    <n v="10"/>
    <x v="3"/>
    <x v="1"/>
    <x v="1"/>
    <x v="23"/>
    <x v="15"/>
    <x v="16"/>
    <n v="42"/>
    <n v="22"/>
    <x v="26"/>
    <n v="19"/>
    <n v="16"/>
    <x v="12"/>
    <x v="11"/>
    <x v="0"/>
    <x v="3"/>
    <x v="10"/>
    <n v="18"/>
    <x v="0"/>
    <x v="14"/>
    <x v="3"/>
    <x v="1"/>
  </r>
  <r>
    <x v="5"/>
    <x v="9"/>
    <n v="63"/>
    <n v="25"/>
    <n v="14"/>
    <n v="3"/>
    <x v="2"/>
    <x v="0"/>
    <n v="3"/>
    <x v="2"/>
    <x v="2"/>
    <n v="2"/>
    <x v="3"/>
    <x v="8"/>
    <x v="1"/>
    <x v="2"/>
    <x v="1"/>
    <x v="4"/>
    <m/>
    <m/>
    <x v="5"/>
    <m/>
    <n v="1"/>
    <x v="4"/>
    <x v="2"/>
    <x v="1"/>
    <x v="0"/>
    <x v="3"/>
    <m/>
    <x v="1"/>
    <x v="1"/>
    <x v="0"/>
    <x v="1"/>
  </r>
  <r>
    <x v="6"/>
    <x v="9"/>
    <n v="136"/>
    <n v="51"/>
    <n v="22"/>
    <n v="5"/>
    <x v="2"/>
    <x v="0"/>
    <n v="5"/>
    <x v="2"/>
    <x v="2"/>
    <n v="6"/>
    <x v="6"/>
    <x v="9"/>
    <x v="0"/>
    <x v="5"/>
    <x v="6"/>
    <x v="1"/>
    <n v="3"/>
    <n v="7"/>
    <x v="0"/>
    <m/>
    <n v="4"/>
    <x v="8"/>
    <x v="1"/>
    <x v="1"/>
    <x v="0"/>
    <x v="6"/>
    <m/>
    <x v="0"/>
    <x v="5"/>
    <x v="0"/>
    <x v="1"/>
  </r>
  <r>
    <x v="7"/>
    <x v="9"/>
    <n v="270"/>
    <n v="47"/>
    <n v="92"/>
    <n v="42"/>
    <x v="1"/>
    <x v="0"/>
    <n v="21"/>
    <x v="0"/>
    <x v="2"/>
    <n v="6"/>
    <x v="0"/>
    <x v="1"/>
    <x v="1"/>
    <x v="7"/>
    <x v="6"/>
    <x v="5"/>
    <n v="7"/>
    <n v="7"/>
    <x v="3"/>
    <n v="3"/>
    <m/>
    <x v="7"/>
    <x v="4"/>
    <x v="1"/>
    <x v="0"/>
    <x v="8"/>
    <n v="6"/>
    <x v="0"/>
    <x v="5"/>
    <x v="0"/>
    <x v="1"/>
  </r>
  <r>
    <x v="8"/>
    <x v="9"/>
    <n v="141"/>
    <n v="56"/>
    <n v="27"/>
    <n v="3"/>
    <x v="2"/>
    <x v="0"/>
    <n v="1"/>
    <x v="2"/>
    <x v="2"/>
    <n v="18"/>
    <x v="12"/>
    <x v="9"/>
    <x v="0"/>
    <x v="5"/>
    <x v="8"/>
    <x v="2"/>
    <n v="6"/>
    <n v="7"/>
    <x v="5"/>
    <n v="1"/>
    <m/>
    <x v="4"/>
    <x v="1"/>
    <x v="1"/>
    <x v="0"/>
    <x v="6"/>
    <m/>
    <x v="0"/>
    <x v="1"/>
    <x v="0"/>
    <x v="1"/>
  </r>
  <r>
    <x v="9"/>
    <x v="9"/>
    <n v="113"/>
    <n v="40"/>
    <n v="15"/>
    <n v="5"/>
    <x v="2"/>
    <x v="0"/>
    <n v="10"/>
    <x v="0"/>
    <x v="2"/>
    <n v="7"/>
    <x v="0"/>
    <x v="7"/>
    <x v="1"/>
    <x v="2"/>
    <x v="3"/>
    <x v="12"/>
    <n v="1"/>
    <n v="8"/>
    <x v="6"/>
    <n v="1"/>
    <n v="7"/>
    <x v="7"/>
    <x v="2"/>
    <x v="1"/>
    <x v="0"/>
    <x v="1"/>
    <m/>
    <x v="1"/>
    <x v="3"/>
    <x v="0"/>
    <x v="1"/>
  </r>
  <r>
    <x v="10"/>
    <x v="9"/>
    <n v="120"/>
    <n v="46"/>
    <n v="13"/>
    <n v="8"/>
    <x v="2"/>
    <x v="0"/>
    <n v="6"/>
    <x v="2"/>
    <x v="0"/>
    <n v="14"/>
    <x v="0"/>
    <x v="2"/>
    <x v="4"/>
    <x v="5"/>
    <x v="6"/>
    <x v="5"/>
    <n v="4"/>
    <n v="2"/>
    <x v="6"/>
    <n v="2"/>
    <n v="1"/>
    <x v="2"/>
    <x v="1"/>
    <x v="1"/>
    <x v="3"/>
    <x v="0"/>
    <n v="1"/>
    <x v="0"/>
    <x v="1"/>
    <x v="0"/>
    <x v="1"/>
  </r>
  <r>
    <x v="11"/>
    <x v="9"/>
    <n v="83"/>
    <n v="40"/>
    <n v="10"/>
    <n v="3"/>
    <x v="2"/>
    <x v="0"/>
    <n v="7"/>
    <x v="0"/>
    <x v="2"/>
    <n v="6"/>
    <x v="0"/>
    <x v="24"/>
    <x v="1"/>
    <x v="5"/>
    <x v="6"/>
    <x v="2"/>
    <n v="3"/>
    <n v="1"/>
    <x v="2"/>
    <m/>
    <m/>
    <x v="4"/>
    <x v="1"/>
    <x v="1"/>
    <x v="0"/>
    <x v="1"/>
    <m/>
    <x v="0"/>
    <x v="0"/>
    <x v="0"/>
    <x v="1"/>
  </r>
  <r>
    <x v="12"/>
    <x v="9"/>
    <n v="196"/>
    <n v="69"/>
    <n v="47"/>
    <n v="3"/>
    <x v="2"/>
    <x v="0"/>
    <n v="4"/>
    <x v="3"/>
    <x v="0"/>
    <n v="7"/>
    <x v="2"/>
    <x v="15"/>
    <x v="0"/>
    <x v="6"/>
    <x v="23"/>
    <x v="1"/>
    <n v="3"/>
    <n v="3"/>
    <x v="2"/>
    <n v="5"/>
    <n v="3"/>
    <x v="7"/>
    <x v="1"/>
    <x v="1"/>
    <x v="0"/>
    <x v="9"/>
    <m/>
    <x v="0"/>
    <x v="1"/>
    <x v="0"/>
    <x v="1"/>
  </r>
  <r>
    <x v="13"/>
    <x v="9"/>
    <n v="390"/>
    <n v="138"/>
    <n v="95"/>
    <n v="18"/>
    <x v="0"/>
    <x v="0"/>
    <n v="11"/>
    <x v="3"/>
    <x v="0"/>
    <n v="31"/>
    <x v="12"/>
    <x v="5"/>
    <x v="7"/>
    <x v="3"/>
    <x v="8"/>
    <x v="8"/>
    <n v="12"/>
    <n v="7"/>
    <x v="8"/>
    <n v="4"/>
    <n v="11"/>
    <x v="4"/>
    <x v="1"/>
    <x v="1"/>
    <x v="0"/>
    <x v="10"/>
    <n v="7"/>
    <x v="1"/>
    <x v="3"/>
    <x v="0"/>
    <x v="2"/>
  </r>
  <r>
    <x v="14"/>
    <x v="9"/>
    <n v="1257"/>
    <n v="145"/>
    <n v="433"/>
    <n v="268"/>
    <x v="10"/>
    <x v="0"/>
    <n v="42"/>
    <x v="0"/>
    <x v="0"/>
    <n v="32"/>
    <x v="0"/>
    <x v="22"/>
    <x v="6"/>
    <x v="24"/>
    <x v="24"/>
    <x v="18"/>
    <n v="19"/>
    <n v="44"/>
    <x v="23"/>
    <n v="38"/>
    <n v="40"/>
    <x v="11"/>
    <x v="19"/>
    <x v="1"/>
    <x v="3"/>
    <x v="24"/>
    <n v="22"/>
    <x v="1"/>
    <x v="6"/>
    <x v="0"/>
    <x v="1"/>
  </r>
  <r>
    <x v="15"/>
    <x v="9"/>
    <n v="252"/>
    <n v="123"/>
    <n v="17"/>
    <n v="1"/>
    <x v="1"/>
    <x v="0"/>
    <n v="6"/>
    <x v="3"/>
    <x v="5"/>
    <n v="16"/>
    <x v="14"/>
    <x v="4"/>
    <x v="1"/>
    <x v="5"/>
    <x v="1"/>
    <x v="1"/>
    <n v="11"/>
    <n v="8"/>
    <x v="0"/>
    <n v="6"/>
    <n v="3"/>
    <x v="12"/>
    <x v="2"/>
    <x v="0"/>
    <x v="3"/>
    <x v="0"/>
    <m/>
    <x v="5"/>
    <x v="1"/>
    <x v="3"/>
    <x v="1"/>
  </r>
  <r>
    <x v="16"/>
    <x v="9"/>
    <n v="115"/>
    <n v="16"/>
    <n v="36"/>
    <n v="35"/>
    <x v="2"/>
    <x v="0"/>
    <n v="5"/>
    <x v="0"/>
    <x v="2"/>
    <n v="2"/>
    <x v="0"/>
    <x v="24"/>
    <x v="0"/>
    <x v="5"/>
    <x v="2"/>
    <x v="2"/>
    <n v="2"/>
    <n v="4"/>
    <x v="3"/>
    <m/>
    <m/>
    <x v="7"/>
    <x v="1"/>
    <x v="1"/>
    <x v="3"/>
    <x v="1"/>
    <m/>
    <x v="0"/>
    <x v="3"/>
    <x v="0"/>
    <x v="1"/>
  </r>
  <r>
    <x v="17"/>
    <x v="9"/>
    <n v="89"/>
    <n v="34"/>
    <n v="9"/>
    <n v="5"/>
    <x v="2"/>
    <x v="0"/>
    <n v="8"/>
    <x v="2"/>
    <x v="2"/>
    <n v="8"/>
    <x v="2"/>
    <x v="7"/>
    <x v="1"/>
    <x v="6"/>
    <x v="2"/>
    <x v="1"/>
    <n v="2"/>
    <n v="2"/>
    <x v="10"/>
    <m/>
    <n v="3"/>
    <x v="7"/>
    <x v="1"/>
    <x v="1"/>
    <x v="0"/>
    <x v="0"/>
    <m/>
    <x v="1"/>
    <x v="3"/>
    <x v="5"/>
    <x v="1"/>
  </r>
  <r>
    <x v="18"/>
    <x v="9"/>
    <n v="99"/>
    <n v="38"/>
    <n v="11"/>
    <m/>
    <x v="2"/>
    <x v="0"/>
    <n v="9"/>
    <x v="0"/>
    <x v="2"/>
    <n v="9"/>
    <x v="4"/>
    <x v="15"/>
    <x v="1"/>
    <x v="2"/>
    <x v="6"/>
    <x v="4"/>
    <n v="4"/>
    <n v="7"/>
    <x v="5"/>
    <n v="1"/>
    <n v="2"/>
    <x v="2"/>
    <x v="1"/>
    <x v="1"/>
    <x v="0"/>
    <x v="0"/>
    <n v="1"/>
    <x v="0"/>
    <x v="3"/>
    <x v="1"/>
    <x v="2"/>
  </r>
  <r>
    <x v="19"/>
    <x v="9"/>
    <n v="32"/>
    <n v="22"/>
    <m/>
    <m/>
    <x v="2"/>
    <x v="1"/>
    <m/>
    <x v="0"/>
    <x v="2"/>
    <n v="2"/>
    <x v="0"/>
    <x v="13"/>
    <x v="1"/>
    <x v="5"/>
    <x v="6"/>
    <x v="4"/>
    <m/>
    <m/>
    <x v="7"/>
    <m/>
    <m/>
    <x v="4"/>
    <x v="1"/>
    <x v="1"/>
    <x v="0"/>
    <x v="3"/>
    <m/>
    <x v="0"/>
    <x v="3"/>
    <x v="0"/>
    <x v="1"/>
  </r>
  <r>
    <x v="20"/>
    <x v="9"/>
    <n v="244"/>
    <n v="91"/>
    <n v="58"/>
    <n v="14"/>
    <x v="2"/>
    <x v="0"/>
    <n v="17"/>
    <x v="0"/>
    <x v="2"/>
    <n v="14"/>
    <x v="3"/>
    <x v="17"/>
    <x v="0"/>
    <x v="1"/>
    <x v="5"/>
    <x v="2"/>
    <n v="2"/>
    <n v="9"/>
    <x v="2"/>
    <n v="1"/>
    <n v="7"/>
    <x v="2"/>
    <x v="7"/>
    <x v="1"/>
    <x v="0"/>
    <x v="9"/>
    <m/>
    <x v="0"/>
    <x v="3"/>
    <x v="0"/>
    <x v="1"/>
  </r>
  <r>
    <x v="21"/>
    <x v="9"/>
    <n v="481"/>
    <n v="127"/>
    <n v="177"/>
    <n v="15"/>
    <x v="1"/>
    <x v="0"/>
    <n v="22"/>
    <x v="0"/>
    <x v="0"/>
    <n v="26"/>
    <x v="4"/>
    <x v="21"/>
    <x v="8"/>
    <x v="11"/>
    <x v="13"/>
    <x v="11"/>
    <n v="7"/>
    <n v="12"/>
    <x v="3"/>
    <n v="7"/>
    <n v="11"/>
    <x v="7"/>
    <x v="7"/>
    <x v="1"/>
    <x v="0"/>
    <x v="8"/>
    <m/>
    <x v="2"/>
    <x v="3"/>
    <x v="0"/>
    <x v="2"/>
  </r>
  <r>
    <x v="22"/>
    <x v="9"/>
    <n v="12"/>
    <n v="5"/>
    <n v="1"/>
    <m/>
    <x v="2"/>
    <x v="0"/>
    <m/>
    <x v="0"/>
    <x v="0"/>
    <n v="2"/>
    <x v="3"/>
    <x v="7"/>
    <x v="1"/>
    <x v="2"/>
    <x v="6"/>
    <x v="4"/>
    <m/>
    <m/>
    <x v="5"/>
    <m/>
    <m/>
    <x v="4"/>
    <x v="1"/>
    <x v="1"/>
    <x v="0"/>
    <x v="1"/>
    <m/>
    <x v="0"/>
    <x v="1"/>
    <x v="0"/>
    <x v="1"/>
  </r>
  <r>
    <x v="23"/>
    <x v="9"/>
    <n v="166"/>
    <n v="54"/>
    <n v="25"/>
    <n v="10"/>
    <x v="4"/>
    <x v="0"/>
    <n v="14"/>
    <x v="3"/>
    <x v="7"/>
    <n v="4"/>
    <x v="2"/>
    <x v="9"/>
    <x v="4"/>
    <x v="6"/>
    <x v="13"/>
    <x v="4"/>
    <n v="2"/>
    <n v="4"/>
    <x v="6"/>
    <n v="2"/>
    <n v="1"/>
    <x v="9"/>
    <x v="1"/>
    <x v="1"/>
    <x v="0"/>
    <x v="0"/>
    <m/>
    <x v="0"/>
    <x v="5"/>
    <x v="0"/>
    <x v="1"/>
  </r>
  <r>
    <x v="24"/>
    <x v="9"/>
    <n v="292"/>
    <n v="77"/>
    <n v="71"/>
    <n v="50"/>
    <x v="2"/>
    <x v="0"/>
    <n v="22"/>
    <x v="0"/>
    <x v="2"/>
    <n v="9"/>
    <x v="2"/>
    <x v="17"/>
    <x v="3"/>
    <x v="9"/>
    <x v="8"/>
    <x v="9"/>
    <n v="1"/>
    <n v="5"/>
    <x v="1"/>
    <n v="6"/>
    <n v="10"/>
    <x v="2"/>
    <x v="7"/>
    <x v="1"/>
    <x v="0"/>
    <x v="1"/>
    <m/>
    <x v="0"/>
    <x v="1"/>
    <x v="0"/>
    <x v="1"/>
  </r>
  <r>
    <x v="25"/>
    <x v="9"/>
    <n v="146"/>
    <n v="61"/>
    <n v="25"/>
    <m/>
    <x v="2"/>
    <x v="0"/>
    <n v="14"/>
    <x v="4"/>
    <x v="0"/>
    <n v="7"/>
    <x v="2"/>
    <x v="15"/>
    <x v="1"/>
    <x v="2"/>
    <x v="2"/>
    <x v="4"/>
    <n v="2"/>
    <n v="4"/>
    <x v="22"/>
    <n v="2"/>
    <n v="4"/>
    <x v="4"/>
    <x v="1"/>
    <x v="1"/>
    <x v="3"/>
    <x v="0"/>
    <m/>
    <x v="0"/>
    <x v="2"/>
    <x v="3"/>
    <x v="1"/>
  </r>
  <r>
    <x v="26"/>
    <x v="9"/>
    <n v="11"/>
    <n v="3"/>
    <m/>
    <m/>
    <x v="2"/>
    <x v="0"/>
    <n v="1"/>
    <x v="0"/>
    <x v="2"/>
    <m/>
    <x v="0"/>
    <x v="7"/>
    <x v="1"/>
    <x v="2"/>
    <x v="6"/>
    <x v="4"/>
    <m/>
    <n v="2"/>
    <x v="7"/>
    <n v="1"/>
    <m/>
    <x v="7"/>
    <x v="1"/>
    <x v="1"/>
    <x v="0"/>
    <x v="1"/>
    <m/>
    <x v="0"/>
    <x v="1"/>
    <x v="0"/>
    <x v="1"/>
  </r>
  <r>
    <x v="27"/>
    <x v="9"/>
    <n v="145"/>
    <n v="46"/>
    <n v="39"/>
    <n v="5"/>
    <x v="2"/>
    <x v="0"/>
    <n v="3"/>
    <x v="3"/>
    <x v="2"/>
    <n v="7"/>
    <x v="3"/>
    <x v="8"/>
    <x v="0"/>
    <x v="5"/>
    <x v="6"/>
    <x v="5"/>
    <n v="2"/>
    <n v="4"/>
    <x v="1"/>
    <n v="3"/>
    <n v="6"/>
    <x v="5"/>
    <x v="1"/>
    <x v="0"/>
    <x v="4"/>
    <x v="0"/>
    <m/>
    <x v="1"/>
    <x v="1"/>
    <x v="0"/>
    <x v="1"/>
  </r>
  <r>
    <x v="28"/>
    <x v="9"/>
    <n v="348"/>
    <n v="122"/>
    <n v="112"/>
    <n v="8"/>
    <x v="0"/>
    <x v="0"/>
    <n v="13"/>
    <x v="2"/>
    <x v="0"/>
    <n v="23"/>
    <x v="6"/>
    <x v="21"/>
    <x v="1"/>
    <x v="9"/>
    <x v="8"/>
    <x v="1"/>
    <n v="5"/>
    <n v="9"/>
    <x v="7"/>
    <n v="3"/>
    <n v="8"/>
    <x v="5"/>
    <x v="2"/>
    <x v="1"/>
    <x v="0"/>
    <x v="9"/>
    <n v="1"/>
    <x v="0"/>
    <x v="1"/>
    <x v="0"/>
    <x v="1"/>
  </r>
  <r>
    <x v="29"/>
    <x v="9"/>
    <n v="102"/>
    <n v="35"/>
    <n v="18"/>
    <n v="4"/>
    <x v="1"/>
    <x v="0"/>
    <n v="8"/>
    <x v="4"/>
    <x v="0"/>
    <n v="4"/>
    <x v="0"/>
    <x v="8"/>
    <x v="0"/>
    <x v="2"/>
    <x v="1"/>
    <x v="2"/>
    <n v="1"/>
    <n v="2"/>
    <x v="5"/>
    <m/>
    <n v="5"/>
    <x v="7"/>
    <x v="7"/>
    <x v="1"/>
    <x v="0"/>
    <x v="5"/>
    <n v="2"/>
    <x v="4"/>
    <x v="5"/>
    <x v="0"/>
    <x v="1"/>
  </r>
  <r>
    <x v="30"/>
    <x v="9"/>
    <n v="180"/>
    <n v="48"/>
    <n v="74"/>
    <n v="10"/>
    <x v="1"/>
    <x v="0"/>
    <n v="11"/>
    <x v="3"/>
    <x v="2"/>
    <n v="7"/>
    <x v="2"/>
    <x v="15"/>
    <x v="0"/>
    <x v="5"/>
    <x v="6"/>
    <x v="12"/>
    <n v="3"/>
    <n v="4"/>
    <x v="7"/>
    <n v="1"/>
    <n v="1"/>
    <x v="4"/>
    <x v="1"/>
    <x v="1"/>
    <x v="0"/>
    <x v="0"/>
    <m/>
    <x v="0"/>
    <x v="5"/>
    <x v="0"/>
    <x v="1"/>
  </r>
  <r>
    <x v="31"/>
    <x v="9"/>
    <n v="232"/>
    <n v="109"/>
    <n v="29"/>
    <n v="2"/>
    <x v="2"/>
    <x v="0"/>
    <n v="19"/>
    <x v="2"/>
    <x v="2"/>
    <n v="13"/>
    <x v="2"/>
    <x v="9"/>
    <x v="0"/>
    <x v="1"/>
    <x v="13"/>
    <x v="1"/>
    <n v="4"/>
    <n v="5"/>
    <x v="6"/>
    <n v="6"/>
    <n v="5"/>
    <x v="5"/>
    <x v="1"/>
    <x v="1"/>
    <x v="3"/>
    <x v="1"/>
    <m/>
    <x v="0"/>
    <x v="3"/>
    <x v="1"/>
    <x v="1"/>
  </r>
  <r>
    <x v="0"/>
    <x v="10"/>
    <n v="397"/>
    <n v="68"/>
    <n v="156"/>
    <n v="43"/>
    <x v="4"/>
    <x v="0"/>
    <n v="21"/>
    <x v="0"/>
    <x v="2"/>
    <n v="10"/>
    <x v="3"/>
    <x v="0"/>
    <x v="3"/>
    <x v="27"/>
    <x v="2"/>
    <x v="8"/>
    <n v="9"/>
    <n v="6"/>
    <x v="13"/>
    <n v="6"/>
    <n v="4"/>
    <x v="2"/>
    <x v="1"/>
    <x v="1"/>
    <x v="0"/>
    <x v="3"/>
    <n v="10"/>
    <x v="0"/>
    <x v="6"/>
    <x v="1"/>
    <x v="1"/>
  </r>
  <r>
    <x v="1"/>
    <x v="10"/>
    <n v="247"/>
    <n v="98"/>
    <n v="18"/>
    <n v="5"/>
    <x v="2"/>
    <x v="0"/>
    <n v="42"/>
    <x v="2"/>
    <x v="1"/>
    <n v="10"/>
    <x v="7"/>
    <x v="4"/>
    <x v="4"/>
    <x v="6"/>
    <x v="15"/>
    <x v="1"/>
    <n v="3"/>
    <n v="7"/>
    <x v="3"/>
    <m/>
    <n v="5"/>
    <x v="3"/>
    <x v="1"/>
    <x v="0"/>
    <x v="0"/>
    <x v="10"/>
    <m/>
    <x v="1"/>
    <x v="5"/>
    <x v="0"/>
    <x v="1"/>
  </r>
  <r>
    <x v="2"/>
    <x v="10"/>
    <n v="124"/>
    <n v="42"/>
    <n v="17"/>
    <n v="7"/>
    <x v="1"/>
    <x v="0"/>
    <n v="20"/>
    <x v="0"/>
    <x v="5"/>
    <n v="7"/>
    <x v="2"/>
    <x v="24"/>
    <x v="0"/>
    <x v="3"/>
    <x v="5"/>
    <x v="1"/>
    <n v="3"/>
    <n v="2"/>
    <x v="6"/>
    <n v="3"/>
    <n v="1"/>
    <x v="4"/>
    <x v="1"/>
    <x v="3"/>
    <x v="0"/>
    <x v="1"/>
    <m/>
    <x v="0"/>
    <x v="3"/>
    <x v="0"/>
    <x v="2"/>
  </r>
  <r>
    <x v="3"/>
    <x v="10"/>
    <n v="117"/>
    <n v="45"/>
    <n v="31"/>
    <n v="6"/>
    <x v="2"/>
    <x v="0"/>
    <n v="3"/>
    <x v="4"/>
    <x v="2"/>
    <n v="3"/>
    <x v="4"/>
    <x v="15"/>
    <x v="1"/>
    <x v="5"/>
    <x v="6"/>
    <x v="2"/>
    <n v="1"/>
    <n v="2"/>
    <x v="6"/>
    <n v="1"/>
    <n v="4"/>
    <x v="2"/>
    <x v="1"/>
    <x v="1"/>
    <x v="1"/>
    <x v="5"/>
    <m/>
    <x v="0"/>
    <x v="1"/>
    <x v="0"/>
    <x v="2"/>
  </r>
  <r>
    <x v="4"/>
    <x v="10"/>
    <n v="679"/>
    <n v="94"/>
    <n v="228"/>
    <n v="115"/>
    <x v="7"/>
    <x v="0"/>
    <n v="37"/>
    <x v="2"/>
    <x v="1"/>
    <n v="11"/>
    <x v="3"/>
    <x v="20"/>
    <x v="0"/>
    <x v="4"/>
    <x v="12"/>
    <x v="18"/>
    <n v="21"/>
    <n v="22"/>
    <x v="11"/>
    <n v="15"/>
    <n v="8"/>
    <x v="0"/>
    <x v="11"/>
    <x v="0"/>
    <x v="0"/>
    <x v="10"/>
    <n v="21"/>
    <x v="7"/>
    <x v="3"/>
    <x v="0"/>
    <x v="2"/>
  </r>
  <r>
    <x v="5"/>
    <x v="10"/>
    <n v="67"/>
    <n v="26"/>
    <n v="15"/>
    <n v="5"/>
    <x v="2"/>
    <x v="0"/>
    <n v="3"/>
    <x v="0"/>
    <x v="0"/>
    <n v="3"/>
    <x v="0"/>
    <x v="24"/>
    <x v="1"/>
    <x v="5"/>
    <x v="1"/>
    <x v="4"/>
    <n v="1"/>
    <n v="1"/>
    <x v="5"/>
    <m/>
    <n v="1"/>
    <x v="4"/>
    <x v="1"/>
    <x v="1"/>
    <x v="0"/>
    <x v="3"/>
    <m/>
    <x v="0"/>
    <x v="1"/>
    <x v="0"/>
    <x v="1"/>
  </r>
  <r>
    <x v="6"/>
    <x v="10"/>
    <n v="147"/>
    <n v="64"/>
    <n v="21"/>
    <n v="3"/>
    <x v="1"/>
    <x v="0"/>
    <n v="7"/>
    <x v="3"/>
    <x v="2"/>
    <n v="8"/>
    <x v="4"/>
    <x v="4"/>
    <x v="4"/>
    <x v="5"/>
    <x v="5"/>
    <x v="1"/>
    <n v="9"/>
    <n v="4"/>
    <x v="3"/>
    <m/>
    <n v="1"/>
    <x v="2"/>
    <x v="1"/>
    <x v="1"/>
    <x v="0"/>
    <x v="0"/>
    <m/>
    <x v="0"/>
    <x v="1"/>
    <x v="0"/>
    <x v="1"/>
  </r>
  <r>
    <x v="7"/>
    <x v="10"/>
    <n v="243"/>
    <n v="34"/>
    <n v="89"/>
    <n v="42"/>
    <x v="9"/>
    <x v="0"/>
    <n v="20"/>
    <x v="0"/>
    <x v="2"/>
    <n v="10"/>
    <x v="0"/>
    <x v="4"/>
    <x v="1"/>
    <x v="6"/>
    <x v="2"/>
    <x v="12"/>
    <n v="5"/>
    <n v="6"/>
    <x v="7"/>
    <n v="6"/>
    <m/>
    <x v="7"/>
    <x v="1"/>
    <x v="1"/>
    <x v="0"/>
    <x v="1"/>
    <n v="5"/>
    <x v="0"/>
    <x v="2"/>
    <x v="3"/>
    <x v="2"/>
  </r>
  <r>
    <x v="8"/>
    <x v="10"/>
    <n v="135"/>
    <n v="70"/>
    <n v="33"/>
    <n v="1"/>
    <x v="2"/>
    <x v="0"/>
    <n v="2"/>
    <x v="2"/>
    <x v="2"/>
    <n v="12"/>
    <x v="3"/>
    <x v="24"/>
    <x v="0"/>
    <x v="2"/>
    <x v="2"/>
    <x v="2"/>
    <m/>
    <m/>
    <x v="10"/>
    <n v="5"/>
    <n v="3"/>
    <x v="4"/>
    <x v="1"/>
    <x v="1"/>
    <x v="0"/>
    <x v="3"/>
    <m/>
    <x v="0"/>
    <x v="1"/>
    <x v="0"/>
    <x v="1"/>
  </r>
  <r>
    <x v="9"/>
    <x v="10"/>
    <n v="97"/>
    <n v="41"/>
    <n v="22"/>
    <n v="1"/>
    <x v="2"/>
    <x v="0"/>
    <n v="6"/>
    <x v="0"/>
    <x v="2"/>
    <n v="6"/>
    <x v="0"/>
    <x v="24"/>
    <x v="1"/>
    <x v="2"/>
    <x v="4"/>
    <x v="2"/>
    <n v="2"/>
    <n v="1"/>
    <x v="7"/>
    <m/>
    <n v="2"/>
    <x v="4"/>
    <x v="1"/>
    <x v="1"/>
    <x v="0"/>
    <x v="9"/>
    <m/>
    <x v="0"/>
    <x v="5"/>
    <x v="0"/>
    <x v="1"/>
  </r>
  <r>
    <x v="10"/>
    <x v="10"/>
    <n v="88"/>
    <n v="40"/>
    <n v="6"/>
    <n v="8"/>
    <x v="1"/>
    <x v="0"/>
    <n v="3"/>
    <x v="0"/>
    <x v="0"/>
    <n v="8"/>
    <x v="0"/>
    <x v="24"/>
    <x v="1"/>
    <x v="5"/>
    <x v="2"/>
    <x v="12"/>
    <n v="4"/>
    <n v="2"/>
    <x v="2"/>
    <m/>
    <m/>
    <x v="2"/>
    <x v="1"/>
    <x v="1"/>
    <x v="0"/>
    <x v="1"/>
    <n v="1"/>
    <x v="0"/>
    <x v="1"/>
    <x v="0"/>
    <x v="1"/>
  </r>
  <r>
    <x v="11"/>
    <x v="10"/>
    <n v="89"/>
    <n v="41"/>
    <n v="9"/>
    <n v="4"/>
    <x v="2"/>
    <x v="0"/>
    <n v="13"/>
    <x v="0"/>
    <x v="2"/>
    <n v="4"/>
    <x v="0"/>
    <x v="7"/>
    <x v="1"/>
    <x v="5"/>
    <x v="2"/>
    <x v="1"/>
    <m/>
    <n v="3"/>
    <x v="3"/>
    <m/>
    <n v="4"/>
    <x v="7"/>
    <x v="1"/>
    <x v="1"/>
    <x v="0"/>
    <x v="5"/>
    <m/>
    <x v="0"/>
    <x v="3"/>
    <x v="0"/>
    <x v="1"/>
  </r>
  <r>
    <x v="12"/>
    <x v="10"/>
    <n v="186"/>
    <n v="61"/>
    <n v="44"/>
    <n v="4"/>
    <x v="2"/>
    <x v="0"/>
    <n v="8"/>
    <x v="0"/>
    <x v="2"/>
    <n v="15"/>
    <x v="3"/>
    <x v="1"/>
    <x v="0"/>
    <x v="2"/>
    <x v="12"/>
    <x v="12"/>
    <n v="6"/>
    <n v="4"/>
    <x v="2"/>
    <n v="6"/>
    <n v="3"/>
    <x v="7"/>
    <x v="1"/>
    <x v="1"/>
    <x v="0"/>
    <x v="6"/>
    <m/>
    <x v="0"/>
    <x v="3"/>
    <x v="0"/>
    <x v="1"/>
  </r>
  <r>
    <x v="13"/>
    <x v="10"/>
    <n v="332"/>
    <n v="143"/>
    <n v="73"/>
    <n v="12"/>
    <x v="9"/>
    <x v="0"/>
    <n v="5"/>
    <x v="0"/>
    <x v="2"/>
    <n v="22"/>
    <x v="3"/>
    <x v="5"/>
    <x v="0"/>
    <x v="6"/>
    <x v="5"/>
    <x v="5"/>
    <n v="6"/>
    <n v="11"/>
    <x v="0"/>
    <n v="2"/>
    <n v="9"/>
    <x v="7"/>
    <x v="1"/>
    <x v="3"/>
    <x v="0"/>
    <x v="4"/>
    <n v="4"/>
    <x v="0"/>
    <x v="3"/>
    <x v="3"/>
    <x v="1"/>
  </r>
  <r>
    <x v="14"/>
    <x v="10"/>
    <n v="1235"/>
    <n v="154"/>
    <n v="461"/>
    <n v="252"/>
    <x v="0"/>
    <x v="0"/>
    <n v="31"/>
    <x v="4"/>
    <x v="2"/>
    <n v="24"/>
    <x v="2"/>
    <x v="21"/>
    <x v="6"/>
    <x v="28"/>
    <x v="4"/>
    <x v="10"/>
    <n v="20"/>
    <n v="35"/>
    <x v="16"/>
    <n v="33"/>
    <n v="30"/>
    <x v="1"/>
    <x v="20"/>
    <x v="1"/>
    <x v="0"/>
    <x v="25"/>
    <n v="26"/>
    <x v="1"/>
    <x v="9"/>
    <x v="0"/>
    <x v="1"/>
  </r>
  <r>
    <x v="15"/>
    <x v="10"/>
    <n v="198"/>
    <n v="95"/>
    <n v="20"/>
    <n v="5"/>
    <x v="2"/>
    <x v="0"/>
    <m/>
    <x v="2"/>
    <x v="2"/>
    <n v="7"/>
    <x v="2"/>
    <x v="1"/>
    <x v="0"/>
    <x v="3"/>
    <x v="8"/>
    <x v="12"/>
    <n v="11"/>
    <n v="6"/>
    <x v="2"/>
    <n v="6"/>
    <n v="7"/>
    <x v="9"/>
    <x v="1"/>
    <x v="3"/>
    <x v="3"/>
    <x v="1"/>
    <n v="1"/>
    <x v="4"/>
    <x v="3"/>
    <x v="0"/>
    <x v="2"/>
  </r>
  <r>
    <x v="16"/>
    <x v="10"/>
    <n v="117"/>
    <n v="20"/>
    <n v="31"/>
    <n v="29"/>
    <x v="2"/>
    <x v="0"/>
    <n v="9"/>
    <x v="0"/>
    <x v="2"/>
    <n v="7"/>
    <x v="0"/>
    <x v="13"/>
    <x v="1"/>
    <x v="3"/>
    <x v="5"/>
    <x v="2"/>
    <n v="1"/>
    <n v="4"/>
    <x v="10"/>
    <n v="2"/>
    <n v="6"/>
    <x v="4"/>
    <x v="1"/>
    <x v="1"/>
    <x v="0"/>
    <x v="5"/>
    <m/>
    <x v="0"/>
    <x v="3"/>
    <x v="3"/>
    <x v="1"/>
  </r>
  <r>
    <x v="17"/>
    <x v="10"/>
    <n v="104"/>
    <n v="38"/>
    <n v="18"/>
    <n v="4"/>
    <x v="9"/>
    <x v="0"/>
    <n v="9"/>
    <x v="2"/>
    <x v="0"/>
    <n v="8"/>
    <x v="2"/>
    <x v="13"/>
    <x v="1"/>
    <x v="5"/>
    <x v="2"/>
    <x v="1"/>
    <m/>
    <n v="5"/>
    <x v="7"/>
    <n v="2"/>
    <n v="1"/>
    <x v="4"/>
    <x v="1"/>
    <x v="1"/>
    <x v="0"/>
    <x v="0"/>
    <m/>
    <x v="1"/>
    <x v="3"/>
    <x v="0"/>
    <x v="1"/>
  </r>
  <r>
    <x v="18"/>
    <x v="10"/>
    <n v="105"/>
    <n v="61"/>
    <n v="11"/>
    <n v="1"/>
    <x v="2"/>
    <x v="0"/>
    <n v="9"/>
    <x v="0"/>
    <x v="2"/>
    <n v="6"/>
    <x v="0"/>
    <x v="13"/>
    <x v="1"/>
    <x v="5"/>
    <x v="6"/>
    <x v="1"/>
    <n v="1"/>
    <n v="2"/>
    <x v="6"/>
    <n v="2"/>
    <n v="4"/>
    <x v="4"/>
    <x v="1"/>
    <x v="1"/>
    <x v="0"/>
    <x v="5"/>
    <m/>
    <x v="0"/>
    <x v="3"/>
    <x v="0"/>
    <x v="1"/>
  </r>
  <r>
    <x v="19"/>
    <x v="10"/>
    <n v="25"/>
    <n v="19"/>
    <n v="1"/>
    <m/>
    <x v="2"/>
    <x v="0"/>
    <m/>
    <x v="0"/>
    <x v="2"/>
    <m/>
    <x v="0"/>
    <x v="13"/>
    <x v="1"/>
    <x v="5"/>
    <x v="6"/>
    <x v="2"/>
    <m/>
    <m/>
    <x v="5"/>
    <m/>
    <m/>
    <x v="4"/>
    <x v="1"/>
    <x v="1"/>
    <x v="0"/>
    <x v="1"/>
    <m/>
    <x v="0"/>
    <x v="1"/>
    <x v="0"/>
    <x v="1"/>
  </r>
  <r>
    <x v="20"/>
    <x v="10"/>
    <n v="228"/>
    <n v="86"/>
    <n v="57"/>
    <n v="9"/>
    <x v="1"/>
    <x v="0"/>
    <n v="15"/>
    <x v="0"/>
    <x v="2"/>
    <n v="11"/>
    <x v="0"/>
    <x v="2"/>
    <x v="0"/>
    <x v="8"/>
    <x v="2"/>
    <x v="0"/>
    <n v="5"/>
    <n v="3"/>
    <x v="2"/>
    <n v="4"/>
    <n v="4"/>
    <x v="7"/>
    <x v="2"/>
    <x v="1"/>
    <x v="2"/>
    <x v="6"/>
    <m/>
    <x v="0"/>
    <x v="3"/>
    <x v="0"/>
    <x v="1"/>
  </r>
  <r>
    <x v="21"/>
    <x v="10"/>
    <n v="377"/>
    <n v="104"/>
    <n v="126"/>
    <n v="21"/>
    <x v="4"/>
    <x v="0"/>
    <n v="20"/>
    <x v="2"/>
    <x v="2"/>
    <n v="21"/>
    <x v="12"/>
    <x v="6"/>
    <x v="3"/>
    <x v="9"/>
    <x v="8"/>
    <x v="15"/>
    <n v="6"/>
    <n v="10"/>
    <x v="7"/>
    <n v="3"/>
    <n v="9"/>
    <x v="5"/>
    <x v="7"/>
    <x v="1"/>
    <x v="0"/>
    <x v="0"/>
    <m/>
    <x v="0"/>
    <x v="0"/>
    <x v="0"/>
    <x v="1"/>
  </r>
  <r>
    <x v="22"/>
    <x v="10"/>
    <n v="17"/>
    <n v="11"/>
    <m/>
    <m/>
    <x v="2"/>
    <x v="0"/>
    <m/>
    <x v="0"/>
    <x v="2"/>
    <n v="1"/>
    <x v="2"/>
    <x v="13"/>
    <x v="1"/>
    <x v="2"/>
    <x v="6"/>
    <x v="4"/>
    <m/>
    <m/>
    <x v="5"/>
    <m/>
    <n v="1"/>
    <x v="4"/>
    <x v="1"/>
    <x v="1"/>
    <x v="0"/>
    <x v="5"/>
    <m/>
    <x v="0"/>
    <x v="1"/>
    <x v="0"/>
    <x v="1"/>
  </r>
  <r>
    <x v="23"/>
    <x v="10"/>
    <n v="174"/>
    <n v="54"/>
    <n v="23"/>
    <n v="18"/>
    <x v="2"/>
    <x v="0"/>
    <n v="13"/>
    <x v="2"/>
    <x v="5"/>
    <n v="9"/>
    <x v="6"/>
    <x v="9"/>
    <x v="1"/>
    <x v="7"/>
    <x v="1"/>
    <x v="2"/>
    <n v="6"/>
    <n v="6"/>
    <x v="3"/>
    <n v="2"/>
    <n v="1"/>
    <x v="2"/>
    <x v="7"/>
    <x v="0"/>
    <x v="0"/>
    <x v="6"/>
    <m/>
    <x v="0"/>
    <x v="2"/>
    <x v="0"/>
    <x v="1"/>
  </r>
  <r>
    <x v="24"/>
    <x v="10"/>
    <n v="243"/>
    <n v="45"/>
    <n v="56"/>
    <n v="51"/>
    <x v="2"/>
    <x v="1"/>
    <n v="11"/>
    <x v="0"/>
    <x v="2"/>
    <n v="14"/>
    <x v="3"/>
    <x v="20"/>
    <x v="3"/>
    <x v="3"/>
    <x v="2"/>
    <x v="1"/>
    <n v="3"/>
    <n v="11"/>
    <x v="2"/>
    <n v="4"/>
    <n v="3"/>
    <x v="5"/>
    <x v="1"/>
    <x v="1"/>
    <x v="0"/>
    <x v="11"/>
    <m/>
    <x v="4"/>
    <x v="7"/>
    <x v="0"/>
    <x v="2"/>
  </r>
  <r>
    <x v="25"/>
    <x v="10"/>
    <n v="144"/>
    <n v="57"/>
    <n v="25"/>
    <n v="3"/>
    <x v="1"/>
    <x v="0"/>
    <n v="14"/>
    <x v="2"/>
    <x v="0"/>
    <n v="2"/>
    <x v="5"/>
    <x v="15"/>
    <x v="0"/>
    <x v="2"/>
    <x v="6"/>
    <x v="1"/>
    <m/>
    <n v="1"/>
    <x v="1"/>
    <n v="2"/>
    <n v="6"/>
    <x v="5"/>
    <x v="1"/>
    <x v="1"/>
    <x v="0"/>
    <x v="0"/>
    <m/>
    <x v="0"/>
    <x v="5"/>
    <x v="0"/>
    <x v="1"/>
  </r>
  <r>
    <x v="26"/>
    <x v="10"/>
    <n v="19"/>
    <n v="10"/>
    <m/>
    <n v="1"/>
    <x v="1"/>
    <x v="0"/>
    <m/>
    <x v="0"/>
    <x v="2"/>
    <n v="1"/>
    <x v="0"/>
    <x v="7"/>
    <x v="0"/>
    <x v="5"/>
    <x v="6"/>
    <x v="4"/>
    <m/>
    <m/>
    <x v="7"/>
    <n v="1"/>
    <m/>
    <x v="7"/>
    <x v="1"/>
    <x v="1"/>
    <x v="0"/>
    <x v="5"/>
    <m/>
    <x v="0"/>
    <x v="1"/>
    <x v="0"/>
    <x v="1"/>
  </r>
  <r>
    <x v="27"/>
    <x v="10"/>
    <n v="142"/>
    <n v="42"/>
    <n v="45"/>
    <n v="2"/>
    <x v="2"/>
    <x v="0"/>
    <n v="8"/>
    <x v="2"/>
    <x v="2"/>
    <n v="11"/>
    <x v="2"/>
    <x v="9"/>
    <x v="1"/>
    <x v="3"/>
    <x v="6"/>
    <x v="4"/>
    <n v="2"/>
    <n v="2"/>
    <x v="1"/>
    <n v="1"/>
    <n v="5"/>
    <x v="3"/>
    <x v="7"/>
    <x v="1"/>
    <x v="0"/>
    <x v="5"/>
    <m/>
    <x v="0"/>
    <x v="1"/>
    <x v="0"/>
    <x v="1"/>
  </r>
  <r>
    <x v="28"/>
    <x v="10"/>
    <n v="334"/>
    <n v="116"/>
    <n v="106"/>
    <n v="14"/>
    <x v="2"/>
    <x v="0"/>
    <n v="13"/>
    <x v="0"/>
    <x v="2"/>
    <n v="21"/>
    <x v="3"/>
    <x v="17"/>
    <x v="1"/>
    <x v="1"/>
    <x v="6"/>
    <x v="2"/>
    <n v="6"/>
    <n v="14"/>
    <x v="3"/>
    <n v="3"/>
    <n v="7"/>
    <x v="4"/>
    <x v="7"/>
    <x v="1"/>
    <x v="3"/>
    <x v="4"/>
    <m/>
    <x v="0"/>
    <x v="2"/>
    <x v="0"/>
    <x v="2"/>
  </r>
  <r>
    <x v="29"/>
    <x v="10"/>
    <n v="101"/>
    <n v="25"/>
    <n v="21"/>
    <n v="3"/>
    <x v="1"/>
    <x v="0"/>
    <n v="1"/>
    <x v="0"/>
    <x v="0"/>
    <n v="9"/>
    <x v="0"/>
    <x v="13"/>
    <x v="0"/>
    <x v="6"/>
    <x v="2"/>
    <x v="1"/>
    <n v="4"/>
    <n v="9"/>
    <x v="6"/>
    <m/>
    <n v="2"/>
    <x v="2"/>
    <x v="0"/>
    <x v="1"/>
    <x v="0"/>
    <x v="9"/>
    <n v="2"/>
    <x v="0"/>
    <x v="5"/>
    <x v="0"/>
    <x v="1"/>
  </r>
  <r>
    <x v="30"/>
    <x v="10"/>
    <n v="152"/>
    <n v="27"/>
    <n v="64"/>
    <n v="16"/>
    <x v="2"/>
    <x v="0"/>
    <n v="8"/>
    <x v="0"/>
    <x v="2"/>
    <n v="7"/>
    <x v="0"/>
    <x v="2"/>
    <x v="1"/>
    <x v="3"/>
    <x v="5"/>
    <x v="1"/>
    <m/>
    <n v="5"/>
    <x v="5"/>
    <n v="2"/>
    <n v="1"/>
    <x v="8"/>
    <x v="1"/>
    <x v="1"/>
    <x v="0"/>
    <x v="9"/>
    <m/>
    <x v="0"/>
    <x v="3"/>
    <x v="0"/>
    <x v="1"/>
  </r>
  <r>
    <x v="31"/>
    <x v="10"/>
    <n v="206"/>
    <n v="98"/>
    <n v="20"/>
    <n v="3"/>
    <x v="1"/>
    <x v="0"/>
    <n v="7"/>
    <x v="0"/>
    <x v="5"/>
    <n v="7"/>
    <x v="3"/>
    <x v="4"/>
    <x v="0"/>
    <x v="3"/>
    <x v="22"/>
    <x v="5"/>
    <n v="7"/>
    <n v="3"/>
    <x v="0"/>
    <m/>
    <n v="8"/>
    <x v="4"/>
    <x v="1"/>
    <x v="1"/>
    <x v="3"/>
    <x v="9"/>
    <m/>
    <x v="0"/>
    <x v="3"/>
    <x v="1"/>
    <x v="1"/>
  </r>
  <r>
    <x v="32"/>
    <x v="10"/>
    <n v="1"/>
    <n v="1"/>
    <m/>
    <m/>
    <x v="2"/>
    <x v="0"/>
    <m/>
    <x v="0"/>
    <x v="2"/>
    <m/>
    <x v="0"/>
    <x v="7"/>
    <x v="1"/>
    <x v="2"/>
    <x v="6"/>
    <x v="4"/>
    <m/>
    <m/>
    <x v="10"/>
    <m/>
    <m/>
    <x v="4"/>
    <x v="1"/>
    <x v="1"/>
    <x v="0"/>
    <x v="5"/>
    <m/>
    <x v="0"/>
    <x v="1"/>
    <x v="0"/>
    <x v="1"/>
  </r>
  <r>
    <x v="0"/>
    <x v="11"/>
    <n v="333"/>
    <n v="59"/>
    <n v="112"/>
    <n v="39"/>
    <x v="2"/>
    <x v="0"/>
    <n v="26"/>
    <x v="0"/>
    <x v="8"/>
    <n v="9"/>
    <x v="3"/>
    <x v="17"/>
    <x v="4"/>
    <x v="1"/>
    <x v="5"/>
    <x v="12"/>
    <n v="9"/>
    <n v="7"/>
    <x v="3"/>
    <n v="13"/>
    <n v="5"/>
    <x v="4"/>
    <x v="1"/>
    <x v="1"/>
    <x v="0"/>
    <x v="8"/>
    <n v="11"/>
    <x v="0"/>
    <x v="6"/>
    <x v="0"/>
    <x v="1"/>
  </r>
  <r>
    <x v="1"/>
    <x v="11"/>
    <n v="263"/>
    <n v="96"/>
    <n v="15"/>
    <n v="11"/>
    <x v="2"/>
    <x v="0"/>
    <n v="40"/>
    <x v="3"/>
    <x v="9"/>
    <n v="19"/>
    <x v="10"/>
    <x v="25"/>
    <x v="1"/>
    <x v="5"/>
    <x v="3"/>
    <x v="5"/>
    <n v="4"/>
    <n v="1"/>
    <x v="7"/>
    <n v="2"/>
    <n v="8"/>
    <x v="8"/>
    <x v="1"/>
    <x v="1"/>
    <x v="0"/>
    <x v="10"/>
    <m/>
    <x v="0"/>
    <x v="0"/>
    <x v="3"/>
    <x v="1"/>
  </r>
  <r>
    <x v="2"/>
    <x v="11"/>
    <n v="113"/>
    <n v="37"/>
    <n v="14"/>
    <n v="11"/>
    <x v="2"/>
    <x v="0"/>
    <n v="12"/>
    <x v="2"/>
    <x v="6"/>
    <n v="13"/>
    <x v="4"/>
    <x v="24"/>
    <x v="0"/>
    <x v="5"/>
    <x v="0"/>
    <x v="2"/>
    <m/>
    <n v="1"/>
    <x v="10"/>
    <n v="1"/>
    <n v="1"/>
    <x v="4"/>
    <x v="1"/>
    <x v="0"/>
    <x v="0"/>
    <x v="1"/>
    <m/>
    <x v="0"/>
    <x v="3"/>
    <x v="0"/>
    <x v="1"/>
  </r>
  <r>
    <x v="3"/>
    <x v="11"/>
    <n v="118"/>
    <n v="41"/>
    <n v="24"/>
    <n v="8"/>
    <x v="2"/>
    <x v="0"/>
    <n v="12"/>
    <x v="2"/>
    <x v="2"/>
    <n v="5"/>
    <x v="2"/>
    <x v="15"/>
    <x v="0"/>
    <x v="2"/>
    <x v="6"/>
    <x v="4"/>
    <n v="2"/>
    <n v="1"/>
    <x v="5"/>
    <n v="3"/>
    <n v="3"/>
    <x v="2"/>
    <x v="1"/>
    <x v="0"/>
    <x v="1"/>
    <x v="3"/>
    <n v="1"/>
    <x v="1"/>
    <x v="1"/>
    <x v="0"/>
    <x v="1"/>
  </r>
  <r>
    <x v="4"/>
    <x v="11"/>
    <n v="575"/>
    <n v="85"/>
    <n v="182"/>
    <n v="107"/>
    <x v="0"/>
    <x v="0"/>
    <n v="38"/>
    <x v="0"/>
    <x v="9"/>
    <n v="15"/>
    <x v="3"/>
    <x v="4"/>
    <x v="1"/>
    <x v="20"/>
    <x v="0"/>
    <x v="9"/>
    <n v="14"/>
    <n v="11"/>
    <x v="0"/>
    <n v="16"/>
    <n v="10"/>
    <x v="9"/>
    <x v="9"/>
    <x v="1"/>
    <x v="0"/>
    <x v="0"/>
    <n v="16"/>
    <x v="4"/>
    <x v="2"/>
    <x v="3"/>
    <x v="1"/>
  </r>
  <r>
    <x v="5"/>
    <x v="11"/>
    <n v="76"/>
    <n v="40"/>
    <n v="10"/>
    <n v="3"/>
    <x v="2"/>
    <x v="0"/>
    <m/>
    <x v="0"/>
    <x v="5"/>
    <n v="5"/>
    <x v="0"/>
    <x v="8"/>
    <x v="0"/>
    <x v="5"/>
    <x v="1"/>
    <x v="2"/>
    <n v="1"/>
    <m/>
    <x v="6"/>
    <m/>
    <m/>
    <x v="4"/>
    <x v="1"/>
    <x v="1"/>
    <x v="0"/>
    <x v="1"/>
    <m/>
    <x v="0"/>
    <x v="1"/>
    <x v="0"/>
    <x v="1"/>
  </r>
  <r>
    <x v="6"/>
    <x v="11"/>
    <n v="119"/>
    <n v="48"/>
    <n v="16"/>
    <n v="4"/>
    <x v="1"/>
    <x v="0"/>
    <n v="1"/>
    <x v="3"/>
    <x v="5"/>
    <n v="9"/>
    <x v="11"/>
    <x v="9"/>
    <x v="1"/>
    <x v="2"/>
    <x v="6"/>
    <x v="4"/>
    <n v="2"/>
    <n v="5"/>
    <x v="5"/>
    <n v="1"/>
    <n v="3"/>
    <x v="2"/>
    <x v="1"/>
    <x v="0"/>
    <x v="0"/>
    <x v="0"/>
    <m/>
    <x v="0"/>
    <x v="1"/>
    <x v="0"/>
    <x v="1"/>
  </r>
  <r>
    <x v="7"/>
    <x v="11"/>
    <n v="263"/>
    <n v="57"/>
    <n v="80"/>
    <n v="51"/>
    <x v="1"/>
    <x v="0"/>
    <n v="14"/>
    <x v="0"/>
    <x v="4"/>
    <n v="2"/>
    <x v="0"/>
    <x v="21"/>
    <x v="4"/>
    <x v="2"/>
    <x v="6"/>
    <x v="1"/>
    <n v="5"/>
    <n v="3"/>
    <x v="1"/>
    <n v="4"/>
    <n v="3"/>
    <x v="7"/>
    <x v="2"/>
    <x v="1"/>
    <x v="0"/>
    <x v="9"/>
    <n v="3"/>
    <x v="1"/>
    <x v="5"/>
    <x v="3"/>
    <x v="1"/>
  </r>
  <r>
    <x v="8"/>
    <x v="11"/>
    <n v="140"/>
    <n v="65"/>
    <n v="33"/>
    <n v="5"/>
    <x v="2"/>
    <x v="0"/>
    <n v="2"/>
    <x v="0"/>
    <x v="7"/>
    <n v="12"/>
    <x v="4"/>
    <x v="7"/>
    <x v="1"/>
    <x v="3"/>
    <x v="2"/>
    <x v="1"/>
    <n v="4"/>
    <n v="2"/>
    <x v="10"/>
    <n v="1"/>
    <n v="1"/>
    <x v="4"/>
    <x v="1"/>
    <x v="1"/>
    <x v="3"/>
    <x v="3"/>
    <m/>
    <x v="0"/>
    <x v="1"/>
    <x v="0"/>
    <x v="1"/>
  </r>
  <r>
    <x v="9"/>
    <x v="11"/>
    <n v="95"/>
    <n v="52"/>
    <n v="15"/>
    <n v="2"/>
    <x v="2"/>
    <x v="0"/>
    <n v="5"/>
    <x v="0"/>
    <x v="2"/>
    <n v="4"/>
    <x v="3"/>
    <x v="24"/>
    <x v="1"/>
    <x v="3"/>
    <x v="2"/>
    <x v="4"/>
    <n v="1"/>
    <n v="3"/>
    <x v="7"/>
    <m/>
    <m/>
    <x v="4"/>
    <x v="1"/>
    <x v="1"/>
    <x v="0"/>
    <x v="5"/>
    <m/>
    <x v="0"/>
    <x v="6"/>
    <x v="0"/>
    <x v="1"/>
  </r>
  <r>
    <x v="10"/>
    <x v="11"/>
    <n v="76"/>
    <n v="35"/>
    <n v="8"/>
    <n v="3"/>
    <x v="2"/>
    <x v="0"/>
    <n v="2"/>
    <x v="0"/>
    <x v="0"/>
    <n v="5"/>
    <x v="4"/>
    <x v="8"/>
    <x v="1"/>
    <x v="5"/>
    <x v="2"/>
    <x v="1"/>
    <n v="2"/>
    <n v="1"/>
    <x v="7"/>
    <m/>
    <m/>
    <x v="4"/>
    <x v="1"/>
    <x v="1"/>
    <x v="0"/>
    <x v="6"/>
    <n v="2"/>
    <x v="0"/>
    <x v="1"/>
    <x v="3"/>
    <x v="1"/>
  </r>
  <r>
    <x v="11"/>
    <x v="11"/>
    <n v="65"/>
    <n v="31"/>
    <n v="13"/>
    <n v="4"/>
    <x v="2"/>
    <x v="0"/>
    <n v="5"/>
    <x v="0"/>
    <x v="2"/>
    <n v="3"/>
    <x v="3"/>
    <x v="13"/>
    <x v="1"/>
    <x v="5"/>
    <x v="6"/>
    <x v="4"/>
    <n v="2"/>
    <n v="1"/>
    <x v="5"/>
    <m/>
    <m/>
    <x v="4"/>
    <x v="1"/>
    <x v="1"/>
    <x v="0"/>
    <x v="1"/>
    <m/>
    <x v="0"/>
    <x v="3"/>
    <x v="0"/>
    <x v="1"/>
  </r>
  <r>
    <x v="12"/>
    <x v="11"/>
    <n v="167"/>
    <n v="41"/>
    <n v="49"/>
    <n v="5"/>
    <x v="2"/>
    <x v="0"/>
    <n v="11"/>
    <x v="0"/>
    <x v="1"/>
    <n v="16"/>
    <x v="2"/>
    <x v="17"/>
    <x v="0"/>
    <x v="2"/>
    <x v="12"/>
    <x v="2"/>
    <n v="3"/>
    <n v="5"/>
    <x v="7"/>
    <n v="1"/>
    <n v="3"/>
    <x v="4"/>
    <x v="1"/>
    <x v="1"/>
    <x v="0"/>
    <x v="9"/>
    <m/>
    <x v="0"/>
    <x v="3"/>
    <x v="0"/>
    <x v="1"/>
  </r>
  <r>
    <x v="13"/>
    <x v="11"/>
    <n v="346"/>
    <n v="146"/>
    <n v="78"/>
    <n v="11"/>
    <x v="1"/>
    <x v="1"/>
    <n v="9"/>
    <x v="0"/>
    <x v="0"/>
    <n v="28"/>
    <x v="10"/>
    <x v="29"/>
    <x v="4"/>
    <x v="5"/>
    <x v="5"/>
    <x v="11"/>
    <n v="2"/>
    <n v="7"/>
    <x v="2"/>
    <n v="1"/>
    <n v="10"/>
    <x v="4"/>
    <x v="1"/>
    <x v="1"/>
    <x v="3"/>
    <x v="1"/>
    <n v="2"/>
    <x v="0"/>
    <x v="3"/>
    <x v="0"/>
    <x v="2"/>
  </r>
  <r>
    <x v="14"/>
    <x v="11"/>
    <n v="1030"/>
    <n v="143"/>
    <n v="382"/>
    <n v="247"/>
    <x v="0"/>
    <x v="2"/>
    <n v="17"/>
    <x v="2"/>
    <x v="0"/>
    <n v="18"/>
    <x v="3"/>
    <x v="21"/>
    <x v="7"/>
    <x v="29"/>
    <x v="3"/>
    <x v="19"/>
    <n v="17"/>
    <n v="32"/>
    <x v="25"/>
    <n v="25"/>
    <n v="17"/>
    <x v="5"/>
    <x v="21"/>
    <x v="1"/>
    <x v="0"/>
    <x v="19"/>
    <n v="7"/>
    <x v="3"/>
    <x v="7"/>
    <x v="1"/>
    <x v="1"/>
  </r>
  <r>
    <x v="15"/>
    <x v="11"/>
    <n v="238"/>
    <n v="96"/>
    <n v="21"/>
    <m/>
    <x v="9"/>
    <x v="1"/>
    <n v="8"/>
    <x v="0"/>
    <x v="1"/>
    <n v="21"/>
    <x v="13"/>
    <x v="10"/>
    <x v="4"/>
    <x v="1"/>
    <x v="2"/>
    <x v="1"/>
    <n v="6"/>
    <n v="3"/>
    <x v="3"/>
    <n v="6"/>
    <n v="4"/>
    <x v="1"/>
    <x v="1"/>
    <x v="3"/>
    <x v="0"/>
    <x v="14"/>
    <m/>
    <x v="1"/>
    <x v="5"/>
    <x v="1"/>
    <x v="3"/>
  </r>
  <r>
    <x v="16"/>
    <x v="11"/>
    <n v="130"/>
    <n v="40"/>
    <n v="33"/>
    <n v="33"/>
    <x v="2"/>
    <x v="0"/>
    <n v="4"/>
    <x v="0"/>
    <x v="2"/>
    <n v="5"/>
    <x v="3"/>
    <x v="13"/>
    <x v="1"/>
    <x v="2"/>
    <x v="2"/>
    <x v="12"/>
    <n v="1"/>
    <n v="2"/>
    <x v="10"/>
    <n v="2"/>
    <n v="3"/>
    <x v="4"/>
    <x v="1"/>
    <x v="1"/>
    <x v="0"/>
    <x v="1"/>
    <m/>
    <x v="0"/>
    <x v="1"/>
    <x v="0"/>
    <x v="1"/>
  </r>
  <r>
    <x v="17"/>
    <x v="11"/>
    <n v="94"/>
    <n v="37"/>
    <n v="6"/>
    <n v="5"/>
    <x v="2"/>
    <x v="0"/>
    <n v="11"/>
    <x v="0"/>
    <x v="2"/>
    <n v="6"/>
    <x v="3"/>
    <x v="8"/>
    <x v="0"/>
    <x v="2"/>
    <x v="6"/>
    <x v="2"/>
    <n v="3"/>
    <n v="2"/>
    <x v="6"/>
    <n v="1"/>
    <n v="2"/>
    <x v="7"/>
    <x v="2"/>
    <x v="1"/>
    <x v="0"/>
    <x v="6"/>
    <m/>
    <x v="0"/>
    <x v="5"/>
    <x v="6"/>
    <x v="1"/>
  </r>
  <r>
    <x v="18"/>
    <x v="11"/>
    <n v="78"/>
    <n v="33"/>
    <n v="9"/>
    <m/>
    <x v="1"/>
    <x v="0"/>
    <n v="8"/>
    <x v="0"/>
    <x v="2"/>
    <n v="8"/>
    <x v="2"/>
    <x v="9"/>
    <x v="0"/>
    <x v="2"/>
    <x v="6"/>
    <x v="2"/>
    <n v="1"/>
    <n v="2"/>
    <x v="5"/>
    <m/>
    <n v="1"/>
    <x v="5"/>
    <x v="1"/>
    <x v="1"/>
    <x v="0"/>
    <x v="5"/>
    <m/>
    <x v="0"/>
    <x v="3"/>
    <x v="0"/>
    <x v="1"/>
  </r>
  <r>
    <x v="19"/>
    <x v="11"/>
    <n v="28"/>
    <n v="18"/>
    <n v="2"/>
    <n v="1"/>
    <x v="2"/>
    <x v="0"/>
    <m/>
    <x v="0"/>
    <x v="0"/>
    <n v="2"/>
    <x v="0"/>
    <x v="13"/>
    <x v="1"/>
    <x v="2"/>
    <x v="6"/>
    <x v="2"/>
    <m/>
    <m/>
    <x v="10"/>
    <m/>
    <m/>
    <x v="7"/>
    <x v="1"/>
    <x v="1"/>
    <x v="0"/>
    <x v="1"/>
    <m/>
    <x v="0"/>
    <x v="1"/>
    <x v="0"/>
    <x v="1"/>
  </r>
  <r>
    <x v="20"/>
    <x v="11"/>
    <n v="188"/>
    <n v="83"/>
    <n v="49"/>
    <n v="8"/>
    <x v="2"/>
    <x v="0"/>
    <n v="12"/>
    <x v="2"/>
    <x v="2"/>
    <n v="8"/>
    <x v="2"/>
    <x v="4"/>
    <x v="1"/>
    <x v="2"/>
    <x v="2"/>
    <x v="2"/>
    <n v="2"/>
    <n v="6"/>
    <x v="5"/>
    <n v="1"/>
    <n v="2"/>
    <x v="4"/>
    <x v="1"/>
    <x v="1"/>
    <x v="3"/>
    <x v="0"/>
    <m/>
    <x v="0"/>
    <x v="1"/>
    <x v="0"/>
    <x v="1"/>
  </r>
  <r>
    <x v="21"/>
    <x v="11"/>
    <n v="424"/>
    <n v="134"/>
    <n v="150"/>
    <n v="13"/>
    <x v="1"/>
    <x v="0"/>
    <n v="20"/>
    <x v="0"/>
    <x v="2"/>
    <n v="25"/>
    <x v="3"/>
    <x v="0"/>
    <x v="7"/>
    <x v="6"/>
    <x v="13"/>
    <x v="0"/>
    <n v="6"/>
    <n v="9"/>
    <x v="3"/>
    <n v="1"/>
    <n v="3"/>
    <x v="2"/>
    <x v="13"/>
    <x v="1"/>
    <x v="0"/>
    <x v="0"/>
    <m/>
    <x v="0"/>
    <x v="6"/>
    <x v="3"/>
    <x v="1"/>
  </r>
  <r>
    <x v="22"/>
    <x v="11"/>
    <n v="6"/>
    <n v="3"/>
    <m/>
    <m/>
    <x v="2"/>
    <x v="0"/>
    <m/>
    <x v="0"/>
    <x v="0"/>
    <n v="1"/>
    <x v="0"/>
    <x v="7"/>
    <x v="1"/>
    <x v="2"/>
    <x v="6"/>
    <x v="4"/>
    <m/>
    <m/>
    <x v="10"/>
    <m/>
    <m/>
    <x v="4"/>
    <x v="2"/>
    <x v="1"/>
    <x v="0"/>
    <x v="5"/>
    <m/>
    <x v="0"/>
    <x v="1"/>
    <x v="0"/>
    <x v="1"/>
  </r>
  <r>
    <x v="23"/>
    <x v="11"/>
    <n v="148"/>
    <n v="43"/>
    <n v="21"/>
    <n v="14"/>
    <x v="2"/>
    <x v="0"/>
    <n v="19"/>
    <x v="0"/>
    <x v="8"/>
    <n v="9"/>
    <x v="6"/>
    <x v="24"/>
    <x v="1"/>
    <x v="5"/>
    <x v="1"/>
    <x v="1"/>
    <n v="6"/>
    <n v="2"/>
    <x v="5"/>
    <n v="1"/>
    <n v="1"/>
    <x v="7"/>
    <x v="1"/>
    <x v="0"/>
    <x v="0"/>
    <x v="6"/>
    <m/>
    <x v="0"/>
    <x v="2"/>
    <x v="0"/>
    <x v="1"/>
  </r>
  <r>
    <x v="24"/>
    <x v="11"/>
    <n v="247"/>
    <n v="60"/>
    <n v="63"/>
    <n v="46"/>
    <x v="1"/>
    <x v="0"/>
    <n v="14"/>
    <x v="0"/>
    <x v="0"/>
    <n v="11"/>
    <x v="0"/>
    <x v="2"/>
    <x v="0"/>
    <x v="6"/>
    <x v="2"/>
    <x v="1"/>
    <n v="2"/>
    <n v="6"/>
    <x v="0"/>
    <n v="2"/>
    <n v="7"/>
    <x v="2"/>
    <x v="1"/>
    <x v="1"/>
    <x v="0"/>
    <x v="4"/>
    <n v="3"/>
    <x v="0"/>
    <x v="3"/>
    <x v="3"/>
    <x v="1"/>
  </r>
  <r>
    <x v="25"/>
    <x v="11"/>
    <n v="126"/>
    <n v="44"/>
    <n v="29"/>
    <n v="2"/>
    <x v="2"/>
    <x v="0"/>
    <n v="8"/>
    <x v="0"/>
    <x v="5"/>
    <n v="1"/>
    <x v="13"/>
    <x v="1"/>
    <x v="0"/>
    <x v="5"/>
    <x v="2"/>
    <x v="2"/>
    <n v="1"/>
    <n v="4"/>
    <x v="7"/>
    <n v="4"/>
    <n v="2"/>
    <x v="7"/>
    <x v="1"/>
    <x v="1"/>
    <x v="0"/>
    <x v="1"/>
    <m/>
    <x v="0"/>
    <x v="2"/>
    <x v="1"/>
    <x v="1"/>
  </r>
  <r>
    <x v="26"/>
    <x v="11"/>
    <n v="34"/>
    <n v="18"/>
    <n v="2"/>
    <n v="1"/>
    <x v="2"/>
    <x v="0"/>
    <m/>
    <x v="3"/>
    <x v="5"/>
    <n v="2"/>
    <x v="0"/>
    <x v="24"/>
    <x v="1"/>
    <x v="2"/>
    <x v="6"/>
    <x v="4"/>
    <m/>
    <n v="1"/>
    <x v="10"/>
    <m/>
    <m/>
    <x v="5"/>
    <x v="1"/>
    <x v="1"/>
    <x v="0"/>
    <x v="5"/>
    <m/>
    <x v="0"/>
    <x v="1"/>
    <x v="3"/>
    <x v="1"/>
  </r>
  <r>
    <x v="27"/>
    <x v="11"/>
    <n v="119"/>
    <n v="44"/>
    <n v="39"/>
    <n v="3"/>
    <x v="2"/>
    <x v="0"/>
    <n v="4"/>
    <x v="0"/>
    <x v="2"/>
    <n v="8"/>
    <x v="3"/>
    <x v="24"/>
    <x v="1"/>
    <x v="5"/>
    <x v="6"/>
    <x v="4"/>
    <n v="1"/>
    <n v="4"/>
    <x v="2"/>
    <n v="1"/>
    <n v="3"/>
    <x v="4"/>
    <x v="2"/>
    <x v="1"/>
    <x v="0"/>
    <x v="0"/>
    <m/>
    <x v="0"/>
    <x v="1"/>
    <x v="0"/>
    <x v="1"/>
  </r>
  <r>
    <x v="28"/>
    <x v="11"/>
    <n v="326"/>
    <n v="106"/>
    <n v="123"/>
    <n v="4"/>
    <x v="2"/>
    <x v="0"/>
    <n v="16"/>
    <x v="3"/>
    <x v="7"/>
    <n v="25"/>
    <x v="3"/>
    <x v="17"/>
    <x v="3"/>
    <x v="3"/>
    <x v="2"/>
    <x v="4"/>
    <n v="3"/>
    <n v="8"/>
    <x v="10"/>
    <n v="3"/>
    <n v="6"/>
    <x v="5"/>
    <x v="2"/>
    <x v="1"/>
    <x v="0"/>
    <x v="6"/>
    <m/>
    <x v="1"/>
    <x v="5"/>
    <x v="0"/>
    <x v="1"/>
  </r>
  <r>
    <x v="29"/>
    <x v="11"/>
    <n v="97"/>
    <n v="28"/>
    <n v="25"/>
    <n v="3"/>
    <x v="2"/>
    <x v="0"/>
    <n v="1"/>
    <x v="0"/>
    <x v="5"/>
    <n v="4"/>
    <x v="4"/>
    <x v="8"/>
    <x v="0"/>
    <x v="3"/>
    <x v="6"/>
    <x v="12"/>
    <n v="7"/>
    <n v="3"/>
    <x v="5"/>
    <m/>
    <n v="1"/>
    <x v="4"/>
    <x v="2"/>
    <x v="1"/>
    <x v="0"/>
    <x v="0"/>
    <n v="3"/>
    <x v="1"/>
    <x v="3"/>
    <x v="3"/>
    <x v="1"/>
  </r>
  <r>
    <x v="30"/>
    <x v="11"/>
    <n v="143"/>
    <n v="33"/>
    <n v="67"/>
    <n v="14"/>
    <x v="2"/>
    <x v="0"/>
    <n v="3"/>
    <x v="0"/>
    <x v="2"/>
    <n v="5"/>
    <x v="0"/>
    <x v="24"/>
    <x v="1"/>
    <x v="5"/>
    <x v="2"/>
    <x v="2"/>
    <m/>
    <n v="2"/>
    <x v="2"/>
    <n v="1"/>
    <n v="3"/>
    <x v="4"/>
    <x v="1"/>
    <x v="1"/>
    <x v="0"/>
    <x v="6"/>
    <m/>
    <x v="0"/>
    <x v="5"/>
    <x v="0"/>
    <x v="1"/>
  </r>
  <r>
    <x v="31"/>
    <x v="11"/>
    <n v="174"/>
    <n v="68"/>
    <n v="31"/>
    <n v="4"/>
    <x v="1"/>
    <x v="0"/>
    <n v="9"/>
    <x v="2"/>
    <x v="0"/>
    <n v="12"/>
    <x v="0"/>
    <x v="2"/>
    <x v="3"/>
    <x v="3"/>
    <x v="3"/>
    <x v="12"/>
    <n v="5"/>
    <n v="6"/>
    <x v="7"/>
    <n v="4"/>
    <n v="3"/>
    <x v="7"/>
    <x v="1"/>
    <x v="1"/>
    <x v="0"/>
    <x v="3"/>
    <m/>
    <x v="0"/>
    <x v="2"/>
    <x v="0"/>
    <x v="1"/>
  </r>
</pivotCacheRecords>
</file>

<file path=xl/pivotCache/pivotCacheRecords13.xml><?xml version="1.0" encoding="utf-8"?>
<pivotCacheRecords xmlns="http://schemas.openxmlformats.org/spreadsheetml/2006/main" xmlns:r="http://schemas.openxmlformats.org/officeDocument/2006/relationships" count="385">
  <r>
    <x v="0"/>
    <x v="0"/>
    <n v="703"/>
    <n v="391"/>
    <n v="146"/>
    <n v="137"/>
    <n v="29"/>
    <n v="658"/>
    <n v="12"/>
    <n v="217020"/>
  </r>
  <r>
    <x v="0"/>
    <x v="1"/>
    <n v="451"/>
    <n v="204"/>
    <n v="89"/>
    <n v="100"/>
    <n v="58"/>
    <n v="254"/>
    <n v="140"/>
    <n v="249020"/>
  </r>
  <r>
    <x v="0"/>
    <x v="2"/>
    <n v="191"/>
    <n v="102"/>
    <n v="43"/>
    <n v="39"/>
    <n v="7"/>
    <n v="191"/>
    <n v="26"/>
    <n v="114830"/>
  </r>
  <r>
    <x v="0"/>
    <x v="3"/>
    <n v="187"/>
    <n v="86"/>
    <n v="50"/>
    <n v="38"/>
    <n v="13"/>
    <n v="156"/>
    <n v="184"/>
    <n v="89450"/>
  </r>
  <r>
    <x v="0"/>
    <x v="4"/>
    <n v="1572"/>
    <n v="795"/>
    <n v="340"/>
    <n v="256"/>
    <n v="181"/>
    <n v="2220"/>
    <n v="23"/>
    <n v="463230"/>
  </r>
  <r>
    <x v="0"/>
    <x v="5"/>
    <n v="115"/>
    <n v="40"/>
    <n v="24"/>
    <n v="21"/>
    <n v="30"/>
    <n v="218"/>
    <n v="5"/>
    <n v="51290"/>
  </r>
  <r>
    <x v="0"/>
    <x v="6"/>
    <n v="306"/>
    <n v="132"/>
    <n v="67"/>
    <n v="88"/>
    <n v="19"/>
    <n v="239"/>
    <n v="132"/>
    <n v="151160"/>
  </r>
  <r>
    <x v="0"/>
    <x v="7"/>
    <n v="505"/>
    <n v="325"/>
    <n v="107"/>
    <n v="52"/>
    <n v="21"/>
    <n v="1009"/>
    <n v="3"/>
    <n v="145170"/>
  </r>
  <r>
    <x v="0"/>
    <x v="8"/>
    <n v="296"/>
    <n v="125"/>
    <n v="66"/>
    <n v="64"/>
    <n v="41"/>
    <n v="868"/>
    <n v="16"/>
    <n v="122110"/>
  </r>
  <r>
    <x v="0"/>
    <x v="9"/>
    <n v="189"/>
    <n v="78"/>
    <n v="40"/>
    <n v="52"/>
    <n v="19"/>
    <n v="314"/>
    <n v="9"/>
    <n v="104960"/>
  </r>
  <r>
    <x v="0"/>
    <x v="10"/>
    <n v="246"/>
    <n v="100"/>
    <n v="50"/>
    <n v="55"/>
    <n v="41"/>
    <n v="345"/>
    <n v="32"/>
    <n v="98340"/>
  </r>
  <r>
    <x v="0"/>
    <x v="11"/>
    <n v="154"/>
    <n v="48"/>
    <n v="36"/>
    <n v="40"/>
    <n v="30"/>
    <n v="283"/>
    <m/>
    <n v="89980"/>
  </r>
  <r>
    <x v="0"/>
    <x v="12"/>
    <n v="257"/>
    <n v="113"/>
    <n v="57"/>
    <n v="65"/>
    <n v="22"/>
    <n v="751"/>
    <n v="13"/>
    <n v="154210"/>
  </r>
  <r>
    <x v="0"/>
    <x v="13"/>
    <n v="680"/>
    <n v="320"/>
    <n v="153"/>
    <n v="147"/>
    <n v="60"/>
    <n v="1315"/>
    <n v="56"/>
    <n v="361420"/>
  </r>
  <r>
    <x v="0"/>
    <x v="14"/>
    <n v="2419"/>
    <n v="1284"/>
    <n v="516"/>
    <n v="457"/>
    <n v="162"/>
    <n v="3810"/>
    <n v="18"/>
    <n v="581620"/>
  </r>
  <r>
    <x v="0"/>
    <x v="15"/>
    <n v="357"/>
    <n v="145"/>
    <n v="81"/>
    <n v="82"/>
    <n v="49"/>
    <n v="570"/>
    <n v="501"/>
    <n v="228750"/>
  </r>
  <r>
    <x v="0"/>
    <x v="16"/>
    <n v="302"/>
    <n v="144"/>
    <n v="51"/>
    <n v="79"/>
    <n v="28"/>
    <n v="625"/>
    <n v="3"/>
    <n v="81670"/>
  </r>
  <r>
    <x v="0"/>
    <x v="17"/>
    <n v="198"/>
    <n v="73"/>
    <n v="47"/>
    <n v="45"/>
    <n v="33"/>
    <n v="371"/>
    <n v="22"/>
    <n v="81900"/>
  </r>
  <r>
    <x v="0"/>
    <x v="18"/>
    <n v="166"/>
    <n v="71"/>
    <n v="39"/>
    <n v="35"/>
    <n v="21"/>
    <n v="167"/>
    <n v="62"/>
    <n v="93160"/>
  </r>
  <r>
    <x v="0"/>
    <x v="19"/>
    <n v="39"/>
    <n v="24"/>
    <n v="8"/>
    <n v="3"/>
    <n v="4"/>
    <n v="33"/>
    <n v="91"/>
    <n v="27420"/>
  </r>
  <r>
    <x v="0"/>
    <x v="20"/>
    <n v="373"/>
    <n v="177"/>
    <n v="74"/>
    <n v="76"/>
    <n v="46"/>
    <n v="907"/>
    <n v="26"/>
    <n v="137830"/>
  </r>
  <r>
    <x v="0"/>
    <x v="21"/>
    <n v="1016"/>
    <n v="378"/>
    <n v="189"/>
    <n v="310"/>
    <n v="139"/>
    <n v="2211"/>
    <n v="8"/>
    <n v="335160"/>
  </r>
  <r>
    <x v="0"/>
    <x v="22"/>
    <n v="21"/>
    <n v="11"/>
    <n v="5"/>
    <n v="4"/>
    <n v="1"/>
    <n v="18"/>
    <n v="18"/>
    <n v="20940"/>
  </r>
  <r>
    <x v="0"/>
    <x v="23"/>
    <n v="284"/>
    <n v="122"/>
    <n v="84"/>
    <n v="59"/>
    <n v="19"/>
    <n v="225"/>
    <n v="111"/>
    <n v="144370"/>
  </r>
  <r>
    <x v="0"/>
    <x v="24"/>
    <n v="535"/>
    <n v="237"/>
    <n v="145"/>
    <n v="102"/>
    <n v="51"/>
    <n v="871"/>
    <n v="2"/>
    <n v="173020"/>
  </r>
  <r>
    <x v="0"/>
    <x v="25"/>
    <n v="235"/>
    <n v="111"/>
    <n v="46"/>
    <n v="48"/>
    <n v="30"/>
    <n v="147"/>
    <n v="100"/>
    <n v="113590"/>
  </r>
  <r>
    <x v="0"/>
    <x v="26"/>
    <n v="33"/>
    <n v="11"/>
    <n v="10"/>
    <n v="6"/>
    <n v="6"/>
    <n v="14"/>
    <n v="5"/>
    <n v="22800"/>
  </r>
  <r>
    <x v="0"/>
    <x v="27"/>
    <n v="211"/>
    <n v="99"/>
    <n v="59"/>
    <n v="36"/>
    <n v="17"/>
    <n v="415"/>
    <n v="30"/>
    <n v="112490"/>
  </r>
  <r>
    <x v="0"/>
    <x v="28"/>
    <n v="826"/>
    <n v="326"/>
    <n v="170"/>
    <n v="200"/>
    <n v="130"/>
    <n v="1788"/>
    <n v="36"/>
    <n v="312180"/>
  </r>
  <r>
    <x v="0"/>
    <x v="29"/>
    <n v="199"/>
    <n v="94"/>
    <n v="46"/>
    <n v="48"/>
    <n v="11"/>
    <n v="249"/>
    <n v="36"/>
    <n v="88690"/>
  </r>
  <r>
    <x v="0"/>
    <x v="30"/>
    <n v="356"/>
    <n v="172"/>
    <n v="51"/>
    <n v="93"/>
    <n v="40"/>
    <n v="795"/>
    <n v="8"/>
    <n v="91080"/>
  </r>
  <r>
    <x v="0"/>
    <x v="31"/>
    <n v="570"/>
    <n v="222"/>
    <n v="115"/>
    <n v="148"/>
    <n v="85"/>
    <n v="968"/>
    <n v="12"/>
    <n v="173040"/>
  </r>
  <r>
    <x v="1"/>
    <x v="0"/>
    <n v="638"/>
    <n v="340"/>
    <n v="139"/>
    <n v="143"/>
    <n v="16"/>
    <n v="522"/>
    <n v="17"/>
    <n v="219730"/>
  </r>
  <r>
    <x v="1"/>
    <x v="1"/>
    <n v="446"/>
    <n v="203"/>
    <n v="106"/>
    <n v="90"/>
    <n v="47"/>
    <n v="264"/>
    <n v="139"/>
    <n v="251430"/>
  </r>
  <r>
    <x v="1"/>
    <x v="2"/>
    <n v="184"/>
    <n v="87"/>
    <n v="38"/>
    <n v="40"/>
    <n v="19"/>
    <n v="197"/>
    <n v="31"/>
    <n v="115410"/>
  </r>
  <r>
    <x v="1"/>
    <x v="3"/>
    <n v="244"/>
    <n v="126"/>
    <n v="62"/>
    <n v="32"/>
    <n v="24"/>
    <n v="260"/>
    <n v="123"/>
    <n v="88620"/>
  </r>
  <r>
    <x v="1"/>
    <x v="4"/>
    <n v="1403"/>
    <n v="728"/>
    <n v="333"/>
    <n v="196"/>
    <n v="146"/>
    <n v="1886"/>
    <n v="14"/>
    <n v="469930"/>
  </r>
  <r>
    <x v="1"/>
    <x v="5"/>
    <n v="115"/>
    <n v="49"/>
    <n v="25"/>
    <n v="19"/>
    <n v="22"/>
    <n v="196"/>
    <n v="4"/>
    <n v="51330"/>
  </r>
  <r>
    <x v="1"/>
    <x v="6"/>
    <n v="269"/>
    <n v="110"/>
    <n v="81"/>
    <n v="65"/>
    <n v="13"/>
    <n v="260"/>
    <n v="135"/>
    <n v="151100"/>
  </r>
  <r>
    <x v="1"/>
    <x v="7"/>
    <n v="530"/>
    <n v="332"/>
    <n v="103"/>
    <n v="69"/>
    <n v="26"/>
    <n v="914"/>
    <n v="1"/>
    <n v="146060"/>
  </r>
  <r>
    <x v="1"/>
    <x v="8"/>
    <n v="268"/>
    <n v="118"/>
    <n v="44"/>
    <n v="62"/>
    <n v="44"/>
    <n v="1076"/>
    <n v="18"/>
    <n v="122410"/>
  </r>
  <r>
    <x v="1"/>
    <x v="9"/>
    <n v="156"/>
    <n v="69"/>
    <n v="37"/>
    <n v="35"/>
    <n v="15"/>
    <n v="342"/>
    <n v="1"/>
    <n v="104920"/>
  </r>
  <r>
    <x v="1"/>
    <x v="10"/>
    <n v="209"/>
    <n v="88"/>
    <n v="41"/>
    <n v="42"/>
    <n v="38"/>
    <n v="286"/>
    <n v="29"/>
    <n v="99140"/>
  </r>
  <r>
    <x v="1"/>
    <x v="11"/>
    <n v="132"/>
    <n v="58"/>
    <n v="26"/>
    <n v="34"/>
    <n v="14"/>
    <n v="293"/>
    <n v="3"/>
    <n v="90410"/>
  </r>
  <r>
    <x v="1"/>
    <x v="12"/>
    <n v="311"/>
    <n v="130"/>
    <n v="82"/>
    <n v="52"/>
    <n v="47"/>
    <n v="728"/>
    <n v="14"/>
    <n v="155130"/>
  </r>
  <r>
    <x v="1"/>
    <x v="13"/>
    <n v="659"/>
    <n v="301"/>
    <n v="137"/>
    <n v="155"/>
    <n v="66"/>
    <n v="1125"/>
    <n v="49"/>
    <n v="362610"/>
  </r>
  <r>
    <x v="1"/>
    <x v="14"/>
    <n v="2205"/>
    <n v="1179"/>
    <n v="440"/>
    <n v="434"/>
    <n v="152"/>
    <n v="3958"/>
    <n v="10"/>
    <n v="586500"/>
  </r>
  <r>
    <x v="1"/>
    <x v="15"/>
    <n v="416"/>
    <n v="162"/>
    <n v="90"/>
    <n v="88"/>
    <n v="76"/>
    <n v="597"/>
    <n v="471"/>
    <n v="230730"/>
  </r>
  <r>
    <x v="1"/>
    <x v="16"/>
    <n v="279"/>
    <n v="132"/>
    <n v="61"/>
    <n v="55"/>
    <n v="31"/>
    <n v="899"/>
    <n v="2"/>
    <n v="81510"/>
  </r>
  <r>
    <x v="1"/>
    <x v="17"/>
    <n v="189"/>
    <n v="73"/>
    <n v="33"/>
    <n v="45"/>
    <n v="38"/>
    <n v="360"/>
    <n v="18"/>
    <n v="82360"/>
  </r>
  <r>
    <x v="1"/>
    <x v="18"/>
    <n v="160"/>
    <n v="76"/>
    <n v="46"/>
    <n v="26"/>
    <n v="12"/>
    <n v="173"/>
    <n v="66"/>
    <n v="93690"/>
  </r>
  <r>
    <x v="1"/>
    <x v="19"/>
    <n v="45"/>
    <n v="17"/>
    <n v="10"/>
    <n v="11"/>
    <n v="7"/>
    <n v="46"/>
    <n v="82"/>
    <n v="27600"/>
  </r>
  <r>
    <x v="1"/>
    <x v="20"/>
    <n v="349"/>
    <n v="167"/>
    <n v="78"/>
    <n v="61"/>
    <n v="43"/>
    <n v="1023"/>
    <n v="19"/>
    <n v="137800"/>
  </r>
  <r>
    <x v="1"/>
    <x v="21"/>
    <n v="841"/>
    <n v="370"/>
    <n v="129"/>
    <n v="236"/>
    <n v="106"/>
    <n v="2719"/>
    <n v="11"/>
    <n v="336280"/>
  </r>
  <r>
    <x v="1"/>
    <x v="22"/>
    <n v="35"/>
    <n v="9"/>
    <n v="8"/>
    <n v="13"/>
    <n v="5"/>
    <n v="11"/>
    <n v="19"/>
    <n v="21220"/>
  </r>
  <r>
    <x v="1"/>
    <x v="23"/>
    <n v="321"/>
    <n v="138"/>
    <n v="69"/>
    <n v="97"/>
    <n v="17"/>
    <n v="270"/>
    <n v="78"/>
    <n v="145600"/>
  </r>
  <r>
    <x v="1"/>
    <x v="24"/>
    <n v="496"/>
    <n v="246"/>
    <n v="98"/>
    <n v="104"/>
    <n v="48"/>
    <n v="1080"/>
    <n v="3"/>
    <n v="173700"/>
  </r>
  <r>
    <x v="1"/>
    <x v="25"/>
    <n v="249"/>
    <n v="113"/>
    <n v="49"/>
    <n v="38"/>
    <n v="49"/>
    <n v="150"/>
    <n v="94"/>
    <n v="113700"/>
  </r>
  <r>
    <x v="1"/>
    <x v="26"/>
    <n v="21"/>
    <n v="10"/>
    <n v="2"/>
    <n v="4"/>
    <n v="5"/>
    <n v="17"/>
    <n v="18"/>
    <n v="23060"/>
  </r>
  <r>
    <x v="1"/>
    <x v="27"/>
    <n v="218"/>
    <n v="107"/>
    <n v="59"/>
    <n v="33"/>
    <n v="19"/>
    <n v="620"/>
    <n v="19"/>
    <n v="112600"/>
  </r>
  <r>
    <x v="1"/>
    <x v="28"/>
    <n v="773"/>
    <n v="316"/>
    <n v="165"/>
    <n v="192"/>
    <n v="100"/>
    <n v="1944"/>
    <n v="32"/>
    <n v="313180"/>
  </r>
  <r>
    <x v="1"/>
    <x v="29"/>
    <n v="188"/>
    <n v="75"/>
    <n v="61"/>
    <n v="37"/>
    <n v="15"/>
    <n v="227"/>
    <n v="33"/>
    <n v="89550"/>
  </r>
  <r>
    <x v="1"/>
    <x v="30"/>
    <n v="288"/>
    <n v="151"/>
    <n v="45"/>
    <n v="71"/>
    <n v="21"/>
    <n v="856"/>
    <n v="7"/>
    <n v="90800"/>
  </r>
  <r>
    <x v="1"/>
    <x v="31"/>
    <n v="507"/>
    <n v="213"/>
    <n v="98"/>
    <n v="105"/>
    <n v="91"/>
    <n v="918"/>
    <n v="14"/>
    <n v="174090"/>
  </r>
  <r>
    <x v="2"/>
    <x v="0"/>
    <n v="649"/>
    <n v="375"/>
    <n v="155"/>
    <n v="96"/>
    <n v="23"/>
    <n v="605"/>
    <n v="13"/>
    <n v="222460"/>
  </r>
  <r>
    <x v="2"/>
    <x v="1"/>
    <n v="433"/>
    <n v="207"/>
    <n v="93"/>
    <n v="82"/>
    <n v="51"/>
    <n v="293"/>
    <n v="102"/>
    <n v="253650"/>
  </r>
  <r>
    <x v="2"/>
    <x v="2"/>
    <n v="182"/>
    <n v="101"/>
    <n v="32"/>
    <n v="35"/>
    <n v="14"/>
    <n v="201"/>
    <n v="34"/>
    <n v="116200"/>
  </r>
  <r>
    <x v="2"/>
    <x v="3"/>
    <n v="202"/>
    <n v="92"/>
    <n v="56"/>
    <n v="33"/>
    <n v="21"/>
    <n v="160"/>
    <n v="97"/>
    <n v="88930"/>
  </r>
  <r>
    <x v="2"/>
    <x v="4"/>
    <n v="1398"/>
    <n v="746"/>
    <n v="316"/>
    <n v="195"/>
    <n v="141"/>
    <n v="1815"/>
    <n v="14"/>
    <n v="477940"/>
  </r>
  <r>
    <x v="2"/>
    <x v="5"/>
    <n v="90"/>
    <n v="58"/>
    <n v="16"/>
    <n v="11"/>
    <n v="5"/>
    <n v="120"/>
    <n v="3"/>
    <n v="51500"/>
  </r>
  <r>
    <x v="2"/>
    <x v="6"/>
    <n v="266"/>
    <n v="106"/>
    <n v="57"/>
    <n v="84"/>
    <n v="19"/>
    <n v="184"/>
    <n v="73"/>
    <n v="151410"/>
  </r>
  <r>
    <x v="2"/>
    <x v="7"/>
    <n v="443"/>
    <n v="276"/>
    <n v="85"/>
    <n v="58"/>
    <n v="24"/>
    <n v="716"/>
    <n v="1"/>
    <n v="147200"/>
  </r>
  <r>
    <x v="2"/>
    <x v="8"/>
    <n v="261"/>
    <n v="116"/>
    <n v="63"/>
    <n v="57"/>
    <n v="25"/>
    <n v="753"/>
    <n v="15"/>
    <n v="122690"/>
  </r>
  <r>
    <x v="2"/>
    <x v="9"/>
    <n v="134"/>
    <n v="65"/>
    <n v="31"/>
    <n v="31"/>
    <n v="7"/>
    <n v="201"/>
    <n v="2"/>
    <n v="105000"/>
  </r>
  <r>
    <x v="2"/>
    <x v="10"/>
    <n v="219"/>
    <n v="98"/>
    <n v="42"/>
    <n v="24"/>
    <n v="55"/>
    <n v="289"/>
    <n v="30"/>
    <n v="99920"/>
  </r>
  <r>
    <x v="2"/>
    <x v="11"/>
    <n v="147"/>
    <n v="68"/>
    <n v="30"/>
    <n v="34"/>
    <n v="15"/>
    <n v="190"/>
    <n v="6"/>
    <n v="90810"/>
  </r>
  <r>
    <x v="2"/>
    <x v="12"/>
    <n v="283"/>
    <n v="119"/>
    <n v="75"/>
    <n v="53"/>
    <n v="36"/>
    <n v="571"/>
    <n v="11"/>
    <n v="156250"/>
  </r>
  <r>
    <x v="2"/>
    <x v="13"/>
    <n v="632"/>
    <n v="303"/>
    <n v="133"/>
    <n v="120"/>
    <n v="76"/>
    <n v="986"/>
    <n v="39"/>
    <n v="365300"/>
  </r>
  <r>
    <x v="2"/>
    <x v="14"/>
    <n v="2179"/>
    <n v="1213"/>
    <n v="511"/>
    <n v="351"/>
    <n v="104"/>
    <n v="2828"/>
    <n v="6"/>
    <n v="593060"/>
  </r>
  <r>
    <x v="2"/>
    <x v="15"/>
    <n v="405"/>
    <n v="143"/>
    <n v="88"/>
    <n v="87"/>
    <n v="87"/>
    <n v="664"/>
    <n v="334"/>
    <n v="232730"/>
  </r>
  <r>
    <x v="2"/>
    <x v="16"/>
    <n v="223"/>
    <n v="108"/>
    <n v="43"/>
    <n v="53"/>
    <n v="19"/>
    <n v="648"/>
    <n v="7"/>
    <n v="81220"/>
  </r>
  <r>
    <x v="2"/>
    <x v="17"/>
    <n v="199"/>
    <n v="79"/>
    <n v="40"/>
    <n v="44"/>
    <n v="36"/>
    <n v="376"/>
    <n v="7"/>
    <n v="83450"/>
  </r>
  <r>
    <x v="2"/>
    <x v="18"/>
    <n v="146"/>
    <n v="75"/>
    <n v="35"/>
    <n v="22"/>
    <n v="14"/>
    <n v="191"/>
    <n v="56"/>
    <n v="93470"/>
  </r>
  <r>
    <x v="2"/>
    <x v="19"/>
    <n v="39"/>
    <n v="17"/>
    <n v="5"/>
    <n v="7"/>
    <n v="10"/>
    <n v="74"/>
    <n v="81"/>
    <n v="27690"/>
  </r>
  <r>
    <x v="2"/>
    <x v="20"/>
    <n v="282"/>
    <n v="142"/>
    <n v="68"/>
    <n v="49"/>
    <n v="23"/>
    <n v="641"/>
    <n v="17"/>
    <n v="138090"/>
  </r>
  <r>
    <x v="2"/>
    <x v="21"/>
    <n v="784"/>
    <n v="345"/>
    <n v="164"/>
    <n v="199"/>
    <n v="76"/>
    <n v="1962"/>
    <n v="9"/>
    <n v="337720"/>
  </r>
  <r>
    <x v="2"/>
    <x v="22"/>
    <n v="30"/>
    <n v="12"/>
    <n v="5"/>
    <n v="11"/>
    <n v="2"/>
    <n v="6"/>
    <n v="19"/>
    <n v="21420"/>
  </r>
  <r>
    <x v="2"/>
    <x v="23"/>
    <n v="307"/>
    <n v="127"/>
    <n v="72"/>
    <n v="81"/>
    <n v="27"/>
    <n v="234"/>
    <n v="83"/>
    <n v="146850"/>
  </r>
  <r>
    <x v="2"/>
    <x v="24"/>
    <n v="462"/>
    <n v="264"/>
    <n v="91"/>
    <n v="78"/>
    <n v="29"/>
    <n v="759"/>
    <n v="4"/>
    <n v="174700"/>
  </r>
  <r>
    <x v="2"/>
    <x v="25"/>
    <n v="224"/>
    <n v="95"/>
    <n v="44"/>
    <n v="42"/>
    <n v="43"/>
    <n v="126"/>
    <n v="75"/>
    <n v="113880"/>
  </r>
  <r>
    <x v="2"/>
    <x v="26"/>
    <n v="29"/>
    <n v="10"/>
    <n v="8"/>
    <n v="1"/>
    <n v="10"/>
    <n v="13"/>
    <n v="13"/>
    <n v="23240"/>
  </r>
  <r>
    <x v="2"/>
    <x v="27"/>
    <n v="184"/>
    <n v="86"/>
    <n v="40"/>
    <n v="42"/>
    <n v="16"/>
    <n v="359"/>
    <n v="28"/>
    <n v="112980"/>
  </r>
  <r>
    <x v="2"/>
    <x v="28"/>
    <n v="642"/>
    <n v="312"/>
    <n v="116"/>
    <n v="160"/>
    <n v="54"/>
    <n v="1293"/>
    <n v="29"/>
    <n v="313900"/>
  </r>
  <r>
    <x v="2"/>
    <x v="29"/>
    <n v="170"/>
    <n v="69"/>
    <n v="54"/>
    <n v="25"/>
    <n v="22"/>
    <n v="168"/>
    <n v="24"/>
    <n v="90330"/>
  </r>
  <r>
    <x v="2"/>
    <x v="30"/>
    <n v="300"/>
    <n v="148"/>
    <n v="46"/>
    <n v="87"/>
    <n v="19"/>
    <n v="510"/>
    <n v="4"/>
    <n v="90610"/>
  </r>
  <r>
    <x v="2"/>
    <x v="31"/>
    <n v="467"/>
    <n v="182"/>
    <n v="103"/>
    <n v="110"/>
    <n v="72"/>
    <n v="747"/>
    <n v="9"/>
    <n v="175300"/>
  </r>
  <r>
    <x v="3"/>
    <x v="0"/>
    <n v="559"/>
    <n v="320"/>
    <n v="132"/>
    <n v="90"/>
    <n v="17"/>
    <n v="447"/>
    <n v="8"/>
    <n v="224910"/>
  </r>
  <r>
    <x v="3"/>
    <x v="1"/>
    <n v="412"/>
    <n v="179"/>
    <n v="89"/>
    <n v="103"/>
    <n v="41"/>
    <n v="205"/>
    <n v="126"/>
    <n v="255560"/>
  </r>
  <r>
    <x v="3"/>
    <x v="2"/>
    <n v="184"/>
    <n v="86"/>
    <n v="48"/>
    <n v="37"/>
    <n v="13"/>
    <n v="137"/>
    <n v="29"/>
    <n v="116220"/>
  </r>
  <r>
    <x v="3"/>
    <x v="3"/>
    <n v="184"/>
    <n v="88"/>
    <n v="46"/>
    <n v="31"/>
    <n v="19"/>
    <n v="148"/>
    <n v="99"/>
    <n v="86910"/>
  </r>
  <r>
    <x v="3"/>
    <x v="4"/>
    <n v="1186"/>
    <n v="700"/>
    <n v="257"/>
    <n v="141"/>
    <n v="88"/>
    <n v="1223"/>
    <n v="11"/>
    <n v="482630"/>
  </r>
  <r>
    <x v="3"/>
    <x v="5"/>
    <n v="83"/>
    <n v="44"/>
    <n v="22"/>
    <n v="8"/>
    <n v="9"/>
    <n v="96"/>
    <n v="4"/>
    <n v="51280"/>
  </r>
  <r>
    <x v="3"/>
    <x v="6"/>
    <n v="237"/>
    <n v="106"/>
    <n v="65"/>
    <n v="55"/>
    <n v="11"/>
    <n v="125"/>
    <n v="107"/>
    <n v="150840"/>
  </r>
  <r>
    <x v="3"/>
    <x v="7"/>
    <n v="396"/>
    <n v="269"/>
    <n v="74"/>
    <n v="38"/>
    <n v="15"/>
    <n v="413"/>
    <m/>
    <n v="147780"/>
  </r>
  <r>
    <x v="3"/>
    <x v="8"/>
    <n v="230"/>
    <n v="108"/>
    <n v="53"/>
    <n v="51"/>
    <n v="18"/>
    <n v="675"/>
    <n v="19"/>
    <n v="122730"/>
  </r>
  <r>
    <x v="3"/>
    <x v="9"/>
    <n v="154"/>
    <n v="70"/>
    <n v="42"/>
    <n v="36"/>
    <n v="6"/>
    <n v="145"/>
    <n v="4"/>
    <n v="105880"/>
  </r>
  <r>
    <x v="3"/>
    <x v="10"/>
    <n v="186"/>
    <n v="103"/>
    <n v="36"/>
    <n v="31"/>
    <n v="16"/>
    <n v="128"/>
    <n v="23"/>
    <n v="100860"/>
  </r>
  <r>
    <x v="3"/>
    <x v="11"/>
    <n v="138"/>
    <n v="75"/>
    <n v="30"/>
    <n v="24"/>
    <n v="9"/>
    <n v="177"/>
    <n v="9"/>
    <n v="91040"/>
  </r>
  <r>
    <x v="3"/>
    <x v="12"/>
    <n v="222"/>
    <n v="103"/>
    <n v="53"/>
    <n v="47"/>
    <n v="19"/>
    <n v="374"/>
    <n v="3"/>
    <n v="156800"/>
  </r>
  <r>
    <x v="3"/>
    <x v="13"/>
    <n v="626"/>
    <n v="298"/>
    <n v="132"/>
    <n v="128"/>
    <n v="68"/>
    <n v="693"/>
    <n v="39"/>
    <n v="366210"/>
  </r>
  <r>
    <x v="3"/>
    <x v="14"/>
    <n v="1883"/>
    <n v="1040"/>
    <n v="428"/>
    <n v="306"/>
    <n v="109"/>
    <n v="2475"/>
    <n v="8"/>
    <n v="595070"/>
  </r>
  <r>
    <x v="3"/>
    <x v="15"/>
    <n v="354"/>
    <n v="132"/>
    <n v="88"/>
    <n v="91"/>
    <n v="43"/>
    <n v="504"/>
    <n v="400"/>
    <n v="232890"/>
  </r>
  <r>
    <x v="3"/>
    <x v="16"/>
    <n v="180"/>
    <n v="98"/>
    <n v="27"/>
    <n v="43"/>
    <n v="12"/>
    <n v="513"/>
    <n v="3"/>
    <n v="80690"/>
  </r>
  <r>
    <x v="3"/>
    <x v="17"/>
    <n v="168"/>
    <n v="93"/>
    <n v="29"/>
    <n v="24"/>
    <n v="22"/>
    <n v="166"/>
    <n v="19"/>
    <n v="84240"/>
  </r>
  <r>
    <x v="3"/>
    <x v="18"/>
    <n v="125"/>
    <n v="57"/>
    <n v="32"/>
    <n v="22"/>
    <n v="14"/>
    <n v="105"/>
    <n v="63"/>
    <n v="92930"/>
  </r>
  <r>
    <x v="3"/>
    <x v="19"/>
    <n v="66"/>
    <n v="23"/>
    <n v="9"/>
    <n v="16"/>
    <n v="18"/>
    <n v="130"/>
    <n v="79"/>
    <n v="27560"/>
  </r>
  <r>
    <x v="3"/>
    <x v="20"/>
    <n v="256"/>
    <n v="154"/>
    <n v="46"/>
    <n v="40"/>
    <n v="16"/>
    <n v="632"/>
    <n v="17"/>
    <n v="137570"/>
  </r>
  <r>
    <x v="3"/>
    <x v="21"/>
    <n v="713"/>
    <n v="360"/>
    <n v="143"/>
    <n v="160"/>
    <n v="50"/>
    <n v="1513"/>
    <n v="4"/>
    <n v="337890"/>
  </r>
  <r>
    <x v="3"/>
    <x v="22"/>
    <n v="31"/>
    <n v="10"/>
    <n v="6"/>
    <n v="12"/>
    <n v="3"/>
    <n v="7"/>
    <n v="18"/>
    <n v="21530"/>
  </r>
  <r>
    <x v="3"/>
    <x v="23"/>
    <n v="268"/>
    <n v="121"/>
    <n v="68"/>
    <n v="64"/>
    <n v="15"/>
    <n v="131"/>
    <n v="85"/>
    <n v="147740"/>
  </r>
  <r>
    <x v="3"/>
    <x v="24"/>
    <n v="428"/>
    <n v="260"/>
    <n v="82"/>
    <n v="62"/>
    <n v="24"/>
    <n v="634"/>
    <n v="4"/>
    <n v="174300"/>
  </r>
  <r>
    <x v="3"/>
    <x v="25"/>
    <n v="193"/>
    <n v="107"/>
    <n v="25"/>
    <n v="41"/>
    <n v="20"/>
    <n v="65"/>
    <n v="100"/>
    <n v="113720"/>
  </r>
  <r>
    <x v="3"/>
    <x v="26"/>
    <n v="30"/>
    <n v="18"/>
    <n v="6"/>
    <n v="1"/>
    <n v="5"/>
    <n v="13"/>
    <n v="11"/>
    <n v="23210"/>
  </r>
  <r>
    <x v="3"/>
    <x v="27"/>
    <n v="212"/>
    <n v="111"/>
    <n v="51"/>
    <n v="35"/>
    <n v="15"/>
    <n v="299"/>
    <n v="21"/>
    <n v="112920"/>
  </r>
  <r>
    <x v="3"/>
    <x v="28"/>
    <n v="598"/>
    <n v="292"/>
    <n v="127"/>
    <n v="147"/>
    <n v="32"/>
    <n v="1087"/>
    <n v="27"/>
    <n v="314330"/>
  </r>
  <r>
    <x v="3"/>
    <x v="29"/>
    <n v="138"/>
    <n v="57"/>
    <n v="43"/>
    <n v="27"/>
    <n v="11"/>
    <n v="127"/>
    <n v="27"/>
    <n v="91010"/>
  </r>
  <r>
    <x v="3"/>
    <x v="30"/>
    <n v="273"/>
    <n v="146"/>
    <n v="44"/>
    <n v="65"/>
    <n v="18"/>
    <n v="446"/>
    <n v="6"/>
    <n v="90340"/>
  </r>
  <r>
    <x v="3"/>
    <x v="31"/>
    <n v="373"/>
    <n v="201"/>
    <n v="75"/>
    <n v="58"/>
    <n v="39"/>
    <n v="440"/>
    <n v="8"/>
    <n v="176010"/>
  </r>
  <r>
    <x v="4"/>
    <x v="0"/>
    <n v="557"/>
    <n v="294"/>
    <n v="142"/>
    <n v="97"/>
    <n v="24"/>
    <n v="430"/>
    <n v="19"/>
    <n v="227070"/>
  </r>
  <r>
    <x v="4"/>
    <x v="1"/>
    <n v="412"/>
    <n v="182"/>
    <n v="88"/>
    <n v="97"/>
    <n v="45"/>
    <n v="301"/>
    <n v="106"/>
    <n v="257770"/>
  </r>
  <r>
    <x v="4"/>
    <x v="2"/>
    <n v="173"/>
    <n v="80"/>
    <n v="45"/>
    <n v="33"/>
    <n v="15"/>
    <n v="199"/>
    <n v="30"/>
    <n v="116290"/>
  </r>
  <r>
    <x v="4"/>
    <x v="3"/>
    <n v="174"/>
    <n v="88"/>
    <n v="46"/>
    <n v="28"/>
    <n v="12"/>
    <n v="133"/>
    <n v="80"/>
    <n v="88050"/>
  </r>
  <r>
    <x v="4"/>
    <x v="4"/>
    <n v="1171"/>
    <n v="607"/>
    <n v="267"/>
    <n v="202"/>
    <n v="95"/>
    <n v="1460"/>
    <n v="22"/>
    <n v="487460"/>
  </r>
  <r>
    <x v="4"/>
    <x v="5"/>
    <n v="94"/>
    <n v="42"/>
    <n v="21"/>
    <n v="10"/>
    <n v="21"/>
    <n v="110"/>
    <n v="6"/>
    <n v="51280"/>
  </r>
  <r>
    <x v="4"/>
    <x v="6"/>
    <n v="245"/>
    <n v="112"/>
    <n v="57"/>
    <n v="61"/>
    <n v="15"/>
    <n v="172"/>
    <n v="80"/>
    <n v="150280"/>
  </r>
  <r>
    <x v="4"/>
    <x v="7"/>
    <n v="330"/>
    <n v="220"/>
    <n v="59"/>
    <n v="40"/>
    <n v="11"/>
    <n v="647"/>
    <n v="4"/>
    <n v="148100"/>
  </r>
  <r>
    <x v="4"/>
    <x v="8"/>
    <n v="217"/>
    <n v="107"/>
    <n v="44"/>
    <n v="43"/>
    <n v="23"/>
    <n v="693"/>
    <n v="18"/>
    <n v="122430"/>
  </r>
  <r>
    <x v="4"/>
    <x v="9"/>
    <n v="125"/>
    <n v="57"/>
    <n v="28"/>
    <n v="33"/>
    <n v="7"/>
    <n v="221"/>
    <n v="6"/>
    <n v="105840"/>
  </r>
  <r>
    <x v="4"/>
    <x v="10"/>
    <n v="172"/>
    <n v="83"/>
    <n v="37"/>
    <n v="33"/>
    <n v="19"/>
    <n v="237"/>
    <n v="25"/>
    <n v="101390"/>
  </r>
  <r>
    <x v="4"/>
    <x v="11"/>
    <n v="122"/>
    <n v="64"/>
    <n v="25"/>
    <n v="25"/>
    <n v="8"/>
    <n v="154"/>
    <n v="3"/>
    <n v="91530"/>
  </r>
  <r>
    <x v="4"/>
    <x v="12"/>
    <n v="293"/>
    <n v="130"/>
    <n v="70"/>
    <n v="47"/>
    <n v="46"/>
    <n v="499"/>
    <n v="8"/>
    <n v="157160"/>
  </r>
  <r>
    <x v="4"/>
    <x v="13"/>
    <n v="512"/>
    <n v="231"/>
    <n v="127"/>
    <n v="96"/>
    <n v="58"/>
    <n v="801"/>
    <n v="30"/>
    <n v="366900"/>
  </r>
  <r>
    <x v="4"/>
    <x v="14"/>
    <n v="1684"/>
    <n v="916"/>
    <n v="425"/>
    <n v="268"/>
    <n v="75"/>
    <n v="2842"/>
    <n v="10"/>
    <n v="596520"/>
  </r>
  <r>
    <x v="4"/>
    <x v="15"/>
    <n v="366"/>
    <n v="143"/>
    <n v="85"/>
    <n v="77"/>
    <n v="61"/>
    <n v="556"/>
    <n v="270"/>
    <n v="232930"/>
  </r>
  <r>
    <x v="4"/>
    <x v="16"/>
    <n v="190"/>
    <n v="106"/>
    <n v="31"/>
    <n v="39"/>
    <n v="14"/>
    <n v="447"/>
    <n v="2"/>
    <n v="80340"/>
  </r>
  <r>
    <x v="4"/>
    <x v="17"/>
    <n v="152"/>
    <n v="66"/>
    <n v="30"/>
    <n v="25"/>
    <n v="31"/>
    <n v="336"/>
    <n v="10"/>
    <n v="84710"/>
  </r>
  <r>
    <x v="4"/>
    <x v="18"/>
    <n v="164"/>
    <n v="74"/>
    <n v="45"/>
    <n v="32"/>
    <n v="13"/>
    <n v="128"/>
    <n v="47"/>
    <n v="94360"/>
  </r>
  <r>
    <x v="4"/>
    <x v="19"/>
    <n v="33"/>
    <n v="11"/>
    <n v="9"/>
    <n v="4"/>
    <n v="9"/>
    <n v="87"/>
    <n v="62"/>
    <n v="27400"/>
  </r>
  <r>
    <x v="4"/>
    <x v="20"/>
    <n v="236"/>
    <n v="148"/>
    <n v="42"/>
    <n v="30"/>
    <n v="16"/>
    <n v="553"/>
    <n v="15"/>
    <n v="136940"/>
  </r>
  <r>
    <x v="4"/>
    <x v="21"/>
    <n v="675"/>
    <n v="315"/>
    <n v="135"/>
    <n v="167"/>
    <n v="58"/>
    <n v="1844"/>
    <n v="5"/>
    <n v="337780"/>
  </r>
  <r>
    <x v="4"/>
    <x v="22"/>
    <n v="30"/>
    <n v="10"/>
    <n v="11"/>
    <n v="3"/>
    <n v="6"/>
    <n v="13"/>
    <n v="17"/>
    <n v="21560"/>
  </r>
  <r>
    <x v="4"/>
    <x v="23"/>
    <n v="226"/>
    <n v="105"/>
    <n v="58"/>
    <n v="46"/>
    <n v="17"/>
    <n v="128"/>
    <n v="73"/>
    <n v="147770"/>
  </r>
  <r>
    <x v="4"/>
    <x v="24"/>
    <n v="447"/>
    <n v="262"/>
    <n v="77"/>
    <n v="85"/>
    <n v="23"/>
    <n v="523"/>
    <n v="2"/>
    <n v="173890"/>
  </r>
  <r>
    <x v="4"/>
    <x v="25"/>
    <n v="204"/>
    <n v="110"/>
    <n v="29"/>
    <n v="34"/>
    <n v="31"/>
    <n v="107"/>
    <n v="65"/>
    <n v="113880"/>
  </r>
  <r>
    <x v="4"/>
    <x v="26"/>
    <n v="26"/>
    <n v="11"/>
    <n v="4"/>
    <n v="7"/>
    <n v="4"/>
    <n v="9"/>
    <n v="16"/>
    <n v="23200"/>
  </r>
  <r>
    <x v="4"/>
    <x v="27"/>
    <n v="181"/>
    <n v="93"/>
    <n v="48"/>
    <n v="30"/>
    <n v="10"/>
    <n v="294"/>
    <n v="17"/>
    <n v="112870"/>
  </r>
  <r>
    <x v="4"/>
    <x v="28"/>
    <n v="500"/>
    <n v="263"/>
    <n v="97"/>
    <n v="97"/>
    <n v="43"/>
    <n v="1209"/>
    <n v="19"/>
    <n v="314810"/>
  </r>
  <r>
    <x v="4"/>
    <x v="29"/>
    <n v="160"/>
    <n v="72"/>
    <n v="46"/>
    <n v="29"/>
    <n v="13"/>
    <n v="130"/>
    <n v="27"/>
    <n v="91230"/>
  </r>
  <r>
    <x v="4"/>
    <x v="30"/>
    <n v="236"/>
    <n v="133"/>
    <n v="37"/>
    <n v="52"/>
    <n v="14"/>
    <n v="496"/>
    <n v="4"/>
    <n v="89800"/>
  </r>
  <r>
    <x v="4"/>
    <x v="31"/>
    <n v="414"/>
    <n v="188"/>
    <n v="81"/>
    <n v="68"/>
    <n v="77"/>
    <n v="602"/>
    <n v="9"/>
    <n v="176160"/>
  </r>
  <r>
    <x v="5"/>
    <x v="0"/>
    <n v="547"/>
    <n v="320"/>
    <n v="125"/>
    <n v="82"/>
    <n v="20"/>
    <n v="402"/>
    <n v="12"/>
    <n v="228920"/>
  </r>
  <r>
    <x v="5"/>
    <x v="1"/>
    <n v="433"/>
    <n v="200"/>
    <n v="108"/>
    <n v="89"/>
    <n v="36"/>
    <n v="221"/>
    <n v="98"/>
    <n v="260530"/>
  </r>
  <r>
    <x v="5"/>
    <x v="2"/>
    <n v="190"/>
    <n v="113"/>
    <n v="35"/>
    <n v="29"/>
    <n v="13"/>
    <n v="161"/>
    <n v="27"/>
    <n v="116740"/>
  </r>
  <r>
    <x v="5"/>
    <x v="3"/>
    <n v="159"/>
    <n v="88"/>
    <n v="36"/>
    <n v="24"/>
    <n v="11"/>
    <n v="88"/>
    <n v="42"/>
    <n v="87650"/>
  </r>
  <r>
    <x v="5"/>
    <x v="4"/>
    <n v="1221"/>
    <n v="663"/>
    <n v="273"/>
    <n v="198"/>
    <n v="87"/>
    <n v="1354"/>
    <n v="13"/>
    <n v="492610"/>
  </r>
  <r>
    <x v="5"/>
    <x v="5"/>
    <n v="97"/>
    <n v="49"/>
    <n v="23"/>
    <n v="12"/>
    <n v="13"/>
    <n v="85"/>
    <n v="5"/>
    <n v="51190"/>
  </r>
  <r>
    <x v="5"/>
    <x v="6"/>
    <n v="205"/>
    <n v="98"/>
    <n v="49"/>
    <n v="47"/>
    <n v="11"/>
    <n v="143"/>
    <n v="61"/>
    <n v="149960"/>
  </r>
  <r>
    <x v="5"/>
    <x v="7"/>
    <n v="343"/>
    <n v="214"/>
    <n v="69"/>
    <n v="37"/>
    <n v="23"/>
    <n v="598"/>
    <n v="4"/>
    <n v="148130"/>
  </r>
  <r>
    <x v="5"/>
    <x v="8"/>
    <n v="202"/>
    <n v="113"/>
    <n v="37"/>
    <n v="37"/>
    <n v="15"/>
    <n v="444"/>
    <n v="15"/>
    <n v="122130"/>
  </r>
  <r>
    <x v="5"/>
    <x v="9"/>
    <n v="141"/>
    <n v="73"/>
    <n v="25"/>
    <n v="31"/>
    <n v="12"/>
    <n v="178"/>
    <n v="3"/>
    <n v="106710"/>
  </r>
  <r>
    <x v="5"/>
    <x v="10"/>
    <n v="191"/>
    <n v="75"/>
    <n v="44"/>
    <n v="37"/>
    <n v="35"/>
    <n v="144"/>
    <n v="10"/>
    <n v="102090"/>
  </r>
  <r>
    <x v="5"/>
    <x v="11"/>
    <n v="104"/>
    <n v="70"/>
    <n v="17"/>
    <n v="13"/>
    <n v="4"/>
    <n v="132"/>
    <n v="8"/>
    <n v="92410"/>
  </r>
  <r>
    <x v="5"/>
    <x v="12"/>
    <n v="271"/>
    <n v="123"/>
    <n v="46"/>
    <n v="46"/>
    <n v="56"/>
    <n v="383"/>
    <n v="6"/>
    <n v="157690"/>
  </r>
  <r>
    <x v="5"/>
    <x v="13"/>
    <n v="517"/>
    <n v="251"/>
    <n v="121"/>
    <n v="103"/>
    <n v="42"/>
    <n v="681"/>
    <n v="33"/>
    <n v="367250"/>
  </r>
  <r>
    <x v="5"/>
    <x v="14"/>
    <n v="1691"/>
    <n v="943"/>
    <n v="394"/>
    <n v="286"/>
    <n v="68"/>
    <n v="2626"/>
    <n v="3"/>
    <n v="599640"/>
  </r>
  <r>
    <x v="5"/>
    <x v="15"/>
    <n v="367"/>
    <n v="163"/>
    <n v="71"/>
    <n v="80"/>
    <n v="53"/>
    <n v="337"/>
    <n v="279"/>
    <n v="233080"/>
  </r>
  <r>
    <x v="5"/>
    <x v="16"/>
    <n v="200"/>
    <n v="113"/>
    <n v="35"/>
    <n v="33"/>
    <n v="19"/>
    <n v="391"/>
    <n v="1"/>
    <n v="79890"/>
  </r>
  <r>
    <x v="5"/>
    <x v="17"/>
    <n v="169"/>
    <n v="71"/>
    <n v="36"/>
    <n v="28"/>
    <n v="34"/>
    <n v="257"/>
    <n v="13"/>
    <n v="86220"/>
  </r>
  <r>
    <x v="5"/>
    <x v="18"/>
    <n v="142"/>
    <n v="59"/>
    <n v="43"/>
    <n v="25"/>
    <n v="15"/>
    <n v="104"/>
    <n v="38"/>
    <n v="94770"/>
  </r>
  <r>
    <x v="5"/>
    <x v="19"/>
    <n v="53"/>
    <n v="22"/>
    <n v="7"/>
    <n v="7"/>
    <n v="17"/>
    <n v="41"/>
    <n v="57"/>
    <n v="27250"/>
  </r>
  <r>
    <x v="5"/>
    <x v="20"/>
    <n v="284"/>
    <n v="168"/>
    <n v="56"/>
    <n v="38"/>
    <n v="22"/>
    <n v="419"/>
    <n v="22"/>
    <n v="136480"/>
  </r>
  <r>
    <x v="5"/>
    <x v="21"/>
    <n v="661"/>
    <n v="345"/>
    <n v="126"/>
    <n v="149"/>
    <n v="41"/>
    <n v="1415"/>
    <n v="4"/>
    <n v="338000"/>
  </r>
  <r>
    <x v="5"/>
    <x v="22"/>
    <n v="39"/>
    <n v="15"/>
    <n v="6"/>
    <n v="13"/>
    <n v="5"/>
    <n v="7"/>
    <n v="12"/>
    <n v="21580"/>
  </r>
  <r>
    <x v="5"/>
    <x v="23"/>
    <n v="262"/>
    <n v="131"/>
    <n v="70"/>
    <n v="48"/>
    <n v="13"/>
    <n v="116"/>
    <n v="61"/>
    <n v="148930"/>
  </r>
  <r>
    <x v="5"/>
    <x v="24"/>
    <n v="418"/>
    <n v="247"/>
    <n v="86"/>
    <n v="61"/>
    <n v="24"/>
    <n v="492"/>
    <n v="4"/>
    <n v="174230"/>
  </r>
  <r>
    <x v="5"/>
    <x v="25"/>
    <n v="179"/>
    <n v="83"/>
    <n v="42"/>
    <n v="34"/>
    <n v="20"/>
    <n v="93"/>
    <n v="77"/>
    <n v="114040"/>
  </r>
  <r>
    <x v="5"/>
    <x v="26"/>
    <n v="42"/>
    <n v="11"/>
    <n v="17"/>
    <n v="5"/>
    <n v="9"/>
    <n v="9"/>
    <n v="6"/>
    <n v="23220"/>
  </r>
  <r>
    <x v="5"/>
    <x v="27"/>
    <n v="188"/>
    <n v="91"/>
    <n v="53"/>
    <n v="34"/>
    <n v="10"/>
    <n v="222"/>
    <n v="20"/>
    <n v="112530"/>
  </r>
  <r>
    <x v="5"/>
    <x v="28"/>
    <n v="585"/>
    <n v="304"/>
    <n v="113"/>
    <n v="126"/>
    <n v="42"/>
    <n v="884"/>
    <n v="20"/>
    <n v="315300"/>
  </r>
  <r>
    <x v="5"/>
    <x v="29"/>
    <n v="179"/>
    <n v="87"/>
    <n v="40"/>
    <n v="35"/>
    <n v="17"/>
    <n v="126"/>
    <n v="20"/>
    <n v="91520"/>
  </r>
  <r>
    <x v="5"/>
    <x v="30"/>
    <n v="176"/>
    <n v="98"/>
    <n v="34"/>
    <n v="36"/>
    <n v="8"/>
    <n v="326"/>
    <m/>
    <n v="89710"/>
  </r>
  <r>
    <x v="5"/>
    <x v="31"/>
    <n v="377"/>
    <n v="173"/>
    <n v="87"/>
    <n v="74"/>
    <n v="43"/>
    <n v="527"/>
    <n v="11"/>
    <n v="177200"/>
  </r>
  <r>
    <x v="6"/>
    <x v="0"/>
    <n v="553"/>
    <n v="334"/>
    <n v="121"/>
    <n v="80"/>
    <n v="18"/>
    <n v="441"/>
    <n v="10"/>
    <n v="230350"/>
  </r>
  <r>
    <x v="6"/>
    <x v="1"/>
    <n v="404"/>
    <n v="192"/>
    <n v="83"/>
    <n v="90"/>
    <n v="39"/>
    <n v="184"/>
    <n v="77"/>
    <n v="261960"/>
  </r>
  <r>
    <x v="6"/>
    <x v="2"/>
    <n v="181"/>
    <n v="95"/>
    <n v="42"/>
    <n v="32"/>
    <n v="12"/>
    <n v="147"/>
    <n v="21"/>
    <n v="116900"/>
  </r>
  <r>
    <x v="6"/>
    <x v="3"/>
    <n v="137"/>
    <n v="64"/>
    <n v="38"/>
    <n v="21"/>
    <n v="14"/>
    <n v="68"/>
    <n v="67"/>
    <n v="86890"/>
  </r>
  <r>
    <x v="6"/>
    <x v="4"/>
    <n v="1223"/>
    <n v="633"/>
    <n v="288"/>
    <n v="203"/>
    <n v="99"/>
    <n v="1893"/>
    <n v="9"/>
    <n v="498810"/>
  </r>
  <r>
    <x v="6"/>
    <x v="5"/>
    <n v="112"/>
    <n v="75"/>
    <n v="23"/>
    <n v="4"/>
    <n v="10"/>
    <n v="102"/>
    <n v="4"/>
    <n v="51360"/>
  </r>
  <r>
    <x v="6"/>
    <x v="6"/>
    <n v="228"/>
    <n v="94"/>
    <n v="44"/>
    <n v="67"/>
    <n v="23"/>
    <n v="155"/>
    <n v="58"/>
    <n v="149670"/>
  </r>
  <r>
    <x v="6"/>
    <x v="7"/>
    <n v="383"/>
    <n v="256"/>
    <n v="78"/>
    <n v="40"/>
    <n v="9"/>
    <n v="680"/>
    <n v="3"/>
    <n v="148210"/>
  </r>
  <r>
    <x v="6"/>
    <x v="8"/>
    <n v="219"/>
    <n v="104"/>
    <n v="54"/>
    <n v="42"/>
    <n v="19"/>
    <n v="616"/>
    <n v="13"/>
    <n v="122060"/>
  </r>
  <r>
    <x v="6"/>
    <x v="9"/>
    <n v="147"/>
    <n v="77"/>
    <n v="29"/>
    <n v="31"/>
    <n v="10"/>
    <n v="171"/>
    <n v="1"/>
    <n v="106960"/>
  </r>
  <r>
    <x v="6"/>
    <x v="10"/>
    <n v="197"/>
    <n v="85"/>
    <n v="35"/>
    <n v="50"/>
    <n v="27"/>
    <n v="195"/>
    <n v="27"/>
    <n v="103050"/>
  </r>
  <r>
    <x v="6"/>
    <x v="11"/>
    <n v="131"/>
    <n v="71"/>
    <n v="33"/>
    <n v="16"/>
    <n v="11"/>
    <n v="147"/>
    <n v="3"/>
    <n v="92940"/>
  </r>
  <r>
    <x v="6"/>
    <x v="12"/>
    <n v="307"/>
    <n v="134"/>
    <n v="71"/>
    <n v="55"/>
    <n v="47"/>
    <n v="343"/>
    <n v="5"/>
    <n v="158460"/>
  </r>
  <r>
    <x v="6"/>
    <x v="13"/>
    <n v="577"/>
    <n v="278"/>
    <n v="134"/>
    <n v="117"/>
    <n v="48"/>
    <n v="740"/>
    <n v="29"/>
    <n v="368080"/>
  </r>
  <r>
    <x v="6"/>
    <x v="14"/>
    <n v="1738"/>
    <n v="960"/>
    <n v="408"/>
    <n v="291"/>
    <n v="79"/>
    <n v="2436"/>
    <n v="10"/>
    <n v="606340"/>
  </r>
  <r>
    <x v="6"/>
    <x v="15"/>
    <n v="374"/>
    <n v="129"/>
    <n v="102"/>
    <n v="87"/>
    <n v="56"/>
    <n v="342"/>
    <n v="241"/>
    <n v="234110"/>
  </r>
  <r>
    <x v="6"/>
    <x v="16"/>
    <n v="215"/>
    <n v="129"/>
    <n v="37"/>
    <n v="32"/>
    <n v="17"/>
    <n v="405"/>
    <n v="2"/>
    <n v="79500"/>
  </r>
  <r>
    <x v="6"/>
    <x v="17"/>
    <n v="170"/>
    <n v="69"/>
    <n v="32"/>
    <n v="29"/>
    <n v="40"/>
    <n v="301"/>
    <n v="14"/>
    <n v="87390"/>
  </r>
  <r>
    <x v="6"/>
    <x v="18"/>
    <n v="125"/>
    <n v="50"/>
    <n v="36"/>
    <n v="28"/>
    <n v="11"/>
    <n v="95"/>
    <n v="29"/>
    <n v="95510"/>
  </r>
  <r>
    <x v="6"/>
    <x v="19"/>
    <n v="41"/>
    <n v="20"/>
    <n v="7"/>
    <n v="9"/>
    <n v="5"/>
    <n v="30"/>
    <n v="38"/>
    <n v="27070"/>
  </r>
  <r>
    <x v="6"/>
    <x v="20"/>
    <n v="284"/>
    <n v="176"/>
    <n v="63"/>
    <n v="34"/>
    <n v="11"/>
    <n v="507"/>
    <n v="16"/>
    <n v="136130"/>
  </r>
  <r>
    <x v="6"/>
    <x v="21"/>
    <n v="655"/>
    <n v="336"/>
    <n v="140"/>
    <n v="146"/>
    <n v="33"/>
    <n v="1540"/>
    <n v="4"/>
    <n v="338260"/>
  </r>
  <r>
    <x v="6"/>
    <x v="22"/>
    <n v="37"/>
    <n v="11"/>
    <n v="9"/>
    <n v="11"/>
    <n v="6"/>
    <n v="13"/>
    <n v="13"/>
    <n v="21670"/>
  </r>
  <r>
    <x v="6"/>
    <x v="23"/>
    <n v="269"/>
    <n v="122"/>
    <n v="74"/>
    <n v="50"/>
    <n v="23"/>
    <n v="144"/>
    <n v="67"/>
    <n v="149930"/>
  </r>
  <r>
    <x v="6"/>
    <x v="24"/>
    <n v="406"/>
    <n v="242"/>
    <n v="89"/>
    <n v="56"/>
    <n v="19"/>
    <n v="566"/>
    <n v="5"/>
    <n v="174560"/>
  </r>
  <r>
    <x v="6"/>
    <x v="25"/>
    <n v="226"/>
    <n v="109"/>
    <n v="48"/>
    <n v="32"/>
    <n v="37"/>
    <n v="92"/>
    <n v="55"/>
    <n v="114030"/>
  </r>
  <r>
    <x v="6"/>
    <x v="26"/>
    <n v="37"/>
    <n v="19"/>
    <n v="4"/>
    <n v="7"/>
    <n v="7"/>
    <n v="11"/>
    <n v="11"/>
    <n v="23200"/>
  </r>
  <r>
    <x v="6"/>
    <x v="27"/>
    <n v="189"/>
    <n v="101"/>
    <n v="54"/>
    <n v="30"/>
    <n v="4"/>
    <n v="211"/>
    <n v="16"/>
    <n v="112400"/>
  </r>
  <r>
    <x v="6"/>
    <x v="28"/>
    <n v="539"/>
    <n v="294"/>
    <n v="99"/>
    <n v="123"/>
    <n v="23"/>
    <n v="906"/>
    <n v="14"/>
    <n v="316230"/>
  </r>
  <r>
    <x v="6"/>
    <x v="29"/>
    <n v="232"/>
    <n v="108"/>
    <n v="72"/>
    <n v="34"/>
    <n v="18"/>
    <n v="209"/>
    <n v="23"/>
    <n v="92830"/>
  </r>
  <r>
    <x v="6"/>
    <x v="30"/>
    <n v="270"/>
    <n v="156"/>
    <n v="59"/>
    <n v="40"/>
    <n v="15"/>
    <n v="312"/>
    <n v="1"/>
    <n v="89590"/>
  </r>
  <r>
    <x v="6"/>
    <x v="31"/>
    <n v="400"/>
    <n v="150"/>
    <n v="88"/>
    <n v="78"/>
    <n v="84"/>
    <n v="730"/>
    <n v="4"/>
    <n v="178550"/>
  </r>
  <r>
    <x v="7"/>
    <x v="0"/>
    <n v="564"/>
    <n v="350"/>
    <n v="108"/>
    <n v="84"/>
    <n v="22"/>
    <n v="315"/>
    <n v="13"/>
    <n v="229840"/>
  </r>
  <r>
    <x v="7"/>
    <x v="1"/>
    <n v="399"/>
    <n v="184"/>
    <n v="88"/>
    <n v="89"/>
    <n v="38"/>
    <n v="264"/>
    <n v="90"/>
    <n v="262190"/>
  </r>
  <r>
    <x v="7"/>
    <x v="2"/>
    <n v="186"/>
    <n v="98"/>
    <n v="28"/>
    <n v="47"/>
    <n v="13"/>
    <n v="126"/>
    <n v="11"/>
    <n v="116520"/>
  </r>
  <r>
    <x v="7"/>
    <x v="3"/>
    <n v="150"/>
    <n v="80"/>
    <n v="31"/>
    <n v="26"/>
    <n v="13"/>
    <n v="122"/>
    <n v="43"/>
    <n v="87130"/>
  </r>
  <r>
    <x v="7"/>
    <x v="4"/>
    <n v="1169"/>
    <n v="579"/>
    <n v="259"/>
    <n v="213"/>
    <n v="118"/>
    <n v="1875"/>
    <n v="10"/>
    <n v="507170"/>
  </r>
  <r>
    <x v="7"/>
    <x v="5"/>
    <n v="109"/>
    <n v="72"/>
    <n v="20"/>
    <n v="13"/>
    <n v="4"/>
    <n v="84"/>
    <n v="3"/>
    <n v="51350"/>
  </r>
  <r>
    <x v="7"/>
    <x v="6"/>
    <n v="246"/>
    <n v="118"/>
    <n v="54"/>
    <n v="54"/>
    <n v="20"/>
    <n v="169"/>
    <n v="47"/>
    <n v="149520"/>
  </r>
  <r>
    <x v="7"/>
    <x v="7"/>
    <n v="382"/>
    <n v="257"/>
    <n v="67"/>
    <n v="39"/>
    <n v="19"/>
    <n v="818"/>
    <n v="2"/>
    <n v="148270"/>
  </r>
  <r>
    <x v="7"/>
    <x v="8"/>
    <n v="255"/>
    <n v="146"/>
    <n v="55"/>
    <n v="46"/>
    <n v="8"/>
    <n v="640"/>
    <n v="12"/>
    <n v="122200"/>
  </r>
  <r>
    <x v="7"/>
    <x v="9"/>
    <n v="166"/>
    <n v="82"/>
    <n v="36"/>
    <n v="38"/>
    <n v="10"/>
    <n v="180"/>
    <n v="2"/>
    <n v="107540"/>
  </r>
  <r>
    <x v="7"/>
    <x v="10"/>
    <n v="155"/>
    <n v="59"/>
    <n v="44"/>
    <n v="27"/>
    <n v="25"/>
    <n v="255"/>
    <n v="19"/>
    <n v="104090"/>
  </r>
  <r>
    <x v="7"/>
    <x v="11"/>
    <n v="106"/>
    <n v="64"/>
    <n v="18"/>
    <n v="16"/>
    <n v="8"/>
    <n v="152"/>
    <n v="5"/>
    <n v="93810"/>
  </r>
  <r>
    <x v="7"/>
    <x v="12"/>
    <n v="281"/>
    <n v="117"/>
    <n v="65"/>
    <n v="50"/>
    <n v="49"/>
    <n v="412"/>
    <n v="5"/>
    <n v="159380"/>
  </r>
  <r>
    <x v="7"/>
    <x v="13"/>
    <n v="631"/>
    <n v="272"/>
    <n v="145"/>
    <n v="103"/>
    <n v="111"/>
    <n v="737"/>
    <n v="16"/>
    <n v="370330"/>
  </r>
  <r>
    <x v="7"/>
    <x v="14"/>
    <n v="1708"/>
    <n v="929"/>
    <n v="395"/>
    <n v="319"/>
    <n v="65"/>
    <n v="2559"/>
    <n v="5"/>
    <n v="615070"/>
  </r>
  <r>
    <x v="7"/>
    <x v="15"/>
    <n v="372"/>
    <n v="156"/>
    <n v="91"/>
    <n v="89"/>
    <n v="36"/>
    <n v="360"/>
    <n v="188"/>
    <n v="234770"/>
  </r>
  <r>
    <x v="7"/>
    <x v="16"/>
    <n v="215"/>
    <n v="131"/>
    <n v="32"/>
    <n v="43"/>
    <n v="9"/>
    <n v="569"/>
    <n v="2"/>
    <n v="79160"/>
  </r>
  <r>
    <x v="7"/>
    <x v="17"/>
    <n v="204"/>
    <n v="77"/>
    <n v="32"/>
    <n v="45"/>
    <n v="50"/>
    <n v="371"/>
    <n v="10"/>
    <n v="88610"/>
  </r>
  <r>
    <x v="7"/>
    <x v="18"/>
    <n v="128"/>
    <n v="55"/>
    <n v="29"/>
    <n v="36"/>
    <n v="8"/>
    <n v="127"/>
    <n v="38"/>
    <n v="96070"/>
  </r>
  <r>
    <x v="7"/>
    <x v="19"/>
    <n v="35"/>
    <n v="22"/>
    <n v="5"/>
    <n v="1"/>
    <n v="7"/>
    <n v="52"/>
    <n v="39"/>
    <n v="26900"/>
  </r>
  <r>
    <x v="7"/>
    <x v="20"/>
    <n v="269"/>
    <n v="167"/>
    <n v="43"/>
    <n v="32"/>
    <n v="27"/>
    <n v="621"/>
    <n v="11"/>
    <n v="135890"/>
  </r>
  <r>
    <x v="7"/>
    <x v="21"/>
    <n v="687"/>
    <n v="353"/>
    <n v="112"/>
    <n v="177"/>
    <n v="45"/>
    <n v="1484"/>
    <n v="8"/>
    <n v="339390"/>
  </r>
  <r>
    <x v="7"/>
    <x v="22"/>
    <n v="23"/>
    <n v="7"/>
    <n v="5"/>
    <n v="8"/>
    <n v="3"/>
    <n v="10"/>
    <n v="10"/>
    <n v="21850"/>
  </r>
  <r>
    <x v="7"/>
    <x v="23"/>
    <n v="288"/>
    <n v="146"/>
    <n v="70"/>
    <n v="49"/>
    <n v="23"/>
    <n v="143"/>
    <n v="47"/>
    <n v="150680"/>
  </r>
  <r>
    <x v="7"/>
    <x v="24"/>
    <n v="385"/>
    <n v="205"/>
    <n v="78"/>
    <n v="75"/>
    <n v="27"/>
    <n v="693"/>
    <n v="4"/>
    <n v="175930"/>
  </r>
  <r>
    <x v="7"/>
    <x v="25"/>
    <n v="195"/>
    <n v="91"/>
    <n v="42"/>
    <n v="36"/>
    <n v="26"/>
    <n v="102"/>
    <n v="48"/>
    <n v="114530"/>
  </r>
  <r>
    <x v="7"/>
    <x v="26"/>
    <n v="26"/>
    <n v="9"/>
    <n v="8"/>
    <n v="3"/>
    <n v="6"/>
    <n v="5"/>
    <n v="9"/>
    <n v="23200"/>
  </r>
  <r>
    <x v="7"/>
    <x v="27"/>
    <n v="188"/>
    <n v="97"/>
    <n v="44"/>
    <n v="30"/>
    <n v="17"/>
    <n v="231"/>
    <n v="19"/>
    <n v="112470"/>
  </r>
  <r>
    <x v="7"/>
    <x v="28"/>
    <n v="558"/>
    <n v="250"/>
    <n v="111"/>
    <n v="167"/>
    <n v="30"/>
    <n v="891"/>
    <n v="7"/>
    <n v="317100"/>
  </r>
  <r>
    <x v="7"/>
    <x v="29"/>
    <n v="204"/>
    <n v="86"/>
    <n v="44"/>
    <n v="44"/>
    <n v="30"/>
    <n v="185"/>
    <n v="15"/>
    <n v="93750"/>
  </r>
  <r>
    <x v="7"/>
    <x v="30"/>
    <n v="260"/>
    <n v="143"/>
    <n v="44"/>
    <n v="50"/>
    <n v="23"/>
    <n v="425"/>
    <n v="3"/>
    <n v="89860"/>
  </r>
  <r>
    <x v="7"/>
    <x v="31"/>
    <n v="350"/>
    <n v="138"/>
    <n v="74"/>
    <n v="71"/>
    <n v="67"/>
    <n v="683"/>
    <n v="9"/>
    <n v="180130"/>
  </r>
  <r>
    <x v="8"/>
    <x v="0"/>
    <n v="455"/>
    <n v="277"/>
    <n v="98"/>
    <n v="64"/>
    <n v="16"/>
    <n v="342"/>
    <n v="9"/>
    <n v="228800"/>
  </r>
  <r>
    <x v="8"/>
    <x v="1"/>
    <n v="392"/>
    <n v="167"/>
    <n v="106"/>
    <n v="78"/>
    <n v="41"/>
    <n v="215"/>
    <n v="77"/>
    <n v="261800"/>
  </r>
  <r>
    <x v="8"/>
    <x v="2"/>
    <n v="161"/>
    <n v="79"/>
    <n v="34"/>
    <n v="30"/>
    <n v="18"/>
    <n v="182"/>
    <n v="24"/>
    <n v="116280"/>
  </r>
  <r>
    <x v="8"/>
    <x v="3"/>
    <n v="188"/>
    <n v="87"/>
    <n v="51"/>
    <n v="34"/>
    <n v="16"/>
    <n v="80"/>
    <n v="46"/>
    <n v="86810"/>
  </r>
  <r>
    <x v="8"/>
    <x v="4"/>
    <n v="1045"/>
    <n v="526"/>
    <n v="240"/>
    <n v="184"/>
    <n v="95"/>
    <n v="1791"/>
    <n v="5"/>
    <n v="513210"/>
  </r>
  <r>
    <x v="8"/>
    <x v="5"/>
    <n v="93"/>
    <n v="51"/>
    <n v="21"/>
    <n v="10"/>
    <n v="11"/>
    <n v="111"/>
    <n v="2"/>
    <n v="51450"/>
  </r>
  <r>
    <x v="8"/>
    <x v="6"/>
    <n v="235"/>
    <n v="103"/>
    <n v="49"/>
    <n v="60"/>
    <n v="23"/>
    <n v="178"/>
    <n v="63"/>
    <n v="149200"/>
  </r>
  <r>
    <x v="8"/>
    <x v="7"/>
    <n v="345"/>
    <n v="215"/>
    <n v="60"/>
    <n v="46"/>
    <n v="24"/>
    <n v="774"/>
    <n v="1"/>
    <n v="148710"/>
  </r>
  <r>
    <x v="8"/>
    <x v="8"/>
    <n v="180"/>
    <n v="87"/>
    <n v="33"/>
    <n v="49"/>
    <n v="11"/>
    <n v="592"/>
    <n v="11"/>
    <n v="121940"/>
  </r>
  <r>
    <x v="8"/>
    <x v="9"/>
    <n v="158"/>
    <n v="67"/>
    <n v="34"/>
    <n v="47"/>
    <n v="10"/>
    <n v="175"/>
    <n v="4"/>
    <n v="108130"/>
  </r>
  <r>
    <x v="8"/>
    <x v="10"/>
    <n v="189"/>
    <n v="76"/>
    <n v="38"/>
    <n v="30"/>
    <n v="45"/>
    <n v="244"/>
    <n v="22"/>
    <n v="104840"/>
  </r>
  <r>
    <x v="8"/>
    <x v="11"/>
    <n v="130"/>
    <n v="84"/>
    <n v="23"/>
    <n v="19"/>
    <n v="4"/>
    <n v="165"/>
    <n v="6"/>
    <n v="94760"/>
  </r>
  <r>
    <x v="8"/>
    <x v="12"/>
    <n v="343"/>
    <n v="122"/>
    <n v="96"/>
    <n v="52"/>
    <n v="73"/>
    <n v="428"/>
    <n v="1"/>
    <n v="160130"/>
  </r>
  <r>
    <x v="8"/>
    <x v="13"/>
    <n v="664"/>
    <n v="304"/>
    <n v="155"/>
    <n v="95"/>
    <n v="110"/>
    <n v="949"/>
    <n v="25"/>
    <n v="371410"/>
  </r>
  <r>
    <x v="8"/>
    <x v="14"/>
    <n v="1710"/>
    <n v="962"/>
    <n v="368"/>
    <n v="300"/>
    <n v="80"/>
    <n v="2350"/>
    <n v="9"/>
    <n v="621020"/>
  </r>
  <r>
    <x v="8"/>
    <x v="15"/>
    <n v="357"/>
    <n v="150"/>
    <n v="88"/>
    <n v="72"/>
    <n v="47"/>
    <n v="470"/>
    <n v="184"/>
    <n v="235180"/>
  </r>
  <r>
    <x v="8"/>
    <x v="16"/>
    <n v="189"/>
    <n v="103"/>
    <n v="33"/>
    <n v="42"/>
    <n v="11"/>
    <n v="348"/>
    <m/>
    <n v="78760"/>
  </r>
  <r>
    <x v="8"/>
    <x v="17"/>
    <n v="211"/>
    <n v="70"/>
    <n v="37"/>
    <n v="43"/>
    <n v="61"/>
    <n v="391"/>
    <n v="7"/>
    <n v="90090"/>
  </r>
  <r>
    <x v="8"/>
    <x v="18"/>
    <n v="114"/>
    <n v="39"/>
    <n v="36"/>
    <n v="24"/>
    <n v="15"/>
    <n v="83"/>
    <n v="28"/>
    <n v="95780"/>
  </r>
  <r>
    <x v="8"/>
    <x v="19"/>
    <n v="37"/>
    <n v="15"/>
    <n v="8"/>
    <n v="9"/>
    <n v="5"/>
    <n v="65"/>
    <n v="45"/>
    <n v="26950"/>
  </r>
  <r>
    <x v="8"/>
    <x v="20"/>
    <n v="272"/>
    <n v="162"/>
    <n v="52"/>
    <n v="41"/>
    <n v="17"/>
    <n v="569"/>
    <n v="15"/>
    <n v="135790"/>
  </r>
  <r>
    <x v="8"/>
    <x v="21"/>
    <n v="658"/>
    <n v="307"/>
    <n v="127"/>
    <n v="191"/>
    <n v="33"/>
    <n v="1206"/>
    <m/>
    <n v="339960"/>
  </r>
  <r>
    <x v="8"/>
    <x v="22"/>
    <n v="14"/>
    <n v="6"/>
    <n v="2"/>
    <n v="5"/>
    <n v="1"/>
    <n v="9"/>
    <n v="13"/>
    <n v="22000"/>
  </r>
  <r>
    <x v="8"/>
    <x v="23"/>
    <n v="235"/>
    <n v="116"/>
    <n v="57"/>
    <n v="44"/>
    <n v="18"/>
    <n v="181"/>
    <n v="52"/>
    <n v="151100"/>
  </r>
  <r>
    <x v="8"/>
    <x v="24"/>
    <n v="396"/>
    <n v="223"/>
    <n v="70"/>
    <n v="71"/>
    <n v="32"/>
    <n v="503"/>
    <n v="7"/>
    <n v="176830"/>
  </r>
  <r>
    <x v="8"/>
    <x v="25"/>
    <n v="205"/>
    <n v="100"/>
    <n v="35"/>
    <n v="24"/>
    <n v="46"/>
    <n v="133"/>
    <n v="54"/>
    <n v="115020"/>
  </r>
  <r>
    <x v="8"/>
    <x v="26"/>
    <n v="33"/>
    <n v="13"/>
    <n v="7"/>
    <n v="5"/>
    <n v="8"/>
    <n v="11"/>
    <n v="12"/>
    <n v="23080"/>
  </r>
  <r>
    <x v="8"/>
    <x v="27"/>
    <n v="205"/>
    <n v="106"/>
    <n v="44"/>
    <n v="40"/>
    <n v="15"/>
    <n v="251"/>
    <n v="15"/>
    <n v="112680"/>
  </r>
  <r>
    <x v="8"/>
    <x v="28"/>
    <n v="584"/>
    <n v="278"/>
    <n v="115"/>
    <n v="150"/>
    <n v="41"/>
    <n v="797"/>
    <n v="7"/>
    <n v="318170"/>
  </r>
  <r>
    <x v="8"/>
    <x v="29"/>
    <n v="182"/>
    <n v="89"/>
    <n v="48"/>
    <n v="27"/>
    <n v="18"/>
    <n v="171"/>
    <n v="21"/>
    <n v="94000"/>
  </r>
  <r>
    <x v="8"/>
    <x v="30"/>
    <n v="269"/>
    <n v="158"/>
    <n v="47"/>
    <n v="53"/>
    <n v="11"/>
    <n v="241"/>
    <n v="4"/>
    <n v="89610"/>
  </r>
  <r>
    <x v="8"/>
    <x v="31"/>
    <n v="423"/>
    <n v="169"/>
    <n v="75"/>
    <n v="77"/>
    <n v="102"/>
    <n v="723"/>
    <n v="5"/>
    <n v="181310"/>
  </r>
  <r>
    <x v="9"/>
    <x v="0"/>
    <n v="494"/>
    <n v="289"/>
    <n v="118"/>
    <n v="58"/>
    <n v="29"/>
    <n v="527"/>
    <n v="5"/>
    <n v="227560"/>
  </r>
  <r>
    <x v="9"/>
    <x v="1"/>
    <n v="393"/>
    <n v="170"/>
    <n v="106"/>
    <n v="71"/>
    <n v="46"/>
    <n v="335"/>
    <n v="61"/>
    <n v="261470"/>
  </r>
  <r>
    <x v="9"/>
    <x v="2"/>
    <n v="168"/>
    <n v="83"/>
    <n v="35"/>
    <n v="31"/>
    <n v="19"/>
    <n v="201"/>
    <n v="18"/>
    <n v="116040"/>
  </r>
  <r>
    <x v="9"/>
    <x v="3"/>
    <n v="174"/>
    <n v="91"/>
    <n v="40"/>
    <n v="30"/>
    <n v="13"/>
    <n v="120"/>
    <n v="44"/>
    <n v="86260"/>
  </r>
  <r>
    <x v="9"/>
    <x v="4"/>
    <n v="996"/>
    <n v="515"/>
    <n v="235"/>
    <n v="142"/>
    <n v="104"/>
    <n v="1850"/>
    <n v="7"/>
    <n v="518500"/>
  </r>
  <r>
    <x v="9"/>
    <x v="5"/>
    <n v="81"/>
    <n v="46"/>
    <n v="17"/>
    <n v="10"/>
    <n v="8"/>
    <n v="88"/>
    <n v="3"/>
    <n v="51400"/>
  </r>
  <r>
    <x v="9"/>
    <x v="6"/>
    <n v="218"/>
    <n v="84"/>
    <n v="52"/>
    <n v="65"/>
    <n v="17"/>
    <n v="199"/>
    <n v="68"/>
    <n v="148790"/>
  </r>
  <r>
    <x v="9"/>
    <x v="7"/>
    <n v="333"/>
    <n v="203"/>
    <n v="67"/>
    <n v="43"/>
    <n v="20"/>
    <n v="606"/>
    <m/>
    <n v="148750"/>
  </r>
  <r>
    <x v="9"/>
    <x v="8"/>
    <n v="217"/>
    <n v="88"/>
    <n v="53"/>
    <n v="50"/>
    <n v="26"/>
    <n v="586"/>
    <n v="10"/>
    <n v="121840"/>
  </r>
  <r>
    <x v="9"/>
    <x v="9"/>
    <n v="165"/>
    <n v="70"/>
    <n v="43"/>
    <n v="34"/>
    <n v="18"/>
    <n v="232"/>
    <n v="5"/>
    <n v="108330"/>
  </r>
  <r>
    <x v="9"/>
    <x v="10"/>
    <n v="214"/>
    <n v="75"/>
    <n v="45"/>
    <n v="35"/>
    <n v="59"/>
    <n v="303"/>
    <n v="17"/>
    <n v="105790"/>
  </r>
  <r>
    <x v="9"/>
    <x v="11"/>
    <n v="121"/>
    <n v="60"/>
    <n v="23"/>
    <n v="25"/>
    <n v="13"/>
    <n v="123"/>
    <n v="4"/>
    <n v="95170"/>
  </r>
  <r>
    <x v="9"/>
    <x v="12"/>
    <n v="296"/>
    <n v="126"/>
    <n v="70"/>
    <n v="59"/>
    <n v="41"/>
    <n v="359"/>
    <n v="7"/>
    <n v="160340"/>
  </r>
  <r>
    <x v="9"/>
    <x v="13"/>
    <n v="609"/>
    <n v="267"/>
    <n v="123"/>
    <n v="93"/>
    <n v="126"/>
    <n v="1034"/>
    <n v="26"/>
    <n v="371910"/>
  </r>
  <r>
    <x v="9"/>
    <x v="14"/>
    <n v="1650"/>
    <n v="895"/>
    <n v="362"/>
    <n v="322"/>
    <n v="71"/>
    <n v="2500"/>
    <n v="9"/>
    <n v="626410"/>
  </r>
  <r>
    <x v="9"/>
    <x v="15"/>
    <n v="419"/>
    <n v="152"/>
    <n v="100"/>
    <n v="90"/>
    <n v="77"/>
    <n v="522"/>
    <n v="141"/>
    <n v="235540"/>
  </r>
  <r>
    <x v="9"/>
    <x v="16"/>
    <n v="158"/>
    <n v="92"/>
    <n v="23"/>
    <n v="26"/>
    <n v="17"/>
    <n v="372"/>
    <n v="2"/>
    <n v="78150"/>
  </r>
  <r>
    <x v="9"/>
    <x v="17"/>
    <n v="169"/>
    <n v="57"/>
    <n v="32"/>
    <n v="34"/>
    <n v="46"/>
    <n v="317"/>
    <n v="4"/>
    <n v="91340"/>
  </r>
  <r>
    <x v="9"/>
    <x v="18"/>
    <n v="151"/>
    <n v="58"/>
    <n v="41"/>
    <n v="26"/>
    <n v="26"/>
    <n v="237"/>
    <n v="28"/>
    <n v="95520"/>
  </r>
  <r>
    <x v="9"/>
    <x v="19"/>
    <n v="48"/>
    <n v="23"/>
    <n v="9"/>
    <n v="7"/>
    <n v="9"/>
    <n v="47"/>
    <n v="31"/>
    <n v="26830"/>
  </r>
  <r>
    <x v="9"/>
    <x v="20"/>
    <n v="308"/>
    <n v="180"/>
    <n v="64"/>
    <n v="36"/>
    <n v="28"/>
    <n v="588"/>
    <n v="14"/>
    <n v="135280"/>
  </r>
  <r>
    <x v="9"/>
    <x v="21"/>
    <n v="714"/>
    <n v="343"/>
    <n v="138"/>
    <n v="184"/>
    <n v="49"/>
    <n v="1293"/>
    <n v="3"/>
    <n v="340180"/>
  </r>
  <r>
    <x v="9"/>
    <x v="22"/>
    <n v="24"/>
    <n v="7"/>
    <n v="5"/>
    <n v="11"/>
    <n v="1"/>
    <n v="23"/>
    <n v="6"/>
    <n v="22190"/>
  </r>
  <r>
    <x v="9"/>
    <x v="23"/>
    <n v="243"/>
    <n v="113"/>
    <n v="53"/>
    <n v="56"/>
    <n v="21"/>
    <n v="164"/>
    <n v="37"/>
    <n v="151290"/>
  </r>
  <r>
    <x v="9"/>
    <x v="24"/>
    <n v="392"/>
    <n v="220"/>
    <n v="72"/>
    <n v="63"/>
    <n v="37"/>
    <n v="617"/>
    <n v="3"/>
    <n v="177790"/>
  </r>
  <r>
    <x v="9"/>
    <x v="25"/>
    <n v="222"/>
    <n v="104"/>
    <n v="42"/>
    <n v="29"/>
    <n v="47"/>
    <n v="133"/>
    <n v="34"/>
    <n v="115270"/>
  </r>
  <r>
    <x v="9"/>
    <x v="26"/>
    <n v="18"/>
    <n v="4"/>
    <n v="7"/>
    <n v="6"/>
    <n v="1"/>
    <n v="18"/>
    <n v="13"/>
    <n v="22990"/>
  </r>
  <r>
    <x v="9"/>
    <x v="27"/>
    <n v="176"/>
    <n v="95"/>
    <n v="50"/>
    <n v="26"/>
    <n v="5"/>
    <n v="254"/>
    <n v="8"/>
    <n v="112550"/>
  </r>
  <r>
    <x v="9"/>
    <x v="28"/>
    <n v="517"/>
    <n v="259"/>
    <n v="89"/>
    <n v="138"/>
    <n v="31"/>
    <n v="753"/>
    <n v="18"/>
    <n v="319020"/>
  </r>
  <r>
    <x v="9"/>
    <x v="29"/>
    <n v="157"/>
    <n v="70"/>
    <n v="32"/>
    <n v="27"/>
    <n v="28"/>
    <n v="175"/>
    <n v="14"/>
    <n v="94330"/>
  </r>
  <r>
    <x v="9"/>
    <x v="30"/>
    <n v="251"/>
    <n v="146"/>
    <n v="34"/>
    <n v="49"/>
    <n v="22"/>
    <n v="262"/>
    <n v="2"/>
    <n v="89130"/>
  </r>
  <r>
    <x v="9"/>
    <x v="31"/>
    <n v="377"/>
    <n v="160"/>
    <n v="72"/>
    <n v="76"/>
    <n v="69"/>
    <n v="859"/>
    <n v="2"/>
    <n v="182140"/>
  </r>
  <r>
    <x v="10"/>
    <x v="0"/>
    <n v="486"/>
    <n v="292"/>
    <n v="105"/>
    <n v="55"/>
    <n v="34"/>
    <n v="341"/>
    <n v="8"/>
    <n v="228670"/>
  </r>
  <r>
    <x v="10"/>
    <x v="1"/>
    <n v="409"/>
    <n v="167"/>
    <n v="80"/>
    <n v="96"/>
    <n v="66"/>
    <n v="234"/>
    <n v="57"/>
    <n v="261210"/>
  </r>
  <r>
    <x v="10"/>
    <x v="2"/>
    <n v="179"/>
    <n v="89"/>
    <n v="35"/>
    <n v="32"/>
    <n v="23"/>
    <n v="145"/>
    <n v="12"/>
    <n v="116200"/>
  </r>
  <r>
    <x v="10"/>
    <x v="3"/>
    <n v="162"/>
    <n v="88"/>
    <n v="29"/>
    <n v="24"/>
    <n v="21"/>
    <n v="153"/>
    <n v="40"/>
    <n v="85870"/>
  </r>
  <r>
    <x v="10"/>
    <x v="4"/>
    <n v="916"/>
    <n v="483"/>
    <n v="196"/>
    <n v="151"/>
    <n v="86"/>
    <n v="1580"/>
    <n v="9"/>
    <n v="524930"/>
  </r>
  <r>
    <x v="10"/>
    <x v="5"/>
    <n v="82"/>
    <n v="50"/>
    <n v="17"/>
    <n v="8"/>
    <n v="7"/>
    <n v="80"/>
    <n v="1"/>
    <n v="51540"/>
  </r>
  <r>
    <x v="10"/>
    <x v="6"/>
    <n v="222"/>
    <n v="98"/>
    <n v="49"/>
    <n v="57"/>
    <n v="18"/>
    <n v="212"/>
    <n v="48"/>
    <n v="148860"/>
  </r>
  <r>
    <x v="10"/>
    <x v="7"/>
    <n v="314"/>
    <n v="188"/>
    <n v="55"/>
    <n v="54"/>
    <n v="17"/>
    <n v="500"/>
    <n v="2"/>
    <n v="149320"/>
  </r>
  <r>
    <x v="10"/>
    <x v="8"/>
    <n v="204"/>
    <n v="107"/>
    <n v="28"/>
    <n v="51"/>
    <n v="18"/>
    <n v="475"/>
    <n v="7"/>
    <n v="122010"/>
  </r>
  <r>
    <x v="10"/>
    <x v="9"/>
    <n v="154"/>
    <n v="70"/>
    <n v="27"/>
    <n v="45"/>
    <n v="12"/>
    <n v="153"/>
    <n v="5"/>
    <n v="108640"/>
  </r>
  <r>
    <x v="10"/>
    <x v="10"/>
    <n v="149"/>
    <n v="59"/>
    <n v="29"/>
    <n v="38"/>
    <n v="23"/>
    <n v="197"/>
    <n v="11"/>
    <n v="107090"/>
  </r>
  <r>
    <x v="10"/>
    <x v="11"/>
    <n v="137"/>
    <n v="67"/>
    <n v="22"/>
    <n v="35"/>
    <n v="13"/>
    <n v="166"/>
    <n v="2"/>
    <n v="95530"/>
  </r>
  <r>
    <x v="10"/>
    <x v="12"/>
    <n v="298"/>
    <n v="117"/>
    <n v="69"/>
    <n v="70"/>
    <n v="42"/>
    <n v="357"/>
    <n v="4"/>
    <n v="160890"/>
  </r>
  <r>
    <x v="10"/>
    <x v="13"/>
    <n v="522"/>
    <n v="236"/>
    <n v="96"/>
    <n v="95"/>
    <n v="95"/>
    <n v="762"/>
    <n v="12"/>
    <n v="373550"/>
  </r>
  <r>
    <x v="10"/>
    <x v="14"/>
    <n v="1626"/>
    <n v="903"/>
    <n v="332"/>
    <n v="336"/>
    <n v="55"/>
    <n v="2617"/>
    <n v="4"/>
    <n v="633120"/>
  </r>
  <r>
    <x v="10"/>
    <x v="15"/>
    <n v="330"/>
    <n v="121"/>
    <n v="77"/>
    <n v="79"/>
    <n v="53"/>
    <n v="427"/>
    <n v="125"/>
    <n v="235830"/>
  </r>
  <r>
    <x v="10"/>
    <x v="16"/>
    <n v="161"/>
    <n v="89"/>
    <n v="28"/>
    <n v="37"/>
    <n v="7"/>
    <n v="411"/>
    <n v="3"/>
    <n v="77800"/>
  </r>
  <r>
    <x v="10"/>
    <x v="17"/>
    <n v="155"/>
    <n v="74"/>
    <n v="30"/>
    <n v="27"/>
    <n v="24"/>
    <n v="230"/>
    <n v="6"/>
    <n v="92460"/>
  </r>
  <r>
    <x v="10"/>
    <x v="18"/>
    <n v="160"/>
    <n v="82"/>
    <n v="23"/>
    <n v="31"/>
    <n v="24"/>
    <n v="103"/>
    <n v="25"/>
    <n v="95820"/>
  </r>
  <r>
    <x v="10"/>
    <x v="19"/>
    <n v="36"/>
    <n v="20"/>
    <n v="5"/>
    <n v="8"/>
    <n v="3"/>
    <n v="35"/>
    <n v="37"/>
    <n v="26720"/>
  </r>
  <r>
    <x v="10"/>
    <x v="20"/>
    <n v="267"/>
    <n v="168"/>
    <n v="60"/>
    <n v="29"/>
    <n v="10"/>
    <n v="597"/>
    <n v="8"/>
    <n v="134740"/>
  </r>
  <r>
    <x v="10"/>
    <x v="21"/>
    <n v="635"/>
    <n v="276"/>
    <n v="101"/>
    <n v="221"/>
    <n v="37"/>
    <n v="1352"/>
    <n v="4"/>
    <n v="341370"/>
  </r>
  <r>
    <x v="10"/>
    <x v="22"/>
    <n v="34"/>
    <n v="11"/>
    <n v="6"/>
    <n v="11"/>
    <n v="6"/>
    <n v="10"/>
    <n v="4"/>
    <n v="22270"/>
  </r>
  <r>
    <x v="10"/>
    <x v="23"/>
    <n v="250"/>
    <n v="111"/>
    <n v="63"/>
    <n v="52"/>
    <n v="24"/>
    <n v="144"/>
    <n v="38"/>
    <n v="151950"/>
  </r>
  <r>
    <x v="10"/>
    <x v="24"/>
    <n v="340"/>
    <n v="164"/>
    <n v="79"/>
    <n v="73"/>
    <n v="24"/>
    <n v="506"/>
    <n v="2"/>
    <n v="179100"/>
  </r>
  <r>
    <x v="10"/>
    <x v="25"/>
    <n v="218"/>
    <n v="102"/>
    <n v="42"/>
    <n v="32"/>
    <n v="42"/>
    <n v="112"/>
    <n v="31"/>
    <n v="115510"/>
  </r>
  <r>
    <x v="10"/>
    <x v="26"/>
    <n v="28"/>
    <n v="12"/>
    <n v="7"/>
    <n v="3"/>
    <n v="6"/>
    <n v="9"/>
    <n v="10"/>
    <n v="22920"/>
  </r>
  <r>
    <x v="10"/>
    <x v="27"/>
    <n v="186"/>
    <n v="98"/>
    <n v="44"/>
    <n v="38"/>
    <n v="6"/>
    <n v="260"/>
    <n v="8"/>
    <n v="112610"/>
  </r>
  <r>
    <x v="10"/>
    <x v="28"/>
    <n v="523"/>
    <n v="249"/>
    <n v="85"/>
    <n v="159"/>
    <n v="30"/>
    <n v="793"/>
    <n v="11"/>
    <n v="320530"/>
  </r>
  <r>
    <x v="10"/>
    <x v="29"/>
    <n v="149"/>
    <n v="52"/>
    <n v="49"/>
    <n v="30"/>
    <n v="18"/>
    <n v="118"/>
    <n v="15"/>
    <n v="94210"/>
  </r>
  <r>
    <x v="10"/>
    <x v="30"/>
    <n v="205"/>
    <n v="115"/>
    <n v="37"/>
    <n v="46"/>
    <n v="7"/>
    <n v="293"/>
    <n v="2"/>
    <n v="88930"/>
  </r>
  <r>
    <x v="10"/>
    <x v="31"/>
    <n v="314"/>
    <n v="131"/>
    <n v="75"/>
    <n v="76"/>
    <n v="32"/>
    <n v="718"/>
    <n v="5"/>
    <n v="183100"/>
  </r>
  <r>
    <x v="10"/>
    <x v="32"/>
    <n v="1"/>
    <n v="1"/>
    <m/>
    <m/>
    <m/>
    <m/>
    <m/>
    <m/>
  </r>
  <r>
    <x v="11"/>
    <x v="0"/>
    <n v="427"/>
    <n v="243"/>
    <n v="90"/>
    <n v="37"/>
    <n v="57"/>
    <n v="328"/>
    <n v="2"/>
    <n v="229060"/>
  </r>
  <r>
    <x v="11"/>
    <x v="1"/>
    <n v="406"/>
    <n v="172"/>
    <n v="91"/>
    <n v="72"/>
    <n v="71"/>
    <n v="295"/>
    <n v="45"/>
    <n v="260780"/>
  </r>
  <r>
    <x v="11"/>
    <x v="2"/>
    <n v="172"/>
    <n v="80"/>
    <n v="33"/>
    <n v="26"/>
    <n v="33"/>
    <n v="204"/>
    <n v="21"/>
    <n v="115820"/>
  </r>
  <r>
    <x v="11"/>
    <x v="3"/>
    <n v="158"/>
    <n v="86"/>
    <n v="32"/>
    <n v="20"/>
    <n v="20"/>
    <n v="133"/>
    <n v="44"/>
    <n v="85430"/>
  </r>
  <r>
    <x v="11"/>
    <x v="4"/>
    <n v="816"/>
    <n v="422"/>
    <n v="153"/>
    <n v="135"/>
    <n v="106"/>
    <n v="1466"/>
    <n v="13"/>
    <n v="527620"/>
  </r>
  <r>
    <x v="11"/>
    <x v="5"/>
    <n v="87"/>
    <n v="55"/>
    <n v="21"/>
    <n v="3"/>
    <n v="8"/>
    <n v="112"/>
    <n v="3"/>
    <n v="51290"/>
  </r>
  <r>
    <x v="11"/>
    <x v="6"/>
    <n v="193"/>
    <n v="74"/>
    <n v="45"/>
    <n v="44"/>
    <n v="30"/>
    <n v="205"/>
    <n v="46"/>
    <n v="148290"/>
  </r>
  <r>
    <x v="11"/>
    <x v="7"/>
    <n v="333"/>
    <n v="209"/>
    <n v="54"/>
    <n v="32"/>
    <n v="38"/>
    <n v="698"/>
    <n v="4"/>
    <n v="148820"/>
  </r>
  <r>
    <x v="11"/>
    <x v="8"/>
    <n v="220"/>
    <n v="109"/>
    <n v="31"/>
    <n v="46"/>
    <n v="34"/>
    <n v="584"/>
    <n v="5"/>
    <n v="121600"/>
  </r>
  <r>
    <x v="11"/>
    <x v="9"/>
    <n v="130"/>
    <n v="74"/>
    <n v="21"/>
    <n v="27"/>
    <n v="8"/>
    <n v="241"/>
    <n v="5"/>
    <n v="108750"/>
  </r>
  <r>
    <x v="11"/>
    <x v="10"/>
    <n v="139"/>
    <n v="49"/>
    <n v="27"/>
    <n v="36"/>
    <n v="27"/>
    <n v="195"/>
    <n v="10"/>
    <n v="107900"/>
  </r>
  <r>
    <x v="11"/>
    <x v="11"/>
    <n v="98"/>
    <n v="53"/>
    <n v="12"/>
    <n v="24"/>
    <n v="9"/>
    <n v="182"/>
    <n v="6"/>
    <n v="96060"/>
  </r>
  <r>
    <x v="11"/>
    <x v="12"/>
    <n v="284"/>
    <n v="109"/>
    <n v="58"/>
    <n v="50"/>
    <n v="67"/>
    <n v="423"/>
    <n v="4"/>
    <n v="160560"/>
  </r>
  <r>
    <x v="11"/>
    <x v="13"/>
    <n v="584"/>
    <n v="247"/>
    <n v="99"/>
    <n v="109"/>
    <n v="129"/>
    <n v="1019"/>
    <n v="25"/>
    <n v="374130"/>
  </r>
  <r>
    <x v="11"/>
    <x v="14"/>
    <n v="1410"/>
    <n v="795"/>
    <n v="235"/>
    <n v="298"/>
    <n v="82"/>
    <n v="2440"/>
    <n v="2"/>
    <n v="635640"/>
  </r>
  <r>
    <x v="11"/>
    <x v="15"/>
    <n v="380"/>
    <n v="132"/>
    <n v="106"/>
    <n v="61"/>
    <n v="81"/>
    <n v="396"/>
    <n v="138"/>
    <n v="235430"/>
  </r>
  <r>
    <x v="11"/>
    <x v="16"/>
    <n v="166"/>
    <n v="110"/>
    <n v="20"/>
    <n v="29"/>
    <n v="7"/>
    <n v="417"/>
    <n v="3"/>
    <n v="77060"/>
  </r>
  <r>
    <x v="11"/>
    <x v="17"/>
    <n v="158"/>
    <n v="59"/>
    <n v="35"/>
    <n v="19"/>
    <n v="45"/>
    <n v="203"/>
    <n v="6"/>
    <n v="93150"/>
  </r>
  <r>
    <x v="11"/>
    <x v="18"/>
    <n v="143"/>
    <n v="51"/>
    <n v="27"/>
    <n v="23"/>
    <n v="42"/>
    <n v="128"/>
    <n v="20"/>
    <n v="95710"/>
  </r>
  <r>
    <x v="11"/>
    <x v="19"/>
    <n v="41"/>
    <n v="22"/>
    <n v="6"/>
    <n v="8"/>
    <n v="5"/>
    <n v="76"/>
    <n v="36"/>
    <n v="26500"/>
  </r>
  <r>
    <x v="11"/>
    <x v="20"/>
    <n v="239"/>
    <n v="153"/>
    <n v="35"/>
    <n v="35"/>
    <n v="16"/>
    <n v="491"/>
    <n v="12"/>
    <n v="134250"/>
  </r>
  <r>
    <x v="11"/>
    <x v="21"/>
    <n v="683"/>
    <n v="318"/>
    <n v="106"/>
    <n v="217"/>
    <n v="42"/>
    <n v="1475"/>
    <n v="6"/>
    <n v="341140"/>
  </r>
  <r>
    <x v="11"/>
    <x v="22"/>
    <n v="17"/>
    <n v="4"/>
    <n v="2"/>
    <n v="7"/>
    <n v="4"/>
    <n v="14"/>
    <n v="5"/>
    <n v="22400"/>
  </r>
  <r>
    <x v="11"/>
    <x v="23"/>
    <n v="227"/>
    <n v="104"/>
    <n v="44"/>
    <n v="52"/>
    <n v="27"/>
    <n v="145"/>
    <n v="41"/>
    <n v="151910"/>
  </r>
  <r>
    <x v="11"/>
    <x v="24"/>
    <n v="332"/>
    <n v="185"/>
    <n v="62"/>
    <n v="55"/>
    <n v="30"/>
    <n v="503"/>
    <n v="3"/>
    <n v="179390"/>
  </r>
  <r>
    <x v="11"/>
    <x v="25"/>
    <n v="187"/>
    <n v="85"/>
    <n v="41"/>
    <n v="33"/>
    <n v="28"/>
    <n v="124"/>
    <n v="44"/>
    <n v="115240"/>
  </r>
  <r>
    <x v="11"/>
    <x v="26"/>
    <n v="53"/>
    <n v="25"/>
    <n v="9"/>
    <n v="13"/>
    <n v="6"/>
    <n v="15"/>
    <n v="14"/>
    <n v="22870"/>
  </r>
  <r>
    <x v="11"/>
    <x v="27"/>
    <n v="159"/>
    <n v="90"/>
    <n v="29"/>
    <n v="26"/>
    <n v="14"/>
    <n v="304"/>
    <n v="9"/>
    <n v="112140"/>
  </r>
  <r>
    <x v="11"/>
    <x v="28"/>
    <n v="516"/>
    <n v="255"/>
    <n v="71"/>
    <n v="152"/>
    <n v="38"/>
    <n v="1018"/>
    <n v="9"/>
    <n v="320820"/>
  </r>
  <r>
    <x v="11"/>
    <x v="29"/>
    <n v="163"/>
    <n v="59"/>
    <n v="38"/>
    <n v="33"/>
    <n v="33"/>
    <n v="196"/>
    <n v="13"/>
    <n v="94080"/>
  </r>
  <r>
    <x v="11"/>
    <x v="30"/>
    <n v="200"/>
    <n v="117"/>
    <n v="26"/>
    <n v="32"/>
    <n v="25"/>
    <n v="408"/>
    <n v="3"/>
    <n v="88340"/>
  </r>
  <r>
    <x v="11"/>
    <x v="31"/>
    <n v="295"/>
    <n v="115"/>
    <n v="59"/>
    <n v="62"/>
    <n v="59"/>
    <n v="692"/>
    <n v="4"/>
    <n v="183820"/>
  </r>
</pivotCacheRecords>
</file>

<file path=xl/pivotCache/pivotCacheRecords14.xml><?xml version="1.0" encoding="utf-8"?>
<pivotCacheRecords xmlns="http://schemas.openxmlformats.org/spreadsheetml/2006/main" xmlns:r="http://schemas.openxmlformats.org/officeDocument/2006/relationships" count="40">
  <r>
    <x v="0"/>
    <x v="0"/>
    <n v="458"/>
    <n v="9.26"/>
    <n v="13948"/>
    <n v="282.06"/>
    <n v="431838"/>
    <n v="8732.8700000000008"/>
    <n v="189068"/>
    <n v="3823.44"/>
    <n v="49449700"/>
    <n v="234569"/>
    <n v="4743.59"/>
    <n v="8201"/>
    <n v="165.85"/>
    <n v="54531"/>
    <n v="1102.76"/>
    <n v="393852"/>
    <n v="7964.7"/>
    <m/>
    <m/>
    <n v="990793"/>
    <n v="20036.38"/>
    <n v="9242"/>
    <n v="186.9"/>
  </r>
  <r>
    <x v="0"/>
    <x v="1"/>
    <n v="417"/>
    <n v="8.39"/>
    <n v="12317"/>
    <n v="247.93"/>
    <n v="412491"/>
    <n v="8303.08"/>
    <n v="173455"/>
    <n v="3491.49"/>
    <n v="49679300"/>
    <n v="232181"/>
    <n v="4673.6000000000004"/>
    <n v="6855"/>
    <n v="137.99"/>
    <n v="48899"/>
    <n v="984.29"/>
    <n v="375353"/>
    <n v="7555.52"/>
    <m/>
    <m/>
    <n v="958142"/>
    <n v="19286.54"/>
    <n v="8291"/>
    <n v="166.89"/>
  </r>
  <r>
    <x v="0"/>
    <x v="2"/>
    <n v="454"/>
    <n v="9.09"/>
    <n v="12448"/>
    <n v="249.33"/>
    <n v="473563"/>
    <n v="9485.39"/>
    <n v="172384"/>
    <n v="3452.82"/>
    <n v="49925500"/>
    <n v="294688"/>
    <n v="5902.55"/>
    <n v="6491"/>
    <n v="130.01"/>
    <n v="50830"/>
    <n v="1018.12"/>
    <n v="384082"/>
    <n v="7693.1"/>
    <m/>
    <m/>
    <n v="1016028"/>
    <n v="20350.88"/>
    <n v="8044"/>
    <n v="161.12"/>
  </r>
  <r>
    <x v="0"/>
    <x v="3"/>
    <n v="371"/>
    <n v="7.39"/>
    <n v="11147"/>
    <n v="222.08"/>
    <n v="341968"/>
    <n v="6812.84"/>
    <n v="147224"/>
    <n v="2933.06"/>
    <n v="50194600"/>
    <n v="188403"/>
    <n v="3753.45"/>
    <n v="6341"/>
    <n v="126.33"/>
    <n v="47434"/>
    <n v="945"/>
    <n v="360997"/>
    <n v="7191.95"/>
    <m/>
    <m/>
    <n v="861384"/>
    <n v="17160.89"/>
    <n v="7148"/>
    <n v="142.41"/>
  </r>
  <r>
    <x v="0"/>
    <x v="4"/>
    <n v="386"/>
    <n v="7.63"/>
    <n v="11127"/>
    <n v="219.88"/>
    <n v="336107"/>
    <n v="6641.64"/>
    <n v="137726"/>
    <n v="2721.53"/>
    <n v="50606000"/>
    <n v="191393"/>
    <n v="3782.02"/>
    <n v="6988"/>
    <n v="138.09"/>
    <n v="46248"/>
    <n v="913.88"/>
    <n v="350606"/>
    <n v="6928.15"/>
    <m/>
    <m/>
    <n v="843734"/>
    <n v="16672.61"/>
    <n v="6780"/>
    <n v="133.97999999999999"/>
  </r>
  <r>
    <x v="0"/>
    <x v="5"/>
    <n v="364"/>
    <n v="7.14"/>
    <n v="10783"/>
    <n v="211.58"/>
    <n v="336233"/>
    <n v="6597.31"/>
    <n v="129134"/>
    <n v="2533.77"/>
    <n v="50965200"/>
    <n v="201551"/>
    <n v="3954.68"/>
    <n v="5548"/>
    <n v="108.86"/>
    <n v="44422"/>
    <n v="871.61"/>
    <n v="352136"/>
    <n v="6909.34"/>
    <m/>
    <m/>
    <n v="854371"/>
    <n v="16763.810000000001"/>
    <n v="6351"/>
    <n v="124.61"/>
  </r>
  <r>
    <x v="0"/>
    <x v="6"/>
    <n v="358"/>
    <n v="6.97"/>
    <n v="10319"/>
    <n v="200.83"/>
    <n v="293920"/>
    <n v="5720.39"/>
    <n v="115271"/>
    <n v="2243.4499999999998"/>
    <n v="51381100"/>
    <n v="172306"/>
    <n v="3353.49"/>
    <n v="6343"/>
    <n v="123.45"/>
    <n v="41336"/>
    <n v="804.5"/>
    <n v="331478"/>
    <n v="6451.36"/>
    <m/>
    <m/>
    <n v="791746"/>
    <n v="15409.28"/>
    <n v="5749"/>
    <n v="111.89"/>
  </r>
  <r>
    <x v="0"/>
    <x v="7"/>
    <n v="323"/>
    <n v="6.23"/>
    <n v="9227"/>
    <n v="178.07"/>
    <n v="249237"/>
    <n v="4810.05"/>
    <n v="104348"/>
    <n v="2013.82"/>
    <n v="51815900"/>
    <n v="136744"/>
    <n v="2639.04"/>
    <n v="8145"/>
    <n v="157.19"/>
    <n v="38584"/>
    <n v="744.64"/>
    <n v="312914"/>
    <n v="6038.96"/>
    <m/>
    <m/>
    <n v="717805"/>
    <n v="13852.99"/>
    <n v="5030"/>
    <n v="97.07"/>
  </r>
  <r>
    <x v="0"/>
    <x v="8"/>
    <n v="340"/>
    <n v="6.51"/>
    <n v="8864"/>
    <n v="169.82"/>
    <n v="241462"/>
    <n v="4626.03"/>
    <n v="101159"/>
    <n v="1938.05"/>
    <n v="52196400"/>
    <n v="132941"/>
    <n v="2546.94"/>
    <n v="7362"/>
    <n v="141.04"/>
    <n v="38376"/>
    <n v="735.22"/>
    <n v="285368"/>
    <n v="5467.2"/>
    <n v="140596"/>
    <n v="2693.6"/>
    <n v="680634"/>
    <n v="13039.86"/>
    <n v="4155"/>
    <n v="79.599999999999994"/>
  </r>
  <r>
    <x v="0"/>
    <x v="9"/>
    <n v="335"/>
    <n v="6.36"/>
    <n v="9397"/>
    <n v="178.51"/>
    <n v="228412"/>
    <n v="4338.93"/>
    <n v="92248"/>
    <n v="1752.35"/>
    <n v="52642500"/>
    <n v="128478"/>
    <n v="2440.58"/>
    <n v="7686"/>
    <n v="146"/>
    <n v="36611"/>
    <n v="695.46"/>
    <n v="272179"/>
    <n v="5170.33"/>
    <n v="134670"/>
    <n v="2558.1999999999998"/>
    <n v="647362"/>
    <n v="12297.33"/>
    <n v="4371"/>
    <n v="83.03"/>
  </r>
  <r>
    <x v="0"/>
    <x v="10"/>
    <n v="315"/>
    <n v="5.93"/>
    <n v="9375"/>
    <n v="176.53"/>
    <n v="223937"/>
    <n v="4216.7"/>
    <n v="86982"/>
    <n v="1637.86"/>
    <n v="53107200"/>
    <n v="131124"/>
    <n v="2469.04"/>
    <n v="5831"/>
    <n v="109.8"/>
    <n v="35417"/>
    <n v="666.9"/>
    <n v="249484"/>
    <n v="4697.74"/>
    <n v="123573"/>
    <n v="2326.86"/>
    <n v="606941"/>
    <n v="11428.6"/>
    <n v="4297"/>
    <n v="80.91"/>
  </r>
  <r>
    <x v="0"/>
    <x v="11"/>
    <n v="286"/>
    <n v="5.35"/>
    <n v="8429"/>
    <n v="157.57"/>
    <n v="154462"/>
    <n v="2887.48"/>
    <n v="74714"/>
    <n v="1396.69"/>
    <n v="53493700"/>
    <n v="72496"/>
    <n v="1355.23"/>
    <n v="7252"/>
    <n v="135.57"/>
    <n v="33300"/>
    <n v="622.5"/>
    <n v="231772"/>
    <n v="4332.7"/>
    <n v="128749"/>
    <n v="2406.81"/>
    <n v="521322"/>
    <n v="9745.48"/>
    <n v="3811"/>
    <n v="71.239999999999995"/>
  </r>
  <r>
    <x v="0"/>
    <x v="12"/>
    <n v="278"/>
    <n v="5.16"/>
    <n v="7819"/>
    <n v="145.16"/>
    <n v="171355"/>
    <n v="3181.15"/>
    <n v="73235"/>
    <n v="1359.58"/>
    <n v="53865800"/>
    <n v="92133"/>
    <n v="1710.42"/>
    <n v="5987"/>
    <n v="111.15"/>
    <n v="31912"/>
    <n v="592.44000000000005"/>
    <n v="224122"/>
    <n v="4160.75"/>
    <n v="125765"/>
    <n v="2334.7800000000002"/>
    <n v="526895"/>
    <n v="9781.6200000000008"/>
    <n v="3453"/>
    <n v="64.099999999999994"/>
  </r>
  <r>
    <x v="0"/>
    <x v="13"/>
    <n v="264"/>
    <n v="4.8600000000000003"/>
    <n v="7596"/>
    <n v="139.85"/>
    <n v="155065"/>
    <n v="2854.84"/>
    <n v="71126"/>
    <n v="1309.47"/>
    <n v="54316600"/>
    <n v="78753"/>
    <n v="1449.89"/>
    <n v="5186"/>
    <n v="95.48"/>
    <n v="31338"/>
    <n v="576.95000000000005"/>
    <n v="215873"/>
    <n v="3974.35"/>
    <n v="120093"/>
    <n v="2210.98"/>
    <n v="496275"/>
    <n v="9136.7099999999991"/>
    <n v="3252"/>
    <n v="59.87"/>
  </r>
  <r>
    <x v="0"/>
    <x v="14"/>
    <n v="302"/>
    <n v="5.51"/>
    <n v="7672"/>
    <n v="140.04"/>
    <n v="162276"/>
    <n v="2961.98"/>
    <n v="73479"/>
    <n v="1341.19"/>
    <n v="54786300"/>
    <n v="84590"/>
    <n v="1544"/>
    <n v="4207"/>
    <n v="76.790000000000006"/>
    <n v="31376"/>
    <n v="572.70000000000005"/>
    <n v="214411"/>
    <n v="3913.59"/>
    <n v="146899"/>
    <n v="2681.31"/>
    <n v="529674"/>
    <n v="9668"/>
    <n v="3279"/>
    <n v="59.85"/>
  </r>
  <r>
    <x v="0"/>
    <x v="15"/>
    <n v="265"/>
    <n v="4.79"/>
    <n v="7103"/>
    <n v="128.52000000000001"/>
    <n v="162048"/>
    <n v="2932.03"/>
    <n v="74947"/>
    <n v="1356.06"/>
    <n v="55268100"/>
    <n v="82860"/>
    <n v="1499.24"/>
    <n v="4241"/>
    <n v="76.739999999999995"/>
    <n v="30351"/>
    <n v="549.16"/>
    <n v="223962"/>
    <n v="4052.28"/>
    <n v="168632"/>
    <n v="3051.16"/>
    <n v="560689"/>
    <n v="10144.89"/>
    <n v="3126"/>
    <n v="56.56"/>
  </r>
  <r>
    <x v="0"/>
    <x v="16"/>
    <n v="340"/>
    <n v="6.11"/>
    <n v="7302"/>
    <n v="131.29"/>
    <n v="167355"/>
    <n v="3008.93"/>
    <n v="74274"/>
    <n v="1335.4"/>
    <n v="55619400"/>
    <n v="89040"/>
    <n v="1600.88"/>
    <n v="4041"/>
    <n v="72.650000000000006"/>
    <n v="30821"/>
    <n v="554.14"/>
    <n v="226054"/>
    <n v="4064.3"/>
    <n v="165940"/>
    <n v="2983.49"/>
    <n v="566120"/>
    <n v="10178.459999999999"/>
    <n v="3297"/>
    <n v="59.28"/>
  </r>
  <r>
    <x v="0"/>
    <x v="17"/>
    <n v="255"/>
    <n v="4.5599999999999996"/>
    <n v="7164"/>
    <n v="127.98"/>
    <n v="182933"/>
    <n v="3267.99"/>
    <n v="73288"/>
    <n v="1309.25"/>
    <n v="55977200"/>
    <n v="106301"/>
    <n v="1899.01"/>
    <n v="3334"/>
    <n v="59.56"/>
    <n v="29598"/>
    <n v="528.75"/>
    <n v="231222"/>
    <n v="4130.6499999999996"/>
    <n v="155105"/>
    <n v="2770.86"/>
    <n v="576532"/>
    <n v="10299.41"/>
    <n v="3143"/>
    <n v="56.15"/>
  </r>
  <r>
    <x v="0"/>
    <x v="18"/>
    <n v="245"/>
    <n v="4.3499999999999996"/>
    <n v="6933"/>
    <n v="123.17"/>
    <n v="154180"/>
    <n v="2739.18"/>
    <n v="68771"/>
    <n v="1221.79"/>
    <n v="56287000"/>
    <n v="82265"/>
    <n v="1461.53"/>
    <n v="3144"/>
    <n v="55.86"/>
    <n v="28499"/>
    <n v="506.32"/>
    <n v="231630"/>
    <n v="4115.16"/>
    <n v="164736"/>
    <n v="2926.71"/>
    <n v="558013"/>
    <n v="9913.7099999999991"/>
    <n v="2977"/>
    <n v="52.89"/>
  </r>
  <r>
    <x v="0"/>
    <x v="19"/>
    <n v="240"/>
    <n v="4.24"/>
    <n v="6347"/>
    <n v="112.24"/>
    <n v="151086"/>
    <n v="2671.72"/>
    <n v="61912"/>
    <n v="1094.82"/>
    <n v="56550000"/>
    <n v="86069"/>
    <n v="1522"/>
    <n v="3105"/>
    <n v="54.91"/>
    <n v="27021"/>
    <n v="477.82"/>
    <n v="216149"/>
    <n v="3822.26"/>
    <n v="144348"/>
    <n v="2552.5700000000002"/>
    <n v="518263"/>
    <n v="9164.69"/>
    <n v="2603"/>
    <n v="46.03"/>
  </r>
  <r>
    <x v="1"/>
    <x v="0"/>
    <n v="38"/>
    <n v="13.06"/>
    <n v="933"/>
    <n v="320.60000000000002"/>
    <n v="35203"/>
    <n v="12096.42"/>
    <n v="12722"/>
    <n v="4371.5200000000004"/>
    <n v="2910200"/>
    <n v="21585"/>
    <n v="7417.02"/>
    <n v="896"/>
    <n v="307.88"/>
    <n v="3086"/>
    <n v="1060.4100000000001"/>
    <n v="19545"/>
    <n v="6716.03"/>
    <n v="9159"/>
    <n v="3147.21"/>
    <n v="63907"/>
    <n v="21959.66"/>
    <m/>
    <m/>
  </r>
  <r>
    <x v="1"/>
    <x v="1"/>
    <n v="25"/>
    <n v="8.5500000000000007"/>
    <n v="862"/>
    <n v="294.91000000000003"/>
    <n v="34992"/>
    <n v="11971.67"/>
    <n v="12030"/>
    <n v="4115.78"/>
    <n v="2922900"/>
    <n v="22191"/>
    <n v="7592.12"/>
    <n v="771"/>
    <n v="263.77999999999997"/>
    <n v="2924"/>
    <n v="1000.38"/>
    <n v="19069"/>
    <n v="6524"/>
    <n v="8479"/>
    <n v="2900.89"/>
    <n v="62540"/>
    <n v="21396.560000000001"/>
    <m/>
    <m/>
  </r>
  <r>
    <x v="1"/>
    <x v="2"/>
    <n v="33"/>
    <n v="11.23"/>
    <n v="829"/>
    <n v="282.19"/>
    <n v="36247"/>
    <n v="12338.56"/>
    <n v="11802"/>
    <n v="4017.43"/>
    <n v="2937700"/>
    <n v="23742"/>
    <n v="8081.83"/>
    <n v="703"/>
    <n v="239.3"/>
    <n v="2787"/>
    <n v="948.7"/>
    <n v="19309"/>
    <n v="6572.83"/>
    <n v="8276"/>
    <n v="2817.17"/>
    <n v="63832"/>
    <n v="21728.560000000001"/>
    <m/>
    <m/>
  </r>
  <r>
    <x v="1"/>
    <x v="3"/>
    <n v="27"/>
    <n v="9.1300000000000008"/>
    <n v="795"/>
    <n v="268.82"/>
    <n v="26335"/>
    <n v="8904.7800000000007"/>
    <n v="9633"/>
    <n v="3257.25"/>
    <n v="2957400"/>
    <n v="16048"/>
    <n v="5426.39"/>
    <n v="654"/>
    <n v="221.14"/>
    <n v="2592"/>
    <n v="876.45"/>
    <n v="17662"/>
    <n v="5972.14"/>
    <n v="8869"/>
    <n v="2998.92"/>
    <n v="52866"/>
    <n v="17875.84"/>
    <m/>
    <m/>
  </r>
  <r>
    <x v="1"/>
    <x v="4"/>
    <n v="24"/>
    <n v="8.08"/>
    <n v="759"/>
    <n v="255.62"/>
    <n v="24370"/>
    <n v="8207.32"/>
    <n v="9017"/>
    <n v="3036.74"/>
    <n v="2969300"/>
    <n v="14684"/>
    <n v="4945.2700000000004"/>
    <n v="669"/>
    <n v="225.31"/>
    <n v="2548"/>
    <n v="858.11"/>
    <n v="18901"/>
    <n v="6365.47"/>
    <n v="9214"/>
    <n v="3103.09"/>
    <n v="52485"/>
    <n v="17675.88"/>
    <m/>
    <m/>
  </r>
  <r>
    <x v="1"/>
    <x v="5"/>
    <n v="20"/>
    <n v="6.7"/>
    <n v="632"/>
    <n v="211.68"/>
    <n v="26497"/>
    <n v="8874.64"/>
    <n v="8587"/>
    <n v="2876.04"/>
    <n v="2985700"/>
    <n v="17315"/>
    <n v="5799.31"/>
    <n v="595"/>
    <n v="199.28"/>
    <n v="2400"/>
    <n v="803.83"/>
    <n v="19993"/>
    <n v="6696.25"/>
    <n v="10185"/>
    <n v="3411.26"/>
    <n v="56675"/>
    <n v="18982.150000000001"/>
    <m/>
    <m/>
  </r>
  <r>
    <x v="1"/>
    <x v="6"/>
    <n v="28"/>
    <n v="9.31"/>
    <n v="632"/>
    <n v="210.23"/>
    <n v="24661"/>
    <n v="8203.11"/>
    <n v="7689"/>
    <n v="2557.63"/>
    <n v="3006300"/>
    <n v="16352"/>
    <n v="5439.24"/>
    <n v="620"/>
    <n v="206.23"/>
    <n v="2380"/>
    <n v="791.67"/>
    <n v="19598"/>
    <n v="6518.98"/>
    <n v="10827"/>
    <n v="3601.44"/>
    <n v="55086"/>
    <n v="18323.52"/>
    <m/>
    <m/>
  </r>
  <r>
    <x v="1"/>
    <x v="7"/>
    <n v="17"/>
    <n v="5.62"/>
    <n v="657"/>
    <n v="217.13"/>
    <n v="19521"/>
    <n v="6451.3"/>
    <n v="6985"/>
    <n v="2308.4"/>
    <n v="3025900"/>
    <n v="11724"/>
    <n v="3874.55"/>
    <n v="812"/>
    <n v="268.35000000000002"/>
    <n v="2257"/>
    <n v="745.89"/>
    <n v="18855"/>
    <n v="6231.2"/>
    <n v="10917"/>
    <n v="3607.85"/>
    <n v="49293"/>
    <n v="16290.36"/>
    <m/>
    <m/>
  </r>
  <r>
    <x v="1"/>
    <x v="8"/>
    <n v="23"/>
    <n v="7.57"/>
    <n v="575"/>
    <n v="189.21"/>
    <n v="19152"/>
    <n v="6302.28"/>
    <n v="6800"/>
    <n v="2237.65"/>
    <n v="3038900"/>
    <n v="11562"/>
    <n v="3804.67"/>
    <n v="790"/>
    <n v="259.95999999999998"/>
    <n v="2202"/>
    <n v="724.6"/>
    <n v="16901"/>
    <n v="5561.55"/>
    <n v="10288"/>
    <n v="3385.44"/>
    <n v="46341"/>
    <n v="15249.27"/>
    <n v="250"/>
    <n v="82.27"/>
  </r>
  <r>
    <x v="1"/>
    <x v="9"/>
    <n v="21"/>
    <n v="6.89"/>
    <n v="607"/>
    <n v="199.02"/>
    <n v="20688"/>
    <n v="6782.95"/>
    <n v="6414"/>
    <n v="2102.9499999999998"/>
    <n v="3050000"/>
    <n v="13503"/>
    <n v="4427.21"/>
    <n v="771"/>
    <n v="252.79"/>
    <n v="2108"/>
    <n v="691.15"/>
    <n v="17006"/>
    <n v="5575.74"/>
    <n v="9187"/>
    <n v="3012.13"/>
    <n v="46881"/>
    <n v="15370.82"/>
    <n v="278"/>
    <n v="91.15"/>
  </r>
  <r>
    <x v="1"/>
    <x v="10"/>
    <n v="23"/>
    <n v="7.51"/>
    <n v="592"/>
    <n v="193.22"/>
    <n v="16464"/>
    <n v="5373.72"/>
    <n v="5687"/>
    <n v="1856.19"/>
    <n v="3063800"/>
    <n v="10162"/>
    <n v="3316.8"/>
    <n v="615"/>
    <n v="200.73"/>
    <n v="2022"/>
    <n v="659.96"/>
    <n v="15874"/>
    <n v="5181.1499999999996"/>
    <n v="7658"/>
    <n v="2499.5100000000002"/>
    <n v="39996"/>
    <n v="13054.38"/>
    <n v="240"/>
    <n v="78.33"/>
  </r>
  <r>
    <x v="1"/>
    <x v="11"/>
    <n v="17"/>
    <n v="5.53"/>
    <n v="541"/>
    <n v="175.99"/>
    <n v="11438"/>
    <n v="3720.76"/>
    <n v="4745"/>
    <n v="1543.54"/>
    <n v="3074100"/>
    <n v="5922"/>
    <n v="1926.42"/>
    <n v="771"/>
    <n v="250.81"/>
    <n v="1911"/>
    <n v="621.65"/>
    <n v="15088"/>
    <n v="4908.1000000000004"/>
    <n v="9725"/>
    <n v="3163.53"/>
    <n v="36251"/>
    <n v="11792.39"/>
    <n v="225"/>
    <n v="73.19"/>
  </r>
  <r>
    <x v="1"/>
    <x v="12"/>
    <n v="17"/>
    <n v="5.52"/>
    <n v="626"/>
    <n v="203.09"/>
    <n v="13169"/>
    <n v="4272.32"/>
    <n v="4790"/>
    <n v="1553.98"/>
    <n v="3082400"/>
    <n v="7801"/>
    <n v="2530.8200000000002"/>
    <n v="578"/>
    <n v="187.52"/>
    <n v="1910"/>
    <n v="619.65"/>
    <n v="15312"/>
    <n v="4967.5600000000004"/>
    <n v="10118"/>
    <n v="3282.51"/>
    <n v="38599"/>
    <n v="12522.39"/>
    <n v="242"/>
    <n v="78.510000000000005"/>
  </r>
  <r>
    <x v="1"/>
    <x v="13"/>
    <n v="20"/>
    <n v="6.47"/>
    <n v="543"/>
    <n v="175.61"/>
    <n v="11651"/>
    <n v="3768.11"/>
    <n v="4561"/>
    <n v="1475.1"/>
    <n v="3092000"/>
    <n v="6541"/>
    <n v="2115.46"/>
    <n v="549"/>
    <n v="177.55"/>
    <n v="1808"/>
    <n v="584.73"/>
    <n v="15485"/>
    <n v="5008.09"/>
    <n v="9289"/>
    <n v="3004.2"/>
    <n v="36425"/>
    <n v="11780.4"/>
    <n v="209"/>
    <n v="67.59"/>
  </r>
  <r>
    <x v="1"/>
    <x v="14"/>
    <n v="19"/>
    <n v="6.13"/>
    <n v="592"/>
    <n v="191.02"/>
    <n v="12108"/>
    <n v="3906.94"/>
    <n v="4678"/>
    <n v="1509.47"/>
    <n v="3099100"/>
    <n v="6998"/>
    <n v="2258.0700000000002"/>
    <n v="432"/>
    <n v="139.4"/>
    <n v="1775"/>
    <n v="572.75"/>
    <n v="14491"/>
    <n v="4675.87"/>
    <n v="10151"/>
    <n v="3275.47"/>
    <n v="36750"/>
    <n v="11858.28"/>
    <n v="269"/>
    <n v="86.8"/>
  </r>
  <r>
    <x v="1"/>
    <x v="15"/>
    <n v="19"/>
    <n v="6.1"/>
    <n v="621"/>
    <n v="199.47"/>
    <n v="10750"/>
    <n v="3453.04"/>
    <n v="4757"/>
    <n v="1528.01"/>
    <n v="3113200"/>
    <n v="5576"/>
    <n v="1791.08"/>
    <n v="417"/>
    <n v="133.94999999999999"/>
    <n v="1858"/>
    <n v="596.80999999999995"/>
    <n v="14790"/>
    <n v="4750.74"/>
    <n v="11676"/>
    <n v="3750.48"/>
    <n v="37216"/>
    <n v="11954.26"/>
    <n v="203"/>
    <n v="65.209999999999994"/>
  </r>
  <r>
    <x v="1"/>
    <x v="16"/>
    <n v="15"/>
    <n v="4.8"/>
    <n v="526"/>
    <n v="168.31"/>
    <n v="11023"/>
    <n v="3527.13"/>
    <n v="4316"/>
    <n v="1381.03"/>
    <n v="3125200"/>
    <n v="6301"/>
    <n v="2016.19"/>
    <n v="406"/>
    <n v="129.91"/>
    <n v="1617"/>
    <n v="517.41"/>
    <n v="14161"/>
    <n v="4531.2299999999996"/>
    <n v="11584"/>
    <n v="3706.64"/>
    <n v="36768"/>
    <n v="11765.01"/>
    <n v="208"/>
    <n v="66.56"/>
  </r>
  <r>
    <x v="1"/>
    <x v="17"/>
    <n v="20"/>
    <n v="6.37"/>
    <n v="396"/>
    <n v="126.17"/>
    <n v="12911"/>
    <n v="4113.62"/>
    <n v="4392"/>
    <n v="1399.35"/>
    <n v="3138600"/>
    <n v="8184"/>
    <n v="2607.5300000000002"/>
    <n v="335"/>
    <n v="106.74"/>
    <n v="1555"/>
    <n v="495.44"/>
    <n v="14485"/>
    <n v="4615.12"/>
    <n v="9278"/>
    <n v="2956.1"/>
    <n v="36674"/>
    <n v="11684.83"/>
    <n v="184"/>
    <n v="58.62"/>
  </r>
  <r>
    <x v="1"/>
    <x v="18"/>
    <n v="16"/>
    <n v="5.07"/>
    <n v="509"/>
    <n v="161.44"/>
    <n v="10587"/>
    <n v="3357.86"/>
    <n v="4279"/>
    <n v="1357.16"/>
    <n v="3152900"/>
    <n v="5978"/>
    <n v="1896.03"/>
    <n v="330"/>
    <n v="104.67"/>
    <n v="1628"/>
    <n v="516.35"/>
    <n v="14281"/>
    <n v="4529.4799999999996"/>
    <n v="10125"/>
    <n v="3211.33"/>
    <n v="34993"/>
    <n v="11098.67"/>
    <n v="199"/>
    <n v="63.12"/>
  </r>
  <r>
    <x v="1"/>
    <x v="19"/>
    <n v="21"/>
    <n v="6.63"/>
    <n v="408"/>
    <n v="128.72"/>
    <n v="10328"/>
    <n v="3258.46"/>
    <n v="3796"/>
    <n v="1197.6300000000001"/>
    <n v="3169600"/>
    <n v="6199"/>
    <n v="1955.77"/>
    <n v="333"/>
    <n v="105.06"/>
    <n v="1501"/>
    <n v="473.56"/>
    <n v="14880"/>
    <n v="4694.6000000000004"/>
    <n v="7020"/>
    <n v="2214.79"/>
    <n v="32228"/>
    <n v="10167.84"/>
    <n v="130"/>
    <n v="41.01"/>
  </r>
</pivotCacheRecords>
</file>

<file path=xl/pivotCache/pivotCacheRecords15.xml><?xml version="1.0" encoding="utf-8"?>
<pivotCacheRecords xmlns="http://schemas.openxmlformats.org/spreadsheetml/2006/main" xmlns:r="http://schemas.openxmlformats.org/officeDocument/2006/relationships" count="48">
  <r>
    <x v="0"/>
    <x v="0"/>
    <n v="267"/>
    <x v="0"/>
    <x v="0"/>
    <x v="0"/>
    <x v="0"/>
    <x v="0"/>
    <x v="0"/>
    <n v="121"/>
    <n v="138"/>
    <x v="0"/>
    <x v="0"/>
  </r>
  <r>
    <x v="0"/>
    <x v="1"/>
    <n v="414"/>
    <x v="0"/>
    <x v="0"/>
    <x v="0"/>
    <x v="1"/>
    <x v="0"/>
    <x v="0"/>
    <n v="196"/>
    <n v="211"/>
    <x v="1"/>
    <x v="1"/>
  </r>
  <r>
    <x v="0"/>
    <x v="2"/>
    <n v="449"/>
    <x v="0"/>
    <x v="0"/>
    <x v="0"/>
    <x v="2"/>
    <x v="0"/>
    <x v="0"/>
    <n v="180"/>
    <n v="258"/>
    <x v="1"/>
    <x v="2"/>
  </r>
  <r>
    <x v="0"/>
    <x v="3"/>
    <n v="93"/>
    <x v="0"/>
    <x v="0"/>
    <x v="0"/>
    <x v="0"/>
    <x v="0"/>
    <x v="0"/>
    <n v="26"/>
    <n v="65"/>
    <x v="2"/>
    <x v="2"/>
  </r>
  <r>
    <x v="1"/>
    <x v="0"/>
    <n v="238"/>
    <x v="1"/>
    <x v="1"/>
    <x v="0"/>
    <x v="3"/>
    <x v="0"/>
    <x v="0"/>
    <n v="101"/>
    <n v="131"/>
    <x v="3"/>
    <x v="2"/>
  </r>
  <r>
    <x v="1"/>
    <x v="1"/>
    <n v="448"/>
    <x v="1"/>
    <x v="1"/>
    <x v="0"/>
    <x v="3"/>
    <x v="0"/>
    <x v="0"/>
    <n v="205"/>
    <n v="238"/>
    <x v="1"/>
    <x v="0"/>
  </r>
  <r>
    <x v="1"/>
    <x v="2"/>
    <n v="543"/>
    <x v="1"/>
    <x v="1"/>
    <x v="0"/>
    <x v="4"/>
    <x v="0"/>
    <x v="0"/>
    <n v="223"/>
    <n v="301"/>
    <x v="2"/>
    <x v="2"/>
  </r>
  <r>
    <x v="1"/>
    <x v="3"/>
    <n v="103"/>
    <x v="1"/>
    <x v="1"/>
    <x v="0"/>
    <x v="3"/>
    <x v="0"/>
    <x v="0"/>
    <n v="41"/>
    <n v="59"/>
    <x v="2"/>
    <x v="2"/>
  </r>
  <r>
    <x v="2"/>
    <x v="0"/>
    <n v="297"/>
    <x v="2"/>
    <x v="2"/>
    <x v="0"/>
    <x v="3"/>
    <x v="0"/>
    <x v="0"/>
    <n v="150"/>
    <n v="137"/>
    <x v="4"/>
    <x v="2"/>
  </r>
  <r>
    <x v="2"/>
    <x v="1"/>
    <n v="522"/>
    <x v="2"/>
    <x v="2"/>
    <x v="0"/>
    <x v="5"/>
    <x v="0"/>
    <x v="0"/>
    <n v="262"/>
    <n v="240"/>
    <x v="5"/>
    <x v="1"/>
  </r>
  <r>
    <x v="2"/>
    <x v="2"/>
    <n v="513"/>
    <x v="2"/>
    <x v="2"/>
    <x v="0"/>
    <x v="6"/>
    <x v="0"/>
    <x v="0"/>
    <n v="213"/>
    <n v="283"/>
    <x v="0"/>
    <x v="2"/>
  </r>
  <r>
    <x v="2"/>
    <x v="3"/>
    <n v="82"/>
    <x v="2"/>
    <x v="2"/>
    <x v="0"/>
    <x v="1"/>
    <x v="0"/>
    <x v="0"/>
    <n v="24"/>
    <n v="54"/>
    <x v="2"/>
    <x v="2"/>
  </r>
  <r>
    <x v="3"/>
    <x v="0"/>
    <n v="262"/>
    <x v="3"/>
    <x v="3"/>
    <x v="0"/>
    <x v="7"/>
    <x v="0"/>
    <x v="0"/>
    <n v="122"/>
    <n v="134"/>
    <x v="0"/>
    <x v="2"/>
  </r>
  <r>
    <x v="3"/>
    <x v="1"/>
    <n v="558"/>
    <x v="3"/>
    <x v="3"/>
    <x v="0"/>
    <x v="5"/>
    <x v="0"/>
    <x v="0"/>
    <n v="273"/>
    <n v="274"/>
    <x v="6"/>
    <x v="2"/>
  </r>
  <r>
    <x v="3"/>
    <x v="2"/>
    <n v="442"/>
    <x v="3"/>
    <x v="3"/>
    <x v="0"/>
    <x v="8"/>
    <x v="0"/>
    <x v="0"/>
    <n v="181"/>
    <n v="254"/>
    <x v="2"/>
    <x v="2"/>
  </r>
  <r>
    <x v="3"/>
    <x v="3"/>
    <n v="57"/>
    <x v="3"/>
    <x v="3"/>
    <x v="0"/>
    <x v="7"/>
    <x v="0"/>
    <x v="0"/>
    <n v="21"/>
    <n v="35"/>
    <x v="2"/>
    <x v="2"/>
  </r>
  <r>
    <x v="4"/>
    <x v="0"/>
    <n v="221"/>
    <x v="4"/>
    <x v="4"/>
    <x v="0"/>
    <x v="0"/>
    <x v="0"/>
    <x v="0"/>
    <n v="110"/>
    <n v="105"/>
    <x v="6"/>
    <x v="1"/>
  </r>
  <r>
    <x v="4"/>
    <x v="1"/>
    <n v="570"/>
    <x v="4"/>
    <x v="4"/>
    <x v="0"/>
    <x v="3"/>
    <x v="0"/>
    <x v="0"/>
    <n v="272"/>
    <n v="286"/>
    <x v="7"/>
    <x v="3"/>
  </r>
  <r>
    <x v="4"/>
    <x v="2"/>
    <n v="443"/>
    <x v="4"/>
    <x v="4"/>
    <x v="1"/>
    <x v="8"/>
    <x v="0"/>
    <x v="0"/>
    <n v="169"/>
    <n v="264"/>
    <x v="6"/>
    <x v="2"/>
  </r>
  <r>
    <x v="4"/>
    <x v="3"/>
    <n v="76"/>
    <x v="4"/>
    <x v="4"/>
    <x v="0"/>
    <x v="0"/>
    <x v="0"/>
    <x v="0"/>
    <n v="23"/>
    <n v="51"/>
    <x v="2"/>
    <x v="2"/>
  </r>
  <r>
    <x v="5"/>
    <x v="0"/>
    <n v="213"/>
    <x v="5"/>
    <x v="5"/>
    <x v="0"/>
    <x v="0"/>
    <x v="0"/>
    <x v="0"/>
    <n v="97"/>
    <n v="112"/>
    <x v="1"/>
    <x v="0"/>
  </r>
  <r>
    <x v="5"/>
    <x v="1"/>
    <n v="441"/>
    <x v="5"/>
    <x v="5"/>
    <x v="0"/>
    <x v="7"/>
    <x v="0"/>
    <x v="0"/>
    <n v="196"/>
    <n v="240"/>
    <x v="7"/>
    <x v="2"/>
  </r>
  <r>
    <x v="5"/>
    <x v="2"/>
    <n v="383"/>
    <x v="5"/>
    <x v="5"/>
    <x v="0"/>
    <x v="9"/>
    <x v="0"/>
    <x v="0"/>
    <n v="147"/>
    <n v="229"/>
    <x v="1"/>
    <x v="2"/>
  </r>
  <r>
    <x v="5"/>
    <x v="3"/>
    <n v="62"/>
    <x v="5"/>
    <x v="5"/>
    <x v="0"/>
    <x v="3"/>
    <x v="0"/>
    <x v="0"/>
    <n v="23"/>
    <n v="36"/>
    <x v="2"/>
    <x v="2"/>
  </r>
  <r>
    <x v="6"/>
    <x v="0"/>
    <n v="259"/>
    <x v="6"/>
    <x v="6"/>
    <x v="1"/>
    <x v="7"/>
    <x v="0"/>
    <x v="0"/>
    <n v="111"/>
    <n v="143"/>
    <x v="6"/>
    <x v="0"/>
  </r>
  <r>
    <x v="6"/>
    <x v="1"/>
    <n v="516"/>
    <x v="6"/>
    <x v="6"/>
    <x v="0"/>
    <x v="7"/>
    <x v="0"/>
    <x v="0"/>
    <n v="258"/>
    <n v="255"/>
    <x v="6"/>
    <x v="2"/>
  </r>
  <r>
    <x v="6"/>
    <x v="2"/>
    <n v="431"/>
    <x v="6"/>
    <x v="6"/>
    <x v="1"/>
    <x v="9"/>
    <x v="0"/>
    <x v="0"/>
    <n v="160"/>
    <n v="264"/>
    <x v="2"/>
    <x v="2"/>
  </r>
  <r>
    <x v="6"/>
    <x v="3"/>
    <n v="70"/>
    <x v="6"/>
    <x v="6"/>
    <x v="0"/>
    <x v="10"/>
    <x v="0"/>
    <x v="0"/>
    <n v="22"/>
    <n v="48"/>
    <x v="2"/>
    <x v="2"/>
  </r>
  <r>
    <x v="7"/>
    <x v="0"/>
    <n v="330"/>
    <x v="7"/>
    <x v="7"/>
    <x v="0"/>
    <x v="1"/>
    <x v="0"/>
    <x v="0"/>
    <n v="138"/>
    <n v="187"/>
    <x v="1"/>
    <x v="2"/>
  </r>
  <r>
    <x v="7"/>
    <x v="1"/>
    <n v="487"/>
    <x v="7"/>
    <x v="7"/>
    <x v="0"/>
    <x v="0"/>
    <x v="1"/>
    <x v="0"/>
    <n v="227"/>
    <n v="253"/>
    <x v="7"/>
    <x v="2"/>
  </r>
  <r>
    <x v="7"/>
    <x v="2"/>
    <n v="384"/>
    <x v="7"/>
    <x v="7"/>
    <x v="0"/>
    <x v="5"/>
    <x v="0"/>
    <x v="0"/>
    <n v="165"/>
    <n v="210"/>
    <x v="2"/>
    <x v="2"/>
  </r>
  <r>
    <x v="7"/>
    <x v="3"/>
    <n v="65"/>
    <x v="7"/>
    <x v="7"/>
    <x v="0"/>
    <x v="0"/>
    <x v="0"/>
    <x v="0"/>
    <n v="18"/>
    <n v="45"/>
    <x v="2"/>
    <x v="2"/>
  </r>
  <r>
    <x v="8"/>
    <x v="0"/>
    <n v="235"/>
    <x v="8"/>
    <x v="8"/>
    <x v="1"/>
    <x v="9"/>
    <x v="2"/>
    <x v="0"/>
    <n v="100"/>
    <n v="123"/>
    <x v="1"/>
    <x v="0"/>
  </r>
  <r>
    <x v="8"/>
    <x v="1"/>
    <n v="462"/>
    <x v="8"/>
    <x v="8"/>
    <x v="0"/>
    <x v="9"/>
    <x v="0"/>
    <x v="1"/>
    <n v="206"/>
    <n v="242"/>
    <x v="4"/>
    <x v="2"/>
  </r>
  <r>
    <x v="8"/>
    <x v="2"/>
    <n v="356"/>
    <x v="8"/>
    <x v="8"/>
    <x v="0"/>
    <x v="2"/>
    <x v="0"/>
    <x v="0"/>
    <n v="157"/>
    <n v="187"/>
    <x v="6"/>
    <x v="2"/>
  </r>
  <r>
    <x v="8"/>
    <x v="3"/>
    <n v="63"/>
    <x v="8"/>
    <x v="8"/>
    <x v="0"/>
    <x v="7"/>
    <x v="0"/>
    <x v="0"/>
    <n v="15"/>
    <n v="47"/>
    <x v="2"/>
    <x v="2"/>
  </r>
  <r>
    <x v="9"/>
    <x v="0"/>
    <n v="248"/>
    <x v="9"/>
    <x v="9"/>
    <x v="0"/>
    <x v="11"/>
    <x v="0"/>
    <x v="0"/>
    <n v="108"/>
    <n v="134"/>
    <x v="1"/>
    <x v="2"/>
  </r>
  <r>
    <x v="9"/>
    <x v="1"/>
    <n v="523"/>
    <x v="9"/>
    <x v="9"/>
    <x v="0"/>
    <x v="8"/>
    <x v="0"/>
    <x v="1"/>
    <n v="231"/>
    <n v="271"/>
    <x v="8"/>
    <x v="0"/>
  </r>
  <r>
    <x v="9"/>
    <x v="2"/>
    <n v="373"/>
    <x v="9"/>
    <x v="9"/>
    <x v="0"/>
    <x v="12"/>
    <x v="0"/>
    <x v="0"/>
    <n v="156"/>
    <n v="206"/>
    <x v="3"/>
    <x v="2"/>
  </r>
  <r>
    <x v="9"/>
    <x v="3"/>
    <n v="53"/>
    <x v="9"/>
    <x v="9"/>
    <x v="0"/>
    <x v="10"/>
    <x v="0"/>
    <x v="0"/>
    <n v="17"/>
    <n v="36"/>
    <x v="2"/>
    <x v="2"/>
  </r>
  <r>
    <x v="10"/>
    <x v="0"/>
    <n v="219"/>
    <x v="10"/>
    <x v="10"/>
    <x v="0"/>
    <x v="11"/>
    <x v="0"/>
    <x v="0"/>
    <n v="90"/>
    <n v="120"/>
    <x v="7"/>
    <x v="2"/>
  </r>
  <r>
    <x v="10"/>
    <x v="1"/>
    <n v="441"/>
    <x v="10"/>
    <x v="10"/>
    <x v="0"/>
    <x v="0"/>
    <x v="0"/>
    <x v="0"/>
    <n v="197"/>
    <n v="233"/>
    <x v="4"/>
    <x v="1"/>
  </r>
  <r>
    <x v="10"/>
    <x v="2"/>
    <n v="314"/>
    <x v="10"/>
    <x v="10"/>
    <x v="0"/>
    <x v="11"/>
    <x v="0"/>
    <x v="1"/>
    <n v="131"/>
    <n v="168"/>
    <x v="0"/>
    <x v="4"/>
  </r>
  <r>
    <x v="10"/>
    <x v="3"/>
    <n v="53"/>
    <x v="10"/>
    <x v="10"/>
    <x v="0"/>
    <x v="10"/>
    <x v="0"/>
    <x v="0"/>
    <n v="19"/>
    <n v="34"/>
    <x v="2"/>
    <x v="2"/>
  </r>
  <r>
    <x v="11"/>
    <x v="0"/>
    <n v="324"/>
    <x v="11"/>
    <x v="11"/>
    <x v="0"/>
    <x v="10"/>
    <x v="3"/>
    <x v="0"/>
    <n v="135"/>
    <n v="169"/>
    <x v="9"/>
    <x v="2"/>
  </r>
  <r>
    <x v="11"/>
    <x v="1"/>
    <n v="343"/>
    <x v="11"/>
    <x v="11"/>
    <x v="0"/>
    <x v="10"/>
    <x v="0"/>
    <x v="0"/>
    <n v="165"/>
    <n v="166"/>
    <x v="8"/>
    <x v="2"/>
  </r>
  <r>
    <x v="11"/>
    <x v="2"/>
    <n v="299"/>
    <x v="11"/>
    <x v="11"/>
    <x v="0"/>
    <x v="11"/>
    <x v="1"/>
    <x v="0"/>
    <n v="106"/>
    <n v="184"/>
    <x v="3"/>
    <x v="2"/>
  </r>
  <r>
    <x v="11"/>
    <x v="3"/>
    <n v="51"/>
    <x v="11"/>
    <x v="11"/>
    <x v="0"/>
    <x v="10"/>
    <x v="0"/>
    <x v="0"/>
    <n v="16"/>
    <n v="35"/>
    <x v="2"/>
    <x v="2"/>
  </r>
</pivotCacheRecords>
</file>

<file path=xl/pivotCache/pivotCacheRecords16.xml><?xml version="1.0" encoding="utf-8"?>
<pivotCacheRecords xmlns="http://schemas.openxmlformats.org/spreadsheetml/2006/main" xmlns:r="http://schemas.openxmlformats.org/officeDocument/2006/relationships" count="769">
  <r>
    <x v="0"/>
    <x v="0"/>
    <x v="0"/>
    <n v="702"/>
    <n v="212"/>
    <n v="154"/>
    <n v="333"/>
    <x v="0"/>
    <x v="0"/>
    <x v="0"/>
    <x v="0"/>
  </r>
  <r>
    <x v="0"/>
    <x v="0"/>
    <x v="1"/>
    <n v="451"/>
    <n v="170"/>
    <n v="222"/>
    <n v="49"/>
    <x v="1"/>
    <x v="1"/>
    <x v="0"/>
    <x v="0"/>
  </r>
  <r>
    <x v="0"/>
    <x v="0"/>
    <x v="2"/>
    <n v="189"/>
    <n v="67"/>
    <n v="96"/>
    <n v="24"/>
    <x v="2"/>
    <x v="2"/>
    <x v="0"/>
    <x v="0"/>
  </r>
  <r>
    <x v="0"/>
    <x v="0"/>
    <x v="3"/>
    <n v="186"/>
    <n v="59"/>
    <n v="114"/>
    <n v="12"/>
    <x v="2"/>
    <x v="0"/>
    <x v="0"/>
    <x v="0"/>
  </r>
  <r>
    <x v="0"/>
    <x v="0"/>
    <x v="4"/>
    <n v="1561"/>
    <n v="521"/>
    <n v="469"/>
    <n v="555"/>
    <x v="3"/>
    <x v="3"/>
    <x v="1"/>
    <x v="0"/>
  </r>
  <r>
    <x v="0"/>
    <x v="0"/>
    <x v="5"/>
    <n v="114"/>
    <n v="63"/>
    <n v="42"/>
    <n v="6"/>
    <x v="4"/>
    <x v="0"/>
    <x v="2"/>
    <x v="0"/>
  </r>
  <r>
    <x v="0"/>
    <x v="0"/>
    <x v="6"/>
    <n v="296"/>
    <n v="139"/>
    <n v="140"/>
    <n v="17"/>
    <x v="5"/>
    <x v="0"/>
    <x v="0"/>
    <x v="0"/>
  </r>
  <r>
    <x v="0"/>
    <x v="0"/>
    <x v="7"/>
    <n v="495"/>
    <n v="92"/>
    <n v="299"/>
    <n v="103"/>
    <x v="5"/>
    <x v="2"/>
    <x v="0"/>
    <x v="0"/>
  </r>
  <r>
    <x v="0"/>
    <x v="0"/>
    <x v="8"/>
    <n v="295"/>
    <n v="134"/>
    <n v="150"/>
    <n v="9"/>
    <x v="4"/>
    <x v="0"/>
    <x v="0"/>
    <x v="0"/>
  </r>
  <r>
    <x v="0"/>
    <x v="0"/>
    <x v="9"/>
    <n v="185"/>
    <n v="83"/>
    <n v="94"/>
    <n v="8"/>
    <x v="5"/>
    <x v="0"/>
    <x v="0"/>
    <x v="0"/>
  </r>
  <r>
    <x v="0"/>
    <x v="0"/>
    <x v="10"/>
    <n v="245"/>
    <n v="121"/>
    <n v="98"/>
    <n v="23"/>
    <x v="4"/>
    <x v="2"/>
    <x v="0"/>
    <x v="0"/>
  </r>
  <r>
    <x v="0"/>
    <x v="0"/>
    <x v="11"/>
    <n v="153"/>
    <n v="74"/>
    <n v="66"/>
    <n v="11"/>
    <x v="2"/>
    <x v="2"/>
    <x v="0"/>
    <x v="0"/>
  </r>
  <r>
    <x v="0"/>
    <x v="0"/>
    <x v="12"/>
    <n v="250"/>
    <n v="89"/>
    <n v="123"/>
    <n v="34"/>
    <x v="6"/>
    <x v="0"/>
    <x v="0"/>
    <x v="0"/>
  </r>
  <r>
    <x v="0"/>
    <x v="0"/>
    <x v="13"/>
    <n v="665"/>
    <n v="252"/>
    <n v="307"/>
    <n v="98"/>
    <x v="7"/>
    <x v="0"/>
    <x v="0"/>
    <x v="1"/>
  </r>
  <r>
    <x v="0"/>
    <x v="0"/>
    <x v="14"/>
    <n v="2409"/>
    <n v="576"/>
    <n v="919"/>
    <n v="891"/>
    <x v="8"/>
    <x v="4"/>
    <x v="3"/>
    <x v="0"/>
  </r>
  <r>
    <x v="0"/>
    <x v="0"/>
    <x v="15"/>
    <n v="354"/>
    <n v="165"/>
    <n v="148"/>
    <n v="34"/>
    <x v="9"/>
    <x v="0"/>
    <x v="2"/>
    <x v="2"/>
  </r>
  <r>
    <x v="0"/>
    <x v="0"/>
    <x v="16"/>
    <n v="300"/>
    <n v="105"/>
    <n v="129"/>
    <n v="61"/>
    <x v="6"/>
    <x v="2"/>
    <x v="0"/>
    <x v="0"/>
  </r>
  <r>
    <x v="0"/>
    <x v="0"/>
    <x v="17"/>
    <n v="197"/>
    <n v="112"/>
    <n v="68"/>
    <n v="13"/>
    <x v="4"/>
    <x v="2"/>
    <x v="2"/>
    <x v="0"/>
  </r>
  <r>
    <x v="0"/>
    <x v="0"/>
    <x v="18"/>
    <n v="163"/>
    <n v="70"/>
    <n v="79"/>
    <n v="14"/>
    <x v="5"/>
    <x v="0"/>
    <x v="0"/>
    <x v="0"/>
  </r>
  <r>
    <x v="0"/>
    <x v="0"/>
    <x v="19"/>
    <n v="39"/>
    <n v="11"/>
    <n v="22"/>
    <n v="6"/>
    <x v="5"/>
    <x v="0"/>
    <x v="0"/>
    <x v="0"/>
  </r>
  <r>
    <x v="0"/>
    <x v="0"/>
    <x v="20"/>
    <n v="371"/>
    <n v="149"/>
    <n v="199"/>
    <n v="19"/>
    <x v="4"/>
    <x v="1"/>
    <x v="0"/>
    <x v="0"/>
  </r>
  <r>
    <x v="0"/>
    <x v="0"/>
    <x v="21"/>
    <n v="1004"/>
    <n v="390"/>
    <n v="484"/>
    <n v="117"/>
    <x v="9"/>
    <x v="4"/>
    <x v="4"/>
    <x v="0"/>
  </r>
  <r>
    <x v="0"/>
    <x v="0"/>
    <x v="22"/>
    <n v="21"/>
    <n v="10"/>
    <n v="8"/>
    <n v="3"/>
    <x v="5"/>
    <x v="0"/>
    <x v="0"/>
    <x v="0"/>
  </r>
  <r>
    <x v="0"/>
    <x v="0"/>
    <x v="23"/>
    <n v="281"/>
    <n v="86"/>
    <n v="160"/>
    <n v="30"/>
    <x v="9"/>
    <x v="0"/>
    <x v="0"/>
    <x v="0"/>
  </r>
  <r>
    <x v="0"/>
    <x v="0"/>
    <x v="24"/>
    <n v="533"/>
    <n v="150"/>
    <n v="269"/>
    <n v="104"/>
    <x v="9"/>
    <x v="5"/>
    <x v="2"/>
    <x v="2"/>
  </r>
  <r>
    <x v="0"/>
    <x v="0"/>
    <x v="25"/>
    <n v="234"/>
    <n v="109"/>
    <n v="95"/>
    <n v="26"/>
    <x v="4"/>
    <x v="2"/>
    <x v="2"/>
    <x v="0"/>
  </r>
  <r>
    <x v="0"/>
    <x v="0"/>
    <x v="26"/>
    <n v="33"/>
    <n v="15"/>
    <n v="15"/>
    <n v="3"/>
    <x v="5"/>
    <x v="0"/>
    <x v="0"/>
    <x v="0"/>
  </r>
  <r>
    <x v="0"/>
    <x v="0"/>
    <x v="27"/>
    <n v="210"/>
    <n v="59"/>
    <n v="135"/>
    <n v="10"/>
    <x v="6"/>
    <x v="2"/>
    <x v="2"/>
    <x v="0"/>
  </r>
  <r>
    <x v="0"/>
    <x v="0"/>
    <x v="28"/>
    <n v="822"/>
    <n v="310"/>
    <n v="406"/>
    <n v="93"/>
    <x v="10"/>
    <x v="1"/>
    <x v="5"/>
    <x v="0"/>
  </r>
  <r>
    <x v="0"/>
    <x v="0"/>
    <x v="29"/>
    <n v="197"/>
    <n v="65"/>
    <n v="105"/>
    <n v="24"/>
    <x v="0"/>
    <x v="0"/>
    <x v="0"/>
    <x v="0"/>
  </r>
  <r>
    <x v="0"/>
    <x v="0"/>
    <x v="30"/>
    <n v="355"/>
    <n v="121"/>
    <n v="182"/>
    <n v="45"/>
    <x v="3"/>
    <x v="0"/>
    <x v="0"/>
    <x v="0"/>
  </r>
  <r>
    <x v="0"/>
    <x v="0"/>
    <x v="31"/>
    <n v="567"/>
    <n v="285"/>
    <n v="224"/>
    <n v="53"/>
    <x v="4"/>
    <x v="2"/>
    <x v="5"/>
    <x v="0"/>
  </r>
  <r>
    <x v="0"/>
    <x v="1"/>
    <x v="0"/>
    <n v="631"/>
    <n v="174"/>
    <n v="167"/>
    <n v="283"/>
    <x v="3"/>
    <x v="0"/>
    <x v="0"/>
    <x v="0"/>
  </r>
  <r>
    <x v="0"/>
    <x v="1"/>
    <x v="1"/>
    <n v="446"/>
    <n v="178"/>
    <n v="197"/>
    <n v="66"/>
    <x v="9"/>
    <x v="0"/>
    <x v="0"/>
    <x v="0"/>
  </r>
  <r>
    <x v="0"/>
    <x v="1"/>
    <x v="2"/>
    <n v="182"/>
    <n v="66"/>
    <n v="100"/>
    <n v="14"/>
    <x v="4"/>
    <x v="0"/>
    <x v="0"/>
    <x v="0"/>
  </r>
  <r>
    <x v="0"/>
    <x v="1"/>
    <x v="3"/>
    <n v="242"/>
    <n v="74"/>
    <n v="148"/>
    <n v="15"/>
    <x v="9"/>
    <x v="0"/>
    <x v="0"/>
    <x v="0"/>
  </r>
  <r>
    <x v="0"/>
    <x v="1"/>
    <x v="4"/>
    <n v="1387"/>
    <n v="480"/>
    <n v="418"/>
    <n v="467"/>
    <x v="11"/>
    <x v="4"/>
    <x v="4"/>
    <x v="2"/>
  </r>
  <r>
    <x v="0"/>
    <x v="1"/>
    <x v="5"/>
    <n v="110"/>
    <n v="51"/>
    <n v="47"/>
    <n v="11"/>
    <x v="2"/>
    <x v="0"/>
    <x v="0"/>
    <x v="0"/>
  </r>
  <r>
    <x v="0"/>
    <x v="1"/>
    <x v="6"/>
    <n v="263"/>
    <n v="139"/>
    <n v="109"/>
    <n v="12"/>
    <x v="0"/>
    <x v="0"/>
    <x v="0"/>
    <x v="0"/>
  </r>
  <r>
    <x v="0"/>
    <x v="1"/>
    <x v="7"/>
    <n v="523"/>
    <n v="109"/>
    <n v="306"/>
    <n v="104"/>
    <x v="0"/>
    <x v="2"/>
    <x v="0"/>
    <x v="0"/>
  </r>
  <r>
    <x v="0"/>
    <x v="1"/>
    <x v="8"/>
    <n v="267"/>
    <n v="117"/>
    <n v="133"/>
    <n v="13"/>
    <x v="4"/>
    <x v="1"/>
    <x v="0"/>
    <x v="0"/>
  </r>
  <r>
    <x v="0"/>
    <x v="1"/>
    <x v="9"/>
    <n v="154"/>
    <n v="67"/>
    <n v="74"/>
    <n v="12"/>
    <x v="2"/>
    <x v="0"/>
    <x v="0"/>
    <x v="0"/>
  </r>
  <r>
    <x v="0"/>
    <x v="1"/>
    <x v="10"/>
    <n v="206"/>
    <n v="96"/>
    <n v="83"/>
    <n v="21"/>
    <x v="7"/>
    <x v="0"/>
    <x v="0"/>
    <x v="0"/>
  </r>
  <r>
    <x v="0"/>
    <x v="1"/>
    <x v="11"/>
    <n v="132"/>
    <n v="55"/>
    <n v="63"/>
    <n v="9"/>
    <x v="6"/>
    <x v="2"/>
    <x v="0"/>
    <x v="0"/>
  </r>
  <r>
    <x v="0"/>
    <x v="1"/>
    <x v="12"/>
    <n v="305"/>
    <n v="117"/>
    <n v="143"/>
    <n v="35"/>
    <x v="12"/>
    <x v="0"/>
    <x v="0"/>
    <x v="0"/>
  </r>
  <r>
    <x v="0"/>
    <x v="1"/>
    <x v="13"/>
    <n v="651"/>
    <n v="231"/>
    <n v="331"/>
    <n v="74"/>
    <x v="13"/>
    <x v="1"/>
    <x v="2"/>
    <x v="0"/>
  </r>
  <r>
    <x v="0"/>
    <x v="1"/>
    <x v="14"/>
    <n v="2197"/>
    <n v="544"/>
    <n v="917"/>
    <n v="703"/>
    <x v="14"/>
    <x v="1"/>
    <x v="6"/>
    <x v="0"/>
  </r>
  <r>
    <x v="0"/>
    <x v="1"/>
    <x v="15"/>
    <n v="411"/>
    <n v="185"/>
    <n v="180"/>
    <n v="35"/>
    <x v="1"/>
    <x v="2"/>
    <x v="2"/>
    <x v="2"/>
  </r>
  <r>
    <x v="0"/>
    <x v="1"/>
    <x v="16"/>
    <n v="279"/>
    <n v="80"/>
    <n v="141"/>
    <n v="54"/>
    <x v="4"/>
    <x v="1"/>
    <x v="0"/>
    <x v="0"/>
  </r>
  <r>
    <x v="0"/>
    <x v="1"/>
    <x v="17"/>
    <n v="188"/>
    <n v="98"/>
    <n v="69"/>
    <n v="19"/>
    <x v="4"/>
    <x v="0"/>
    <x v="0"/>
    <x v="0"/>
  </r>
  <r>
    <x v="0"/>
    <x v="1"/>
    <x v="18"/>
    <n v="159"/>
    <n v="62"/>
    <n v="76"/>
    <n v="19"/>
    <x v="4"/>
    <x v="0"/>
    <x v="0"/>
    <x v="0"/>
  </r>
  <r>
    <x v="0"/>
    <x v="1"/>
    <x v="19"/>
    <n v="45"/>
    <n v="23"/>
    <n v="19"/>
    <n v="3"/>
    <x v="5"/>
    <x v="0"/>
    <x v="0"/>
    <x v="0"/>
  </r>
  <r>
    <x v="0"/>
    <x v="1"/>
    <x v="20"/>
    <n v="348"/>
    <n v="151"/>
    <n v="164"/>
    <n v="27"/>
    <x v="6"/>
    <x v="0"/>
    <x v="5"/>
    <x v="0"/>
  </r>
  <r>
    <x v="0"/>
    <x v="1"/>
    <x v="21"/>
    <n v="834"/>
    <n v="308"/>
    <n v="434"/>
    <n v="81"/>
    <x v="7"/>
    <x v="5"/>
    <x v="2"/>
    <x v="2"/>
  </r>
  <r>
    <x v="0"/>
    <x v="1"/>
    <x v="22"/>
    <n v="34"/>
    <n v="21"/>
    <n v="9"/>
    <n v="4"/>
    <x v="5"/>
    <x v="0"/>
    <x v="0"/>
    <x v="0"/>
  </r>
  <r>
    <x v="0"/>
    <x v="1"/>
    <x v="23"/>
    <n v="318"/>
    <n v="101"/>
    <n v="188"/>
    <n v="25"/>
    <x v="0"/>
    <x v="0"/>
    <x v="2"/>
    <x v="0"/>
  </r>
  <r>
    <x v="0"/>
    <x v="1"/>
    <x v="24"/>
    <n v="494"/>
    <n v="150"/>
    <n v="258"/>
    <n v="76"/>
    <x v="7"/>
    <x v="5"/>
    <x v="2"/>
    <x v="0"/>
  </r>
  <r>
    <x v="0"/>
    <x v="1"/>
    <x v="25"/>
    <n v="248"/>
    <n v="107"/>
    <n v="117"/>
    <n v="17"/>
    <x v="6"/>
    <x v="2"/>
    <x v="5"/>
    <x v="0"/>
  </r>
  <r>
    <x v="0"/>
    <x v="1"/>
    <x v="26"/>
    <n v="21"/>
    <n v="9"/>
    <n v="9"/>
    <n v="3"/>
    <x v="5"/>
    <x v="0"/>
    <x v="0"/>
    <x v="0"/>
  </r>
  <r>
    <x v="0"/>
    <x v="1"/>
    <x v="27"/>
    <n v="217"/>
    <n v="51"/>
    <n v="142"/>
    <n v="16"/>
    <x v="9"/>
    <x v="1"/>
    <x v="2"/>
    <x v="0"/>
  </r>
  <r>
    <x v="0"/>
    <x v="1"/>
    <x v="28"/>
    <n v="769"/>
    <n v="289"/>
    <n v="396"/>
    <n v="77"/>
    <x v="6"/>
    <x v="5"/>
    <x v="0"/>
    <x v="0"/>
  </r>
  <r>
    <x v="0"/>
    <x v="1"/>
    <x v="29"/>
    <n v="172"/>
    <n v="51"/>
    <n v="94"/>
    <n v="25"/>
    <x v="5"/>
    <x v="1"/>
    <x v="0"/>
    <x v="0"/>
  </r>
  <r>
    <x v="0"/>
    <x v="1"/>
    <x v="30"/>
    <n v="286"/>
    <n v="98"/>
    <n v="145"/>
    <n v="40"/>
    <x v="0"/>
    <x v="0"/>
    <x v="0"/>
    <x v="0"/>
  </r>
  <r>
    <x v="0"/>
    <x v="1"/>
    <x v="31"/>
    <n v="506"/>
    <n v="232"/>
    <n v="216"/>
    <n v="44"/>
    <x v="10"/>
    <x v="0"/>
    <x v="3"/>
    <x v="0"/>
  </r>
  <r>
    <x v="0"/>
    <x v="2"/>
    <x v="0"/>
    <n v="641"/>
    <n v="154"/>
    <n v="161"/>
    <n v="324"/>
    <x v="4"/>
    <x v="0"/>
    <x v="0"/>
    <x v="0"/>
  </r>
  <r>
    <x v="0"/>
    <x v="2"/>
    <x v="1"/>
    <n v="430"/>
    <n v="161"/>
    <n v="194"/>
    <n v="68"/>
    <x v="7"/>
    <x v="2"/>
    <x v="0"/>
    <x v="0"/>
  </r>
  <r>
    <x v="0"/>
    <x v="2"/>
    <x v="2"/>
    <n v="177"/>
    <n v="56"/>
    <n v="108"/>
    <n v="13"/>
    <x v="5"/>
    <x v="0"/>
    <x v="0"/>
    <x v="0"/>
  </r>
  <r>
    <x v="0"/>
    <x v="2"/>
    <x v="3"/>
    <n v="200"/>
    <n v="66"/>
    <n v="111"/>
    <n v="17"/>
    <x v="6"/>
    <x v="0"/>
    <x v="0"/>
    <x v="1"/>
  </r>
  <r>
    <x v="0"/>
    <x v="2"/>
    <x v="4"/>
    <n v="1389"/>
    <n v="428"/>
    <n v="450"/>
    <n v="495"/>
    <x v="13"/>
    <x v="2"/>
    <x v="5"/>
    <x v="2"/>
  </r>
  <r>
    <x v="0"/>
    <x v="2"/>
    <x v="5"/>
    <n v="87"/>
    <n v="39"/>
    <n v="36"/>
    <n v="12"/>
    <x v="5"/>
    <x v="0"/>
    <x v="0"/>
    <x v="0"/>
  </r>
  <r>
    <x v="0"/>
    <x v="2"/>
    <x v="6"/>
    <n v="261"/>
    <n v="133"/>
    <n v="110"/>
    <n v="14"/>
    <x v="0"/>
    <x v="0"/>
    <x v="0"/>
    <x v="2"/>
  </r>
  <r>
    <x v="0"/>
    <x v="2"/>
    <x v="7"/>
    <n v="436"/>
    <n v="88"/>
    <n v="255"/>
    <n v="91"/>
    <x v="4"/>
    <x v="0"/>
    <x v="0"/>
    <x v="0"/>
  </r>
  <r>
    <x v="0"/>
    <x v="2"/>
    <x v="8"/>
    <n v="261"/>
    <n v="102"/>
    <n v="128"/>
    <n v="25"/>
    <x v="6"/>
    <x v="2"/>
    <x v="0"/>
    <x v="2"/>
  </r>
  <r>
    <x v="0"/>
    <x v="2"/>
    <x v="9"/>
    <n v="130"/>
    <n v="51"/>
    <n v="65"/>
    <n v="13"/>
    <x v="2"/>
    <x v="0"/>
    <x v="0"/>
    <x v="0"/>
  </r>
  <r>
    <x v="0"/>
    <x v="2"/>
    <x v="10"/>
    <n v="218"/>
    <n v="92"/>
    <n v="105"/>
    <n v="17"/>
    <x v="4"/>
    <x v="1"/>
    <x v="0"/>
    <x v="0"/>
  </r>
  <r>
    <x v="0"/>
    <x v="2"/>
    <x v="11"/>
    <n v="147"/>
    <n v="67"/>
    <n v="68"/>
    <n v="8"/>
    <x v="6"/>
    <x v="0"/>
    <x v="0"/>
    <x v="0"/>
  </r>
  <r>
    <x v="0"/>
    <x v="2"/>
    <x v="12"/>
    <n v="272"/>
    <n v="105"/>
    <n v="126"/>
    <n v="34"/>
    <x v="3"/>
    <x v="0"/>
    <x v="0"/>
    <x v="0"/>
  </r>
  <r>
    <x v="0"/>
    <x v="2"/>
    <x v="13"/>
    <n v="616"/>
    <n v="217"/>
    <n v="317"/>
    <n v="66"/>
    <x v="13"/>
    <x v="5"/>
    <x v="0"/>
    <x v="2"/>
  </r>
  <r>
    <x v="0"/>
    <x v="2"/>
    <x v="14"/>
    <n v="2175"/>
    <n v="438"/>
    <n v="813"/>
    <n v="900"/>
    <x v="11"/>
    <x v="6"/>
    <x v="4"/>
    <x v="0"/>
  </r>
  <r>
    <x v="0"/>
    <x v="2"/>
    <x v="15"/>
    <n v="402"/>
    <n v="168"/>
    <n v="176"/>
    <n v="40"/>
    <x v="11"/>
    <x v="1"/>
    <x v="1"/>
    <x v="0"/>
  </r>
  <r>
    <x v="0"/>
    <x v="2"/>
    <x v="16"/>
    <n v="220"/>
    <n v="73"/>
    <n v="101"/>
    <n v="46"/>
    <x v="5"/>
    <x v="0"/>
    <x v="0"/>
    <x v="0"/>
  </r>
  <r>
    <x v="0"/>
    <x v="2"/>
    <x v="17"/>
    <n v="198"/>
    <n v="113"/>
    <n v="68"/>
    <n v="12"/>
    <x v="0"/>
    <x v="2"/>
    <x v="0"/>
    <x v="2"/>
  </r>
  <r>
    <x v="0"/>
    <x v="2"/>
    <x v="18"/>
    <n v="145"/>
    <n v="51"/>
    <n v="74"/>
    <n v="17"/>
    <x v="0"/>
    <x v="0"/>
    <x v="0"/>
    <x v="0"/>
  </r>
  <r>
    <x v="0"/>
    <x v="2"/>
    <x v="19"/>
    <n v="39"/>
    <n v="23"/>
    <n v="12"/>
    <n v="4"/>
    <x v="5"/>
    <x v="0"/>
    <x v="0"/>
    <x v="0"/>
  </r>
  <r>
    <x v="0"/>
    <x v="2"/>
    <x v="20"/>
    <n v="279"/>
    <n v="105"/>
    <n v="140"/>
    <n v="32"/>
    <x v="2"/>
    <x v="0"/>
    <x v="2"/>
    <x v="0"/>
  </r>
  <r>
    <x v="0"/>
    <x v="2"/>
    <x v="21"/>
    <n v="783"/>
    <n v="265"/>
    <n v="425"/>
    <n v="81"/>
    <x v="10"/>
    <x v="1"/>
    <x v="2"/>
    <x v="0"/>
  </r>
  <r>
    <x v="0"/>
    <x v="2"/>
    <x v="22"/>
    <n v="30"/>
    <n v="15"/>
    <n v="14"/>
    <n v="1"/>
    <x v="5"/>
    <x v="0"/>
    <x v="0"/>
    <x v="0"/>
  </r>
  <r>
    <x v="0"/>
    <x v="2"/>
    <x v="23"/>
    <n v="305"/>
    <n v="104"/>
    <n v="158"/>
    <n v="37"/>
    <x v="7"/>
    <x v="0"/>
    <x v="0"/>
    <x v="0"/>
  </r>
  <r>
    <x v="0"/>
    <x v="2"/>
    <x v="24"/>
    <n v="455"/>
    <n v="106"/>
    <n v="265"/>
    <n v="81"/>
    <x v="2"/>
    <x v="1"/>
    <x v="0"/>
    <x v="0"/>
  </r>
  <r>
    <x v="0"/>
    <x v="2"/>
    <x v="25"/>
    <n v="223"/>
    <n v="87"/>
    <n v="106"/>
    <n v="19"/>
    <x v="3"/>
    <x v="5"/>
    <x v="2"/>
    <x v="0"/>
  </r>
  <r>
    <x v="0"/>
    <x v="2"/>
    <x v="26"/>
    <n v="29"/>
    <n v="15"/>
    <n v="12"/>
    <n v="2"/>
    <x v="5"/>
    <x v="0"/>
    <x v="0"/>
    <x v="0"/>
  </r>
  <r>
    <x v="0"/>
    <x v="2"/>
    <x v="27"/>
    <n v="183"/>
    <n v="59"/>
    <n v="105"/>
    <n v="18"/>
    <x v="5"/>
    <x v="0"/>
    <x v="2"/>
    <x v="0"/>
  </r>
  <r>
    <x v="0"/>
    <x v="2"/>
    <x v="28"/>
    <n v="638"/>
    <n v="235"/>
    <n v="315"/>
    <n v="81"/>
    <x v="6"/>
    <x v="1"/>
    <x v="2"/>
    <x v="0"/>
  </r>
  <r>
    <x v="0"/>
    <x v="2"/>
    <x v="29"/>
    <n v="165"/>
    <n v="56"/>
    <n v="82"/>
    <n v="21"/>
    <x v="9"/>
    <x v="0"/>
    <x v="2"/>
    <x v="0"/>
  </r>
  <r>
    <x v="0"/>
    <x v="2"/>
    <x v="30"/>
    <n v="300"/>
    <n v="108"/>
    <n v="147"/>
    <n v="43"/>
    <x v="4"/>
    <x v="0"/>
    <x v="0"/>
    <x v="0"/>
  </r>
  <r>
    <x v="0"/>
    <x v="2"/>
    <x v="31"/>
    <n v="461"/>
    <n v="203"/>
    <n v="196"/>
    <n v="54"/>
    <x v="9"/>
    <x v="2"/>
    <x v="5"/>
    <x v="0"/>
  </r>
  <r>
    <x v="0"/>
    <x v="3"/>
    <x v="0"/>
    <n v="559"/>
    <n v="133"/>
    <n v="146"/>
    <n v="277"/>
    <x v="4"/>
    <x v="0"/>
    <x v="2"/>
    <x v="0"/>
  </r>
  <r>
    <x v="0"/>
    <x v="3"/>
    <x v="1"/>
    <n v="411"/>
    <n v="173"/>
    <n v="168"/>
    <n v="67"/>
    <x v="4"/>
    <x v="2"/>
    <x v="0"/>
    <x v="0"/>
  </r>
  <r>
    <x v="0"/>
    <x v="3"/>
    <x v="2"/>
    <n v="181"/>
    <n v="56"/>
    <n v="100"/>
    <n v="23"/>
    <x v="4"/>
    <x v="0"/>
    <x v="0"/>
    <x v="0"/>
  </r>
  <r>
    <x v="0"/>
    <x v="3"/>
    <x v="3"/>
    <n v="179"/>
    <n v="60"/>
    <n v="106"/>
    <n v="11"/>
    <x v="2"/>
    <x v="0"/>
    <x v="0"/>
    <x v="2"/>
  </r>
  <r>
    <x v="0"/>
    <x v="3"/>
    <x v="4"/>
    <n v="1177"/>
    <n v="341"/>
    <n v="381"/>
    <n v="440"/>
    <x v="10"/>
    <x v="1"/>
    <x v="1"/>
    <x v="2"/>
  </r>
  <r>
    <x v="0"/>
    <x v="3"/>
    <x v="5"/>
    <n v="80"/>
    <n v="38"/>
    <n v="32"/>
    <n v="8"/>
    <x v="2"/>
    <x v="2"/>
    <x v="0"/>
    <x v="0"/>
  </r>
  <r>
    <x v="0"/>
    <x v="3"/>
    <x v="6"/>
    <n v="235"/>
    <n v="92"/>
    <n v="126"/>
    <n v="17"/>
    <x v="5"/>
    <x v="0"/>
    <x v="0"/>
    <x v="0"/>
  </r>
  <r>
    <x v="0"/>
    <x v="3"/>
    <x v="7"/>
    <n v="384"/>
    <n v="67"/>
    <n v="241"/>
    <n v="74"/>
    <x v="4"/>
    <x v="0"/>
    <x v="0"/>
    <x v="0"/>
  </r>
  <r>
    <x v="0"/>
    <x v="3"/>
    <x v="8"/>
    <n v="228"/>
    <n v="85"/>
    <n v="127"/>
    <n v="13"/>
    <x v="5"/>
    <x v="1"/>
    <x v="2"/>
    <x v="0"/>
  </r>
  <r>
    <x v="0"/>
    <x v="3"/>
    <x v="9"/>
    <n v="153"/>
    <n v="68"/>
    <n v="68"/>
    <n v="14"/>
    <x v="0"/>
    <x v="0"/>
    <x v="0"/>
    <x v="0"/>
  </r>
  <r>
    <x v="0"/>
    <x v="3"/>
    <x v="10"/>
    <n v="185"/>
    <n v="69"/>
    <n v="96"/>
    <n v="17"/>
    <x v="4"/>
    <x v="0"/>
    <x v="2"/>
    <x v="0"/>
  </r>
  <r>
    <x v="0"/>
    <x v="3"/>
    <x v="11"/>
    <n v="137"/>
    <n v="52"/>
    <n v="72"/>
    <n v="11"/>
    <x v="2"/>
    <x v="2"/>
    <x v="0"/>
    <x v="0"/>
  </r>
  <r>
    <x v="0"/>
    <x v="3"/>
    <x v="12"/>
    <n v="215"/>
    <n v="71"/>
    <n v="112"/>
    <n v="28"/>
    <x v="0"/>
    <x v="2"/>
    <x v="0"/>
    <x v="0"/>
  </r>
  <r>
    <x v="0"/>
    <x v="3"/>
    <x v="13"/>
    <n v="616"/>
    <n v="210"/>
    <n v="319"/>
    <n v="82"/>
    <x v="9"/>
    <x v="0"/>
    <x v="0"/>
    <x v="0"/>
  </r>
  <r>
    <x v="0"/>
    <x v="3"/>
    <x v="14"/>
    <n v="1873"/>
    <n v="368"/>
    <n v="770"/>
    <n v="703"/>
    <x v="15"/>
    <x v="2"/>
    <x v="6"/>
    <x v="2"/>
  </r>
  <r>
    <x v="0"/>
    <x v="3"/>
    <x v="15"/>
    <n v="353"/>
    <n v="160"/>
    <n v="146"/>
    <n v="33"/>
    <x v="10"/>
    <x v="4"/>
    <x v="2"/>
    <x v="0"/>
  </r>
  <r>
    <x v="0"/>
    <x v="3"/>
    <x v="16"/>
    <n v="180"/>
    <n v="69"/>
    <n v="74"/>
    <n v="35"/>
    <x v="4"/>
    <x v="0"/>
    <x v="0"/>
    <x v="0"/>
  </r>
  <r>
    <x v="0"/>
    <x v="3"/>
    <x v="17"/>
    <n v="164"/>
    <n v="77"/>
    <n v="67"/>
    <n v="16"/>
    <x v="0"/>
    <x v="2"/>
    <x v="0"/>
    <x v="0"/>
  </r>
  <r>
    <x v="0"/>
    <x v="3"/>
    <x v="18"/>
    <n v="125"/>
    <n v="54"/>
    <n v="58"/>
    <n v="12"/>
    <x v="2"/>
    <x v="0"/>
    <x v="0"/>
    <x v="0"/>
  </r>
  <r>
    <x v="0"/>
    <x v="3"/>
    <x v="19"/>
    <n v="65"/>
    <n v="27"/>
    <n v="29"/>
    <n v="4"/>
    <x v="6"/>
    <x v="2"/>
    <x v="0"/>
    <x v="0"/>
  </r>
  <r>
    <x v="0"/>
    <x v="3"/>
    <x v="20"/>
    <n v="254"/>
    <n v="82"/>
    <n v="151"/>
    <n v="20"/>
    <x v="2"/>
    <x v="0"/>
    <x v="0"/>
    <x v="0"/>
  </r>
  <r>
    <x v="0"/>
    <x v="3"/>
    <x v="21"/>
    <n v="710"/>
    <n v="206"/>
    <n v="413"/>
    <n v="82"/>
    <x v="9"/>
    <x v="5"/>
    <x v="2"/>
    <x v="0"/>
  </r>
  <r>
    <x v="0"/>
    <x v="3"/>
    <x v="22"/>
    <n v="31"/>
    <n v="17"/>
    <n v="10"/>
    <n v="4"/>
    <x v="5"/>
    <x v="0"/>
    <x v="0"/>
    <x v="0"/>
  </r>
  <r>
    <x v="0"/>
    <x v="3"/>
    <x v="23"/>
    <n v="261"/>
    <n v="72"/>
    <n v="136"/>
    <n v="49"/>
    <x v="0"/>
    <x v="2"/>
    <x v="0"/>
    <x v="0"/>
  </r>
  <r>
    <x v="0"/>
    <x v="3"/>
    <x v="24"/>
    <n v="423"/>
    <n v="105"/>
    <n v="250"/>
    <n v="61"/>
    <x v="4"/>
    <x v="1"/>
    <x v="5"/>
    <x v="2"/>
  </r>
  <r>
    <x v="0"/>
    <x v="3"/>
    <x v="25"/>
    <n v="192"/>
    <n v="76"/>
    <n v="95"/>
    <n v="18"/>
    <x v="2"/>
    <x v="0"/>
    <x v="5"/>
    <x v="0"/>
  </r>
  <r>
    <x v="0"/>
    <x v="3"/>
    <x v="26"/>
    <n v="30"/>
    <n v="11"/>
    <n v="13"/>
    <n v="6"/>
    <x v="5"/>
    <x v="0"/>
    <x v="0"/>
    <x v="0"/>
  </r>
  <r>
    <x v="0"/>
    <x v="3"/>
    <x v="27"/>
    <n v="212"/>
    <n v="64"/>
    <n v="126"/>
    <n v="16"/>
    <x v="4"/>
    <x v="5"/>
    <x v="2"/>
    <x v="0"/>
  </r>
  <r>
    <x v="0"/>
    <x v="3"/>
    <x v="28"/>
    <n v="596"/>
    <n v="200"/>
    <n v="308"/>
    <n v="85"/>
    <x v="4"/>
    <x v="2"/>
    <x v="0"/>
    <x v="0"/>
  </r>
  <r>
    <x v="0"/>
    <x v="3"/>
    <x v="29"/>
    <n v="135"/>
    <n v="38"/>
    <n v="72"/>
    <n v="24"/>
    <x v="2"/>
    <x v="0"/>
    <x v="0"/>
    <x v="0"/>
  </r>
  <r>
    <x v="0"/>
    <x v="3"/>
    <x v="30"/>
    <n v="272"/>
    <n v="91"/>
    <n v="123"/>
    <n v="57"/>
    <x v="2"/>
    <x v="0"/>
    <x v="0"/>
    <x v="0"/>
  </r>
  <r>
    <x v="0"/>
    <x v="3"/>
    <x v="31"/>
    <n v="370"/>
    <n v="121"/>
    <n v="190"/>
    <n v="48"/>
    <x v="10"/>
    <x v="1"/>
    <x v="0"/>
    <x v="0"/>
  </r>
  <r>
    <x v="0"/>
    <x v="4"/>
    <x v="0"/>
    <n v="556"/>
    <n v="143"/>
    <n v="158"/>
    <n v="247"/>
    <x v="7"/>
    <x v="0"/>
    <x v="5"/>
    <x v="0"/>
  </r>
  <r>
    <x v="0"/>
    <x v="4"/>
    <x v="1"/>
    <n v="408"/>
    <n v="164"/>
    <n v="192"/>
    <n v="47"/>
    <x v="6"/>
    <x v="2"/>
    <x v="0"/>
    <x v="0"/>
  </r>
  <r>
    <x v="0"/>
    <x v="4"/>
    <x v="2"/>
    <n v="170"/>
    <n v="56"/>
    <n v="94"/>
    <n v="18"/>
    <x v="4"/>
    <x v="0"/>
    <x v="0"/>
    <x v="0"/>
  </r>
  <r>
    <x v="0"/>
    <x v="4"/>
    <x v="3"/>
    <n v="173"/>
    <n v="55"/>
    <n v="105"/>
    <n v="12"/>
    <x v="2"/>
    <x v="0"/>
    <x v="0"/>
    <x v="0"/>
  </r>
  <r>
    <x v="0"/>
    <x v="4"/>
    <x v="4"/>
    <n v="1161"/>
    <n v="398"/>
    <n v="370"/>
    <n v="377"/>
    <x v="10"/>
    <x v="5"/>
    <x v="4"/>
    <x v="0"/>
  </r>
  <r>
    <x v="0"/>
    <x v="4"/>
    <x v="5"/>
    <n v="93"/>
    <n v="57"/>
    <n v="24"/>
    <n v="10"/>
    <x v="4"/>
    <x v="0"/>
    <x v="0"/>
    <x v="0"/>
  </r>
  <r>
    <x v="0"/>
    <x v="4"/>
    <x v="6"/>
    <n v="244"/>
    <n v="109"/>
    <n v="113"/>
    <n v="19"/>
    <x v="2"/>
    <x v="0"/>
    <x v="2"/>
    <x v="2"/>
  </r>
  <r>
    <x v="0"/>
    <x v="4"/>
    <x v="7"/>
    <n v="321"/>
    <n v="56"/>
    <n v="184"/>
    <n v="80"/>
    <x v="2"/>
    <x v="0"/>
    <x v="0"/>
    <x v="0"/>
  </r>
  <r>
    <x v="0"/>
    <x v="4"/>
    <x v="8"/>
    <n v="217"/>
    <n v="79"/>
    <n v="116"/>
    <n v="15"/>
    <x v="6"/>
    <x v="1"/>
    <x v="2"/>
    <x v="0"/>
  </r>
  <r>
    <x v="0"/>
    <x v="4"/>
    <x v="9"/>
    <n v="124"/>
    <n v="59"/>
    <n v="45"/>
    <n v="15"/>
    <x v="0"/>
    <x v="2"/>
    <x v="2"/>
    <x v="0"/>
  </r>
  <r>
    <x v="0"/>
    <x v="4"/>
    <x v="10"/>
    <n v="172"/>
    <n v="60"/>
    <n v="88"/>
    <n v="23"/>
    <x v="2"/>
    <x v="0"/>
    <x v="0"/>
    <x v="0"/>
  </r>
  <r>
    <x v="0"/>
    <x v="4"/>
    <x v="11"/>
    <n v="120"/>
    <n v="51"/>
    <n v="58"/>
    <n v="8"/>
    <x v="4"/>
    <x v="0"/>
    <x v="2"/>
    <x v="0"/>
  </r>
  <r>
    <x v="0"/>
    <x v="4"/>
    <x v="12"/>
    <n v="280"/>
    <n v="101"/>
    <n v="140"/>
    <n v="34"/>
    <x v="9"/>
    <x v="0"/>
    <x v="0"/>
    <x v="0"/>
  </r>
  <r>
    <x v="0"/>
    <x v="4"/>
    <x v="13"/>
    <n v="498"/>
    <n v="174"/>
    <n v="250"/>
    <n v="62"/>
    <x v="12"/>
    <x v="1"/>
    <x v="0"/>
    <x v="0"/>
  </r>
  <r>
    <x v="0"/>
    <x v="4"/>
    <x v="14"/>
    <n v="1679"/>
    <n v="320"/>
    <n v="681"/>
    <n v="647"/>
    <x v="16"/>
    <x v="5"/>
    <x v="5"/>
    <x v="0"/>
  </r>
  <r>
    <x v="0"/>
    <x v="4"/>
    <x v="15"/>
    <n v="364"/>
    <n v="146"/>
    <n v="177"/>
    <n v="28"/>
    <x v="10"/>
    <x v="2"/>
    <x v="5"/>
    <x v="2"/>
  </r>
  <r>
    <x v="0"/>
    <x v="4"/>
    <x v="16"/>
    <n v="187"/>
    <n v="57"/>
    <n v="89"/>
    <n v="35"/>
    <x v="9"/>
    <x v="0"/>
    <x v="0"/>
    <x v="2"/>
  </r>
  <r>
    <x v="0"/>
    <x v="4"/>
    <x v="17"/>
    <n v="151"/>
    <n v="86"/>
    <n v="52"/>
    <n v="11"/>
    <x v="2"/>
    <x v="2"/>
    <x v="0"/>
    <x v="0"/>
  </r>
  <r>
    <x v="0"/>
    <x v="4"/>
    <x v="18"/>
    <n v="162"/>
    <n v="61"/>
    <n v="64"/>
    <n v="29"/>
    <x v="3"/>
    <x v="2"/>
    <x v="0"/>
    <x v="0"/>
  </r>
  <r>
    <x v="0"/>
    <x v="4"/>
    <x v="19"/>
    <n v="32"/>
    <n v="13"/>
    <n v="17"/>
    <n v="2"/>
    <x v="5"/>
    <x v="0"/>
    <x v="0"/>
    <x v="0"/>
  </r>
  <r>
    <x v="0"/>
    <x v="4"/>
    <x v="20"/>
    <n v="234"/>
    <n v="83"/>
    <n v="116"/>
    <n v="33"/>
    <x v="4"/>
    <x v="0"/>
    <x v="0"/>
    <x v="0"/>
  </r>
  <r>
    <x v="0"/>
    <x v="4"/>
    <x v="21"/>
    <n v="670"/>
    <n v="211"/>
    <n v="351"/>
    <n v="101"/>
    <x v="7"/>
    <x v="0"/>
    <x v="2"/>
    <x v="0"/>
  </r>
  <r>
    <x v="0"/>
    <x v="4"/>
    <x v="22"/>
    <n v="28"/>
    <n v="18"/>
    <n v="6"/>
    <n v="4"/>
    <x v="5"/>
    <x v="0"/>
    <x v="0"/>
    <x v="0"/>
  </r>
  <r>
    <x v="0"/>
    <x v="4"/>
    <x v="23"/>
    <n v="224"/>
    <n v="62"/>
    <n v="127"/>
    <n v="34"/>
    <x v="2"/>
    <x v="0"/>
    <x v="0"/>
    <x v="0"/>
  </r>
  <r>
    <x v="0"/>
    <x v="4"/>
    <x v="24"/>
    <n v="446"/>
    <n v="112"/>
    <n v="246"/>
    <n v="82"/>
    <x v="9"/>
    <x v="2"/>
    <x v="0"/>
    <x v="0"/>
  </r>
  <r>
    <x v="0"/>
    <x v="4"/>
    <x v="25"/>
    <n v="202"/>
    <n v="98"/>
    <n v="90"/>
    <n v="11"/>
    <x v="4"/>
    <x v="2"/>
    <x v="0"/>
    <x v="0"/>
  </r>
  <r>
    <x v="0"/>
    <x v="4"/>
    <x v="26"/>
    <n v="25"/>
    <n v="10"/>
    <n v="14"/>
    <n v="1"/>
    <x v="5"/>
    <x v="0"/>
    <x v="0"/>
    <x v="0"/>
  </r>
  <r>
    <x v="0"/>
    <x v="4"/>
    <x v="27"/>
    <n v="181"/>
    <n v="47"/>
    <n v="108"/>
    <n v="23"/>
    <x v="4"/>
    <x v="0"/>
    <x v="2"/>
    <x v="0"/>
  </r>
  <r>
    <x v="0"/>
    <x v="4"/>
    <x v="28"/>
    <n v="497"/>
    <n v="149"/>
    <n v="287"/>
    <n v="58"/>
    <x v="0"/>
    <x v="0"/>
    <x v="0"/>
    <x v="0"/>
  </r>
  <r>
    <x v="0"/>
    <x v="4"/>
    <x v="29"/>
    <n v="149"/>
    <n v="47"/>
    <n v="75"/>
    <n v="25"/>
    <x v="2"/>
    <x v="2"/>
    <x v="0"/>
    <x v="0"/>
  </r>
  <r>
    <x v="0"/>
    <x v="4"/>
    <x v="30"/>
    <n v="235"/>
    <n v="72"/>
    <n v="127"/>
    <n v="34"/>
    <x v="4"/>
    <x v="0"/>
    <x v="0"/>
    <x v="0"/>
  </r>
  <r>
    <x v="0"/>
    <x v="4"/>
    <x v="31"/>
    <n v="409"/>
    <n v="198"/>
    <n v="169"/>
    <n v="39"/>
    <x v="4"/>
    <x v="0"/>
    <x v="2"/>
    <x v="0"/>
  </r>
  <r>
    <x v="0"/>
    <x v="5"/>
    <x v="0"/>
    <n v="543"/>
    <n v="112"/>
    <n v="133"/>
    <n v="290"/>
    <x v="7"/>
    <x v="1"/>
    <x v="0"/>
    <x v="0"/>
  </r>
  <r>
    <x v="0"/>
    <x v="5"/>
    <x v="1"/>
    <n v="430"/>
    <n v="153"/>
    <n v="211"/>
    <n v="53"/>
    <x v="10"/>
    <x v="5"/>
    <x v="2"/>
    <x v="0"/>
  </r>
  <r>
    <x v="0"/>
    <x v="5"/>
    <x v="2"/>
    <n v="189"/>
    <n v="61"/>
    <n v="107"/>
    <n v="21"/>
    <x v="5"/>
    <x v="0"/>
    <x v="0"/>
    <x v="0"/>
  </r>
  <r>
    <x v="0"/>
    <x v="5"/>
    <x v="3"/>
    <n v="159"/>
    <n v="52"/>
    <n v="91"/>
    <n v="13"/>
    <x v="5"/>
    <x v="0"/>
    <x v="0"/>
    <x v="3"/>
  </r>
  <r>
    <x v="0"/>
    <x v="5"/>
    <x v="4"/>
    <n v="1212"/>
    <n v="344"/>
    <n v="383"/>
    <n v="468"/>
    <x v="8"/>
    <x v="2"/>
    <x v="2"/>
    <x v="2"/>
  </r>
  <r>
    <x v="0"/>
    <x v="5"/>
    <x v="5"/>
    <n v="94"/>
    <n v="40"/>
    <n v="39"/>
    <n v="15"/>
    <x v="5"/>
    <x v="0"/>
    <x v="0"/>
    <x v="0"/>
  </r>
  <r>
    <x v="0"/>
    <x v="5"/>
    <x v="6"/>
    <n v="201"/>
    <n v="82"/>
    <n v="89"/>
    <n v="26"/>
    <x v="0"/>
    <x v="0"/>
    <x v="2"/>
    <x v="0"/>
  </r>
  <r>
    <x v="0"/>
    <x v="5"/>
    <x v="7"/>
    <n v="324"/>
    <n v="68"/>
    <n v="196"/>
    <n v="59"/>
    <x v="2"/>
    <x v="0"/>
    <x v="0"/>
    <x v="0"/>
  </r>
  <r>
    <x v="0"/>
    <x v="5"/>
    <x v="8"/>
    <n v="201"/>
    <n v="73"/>
    <n v="112"/>
    <n v="15"/>
    <x v="2"/>
    <x v="0"/>
    <x v="0"/>
    <x v="0"/>
  </r>
  <r>
    <x v="0"/>
    <x v="5"/>
    <x v="9"/>
    <n v="139"/>
    <n v="66"/>
    <n v="57"/>
    <n v="15"/>
    <x v="2"/>
    <x v="0"/>
    <x v="0"/>
    <x v="0"/>
  </r>
  <r>
    <x v="0"/>
    <x v="5"/>
    <x v="10"/>
    <n v="190"/>
    <n v="68"/>
    <n v="87"/>
    <n v="29"/>
    <x v="6"/>
    <x v="2"/>
    <x v="0"/>
    <x v="2"/>
  </r>
  <r>
    <x v="0"/>
    <x v="5"/>
    <x v="11"/>
    <n v="104"/>
    <n v="36"/>
    <n v="57"/>
    <n v="11"/>
    <x v="5"/>
    <x v="0"/>
    <x v="0"/>
    <x v="0"/>
  </r>
  <r>
    <x v="0"/>
    <x v="5"/>
    <x v="12"/>
    <n v="263"/>
    <n v="113"/>
    <n v="111"/>
    <n v="34"/>
    <x v="6"/>
    <x v="0"/>
    <x v="2"/>
    <x v="0"/>
  </r>
  <r>
    <x v="0"/>
    <x v="5"/>
    <x v="13"/>
    <n v="498"/>
    <n v="153"/>
    <n v="266"/>
    <n v="75"/>
    <x v="6"/>
    <x v="0"/>
    <x v="0"/>
    <x v="0"/>
  </r>
  <r>
    <x v="0"/>
    <x v="5"/>
    <x v="14"/>
    <n v="1688"/>
    <n v="337"/>
    <n v="769"/>
    <n v="564"/>
    <x v="13"/>
    <x v="2"/>
    <x v="3"/>
    <x v="0"/>
  </r>
  <r>
    <x v="0"/>
    <x v="5"/>
    <x v="15"/>
    <n v="363"/>
    <n v="162"/>
    <n v="155"/>
    <n v="37"/>
    <x v="7"/>
    <x v="1"/>
    <x v="2"/>
    <x v="0"/>
  </r>
  <r>
    <x v="0"/>
    <x v="5"/>
    <x v="16"/>
    <n v="199"/>
    <n v="66"/>
    <n v="78"/>
    <n v="55"/>
    <x v="5"/>
    <x v="0"/>
    <x v="0"/>
    <x v="0"/>
  </r>
  <r>
    <x v="0"/>
    <x v="5"/>
    <x v="17"/>
    <n v="168"/>
    <n v="83"/>
    <n v="66"/>
    <n v="17"/>
    <x v="2"/>
    <x v="2"/>
    <x v="0"/>
    <x v="0"/>
  </r>
  <r>
    <x v="0"/>
    <x v="5"/>
    <x v="18"/>
    <n v="140"/>
    <n v="52"/>
    <n v="60"/>
    <n v="21"/>
    <x v="7"/>
    <x v="2"/>
    <x v="0"/>
    <x v="0"/>
  </r>
  <r>
    <x v="0"/>
    <x v="5"/>
    <x v="19"/>
    <n v="53"/>
    <n v="32"/>
    <n v="18"/>
    <n v="3"/>
    <x v="5"/>
    <x v="0"/>
    <x v="0"/>
    <x v="0"/>
  </r>
  <r>
    <x v="0"/>
    <x v="5"/>
    <x v="20"/>
    <n v="281"/>
    <n v="117"/>
    <n v="133"/>
    <n v="27"/>
    <x v="4"/>
    <x v="1"/>
    <x v="0"/>
    <x v="0"/>
  </r>
  <r>
    <x v="0"/>
    <x v="5"/>
    <x v="21"/>
    <n v="655"/>
    <n v="191"/>
    <n v="364"/>
    <n v="95"/>
    <x v="0"/>
    <x v="0"/>
    <x v="5"/>
    <x v="0"/>
  </r>
  <r>
    <x v="0"/>
    <x v="5"/>
    <x v="22"/>
    <n v="39"/>
    <n v="30"/>
    <n v="9"/>
    <m/>
    <x v="5"/>
    <x v="0"/>
    <x v="0"/>
    <x v="0"/>
  </r>
  <r>
    <x v="0"/>
    <x v="5"/>
    <x v="23"/>
    <n v="254"/>
    <n v="58"/>
    <n v="154"/>
    <n v="39"/>
    <x v="0"/>
    <x v="0"/>
    <x v="0"/>
    <x v="0"/>
  </r>
  <r>
    <x v="0"/>
    <x v="5"/>
    <x v="24"/>
    <n v="414"/>
    <n v="103"/>
    <n v="219"/>
    <n v="83"/>
    <x v="3"/>
    <x v="0"/>
    <x v="5"/>
    <x v="0"/>
  </r>
  <r>
    <x v="0"/>
    <x v="5"/>
    <x v="25"/>
    <n v="178"/>
    <n v="65"/>
    <n v="82"/>
    <n v="19"/>
    <x v="7"/>
    <x v="4"/>
    <x v="5"/>
    <x v="0"/>
  </r>
  <r>
    <x v="0"/>
    <x v="5"/>
    <x v="26"/>
    <n v="41"/>
    <n v="20"/>
    <n v="14"/>
    <n v="7"/>
    <x v="5"/>
    <x v="0"/>
    <x v="0"/>
    <x v="0"/>
  </r>
  <r>
    <x v="0"/>
    <x v="5"/>
    <x v="27"/>
    <n v="187"/>
    <n v="38"/>
    <n v="116"/>
    <n v="27"/>
    <x v="6"/>
    <x v="1"/>
    <x v="0"/>
    <x v="0"/>
  </r>
  <r>
    <x v="0"/>
    <x v="5"/>
    <x v="28"/>
    <n v="583"/>
    <n v="190"/>
    <n v="313"/>
    <n v="70"/>
    <x v="3"/>
    <x v="2"/>
    <x v="5"/>
    <x v="0"/>
  </r>
  <r>
    <x v="0"/>
    <x v="5"/>
    <x v="29"/>
    <n v="170"/>
    <n v="52"/>
    <n v="92"/>
    <n v="24"/>
    <x v="4"/>
    <x v="0"/>
    <x v="0"/>
    <x v="0"/>
  </r>
  <r>
    <x v="0"/>
    <x v="5"/>
    <x v="30"/>
    <n v="176"/>
    <n v="66"/>
    <n v="86"/>
    <n v="22"/>
    <x v="5"/>
    <x v="2"/>
    <x v="2"/>
    <x v="0"/>
  </r>
  <r>
    <x v="0"/>
    <x v="5"/>
    <x v="31"/>
    <n v="376"/>
    <n v="158"/>
    <n v="173"/>
    <n v="37"/>
    <x v="1"/>
    <x v="0"/>
    <x v="0"/>
    <x v="0"/>
  </r>
  <r>
    <x v="0"/>
    <x v="6"/>
    <x v="0"/>
    <n v="550"/>
    <n v="106"/>
    <n v="133"/>
    <n v="306"/>
    <x v="9"/>
    <x v="0"/>
    <x v="0"/>
    <x v="0"/>
  </r>
  <r>
    <x v="0"/>
    <x v="6"/>
    <x v="1"/>
    <n v="402"/>
    <n v="153"/>
    <n v="177"/>
    <n v="62"/>
    <x v="1"/>
    <x v="1"/>
    <x v="0"/>
    <x v="0"/>
  </r>
  <r>
    <x v="0"/>
    <x v="6"/>
    <x v="2"/>
    <n v="178"/>
    <n v="54"/>
    <n v="101"/>
    <n v="22"/>
    <x v="2"/>
    <x v="0"/>
    <x v="0"/>
    <x v="0"/>
  </r>
  <r>
    <x v="0"/>
    <x v="6"/>
    <x v="3"/>
    <n v="137"/>
    <n v="47"/>
    <n v="74"/>
    <n v="16"/>
    <x v="5"/>
    <x v="0"/>
    <x v="0"/>
    <x v="0"/>
  </r>
  <r>
    <x v="0"/>
    <x v="6"/>
    <x v="4"/>
    <n v="1217"/>
    <n v="363"/>
    <n v="370"/>
    <n v="446"/>
    <x v="1"/>
    <x v="5"/>
    <x v="0"/>
    <x v="4"/>
  </r>
  <r>
    <x v="0"/>
    <x v="6"/>
    <x v="5"/>
    <n v="108"/>
    <n v="44"/>
    <n v="42"/>
    <n v="15"/>
    <x v="5"/>
    <x v="0"/>
    <x v="0"/>
    <x v="5"/>
  </r>
  <r>
    <x v="0"/>
    <x v="6"/>
    <x v="6"/>
    <n v="223"/>
    <n v="73"/>
    <n v="125"/>
    <n v="21"/>
    <x v="4"/>
    <x v="2"/>
    <x v="2"/>
    <x v="0"/>
  </r>
  <r>
    <x v="0"/>
    <x v="6"/>
    <x v="7"/>
    <n v="370"/>
    <n v="58"/>
    <n v="231"/>
    <n v="81"/>
    <x v="5"/>
    <x v="0"/>
    <x v="0"/>
    <x v="0"/>
  </r>
  <r>
    <x v="0"/>
    <x v="6"/>
    <x v="8"/>
    <n v="219"/>
    <n v="88"/>
    <n v="105"/>
    <n v="21"/>
    <x v="2"/>
    <x v="5"/>
    <x v="2"/>
    <x v="0"/>
  </r>
  <r>
    <x v="0"/>
    <x v="6"/>
    <x v="9"/>
    <n v="146"/>
    <n v="63"/>
    <n v="68"/>
    <n v="14"/>
    <x v="2"/>
    <x v="0"/>
    <x v="0"/>
    <x v="0"/>
  </r>
  <r>
    <x v="0"/>
    <x v="6"/>
    <x v="10"/>
    <n v="196"/>
    <n v="60"/>
    <n v="85"/>
    <n v="21"/>
    <x v="0"/>
    <x v="2"/>
    <x v="0"/>
    <x v="6"/>
  </r>
  <r>
    <x v="0"/>
    <x v="6"/>
    <x v="11"/>
    <n v="130"/>
    <n v="48"/>
    <n v="68"/>
    <n v="12"/>
    <x v="4"/>
    <x v="0"/>
    <x v="0"/>
    <x v="0"/>
  </r>
  <r>
    <x v="0"/>
    <x v="6"/>
    <x v="12"/>
    <n v="296"/>
    <n v="115"/>
    <n v="120"/>
    <n v="35"/>
    <x v="4"/>
    <x v="1"/>
    <x v="0"/>
    <x v="7"/>
  </r>
  <r>
    <x v="0"/>
    <x v="6"/>
    <x v="13"/>
    <n v="557"/>
    <n v="171"/>
    <n v="302"/>
    <n v="79"/>
    <x v="6"/>
    <x v="2"/>
    <x v="0"/>
    <x v="0"/>
  </r>
  <r>
    <x v="0"/>
    <x v="6"/>
    <x v="14"/>
    <n v="1734"/>
    <n v="367"/>
    <n v="739"/>
    <n v="602"/>
    <x v="17"/>
    <x v="2"/>
    <x v="3"/>
    <x v="2"/>
  </r>
  <r>
    <x v="0"/>
    <x v="6"/>
    <x v="15"/>
    <n v="368"/>
    <n v="157"/>
    <n v="165"/>
    <n v="41"/>
    <x v="6"/>
    <x v="0"/>
    <x v="2"/>
    <x v="0"/>
  </r>
  <r>
    <x v="0"/>
    <x v="6"/>
    <x v="16"/>
    <n v="213"/>
    <n v="65"/>
    <n v="95"/>
    <n v="46"/>
    <x v="9"/>
    <x v="0"/>
    <x v="2"/>
    <x v="2"/>
  </r>
  <r>
    <x v="0"/>
    <x v="6"/>
    <x v="17"/>
    <n v="168"/>
    <n v="80"/>
    <n v="50"/>
    <n v="14"/>
    <x v="0"/>
    <x v="2"/>
    <x v="2"/>
    <x v="8"/>
  </r>
  <r>
    <x v="0"/>
    <x v="6"/>
    <x v="18"/>
    <n v="125"/>
    <n v="44"/>
    <n v="65"/>
    <n v="11"/>
    <x v="6"/>
    <x v="0"/>
    <x v="2"/>
    <x v="0"/>
  </r>
  <r>
    <x v="0"/>
    <x v="6"/>
    <x v="19"/>
    <n v="41"/>
    <n v="20"/>
    <n v="17"/>
    <n v="4"/>
    <x v="5"/>
    <x v="0"/>
    <x v="0"/>
    <x v="0"/>
  </r>
  <r>
    <x v="0"/>
    <x v="6"/>
    <x v="20"/>
    <n v="283"/>
    <n v="113"/>
    <n v="135"/>
    <n v="32"/>
    <x v="4"/>
    <x v="0"/>
    <x v="0"/>
    <x v="2"/>
  </r>
  <r>
    <x v="0"/>
    <x v="6"/>
    <x v="21"/>
    <n v="651"/>
    <n v="202"/>
    <n v="353"/>
    <n v="81"/>
    <x v="1"/>
    <x v="1"/>
    <x v="5"/>
    <x v="3"/>
  </r>
  <r>
    <x v="0"/>
    <x v="6"/>
    <x v="22"/>
    <n v="37"/>
    <n v="18"/>
    <n v="16"/>
    <n v="3"/>
    <x v="5"/>
    <x v="0"/>
    <x v="0"/>
    <x v="0"/>
  </r>
  <r>
    <x v="0"/>
    <x v="6"/>
    <x v="23"/>
    <n v="266"/>
    <n v="78"/>
    <n v="152"/>
    <n v="33"/>
    <x v="0"/>
    <x v="0"/>
    <x v="0"/>
    <x v="0"/>
  </r>
  <r>
    <x v="0"/>
    <x v="6"/>
    <x v="24"/>
    <n v="404"/>
    <n v="89"/>
    <n v="209"/>
    <n v="101"/>
    <x v="0"/>
    <x v="0"/>
    <x v="2"/>
    <x v="2"/>
  </r>
  <r>
    <x v="0"/>
    <x v="6"/>
    <x v="25"/>
    <n v="225"/>
    <n v="92"/>
    <n v="101"/>
    <n v="16"/>
    <x v="9"/>
    <x v="0"/>
    <x v="0"/>
    <x v="9"/>
  </r>
  <r>
    <x v="0"/>
    <x v="6"/>
    <x v="26"/>
    <n v="37"/>
    <n v="17"/>
    <n v="16"/>
    <n v="4"/>
    <x v="5"/>
    <x v="0"/>
    <x v="0"/>
    <x v="0"/>
  </r>
  <r>
    <x v="0"/>
    <x v="6"/>
    <x v="27"/>
    <n v="188"/>
    <n v="51"/>
    <n v="113"/>
    <n v="23"/>
    <x v="2"/>
    <x v="0"/>
    <x v="0"/>
    <x v="0"/>
  </r>
  <r>
    <x v="0"/>
    <x v="6"/>
    <x v="28"/>
    <n v="536"/>
    <n v="176"/>
    <n v="270"/>
    <n v="81"/>
    <x v="7"/>
    <x v="1"/>
    <x v="2"/>
    <x v="0"/>
  </r>
  <r>
    <x v="0"/>
    <x v="6"/>
    <x v="29"/>
    <n v="227"/>
    <n v="78"/>
    <n v="94"/>
    <n v="37"/>
    <x v="0"/>
    <x v="2"/>
    <x v="0"/>
    <x v="10"/>
  </r>
  <r>
    <x v="0"/>
    <x v="6"/>
    <x v="30"/>
    <n v="270"/>
    <n v="88"/>
    <n v="144"/>
    <n v="37"/>
    <x v="2"/>
    <x v="0"/>
    <x v="0"/>
    <x v="0"/>
  </r>
  <r>
    <x v="0"/>
    <x v="6"/>
    <x v="31"/>
    <n v="399"/>
    <n v="173"/>
    <n v="159"/>
    <n v="35"/>
    <x v="3"/>
    <x v="2"/>
    <x v="5"/>
    <x v="7"/>
  </r>
  <r>
    <x v="0"/>
    <x v="7"/>
    <x v="0"/>
    <n v="563"/>
    <n v="114"/>
    <n v="225"/>
    <n v="218"/>
    <x v="9"/>
    <x v="0"/>
    <x v="2"/>
    <x v="0"/>
  </r>
  <r>
    <x v="0"/>
    <x v="7"/>
    <x v="1"/>
    <n v="392"/>
    <n v="124"/>
    <n v="199"/>
    <n v="57"/>
    <x v="10"/>
    <x v="0"/>
    <x v="1"/>
    <x v="0"/>
  </r>
  <r>
    <x v="0"/>
    <x v="7"/>
    <x v="2"/>
    <n v="182"/>
    <n v="64"/>
    <n v="103"/>
    <n v="14"/>
    <x v="2"/>
    <x v="0"/>
    <x v="0"/>
    <x v="0"/>
  </r>
  <r>
    <x v="0"/>
    <x v="7"/>
    <x v="3"/>
    <n v="149"/>
    <n v="65"/>
    <n v="68"/>
    <n v="12"/>
    <x v="0"/>
    <x v="2"/>
    <x v="0"/>
    <x v="0"/>
  </r>
  <r>
    <x v="0"/>
    <x v="7"/>
    <x v="4"/>
    <n v="1157"/>
    <n v="329"/>
    <n v="388"/>
    <n v="425"/>
    <x v="11"/>
    <x v="2"/>
    <x v="2"/>
    <x v="0"/>
  </r>
  <r>
    <x v="0"/>
    <x v="7"/>
    <x v="5"/>
    <n v="107"/>
    <n v="36"/>
    <n v="54"/>
    <n v="15"/>
    <x v="4"/>
    <x v="0"/>
    <x v="0"/>
    <x v="0"/>
  </r>
  <r>
    <x v="0"/>
    <x v="7"/>
    <x v="6"/>
    <n v="242"/>
    <n v="73"/>
    <n v="131"/>
    <n v="32"/>
    <x v="6"/>
    <x v="0"/>
    <x v="5"/>
    <x v="0"/>
  </r>
  <r>
    <x v="0"/>
    <x v="7"/>
    <x v="7"/>
    <n v="374"/>
    <n v="75"/>
    <n v="228"/>
    <n v="69"/>
    <x v="4"/>
    <x v="0"/>
    <x v="0"/>
    <x v="0"/>
  </r>
  <r>
    <x v="0"/>
    <x v="7"/>
    <x v="8"/>
    <n v="255"/>
    <n v="93"/>
    <n v="144"/>
    <n v="15"/>
    <x v="4"/>
    <x v="0"/>
    <x v="2"/>
    <x v="0"/>
  </r>
  <r>
    <x v="0"/>
    <x v="7"/>
    <x v="9"/>
    <n v="165"/>
    <n v="72"/>
    <n v="73"/>
    <n v="16"/>
    <x v="4"/>
    <x v="1"/>
    <x v="0"/>
    <x v="0"/>
  </r>
  <r>
    <x v="0"/>
    <x v="7"/>
    <x v="10"/>
    <n v="153"/>
    <n v="60"/>
    <n v="71"/>
    <n v="16"/>
    <x v="9"/>
    <x v="0"/>
    <x v="2"/>
    <x v="0"/>
  </r>
  <r>
    <x v="0"/>
    <x v="7"/>
    <x v="11"/>
    <n v="106"/>
    <n v="43"/>
    <n v="55"/>
    <n v="7"/>
    <x v="2"/>
    <x v="0"/>
    <x v="0"/>
    <x v="0"/>
  </r>
  <r>
    <x v="0"/>
    <x v="7"/>
    <x v="12"/>
    <n v="277"/>
    <n v="104"/>
    <n v="132"/>
    <n v="37"/>
    <x v="6"/>
    <x v="0"/>
    <x v="0"/>
    <x v="0"/>
  </r>
  <r>
    <x v="0"/>
    <x v="7"/>
    <x v="13"/>
    <n v="619"/>
    <n v="203"/>
    <n v="326"/>
    <n v="79"/>
    <x v="18"/>
    <x v="0"/>
    <x v="0"/>
    <x v="0"/>
  </r>
  <r>
    <x v="0"/>
    <x v="7"/>
    <x v="14"/>
    <n v="1701"/>
    <n v="449"/>
    <n v="582"/>
    <n v="644"/>
    <x v="19"/>
    <x v="1"/>
    <x v="1"/>
    <x v="2"/>
  </r>
  <r>
    <x v="0"/>
    <x v="7"/>
    <x v="15"/>
    <n v="366"/>
    <n v="152"/>
    <n v="171"/>
    <n v="37"/>
    <x v="9"/>
    <x v="2"/>
    <x v="0"/>
    <x v="0"/>
  </r>
  <r>
    <x v="0"/>
    <x v="7"/>
    <x v="16"/>
    <n v="214"/>
    <n v="69"/>
    <n v="86"/>
    <n v="55"/>
    <x v="0"/>
    <x v="0"/>
    <x v="2"/>
    <x v="0"/>
  </r>
  <r>
    <x v="0"/>
    <x v="7"/>
    <x v="17"/>
    <n v="200"/>
    <n v="113"/>
    <n v="76"/>
    <n v="9"/>
    <x v="4"/>
    <x v="0"/>
    <x v="0"/>
    <x v="0"/>
  </r>
  <r>
    <x v="0"/>
    <x v="7"/>
    <x v="18"/>
    <n v="127"/>
    <n v="51"/>
    <n v="61"/>
    <n v="12"/>
    <x v="4"/>
    <x v="2"/>
    <x v="0"/>
    <x v="0"/>
  </r>
  <r>
    <x v="0"/>
    <x v="7"/>
    <x v="19"/>
    <n v="35"/>
    <n v="10"/>
    <n v="21"/>
    <n v="4"/>
    <x v="5"/>
    <x v="0"/>
    <x v="0"/>
    <x v="0"/>
  </r>
  <r>
    <x v="0"/>
    <x v="7"/>
    <x v="20"/>
    <n v="268"/>
    <n v="127"/>
    <n v="121"/>
    <n v="19"/>
    <x v="2"/>
    <x v="0"/>
    <x v="0"/>
    <x v="0"/>
  </r>
  <r>
    <x v="0"/>
    <x v="7"/>
    <x v="21"/>
    <n v="685"/>
    <n v="239"/>
    <n v="339"/>
    <n v="98"/>
    <x v="7"/>
    <x v="1"/>
    <x v="2"/>
    <x v="0"/>
  </r>
  <r>
    <x v="0"/>
    <x v="7"/>
    <x v="22"/>
    <n v="23"/>
    <n v="12"/>
    <n v="8"/>
    <n v="3"/>
    <x v="5"/>
    <x v="0"/>
    <x v="0"/>
    <x v="0"/>
  </r>
  <r>
    <x v="0"/>
    <x v="7"/>
    <x v="23"/>
    <n v="286"/>
    <n v="81"/>
    <n v="164"/>
    <n v="37"/>
    <x v="0"/>
    <x v="2"/>
    <x v="0"/>
    <x v="0"/>
  </r>
  <r>
    <x v="0"/>
    <x v="7"/>
    <x v="24"/>
    <n v="384"/>
    <n v="128"/>
    <n v="181"/>
    <n v="71"/>
    <x v="2"/>
    <x v="5"/>
    <x v="0"/>
    <x v="0"/>
  </r>
  <r>
    <x v="0"/>
    <x v="7"/>
    <x v="25"/>
    <n v="192"/>
    <n v="82"/>
    <n v="79"/>
    <n v="27"/>
    <x v="0"/>
    <x v="0"/>
    <x v="2"/>
    <x v="0"/>
  </r>
  <r>
    <x v="0"/>
    <x v="7"/>
    <x v="26"/>
    <n v="25"/>
    <n v="10"/>
    <n v="13"/>
    <n v="2"/>
    <x v="5"/>
    <x v="0"/>
    <x v="0"/>
    <x v="0"/>
  </r>
  <r>
    <x v="0"/>
    <x v="7"/>
    <x v="27"/>
    <n v="188"/>
    <n v="54"/>
    <n v="101"/>
    <n v="31"/>
    <x v="4"/>
    <x v="0"/>
    <x v="0"/>
    <x v="0"/>
  </r>
  <r>
    <x v="0"/>
    <x v="7"/>
    <x v="28"/>
    <n v="555"/>
    <n v="217"/>
    <n v="254"/>
    <n v="75"/>
    <x v="7"/>
    <x v="2"/>
    <x v="5"/>
    <x v="0"/>
  </r>
  <r>
    <x v="0"/>
    <x v="7"/>
    <x v="29"/>
    <n v="200"/>
    <n v="67"/>
    <n v="85"/>
    <n v="47"/>
    <x v="2"/>
    <x v="0"/>
    <x v="0"/>
    <x v="0"/>
  </r>
  <r>
    <x v="0"/>
    <x v="7"/>
    <x v="30"/>
    <n v="260"/>
    <n v="97"/>
    <n v="123"/>
    <n v="38"/>
    <x v="2"/>
    <x v="2"/>
    <x v="0"/>
    <x v="0"/>
  </r>
  <r>
    <x v="0"/>
    <x v="7"/>
    <x v="31"/>
    <n v="345"/>
    <n v="152"/>
    <n v="152"/>
    <n v="36"/>
    <x v="9"/>
    <x v="0"/>
    <x v="0"/>
    <x v="0"/>
  </r>
  <r>
    <x v="0"/>
    <x v="8"/>
    <x v="0"/>
    <n v="451"/>
    <n v="99"/>
    <n v="243"/>
    <n v="103"/>
    <x v="9"/>
    <x v="2"/>
    <x v="0"/>
    <x v="0"/>
  </r>
  <r>
    <x v="0"/>
    <x v="8"/>
    <x v="1"/>
    <n v="388"/>
    <n v="112"/>
    <n v="220"/>
    <n v="45"/>
    <x v="18"/>
    <x v="0"/>
    <x v="0"/>
    <x v="0"/>
  </r>
  <r>
    <x v="0"/>
    <x v="8"/>
    <x v="2"/>
    <n v="159"/>
    <n v="50"/>
    <n v="88"/>
    <n v="19"/>
    <x v="2"/>
    <x v="2"/>
    <x v="0"/>
    <x v="0"/>
  </r>
  <r>
    <x v="0"/>
    <x v="8"/>
    <x v="3"/>
    <n v="187"/>
    <n v="67"/>
    <n v="100"/>
    <n v="18"/>
    <x v="4"/>
    <x v="0"/>
    <x v="0"/>
    <x v="0"/>
  </r>
  <r>
    <x v="0"/>
    <x v="8"/>
    <x v="4"/>
    <n v="1035"/>
    <n v="296"/>
    <n v="343"/>
    <n v="384"/>
    <x v="3"/>
    <x v="5"/>
    <x v="5"/>
    <x v="0"/>
  </r>
  <r>
    <x v="0"/>
    <x v="8"/>
    <x v="5"/>
    <n v="93"/>
    <n v="34"/>
    <n v="36"/>
    <n v="21"/>
    <x v="4"/>
    <x v="0"/>
    <x v="0"/>
    <x v="0"/>
  </r>
  <r>
    <x v="0"/>
    <x v="8"/>
    <x v="6"/>
    <n v="223"/>
    <n v="72"/>
    <n v="118"/>
    <n v="28"/>
    <x v="6"/>
    <x v="0"/>
    <x v="0"/>
    <x v="2"/>
  </r>
  <r>
    <x v="0"/>
    <x v="8"/>
    <x v="7"/>
    <n v="339"/>
    <n v="75"/>
    <n v="204"/>
    <n v="58"/>
    <x v="2"/>
    <x v="0"/>
    <x v="2"/>
    <x v="0"/>
  </r>
  <r>
    <x v="0"/>
    <x v="8"/>
    <x v="8"/>
    <n v="180"/>
    <n v="79"/>
    <n v="82"/>
    <n v="14"/>
    <x v="6"/>
    <x v="2"/>
    <x v="0"/>
    <x v="0"/>
  </r>
  <r>
    <x v="0"/>
    <x v="8"/>
    <x v="9"/>
    <n v="158"/>
    <n v="75"/>
    <n v="63"/>
    <n v="17"/>
    <x v="0"/>
    <x v="0"/>
    <x v="0"/>
    <x v="0"/>
  </r>
  <r>
    <x v="0"/>
    <x v="8"/>
    <x v="10"/>
    <n v="188"/>
    <n v="77"/>
    <n v="87"/>
    <n v="22"/>
    <x v="4"/>
    <x v="0"/>
    <x v="0"/>
    <x v="0"/>
  </r>
  <r>
    <x v="0"/>
    <x v="8"/>
    <x v="11"/>
    <n v="130"/>
    <n v="62"/>
    <n v="54"/>
    <n v="10"/>
    <x v="4"/>
    <x v="2"/>
    <x v="2"/>
    <x v="0"/>
  </r>
  <r>
    <x v="0"/>
    <x v="8"/>
    <x v="12"/>
    <n v="339"/>
    <n v="127"/>
    <n v="147"/>
    <n v="59"/>
    <x v="0"/>
    <x v="2"/>
    <x v="5"/>
    <x v="0"/>
  </r>
  <r>
    <x v="0"/>
    <x v="8"/>
    <x v="13"/>
    <n v="647"/>
    <n v="208"/>
    <n v="342"/>
    <n v="85"/>
    <x v="10"/>
    <x v="1"/>
    <x v="2"/>
    <x v="0"/>
  </r>
  <r>
    <x v="0"/>
    <x v="8"/>
    <x v="14"/>
    <n v="1709"/>
    <n v="438"/>
    <n v="562"/>
    <n v="685"/>
    <x v="20"/>
    <x v="1"/>
    <x v="4"/>
    <x v="0"/>
  </r>
  <r>
    <x v="0"/>
    <x v="8"/>
    <x v="15"/>
    <n v="352"/>
    <n v="120"/>
    <n v="166"/>
    <n v="53"/>
    <x v="7"/>
    <x v="7"/>
    <x v="5"/>
    <x v="0"/>
  </r>
  <r>
    <x v="0"/>
    <x v="8"/>
    <x v="16"/>
    <n v="189"/>
    <n v="68"/>
    <n v="68"/>
    <n v="50"/>
    <x v="4"/>
    <x v="2"/>
    <x v="0"/>
    <x v="0"/>
  </r>
  <r>
    <x v="0"/>
    <x v="8"/>
    <x v="17"/>
    <n v="209"/>
    <n v="141"/>
    <n v="52"/>
    <n v="13"/>
    <x v="0"/>
    <x v="0"/>
    <x v="0"/>
    <x v="0"/>
  </r>
  <r>
    <x v="0"/>
    <x v="8"/>
    <x v="18"/>
    <n v="111"/>
    <n v="40"/>
    <n v="53"/>
    <n v="15"/>
    <x v="0"/>
    <x v="0"/>
    <x v="0"/>
    <x v="0"/>
  </r>
  <r>
    <x v="0"/>
    <x v="8"/>
    <x v="19"/>
    <n v="37"/>
    <n v="12"/>
    <n v="20"/>
    <n v="3"/>
    <x v="2"/>
    <x v="0"/>
    <x v="2"/>
    <x v="0"/>
  </r>
  <r>
    <x v="0"/>
    <x v="8"/>
    <x v="20"/>
    <n v="270"/>
    <n v="107"/>
    <n v="125"/>
    <n v="35"/>
    <x v="0"/>
    <x v="0"/>
    <x v="0"/>
    <x v="0"/>
  </r>
  <r>
    <x v="0"/>
    <x v="8"/>
    <x v="21"/>
    <n v="655"/>
    <n v="244"/>
    <n v="314"/>
    <n v="91"/>
    <x v="6"/>
    <x v="1"/>
    <x v="0"/>
    <x v="0"/>
  </r>
  <r>
    <x v="0"/>
    <x v="8"/>
    <x v="22"/>
    <n v="14"/>
    <n v="7"/>
    <n v="6"/>
    <n v="1"/>
    <x v="5"/>
    <x v="0"/>
    <x v="0"/>
    <x v="0"/>
  </r>
  <r>
    <x v="0"/>
    <x v="8"/>
    <x v="23"/>
    <n v="231"/>
    <n v="67"/>
    <n v="123"/>
    <n v="36"/>
    <x v="5"/>
    <x v="4"/>
    <x v="2"/>
    <x v="0"/>
  </r>
  <r>
    <x v="0"/>
    <x v="8"/>
    <x v="24"/>
    <n v="393"/>
    <n v="138"/>
    <n v="158"/>
    <n v="91"/>
    <x v="9"/>
    <x v="0"/>
    <x v="2"/>
    <x v="0"/>
  </r>
  <r>
    <x v="0"/>
    <x v="8"/>
    <x v="25"/>
    <n v="204"/>
    <n v="107"/>
    <n v="78"/>
    <n v="14"/>
    <x v="6"/>
    <x v="0"/>
    <x v="2"/>
    <x v="0"/>
  </r>
  <r>
    <x v="0"/>
    <x v="8"/>
    <x v="26"/>
    <n v="32"/>
    <n v="12"/>
    <n v="14"/>
    <n v="5"/>
    <x v="2"/>
    <x v="0"/>
    <x v="0"/>
    <x v="0"/>
  </r>
  <r>
    <x v="0"/>
    <x v="8"/>
    <x v="27"/>
    <n v="205"/>
    <n v="67"/>
    <n v="103"/>
    <n v="31"/>
    <x v="4"/>
    <x v="2"/>
    <x v="2"/>
    <x v="0"/>
  </r>
  <r>
    <x v="0"/>
    <x v="8"/>
    <x v="28"/>
    <n v="584"/>
    <n v="216"/>
    <n v="266"/>
    <n v="91"/>
    <x v="12"/>
    <x v="2"/>
    <x v="0"/>
    <x v="0"/>
  </r>
  <r>
    <x v="0"/>
    <x v="8"/>
    <x v="29"/>
    <n v="180"/>
    <n v="58"/>
    <n v="78"/>
    <n v="39"/>
    <x v="4"/>
    <x v="1"/>
    <x v="2"/>
    <x v="0"/>
  </r>
  <r>
    <x v="0"/>
    <x v="8"/>
    <x v="30"/>
    <n v="269"/>
    <n v="102"/>
    <n v="125"/>
    <n v="37"/>
    <x v="4"/>
    <x v="2"/>
    <x v="5"/>
    <x v="0"/>
  </r>
  <r>
    <x v="0"/>
    <x v="8"/>
    <x v="31"/>
    <n v="420"/>
    <n v="197"/>
    <n v="174"/>
    <n v="45"/>
    <x v="0"/>
    <x v="0"/>
    <x v="2"/>
    <x v="0"/>
  </r>
  <r>
    <x v="0"/>
    <x v="9"/>
    <x v="0"/>
    <n v="491"/>
    <n v="78"/>
    <n v="304"/>
    <n v="97"/>
    <x v="12"/>
    <x v="2"/>
    <x v="2"/>
    <x v="0"/>
  </r>
  <r>
    <x v="0"/>
    <x v="9"/>
    <x v="1"/>
    <n v="383"/>
    <n v="126"/>
    <n v="204"/>
    <n v="40"/>
    <x v="10"/>
    <x v="4"/>
    <x v="0"/>
    <x v="0"/>
  </r>
  <r>
    <x v="0"/>
    <x v="9"/>
    <x v="2"/>
    <n v="166"/>
    <n v="49"/>
    <n v="96"/>
    <n v="16"/>
    <x v="9"/>
    <x v="0"/>
    <x v="0"/>
    <x v="0"/>
  </r>
  <r>
    <x v="0"/>
    <x v="9"/>
    <x v="3"/>
    <n v="174"/>
    <n v="66"/>
    <n v="91"/>
    <n v="14"/>
    <x v="0"/>
    <x v="0"/>
    <x v="0"/>
    <x v="0"/>
  </r>
  <r>
    <x v="0"/>
    <x v="9"/>
    <x v="4"/>
    <n v="980"/>
    <n v="245"/>
    <n v="338"/>
    <n v="371"/>
    <x v="21"/>
    <x v="3"/>
    <x v="5"/>
    <x v="2"/>
  </r>
  <r>
    <x v="0"/>
    <x v="9"/>
    <x v="5"/>
    <n v="80"/>
    <n v="38"/>
    <n v="31"/>
    <n v="11"/>
    <x v="5"/>
    <x v="0"/>
    <x v="0"/>
    <x v="0"/>
  </r>
  <r>
    <x v="0"/>
    <x v="9"/>
    <x v="6"/>
    <n v="215"/>
    <n v="62"/>
    <n v="114"/>
    <n v="33"/>
    <x v="4"/>
    <x v="2"/>
    <x v="2"/>
    <x v="1"/>
  </r>
  <r>
    <x v="0"/>
    <x v="9"/>
    <x v="7"/>
    <n v="330"/>
    <n v="63"/>
    <n v="204"/>
    <n v="59"/>
    <x v="4"/>
    <x v="2"/>
    <x v="2"/>
    <x v="0"/>
  </r>
  <r>
    <x v="0"/>
    <x v="9"/>
    <x v="8"/>
    <n v="216"/>
    <n v="106"/>
    <n v="87"/>
    <n v="22"/>
    <x v="5"/>
    <x v="2"/>
    <x v="0"/>
    <x v="0"/>
  </r>
  <r>
    <x v="0"/>
    <x v="9"/>
    <x v="9"/>
    <n v="164"/>
    <n v="82"/>
    <n v="62"/>
    <n v="18"/>
    <x v="2"/>
    <x v="0"/>
    <x v="2"/>
    <x v="0"/>
  </r>
  <r>
    <x v="0"/>
    <x v="9"/>
    <x v="10"/>
    <n v="213"/>
    <n v="112"/>
    <n v="77"/>
    <n v="19"/>
    <x v="4"/>
    <x v="1"/>
    <x v="2"/>
    <x v="0"/>
  </r>
  <r>
    <x v="0"/>
    <x v="9"/>
    <x v="11"/>
    <n v="120"/>
    <n v="67"/>
    <n v="45"/>
    <n v="8"/>
    <x v="5"/>
    <x v="0"/>
    <x v="0"/>
    <x v="0"/>
  </r>
  <r>
    <x v="0"/>
    <x v="9"/>
    <x v="12"/>
    <n v="293"/>
    <n v="107"/>
    <n v="128"/>
    <n v="54"/>
    <x v="6"/>
    <x v="0"/>
    <x v="0"/>
    <x v="0"/>
  </r>
  <r>
    <x v="0"/>
    <x v="9"/>
    <x v="13"/>
    <n v="605"/>
    <n v="200"/>
    <n v="300"/>
    <n v="89"/>
    <x v="12"/>
    <x v="5"/>
    <x v="1"/>
    <x v="0"/>
  </r>
  <r>
    <x v="0"/>
    <x v="9"/>
    <x v="14"/>
    <n v="1643"/>
    <n v="427"/>
    <n v="539"/>
    <n v="637"/>
    <x v="16"/>
    <x v="4"/>
    <x v="6"/>
    <x v="1"/>
  </r>
  <r>
    <x v="0"/>
    <x v="9"/>
    <x v="15"/>
    <n v="413"/>
    <n v="146"/>
    <n v="193"/>
    <n v="57"/>
    <x v="12"/>
    <x v="1"/>
    <x v="3"/>
    <x v="0"/>
  </r>
  <r>
    <x v="0"/>
    <x v="9"/>
    <x v="16"/>
    <n v="157"/>
    <n v="52"/>
    <n v="53"/>
    <n v="48"/>
    <x v="0"/>
    <x v="0"/>
    <x v="2"/>
    <x v="0"/>
  </r>
  <r>
    <x v="0"/>
    <x v="9"/>
    <x v="17"/>
    <n v="166"/>
    <n v="86"/>
    <n v="59"/>
    <n v="18"/>
    <x v="0"/>
    <x v="0"/>
    <x v="0"/>
    <x v="0"/>
  </r>
  <r>
    <x v="0"/>
    <x v="9"/>
    <x v="18"/>
    <n v="150"/>
    <n v="62"/>
    <n v="53"/>
    <n v="20"/>
    <x v="10"/>
    <x v="5"/>
    <x v="1"/>
    <x v="0"/>
  </r>
  <r>
    <x v="0"/>
    <x v="9"/>
    <x v="19"/>
    <n v="48"/>
    <n v="22"/>
    <n v="22"/>
    <n v="4"/>
    <x v="5"/>
    <x v="0"/>
    <x v="0"/>
    <x v="0"/>
  </r>
  <r>
    <x v="0"/>
    <x v="9"/>
    <x v="20"/>
    <n v="307"/>
    <n v="115"/>
    <n v="152"/>
    <n v="36"/>
    <x v="2"/>
    <x v="2"/>
    <x v="5"/>
    <x v="0"/>
  </r>
  <r>
    <x v="0"/>
    <x v="9"/>
    <x v="21"/>
    <n v="711"/>
    <n v="248"/>
    <n v="350"/>
    <n v="98"/>
    <x v="18"/>
    <x v="2"/>
    <x v="1"/>
    <x v="0"/>
  </r>
  <r>
    <x v="0"/>
    <x v="9"/>
    <x v="22"/>
    <n v="24"/>
    <n v="13"/>
    <n v="11"/>
    <m/>
    <x v="5"/>
    <x v="0"/>
    <x v="0"/>
    <x v="0"/>
  </r>
  <r>
    <x v="0"/>
    <x v="9"/>
    <x v="23"/>
    <n v="241"/>
    <n v="82"/>
    <n v="118"/>
    <n v="39"/>
    <x v="4"/>
    <x v="0"/>
    <x v="0"/>
    <x v="0"/>
  </r>
  <r>
    <x v="0"/>
    <x v="9"/>
    <x v="24"/>
    <n v="392"/>
    <n v="123"/>
    <n v="168"/>
    <n v="95"/>
    <x v="6"/>
    <x v="2"/>
    <x v="0"/>
    <x v="2"/>
  </r>
  <r>
    <x v="0"/>
    <x v="9"/>
    <x v="25"/>
    <n v="219"/>
    <n v="96"/>
    <n v="92"/>
    <n v="23"/>
    <x v="9"/>
    <x v="2"/>
    <x v="2"/>
    <x v="2"/>
  </r>
  <r>
    <x v="0"/>
    <x v="9"/>
    <x v="26"/>
    <n v="18"/>
    <n v="7"/>
    <n v="7"/>
    <n v="3"/>
    <x v="2"/>
    <x v="0"/>
    <x v="0"/>
    <x v="0"/>
  </r>
  <r>
    <x v="0"/>
    <x v="9"/>
    <x v="27"/>
    <n v="174"/>
    <n v="57"/>
    <n v="93"/>
    <n v="22"/>
    <x v="2"/>
    <x v="2"/>
    <x v="0"/>
    <x v="0"/>
  </r>
  <r>
    <x v="0"/>
    <x v="9"/>
    <x v="28"/>
    <n v="515"/>
    <n v="186"/>
    <n v="238"/>
    <n v="84"/>
    <x v="9"/>
    <x v="2"/>
    <x v="2"/>
    <x v="0"/>
  </r>
  <r>
    <x v="0"/>
    <x v="9"/>
    <x v="29"/>
    <n v="155"/>
    <n v="61"/>
    <n v="66"/>
    <n v="23"/>
    <x v="0"/>
    <x v="1"/>
    <x v="0"/>
    <x v="0"/>
  </r>
  <r>
    <x v="0"/>
    <x v="9"/>
    <x v="30"/>
    <n v="250"/>
    <n v="97"/>
    <n v="113"/>
    <n v="36"/>
    <x v="2"/>
    <x v="1"/>
    <x v="2"/>
    <x v="0"/>
  </r>
  <r>
    <x v="0"/>
    <x v="9"/>
    <x v="31"/>
    <n v="376"/>
    <n v="151"/>
    <n v="161"/>
    <n v="55"/>
    <x v="3"/>
    <x v="0"/>
    <x v="5"/>
    <x v="0"/>
  </r>
  <r>
    <x v="0"/>
    <x v="10"/>
    <x v="0"/>
    <n v="483"/>
    <n v="102"/>
    <n v="277"/>
    <n v="99"/>
    <x v="0"/>
    <x v="0"/>
    <x v="2"/>
    <x v="2"/>
  </r>
  <r>
    <x v="0"/>
    <x v="10"/>
    <x v="1"/>
    <n v="405"/>
    <n v="150"/>
    <n v="196"/>
    <n v="49"/>
    <x v="9"/>
    <x v="7"/>
    <x v="0"/>
    <x v="0"/>
  </r>
  <r>
    <x v="0"/>
    <x v="10"/>
    <x v="2"/>
    <n v="176"/>
    <n v="51"/>
    <n v="92"/>
    <n v="26"/>
    <x v="7"/>
    <x v="0"/>
    <x v="2"/>
    <x v="0"/>
  </r>
  <r>
    <x v="0"/>
    <x v="10"/>
    <x v="3"/>
    <n v="162"/>
    <n v="71"/>
    <n v="70"/>
    <n v="18"/>
    <x v="4"/>
    <x v="2"/>
    <x v="0"/>
    <x v="0"/>
  </r>
  <r>
    <x v="0"/>
    <x v="10"/>
    <x v="4"/>
    <n v="905"/>
    <n v="244"/>
    <n v="313"/>
    <n v="338"/>
    <x v="3"/>
    <x v="2"/>
    <x v="5"/>
    <x v="0"/>
  </r>
  <r>
    <x v="0"/>
    <x v="10"/>
    <x v="5"/>
    <n v="82"/>
    <n v="32"/>
    <n v="33"/>
    <n v="17"/>
    <x v="5"/>
    <x v="0"/>
    <x v="0"/>
    <x v="0"/>
  </r>
  <r>
    <x v="0"/>
    <x v="10"/>
    <x v="6"/>
    <n v="220"/>
    <n v="66"/>
    <n v="121"/>
    <n v="30"/>
    <x v="4"/>
    <x v="2"/>
    <x v="0"/>
    <x v="0"/>
  </r>
  <r>
    <x v="0"/>
    <x v="10"/>
    <x v="7"/>
    <n v="306"/>
    <n v="70"/>
    <n v="180"/>
    <n v="53"/>
    <x v="0"/>
    <x v="0"/>
    <x v="0"/>
    <x v="0"/>
  </r>
  <r>
    <x v="0"/>
    <x v="10"/>
    <x v="8"/>
    <n v="203"/>
    <n v="80"/>
    <n v="93"/>
    <n v="27"/>
    <x v="4"/>
    <x v="0"/>
    <x v="0"/>
    <x v="2"/>
  </r>
  <r>
    <x v="0"/>
    <x v="10"/>
    <x v="9"/>
    <n v="153"/>
    <n v="78"/>
    <n v="58"/>
    <n v="15"/>
    <x v="4"/>
    <x v="0"/>
    <x v="0"/>
    <x v="0"/>
  </r>
  <r>
    <x v="0"/>
    <x v="10"/>
    <x v="10"/>
    <n v="147"/>
    <n v="67"/>
    <n v="66"/>
    <n v="14"/>
    <x v="5"/>
    <x v="0"/>
    <x v="0"/>
    <x v="0"/>
  </r>
  <r>
    <x v="0"/>
    <x v="10"/>
    <x v="11"/>
    <n v="136"/>
    <n v="77"/>
    <n v="49"/>
    <n v="7"/>
    <x v="0"/>
    <x v="0"/>
    <x v="0"/>
    <x v="0"/>
  </r>
  <r>
    <x v="0"/>
    <x v="10"/>
    <x v="12"/>
    <n v="297"/>
    <n v="118"/>
    <n v="126"/>
    <n v="49"/>
    <x v="0"/>
    <x v="2"/>
    <x v="0"/>
    <x v="0"/>
  </r>
  <r>
    <x v="0"/>
    <x v="10"/>
    <x v="13"/>
    <n v="518"/>
    <n v="187"/>
    <n v="260"/>
    <n v="60"/>
    <x v="10"/>
    <x v="2"/>
    <x v="2"/>
    <x v="0"/>
  </r>
  <r>
    <x v="0"/>
    <x v="10"/>
    <x v="14"/>
    <n v="1622"/>
    <n v="448"/>
    <n v="532"/>
    <n v="612"/>
    <x v="20"/>
    <x v="7"/>
    <x v="7"/>
    <x v="0"/>
  </r>
  <r>
    <x v="0"/>
    <x v="10"/>
    <x v="15"/>
    <n v="325"/>
    <n v="112"/>
    <n v="160"/>
    <n v="35"/>
    <x v="22"/>
    <x v="2"/>
    <x v="5"/>
    <x v="0"/>
  </r>
  <r>
    <x v="0"/>
    <x v="10"/>
    <x v="16"/>
    <n v="161"/>
    <n v="62"/>
    <n v="45"/>
    <n v="53"/>
    <x v="2"/>
    <x v="0"/>
    <x v="0"/>
    <x v="0"/>
  </r>
  <r>
    <x v="0"/>
    <x v="10"/>
    <x v="17"/>
    <n v="155"/>
    <n v="82"/>
    <n v="61"/>
    <n v="11"/>
    <x v="2"/>
    <x v="0"/>
    <x v="0"/>
    <x v="0"/>
  </r>
  <r>
    <x v="0"/>
    <x v="10"/>
    <x v="18"/>
    <n v="158"/>
    <n v="56"/>
    <n v="78"/>
    <n v="17"/>
    <x v="0"/>
    <x v="2"/>
    <x v="1"/>
    <x v="0"/>
  </r>
  <r>
    <x v="0"/>
    <x v="10"/>
    <x v="19"/>
    <n v="36"/>
    <n v="14"/>
    <n v="15"/>
    <n v="7"/>
    <x v="5"/>
    <x v="0"/>
    <x v="0"/>
    <x v="0"/>
  </r>
  <r>
    <x v="0"/>
    <x v="10"/>
    <x v="20"/>
    <n v="267"/>
    <n v="95"/>
    <n v="128"/>
    <n v="41"/>
    <x v="0"/>
    <x v="0"/>
    <x v="0"/>
    <x v="0"/>
  </r>
  <r>
    <x v="0"/>
    <x v="10"/>
    <x v="21"/>
    <n v="634"/>
    <n v="266"/>
    <n v="278"/>
    <n v="83"/>
    <x v="9"/>
    <x v="2"/>
    <x v="0"/>
    <x v="2"/>
  </r>
  <r>
    <x v="0"/>
    <x v="10"/>
    <x v="22"/>
    <n v="33"/>
    <n v="11"/>
    <n v="14"/>
    <n v="8"/>
    <x v="5"/>
    <x v="0"/>
    <x v="0"/>
    <x v="0"/>
  </r>
  <r>
    <x v="0"/>
    <x v="10"/>
    <x v="23"/>
    <n v="247"/>
    <n v="68"/>
    <n v="136"/>
    <n v="37"/>
    <x v="6"/>
    <x v="2"/>
    <x v="2"/>
    <x v="0"/>
  </r>
  <r>
    <x v="0"/>
    <x v="10"/>
    <x v="24"/>
    <n v="338"/>
    <n v="121"/>
    <n v="136"/>
    <n v="75"/>
    <x v="9"/>
    <x v="2"/>
    <x v="0"/>
    <x v="0"/>
  </r>
  <r>
    <x v="0"/>
    <x v="10"/>
    <x v="25"/>
    <n v="217"/>
    <n v="98"/>
    <n v="87"/>
    <n v="22"/>
    <x v="7"/>
    <x v="5"/>
    <x v="2"/>
    <x v="0"/>
  </r>
  <r>
    <x v="0"/>
    <x v="10"/>
    <x v="26"/>
    <n v="28"/>
    <n v="7"/>
    <n v="12"/>
    <n v="9"/>
    <x v="5"/>
    <x v="0"/>
    <x v="0"/>
    <x v="0"/>
  </r>
  <r>
    <x v="0"/>
    <x v="10"/>
    <x v="27"/>
    <n v="186"/>
    <n v="62"/>
    <n v="101"/>
    <n v="20"/>
    <x v="4"/>
    <x v="0"/>
    <x v="2"/>
    <x v="0"/>
  </r>
  <r>
    <x v="0"/>
    <x v="10"/>
    <x v="28"/>
    <n v="523"/>
    <n v="206"/>
    <n v="222"/>
    <n v="88"/>
    <x v="7"/>
    <x v="0"/>
    <x v="2"/>
    <x v="0"/>
  </r>
  <r>
    <x v="0"/>
    <x v="10"/>
    <x v="29"/>
    <n v="145"/>
    <n v="57"/>
    <n v="66"/>
    <n v="21"/>
    <x v="2"/>
    <x v="0"/>
    <x v="0"/>
    <x v="0"/>
  </r>
  <r>
    <x v="0"/>
    <x v="10"/>
    <x v="30"/>
    <n v="205"/>
    <n v="77"/>
    <n v="81"/>
    <n v="45"/>
    <x v="5"/>
    <x v="2"/>
    <x v="2"/>
    <x v="0"/>
  </r>
  <r>
    <x v="0"/>
    <x v="10"/>
    <x v="31"/>
    <n v="312"/>
    <n v="121"/>
    <n v="120"/>
    <n v="67"/>
    <x v="0"/>
    <x v="2"/>
    <x v="0"/>
    <x v="0"/>
  </r>
  <r>
    <x v="0"/>
    <x v="10"/>
    <x v="32"/>
    <n v="1"/>
    <n v="1"/>
    <m/>
    <m/>
    <x v="5"/>
    <x v="0"/>
    <x v="0"/>
    <x v="0"/>
  </r>
  <r>
    <x v="0"/>
    <x v="11"/>
    <x v="0"/>
    <n v="426"/>
    <n v="106"/>
    <n v="226"/>
    <n v="89"/>
    <x v="0"/>
    <x v="2"/>
    <x v="2"/>
    <x v="0"/>
  </r>
  <r>
    <x v="0"/>
    <x v="11"/>
    <x v="1"/>
    <n v="400"/>
    <n v="134"/>
    <n v="212"/>
    <n v="43"/>
    <x v="10"/>
    <x v="2"/>
    <x v="2"/>
    <x v="0"/>
  </r>
  <r>
    <x v="0"/>
    <x v="11"/>
    <x v="2"/>
    <n v="168"/>
    <n v="55"/>
    <n v="87"/>
    <n v="19"/>
    <x v="6"/>
    <x v="5"/>
    <x v="0"/>
    <x v="0"/>
  </r>
  <r>
    <x v="0"/>
    <x v="11"/>
    <x v="3"/>
    <n v="157"/>
    <n v="58"/>
    <n v="85"/>
    <n v="10"/>
    <x v="6"/>
    <x v="0"/>
    <x v="0"/>
    <x v="0"/>
  </r>
  <r>
    <x v="0"/>
    <x v="11"/>
    <x v="4"/>
    <n v="808"/>
    <n v="266"/>
    <n v="242"/>
    <n v="294"/>
    <x v="9"/>
    <x v="2"/>
    <x v="0"/>
    <x v="0"/>
  </r>
  <r>
    <x v="0"/>
    <x v="11"/>
    <x v="5"/>
    <n v="86"/>
    <n v="27"/>
    <n v="37"/>
    <n v="22"/>
    <x v="5"/>
    <x v="0"/>
    <x v="0"/>
    <x v="0"/>
  </r>
  <r>
    <x v="0"/>
    <x v="11"/>
    <x v="6"/>
    <n v="191"/>
    <n v="66"/>
    <n v="83"/>
    <n v="27"/>
    <x v="0"/>
    <x v="2"/>
    <x v="5"/>
    <x v="11"/>
  </r>
  <r>
    <x v="0"/>
    <x v="11"/>
    <x v="7"/>
    <n v="327"/>
    <n v="76"/>
    <n v="182"/>
    <n v="64"/>
    <x v="0"/>
    <x v="2"/>
    <x v="2"/>
    <x v="0"/>
  </r>
  <r>
    <x v="0"/>
    <x v="11"/>
    <x v="8"/>
    <n v="220"/>
    <n v="94"/>
    <n v="97"/>
    <n v="24"/>
    <x v="0"/>
    <x v="1"/>
    <x v="0"/>
    <x v="0"/>
  </r>
  <r>
    <x v="0"/>
    <x v="11"/>
    <x v="9"/>
    <n v="130"/>
    <n v="61"/>
    <n v="55"/>
    <n v="11"/>
    <x v="2"/>
    <x v="0"/>
    <x v="5"/>
    <x v="0"/>
  </r>
  <r>
    <x v="0"/>
    <x v="11"/>
    <x v="10"/>
    <n v="139"/>
    <n v="59"/>
    <n v="59"/>
    <n v="17"/>
    <x v="0"/>
    <x v="0"/>
    <x v="2"/>
    <x v="0"/>
  </r>
  <r>
    <x v="0"/>
    <x v="11"/>
    <x v="11"/>
    <n v="98"/>
    <n v="45"/>
    <n v="39"/>
    <n v="10"/>
    <x v="0"/>
    <x v="0"/>
    <x v="2"/>
    <x v="0"/>
  </r>
  <r>
    <x v="0"/>
    <x v="11"/>
    <x v="12"/>
    <n v="284"/>
    <n v="113"/>
    <n v="121"/>
    <n v="46"/>
    <x v="0"/>
    <x v="0"/>
    <x v="2"/>
    <x v="0"/>
  </r>
  <r>
    <x v="0"/>
    <x v="11"/>
    <x v="13"/>
    <n v="581"/>
    <n v="239"/>
    <n v="256"/>
    <n v="76"/>
    <x v="9"/>
    <x v="5"/>
    <x v="5"/>
    <x v="0"/>
  </r>
  <r>
    <x v="0"/>
    <x v="11"/>
    <x v="14"/>
    <n v="1409"/>
    <n v="406"/>
    <n v="590"/>
    <n v="379"/>
    <x v="16"/>
    <x v="7"/>
    <x v="5"/>
    <x v="2"/>
  </r>
  <r>
    <x v="0"/>
    <x v="11"/>
    <x v="15"/>
    <n v="377"/>
    <n v="145"/>
    <n v="172"/>
    <n v="49"/>
    <x v="3"/>
    <x v="2"/>
    <x v="5"/>
    <x v="2"/>
  </r>
  <r>
    <x v="0"/>
    <x v="11"/>
    <x v="16"/>
    <n v="166"/>
    <n v="49"/>
    <n v="70"/>
    <n v="44"/>
    <x v="4"/>
    <x v="2"/>
    <x v="0"/>
    <x v="0"/>
  </r>
  <r>
    <x v="0"/>
    <x v="11"/>
    <x v="17"/>
    <n v="157"/>
    <n v="90"/>
    <n v="51"/>
    <n v="12"/>
    <x v="0"/>
    <x v="2"/>
    <x v="0"/>
    <x v="0"/>
  </r>
  <r>
    <x v="0"/>
    <x v="11"/>
    <x v="18"/>
    <n v="142"/>
    <n v="71"/>
    <n v="52"/>
    <n v="12"/>
    <x v="6"/>
    <x v="5"/>
    <x v="0"/>
    <x v="0"/>
  </r>
  <r>
    <x v="0"/>
    <x v="11"/>
    <x v="19"/>
    <n v="41"/>
    <n v="18"/>
    <n v="14"/>
    <n v="8"/>
    <x v="2"/>
    <x v="0"/>
    <x v="0"/>
    <x v="0"/>
  </r>
  <r>
    <x v="0"/>
    <x v="11"/>
    <x v="20"/>
    <n v="239"/>
    <n v="87"/>
    <n v="110"/>
    <n v="39"/>
    <x v="0"/>
    <x v="0"/>
    <x v="0"/>
    <x v="0"/>
  </r>
  <r>
    <x v="0"/>
    <x v="11"/>
    <x v="21"/>
    <n v="682"/>
    <n v="278"/>
    <n v="292"/>
    <n v="93"/>
    <x v="11"/>
    <x v="5"/>
    <x v="1"/>
    <x v="0"/>
  </r>
  <r>
    <x v="0"/>
    <x v="11"/>
    <x v="22"/>
    <n v="17"/>
    <n v="11"/>
    <n v="4"/>
    <n v="2"/>
    <x v="5"/>
    <x v="0"/>
    <x v="0"/>
    <x v="0"/>
  </r>
  <r>
    <x v="0"/>
    <x v="11"/>
    <x v="23"/>
    <n v="227"/>
    <n v="63"/>
    <n v="114"/>
    <n v="44"/>
    <x v="7"/>
    <x v="0"/>
    <x v="0"/>
    <x v="0"/>
  </r>
  <r>
    <x v="0"/>
    <x v="11"/>
    <x v="24"/>
    <n v="330"/>
    <n v="113"/>
    <n v="141"/>
    <n v="70"/>
    <x v="9"/>
    <x v="2"/>
    <x v="0"/>
    <x v="0"/>
  </r>
  <r>
    <x v="0"/>
    <x v="11"/>
    <x v="25"/>
    <n v="184"/>
    <n v="77"/>
    <n v="81"/>
    <n v="21"/>
    <x v="6"/>
    <x v="0"/>
    <x v="2"/>
    <x v="0"/>
  </r>
  <r>
    <x v="0"/>
    <x v="11"/>
    <x v="26"/>
    <n v="53"/>
    <n v="19"/>
    <n v="25"/>
    <n v="8"/>
    <x v="5"/>
    <x v="0"/>
    <x v="2"/>
    <x v="0"/>
  </r>
  <r>
    <x v="0"/>
    <x v="11"/>
    <x v="27"/>
    <n v="159"/>
    <n v="47"/>
    <n v="86"/>
    <n v="24"/>
    <x v="2"/>
    <x v="2"/>
    <x v="0"/>
    <x v="0"/>
  </r>
  <r>
    <x v="0"/>
    <x v="11"/>
    <x v="28"/>
    <n v="515"/>
    <n v="202"/>
    <n v="248"/>
    <n v="54"/>
    <x v="1"/>
    <x v="1"/>
    <x v="2"/>
    <x v="0"/>
  </r>
  <r>
    <x v="0"/>
    <x v="11"/>
    <x v="29"/>
    <n v="162"/>
    <n v="50"/>
    <n v="76"/>
    <n v="34"/>
    <x v="4"/>
    <x v="0"/>
    <x v="0"/>
    <x v="0"/>
  </r>
  <r>
    <x v="0"/>
    <x v="11"/>
    <x v="30"/>
    <n v="200"/>
    <n v="78"/>
    <n v="79"/>
    <n v="34"/>
    <x v="7"/>
    <x v="0"/>
    <x v="5"/>
    <x v="2"/>
  </r>
  <r>
    <x v="0"/>
    <x v="11"/>
    <x v="31"/>
    <n v="292"/>
    <n v="133"/>
    <n v="112"/>
    <n v="40"/>
    <x v="6"/>
    <x v="2"/>
    <x v="5"/>
    <x v="0"/>
  </r>
  <r>
    <x v="1"/>
    <x v="0"/>
    <x v="0"/>
    <n v="657"/>
    <n v="613"/>
    <n v="33"/>
    <n v="11"/>
    <x v="5"/>
    <x v="0"/>
    <x v="0"/>
    <x v="0"/>
  </r>
  <r>
    <x v="1"/>
    <x v="0"/>
    <x v="1"/>
    <n v="254"/>
    <n v="226"/>
    <n v="26"/>
    <n v="2"/>
    <x v="5"/>
    <x v="0"/>
    <x v="0"/>
    <x v="0"/>
  </r>
  <r>
    <x v="1"/>
    <x v="0"/>
    <x v="2"/>
    <n v="191"/>
    <n v="170"/>
    <n v="17"/>
    <n v="4"/>
    <x v="5"/>
    <x v="0"/>
    <x v="0"/>
    <x v="0"/>
  </r>
  <r>
    <x v="1"/>
    <x v="0"/>
    <x v="3"/>
    <n v="155"/>
    <n v="108"/>
    <n v="40"/>
    <n v="6"/>
    <x v="5"/>
    <x v="0"/>
    <x v="0"/>
    <x v="2"/>
  </r>
  <r>
    <x v="1"/>
    <x v="0"/>
    <x v="4"/>
    <n v="2219"/>
    <n v="2082"/>
    <n v="87"/>
    <n v="50"/>
    <x v="5"/>
    <x v="0"/>
    <x v="0"/>
    <x v="0"/>
  </r>
  <r>
    <x v="1"/>
    <x v="0"/>
    <x v="5"/>
    <n v="218"/>
    <n v="202"/>
    <n v="14"/>
    <n v="2"/>
    <x v="5"/>
    <x v="0"/>
    <x v="0"/>
    <x v="0"/>
  </r>
  <r>
    <x v="1"/>
    <x v="0"/>
    <x v="6"/>
    <n v="237"/>
    <n v="228"/>
    <n v="8"/>
    <m/>
    <x v="5"/>
    <x v="0"/>
    <x v="0"/>
    <x v="2"/>
  </r>
  <r>
    <x v="1"/>
    <x v="0"/>
    <x v="7"/>
    <n v="1007"/>
    <n v="949"/>
    <n v="48"/>
    <n v="7"/>
    <x v="2"/>
    <x v="0"/>
    <x v="0"/>
    <x v="1"/>
  </r>
  <r>
    <x v="1"/>
    <x v="0"/>
    <x v="8"/>
    <n v="868"/>
    <n v="723"/>
    <n v="135"/>
    <n v="9"/>
    <x v="5"/>
    <x v="0"/>
    <x v="0"/>
    <x v="2"/>
  </r>
  <r>
    <x v="1"/>
    <x v="0"/>
    <x v="9"/>
    <n v="314"/>
    <n v="262"/>
    <n v="50"/>
    <n v="2"/>
    <x v="5"/>
    <x v="0"/>
    <x v="0"/>
    <x v="0"/>
  </r>
  <r>
    <x v="1"/>
    <x v="0"/>
    <x v="10"/>
    <n v="345"/>
    <n v="322"/>
    <n v="22"/>
    <n v="1"/>
    <x v="5"/>
    <x v="0"/>
    <x v="0"/>
    <x v="0"/>
  </r>
  <r>
    <x v="1"/>
    <x v="0"/>
    <x v="11"/>
    <n v="283"/>
    <n v="233"/>
    <n v="45"/>
    <n v="5"/>
    <x v="5"/>
    <x v="0"/>
    <x v="0"/>
    <x v="0"/>
  </r>
  <r>
    <x v="1"/>
    <x v="0"/>
    <x v="12"/>
    <n v="751"/>
    <n v="707"/>
    <n v="36"/>
    <n v="8"/>
    <x v="5"/>
    <x v="0"/>
    <x v="0"/>
    <x v="0"/>
  </r>
  <r>
    <x v="1"/>
    <x v="0"/>
    <x v="13"/>
    <n v="1311"/>
    <n v="1232"/>
    <n v="70"/>
    <n v="9"/>
    <x v="5"/>
    <x v="0"/>
    <x v="0"/>
    <x v="0"/>
  </r>
  <r>
    <x v="1"/>
    <x v="0"/>
    <x v="14"/>
    <n v="3809"/>
    <n v="2954"/>
    <n v="637"/>
    <n v="194"/>
    <x v="5"/>
    <x v="2"/>
    <x v="0"/>
    <x v="12"/>
  </r>
  <r>
    <x v="1"/>
    <x v="0"/>
    <x v="15"/>
    <n v="568"/>
    <n v="495"/>
    <n v="59"/>
    <n v="14"/>
    <x v="5"/>
    <x v="0"/>
    <x v="0"/>
    <x v="0"/>
  </r>
  <r>
    <x v="1"/>
    <x v="0"/>
    <x v="16"/>
    <n v="625"/>
    <n v="464"/>
    <n v="137"/>
    <n v="23"/>
    <x v="5"/>
    <x v="0"/>
    <x v="0"/>
    <x v="2"/>
  </r>
  <r>
    <x v="1"/>
    <x v="0"/>
    <x v="17"/>
    <n v="371"/>
    <n v="347"/>
    <n v="22"/>
    <n v="2"/>
    <x v="5"/>
    <x v="0"/>
    <x v="0"/>
    <x v="0"/>
  </r>
  <r>
    <x v="1"/>
    <x v="0"/>
    <x v="18"/>
    <n v="167"/>
    <n v="144"/>
    <n v="18"/>
    <n v="5"/>
    <x v="5"/>
    <x v="0"/>
    <x v="0"/>
    <x v="0"/>
  </r>
  <r>
    <x v="1"/>
    <x v="0"/>
    <x v="19"/>
    <n v="33"/>
    <n v="25"/>
    <n v="7"/>
    <n v="1"/>
    <x v="5"/>
    <x v="0"/>
    <x v="0"/>
    <x v="0"/>
  </r>
  <r>
    <x v="1"/>
    <x v="0"/>
    <x v="20"/>
    <n v="907"/>
    <n v="803"/>
    <n v="96"/>
    <n v="7"/>
    <x v="5"/>
    <x v="0"/>
    <x v="0"/>
    <x v="2"/>
  </r>
  <r>
    <x v="1"/>
    <x v="0"/>
    <x v="21"/>
    <n v="2211"/>
    <n v="1783"/>
    <n v="389"/>
    <n v="36"/>
    <x v="5"/>
    <x v="0"/>
    <x v="0"/>
    <x v="3"/>
  </r>
  <r>
    <x v="1"/>
    <x v="0"/>
    <x v="22"/>
    <n v="18"/>
    <n v="15"/>
    <n v="1"/>
    <n v="2"/>
    <x v="5"/>
    <x v="0"/>
    <x v="0"/>
    <x v="0"/>
  </r>
  <r>
    <x v="1"/>
    <x v="0"/>
    <x v="23"/>
    <n v="224"/>
    <n v="193"/>
    <n v="27"/>
    <n v="4"/>
    <x v="5"/>
    <x v="0"/>
    <x v="0"/>
    <x v="0"/>
  </r>
  <r>
    <x v="1"/>
    <x v="0"/>
    <x v="24"/>
    <n v="871"/>
    <n v="644"/>
    <n v="189"/>
    <n v="31"/>
    <x v="5"/>
    <x v="0"/>
    <x v="0"/>
    <x v="5"/>
  </r>
  <r>
    <x v="1"/>
    <x v="0"/>
    <x v="25"/>
    <n v="147"/>
    <n v="130"/>
    <n v="16"/>
    <n v="1"/>
    <x v="5"/>
    <x v="0"/>
    <x v="0"/>
    <x v="0"/>
  </r>
  <r>
    <x v="1"/>
    <x v="0"/>
    <x v="26"/>
    <n v="14"/>
    <n v="12"/>
    <n v="2"/>
    <m/>
    <x v="5"/>
    <x v="0"/>
    <x v="0"/>
    <x v="0"/>
  </r>
  <r>
    <x v="1"/>
    <x v="0"/>
    <x v="27"/>
    <n v="415"/>
    <n v="349"/>
    <n v="59"/>
    <n v="4"/>
    <x v="5"/>
    <x v="0"/>
    <x v="0"/>
    <x v="3"/>
  </r>
  <r>
    <x v="1"/>
    <x v="0"/>
    <x v="28"/>
    <n v="1787"/>
    <n v="1449"/>
    <n v="304"/>
    <n v="33"/>
    <x v="5"/>
    <x v="0"/>
    <x v="0"/>
    <x v="2"/>
  </r>
  <r>
    <x v="1"/>
    <x v="0"/>
    <x v="29"/>
    <n v="249"/>
    <n v="225"/>
    <n v="21"/>
    <n v="3"/>
    <x v="5"/>
    <x v="0"/>
    <x v="0"/>
    <x v="0"/>
  </r>
  <r>
    <x v="1"/>
    <x v="0"/>
    <x v="30"/>
    <n v="795"/>
    <n v="663"/>
    <n v="119"/>
    <n v="12"/>
    <x v="5"/>
    <x v="0"/>
    <x v="0"/>
    <x v="2"/>
  </r>
  <r>
    <x v="1"/>
    <x v="0"/>
    <x v="31"/>
    <n v="968"/>
    <n v="904"/>
    <n v="58"/>
    <n v="6"/>
    <x v="5"/>
    <x v="0"/>
    <x v="0"/>
    <x v="0"/>
  </r>
  <r>
    <x v="1"/>
    <x v="1"/>
    <x v="0"/>
    <n v="522"/>
    <n v="480"/>
    <n v="33"/>
    <n v="9"/>
    <x v="5"/>
    <x v="0"/>
    <x v="0"/>
    <x v="0"/>
  </r>
  <r>
    <x v="1"/>
    <x v="1"/>
    <x v="1"/>
    <n v="264"/>
    <n v="233"/>
    <n v="26"/>
    <n v="5"/>
    <x v="5"/>
    <x v="0"/>
    <x v="0"/>
    <x v="0"/>
  </r>
  <r>
    <x v="1"/>
    <x v="1"/>
    <x v="2"/>
    <n v="196"/>
    <n v="177"/>
    <n v="15"/>
    <n v="2"/>
    <x v="4"/>
    <x v="0"/>
    <x v="0"/>
    <x v="0"/>
  </r>
  <r>
    <x v="1"/>
    <x v="1"/>
    <x v="3"/>
    <n v="259"/>
    <n v="172"/>
    <n v="67"/>
    <n v="14"/>
    <x v="5"/>
    <x v="0"/>
    <x v="0"/>
    <x v="13"/>
  </r>
  <r>
    <x v="1"/>
    <x v="1"/>
    <x v="4"/>
    <n v="1883"/>
    <n v="1721"/>
    <n v="125"/>
    <n v="36"/>
    <x v="5"/>
    <x v="0"/>
    <x v="0"/>
    <x v="2"/>
  </r>
  <r>
    <x v="1"/>
    <x v="1"/>
    <x v="5"/>
    <n v="194"/>
    <n v="175"/>
    <n v="18"/>
    <n v="1"/>
    <x v="5"/>
    <x v="0"/>
    <x v="0"/>
    <x v="0"/>
  </r>
  <r>
    <x v="1"/>
    <x v="1"/>
    <x v="6"/>
    <n v="260"/>
    <n v="243"/>
    <n v="13"/>
    <n v="4"/>
    <x v="5"/>
    <x v="0"/>
    <x v="0"/>
    <x v="0"/>
  </r>
  <r>
    <x v="1"/>
    <x v="1"/>
    <x v="7"/>
    <n v="914"/>
    <n v="870"/>
    <n v="38"/>
    <n v="6"/>
    <x v="5"/>
    <x v="0"/>
    <x v="0"/>
    <x v="0"/>
  </r>
  <r>
    <x v="1"/>
    <x v="1"/>
    <x v="8"/>
    <n v="1075"/>
    <n v="889"/>
    <n v="177"/>
    <n v="9"/>
    <x v="5"/>
    <x v="0"/>
    <x v="0"/>
    <x v="0"/>
  </r>
  <r>
    <x v="1"/>
    <x v="1"/>
    <x v="9"/>
    <n v="342"/>
    <n v="289"/>
    <n v="49"/>
    <n v="4"/>
    <x v="5"/>
    <x v="0"/>
    <x v="0"/>
    <x v="0"/>
  </r>
  <r>
    <x v="1"/>
    <x v="1"/>
    <x v="10"/>
    <n v="286"/>
    <n v="266"/>
    <n v="19"/>
    <n v="1"/>
    <x v="5"/>
    <x v="0"/>
    <x v="0"/>
    <x v="0"/>
  </r>
  <r>
    <x v="1"/>
    <x v="1"/>
    <x v="11"/>
    <n v="293"/>
    <n v="253"/>
    <n v="34"/>
    <n v="6"/>
    <x v="5"/>
    <x v="0"/>
    <x v="0"/>
    <x v="0"/>
  </r>
  <r>
    <x v="1"/>
    <x v="1"/>
    <x v="12"/>
    <n v="727"/>
    <n v="662"/>
    <n v="56"/>
    <n v="9"/>
    <x v="5"/>
    <x v="0"/>
    <x v="0"/>
    <x v="0"/>
  </r>
  <r>
    <x v="1"/>
    <x v="1"/>
    <x v="13"/>
    <n v="1121"/>
    <n v="1048"/>
    <n v="64"/>
    <n v="9"/>
    <x v="5"/>
    <x v="0"/>
    <x v="0"/>
    <x v="0"/>
  </r>
  <r>
    <x v="1"/>
    <x v="1"/>
    <x v="14"/>
    <n v="3958"/>
    <n v="3073"/>
    <n v="703"/>
    <n v="176"/>
    <x v="5"/>
    <x v="0"/>
    <x v="0"/>
    <x v="13"/>
  </r>
  <r>
    <x v="1"/>
    <x v="1"/>
    <x v="15"/>
    <n v="593"/>
    <n v="511"/>
    <n v="55"/>
    <n v="25"/>
    <x v="2"/>
    <x v="0"/>
    <x v="0"/>
    <x v="2"/>
  </r>
  <r>
    <x v="1"/>
    <x v="1"/>
    <x v="16"/>
    <n v="896"/>
    <n v="721"/>
    <n v="153"/>
    <n v="19"/>
    <x v="5"/>
    <x v="0"/>
    <x v="0"/>
    <x v="3"/>
  </r>
  <r>
    <x v="1"/>
    <x v="1"/>
    <x v="17"/>
    <n v="360"/>
    <n v="325"/>
    <n v="29"/>
    <n v="6"/>
    <x v="5"/>
    <x v="0"/>
    <x v="0"/>
    <x v="0"/>
  </r>
  <r>
    <x v="1"/>
    <x v="1"/>
    <x v="18"/>
    <n v="172"/>
    <n v="155"/>
    <n v="14"/>
    <n v="3"/>
    <x v="5"/>
    <x v="0"/>
    <x v="0"/>
    <x v="0"/>
  </r>
  <r>
    <x v="1"/>
    <x v="1"/>
    <x v="19"/>
    <n v="46"/>
    <n v="36"/>
    <n v="8"/>
    <n v="2"/>
    <x v="5"/>
    <x v="0"/>
    <x v="0"/>
    <x v="0"/>
  </r>
  <r>
    <x v="1"/>
    <x v="1"/>
    <x v="20"/>
    <n v="1023"/>
    <n v="895"/>
    <n v="120"/>
    <n v="6"/>
    <x v="5"/>
    <x v="0"/>
    <x v="0"/>
    <x v="1"/>
  </r>
  <r>
    <x v="1"/>
    <x v="1"/>
    <x v="21"/>
    <n v="2718"/>
    <n v="2218"/>
    <n v="474"/>
    <n v="24"/>
    <x v="5"/>
    <x v="0"/>
    <x v="0"/>
    <x v="1"/>
  </r>
  <r>
    <x v="1"/>
    <x v="1"/>
    <x v="22"/>
    <n v="10"/>
    <n v="9"/>
    <m/>
    <n v="1"/>
    <x v="5"/>
    <x v="0"/>
    <x v="0"/>
    <x v="0"/>
  </r>
  <r>
    <x v="1"/>
    <x v="1"/>
    <x v="23"/>
    <n v="268"/>
    <n v="241"/>
    <n v="23"/>
    <n v="4"/>
    <x v="5"/>
    <x v="0"/>
    <x v="0"/>
    <x v="0"/>
  </r>
  <r>
    <x v="1"/>
    <x v="1"/>
    <x v="24"/>
    <n v="1080"/>
    <n v="811"/>
    <n v="222"/>
    <n v="43"/>
    <x v="2"/>
    <x v="0"/>
    <x v="0"/>
    <x v="3"/>
  </r>
  <r>
    <x v="1"/>
    <x v="1"/>
    <x v="25"/>
    <n v="149"/>
    <n v="130"/>
    <n v="15"/>
    <n v="4"/>
    <x v="5"/>
    <x v="0"/>
    <x v="0"/>
    <x v="0"/>
  </r>
  <r>
    <x v="1"/>
    <x v="1"/>
    <x v="26"/>
    <n v="17"/>
    <n v="15"/>
    <n v="2"/>
    <m/>
    <x v="5"/>
    <x v="0"/>
    <x v="0"/>
    <x v="0"/>
  </r>
  <r>
    <x v="1"/>
    <x v="1"/>
    <x v="27"/>
    <n v="620"/>
    <n v="506"/>
    <n v="104"/>
    <n v="9"/>
    <x v="5"/>
    <x v="0"/>
    <x v="0"/>
    <x v="2"/>
  </r>
  <r>
    <x v="1"/>
    <x v="1"/>
    <x v="28"/>
    <n v="1944"/>
    <n v="1605"/>
    <n v="309"/>
    <n v="30"/>
    <x v="5"/>
    <x v="0"/>
    <x v="0"/>
    <x v="0"/>
  </r>
  <r>
    <x v="1"/>
    <x v="1"/>
    <x v="29"/>
    <n v="226"/>
    <n v="203"/>
    <n v="20"/>
    <n v="3"/>
    <x v="5"/>
    <x v="0"/>
    <x v="0"/>
    <x v="0"/>
  </r>
  <r>
    <x v="1"/>
    <x v="1"/>
    <x v="30"/>
    <n v="855"/>
    <n v="694"/>
    <n v="149"/>
    <n v="12"/>
    <x v="5"/>
    <x v="0"/>
    <x v="0"/>
    <x v="0"/>
  </r>
  <r>
    <x v="1"/>
    <x v="1"/>
    <x v="31"/>
    <n v="918"/>
    <n v="849"/>
    <n v="60"/>
    <n v="9"/>
    <x v="5"/>
    <x v="0"/>
    <x v="0"/>
    <x v="0"/>
  </r>
  <r>
    <x v="1"/>
    <x v="2"/>
    <x v="0"/>
    <n v="604"/>
    <n v="543"/>
    <n v="48"/>
    <n v="11"/>
    <x v="4"/>
    <x v="0"/>
    <x v="0"/>
    <x v="0"/>
  </r>
  <r>
    <x v="1"/>
    <x v="2"/>
    <x v="1"/>
    <n v="293"/>
    <n v="245"/>
    <n v="34"/>
    <n v="12"/>
    <x v="4"/>
    <x v="0"/>
    <x v="0"/>
    <x v="0"/>
  </r>
  <r>
    <x v="1"/>
    <x v="2"/>
    <x v="2"/>
    <n v="201"/>
    <n v="182"/>
    <n v="19"/>
    <m/>
    <x v="5"/>
    <x v="0"/>
    <x v="0"/>
    <x v="0"/>
  </r>
  <r>
    <x v="1"/>
    <x v="2"/>
    <x v="3"/>
    <n v="160"/>
    <n v="113"/>
    <n v="37"/>
    <n v="8"/>
    <x v="5"/>
    <x v="0"/>
    <x v="0"/>
    <x v="1"/>
  </r>
  <r>
    <x v="1"/>
    <x v="2"/>
    <x v="4"/>
    <n v="1815"/>
    <n v="1672"/>
    <n v="108"/>
    <n v="34"/>
    <x v="5"/>
    <x v="0"/>
    <x v="0"/>
    <x v="2"/>
  </r>
  <r>
    <x v="1"/>
    <x v="2"/>
    <x v="5"/>
    <n v="119"/>
    <n v="110"/>
    <n v="8"/>
    <n v="1"/>
    <x v="5"/>
    <x v="0"/>
    <x v="0"/>
    <x v="0"/>
  </r>
  <r>
    <x v="1"/>
    <x v="2"/>
    <x v="6"/>
    <n v="184"/>
    <n v="167"/>
    <n v="14"/>
    <n v="2"/>
    <x v="5"/>
    <x v="0"/>
    <x v="0"/>
    <x v="2"/>
  </r>
  <r>
    <x v="1"/>
    <x v="2"/>
    <x v="7"/>
    <n v="714"/>
    <n v="665"/>
    <n v="43"/>
    <n v="5"/>
    <x v="2"/>
    <x v="0"/>
    <x v="0"/>
    <x v="0"/>
  </r>
  <r>
    <x v="1"/>
    <x v="2"/>
    <x v="8"/>
    <n v="753"/>
    <n v="608"/>
    <n v="132"/>
    <n v="11"/>
    <x v="5"/>
    <x v="0"/>
    <x v="0"/>
    <x v="1"/>
  </r>
  <r>
    <x v="1"/>
    <x v="2"/>
    <x v="9"/>
    <n v="200"/>
    <n v="165"/>
    <n v="32"/>
    <n v="2"/>
    <x v="5"/>
    <x v="0"/>
    <x v="0"/>
    <x v="2"/>
  </r>
  <r>
    <x v="1"/>
    <x v="2"/>
    <x v="10"/>
    <n v="289"/>
    <n v="269"/>
    <n v="20"/>
    <m/>
    <x v="5"/>
    <x v="0"/>
    <x v="0"/>
    <x v="0"/>
  </r>
  <r>
    <x v="1"/>
    <x v="2"/>
    <x v="11"/>
    <n v="190"/>
    <n v="139"/>
    <n v="41"/>
    <n v="10"/>
    <x v="5"/>
    <x v="0"/>
    <x v="0"/>
    <x v="0"/>
  </r>
  <r>
    <x v="1"/>
    <x v="2"/>
    <x v="12"/>
    <n v="569"/>
    <n v="524"/>
    <n v="43"/>
    <n v="2"/>
    <x v="5"/>
    <x v="0"/>
    <x v="0"/>
    <x v="0"/>
  </r>
  <r>
    <x v="1"/>
    <x v="2"/>
    <x v="13"/>
    <n v="983"/>
    <n v="909"/>
    <n v="67"/>
    <n v="7"/>
    <x v="5"/>
    <x v="0"/>
    <x v="0"/>
    <x v="0"/>
  </r>
  <r>
    <x v="1"/>
    <x v="2"/>
    <x v="14"/>
    <n v="2827"/>
    <n v="2129"/>
    <n v="551"/>
    <n v="141"/>
    <x v="4"/>
    <x v="0"/>
    <x v="0"/>
    <x v="14"/>
  </r>
  <r>
    <x v="1"/>
    <x v="2"/>
    <x v="15"/>
    <n v="658"/>
    <n v="543"/>
    <n v="77"/>
    <n v="37"/>
    <x v="2"/>
    <x v="0"/>
    <x v="0"/>
    <x v="0"/>
  </r>
  <r>
    <x v="1"/>
    <x v="2"/>
    <x v="16"/>
    <n v="647"/>
    <n v="478"/>
    <n v="139"/>
    <n v="29"/>
    <x v="5"/>
    <x v="0"/>
    <x v="0"/>
    <x v="2"/>
  </r>
  <r>
    <x v="1"/>
    <x v="2"/>
    <x v="17"/>
    <n v="376"/>
    <n v="343"/>
    <n v="28"/>
    <n v="4"/>
    <x v="5"/>
    <x v="0"/>
    <x v="0"/>
    <x v="2"/>
  </r>
  <r>
    <x v="1"/>
    <x v="2"/>
    <x v="18"/>
    <n v="188"/>
    <n v="155"/>
    <n v="18"/>
    <n v="15"/>
    <x v="5"/>
    <x v="0"/>
    <x v="0"/>
    <x v="0"/>
  </r>
  <r>
    <x v="1"/>
    <x v="2"/>
    <x v="19"/>
    <n v="74"/>
    <n v="57"/>
    <n v="16"/>
    <n v="1"/>
    <x v="5"/>
    <x v="0"/>
    <x v="0"/>
    <x v="0"/>
  </r>
  <r>
    <x v="1"/>
    <x v="2"/>
    <x v="20"/>
    <n v="641"/>
    <n v="558"/>
    <n v="75"/>
    <n v="6"/>
    <x v="5"/>
    <x v="0"/>
    <x v="0"/>
    <x v="1"/>
  </r>
  <r>
    <x v="1"/>
    <x v="2"/>
    <x v="21"/>
    <n v="1961"/>
    <n v="1556"/>
    <n v="390"/>
    <n v="13"/>
    <x v="5"/>
    <x v="0"/>
    <x v="0"/>
    <x v="1"/>
  </r>
  <r>
    <x v="1"/>
    <x v="2"/>
    <x v="22"/>
    <n v="6"/>
    <n v="5"/>
    <n v="1"/>
    <m/>
    <x v="5"/>
    <x v="0"/>
    <x v="0"/>
    <x v="0"/>
  </r>
  <r>
    <x v="1"/>
    <x v="2"/>
    <x v="23"/>
    <n v="231"/>
    <n v="208"/>
    <n v="20"/>
    <n v="3"/>
    <x v="5"/>
    <x v="0"/>
    <x v="0"/>
    <x v="0"/>
  </r>
  <r>
    <x v="1"/>
    <x v="2"/>
    <x v="24"/>
    <n v="759"/>
    <n v="569"/>
    <n v="162"/>
    <n v="27"/>
    <x v="5"/>
    <x v="0"/>
    <x v="0"/>
    <x v="2"/>
  </r>
  <r>
    <x v="1"/>
    <x v="2"/>
    <x v="25"/>
    <n v="125"/>
    <n v="111"/>
    <n v="12"/>
    <n v="2"/>
    <x v="5"/>
    <x v="0"/>
    <x v="0"/>
    <x v="0"/>
  </r>
  <r>
    <x v="1"/>
    <x v="2"/>
    <x v="26"/>
    <n v="13"/>
    <n v="11"/>
    <n v="1"/>
    <n v="1"/>
    <x v="5"/>
    <x v="0"/>
    <x v="0"/>
    <x v="0"/>
  </r>
  <r>
    <x v="1"/>
    <x v="2"/>
    <x v="27"/>
    <n v="358"/>
    <n v="287"/>
    <n v="69"/>
    <n v="1"/>
    <x v="5"/>
    <x v="0"/>
    <x v="0"/>
    <x v="2"/>
  </r>
  <r>
    <x v="1"/>
    <x v="2"/>
    <x v="28"/>
    <n v="1293"/>
    <n v="1065"/>
    <n v="204"/>
    <n v="22"/>
    <x v="5"/>
    <x v="0"/>
    <x v="0"/>
    <x v="1"/>
  </r>
  <r>
    <x v="1"/>
    <x v="2"/>
    <x v="29"/>
    <n v="166"/>
    <n v="151"/>
    <n v="13"/>
    <n v="2"/>
    <x v="5"/>
    <x v="0"/>
    <x v="0"/>
    <x v="0"/>
  </r>
  <r>
    <x v="1"/>
    <x v="2"/>
    <x v="30"/>
    <n v="510"/>
    <n v="378"/>
    <n v="122"/>
    <n v="9"/>
    <x v="2"/>
    <x v="0"/>
    <x v="0"/>
    <x v="0"/>
  </r>
  <r>
    <x v="1"/>
    <x v="2"/>
    <x v="31"/>
    <n v="747"/>
    <n v="710"/>
    <n v="32"/>
    <n v="5"/>
    <x v="5"/>
    <x v="0"/>
    <x v="0"/>
    <x v="0"/>
  </r>
  <r>
    <x v="1"/>
    <x v="3"/>
    <x v="0"/>
    <n v="447"/>
    <n v="397"/>
    <n v="37"/>
    <n v="13"/>
    <x v="5"/>
    <x v="0"/>
    <x v="0"/>
    <x v="0"/>
  </r>
  <r>
    <x v="1"/>
    <x v="3"/>
    <x v="1"/>
    <n v="205"/>
    <n v="177"/>
    <n v="24"/>
    <n v="4"/>
    <x v="5"/>
    <x v="0"/>
    <x v="0"/>
    <x v="0"/>
  </r>
  <r>
    <x v="1"/>
    <x v="3"/>
    <x v="2"/>
    <n v="136"/>
    <n v="124"/>
    <n v="12"/>
    <m/>
    <x v="5"/>
    <x v="0"/>
    <x v="0"/>
    <x v="0"/>
  </r>
  <r>
    <x v="1"/>
    <x v="3"/>
    <x v="3"/>
    <n v="148"/>
    <n v="106"/>
    <n v="34"/>
    <n v="7"/>
    <x v="5"/>
    <x v="0"/>
    <x v="0"/>
    <x v="2"/>
  </r>
  <r>
    <x v="1"/>
    <x v="3"/>
    <x v="4"/>
    <n v="1223"/>
    <n v="1153"/>
    <n v="49"/>
    <n v="19"/>
    <x v="5"/>
    <x v="0"/>
    <x v="0"/>
    <x v="1"/>
  </r>
  <r>
    <x v="1"/>
    <x v="3"/>
    <x v="5"/>
    <n v="95"/>
    <n v="91"/>
    <n v="4"/>
    <m/>
    <x v="5"/>
    <x v="0"/>
    <x v="0"/>
    <x v="0"/>
  </r>
  <r>
    <x v="1"/>
    <x v="3"/>
    <x v="6"/>
    <n v="125"/>
    <n v="118"/>
    <n v="6"/>
    <m/>
    <x v="2"/>
    <x v="0"/>
    <x v="0"/>
    <x v="0"/>
  </r>
  <r>
    <x v="1"/>
    <x v="3"/>
    <x v="7"/>
    <n v="412"/>
    <n v="374"/>
    <n v="35"/>
    <n v="3"/>
    <x v="5"/>
    <x v="0"/>
    <x v="0"/>
    <x v="0"/>
  </r>
  <r>
    <x v="1"/>
    <x v="3"/>
    <x v="8"/>
    <n v="675"/>
    <n v="566"/>
    <n v="101"/>
    <n v="6"/>
    <x v="5"/>
    <x v="0"/>
    <x v="0"/>
    <x v="1"/>
  </r>
  <r>
    <x v="1"/>
    <x v="3"/>
    <x v="9"/>
    <n v="145"/>
    <n v="126"/>
    <n v="18"/>
    <m/>
    <x v="5"/>
    <x v="0"/>
    <x v="0"/>
    <x v="2"/>
  </r>
  <r>
    <x v="1"/>
    <x v="3"/>
    <x v="10"/>
    <n v="128"/>
    <n v="116"/>
    <n v="9"/>
    <n v="3"/>
    <x v="5"/>
    <x v="0"/>
    <x v="0"/>
    <x v="0"/>
  </r>
  <r>
    <x v="1"/>
    <x v="3"/>
    <x v="11"/>
    <n v="177"/>
    <n v="132"/>
    <n v="31"/>
    <n v="14"/>
    <x v="5"/>
    <x v="0"/>
    <x v="0"/>
    <x v="0"/>
  </r>
  <r>
    <x v="1"/>
    <x v="3"/>
    <x v="12"/>
    <n v="371"/>
    <n v="353"/>
    <n v="15"/>
    <n v="3"/>
    <x v="5"/>
    <x v="0"/>
    <x v="0"/>
    <x v="0"/>
  </r>
  <r>
    <x v="1"/>
    <x v="3"/>
    <x v="13"/>
    <n v="691"/>
    <n v="652"/>
    <n v="34"/>
    <n v="5"/>
    <x v="5"/>
    <x v="0"/>
    <x v="0"/>
    <x v="0"/>
  </r>
  <r>
    <x v="1"/>
    <x v="3"/>
    <x v="14"/>
    <n v="2475"/>
    <n v="1903"/>
    <n v="418"/>
    <n v="148"/>
    <x v="5"/>
    <x v="0"/>
    <x v="0"/>
    <x v="13"/>
  </r>
  <r>
    <x v="1"/>
    <x v="3"/>
    <x v="15"/>
    <n v="504"/>
    <n v="431"/>
    <n v="56"/>
    <n v="17"/>
    <x v="5"/>
    <x v="0"/>
    <x v="0"/>
    <x v="0"/>
  </r>
  <r>
    <x v="1"/>
    <x v="3"/>
    <x v="16"/>
    <n v="513"/>
    <n v="396"/>
    <n v="101"/>
    <n v="16"/>
    <x v="5"/>
    <x v="0"/>
    <x v="0"/>
    <x v="0"/>
  </r>
  <r>
    <x v="1"/>
    <x v="3"/>
    <x v="17"/>
    <n v="166"/>
    <n v="160"/>
    <n v="5"/>
    <n v="1"/>
    <x v="5"/>
    <x v="0"/>
    <x v="0"/>
    <x v="0"/>
  </r>
  <r>
    <x v="1"/>
    <x v="3"/>
    <x v="18"/>
    <n v="105"/>
    <n v="94"/>
    <n v="7"/>
    <n v="4"/>
    <x v="5"/>
    <x v="0"/>
    <x v="0"/>
    <x v="0"/>
  </r>
  <r>
    <x v="1"/>
    <x v="3"/>
    <x v="19"/>
    <n v="130"/>
    <n v="111"/>
    <n v="10"/>
    <n v="9"/>
    <x v="5"/>
    <x v="0"/>
    <x v="0"/>
    <x v="0"/>
  </r>
  <r>
    <x v="1"/>
    <x v="3"/>
    <x v="20"/>
    <n v="632"/>
    <n v="531"/>
    <n v="97"/>
    <n v="4"/>
    <x v="5"/>
    <x v="0"/>
    <x v="0"/>
    <x v="0"/>
  </r>
  <r>
    <x v="1"/>
    <x v="3"/>
    <x v="21"/>
    <n v="1512"/>
    <n v="1215"/>
    <n v="286"/>
    <n v="11"/>
    <x v="5"/>
    <x v="0"/>
    <x v="0"/>
    <x v="0"/>
  </r>
  <r>
    <x v="1"/>
    <x v="3"/>
    <x v="22"/>
    <n v="7"/>
    <n v="5"/>
    <n v="2"/>
    <m/>
    <x v="5"/>
    <x v="0"/>
    <x v="0"/>
    <x v="0"/>
  </r>
  <r>
    <x v="1"/>
    <x v="3"/>
    <x v="23"/>
    <n v="130"/>
    <n v="110"/>
    <n v="14"/>
    <n v="6"/>
    <x v="5"/>
    <x v="0"/>
    <x v="0"/>
    <x v="0"/>
  </r>
  <r>
    <x v="1"/>
    <x v="3"/>
    <x v="24"/>
    <n v="634"/>
    <n v="496"/>
    <n v="118"/>
    <n v="20"/>
    <x v="5"/>
    <x v="0"/>
    <x v="0"/>
    <x v="0"/>
  </r>
  <r>
    <x v="1"/>
    <x v="3"/>
    <x v="25"/>
    <n v="65"/>
    <n v="56"/>
    <n v="8"/>
    <n v="1"/>
    <x v="5"/>
    <x v="0"/>
    <x v="0"/>
    <x v="0"/>
  </r>
  <r>
    <x v="1"/>
    <x v="3"/>
    <x v="26"/>
    <n v="13"/>
    <n v="8"/>
    <n v="4"/>
    <n v="1"/>
    <x v="5"/>
    <x v="0"/>
    <x v="0"/>
    <x v="0"/>
  </r>
  <r>
    <x v="1"/>
    <x v="3"/>
    <x v="27"/>
    <n v="299"/>
    <n v="233"/>
    <n v="62"/>
    <n v="4"/>
    <x v="5"/>
    <x v="0"/>
    <x v="0"/>
    <x v="0"/>
  </r>
  <r>
    <x v="1"/>
    <x v="3"/>
    <x v="28"/>
    <n v="1087"/>
    <n v="914"/>
    <n v="158"/>
    <n v="14"/>
    <x v="5"/>
    <x v="0"/>
    <x v="0"/>
    <x v="2"/>
  </r>
  <r>
    <x v="1"/>
    <x v="3"/>
    <x v="29"/>
    <n v="126"/>
    <n v="111"/>
    <n v="13"/>
    <n v="2"/>
    <x v="5"/>
    <x v="0"/>
    <x v="0"/>
    <x v="0"/>
  </r>
  <r>
    <x v="1"/>
    <x v="3"/>
    <x v="30"/>
    <n v="446"/>
    <n v="340"/>
    <n v="101"/>
    <n v="4"/>
    <x v="5"/>
    <x v="0"/>
    <x v="0"/>
    <x v="2"/>
  </r>
  <r>
    <x v="1"/>
    <x v="3"/>
    <x v="31"/>
    <n v="440"/>
    <n v="408"/>
    <n v="26"/>
    <n v="6"/>
    <x v="5"/>
    <x v="0"/>
    <x v="0"/>
    <x v="0"/>
  </r>
  <r>
    <x v="1"/>
    <x v="4"/>
    <x v="0"/>
    <n v="430"/>
    <n v="408"/>
    <n v="20"/>
    <n v="2"/>
    <x v="5"/>
    <x v="0"/>
    <x v="0"/>
    <x v="0"/>
  </r>
  <r>
    <x v="1"/>
    <x v="4"/>
    <x v="1"/>
    <n v="300"/>
    <n v="247"/>
    <n v="45"/>
    <n v="6"/>
    <x v="4"/>
    <x v="0"/>
    <x v="0"/>
    <x v="0"/>
  </r>
  <r>
    <x v="1"/>
    <x v="4"/>
    <x v="2"/>
    <n v="199"/>
    <n v="178"/>
    <n v="18"/>
    <n v="3"/>
    <x v="5"/>
    <x v="0"/>
    <x v="0"/>
    <x v="0"/>
  </r>
  <r>
    <x v="1"/>
    <x v="4"/>
    <x v="3"/>
    <n v="133"/>
    <n v="95"/>
    <n v="35"/>
    <n v="2"/>
    <x v="2"/>
    <x v="0"/>
    <x v="0"/>
    <x v="0"/>
  </r>
  <r>
    <x v="1"/>
    <x v="4"/>
    <x v="4"/>
    <n v="1458"/>
    <n v="1368"/>
    <n v="68"/>
    <n v="21"/>
    <x v="5"/>
    <x v="0"/>
    <x v="0"/>
    <x v="2"/>
  </r>
  <r>
    <x v="1"/>
    <x v="4"/>
    <x v="5"/>
    <n v="110"/>
    <n v="104"/>
    <n v="5"/>
    <n v="1"/>
    <x v="5"/>
    <x v="0"/>
    <x v="0"/>
    <x v="0"/>
  </r>
  <r>
    <x v="1"/>
    <x v="4"/>
    <x v="6"/>
    <n v="172"/>
    <n v="160"/>
    <n v="10"/>
    <n v="2"/>
    <x v="5"/>
    <x v="0"/>
    <x v="0"/>
    <x v="0"/>
  </r>
  <r>
    <x v="1"/>
    <x v="4"/>
    <x v="7"/>
    <n v="646"/>
    <n v="592"/>
    <n v="49"/>
    <n v="4"/>
    <x v="2"/>
    <x v="0"/>
    <x v="0"/>
    <x v="0"/>
  </r>
  <r>
    <x v="1"/>
    <x v="4"/>
    <x v="8"/>
    <n v="693"/>
    <n v="603"/>
    <n v="77"/>
    <n v="7"/>
    <x v="5"/>
    <x v="0"/>
    <x v="0"/>
    <x v="13"/>
  </r>
  <r>
    <x v="1"/>
    <x v="4"/>
    <x v="9"/>
    <n v="221"/>
    <n v="191"/>
    <n v="29"/>
    <n v="1"/>
    <x v="5"/>
    <x v="0"/>
    <x v="0"/>
    <x v="0"/>
  </r>
  <r>
    <x v="1"/>
    <x v="4"/>
    <x v="10"/>
    <n v="237"/>
    <n v="215"/>
    <n v="19"/>
    <n v="3"/>
    <x v="5"/>
    <x v="0"/>
    <x v="0"/>
    <x v="0"/>
  </r>
  <r>
    <x v="1"/>
    <x v="4"/>
    <x v="11"/>
    <n v="154"/>
    <n v="127"/>
    <n v="20"/>
    <n v="6"/>
    <x v="5"/>
    <x v="0"/>
    <x v="0"/>
    <x v="2"/>
  </r>
  <r>
    <x v="1"/>
    <x v="4"/>
    <x v="12"/>
    <n v="498"/>
    <n v="465"/>
    <n v="29"/>
    <n v="4"/>
    <x v="5"/>
    <x v="0"/>
    <x v="0"/>
    <x v="0"/>
  </r>
  <r>
    <x v="1"/>
    <x v="4"/>
    <x v="13"/>
    <n v="799"/>
    <n v="733"/>
    <n v="57"/>
    <n v="8"/>
    <x v="2"/>
    <x v="0"/>
    <x v="0"/>
    <x v="0"/>
  </r>
  <r>
    <x v="1"/>
    <x v="4"/>
    <x v="14"/>
    <n v="2842"/>
    <n v="2269"/>
    <n v="439"/>
    <n v="130"/>
    <x v="5"/>
    <x v="0"/>
    <x v="0"/>
    <x v="14"/>
  </r>
  <r>
    <x v="1"/>
    <x v="4"/>
    <x v="15"/>
    <n v="556"/>
    <n v="480"/>
    <n v="55"/>
    <n v="20"/>
    <x v="5"/>
    <x v="0"/>
    <x v="0"/>
    <x v="2"/>
  </r>
  <r>
    <x v="1"/>
    <x v="4"/>
    <x v="16"/>
    <n v="447"/>
    <n v="371"/>
    <n v="66"/>
    <n v="9"/>
    <x v="5"/>
    <x v="0"/>
    <x v="0"/>
    <x v="2"/>
  </r>
  <r>
    <x v="1"/>
    <x v="4"/>
    <x v="17"/>
    <n v="336"/>
    <n v="315"/>
    <n v="16"/>
    <n v="4"/>
    <x v="5"/>
    <x v="2"/>
    <x v="0"/>
    <x v="0"/>
  </r>
  <r>
    <x v="1"/>
    <x v="4"/>
    <x v="18"/>
    <n v="128"/>
    <n v="100"/>
    <n v="15"/>
    <n v="13"/>
    <x v="5"/>
    <x v="0"/>
    <x v="0"/>
    <x v="0"/>
  </r>
  <r>
    <x v="1"/>
    <x v="4"/>
    <x v="19"/>
    <n v="87"/>
    <n v="66"/>
    <n v="18"/>
    <n v="3"/>
    <x v="5"/>
    <x v="0"/>
    <x v="0"/>
    <x v="0"/>
  </r>
  <r>
    <x v="1"/>
    <x v="4"/>
    <x v="20"/>
    <n v="553"/>
    <n v="467"/>
    <n v="76"/>
    <n v="6"/>
    <x v="5"/>
    <x v="0"/>
    <x v="0"/>
    <x v="14"/>
  </r>
  <r>
    <x v="1"/>
    <x v="4"/>
    <x v="21"/>
    <n v="1844"/>
    <n v="1576"/>
    <n v="249"/>
    <n v="16"/>
    <x v="5"/>
    <x v="0"/>
    <x v="0"/>
    <x v="3"/>
  </r>
  <r>
    <x v="1"/>
    <x v="4"/>
    <x v="22"/>
    <n v="13"/>
    <n v="12"/>
    <n v="1"/>
    <m/>
    <x v="5"/>
    <x v="0"/>
    <x v="0"/>
    <x v="0"/>
  </r>
  <r>
    <x v="1"/>
    <x v="4"/>
    <x v="23"/>
    <n v="126"/>
    <n v="110"/>
    <n v="12"/>
    <n v="4"/>
    <x v="5"/>
    <x v="0"/>
    <x v="0"/>
    <x v="0"/>
  </r>
  <r>
    <x v="1"/>
    <x v="4"/>
    <x v="24"/>
    <n v="523"/>
    <n v="402"/>
    <n v="103"/>
    <n v="18"/>
    <x v="5"/>
    <x v="0"/>
    <x v="0"/>
    <x v="0"/>
  </r>
  <r>
    <x v="1"/>
    <x v="4"/>
    <x v="25"/>
    <n v="107"/>
    <n v="86"/>
    <n v="18"/>
    <n v="2"/>
    <x v="5"/>
    <x v="0"/>
    <x v="0"/>
    <x v="2"/>
  </r>
  <r>
    <x v="1"/>
    <x v="4"/>
    <x v="26"/>
    <n v="9"/>
    <n v="8"/>
    <n v="1"/>
    <m/>
    <x v="5"/>
    <x v="0"/>
    <x v="0"/>
    <x v="0"/>
  </r>
  <r>
    <x v="1"/>
    <x v="4"/>
    <x v="27"/>
    <n v="293"/>
    <n v="246"/>
    <n v="45"/>
    <n v="2"/>
    <x v="5"/>
    <x v="0"/>
    <x v="0"/>
    <x v="0"/>
  </r>
  <r>
    <x v="1"/>
    <x v="4"/>
    <x v="28"/>
    <n v="1209"/>
    <n v="1020"/>
    <n v="171"/>
    <n v="16"/>
    <x v="5"/>
    <x v="0"/>
    <x v="0"/>
    <x v="1"/>
  </r>
  <r>
    <x v="1"/>
    <x v="4"/>
    <x v="29"/>
    <n v="130"/>
    <n v="115"/>
    <n v="14"/>
    <n v="1"/>
    <x v="5"/>
    <x v="0"/>
    <x v="0"/>
    <x v="0"/>
  </r>
  <r>
    <x v="1"/>
    <x v="4"/>
    <x v="30"/>
    <n v="496"/>
    <n v="411"/>
    <n v="76"/>
    <n v="9"/>
    <x v="5"/>
    <x v="0"/>
    <x v="0"/>
    <x v="0"/>
  </r>
  <r>
    <x v="1"/>
    <x v="4"/>
    <x v="31"/>
    <n v="602"/>
    <n v="552"/>
    <n v="39"/>
    <n v="11"/>
    <x v="5"/>
    <x v="0"/>
    <x v="0"/>
    <x v="0"/>
  </r>
  <r>
    <x v="1"/>
    <x v="5"/>
    <x v="0"/>
    <n v="402"/>
    <n v="368"/>
    <n v="26"/>
    <n v="8"/>
    <x v="5"/>
    <x v="0"/>
    <x v="0"/>
    <x v="0"/>
  </r>
  <r>
    <x v="1"/>
    <x v="5"/>
    <x v="1"/>
    <n v="221"/>
    <n v="190"/>
    <n v="26"/>
    <n v="5"/>
    <x v="5"/>
    <x v="0"/>
    <x v="0"/>
    <x v="0"/>
  </r>
  <r>
    <x v="1"/>
    <x v="5"/>
    <x v="2"/>
    <n v="161"/>
    <n v="142"/>
    <n v="16"/>
    <n v="3"/>
    <x v="5"/>
    <x v="0"/>
    <x v="0"/>
    <x v="0"/>
  </r>
  <r>
    <x v="1"/>
    <x v="5"/>
    <x v="3"/>
    <n v="88"/>
    <n v="53"/>
    <n v="30"/>
    <n v="4"/>
    <x v="5"/>
    <x v="0"/>
    <x v="0"/>
    <x v="2"/>
  </r>
  <r>
    <x v="1"/>
    <x v="5"/>
    <x v="4"/>
    <n v="1352"/>
    <n v="1272"/>
    <n v="66"/>
    <n v="13"/>
    <x v="5"/>
    <x v="0"/>
    <x v="0"/>
    <x v="2"/>
  </r>
  <r>
    <x v="1"/>
    <x v="5"/>
    <x v="5"/>
    <n v="85"/>
    <n v="77"/>
    <n v="7"/>
    <n v="1"/>
    <x v="5"/>
    <x v="0"/>
    <x v="0"/>
    <x v="0"/>
  </r>
  <r>
    <x v="1"/>
    <x v="5"/>
    <x v="6"/>
    <n v="141"/>
    <n v="126"/>
    <n v="14"/>
    <n v="1"/>
    <x v="5"/>
    <x v="0"/>
    <x v="0"/>
    <x v="0"/>
  </r>
  <r>
    <x v="1"/>
    <x v="5"/>
    <x v="7"/>
    <n v="596"/>
    <n v="576"/>
    <n v="16"/>
    <n v="4"/>
    <x v="5"/>
    <x v="0"/>
    <x v="0"/>
    <x v="0"/>
  </r>
  <r>
    <x v="1"/>
    <x v="5"/>
    <x v="8"/>
    <n v="444"/>
    <n v="348"/>
    <n v="92"/>
    <n v="3"/>
    <x v="5"/>
    <x v="0"/>
    <x v="0"/>
    <x v="2"/>
  </r>
  <r>
    <x v="1"/>
    <x v="5"/>
    <x v="9"/>
    <n v="178"/>
    <n v="145"/>
    <n v="28"/>
    <n v="5"/>
    <x v="5"/>
    <x v="0"/>
    <x v="0"/>
    <x v="0"/>
  </r>
  <r>
    <x v="1"/>
    <x v="5"/>
    <x v="10"/>
    <n v="144"/>
    <n v="122"/>
    <n v="20"/>
    <n v="2"/>
    <x v="5"/>
    <x v="0"/>
    <x v="0"/>
    <x v="0"/>
  </r>
  <r>
    <x v="1"/>
    <x v="5"/>
    <x v="11"/>
    <n v="132"/>
    <n v="108"/>
    <n v="19"/>
    <n v="5"/>
    <x v="5"/>
    <x v="0"/>
    <x v="0"/>
    <x v="0"/>
  </r>
  <r>
    <x v="1"/>
    <x v="5"/>
    <x v="12"/>
    <n v="382"/>
    <n v="359"/>
    <n v="21"/>
    <n v="2"/>
    <x v="5"/>
    <x v="0"/>
    <x v="0"/>
    <x v="0"/>
  </r>
  <r>
    <x v="1"/>
    <x v="5"/>
    <x v="13"/>
    <n v="678"/>
    <n v="635"/>
    <n v="34"/>
    <n v="9"/>
    <x v="5"/>
    <x v="0"/>
    <x v="0"/>
    <x v="0"/>
  </r>
  <r>
    <x v="1"/>
    <x v="5"/>
    <x v="14"/>
    <n v="2625"/>
    <n v="2089"/>
    <n v="412"/>
    <n v="122"/>
    <x v="5"/>
    <x v="0"/>
    <x v="0"/>
    <x v="1"/>
  </r>
  <r>
    <x v="1"/>
    <x v="5"/>
    <x v="15"/>
    <n v="337"/>
    <n v="289"/>
    <n v="36"/>
    <n v="12"/>
    <x v="5"/>
    <x v="0"/>
    <x v="0"/>
    <x v="0"/>
  </r>
  <r>
    <x v="1"/>
    <x v="5"/>
    <x v="16"/>
    <n v="391"/>
    <n v="311"/>
    <n v="65"/>
    <n v="15"/>
    <x v="5"/>
    <x v="0"/>
    <x v="0"/>
    <x v="0"/>
  </r>
  <r>
    <x v="1"/>
    <x v="5"/>
    <x v="17"/>
    <n v="257"/>
    <n v="252"/>
    <n v="5"/>
    <m/>
    <x v="5"/>
    <x v="0"/>
    <x v="0"/>
    <x v="0"/>
  </r>
  <r>
    <x v="1"/>
    <x v="5"/>
    <x v="18"/>
    <n v="104"/>
    <n v="89"/>
    <n v="10"/>
    <n v="5"/>
    <x v="5"/>
    <x v="0"/>
    <x v="0"/>
    <x v="0"/>
  </r>
  <r>
    <x v="1"/>
    <x v="5"/>
    <x v="19"/>
    <n v="41"/>
    <n v="30"/>
    <n v="6"/>
    <n v="5"/>
    <x v="5"/>
    <x v="0"/>
    <x v="0"/>
    <x v="0"/>
  </r>
  <r>
    <x v="1"/>
    <x v="5"/>
    <x v="20"/>
    <n v="419"/>
    <n v="363"/>
    <n v="51"/>
    <n v="4"/>
    <x v="5"/>
    <x v="0"/>
    <x v="0"/>
    <x v="2"/>
  </r>
  <r>
    <x v="1"/>
    <x v="5"/>
    <x v="21"/>
    <n v="1415"/>
    <n v="1193"/>
    <n v="204"/>
    <n v="12"/>
    <x v="5"/>
    <x v="0"/>
    <x v="0"/>
    <x v="13"/>
  </r>
  <r>
    <x v="1"/>
    <x v="5"/>
    <x v="22"/>
    <n v="7"/>
    <n v="7"/>
    <m/>
    <m/>
    <x v="5"/>
    <x v="0"/>
    <x v="0"/>
    <x v="0"/>
  </r>
  <r>
    <x v="1"/>
    <x v="5"/>
    <x v="23"/>
    <n v="115"/>
    <n v="102"/>
    <n v="10"/>
    <n v="3"/>
    <x v="5"/>
    <x v="0"/>
    <x v="0"/>
    <x v="0"/>
  </r>
  <r>
    <x v="1"/>
    <x v="5"/>
    <x v="24"/>
    <n v="491"/>
    <n v="378"/>
    <n v="97"/>
    <n v="16"/>
    <x v="5"/>
    <x v="0"/>
    <x v="0"/>
    <x v="0"/>
  </r>
  <r>
    <x v="1"/>
    <x v="5"/>
    <x v="25"/>
    <n v="93"/>
    <n v="80"/>
    <n v="12"/>
    <n v="1"/>
    <x v="5"/>
    <x v="0"/>
    <x v="0"/>
    <x v="0"/>
  </r>
  <r>
    <x v="1"/>
    <x v="5"/>
    <x v="26"/>
    <n v="9"/>
    <n v="8"/>
    <n v="1"/>
    <m/>
    <x v="5"/>
    <x v="0"/>
    <x v="0"/>
    <x v="0"/>
  </r>
  <r>
    <x v="1"/>
    <x v="5"/>
    <x v="27"/>
    <n v="222"/>
    <n v="194"/>
    <n v="26"/>
    <n v="2"/>
    <x v="5"/>
    <x v="0"/>
    <x v="0"/>
    <x v="0"/>
  </r>
  <r>
    <x v="1"/>
    <x v="5"/>
    <x v="28"/>
    <n v="882"/>
    <n v="719"/>
    <n v="146"/>
    <n v="16"/>
    <x v="5"/>
    <x v="0"/>
    <x v="0"/>
    <x v="2"/>
  </r>
  <r>
    <x v="1"/>
    <x v="5"/>
    <x v="29"/>
    <n v="125"/>
    <n v="104"/>
    <n v="18"/>
    <n v="3"/>
    <x v="5"/>
    <x v="0"/>
    <x v="0"/>
    <x v="0"/>
  </r>
  <r>
    <x v="1"/>
    <x v="5"/>
    <x v="30"/>
    <n v="326"/>
    <n v="272"/>
    <n v="50"/>
    <n v="4"/>
    <x v="5"/>
    <x v="0"/>
    <x v="0"/>
    <x v="0"/>
  </r>
  <r>
    <x v="1"/>
    <x v="5"/>
    <x v="31"/>
    <n v="527"/>
    <n v="494"/>
    <n v="31"/>
    <n v="2"/>
    <x v="5"/>
    <x v="0"/>
    <x v="0"/>
    <x v="0"/>
  </r>
  <r>
    <x v="1"/>
    <x v="6"/>
    <x v="0"/>
    <n v="441"/>
    <n v="401"/>
    <n v="26"/>
    <n v="14"/>
    <x v="5"/>
    <x v="0"/>
    <x v="0"/>
    <x v="0"/>
  </r>
  <r>
    <x v="1"/>
    <x v="6"/>
    <x v="1"/>
    <n v="182"/>
    <n v="160"/>
    <n v="17"/>
    <n v="5"/>
    <x v="5"/>
    <x v="0"/>
    <x v="0"/>
    <x v="0"/>
  </r>
  <r>
    <x v="1"/>
    <x v="6"/>
    <x v="2"/>
    <n v="147"/>
    <n v="136"/>
    <n v="10"/>
    <n v="1"/>
    <x v="5"/>
    <x v="0"/>
    <x v="0"/>
    <x v="0"/>
  </r>
  <r>
    <x v="1"/>
    <x v="6"/>
    <x v="3"/>
    <n v="68"/>
    <n v="49"/>
    <n v="16"/>
    <n v="2"/>
    <x v="5"/>
    <x v="0"/>
    <x v="0"/>
    <x v="2"/>
  </r>
  <r>
    <x v="1"/>
    <x v="6"/>
    <x v="4"/>
    <n v="1889"/>
    <n v="1747"/>
    <n v="77"/>
    <n v="20"/>
    <x v="5"/>
    <x v="0"/>
    <x v="0"/>
    <x v="15"/>
  </r>
  <r>
    <x v="1"/>
    <x v="6"/>
    <x v="5"/>
    <n v="102"/>
    <n v="86"/>
    <n v="8"/>
    <n v="2"/>
    <x v="5"/>
    <x v="0"/>
    <x v="0"/>
    <x v="13"/>
  </r>
  <r>
    <x v="1"/>
    <x v="6"/>
    <x v="6"/>
    <n v="153"/>
    <n v="112"/>
    <n v="38"/>
    <n v="2"/>
    <x v="5"/>
    <x v="0"/>
    <x v="0"/>
    <x v="2"/>
  </r>
  <r>
    <x v="1"/>
    <x v="6"/>
    <x v="7"/>
    <n v="671"/>
    <n v="619"/>
    <n v="42"/>
    <n v="6"/>
    <x v="4"/>
    <x v="0"/>
    <x v="0"/>
    <x v="1"/>
  </r>
  <r>
    <x v="1"/>
    <x v="6"/>
    <x v="8"/>
    <n v="615"/>
    <n v="523"/>
    <n v="89"/>
    <n v="3"/>
    <x v="5"/>
    <x v="0"/>
    <x v="0"/>
    <x v="0"/>
  </r>
  <r>
    <x v="1"/>
    <x v="6"/>
    <x v="9"/>
    <n v="171"/>
    <n v="145"/>
    <n v="23"/>
    <n v="3"/>
    <x v="5"/>
    <x v="0"/>
    <x v="0"/>
    <x v="0"/>
  </r>
  <r>
    <x v="1"/>
    <x v="6"/>
    <x v="10"/>
    <n v="195"/>
    <n v="170"/>
    <n v="16"/>
    <n v="2"/>
    <x v="5"/>
    <x v="0"/>
    <x v="0"/>
    <x v="5"/>
  </r>
  <r>
    <x v="1"/>
    <x v="6"/>
    <x v="11"/>
    <n v="147"/>
    <n v="126"/>
    <n v="15"/>
    <n v="6"/>
    <x v="5"/>
    <x v="0"/>
    <x v="0"/>
    <x v="0"/>
  </r>
  <r>
    <x v="1"/>
    <x v="6"/>
    <x v="12"/>
    <n v="341"/>
    <n v="308"/>
    <n v="17"/>
    <n v="1"/>
    <x v="5"/>
    <x v="0"/>
    <x v="0"/>
    <x v="16"/>
  </r>
  <r>
    <x v="1"/>
    <x v="6"/>
    <x v="13"/>
    <n v="737"/>
    <n v="668"/>
    <n v="59"/>
    <n v="9"/>
    <x v="5"/>
    <x v="0"/>
    <x v="0"/>
    <x v="2"/>
  </r>
  <r>
    <x v="1"/>
    <x v="6"/>
    <x v="14"/>
    <n v="2435"/>
    <n v="1980"/>
    <n v="349"/>
    <n v="102"/>
    <x v="5"/>
    <x v="0"/>
    <x v="0"/>
    <x v="14"/>
  </r>
  <r>
    <x v="1"/>
    <x v="6"/>
    <x v="15"/>
    <n v="339"/>
    <n v="291"/>
    <n v="35"/>
    <n v="13"/>
    <x v="5"/>
    <x v="0"/>
    <x v="0"/>
    <x v="0"/>
  </r>
  <r>
    <x v="1"/>
    <x v="6"/>
    <x v="16"/>
    <n v="405"/>
    <n v="355"/>
    <n v="39"/>
    <n v="11"/>
    <x v="5"/>
    <x v="0"/>
    <x v="0"/>
    <x v="0"/>
  </r>
  <r>
    <x v="1"/>
    <x v="6"/>
    <x v="17"/>
    <n v="301"/>
    <n v="265"/>
    <n v="15"/>
    <n v="3"/>
    <x v="5"/>
    <x v="0"/>
    <x v="0"/>
    <x v="17"/>
  </r>
  <r>
    <x v="1"/>
    <x v="6"/>
    <x v="18"/>
    <n v="94"/>
    <n v="83"/>
    <n v="7"/>
    <n v="3"/>
    <x v="2"/>
    <x v="0"/>
    <x v="0"/>
    <x v="0"/>
  </r>
  <r>
    <x v="1"/>
    <x v="6"/>
    <x v="19"/>
    <n v="30"/>
    <n v="24"/>
    <n v="3"/>
    <n v="3"/>
    <x v="5"/>
    <x v="0"/>
    <x v="0"/>
    <x v="0"/>
  </r>
  <r>
    <x v="1"/>
    <x v="6"/>
    <x v="20"/>
    <n v="507"/>
    <n v="437"/>
    <n v="69"/>
    <n v="1"/>
    <x v="5"/>
    <x v="0"/>
    <x v="0"/>
    <x v="0"/>
  </r>
  <r>
    <x v="1"/>
    <x v="6"/>
    <x v="21"/>
    <n v="1540"/>
    <n v="1323"/>
    <n v="188"/>
    <n v="19"/>
    <x v="5"/>
    <x v="0"/>
    <x v="0"/>
    <x v="18"/>
  </r>
  <r>
    <x v="1"/>
    <x v="6"/>
    <x v="22"/>
    <n v="13"/>
    <n v="11"/>
    <n v="2"/>
    <m/>
    <x v="5"/>
    <x v="0"/>
    <x v="0"/>
    <x v="0"/>
  </r>
  <r>
    <x v="1"/>
    <x v="6"/>
    <x v="23"/>
    <n v="144"/>
    <n v="127"/>
    <n v="14"/>
    <n v="3"/>
    <x v="5"/>
    <x v="0"/>
    <x v="0"/>
    <x v="0"/>
  </r>
  <r>
    <x v="1"/>
    <x v="6"/>
    <x v="24"/>
    <n v="566"/>
    <n v="472"/>
    <n v="83"/>
    <n v="11"/>
    <x v="5"/>
    <x v="0"/>
    <x v="0"/>
    <x v="0"/>
  </r>
  <r>
    <x v="1"/>
    <x v="6"/>
    <x v="25"/>
    <n v="92"/>
    <n v="78"/>
    <n v="10"/>
    <m/>
    <x v="5"/>
    <x v="0"/>
    <x v="0"/>
    <x v="14"/>
  </r>
  <r>
    <x v="1"/>
    <x v="6"/>
    <x v="26"/>
    <n v="11"/>
    <n v="7"/>
    <n v="1"/>
    <n v="3"/>
    <x v="5"/>
    <x v="0"/>
    <x v="0"/>
    <x v="0"/>
  </r>
  <r>
    <x v="1"/>
    <x v="6"/>
    <x v="27"/>
    <n v="211"/>
    <n v="171"/>
    <n v="37"/>
    <n v="2"/>
    <x v="5"/>
    <x v="0"/>
    <x v="0"/>
    <x v="2"/>
  </r>
  <r>
    <x v="1"/>
    <x v="6"/>
    <x v="28"/>
    <n v="906"/>
    <n v="788"/>
    <n v="110"/>
    <n v="8"/>
    <x v="5"/>
    <x v="0"/>
    <x v="0"/>
    <x v="0"/>
  </r>
  <r>
    <x v="1"/>
    <x v="6"/>
    <x v="29"/>
    <n v="209"/>
    <n v="183"/>
    <n v="10"/>
    <n v="3"/>
    <x v="5"/>
    <x v="0"/>
    <x v="0"/>
    <x v="19"/>
  </r>
  <r>
    <x v="1"/>
    <x v="6"/>
    <x v="30"/>
    <n v="312"/>
    <n v="250"/>
    <n v="54"/>
    <n v="8"/>
    <x v="5"/>
    <x v="0"/>
    <x v="0"/>
    <x v="0"/>
  </r>
  <r>
    <x v="1"/>
    <x v="6"/>
    <x v="31"/>
    <n v="730"/>
    <n v="649"/>
    <n v="43"/>
    <n v="7"/>
    <x v="5"/>
    <x v="0"/>
    <x v="0"/>
    <x v="20"/>
  </r>
  <r>
    <x v="1"/>
    <x v="7"/>
    <x v="0"/>
    <n v="314"/>
    <n v="295"/>
    <n v="16"/>
    <n v="3"/>
    <x v="5"/>
    <x v="0"/>
    <x v="0"/>
    <x v="0"/>
  </r>
  <r>
    <x v="1"/>
    <x v="7"/>
    <x v="1"/>
    <n v="264"/>
    <n v="232"/>
    <n v="23"/>
    <n v="9"/>
    <x v="5"/>
    <x v="0"/>
    <x v="0"/>
    <x v="0"/>
  </r>
  <r>
    <x v="1"/>
    <x v="7"/>
    <x v="2"/>
    <n v="126"/>
    <n v="110"/>
    <n v="12"/>
    <n v="4"/>
    <x v="5"/>
    <x v="0"/>
    <x v="0"/>
    <x v="0"/>
  </r>
  <r>
    <x v="1"/>
    <x v="7"/>
    <x v="3"/>
    <n v="122"/>
    <n v="95"/>
    <n v="22"/>
    <n v="5"/>
    <x v="5"/>
    <x v="0"/>
    <x v="0"/>
    <x v="0"/>
  </r>
  <r>
    <x v="1"/>
    <x v="7"/>
    <x v="4"/>
    <n v="1874"/>
    <n v="1774"/>
    <n v="77"/>
    <n v="19"/>
    <x v="5"/>
    <x v="0"/>
    <x v="0"/>
    <x v="14"/>
  </r>
  <r>
    <x v="1"/>
    <x v="7"/>
    <x v="5"/>
    <n v="84"/>
    <n v="79"/>
    <n v="5"/>
    <m/>
    <x v="5"/>
    <x v="0"/>
    <x v="0"/>
    <x v="0"/>
  </r>
  <r>
    <x v="1"/>
    <x v="7"/>
    <x v="6"/>
    <n v="168"/>
    <n v="133"/>
    <n v="32"/>
    <m/>
    <x v="5"/>
    <x v="0"/>
    <x v="0"/>
    <x v="3"/>
  </r>
  <r>
    <x v="1"/>
    <x v="7"/>
    <x v="7"/>
    <n v="816"/>
    <n v="776"/>
    <n v="35"/>
    <n v="5"/>
    <x v="5"/>
    <x v="0"/>
    <x v="0"/>
    <x v="0"/>
  </r>
  <r>
    <x v="1"/>
    <x v="7"/>
    <x v="8"/>
    <n v="640"/>
    <n v="580"/>
    <n v="58"/>
    <n v="2"/>
    <x v="5"/>
    <x v="0"/>
    <x v="0"/>
    <x v="0"/>
  </r>
  <r>
    <x v="1"/>
    <x v="7"/>
    <x v="9"/>
    <n v="180"/>
    <n v="151"/>
    <n v="27"/>
    <n v="2"/>
    <x v="5"/>
    <x v="0"/>
    <x v="0"/>
    <x v="0"/>
  </r>
  <r>
    <x v="1"/>
    <x v="7"/>
    <x v="10"/>
    <n v="254"/>
    <n v="233"/>
    <n v="19"/>
    <n v="2"/>
    <x v="5"/>
    <x v="0"/>
    <x v="0"/>
    <x v="0"/>
  </r>
  <r>
    <x v="1"/>
    <x v="7"/>
    <x v="11"/>
    <n v="152"/>
    <n v="124"/>
    <n v="21"/>
    <n v="5"/>
    <x v="4"/>
    <x v="0"/>
    <x v="0"/>
    <x v="0"/>
  </r>
  <r>
    <x v="1"/>
    <x v="7"/>
    <x v="12"/>
    <n v="411"/>
    <n v="384"/>
    <n v="25"/>
    <n v="2"/>
    <x v="5"/>
    <x v="0"/>
    <x v="0"/>
    <x v="0"/>
  </r>
  <r>
    <x v="1"/>
    <x v="7"/>
    <x v="13"/>
    <n v="735"/>
    <n v="649"/>
    <n v="73"/>
    <n v="13"/>
    <x v="5"/>
    <x v="0"/>
    <x v="0"/>
    <x v="0"/>
  </r>
  <r>
    <x v="1"/>
    <x v="7"/>
    <x v="14"/>
    <n v="2557"/>
    <n v="2212"/>
    <n v="232"/>
    <n v="112"/>
    <x v="5"/>
    <x v="0"/>
    <x v="0"/>
    <x v="2"/>
  </r>
  <r>
    <x v="1"/>
    <x v="7"/>
    <x v="15"/>
    <n v="358"/>
    <n v="303"/>
    <n v="43"/>
    <n v="12"/>
    <x v="5"/>
    <x v="0"/>
    <x v="0"/>
    <x v="0"/>
  </r>
  <r>
    <x v="1"/>
    <x v="7"/>
    <x v="16"/>
    <n v="569"/>
    <n v="501"/>
    <n v="51"/>
    <n v="16"/>
    <x v="5"/>
    <x v="0"/>
    <x v="0"/>
    <x v="2"/>
  </r>
  <r>
    <x v="1"/>
    <x v="7"/>
    <x v="17"/>
    <n v="371"/>
    <n v="355"/>
    <n v="13"/>
    <n v="3"/>
    <x v="5"/>
    <x v="0"/>
    <x v="0"/>
    <x v="0"/>
  </r>
  <r>
    <x v="1"/>
    <x v="7"/>
    <x v="18"/>
    <n v="127"/>
    <n v="111"/>
    <n v="10"/>
    <n v="6"/>
    <x v="5"/>
    <x v="0"/>
    <x v="0"/>
    <x v="0"/>
  </r>
  <r>
    <x v="1"/>
    <x v="7"/>
    <x v="19"/>
    <n v="52"/>
    <n v="40"/>
    <n v="10"/>
    <n v="2"/>
    <x v="5"/>
    <x v="0"/>
    <x v="0"/>
    <x v="0"/>
  </r>
  <r>
    <x v="1"/>
    <x v="7"/>
    <x v="20"/>
    <n v="621"/>
    <n v="551"/>
    <n v="61"/>
    <n v="9"/>
    <x v="5"/>
    <x v="0"/>
    <x v="0"/>
    <x v="0"/>
  </r>
  <r>
    <x v="1"/>
    <x v="7"/>
    <x v="21"/>
    <n v="1484"/>
    <n v="1315"/>
    <n v="152"/>
    <n v="17"/>
    <x v="5"/>
    <x v="0"/>
    <x v="0"/>
    <x v="0"/>
  </r>
  <r>
    <x v="1"/>
    <x v="7"/>
    <x v="22"/>
    <n v="10"/>
    <n v="8"/>
    <n v="2"/>
    <m/>
    <x v="5"/>
    <x v="0"/>
    <x v="0"/>
    <x v="0"/>
  </r>
  <r>
    <x v="1"/>
    <x v="7"/>
    <x v="23"/>
    <n v="141"/>
    <n v="122"/>
    <n v="16"/>
    <n v="2"/>
    <x v="2"/>
    <x v="0"/>
    <x v="0"/>
    <x v="0"/>
  </r>
  <r>
    <x v="1"/>
    <x v="7"/>
    <x v="24"/>
    <n v="693"/>
    <n v="579"/>
    <n v="91"/>
    <n v="23"/>
    <x v="5"/>
    <x v="0"/>
    <x v="0"/>
    <x v="0"/>
  </r>
  <r>
    <x v="1"/>
    <x v="7"/>
    <x v="25"/>
    <n v="102"/>
    <n v="83"/>
    <n v="16"/>
    <n v="2"/>
    <x v="5"/>
    <x v="0"/>
    <x v="0"/>
    <x v="2"/>
  </r>
  <r>
    <x v="1"/>
    <x v="7"/>
    <x v="26"/>
    <n v="5"/>
    <n v="5"/>
    <m/>
    <m/>
    <x v="5"/>
    <x v="0"/>
    <x v="0"/>
    <x v="0"/>
  </r>
  <r>
    <x v="1"/>
    <x v="7"/>
    <x v="27"/>
    <n v="231"/>
    <n v="205"/>
    <n v="25"/>
    <n v="1"/>
    <x v="5"/>
    <x v="0"/>
    <x v="0"/>
    <x v="0"/>
  </r>
  <r>
    <x v="1"/>
    <x v="7"/>
    <x v="28"/>
    <n v="891"/>
    <n v="779"/>
    <n v="98"/>
    <n v="13"/>
    <x v="5"/>
    <x v="0"/>
    <x v="0"/>
    <x v="2"/>
  </r>
  <r>
    <x v="1"/>
    <x v="7"/>
    <x v="29"/>
    <n v="183"/>
    <n v="167"/>
    <n v="14"/>
    <n v="2"/>
    <x v="5"/>
    <x v="0"/>
    <x v="0"/>
    <x v="0"/>
  </r>
  <r>
    <x v="1"/>
    <x v="7"/>
    <x v="30"/>
    <n v="424"/>
    <n v="361"/>
    <n v="44"/>
    <n v="18"/>
    <x v="5"/>
    <x v="0"/>
    <x v="0"/>
    <x v="2"/>
  </r>
  <r>
    <x v="1"/>
    <x v="7"/>
    <x v="31"/>
    <n v="681"/>
    <n v="633"/>
    <n v="44"/>
    <n v="4"/>
    <x v="5"/>
    <x v="0"/>
    <x v="0"/>
    <x v="0"/>
  </r>
  <r>
    <x v="1"/>
    <x v="8"/>
    <x v="0"/>
    <n v="340"/>
    <n v="316"/>
    <n v="18"/>
    <n v="6"/>
    <x v="5"/>
    <x v="0"/>
    <x v="0"/>
    <x v="0"/>
  </r>
  <r>
    <x v="1"/>
    <x v="8"/>
    <x v="1"/>
    <n v="215"/>
    <n v="184"/>
    <n v="26"/>
    <n v="5"/>
    <x v="5"/>
    <x v="0"/>
    <x v="0"/>
    <x v="0"/>
  </r>
  <r>
    <x v="1"/>
    <x v="8"/>
    <x v="2"/>
    <n v="180"/>
    <n v="161"/>
    <n v="12"/>
    <n v="7"/>
    <x v="5"/>
    <x v="0"/>
    <x v="0"/>
    <x v="0"/>
  </r>
  <r>
    <x v="1"/>
    <x v="8"/>
    <x v="3"/>
    <n v="80"/>
    <n v="57"/>
    <n v="21"/>
    <n v="2"/>
    <x v="5"/>
    <x v="0"/>
    <x v="0"/>
    <x v="0"/>
  </r>
  <r>
    <x v="1"/>
    <x v="8"/>
    <x v="4"/>
    <n v="1789"/>
    <n v="1675"/>
    <n v="85"/>
    <n v="28"/>
    <x v="5"/>
    <x v="0"/>
    <x v="0"/>
    <x v="2"/>
  </r>
  <r>
    <x v="1"/>
    <x v="8"/>
    <x v="5"/>
    <n v="110"/>
    <n v="95"/>
    <n v="13"/>
    <n v="2"/>
    <x v="5"/>
    <x v="0"/>
    <x v="0"/>
    <x v="0"/>
  </r>
  <r>
    <x v="1"/>
    <x v="8"/>
    <x v="6"/>
    <n v="177"/>
    <n v="140"/>
    <n v="29"/>
    <n v="3"/>
    <x v="5"/>
    <x v="0"/>
    <x v="0"/>
    <x v="21"/>
  </r>
  <r>
    <x v="1"/>
    <x v="8"/>
    <x v="7"/>
    <n v="773"/>
    <n v="743"/>
    <n v="24"/>
    <n v="5"/>
    <x v="5"/>
    <x v="0"/>
    <x v="0"/>
    <x v="2"/>
  </r>
  <r>
    <x v="1"/>
    <x v="8"/>
    <x v="8"/>
    <n v="591"/>
    <n v="512"/>
    <n v="76"/>
    <n v="3"/>
    <x v="5"/>
    <x v="0"/>
    <x v="0"/>
    <x v="0"/>
  </r>
  <r>
    <x v="1"/>
    <x v="8"/>
    <x v="9"/>
    <n v="175"/>
    <n v="157"/>
    <n v="17"/>
    <n v="1"/>
    <x v="5"/>
    <x v="0"/>
    <x v="0"/>
    <x v="0"/>
  </r>
  <r>
    <x v="1"/>
    <x v="8"/>
    <x v="10"/>
    <n v="244"/>
    <n v="225"/>
    <n v="19"/>
    <m/>
    <x v="5"/>
    <x v="0"/>
    <x v="0"/>
    <x v="0"/>
  </r>
  <r>
    <x v="1"/>
    <x v="8"/>
    <x v="11"/>
    <n v="165"/>
    <n v="129"/>
    <n v="28"/>
    <n v="8"/>
    <x v="5"/>
    <x v="0"/>
    <x v="0"/>
    <x v="0"/>
  </r>
  <r>
    <x v="1"/>
    <x v="8"/>
    <x v="12"/>
    <n v="427"/>
    <n v="384"/>
    <n v="37"/>
    <n v="5"/>
    <x v="5"/>
    <x v="0"/>
    <x v="0"/>
    <x v="2"/>
  </r>
  <r>
    <x v="1"/>
    <x v="8"/>
    <x v="13"/>
    <n v="947"/>
    <n v="816"/>
    <n v="120"/>
    <n v="10"/>
    <x v="5"/>
    <x v="0"/>
    <x v="0"/>
    <x v="2"/>
  </r>
  <r>
    <x v="1"/>
    <x v="8"/>
    <x v="14"/>
    <n v="2350"/>
    <n v="2009"/>
    <n v="220"/>
    <n v="120"/>
    <x v="5"/>
    <x v="0"/>
    <x v="0"/>
    <x v="2"/>
  </r>
  <r>
    <x v="1"/>
    <x v="8"/>
    <x v="15"/>
    <n v="467"/>
    <n v="368"/>
    <n v="72"/>
    <n v="27"/>
    <x v="5"/>
    <x v="0"/>
    <x v="0"/>
    <x v="0"/>
  </r>
  <r>
    <x v="1"/>
    <x v="8"/>
    <x v="16"/>
    <n v="348"/>
    <n v="306"/>
    <n v="37"/>
    <n v="5"/>
    <x v="5"/>
    <x v="0"/>
    <x v="0"/>
    <x v="0"/>
  </r>
  <r>
    <x v="1"/>
    <x v="8"/>
    <x v="17"/>
    <n v="390"/>
    <n v="367"/>
    <n v="22"/>
    <n v="1"/>
    <x v="5"/>
    <x v="0"/>
    <x v="0"/>
    <x v="0"/>
  </r>
  <r>
    <x v="1"/>
    <x v="8"/>
    <x v="18"/>
    <n v="82"/>
    <n v="66"/>
    <n v="12"/>
    <n v="4"/>
    <x v="5"/>
    <x v="0"/>
    <x v="0"/>
    <x v="0"/>
  </r>
  <r>
    <x v="1"/>
    <x v="8"/>
    <x v="19"/>
    <n v="65"/>
    <n v="50"/>
    <n v="11"/>
    <n v="4"/>
    <x v="5"/>
    <x v="0"/>
    <x v="0"/>
    <x v="0"/>
  </r>
  <r>
    <x v="1"/>
    <x v="8"/>
    <x v="20"/>
    <n v="569"/>
    <n v="500"/>
    <n v="56"/>
    <n v="13"/>
    <x v="5"/>
    <x v="0"/>
    <x v="0"/>
    <x v="0"/>
  </r>
  <r>
    <x v="1"/>
    <x v="8"/>
    <x v="21"/>
    <n v="1206"/>
    <n v="1036"/>
    <n v="145"/>
    <n v="25"/>
    <x v="5"/>
    <x v="0"/>
    <x v="0"/>
    <x v="0"/>
  </r>
  <r>
    <x v="1"/>
    <x v="8"/>
    <x v="22"/>
    <n v="9"/>
    <n v="9"/>
    <m/>
    <m/>
    <x v="5"/>
    <x v="0"/>
    <x v="0"/>
    <x v="0"/>
  </r>
  <r>
    <x v="1"/>
    <x v="8"/>
    <x v="23"/>
    <n v="181"/>
    <n v="166"/>
    <n v="12"/>
    <n v="3"/>
    <x v="5"/>
    <x v="0"/>
    <x v="0"/>
    <x v="0"/>
  </r>
  <r>
    <x v="1"/>
    <x v="8"/>
    <x v="24"/>
    <n v="502"/>
    <n v="409"/>
    <n v="73"/>
    <n v="20"/>
    <x v="5"/>
    <x v="0"/>
    <x v="0"/>
    <x v="0"/>
  </r>
  <r>
    <x v="1"/>
    <x v="8"/>
    <x v="25"/>
    <n v="131"/>
    <n v="111"/>
    <n v="17"/>
    <n v="3"/>
    <x v="5"/>
    <x v="0"/>
    <x v="0"/>
    <x v="0"/>
  </r>
  <r>
    <x v="1"/>
    <x v="8"/>
    <x v="26"/>
    <n v="11"/>
    <n v="9"/>
    <n v="2"/>
    <m/>
    <x v="5"/>
    <x v="0"/>
    <x v="0"/>
    <x v="0"/>
  </r>
  <r>
    <x v="1"/>
    <x v="8"/>
    <x v="27"/>
    <n v="251"/>
    <n v="230"/>
    <n v="18"/>
    <n v="2"/>
    <x v="5"/>
    <x v="0"/>
    <x v="0"/>
    <x v="2"/>
  </r>
  <r>
    <x v="1"/>
    <x v="8"/>
    <x v="28"/>
    <n v="797"/>
    <n v="668"/>
    <n v="115"/>
    <n v="14"/>
    <x v="5"/>
    <x v="0"/>
    <x v="0"/>
    <x v="0"/>
  </r>
  <r>
    <x v="1"/>
    <x v="8"/>
    <x v="29"/>
    <n v="169"/>
    <n v="152"/>
    <n v="12"/>
    <n v="5"/>
    <x v="5"/>
    <x v="0"/>
    <x v="0"/>
    <x v="0"/>
  </r>
  <r>
    <x v="1"/>
    <x v="8"/>
    <x v="30"/>
    <n v="241"/>
    <n v="207"/>
    <n v="31"/>
    <n v="3"/>
    <x v="5"/>
    <x v="0"/>
    <x v="0"/>
    <x v="0"/>
  </r>
  <r>
    <x v="1"/>
    <x v="8"/>
    <x v="31"/>
    <n v="721"/>
    <n v="670"/>
    <n v="45"/>
    <n v="6"/>
    <x v="5"/>
    <x v="0"/>
    <x v="0"/>
    <x v="0"/>
  </r>
  <r>
    <x v="1"/>
    <x v="9"/>
    <x v="0"/>
    <n v="527"/>
    <n v="454"/>
    <n v="31"/>
    <n v="39"/>
    <x v="5"/>
    <x v="0"/>
    <x v="0"/>
    <x v="3"/>
  </r>
  <r>
    <x v="1"/>
    <x v="9"/>
    <x v="1"/>
    <n v="335"/>
    <n v="264"/>
    <n v="53"/>
    <n v="18"/>
    <x v="5"/>
    <x v="0"/>
    <x v="0"/>
    <x v="0"/>
  </r>
  <r>
    <x v="1"/>
    <x v="9"/>
    <x v="2"/>
    <n v="200"/>
    <n v="173"/>
    <n v="18"/>
    <n v="9"/>
    <x v="5"/>
    <x v="0"/>
    <x v="0"/>
    <x v="0"/>
  </r>
  <r>
    <x v="1"/>
    <x v="9"/>
    <x v="3"/>
    <n v="120"/>
    <n v="93"/>
    <n v="19"/>
    <n v="7"/>
    <x v="5"/>
    <x v="0"/>
    <x v="0"/>
    <x v="2"/>
  </r>
  <r>
    <x v="1"/>
    <x v="9"/>
    <x v="4"/>
    <n v="1845"/>
    <n v="1704"/>
    <n v="105"/>
    <n v="33"/>
    <x v="5"/>
    <x v="0"/>
    <x v="0"/>
    <x v="3"/>
  </r>
  <r>
    <x v="1"/>
    <x v="9"/>
    <x v="5"/>
    <n v="88"/>
    <n v="75"/>
    <n v="11"/>
    <n v="2"/>
    <x v="5"/>
    <x v="0"/>
    <x v="0"/>
    <x v="0"/>
  </r>
  <r>
    <x v="1"/>
    <x v="9"/>
    <x v="6"/>
    <n v="198"/>
    <n v="165"/>
    <n v="29"/>
    <n v="2"/>
    <x v="5"/>
    <x v="0"/>
    <x v="0"/>
    <x v="1"/>
  </r>
  <r>
    <x v="1"/>
    <x v="9"/>
    <x v="7"/>
    <n v="604"/>
    <n v="567"/>
    <n v="34"/>
    <n v="2"/>
    <x v="5"/>
    <x v="0"/>
    <x v="0"/>
    <x v="2"/>
  </r>
  <r>
    <x v="1"/>
    <x v="9"/>
    <x v="8"/>
    <n v="586"/>
    <n v="518"/>
    <n v="63"/>
    <n v="5"/>
    <x v="5"/>
    <x v="0"/>
    <x v="0"/>
    <x v="0"/>
  </r>
  <r>
    <x v="1"/>
    <x v="9"/>
    <x v="9"/>
    <n v="232"/>
    <n v="214"/>
    <n v="16"/>
    <n v="2"/>
    <x v="5"/>
    <x v="0"/>
    <x v="0"/>
    <x v="0"/>
  </r>
  <r>
    <x v="1"/>
    <x v="9"/>
    <x v="10"/>
    <n v="302"/>
    <n v="274"/>
    <n v="25"/>
    <n v="3"/>
    <x v="5"/>
    <x v="0"/>
    <x v="0"/>
    <x v="0"/>
  </r>
  <r>
    <x v="1"/>
    <x v="9"/>
    <x v="11"/>
    <n v="123"/>
    <n v="111"/>
    <n v="11"/>
    <n v="1"/>
    <x v="5"/>
    <x v="0"/>
    <x v="0"/>
    <x v="0"/>
  </r>
  <r>
    <x v="1"/>
    <x v="9"/>
    <x v="12"/>
    <n v="359"/>
    <n v="336"/>
    <n v="23"/>
    <m/>
    <x v="5"/>
    <x v="0"/>
    <x v="0"/>
    <x v="0"/>
  </r>
  <r>
    <x v="1"/>
    <x v="9"/>
    <x v="13"/>
    <n v="1030"/>
    <n v="933"/>
    <n v="88"/>
    <n v="8"/>
    <x v="2"/>
    <x v="0"/>
    <x v="0"/>
    <x v="0"/>
  </r>
  <r>
    <x v="1"/>
    <x v="9"/>
    <x v="14"/>
    <n v="2500"/>
    <n v="2195"/>
    <n v="198"/>
    <n v="103"/>
    <x v="5"/>
    <x v="0"/>
    <x v="0"/>
    <x v="14"/>
  </r>
  <r>
    <x v="1"/>
    <x v="9"/>
    <x v="15"/>
    <n v="520"/>
    <n v="427"/>
    <n v="72"/>
    <n v="21"/>
    <x v="5"/>
    <x v="0"/>
    <x v="0"/>
    <x v="0"/>
  </r>
  <r>
    <x v="1"/>
    <x v="9"/>
    <x v="16"/>
    <n v="372"/>
    <n v="322"/>
    <n v="44"/>
    <n v="5"/>
    <x v="5"/>
    <x v="0"/>
    <x v="0"/>
    <x v="2"/>
  </r>
  <r>
    <x v="1"/>
    <x v="9"/>
    <x v="17"/>
    <n v="316"/>
    <n v="293"/>
    <n v="20"/>
    <n v="3"/>
    <x v="5"/>
    <x v="0"/>
    <x v="0"/>
    <x v="0"/>
  </r>
  <r>
    <x v="1"/>
    <x v="9"/>
    <x v="18"/>
    <n v="237"/>
    <n v="171"/>
    <n v="45"/>
    <n v="21"/>
    <x v="5"/>
    <x v="0"/>
    <x v="0"/>
    <x v="0"/>
  </r>
  <r>
    <x v="1"/>
    <x v="9"/>
    <x v="19"/>
    <n v="47"/>
    <n v="38"/>
    <n v="6"/>
    <n v="3"/>
    <x v="5"/>
    <x v="0"/>
    <x v="0"/>
    <x v="0"/>
  </r>
  <r>
    <x v="1"/>
    <x v="9"/>
    <x v="20"/>
    <n v="588"/>
    <n v="520"/>
    <n v="49"/>
    <n v="19"/>
    <x v="5"/>
    <x v="0"/>
    <x v="0"/>
    <x v="0"/>
  </r>
  <r>
    <x v="1"/>
    <x v="9"/>
    <x v="21"/>
    <n v="1293"/>
    <n v="1126"/>
    <n v="149"/>
    <n v="15"/>
    <x v="4"/>
    <x v="0"/>
    <x v="0"/>
    <x v="2"/>
  </r>
  <r>
    <x v="1"/>
    <x v="9"/>
    <x v="22"/>
    <n v="22"/>
    <n v="17"/>
    <n v="3"/>
    <n v="2"/>
    <x v="5"/>
    <x v="0"/>
    <x v="0"/>
    <x v="0"/>
  </r>
  <r>
    <x v="1"/>
    <x v="9"/>
    <x v="23"/>
    <n v="163"/>
    <n v="145"/>
    <n v="15"/>
    <n v="3"/>
    <x v="5"/>
    <x v="0"/>
    <x v="0"/>
    <x v="0"/>
  </r>
  <r>
    <x v="1"/>
    <x v="9"/>
    <x v="24"/>
    <n v="617"/>
    <n v="534"/>
    <n v="63"/>
    <n v="20"/>
    <x v="5"/>
    <x v="0"/>
    <x v="0"/>
    <x v="0"/>
  </r>
  <r>
    <x v="1"/>
    <x v="9"/>
    <x v="25"/>
    <n v="133"/>
    <n v="126"/>
    <n v="5"/>
    <n v="2"/>
    <x v="5"/>
    <x v="0"/>
    <x v="0"/>
    <x v="0"/>
  </r>
  <r>
    <x v="1"/>
    <x v="9"/>
    <x v="26"/>
    <n v="17"/>
    <n v="15"/>
    <n v="1"/>
    <n v="1"/>
    <x v="5"/>
    <x v="0"/>
    <x v="0"/>
    <x v="0"/>
  </r>
  <r>
    <x v="1"/>
    <x v="9"/>
    <x v="27"/>
    <n v="254"/>
    <n v="225"/>
    <n v="28"/>
    <n v="1"/>
    <x v="5"/>
    <x v="0"/>
    <x v="0"/>
    <x v="0"/>
  </r>
  <r>
    <x v="1"/>
    <x v="9"/>
    <x v="28"/>
    <n v="753"/>
    <n v="653"/>
    <n v="89"/>
    <n v="11"/>
    <x v="5"/>
    <x v="0"/>
    <x v="0"/>
    <x v="0"/>
  </r>
  <r>
    <x v="1"/>
    <x v="9"/>
    <x v="29"/>
    <n v="175"/>
    <n v="155"/>
    <n v="20"/>
    <m/>
    <x v="5"/>
    <x v="0"/>
    <x v="0"/>
    <x v="0"/>
  </r>
  <r>
    <x v="1"/>
    <x v="9"/>
    <x v="30"/>
    <n v="262"/>
    <n v="235"/>
    <n v="23"/>
    <n v="4"/>
    <x v="5"/>
    <x v="0"/>
    <x v="0"/>
    <x v="0"/>
  </r>
  <r>
    <x v="1"/>
    <x v="9"/>
    <x v="31"/>
    <n v="854"/>
    <n v="811"/>
    <n v="38"/>
    <n v="4"/>
    <x v="5"/>
    <x v="0"/>
    <x v="0"/>
    <x v="2"/>
  </r>
  <r>
    <x v="1"/>
    <x v="10"/>
    <x v="0"/>
    <n v="341"/>
    <n v="304"/>
    <n v="28"/>
    <n v="8"/>
    <x v="5"/>
    <x v="0"/>
    <x v="0"/>
    <x v="2"/>
  </r>
  <r>
    <x v="1"/>
    <x v="10"/>
    <x v="1"/>
    <n v="233"/>
    <n v="190"/>
    <n v="28"/>
    <n v="14"/>
    <x v="5"/>
    <x v="0"/>
    <x v="0"/>
    <x v="2"/>
  </r>
  <r>
    <x v="1"/>
    <x v="10"/>
    <x v="2"/>
    <n v="145"/>
    <n v="129"/>
    <n v="11"/>
    <n v="4"/>
    <x v="5"/>
    <x v="0"/>
    <x v="0"/>
    <x v="2"/>
  </r>
  <r>
    <x v="1"/>
    <x v="10"/>
    <x v="3"/>
    <n v="153"/>
    <n v="126"/>
    <n v="23"/>
    <n v="4"/>
    <x v="5"/>
    <x v="0"/>
    <x v="0"/>
    <x v="0"/>
  </r>
  <r>
    <x v="1"/>
    <x v="10"/>
    <x v="4"/>
    <n v="1576"/>
    <n v="1475"/>
    <n v="78"/>
    <n v="22"/>
    <x v="5"/>
    <x v="0"/>
    <x v="0"/>
    <x v="2"/>
  </r>
  <r>
    <x v="1"/>
    <x v="10"/>
    <x v="5"/>
    <n v="80"/>
    <n v="75"/>
    <n v="5"/>
    <m/>
    <x v="5"/>
    <x v="0"/>
    <x v="0"/>
    <x v="0"/>
  </r>
  <r>
    <x v="1"/>
    <x v="10"/>
    <x v="6"/>
    <n v="206"/>
    <n v="169"/>
    <n v="31"/>
    <n v="6"/>
    <x v="5"/>
    <x v="0"/>
    <x v="0"/>
    <x v="0"/>
  </r>
  <r>
    <x v="1"/>
    <x v="10"/>
    <x v="7"/>
    <n v="496"/>
    <n v="480"/>
    <n v="15"/>
    <n v="1"/>
    <x v="5"/>
    <x v="0"/>
    <x v="0"/>
    <x v="0"/>
  </r>
  <r>
    <x v="1"/>
    <x v="10"/>
    <x v="8"/>
    <n v="475"/>
    <n v="429"/>
    <n v="42"/>
    <n v="4"/>
    <x v="5"/>
    <x v="0"/>
    <x v="0"/>
    <x v="0"/>
  </r>
  <r>
    <x v="1"/>
    <x v="10"/>
    <x v="9"/>
    <n v="153"/>
    <n v="143"/>
    <n v="10"/>
    <m/>
    <x v="5"/>
    <x v="0"/>
    <x v="0"/>
    <x v="0"/>
  </r>
  <r>
    <x v="1"/>
    <x v="10"/>
    <x v="10"/>
    <n v="196"/>
    <n v="185"/>
    <n v="9"/>
    <n v="1"/>
    <x v="5"/>
    <x v="0"/>
    <x v="0"/>
    <x v="2"/>
  </r>
  <r>
    <x v="1"/>
    <x v="10"/>
    <x v="11"/>
    <n v="166"/>
    <n v="150"/>
    <n v="11"/>
    <n v="5"/>
    <x v="5"/>
    <x v="0"/>
    <x v="0"/>
    <x v="0"/>
  </r>
  <r>
    <x v="1"/>
    <x v="10"/>
    <x v="12"/>
    <n v="356"/>
    <n v="324"/>
    <n v="30"/>
    <n v="2"/>
    <x v="5"/>
    <x v="0"/>
    <x v="0"/>
    <x v="0"/>
  </r>
  <r>
    <x v="1"/>
    <x v="10"/>
    <x v="13"/>
    <n v="760"/>
    <n v="662"/>
    <n v="82"/>
    <n v="16"/>
    <x v="5"/>
    <x v="0"/>
    <x v="0"/>
    <x v="0"/>
  </r>
  <r>
    <x v="1"/>
    <x v="10"/>
    <x v="14"/>
    <n v="2617"/>
    <n v="2369"/>
    <n v="176"/>
    <n v="68"/>
    <x v="5"/>
    <x v="0"/>
    <x v="0"/>
    <x v="14"/>
  </r>
  <r>
    <x v="1"/>
    <x v="10"/>
    <x v="15"/>
    <n v="422"/>
    <n v="318"/>
    <n v="63"/>
    <n v="41"/>
    <x v="5"/>
    <x v="0"/>
    <x v="0"/>
    <x v="0"/>
  </r>
  <r>
    <x v="1"/>
    <x v="10"/>
    <x v="16"/>
    <n v="411"/>
    <n v="371"/>
    <n v="23"/>
    <n v="16"/>
    <x v="5"/>
    <x v="0"/>
    <x v="0"/>
    <x v="2"/>
  </r>
  <r>
    <x v="1"/>
    <x v="10"/>
    <x v="17"/>
    <n v="229"/>
    <n v="214"/>
    <n v="13"/>
    <n v="2"/>
    <x v="5"/>
    <x v="0"/>
    <x v="0"/>
    <x v="0"/>
  </r>
  <r>
    <x v="1"/>
    <x v="10"/>
    <x v="18"/>
    <n v="103"/>
    <n v="83"/>
    <n v="14"/>
    <n v="5"/>
    <x v="5"/>
    <x v="0"/>
    <x v="0"/>
    <x v="2"/>
  </r>
  <r>
    <x v="1"/>
    <x v="10"/>
    <x v="19"/>
    <n v="35"/>
    <n v="22"/>
    <n v="8"/>
    <n v="5"/>
    <x v="5"/>
    <x v="0"/>
    <x v="0"/>
    <x v="0"/>
  </r>
  <r>
    <x v="1"/>
    <x v="10"/>
    <x v="20"/>
    <n v="597"/>
    <n v="531"/>
    <n v="56"/>
    <n v="10"/>
    <x v="5"/>
    <x v="0"/>
    <x v="0"/>
    <x v="0"/>
  </r>
  <r>
    <x v="1"/>
    <x v="10"/>
    <x v="21"/>
    <n v="1352"/>
    <n v="1208"/>
    <n v="125"/>
    <n v="18"/>
    <x v="5"/>
    <x v="0"/>
    <x v="0"/>
    <x v="2"/>
  </r>
  <r>
    <x v="1"/>
    <x v="10"/>
    <x v="22"/>
    <n v="10"/>
    <n v="8"/>
    <n v="2"/>
    <m/>
    <x v="5"/>
    <x v="0"/>
    <x v="0"/>
    <x v="0"/>
  </r>
  <r>
    <x v="1"/>
    <x v="10"/>
    <x v="23"/>
    <n v="144"/>
    <n v="132"/>
    <n v="12"/>
    <m/>
    <x v="5"/>
    <x v="0"/>
    <x v="0"/>
    <x v="0"/>
  </r>
  <r>
    <x v="1"/>
    <x v="10"/>
    <x v="24"/>
    <n v="506"/>
    <n v="439"/>
    <n v="55"/>
    <n v="12"/>
    <x v="5"/>
    <x v="0"/>
    <x v="0"/>
    <x v="0"/>
  </r>
  <r>
    <x v="1"/>
    <x v="10"/>
    <x v="25"/>
    <n v="111"/>
    <n v="98"/>
    <n v="12"/>
    <n v="1"/>
    <x v="5"/>
    <x v="0"/>
    <x v="0"/>
    <x v="0"/>
  </r>
  <r>
    <x v="1"/>
    <x v="10"/>
    <x v="26"/>
    <n v="9"/>
    <n v="7"/>
    <n v="2"/>
    <m/>
    <x v="5"/>
    <x v="0"/>
    <x v="0"/>
    <x v="0"/>
  </r>
  <r>
    <x v="1"/>
    <x v="10"/>
    <x v="27"/>
    <n v="258"/>
    <n v="229"/>
    <n v="22"/>
    <n v="6"/>
    <x v="2"/>
    <x v="0"/>
    <x v="0"/>
    <x v="0"/>
  </r>
  <r>
    <x v="1"/>
    <x v="10"/>
    <x v="28"/>
    <n v="793"/>
    <n v="703"/>
    <n v="77"/>
    <n v="11"/>
    <x v="2"/>
    <x v="0"/>
    <x v="0"/>
    <x v="2"/>
  </r>
  <r>
    <x v="1"/>
    <x v="10"/>
    <x v="29"/>
    <n v="118"/>
    <n v="102"/>
    <n v="12"/>
    <n v="4"/>
    <x v="5"/>
    <x v="0"/>
    <x v="0"/>
    <x v="0"/>
  </r>
  <r>
    <x v="1"/>
    <x v="10"/>
    <x v="30"/>
    <n v="293"/>
    <n v="261"/>
    <n v="24"/>
    <n v="8"/>
    <x v="5"/>
    <x v="0"/>
    <x v="0"/>
    <x v="0"/>
  </r>
  <r>
    <x v="1"/>
    <x v="10"/>
    <x v="31"/>
    <n v="718"/>
    <n v="663"/>
    <n v="49"/>
    <n v="6"/>
    <x v="5"/>
    <x v="0"/>
    <x v="0"/>
    <x v="0"/>
  </r>
  <r>
    <x v="1"/>
    <x v="11"/>
    <x v="0"/>
    <n v="328"/>
    <n v="307"/>
    <n v="16"/>
    <n v="5"/>
    <x v="5"/>
    <x v="0"/>
    <x v="0"/>
    <x v="0"/>
  </r>
  <r>
    <x v="1"/>
    <x v="11"/>
    <x v="1"/>
    <n v="291"/>
    <n v="241"/>
    <n v="31"/>
    <n v="18"/>
    <x v="5"/>
    <x v="0"/>
    <x v="0"/>
    <x v="2"/>
  </r>
  <r>
    <x v="1"/>
    <x v="11"/>
    <x v="2"/>
    <n v="202"/>
    <n v="175"/>
    <n v="19"/>
    <n v="8"/>
    <x v="5"/>
    <x v="0"/>
    <x v="0"/>
    <x v="0"/>
  </r>
  <r>
    <x v="1"/>
    <x v="11"/>
    <x v="3"/>
    <n v="133"/>
    <n v="109"/>
    <n v="19"/>
    <n v="4"/>
    <x v="2"/>
    <x v="0"/>
    <x v="0"/>
    <x v="0"/>
  </r>
  <r>
    <x v="1"/>
    <x v="11"/>
    <x v="4"/>
    <n v="1465"/>
    <n v="1382"/>
    <n v="67"/>
    <n v="16"/>
    <x v="5"/>
    <x v="0"/>
    <x v="0"/>
    <x v="0"/>
  </r>
  <r>
    <x v="1"/>
    <x v="11"/>
    <x v="5"/>
    <n v="112"/>
    <n v="100"/>
    <n v="9"/>
    <n v="3"/>
    <x v="5"/>
    <x v="0"/>
    <x v="0"/>
    <x v="0"/>
  </r>
  <r>
    <x v="1"/>
    <x v="11"/>
    <x v="6"/>
    <n v="205"/>
    <n v="154"/>
    <n v="25"/>
    <n v="5"/>
    <x v="5"/>
    <x v="0"/>
    <x v="0"/>
    <x v="22"/>
  </r>
  <r>
    <x v="1"/>
    <x v="11"/>
    <x v="7"/>
    <n v="694"/>
    <n v="660"/>
    <n v="33"/>
    <n v="1"/>
    <x v="5"/>
    <x v="0"/>
    <x v="0"/>
    <x v="0"/>
  </r>
  <r>
    <x v="1"/>
    <x v="11"/>
    <x v="8"/>
    <n v="584"/>
    <n v="528"/>
    <n v="45"/>
    <n v="4"/>
    <x v="5"/>
    <x v="0"/>
    <x v="0"/>
    <x v="5"/>
  </r>
  <r>
    <x v="1"/>
    <x v="11"/>
    <x v="9"/>
    <n v="241"/>
    <n v="223"/>
    <n v="16"/>
    <n v="1"/>
    <x v="5"/>
    <x v="0"/>
    <x v="0"/>
    <x v="2"/>
  </r>
  <r>
    <x v="1"/>
    <x v="11"/>
    <x v="10"/>
    <n v="195"/>
    <n v="181"/>
    <n v="13"/>
    <n v="1"/>
    <x v="5"/>
    <x v="0"/>
    <x v="0"/>
    <x v="0"/>
  </r>
  <r>
    <x v="1"/>
    <x v="11"/>
    <x v="11"/>
    <n v="182"/>
    <n v="156"/>
    <n v="23"/>
    <n v="3"/>
    <x v="5"/>
    <x v="0"/>
    <x v="0"/>
    <x v="0"/>
  </r>
  <r>
    <x v="1"/>
    <x v="11"/>
    <x v="12"/>
    <n v="423"/>
    <n v="392"/>
    <n v="28"/>
    <n v="3"/>
    <x v="5"/>
    <x v="0"/>
    <x v="0"/>
    <x v="0"/>
  </r>
  <r>
    <x v="1"/>
    <x v="11"/>
    <x v="13"/>
    <n v="1017"/>
    <n v="888"/>
    <n v="117"/>
    <n v="11"/>
    <x v="5"/>
    <x v="0"/>
    <x v="0"/>
    <x v="2"/>
  </r>
  <r>
    <x v="1"/>
    <x v="11"/>
    <x v="14"/>
    <n v="2440"/>
    <n v="2202"/>
    <n v="191"/>
    <n v="42"/>
    <x v="5"/>
    <x v="0"/>
    <x v="0"/>
    <x v="21"/>
  </r>
  <r>
    <x v="1"/>
    <x v="11"/>
    <x v="15"/>
    <n v="396"/>
    <n v="319"/>
    <n v="54"/>
    <n v="22"/>
    <x v="5"/>
    <x v="0"/>
    <x v="0"/>
    <x v="2"/>
  </r>
  <r>
    <x v="1"/>
    <x v="11"/>
    <x v="16"/>
    <n v="417"/>
    <n v="365"/>
    <n v="42"/>
    <n v="10"/>
    <x v="5"/>
    <x v="0"/>
    <x v="0"/>
    <x v="0"/>
  </r>
  <r>
    <x v="1"/>
    <x v="11"/>
    <x v="17"/>
    <n v="201"/>
    <n v="186"/>
    <n v="14"/>
    <n v="1"/>
    <x v="5"/>
    <x v="0"/>
    <x v="0"/>
    <x v="0"/>
  </r>
  <r>
    <x v="1"/>
    <x v="11"/>
    <x v="18"/>
    <n v="128"/>
    <n v="113"/>
    <n v="8"/>
    <n v="6"/>
    <x v="5"/>
    <x v="0"/>
    <x v="0"/>
    <x v="2"/>
  </r>
  <r>
    <x v="1"/>
    <x v="11"/>
    <x v="19"/>
    <n v="75"/>
    <n v="53"/>
    <n v="16"/>
    <n v="6"/>
    <x v="5"/>
    <x v="0"/>
    <x v="0"/>
    <x v="0"/>
  </r>
  <r>
    <x v="1"/>
    <x v="11"/>
    <x v="20"/>
    <n v="491"/>
    <n v="448"/>
    <n v="36"/>
    <n v="7"/>
    <x v="5"/>
    <x v="0"/>
    <x v="0"/>
    <x v="0"/>
  </r>
  <r>
    <x v="1"/>
    <x v="11"/>
    <x v="21"/>
    <n v="1475"/>
    <n v="1315"/>
    <n v="139"/>
    <n v="17"/>
    <x v="5"/>
    <x v="0"/>
    <x v="0"/>
    <x v="14"/>
  </r>
  <r>
    <x v="1"/>
    <x v="11"/>
    <x v="22"/>
    <n v="14"/>
    <n v="12"/>
    <n v="2"/>
    <m/>
    <x v="5"/>
    <x v="0"/>
    <x v="0"/>
    <x v="0"/>
  </r>
  <r>
    <x v="1"/>
    <x v="11"/>
    <x v="23"/>
    <n v="145"/>
    <n v="127"/>
    <n v="14"/>
    <n v="4"/>
    <x v="5"/>
    <x v="0"/>
    <x v="0"/>
    <x v="0"/>
  </r>
  <r>
    <x v="1"/>
    <x v="11"/>
    <x v="24"/>
    <n v="503"/>
    <n v="442"/>
    <n v="54"/>
    <n v="4"/>
    <x v="5"/>
    <x v="0"/>
    <x v="0"/>
    <x v="3"/>
  </r>
  <r>
    <x v="1"/>
    <x v="11"/>
    <x v="25"/>
    <n v="124"/>
    <n v="110"/>
    <n v="13"/>
    <n v="1"/>
    <x v="5"/>
    <x v="0"/>
    <x v="0"/>
    <x v="0"/>
  </r>
  <r>
    <x v="1"/>
    <x v="11"/>
    <x v="26"/>
    <n v="15"/>
    <n v="12"/>
    <n v="3"/>
    <m/>
    <x v="5"/>
    <x v="0"/>
    <x v="0"/>
    <x v="0"/>
  </r>
  <r>
    <x v="1"/>
    <x v="11"/>
    <x v="27"/>
    <n v="304"/>
    <n v="276"/>
    <n v="27"/>
    <n v="1"/>
    <x v="5"/>
    <x v="0"/>
    <x v="0"/>
    <x v="0"/>
  </r>
  <r>
    <x v="1"/>
    <x v="11"/>
    <x v="28"/>
    <n v="1018"/>
    <n v="911"/>
    <n v="88"/>
    <n v="16"/>
    <x v="5"/>
    <x v="0"/>
    <x v="2"/>
    <x v="1"/>
  </r>
  <r>
    <x v="1"/>
    <x v="11"/>
    <x v="29"/>
    <n v="195"/>
    <n v="168"/>
    <n v="21"/>
    <n v="6"/>
    <x v="5"/>
    <x v="0"/>
    <x v="0"/>
    <x v="0"/>
  </r>
  <r>
    <x v="1"/>
    <x v="11"/>
    <x v="30"/>
    <n v="408"/>
    <n v="366"/>
    <n v="39"/>
    <n v="2"/>
    <x v="5"/>
    <x v="0"/>
    <x v="0"/>
    <x v="2"/>
  </r>
  <r>
    <x v="1"/>
    <x v="11"/>
    <x v="31"/>
    <n v="692"/>
    <n v="643"/>
    <n v="39"/>
    <n v="8"/>
    <x v="5"/>
    <x v="0"/>
    <x v="0"/>
    <x v="1"/>
  </r>
</pivotCacheRecords>
</file>

<file path=xl/pivotCache/pivotCacheRecords17.xml><?xml version="1.0" encoding="utf-8"?>
<pivotCacheRecords xmlns="http://schemas.openxmlformats.org/spreadsheetml/2006/main" xmlns:r="http://schemas.openxmlformats.org/officeDocument/2006/relationships" count="134">
  <r>
    <x v="0"/>
    <x v="0"/>
    <x v="0"/>
    <n v="3"/>
    <x v="0"/>
    <x v="0"/>
    <m/>
    <n v="3"/>
    <x v="0"/>
    <x v="0"/>
  </r>
  <r>
    <x v="0"/>
    <x v="0"/>
    <x v="1"/>
    <n v="10"/>
    <x v="0"/>
    <x v="0"/>
    <m/>
    <n v="10"/>
    <x v="0"/>
    <x v="0"/>
  </r>
  <r>
    <x v="0"/>
    <x v="0"/>
    <x v="2"/>
    <n v="2"/>
    <x v="0"/>
    <x v="0"/>
    <m/>
    <n v="2"/>
    <x v="0"/>
    <x v="0"/>
  </r>
  <r>
    <x v="0"/>
    <x v="0"/>
    <x v="3"/>
    <n v="3"/>
    <x v="0"/>
    <x v="0"/>
    <m/>
    <n v="3"/>
    <x v="0"/>
    <x v="0"/>
  </r>
  <r>
    <x v="0"/>
    <x v="1"/>
    <x v="0"/>
    <n v="152"/>
    <x v="0"/>
    <x v="0"/>
    <n v="50"/>
    <n v="102"/>
    <x v="0"/>
    <x v="0"/>
  </r>
  <r>
    <x v="0"/>
    <x v="1"/>
    <x v="4"/>
    <n v="31"/>
    <x v="0"/>
    <x v="0"/>
    <n v="13"/>
    <n v="18"/>
    <x v="0"/>
    <x v="0"/>
  </r>
  <r>
    <x v="0"/>
    <x v="1"/>
    <x v="5"/>
    <n v="569"/>
    <x v="0"/>
    <x v="0"/>
    <n v="244"/>
    <n v="319"/>
    <x v="1"/>
    <x v="1"/>
  </r>
  <r>
    <x v="0"/>
    <x v="1"/>
    <x v="1"/>
    <n v="43"/>
    <x v="0"/>
    <x v="0"/>
    <n v="10"/>
    <n v="32"/>
    <x v="2"/>
    <x v="0"/>
  </r>
  <r>
    <x v="0"/>
    <x v="1"/>
    <x v="6"/>
    <n v="23"/>
    <x v="0"/>
    <x v="0"/>
    <n v="17"/>
    <n v="6"/>
    <x v="0"/>
    <x v="0"/>
  </r>
  <r>
    <x v="0"/>
    <x v="1"/>
    <x v="2"/>
    <n v="252"/>
    <x v="0"/>
    <x v="0"/>
    <n v="120"/>
    <n v="132"/>
    <x v="0"/>
    <x v="0"/>
  </r>
  <r>
    <x v="0"/>
    <x v="1"/>
    <x v="3"/>
    <n v="135"/>
    <x v="0"/>
    <x v="0"/>
    <n v="69"/>
    <n v="63"/>
    <x v="2"/>
    <x v="2"/>
  </r>
  <r>
    <x v="1"/>
    <x v="0"/>
    <x v="0"/>
    <n v="2"/>
    <x v="1"/>
    <x v="1"/>
    <m/>
    <n v="2"/>
    <x v="0"/>
    <x v="0"/>
  </r>
  <r>
    <x v="1"/>
    <x v="0"/>
    <x v="5"/>
    <n v="7"/>
    <x v="1"/>
    <x v="1"/>
    <m/>
    <n v="7"/>
    <x v="0"/>
    <x v="0"/>
  </r>
  <r>
    <x v="1"/>
    <x v="0"/>
    <x v="1"/>
    <n v="9"/>
    <x v="1"/>
    <x v="1"/>
    <m/>
    <n v="9"/>
    <x v="0"/>
    <x v="0"/>
  </r>
  <r>
    <x v="1"/>
    <x v="0"/>
    <x v="6"/>
    <n v="1"/>
    <x v="1"/>
    <x v="1"/>
    <m/>
    <n v="1"/>
    <x v="0"/>
    <x v="0"/>
  </r>
  <r>
    <x v="1"/>
    <x v="0"/>
    <x v="2"/>
    <n v="5"/>
    <x v="1"/>
    <x v="1"/>
    <m/>
    <n v="5"/>
    <x v="0"/>
    <x v="0"/>
  </r>
  <r>
    <x v="1"/>
    <x v="0"/>
    <x v="3"/>
    <n v="4"/>
    <x v="1"/>
    <x v="1"/>
    <m/>
    <n v="4"/>
    <x v="0"/>
    <x v="0"/>
  </r>
  <r>
    <x v="1"/>
    <x v="1"/>
    <x v="0"/>
    <n v="157"/>
    <x v="1"/>
    <x v="1"/>
    <n v="49"/>
    <n v="108"/>
    <x v="0"/>
    <x v="0"/>
  </r>
  <r>
    <x v="1"/>
    <x v="1"/>
    <x v="4"/>
    <n v="49"/>
    <x v="1"/>
    <x v="1"/>
    <n v="12"/>
    <n v="37"/>
    <x v="0"/>
    <x v="0"/>
  </r>
  <r>
    <x v="1"/>
    <x v="1"/>
    <x v="5"/>
    <n v="651"/>
    <x v="1"/>
    <x v="1"/>
    <n v="297"/>
    <n v="350"/>
    <x v="3"/>
    <x v="0"/>
  </r>
  <r>
    <x v="1"/>
    <x v="1"/>
    <x v="1"/>
    <n v="32"/>
    <x v="1"/>
    <x v="1"/>
    <n v="12"/>
    <n v="20"/>
    <x v="0"/>
    <x v="0"/>
  </r>
  <r>
    <x v="1"/>
    <x v="1"/>
    <x v="6"/>
    <n v="29"/>
    <x v="1"/>
    <x v="1"/>
    <n v="21"/>
    <n v="8"/>
    <x v="0"/>
    <x v="0"/>
  </r>
  <r>
    <x v="1"/>
    <x v="1"/>
    <x v="2"/>
    <n v="239"/>
    <x v="1"/>
    <x v="1"/>
    <n v="120"/>
    <n v="119"/>
    <x v="0"/>
    <x v="0"/>
  </r>
  <r>
    <x v="1"/>
    <x v="1"/>
    <x v="3"/>
    <n v="147"/>
    <x v="1"/>
    <x v="1"/>
    <n v="59"/>
    <n v="87"/>
    <x v="0"/>
    <x v="1"/>
  </r>
  <r>
    <x v="2"/>
    <x v="0"/>
    <x v="0"/>
    <n v="1"/>
    <x v="2"/>
    <x v="2"/>
    <m/>
    <n v="1"/>
    <x v="0"/>
    <x v="0"/>
  </r>
  <r>
    <x v="2"/>
    <x v="0"/>
    <x v="5"/>
    <n v="1"/>
    <x v="2"/>
    <x v="2"/>
    <m/>
    <n v="1"/>
    <x v="0"/>
    <x v="0"/>
  </r>
  <r>
    <x v="2"/>
    <x v="0"/>
    <x v="1"/>
    <n v="8"/>
    <x v="2"/>
    <x v="2"/>
    <m/>
    <n v="8"/>
    <x v="0"/>
    <x v="0"/>
  </r>
  <r>
    <x v="2"/>
    <x v="0"/>
    <x v="6"/>
    <n v="3"/>
    <x v="2"/>
    <x v="2"/>
    <m/>
    <n v="3"/>
    <x v="0"/>
    <x v="0"/>
  </r>
  <r>
    <x v="2"/>
    <x v="0"/>
    <x v="2"/>
    <n v="7"/>
    <x v="2"/>
    <x v="2"/>
    <m/>
    <n v="7"/>
    <x v="0"/>
    <x v="0"/>
  </r>
  <r>
    <x v="2"/>
    <x v="0"/>
    <x v="3"/>
    <n v="8"/>
    <x v="2"/>
    <x v="2"/>
    <m/>
    <n v="8"/>
    <x v="0"/>
    <x v="0"/>
  </r>
  <r>
    <x v="2"/>
    <x v="1"/>
    <x v="0"/>
    <n v="147"/>
    <x v="2"/>
    <x v="2"/>
    <n v="60"/>
    <n v="87"/>
    <x v="0"/>
    <x v="0"/>
  </r>
  <r>
    <x v="2"/>
    <x v="1"/>
    <x v="4"/>
    <n v="40"/>
    <x v="2"/>
    <x v="2"/>
    <n v="18"/>
    <n v="22"/>
    <x v="0"/>
    <x v="0"/>
  </r>
  <r>
    <x v="2"/>
    <x v="1"/>
    <x v="5"/>
    <n v="680"/>
    <x v="2"/>
    <x v="2"/>
    <n v="301"/>
    <n v="360"/>
    <x v="4"/>
    <x v="2"/>
  </r>
  <r>
    <x v="2"/>
    <x v="1"/>
    <x v="1"/>
    <n v="48"/>
    <x v="2"/>
    <x v="2"/>
    <n v="19"/>
    <n v="29"/>
    <x v="0"/>
    <x v="0"/>
  </r>
  <r>
    <x v="2"/>
    <x v="1"/>
    <x v="6"/>
    <n v="34"/>
    <x v="2"/>
    <x v="2"/>
    <n v="27"/>
    <n v="7"/>
    <x v="0"/>
    <x v="0"/>
  </r>
  <r>
    <x v="2"/>
    <x v="1"/>
    <x v="2"/>
    <n v="282"/>
    <x v="2"/>
    <x v="2"/>
    <n v="139"/>
    <n v="139"/>
    <x v="3"/>
    <x v="0"/>
  </r>
  <r>
    <x v="2"/>
    <x v="1"/>
    <x v="3"/>
    <n v="155"/>
    <x v="2"/>
    <x v="2"/>
    <n v="85"/>
    <n v="70"/>
    <x v="0"/>
    <x v="0"/>
  </r>
  <r>
    <x v="3"/>
    <x v="0"/>
    <x v="0"/>
    <n v="5"/>
    <x v="3"/>
    <x v="3"/>
    <m/>
    <n v="5"/>
    <x v="0"/>
    <x v="0"/>
  </r>
  <r>
    <x v="3"/>
    <x v="0"/>
    <x v="1"/>
    <n v="6"/>
    <x v="3"/>
    <x v="3"/>
    <m/>
    <n v="6"/>
    <x v="0"/>
    <x v="0"/>
  </r>
  <r>
    <x v="3"/>
    <x v="0"/>
    <x v="2"/>
    <n v="6"/>
    <x v="3"/>
    <x v="3"/>
    <m/>
    <n v="6"/>
    <x v="0"/>
    <x v="0"/>
  </r>
  <r>
    <x v="3"/>
    <x v="0"/>
    <x v="3"/>
    <n v="1"/>
    <x v="3"/>
    <x v="3"/>
    <m/>
    <n v="1"/>
    <x v="0"/>
    <x v="0"/>
  </r>
  <r>
    <x v="3"/>
    <x v="1"/>
    <x v="0"/>
    <n v="135"/>
    <x v="3"/>
    <x v="3"/>
    <n v="51"/>
    <n v="84"/>
    <x v="0"/>
    <x v="0"/>
  </r>
  <r>
    <x v="3"/>
    <x v="1"/>
    <x v="4"/>
    <n v="20"/>
    <x v="3"/>
    <x v="3"/>
    <n v="9"/>
    <n v="11"/>
    <x v="0"/>
    <x v="0"/>
  </r>
  <r>
    <x v="3"/>
    <x v="1"/>
    <x v="5"/>
    <n v="708"/>
    <x v="3"/>
    <x v="3"/>
    <n v="329"/>
    <n v="376"/>
    <x v="5"/>
    <x v="0"/>
  </r>
  <r>
    <x v="3"/>
    <x v="1"/>
    <x v="1"/>
    <n v="48"/>
    <x v="3"/>
    <x v="3"/>
    <n v="17"/>
    <n v="31"/>
    <x v="0"/>
    <x v="0"/>
  </r>
  <r>
    <x v="3"/>
    <x v="1"/>
    <x v="6"/>
    <n v="33"/>
    <x v="3"/>
    <x v="3"/>
    <n v="22"/>
    <n v="11"/>
    <x v="0"/>
    <x v="0"/>
  </r>
  <r>
    <x v="3"/>
    <x v="1"/>
    <x v="2"/>
    <n v="250"/>
    <x v="3"/>
    <x v="3"/>
    <n v="113"/>
    <n v="137"/>
    <x v="0"/>
    <x v="0"/>
  </r>
  <r>
    <x v="3"/>
    <x v="1"/>
    <x v="3"/>
    <n v="107"/>
    <x v="3"/>
    <x v="3"/>
    <n v="56"/>
    <n v="47"/>
    <x v="3"/>
    <x v="0"/>
  </r>
  <r>
    <x v="4"/>
    <x v="0"/>
    <x v="0"/>
    <n v="2"/>
    <x v="4"/>
    <x v="4"/>
    <m/>
    <n v="2"/>
    <x v="0"/>
    <x v="0"/>
  </r>
  <r>
    <x v="4"/>
    <x v="0"/>
    <x v="1"/>
    <n v="6"/>
    <x v="4"/>
    <x v="4"/>
    <m/>
    <n v="6"/>
    <x v="0"/>
    <x v="0"/>
  </r>
  <r>
    <x v="4"/>
    <x v="0"/>
    <x v="2"/>
    <n v="3"/>
    <x v="4"/>
    <x v="4"/>
    <m/>
    <n v="3"/>
    <x v="0"/>
    <x v="0"/>
  </r>
  <r>
    <x v="4"/>
    <x v="0"/>
    <x v="3"/>
    <n v="4"/>
    <x v="4"/>
    <x v="4"/>
    <n v="1"/>
    <n v="3"/>
    <x v="0"/>
    <x v="0"/>
  </r>
  <r>
    <x v="4"/>
    <x v="1"/>
    <x v="0"/>
    <n v="139"/>
    <x v="4"/>
    <x v="4"/>
    <n v="40"/>
    <n v="99"/>
    <x v="0"/>
    <x v="0"/>
  </r>
  <r>
    <x v="4"/>
    <x v="1"/>
    <x v="4"/>
    <n v="33"/>
    <x v="4"/>
    <x v="4"/>
    <n v="8"/>
    <n v="25"/>
    <x v="0"/>
    <x v="0"/>
  </r>
  <r>
    <x v="4"/>
    <x v="1"/>
    <x v="5"/>
    <n v="738"/>
    <x v="4"/>
    <x v="4"/>
    <n v="332"/>
    <n v="397"/>
    <x v="3"/>
    <x v="3"/>
  </r>
  <r>
    <x v="4"/>
    <x v="1"/>
    <x v="1"/>
    <n v="40"/>
    <x v="4"/>
    <x v="4"/>
    <n v="16"/>
    <n v="24"/>
    <x v="0"/>
    <x v="0"/>
  </r>
  <r>
    <x v="4"/>
    <x v="1"/>
    <x v="6"/>
    <n v="34"/>
    <x v="4"/>
    <x v="4"/>
    <n v="21"/>
    <n v="12"/>
    <x v="0"/>
    <x v="1"/>
  </r>
  <r>
    <x v="4"/>
    <x v="1"/>
    <x v="2"/>
    <n v="205"/>
    <x v="4"/>
    <x v="4"/>
    <n v="98"/>
    <n v="104"/>
    <x v="5"/>
    <x v="0"/>
  </r>
  <r>
    <x v="4"/>
    <x v="1"/>
    <x v="3"/>
    <n v="106"/>
    <x v="4"/>
    <x v="4"/>
    <n v="59"/>
    <n v="45"/>
    <x v="2"/>
    <x v="1"/>
  </r>
  <r>
    <x v="5"/>
    <x v="0"/>
    <x v="0"/>
    <n v="6"/>
    <x v="5"/>
    <x v="5"/>
    <m/>
    <n v="6"/>
    <x v="0"/>
    <x v="0"/>
  </r>
  <r>
    <x v="5"/>
    <x v="0"/>
    <x v="1"/>
    <n v="4"/>
    <x v="5"/>
    <x v="5"/>
    <m/>
    <n v="4"/>
    <x v="0"/>
    <x v="0"/>
  </r>
  <r>
    <x v="5"/>
    <x v="0"/>
    <x v="2"/>
    <n v="2"/>
    <x v="5"/>
    <x v="5"/>
    <m/>
    <n v="2"/>
    <x v="0"/>
    <x v="0"/>
  </r>
  <r>
    <x v="5"/>
    <x v="1"/>
    <x v="0"/>
    <n v="160"/>
    <x v="5"/>
    <x v="5"/>
    <n v="53"/>
    <n v="107"/>
    <x v="0"/>
    <x v="0"/>
  </r>
  <r>
    <x v="5"/>
    <x v="1"/>
    <x v="4"/>
    <n v="25"/>
    <x v="5"/>
    <x v="5"/>
    <n v="8"/>
    <n v="17"/>
    <x v="0"/>
    <x v="0"/>
  </r>
  <r>
    <x v="5"/>
    <x v="1"/>
    <x v="5"/>
    <n v="617"/>
    <x v="5"/>
    <x v="5"/>
    <n v="270"/>
    <n v="342"/>
    <x v="1"/>
    <x v="0"/>
  </r>
  <r>
    <x v="5"/>
    <x v="1"/>
    <x v="1"/>
    <n v="39"/>
    <x v="5"/>
    <x v="5"/>
    <n v="8"/>
    <n v="31"/>
    <x v="0"/>
    <x v="0"/>
  </r>
  <r>
    <x v="5"/>
    <x v="1"/>
    <x v="6"/>
    <n v="12"/>
    <x v="5"/>
    <x v="5"/>
    <n v="10"/>
    <n v="2"/>
    <x v="0"/>
    <x v="0"/>
  </r>
  <r>
    <x v="5"/>
    <x v="1"/>
    <x v="2"/>
    <n v="136"/>
    <x v="5"/>
    <x v="5"/>
    <n v="65"/>
    <n v="70"/>
    <x v="2"/>
    <x v="0"/>
  </r>
  <r>
    <x v="5"/>
    <x v="1"/>
    <x v="3"/>
    <n v="98"/>
    <x v="5"/>
    <x v="5"/>
    <n v="49"/>
    <n v="48"/>
    <x v="0"/>
    <x v="1"/>
  </r>
  <r>
    <x v="6"/>
    <x v="0"/>
    <x v="0"/>
    <n v="1"/>
    <x v="6"/>
    <x v="6"/>
    <m/>
    <n v="1"/>
    <x v="0"/>
    <x v="0"/>
  </r>
  <r>
    <x v="6"/>
    <x v="0"/>
    <x v="1"/>
    <n v="7"/>
    <x v="6"/>
    <x v="6"/>
    <n v="2"/>
    <n v="5"/>
    <x v="0"/>
    <x v="0"/>
  </r>
  <r>
    <x v="6"/>
    <x v="0"/>
    <x v="2"/>
    <n v="1"/>
    <x v="6"/>
    <x v="6"/>
    <m/>
    <n v="1"/>
    <x v="0"/>
    <x v="0"/>
  </r>
  <r>
    <x v="6"/>
    <x v="0"/>
    <x v="3"/>
    <n v="1"/>
    <x v="6"/>
    <x v="6"/>
    <m/>
    <n v="1"/>
    <x v="0"/>
    <x v="0"/>
  </r>
  <r>
    <x v="6"/>
    <x v="1"/>
    <x v="0"/>
    <n v="156"/>
    <x v="6"/>
    <x v="6"/>
    <n v="50"/>
    <n v="106"/>
    <x v="0"/>
    <x v="0"/>
  </r>
  <r>
    <x v="6"/>
    <x v="1"/>
    <x v="4"/>
    <n v="37"/>
    <x v="6"/>
    <x v="6"/>
    <n v="11"/>
    <n v="26"/>
    <x v="0"/>
    <x v="0"/>
  </r>
  <r>
    <x v="6"/>
    <x v="1"/>
    <x v="5"/>
    <n v="708"/>
    <x v="6"/>
    <x v="6"/>
    <n v="304"/>
    <n v="399"/>
    <x v="3"/>
    <x v="1"/>
  </r>
  <r>
    <x v="6"/>
    <x v="1"/>
    <x v="1"/>
    <n v="60"/>
    <x v="6"/>
    <x v="6"/>
    <n v="17"/>
    <n v="43"/>
    <x v="0"/>
    <x v="0"/>
  </r>
  <r>
    <x v="6"/>
    <x v="1"/>
    <x v="6"/>
    <n v="29"/>
    <x v="6"/>
    <x v="6"/>
    <n v="23"/>
    <n v="6"/>
    <x v="0"/>
    <x v="0"/>
  </r>
  <r>
    <x v="6"/>
    <x v="1"/>
    <x v="2"/>
    <n v="167"/>
    <x v="6"/>
    <x v="6"/>
    <n v="83"/>
    <n v="84"/>
    <x v="0"/>
    <x v="0"/>
  </r>
  <r>
    <x v="6"/>
    <x v="1"/>
    <x v="3"/>
    <n v="109"/>
    <x v="6"/>
    <x v="6"/>
    <n v="63"/>
    <n v="46"/>
    <x v="0"/>
    <x v="0"/>
  </r>
  <r>
    <x v="7"/>
    <x v="0"/>
    <x v="1"/>
    <n v="8"/>
    <x v="7"/>
    <x v="7"/>
    <m/>
    <n v="8"/>
    <x v="0"/>
    <x v="0"/>
  </r>
  <r>
    <x v="7"/>
    <x v="0"/>
    <x v="2"/>
    <n v="6"/>
    <x v="7"/>
    <x v="7"/>
    <m/>
    <n v="6"/>
    <x v="0"/>
    <x v="0"/>
  </r>
  <r>
    <x v="7"/>
    <x v="0"/>
    <x v="3"/>
    <n v="4"/>
    <x v="7"/>
    <x v="7"/>
    <m/>
    <n v="3"/>
    <x v="2"/>
    <x v="0"/>
  </r>
  <r>
    <x v="7"/>
    <x v="1"/>
    <x v="0"/>
    <n v="129"/>
    <x v="7"/>
    <x v="7"/>
    <n v="38"/>
    <n v="91"/>
    <x v="0"/>
    <x v="0"/>
  </r>
  <r>
    <x v="7"/>
    <x v="1"/>
    <x v="4"/>
    <n v="26"/>
    <x v="7"/>
    <x v="7"/>
    <n v="7"/>
    <n v="19"/>
    <x v="0"/>
    <x v="0"/>
  </r>
  <r>
    <x v="7"/>
    <x v="1"/>
    <x v="5"/>
    <n v="752"/>
    <x v="7"/>
    <x v="7"/>
    <n v="343"/>
    <n v="405"/>
    <x v="3"/>
    <x v="0"/>
  </r>
  <r>
    <x v="7"/>
    <x v="1"/>
    <x v="1"/>
    <n v="41"/>
    <x v="7"/>
    <x v="7"/>
    <n v="10"/>
    <n v="31"/>
    <x v="0"/>
    <x v="0"/>
  </r>
  <r>
    <x v="7"/>
    <x v="1"/>
    <x v="6"/>
    <n v="33"/>
    <x v="7"/>
    <x v="7"/>
    <n v="20"/>
    <n v="13"/>
    <x v="0"/>
    <x v="0"/>
  </r>
  <r>
    <x v="7"/>
    <x v="1"/>
    <x v="2"/>
    <n v="132"/>
    <x v="7"/>
    <x v="7"/>
    <n v="67"/>
    <n v="65"/>
    <x v="0"/>
    <x v="0"/>
  </r>
  <r>
    <x v="7"/>
    <x v="1"/>
    <x v="3"/>
    <n v="135"/>
    <x v="7"/>
    <x v="7"/>
    <n v="63"/>
    <n v="71"/>
    <x v="2"/>
    <x v="0"/>
  </r>
  <r>
    <x v="8"/>
    <x v="0"/>
    <x v="0"/>
    <n v="4"/>
    <x v="8"/>
    <x v="8"/>
    <m/>
    <n v="3"/>
    <x v="0"/>
    <x v="1"/>
  </r>
  <r>
    <x v="8"/>
    <x v="0"/>
    <x v="1"/>
    <n v="14"/>
    <x v="8"/>
    <x v="8"/>
    <n v="1"/>
    <n v="13"/>
    <x v="0"/>
    <x v="0"/>
  </r>
  <r>
    <x v="8"/>
    <x v="0"/>
    <x v="2"/>
    <n v="7"/>
    <x v="8"/>
    <x v="8"/>
    <m/>
    <n v="6"/>
    <x v="2"/>
    <x v="0"/>
  </r>
  <r>
    <x v="8"/>
    <x v="0"/>
    <x v="3"/>
    <n v="3"/>
    <x v="8"/>
    <x v="8"/>
    <m/>
    <n v="1"/>
    <x v="6"/>
    <x v="0"/>
  </r>
  <r>
    <x v="8"/>
    <x v="1"/>
    <x v="0"/>
    <n v="115"/>
    <x v="8"/>
    <x v="8"/>
    <n v="32"/>
    <n v="82"/>
    <x v="2"/>
    <x v="0"/>
  </r>
  <r>
    <x v="8"/>
    <x v="1"/>
    <x v="4"/>
    <n v="16"/>
    <x v="8"/>
    <x v="8"/>
    <n v="10"/>
    <n v="6"/>
    <x v="0"/>
    <x v="0"/>
  </r>
  <r>
    <x v="8"/>
    <x v="1"/>
    <x v="5"/>
    <n v="659"/>
    <x v="8"/>
    <x v="8"/>
    <n v="305"/>
    <n v="346"/>
    <x v="7"/>
    <x v="0"/>
  </r>
  <r>
    <x v="8"/>
    <x v="1"/>
    <x v="1"/>
    <n v="35"/>
    <x v="8"/>
    <x v="8"/>
    <n v="15"/>
    <n v="20"/>
    <x v="0"/>
    <x v="0"/>
  </r>
  <r>
    <x v="8"/>
    <x v="1"/>
    <x v="6"/>
    <n v="17"/>
    <x v="8"/>
    <x v="8"/>
    <n v="8"/>
    <n v="9"/>
    <x v="0"/>
    <x v="0"/>
  </r>
  <r>
    <x v="8"/>
    <x v="1"/>
    <x v="2"/>
    <n v="140"/>
    <x v="8"/>
    <x v="8"/>
    <n v="66"/>
    <n v="74"/>
    <x v="0"/>
    <x v="0"/>
  </r>
  <r>
    <x v="8"/>
    <x v="1"/>
    <x v="3"/>
    <n v="106"/>
    <x v="8"/>
    <x v="8"/>
    <n v="42"/>
    <n v="62"/>
    <x v="2"/>
    <x v="1"/>
  </r>
  <r>
    <x v="9"/>
    <x v="0"/>
    <x v="0"/>
    <n v="4"/>
    <x v="9"/>
    <x v="9"/>
    <m/>
    <n v="4"/>
    <x v="0"/>
    <x v="0"/>
  </r>
  <r>
    <x v="9"/>
    <x v="0"/>
    <x v="5"/>
    <n v="2"/>
    <x v="9"/>
    <x v="9"/>
    <m/>
    <n v="2"/>
    <x v="0"/>
    <x v="0"/>
  </r>
  <r>
    <x v="9"/>
    <x v="0"/>
    <x v="1"/>
    <n v="7"/>
    <x v="9"/>
    <x v="9"/>
    <m/>
    <n v="7"/>
    <x v="0"/>
    <x v="0"/>
  </r>
  <r>
    <x v="9"/>
    <x v="0"/>
    <x v="2"/>
    <n v="5"/>
    <x v="9"/>
    <x v="9"/>
    <m/>
    <n v="4"/>
    <x v="0"/>
    <x v="1"/>
  </r>
  <r>
    <x v="9"/>
    <x v="0"/>
    <x v="3"/>
    <n v="3"/>
    <x v="9"/>
    <x v="9"/>
    <m/>
    <n v="3"/>
    <x v="0"/>
    <x v="0"/>
  </r>
  <r>
    <x v="9"/>
    <x v="1"/>
    <x v="0"/>
    <n v="132"/>
    <x v="9"/>
    <x v="9"/>
    <n v="41"/>
    <n v="91"/>
    <x v="0"/>
    <x v="0"/>
  </r>
  <r>
    <x v="9"/>
    <x v="1"/>
    <x v="4"/>
    <n v="21"/>
    <x v="9"/>
    <x v="9"/>
    <n v="6"/>
    <n v="15"/>
    <x v="0"/>
    <x v="0"/>
  </r>
  <r>
    <x v="9"/>
    <x v="1"/>
    <x v="5"/>
    <n v="665"/>
    <x v="9"/>
    <x v="9"/>
    <n v="286"/>
    <n v="362"/>
    <x v="8"/>
    <x v="1"/>
  </r>
  <r>
    <x v="9"/>
    <x v="1"/>
    <x v="1"/>
    <n v="35"/>
    <x v="9"/>
    <x v="9"/>
    <n v="17"/>
    <n v="18"/>
    <x v="0"/>
    <x v="0"/>
  </r>
  <r>
    <x v="9"/>
    <x v="1"/>
    <x v="6"/>
    <n v="21"/>
    <x v="9"/>
    <x v="9"/>
    <n v="15"/>
    <n v="6"/>
    <x v="0"/>
    <x v="0"/>
  </r>
  <r>
    <x v="9"/>
    <x v="1"/>
    <x v="2"/>
    <n v="185"/>
    <x v="9"/>
    <x v="9"/>
    <n v="94"/>
    <n v="91"/>
    <x v="0"/>
    <x v="0"/>
  </r>
  <r>
    <x v="9"/>
    <x v="1"/>
    <x v="3"/>
    <n v="117"/>
    <x v="9"/>
    <x v="9"/>
    <n v="53"/>
    <n v="64"/>
    <x v="0"/>
    <x v="0"/>
  </r>
  <r>
    <x v="10"/>
    <x v="0"/>
    <x v="0"/>
    <n v="3"/>
    <x v="10"/>
    <x v="10"/>
    <m/>
    <n v="3"/>
    <x v="0"/>
    <x v="0"/>
  </r>
  <r>
    <x v="10"/>
    <x v="0"/>
    <x v="1"/>
    <n v="5"/>
    <x v="10"/>
    <x v="10"/>
    <m/>
    <n v="4"/>
    <x v="0"/>
    <x v="1"/>
  </r>
  <r>
    <x v="10"/>
    <x v="0"/>
    <x v="2"/>
    <n v="4"/>
    <x v="10"/>
    <x v="10"/>
    <m/>
    <n v="4"/>
    <x v="0"/>
    <x v="0"/>
  </r>
  <r>
    <x v="10"/>
    <x v="0"/>
    <x v="3"/>
    <n v="1"/>
    <x v="10"/>
    <x v="10"/>
    <m/>
    <n v="1"/>
    <x v="0"/>
    <x v="0"/>
  </r>
  <r>
    <x v="10"/>
    <x v="1"/>
    <x v="0"/>
    <n v="122"/>
    <x v="10"/>
    <x v="10"/>
    <n v="36"/>
    <n v="86"/>
    <x v="0"/>
    <x v="0"/>
  </r>
  <r>
    <x v="10"/>
    <x v="1"/>
    <x v="4"/>
    <n v="23"/>
    <x v="10"/>
    <x v="10"/>
    <n v="8"/>
    <n v="15"/>
    <x v="0"/>
    <x v="0"/>
  </r>
  <r>
    <x v="10"/>
    <x v="1"/>
    <x v="5"/>
    <n v="571"/>
    <x v="10"/>
    <x v="10"/>
    <n v="264"/>
    <n v="290"/>
    <x v="9"/>
    <x v="4"/>
  </r>
  <r>
    <x v="10"/>
    <x v="1"/>
    <x v="1"/>
    <n v="30"/>
    <x v="10"/>
    <x v="10"/>
    <n v="13"/>
    <n v="16"/>
    <x v="2"/>
    <x v="0"/>
  </r>
  <r>
    <x v="10"/>
    <x v="1"/>
    <x v="6"/>
    <n v="12"/>
    <x v="10"/>
    <x v="10"/>
    <n v="5"/>
    <n v="7"/>
    <x v="0"/>
    <x v="0"/>
  </r>
  <r>
    <x v="10"/>
    <x v="1"/>
    <x v="2"/>
    <n v="150"/>
    <x v="10"/>
    <x v="10"/>
    <n v="68"/>
    <n v="82"/>
    <x v="0"/>
    <x v="0"/>
  </r>
  <r>
    <x v="10"/>
    <x v="1"/>
    <x v="3"/>
    <n v="106"/>
    <x v="10"/>
    <x v="10"/>
    <n v="43"/>
    <n v="59"/>
    <x v="3"/>
    <x v="0"/>
  </r>
  <r>
    <x v="11"/>
    <x v="0"/>
    <x v="0"/>
    <n v="1"/>
    <x v="11"/>
    <x v="11"/>
    <m/>
    <m/>
    <x v="2"/>
    <x v="0"/>
  </r>
  <r>
    <x v="11"/>
    <x v="0"/>
    <x v="1"/>
    <n v="4"/>
    <x v="11"/>
    <x v="11"/>
    <m/>
    <n v="3"/>
    <x v="2"/>
    <x v="0"/>
  </r>
  <r>
    <x v="11"/>
    <x v="0"/>
    <x v="2"/>
    <n v="3"/>
    <x v="11"/>
    <x v="11"/>
    <m/>
    <n v="2"/>
    <x v="2"/>
    <x v="0"/>
  </r>
  <r>
    <x v="11"/>
    <x v="1"/>
    <x v="0"/>
    <n v="141"/>
    <x v="11"/>
    <x v="11"/>
    <n v="44"/>
    <n v="93"/>
    <x v="3"/>
    <x v="0"/>
  </r>
  <r>
    <x v="11"/>
    <x v="1"/>
    <x v="4"/>
    <n v="20"/>
    <x v="11"/>
    <x v="11"/>
    <n v="8"/>
    <n v="12"/>
    <x v="0"/>
    <x v="0"/>
  </r>
  <r>
    <x v="11"/>
    <x v="1"/>
    <x v="5"/>
    <n v="510"/>
    <x v="11"/>
    <x v="11"/>
    <n v="217"/>
    <n v="267"/>
    <x v="10"/>
    <x v="0"/>
  </r>
  <r>
    <x v="11"/>
    <x v="1"/>
    <x v="1"/>
    <n v="33"/>
    <x v="11"/>
    <x v="11"/>
    <n v="10"/>
    <n v="23"/>
    <x v="0"/>
    <x v="0"/>
  </r>
  <r>
    <x v="11"/>
    <x v="1"/>
    <x v="6"/>
    <n v="14"/>
    <x v="11"/>
    <x v="11"/>
    <n v="11"/>
    <n v="3"/>
    <x v="0"/>
    <x v="0"/>
  </r>
  <r>
    <x v="11"/>
    <x v="1"/>
    <x v="2"/>
    <n v="153"/>
    <x v="11"/>
    <x v="11"/>
    <n v="71"/>
    <n v="81"/>
    <x v="2"/>
    <x v="0"/>
  </r>
  <r>
    <x v="11"/>
    <x v="1"/>
    <x v="3"/>
    <n v="138"/>
    <x v="11"/>
    <x v="11"/>
    <n v="61"/>
    <n v="75"/>
    <x v="6"/>
    <x v="0"/>
  </r>
</pivotCacheRecords>
</file>

<file path=xl/pivotCache/pivotCacheRecords18.xml><?xml version="1.0" encoding="utf-8"?>
<pivotCacheRecords xmlns="http://schemas.openxmlformats.org/spreadsheetml/2006/main" xmlns:r="http://schemas.openxmlformats.org/officeDocument/2006/relationships" count="24">
  <r>
    <x v="0"/>
    <x v="0"/>
    <x v="0"/>
    <x v="0"/>
    <x v="0"/>
    <x v="0"/>
    <x v="0"/>
  </r>
  <r>
    <x v="0"/>
    <x v="1"/>
    <x v="1"/>
    <x v="1"/>
    <x v="1"/>
    <x v="1"/>
    <x v="1"/>
  </r>
  <r>
    <x v="0"/>
    <x v="2"/>
    <x v="2"/>
    <x v="2"/>
    <x v="2"/>
    <x v="2"/>
    <x v="2"/>
  </r>
  <r>
    <x v="0"/>
    <x v="3"/>
    <x v="3"/>
    <x v="3"/>
    <x v="3"/>
    <x v="3"/>
    <x v="3"/>
  </r>
  <r>
    <x v="0"/>
    <x v="4"/>
    <x v="4"/>
    <x v="4"/>
    <x v="3"/>
    <x v="4"/>
    <x v="4"/>
  </r>
  <r>
    <x v="0"/>
    <x v="5"/>
    <x v="5"/>
    <x v="5"/>
    <x v="4"/>
    <x v="5"/>
    <x v="5"/>
  </r>
  <r>
    <x v="0"/>
    <x v="6"/>
    <x v="6"/>
    <x v="6"/>
    <x v="5"/>
    <x v="0"/>
    <x v="6"/>
  </r>
  <r>
    <x v="0"/>
    <x v="7"/>
    <x v="7"/>
    <x v="7"/>
    <x v="6"/>
    <x v="1"/>
    <x v="7"/>
  </r>
  <r>
    <x v="0"/>
    <x v="8"/>
    <x v="8"/>
    <x v="8"/>
    <x v="0"/>
    <x v="4"/>
    <x v="2"/>
  </r>
  <r>
    <x v="0"/>
    <x v="9"/>
    <x v="9"/>
    <x v="9"/>
    <x v="7"/>
    <x v="6"/>
    <x v="8"/>
  </r>
  <r>
    <x v="0"/>
    <x v="10"/>
    <x v="10"/>
    <x v="10"/>
    <x v="8"/>
    <x v="7"/>
    <x v="0"/>
  </r>
  <r>
    <x v="0"/>
    <x v="11"/>
    <x v="11"/>
    <x v="11"/>
    <x v="9"/>
    <x v="8"/>
    <x v="9"/>
  </r>
  <r>
    <x v="1"/>
    <x v="0"/>
    <x v="12"/>
    <x v="12"/>
    <x v="10"/>
    <x v="9"/>
    <x v="10"/>
  </r>
  <r>
    <x v="1"/>
    <x v="1"/>
    <x v="13"/>
    <x v="13"/>
    <x v="11"/>
    <x v="10"/>
    <x v="7"/>
  </r>
  <r>
    <x v="1"/>
    <x v="2"/>
    <x v="14"/>
    <x v="14"/>
    <x v="12"/>
    <x v="10"/>
    <x v="4"/>
  </r>
  <r>
    <x v="1"/>
    <x v="3"/>
    <x v="15"/>
    <x v="15"/>
    <x v="13"/>
    <x v="11"/>
    <x v="10"/>
  </r>
  <r>
    <x v="1"/>
    <x v="4"/>
    <x v="16"/>
    <x v="16"/>
    <x v="14"/>
    <x v="12"/>
    <x v="11"/>
  </r>
  <r>
    <x v="1"/>
    <x v="5"/>
    <x v="17"/>
    <x v="17"/>
    <x v="15"/>
    <x v="10"/>
    <x v="12"/>
  </r>
  <r>
    <x v="1"/>
    <x v="6"/>
    <x v="18"/>
    <x v="18"/>
    <x v="16"/>
    <x v="13"/>
    <x v="1"/>
  </r>
  <r>
    <x v="1"/>
    <x v="7"/>
    <x v="19"/>
    <x v="19"/>
    <x v="12"/>
    <x v="14"/>
    <x v="10"/>
  </r>
  <r>
    <x v="1"/>
    <x v="8"/>
    <x v="12"/>
    <x v="20"/>
    <x v="17"/>
    <x v="15"/>
    <x v="13"/>
  </r>
  <r>
    <x v="1"/>
    <x v="9"/>
    <x v="20"/>
    <x v="21"/>
    <x v="18"/>
    <x v="16"/>
    <x v="6"/>
  </r>
  <r>
    <x v="1"/>
    <x v="10"/>
    <x v="21"/>
    <x v="22"/>
    <x v="19"/>
    <x v="12"/>
    <x v="10"/>
  </r>
  <r>
    <x v="1"/>
    <x v="11"/>
    <x v="22"/>
    <x v="23"/>
    <x v="20"/>
    <x v="13"/>
    <x v="14"/>
  </r>
</pivotCacheRecords>
</file>

<file path=xl/pivotCache/pivotCacheRecords19.xml><?xml version="1.0" encoding="utf-8"?>
<pivotCacheRecords xmlns="http://schemas.openxmlformats.org/spreadsheetml/2006/main" xmlns:r="http://schemas.openxmlformats.org/officeDocument/2006/relationships" count="502">
  <r>
    <x v="0"/>
    <x v="0"/>
    <x v="0"/>
    <x v="0"/>
    <n v="1"/>
    <x v="0"/>
    <x v="0"/>
    <m/>
  </r>
  <r>
    <x v="0"/>
    <x v="1"/>
    <x v="0"/>
    <x v="0"/>
    <n v="4"/>
    <x v="0"/>
    <x v="0"/>
    <m/>
  </r>
  <r>
    <x v="1"/>
    <x v="1"/>
    <x v="0"/>
    <x v="0"/>
    <n v="2"/>
    <x v="0"/>
    <x v="0"/>
    <m/>
  </r>
  <r>
    <x v="1"/>
    <x v="2"/>
    <x v="0"/>
    <x v="0"/>
    <n v="1"/>
    <x v="0"/>
    <x v="0"/>
    <m/>
  </r>
  <r>
    <x v="0"/>
    <x v="2"/>
    <x v="0"/>
    <x v="0"/>
    <n v="2"/>
    <x v="0"/>
    <x v="0"/>
    <m/>
  </r>
  <r>
    <x v="0"/>
    <x v="3"/>
    <x v="1"/>
    <x v="0"/>
    <n v="7"/>
    <x v="1"/>
    <x v="1"/>
    <n v="1819758"/>
  </r>
  <r>
    <x v="0"/>
    <x v="3"/>
    <x v="1"/>
    <x v="1"/>
    <n v="5"/>
    <x v="1"/>
    <x v="1"/>
    <n v="1819758"/>
  </r>
  <r>
    <x v="0"/>
    <x v="3"/>
    <x v="1"/>
    <x v="2"/>
    <n v="42"/>
    <x v="1"/>
    <x v="1"/>
    <n v="1819758"/>
  </r>
  <r>
    <x v="0"/>
    <x v="3"/>
    <x v="1"/>
    <x v="3"/>
    <n v="546"/>
    <x v="1"/>
    <x v="1"/>
    <n v="1819758"/>
  </r>
  <r>
    <x v="2"/>
    <x v="3"/>
    <x v="1"/>
    <x v="0"/>
    <n v="2"/>
    <x v="1"/>
    <x v="1"/>
    <n v="1819758"/>
  </r>
  <r>
    <x v="1"/>
    <x v="3"/>
    <x v="1"/>
    <x v="0"/>
    <n v="5"/>
    <x v="1"/>
    <x v="1"/>
    <n v="1819758"/>
  </r>
  <r>
    <x v="1"/>
    <x v="3"/>
    <x v="1"/>
    <x v="1"/>
    <n v="3"/>
    <x v="1"/>
    <x v="1"/>
    <n v="1819758"/>
  </r>
  <r>
    <x v="1"/>
    <x v="3"/>
    <x v="1"/>
    <x v="2"/>
    <n v="37"/>
    <x v="1"/>
    <x v="1"/>
    <n v="1819758"/>
  </r>
  <r>
    <x v="2"/>
    <x v="3"/>
    <x v="1"/>
    <x v="2"/>
    <n v="1"/>
    <x v="1"/>
    <x v="1"/>
    <n v="1819758"/>
  </r>
  <r>
    <x v="1"/>
    <x v="3"/>
    <x v="1"/>
    <x v="3"/>
    <n v="423"/>
    <x v="1"/>
    <x v="1"/>
    <n v="1819758"/>
  </r>
  <r>
    <x v="2"/>
    <x v="3"/>
    <x v="1"/>
    <x v="3"/>
    <n v="18"/>
    <x v="1"/>
    <x v="1"/>
    <n v="1819758"/>
  </r>
  <r>
    <x v="2"/>
    <x v="4"/>
    <x v="1"/>
    <x v="3"/>
    <n v="10"/>
    <x v="2"/>
    <x v="1"/>
    <n v="1828026"/>
  </r>
  <r>
    <x v="1"/>
    <x v="4"/>
    <x v="1"/>
    <x v="3"/>
    <n v="442"/>
    <x v="2"/>
    <x v="1"/>
    <n v="1828026"/>
  </r>
  <r>
    <x v="1"/>
    <x v="4"/>
    <x v="1"/>
    <x v="2"/>
    <n v="28"/>
    <x v="2"/>
    <x v="1"/>
    <n v="1828026"/>
  </r>
  <r>
    <x v="1"/>
    <x v="4"/>
    <x v="1"/>
    <x v="0"/>
    <n v="3"/>
    <x v="2"/>
    <x v="1"/>
    <n v="1828026"/>
  </r>
  <r>
    <x v="0"/>
    <x v="4"/>
    <x v="1"/>
    <x v="0"/>
    <n v="5"/>
    <x v="2"/>
    <x v="1"/>
    <n v="1828026"/>
  </r>
  <r>
    <x v="0"/>
    <x v="4"/>
    <x v="1"/>
    <x v="1"/>
    <n v="5"/>
    <x v="2"/>
    <x v="1"/>
    <n v="1828026"/>
  </r>
  <r>
    <x v="0"/>
    <x v="4"/>
    <x v="1"/>
    <x v="2"/>
    <n v="31"/>
    <x v="2"/>
    <x v="1"/>
    <n v="1828026"/>
  </r>
  <r>
    <x v="0"/>
    <x v="4"/>
    <x v="1"/>
    <x v="3"/>
    <n v="522"/>
    <x v="2"/>
    <x v="1"/>
    <n v="1828026"/>
  </r>
  <r>
    <x v="1"/>
    <x v="4"/>
    <x v="1"/>
    <x v="1"/>
    <n v="5"/>
    <x v="2"/>
    <x v="1"/>
    <n v="1828026"/>
  </r>
  <r>
    <x v="2"/>
    <x v="0"/>
    <x v="1"/>
    <x v="3"/>
    <n v="10"/>
    <x v="3"/>
    <x v="1"/>
    <n v="1839393"/>
  </r>
  <r>
    <x v="2"/>
    <x v="0"/>
    <x v="1"/>
    <x v="2"/>
    <n v="3"/>
    <x v="3"/>
    <x v="1"/>
    <n v="1839393"/>
  </r>
  <r>
    <x v="2"/>
    <x v="0"/>
    <x v="1"/>
    <x v="0"/>
    <n v="2"/>
    <x v="3"/>
    <x v="1"/>
    <n v="1839393"/>
  </r>
  <r>
    <x v="1"/>
    <x v="0"/>
    <x v="1"/>
    <x v="3"/>
    <n v="326"/>
    <x v="3"/>
    <x v="1"/>
    <n v="1839393"/>
  </r>
  <r>
    <x v="1"/>
    <x v="0"/>
    <x v="1"/>
    <x v="2"/>
    <n v="23"/>
    <x v="3"/>
    <x v="1"/>
    <n v="1839393"/>
  </r>
  <r>
    <x v="0"/>
    <x v="0"/>
    <x v="1"/>
    <x v="2"/>
    <n v="28"/>
    <x v="3"/>
    <x v="1"/>
    <n v="1839393"/>
  </r>
  <r>
    <x v="1"/>
    <x v="0"/>
    <x v="1"/>
    <x v="1"/>
    <n v="6"/>
    <x v="3"/>
    <x v="1"/>
    <n v="1839393"/>
  </r>
  <r>
    <x v="1"/>
    <x v="0"/>
    <x v="1"/>
    <x v="0"/>
    <n v="3"/>
    <x v="3"/>
    <x v="1"/>
    <n v="1839393"/>
  </r>
  <r>
    <x v="0"/>
    <x v="0"/>
    <x v="1"/>
    <x v="1"/>
    <n v="13"/>
    <x v="3"/>
    <x v="1"/>
    <n v="1839393"/>
  </r>
  <r>
    <x v="0"/>
    <x v="0"/>
    <x v="1"/>
    <x v="3"/>
    <n v="391"/>
    <x v="3"/>
    <x v="1"/>
    <n v="1839393"/>
  </r>
  <r>
    <x v="0"/>
    <x v="0"/>
    <x v="1"/>
    <x v="0"/>
    <n v="4"/>
    <x v="3"/>
    <x v="1"/>
    <n v="1839393"/>
  </r>
  <r>
    <x v="1"/>
    <x v="1"/>
    <x v="1"/>
    <x v="0"/>
    <n v="6"/>
    <x v="4"/>
    <x v="1"/>
    <n v="1854344"/>
  </r>
  <r>
    <x v="1"/>
    <x v="1"/>
    <x v="1"/>
    <x v="1"/>
    <n v="4"/>
    <x v="4"/>
    <x v="1"/>
    <n v="1854344"/>
  </r>
  <r>
    <x v="2"/>
    <x v="1"/>
    <x v="1"/>
    <x v="3"/>
    <n v="13"/>
    <x v="4"/>
    <x v="1"/>
    <n v="1854344"/>
  </r>
  <r>
    <x v="1"/>
    <x v="1"/>
    <x v="1"/>
    <x v="2"/>
    <n v="35"/>
    <x v="4"/>
    <x v="1"/>
    <n v="1854344"/>
  </r>
  <r>
    <x v="0"/>
    <x v="1"/>
    <x v="1"/>
    <x v="1"/>
    <n v="4"/>
    <x v="4"/>
    <x v="1"/>
    <n v="1854344"/>
  </r>
  <r>
    <x v="0"/>
    <x v="1"/>
    <x v="1"/>
    <x v="3"/>
    <n v="512"/>
    <x v="4"/>
    <x v="1"/>
    <n v="1854344"/>
  </r>
  <r>
    <x v="0"/>
    <x v="1"/>
    <x v="1"/>
    <x v="0"/>
    <n v="7"/>
    <x v="4"/>
    <x v="1"/>
    <n v="1854344"/>
  </r>
  <r>
    <x v="1"/>
    <x v="1"/>
    <x v="1"/>
    <x v="3"/>
    <n v="408"/>
    <x v="4"/>
    <x v="1"/>
    <n v="1854344"/>
  </r>
  <r>
    <x v="0"/>
    <x v="1"/>
    <x v="1"/>
    <x v="2"/>
    <n v="38"/>
    <x v="4"/>
    <x v="1"/>
    <n v="1854344"/>
  </r>
  <r>
    <x v="2"/>
    <x v="1"/>
    <x v="1"/>
    <x v="2"/>
    <n v="1"/>
    <x v="4"/>
    <x v="1"/>
    <n v="1854344"/>
  </r>
  <r>
    <x v="1"/>
    <x v="5"/>
    <x v="1"/>
    <x v="1"/>
    <n v="9"/>
    <x v="5"/>
    <x v="1"/>
    <n v="1872642"/>
  </r>
  <r>
    <x v="1"/>
    <x v="5"/>
    <x v="1"/>
    <x v="2"/>
    <n v="20"/>
    <x v="5"/>
    <x v="1"/>
    <n v="1872642"/>
  </r>
  <r>
    <x v="1"/>
    <x v="5"/>
    <x v="1"/>
    <x v="3"/>
    <n v="361"/>
    <x v="5"/>
    <x v="1"/>
    <n v="1872642"/>
  </r>
  <r>
    <x v="2"/>
    <x v="5"/>
    <x v="1"/>
    <x v="3"/>
    <n v="15"/>
    <x v="5"/>
    <x v="1"/>
    <n v="1872642"/>
  </r>
  <r>
    <x v="2"/>
    <x v="5"/>
    <x v="1"/>
    <x v="2"/>
    <n v="2"/>
    <x v="5"/>
    <x v="1"/>
    <n v="1872642"/>
  </r>
  <r>
    <x v="2"/>
    <x v="5"/>
    <x v="1"/>
    <x v="1"/>
    <n v="1"/>
    <x v="5"/>
    <x v="1"/>
    <n v="1872642"/>
  </r>
  <r>
    <x v="0"/>
    <x v="5"/>
    <x v="1"/>
    <x v="0"/>
    <n v="8"/>
    <x v="5"/>
    <x v="1"/>
    <n v="1872642"/>
  </r>
  <r>
    <x v="0"/>
    <x v="5"/>
    <x v="1"/>
    <x v="1"/>
    <n v="14"/>
    <x v="5"/>
    <x v="1"/>
    <n v="1872642"/>
  </r>
  <r>
    <x v="0"/>
    <x v="5"/>
    <x v="1"/>
    <x v="2"/>
    <n v="27"/>
    <x v="5"/>
    <x v="1"/>
    <n v="1872642"/>
  </r>
  <r>
    <x v="0"/>
    <x v="5"/>
    <x v="1"/>
    <x v="3"/>
    <n v="496"/>
    <x v="5"/>
    <x v="1"/>
    <n v="1872642"/>
  </r>
  <r>
    <x v="1"/>
    <x v="5"/>
    <x v="1"/>
    <x v="0"/>
    <n v="7"/>
    <x v="5"/>
    <x v="1"/>
    <n v="1872642"/>
  </r>
  <r>
    <x v="1"/>
    <x v="2"/>
    <x v="1"/>
    <x v="1"/>
    <n v="8"/>
    <x v="6"/>
    <x v="1"/>
    <n v="1884644"/>
  </r>
  <r>
    <x v="0"/>
    <x v="2"/>
    <x v="1"/>
    <x v="0"/>
    <n v="5"/>
    <x v="6"/>
    <x v="1"/>
    <n v="1884644"/>
  </r>
  <r>
    <x v="0"/>
    <x v="2"/>
    <x v="1"/>
    <x v="1"/>
    <n v="16"/>
    <x v="6"/>
    <x v="1"/>
    <n v="1884644"/>
  </r>
  <r>
    <x v="0"/>
    <x v="2"/>
    <x v="1"/>
    <x v="2"/>
    <n v="35"/>
    <x v="6"/>
    <x v="1"/>
    <n v="1884644"/>
  </r>
  <r>
    <x v="1"/>
    <x v="2"/>
    <x v="1"/>
    <x v="3"/>
    <n v="325"/>
    <x v="6"/>
    <x v="1"/>
    <n v="1884644"/>
  </r>
  <r>
    <x v="0"/>
    <x v="2"/>
    <x v="1"/>
    <x v="3"/>
    <n v="396"/>
    <x v="6"/>
    <x v="1"/>
    <n v="1884644"/>
  </r>
  <r>
    <x v="2"/>
    <x v="2"/>
    <x v="1"/>
    <x v="3"/>
    <n v="12"/>
    <x v="6"/>
    <x v="1"/>
    <n v="1884644"/>
  </r>
  <r>
    <x v="1"/>
    <x v="2"/>
    <x v="1"/>
    <x v="2"/>
    <n v="29"/>
    <x v="6"/>
    <x v="1"/>
    <n v="1884644"/>
  </r>
  <r>
    <x v="1"/>
    <x v="2"/>
    <x v="1"/>
    <x v="0"/>
    <n v="5"/>
    <x v="6"/>
    <x v="1"/>
    <n v="1884644"/>
  </r>
  <r>
    <x v="2"/>
    <x v="6"/>
    <x v="1"/>
    <x v="0"/>
    <n v="2"/>
    <x v="7"/>
    <x v="1"/>
    <n v="1894973"/>
  </r>
  <r>
    <x v="2"/>
    <x v="6"/>
    <x v="1"/>
    <x v="3"/>
    <n v="6"/>
    <x v="7"/>
    <x v="1"/>
    <n v="1894973"/>
  </r>
  <r>
    <x v="1"/>
    <x v="6"/>
    <x v="1"/>
    <x v="2"/>
    <n v="38"/>
    <x v="7"/>
    <x v="1"/>
    <n v="1894973"/>
  </r>
  <r>
    <x v="2"/>
    <x v="6"/>
    <x v="1"/>
    <x v="1"/>
    <n v="1"/>
    <x v="7"/>
    <x v="1"/>
    <n v="1894973"/>
  </r>
  <r>
    <x v="1"/>
    <x v="6"/>
    <x v="1"/>
    <x v="3"/>
    <n v="350"/>
    <x v="7"/>
    <x v="1"/>
    <n v="1894973"/>
  </r>
  <r>
    <x v="1"/>
    <x v="6"/>
    <x v="1"/>
    <x v="0"/>
    <n v="12"/>
    <x v="7"/>
    <x v="1"/>
    <n v="1894973"/>
  </r>
  <r>
    <x v="0"/>
    <x v="6"/>
    <x v="1"/>
    <x v="3"/>
    <n v="437"/>
    <x v="7"/>
    <x v="1"/>
    <n v="1894973"/>
  </r>
  <r>
    <x v="1"/>
    <x v="6"/>
    <x v="1"/>
    <x v="1"/>
    <n v="5"/>
    <x v="7"/>
    <x v="1"/>
    <n v="1894973"/>
  </r>
  <r>
    <x v="0"/>
    <x v="6"/>
    <x v="1"/>
    <x v="0"/>
    <n v="15"/>
    <x v="7"/>
    <x v="1"/>
    <n v="1894973"/>
  </r>
  <r>
    <x v="0"/>
    <x v="6"/>
    <x v="1"/>
    <x v="1"/>
    <n v="5"/>
    <x v="7"/>
    <x v="1"/>
    <n v="1894973"/>
  </r>
  <r>
    <x v="0"/>
    <x v="6"/>
    <x v="1"/>
    <x v="2"/>
    <n v="45"/>
    <x v="7"/>
    <x v="1"/>
    <n v="1894973"/>
  </r>
  <r>
    <x v="0"/>
    <x v="7"/>
    <x v="1"/>
    <x v="3"/>
    <n v="378"/>
    <x v="8"/>
    <x v="1"/>
    <n v="1910606"/>
  </r>
  <r>
    <x v="0"/>
    <x v="7"/>
    <x v="1"/>
    <x v="1"/>
    <n v="4"/>
    <x v="8"/>
    <x v="1"/>
    <n v="1910606"/>
  </r>
  <r>
    <x v="1"/>
    <x v="7"/>
    <x v="1"/>
    <x v="3"/>
    <n v="298"/>
    <x v="8"/>
    <x v="1"/>
    <n v="1910606"/>
  </r>
  <r>
    <x v="1"/>
    <x v="7"/>
    <x v="1"/>
    <x v="2"/>
    <n v="28"/>
    <x v="8"/>
    <x v="1"/>
    <n v="1910606"/>
  </r>
  <r>
    <x v="1"/>
    <x v="7"/>
    <x v="1"/>
    <x v="1"/>
    <n v="4"/>
    <x v="8"/>
    <x v="1"/>
    <n v="1910606"/>
  </r>
  <r>
    <x v="2"/>
    <x v="7"/>
    <x v="1"/>
    <x v="3"/>
    <n v="4"/>
    <x v="8"/>
    <x v="1"/>
    <n v="1910606"/>
  </r>
  <r>
    <x v="0"/>
    <x v="7"/>
    <x v="1"/>
    <x v="0"/>
    <n v="5"/>
    <x v="8"/>
    <x v="1"/>
    <n v="1910606"/>
  </r>
  <r>
    <x v="1"/>
    <x v="7"/>
    <x v="1"/>
    <x v="0"/>
    <n v="3"/>
    <x v="8"/>
    <x v="1"/>
    <n v="1910606"/>
  </r>
  <r>
    <x v="0"/>
    <x v="7"/>
    <x v="1"/>
    <x v="2"/>
    <n v="31"/>
    <x v="8"/>
    <x v="1"/>
    <n v="1910606"/>
  </r>
  <r>
    <x v="2"/>
    <x v="8"/>
    <x v="1"/>
    <x v="2"/>
    <n v="2"/>
    <x v="9"/>
    <x v="1"/>
    <n v="1914450"/>
  </r>
  <r>
    <x v="1"/>
    <x v="8"/>
    <x v="1"/>
    <x v="1"/>
    <n v="2"/>
    <x v="9"/>
    <x v="1"/>
    <n v="1914450"/>
  </r>
  <r>
    <x v="1"/>
    <x v="8"/>
    <x v="1"/>
    <x v="2"/>
    <n v="38"/>
    <x v="9"/>
    <x v="1"/>
    <n v="1914450"/>
  </r>
  <r>
    <x v="0"/>
    <x v="8"/>
    <x v="1"/>
    <x v="0"/>
    <n v="16"/>
    <x v="9"/>
    <x v="1"/>
    <n v="1914450"/>
  </r>
  <r>
    <x v="2"/>
    <x v="8"/>
    <x v="1"/>
    <x v="1"/>
    <n v="2"/>
    <x v="9"/>
    <x v="1"/>
    <n v="1914450"/>
  </r>
  <r>
    <x v="0"/>
    <x v="8"/>
    <x v="1"/>
    <x v="1"/>
    <n v="2"/>
    <x v="9"/>
    <x v="1"/>
    <n v="1914450"/>
  </r>
  <r>
    <x v="0"/>
    <x v="8"/>
    <x v="1"/>
    <x v="2"/>
    <n v="59"/>
    <x v="9"/>
    <x v="1"/>
    <n v="1914450"/>
  </r>
  <r>
    <x v="0"/>
    <x v="8"/>
    <x v="1"/>
    <x v="3"/>
    <n v="540"/>
    <x v="9"/>
    <x v="1"/>
    <n v="1914450"/>
  </r>
  <r>
    <x v="1"/>
    <x v="8"/>
    <x v="1"/>
    <x v="3"/>
    <n v="366"/>
    <x v="9"/>
    <x v="1"/>
    <n v="1914450"/>
  </r>
  <r>
    <x v="2"/>
    <x v="8"/>
    <x v="1"/>
    <x v="3"/>
    <n v="30"/>
    <x v="9"/>
    <x v="1"/>
    <n v="1914450"/>
  </r>
  <r>
    <x v="1"/>
    <x v="8"/>
    <x v="1"/>
    <x v="0"/>
    <n v="13"/>
    <x v="9"/>
    <x v="1"/>
    <n v="1914450"/>
  </r>
  <r>
    <x v="0"/>
    <x v="3"/>
    <x v="2"/>
    <x v="3"/>
    <n v="406"/>
    <x v="1"/>
    <x v="2"/>
    <n v="1946513"/>
  </r>
  <r>
    <x v="1"/>
    <x v="3"/>
    <x v="2"/>
    <x v="2"/>
    <n v="23"/>
    <x v="1"/>
    <x v="2"/>
    <n v="1946513"/>
  </r>
  <r>
    <x v="1"/>
    <x v="3"/>
    <x v="2"/>
    <x v="1"/>
    <n v="4"/>
    <x v="1"/>
    <x v="2"/>
    <n v="1946513"/>
  </r>
  <r>
    <x v="1"/>
    <x v="3"/>
    <x v="2"/>
    <x v="3"/>
    <n v="317"/>
    <x v="1"/>
    <x v="2"/>
    <n v="1946513"/>
  </r>
  <r>
    <x v="0"/>
    <x v="3"/>
    <x v="2"/>
    <x v="2"/>
    <n v="27"/>
    <x v="1"/>
    <x v="2"/>
    <n v="1946513"/>
  </r>
  <r>
    <x v="0"/>
    <x v="3"/>
    <x v="2"/>
    <x v="1"/>
    <n v="4"/>
    <x v="1"/>
    <x v="2"/>
    <n v="1946513"/>
  </r>
  <r>
    <x v="2"/>
    <x v="3"/>
    <x v="2"/>
    <x v="2"/>
    <n v="1"/>
    <x v="1"/>
    <x v="2"/>
    <n v="1946513"/>
  </r>
  <r>
    <x v="2"/>
    <x v="3"/>
    <x v="2"/>
    <x v="3"/>
    <n v="13"/>
    <x v="1"/>
    <x v="2"/>
    <n v="1946513"/>
  </r>
  <r>
    <x v="0"/>
    <x v="3"/>
    <x v="2"/>
    <x v="0"/>
    <n v="7"/>
    <x v="1"/>
    <x v="2"/>
    <n v="1946513"/>
  </r>
  <r>
    <x v="1"/>
    <x v="3"/>
    <x v="2"/>
    <x v="0"/>
    <n v="7"/>
    <x v="1"/>
    <x v="2"/>
    <n v="1946513"/>
  </r>
  <r>
    <x v="1"/>
    <x v="4"/>
    <x v="2"/>
    <x v="1"/>
    <n v="9"/>
    <x v="2"/>
    <x v="2"/>
    <n v="1948246"/>
  </r>
  <r>
    <x v="1"/>
    <x v="4"/>
    <x v="2"/>
    <x v="3"/>
    <n v="299"/>
    <x v="2"/>
    <x v="2"/>
    <n v="1948246"/>
  </r>
  <r>
    <x v="1"/>
    <x v="4"/>
    <x v="2"/>
    <x v="2"/>
    <n v="31"/>
    <x v="2"/>
    <x v="2"/>
    <n v="1948246"/>
  </r>
  <r>
    <x v="1"/>
    <x v="4"/>
    <x v="2"/>
    <x v="0"/>
    <n v="10"/>
    <x v="2"/>
    <x v="2"/>
    <n v="1948246"/>
  </r>
  <r>
    <x v="2"/>
    <x v="4"/>
    <x v="2"/>
    <x v="2"/>
    <n v="1"/>
    <x v="2"/>
    <x v="2"/>
    <n v="1948246"/>
  </r>
  <r>
    <x v="0"/>
    <x v="4"/>
    <x v="2"/>
    <x v="0"/>
    <n v="14"/>
    <x v="2"/>
    <x v="2"/>
    <n v="1948246"/>
  </r>
  <r>
    <x v="0"/>
    <x v="4"/>
    <x v="2"/>
    <x v="1"/>
    <n v="13"/>
    <x v="2"/>
    <x v="2"/>
    <n v="1948246"/>
  </r>
  <r>
    <x v="2"/>
    <x v="4"/>
    <x v="2"/>
    <x v="3"/>
    <n v="13"/>
    <x v="2"/>
    <x v="2"/>
    <n v="1948246"/>
  </r>
  <r>
    <x v="0"/>
    <x v="4"/>
    <x v="2"/>
    <x v="2"/>
    <n v="38"/>
    <x v="2"/>
    <x v="2"/>
    <n v="1948246"/>
  </r>
  <r>
    <x v="0"/>
    <x v="4"/>
    <x v="2"/>
    <x v="3"/>
    <n v="382"/>
    <x v="2"/>
    <x v="2"/>
    <n v="1948246"/>
  </r>
  <r>
    <x v="2"/>
    <x v="0"/>
    <x v="2"/>
    <x v="3"/>
    <n v="10"/>
    <x v="3"/>
    <x v="2"/>
    <n v="1951361"/>
  </r>
  <r>
    <x v="0"/>
    <x v="0"/>
    <x v="2"/>
    <x v="3"/>
    <n v="396"/>
    <x v="3"/>
    <x v="2"/>
    <n v="1951361"/>
  </r>
  <r>
    <x v="1"/>
    <x v="0"/>
    <x v="2"/>
    <x v="3"/>
    <n v="301"/>
    <x v="3"/>
    <x v="2"/>
    <n v="1951361"/>
  </r>
  <r>
    <x v="0"/>
    <x v="0"/>
    <x v="2"/>
    <x v="1"/>
    <n v="9"/>
    <x v="3"/>
    <x v="2"/>
    <n v="1951361"/>
  </r>
  <r>
    <x v="0"/>
    <x v="0"/>
    <x v="2"/>
    <x v="0"/>
    <n v="9"/>
    <x v="3"/>
    <x v="2"/>
    <n v="1951361"/>
  </r>
  <r>
    <x v="1"/>
    <x v="0"/>
    <x v="2"/>
    <x v="2"/>
    <n v="34"/>
    <x v="3"/>
    <x v="2"/>
    <n v="1951361"/>
  </r>
  <r>
    <x v="1"/>
    <x v="0"/>
    <x v="2"/>
    <x v="1"/>
    <n v="7"/>
    <x v="3"/>
    <x v="2"/>
    <n v="1951361"/>
  </r>
  <r>
    <x v="1"/>
    <x v="0"/>
    <x v="2"/>
    <x v="0"/>
    <n v="6"/>
    <x v="3"/>
    <x v="2"/>
    <n v="1951361"/>
  </r>
  <r>
    <x v="0"/>
    <x v="0"/>
    <x v="2"/>
    <x v="2"/>
    <n v="38"/>
    <x v="3"/>
    <x v="2"/>
    <n v="1951361"/>
  </r>
  <r>
    <x v="0"/>
    <x v="1"/>
    <x v="2"/>
    <x v="3"/>
    <n v="387"/>
    <x v="4"/>
    <x v="2"/>
    <n v="1956221"/>
  </r>
  <r>
    <x v="0"/>
    <x v="1"/>
    <x v="2"/>
    <x v="2"/>
    <n v="44"/>
    <x v="4"/>
    <x v="2"/>
    <n v="1956221"/>
  </r>
  <r>
    <x v="0"/>
    <x v="1"/>
    <x v="2"/>
    <x v="1"/>
    <n v="13"/>
    <x v="4"/>
    <x v="2"/>
    <n v="1956221"/>
  </r>
  <r>
    <x v="2"/>
    <x v="1"/>
    <x v="2"/>
    <x v="3"/>
    <n v="14"/>
    <x v="4"/>
    <x v="2"/>
    <n v="1956221"/>
  </r>
  <r>
    <x v="1"/>
    <x v="1"/>
    <x v="2"/>
    <x v="3"/>
    <n v="298"/>
    <x v="4"/>
    <x v="2"/>
    <n v="1956221"/>
  </r>
  <r>
    <x v="1"/>
    <x v="1"/>
    <x v="2"/>
    <x v="2"/>
    <n v="34"/>
    <x v="4"/>
    <x v="2"/>
    <n v="1956221"/>
  </r>
  <r>
    <x v="1"/>
    <x v="1"/>
    <x v="2"/>
    <x v="0"/>
    <n v="13"/>
    <x v="4"/>
    <x v="2"/>
    <n v="1956221"/>
  </r>
  <r>
    <x v="1"/>
    <x v="1"/>
    <x v="2"/>
    <x v="1"/>
    <n v="10"/>
    <x v="4"/>
    <x v="2"/>
    <n v="1956221"/>
  </r>
  <r>
    <x v="0"/>
    <x v="1"/>
    <x v="2"/>
    <x v="0"/>
    <n v="15"/>
    <x v="4"/>
    <x v="2"/>
    <n v="1956221"/>
  </r>
  <r>
    <x v="1"/>
    <x v="5"/>
    <x v="2"/>
    <x v="1"/>
    <n v="10"/>
    <x v="5"/>
    <x v="2"/>
    <n v="1960470"/>
  </r>
  <r>
    <x v="2"/>
    <x v="5"/>
    <x v="2"/>
    <x v="3"/>
    <n v="11"/>
    <x v="5"/>
    <x v="2"/>
    <n v="1960470"/>
  </r>
  <r>
    <x v="0"/>
    <x v="5"/>
    <x v="2"/>
    <x v="0"/>
    <n v="10"/>
    <x v="5"/>
    <x v="2"/>
    <n v="1960470"/>
  </r>
  <r>
    <x v="1"/>
    <x v="5"/>
    <x v="2"/>
    <x v="3"/>
    <n v="320"/>
    <x v="5"/>
    <x v="2"/>
    <n v="1960470"/>
  </r>
  <r>
    <x v="0"/>
    <x v="5"/>
    <x v="2"/>
    <x v="1"/>
    <n v="11"/>
    <x v="5"/>
    <x v="2"/>
    <n v="1960470"/>
  </r>
  <r>
    <x v="0"/>
    <x v="5"/>
    <x v="2"/>
    <x v="2"/>
    <n v="26"/>
    <x v="5"/>
    <x v="2"/>
    <n v="1960470"/>
  </r>
  <r>
    <x v="1"/>
    <x v="5"/>
    <x v="2"/>
    <x v="2"/>
    <n v="21"/>
    <x v="5"/>
    <x v="2"/>
    <n v="1960470"/>
  </r>
  <r>
    <x v="0"/>
    <x v="5"/>
    <x v="2"/>
    <x v="3"/>
    <n v="439"/>
    <x v="5"/>
    <x v="2"/>
    <n v="1960470"/>
  </r>
  <r>
    <x v="1"/>
    <x v="5"/>
    <x v="2"/>
    <x v="0"/>
    <n v="9"/>
    <x v="5"/>
    <x v="2"/>
    <n v="1960470"/>
  </r>
  <r>
    <x v="1"/>
    <x v="2"/>
    <x v="2"/>
    <x v="2"/>
    <n v="41"/>
    <x v="6"/>
    <x v="2"/>
    <n v="1961709"/>
  </r>
  <r>
    <x v="0"/>
    <x v="2"/>
    <x v="2"/>
    <x v="2"/>
    <n v="56"/>
    <x v="6"/>
    <x v="2"/>
    <n v="1961709"/>
  </r>
  <r>
    <x v="0"/>
    <x v="2"/>
    <x v="2"/>
    <x v="3"/>
    <n v="363"/>
    <x v="6"/>
    <x v="2"/>
    <n v="1961709"/>
  </r>
  <r>
    <x v="1"/>
    <x v="2"/>
    <x v="2"/>
    <x v="0"/>
    <n v="7"/>
    <x v="6"/>
    <x v="2"/>
    <n v="1961709"/>
  </r>
  <r>
    <x v="2"/>
    <x v="2"/>
    <x v="2"/>
    <x v="1"/>
    <n v="2"/>
    <x v="6"/>
    <x v="2"/>
    <n v="1961709"/>
  </r>
  <r>
    <x v="0"/>
    <x v="2"/>
    <x v="2"/>
    <x v="0"/>
    <n v="9"/>
    <x v="6"/>
    <x v="2"/>
    <n v="1961709"/>
  </r>
  <r>
    <x v="0"/>
    <x v="2"/>
    <x v="2"/>
    <x v="1"/>
    <n v="4"/>
    <x v="6"/>
    <x v="2"/>
    <n v="1961709"/>
  </r>
  <r>
    <x v="1"/>
    <x v="2"/>
    <x v="2"/>
    <x v="1"/>
    <n v="4"/>
    <x v="6"/>
    <x v="2"/>
    <n v="1961709"/>
  </r>
  <r>
    <x v="1"/>
    <x v="2"/>
    <x v="2"/>
    <x v="3"/>
    <n v="283"/>
    <x v="6"/>
    <x v="2"/>
    <n v="1961709"/>
  </r>
  <r>
    <x v="2"/>
    <x v="2"/>
    <x v="2"/>
    <x v="3"/>
    <n v="12"/>
    <x v="6"/>
    <x v="2"/>
    <n v="1961709"/>
  </r>
  <r>
    <x v="2"/>
    <x v="2"/>
    <x v="2"/>
    <x v="2"/>
    <n v="3"/>
    <x v="6"/>
    <x v="2"/>
    <n v="1961709"/>
  </r>
  <r>
    <x v="0"/>
    <x v="6"/>
    <x v="2"/>
    <x v="2"/>
    <n v="38"/>
    <x v="7"/>
    <x v="2"/>
    <n v="1959405"/>
  </r>
  <r>
    <x v="0"/>
    <x v="6"/>
    <x v="2"/>
    <x v="1"/>
    <n v="11"/>
    <x v="7"/>
    <x v="2"/>
    <n v="1959405"/>
  </r>
  <r>
    <x v="0"/>
    <x v="6"/>
    <x v="2"/>
    <x v="0"/>
    <n v="9"/>
    <x v="7"/>
    <x v="2"/>
    <n v="1959405"/>
  </r>
  <r>
    <x v="0"/>
    <x v="6"/>
    <x v="2"/>
    <x v="3"/>
    <n v="412"/>
    <x v="7"/>
    <x v="2"/>
    <n v="1959405"/>
  </r>
  <r>
    <x v="1"/>
    <x v="6"/>
    <x v="2"/>
    <x v="2"/>
    <n v="33"/>
    <x v="7"/>
    <x v="2"/>
    <n v="1959405"/>
  </r>
  <r>
    <x v="2"/>
    <x v="6"/>
    <x v="2"/>
    <x v="3"/>
    <n v="16"/>
    <x v="7"/>
    <x v="2"/>
    <n v="1959405"/>
  </r>
  <r>
    <x v="1"/>
    <x v="6"/>
    <x v="2"/>
    <x v="0"/>
    <n v="9"/>
    <x v="7"/>
    <x v="2"/>
    <n v="1959405"/>
  </r>
  <r>
    <x v="1"/>
    <x v="6"/>
    <x v="2"/>
    <x v="1"/>
    <n v="9"/>
    <x v="7"/>
    <x v="2"/>
    <n v="1959405"/>
  </r>
  <r>
    <x v="1"/>
    <x v="6"/>
    <x v="2"/>
    <x v="3"/>
    <n v="310"/>
    <x v="7"/>
    <x v="2"/>
    <n v="1959405"/>
  </r>
  <r>
    <x v="1"/>
    <x v="7"/>
    <x v="2"/>
    <x v="3"/>
    <n v="252"/>
    <x v="8"/>
    <x v="2"/>
    <n v="1960069"/>
  </r>
  <r>
    <x v="1"/>
    <x v="7"/>
    <x v="2"/>
    <x v="1"/>
    <n v="7"/>
    <x v="8"/>
    <x v="2"/>
    <n v="1960069"/>
  </r>
  <r>
    <x v="2"/>
    <x v="7"/>
    <x v="2"/>
    <x v="3"/>
    <n v="9"/>
    <x v="8"/>
    <x v="2"/>
    <n v="1960069"/>
  </r>
  <r>
    <x v="2"/>
    <x v="7"/>
    <x v="2"/>
    <x v="2"/>
    <n v="2"/>
    <x v="8"/>
    <x v="2"/>
    <n v="1960069"/>
  </r>
  <r>
    <x v="0"/>
    <x v="7"/>
    <x v="2"/>
    <x v="0"/>
    <n v="15"/>
    <x v="8"/>
    <x v="2"/>
    <n v="1960069"/>
  </r>
  <r>
    <x v="1"/>
    <x v="7"/>
    <x v="2"/>
    <x v="2"/>
    <n v="25"/>
    <x v="8"/>
    <x v="2"/>
    <n v="1960069"/>
  </r>
  <r>
    <x v="0"/>
    <x v="7"/>
    <x v="2"/>
    <x v="2"/>
    <n v="27"/>
    <x v="8"/>
    <x v="2"/>
    <n v="1960069"/>
  </r>
  <r>
    <x v="0"/>
    <x v="7"/>
    <x v="2"/>
    <x v="1"/>
    <n v="9"/>
    <x v="8"/>
    <x v="2"/>
    <n v="1960069"/>
  </r>
  <r>
    <x v="2"/>
    <x v="7"/>
    <x v="2"/>
    <x v="1"/>
    <n v="1"/>
    <x v="8"/>
    <x v="2"/>
    <n v="1960069"/>
  </r>
  <r>
    <x v="1"/>
    <x v="7"/>
    <x v="2"/>
    <x v="0"/>
    <n v="14"/>
    <x v="8"/>
    <x v="2"/>
    <n v="1960069"/>
  </r>
  <r>
    <x v="0"/>
    <x v="7"/>
    <x v="2"/>
    <x v="3"/>
    <n v="342"/>
    <x v="8"/>
    <x v="2"/>
    <n v="1960069"/>
  </r>
  <r>
    <x v="1"/>
    <x v="8"/>
    <x v="2"/>
    <x v="2"/>
    <n v="12"/>
    <x v="9"/>
    <x v="2"/>
    <n v="1954572"/>
  </r>
  <r>
    <x v="1"/>
    <x v="8"/>
    <x v="2"/>
    <x v="0"/>
    <n v="19"/>
    <x v="9"/>
    <x v="2"/>
    <n v="1954572"/>
  </r>
  <r>
    <x v="1"/>
    <x v="8"/>
    <x v="2"/>
    <x v="1"/>
    <n v="8"/>
    <x v="9"/>
    <x v="2"/>
    <n v="1954572"/>
  </r>
  <r>
    <x v="1"/>
    <x v="8"/>
    <x v="2"/>
    <x v="3"/>
    <n v="351"/>
    <x v="9"/>
    <x v="2"/>
    <n v="1954572"/>
  </r>
  <r>
    <x v="0"/>
    <x v="8"/>
    <x v="2"/>
    <x v="3"/>
    <n v="531"/>
    <x v="9"/>
    <x v="2"/>
    <n v="1954572"/>
  </r>
  <r>
    <x v="0"/>
    <x v="8"/>
    <x v="2"/>
    <x v="1"/>
    <n v="16"/>
    <x v="9"/>
    <x v="2"/>
    <n v="1954572"/>
  </r>
  <r>
    <x v="2"/>
    <x v="8"/>
    <x v="2"/>
    <x v="0"/>
    <n v="2"/>
    <x v="9"/>
    <x v="2"/>
    <n v="1954572"/>
  </r>
  <r>
    <x v="2"/>
    <x v="8"/>
    <x v="2"/>
    <x v="3"/>
    <n v="21"/>
    <x v="9"/>
    <x v="2"/>
    <n v="1954572"/>
  </r>
  <r>
    <x v="0"/>
    <x v="8"/>
    <x v="2"/>
    <x v="2"/>
    <n v="14"/>
    <x v="9"/>
    <x v="2"/>
    <n v="1954572"/>
  </r>
  <r>
    <x v="0"/>
    <x v="8"/>
    <x v="2"/>
    <x v="0"/>
    <n v="20"/>
    <x v="9"/>
    <x v="2"/>
    <n v="1954572"/>
  </r>
  <r>
    <x v="0"/>
    <x v="3"/>
    <x v="3"/>
    <x v="1"/>
    <n v="1"/>
    <x v="1"/>
    <x v="3"/>
    <n v="461593"/>
  </r>
  <r>
    <x v="0"/>
    <x v="3"/>
    <x v="3"/>
    <x v="2"/>
    <n v="4"/>
    <x v="1"/>
    <x v="3"/>
    <n v="461593"/>
  </r>
  <r>
    <x v="0"/>
    <x v="3"/>
    <x v="3"/>
    <x v="3"/>
    <n v="80"/>
    <x v="1"/>
    <x v="3"/>
    <n v="461593"/>
  </r>
  <r>
    <x v="1"/>
    <x v="3"/>
    <x v="3"/>
    <x v="3"/>
    <n v="67"/>
    <x v="1"/>
    <x v="3"/>
    <n v="461593"/>
  </r>
  <r>
    <x v="1"/>
    <x v="3"/>
    <x v="3"/>
    <x v="2"/>
    <n v="4"/>
    <x v="1"/>
    <x v="3"/>
    <n v="461593"/>
  </r>
  <r>
    <x v="1"/>
    <x v="3"/>
    <x v="3"/>
    <x v="1"/>
    <n v="1"/>
    <x v="1"/>
    <x v="3"/>
    <n v="461593"/>
  </r>
  <r>
    <x v="2"/>
    <x v="3"/>
    <x v="3"/>
    <x v="3"/>
    <n v="1"/>
    <x v="1"/>
    <x v="3"/>
    <n v="461593"/>
  </r>
  <r>
    <x v="0"/>
    <x v="3"/>
    <x v="3"/>
    <x v="0"/>
    <n v="1"/>
    <x v="1"/>
    <x v="3"/>
    <n v="461593"/>
  </r>
  <r>
    <x v="1"/>
    <x v="3"/>
    <x v="3"/>
    <x v="0"/>
    <n v="1"/>
    <x v="1"/>
    <x v="3"/>
    <n v="461593"/>
  </r>
  <r>
    <x v="0"/>
    <x v="4"/>
    <x v="3"/>
    <x v="0"/>
    <n v="1"/>
    <x v="2"/>
    <x v="3"/>
    <n v="463037"/>
  </r>
  <r>
    <x v="2"/>
    <x v="4"/>
    <x v="3"/>
    <x v="3"/>
    <n v="1"/>
    <x v="2"/>
    <x v="3"/>
    <n v="463037"/>
  </r>
  <r>
    <x v="1"/>
    <x v="4"/>
    <x v="3"/>
    <x v="1"/>
    <n v="3"/>
    <x v="2"/>
    <x v="3"/>
    <n v="463037"/>
  </r>
  <r>
    <x v="0"/>
    <x v="4"/>
    <x v="3"/>
    <x v="1"/>
    <n v="3"/>
    <x v="2"/>
    <x v="3"/>
    <n v="463037"/>
  </r>
  <r>
    <x v="0"/>
    <x v="4"/>
    <x v="3"/>
    <x v="2"/>
    <n v="1"/>
    <x v="2"/>
    <x v="3"/>
    <n v="463037"/>
  </r>
  <r>
    <x v="1"/>
    <x v="4"/>
    <x v="3"/>
    <x v="3"/>
    <n v="66"/>
    <x v="2"/>
    <x v="3"/>
    <n v="463037"/>
  </r>
  <r>
    <x v="0"/>
    <x v="4"/>
    <x v="3"/>
    <x v="3"/>
    <n v="75"/>
    <x v="2"/>
    <x v="3"/>
    <n v="463037"/>
  </r>
  <r>
    <x v="1"/>
    <x v="4"/>
    <x v="3"/>
    <x v="2"/>
    <n v="1"/>
    <x v="2"/>
    <x v="3"/>
    <n v="463037"/>
  </r>
  <r>
    <x v="1"/>
    <x v="4"/>
    <x v="3"/>
    <x v="0"/>
    <n v="1"/>
    <x v="2"/>
    <x v="3"/>
    <n v="463037"/>
  </r>
  <r>
    <x v="0"/>
    <x v="0"/>
    <x v="3"/>
    <x v="2"/>
    <n v="6"/>
    <x v="3"/>
    <x v="3"/>
    <n v="463205"/>
  </r>
  <r>
    <x v="1"/>
    <x v="0"/>
    <x v="3"/>
    <x v="0"/>
    <n v="4"/>
    <x v="3"/>
    <x v="3"/>
    <n v="463205"/>
  </r>
  <r>
    <x v="1"/>
    <x v="0"/>
    <x v="3"/>
    <x v="2"/>
    <n v="6"/>
    <x v="3"/>
    <x v="3"/>
    <n v="463205"/>
  </r>
  <r>
    <x v="0"/>
    <x v="0"/>
    <x v="3"/>
    <x v="3"/>
    <n v="34"/>
    <x v="3"/>
    <x v="3"/>
    <n v="463205"/>
  </r>
  <r>
    <x v="0"/>
    <x v="0"/>
    <x v="3"/>
    <x v="1"/>
    <n v="3"/>
    <x v="3"/>
    <x v="3"/>
    <n v="463205"/>
  </r>
  <r>
    <x v="0"/>
    <x v="0"/>
    <x v="3"/>
    <x v="0"/>
    <n v="4"/>
    <x v="3"/>
    <x v="3"/>
    <n v="463205"/>
  </r>
  <r>
    <x v="2"/>
    <x v="0"/>
    <x v="3"/>
    <x v="0"/>
    <n v="1"/>
    <x v="3"/>
    <x v="3"/>
    <n v="463205"/>
  </r>
  <r>
    <x v="1"/>
    <x v="0"/>
    <x v="3"/>
    <x v="3"/>
    <n v="27"/>
    <x v="3"/>
    <x v="3"/>
    <n v="463205"/>
  </r>
  <r>
    <x v="1"/>
    <x v="0"/>
    <x v="3"/>
    <x v="1"/>
    <n v="2"/>
    <x v="3"/>
    <x v="3"/>
    <n v="463205"/>
  </r>
  <r>
    <x v="2"/>
    <x v="0"/>
    <x v="3"/>
    <x v="3"/>
    <n v="1"/>
    <x v="3"/>
    <x v="3"/>
    <n v="463205"/>
  </r>
  <r>
    <x v="2"/>
    <x v="1"/>
    <x v="3"/>
    <x v="3"/>
    <n v="1"/>
    <x v="4"/>
    <x v="3"/>
    <n v="463264"/>
  </r>
  <r>
    <x v="1"/>
    <x v="1"/>
    <x v="3"/>
    <x v="2"/>
    <n v="7"/>
    <x v="4"/>
    <x v="3"/>
    <n v="463264"/>
  </r>
  <r>
    <x v="1"/>
    <x v="1"/>
    <x v="3"/>
    <x v="1"/>
    <n v="1"/>
    <x v="4"/>
    <x v="3"/>
    <n v="463264"/>
  </r>
  <r>
    <x v="0"/>
    <x v="1"/>
    <x v="3"/>
    <x v="1"/>
    <n v="1"/>
    <x v="4"/>
    <x v="3"/>
    <n v="463264"/>
  </r>
  <r>
    <x v="0"/>
    <x v="1"/>
    <x v="3"/>
    <x v="2"/>
    <n v="7"/>
    <x v="4"/>
    <x v="3"/>
    <n v="463264"/>
  </r>
  <r>
    <x v="0"/>
    <x v="1"/>
    <x v="3"/>
    <x v="3"/>
    <n v="57"/>
    <x v="4"/>
    <x v="3"/>
    <n v="463264"/>
  </r>
  <r>
    <x v="1"/>
    <x v="1"/>
    <x v="3"/>
    <x v="3"/>
    <n v="40"/>
    <x v="4"/>
    <x v="3"/>
    <n v="463264"/>
  </r>
  <r>
    <x v="1"/>
    <x v="5"/>
    <x v="3"/>
    <x v="1"/>
    <n v="2"/>
    <x v="5"/>
    <x v="3"/>
    <n v="465834"/>
  </r>
  <r>
    <x v="0"/>
    <x v="5"/>
    <x v="3"/>
    <x v="0"/>
    <n v="3"/>
    <x v="5"/>
    <x v="3"/>
    <n v="465834"/>
  </r>
  <r>
    <x v="1"/>
    <x v="5"/>
    <x v="3"/>
    <x v="0"/>
    <n v="1"/>
    <x v="5"/>
    <x v="3"/>
    <n v="465834"/>
  </r>
  <r>
    <x v="1"/>
    <x v="5"/>
    <x v="3"/>
    <x v="2"/>
    <n v="1"/>
    <x v="5"/>
    <x v="3"/>
    <n v="465834"/>
  </r>
  <r>
    <x v="1"/>
    <x v="5"/>
    <x v="3"/>
    <x v="3"/>
    <n v="43"/>
    <x v="5"/>
    <x v="3"/>
    <n v="465834"/>
  </r>
  <r>
    <x v="2"/>
    <x v="5"/>
    <x v="3"/>
    <x v="2"/>
    <n v="1"/>
    <x v="5"/>
    <x v="3"/>
    <n v="465834"/>
  </r>
  <r>
    <x v="2"/>
    <x v="5"/>
    <x v="3"/>
    <x v="3"/>
    <n v="1"/>
    <x v="5"/>
    <x v="3"/>
    <n v="465834"/>
  </r>
  <r>
    <x v="0"/>
    <x v="5"/>
    <x v="3"/>
    <x v="2"/>
    <n v="2"/>
    <x v="5"/>
    <x v="3"/>
    <n v="465834"/>
  </r>
  <r>
    <x v="0"/>
    <x v="5"/>
    <x v="3"/>
    <x v="3"/>
    <n v="58"/>
    <x v="5"/>
    <x v="3"/>
    <n v="465834"/>
  </r>
  <r>
    <x v="0"/>
    <x v="5"/>
    <x v="3"/>
    <x v="1"/>
    <n v="2"/>
    <x v="5"/>
    <x v="3"/>
    <n v="465834"/>
  </r>
  <r>
    <x v="1"/>
    <x v="2"/>
    <x v="3"/>
    <x v="2"/>
    <n v="5"/>
    <x v="6"/>
    <x v="3"/>
    <n v="467115"/>
  </r>
  <r>
    <x v="2"/>
    <x v="2"/>
    <x v="3"/>
    <x v="3"/>
    <n v="3"/>
    <x v="6"/>
    <x v="3"/>
    <n v="467115"/>
  </r>
  <r>
    <x v="0"/>
    <x v="2"/>
    <x v="3"/>
    <x v="2"/>
    <n v="10"/>
    <x v="6"/>
    <x v="3"/>
    <n v="467115"/>
  </r>
  <r>
    <x v="1"/>
    <x v="2"/>
    <x v="3"/>
    <x v="3"/>
    <n v="43"/>
    <x v="6"/>
    <x v="3"/>
    <n v="467115"/>
  </r>
  <r>
    <x v="0"/>
    <x v="2"/>
    <x v="3"/>
    <x v="1"/>
    <n v="5"/>
    <x v="6"/>
    <x v="3"/>
    <n v="467115"/>
  </r>
  <r>
    <x v="1"/>
    <x v="2"/>
    <x v="3"/>
    <x v="1"/>
    <n v="3"/>
    <x v="6"/>
    <x v="3"/>
    <n v="467115"/>
  </r>
  <r>
    <x v="0"/>
    <x v="2"/>
    <x v="3"/>
    <x v="3"/>
    <n v="54"/>
    <x v="6"/>
    <x v="3"/>
    <n v="467115"/>
  </r>
  <r>
    <x v="0"/>
    <x v="6"/>
    <x v="3"/>
    <x v="3"/>
    <n v="63"/>
    <x v="7"/>
    <x v="3"/>
    <n v="467717"/>
  </r>
  <r>
    <x v="1"/>
    <x v="6"/>
    <x v="3"/>
    <x v="1"/>
    <n v="1"/>
    <x v="7"/>
    <x v="3"/>
    <n v="467717"/>
  </r>
  <r>
    <x v="1"/>
    <x v="6"/>
    <x v="3"/>
    <x v="2"/>
    <n v="6"/>
    <x v="7"/>
    <x v="3"/>
    <n v="467717"/>
  </r>
  <r>
    <x v="1"/>
    <x v="6"/>
    <x v="3"/>
    <x v="3"/>
    <n v="49"/>
    <x v="7"/>
    <x v="3"/>
    <n v="467717"/>
  </r>
  <r>
    <x v="0"/>
    <x v="6"/>
    <x v="3"/>
    <x v="1"/>
    <n v="2"/>
    <x v="7"/>
    <x v="3"/>
    <n v="467717"/>
  </r>
  <r>
    <x v="1"/>
    <x v="6"/>
    <x v="3"/>
    <x v="0"/>
    <n v="4"/>
    <x v="7"/>
    <x v="3"/>
    <n v="467717"/>
  </r>
  <r>
    <x v="2"/>
    <x v="6"/>
    <x v="3"/>
    <x v="3"/>
    <n v="6"/>
    <x v="7"/>
    <x v="3"/>
    <n v="467717"/>
  </r>
  <r>
    <x v="0"/>
    <x v="6"/>
    <x v="3"/>
    <x v="0"/>
    <n v="4"/>
    <x v="7"/>
    <x v="3"/>
    <n v="467717"/>
  </r>
  <r>
    <x v="0"/>
    <x v="6"/>
    <x v="3"/>
    <x v="2"/>
    <n v="9"/>
    <x v="7"/>
    <x v="3"/>
    <n v="467717"/>
  </r>
  <r>
    <x v="1"/>
    <x v="7"/>
    <x v="3"/>
    <x v="0"/>
    <n v="3"/>
    <x v="8"/>
    <x v="3"/>
    <n v="468895"/>
  </r>
  <r>
    <x v="1"/>
    <x v="7"/>
    <x v="3"/>
    <x v="1"/>
    <n v="4"/>
    <x v="8"/>
    <x v="3"/>
    <n v="468895"/>
  </r>
  <r>
    <x v="0"/>
    <x v="7"/>
    <x v="3"/>
    <x v="0"/>
    <n v="3"/>
    <x v="8"/>
    <x v="3"/>
    <n v="468895"/>
  </r>
  <r>
    <x v="0"/>
    <x v="7"/>
    <x v="3"/>
    <x v="2"/>
    <n v="6"/>
    <x v="8"/>
    <x v="3"/>
    <n v="468895"/>
  </r>
  <r>
    <x v="1"/>
    <x v="7"/>
    <x v="3"/>
    <x v="2"/>
    <n v="6"/>
    <x v="8"/>
    <x v="3"/>
    <n v="468895"/>
  </r>
  <r>
    <x v="1"/>
    <x v="7"/>
    <x v="3"/>
    <x v="3"/>
    <n v="38"/>
    <x v="8"/>
    <x v="3"/>
    <n v="468895"/>
  </r>
  <r>
    <x v="2"/>
    <x v="7"/>
    <x v="3"/>
    <x v="3"/>
    <n v="1"/>
    <x v="8"/>
    <x v="3"/>
    <n v="468895"/>
  </r>
  <r>
    <x v="0"/>
    <x v="7"/>
    <x v="3"/>
    <x v="3"/>
    <n v="52"/>
    <x v="8"/>
    <x v="3"/>
    <n v="468895"/>
  </r>
  <r>
    <x v="2"/>
    <x v="7"/>
    <x v="3"/>
    <x v="1"/>
    <n v="1"/>
    <x v="8"/>
    <x v="3"/>
    <n v="468895"/>
  </r>
  <r>
    <x v="0"/>
    <x v="7"/>
    <x v="3"/>
    <x v="1"/>
    <n v="4"/>
    <x v="8"/>
    <x v="3"/>
    <n v="468895"/>
  </r>
  <r>
    <x v="2"/>
    <x v="8"/>
    <x v="3"/>
    <x v="3"/>
    <n v="7"/>
    <x v="9"/>
    <x v="3"/>
    <n v="468634"/>
  </r>
  <r>
    <x v="0"/>
    <x v="8"/>
    <x v="3"/>
    <x v="0"/>
    <n v="6"/>
    <x v="9"/>
    <x v="3"/>
    <n v="468634"/>
  </r>
  <r>
    <x v="0"/>
    <x v="8"/>
    <x v="3"/>
    <x v="1"/>
    <n v="2"/>
    <x v="9"/>
    <x v="3"/>
    <n v="468634"/>
  </r>
  <r>
    <x v="0"/>
    <x v="8"/>
    <x v="3"/>
    <x v="2"/>
    <n v="3"/>
    <x v="9"/>
    <x v="3"/>
    <n v="468634"/>
  </r>
  <r>
    <x v="1"/>
    <x v="8"/>
    <x v="3"/>
    <x v="1"/>
    <n v="2"/>
    <x v="9"/>
    <x v="3"/>
    <n v="468634"/>
  </r>
  <r>
    <x v="0"/>
    <x v="8"/>
    <x v="3"/>
    <x v="3"/>
    <n v="114"/>
    <x v="9"/>
    <x v="3"/>
    <n v="468634"/>
  </r>
  <r>
    <x v="1"/>
    <x v="8"/>
    <x v="3"/>
    <x v="0"/>
    <n v="4"/>
    <x v="9"/>
    <x v="3"/>
    <n v="468634"/>
  </r>
  <r>
    <x v="1"/>
    <x v="8"/>
    <x v="3"/>
    <x v="3"/>
    <n v="67"/>
    <x v="9"/>
    <x v="3"/>
    <n v="468634"/>
  </r>
  <r>
    <x v="1"/>
    <x v="8"/>
    <x v="3"/>
    <x v="2"/>
    <n v="1"/>
    <x v="9"/>
    <x v="3"/>
    <n v="468634"/>
  </r>
  <r>
    <x v="1"/>
    <x v="3"/>
    <x v="4"/>
    <x v="2"/>
    <n v="3"/>
    <x v="1"/>
    <x v="4"/>
    <n v="193502"/>
  </r>
  <r>
    <x v="1"/>
    <x v="3"/>
    <x v="4"/>
    <x v="1"/>
    <n v="2"/>
    <x v="1"/>
    <x v="4"/>
    <n v="193502"/>
  </r>
  <r>
    <x v="1"/>
    <x v="3"/>
    <x v="4"/>
    <x v="0"/>
    <n v="1"/>
    <x v="1"/>
    <x v="4"/>
    <n v="193502"/>
  </r>
  <r>
    <x v="2"/>
    <x v="3"/>
    <x v="4"/>
    <x v="3"/>
    <n v="1"/>
    <x v="1"/>
    <x v="4"/>
    <n v="193502"/>
  </r>
  <r>
    <x v="0"/>
    <x v="3"/>
    <x v="4"/>
    <x v="3"/>
    <n v="21"/>
    <x v="1"/>
    <x v="4"/>
    <n v="193502"/>
  </r>
  <r>
    <x v="0"/>
    <x v="3"/>
    <x v="4"/>
    <x v="0"/>
    <n v="1"/>
    <x v="1"/>
    <x v="4"/>
    <n v="193502"/>
  </r>
  <r>
    <x v="0"/>
    <x v="3"/>
    <x v="4"/>
    <x v="1"/>
    <n v="2"/>
    <x v="1"/>
    <x v="4"/>
    <n v="193502"/>
  </r>
  <r>
    <x v="0"/>
    <x v="3"/>
    <x v="4"/>
    <x v="2"/>
    <n v="3"/>
    <x v="1"/>
    <x v="4"/>
    <n v="193502"/>
  </r>
  <r>
    <x v="1"/>
    <x v="3"/>
    <x v="4"/>
    <x v="3"/>
    <n v="17"/>
    <x v="1"/>
    <x v="4"/>
    <n v="193502"/>
  </r>
  <r>
    <x v="1"/>
    <x v="4"/>
    <x v="4"/>
    <x v="0"/>
    <n v="1"/>
    <x v="2"/>
    <x v="4"/>
    <n v="193081"/>
  </r>
  <r>
    <x v="1"/>
    <x v="4"/>
    <x v="4"/>
    <x v="3"/>
    <n v="39"/>
    <x v="2"/>
    <x v="4"/>
    <n v="193081"/>
  </r>
  <r>
    <x v="1"/>
    <x v="4"/>
    <x v="4"/>
    <x v="2"/>
    <n v="1"/>
    <x v="2"/>
    <x v="4"/>
    <n v="193081"/>
  </r>
  <r>
    <x v="0"/>
    <x v="4"/>
    <x v="4"/>
    <x v="3"/>
    <n v="43"/>
    <x v="2"/>
    <x v="4"/>
    <n v="193081"/>
  </r>
  <r>
    <x v="0"/>
    <x v="4"/>
    <x v="4"/>
    <x v="2"/>
    <n v="1"/>
    <x v="2"/>
    <x v="4"/>
    <n v="193081"/>
  </r>
  <r>
    <x v="0"/>
    <x v="4"/>
    <x v="4"/>
    <x v="0"/>
    <n v="1"/>
    <x v="2"/>
    <x v="4"/>
    <n v="193081"/>
  </r>
  <r>
    <x v="0"/>
    <x v="0"/>
    <x v="4"/>
    <x v="2"/>
    <n v="5"/>
    <x v="3"/>
    <x v="4"/>
    <n v="192400"/>
  </r>
  <r>
    <x v="1"/>
    <x v="0"/>
    <x v="4"/>
    <x v="2"/>
    <n v="1"/>
    <x v="3"/>
    <x v="4"/>
    <n v="192400"/>
  </r>
  <r>
    <x v="1"/>
    <x v="0"/>
    <x v="4"/>
    <x v="3"/>
    <n v="34"/>
    <x v="3"/>
    <x v="4"/>
    <n v="192400"/>
  </r>
  <r>
    <x v="0"/>
    <x v="0"/>
    <x v="4"/>
    <x v="3"/>
    <n v="39"/>
    <x v="3"/>
    <x v="4"/>
    <n v="192400"/>
  </r>
  <r>
    <x v="2"/>
    <x v="0"/>
    <x v="4"/>
    <x v="3"/>
    <n v="1"/>
    <x v="3"/>
    <x v="4"/>
    <n v="192400"/>
  </r>
  <r>
    <x v="1"/>
    <x v="1"/>
    <x v="4"/>
    <x v="3"/>
    <n v="17"/>
    <x v="4"/>
    <x v="4"/>
    <n v="192266"/>
  </r>
  <r>
    <x v="1"/>
    <x v="1"/>
    <x v="4"/>
    <x v="2"/>
    <n v="2"/>
    <x v="4"/>
    <x v="4"/>
    <n v="192266"/>
  </r>
  <r>
    <x v="0"/>
    <x v="1"/>
    <x v="4"/>
    <x v="3"/>
    <n v="29"/>
    <x v="4"/>
    <x v="4"/>
    <n v="192266"/>
  </r>
  <r>
    <x v="0"/>
    <x v="1"/>
    <x v="4"/>
    <x v="2"/>
    <n v="2"/>
    <x v="4"/>
    <x v="4"/>
    <n v="192266"/>
  </r>
  <r>
    <x v="2"/>
    <x v="1"/>
    <x v="4"/>
    <x v="3"/>
    <n v="2"/>
    <x v="4"/>
    <x v="4"/>
    <n v="192266"/>
  </r>
  <r>
    <x v="0"/>
    <x v="5"/>
    <x v="4"/>
    <x v="2"/>
    <n v="4"/>
    <x v="5"/>
    <x v="4"/>
    <n v="192175"/>
  </r>
  <r>
    <x v="0"/>
    <x v="5"/>
    <x v="4"/>
    <x v="3"/>
    <n v="32"/>
    <x v="5"/>
    <x v="4"/>
    <n v="192175"/>
  </r>
  <r>
    <x v="1"/>
    <x v="5"/>
    <x v="4"/>
    <x v="2"/>
    <n v="4"/>
    <x v="5"/>
    <x v="4"/>
    <n v="192175"/>
  </r>
  <r>
    <x v="1"/>
    <x v="5"/>
    <x v="4"/>
    <x v="3"/>
    <n v="21"/>
    <x v="5"/>
    <x v="4"/>
    <n v="192175"/>
  </r>
  <r>
    <x v="0"/>
    <x v="2"/>
    <x v="4"/>
    <x v="1"/>
    <n v="2"/>
    <x v="6"/>
    <x v="4"/>
    <n v="191497"/>
  </r>
  <r>
    <x v="1"/>
    <x v="2"/>
    <x v="4"/>
    <x v="2"/>
    <n v="1"/>
    <x v="6"/>
    <x v="4"/>
    <n v="191497"/>
  </r>
  <r>
    <x v="0"/>
    <x v="2"/>
    <x v="4"/>
    <x v="3"/>
    <n v="24"/>
    <x v="6"/>
    <x v="4"/>
    <n v="191497"/>
  </r>
  <r>
    <x v="0"/>
    <x v="2"/>
    <x v="4"/>
    <x v="2"/>
    <n v="1"/>
    <x v="6"/>
    <x v="4"/>
    <n v="191497"/>
  </r>
  <r>
    <x v="2"/>
    <x v="2"/>
    <x v="4"/>
    <x v="0"/>
    <n v="1"/>
    <x v="6"/>
    <x v="4"/>
    <n v="191497"/>
  </r>
  <r>
    <x v="2"/>
    <x v="2"/>
    <x v="4"/>
    <x v="3"/>
    <n v="4"/>
    <x v="6"/>
    <x v="4"/>
    <n v="191497"/>
  </r>
  <r>
    <x v="1"/>
    <x v="2"/>
    <x v="4"/>
    <x v="3"/>
    <n v="16"/>
    <x v="6"/>
    <x v="4"/>
    <n v="191497"/>
  </r>
  <r>
    <x v="2"/>
    <x v="6"/>
    <x v="4"/>
    <x v="3"/>
    <n v="4"/>
    <x v="7"/>
    <x v="4"/>
    <n v="191207"/>
  </r>
  <r>
    <x v="0"/>
    <x v="6"/>
    <x v="4"/>
    <x v="1"/>
    <n v="1"/>
    <x v="7"/>
    <x v="4"/>
    <n v="191207"/>
  </r>
  <r>
    <x v="0"/>
    <x v="6"/>
    <x v="4"/>
    <x v="2"/>
    <n v="1"/>
    <x v="7"/>
    <x v="4"/>
    <n v="191207"/>
  </r>
  <r>
    <x v="1"/>
    <x v="6"/>
    <x v="4"/>
    <x v="0"/>
    <n v="1"/>
    <x v="7"/>
    <x v="4"/>
    <n v="191207"/>
  </r>
  <r>
    <x v="0"/>
    <x v="6"/>
    <x v="4"/>
    <x v="3"/>
    <n v="28"/>
    <x v="7"/>
    <x v="4"/>
    <n v="191207"/>
  </r>
  <r>
    <x v="1"/>
    <x v="6"/>
    <x v="4"/>
    <x v="3"/>
    <n v="25"/>
    <x v="7"/>
    <x v="4"/>
    <n v="191207"/>
  </r>
  <r>
    <x v="1"/>
    <x v="6"/>
    <x v="4"/>
    <x v="2"/>
    <n v="1"/>
    <x v="7"/>
    <x v="4"/>
    <n v="191207"/>
  </r>
  <r>
    <x v="0"/>
    <x v="6"/>
    <x v="4"/>
    <x v="0"/>
    <n v="1"/>
    <x v="7"/>
    <x v="4"/>
    <n v="191207"/>
  </r>
  <r>
    <x v="1"/>
    <x v="6"/>
    <x v="4"/>
    <x v="1"/>
    <n v="1"/>
    <x v="7"/>
    <x v="4"/>
    <n v="191207"/>
  </r>
  <r>
    <x v="1"/>
    <x v="7"/>
    <x v="4"/>
    <x v="2"/>
    <n v="2"/>
    <x v="8"/>
    <x v="4"/>
    <n v="191028"/>
  </r>
  <r>
    <x v="1"/>
    <x v="7"/>
    <x v="4"/>
    <x v="3"/>
    <n v="21"/>
    <x v="8"/>
    <x v="4"/>
    <n v="191028"/>
  </r>
  <r>
    <x v="2"/>
    <x v="7"/>
    <x v="4"/>
    <x v="3"/>
    <n v="1"/>
    <x v="8"/>
    <x v="4"/>
    <n v="191028"/>
  </r>
  <r>
    <x v="0"/>
    <x v="7"/>
    <x v="4"/>
    <x v="2"/>
    <n v="3"/>
    <x v="8"/>
    <x v="4"/>
    <n v="191028"/>
  </r>
  <r>
    <x v="0"/>
    <x v="7"/>
    <x v="4"/>
    <x v="1"/>
    <n v="2"/>
    <x v="8"/>
    <x v="4"/>
    <n v="191028"/>
  </r>
  <r>
    <x v="0"/>
    <x v="7"/>
    <x v="4"/>
    <x v="3"/>
    <n v="27"/>
    <x v="8"/>
    <x v="4"/>
    <n v="191028"/>
  </r>
  <r>
    <x v="1"/>
    <x v="7"/>
    <x v="4"/>
    <x v="1"/>
    <n v="2"/>
    <x v="8"/>
    <x v="4"/>
    <n v="191028"/>
  </r>
  <r>
    <x v="1"/>
    <x v="8"/>
    <x v="4"/>
    <x v="2"/>
    <n v="8"/>
    <x v="9"/>
    <x v="4"/>
    <n v="189997"/>
  </r>
  <r>
    <x v="1"/>
    <x v="8"/>
    <x v="4"/>
    <x v="3"/>
    <n v="27"/>
    <x v="9"/>
    <x v="4"/>
    <n v="189997"/>
  </r>
  <r>
    <x v="0"/>
    <x v="8"/>
    <x v="4"/>
    <x v="0"/>
    <n v="1"/>
    <x v="9"/>
    <x v="4"/>
    <n v="189997"/>
  </r>
  <r>
    <x v="1"/>
    <x v="8"/>
    <x v="4"/>
    <x v="0"/>
    <n v="1"/>
    <x v="9"/>
    <x v="4"/>
    <n v="189997"/>
  </r>
  <r>
    <x v="0"/>
    <x v="8"/>
    <x v="4"/>
    <x v="2"/>
    <n v="8"/>
    <x v="9"/>
    <x v="4"/>
    <n v="189997"/>
  </r>
  <r>
    <x v="0"/>
    <x v="8"/>
    <x v="4"/>
    <x v="3"/>
    <n v="39"/>
    <x v="9"/>
    <x v="4"/>
    <n v="189997"/>
  </r>
  <r>
    <x v="0"/>
    <x v="3"/>
    <x v="5"/>
    <x v="0"/>
    <n v="3"/>
    <x v="1"/>
    <x v="5"/>
    <n v="576605"/>
  </r>
  <r>
    <x v="0"/>
    <x v="3"/>
    <x v="5"/>
    <x v="2"/>
    <n v="8"/>
    <x v="1"/>
    <x v="5"/>
    <n v="576605"/>
  </r>
  <r>
    <x v="0"/>
    <x v="3"/>
    <x v="5"/>
    <x v="3"/>
    <n v="69"/>
    <x v="1"/>
    <x v="5"/>
    <n v="576605"/>
  </r>
  <r>
    <x v="1"/>
    <x v="3"/>
    <x v="5"/>
    <x v="1"/>
    <n v="19"/>
    <x v="1"/>
    <x v="5"/>
    <n v="576605"/>
  </r>
  <r>
    <x v="0"/>
    <x v="3"/>
    <x v="5"/>
    <x v="1"/>
    <n v="20"/>
    <x v="1"/>
    <x v="5"/>
    <n v="576605"/>
  </r>
  <r>
    <x v="1"/>
    <x v="3"/>
    <x v="5"/>
    <x v="2"/>
    <n v="4"/>
    <x v="1"/>
    <x v="5"/>
    <n v="576605"/>
  </r>
  <r>
    <x v="2"/>
    <x v="3"/>
    <x v="5"/>
    <x v="3"/>
    <n v="5"/>
    <x v="1"/>
    <x v="5"/>
    <n v="576605"/>
  </r>
  <r>
    <x v="1"/>
    <x v="3"/>
    <x v="5"/>
    <x v="0"/>
    <n v="3"/>
    <x v="1"/>
    <x v="5"/>
    <n v="576605"/>
  </r>
  <r>
    <x v="1"/>
    <x v="3"/>
    <x v="5"/>
    <x v="3"/>
    <n v="61"/>
    <x v="1"/>
    <x v="5"/>
    <n v="576605"/>
  </r>
  <r>
    <x v="2"/>
    <x v="3"/>
    <x v="5"/>
    <x v="1"/>
    <n v="2"/>
    <x v="1"/>
    <x v="5"/>
    <n v="576605"/>
  </r>
  <r>
    <x v="1"/>
    <x v="4"/>
    <x v="5"/>
    <x v="2"/>
    <n v="11"/>
    <x v="2"/>
    <x v="5"/>
    <n v="580159"/>
  </r>
  <r>
    <x v="0"/>
    <x v="4"/>
    <x v="5"/>
    <x v="3"/>
    <n v="72"/>
    <x v="2"/>
    <x v="5"/>
    <n v="580159"/>
  </r>
  <r>
    <x v="1"/>
    <x v="4"/>
    <x v="5"/>
    <x v="1"/>
    <n v="25"/>
    <x v="2"/>
    <x v="5"/>
    <n v="580159"/>
  </r>
  <r>
    <x v="0"/>
    <x v="4"/>
    <x v="5"/>
    <x v="0"/>
    <n v="8"/>
    <x v="2"/>
    <x v="5"/>
    <n v="580159"/>
  </r>
  <r>
    <x v="0"/>
    <x v="4"/>
    <x v="5"/>
    <x v="1"/>
    <n v="25"/>
    <x v="2"/>
    <x v="5"/>
    <n v="580159"/>
  </r>
  <r>
    <x v="2"/>
    <x v="4"/>
    <x v="5"/>
    <x v="3"/>
    <n v="5"/>
    <x v="2"/>
    <x v="5"/>
    <n v="580159"/>
  </r>
  <r>
    <x v="1"/>
    <x v="4"/>
    <x v="5"/>
    <x v="3"/>
    <n v="62"/>
    <x v="2"/>
    <x v="5"/>
    <n v="580159"/>
  </r>
  <r>
    <x v="1"/>
    <x v="4"/>
    <x v="5"/>
    <x v="0"/>
    <n v="5"/>
    <x v="2"/>
    <x v="5"/>
    <n v="580159"/>
  </r>
  <r>
    <x v="0"/>
    <x v="4"/>
    <x v="5"/>
    <x v="2"/>
    <n v="11"/>
    <x v="2"/>
    <x v="5"/>
    <n v="580159"/>
  </r>
  <r>
    <x v="2"/>
    <x v="4"/>
    <x v="5"/>
    <x v="1"/>
    <n v="1"/>
    <x v="2"/>
    <x v="5"/>
    <n v="580159"/>
  </r>
  <r>
    <x v="1"/>
    <x v="0"/>
    <x v="5"/>
    <x v="3"/>
    <n v="42"/>
    <x v="3"/>
    <x v="5"/>
    <n v="585566"/>
  </r>
  <r>
    <x v="1"/>
    <x v="0"/>
    <x v="5"/>
    <x v="0"/>
    <n v="1"/>
    <x v="3"/>
    <x v="5"/>
    <n v="585566"/>
  </r>
  <r>
    <x v="2"/>
    <x v="0"/>
    <x v="5"/>
    <x v="3"/>
    <n v="4"/>
    <x v="3"/>
    <x v="5"/>
    <n v="585566"/>
  </r>
  <r>
    <x v="2"/>
    <x v="0"/>
    <x v="5"/>
    <x v="1"/>
    <n v="1"/>
    <x v="3"/>
    <x v="5"/>
    <n v="585566"/>
  </r>
  <r>
    <x v="2"/>
    <x v="0"/>
    <x v="5"/>
    <x v="0"/>
    <n v="1"/>
    <x v="3"/>
    <x v="5"/>
    <n v="585566"/>
  </r>
  <r>
    <x v="0"/>
    <x v="0"/>
    <x v="5"/>
    <x v="0"/>
    <n v="1"/>
    <x v="3"/>
    <x v="5"/>
    <n v="585566"/>
  </r>
  <r>
    <x v="0"/>
    <x v="0"/>
    <x v="5"/>
    <x v="1"/>
    <n v="10"/>
    <x v="3"/>
    <x v="5"/>
    <n v="585566"/>
  </r>
  <r>
    <x v="0"/>
    <x v="0"/>
    <x v="5"/>
    <x v="2"/>
    <n v="11"/>
    <x v="3"/>
    <x v="5"/>
    <n v="585566"/>
  </r>
  <r>
    <x v="0"/>
    <x v="0"/>
    <x v="5"/>
    <x v="3"/>
    <n v="49"/>
    <x v="3"/>
    <x v="5"/>
    <n v="585566"/>
  </r>
  <r>
    <x v="1"/>
    <x v="0"/>
    <x v="5"/>
    <x v="2"/>
    <n v="11"/>
    <x v="3"/>
    <x v="5"/>
    <n v="585566"/>
  </r>
  <r>
    <x v="1"/>
    <x v="0"/>
    <x v="5"/>
    <x v="1"/>
    <n v="10"/>
    <x v="3"/>
    <x v="5"/>
    <n v="585566"/>
  </r>
  <r>
    <x v="0"/>
    <x v="1"/>
    <x v="5"/>
    <x v="0"/>
    <n v="5"/>
    <x v="4"/>
    <x v="5"/>
    <n v="591482"/>
  </r>
  <r>
    <x v="0"/>
    <x v="1"/>
    <x v="5"/>
    <x v="1"/>
    <n v="20"/>
    <x v="4"/>
    <x v="5"/>
    <n v="591482"/>
  </r>
  <r>
    <x v="0"/>
    <x v="1"/>
    <x v="5"/>
    <x v="2"/>
    <n v="17"/>
    <x v="4"/>
    <x v="5"/>
    <n v="591482"/>
  </r>
  <r>
    <x v="0"/>
    <x v="1"/>
    <x v="5"/>
    <x v="3"/>
    <n v="51"/>
    <x v="4"/>
    <x v="5"/>
    <n v="591482"/>
  </r>
  <r>
    <x v="1"/>
    <x v="1"/>
    <x v="5"/>
    <x v="2"/>
    <n v="16"/>
    <x v="4"/>
    <x v="5"/>
    <n v="591482"/>
  </r>
  <r>
    <x v="1"/>
    <x v="1"/>
    <x v="5"/>
    <x v="1"/>
    <n v="19"/>
    <x v="4"/>
    <x v="5"/>
    <n v="591482"/>
  </r>
  <r>
    <x v="1"/>
    <x v="1"/>
    <x v="5"/>
    <x v="0"/>
    <n v="5"/>
    <x v="4"/>
    <x v="5"/>
    <n v="591482"/>
  </r>
  <r>
    <x v="2"/>
    <x v="1"/>
    <x v="5"/>
    <x v="1"/>
    <n v="2"/>
    <x v="4"/>
    <x v="5"/>
    <n v="591482"/>
  </r>
  <r>
    <x v="2"/>
    <x v="1"/>
    <x v="5"/>
    <x v="2"/>
    <n v="1"/>
    <x v="4"/>
    <x v="5"/>
    <n v="591482"/>
  </r>
  <r>
    <x v="2"/>
    <x v="1"/>
    <x v="5"/>
    <x v="3"/>
    <n v="3"/>
    <x v="4"/>
    <x v="5"/>
    <n v="591482"/>
  </r>
  <r>
    <x v="1"/>
    <x v="1"/>
    <x v="5"/>
    <x v="3"/>
    <n v="46"/>
    <x v="4"/>
    <x v="5"/>
    <n v="591482"/>
  </r>
  <r>
    <x v="1"/>
    <x v="5"/>
    <x v="5"/>
    <x v="0"/>
    <n v="4"/>
    <x v="5"/>
    <x v="5"/>
    <n v="598082"/>
  </r>
  <r>
    <x v="2"/>
    <x v="5"/>
    <x v="5"/>
    <x v="1"/>
    <n v="3"/>
    <x v="5"/>
    <x v="5"/>
    <n v="598082"/>
  </r>
  <r>
    <x v="1"/>
    <x v="5"/>
    <x v="5"/>
    <x v="3"/>
    <n v="47"/>
    <x v="5"/>
    <x v="5"/>
    <n v="598082"/>
  </r>
  <r>
    <x v="1"/>
    <x v="5"/>
    <x v="5"/>
    <x v="2"/>
    <n v="8"/>
    <x v="5"/>
    <x v="5"/>
    <n v="598082"/>
  </r>
  <r>
    <x v="1"/>
    <x v="5"/>
    <x v="5"/>
    <x v="1"/>
    <n v="17"/>
    <x v="5"/>
    <x v="5"/>
    <n v="598082"/>
  </r>
  <r>
    <x v="2"/>
    <x v="5"/>
    <x v="5"/>
    <x v="3"/>
    <n v="3"/>
    <x v="5"/>
    <x v="5"/>
    <n v="598082"/>
  </r>
  <r>
    <x v="0"/>
    <x v="5"/>
    <x v="5"/>
    <x v="3"/>
    <n v="54"/>
    <x v="5"/>
    <x v="5"/>
    <n v="598082"/>
  </r>
  <r>
    <x v="0"/>
    <x v="5"/>
    <x v="5"/>
    <x v="2"/>
    <n v="10"/>
    <x v="5"/>
    <x v="5"/>
    <n v="598082"/>
  </r>
  <r>
    <x v="0"/>
    <x v="5"/>
    <x v="5"/>
    <x v="1"/>
    <n v="19"/>
    <x v="5"/>
    <x v="5"/>
    <n v="598082"/>
  </r>
  <r>
    <x v="0"/>
    <x v="5"/>
    <x v="5"/>
    <x v="0"/>
    <n v="4"/>
    <x v="5"/>
    <x v="5"/>
    <n v="598082"/>
  </r>
  <r>
    <x v="0"/>
    <x v="2"/>
    <x v="5"/>
    <x v="0"/>
    <n v="6"/>
    <x v="6"/>
    <x v="5"/>
    <n v="603678"/>
  </r>
  <r>
    <x v="2"/>
    <x v="2"/>
    <x v="5"/>
    <x v="1"/>
    <n v="1"/>
    <x v="6"/>
    <x v="5"/>
    <n v="603678"/>
  </r>
  <r>
    <x v="2"/>
    <x v="2"/>
    <x v="5"/>
    <x v="3"/>
    <n v="4"/>
    <x v="6"/>
    <x v="5"/>
    <n v="603678"/>
  </r>
  <r>
    <x v="0"/>
    <x v="2"/>
    <x v="5"/>
    <x v="3"/>
    <n v="49"/>
    <x v="6"/>
    <x v="5"/>
    <n v="603678"/>
  </r>
  <r>
    <x v="0"/>
    <x v="2"/>
    <x v="5"/>
    <x v="1"/>
    <n v="19"/>
    <x v="6"/>
    <x v="5"/>
    <n v="603678"/>
  </r>
  <r>
    <x v="1"/>
    <x v="2"/>
    <x v="5"/>
    <x v="2"/>
    <n v="11"/>
    <x v="6"/>
    <x v="5"/>
    <n v="603678"/>
  </r>
  <r>
    <x v="1"/>
    <x v="2"/>
    <x v="5"/>
    <x v="1"/>
    <n v="15"/>
    <x v="6"/>
    <x v="5"/>
    <n v="603678"/>
  </r>
  <r>
    <x v="1"/>
    <x v="2"/>
    <x v="5"/>
    <x v="0"/>
    <n v="4"/>
    <x v="6"/>
    <x v="5"/>
    <n v="603678"/>
  </r>
  <r>
    <x v="0"/>
    <x v="2"/>
    <x v="5"/>
    <x v="2"/>
    <n v="12"/>
    <x v="6"/>
    <x v="5"/>
    <n v="603678"/>
  </r>
  <r>
    <x v="1"/>
    <x v="2"/>
    <x v="5"/>
    <x v="3"/>
    <n v="43"/>
    <x v="6"/>
    <x v="5"/>
    <n v="603678"/>
  </r>
  <r>
    <x v="0"/>
    <x v="6"/>
    <x v="5"/>
    <x v="0"/>
    <n v="5"/>
    <x v="7"/>
    <x v="5"/>
    <n v="608611"/>
  </r>
  <r>
    <x v="1"/>
    <x v="6"/>
    <x v="5"/>
    <x v="1"/>
    <n v="12"/>
    <x v="7"/>
    <x v="5"/>
    <n v="608611"/>
  </r>
  <r>
    <x v="1"/>
    <x v="6"/>
    <x v="5"/>
    <x v="3"/>
    <n v="34"/>
    <x v="7"/>
    <x v="5"/>
    <n v="608611"/>
  </r>
  <r>
    <x v="1"/>
    <x v="6"/>
    <x v="5"/>
    <x v="2"/>
    <n v="8"/>
    <x v="7"/>
    <x v="5"/>
    <n v="608611"/>
  </r>
  <r>
    <x v="0"/>
    <x v="6"/>
    <x v="5"/>
    <x v="3"/>
    <n v="42"/>
    <x v="7"/>
    <x v="5"/>
    <n v="608611"/>
  </r>
  <r>
    <x v="2"/>
    <x v="6"/>
    <x v="5"/>
    <x v="3"/>
    <n v="6"/>
    <x v="7"/>
    <x v="5"/>
    <n v="608611"/>
  </r>
  <r>
    <x v="2"/>
    <x v="6"/>
    <x v="5"/>
    <x v="2"/>
    <n v="1"/>
    <x v="7"/>
    <x v="5"/>
    <n v="608611"/>
  </r>
  <r>
    <x v="0"/>
    <x v="6"/>
    <x v="5"/>
    <x v="2"/>
    <n v="12"/>
    <x v="7"/>
    <x v="5"/>
    <n v="608611"/>
  </r>
  <r>
    <x v="0"/>
    <x v="6"/>
    <x v="5"/>
    <x v="1"/>
    <n v="12"/>
    <x v="7"/>
    <x v="5"/>
    <n v="608611"/>
  </r>
  <r>
    <x v="1"/>
    <x v="6"/>
    <x v="5"/>
    <x v="0"/>
    <n v="5"/>
    <x v="7"/>
    <x v="5"/>
    <n v="608611"/>
  </r>
  <r>
    <x v="1"/>
    <x v="7"/>
    <x v="5"/>
    <x v="2"/>
    <n v="17"/>
    <x v="8"/>
    <x v="5"/>
    <n v="616536"/>
  </r>
  <r>
    <x v="0"/>
    <x v="7"/>
    <x v="5"/>
    <x v="0"/>
    <n v="6"/>
    <x v="8"/>
    <x v="5"/>
    <n v="616536"/>
  </r>
  <r>
    <x v="0"/>
    <x v="7"/>
    <x v="5"/>
    <x v="1"/>
    <n v="5"/>
    <x v="8"/>
    <x v="5"/>
    <n v="616536"/>
  </r>
  <r>
    <x v="0"/>
    <x v="7"/>
    <x v="5"/>
    <x v="2"/>
    <n v="17"/>
    <x v="8"/>
    <x v="5"/>
    <n v="616536"/>
  </r>
  <r>
    <x v="2"/>
    <x v="7"/>
    <x v="5"/>
    <x v="2"/>
    <n v="1"/>
    <x v="8"/>
    <x v="5"/>
    <n v="616536"/>
  </r>
  <r>
    <x v="1"/>
    <x v="7"/>
    <x v="5"/>
    <x v="3"/>
    <n v="41"/>
    <x v="8"/>
    <x v="5"/>
    <n v="616536"/>
  </r>
  <r>
    <x v="2"/>
    <x v="7"/>
    <x v="5"/>
    <x v="1"/>
    <n v="1"/>
    <x v="8"/>
    <x v="5"/>
    <n v="616536"/>
  </r>
  <r>
    <x v="1"/>
    <x v="7"/>
    <x v="5"/>
    <x v="1"/>
    <n v="4"/>
    <x v="8"/>
    <x v="5"/>
    <n v="616536"/>
  </r>
  <r>
    <x v="1"/>
    <x v="7"/>
    <x v="5"/>
    <x v="0"/>
    <n v="6"/>
    <x v="8"/>
    <x v="5"/>
    <n v="616536"/>
  </r>
  <r>
    <x v="2"/>
    <x v="7"/>
    <x v="5"/>
    <x v="3"/>
    <n v="3"/>
    <x v="8"/>
    <x v="5"/>
    <n v="616536"/>
  </r>
  <r>
    <x v="0"/>
    <x v="7"/>
    <x v="5"/>
    <x v="3"/>
    <n v="52"/>
    <x v="8"/>
    <x v="5"/>
    <n v="616536"/>
  </r>
  <r>
    <x v="2"/>
    <x v="8"/>
    <x v="5"/>
    <x v="1"/>
    <n v="2"/>
    <x v="9"/>
    <x v="5"/>
    <n v="623257"/>
  </r>
  <r>
    <x v="2"/>
    <x v="8"/>
    <x v="5"/>
    <x v="0"/>
    <n v="1"/>
    <x v="9"/>
    <x v="5"/>
    <n v="623257"/>
  </r>
  <r>
    <x v="2"/>
    <x v="8"/>
    <x v="5"/>
    <x v="3"/>
    <n v="7"/>
    <x v="9"/>
    <x v="5"/>
    <n v="623257"/>
  </r>
  <r>
    <x v="0"/>
    <x v="8"/>
    <x v="5"/>
    <x v="0"/>
    <n v="19"/>
    <x v="9"/>
    <x v="5"/>
    <n v="623257"/>
  </r>
  <r>
    <x v="1"/>
    <x v="8"/>
    <x v="5"/>
    <x v="2"/>
    <n v="14"/>
    <x v="9"/>
    <x v="5"/>
    <n v="623257"/>
  </r>
  <r>
    <x v="0"/>
    <x v="8"/>
    <x v="5"/>
    <x v="3"/>
    <n v="48"/>
    <x v="9"/>
    <x v="5"/>
    <n v="623257"/>
  </r>
  <r>
    <x v="0"/>
    <x v="8"/>
    <x v="5"/>
    <x v="1"/>
    <n v="11"/>
    <x v="9"/>
    <x v="5"/>
    <n v="623257"/>
  </r>
  <r>
    <x v="1"/>
    <x v="8"/>
    <x v="5"/>
    <x v="3"/>
    <n v="29"/>
    <x v="9"/>
    <x v="5"/>
    <n v="623257"/>
  </r>
  <r>
    <x v="0"/>
    <x v="8"/>
    <x v="5"/>
    <x v="2"/>
    <n v="20"/>
    <x v="9"/>
    <x v="5"/>
    <n v="623257"/>
  </r>
  <r>
    <x v="1"/>
    <x v="8"/>
    <x v="5"/>
    <x v="1"/>
    <n v="8"/>
    <x v="9"/>
    <x v="5"/>
    <n v="623257"/>
  </r>
  <r>
    <x v="1"/>
    <x v="8"/>
    <x v="5"/>
    <x v="0"/>
    <n v="17"/>
    <x v="9"/>
    <x v="5"/>
    <n v="623257"/>
  </r>
  <r>
    <x v="1"/>
    <x v="3"/>
    <x v="6"/>
    <x v="1"/>
    <n v="3"/>
    <x v="1"/>
    <x v="6"/>
    <n v="315629"/>
  </r>
  <r>
    <x v="0"/>
    <x v="3"/>
    <x v="6"/>
    <x v="2"/>
    <n v="8"/>
    <x v="1"/>
    <x v="6"/>
    <n v="315629"/>
  </r>
  <r>
    <x v="0"/>
    <x v="3"/>
    <x v="6"/>
    <x v="1"/>
    <n v="3"/>
    <x v="1"/>
    <x v="6"/>
    <n v="315629"/>
  </r>
  <r>
    <x v="0"/>
    <x v="3"/>
    <x v="6"/>
    <x v="0"/>
    <n v="7"/>
    <x v="1"/>
    <x v="6"/>
    <n v="315629"/>
  </r>
  <r>
    <x v="1"/>
    <x v="3"/>
    <x v="6"/>
    <x v="3"/>
    <n v="38"/>
    <x v="1"/>
    <x v="6"/>
    <n v="315629"/>
  </r>
  <r>
    <x v="1"/>
    <x v="3"/>
    <x v="6"/>
    <x v="2"/>
    <n v="7"/>
    <x v="1"/>
    <x v="6"/>
    <n v="315629"/>
  </r>
  <r>
    <x v="1"/>
    <x v="3"/>
    <x v="6"/>
    <x v="0"/>
    <n v="7"/>
    <x v="1"/>
    <x v="6"/>
    <n v="315629"/>
  </r>
  <r>
    <x v="2"/>
    <x v="3"/>
    <x v="6"/>
    <x v="3"/>
    <n v="2"/>
    <x v="1"/>
    <x v="6"/>
    <n v="315629"/>
  </r>
  <r>
    <x v="0"/>
    <x v="3"/>
    <x v="6"/>
    <x v="3"/>
    <n v="44"/>
    <x v="1"/>
    <x v="6"/>
    <n v="315629"/>
  </r>
  <r>
    <x v="1"/>
    <x v="4"/>
    <x v="6"/>
    <x v="1"/>
    <n v="4"/>
    <x v="2"/>
    <x v="6"/>
    <n v="315151"/>
  </r>
  <r>
    <x v="1"/>
    <x v="4"/>
    <x v="6"/>
    <x v="2"/>
    <n v="4"/>
    <x v="2"/>
    <x v="6"/>
    <n v="315151"/>
  </r>
  <r>
    <x v="1"/>
    <x v="4"/>
    <x v="6"/>
    <x v="0"/>
    <n v="5"/>
    <x v="2"/>
    <x v="6"/>
    <n v="315151"/>
  </r>
  <r>
    <x v="1"/>
    <x v="4"/>
    <x v="6"/>
    <x v="3"/>
    <n v="34"/>
    <x v="2"/>
    <x v="6"/>
    <n v="315151"/>
  </r>
  <r>
    <x v="0"/>
    <x v="4"/>
    <x v="6"/>
    <x v="1"/>
    <n v="4"/>
    <x v="2"/>
    <x v="6"/>
    <n v="315151"/>
  </r>
  <r>
    <x v="0"/>
    <x v="4"/>
    <x v="6"/>
    <x v="2"/>
    <n v="4"/>
    <x v="2"/>
    <x v="6"/>
    <n v="315151"/>
  </r>
  <r>
    <x v="0"/>
    <x v="4"/>
    <x v="6"/>
    <x v="3"/>
    <n v="46"/>
    <x v="2"/>
    <x v="6"/>
    <n v="315151"/>
  </r>
  <r>
    <x v="0"/>
    <x v="4"/>
    <x v="6"/>
    <x v="0"/>
    <n v="5"/>
    <x v="2"/>
    <x v="6"/>
    <n v="315151"/>
  </r>
  <r>
    <x v="0"/>
    <x v="0"/>
    <x v="6"/>
    <x v="0"/>
    <n v="2"/>
    <x v="3"/>
    <x v="6"/>
    <n v="315675"/>
  </r>
  <r>
    <x v="0"/>
    <x v="0"/>
    <x v="6"/>
    <x v="3"/>
    <n v="38"/>
    <x v="3"/>
    <x v="6"/>
    <n v="315675"/>
  </r>
  <r>
    <x v="0"/>
    <x v="0"/>
    <x v="6"/>
    <x v="2"/>
    <n v="3"/>
    <x v="3"/>
    <x v="6"/>
    <n v="315675"/>
  </r>
  <r>
    <x v="1"/>
    <x v="0"/>
    <x v="6"/>
    <x v="1"/>
    <n v="5"/>
    <x v="3"/>
    <x v="6"/>
    <n v="315675"/>
  </r>
  <r>
    <x v="0"/>
    <x v="0"/>
    <x v="6"/>
    <x v="1"/>
    <n v="5"/>
    <x v="3"/>
    <x v="6"/>
    <n v="315675"/>
  </r>
  <r>
    <x v="2"/>
    <x v="0"/>
    <x v="6"/>
    <x v="3"/>
    <n v="5"/>
    <x v="3"/>
    <x v="6"/>
    <n v="315675"/>
  </r>
  <r>
    <x v="1"/>
    <x v="0"/>
    <x v="6"/>
    <x v="2"/>
    <n v="3"/>
    <x v="3"/>
    <x v="6"/>
    <n v="315675"/>
  </r>
  <r>
    <x v="2"/>
    <x v="0"/>
    <x v="6"/>
    <x v="0"/>
    <n v="1"/>
    <x v="3"/>
    <x v="6"/>
    <n v="315675"/>
  </r>
  <r>
    <x v="1"/>
    <x v="0"/>
    <x v="6"/>
    <x v="0"/>
    <n v="2"/>
    <x v="3"/>
    <x v="6"/>
    <n v="315675"/>
  </r>
  <r>
    <x v="1"/>
    <x v="0"/>
    <x v="6"/>
    <x v="3"/>
    <n v="32"/>
    <x v="3"/>
    <x v="6"/>
    <n v="315675"/>
  </r>
  <r>
    <x v="0"/>
    <x v="1"/>
    <x v="6"/>
    <x v="0"/>
    <n v="4"/>
    <x v="4"/>
    <x v="6"/>
    <n v="315423"/>
  </r>
  <r>
    <x v="2"/>
    <x v="1"/>
    <x v="6"/>
    <x v="3"/>
    <n v="6"/>
    <x v="4"/>
    <x v="6"/>
    <n v="315423"/>
  </r>
  <r>
    <x v="2"/>
    <x v="1"/>
    <x v="6"/>
    <x v="2"/>
    <n v="1"/>
    <x v="4"/>
    <x v="6"/>
    <n v="315423"/>
  </r>
  <r>
    <x v="2"/>
    <x v="1"/>
    <x v="6"/>
    <x v="1"/>
    <n v="1"/>
    <x v="4"/>
    <x v="6"/>
    <n v="315423"/>
  </r>
  <r>
    <x v="1"/>
    <x v="1"/>
    <x v="6"/>
    <x v="0"/>
    <n v="3"/>
    <x v="4"/>
    <x v="6"/>
    <n v="315423"/>
  </r>
  <r>
    <x v="1"/>
    <x v="1"/>
    <x v="6"/>
    <x v="1"/>
    <n v="22"/>
    <x v="4"/>
    <x v="6"/>
    <n v="315423"/>
  </r>
  <r>
    <x v="1"/>
    <x v="1"/>
    <x v="6"/>
    <x v="3"/>
    <n v="20"/>
    <x v="4"/>
    <x v="6"/>
    <n v="315423"/>
  </r>
  <r>
    <x v="0"/>
    <x v="1"/>
    <x v="6"/>
    <x v="1"/>
    <n v="23"/>
    <x v="4"/>
    <x v="6"/>
    <n v="315423"/>
  </r>
  <r>
    <x v="0"/>
    <x v="1"/>
    <x v="6"/>
    <x v="2"/>
    <n v="9"/>
    <x v="4"/>
    <x v="6"/>
    <n v="315423"/>
  </r>
  <r>
    <x v="0"/>
    <x v="1"/>
    <x v="6"/>
    <x v="3"/>
    <n v="27"/>
    <x v="4"/>
    <x v="6"/>
    <n v="315423"/>
  </r>
  <r>
    <x v="1"/>
    <x v="1"/>
    <x v="6"/>
    <x v="2"/>
    <n v="9"/>
    <x v="4"/>
    <x v="6"/>
    <n v="315423"/>
  </r>
  <r>
    <x v="0"/>
    <x v="5"/>
    <x v="6"/>
    <x v="0"/>
    <n v="6"/>
    <x v="5"/>
    <x v="6"/>
    <n v="315497"/>
  </r>
  <r>
    <x v="0"/>
    <x v="5"/>
    <x v="6"/>
    <x v="1"/>
    <n v="2"/>
    <x v="5"/>
    <x v="6"/>
    <n v="315497"/>
  </r>
  <r>
    <x v="0"/>
    <x v="5"/>
    <x v="6"/>
    <x v="2"/>
    <n v="3"/>
    <x v="5"/>
    <x v="6"/>
    <n v="315497"/>
  </r>
  <r>
    <x v="0"/>
    <x v="5"/>
    <x v="6"/>
    <x v="3"/>
    <n v="36"/>
    <x v="5"/>
    <x v="6"/>
    <n v="315497"/>
  </r>
  <r>
    <x v="2"/>
    <x v="5"/>
    <x v="6"/>
    <x v="3"/>
    <n v="6"/>
    <x v="5"/>
    <x v="6"/>
    <n v="315497"/>
  </r>
  <r>
    <x v="1"/>
    <x v="5"/>
    <x v="6"/>
    <x v="0"/>
    <n v="5"/>
    <x v="5"/>
    <x v="6"/>
    <n v="315497"/>
  </r>
  <r>
    <x v="1"/>
    <x v="5"/>
    <x v="6"/>
    <x v="1"/>
    <n v="2"/>
    <x v="5"/>
    <x v="6"/>
    <n v="315497"/>
  </r>
  <r>
    <x v="1"/>
    <x v="5"/>
    <x v="6"/>
    <x v="2"/>
    <n v="2"/>
    <x v="5"/>
    <x v="6"/>
    <n v="315497"/>
  </r>
  <r>
    <x v="2"/>
    <x v="5"/>
    <x v="6"/>
    <x v="1"/>
    <n v="1"/>
    <x v="5"/>
    <x v="6"/>
    <n v="315497"/>
  </r>
  <r>
    <x v="1"/>
    <x v="5"/>
    <x v="6"/>
    <x v="3"/>
    <n v="22"/>
    <x v="5"/>
    <x v="6"/>
    <n v="315497"/>
  </r>
  <r>
    <x v="1"/>
    <x v="2"/>
    <x v="6"/>
    <x v="0"/>
    <n v="2"/>
    <x v="6"/>
    <x v="6"/>
    <n v="316157"/>
  </r>
  <r>
    <x v="0"/>
    <x v="2"/>
    <x v="6"/>
    <x v="1"/>
    <n v="5"/>
    <x v="6"/>
    <x v="6"/>
    <n v="316157"/>
  </r>
  <r>
    <x v="0"/>
    <x v="2"/>
    <x v="6"/>
    <x v="0"/>
    <n v="3"/>
    <x v="6"/>
    <x v="6"/>
    <n v="316157"/>
  </r>
  <r>
    <x v="1"/>
    <x v="2"/>
    <x v="6"/>
    <x v="1"/>
    <n v="5"/>
    <x v="6"/>
    <x v="6"/>
    <n v="316157"/>
  </r>
  <r>
    <x v="0"/>
    <x v="2"/>
    <x v="6"/>
    <x v="3"/>
    <n v="35"/>
    <x v="6"/>
    <x v="6"/>
    <n v="316157"/>
  </r>
  <r>
    <x v="1"/>
    <x v="2"/>
    <x v="6"/>
    <x v="3"/>
    <n v="27"/>
    <x v="6"/>
    <x v="6"/>
    <n v="316157"/>
  </r>
  <r>
    <x v="1"/>
    <x v="2"/>
    <x v="6"/>
    <x v="2"/>
    <n v="3"/>
    <x v="6"/>
    <x v="6"/>
    <n v="316157"/>
  </r>
  <r>
    <x v="0"/>
    <x v="2"/>
    <x v="6"/>
    <x v="2"/>
    <n v="5"/>
    <x v="6"/>
    <x v="6"/>
    <n v="316157"/>
  </r>
  <r>
    <x v="2"/>
    <x v="2"/>
    <x v="6"/>
    <x v="3"/>
    <n v="2"/>
    <x v="6"/>
    <x v="6"/>
    <n v="316157"/>
  </r>
  <r>
    <x v="0"/>
    <x v="6"/>
    <x v="6"/>
    <x v="0"/>
    <n v="4"/>
    <x v="7"/>
    <x v="6"/>
    <n v="316187"/>
  </r>
  <r>
    <x v="1"/>
    <x v="6"/>
    <x v="6"/>
    <x v="3"/>
    <n v="25"/>
    <x v="7"/>
    <x v="6"/>
    <n v="316187"/>
  </r>
  <r>
    <x v="1"/>
    <x v="6"/>
    <x v="6"/>
    <x v="2"/>
    <n v="4"/>
    <x v="7"/>
    <x v="6"/>
    <n v="316187"/>
  </r>
  <r>
    <x v="1"/>
    <x v="6"/>
    <x v="6"/>
    <x v="1"/>
    <n v="3"/>
    <x v="7"/>
    <x v="6"/>
    <n v="316187"/>
  </r>
  <r>
    <x v="1"/>
    <x v="6"/>
    <x v="6"/>
    <x v="0"/>
    <n v="4"/>
    <x v="7"/>
    <x v="6"/>
    <n v="316187"/>
  </r>
  <r>
    <x v="0"/>
    <x v="6"/>
    <x v="6"/>
    <x v="1"/>
    <n v="3"/>
    <x v="7"/>
    <x v="6"/>
    <n v="316187"/>
  </r>
  <r>
    <x v="0"/>
    <x v="6"/>
    <x v="6"/>
    <x v="2"/>
    <n v="4"/>
    <x v="7"/>
    <x v="6"/>
    <n v="316187"/>
  </r>
  <r>
    <x v="0"/>
    <x v="6"/>
    <x v="6"/>
    <x v="3"/>
    <n v="34"/>
    <x v="7"/>
    <x v="6"/>
    <n v="316187"/>
  </r>
  <r>
    <x v="2"/>
    <x v="6"/>
    <x v="6"/>
    <x v="3"/>
    <n v="2"/>
    <x v="7"/>
    <x v="6"/>
    <n v="316187"/>
  </r>
  <r>
    <x v="0"/>
    <x v="7"/>
    <x v="6"/>
    <x v="3"/>
    <n v="26"/>
    <x v="8"/>
    <x v="6"/>
    <n v="316166"/>
  </r>
  <r>
    <x v="0"/>
    <x v="7"/>
    <x v="6"/>
    <x v="0"/>
    <n v="1"/>
    <x v="8"/>
    <x v="6"/>
    <n v="316166"/>
  </r>
  <r>
    <x v="2"/>
    <x v="7"/>
    <x v="6"/>
    <x v="3"/>
    <n v="3"/>
    <x v="8"/>
    <x v="6"/>
    <n v="316166"/>
  </r>
  <r>
    <x v="0"/>
    <x v="7"/>
    <x v="6"/>
    <x v="2"/>
    <n v="7"/>
    <x v="8"/>
    <x v="6"/>
    <n v="316166"/>
  </r>
  <r>
    <x v="1"/>
    <x v="7"/>
    <x v="6"/>
    <x v="1"/>
    <n v="4"/>
    <x v="8"/>
    <x v="6"/>
    <n v="316166"/>
  </r>
  <r>
    <x v="1"/>
    <x v="7"/>
    <x v="6"/>
    <x v="2"/>
    <n v="7"/>
    <x v="8"/>
    <x v="6"/>
    <n v="316166"/>
  </r>
  <r>
    <x v="1"/>
    <x v="7"/>
    <x v="6"/>
    <x v="3"/>
    <n v="21"/>
    <x v="8"/>
    <x v="6"/>
    <n v="316166"/>
  </r>
  <r>
    <x v="1"/>
    <x v="7"/>
    <x v="6"/>
    <x v="0"/>
    <n v="1"/>
    <x v="8"/>
    <x v="6"/>
    <n v="316166"/>
  </r>
  <r>
    <x v="0"/>
    <x v="7"/>
    <x v="6"/>
    <x v="1"/>
    <n v="5"/>
    <x v="8"/>
    <x v="6"/>
    <n v="316166"/>
  </r>
  <r>
    <x v="0"/>
    <x v="8"/>
    <x v="6"/>
    <x v="0"/>
    <n v="9"/>
    <x v="9"/>
    <x v="6"/>
    <n v="315090"/>
  </r>
  <r>
    <x v="0"/>
    <x v="8"/>
    <x v="6"/>
    <x v="1"/>
    <n v="2"/>
    <x v="9"/>
    <x v="6"/>
    <n v="315090"/>
  </r>
  <r>
    <x v="0"/>
    <x v="8"/>
    <x v="6"/>
    <x v="2"/>
    <n v="11"/>
    <x v="9"/>
    <x v="6"/>
    <n v="315090"/>
  </r>
  <r>
    <x v="0"/>
    <x v="8"/>
    <x v="6"/>
    <x v="3"/>
    <n v="23"/>
    <x v="9"/>
    <x v="6"/>
    <n v="315090"/>
  </r>
  <r>
    <x v="2"/>
    <x v="8"/>
    <x v="6"/>
    <x v="1"/>
    <n v="2"/>
    <x v="9"/>
    <x v="6"/>
    <n v="315090"/>
  </r>
  <r>
    <x v="2"/>
    <x v="8"/>
    <x v="6"/>
    <x v="2"/>
    <n v="1"/>
    <x v="9"/>
    <x v="6"/>
    <n v="315090"/>
  </r>
  <r>
    <x v="1"/>
    <x v="8"/>
    <x v="6"/>
    <x v="1"/>
    <n v="2"/>
    <x v="9"/>
    <x v="6"/>
    <n v="315090"/>
  </r>
  <r>
    <x v="1"/>
    <x v="8"/>
    <x v="6"/>
    <x v="0"/>
    <n v="9"/>
    <x v="9"/>
    <x v="6"/>
    <n v="315090"/>
  </r>
  <r>
    <x v="1"/>
    <x v="8"/>
    <x v="6"/>
    <x v="3"/>
    <n v="14"/>
    <x v="9"/>
    <x v="6"/>
    <n v="315090"/>
  </r>
  <r>
    <x v="1"/>
    <x v="8"/>
    <x v="6"/>
    <x v="2"/>
    <n v="11"/>
    <x v="9"/>
    <x v="6"/>
    <n v="315090"/>
  </r>
</pivotCacheRecords>
</file>

<file path=xl/pivotCache/pivotCacheRecords2.xml><?xml version="1.0" encoding="utf-8"?>
<pivotCacheRecords xmlns="http://schemas.openxmlformats.org/spreadsheetml/2006/main" xmlns:r="http://schemas.openxmlformats.org/officeDocument/2006/relationships" count="24">
  <r>
    <x v="0"/>
    <x v="0"/>
    <x v="0"/>
    <x v="0"/>
    <x v="0"/>
    <x v="0"/>
    <x v="0"/>
    <x v="0"/>
    <x v="0"/>
    <x v="0"/>
    <x v="0"/>
    <x v="0"/>
  </r>
  <r>
    <x v="0"/>
    <x v="1"/>
    <x v="1"/>
    <x v="1"/>
    <x v="1"/>
    <x v="1"/>
    <x v="1"/>
    <x v="1"/>
    <x v="1"/>
    <x v="1"/>
    <x v="1"/>
    <x v="1"/>
  </r>
  <r>
    <x v="0"/>
    <x v="2"/>
    <x v="2"/>
    <x v="2"/>
    <x v="2"/>
    <x v="2"/>
    <x v="2"/>
    <x v="2"/>
    <x v="2"/>
    <x v="2"/>
    <x v="2"/>
    <x v="2"/>
  </r>
  <r>
    <x v="0"/>
    <x v="3"/>
    <x v="3"/>
    <x v="3"/>
    <x v="3"/>
    <x v="3"/>
    <x v="3"/>
    <x v="3"/>
    <x v="3"/>
    <x v="3"/>
    <x v="3"/>
    <x v="3"/>
  </r>
  <r>
    <x v="0"/>
    <x v="4"/>
    <x v="4"/>
    <x v="4"/>
    <x v="4"/>
    <x v="4"/>
    <x v="4"/>
    <x v="4"/>
    <x v="4"/>
    <x v="4"/>
    <x v="4"/>
    <x v="4"/>
  </r>
  <r>
    <x v="0"/>
    <x v="5"/>
    <x v="5"/>
    <x v="5"/>
    <x v="5"/>
    <x v="2"/>
    <x v="5"/>
    <x v="5"/>
    <x v="5"/>
    <x v="5"/>
    <x v="5"/>
    <x v="5"/>
  </r>
  <r>
    <x v="0"/>
    <x v="6"/>
    <x v="6"/>
    <x v="6"/>
    <x v="6"/>
    <x v="5"/>
    <x v="6"/>
    <x v="3"/>
    <x v="6"/>
    <x v="6"/>
    <x v="6"/>
    <x v="6"/>
  </r>
  <r>
    <x v="0"/>
    <x v="7"/>
    <x v="7"/>
    <x v="6"/>
    <x v="7"/>
    <x v="6"/>
    <x v="7"/>
    <x v="6"/>
    <x v="7"/>
    <x v="7"/>
    <x v="7"/>
    <x v="7"/>
  </r>
  <r>
    <x v="0"/>
    <x v="8"/>
    <x v="8"/>
    <x v="7"/>
    <x v="8"/>
    <x v="7"/>
    <x v="8"/>
    <x v="5"/>
    <x v="8"/>
    <x v="8"/>
    <x v="8"/>
    <x v="8"/>
  </r>
  <r>
    <x v="0"/>
    <x v="9"/>
    <x v="9"/>
    <x v="4"/>
    <x v="9"/>
    <x v="8"/>
    <x v="2"/>
    <x v="7"/>
    <x v="9"/>
    <x v="9"/>
    <x v="9"/>
    <x v="9"/>
  </r>
  <r>
    <x v="0"/>
    <x v="10"/>
    <x v="10"/>
    <x v="8"/>
    <x v="10"/>
    <x v="5"/>
    <x v="9"/>
    <x v="8"/>
    <x v="10"/>
    <x v="10"/>
    <x v="8"/>
    <x v="10"/>
  </r>
  <r>
    <x v="0"/>
    <x v="11"/>
    <x v="11"/>
    <x v="9"/>
    <x v="11"/>
    <x v="1"/>
    <x v="10"/>
    <x v="9"/>
    <x v="11"/>
    <x v="11"/>
    <x v="10"/>
    <x v="11"/>
  </r>
  <r>
    <x v="1"/>
    <x v="0"/>
    <x v="12"/>
    <x v="10"/>
    <x v="12"/>
    <x v="9"/>
    <x v="11"/>
    <x v="10"/>
    <x v="12"/>
    <x v="12"/>
    <x v="11"/>
    <x v="12"/>
  </r>
  <r>
    <x v="1"/>
    <x v="1"/>
    <x v="13"/>
    <x v="11"/>
    <x v="13"/>
    <x v="10"/>
    <x v="12"/>
    <x v="11"/>
    <x v="13"/>
    <x v="13"/>
    <x v="12"/>
    <x v="13"/>
  </r>
  <r>
    <x v="1"/>
    <x v="2"/>
    <x v="14"/>
    <x v="12"/>
    <x v="14"/>
    <x v="11"/>
    <x v="13"/>
    <x v="12"/>
    <x v="14"/>
    <x v="14"/>
    <x v="13"/>
    <x v="14"/>
  </r>
  <r>
    <x v="1"/>
    <x v="3"/>
    <x v="15"/>
    <x v="13"/>
    <x v="15"/>
    <x v="12"/>
    <x v="14"/>
    <x v="13"/>
    <x v="15"/>
    <x v="15"/>
    <x v="14"/>
    <x v="15"/>
  </r>
  <r>
    <x v="1"/>
    <x v="4"/>
    <x v="16"/>
    <x v="14"/>
    <x v="16"/>
    <x v="13"/>
    <x v="15"/>
    <x v="14"/>
    <x v="16"/>
    <x v="16"/>
    <x v="15"/>
    <x v="16"/>
  </r>
  <r>
    <x v="1"/>
    <x v="5"/>
    <x v="17"/>
    <x v="15"/>
    <x v="17"/>
    <x v="14"/>
    <x v="16"/>
    <x v="1"/>
    <x v="17"/>
    <x v="17"/>
    <x v="16"/>
    <x v="17"/>
  </r>
  <r>
    <x v="1"/>
    <x v="6"/>
    <x v="18"/>
    <x v="16"/>
    <x v="18"/>
    <x v="15"/>
    <x v="17"/>
    <x v="15"/>
    <x v="18"/>
    <x v="18"/>
    <x v="17"/>
    <x v="18"/>
  </r>
  <r>
    <x v="1"/>
    <x v="7"/>
    <x v="19"/>
    <x v="17"/>
    <x v="19"/>
    <x v="16"/>
    <x v="18"/>
    <x v="16"/>
    <x v="19"/>
    <x v="19"/>
    <x v="18"/>
    <x v="19"/>
  </r>
  <r>
    <x v="1"/>
    <x v="8"/>
    <x v="20"/>
    <x v="18"/>
    <x v="20"/>
    <x v="17"/>
    <x v="19"/>
    <x v="17"/>
    <x v="20"/>
    <x v="20"/>
    <x v="19"/>
    <x v="20"/>
  </r>
  <r>
    <x v="1"/>
    <x v="9"/>
    <x v="21"/>
    <x v="19"/>
    <x v="21"/>
    <x v="18"/>
    <x v="4"/>
    <x v="18"/>
    <x v="21"/>
    <x v="21"/>
    <x v="20"/>
    <x v="21"/>
  </r>
  <r>
    <x v="1"/>
    <x v="10"/>
    <x v="22"/>
    <x v="20"/>
    <x v="22"/>
    <x v="19"/>
    <x v="20"/>
    <x v="19"/>
    <x v="22"/>
    <x v="22"/>
    <x v="21"/>
    <x v="22"/>
  </r>
  <r>
    <x v="1"/>
    <x v="11"/>
    <x v="23"/>
    <x v="21"/>
    <x v="23"/>
    <x v="20"/>
    <x v="0"/>
    <x v="0"/>
    <x v="23"/>
    <x v="23"/>
    <x v="22"/>
    <x v="23"/>
  </r>
</pivotCacheRecords>
</file>

<file path=xl/pivotCache/pivotCacheRecords20.xml><?xml version="1.0" encoding="utf-8"?>
<pivotCacheRecords xmlns="http://schemas.openxmlformats.org/spreadsheetml/2006/main" xmlns:r="http://schemas.openxmlformats.org/officeDocument/2006/relationships" count="384">
  <r>
    <x v="0"/>
    <x v="0"/>
    <n v="110565"/>
  </r>
  <r>
    <x v="0"/>
    <x v="1"/>
    <n v="108051"/>
  </r>
  <r>
    <x v="0"/>
    <x v="2"/>
    <n v="53807"/>
  </r>
  <r>
    <x v="0"/>
    <x v="3"/>
    <n v="46446"/>
  </r>
  <r>
    <x v="0"/>
    <x v="4"/>
    <n v="231903"/>
  </r>
  <r>
    <x v="0"/>
    <x v="5"/>
    <n v="23549"/>
  </r>
  <r>
    <x v="0"/>
    <x v="6"/>
    <n v="72106"/>
  </r>
  <r>
    <x v="0"/>
    <x v="7"/>
    <n v="73696"/>
  </r>
  <r>
    <x v="0"/>
    <x v="8"/>
    <n v="56121"/>
  </r>
  <r>
    <x v="0"/>
    <x v="9"/>
    <n v="44154"/>
  </r>
  <r>
    <x v="0"/>
    <x v="10"/>
    <n v="44175"/>
  </r>
  <r>
    <x v="0"/>
    <x v="11"/>
    <n v="36890"/>
  </r>
  <r>
    <x v="0"/>
    <x v="12"/>
    <n v="70533"/>
  </r>
  <r>
    <x v="0"/>
    <x v="13"/>
    <n v="168677"/>
  </r>
  <r>
    <x v="0"/>
    <x v="14"/>
    <n v="299915"/>
  </r>
  <r>
    <x v="0"/>
    <x v="15"/>
    <n v="109617"/>
  </r>
  <r>
    <x v="0"/>
    <x v="16"/>
    <n v="39299"/>
  </r>
  <r>
    <x v="0"/>
    <x v="17"/>
    <n v="35605"/>
  </r>
  <r>
    <x v="0"/>
    <x v="18"/>
    <n v="41981"/>
  </r>
  <r>
    <x v="0"/>
    <x v="19"/>
    <n v="14101"/>
  </r>
  <r>
    <x v="0"/>
    <x v="20"/>
    <n v="66204"/>
  </r>
  <r>
    <x v="0"/>
    <x v="21"/>
    <n v="147604"/>
  </r>
  <r>
    <x v="0"/>
    <x v="22"/>
    <n v="10190"/>
  </r>
  <r>
    <x v="0"/>
    <x v="23"/>
    <n v="68349"/>
  </r>
  <r>
    <x v="0"/>
    <x v="24"/>
    <n v="82663"/>
  </r>
  <r>
    <x v="0"/>
    <x v="25"/>
    <n v="55666"/>
  </r>
  <r>
    <x v="0"/>
    <x v="26"/>
    <n v="10522"/>
  </r>
  <r>
    <x v="0"/>
    <x v="27"/>
    <n v="53424"/>
  </r>
  <r>
    <x v="0"/>
    <x v="28"/>
    <n v="142594"/>
  </r>
  <r>
    <x v="0"/>
    <x v="29"/>
    <n v="39091"/>
  </r>
  <r>
    <x v="0"/>
    <x v="30"/>
    <n v="44262"/>
  </r>
  <r>
    <x v="0"/>
    <x v="31"/>
    <n v="74397"/>
  </r>
  <r>
    <x v="1"/>
    <x v="0"/>
    <n v="110968"/>
  </r>
  <r>
    <x v="1"/>
    <x v="1"/>
    <n v="109552"/>
  </r>
  <r>
    <x v="1"/>
    <x v="2"/>
    <n v="54060"/>
  </r>
  <r>
    <x v="1"/>
    <x v="3"/>
    <n v="46679"/>
  </r>
  <r>
    <x v="1"/>
    <x v="4"/>
    <n v="233068"/>
  </r>
  <r>
    <x v="1"/>
    <x v="5"/>
    <n v="23670"/>
  </r>
  <r>
    <x v="1"/>
    <x v="6"/>
    <n v="72421"/>
  </r>
  <r>
    <x v="1"/>
    <x v="7"/>
    <n v="74015"/>
  </r>
  <r>
    <x v="1"/>
    <x v="8"/>
    <n v="56398"/>
  </r>
  <r>
    <x v="1"/>
    <x v="9"/>
    <n v="44184"/>
  </r>
  <r>
    <x v="1"/>
    <x v="10"/>
    <n v="44544"/>
  </r>
  <r>
    <x v="1"/>
    <x v="11"/>
    <n v="37063"/>
  </r>
  <r>
    <x v="1"/>
    <x v="12"/>
    <n v="71010"/>
  </r>
  <r>
    <x v="1"/>
    <x v="13"/>
    <n v="169435"/>
  </r>
  <r>
    <x v="1"/>
    <x v="14"/>
    <n v="299160"/>
  </r>
  <r>
    <x v="1"/>
    <x v="15"/>
    <n v="110788"/>
  </r>
  <r>
    <x v="1"/>
    <x v="16"/>
    <n v="39377"/>
  </r>
  <r>
    <x v="1"/>
    <x v="17"/>
    <n v="35986"/>
  </r>
  <r>
    <x v="1"/>
    <x v="18"/>
    <n v="42241"/>
  </r>
  <r>
    <x v="1"/>
    <x v="19"/>
    <n v="14258"/>
  </r>
  <r>
    <x v="1"/>
    <x v="20"/>
    <n v="66461"/>
  </r>
  <r>
    <x v="1"/>
    <x v="21"/>
    <n v="148553"/>
  </r>
  <r>
    <x v="1"/>
    <x v="22"/>
    <n v="10265"/>
  </r>
  <r>
    <x v="1"/>
    <x v="23"/>
    <n v="68788"/>
  </r>
  <r>
    <x v="1"/>
    <x v="24"/>
    <n v="82760"/>
  </r>
  <r>
    <x v="1"/>
    <x v="25"/>
    <n v="56129"/>
  </r>
  <r>
    <x v="1"/>
    <x v="26"/>
    <n v="10621"/>
  </r>
  <r>
    <x v="1"/>
    <x v="27"/>
    <n v="53788"/>
  </r>
  <r>
    <x v="1"/>
    <x v="28"/>
    <n v="143470"/>
  </r>
  <r>
    <x v="1"/>
    <x v="29"/>
    <n v="39246"/>
  </r>
  <r>
    <x v="1"/>
    <x v="30"/>
    <n v="44415"/>
  </r>
  <r>
    <x v="1"/>
    <x v="31"/>
    <n v="75123"/>
  </r>
  <r>
    <x v="2"/>
    <x v="0"/>
    <n v="111419"/>
  </r>
  <r>
    <x v="2"/>
    <x v="1"/>
    <n v="110649"/>
  </r>
  <r>
    <x v="2"/>
    <x v="2"/>
    <n v="54372"/>
  </r>
  <r>
    <x v="2"/>
    <x v="3"/>
    <n v="46896"/>
  </r>
  <r>
    <x v="2"/>
    <x v="4"/>
    <n v="234541"/>
  </r>
  <r>
    <x v="2"/>
    <x v="5"/>
    <n v="23720"/>
  </r>
  <r>
    <x v="2"/>
    <x v="6"/>
    <n v="72871"/>
  </r>
  <r>
    <x v="2"/>
    <x v="7"/>
    <n v="73529"/>
  </r>
  <r>
    <x v="2"/>
    <x v="8"/>
    <n v="56614"/>
  </r>
  <r>
    <x v="2"/>
    <x v="9"/>
    <n v="44332"/>
  </r>
  <r>
    <x v="2"/>
    <x v="10"/>
    <n v="44967"/>
  </r>
  <r>
    <x v="2"/>
    <x v="11"/>
    <n v="37231"/>
  </r>
  <r>
    <x v="2"/>
    <x v="12"/>
    <n v="71303"/>
  </r>
  <r>
    <x v="2"/>
    <x v="13"/>
    <n v="170169"/>
  </r>
  <r>
    <x v="2"/>
    <x v="14"/>
    <n v="299881"/>
  </r>
  <r>
    <x v="2"/>
    <x v="15"/>
    <n v="111830"/>
  </r>
  <r>
    <x v="2"/>
    <x v="16"/>
    <n v="39457"/>
  </r>
  <r>
    <x v="2"/>
    <x v="17"/>
    <n v="36434"/>
  </r>
  <r>
    <x v="2"/>
    <x v="18"/>
    <n v="42699"/>
  </r>
  <r>
    <x v="2"/>
    <x v="19"/>
    <n v="14396"/>
  </r>
  <r>
    <x v="2"/>
    <x v="20"/>
    <n v="66648"/>
  </r>
  <r>
    <x v="2"/>
    <x v="21"/>
    <n v="149190"/>
  </r>
  <r>
    <x v="2"/>
    <x v="22"/>
    <n v="10438"/>
  </r>
  <r>
    <x v="2"/>
    <x v="23"/>
    <n v="69236"/>
  </r>
  <r>
    <x v="2"/>
    <x v="24"/>
    <n v="82944"/>
  </r>
  <r>
    <x v="2"/>
    <x v="25"/>
    <n v="56530"/>
  </r>
  <r>
    <x v="2"/>
    <x v="26"/>
    <n v="10707"/>
  </r>
  <r>
    <x v="2"/>
    <x v="27"/>
    <n v="53968"/>
  </r>
  <r>
    <x v="2"/>
    <x v="28"/>
    <n v="144386"/>
  </r>
  <r>
    <x v="2"/>
    <x v="29"/>
    <n v="39509"/>
  </r>
  <r>
    <x v="2"/>
    <x v="30"/>
    <n v="44586"/>
  </r>
  <r>
    <x v="2"/>
    <x v="31"/>
    <n v="75397"/>
  </r>
  <r>
    <x v="3"/>
    <x v="0"/>
    <n v="112073"/>
  </r>
  <r>
    <x v="3"/>
    <x v="1"/>
    <n v="111773"/>
  </r>
  <r>
    <x v="3"/>
    <x v="2"/>
    <n v="54566"/>
  </r>
  <r>
    <x v="3"/>
    <x v="3"/>
    <n v="47105"/>
  </r>
  <r>
    <x v="3"/>
    <x v="4"/>
    <n v="235850"/>
  </r>
  <r>
    <x v="3"/>
    <x v="5"/>
    <n v="23774"/>
  </r>
  <r>
    <x v="3"/>
    <x v="6"/>
    <n v="73224"/>
  </r>
  <r>
    <x v="3"/>
    <x v="7"/>
    <n v="73818"/>
  </r>
  <r>
    <x v="3"/>
    <x v="8"/>
    <n v="56919"/>
  </r>
  <r>
    <x v="3"/>
    <x v="9"/>
    <n v="44564"/>
  </r>
  <r>
    <x v="3"/>
    <x v="10"/>
    <n v="45364"/>
  </r>
  <r>
    <x v="3"/>
    <x v="11"/>
    <n v="37448"/>
  </r>
  <r>
    <x v="3"/>
    <x v="12"/>
    <n v="71742"/>
  </r>
  <r>
    <x v="3"/>
    <x v="13"/>
    <n v="170881"/>
  </r>
  <r>
    <x v="3"/>
    <x v="14"/>
    <n v="301513"/>
  </r>
  <r>
    <x v="3"/>
    <x v="15"/>
    <n v="112812"/>
  </r>
  <r>
    <x v="3"/>
    <x v="16"/>
    <n v="39590"/>
  </r>
  <r>
    <x v="3"/>
    <x v="17"/>
    <n v="37051"/>
  </r>
  <r>
    <x v="3"/>
    <x v="18"/>
    <n v="43139"/>
  </r>
  <r>
    <x v="3"/>
    <x v="19"/>
    <n v="14458"/>
  </r>
  <r>
    <x v="3"/>
    <x v="20"/>
    <n v="66888"/>
  </r>
  <r>
    <x v="3"/>
    <x v="21"/>
    <n v="149763"/>
  </r>
  <r>
    <x v="3"/>
    <x v="22"/>
    <n v="10613"/>
  </r>
  <r>
    <x v="3"/>
    <x v="23"/>
    <n v="69618"/>
  </r>
  <r>
    <x v="3"/>
    <x v="24"/>
    <n v="83166"/>
  </r>
  <r>
    <x v="3"/>
    <x v="25"/>
    <n v="56765"/>
  </r>
  <r>
    <x v="3"/>
    <x v="26"/>
    <n v="10789"/>
  </r>
  <r>
    <x v="3"/>
    <x v="27"/>
    <n v="54202"/>
  </r>
  <r>
    <x v="3"/>
    <x v="28"/>
    <n v="145257"/>
  </r>
  <r>
    <x v="3"/>
    <x v="29"/>
    <n v="39798"/>
  </r>
  <r>
    <x v="3"/>
    <x v="30"/>
    <n v="44790"/>
  </r>
  <r>
    <x v="3"/>
    <x v="31"/>
    <n v="75729"/>
  </r>
  <r>
    <x v="4"/>
    <x v="0"/>
    <n v="112713"/>
  </r>
  <r>
    <x v="4"/>
    <x v="1"/>
    <n v="112867"/>
  </r>
  <r>
    <x v="4"/>
    <x v="2"/>
    <n v="54872"/>
  </r>
  <r>
    <x v="4"/>
    <x v="3"/>
    <n v="47336"/>
  </r>
  <r>
    <x v="4"/>
    <x v="4"/>
    <n v="237524"/>
  </r>
  <r>
    <x v="4"/>
    <x v="5"/>
    <n v="23894"/>
  </r>
  <r>
    <x v="4"/>
    <x v="6"/>
    <n v="73555"/>
  </r>
  <r>
    <x v="4"/>
    <x v="7"/>
    <n v="73560"/>
  </r>
  <r>
    <x v="4"/>
    <x v="8"/>
    <n v="57172"/>
  </r>
  <r>
    <x v="4"/>
    <x v="9"/>
    <n v="44864"/>
  </r>
  <r>
    <x v="4"/>
    <x v="10"/>
    <n v="45613"/>
  </r>
  <r>
    <x v="4"/>
    <x v="11"/>
    <n v="37639"/>
  </r>
  <r>
    <x v="4"/>
    <x v="12"/>
    <n v="72128"/>
  </r>
  <r>
    <x v="4"/>
    <x v="13"/>
    <n v="171560"/>
  </r>
  <r>
    <x v="4"/>
    <x v="14"/>
    <n v="301633"/>
  </r>
  <r>
    <x v="4"/>
    <x v="15"/>
    <n v="113703"/>
  </r>
  <r>
    <x v="4"/>
    <x v="16"/>
    <n v="38791"/>
  </r>
  <r>
    <x v="4"/>
    <x v="17"/>
    <n v="37503"/>
  </r>
  <r>
    <x v="4"/>
    <x v="18"/>
    <n v="43495"/>
  </r>
  <r>
    <x v="4"/>
    <x v="19"/>
    <n v="14490"/>
  </r>
  <r>
    <x v="4"/>
    <x v="20"/>
    <n v="67082"/>
  </r>
  <r>
    <x v="4"/>
    <x v="21"/>
    <n v="150541"/>
  </r>
  <r>
    <x v="4"/>
    <x v="22"/>
    <n v="10717"/>
  </r>
  <r>
    <x v="4"/>
    <x v="23"/>
    <n v="69923"/>
  </r>
  <r>
    <x v="4"/>
    <x v="24"/>
    <n v="83933"/>
  </r>
  <r>
    <x v="4"/>
    <x v="25"/>
    <n v="57097"/>
  </r>
  <r>
    <x v="4"/>
    <x v="26"/>
    <n v="10852"/>
  </r>
  <r>
    <x v="4"/>
    <x v="27"/>
    <n v="54385"/>
  </r>
  <r>
    <x v="4"/>
    <x v="28"/>
    <n v="146110"/>
  </r>
  <r>
    <x v="4"/>
    <x v="29"/>
    <n v="39965"/>
  </r>
  <r>
    <x v="4"/>
    <x v="30"/>
    <n v="44880"/>
  </r>
  <r>
    <x v="4"/>
    <x v="31"/>
    <n v="76473"/>
  </r>
  <r>
    <x v="5"/>
    <x v="0"/>
    <n v="113508"/>
  </r>
  <r>
    <x v="5"/>
    <x v="1"/>
    <n v="114086"/>
  </r>
  <r>
    <x v="5"/>
    <x v="2"/>
    <n v="55267"/>
  </r>
  <r>
    <x v="5"/>
    <x v="3"/>
    <n v="47500"/>
  </r>
  <r>
    <x v="5"/>
    <x v="4"/>
    <n v="239525"/>
  </r>
  <r>
    <x v="5"/>
    <x v="5"/>
    <n v="23995"/>
  </r>
  <r>
    <x v="5"/>
    <x v="6"/>
    <n v="73895"/>
  </r>
  <r>
    <x v="5"/>
    <x v="7"/>
    <n v="73575"/>
  </r>
  <r>
    <x v="5"/>
    <x v="8"/>
    <n v="57324"/>
  </r>
  <r>
    <x v="5"/>
    <x v="9"/>
    <n v="45281"/>
  </r>
  <r>
    <x v="5"/>
    <x v="10"/>
    <n v="45968"/>
  </r>
  <r>
    <x v="5"/>
    <x v="11"/>
    <n v="37852"/>
  </r>
  <r>
    <x v="5"/>
    <x v="12"/>
    <n v="72624"/>
  </r>
  <r>
    <x v="5"/>
    <x v="13"/>
    <n v="172425"/>
  </r>
  <r>
    <x v="5"/>
    <x v="14"/>
    <n v="301891"/>
  </r>
  <r>
    <x v="5"/>
    <x v="15"/>
    <n v="114603"/>
  </r>
  <r>
    <x v="5"/>
    <x v="16"/>
    <n v="38699"/>
  </r>
  <r>
    <x v="5"/>
    <x v="17"/>
    <n v="38159"/>
  </r>
  <r>
    <x v="5"/>
    <x v="18"/>
    <n v="43788"/>
  </r>
  <r>
    <x v="5"/>
    <x v="19"/>
    <n v="14520"/>
  </r>
  <r>
    <x v="5"/>
    <x v="20"/>
    <n v="67204"/>
  </r>
  <r>
    <x v="5"/>
    <x v="21"/>
    <n v="151424"/>
  </r>
  <r>
    <x v="5"/>
    <x v="22"/>
    <n v="10816"/>
  </r>
  <r>
    <x v="5"/>
    <x v="23"/>
    <n v="70312"/>
  </r>
  <r>
    <x v="5"/>
    <x v="24"/>
    <n v="84442"/>
  </r>
  <r>
    <x v="5"/>
    <x v="25"/>
    <n v="57274"/>
  </r>
  <r>
    <x v="5"/>
    <x v="26"/>
    <n v="10950"/>
  </r>
  <r>
    <x v="5"/>
    <x v="27"/>
    <n v="54489"/>
  </r>
  <r>
    <x v="5"/>
    <x v="28"/>
    <n v="146925"/>
  </r>
  <r>
    <x v="5"/>
    <x v="29"/>
    <n v="40320"/>
  </r>
  <r>
    <x v="5"/>
    <x v="30"/>
    <n v="44734"/>
  </r>
  <r>
    <x v="5"/>
    <x v="31"/>
    <n v="77186"/>
  </r>
  <r>
    <x v="6"/>
    <x v="0"/>
    <n v="114234"/>
  </r>
  <r>
    <x v="6"/>
    <x v="1"/>
    <n v="115223"/>
  </r>
  <r>
    <x v="6"/>
    <x v="2"/>
    <n v="55619"/>
  </r>
  <r>
    <x v="6"/>
    <x v="3"/>
    <n v="47712"/>
  </r>
  <r>
    <x v="6"/>
    <x v="4"/>
    <n v="241433"/>
  </r>
  <r>
    <x v="6"/>
    <x v="5"/>
    <n v="24114"/>
  </r>
  <r>
    <x v="6"/>
    <x v="6"/>
    <n v="74190"/>
  </r>
  <r>
    <x v="6"/>
    <x v="7"/>
    <n v="73689"/>
  </r>
  <r>
    <x v="6"/>
    <x v="8"/>
    <n v="57654"/>
  </r>
  <r>
    <x v="6"/>
    <x v="9"/>
    <n v="45678"/>
  </r>
  <r>
    <x v="6"/>
    <x v="10"/>
    <n v="46332"/>
  </r>
  <r>
    <x v="6"/>
    <x v="11"/>
    <n v="38061"/>
  </r>
  <r>
    <x v="6"/>
    <x v="12"/>
    <n v="73290"/>
  </r>
  <r>
    <x v="6"/>
    <x v="13"/>
    <n v="173366"/>
  </r>
  <r>
    <x v="6"/>
    <x v="14"/>
    <n v="304013"/>
  </r>
  <r>
    <x v="6"/>
    <x v="15"/>
    <n v="115538"/>
  </r>
  <r>
    <x v="6"/>
    <x v="16"/>
    <n v="38787"/>
  </r>
  <r>
    <x v="6"/>
    <x v="17"/>
    <n v="38675"/>
  </r>
  <r>
    <x v="6"/>
    <x v="18"/>
    <n v="44096"/>
  </r>
  <r>
    <x v="6"/>
    <x v="19"/>
    <n v="14577"/>
  </r>
  <r>
    <x v="6"/>
    <x v="20"/>
    <n v="67590"/>
  </r>
  <r>
    <x v="6"/>
    <x v="21"/>
    <n v="152293"/>
  </r>
  <r>
    <x v="6"/>
    <x v="22"/>
    <n v="10924"/>
  </r>
  <r>
    <x v="6"/>
    <x v="23"/>
    <n v="70828"/>
  </r>
  <r>
    <x v="6"/>
    <x v="24"/>
    <n v="84997"/>
  </r>
  <r>
    <x v="6"/>
    <x v="25"/>
    <n v="57628"/>
  </r>
  <r>
    <x v="6"/>
    <x v="26"/>
    <n v="11021"/>
  </r>
  <r>
    <x v="6"/>
    <x v="27"/>
    <n v="54635"/>
  </r>
  <r>
    <x v="6"/>
    <x v="28"/>
    <n v="147849"/>
  </r>
  <r>
    <x v="6"/>
    <x v="29"/>
    <n v="40646"/>
  </r>
  <r>
    <x v="6"/>
    <x v="30"/>
    <n v="45056"/>
  </r>
  <r>
    <x v="6"/>
    <x v="31"/>
    <n v="77834"/>
  </r>
  <r>
    <x v="7"/>
    <x v="0"/>
    <n v="115080"/>
  </r>
  <r>
    <x v="7"/>
    <x v="1"/>
    <n v="116421"/>
  </r>
  <r>
    <x v="7"/>
    <x v="2"/>
    <n v="55872"/>
  </r>
  <r>
    <x v="7"/>
    <x v="3"/>
    <n v="47780"/>
  </r>
  <r>
    <x v="7"/>
    <x v="4"/>
    <n v="244131"/>
  </r>
  <r>
    <x v="7"/>
    <x v="5"/>
    <n v="24221"/>
  </r>
  <r>
    <x v="7"/>
    <x v="6"/>
    <n v="74453"/>
  </r>
  <r>
    <x v="7"/>
    <x v="7"/>
    <n v="74026"/>
  </r>
  <r>
    <x v="7"/>
    <x v="8"/>
    <n v="57873"/>
  </r>
  <r>
    <x v="7"/>
    <x v="9"/>
    <n v="46026"/>
  </r>
  <r>
    <x v="7"/>
    <x v="10"/>
    <n v="46672"/>
  </r>
  <r>
    <x v="7"/>
    <x v="11"/>
    <n v="38389"/>
  </r>
  <r>
    <x v="7"/>
    <x v="12"/>
    <n v="73767"/>
  </r>
  <r>
    <x v="7"/>
    <x v="13"/>
    <n v="174528"/>
  </r>
  <r>
    <x v="7"/>
    <x v="14"/>
    <n v="306000"/>
  </r>
  <r>
    <x v="7"/>
    <x v="15"/>
    <n v="116453"/>
  </r>
  <r>
    <x v="7"/>
    <x v="16"/>
    <n v="38835"/>
  </r>
  <r>
    <x v="7"/>
    <x v="17"/>
    <n v="39297"/>
  </r>
  <r>
    <x v="7"/>
    <x v="18"/>
    <n v="44454"/>
  </r>
  <r>
    <x v="7"/>
    <x v="19"/>
    <n v="14599"/>
  </r>
  <r>
    <x v="7"/>
    <x v="20"/>
    <n v="67800"/>
  </r>
  <r>
    <x v="7"/>
    <x v="21"/>
    <n v="153388"/>
  </r>
  <r>
    <x v="7"/>
    <x v="22"/>
    <n v="11063"/>
  </r>
  <r>
    <x v="7"/>
    <x v="23"/>
    <n v="71347"/>
  </r>
  <r>
    <x v="7"/>
    <x v="24"/>
    <n v="85724"/>
  </r>
  <r>
    <x v="7"/>
    <x v="25"/>
    <n v="57940"/>
  </r>
  <r>
    <x v="7"/>
    <x v="26"/>
    <n v="11109"/>
  </r>
  <r>
    <x v="7"/>
    <x v="27"/>
    <n v="54942"/>
  </r>
  <r>
    <x v="7"/>
    <x v="28"/>
    <n v="148771"/>
  </r>
  <r>
    <x v="7"/>
    <x v="29"/>
    <n v="40998"/>
  </r>
  <r>
    <x v="7"/>
    <x v="30"/>
    <n v="45104"/>
  </r>
  <r>
    <x v="7"/>
    <x v="31"/>
    <n v="78604"/>
  </r>
  <r>
    <x v="8"/>
    <x v="0"/>
    <n v="116821"/>
  </r>
  <r>
    <x v="8"/>
    <x v="1"/>
    <n v="117363"/>
  </r>
  <r>
    <x v="8"/>
    <x v="2"/>
    <n v="56135"/>
  </r>
  <r>
    <x v="8"/>
    <x v="3"/>
    <n v="47884"/>
  </r>
  <r>
    <x v="8"/>
    <x v="4"/>
    <n v="246818"/>
  </r>
  <r>
    <x v="8"/>
    <x v="5"/>
    <n v="24377"/>
  </r>
  <r>
    <x v="8"/>
    <x v="6"/>
    <n v="74687"/>
  </r>
  <r>
    <x v="8"/>
    <x v="7"/>
    <n v="74354"/>
  </r>
  <r>
    <x v="8"/>
    <x v="8"/>
    <n v="58158"/>
  </r>
  <r>
    <x v="8"/>
    <x v="9"/>
    <n v="46430"/>
  </r>
  <r>
    <x v="8"/>
    <x v="10"/>
    <n v="47407"/>
  </r>
  <r>
    <x v="8"/>
    <x v="11"/>
    <n v="38677"/>
  </r>
  <r>
    <x v="8"/>
    <x v="12"/>
    <n v="74361"/>
  </r>
  <r>
    <x v="8"/>
    <x v="13"/>
    <n v="175915"/>
  </r>
  <r>
    <x v="8"/>
    <x v="14"/>
    <n v="308293"/>
  </r>
  <r>
    <x v="8"/>
    <x v="15"/>
    <n v="117291"/>
  </r>
  <r>
    <x v="8"/>
    <x v="16"/>
    <n v="38848"/>
  </r>
  <r>
    <x v="8"/>
    <x v="17"/>
    <n v="39937"/>
  </r>
  <r>
    <x v="8"/>
    <x v="18"/>
    <n v="44838"/>
  </r>
  <r>
    <x v="8"/>
    <x v="19"/>
    <n v="14714"/>
  </r>
  <r>
    <x v="8"/>
    <x v="20"/>
    <n v="67960"/>
  </r>
  <r>
    <x v="8"/>
    <x v="21"/>
    <n v="154286"/>
  </r>
  <r>
    <x v="8"/>
    <x v="22"/>
    <n v="11192"/>
  </r>
  <r>
    <x v="8"/>
    <x v="23"/>
    <n v="71810"/>
  </r>
  <r>
    <x v="8"/>
    <x v="24"/>
    <n v="86449"/>
  </r>
  <r>
    <x v="8"/>
    <x v="25"/>
    <n v="58167"/>
  </r>
  <r>
    <x v="8"/>
    <x v="26"/>
    <n v="11180"/>
  </r>
  <r>
    <x v="8"/>
    <x v="27"/>
    <n v="55252"/>
  </r>
  <r>
    <x v="8"/>
    <x v="28"/>
    <n v="149972"/>
  </r>
  <r>
    <x v="8"/>
    <x v="29"/>
    <n v="41250"/>
  </r>
  <r>
    <x v="8"/>
    <x v="30"/>
    <n v="45093"/>
  </r>
  <r>
    <x v="8"/>
    <x v="31"/>
    <n v="79112"/>
  </r>
  <r>
    <x v="9"/>
    <x v="0"/>
    <n v="118131"/>
  </r>
  <r>
    <x v="9"/>
    <x v="1"/>
    <n v="118197"/>
  </r>
  <r>
    <x v="9"/>
    <x v="2"/>
    <n v="56485"/>
  </r>
  <r>
    <x v="9"/>
    <x v="3"/>
    <n v="48020"/>
  </r>
  <r>
    <x v="9"/>
    <x v="4"/>
    <n v="249810"/>
  </r>
  <r>
    <x v="9"/>
    <x v="5"/>
    <n v="24524"/>
  </r>
  <r>
    <x v="9"/>
    <x v="6"/>
    <n v="74823"/>
  </r>
  <r>
    <x v="9"/>
    <x v="7"/>
    <n v="74531"/>
  </r>
  <r>
    <x v="9"/>
    <x v="8"/>
    <n v="58453"/>
  </r>
  <r>
    <x v="9"/>
    <x v="9"/>
    <n v="46721"/>
  </r>
  <r>
    <x v="9"/>
    <x v="10"/>
    <n v="48055"/>
  </r>
  <r>
    <x v="9"/>
    <x v="11"/>
    <n v="38902"/>
  </r>
  <r>
    <x v="9"/>
    <x v="12"/>
    <n v="74826"/>
  </r>
  <r>
    <x v="9"/>
    <x v="13"/>
    <n v="177084"/>
  </r>
  <r>
    <x v="9"/>
    <x v="14"/>
    <n v="311447"/>
  </r>
  <r>
    <x v="9"/>
    <x v="15"/>
    <n v="118117"/>
  </r>
  <r>
    <x v="9"/>
    <x v="16"/>
    <n v="38985"/>
  </r>
  <r>
    <x v="9"/>
    <x v="17"/>
    <n v="40612"/>
  </r>
  <r>
    <x v="9"/>
    <x v="18"/>
    <n v="45209"/>
  </r>
  <r>
    <x v="9"/>
    <x v="19"/>
    <n v="14706"/>
  </r>
  <r>
    <x v="9"/>
    <x v="20"/>
    <n v="68158"/>
  </r>
  <r>
    <x v="9"/>
    <x v="21"/>
    <n v="155364"/>
  </r>
  <r>
    <x v="9"/>
    <x v="22"/>
    <n v="11261"/>
  </r>
  <r>
    <x v="9"/>
    <x v="23"/>
    <n v="72441"/>
  </r>
  <r>
    <x v="9"/>
    <x v="24"/>
    <n v="87265"/>
  </r>
  <r>
    <x v="9"/>
    <x v="25"/>
    <n v="58425"/>
  </r>
  <r>
    <x v="9"/>
    <x v="26"/>
    <n v="11270"/>
  </r>
  <r>
    <x v="9"/>
    <x v="27"/>
    <n v="55486"/>
  </r>
  <r>
    <x v="9"/>
    <x v="28"/>
    <n v="151352"/>
  </r>
  <r>
    <x v="9"/>
    <x v="29"/>
    <n v="41443"/>
  </r>
  <r>
    <x v="9"/>
    <x v="30"/>
    <n v="45228"/>
  </r>
  <r>
    <x v="9"/>
    <x v="31"/>
    <n v="79854"/>
  </r>
  <r>
    <x v="10"/>
    <x v="0"/>
    <n v="119523"/>
  </r>
  <r>
    <x v="10"/>
    <x v="1"/>
    <n v="119196"/>
  </r>
  <r>
    <x v="10"/>
    <x v="2"/>
    <n v="56928"/>
  </r>
  <r>
    <x v="10"/>
    <x v="3"/>
    <n v="48134"/>
  </r>
  <r>
    <x v="10"/>
    <x v="4"/>
    <n v="252731"/>
  </r>
  <r>
    <x v="10"/>
    <x v="5"/>
    <n v="24716"/>
  </r>
  <r>
    <x v="10"/>
    <x v="6"/>
    <n v="75089"/>
  </r>
  <r>
    <x v="10"/>
    <x v="7"/>
    <n v="74891"/>
  </r>
  <r>
    <x v="10"/>
    <x v="8"/>
    <n v="58628"/>
  </r>
  <r>
    <x v="10"/>
    <x v="9"/>
    <n v="46986"/>
  </r>
  <r>
    <x v="10"/>
    <x v="10"/>
    <n v="48851"/>
  </r>
  <r>
    <x v="10"/>
    <x v="11"/>
    <n v="39144"/>
  </r>
  <r>
    <x v="10"/>
    <x v="12"/>
    <n v="75226"/>
  </r>
  <r>
    <x v="10"/>
    <x v="13"/>
    <n v="178183"/>
  </r>
  <r>
    <x v="10"/>
    <x v="14"/>
    <n v="314604"/>
  </r>
  <r>
    <x v="10"/>
    <x v="15"/>
    <n v="119061"/>
  </r>
  <r>
    <x v="10"/>
    <x v="16"/>
    <n v="38977"/>
  </r>
  <r>
    <x v="10"/>
    <x v="17"/>
    <n v="41226"/>
  </r>
  <r>
    <x v="10"/>
    <x v="18"/>
    <n v="45630"/>
  </r>
  <r>
    <x v="10"/>
    <x v="19"/>
    <n v="14734"/>
  </r>
  <r>
    <x v="10"/>
    <x v="20"/>
    <n v="68496"/>
  </r>
  <r>
    <x v="10"/>
    <x v="21"/>
    <n v="156694"/>
  </r>
  <r>
    <x v="10"/>
    <x v="22"/>
    <n v="11322"/>
  </r>
  <r>
    <x v="10"/>
    <x v="23"/>
    <n v="73267"/>
  </r>
  <r>
    <x v="10"/>
    <x v="24"/>
    <n v="88086"/>
  </r>
  <r>
    <x v="10"/>
    <x v="25"/>
    <n v="58671"/>
  </r>
  <r>
    <x v="10"/>
    <x v="26"/>
    <n v="11305"/>
  </r>
  <r>
    <x v="10"/>
    <x v="27"/>
    <n v="55668"/>
  </r>
  <r>
    <x v="10"/>
    <x v="28"/>
    <n v="152998"/>
  </r>
  <r>
    <x v="10"/>
    <x v="29"/>
    <n v="41638"/>
  </r>
  <r>
    <x v="10"/>
    <x v="30"/>
    <n v="45357"/>
  </r>
  <r>
    <x v="10"/>
    <x v="31"/>
    <n v="80911"/>
  </r>
  <r>
    <x v="11"/>
    <x v="0"/>
    <n v="120980"/>
  </r>
  <r>
    <x v="11"/>
    <x v="1"/>
    <n v="119854"/>
  </r>
  <r>
    <x v="11"/>
    <x v="2"/>
    <n v="57206"/>
  </r>
  <r>
    <x v="11"/>
    <x v="3"/>
    <n v="48199"/>
  </r>
  <r>
    <x v="11"/>
    <x v="4"/>
    <n v="254929"/>
  </r>
  <r>
    <x v="11"/>
    <x v="5"/>
    <n v="24838"/>
  </r>
  <r>
    <x v="11"/>
    <x v="6"/>
    <n v="75298"/>
  </r>
  <r>
    <x v="11"/>
    <x v="7"/>
    <n v="75027"/>
  </r>
  <r>
    <x v="11"/>
    <x v="8"/>
    <n v="58821"/>
  </r>
  <r>
    <x v="11"/>
    <x v="9"/>
    <n v="47251"/>
  </r>
  <r>
    <x v="11"/>
    <x v="10"/>
    <n v="49642"/>
  </r>
  <r>
    <x v="11"/>
    <x v="11"/>
    <n v="39453"/>
  </r>
  <r>
    <x v="11"/>
    <x v="12"/>
    <n v="75595"/>
  </r>
  <r>
    <x v="11"/>
    <x v="13"/>
    <n v="179232"/>
  </r>
  <r>
    <x v="11"/>
    <x v="14"/>
    <n v="317193"/>
  </r>
  <r>
    <x v="11"/>
    <x v="15"/>
    <n v="119918"/>
  </r>
  <r>
    <x v="11"/>
    <x v="16"/>
    <n v="39107"/>
  </r>
  <r>
    <x v="11"/>
    <x v="17"/>
    <n v="41657"/>
  </r>
  <r>
    <x v="11"/>
    <x v="18"/>
    <n v="45838"/>
  </r>
  <r>
    <x v="11"/>
    <x v="19"/>
    <n v="14764"/>
  </r>
  <r>
    <x v="11"/>
    <x v="20"/>
    <n v="68843"/>
  </r>
  <r>
    <x v="11"/>
    <x v="21"/>
    <n v="157625"/>
  </r>
  <r>
    <x v="11"/>
    <x v="22"/>
    <n v="11391"/>
  </r>
  <r>
    <x v="11"/>
    <x v="23"/>
    <n v="73775"/>
  </r>
  <r>
    <x v="11"/>
    <x v="24"/>
    <n v="88624"/>
  </r>
  <r>
    <x v="11"/>
    <x v="25"/>
    <n v="58814"/>
  </r>
  <r>
    <x v="11"/>
    <x v="26"/>
    <n v="11374"/>
  </r>
  <r>
    <x v="11"/>
    <x v="27"/>
    <n v="55793"/>
  </r>
  <r>
    <x v="11"/>
    <x v="28"/>
    <n v="153863"/>
  </r>
  <r>
    <x v="11"/>
    <x v="29"/>
    <n v="41950"/>
  </r>
  <r>
    <x v="11"/>
    <x v="30"/>
    <n v="45148"/>
  </r>
  <r>
    <x v="11"/>
    <x v="31"/>
    <n v="81723"/>
  </r>
</pivotCacheRecords>
</file>

<file path=xl/pivotCache/pivotCacheRecords21.xml><?xml version="1.0" encoding="utf-8"?>
<pivotCacheRecords xmlns="http://schemas.openxmlformats.org/spreadsheetml/2006/main" xmlns:r="http://schemas.openxmlformats.org/officeDocument/2006/relationships" count="765">
  <r>
    <x v="0"/>
    <x v="0"/>
    <x v="0"/>
    <n v="96"/>
    <n v="1"/>
    <n v="16"/>
    <x v="0"/>
    <n v="11"/>
    <x v="0"/>
    <n v="2"/>
    <n v="50"/>
    <n v="3"/>
    <n v="12"/>
    <n v="217020"/>
  </r>
  <r>
    <x v="0"/>
    <x v="0"/>
    <x v="1"/>
    <n v="113"/>
    <n v="1"/>
    <n v="60"/>
    <x v="1"/>
    <n v="5"/>
    <x v="1"/>
    <m/>
    <n v="8"/>
    <n v="7"/>
    <n v="29"/>
    <n v="249020"/>
  </r>
  <r>
    <x v="0"/>
    <x v="0"/>
    <x v="2"/>
    <n v="45"/>
    <n v="2"/>
    <n v="22"/>
    <x v="2"/>
    <n v="2"/>
    <x v="0"/>
    <n v="3"/>
    <n v="8"/>
    <n v="2"/>
    <n v="3"/>
    <n v="114830"/>
  </r>
  <r>
    <x v="0"/>
    <x v="0"/>
    <x v="3"/>
    <n v="81"/>
    <n v="6"/>
    <n v="50"/>
    <x v="3"/>
    <n v="5"/>
    <x v="2"/>
    <n v="5"/>
    <n v="7"/>
    <m/>
    <n v="5"/>
    <n v="89450"/>
  </r>
  <r>
    <x v="0"/>
    <x v="0"/>
    <x v="4"/>
    <n v="312"/>
    <n v="4"/>
    <n v="50"/>
    <x v="0"/>
    <n v="12"/>
    <x v="2"/>
    <n v="28"/>
    <n v="179"/>
    <n v="16"/>
    <n v="19"/>
    <n v="463230"/>
  </r>
  <r>
    <x v="0"/>
    <x v="0"/>
    <x v="5"/>
    <n v="30"/>
    <n v="2"/>
    <n v="17"/>
    <x v="0"/>
    <n v="1"/>
    <x v="3"/>
    <n v="2"/>
    <n v="4"/>
    <m/>
    <n v="1"/>
    <n v="51290"/>
  </r>
  <r>
    <x v="0"/>
    <x v="0"/>
    <x v="6"/>
    <n v="74"/>
    <m/>
    <n v="25"/>
    <x v="3"/>
    <n v="16"/>
    <x v="0"/>
    <n v="2"/>
    <n v="14"/>
    <n v="1"/>
    <n v="16"/>
    <n v="151160"/>
  </r>
  <r>
    <x v="0"/>
    <x v="0"/>
    <x v="7"/>
    <n v="142"/>
    <n v="4"/>
    <n v="31"/>
    <x v="2"/>
    <n v="7"/>
    <x v="3"/>
    <n v="16"/>
    <n v="39"/>
    <n v="7"/>
    <n v="33"/>
    <n v="145170"/>
  </r>
  <r>
    <x v="0"/>
    <x v="0"/>
    <x v="8"/>
    <n v="200"/>
    <n v="2"/>
    <n v="81"/>
    <x v="3"/>
    <n v="5"/>
    <x v="4"/>
    <n v="14"/>
    <n v="17"/>
    <n v="5"/>
    <n v="69"/>
    <n v="122110"/>
  </r>
  <r>
    <x v="0"/>
    <x v="0"/>
    <x v="9"/>
    <n v="94"/>
    <n v="3"/>
    <n v="44"/>
    <x v="3"/>
    <n v="5"/>
    <x v="2"/>
    <n v="4"/>
    <n v="6"/>
    <n v="4"/>
    <n v="25"/>
    <n v="104960"/>
  </r>
  <r>
    <x v="0"/>
    <x v="0"/>
    <x v="10"/>
    <n v="60"/>
    <m/>
    <n v="24"/>
    <x v="4"/>
    <n v="3"/>
    <x v="0"/>
    <n v="4"/>
    <n v="15"/>
    <n v="3"/>
    <n v="5"/>
    <n v="98340"/>
  </r>
  <r>
    <x v="0"/>
    <x v="0"/>
    <x v="11"/>
    <n v="45"/>
    <n v="1"/>
    <n v="15"/>
    <x v="3"/>
    <n v="5"/>
    <x v="0"/>
    <n v="9"/>
    <n v="6"/>
    <n v="2"/>
    <n v="7"/>
    <n v="89980"/>
  </r>
  <r>
    <x v="0"/>
    <x v="0"/>
    <x v="12"/>
    <n v="96"/>
    <n v="1"/>
    <n v="30"/>
    <x v="1"/>
    <n v="7"/>
    <x v="1"/>
    <n v="11"/>
    <n v="22"/>
    <n v="1"/>
    <n v="21"/>
    <n v="154210"/>
  </r>
  <r>
    <x v="0"/>
    <x v="0"/>
    <x v="13"/>
    <n v="280"/>
    <n v="2"/>
    <n v="130"/>
    <x v="5"/>
    <n v="7"/>
    <x v="5"/>
    <n v="15"/>
    <n v="58"/>
    <n v="5"/>
    <n v="43"/>
    <n v="361420"/>
  </r>
  <r>
    <x v="0"/>
    <x v="0"/>
    <x v="14"/>
    <n v="786"/>
    <n v="26"/>
    <n v="141"/>
    <x v="1"/>
    <n v="18"/>
    <x v="6"/>
    <n v="113"/>
    <n v="234"/>
    <n v="40"/>
    <n v="203"/>
    <n v="581620"/>
  </r>
  <r>
    <x v="0"/>
    <x v="0"/>
    <x v="15"/>
    <n v="308"/>
    <n v="3"/>
    <n v="206"/>
    <x v="6"/>
    <n v="5"/>
    <x v="7"/>
    <n v="7"/>
    <n v="40"/>
    <n v="4"/>
    <n v="31"/>
    <n v="228750"/>
  </r>
  <r>
    <x v="0"/>
    <x v="0"/>
    <x v="16"/>
    <n v="74"/>
    <n v="1"/>
    <n v="37"/>
    <x v="3"/>
    <m/>
    <x v="1"/>
    <n v="16"/>
    <n v="9"/>
    <n v="2"/>
    <n v="8"/>
    <n v="81670"/>
  </r>
  <r>
    <x v="0"/>
    <x v="0"/>
    <x v="17"/>
    <n v="26"/>
    <m/>
    <n v="13"/>
    <x v="3"/>
    <n v="3"/>
    <x v="0"/>
    <n v="3"/>
    <n v="3"/>
    <n v="2"/>
    <n v="2"/>
    <n v="81900"/>
  </r>
  <r>
    <x v="0"/>
    <x v="0"/>
    <x v="18"/>
    <n v="59"/>
    <n v="1"/>
    <n v="39"/>
    <x v="0"/>
    <n v="2"/>
    <x v="1"/>
    <n v="4"/>
    <n v="5"/>
    <n v="1"/>
    <n v="5"/>
    <n v="93160"/>
  </r>
  <r>
    <x v="0"/>
    <x v="0"/>
    <x v="19"/>
    <n v="26"/>
    <m/>
    <n v="18"/>
    <x v="3"/>
    <n v="1"/>
    <x v="3"/>
    <n v="1"/>
    <n v="2"/>
    <n v="2"/>
    <m/>
    <n v="27420"/>
  </r>
  <r>
    <x v="0"/>
    <x v="0"/>
    <x v="20"/>
    <n v="149"/>
    <n v="4"/>
    <n v="63"/>
    <x v="1"/>
    <n v="2"/>
    <x v="1"/>
    <n v="22"/>
    <n v="15"/>
    <n v="4"/>
    <n v="36"/>
    <n v="137830"/>
  </r>
  <r>
    <x v="0"/>
    <x v="0"/>
    <x v="21"/>
    <n v="528"/>
    <n v="13"/>
    <n v="187"/>
    <x v="1"/>
    <n v="10"/>
    <x v="4"/>
    <n v="59"/>
    <n v="48"/>
    <n v="37"/>
    <n v="165"/>
    <n v="335160"/>
  </r>
  <r>
    <x v="0"/>
    <x v="0"/>
    <x v="22"/>
    <n v="12"/>
    <m/>
    <n v="7"/>
    <x v="3"/>
    <m/>
    <x v="0"/>
    <m/>
    <n v="2"/>
    <m/>
    <n v="3"/>
    <n v="20940"/>
  </r>
  <r>
    <x v="0"/>
    <x v="0"/>
    <x v="23"/>
    <n v="83"/>
    <n v="2"/>
    <n v="29"/>
    <x v="2"/>
    <n v="2"/>
    <x v="0"/>
    <n v="4"/>
    <n v="19"/>
    <n v="7"/>
    <n v="17"/>
    <n v="144370"/>
  </r>
  <r>
    <x v="0"/>
    <x v="0"/>
    <x v="24"/>
    <n v="100"/>
    <n v="2"/>
    <n v="39"/>
    <x v="3"/>
    <n v="3"/>
    <x v="3"/>
    <n v="17"/>
    <n v="13"/>
    <n v="8"/>
    <n v="16"/>
    <n v="173020"/>
  </r>
  <r>
    <x v="0"/>
    <x v="0"/>
    <x v="25"/>
    <n v="40"/>
    <n v="1"/>
    <n v="22"/>
    <x v="3"/>
    <n v="5"/>
    <x v="0"/>
    <n v="4"/>
    <n v="4"/>
    <n v="2"/>
    <n v="2"/>
    <n v="113590"/>
  </r>
  <r>
    <x v="0"/>
    <x v="0"/>
    <x v="26"/>
    <n v="11"/>
    <n v="1"/>
    <n v="3"/>
    <x v="3"/>
    <n v="1"/>
    <x v="0"/>
    <n v="2"/>
    <n v="2"/>
    <n v="1"/>
    <n v="1"/>
    <n v="22800"/>
  </r>
  <r>
    <x v="0"/>
    <x v="0"/>
    <x v="27"/>
    <n v="82"/>
    <n v="5"/>
    <n v="29"/>
    <x v="3"/>
    <n v="3"/>
    <x v="3"/>
    <n v="12"/>
    <n v="16"/>
    <n v="3"/>
    <n v="12"/>
    <n v="112490"/>
  </r>
  <r>
    <x v="0"/>
    <x v="0"/>
    <x v="28"/>
    <n v="427"/>
    <n v="11"/>
    <n v="163"/>
    <x v="2"/>
    <n v="10"/>
    <x v="3"/>
    <n v="49"/>
    <n v="52"/>
    <n v="19"/>
    <n v="118"/>
    <n v="312180"/>
  </r>
  <r>
    <x v="0"/>
    <x v="0"/>
    <x v="29"/>
    <n v="67"/>
    <n v="1"/>
    <n v="30"/>
    <x v="0"/>
    <n v="1"/>
    <x v="0"/>
    <n v="8"/>
    <n v="9"/>
    <n v="3"/>
    <n v="14"/>
    <n v="88690"/>
  </r>
  <r>
    <x v="0"/>
    <x v="0"/>
    <x v="30"/>
    <n v="186"/>
    <n v="8"/>
    <n v="78"/>
    <x v="0"/>
    <n v="1"/>
    <x v="3"/>
    <n v="23"/>
    <n v="21"/>
    <n v="6"/>
    <n v="46"/>
    <n v="91080"/>
  </r>
  <r>
    <x v="0"/>
    <x v="0"/>
    <x v="31"/>
    <n v="86"/>
    <n v="1"/>
    <n v="55"/>
    <x v="1"/>
    <n v="5"/>
    <x v="3"/>
    <n v="5"/>
    <n v="5"/>
    <m/>
    <n v="11"/>
    <n v="173040"/>
  </r>
  <r>
    <x v="1"/>
    <x v="0"/>
    <x v="0"/>
    <n v="77"/>
    <n v="1"/>
    <n v="16"/>
    <x v="0"/>
    <n v="9"/>
    <x v="0"/>
    <n v="1"/>
    <n v="33"/>
    <n v="8"/>
    <n v="8"/>
    <n v="219730"/>
  </r>
  <r>
    <x v="1"/>
    <x v="0"/>
    <x v="1"/>
    <n v="84"/>
    <m/>
    <n v="46"/>
    <x v="6"/>
    <n v="8"/>
    <x v="0"/>
    <n v="2"/>
    <n v="4"/>
    <m/>
    <n v="20"/>
    <n v="251430"/>
  </r>
  <r>
    <x v="1"/>
    <x v="0"/>
    <x v="2"/>
    <n v="58"/>
    <n v="4"/>
    <n v="33"/>
    <x v="0"/>
    <n v="5"/>
    <x v="0"/>
    <n v="5"/>
    <n v="5"/>
    <n v="2"/>
    <n v="3"/>
    <n v="115410"/>
  </r>
  <r>
    <x v="1"/>
    <x v="0"/>
    <x v="3"/>
    <n v="120"/>
    <n v="4"/>
    <n v="84"/>
    <x v="0"/>
    <n v="5"/>
    <x v="8"/>
    <n v="4"/>
    <n v="10"/>
    <n v="5"/>
    <n v="3"/>
    <n v="88620"/>
  </r>
  <r>
    <x v="1"/>
    <x v="0"/>
    <x v="4"/>
    <n v="311"/>
    <n v="1"/>
    <n v="69"/>
    <x v="1"/>
    <n v="22"/>
    <x v="1"/>
    <n v="19"/>
    <n v="159"/>
    <n v="17"/>
    <n v="21"/>
    <n v="469930"/>
  </r>
  <r>
    <x v="1"/>
    <x v="0"/>
    <x v="5"/>
    <n v="37"/>
    <m/>
    <n v="17"/>
    <x v="3"/>
    <n v="4"/>
    <x v="0"/>
    <n v="6"/>
    <n v="6"/>
    <m/>
    <n v="4"/>
    <n v="51330"/>
  </r>
  <r>
    <x v="1"/>
    <x v="0"/>
    <x v="6"/>
    <n v="93"/>
    <n v="2"/>
    <n v="52"/>
    <x v="3"/>
    <n v="5"/>
    <x v="0"/>
    <n v="8"/>
    <n v="15"/>
    <n v="2"/>
    <n v="9"/>
    <n v="151100"/>
  </r>
  <r>
    <x v="1"/>
    <x v="0"/>
    <x v="7"/>
    <n v="94"/>
    <n v="4"/>
    <n v="25"/>
    <x v="0"/>
    <n v="7"/>
    <x v="0"/>
    <n v="6"/>
    <n v="28"/>
    <n v="5"/>
    <n v="18"/>
    <n v="146060"/>
  </r>
  <r>
    <x v="1"/>
    <x v="0"/>
    <x v="8"/>
    <n v="51"/>
    <n v="4"/>
    <n v="24"/>
    <x v="3"/>
    <n v="2"/>
    <x v="3"/>
    <n v="8"/>
    <n v="4"/>
    <n v="1"/>
    <n v="6"/>
    <n v="122410"/>
  </r>
  <r>
    <x v="1"/>
    <x v="0"/>
    <x v="9"/>
    <n v="31"/>
    <n v="1"/>
    <n v="14"/>
    <x v="3"/>
    <n v="5"/>
    <x v="3"/>
    <n v="4"/>
    <n v="2"/>
    <m/>
    <n v="3"/>
    <n v="104920"/>
  </r>
  <r>
    <x v="1"/>
    <x v="0"/>
    <x v="10"/>
    <n v="34"/>
    <m/>
    <n v="22"/>
    <x v="3"/>
    <n v="1"/>
    <x v="1"/>
    <n v="2"/>
    <n v="8"/>
    <m/>
    <m/>
    <n v="99140"/>
  </r>
  <r>
    <x v="1"/>
    <x v="0"/>
    <x v="11"/>
    <n v="9"/>
    <n v="1"/>
    <n v="5"/>
    <x v="3"/>
    <m/>
    <x v="0"/>
    <m/>
    <n v="1"/>
    <n v="2"/>
    <m/>
    <n v="90410"/>
  </r>
  <r>
    <x v="1"/>
    <x v="0"/>
    <x v="12"/>
    <n v="111"/>
    <n v="3"/>
    <n v="53"/>
    <x v="3"/>
    <n v="2"/>
    <x v="0"/>
    <n v="14"/>
    <n v="25"/>
    <n v="3"/>
    <n v="11"/>
    <n v="155130"/>
  </r>
  <r>
    <x v="1"/>
    <x v="0"/>
    <x v="13"/>
    <n v="226"/>
    <n v="4"/>
    <n v="103"/>
    <x v="7"/>
    <n v="6"/>
    <x v="3"/>
    <n v="15"/>
    <n v="43"/>
    <n v="9"/>
    <n v="39"/>
    <n v="362610"/>
  </r>
  <r>
    <x v="1"/>
    <x v="0"/>
    <x v="14"/>
    <n v="187"/>
    <n v="5"/>
    <n v="29"/>
    <x v="3"/>
    <n v="15"/>
    <x v="2"/>
    <n v="16"/>
    <n v="70"/>
    <n v="12"/>
    <n v="37"/>
    <n v="586500"/>
  </r>
  <r>
    <x v="1"/>
    <x v="0"/>
    <x v="15"/>
    <n v="342"/>
    <n v="1"/>
    <n v="256"/>
    <x v="3"/>
    <n v="8"/>
    <x v="1"/>
    <n v="23"/>
    <n v="29"/>
    <n v="5"/>
    <n v="19"/>
    <n v="230730"/>
  </r>
  <r>
    <x v="1"/>
    <x v="0"/>
    <x v="16"/>
    <n v="14"/>
    <n v="1"/>
    <n v="3"/>
    <x v="3"/>
    <n v="3"/>
    <x v="1"/>
    <n v="2"/>
    <n v="3"/>
    <m/>
    <n v="1"/>
    <n v="81510"/>
  </r>
  <r>
    <x v="1"/>
    <x v="0"/>
    <x v="17"/>
    <n v="29"/>
    <m/>
    <n v="11"/>
    <x v="0"/>
    <n v="1"/>
    <x v="3"/>
    <n v="5"/>
    <n v="4"/>
    <n v="2"/>
    <n v="3"/>
    <n v="82360"/>
  </r>
  <r>
    <x v="1"/>
    <x v="0"/>
    <x v="18"/>
    <n v="42"/>
    <m/>
    <n v="19"/>
    <x v="0"/>
    <n v="3"/>
    <x v="1"/>
    <n v="3"/>
    <n v="7"/>
    <m/>
    <n v="8"/>
    <n v="93690"/>
  </r>
  <r>
    <x v="1"/>
    <x v="0"/>
    <x v="19"/>
    <n v="33"/>
    <m/>
    <n v="28"/>
    <x v="3"/>
    <n v="2"/>
    <x v="0"/>
    <m/>
    <m/>
    <m/>
    <n v="3"/>
    <n v="27600"/>
  </r>
  <r>
    <x v="1"/>
    <x v="0"/>
    <x v="20"/>
    <n v="57"/>
    <n v="2"/>
    <n v="29"/>
    <x v="0"/>
    <n v="4"/>
    <x v="1"/>
    <n v="4"/>
    <n v="6"/>
    <n v="2"/>
    <n v="8"/>
    <n v="137800"/>
  </r>
  <r>
    <x v="1"/>
    <x v="0"/>
    <x v="21"/>
    <n v="58"/>
    <m/>
    <n v="27"/>
    <x v="3"/>
    <n v="9"/>
    <x v="2"/>
    <n v="6"/>
    <n v="1"/>
    <n v="4"/>
    <n v="8"/>
    <n v="336280"/>
  </r>
  <r>
    <x v="1"/>
    <x v="0"/>
    <x v="22"/>
    <n v="4"/>
    <n v="1"/>
    <n v="1"/>
    <x v="3"/>
    <m/>
    <x v="0"/>
    <m/>
    <n v="1"/>
    <m/>
    <n v="1"/>
    <n v="21220"/>
  </r>
  <r>
    <x v="1"/>
    <x v="0"/>
    <x v="23"/>
    <n v="112"/>
    <n v="3"/>
    <n v="61"/>
    <x v="0"/>
    <n v="2"/>
    <x v="2"/>
    <n v="4"/>
    <n v="24"/>
    <n v="6"/>
    <n v="8"/>
    <n v="145600"/>
  </r>
  <r>
    <x v="1"/>
    <x v="0"/>
    <x v="24"/>
    <n v="29"/>
    <m/>
    <n v="6"/>
    <x v="0"/>
    <n v="9"/>
    <x v="1"/>
    <n v="4"/>
    <n v="6"/>
    <n v="1"/>
    <n v="1"/>
    <n v="173700"/>
  </r>
  <r>
    <x v="1"/>
    <x v="0"/>
    <x v="25"/>
    <n v="49"/>
    <n v="1"/>
    <n v="29"/>
    <x v="1"/>
    <n v="4"/>
    <x v="0"/>
    <n v="7"/>
    <n v="2"/>
    <m/>
    <n v="4"/>
    <n v="113700"/>
  </r>
  <r>
    <x v="1"/>
    <x v="0"/>
    <x v="26"/>
    <n v="17"/>
    <m/>
    <n v="11"/>
    <x v="3"/>
    <m/>
    <x v="0"/>
    <n v="2"/>
    <n v="1"/>
    <n v="1"/>
    <n v="2"/>
    <n v="23060"/>
  </r>
  <r>
    <x v="1"/>
    <x v="0"/>
    <x v="27"/>
    <n v="49"/>
    <n v="2"/>
    <n v="15"/>
    <x v="3"/>
    <n v="5"/>
    <x v="2"/>
    <n v="7"/>
    <n v="7"/>
    <m/>
    <n v="10"/>
    <n v="112600"/>
  </r>
  <r>
    <x v="1"/>
    <x v="0"/>
    <x v="28"/>
    <n v="83"/>
    <n v="1"/>
    <n v="38"/>
    <x v="2"/>
    <n v="13"/>
    <x v="9"/>
    <n v="5"/>
    <n v="6"/>
    <m/>
    <n v="11"/>
    <n v="313180"/>
  </r>
  <r>
    <x v="1"/>
    <x v="0"/>
    <x v="29"/>
    <n v="59"/>
    <n v="1"/>
    <n v="31"/>
    <x v="0"/>
    <n v="1"/>
    <x v="0"/>
    <n v="8"/>
    <n v="6"/>
    <n v="1"/>
    <n v="10"/>
    <n v="89550"/>
  </r>
  <r>
    <x v="1"/>
    <x v="0"/>
    <x v="30"/>
    <n v="20"/>
    <n v="3"/>
    <n v="10"/>
    <x v="3"/>
    <m/>
    <x v="1"/>
    <m/>
    <n v="4"/>
    <m/>
    <n v="2"/>
    <n v="90800"/>
  </r>
  <r>
    <x v="1"/>
    <x v="0"/>
    <x v="31"/>
    <n v="95"/>
    <n v="3"/>
    <n v="63"/>
    <x v="3"/>
    <n v="6"/>
    <x v="3"/>
    <n v="4"/>
    <n v="3"/>
    <n v="3"/>
    <n v="11"/>
    <n v="174090"/>
  </r>
  <r>
    <x v="2"/>
    <x v="0"/>
    <x v="0"/>
    <n v="91"/>
    <m/>
    <n v="29"/>
    <x v="0"/>
    <n v="6"/>
    <x v="0"/>
    <n v="1"/>
    <n v="37"/>
    <n v="5"/>
    <n v="12"/>
    <n v="222460"/>
  </r>
  <r>
    <x v="2"/>
    <x v="0"/>
    <x v="1"/>
    <n v="130"/>
    <n v="1"/>
    <n v="74"/>
    <x v="4"/>
    <n v="5"/>
    <x v="0"/>
    <n v="5"/>
    <n v="9"/>
    <n v="9"/>
    <n v="21"/>
    <n v="253650"/>
  </r>
  <r>
    <x v="2"/>
    <x v="0"/>
    <x v="2"/>
    <n v="75"/>
    <n v="2"/>
    <n v="33"/>
    <x v="0"/>
    <n v="5"/>
    <x v="1"/>
    <n v="3"/>
    <n v="16"/>
    <n v="2"/>
    <n v="12"/>
    <n v="116200"/>
  </r>
  <r>
    <x v="2"/>
    <x v="0"/>
    <x v="3"/>
    <n v="72"/>
    <n v="4"/>
    <n v="44"/>
    <x v="3"/>
    <n v="7"/>
    <x v="0"/>
    <n v="6"/>
    <n v="6"/>
    <n v="2"/>
    <n v="3"/>
    <n v="88930"/>
  </r>
  <r>
    <x v="2"/>
    <x v="0"/>
    <x v="4"/>
    <n v="340"/>
    <n v="4"/>
    <n v="67"/>
    <x v="1"/>
    <n v="8"/>
    <x v="0"/>
    <n v="29"/>
    <n v="199"/>
    <n v="12"/>
    <n v="19"/>
    <n v="477940"/>
  </r>
  <r>
    <x v="2"/>
    <x v="0"/>
    <x v="5"/>
    <n v="16"/>
    <n v="1"/>
    <n v="9"/>
    <x v="3"/>
    <n v="1"/>
    <x v="0"/>
    <n v="1"/>
    <n v="2"/>
    <m/>
    <n v="2"/>
    <n v="51500"/>
  </r>
  <r>
    <x v="2"/>
    <x v="0"/>
    <x v="6"/>
    <n v="90"/>
    <n v="1"/>
    <n v="37"/>
    <x v="3"/>
    <n v="13"/>
    <x v="0"/>
    <n v="3"/>
    <n v="14"/>
    <n v="3"/>
    <n v="19"/>
    <n v="151410"/>
  </r>
  <r>
    <x v="2"/>
    <x v="0"/>
    <x v="7"/>
    <n v="101"/>
    <n v="4"/>
    <n v="23"/>
    <x v="1"/>
    <n v="5"/>
    <x v="0"/>
    <n v="13"/>
    <n v="28"/>
    <n v="4"/>
    <n v="22"/>
    <n v="147200"/>
  </r>
  <r>
    <x v="2"/>
    <x v="0"/>
    <x v="8"/>
    <n v="41"/>
    <n v="3"/>
    <n v="11"/>
    <x v="0"/>
    <n v="6"/>
    <x v="9"/>
    <n v="3"/>
    <n v="1"/>
    <m/>
    <n v="10"/>
    <n v="122690"/>
  </r>
  <r>
    <x v="2"/>
    <x v="0"/>
    <x v="9"/>
    <n v="21"/>
    <n v="1"/>
    <n v="7"/>
    <x v="0"/>
    <n v="1"/>
    <x v="3"/>
    <n v="3"/>
    <n v="2"/>
    <n v="1"/>
    <n v="3"/>
    <n v="105000"/>
  </r>
  <r>
    <x v="2"/>
    <x v="0"/>
    <x v="10"/>
    <n v="47"/>
    <n v="1"/>
    <n v="22"/>
    <x v="2"/>
    <n v="3"/>
    <x v="0"/>
    <n v="7"/>
    <n v="8"/>
    <n v="1"/>
    <n v="2"/>
    <n v="99920"/>
  </r>
  <r>
    <x v="2"/>
    <x v="0"/>
    <x v="11"/>
    <n v="7"/>
    <m/>
    <n v="3"/>
    <x v="3"/>
    <n v="2"/>
    <x v="0"/>
    <m/>
    <m/>
    <m/>
    <n v="2"/>
    <n v="90810"/>
  </r>
  <r>
    <x v="2"/>
    <x v="0"/>
    <x v="12"/>
    <n v="93"/>
    <n v="3"/>
    <n v="31"/>
    <x v="0"/>
    <n v="3"/>
    <x v="1"/>
    <n v="15"/>
    <n v="24"/>
    <n v="2"/>
    <n v="13"/>
    <n v="156250"/>
  </r>
  <r>
    <x v="2"/>
    <x v="0"/>
    <x v="13"/>
    <n v="158"/>
    <n v="4"/>
    <n v="61"/>
    <x v="1"/>
    <n v="14"/>
    <x v="3"/>
    <n v="6"/>
    <n v="35"/>
    <n v="5"/>
    <n v="29"/>
    <n v="365300"/>
  </r>
  <r>
    <x v="2"/>
    <x v="0"/>
    <x v="14"/>
    <n v="164"/>
    <n v="3"/>
    <n v="23"/>
    <x v="3"/>
    <n v="14"/>
    <x v="3"/>
    <n v="13"/>
    <n v="68"/>
    <n v="8"/>
    <n v="33"/>
    <n v="593060"/>
  </r>
  <r>
    <x v="2"/>
    <x v="0"/>
    <x v="15"/>
    <n v="376"/>
    <n v="4"/>
    <n v="283"/>
    <x v="2"/>
    <n v="8"/>
    <x v="3"/>
    <n v="18"/>
    <n v="34"/>
    <n v="7"/>
    <n v="17"/>
    <n v="232730"/>
  </r>
  <r>
    <x v="2"/>
    <x v="0"/>
    <x v="16"/>
    <n v="10"/>
    <m/>
    <n v="2"/>
    <x v="3"/>
    <n v="1"/>
    <x v="1"/>
    <n v="2"/>
    <n v="2"/>
    <n v="1"/>
    <n v="1"/>
    <n v="81220"/>
  </r>
  <r>
    <x v="2"/>
    <x v="0"/>
    <x v="17"/>
    <n v="31"/>
    <m/>
    <n v="15"/>
    <x v="0"/>
    <n v="3"/>
    <x v="0"/>
    <m/>
    <n v="3"/>
    <n v="2"/>
    <n v="7"/>
    <n v="83450"/>
  </r>
  <r>
    <x v="2"/>
    <x v="0"/>
    <x v="18"/>
    <n v="61"/>
    <n v="3"/>
    <n v="40"/>
    <x v="1"/>
    <n v="2"/>
    <x v="0"/>
    <n v="2"/>
    <n v="3"/>
    <n v="2"/>
    <n v="7"/>
    <n v="93470"/>
  </r>
  <r>
    <x v="2"/>
    <x v="0"/>
    <x v="19"/>
    <n v="68"/>
    <m/>
    <n v="61"/>
    <x v="0"/>
    <n v="1"/>
    <x v="0"/>
    <m/>
    <n v="3"/>
    <n v="1"/>
    <n v="1"/>
    <n v="27690"/>
  </r>
  <r>
    <x v="2"/>
    <x v="0"/>
    <x v="20"/>
    <n v="32"/>
    <m/>
    <n v="13"/>
    <x v="0"/>
    <n v="5"/>
    <x v="0"/>
    <n v="6"/>
    <n v="3"/>
    <m/>
    <n v="4"/>
    <n v="138090"/>
  </r>
  <r>
    <x v="2"/>
    <x v="0"/>
    <x v="21"/>
    <n v="59"/>
    <n v="2"/>
    <n v="17"/>
    <x v="3"/>
    <n v="8"/>
    <x v="1"/>
    <n v="9"/>
    <n v="9"/>
    <n v="4"/>
    <n v="9"/>
    <n v="337720"/>
  </r>
  <r>
    <x v="2"/>
    <x v="0"/>
    <x v="22"/>
    <n v="6"/>
    <m/>
    <n v="3"/>
    <x v="0"/>
    <m/>
    <x v="0"/>
    <m/>
    <m/>
    <m/>
    <n v="2"/>
    <n v="21420"/>
  </r>
  <r>
    <x v="2"/>
    <x v="0"/>
    <x v="23"/>
    <n v="103"/>
    <n v="4"/>
    <n v="37"/>
    <x v="1"/>
    <n v="6"/>
    <x v="1"/>
    <n v="6"/>
    <n v="30"/>
    <n v="2"/>
    <n v="15"/>
    <n v="146850"/>
  </r>
  <r>
    <x v="2"/>
    <x v="0"/>
    <x v="24"/>
    <n v="38"/>
    <n v="1"/>
    <n v="13"/>
    <x v="3"/>
    <n v="8"/>
    <x v="0"/>
    <n v="3"/>
    <n v="6"/>
    <n v="2"/>
    <n v="5"/>
    <n v="174700"/>
  </r>
  <r>
    <x v="2"/>
    <x v="0"/>
    <x v="25"/>
    <n v="37"/>
    <n v="3"/>
    <n v="17"/>
    <x v="0"/>
    <m/>
    <x v="0"/>
    <n v="7"/>
    <n v="4"/>
    <m/>
    <n v="5"/>
    <n v="113880"/>
  </r>
  <r>
    <x v="2"/>
    <x v="0"/>
    <x v="26"/>
    <n v="9"/>
    <m/>
    <n v="2"/>
    <x v="3"/>
    <n v="3"/>
    <x v="0"/>
    <m/>
    <n v="2"/>
    <m/>
    <n v="2"/>
    <n v="23240"/>
  </r>
  <r>
    <x v="2"/>
    <x v="0"/>
    <x v="27"/>
    <n v="31"/>
    <n v="1"/>
    <n v="9"/>
    <x v="3"/>
    <n v="6"/>
    <x v="1"/>
    <n v="5"/>
    <n v="7"/>
    <m/>
    <n v="2"/>
    <n v="112980"/>
  </r>
  <r>
    <x v="2"/>
    <x v="0"/>
    <x v="28"/>
    <n v="61"/>
    <n v="3"/>
    <n v="24"/>
    <x v="0"/>
    <n v="6"/>
    <x v="2"/>
    <n v="8"/>
    <n v="9"/>
    <n v="1"/>
    <n v="6"/>
    <n v="313900"/>
  </r>
  <r>
    <x v="2"/>
    <x v="0"/>
    <x v="29"/>
    <n v="40"/>
    <m/>
    <n v="20"/>
    <x v="0"/>
    <n v="2"/>
    <x v="0"/>
    <n v="3"/>
    <n v="8"/>
    <n v="1"/>
    <n v="5"/>
    <n v="90330"/>
  </r>
  <r>
    <x v="2"/>
    <x v="0"/>
    <x v="30"/>
    <n v="13"/>
    <n v="2"/>
    <n v="2"/>
    <x v="3"/>
    <n v="4"/>
    <x v="0"/>
    <m/>
    <n v="2"/>
    <m/>
    <n v="3"/>
    <n v="90610"/>
  </r>
  <r>
    <x v="2"/>
    <x v="0"/>
    <x v="31"/>
    <n v="64"/>
    <m/>
    <n v="39"/>
    <x v="3"/>
    <n v="5"/>
    <x v="1"/>
    <n v="7"/>
    <n v="5"/>
    <n v="3"/>
    <n v="4"/>
    <n v="175300"/>
  </r>
  <r>
    <x v="3"/>
    <x v="0"/>
    <x v="0"/>
    <n v="100"/>
    <n v="3"/>
    <n v="14"/>
    <x v="0"/>
    <n v="4"/>
    <x v="0"/>
    <n v="1"/>
    <n v="44"/>
    <n v="5"/>
    <n v="28"/>
    <n v="224910"/>
  </r>
  <r>
    <x v="3"/>
    <x v="0"/>
    <x v="1"/>
    <n v="85"/>
    <n v="1"/>
    <n v="27"/>
    <x v="4"/>
    <n v="5"/>
    <x v="0"/>
    <n v="2"/>
    <n v="7"/>
    <n v="3"/>
    <n v="34"/>
    <n v="255560"/>
  </r>
  <r>
    <x v="3"/>
    <x v="0"/>
    <x v="2"/>
    <n v="51"/>
    <n v="2"/>
    <n v="17"/>
    <x v="3"/>
    <n v="4"/>
    <x v="0"/>
    <n v="3"/>
    <n v="14"/>
    <n v="1"/>
    <n v="10"/>
    <n v="116220"/>
  </r>
  <r>
    <x v="3"/>
    <x v="0"/>
    <x v="3"/>
    <n v="63"/>
    <n v="3"/>
    <n v="38"/>
    <x v="0"/>
    <n v="2"/>
    <x v="0"/>
    <n v="6"/>
    <n v="9"/>
    <m/>
    <n v="4"/>
    <n v="86910"/>
  </r>
  <r>
    <x v="3"/>
    <x v="0"/>
    <x v="4"/>
    <n v="271"/>
    <n v="1"/>
    <n v="36"/>
    <x v="3"/>
    <n v="8"/>
    <x v="1"/>
    <n v="34"/>
    <n v="164"/>
    <n v="13"/>
    <n v="14"/>
    <n v="482630"/>
  </r>
  <r>
    <x v="3"/>
    <x v="0"/>
    <x v="5"/>
    <n v="10"/>
    <m/>
    <n v="2"/>
    <x v="3"/>
    <n v="2"/>
    <x v="0"/>
    <n v="1"/>
    <n v="3"/>
    <n v="2"/>
    <m/>
    <n v="51280"/>
  </r>
  <r>
    <x v="3"/>
    <x v="0"/>
    <x v="6"/>
    <n v="48"/>
    <n v="1"/>
    <n v="7"/>
    <x v="3"/>
    <n v="12"/>
    <x v="0"/>
    <n v="1"/>
    <n v="5"/>
    <n v="1"/>
    <n v="21"/>
    <n v="150840"/>
  </r>
  <r>
    <x v="3"/>
    <x v="0"/>
    <x v="7"/>
    <n v="48"/>
    <n v="1"/>
    <n v="8"/>
    <x v="3"/>
    <n v="4"/>
    <x v="0"/>
    <n v="3"/>
    <n v="19"/>
    <n v="5"/>
    <n v="8"/>
    <n v="147780"/>
  </r>
  <r>
    <x v="3"/>
    <x v="0"/>
    <x v="8"/>
    <n v="33"/>
    <m/>
    <n v="15"/>
    <x v="3"/>
    <n v="5"/>
    <x v="1"/>
    <n v="4"/>
    <n v="3"/>
    <m/>
    <n v="5"/>
    <n v="122730"/>
  </r>
  <r>
    <x v="3"/>
    <x v="0"/>
    <x v="9"/>
    <n v="15"/>
    <m/>
    <n v="5"/>
    <x v="3"/>
    <n v="2"/>
    <x v="1"/>
    <m/>
    <n v="4"/>
    <n v="1"/>
    <n v="2"/>
    <n v="105880"/>
  </r>
  <r>
    <x v="3"/>
    <x v="0"/>
    <x v="10"/>
    <n v="22"/>
    <n v="1"/>
    <n v="7"/>
    <x v="3"/>
    <n v="2"/>
    <x v="1"/>
    <n v="1"/>
    <n v="5"/>
    <n v="3"/>
    <n v="2"/>
    <n v="100860"/>
  </r>
  <r>
    <x v="3"/>
    <x v="0"/>
    <x v="11"/>
    <n v="12"/>
    <m/>
    <n v="7"/>
    <x v="3"/>
    <n v="1"/>
    <x v="1"/>
    <n v="1"/>
    <n v="2"/>
    <m/>
    <m/>
    <n v="91040"/>
  </r>
  <r>
    <x v="3"/>
    <x v="0"/>
    <x v="12"/>
    <n v="51"/>
    <n v="3"/>
    <n v="19"/>
    <x v="3"/>
    <n v="3"/>
    <x v="0"/>
    <n v="3"/>
    <n v="17"/>
    <m/>
    <n v="6"/>
    <n v="156800"/>
  </r>
  <r>
    <x v="3"/>
    <x v="0"/>
    <x v="13"/>
    <n v="130"/>
    <n v="1"/>
    <n v="40"/>
    <x v="0"/>
    <n v="11"/>
    <x v="1"/>
    <m/>
    <n v="38"/>
    <n v="7"/>
    <n v="31"/>
    <n v="366210"/>
  </r>
  <r>
    <x v="3"/>
    <x v="0"/>
    <x v="14"/>
    <n v="187"/>
    <n v="2"/>
    <n v="34"/>
    <x v="3"/>
    <n v="21"/>
    <x v="0"/>
    <n v="6"/>
    <n v="95"/>
    <n v="6"/>
    <n v="23"/>
    <n v="595070"/>
  </r>
  <r>
    <x v="3"/>
    <x v="0"/>
    <x v="15"/>
    <n v="344"/>
    <n v="5"/>
    <n v="269"/>
    <x v="0"/>
    <n v="7"/>
    <x v="1"/>
    <n v="23"/>
    <n v="21"/>
    <n v="4"/>
    <n v="13"/>
    <n v="232890"/>
  </r>
  <r>
    <x v="3"/>
    <x v="0"/>
    <x v="16"/>
    <n v="23"/>
    <n v="2"/>
    <n v="5"/>
    <x v="3"/>
    <n v="2"/>
    <x v="1"/>
    <n v="4"/>
    <n v="5"/>
    <n v="2"/>
    <n v="2"/>
    <n v="80690"/>
  </r>
  <r>
    <x v="3"/>
    <x v="0"/>
    <x v="17"/>
    <n v="22"/>
    <m/>
    <n v="7"/>
    <x v="3"/>
    <n v="1"/>
    <x v="0"/>
    <n v="4"/>
    <n v="6"/>
    <n v="2"/>
    <n v="2"/>
    <n v="84240"/>
  </r>
  <r>
    <x v="3"/>
    <x v="0"/>
    <x v="18"/>
    <n v="37"/>
    <m/>
    <n v="23"/>
    <x v="3"/>
    <n v="3"/>
    <x v="0"/>
    <m/>
    <n v="4"/>
    <n v="1"/>
    <n v="6"/>
    <n v="92930"/>
  </r>
  <r>
    <x v="3"/>
    <x v="0"/>
    <x v="19"/>
    <n v="117"/>
    <n v="1"/>
    <n v="109"/>
    <x v="3"/>
    <n v="2"/>
    <x v="0"/>
    <n v="3"/>
    <n v="1"/>
    <m/>
    <n v="1"/>
    <n v="27560"/>
  </r>
  <r>
    <x v="3"/>
    <x v="0"/>
    <x v="20"/>
    <n v="37"/>
    <n v="2"/>
    <n v="13"/>
    <x v="0"/>
    <n v="6"/>
    <x v="0"/>
    <n v="5"/>
    <n v="4"/>
    <m/>
    <n v="6"/>
    <n v="137570"/>
  </r>
  <r>
    <x v="3"/>
    <x v="0"/>
    <x v="21"/>
    <n v="39"/>
    <n v="2"/>
    <n v="16"/>
    <x v="3"/>
    <n v="3"/>
    <x v="0"/>
    <n v="3"/>
    <n v="8"/>
    <n v="4"/>
    <n v="3"/>
    <n v="337890"/>
  </r>
  <r>
    <x v="3"/>
    <x v="0"/>
    <x v="22"/>
    <n v="5"/>
    <m/>
    <n v="4"/>
    <x v="3"/>
    <m/>
    <x v="0"/>
    <m/>
    <n v="1"/>
    <m/>
    <m/>
    <n v="21530"/>
  </r>
  <r>
    <x v="3"/>
    <x v="0"/>
    <x v="23"/>
    <n v="48"/>
    <n v="4"/>
    <n v="14"/>
    <x v="0"/>
    <n v="3"/>
    <x v="0"/>
    <n v="6"/>
    <n v="9"/>
    <n v="5"/>
    <n v="6"/>
    <n v="147740"/>
  </r>
  <r>
    <x v="3"/>
    <x v="0"/>
    <x v="24"/>
    <n v="26"/>
    <n v="1"/>
    <n v="7"/>
    <x v="3"/>
    <n v="6"/>
    <x v="0"/>
    <n v="5"/>
    <n v="2"/>
    <n v="1"/>
    <n v="4"/>
    <n v="174300"/>
  </r>
  <r>
    <x v="3"/>
    <x v="0"/>
    <x v="25"/>
    <n v="19"/>
    <m/>
    <n v="7"/>
    <x v="1"/>
    <n v="4"/>
    <x v="0"/>
    <m/>
    <n v="5"/>
    <n v="1"/>
    <m/>
    <n v="113720"/>
  </r>
  <r>
    <x v="3"/>
    <x v="0"/>
    <x v="26"/>
    <n v="10"/>
    <m/>
    <n v="6"/>
    <x v="3"/>
    <n v="2"/>
    <x v="3"/>
    <m/>
    <m/>
    <m/>
    <m/>
    <n v="23210"/>
  </r>
  <r>
    <x v="3"/>
    <x v="0"/>
    <x v="27"/>
    <n v="32"/>
    <m/>
    <n v="13"/>
    <x v="3"/>
    <n v="5"/>
    <x v="0"/>
    <n v="1"/>
    <n v="9"/>
    <n v="2"/>
    <n v="2"/>
    <n v="112920"/>
  </r>
  <r>
    <x v="3"/>
    <x v="0"/>
    <x v="28"/>
    <n v="51"/>
    <n v="2"/>
    <n v="10"/>
    <x v="3"/>
    <n v="8"/>
    <x v="2"/>
    <n v="8"/>
    <n v="14"/>
    <m/>
    <n v="6"/>
    <n v="314330"/>
  </r>
  <r>
    <x v="3"/>
    <x v="0"/>
    <x v="29"/>
    <n v="34"/>
    <n v="2"/>
    <n v="12"/>
    <x v="3"/>
    <n v="3"/>
    <x v="0"/>
    <n v="3"/>
    <n v="5"/>
    <n v="3"/>
    <n v="6"/>
    <n v="91010"/>
  </r>
  <r>
    <x v="3"/>
    <x v="0"/>
    <x v="30"/>
    <n v="13"/>
    <n v="3"/>
    <n v="4"/>
    <x v="3"/>
    <n v="2"/>
    <x v="1"/>
    <m/>
    <n v="2"/>
    <m/>
    <n v="1"/>
    <n v="90340"/>
  </r>
  <r>
    <x v="3"/>
    <x v="0"/>
    <x v="31"/>
    <n v="38"/>
    <n v="1"/>
    <n v="13"/>
    <x v="3"/>
    <n v="2"/>
    <x v="0"/>
    <n v="12"/>
    <n v="3"/>
    <n v="5"/>
    <n v="2"/>
    <n v="176010"/>
  </r>
  <r>
    <x v="4"/>
    <x v="0"/>
    <x v="0"/>
    <n v="153"/>
    <m/>
    <n v="37"/>
    <x v="3"/>
    <n v="11"/>
    <x v="0"/>
    <n v="2"/>
    <n v="68"/>
    <n v="4"/>
    <n v="31"/>
    <n v="227070"/>
  </r>
  <r>
    <x v="4"/>
    <x v="0"/>
    <x v="1"/>
    <n v="160"/>
    <n v="3"/>
    <n v="77"/>
    <x v="4"/>
    <n v="6"/>
    <x v="0"/>
    <m/>
    <n v="12"/>
    <n v="5"/>
    <n v="51"/>
    <n v="257770"/>
  </r>
  <r>
    <x v="4"/>
    <x v="0"/>
    <x v="2"/>
    <n v="60"/>
    <n v="1"/>
    <n v="32"/>
    <x v="3"/>
    <n v="5"/>
    <x v="1"/>
    <n v="8"/>
    <n v="6"/>
    <n v="1"/>
    <n v="6"/>
    <n v="116290"/>
  </r>
  <r>
    <x v="4"/>
    <x v="0"/>
    <x v="3"/>
    <n v="78"/>
    <n v="3"/>
    <n v="46"/>
    <x v="1"/>
    <n v="4"/>
    <x v="1"/>
    <n v="11"/>
    <n v="6"/>
    <n v="1"/>
    <n v="4"/>
    <n v="88050"/>
  </r>
  <r>
    <x v="4"/>
    <x v="0"/>
    <x v="4"/>
    <n v="438"/>
    <n v="1"/>
    <n v="83"/>
    <x v="3"/>
    <n v="16"/>
    <x v="3"/>
    <n v="37"/>
    <n v="228"/>
    <n v="48"/>
    <n v="23"/>
    <n v="487460"/>
  </r>
  <r>
    <x v="4"/>
    <x v="0"/>
    <x v="5"/>
    <n v="17"/>
    <m/>
    <n v="12"/>
    <x v="3"/>
    <m/>
    <x v="0"/>
    <m/>
    <n v="3"/>
    <n v="1"/>
    <n v="1"/>
    <n v="51280"/>
  </r>
  <r>
    <x v="4"/>
    <x v="0"/>
    <x v="6"/>
    <n v="85"/>
    <n v="1"/>
    <n v="37"/>
    <x v="3"/>
    <n v="12"/>
    <x v="1"/>
    <n v="1"/>
    <n v="12"/>
    <m/>
    <n v="21"/>
    <n v="150280"/>
  </r>
  <r>
    <x v="4"/>
    <x v="0"/>
    <x v="7"/>
    <n v="69"/>
    <n v="1"/>
    <n v="23"/>
    <x v="3"/>
    <n v="4"/>
    <x v="1"/>
    <n v="7"/>
    <n v="19"/>
    <n v="5"/>
    <n v="9"/>
    <n v="148100"/>
  </r>
  <r>
    <x v="4"/>
    <x v="0"/>
    <x v="8"/>
    <n v="43"/>
    <n v="1"/>
    <n v="16"/>
    <x v="1"/>
    <n v="2"/>
    <x v="1"/>
    <n v="4"/>
    <n v="7"/>
    <n v="2"/>
    <n v="8"/>
    <n v="122430"/>
  </r>
  <r>
    <x v="4"/>
    <x v="0"/>
    <x v="9"/>
    <n v="28"/>
    <m/>
    <n v="12"/>
    <x v="0"/>
    <n v="4"/>
    <x v="2"/>
    <n v="1"/>
    <n v="3"/>
    <n v="1"/>
    <n v="3"/>
    <n v="105840"/>
  </r>
  <r>
    <x v="4"/>
    <x v="0"/>
    <x v="10"/>
    <n v="83"/>
    <m/>
    <n v="47"/>
    <x v="3"/>
    <n v="2"/>
    <x v="0"/>
    <n v="13"/>
    <n v="15"/>
    <n v="3"/>
    <n v="3"/>
    <n v="101390"/>
  </r>
  <r>
    <x v="4"/>
    <x v="0"/>
    <x v="11"/>
    <n v="22"/>
    <m/>
    <n v="10"/>
    <x v="3"/>
    <n v="1"/>
    <x v="3"/>
    <n v="3"/>
    <n v="5"/>
    <n v="1"/>
    <m/>
    <n v="91530"/>
  </r>
  <r>
    <x v="4"/>
    <x v="0"/>
    <x v="12"/>
    <n v="110"/>
    <m/>
    <n v="56"/>
    <x v="3"/>
    <n v="7"/>
    <x v="0"/>
    <n v="11"/>
    <n v="22"/>
    <n v="6"/>
    <n v="8"/>
    <n v="157160"/>
  </r>
  <r>
    <x v="4"/>
    <x v="0"/>
    <x v="13"/>
    <n v="180"/>
    <n v="1"/>
    <n v="85"/>
    <x v="4"/>
    <n v="14"/>
    <x v="0"/>
    <n v="1"/>
    <n v="29"/>
    <n v="4"/>
    <n v="40"/>
    <n v="366900"/>
  </r>
  <r>
    <x v="4"/>
    <x v="0"/>
    <x v="14"/>
    <n v="191"/>
    <n v="1"/>
    <n v="60"/>
    <x v="0"/>
    <n v="16"/>
    <x v="0"/>
    <n v="9"/>
    <n v="81"/>
    <n v="6"/>
    <n v="17"/>
    <n v="596520"/>
  </r>
  <r>
    <x v="4"/>
    <x v="0"/>
    <x v="15"/>
    <n v="371"/>
    <n v="7"/>
    <n v="281"/>
    <x v="0"/>
    <n v="14"/>
    <x v="1"/>
    <n v="20"/>
    <n v="22"/>
    <n v="7"/>
    <n v="18"/>
    <n v="232930"/>
  </r>
  <r>
    <x v="4"/>
    <x v="0"/>
    <x v="16"/>
    <n v="32"/>
    <m/>
    <n v="16"/>
    <x v="1"/>
    <n v="6"/>
    <x v="0"/>
    <n v="3"/>
    <n v="3"/>
    <n v="1"/>
    <n v="1"/>
    <n v="80340"/>
  </r>
  <r>
    <x v="4"/>
    <x v="0"/>
    <x v="17"/>
    <n v="64"/>
    <m/>
    <n v="33"/>
    <x v="1"/>
    <n v="4"/>
    <x v="3"/>
    <n v="10"/>
    <n v="8"/>
    <n v="1"/>
    <n v="4"/>
    <n v="84710"/>
  </r>
  <r>
    <x v="4"/>
    <x v="0"/>
    <x v="18"/>
    <n v="54"/>
    <m/>
    <n v="40"/>
    <x v="1"/>
    <n v="2"/>
    <x v="0"/>
    <m/>
    <n v="3"/>
    <n v="1"/>
    <n v="6"/>
    <n v="94360"/>
  </r>
  <r>
    <x v="4"/>
    <x v="0"/>
    <x v="19"/>
    <n v="77"/>
    <m/>
    <n v="71"/>
    <x v="3"/>
    <n v="2"/>
    <x v="1"/>
    <m/>
    <n v="1"/>
    <m/>
    <n v="2"/>
    <n v="27400"/>
  </r>
  <r>
    <x v="4"/>
    <x v="0"/>
    <x v="20"/>
    <n v="61"/>
    <m/>
    <n v="23"/>
    <x v="3"/>
    <n v="4"/>
    <x v="3"/>
    <n v="11"/>
    <n v="9"/>
    <n v="2"/>
    <n v="10"/>
    <n v="136940"/>
  </r>
  <r>
    <x v="4"/>
    <x v="0"/>
    <x v="21"/>
    <n v="117"/>
    <n v="1"/>
    <n v="69"/>
    <x v="3"/>
    <n v="16"/>
    <x v="1"/>
    <n v="10"/>
    <n v="9"/>
    <n v="4"/>
    <n v="7"/>
    <n v="337780"/>
  </r>
  <r>
    <x v="4"/>
    <x v="0"/>
    <x v="22"/>
    <n v="8"/>
    <m/>
    <n v="7"/>
    <x v="3"/>
    <n v="1"/>
    <x v="0"/>
    <m/>
    <m/>
    <m/>
    <m/>
    <n v="21560"/>
  </r>
  <r>
    <x v="4"/>
    <x v="0"/>
    <x v="23"/>
    <n v="50"/>
    <n v="1"/>
    <n v="27"/>
    <x v="3"/>
    <n v="1"/>
    <x v="1"/>
    <n v="4"/>
    <n v="8"/>
    <n v="4"/>
    <n v="4"/>
    <n v="147770"/>
  </r>
  <r>
    <x v="4"/>
    <x v="0"/>
    <x v="24"/>
    <n v="35"/>
    <n v="2"/>
    <n v="7"/>
    <x v="3"/>
    <n v="4"/>
    <x v="0"/>
    <m/>
    <n v="11"/>
    <n v="5"/>
    <n v="6"/>
    <n v="173890"/>
  </r>
  <r>
    <x v="4"/>
    <x v="0"/>
    <x v="25"/>
    <n v="50"/>
    <n v="1"/>
    <n v="31"/>
    <x v="0"/>
    <n v="6"/>
    <x v="0"/>
    <n v="2"/>
    <n v="6"/>
    <n v="1"/>
    <n v="2"/>
    <n v="113880"/>
  </r>
  <r>
    <x v="4"/>
    <x v="0"/>
    <x v="26"/>
    <n v="7"/>
    <m/>
    <n v="2"/>
    <x v="3"/>
    <n v="1"/>
    <x v="0"/>
    <n v="1"/>
    <m/>
    <n v="2"/>
    <n v="1"/>
    <n v="23200"/>
  </r>
  <r>
    <x v="4"/>
    <x v="0"/>
    <x v="27"/>
    <n v="29"/>
    <m/>
    <n v="9"/>
    <x v="0"/>
    <n v="1"/>
    <x v="1"/>
    <n v="5"/>
    <n v="6"/>
    <n v="3"/>
    <n v="3"/>
    <n v="112870"/>
  </r>
  <r>
    <x v="4"/>
    <x v="0"/>
    <x v="28"/>
    <n v="66"/>
    <n v="2"/>
    <n v="35"/>
    <x v="0"/>
    <n v="9"/>
    <x v="1"/>
    <n v="4"/>
    <n v="4"/>
    <n v="4"/>
    <n v="6"/>
    <n v="314810"/>
  </r>
  <r>
    <x v="4"/>
    <x v="0"/>
    <x v="29"/>
    <n v="42"/>
    <m/>
    <n v="22"/>
    <x v="0"/>
    <n v="4"/>
    <x v="0"/>
    <n v="4"/>
    <n v="7"/>
    <n v="1"/>
    <n v="3"/>
    <n v="91230"/>
  </r>
  <r>
    <x v="4"/>
    <x v="0"/>
    <x v="30"/>
    <n v="8"/>
    <n v="1"/>
    <n v="4"/>
    <x v="3"/>
    <m/>
    <x v="0"/>
    <n v="2"/>
    <m/>
    <m/>
    <n v="1"/>
    <n v="89800"/>
  </r>
  <r>
    <x v="4"/>
    <x v="0"/>
    <x v="31"/>
    <n v="126"/>
    <n v="1"/>
    <n v="80"/>
    <x v="0"/>
    <n v="7"/>
    <x v="1"/>
    <n v="7"/>
    <n v="18"/>
    <n v="2"/>
    <n v="9"/>
    <n v="176160"/>
  </r>
  <r>
    <x v="5"/>
    <x v="0"/>
    <x v="0"/>
    <n v="116"/>
    <n v="1"/>
    <n v="21"/>
    <x v="3"/>
    <n v="7"/>
    <x v="0"/>
    <n v="1"/>
    <n v="51"/>
    <n v="8"/>
    <n v="27"/>
    <n v="228920"/>
  </r>
  <r>
    <x v="5"/>
    <x v="0"/>
    <x v="1"/>
    <n v="111"/>
    <n v="1"/>
    <n v="42"/>
    <x v="8"/>
    <n v="4"/>
    <x v="3"/>
    <n v="1"/>
    <n v="14"/>
    <n v="3"/>
    <n v="37"/>
    <n v="260530"/>
  </r>
  <r>
    <x v="5"/>
    <x v="0"/>
    <x v="2"/>
    <n v="56"/>
    <m/>
    <n v="13"/>
    <x v="7"/>
    <n v="1"/>
    <x v="1"/>
    <n v="9"/>
    <n v="16"/>
    <n v="5"/>
    <n v="6"/>
    <n v="116740"/>
  </r>
  <r>
    <x v="5"/>
    <x v="0"/>
    <x v="3"/>
    <n v="46"/>
    <n v="1"/>
    <n v="18"/>
    <x v="3"/>
    <n v="6"/>
    <x v="1"/>
    <n v="8"/>
    <n v="5"/>
    <n v="1"/>
    <n v="6"/>
    <n v="87650"/>
  </r>
  <r>
    <x v="5"/>
    <x v="0"/>
    <x v="4"/>
    <n v="423"/>
    <n v="3"/>
    <n v="60"/>
    <x v="0"/>
    <n v="15"/>
    <x v="1"/>
    <n v="39"/>
    <n v="254"/>
    <n v="37"/>
    <n v="13"/>
    <n v="492610"/>
  </r>
  <r>
    <x v="5"/>
    <x v="0"/>
    <x v="5"/>
    <n v="16"/>
    <m/>
    <n v="8"/>
    <x v="0"/>
    <n v="1"/>
    <x v="0"/>
    <m/>
    <n v="5"/>
    <n v="1"/>
    <m/>
    <n v="51190"/>
  </r>
  <r>
    <x v="5"/>
    <x v="0"/>
    <x v="6"/>
    <n v="69"/>
    <m/>
    <n v="21"/>
    <x v="3"/>
    <n v="8"/>
    <x v="1"/>
    <n v="2"/>
    <n v="17"/>
    <n v="2"/>
    <n v="18"/>
    <n v="149960"/>
  </r>
  <r>
    <x v="5"/>
    <x v="0"/>
    <x v="7"/>
    <n v="76"/>
    <n v="3"/>
    <n v="29"/>
    <x v="3"/>
    <n v="5"/>
    <x v="1"/>
    <n v="3"/>
    <n v="22"/>
    <n v="6"/>
    <n v="7"/>
    <n v="148130"/>
  </r>
  <r>
    <x v="5"/>
    <x v="0"/>
    <x v="8"/>
    <n v="20"/>
    <m/>
    <n v="4"/>
    <x v="0"/>
    <n v="2"/>
    <x v="0"/>
    <n v="3"/>
    <n v="2"/>
    <n v="1"/>
    <n v="7"/>
    <n v="122130"/>
  </r>
  <r>
    <x v="5"/>
    <x v="0"/>
    <x v="9"/>
    <n v="14"/>
    <m/>
    <n v="2"/>
    <x v="3"/>
    <n v="3"/>
    <x v="0"/>
    <n v="1"/>
    <n v="5"/>
    <m/>
    <n v="3"/>
    <n v="106710"/>
  </r>
  <r>
    <x v="5"/>
    <x v="0"/>
    <x v="10"/>
    <n v="47"/>
    <m/>
    <n v="16"/>
    <x v="6"/>
    <n v="1"/>
    <x v="0"/>
    <n v="7"/>
    <n v="11"/>
    <n v="5"/>
    <n v="3"/>
    <n v="102090"/>
  </r>
  <r>
    <x v="5"/>
    <x v="0"/>
    <x v="11"/>
    <n v="12"/>
    <n v="1"/>
    <n v="2"/>
    <x v="3"/>
    <m/>
    <x v="0"/>
    <n v="1"/>
    <n v="3"/>
    <n v="2"/>
    <n v="3"/>
    <n v="92410"/>
  </r>
  <r>
    <x v="5"/>
    <x v="0"/>
    <x v="12"/>
    <n v="100"/>
    <n v="1"/>
    <n v="42"/>
    <x v="3"/>
    <n v="2"/>
    <x v="0"/>
    <n v="10"/>
    <n v="30"/>
    <n v="4"/>
    <n v="11"/>
    <n v="157690"/>
  </r>
  <r>
    <x v="5"/>
    <x v="0"/>
    <x v="13"/>
    <n v="150"/>
    <n v="3"/>
    <n v="53"/>
    <x v="2"/>
    <n v="13"/>
    <x v="0"/>
    <n v="3"/>
    <n v="33"/>
    <n v="4"/>
    <n v="38"/>
    <n v="367250"/>
  </r>
  <r>
    <x v="5"/>
    <x v="0"/>
    <x v="14"/>
    <n v="172"/>
    <n v="6"/>
    <n v="18"/>
    <x v="3"/>
    <n v="14"/>
    <x v="2"/>
    <n v="10"/>
    <n v="102"/>
    <n v="3"/>
    <n v="16"/>
    <n v="599640"/>
  </r>
  <r>
    <x v="5"/>
    <x v="0"/>
    <x v="15"/>
    <n v="208"/>
    <n v="3"/>
    <n v="137"/>
    <x v="0"/>
    <n v="6"/>
    <x v="0"/>
    <n v="15"/>
    <n v="30"/>
    <n v="5"/>
    <n v="11"/>
    <n v="233080"/>
  </r>
  <r>
    <x v="5"/>
    <x v="0"/>
    <x v="16"/>
    <n v="16"/>
    <m/>
    <n v="8"/>
    <x v="3"/>
    <n v="5"/>
    <x v="0"/>
    <m/>
    <n v="2"/>
    <m/>
    <n v="1"/>
    <n v="79890"/>
  </r>
  <r>
    <x v="5"/>
    <x v="0"/>
    <x v="17"/>
    <n v="47"/>
    <m/>
    <n v="11"/>
    <x v="0"/>
    <n v="2"/>
    <x v="0"/>
    <n v="14"/>
    <n v="11"/>
    <n v="4"/>
    <n v="4"/>
    <n v="86220"/>
  </r>
  <r>
    <x v="5"/>
    <x v="0"/>
    <x v="18"/>
    <n v="51"/>
    <m/>
    <n v="21"/>
    <x v="1"/>
    <m/>
    <x v="0"/>
    <n v="1"/>
    <n v="10"/>
    <m/>
    <n v="17"/>
    <n v="94770"/>
  </r>
  <r>
    <x v="5"/>
    <x v="0"/>
    <x v="19"/>
    <n v="38"/>
    <m/>
    <n v="32"/>
    <x v="3"/>
    <n v="1"/>
    <x v="0"/>
    <m/>
    <n v="2"/>
    <m/>
    <n v="3"/>
    <n v="27250"/>
  </r>
  <r>
    <x v="5"/>
    <x v="0"/>
    <x v="20"/>
    <n v="30"/>
    <n v="3"/>
    <n v="5"/>
    <x v="3"/>
    <n v="4"/>
    <x v="0"/>
    <n v="10"/>
    <n v="5"/>
    <m/>
    <n v="3"/>
    <n v="136480"/>
  </r>
  <r>
    <x v="5"/>
    <x v="0"/>
    <x v="21"/>
    <n v="36"/>
    <m/>
    <n v="13"/>
    <x v="3"/>
    <n v="6"/>
    <x v="1"/>
    <n v="3"/>
    <n v="8"/>
    <n v="2"/>
    <n v="3"/>
    <n v="338000"/>
  </r>
  <r>
    <x v="5"/>
    <x v="0"/>
    <x v="22"/>
    <n v="5"/>
    <m/>
    <n v="1"/>
    <x v="3"/>
    <m/>
    <x v="0"/>
    <n v="2"/>
    <n v="1"/>
    <m/>
    <n v="1"/>
    <n v="21580"/>
  </r>
  <r>
    <x v="5"/>
    <x v="0"/>
    <x v="23"/>
    <n v="56"/>
    <n v="2"/>
    <n v="23"/>
    <x v="6"/>
    <n v="4"/>
    <x v="3"/>
    <n v="5"/>
    <n v="11"/>
    <n v="1"/>
    <n v="4"/>
    <n v="148930"/>
  </r>
  <r>
    <x v="5"/>
    <x v="0"/>
    <x v="24"/>
    <n v="48"/>
    <n v="2"/>
    <n v="12"/>
    <x v="3"/>
    <n v="5"/>
    <x v="1"/>
    <n v="3"/>
    <n v="16"/>
    <n v="3"/>
    <n v="6"/>
    <n v="174230"/>
  </r>
  <r>
    <x v="5"/>
    <x v="0"/>
    <x v="25"/>
    <n v="28"/>
    <n v="1"/>
    <n v="18"/>
    <x v="0"/>
    <n v="4"/>
    <x v="0"/>
    <n v="2"/>
    <n v="1"/>
    <m/>
    <n v="1"/>
    <n v="114040"/>
  </r>
  <r>
    <x v="5"/>
    <x v="0"/>
    <x v="26"/>
    <n v="5"/>
    <n v="1"/>
    <n v="1"/>
    <x v="3"/>
    <n v="1"/>
    <x v="0"/>
    <m/>
    <n v="2"/>
    <m/>
    <m/>
    <n v="23220"/>
  </r>
  <r>
    <x v="5"/>
    <x v="0"/>
    <x v="27"/>
    <n v="33"/>
    <n v="1"/>
    <n v="7"/>
    <x v="3"/>
    <n v="3"/>
    <x v="0"/>
    <n v="5"/>
    <n v="12"/>
    <n v="1"/>
    <n v="4"/>
    <n v="112530"/>
  </r>
  <r>
    <x v="5"/>
    <x v="0"/>
    <x v="28"/>
    <n v="63"/>
    <n v="1"/>
    <n v="25"/>
    <x v="1"/>
    <n v="9"/>
    <x v="1"/>
    <n v="5"/>
    <n v="11"/>
    <n v="1"/>
    <n v="8"/>
    <n v="315300"/>
  </r>
  <r>
    <x v="5"/>
    <x v="0"/>
    <x v="29"/>
    <n v="58"/>
    <n v="3"/>
    <n v="20"/>
    <x v="3"/>
    <n v="1"/>
    <x v="1"/>
    <n v="9"/>
    <n v="15"/>
    <n v="2"/>
    <n v="7"/>
    <n v="91520"/>
  </r>
  <r>
    <x v="5"/>
    <x v="0"/>
    <x v="30"/>
    <n v="13"/>
    <m/>
    <n v="7"/>
    <x v="0"/>
    <n v="3"/>
    <x v="0"/>
    <m/>
    <m/>
    <n v="1"/>
    <n v="1"/>
    <n v="89710"/>
  </r>
  <r>
    <x v="5"/>
    <x v="0"/>
    <x v="31"/>
    <n v="76"/>
    <m/>
    <n v="43"/>
    <x v="3"/>
    <n v="7"/>
    <x v="0"/>
    <n v="10"/>
    <n v="6"/>
    <n v="3"/>
    <n v="7"/>
    <n v="177200"/>
  </r>
  <r>
    <x v="6"/>
    <x v="0"/>
    <x v="0"/>
    <n v="122"/>
    <n v="2"/>
    <n v="20"/>
    <x v="3"/>
    <n v="5"/>
    <x v="1"/>
    <m/>
    <n v="53"/>
    <n v="10"/>
    <n v="31"/>
    <n v="230350"/>
  </r>
  <r>
    <x v="6"/>
    <x v="0"/>
    <x v="1"/>
    <n v="92"/>
    <n v="2"/>
    <n v="33"/>
    <x v="6"/>
    <n v="9"/>
    <x v="1"/>
    <m/>
    <n v="9"/>
    <n v="2"/>
    <n v="32"/>
    <n v="261960"/>
  </r>
  <r>
    <x v="6"/>
    <x v="0"/>
    <x v="2"/>
    <n v="55"/>
    <n v="2"/>
    <n v="25"/>
    <x v="1"/>
    <n v="4"/>
    <x v="0"/>
    <n v="4"/>
    <n v="14"/>
    <n v="2"/>
    <n v="2"/>
    <n v="116900"/>
  </r>
  <r>
    <x v="6"/>
    <x v="0"/>
    <x v="3"/>
    <n v="29"/>
    <n v="1"/>
    <n v="10"/>
    <x v="3"/>
    <n v="5"/>
    <x v="3"/>
    <n v="2"/>
    <n v="4"/>
    <n v="2"/>
    <n v="3"/>
    <n v="86890"/>
  </r>
  <r>
    <x v="6"/>
    <x v="0"/>
    <x v="4"/>
    <n v="584"/>
    <n v="5"/>
    <n v="90"/>
    <x v="3"/>
    <n v="15"/>
    <x v="0"/>
    <n v="37"/>
    <n v="361"/>
    <n v="57"/>
    <n v="19"/>
    <n v="498810"/>
  </r>
  <r>
    <x v="6"/>
    <x v="0"/>
    <x v="5"/>
    <n v="19"/>
    <n v="1"/>
    <n v="4"/>
    <x v="3"/>
    <n v="1"/>
    <x v="0"/>
    <n v="3"/>
    <n v="3"/>
    <m/>
    <n v="7"/>
    <n v="51360"/>
  </r>
  <r>
    <x v="6"/>
    <x v="0"/>
    <x v="6"/>
    <n v="61"/>
    <n v="2"/>
    <n v="31"/>
    <x v="3"/>
    <n v="8"/>
    <x v="1"/>
    <n v="3"/>
    <n v="10"/>
    <n v="1"/>
    <n v="5"/>
    <n v="149670"/>
  </r>
  <r>
    <x v="6"/>
    <x v="0"/>
    <x v="7"/>
    <n v="140"/>
    <n v="3"/>
    <n v="51"/>
    <x v="0"/>
    <n v="6"/>
    <x v="1"/>
    <n v="4"/>
    <n v="45"/>
    <n v="10"/>
    <n v="19"/>
    <n v="148210"/>
  </r>
  <r>
    <x v="6"/>
    <x v="0"/>
    <x v="8"/>
    <n v="23"/>
    <n v="3"/>
    <n v="3"/>
    <x v="3"/>
    <n v="8"/>
    <x v="0"/>
    <m/>
    <n v="5"/>
    <n v="1"/>
    <n v="3"/>
    <n v="122060"/>
  </r>
  <r>
    <x v="6"/>
    <x v="0"/>
    <x v="9"/>
    <n v="11"/>
    <n v="1"/>
    <n v="4"/>
    <x v="0"/>
    <n v="1"/>
    <x v="0"/>
    <n v="1"/>
    <n v="1"/>
    <n v="1"/>
    <n v="1"/>
    <n v="106960"/>
  </r>
  <r>
    <x v="6"/>
    <x v="0"/>
    <x v="10"/>
    <n v="58"/>
    <m/>
    <n v="27"/>
    <x v="1"/>
    <n v="2"/>
    <x v="0"/>
    <n v="12"/>
    <n v="12"/>
    <m/>
    <n v="3"/>
    <n v="103050"/>
  </r>
  <r>
    <x v="6"/>
    <x v="0"/>
    <x v="11"/>
    <n v="10"/>
    <m/>
    <n v="1"/>
    <x v="3"/>
    <n v="2"/>
    <x v="0"/>
    <m/>
    <n v="6"/>
    <m/>
    <n v="1"/>
    <n v="92940"/>
  </r>
  <r>
    <x v="6"/>
    <x v="0"/>
    <x v="12"/>
    <n v="56"/>
    <n v="2"/>
    <n v="30"/>
    <x v="1"/>
    <n v="1"/>
    <x v="0"/>
    <n v="8"/>
    <n v="11"/>
    <m/>
    <n v="2"/>
    <n v="158460"/>
  </r>
  <r>
    <x v="6"/>
    <x v="0"/>
    <x v="13"/>
    <n v="158"/>
    <n v="2"/>
    <n v="68"/>
    <x v="0"/>
    <n v="12"/>
    <x v="2"/>
    <n v="10"/>
    <n v="30"/>
    <n v="6"/>
    <n v="26"/>
    <n v="368080"/>
  </r>
  <r>
    <x v="6"/>
    <x v="0"/>
    <x v="14"/>
    <n v="139"/>
    <n v="1"/>
    <n v="17"/>
    <x v="3"/>
    <n v="17"/>
    <x v="0"/>
    <n v="3"/>
    <n v="86"/>
    <n v="4"/>
    <n v="11"/>
    <n v="606340"/>
  </r>
  <r>
    <x v="6"/>
    <x v="0"/>
    <x v="15"/>
    <n v="267"/>
    <n v="6"/>
    <n v="177"/>
    <x v="0"/>
    <n v="8"/>
    <x v="0"/>
    <n v="13"/>
    <n v="37"/>
    <n v="1"/>
    <n v="24"/>
    <n v="234110"/>
  </r>
  <r>
    <x v="6"/>
    <x v="0"/>
    <x v="16"/>
    <n v="12"/>
    <m/>
    <n v="4"/>
    <x v="3"/>
    <m/>
    <x v="0"/>
    <m/>
    <n v="7"/>
    <n v="1"/>
    <m/>
    <n v="79500"/>
  </r>
  <r>
    <x v="6"/>
    <x v="0"/>
    <x v="17"/>
    <n v="79"/>
    <m/>
    <n v="31"/>
    <x v="0"/>
    <n v="1"/>
    <x v="0"/>
    <n v="14"/>
    <n v="15"/>
    <n v="8"/>
    <n v="9"/>
    <n v="87390"/>
  </r>
  <r>
    <x v="6"/>
    <x v="0"/>
    <x v="18"/>
    <n v="43"/>
    <n v="1"/>
    <n v="23"/>
    <x v="0"/>
    <m/>
    <x v="0"/>
    <n v="1"/>
    <n v="6"/>
    <m/>
    <n v="11"/>
    <n v="95510"/>
  </r>
  <r>
    <x v="6"/>
    <x v="0"/>
    <x v="19"/>
    <n v="25"/>
    <m/>
    <n v="22"/>
    <x v="3"/>
    <m/>
    <x v="0"/>
    <n v="1"/>
    <m/>
    <n v="1"/>
    <n v="1"/>
    <n v="27070"/>
  </r>
  <r>
    <x v="6"/>
    <x v="0"/>
    <x v="20"/>
    <n v="22"/>
    <n v="1"/>
    <n v="9"/>
    <x v="3"/>
    <n v="1"/>
    <x v="0"/>
    <n v="5"/>
    <n v="3"/>
    <n v="1"/>
    <n v="2"/>
    <n v="136130"/>
  </r>
  <r>
    <x v="6"/>
    <x v="0"/>
    <x v="21"/>
    <n v="35"/>
    <n v="1"/>
    <n v="9"/>
    <x v="3"/>
    <n v="7"/>
    <x v="1"/>
    <n v="3"/>
    <n v="5"/>
    <m/>
    <n v="9"/>
    <n v="338260"/>
  </r>
  <r>
    <x v="6"/>
    <x v="0"/>
    <x v="22"/>
    <n v="12"/>
    <n v="4"/>
    <n v="3"/>
    <x v="3"/>
    <n v="2"/>
    <x v="0"/>
    <n v="1"/>
    <n v="1"/>
    <n v="1"/>
    <m/>
    <n v="21670"/>
  </r>
  <r>
    <x v="6"/>
    <x v="0"/>
    <x v="23"/>
    <n v="56"/>
    <n v="1"/>
    <n v="25"/>
    <x v="2"/>
    <n v="2"/>
    <x v="1"/>
    <n v="5"/>
    <n v="12"/>
    <n v="3"/>
    <n v="4"/>
    <n v="149930"/>
  </r>
  <r>
    <x v="6"/>
    <x v="0"/>
    <x v="24"/>
    <n v="41"/>
    <m/>
    <n v="8"/>
    <x v="3"/>
    <n v="5"/>
    <x v="0"/>
    <n v="4"/>
    <n v="11"/>
    <n v="6"/>
    <n v="7"/>
    <n v="174560"/>
  </r>
  <r>
    <x v="6"/>
    <x v="0"/>
    <x v="25"/>
    <n v="28"/>
    <m/>
    <n v="11"/>
    <x v="3"/>
    <n v="5"/>
    <x v="0"/>
    <n v="5"/>
    <n v="4"/>
    <m/>
    <n v="3"/>
    <n v="114030"/>
  </r>
  <r>
    <x v="6"/>
    <x v="0"/>
    <x v="26"/>
    <n v="11"/>
    <n v="1"/>
    <n v="4"/>
    <x v="3"/>
    <m/>
    <x v="0"/>
    <n v="3"/>
    <n v="2"/>
    <n v="1"/>
    <m/>
    <n v="23200"/>
  </r>
  <r>
    <x v="6"/>
    <x v="0"/>
    <x v="27"/>
    <n v="29"/>
    <m/>
    <n v="7"/>
    <x v="3"/>
    <m/>
    <x v="0"/>
    <n v="2"/>
    <n v="9"/>
    <n v="5"/>
    <n v="6"/>
    <n v="112400"/>
  </r>
  <r>
    <x v="6"/>
    <x v="0"/>
    <x v="28"/>
    <n v="46"/>
    <m/>
    <n v="20"/>
    <x v="3"/>
    <n v="6"/>
    <x v="1"/>
    <n v="5"/>
    <n v="8"/>
    <n v="2"/>
    <n v="4"/>
    <n v="316230"/>
  </r>
  <r>
    <x v="6"/>
    <x v="0"/>
    <x v="29"/>
    <n v="59"/>
    <m/>
    <n v="25"/>
    <x v="0"/>
    <n v="5"/>
    <x v="0"/>
    <n v="4"/>
    <n v="15"/>
    <n v="2"/>
    <n v="7"/>
    <n v="92830"/>
  </r>
  <r>
    <x v="6"/>
    <x v="0"/>
    <x v="30"/>
    <n v="12"/>
    <m/>
    <n v="4"/>
    <x v="0"/>
    <n v="3"/>
    <x v="0"/>
    <n v="2"/>
    <n v="2"/>
    <m/>
    <m/>
    <n v="89590"/>
  </r>
  <r>
    <x v="6"/>
    <x v="0"/>
    <x v="31"/>
    <n v="120"/>
    <m/>
    <n v="68"/>
    <x v="3"/>
    <n v="3"/>
    <x v="3"/>
    <n v="14"/>
    <n v="19"/>
    <n v="7"/>
    <n v="7"/>
    <n v="178550"/>
  </r>
  <r>
    <x v="7"/>
    <x v="0"/>
    <x v="0"/>
    <n v="94"/>
    <n v="3"/>
    <n v="24"/>
    <x v="3"/>
    <n v="3"/>
    <x v="0"/>
    <n v="1"/>
    <n v="37"/>
    <n v="5"/>
    <n v="21"/>
    <n v="229840"/>
  </r>
  <r>
    <x v="7"/>
    <x v="0"/>
    <x v="1"/>
    <n v="135"/>
    <n v="2"/>
    <n v="59"/>
    <x v="0"/>
    <n v="7"/>
    <x v="1"/>
    <n v="6"/>
    <n v="21"/>
    <n v="5"/>
    <n v="33"/>
    <n v="262190"/>
  </r>
  <r>
    <x v="7"/>
    <x v="0"/>
    <x v="2"/>
    <n v="46"/>
    <n v="2"/>
    <n v="18"/>
    <x v="1"/>
    <n v="3"/>
    <x v="0"/>
    <n v="5"/>
    <n v="11"/>
    <n v="1"/>
    <n v="4"/>
    <n v="116520"/>
  </r>
  <r>
    <x v="7"/>
    <x v="0"/>
    <x v="3"/>
    <n v="59"/>
    <n v="3"/>
    <n v="27"/>
    <x v="3"/>
    <n v="2"/>
    <x v="3"/>
    <n v="12"/>
    <n v="11"/>
    <m/>
    <n v="2"/>
    <n v="87130"/>
  </r>
  <r>
    <x v="7"/>
    <x v="0"/>
    <x v="4"/>
    <n v="566"/>
    <m/>
    <n v="62"/>
    <x v="3"/>
    <n v="18"/>
    <x v="3"/>
    <n v="37"/>
    <n v="376"/>
    <n v="49"/>
    <n v="22"/>
    <n v="507170"/>
  </r>
  <r>
    <x v="7"/>
    <x v="0"/>
    <x v="5"/>
    <n v="21"/>
    <n v="1"/>
    <n v="10"/>
    <x v="3"/>
    <n v="4"/>
    <x v="1"/>
    <n v="1"/>
    <n v="4"/>
    <m/>
    <m/>
    <n v="51350"/>
  </r>
  <r>
    <x v="7"/>
    <x v="0"/>
    <x v="6"/>
    <n v="53"/>
    <n v="2"/>
    <n v="27"/>
    <x v="3"/>
    <n v="3"/>
    <x v="0"/>
    <n v="3"/>
    <n v="11"/>
    <n v="2"/>
    <n v="5"/>
    <n v="149520"/>
  </r>
  <r>
    <x v="7"/>
    <x v="0"/>
    <x v="7"/>
    <n v="122"/>
    <m/>
    <n v="38"/>
    <x v="3"/>
    <n v="4"/>
    <x v="0"/>
    <n v="11"/>
    <n v="53"/>
    <n v="10"/>
    <n v="6"/>
    <n v="148270"/>
  </r>
  <r>
    <x v="7"/>
    <x v="0"/>
    <x v="8"/>
    <n v="14"/>
    <m/>
    <n v="3"/>
    <x v="3"/>
    <n v="3"/>
    <x v="1"/>
    <n v="1"/>
    <n v="2"/>
    <n v="2"/>
    <n v="2"/>
    <n v="122200"/>
  </r>
  <r>
    <x v="7"/>
    <x v="0"/>
    <x v="9"/>
    <n v="13"/>
    <m/>
    <n v="4"/>
    <x v="3"/>
    <n v="1"/>
    <x v="1"/>
    <n v="1"/>
    <n v="2"/>
    <m/>
    <n v="4"/>
    <n v="107540"/>
  </r>
  <r>
    <x v="7"/>
    <x v="0"/>
    <x v="10"/>
    <n v="55"/>
    <n v="1"/>
    <n v="25"/>
    <x v="3"/>
    <n v="3"/>
    <x v="0"/>
    <n v="8"/>
    <n v="9"/>
    <n v="4"/>
    <n v="5"/>
    <n v="104090"/>
  </r>
  <r>
    <x v="7"/>
    <x v="0"/>
    <x v="11"/>
    <n v="9"/>
    <m/>
    <n v="6"/>
    <x v="3"/>
    <n v="2"/>
    <x v="0"/>
    <m/>
    <n v="1"/>
    <m/>
    <m/>
    <n v="93810"/>
  </r>
  <r>
    <x v="7"/>
    <x v="0"/>
    <x v="12"/>
    <n v="108"/>
    <n v="2"/>
    <n v="60"/>
    <x v="3"/>
    <n v="2"/>
    <x v="0"/>
    <n v="10"/>
    <n v="18"/>
    <n v="5"/>
    <n v="11"/>
    <n v="159380"/>
  </r>
  <r>
    <x v="7"/>
    <x v="0"/>
    <x v="13"/>
    <n v="156"/>
    <n v="4"/>
    <n v="63"/>
    <x v="3"/>
    <n v="9"/>
    <x v="0"/>
    <n v="18"/>
    <n v="32"/>
    <n v="8"/>
    <n v="22"/>
    <n v="370330"/>
  </r>
  <r>
    <x v="7"/>
    <x v="0"/>
    <x v="14"/>
    <n v="140"/>
    <n v="2"/>
    <n v="18"/>
    <x v="3"/>
    <n v="8"/>
    <x v="1"/>
    <n v="6"/>
    <n v="85"/>
    <n v="5"/>
    <n v="15"/>
    <n v="615070"/>
  </r>
  <r>
    <x v="7"/>
    <x v="0"/>
    <x v="15"/>
    <n v="260"/>
    <n v="9"/>
    <n v="190"/>
    <x v="6"/>
    <n v="2"/>
    <x v="1"/>
    <n v="11"/>
    <n v="24"/>
    <n v="4"/>
    <n v="15"/>
    <n v="234770"/>
  </r>
  <r>
    <x v="7"/>
    <x v="0"/>
    <x v="16"/>
    <n v="12"/>
    <m/>
    <n v="1"/>
    <x v="3"/>
    <n v="2"/>
    <x v="0"/>
    <n v="3"/>
    <n v="3"/>
    <n v="2"/>
    <n v="1"/>
    <n v="79160"/>
  </r>
  <r>
    <x v="7"/>
    <x v="0"/>
    <x v="17"/>
    <n v="47"/>
    <n v="1"/>
    <n v="25"/>
    <x v="3"/>
    <n v="3"/>
    <x v="0"/>
    <n v="3"/>
    <n v="3"/>
    <n v="3"/>
    <n v="9"/>
    <n v="88610"/>
  </r>
  <r>
    <x v="7"/>
    <x v="0"/>
    <x v="18"/>
    <n v="67"/>
    <n v="2"/>
    <n v="36"/>
    <x v="0"/>
    <n v="4"/>
    <x v="0"/>
    <n v="4"/>
    <n v="8"/>
    <n v="2"/>
    <n v="10"/>
    <n v="96070"/>
  </r>
  <r>
    <x v="7"/>
    <x v="0"/>
    <x v="19"/>
    <n v="49"/>
    <n v="1"/>
    <n v="43"/>
    <x v="0"/>
    <m/>
    <x v="0"/>
    <m/>
    <n v="1"/>
    <m/>
    <n v="3"/>
    <n v="26900"/>
  </r>
  <r>
    <x v="7"/>
    <x v="0"/>
    <x v="20"/>
    <n v="30"/>
    <m/>
    <n v="4"/>
    <x v="3"/>
    <n v="6"/>
    <x v="0"/>
    <n v="5"/>
    <n v="8"/>
    <n v="2"/>
    <n v="5"/>
    <n v="135890"/>
  </r>
  <r>
    <x v="7"/>
    <x v="0"/>
    <x v="21"/>
    <n v="32"/>
    <n v="1"/>
    <n v="8"/>
    <x v="1"/>
    <n v="8"/>
    <x v="0"/>
    <n v="2"/>
    <n v="6"/>
    <n v="1"/>
    <n v="4"/>
    <n v="339390"/>
  </r>
  <r>
    <x v="7"/>
    <x v="0"/>
    <x v="22"/>
    <n v="9"/>
    <m/>
    <n v="5"/>
    <x v="3"/>
    <n v="1"/>
    <x v="0"/>
    <n v="1"/>
    <n v="2"/>
    <m/>
    <m/>
    <n v="21850"/>
  </r>
  <r>
    <x v="7"/>
    <x v="0"/>
    <x v="23"/>
    <n v="64"/>
    <n v="1"/>
    <n v="29"/>
    <x v="3"/>
    <n v="6"/>
    <x v="3"/>
    <n v="7"/>
    <n v="14"/>
    <n v="2"/>
    <n v="3"/>
    <n v="150680"/>
  </r>
  <r>
    <x v="7"/>
    <x v="0"/>
    <x v="24"/>
    <n v="37"/>
    <n v="3"/>
    <n v="11"/>
    <x v="3"/>
    <n v="5"/>
    <x v="1"/>
    <n v="6"/>
    <n v="4"/>
    <n v="2"/>
    <n v="5"/>
    <n v="175930"/>
  </r>
  <r>
    <x v="7"/>
    <x v="0"/>
    <x v="25"/>
    <n v="34"/>
    <n v="1"/>
    <n v="13"/>
    <x v="3"/>
    <n v="5"/>
    <x v="0"/>
    <n v="6"/>
    <n v="1"/>
    <n v="3"/>
    <n v="5"/>
    <n v="114530"/>
  </r>
  <r>
    <x v="7"/>
    <x v="0"/>
    <x v="26"/>
    <n v="4"/>
    <m/>
    <n v="3"/>
    <x v="3"/>
    <m/>
    <x v="0"/>
    <m/>
    <m/>
    <n v="1"/>
    <m/>
    <n v="23200"/>
  </r>
  <r>
    <x v="7"/>
    <x v="0"/>
    <x v="27"/>
    <n v="19"/>
    <m/>
    <n v="2"/>
    <x v="0"/>
    <n v="2"/>
    <x v="0"/>
    <n v="1"/>
    <n v="7"/>
    <n v="2"/>
    <n v="4"/>
    <n v="112470"/>
  </r>
  <r>
    <x v="7"/>
    <x v="0"/>
    <x v="28"/>
    <n v="41"/>
    <m/>
    <n v="15"/>
    <x v="1"/>
    <n v="10"/>
    <x v="0"/>
    <n v="5"/>
    <n v="4"/>
    <n v="1"/>
    <n v="4"/>
    <n v="317100"/>
  </r>
  <r>
    <x v="7"/>
    <x v="0"/>
    <x v="29"/>
    <n v="55"/>
    <n v="1"/>
    <n v="33"/>
    <x v="3"/>
    <n v="2"/>
    <x v="1"/>
    <n v="3"/>
    <n v="8"/>
    <n v="5"/>
    <n v="2"/>
    <n v="93750"/>
  </r>
  <r>
    <x v="7"/>
    <x v="0"/>
    <x v="30"/>
    <n v="16"/>
    <m/>
    <n v="8"/>
    <x v="3"/>
    <n v="2"/>
    <x v="1"/>
    <n v="3"/>
    <n v="1"/>
    <m/>
    <n v="1"/>
    <n v="89860"/>
  </r>
  <r>
    <x v="7"/>
    <x v="0"/>
    <x v="31"/>
    <n v="100"/>
    <m/>
    <n v="65"/>
    <x v="0"/>
    <n v="3"/>
    <x v="0"/>
    <n v="8"/>
    <n v="14"/>
    <n v="4"/>
    <n v="5"/>
    <n v="180130"/>
  </r>
  <r>
    <x v="8"/>
    <x v="0"/>
    <x v="0"/>
    <n v="81"/>
    <m/>
    <n v="27"/>
    <x v="3"/>
    <n v="6"/>
    <x v="0"/>
    <n v="3"/>
    <n v="31"/>
    <n v="1"/>
    <n v="13"/>
    <n v="228800"/>
  </r>
  <r>
    <x v="8"/>
    <x v="0"/>
    <x v="1"/>
    <n v="81"/>
    <n v="2"/>
    <n v="41"/>
    <x v="0"/>
    <n v="4"/>
    <x v="0"/>
    <n v="4"/>
    <n v="12"/>
    <n v="2"/>
    <n v="15"/>
    <n v="261800"/>
  </r>
  <r>
    <x v="8"/>
    <x v="0"/>
    <x v="2"/>
    <n v="67"/>
    <m/>
    <n v="31"/>
    <x v="3"/>
    <n v="1"/>
    <x v="0"/>
    <n v="7"/>
    <n v="21"/>
    <n v="2"/>
    <n v="5"/>
    <n v="116280"/>
  </r>
  <r>
    <x v="8"/>
    <x v="0"/>
    <x v="3"/>
    <n v="40"/>
    <n v="3"/>
    <n v="21"/>
    <x v="0"/>
    <n v="4"/>
    <x v="3"/>
    <n v="2"/>
    <n v="4"/>
    <n v="1"/>
    <n v="2"/>
    <n v="86810"/>
  </r>
  <r>
    <x v="8"/>
    <x v="0"/>
    <x v="4"/>
    <n v="569"/>
    <n v="4"/>
    <n v="119"/>
    <x v="3"/>
    <n v="18"/>
    <x v="0"/>
    <n v="43"/>
    <n v="317"/>
    <n v="46"/>
    <n v="22"/>
    <n v="513210"/>
  </r>
  <r>
    <x v="8"/>
    <x v="0"/>
    <x v="5"/>
    <n v="34"/>
    <m/>
    <n v="23"/>
    <x v="0"/>
    <n v="2"/>
    <x v="0"/>
    <n v="2"/>
    <n v="4"/>
    <m/>
    <n v="2"/>
    <n v="51450"/>
  </r>
  <r>
    <x v="8"/>
    <x v="0"/>
    <x v="6"/>
    <n v="79"/>
    <n v="1"/>
    <n v="40"/>
    <x v="1"/>
    <n v="4"/>
    <x v="1"/>
    <n v="8"/>
    <n v="15"/>
    <n v="2"/>
    <n v="6"/>
    <n v="149200"/>
  </r>
  <r>
    <x v="8"/>
    <x v="0"/>
    <x v="7"/>
    <n v="108"/>
    <n v="1"/>
    <n v="40"/>
    <x v="0"/>
    <n v="4"/>
    <x v="0"/>
    <n v="6"/>
    <n v="35"/>
    <n v="13"/>
    <n v="8"/>
    <n v="148710"/>
  </r>
  <r>
    <x v="8"/>
    <x v="0"/>
    <x v="8"/>
    <n v="13"/>
    <n v="1"/>
    <n v="3"/>
    <x v="3"/>
    <n v="5"/>
    <x v="0"/>
    <n v="1"/>
    <n v="1"/>
    <n v="1"/>
    <n v="1"/>
    <n v="121940"/>
  </r>
  <r>
    <x v="8"/>
    <x v="0"/>
    <x v="9"/>
    <n v="13"/>
    <m/>
    <n v="4"/>
    <x v="0"/>
    <n v="1"/>
    <x v="0"/>
    <m/>
    <n v="3"/>
    <m/>
    <n v="4"/>
    <n v="108130"/>
  </r>
  <r>
    <x v="8"/>
    <x v="0"/>
    <x v="10"/>
    <n v="66"/>
    <m/>
    <n v="36"/>
    <x v="3"/>
    <n v="3"/>
    <x v="0"/>
    <n v="11"/>
    <n v="10"/>
    <n v="4"/>
    <n v="2"/>
    <n v="104840"/>
  </r>
  <r>
    <x v="8"/>
    <x v="0"/>
    <x v="11"/>
    <n v="13"/>
    <n v="1"/>
    <n v="2"/>
    <x v="3"/>
    <n v="3"/>
    <x v="0"/>
    <n v="1"/>
    <n v="4"/>
    <n v="1"/>
    <n v="1"/>
    <n v="94760"/>
  </r>
  <r>
    <x v="8"/>
    <x v="0"/>
    <x v="12"/>
    <n v="145"/>
    <n v="6"/>
    <n v="87"/>
    <x v="3"/>
    <n v="8"/>
    <x v="0"/>
    <n v="11"/>
    <n v="15"/>
    <n v="6"/>
    <n v="12"/>
    <n v="160130"/>
  </r>
  <r>
    <x v="8"/>
    <x v="0"/>
    <x v="13"/>
    <n v="238"/>
    <n v="3"/>
    <n v="101"/>
    <x v="1"/>
    <n v="19"/>
    <x v="3"/>
    <n v="38"/>
    <n v="32"/>
    <n v="11"/>
    <n v="30"/>
    <n v="371410"/>
  </r>
  <r>
    <x v="8"/>
    <x v="0"/>
    <x v="14"/>
    <n v="123"/>
    <n v="5"/>
    <n v="7"/>
    <x v="3"/>
    <n v="11"/>
    <x v="2"/>
    <n v="5"/>
    <n v="78"/>
    <n v="1"/>
    <n v="13"/>
    <n v="621020"/>
  </r>
  <r>
    <x v="8"/>
    <x v="0"/>
    <x v="15"/>
    <n v="340"/>
    <n v="4"/>
    <n v="250"/>
    <x v="1"/>
    <n v="6"/>
    <x v="3"/>
    <n v="18"/>
    <n v="31"/>
    <n v="8"/>
    <n v="19"/>
    <n v="235180"/>
  </r>
  <r>
    <x v="8"/>
    <x v="0"/>
    <x v="16"/>
    <n v="8"/>
    <m/>
    <n v="1"/>
    <x v="3"/>
    <n v="2"/>
    <x v="0"/>
    <m/>
    <n v="3"/>
    <m/>
    <n v="2"/>
    <n v="78760"/>
  </r>
  <r>
    <x v="8"/>
    <x v="0"/>
    <x v="17"/>
    <n v="62"/>
    <m/>
    <n v="33"/>
    <x v="1"/>
    <n v="6"/>
    <x v="1"/>
    <n v="4"/>
    <n v="9"/>
    <n v="4"/>
    <n v="3"/>
    <n v="90090"/>
  </r>
  <r>
    <x v="8"/>
    <x v="0"/>
    <x v="18"/>
    <n v="39"/>
    <n v="1"/>
    <n v="26"/>
    <x v="0"/>
    <n v="1"/>
    <x v="0"/>
    <n v="2"/>
    <n v="6"/>
    <m/>
    <n v="2"/>
    <n v="95780"/>
  </r>
  <r>
    <x v="8"/>
    <x v="0"/>
    <x v="19"/>
    <n v="64"/>
    <m/>
    <n v="60"/>
    <x v="3"/>
    <n v="1"/>
    <x v="0"/>
    <n v="1"/>
    <n v="1"/>
    <m/>
    <n v="1"/>
    <n v="26950"/>
  </r>
  <r>
    <x v="8"/>
    <x v="0"/>
    <x v="20"/>
    <n v="24"/>
    <n v="1"/>
    <n v="6"/>
    <x v="3"/>
    <n v="2"/>
    <x v="0"/>
    <n v="3"/>
    <n v="8"/>
    <n v="1"/>
    <n v="3"/>
    <n v="135790"/>
  </r>
  <r>
    <x v="8"/>
    <x v="0"/>
    <x v="21"/>
    <n v="30"/>
    <n v="2"/>
    <n v="8"/>
    <x v="0"/>
    <n v="7"/>
    <x v="3"/>
    <n v="4"/>
    <n v="2"/>
    <m/>
    <n v="4"/>
    <n v="339960"/>
  </r>
  <r>
    <x v="8"/>
    <x v="0"/>
    <x v="22"/>
    <n v="7"/>
    <m/>
    <n v="4"/>
    <x v="3"/>
    <m/>
    <x v="1"/>
    <m/>
    <n v="2"/>
    <m/>
    <m/>
    <n v="22000"/>
  </r>
  <r>
    <x v="8"/>
    <x v="0"/>
    <x v="23"/>
    <n v="91"/>
    <n v="3"/>
    <n v="39"/>
    <x v="3"/>
    <n v="5"/>
    <x v="1"/>
    <n v="7"/>
    <n v="18"/>
    <n v="3"/>
    <n v="15"/>
    <n v="151100"/>
  </r>
  <r>
    <x v="8"/>
    <x v="0"/>
    <x v="24"/>
    <n v="35"/>
    <m/>
    <n v="8"/>
    <x v="3"/>
    <n v="10"/>
    <x v="0"/>
    <n v="2"/>
    <n v="7"/>
    <n v="5"/>
    <n v="3"/>
    <n v="176830"/>
  </r>
  <r>
    <x v="8"/>
    <x v="0"/>
    <x v="25"/>
    <n v="31"/>
    <n v="1"/>
    <n v="12"/>
    <x v="0"/>
    <n v="4"/>
    <x v="0"/>
    <n v="6"/>
    <n v="3"/>
    <n v="1"/>
    <n v="3"/>
    <n v="115020"/>
  </r>
  <r>
    <x v="8"/>
    <x v="0"/>
    <x v="26"/>
    <n v="9"/>
    <n v="1"/>
    <n v="5"/>
    <x v="3"/>
    <n v="1"/>
    <x v="0"/>
    <m/>
    <m/>
    <n v="1"/>
    <n v="1"/>
    <n v="23080"/>
  </r>
  <r>
    <x v="8"/>
    <x v="0"/>
    <x v="27"/>
    <n v="28"/>
    <n v="1"/>
    <n v="9"/>
    <x v="3"/>
    <n v="3"/>
    <x v="0"/>
    <m/>
    <n v="14"/>
    <m/>
    <n v="1"/>
    <n v="112680"/>
  </r>
  <r>
    <x v="8"/>
    <x v="0"/>
    <x v="28"/>
    <n v="39"/>
    <m/>
    <n v="14"/>
    <x v="3"/>
    <n v="7"/>
    <x v="0"/>
    <n v="3"/>
    <n v="8"/>
    <m/>
    <n v="7"/>
    <n v="318170"/>
  </r>
  <r>
    <x v="8"/>
    <x v="0"/>
    <x v="29"/>
    <n v="46"/>
    <m/>
    <n v="25"/>
    <x v="3"/>
    <n v="2"/>
    <x v="0"/>
    <n v="3"/>
    <n v="12"/>
    <n v="1"/>
    <n v="3"/>
    <n v="94000"/>
  </r>
  <r>
    <x v="8"/>
    <x v="0"/>
    <x v="30"/>
    <n v="5"/>
    <m/>
    <m/>
    <x v="0"/>
    <n v="1"/>
    <x v="0"/>
    <n v="1"/>
    <n v="2"/>
    <m/>
    <m/>
    <n v="89610"/>
  </r>
  <r>
    <x v="8"/>
    <x v="0"/>
    <x v="31"/>
    <n v="84"/>
    <m/>
    <n v="51"/>
    <x v="3"/>
    <n v="3"/>
    <x v="1"/>
    <n v="6"/>
    <n v="13"/>
    <n v="3"/>
    <n v="7"/>
    <n v="181310"/>
  </r>
  <r>
    <x v="9"/>
    <x v="0"/>
    <x v="0"/>
    <n v="167"/>
    <m/>
    <n v="89"/>
    <x v="0"/>
    <n v="11"/>
    <x v="0"/>
    <n v="5"/>
    <n v="45"/>
    <n v="6"/>
    <n v="10"/>
    <n v="227560"/>
  </r>
  <r>
    <x v="9"/>
    <x v="0"/>
    <x v="1"/>
    <n v="144"/>
    <n v="2"/>
    <n v="94"/>
    <x v="7"/>
    <n v="4"/>
    <x v="0"/>
    <n v="6"/>
    <n v="7"/>
    <n v="5"/>
    <n v="21"/>
    <n v="261470"/>
  </r>
  <r>
    <x v="9"/>
    <x v="0"/>
    <x v="2"/>
    <n v="80"/>
    <n v="4"/>
    <n v="48"/>
    <x v="7"/>
    <n v="5"/>
    <x v="0"/>
    <n v="3"/>
    <n v="13"/>
    <m/>
    <n v="2"/>
    <n v="116040"/>
  </r>
  <r>
    <x v="9"/>
    <x v="0"/>
    <x v="3"/>
    <n v="50"/>
    <n v="1"/>
    <n v="29"/>
    <x v="3"/>
    <n v="3"/>
    <x v="2"/>
    <n v="3"/>
    <n v="9"/>
    <n v="1"/>
    <n v="1"/>
    <n v="86260"/>
  </r>
  <r>
    <x v="9"/>
    <x v="0"/>
    <x v="4"/>
    <n v="690"/>
    <m/>
    <n v="153"/>
    <x v="1"/>
    <n v="21"/>
    <x v="3"/>
    <n v="23"/>
    <n v="415"/>
    <n v="46"/>
    <n v="28"/>
    <n v="518500"/>
  </r>
  <r>
    <x v="9"/>
    <x v="0"/>
    <x v="5"/>
    <n v="29"/>
    <n v="1"/>
    <n v="11"/>
    <x v="3"/>
    <n v="2"/>
    <x v="3"/>
    <m/>
    <n v="8"/>
    <n v="1"/>
    <n v="4"/>
    <n v="51400"/>
  </r>
  <r>
    <x v="9"/>
    <x v="0"/>
    <x v="6"/>
    <n v="83"/>
    <n v="4"/>
    <n v="42"/>
    <x v="3"/>
    <n v="8"/>
    <x v="3"/>
    <n v="4"/>
    <n v="13"/>
    <n v="1"/>
    <n v="9"/>
    <n v="148790"/>
  </r>
  <r>
    <x v="9"/>
    <x v="0"/>
    <x v="7"/>
    <n v="81"/>
    <m/>
    <n v="36"/>
    <x v="3"/>
    <n v="6"/>
    <x v="0"/>
    <n v="9"/>
    <n v="14"/>
    <n v="4"/>
    <n v="12"/>
    <n v="148750"/>
  </r>
  <r>
    <x v="9"/>
    <x v="0"/>
    <x v="8"/>
    <n v="48"/>
    <n v="2"/>
    <n v="34"/>
    <x v="3"/>
    <n v="1"/>
    <x v="0"/>
    <m/>
    <n v="8"/>
    <m/>
    <n v="3"/>
    <n v="121840"/>
  </r>
  <r>
    <x v="9"/>
    <x v="0"/>
    <x v="9"/>
    <n v="16"/>
    <m/>
    <n v="4"/>
    <x v="0"/>
    <n v="2"/>
    <x v="0"/>
    <m/>
    <n v="7"/>
    <n v="1"/>
    <n v="1"/>
    <n v="108330"/>
  </r>
  <r>
    <x v="9"/>
    <x v="0"/>
    <x v="10"/>
    <n v="81"/>
    <m/>
    <n v="36"/>
    <x v="0"/>
    <n v="5"/>
    <x v="0"/>
    <n v="10"/>
    <n v="15"/>
    <n v="10"/>
    <n v="4"/>
    <n v="105790"/>
  </r>
  <r>
    <x v="9"/>
    <x v="0"/>
    <x v="11"/>
    <n v="16"/>
    <m/>
    <n v="7"/>
    <x v="3"/>
    <n v="4"/>
    <x v="0"/>
    <n v="1"/>
    <n v="2"/>
    <n v="1"/>
    <n v="1"/>
    <n v="95170"/>
  </r>
  <r>
    <x v="9"/>
    <x v="0"/>
    <x v="12"/>
    <n v="119"/>
    <n v="3"/>
    <n v="77"/>
    <x v="1"/>
    <n v="4"/>
    <x v="0"/>
    <n v="8"/>
    <n v="16"/>
    <n v="2"/>
    <n v="7"/>
    <n v="160340"/>
  </r>
  <r>
    <x v="9"/>
    <x v="0"/>
    <x v="13"/>
    <n v="287"/>
    <n v="3"/>
    <n v="154"/>
    <x v="6"/>
    <n v="15"/>
    <x v="2"/>
    <n v="26"/>
    <n v="41"/>
    <n v="10"/>
    <n v="31"/>
    <n v="371910"/>
  </r>
  <r>
    <x v="9"/>
    <x v="0"/>
    <x v="14"/>
    <n v="137"/>
    <m/>
    <n v="17"/>
    <x v="0"/>
    <n v="8"/>
    <x v="3"/>
    <n v="3"/>
    <n v="82"/>
    <n v="8"/>
    <n v="16"/>
    <n v="626410"/>
  </r>
  <r>
    <x v="9"/>
    <x v="0"/>
    <x v="15"/>
    <n v="366"/>
    <n v="3"/>
    <n v="285"/>
    <x v="3"/>
    <n v="10"/>
    <x v="8"/>
    <n v="13"/>
    <n v="26"/>
    <n v="4"/>
    <n v="21"/>
    <n v="235540"/>
  </r>
  <r>
    <x v="9"/>
    <x v="0"/>
    <x v="16"/>
    <n v="18"/>
    <m/>
    <n v="11"/>
    <x v="3"/>
    <n v="2"/>
    <x v="0"/>
    <n v="1"/>
    <n v="2"/>
    <n v="1"/>
    <n v="1"/>
    <n v="78150"/>
  </r>
  <r>
    <x v="9"/>
    <x v="0"/>
    <x v="17"/>
    <n v="51"/>
    <m/>
    <n v="23"/>
    <x v="3"/>
    <n v="3"/>
    <x v="0"/>
    <n v="5"/>
    <n v="10"/>
    <n v="3"/>
    <n v="7"/>
    <n v="91340"/>
  </r>
  <r>
    <x v="9"/>
    <x v="0"/>
    <x v="18"/>
    <n v="140"/>
    <n v="2"/>
    <n v="108"/>
    <x v="0"/>
    <n v="5"/>
    <x v="0"/>
    <n v="3"/>
    <n v="3"/>
    <n v="1"/>
    <n v="17"/>
    <n v="95520"/>
  </r>
  <r>
    <x v="9"/>
    <x v="0"/>
    <x v="19"/>
    <n v="45"/>
    <m/>
    <n v="40"/>
    <x v="3"/>
    <m/>
    <x v="0"/>
    <n v="1"/>
    <n v="2"/>
    <n v="1"/>
    <n v="1"/>
    <n v="26830"/>
  </r>
  <r>
    <x v="9"/>
    <x v="0"/>
    <x v="20"/>
    <n v="29"/>
    <m/>
    <n v="14"/>
    <x v="3"/>
    <n v="3"/>
    <x v="0"/>
    <n v="3"/>
    <n v="3"/>
    <n v="2"/>
    <n v="4"/>
    <n v="135280"/>
  </r>
  <r>
    <x v="9"/>
    <x v="0"/>
    <x v="21"/>
    <n v="49"/>
    <m/>
    <n v="20"/>
    <x v="0"/>
    <n v="7"/>
    <x v="1"/>
    <n v="7"/>
    <n v="6"/>
    <n v="5"/>
    <n v="2"/>
    <n v="340180"/>
  </r>
  <r>
    <x v="9"/>
    <x v="0"/>
    <x v="22"/>
    <n v="19"/>
    <n v="1"/>
    <n v="11"/>
    <x v="3"/>
    <n v="1"/>
    <x v="0"/>
    <n v="2"/>
    <n v="2"/>
    <n v="1"/>
    <n v="1"/>
    <n v="22190"/>
  </r>
  <r>
    <x v="9"/>
    <x v="0"/>
    <x v="23"/>
    <n v="56"/>
    <m/>
    <n v="32"/>
    <x v="3"/>
    <n v="3"/>
    <x v="1"/>
    <m/>
    <n v="9"/>
    <n v="4"/>
    <n v="7"/>
    <n v="151290"/>
  </r>
  <r>
    <x v="9"/>
    <x v="0"/>
    <x v="24"/>
    <n v="43"/>
    <m/>
    <n v="19"/>
    <x v="3"/>
    <n v="4"/>
    <x v="0"/>
    <n v="4"/>
    <n v="11"/>
    <n v="1"/>
    <n v="4"/>
    <n v="177790"/>
  </r>
  <r>
    <x v="9"/>
    <x v="0"/>
    <x v="25"/>
    <n v="41"/>
    <n v="1"/>
    <n v="26"/>
    <x v="3"/>
    <n v="2"/>
    <x v="1"/>
    <n v="2"/>
    <n v="4"/>
    <n v="1"/>
    <n v="4"/>
    <n v="115270"/>
  </r>
  <r>
    <x v="9"/>
    <x v="0"/>
    <x v="26"/>
    <n v="15"/>
    <n v="2"/>
    <n v="9"/>
    <x v="3"/>
    <n v="1"/>
    <x v="0"/>
    <m/>
    <n v="3"/>
    <m/>
    <m/>
    <n v="22990"/>
  </r>
  <r>
    <x v="9"/>
    <x v="0"/>
    <x v="27"/>
    <n v="29"/>
    <m/>
    <n v="8"/>
    <x v="3"/>
    <n v="2"/>
    <x v="3"/>
    <n v="2"/>
    <n v="13"/>
    <n v="1"/>
    <n v="1"/>
    <n v="112550"/>
  </r>
  <r>
    <x v="9"/>
    <x v="0"/>
    <x v="28"/>
    <n v="47"/>
    <m/>
    <n v="19"/>
    <x v="3"/>
    <n v="7"/>
    <x v="0"/>
    <n v="3"/>
    <n v="6"/>
    <m/>
    <n v="12"/>
    <n v="319020"/>
  </r>
  <r>
    <x v="9"/>
    <x v="0"/>
    <x v="29"/>
    <n v="83"/>
    <m/>
    <n v="57"/>
    <x v="3"/>
    <n v="3"/>
    <x v="0"/>
    <n v="4"/>
    <n v="8"/>
    <n v="2"/>
    <n v="9"/>
    <n v="94330"/>
  </r>
  <r>
    <x v="9"/>
    <x v="0"/>
    <x v="30"/>
    <n v="9"/>
    <m/>
    <n v="3"/>
    <x v="3"/>
    <n v="1"/>
    <x v="1"/>
    <n v="2"/>
    <n v="2"/>
    <m/>
    <m/>
    <n v="89130"/>
  </r>
  <r>
    <x v="9"/>
    <x v="0"/>
    <x v="31"/>
    <n v="144"/>
    <m/>
    <n v="96"/>
    <x v="3"/>
    <n v="8"/>
    <x v="1"/>
    <n v="6"/>
    <n v="27"/>
    <n v="1"/>
    <n v="5"/>
    <n v="182140"/>
  </r>
  <r>
    <x v="10"/>
    <x v="0"/>
    <x v="0"/>
    <n v="91"/>
    <m/>
    <n v="32"/>
    <x v="0"/>
    <n v="8"/>
    <x v="0"/>
    <n v="1"/>
    <n v="39"/>
    <n v="5"/>
    <n v="5"/>
    <n v="228670"/>
  </r>
  <r>
    <x v="10"/>
    <x v="0"/>
    <x v="1"/>
    <n v="87"/>
    <n v="1"/>
    <n v="45"/>
    <x v="0"/>
    <n v="10"/>
    <x v="0"/>
    <n v="6"/>
    <n v="9"/>
    <m/>
    <n v="15"/>
    <n v="261210"/>
  </r>
  <r>
    <x v="10"/>
    <x v="0"/>
    <x v="2"/>
    <n v="50"/>
    <m/>
    <n v="25"/>
    <x v="2"/>
    <n v="3"/>
    <x v="0"/>
    <n v="6"/>
    <n v="6"/>
    <m/>
    <n v="7"/>
    <n v="116200"/>
  </r>
  <r>
    <x v="10"/>
    <x v="0"/>
    <x v="3"/>
    <n v="64"/>
    <n v="3"/>
    <n v="38"/>
    <x v="3"/>
    <n v="8"/>
    <x v="0"/>
    <n v="4"/>
    <n v="3"/>
    <n v="1"/>
    <n v="7"/>
    <n v="85870"/>
  </r>
  <r>
    <x v="10"/>
    <x v="0"/>
    <x v="4"/>
    <n v="559"/>
    <n v="2"/>
    <n v="71"/>
    <x v="3"/>
    <n v="9"/>
    <x v="1"/>
    <n v="12"/>
    <n v="375"/>
    <n v="46"/>
    <n v="43"/>
    <n v="524930"/>
  </r>
  <r>
    <x v="10"/>
    <x v="0"/>
    <x v="5"/>
    <n v="17"/>
    <m/>
    <n v="7"/>
    <x v="3"/>
    <n v="2"/>
    <x v="1"/>
    <m/>
    <n v="6"/>
    <m/>
    <n v="1"/>
    <n v="51540"/>
  </r>
  <r>
    <x v="10"/>
    <x v="0"/>
    <x v="6"/>
    <n v="81"/>
    <n v="2"/>
    <n v="42"/>
    <x v="0"/>
    <n v="3"/>
    <x v="1"/>
    <n v="3"/>
    <n v="17"/>
    <n v="3"/>
    <n v="9"/>
    <n v="148860"/>
  </r>
  <r>
    <x v="10"/>
    <x v="0"/>
    <x v="7"/>
    <n v="109"/>
    <m/>
    <n v="26"/>
    <x v="3"/>
    <n v="8"/>
    <x v="1"/>
    <n v="7"/>
    <n v="49"/>
    <n v="12"/>
    <n v="6"/>
    <n v="149320"/>
  </r>
  <r>
    <x v="10"/>
    <x v="0"/>
    <x v="8"/>
    <n v="25"/>
    <n v="2"/>
    <n v="5"/>
    <x v="0"/>
    <n v="3"/>
    <x v="0"/>
    <n v="4"/>
    <n v="6"/>
    <m/>
    <n v="4"/>
    <n v="122010"/>
  </r>
  <r>
    <x v="10"/>
    <x v="0"/>
    <x v="9"/>
    <n v="15"/>
    <m/>
    <n v="8"/>
    <x v="3"/>
    <n v="1"/>
    <x v="0"/>
    <m/>
    <n v="2"/>
    <m/>
    <n v="4"/>
    <n v="108640"/>
  </r>
  <r>
    <x v="10"/>
    <x v="0"/>
    <x v="10"/>
    <n v="57"/>
    <m/>
    <n v="30"/>
    <x v="0"/>
    <n v="3"/>
    <x v="0"/>
    <n v="3"/>
    <n v="14"/>
    <n v="2"/>
    <n v="4"/>
    <n v="107090"/>
  </r>
  <r>
    <x v="10"/>
    <x v="0"/>
    <x v="11"/>
    <n v="14"/>
    <m/>
    <n v="4"/>
    <x v="3"/>
    <n v="2"/>
    <x v="0"/>
    <n v="1"/>
    <n v="4"/>
    <n v="2"/>
    <n v="1"/>
    <n v="95530"/>
  </r>
  <r>
    <x v="10"/>
    <x v="0"/>
    <x v="12"/>
    <n v="98"/>
    <n v="1"/>
    <n v="43"/>
    <x v="0"/>
    <n v="5"/>
    <x v="0"/>
    <n v="3"/>
    <n v="28"/>
    <n v="6"/>
    <n v="11"/>
    <n v="160890"/>
  </r>
  <r>
    <x v="10"/>
    <x v="0"/>
    <x v="13"/>
    <n v="174"/>
    <n v="6"/>
    <n v="78"/>
    <x v="1"/>
    <n v="23"/>
    <x v="2"/>
    <n v="9"/>
    <n v="24"/>
    <n v="9"/>
    <n v="20"/>
    <n v="373550"/>
  </r>
  <r>
    <x v="10"/>
    <x v="0"/>
    <x v="14"/>
    <n v="168"/>
    <m/>
    <n v="15"/>
    <x v="3"/>
    <n v="26"/>
    <x v="2"/>
    <n v="2"/>
    <n v="88"/>
    <n v="7"/>
    <n v="27"/>
    <n v="633120"/>
  </r>
  <r>
    <x v="10"/>
    <x v="0"/>
    <x v="15"/>
    <n v="272"/>
    <n v="8"/>
    <n v="210"/>
    <x v="3"/>
    <n v="4"/>
    <x v="1"/>
    <n v="9"/>
    <n v="17"/>
    <n v="1"/>
    <n v="22"/>
    <n v="235830"/>
  </r>
  <r>
    <x v="10"/>
    <x v="0"/>
    <x v="16"/>
    <n v="19"/>
    <n v="1"/>
    <n v="7"/>
    <x v="3"/>
    <n v="5"/>
    <x v="0"/>
    <m/>
    <n v="5"/>
    <m/>
    <n v="1"/>
    <n v="77800"/>
  </r>
  <r>
    <x v="10"/>
    <x v="0"/>
    <x v="17"/>
    <n v="37"/>
    <m/>
    <n v="12"/>
    <x v="2"/>
    <n v="7"/>
    <x v="0"/>
    <n v="2"/>
    <n v="1"/>
    <n v="2"/>
    <n v="10"/>
    <n v="92460"/>
  </r>
  <r>
    <x v="10"/>
    <x v="0"/>
    <x v="18"/>
    <n v="54"/>
    <n v="2"/>
    <n v="36"/>
    <x v="0"/>
    <n v="1"/>
    <x v="0"/>
    <n v="1"/>
    <n v="10"/>
    <m/>
    <n v="3"/>
    <n v="95820"/>
  </r>
  <r>
    <x v="10"/>
    <x v="0"/>
    <x v="19"/>
    <n v="27"/>
    <m/>
    <n v="22"/>
    <x v="3"/>
    <m/>
    <x v="0"/>
    <n v="2"/>
    <n v="1"/>
    <n v="1"/>
    <n v="1"/>
    <n v="26720"/>
  </r>
  <r>
    <x v="10"/>
    <x v="0"/>
    <x v="20"/>
    <n v="30"/>
    <m/>
    <n v="11"/>
    <x v="3"/>
    <n v="3"/>
    <x v="0"/>
    <n v="3"/>
    <n v="6"/>
    <n v="1"/>
    <n v="6"/>
    <n v="134740"/>
  </r>
  <r>
    <x v="10"/>
    <x v="0"/>
    <x v="21"/>
    <n v="49"/>
    <m/>
    <n v="21"/>
    <x v="3"/>
    <n v="11"/>
    <x v="1"/>
    <n v="4"/>
    <n v="9"/>
    <n v="1"/>
    <n v="2"/>
    <n v="341370"/>
  </r>
  <r>
    <x v="10"/>
    <x v="0"/>
    <x v="22"/>
    <n v="9"/>
    <m/>
    <n v="4"/>
    <x v="3"/>
    <m/>
    <x v="0"/>
    <n v="1"/>
    <n v="1"/>
    <n v="1"/>
    <n v="2"/>
    <n v="22270"/>
  </r>
  <r>
    <x v="10"/>
    <x v="0"/>
    <x v="23"/>
    <n v="58"/>
    <n v="1"/>
    <n v="18"/>
    <x v="4"/>
    <n v="1"/>
    <x v="0"/>
    <n v="2"/>
    <n v="16"/>
    <n v="8"/>
    <n v="6"/>
    <n v="151950"/>
  </r>
  <r>
    <x v="10"/>
    <x v="0"/>
    <x v="24"/>
    <n v="32"/>
    <m/>
    <n v="11"/>
    <x v="3"/>
    <n v="4"/>
    <x v="0"/>
    <n v="1"/>
    <n v="10"/>
    <n v="1"/>
    <n v="5"/>
    <n v="179100"/>
  </r>
  <r>
    <x v="10"/>
    <x v="0"/>
    <x v="25"/>
    <n v="27"/>
    <m/>
    <n v="16"/>
    <x v="3"/>
    <n v="1"/>
    <x v="0"/>
    <n v="1"/>
    <n v="3"/>
    <n v="1"/>
    <n v="5"/>
    <n v="115510"/>
  </r>
  <r>
    <x v="10"/>
    <x v="0"/>
    <x v="26"/>
    <n v="6"/>
    <n v="1"/>
    <n v="2"/>
    <x v="3"/>
    <n v="1"/>
    <x v="0"/>
    <m/>
    <m/>
    <n v="1"/>
    <n v="1"/>
    <n v="22920"/>
  </r>
  <r>
    <x v="10"/>
    <x v="0"/>
    <x v="27"/>
    <n v="33"/>
    <n v="1"/>
    <n v="10"/>
    <x v="3"/>
    <n v="5"/>
    <x v="0"/>
    <n v="2"/>
    <n v="10"/>
    <m/>
    <n v="5"/>
    <n v="112610"/>
  </r>
  <r>
    <x v="10"/>
    <x v="0"/>
    <x v="28"/>
    <n v="47"/>
    <m/>
    <n v="22"/>
    <x v="3"/>
    <n v="8"/>
    <x v="0"/>
    <n v="1"/>
    <n v="6"/>
    <n v="1"/>
    <n v="9"/>
    <n v="320530"/>
  </r>
  <r>
    <x v="10"/>
    <x v="0"/>
    <x v="29"/>
    <n v="51"/>
    <n v="2"/>
    <n v="30"/>
    <x v="3"/>
    <n v="3"/>
    <x v="0"/>
    <m/>
    <n v="10"/>
    <n v="3"/>
    <n v="3"/>
    <n v="94210"/>
  </r>
  <r>
    <x v="10"/>
    <x v="0"/>
    <x v="30"/>
    <n v="8"/>
    <m/>
    <n v="2"/>
    <x v="3"/>
    <n v="2"/>
    <x v="0"/>
    <m/>
    <n v="2"/>
    <n v="1"/>
    <n v="1"/>
    <n v="88930"/>
  </r>
  <r>
    <x v="10"/>
    <x v="0"/>
    <x v="31"/>
    <n v="70"/>
    <n v="2"/>
    <n v="44"/>
    <x v="3"/>
    <n v="3"/>
    <x v="1"/>
    <m/>
    <n v="10"/>
    <n v="2"/>
    <n v="8"/>
    <n v="183100"/>
  </r>
  <r>
    <x v="11"/>
    <x v="0"/>
    <x v="0"/>
    <n v="82"/>
    <n v="1"/>
    <n v="27"/>
    <x v="3"/>
    <n v="8"/>
    <x v="0"/>
    <n v="6"/>
    <n v="29"/>
    <n v="6"/>
    <n v="5"/>
    <n v="229060"/>
  </r>
  <r>
    <x v="11"/>
    <x v="0"/>
    <x v="1"/>
    <n v="138"/>
    <n v="1"/>
    <n v="86"/>
    <x v="1"/>
    <n v="9"/>
    <x v="0"/>
    <n v="16"/>
    <n v="10"/>
    <n v="2"/>
    <n v="12"/>
    <n v="260780"/>
  </r>
  <r>
    <x v="11"/>
    <x v="0"/>
    <x v="2"/>
    <n v="70"/>
    <n v="2"/>
    <n v="26"/>
    <x v="1"/>
    <n v="5"/>
    <x v="0"/>
    <n v="10"/>
    <n v="19"/>
    <m/>
    <n v="6"/>
    <n v="115820"/>
  </r>
  <r>
    <x v="11"/>
    <x v="0"/>
    <x v="3"/>
    <n v="68"/>
    <n v="3"/>
    <n v="31"/>
    <x v="3"/>
    <n v="5"/>
    <x v="0"/>
    <n v="12"/>
    <n v="8"/>
    <n v="2"/>
    <n v="7"/>
    <n v="85430"/>
  </r>
  <r>
    <x v="11"/>
    <x v="0"/>
    <x v="4"/>
    <n v="432"/>
    <n v="1"/>
    <n v="76"/>
    <x v="1"/>
    <n v="11"/>
    <x v="0"/>
    <n v="30"/>
    <n v="218"/>
    <n v="59"/>
    <n v="35"/>
    <n v="527620"/>
  </r>
  <r>
    <x v="11"/>
    <x v="0"/>
    <x v="5"/>
    <n v="38"/>
    <n v="1"/>
    <n v="15"/>
    <x v="6"/>
    <n v="8"/>
    <x v="1"/>
    <n v="2"/>
    <n v="3"/>
    <m/>
    <n v="4"/>
    <n v="51290"/>
  </r>
  <r>
    <x v="11"/>
    <x v="0"/>
    <x v="6"/>
    <n v="85"/>
    <n v="2"/>
    <n v="45"/>
    <x v="3"/>
    <n v="8"/>
    <x v="3"/>
    <n v="2"/>
    <n v="13"/>
    <n v="3"/>
    <n v="10"/>
    <n v="148290"/>
  </r>
  <r>
    <x v="11"/>
    <x v="0"/>
    <x v="7"/>
    <n v="119"/>
    <n v="2"/>
    <n v="40"/>
    <x v="3"/>
    <n v="8"/>
    <x v="1"/>
    <n v="15"/>
    <n v="31"/>
    <n v="13"/>
    <n v="9"/>
    <n v="148820"/>
  </r>
  <r>
    <x v="11"/>
    <x v="0"/>
    <x v="8"/>
    <n v="56"/>
    <n v="1"/>
    <n v="26"/>
    <x v="0"/>
    <n v="3"/>
    <x v="1"/>
    <n v="3"/>
    <n v="17"/>
    <n v="1"/>
    <n v="3"/>
    <n v="121600"/>
  </r>
  <r>
    <x v="11"/>
    <x v="0"/>
    <x v="9"/>
    <n v="36"/>
    <m/>
    <n v="20"/>
    <x v="3"/>
    <n v="2"/>
    <x v="1"/>
    <n v="2"/>
    <n v="5"/>
    <n v="1"/>
    <n v="5"/>
    <n v="108750"/>
  </r>
  <r>
    <x v="11"/>
    <x v="0"/>
    <x v="10"/>
    <n v="43"/>
    <m/>
    <n v="21"/>
    <x v="3"/>
    <n v="2"/>
    <x v="0"/>
    <n v="4"/>
    <n v="10"/>
    <n v="1"/>
    <n v="5"/>
    <n v="107900"/>
  </r>
  <r>
    <x v="11"/>
    <x v="0"/>
    <x v="11"/>
    <n v="32"/>
    <m/>
    <n v="10"/>
    <x v="0"/>
    <n v="2"/>
    <x v="0"/>
    <n v="3"/>
    <n v="14"/>
    <n v="1"/>
    <n v="1"/>
    <n v="96060"/>
  </r>
  <r>
    <x v="11"/>
    <x v="0"/>
    <x v="12"/>
    <n v="110"/>
    <n v="2"/>
    <n v="67"/>
    <x v="3"/>
    <n v="9"/>
    <x v="0"/>
    <n v="8"/>
    <n v="13"/>
    <n v="5"/>
    <n v="6"/>
    <n v="160560"/>
  </r>
  <r>
    <x v="11"/>
    <x v="0"/>
    <x v="13"/>
    <n v="193"/>
    <n v="3"/>
    <n v="80"/>
    <x v="3"/>
    <n v="18"/>
    <x v="1"/>
    <n v="21"/>
    <n v="39"/>
    <n v="7"/>
    <n v="24"/>
    <n v="374130"/>
  </r>
  <r>
    <x v="11"/>
    <x v="0"/>
    <x v="14"/>
    <n v="312"/>
    <n v="2"/>
    <n v="52"/>
    <x v="3"/>
    <n v="17"/>
    <x v="10"/>
    <n v="39"/>
    <n v="120"/>
    <n v="15"/>
    <n v="62"/>
    <n v="635640"/>
  </r>
  <r>
    <x v="11"/>
    <x v="0"/>
    <x v="15"/>
    <n v="234"/>
    <n v="2"/>
    <n v="170"/>
    <x v="2"/>
    <n v="5"/>
    <x v="2"/>
    <n v="16"/>
    <n v="14"/>
    <n v="6"/>
    <n v="15"/>
    <n v="235430"/>
  </r>
  <r>
    <x v="11"/>
    <x v="0"/>
    <x v="16"/>
    <n v="26"/>
    <m/>
    <n v="14"/>
    <x v="3"/>
    <n v="1"/>
    <x v="1"/>
    <n v="5"/>
    <n v="4"/>
    <m/>
    <n v="1"/>
    <n v="77060"/>
  </r>
  <r>
    <x v="11"/>
    <x v="0"/>
    <x v="17"/>
    <n v="45"/>
    <n v="2"/>
    <n v="15"/>
    <x v="0"/>
    <n v="5"/>
    <x v="0"/>
    <n v="5"/>
    <n v="8"/>
    <n v="2"/>
    <n v="7"/>
    <n v="93150"/>
  </r>
  <r>
    <x v="11"/>
    <x v="0"/>
    <x v="18"/>
    <n v="65"/>
    <m/>
    <n v="38"/>
    <x v="0"/>
    <n v="5"/>
    <x v="0"/>
    <n v="6"/>
    <n v="9"/>
    <n v="1"/>
    <n v="5"/>
    <n v="95710"/>
  </r>
  <r>
    <x v="11"/>
    <x v="0"/>
    <x v="19"/>
    <n v="58"/>
    <n v="3"/>
    <n v="52"/>
    <x v="3"/>
    <n v="1"/>
    <x v="0"/>
    <n v="1"/>
    <m/>
    <m/>
    <n v="1"/>
    <n v="26500"/>
  </r>
  <r>
    <x v="11"/>
    <x v="0"/>
    <x v="20"/>
    <n v="54"/>
    <m/>
    <n v="27"/>
    <x v="3"/>
    <n v="5"/>
    <x v="3"/>
    <n v="7"/>
    <n v="7"/>
    <m/>
    <n v="6"/>
    <n v="134250"/>
  </r>
  <r>
    <x v="11"/>
    <x v="0"/>
    <x v="21"/>
    <n v="162"/>
    <n v="2"/>
    <n v="67"/>
    <x v="2"/>
    <n v="15"/>
    <x v="2"/>
    <n v="20"/>
    <n v="18"/>
    <n v="5"/>
    <n v="29"/>
    <n v="341140"/>
  </r>
  <r>
    <x v="11"/>
    <x v="0"/>
    <x v="22"/>
    <n v="8"/>
    <m/>
    <n v="4"/>
    <x v="0"/>
    <n v="1"/>
    <x v="0"/>
    <n v="1"/>
    <n v="1"/>
    <m/>
    <m/>
    <n v="22400"/>
  </r>
  <r>
    <x v="11"/>
    <x v="0"/>
    <x v="23"/>
    <n v="81"/>
    <n v="2"/>
    <n v="42"/>
    <x v="0"/>
    <n v="4"/>
    <x v="3"/>
    <n v="5"/>
    <n v="18"/>
    <n v="3"/>
    <n v="4"/>
    <n v="151910"/>
  </r>
  <r>
    <x v="11"/>
    <x v="0"/>
    <x v="24"/>
    <n v="73"/>
    <m/>
    <n v="24"/>
    <x v="3"/>
    <n v="4"/>
    <x v="1"/>
    <n v="5"/>
    <n v="17"/>
    <n v="3"/>
    <n v="19"/>
    <n v="179390"/>
  </r>
  <r>
    <x v="11"/>
    <x v="0"/>
    <x v="25"/>
    <n v="30"/>
    <m/>
    <n v="12"/>
    <x v="0"/>
    <n v="3"/>
    <x v="0"/>
    <n v="2"/>
    <n v="7"/>
    <n v="3"/>
    <n v="2"/>
    <n v="115240"/>
  </r>
  <r>
    <x v="11"/>
    <x v="0"/>
    <x v="26"/>
    <n v="9"/>
    <m/>
    <n v="6"/>
    <x v="3"/>
    <n v="2"/>
    <x v="0"/>
    <m/>
    <m/>
    <m/>
    <n v="1"/>
    <n v="22870"/>
  </r>
  <r>
    <x v="11"/>
    <x v="0"/>
    <x v="27"/>
    <n v="64"/>
    <n v="1"/>
    <n v="30"/>
    <x v="0"/>
    <n v="3"/>
    <x v="1"/>
    <n v="3"/>
    <n v="20"/>
    <n v="1"/>
    <n v="4"/>
    <n v="112140"/>
  </r>
  <r>
    <x v="11"/>
    <x v="0"/>
    <x v="28"/>
    <n v="126"/>
    <n v="1"/>
    <n v="66"/>
    <x v="1"/>
    <n v="4"/>
    <x v="0"/>
    <n v="11"/>
    <n v="17"/>
    <n v="4"/>
    <n v="21"/>
    <n v="320820"/>
  </r>
  <r>
    <x v="11"/>
    <x v="0"/>
    <x v="29"/>
    <n v="72"/>
    <m/>
    <n v="39"/>
    <x v="3"/>
    <n v="3"/>
    <x v="1"/>
    <n v="6"/>
    <n v="16"/>
    <n v="1"/>
    <n v="6"/>
    <n v="94080"/>
  </r>
  <r>
    <x v="11"/>
    <x v="0"/>
    <x v="30"/>
    <n v="22"/>
    <m/>
    <n v="8"/>
    <x v="3"/>
    <n v="2"/>
    <x v="0"/>
    <n v="2"/>
    <n v="8"/>
    <n v="1"/>
    <n v="1"/>
    <n v="88340"/>
  </r>
  <r>
    <x v="11"/>
    <x v="0"/>
    <x v="31"/>
    <n v="130"/>
    <m/>
    <n v="66"/>
    <x v="3"/>
    <n v="10"/>
    <x v="2"/>
    <n v="16"/>
    <n v="27"/>
    <n v="4"/>
    <n v="4"/>
    <n v="183820"/>
  </r>
  <r>
    <x v="0"/>
    <x v="1"/>
    <x v="0"/>
    <n v="562"/>
    <n v="11"/>
    <n v="150"/>
    <x v="3"/>
    <n v="12"/>
    <x v="10"/>
    <n v="21"/>
    <n v="156"/>
    <n v="15"/>
    <n v="192"/>
    <n v="217020"/>
  </r>
  <r>
    <x v="0"/>
    <x v="1"/>
    <x v="1"/>
    <n v="141"/>
    <n v="6"/>
    <n v="46"/>
    <x v="6"/>
    <n v="4"/>
    <x v="0"/>
    <n v="6"/>
    <n v="20"/>
    <n v="8"/>
    <n v="47"/>
    <n v="249020"/>
  </r>
  <r>
    <x v="0"/>
    <x v="1"/>
    <x v="2"/>
    <n v="146"/>
    <n v="5"/>
    <n v="63"/>
    <x v="9"/>
    <n v="2"/>
    <x v="1"/>
    <n v="13"/>
    <n v="20"/>
    <n v="4"/>
    <n v="27"/>
    <n v="114830"/>
  </r>
  <r>
    <x v="0"/>
    <x v="1"/>
    <x v="3"/>
    <n v="75"/>
    <n v="2"/>
    <n v="26"/>
    <x v="3"/>
    <m/>
    <x v="3"/>
    <n v="10"/>
    <n v="15"/>
    <n v="7"/>
    <n v="13"/>
    <n v="89450"/>
  </r>
  <r>
    <x v="0"/>
    <x v="1"/>
    <x v="4"/>
    <n v="1908"/>
    <n v="36"/>
    <n v="502"/>
    <x v="10"/>
    <n v="18"/>
    <x v="11"/>
    <n v="369"/>
    <n v="432"/>
    <n v="72"/>
    <n v="458"/>
    <n v="463230"/>
  </r>
  <r>
    <x v="0"/>
    <x v="1"/>
    <x v="5"/>
    <n v="188"/>
    <n v="4"/>
    <n v="56"/>
    <x v="6"/>
    <n v="5"/>
    <x v="1"/>
    <n v="15"/>
    <n v="32"/>
    <n v="2"/>
    <n v="69"/>
    <n v="51290"/>
  </r>
  <r>
    <x v="0"/>
    <x v="1"/>
    <x v="6"/>
    <n v="165"/>
    <n v="5"/>
    <n v="46"/>
    <x v="3"/>
    <n v="5"/>
    <x v="0"/>
    <n v="9"/>
    <n v="33"/>
    <n v="10"/>
    <n v="57"/>
    <n v="151160"/>
  </r>
  <r>
    <x v="0"/>
    <x v="1"/>
    <x v="7"/>
    <n v="867"/>
    <n v="19"/>
    <n v="228"/>
    <x v="4"/>
    <n v="8"/>
    <x v="8"/>
    <n v="92"/>
    <n v="212"/>
    <n v="27"/>
    <n v="271"/>
    <n v="145170"/>
  </r>
  <r>
    <x v="0"/>
    <x v="1"/>
    <x v="8"/>
    <n v="668"/>
    <n v="35"/>
    <n v="132"/>
    <x v="1"/>
    <n v="6"/>
    <x v="5"/>
    <n v="79"/>
    <n v="168"/>
    <n v="37"/>
    <n v="198"/>
    <n v="122110"/>
  </r>
  <r>
    <x v="0"/>
    <x v="1"/>
    <x v="9"/>
    <n v="220"/>
    <n v="12"/>
    <n v="76"/>
    <x v="1"/>
    <n v="3"/>
    <x v="3"/>
    <n v="25"/>
    <n v="30"/>
    <n v="5"/>
    <n v="65"/>
    <n v="104960"/>
  </r>
  <r>
    <x v="0"/>
    <x v="1"/>
    <x v="10"/>
    <n v="285"/>
    <n v="11"/>
    <n v="115"/>
    <x v="11"/>
    <n v="1"/>
    <x v="1"/>
    <n v="48"/>
    <n v="34"/>
    <n v="4"/>
    <n v="61"/>
    <n v="98340"/>
  </r>
  <r>
    <x v="0"/>
    <x v="1"/>
    <x v="11"/>
    <n v="238"/>
    <n v="11"/>
    <n v="76"/>
    <x v="4"/>
    <n v="1"/>
    <x v="0"/>
    <n v="29"/>
    <n v="30"/>
    <n v="5"/>
    <n v="80"/>
    <n v="89980"/>
  </r>
  <r>
    <x v="0"/>
    <x v="1"/>
    <x v="12"/>
    <n v="655"/>
    <n v="11"/>
    <n v="197"/>
    <x v="10"/>
    <n v="14"/>
    <x v="3"/>
    <n v="96"/>
    <n v="144"/>
    <n v="13"/>
    <n v="170"/>
    <n v="154210"/>
  </r>
  <r>
    <x v="0"/>
    <x v="1"/>
    <x v="13"/>
    <n v="1035"/>
    <n v="33"/>
    <n v="360"/>
    <x v="12"/>
    <n v="19"/>
    <x v="7"/>
    <n v="81"/>
    <n v="156"/>
    <n v="27"/>
    <n v="336"/>
    <n v="361420"/>
  </r>
  <r>
    <x v="0"/>
    <x v="1"/>
    <x v="14"/>
    <n v="3024"/>
    <n v="135"/>
    <n v="551"/>
    <x v="4"/>
    <n v="31"/>
    <x v="12"/>
    <n v="421"/>
    <n v="651"/>
    <n v="126"/>
    <n v="1087"/>
    <n v="581620"/>
  </r>
  <r>
    <x v="0"/>
    <x v="1"/>
    <x v="15"/>
    <n v="262"/>
    <n v="4"/>
    <n v="143"/>
    <x v="0"/>
    <n v="2"/>
    <x v="10"/>
    <n v="17"/>
    <n v="29"/>
    <n v="11"/>
    <n v="50"/>
    <n v="228750"/>
  </r>
  <r>
    <x v="0"/>
    <x v="1"/>
    <x v="16"/>
    <n v="551"/>
    <n v="39"/>
    <n v="155"/>
    <x v="10"/>
    <n v="6"/>
    <x v="2"/>
    <n v="71"/>
    <n v="86"/>
    <n v="15"/>
    <n v="168"/>
    <n v="81670"/>
  </r>
  <r>
    <x v="0"/>
    <x v="1"/>
    <x v="17"/>
    <n v="345"/>
    <n v="6"/>
    <n v="118"/>
    <x v="13"/>
    <n v="2"/>
    <x v="1"/>
    <n v="56"/>
    <n v="54"/>
    <n v="11"/>
    <n v="85"/>
    <n v="81900"/>
  </r>
  <r>
    <x v="0"/>
    <x v="1"/>
    <x v="18"/>
    <n v="108"/>
    <n v="2"/>
    <n v="64"/>
    <x v="1"/>
    <n v="1"/>
    <x v="0"/>
    <n v="2"/>
    <n v="10"/>
    <n v="1"/>
    <n v="26"/>
    <n v="93160"/>
  </r>
  <r>
    <x v="0"/>
    <x v="1"/>
    <x v="19"/>
    <n v="7"/>
    <m/>
    <n v="5"/>
    <x v="3"/>
    <m/>
    <x v="0"/>
    <m/>
    <n v="2"/>
    <m/>
    <m/>
    <n v="27420"/>
  </r>
  <r>
    <x v="0"/>
    <x v="1"/>
    <x v="20"/>
    <n v="758"/>
    <n v="20"/>
    <n v="262"/>
    <x v="6"/>
    <n v="5"/>
    <x v="5"/>
    <n v="127"/>
    <n v="101"/>
    <n v="25"/>
    <n v="203"/>
    <n v="137830"/>
  </r>
  <r>
    <x v="0"/>
    <x v="1"/>
    <x v="21"/>
    <n v="1683"/>
    <n v="48"/>
    <n v="508"/>
    <x v="4"/>
    <n v="16"/>
    <x v="10"/>
    <n v="187"/>
    <n v="278"/>
    <n v="98"/>
    <n v="537"/>
    <n v="335160"/>
  </r>
  <r>
    <x v="0"/>
    <x v="1"/>
    <x v="22"/>
    <n v="6"/>
    <m/>
    <n v="3"/>
    <x v="3"/>
    <m/>
    <x v="0"/>
    <n v="1"/>
    <m/>
    <m/>
    <n v="2"/>
    <n v="20940"/>
  </r>
  <r>
    <x v="0"/>
    <x v="1"/>
    <x v="23"/>
    <n v="142"/>
    <n v="4"/>
    <n v="40"/>
    <x v="6"/>
    <n v="4"/>
    <x v="1"/>
    <n v="10"/>
    <n v="26"/>
    <n v="5"/>
    <n v="48"/>
    <n v="144370"/>
  </r>
  <r>
    <x v="0"/>
    <x v="1"/>
    <x v="24"/>
    <n v="771"/>
    <n v="42"/>
    <n v="183"/>
    <x v="10"/>
    <n v="6"/>
    <x v="3"/>
    <n v="83"/>
    <n v="162"/>
    <n v="27"/>
    <n v="258"/>
    <n v="173020"/>
  </r>
  <r>
    <x v="0"/>
    <x v="1"/>
    <x v="25"/>
    <n v="107"/>
    <n v="3"/>
    <n v="39"/>
    <x v="3"/>
    <n v="1"/>
    <x v="0"/>
    <n v="16"/>
    <n v="18"/>
    <n v="1"/>
    <n v="29"/>
    <n v="113590"/>
  </r>
  <r>
    <x v="0"/>
    <x v="1"/>
    <x v="26"/>
    <n v="3"/>
    <m/>
    <n v="2"/>
    <x v="3"/>
    <m/>
    <x v="0"/>
    <m/>
    <n v="1"/>
    <m/>
    <m/>
    <n v="22800"/>
  </r>
  <r>
    <x v="0"/>
    <x v="1"/>
    <x v="27"/>
    <n v="333"/>
    <n v="3"/>
    <n v="124"/>
    <x v="3"/>
    <n v="2"/>
    <x v="1"/>
    <n v="36"/>
    <n v="48"/>
    <n v="19"/>
    <n v="100"/>
    <n v="112490"/>
  </r>
  <r>
    <x v="0"/>
    <x v="1"/>
    <x v="28"/>
    <n v="1361"/>
    <n v="44"/>
    <n v="383"/>
    <x v="4"/>
    <n v="15"/>
    <x v="9"/>
    <n v="104"/>
    <n v="228"/>
    <n v="52"/>
    <n v="523"/>
    <n v="312180"/>
  </r>
  <r>
    <x v="0"/>
    <x v="1"/>
    <x v="29"/>
    <n v="182"/>
    <n v="2"/>
    <n v="56"/>
    <x v="0"/>
    <n v="3"/>
    <x v="0"/>
    <n v="31"/>
    <n v="28"/>
    <n v="4"/>
    <n v="57"/>
    <n v="88690"/>
  </r>
  <r>
    <x v="0"/>
    <x v="1"/>
    <x v="30"/>
    <n v="609"/>
    <n v="21"/>
    <n v="186"/>
    <x v="6"/>
    <n v="4"/>
    <x v="4"/>
    <n v="70"/>
    <n v="122"/>
    <n v="22"/>
    <n v="173"/>
    <n v="91080"/>
  </r>
  <r>
    <x v="0"/>
    <x v="1"/>
    <x v="31"/>
    <n v="882"/>
    <n v="28"/>
    <n v="330"/>
    <x v="9"/>
    <n v="9"/>
    <x v="10"/>
    <n v="146"/>
    <n v="144"/>
    <n v="25"/>
    <n v="184"/>
    <n v="173040"/>
  </r>
  <r>
    <x v="1"/>
    <x v="1"/>
    <x v="0"/>
    <n v="445"/>
    <n v="13"/>
    <n v="113"/>
    <x v="0"/>
    <n v="10"/>
    <x v="2"/>
    <n v="15"/>
    <n v="125"/>
    <n v="16"/>
    <n v="149"/>
    <n v="219730"/>
  </r>
  <r>
    <x v="1"/>
    <x v="1"/>
    <x v="1"/>
    <n v="180"/>
    <n v="8"/>
    <n v="52"/>
    <x v="0"/>
    <n v="4"/>
    <x v="3"/>
    <n v="15"/>
    <n v="35"/>
    <n v="8"/>
    <n v="55"/>
    <n v="251430"/>
  </r>
  <r>
    <x v="1"/>
    <x v="1"/>
    <x v="2"/>
    <n v="139"/>
    <n v="4"/>
    <n v="57"/>
    <x v="11"/>
    <n v="3"/>
    <x v="1"/>
    <n v="14"/>
    <n v="25"/>
    <n v="2"/>
    <n v="23"/>
    <n v="115410"/>
  </r>
  <r>
    <x v="1"/>
    <x v="1"/>
    <x v="3"/>
    <n v="140"/>
    <n v="3"/>
    <n v="80"/>
    <x v="1"/>
    <n v="2"/>
    <x v="3"/>
    <n v="20"/>
    <n v="17"/>
    <n v="4"/>
    <n v="10"/>
    <n v="88620"/>
  </r>
  <r>
    <x v="1"/>
    <x v="1"/>
    <x v="4"/>
    <n v="1575"/>
    <n v="43"/>
    <n v="438"/>
    <x v="7"/>
    <n v="17"/>
    <x v="2"/>
    <n v="235"/>
    <n v="405"/>
    <n v="79"/>
    <n v="350"/>
    <n v="469930"/>
  </r>
  <r>
    <x v="1"/>
    <x v="1"/>
    <x v="5"/>
    <n v="159"/>
    <n v="5"/>
    <n v="77"/>
    <x v="6"/>
    <n v="3"/>
    <x v="0"/>
    <n v="21"/>
    <n v="11"/>
    <n v="4"/>
    <n v="34"/>
    <n v="51330"/>
  </r>
  <r>
    <x v="1"/>
    <x v="1"/>
    <x v="6"/>
    <n v="167"/>
    <n v="1"/>
    <n v="65"/>
    <x v="3"/>
    <n v="3"/>
    <x v="0"/>
    <n v="12"/>
    <n v="27"/>
    <n v="4"/>
    <n v="55"/>
    <n v="151100"/>
  </r>
  <r>
    <x v="1"/>
    <x v="1"/>
    <x v="7"/>
    <n v="820"/>
    <n v="7"/>
    <n v="217"/>
    <x v="7"/>
    <n v="15"/>
    <x v="3"/>
    <n v="64"/>
    <n v="283"/>
    <n v="35"/>
    <n v="192"/>
    <n v="146060"/>
  </r>
  <r>
    <x v="1"/>
    <x v="1"/>
    <x v="8"/>
    <n v="1025"/>
    <n v="32"/>
    <n v="374"/>
    <x v="3"/>
    <n v="9"/>
    <x v="5"/>
    <n v="115"/>
    <n v="226"/>
    <n v="51"/>
    <n v="207"/>
    <n v="122410"/>
  </r>
  <r>
    <x v="1"/>
    <x v="1"/>
    <x v="9"/>
    <n v="311"/>
    <n v="16"/>
    <n v="124"/>
    <x v="3"/>
    <n v="4"/>
    <x v="3"/>
    <n v="42"/>
    <n v="47"/>
    <n v="8"/>
    <n v="68"/>
    <n v="104920"/>
  </r>
  <r>
    <x v="1"/>
    <x v="1"/>
    <x v="10"/>
    <n v="252"/>
    <n v="2"/>
    <n v="95"/>
    <x v="4"/>
    <n v="8"/>
    <x v="3"/>
    <n v="47"/>
    <n v="35"/>
    <n v="5"/>
    <n v="52"/>
    <n v="99140"/>
  </r>
  <r>
    <x v="1"/>
    <x v="1"/>
    <x v="11"/>
    <n v="284"/>
    <n v="10"/>
    <n v="119"/>
    <x v="0"/>
    <n v="4"/>
    <x v="1"/>
    <n v="40"/>
    <n v="46"/>
    <n v="6"/>
    <n v="57"/>
    <n v="90410"/>
  </r>
  <r>
    <x v="1"/>
    <x v="1"/>
    <x v="12"/>
    <n v="617"/>
    <n v="15"/>
    <n v="270"/>
    <x v="3"/>
    <n v="6"/>
    <x v="0"/>
    <n v="53"/>
    <n v="130"/>
    <n v="14"/>
    <n v="129"/>
    <n v="155130"/>
  </r>
  <r>
    <x v="1"/>
    <x v="1"/>
    <x v="13"/>
    <n v="899"/>
    <n v="24"/>
    <n v="350"/>
    <x v="14"/>
    <n v="16"/>
    <x v="4"/>
    <n v="63"/>
    <n v="136"/>
    <n v="25"/>
    <n v="264"/>
    <n v="362610"/>
  </r>
  <r>
    <x v="1"/>
    <x v="1"/>
    <x v="14"/>
    <n v="3771"/>
    <n v="165"/>
    <n v="790"/>
    <x v="10"/>
    <n v="59"/>
    <x v="13"/>
    <n v="620"/>
    <n v="903"/>
    <n v="164"/>
    <n v="1039"/>
    <n v="586500"/>
  </r>
  <r>
    <x v="1"/>
    <x v="1"/>
    <x v="15"/>
    <n v="255"/>
    <n v="5"/>
    <n v="123"/>
    <x v="1"/>
    <n v="1"/>
    <x v="0"/>
    <n v="35"/>
    <n v="15"/>
    <n v="4"/>
    <n v="70"/>
    <n v="230730"/>
  </r>
  <r>
    <x v="1"/>
    <x v="1"/>
    <x v="16"/>
    <n v="885"/>
    <n v="27"/>
    <n v="410"/>
    <x v="0"/>
    <n v="7"/>
    <x v="8"/>
    <n v="122"/>
    <n v="132"/>
    <n v="14"/>
    <n v="168"/>
    <n v="81510"/>
  </r>
  <r>
    <x v="1"/>
    <x v="1"/>
    <x v="17"/>
    <n v="331"/>
    <n v="16"/>
    <n v="109"/>
    <x v="4"/>
    <n v="6"/>
    <x v="1"/>
    <n v="77"/>
    <n v="39"/>
    <n v="10"/>
    <n v="67"/>
    <n v="82360"/>
  </r>
  <r>
    <x v="1"/>
    <x v="1"/>
    <x v="18"/>
    <n v="131"/>
    <n v="2"/>
    <n v="65"/>
    <x v="3"/>
    <n v="3"/>
    <x v="3"/>
    <n v="5"/>
    <n v="23"/>
    <n v="3"/>
    <n v="28"/>
    <n v="93690"/>
  </r>
  <r>
    <x v="1"/>
    <x v="1"/>
    <x v="19"/>
    <n v="13"/>
    <n v="1"/>
    <n v="3"/>
    <x v="0"/>
    <m/>
    <x v="1"/>
    <m/>
    <n v="3"/>
    <m/>
    <n v="4"/>
    <n v="27600"/>
  </r>
  <r>
    <x v="1"/>
    <x v="1"/>
    <x v="20"/>
    <n v="966"/>
    <n v="29"/>
    <n v="463"/>
    <x v="1"/>
    <n v="5"/>
    <x v="10"/>
    <n v="160"/>
    <n v="125"/>
    <n v="48"/>
    <n v="129"/>
    <n v="137800"/>
  </r>
  <r>
    <x v="1"/>
    <x v="1"/>
    <x v="21"/>
    <n v="2661"/>
    <n v="52"/>
    <n v="939"/>
    <x v="4"/>
    <n v="25"/>
    <x v="14"/>
    <n v="359"/>
    <n v="390"/>
    <n v="97"/>
    <n v="783"/>
    <n v="336280"/>
  </r>
  <r>
    <x v="1"/>
    <x v="1"/>
    <x v="22"/>
    <n v="7"/>
    <n v="1"/>
    <n v="1"/>
    <x v="3"/>
    <m/>
    <x v="0"/>
    <n v="2"/>
    <m/>
    <m/>
    <n v="3"/>
    <n v="21220"/>
  </r>
  <r>
    <x v="1"/>
    <x v="1"/>
    <x v="23"/>
    <n v="158"/>
    <n v="3"/>
    <n v="54"/>
    <x v="1"/>
    <n v="7"/>
    <x v="8"/>
    <n v="21"/>
    <n v="35"/>
    <n v="5"/>
    <n v="27"/>
    <n v="145600"/>
  </r>
  <r>
    <x v="1"/>
    <x v="1"/>
    <x v="24"/>
    <n v="1051"/>
    <n v="84"/>
    <n v="352"/>
    <x v="7"/>
    <n v="5"/>
    <x v="6"/>
    <n v="132"/>
    <n v="140"/>
    <n v="38"/>
    <n v="286"/>
    <n v="173700"/>
  </r>
  <r>
    <x v="1"/>
    <x v="1"/>
    <x v="25"/>
    <n v="101"/>
    <n v="1"/>
    <n v="43"/>
    <x v="0"/>
    <n v="1"/>
    <x v="0"/>
    <n v="24"/>
    <n v="16"/>
    <n v="3"/>
    <n v="12"/>
    <n v="113700"/>
  </r>
  <r>
    <x v="1"/>
    <x v="1"/>
    <x v="27"/>
    <n v="571"/>
    <n v="27"/>
    <n v="173"/>
    <x v="3"/>
    <n v="3"/>
    <x v="7"/>
    <n v="139"/>
    <n v="125"/>
    <n v="19"/>
    <n v="77"/>
    <n v="112600"/>
  </r>
  <r>
    <x v="1"/>
    <x v="1"/>
    <x v="28"/>
    <n v="1861"/>
    <n v="37"/>
    <n v="653"/>
    <x v="15"/>
    <n v="22"/>
    <x v="7"/>
    <n v="195"/>
    <n v="307"/>
    <n v="56"/>
    <n v="570"/>
    <n v="313180"/>
  </r>
  <r>
    <x v="1"/>
    <x v="1"/>
    <x v="29"/>
    <n v="168"/>
    <n v="8"/>
    <n v="60"/>
    <x v="0"/>
    <n v="2"/>
    <x v="0"/>
    <n v="24"/>
    <n v="29"/>
    <n v="2"/>
    <n v="42"/>
    <n v="89550"/>
  </r>
  <r>
    <x v="1"/>
    <x v="1"/>
    <x v="30"/>
    <n v="836"/>
    <n v="35"/>
    <n v="322"/>
    <x v="2"/>
    <n v="6"/>
    <x v="7"/>
    <n v="94"/>
    <n v="164"/>
    <n v="33"/>
    <n v="171"/>
    <n v="90800"/>
  </r>
  <r>
    <x v="1"/>
    <x v="1"/>
    <x v="31"/>
    <n v="823"/>
    <n v="17"/>
    <n v="407"/>
    <x v="0"/>
    <n v="9"/>
    <x v="0"/>
    <n v="96"/>
    <n v="143"/>
    <n v="31"/>
    <n v="119"/>
    <n v="174090"/>
  </r>
  <r>
    <x v="2"/>
    <x v="1"/>
    <x v="0"/>
    <n v="514"/>
    <n v="23"/>
    <n v="109"/>
    <x v="3"/>
    <n v="14"/>
    <x v="0"/>
    <n v="4"/>
    <n v="177"/>
    <n v="12"/>
    <n v="175"/>
    <n v="222460"/>
  </r>
  <r>
    <x v="2"/>
    <x v="1"/>
    <x v="1"/>
    <n v="163"/>
    <n v="4"/>
    <n v="60"/>
    <x v="3"/>
    <n v="8"/>
    <x v="3"/>
    <n v="7"/>
    <n v="22"/>
    <m/>
    <n v="60"/>
    <n v="253650"/>
  </r>
  <r>
    <x v="2"/>
    <x v="1"/>
    <x v="2"/>
    <n v="126"/>
    <n v="3"/>
    <n v="52"/>
    <x v="8"/>
    <n v="5"/>
    <x v="0"/>
    <n v="15"/>
    <n v="7"/>
    <n v="3"/>
    <n v="34"/>
    <n v="116200"/>
  </r>
  <r>
    <x v="2"/>
    <x v="1"/>
    <x v="3"/>
    <n v="88"/>
    <m/>
    <n v="31"/>
    <x v="0"/>
    <n v="1"/>
    <x v="3"/>
    <n v="15"/>
    <n v="14"/>
    <n v="4"/>
    <n v="20"/>
    <n v="88930"/>
  </r>
  <r>
    <x v="2"/>
    <x v="1"/>
    <x v="4"/>
    <n v="1475"/>
    <n v="43"/>
    <n v="352"/>
    <x v="2"/>
    <n v="13"/>
    <x v="9"/>
    <n v="213"/>
    <n v="392"/>
    <n v="80"/>
    <n v="373"/>
    <n v="477940"/>
  </r>
  <r>
    <x v="2"/>
    <x v="1"/>
    <x v="5"/>
    <n v="104"/>
    <n v="2"/>
    <n v="29"/>
    <x v="2"/>
    <n v="2"/>
    <x v="0"/>
    <n v="8"/>
    <n v="18"/>
    <n v="4"/>
    <n v="38"/>
    <n v="51500"/>
  </r>
  <r>
    <x v="2"/>
    <x v="1"/>
    <x v="6"/>
    <n v="94"/>
    <n v="1"/>
    <n v="17"/>
    <x v="3"/>
    <n v="3"/>
    <x v="0"/>
    <n v="2"/>
    <n v="30"/>
    <n v="1"/>
    <n v="40"/>
    <n v="151410"/>
  </r>
  <r>
    <x v="2"/>
    <x v="1"/>
    <x v="7"/>
    <n v="615"/>
    <n v="17"/>
    <n v="151"/>
    <x v="4"/>
    <n v="7"/>
    <x v="1"/>
    <n v="34"/>
    <n v="187"/>
    <n v="24"/>
    <n v="188"/>
    <n v="147200"/>
  </r>
  <r>
    <x v="2"/>
    <x v="1"/>
    <x v="8"/>
    <n v="712"/>
    <n v="33"/>
    <n v="152"/>
    <x v="1"/>
    <n v="2"/>
    <x v="4"/>
    <n v="65"/>
    <n v="202"/>
    <n v="40"/>
    <n v="209"/>
    <n v="122690"/>
  </r>
  <r>
    <x v="2"/>
    <x v="1"/>
    <x v="9"/>
    <n v="180"/>
    <n v="10"/>
    <n v="63"/>
    <x v="1"/>
    <n v="6"/>
    <x v="3"/>
    <n v="18"/>
    <n v="22"/>
    <n v="3"/>
    <n v="54"/>
    <n v="105000"/>
  </r>
  <r>
    <x v="2"/>
    <x v="1"/>
    <x v="10"/>
    <n v="242"/>
    <n v="5"/>
    <n v="86"/>
    <x v="11"/>
    <n v="3"/>
    <x v="1"/>
    <n v="19"/>
    <n v="30"/>
    <n v="3"/>
    <n v="85"/>
    <n v="99920"/>
  </r>
  <r>
    <x v="2"/>
    <x v="1"/>
    <x v="11"/>
    <n v="183"/>
    <n v="13"/>
    <n v="55"/>
    <x v="3"/>
    <n v="6"/>
    <x v="3"/>
    <n v="27"/>
    <n v="28"/>
    <n v="4"/>
    <n v="48"/>
    <n v="90810"/>
  </r>
  <r>
    <x v="2"/>
    <x v="1"/>
    <x v="12"/>
    <n v="478"/>
    <n v="12"/>
    <n v="143"/>
    <x v="2"/>
    <n v="5"/>
    <x v="0"/>
    <n v="65"/>
    <n v="141"/>
    <n v="10"/>
    <n v="99"/>
    <n v="156250"/>
  </r>
  <r>
    <x v="2"/>
    <x v="1"/>
    <x v="13"/>
    <n v="828"/>
    <n v="25"/>
    <n v="218"/>
    <x v="13"/>
    <n v="28"/>
    <x v="3"/>
    <n v="49"/>
    <n v="190"/>
    <n v="11"/>
    <n v="293"/>
    <n v="365300"/>
  </r>
  <r>
    <x v="2"/>
    <x v="1"/>
    <x v="14"/>
    <n v="2664"/>
    <n v="110"/>
    <n v="405"/>
    <x v="2"/>
    <n v="37"/>
    <x v="7"/>
    <n v="437"/>
    <n v="829"/>
    <n v="124"/>
    <n v="711"/>
    <n v="593060"/>
  </r>
  <r>
    <x v="2"/>
    <x v="1"/>
    <x v="15"/>
    <n v="288"/>
    <n v="9"/>
    <n v="147"/>
    <x v="1"/>
    <n v="6"/>
    <x v="1"/>
    <n v="34"/>
    <n v="22"/>
    <n v="6"/>
    <n v="61"/>
    <n v="232730"/>
  </r>
  <r>
    <x v="2"/>
    <x v="1"/>
    <x v="16"/>
    <n v="638"/>
    <n v="49"/>
    <n v="191"/>
    <x v="1"/>
    <n v="12"/>
    <x v="3"/>
    <n v="87"/>
    <n v="122"/>
    <n v="11"/>
    <n v="162"/>
    <n v="81220"/>
  </r>
  <r>
    <x v="2"/>
    <x v="1"/>
    <x v="17"/>
    <n v="345"/>
    <n v="13"/>
    <n v="71"/>
    <x v="7"/>
    <n v="3"/>
    <x v="3"/>
    <n v="96"/>
    <n v="52"/>
    <n v="12"/>
    <n v="91"/>
    <n v="83450"/>
  </r>
  <r>
    <x v="2"/>
    <x v="1"/>
    <x v="18"/>
    <n v="130"/>
    <n v="9"/>
    <n v="78"/>
    <x v="1"/>
    <m/>
    <x v="3"/>
    <n v="5"/>
    <n v="9"/>
    <n v="2"/>
    <n v="23"/>
    <n v="93470"/>
  </r>
  <r>
    <x v="2"/>
    <x v="1"/>
    <x v="19"/>
    <n v="6"/>
    <n v="1"/>
    <n v="2"/>
    <x v="3"/>
    <m/>
    <x v="0"/>
    <m/>
    <m/>
    <m/>
    <n v="3"/>
    <n v="27690"/>
  </r>
  <r>
    <x v="2"/>
    <x v="1"/>
    <x v="20"/>
    <n v="609"/>
    <n v="15"/>
    <n v="161"/>
    <x v="0"/>
    <n v="5"/>
    <x v="8"/>
    <n v="159"/>
    <n v="151"/>
    <n v="19"/>
    <n v="94"/>
    <n v="138090"/>
  </r>
  <r>
    <x v="2"/>
    <x v="1"/>
    <x v="21"/>
    <n v="1903"/>
    <n v="38"/>
    <n v="487"/>
    <x v="0"/>
    <n v="22"/>
    <x v="11"/>
    <n v="275"/>
    <n v="376"/>
    <n v="79"/>
    <n v="612"/>
    <n v="337720"/>
  </r>
  <r>
    <x v="2"/>
    <x v="1"/>
    <x v="23"/>
    <n v="131"/>
    <n v="5"/>
    <n v="44"/>
    <x v="0"/>
    <n v="5"/>
    <x v="0"/>
    <n v="7"/>
    <n v="33"/>
    <n v="5"/>
    <n v="31"/>
    <n v="146850"/>
  </r>
  <r>
    <x v="2"/>
    <x v="1"/>
    <x v="24"/>
    <n v="721"/>
    <n v="48"/>
    <n v="183"/>
    <x v="6"/>
    <n v="11"/>
    <x v="8"/>
    <n v="110"/>
    <n v="141"/>
    <n v="50"/>
    <n v="170"/>
    <n v="174700"/>
  </r>
  <r>
    <x v="2"/>
    <x v="1"/>
    <x v="25"/>
    <n v="89"/>
    <n v="2"/>
    <n v="36"/>
    <x v="0"/>
    <m/>
    <x v="0"/>
    <n v="16"/>
    <n v="17"/>
    <m/>
    <n v="17"/>
    <n v="113880"/>
  </r>
  <r>
    <x v="2"/>
    <x v="1"/>
    <x v="26"/>
    <n v="4"/>
    <n v="1"/>
    <m/>
    <x v="3"/>
    <m/>
    <x v="1"/>
    <m/>
    <m/>
    <m/>
    <n v="2"/>
    <n v="23240"/>
  </r>
  <r>
    <x v="2"/>
    <x v="1"/>
    <x v="27"/>
    <n v="328"/>
    <n v="17"/>
    <n v="84"/>
    <x v="1"/>
    <n v="4"/>
    <x v="3"/>
    <n v="64"/>
    <n v="79"/>
    <n v="14"/>
    <n v="62"/>
    <n v="112980"/>
  </r>
  <r>
    <x v="2"/>
    <x v="1"/>
    <x v="28"/>
    <n v="1232"/>
    <n v="25"/>
    <n v="321"/>
    <x v="6"/>
    <n v="13"/>
    <x v="9"/>
    <n v="119"/>
    <n v="299"/>
    <n v="65"/>
    <n v="380"/>
    <n v="313900"/>
  </r>
  <r>
    <x v="2"/>
    <x v="1"/>
    <x v="29"/>
    <n v="128"/>
    <n v="4"/>
    <n v="28"/>
    <x v="2"/>
    <n v="2"/>
    <x v="1"/>
    <n v="26"/>
    <n v="27"/>
    <n v="3"/>
    <n v="34"/>
    <n v="90330"/>
  </r>
  <r>
    <x v="2"/>
    <x v="1"/>
    <x v="30"/>
    <n v="497"/>
    <n v="41"/>
    <n v="125"/>
    <x v="1"/>
    <n v="5"/>
    <x v="10"/>
    <n v="61"/>
    <n v="109"/>
    <n v="21"/>
    <n v="128"/>
    <n v="90610"/>
  </r>
  <r>
    <x v="2"/>
    <x v="1"/>
    <x v="31"/>
    <n v="683"/>
    <n v="9"/>
    <n v="266"/>
    <x v="6"/>
    <n v="3"/>
    <x v="1"/>
    <n v="62"/>
    <n v="168"/>
    <n v="15"/>
    <n v="155"/>
    <n v="175300"/>
  </r>
  <r>
    <x v="3"/>
    <x v="1"/>
    <x v="0"/>
    <n v="347"/>
    <n v="23"/>
    <n v="53"/>
    <x v="3"/>
    <n v="6"/>
    <x v="0"/>
    <n v="4"/>
    <n v="117"/>
    <n v="18"/>
    <n v="126"/>
    <n v="224910"/>
  </r>
  <r>
    <x v="3"/>
    <x v="1"/>
    <x v="1"/>
    <n v="120"/>
    <n v="5"/>
    <n v="21"/>
    <x v="3"/>
    <n v="5"/>
    <x v="0"/>
    <n v="2"/>
    <n v="28"/>
    <n v="9"/>
    <n v="50"/>
    <n v="255560"/>
  </r>
  <r>
    <x v="3"/>
    <x v="1"/>
    <x v="2"/>
    <n v="86"/>
    <n v="1"/>
    <n v="32"/>
    <x v="6"/>
    <n v="1"/>
    <x v="0"/>
    <n v="15"/>
    <n v="17"/>
    <n v="6"/>
    <n v="10"/>
    <n v="116220"/>
  </r>
  <r>
    <x v="3"/>
    <x v="1"/>
    <x v="3"/>
    <n v="85"/>
    <n v="2"/>
    <n v="41"/>
    <x v="0"/>
    <m/>
    <x v="0"/>
    <n v="9"/>
    <n v="17"/>
    <m/>
    <n v="15"/>
    <n v="86910"/>
  </r>
  <r>
    <x v="3"/>
    <x v="1"/>
    <x v="4"/>
    <n v="952"/>
    <n v="12"/>
    <n v="179"/>
    <x v="0"/>
    <n v="11"/>
    <x v="3"/>
    <n v="196"/>
    <n v="297"/>
    <n v="81"/>
    <n v="173"/>
    <n v="482630"/>
  </r>
  <r>
    <x v="3"/>
    <x v="1"/>
    <x v="5"/>
    <n v="86"/>
    <n v="2"/>
    <n v="20"/>
    <x v="2"/>
    <n v="5"/>
    <x v="0"/>
    <n v="9"/>
    <n v="25"/>
    <n v="3"/>
    <n v="19"/>
    <n v="51280"/>
  </r>
  <r>
    <x v="3"/>
    <x v="1"/>
    <x v="6"/>
    <n v="77"/>
    <n v="3"/>
    <n v="22"/>
    <x v="3"/>
    <n v="1"/>
    <x v="1"/>
    <n v="2"/>
    <n v="17"/>
    <n v="3"/>
    <n v="28"/>
    <n v="150840"/>
  </r>
  <r>
    <x v="3"/>
    <x v="1"/>
    <x v="7"/>
    <n v="365"/>
    <n v="6"/>
    <n v="58"/>
    <x v="0"/>
    <n v="5"/>
    <x v="1"/>
    <n v="45"/>
    <n v="126"/>
    <n v="23"/>
    <n v="100"/>
    <n v="147780"/>
  </r>
  <r>
    <x v="3"/>
    <x v="1"/>
    <x v="8"/>
    <n v="642"/>
    <n v="15"/>
    <n v="165"/>
    <x v="6"/>
    <n v="7"/>
    <x v="2"/>
    <n v="85"/>
    <n v="163"/>
    <n v="30"/>
    <n v="170"/>
    <n v="122730"/>
  </r>
  <r>
    <x v="3"/>
    <x v="1"/>
    <x v="9"/>
    <n v="130"/>
    <n v="5"/>
    <n v="22"/>
    <x v="3"/>
    <n v="4"/>
    <x v="1"/>
    <n v="20"/>
    <n v="29"/>
    <n v="6"/>
    <n v="43"/>
    <n v="105880"/>
  </r>
  <r>
    <x v="3"/>
    <x v="1"/>
    <x v="10"/>
    <n v="106"/>
    <n v="2"/>
    <n v="22"/>
    <x v="2"/>
    <n v="2"/>
    <x v="0"/>
    <n v="29"/>
    <n v="11"/>
    <n v="9"/>
    <n v="28"/>
    <n v="100860"/>
  </r>
  <r>
    <x v="3"/>
    <x v="1"/>
    <x v="11"/>
    <n v="165"/>
    <n v="9"/>
    <n v="38"/>
    <x v="3"/>
    <n v="2"/>
    <x v="3"/>
    <n v="26"/>
    <n v="33"/>
    <n v="10"/>
    <n v="45"/>
    <n v="91040"/>
  </r>
  <r>
    <x v="3"/>
    <x v="1"/>
    <x v="12"/>
    <n v="323"/>
    <n v="1"/>
    <n v="92"/>
    <x v="3"/>
    <n v="6"/>
    <x v="0"/>
    <n v="78"/>
    <n v="74"/>
    <n v="12"/>
    <n v="60"/>
    <n v="156800"/>
  </r>
  <r>
    <x v="3"/>
    <x v="1"/>
    <x v="13"/>
    <n v="563"/>
    <n v="14"/>
    <n v="93"/>
    <x v="6"/>
    <n v="8"/>
    <x v="8"/>
    <n v="5"/>
    <n v="160"/>
    <n v="20"/>
    <n v="255"/>
    <n v="366210"/>
  </r>
  <r>
    <x v="3"/>
    <x v="1"/>
    <x v="14"/>
    <n v="2288"/>
    <n v="103"/>
    <n v="354"/>
    <x v="2"/>
    <n v="32"/>
    <x v="5"/>
    <n v="314"/>
    <n v="710"/>
    <n v="92"/>
    <n v="669"/>
    <n v="595070"/>
  </r>
  <r>
    <x v="3"/>
    <x v="1"/>
    <x v="15"/>
    <n v="160"/>
    <n v="4"/>
    <n v="72"/>
    <x v="3"/>
    <n v="2"/>
    <x v="2"/>
    <n v="24"/>
    <n v="23"/>
    <n v="2"/>
    <n v="30"/>
    <n v="232890"/>
  </r>
  <r>
    <x v="3"/>
    <x v="1"/>
    <x v="16"/>
    <n v="490"/>
    <n v="30"/>
    <n v="147"/>
    <x v="3"/>
    <n v="5"/>
    <x v="0"/>
    <n v="80"/>
    <n v="76"/>
    <n v="8"/>
    <n v="144"/>
    <n v="80690"/>
  </r>
  <r>
    <x v="3"/>
    <x v="1"/>
    <x v="17"/>
    <n v="144"/>
    <n v="1"/>
    <n v="41"/>
    <x v="2"/>
    <n v="1"/>
    <x v="0"/>
    <n v="35"/>
    <n v="21"/>
    <n v="3"/>
    <n v="39"/>
    <n v="84240"/>
  </r>
  <r>
    <x v="3"/>
    <x v="1"/>
    <x v="18"/>
    <n v="68"/>
    <n v="3"/>
    <n v="36"/>
    <x v="0"/>
    <n v="1"/>
    <x v="3"/>
    <n v="1"/>
    <n v="14"/>
    <n v="1"/>
    <n v="9"/>
    <n v="92930"/>
  </r>
  <r>
    <x v="3"/>
    <x v="1"/>
    <x v="19"/>
    <n v="13"/>
    <m/>
    <n v="10"/>
    <x v="3"/>
    <m/>
    <x v="0"/>
    <n v="1"/>
    <m/>
    <n v="1"/>
    <n v="1"/>
    <n v="27560"/>
  </r>
  <r>
    <x v="3"/>
    <x v="1"/>
    <x v="20"/>
    <n v="595"/>
    <n v="16"/>
    <n v="154"/>
    <x v="2"/>
    <n v="8"/>
    <x v="10"/>
    <n v="152"/>
    <n v="95"/>
    <n v="17"/>
    <n v="145"/>
    <n v="137570"/>
  </r>
  <r>
    <x v="3"/>
    <x v="1"/>
    <x v="21"/>
    <n v="1474"/>
    <n v="38"/>
    <n v="332"/>
    <x v="2"/>
    <n v="17"/>
    <x v="10"/>
    <n v="232"/>
    <n v="358"/>
    <n v="54"/>
    <n v="435"/>
    <n v="337890"/>
  </r>
  <r>
    <x v="3"/>
    <x v="1"/>
    <x v="22"/>
    <n v="2"/>
    <m/>
    <m/>
    <x v="3"/>
    <m/>
    <x v="0"/>
    <m/>
    <m/>
    <m/>
    <n v="2"/>
    <n v="21530"/>
  </r>
  <r>
    <x v="3"/>
    <x v="1"/>
    <x v="23"/>
    <n v="83"/>
    <n v="6"/>
    <n v="19"/>
    <x v="0"/>
    <n v="7"/>
    <x v="0"/>
    <n v="9"/>
    <n v="22"/>
    <n v="6"/>
    <n v="13"/>
    <n v="147740"/>
  </r>
  <r>
    <x v="3"/>
    <x v="1"/>
    <x v="24"/>
    <n v="608"/>
    <n v="33"/>
    <n v="125"/>
    <x v="0"/>
    <n v="13"/>
    <x v="2"/>
    <n v="79"/>
    <n v="148"/>
    <n v="42"/>
    <n v="164"/>
    <n v="174300"/>
  </r>
  <r>
    <x v="3"/>
    <x v="1"/>
    <x v="25"/>
    <n v="46"/>
    <n v="1"/>
    <n v="20"/>
    <x v="0"/>
    <n v="2"/>
    <x v="0"/>
    <n v="9"/>
    <n v="3"/>
    <n v="5"/>
    <n v="5"/>
    <n v="113720"/>
  </r>
  <r>
    <x v="3"/>
    <x v="1"/>
    <x v="26"/>
    <n v="3"/>
    <n v="1"/>
    <n v="2"/>
    <x v="3"/>
    <m/>
    <x v="0"/>
    <m/>
    <m/>
    <m/>
    <m/>
    <n v="23210"/>
  </r>
  <r>
    <x v="3"/>
    <x v="1"/>
    <x v="27"/>
    <n v="267"/>
    <n v="13"/>
    <n v="54"/>
    <x v="4"/>
    <n v="8"/>
    <x v="8"/>
    <n v="31"/>
    <n v="79"/>
    <n v="13"/>
    <n v="59"/>
    <n v="112920"/>
  </r>
  <r>
    <x v="3"/>
    <x v="1"/>
    <x v="28"/>
    <n v="1036"/>
    <n v="28"/>
    <n v="205"/>
    <x v="0"/>
    <n v="12"/>
    <x v="2"/>
    <n v="124"/>
    <n v="297"/>
    <n v="37"/>
    <n v="329"/>
    <n v="314330"/>
  </r>
  <r>
    <x v="3"/>
    <x v="1"/>
    <x v="29"/>
    <n v="93"/>
    <n v="4"/>
    <n v="23"/>
    <x v="3"/>
    <n v="2"/>
    <x v="0"/>
    <n v="11"/>
    <n v="21"/>
    <n v="2"/>
    <n v="30"/>
    <n v="91010"/>
  </r>
  <r>
    <x v="3"/>
    <x v="1"/>
    <x v="30"/>
    <n v="433"/>
    <n v="50"/>
    <n v="103"/>
    <x v="0"/>
    <n v="6"/>
    <x v="2"/>
    <n v="62"/>
    <n v="102"/>
    <n v="22"/>
    <n v="84"/>
    <n v="90340"/>
  </r>
  <r>
    <x v="3"/>
    <x v="1"/>
    <x v="31"/>
    <n v="402"/>
    <n v="7"/>
    <n v="111"/>
    <x v="1"/>
    <n v="12"/>
    <x v="3"/>
    <n v="73"/>
    <n v="111"/>
    <n v="13"/>
    <n v="71"/>
    <n v="176010"/>
  </r>
  <r>
    <x v="4"/>
    <x v="1"/>
    <x v="0"/>
    <n v="277"/>
    <n v="9"/>
    <n v="63"/>
    <x v="3"/>
    <n v="3"/>
    <x v="0"/>
    <n v="4"/>
    <n v="81"/>
    <n v="10"/>
    <n v="107"/>
    <n v="227070"/>
  </r>
  <r>
    <x v="4"/>
    <x v="1"/>
    <x v="1"/>
    <n v="141"/>
    <n v="13"/>
    <n v="43"/>
    <x v="3"/>
    <n v="6"/>
    <x v="3"/>
    <n v="2"/>
    <n v="18"/>
    <n v="9"/>
    <n v="48"/>
    <n v="257770"/>
  </r>
  <r>
    <x v="4"/>
    <x v="1"/>
    <x v="2"/>
    <n v="139"/>
    <n v="3"/>
    <n v="64"/>
    <x v="1"/>
    <n v="4"/>
    <x v="0"/>
    <n v="33"/>
    <n v="16"/>
    <m/>
    <n v="17"/>
    <n v="116290"/>
  </r>
  <r>
    <x v="4"/>
    <x v="1"/>
    <x v="3"/>
    <n v="55"/>
    <m/>
    <n v="20"/>
    <x v="3"/>
    <n v="1"/>
    <x v="1"/>
    <n v="16"/>
    <n v="8"/>
    <n v="1"/>
    <n v="8"/>
    <n v="88050"/>
  </r>
  <r>
    <x v="4"/>
    <x v="1"/>
    <x v="4"/>
    <n v="1022"/>
    <n v="15"/>
    <n v="272"/>
    <x v="0"/>
    <n v="15"/>
    <x v="3"/>
    <n v="213"/>
    <n v="269"/>
    <n v="69"/>
    <n v="166"/>
    <n v="487460"/>
  </r>
  <r>
    <x v="4"/>
    <x v="1"/>
    <x v="5"/>
    <n v="93"/>
    <n v="3"/>
    <n v="48"/>
    <x v="0"/>
    <n v="1"/>
    <x v="1"/>
    <n v="15"/>
    <n v="10"/>
    <n v="3"/>
    <n v="11"/>
    <n v="51280"/>
  </r>
  <r>
    <x v="4"/>
    <x v="1"/>
    <x v="6"/>
    <n v="87"/>
    <n v="1"/>
    <n v="25"/>
    <x v="3"/>
    <n v="2"/>
    <x v="1"/>
    <n v="2"/>
    <n v="14"/>
    <n v="5"/>
    <n v="37"/>
    <n v="150280"/>
  </r>
  <r>
    <x v="4"/>
    <x v="1"/>
    <x v="7"/>
    <n v="578"/>
    <n v="20"/>
    <n v="182"/>
    <x v="3"/>
    <n v="10"/>
    <x v="3"/>
    <n v="58"/>
    <n v="163"/>
    <n v="26"/>
    <n v="117"/>
    <n v="148100"/>
  </r>
  <r>
    <x v="4"/>
    <x v="1"/>
    <x v="8"/>
    <n v="650"/>
    <n v="13"/>
    <n v="290"/>
    <x v="0"/>
    <n v="3"/>
    <x v="3"/>
    <n v="45"/>
    <n v="124"/>
    <n v="21"/>
    <n v="151"/>
    <n v="122430"/>
  </r>
  <r>
    <x v="4"/>
    <x v="1"/>
    <x v="9"/>
    <n v="193"/>
    <n v="5"/>
    <n v="62"/>
    <x v="3"/>
    <n v="6"/>
    <x v="1"/>
    <n v="22"/>
    <n v="39"/>
    <n v="9"/>
    <n v="49"/>
    <n v="105840"/>
  </r>
  <r>
    <x v="4"/>
    <x v="1"/>
    <x v="10"/>
    <n v="154"/>
    <n v="2"/>
    <n v="74"/>
    <x v="1"/>
    <n v="2"/>
    <x v="1"/>
    <n v="28"/>
    <n v="15"/>
    <n v="5"/>
    <n v="25"/>
    <n v="101390"/>
  </r>
  <r>
    <x v="4"/>
    <x v="1"/>
    <x v="11"/>
    <n v="132"/>
    <n v="9"/>
    <n v="53"/>
    <x v="3"/>
    <n v="4"/>
    <x v="1"/>
    <n v="20"/>
    <n v="10"/>
    <n v="6"/>
    <n v="29"/>
    <n v="91530"/>
  </r>
  <r>
    <x v="4"/>
    <x v="1"/>
    <x v="12"/>
    <n v="389"/>
    <n v="2"/>
    <n v="135"/>
    <x v="1"/>
    <n v="17"/>
    <x v="1"/>
    <n v="90"/>
    <n v="81"/>
    <n v="14"/>
    <n v="47"/>
    <n v="157160"/>
  </r>
  <r>
    <x v="4"/>
    <x v="1"/>
    <x v="13"/>
    <n v="621"/>
    <n v="18"/>
    <n v="220"/>
    <x v="7"/>
    <n v="12"/>
    <x v="3"/>
    <n v="7"/>
    <n v="91"/>
    <n v="18"/>
    <n v="248"/>
    <n v="366900"/>
  </r>
  <r>
    <x v="4"/>
    <x v="1"/>
    <x v="14"/>
    <n v="2651"/>
    <n v="87"/>
    <n v="693"/>
    <x v="2"/>
    <n v="43"/>
    <x v="4"/>
    <n v="281"/>
    <n v="699"/>
    <n v="137"/>
    <n v="701"/>
    <n v="596520"/>
  </r>
  <r>
    <x v="4"/>
    <x v="1"/>
    <x v="15"/>
    <n v="185"/>
    <n v="5"/>
    <n v="110"/>
    <x v="3"/>
    <n v="3"/>
    <x v="2"/>
    <n v="24"/>
    <n v="19"/>
    <n v="3"/>
    <n v="18"/>
    <n v="232930"/>
  </r>
  <r>
    <x v="4"/>
    <x v="1"/>
    <x v="16"/>
    <n v="415"/>
    <n v="18"/>
    <n v="194"/>
    <x v="3"/>
    <n v="3"/>
    <x v="0"/>
    <n v="41"/>
    <n v="62"/>
    <n v="7"/>
    <n v="90"/>
    <n v="80340"/>
  </r>
  <r>
    <x v="4"/>
    <x v="1"/>
    <x v="17"/>
    <n v="272"/>
    <n v="11"/>
    <n v="112"/>
    <x v="7"/>
    <n v="5"/>
    <x v="0"/>
    <n v="61"/>
    <n v="29"/>
    <n v="10"/>
    <n v="39"/>
    <n v="84710"/>
  </r>
  <r>
    <x v="4"/>
    <x v="1"/>
    <x v="18"/>
    <n v="74"/>
    <n v="3"/>
    <n v="44"/>
    <x v="3"/>
    <n v="2"/>
    <x v="8"/>
    <n v="1"/>
    <n v="8"/>
    <n v="1"/>
    <n v="11"/>
    <n v="94360"/>
  </r>
  <r>
    <x v="4"/>
    <x v="1"/>
    <x v="19"/>
    <n v="10"/>
    <n v="1"/>
    <n v="4"/>
    <x v="3"/>
    <m/>
    <x v="0"/>
    <n v="1"/>
    <n v="3"/>
    <m/>
    <n v="1"/>
    <n v="27400"/>
  </r>
  <r>
    <x v="4"/>
    <x v="1"/>
    <x v="20"/>
    <n v="492"/>
    <n v="5"/>
    <n v="192"/>
    <x v="1"/>
    <n v="3"/>
    <x v="8"/>
    <n v="103"/>
    <n v="94"/>
    <n v="9"/>
    <n v="80"/>
    <n v="136940"/>
  </r>
  <r>
    <x v="4"/>
    <x v="1"/>
    <x v="21"/>
    <n v="1727"/>
    <n v="13"/>
    <n v="670"/>
    <x v="7"/>
    <n v="13"/>
    <x v="8"/>
    <n v="202"/>
    <n v="334"/>
    <n v="52"/>
    <n v="434"/>
    <n v="337780"/>
  </r>
  <r>
    <x v="4"/>
    <x v="1"/>
    <x v="22"/>
    <n v="5"/>
    <m/>
    <n v="3"/>
    <x v="3"/>
    <m/>
    <x v="0"/>
    <m/>
    <n v="1"/>
    <m/>
    <n v="1"/>
    <n v="21560"/>
  </r>
  <r>
    <x v="4"/>
    <x v="1"/>
    <x v="23"/>
    <n v="78"/>
    <m/>
    <n v="27"/>
    <x v="0"/>
    <n v="1"/>
    <x v="3"/>
    <n v="17"/>
    <n v="13"/>
    <n v="1"/>
    <n v="16"/>
    <n v="147770"/>
  </r>
  <r>
    <x v="4"/>
    <x v="1"/>
    <x v="24"/>
    <n v="488"/>
    <n v="17"/>
    <n v="176"/>
    <x v="1"/>
    <n v="2"/>
    <x v="2"/>
    <n v="49"/>
    <n v="101"/>
    <n v="17"/>
    <n v="121"/>
    <n v="173890"/>
  </r>
  <r>
    <x v="4"/>
    <x v="1"/>
    <x v="25"/>
    <n v="57"/>
    <n v="1"/>
    <n v="25"/>
    <x v="3"/>
    <n v="2"/>
    <x v="1"/>
    <n v="12"/>
    <n v="8"/>
    <n v="4"/>
    <n v="4"/>
    <n v="113880"/>
  </r>
  <r>
    <x v="4"/>
    <x v="1"/>
    <x v="26"/>
    <n v="2"/>
    <m/>
    <m/>
    <x v="3"/>
    <m/>
    <x v="0"/>
    <m/>
    <n v="1"/>
    <m/>
    <n v="1"/>
    <n v="23200"/>
  </r>
  <r>
    <x v="4"/>
    <x v="1"/>
    <x v="27"/>
    <n v="265"/>
    <n v="13"/>
    <n v="84"/>
    <x v="0"/>
    <n v="3"/>
    <x v="2"/>
    <n v="31"/>
    <n v="63"/>
    <n v="11"/>
    <n v="56"/>
    <n v="112870"/>
  </r>
  <r>
    <x v="4"/>
    <x v="1"/>
    <x v="28"/>
    <n v="1143"/>
    <n v="37"/>
    <n v="373"/>
    <x v="2"/>
    <n v="13"/>
    <x v="9"/>
    <n v="106"/>
    <n v="223"/>
    <n v="52"/>
    <n v="330"/>
    <n v="314810"/>
  </r>
  <r>
    <x v="4"/>
    <x v="1"/>
    <x v="29"/>
    <n v="88"/>
    <n v="2"/>
    <n v="32"/>
    <x v="3"/>
    <n v="2"/>
    <x v="0"/>
    <n v="16"/>
    <n v="13"/>
    <n v="3"/>
    <n v="20"/>
    <n v="91230"/>
  </r>
  <r>
    <x v="4"/>
    <x v="1"/>
    <x v="30"/>
    <n v="488"/>
    <n v="18"/>
    <n v="211"/>
    <x v="0"/>
    <n v="1"/>
    <x v="2"/>
    <n v="49"/>
    <n v="101"/>
    <n v="5"/>
    <n v="99"/>
    <n v="89800"/>
  </r>
  <r>
    <x v="4"/>
    <x v="1"/>
    <x v="31"/>
    <n v="476"/>
    <n v="6"/>
    <n v="196"/>
    <x v="0"/>
    <n v="7"/>
    <x v="1"/>
    <n v="76"/>
    <n v="120"/>
    <n v="14"/>
    <n v="55"/>
    <n v="176160"/>
  </r>
  <r>
    <x v="5"/>
    <x v="1"/>
    <x v="0"/>
    <n v="286"/>
    <n v="17"/>
    <n v="46"/>
    <x v="3"/>
    <n v="6"/>
    <x v="3"/>
    <m/>
    <n v="131"/>
    <n v="10"/>
    <n v="74"/>
    <n v="228920"/>
  </r>
  <r>
    <x v="5"/>
    <x v="1"/>
    <x v="1"/>
    <n v="110"/>
    <n v="9"/>
    <n v="26"/>
    <x v="0"/>
    <n v="5"/>
    <x v="3"/>
    <m/>
    <n v="15"/>
    <n v="6"/>
    <n v="46"/>
    <n v="260530"/>
  </r>
  <r>
    <x v="5"/>
    <x v="1"/>
    <x v="2"/>
    <n v="105"/>
    <n v="6"/>
    <n v="44"/>
    <x v="6"/>
    <n v="3"/>
    <x v="3"/>
    <n v="18"/>
    <n v="14"/>
    <n v="1"/>
    <n v="13"/>
    <n v="116740"/>
  </r>
  <r>
    <x v="5"/>
    <x v="1"/>
    <x v="3"/>
    <n v="42"/>
    <m/>
    <n v="6"/>
    <x v="0"/>
    <n v="2"/>
    <x v="2"/>
    <n v="10"/>
    <n v="6"/>
    <n v="3"/>
    <n v="11"/>
    <n v="87650"/>
  </r>
  <r>
    <x v="5"/>
    <x v="1"/>
    <x v="4"/>
    <n v="931"/>
    <n v="6"/>
    <n v="200"/>
    <x v="1"/>
    <n v="20"/>
    <x v="0"/>
    <n v="186"/>
    <n v="259"/>
    <n v="51"/>
    <n v="207"/>
    <n v="492610"/>
  </r>
  <r>
    <x v="5"/>
    <x v="1"/>
    <x v="5"/>
    <n v="69"/>
    <m/>
    <n v="33"/>
    <x v="1"/>
    <m/>
    <x v="0"/>
    <n v="5"/>
    <n v="13"/>
    <n v="1"/>
    <n v="15"/>
    <n v="51190"/>
  </r>
  <r>
    <x v="5"/>
    <x v="1"/>
    <x v="6"/>
    <n v="74"/>
    <n v="1"/>
    <n v="21"/>
    <x v="3"/>
    <n v="4"/>
    <x v="0"/>
    <n v="8"/>
    <n v="6"/>
    <n v="1"/>
    <n v="33"/>
    <n v="149960"/>
  </r>
  <r>
    <x v="5"/>
    <x v="1"/>
    <x v="7"/>
    <n v="522"/>
    <n v="9"/>
    <n v="147"/>
    <x v="0"/>
    <n v="4"/>
    <x v="3"/>
    <n v="64"/>
    <n v="160"/>
    <n v="26"/>
    <n v="109"/>
    <n v="148130"/>
  </r>
  <r>
    <x v="5"/>
    <x v="1"/>
    <x v="8"/>
    <n v="424"/>
    <n v="16"/>
    <n v="112"/>
    <x v="3"/>
    <n v="3"/>
    <x v="3"/>
    <n v="51"/>
    <n v="86"/>
    <n v="16"/>
    <n v="138"/>
    <n v="122130"/>
  </r>
  <r>
    <x v="5"/>
    <x v="1"/>
    <x v="9"/>
    <n v="164"/>
    <n v="5"/>
    <n v="46"/>
    <x v="3"/>
    <n v="3"/>
    <x v="0"/>
    <n v="24"/>
    <n v="30"/>
    <n v="6"/>
    <n v="50"/>
    <n v="106710"/>
  </r>
  <r>
    <x v="5"/>
    <x v="1"/>
    <x v="10"/>
    <n v="97"/>
    <n v="10"/>
    <n v="29"/>
    <x v="8"/>
    <n v="2"/>
    <x v="0"/>
    <n v="17"/>
    <n v="14"/>
    <n v="6"/>
    <n v="12"/>
    <n v="102090"/>
  </r>
  <r>
    <x v="5"/>
    <x v="1"/>
    <x v="11"/>
    <n v="120"/>
    <n v="6"/>
    <n v="30"/>
    <x v="3"/>
    <n v="6"/>
    <x v="0"/>
    <n v="23"/>
    <n v="15"/>
    <n v="10"/>
    <n v="30"/>
    <n v="92410"/>
  </r>
  <r>
    <x v="5"/>
    <x v="1"/>
    <x v="12"/>
    <n v="283"/>
    <n v="5"/>
    <n v="93"/>
    <x v="3"/>
    <n v="6"/>
    <x v="3"/>
    <n v="54"/>
    <n v="72"/>
    <n v="2"/>
    <n v="49"/>
    <n v="157690"/>
  </r>
  <r>
    <x v="5"/>
    <x v="1"/>
    <x v="13"/>
    <n v="531"/>
    <n v="15"/>
    <n v="148"/>
    <x v="7"/>
    <n v="17"/>
    <x v="1"/>
    <n v="20"/>
    <n v="90"/>
    <n v="17"/>
    <n v="218"/>
    <n v="367250"/>
  </r>
  <r>
    <x v="5"/>
    <x v="1"/>
    <x v="14"/>
    <n v="2454"/>
    <n v="76"/>
    <n v="539"/>
    <x v="7"/>
    <n v="27"/>
    <x v="4"/>
    <n v="292"/>
    <n v="774"/>
    <n v="112"/>
    <n v="622"/>
    <n v="599640"/>
  </r>
  <r>
    <x v="5"/>
    <x v="1"/>
    <x v="15"/>
    <n v="129"/>
    <n v="6"/>
    <n v="65"/>
    <x v="0"/>
    <n v="5"/>
    <x v="0"/>
    <n v="15"/>
    <n v="16"/>
    <n v="2"/>
    <n v="19"/>
    <n v="233080"/>
  </r>
  <r>
    <x v="5"/>
    <x v="1"/>
    <x v="16"/>
    <n v="375"/>
    <n v="19"/>
    <n v="136"/>
    <x v="3"/>
    <n v="6"/>
    <x v="0"/>
    <n v="52"/>
    <n v="58"/>
    <n v="9"/>
    <n v="95"/>
    <n v="79890"/>
  </r>
  <r>
    <x v="5"/>
    <x v="1"/>
    <x v="17"/>
    <n v="210"/>
    <n v="1"/>
    <n v="71"/>
    <x v="0"/>
    <n v="4"/>
    <x v="0"/>
    <n v="65"/>
    <n v="29"/>
    <n v="5"/>
    <n v="34"/>
    <n v="86220"/>
  </r>
  <r>
    <x v="5"/>
    <x v="1"/>
    <x v="18"/>
    <n v="53"/>
    <n v="4"/>
    <n v="24"/>
    <x v="3"/>
    <n v="2"/>
    <x v="1"/>
    <m/>
    <n v="6"/>
    <n v="1"/>
    <n v="15"/>
    <n v="94770"/>
  </r>
  <r>
    <x v="5"/>
    <x v="1"/>
    <x v="19"/>
    <n v="3"/>
    <m/>
    <n v="1"/>
    <x v="3"/>
    <m/>
    <x v="0"/>
    <m/>
    <n v="1"/>
    <m/>
    <n v="1"/>
    <n v="27250"/>
  </r>
  <r>
    <x v="5"/>
    <x v="1"/>
    <x v="20"/>
    <n v="389"/>
    <n v="8"/>
    <n v="112"/>
    <x v="1"/>
    <n v="7"/>
    <x v="8"/>
    <n v="82"/>
    <n v="89"/>
    <n v="14"/>
    <n v="71"/>
    <n v="136480"/>
  </r>
  <r>
    <x v="5"/>
    <x v="1"/>
    <x v="21"/>
    <n v="1379"/>
    <n v="15"/>
    <n v="419"/>
    <x v="2"/>
    <n v="14"/>
    <x v="1"/>
    <n v="186"/>
    <n v="267"/>
    <n v="31"/>
    <n v="443"/>
    <n v="338000"/>
  </r>
  <r>
    <x v="5"/>
    <x v="1"/>
    <x v="22"/>
    <n v="2"/>
    <m/>
    <n v="1"/>
    <x v="3"/>
    <m/>
    <x v="0"/>
    <n v="1"/>
    <m/>
    <m/>
    <m/>
    <n v="21580"/>
  </r>
  <r>
    <x v="5"/>
    <x v="1"/>
    <x v="23"/>
    <n v="60"/>
    <n v="4"/>
    <n v="17"/>
    <x v="3"/>
    <n v="4"/>
    <x v="1"/>
    <n v="10"/>
    <n v="9"/>
    <n v="2"/>
    <n v="13"/>
    <n v="148930"/>
  </r>
  <r>
    <x v="5"/>
    <x v="1"/>
    <x v="24"/>
    <n v="444"/>
    <n v="22"/>
    <n v="92"/>
    <x v="3"/>
    <n v="5"/>
    <x v="8"/>
    <n v="72"/>
    <n v="96"/>
    <n v="28"/>
    <n v="125"/>
    <n v="174230"/>
  </r>
  <r>
    <x v="5"/>
    <x v="1"/>
    <x v="25"/>
    <n v="65"/>
    <n v="1"/>
    <n v="28"/>
    <x v="0"/>
    <n v="4"/>
    <x v="0"/>
    <n v="9"/>
    <n v="9"/>
    <n v="2"/>
    <n v="11"/>
    <n v="114040"/>
  </r>
  <r>
    <x v="5"/>
    <x v="1"/>
    <x v="26"/>
    <n v="4"/>
    <m/>
    <n v="1"/>
    <x v="3"/>
    <m/>
    <x v="0"/>
    <n v="2"/>
    <n v="1"/>
    <m/>
    <m/>
    <n v="23220"/>
  </r>
  <r>
    <x v="5"/>
    <x v="1"/>
    <x v="27"/>
    <n v="189"/>
    <n v="5"/>
    <n v="57"/>
    <x v="0"/>
    <n v="4"/>
    <x v="1"/>
    <n v="31"/>
    <n v="52"/>
    <n v="6"/>
    <n v="32"/>
    <n v="112530"/>
  </r>
  <r>
    <x v="5"/>
    <x v="1"/>
    <x v="28"/>
    <n v="821"/>
    <n v="19"/>
    <n v="200"/>
    <x v="1"/>
    <n v="7"/>
    <x v="3"/>
    <n v="93"/>
    <n v="197"/>
    <n v="19"/>
    <n v="282"/>
    <n v="315300"/>
  </r>
  <r>
    <x v="5"/>
    <x v="1"/>
    <x v="29"/>
    <n v="68"/>
    <n v="5"/>
    <n v="23"/>
    <x v="0"/>
    <n v="3"/>
    <x v="0"/>
    <n v="10"/>
    <n v="10"/>
    <n v="2"/>
    <n v="14"/>
    <n v="91520"/>
  </r>
  <r>
    <x v="5"/>
    <x v="1"/>
    <x v="30"/>
    <n v="313"/>
    <n v="8"/>
    <n v="105"/>
    <x v="2"/>
    <n v="2"/>
    <x v="3"/>
    <n v="49"/>
    <n v="67"/>
    <n v="6"/>
    <n v="71"/>
    <n v="89710"/>
  </r>
  <r>
    <x v="5"/>
    <x v="1"/>
    <x v="31"/>
    <n v="451"/>
    <n v="8"/>
    <n v="158"/>
    <x v="0"/>
    <n v="3"/>
    <x v="1"/>
    <n v="72"/>
    <n v="120"/>
    <n v="16"/>
    <n v="72"/>
    <n v="177200"/>
  </r>
  <r>
    <x v="6"/>
    <x v="1"/>
    <x v="0"/>
    <n v="319"/>
    <n v="20"/>
    <n v="55"/>
    <x v="3"/>
    <n v="4"/>
    <x v="1"/>
    <m/>
    <n v="141"/>
    <n v="10"/>
    <n v="88"/>
    <n v="230350"/>
  </r>
  <r>
    <x v="6"/>
    <x v="1"/>
    <x v="1"/>
    <n v="92"/>
    <n v="6"/>
    <n v="26"/>
    <x v="3"/>
    <n v="4"/>
    <x v="3"/>
    <n v="1"/>
    <n v="7"/>
    <n v="5"/>
    <n v="41"/>
    <n v="261960"/>
  </r>
  <r>
    <x v="6"/>
    <x v="1"/>
    <x v="2"/>
    <n v="92"/>
    <n v="3"/>
    <n v="45"/>
    <x v="3"/>
    <n v="2"/>
    <x v="1"/>
    <n v="15"/>
    <n v="13"/>
    <n v="3"/>
    <n v="10"/>
    <n v="116900"/>
  </r>
  <r>
    <x v="6"/>
    <x v="1"/>
    <x v="3"/>
    <n v="39"/>
    <n v="2"/>
    <n v="16"/>
    <x v="3"/>
    <m/>
    <x v="0"/>
    <n v="10"/>
    <n v="6"/>
    <n v="1"/>
    <n v="4"/>
    <n v="86890"/>
  </r>
  <r>
    <x v="6"/>
    <x v="1"/>
    <x v="4"/>
    <n v="1309"/>
    <n v="17"/>
    <n v="329"/>
    <x v="0"/>
    <n v="19"/>
    <x v="3"/>
    <n v="273"/>
    <n v="365"/>
    <n v="86"/>
    <n v="217"/>
    <n v="498810"/>
  </r>
  <r>
    <x v="6"/>
    <x v="1"/>
    <x v="5"/>
    <n v="83"/>
    <n v="2"/>
    <n v="27"/>
    <x v="1"/>
    <n v="1"/>
    <x v="0"/>
    <n v="9"/>
    <n v="19"/>
    <n v="6"/>
    <n v="17"/>
    <n v="51360"/>
  </r>
  <r>
    <x v="6"/>
    <x v="1"/>
    <x v="6"/>
    <n v="94"/>
    <n v="6"/>
    <n v="33"/>
    <x v="3"/>
    <n v="3"/>
    <x v="3"/>
    <n v="5"/>
    <n v="14"/>
    <n v="4"/>
    <n v="27"/>
    <n v="149670"/>
  </r>
  <r>
    <x v="6"/>
    <x v="1"/>
    <x v="7"/>
    <n v="540"/>
    <n v="25"/>
    <n v="160"/>
    <x v="6"/>
    <n v="9"/>
    <x v="3"/>
    <n v="70"/>
    <n v="167"/>
    <n v="25"/>
    <n v="78"/>
    <n v="148210"/>
  </r>
  <r>
    <x v="6"/>
    <x v="1"/>
    <x v="8"/>
    <n v="593"/>
    <n v="9"/>
    <n v="213"/>
    <x v="2"/>
    <n v="4"/>
    <x v="8"/>
    <n v="65"/>
    <n v="119"/>
    <n v="33"/>
    <n v="143"/>
    <n v="122060"/>
  </r>
  <r>
    <x v="6"/>
    <x v="1"/>
    <x v="9"/>
    <n v="160"/>
    <n v="3"/>
    <n v="52"/>
    <x v="1"/>
    <n v="4"/>
    <x v="1"/>
    <n v="30"/>
    <n v="20"/>
    <n v="6"/>
    <n v="42"/>
    <n v="106960"/>
  </r>
  <r>
    <x v="6"/>
    <x v="1"/>
    <x v="10"/>
    <n v="137"/>
    <n v="4"/>
    <n v="42"/>
    <x v="4"/>
    <n v="4"/>
    <x v="1"/>
    <n v="29"/>
    <n v="22"/>
    <n v="5"/>
    <n v="24"/>
    <n v="103050"/>
  </r>
  <r>
    <x v="6"/>
    <x v="1"/>
    <x v="11"/>
    <n v="137"/>
    <n v="6"/>
    <n v="40"/>
    <x v="0"/>
    <n v="8"/>
    <x v="0"/>
    <n v="27"/>
    <n v="20"/>
    <n v="8"/>
    <n v="27"/>
    <n v="92940"/>
  </r>
  <r>
    <x v="6"/>
    <x v="1"/>
    <x v="12"/>
    <n v="287"/>
    <n v="4"/>
    <n v="113"/>
    <x v="2"/>
    <n v="7"/>
    <x v="1"/>
    <n v="54"/>
    <n v="53"/>
    <n v="6"/>
    <n v="46"/>
    <n v="158460"/>
  </r>
  <r>
    <x v="6"/>
    <x v="1"/>
    <x v="13"/>
    <n v="582"/>
    <n v="15"/>
    <n v="202"/>
    <x v="0"/>
    <n v="13"/>
    <x v="2"/>
    <n v="55"/>
    <n v="89"/>
    <n v="10"/>
    <n v="194"/>
    <n v="368080"/>
  </r>
  <r>
    <x v="6"/>
    <x v="1"/>
    <x v="14"/>
    <n v="2297"/>
    <n v="71"/>
    <n v="482"/>
    <x v="2"/>
    <n v="28"/>
    <x v="6"/>
    <n v="298"/>
    <n v="707"/>
    <n v="72"/>
    <n v="627"/>
    <n v="606340"/>
  </r>
  <r>
    <x v="6"/>
    <x v="1"/>
    <x v="15"/>
    <n v="75"/>
    <n v="3"/>
    <n v="37"/>
    <x v="0"/>
    <n v="4"/>
    <x v="1"/>
    <n v="11"/>
    <n v="9"/>
    <n v="1"/>
    <n v="8"/>
    <n v="234110"/>
  </r>
  <r>
    <x v="6"/>
    <x v="1"/>
    <x v="16"/>
    <n v="393"/>
    <n v="16"/>
    <n v="157"/>
    <x v="3"/>
    <n v="8"/>
    <x v="0"/>
    <n v="50"/>
    <n v="59"/>
    <n v="18"/>
    <n v="85"/>
    <n v="79500"/>
  </r>
  <r>
    <x v="6"/>
    <x v="1"/>
    <x v="17"/>
    <n v="222"/>
    <n v="4"/>
    <n v="81"/>
    <x v="7"/>
    <n v="5"/>
    <x v="0"/>
    <n v="35"/>
    <n v="38"/>
    <n v="10"/>
    <n v="44"/>
    <n v="87390"/>
  </r>
  <r>
    <x v="6"/>
    <x v="1"/>
    <x v="18"/>
    <n v="52"/>
    <n v="2"/>
    <n v="23"/>
    <x v="3"/>
    <m/>
    <x v="1"/>
    <n v="1"/>
    <n v="6"/>
    <m/>
    <n v="19"/>
    <n v="95510"/>
  </r>
  <r>
    <x v="6"/>
    <x v="1"/>
    <x v="19"/>
    <n v="5"/>
    <m/>
    <n v="4"/>
    <x v="3"/>
    <m/>
    <x v="0"/>
    <m/>
    <m/>
    <n v="1"/>
    <m/>
    <n v="27070"/>
  </r>
  <r>
    <x v="6"/>
    <x v="1"/>
    <x v="20"/>
    <n v="485"/>
    <n v="10"/>
    <n v="171"/>
    <x v="0"/>
    <n v="9"/>
    <x v="0"/>
    <n v="93"/>
    <n v="103"/>
    <n v="17"/>
    <n v="81"/>
    <n v="136130"/>
  </r>
  <r>
    <x v="6"/>
    <x v="1"/>
    <x v="21"/>
    <n v="1505"/>
    <n v="16"/>
    <n v="505"/>
    <x v="4"/>
    <n v="21"/>
    <x v="2"/>
    <n v="208"/>
    <n v="262"/>
    <n v="49"/>
    <n v="435"/>
    <n v="338260"/>
  </r>
  <r>
    <x v="6"/>
    <x v="1"/>
    <x v="22"/>
    <n v="1"/>
    <m/>
    <m/>
    <x v="3"/>
    <m/>
    <x v="0"/>
    <m/>
    <m/>
    <m/>
    <n v="1"/>
    <n v="21670"/>
  </r>
  <r>
    <x v="6"/>
    <x v="1"/>
    <x v="23"/>
    <n v="88"/>
    <n v="4"/>
    <n v="37"/>
    <x v="0"/>
    <n v="1"/>
    <x v="1"/>
    <n v="16"/>
    <n v="12"/>
    <n v="4"/>
    <n v="12"/>
    <n v="149930"/>
  </r>
  <r>
    <x v="6"/>
    <x v="1"/>
    <x v="24"/>
    <n v="525"/>
    <n v="15"/>
    <n v="139"/>
    <x v="0"/>
    <n v="4"/>
    <x v="2"/>
    <n v="95"/>
    <n v="128"/>
    <n v="22"/>
    <n v="118"/>
    <n v="174560"/>
  </r>
  <r>
    <x v="6"/>
    <x v="1"/>
    <x v="25"/>
    <n v="64"/>
    <n v="2"/>
    <n v="25"/>
    <x v="0"/>
    <m/>
    <x v="0"/>
    <n v="6"/>
    <n v="7"/>
    <n v="4"/>
    <n v="19"/>
    <n v="114030"/>
  </r>
  <r>
    <x v="6"/>
    <x v="1"/>
    <x v="27"/>
    <n v="182"/>
    <n v="5"/>
    <n v="63"/>
    <x v="1"/>
    <m/>
    <x v="0"/>
    <n v="21"/>
    <n v="48"/>
    <n v="5"/>
    <n v="38"/>
    <n v="112400"/>
  </r>
  <r>
    <x v="6"/>
    <x v="1"/>
    <x v="28"/>
    <n v="860"/>
    <n v="17"/>
    <n v="249"/>
    <x v="3"/>
    <n v="12"/>
    <x v="14"/>
    <n v="80"/>
    <n v="169"/>
    <n v="25"/>
    <n v="298"/>
    <n v="316230"/>
  </r>
  <r>
    <x v="6"/>
    <x v="1"/>
    <x v="29"/>
    <n v="150"/>
    <n v="4"/>
    <n v="67"/>
    <x v="1"/>
    <n v="2"/>
    <x v="0"/>
    <n v="22"/>
    <n v="22"/>
    <n v="3"/>
    <n v="28"/>
    <n v="92830"/>
  </r>
  <r>
    <x v="6"/>
    <x v="1"/>
    <x v="30"/>
    <n v="300"/>
    <n v="13"/>
    <n v="110"/>
    <x v="0"/>
    <n v="1"/>
    <x v="1"/>
    <n v="32"/>
    <n v="53"/>
    <n v="1"/>
    <n v="88"/>
    <n v="89590"/>
  </r>
  <r>
    <x v="6"/>
    <x v="1"/>
    <x v="31"/>
    <n v="610"/>
    <n v="22"/>
    <n v="199"/>
    <x v="2"/>
    <n v="13"/>
    <x v="3"/>
    <n v="114"/>
    <n v="187"/>
    <n v="13"/>
    <n v="57"/>
    <n v="178550"/>
  </r>
  <r>
    <x v="7"/>
    <x v="1"/>
    <x v="0"/>
    <n v="221"/>
    <n v="8"/>
    <n v="45"/>
    <x v="3"/>
    <n v="8"/>
    <x v="0"/>
    <n v="6"/>
    <n v="80"/>
    <n v="12"/>
    <n v="62"/>
    <n v="229840"/>
  </r>
  <r>
    <x v="7"/>
    <x v="1"/>
    <x v="1"/>
    <n v="129"/>
    <n v="2"/>
    <n v="47"/>
    <x v="3"/>
    <n v="2"/>
    <x v="1"/>
    <n v="11"/>
    <n v="18"/>
    <n v="8"/>
    <n v="40"/>
    <n v="262190"/>
  </r>
  <r>
    <x v="7"/>
    <x v="1"/>
    <x v="2"/>
    <n v="80"/>
    <n v="3"/>
    <n v="32"/>
    <x v="0"/>
    <n v="1"/>
    <x v="1"/>
    <n v="13"/>
    <n v="12"/>
    <n v="3"/>
    <n v="14"/>
    <n v="116520"/>
  </r>
  <r>
    <x v="7"/>
    <x v="1"/>
    <x v="3"/>
    <n v="63"/>
    <n v="2"/>
    <n v="37"/>
    <x v="1"/>
    <m/>
    <x v="1"/>
    <n v="6"/>
    <n v="9"/>
    <n v="1"/>
    <n v="5"/>
    <n v="87130"/>
  </r>
  <r>
    <x v="7"/>
    <x v="1"/>
    <x v="4"/>
    <n v="1309"/>
    <n v="9"/>
    <n v="326"/>
    <x v="3"/>
    <n v="28"/>
    <x v="1"/>
    <n v="287"/>
    <n v="334"/>
    <n v="71"/>
    <n v="253"/>
    <n v="507170"/>
  </r>
  <r>
    <x v="7"/>
    <x v="1"/>
    <x v="5"/>
    <n v="63"/>
    <n v="2"/>
    <n v="15"/>
    <x v="3"/>
    <n v="2"/>
    <x v="0"/>
    <n v="10"/>
    <n v="15"/>
    <m/>
    <n v="19"/>
    <n v="51350"/>
  </r>
  <r>
    <x v="7"/>
    <x v="1"/>
    <x v="6"/>
    <n v="116"/>
    <n v="2"/>
    <n v="31"/>
    <x v="3"/>
    <n v="3"/>
    <x v="1"/>
    <n v="16"/>
    <n v="25"/>
    <n v="7"/>
    <n v="31"/>
    <n v="149520"/>
  </r>
  <r>
    <x v="7"/>
    <x v="1"/>
    <x v="7"/>
    <n v="696"/>
    <n v="15"/>
    <n v="234"/>
    <x v="1"/>
    <n v="22"/>
    <x v="0"/>
    <n v="68"/>
    <n v="248"/>
    <n v="30"/>
    <n v="77"/>
    <n v="148270"/>
  </r>
  <r>
    <x v="7"/>
    <x v="1"/>
    <x v="8"/>
    <n v="626"/>
    <n v="10"/>
    <n v="196"/>
    <x v="4"/>
    <n v="6"/>
    <x v="0"/>
    <n v="68"/>
    <n v="163"/>
    <n v="21"/>
    <n v="156"/>
    <n v="122200"/>
  </r>
  <r>
    <x v="7"/>
    <x v="1"/>
    <x v="9"/>
    <n v="167"/>
    <n v="7"/>
    <n v="50"/>
    <x v="3"/>
    <n v="3"/>
    <x v="1"/>
    <n v="19"/>
    <n v="42"/>
    <n v="4"/>
    <n v="41"/>
    <n v="107540"/>
  </r>
  <r>
    <x v="7"/>
    <x v="1"/>
    <x v="10"/>
    <n v="200"/>
    <n v="2"/>
    <n v="54"/>
    <x v="6"/>
    <n v="5"/>
    <x v="0"/>
    <n v="46"/>
    <n v="34"/>
    <n v="10"/>
    <n v="45"/>
    <n v="104090"/>
  </r>
  <r>
    <x v="7"/>
    <x v="1"/>
    <x v="11"/>
    <n v="143"/>
    <n v="7"/>
    <n v="51"/>
    <x v="1"/>
    <n v="6"/>
    <x v="0"/>
    <n v="23"/>
    <n v="18"/>
    <n v="3"/>
    <n v="33"/>
    <n v="93810"/>
  </r>
  <r>
    <x v="7"/>
    <x v="1"/>
    <x v="12"/>
    <n v="304"/>
    <n v="5"/>
    <n v="119"/>
    <x v="3"/>
    <n v="4"/>
    <x v="0"/>
    <n v="48"/>
    <n v="61"/>
    <n v="15"/>
    <n v="52"/>
    <n v="159380"/>
  </r>
  <r>
    <x v="7"/>
    <x v="1"/>
    <x v="13"/>
    <n v="581"/>
    <n v="13"/>
    <n v="224"/>
    <x v="7"/>
    <n v="14"/>
    <x v="3"/>
    <n v="66"/>
    <n v="84"/>
    <n v="14"/>
    <n v="159"/>
    <n v="370330"/>
  </r>
  <r>
    <x v="7"/>
    <x v="1"/>
    <x v="14"/>
    <n v="2419"/>
    <n v="39"/>
    <n v="470"/>
    <x v="2"/>
    <n v="25"/>
    <x v="9"/>
    <n v="300"/>
    <n v="807"/>
    <n v="65"/>
    <n v="704"/>
    <n v="615070"/>
  </r>
  <r>
    <x v="7"/>
    <x v="1"/>
    <x v="15"/>
    <n v="100"/>
    <n v="2"/>
    <n v="52"/>
    <x v="3"/>
    <m/>
    <x v="1"/>
    <n v="16"/>
    <n v="16"/>
    <n v="4"/>
    <n v="9"/>
    <n v="234770"/>
  </r>
  <r>
    <x v="7"/>
    <x v="1"/>
    <x v="16"/>
    <n v="557"/>
    <n v="13"/>
    <n v="280"/>
    <x v="3"/>
    <n v="5"/>
    <x v="2"/>
    <n v="54"/>
    <n v="98"/>
    <n v="9"/>
    <n v="95"/>
    <n v="79160"/>
  </r>
  <r>
    <x v="7"/>
    <x v="1"/>
    <x v="17"/>
    <n v="324"/>
    <n v="4"/>
    <n v="81"/>
    <x v="10"/>
    <n v="16"/>
    <x v="1"/>
    <n v="66"/>
    <n v="59"/>
    <n v="19"/>
    <n v="70"/>
    <n v="88610"/>
  </r>
  <r>
    <x v="7"/>
    <x v="1"/>
    <x v="18"/>
    <n v="60"/>
    <n v="3"/>
    <n v="30"/>
    <x v="3"/>
    <n v="2"/>
    <x v="2"/>
    <n v="2"/>
    <n v="4"/>
    <n v="1"/>
    <n v="15"/>
    <n v="96070"/>
  </r>
  <r>
    <x v="7"/>
    <x v="1"/>
    <x v="19"/>
    <n v="3"/>
    <m/>
    <n v="1"/>
    <x v="3"/>
    <m/>
    <x v="0"/>
    <m/>
    <m/>
    <m/>
    <n v="2"/>
    <n v="26900"/>
  </r>
  <r>
    <x v="7"/>
    <x v="1"/>
    <x v="20"/>
    <n v="591"/>
    <n v="16"/>
    <n v="199"/>
    <x v="2"/>
    <n v="8"/>
    <x v="3"/>
    <n v="103"/>
    <n v="95"/>
    <n v="17"/>
    <n v="148"/>
    <n v="135890"/>
  </r>
  <r>
    <x v="7"/>
    <x v="1"/>
    <x v="21"/>
    <n v="1452"/>
    <n v="13"/>
    <n v="471"/>
    <x v="3"/>
    <n v="12"/>
    <x v="2"/>
    <n v="214"/>
    <n v="202"/>
    <n v="46"/>
    <n v="491"/>
    <n v="339390"/>
  </r>
  <r>
    <x v="7"/>
    <x v="1"/>
    <x v="22"/>
    <n v="1"/>
    <m/>
    <m/>
    <x v="3"/>
    <m/>
    <x v="0"/>
    <m/>
    <m/>
    <m/>
    <n v="1"/>
    <n v="21850"/>
  </r>
  <r>
    <x v="7"/>
    <x v="1"/>
    <x v="23"/>
    <n v="79"/>
    <n v="2"/>
    <n v="41"/>
    <x v="3"/>
    <n v="3"/>
    <x v="1"/>
    <n v="7"/>
    <n v="9"/>
    <n v="2"/>
    <n v="14"/>
    <n v="150680"/>
  </r>
  <r>
    <x v="7"/>
    <x v="1"/>
    <x v="24"/>
    <n v="656"/>
    <n v="27"/>
    <n v="194"/>
    <x v="2"/>
    <n v="8"/>
    <x v="9"/>
    <n v="104"/>
    <n v="138"/>
    <n v="10"/>
    <n v="166"/>
    <n v="175930"/>
  </r>
  <r>
    <x v="7"/>
    <x v="1"/>
    <x v="25"/>
    <n v="68"/>
    <n v="2"/>
    <n v="30"/>
    <x v="1"/>
    <n v="3"/>
    <x v="0"/>
    <n v="8"/>
    <n v="5"/>
    <n v="5"/>
    <n v="13"/>
    <n v="114530"/>
  </r>
  <r>
    <x v="7"/>
    <x v="1"/>
    <x v="26"/>
    <n v="1"/>
    <m/>
    <m/>
    <x v="3"/>
    <n v="1"/>
    <x v="0"/>
    <m/>
    <m/>
    <m/>
    <m/>
    <n v="23200"/>
  </r>
  <r>
    <x v="7"/>
    <x v="1"/>
    <x v="27"/>
    <n v="212"/>
    <n v="1"/>
    <n v="56"/>
    <x v="0"/>
    <n v="3"/>
    <x v="2"/>
    <n v="37"/>
    <n v="64"/>
    <n v="6"/>
    <n v="41"/>
    <n v="112470"/>
  </r>
  <r>
    <x v="7"/>
    <x v="1"/>
    <x v="28"/>
    <n v="850"/>
    <n v="16"/>
    <n v="226"/>
    <x v="0"/>
    <n v="10"/>
    <x v="9"/>
    <n v="77"/>
    <n v="209"/>
    <n v="21"/>
    <n v="284"/>
    <n v="317100"/>
  </r>
  <r>
    <x v="7"/>
    <x v="1"/>
    <x v="29"/>
    <n v="130"/>
    <n v="2"/>
    <n v="61"/>
    <x v="3"/>
    <n v="2"/>
    <x v="0"/>
    <n v="21"/>
    <n v="17"/>
    <n v="3"/>
    <n v="24"/>
    <n v="93750"/>
  </r>
  <r>
    <x v="7"/>
    <x v="1"/>
    <x v="30"/>
    <n v="409"/>
    <n v="18"/>
    <n v="130"/>
    <x v="1"/>
    <n v="6"/>
    <x v="0"/>
    <n v="44"/>
    <n v="94"/>
    <n v="4"/>
    <n v="111"/>
    <n v="89860"/>
  </r>
  <r>
    <x v="7"/>
    <x v="1"/>
    <x v="31"/>
    <n v="583"/>
    <n v="17"/>
    <n v="208"/>
    <x v="3"/>
    <n v="12"/>
    <x v="8"/>
    <n v="93"/>
    <n v="162"/>
    <n v="15"/>
    <n v="72"/>
    <n v="180130"/>
  </r>
  <r>
    <x v="8"/>
    <x v="1"/>
    <x v="0"/>
    <n v="261"/>
    <n v="4"/>
    <n v="80"/>
    <x v="3"/>
    <n v="7"/>
    <x v="1"/>
    <n v="8"/>
    <n v="95"/>
    <n v="13"/>
    <n v="53"/>
    <n v="228800"/>
  </r>
  <r>
    <x v="8"/>
    <x v="1"/>
    <x v="1"/>
    <n v="134"/>
    <n v="7"/>
    <n v="65"/>
    <x v="3"/>
    <n v="1"/>
    <x v="1"/>
    <n v="13"/>
    <n v="14"/>
    <n v="4"/>
    <n v="29"/>
    <n v="261800"/>
  </r>
  <r>
    <x v="8"/>
    <x v="1"/>
    <x v="2"/>
    <n v="115"/>
    <n v="8"/>
    <n v="43"/>
    <x v="2"/>
    <n v="4"/>
    <x v="0"/>
    <n v="20"/>
    <n v="14"/>
    <n v="3"/>
    <n v="20"/>
    <n v="116280"/>
  </r>
  <r>
    <x v="8"/>
    <x v="1"/>
    <x v="3"/>
    <n v="40"/>
    <n v="3"/>
    <n v="20"/>
    <x v="3"/>
    <n v="1"/>
    <x v="1"/>
    <n v="2"/>
    <n v="10"/>
    <n v="1"/>
    <n v="2"/>
    <n v="86810"/>
  </r>
  <r>
    <x v="8"/>
    <x v="1"/>
    <x v="4"/>
    <n v="1222"/>
    <n v="13"/>
    <n v="334"/>
    <x v="3"/>
    <n v="23"/>
    <x v="2"/>
    <n v="260"/>
    <n v="295"/>
    <n v="76"/>
    <n v="218"/>
    <n v="513210"/>
  </r>
  <r>
    <x v="8"/>
    <x v="1"/>
    <x v="5"/>
    <n v="77"/>
    <n v="5"/>
    <n v="34"/>
    <x v="0"/>
    <n v="1"/>
    <x v="0"/>
    <n v="13"/>
    <n v="5"/>
    <n v="1"/>
    <n v="17"/>
    <n v="51450"/>
  </r>
  <r>
    <x v="8"/>
    <x v="1"/>
    <x v="6"/>
    <n v="99"/>
    <n v="3"/>
    <n v="34"/>
    <x v="3"/>
    <n v="1"/>
    <x v="0"/>
    <n v="16"/>
    <n v="12"/>
    <n v="1"/>
    <n v="32"/>
    <n v="149200"/>
  </r>
  <r>
    <x v="8"/>
    <x v="1"/>
    <x v="7"/>
    <n v="666"/>
    <n v="12"/>
    <n v="231"/>
    <x v="3"/>
    <n v="15"/>
    <x v="2"/>
    <n v="72"/>
    <n v="227"/>
    <n v="40"/>
    <n v="66"/>
    <n v="148710"/>
  </r>
  <r>
    <x v="8"/>
    <x v="1"/>
    <x v="8"/>
    <n v="579"/>
    <n v="9"/>
    <n v="221"/>
    <x v="0"/>
    <n v="12"/>
    <x v="2"/>
    <n v="64"/>
    <n v="131"/>
    <n v="14"/>
    <n v="124"/>
    <n v="121940"/>
  </r>
  <r>
    <x v="8"/>
    <x v="1"/>
    <x v="9"/>
    <n v="162"/>
    <n v="4"/>
    <n v="54"/>
    <x v="0"/>
    <n v="4"/>
    <x v="0"/>
    <n v="16"/>
    <n v="36"/>
    <n v="11"/>
    <n v="36"/>
    <n v="108130"/>
  </r>
  <r>
    <x v="8"/>
    <x v="1"/>
    <x v="10"/>
    <n v="178"/>
    <n v="2"/>
    <n v="83"/>
    <x v="1"/>
    <n v="2"/>
    <x v="1"/>
    <n v="42"/>
    <n v="15"/>
    <n v="9"/>
    <n v="22"/>
    <n v="104840"/>
  </r>
  <r>
    <x v="8"/>
    <x v="1"/>
    <x v="11"/>
    <n v="152"/>
    <n v="5"/>
    <n v="35"/>
    <x v="0"/>
    <n v="5"/>
    <x v="0"/>
    <n v="23"/>
    <n v="36"/>
    <n v="5"/>
    <n v="42"/>
    <n v="94760"/>
  </r>
  <r>
    <x v="8"/>
    <x v="1"/>
    <x v="12"/>
    <n v="283"/>
    <n v="12"/>
    <n v="134"/>
    <x v="2"/>
    <n v="3"/>
    <x v="3"/>
    <n v="36"/>
    <n v="42"/>
    <n v="8"/>
    <n v="43"/>
    <n v="160130"/>
  </r>
  <r>
    <x v="8"/>
    <x v="1"/>
    <x v="13"/>
    <n v="711"/>
    <n v="30"/>
    <n v="245"/>
    <x v="5"/>
    <n v="19"/>
    <x v="10"/>
    <n v="94"/>
    <n v="102"/>
    <n v="13"/>
    <n v="194"/>
    <n v="371410"/>
  </r>
  <r>
    <x v="8"/>
    <x v="1"/>
    <x v="14"/>
    <n v="2227"/>
    <n v="44"/>
    <n v="412"/>
    <x v="8"/>
    <n v="44"/>
    <x v="1"/>
    <n v="282"/>
    <n v="751"/>
    <n v="70"/>
    <n v="616"/>
    <n v="621020"/>
  </r>
  <r>
    <x v="8"/>
    <x v="1"/>
    <x v="15"/>
    <n v="130"/>
    <n v="7"/>
    <n v="70"/>
    <x v="3"/>
    <n v="4"/>
    <x v="8"/>
    <n v="18"/>
    <n v="17"/>
    <m/>
    <n v="10"/>
    <n v="235180"/>
  </r>
  <r>
    <x v="8"/>
    <x v="1"/>
    <x v="16"/>
    <n v="340"/>
    <n v="5"/>
    <n v="196"/>
    <x v="0"/>
    <n v="1"/>
    <x v="1"/>
    <n v="29"/>
    <n v="39"/>
    <n v="2"/>
    <n v="66"/>
    <n v="78760"/>
  </r>
  <r>
    <x v="8"/>
    <x v="1"/>
    <x v="17"/>
    <n v="329"/>
    <n v="6"/>
    <n v="138"/>
    <x v="2"/>
    <n v="6"/>
    <x v="0"/>
    <n v="80"/>
    <n v="37"/>
    <n v="9"/>
    <n v="50"/>
    <n v="90090"/>
  </r>
  <r>
    <x v="8"/>
    <x v="1"/>
    <x v="18"/>
    <n v="44"/>
    <n v="4"/>
    <n v="22"/>
    <x v="3"/>
    <n v="3"/>
    <x v="0"/>
    <n v="7"/>
    <n v="3"/>
    <m/>
    <n v="5"/>
    <n v="95780"/>
  </r>
  <r>
    <x v="8"/>
    <x v="1"/>
    <x v="19"/>
    <n v="1"/>
    <m/>
    <n v="1"/>
    <x v="3"/>
    <m/>
    <x v="0"/>
    <m/>
    <m/>
    <m/>
    <m/>
    <n v="26950"/>
  </r>
  <r>
    <x v="8"/>
    <x v="1"/>
    <x v="20"/>
    <n v="545"/>
    <n v="15"/>
    <n v="212"/>
    <x v="2"/>
    <n v="5"/>
    <x v="1"/>
    <n v="121"/>
    <n v="81"/>
    <n v="10"/>
    <n v="97"/>
    <n v="135790"/>
  </r>
  <r>
    <x v="8"/>
    <x v="1"/>
    <x v="21"/>
    <n v="1176"/>
    <n v="20"/>
    <n v="356"/>
    <x v="2"/>
    <n v="36"/>
    <x v="10"/>
    <n v="164"/>
    <n v="186"/>
    <n v="27"/>
    <n v="379"/>
    <n v="339960"/>
  </r>
  <r>
    <x v="8"/>
    <x v="1"/>
    <x v="22"/>
    <n v="2"/>
    <m/>
    <m/>
    <x v="3"/>
    <m/>
    <x v="0"/>
    <n v="2"/>
    <m/>
    <m/>
    <m/>
    <n v="22000"/>
  </r>
  <r>
    <x v="8"/>
    <x v="1"/>
    <x v="23"/>
    <n v="90"/>
    <n v="2"/>
    <n v="37"/>
    <x v="3"/>
    <n v="5"/>
    <x v="0"/>
    <n v="12"/>
    <n v="9"/>
    <n v="2"/>
    <n v="23"/>
    <n v="151100"/>
  </r>
  <r>
    <x v="8"/>
    <x v="1"/>
    <x v="24"/>
    <n v="468"/>
    <n v="12"/>
    <n v="127"/>
    <x v="1"/>
    <n v="12"/>
    <x v="1"/>
    <n v="71"/>
    <n v="107"/>
    <n v="8"/>
    <n v="128"/>
    <n v="176830"/>
  </r>
  <r>
    <x v="8"/>
    <x v="1"/>
    <x v="25"/>
    <n v="102"/>
    <n v="2"/>
    <n v="45"/>
    <x v="1"/>
    <n v="2"/>
    <x v="0"/>
    <n v="24"/>
    <n v="15"/>
    <n v="2"/>
    <n v="10"/>
    <n v="115020"/>
  </r>
  <r>
    <x v="8"/>
    <x v="1"/>
    <x v="26"/>
    <n v="2"/>
    <m/>
    <n v="2"/>
    <x v="3"/>
    <m/>
    <x v="0"/>
    <m/>
    <m/>
    <m/>
    <m/>
    <n v="23080"/>
  </r>
  <r>
    <x v="8"/>
    <x v="1"/>
    <x v="27"/>
    <n v="223"/>
    <n v="3"/>
    <n v="99"/>
    <x v="0"/>
    <n v="2"/>
    <x v="3"/>
    <n v="46"/>
    <n v="40"/>
    <n v="2"/>
    <n v="28"/>
    <n v="112680"/>
  </r>
  <r>
    <x v="8"/>
    <x v="1"/>
    <x v="28"/>
    <n v="758"/>
    <n v="20"/>
    <n v="195"/>
    <x v="4"/>
    <n v="7"/>
    <x v="8"/>
    <n v="70"/>
    <n v="179"/>
    <n v="28"/>
    <n v="249"/>
    <n v="318170"/>
  </r>
  <r>
    <x v="8"/>
    <x v="1"/>
    <x v="29"/>
    <n v="125"/>
    <n v="2"/>
    <n v="55"/>
    <x v="0"/>
    <n v="5"/>
    <x v="0"/>
    <n v="14"/>
    <n v="23"/>
    <n v="3"/>
    <n v="22"/>
    <n v="94000"/>
  </r>
  <r>
    <x v="8"/>
    <x v="1"/>
    <x v="30"/>
    <n v="236"/>
    <n v="3"/>
    <n v="69"/>
    <x v="0"/>
    <n v="1"/>
    <x v="1"/>
    <n v="34"/>
    <n v="55"/>
    <n v="6"/>
    <n v="66"/>
    <n v="89610"/>
  </r>
  <r>
    <x v="8"/>
    <x v="1"/>
    <x v="31"/>
    <n v="639"/>
    <n v="4"/>
    <n v="288"/>
    <x v="0"/>
    <n v="11"/>
    <x v="8"/>
    <n v="68"/>
    <n v="148"/>
    <n v="19"/>
    <n v="96"/>
    <n v="181310"/>
  </r>
  <r>
    <x v="9"/>
    <x v="1"/>
    <x v="0"/>
    <n v="360"/>
    <n v="8"/>
    <n v="158"/>
    <x v="3"/>
    <n v="5"/>
    <x v="1"/>
    <n v="21"/>
    <n v="93"/>
    <n v="17"/>
    <n v="57"/>
    <n v="227560"/>
  </r>
  <r>
    <x v="9"/>
    <x v="1"/>
    <x v="1"/>
    <n v="191"/>
    <n v="2"/>
    <n v="103"/>
    <x v="1"/>
    <n v="4"/>
    <x v="3"/>
    <n v="13"/>
    <n v="15"/>
    <n v="7"/>
    <n v="43"/>
    <n v="261470"/>
  </r>
  <r>
    <x v="9"/>
    <x v="1"/>
    <x v="2"/>
    <n v="121"/>
    <n v="7"/>
    <n v="61"/>
    <x v="0"/>
    <n v="3"/>
    <x v="2"/>
    <n v="6"/>
    <n v="11"/>
    <n v="4"/>
    <n v="25"/>
    <n v="116040"/>
  </r>
  <r>
    <x v="9"/>
    <x v="1"/>
    <x v="3"/>
    <n v="70"/>
    <n v="2"/>
    <n v="28"/>
    <x v="0"/>
    <n v="2"/>
    <x v="1"/>
    <n v="14"/>
    <n v="9"/>
    <m/>
    <n v="13"/>
    <n v="86260"/>
  </r>
  <r>
    <x v="9"/>
    <x v="1"/>
    <x v="4"/>
    <n v="1160"/>
    <n v="12"/>
    <n v="316"/>
    <x v="0"/>
    <n v="20"/>
    <x v="3"/>
    <n v="103"/>
    <n v="307"/>
    <n v="58"/>
    <n v="341"/>
    <n v="518500"/>
  </r>
  <r>
    <x v="9"/>
    <x v="1"/>
    <x v="5"/>
    <n v="59"/>
    <n v="2"/>
    <n v="22"/>
    <x v="0"/>
    <n v="3"/>
    <x v="0"/>
    <n v="2"/>
    <n v="11"/>
    <m/>
    <n v="18"/>
    <n v="51400"/>
  </r>
  <r>
    <x v="9"/>
    <x v="1"/>
    <x v="6"/>
    <n v="116"/>
    <n v="4"/>
    <n v="53"/>
    <x v="3"/>
    <n v="1"/>
    <x v="1"/>
    <n v="8"/>
    <n v="17"/>
    <n v="2"/>
    <n v="30"/>
    <n v="148790"/>
  </r>
  <r>
    <x v="9"/>
    <x v="1"/>
    <x v="7"/>
    <n v="525"/>
    <n v="12"/>
    <n v="218"/>
    <x v="1"/>
    <n v="7"/>
    <x v="1"/>
    <n v="44"/>
    <n v="154"/>
    <n v="17"/>
    <n v="70"/>
    <n v="148750"/>
  </r>
  <r>
    <x v="9"/>
    <x v="1"/>
    <x v="8"/>
    <n v="538"/>
    <n v="10"/>
    <n v="216"/>
    <x v="0"/>
    <n v="7"/>
    <x v="8"/>
    <n v="58"/>
    <n v="123"/>
    <n v="8"/>
    <n v="111"/>
    <n v="121840"/>
  </r>
  <r>
    <x v="9"/>
    <x v="1"/>
    <x v="9"/>
    <n v="216"/>
    <m/>
    <n v="58"/>
    <x v="0"/>
    <n v="2"/>
    <x v="1"/>
    <n v="34"/>
    <n v="65"/>
    <n v="9"/>
    <n v="46"/>
    <n v="108330"/>
  </r>
  <r>
    <x v="9"/>
    <x v="1"/>
    <x v="10"/>
    <n v="222"/>
    <n v="3"/>
    <n v="102"/>
    <x v="0"/>
    <n v="2"/>
    <x v="0"/>
    <n v="22"/>
    <n v="13"/>
    <n v="5"/>
    <n v="74"/>
    <n v="105790"/>
  </r>
  <r>
    <x v="9"/>
    <x v="1"/>
    <x v="11"/>
    <n v="107"/>
    <n v="1"/>
    <n v="40"/>
    <x v="3"/>
    <n v="4"/>
    <x v="1"/>
    <n v="13"/>
    <n v="21"/>
    <n v="3"/>
    <n v="24"/>
    <n v="95170"/>
  </r>
  <r>
    <x v="9"/>
    <x v="1"/>
    <x v="12"/>
    <n v="240"/>
    <n v="6"/>
    <n v="131"/>
    <x v="2"/>
    <n v="3"/>
    <x v="0"/>
    <n v="12"/>
    <n v="28"/>
    <n v="5"/>
    <n v="52"/>
    <n v="160340"/>
  </r>
  <r>
    <x v="9"/>
    <x v="1"/>
    <x v="13"/>
    <n v="747"/>
    <n v="13"/>
    <n v="254"/>
    <x v="1"/>
    <n v="12"/>
    <x v="3"/>
    <n v="72"/>
    <n v="159"/>
    <n v="14"/>
    <n v="219"/>
    <n v="371910"/>
  </r>
  <r>
    <x v="9"/>
    <x v="1"/>
    <x v="14"/>
    <n v="2363"/>
    <n v="31"/>
    <n v="555"/>
    <x v="4"/>
    <n v="35"/>
    <x v="3"/>
    <n v="212"/>
    <n v="744"/>
    <n v="63"/>
    <n v="715"/>
    <n v="626410"/>
  </r>
  <r>
    <x v="9"/>
    <x v="1"/>
    <x v="15"/>
    <n v="156"/>
    <n v="3"/>
    <n v="96"/>
    <x v="0"/>
    <n v="5"/>
    <x v="1"/>
    <n v="10"/>
    <n v="20"/>
    <m/>
    <n v="20"/>
    <n v="235540"/>
  </r>
  <r>
    <x v="9"/>
    <x v="1"/>
    <x v="16"/>
    <n v="354"/>
    <n v="8"/>
    <n v="244"/>
    <x v="3"/>
    <n v="4"/>
    <x v="3"/>
    <n v="22"/>
    <n v="25"/>
    <n v="3"/>
    <n v="46"/>
    <n v="78150"/>
  </r>
  <r>
    <x v="9"/>
    <x v="1"/>
    <x v="17"/>
    <n v="266"/>
    <n v="2"/>
    <n v="112"/>
    <x v="4"/>
    <n v="10"/>
    <x v="1"/>
    <n v="34"/>
    <n v="40"/>
    <n v="10"/>
    <n v="51"/>
    <n v="91340"/>
  </r>
  <r>
    <x v="9"/>
    <x v="1"/>
    <x v="18"/>
    <n v="97"/>
    <n v="1"/>
    <n v="81"/>
    <x v="3"/>
    <m/>
    <x v="0"/>
    <n v="2"/>
    <n v="3"/>
    <m/>
    <n v="10"/>
    <n v="95520"/>
  </r>
  <r>
    <x v="9"/>
    <x v="1"/>
    <x v="19"/>
    <n v="2"/>
    <m/>
    <n v="1"/>
    <x v="3"/>
    <m/>
    <x v="0"/>
    <m/>
    <m/>
    <m/>
    <n v="1"/>
    <n v="26830"/>
  </r>
  <r>
    <x v="9"/>
    <x v="1"/>
    <x v="20"/>
    <n v="559"/>
    <n v="7"/>
    <n v="259"/>
    <x v="4"/>
    <n v="3"/>
    <x v="0"/>
    <n v="107"/>
    <n v="80"/>
    <n v="13"/>
    <n v="84"/>
    <n v="135280"/>
  </r>
  <r>
    <x v="9"/>
    <x v="1"/>
    <x v="21"/>
    <n v="1244"/>
    <n v="10"/>
    <n v="379"/>
    <x v="6"/>
    <n v="20"/>
    <x v="4"/>
    <n v="181"/>
    <n v="208"/>
    <n v="29"/>
    <n v="406"/>
    <n v="340180"/>
  </r>
  <r>
    <x v="9"/>
    <x v="1"/>
    <x v="22"/>
    <n v="4"/>
    <n v="1"/>
    <m/>
    <x v="3"/>
    <m/>
    <x v="0"/>
    <n v="1"/>
    <m/>
    <m/>
    <n v="2"/>
    <n v="22190"/>
  </r>
  <r>
    <x v="9"/>
    <x v="1"/>
    <x v="23"/>
    <n v="108"/>
    <n v="9"/>
    <n v="60"/>
    <x v="0"/>
    <n v="1"/>
    <x v="0"/>
    <n v="13"/>
    <n v="7"/>
    <m/>
    <n v="17"/>
    <n v="151290"/>
  </r>
  <r>
    <x v="9"/>
    <x v="1"/>
    <x v="24"/>
    <n v="574"/>
    <n v="16"/>
    <n v="199"/>
    <x v="6"/>
    <n v="6"/>
    <x v="2"/>
    <n v="58"/>
    <n v="129"/>
    <n v="15"/>
    <n v="144"/>
    <n v="177790"/>
  </r>
  <r>
    <x v="9"/>
    <x v="1"/>
    <x v="25"/>
    <n v="92"/>
    <m/>
    <n v="52"/>
    <x v="1"/>
    <n v="1"/>
    <x v="0"/>
    <n v="17"/>
    <n v="8"/>
    <n v="2"/>
    <n v="10"/>
    <n v="115270"/>
  </r>
  <r>
    <x v="9"/>
    <x v="1"/>
    <x v="26"/>
    <n v="3"/>
    <m/>
    <m/>
    <x v="3"/>
    <m/>
    <x v="0"/>
    <n v="2"/>
    <m/>
    <m/>
    <n v="1"/>
    <n v="22990"/>
  </r>
  <r>
    <x v="9"/>
    <x v="1"/>
    <x v="27"/>
    <n v="225"/>
    <n v="3"/>
    <n v="103"/>
    <x v="2"/>
    <m/>
    <x v="0"/>
    <n v="33"/>
    <n v="41"/>
    <n v="4"/>
    <n v="38"/>
    <n v="112550"/>
  </r>
  <r>
    <x v="9"/>
    <x v="1"/>
    <x v="28"/>
    <n v="706"/>
    <n v="9"/>
    <n v="224"/>
    <x v="1"/>
    <n v="5"/>
    <x v="2"/>
    <n v="73"/>
    <n v="133"/>
    <n v="21"/>
    <n v="236"/>
    <n v="319020"/>
  </r>
  <r>
    <x v="9"/>
    <x v="1"/>
    <x v="29"/>
    <n v="92"/>
    <n v="4"/>
    <n v="44"/>
    <x v="3"/>
    <n v="2"/>
    <x v="0"/>
    <n v="6"/>
    <n v="10"/>
    <n v="1"/>
    <n v="25"/>
    <n v="94330"/>
  </r>
  <r>
    <x v="9"/>
    <x v="1"/>
    <x v="30"/>
    <n v="253"/>
    <n v="3"/>
    <n v="88"/>
    <x v="1"/>
    <n v="4"/>
    <x v="1"/>
    <n v="23"/>
    <n v="71"/>
    <n v="6"/>
    <n v="55"/>
    <n v="89130"/>
  </r>
  <r>
    <x v="9"/>
    <x v="1"/>
    <x v="31"/>
    <n v="715"/>
    <n v="4"/>
    <n v="328"/>
    <x v="3"/>
    <n v="15"/>
    <x v="2"/>
    <n v="46"/>
    <n v="190"/>
    <n v="12"/>
    <n v="117"/>
    <n v="182140"/>
  </r>
  <r>
    <x v="10"/>
    <x v="1"/>
    <x v="0"/>
    <n v="250"/>
    <n v="9"/>
    <n v="80"/>
    <x v="3"/>
    <n v="8"/>
    <x v="0"/>
    <n v="17"/>
    <n v="75"/>
    <n v="9"/>
    <n v="52"/>
    <n v="228670"/>
  </r>
  <r>
    <x v="10"/>
    <x v="1"/>
    <x v="1"/>
    <n v="147"/>
    <n v="9"/>
    <n v="59"/>
    <x v="0"/>
    <n v="3"/>
    <x v="2"/>
    <n v="13"/>
    <n v="10"/>
    <n v="4"/>
    <n v="45"/>
    <n v="261210"/>
  </r>
  <r>
    <x v="10"/>
    <x v="1"/>
    <x v="2"/>
    <n v="95"/>
    <m/>
    <n v="39"/>
    <x v="1"/>
    <m/>
    <x v="1"/>
    <n v="12"/>
    <n v="16"/>
    <m/>
    <n v="25"/>
    <n v="116200"/>
  </r>
  <r>
    <x v="10"/>
    <x v="1"/>
    <x v="3"/>
    <n v="89"/>
    <n v="2"/>
    <n v="48"/>
    <x v="0"/>
    <n v="1"/>
    <x v="3"/>
    <n v="7"/>
    <n v="10"/>
    <n v="1"/>
    <n v="17"/>
    <n v="85870"/>
  </r>
  <r>
    <x v="10"/>
    <x v="1"/>
    <x v="4"/>
    <n v="1021"/>
    <n v="12"/>
    <n v="263"/>
    <x v="1"/>
    <n v="21"/>
    <x v="1"/>
    <n v="76"/>
    <n v="309"/>
    <n v="43"/>
    <n v="294"/>
    <n v="524930"/>
  </r>
  <r>
    <x v="10"/>
    <x v="1"/>
    <x v="5"/>
    <n v="63"/>
    <n v="2"/>
    <n v="14"/>
    <x v="0"/>
    <n v="1"/>
    <x v="0"/>
    <m/>
    <n v="18"/>
    <n v="2"/>
    <n v="25"/>
    <n v="51540"/>
  </r>
  <r>
    <x v="10"/>
    <x v="1"/>
    <x v="6"/>
    <n v="131"/>
    <n v="12"/>
    <n v="43"/>
    <x v="3"/>
    <n v="3"/>
    <x v="3"/>
    <n v="2"/>
    <n v="15"/>
    <n v="3"/>
    <n v="51"/>
    <n v="148860"/>
  </r>
  <r>
    <x v="10"/>
    <x v="1"/>
    <x v="7"/>
    <n v="391"/>
    <n v="1"/>
    <n v="122"/>
    <x v="0"/>
    <n v="2"/>
    <x v="3"/>
    <n v="30"/>
    <n v="149"/>
    <n v="18"/>
    <n v="66"/>
    <n v="149320"/>
  </r>
  <r>
    <x v="10"/>
    <x v="1"/>
    <x v="8"/>
    <n v="450"/>
    <n v="10"/>
    <n v="126"/>
    <x v="1"/>
    <n v="4"/>
    <x v="3"/>
    <n v="45"/>
    <n v="136"/>
    <n v="8"/>
    <n v="117"/>
    <n v="122010"/>
  </r>
  <r>
    <x v="10"/>
    <x v="1"/>
    <x v="9"/>
    <n v="138"/>
    <n v="1"/>
    <n v="43"/>
    <x v="0"/>
    <n v="2"/>
    <x v="0"/>
    <n v="12"/>
    <n v="34"/>
    <n v="9"/>
    <n v="36"/>
    <n v="108640"/>
  </r>
  <r>
    <x v="10"/>
    <x v="1"/>
    <x v="10"/>
    <n v="140"/>
    <m/>
    <n v="56"/>
    <x v="0"/>
    <n v="1"/>
    <x v="0"/>
    <n v="16"/>
    <n v="15"/>
    <n v="1"/>
    <n v="50"/>
    <n v="107090"/>
  </r>
  <r>
    <x v="10"/>
    <x v="1"/>
    <x v="11"/>
    <n v="152"/>
    <n v="3"/>
    <n v="49"/>
    <x v="3"/>
    <n v="3"/>
    <x v="0"/>
    <n v="10"/>
    <n v="35"/>
    <n v="8"/>
    <n v="44"/>
    <n v="95530"/>
  </r>
  <r>
    <x v="10"/>
    <x v="1"/>
    <x v="12"/>
    <n v="259"/>
    <n v="6"/>
    <n v="106"/>
    <x v="3"/>
    <n v="10"/>
    <x v="0"/>
    <n v="24"/>
    <n v="44"/>
    <n v="4"/>
    <n v="65"/>
    <n v="160890"/>
  </r>
  <r>
    <x v="10"/>
    <x v="1"/>
    <x v="13"/>
    <n v="588"/>
    <n v="25"/>
    <n v="200"/>
    <x v="2"/>
    <n v="12"/>
    <x v="0"/>
    <n v="29"/>
    <n v="111"/>
    <n v="21"/>
    <n v="187"/>
    <n v="373550"/>
  </r>
  <r>
    <x v="10"/>
    <x v="1"/>
    <x v="14"/>
    <n v="2449"/>
    <n v="29"/>
    <n v="362"/>
    <x v="4"/>
    <n v="36"/>
    <x v="9"/>
    <n v="150"/>
    <n v="891"/>
    <n v="66"/>
    <n v="903"/>
    <n v="633120"/>
  </r>
  <r>
    <x v="10"/>
    <x v="1"/>
    <x v="15"/>
    <n v="155"/>
    <n v="6"/>
    <n v="95"/>
    <x v="3"/>
    <n v="2"/>
    <x v="0"/>
    <n v="4"/>
    <n v="29"/>
    <n v="1"/>
    <n v="18"/>
    <n v="235830"/>
  </r>
  <r>
    <x v="10"/>
    <x v="1"/>
    <x v="16"/>
    <n v="392"/>
    <n v="19"/>
    <n v="202"/>
    <x v="2"/>
    <n v="5"/>
    <x v="3"/>
    <n v="19"/>
    <n v="71"/>
    <n v="9"/>
    <n v="62"/>
    <n v="77800"/>
  </r>
  <r>
    <x v="10"/>
    <x v="1"/>
    <x v="17"/>
    <n v="193"/>
    <n v="2"/>
    <n v="100"/>
    <x v="2"/>
    <n v="2"/>
    <x v="0"/>
    <n v="14"/>
    <n v="29"/>
    <n v="9"/>
    <n v="34"/>
    <n v="92460"/>
  </r>
  <r>
    <x v="10"/>
    <x v="1"/>
    <x v="18"/>
    <n v="49"/>
    <n v="1"/>
    <n v="31"/>
    <x v="3"/>
    <n v="1"/>
    <x v="0"/>
    <n v="4"/>
    <n v="2"/>
    <m/>
    <n v="10"/>
    <n v="95820"/>
  </r>
  <r>
    <x v="10"/>
    <x v="1"/>
    <x v="19"/>
    <n v="8"/>
    <m/>
    <n v="7"/>
    <x v="3"/>
    <m/>
    <x v="0"/>
    <m/>
    <m/>
    <m/>
    <n v="1"/>
    <n v="26720"/>
  </r>
  <r>
    <x v="10"/>
    <x v="1"/>
    <x v="20"/>
    <n v="567"/>
    <n v="15"/>
    <n v="196"/>
    <x v="8"/>
    <n v="3"/>
    <x v="3"/>
    <n v="85"/>
    <n v="134"/>
    <n v="11"/>
    <n v="114"/>
    <n v="134740"/>
  </r>
  <r>
    <x v="10"/>
    <x v="1"/>
    <x v="21"/>
    <n v="1303"/>
    <n v="13"/>
    <n v="403"/>
    <x v="7"/>
    <n v="18"/>
    <x v="2"/>
    <n v="108"/>
    <n v="222"/>
    <n v="29"/>
    <n v="502"/>
    <n v="341370"/>
  </r>
  <r>
    <x v="10"/>
    <x v="1"/>
    <x v="22"/>
    <n v="1"/>
    <m/>
    <m/>
    <x v="3"/>
    <m/>
    <x v="0"/>
    <m/>
    <m/>
    <m/>
    <n v="1"/>
    <n v="22270"/>
  </r>
  <r>
    <x v="10"/>
    <x v="1"/>
    <x v="23"/>
    <n v="86"/>
    <n v="1"/>
    <n v="36"/>
    <x v="0"/>
    <n v="3"/>
    <x v="8"/>
    <n v="4"/>
    <n v="16"/>
    <n v="1"/>
    <n v="20"/>
    <n v="151950"/>
  </r>
  <r>
    <x v="10"/>
    <x v="1"/>
    <x v="24"/>
    <n v="474"/>
    <n v="9"/>
    <n v="87"/>
    <x v="2"/>
    <n v="8"/>
    <x v="1"/>
    <n v="42"/>
    <n v="146"/>
    <n v="17"/>
    <n v="161"/>
    <n v="179100"/>
  </r>
  <r>
    <x v="10"/>
    <x v="1"/>
    <x v="25"/>
    <n v="85"/>
    <n v="1"/>
    <n v="43"/>
    <x v="4"/>
    <n v="1"/>
    <x v="0"/>
    <n v="8"/>
    <n v="12"/>
    <m/>
    <n v="14"/>
    <n v="115510"/>
  </r>
  <r>
    <x v="10"/>
    <x v="1"/>
    <x v="26"/>
    <n v="3"/>
    <m/>
    <m/>
    <x v="3"/>
    <n v="1"/>
    <x v="0"/>
    <m/>
    <m/>
    <m/>
    <n v="2"/>
    <n v="22920"/>
  </r>
  <r>
    <x v="10"/>
    <x v="1"/>
    <x v="27"/>
    <n v="227"/>
    <n v="5"/>
    <n v="75"/>
    <x v="3"/>
    <n v="4"/>
    <x v="3"/>
    <n v="22"/>
    <n v="59"/>
    <n v="5"/>
    <n v="55"/>
    <n v="112610"/>
  </r>
  <r>
    <x v="10"/>
    <x v="1"/>
    <x v="28"/>
    <n v="746"/>
    <n v="10"/>
    <n v="198"/>
    <x v="7"/>
    <n v="23"/>
    <x v="4"/>
    <n v="60"/>
    <n v="135"/>
    <n v="25"/>
    <n v="283"/>
    <n v="320530"/>
  </r>
  <r>
    <x v="10"/>
    <x v="1"/>
    <x v="29"/>
    <n v="67"/>
    <n v="4"/>
    <n v="30"/>
    <x v="3"/>
    <n v="1"/>
    <x v="3"/>
    <n v="1"/>
    <n v="12"/>
    <n v="1"/>
    <n v="16"/>
    <n v="94210"/>
  </r>
  <r>
    <x v="10"/>
    <x v="1"/>
    <x v="30"/>
    <n v="285"/>
    <n v="8"/>
    <n v="77"/>
    <x v="3"/>
    <n v="3"/>
    <x v="0"/>
    <n v="26"/>
    <n v="77"/>
    <n v="4"/>
    <n v="90"/>
    <n v="88930"/>
  </r>
  <r>
    <x v="10"/>
    <x v="1"/>
    <x v="31"/>
    <n v="648"/>
    <n v="15"/>
    <n v="250"/>
    <x v="1"/>
    <n v="14"/>
    <x v="8"/>
    <n v="51"/>
    <n v="164"/>
    <n v="20"/>
    <n v="128"/>
    <n v="183100"/>
  </r>
  <r>
    <x v="11"/>
    <x v="1"/>
    <x v="0"/>
    <n v="246"/>
    <n v="3"/>
    <n v="89"/>
    <x v="3"/>
    <n v="7"/>
    <x v="0"/>
    <n v="26"/>
    <n v="62"/>
    <n v="13"/>
    <n v="46"/>
    <n v="229060"/>
  </r>
  <r>
    <x v="11"/>
    <x v="1"/>
    <x v="1"/>
    <n v="157"/>
    <n v="5"/>
    <n v="65"/>
    <x v="8"/>
    <n v="9"/>
    <x v="0"/>
    <n v="24"/>
    <n v="8"/>
    <m/>
    <n v="39"/>
    <n v="260780"/>
  </r>
  <r>
    <x v="11"/>
    <x v="1"/>
    <x v="2"/>
    <n v="134"/>
    <n v="6"/>
    <n v="65"/>
    <x v="0"/>
    <n v="2"/>
    <x v="0"/>
    <n v="17"/>
    <n v="21"/>
    <m/>
    <n v="22"/>
    <n v="115820"/>
  </r>
  <r>
    <x v="11"/>
    <x v="1"/>
    <x v="3"/>
    <n v="65"/>
    <m/>
    <n v="31"/>
    <x v="3"/>
    <m/>
    <x v="1"/>
    <n v="15"/>
    <n v="8"/>
    <n v="1"/>
    <n v="9"/>
    <n v="85430"/>
  </r>
  <r>
    <x v="11"/>
    <x v="1"/>
    <x v="4"/>
    <n v="1034"/>
    <n v="4"/>
    <n v="301"/>
    <x v="1"/>
    <n v="22"/>
    <x v="1"/>
    <n v="182"/>
    <n v="260"/>
    <n v="52"/>
    <n v="210"/>
    <n v="527620"/>
  </r>
  <r>
    <x v="11"/>
    <x v="1"/>
    <x v="5"/>
    <n v="74"/>
    <n v="4"/>
    <n v="19"/>
    <x v="3"/>
    <n v="1"/>
    <x v="2"/>
    <n v="6"/>
    <n v="13"/>
    <n v="1"/>
    <n v="27"/>
    <n v="51290"/>
  </r>
  <r>
    <x v="11"/>
    <x v="1"/>
    <x v="6"/>
    <n v="120"/>
    <n v="2"/>
    <n v="53"/>
    <x v="0"/>
    <n v="2"/>
    <x v="8"/>
    <n v="4"/>
    <n v="13"/>
    <n v="2"/>
    <n v="39"/>
    <n v="148290"/>
  </r>
  <r>
    <x v="11"/>
    <x v="1"/>
    <x v="7"/>
    <n v="579"/>
    <n v="5"/>
    <n v="192"/>
    <x v="2"/>
    <n v="11"/>
    <x v="1"/>
    <n v="95"/>
    <n v="198"/>
    <n v="17"/>
    <n v="57"/>
    <n v="148820"/>
  </r>
  <r>
    <x v="11"/>
    <x v="1"/>
    <x v="8"/>
    <n v="528"/>
    <n v="4"/>
    <n v="146"/>
    <x v="0"/>
    <n v="4"/>
    <x v="2"/>
    <n v="89"/>
    <n v="111"/>
    <n v="4"/>
    <n v="166"/>
    <n v="121600"/>
  </r>
  <r>
    <x v="11"/>
    <x v="1"/>
    <x v="9"/>
    <n v="205"/>
    <n v="2"/>
    <n v="85"/>
    <x v="2"/>
    <m/>
    <x v="0"/>
    <n v="38"/>
    <n v="37"/>
    <n v="4"/>
    <n v="36"/>
    <n v="108750"/>
  </r>
  <r>
    <x v="11"/>
    <x v="1"/>
    <x v="10"/>
    <n v="152"/>
    <n v="1"/>
    <n v="46"/>
    <x v="3"/>
    <n v="3"/>
    <x v="0"/>
    <n v="33"/>
    <n v="20"/>
    <n v="3"/>
    <n v="46"/>
    <n v="107900"/>
  </r>
  <r>
    <x v="11"/>
    <x v="1"/>
    <x v="11"/>
    <n v="150"/>
    <n v="6"/>
    <n v="58"/>
    <x v="1"/>
    <n v="3"/>
    <x v="1"/>
    <n v="32"/>
    <n v="20"/>
    <n v="2"/>
    <n v="26"/>
    <n v="96060"/>
  </r>
  <r>
    <x v="11"/>
    <x v="1"/>
    <x v="12"/>
    <n v="313"/>
    <n v="3"/>
    <n v="139"/>
    <x v="0"/>
    <n v="2"/>
    <x v="1"/>
    <n v="62"/>
    <n v="46"/>
    <n v="10"/>
    <n v="49"/>
    <n v="160560"/>
  </r>
  <r>
    <x v="11"/>
    <x v="1"/>
    <x v="13"/>
    <n v="826"/>
    <n v="22"/>
    <n v="231"/>
    <x v="4"/>
    <n v="24"/>
    <x v="8"/>
    <n v="115"/>
    <n v="172"/>
    <n v="24"/>
    <n v="228"/>
    <n v="374130"/>
  </r>
  <r>
    <x v="11"/>
    <x v="1"/>
    <x v="14"/>
    <n v="2128"/>
    <n v="16"/>
    <n v="371"/>
    <x v="4"/>
    <n v="20"/>
    <x v="11"/>
    <n v="245"/>
    <n v="657"/>
    <n v="46"/>
    <n v="754"/>
    <n v="635640"/>
  </r>
  <r>
    <x v="11"/>
    <x v="1"/>
    <x v="15"/>
    <n v="162"/>
    <n v="4"/>
    <n v="82"/>
    <x v="6"/>
    <n v="3"/>
    <x v="0"/>
    <n v="29"/>
    <n v="6"/>
    <m/>
    <n v="34"/>
    <n v="235430"/>
  </r>
  <r>
    <x v="11"/>
    <x v="1"/>
    <x v="16"/>
    <n v="391"/>
    <n v="8"/>
    <n v="190"/>
    <x v="3"/>
    <n v="2"/>
    <x v="3"/>
    <n v="32"/>
    <n v="76"/>
    <n v="6"/>
    <n v="75"/>
    <n v="77060"/>
  </r>
  <r>
    <x v="11"/>
    <x v="1"/>
    <x v="17"/>
    <n v="158"/>
    <m/>
    <n v="71"/>
    <x v="2"/>
    <n v="2"/>
    <x v="0"/>
    <n v="19"/>
    <n v="25"/>
    <n v="4"/>
    <n v="34"/>
    <n v="93150"/>
  </r>
  <r>
    <x v="11"/>
    <x v="1"/>
    <x v="18"/>
    <n v="63"/>
    <n v="1"/>
    <n v="31"/>
    <x v="0"/>
    <n v="1"/>
    <x v="0"/>
    <n v="7"/>
    <n v="8"/>
    <m/>
    <n v="14"/>
    <n v="95710"/>
  </r>
  <r>
    <x v="11"/>
    <x v="1"/>
    <x v="19"/>
    <n v="18"/>
    <m/>
    <n v="18"/>
    <x v="3"/>
    <m/>
    <x v="0"/>
    <m/>
    <m/>
    <m/>
    <m/>
    <n v="26500"/>
  </r>
  <r>
    <x v="11"/>
    <x v="1"/>
    <x v="20"/>
    <n v="437"/>
    <n v="9"/>
    <n v="129"/>
    <x v="7"/>
    <n v="4"/>
    <x v="14"/>
    <n v="84"/>
    <n v="94"/>
    <n v="11"/>
    <n v="91"/>
    <n v="134250"/>
  </r>
  <r>
    <x v="11"/>
    <x v="1"/>
    <x v="21"/>
    <n v="1313"/>
    <n v="12"/>
    <n v="393"/>
    <x v="7"/>
    <n v="14"/>
    <x v="15"/>
    <n v="144"/>
    <n v="161"/>
    <n v="24"/>
    <n v="545"/>
    <n v="341140"/>
  </r>
  <r>
    <x v="11"/>
    <x v="1"/>
    <x v="22"/>
    <n v="6"/>
    <m/>
    <n v="2"/>
    <x v="3"/>
    <m/>
    <x v="0"/>
    <n v="2"/>
    <m/>
    <m/>
    <n v="2"/>
    <n v="22400"/>
  </r>
  <r>
    <x v="11"/>
    <x v="1"/>
    <x v="23"/>
    <n v="64"/>
    <m/>
    <n v="20"/>
    <x v="2"/>
    <n v="1"/>
    <x v="2"/>
    <n v="6"/>
    <n v="16"/>
    <n v="2"/>
    <n v="13"/>
    <n v="151910"/>
  </r>
  <r>
    <x v="11"/>
    <x v="1"/>
    <x v="24"/>
    <n v="430"/>
    <n v="3"/>
    <n v="113"/>
    <x v="0"/>
    <n v="7"/>
    <x v="3"/>
    <n v="58"/>
    <n v="105"/>
    <n v="14"/>
    <n v="127"/>
    <n v="179390"/>
  </r>
  <r>
    <x v="11"/>
    <x v="1"/>
    <x v="25"/>
    <n v="94"/>
    <n v="1"/>
    <n v="52"/>
    <x v="0"/>
    <n v="1"/>
    <x v="1"/>
    <n v="10"/>
    <n v="16"/>
    <n v="1"/>
    <n v="11"/>
    <n v="115240"/>
  </r>
  <r>
    <x v="11"/>
    <x v="1"/>
    <x v="26"/>
    <n v="6"/>
    <m/>
    <m/>
    <x v="3"/>
    <m/>
    <x v="0"/>
    <n v="3"/>
    <n v="1"/>
    <m/>
    <n v="2"/>
    <n v="22870"/>
  </r>
  <r>
    <x v="11"/>
    <x v="1"/>
    <x v="27"/>
    <n v="240"/>
    <n v="1"/>
    <n v="72"/>
    <x v="0"/>
    <n v="1"/>
    <x v="0"/>
    <n v="63"/>
    <n v="54"/>
    <n v="1"/>
    <n v="47"/>
    <n v="112140"/>
  </r>
  <r>
    <x v="11"/>
    <x v="1"/>
    <x v="28"/>
    <n v="892"/>
    <n v="4"/>
    <n v="283"/>
    <x v="4"/>
    <n v="3"/>
    <x v="8"/>
    <n v="86"/>
    <n v="154"/>
    <n v="22"/>
    <n v="330"/>
    <n v="320820"/>
  </r>
  <r>
    <x v="11"/>
    <x v="1"/>
    <x v="29"/>
    <n v="124"/>
    <n v="2"/>
    <n v="50"/>
    <x v="3"/>
    <n v="5"/>
    <x v="0"/>
    <n v="13"/>
    <n v="30"/>
    <n v="3"/>
    <n v="21"/>
    <n v="94080"/>
  </r>
  <r>
    <x v="11"/>
    <x v="1"/>
    <x v="30"/>
    <n v="386"/>
    <n v="12"/>
    <n v="111"/>
    <x v="2"/>
    <n v="4"/>
    <x v="0"/>
    <n v="52"/>
    <n v="113"/>
    <n v="6"/>
    <n v="85"/>
    <n v="88340"/>
  </r>
  <r>
    <x v="11"/>
    <x v="1"/>
    <x v="31"/>
    <n v="562"/>
    <n v="11"/>
    <n v="217"/>
    <x v="2"/>
    <n v="5"/>
    <x v="2"/>
    <n v="66"/>
    <n v="137"/>
    <n v="18"/>
    <n v="102"/>
    <n v="183820"/>
  </r>
</pivotCacheRecords>
</file>

<file path=xl/pivotCache/pivotCacheRecords22.xml><?xml version="1.0" encoding="utf-8"?>
<pivotCacheRecords xmlns="http://schemas.openxmlformats.org/spreadsheetml/2006/main" xmlns:r="http://schemas.openxmlformats.org/officeDocument/2006/relationships" count="4137">
  <r>
    <x v="0"/>
    <x v="0"/>
    <x v="0"/>
    <x v="0"/>
    <n v="12"/>
    <n v="217020"/>
  </r>
  <r>
    <x v="0"/>
    <x v="0"/>
    <x v="0"/>
    <x v="1"/>
    <n v="140"/>
    <n v="249020"/>
  </r>
  <r>
    <x v="0"/>
    <x v="0"/>
    <x v="0"/>
    <x v="2"/>
    <n v="26"/>
    <n v="114830"/>
  </r>
  <r>
    <x v="0"/>
    <x v="0"/>
    <x v="0"/>
    <x v="3"/>
    <n v="184"/>
    <n v="89450"/>
  </r>
  <r>
    <x v="0"/>
    <x v="0"/>
    <x v="0"/>
    <x v="4"/>
    <n v="23"/>
    <n v="463230"/>
  </r>
  <r>
    <x v="0"/>
    <x v="0"/>
    <x v="0"/>
    <x v="5"/>
    <n v="5"/>
    <n v="51290"/>
  </r>
  <r>
    <x v="0"/>
    <x v="0"/>
    <x v="0"/>
    <x v="6"/>
    <n v="132"/>
    <n v="151160"/>
  </r>
  <r>
    <x v="0"/>
    <x v="0"/>
    <x v="0"/>
    <x v="7"/>
    <n v="3"/>
    <n v="145170"/>
  </r>
  <r>
    <x v="0"/>
    <x v="0"/>
    <x v="0"/>
    <x v="8"/>
    <n v="16"/>
    <n v="122110"/>
  </r>
  <r>
    <x v="0"/>
    <x v="0"/>
    <x v="0"/>
    <x v="9"/>
    <n v="9"/>
    <n v="104960"/>
  </r>
  <r>
    <x v="0"/>
    <x v="0"/>
    <x v="0"/>
    <x v="10"/>
    <n v="32"/>
    <n v="98340"/>
  </r>
  <r>
    <x v="0"/>
    <x v="0"/>
    <x v="0"/>
    <x v="11"/>
    <n v="13"/>
    <n v="154210"/>
  </r>
  <r>
    <x v="0"/>
    <x v="0"/>
    <x v="0"/>
    <x v="12"/>
    <n v="55"/>
    <n v="361420"/>
  </r>
  <r>
    <x v="0"/>
    <x v="0"/>
    <x v="0"/>
    <x v="13"/>
    <n v="18"/>
    <n v="581620"/>
  </r>
  <r>
    <x v="0"/>
    <x v="0"/>
    <x v="0"/>
    <x v="14"/>
    <n v="501"/>
    <n v="228750"/>
  </r>
  <r>
    <x v="0"/>
    <x v="0"/>
    <x v="0"/>
    <x v="15"/>
    <n v="3"/>
    <n v="81670"/>
  </r>
  <r>
    <x v="0"/>
    <x v="0"/>
    <x v="0"/>
    <x v="16"/>
    <n v="22"/>
    <n v="81900"/>
  </r>
  <r>
    <x v="0"/>
    <x v="0"/>
    <x v="0"/>
    <x v="17"/>
    <n v="62"/>
    <n v="93160"/>
  </r>
  <r>
    <x v="0"/>
    <x v="0"/>
    <x v="0"/>
    <x v="18"/>
    <n v="91"/>
    <n v="27420"/>
  </r>
  <r>
    <x v="0"/>
    <x v="0"/>
    <x v="0"/>
    <x v="19"/>
    <n v="26"/>
    <n v="137830"/>
  </r>
  <r>
    <x v="0"/>
    <x v="0"/>
    <x v="0"/>
    <x v="20"/>
    <n v="8"/>
    <n v="335160"/>
  </r>
  <r>
    <x v="0"/>
    <x v="0"/>
    <x v="0"/>
    <x v="21"/>
    <n v="18"/>
    <n v="20940"/>
  </r>
  <r>
    <x v="0"/>
    <x v="0"/>
    <x v="0"/>
    <x v="22"/>
    <n v="111"/>
    <n v="144370"/>
  </r>
  <r>
    <x v="0"/>
    <x v="0"/>
    <x v="0"/>
    <x v="23"/>
    <n v="2"/>
    <n v="173020"/>
  </r>
  <r>
    <x v="0"/>
    <x v="0"/>
    <x v="0"/>
    <x v="24"/>
    <n v="100"/>
    <n v="113590"/>
  </r>
  <r>
    <x v="0"/>
    <x v="0"/>
    <x v="0"/>
    <x v="25"/>
    <n v="5"/>
    <n v="22800"/>
  </r>
  <r>
    <x v="0"/>
    <x v="0"/>
    <x v="0"/>
    <x v="26"/>
    <n v="30"/>
    <n v="112490"/>
  </r>
  <r>
    <x v="0"/>
    <x v="0"/>
    <x v="0"/>
    <x v="27"/>
    <n v="36"/>
    <n v="312180"/>
  </r>
  <r>
    <x v="0"/>
    <x v="0"/>
    <x v="0"/>
    <x v="28"/>
    <n v="36"/>
    <n v="88690"/>
  </r>
  <r>
    <x v="0"/>
    <x v="0"/>
    <x v="0"/>
    <x v="29"/>
    <n v="8"/>
    <n v="91080"/>
  </r>
  <r>
    <x v="0"/>
    <x v="0"/>
    <x v="0"/>
    <x v="30"/>
    <n v="12"/>
    <n v="173040"/>
  </r>
  <r>
    <x v="0"/>
    <x v="0"/>
    <x v="1"/>
    <x v="12"/>
    <n v="1"/>
    <n v="361420"/>
  </r>
  <r>
    <x v="0"/>
    <x v="1"/>
    <x v="0"/>
    <x v="0"/>
    <n v="340"/>
    <n v="217020"/>
  </r>
  <r>
    <x v="0"/>
    <x v="1"/>
    <x v="0"/>
    <x v="1"/>
    <n v="191"/>
    <n v="249020"/>
  </r>
  <r>
    <x v="0"/>
    <x v="1"/>
    <x v="0"/>
    <x v="2"/>
    <n v="96"/>
    <n v="114830"/>
  </r>
  <r>
    <x v="0"/>
    <x v="1"/>
    <x v="0"/>
    <x v="3"/>
    <n v="80"/>
    <n v="89450"/>
  </r>
  <r>
    <x v="0"/>
    <x v="1"/>
    <x v="0"/>
    <x v="4"/>
    <n v="587"/>
    <n v="463230"/>
  </r>
  <r>
    <x v="0"/>
    <x v="1"/>
    <x v="0"/>
    <x v="5"/>
    <n v="35"/>
    <n v="51290"/>
  </r>
  <r>
    <x v="0"/>
    <x v="1"/>
    <x v="0"/>
    <x v="6"/>
    <n v="123"/>
    <n v="151160"/>
  </r>
  <r>
    <x v="0"/>
    <x v="1"/>
    <x v="0"/>
    <x v="7"/>
    <n v="276"/>
    <n v="145170"/>
  </r>
  <r>
    <x v="0"/>
    <x v="1"/>
    <x v="0"/>
    <x v="8"/>
    <n v="103"/>
    <n v="122110"/>
  </r>
  <r>
    <x v="0"/>
    <x v="1"/>
    <x v="0"/>
    <x v="9"/>
    <n v="60"/>
    <n v="104960"/>
  </r>
  <r>
    <x v="0"/>
    <x v="1"/>
    <x v="0"/>
    <x v="10"/>
    <n v="88"/>
    <n v="98340"/>
  </r>
  <r>
    <x v="0"/>
    <x v="1"/>
    <x v="0"/>
    <x v="31"/>
    <n v="42"/>
    <n v="89980"/>
  </r>
  <r>
    <x v="0"/>
    <x v="1"/>
    <x v="0"/>
    <x v="11"/>
    <n v="96"/>
    <n v="154210"/>
  </r>
  <r>
    <x v="0"/>
    <x v="1"/>
    <x v="0"/>
    <x v="12"/>
    <n v="266"/>
    <n v="361420"/>
  </r>
  <r>
    <x v="0"/>
    <x v="1"/>
    <x v="0"/>
    <x v="13"/>
    <n v="1004"/>
    <n v="581620"/>
  </r>
  <r>
    <x v="0"/>
    <x v="1"/>
    <x v="0"/>
    <x v="14"/>
    <n v="141"/>
    <n v="228750"/>
  </r>
  <r>
    <x v="0"/>
    <x v="1"/>
    <x v="0"/>
    <x v="15"/>
    <n v="88"/>
    <n v="81670"/>
  </r>
  <r>
    <x v="0"/>
    <x v="1"/>
    <x v="0"/>
    <x v="16"/>
    <n v="61"/>
    <n v="81900"/>
  </r>
  <r>
    <x v="0"/>
    <x v="1"/>
    <x v="0"/>
    <x v="17"/>
    <n v="63"/>
    <n v="93160"/>
  </r>
  <r>
    <x v="0"/>
    <x v="1"/>
    <x v="0"/>
    <x v="18"/>
    <n v="22"/>
    <n v="27420"/>
  </r>
  <r>
    <x v="0"/>
    <x v="1"/>
    <x v="0"/>
    <x v="19"/>
    <n v="154"/>
    <n v="137830"/>
  </r>
  <r>
    <x v="0"/>
    <x v="1"/>
    <x v="0"/>
    <x v="20"/>
    <n v="283"/>
    <n v="335160"/>
  </r>
  <r>
    <x v="0"/>
    <x v="1"/>
    <x v="0"/>
    <x v="21"/>
    <n v="10"/>
    <n v="20940"/>
  </r>
  <r>
    <x v="0"/>
    <x v="1"/>
    <x v="0"/>
    <x v="22"/>
    <n v="115"/>
    <n v="144370"/>
  </r>
  <r>
    <x v="0"/>
    <x v="1"/>
    <x v="0"/>
    <x v="23"/>
    <n v="189"/>
    <n v="173020"/>
  </r>
  <r>
    <x v="0"/>
    <x v="1"/>
    <x v="0"/>
    <x v="24"/>
    <n v="105"/>
    <n v="113590"/>
  </r>
  <r>
    <x v="0"/>
    <x v="1"/>
    <x v="0"/>
    <x v="25"/>
    <n v="11"/>
    <n v="22800"/>
  </r>
  <r>
    <x v="0"/>
    <x v="1"/>
    <x v="0"/>
    <x v="26"/>
    <n v="84"/>
    <n v="112490"/>
  </r>
  <r>
    <x v="0"/>
    <x v="1"/>
    <x v="0"/>
    <x v="27"/>
    <n v="270"/>
    <n v="312180"/>
  </r>
  <r>
    <x v="0"/>
    <x v="1"/>
    <x v="0"/>
    <x v="28"/>
    <n v="83"/>
    <n v="88690"/>
  </r>
  <r>
    <x v="0"/>
    <x v="1"/>
    <x v="0"/>
    <x v="29"/>
    <n v="127"/>
    <n v="91080"/>
  </r>
  <r>
    <x v="0"/>
    <x v="1"/>
    <x v="0"/>
    <x v="30"/>
    <n v="174"/>
    <n v="173040"/>
  </r>
  <r>
    <x v="0"/>
    <x v="1"/>
    <x v="1"/>
    <x v="0"/>
    <n v="51"/>
    <n v="217020"/>
  </r>
  <r>
    <x v="0"/>
    <x v="1"/>
    <x v="1"/>
    <x v="1"/>
    <n v="13"/>
    <n v="249020"/>
  </r>
  <r>
    <x v="0"/>
    <x v="1"/>
    <x v="1"/>
    <x v="2"/>
    <n v="6"/>
    <n v="114830"/>
  </r>
  <r>
    <x v="0"/>
    <x v="1"/>
    <x v="1"/>
    <x v="3"/>
    <n v="6"/>
    <n v="89450"/>
  </r>
  <r>
    <x v="0"/>
    <x v="1"/>
    <x v="1"/>
    <x v="4"/>
    <n v="208"/>
    <n v="463230"/>
  </r>
  <r>
    <x v="0"/>
    <x v="1"/>
    <x v="1"/>
    <x v="5"/>
    <n v="5"/>
    <n v="51290"/>
  </r>
  <r>
    <x v="0"/>
    <x v="1"/>
    <x v="1"/>
    <x v="6"/>
    <n v="9"/>
    <n v="151160"/>
  </r>
  <r>
    <x v="0"/>
    <x v="1"/>
    <x v="1"/>
    <x v="7"/>
    <n v="49"/>
    <n v="145170"/>
  </r>
  <r>
    <x v="0"/>
    <x v="1"/>
    <x v="1"/>
    <x v="8"/>
    <n v="22"/>
    <n v="122110"/>
  </r>
  <r>
    <x v="0"/>
    <x v="1"/>
    <x v="1"/>
    <x v="9"/>
    <n v="18"/>
    <n v="104960"/>
  </r>
  <r>
    <x v="0"/>
    <x v="1"/>
    <x v="1"/>
    <x v="10"/>
    <n v="12"/>
    <n v="98340"/>
  </r>
  <r>
    <x v="0"/>
    <x v="1"/>
    <x v="1"/>
    <x v="31"/>
    <n v="6"/>
    <n v="89980"/>
  </r>
  <r>
    <x v="0"/>
    <x v="1"/>
    <x v="1"/>
    <x v="11"/>
    <n v="17"/>
    <n v="154210"/>
  </r>
  <r>
    <x v="0"/>
    <x v="1"/>
    <x v="1"/>
    <x v="12"/>
    <n v="54"/>
    <n v="361420"/>
  </r>
  <r>
    <x v="0"/>
    <x v="1"/>
    <x v="1"/>
    <x v="13"/>
    <n v="280"/>
    <n v="581620"/>
  </r>
  <r>
    <x v="0"/>
    <x v="1"/>
    <x v="1"/>
    <x v="14"/>
    <n v="4"/>
    <n v="228750"/>
  </r>
  <r>
    <x v="0"/>
    <x v="1"/>
    <x v="1"/>
    <x v="15"/>
    <n v="56"/>
    <n v="81670"/>
  </r>
  <r>
    <x v="0"/>
    <x v="1"/>
    <x v="1"/>
    <x v="16"/>
    <n v="12"/>
    <n v="81900"/>
  </r>
  <r>
    <x v="0"/>
    <x v="1"/>
    <x v="1"/>
    <x v="17"/>
    <n v="8"/>
    <n v="93160"/>
  </r>
  <r>
    <x v="0"/>
    <x v="1"/>
    <x v="1"/>
    <x v="18"/>
    <n v="2"/>
    <n v="27420"/>
  </r>
  <r>
    <x v="0"/>
    <x v="1"/>
    <x v="1"/>
    <x v="19"/>
    <n v="23"/>
    <n v="137830"/>
  </r>
  <r>
    <x v="0"/>
    <x v="1"/>
    <x v="1"/>
    <x v="20"/>
    <n v="95"/>
    <n v="335160"/>
  </r>
  <r>
    <x v="0"/>
    <x v="1"/>
    <x v="1"/>
    <x v="21"/>
    <n v="1"/>
    <n v="20940"/>
  </r>
  <r>
    <x v="0"/>
    <x v="1"/>
    <x v="1"/>
    <x v="22"/>
    <n v="7"/>
    <n v="144370"/>
  </r>
  <r>
    <x v="0"/>
    <x v="1"/>
    <x v="1"/>
    <x v="23"/>
    <n v="48"/>
    <n v="173020"/>
  </r>
  <r>
    <x v="0"/>
    <x v="1"/>
    <x v="1"/>
    <x v="24"/>
    <n v="6"/>
    <n v="113590"/>
  </r>
  <r>
    <x v="0"/>
    <x v="1"/>
    <x v="1"/>
    <x v="26"/>
    <n v="15"/>
    <n v="112490"/>
  </r>
  <r>
    <x v="0"/>
    <x v="1"/>
    <x v="1"/>
    <x v="27"/>
    <n v="56"/>
    <n v="312180"/>
  </r>
  <r>
    <x v="0"/>
    <x v="1"/>
    <x v="1"/>
    <x v="28"/>
    <n v="11"/>
    <n v="88690"/>
  </r>
  <r>
    <x v="0"/>
    <x v="1"/>
    <x v="1"/>
    <x v="29"/>
    <n v="45"/>
    <n v="91080"/>
  </r>
  <r>
    <x v="0"/>
    <x v="1"/>
    <x v="1"/>
    <x v="30"/>
    <n v="48"/>
    <n v="173040"/>
  </r>
  <r>
    <x v="0"/>
    <x v="2"/>
    <x v="0"/>
    <x v="0"/>
    <n v="114"/>
    <n v="217020"/>
  </r>
  <r>
    <x v="0"/>
    <x v="2"/>
    <x v="0"/>
    <x v="1"/>
    <n v="77"/>
    <n v="249020"/>
  </r>
  <r>
    <x v="0"/>
    <x v="2"/>
    <x v="0"/>
    <x v="2"/>
    <n v="34"/>
    <n v="114830"/>
  </r>
  <r>
    <x v="0"/>
    <x v="2"/>
    <x v="0"/>
    <x v="3"/>
    <n v="38"/>
    <n v="89450"/>
  </r>
  <r>
    <x v="0"/>
    <x v="2"/>
    <x v="0"/>
    <x v="4"/>
    <n v="241"/>
    <n v="463230"/>
  </r>
  <r>
    <x v="0"/>
    <x v="2"/>
    <x v="0"/>
    <x v="5"/>
    <n v="16"/>
    <n v="51290"/>
  </r>
  <r>
    <x v="0"/>
    <x v="2"/>
    <x v="0"/>
    <x v="6"/>
    <n v="50"/>
    <n v="151160"/>
  </r>
  <r>
    <x v="0"/>
    <x v="2"/>
    <x v="0"/>
    <x v="7"/>
    <n v="95"/>
    <n v="145170"/>
  </r>
  <r>
    <x v="0"/>
    <x v="2"/>
    <x v="0"/>
    <x v="8"/>
    <n v="34"/>
    <n v="122110"/>
  </r>
  <r>
    <x v="0"/>
    <x v="2"/>
    <x v="0"/>
    <x v="9"/>
    <n v="21"/>
    <n v="104960"/>
  </r>
  <r>
    <x v="0"/>
    <x v="2"/>
    <x v="0"/>
    <x v="10"/>
    <n v="36"/>
    <n v="98340"/>
  </r>
  <r>
    <x v="0"/>
    <x v="2"/>
    <x v="0"/>
    <x v="31"/>
    <n v="21"/>
    <n v="89980"/>
  </r>
  <r>
    <x v="0"/>
    <x v="2"/>
    <x v="0"/>
    <x v="11"/>
    <n v="40"/>
    <n v="154210"/>
  </r>
  <r>
    <x v="0"/>
    <x v="2"/>
    <x v="0"/>
    <x v="12"/>
    <n v="110"/>
    <n v="361420"/>
  </r>
  <r>
    <x v="0"/>
    <x v="2"/>
    <x v="0"/>
    <x v="13"/>
    <n v="360"/>
    <n v="581620"/>
  </r>
  <r>
    <x v="0"/>
    <x v="2"/>
    <x v="0"/>
    <x v="14"/>
    <n v="69"/>
    <n v="228750"/>
  </r>
  <r>
    <x v="0"/>
    <x v="2"/>
    <x v="0"/>
    <x v="15"/>
    <n v="31"/>
    <n v="81670"/>
  </r>
  <r>
    <x v="0"/>
    <x v="2"/>
    <x v="0"/>
    <x v="16"/>
    <n v="27"/>
    <n v="81900"/>
  </r>
  <r>
    <x v="0"/>
    <x v="2"/>
    <x v="0"/>
    <x v="17"/>
    <n v="32"/>
    <n v="93160"/>
  </r>
  <r>
    <x v="0"/>
    <x v="2"/>
    <x v="0"/>
    <x v="18"/>
    <n v="8"/>
    <n v="27420"/>
  </r>
  <r>
    <x v="0"/>
    <x v="2"/>
    <x v="0"/>
    <x v="19"/>
    <n v="42"/>
    <n v="137830"/>
  </r>
  <r>
    <x v="0"/>
    <x v="2"/>
    <x v="0"/>
    <x v="20"/>
    <n v="83"/>
    <n v="335160"/>
  </r>
  <r>
    <x v="0"/>
    <x v="2"/>
    <x v="0"/>
    <x v="21"/>
    <n v="5"/>
    <n v="20940"/>
  </r>
  <r>
    <x v="0"/>
    <x v="2"/>
    <x v="0"/>
    <x v="22"/>
    <n v="66"/>
    <n v="144370"/>
  </r>
  <r>
    <x v="0"/>
    <x v="2"/>
    <x v="0"/>
    <x v="23"/>
    <n v="90"/>
    <n v="173020"/>
  </r>
  <r>
    <x v="0"/>
    <x v="2"/>
    <x v="0"/>
    <x v="24"/>
    <n v="38"/>
    <n v="113590"/>
  </r>
  <r>
    <x v="0"/>
    <x v="2"/>
    <x v="0"/>
    <x v="25"/>
    <n v="10"/>
    <n v="22800"/>
  </r>
  <r>
    <x v="0"/>
    <x v="2"/>
    <x v="0"/>
    <x v="26"/>
    <n v="38"/>
    <n v="112490"/>
  </r>
  <r>
    <x v="0"/>
    <x v="2"/>
    <x v="0"/>
    <x v="27"/>
    <n v="86"/>
    <n v="312180"/>
  </r>
  <r>
    <x v="0"/>
    <x v="2"/>
    <x v="0"/>
    <x v="28"/>
    <n v="36"/>
    <n v="88690"/>
  </r>
  <r>
    <x v="0"/>
    <x v="2"/>
    <x v="0"/>
    <x v="29"/>
    <n v="24"/>
    <n v="91080"/>
  </r>
  <r>
    <x v="0"/>
    <x v="2"/>
    <x v="0"/>
    <x v="30"/>
    <n v="59"/>
    <n v="173040"/>
  </r>
  <r>
    <x v="0"/>
    <x v="2"/>
    <x v="1"/>
    <x v="0"/>
    <n v="32"/>
    <n v="217020"/>
  </r>
  <r>
    <x v="0"/>
    <x v="2"/>
    <x v="1"/>
    <x v="1"/>
    <n v="12"/>
    <n v="249020"/>
  </r>
  <r>
    <x v="0"/>
    <x v="2"/>
    <x v="1"/>
    <x v="2"/>
    <n v="9"/>
    <n v="114830"/>
  </r>
  <r>
    <x v="0"/>
    <x v="2"/>
    <x v="1"/>
    <x v="3"/>
    <n v="12"/>
    <n v="89450"/>
  </r>
  <r>
    <x v="0"/>
    <x v="2"/>
    <x v="1"/>
    <x v="4"/>
    <n v="99"/>
    <n v="463230"/>
  </r>
  <r>
    <x v="0"/>
    <x v="2"/>
    <x v="1"/>
    <x v="5"/>
    <n v="8"/>
    <n v="51290"/>
  </r>
  <r>
    <x v="0"/>
    <x v="2"/>
    <x v="1"/>
    <x v="6"/>
    <n v="17"/>
    <n v="151160"/>
  </r>
  <r>
    <x v="0"/>
    <x v="2"/>
    <x v="1"/>
    <x v="7"/>
    <n v="12"/>
    <n v="145170"/>
  </r>
  <r>
    <x v="0"/>
    <x v="2"/>
    <x v="1"/>
    <x v="8"/>
    <n v="32"/>
    <n v="122110"/>
  </r>
  <r>
    <x v="0"/>
    <x v="2"/>
    <x v="1"/>
    <x v="9"/>
    <n v="19"/>
    <n v="104960"/>
  </r>
  <r>
    <x v="0"/>
    <x v="2"/>
    <x v="1"/>
    <x v="10"/>
    <n v="14"/>
    <n v="98340"/>
  </r>
  <r>
    <x v="0"/>
    <x v="2"/>
    <x v="1"/>
    <x v="31"/>
    <n v="15"/>
    <n v="89980"/>
  </r>
  <r>
    <x v="0"/>
    <x v="2"/>
    <x v="1"/>
    <x v="11"/>
    <n v="17"/>
    <n v="154210"/>
  </r>
  <r>
    <x v="0"/>
    <x v="2"/>
    <x v="1"/>
    <x v="12"/>
    <n v="43"/>
    <n v="361420"/>
  </r>
  <r>
    <x v="0"/>
    <x v="2"/>
    <x v="1"/>
    <x v="13"/>
    <n v="156"/>
    <n v="581620"/>
  </r>
  <r>
    <x v="0"/>
    <x v="2"/>
    <x v="1"/>
    <x v="14"/>
    <n v="12"/>
    <n v="228750"/>
  </r>
  <r>
    <x v="0"/>
    <x v="2"/>
    <x v="1"/>
    <x v="15"/>
    <n v="20"/>
    <n v="81670"/>
  </r>
  <r>
    <x v="0"/>
    <x v="2"/>
    <x v="1"/>
    <x v="16"/>
    <n v="20"/>
    <n v="81900"/>
  </r>
  <r>
    <x v="0"/>
    <x v="2"/>
    <x v="1"/>
    <x v="17"/>
    <n v="7"/>
    <n v="93160"/>
  </r>
  <r>
    <x v="0"/>
    <x v="2"/>
    <x v="1"/>
    <x v="19"/>
    <n v="32"/>
    <n v="137830"/>
  </r>
  <r>
    <x v="0"/>
    <x v="2"/>
    <x v="1"/>
    <x v="20"/>
    <n v="106"/>
    <n v="335160"/>
  </r>
  <r>
    <x v="0"/>
    <x v="2"/>
    <x v="1"/>
    <x v="22"/>
    <n v="18"/>
    <n v="144370"/>
  </r>
  <r>
    <x v="0"/>
    <x v="2"/>
    <x v="1"/>
    <x v="23"/>
    <n v="55"/>
    <n v="173020"/>
  </r>
  <r>
    <x v="0"/>
    <x v="2"/>
    <x v="1"/>
    <x v="24"/>
    <n v="8"/>
    <n v="113590"/>
  </r>
  <r>
    <x v="0"/>
    <x v="2"/>
    <x v="1"/>
    <x v="26"/>
    <n v="21"/>
    <n v="112490"/>
  </r>
  <r>
    <x v="0"/>
    <x v="2"/>
    <x v="1"/>
    <x v="27"/>
    <n v="84"/>
    <n v="312180"/>
  </r>
  <r>
    <x v="0"/>
    <x v="2"/>
    <x v="1"/>
    <x v="28"/>
    <n v="10"/>
    <n v="88690"/>
  </r>
  <r>
    <x v="0"/>
    <x v="2"/>
    <x v="1"/>
    <x v="29"/>
    <n v="27"/>
    <n v="91080"/>
  </r>
  <r>
    <x v="0"/>
    <x v="2"/>
    <x v="1"/>
    <x v="30"/>
    <n v="56"/>
    <n v="173040"/>
  </r>
  <r>
    <x v="0"/>
    <x v="3"/>
    <x v="0"/>
    <x v="0"/>
    <n v="45"/>
    <n v="217020"/>
  </r>
  <r>
    <x v="0"/>
    <x v="3"/>
    <x v="0"/>
    <x v="1"/>
    <n v="83"/>
    <n v="249020"/>
  </r>
  <r>
    <x v="0"/>
    <x v="3"/>
    <x v="0"/>
    <x v="2"/>
    <n v="33"/>
    <n v="114830"/>
  </r>
  <r>
    <x v="0"/>
    <x v="3"/>
    <x v="0"/>
    <x v="3"/>
    <n v="25"/>
    <n v="89450"/>
  </r>
  <r>
    <x v="0"/>
    <x v="3"/>
    <x v="0"/>
    <x v="4"/>
    <n v="94"/>
    <n v="463230"/>
  </r>
  <r>
    <x v="0"/>
    <x v="3"/>
    <x v="0"/>
    <x v="5"/>
    <n v="16"/>
    <n v="51290"/>
  </r>
  <r>
    <x v="0"/>
    <x v="3"/>
    <x v="0"/>
    <x v="6"/>
    <n v="71"/>
    <n v="151160"/>
  </r>
  <r>
    <x v="0"/>
    <x v="3"/>
    <x v="0"/>
    <x v="7"/>
    <n v="25"/>
    <n v="145170"/>
  </r>
  <r>
    <x v="0"/>
    <x v="3"/>
    <x v="0"/>
    <x v="8"/>
    <n v="31"/>
    <n v="122110"/>
  </r>
  <r>
    <x v="0"/>
    <x v="3"/>
    <x v="0"/>
    <x v="9"/>
    <n v="18"/>
    <n v="104960"/>
  </r>
  <r>
    <x v="0"/>
    <x v="3"/>
    <x v="0"/>
    <x v="10"/>
    <n v="31"/>
    <n v="98340"/>
  </r>
  <r>
    <x v="0"/>
    <x v="3"/>
    <x v="0"/>
    <x v="31"/>
    <n v="18"/>
    <n v="89980"/>
  </r>
  <r>
    <x v="0"/>
    <x v="3"/>
    <x v="0"/>
    <x v="11"/>
    <n v="40"/>
    <n v="154210"/>
  </r>
  <r>
    <x v="0"/>
    <x v="3"/>
    <x v="0"/>
    <x v="12"/>
    <n v="97"/>
    <n v="361420"/>
  </r>
  <r>
    <x v="0"/>
    <x v="3"/>
    <x v="0"/>
    <x v="13"/>
    <n v="159"/>
    <n v="581620"/>
  </r>
  <r>
    <x v="0"/>
    <x v="3"/>
    <x v="0"/>
    <x v="14"/>
    <n v="68"/>
    <n v="228750"/>
  </r>
  <r>
    <x v="0"/>
    <x v="3"/>
    <x v="0"/>
    <x v="15"/>
    <n v="26"/>
    <n v="81670"/>
  </r>
  <r>
    <x v="0"/>
    <x v="3"/>
    <x v="0"/>
    <x v="16"/>
    <n v="25"/>
    <n v="81900"/>
  </r>
  <r>
    <x v="0"/>
    <x v="3"/>
    <x v="0"/>
    <x v="17"/>
    <n v="26"/>
    <n v="93160"/>
  </r>
  <r>
    <x v="0"/>
    <x v="3"/>
    <x v="0"/>
    <x v="18"/>
    <n v="2"/>
    <n v="27420"/>
  </r>
  <r>
    <x v="0"/>
    <x v="3"/>
    <x v="0"/>
    <x v="19"/>
    <n v="43"/>
    <n v="137830"/>
  </r>
  <r>
    <x v="0"/>
    <x v="3"/>
    <x v="0"/>
    <x v="20"/>
    <n v="118"/>
    <n v="335160"/>
  </r>
  <r>
    <x v="0"/>
    <x v="3"/>
    <x v="0"/>
    <x v="21"/>
    <n v="4"/>
    <n v="20940"/>
  </r>
  <r>
    <x v="0"/>
    <x v="3"/>
    <x v="0"/>
    <x v="22"/>
    <n v="54"/>
    <n v="144370"/>
  </r>
  <r>
    <x v="0"/>
    <x v="3"/>
    <x v="0"/>
    <x v="23"/>
    <n v="43"/>
    <n v="173020"/>
  </r>
  <r>
    <x v="0"/>
    <x v="3"/>
    <x v="0"/>
    <x v="24"/>
    <n v="40"/>
    <n v="113590"/>
  </r>
  <r>
    <x v="0"/>
    <x v="3"/>
    <x v="0"/>
    <x v="25"/>
    <n v="6"/>
    <n v="22800"/>
  </r>
  <r>
    <x v="0"/>
    <x v="3"/>
    <x v="0"/>
    <x v="26"/>
    <n v="22"/>
    <n v="112490"/>
  </r>
  <r>
    <x v="0"/>
    <x v="3"/>
    <x v="0"/>
    <x v="27"/>
    <n v="113"/>
    <n v="312180"/>
  </r>
  <r>
    <x v="0"/>
    <x v="3"/>
    <x v="0"/>
    <x v="28"/>
    <n v="33"/>
    <n v="88690"/>
  </r>
  <r>
    <x v="0"/>
    <x v="3"/>
    <x v="0"/>
    <x v="29"/>
    <n v="33"/>
    <n v="91080"/>
  </r>
  <r>
    <x v="0"/>
    <x v="3"/>
    <x v="0"/>
    <x v="30"/>
    <n v="65"/>
    <n v="173040"/>
  </r>
  <r>
    <x v="0"/>
    <x v="3"/>
    <x v="1"/>
    <x v="0"/>
    <n v="92"/>
    <n v="217020"/>
  </r>
  <r>
    <x v="0"/>
    <x v="3"/>
    <x v="1"/>
    <x v="1"/>
    <n v="17"/>
    <n v="249020"/>
  </r>
  <r>
    <x v="0"/>
    <x v="3"/>
    <x v="1"/>
    <x v="2"/>
    <n v="6"/>
    <n v="114830"/>
  </r>
  <r>
    <x v="0"/>
    <x v="3"/>
    <x v="1"/>
    <x v="3"/>
    <n v="13"/>
    <n v="89450"/>
  </r>
  <r>
    <x v="0"/>
    <x v="3"/>
    <x v="1"/>
    <x v="4"/>
    <n v="162"/>
    <n v="463230"/>
  </r>
  <r>
    <x v="0"/>
    <x v="3"/>
    <x v="1"/>
    <x v="5"/>
    <n v="5"/>
    <n v="51290"/>
  </r>
  <r>
    <x v="0"/>
    <x v="3"/>
    <x v="1"/>
    <x v="6"/>
    <n v="17"/>
    <n v="151160"/>
  </r>
  <r>
    <x v="0"/>
    <x v="3"/>
    <x v="1"/>
    <x v="7"/>
    <n v="27"/>
    <n v="145170"/>
  </r>
  <r>
    <x v="0"/>
    <x v="3"/>
    <x v="1"/>
    <x v="8"/>
    <n v="33"/>
    <n v="122110"/>
  </r>
  <r>
    <x v="0"/>
    <x v="3"/>
    <x v="1"/>
    <x v="9"/>
    <n v="34"/>
    <n v="104960"/>
  </r>
  <r>
    <x v="0"/>
    <x v="3"/>
    <x v="1"/>
    <x v="10"/>
    <n v="24"/>
    <n v="98340"/>
  </r>
  <r>
    <x v="0"/>
    <x v="3"/>
    <x v="1"/>
    <x v="31"/>
    <n v="22"/>
    <n v="89980"/>
  </r>
  <r>
    <x v="0"/>
    <x v="3"/>
    <x v="1"/>
    <x v="11"/>
    <n v="25"/>
    <n v="154210"/>
  </r>
  <r>
    <x v="0"/>
    <x v="3"/>
    <x v="1"/>
    <x v="12"/>
    <n v="50"/>
    <n v="361420"/>
  </r>
  <r>
    <x v="0"/>
    <x v="3"/>
    <x v="1"/>
    <x v="13"/>
    <n v="298"/>
    <n v="581620"/>
  </r>
  <r>
    <x v="0"/>
    <x v="3"/>
    <x v="1"/>
    <x v="14"/>
    <n v="14"/>
    <n v="228750"/>
  </r>
  <r>
    <x v="0"/>
    <x v="3"/>
    <x v="1"/>
    <x v="15"/>
    <n v="53"/>
    <n v="81670"/>
  </r>
  <r>
    <x v="0"/>
    <x v="3"/>
    <x v="1"/>
    <x v="16"/>
    <n v="20"/>
    <n v="81900"/>
  </r>
  <r>
    <x v="0"/>
    <x v="3"/>
    <x v="1"/>
    <x v="17"/>
    <n v="9"/>
    <n v="93160"/>
  </r>
  <r>
    <x v="0"/>
    <x v="3"/>
    <x v="1"/>
    <x v="18"/>
    <n v="1"/>
    <n v="27420"/>
  </r>
  <r>
    <x v="0"/>
    <x v="3"/>
    <x v="1"/>
    <x v="19"/>
    <n v="33"/>
    <n v="137830"/>
  </r>
  <r>
    <x v="0"/>
    <x v="3"/>
    <x v="1"/>
    <x v="20"/>
    <n v="192"/>
    <n v="335160"/>
  </r>
  <r>
    <x v="0"/>
    <x v="3"/>
    <x v="1"/>
    <x v="22"/>
    <n v="5"/>
    <n v="144370"/>
  </r>
  <r>
    <x v="0"/>
    <x v="3"/>
    <x v="1"/>
    <x v="23"/>
    <n v="59"/>
    <n v="173020"/>
  </r>
  <r>
    <x v="0"/>
    <x v="3"/>
    <x v="1"/>
    <x v="24"/>
    <n v="8"/>
    <n v="113590"/>
  </r>
  <r>
    <x v="0"/>
    <x v="3"/>
    <x v="1"/>
    <x v="26"/>
    <n v="14"/>
    <n v="112490"/>
  </r>
  <r>
    <x v="0"/>
    <x v="3"/>
    <x v="1"/>
    <x v="27"/>
    <n v="87"/>
    <n v="312180"/>
  </r>
  <r>
    <x v="0"/>
    <x v="3"/>
    <x v="1"/>
    <x v="28"/>
    <n v="15"/>
    <n v="88690"/>
  </r>
  <r>
    <x v="0"/>
    <x v="3"/>
    <x v="1"/>
    <x v="29"/>
    <n v="60"/>
    <n v="91080"/>
  </r>
  <r>
    <x v="0"/>
    <x v="3"/>
    <x v="1"/>
    <x v="30"/>
    <n v="83"/>
    <n v="173040"/>
  </r>
  <r>
    <x v="0"/>
    <x v="4"/>
    <x v="0"/>
    <x v="0"/>
    <n v="6"/>
    <n v="217020"/>
  </r>
  <r>
    <x v="0"/>
    <x v="4"/>
    <x v="0"/>
    <x v="1"/>
    <n v="36"/>
    <n v="249020"/>
  </r>
  <r>
    <x v="0"/>
    <x v="4"/>
    <x v="0"/>
    <x v="2"/>
    <n v="3"/>
    <n v="114830"/>
  </r>
  <r>
    <x v="0"/>
    <x v="4"/>
    <x v="0"/>
    <x v="3"/>
    <n v="9"/>
    <n v="89450"/>
  </r>
  <r>
    <x v="0"/>
    <x v="4"/>
    <x v="0"/>
    <x v="4"/>
    <n v="27"/>
    <n v="463230"/>
  </r>
  <r>
    <x v="0"/>
    <x v="4"/>
    <x v="0"/>
    <x v="5"/>
    <n v="6"/>
    <n v="51290"/>
  </r>
  <r>
    <x v="0"/>
    <x v="4"/>
    <x v="0"/>
    <x v="6"/>
    <n v="9"/>
    <n v="151160"/>
  </r>
  <r>
    <x v="0"/>
    <x v="4"/>
    <x v="0"/>
    <x v="7"/>
    <n v="7"/>
    <n v="145170"/>
  </r>
  <r>
    <x v="0"/>
    <x v="4"/>
    <x v="0"/>
    <x v="8"/>
    <n v="10"/>
    <n v="122110"/>
  </r>
  <r>
    <x v="0"/>
    <x v="4"/>
    <x v="0"/>
    <x v="9"/>
    <n v="8"/>
    <n v="104960"/>
  </r>
  <r>
    <x v="0"/>
    <x v="4"/>
    <x v="0"/>
    <x v="10"/>
    <n v="5"/>
    <n v="98340"/>
  </r>
  <r>
    <x v="0"/>
    <x v="4"/>
    <x v="0"/>
    <x v="31"/>
    <n v="9"/>
    <n v="89980"/>
  </r>
  <r>
    <x v="0"/>
    <x v="4"/>
    <x v="0"/>
    <x v="11"/>
    <n v="8"/>
    <n v="154210"/>
  </r>
  <r>
    <x v="0"/>
    <x v="4"/>
    <x v="0"/>
    <x v="12"/>
    <n v="19"/>
    <n v="361420"/>
  </r>
  <r>
    <x v="0"/>
    <x v="4"/>
    <x v="0"/>
    <x v="13"/>
    <n v="50"/>
    <n v="581620"/>
  </r>
  <r>
    <x v="0"/>
    <x v="4"/>
    <x v="0"/>
    <x v="14"/>
    <n v="27"/>
    <n v="228750"/>
  </r>
  <r>
    <x v="0"/>
    <x v="4"/>
    <x v="0"/>
    <x v="15"/>
    <n v="7"/>
    <n v="81670"/>
  </r>
  <r>
    <x v="0"/>
    <x v="4"/>
    <x v="0"/>
    <x v="16"/>
    <n v="4"/>
    <n v="81900"/>
  </r>
  <r>
    <x v="0"/>
    <x v="4"/>
    <x v="0"/>
    <x v="17"/>
    <n v="14"/>
    <n v="93160"/>
  </r>
  <r>
    <x v="0"/>
    <x v="4"/>
    <x v="0"/>
    <x v="18"/>
    <n v="4"/>
    <n v="27420"/>
  </r>
  <r>
    <x v="0"/>
    <x v="4"/>
    <x v="0"/>
    <x v="19"/>
    <n v="17"/>
    <n v="137830"/>
  </r>
  <r>
    <x v="0"/>
    <x v="4"/>
    <x v="0"/>
    <x v="20"/>
    <n v="53"/>
    <n v="335160"/>
  </r>
  <r>
    <x v="0"/>
    <x v="4"/>
    <x v="0"/>
    <x v="21"/>
    <n v="1"/>
    <n v="20940"/>
  </r>
  <r>
    <x v="0"/>
    <x v="4"/>
    <x v="0"/>
    <x v="22"/>
    <n v="11"/>
    <n v="144370"/>
  </r>
  <r>
    <x v="0"/>
    <x v="4"/>
    <x v="0"/>
    <x v="23"/>
    <n v="16"/>
    <n v="173020"/>
  </r>
  <r>
    <x v="0"/>
    <x v="4"/>
    <x v="0"/>
    <x v="24"/>
    <n v="10"/>
    <n v="113590"/>
  </r>
  <r>
    <x v="0"/>
    <x v="4"/>
    <x v="0"/>
    <x v="25"/>
    <n v="4"/>
    <n v="22800"/>
  </r>
  <r>
    <x v="0"/>
    <x v="4"/>
    <x v="0"/>
    <x v="26"/>
    <n v="7"/>
    <n v="112490"/>
  </r>
  <r>
    <x v="0"/>
    <x v="4"/>
    <x v="0"/>
    <x v="27"/>
    <n v="60"/>
    <n v="312180"/>
  </r>
  <r>
    <x v="0"/>
    <x v="4"/>
    <x v="0"/>
    <x v="28"/>
    <n v="5"/>
    <n v="88690"/>
  </r>
  <r>
    <x v="0"/>
    <x v="4"/>
    <x v="0"/>
    <x v="29"/>
    <n v="9"/>
    <n v="91080"/>
  </r>
  <r>
    <x v="0"/>
    <x v="4"/>
    <x v="0"/>
    <x v="30"/>
    <n v="11"/>
    <n v="173040"/>
  </r>
  <r>
    <x v="0"/>
    <x v="4"/>
    <x v="1"/>
    <x v="0"/>
    <n v="23"/>
    <n v="217020"/>
  </r>
  <r>
    <x v="0"/>
    <x v="4"/>
    <x v="1"/>
    <x v="1"/>
    <n v="22"/>
    <n v="249020"/>
  </r>
  <r>
    <x v="0"/>
    <x v="4"/>
    <x v="1"/>
    <x v="2"/>
    <n v="4"/>
    <n v="114830"/>
  </r>
  <r>
    <x v="0"/>
    <x v="4"/>
    <x v="1"/>
    <x v="3"/>
    <n v="4"/>
    <n v="89450"/>
  </r>
  <r>
    <x v="0"/>
    <x v="4"/>
    <x v="1"/>
    <x v="4"/>
    <n v="154"/>
    <n v="463230"/>
  </r>
  <r>
    <x v="0"/>
    <x v="4"/>
    <x v="1"/>
    <x v="5"/>
    <n v="24"/>
    <n v="51290"/>
  </r>
  <r>
    <x v="0"/>
    <x v="4"/>
    <x v="1"/>
    <x v="6"/>
    <n v="10"/>
    <n v="151160"/>
  </r>
  <r>
    <x v="0"/>
    <x v="4"/>
    <x v="1"/>
    <x v="7"/>
    <n v="14"/>
    <n v="145170"/>
  </r>
  <r>
    <x v="0"/>
    <x v="4"/>
    <x v="1"/>
    <x v="8"/>
    <n v="31"/>
    <n v="122110"/>
  </r>
  <r>
    <x v="0"/>
    <x v="4"/>
    <x v="1"/>
    <x v="9"/>
    <n v="11"/>
    <n v="104960"/>
  </r>
  <r>
    <x v="0"/>
    <x v="4"/>
    <x v="1"/>
    <x v="10"/>
    <n v="36"/>
    <n v="98340"/>
  </r>
  <r>
    <x v="0"/>
    <x v="4"/>
    <x v="1"/>
    <x v="31"/>
    <n v="21"/>
    <n v="89980"/>
  </r>
  <r>
    <x v="0"/>
    <x v="4"/>
    <x v="1"/>
    <x v="11"/>
    <n v="14"/>
    <n v="154210"/>
  </r>
  <r>
    <x v="0"/>
    <x v="4"/>
    <x v="1"/>
    <x v="12"/>
    <n v="41"/>
    <n v="361420"/>
  </r>
  <r>
    <x v="0"/>
    <x v="4"/>
    <x v="1"/>
    <x v="13"/>
    <n v="112"/>
    <n v="581620"/>
  </r>
  <r>
    <x v="0"/>
    <x v="4"/>
    <x v="1"/>
    <x v="14"/>
    <n v="22"/>
    <n v="228750"/>
  </r>
  <r>
    <x v="0"/>
    <x v="4"/>
    <x v="1"/>
    <x v="15"/>
    <n v="21"/>
    <n v="81670"/>
  </r>
  <r>
    <x v="0"/>
    <x v="4"/>
    <x v="1"/>
    <x v="16"/>
    <n v="29"/>
    <n v="81900"/>
  </r>
  <r>
    <x v="0"/>
    <x v="4"/>
    <x v="1"/>
    <x v="17"/>
    <n v="7"/>
    <n v="93160"/>
  </r>
  <r>
    <x v="0"/>
    <x v="4"/>
    <x v="1"/>
    <x v="19"/>
    <n v="29"/>
    <n v="137830"/>
  </r>
  <r>
    <x v="0"/>
    <x v="4"/>
    <x v="1"/>
    <x v="20"/>
    <n v="86"/>
    <n v="335160"/>
  </r>
  <r>
    <x v="0"/>
    <x v="4"/>
    <x v="1"/>
    <x v="22"/>
    <n v="8"/>
    <n v="144370"/>
  </r>
  <r>
    <x v="0"/>
    <x v="4"/>
    <x v="1"/>
    <x v="23"/>
    <n v="35"/>
    <n v="173020"/>
  </r>
  <r>
    <x v="0"/>
    <x v="4"/>
    <x v="1"/>
    <x v="24"/>
    <n v="20"/>
    <n v="113590"/>
  </r>
  <r>
    <x v="0"/>
    <x v="4"/>
    <x v="1"/>
    <x v="25"/>
    <n v="2"/>
    <n v="22800"/>
  </r>
  <r>
    <x v="0"/>
    <x v="4"/>
    <x v="1"/>
    <x v="26"/>
    <n v="10"/>
    <n v="112490"/>
  </r>
  <r>
    <x v="0"/>
    <x v="4"/>
    <x v="1"/>
    <x v="27"/>
    <n v="70"/>
    <n v="312180"/>
  </r>
  <r>
    <x v="0"/>
    <x v="4"/>
    <x v="1"/>
    <x v="28"/>
    <n v="6"/>
    <n v="88690"/>
  </r>
  <r>
    <x v="0"/>
    <x v="4"/>
    <x v="1"/>
    <x v="29"/>
    <n v="31"/>
    <n v="91080"/>
  </r>
  <r>
    <x v="0"/>
    <x v="4"/>
    <x v="1"/>
    <x v="30"/>
    <n v="74"/>
    <n v="173040"/>
  </r>
  <r>
    <x v="0"/>
    <x v="5"/>
    <x v="0"/>
    <x v="0"/>
    <n v="96"/>
    <n v="217020"/>
  </r>
  <r>
    <x v="0"/>
    <x v="5"/>
    <x v="0"/>
    <x v="1"/>
    <n v="113"/>
    <n v="249020"/>
  </r>
  <r>
    <x v="0"/>
    <x v="5"/>
    <x v="0"/>
    <x v="2"/>
    <n v="45"/>
    <n v="114830"/>
  </r>
  <r>
    <x v="0"/>
    <x v="5"/>
    <x v="0"/>
    <x v="3"/>
    <n v="81"/>
    <n v="89450"/>
  </r>
  <r>
    <x v="0"/>
    <x v="5"/>
    <x v="0"/>
    <x v="4"/>
    <n v="312"/>
    <n v="463230"/>
  </r>
  <r>
    <x v="0"/>
    <x v="5"/>
    <x v="0"/>
    <x v="5"/>
    <n v="30"/>
    <n v="51290"/>
  </r>
  <r>
    <x v="0"/>
    <x v="5"/>
    <x v="0"/>
    <x v="6"/>
    <n v="74"/>
    <n v="151160"/>
  </r>
  <r>
    <x v="0"/>
    <x v="5"/>
    <x v="0"/>
    <x v="7"/>
    <n v="142"/>
    <n v="145170"/>
  </r>
  <r>
    <x v="0"/>
    <x v="5"/>
    <x v="0"/>
    <x v="8"/>
    <n v="200"/>
    <n v="122110"/>
  </r>
  <r>
    <x v="0"/>
    <x v="5"/>
    <x v="0"/>
    <x v="9"/>
    <n v="94"/>
    <n v="104960"/>
  </r>
  <r>
    <x v="0"/>
    <x v="5"/>
    <x v="0"/>
    <x v="10"/>
    <n v="60"/>
    <n v="98340"/>
  </r>
  <r>
    <x v="0"/>
    <x v="5"/>
    <x v="0"/>
    <x v="31"/>
    <n v="45"/>
    <n v="89980"/>
  </r>
  <r>
    <x v="0"/>
    <x v="5"/>
    <x v="0"/>
    <x v="11"/>
    <n v="96"/>
    <n v="154210"/>
  </r>
  <r>
    <x v="0"/>
    <x v="5"/>
    <x v="0"/>
    <x v="12"/>
    <n v="280"/>
    <n v="361420"/>
  </r>
  <r>
    <x v="0"/>
    <x v="5"/>
    <x v="0"/>
    <x v="13"/>
    <n v="786"/>
    <n v="581620"/>
  </r>
  <r>
    <x v="0"/>
    <x v="5"/>
    <x v="0"/>
    <x v="14"/>
    <n v="308"/>
    <n v="228750"/>
  </r>
  <r>
    <x v="0"/>
    <x v="5"/>
    <x v="0"/>
    <x v="15"/>
    <n v="74"/>
    <n v="81670"/>
  </r>
  <r>
    <x v="0"/>
    <x v="5"/>
    <x v="0"/>
    <x v="16"/>
    <n v="26"/>
    <n v="81900"/>
  </r>
  <r>
    <x v="0"/>
    <x v="5"/>
    <x v="0"/>
    <x v="17"/>
    <n v="59"/>
    <n v="93160"/>
  </r>
  <r>
    <x v="0"/>
    <x v="5"/>
    <x v="0"/>
    <x v="18"/>
    <n v="26"/>
    <n v="27420"/>
  </r>
  <r>
    <x v="0"/>
    <x v="5"/>
    <x v="0"/>
    <x v="19"/>
    <n v="149"/>
    <n v="137830"/>
  </r>
  <r>
    <x v="0"/>
    <x v="5"/>
    <x v="0"/>
    <x v="20"/>
    <n v="528"/>
    <n v="335160"/>
  </r>
  <r>
    <x v="0"/>
    <x v="5"/>
    <x v="0"/>
    <x v="21"/>
    <n v="12"/>
    <n v="20940"/>
  </r>
  <r>
    <x v="0"/>
    <x v="5"/>
    <x v="0"/>
    <x v="22"/>
    <n v="83"/>
    <n v="144370"/>
  </r>
  <r>
    <x v="0"/>
    <x v="5"/>
    <x v="0"/>
    <x v="23"/>
    <n v="100"/>
    <n v="173020"/>
  </r>
  <r>
    <x v="0"/>
    <x v="5"/>
    <x v="0"/>
    <x v="24"/>
    <n v="40"/>
    <n v="113590"/>
  </r>
  <r>
    <x v="0"/>
    <x v="5"/>
    <x v="0"/>
    <x v="25"/>
    <n v="11"/>
    <n v="22800"/>
  </r>
  <r>
    <x v="0"/>
    <x v="5"/>
    <x v="0"/>
    <x v="26"/>
    <n v="82"/>
    <n v="112490"/>
  </r>
  <r>
    <x v="0"/>
    <x v="5"/>
    <x v="0"/>
    <x v="27"/>
    <n v="427"/>
    <n v="312180"/>
  </r>
  <r>
    <x v="0"/>
    <x v="5"/>
    <x v="0"/>
    <x v="28"/>
    <n v="67"/>
    <n v="88690"/>
  </r>
  <r>
    <x v="0"/>
    <x v="5"/>
    <x v="0"/>
    <x v="29"/>
    <n v="186"/>
    <n v="91080"/>
  </r>
  <r>
    <x v="0"/>
    <x v="5"/>
    <x v="0"/>
    <x v="30"/>
    <n v="86"/>
    <n v="173040"/>
  </r>
  <r>
    <x v="0"/>
    <x v="5"/>
    <x v="1"/>
    <x v="0"/>
    <n v="562"/>
    <n v="217020"/>
  </r>
  <r>
    <x v="0"/>
    <x v="5"/>
    <x v="1"/>
    <x v="1"/>
    <n v="141"/>
    <n v="249020"/>
  </r>
  <r>
    <x v="0"/>
    <x v="5"/>
    <x v="1"/>
    <x v="2"/>
    <n v="146"/>
    <n v="114830"/>
  </r>
  <r>
    <x v="0"/>
    <x v="5"/>
    <x v="1"/>
    <x v="3"/>
    <n v="75"/>
    <n v="89450"/>
  </r>
  <r>
    <x v="0"/>
    <x v="5"/>
    <x v="1"/>
    <x v="4"/>
    <n v="1908"/>
    <n v="463230"/>
  </r>
  <r>
    <x v="0"/>
    <x v="5"/>
    <x v="1"/>
    <x v="5"/>
    <n v="188"/>
    <n v="51290"/>
  </r>
  <r>
    <x v="0"/>
    <x v="5"/>
    <x v="1"/>
    <x v="6"/>
    <n v="165"/>
    <n v="151160"/>
  </r>
  <r>
    <x v="0"/>
    <x v="5"/>
    <x v="1"/>
    <x v="7"/>
    <n v="867"/>
    <n v="145170"/>
  </r>
  <r>
    <x v="0"/>
    <x v="5"/>
    <x v="1"/>
    <x v="8"/>
    <n v="668"/>
    <n v="122110"/>
  </r>
  <r>
    <x v="0"/>
    <x v="5"/>
    <x v="1"/>
    <x v="9"/>
    <n v="220"/>
    <n v="104960"/>
  </r>
  <r>
    <x v="0"/>
    <x v="5"/>
    <x v="1"/>
    <x v="10"/>
    <n v="285"/>
    <n v="98340"/>
  </r>
  <r>
    <x v="0"/>
    <x v="5"/>
    <x v="1"/>
    <x v="31"/>
    <n v="238"/>
    <n v="89980"/>
  </r>
  <r>
    <x v="0"/>
    <x v="5"/>
    <x v="1"/>
    <x v="11"/>
    <n v="655"/>
    <n v="154210"/>
  </r>
  <r>
    <x v="0"/>
    <x v="5"/>
    <x v="1"/>
    <x v="12"/>
    <n v="1035"/>
    <n v="361420"/>
  </r>
  <r>
    <x v="0"/>
    <x v="5"/>
    <x v="1"/>
    <x v="13"/>
    <n v="3024"/>
    <n v="581620"/>
  </r>
  <r>
    <x v="0"/>
    <x v="5"/>
    <x v="1"/>
    <x v="14"/>
    <n v="262"/>
    <n v="228750"/>
  </r>
  <r>
    <x v="0"/>
    <x v="5"/>
    <x v="1"/>
    <x v="15"/>
    <n v="551"/>
    <n v="81670"/>
  </r>
  <r>
    <x v="0"/>
    <x v="5"/>
    <x v="1"/>
    <x v="16"/>
    <n v="345"/>
    <n v="81900"/>
  </r>
  <r>
    <x v="0"/>
    <x v="5"/>
    <x v="1"/>
    <x v="17"/>
    <n v="108"/>
    <n v="93160"/>
  </r>
  <r>
    <x v="0"/>
    <x v="5"/>
    <x v="1"/>
    <x v="18"/>
    <n v="7"/>
    <n v="27420"/>
  </r>
  <r>
    <x v="0"/>
    <x v="5"/>
    <x v="1"/>
    <x v="19"/>
    <n v="758"/>
    <n v="137830"/>
  </r>
  <r>
    <x v="0"/>
    <x v="5"/>
    <x v="1"/>
    <x v="20"/>
    <n v="1683"/>
    <n v="335160"/>
  </r>
  <r>
    <x v="0"/>
    <x v="5"/>
    <x v="1"/>
    <x v="21"/>
    <n v="6"/>
    <n v="20940"/>
  </r>
  <r>
    <x v="0"/>
    <x v="5"/>
    <x v="1"/>
    <x v="22"/>
    <n v="142"/>
    <n v="144370"/>
  </r>
  <r>
    <x v="0"/>
    <x v="5"/>
    <x v="1"/>
    <x v="23"/>
    <n v="771"/>
    <n v="173020"/>
  </r>
  <r>
    <x v="0"/>
    <x v="5"/>
    <x v="1"/>
    <x v="24"/>
    <n v="107"/>
    <n v="113590"/>
  </r>
  <r>
    <x v="0"/>
    <x v="5"/>
    <x v="1"/>
    <x v="25"/>
    <n v="3"/>
    <n v="22800"/>
  </r>
  <r>
    <x v="0"/>
    <x v="5"/>
    <x v="1"/>
    <x v="26"/>
    <n v="333"/>
    <n v="112490"/>
  </r>
  <r>
    <x v="0"/>
    <x v="5"/>
    <x v="1"/>
    <x v="27"/>
    <n v="1361"/>
    <n v="312180"/>
  </r>
  <r>
    <x v="0"/>
    <x v="5"/>
    <x v="1"/>
    <x v="28"/>
    <n v="182"/>
    <n v="88690"/>
  </r>
  <r>
    <x v="0"/>
    <x v="5"/>
    <x v="1"/>
    <x v="29"/>
    <n v="609"/>
    <n v="91080"/>
  </r>
  <r>
    <x v="0"/>
    <x v="5"/>
    <x v="1"/>
    <x v="30"/>
    <n v="882"/>
    <n v="173040"/>
  </r>
  <r>
    <x v="1"/>
    <x v="0"/>
    <x v="0"/>
    <x v="0"/>
    <n v="17"/>
    <n v="219730"/>
  </r>
  <r>
    <x v="1"/>
    <x v="0"/>
    <x v="0"/>
    <x v="1"/>
    <n v="139"/>
    <n v="251430"/>
  </r>
  <r>
    <x v="1"/>
    <x v="0"/>
    <x v="0"/>
    <x v="2"/>
    <n v="31"/>
    <n v="115410"/>
  </r>
  <r>
    <x v="1"/>
    <x v="0"/>
    <x v="0"/>
    <x v="3"/>
    <n v="121"/>
    <n v="88620"/>
  </r>
  <r>
    <x v="1"/>
    <x v="0"/>
    <x v="0"/>
    <x v="4"/>
    <n v="13"/>
    <n v="469930"/>
  </r>
  <r>
    <x v="1"/>
    <x v="0"/>
    <x v="0"/>
    <x v="5"/>
    <n v="4"/>
    <n v="51330"/>
  </r>
  <r>
    <x v="1"/>
    <x v="0"/>
    <x v="0"/>
    <x v="6"/>
    <n v="135"/>
    <n v="151100"/>
  </r>
  <r>
    <x v="1"/>
    <x v="0"/>
    <x v="0"/>
    <x v="7"/>
    <n v="1"/>
    <n v="146060"/>
  </r>
  <r>
    <x v="1"/>
    <x v="0"/>
    <x v="0"/>
    <x v="8"/>
    <n v="18"/>
    <n v="122410"/>
  </r>
  <r>
    <x v="1"/>
    <x v="0"/>
    <x v="0"/>
    <x v="9"/>
    <n v="1"/>
    <n v="104920"/>
  </r>
  <r>
    <x v="1"/>
    <x v="0"/>
    <x v="0"/>
    <x v="10"/>
    <n v="29"/>
    <n v="99140"/>
  </r>
  <r>
    <x v="1"/>
    <x v="0"/>
    <x v="0"/>
    <x v="31"/>
    <n v="3"/>
    <n v="90410"/>
  </r>
  <r>
    <x v="1"/>
    <x v="0"/>
    <x v="0"/>
    <x v="11"/>
    <n v="14"/>
    <n v="155130"/>
  </r>
  <r>
    <x v="1"/>
    <x v="0"/>
    <x v="0"/>
    <x v="12"/>
    <n v="48"/>
    <n v="362610"/>
  </r>
  <r>
    <x v="1"/>
    <x v="0"/>
    <x v="0"/>
    <x v="13"/>
    <n v="10"/>
    <n v="586500"/>
  </r>
  <r>
    <x v="1"/>
    <x v="0"/>
    <x v="0"/>
    <x v="14"/>
    <n v="471"/>
    <n v="230730"/>
  </r>
  <r>
    <x v="1"/>
    <x v="0"/>
    <x v="0"/>
    <x v="15"/>
    <n v="2"/>
    <n v="81510"/>
  </r>
  <r>
    <x v="1"/>
    <x v="0"/>
    <x v="0"/>
    <x v="16"/>
    <n v="18"/>
    <n v="82360"/>
  </r>
  <r>
    <x v="1"/>
    <x v="0"/>
    <x v="0"/>
    <x v="17"/>
    <n v="66"/>
    <n v="93690"/>
  </r>
  <r>
    <x v="1"/>
    <x v="0"/>
    <x v="0"/>
    <x v="18"/>
    <n v="82"/>
    <n v="27600"/>
  </r>
  <r>
    <x v="1"/>
    <x v="0"/>
    <x v="0"/>
    <x v="19"/>
    <n v="19"/>
    <n v="137800"/>
  </r>
  <r>
    <x v="1"/>
    <x v="0"/>
    <x v="0"/>
    <x v="20"/>
    <n v="11"/>
    <n v="336280"/>
  </r>
  <r>
    <x v="1"/>
    <x v="0"/>
    <x v="0"/>
    <x v="21"/>
    <n v="19"/>
    <n v="21220"/>
  </r>
  <r>
    <x v="1"/>
    <x v="0"/>
    <x v="0"/>
    <x v="22"/>
    <n v="78"/>
    <n v="145600"/>
  </r>
  <r>
    <x v="1"/>
    <x v="0"/>
    <x v="0"/>
    <x v="23"/>
    <n v="3"/>
    <n v="173700"/>
  </r>
  <r>
    <x v="1"/>
    <x v="0"/>
    <x v="0"/>
    <x v="24"/>
    <n v="94"/>
    <n v="113700"/>
  </r>
  <r>
    <x v="1"/>
    <x v="0"/>
    <x v="0"/>
    <x v="25"/>
    <n v="18"/>
    <n v="23060"/>
  </r>
  <r>
    <x v="1"/>
    <x v="0"/>
    <x v="0"/>
    <x v="26"/>
    <n v="19"/>
    <n v="112600"/>
  </r>
  <r>
    <x v="1"/>
    <x v="0"/>
    <x v="0"/>
    <x v="27"/>
    <n v="32"/>
    <n v="313180"/>
  </r>
  <r>
    <x v="1"/>
    <x v="0"/>
    <x v="0"/>
    <x v="28"/>
    <n v="33"/>
    <n v="89550"/>
  </r>
  <r>
    <x v="1"/>
    <x v="0"/>
    <x v="0"/>
    <x v="29"/>
    <n v="7"/>
    <n v="90800"/>
  </r>
  <r>
    <x v="1"/>
    <x v="0"/>
    <x v="0"/>
    <x v="30"/>
    <n v="14"/>
    <n v="174090"/>
  </r>
  <r>
    <x v="1"/>
    <x v="0"/>
    <x v="1"/>
    <x v="3"/>
    <n v="2"/>
    <n v="88620"/>
  </r>
  <r>
    <x v="1"/>
    <x v="0"/>
    <x v="1"/>
    <x v="4"/>
    <n v="1"/>
    <n v="469930"/>
  </r>
  <r>
    <x v="1"/>
    <x v="0"/>
    <x v="1"/>
    <x v="12"/>
    <n v="1"/>
    <n v="362610"/>
  </r>
  <r>
    <x v="1"/>
    <x v="1"/>
    <x v="0"/>
    <x v="0"/>
    <n v="267"/>
    <n v="219730"/>
  </r>
  <r>
    <x v="1"/>
    <x v="1"/>
    <x v="0"/>
    <x v="1"/>
    <n v="192"/>
    <n v="251430"/>
  </r>
  <r>
    <x v="1"/>
    <x v="1"/>
    <x v="0"/>
    <x v="2"/>
    <n v="79"/>
    <n v="115410"/>
  </r>
  <r>
    <x v="1"/>
    <x v="1"/>
    <x v="0"/>
    <x v="3"/>
    <n v="109"/>
    <n v="88620"/>
  </r>
  <r>
    <x v="1"/>
    <x v="1"/>
    <x v="0"/>
    <x v="4"/>
    <n v="593"/>
    <n v="469930"/>
  </r>
  <r>
    <x v="1"/>
    <x v="1"/>
    <x v="0"/>
    <x v="5"/>
    <n v="37"/>
    <n v="51330"/>
  </r>
  <r>
    <x v="1"/>
    <x v="1"/>
    <x v="0"/>
    <x v="6"/>
    <n v="94"/>
    <n v="151100"/>
  </r>
  <r>
    <x v="1"/>
    <x v="1"/>
    <x v="0"/>
    <x v="7"/>
    <n v="294"/>
    <n v="146060"/>
  </r>
  <r>
    <x v="1"/>
    <x v="1"/>
    <x v="0"/>
    <x v="8"/>
    <n v="92"/>
    <n v="122410"/>
  </r>
  <r>
    <x v="1"/>
    <x v="1"/>
    <x v="0"/>
    <x v="9"/>
    <n v="64"/>
    <n v="104920"/>
  </r>
  <r>
    <x v="1"/>
    <x v="1"/>
    <x v="0"/>
    <x v="10"/>
    <n v="81"/>
    <n v="99140"/>
  </r>
  <r>
    <x v="1"/>
    <x v="1"/>
    <x v="0"/>
    <x v="31"/>
    <n v="51"/>
    <n v="90410"/>
  </r>
  <r>
    <x v="1"/>
    <x v="1"/>
    <x v="0"/>
    <x v="11"/>
    <n v="113"/>
    <n v="155130"/>
  </r>
  <r>
    <x v="1"/>
    <x v="1"/>
    <x v="0"/>
    <x v="12"/>
    <n v="257"/>
    <n v="362610"/>
  </r>
  <r>
    <x v="1"/>
    <x v="1"/>
    <x v="0"/>
    <x v="13"/>
    <n v="923"/>
    <n v="586500"/>
  </r>
  <r>
    <x v="1"/>
    <x v="1"/>
    <x v="0"/>
    <x v="14"/>
    <n v="151"/>
    <n v="230730"/>
  </r>
  <r>
    <x v="1"/>
    <x v="1"/>
    <x v="0"/>
    <x v="15"/>
    <n v="82"/>
    <n v="81510"/>
  </r>
  <r>
    <x v="1"/>
    <x v="1"/>
    <x v="0"/>
    <x v="16"/>
    <n v="63"/>
    <n v="82360"/>
  </r>
  <r>
    <x v="1"/>
    <x v="1"/>
    <x v="0"/>
    <x v="17"/>
    <n v="74"/>
    <n v="93690"/>
  </r>
  <r>
    <x v="1"/>
    <x v="1"/>
    <x v="0"/>
    <x v="18"/>
    <n v="16"/>
    <n v="27600"/>
  </r>
  <r>
    <x v="1"/>
    <x v="1"/>
    <x v="0"/>
    <x v="19"/>
    <n v="147"/>
    <n v="137800"/>
  </r>
  <r>
    <x v="1"/>
    <x v="1"/>
    <x v="0"/>
    <x v="20"/>
    <n v="280"/>
    <n v="336280"/>
  </r>
  <r>
    <x v="1"/>
    <x v="1"/>
    <x v="0"/>
    <x v="21"/>
    <n v="9"/>
    <n v="21220"/>
  </r>
  <r>
    <x v="1"/>
    <x v="1"/>
    <x v="0"/>
    <x v="22"/>
    <n v="135"/>
    <n v="145600"/>
  </r>
  <r>
    <x v="1"/>
    <x v="1"/>
    <x v="0"/>
    <x v="23"/>
    <n v="184"/>
    <n v="173700"/>
  </r>
  <r>
    <x v="1"/>
    <x v="1"/>
    <x v="0"/>
    <x v="24"/>
    <n v="100"/>
    <n v="113700"/>
  </r>
  <r>
    <x v="1"/>
    <x v="1"/>
    <x v="0"/>
    <x v="25"/>
    <n v="9"/>
    <n v="23060"/>
  </r>
  <r>
    <x v="1"/>
    <x v="1"/>
    <x v="0"/>
    <x v="26"/>
    <n v="96"/>
    <n v="112600"/>
  </r>
  <r>
    <x v="1"/>
    <x v="1"/>
    <x v="0"/>
    <x v="27"/>
    <n v="255"/>
    <n v="313180"/>
  </r>
  <r>
    <x v="1"/>
    <x v="1"/>
    <x v="0"/>
    <x v="28"/>
    <n v="71"/>
    <n v="89550"/>
  </r>
  <r>
    <x v="1"/>
    <x v="1"/>
    <x v="0"/>
    <x v="29"/>
    <n v="115"/>
    <n v="90800"/>
  </r>
  <r>
    <x v="1"/>
    <x v="1"/>
    <x v="0"/>
    <x v="30"/>
    <n v="176"/>
    <n v="174090"/>
  </r>
  <r>
    <x v="1"/>
    <x v="1"/>
    <x v="1"/>
    <x v="0"/>
    <n v="73"/>
    <n v="219730"/>
  </r>
  <r>
    <x v="1"/>
    <x v="1"/>
    <x v="1"/>
    <x v="1"/>
    <n v="11"/>
    <n v="251430"/>
  </r>
  <r>
    <x v="1"/>
    <x v="1"/>
    <x v="1"/>
    <x v="2"/>
    <n v="8"/>
    <n v="115410"/>
  </r>
  <r>
    <x v="1"/>
    <x v="1"/>
    <x v="1"/>
    <x v="3"/>
    <n v="17"/>
    <n v="88620"/>
  </r>
  <r>
    <x v="1"/>
    <x v="1"/>
    <x v="1"/>
    <x v="4"/>
    <n v="135"/>
    <n v="469930"/>
  </r>
  <r>
    <x v="1"/>
    <x v="1"/>
    <x v="1"/>
    <x v="5"/>
    <n v="12"/>
    <n v="51330"/>
  </r>
  <r>
    <x v="1"/>
    <x v="1"/>
    <x v="1"/>
    <x v="6"/>
    <n v="16"/>
    <n v="151100"/>
  </r>
  <r>
    <x v="1"/>
    <x v="1"/>
    <x v="1"/>
    <x v="7"/>
    <n v="38"/>
    <n v="146060"/>
  </r>
  <r>
    <x v="1"/>
    <x v="1"/>
    <x v="1"/>
    <x v="8"/>
    <n v="26"/>
    <n v="122410"/>
  </r>
  <r>
    <x v="1"/>
    <x v="1"/>
    <x v="1"/>
    <x v="9"/>
    <n v="5"/>
    <n v="104920"/>
  </r>
  <r>
    <x v="1"/>
    <x v="1"/>
    <x v="1"/>
    <x v="10"/>
    <n v="7"/>
    <n v="99140"/>
  </r>
  <r>
    <x v="1"/>
    <x v="1"/>
    <x v="1"/>
    <x v="31"/>
    <n v="7"/>
    <n v="90410"/>
  </r>
  <r>
    <x v="1"/>
    <x v="1"/>
    <x v="1"/>
    <x v="11"/>
    <n v="17"/>
    <n v="155130"/>
  </r>
  <r>
    <x v="1"/>
    <x v="1"/>
    <x v="1"/>
    <x v="12"/>
    <n v="44"/>
    <n v="362610"/>
  </r>
  <r>
    <x v="1"/>
    <x v="1"/>
    <x v="1"/>
    <x v="13"/>
    <n v="256"/>
    <n v="586500"/>
  </r>
  <r>
    <x v="1"/>
    <x v="1"/>
    <x v="1"/>
    <x v="14"/>
    <n v="11"/>
    <n v="230730"/>
  </r>
  <r>
    <x v="1"/>
    <x v="1"/>
    <x v="1"/>
    <x v="15"/>
    <n v="50"/>
    <n v="81510"/>
  </r>
  <r>
    <x v="1"/>
    <x v="1"/>
    <x v="1"/>
    <x v="16"/>
    <n v="10"/>
    <n v="82360"/>
  </r>
  <r>
    <x v="1"/>
    <x v="1"/>
    <x v="1"/>
    <x v="17"/>
    <n v="2"/>
    <n v="93690"/>
  </r>
  <r>
    <x v="1"/>
    <x v="1"/>
    <x v="1"/>
    <x v="18"/>
    <n v="1"/>
    <n v="27600"/>
  </r>
  <r>
    <x v="1"/>
    <x v="1"/>
    <x v="1"/>
    <x v="19"/>
    <n v="20"/>
    <n v="137800"/>
  </r>
  <r>
    <x v="1"/>
    <x v="1"/>
    <x v="1"/>
    <x v="20"/>
    <n v="90"/>
    <n v="336280"/>
  </r>
  <r>
    <x v="1"/>
    <x v="1"/>
    <x v="1"/>
    <x v="22"/>
    <n v="3"/>
    <n v="145600"/>
  </r>
  <r>
    <x v="1"/>
    <x v="1"/>
    <x v="1"/>
    <x v="23"/>
    <n v="62"/>
    <n v="173700"/>
  </r>
  <r>
    <x v="1"/>
    <x v="1"/>
    <x v="1"/>
    <x v="24"/>
    <n v="13"/>
    <n v="113700"/>
  </r>
  <r>
    <x v="1"/>
    <x v="1"/>
    <x v="1"/>
    <x v="25"/>
    <n v="1"/>
    <n v="23060"/>
  </r>
  <r>
    <x v="1"/>
    <x v="1"/>
    <x v="1"/>
    <x v="26"/>
    <n v="11"/>
    <n v="112600"/>
  </r>
  <r>
    <x v="1"/>
    <x v="1"/>
    <x v="1"/>
    <x v="27"/>
    <n v="61"/>
    <n v="313180"/>
  </r>
  <r>
    <x v="1"/>
    <x v="1"/>
    <x v="1"/>
    <x v="28"/>
    <n v="4"/>
    <n v="89550"/>
  </r>
  <r>
    <x v="1"/>
    <x v="1"/>
    <x v="1"/>
    <x v="29"/>
    <n v="36"/>
    <n v="90800"/>
  </r>
  <r>
    <x v="1"/>
    <x v="1"/>
    <x v="1"/>
    <x v="30"/>
    <n v="37"/>
    <n v="174090"/>
  </r>
  <r>
    <x v="1"/>
    <x v="2"/>
    <x v="0"/>
    <x v="0"/>
    <n v="109"/>
    <n v="219730"/>
  </r>
  <r>
    <x v="1"/>
    <x v="2"/>
    <x v="0"/>
    <x v="1"/>
    <n v="89"/>
    <n v="251430"/>
  </r>
  <r>
    <x v="1"/>
    <x v="2"/>
    <x v="0"/>
    <x v="2"/>
    <n v="35"/>
    <n v="115410"/>
  </r>
  <r>
    <x v="1"/>
    <x v="2"/>
    <x v="0"/>
    <x v="3"/>
    <n v="53"/>
    <n v="88620"/>
  </r>
  <r>
    <x v="1"/>
    <x v="2"/>
    <x v="0"/>
    <x v="4"/>
    <n v="245"/>
    <n v="469930"/>
  </r>
  <r>
    <x v="1"/>
    <x v="2"/>
    <x v="0"/>
    <x v="5"/>
    <n v="19"/>
    <n v="51330"/>
  </r>
  <r>
    <x v="1"/>
    <x v="2"/>
    <x v="0"/>
    <x v="6"/>
    <n v="54"/>
    <n v="151100"/>
  </r>
  <r>
    <x v="1"/>
    <x v="2"/>
    <x v="0"/>
    <x v="7"/>
    <n v="86"/>
    <n v="146060"/>
  </r>
  <r>
    <x v="1"/>
    <x v="2"/>
    <x v="0"/>
    <x v="8"/>
    <n v="23"/>
    <n v="122410"/>
  </r>
  <r>
    <x v="1"/>
    <x v="2"/>
    <x v="0"/>
    <x v="9"/>
    <n v="24"/>
    <n v="104920"/>
  </r>
  <r>
    <x v="1"/>
    <x v="2"/>
    <x v="0"/>
    <x v="10"/>
    <n v="33"/>
    <n v="99140"/>
  </r>
  <r>
    <x v="1"/>
    <x v="2"/>
    <x v="0"/>
    <x v="31"/>
    <n v="17"/>
    <n v="90410"/>
  </r>
  <r>
    <x v="1"/>
    <x v="2"/>
    <x v="0"/>
    <x v="11"/>
    <n v="58"/>
    <n v="155130"/>
  </r>
  <r>
    <x v="1"/>
    <x v="2"/>
    <x v="0"/>
    <x v="12"/>
    <n v="105"/>
    <n v="362610"/>
  </r>
  <r>
    <x v="1"/>
    <x v="2"/>
    <x v="0"/>
    <x v="13"/>
    <n v="319"/>
    <n v="586500"/>
  </r>
  <r>
    <x v="1"/>
    <x v="2"/>
    <x v="0"/>
    <x v="14"/>
    <n v="82"/>
    <n v="230730"/>
  </r>
  <r>
    <x v="1"/>
    <x v="2"/>
    <x v="0"/>
    <x v="15"/>
    <n v="31"/>
    <n v="81510"/>
  </r>
  <r>
    <x v="1"/>
    <x v="2"/>
    <x v="0"/>
    <x v="16"/>
    <n v="24"/>
    <n v="82360"/>
  </r>
  <r>
    <x v="1"/>
    <x v="2"/>
    <x v="0"/>
    <x v="17"/>
    <n v="36"/>
    <n v="93690"/>
  </r>
  <r>
    <x v="1"/>
    <x v="2"/>
    <x v="0"/>
    <x v="18"/>
    <n v="8"/>
    <n v="27600"/>
  </r>
  <r>
    <x v="1"/>
    <x v="2"/>
    <x v="0"/>
    <x v="19"/>
    <n v="39"/>
    <n v="137800"/>
  </r>
  <r>
    <x v="1"/>
    <x v="2"/>
    <x v="0"/>
    <x v="20"/>
    <n v="76"/>
    <n v="336280"/>
  </r>
  <r>
    <x v="1"/>
    <x v="2"/>
    <x v="0"/>
    <x v="21"/>
    <n v="5"/>
    <n v="21220"/>
  </r>
  <r>
    <x v="1"/>
    <x v="2"/>
    <x v="0"/>
    <x v="22"/>
    <n v="61"/>
    <n v="145600"/>
  </r>
  <r>
    <x v="1"/>
    <x v="2"/>
    <x v="0"/>
    <x v="23"/>
    <n v="62"/>
    <n v="173700"/>
  </r>
  <r>
    <x v="1"/>
    <x v="2"/>
    <x v="0"/>
    <x v="24"/>
    <n v="40"/>
    <n v="113700"/>
  </r>
  <r>
    <x v="1"/>
    <x v="2"/>
    <x v="0"/>
    <x v="25"/>
    <n v="2"/>
    <n v="23060"/>
  </r>
  <r>
    <x v="1"/>
    <x v="2"/>
    <x v="0"/>
    <x v="26"/>
    <n v="39"/>
    <n v="112600"/>
  </r>
  <r>
    <x v="1"/>
    <x v="2"/>
    <x v="0"/>
    <x v="27"/>
    <n v="88"/>
    <n v="313180"/>
  </r>
  <r>
    <x v="1"/>
    <x v="2"/>
    <x v="0"/>
    <x v="28"/>
    <n v="46"/>
    <n v="89550"/>
  </r>
  <r>
    <x v="1"/>
    <x v="2"/>
    <x v="0"/>
    <x v="29"/>
    <n v="25"/>
    <n v="90800"/>
  </r>
  <r>
    <x v="1"/>
    <x v="2"/>
    <x v="0"/>
    <x v="30"/>
    <n v="47"/>
    <n v="174090"/>
  </r>
  <r>
    <x v="1"/>
    <x v="2"/>
    <x v="1"/>
    <x v="0"/>
    <n v="30"/>
    <n v="219730"/>
  </r>
  <r>
    <x v="1"/>
    <x v="2"/>
    <x v="1"/>
    <x v="1"/>
    <n v="17"/>
    <n v="251430"/>
  </r>
  <r>
    <x v="1"/>
    <x v="2"/>
    <x v="1"/>
    <x v="2"/>
    <n v="3"/>
    <n v="115410"/>
  </r>
  <r>
    <x v="1"/>
    <x v="2"/>
    <x v="1"/>
    <x v="3"/>
    <n v="9"/>
    <n v="88620"/>
  </r>
  <r>
    <x v="1"/>
    <x v="2"/>
    <x v="1"/>
    <x v="4"/>
    <n v="88"/>
    <n v="469930"/>
  </r>
  <r>
    <x v="1"/>
    <x v="2"/>
    <x v="1"/>
    <x v="5"/>
    <n v="6"/>
    <n v="51330"/>
  </r>
  <r>
    <x v="1"/>
    <x v="2"/>
    <x v="1"/>
    <x v="6"/>
    <n v="27"/>
    <n v="151100"/>
  </r>
  <r>
    <x v="1"/>
    <x v="2"/>
    <x v="1"/>
    <x v="7"/>
    <n v="17"/>
    <n v="146060"/>
  </r>
  <r>
    <x v="1"/>
    <x v="2"/>
    <x v="1"/>
    <x v="8"/>
    <n v="21"/>
    <n v="122410"/>
  </r>
  <r>
    <x v="1"/>
    <x v="2"/>
    <x v="1"/>
    <x v="9"/>
    <n v="13"/>
    <n v="104920"/>
  </r>
  <r>
    <x v="1"/>
    <x v="2"/>
    <x v="1"/>
    <x v="10"/>
    <n v="8"/>
    <n v="99140"/>
  </r>
  <r>
    <x v="1"/>
    <x v="2"/>
    <x v="1"/>
    <x v="31"/>
    <n v="9"/>
    <n v="90410"/>
  </r>
  <r>
    <x v="1"/>
    <x v="2"/>
    <x v="1"/>
    <x v="11"/>
    <n v="24"/>
    <n v="155130"/>
  </r>
  <r>
    <x v="1"/>
    <x v="2"/>
    <x v="1"/>
    <x v="12"/>
    <n v="32"/>
    <n v="362610"/>
  </r>
  <r>
    <x v="1"/>
    <x v="2"/>
    <x v="1"/>
    <x v="13"/>
    <n v="121"/>
    <n v="586500"/>
  </r>
  <r>
    <x v="1"/>
    <x v="2"/>
    <x v="1"/>
    <x v="14"/>
    <n v="8"/>
    <n v="230730"/>
  </r>
  <r>
    <x v="1"/>
    <x v="2"/>
    <x v="1"/>
    <x v="15"/>
    <n v="30"/>
    <n v="81510"/>
  </r>
  <r>
    <x v="1"/>
    <x v="2"/>
    <x v="1"/>
    <x v="16"/>
    <n v="9"/>
    <n v="82360"/>
  </r>
  <r>
    <x v="1"/>
    <x v="2"/>
    <x v="1"/>
    <x v="17"/>
    <n v="10"/>
    <n v="93690"/>
  </r>
  <r>
    <x v="1"/>
    <x v="2"/>
    <x v="1"/>
    <x v="18"/>
    <n v="2"/>
    <n v="27600"/>
  </r>
  <r>
    <x v="1"/>
    <x v="2"/>
    <x v="1"/>
    <x v="19"/>
    <n v="39"/>
    <n v="137800"/>
  </r>
  <r>
    <x v="1"/>
    <x v="2"/>
    <x v="1"/>
    <x v="20"/>
    <n v="53"/>
    <n v="336280"/>
  </r>
  <r>
    <x v="1"/>
    <x v="2"/>
    <x v="1"/>
    <x v="21"/>
    <n v="3"/>
    <n v="21220"/>
  </r>
  <r>
    <x v="1"/>
    <x v="2"/>
    <x v="1"/>
    <x v="22"/>
    <n v="8"/>
    <n v="145600"/>
  </r>
  <r>
    <x v="1"/>
    <x v="2"/>
    <x v="1"/>
    <x v="23"/>
    <n v="36"/>
    <n v="173700"/>
  </r>
  <r>
    <x v="1"/>
    <x v="2"/>
    <x v="1"/>
    <x v="24"/>
    <n v="9"/>
    <n v="113700"/>
  </r>
  <r>
    <x v="1"/>
    <x v="2"/>
    <x v="1"/>
    <x v="26"/>
    <n v="20"/>
    <n v="112600"/>
  </r>
  <r>
    <x v="1"/>
    <x v="2"/>
    <x v="1"/>
    <x v="27"/>
    <n v="77"/>
    <n v="313180"/>
  </r>
  <r>
    <x v="1"/>
    <x v="2"/>
    <x v="1"/>
    <x v="28"/>
    <n v="15"/>
    <n v="89550"/>
  </r>
  <r>
    <x v="1"/>
    <x v="2"/>
    <x v="1"/>
    <x v="29"/>
    <n v="20"/>
    <n v="90800"/>
  </r>
  <r>
    <x v="1"/>
    <x v="2"/>
    <x v="1"/>
    <x v="30"/>
    <n v="51"/>
    <n v="174090"/>
  </r>
  <r>
    <x v="1"/>
    <x v="3"/>
    <x v="0"/>
    <x v="0"/>
    <n v="50"/>
    <n v="219730"/>
  </r>
  <r>
    <x v="1"/>
    <x v="3"/>
    <x v="0"/>
    <x v="1"/>
    <n v="70"/>
    <n v="251430"/>
  </r>
  <r>
    <x v="1"/>
    <x v="3"/>
    <x v="0"/>
    <x v="2"/>
    <n v="34"/>
    <n v="115410"/>
  </r>
  <r>
    <x v="1"/>
    <x v="3"/>
    <x v="0"/>
    <x v="3"/>
    <n v="25"/>
    <n v="88620"/>
  </r>
  <r>
    <x v="1"/>
    <x v="3"/>
    <x v="0"/>
    <x v="4"/>
    <n v="93"/>
    <n v="469930"/>
  </r>
  <r>
    <x v="1"/>
    <x v="3"/>
    <x v="0"/>
    <x v="5"/>
    <n v="9"/>
    <n v="51330"/>
  </r>
  <r>
    <x v="1"/>
    <x v="3"/>
    <x v="0"/>
    <x v="6"/>
    <n v="46"/>
    <n v="151100"/>
  </r>
  <r>
    <x v="1"/>
    <x v="3"/>
    <x v="0"/>
    <x v="7"/>
    <n v="39"/>
    <n v="146060"/>
  </r>
  <r>
    <x v="1"/>
    <x v="3"/>
    <x v="0"/>
    <x v="8"/>
    <n v="42"/>
    <n v="122410"/>
  </r>
  <r>
    <x v="1"/>
    <x v="3"/>
    <x v="0"/>
    <x v="9"/>
    <n v="15"/>
    <n v="104920"/>
  </r>
  <r>
    <x v="1"/>
    <x v="3"/>
    <x v="0"/>
    <x v="10"/>
    <n v="26"/>
    <n v="99140"/>
  </r>
  <r>
    <x v="1"/>
    <x v="3"/>
    <x v="0"/>
    <x v="31"/>
    <n v="19"/>
    <n v="90410"/>
  </r>
  <r>
    <x v="1"/>
    <x v="3"/>
    <x v="0"/>
    <x v="11"/>
    <n v="36"/>
    <n v="155130"/>
  </r>
  <r>
    <x v="1"/>
    <x v="3"/>
    <x v="0"/>
    <x v="12"/>
    <n v="91"/>
    <n v="362610"/>
  </r>
  <r>
    <x v="1"/>
    <x v="3"/>
    <x v="0"/>
    <x v="13"/>
    <n v="151"/>
    <n v="586500"/>
  </r>
  <r>
    <x v="1"/>
    <x v="3"/>
    <x v="0"/>
    <x v="14"/>
    <n v="80"/>
    <n v="230730"/>
  </r>
  <r>
    <x v="1"/>
    <x v="3"/>
    <x v="0"/>
    <x v="15"/>
    <n v="14"/>
    <n v="81510"/>
  </r>
  <r>
    <x v="1"/>
    <x v="3"/>
    <x v="0"/>
    <x v="16"/>
    <n v="23"/>
    <n v="82360"/>
  </r>
  <r>
    <x v="1"/>
    <x v="3"/>
    <x v="0"/>
    <x v="17"/>
    <n v="22"/>
    <n v="93690"/>
  </r>
  <r>
    <x v="1"/>
    <x v="3"/>
    <x v="0"/>
    <x v="18"/>
    <n v="10"/>
    <n v="27600"/>
  </r>
  <r>
    <x v="1"/>
    <x v="3"/>
    <x v="0"/>
    <x v="19"/>
    <n v="26"/>
    <n v="137800"/>
  </r>
  <r>
    <x v="1"/>
    <x v="3"/>
    <x v="0"/>
    <x v="20"/>
    <n v="104"/>
    <n v="336280"/>
  </r>
  <r>
    <x v="1"/>
    <x v="3"/>
    <x v="0"/>
    <x v="21"/>
    <n v="13"/>
    <n v="21220"/>
  </r>
  <r>
    <x v="1"/>
    <x v="3"/>
    <x v="0"/>
    <x v="22"/>
    <n v="85"/>
    <n v="145600"/>
  </r>
  <r>
    <x v="1"/>
    <x v="3"/>
    <x v="0"/>
    <x v="23"/>
    <n v="44"/>
    <n v="173700"/>
  </r>
  <r>
    <x v="1"/>
    <x v="3"/>
    <x v="0"/>
    <x v="24"/>
    <n v="31"/>
    <n v="113700"/>
  </r>
  <r>
    <x v="1"/>
    <x v="3"/>
    <x v="0"/>
    <x v="25"/>
    <n v="4"/>
    <n v="23060"/>
  </r>
  <r>
    <x v="1"/>
    <x v="3"/>
    <x v="0"/>
    <x v="26"/>
    <n v="24"/>
    <n v="112600"/>
  </r>
  <r>
    <x v="1"/>
    <x v="3"/>
    <x v="0"/>
    <x v="27"/>
    <n v="95"/>
    <n v="313180"/>
  </r>
  <r>
    <x v="1"/>
    <x v="3"/>
    <x v="0"/>
    <x v="28"/>
    <n v="30"/>
    <n v="89550"/>
  </r>
  <r>
    <x v="1"/>
    <x v="3"/>
    <x v="0"/>
    <x v="29"/>
    <n v="26"/>
    <n v="90800"/>
  </r>
  <r>
    <x v="1"/>
    <x v="3"/>
    <x v="0"/>
    <x v="30"/>
    <n v="56"/>
    <n v="174090"/>
  </r>
  <r>
    <x v="1"/>
    <x v="3"/>
    <x v="1"/>
    <x v="0"/>
    <n v="93"/>
    <n v="219730"/>
  </r>
  <r>
    <x v="1"/>
    <x v="3"/>
    <x v="1"/>
    <x v="1"/>
    <n v="20"/>
    <n v="251430"/>
  </r>
  <r>
    <x v="1"/>
    <x v="3"/>
    <x v="1"/>
    <x v="2"/>
    <n v="6"/>
    <n v="115410"/>
  </r>
  <r>
    <x v="1"/>
    <x v="3"/>
    <x v="1"/>
    <x v="3"/>
    <n v="7"/>
    <n v="88620"/>
  </r>
  <r>
    <x v="1"/>
    <x v="3"/>
    <x v="1"/>
    <x v="4"/>
    <n v="103"/>
    <n v="469930"/>
  </r>
  <r>
    <x v="1"/>
    <x v="3"/>
    <x v="1"/>
    <x v="5"/>
    <n v="10"/>
    <n v="51330"/>
  </r>
  <r>
    <x v="1"/>
    <x v="3"/>
    <x v="1"/>
    <x v="6"/>
    <n v="19"/>
    <n v="151100"/>
  </r>
  <r>
    <x v="1"/>
    <x v="3"/>
    <x v="1"/>
    <x v="7"/>
    <n v="30"/>
    <n v="146060"/>
  </r>
  <r>
    <x v="1"/>
    <x v="3"/>
    <x v="1"/>
    <x v="8"/>
    <n v="20"/>
    <n v="122410"/>
  </r>
  <r>
    <x v="1"/>
    <x v="3"/>
    <x v="1"/>
    <x v="9"/>
    <n v="20"/>
    <n v="104920"/>
  </r>
  <r>
    <x v="1"/>
    <x v="3"/>
    <x v="1"/>
    <x v="10"/>
    <n v="16"/>
    <n v="99140"/>
  </r>
  <r>
    <x v="1"/>
    <x v="3"/>
    <x v="1"/>
    <x v="31"/>
    <n v="15"/>
    <n v="90410"/>
  </r>
  <r>
    <x v="1"/>
    <x v="3"/>
    <x v="1"/>
    <x v="11"/>
    <n v="16"/>
    <n v="155130"/>
  </r>
  <r>
    <x v="1"/>
    <x v="3"/>
    <x v="1"/>
    <x v="12"/>
    <n v="64"/>
    <n v="362610"/>
  </r>
  <r>
    <x v="1"/>
    <x v="3"/>
    <x v="1"/>
    <x v="13"/>
    <n v="283"/>
    <n v="586500"/>
  </r>
  <r>
    <x v="1"/>
    <x v="3"/>
    <x v="1"/>
    <x v="14"/>
    <n v="8"/>
    <n v="230730"/>
  </r>
  <r>
    <x v="1"/>
    <x v="3"/>
    <x v="1"/>
    <x v="15"/>
    <n v="41"/>
    <n v="81510"/>
  </r>
  <r>
    <x v="1"/>
    <x v="3"/>
    <x v="1"/>
    <x v="16"/>
    <n v="22"/>
    <n v="82360"/>
  </r>
  <r>
    <x v="1"/>
    <x v="3"/>
    <x v="1"/>
    <x v="17"/>
    <n v="4"/>
    <n v="93690"/>
  </r>
  <r>
    <x v="1"/>
    <x v="3"/>
    <x v="1"/>
    <x v="18"/>
    <n v="1"/>
    <n v="27600"/>
  </r>
  <r>
    <x v="1"/>
    <x v="3"/>
    <x v="1"/>
    <x v="19"/>
    <n v="35"/>
    <n v="137800"/>
  </r>
  <r>
    <x v="1"/>
    <x v="3"/>
    <x v="1"/>
    <x v="20"/>
    <n v="132"/>
    <n v="336280"/>
  </r>
  <r>
    <x v="1"/>
    <x v="3"/>
    <x v="1"/>
    <x v="22"/>
    <n v="12"/>
    <n v="145600"/>
  </r>
  <r>
    <x v="1"/>
    <x v="3"/>
    <x v="1"/>
    <x v="23"/>
    <n v="60"/>
    <n v="173700"/>
  </r>
  <r>
    <x v="1"/>
    <x v="3"/>
    <x v="1"/>
    <x v="24"/>
    <n v="7"/>
    <n v="113700"/>
  </r>
  <r>
    <x v="1"/>
    <x v="3"/>
    <x v="1"/>
    <x v="26"/>
    <n v="9"/>
    <n v="112600"/>
  </r>
  <r>
    <x v="1"/>
    <x v="3"/>
    <x v="1"/>
    <x v="27"/>
    <n v="97"/>
    <n v="313180"/>
  </r>
  <r>
    <x v="1"/>
    <x v="3"/>
    <x v="1"/>
    <x v="28"/>
    <n v="7"/>
    <n v="89550"/>
  </r>
  <r>
    <x v="1"/>
    <x v="3"/>
    <x v="1"/>
    <x v="29"/>
    <n v="45"/>
    <n v="90800"/>
  </r>
  <r>
    <x v="1"/>
    <x v="3"/>
    <x v="1"/>
    <x v="30"/>
    <n v="49"/>
    <n v="174090"/>
  </r>
  <r>
    <x v="1"/>
    <x v="4"/>
    <x v="0"/>
    <x v="0"/>
    <n v="2"/>
    <n v="219730"/>
  </r>
  <r>
    <x v="1"/>
    <x v="4"/>
    <x v="0"/>
    <x v="1"/>
    <n v="29"/>
    <n v="251430"/>
  </r>
  <r>
    <x v="1"/>
    <x v="4"/>
    <x v="0"/>
    <x v="2"/>
    <n v="7"/>
    <n v="115410"/>
  </r>
  <r>
    <x v="1"/>
    <x v="4"/>
    <x v="0"/>
    <x v="3"/>
    <n v="16"/>
    <n v="88620"/>
  </r>
  <r>
    <x v="1"/>
    <x v="4"/>
    <x v="0"/>
    <x v="4"/>
    <n v="28"/>
    <n v="469930"/>
  </r>
  <r>
    <x v="1"/>
    <x v="4"/>
    <x v="0"/>
    <x v="5"/>
    <n v="5"/>
    <n v="51330"/>
  </r>
  <r>
    <x v="1"/>
    <x v="4"/>
    <x v="0"/>
    <x v="6"/>
    <n v="7"/>
    <n v="151100"/>
  </r>
  <r>
    <x v="1"/>
    <x v="4"/>
    <x v="0"/>
    <x v="7"/>
    <n v="7"/>
    <n v="146060"/>
  </r>
  <r>
    <x v="1"/>
    <x v="4"/>
    <x v="0"/>
    <x v="8"/>
    <n v="17"/>
    <n v="122410"/>
  </r>
  <r>
    <x v="1"/>
    <x v="4"/>
    <x v="0"/>
    <x v="9"/>
    <n v="1"/>
    <n v="104920"/>
  </r>
  <r>
    <x v="1"/>
    <x v="4"/>
    <x v="0"/>
    <x v="10"/>
    <n v="10"/>
    <n v="99140"/>
  </r>
  <r>
    <x v="1"/>
    <x v="4"/>
    <x v="0"/>
    <x v="31"/>
    <n v="4"/>
    <n v="90410"/>
  </r>
  <r>
    <x v="1"/>
    <x v="4"/>
    <x v="0"/>
    <x v="11"/>
    <n v="18"/>
    <n v="155130"/>
  </r>
  <r>
    <x v="1"/>
    <x v="4"/>
    <x v="0"/>
    <x v="12"/>
    <n v="28"/>
    <n v="362610"/>
  </r>
  <r>
    <x v="1"/>
    <x v="4"/>
    <x v="0"/>
    <x v="13"/>
    <n v="35"/>
    <n v="586500"/>
  </r>
  <r>
    <x v="1"/>
    <x v="4"/>
    <x v="0"/>
    <x v="14"/>
    <n v="53"/>
    <n v="230730"/>
  </r>
  <r>
    <x v="1"/>
    <x v="4"/>
    <x v="0"/>
    <x v="15"/>
    <n v="6"/>
    <n v="81510"/>
  </r>
  <r>
    <x v="1"/>
    <x v="4"/>
    <x v="0"/>
    <x v="16"/>
    <n v="6"/>
    <n v="82360"/>
  </r>
  <r>
    <x v="1"/>
    <x v="4"/>
    <x v="0"/>
    <x v="17"/>
    <n v="4"/>
    <n v="93690"/>
  </r>
  <r>
    <x v="1"/>
    <x v="4"/>
    <x v="0"/>
    <x v="18"/>
    <n v="7"/>
    <n v="27600"/>
  </r>
  <r>
    <x v="1"/>
    <x v="4"/>
    <x v="0"/>
    <x v="19"/>
    <n v="14"/>
    <n v="137800"/>
  </r>
  <r>
    <x v="1"/>
    <x v="4"/>
    <x v="0"/>
    <x v="20"/>
    <n v="23"/>
    <n v="336280"/>
  </r>
  <r>
    <x v="1"/>
    <x v="4"/>
    <x v="0"/>
    <x v="21"/>
    <n v="4"/>
    <n v="21220"/>
  </r>
  <r>
    <x v="1"/>
    <x v="4"/>
    <x v="0"/>
    <x v="22"/>
    <n v="14"/>
    <n v="145600"/>
  </r>
  <r>
    <x v="1"/>
    <x v="4"/>
    <x v="0"/>
    <x v="23"/>
    <n v="11"/>
    <n v="173700"/>
  </r>
  <r>
    <x v="1"/>
    <x v="4"/>
    <x v="0"/>
    <x v="24"/>
    <n v="16"/>
    <n v="113700"/>
  </r>
  <r>
    <x v="1"/>
    <x v="4"/>
    <x v="0"/>
    <x v="25"/>
    <n v="4"/>
    <n v="23060"/>
  </r>
  <r>
    <x v="1"/>
    <x v="4"/>
    <x v="0"/>
    <x v="26"/>
    <n v="10"/>
    <n v="112600"/>
  </r>
  <r>
    <x v="1"/>
    <x v="4"/>
    <x v="0"/>
    <x v="27"/>
    <n v="22"/>
    <n v="313180"/>
  </r>
  <r>
    <x v="1"/>
    <x v="4"/>
    <x v="0"/>
    <x v="28"/>
    <n v="9"/>
    <n v="89550"/>
  </r>
  <r>
    <x v="1"/>
    <x v="4"/>
    <x v="0"/>
    <x v="29"/>
    <n v="8"/>
    <n v="90800"/>
  </r>
  <r>
    <x v="1"/>
    <x v="4"/>
    <x v="0"/>
    <x v="30"/>
    <n v="13"/>
    <n v="174090"/>
  </r>
  <r>
    <x v="1"/>
    <x v="4"/>
    <x v="1"/>
    <x v="0"/>
    <n v="14"/>
    <n v="219730"/>
  </r>
  <r>
    <x v="1"/>
    <x v="4"/>
    <x v="1"/>
    <x v="1"/>
    <n v="18"/>
    <n v="251430"/>
  </r>
  <r>
    <x v="1"/>
    <x v="4"/>
    <x v="1"/>
    <x v="2"/>
    <n v="12"/>
    <n v="115410"/>
  </r>
  <r>
    <x v="1"/>
    <x v="4"/>
    <x v="1"/>
    <x v="3"/>
    <n v="8"/>
    <n v="88620"/>
  </r>
  <r>
    <x v="1"/>
    <x v="4"/>
    <x v="1"/>
    <x v="4"/>
    <n v="118"/>
    <n v="469930"/>
  </r>
  <r>
    <x v="1"/>
    <x v="4"/>
    <x v="1"/>
    <x v="5"/>
    <n v="17"/>
    <n v="51330"/>
  </r>
  <r>
    <x v="1"/>
    <x v="4"/>
    <x v="1"/>
    <x v="6"/>
    <n v="6"/>
    <n v="151100"/>
  </r>
  <r>
    <x v="1"/>
    <x v="4"/>
    <x v="1"/>
    <x v="7"/>
    <n v="19"/>
    <n v="146060"/>
  </r>
  <r>
    <x v="1"/>
    <x v="4"/>
    <x v="1"/>
    <x v="8"/>
    <n v="27"/>
    <n v="122410"/>
  </r>
  <r>
    <x v="1"/>
    <x v="4"/>
    <x v="1"/>
    <x v="9"/>
    <n v="14"/>
    <n v="104920"/>
  </r>
  <r>
    <x v="1"/>
    <x v="4"/>
    <x v="1"/>
    <x v="10"/>
    <n v="28"/>
    <n v="99140"/>
  </r>
  <r>
    <x v="1"/>
    <x v="4"/>
    <x v="1"/>
    <x v="31"/>
    <n v="10"/>
    <n v="90410"/>
  </r>
  <r>
    <x v="1"/>
    <x v="4"/>
    <x v="1"/>
    <x v="11"/>
    <n v="29"/>
    <n v="155130"/>
  </r>
  <r>
    <x v="1"/>
    <x v="4"/>
    <x v="1"/>
    <x v="12"/>
    <n v="38"/>
    <n v="362610"/>
  </r>
  <r>
    <x v="1"/>
    <x v="4"/>
    <x v="1"/>
    <x v="13"/>
    <n v="117"/>
    <n v="586500"/>
  </r>
  <r>
    <x v="1"/>
    <x v="4"/>
    <x v="1"/>
    <x v="14"/>
    <n v="23"/>
    <n v="230730"/>
  </r>
  <r>
    <x v="1"/>
    <x v="4"/>
    <x v="1"/>
    <x v="15"/>
    <n v="25"/>
    <n v="81510"/>
  </r>
  <r>
    <x v="1"/>
    <x v="4"/>
    <x v="1"/>
    <x v="16"/>
    <n v="32"/>
    <n v="82360"/>
  </r>
  <r>
    <x v="1"/>
    <x v="4"/>
    <x v="1"/>
    <x v="17"/>
    <n v="8"/>
    <n v="93690"/>
  </r>
  <r>
    <x v="1"/>
    <x v="4"/>
    <x v="1"/>
    <x v="19"/>
    <n v="29"/>
    <n v="137800"/>
  </r>
  <r>
    <x v="1"/>
    <x v="4"/>
    <x v="1"/>
    <x v="20"/>
    <n v="83"/>
    <n v="336280"/>
  </r>
  <r>
    <x v="1"/>
    <x v="4"/>
    <x v="1"/>
    <x v="21"/>
    <n v="1"/>
    <n v="21220"/>
  </r>
  <r>
    <x v="1"/>
    <x v="4"/>
    <x v="1"/>
    <x v="22"/>
    <n v="3"/>
    <n v="145600"/>
  </r>
  <r>
    <x v="1"/>
    <x v="4"/>
    <x v="1"/>
    <x v="23"/>
    <n v="37"/>
    <n v="173700"/>
  </r>
  <r>
    <x v="1"/>
    <x v="4"/>
    <x v="1"/>
    <x v="24"/>
    <n v="33"/>
    <n v="113700"/>
  </r>
  <r>
    <x v="1"/>
    <x v="4"/>
    <x v="1"/>
    <x v="25"/>
    <n v="1"/>
    <n v="23060"/>
  </r>
  <r>
    <x v="1"/>
    <x v="4"/>
    <x v="1"/>
    <x v="26"/>
    <n v="9"/>
    <n v="112600"/>
  </r>
  <r>
    <x v="1"/>
    <x v="4"/>
    <x v="1"/>
    <x v="27"/>
    <n v="78"/>
    <n v="313180"/>
  </r>
  <r>
    <x v="1"/>
    <x v="4"/>
    <x v="1"/>
    <x v="28"/>
    <n v="6"/>
    <n v="89550"/>
  </r>
  <r>
    <x v="1"/>
    <x v="4"/>
    <x v="1"/>
    <x v="29"/>
    <n v="13"/>
    <n v="90800"/>
  </r>
  <r>
    <x v="1"/>
    <x v="4"/>
    <x v="1"/>
    <x v="30"/>
    <n v="78"/>
    <n v="174090"/>
  </r>
  <r>
    <x v="1"/>
    <x v="5"/>
    <x v="0"/>
    <x v="0"/>
    <n v="77"/>
    <n v="219730"/>
  </r>
  <r>
    <x v="1"/>
    <x v="5"/>
    <x v="0"/>
    <x v="1"/>
    <n v="84"/>
    <n v="251430"/>
  </r>
  <r>
    <x v="1"/>
    <x v="5"/>
    <x v="0"/>
    <x v="2"/>
    <n v="58"/>
    <n v="115410"/>
  </r>
  <r>
    <x v="1"/>
    <x v="5"/>
    <x v="0"/>
    <x v="3"/>
    <n v="120"/>
    <n v="88620"/>
  </r>
  <r>
    <x v="1"/>
    <x v="5"/>
    <x v="0"/>
    <x v="4"/>
    <n v="311"/>
    <n v="469930"/>
  </r>
  <r>
    <x v="1"/>
    <x v="5"/>
    <x v="0"/>
    <x v="5"/>
    <n v="37"/>
    <n v="51330"/>
  </r>
  <r>
    <x v="1"/>
    <x v="5"/>
    <x v="0"/>
    <x v="6"/>
    <n v="93"/>
    <n v="151100"/>
  </r>
  <r>
    <x v="1"/>
    <x v="5"/>
    <x v="0"/>
    <x v="7"/>
    <n v="94"/>
    <n v="146060"/>
  </r>
  <r>
    <x v="1"/>
    <x v="5"/>
    <x v="0"/>
    <x v="8"/>
    <n v="51"/>
    <n v="122410"/>
  </r>
  <r>
    <x v="1"/>
    <x v="5"/>
    <x v="0"/>
    <x v="9"/>
    <n v="31"/>
    <n v="104920"/>
  </r>
  <r>
    <x v="1"/>
    <x v="5"/>
    <x v="0"/>
    <x v="10"/>
    <n v="34"/>
    <n v="99140"/>
  </r>
  <r>
    <x v="1"/>
    <x v="5"/>
    <x v="0"/>
    <x v="31"/>
    <n v="9"/>
    <n v="90410"/>
  </r>
  <r>
    <x v="1"/>
    <x v="5"/>
    <x v="0"/>
    <x v="11"/>
    <n v="111"/>
    <n v="155130"/>
  </r>
  <r>
    <x v="1"/>
    <x v="5"/>
    <x v="0"/>
    <x v="12"/>
    <n v="226"/>
    <n v="362610"/>
  </r>
  <r>
    <x v="1"/>
    <x v="5"/>
    <x v="0"/>
    <x v="13"/>
    <n v="187"/>
    <n v="586500"/>
  </r>
  <r>
    <x v="1"/>
    <x v="5"/>
    <x v="0"/>
    <x v="14"/>
    <n v="342"/>
    <n v="230730"/>
  </r>
  <r>
    <x v="1"/>
    <x v="5"/>
    <x v="0"/>
    <x v="15"/>
    <n v="14"/>
    <n v="81510"/>
  </r>
  <r>
    <x v="1"/>
    <x v="5"/>
    <x v="0"/>
    <x v="16"/>
    <n v="29"/>
    <n v="82360"/>
  </r>
  <r>
    <x v="1"/>
    <x v="5"/>
    <x v="0"/>
    <x v="17"/>
    <n v="42"/>
    <n v="93690"/>
  </r>
  <r>
    <x v="1"/>
    <x v="5"/>
    <x v="0"/>
    <x v="18"/>
    <n v="33"/>
    <n v="27600"/>
  </r>
  <r>
    <x v="1"/>
    <x v="5"/>
    <x v="0"/>
    <x v="19"/>
    <n v="57"/>
    <n v="137800"/>
  </r>
  <r>
    <x v="1"/>
    <x v="5"/>
    <x v="0"/>
    <x v="20"/>
    <n v="58"/>
    <n v="336280"/>
  </r>
  <r>
    <x v="1"/>
    <x v="5"/>
    <x v="0"/>
    <x v="21"/>
    <n v="4"/>
    <n v="21220"/>
  </r>
  <r>
    <x v="1"/>
    <x v="5"/>
    <x v="0"/>
    <x v="22"/>
    <n v="112"/>
    <n v="145600"/>
  </r>
  <r>
    <x v="1"/>
    <x v="5"/>
    <x v="0"/>
    <x v="23"/>
    <n v="29"/>
    <n v="173700"/>
  </r>
  <r>
    <x v="1"/>
    <x v="5"/>
    <x v="0"/>
    <x v="24"/>
    <n v="49"/>
    <n v="113700"/>
  </r>
  <r>
    <x v="1"/>
    <x v="5"/>
    <x v="0"/>
    <x v="25"/>
    <n v="17"/>
    <n v="23060"/>
  </r>
  <r>
    <x v="1"/>
    <x v="5"/>
    <x v="0"/>
    <x v="26"/>
    <n v="49"/>
    <n v="112600"/>
  </r>
  <r>
    <x v="1"/>
    <x v="5"/>
    <x v="0"/>
    <x v="27"/>
    <n v="83"/>
    <n v="313180"/>
  </r>
  <r>
    <x v="1"/>
    <x v="5"/>
    <x v="0"/>
    <x v="28"/>
    <n v="59"/>
    <n v="89550"/>
  </r>
  <r>
    <x v="1"/>
    <x v="5"/>
    <x v="0"/>
    <x v="29"/>
    <n v="20"/>
    <n v="90800"/>
  </r>
  <r>
    <x v="1"/>
    <x v="5"/>
    <x v="0"/>
    <x v="30"/>
    <n v="95"/>
    <n v="174090"/>
  </r>
  <r>
    <x v="1"/>
    <x v="5"/>
    <x v="1"/>
    <x v="0"/>
    <n v="445"/>
    <n v="219730"/>
  </r>
  <r>
    <x v="1"/>
    <x v="5"/>
    <x v="1"/>
    <x v="1"/>
    <n v="180"/>
    <n v="251430"/>
  </r>
  <r>
    <x v="1"/>
    <x v="5"/>
    <x v="1"/>
    <x v="2"/>
    <n v="139"/>
    <n v="115410"/>
  </r>
  <r>
    <x v="1"/>
    <x v="5"/>
    <x v="1"/>
    <x v="3"/>
    <n v="140"/>
    <n v="88620"/>
  </r>
  <r>
    <x v="1"/>
    <x v="5"/>
    <x v="1"/>
    <x v="4"/>
    <n v="1575"/>
    <n v="469930"/>
  </r>
  <r>
    <x v="1"/>
    <x v="5"/>
    <x v="1"/>
    <x v="5"/>
    <n v="159"/>
    <n v="51330"/>
  </r>
  <r>
    <x v="1"/>
    <x v="5"/>
    <x v="1"/>
    <x v="6"/>
    <n v="167"/>
    <n v="151100"/>
  </r>
  <r>
    <x v="1"/>
    <x v="5"/>
    <x v="1"/>
    <x v="7"/>
    <n v="820"/>
    <n v="146060"/>
  </r>
  <r>
    <x v="1"/>
    <x v="5"/>
    <x v="1"/>
    <x v="8"/>
    <n v="1025"/>
    <n v="122410"/>
  </r>
  <r>
    <x v="1"/>
    <x v="5"/>
    <x v="1"/>
    <x v="9"/>
    <n v="311"/>
    <n v="104920"/>
  </r>
  <r>
    <x v="1"/>
    <x v="5"/>
    <x v="1"/>
    <x v="10"/>
    <n v="252"/>
    <n v="99140"/>
  </r>
  <r>
    <x v="1"/>
    <x v="5"/>
    <x v="1"/>
    <x v="31"/>
    <n v="284"/>
    <n v="90410"/>
  </r>
  <r>
    <x v="1"/>
    <x v="5"/>
    <x v="1"/>
    <x v="11"/>
    <n v="617"/>
    <n v="155130"/>
  </r>
  <r>
    <x v="1"/>
    <x v="5"/>
    <x v="1"/>
    <x v="12"/>
    <n v="899"/>
    <n v="362610"/>
  </r>
  <r>
    <x v="1"/>
    <x v="5"/>
    <x v="1"/>
    <x v="13"/>
    <n v="3771"/>
    <n v="586500"/>
  </r>
  <r>
    <x v="1"/>
    <x v="5"/>
    <x v="1"/>
    <x v="14"/>
    <n v="255"/>
    <n v="230730"/>
  </r>
  <r>
    <x v="1"/>
    <x v="5"/>
    <x v="1"/>
    <x v="15"/>
    <n v="885"/>
    <n v="81510"/>
  </r>
  <r>
    <x v="1"/>
    <x v="5"/>
    <x v="1"/>
    <x v="16"/>
    <n v="331"/>
    <n v="82360"/>
  </r>
  <r>
    <x v="1"/>
    <x v="5"/>
    <x v="1"/>
    <x v="17"/>
    <n v="131"/>
    <n v="93690"/>
  </r>
  <r>
    <x v="1"/>
    <x v="5"/>
    <x v="1"/>
    <x v="18"/>
    <n v="13"/>
    <n v="27600"/>
  </r>
  <r>
    <x v="1"/>
    <x v="5"/>
    <x v="1"/>
    <x v="19"/>
    <n v="966"/>
    <n v="137800"/>
  </r>
  <r>
    <x v="1"/>
    <x v="5"/>
    <x v="1"/>
    <x v="20"/>
    <n v="2661"/>
    <n v="336280"/>
  </r>
  <r>
    <x v="1"/>
    <x v="5"/>
    <x v="1"/>
    <x v="21"/>
    <n v="7"/>
    <n v="21220"/>
  </r>
  <r>
    <x v="1"/>
    <x v="5"/>
    <x v="1"/>
    <x v="22"/>
    <n v="158"/>
    <n v="145600"/>
  </r>
  <r>
    <x v="1"/>
    <x v="5"/>
    <x v="1"/>
    <x v="23"/>
    <n v="1051"/>
    <n v="173700"/>
  </r>
  <r>
    <x v="1"/>
    <x v="5"/>
    <x v="1"/>
    <x v="24"/>
    <n v="101"/>
    <n v="113700"/>
  </r>
  <r>
    <x v="1"/>
    <x v="5"/>
    <x v="1"/>
    <x v="26"/>
    <n v="571"/>
    <n v="112600"/>
  </r>
  <r>
    <x v="1"/>
    <x v="5"/>
    <x v="1"/>
    <x v="27"/>
    <n v="1861"/>
    <n v="313180"/>
  </r>
  <r>
    <x v="1"/>
    <x v="5"/>
    <x v="1"/>
    <x v="28"/>
    <n v="168"/>
    <n v="89550"/>
  </r>
  <r>
    <x v="1"/>
    <x v="5"/>
    <x v="1"/>
    <x v="29"/>
    <n v="836"/>
    <n v="90800"/>
  </r>
  <r>
    <x v="1"/>
    <x v="5"/>
    <x v="1"/>
    <x v="30"/>
    <n v="823"/>
    <n v="174090"/>
  </r>
  <r>
    <x v="2"/>
    <x v="0"/>
    <x v="0"/>
    <x v="0"/>
    <n v="13"/>
    <n v="222460"/>
  </r>
  <r>
    <x v="2"/>
    <x v="0"/>
    <x v="0"/>
    <x v="1"/>
    <n v="102"/>
    <n v="253650"/>
  </r>
  <r>
    <x v="2"/>
    <x v="0"/>
    <x v="0"/>
    <x v="2"/>
    <n v="34"/>
    <n v="116200"/>
  </r>
  <r>
    <x v="2"/>
    <x v="0"/>
    <x v="0"/>
    <x v="3"/>
    <n v="96"/>
    <n v="88930"/>
  </r>
  <r>
    <x v="2"/>
    <x v="0"/>
    <x v="0"/>
    <x v="4"/>
    <n v="14"/>
    <n v="477940"/>
  </r>
  <r>
    <x v="2"/>
    <x v="0"/>
    <x v="0"/>
    <x v="5"/>
    <n v="3"/>
    <n v="51500"/>
  </r>
  <r>
    <x v="2"/>
    <x v="0"/>
    <x v="0"/>
    <x v="6"/>
    <n v="73"/>
    <n v="151410"/>
  </r>
  <r>
    <x v="2"/>
    <x v="0"/>
    <x v="0"/>
    <x v="7"/>
    <n v="1"/>
    <n v="147200"/>
  </r>
  <r>
    <x v="2"/>
    <x v="0"/>
    <x v="0"/>
    <x v="8"/>
    <n v="15"/>
    <n v="122690"/>
  </r>
  <r>
    <x v="2"/>
    <x v="0"/>
    <x v="0"/>
    <x v="9"/>
    <n v="2"/>
    <n v="105000"/>
  </r>
  <r>
    <x v="2"/>
    <x v="0"/>
    <x v="0"/>
    <x v="10"/>
    <n v="30"/>
    <n v="99920"/>
  </r>
  <r>
    <x v="2"/>
    <x v="0"/>
    <x v="0"/>
    <x v="31"/>
    <n v="6"/>
    <n v="90810"/>
  </r>
  <r>
    <x v="2"/>
    <x v="0"/>
    <x v="0"/>
    <x v="11"/>
    <n v="11"/>
    <n v="156250"/>
  </r>
  <r>
    <x v="2"/>
    <x v="0"/>
    <x v="0"/>
    <x v="12"/>
    <n v="39"/>
    <n v="365300"/>
  </r>
  <r>
    <x v="2"/>
    <x v="0"/>
    <x v="0"/>
    <x v="13"/>
    <n v="6"/>
    <n v="593060"/>
  </r>
  <r>
    <x v="2"/>
    <x v="0"/>
    <x v="0"/>
    <x v="14"/>
    <n v="334"/>
    <n v="232730"/>
  </r>
  <r>
    <x v="2"/>
    <x v="0"/>
    <x v="0"/>
    <x v="15"/>
    <n v="6"/>
    <n v="81220"/>
  </r>
  <r>
    <x v="2"/>
    <x v="0"/>
    <x v="0"/>
    <x v="16"/>
    <n v="7"/>
    <n v="83450"/>
  </r>
  <r>
    <x v="2"/>
    <x v="0"/>
    <x v="0"/>
    <x v="17"/>
    <n v="56"/>
    <n v="93470"/>
  </r>
  <r>
    <x v="2"/>
    <x v="0"/>
    <x v="0"/>
    <x v="18"/>
    <n v="81"/>
    <n v="27690"/>
  </r>
  <r>
    <x v="2"/>
    <x v="0"/>
    <x v="0"/>
    <x v="19"/>
    <n v="17"/>
    <n v="138090"/>
  </r>
  <r>
    <x v="2"/>
    <x v="0"/>
    <x v="0"/>
    <x v="20"/>
    <n v="9"/>
    <n v="337720"/>
  </r>
  <r>
    <x v="2"/>
    <x v="0"/>
    <x v="0"/>
    <x v="21"/>
    <n v="19"/>
    <n v="21420"/>
  </r>
  <r>
    <x v="2"/>
    <x v="0"/>
    <x v="0"/>
    <x v="22"/>
    <n v="83"/>
    <n v="146850"/>
  </r>
  <r>
    <x v="2"/>
    <x v="0"/>
    <x v="0"/>
    <x v="23"/>
    <n v="4"/>
    <n v="174700"/>
  </r>
  <r>
    <x v="2"/>
    <x v="0"/>
    <x v="0"/>
    <x v="24"/>
    <n v="75"/>
    <n v="113880"/>
  </r>
  <r>
    <x v="2"/>
    <x v="0"/>
    <x v="0"/>
    <x v="25"/>
    <n v="13"/>
    <n v="23240"/>
  </r>
  <r>
    <x v="2"/>
    <x v="0"/>
    <x v="0"/>
    <x v="26"/>
    <n v="28"/>
    <n v="112980"/>
  </r>
  <r>
    <x v="2"/>
    <x v="0"/>
    <x v="0"/>
    <x v="27"/>
    <n v="29"/>
    <n v="313900"/>
  </r>
  <r>
    <x v="2"/>
    <x v="0"/>
    <x v="0"/>
    <x v="28"/>
    <n v="24"/>
    <n v="90330"/>
  </r>
  <r>
    <x v="2"/>
    <x v="0"/>
    <x v="0"/>
    <x v="29"/>
    <n v="4"/>
    <n v="90610"/>
  </r>
  <r>
    <x v="2"/>
    <x v="0"/>
    <x v="0"/>
    <x v="30"/>
    <n v="9"/>
    <n v="175300"/>
  </r>
  <r>
    <x v="2"/>
    <x v="0"/>
    <x v="1"/>
    <x v="3"/>
    <n v="1"/>
    <n v="88930"/>
  </r>
  <r>
    <x v="2"/>
    <x v="0"/>
    <x v="1"/>
    <x v="15"/>
    <n v="1"/>
    <n v="81220"/>
  </r>
  <r>
    <x v="2"/>
    <x v="1"/>
    <x v="0"/>
    <x v="0"/>
    <n v="322"/>
    <n v="222460"/>
  </r>
  <r>
    <x v="2"/>
    <x v="1"/>
    <x v="0"/>
    <x v="1"/>
    <n v="198"/>
    <n v="253650"/>
  </r>
  <r>
    <x v="2"/>
    <x v="1"/>
    <x v="0"/>
    <x v="2"/>
    <n v="95"/>
    <n v="116200"/>
  </r>
  <r>
    <x v="2"/>
    <x v="1"/>
    <x v="0"/>
    <x v="3"/>
    <n v="83"/>
    <n v="88930"/>
  </r>
  <r>
    <x v="2"/>
    <x v="1"/>
    <x v="0"/>
    <x v="4"/>
    <n v="608"/>
    <n v="477940"/>
  </r>
  <r>
    <x v="2"/>
    <x v="1"/>
    <x v="0"/>
    <x v="5"/>
    <n v="51"/>
    <n v="51500"/>
  </r>
  <r>
    <x v="2"/>
    <x v="1"/>
    <x v="0"/>
    <x v="6"/>
    <n v="96"/>
    <n v="151410"/>
  </r>
  <r>
    <x v="2"/>
    <x v="1"/>
    <x v="0"/>
    <x v="7"/>
    <n v="236"/>
    <n v="147200"/>
  </r>
  <r>
    <x v="2"/>
    <x v="1"/>
    <x v="0"/>
    <x v="8"/>
    <n v="99"/>
    <n v="122690"/>
  </r>
  <r>
    <x v="2"/>
    <x v="1"/>
    <x v="0"/>
    <x v="9"/>
    <n v="64"/>
    <n v="105000"/>
  </r>
  <r>
    <x v="2"/>
    <x v="1"/>
    <x v="0"/>
    <x v="10"/>
    <n v="86"/>
    <n v="99920"/>
  </r>
  <r>
    <x v="2"/>
    <x v="1"/>
    <x v="0"/>
    <x v="31"/>
    <n v="59"/>
    <n v="90810"/>
  </r>
  <r>
    <x v="2"/>
    <x v="1"/>
    <x v="0"/>
    <x v="11"/>
    <n v="101"/>
    <n v="156250"/>
  </r>
  <r>
    <x v="2"/>
    <x v="1"/>
    <x v="0"/>
    <x v="12"/>
    <n v="247"/>
    <n v="365300"/>
  </r>
  <r>
    <x v="2"/>
    <x v="1"/>
    <x v="0"/>
    <x v="13"/>
    <n v="932"/>
    <n v="593060"/>
  </r>
  <r>
    <x v="2"/>
    <x v="1"/>
    <x v="0"/>
    <x v="14"/>
    <n v="136"/>
    <n v="232730"/>
  </r>
  <r>
    <x v="2"/>
    <x v="1"/>
    <x v="0"/>
    <x v="15"/>
    <n v="72"/>
    <n v="81220"/>
  </r>
  <r>
    <x v="2"/>
    <x v="1"/>
    <x v="0"/>
    <x v="16"/>
    <n v="65"/>
    <n v="83450"/>
  </r>
  <r>
    <x v="2"/>
    <x v="1"/>
    <x v="0"/>
    <x v="17"/>
    <n v="67"/>
    <n v="93470"/>
  </r>
  <r>
    <x v="2"/>
    <x v="1"/>
    <x v="0"/>
    <x v="18"/>
    <n v="17"/>
    <n v="27690"/>
  </r>
  <r>
    <x v="2"/>
    <x v="1"/>
    <x v="0"/>
    <x v="19"/>
    <n v="120"/>
    <n v="138090"/>
  </r>
  <r>
    <x v="2"/>
    <x v="1"/>
    <x v="0"/>
    <x v="20"/>
    <n v="279"/>
    <n v="337720"/>
  </r>
  <r>
    <x v="2"/>
    <x v="1"/>
    <x v="0"/>
    <x v="21"/>
    <n v="12"/>
    <n v="21420"/>
  </r>
  <r>
    <x v="2"/>
    <x v="1"/>
    <x v="0"/>
    <x v="22"/>
    <n v="112"/>
    <n v="146850"/>
  </r>
  <r>
    <x v="2"/>
    <x v="1"/>
    <x v="0"/>
    <x v="23"/>
    <n v="212"/>
    <n v="174700"/>
  </r>
  <r>
    <x v="2"/>
    <x v="1"/>
    <x v="0"/>
    <x v="24"/>
    <n v="92"/>
    <n v="113880"/>
  </r>
  <r>
    <x v="2"/>
    <x v="1"/>
    <x v="0"/>
    <x v="25"/>
    <n v="10"/>
    <n v="23240"/>
  </r>
  <r>
    <x v="2"/>
    <x v="1"/>
    <x v="0"/>
    <x v="26"/>
    <n v="73"/>
    <n v="112980"/>
  </r>
  <r>
    <x v="2"/>
    <x v="1"/>
    <x v="0"/>
    <x v="27"/>
    <n v="254"/>
    <n v="313900"/>
  </r>
  <r>
    <x v="2"/>
    <x v="1"/>
    <x v="0"/>
    <x v="28"/>
    <n v="64"/>
    <n v="90330"/>
  </r>
  <r>
    <x v="2"/>
    <x v="1"/>
    <x v="0"/>
    <x v="29"/>
    <n v="105"/>
    <n v="90610"/>
  </r>
  <r>
    <x v="2"/>
    <x v="1"/>
    <x v="0"/>
    <x v="30"/>
    <n v="150"/>
    <n v="175300"/>
  </r>
  <r>
    <x v="2"/>
    <x v="1"/>
    <x v="1"/>
    <x v="0"/>
    <n v="53"/>
    <n v="222460"/>
  </r>
  <r>
    <x v="2"/>
    <x v="1"/>
    <x v="1"/>
    <x v="1"/>
    <n v="9"/>
    <n v="253650"/>
  </r>
  <r>
    <x v="2"/>
    <x v="1"/>
    <x v="1"/>
    <x v="2"/>
    <n v="6"/>
    <n v="116200"/>
  </r>
  <r>
    <x v="2"/>
    <x v="1"/>
    <x v="1"/>
    <x v="3"/>
    <n v="9"/>
    <n v="88930"/>
  </r>
  <r>
    <x v="2"/>
    <x v="1"/>
    <x v="1"/>
    <x v="4"/>
    <n v="138"/>
    <n v="477940"/>
  </r>
  <r>
    <x v="2"/>
    <x v="1"/>
    <x v="1"/>
    <x v="5"/>
    <n v="7"/>
    <n v="51500"/>
  </r>
  <r>
    <x v="2"/>
    <x v="1"/>
    <x v="1"/>
    <x v="6"/>
    <n v="10"/>
    <n v="151410"/>
  </r>
  <r>
    <x v="2"/>
    <x v="1"/>
    <x v="1"/>
    <x v="7"/>
    <n v="40"/>
    <n v="147200"/>
  </r>
  <r>
    <x v="2"/>
    <x v="1"/>
    <x v="1"/>
    <x v="8"/>
    <n v="17"/>
    <n v="122690"/>
  </r>
  <r>
    <x v="2"/>
    <x v="1"/>
    <x v="1"/>
    <x v="9"/>
    <n v="1"/>
    <n v="105000"/>
  </r>
  <r>
    <x v="2"/>
    <x v="1"/>
    <x v="1"/>
    <x v="10"/>
    <n v="12"/>
    <n v="99920"/>
  </r>
  <r>
    <x v="2"/>
    <x v="1"/>
    <x v="1"/>
    <x v="31"/>
    <n v="9"/>
    <n v="90810"/>
  </r>
  <r>
    <x v="2"/>
    <x v="1"/>
    <x v="1"/>
    <x v="11"/>
    <n v="18"/>
    <n v="156250"/>
  </r>
  <r>
    <x v="2"/>
    <x v="1"/>
    <x v="1"/>
    <x v="12"/>
    <n v="56"/>
    <n v="365300"/>
  </r>
  <r>
    <x v="2"/>
    <x v="1"/>
    <x v="1"/>
    <x v="13"/>
    <n v="281"/>
    <n v="593060"/>
  </r>
  <r>
    <x v="2"/>
    <x v="1"/>
    <x v="1"/>
    <x v="14"/>
    <n v="7"/>
    <n v="232730"/>
  </r>
  <r>
    <x v="2"/>
    <x v="1"/>
    <x v="1"/>
    <x v="15"/>
    <n v="36"/>
    <n v="81220"/>
  </r>
  <r>
    <x v="2"/>
    <x v="1"/>
    <x v="1"/>
    <x v="16"/>
    <n v="14"/>
    <n v="83450"/>
  </r>
  <r>
    <x v="2"/>
    <x v="1"/>
    <x v="1"/>
    <x v="17"/>
    <n v="8"/>
    <n v="93470"/>
  </r>
  <r>
    <x v="2"/>
    <x v="1"/>
    <x v="1"/>
    <x v="19"/>
    <n v="22"/>
    <n v="138090"/>
  </r>
  <r>
    <x v="2"/>
    <x v="1"/>
    <x v="1"/>
    <x v="20"/>
    <n v="66"/>
    <n v="337720"/>
  </r>
  <r>
    <x v="2"/>
    <x v="1"/>
    <x v="1"/>
    <x v="22"/>
    <n v="15"/>
    <n v="146850"/>
  </r>
  <r>
    <x v="2"/>
    <x v="1"/>
    <x v="1"/>
    <x v="23"/>
    <n v="52"/>
    <n v="174700"/>
  </r>
  <r>
    <x v="2"/>
    <x v="1"/>
    <x v="1"/>
    <x v="24"/>
    <n v="3"/>
    <n v="113880"/>
  </r>
  <r>
    <x v="2"/>
    <x v="1"/>
    <x v="1"/>
    <x v="26"/>
    <n v="13"/>
    <n v="112980"/>
  </r>
  <r>
    <x v="2"/>
    <x v="1"/>
    <x v="1"/>
    <x v="27"/>
    <n v="58"/>
    <n v="313900"/>
  </r>
  <r>
    <x v="2"/>
    <x v="1"/>
    <x v="1"/>
    <x v="28"/>
    <n v="5"/>
    <n v="90330"/>
  </r>
  <r>
    <x v="2"/>
    <x v="1"/>
    <x v="1"/>
    <x v="29"/>
    <n v="43"/>
    <n v="90610"/>
  </r>
  <r>
    <x v="2"/>
    <x v="1"/>
    <x v="1"/>
    <x v="30"/>
    <n v="32"/>
    <n v="175300"/>
  </r>
  <r>
    <x v="2"/>
    <x v="2"/>
    <x v="0"/>
    <x v="0"/>
    <n v="112"/>
    <n v="222460"/>
  </r>
  <r>
    <x v="2"/>
    <x v="2"/>
    <x v="0"/>
    <x v="1"/>
    <n v="70"/>
    <n v="253650"/>
  </r>
  <r>
    <x v="2"/>
    <x v="2"/>
    <x v="0"/>
    <x v="2"/>
    <n v="22"/>
    <n v="116200"/>
  </r>
  <r>
    <x v="2"/>
    <x v="2"/>
    <x v="0"/>
    <x v="3"/>
    <n v="51"/>
    <n v="88930"/>
  </r>
  <r>
    <x v="2"/>
    <x v="2"/>
    <x v="0"/>
    <x v="4"/>
    <n v="238"/>
    <n v="477940"/>
  </r>
  <r>
    <x v="2"/>
    <x v="2"/>
    <x v="0"/>
    <x v="5"/>
    <n v="10"/>
    <n v="51500"/>
  </r>
  <r>
    <x v="2"/>
    <x v="2"/>
    <x v="0"/>
    <x v="6"/>
    <n v="37"/>
    <n v="151410"/>
  </r>
  <r>
    <x v="2"/>
    <x v="2"/>
    <x v="0"/>
    <x v="7"/>
    <n v="73"/>
    <n v="147200"/>
  </r>
  <r>
    <x v="2"/>
    <x v="2"/>
    <x v="0"/>
    <x v="8"/>
    <n v="31"/>
    <n v="122690"/>
  </r>
  <r>
    <x v="2"/>
    <x v="2"/>
    <x v="0"/>
    <x v="9"/>
    <n v="19"/>
    <n v="105000"/>
  </r>
  <r>
    <x v="2"/>
    <x v="2"/>
    <x v="0"/>
    <x v="10"/>
    <n v="31"/>
    <n v="99920"/>
  </r>
  <r>
    <x v="2"/>
    <x v="2"/>
    <x v="0"/>
    <x v="31"/>
    <n v="16"/>
    <n v="90810"/>
  </r>
  <r>
    <x v="2"/>
    <x v="2"/>
    <x v="0"/>
    <x v="11"/>
    <n v="46"/>
    <n v="156250"/>
  </r>
  <r>
    <x v="2"/>
    <x v="2"/>
    <x v="0"/>
    <x v="12"/>
    <n v="92"/>
    <n v="365300"/>
  </r>
  <r>
    <x v="2"/>
    <x v="2"/>
    <x v="0"/>
    <x v="13"/>
    <n v="375"/>
    <n v="593060"/>
  </r>
  <r>
    <x v="2"/>
    <x v="2"/>
    <x v="0"/>
    <x v="14"/>
    <n v="73"/>
    <n v="232730"/>
  </r>
  <r>
    <x v="2"/>
    <x v="2"/>
    <x v="0"/>
    <x v="15"/>
    <n v="19"/>
    <n v="81220"/>
  </r>
  <r>
    <x v="2"/>
    <x v="2"/>
    <x v="0"/>
    <x v="16"/>
    <n v="19"/>
    <n v="83450"/>
  </r>
  <r>
    <x v="2"/>
    <x v="2"/>
    <x v="0"/>
    <x v="17"/>
    <n v="23"/>
    <n v="93470"/>
  </r>
  <r>
    <x v="2"/>
    <x v="2"/>
    <x v="0"/>
    <x v="18"/>
    <n v="5"/>
    <n v="27690"/>
  </r>
  <r>
    <x v="2"/>
    <x v="2"/>
    <x v="0"/>
    <x v="19"/>
    <n v="38"/>
    <n v="138090"/>
  </r>
  <r>
    <x v="2"/>
    <x v="2"/>
    <x v="0"/>
    <x v="20"/>
    <n v="73"/>
    <n v="337720"/>
  </r>
  <r>
    <x v="2"/>
    <x v="2"/>
    <x v="0"/>
    <x v="21"/>
    <n v="5"/>
    <n v="21420"/>
  </r>
  <r>
    <x v="2"/>
    <x v="2"/>
    <x v="0"/>
    <x v="22"/>
    <n v="63"/>
    <n v="146850"/>
  </r>
  <r>
    <x v="2"/>
    <x v="2"/>
    <x v="0"/>
    <x v="23"/>
    <n v="54"/>
    <n v="174700"/>
  </r>
  <r>
    <x v="2"/>
    <x v="2"/>
    <x v="0"/>
    <x v="24"/>
    <n v="39"/>
    <n v="113880"/>
  </r>
  <r>
    <x v="2"/>
    <x v="2"/>
    <x v="0"/>
    <x v="25"/>
    <n v="8"/>
    <n v="23240"/>
  </r>
  <r>
    <x v="2"/>
    <x v="2"/>
    <x v="0"/>
    <x v="26"/>
    <n v="35"/>
    <n v="112980"/>
  </r>
  <r>
    <x v="2"/>
    <x v="2"/>
    <x v="0"/>
    <x v="27"/>
    <n v="59"/>
    <n v="313900"/>
  </r>
  <r>
    <x v="2"/>
    <x v="2"/>
    <x v="0"/>
    <x v="28"/>
    <n v="33"/>
    <n v="90330"/>
  </r>
  <r>
    <x v="2"/>
    <x v="2"/>
    <x v="0"/>
    <x v="29"/>
    <n v="29"/>
    <n v="90610"/>
  </r>
  <r>
    <x v="2"/>
    <x v="2"/>
    <x v="0"/>
    <x v="30"/>
    <n v="56"/>
    <n v="175300"/>
  </r>
  <r>
    <x v="2"/>
    <x v="2"/>
    <x v="1"/>
    <x v="0"/>
    <n v="43"/>
    <n v="222460"/>
  </r>
  <r>
    <x v="2"/>
    <x v="2"/>
    <x v="1"/>
    <x v="1"/>
    <n v="23"/>
    <n v="253650"/>
  </r>
  <r>
    <x v="2"/>
    <x v="2"/>
    <x v="1"/>
    <x v="2"/>
    <n v="10"/>
    <n v="116200"/>
  </r>
  <r>
    <x v="2"/>
    <x v="2"/>
    <x v="1"/>
    <x v="3"/>
    <n v="5"/>
    <n v="88930"/>
  </r>
  <r>
    <x v="2"/>
    <x v="2"/>
    <x v="1"/>
    <x v="4"/>
    <n v="78"/>
    <n v="477940"/>
  </r>
  <r>
    <x v="2"/>
    <x v="2"/>
    <x v="1"/>
    <x v="5"/>
    <n v="6"/>
    <n v="51500"/>
  </r>
  <r>
    <x v="2"/>
    <x v="2"/>
    <x v="1"/>
    <x v="6"/>
    <n v="20"/>
    <n v="151410"/>
  </r>
  <r>
    <x v="2"/>
    <x v="2"/>
    <x v="1"/>
    <x v="7"/>
    <n v="12"/>
    <n v="147200"/>
  </r>
  <r>
    <x v="2"/>
    <x v="2"/>
    <x v="1"/>
    <x v="8"/>
    <n v="32"/>
    <n v="122690"/>
  </r>
  <r>
    <x v="2"/>
    <x v="2"/>
    <x v="1"/>
    <x v="9"/>
    <n v="12"/>
    <n v="105000"/>
  </r>
  <r>
    <x v="2"/>
    <x v="2"/>
    <x v="1"/>
    <x v="10"/>
    <n v="11"/>
    <n v="99920"/>
  </r>
  <r>
    <x v="2"/>
    <x v="2"/>
    <x v="1"/>
    <x v="31"/>
    <n v="14"/>
    <n v="90810"/>
  </r>
  <r>
    <x v="2"/>
    <x v="2"/>
    <x v="1"/>
    <x v="11"/>
    <n v="29"/>
    <n v="156250"/>
  </r>
  <r>
    <x v="2"/>
    <x v="2"/>
    <x v="1"/>
    <x v="12"/>
    <n v="41"/>
    <n v="365300"/>
  </r>
  <r>
    <x v="2"/>
    <x v="2"/>
    <x v="1"/>
    <x v="13"/>
    <n v="136"/>
    <n v="593060"/>
  </r>
  <r>
    <x v="2"/>
    <x v="2"/>
    <x v="1"/>
    <x v="14"/>
    <n v="15"/>
    <n v="232730"/>
  </r>
  <r>
    <x v="2"/>
    <x v="2"/>
    <x v="1"/>
    <x v="15"/>
    <n v="24"/>
    <n v="81220"/>
  </r>
  <r>
    <x v="2"/>
    <x v="2"/>
    <x v="1"/>
    <x v="16"/>
    <n v="21"/>
    <n v="83450"/>
  </r>
  <r>
    <x v="2"/>
    <x v="2"/>
    <x v="1"/>
    <x v="17"/>
    <n v="12"/>
    <n v="93470"/>
  </r>
  <r>
    <x v="2"/>
    <x v="2"/>
    <x v="1"/>
    <x v="19"/>
    <n v="30"/>
    <n v="138090"/>
  </r>
  <r>
    <x v="2"/>
    <x v="2"/>
    <x v="1"/>
    <x v="20"/>
    <n v="91"/>
    <n v="337720"/>
  </r>
  <r>
    <x v="2"/>
    <x v="2"/>
    <x v="1"/>
    <x v="22"/>
    <n v="9"/>
    <n v="146850"/>
  </r>
  <r>
    <x v="2"/>
    <x v="2"/>
    <x v="1"/>
    <x v="23"/>
    <n v="37"/>
    <n v="174700"/>
  </r>
  <r>
    <x v="2"/>
    <x v="2"/>
    <x v="1"/>
    <x v="24"/>
    <n v="5"/>
    <n v="113880"/>
  </r>
  <r>
    <x v="2"/>
    <x v="2"/>
    <x v="1"/>
    <x v="26"/>
    <n v="5"/>
    <n v="112980"/>
  </r>
  <r>
    <x v="2"/>
    <x v="2"/>
    <x v="1"/>
    <x v="27"/>
    <n v="57"/>
    <n v="313900"/>
  </r>
  <r>
    <x v="2"/>
    <x v="2"/>
    <x v="1"/>
    <x v="28"/>
    <n v="21"/>
    <n v="90330"/>
  </r>
  <r>
    <x v="2"/>
    <x v="2"/>
    <x v="1"/>
    <x v="29"/>
    <n v="17"/>
    <n v="90610"/>
  </r>
  <r>
    <x v="2"/>
    <x v="2"/>
    <x v="1"/>
    <x v="30"/>
    <n v="47"/>
    <n v="175300"/>
  </r>
  <r>
    <x v="2"/>
    <x v="3"/>
    <x v="0"/>
    <x v="0"/>
    <n v="34"/>
    <n v="222460"/>
  </r>
  <r>
    <x v="2"/>
    <x v="3"/>
    <x v="0"/>
    <x v="1"/>
    <n v="62"/>
    <n v="253650"/>
  </r>
  <r>
    <x v="2"/>
    <x v="3"/>
    <x v="0"/>
    <x v="2"/>
    <n v="34"/>
    <n v="116200"/>
  </r>
  <r>
    <x v="2"/>
    <x v="3"/>
    <x v="0"/>
    <x v="3"/>
    <n v="24"/>
    <n v="88930"/>
  </r>
  <r>
    <x v="2"/>
    <x v="3"/>
    <x v="0"/>
    <x v="4"/>
    <n v="78"/>
    <n v="477940"/>
  </r>
  <r>
    <x v="2"/>
    <x v="3"/>
    <x v="0"/>
    <x v="5"/>
    <n v="8"/>
    <n v="51500"/>
  </r>
  <r>
    <x v="2"/>
    <x v="3"/>
    <x v="0"/>
    <x v="6"/>
    <n v="57"/>
    <n v="151410"/>
  </r>
  <r>
    <x v="2"/>
    <x v="3"/>
    <x v="0"/>
    <x v="7"/>
    <n v="32"/>
    <n v="147200"/>
  </r>
  <r>
    <x v="2"/>
    <x v="3"/>
    <x v="0"/>
    <x v="8"/>
    <n v="27"/>
    <n v="122690"/>
  </r>
  <r>
    <x v="2"/>
    <x v="3"/>
    <x v="0"/>
    <x v="9"/>
    <n v="10"/>
    <n v="105000"/>
  </r>
  <r>
    <x v="2"/>
    <x v="3"/>
    <x v="0"/>
    <x v="10"/>
    <n v="15"/>
    <n v="99920"/>
  </r>
  <r>
    <x v="2"/>
    <x v="3"/>
    <x v="0"/>
    <x v="31"/>
    <n v="22"/>
    <n v="90810"/>
  </r>
  <r>
    <x v="2"/>
    <x v="3"/>
    <x v="0"/>
    <x v="11"/>
    <n v="28"/>
    <n v="156250"/>
  </r>
  <r>
    <x v="2"/>
    <x v="3"/>
    <x v="0"/>
    <x v="12"/>
    <n v="78"/>
    <n v="365300"/>
  </r>
  <r>
    <x v="2"/>
    <x v="3"/>
    <x v="0"/>
    <x v="13"/>
    <n v="129"/>
    <n v="593060"/>
  </r>
  <r>
    <x v="2"/>
    <x v="3"/>
    <x v="0"/>
    <x v="14"/>
    <n v="78"/>
    <n v="232730"/>
  </r>
  <r>
    <x v="2"/>
    <x v="3"/>
    <x v="0"/>
    <x v="15"/>
    <n v="10"/>
    <n v="81220"/>
  </r>
  <r>
    <x v="2"/>
    <x v="3"/>
    <x v="0"/>
    <x v="16"/>
    <n v="21"/>
    <n v="83450"/>
  </r>
  <r>
    <x v="2"/>
    <x v="3"/>
    <x v="0"/>
    <x v="17"/>
    <n v="18"/>
    <n v="93470"/>
  </r>
  <r>
    <x v="2"/>
    <x v="3"/>
    <x v="0"/>
    <x v="18"/>
    <n v="7"/>
    <n v="27690"/>
  </r>
  <r>
    <x v="2"/>
    <x v="3"/>
    <x v="0"/>
    <x v="19"/>
    <n v="27"/>
    <n v="138090"/>
  </r>
  <r>
    <x v="2"/>
    <x v="3"/>
    <x v="0"/>
    <x v="20"/>
    <n v="84"/>
    <n v="337720"/>
  </r>
  <r>
    <x v="2"/>
    <x v="3"/>
    <x v="0"/>
    <x v="21"/>
    <n v="10"/>
    <n v="21420"/>
  </r>
  <r>
    <x v="2"/>
    <x v="3"/>
    <x v="0"/>
    <x v="22"/>
    <n v="65"/>
    <n v="146850"/>
  </r>
  <r>
    <x v="2"/>
    <x v="3"/>
    <x v="0"/>
    <x v="23"/>
    <n v="31"/>
    <n v="174700"/>
  </r>
  <r>
    <x v="2"/>
    <x v="3"/>
    <x v="0"/>
    <x v="24"/>
    <n v="36"/>
    <n v="113880"/>
  </r>
  <r>
    <x v="2"/>
    <x v="3"/>
    <x v="0"/>
    <x v="25"/>
    <n v="1"/>
    <n v="23240"/>
  </r>
  <r>
    <x v="2"/>
    <x v="3"/>
    <x v="0"/>
    <x v="26"/>
    <n v="33"/>
    <n v="112980"/>
  </r>
  <r>
    <x v="2"/>
    <x v="3"/>
    <x v="0"/>
    <x v="27"/>
    <n v="76"/>
    <n v="313900"/>
  </r>
  <r>
    <x v="2"/>
    <x v="3"/>
    <x v="0"/>
    <x v="28"/>
    <n v="23"/>
    <n v="90330"/>
  </r>
  <r>
    <x v="2"/>
    <x v="3"/>
    <x v="0"/>
    <x v="29"/>
    <n v="30"/>
    <n v="90610"/>
  </r>
  <r>
    <x v="2"/>
    <x v="3"/>
    <x v="0"/>
    <x v="30"/>
    <n v="59"/>
    <n v="175300"/>
  </r>
  <r>
    <x v="2"/>
    <x v="3"/>
    <x v="1"/>
    <x v="0"/>
    <n v="62"/>
    <n v="222460"/>
  </r>
  <r>
    <x v="2"/>
    <x v="3"/>
    <x v="1"/>
    <x v="1"/>
    <n v="20"/>
    <n v="253650"/>
  </r>
  <r>
    <x v="2"/>
    <x v="3"/>
    <x v="1"/>
    <x v="2"/>
    <n v="1"/>
    <n v="116200"/>
  </r>
  <r>
    <x v="2"/>
    <x v="3"/>
    <x v="1"/>
    <x v="3"/>
    <n v="9"/>
    <n v="88930"/>
  </r>
  <r>
    <x v="2"/>
    <x v="3"/>
    <x v="1"/>
    <x v="4"/>
    <n v="117"/>
    <n v="477940"/>
  </r>
  <r>
    <x v="2"/>
    <x v="3"/>
    <x v="1"/>
    <x v="5"/>
    <n v="3"/>
    <n v="51500"/>
  </r>
  <r>
    <x v="2"/>
    <x v="3"/>
    <x v="1"/>
    <x v="6"/>
    <n v="27"/>
    <n v="151410"/>
  </r>
  <r>
    <x v="2"/>
    <x v="3"/>
    <x v="1"/>
    <x v="7"/>
    <n v="26"/>
    <n v="147200"/>
  </r>
  <r>
    <x v="2"/>
    <x v="3"/>
    <x v="1"/>
    <x v="8"/>
    <n v="30"/>
    <n v="122690"/>
  </r>
  <r>
    <x v="2"/>
    <x v="3"/>
    <x v="1"/>
    <x v="9"/>
    <n v="21"/>
    <n v="105000"/>
  </r>
  <r>
    <x v="2"/>
    <x v="3"/>
    <x v="1"/>
    <x v="10"/>
    <n v="9"/>
    <n v="99920"/>
  </r>
  <r>
    <x v="2"/>
    <x v="3"/>
    <x v="1"/>
    <x v="31"/>
    <n v="12"/>
    <n v="90810"/>
  </r>
  <r>
    <x v="2"/>
    <x v="3"/>
    <x v="1"/>
    <x v="11"/>
    <n v="25"/>
    <n v="156250"/>
  </r>
  <r>
    <x v="2"/>
    <x v="3"/>
    <x v="1"/>
    <x v="12"/>
    <n v="42"/>
    <n v="365300"/>
  </r>
  <r>
    <x v="2"/>
    <x v="3"/>
    <x v="1"/>
    <x v="13"/>
    <n v="222"/>
    <n v="593060"/>
  </r>
  <r>
    <x v="2"/>
    <x v="3"/>
    <x v="1"/>
    <x v="14"/>
    <n v="9"/>
    <n v="232730"/>
  </r>
  <r>
    <x v="2"/>
    <x v="3"/>
    <x v="1"/>
    <x v="15"/>
    <n v="43"/>
    <n v="81220"/>
  </r>
  <r>
    <x v="2"/>
    <x v="3"/>
    <x v="1"/>
    <x v="16"/>
    <n v="23"/>
    <n v="83450"/>
  </r>
  <r>
    <x v="2"/>
    <x v="3"/>
    <x v="1"/>
    <x v="17"/>
    <n v="4"/>
    <n v="93470"/>
  </r>
  <r>
    <x v="2"/>
    <x v="3"/>
    <x v="1"/>
    <x v="19"/>
    <n v="22"/>
    <n v="138090"/>
  </r>
  <r>
    <x v="2"/>
    <x v="3"/>
    <x v="1"/>
    <x v="20"/>
    <n v="115"/>
    <n v="337720"/>
  </r>
  <r>
    <x v="2"/>
    <x v="3"/>
    <x v="1"/>
    <x v="21"/>
    <n v="1"/>
    <n v="21420"/>
  </r>
  <r>
    <x v="2"/>
    <x v="3"/>
    <x v="1"/>
    <x v="22"/>
    <n v="16"/>
    <n v="146850"/>
  </r>
  <r>
    <x v="2"/>
    <x v="3"/>
    <x v="1"/>
    <x v="23"/>
    <n v="47"/>
    <n v="174700"/>
  </r>
  <r>
    <x v="2"/>
    <x v="3"/>
    <x v="1"/>
    <x v="24"/>
    <n v="6"/>
    <n v="113880"/>
  </r>
  <r>
    <x v="2"/>
    <x v="3"/>
    <x v="1"/>
    <x v="26"/>
    <n v="9"/>
    <n v="112980"/>
  </r>
  <r>
    <x v="2"/>
    <x v="3"/>
    <x v="1"/>
    <x v="27"/>
    <n v="84"/>
    <n v="313900"/>
  </r>
  <r>
    <x v="2"/>
    <x v="3"/>
    <x v="1"/>
    <x v="28"/>
    <n v="2"/>
    <n v="90330"/>
  </r>
  <r>
    <x v="2"/>
    <x v="3"/>
    <x v="1"/>
    <x v="29"/>
    <n v="57"/>
    <n v="90610"/>
  </r>
  <r>
    <x v="2"/>
    <x v="3"/>
    <x v="1"/>
    <x v="30"/>
    <n v="51"/>
    <n v="175300"/>
  </r>
  <r>
    <x v="2"/>
    <x v="4"/>
    <x v="0"/>
    <x v="0"/>
    <n v="1"/>
    <n v="222460"/>
  </r>
  <r>
    <x v="2"/>
    <x v="4"/>
    <x v="0"/>
    <x v="1"/>
    <n v="39"/>
    <n v="253650"/>
  </r>
  <r>
    <x v="2"/>
    <x v="4"/>
    <x v="0"/>
    <x v="2"/>
    <n v="10"/>
    <n v="116200"/>
  </r>
  <r>
    <x v="2"/>
    <x v="4"/>
    <x v="0"/>
    <x v="3"/>
    <n v="13"/>
    <n v="88930"/>
  </r>
  <r>
    <x v="2"/>
    <x v="4"/>
    <x v="0"/>
    <x v="4"/>
    <n v="36"/>
    <n v="477940"/>
  </r>
  <r>
    <x v="2"/>
    <x v="4"/>
    <x v="0"/>
    <x v="5"/>
    <n v="1"/>
    <n v="51500"/>
  </r>
  <r>
    <x v="2"/>
    <x v="4"/>
    <x v="0"/>
    <x v="6"/>
    <n v="14"/>
    <n v="151410"/>
  </r>
  <r>
    <x v="2"/>
    <x v="4"/>
    <x v="0"/>
    <x v="7"/>
    <n v="7"/>
    <n v="147200"/>
  </r>
  <r>
    <x v="2"/>
    <x v="4"/>
    <x v="0"/>
    <x v="8"/>
    <n v="6"/>
    <n v="122690"/>
  </r>
  <r>
    <x v="2"/>
    <x v="4"/>
    <x v="0"/>
    <x v="9"/>
    <n v="1"/>
    <n v="105000"/>
  </r>
  <r>
    <x v="2"/>
    <x v="4"/>
    <x v="0"/>
    <x v="10"/>
    <n v="19"/>
    <n v="99920"/>
  </r>
  <r>
    <x v="2"/>
    <x v="4"/>
    <x v="0"/>
    <x v="31"/>
    <n v="4"/>
    <n v="90810"/>
  </r>
  <r>
    <x v="2"/>
    <x v="4"/>
    <x v="0"/>
    <x v="11"/>
    <n v="10"/>
    <n v="156250"/>
  </r>
  <r>
    <x v="2"/>
    <x v="4"/>
    <x v="0"/>
    <x v="12"/>
    <n v="29"/>
    <n v="365300"/>
  </r>
  <r>
    <x v="2"/>
    <x v="4"/>
    <x v="0"/>
    <x v="13"/>
    <n v="21"/>
    <n v="593060"/>
  </r>
  <r>
    <x v="2"/>
    <x v="4"/>
    <x v="0"/>
    <x v="14"/>
    <n v="72"/>
    <n v="232730"/>
  </r>
  <r>
    <x v="2"/>
    <x v="4"/>
    <x v="0"/>
    <x v="15"/>
    <n v="1"/>
    <n v="81220"/>
  </r>
  <r>
    <x v="2"/>
    <x v="4"/>
    <x v="0"/>
    <x v="16"/>
    <n v="2"/>
    <n v="83450"/>
  </r>
  <r>
    <x v="2"/>
    <x v="4"/>
    <x v="0"/>
    <x v="17"/>
    <n v="5"/>
    <n v="93470"/>
  </r>
  <r>
    <x v="2"/>
    <x v="4"/>
    <x v="0"/>
    <x v="18"/>
    <n v="10"/>
    <n v="27690"/>
  </r>
  <r>
    <x v="2"/>
    <x v="4"/>
    <x v="0"/>
    <x v="19"/>
    <n v="6"/>
    <n v="138090"/>
  </r>
  <r>
    <x v="2"/>
    <x v="4"/>
    <x v="0"/>
    <x v="20"/>
    <n v="12"/>
    <n v="337720"/>
  </r>
  <r>
    <x v="2"/>
    <x v="4"/>
    <x v="0"/>
    <x v="21"/>
    <n v="2"/>
    <n v="21420"/>
  </r>
  <r>
    <x v="2"/>
    <x v="4"/>
    <x v="0"/>
    <x v="22"/>
    <n v="14"/>
    <n v="146850"/>
  </r>
  <r>
    <x v="2"/>
    <x v="4"/>
    <x v="0"/>
    <x v="23"/>
    <n v="5"/>
    <n v="174700"/>
  </r>
  <r>
    <x v="2"/>
    <x v="4"/>
    <x v="0"/>
    <x v="24"/>
    <n v="18"/>
    <n v="113880"/>
  </r>
  <r>
    <x v="2"/>
    <x v="4"/>
    <x v="0"/>
    <x v="25"/>
    <n v="10"/>
    <n v="23240"/>
  </r>
  <r>
    <x v="2"/>
    <x v="4"/>
    <x v="0"/>
    <x v="26"/>
    <n v="4"/>
    <n v="112980"/>
  </r>
  <r>
    <x v="2"/>
    <x v="4"/>
    <x v="0"/>
    <x v="27"/>
    <n v="13"/>
    <n v="313900"/>
  </r>
  <r>
    <x v="2"/>
    <x v="4"/>
    <x v="0"/>
    <x v="28"/>
    <n v="7"/>
    <n v="90330"/>
  </r>
  <r>
    <x v="2"/>
    <x v="4"/>
    <x v="0"/>
    <x v="29"/>
    <n v="5"/>
    <n v="90610"/>
  </r>
  <r>
    <x v="2"/>
    <x v="4"/>
    <x v="0"/>
    <x v="30"/>
    <n v="16"/>
    <n v="175300"/>
  </r>
  <r>
    <x v="2"/>
    <x v="4"/>
    <x v="1"/>
    <x v="0"/>
    <n v="22"/>
    <n v="222460"/>
  </r>
  <r>
    <x v="2"/>
    <x v="4"/>
    <x v="1"/>
    <x v="1"/>
    <n v="12"/>
    <n v="253650"/>
  </r>
  <r>
    <x v="2"/>
    <x v="4"/>
    <x v="1"/>
    <x v="2"/>
    <n v="4"/>
    <n v="116200"/>
  </r>
  <r>
    <x v="2"/>
    <x v="4"/>
    <x v="1"/>
    <x v="3"/>
    <n v="8"/>
    <n v="88930"/>
  </r>
  <r>
    <x v="2"/>
    <x v="4"/>
    <x v="1"/>
    <x v="4"/>
    <n v="105"/>
    <n v="477940"/>
  </r>
  <r>
    <x v="2"/>
    <x v="4"/>
    <x v="1"/>
    <x v="5"/>
    <n v="4"/>
    <n v="51500"/>
  </r>
  <r>
    <x v="2"/>
    <x v="4"/>
    <x v="1"/>
    <x v="6"/>
    <n v="5"/>
    <n v="151410"/>
  </r>
  <r>
    <x v="2"/>
    <x v="4"/>
    <x v="1"/>
    <x v="7"/>
    <n v="17"/>
    <n v="147200"/>
  </r>
  <r>
    <x v="2"/>
    <x v="4"/>
    <x v="1"/>
    <x v="8"/>
    <n v="19"/>
    <n v="122690"/>
  </r>
  <r>
    <x v="2"/>
    <x v="4"/>
    <x v="1"/>
    <x v="9"/>
    <n v="6"/>
    <n v="105000"/>
  </r>
  <r>
    <x v="2"/>
    <x v="4"/>
    <x v="1"/>
    <x v="10"/>
    <n v="36"/>
    <n v="99920"/>
  </r>
  <r>
    <x v="2"/>
    <x v="4"/>
    <x v="1"/>
    <x v="31"/>
    <n v="11"/>
    <n v="90810"/>
  </r>
  <r>
    <x v="2"/>
    <x v="4"/>
    <x v="1"/>
    <x v="11"/>
    <n v="26"/>
    <n v="156250"/>
  </r>
  <r>
    <x v="2"/>
    <x v="4"/>
    <x v="1"/>
    <x v="12"/>
    <n v="47"/>
    <n v="365300"/>
  </r>
  <r>
    <x v="2"/>
    <x v="4"/>
    <x v="1"/>
    <x v="13"/>
    <n v="83"/>
    <n v="593060"/>
  </r>
  <r>
    <x v="2"/>
    <x v="4"/>
    <x v="1"/>
    <x v="14"/>
    <n v="15"/>
    <n v="232730"/>
  </r>
  <r>
    <x v="2"/>
    <x v="4"/>
    <x v="1"/>
    <x v="15"/>
    <n v="18"/>
    <n v="81220"/>
  </r>
  <r>
    <x v="2"/>
    <x v="4"/>
    <x v="1"/>
    <x v="16"/>
    <n v="34"/>
    <n v="83450"/>
  </r>
  <r>
    <x v="2"/>
    <x v="4"/>
    <x v="1"/>
    <x v="17"/>
    <n v="9"/>
    <n v="93470"/>
  </r>
  <r>
    <x v="2"/>
    <x v="4"/>
    <x v="1"/>
    <x v="19"/>
    <n v="17"/>
    <n v="138090"/>
  </r>
  <r>
    <x v="2"/>
    <x v="4"/>
    <x v="1"/>
    <x v="20"/>
    <n v="64"/>
    <n v="337720"/>
  </r>
  <r>
    <x v="2"/>
    <x v="4"/>
    <x v="1"/>
    <x v="22"/>
    <n v="13"/>
    <n v="146850"/>
  </r>
  <r>
    <x v="2"/>
    <x v="4"/>
    <x v="1"/>
    <x v="23"/>
    <n v="24"/>
    <n v="174700"/>
  </r>
  <r>
    <x v="2"/>
    <x v="4"/>
    <x v="1"/>
    <x v="24"/>
    <n v="25"/>
    <n v="113880"/>
  </r>
  <r>
    <x v="2"/>
    <x v="4"/>
    <x v="1"/>
    <x v="26"/>
    <n v="12"/>
    <n v="112980"/>
  </r>
  <r>
    <x v="2"/>
    <x v="4"/>
    <x v="1"/>
    <x v="27"/>
    <n v="41"/>
    <n v="313900"/>
  </r>
  <r>
    <x v="2"/>
    <x v="4"/>
    <x v="1"/>
    <x v="28"/>
    <n v="15"/>
    <n v="90330"/>
  </r>
  <r>
    <x v="2"/>
    <x v="4"/>
    <x v="1"/>
    <x v="29"/>
    <n v="14"/>
    <n v="90610"/>
  </r>
  <r>
    <x v="2"/>
    <x v="4"/>
    <x v="1"/>
    <x v="30"/>
    <n v="56"/>
    <n v="175300"/>
  </r>
  <r>
    <x v="2"/>
    <x v="5"/>
    <x v="0"/>
    <x v="0"/>
    <n v="91"/>
    <n v="222460"/>
  </r>
  <r>
    <x v="2"/>
    <x v="5"/>
    <x v="0"/>
    <x v="1"/>
    <n v="130"/>
    <n v="253650"/>
  </r>
  <r>
    <x v="2"/>
    <x v="5"/>
    <x v="0"/>
    <x v="2"/>
    <n v="75"/>
    <n v="116200"/>
  </r>
  <r>
    <x v="2"/>
    <x v="5"/>
    <x v="0"/>
    <x v="3"/>
    <n v="72"/>
    <n v="88930"/>
  </r>
  <r>
    <x v="2"/>
    <x v="5"/>
    <x v="0"/>
    <x v="4"/>
    <n v="340"/>
    <n v="477940"/>
  </r>
  <r>
    <x v="2"/>
    <x v="5"/>
    <x v="0"/>
    <x v="5"/>
    <n v="16"/>
    <n v="51500"/>
  </r>
  <r>
    <x v="2"/>
    <x v="5"/>
    <x v="0"/>
    <x v="6"/>
    <n v="90"/>
    <n v="151410"/>
  </r>
  <r>
    <x v="2"/>
    <x v="5"/>
    <x v="0"/>
    <x v="7"/>
    <n v="101"/>
    <n v="147200"/>
  </r>
  <r>
    <x v="2"/>
    <x v="5"/>
    <x v="0"/>
    <x v="8"/>
    <n v="41"/>
    <n v="122690"/>
  </r>
  <r>
    <x v="2"/>
    <x v="5"/>
    <x v="0"/>
    <x v="9"/>
    <n v="21"/>
    <n v="105000"/>
  </r>
  <r>
    <x v="2"/>
    <x v="5"/>
    <x v="0"/>
    <x v="10"/>
    <n v="47"/>
    <n v="99920"/>
  </r>
  <r>
    <x v="2"/>
    <x v="5"/>
    <x v="0"/>
    <x v="31"/>
    <n v="7"/>
    <n v="90810"/>
  </r>
  <r>
    <x v="2"/>
    <x v="5"/>
    <x v="0"/>
    <x v="11"/>
    <n v="93"/>
    <n v="156250"/>
  </r>
  <r>
    <x v="2"/>
    <x v="5"/>
    <x v="0"/>
    <x v="12"/>
    <n v="158"/>
    <n v="365300"/>
  </r>
  <r>
    <x v="2"/>
    <x v="5"/>
    <x v="0"/>
    <x v="13"/>
    <n v="164"/>
    <n v="593060"/>
  </r>
  <r>
    <x v="2"/>
    <x v="5"/>
    <x v="0"/>
    <x v="14"/>
    <n v="376"/>
    <n v="232730"/>
  </r>
  <r>
    <x v="2"/>
    <x v="5"/>
    <x v="0"/>
    <x v="15"/>
    <n v="10"/>
    <n v="81220"/>
  </r>
  <r>
    <x v="2"/>
    <x v="5"/>
    <x v="0"/>
    <x v="16"/>
    <n v="31"/>
    <n v="83450"/>
  </r>
  <r>
    <x v="2"/>
    <x v="5"/>
    <x v="0"/>
    <x v="17"/>
    <n v="61"/>
    <n v="93470"/>
  </r>
  <r>
    <x v="2"/>
    <x v="5"/>
    <x v="0"/>
    <x v="18"/>
    <n v="68"/>
    <n v="27690"/>
  </r>
  <r>
    <x v="2"/>
    <x v="5"/>
    <x v="0"/>
    <x v="19"/>
    <n v="32"/>
    <n v="138090"/>
  </r>
  <r>
    <x v="2"/>
    <x v="5"/>
    <x v="0"/>
    <x v="20"/>
    <n v="59"/>
    <n v="337720"/>
  </r>
  <r>
    <x v="2"/>
    <x v="5"/>
    <x v="0"/>
    <x v="21"/>
    <n v="6"/>
    <n v="21420"/>
  </r>
  <r>
    <x v="2"/>
    <x v="5"/>
    <x v="0"/>
    <x v="22"/>
    <n v="103"/>
    <n v="146850"/>
  </r>
  <r>
    <x v="2"/>
    <x v="5"/>
    <x v="0"/>
    <x v="23"/>
    <n v="38"/>
    <n v="174700"/>
  </r>
  <r>
    <x v="2"/>
    <x v="5"/>
    <x v="0"/>
    <x v="24"/>
    <n v="37"/>
    <n v="113880"/>
  </r>
  <r>
    <x v="2"/>
    <x v="5"/>
    <x v="0"/>
    <x v="25"/>
    <n v="9"/>
    <n v="23240"/>
  </r>
  <r>
    <x v="2"/>
    <x v="5"/>
    <x v="0"/>
    <x v="26"/>
    <n v="31"/>
    <n v="112980"/>
  </r>
  <r>
    <x v="2"/>
    <x v="5"/>
    <x v="0"/>
    <x v="27"/>
    <n v="61"/>
    <n v="313900"/>
  </r>
  <r>
    <x v="2"/>
    <x v="5"/>
    <x v="0"/>
    <x v="28"/>
    <n v="40"/>
    <n v="90330"/>
  </r>
  <r>
    <x v="2"/>
    <x v="5"/>
    <x v="0"/>
    <x v="29"/>
    <n v="13"/>
    <n v="90610"/>
  </r>
  <r>
    <x v="2"/>
    <x v="5"/>
    <x v="0"/>
    <x v="30"/>
    <n v="64"/>
    <n v="175300"/>
  </r>
  <r>
    <x v="2"/>
    <x v="5"/>
    <x v="1"/>
    <x v="0"/>
    <n v="514"/>
    <n v="222460"/>
  </r>
  <r>
    <x v="2"/>
    <x v="5"/>
    <x v="1"/>
    <x v="1"/>
    <n v="163"/>
    <n v="253650"/>
  </r>
  <r>
    <x v="2"/>
    <x v="5"/>
    <x v="1"/>
    <x v="2"/>
    <n v="126"/>
    <n v="116200"/>
  </r>
  <r>
    <x v="2"/>
    <x v="5"/>
    <x v="1"/>
    <x v="3"/>
    <n v="88"/>
    <n v="88930"/>
  </r>
  <r>
    <x v="2"/>
    <x v="5"/>
    <x v="1"/>
    <x v="4"/>
    <n v="1475"/>
    <n v="477940"/>
  </r>
  <r>
    <x v="2"/>
    <x v="5"/>
    <x v="1"/>
    <x v="5"/>
    <n v="104"/>
    <n v="51500"/>
  </r>
  <r>
    <x v="2"/>
    <x v="5"/>
    <x v="1"/>
    <x v="6"/>
    <n v="94"/>
    <n v="151410"/>
  </r>
  <r>
    <x v="2"/>
    <x v="5"/>
    <x v="1"/>
    <x v="7"/>
    <n v="615"/>
    <n v="147200"/>
  </r>
  <r>
    <x v="2"/>
    <x v="5"/>
    <x v="1"/>
    <x v="8"/>
    <n v="712"/>
    <n v="122690"/>
  </r>
  <r>
    <x v="2"/>
    <x v="5"/>
    <x v="1"/>
    <x v="9"/>
    <n v="180"/>
    <n v="105000"/>
  </r>
  <r>
    <x v="2"/>
    <x v="5"/>
    <x v="1"/>
    <x v="10"/>
    <n v="242"/>
    <n v="99920"/>
  </r>
  <r>
    <x v="2"/>
    <x v="5"/>
    <x v="1"/>
    <x v="31"/>
    <n v="183"/>
    <n v="90810"/>
  </r>
  <r>
    <x v="2"/>
    <x v="5"/>
    <x v="1"/>
    <x v="11"/>
    <n v="478"/>
    <n v="156250"/>
  </r>
  <r>
    <x v="2"/>
    <x v="5"/>
    <x v="1"/>
    <x v="12"/>
    <n v="828"/>
    <n v="365300"/>
  </r>
  <r>
    <x v="2"/>
    <x v="5"/>
    <x v="1"/>
    <x v="13"/>
    <n v="2664"/>
    <n v="593060"/>
  </r>
  <r>
    <x v="2"/>
    <x v="5"/>
    <x v="1"/>
    <x v="14"/>
    <n v="288"/>
    <n v="232730"/>
  </r>
  <r>
    <x v="2"/>
    <x v="5"/>
    <x v="1"/>
    <x v="15"/>
    <n v="638"/>
    <n v="81220"/>
  </r>
  <r>
    <x v="2"/>
    <x v="5"/>
    <x v="1"/>
    <x v="16"/>
    <n v="345"/>
    <n v="83450"/>
  </r>
  <r>
    <x v="2"/>
    <x v="5"/>
    <x v="1"/>
    <x v="17"/>
    <n v="130"/>
    <n v="93470"/>
  </r>
  <r>
    <x v="2"/>
    <x v="5"/>
    <x v="1"/>
    <x v="18"/>
    <n v="6"/>
    <n v="27690"/>
  </r>
  <r>
    <x v="2"/>
    <x v="5"/>
    <x v="1"/>
    <x v="19"/>
    <n v="609"/>
    <n v="138090"/>
  </r>
  <r>
    <x v="2"/>
    <x v="5"/>
    <x v="1"/>
    <x v="20"/>
    <n v="1903"/>
    <n v="337720"/>
  </r>
  <r>
    <x v="2"/>
    <x v="5"/>
    <x v="1"/>
    <x v="22"/>
    <n v="131"/>
    <n v="146850"/>
  </r>
  <r>
    <x v="2"/>
    <x v="5"/>
    <x v="1"/>
    <x v="23"/>
    <n v="721"/>
    <n v="174700"/>
  </r>
  <r>
    <x v="2"/>
    <x v="5"/>
    <x v="1"/>
    <x v="24"/>
    <n v="89"/>
    <n v="113880"/>
  </r>
  <r>
    <x v="2"/>
    <x v="5"/>
    <x v="1"/>
    <x v="25"/>
    <n v="4"/>
    <n v="23240"/>
  </r>
  <r>
    <x v="2"/>
    <x v="5"/>
    <x v="1"/>
    <x v="26"/>
    <n v="328"/>
    <n v="112980"/>
  </r>
  <r>
    <x v="2"/>
    <x v="5"/>
    <x v="1"/>
    <x v="27"/>
    <n v="1232"/>
    <n v="313900"/>
  </r>
  <r>
    <x v="2"/>
    <x v="5"/>
    <x v="1"/>
    <x v="28"/>
    <n v="128"/>
    <n v="90330"/>
  </r>
  <r>
    <x v="2"/>
    <x v="5"/>
    <x v="1"/>
    <x v="29"/>
    <n v="497"/>
    <n v="90610"/>
  </r>
  <r>
    <x v="2"/>
    <x v="5"/>
    <x v="1"/>
    <x v="30"/>
    <n v="683"/>
    <n v="175300"/>
  </r>
  <r>
    <x v="3"/>
    <x v="0"/>
    <x v="0"/>
    <x v="0"/>
    <n v="8"/>
    <n v="224910"/>
  </r>
  <r>
    <x v="3"/>
    <x v="0"/>
    <x v="0"/>
    <x v="1"/>
    <n v="126"/>
    <n v="255560"/>
  </r>
  <r>
    <x v="3"/>
    <x v="0"/>
    <x v="0"/>
    <x v="2"/>
    <n v="29"/>
    <n v="116220"/>
  </r>
  <r>
    <x v="3"/>
    <x v="0"/>
    <x v="0"/>
    <x v="3"/>
    <n v="99"/>
    <n v="86910"/>
  </r>
  <r>
    <x v="3"/>
    <x v="0"/>
    <x v="0"/>
    <x v="4"/>
    <n v="11"/>
    <n v="482630"/>
  </r>
  <r>
    <x v="3"/>
    <x v="0"/>
    <x v="0"/>
    <x v="5"/>
    <n v="4"/>
    <n v="51280"/>
  </r>
  <r>
    <x v="3"/>
    <x v="0"/>
    <x v="0"/>
    <x v="6"/>
    <n v="107"/>
    <n v="150840"/>
  </r>
  <r>
    <x v="3"/>
    <x v="0"/>
    <x v="0"/>
    <x v="8"/>
    <n v="19"/>
    <n v="122730"/>
  </r>
  <r>
    <x v="3"/>
    <x v="0"/>
    <x v="0"/>
    <x v="9"/>
    <n v="4"/>
    <n v="105880"/>
  </r>
  <r>
    <x v="3"/>
    <x v="0"/>
    <x v="0"/>
    <x v="10"/>
    <n v="23"/>
    <n v="100860"/>
  </r>
  <r>
    <x v="3"/>
    <x v="0"/>
    <x v="0"/>
    <x v="31"/>
    <n v="9"/>
    <n v="91040"/>
  </r>
  <r>
    <x v="3"/>
    <x v="0"/>
    <x v="0"/>
    <x v="11"/>
    <n v="3"/>
    <n v="156800"/>
  </r>
  <r>
    <x v="3"/>
    <x v="0"/>
    <x v="0"/>
    <x v="12"/>
    <n v="39"/>
    <n v="366210"/>
  </r>
  <r>
    <x v="3"/>
    <x v="0"/>
    <x v="0"/>
    <x v="13"/>
    <n v="8"/>
    <n v="595070"/>
  </r>
  <r>
    <x v="3"/>
    <x v="0"/>
    <x v="0"/>
    <x v="14"/>
    <n v="400"/>
    <n v="232890"/>
  </r>
  <r>
    <x v="3"/>
    <x v="0"/>
    <x v="0"/>
    <x v="15"/>
    <n v="3"/>
    <n v="80690"/>
  </r>
  <r>
    <x v="3"/>
    <x v="0"/>
    <x v="0"/>
    <x v="16"/>
    <n v="19"/>
    <n v="84240"/>
  </r>
  <r>
    <x v="3"/>
    <x v="0"/>
    <x v="0"/>
    <x v="17"/>
    <n v="63"/>
    <n v="92930"/>
  </r>
  <r>
    <x v="3"/>
    <x v="0"/>
    <x v="0"/>
    <x v="18"/>
    <n v="79"/>
    <n v="27560"/>
  </r>
  <r>
    <x v="3"/>
    <x v="0"/>
    <x v="0"/>
    <x v="19"/>
    <n v="17"/>
    <n v="137570"/>
  </r>
  <r>
    <x v="3"/>
    <x v="0"/>
    <x v="0"/>
    <x v="20"/>
    <n v="4"/>
    <n v="337890"/>
  </r>
  <r>
    <x v="3"/>
    <x v="0"/>
    <x v="0"/>
    <x v="21"/>
    <n v="18"/>
    <n v="21530"/>
  </r>
  <r>
    <x v="3"/>
    <x v="0"/>
    <x v="0"/>
    <x v="22"/>
    <n v="85"/>
    <n v="147740"/>
  </r>
  <r>
    <x v="3"/>
    <x v="0"/>
    <x v="0"/>
    <x v="23"/>
    <n v="4"/>
    <n v="174300"/>
  </r>
  <r>
    <x v="3"/>
    <x v="0"/>
    <x v="0"/>
    <x v="24"/>
    <n v="100"/>
    <n v="113720"/>
  </r>
  <r>
    <x v="3"/>
    <x v="0"/>
    <x v="0"/>
    <x v="25"/>
    <n v="11"/>
    <n v="23210"/>
  </r>
  <r>
    <x v="3"/>
    <x v="0"/>
    <x v="0"/>
    <x v="26"/>
    <n v="21"/>
    <n v="112920"/>
  </r>
  <r>
    <x v="3"/>
    <x v="0"/>
    <x v="0"/>
    <x v="27"/>
    <n v="27"/>
    <n v="314330"/>
  </r>
  <r>
    <x v="3"/>
    <x v="0"/>
    <x v="0"/>
    <x v="28"/>
    <n v="27"/>
    <n v="91010"/>
  </r>
  <r>
    <x v="3"/>
    <x v="0"/>
    <x v="0"/>
    <x v="29"/>
    <n v="6"/>
    <n v="90340"/>
  </r>
  <r>
    <x v="3"/>
    <x v="0"/>
    <x v="0"/>
    <x v="30"/>
    <n v="8"/>
    <n v="176010"/>
  </r>
  <r>
    <x v="3"/>
    <x v="1"/>
    <x v="0"/>
    <x v="0"/>
    <n v="266"/>
    <n v="224910"/>
  </r>
  <r>
    <x v="3"/>
    <x v="1"/>
    <x v="0"/>
    <x v="1"/>
    <n v="163"/>
    <n v="255560"/>
  </r>
  <r>
    <x v="3"/>
    <x v="1"/>
    <x v="0"/>
    <x v="2"/>
    <n v="79"/>
    <n v="116220"/>
  </r>
  <r>
    <x v="3"/>
    <x v="1"/>
    <x v="0"/>
    <x v="3"/>
    <n v="81"/>
    <n v="86910"/>
  </r>
  <r>
    <x v="3"/>
    <x v="1"/>
    <x v="0"/>
    <x v="4"/>
    <n v="596"/>
    <n v="482630"/>
  </r>
  <r>
    <x v="3"/>
    <x v="1"/>
    <x v="0"/>
    <x v="5"/>
    <n v="38"/>
    <n v="51280"/>
  </r>
  <r>
    <x v="3"/>
    <x v="1"/>
    <x v="0"/>
    <x v="6"/>
    <n v="97"/>
    <n v="150840"/>
  </r>
  <r>
    <x v="3"/>
    <x v="1"/>
    <x v="0"/>
    <x v="7"/>
    <n v="235"/>
    <n v="147780"/>
  </r>
  <r>
    <x v="3"/>
    <x v="1"/>
    <x v="0"/>
    <x v="8"/>
    <n v="99"/>
    <n v="122730"/>
  </r>
  <r>
    <x v="3"/>
    <x v="1"/>
    <x v="0"/>
    <x v="9"/>
    <n v="60"/>
    <n v="105880"/>
  </r>
  <r>
    <x v="3"/>
    <x v="1"/>
    <x v="0"/>
    <x v="10"/>
    <n v="96"/>
    <n v="100860"/>
  </r>
  <r>
    <x v="3"/>
    <x v="1"/>
    <x v="0"/>
    <x v="31"/>
    <n v="60"/>
    <n v="91040"/>
  </r>
  <r>
    <x v="3"/>
    <x v="1"/>
    <x v="0"/>
    <x v="11"/>
    <n v="91"/>
    <n v="156800"/>
  </r>
  <r>
    <x v="3"/>
    <x v="1"/>
    <x v="0"/>
    <x v="12"/>
    <n v="262"/>
    <n v="366210"/>
  </r>
  <r>
    <x v="3"/>
    <x v="1"/>
    <x v="0"/>
    <x v="13"/>
    <n v="842"/>
    <n v="595070"/>
  </r>
  <r>
    <x v="3"/>
    <x v="1"/>
    <x v="0"/>
    <x v="14"/>
    <n v="126"/>
    <n v="232890"/>
  </r>
  <r>
    <x v="3"/>
    <x v="1"/>
    <x v="0"/>
    <x v="15"/>
    <n v="80"/>
    <n v="80690"/>
  </r>
  <r>
    <x v="3"/>
    <x v="1"/>
    <x v="0"/>
    <x v="16"/>
    <n v="87"/>
    <n v="84240"/>
  </r>
  <r>
    <x v="3"/>
    <x v="1"/>
    <x v="0"/>
    <x v="17"/>
    <n v="55"/>
    <n v="92930"/>
  </r>
  <r>
    <x v="3"/>
    <x v="1"/>
    <x v="0"/>
    <x v="18"/>
    <n v="22"/>
    <n v="27560"/>
  </r>
  <r>
    <x v="3"/>
    <x v="1"/>
    <x v="0"/>
    <x v="19"/>
    <n v="142"/>
    <n v="137570"/>
  </r>
  <r>
    <x v="3"/>
    <x v="1"/>
    <x v="0"/>
    <x v="20"/>
    <n v="284"/>
    <n v="337890"/>
  </r>
  <r>
    <x v="3"/>
    <x v="1"/>
    <x v="0"/>
    <x v="21"/>
    <n v="9"/>
    <n v="21530"/>
  </r>
  <r>
    <x v="3"/>
    <x v="1"/>
    <x v="0"/>
    <x v="22"/>
    <n v="114"/>
    <n v="147740"/>
  </r>
  <r>
    <x v="3"/>
    <x v="1"/>
    <x v="0"/>
    <x v="23"/>
    <n v="219"/>
    <n v="174300"/>
  </r>
  <r>
    <x v="3"/>
    <x v="1"/>
    <x v="0"/>
    <x v="24"/>
    <n v="100"/>
    <n v="113720"/>
  </r>
  <r>
    <x v="3"/>
    <x v="1"/>
    <x v="0"/>
    <x v="25"/>
    <n v="17"/>
    <n v="23210"/>
  </r>
  <r>
    <x v="3"/>
    <x v="1"/>
    <x v="0"/>
    <x v="26"/>
    <n v="99"/>
    <n v="112920"/>
  </r>
  <r>
    <x v="3"/>
    <x v="1"/>
    <x v="0"/>
    <x v="27"/>
    <n v="249"/>
    <n v="314330"/>
  </r>
  <r>
    <x v="3"/>
    <x v="1"/>
    <x v="0"/>
    <x v="28"/>
    <n v="54"/>
    <n v="91010"/>
  </r>
  <r>
    <x v="3"/>
    <x v="1"/>
    <x v="0"/>
    <x v="29"/>
    <n v="96"/>
    <n v="90340"/>
  </r>
  <r>
    <x v="3"/>
    <x v="1"/>
    <x v="0"/>
    <x v="30"/>
    <n v="179"/>
    <n v="176010"/>
  </r>
  <r>
    <x v="3"/>
    <x v="1"/>
    <x v="1"/>
    <x v="0"/>
    <n v="54"/>
    <n v="224910"/>
  </r>
  <r>
    <x v="3"/>
    <x v="1"/>
    <x v="1"/>
    <x v="1"/>
    <n v="16"/>
    <n v="255560"/>
  </r>
  <r>
    <x v="3"/>
    <x v="1"/>
    <x v="1"/>
    <x v="2"/>
    <n v="7"/>
    <n v="116220"/>
  </r>
  <r>
    <x v="3"/>
    <x v="1"/>
    <x v="1"/>
    <x v="3"/>
    <n v="7"/>
    <n v="86910"/>
  </r>
  <r>
    <x v="3"/>
    <x v="1"/>
    <x v="1"/>
    <x v="4"/>
    <n v="104"/>
    <n v="482630"/>
  </r>
  <r>
    <x v="3"/>
    <x v="1"/>
    <x v="1"/>
    <x v="5"/>
    <n v="6"/>
    <n v="51280"/>
  </r>
  <r>
    <x v="3"/>
    <x v="1"/>
    <x v="1"/>
    <x v="6"/>
    <n v="9"/>
    <n v="150840"/>
  </r>
  <r>
    <x v="3"/>
    <x v="1"/>
    <x v="1"/>
    <x v="7"/>
    <n v="34"/>
    <n v="147780"/>
  </r>
  <r>
    <x v="3"/>
    <x v="1"/>
    <x v="1"/>
    <x v="8"/>
    <n v="9"/>
    <n v="122730"/>
  </r>
  <r>
    <x v="3"/>
    <x v="1"/>
    <x v="1"/>
    <x v="9"/>
    <n v="10"/>
    <n v="105880"/>
  </r>
  <r>
    <x v="3"/>
    <x v="1"/>
    <x v="1"/>
    <x v="10"/>
    <n v="7"/>
    <n v="100860"/>
  </r>
  <r>
    <x v="3"/>
    <x v="1"/>
    <x v="1"/>
    <x v="31"/>
    <n v="15"/>
    <n v="91040"/>
  </r>
  <r>
    <x v="3"/>
    <x v="1"/>
    <x v="1"/>
    <x v="11"/>
    <n v="12"/>
    <n v="156800"/>
  </r>
  <r>
    <x v="3"/>
    <x v="1"/>
    <x v="1"/>
    <x v="12"/>
    <n v="36"/>
    <n v="366210"/>
  </r>
  <r>
    <x v="3"/>
    <x v="1"/>
    <x v="1"/>
    <x v="13"/>
    <n v="198"/>
    <n v="595070"/>
  </r>
  <r>
    <x v="3"/>
    <x v="1"/>
    <x v="1"/>
    <x v="14"/>
    <n v="6"/>
    <n v="232890"/>
  </r>
  <r>
    <x v="3"/>
    <x v="1"/>
    <x v="1"/>
    <x v="15"/>
    <n v="18"/>
    <n v="80690"/>
  </r>
  <r>
    <x v="3"/>
    <x v="1"/>
    <x v="1"/>
    <x v="16"/>
    <n v="6"/>
    <n v="84240"/>
  </r>
  <r>
    <x v="3"/>
    <x v="1"/>
    <x v="1"/>
    <x v="17"/>
    <n v="2"/>
    <n v="92930"/>
  </r>
  <r>
    <x v="3"/>
    <x v="1"/>
    <x v="1"/>
    <x v="18"/>
    <n v="1"/>
    <n v="27560"/>
  </r>
  <r>
    <x v="3"/>
    <x v="1"/>
    <x v="1"/>
    <x v="19"/>
    <n v="12"/>
    <n v="137570"/>
  </r>
  <r>
    <x v="3"/>
    <x v="1"/>
    <x v="1"/>
    <x v="20"/>
    <n v="76"/>
    <n v="337890"/>
  </r>
  <r>
    <x v="3"/>
    <x v="1"/>
    <x v="1"/>
    <x v="21"/>
    <n v="1"/>
    <n v="21530"/>
  </r>
  <r>
    <x v="3"/>
    <x v="1"/>
    <x v="1"/>
    <x v="22"/>
    <n v="7"/>
    <n v="147740"/>
  </r>
  <r>
    <x v="3"/>
    <x v="1"/>
    <x v="1"/>
    <x v="23"/>
    <n v="41"/>
    <n v="174300"/>
  </r>
  <r>
    <x v="3"/>
    <x v="1"/>
    <x v="1"/>
    <x v="24"/>
    <n v="7"/>
    <n v="113720"/>
  </r>
  <r>
    <x v="3"/>
    <x v="1"/>
    <x v="1"/>
    <x v="25"/>
    <n v="1"/>
    <n v="23210"/>
  </r>
  <r>
    <x v="3"/>
    <x v="1"/>
    <x v="1"/>
    <x v="26"/>
    <n v="12"/>
    <n v="112920"/>
  </r>
  <r>
    <x v="3"/>
    <x v="1"/>
    <x v="1"/>
    <x v="27"/>
    <n v="43"/>
    <n v="314330"/>
  </r>
  <r>
    <x v="3"/>
    <x v="1"/>
    <x v="1"/>
    <x v="28"/>
    <n v="3"/>
    <n v="91010"/>
  </r>
  <r>
    <x v="3"/>
    <x v="1"/>
    <x v="1"/>
    <x v="29"/>
    <n v="50"/>
    <n v="90340"/>
  </r>
  <r>
    <x v="3"/>
    <x v="1"/>
    <x v="1"/>
    <x v="30"/>
    <n v="22"/>
    <n v="176010"/>
  </r>
  <r>
    <x v="3"/>
    <x v="2"/>
    <x v="0"/>
    <x v="0"/>
    <n v="106"/>
    <n v="224910"/>
  </r>
  <r>
    <x v="3"/>
    <x v="2"/>
    <x v="0"/>
    <x v="1"/>
    <n v="79"/>
    <n v="255560"/>
  </r>
  <r>
    <x v="3"/>
    <x v="2"/>
    <x v="0"/>
    <x v="2"/>
    <n v="42"/>
    <n v="116220"/>
  </r>
  <r>
    <x v="3"/>
    <x v="2"/>
    <x v="0"/>
    <x v="3"/>
    <n v="41"/>
    <n v="86910"/>
  </r>
  <r>
    <x v="3"/>
    <x v="2"/>
    <x v="0"/>
    <x v="4"/>
    <n v="207"/>
    <n v="482630"/>
  </r>
  <r>
    <x v="3"/>
    <x v="2"/>
    <x v="0"/>
    <x v="5"/>
    <n v="14"/>
    <n v="51280"/>
  </r>
  <r>
    <x v="3"/>
    <x v="2"/>
    <x v="0"/>
    <x v="6"/>
    <n v="51"/>
    <n v="150840"/>
  </r>
  <r>
    <x v="3"/>
    <x v="2"/>
    <x v="0"/>
    <x v="7"/>
    <n v="58"/>
    <n v="147780"/>
  </r>
  <r>
    <x v="3"/>
    <x v="2"/>
    <x v="0"/>
    <x v="8"/>
    <n v="30"/>
    <n v="122730"/>
  </r>
  <r>
    <x v="3"/>
    <x v="2"/>
    <x v="0"/>
    <x v="9"/>
    <n v="25"/>
    <n v="105880"/>
  </r>
  <r>
    <x v="3"/>
    <x v="2"/>
    <x v="0"/>
    <x v="10"/>
    <n v="21"/>
    <n v="100860"/>
  </r>
  <r>
    <x v="3"/>
    <x v="2"/>
    <x v="0"/>
    <x v="31"/>
    <n v="18"/>
    <n v="91040"/>
  </r>
  <r>
    <x v="3"/>
    <x v="2"/>
    <x v="0"/>
    <x v="11"/>
    <n v="27"/>
    <n v="156800"/>
  </r>
  <r>
    <x v="3"/>
    <x v="2"/>
    <x v="0"/>
    <x v="12"/>
    <n v="94"/>
    <n v="366210"/>
  </r>
  <r>
    <x v="3"/>
    <x v="2"/>
    <x v="0"/>
    <x v="13"/>
    <n v="308"/>
    <n v="595070"/>
  </r>
  <r>
    <x v="3"/>
    <x v="2"/>
    <x v="0"/>
    <x v="14"/>
    <n v="78"/>
    <n v="232890"/>
  </r>
  <r>
    <x v="3"/>
    <x v="2"/>
    <x v="0"/>
    <x v="15"/>
    <n v="17"/>
    <n v="80690"/>
  </r>
  <r>
    <x v="3"/>
    <x v="2"/>
    <x v="0"/>
    <x v="16"/>
    <n v="19"/>
    <n v="84240"/>
  </r>
  <r>
    <x v="3"/>
    <x v="2"/>
    <x v="0"/>
    <x v="17"/>
    <n v="30"/>
    <n v="92930"/>
  </r>
  <r>
    <x v="3"/>
    <x v="2"/>
    <x v="0"/>
    <x v="18"/>
    <n v="7"/>
    <n v="27560"/>
  </r>
  <r>
    <x v="3"/>
    <x v="2"/>
    <x v="0"/>
    <x v="19"/>
    <n v="33"/>
    <n v="137570"/>
  </r>
  <r>
    <x v="3"/>
    <x v="2"/>
    <x v="0"/>
    <x v="20"/>
    <n v="65"/>
    <n v="337890"/>
  </r>
  <r>
    <x v="3"/>
    <x v="2"/>
    <x v="0"/>
    <x v="21"/>
    <n v="6"/>
    <n v="21530"/>
  </r>
  <r>
    <x v="3"/>
    <x v="2"/>
    <x v="0"/>
    <x v="22"/>
    <n v="55"/>
    <n v="147740"/>
  </r>
  <r>
    <x v="3"/>
    <x v="2"/>
    <x v="0"/>
    <x v="23"/>
    <n v="50"/>
    <n v="174300"/>
  </r>
  <r>
    <x v="3"/>
    <x v="2"/>
    <x v="0"/>
    <x v="24"/>
    <n v="23"/>
    <n v="113720"/>
  </r>
  <r>
    <x v="3"/>
    <x v="2"/>
    <x v="0"/>
    <x v="25"/>
    <n v="6"/>
    <n v="23210"/>
  </r>
  <r>
    <x v="3"/>
    <x v="2"/>
    <x v="0"/>
    <x v="26"/>
    <n v="40"/>
    <n v="112920"/>
  </r>
  <r>
    <x v="3"/>
    <x v="2"/>
    <x v="0"/>
    <x v="27"/>
    <n v="67"/>
    <n v="314330"/>
  </r>
  <r>
    <x v="3"/>
    <x v="2"/>
    <x v="0"/>
    <x v="28"/>
    <n v="29"/>
    <n v="91010"/>
  </r>
  <r>
    <x v="3"/>
    <x v="2"/>
    <x v="0"/>
    <x v="29"/>
    <n v="26"/>
    <n v="90340"/>
  </r>
  <r>
    <x v="3"/>
    <x v="2"/>
    <x v="0"/>
    <x v="30"/>
    <n v="47"/>
    <n v="176010"/>
  </r>
  <r>
    <x v="3"/>
    <x v="2"/>
    <x v="1"/>
    <x v="0"/>
    <n v="26"/>
    <n v="224910"/>
  </r>
  <r>
    <x v="3"/>
    <x v="2"/>
    <x v="1"/>
    <x v="1"/>
    <n v="10"/>
    <n v="255560"/>
  </r>
  <r>
    <x v="3"/>
    <x v="2"/>
    <x v="1"/>
    <x v="2"/>
    <n v="6"/>
    <n v="116220"/>
  </r>
  <r>
    <x v="3"/>
    <x v="2"/>
    <x v="1"/>
    <x v="3"/>
    <n v="5"/>
    <n v="86910"/>
  </r>
  <r>
    <x v="3"/>
    <x v="2"/>
    <x v="1"/>
    <x v="4"/>
    <n v="50"/>
    <n v="482630"/>
  </r>
  <r>
    <x v="3"/>
    <x v="2"/>
    <x v="1"/>
    <x v="5"/>
    <n v="8"/>
    <n v="51280"/>
  </r>
  <r>
    <x v="3"/>
    <x v="2"/>
    <x v="1"/>
    <x v="6"/>
    <n v="14"/>
    <n v="150840"/>
  </r>
  <r>
    <x v="3"/>
    <x v="2"/>
    <x v="1"/>
    <x v="7"/>
    <n v="16"/>
    <n v="147780"/>
  </r>
  <r>
    <x v="3"/>
    <x v="2"/>
    <x v="1"/>
    <x v="8"/>
    <n v="23"/>
    <n v="122730"/>
  </r>
  <r>
    <x v="3"/>
    <x v="2"/>
    <x v="1"/>
    <x v="9"/>
    <n v="17"/>
    <n v="105880"/>
  </r>
  <r>
    <x v="3"/>
    <x v="2"/>
    <x v="1"/>
    <x v="10"/>
    <n v="15"/>
    <n v="100860"/>
  </r>
  <r>
    <x v="3"/>
    <x v="2"/>
    <x v="1"/>
    <x v="31"/>
    <n v="12"/>
    <n v="91040"/>
  </r>
  <r>
    <x v="3"/>
    <x v="2"/>
    <x v="1"/>
    <x v="11"/>
    <n v="26"/>
    <n v="156800"/>
  </r>
  <r>
    <x v="3"/>
    <x v="2"/>
    <x v="1"/>
    <x v="12"/>
    <n v="38"/>
    <n v="366210"/>
  </r>
  <r>
    <x v="3"/>
    <x v="2"/>
    <x v="1"/>
    <x v="13"/>
    <n v="120"/>
    <n v="595070"/>
  </r>
  <r>
    <x v="3"/>
    <x v="2"/>
    <x v="1"/>
    <x v="14"/>
    <n v="10"/>
    <n v="232890"/>
  </r>
  <r>
    <x v="3"/>
    <x v="2"/>
    <x v="1"/>
    <x v="15"/>
    <n v="10"/>
    <n v="80690"/>
  </r>
  <r>
    <x v="3"/>
    <x v="2"/>
    <x v="1"/>
    <x v="16"/>
    <n v="10"/>
    <n v="84240"/>
  </r>
  <r>
    <x v="3"/>
    <x v="2"/>
    <x v="1"/>
    <x v="17"/>
    <n v="2"/>
    <n v="92930"/>
  </r>
  <r>
    <x v="3"/>
    <x v="2"/>
    <x v="1"/>
    <x v="18"/>
    <n v="2"/>
    <n v="27560"/>
  </r>
  <r>
    <x v="3"/>
    <x v="2"/>
    <x v="1"/>
    <x v="19"/>
    <n v="13"/>
    <n v="137570"/>
  </r>
  <r>
    <x v="3"/>
    <x v="2"/>
    <x v="1"/>
    <x v="20"/>
    <n v="78"/>
    <n v="337890"/>
  </r>
  <r>
    <x v="3"/>
    <x v="2"/>
    <x v="1"/>
    <x v="22"/>
    <n v="13"/>
    <n v="147740"/>
  </r>
  <r>
    <x v="3"/>
    <x v="2"/>
    <x v="1"/>
    <x v="23"/>
    <n v="32"/>
    <n v="174300"/>
  </r>
  <r>
    <x v="3"/>
    <x v="2"/>
    <x v="1"/>
    <x v="24"/>
    <n v="2"/>
    <n v="113720"/>
  </r>
  <r>
    <x v="3"/>
    <x v="2"/>
    <x v="1"/>
    <x v="26"/>
    <n v="11"/>
    <n v="112920"/>
  </r>
  <r>
    <x v="3"/>
    <x v="2"/>
    <x v="1"/>
    <x v="27"/>
    <n v="60"/>
    <n v="314330"/>
  </r>
  <r>
    <x v="3"/>
    <x v="2"/>
    <x v="1"/>
    <x v="28"/>
    <n v="14"/>
    <n v="91010"/>
  </r>
  <r>
    <x v="3"/>
    <x v="2"/>
    <x v="1"/>
    <x v="29"/>
    <n v="18"/>
    <n v="90340"/>
  </r>
  <r>
    <x v="3"/>
    <x v="2"/>
    <x v="1"/>
    <x v="30"/>
    <n v="28"/>
    <n v="176010"/>
  </r>
  <r>
    <x v="3"/>
    <x v="3"/>
    <x v="0"/>
    <x v="0"/>
    <n v="48"/>
    <n v="224910"/>
  </r>
  <r>
    <x v="3"/>
    <x v="3"/>
    <x v="0"/>
    <x v="1"/>
    <n v="82"/>
    <n v="255560"/>
  </r>
  <r>
    <x v="3"/>
    <x v="3"/>
    <x v="0"/>
    <x v="2"/>
    <n v="28"/>
    <n v="116220"/>
  </r>
  <r>
    <x v="3"/>
    <x v="3"/>
    <x v="0"/>
    <x v="3"/>
    <n v="24"/>
    <n v="86910"/>
  </r>
  <r>
    <x v="3"/>
    <x v="3"/>
    <x v="0"/>
    <x v="4"/>
    <n v="78"/>
    <n v="482630"/>
  </r>
  <r>
    <x v="3"/>
    <x v="3"/>
    <x v="0"/>
    <x v="5"/>
    <n v="4"/>
    <n v="51280"/>
  </r>
  <r>
    <x v="3"/>
    <x v="3"/>
    <x v="0"/>
    <x v="6"/>
    <n v="41"/>
    <n v="150840"/>
  </r>
  <r>
    <x v="3"/>
    <x v="3"/>
    <x v="0"/>
    <x v="7"/>
    <n v="26"/>
    <n v="147780"/>
  </r>
  <r>
    <x v="3"/>
    <x v="3"/>
    <x v="0"/>
    <x v="8"/>
    <n v="34"/>
    <n v="122730"/>
  </r>
  <r>
    <x v="3"/>
    <x v="3"/>
    <x v="0"/>
    <x v="9"/>
    <n v="11"/>
    <n v="105880"/>
  </r>
  <r>
    <x v="3"/>
    <x v="3"/>
    <x v="0"/>
    <x v="10"/>
    <n v="21"/>
    <n v="100860"/>
  </r>
  <r>
    <x v="3"/>
    <x v="3"/>
    <x v="0"/>
    <x v="31"/>
    <n v="14"/>
    <n v="91040"/>
  </r>
  <r>
    <x v="3"/>
    <x v="3"/>
    <x v="0"/>
    <x v="11"/>
    <n v="30"/>
    <n v="156800"/>
  </r>
  <r>
    <x v="3"/>
    <x v="3"/>
    <x v="0"/>
    <x v="12"/>
    <n v="83"/>
    <n v="366210"/>
  </r>
  <r>
    <x v="3"/>
    <x v="3"/>
    <x v="0"/>
    <x v="13"/>
    <n v="116"/>
    <n v="595070"/>
  </r>
  <r>
    <x v="3"/>
    <x v="3"/>
    <x v="0"/>
    <x v="14"/>
    <n v="87"/>
    <n v="232890"/>
  </r>
  <r>
    <x v="3"/>
    <x v="3"/>
    <x v="0"/>
    <x v="15"/>
    <n v="21"/>
    <n v="80690"/>
  </r>
  <r>
    <x v="3"/>
    <x v="3"/>
    <x v="0"/>
    <x v="16"/>
    <n v="15"/>
    <n v="84240"/>
  </r>
  <r>
    <x v="3"/>
    <x v="3"/>
    <x v="0"/>
    <x v="17"/>
    <n v="18"/>
    <n v="92930"/>
  </r>
  <r>
    <x v="3"/>
    <x v="3"/>
    <x v="0"/>
    <x v="18"/>
    <n v="13"/>
    <n v="27560"/>
  </r>
  <r>
    <x v="3"/>
    <x v="3"/>
    <x v="0"/>
    <x v="19"/>
    <n v="19"/>
    <n v="137570"/>
  </r>
  <r>
    <x v="3"/>
    <x v="3"/>
    <x v="0"/>
    <x v="20"/>
    <n v="73"/>
    <n v="337890"/>
  </r>
  <r>
    <x v="3"/>
    <x v="3"/>
    <x v="0"/>
    <x v="21"/>
    <n v="12"/>
    <n v="21530"/>
  </r>
  <r>
    <x v="3"/>
    <x v="3"/>
    <x v="0"/>
    <x v="22"/>
    <n v="59"/>
    <n v="147740"/>
  </r>
  <r>
    <x v="3"/>
    <x v="3"/>
    <x v="0"/>
    <x v="23"/>
    <n v="24"/>
    <n v="174300"/>
  </r>
  <r>
    <x v="3"/>
    <x v="3"/>
    <x v="0"/>
    <x v="24"/>
    <n v="35"/>
    <n v="113720"/>
  </r>
  <r>
    <x v="3"/>
    <x v="3"/>
    <x v="0"/>
    <x v="25"/>
    <n v="1"/>
    <n v="23210"/>
  </r>
  <r>
    <x v="3"/>
    <x v="3"/>
    <x v="0"/>
    <x v="26"/>
    <n v="26"/>
    <n v="112920"/>
  </r>
  <r>
    <x v="3"/>
    <x v="3"/>
    <x v="0"/>
    <x v="27"/>
    <n v="90"/>
    <n v="314330"/>
  </r>
  <r>
    <x v="3"/>
    <x v="3"/>
    <x v="0"/>
    <x v="28"/>
    <n v="22"/>
    <n v="91010"/>
  </r>
  <r>
    <x v="3"/>
    <x v="3"/>
    <x v="0"/>
    <x v="29"/>
    <n v="26"/>
    <n v="90340"/>
  </r>
  <r>
    <x v="3"/>
    <x v="3"/>
    <x v="0"/>
    <x v="30"/>
    <n v="39"/>
    <n v="176010"/>
  </r>
  <r>
    <x v="3"/>
    <x v="3"/>
    <x v="1"/>
    <x v="0"/>
    <n v="42"/>
    <n v="224910"/>
  </r>
  <r>
    <x v="3"/>
    <x v="3"/>
    <x v="1"/>
    <x v="1"/>
    <n v="21"/>
    <n v="255560"/>
  </r>
  <r>
    <x v="3"/>
    <x v="3"/>
    <x v="1"/>
    <x v="2"/>
    <n v="9"/>
    <n v="116220"/>
  </r>
  <r>
    <x v="3"/>
    <x v="3"/>
    <x v="1"/>
    <x v="3"/>
    <n v="7"/>
    <n v="86910"/>
  </r>
  <r>
    <x v="3"/>
    <x v="3"/>
    <x v="1"/>
    <x v="4"/>
    <n v="63"/>
    <n v="482630"/>
  </r>
  <r>
    <x v="3"/>
    <x v="3"/>
    <x v="1"/>
    <x v="5"/>
    <n v="4"/>
    <n v="51280"/>
  </r>
  <r>
    <x v="3"/>
    <x v="3"/>
    <x v="1"/>
    <x v="6"/>
    <n v="14"/>
    <n v="150840"/>
  </r>
  <r>
    <x v="3"/>
    <x v="3"/>
    <x v="1"/>
    <x v="7"/>
    <n v="12"/>
    <n v="147780"/>
  </r>
  <r>
    <x v="3"/>
    <x v="3"/>
    <x v="1"/>
    <x v="8"/>
    <n v="17"/>
    <n v="122730"/>
  </r>
  <r>
    <x v="3"/>
    <x v="3"/>
    <x v="1"/>
    <x v="9"/>
    <n v="25"/>
    <n v="105880"/>
  </r>
  <r>
    <x v="3"/>
    <x v="3"/>
    <x v="1"/>
    <x v="10"/>
    <n v="10"/>
    <n v="100860"/>
  </r>
  <r>
    <x v="3"/>
    <x v="3"/>
    <x v="1"/>
    <x v="31"/>
    <n v="10"/>
    <n v="91040"/>
  </r>
  <r>
    <x v="3"/>
    <x v="3"/>
    <x v="1"/>
    <x v="11"/>
    <n v="17"/>
    <n v="156800"/>
  </r>
  <r>
    <x v="3"/>
    <x v="3"/>
    <x v="1"/>
    <x v="12"/>
    <n v="45"/>
    <n v="366210"/>
  </r>
  <r>
    <x v="3"/>
    <x v="3"/>
    <x v="1"/>
    <x v="13"/>
    <n v="190"/>
    <n v="595070"/>
  </r>
  <r>
    <x v="3"/>
    <x v="3"/>
    <x v="1"/>
    <x v="14"/>
    <n v="4"/>
    <n v="232890"/>
  </r>
  <r>
    <x v="3"/>
    <x v="3"/>
    <x v="1"/>
    <x v="15"/>
    <n v="22"/>
    <n v="80690"/>
  </r>
  <r>
    <x v="3"/>
    <x v="3"/>
    <x v="1"/>
    <x v="16"/>
    <n v="9"/>
    <n v="84240"/>
  </r>
  <r>
    <x v="3"/>
    <x v="3"/>
    <x v="1"/>
    <x v="17"/>
    <n v="4"/>
    <n v="92930"/>
  </r>
  <r>
    <x v="3"/>
    <x v="3"/>
    <x v="1"/>
    <x v="18"/>
    <n v="3"/>
    <n v="27560"/>
  </r>
  <r>
    <x v="3"/>
    <x v="3"/>
    <x v="1"/>
    <x v="19"/>
    <n v="21"/>
    <n v="137570"/>
  </r>
  <r>
    <x v="3"/>
    <x v="3"/>
    <x v="1"/>
    <x v="20"/>
    <n v="87"/>
    <n v="337890"/>
  </r>
  <r>
    <x v="3"/>
    <x v="3"/>
    <x v="1"/>
    <x v="22"/>
    <n v="5"/>
    <n v="147740"/>
  </r>
  <r>
    <x v="3"/>
    <x v="3"/>
    <x v="1"/>
    <x v="23"/>
    <n v="38"/>
    <n v="174300"/>
  </r>
  <r>
    <x v="3"/>
    <x v="3"/>
    <x v="1"/>
    <x v="24"/>
    <n v="6"/>
    <n v="113720"/>
  </r>
  <r>
    <x v="3"/>
    <x v="3"/>
    <x v="1"/>
    <x v="26"/>
    <n v="9"/>
    <n v="112920"/>
  </r>
  <r>
    <x v="3"/>
    <x v="3"/>
    <x v="1"/>
    <x v="27"/>
    <n v="57"/>
    <n v="314330"/>
  </r>
  <r>
    <x v="3"/>
    <x v="3"/>
    <x v="1"/>
    <x v="28"/>
    <n v="5"/>
    <n v="91010"/>
  </r>
  <r>
    <x v="3"/>
    <x v="3"/>
    <x v="1"/>
    <x v="29"/>
    <n v="39"/>
    <n v="90340"/>
  </r>
  <r>
    <x v="3"/>
    <x v="3"/>
    <x v="1"/>
    <x v="30"/>
    <n v="19"/>
    <n v="176010"/>
  </r>
  <r>
    <x v="3"/>
    <x v="4"/>
    <x v="0"/>
    <x v="0"/>
    <n v="5"/>
    <n v="224910"/>
  </r>
  <r>
    <x v="3"/>
    <x v="4"/>
    <x v="0"/>
    <x v="1"/>
    <n v="30"/>
    <n v="255560"/>
  </r>
  <r>
    <x v="3"/>
    <x v="4"/>
    <x v="0"/>
    <x v="2"/>
    <n v="8"/>
    <n v="116220"/>
  </r>
  <r>
    <x v="3"/>
    <x v="4"/>
    <x v="0"/>
    <x v="3"/>
    <n v="16"/>
    <n v="86910"/>
  </r>
  <r>
    <x v="3"/>
    <x v="4"/>
    <x v="0"/>
    <x v="4"/>
    <n v="19"/>
    <n v="482630"/>
  </r>
  <r>
    <x v="3"/>
    <x v="4"/>
    <x v="0"/>
    <x v="5"/>
    <n v="2"/>
    <n v="51280"/>
  </r>
  <r>
    <x v="3"/>
    <x v="4"/>
    <x v="0"/>
    <x v="6"/>
    <n v="10"/>
    <n v="150840"/>
  </r>
  <r>
    <x v="3"/>
    <x v="4"/>
    <x v="0"/>
    <x v="7"/>
    <n v="4"/>
    <n v="147780"/>
  </r>
  <r>
    <x v="3"/>
    <x v="4"/>
    <x v="0"/>
    <x v="8"/>
    <n v="5"/>
    <n v="122730"/>
  </r>
  <r>
    <x v="3"/>
    <x v="4"/>
    <x v="0"/>
    <x v="9"/>
    <n v="1"/>
    <n v="105880"/>
  </r>
  <r>
    <x v="3"/>
    <x v="4"/>
    <x v="0"/>
    <x v="10"/>
    <n v="4"/>
    <n v="100860"/>
  </r>
  <r>
    <x v="3"/>
    <x v="4"/>
    <x v="0"/>
    <x v="31"/>
    <n v="3"/>
    <n v="91040"/>
  </r>
  <r>
    <x v="3"/>
    <x v="4"/>
    <x v="0"/>
    <x v="11"/>
    <n v="4"/>
    <n v="156800"/>
  </r>
  <r>
    <x v="3"/>
    <x v="4"/>
    <x v="0"/>
    <x v="12"/>
    <n v="31"/>
    <n v="366210"/>
  </r>
  <r>
    <x v="3"/>
    <x v="4"/>
    <x v="0"/>
    <x v="13"/>
    <n v="24"/>
    <n v="595070"/>
  </r>
  <r>
    <x v="3"/>
    <x v="4"/>
    <x v="0"/>
    <x v="14"/>
    <n v="37"/>
    <n v="232890"/>
  </r>
  <r>
    <x v="3"/>
    <x v="4"/>
    <x v="0"/>
    <x v="15"/>
    <n v="3"/>
    <n v="80690"/>
  </r>
  <r>
    <x v="3"/>
    <x v="4"/>
    <x v="0"/>
    <x v="16"/>
    <n v="4"/>
    <n v="84240"/>
  </r>
  <r>
    <x v="3"/>
    <x v="4"/>
    <x v="0"/>
    <x v="17"/>
    <n v="6"/>
    <n v="92930"/>
  </r>
  <r>
    <x v="3"/>
    <x v="4"/>
    <x v="0"/>
    <x v="18"/>
    <n v="14"/>
    <n v="27560"/>
  </r>
  <r>
    <x v="3"/>
    <x v="4"/>
    <x v="0"/>
    <x v="19"/>
    <n v="9"/>
    <n v="137570"/>
  </r>
  <r>
    <x v="3"/>
    <x v="4"/>
    <x v="0"/>
    <x v="20"/>
    <n v="7"/>
    <n v="337890"/>
  </r>
  <r>
    <x v="3"/>
    <x v="4"/>
    <x v="0"/>
    <x v="21"/>
    <n v="3"/>
    <n v="21530"/>
  </r>
  <r>
    <x v="3"/>
    <x v="4"/>
    <x v="0"/>
    <x v="22"/>
    <n v="9"/>
    <n v="147740"/>
  </r>
  <r>
    <x v="3"/>
    <x v="4"/>
    <x v="0"/>
    <x v="23"/>
    <n v="7"/>
    <n v="174300"/>
  </r>
  <r>
    <x v="3"/>
    <x v="4"/>
    <x v="0"/>
    <x v="24"/>
    <n v="11"/>
    <n v="113720"/>
  </r>
  <r>
    <x v="3"/>
    <x v="4"/>
    <x v="0"/>
    <x v="25"/>
    <n v="5"/>
    <n v="23210"/>
  </r>
  <r>
    <x v="3"/>
    <x v="4"/>
    <x v="0"/>
    <x v="26"/>
    <n v="9"/>
    <n v="112920"/>
  </r>
  <r>
    <x v="3"/>
    <x v="4"/>
    <x v="0"/>
    <x v="27"/>
    <n v="5"/>
    <n v="314330"/>
  </r>
  <r>
    <x v="3"/>
    <x v="4"/>
    <x v="0"/>
    <x v="28"/>
    <n v="6"/>
    <n v="91010"/>
  </r>
  <r>
    <x v="3"/>
    <x v="4"/>
    <x v="0"/>
    <x v="29"/>
    <n v="4"/>
    <n v="90340"/>
  </r>
  <r>
    <x v="3"/>
    <x v="4"/>
    <x v="0"/>
    <x v="30"/>
    <n v="12"/>
    <n v="176010"/>
  </r>
  <r>
    <x v="3"/>
    <x v="4"/>
    <x v="1"/>
    <x v="0"/>
    <n v="12"/>
    <n v="224910"/>
  </r>
  <r>
    <x v="3"/>
    <x v="4"/>
    <x v="1"/>
    <x v="1"/>
    <n v="11"/>
    <n v="255560"/>
  </r>
  <r>
    <x v="3"/>
    <x v="4"/>
    <x v="1"/>
    <x v="2"/>
    <n v="5"/>
    <n v="116220"/>
  </r>
  <r>
    <x v="3"/>
    <x v="4"/>
    <x v="1"/>
    <x v="3"/>
    <n v="3"/>
    <n v="86910"/>
  </r>
  <r>
    <x v="3"/>
    <x v="4"/>
    <x v="1"/>
    <x v="4"/>
    <n v="69"/>
    <n v="482630"/>
  </r>
  <r>
    <x v="3"/>
    <x v="4"/>
    <x v="1"/>
    <x v="5"/>
    <n v="7"/>
    <n v="51280"/>
  </r>
  <r>
    <x v="3"/>
    <x v="4"/>
    <x v="1"/>
    <x v="6"/>
    <n v="1"/>
    <n v="150840"/>
  </r>
  <r>
    <x v="3"/>
    <x v="4"/>
    <x v="1"/>
    <x v="7"/>
    <n v="11"/>
    <n v="147780"/>
  </r>
  <r>
    <x v="3"/>
    <x v="4"/>
    <x v="1"/>
    <x v="8"/>
    <n v="13"/>
    <n v="122730"/>
  </r>
  <r>
    <x v="3"/>
    <x v="4"/>
    <x v="1"/>
    <x v="9"/>
    <n v="5"/>
    <n v="105880"/>
  </r>
  <r>
    <x v="3"/>
    <x v="4"/>
    <x v="1"/>
    <x v="10"/>
    <n v="12"/>
    <n v="100860"/>
  </r>
  <r>
    <x v="3"/>
    <x v="4"/>
    <x v="1"/>
    <x v="31"/>
    <n v="6"/>
    <n v="91040"/>
  </r>
  <r>
    <x v="3"/>
    <x v="4"/>
    <x v="1"/>
    <x v="11"/>
    <n v="15"/>
    <n v="156800"/>
  </r>
  <r>
    <x v="3"/>
    <x v="4"/>
    <x v="1"/>
    <x v="12"/>
    <n v="37"/>
    <n v="366210"/>
  </r>
  <r>
    <x v="3"/>
    <x v="4"/>
    <x v="1"/>
    <x v="13"/>
    <n v="85"/>
    <n v="595070"/>
  </r>
  <r>
    <x v="3"/>
    <x v="4"/>
    <x v="1"/>
    <x v="14"/>
    <n v="6"/>
    <n v="232890"/>
  </r>
  <r>
    <x v="3"/>
    <x v="4"/>
    <x v="1"/>
    <x v="15"/>
    <n v="9"/>
    <n v="80690"/>
  </r>
  <r>
    <x v="3"/>
    <x v="4"/>
    <x v="1"/>
    <x v="16"/>
    <n v="18"/>
    <n v="84240"/>
  </r>
  <r>
    <x v="3"/>
    <x v="4"/>
    <x v="1"/>
    <x v="17"/>
    <n v="8"/>
    <n v="92930"/>
  </r>
  <r>
    <x v="3"/>
    <x v="4"/>
    <x v="1"/>
    <x v="18"/>
    <n v="4"/>
    <n v="27560"/>
  </r>
  <r>
    <x v="3"/>
    <x v="4"/>
    <x v="1"/>
    <x v="19"/>
    <n v="7"/>
    <n v="137570"/>
  </r>
  <r>
    <x v="3"/>
    <x v="4"/>
    <x v="1"/>
    <x v="20"/>
    <n v="43"/>
    <n v="337890"/>
  </r>
  <r>
    <x v="3"/>
    <x v="4"/>
    <x v="1"/>
    <x v="22"/>
    <n v="6"/>
    <n v="147740"/>
  </r>
  <r>
    <x v="3"/>
    <x v="4"/>
    <x v="1"/>
    <x v="23"/>
    <n v="17"/>
    <n v="174300"/>
  </r>
  <r>
    <x v="3"/>
    <x v="4"/>
    <x v="1"/>
    <x v="24"/>
    <n v="9"/>
    <n v="113720"/>
  </r>
  <r>
    <x v="3"/>
    <x v="4"/>
    <x v="1"/>
    <x v="26"/>
    <n v="6"/>
    <n v="112920"/>
  </r>
  <r>
    <x v="3"/>
    <x v="4"/>
    <x v="1"/>
    <x v="27"/>
    <n v="27"/>
    <n v="314330"/>
  </r>
  <r>
    <x v="3"/>
    <x v="4"/>
    <x v="1"/>
    <x v="28"/>
    <n v="5"/>
    <n v="91010"/>
  </r>
  <r>
    <x v="3"/>
    <x v="4"/>
    <x v="1"/>
    <x v="29"/>
    <n v="14"/>
    <n v="90340"/>
  </r>
  <r>
    <x v="3"/>
    <x v="4"/>
    <x v="1"/>
    <x v="30"/>
    <n v="27"/>
    <n v="176010"/>
  </r>
  <r>
    <x v="3"/>
    <x v="5"/>
    <x v="0"/>
    <x v="0"/>
    <n v="100"/>
    <n v="224910"/>
  </r>
  <r>
    <x v="3"/>
    <x v="5"/>
    <x v="0"/>
    <x v="1"/>
    <n v="85"/>
    <n v="255560"/>
  </r>
  <r>
    <x v="3"/>
    <x v="5"/>
    <x v="0"/>
    <x v="2"/>
    <n v="51"/>
    <n v="116220"/>
  </r>
  <r>
    <x v="3"/>
    <x v="5"/>
    <x v="0"/>
    <x v="3"/>
    <n v="63"/>
    <n v="86910"/>
  </r>
  <r>
    <x v="3"/>
    <x v="5"/>
    <x v="0"/>
    <x v="4"/>
    <n v="271"/>
    <n v="482630"/>
  </r>
  <r>
    <x v="3"/>
    <x v="5"/>
    <x v="0"/>
    <x v="5"/>
    <n v="10"/>
    <n v="51280"/>
  </r>
  <r>
    <x v="3"/>
    <x v="5"/>
    <x v="0"/>
    <x v="6"/>
    <n v="48"/>
    <n v="150840"/>
  </r>
  <r>
    <x v="3"/>
    <x v="5"/>
    <x v="0"/>
    <x v="7"/>
    <n v="48"/>
    <n v="147780"/>
  </r>
  <r>
    <x v="3"/>
    <x v="5"/>
    <x v="0"/>
    <x v="8"/>
    <n v="33"/>
    <n v="122730"/>
  </r>
  <r>
    <x v="3"/>
    <x v="5"/>
    <x v="0"/>
    <x v="9"/>
    <n v="15"/>
    <n v="105880"/>
  </r>
  <r>
    <x v="3"/>
    <x v="5"/>
    <x v="0"/>
    <x v="10"/>
    <n v="22"/>
    <n v="100860"/>
  </r>
  <r>
    <x v="3"/>
    <x v="5"/>
    <x v="0"/>
    <x v="31"/>
    <n v="12"/>
    <n v="91040"/>
  </r>
  <r>
    <x v="3"/>
    <x v="5"/>
    <x v="0"/>
    <x v="11"/>
    <n v="51"/>
    <n v="156800"/>
  </r>
  <r>
    <x v="3"/>
    <x v="5"/>
    <x v="0"/>
    <x v="12"/>
    <n v="130"/>
    <n v="366210"/>
  </r>
  <r>
    <x v="3"/>
    <x v="5"/>
    <x v="0"/>
    <x v="13"/>
    <n v="187"/>
    <n v="595070"/>
  </r>
  <r>
    <x v="3"/>
    <x v="5"/>
    <x v="0"/>
    <x v="14"/>
    <n v="344"/>
    <n v="232890"/>
  </r>
  <r>
    <x v="3"/>
    <x v="5"/>
    <x v="0"/>
    <x v="15"/>
    <n v="23"/>
    <n v="80690"/>
  </r>
  <r>
    <x v="3"/>
    <x v="5"/>
    <x v="0"/>
    <x v="16"/>
    <n v="22"/>
    <n v="84240"/>
  </r>
  <r>
    <x v="3"/>
    <x v="5"/>
    <x v="0"/>
    <x v="17"/>
    <n v="37"/>
    <n v="92930"/>
  </r>
  <r>
    <x v="3"/>
    <x v="5"/>
    <x v="0"/>
    <x v="18"/>
    <n v="117"/>
    <n v="27560"/>
  </r>
  <r>
    <x v="3"/>
    <x v="5"/>
    <x v="0"/>
    <x v="19"/>
    <n v="37"/>
    <n v="137570"/>
  </r>
  <r>
    <x v="3"/>
    <x v="5"/>
    <x v="0"/>
    <x v="20"/>
    <n v="39"/>
    <n v="337890"/>
  </r>
  <r>
    <x v="3"/>
    <x v="5"/>
    <x v="0"/>
    <x v="21"/>
    <n v="5"/>
    <n v="21530"/>
  </r>
  <r>
    <x v="3"/>
    <x v="5"/>
    <x v="0"/>
    <x v="22"/>
    <n v="48"/>
    <n v="147740"/>
  </r>
  <r>
    <x v="3"/>
    <x v="5"/>
    <x v="0"/>
    <x v="23"/>
    <n v="26"/>
    <n v="174300"/>
  </r>
  <r>
    <x v="3"/>
    <x v="5"/>
    <x v="0"/>
    <x v="24"/>
    <n v="19"/>
    <n v="113720"/>
  </r>
  <r>
    <x v="3"/>
    <x v="5"/>
    <x v="0"/>
    <x v="25"/>
    <n v="10"/>
    <n v="23210"/>
  </r>
  <r>
    <x v="3"/>
    <x v="5"/>
    <x v="0"/>
    <x v="26"/>
    <n v="32"/>
    <n v="112920"/>
  </r>
  <r>
    <x v="3"/>
    <x v="5"/>
    <x v="0"/>
    <x v="27"/>
    <n v="51"/>
    <n v="314330"/>
  </r>
  <r>
    <x v="3"/>
    <x v="5"/>
    <x v="0"/>
    <x v="28"/>
    <n v="34"/>
    <n v="91010"/>
  </r>
  <r>
    <x v="3"/>
    <x v="5"/>
    <x v="0"/>
    <x v="29"/>
    <n v="13"/>
    <n v="90340"/>
  </r>
  <r>
    <x v="3"/>
    <x v="5"/>
    <x v="0"/>
    <x v="30"/>
    <n v="38"/>
    <n v="176010"/>
  </r>
  <r>
    <x v="3"/>
    <x v="5"/>
    <x v="1"/>
    <x v="0"/>
    <n v="347"/>
    <n v="224910"/>
  </r>
  <r>
    <x v="3"/>
    <x v="5"/>
    <x v="1"/>
    <x v="1"/>
    <n v="120"/>
    <n v="255560"/>
  </r>
  <r>
    <x v="3"/>
    <x v="5"/>
    <x v="1"/>
    <x v="2"/>
    <n v="86"/>
    <n v="116220"/>
  </r>
  <r>
    <x v="3"/>
    <x v="5"/>
    <x v="1"/>
    <x v="3"/>
    <n v="85"/>
    <n v="86910"/>
  </r>
  <r>
    <x v="3"/>
    <x v="5"/>
    <x v="1"/>
    <x v="4"/>
    <n v="952"/>
    <n v="482630"/>
  </r>
  <r>
    <x v="3"/>
    <x v="5"/>
    <x v="1"/>
    <x v="5"/>
    <n v="86"/>
    <n v="51280"/>
  </r>
  <r>
    <x v="3"/>
    <x v="5"/>
    <x v="1"/>
    <x v="6"/>
    <n v="77"/>
    <n v="150840"/>
  </r>
  <r>
    <x v="3"/>
    <x v="5"/>
    <x v="1"/>
    <x v="7"/>
    <n v="365"/>
    <n v="147780"/>
  </r>
  <r>
    <x v="3"/>
    <x v="5"/>
    <x v="1"/>
    <x v="8"/>
    <n v="642"/>
    <n v="122730"/>
  </r>
  <r>
    <x v="3"/>
    <x v="5"/>
    <x v="1"/>
    <x v="9"/>
    <n v="130"/>
    <n v="105880"/>
  </r>
  <r>
    <x v="3"/>
    <x v="5"/>
    <x v="1"/>
    <x v="10"/>
    <n v="106"/>
    <n v="100860"/>
  </r>
  <r>
    <x v="3"/>
    <x v="5"/>
    <x v="1"/>
    <x v="31"/>
    <n v="165"/>
    <n v="91040"/>
  </r>
  <r>
    <x v="3"/>
    <x v="5"/>
    <x v="1"/>
    <x v="11"/>
    <n v="323"/>
    <n v="156800"/>
  </r>
  <r>
    <x v="3"/>
    <x v="5"/>
    <x v="1"/>
    <x v="12"/>
    <n v="563"/>
    <n v="366210"/>
  </r>
  <r>
    <x v="3"/>
    <x v="5"/>
    <x v="1"/>
    <x v="13"/>
    <n v="2288"/>
    <n v="595070"/>
  </r>
  <r>
    <x v="3"/>
    <x v="5"/>
    <x v="1"/>
    <x v="14"/>
    <n v="160"/>
    <n v="232890"/>
  </r>
  <r>
    <x v="3"/>
    <x v="5"/>
    <x v="1"/>
    <x v="15"/>
    <n v="490"/>
    <n v="80690"/>
  </r>
  <r>
    <x v="3"/>
    <x v="5"/>
    <x v="1"/>
    <x v="16"/>
    <n v="144"/>
    <n v="84240"/>
  </r>
  <r>
    <x v="3"/>
    <x v="5"/>
    <x v="1"/>
    <x v="17"/>
    <n v="68"/>
    <n v="92930"/>
  </r>
  <r>
    <x v="3"/>
    <x v="5"/>
    <x v="1"/>
    <x v="18"/>
    <n v="13"/>
    <n v="27560"/>
  </r>
  <r>
    <x v="3"/>
    <x v="5"/>
    <x v="1"/>
    <x v="19"/>
    <n v="595"/>
    <n v="137570"/>
  </r>
  <r>
    <x v="3"/>
    <x v="5"/>
    <x v="1"/>
    <x v="20"/>
    <n v="1474"/>
    <n v="337890"/>
  </r>
  <r>
    <x v="3"/>
    <x v="5"/>
    <x v="1"/>
    <x v="21"/>
    <n v="2"/>
    <n v="21530"/>
  </r>
  <r>
    <x v="3"/>
    <x v="5"/>
    <x v="1"/>
    <x v="22"/>
    <n v="83"/>
    <n v="147740"/>
  </r>
  <r>
    <x v="3"/>
    <x v="5"/>
    <x v="1"/>
    <x v="23"/>
    <n v="608"/>
    <n v="174300"/>
  </r>
  <r>
    <x v="3"/>
    <x v="5"/>
    <x v="1"/>
    <x v="24"/>
    <n v="46"/>
    <n v="113720"/>
  </r>
  <r>
    <x v="3"/>
    <x v="5"/>
    <x v="1"/>
    <x v="25"/>
    <n v="3"/>
    <n v="23210"/>
  </r>
  <r>
    <x v="3"/>
    <x v="5"/>
    <x v="1"/>
    <x v="26"/>
    <n v="267"/>
    <n v="112920"/>
  </r>
  <r>
    <x v="3"/>
    <x v="5"/>
    <x v="1"/>
    <x v="27"/>
    <n v="1036"/>
    <n v="314330"/>
  </r>
  <r>
    <x v="3"/>
    <x v="5"/>
    <x v="1"/>
    <x v="28"/>
    <n v="93"/>
    <n v="91010"/>
  </r>
  <r>
    <x v="3"/>
    <x v="5"/>
    <x v="1"/>
    <x v="29"/>
    <n v="433"/>
    <n v="90340"/>
  </r>
  <r>
    <x v="3"/>
    <x v="5"/>
    <x v="1"/>
    <x v="30"/>
    <n v="402"/>
    <n v="176010"/>
  </r>
  <r>
    <x v="4"/>
    <x v="0"/>
    <x v="0"/>
    <x v="0"/>
    <n v="19"/>
    <n v="227070"/>
  </r>
  <r>
    <x v="4"/>
    <x v="0"/>
    <x v="0"/>
    <x v="1"/>
    <n v="106"/>
    <n v="257770"/>
  </r>
  <r>
    <x v="4"/>
    <x v="0"/>
    <x v="0"/>
    <x v="2"/>
    <n v="30"/>
    <n v="116290"/>
  </r>
  <r>
    <x v="4"/>
    <x v="0"/>
    <x v="0"/>
    <x v="3"/>
    <n v="79"/>
    <n v="88050"/>
  </r>
  <r>
    <x v="4"/>
    <x v="0"/>
    <x v="0"/>
    <x v="4"/>
    <n v="22"/>
    <n v="487460"/>
  </r>
  <r>
    <x v="4"/>
    <x v="0"/>
    <x v="0"/>
    <x v="5"/>
    <n v="6"/>
    <n v="51280"/>
  </r>
  <r>
    <x v="4"/>
    <x v="0"/>
    <x v="0"/>
    <x v="6"/>
    <n v="80"/>
    <n v="150280"/>
  </r>
  <r>
    <x v="4"/>
    <x v="0"/>
    <x v="0"/>
    <x v="7"/>
    <n v="4"/>
    <n v="148100"/>
  </r>
  <r>
    <x v="4"/>
    <x v="0"/>
    <x v="0"/>
    <x v="8"/>
    <n v="18"/>
    <n v="122430"/>
  </r>
  <r>
    <x v="4"/>
    <x v="0"/>
    <x v="0"/>
    <x v="9"/>
    <n v="6"/>
    <n v="105840"/>
  </r>
  <r>
    <x v="4"/>
    <x v="0"/>
    <x v="0"/>
    <x v="10"/>
    <n v="24"/>
    <n v="101390"/>
  </r>
  <r>
    <x v="4"/>
    <x v="0"/>
    <x v="0"/>
    <x v="31"/>
    <n v="3"/>
    <n v="91530"/>
  </r>
  <r>
    <x v="4"/>
    <x v="0"/>
    <x v="0"/>
    <x v="11"/>
    <n v="8"/>
    <n v="157160"/>
  </r>
  <r>
    <x v="4"/>
    <x v="0"/>
    <x v="0"/>
    <x v="12"/>
    <n v="30"/>
    <n v="366900"/>
  </r>
  <r>
    <x v="4"/>
    <x v="0"/>
    <x v="0"/>
    <x v="13"/>
    <n v="10"/>
    <n v="596520"/>
  </r>
  <r>
    <x v="4"/>
    <x v="0"/>
    <x v="0"/>
    <x v="14"/>
    <n v="270"/>
    <n v="232930"/>
  </r>
  <r>
    <x v="4"/>
    <x v="0"/>
    <x v="0"/>
    <x v="15"/>
    <n v="2"/>
    <n v="80340"/>
  </r>
  <r>
    <x v="4"/>
    <x v="0"/>
    <x v="0"/>
    <x v="16"/>
    <n v="10"/>
    <n v="84710"/>
  </r>
  <r>
    <x v="4"/>
    <x v="0"/>
    <x v="0"/>
    <x v="17"/>
    <n v="47"/>
    <n v="94360"/>
  </r>
  <r>
    <x v="4"/>
    <x v="0"/>
    <x v="0"/>
    <x v="18"/>
    <n v="62"/>
    <n v="27400"/>
  </r>
  <r>
    <x v="4"/>
    <x v="0"/>
    <x v="0"/>
    <x v="19"/>
    <n v="15"/>
    <n v="136940"/>
  </r>
  <r>
    <x v="4"/>
    <x v="0"/>
    <x v="0"/>
    <x v="20"/>
    <n v="5"/>
    <n v="337780"/>
  </r>
  <r>
    <x v="4"/>
    <x v="0"/>
    <x v="0"/>
    <x v="21"/>
    <n v="17"/>
    <n v="21560"/>
  </r>
  <r>
    <x v="4"/>
    <x v="0"/>
    <x v="0"/>
    <x v="22"/>
    <n v="73"/>
    <n v="147770"/>
  </r>
  <r>
    <x v="4"/>
    <x v="0"/>
    <x v="0"/>
    <x v="23"/>
    <n v="2"/>
    <n v="173890"/>
  </r>
  <r>
    <x v="4"/>
    <x v="0"/>
    <x v="0"/>
    <x v="24"/>
    <n v="65"/>
    <n v="113880"/>
  </r>
  <r>
    <x v="4"/>
    <x v="0"/>
    <x v="0"/>
    <x v="25"/>
    <n v="16"/>
    <n v="23200"/>
  </r>
  <r>
    <x v="4"/>
    <x v="0"/>
    <x v="0"/>
    <x v="26"/>
    <n v="17"/>
    <n v="112870"/>
  </r>
  <r>
    <x v="4"/>
    <x v="0"/>
    <x v="0"/>
    <x v="27"/>
    <n v="19"/>
    <n v="314810"/>
  </r>
  <r>
    <x v="4"/>
    <x v="0"/>
    <x v="0"/>
    <x v="28"/>
    <n v="27"/>
    <n v="91230"/>
  </r>
  <r>
    <x v="4"/>
    <x v="0"/>
    <x v="0"/>
    <x v="29"/>
    <n v="4"/>
    <n v="89800"/>
  </r>
  <r>
    <x v="4"/>
    <x v="0"/>
    <x v="0"/>
    <x v="30"/>
    <n v="9"/>
    <n v="176160"/>
  </r>
  <r>
    <x v="4"/>
    <x v="0"/>
    <x v="1"/>
    <x v="3"/>
    <n v="1"/>
    <n v="88050"/>
  </r>
  <r>
    <x v="4"/>
    <x v="0"/>
    <x v="1"/>
    <x v="10"/>
    <n v="1"/>
    <n v="101390"/>
  </r>
  <r>
    <x v="4"/>
    <x v="1"/>
    <x v="0"/>
    <x v="0"/>
    <n v="247"/>
    <n v="227070"/>
  </r>
  <r>
    <x v="4"/>
    <x v="1"/>
    <x v="0"/>
    <x v="1"/>
    <n v="173"/>
    <n v="257770"/>
  </r>
  <r>
    <x v="4"/>
    <x v="1"/>
    <x v="0"/>
    <x v="2"/>
    <n v="71"/>
    <n v="116290"/>
  </r>
  <r>
    <x v="4"/>
    <x v="1"/>
    <x v="0"/>
    <x v="3"/>
    <n v="78"/>
    <n v="88050"/>
  </r>
  <r>
    <x v="4"/>
    <x v="1"/>
    <x v="0"/>
    <x v="4"/>
    <n v="523"/>
    <n v="487460"/>
  </r>
  <r>
    <x v="4"/>
    <x v="1"/>
    <x v="0"/>
    <x v="5"/>
    <n v="38"/>
    <n v="51280"/>
  </r>
  <r>
    <x v="4"/>
    <x v="1"/>
    <x v="0"/>
    <x v="6"/>
    <n v="111"/>
    <n v="150280"/>
  </r>
  <r>
    <x v="4"/>
    <x v="1"/>
    <x v="0"/>
    <x v="7"/>
    <n v="195"/>
    <n v="148100"/>
  </r>
  <r>
    <x v="4"/>
    <x v="1"/>
    <x v="0"/>
    <x v="8"/>
    <n v="91"/>
    <n v="122430"/>
  </r>
  <r>
    <x v="4"/>
    <x v="1"/>
    <x v="0"/>
    <x v="9"/>
    <n v="53"/>
    <n v="105840"/>
  </r>
  <r>
    <x v="4"/>
    <x v="1"/>
    <x v="0"/>
    <x v="10"/>
    <n v="81"/>
    <n v="101390"/>
  </r>
  <r>
    <x v="4"/>
    <x v="1"/>
    <x v="0"/>
    <x v="31"/>
    <n v="61"/>
    <n v="91530"/>
  </r>
  <r>
    <x v="4"/>
    <x v="1"/>
    <x v="0"/>
    <x v="11"/>
    <n v="118"/>
    <n v="157160"/>
  </r>
  <r>
    <x v="4"/>
    <x v="1"/>
    <x v="0"/>
    <x v="12"/>
    <n v="216"/>
    <n v="366900"/>
  </r>
  <r>
    <x v="4"/>
    <x v="1"/>
    <x v="0"/>
    <x v="13"/>
    <n v="763"/>
    <n v="596520"/>
  </r>
  <r>
    <x v="4"/>
    <x v="1"/>
    <x v="0"/>
    <x v="14"/>
    <n v="140"/>
    <n v="232930"/>
  </r>
  <r>
    <x v="4"/>
    <x v="1"/>
    <x v="0"/>
    <x v="15"/>
    <n v="87"/>
    <n v="80340"/>
  </r>
  <r>
    <x v="4"/>
    <x v="1"/>
    <x v="0"/>
    <x v="16"/>
    <n v="62"/>
    <n v="84710"/>
  </r>
  <r>
    <x v="4"/>
    <x v="1"/>
    <x v="0"/>
    <x v="17"/>
    <n v="69"/>
    <n v="94360"/>
  </r>
  <r>
    <x v="4"/>
    <x v="1"/>
    <x v="0"/>
    <x v="18"/>
    <n v="11"/>
    <n v="27400"/>
  </r>
  <r>
    <x v="4"/>
    <x v="1"/>
    <x v="0"/>
    <x v="19"/>
    <n v="135"/>
    <n v="136940"/>
  </r>
  <r>
    <x v="4"/>
    <x v="1"/>
    <x v="0"/>
    <x v="20"/>
    <n v="259"/>
    <n v="337780"/>
  </r>
  <r>
    <x v="4"/>
    <x v="1"/>
    <x v="0"/>
    <x v="21"/>
    <n v="10"/>
    <n v="21560"/>
  </r>
  <r>
    <x v="4"/>
    <x v="1"/>
    <x v="0"/>
    <x v="22"/>
    <n v="97"/>
    <n v="147770"/>
  </r>
  <r>
    <x v="4"/>
    <x v="1"/>
    <x v="0"/>
    <x v="23"/>
    <n v="223"/>
    <n v="173890"/>
  </r>
  <r>
    <x v="4"/>
    <x v="1"/>
    <x v="0"/>
    <x v="24"/>
    <n v="101"/>
    <n v="113880"/>
  </r>
  <r>
    <x v="4"/>
    <x v="1"/>
    <x v="0"/>
    <x v="25"/>
    <n v="11"/>
    <n v="23200"/>
  </r>
  <r>
    <x v="4"/>
    <x v="1"/>
    <x v="0"/>
    <x v="26"/>
    <n v="86"/>
    <n v="112870"/>
  </r>
  <r>
    <x v="4"/>
    <x v="1"/>
    <x v="0"/>
    <x v="27"/>
    <n v="228"/>
    <n v="314810"/>
  </r>
  <r>
    <x v="4"/>
    <x v="1"/>
    <x v="0"/>
    <x v="28"/>
    <n v="66"/>
    <n v="91230"/>
  </r>
  <r>
    <x v="4"/>
    <x v="1"/>
    <x v="0"/>
    <x v="29"/>
    <n v="105"/>
    <n v="89800"/>
  </r>
  <r>
    <x v="4"/>
    <x v="1"/>
    <x v="0"/>
    <x v="30"/>
    <n v="164"/>
    <n v="176160"/>
  </r>
  <r>
    <x v="4"/>
    <x v="1"/>
    <x v="1"/>
    <x v="0"/>
    <n v="47"/>
    <n v="227070"/>
  </r>
  <r>
    <x v="4"/>
    <x v="1"/>
    <x v="1"/>
    <x v="1"/>
    <n v="9"/>
    <n v="257770"/>
  </r>
  <r>
    <x v="4"/>
    <x v="1"/>
    <x v="1"/>
    <x v="2"/>
    <n v="9"/>
    <n v="116290"/>
  </r>
  <r>
    <x v="4"/>
    <x v="1"/>
    <x v="1"/>
    <x v="3"/>
    <n v="10"/>
    <n v="88050"/>
  </r>
  <r>
    <x v="4"/>
    <x v="1"/>
    <x v="1"/>
    <x v="4"/>
    <n v="84"/>
    <n v="487460"/>
  </r>
  <r>
    <x v="4"/>
    <x v="1"/>
    <x v="1"/>
    <x v="5"/>
    <n v="4"/>
    <n v="51280"/>
  </r>
  <r>
    <x v="4"/>
    <x v="1"/>
    <x v="1"/>
    <x v="6"/>
    <n v="1"/>
    <n v="150280"/>
  </r>
  <r>
    <x v="4"/>
    <x v="1"/>
    <x v="1"/>
    <x v="7"/>
    <n v="25"/>
    <n v="148100"/>
  </r>
  <r>
    <x v="4"/>
    <x v="1"/>
    <x v="1"/>
    <x v="8"/>
    <n v="16"/>
    <n v="122430"/>
  </r>
  <r>
    <x v="4"/>
    <x v="1"/>
    <x v="1"/>
    <x v="9"/>
    <n v="4"/>
    <n v="105840"/>
  </r>
  <r>
    <x v="4"/>
    <x v="1"/>
    <x v="1"/>
    <x v="10"/>
    <n v="2"/>
    <n v="101390"/>
  </r>
  <r>
    <x v="4"/>
    <x v="1"/>
    <x v="1"/>
    <x v="31"/>
    <n v="3"/>
    <n v="91530"/>
  </r>
  <r>
    <x v="4"/>
    <x v="1"/>
    <x v="1"/>
    <x v="11"/>
    <n v="12"/>
    <n v="157160"/>
  </r>
  <r>
    <x v="4"/>
    <x v="1"/>
    <x v="1"/>
    <x v="12"/>
    <n v="15"/>
    <n v="366900"/>
  </r>
  <r>
    <x v="4"/>
    <x v="1"/>
    <x v="1"/>
    <x v="13"/>
    <n v="153"/>
    <n v="596520"/>
  </r>
  <r>
    <x v="4"/>
    <x v="1"/>
    <x v="1"/>
    <x v="14"/>
    <n v="3"/>
    <n v="232930"/>
  </r>
  <r>
    <x v="4"/>
    <x v="1"/>
    <x v="1"/>
    <x v="15"/>
    <n v="19"/>
    <n v="80340"/>
  </r>
  <r>
    <x v="4"/>
    <x v="1"/>
    <x v="1"/>
    <x v="16"/>
    <n v="4"/>
    <n v="84710"/>
  </r>
  <r>
    <x v="4"/>
    <x v="1"/>
    <x v="1"/>
    <x v="17"/>
    <n v="5"/>
    <n v="94360"/>
  </r>
  <r>
    <x v="4"/>
    <x v="1"/>
    <x v="1"/>
    <x v="19"/>
    <n v="13"/>
    <n v="136940"/>
  </r>
  <r>
    <x v="4"/>
    <x v="1"/>
    <x v="1"/>
    <x v="20"/>
    <n v="56"/>
    <n v="337780"/>
  </r>
  <r>
    <x v="4"/>
    <x v="1"/>
    <x v="1"/>
    <x v="22"/>
    <n v="8"/>
    <n v="147770"/>
  </r>
  <r>
    <x v="4"/>
    <x v="1"/>
    <x v="1"/>
    <x v="23"/>
    <n v="39"/>
    <n v="173890"/>
  </r>
  <r>
    <x v="4"/>
    <x v="1"/>
    <x v="1"/>
    <x v="24"/>
    <n v="9"/>
    <n v="113880"/>
  </r>
  <r>
    <x v="4"/>
    <x v="1"/>
    <x v="1"/>
    <x v="26"/>
    <n v="7"/>
    <n v="112870"/>
  </r>
  <r>
    <x v="4"/>
    <x v="1"/>
    <x v="1"/>
    <x v="27"/>
    <n v="35"/>
    <n v="314810"/>
  </r>
  <r>
    <x v="4"/>
    <x v="1"/>
    <x v="1"/>
    <x v="28"/>
    <n v="6"/>
    <n v="91230"/>
  </r>
  <r>
    <x v="4"/>
    <x v="1"/>
    <x v="1"/>
    <x v="29"/>
    <n v="28"/>
    <n v="89800"/>
  </r>
  <r>
    <x v="4"/>
    <x v="1"/>
    <x v="1"/>
    <x v="30"/>
    <n v="24"/>
    <n v="176160"/>
  </r>
  <r>
    <x v="4"/>
    <x v="2"/>
    <x v="0"/>
    <x v="0"/>
    <n v="119"/>
    <n v="227070"/>
  </r>
  <r>
    <x v="4"/>
    <x v="2"/>
    <x v="0"/>
    <x v="1"/>
    <n v="72"/>
    <n v="257770"/>
  </r>
  <r>
    <x v="4"/>
    <x v="2"/>
    <x v="0"/>
    <x v="2"/>
    <n v="39"/>
    <n v="116290"/>
  </r>
  <r>
    <x v="4"/>
    <x v="2"/>
    <x v="0"/>
    <x v="3"/>
    <n v="42"/>
    <n v="88050"/>
  </r>
  <r>
    <x v="4"/>
    <x v="2"/>
    <x v="0"/>
    <x v="4"/>
    <n v="201"/>
    <n v="487460"/>
  </r>
  <r>
    <x v="4"/>
    <x v="2"/>
    <x v="0"/>
    <x v="5"/>
    <n v="17"/>
    <n v="51280"/>
  </r>
  <r>
    <x v="4"/>
    <x v="2"/>
    <x v="0"/>
    <x v="6"/>
    <n v="43"/>
    <n v="150280"/>
  </r>
  <r>
    <x v="4"/>
    <x v="2"/>
    <x v="0"/>
    <x v="7"/>
    <n v="48"/>
    <n v="148100"/>
  </r>
  <r>
    <x v="4"/>
    <x v="2"/>
    <x v="0"/>
    <x v="8"/>
    <n v="27"/>
    <n v="122430"/>
  </r>
  <r>
    <x v="4"/>
    <x v="2"/>
    <x v="0"/>
    <x v="9"/>
    <n v="15"/>
    <n v="105840"/>
  </r>
  <r>
    <x v="4"/>
    <x v="2"/>
    <x v="0"/>
    <x v="10"/>
    <n v="25"/>
    <n v="101390"/>
  </r>
  <r>
    <x v="4"/>
    <x v="2"/>
    <x v="0"/>
    <x v="31"/>
    <n v="16"/>
    <n v="91530"/>
  </r>
  <r>
    <x v="4"/>
    <x v="2"/>
    <x v="0"/>
    <x v="11"/>
    <n v="46"/>
    <n v="157160"/>
  </r>
  <r>
    <x v="4"/>
    <x v="2"/>
    <x v="0"/>
    <x v="12"/>
    <n v="97"/>
    <n v="366900"/>
  </r>
  <r>
    <x v="4"/>
    <x v="2"/>
    <x v="0"/>
    <x v="13"/>
    <n v="308"/>
    <n v="596520"/>
  </r>
  <r>
    <x v="4"/>
    <x v="2"/>
    <x v="0"/>
    <x v="14"/>
    <n v="71"/>
    <n v="232930"/>
  </r>
  <r>
    <x v="4"/>
    <x v="2"/>
    <x v="0"/>
    <x v="15"/>
    <n v="16"/>
    <n v="80340"/>
  </r>
  <r>
    <x v="4"/>
    <x v="2"/>
    <x v="0"/>
    <x v="16"/>
    <n v="18"/>
    <n v="84710"/>
  </r>
  <r>
    <x v="4"/>
    <x v="2"/>
    <x v="0"/>
    <x v="17"/>
    <n v="36"/>
    <n v="94360"/>
  </r>
  <r>
    <x v="4"/>
    <x v="2"/>
    <x v="0"/>
    <x v="18"/>
    <n v="9"/>
    <n v="27400"/>
  </r>
  <r>
    <x v="4"/>
    <x v="2"/>
    <x v="0"/>
    <x v="19"/>
    <n v="31"/>
    <n v="136940"/>
  </r>
  <r>
    <x v="4"/>
    <x v="2"/>
    <x v="0"/>
    <x v="20"/>
    <n v="71"/>
    <n v="337780"/>
  </r>
  <r>
    <x v="4"/>
    <x v="2"/>
    <x v="0"/>
    <x v="21"/>
    <n v="9"/>
    <n v="21560"/>
  </r>
  <r>
    <x v="4"/>
    <x v="2"/>
    <x v="0"/>
    <x v="22"/>
    <n v="41"/>
    <n v="147770"/>
  </r>
  <r>
    <x v="4"/>
    <x v="2"/>
    <x v="0"/>
    <x v="23"/>
    <n v="57"/>
    <n v="173890"/>
  </r>
  <r>
    <x v="4"/>
    <x v="2"/>
    <x v="0"/>
    <x v="24"/>
    <n v="27"/>
    <n v="113880"/>
  </r>
  <r>
    <x v="4"/>
    <x v="2"/>
    <x v="0"/>
    <x v="25"/>
    <n v="3"/>
    <n v="23200"/>
  </r>
  <r>
    <x v="4"/>
    <x v="2"/>
    <x v="0"/>
    <x v="26"/>
    <n v="37"/>
    <n v="112870"/>
  </r>
  <r>
    <x v="4"/>
    <x v="2"/>
    <x v="0"/>
    <x v="27"/>
    <n v="56"/>
    <n v="314810"/>
  </r>
  <r>
    <x v="4"/>
    <x v="2"/>
    <x v="0"/>
    <x v="28"/>
    <n v="36"/>
    <n v="91230"/>
  </r>
  <r>
    <x v="4"/>
    <x v="2"/>
    <x v="0"/>
    <x v="29"/>
    <n v="21"/>
    <n v="89800"/>
  </r>
  <r>
    <x v="4"/>
    <x v="2"/>
    <x v="0"/>
    <x v="30"/>
    <n v="57"/>
    <n v="176160"/>
  </r>
  <r>
    <x v="4"/>
    <x v="2"/>
    <x v="1"/>
    <x v="0"/>
    <n v="23"/>
    <n v="227070"/>
  </r>
  <r>
    <x v="4"/>
    <x v="2"/>
    <x v="1"/>
    <x v="1"/>
    <n v="16"/>
    <n v="257770"/>
  </r>
  <r>
    <x v="4"/>
    <x v="2"/>
    <x v="1"/>
    <x v="2"/>
    <n v="6"/>
    <n v="116290"/>
  </r>
  <r>
    <x v="4"/>
    <x v="2"/>
    <x v="1"/>
    <x v="3"/>
    <n v="4"/>
    <n v="88050"/>
  </r>
  <r>
    <x v="4"/>
    <x v="2"/>
    <x v="1"/>
    <x v="4"/>
    <n v="66"/>
    <n v="487460"/>
  </r>
  <r>
    <x v="4"/>
    <x v="2"/>
    <x v="1"/>
    <x v="5"/>
    <n v="4"/>
    <n v="51280"/>
  </r>
  <r>
    <x v="4"/>
    <x v="2"/>
    <x v="1"/>
    <x v="6"/>
    <n v="14"/>
    <n v="150280"/>
  </r>
  <r>
    <x v="4"/>
    <x v="2"/>
    <x v="1"/>
    <x v="7"/>
    <n v="11"/>
    <n v="148100"/>
  </r>
  <r>
    <x v="4"/>
    <x v="2"/>
    <x v="1"/>
    <x v="8"/>
    <n v="17"/>
    <n v="122430"/>
  </r>
  <r>
    <x v="4"/>
    <x v="2"/>
    <x v="1"/>
    <x v="9"/>
    <n v="13"/>
    <n v="105840"/>
  </r>
  <r>
    <x v="4"/>
    <x v="2"/>
    <x v="1"/>
    <x v="10"/>
    <n v="12"/>
    <n v="101390"/>
  </r>
  <r>
    <x v="4"/>
    <x v="2"/>
    <x v="1"/>
    <x v="31"/>
    <n v="9"/>
    <n v="91530"/>
  </r>
  <r>
    <x v="4"/>
    <x v="2"/>
    <x v="1"/>
    <x v="11"/>
    <n v="24"/>
    <n v="157160"/>
  </r>
  <r>
    <x v="4"/>
    <x v="2"/>
    <x v="1"/>
    <x v="12"/>
    <n v="30"/>
    <n v="366900"/>
  </r>
  <r>
    <x v="4"/>
    <x v="2"/>
    <x v="1"/>
    <x v="13"/>
    <n v="117"/>
    <n v="596520"/>
  </r>
  <r>
    <x v="4"/>
    <x v="2"/>
    <x v="1"/>
    <x v="14"/>
    <n v="14"/>
    <n v="232930"/>
  </r>
  <r>
    <x v="4"/>
    <x v="2"/>
    <x v="1"/>
    <x v="15"/>
    <n v="15"/>
    <n v="80340"/>
  </r>
  <r>
    <x v="4"/>
    <x v="2"/>
    <x v="1"/>
    <x v="16"/>
    <n v="12"/>
    <n v="84710"/>
  </r>
  <r>
    <x v="4"/>
    <x v="2"/>
    <x v="1"/>
    <x v="17"/>
    <n v="9"/>
    <n v="94360"/>
  </r>
  <r>
    <x v="4"/>
    <x v="2"/>
    <x v="1"/>
    <x v="19"/>
    <n v="11"/>
    <n v="136940"/>
  </r>
  <r>
    <x v="4"/>
    <x v="2"/>
    <x v="1"/>
    <x v="20"/>
    <n v="64"/>
    <n v="337780"/>
  </r>
  <r>
    <x v="4"/>
    <x v="2"/>
    <x v="1"/>
    <x v="21"/>
    <n v="2"/>
    <n v="21560"/>
  </r>
  <r>
    <x v="4"/>
    <x v="2"/>
    <x v="1"/>
    <x v="22"/>
    <n v="17"/>
    <n v="147770"/>
  </r>
  <r>
    <x v="4"/>
    <x v="2"/>
    <x v="1"/>
    <x v="23"/>
    <n v="20"/>
    <n v="173890"/>
  </r>
  <r>
    <x v="4"/>
    <x v="2"/>
    <x v="1"/>
    <x v="24"/>
    <n v="2"/>
    <n v="113880"/>
  </r>
  <r>
    <x v="4"/>
    <x v="2"/>
    <x v="1"/>
    <x v="25"/>
    <n v="1"/>
    <n v="23200"/>
  </r>
  <r>
    <x v="4"/>
    <x v="2"/>
    <x v="1"/>
    <x v="26"/>
    <n v="11"/>
    <n v="112870"/>
  </r>
  <r>
    <x v="4"/>
    <x v="2"/>
    <x v="1"/>
    <x v="27"/>
    <n v="41"/>
    <n v="314810"/>
  </r>
  <r>
    <x v="4"/>
    <x v="2"/>
    <x v="1"/>
    <x v="28"/>
    <n v="10"/>
    <n v="91230"/>
  </r>
  <r>
    <x v="4"/>
    <x v="2"/>
    <x v="1"/>
    <x v="29"/>
    <n v="16"/>
    <n v="89800"/>
  </r>
  <r>
    <x v="4"/>
    <x v="2"/>
    <x v="1"/>
    <x v="30"/>
    <n v="24"/>
    <n v="176160"/>
  </r>
  <r>
    <x v="4"/>
    <x v="3"/>
    <x v="0"/>
    <x v="0"/>
    <n v="44"/>
    <n v="227070"/>
  </r>
  <r>
    <x v="4"/>
    <x v="3"/>
    <x v="0"/>
    <x v="1"/>
    <n v="84"/>
    <n v="257770"/>
  </r>
  <r>
    <x v="4"/>
    <x v="3"/>
    <x v="0"/>
    <x v="2"/>
    <n v="27"/>
    <n v="116290"/>
  </r>
  <r>
    <x v="4"/>
    <x v="3"/>
    <x v="0"/>
    <x v="3"/>
    <n v="25"/>
    <n v="88050"/>
  </r>
  <r>
    <x v="4"/>
    <x v="3"/>
    <x v="0"/>
    <x v="4"/>
    <n v="70"/>
    <n v="487460"/>
  </r>
  <r>
    <x v="4"/>
    <x v="3"/>
    <x v="0"/>
    <x v="5"/>
    <n v="7"/>
    <n v="51280"/>
  </r>
  <r>
    <x v="4"/>
    <x v="3"/>
    <x v="0"/>
    <x v="6"/>
    <n v="45"/>
    <n v="150280"/>
  </r>
  <r>
    <x v="4"/>
    <x v="3"/>
    <x v="0"/>
    <x v="7"/>
    <n v="32"/>
    <n v="148100"/>
  </r>
  <r>
    <x v="4"/>
    <x v="3"/>
    <x v="0"/>
    <x v="8"/>
    <n v="25"/>
    <n v="122430"/>
  </r>
  <r>
    <x v="4"/>
    <x v="3"/>
    <x v="0"/>
    <x v="9"/>
    <n v="20"/>
    <n v="105840"/>
  </r>
  <r>
    <x v="4"/>
    <x v="3"/>
    <x v="0"/>
    <x v="10"/>
    <n v="26"/>
    <n v="101390"/>
  </r>
  <r>
    <x v="4"/>
    <x v="3"/>
    <x v="0"/>
    <x v="31"/>
    <n v="15"/>
    <n v="91530"/>
  </r>
  <r>
    <x v="4"/>
    <x v="3"/>
    <x v="0"/>
    <x v="11"/>
    <n v="35"/>
    <n v="157160"/>
  </r>
  <r>
    <x v="4"/>
    <x v="3"/>
    <x v="0"/>
    <x v="12"/>
    <n v="71"/>
    <n v="366900"/>
  </r>
  <r>
    <x v="4"/>
    <x v="3"/>
    <x v="0"/>
    <x v="13"/>
    <n v="113"/>
    <n v="596520"/>
  </r>
  <r>
    <x v="4"/>
    <x v="3"/>
    <x v="0"/>
    <x v="14"/>
    <n v="70"/>
    <n v="232930"/>
  </r>
  <r>
    <x v="4"/>
    <x v="3"/>
    <x v="0"/>
    <x v="15"/>
    <n v="22"/>
    <n v="80340"/>
  </r>
  <r>
    <x v="4"/>
    <x v="3"/>
    <x v="0"/>
    <x v="16"/>
    <n v="21"/>
    <n v="84710"/>
  </r>
  <r>
    <x v="4"/>
    <x v="3"/>
    <x v="0"/>
    <x v="17"/>
    <n v="24"/>
    <n v="94360"/>
  </r>
  <r>
    <x v="4"/>
    <x v="3"/>
    <x v="0"/>
    <x v="18"/>
    <n v="4"/>
    <n v="27400"/>
  </r>
  <r>
    <x v="4"/>
    <x v="3"/>
    <x v="0"/>
    <x v="19"/>
    <n v="14"/>
    <n v="136940"/>
  </r>
  <r>
    <x v="4"/>
    <x v="3"/>
    <x v="0"/>
    <x v="20"/>
    <n v="79"/>
    <n v="337780"/>
  </r>
  <r>
    <x v="4"/>
    <x v="3"/>
    <x v="0"/>
    <x v="21"/>
    <n v="3"/>
    <n v="21560"/>
  </r>
  <r>
    <x v="4"/>
    <x v="3"/>
    <x v="0"/>
    <x v="22"/>
    <n v="42"/>
    <n v="147770"/>
  </r>
  <r>
    <x v="4"/>
    <x v="3"/>
    <x v="0"/>
    <x v="23"/>
    <n v="46"/>
    <n v="173890"/>
  </r>
  <r>
    <x v="4"/>
    <x v="3"/>
    <x v="0"/>
    <x v="24"/>
    <n v="30"/>
    <n v="113880"/>
  </r>
  <r>
    <x v="4"/>
    <x v="3"/>
    <x v="0"/>
    <x v="25"/>
    <n v="7"/>
    <n v="23200"/>
  </r>
  <r>
    <x v="4"/>
    <x v="3"/>
    <x v="0"/>
    <x v="26"/>
    <n v="21"/>
    <n v="112870"/>
  </r>
  <r>
    <x v="4"/>
    <x v="3"/>
    <x v="0"/>
    <x v="27"/>
    <n v="62"/>
    <n v="314810"/>
  </r>
  <r>
    <x v="4"/>
    <x v="3"/>
    <x v="0"/>
    <x v="28"/>
    <n v="28"/>
    <n v="91230"/>
  </r>
  <r>
    <x v="4"/>
    <x v="3"/>
    <x v="0"/>
    <x v="29"/>
    <n v="18"/>
    <n v="89800"/>
  </r>
  <r>
    <x v="4"/>
    <x v="3"/>
    <x v="0"/>
    <x v="30"/>
    <n v="39"/>
    <n v="176160"/>
  </r>
  <r>
    <x v="4"/>
    <x v="3"/>
    <x v="1"/>
    <x v="0"/>
    <n v="53"/>
    <n v="227070"/>
  </r>
  <r>
    <x v="4"/>
    <x v="3"/>
    <x v="1"/>
    <x v="1"/>
    <n v="13"/>
    <n v="257770"/>
  </r>
  <r>
    <x v="4"/>
    <x v="3"/>
    <x v="1"/>
    <x v="2"/>
    <n v="6"/>
    <n v="116290"/>
  </r>
  <r>
    <x v="4"/>
    <x v="3"/>
    <x v="1"/>
    <x v="3"/>
    <n v="3"/>
    <n v="88050"/>
  </r>
  <r>
    <x v="4"/>
    <x v="3"/>
    <x v="1"/>
    <x v="4"/>
    <n v="132"/>
    <n v="487460"/>
  </r>
  <r>
    <x v="4"/>
    <x v="3"/>
    <x v="1"/>
    <x v="5"/>
    <n v="3"/>
    <n v="51280"/>
  </r>
  <r>
    <x v="4"/>
    <x v="3"/>
    <x v="1"/>
    <x v="6"/>
    <n v="16"/>
    <n v="150280"/>
  </r>
  <r>
    <x v="4"/>
    <x v="3"/>
    <x v="1"/>
    <x v="7"/>
    <n v="8"/>
    <n v="148100"/>
  </r>
  <r>
    <x v="4"/>
    <x v="3"/>
    <x v="1"/>
    <x v="8"/>
    <n v="18"/>
    <n v="122430"/>
  </r>
  <r>
    <x v="4"/>
    <x v="3"/>
    <x v="1"/>
    <x v="9"/>
    <n v="13"/>
    <n v="105840"/>
  </r>
  <r>
    <x v="4"/>
    <x v="3"/>
    <x v="1"/>
    <x v="10"/>
    <n v="7"/>
    <n v="101390"/>
  </r>
  <r>
    <x v="4"/>
    <x v="3"/>
    <x v="1"/>
    <x v="31"/>
    <n v="10"/>
    <n v="91530"/>
  </r>
  <r>
    <x v="4"/>
    <x v="3"/>
    <x v="1"/>
    <x v="11"/>
    <n v="12"/>
    <n v="157160"/>
  </r>
  <r>
    <x v="4"/>
    <x v="3"/>
    <x v="1"/>
    <x v="12"/>
    <n v="25"/>
    <n v="366900"/>
  </r>
  <r>
    <x v="4"/>
    <x v="3"/>
    <x v="1"/>
    <x v="13"/>
    <n v="155"/>
    <n v="596520"/>
  </r>
  <r>
    <x v="4"/>
    <x v="3"/>
    <x v="1"/>
    <x v="14"/>
    <n v="7"/>
    <n v="232930"/>
  </r>
  <r>
    <x v="4"/>
    <x v="3"/>
    <x v="1"/>
    <x v="15"/>
    <n v="17"/>
    <n v="80340"/>
  </r>
  <r>
    <x v="4"/>
    <x v="3"/>
    <x v="1"/>
    <x v="16"/>
    <n v="4"/>
    <n v="84710"/>
  </r>
  <r>
    <x v="4"/>
    <x v="3"/>
    <x v="1"/>
    <x v="17"/>
    <n v="8"/>
    <n v="94360"/>
  </r>
  <r>
    <x v="4"/>
    <x v="3"/>
    <x v="1"/>
    <x v="19"/>
    <n v="16"/>
    <n v="136940"/>
  </r>
  <r>
    <x v="4"/>
    <x v="3"/>
    <x v="1"/>
    <x v="20"/>
    <n v="88"/>
    <n v="337780"/>
  </r>
  <r>
    <x v="4"/>
    <x v="3"/>
    <x v="1"/>
    <x v="22"/>
    <n v="4"/>
    <n v="147770"/>
  </r>
  <r>
    <x v="4"/>
    <x v="3"/>
    <x v="1"/>
    <x v="23"/>
    <n v="39"/>
    <n v="173890"/>
  </r>
  <r>
    <x v="4"/>
    <x v="3"/>
    <x v="1"/>
    <x v="24"/>
    <n v="4"/>
    <n v="113880"/>
  </r>
  <r>
    <x v="4"/>
    <x v="3"/>
    <x v="1"/>
    <x v="26"/>
    <n v="9"/>
    <n v="112870"/>
  </r>
  <r>
    <x v="4"/>
    <x v="3"/>
    <x v="1"/>
    <x v="27"/>
    <n v="35"/>
    <n v="314810"/>
  </r>
  <r>
    <x v="4"/>
    <x v="3"/>
    <x v="1"/>
    <x v="28"/>
    <n v="1"/>
    <n v="91230"/>
  </r>
  <r>
    <x v="4"/>
    <x v="3"/>
    <x v="1"/>
    <x v="29"/>
    <n v="34"/>
    <n v="89800"/>
  </r>
  <r>
    <x v="4"/>
    <x v="3"/>
    <x v="1"/>
    <x v="30"/>
    <n v="29"/>
    <n v="176160"/>
  </r>
  <r>
    <x v="4"/>
    <x v="4"/>
    <x v="0"/>
    <x v="0"/>
    <n v="5"/>
    <n v="227070"/>
  </r>
  <r>
    <x v="4"/>
    <x v="4"/>
    <x v="0"/>
    <x v="1"/>
    <n v="36"/>
    <n v="257770"/>
  </r>
  <r>
    <x v="4"/>
    <x v="4"/>
    <x v="0"/>
    <x v="2"/>
    <n v="13"/>
    <n v="116290"/>
  </r>
  <r>
    <x v="4"/>
    <x v="4"/>
    <x v="0"/>
    <x v="3"/>
    <n v="12"/>
    <n v="88050"/>
  </r>
  <r>
    <x v="4"/>
    <x v="4"/>
    <x v="0"/>
    <x v="4"/>
    <n v="25"/>
    <n v="487460"/>
  </r>
  <r>
    <x v="4"/>
    <x v="4"/>
    <x v="0"/>
    <x v="5"/>
    <n v="11"/>
    <n v="51280"/>
  </r>
  <r>
    <x v="4"/>
    <x v="4"/>
    <x v="0"/>
    <x v="6"/>
    <n v="13"/>
    <n v="150280"/>
  </r>
  <r>
    <x v="4"/>
    <x v="4"/>
    <x v="0"/>
    <x v="7"/>
    <n v="3"/>
    <n v="148100"/>
  </r>
  <r>
    <x v="4"/>
    <x v="4"/>
    <x v="0"/>
    <x v="8"/>
    <n v="10"/>
    <n v="122430"/>
  </r>
  <r>
    <x v="4"/>
    <x v="4"/>
    <x v="0"/>
    <x v="9"/>
    <n v="3"/>
    <n v="105840"/>
  </r>
  <r>
    <x v="4"/>
    <x v="4"/>
    <x v="0"/>
    <x v="10"/>
    <n v="4"/>
    <n v="101390"/>
  </r>
  <r>
    <x v="4"/>
    <x v="4"/>
    <x v="0"/>
    <x v="31"/>
    <n v="4"/>
    <n v="91530"/>
  </r>
  <r>
    <x v="4"/>
    <x v="4"/>
    <x v="0"/>
    <x v="11"/>
    <n v="16"/>
    <n v="157160"/>
  </r>
  <r>
    <x v="4"/>
    <x v="4"/>
    <x v="0"/>
    <x v="12"/>
    <n v="30"/>
    <n v="366900"/>
  </r>
  <r>
    <x v="4"/>
    <x v="4"/>
    <x v="0"/>
    <x v="13"/>
    <n v="17"/>
    <n v="596520"/>
  </r>
  <r>
    <x v="4"/>
    <x v="4"/>
    <x v="0"/>
    <x v="14"/>
    <n v="51"/>
    <n v="232930"/>
  </r>
  <r>
    <x v="4"/>
    <x v="4"/>
    <x v="0"/>
    <x v="15"/>
    <n v="2"/>
    <n v="80340"/>
  </r>
  <r>
    <x v="4"/>
    <x v="4"/>
    <x v="0"/>
    <x v="16"/>
    <n v="7"/>
    <n v="84710"/>
  </r>
  <r>
    <x v="4"/>
    <x v="4"/>
    <x v="0"/>
    <x v="17"/>
    <n v="6"/>
    <n v="94360"/>
  </r>
  <r>
    <x v="4"/>
    <x v="4"/>
    <x v="0"/>
    <x v="18"/>
    <n v="8"/>
    <n v="27400"/>
  </r>
  <r>
    <x v="4"/>
    <x v="4"/>
    <x v="0"/>
    <x v="19"/>
    <n v="9"/>
    <n v="136940"/>
  </r>
  <r>
    <x v="4"/>
    <x v="4"/>
    <x v="0"/>
    <x v="20"/>
    <n v="13"/>
    <n v="337780"/>
  </r>
  <r>
    <x v="4"/>
    <x v="4"/>
    <x v="0"/>
    <x v="21"/>
    <n v="6"/>
    <n v="21560"/>
  </r>
  <r>
    <x v="4"/>
    <x v="4"/>
    <x v="0"/>
    <x v="22"/>
    <n v="12"/>
    <n v="147770"/>
  </r>
  <r>
    <x v="4"/>
    <x v="4"/>
    <x v="0"/>
    <x v="23"/>
    <n v="5"/>
    <n v="173890"/>
  </r>
  <r>
    <x v="4"/>
    <x v="4"/>
    <x v="0"/>
    <x v="24"/>
    <n v="15"/>
    <n v="113880"/>
  </r>
  <r>
    <x v="4"/>
    <x v="4"/>
    <x v="0"/>
    <x v="25"/>
    <n v="4"/>
    <n v="23200"/>
  </r>
  <r>
    <x v="4"/>
    <x v="4"/>
    <x v="0"/>
    <x v="26"/>
    <n v="8"/>
    <n v="112870"/>
  </r>
  <r>
    <x v="4"/>
    <x v="4"/>
    <x v="0"/>
    <x v="27"/>
    <n v="12"/>
    <n v="314810"/>
  </r>
  <r>
    <x v="4"/>
    <x v="4"/>
    <x v="0"/>
    <x v="28"/>
    <n v="4"/>
    <n v="91230"/>
  </r>
  <r>
    <x v="4"/>
    <x v="4"/>
    <x v="0"/>
    <x v="29"/>
    <n v="1"/>
    <n v="89800"/>
  </r>
  <r>
    <x v="4"/>
    <x v="4"/>
    <x v="0"/>
    <x v="30"/>
    <n v="23"/>
    <n v="176160"/>
  </r>
  <r>
    <x v="4"/>
    <x v="4"/>
    <x v="1"/>
    <x v="0"/>
    <n v="19"/>
    <n v="227070"/>
  </r>
  <r>
    <x v="4"/>
    <x v="4"/>
    <x v="1"/>
    <x v="1"/>
    <n v="9"/>
    <n v="257770"/>
  </r>
  <r>
    <x v="4"/>
    <x v="4"/>
    <x v="1"/>
    <x v="2"/>
    <n v="2"/>
    <n v="116290"/>
  </r>
  <r>
    <x v="4"/>
    <x v="4"/>
    <x v="1"/>
    <x v="4"/>
    <n v="70"/>
    <n v="487460"/>
  </r>
  <r>
    <x v="4"/>
    <x v="4"/>
    <x v="1"/>
    <x v="5"/>
    <n v="10"/>
    <n v="51280"/>
  </r>
  <r>
    <x v="4"/>
    <x v="4"/>
    <x v="1"/>
    <x v="6"/>
    <n v="2"/>
    <n v="150280"/>
  </r>
  <r>
    <x v="4"/>
    <x v="4"/>
    <x v="1"/>
    <x v="7"/>
    <n v="8"/>
    <n v="148100"/>
  </r>
  <r>
    <x v="4"/>
    <x v="4"/>
    <x v="1"/>
    <x v="8"/>
    <n v="13"/>
    <n v="122430"/>
  </r>
  <r>
    <x v="4"/>
    <x v="4"/>
    <x v="1"/>
    <x v="9"/>
    <n v="4"/>
    <n v="105840"/>
  </r>
  <r>
    <x v="4"/>
    <x v="4"/>
    <x v="1"/>
    <x v="10"/>
    <n v="15"/>
    <n v="101390"/>
  </r>
  <r>
    <x v="4"/>
    <x v="4"/>
    <x v="1"/>
    <x v="31"/>
    <n v="4"/>
    <n v="91530"/>
  </r>
  <r>
    <x v="4"/>
    <x v="4"/>
    <x v="1"/>
    <x v="11"/>
    <n v="30"/>
    <n v="157160"/>
  </r>
  <r>
    <x v="4"/>
    <x v="4"/>
    <x v="1"/>
    <x v="12"/>
    <n v="28"/>
    <n v="366900"/>
  </r>
  <r>
    <x v="4"/>
    <x v="4"/>
    <x v="1"/>
    <x v="13"/>
    <n v="58"/>
    <n v="596520"/>
  </r>
  <r>
    <x v="4"/>
    <x v="4"/>
    <x v="1"/>
    <x v="14"/>
    <n v="10"/>
    <n v="232930"/>
  </r>
  <r>
    <x v="4"/>
    <x v="4"/>
    <x v="1"/>
    <x v="15"/>
    <n v="12"/>
    <n v="80340"/>
  </r>
  <r>
    <x v="4"/>
    <x v="4"/>
    <x v="1"/>
    <x v="16"/>
    <n v="24"/>
    <n v="84710"/>
  </r>
  <r>
    <x v="4"/>
    <x v="4"/>
    <x v="1"/>
    <x v="17"/>
    <n v="7"/>
    <n v="94360"/>
  </r>
  <r>
    <x v="4"/>
    <x v="4"/>
    <x v="1"/>
    <x v="18"/>
    <n v="1"/>
    <n v="27400"/>
  </r>
  <r>
    <x v="4"/>
    <x v="4"/>
    <x v="1"/>
    <x v="19"/>
    <n v="7"/>
    <n v="136940"/>
  </r>
  <r>
    <x v="4"/>
    <x v="4"/>
    <x v="1"/>
    <x v="20"/>
    <n v="45"/>
    <n v="337780"/>
  </r>
  <r>
    <x v="4"/>
    <x v="4"/>
    <x v="1"/>
    <x v="22"/>
    <n v="5"/>
    <n v="147770"/>
  </r>
  <r>
    <x v="4"/>
    <x v="4"/>
    <x v="1"/>
    <x v="23"/>
    <n v="18"/>
    <n v="173890"/>
  </r>
  <r>
    <x v="4"/>
    <x v="4"/>
    <x v="1"/>
    <x v="24"/>
    <n v="16"/>
    <n v="113880"/>
  </r>
  <r>
    <x v="4"/>
    <x v="4"/>
    <x v="1"/>
    <x v="26"/>
    <n v="2"/>
    <n v="112870"/>
  </r>
  <r>
    <x v="4"/>
    <x v="4"/>
    <x v="1"/>
    <x v="27"/>
    <n v="31"/>
    <n v="314810"/>
  </r>
  <r>
    <x v="4"/>
    <x v="4"/>
    <x v="1"/>
    <x v="28"/>
    <n v="9"/>
    <n v="91230"/>
  </r>
  <r>
    <x v="4"/>
    <x v="4"/>
    <x v="1"/>
    <x v="29"/>
    <n v="13"/>
    <n v="89800"/>
  </r>
  <r>
    <x v="4"/>
    <x v="4"/>
    <x v="1"/>
    <x v="30"/>
    <n v="54"/>
    <n v="176160"/>
  </r>
  <r>
    <x v="4"/>
    <x v="5"/>
    <x v="0"/>
    <x v="0"/>
    <n v="153"/>
    <n v="227070"/>
  </r>
  <r>
    <x v="4"/>
    <x v="5"/>
    <x v="0"/>
    <x v="1"/>
    <n v="160"/>
    <n v="257770"/>
  </r>
  <r>
    <x v="4"/>
    <x v="5"/>
    <x v="0"/>
    <x v="2"/>
    <n v="60"/>
    <n v="116290"/>
  </r>
  <r>
    <x v="4"/>
    <x v="5"/>
    <x v="0"/>
    <x v="3"/>
    <n v="78"/>
    <n v="88050"/>
  </r>
  <r>
    <x v="4"/>
    <x v="5"/>
    <x v="0"/>
    <x v="4"/>
    <n v="438"/>
    <n v="487460"/>
  </r>
  <r>
    <x v="4"/>
    <x v="5"/>
    <x v="0"/>
    <x v="5"/>
    <n v="17"/>
    <n v="51280"/>
  </r>
  <r>
    <x v="4"/>
    <x v="5"/>
    <x v="0"/>
    <x v="6"/>
    <n v="85"/>
    <n v="150280"/>
  </r>
  <r>
    <x v="4"/>
    <x v="5"/>
    <x v="0"/>
    <x v="7"/>
    <n v="69"/>
    <n v="148100"/>
  </r>
  <r>
    <x v="4"/>
    <x v="5"/>
    <x v="0"/>
    <x v="8"/>
    <n v="43"/>
    <n v="122430"/>
  </r>
  <r>
    <x v="4"/>
    <x v="5"/>
    <x v="0"/>
    <x v="9"/>
    <n v="28"/>
    <n v="105840"/>
  </r>
  <r>
    <x v="4"/>
    <x v="5"/>
    <x v="0"/>
    <x v="10"/>
    <n v="83"/>
    <n v="101390"/>
  </r>
  <r>
    <x v="4"/>
    <x v="5"/>
    <x v="0"/>
    <x v="31"/>
    <n v="22"/>
    <n v="91530"/>
  </r>
  <r>
    <x v="4"/>
    <x v="5"/>
    <x v="0"/>
    <x v="11"/>
    <n v="110"/>
    <n v="157160"/>
  </r>
  <r>
    <x v="4"/>
    <x v="5"/>
    <x v="0"/>
    <x v="12"/>
    <n v="180"/>
    <n v="366900"/>
  </r>
  <r>
    <x v="4"/>
    <x v="5"/>
    <x v="0"/>
    <x v="13"/>
    <n v="191"/>
    <n v="596520"/>
  </r>
  <r>
    <x v="4"/>
    <x v="5"/>
    <x v="0"/>
    <x v="14"/>
    <n v="371"/>
    <n v="232930"/>
  </r>
  <r>
    <x v="4"/>
    <x v="5"/>
    <x v="0"/>
    <x v="15"/>
    <n v="32"/>
    <n v="80340"/>
  </r>
  <r>
    <x v="4"/>
    <x v="5"/>
    <x v="0"/>
    <x v="16"/>
    <n v="64"/>
    <n v="84710"/>
  </r>
  <r>
    <x v="4"/>
    <x v="5"/>
    <x v="0"/>
    <x v="17"/>
    <n v="54"/>
    <n v="94360"/>
  </r>
  <r>
    <x v="4"/>
    <x v="5"/>
    <x v="0"/>
    <x v="18"/>
    <n v="77"/>
    <n v="27400"/>
  </r>
  <r>
    <x v="4"/>
    <x v="5"/>
    <x v="0"/>
    <x v="19"/>
    <n v="61"/>
    <n v="136940"/>
  </r>
  <r>
    <x v="4"/>
    <x v="5"/>
    <x v="0"/>
    <x v="20"/>
    <n v="117"/>
    <n v="337780"/>
  </r>
  <r>
    <x v="4"/>
    <x v="5"/>
    <x v="0"/>
    <x v="21"/>
    <n v="8"/>
    <n v="21560"/>
  </r>
  <r>
    <x v="4"/>
    <x v="5"/>
    <x v="0"/>
    <x v="22"/>
    <n v="50"/>
    <n v="147770"/>
  </r>
  <r>
    <x v="4"/>
    <x v="5"/>
    <x v="0"/>
    <x v="23"/>
    <n v="35"/>
    <n v="173890"/>
  </r>
  <r>
    <x v="4"/>
    <x v="5"/>
    <x v="0"/>
    <x v="24"/>
    <n v="50"/>
    <n v="113880"/>
  </r>
  <r>
    <x v="4"/>
    <x v="5"/>
    <x v="0"/>
    <x v="25"/>
    <n v="7"/>
    <n v="23200"/>
  </r>
  <r>
    <x v="4"/>
    <x v="5"/>
    <x v="0"/>
    <x v="26"/>
    <n v="29"/>
    <n v="112870"/>
  </r>
  <r>
    <x v="4"/>
    <x v="5"/>
    <x v="0"/>
    <x v="27"/>
    <n v="66"/>
    <n v="314810"/>
  </r>
  <r>
    <x v="4"/>
    <x v="5"/>
    <x v="0"/>
    <x v="28"/>
    <n v="42"/>
    <n v="91230"/>
  </r>
  <r>
    <x v="4"/>
    <x v="5"/>
    <x v="0"/>
    <x v="29"/>
    <n v="8"/>
    <n v="89800"/>
  </r>
  <r>
    <x v="4"/>
    <x v="5"/>
    <x v="0"/>
    <x v="30"/>
    <n v="126"/>
    <n v="176160"/>
  </r>
  <r>
    <x v="4"/>
    <x v="5"/>
    <x v="1"/>
    <x v="0"/>
    <n v="277"/>
    <n v="227070"/>
  </r>
  <r>
    <x v="4"/>
    <x v="5"/>
    <x v="1"/>
    <x v="1"/>
    <n v="141"/>
    <n v="257770"/>
  </r>
  <r>
    <x v="4"/>
    <x v="5"/>
    <x v="1"/>
    <x v="2"/>
    <n v="139"/>
    <n v="116290"/>
  </r>
  <r>
    <x v="4"/>
    <x v="5"/>
    <x v="1"/>
    <x v="3"/>
    <n v="55"/>
    <n v="88050"/>
  </r>
  <r>
    <x v="4"/>
    <x v="5"/>
    <x v="1"/>
    <x v="4"/>
    <n v="1022"/>
    <n v="487460"/>
  </r>
  <r>
    <x v="4"/>
    <x v="5"/>
    <x v="1"/>
    <x v="5"/>
    <n v="93"/>
    <n v="51280"/>
  </r>
  <r>
    <x v="4"/>
    <x v="5"/>
    <x v="1"/>
    <x v="6"/>
    <n v="87"/>
    <n v="150280"/>
  </r>
  <r>
    <x v="4"/>
    <x v="5"/>
    <x v="1"/>
    <x v="7"/>
    <n v="578"/>
    <n v="148100"/>
  </r>
  <r>
    <x v="4"/>
    <x v="5"/>
    <x v="1"/>
    <x v="8"/>
    <n v="650"/>
    <n v="122430"/>
  </r>
  <r>
    <x v="4"/>
    <x v="5"/>
    <x v="1"/>
    <x v="9"/>
    <n v="193"/>
    <n v="105840"/>
  </r>
  <r>
    <x v="4"/>
    <x v="5"/>
    <x v="1"/>
    <x v="10"/>
    <n v="154"/>
    <n v="101390"/>
  </r>
  <r>
    <x v="4"/>
    <x v="5"/>
    <x v="1"/>
    <x v="31"/>
    <n v="132"/>
    <n v="91530"/>
  </r>
  <r>
    <x v="4"/>
    <x v="5"/>
    <x v="1"/>
    <x v="11"/>
    <n v="389"/>
    <n v="157160"/>
  </r>
  <r>
    <x v="4"/>
    <x v="5"/>
    <x v="1"/>
    <x v="12"/>
    <n v="621"/>
    <n v="366900"/>
  </r>
  <r>
    <x v="4"/>
    <x v="5"/>
    <x v="1"/>
    <x v="13"/>
    <n v="2651"/>
    <n v="596520"/>
  </r>
  <r>
    <x v="4"/>
    <x v="5"/>
    <x v="1"/>
    <x v="14"/>
    <n v="185"/>
    <n v="232930"/>
  </r>
  <r>
    <x v="4"/>
    <x v="5"/>
    <x v="1"/>
    <x v="15"/>
    <n v="415"/>
    <n v="80340"/>
  </r>
  <r>
    <x v="4"/>
    <x v="5"/>
    <x v="1"/>
    <x v="16"/>
    <n v="272"/>
    <n v="84710"/>
  </r>
  <r>
    <x v="4"/>
    <x v="5"/>
    <x v="1"/>
    <x v="17"/>
    <n v="74"/>
    <n v="94360"/>
  </r>
  <r>
    <x v="4"/>
    <x v="5"/>
    <x v="1"/>
    <x v="18"/>
    <n v="10"/>
    <n v="27400"/>
  </r>
  <r>
    <x v="4"/>
    <x v="5"/>
    <x v="1"/>
    <x v="19"/>
    <n v="492"/>
    <n v="136940"/>
  </r>
  <r>
    <x v="4"/>
    <x v="5"/>
    <x v="1"/>
    <x v="20"/>
    <n v="1727"/>
    <n v="337780"/>
  </r>
  <r>
    <x v="4"/>
    <x v="5"/>
    <x v="1"/>
    <x v="21"/>
    <n v="5"/>
    <n v="21560"/>
  </r>
  <r>
    <x v="4"/>
    <x v="5"/>
    <x v="1"/>
    <x v="22"/>
    <n v="78"/>
    <n v="147770"/>
  </r>
  <r>
    <x v="4"/>
    <x v="5"/>
    <x v="1"/>
    <x v="23"/>
    <n v="488"/>
    <n v="173890"/>
  </r>
  <r>
    <x v="4"/>
    <x v="5"/>
    <x v="1"/>
    <x v="24"/>
    <n v="57"/>
    <n v="113880"/>
  </r>
  <r>
    <x v="4"/>
    <x v="5"/>
    <x v="1"/>
    <x v="25"/>
    <n v="2"/>
    <n v="23200"/>
  </r>
  <r>
    <x v="4"/>
    <x v="5"/>
    <x v="1"/>
    <x v="26"/>
    <n v="265"/>
    <n v="112870"/>
  </r>
  <r>
    <x v="4"/>
    <x v="5"/>
    <x v="1"/>
    <x v="27"/>
    <n v="1143"/>
    <n v="314810"/>
  </r>
  <r>
    <x v="4"/>
    <x v="5"/>
    <x v="1"/>
    <x v="28"/>
    <n v="88"/>
    <n v="91230"/>
  </r>
  <r>
    <x v="4"/>
    <x v="5"/>
    <x v="1"/>
    <x v="29"/>
    <n v="488"/>
    <n v="89800"/>
  </r>
  <r>
    <x v="4"/>
    <x v="5"/>
    <x v="1"/>
    <x v="30"/>
    <n v="476"/>
    <n v="176160"/>
  </r>
  <r>
    <x v="5"/>
    <x v="0"/>
    <x v="0"/>
    <x v="0"/>
    <n v="12"/>
    <n v="228920"/>
  </r>
  <r>
    <x v="5"/>
    <x v="0"/>
    <x v="0"/>
    <x v="1"/>
    <n v="98"/>
    <n v="260530"/>
  </r>
  <r>
    <x v="5"/>
    <x v="0"/>
    <x v="0"/>
    <x v="2"/>
    <n v="27"/>
    <n v="116740"/>
  </r>
  <r>
    <x v="5"/>
    <x v="0"/>
    <x v="0"/>
    <x v="3"/>
    <n v="42"/>
    <n v="87650"/>
  </r>
  <r>
    <x v="5"/>
    <x v="0"/>
    <x v="0"/>
    <x v="4"/>
    <n v="13"/>
    <n v="492610"/>
  </r>
  <r>
    <x v="5"/>
    <x v="0"/>
    <x v="0"/>
    <x v="5"/>
    <n v="5"/>
    <n v="51190"/>
  </r>
  <r>
    <x v="5"/>
    <x v="0"/>
    <x v="0"/>
    <x v="6"/>
    <n v="61"/>
    <n v="149960"/>
  </r>
  <r>
    <x v="5"/>
    <x v="0"/>
    <x v="0"/>
    <x v="7"/>
    <n v="4"/>
    <n v="148130"/>
  </r>
  <r>
    <x v="5"/>
    <x v="0"/>
    <x v="0"/>
    <x v="8"/>
    <n v="15"/>
    <n v="122130"/>
  </r>
  <r>
    <x v="5"/>
    <x v="0"/>
    <x v="0"/>
    <x v="9"/>
    <n v="3"/>
    <n v="106710"/>
  </r>
  <r>
    <x v="5"/>
    <x v="0"/>
    <x v="0"/>
    <x v="10"/>
    <n v="10"/>
    <n v="102090"/>
  </r>
  <r>
    <x v="5"/>
    <x v="0"/>
    <x v="0"/>
    <x v="31"/>
    <n v="8"/>
    <n v="92410"/>
  </r>
  <r>
    <x v="5"/>
    <x v="0"/>
    <x v="0"/>
    <x v="11"/>
    <n v="6"/>
    <n v="157690"/>
  </r>
  <r>
    <x v="5"/>
    <x v="0"/>
    <x v="0"/>
    <x v="12"/>
    <n v="33"/>
    <n v="367250"/>
  </r>
  <r>
    <x v="5"/>
    <x v="0"/>
    <x v="0"/>
    <x v="13"/>
    <n v="3"/>
    <n v="599640"/>
  </r>
  <r>
    <x v="5"/>
    <x v="0"/>
    <x v="0"/>
    <x v="14"/>
    <n v="278"/>
    <n v="233080"/>
  </r>
  <r>
    <x v="5"/>
    <x v="0"/>
    <x v="0"/>
    <x v="15"/>
    <n v="1"/>
    <n v="79890"/>
  </r>
  <r>
    <x v="5"/>
    <x v="0"/>
    <x v="0"/>
    <x v="16"/>
    <n v="13"/>
    <n v="86220"/>
  </r>
  <r>
    <x v="5"/>
    <x v="0"/>
    <x v="0"/>
    <x v="17"/>
    <n v="38"/>
    <n v="94770"/>
  </r>
  <r>
    <x v="5"/>
    <x v="0"/>
    <x v="0"/>
    <x v="18"/>
    <n v="57"/>
    <n v="27250"/>
  </r>
  <r>
    <x v="5"/>
    <x v="0"/>
    <x v="0"/>
    <x v="19"/>
    <n v="22"/>
    <n v="136480"/>
  </r>
  <r>
    <x v="5"/>
    <x v="0"/>
    <x v="0"/>
    <x v="20"/>
    <n v="4"/>
    <n v="338000"/>
  </r>
  <r>
    <x v="5"/>
    <x v="0"/>
    <x v="0"/>
    <x v="21"/>
    <n v="12"/>
    <n v="21580"/>
  </r>
  <r>
    <x v="5"/>
    <x v="0"/>
    <x v="0"/>
    <x v="22"/>
    <n v="61"/>
    <n v="148930"/>
  </r>
  <r>
    <x v="5"/>
    <x v="0"/>
    <x v="0"/>
    <x v="23"/>
    <n v="4"/>
    <n v="174230"/>
  </r>
  <r>
    <x v="5"/>
    <x v="0"/>
    <x v="0"/>
    <x v="24"/>
    <n v="76"/>
    <n v="114040"/>
  </r>
  <r>
    <x v="5"/>
    <x v="0"/>
    <x v="0"/>
    <x v="25"/>
    <n v="6"/>
    <n v="23220"/>
  </r>
  <r>
    <x v="5"/>
    <x v="0"/>
    <x v="0"/>
    <x v="26"/>
    <n v="20"/>
    <n v="112530"/>
  </r>
  <r>
    <x v="5"/>
    <x v="0"/>
    <x v="0"/>
    <x v="27"/>
    <n v="20"/>
    <n v="315300"/>
  </r>
  <r>
    <x v="5"/>
    <x v="0"/>
    <x v="0"/>
    <x v="28"/>
    <n v="20"/>
    <n v="91520"/>
  </r>
  <r>
    <x v="5"/>
    <x v="0"/>
    <x v="0"/>
    <x v="30"/>
    <n v="11"/>
    <n v="177200"/>
  </r>
  <r>
    <x v="5"/>
    <x v="0"/>
    <x v="1"/>
    <x v="14"/>
    <n v="1"/>
    <n v="233080"/>
  </r>
  <r>
    <x v="5"/>
    <x v="0"/>
    <x v="1"/>
    <x v="24"/>
    <n v="1"/>
    <n v="114040"/>
  </r>
  <r>
    <x v="5"/>
    <x v="1"/>
    <x v="0"/>
    <x v="0"/>
    <n v="274"/>
    <n v="228920"/>
  </r>
  <r>
    <x v="5"/>
    <x v="1"/>
    <x v="0"/>
    <x v="1"/>
    <n v="191"/>
    <n v="260530"/>
  </r>
  <r>
    <x v="5"/>
    <x v="1"/>
    <x v="0"/>
    <x v="2"/>
    <n v="103"/>
    <n v="116740"/>
  </r>
  <r>
    <x v="5"/>
    <x v="1"/>
    <x v="0"/>
    <x v="3"/>
    <n v="81"/>
    <n v="87650"/>
  </r>
  <r>
    <x v="5"/>
    <x v="1"/>
    <x v="0"/>
    <x v="4"/>
    <n v="563"/>
    <n v="492610"/>
  </r>
  <r>
    <x v="5"/>
    <x v="1"/>
    <x v="0"/>
    <x v="5"/>
    <n v="43"/>
    <n v="51190"/>
  </r>
  <r>
    <x v="5"/>
    <x v="1"/>
    <x v="0"/>
    <x v="6"/>
    <n v="93"/>
    <n v="149960"/>
  </r>
  <r>
    <x v="5"/>
    <x v="1"/>
    <x v="0"/>
    <x v="7"/>
    <n v="180"/>
    <n v="148130"/>
  </r>
  <r>
    <x v="5"/>
    <x v="1"/>
    <x v="0"/>
    <x v="8"/>
    <n v="101"/>
    <n v="122130"/>
  </r>
  <r>
    <x v="5"/>
    <x v="1"/>
    <x v="0"/>
    <x v="9"/>
    <n v="69"/>
    <n v="106710"/>
  </r>
  <r>
    <x v="5"/>
    <x v="1"/>
    <x v="0"/>
    <x v="10"/>
    <n v="72"/>
    <n v="102090"/>
  </r>
  <r>
    <x v="5"/>
    <x v="1"/>
    <x v="0"/>
    <x v="31"/>
    <n v="66"/>
    <n v="92410"/>
  </r>
  <r>
    <x v="5"/>
    <x v="1"/>
    <x v="0"/>
    <x v="11"/>
    <n v="111"/>
    <n v="157690"/>
  </r>
  <r>
    <x v="5"/>
    <x v="1"/>
    <x v="0"/>
    <x v="12"/>
    <n v="231"/>
    <n v="367250"/>
  </r>
  <r>
    <x v="5"/>
    <x v="1"/>
    <x v="0"/>
    <x v="13"/>
    <n v="836"/>
    <n v="599640"/>
  </r>
  <r>
    <x v="5"/>
    <x v="1"/>
    <x v="0"/>
    <x v="14"/>
    <n v="160"/>
    <n v="233080"/>
  </r>
  <r>
    <x v="5"/>
    <x v="1"/>
    <x v="0"/>
    <x v="15"/>
    <n v="93"/>
    <n v="79890"/>
  </r>
  <r>
    <x v="5"/>
    <x v="1"/>
    <x v="0"/>
    <x v="16"/>
    <n v="56"/>
    <n v="86220"/>
  </r>
  <r>
    <x v="5"/>
    <x v="1"/>
    <x v="0"/>
    <x v="17"/>
    <n v="53"/>
    <n v="94770"/>
  </r>
  <r>
    <x v="5"/>
    <x v="1"/>
    <x v="0"/>
    <x v="18"/>
    <n v="22"/>
    <n v="27250"/>
  </r>
  <r>
    <x v="5"/>
    <x v="1"/>
    <x v="0"/>
    <x v="19"/>
    <n v="154"/>
    <n v="136480"/>
  </r>
  <r>
    <x v="5"/>
    <x v="1"/>
    <x v="0"/>
    <x v="20"/>
    <n v="286"/>
    <n v="338000"/>
  </r>
  <r>
    <x v="5"/>
    <x v="1"/>
    <x v="0"/>
    <x v="21"/>
    <n v="12"/>
    <n v="21580"/>
  </r>
  <r>
    <x v="5"/>
    <x v="1"/>
    <x v="0"/>
    <x v="22"/>
    <n v="124"/>
    <n v="148930"/>
  </r>
  <r>
    <x v="5"/>
    <x v="1"/>
    <x v="0"/>
    <x v="23"/>
    <n v="221"/>
    <n v="174230"/>
  </r>
  <r>
    <x v="5"/>
    <x v="1"/>
    <x v="0"/>
    <x v="24"/>
    <n v="80"/>
    <n v="114040"/>
  </r>
  <r>
    <x v="5"/>
    <x v="1"/>
    <x v="0"/>
    <x v="25"/>
    <n v="11"/>
    <n v="23220"/>
  </r>
  <r>
    <x v="5"/>
    <x v="1"/>
    <x v="0"/>
    <x v="26"/>
    <n v="78"/>
    <n v="112530"/>
  </r>
  <r>
    <x v="5"/>
    <x v="1"/>
    <x v="0"/>
    <x v="27"/>
    <n v="267"/>
    <n v="315300"/>
  </r>
  <r>
    <x v="5"/>
    <x v="1"/>
    <x v="0"/>
    <x v="28"/>
    <n v="83"/>
    <n v="91520"/>
  </r>
  <r>
    <x v="5"/>
    <x v="1"/>
    <x v="0"/>
    <x v="29"/>
    <n v="83"/>
    <n v="89710"/>
  </r>
  <r>
    <x v="5"/>
    <x v="1"/>
    <x v="0"/>
    <x v="30"/>
    <n v="156"/>
    <n v="177200"/>
  </r>
  <r>
    <x v="5"/>
    <x v="1"/>
    <x v="1"/>
    <x v="0"/>
    <n v="46"/>
    <n v="228920"/>
  </r>
  <r>
    <x v="5"/>
    <x v="1"/>
    <x v="1"/>
    <x v="1"/>
    <n v="9"/>
    <n v="260530"/>
  </r>
  <r>
    <x v="5"/>
    <x v="1"/>
    <x v="1"/>
    <x v="2"/>
    <n v="10"/>
    <n v="116740"/>
  </r>
  <r>
    <x v="5"/>
    <x v="1"/>
    <x v="1"/>
    <x v="3"/>
    <n v="7"/>
    <n v="87650"/>
  </r>
  <r>
    <x v="5"/>
    <x v="1"/>
    <x v="1"/>
    <x v="4"/>
    <n v="100"/>
    <n v="492610"/>
  </r>
  <r>
    <x v="5"/>
    <x v="1"/>
    <x v="1"/>
    <x v="5"/>
    <n v="6"/>
    <n v="51190"/>
  </r>
  <r>
    <x v="5"/>
    <x v="1"/>
    <x v="1"/>
    <x v="6"/>
    <n v="5"/>
    <n v="149960"/>
  </r>
  <r>
    <x v="5"/>
    <x v="1"/>
    <x v="1"/>
    <x v="7"/>
    <n v="34"/>
    <n v="148130"/>
  </r>
  <r>
    <x v="5"/>
    <x v="1"/>
    <x v="1"/>
    <x v="8"/>
    <n v="12"/>
    <n v="122130"/>
  </r>
  <r>
    <x v="5"/>
    <x v="1"/>
    <x v="1"/>
    <x v="9"/>
    <n v="4"/>
    <n v="106710"/>
  </r>
  <r>
    <x v="5"/>
    <x v="1"/>
    <x v="1"/>
    <x v="10"/>
    <n v="3"/>
    <n v="102090"/>
  </r>
  <r>
    <x v="5"/>
    <x v="1"/>
    <x v="1"/>
    <x v="31"/>
    <n v="4"/>
    <n v="92410"/>
  </r>
  <r>
    <x v="5"/>
    <x v="1"/>
    <x v="1"/>
    <x v="11"/>
    <n v="12"/>
    <n v="157690"/>
  </r>
  <r>
    <x v="5"/>
    <x v="1"/>
    <x v="1"/>
    <x v="12"/>
    <n v="20"/>
    <n v="367250"/>
  </r>
  <r>
    <x v="5"/>
    <x v="1"/>
    <x v="1"/>
    <x v="13"/>
    <n v="107"/>
    <n v="599640"/>
  </r>
  <r>
    <x v="5"/>
    <x v="1"/>
    <x v="1"/>
    <x v="14"/>
    <n v="3"/>
    <n v="233080"/>
  </r>
  <r>
    <x v="5"/>
    <x v="1"/>
    <x v="1"/>
    <x v="15"/>
    <n v="20"/>
    <n v="79890"/>
  </r>
  <r>
    <x v="5"/>
    <x v="1"/>
    <x v="1"/>
    <x v="16"/>
    <n v="15"/>
    <n v="86220"/>
  </r>
  <r>
    <x v="5"/>
    <x v="1"/>
    <x v="1"/>
    <x v="17"/>
    <n v="6"/>
    <n v="94770"/>
  </r>
  <r>
    <x v="5"/>
    <x v="1"/>
    <x v="1"/>
    <x v="19"/>
    <n v="14"/>
    <n v="136480"/>
  </r>
  <r>
    <x v="5"/>
    <x v="1"/>
    <x v="1"/>
    <x v="20"/>
    <n v="59"/>
    <n v="338000"/>
  </r>
  <r>
    <x v="5"/>
    <x v="1"/>
    <x v="1"/>
    <x v="21"/>
    <n v="3"/>
    <n v="21580"/>
  </r>
  <r>
    <x v="5"/>
    <x v="1"/>
    <x v="1"/>
    <x v="22"/>
    <n v="7"/>
    <n v="148930"/>
  </r>
  <r>
    <x v="5"/>
    <x v="1"/>
    <x v="1"/>
    <x v="23"/>
    <n v="26"/>
    <n v="174230"/>
  </r>
  <r>
    <x v="5"/>
    <x v="1"/>
    <x v="1"/>
    <x v="24"/>
    <n v="3"/>
    <n v="114040"/>
  </r>
  <r>
    <x v="5"/>
    <x v="1"/>
    <x v="1"/>
    <x v="26"/>
    <n v="13"/>
    <n v="112530"/>
  </r>
  <r>
    <x v="5"/>
    <x v="1"/>
    <x v="1"/>
    <x v="27"/>
    <n v="37"/>
    <n v="315300"/>
  </r>
  <r>
    <x v="5"/>
    <x v="1"/>
    <x v="1"/>
    <x v="28"/>
    <n v="4"/>
    <n v="91520"/>
  </r>
  <r>
    <x v="5"/>
    <x v="1"/>
    <x v="1"/>
    <x v="29"/>
    <n v="15"/>
    <n v="89710"/>
  </r>
  <r>
    <x v="5"/>
    <x v="1"/>
    <x v="1"/>
    <x v="30"/>
    <n v="17"/>
    <n v="177200"/>
  </r>
  <r>
    <x v="5"/>
    <x v="2"/>
    <x v="0"/>
    <x v="0"/>
    <n v="108"/>
    <n v="228920"/>
  </r>
  <r>
    <x v="5"/>
    <x v="2"/>
    <x v="0"/>
    <x v="1"/>
    <n v="82"/>
    <n v="260530"/>
  </r>
  <r>
    <x v="5"/>
    <x v="2"/>
    <x v="0"/>
    <x v="2"/>
    <n v="25"/>
    <n v="116740"/>
  </r>
  <r>
    <x v="5"/>
    <x v="2"/>
    <x v="0"/>
    <x v="3"/>
    <n v="33"/>
    <n v="87650"/>
  </r>
  <r>
    <x v="5"/>
    <x v="2"/>
    <x v="0"/>
    <x v="4"/>
    <n v="237"/>
    <n v="492610"/>
  </r>
  <r>
    <x v="5"/>
    <x v="2"/>
    <x v="0"/>
    <x v="5"/>
    <n v="18"/>
    <n v="51190"/>
  </r>
  <r>
    <x v="5"/>
    <x v="2"/>
    <x v="0"/>
    <x v="6"/>
    <n v="39"/>
    <n v="149960"/>
  </r>
  <r>
    <x v="5"/>
    <x v="2"/>
    <x v="0"/>
    <x v="7"/>
    <n v="51"/>
    <n v="148130"/>
  </r>
  <r>
    <x v="5"/>
    <x v="2"/>
    <x v="0"/>
    <x v="8"/>
    <n v="23"/>
    <n v="122130"/>
  </r>
  <r>
    <x v="5"/>
    <x v="2"/>
    <x v="0"/>
    <x v="9"/>
    <n v="12"/>
    <n v="106710"/>
  </r>
  <r>
    <x v="5"/>
    <x v="2"/>
    <x v="0"/>
    <x v="10"/>
    <n v="35"/>
    <n v="102090"/>
  </r>
  <r>
    <x v="5"/>
    <x v="2"/>
    <x v="0"/>
    <x v="31"/>
    <n v="11"/>
    <n v="92410"/>
  </r>
  <r>
    <x v="5"/>
    <x v="2"/>
    <x v="0"/>
    <x v="11"/>
    <n v="34"/>
    <n v="157690"/>
  </r>
  <r>
    <x v="5"/>
    <x v="2"/>
    <x v="0"/>
    <x v="12"/>
    <n v="94"/>
    <n v="367250"/>
  </r>
  <r>
    <x v="5"/>
    <x v="2"/>
    <x v="0"/>
    <x v="13"/>
    <n v="302"/>
    <n v="599640"/>
  </r>
  <r>
    <x v="5"/>
    <x v="2"/>
    <x v="0"/>
    <x v="14"/>
    <n v="61"/>
    <n v="233080"/>
  </r>
  <r>
    <x v="5"/>
    <x v="2"/>
    <x v="0"/>
    <x v="15"/>
    <n v="28"/>
    <n v="79890"/>
  </r>
  <r>
    <x v="5"/>
    <x v="2"/>
    <x v="0"/>
    <x v="16"/>
    <n v="25"/>
    <n v="86220"/>
  </r>
  <r>
    <x v="5"/>
    <x v="2"/>
    <x v="0"/>
    <x v="17"/>
    <n v="41"/>
    <n v="94770"/>
  </r>
  <r>
    <x v="5"/>
    <x v="2"/>
    <x v="0"/>
    <x v="18"/>
    <n v="5"/>
    <n v="27250"/>
  </r>
  <r>
    <x v="5"/>
    <x v="2"/>
    <x v="0"/>
    <x v="19"/>
    <n v="33"/>
    <n v="136480"/>
  </r>
  <r>
    <x v="5"/>
    <x v="2"/>
    <x v="0"/>
    <x v="20"/>
    <n v="85"/>
    <n v="338000"/>
  </r>
  <r>
    <x v="5"/>
    <x v="2"/>
    <x v="0"/>
    <x v="21"/>
    <n v="3"/>
    <n v="21580"/>
  </r>
  <r>
    <x v="5"/>
    <x v="2"/>
    <x v="0"/>
    <x v="22"/>
    <n v="51"/>
    <n v="148930"/>
  </r>
  <r>
    <x v="5"/>
    <x v="2"/>
    <x v="0"/>
    <x v="23"/>
    <n v="58"/>
    <n v="174230"/>
  </r>
  <r>
    <x v="5"/>
    <x v="2"/>
    <x v="0"/>
    <x v="24"/>
    <n v="32"/>
    <n v="114040"/>
  </r>
  <r>
    <x v="5"/>
    <x v="2"/>
    <x v="0"/>
    <x v="25"/>
    <n v="14"/>
    <n v="23220"/>
  </r>
  <r>
    <x v="5"/>
    <x v="2"/>
    <x v="0"/>
    <x v="26"/>
    <n v="41"/>
    <n v="112530"/>
  </r>
  <r>
    <x v="5"/>
    <x v="2"/>
    <x v="0"/>
    <x v="27"/>
    <n v="67"/>
    <n v="315300"/>
  </r>
  <r>
    <x v="5"/>
    <x v="2"/>
    <x v="0"/>
    <x v="28"/>
    <n v="28"/>
    <n v="91520"/>
  </r>
  <r>
    <x v="5"/>
    <x v="2"/>
    <x v="0"/>
    <x v="29"/>
    <n v="21"/>
    <n v="89710"/>
  </r>
  <r>
    <x v="5"/>
    <x v="2"/>
    <x v="0"/>
    <x v="30"/>
    <n v="62"/>
    <n v="177200"/>
  </r>
  <r>
    <x v="5"/>
    <x v="2"/>
    <x v="1"/>
    <x v="0"/>
    <n v="17"/>
    <n v="228920"/>
  </r>
  <r>
    <x v="5"/>
    <x v="2"/>
    <x v="1"/>
    <x v="1"/>
    <n v="26"/>
    <n v="260530"/>
  </r>
  <r>
    <x v="5"/>
    <x v="2"/>
    <x v="1"/>
    <x v="2"/>
    <n v="10"/>
    <n v="116740"/>
  </r>
  <r>
    <x v="5"/>
    <x v="2"/>
    <x v="1"/>
    <x v="3"/>
    <n v="3"/>
    <n v="87650"/>
  </r>
  <r>
    <x v="5"/>
    <x v="2"/>
    <x v="1"/>
    <x v="4"/>
    <n v="36"/>
    <n v="492610"/>
  </r>
  <r>
    <x v="5"/>
    <x v="2"/>
    <x v="1"/>
    <x v="5"/>
    <n v="5"/>
    <n v="51190"/>
  </r>
  <r>
    <x v="5"/>
    <x v="2"/>
    <x v="1"/>
    <x v="6"/>
    <n v="10"/>
    <n v="149960"/>
  </r>
  <r>
    <x v="5"/>
    <x v="2"/>
    <x v="1"/>
    <x v="7"/>
    <n v="18"/>
    <n v="148130"/>
  </r>
  <r>
    <x v="5"/>
    <x v="2"/>
    <x v="1"/>
    <x v="8"/>
    <n v="14"/>
    <n v="122130"/>
  </r>
  <r>
    <x v="5"/>
    <x v="2"/>
    <x v="1"/>
    <x v="9"/>
    <n v="13"/>
    <n v="106710"/>
  </r>
  <r>
    <x v="5"/>
    <x v="2"/>
    <x v="1"/>
    <x v="10"/>
    <n v="9"/>
    <n v="102090"/>
  </r>
  <r>
    <x v="5"/>
    <x v="2"/>
    <x v="1"/>
    <x v="31"/>
    <n v="6"/>
    <n v="92410"/>
  </r>
  <r>
    <x v="5"/>
    <x v="2"/>
    <x v="1"/>
    <x v="11"/>
    <n v="12"/>
    <n v="157690"/>
  </r>
  <r>
    <x v="5"/>
    <x v="2"/>
    <x v="1"/>
    <x v="12"/>
    <n v="27"/>
    <n v="367250"/>
  </r>
  <r>
    <x v="5"/>
    <x v="2"/>
    <x v="1"/>
    <x v="13"/>
    <n v="92"/>
    <n v="599640"/>
  </r>
  <r>
    <x v="5"/>
    <x v="2"/>
    <x v="1"/>
    <x v="14"/>
    <n v="10"/>
    <n v="233080"/>
  </r>
  <r>
    <x v="5"/>
    <x v="2"/>
    <x v="1"/>
    <x v="15"/>
    <n v="7"/>
    <n v="79890"/>
  </r>
  <r>
    <x v="5"/>
    <x v="2"/>
    <x v="1"/>
    <x v="16"/>
    <n v="11"/>
    <n v="86220"/>
  </r>
  <r>
    <x v="5"/>
    <x v="2"/>
    <x v="1"/>
    <x v="17"/>
    <n v="2"/>
    <n v="94770"/>
  </r>
  <r>
    <x v="5"/>
    <x v="2"/>
    <x v="1"/>
    <x v="18"/>
    <n v="2"/>
    <n v="27250"/>
  </r>
  <r>
    <x v="5"/>
    <x v="2"/>
    <x v="1"/>
    <x v="19"/>
    <n v="23"/>
    <n v="136480"/>
  </r>
  <r>
    <x v="5"/>
    <x v="2"/>
    <x v="1"/>
    <x v="20"/>
    <n v="41"/>
    <n v="338000"/>
  </r>
  <r>
    <x v="5"/>
    <x v="2"/>
    <x v="1"/>
    <x v="21"/>
    <n v="3"/>
    <n v="21580"/>
  </r>
  <r>
    <x v="5"/>
    <x v="2"/>
    <x v="1"/>
    <x v="22"/>
    <n v="19"/>
    <n v="148930"/>
  </r>
  <r>
    <x v="5"/>
    <x v="2"/>
    <x v="1"/>
    <x v="23"/>
    <n v="28"/>
    <n v="174230"/>
  </r>
  <r>
    <x v="5"/>
    <x v="2"/>
    <x v="1"/>
    <x v="24"/>
    <n v="10"/>
    <n v="114040"/>
  </r>
  <r>
    <x v="5"/>
    <x v="2"/>
    <x v="1"/>
    <x v="25"/>
    <n v="3"/>
    <n v="23220"/>
  </r>
  <r>
    <x v="5"/>
    <x v="2"/>
    <x v="1"/>
    <x v="26"/>
    <n v="12"/>
    <n v="112530"/>
  </r>
  <r>
    <x v="5"/>
    <x v="2"/>
    <x v="1"/>
    <x v="27"/>
    <n v="46"/>
    <n v="315300"/>
  </r>
  <r>
    <x v="5"/>
    <x v="2"/>
    <x v="1"/>
    <x v="28"/>
    <n v="12"/>
    <n v="91520"/>
  </r>
  <r>
    <x v="5"/>
    <x v="2"/>
    <x v="1"/>
    <x v="29"/>
    <n v="13"/>
    <n v="89710"/>
  </r>
  <r>
    <x v="5"/>
    <x v="2"/>
    <x v="1"/>
    <x v="30"/>
    <n v="25"/>
    <n v="177200"/>
  </r>
  <r>
    <x v="5"/>
    <x v="3"/>
    <x v="0"/>
    <x v="0"/>
    <n v="37"/>
    <n v="228920"/>
  </r>
  <r>
    <x v="5"/>
    <x v="3"/>
    <x v="0"/>
    <x v="1"/>
    <n v="76"/>
    <n v="260530"/>
  </r>
  <r>
    <x v="5"/>
    <x v="3"/>
    <x v="0"/>
    <x v="2"/>
    <n v="24"/>
    <n v="116740"/>
  </r>
  <r>
    <x v="5"/>
    <x v="3"/>
    <x v="0"/>
    <x v="3"/>
    <n v="21"/>
    <n v="87650"/>
  </r>
  <r>
    <x v="5"/>
    <x v="3"/>
    <x v="0"/>
    <x v="4"/>
    <n v="77"/>
    <n v="492610"/>
  </r>
  <r>
    <x v="5"/>
    <x v="3"/>
    <x v="0"/>
    <x v="5"/>
    <n v="9"/>
    <n v="51190"/>
  </r>
  <r>
    <x v="5"/>
    <x v="3"/>
    <x v="0"/>
    <x v="6"/>
    <n v="41"/>
    <n v="149960"/>
  </r>
  <r>
    <x v="5"/>
    <x v="3"/>
    <x v="0"/>
    <x v="7"/>
    <n v="24"/>
    <n v="148130"/>
  </r>
  <r>
    <x v="5"/>
    <x v="3"/>
    <x v="0"/>
    <x v="8"/>
    <n v="27"/>
    <n v="122130"/>
  </r>
  <r>
    <x v="5"/>
    <x v="3"/>
    <x v="0"/>
    <x v="9"/>
    <n v="15"/>
    <n v="106710"/>
  </r>
  <r>
    <x v="5"/>
    <x v="3"/>
    <x v="0"/>
    <x v="10"/>
    <n v="29"/>
    <n v="102090"/>
  </r>
  <r>
    <x v="5"/>
    <x v="3"/>
    <x v="0"/>
    <x v="31"/>
    <n v="8"/>
    <n v="92410"/>
  </r>
  <r>
    <x v="5"/>
    <x v="3"/>
    <x v="0"/>
    <x v="11"/>
    <n v="35"/>
    <n v="157690"/>
  </r>
  <r>
    <x v="5"/>
    <x v="3"/>
    <x v="0"/>
    <x v="12"/>
    <n v="72"/>
    <n v="367250"/>
  </r>
  <r>
    <x v="5"/>
    <x v="3"/>
    <x v="0"/>
    <x v="13"/>
    <n v="115"/>
    <n v="599640"/>
  </r>
  <r>
    <x v="5"/>
    <x v="3"/>
    <x v="0"/>
    <x v="14"/>
    <n v="75"/>
    <n v="233080"/>
  </r>
  <r>
    <x v="5"/>
    <x v="3"/>
    <x v="0"/>
    <x v="15"/>
    <n v="8"/>
    <n v="79890"/>
  </r>
  <r>
    <x v="5"/>
    <x v="3"/>
    <x v="0"/>
    <x v="16"/>
    <n v="14"/>
    <n v="86220"/>
  </r>
  <r>
    <x v="5"/>
    <x v="3"/>
    <x v="0"/>
    <x v="17"/>
    <n v="22"/>
    <n v="94770"/>
  </r>
  <r>
    <x v="5"/>
    <x v="3"/>
    <x v="0"/>
    <x v="18"/>
    <n v="7"/>
    <n v="27250"/>
  </r>
  <r>
    <x v="5"/>
    <x v="3"/>
    <x v="0"/>
    <x v="19"/>
    <n v="21"/>
    <n v="136480"/>
  </r>
  <r>
    <x v="5"/>
    <x v="3"/>
    <x v="0"/>
    <x v="20"/>
    <n v="73"/>
    <n v="338000"/>
  </r>
  <r>
    <x v="5"/>
    <x v="3"/>
    <x v="0"/>
    <x v="21"/>
    <n v="13"/>
    <n v="21580"/>
  </r>
  <r>
    <x v="5"/>
    <x v="3"/>
    <x v="0"/>
    <x v="22"/>
    <n v="45"/>
    <n v="148930"/>
  </r>
  <r>
    <x v="5"/>
    <x v="3"/>
    <x v="0"/>
    <x v="23"/>
    <n v="35"/>
    <n v="174230"/>
  </r>
  <r>
    <x v="5"/>
    <x v="3"/>
    <x v="0"/>
    <x v="24"/>
    <n v="28"/>
    <n v="114040"/>
  </r>
  <r>
    <x v="5"/>
    <x v="3"/>
    <x v="0"/>
    <x v="25"/>
    <n v="5"/>
    <n v="23220"/>
  </r>
  <r>
    <x v="5"/>
    <x v="3"/>
    <x v="0"/>
    <x v="26"/>
    <n v="26"/>
    <n v="112530"/>
  </r>
  <r>
    <x v="5"/>
    <x v="3"/>
    <x v="0"/>
    <x v="27"/>
    <n v="76"/>
    <n v="315300"/>
  </r>
  <r>
    <x v="5"/>
    <x v="3"/>
    <x v="0"/>
    <x v="28"/>
    <n v="27"/>
    <n v="91520"/>
  </r>
  <r>
    <x v="5"/>
    <x v="3"/>
    <x v="0"/>
    <x v="29"/>
    <n v="16"/>
    <n v="89710"/>
  </r>
  <r>
    <x v="5"/>
    <x v="3"/>
    <x v="0"/>
    <x v="30"/>
    <n v="47"/>
    <n v="177200"/>
  </r>
  <r>
    <x v="5"/>
    <x v="3"/>
    <x v="1"/>
    <x v="0"/>
    <n v="45"/>
    <n v="228920"/>
  </r>
  <r>
    <x v="5"/>
    <x v="3"/>
    <x v="1"/>
    <x v="1"/>
    <n v="13"/>
    <n v="260530"/>
  </r>
  <r>
    <x v="5"/>
    <x v="3"/>
    <x v="1"/>
    <x v="2"/>
    <n v="5"/>
    <n v="116740"/>
  </r>
  <r>
    <x v="5"/>
    <x v="3"/>
    <x v="1"/>
    <x v="3"/>
    <n v="3"/>
    <n v="87650"/>
  </r>
  <r>
    <x v="5"/>
    <x v="3"/>
    <x v="1"/>
    <x v="4"/>
    <n v="121"/>
    <n v="492610"/>
  </r>
  <r>
    <x v="5"/>
    <x v="3"/>
    <x v="1"/>
    <x v="5"/>
    <n v="3"/>
    <n v="51190"/>
  </r>
  <r>
    <x v="5"/>
    <x v="3"/>
    <x v="1"/>
    <x v="6"/>
    <n v="6"/>
    <n v="149960"/>
  </r>
  <r>
    <x v="5"/>
    <x v="3"/>
    <x v="1"/>
    <x v="7"/>
    <n v="13"/>
    <n v="148130"/>
  </r>
  <r>
    <x v="5"/>
    <x v="3"/>
    <x v="1"/>
    <x v="8"/>
    <n v="10"/>
    <n v="122130"/>
  </r>
  <r>
    <x v="5"/>
    <x v="3"/>
    <x v="1"/>
    <x v="9"/>
    <n v="16"/>
    <n v="106710"/>
  </r>
  <r>
    <x v="5"/>
    <x v="3"/>
    <x v="1"/>
    <x v="10"/>
    <n v="8"/>
    <n v="102090"/>
  </r>
  <r>
    <x v="5"/>
    <x v="3"/>
    <x v="1"/>
    <x v="31"/>
    <n v="5"/>
    <n v="92410"/>
  </r>
  <r>
    <x v="5"/>
    <x v="3"/>
    <x v="1"/>
    <x v="11"/>
    <n v="11"/>
    <n v="157690"/>
  </r>
  <r>
    <x v="5"/>
    <x v="3"/>
    <x v="1"/>
    <x v="12"/>
    <n v="31"/>
    <n v="367250"/>
  </r>
  <r>
    <x v="5"/>
    <x v="3"/>
    <x v="1"/>
    <x v="13"/>
    <n v="171"/>
    <n v="599640"/>
  </r>
  <r>
    <x v="5"/>
    <x v="3"/>
    <x v="1"/>
    <x v="14"/>
    <n v="5"/>
    <n v="233080"/>
  </r>
  <r>
    <x v="5"/>
    <x v="3"/>
    <x v="1"/>
    <x v="15"/>
    <n v="25"/>
    <n v="79890"/>
  </r>
  <r>
    <x v="5"/>
    <x v="3"/>
    <x v="1"/>
    <x v="16"/>
    <n v="14"/>
    <n v="86220"/>
  </r>
  <r>
    <x v="5"/>
    <x v="3"/>
    <x v="1"/>
    <x v="17"/>
    <n v="3"/>
    <n v="94770"/>
  </r>
  <r>
    <x v="5"/>
    <x v="3"/>
    <x v="1"/>
    <x v="19"/>
    <n v="17"/>
    <n v="136480"/>
  </r>
  <r>
    <x v="5"/>
    <x v="3"/>
    <x v="1"/>
    <x v="20"/>
    <n v="76"/>
    <n v="338000"/>
  </r>
  <r>
    <x v="5"/>
    <x v="3"/>
    <x v="1"/>
    <x v="22"/>
    <n v="3"/>
    <n v="148930"/>
  </r>
  <r>
    <x v="5"/>
    <x v="3"/>
    <x v="1"/>
    <x v="23"/>
    <n v="26"/>
    <n v="174230"/>
  </r>
  <r>
    <x v="5"/>
    <x v="3"/>
    <x v="1"/>
    <x v="24"/>
    <n v="6"/>
    <n v="114040"/>
  </r>
  <r>
    <x v="5"/>
    <x v="3"/>
    <x v="1"/>
    <x v="26"/>
    <n v="8"/>
    <n v="112530"/>
  </r>
  <r>
    <x v="5"/>
    <x v="3"/>
    <x v="1"/>
    <x v="27"/>
    <n v="50"/>
    <n v="315300"/>
  </r>
  <r>
    <x v="5"/>
    <x v="3"/>
    <x v="1"/>
    <x v="28"/>
    <n v="8"/>
    <n v="91520"/>
  </r>
  <r>
    <x v="5"/>
    <x v="3"/>
    <x v="1"/>
    <x v="29"/>
    <n v="20"/>
    <n v="89710"/>
  </r>
  <r>
    <x v="5"/>
    <x v="3"/>
    <x v="1"/>
    <x v="30"/>
    <n v="27"/>
    <n v="177200"/>
  </r>
  <r>
    <x v="5"/>
    <x v="4"/>
    <x v="0"/>
    <x v="0"/>
    <n v="7"/>
    <n v="228920"/>
  </r>
  <r>
    <x v="5"/>
    <x v="4"/>
    <x v="0"/>
    <x v="1"/>
    <n v="21"/>
    <n v="260530"/>
  </r>
  <r>
    <x v="5"/>
    <x v="4"/>
    <x v="0"/>
    <x v="2"/>
    <n v="9"/>
    <n v="116740"/>
  </r>
  <r>
    <x v="5"/>
    <x v="4"/>
    <x v="0"/>
    <x v="3"/>
    <n v="10"/>
    <n v="87650"/>
  </r>
  <r>
    <x v="5"/>
    <x v="4"/>
    <x v="0"/>
    <x v="4"/>
    <n v="26"/>
    <n v="492610"/>
  </r>
  <r>
    <x v="5"/>
    <x v="4"/>
    <x v="0"/>
    <x v="5"/>
    <n v="2"/>
    <n v="51190"/>
  </r>
  <r>
    <x v="5"/>
    <x v="4"/>
    <x v="0"/>
    <x v="6"/>
    <n v="10"/>
    <n v="149960"/>
  </r>
  <r>
    <x v="5"/>
    <x v="4"/>
    <x v="0"/>
    <x v="7"/>
    <n v="4"/>
    <n v="148130"/>
  </r>
  <r>
    <x v="5"/>
    <x v="4"/>
    <x v="0"/>
    <x v="8"/>
    <n v="8"/>
    <n v="122130"/>
  </r>
  <r>
    <x v="5"/>
    <x v="4"/>
    <x v="0"/>
    <x v="9"/>
    <n v="5"/>
    <n v="106710"/>
  </r>
  <r>
    <x v="5"/>
    <x v="4"/>
    <x v="0"/>
    <x v="10"/>
    <n v="11"/>
    <n v="102090"/>
  </r>
  <r>
    <x v="5"/>
    <x v="4"/>
    <x v="0"/>
    <x v="31"/>
    <n v="1"/>
    <n v="92410"/>
  </r>
  <r>
    <x v="5"/>
    <x v="4"/>
    <x v="0"/>
    <x v="11"/>
    <n v="20"/>
    <n v="157690"/>
  </r>
  <r>
    <x v="5"/>
    <x v="4"/>
    <x v="0"/>
    <x v="12"/>
    <n v="19"/>
    <n v="367250"/>
  </r>
  <r>
    <x v="5"/>
    <x v="4"/>
    <x v="0"/>
    <x v="13"/>
    <n v="22"/>
    <n v="599640"/>
  </r>
  <r>
    <x v="5"/>
    <x v="4"/>
    <x v="0"/>
    <x v="14"/>
    <n v="40"/>
    <n v="233080"/>
  </r>
  <r>
    <x v="5"/>
    <x v="4"/>
    <x v="0"/>
    <x v="15"/>
    <n v="2"/>
    <n v="79890"/>
  </r>
  <r>
    <x v="5"/>
    <x v="4"/>
    <x v="0"/>
    <x v="16"/>
    <n v="9"/>
    <n v="86220"/>
  </r>
  <r>
    <x v="5"/>
    <x v="4"/>
    <x v="0"/>
    <x v="17"/>
    <n v="7"/>
    <n v="94770"/>
  </r>
  <r>
    <x v="5"/>
    <x v="4"/>
    <x v="0"/>
    <x v="18"/>
    <n v="17"/>
    <n v="27250"/>
  </r>
  <r>
    <x v="5"/>
    <x v="4"/>
    <x v="0"/>
    <x v="19"/>
    <n v="17"/>
    <n v="136480"/>
  </r>
  <r>
    <x v="5"/>
    <x v="4"/>
    <x v="0"/>
    <x v="20"/>
    <n v="8"/>
    <n v="338000"/>
  </r>
  <r>
    <x v="5"/>
    <x v="4"/>
    <x v="0"/>
    <x v="21"/>
    <n v="5"/>
    <n v="21580"/>
  </r>
  <r>
    <x v="5"/>
    <x v="4"/>
    <x v="0"/>
    <x v="22"/>
    <n v="10"/>
    <n v="148930"/>
  </r>
  <r>
    <x v="5"/>
    <x v="4"/>
    <x v="0"/>
    <x v="23"/>
    <n v="5"/>
    <n v="174230"/>
  </r>
  <r>
    <x v="5"/>
    <x v="4"/>
    <x v="0"/>
    <x v="24"/>
    <n v="9"/>
    <n v="114040"/>
  </r>
  <r>
    <x v="5"/>
    <x v="4"/>
    <x v="0"/>
    <x v="25"/>
    <n v="9"/>
    <n v="23220"/>
  </r>
  <r>
    <x v="5"/>
    <x v="4"/>
    <x v="0"/>
    <x v="26"/>
    <n v="7"/>
    <n v="112530"/>
  </r>
  <r>
    <x v="5"/>
    <x v="4"/>
    <x v="0"/>
    <x v="27"/>
    <n v="15"/>
    <n v="315300"/>
  </r>
  <r>
    <x v="5"/>
    <x v="4"/>
    <x v="0"/>
    <x v="28"/>
    <n v="10"/>
    <n v="91520"/>
  </r>
  <r>
    <x v="5"/>
    <x v="4"/>
    <x v="0"/>
    <x v="29"/>
    <n v="4"/>
    <n v="89710"/>
  </r>
  <r>
    <x v="5"/>
    <x v="4"/>
    <x v="0"/>
    <x v="30"/>
    <n v="11"/>
    <n v="177200"/>
  </r>
  <r>
    <x v="5"/>
    <x v="4"/>
    <x v="1"/>
    <x v="0"/>
    <n v="13"/>
    <n v="228920"/>
  </r>
  <r>
    <x v="5"/>
    <x v="4"/>
    <x v="1"/>
    <x v="1"/>
    <n v="15"/>
    <n v="260530"/>
  </r>
  <r>
    <x v="5"/>
    <x v="4"/>
    <x v="1"/>
    <x v="2"/>
    <n v="4"/>
    <n v="116740"/>
  </r>
  <r>
    <x v="5"/>
    <x v="4"/>
    <x v="1"/>
    <x v="3"/>
    <n v="1"/>
    <n v="87650"/>
  </r>
  <r>
    <x v="5"/>
    <x v="4"/>
    <x v="1"/>
    <x v="4"/>
    <n v="61"/>
    <n v="492610"/>
  </r>
  <r>
    <x v="5"/>
    <x v="4"/>
    <x v="1"/>
    <x v="5"/>
    <n v="11"/>
    <n v="51190"/>
  </r>
  <r>
    <x v="5"/>
    <x v="4"/>
    <x v="1"/>
    <x v="6"/>
    <n v="1"/>
    <n v="149960"/>
  </r>
  <r>
    <x v="5"/>
    <x v="4"/>
    <x v="1"/>
    <x v="7"/>
    <n v="19"/>
    <n v="148130"/>
  </r>
  <r>
    <x v="5"/>
    <x v="4"/>
    <x v="1"/>
    <x v="8"/>
    <n v="7"/>
    <n v="122130"/>
  </r>
  <r>
    <x v="5"/>
    <x v="4"/>
    <x v="1"/>
    <x v="9"/>
    <n v="7"/>
    <n v="106710"/>
  </r>
  <r>
    <x v="5"/>
    <x v="4"/>
    <x v="1"/>
    <x v="10"/>
    <n v="24"/>
    <n v="102090"/>
  </r>
  <r>
    <x v="5"/>
    <x v="4"/>
    <x v="1"/>
    <x v="31"/>
    <n v="3"/>
    <n v="92410"/>
  </r>
  <r>
    <x v="5"/>
    <x v="4"/>
    <x v="1"/>
    <x v="11"/>
    <n v="36"/>
    <n v="157690"/>
  </r>
  <r>
    <x v="5"/>
    <x v="4"/>
    <x v="1"/>
    <x v="12"/>
    <n v="23"/>
    <n v="367250"/>
  </r>
  <r>
    <x v="5"/>
    <x v="4"/>
    <x v="1"/>
    <x v="13"/>
    <n v="46"/>
    <n v="599640"/>
  </r>
  <r>
    <x v="5"/>
    <x v="4"/>
    <x v="1"/>
    <x v="14"/>
    <n v="13"/>
    <n v="233080"/>
  </r>
  <r>
    <x v="5"/>
    <x v="4"/>
    <x v="1"/>
    <x v="15"/>
    <n v="17"/>
    <n v="79890"/>
  </r>
  <r>
    <x v="5"/>
    <x v="4"/>
    <x v="1"/>
    <x v="16"/>
    <n v="25"/>
    <n v="86220"/>
  </r>
  <r>
    <x v="5"/>
    <x v="4"/>
    <x v="1"/>
    <x v="17"/>
    <n v="8"/>
    <n v="94770"/>
  </r>
  <r>
    <x v="5"/>
    <x v="4"/>
    <x v="1"/>
    <x v="19"/>
    <n v="5"/>
    <n v="136480"/>
  </r>
  <r>
    <x v="5"/>
    <x v="4"/>
    <x v="1"/>
    <x v="20"/>
    <n v="33"/>
    <n v="338000"/>
  </r>
  <r>
    <x v="5"/>
    <x v="4"/>
    <x v="1"/>
    <x v="22"/>
    <n v="3"/>
    <n v="148930"/>
  </r>
  <r>
    <x v="5"/>
    <x v="4"/>
    <x v="1"/>
    <x v="23"/>
    <n v="19"/>
    <n v="174230"/>
  </r>
  <r>
    <x v="5"/>
    <x v="4"/>
    <x v="1"/>
    <x v="24"/>
    <n v="11"/>
    <n v="114040"/>
  </r>
  <r>
    <x v="5"/>
    <x v="4"/>
    <x v="1"/>
    <x v="26"/>
    <n v="3"/>
    <n v="112530"/>
  </r>
  <r>
    <x v="5"/>
    <x v="4"/>
    <x v="1"/>
    <x v="27"/>
    <n v="27"/>
    <n v="315300"/>
  </r>
  <r>
    <x v="5"/>
    <x v="4"/>
    <x v="1"/>
    <x v="28"/>
    <n v="7"/>
    <n v="91520"/>
  </r>
  <r>
    <x v="5"/>
    <x v="4"/>
    <x v="1"/>
    <x v="29"/>
    <n v="4"/>
    <n v="89710"/>
  </r>
  <r>
    <x v="5"/>
    <x v="4"/>
    <x v="1"/>
    <x v="30"/>
    <n v="32"/>
    <n v="177200"/>
  </r>
  <r>
    <x v="5"/>
    <x v="5"/>
    <x v="0"/>
    <x v="0"/>
    <n v="116"/>
    <n v="228920"/>
  </r>
  <r>
    <x v="5"/>
    <x v="5"/>
    <x v="0"/>
    <x v="1"/>
    <n v="111"/>
    <n v="260530"/>
  </r>
  <r>
    <x v="5"/>
    <x v="5"/>
    <x v="0"/>
    <x v="2"/>
    <n v="56"/>
    <n v="116740"/>
  </r>
  <r>
    <x v="5"/>
    <x v="5"/>
    <x v="0"/>
    <x v="3"/>
    <n v="46"/>
    <n v="87650"/>
  </r>
  <r>
    <x v="5"/>
    <x v="5"/>
    <x v="0"/>
    <x v="4"/>
    <n v="423"/>
    <n v="492610"/>
  </r>
  <r>
    <x v="5"/>
    <x v="5"/>
    <x v="0"/>
    <x v="5"/>
    <n v="16"/>
    <n v="51190"/>
  </r>
  <r>
    <x v="5"/>
    <x v="5"/>
    <x v="0"/>
    <x v="6"/>
    <n v="69"/>
    <n v="149960"/>
  </r>
  <r>
    <x v="5"/>
    <x v="5"/>
    <x v="0"/>
    <x v="7"/>
    <n v="76"/>
    <n v="148130"/>
  </r>
  <r>
    <x v="5"/>
    <x v="5"/>
    <x v="0"/>
    <x v="8"/>
    <n v="20"/>
    <n v="122130"/>
  </r>
  <r>
    <x v="5"/>
    <x v="5"/>
    <x v="0"/>
    <x v="9"/>
    <n v="14"/>
    <n v="106710"/>
  </r>
  <r>
    <x v="5"/>
    <x v="5"/>
    <x v="0"/>
    <x v="10"/>
    <n v="47"/>
    <n v="102090"/>
  </r>
  <r>
    <x v="5"/>
    <x v="5"/>
    <x v="0"/>
    <x v="31"/>
    <n v="12"/>
    <n v="92410"/>
  </r>
  <r>
    <x v="5"/>
    <x v="5"/>
    <x v="0"/>
    <x v="11"/>
    <n v="100"/>
    <n v="157690"/>
  </r>
  <r>
    <x v="5"/>
    <x v="5"/>
    <x v="0"/>
    <x v="12"/>
    <n v="150"/>
    <n v="367250"/>
  </r>
  <r>
    <x v="5"/>
    <x v="5"/>
    <x v="0"/>
    <x v="13"/>
    <n v="172"/>
    <n v="599640"/>
  </r>
  <r>
    <x v="5"/>
    <x v="5"/>
    <x v="0"/>
    <x v="14"/>
    <n v="208"/>
    <n v="233080"/>
  </r>
  <r>
    <x v="5"/>
    <x v="5"/>
    <x v="0"/>
    <x v="15"/>
    <n v="16"/>
    <n v="79890"/>
  </r>
  <r>
    <x v="5"/>
    <x v="5"/>
    <x v="0"/>
    <x v="16"/>
    <n v="47"/>
    <n v="86220"/>
  </r>
  <r>
    <x v="5"/>
    <x v="5"/>
    <x v="0"/>
    <x v="17"/>
    <n v="51"/>
    <n v="94770"/>
  </r>
  <r>
    <x v="5"/>
    <x v="5"/>
    <x v="0"/>
    <x v="18"/>
    <n v="38"/>
    <n v="27250"/>
  </r>
  <r>
    <x v="5"/>
    <x v="5"/>
    <x v="0"/>
    <x v="19"/>
    <n v="30"/>
    <n v="136480"/>
  </r>
  <r>
    <x v="5"/>
    <x v="5"/>
    <x v="0"/>
    <x v="20"/>
    <n v="36"/>
    <n v="338000"/>
  </r>
  <r>
    <x v="5"/>
    <x v="5"/>
    <x v="0"/>
    <x v="21"/>
    <n v="5"/>
    <n v="21580"/>
  </r>
  <r>
    <x v="5"/>
    <x v="5"/>
    <x v="0"/>
    <x v="22"/>
    <n v="56"/>
    <n v="148930"/>
  </r>
  <r>
    <x v="5"/>
    <x v="5"/>
    <x v="0"/>
    <x v="23"/>
    <n v="48"/>
    <n v="174230"/>
  </r>
  <r>
    <x v="5"/>
    <x v="5"/>
    <x v="0"/>
    <x v="24"/>
    <n v="28"/>
    <n v="114040"/>
  </r>
  <r>
    <x v="5"/>
    <x v="5"/>
    <x v="0"/>
    <x v="25"/>
    <n v="5"/>
    <n v="23220"/>
  </r>
  <r>
    <x v="5"/>
    <x v="5"/>
    <x v="0"/>
    <x v="26"/>
    <n v="33"/>
    <n v="112530"/>
  </r>
  <r>
    <x v="5"/>
    <x v="5"/>
    <x v="0"/>
    <x v="27"/>
    <n v="63"/>
    <n v="315300"/>
  </r>
  <r>
    <x v="5"/>
    <x v="5"/>
    <x v="0"/>
    <x v="28"/>
    <n v="58"/>
    <n v="91520"/>
  </r>
  <r>
    <x v="5"/>
    <x v="5"/>
    <x v="0"/>
    <x v="29"/>
    <n v="13"/>
    <n v="89710"/>
  </r>
  <r>
    <x v="5"/>
    <x v="5"/>
    <x v="0"/>
    <x v="30"/>
    <n v="76"/>
    <n v="177200"/>
  </r>
  <r>
    <x v="5"/>
    <x v="5"/>
    <x v="1"/>
    <x v="0"/>
    <n v="286"/>
    <n v="228920"/>
  </r>
  <r>
    <x v="5"/>
    <x v="5"/>
    <x v="1"/>
    <x v="1"/>
    <n v="110"/>
    <n v="260530"/>
  </r>
  <r>
    <x v="5"/>
    <x v="5"/>
    <x v="1"/>
    <x v="2"/>
    <n v="105"/>
    <n v="116740"/>
  </r>
  <r>
    <x v="5"/>
    <x v="5"/>
    <x v="1"/>
    <x v="3"/>
    <n v="42"/>
    <n v="87650"/>
  </r>
  <r>
    <x v="5"/>
    <x v="5"/>
    <x v="1"/>
    <x v="4"/>
    <n v="931"/>
    <n v="492610"/>
  </r>
  <r>
    <x v="5"/>
    <x v="5"/>
    <x v="1"/>
    <x v="5"/>
    <n v="69"/>
    <n v="51190"/>
  </r>
  <r>
    <x v="5"/>
    <x v="5"/>
    <x v="1"/>
    <x v="6"/>
    <n v="74"/>
    <n v="149960"/>
  </r>
  <r>
    <x v="5"/>
    <x v="5"/>
    <x v="1"/>
    <x v="7"/>
    <n v="522"/>
    <n v="148130"/>
  </r>
  <r>
    <x v="5"/>
    <x v="5"/>
    <x v="1"/>
    <x v="8"/>
    <n v="424"/>
    <n v="122130"/>
  </r>
  <r>
    <x v="5"/>
    <x v="5"/>
    <x v="1"/>
    <x v="9"/>
    <n v="164"/>
    <n v="106710"/>
  </r>
  <r>
    <x v="5"/>
    <x v="5"/>
    <x v="1"/>
    <x v="10"/>
    <n v="97"/>
    <n v="102090"/>
  </r>
  <r>
    <x v="5"/>
    <x v="5"/>
    <x v="1"/>
    <x v="31"/>
    <n v="120"/>
    <n v="92410"/>
  </r>
  <r>
    <x v="5"/>
    <x v="5"/>
    <x v="1"/>
    <x v="11"/>
    <n v="283"/>
    <n v="157690"/>
  </r>
  <r>
    <x v="5"/>
    <x v="5"/>
    <x v="1"/>
    <x v="12"/>
    <n v="531"/>
    <n v="367250"/>
  </r>
  <r>
    <x v="5"/>
    <x v="5"/>
    <x v="1"/>
    <x v="13"/>
    <n v="2454"/>
    <n v="599640"/>
  </r>
  <r>
    <x v="5"/>
    <x v="5"/>
    <x v="1"/>
    <x v="14"/>
    <n v="129"/>
    <n v="233080"/>
  </r>
  <r>
    <x v="5"/>
    <x v="5"/>
    <x v="1"/>
    <x v="15"/>
    <n v="375"/>
    <n v="79890"/>
  </r>
  <r>
    <x v="5"/>
    <x v="5"/>
    <x v="1"/>
    <x v="16"/>
    <n v="210"/>
    <n v="86220"/>
  </r>
  <r>
    <x v="5"/>
    <x v="5"/>
    <x v="1"/>
    <x v="17"/>
    <n v="53"/>
    <n v="94770"/>
  </r>
  <r>
    <x v="5"/>
    <x v="5"/>
    <x v="1"/>
    <x v="18"/>
    <n v="3"/>
    <n v="27250"/>
  </r>
  <r>
    <x v="5"/>
    <x v="5"/>
    <x v="1"/>
    <x v="19"/>
    <n v="389"/>
    <n v="136480"/>
  </r>
  <r>
    <x v="5"/>
    <x v="5"/>
    <x v="1"/>
    <x v="20"/>
    <n v="1379"/>
    <n v="338000"/>
  </r>
  <r>
    <x v="5"/>
    <x v="5"/>
    <x v="1"/>
    <x v="21"/>
    <n v="2"/>
    <n v="21580"/>
  </r>
  <r>
    <x v="5"/>
    <x v="5"/>
    <x v="1"/>
    <x v="22"/>
    <n v="60"/>
    <n v="148930"/>
  </r>
  <r>
    <x v="5"/>
    <x v="5"/>
    <x v="1"/>
    <x v="23"/>
    <n v="444"/>
    <n v="174230"/>
  </r>
  <r>
    <x v="5"/>
    <x v="5"/>
    <x v="1"/>
    <x v="24"/>
    <n v="65"/>
    <n v="114040"/>
  </r>
  <r>
    <x v="5"/>
    <x v="5"/>
    <x v="1"/>
    <x v="25"/>
    <n v="4"/>
    <n v="23220"/>
  </r>
  <r>
    <x v="5"/>
    <x v="5"/>
    <x v="1"/>
    <x v="26"/>
    <n v="189"/>
    <n v="112530"/>
  </r>
  <r>
    <x v="5"/>
    <x v="5"/>
    <x v="1"/>
    <x v="27"/>
    <n v="821"/>
    <n v="315300"/>
  </r>
  <r>
    <x v="5"/>
    <x v="5"/>
    <x v="1"/>
    <x v="28"/>
    <n v="68"/>
    <n v="91520"/>
  </r>
  <r>
    <x v="5"/>
    <x v="5"/>
    <x v="1"/>
    <x v="29"/>
    <n v="313"/>
    <n v="89710"/>
  </r>
  <r>
    <x v="5"/>
    <x v="5"/>
    <x v="1"/>
    <x v="30"/>
    <n v="451"/>
    <n v="177200"/>
  </r>
  <r>
    <x v="6"/>
    <x v="0"/>
    <x v="0"/>
    <x v="0"/>
    <n v="10"/>
    <n v="230350"/>
  </r>
  <r>
    <x v="6"/>
    <x v="0"/>
    <x v="0"/>
    <x v="1"/>
    <n v="77"/>
    <n v="261960"/>
  </r>
  <r>
    <x v="6"/>
    <x v="0"/>
    <x v="0"/>
    <x v="2"/>
    <n v="21"/>
    <n v="116900"/>
  </r>
  <r>
    <x v="6"/>
    <x v="0"/>
    <x v="0"/>
    <x v="3"/>
    <n v="67"/>
    <n v="86890"/>
  </r>
  <r>
    <x v="6"/>
    <x v="0"/>
    <x v="0"/>
    <x v="4"/>
    <n v="8"/>
    <n v="498810"/>
  </r>
  <r>
    <x v="6"/>
    <x v="0"/>
    <x v="0"/>
    <x v="5"/>
    <n v="4"/>
    <n v="51360"/>
  </r>
  <r>
    <x v="6"/>
    <x v="0"/>
    <x v="0"/>
    <x v="6"/>
    <n v="57"/>
    <n v="149670"/>
  </r>
  <r>
    <x v="6"/>
    <x v="0"/>
    <x v="0"/>
    <x v="7"/>
    <n v="3"/>
    <n v="148210"/>
  </r>
  <r>
    <x v="6"/>
    <x v="0"/>
    <x v="0"/>
    <x v="8"/>
    <n v="12"/>
    <n v="122060"/>
  </r>
  <r>
    <x v="6"/>
    <x v="0"/>
    <x v="0"/>
    <x v="9"/>
    <n v="1"/>
    <n v="106960"/>
  </r>
  <r>
    <x v="6"/>
    <x v="0"/>
    <x v="0"/>
    <x v="10"/>
    <n v="27"/>
    <n v="103050"/>
  </r>
  <r>
    <x v="6"/>
    <x v="0"/>
    <x v="0"/>
    <x v="31"/>
    <n v="3"/>
    <n v="92940"/>
  </r>
  <r>
    <x v="6"/>
    <x v="0"/>
    <x v="0"/>
    <x v="11"/>
    <n v="5"/>
    <n v="158460"/>
  </r>
  <r>
    <x v="6"/>
    <x v="0"/>
    <x v="0"/>
    <x v="12"/>
    <n v="29"/>
    <n v="368080"/>
  </r>
  <r>
    <x v="6"/>
    <x v="0"/>
    <x v="0"/>
    <x v="13"/>
    <n v="9"/>
    <n v="606340"/>
  </r>
  <r>
    <x v="6"/>
    <x v="0"/>
    <x v="0"/>
    <x v="14"/>
    <n v="241"/>
    <n v="234110"/>
  </r>
  <r>
    <x v="6"/>
    <x v="0"/>
    <x v="0"/>
    <x v="15"/>
    <n v="2"/>
    <n v="79500"/>
  </r>
  <r>
    <x v="6"/>
    <x v="0"/>
    <x v="0"/>
    <x v="16"/>
    <n v="14"/>
    <n v="87390"/>
  </r>
  <r>
    <x v="6"/>
    <x v="0"/>
    <x v="0"/>
    <x v="17"/>
    <n v="29"/>
    <n v="95510"/>
  </r>
  <r>
    <x v="6"/>
    <x v="0"/>
    <x v="0"/>
    <x v="18"/>
    <n v="38"/>
    <n v="27070"/>
  </r>
  <r>
    <x v="6"/>
    <x v="0"/>
    <x v="0"/>
    <x v="19"/>
    <n v="16"/>
    <n v="136130"/>
  </r>
  <r>
    <x v="6"/>
    <x v="0"/>
    <x v="0"/>
    <x v="20"/>
    <n v="4"/>
    <n v="338260"/>
  </r>
  <r>
    <x v="6"/>
    <x v="0"/>
    <x v="0"/>
    <x v="21"/>
    <n v="13"/>
    <n v="21670"/>
  </r>
  <r>
    <x v="6"/>
    <x v="0"/>
    <x v="0"/>
    <x v="22"/>
    <n v="67"/>
    <n v="149930"/>
  </r>
  <r>
    <x v="6"/>
    <x v="0"/>
    <x v="0"/>
    <x v="23"/>
    <n v="4"/>
    <n v="174560"/>
  </r>
  <r>
    <x v="6"/>
    <x v="0"/>
    <x v="0"/>
    <x v="24"/>
    <n v="55"/>
    <n v="114030"/>
  </r>
  <r>
    <x v="6"/>
    <x v="0"/>
    <x v="0"/>
    <x v="25"/>
    <n v="11"/>
    <n v="23200"/>
  </r>
  <r>
    <x v="6"/>
    <x v="0"/>
    <x v="0"/>
    <x v="26"/>
    <n v="16"/>
    <n v="112400"/>
  </r>
  <r>
    <x v="6"/>
    <x v="0"/>
    <x v="0"/>
    <x v="27"/>
    <n v="14"/>
    <n v="316230"/>
  </r>
  <r>
    <x v="6"/>
    <x v="0"/>
    <x v="0"/>
    <x v="28"/>
    <n v="23"/>
    <n v="92830"/>
  </r>
  <r>
    <x v="6"/>
    <x v="0"/>
    <x v="0"/>
    <x v="29"/>
    <n v="1"/>
    <n v="89590"/>
  </r>
  <r>
    <x v="6"/>
    <x v="0"/>
    <x v="0"/>
    <x v="30"/>
    <n v="4"/>
    <n v="178550"/>
  </r>
  <r>
    <x v="6"/>
    <x v="0"/>
    <x v="1"/>
    <x v="4"/>
    <n v="1"/>
    <n v="498810"/>
  </r>
  <r>
    <x v="6"/>
    <x v="0"/>
    <x v="1"/>
    <x v="6"/>
    <n v="1"/>
    <n v="149670"/>
  </r>
  <r>
    <x v="6"/>
    <x v="0"/>
    <x v="1"/>
    <x v="8"/>
    <n v="1"/>
    <n v="122060"/>
  </r>
  <r>
    <x v="6"/>
    <x v="0"/>
    <x v="1"/>
    <x v="13"/>
    <n v="1"/>
    <n v="606340"/>
  </r>
  <r>
    <x v="6"/>
    <x v="0"/>
    <x v="1"/>
    <x v="23"/>
    <n v="1"/>
    <n v="174560"/>
  </r>
  <r>
    <x v="6"/>
    <x v="1"/>
    <x v="0"/>
    <x v="0"/>
    <n v="299"/>
    <n v="230350"/>
  </r>
  <r>
    <x v="6"/>
    <x v="1"/>
    <x v="0"/>
    <x v="1"/>
    <n v="180"/>
    <n v="261960"/>
  </r>
  <r>
    <x v="6"/>
    <x v="1"/>
    <x v="0"/>
    <x v="2"/>
    <n v="88"/>
    <n v="116900"/>
  </r>
  <r>
    <x v="6"/>
    <x v="1"/>
    <x v="0"/>
    <x v="3"/>
    <n v="60"/>
    <n v="86890"/>
  </r>
  <r>
    <x v="6"/>
    <x v="1"/>
    <x v="0"/>
    <x v="4"/>
    <n v="545"/>
    <n v="498810"/>
  </r>
  <r>
    <x v="6"/>
    <x v="1"/>
    <x v="0"/>
    <x v="5"/>
    <n v="71"/>
    <n v="51360"/>
  </r>
  <r>
    <x v="6"/>
    <x v="1"/>
    <x v="0"/>
    <x v="6"/>
    <n v="82"/>
    <n v="149670"/>
  </r>
  <r>
    <x v="6"/>
    <x v="1"/>
    <x v="0"/>
    <x v="7"/>
    <n v="227"/>
    <n v="148210"/>
  </r>
  <r>
    <x v="6"/>
    <x v="1"/>
    <x v="0"/>
    <x v="8"/>
    <n v="92"/>
    <n v="122060"/>
  </r>
  <r>
    <x v="6"/>
    <x v="1"/>
    <x v="0"/>
    <x v="9"/>
    <n v="71"/>
    <n v="106960"/>
  </r>
  <r>
    <x v="6"/>
    <x v="1"/>
    <x v="0"/>
    <x v="10"/>
    <n v="80"/>
    <n v="103050"/>
  </r>
  <r>
    <x v="6"/>
    <x v="1"/>
    <x v="0"/>
    <x v="31"/>
    <n v="63"/>
    <n v="92940"/>
  </r>
  <r>
    <x v="6"/>
    <x v="1"/>
    <x v="0"/>
    <x v="11"/>
    <n v="123"/>
    <n v="158460"/>
  </r>
  <r>
    <x v="6"/>
    <x v="1"/>
    <x v="0"/>
    <x v="12"/>
    <n v="254"/>
    <n v="368080"/>
  </r>
  <r>
    <x v="6"/>
    <x v="1"/>
    <x v="0"/>
    <x v="13"/>
    <n v="833"/>
    <n v="606340"/>
  </r>
  <r>
    <x v="6"/>
    <x v="1"/>
    <x v="0"/>
    <x v="14"/>
    <n v="120"/>
    <n v="234110"/>
  </r>
  <r>
    <x v="6"/>
    <x v="1"/>
    <x v="0"/>
    <x v="15"/>
    <n v="111"/>
    <n v="79500"/>
  </r>
  <r>
    <x v="6"/>
    <x v="1"/>
    <x v="0"/>
    <x v="16"/>
    <n v="60"/>
    <n v="87390"/>
  </r>
  <r>
    <x v="6"/>
    <x v="1"/>
    <x v="0"/>
    <x v="17"/>
    <n v="47"/>
    <n v="95510"/>
  </r>
  <r>
    <x v="6"/>
    <x v="1"/>
    <x v="0"/>
    <x v="18"/>
    <n v="20"/>
    <n v="27070"/>
  </r>
  <r>
    <x v="6"/>
    <x v="1"/>
    <x v="0"/>
    <x v="19"/>
    <n v="160"/>
    <n v="136130"/>
  </r>
  <r>
    <x v="6"/>
    <x v="1"/>
    <x v="0"/>
    <x v="20"/>
    <n v="294"/>
    <n v="338260"/>
  </r>
  <r>
    <x v="6"/>
    <x v="1"/>
    <x v="0"/>
    <x v="21"/>
    <n v="11"/>
    <n v="21670"/>
  </r>
  <r>
    <x v="6"/>
    <x v="1"/>
    <x v="0"/>
    <x v="22"/>
    <n v="119"/>
    <n v="149930"/>
  </r>
  <r>
    <x v="6"/>
    <x v="1"/>
    <x v="0"/>
    <x v="23"/>
    <n v="207"/>
    <n v="174560"/>
  </r>
  <r>
    <x v="6"/>
    <x v="1"/>
    <x v="0"/>
    <x v="24"/>
    <n v="104"/>
    <n v="114030"/>
  </r>
  <r>
    <x v="6"/>
    <x v="1"/>
    <x v="0"/>
    <x v="25"/>
    <n v="17"/>
    <n v="23200"/>
  </r>
  <r>
    <x v="6"/>
    <x v="1"/>
    <x v="0"/>
    <x v="26"/>
    <n v="89"/>
    <n v="112400"/>
  </r>
  <r>
    <x v="6"/>
    <x v="1"/>
    <x v="0"/>
    <x v="27"/>
    <n v="259"/>
    <n v="316230"/>
  </r>
  <r>
    <x v="6"/>
    <x v="1"/>
    <x v="0"/>
    <x v="28"/>
    <n v="107"/>
    <n v="92830"/>
  </r>
  <r>
    <x v="6"/>
    <x v="1"/>
    <x v="0"/>
    <x v="29"/>
    <n v="144"/>
    <n v="89590"/>
  </r>
  <r>
    <x v="6"/>
    <x v="1"/>
    <x v="0"/>
    <x v="30"/>
    <n v="131"/>
    <n v="178550"/>
  </r>
  <r>
    <x v="6"/>
    <x v="1"/>
    <x v="1"/>
    <x v="0"/>
    <n v="35"/>
    <n v="230350"/>
  </r>
  <r>
    <x v="6"/>
    <x v="1"/>
    <x v="1"/>
    <x v="1"/>
    <n v="12"/>
    <n v="261960"/>
  </r>
  <r>
    <x v="6"/>
    <x v="1"/>
    <x v="1"/>
    <x v="2"/>
    <n v="7"/>
    <n v="116900"/>
  </r>
  <r>
    <x v="6"/>
    <x v="1"/>
    <x v="1"/>
    <x v="3"/>
    <n v="4"/>
    <n v="86890"/>
  </r>
  <r>
    <x v="6"/>
    <x v="1"/>
    <x v="1"/>
    <x v="4"/>
    <n v="88"/>
    <n v="498810"/>
  </r>
  <r>
    <x v="6"/>
    <x v="1"/>
    <x v="1"/>
    <x v="5"/>
    <n v="4"/>
    <n v="51360"/>
  </r>
  <r>
    <x v="6"/>
    <x v="1"/>
    <x v="1"/>
    <x v="6"/>
    <n v="12"/>
    <n v="149670"/>
  </r>
  <r>
    <x v="6"/>
    <x v="1"/>
    <x v="1"/>
    <x v="7"/>
    <n v="29"/>
    <n v="148210"/>
  </r>
  <r>
    <x v="6"/>
    <x v="1"/>
    <x v="1"/>
    <x v="8"/>
    <n v="12"/>
    <n v="122060"/>
  </r>
  <r>
    <x v="6"/>
    <x v="1"/>
    <x v="1"/>
    <x v="9"/>
    <n v="6"/>
    <n v="106960"/>
  </r>
  <r>
    <x v="6"/>
    <x v="1"/>
    <x v="1"/>
    <x v="10"/>
    <n v="5"/>
    <n v="103050"/>
  </r>
  <r>
    <x v="6"/>
    <x v="1"/>
    <x v="1"/>
    <x v="31"/>
    <n v="8"/>
    <n v="92940"/>
  </r>
  <r>
    <x v="6"/>
    <x v="1"/>
    <x v="1"/>
    <x v="11"/>
    <n v="11"/>
    <n v="158460"/>
  </r>
  <r>
    <x v="6"/>
    <x v="1"/>
    <x v="1"/>
    <x v="12"/>
    <n v="24"/>
    <n v="368080"/>
  </r>
  <r>
    <x v="6"/>
    <x v="1"/>
    <x v="1"/>
    <x v="13"/>
    <n v="127"/>
    <n v="606340"/>
  </r>
  <r>
    <x v="6"/>
    <x v="1"/>
    <x v="1"/>
    <x v="14"/>
    <n v="9"/>
    <n v="234110"/>
  </r>
  <r>
    <x v="6"/>
    <x v="1"/>
    <x v="1"/>
    <x v="15"/>
    <n v="18"/>
    <n v="79500"/>
  </r>
  <r>
    <x v="6"/>
    <x v="1"/>
    <x v="1"/>
    <x v="16"/>
    <n v="9"/>
    <n v="87390"/>
  </r>
  <r>
    <x v="6"/>
    <x v="1"/>
    <x v="1"/>
    <x v="17"/>
    <n v="3"/>
    <n v="95510"/>
  </r>
  <r>
    <x v="6"/>
    <x v="1"/>
    <x v="1"/>
    <x v="19"/>
    <n v="16"/>
    <n v="136130"/>
  </r>
  <r>
    <x v="6"/>
    <x v="1"/>
    <x v="1"/>
    <x v="20"/>
    <n v="42"/>
    <n v="338260"/>
  </r>
  <r>
    <x v="6"/>
    <x v="1"/>
    <x v="1"/>
    <x v="22"/>
    <n v="3"/>
    <n v="149930"/>
  </r>
  <r>
    <x v="6"/>
    <x v="1"/>
    <x v="1"/>
    <x v="23"/>
    <n v="35"/>
    <n v="174560"/>
  </r>
  <r>
    <x v="6"/>
    <x v="1"/>
    <x v="1"/>
    <x v="24"/>
    <n v="5"/>
    <n v="114030"/>
  </r>
  <r>
    <x v="6"/>
    <x v="1"/>
    <x v="1"/>
    <x v="25"/>
    <n v="2"/>
    <n v="23200"/>
  </r>
  <r>
    <x v="6"/>
    <x v="1"/>
    <x v="1"/>
    <x v="26"/>
    <n v="12"/>
    <n v="112400"/>
  </r>
  <r>
    <x v="6"/>
    <x v="1"/>
    <x v="1"/>
    <x v="27"/>
    <n v="35"/>
    <n v="316230"/>
  </r>
  <r>
    <x v="6"/>
    <x v="1"/>
    <x v="1"/>
    <x v="28"/>
    <n v="1"/>
    <n v="92830"/>
  </r>
  <r>
    <x v="6"/>
    <x v="1"/>
    <x v="1"/>
    <x v="29"/>
    <n v="12"/>
    <n v="89590"/>
  </r>
  <r>
    <x v="6"/>
    <x v="1"/>
    <x v="1"/>
    <x v="30"/>
    <n v="19"/>
    <n v="178550"/>
  </r>
  <r>
    <x v="6"/>
    <x v="2"/>
    <x v="0"/>
    <x v="0"/>
    <n v="104"/>
    <n v="230350"/>
  </r>
  <r>
    <x v="6"/>
    <x v="2"/>
    <x v="0"/>
    <x v="1"/>
    <n v="68"/>
    <n v="261960"/>
  </r>
  <r>
    <x v="6"/>
    <x v="2"/>
    <x v="0"/>
    <x v="2"/>
    <n v="34"/>
    <n v="116900"/>
  </r>
  <r>
    <x v="6"/>
    <x v="2"/>
    <x v="0"/>
    <x v="3"/>
    <n v="37"/>
    <n v="86890"/>
  </r>
  <r>
    <x v="6"/>
    <x v="2"/>
    <x v="0"/>
    <x v="4"/>
    <n v="224"/>
    <n v="498810"/>
  </r>
  <r>
    <x v="6"/>
    <x v="2"/>
    <x v="0"/>
    <x v="5"/>
    <n v="19"/>
    <n v="51360"/>
  </r>
  <r>
    <x v="6"/>
    <x v="2"/>
    <x v="0"/>
    <x v="6"/>
    <n v="36"/>
    <n v="149670"/>
  </r>
  <r>
    <x v="6"/>
    <x v="2"/>
    <x v="0"/>
    <x v="7"/>
    <n v="62"/>
    <n v="148210"/>
  </r>
  <r>
    <x v="6"/>
    <x v="2"/>
    <x v="0"/>
    <x v="8"/>
    <n v="31"/>
    <n v="122060"/>
  </r>
  <r>
    <x v="6"/>
    <x v="2"/>
    <x v="0"/>
    <x v="9"/>
    <n v="17"/>
    <n v="106960"/>
  </r>
  <r>
    <x v="6"/>
    <x v="2"/>
    <x v="0"/>
    <x v="10"/>
    <n v="25"/>
    <n v="103050"/>
  </r>
  <r>
    <x v="6"/>
    <x v="2"/>
    <x v="0"/>
    <x v="31"/>
    <n v="19"/>
    <n v="92940"/>
  </r>
  <r>
    <x v="6"/>
    <x v="2"/>
    <x v="0"/>
    <x v="11"/>
    <n v="47"/>
    <n v="158460"/>
  </r>
  <r>
    <x v="6"/>
    <x v="2"/>
    <x v="0"/>
    <x v="12"/>
    <n v="99"/>
    <n v="368080"/>
  </r>
  <r>
    <x v="6"/>
    <x v="2"/>
    <x v="0"/>
    <x v="13"/>
    <n v="307"/>
    <n v="606340"/>
  </r>
  <r>
    <x v="6"/>
    <x v="2"/>
    <x v="0"/>
    <x v="14"/>
    <n v="92"/>
    <n v="234110"/>
  </r>
  <r>
    <x v="6"/>
    <x v="2"/>
    <x v="0"/>
    <x v="15"/>
    <n v="24"/>
    <n v="79500"/>
  </r>
  <r>
    <x v="6"/>
    <x v="2"/>
    <x v="0"/>
    <x v="16"/>
    <n v="22"/>
    <n v="87390"/>
  </r>
  <r>
    <x v="6"/>
    <x v="2"/>
    <x v="0"/>
    <x v="17"/>
    <n v="29"/>
    <n v="95510"/>
  </r>
  <r>
    <x v="6"/>
    <x v="2"/>
    <x v="0"/>
    <x v="18"/>
    <n v="7"/>
    <n v="27070"/>
  </r>
  <r>
    <x v="6"/>
    <x v="2"/>
    <x v="0"/>
    <x v="19"/>
    <n v="43"/>
    <n v="136130"/>
  </r>
  <r>
    <x v="6"/>
    <x v="2"/>
    <x v="0"/>
    <x v="20"/>
    <n v="78"/>
    <n v="338260"/>
  </r>
  <r>
    <x v="6"/>
    <x v="2"/>
    <x v="0"/>
    <x v="21"/>
    <n v="9"/>
    <n v="21670"/>
  </r>
  <r>
    <x v="6"/>
    <x v="2"/>
    <x v="0"/>
    <x v="22"/>
    <n v="58"/>
    <n v="149930"/>
  </r>
  <r>
    <x v="6"/>
    <x v="2"/>
    <x v="0"/>
    <x v="23"/>
    <n v="65"/>
    <n v="174560"/>
  </r>
  <r>
    <x v="6"/>
    <x v="2"/>
    <x v="0"/>
    <x v="24"/>
    <n v="39"/>
    <n v="114030"/>
  </r>
  <r>
    <x v="6"/>
    <x v="2"/>
    <x v="0"/>
    <x v="25"/>
    <n v="3"/>
    <n v="23200"/>
  </r>
  <r>
    <x v="6"/>
    <x v="2"/>
    <x v="0"/>
    <x v="26"/>
    <n v="42"/>
    <n v="112400"/>
  </r>
  <r>
    <x v="6"/>
    <x v="2"/>
    <x v="0"/>
    <x v="27"/>
    <n v="76"/>
    <n v="316230"/>
  </r>
  <r>
    <x v="6"/>
    <x v="2"/>
    <x v="0"/>
    <x v="28"/>
    <n v="36"/>
    <n v="92830"/>
  </r>
  <r>
    <x v="6"/>
    <x v="2"/>
    <x v="0"/>
    <x v="29"/>
    <n v="44"/>
    <n v="89590"/>
  </r>
  <r>
    <x v="6"/>
    <x v="2"/>
    <x v="0"/>
    <x v="30"/>
    <n v="54"/>
    <n v="178550"/>
  </r>
  <r>
    <x v="6"/>
    <x v="2"/>
    <x v="1"/>
    <x v="0"/>
    <n v="17"/>
    <n v="230350"/>
  </r>
  <r>
    <x v="6"/>
    <x v="2"/>
    <x v="1"/>
    <x v="1"/>
    <n v="15"/>
    <n v="261960"/>
  </r>
  <r>
    <x v="6"/>
    <x v="2"/>
    <x v="1"/>
    <x v="2"/>
    <n v="8"/>
    <n v="116900"/>
  </r>
  <r>
    <x v="6"/>
    <x v="2"/>
    <x v="1"/>
    <x v="3"/>
    <n v="1"/>
    <n v="86890"/>
  </r>
  <r>
    <x v="6"/>
    <x v="2"/>
    <x v="1"/>
    <x v="4"/>
    <n v="64"/>
    <n v="498810"/>
  </r>
  <r>
    <x v="6"/>
    <x v="2"/>
    <x v="1"/>
    <x v="5"/>
    <n v="4"/>
    <n v="51360"/>
  </r>
  <r>
    <x v="6"/>
    <x v="2"/>
    <x v="1"/>
    <x v="6"/>
    <n v="8"/>
    <n v="149670"/>
  </r>
  <r>
    <x v="6"/>
    <x v="2"/>
    <x v="1"/>
    <x v="7"/>
    <n v="16"/>
    <n v="148210"/>
  </r>
  <r>
    <x v="6"/>
    <x v="2"/>
    <x v="1"/>
    <x v="8"/>
    <n v="23"/>
    <n v="122060"/>
  </r>
  <r>
    <x v="6"/>
    <x v="2"/>
    <x v="1"/>
    <x v="9"/>
    <n v="12"/>
    <n v="106960"/>
  </r>
  <r>
    <x v="6"/>
    <x v="2"/>
    <x v="1"/>
    <x v="10"/>
    <n v="10"/>
    <n v="103050"/>
  </r>
  <r>
    <x v="6"/>
    <x v="2"/>
    <x v="1"/>
    <x v="31"/>
    <n v="14"/>
    <n v="92940"/>
  </r>
  <r>
    <x v="6"/>
    <x v="2"/>
    <x v="1"/>
    <x v="11"/>
    <n v="24"/>
    <n v="158460"/>
  </r>
  <r>
    <x v="6"/>
    <x v="2"/>
    <x v="1"/>
    <x v="12"/>
    <n v="35"/>
    <n v="368080"/>
  </r>
  <r>
    <x v="6"/>
    <x v="2"/>
    <x v="1"/>
    <x v="13"/>
    <n v="101"/>
    <n v="606340"/>
  </r>
  <r>
    <x v="6"/>
    <x v="2"/>
    <x v="1"/>
    <x v="14"/>
    <n v="10"/>
    <n v="234110"/>
  </r>
  <r>
    <x v="6"/>
    <x v="2"/>
    <x v="1"/>
    <x v="15"/>
    <n v="13"/>
    <n v="79500"/>
  </r>
  <r>
    <x v="6"/>
    <x v="2"/>
    <x v="1"/>
    <x v="16"/>
    <n v="10"/>
    <n v="87390"/>
  </r>
  <r>
    <x v="6"/>
    <x v="2"/>
    <x v="1"/>
    <x v="17"/>
    <n v="7"/>
    <n v="95510"/>
  </r>
  <r>
    <x v="6"/>
    <x v="2"/>
    <x v="1"/>
    <x v="19"/>
    <n v="20"/>
    <n v="136130"/>
  </r>
  <r>
    <x v="6"/>
    <x v="2"/>
    <x v="1"/>
    <x v="20"/>
    <n v="62"/>
    <n v="338260"/>
  </r>
  <r>
    <x v="6"/>
    <x v="2"/>
    <x v="1"/>
    <x v="22"/>
    <n v="16"/>
    <n v="149930"/>
  </r>
  <r>
    <x v="6"/>
    <x v="2"/>
    <x v="1"/>
    <x v="23"/>
    <n v="24"/>
    <n v="174560"/>
  </r>
  <r>
    <x v="6"/>
    <x v="2"/>
    <x v="1"/>
    <x v="24"/>
    <n v="9"/>
    <n v="114030"/>
  </r>
  <r>
    <x v="6"/>
    <x v="2"/>
    <x v="1"/>
    <x v="25"/>
    <n v="1"/>
    <n v="23200"/>
  </r>
  <r>
    <x v="6"/>
    <x v="2"/>
    <x v="1"/>
    <x v="26"/>
    <n v="12"/>
    <n v="112400"/>
  </r>
  <r>
    <x v="6"/>
    <x v="2"/>
    <x v="1"/>
    <x v="27"/>
    <n v="23"/>
    <n v="316230"/>
  </r>
  <r>
    <x v="6"/>
    <x v="2"/>
    <x v="1"/>
    <x v="28"/>
    <n v="36"/>
    <n v="92830"/>
  </r>
  <r>
    <x v="6"/>
    <x v="2"/>
    <x v="1"/>
    <x v="29"/>
    <n v="15"/>
    <n v="89590"/>
  </r>
  <r>
    <x v="6"/>
    <x v="2"/>
    <x v="1"/>
    <x v="30"/>
    <n v="34"/>
    <n v="178550"/>
  </r>
  <r>
    <x v="6"/>
    <x v="3"/>
    <x v="0"/>
    <x v="0"/>
    <n v="30"/>
    <n v="230350"/>
  </r>
  <r>
    <x v="6"/>
    <x v="3"/>
    <x v="0"/>
    <x v="1"/>
    <n v="74"/>
    <n v="261960"/>
  </r>
  <r>
    <x v="6"/>
    <x v="3"/>
    <x v="0"/>
    <x v="2"/>
    <n v="27"/>
    <n v="116900"/>
  </r>
  <r>
    <x v="6"/>
    <x v="3"/>
    <x v="0"/>
    <x v="3"/>
    <n v="18"/>
    <n v="86890"/>
  </r>
  <r>
    <x v="6"/>
    <x v="3"/>
    <x v="0"/>
    <x v="4"/>
    <n v="84"/>
    <n v="498810"/>
  </r>
  <r>
    <x v="6"/>
    <x v="3"/>
    <x v="0"/>
    <x v="5"/>
    <n v="1"/>
    <n v="51360"/>
  </r>
  <r>
    <x v="6"/>
    <x v="3"/>
    <x v="0"/>
    <x v="6"/>
    <n v="60"/>
    <n v="149670"/>
  </r>
  <r>
    <x v="6"/>
    <x v="3"/>
    <x v="0"/>
    <x v="7"/>
    <n v="17"/>
    <n v="148210"/>
  </r>
  <r>
    <x v="6"/>
    <x v="3"/>
    <x v="0"/>
    <x v="8"/>
    <n v="26"/>
    <n v="122060"/>
  </r>
  <r>
    <x v="6"/>
    <x v="3"/>
    <x v="0"/>
    <x v="9"/>
    <n v="11"/>
    <n v="106960"/>
  </r>
  <r>
    <x v="6"/>
    <x v="3"/>
    <x v="0"/>
    <x v="10"/>
    <n v="25"/>
    <n v="103050"/>
  </r>
  <r>
    <x v="6"/>
    <x v="3"/>
    <x v="0"/>
    <x v="31"/>
    <n v="12"/>
    <n v="92940"/>
  </r>
  <r>
    <x v="6"/>
    <x v="3"/>
    <x v="0"/>
    <x v="11"/>
    <n v="46"/>
    <n v="158460"/>
  </r>
  <r>
    <x v="6"/>
    <x v="3"/>
    <x v="0"/>
    <x v="12"/>
    <n v="76"/>
    <n v="368080"/>
  </r>
  <r>
    <x v="6"/>
    <x v="3"/>
    <x v="0"/>
    <x v="13"/>
    <n v="133"/>
    <n v="606340"/>
  </r>
  <r>
    <x v="6"/>
    <x v="3"/>
    <x v="0"/>
    <x v="14"/>
    <n v="77"/>
    <n v="234110"/>
  </r>
  <r>
    <x v="6"/>
    <x v="3"/>
    <x v="0"/>
    <x v="15"/>
    <n v="12"/>
    <n v="79500"/>
  </r>
  <r>
    <x v="6"/>
    <x v="3"/>
    <x v="0"/>
    <x v="16"/>
    <n v="15"/>
    <n v="87390"/>
  </r>
  <r>
    <x v="6"/>
    <x v="3"/>
    <x v="0"/>
    <x v="17"/>
    <n v="24"/>
    <n v="95510"/>
  </r>
  <r>
    <x v="6"/>
    <x v="3"/>
    <x v="0"/>
    <x v="18"/>
    <n v="7"/>
    <n v="27070"/>
  </r>
  <r>
    <x v="6"/>
    <x v="3"/>
    <x v="0"/>
    <x v="19"/>
    <n v="23"/>
    <n v="136130"/>
  </r>
  <r>
    <x v="6"/>
    <x v="3"/>
    <x v="0"/>
    <x v="20"/>
    <n v="59"/>
    <n v="338260"/>
  </r>
  <r>
    <x v="6"/>
    <x v="3"/>
    <x v="0"/>
    <x v="21"/>
    <n v="11"/>
    <n v="21670"/>
  </r>
  <r>
    <x v="6"/>
    <x v="3"/>
    <x v="0"/>
    <x v="22"/>
    <n v="43"/>
    <n v="149930"/>
  </r>
  <r>
    <x v="6"/>
    <x v="3"/>
    <x v="0"/>
    <x v="23"/>
    <n v="27"/>
    <n v="174560"/>
  </r>
  <r>
    <x v="6"/>
    <x v="3"/>
    <x v="0"/>
    <x v="24"/>
    <n v="29"/>
    <n v="114030"/>
  </r>
  <r>
    <x v="6"/>
    <x v="3"/>
    <x v="0"/>
    <x v="25"/>
    <n v="7"/>
    <n v="23200"/>
  </r>
  <r>
    <x v="6"/>
    <x v="3"/>
    <x v="0"/>
    <x v="26"/>
    <n v="21"/>
    <n v="112400"/>
  </r>
  <r>
    <x v="6"/>
    <x v="3"/>
    <x v="0"/>
    <x v="27"/>
    <n v="77"/>
    <n v="316230"/>
  </r>
  <r>
    <x v="6"/>
    <x v="3"/>
    <x v="0"/>
    <x v="28"/>
    <n v="30"/>
    <n v="92830"/>
  </r>
  <r>
    <x v="6"/>
    <x v="3"/>
    <x v="0"/>
    <x v="29"/>
    <n v="16"/>
    <n v="89590"/>
  </r>
  <r>
    <x v="6"/>
    <x v="3"/>
    <x v="0"/>
    <x v="30"/>
    <n v="47"/>
    <n v="178550"/>
  </r>
  <r>
    <x v="6"/>
    <x v="3"/>
    <x v="1"/>
    <x v="0"/>
    <n v="50"/>
    <n v="230350"/>
  </r>
  <r>
    <x v="6"/>
    <x v="3"/>
    <x v="1"/>
    <x v="1"/>
    <n v="16"/>
    <n v="261960"/>
  </r>
  <r>
    <x v="6"/>
    <x v="3"/>
    <x v="1"/>
    <x v="2"/>
    <n v="5"/>
    <n v="116900"/>
  </r>
  <r>
    <x v="6"/>
    <x v="3"/>
    <x v="1"/>
    <x v="3"/>
    <n v="3"/>
    <n v="86890"/>
  </r>
  <r>
    <x v="6"/>
    <x v="3"/>
    <x v="1"/>
    <x v="4"/>
    <n v="119"/>
    <n v="498810"/>
  </r>
  <r>
    <x v="6"/>
    <x v="3"/>
    <x v="1"/>
    <x v="5"/>
    <n v="3"/>
    <n v="51360"/>
  </r>
  <r>
    <x v="6"/>
    <x v="3"/>
    <x v="1"/>
    <x v="6"/>
    <n v="7"/>
    <n v="149670"/>
  </r>
  <r>
    <x v="6"/>
    <x v="3"/>
    <x v="1"/>
    <x v="7"/>
    <n v="23"/>
    <n v="148210"/>
  </r>
  <r>
    <x v="6"/>
    <x v="3"/>
    <x v="1"/>
    <x v="8"/>
    <n v="16"/>
    <n v="122060"/>
  </r>
  <r>
    <x v="6"/>
    <x v="3"/>
    <x v="1"/>
    <x v="9"/>
    <n v="20"/>
    <n v="106960"/>
  </r>
  <r>
    <x v="6"/>
    <x v="3"/>
    <x v="1"/>
    <x v="10"/>
    <n v="25"/>
    <n v="103050"/>
  </r>
  <r>
    <x v="6"/>
    <x v="3"/>
    <x v="1"/>
    <x v="31"/>
    <n v="4"/>
    <n v="92940"/>
  </r>
  <r>
    <x v="6"/>
    <x v="3"/>
    <x v="1"/>
    <x v="11"/>
    <n v="9"/>
    <n v="158460"/>
  </r>
  <r>
    <x v="6"/>
    <x v="3"/>
    <x v="1"/>
    <x v="12"/>
    <n v="41"/>
    <n v="368080"/>
  </r>
  <r>
    <x v="6"/>
    <x v="3"/>
    <x v="1"/>
    <x v="13"/>
    <n v="158"/>
    <n v="606340"/>
  </r>
  <r>
    <x v="6"/>
    <x v="3"/>
    <x v="1"/>
    <x v="14"/>
    <n v="10"/>
    <n v="234110"/>
  </r>
  <r>
    <x v="6"/>
    <x v="3"/>
    <x v="1"/>
    <x v="15"/>
    <n v="20"/>
    <n v="79500"/>
  </r>
  <r>
    <x v="6"/>
    <x v="3"/>
    <x v="1"/>
    <x v="16"/>
    <n v="14"/>
    <n v="87390"/>
  </r>
  <r>
    <x v="6"/>
    <x v="3"/>
    <x v="1"/>
    <x v="17"/>
    <n v="4"/>
    <n v="95510"/>
  </r>
  <r>
    <x v="6"/>
    <x v="3"/>
    <x v="1"/>
    <x v="18"/>
    <n v="2"/>
    <n v="27070"/>
  </r>
  <r>
    <x v="6"/>
    <x v="3"/>
    <x v="1"/>
    <x v="19"/>
    <n v="11"/>
    <n v="136130"/>
  </r>
  <r>
    <x v="6"/>
    <x v="3"/>
    <x v="1"/>
    <x v="20"/>
    <n v="87"/>
    <n v="338260"/>
  </r>
  <r>
    <x v="6"/>
    <x v="3"/>
    <x v="1"/>
    <x v="22"/>
    <n v="7"/>
    <n v="149930"/>
  </r>
  <r>
    <x v="6"/>
    <x v="3"/>
    <x v="1"/>
    <x v="23"/>
    <n v="29"/>
    <n v="174560"/>
  </r>
  <r>
    <x v="6"/>
    <x v="3"/>
    <x v="1"/>
    <x v="24"/>
    <n v="3"/>
    <n v="114030"/>
  </r>
  <r>
    <x v="6"/>
    <x v="3"/>
    <x v="1"/>
    <x v="26"/>
    <n v="9"/>
    <n v="112400"/>
  </r>
  <r>
    <x v="6"/>
    <x v="3"/>
    <x v="1"/>
    <x v="27"/>
    <n v="46"/>
    <n v="316230"/>
  </r>
  <r>
    <x v="6"/>
    <x v="3"/>
    <x v="1"/>
    <x v="28"/>
    <n v="4"/>
    <n v="92830"/>
  </r>
  <r>
    <x v="6"/>
    <x v="3"/>
    <x v="1"/>
    <x v="29"/>
    <n v="24"/>
    <n v="89590"/>
  </r>
  <r>
    <x v="6"/>
    <x v="3"/>
    <x v="1"/>
    <x v="30"/>
    <n v="31"/>
    <n v="178550"/>
  </r>
  <r>
    <x v="6"/>
    <x v="4"/>
    <x v="0"/>
    <x v="0"/>
    <n v="2"/>
    <n v="230350"/>
  </r>
  <r>
    <x v="6"/>
    <x v="4"/>
    <x v="0"/>
    <x v="1"/>
    <n v="26"/>
    <n v="261960"/>
  </r>
  <r>
    <x v="6"/>
    <x v="4"/>
    <x v="0"/>
    <x v="2"/>
    <n v="7"/>
    <n v="116900"/>
  </r>
  <r>
    <x v="6"/>
    <x v="4"/>
    <x v="0"/>
    <x v="3"/>
    <n v="13"/>
    <n v="86890"/>
  </r>
  <r>
    <x v="6"/>
    <x v="4"/>
    <x v="0"/>
    <x v="4"/>
    <n v="33"/>
    <n v="498810"/>
  </r>
  <r>
    <x v="6"/>
    <x v="4"/>
    <x v="0"/>
    <x v="5"/>
    <n v="1"/>
    <n v="51360"/>
  </r>
  <r>
    <x v="6"/>
    <x v="4"/>
    <x v="0"/>
    <x v="6"/>
    <n v="16"/>
    <n v="149670"/>
  </r>
  <r>
    <x v="6"/>
    <x v="4"/>
    <x v="0"/>
    <x v="7"/>
    <n v="2"/>
    <n v="148210"/>
  </r>
  <r>
    <x v="6"/>
    <x v="4"/>
    <x v="0"/>
    <x v="8"/>
    <n v="8"/>
    <n v="122060"/>
  </r>
  <r>
    <x v="6"/>
    <x v="4"/>
    <x v="0"/>
    <x v="9"/>
    <n v="3"/>
    <n v="106960"/>
  </r>
  <r>
    <x v="6"/>
    <x v="4"/>
    <x v="0"/>
    <x v="10"/>
    <n v="4"/>
    <n v="103050"/>
  </r>
  <r>
    <x v="6"/>
    <x v="4"/>
    <x v="0"/>
    <x v="31"/>
    <n v="3"/>
    <n v="92940"/>
  </r>
  <r>
    <x v="6"/>
    <x v="4"/>
    <x v="0"/>
    <x v="11"/>
    <n v="9"/>
    <n v="158460"/>
  </r>
  <r>
    <x v="6"/>
    <x v="4"/>
    <x v="0"/>
    <x v="12"/>
    <n v="23"/>
    <n v="368080"/>
  </r>
  <r>
    <x v="6"/>
    <x v="4"/>
    <x v="0"/>
    <x v="13"/>
    <n v="25"/>
    <n v="606340"/>
  </r>
  <r>
    <x v="6"/>
    <x v="4"/>
    <x v="0"/>
    <x v="14"/>
    <n v="37"/>
    <n v="234110"/>
  </r>
  <r>
    <x v="6"/>
    <x v="4"/>
    <x v="0"/>
    <x v="15"/>
    <n v="6"/>
    <n v="79500"/>
  </r>
  <r>
    <x v="6"/>
    <x v="4"/>
    <x v="0"/>
    <x v="16"/>
    <n v="8"/>
    <n v="87390"/>
  </r>
  <r>
    <x v="6"/>
    <x v="4"/>
    <x v="0"/>
    <x v="17"/>
    <n v="9"/>
    <n v="95510"/>
  </r>
  <r>
    <x v="6"/>
    <x v="4"/>
    <x v="0"/>
    <x v="18"/>
    <n v="4"/>
    <n v="27070"/>
  </r>
  <r>
    <x v="6"/>
    <x v="4"/>
    <x v="0"/>
    <x v="19"/>
    <n v="6"/>
    <n v="136130"/>
  </r>
  <r>
    <x v="6"/>
    <x v="4"/>
    <x v="0"/>
    <x v="20"/>
    <n v="8"/>
    <n v="338260"/>
  </r>
  <r>
    <x v="6"/>
    <x v="4"/>
    <x v="0"/>
    <x v="21"/>
    <n v="6"/>
    <n v="21670"/>
  </r>
  <r>
    <x v="6"/>
    <x v="4"/>
    <x v="0"/>
    <x v="22"/>
    <n v="17"/>
    <n v="149930"/>
  </r>
  <r>
    <x v="6"/>
    <x v="4"/>
    <x v="0"/>
    <x v="23"/>
    <n v="6"/>
    <n v="174560"/>
  </r>
  <r>
    <x v="6"/>
    <x v="4"/>
    <x v="0"/>
    <x v="24"/>
    <n v="12"/>
    <n v="114030"/>
  </r>
  <r>
    <x v="6"/>
    <x v="4"/>
    <x v="0"/>
    <x v="25"/>
    <n v="7"/>
    <n v="23200"/>
  </r>
  <r>
    <x v="6"/>
    <x v="4"/>
    <x v="0"/>
    <x v="26"/>
    <n v="2"/>
    <n v="112400"/>
  </r>
  <r>
    <x v="6"/>
    <x v="4"/>
    <x v="0"/>
    <x v="27"/>
    <n v="4"/>
    <n v="316230"/>
  </r>
  <r>
    <x v="6"/>
    <x v="4"/>
    <x v="0"/>
    <x v="28"/>
    <n v="10"/>
    <n v="92830"/>
  </r>
  <r>
    <x v="6"/>
    <x v="4"/>
    <x v="0"/>
    <x v="29"/>
    <n v="4"/>
    <n v="89590"/>
  </r>
  <r>
    <x v="6"/>
    <x v="4"/>
    <x v="0"/>
    <x v="30"/>
    <n v="15"/>
    <n v="178550"/>
  </r>
  <r>
    <x v="6"/>
    <x v="4"/>
    <x v="1"/>
    <x v="0"/>
    <n v="16"/>
    <n v="230350"/>
  </r>
  <r>
    <x v="6"/>
    <x v="4"/>
    <x v="1"/>
    <x v="1"/>
    <n v="13"/>
    <n v="261960"/>
  </r>
  <r>
    <x v="6"/>
    <x v="4"/>
    <x v="1"/>
    <x v="2"/>
    <n v="5"/>
    <n v="116900"/>
  </r>
  <r>
    <x v="6"/>
    <x v="4"/>
    <x v="1"/>
    <x v="3"/>
    <n v="1"/>
    <n v="86890"/>
  </r>
  <r>
    <x v="6"/>
    <x v="4"/>
    <x v="1"/>
    <x v="4"/>
    <n v="66"/>
    <n v="498810"/>
  </r>
  <r>
    <x v="6"/>
    <x v="4"/>
    <x v="1"/>
    <x v="5"/>
    <n v="9"/>
    <n v="51360"/>
  </r>
  <r>
    <x v="6"/>
    <x v="4"/>
    <x v="1"/>
    <x v="6"/>
    <n v="7"/>
    <n v="149670"/>
  </r>
  <r>
    <x v="6"/>
    <x v="4"/>
    <x v="1"/>
    <x v="7"/>
    <n v="7"/>
    <n v="148210"/>
  </r>
  <r>
    <x v="6"/>
    <x v="4"/>
    <x v="1"/>
    <x v="8"/>
    <n v="11"/>
    <n v="122060"/>
  </r>
  <r>
    <x v="6"/>
    <x v="4"/>
    <x v="1"/>
    <x v="9"/>
    <n v="7"/>
    <n v="106960"/>
  </r>
  <r>
    <x v="6"/>
    <x v="4"/>
    <x v="1"/>
    <x v="10"/>
    <n v="23"/>
    <n v="103050"/>
  </r>
  <r>
    <x v="6"/>
    <x v="4"/>
    <x v="1"/>
    <x v="31"/>
    <n v="8"/>
    <n v="92940"/>
  </r>
  <r>
    <x v="6"/>
    <x v="4"/>
    <x v="1"/>
    <x v="11"/>
    <n v="38"/>
    <n v="158460"/>
  </r>
  <r>
    <x v="6"/>
    <x v="4"/>
    <x v="1"/>
    <x v="12"/>
    <n v="25"/>
    <n v="368080"/>
  </r>
  <r>
    <x v="6"/>
    <x v="4"/>
    <x v="1"/>
    <x v="13"/>
    <n v="54"/>
    <n v="606340"/>
  </r>
  <r>
    <x v="6"/>
    <x v="4"/>
    <x v="1"/>
    <x v="14"/>
    <n v="19"/>
    <n v="234110"/>
  </r>
  <r>
    <x v="6"/>
    <x v="4"/>
    <x v="1"/>
    <x v="15"/>
    <n v="11"/>
    <n v="79500"/>
  </r>
  <r>
    <x v="6"/>
    <x v="4"/>
    <x v="1"/>
    <x v="16"/>
    <n v="32"/>
    <n v="87390"/>
  </r>
  <r>
    <x v="6"/>
    <x v="4"/>
    <x v="1"/>
    <x v="17"/>
    <n v="2"/>
    <n v="95510"/>
  </r>
  <r>
    <x v="6"/>
    <x v="4"/>
    <x v="1"/>
    <x v="18"/>
    <n v="1"/>
    <n v="27070"/>
  </r>
  <r>
    <x v="6"/>
    <x v="4"/>
    <x v="1"/>
    <x v="19"/>
    <n v="5"/>
    <n v="136130"/>
  </r>
  <r>
    <x v="6"/>
    <x v="4"/>
    <x v="1"/>
    <x v="20"/>
    <n v="25"/>
    <n v="338260"/>
  </r>
  <r>
    <x v="6"/>
    <x v="4"/>
    <x v="1"/>
    <x v="22"/>
    <n v="6"/>
    <n v="149930"/>
  </r>
  <r>
    <x v="6"/>
    <x v="4"/>
    <x v="1"/>
    <x v="23"/>
    <n v="13"/>
    <n v="174560"/>
  </r>
  <r>
    <x v="6"/>
    <x v="4"/>
    <x v="1"/>
    <x v="24"/>
    <n v="25"/>
    <n v="114030"/>
  </r>
  <r>
    <x v="6"/>
    <x v="4"/>
    <x v="1"/>
    <x v="26"/>
    <n v="2"/>
    <n v="112400"/>
  </r>
  <r>
    <x v="6"/>
    <x v="4"/>
    <x v="1"/>
    <x v="27"/>
    <n v="19"/>
    <n v="316230"/>
  </r>
  <r>
    <x v="6"/>
    <x v="4"/>
    <x v="1"/>
    <x v="28"/>
    <n v="8"/>
    <n v="92830"/>
  </r>
  <r>
    <x v="6"/>
    <x v="4"/>
    <x v="1"/>
    <x v="29"/>
    <n v="11"/>
    <n v="89590"/>
  </r>
  <r>
    <x v="6"/>
    <x v="4"/>
    <x v="1"/>
    <x v="30"/>
    <n v="69"/>
    <n v="178550"/>
  </r>
  <r>
    <x v="6"/>
    <x v="5"/>
    <x v="0"/>
    <x v="0"/>
    <n v="122"/>
    <n v="230350"/>
  </r>
  <r>
    <x v="6"/>
    <x v="5"/>
    <x v="0"/>
    <x v="1"/>
    <n v="92"/>
    <n v="261960"/>
  </r>
  <r>
    <x v="6"/>
    <x v="5"/>
    <x v="0"/>
    <x v="2"/>
    <n v="55"/>
    <n v="116900"/>
  </r>
  <r>
    <x v="6"/>
    <x v="5"/>
    <x v="0"/>
    <x v="3"/>
    <n v="29"/>
    <n v="86890"/>
  </r>
  <r>
    <x v="6"/>
    <x v="5"/>
    <x v="0"/>
    <x v="4"/>
    <n v="584"/>
    <n v="498810"/>
  </r>
  <r>
    <x v="6"/>
    <x v="5"/>
    <x v="0"/>
    <x v="5"/>
    <n v="19"/>
    <n v="51360"/>
  </r>
  <r>
    <x v="6"/>
    <x v="5"/>
    <x v="0"/>
    <x v="6"/>
    <n v="61"/>
    <n v="149670"/>
  </r>
  <r>
    <x v="6"/>
    <x v="5"/>
    <x v="0"/>
    <x v="7"/>
    <n v="140"/>
    <n v="148210"/>
  </r>
  <r>
    <x v="6"/>
    <x v="5"/>
    <x v="0"/>
    <x v="8"/>
    <n v="23"/>
    <n v="122060"/>
  </r>
  <r>
    <x v="6"/>
    <x v="5"/>
    <x v="0"/>
    <x v="9"/>
    <n v="11"/>
    <n v="106960"/>
  </r>
  <r>
    <x v="6"/>
    <x v="5"/>
    <x v="0"/>
    <x v="10"/>
    <n v="58"/>
    <n v="103050"/>
  </r>
  <r>
    <x v="6"/>
    <x v="5"/>
    <x v="0"/>
    <x v="31"/>
    <n v="10"/>
    <n v="92940"/>
  </r>
  <r>
    <x v="6"/>
    <x v="5"/>
    <x v="0"/>
    <x v="11"/>
    <n v="56"/>
    <n v="158460"/>
  </r>
  <r>
    <x v="6"/>
    <x v="5"/>
    <x v="0"/>
    <x v="12"/>
    <n v="158"/>
    <n v="368080"/>
  </r>
  <r>
    <x v="6"/>
    <x v="5"/>
    <x v="0"/>
    <x v="13"/>
    <n v="139"/>
    <n v="606340"/>
  </r>
  <r>
    <x v="6"/>
    <x v="5"/>
    <x v="0"/>
    <x v="14"/>
    <n v="267"/>
    <n v="234110"/>
  </r>
  <r>
    <x v="6"/>
    <x v="5"/>
    <x v="0"/>
    <x v="15"/>
    <n v="12"/>
    <n v="79500"/>
  </r>
  <r>
    <x v="6"/>
    <x v="5"/>
    <x v="0"/>
    <x v="16"/>
    <n v="79"/>
    <n v="87390"/>
  </r>
  <r>
    <x v="6"/>
    <x v="5"/>
    <x v="0"/>
    <x v="17"/>
    <n v="43"/>
    <n v="95510"/>
  </r>
  <r>
    <x v="6"/>
    <x v="5"/>
    <x v="0"/>
    <x v="18"/>
    <n v="25"/>
    <n v="27070"/>
  </r>
  <r>
    <x v="6"/>
    <x v="5"/>
    <x v="0"/>
    <x v="19"/>
    <n v="22"/>
    <n v="136130"/>
  </r>
  <r>
    <x v="6"/>
    <x v="5"/>
    <x v="0"/>
    <x v="20"/>
    <n v="35"/>
    <n v="338260"/>
  </r>
  <r>
    <x v="6"/>
    <x v="5"/>
    <x v="0"/>
    <x v="21"/>
    <n v="12"/>
    <n v="21670"/>
  </r>
  <r>
    <x v="6"/>
    <x v="5"/>
    <x v="0"/>
    <x v="22"/>
    <n v="56"/>
    <n v="149930"/>
  </r>
  <r>
    <x v="6"/>
    <x v="5"/>
    <x v="0"/>
    <x v="23"/>
    <n v="41"/>
    <n v="174560"/>
  </r>
  <r>
    <x v="6"/>
    <x v="5"/>
    <x v="0"/>
    <x v="24"/>
    <n v="28"/>
    <n v="114030"/>
  </r>
  <r>
    <x v="6"/>
    <x v="5"/>
    <x v="0"/>
    <x v="25"/>
    <n v="11"/>
    <n v="23200"/>
  </r>
  <r>
    <x v="6"/>
    <x v="5"/>
    <x v="0"/>
    <x v="26"/>
    <n v="29"/>
    <n v="112400"/>
  </r>
  <r>
    <x v="6"/>
    <x v="5"/>
    <x v="0"/>
    <x v="27"/>
    <n v="46"/>
    <n v="316230"/>
  </r>
  <r>
    <x v="6"/>
    <x v="5"/>
    <x v="0"/>
    <x v="28"/>
    <n v="59"/>
    <n v="92830"/>
  </r>
  <r>
    <x v="6"/>
    <x v="5"/>
    <x v="0"/>
    <x v="29"/>
    <n v="12"/>
    <n v="89590"/>
  </r>
  <r>
    <x v="6"/>
    <x v="5"/>
    <x v="0"/>
    <x v="30"/>
    <n v="120"/>
    <n v="178550"/>
  </r>
  <r>
    <x v="6"/>
    <x v="5"/>
    <x v="1"/>
    <x v="0"/>
    <n v="319"/>
    <n v="230350"/>
  </r>
  <r>
    <x v="6"/>
    <x v="5"/>
    <x v="1"/>
    <x v="1"/>
    <n v="92"/>
    <n v="261960"/>
  </r>
  <r>
    <x v="6"/>
    <x v="5"/>
    <x v="1"/>
    <x v="2"/>
    <n v="92"/>
    <n v="116900"/>
  </r>
  <r>
    <x v="6"/>
    <x v="5"/>
    <x v="1"/>
    <x v="3"/>
    <n v="39"/>
    <n v="86890"/>
  </r>
  <r>
    <x v="6"/>
    <x v="5"/>
    <x v="1"/>
    <x v="4"/>
    <n v="1309"/>
    <n v="498810"/>
  </r>
  <r>
    <x v="6"/>
    <x v="5"/>
    <x v="1"/>
    <x v="5"/>
    <n v="83"/>
    <n v="51360"/>
  </r>
  <r>
    <x v="6"/>
    <x v="5"/>
    <x v="1"/>
    <x v="6"/>
    <n v="94"/>
    <n v="149670"/>
  </r>
  <r>
    <x v="6"/>
    <x v="5"/>
    <x v="1"/>
    <x v="7"/>
    <n v="540"/>
    <n v="148210"/>
  </r>
  <r>
    <x v="6"/>
    <x v="5"/>
    <x v="1"/>
    <x v="8"/>
    <n v="593"/>
    <n v="122060"/>
  </r>
  <r>
    <x v="6"/>
    <x v="5"/>
    <x v="1"/>
    <x v="9"/>
    <n v="160"/>
    <n v="106960"/>
  </r>
  <r>
    <x v="6"/>
    <x v="5"/>
    <x v="1"/>
    <x v="10"/>
    <n v="137"/>
    <n v="103050"/>
  </r>
  <r>
    <x v="6"/>
    <x v="5"/>
    <x v="1"/>
    <x v="31"/>
    <n v="137"/>
    <n v="92940"/>
  </r>
  <r>
    <x v="6"/>
    <x v="5"/>
    <x v="1"/>
    <x v="11"/>
    <n v="287"/>
    <n v="158460"/>
  </r>
  <r>
    <x v="6"/>
    <x v="5"/>
    <x v="1"/>
    <x v="12"/>
    <n v="582"/>
    <n v="368080"/>
  </r>
  <r>
    <x v="6"/>
    <x v="5"/>
    <x v="1"/>
    <x v="13"/>
    <n v="2297"/>
    <n v="606340"/>
  </r>
  <r>
    <x v="6"/>
    <x v="5"/>
    <x v="1"/>
    <x v="14"/>
    <n v="75"/>
    <n v="234110"/>
  </r>
  <r>
    <x v="6"/>
    <x v="5"/>
    <x v="1"/>
    <x v="15"/>
    <n v="393"/>
    <n v="79500"/>
  </r>
  <r>
    <x v="6"/>
    <x v="5"/>
    <x v="1"/>
    <x v="16"/>
    <n v="222"/>
    <n v="87390"/>
  </r>
  <r>
    <x v="6"/>
    <x v="5"/>
    <x v="1"/>
    <x v="17"/>
    <n v="52"/>
    <n v="95510"/>
  </r>
  <r>
    <x v="6"/>
    <x v="5"/>
    <x v="1"/>
    <x v="18"/>
    <n v="5"/>
    <n v="27070"/>
  </r>
  <r>
    <x v="6"/>
    <x v="5"/>
    <x v="1"/>
    <x v="19"/>
    <n v="485"/>
    <n v="136130"/>
  </r>
  <r>
    <x v="6"/>
    <x v="5"/>
    <x v="1"/>
    <x v="20"/>
    <n v="1505"/>
    <n v="338260"/>
  </r>
  <r>
    <x v="6"/>
    <x v="5"/>
    <x v="1"/>
    <x v="21"/>
    <n v="1"/>
    <n v="21670"/>
  </r>
  <r>
    <x v="6"/>
    <x v="5"/>
    <x v="1"/>
    <x v="22"/>
    <n v="88"/>
    <n v="149930"/>
  </r>
  <r>
    <x v="6"/>
    <x v="5"/>
    <x v="1"/>
    <x v="23"/>
    <n v="525"/>
    <n v="174560"/>
  </r>
  <r>
    <x v="6"/>
    <x v="5"/>
    <x v="1"/>
    <x v="24"/>
    <n v="64"/>
    <n v="114030"/>
  </r>
  <r>
    <x v="6"/>
    <x v="5"/>
    <x v="1"/>
    <x v="26"/>
    <n v="182"/>
    <n v="112400"/>
  </r>
  <r>
    <x v="6"/>
    <x v="5"/>
    <x v="1"/>
    <x v="27"/>
    <n v="860"/>
    <n v="316230"/>
  </r>
  <r>
    <x v="6"/>
    <x v="5"/>
    <x v="1"/>
    <x v="28"/>
    <n v="150"/>
    <n v="92830"/>
  </r>
  <r>
    <x v="6"/>
    <x v="5"/>
    <x v="1"/>
    <x v="29"/>
    <n v="300"/>
    <n v="89590"/>
  </r>
  <r>
    <x v="6"/>
    <x v="5"/>
    <x v="1"/>
    <x v="30"/>
    <n v="610"/>
    <n v="178550"/>
  </r>
  <r>
    <x v="7"/>
    <x v="0"/>
    <x v="0"/>
    <x v="0"/>
    <n v="13"/>
    <n v="229840"/>
  </r>
  <r>
    <x v="7"/>
    <x v="0"/>
    <x v="0"/>
    <x v="1"/>
    <n v="90"/>
    <n v="262190"/>
  </r>
  <r>
    <x v="7"/>
    <x v="0"/>
    <x v="0"/>
    <x v="2"/>
    <n v="11"/>
    <n v="116520"/>
  </r>
  <r>
    <x v="7"/>
    <x v="0"/>
    <x v="0"/>
    <x v="3"/>
    <n v="42"/>
    <n v="87130"/>
  </r>
  <r>
    <x v="7"/>
    <x v="0"/>
    <x v="0"/>
    <x v="4"/>
    <n v="10"/>
    <n v="507170"/>
  </r>
  <r>
    <x v="7"/>
    <x v="0"/>
    <x v="0"/>
    <x v="5"/>
    <n v="3"/>
    <n v="51350"/>
  </r>
  <r>
    <x v="7"/>
    <x v="0"/>
    <x v="0"/>
    <x v="6"/>
    <n v="47"/>
    <n v="149520"/>
  </r>
  <r>
    <x v="7"/>
    <x v="0"/>
    <x v="0"/>
    <x v="7"/>
    <n v="2"/>
    <n v="148270"/>
  </r>
  <r>
    <x v="7"/>
    <x v="0"/>
    <x v="0"/>
    <x v="8"/>
    <n v="11"/>
    <n v="122200"/>
  </r>
  <r>
    <x v="7"/>
    <x v="0"/>
    <x v="0"/>
    <x v="9"/>
    <n v="2"/>
    <n v="107540"/>
  </r>
  <r>
    <x v="7"/>
    <x v="0"/>
    <x v="0"/>
    <x v="10"/>
    <n v="19"/>
    <n v="104090"/>
  </r>
  <r>
    <x v="7"/>
    <x v="0"/>
    <x v="0"/>
    <x v="31"/>
    <n v="5"/>
    <n v="93810"/>
  </r>
  <r>
    <x v="7"/>
    <x v="0"/>
    <x v="0"/>
    <x v="11"/>
    <n v="5"/>
    <n v="159380"/>
  </r>
  <r>
    <x v="7"/>
    <x v="0"/>
    <x v="0"/>
    <x v="12"/>
    <n v="16"/>
    <n v="370330"/>
  </r>
  <r>
    <x v="7"/>
    <x v="0"/>
    <x v="0"/>
    <x v="13"/>
    <n v="5"/>
    <n v="615070"/>
  </r>
  <r>
    <x v="7"/>
    <x v="0"/>
    <x v="0"/>
    <x v="14"/>
    <n v="188"/>
    <n v="234770"/>
  </r>
  <r>
    <x v="7"/>
    <x v="0"/>
    <x v="0"/>
    <x v="15"/>
    <n v="2"/>
    <n v="79160"/>
  </r>
  <r>
    <x v="7"/>
    <x v="0"/>
    <x v="0"/>
    <x v="16"/>
    <n v="10"/>
    <n v="88610"/>
  </r>
  <r>
    <x v="7"/>
    <x v="0"/>
    <x v="0"/>
    <x v="17"/>
    <n v="38"/>
    <n v="96070"/>
  </r>
  <r>
    <x v="7"/>
    <x v="0"/>
    <x v="0"/>
    <x v="18"/>
    <n v="39"/>
    <n v="26900"/>
  </r>
  <r>
    <x v="7"/>
    <x v="0"/>
    <x v="0"/>
    <x v="19"/>
    <n v="11"/>
    <n v="135890"/>
  </r>
  <r>
    <x v="7"/>
    <x v="0"/>
    <x v="0"/>
    <x v="20"/>
    <n v="8"/>
    <n v="339390"/>
  </r>
  <r>
    <x v="7"/>
    <x v="0"/>
    <x v="0"/>
    <x v="21"/>
    <n v="10"/>
    <n v="21850"/>
  </r>
  <r>
    <x v="7"/>
    <x v="0"/>
    <x v="0"/>
    <x v="22"/>
    <n v="47"/>
    <n v="150680"/>
  </r>
  <r>
    <x v="7"/>
    <x v="0"/>
    <x v="0"/>
    <x v="23"/>
    <n v="4"/>
    <n v="175930"/>
  </r>
  <r>
    <x v="7"/>
    <x v="0"/>
    <x v="0"/>
    <x v="24"/>
    <n v="47"/>
    <n v="114530"/>
  </r>
  <r>
    <x v="7"/>
    <x v="0"/>
    <x v="0"/>
    <x v="25"/>
    <n v="9"/>
    <n v="23200"/>
  </r>
  <r>
    <x v="7"/>
    <x v="0"/>
    <x v="0"/>
    <x v="26"/>
    <n v="19"/>
    <n v="112470"/>
  </r>
  <r>
    <x v="7"/>
    <x v="0"/>
    <x v="0"/>
    <x v="27"/>
    <n v="7"/>
    <n v="317100"/>
  </r>
  <r>
    <x v="7"/>
    <x v="0"/>
    <x v="0"/>
    <x v="28"/>
    <n v="15"/>
    <n v="93750"/>
  </r>
  <r>
    <x v="7"/>
    <x v="0"/>
    <x v="0"/>
    <x v="29"/>
    <n v="3"/>
    <n v="89860"/>
  </r>
  <r>
    <x v="7"/>
    <x v="0"/>
    <x v="0"/>
    <x v="30"/>
    <n v="9"/>
    <n v="180130"/>
  </r>
  <r>
    <x v="7"/>
    <x v="0"/>
    <x v="1"/>
    <x v="3"/>
    <n v="1"/>
    <n v="87130"/>
  </r>
  <r>
    <x v="7"/>
    <x v="0"/>
    <x v="1"/>
    <x v="8"/>
    <n v="1"/>
    <n v="122200"/>
  </r>
  <r>
    <x v="7"/>
    <x v="0"/>
    <x v="1"/>
    <x v="24"/>
    <n v="1"/>
    <n v="114530"/>
  </r>
  <r>
    <x v="7"/>
    <x v="1"/>
    <x v="0"/>
    <x v="0"/>
    <n v="300"/>
    <n v="229840"/>
  </r>
  <r>
    <x v="7"/>
    <x v="1"/>
    <x v="0"/>
    <x v="1"/>
    <n v="170"/>
    <n v="262190"/>
  </r>
  <r>
    <x v="7"/>
    <x v="1"/>
    <x v="0"/>
    <x v="2"/>
    <n v="93"/>
    <n v="116520"/>
  </r>
  <r>
    <x v="7"/>
    <x v="1"/>
    <x v="0"/>
    <x v="3"/>
    <n v="77"/>
    <n v="87130"/>
  </r>
  <r>
    <x v="7"/>
    <x v="1"/>
    <x v="0"/>
    <x v="4"/>
    <n v="490"/>
    <n v="507170"/>
  </r>
  <r>
    <x v="7"/>
    <x v="1"/>
    <x v="0"/>
    <x v="5"/>
    <n v="67"/>
    <n v="51350"/>
  </r>
  <r>
    <x v="7"/>
    <x v="1"/>
    <x v="0"/>
    <x v="6"/>
    <n v="105"/>
    <n v="149520"/>
  </r>
  <r>
    <x v="7"/>
    <x v="1"/>
    <x v="0"/>
    <x v="7"/>
    <n v="225"/>
    <n v="148270"/>
  </r>
  <r>
    <x v="7"/>
    <x v="1"/>
    <x v="0"/>
    <x v="8"/>
    <n v="138"/>
    <n v="122200"/>
  </r>
  <r>
    <x v="7"/>
    <x v="1"/>
    <x v="0"/>
    <x v="9"/>
    <n v="75"/>
    <n v="107540"/>
  </r>
  <r>
    <x v="7"/>
    <x v="1"/>
    <x v="0"/>
    <x v="10"/>
    <n v="52"/>
    <n v="104090"/>
  </r>
  <r>
    <x v="7"/>
    <x v="1"/>
    <x v="0"/>
    <x v="31"/>
    <n v="57"/>
    <n v="93810"/>
  </r>
  <r>
    <x v="7"/>
    <x v="1"/>
    <x v="0"/>
    <x v="11"/>
    <n v="107"/>
    <n v="159380"/>
  </r>
  <r>
    <x v="7"/>
    <x v="1"/>
    <x v="0"/>
    <x v="12"/>
    <n v="246"/>
    <n v="370330"/>
  </r>
  <r>
    <x v="7"/>
    <x v="1"/>
    <x v="0"/>
    <x v="13"/>
    <n v="811"/>
    <n v="615070"/>
  </r>
  <r>
    <x v="7"/>
    <x v="1"/>
    <x v="0"/>
    <x v="14"/>
    <n v="147"/>
    <n v="234770"/>
  </r>
  <r>
    <x v="7"/>
    <x v="1"/>
    <x v="0"/>
    <x v="15"/>
    <n v="119"/>
    <n v="79160"/>
  </r>
  <r>
    <x v="7"/>
    <x v="1"/>
    <x v="0"/>
    <x v="16"/>
    <n v="74"/>
    <n v="88610"/>
  </r>
  <r>
    <x v="7"/>
    <x v="1"/>
    <x v="0"/>
    <x v="17"/>
    <n v="51"/>
    <n v="96070"/>
  </r>
  <r>
    <x v="7"/>
    <x v="1"/>
    <x v="0"/>
    <x v="18"/>
    <n v="22"/>
    <n v="26900"/>
  </r>
  <r>
    <x v="7"/>
    <x v="1"/>
    <x v="0"/>
    <x v="19"/>
    <n v="156"/>
    <n v="135890"/>
  </r>
  <r>
    <x v="7"/>
    <x v="1"/>
    <x v="0"/>
    <x v="20"/>
    <n v="290"/>
    <n v="339390"/>
  </r>
  <r>
    <x v="7"/>
    <x v="1"/>
    <x v="0"/>
    <x v="21"/>
    <n v="7"/>
    <n v="21850"/>
  </r>
  <r>
    <x v="7"/>
    <x v="1"/>
    <x v="0"/>
    <x v="22"/>
    <n v="137"/>
    <n v="150680"/>
  </r>
  <r>
    <x v="7"/>
    <x v="1"/>
    <x v="0"/>
    <x v="23"/>
    <n v="178"/>
    <n v="175930"/>
  </r>
  <r>
    <x v="7"/>
    <x v="1"/>
    <x v="0"/>
    <x v="24"/>
    <n v="87"/>
    <n v="114530"/>
  </r>
  <r>
    <x v="7"/>
    <x v="1"/>
    <x v="0"/>
    <x v="25"/>
    <n v="7"/>
    <n v="23200"/>
  </r>
  <r>
    <x v="7"/>
    <x v="1"/>
    <x v="0"/>
    <x v="26"/>
    <n v="82"/>
    <n v="112470"/>
  </r>
  <r>
    <x v="7"/>
    <x v="1"/>
    <x v="0"/>
    <x v="27"/>
    <n v="222"/>
    <n v="317100"/>
  </r>
  <r>
    <x v="7"/>
    <x v="1"/>
    <x v="0"/>
    <x v="28"/>
    <n v="76"/>
    <n v="93750"/>
  </r>
  <r>
    <x v="7"/>
    <x v="1"/>
    <x v="0"/>
    <x v="29"/>
    <n v="130"/>
    <n v="89860"/>
  </r>
  <r>
    <x v="7"/>
    <x v="1"/>
    <x v="0"/>
    <x v="30"/>
    <n v="124"/>
    <n v="180130"/>
  </r>
  <r>
    <x v="7"/>
    <x v="1"/>
    <x v="1"/>
    <x v="0"/>
    <n v="50"/>
    <n v="229840"/>
  </r>
  <r>
    <x v="7"/>
    <x v="1"/>
    <x v="1"/>
    <x v="1"/>
    <n v="14"/>
    <n v="262190"/>
  </r>
  <r>
    <x v="7"/>
    <x v="1"/>
    <x v="1"/>
    <x v="2"/>
    <n v="5"/>
    <n v="116520"/>
  </r>
  <r>
    <x v="7"/>
    <x v="1"/>
    <x v="1"/>
    <x v="3"/>
    <n v="3"/>
    <n v="87130"/>
  </r>
  <r>
    <x v="7"/>
    <x v="1"/>
    <x v="1"/>
    <x v="4"/>
    <n v="89"/>
    <n v="507170"/>
  </r>
  <r>
    <x v="7"/>
    <x v="1"/>
    <x v="1"/>
    <x v="5"/>
    <n v="5"/>
    <n v="51350"/>
  </r>
  <r>
    <x v="7"/>
    <x v="1"/>
    <x v="1"/>
    <x v="6"/>
    <n v="13"/>
    <n v="149520"/>
  </r>
  <r>
    <x v="7"/>
    <x v="1"/>
    <x v="1"/>
    <x v="7"/>
    <n v="32"/>
    <n v="148270"/>
  </r>
  <r>
    <x v="7"/>
    <x v="1"/>
    <x v="1"/>
    <x v="8"/>
    <n v="8"/>
    <n v="122200"/>
  </r>
  <r>
    <x v="7"/>
    <x v="1"/>
    <x v="1"/>
    <x v="9"/>
    <n v="7"/>
    <n v="107540"/>
  </r>
  <r>
    <x v="7"/>
    <x v="1"/>
    <x v="1"/>
    <x v="10"/>
    <n v="7"/>
    <n v="104090"/>
  </r>
  <r>
    <x v="7"/>
    <x v="1"/>
    <x v="1"/>
    <x v="31"/>
    <n v="7"/>
    <n v="93810"/>
  </r>
  <r>
    <x v="7"/>
    <x v="1"/>
    <x v="1"/>
    <x v="11"/>
    <n v="10"/>
    <n v="159380"/>
  </r>
  <r>
    <x v="7"/>
    <x v="1"/>
    <x v="1"/>
    <x v="12"/>
    <n v="26"/>
    <n v="370330"/>
  </r>
  <r>
    <x v="7"/>
    <x v="1"/>
    <x v="1"/>
    <x v="13"/>
    <n v="118"/>
    <n v="615070"/>
  </r>
  <r>
    <x v="7"/>
    <x v="1"/>
    <x v="1"/>
    <x v="14"/>
    <n v="9"/>
    <n v="234770"/>
  </r>
  <r>
    <x v="7"/>
    <x v="1"/>
    <x v="1"/>
    <x v="15"/>
    <n v="12"/>
    <n v="79160"/>
  </r>
  <r>
    <x v="7"/>
    <x v="1"/>
    <x v="1"/>
    <x v="16"/>
    <n v="3"/>
    <n v="88610"/>
  </r>
  <r>
    <x v="7"/>
    <x v="1"/>
    <x v="1"/>
    <x v="17"/>
    <n v="4"/>
    <n v="96070"/>
  </r>
  <r>
    <x v="7"/>
    <x v="1"/>
    <x v="1"/>
    <x v="19"/>
    <n v="11"/>
    <n v="135890"/>
  </r>
  <r>
    <x v="7"/>
    <x v="1"/>
    <x v="1"/>
    <x v="20"/>
    <n v="63"/>
    <n v="339390"/>
  </r>
  <r>
    <x v="7"/>
    <x v="1"/>
    <x v="1"/>
    <x v="22"/>
    <n v="9"/>
    <n v="150680"/>
  </r>
  <r>
    <x v="7"/>
    <x v="1"/>
    <x v="1"/>
    <x v="23"/>
    <n v="27"/>
    <n v="175930"/>
  </r>
  <r>
    <x v="7"/>
    <x v="1"/>
    <x v="1"/>
    <x v="24"/>
    <n v="4"/>
    <n v="114530"/>
  </r>
  <r>
    <x v="7"/>
    <x v="1"/>
    <x v="1"/>
    <x v="25"/>
    <n v="2"/>
    <n v="23200"/>
  </r>
  <r>
    <x v="7"/>
    <x v="1"/>
    <x v="1"/>
    <x v="26"/>
    <n v="15"/>
    <n v="112470"/>
  </r>
  <r>
    <x v="7"/>
    <x v="1"/>
    <x v="1"/>
    <x v="27"/>
    <n v="28"/>
    <n v="317100"/>
  </r>
  <r>
    <x v="7"/>
    <x v="1"/>
    <x v="1"/>
    <x v="28"/>
    <n v="10"/>
    <n v="93750"/>
  </r>
  <r>
    <x v="7"/>
    <x v="1"/>
    <x v="1"/>
    <x v="29"/>
    <n v="13"/>
    <n v="89860"/>
  </r>
  <r>
    <x v="7"/>
    <x v="1"/>
    <x v="1"/>
    <x v="30"/>
    <n v="14"/>
    <n v="180130"/>
  </r>
  <r>
    <x v="7"/>
    <x v="2"/>
    <x v="0"/>
    <x v="0"/>
    <n v="97"/>
    <n v="229840"/>
  </r>
  <r>
    <x v="7"/>
    <x v="2"/>
    <x v="0"/>
    <x v="1"/>
    <n v="78"/>
    <n v="262190"/>
  </r>
  <r>
    <x v="7"/>
    <x v="2"/>
    <x v="0"/>
    <x v="2"/>
    <n v="22"/>
    <n v="116520"/>
  </r>
  <r>
    <x v="7"/>
    <x v="2"/>
    <x v="0"/>
    <x v="3"/>
    <n v="31"/>
    <n v="87130"/>
  </r>
  <r>
    <x v="7"/>
    <x v="2"/>
    <x v="0"/>
    <x v="4"/>
    <n v="200"/>
    <n v="507170"/>
  </r>
  <r>
    <x v="7"/>
    <x v="2"/>
    <x v="0"/>
    <x v="5"/>
    <n v="20"/>
    <n v="51350"/>
  </r>
  <r>
    <x v="7"/>
    <x v="2"/>
    <x v="0"/>
    <x v="6"/>
    <n v="44"/>
    <n v="149520"/>
  </r>
  <r>
    <x v="7"/>
    <x v="2"/>
    <x v="0"/>
    <x v="7"/>
    <n v="52"/>
    <n v="148270"/>
  </r>
  <r>
    <x v="7"/>
    <x v="2"/>
    <x v="0"/>
    <x v="8"/>
    <n v="35"/>
    <n v="122200"/>
  </r>
  <r>
    <x v="7"/>
    <x v="2"/>
    <x v="0"/>
    <x v="9"/>
    <n v="24"/>
    <n v="107540"/>
  </r>
  <r>
    <x v="7"/>
    <x v="2"/>
    <x v="0"/>
    <x v="10"/>
    <n v="34"/>
    <n v="104090"/>
  </r>
  <r>
    <x v="7"/>
    <x v="2"/>
    <x v="0"/>
    <x v="31"/>
    <n v="11"/>
    <n v="93810"/>
  </r>
  <r>
    <x v="7"/>
    <x v="2"/>
    <x v="0"/>
    <x v="11"/>
    <n v="51"/>
    <n v="159380"/>
  </r>
  <r>
    <x v="7"/>
    <x v="2"/>
    <x v="0"/>
    <x v="12"/>
    <n v="93"/>
    <n v="370330"/>
  </r>
  <r>
    <x v="7"/>
    <x v="2"/>
    <x v="0"/>
    <x v="13"/>
    <n v="298"/>
    <n v="615070"/>
  </r>
  <r>
    <x v="7"/>
    <x v="2"/>
    <x v="0"/>
    <x v="14"/>
    <n v="85"/>
    <n v="234770"/>
  </r>
  <r>
    <x v="7"/>
    <x v="2"/>
    <x v="0"/>
    <x v="15"/>
    <n v="23"/>
    <n v="79160"/>
  </r>
  <r>
    <x v="7"/>
    <x v="2"/>
    <x v="0"/>
    <x v="16"/>
    <n v="18"/>
    <n v="88610"/>
  </r>
  <r>
    <x v="7"/>
    <x v="2"/>
    <x v="0"/>
    <x v="17"/>
    <n v="23"/>
    <n v="96070"/>
  </r>
  <r>
    <x v="7"/>
    <x v="2"/>
    <x v="0"/>
    <x v="18"/>
    <n v="5"/>
    <n v="26900"/>
  </r>
  <r>
    <x v="7"/>
    <x v="2"/>
    <x v="0"/>
    <x v="19"/>
    <n v="30"/>
    <n v="135890"/>
  </r>
  <r>
    <x v="7"/>
    <x v="2"/>
    <x v="0"/>
    <x v="20"/>
    <n v="72"/>
    <n v="339390"/>
  </r>
  <r>
    <x v="7"/>
    <x v="2"/>
    <x v="0"/>
    <x v="21"/>
    <n v="4"/>
    <n v="21850"/>
  </r>
  <r>
    <x v="7"/>
    <x v="2"/>
    <x v="0"/>
    <x v="22"/>
    <n v="62"/>
    <n v="150680"/>
  </r>
  <r>
    <x v="7"/>
    <x v="2"/>
    <x v="0"/>
    <x v="23"/>
    <n v="57"/>
    <n v="175930"/>
  </r>
  <r>
    <x v="7"/>
    <x v="2"/>
    <x v="0"/>
    <x v="24"/>
    <n v="31"/>
    <n v="114530"/>
  </r>
  <r>
    <x v="7"/>
    <x v="2"/>
    <x v="0"/>
    <x v="25"/>
    <n v="8"/>
    <n v="23200"/>
  </r>
  <r>
    <x v="7"/>
    <x v="2"/>
    <x v="0"/>
    <x v="26"/>
    <n v="35"/>
    <n v="112470"/>
  </r>
  <r>
    <x v="7"/>
    <x v="2"/>
    <x v="0"/>
    <x v="27"/>
    <n v="73"/>
    <n v="317100"/>
  </r>
  <r>
    <x v="7"/>
    <x v="2"/>
    <x v="0"/>
    <x v="28"/>
    <n v="25"/>
    <n v="93750"/>
  </r>
  <r>
    <x v="7"/>
    <x v="2"/>
    <x v="0"/>
    <x v="29"/>
    <n v="30"/>
    <n v="89860"/>
  </r>
  <r>
    <x v="7"/>
    <x v="2"/>
    <x v="0"/>
    <x v="30"/>
    <n v="49"/>
    <n v="180130"/>
  </r>
  <r>
    <x v="7"/>
    <x v="2"/>
    <x v="1"/>
    <x v="0"/>
    <n v="11"/>
    <n v="229840"/>
  </r>
  <r>
    <x v="7"/>
    <x v="2"/>
    <x v="1"/>
    <x v="1"/>
    <n v="10"/>
    <n v="262190"/>
  </r>
  <r>
    <x v="7"/>
    <x v="2"/>
    <x v="1"/>
    <x v="2"/>
    <n v="6"/>
    <n v="116520"/>
  </r>
  <r>
    <x v="7"/>
    <x v="2"/>
    <x v="1"/>
    <x v="4"/>
    <n v="59"/>
    <n v="507170"/>
  </r>
  <r>
    <x v="7"/>
    <x v="2"/>
    <x v="1"/>
    <x v="6"/>
    <n v="10"/>
    <n v="149520"/>
  </r>
  <r>
    <x v="7"/>
    <x v="2"/>
    <x v="1"/>
    <x v="7"/>
    <n v="15"/>
    <n v="148270"/>
  </r>
  <r>
    <x v="7"/>
    <x v="2"/>
    <x v="1"/>
    <x v="8"/>
    <n v="20"/>
    <n v="122200"/>
  </r>
  <r>
    <x v="7"/>
    <x v="2"/>
    <x v="1"/>
    <x v="9"/>
    <n v="12"/>
    <n v="107540"/>
  </r>
  <r>
    <x v="7"/>
    <x v="2"/>
    <x v="1"/>
    <x v="10"/>
    <n v="10"/>
    <n v="104090"/>
  </r>
  <r>
    <x v="7"/>
    <x v="2"/>
    <x v="1"/>
    <x v="31"/>
    <n v="7"/>
    <n v="93810"/>
  </r>
  <r>
    <x v="7"/>
    <x v="2"/>
    <x v="1"/>
    <x v="11"/>
    <n v="14"/>
    <n v="159380"/>
  </r>
  <r>
    <x v="7"/>
    <x v="2"/>
    <x v="1"/>
    <x v="12"/>
    <n v="52"/>
    <n v="370330"/>
  </r>
  <r>
    <x v="7"/>
    <x v="2"/>
    <x v="1"/>
    <x v="13"/>
    <n v="97"/>
    <n v="615070"/>
  </r>
  <r>
    <x v="7"/>
    <x v="2"/>
    <x v="1"/>
    <x v="14"/>
    <n v="6"/>
    <n v="234770"/>
  </r>
  <r>
    <x v="7"/>
    <x v="2"/>
    <x v="1"/>
    <x v="15"/>
    <n v="9"/>
    <n v="79160"/>
  </r>
  <r>
    <x v="7"/>
    <x v="2"/>
    <x v="1"/>
    <x v="16"/>
    <n v="14"/>
    <n v="88610"/>
  </r>
  <r>
    <x v="7"/>
    <x v="2"/>
    <x v="1"/>
    <x v="17"/>
    <n v="6"/>
    <n v="96070"/>
  </r>
  <r>
    <x v="7"/>
    <x v="2"/>
    <x v="1"/>
    <x v="19"/>
    <n v="13"/>
    <n v="135890"/>
  </r>
  <r>
    <x v="7"/>
    <x v="2"/>
    <x v="1"/>
    <x v="20"/>
    <n v="40"/>
    <n v="339390"/>
  </r>
  <r>
    <x v="7"/>
    <x v="2"/>
    <x v="1"/>
    <x v="21"/>
    <n v="1"/>
    <n v="21850"/>
  </r>
  <r>
    <x v="7"/>
    <x v="2"/>
    <x v="1"/>
    <x v="22"/>
    <n v="8"/>
    <n v="150680"/>
  </r>
  <r>
    <x v="7"/>
    <x v="2"/>
    <x v="1"/>
    <x v="23"/>
    <n v="21"/>
    <n v="175930"/>
  </r>
  <r>
    <x v="7"/>
    <x v="2"/>
    <x v="1"/>
    <x v="24"/>
    <n v="11"/>
    <n v="114530"/>
  </r>
  <r>
    <x v="7"/>
    <x v="2"/>
    <x v="1"/>
    <x v="26"/>
    <n v="9"/>
    <n v="112470"/>
  </r>
  <r>
    <x v="7"/>
    <x v="2"/>
    <x v="1"/>
    <x v="27"/>
    <n v="38"/>
    <n v="317100"/>
  </r>
  <r>
    <x v="7"/>
    <x v="2"/>
    <x v="1"/>
    <x v="28"/>
    <n v="19"/>
    <n v="93750"/>
  </r>
  <r>
    <x v="7"/>
    <x v="2"/>
    <x v="1"/>
    <x v="29"/>
    <n v="14"/>
    <n v="89860"/>
  </r>
  <r>
    <x v="7"/>
    <x v="2"/>
    <x v="1"/>
    <x v="30"/>
    <n v="25"/>
    <n v="180130"/>
  </r>
  <r>
    <x v="7"/>
    <x v="3"/>
    <x v="0"/>
    <x v="0"/>
    <n v="33"/>
    <n v="229840"/>
  </r>
  <r>
    <x v="7"/>
    <x v="3"/>
    <x v="0"/>
    <x v="1"/>
    <n v="73"/>
    <n v="262190"/>
  </r>
  <r>
    <x v="7"/>
    <x v="3"/>
    <x v="0"/>
    <x v="2"/>
    <n v="39"/>
    <n v="116520"/>
  </r>
  <r>
    <x v="7"/>
    <x v="3"/>
    <x v="0"/>
    <x v="3"/>
    <n v="23"/>
    <n v="87130"/>
  </r>
  <r>
    <x v="7"/>
    <x v="3"/>
    <x v="0"/>
    <x v="4"/>
    <n v="68"/>
    <n v="507170"/>
  </r>
  <r>
    <x v="7"/>
    <x v="3"/>
    <x v="0"/>
    <x v="5"/>
    <n v="8"/>
    <n v="51350"/>
  </r>
  <r>
    <x v="7"/>
    <x v="3"/>
    <x v="0"/>
    <x v="6"/>
    <n v="39"/>
    <n v="149520"/>
  </r>
  <r>
    <x v="7"/>
    <x v="3"/>
    <x v="0"/>
    <x v="7"/>
    <n v="28"/>
    <n v="148270"/>
  </r>
  <r>
    <x v="7"/>
    <x v="3"/>
    <x v="0"/>
    <x v="8"/>
    <n v="26"/>
    <n v="122200"/>
  </r>
  <r>
    <x v="7"/>
    <x v="3"/>
    <x v="0"/>
    <x v="9"/>
    <n v="16"/>
    <n v="107540"/>
  </r>
  <r>
    <x v="7"/>
    <x v="3"/>
    <x v="0"/>
    <x v="10"/>
    <n v="23"/>
    <n v="104090"/>
  </r>
  <r>
    <x v="7"/>
    <x v="3"/>
    <x v="0"/>
    <x v="31"/>
    <n v="10"/>
    <n v="93810"/>
  </r>
  <r>
    <x v="7"/>
    <x v="3"/>
    <x v="0"/>
    <x v="11"/>
    <n v="37"/>
    <n v="159380"/>
  </r>
  <r>
    <x v="7"/>
    <x v="3"/>
    <x v="0"/>
    <x v="12"/>
    <n v="78"/>
    <n v="370330"/>
  </r>
  <r>
    <x v="7"/>
    <x v="3"/>
    <x v="0"/>
    <x v="13"/>
    <n v="126"/>
    <n v="615070"/>
  </r>
  <r>
    <x v="7"/>
    <x v="3"/>
    <x v="0"/>
    <x v="14"/>
    <n v="79"/>
    <n v="234770"/>
  </r>
  <r>
    <x v="7"/>
    <x v="3"/>
    <x v="0"/>
    <x v="15"/>
    <n v="17"/>
    <n v="79160"/>
  </r>
  <r>
    <x v="7"/>
    <x v="3"/>
    <x v="0"/>
    <x v="16"/>
    <n v="22"/>
    <n v="88610"/>
  </r>
  <r>
    <x v="7"/>
    <x v="3"/>
    <x v="0"/>
    <x v="17"/>
    <n v="32"/>
    <n v="96070"/>
  </r>
  <r>
    <x v="7"/>
    <x v="3"/>
    <x v="0"/>
    <x v="18"/>
    <n v="1"/>
    <n v="26900"/>
  </r>
  <r>
    <x v="7"/>
    <x v="3"/>
    <x v="0"/>
    <x v="19"/>
    <n v="21"/>
    <n v="135890"/>
  </r>
  <r>
    <x v="7"/>
    <x v="3"/>
    <x v="0"/>
    <x v="20"/>
    <n v="87"/>
    <n v="339390"/>
  </r>
  <r>
    <x v="7"/>
    <x v="3"/>
    <x v="0"/>
    <x v="21"/>
    <n v="7"/>
    <n v="21850"/>
  </r>
  <r>
    <x v="7"/>
    <x v="3"/>
    <x v="0"/>
    <x v="22"/>
    <n v="42"/>
    <n v="150680"/>
  </r>
  <r>
    <x v="7"/>
    <x v="3"/>
    <x v="0"/>
    <x v="23"/>
    <n v="39"/>
    <n v="175930"/>
  </r>
  <r>
    <x v="7"/>
    <x v="3"/>
    <x v="0"/>
    <x v="24"/>
    <n v="31"/>
    <n v="114530"/>
  </r>
  <r>
    <x v="7"/>
    <x v="3"/>
    <x v="0"/>
    <x v="25"/>
    <n v="3"/>
    <n v="23200"/>
  </r>
  <r>
    <x v="7"/>
    <x v="3"/>
    <x v="0"/>
    <x v="26"/>
    <n v="24"/>
    <n v="112470"/>
  </r>
  <r>
    <x v="7"/>
    <x v="3"/>
    <x v="0"/>
    <x v="27"/>
    <n v="87"/>
    <n v="317100"/>
  </r>
  <r>
    <x v="7"/>
    <x v="3"/>
    <x v="0"/>
    <x v="28"/>
    <n v="36"/>
    <n v="93750"/>
  </r>
  <r>
    <x v="7"/>
    <x v="3"/>
    <x v="0"/>
    <x v="29"/>
    <n v="16"/>
    <n v="89860"/>
  </r>
  <r>
    <x v="7"/>
    <x v="3"/>
    <x v="0"/>
    <x v="30"/>
    <n v="40"/>
    <n v="180130"/>
  </r>
  <r>
    <x v="7"/>
    <x v="3"/>
    <x v="1"/>
    <x v="0"/>
    <n v="51"/>
    <n v="229840"/>
  </r>
  <r>
    <x v="7"/>
    <x v="3"/>
    <x v="1"/>
    <x v="1"/>
    <n v="16"/>
    <n v="262190"/>
  </r>
  <r>
    <x v="7"/>
    <x v="3"/>
    <x v="1"/>
    <x v="2"/>
    <n v="8"/>
    <n v="116520"/>
  </r>
  <r>
    <x v="7"/>
    <x v="3"/>
    <x v="1"/>
    <x v="3"/>
    <n v="3"/>
    <n v="87130"/>
  </r>
  <r>
    <x v="7"/>
    <x v="3"/>
    <x v="1"/>
    <x v="4"/>
    <n v="145"/>
    <n v="507170"/>
  </r>
  <r>
    <x v="7"/>
    <x v="3"/>
    <x v="1"/>
    <x v="5"/>
    <n v="5"/>
    <n v="51350"/>
  </r>
  <r>
    <x v="7"/>
    <x v="3"/>
    <x v="1"/>
    <x v="6"/>
    <n v="15"/>
    <n v="149520"/>
  </r>
  <r>
    <x v="7"/>
    <x v="3"/>
    <x v="1"/>
    <x v="7"/>
    <n v="11"/>
    <n v="148270"/>
  </r>
  <r>
    <x v="7"/>
    <x v="3"/>
    <x v="1"/>
    <x v="8"/>
    <n v="20"/>
    <n v="122200"/>
  </r>
  <r>
    <x v="7"/>
    <x v="3"/>
    <x v="1"/>
    <x v="9"/>
    <n v="22"/>
    <n v="107540"/>
  </r>
  <r>
    <x v="7"/>
    <x v="3"/>
    <x v="1"/>
    <x v="10"/>
    <n v="4"/>
    <n v="104090"/>
  </r>
  <r>
    <x v="7"/>
    <x v="3"/>
    <x v="1"/>
    <x v="31"/>
    <n v="6"/>
    <n v="93810"/>
  </r>
  <r>
    <x v="7"/>
    <x v="3"/>
    <x v="1"/>
    <x v="11"/>
    <n v="13"/>
    <n v="159380"/>
  </r>
  <r>
    <x v="7"/>
    <x v="3"/>
    <x v="1"/>
    <x v="12"/>
    <n v="25"/>
    <n v="370330"/>
  </r>
  <r>
    <x v="7"/>
    <x v="3"/>
    <x v="1"/>
    <x v="13"/>
    <n v="193"/>
    <n v="615070"/>
  </r>
  <r>
    <x v="7"/>
    <x v="3"/>
    <x v="1"/>
    <x v="14"/>
    <n v="10"/>
    <n v="234770"/>
  </r>
  <r>
    <x v="7"/>
    <x v="3"/>
    <x v="1"/>
    <x v="15"/>
    <n v="26"/>
    <n v="79160"/>
  </r>
  <r>
    <x v="7"/>
    <x v="3"/>
    <x v="1"/>
    <x v="16"/>
    <n v="23"/>
    <n v="88610"/>
  </r>
  <r>
    <x v="7"/>
    <x v="3"/>
    <x v="1"/>
    <x v="17"/>
    <n v="4"/>
    <n v="96070"/>
  </r>
  <r>
    <x v="7"/>
    <x v="3"/>
    <x v="1"/>
    <x v="19"/>
    <n v="11"/>
    <n v="135890"/>
  </r>
  <r>
    <x v="7"/>
    <x v="3"/>
    <x v="1"/>
    <x v="20"/>
    <n v="90"/>
    <n v="339390"/>
  </r>
  <r>
    <x v="7"/>
    <x v="3"/>
    <x v="1"/>
    <x v="21"/>
    <n v="1"/>
    <n v="21850"/>
  </r>
  <r>
    <x v="7"/>
    <x v="3"/>
    <x v="1"/>
    <x v="22"/>
    <n v="7"/>
    <n v="150680"/>
  </r>
  <r>
    <x v="7"/>
    <x v="3"/>
    <x v="1"/>
    <x v="23"/>
    <n v="36"/>
    <n v="175930"/>
  </r>
  <r>
    <x v="7"/>
    <x v="3"/>
    <x v="1"/>
    <x v="24"/>
    <n v="5"/>
    <n v="114530"/>
  </r>
  <r>
    <x v="7"/>
    <x v="3"/>
    <x v="1"/>
    <x v="26"/>
    <n v="6"/>
    <n v="112470"/>
  </r>
  <r>
    <x v="7"/>
    <x v="3"/>
    <x v="1"/>
    <x v="27"/>
    <n v="80"/>
    <n v="317100"/>
  </r>
  <r>
    <x v="7"/>
    <x v="3"/>
    <x v="1"/>
    <x v="28"/>
    <n v="8"/>
    <n v="93750"/>
  </r>
  <r>
    <x v="7"/>
    <x v="3"/>
    <x v="1"/>
    <x v="29"/>
    <n v="34"/>
    <n v="89860"/>
  </r>
  <r>
    <x v="7"/>
    <x v="3"/>
    <x v="1"/>
    <x v="30"/>
    <n v="31"/>
    <n v="180130"/>
  </r>
  <r>
    <x v="7"/>
    <x v="4"/>
    <x v="0"/>
    <x v="0"/>
    <n v="9"/>
    <n v="229840"/>
  </r>
  <r>
    <x v="7"/>
    <x v="4"/>
    <x v="0"/>
    <x v="1"/>
    <n v="23"/>
    <n v="262190"/>
  </r>
  <r>
    <x v="7"/>
    <x v="4"/>
    <x v="0"/>
    <x v="2"/>
    <n v="9"/>
    <n v="116520"/>
  </r>
  <r>
    <x v="7"/>
    <x v="4"/>
    <x v="0"/>
    <x v="3"/>
    <n v="10"/>
    <n v="87130"/>
  </r>
  <r>
    <x v="7"/>
    <x v="4"/>
    <x v="0"/>
    <x v="4"/>
    <n v="33"/>
    <n v="507170"/>
  </r>
  <r>
    <x v="7"/>
    <x v="4"/>
    <x v="0"/>
    <x v="5"/>
    <n v="1"/>
    <n v="51350"/>
  </r>
  <r>
    <x v="7"/>
    <x v="4"/>
    <x v="0"/>
    <x v="6"/>
    <n v="14"/>
    <n v="149520"/>
  </r>
  <r>
    <x v="7"/>
    <x v="4"/>
    <x v="0"/>
    <x v="7"/>
    <n v="6"/>
    <n v="148270"/>
  </r>
  <r>
    <x v="7"/>
    <x v="4"/>
    <x v="0"/>
    <x v="8"/>
    <n v="3"/>
    <n v="122200"/>
  </r>
  <r>
    <x v="7"/>
    <x v="4"/>
    <x v="0"/>
    <x v="9"/>
    <n v="2"/>
    <n v="107540"/>
  </r>
  <r>
    <x v="7"/>
    <x v="4"/>
    <x v="0"/>
    <x v="10"/>
    <n v="7"/>
    <n v="104090"/>
  </r>
  <r>
    <x v="7"/>
    <x v="4"/>
    <x v="0"/>
    <x v="31"/>
    <n v="2"/>
    <n v="93810"/>
  </r>
  <r>
    <x v="7"/>
    <x v="4"/>
    <x v="0"/>
    <x v="11"/>
    <n v="7"/>
    <n v="159380"/>
  </r>
  <r>
    <x v="7"/>
    <x v="4"/>
    <x v="0"/>
    <x v="12"/>
    <n v="34"/>
    <n v="370330"/>
  </r>
  <r>
    <x v="7"/>
    <x v="4"/>
    <x v="0"/>
    <x v="13"/>
    <n v="21"/>
    <n v="615070"/>
  </r>
  <r>
    <x v="7"/>
    <x v="4"/>
    <x v="0"/>
    <x v="14"/>
    <n v="29"/>
    <n v="234770"/>
  </r>
  <r>
    <x v="7"/>
    <x v="4"/>
    <x v="0"/>
    <x v="15"/>
    <n v="3"/>
    <n v="79160"/>
  </r>
  <r>
    <x v="7"/>
    <x v="4"/>
    <x v="0"/>
    <x v="16"/>
    <n v="12"/>
    <n v="88610"/>
  </r>
  <r>
    <x v="7"/>
    <x v="4"/>
    <x v="0"/>
    <x v="17"/>
    <n v="4"/>
    <n v="96070"/>
  </r>
  <r>
    <x v="7"/>
    <x v="4"/>
    <x v="0"/>
    <x v="18"/>
    <n v="6"/>
    <n v="26900"/>
  </r>
  <r>
    <x v="7"/>
    <x v="4"/>
    <x v="0"/>
    <x v="19"/>
    <n v="13"/>
    <n v="135890"/>
  </r>
  <r>
    <x v="7"/>
    <x v="4"/>
    <x v="0"/>
    <x v="20"/>
    <n v="14"/>
    <n v="339390"/>
  </r>
  <r>
    <x v="7"/>
    <x v="4"/>
    <x v="0"/>
    <x v="21"/>
    <n v="3"/>
    <n v="21850"/>
  </r>
  <r>
    <x v="7"/>
    <x v="4"/>
    <x v="0"/>
    <x v="22"/>
    <n v="14"/>
    <n v="150680"/>
  </r>
  <r>
    <x v="7"/>
    <x v="4"/>
    <x v="0"/>
    <x v="23"/>
    <n v="2"/>
    <n v="175930"/>
  </r>
  <r>
    <x v="7"/>
    <x v="4"/>
    <x v="0"/>
    <x v="24"/>
    <n v="13"/>
    <n v="114530"/>
  </r>
  <r>
    <x v="7"/>
    <x v="4"/>
    <x v="0"/>
    <x v="25"/>
    <n v="6"/>
    <n v="23200"/>
  </r>
  <r>
    <x v="7"/>
    <x v="4"/>
    <x v="0"/>
    <x v="26"/>
    <n v="11"/>
    <n v="112470"/>
  </r>
  <r>
    <x v="7"/>
    <x v="4"/>
    <x v="0"/>
    <x v="27"/>
    <n v="7"/>
    <n v="317100"/>
  </r>
  <r>
    <x v="7"/>
    <x v="4"/>
    <x v="0"/>
    <x v="28"/>
    <n v="14"/>
    <n v="93750"/>
  </r>
  <r>
    <x v="7"/>
    <x v="4"/>
    <x v="0"/>
    <x v="29"/>
    <n v="3"/>
    <n v="89860"/>
  </r>
  <r>
    <x v="7"/>
    <x v="4"/>
    <x v="0"/>
    <x v="30"/>
    <n v="11"/>
    <n v="180130"/>
  </r>
  <r>
    <x v="7"/>
    <x v="4"/>
    <x v="1"/>
    <x v="0"/>
    <n v="13"/>
    <n v="229840"/>
  </r>
  <r>
    <x v="7"/>
    <x v="4"/>
    <x v="1"/>
    <x v="1"/>
    <n v="15"/>
    <n v="262190"/>
  </r>
  <r>
    <x v="7"/>
    <x v="4"/>
    <x v="1"/>
    <x v="2"/>
    <n v="4"/>
    <n v="116520"/>
  </r>
  <r>
    <x v="7"/>
    <x v="4"/>
    <x v="1"/>
    <x v="3"/>
    <n v="3"/>
    <n v="87130"/>
  </r>
  <r>
    <x v="7"/>
    <x v="4"/>
    <x v="1"/>
    <x v="4"/>
    <n v="85"/>
    <n v="507170"/>
  </r>
  <r>
    <x v="7"/>
    <x v="4"/>
    <x v="1"/>
    <x v="5"/>
    <n v="3"/>
    <n v="51350"/>
  </r>
  <r>
    <x v="7"/>
    <x v="4"/>
    <x v="1"/>
    <x v="6"/>
    <n v="6"/>
    <n v="149520"/>
  </r>
  <r>
    <x v="7"/>
    <x v="4"/>
    <x v="1"/>
    <x v="7"/>
    <n v="13"/>
    <n v="148270"/>
  </r>
  <r>
    <x v="7"/>
    <x v="4"/>
    <x v="1"/>
    <x v="8"/>
    <n v="5"/>
    <n v="122200"/>
  </r>
  <r>
    <x v="7"/>
    <x v="4"/>
    <x v="1"/>
    <x v="9"/>
    <n v="8"/>
    <n v="107540"/>
  </r>
  <r>
    <x v="7"/>
    <x v="4"/>
    <x v="1"/>
    <x v="10"/>
    <n v="18"/>
    <n v="104090"/>
  </r>
  <r>
    <x v="7"/>
    <x v="4"/>
    <x v="1"/>
    <x v="31"/>
    <n v="6"/>
    <n v="93810"/>
  </r>
  <r>
    <x v="7"/>
    <x v="4"/>
    <x v="1"/>
    <x v="11"/>
    <n v="42"/>
    <n v="159380"/>
  </r>
  <r>
    <x v="7"/>
    <x v="4"/>
    <x v="1"/>
    <x v="12"/>
    <n v="77"/>
    <n v="370330"/>
  </r>
  <r>
    <x v="7"/>
    <x v="4"/>
    <x v="1"/>
    <x v="13"/>
    <n v="44"/>
    <n v="615070"/>
  </r>
  <r>
    <x v="7"/>
    <x v="4"/>
    <x v="1"/>
    <x v="14"/>
    <n v="7"/>
    <n v="234770"/>
  </r>
  <r>
    <x v="7"/>
    <x v="4"/>
    <x v="1"/>
    <x v="15"/>
    <n v="6"/>
    <n v="79160"/>
  </r>
  <r>
    <x v="7"/>
    <x v="4"/>
    <x v="1"/>
    <x v="16"/>
    <n v="38"/>
    <n v="88610"/>
  </r>
  <r>
    <x v="7"/>
    <x v="4"/>
    <x v="1"/>
    <x v="17"/>
    <n v="4"/>
    <n v="96070"/>
  </r>
  <r>
    <x v="7"/>
    <x v="4"/>
    <x v="1"/>
    <x v="18"/>
    <n v="1"/>
    <n v="26900"/>
  </r>
  <r>
    <x v="7"/>
    <x v="4"/>
    <x v="1"/>
    <x v="19"/>
    <n v="14"/>
    <n v="135890"/>
  </r>
  <r>
    <x v="7"/>
    <x v="4"/>
    <x v="1"/>
    <x v="20"/>
    <n v="31"/>
    <n v="339390"/>
  </r>
  <r>
    <x v="7"/>
    <x v="4"/>
    <x v="1"/>
    <x v="22"/>
    <n v="9"/>
    <n v="150680"/>
  </r>
  <r>
    <x v="7"/>
    <x v="4"/>
    <x v="1"/>
    <x v="23"/>
    <n v="25"/>
    <n v="175930"/>
  </r>
  <r>
    <x v="7"/>
    <x v="4"/>
    <x v="1"/>
    <x v="24"/>
    <n v="13"/>
    <n v="114530"/>
  </r>
  <r>
    <x v="7"/>
    <x v="4"/>
    <x v="1"/>
    <x v="26"/>
    <n v="6"/>
    <n v="112470"/>
  </r>
  <r>
    <x v="7"/>
    <x v="4"/>
    <x v="1"/>
    <x v="27"/>
    <n v="23"/>
    <n v="317100"/>
  </r>
  <r>
    <x v="7"/>
    <x v="4"/>
    <x v="1"/>
    <x v="28"/>
    <n v="16"/>
    <n v="93750"/>
  </r>
  <r>
    <x v="7"/>
    <x v="4"/>
    <x v="1"/>
    <x v="29"/>
    <n v="20"/>
    <n v="89860"/>
  </r>
  <r>
    <x v="7"/>
    <x v="4"/>
    <x v="1"/>
    <x v="30"/>
    <n v="56"/>
    <n v="180130"/>
  </r>
  <r>
    <x v="7"/>
    <x v="5"/>
    <x v="0"/>
    <x v="0"/>
    <n v="94"/>
    <n v="229840"/>
  </r>
  <r>
    <x v="7"/>
    <x v="5"/>
    <x v="0"/>
    <x v="1"/>
    <n v="135"/>
    <n v="262190"/>
  </r>
  <r>
    <x v="7"/>
    <x v="5"/>
    <x v="0"/>
    <x v="2"/>
    <n v="46"/>
    <n v="116520"/>
  </r>
  <r>
    <x v="7"/>
    <x v="5"/>
    <x v="0"/>
    <x v="3"/>
    <n v="59"/>
    <n v="87130"/>
  </r>
  <r>
    <x v="7"/>
    <x v="5"/>
    <x v="0"/>
    <x v="4"/>
    <n v="566"/>
    <n v="507170"/>
  </r>
  <r>
    <x v="7"/>
    <x v="5"/>
    <x v="0"/>
    <x v="5"/>
    <n v="21"/>
    <n v="51350"/>
  </r>
  <r>
    <x v="7"/>
    <x v="5"/>
    <x v="0"/>
    <x v="6"/>
    <n v="53"/>
    <n v="149520"/>
  </r>
  <r>
    <x v="7"/>
    <x v="5"/>
    <x v="0"/>
    <x v="7"/>
    <n v="122"/>
    <n v="148270"/>
  </r>
  <r>
    <x v="7"/>
    <x v="5"/>
    <x v="0"/>
    <x v="8"/>
    <n v="14"/>
    <n v="122200"/>
  </r>
  <r>
    <x v="7"/>
    <x v="5"/>
    <x v="0"/>
    <x v="9"/>
    <n v="13"/>
    <n v="107540"/>
  </r>
  <r>
    <x v="7"/>
    <x v="5"/>
    <x v="0"/>
    <x v="10"/>
    <n v="55"/>
    <n v="104090"/>
  </r>
  <r>
    <x v="7"/>
    <x v="5"/>
    <x v="0"/>
    <x v="31"/>
    <n v="9"/>
    <n v="93810"/>
  </r>
  <r>
    <x v="7"/>
    <x v="5"/>
    <x v="0"/>
    <x v="11"/>
    <n v="108"/>
    <n v="159380"/>
  </r>
  <r>
    <x v="7"/>
    <x v="5"/>
    <x v="0"/>
    <x v="12"/>
    <n v="156"/>
    <n v="370330"/>
  </r>
  <r>
    <x v="7"/>
    <x v="5"/>
    <x v="0"/>
    <x v="13"/>
    <n v="140"/>
    <n v="615070"/>
  </r>
  <r>
    <x v="7"/>
    <x v="5"/>
    <x v="0"/>
    <x v="14"/>
    <n v="260"/>
    <n v="234770"/>
  </r>
  <r>
    <x v="7"/>
    <x v="5"/>
    <x v="0"/>
    <x v="15"/>
    <n v="12"/>
    <n v="79160"/>
  </r>
  <r>
    <x v="7"/>
    <x v="5"/>
    <x v="0"/>
    <x v="16"/>
    <n v="47"/>
    <n v="88610"/>
  </r>
  <r>
    <x v="7"/>
    <x v="5"/>
    <x v="0"/>
    <x v="17"/>
    <n v="67"/>
    <n v="96070"/>
  </r>
  <r>
    <x v="7"/>
    <x v="5"/>
    <x v="0"/>
    <x v="18"/>
    <n v="49"/>
    <n v="26900"/>
  </r>
  <r>
    <x v="7"/>
    <x v="5"/>
    <x v="0"/>
    <x v="19"/>
    <n v="30"/>
    <n v="135890"/>
  </r>
  <r>
    <x v="7"/>
    <x v="5"/>
    <x v="0"/>
    <x v="20"/>
    <n v="32"/>
    <n v="339390"/>
  </r>
  <r>
    <x v="7"/>
    <x v="5"/>
    <x v="0"/>
    <x v="21"/>
    <n v="9"/>
    <n v="21850"/>
  </r>
  <r>
    <x v="7"/>
    <x v="5"/>
    <x v="0"/>
    <x v="22"/>
    <n v="64"/>
    <n v="150680"/>
  </r>
  <r>
    <x v="7"/>
    <x v="5"/>
    <x v="0"/>
    <x v="23"/>
    <n v="37"/>
    <n v="175930"/>
  </r>
  <r>
    <x v="7"/>
    <x v="5"/>
    <x v="0"/>
    <x v="24"/>
    <n v="34"/>
    <n v="114530"/>
  </r>
  <r>
    <x v="7"/>
    <x v="5"/>
    <x v="0"/>
    <x v="25"/>
    <n v="4"/>
    <n v="23200"/>
  </r>
  <r>
    <x v="7"/>
    <x v="5"/>
    <x v="0"/>
    <x v="26"/>
    <n v="19"/>
    <n v="112470"/>
  </r>
  <r>
    <x v="7"/>
    <x v="5"/>
    <x v="0"/>
    <x v="27"/>
    <n v="41"/>
    <n v="317100"/>
  </r>
  <r>
    <x v="7"/>
    <x v="5"/>
    <x v="0"/>
    <x v="28"/>
    <n v="55"/>
    <n v="93750"/>
  </r>
  <r>
    <x v="7"/>
    <x v="5"/>
    <x v="0"/>
    <x v="29"/>
    <n v="16"/>
    <n v="89860"/>
  </r>
  <r>
    <x v="7"/>
    <x v="5"/>
    <x v="0"/>
    <x v="30"/>
    <n v="100"/>
    <n v="180130"/>
  </r>
  <r>
    <x v="7"/>
    <x v="5"/>
    <x v="1"/>
    <x v="0"/>
    <n v="221"/>
    <n v="229840"/>
  </r>
  <r>
    <x v="7"/>
    <x v="5"/>
    <x v="1"/>
    <x v="1"/>
    <n v="129"/>
    <n v="262190"/>
  </r>
  <r>
    <x v="7"/>
    <x v="5"/>
    <x v="1"/>
    <x v="2"/>
    <n v="80"/>
    <n v="116520"/>
  </r>
  <r>
    <x v="7"/>
    <x v="5"/>
    <x v="1"/>
    <x v="3"/>
    <n v="63"/>
    <n v="87130"/>
  </r>
  <r>
    <x v="7"/>
    <x v="5"/>
    <x v="1"/>
    <x v="4"/>
    <n v="1309"/>
    <n v="507170"/>
  </r>
  <r>
    <x v="7"/>
    <x v="5"/>
    <x v="1"/>
    <x v="5"/>
    <n v="63"/>
    <n v="51350"/>
  </r>
  <r>
    <x v="7"/>
    <x v="5"/>
    <x v="1"/>
    <x v="6"/>
    <n v="116"/>
    <n v="149520"/>
  </r>
  <r>
    <x v="7"/>
    <x v="5"/>
    <x v="1"/>
    <x v="7"/>
    <n v="696"/>
    <n v="148270"/>
  </r>
  <r>
    <x v="7"/>
    <x v="5"/>
    <x v="1"/>
    <x v="8"/>
    <n v="626"/>
    <n v="122200"/>
  </r>
  <r>
    <x v="7"/>
    <x v="5"/>
    <x v="1"/>
    <x v="9"/>
    <n v="167"/>
    <n v="107540"/>
  </r>
  <r>
    <x v="7"/>
    <x v="5"/>
    <x v="1"/>
    <x v="10"/>
    <n v="200"/>
    <n v="104090"/>
  </r>
  <r>
    <x v="7"/>
    <x v="5"/>
    <x v="1"/>
    <x v="31"/>
    <n v="143"/>
    <n v="93810"/>
  </r>
  <r>
    <x v="7"/>
    <x v="5"/>
    <x v="1"/>
    <x v="11"/>
    <n v="304"/>
    <n v="159380"/>
  </r>
  <r>
    <x v="7"/>
    <x v="5"/>
    <x v="1"/>
    <x v="12"/>
    <n v="581"/>
    <n v="370330"/>
  </r>
  <r>
    <x v="7"/>
    <x v="5"/>
    <x v="1"/>
    <x v="13"/>
    <n v="2419"/>
    <n v="615070"/>
  </r>
  <r>
    <x v="7"/>
    <x v="5"/>
    <x v="1"/>
    <x v="14"/>
    <n v="100"/>
    <n v="234770"/>
  </r>
  <r>
    <x v="7"/>
    <x v="5"/>
    <x v="1"/>
    <x v="15"/>
    <n v="557"/>
    <n v="79160"/>
  </r>
  <r>
    <x v="7"/>
    <x v="5"/>
    <x v="1"/>
    <x v="16"/>
    <n v="324"/>
    <n v="88610"/>
  </r>
  <r>
    <x v="7"/>
    <x v="5"/>
    <x v="1"/>
    <x v="17"/>
    <n v="60"/>
    <n v="96070"/>
  </r>
  <r>
    <x v="7"/>
    <x v="5"/>
    <x v="1"/>
    <x v="18"/>
    <n v="3"/>
    <n v="26900"/>
  </r>
  <r>
    <x v="7"/>
    <x v="5"/>
    <x v="1"/>
    <x v="19"/>
    <n v="591"/>
    <n v="135890"/>
  </r>
  <r>
    <x v="7"/>
    <x v="5"/>
    <x v="1"/>
    <x v="20"/>
    <n v="1452"/>
    <n v="339390"/>
  </r>
  <r>
    <x v="7"/>
    <x v="5"/>
    <x v="1"/>
    <x v="21"/>
    <n v="1"/>
    <n v="21850"/>
  </r>
  <r>
    <x v="7"/>
    <x v="5"/>
    <x v="1"/>
    <x v="22"/>
    <n v="79"/>
    <n v="150680"/>
  </r>
  <r>
    <x v="7"/>
    <x v="5"/>
    <x v="1"/>
    <x v="23"/>
    <n v="656"/>
    <n v="175930"/>
  </r>
  <r>
    <x v="7"/>
    <x v="5"/>
    <x v="1"/>
    <x v="24"/>
    <n v="68"/>
    <n v="114530"/>
  </r>
  <r>
    <x v="7"/>
    <x v="5"/>
    <x v="1"/>
    <x v="25"/>
    <n v="1"/>
    <n v="23200"/>
  </r>
  <r>
    <x v="7"/>
    <x v="5"/>
    <x v="1"/>
    <x v="26"/>
    <n v="212"/>
    <n v="112470"/>
  </r>
  <r>
    <x v="7"/>
    <x v="5"/>
    <x v="1"/>
    <x v="27"/>
    <n v="850"/>
    <n v="317100"/>
  </r>
  <r>
    <x v="7"/>
    <x v="5"/>
    <x v="1"/>
    <x v="28"/>
    <n v="130"/>
    <n v="93750"/>
  </r>
  <r>
    <x v="7"/>
    <x v="5"/>
    <x v="1"/>
    <x v="29"/>
    <n v="409"/>
    <n v="89860"/>
  </r>
  <r>
    <x v="7"/>
    <x v="5"/>
    <x v="1"/>
    <x v="30"/>
    <n v="583"/>
    <n v="180130"/>
  </r>
  <r>
    <x v="8"/>
    <x v="0"/>
    <x v="0"/>
    <x v="0"/>
    <n v="9"/>
    <n v="228800"/>
  </r>
  <r>
    <x v="8"/>
    <x v="0"/>
    <x v="0"/>
    <x v="1"/>
    <n v="77"/>
    <n v="261800"/>
  </r>
  <r>
    <x v="8"/>
    <x v="0"/>
    <x v="0"/>
    <x v="2"/>
    <n v="24"/>
    <n v="116280"/>
  </r>
  <r>
    <x v="8"/>
    <x v="0"/>
    <x v="0"/>
    <x v="3"/>
    <n v="46"/>
    <n v="86810"/>
  </r>
  <r>
    <x v="8"/>
    <x v="0"/>
    <x v="0"/>
    <x v="4"/>
    <n v="5"/>
    <n v="513210"/>
  </r>
  <r>
    <x v="8"/>
    <x v="0"/>
    <x v="0"/>
    <x v="5"/>
    <n v="2"/>
    <n v="51450"/>
  </r>
  <r>
    <x v="8"/>
    <x v="0"/>
    <x v="0"/>
    <x v="6"/>
    <n v="63"/>
    <n v="149200"/>
  </r>
  <r>
    <x v="8"/>
    <x v="0"/>
    <x v="0"/>
    <x v="7"/>
    <n v="1"/>
    <n v="148710"/>
  </r>
  <r>
    <x v="8"/>
    <x v="0"/>
    <x v="0"/>
    <x v="8"/>
    <n v="11"/>
    <n v="121940"/>
  </r>
  <r>
    <x v="8"/>
    <x v="0"/>
    <x v="0"/>
    <x v="9"/>
    <n v="4"/>
    <n v="108130"/>
  </r>
  <r>
    <x v="8"/>
    <x v="0"/>
    <x v="0"/>
    <x v="10"/>
    <n v="22"/>
    <n v="104840"/>
  </r>
  <r>
    <x v="8"/>
    <x v="0"/>
    <x v="0"/>
    <x v="31"/>
    <n v="6"/>
    <n v="94760"/>
  </r>
  <r>
    <x v="8"/>
    <x v="0"/>
    <x v="0"/>
    <x v="11"/>
    <n v="1"/>
    <n v="160130"/>
  </r>
  <r>
    <x v="8"/>
    <x v="0"/>
    <x v="0"/>
    <x v="12"/>
    <n v="24"/>
    <n v="371410"/>
  </r>
  <r>
    <x v="8"/>
    <x v="0"/>
    <x v="0"/>
    <x v="13"/>
    <n v="9"/>
    <n v="621020"/>
  </r>
  <r>
    <x v="8"/>
    <x v="0"/>
    <x v="0"/>
    <x v="14"/>
    <n v="184"/>
    <n v="235180"/>
  </r>
  <r>
    <x v="8"/>
    <x v="0"/>
    <x v="0"/>
    <x v="16"/>
    <n v="7"/>
    <n v="90090"/>
  </r>
  <r>
    <x v="8"/>
    <x v="0"/>
    <x v="0"/>
    <x v="17"/>
    <n v="28"/>
    <n v="95780"/>
  </r>
  <r>
    <x v="8"/>
    <x v="0"/>
    <x v="0"/>
    <x v="18"/>
    <n v="45"/>
    <n v="26950"/>
  </r>
  <r>
    <x v="8"/>
    <x v="0"/>
    <x v="0"/>
    <x v="19"/>
    <n v="15"/>
    <n v="135790"/>
  </r>
  <r>
    <x v="8"/>
    <x v="0"/>
    <x v="0"/>
    <x v="21"/>
    <n v="13"/>
    <n v="22000"/>
  </r>
  <r>
    <x v="8"/>
    <x v="0"/>
    <x v="0"/>
    <x v="22"/>
    <n v="51"/>
    <n v="151100"/>
  </r>
  <r>
    <x v="8"/>
    <x v="0"/>
    <x v="0"/>
    <x v="23"/>
    <n v="7"/>
    <n v="176830"/>
  </r>
  <r>
    <x v="8"/>
    <x v="0"/>
    <x v="0"/>
    <x v="24"/>
    <n v="54"/>
    <n v="115020"/>
  </r>
  <r>
    <x v="8"/>
    <x v="0"/>
    <x v="0"/>
    <x v="25"/>
    <n v="12"/>
    <n v="23080"/>
  </r>
  <r>
    <x v="8"/>
    <x v="0"/>
    <x v="0"/>
    <x v="26"/>
    <n v="15"/>
    <n v="112680"/>
  </r>
  <r>
    <x v="8"/>
    <x v="0"/>
    <x v="0"/>
    <x v="27"/>
    <n v="7"/>
    <n v="318170"/>
  </r>
  <r>
    <x v="8"/>
    <x v="0"/>
    <x v="0"/>
    <x v="28"/>
    <n v="21"/>
    <n v="94000"/>
  </r>
  <r>
    <x v="8"/>
    <x v="0"/>
    <x v="0"/>
    <x v="29"/>
    <n v="4"/>
    <n v="89610"/>
  </r>
  <r>
    <x v="8"/>
    <x v="0"/>
    <x v="0"/>
    <x v="30"/>
    <n v="4"/>
    <n v="181310"/>
  </r>
  <r>
    <x v="8"/>
    <x v="0"/>
    <x v="1"/>
    <x v="12"/>
    <n v="1"/>
    <n v="371410"/>
  </r>
  <r>
    <x v="8"/>
    <x v="0"/>
    <x v="1"/>
    <x v="22"/>
    <n v="1"/>
    <n v="151100"/>
  </r>
  <r>
    <x v="8"/>
    <x v="0"/>
    <x v="1"/>
    <x v="30"/>
    <n v="1"/>
    <n v="181310"/>
  </r>
  <r>
    <x v="8"/>
    <x v="1"/>
    <x v="0"/>
    <x v="0"/>
    <n v="240"/>
    <n v="228800"/>
  </r>
  <r>
    <x v="8"/>
    <x v="1"/>
    <x v="0"/>
    <x v="1"/>
    <n v="162"/>
    <n v="261800"/>
  </r>
  <r>
    <x v="8"/>
    <x v="1"/>
    <x v="0"/>
    <x v="2"/>
    <n v="76"/>
    <n v="116280"/>
  </r>
  <r>
    <x v="8"/>
    <x v="1"/>
    <x v="0"/>
    <x v="3"/>
    <n v="77"/>
    <n v="86810"/>
  </r>
  <r>
    <x v="8"/>
    <x v="1"/>
    <x v="0"/>
    <x v="4"/>
    <n v="463"/>
    <n v="513210"/>
  </r>
  <r>
    <x v="8"/>
    <x v="1"/>
    <x v="0"/>
    <x v="5"/>
    <n v="47"/>
    <n v="51450"/>
  </r>
  <r>
    <x v="8"/>
    <x v="1"/>
    <x v="0"/>
    <x v="6"/>
    <n v="89"/>
    <n v="149200"/>
  </r>
  <r>
    <x v="8"/>
    <x v="1"/>
    <x v="0"/>
    <x v="7"/>
    <n v="197"/>
    <n v="148710"/>
  </r>
  <r>
    <x v="8"/>
    <x v="1"/>
    <x v="0"/>
    <x v="8"/>
    <n v="76"/>
    <n v="121940"/>
  </r>
  <r>
    <x v="8"/>
    <x v="1"/>
    <x v="0"/>
    <x v="9"/>
    <n v="65"/>
    <n v="108130"/>
  </r>
  <r>
    <x v="8"/>
    <x v="1"/>
    <x v="0"/>
    <x v="10"/>
    <n v="69"/>
    <n v="104840"/>
  </r>
  <r>
    <x v="8"/>
    <x v="1"/>
    <x v="0"/>
    <x v="31"/>
    <n v="79"/>
    <n v="94760"/>
  </r>
  <r>
    <x v="8"/>
    <x v="1"/>
    <x v="0"/>
    <x v="11"/>
    <n v="106"/>
    <n v="160130"/>
  </r>
  <r>
    <x v="8"/>
    <x v="1"/>
    <x v="0"/>
    <x v="12"/>
    <n v="287"/>
    <n v="371410"/>
  </r>
  <r>
    <x v="8"/>
    <x v="1"/>
    <x v="0"/>
    <x v="13"/>
    <n v="847"/>
    <n v="621020"/>
  </r>
  <r>
    <x v="8"/>
    <x v="1"/>
    <x v="0"/>
    <x v="14"/>
    <n v="143"/>
    <n v="235180"/>
  </r>
  <r>
    <x v="8"/>
    <x v="1"/>
    <x v="0"/>
    <x v="15"/>
    <n v="84"/>
    <n v="78760"/>
  </r>
  <r>
    <x v="8"/>
    <x v="1"/>
    <x v="0"/>
    <x v="16"/>
    <n v="60"/>
    <n v="90090"/>
  </r>
  <r>
    <x v="8"/>
    <x v="1"/>
    <x v="0"/>
    <x v="17"/>
    <n v="35"/>
    <n v="95780"/>
  </r>
  <r>
    <x v="8"/>
    <x v="1"/>
    <x v="0"/>
    <x v="18"/>
    <n v="14"/>
    <n v="26950"/>
  </r>
  <r>
    <x v="8"/>
    <x v="1"/>
    <x v="0"/>
    <x v="19"/>
    <n v="147"/>
    <n v="135790"/>
  </r>
  <r>
    <x v="8"/>
    <x v="1"/>
    <x v="0"/>
    <x v="20"/>
    <n v="262"/>
    <n v="339960"/>
  </r>
  <r>
    <x v="8"/>
    <x v="1"/>
    <x v="0"/>
    <x v="21"/>
    <n v="6"/>
    <n v="22000"/>
  </r>
  <r>
    <x v="8"/>
    <x v="1"/>
    <x v="0"/>
    <x v="22"/>
    <n v="113"/>
    <n v="151100"/>
  </r>
  <r>
    <x v="8"/>
    <x v="1"/>
    <x v="0"/>
    <x v="23"/>
    <n v="191"/>
    <n v="176830"/>
  </r>
  <r>
    <x v="8"/>
    <x v="1"/>
    <x v="0"/>
    <x v="24"/>
    <n v="92"/>
    <n v="115020"/>
  </r>
  <r>
    <x v="8"/>
    <x v="1"/>
    <x v="0"/>
    <x v="25"/>
    <n v="12"/>
    <n v="23080"/>
  </r>
  <r>
    <x v="8"/>
    <x v="1"/>
    <x v="0"/>
    <x v="26"/>
    <n v="96"/>
    <n v="112680"/>
  </r>
  <r>
    <x v="8"/>
    <x v="1"/>
    <x v="0"/>
    <x v="27"/>
    <n v="244"/>
    <n v="318170"/>
  </r>
  <r>
    <x v="8"/>
    <x v="1"/>
    <x v="0"/>
    <x v="28"/>
    <n v="82"/>
    <n v="94000"/>
  </r>
  <r>
    <x v="8"/>
    <x v="1"/>
    <x v="0"/>
    <x v="29"/>
    <n v="141"/>
    <n v="89610"/>
  </r>
  <r>
    <x v="8"/>
    <x v="1"/>
    <x v="0"/>
    <x v="30"/>
    <n v="149"/>
    <n v="181310"/>
  </r>
  <r>
    <x v="8"/>
    <x v="1"/>
    <x v="1"/>
    <x v="0"/>
    <n v="37"/>
    <n v="228800"/>
  </r>
  <r>
    <x v="8"/>
    <x v="1"/>
    <x v="1"/>
    <x v="1"/>
    <n v="5"/>
    <n v="261800"/>
  </r>
  <r>
    <x v="8"/>
    <x v="1"/>
    <x v="1"/>
    <x v="2"/>
    <n v="3"/>
    <n v="116280"/>
  </r>
  <r>
    <x v="8"/>
    <x v="1"/>
    <x v="1"/>
    <x v="3"/>
    <n v="10"/>
    <n v="86810"/>
  </r>
  <r>
    <x v="8"/>
    <x v="1"/>
    <x v="1"/>
    <x v="4"/>
    <n v="63"/>
    <n v="513210"/>
  </r>
  <r>
    <x v="8"/>
    <x v="1"/>
    <x v="1"/>
    <x v="5"/>
    <n v="4"/>
    <n v="51450"/>
  </r>
  <r>
    <x v="8"/>
    <x v="1"/>
    <x v="1"/>
    <x v="6"/>
    <n v="14"/>
    <n v="149200"/>
  </r>
  <r>
    <x v="8"/>
    <x v="1"/>
    <x v="1"/>
    <x v="7"/>
    <n v="18"/>
    <n v="148710"/>
  </r>
  <r>
    <x v="8"/>
    <x v="1"/>
    <x v="1"/>
    <x v="8"/>
    <n v="11"/>
    <n v="121940"/>
  </r>
  <r>
    <x v="8"/>
    <x v="1"/>
    <x v="1"/>
    <x v="9"/>
    <n v="2"/>
    <n v="108130"/>
  </r>
  <r>
    <x v="8"/>
    <x v="1"/>
    <x v="1"/>
    <x v="10"/>
    <n v="7"/>
    <n v="104840"/>
  </r>
  <r>
    <x v="8"/>
    <x v="1"/>
    <x v="1"/>
    <x v="31"/>
    <n v="5"/>
    <n v="94760"/>
  </r>
  <r>
    <x v="8"/>
    <x v="1"/>
    <x v="1"/>
    <x v="11"/>
    <n v="16"/>
    <n v="160130"/>
  </r>
  <r>
    <x v="8"/>
    <x v="1"/>
    <x v="1"/>
    <x v="12"/>
    <n v="17"/>
    <n v="371410"/>
  </r>
  <r>
    <x v="8"/>
    <x v="1"/>
    <x v="1"/>
    <x v="13"/>
    <n v="115"/>
    <n v="621020"/>
  </r>
  <r>
    <x v="8"/>
    <x v="1"/>
    <x v="1"/>
    <x v="14"/>
    <n v="7"/>
    <n v="235180"/>
  </r>
  <r>
    <x v="8"/>
    <x v="1"/>
    <x v="1"/>
    <x v="15"/>
    <n v="19"/>
    <n v="78760"/>
  </r>
  <r>
    <x v="8"/>
    <x v="1"/>
    <x v="1"/>
    <x v="16"/>
    <n v="10"/>
    <n v="90090"/>
  </r>
  <r>
    <x v="8"/>
    <x v="1"/>
    <x v="1"/>
    <x v="17"/>
    <n v="4"/>
    <n v="95780"/>
  </r>
  <r>
    <x v="8"/>
    <x v="1"/>
    <x v="1"/>
    <x v="18"/>
    <n v="1"/>
    <n v="26950"/>
  </r>
  <r>
    <x v="8"/>
    <x v="1"/>
    <x v="1"/>
    <x v="19"/>
    <n v="15"/>
    <n v="135790"/>
  </r>
  <r>
    <x v="8"/>
    <x v="1"/>
    <x v="1"/>
    <x v="20"/>
    <n v="45"/>
    <n v="339960"/>
  </r>
  <r>
    <x v="8"/>
    <x v="1"/>
    <x v="1"/>
    <x v="22"/>
    <n v="3"/>
    <n v="151100"/>
  </r>
  <r>
    <x v="8"/>
    <x v="1"/>
    <x v="1"/>
    <x v="23"/>
    <n v="32"/>
    <n v="176830"/>
  </r>
  <r>
    <x v="8"/>
    <x v="1"/>
    <x v="1"/>
    <x v="24"/>
    <n v="8"/>
    <n v="115020"/>
  </r>
  <r>
    <x v="8"/>
    <x v="1"/>
    <x v="1"/>
    <x v="25"/>
    <n v="1"/>
    <n v="23080"/>
  </r>
  <r>
    <x v="8"/>
    <x v="1"/>
    <x v="1"/>
    <x v="26"/>
    <n v="10"/>
    <n v="112680"/>
  </r>
  <r>
    <x v="8"/>
    <x v="1"/>
    <x v="1"/>
    <x v="27"/>
    <n v="34"/>
    <n v="318170"/>
  </r>
  <r>
    <x v="8"/>
    <x v="1"/>
    <x v="1"/>
    <x v="28"/>
    <n v="7"/>
    <n v="94000"/>
  </r>
  <r>
    <x v="8"/>
    <x v="1"/>
    <x v="1"/>
    <x v="29"/>
    <n v="17"/>
    <n v="89610"/>
  </r>
  <r>
    <x v="8"/>
    <x v="1"/>
    <x v="1"/>
    <x v="30"/>
    <n v="20"/>
    <n v="181310"/>
  </r>
  <r>
    <x v="8"/>
    <x v="2"/>
    <x v="0"/>
    <x v="0"/>
    <n v="80"/>
    <n v="228800"/>
  </r>
  <r>
    <x v="8"/>
    <x v="2"/>
    <x v="0"/>
    <x v="1"/>
    <n v="84"/>
    <n v="261800"/>
  </r>
  <r>
    <x v="8"/>
    <x v="2"/>
    <x v="0"/>
    <x v="2"/>
    <n v="22"/>
    <n v="116280"/>
  </r>
  <r>
    <x v="8"/>
    <x v="2"/>
    <x v="0"/>
    <x v="3"/>
    <n v="43"/>
    <n v="86810"/>
  </r>
  <r>
    <x v="8"/>
    <x v="2"/>
    <x v="0"/>
    <x v="4"/>
    <n v="185"/>
    <n v="513210"/>
  </r>
  <r>
    <x v="8"/>
    <x v="2"/>
    <x v="0"/>
    <x v="5"/>
    <n v="14"/>
    <n v="51450"/>
  </r>
  <r>
    <x v="8"/>
    <x v="2"/>
    <x v="0"/>
    <x v="6"/>
    <n v="40"/>
    <n v="149200"/>
  </r>
  <r>
    <x v="8"/>
    <x v="2"/>
    <x v="0"/>
    <x v="7"/>
    <n v="43"/>
    <n v="148710"/>
  </r>
  <r>
    <x v="8"/>
    <x v="2"/>
    <x v="0"/>
    <x v="8"/>
    <n v="17"/>
    <n v="121940"/>
  </r>
  <r>
    <x v="8"/>
    <x v="2"/>
    <x v="0"/>
    <x v="9"/>
    <n v="21"/>
    <n v="108130"/>
  </r>
  <r>
    <x v="8"/>
    <x v="2"/>
    <x v="0"/>
    <x v="10"/>
    <n v="24"/>
    <n v="104840"/>
  </r>
  <r>
    <x v="8"/>
    <x v="2"/>
    <x v="0"/>
    <x v="31"/>
    <n v="17"/>
    <n v="94760"/>
  </r>
  <r>
    <x v="8"/>
    <x v="2"/>
    <x v="0"/>
    <x v="11"/>
    <n v="46"/>
    <n v="160130"/>
  </r>
  <r>
    <x v="8"/>
    <x v="2"/>
    <x v="0"/>
    <x v="12"/>
    <n v="103"/>
    <n v="371410"/>
  </r>
  <r>
    <x v="8"/>
    <x v="2"/>
    <x v="0"/>
    <x v="13"/>
    <n v="271"/>
    <n v="621020"/>
  </r>
  <r>
    <x v="8"/>
    <x v="2"/>
    <x v="0"/>
    <x v="14"/>
    <n v="80"/>
    <n v="235180"/>
  </r>
  <r>
    <x v="8"/>
    <x v="2"/>
    <x v="0"/>
    <x v="15"/>
    <n v="19"/>
    <n v="78760"/>
  </r>
  <r>
    <x v="8"/>
    <x v="2"/>
    <x v="0"/>
    <x v="16"/>
    <n v="22"/>
    <n v="90090"/>
  </r>
  <r>
    <x v="8"/>
    <x v="2"/>
    <x v="0"/>
    <x v="17"/>
    <n v="28"/>
    <n v="95780"/>
  </r>
  <r>
    <x v="8"/>
    <x v="2"/>
    <x v="0"/>
    <x v="18"/>
    <n v="7"/>
    <n v="26950"/>
  </r>
  <r>
    <x v="8"/>
    <x v="2"/>
    <x v="0"/>
    <x v="19"/>
    <n v="43"/>
    <n v="135790"/>
  </r>
  <r>
    <x v="8"/>
    <x v="2"/>
    <x v="0"/>
    <x v="20"/>
    <n v="83"/>
    <n v="339960"/>
  </r>
  <r>
    <x v="8"/>
    <x v="2"/>
    <x v="0"/>
    <x v="21"/>
    <n v="2"/>
    <n v="22000"/>
  </r>
  <r>
    <x v="8"/>
    <x v="2"/>
    <x v="0"/>
    <x v="22"/>
    <n v="43"/>
    <n v="151100"/>
  </r>
  <r>
    <x v="8"/>
    <x v="2"/>
    <x v="0"/>
    <x v="23"/>
    <n v="47"/>
    <n v="176830"/>
  </r>
  <r>
    <x v="8"/>
    <x v="2"/>
    <x v="0"/>
    <x v="24"/>
    <n v="28"/>
    <n v="115020"/>
  </r>
  <r>
    <x v="8"/>
    <x v="2"/>
    <x v="0"/>
    <x v="25"/>
    <n v="7"/>
    <n v="23080"/>
  </r>
  <r>
    <x v="8"/>
    <x v="2"/>
    <x v="0"/>
    <x v="26"/>
    <n v="34"/>
    <n v="112680"/>
  </r>
  <r>
    <x v="8"/>
    <x v="2"/>
    <x v="0"/>
    <x v="27"/>
    <n v="69"/>
    <n v="318170"/>
  </r>
  <r>
    <x v="8"/>
    <x v="2"/>
    <x v="0"/>
    <x v="28"/>
    <n v="33"/>
    <n v="94000"/>
  </r>
  <r>
    <x v="8"/>
    <x v="2"/>
    <x v="0"/>
    <x v="29"/>
    <n v="34"/>
    <n v="89610"/>
  </r>
  <r>
    <x v="8"/>
    <x v="2"/>
    <x v="0"/>
    <x v="30"/>
    <n v="50"/>
    <n v="181310"/>
  </r>
  <r>
    <x v="8"/>
    <x v="2"/>
    <x v="1"/>
    <x v="0"/>
    <n v="18"/>
    <n v="228800"/>
  </r>
  <r>
    <x v="8"/>
    <x v="2"/>
    <x v="1"/>
    <x v="1"/>
    <n v="22"/>
    <n v="261800"/>
  </r>
  <r>
    <x v="8"/>
    <x v="2"/>
    <x v="1"/>
    <x v="2"/>
    <n v="12"/>
    <n v="116280"/>
  </r>
  <r>
    <x v="8"/>
    <x v="2"/>
    <x v="1"/>
    <x v="3"/>
    <n v="8"/>
    <n v="86810"/>
  </r>
  <r>
    <x v="8"/>
    <x v="2"/>
    <x v="1"/>
    <x v="4"/>
    <n v="55"/>
    <n v="513210"/>
  </r>
  <r>
    <x v="8"/>
    <x v="2"/>
    <x v="1"/>
    <x v="5"/>
    <n v="7"/>
    <n v="51450"/>
  </r>
  <r>
    <x v="8"/>
    <x v="2"/>
    <x v="1"/>
    <x v="6"/>
    <n v="9"/>
    <n v="149200"/>
  </r>
  <r>
    <x v="8"/>
    <x v="2"/>
    <x v="1"/>
    <x v="7"/>
    <n v="17"/>
    <n v="148710"/>
  </r>
  <r>
    <x v="8"/>
    <x v="2"/>
    <x v="1"/>
    <x v="8"/>
    <n v="16"/>
    <n v="121940"/>
  </r>
  <r>
    <x v="8"/>
    <x v="2"/>
    <x v="1"/>
    <x v="9"/>
    <n v="13"/>
    <n v="108130"/>
  </r>
  <r>
    <x v="8"/>
    <x v="2"/>
    <x v="1"/>
    <x v="10"/>
    <n v="14"/>
    <n v="104840"/>
  </r>
  <r>
    <x v="8"/>
    <x v="2"/>
    <x v="1"/>
    <x v="31"/>
    <n v="6"/>
    <n v="94760"/>
  </r>
  <r>
    <x v="8"/>
    <x v="2"/>
    <x v="1"/>
    <x v="11"/>
    <n v="50"/>
    <n v="160130"/>
  </r>
  <r>
    <x v="8"/>
    <x v="2"/>
    <x v="1"/>
    <x v="12"/>
    <n v="52"/>
    <n v="371410"/>
  </r>
  <r>
    <x v="8"/>
    <x v="2"/>
    <x v="1"/>
    <x v="13"/>
    <n v="97"/>
    <n v="621020"/>
  </r>
  <r>
    <x v="8"/>
    <x v="2"/>
    <x v="1"/>
    <x v="14"/>
    <n v="8"/>
    <n v="235180"/>
  </r>
  <r>
    <x v="8"/>
    <x v="2"/>
    <x v="1"/>
    <x v="15"/>
    <n v="14"/>
    <n v="78760"/>
  </r>
  <r>
    <x v="8"/>
    <x v="2"/>
    <x v="1"/>
    <x v="16"/>
    <n v="15"/>
    <n v="90090"/>
  </r>
  <r>
    <x v="8"/>
    <x v="2"/>
    <x v="1"/>
    <x v="17"/>
    <n v="8"/>
    <n v="95780"/>
  </r>
  <r>
    <x v="8"/>
    <x v="2"/>
    <x v="1"/>
    <x v="18"/>
    <n v="1"/>
    <n v="26950"/>
  </r>
  <r>
    <x v="8"/>
    <x v="2"/>
    <x v="1"/>
    <x v="19"/>
    <n v="9"/>
    <n v="135790"/>
  </r>
  <r>
    <x v="8"/>
    <x v="2"/>
    <x v="1"/>
    <x v="20"/>
    <n v="44"/>
    <n v="339960"/>
  </r>
  <r>
    <x v="8"/>
    <x v="2"/>
    <x v="1"/>
    <x v="22"/>
    <n v="14"/>
    <n v="151100"/>
  </r>
  <r>
    <x v="8"/>
    <x v="2"/>
    <x v="1"/>
    <x v="23"/>
    <n v="23"/>
    <n v="176830"/>
  </r>
  <r>
    <x v="8"/>
    <x v="2"/>
    <x v="1"/>
    <x v="24"/>
    <n v="7"/>
    <n v="115020"/>
  </r>
  <r>
    <x v="8"/>
    <x v="2"/>
    <x v="1"/>
    <x v="26"/>
    <n v="10"/>
    <n v="112680"/>
  </r>
  <r>
    <x v="8"/>
    <x v="2"/>
    <x v="1"/>
    <x v="27"/>
    <n v="46"/>
    <n v="318170"/>
  </r>
  <r>
    <x v="8"/>
    <x v="2"/>
    <x v="1"/>
    <x v="28"/>
    <n v="15"/>
    <n v="94000"/>
  </r>
  <r>
    <x v="8"/>
    <x v="2"/>
    <x v="1"/>
    <x v="29"/>
    <n v="13"/>
    <n v="89610"/>
  </r>
  <r>
    <x v="8"/>
    <x v="2"/>
    <x v="1"/>
    <x v="30"/>
    <n v="25"/>
    <n v="181310"/>
  </r>
  <r>
    <x v="8"/>
    <x v="3"/>
    <x v="0"/>
    <x v="0"/>
    <n v="28"/>
    <n v="228800"/>
  </r>
  <r>
    <x v="8"/>
    <x v="3"/>
    <x v="0"/>
    <x v="1"/>
    <n v="67"/>
    <n v="261800"/>
  </r>
  <r>
    <x v="8"/>
    <x v="3"/>
    <x v="0"/>
    <x v="2"/>
    <n v="23"/>
    <n v="116280"/>
  </r>
  <r>
    <x v="8"/>
    <x v="3"/>
    <x v="0"/>
    <x v="3"/>
    <n v="28"/>
    <n v="86810"/>
  </r>
  <r>
    <x v="8"/>
    <x v="3"/>
    <x v="0"/>
    <x v="4"/>
    <n v="70"/>
    <n v="513210"/>
  </r>
  <r>
    <x v="8"/>
    <x v="3"/>
    <x v="0"/>
    <x v="5"/>
    <n v="7"/>
    <n v="51450"/>
  </r>
  <r>
    <x v="8"/>
    <x v="3"/>
    <x v="0"/>
    <x v="6"/>
    <n v="53"/>
    <n v="149200"/>
  </r>
  <r>
    <x v="8"/>
    <x v="3"/>
    <x v="0"/>
    <x v="7"/>
    <n v="27"/>
    <n v="148710"/>
  </r>
  <r>
    <x v="8"/>
    <x v="3"/>
    <x v="0"/>
    <x v="8"/>
    <n v="36"/>
    <n v="121940"/>
  </r>
  <r>
    <x v="8"/>
    <x v="3"/>
    <x v="0"/>
    <x v="9"/>
    <n v="14"/>
    <n v="108130"/>
  </r>
  <r>
    <x v="8"/>
    <x v="3"/>
    <x v="0"/>
    <x v="10"/>
    <n v="22"/>
    <n v="104840"/>
  </r>
  <r>
    <x v="8"/>
    <x v="3"/>
    <x v="0"/>
    <x v="31"/>
    <n v="13"/>
    <n v="94760"/>
  </r>
  <r>
    <x v="8"/>
    <x v="3"/>
    <x v="0"/>
    <x v="11"/>
    <n v="33"/>
    <n v="160130"/>
  </r>
  <r>
    <x v="8"/>
    <x v="3"/>
    <x v="0"/>
    <x v="12"/>
    <n v="73"/>
    <n v="371410"/>
  </r>
  <r>
    <x v="8"/>
    <x v="3"/>
    <x v="0"/>
    <x v="13"/>
    <n v="117"/>
    <n v="621020"/>
  </r>
  <r>
    <x v="8"/>
    <x v="3"/>
    <x v="0"/>
    <x v="14"/>
    <n v="67"/>
    <n v="235180"/>
  </r>
  <r>
    <x v="8"/>
    <x v="3"/>
    <x v="0"/>
    <x v="15"/>
    <n v="16"/>
    <n v="78760"/>
  </r>
  <r>
    <x v="8"/>
    <x v="3"/>
    <x v="0"/>
    <x v="16"/>
    <n v="20"/>
    <n v="90090"/>
  </r>
  <r>
    <x v="8"/>
    <x v="3"/>
    <x v="0"/>
    <x v="17"/>
    <n v="16"/>
    <n v="95780"/>
  </r>
  <r>
    <x v="8"/>
    <x v="3"/>
    <x v="0"/>
    <x v="18"/>
    <n v="8"/>
    <n v="26950"/>
  </r>
  <r>
    <x v="8"/>
    <x v="3"/>
    <x v="0"/>
    <x v="19"/>
    <n v="26"/>
    <n v="135790"/>
  </r>
  <r>
    <x v="8"/>
    <x v="3"/>
    <x v="0"/>
    <x v="20"/>
    <n v="94"/>
    <n v="339960"/>
  </r>
  <r>
    <x v="8"/>
    <x v="3"/>
    <x v="0"/>
    <x v="21"/>
    <n v="5"/>
    <n v="22000"/>
  </r>
  <r>
    <x v="8"/>
    <x v="3"/>
    <x v="0"/>
    <x v="22"/>
    <n v="41"/>
    <n v="151100"/>
  </r>
  <r>
    <x v="8"/>
    <x v="3"/>
    <x v="0"/>
    <x v="23"/>
    <n v="35"/>
    <n v="176830"/>
  </r>
  <r>
    <x v="8"/>
    <x v="3"/>
    <x v="0"/>
    <x v="24"/>
    <n v="21"/>
    <n v="115020"/>
  </r>
  <r>
    <x v="8"/>
    <x v="3"/>
    <x v="0"/>
    <x v="25"/>
    <n v="5"/>
    <n v="23080"/>
  </r>
  <r>
    <x v="8"/>
    <x v="3"/>
    <x v="0"/>
    <x v="26"/>
    <n v="28"/>
    <n v="112680"/>
  </r>
  <r>
    <x v="8"/>
    <x v="3"/>
    <x v="0"/>
    <x v="27"/>
    <n v="75"/>
    <n v="318170"/>
  </r>
  <r>
    <x v="8"/>
    <x v="3"/>
    <x v="0"/>
    <x v="28"/>
    <n v="19"/>
    <n v="94000"/>
  </r>
  <r>
    <x v="8"/>
    <x v="3"/>
    <x v="0"/>
    <x v="29"/>
    <n v="20"/>
    <n v="89610"/>
  </r>
  <r>
    <x v="8"/>
    <x v="3"/>
    <x v="0"/>
    <x v="30"/>
    <n v="46"/>
    <n v="181310"/>
  </r>
  <r>
    <x v="8"/>
    <x v="3"/>
    <x v="1"/>
    <x v="0"/>
    <n v="36"/>
    <n v="228800"/>
  </r>
  <r>
    <x v="8"/>
    <x v="3"/>
    <x v="1"/>
    <x v="1"/>
    <n v="11"/>
    <n v="261800"/>
  </r>
  <r>
    <x v="8"/>
    <x v="3"/>
    <x v="1"/>
    <x v="2"/>
    <n v="7"/>
    <n v="116280"/>
  </r>
  <r>
    <x v="8"/>
    <x v="3"/>
    <x v="1"/>
    <x v="3"/>
    <n v="6"/>
    <n v="86810"/>
  </r>
  <r>
    <x v="8"/>
    <x v="3"/>
    <x v="1"/>
    <x v="4"/>
    <n v="114"/>
    <n v="513210"/>
  </r>
  <r>
    <x v="8"/>
    <x v="3"/>
    <x v="1"/>
    <x v="5"/>
    <n v="3"/>
    <n v="51450"/>
  </r>
  <r>
    <x v="8"/>
    <x v="3"/>
    <x v="1"/>
    <x v="6"/>
    <n v="7"/>
    <n v="149200"/>
  </r>
  <r>
    <x v="8"/>
    <x v="3"/>
    <x v="1"/>
    <x v="7"/>
    <n v="19"/>
    <n v="148710"/>
  </r>
  <r>
    <x v="8"/>
    <x v="3"/>
    <x v="1"/>
    <x v="8"/>
    <n v="13"/>
    <n v="121940"/>
  </r>
  <r>
    <x v="8"/>
    <x v="3"/>
    <x v="1"/>
    <x v="9"/>
    <n v="33"/>
    <n v="108130"/>
  </r>
  <r>
    <x v="8"/>
    <x v="3"/>
    <x v="1"/>
    <x v="10"/>
    <n v="8"/>
    <n v="104840"/>
  </r>
  <r>
    <x v="8"/>
    <x v="3"/>
    <x v="1"/>
    <x v="31"/>
    <n v="6"/>
    <n v="94760"/>
  </r>
  <r>
    <x v="8"/>
    <x v="3"/>
    <x v="1"/>
    <x v="11"/>
    <n v="19"/>
    <n v="160130"/>
  </r>
  <r>
    <x v="8"/>
    <x v="3"/>
    <x v="1"/>
    <x v="12"/>
    <n v="22"/>
    <n v="371410"/>
  </r>
  <r>
    <x v="8"/>
    <x v="3"/>
    <x v="1"/>
    <x v="13"/>
    <n v="183"/>
    <n v="621020"/>
  </r>
  <r>
    <x v="8"/>
    <x v="3"/>
    <x v="1"/>
    <x v="14"/>
    <n v="5"/>
    <n v="235180"/>
  </r>
  <r>
    <x v="8"/>
    <x v="3"/>
    <x v="1"/>
    <x v="15"/>
    <n v="26"/>
    <n v="78760"/>
  </r>
  <r>
    <x v="8"/>
    <x v="3"/>
    <x v="1"/>
    <x v="16"/>
    <n v="23"/>
    <n v="90090"/>
  </r>
  <r>
    <x v="8"/>
    <x v="3"/>
    <x v="1"/>
    <x v="17"/>
    <n v="8"/>
    <n v="95780"/>
  </r>
  <r>
    <x v="8"/>
    <x v="3"/>
    <x v="1"/>
    <x v="18"/>
    <n v="1"/>
    <n v="26950"/>
  </r>
  <r>
    <x v="8"/>
    <x v="3"/>
    <x v="1"/>
    <x v="19"/>
    <n v="15"/>
    <n v="135790"/>
  </r>
  <r>
    <x v="8"/>
    <x v="3"/>
    <x v="1"/>
    <x v="20"/>
    <n v="97"/>
    <n v="339960"/>
  </r>
  <r>
    <x v="8"/>
    <x v="3"/>
    <x v="1"/>
    <x v="22"/>
    <n v="3"/>
    <n v="151100"/>
  </r>
  <r>
    <x v="8"/>
    <x v="3"/>
    <x v="1"/>
    <x v="23"/>
    <n v="36"/>
    <n v="176830"/>
  </r>
  <r>
    <x v="8"/>
    <x v="3"/>
    <x v="1"/>
    <x v="24"/>
    <n v="3"/>
    <n v="115020"/>
  </r>
  <r>
    <x v="8"/>
    <x v="3"/>
    <x v="1"/>
    <x v="26"/>
    <n v="12"/>
    <n v="112680"/>
  </r>
  <r>
    <x v="8"/>
    <x v="3"/>
    <x v="1"/>
    <x v="27"/>
    <n v="75"/>
    <n v="318170"/>
  </r>
  <r>
    <x v="8"/>
    <x v="3"/>
    <x v="1"/>
    <x v="28"/>
    <n v="8"/>
    <n v="94000"/>
  </r>
  <r>
    <x v="8"/>
    <x v="3"/>
    <x v="1"/>
    <x v="29"/>
    <n v="33"/>
    <n v="89610"/>
  </r>
  <r>
    <x v="8"/>
    <x v="3"/>
    <x v="1"/>
    <x v="30"/>
    <n v="31"/>
    <n v="181310"/>
  </r>
  <r>
    <x v="8"/>
    <x v="4"/>
    <x v="0"/>
    <x v="0"/>
    <n v="7"/>
    <n v="228800"/>
  </r>
  <r>
    <x v="8"/>
    <x v="4"/>
    <x v="0"/>
    <x v="1"/>
    <n v="30"/>
    <n v="261800"/>
  </r>
  <r>
    <x v="8"/>
    <x v="4"/>
    <x v="0"/>
    <x v="2"/>
    <n v="10"/>
    <n v="116280"/>
  </r>
  <r>
    <x v="8"/>
    <x v="4"/>
    <x v="0"/>
    <x v="3"/>
    <n v="13"/>
    <n v="86810"/>
  </r>
  <r>
    <x v="8"/>
    <x v="4"/>
    <x v="0"/>
    <x v="4"/>
    <n v="29"/>
    <n v="513210"/>
  </r>
  <r>
    <x v="8"/>
    <x v="4"/>
    <x v="0"/>
    <x v="5"/>
    <n v="1"/>
    <n v="51450"/>
  </r>
  <r>
    <x v="8"/>
    <x v="4"/>
    <x v="0"/>
    <x v="6"/>
    <n v="15"/>
    <n v="149200"/>
  </r>
  <r>
    <x v="8"/>
    <x v="4"/>
    <x v="0"/>
    <x v="7"/>
    <n v="5"/>
    <n v="148710"/>
  </r>
  <r>
    <x v="8"/>
    <x v="4"/>
    <x v="0"/>
    <x v="8"/>
    <n v="4"/>
    <n v="121940"/>
  </r>
  <r>
    <x v="8"/>
    <x v="4"/>
    <x v="0"/>
    <x v="9"/>
    <n v="1"/>
    <n v="108130"/>
  </r>
  <r>
    <x v="8"/>
    <x v="4"/>
    <x v="0"/>
    <x v="10"/>
    <n v="15"/>
    <n v="104840"/>
  </r>
  <r>
    <x v="8"/>
    <x v="4"/>
    <x v="0"/>
    <x v="31"/>
    <n v="2"/>
    <n v="94760"/>
  </r>
  <r>
    <x v="8"/>
    <x v="4"/>
    <x v="0"/>
    <x v="11"/>
    <n v="14"/>
    <n v="160130"/>
  </r>
  <r>
    <x v="8"/>
    <x v="4"/>
    <x v="0"/>
    <x v="12"/>
    <n v="50"/>
    <n v="371410"/>
  </r>
  <r>
    <x v="8"/>
    <x v="4"/>
    <x v="0"/>
    <x v="13"/>
    <n v="27"/>
    <n v="621020"/>
  </r>
  <r>
    <x v="8"/>
    <x v="4"/>
    <x v="0"/>
    <x v="14"/>
    <n v="44"/>
    <n v="235180"/>
  </r>
  <r>
    <x v="8"/>
    <x v="4"/>
    <x v="0"/>
    <x v="15"/>
    <n v="4"/>
    <n v="78760"/>
  </r>
  <r>
    <x v="8"/>
    <x v="4"/>
    <x v="0"/>
    <x v="16"/>
    <n v="14"/>
    <n v="90090"/>
  </r>
  <r>
    <x v="8"/>
    <x v="4"/>
    <x v="0"/>
    <x v="17"/>
    <n v="10"/>
    <n v="95780"/>
  </r>
  <r>
    <x v="8"/>
    <x v="4"/>
    <x v="0"/>
    <x v="18"/>
    <n v="5"/>
    <n v="26950"/>
  </r>
  <r>
    <x v="8"/>
    <x v="4"/>
    <x v="0"/>
    <x v="19"/>
    <n v="6"/>
    <n v="135790"/>
  </r>
  <r>
    <x v="8"/>
    <x v="4"/>
    <x v="0"/>
    <x v="20"/>
    <n v="10"/>
    <n v="339960"/>
  </r>
  <r>
    <x v="8"/>
    <x v="4"/>
    <x v="0"/>
    <x v="21"/>
    <n v="1"/>
    <n v="22000"/>
  </r>
  <r>
    <x v="8"/>
    <x v="4"/>
    <x v="0"/>
    <x v="22"/>
    <n v="10"/>
    <n v="151100"/>
  </r>
  <r>
    <x v="8"/>
    <x v="4"/>
    <x v="0"/>
    <x v="23"/>
    <n v="10"/>
    <n v="176830"/>
  </r>
  <r>
    <x v="8"/>
    <x v="4"/>
    <x v="0"/>
    <x v="24"/>
    <n v="8"/>
    <n v="115020"/>
  </r>
  <r>
    <x v="8"/>
    <x v="4"/>
    <x v="0"/>
    <x v="25"/>
    <n v="8"/>
    <n v="23080"/>
  </r>
  <r>
    <x v="8"/>
    <x v="4"/>
    <x v="0"/>
    <x v="26"/>
    <n v="7"/>
    <n v="112680"/>
  </r>
  <r>
    <x v="8"/>
    <x v="4"/>
    <x v="0"/>
    <x v="27"/>
    <n v="13"/>
    <n v="318170"/>
  </r>
  <r>
    <x v="8"/>
    <x v="4"/>
    <x v="0"/>
    <x v="28"/>
    <n v="8"/>
    <n v="94000"/>
  </r>
  <r>
    <x v="8"/>
    <x v="4"/>
    <x v="0"/>
    <x v="29"/>
    <n v="4"/>
    <n v="89610"/>
  </r>
  <r>
    <x v="8"/>
    <x v="4"/>
    <x v="0"/>
    <x v="30"/>
    <n v="13"/>
    <n v="181310"/>
  </r>
  <r>
    <x v="8"/>
    <x v="4"/>
    <x v="1"/>
    <x v="0"/>
    <n v="9"/>
    <n v="228800"/>
  </r>
  <r>
    <x v="8"/>
    <x v="4"/>
    <x v="1"/>
    <x v="1"/>
    <n v="11"/>
    <n v="261800"/>
  </r>
  <r>
    <x v="8"/>
    <x v="4"/>
    <x v="1"/>
    <x v="2"/>
    <n v="8"/>
    <n v="116280"/>
  </r>
  <r>
    <x v="8"/>
    <x v="4"/>
    <x v="1"/>
    <x v="3"/>
    <n v="3"/>
    <n v="86810"/>
  </r>
  <r>
    <x v="8"/>
    <x v="4"/>
    <x v="1"/>
    <x v="4"/>
    <n v="66"/>
    <n v="513210"/>
  </r>
  <r>
    <x v="8"/>
    <x v="4"/>
    <x v="1"/>
    <x v="5"/>
    <n v="10"/>
    <n v="51450"/>
  </r>
  <r>
    <x v="8"/>
    <x v="4"/>
    <x v="1"/>
    <x v="6"/>
    <n v="8"/>
    <n v="149200"/>
  </r>
  <r>
    <x v="8"/>
    <x v="4"/>
    <x v="1"/>
    <x v="7"/>
    <n v="19"/>
    <n v="148710"/>
  </r>
  <r>
    <x v="8"/>
    <x v="4"/>
    <x v="1"/>
    <x v="8"/>
    <n v="7"/>
    <n v="121940"/>
  </r>
  <r>
    <x v="8"/>
    <x v="4"/>
    <x v="1"/>
    <x v="9"/>
    <n v="9"/>
    <n v="108130"/>
  </r>
  <r>
    <x v="8"/>
    <x v="4"/>
    <x v="1"/>
    <x v="10"/>
    <n v="30"/>
    <n v="104840"/>
  </r>
  <r>
    <x v="8"/>
    <x v="4"/>
    <x v="1"/>
    <x v="31"/>
    <n v="2"/>
    <n v="94760"/>
  </r>
  <r>
    <x v="8"/>
    <x v="4"/>
    <x v="1"/>
    <x v="11"/>
    <n v="59"/>
    <n v="160130"/>
  </r>
  <r>
    <x v="8"/>
    <x v="4"/>
    <x v="1"/>
    <x v="12"/>
    <n v="60"/>
    <n v="371410"/>
  </r>
  <r>
    <x v="8"/>
    <x v="4"/>
    <x v="1"/>
    <x v="13"/>
    <n v="53"/>
    <n v="621020"/>
  </r>
  <r>
    <x v="8"/>
    <x v="4"/>
    <x v="1"/>
    <x v="14"/>
    <n v="3"/>
    <n v="235180"/>
  </r>
  <r>
    <x v="8"/>
    <x v="4"/>
    <x v="1"/>
    <x v="15"/>
    <n v="7"/>
    <n v="78760"/>
  </r>
  <r>
    <x v="8"/>
    <x v="4"/>
    <x v="1"/>
    <x v="16"/>
    <n v="47"/>
    <n v="90090"/>
  </r>
  <r>
    <x v="8"/>
    <x v="4"/>
    <x v="1"/>
    <x v="17"/>
    <n v="5"/>
    <n v="95780"/>
  </r>
  <r>
    <x v="8"/>
    <x v="4"/>
    <x v="1"/>
    <x v="19"/>
    <n v="11"/>
    <n v="135790"/>
  </r>
  <r>
    <x v="8"/>
    <x v="4"/>
    <x v="1"/>
    <x v="20"/>
    <n v="23"/>
    <n v="339960"/>
  </r>
  <r>
    <x v="8"/>
    <x v="4"/>
    <x v="1"/>
    <x v="22"/>
    <n v="8"/>
    <n v="151100"/>
  </r>
  <r>
    <x v="8"/>
    <x v="4"/>
    <x v="1"/>
    <x v="23"/>
    <n v="22"/>
    <n v="176830"/>
  </r>
  <r>
    <x v="8"/>
    <x v="4"/>
    <x v="1"/>
    <x v="24"/>
    <n v="38"/>
    <n v="115020"/>
  </r>
  <r>
    <x v="8"/>
    <x v="4"/>
    <x v="1"/>
    <x v="26"/>
    <n v="8"/>
    <n v="112680"/>
  </r>
  <r>
    <x v="8"/>
    <x v="4"/>
    <x v="1"/>
    <x v="27"/>
    <n v="28"/>
    <n v="318170"/>
  </r>
  <r>
    <x v="8"/>
    <x v="4"/>
    <x v="1"/>
    <x v="28"/>
    <n v="10"/>
    <n v="94000"/>
  </r>
  <r>
    <x v="8"/>
    <x v="4"/>
    <x v="1"/>
    <x v="29"/>
    <n v="7"/>
    <n v="89610"/>
  </r>
  <r>
    <x v="8"/>
    <x v="4"/>
    <x v="1"/>
    <x v="30"/>
    <n v="89"/>
    <n v="181310"/>
  </r>
  <r>
    <x v="8"/>
    <x v="5"/>
    <x v="0"/>
    <x v="0"/>
    <n v="81"/>
    <n v="228800"/>
  </r>
  <r>
    <x v="8"/>
    <x v="5"/>
    <x v="0"/>
    <x v="1"/>
    <n v="81"/>
    <n v="261800"/>
  </r>
  <r>
    <x v="8"/>
    <x v="5"/>
    <x v="0"/>
    <x v="2"/>
    <n v="67"/>
    <n v="116280"/>
  </r>
  <r>
    <x v="8"/>
    <x v="5"/>
    <x v="0"/>
    <x v="3"/>
    <n v="40"/>
    <n v="86810"/>
  </r>
  <r>
    <x v="8"/>
    <x v="5"/>
    <x v="0"/>
    <x v="4"/>
    <n v="569"/>
    <n v="513210"/>
  </r>
  <r>
    <x v="8"/>
    <x v="5"/>
    <x v="0"/>
    <x v="5"/>
    <n v="34"/>
    <n v="51450"/>
  </r>
  <r>
    <x v="8"/>
    <x v="5"/>
    <x v="0"/>
    <x v="6"/>
    <n v="79"/>
    <n v="149200"/>
  </r>
  <r>
    <x v="8"/>
    <x v="5"/>
    <x v="0"/>
    <x v="7"/>
    <n v="108"/>
    <n v="148710"/>
  </r>
  <r>
    <x v="8"/>
    <x v="5"/>
    <x v="0"/>
    <x v="8"/>
    <n v="13"/>
    <n v="121940"/>
  </r>
  <r>
    <x v="8"/>
    <x v="5"/>
    <x v="0"/>
    <x v="9"/>
    <n v="13"/>
    <n v="108130"/>
  </r>
  <r>
    <x v="8"/>
    <x v="5"/>
    <x v="0"/>
    <x v="10"/>
    <n v="66"/>
    <n v="104840"/>
  </r>
  <r>
    <x v="8"/>
    <x v="5"/>
    <x v="0"/>
    <x v="31"/>
    <n v="13"/>
    <n v="94760"/>
  </r>
  <r>
    <x v="8"/>
    <x v="5"/>
    <x v="0"/>
    <x v="11"/>
    <n v="145"/>
    <n v="160130"/>
  </r>
  <r>
    <x v="8"/>
    <x v="5"/>
    <x v="0"/>
    <x v="12"/>
    <n v="238"/>
    <n v="371410"/>
  </r>
  <r>
    <x v="8"/>
    <x v="5"/>
    <x v="0"/>
    <x v="13"/>
    <n v="123"/>
    <n v="621020"/>
  </r>
  <r>
    <x v="8"/>
    <x v="5"/>
    <x v="0"/>
    <x v="14"/>
    <n v="340"/>
    <n v="235180"/>
  </r>
  <r>
    <x v="8"/>
    <x v="5"/>
    <x v="0"/>
    <x v="15"/>
    <n v="8"/>
    <n v="78760"/>
  </r>
  <r>
    <x v="8"/>
    <x v="5"/>
    <x v="0"/>
    <x v="16"/>
    <n v="62"/>
    <n v="90090"/>
  </r>
  <r>
    <x v="8"/>
    <x v="5"/>
    <x v="0"/>
    <x v="17"/>
    <n v="39"/>
    <n v="95780"/>
  </r>
  <r>
    <x v="8"/>
    <x v="5"/>
    <x v="0"/>
    <x v="18"/>
    <n v="64"/>
    <n v="26950"/>
  </r>
  <r>
    <x v="8"/>
    <x v="5"/>
    <x v="0"/>
    <x v="19"/>
    <n v="24"/>
    <n v="135790"/>
  </r>
  <r>
    <x v="8"/>
    <x v="5"/>
    <x v="0"/>
    <x v="20"/>
    <n v="30"/>
    <n v="339960"/>
  </r>
  <r>
    <x v="8"/>
    <x v="5"/>
    <x v="0"/>
    <x v="21"/>
    <n v="7"/>
    <n v="22000"/>
  </r>
  <r>
    <x v="8"/>
    <x v="5"/>
    <x v="0"/>
    <x v="22"/>
    <n v="91"/>
    <n v="151100"/>
  </r>
  <r>
    <x v="8"/>
    <x v="5"/>
    <x v="0"/>
    <x v="23"/>
    <n v="35"/>
    <n v="176830"/>
  </r>
  <r>
    <x v="8"/>
    <x v="5"/>
    <x v="0"/>
    <x v="24"/>
    <n v="31"/>
    <n v="115020"/>
  </r>
  <r>
    <x v="8"/>
    <x v="5"/>
    <x v="0"/>
    <x v="25"/>
    <n v="9"/>
    <n v="23080"/>
  </r>
  <r>
    <x v="8"/>
    <x v="5"/>
    <x v="0"/>
    <x v="26"/>
    <n v="28"/>
    <n v="112680"/>
  </r>
  <r>
    <x v="8"/>
    <x v="5"/>
    <x v="0"/>
    <x v="27"/>
    <n v="39"/>
    <n v="318170"/>
  </r>
  <r>
    <x v="8"/>
    <x v="5"/>
    <x v="0"/>
    <x v="28"/>
    <n v="46"/>
    <n v="94000"/>
  </r>
  <r>
    <x v="8"/>
    <x v="5"/>
    <x v="0"/>
    <x v="29"/>
    <n v="5"/>
    <n v="89610"/>
  </r>
  <r>
    <x v="8"/>
    <x v="5"/>
    <x v="0"/>
    <x v="30"/>
    <n v="84"/>
    <n v="181310"/>
  </r>
  <r>
    <x v="8"/>
    <x v="5"/>
    <x v="1"/>
    <x v="0"/>
    <n v="261"/>
    <n v="228800"/>
  </r>
  <r>
    <x v="8"/>
    <x v="5"/>
    <x v="1"/>
    <x v="1"/>
    <n v="134"/>
    <n v="261800"/>
  </r>
  <r>
    <x v="8"/>
    <x v="5"/>
    <x v="1"/>
    <x v="2"/>
    <n v="115"/>
    <n v="116280"/>
  </r>
  <r>
    <x v="8"/>
    <x v="5"/>
    <x v="1"/>
    <x v="3"/>
    <n v="40"/>
    <n v="86810"/>
  </r>
  <r>
    <x v="8"/>
    <x v="5"/>
    <x v="1"/>
    <x v="4"/>
    <n v="1222"/>
    <n v="513210"/>
  </r>
  <r>
    <x v="8"/>
    <x v="5"/>
    <x v="1"/>
    <x v="5"/>
    <n v="77"/>
    <n v="51450"/>
  </r>
  <r>
    <x v="8"/>
    <x v="5"/>
    <x v="1"/>
    <x v="6"/>
    <n v="99"/>
    <n v="149200"/>
  </r>
  <r>
    <x v="8"/>
    <x v="5"/>
    <x v="1"/>
    <x v="7"/>
    <n v="666"/>
    <n v="148710"/>
  </r>
  <r>
    <x v="8"/>
    <x v="5"/>
    <x v="1"/>
    <x v="8"/>
    <n v="579"/>
    <n v="121940"/>
  </r>
  <r>
    <x v="8"/>
    <x v="5"/>
    <x v="1"/>
    <x v="9"/>
    <n v="162"/>
    <n v="108130"/>
  </r>
  <r>
    <x v="8"/>
    <x v="5"/>
    <x v="1"/>
    <x v="10"/>
    <n v="178"/>
    <n v="104840"/>
  </r>
  <r>
    <x v="8"/>
    <x v="5"/>
    <x v="1"/>
    <x v="31"/>
    <n v="152"/>
    <n v="94760"/>
  </r>
  <r>
    <x v="8"/>
    <x v="5"/>
    <x v="1"/>
    <x v="11"/>
    <n v="283"/>
    <n v="160130"/>
  </r>
  <r>
    <x v="8"/>
    <x v="5"/>
    <x v="1"/>
    <x v="12"/>
    <n v="711"/>
    <n v="371410"/>
  </r>
  <r>
    <x v="8"/>
    <x v="5"/>
    <x v="1"/>
    <x v="13"/>
    <n v="2227"/>
    <n v="621020"/>
  </r>
  <r>
    <x v="8"/>
    <x v="5"/>
    <x v="1"/>
    <x v="14"/>
    <n v="130"/>
    <n v="235180"/>
  </r>
  <r>
    <x v="8"/>
    <x v="5"/>
    <x v="1"/>
    <x v="15"/>
    <n v="340"/>
    <n v="78760"/>
  </r>
  <r>
    <x v="8"/>
    <x v="5"/>
    <x v="1"/>
    <x v="16"/>
    <n v="329"/>
    <n v="90090"/>
  </r>
  <r>
    <x v="8"/>
    <x v="5"/>
    <x v="1"/>
    <x v="17"/>
    <n v="44"/>
    <n v="95780"/>
  </r>
  <r>
    <x v="8"/>
    <x v="5"/>
    <x v="1"/>
    <x v="18"/>
    <n v="1"/>
    <n v="26950"/>
  </r>
  <r>
    <x v="8"/>
    <x v="5"/>
    <x v="1"/>
    <x v="19"/>
    <n v="545"/>
    <n v="135790"/>
  </r>
  <r>
    <x v="8"/>
    <x v="5"/>
    <x v="1"/>
    <x v="20"/>
    <n v="1176"/>
    <n v="339960"/>
  </r>
  <r>
    <x v="8"/>
    <x v="5"/>
    <x v="1"/>
    <x v="21"/>
    <n v="2"/>
    <n v="22000"/>
  </r>
  <r>
    <x v="8"/>
    <x v="5"/>
    <x v="1"/>
    <x v="22"/>
    <n v="90"/>
    <n v="151100"/>
  </r>
  <r>
    <x v="8"/>
    <x v="5"/>
    <x v="1"/>
    <x v="23"/>
    <n v="468"/>
    <n v="176830"/>
  </r>
  <r>
    <x v="8"/>
    <x v="5"/>
    <x v="1"/>
    <x v="24"/>
    <n v="102"/>
    <n v="115020"/>
  </r>
  <r>
    <x v="8"/>
    <x v="5"/>
    <x v="1"/>
    <x v="25"/>
    <n v="2"/>
    <n v="23080"/>
  </r>
  <r>
    <x v="8"/>
    <x v="5"/>
    <x v="1"/>
    <x v="26"/>
    <n v="223"/>
    <n v="112680"/>
  </r>
  <r>
    <x v="8"/>
    <x v="5"/>
    <x v="1"/>
    <x v="27"/>
    <n v="758"/>
    <n v="318170"/>
  </r>
  <r>
    <x v="8"/>
    <x v="5"/>
    <x v="1"/>
    <x v="28"/>
    <n v="125"/>
    <n v="94000"/>
  </r>
  <r>
    <x v="8"/>
    <x v="5"/>
    <x v="1"/>
    <x v="29"/>
    <n v="236"/>
    <n v="89610"/>
  </r>
  <r>
    <x v="8"/>
    <x v="5"/>
    <x v="1"/>
    <x v="30"/>
    <n v="639"/>
    <n v="181310"/>
  </r>
  <r>
    <x v="9"/>
    <x v="0"/>
    <x v="0"/>
    <x v="0"/>
    <n v="5"/>
    <n v="227560"/>
  </r>
  <r>
    <x v="9"/>
    <x v="0"/>
    <x v="0"/>
    <x v="1"/>
    <n v="61"/>
    <n v="261470"/>
  </r>
  <r>
    <x v="9"/>
    <x v="0"/>
    <x v="0"/>
    <x v="2"/>
    <n v="18"/>
    <n v="116040"/>
  </r>
  <r>
    <x v="9"/>
    <x v="0"/>
    <x v="0"/>
    <x v="3"/>
    <n v="44"/>
    <n v="86260"/>
  </r>
  <r>
    <x v="9"/>
    <x v="0"/>
    <x v="0"/>
    <x v="4"/>
    <n v="7"/>
    <n v="518500"/>
  </r>
  <r>
    <x v="9"/>
    <x v="0"/>
    <x v="0"/>
    <x v="5"/>
    <n v="3"/>
    <n v="51400"/>
  </r>
  <r>
    <x v="9"/>
    <x v="0"/>
    <x v="0"/>
    <x v="6"/>
    <n v="68"/>
    <n v="148790"/>
  </r>
  <r>
    <x v="9"/>
    <x v="0"/>
    <x v="0"/>
    <x v="8"/>
    <n v="9"/>
    <n v="121840"/>
  </r>
  <r>
    <x v="9"/>
    <x v="0"/>
    <x v="0"/>
    <x v="9"/>
    <n v="5"/>
    <n v="108330"/>
  </r>
  <r>
    <x v="9"/>
    <x v="0"/>
    <x v="0"/>
    <x v="10"/>
    <n v="17"/>
    <n v="105790"/>
  </r>
  <r>
    <x v="9"/>
    <x v="0"/>
    <x v="0"/>
    <x v="31"/>
    <n v="4"/>
    <n v="95170"/>
  </r>
  <r>
    <x v="9"/>
    <x v="0"/>
    <x v="0"/>
    <x v="11"/>
    <n v="7"/>
    <n v="160340"/>
  </r>
  <r>
    <x v="9"/>
    <x v="0"/>
    <x v="0"/>
    <x v="12"/>
    <n v="25"/>
    <n v="371910"/>
  </r>
  <r>
    <x v="9"/>
    <x v="0"/>
    <x v="0"/>
    <x v="13"/>
    <n v="9"/>
    <n v="626410"/>
  </r>
  <r>
    <x v="9"/>
    <x v="0"/>
    <x v="0"/>
    <x v="14"/>
    <n v="141"/>
    <n v="235540"/>
  </r>
  <r>
    <x v="9"/>
    <x v="0"/>
    <x v="0"/>
    <x v="15"/>
    <n v="2"/>
    <n v="78150"/>
  </r>
  <r>
    <x v="9"/>
    <x v="0"/>
    <x v="0"/>
    <x v="16"/>
    <n v="4"/>
    <n v="91340"/>
  </r>
  <r>
    <x v="9"/>
    <x v="0"/>
    <x v="0"/>
    <x v="17"/>
    <n v="28"/>
    <n v="95520"/>
  </r>
  <r>
    <x v="9"/>
    <x v="0"/>
    <x v="0"/>
    <x v="18"/>
    <n v="31"/>
    <n v="26830"/>
  </r>
  <r>
    <x v="9"/>
    <x v="0"/>
    <x v="0"/>
    <x v="19"/>
    <n v="14"/>
    <n v="135280"/>
  </r>
  <r>
    <x v="9"/>
    <x v="0"/>
    <x v="0"/>
    <x v="20"/>
    <n v="3"/>
    <n v="340180"/>
  </r>
  <r>
    <x v="9"/>
    <x v="0"/>
    <x v="0"/>
    <x v="21"/>
    <n v="6"/>
    <n v="22190"/>
  </r>
  <r>
    <x v="9"/>
    <x v="0"/>
    <x v="0"/>
    <x v="22"/>
    <n v="37"/>
    <n v="151290"/>
  </r>
  <r>
    <x v="9"/>
    <x v="0"/>
    <x v="0"/>
    <x v="23"/>
    <n v="3"/>
    <n v="177790"/>
  </r>
  <r>
    <x v="9"/>
    <x v="0"/>
    <x v="0"/>
    <x v="24"/>
    <n v="34"/>
    <n v="115270"/>
  </r>
  <r>
    <x v="9"/>
    <x v="0"/>
    <x v="0"/>
    <x v="25"/>
    <n v="13"/>
    <n v="22990"/>
  </r>
  <r>
    <x v="9"/>
    <x v="0"/>
    <x v="0"/>
    <x v="26"/>
    <n v="8"/>
    <n v="112550"/>
  </r>
  <r>
    <x v="9"/>
    <x v="0"/>
    <x v="0"/>
    <x v="27"/>
    <n v="18"/>
    <n v="319020"/>
  </r>
  <r>
    <x v="9"/>
    <x v="0"/>
    <x v="0"/>
    <x v="28"/>
    <n v="14"/>
    <n v="94330"/>
  </r>
  <r>
    <x v="9"/>
    <x v="0"/>
    <x v="0"/>
    <x v="29"/>
    <n v="2"/>
    <n v="89130"/>
  </r>
  <r>
    <x v="9"/>
    <x v="0"/>
    <x v="0"/>
    <x v="30"/>
    <n v="2"/>
    <n v="182140"/>
  </r>
  <r>
    <x v="9"/>
    <x v="0"/>
    <x v="1"/>
    <x v="8"/>
    <n v="1"/>
    <n v="121840"/>
  </r>
  <r>
    <x v="9"/>
    <x v="0"/>
    <x v="1"/>
    <x v="12"/>
    <n v="1"/>
    <n v="371910"/>
  </r>
  <r>
    <x v="9"/>
    <x v="1"/>
    <x v="0"/>
    <x v="0"/>
    <n v="262"/>
    <n v="227560"/>
  </r>
  <r>
    <x v="9"/>
    <x v="1"/>
    <x v="0"/>
    <x v="1"/>
    <n v="163"/>
    <n v="261470"/>
  </r>
  <r>
    <x v="9"/>
    <x v="1"/>
    <x v="0"/>
    <x v="2"/>
    <n v="80"/>
    <n v="116040"/>
  </r>
  <r>
    <x v="9"/>
    <x v="1"/>
    <x v="0"/>
    <x v="3"/>
    <n v="85"/>
    <n v="86260"/>
  </r>
  <r>
    <x v="9"/>
    <x v="1"/>
    <x v="0"/>
    <x v="4"/>
    <n v="448"/>
    <n v="518500"/>
  </r>
  <r>
    <x v="9"/>
    <x v="1"/>
    <x v="0"/>
    <x v="5"/>
    <n v="45"/>
    <n v="51400"/>
  </r>
  <r>
    <x v="9"/>
    <x v="1"/>
    <x v="0"/>
    <x v="6"/>
    <n v="76"/>
    <n v="148790"/>
  </r>
  <r>
    <x v="9"/>
    <x v="1"/>
    <x v="0"/>
    <x v="7"/>
    <n v="182"/>
    <n v="148750"/>
  </r>
  <r>
    <x v="9"/>
    <x v="1"/>
    <x v="0"/>
    <x v="8"/>
    <n v="83"/>
    <n v="121840"/>
  </r>
  <r>
    <x v="9"/>
    <x v="1"/>
    <x v="0"/>
    <x v="9"/>
    <n v="64"/>
    <n v="108330"/>
  </r>
  <r>
    <x v="9"/>
    <x v="1"/>
    <x v="0"/>
    <x v="10"/>
    <n v="69"/>
    <n v="105790"/>
  </r>
  <r>
    <x v="9"/>
    <x v="1"/>
    <x v="0"/>
    <x v="31"/>
    <n v="60"/>
    <n v="95170"/>
  </r>
  <r>
    <x v="9"/>
    <x v="1"/>
    <x v="0"/>
    <x v="11"/>
    <n v="112"/>
    <n v="160340"/>
  </r>
  <r>
    <x v="9"/>
    <x v="1"/>
    <x v="0"/>
    <x v="12"/>
    <n v="244"/>
    <n v="371910"/>
  </r>
  <r>
    <x v="9"/>
    <x v="1"/>
    <x v="0"/>
    <x v="13"/>
    <n v="784"/>
    <n v="626410"/>
  </r>
  <r>
    <x v="9"/>
    <x v="1"/>
    <x v="0"/>
    <x v="14"/>
    <n v="145"/>
    <n v="235540"/>
  </r>
  <r>
    <x v="9"/>
    <x v="1"/>
    <x v="0"/>
    <x v="15"/>
    <n v="77"/>
    <n v="78150"/>
  </r>
  <r>
    <x v="9"/>
    <x v="1"/>
    <x v="0"/>
    <x v="16"/>
    <n v="52"/>
    <n v="91340"/>
  </r>
  <r>
    <x v="9"/>
    <x v="1"/>
    <x v="0"/>
    <x v="17"/>
    <n v="55"/>
    <n v="95520"/>
  </r>
  <r>
    <x v="9"/>
    <x v="1"/>
    <x v="0"/>
    <x v="18"/>
    <n v="22"/>
    <n v="26830"/>
  </r>
  <r>
    <x v="9"/>
    <x v="1"/>
    <x v="0"/>
    <x v="19"/>
    <n v="163"/>
    <n v="135280"/>
  </r>
  <r>
    <x v="9"/>
    <x v="1"/>
    <x v="0"/>
    <x v="20"/>
    <n v="296"/>
    <n v="340180"/>
  </r>
  <r>
    <x v="9"/>
    <x v="1"/>
    <x v="0"/>
    <x v="21"/>
    <n v="7"/>
    <n v="22190"/>
  </r>
  <r>
    <x v="9"/>
    <x v="1"/>
    <x v="0"/>
    <x v="22"/>
    <n v="111"/>
    <n v="151290"/>
  </r>
  <r>
    <x v="9"/>
    <x v="1"/>
    <x v="0"/>
    <x v="23"/>
    <n v="199"/>
    <n v="177790"/>
  </r>
  <r>
    <x v="9"/>
    <x v="1"/>
    <x v="0"/>
    <x v="24"/>
    <n v="92"/>
    <n v="115270"/>
  </r>
  <r>
    <x v="9"/>
    <x v="1"/>
    <x v="0"/>
    <x v="25"/>
    <n v="4"/>
    <n v="22990"/>
  </r>
  <r>
    <x v="9"/>
    <x v="1"/>
    <x v="0"/>
    <x v="26"/>
    <n v="84"/>
    <n v="112550"/>
  </r>
  <r>
    <x v="9"/>
    <x v="1"/>
    <x v="0"/>
    <x v="27"/>
    <n v="232"/>
    <n v="319020"/>
  </r>
  <r>
    <x v="9"/>
    <x v="1"/>
    <x v="0"/>
    <x v="28"/>
    <n v="64"/>
    <n v="94330"/>
  </r>
  <r>
    <x v="9"/>
    <x v="1"/>
    <x v="0"/>
    <x v="29"/>
    <n v="135"/>
    <n v="89130"/>
  </r>
  <r>
    <x v="9"/>
    <x v="1"/>
    <x v="0"/>
    <x v="30"/>
    <n v="140"/>
    <n v="182140"/>
  </r>
  <r>
    <x v="9"/>
    <x v="1"/>
    <x v="1"/>
    <x v="0"/>
    <n v="27"/>
    <n v="227560"/>
  </r>
  <r>
    <x v="9"/>
    <x v="1"/>
    <x v="1"/>
    <x v="1"/>
    <n v="7"/>
    <n v="261470"/>
  </r>
  <r>
    <x v="9"/>
    <x v="1"/>
    <x v="1"/>
    <x v="2"/>
    <n v="3"/>
    <n v="116040"/>
  </r>
  <r>
    <x v="9"/>
    <x v="1"/>
    <x v="1"/>
    <x v="3"/>
    <n v="6"/>
    <n v="86260"/>
  </r>
  <r>
    <x v="9"/>
    <x v="1"/>
    <x v="1"/>
    <x v="4"/>
    <n v="67"/>
    <n v="518500"/>
  </r>
  <r>
    <x v="9"/>
    <x v="1"/>
    <x v="1"/>
    <x v="5"/>
    <n v="1"/>
    <n v="51400"/>
  </r>
  <r>
    <x v="9"/>
    <x v="1"/>
    <x v="1"/>
    <x v="6"/>
    <n v="8"/>
    <n v="148790"/>
  </r>
  <r>
    <x v="9"/>
    <x v="1"/>
    <x v="1"/>
    <x v="7"/>
    <n v="21"/>
    <n v="148750"/>
  </r>
  <r>
    <x v="9"/>
    <x v="1"/>
    <x v="1"/>
    <x v="8"/>
    <n v="5"/>
    <n v="121840"/>
  </r>
  <r>
    <x v="9"/>
    <x v="1"/>
    <x v="1"/>
    <x v="9"/>
    <n v="6"/>
    <n v="108330"/>
  </r>
  <r>
    <x v="9"/>
    <x v="1"/>
    <x v="1"/>
    <x v="10"/>
    <n v="6"/>
    <n v="105790"/>
  </r>
  <r>
    <x v="9"/>
    <x v="1"/>
    <x v="1"/>
    <x v="11"/>
    <n v="14"/>
    <n v="160340"/>
  </r>
  <r>
    <x v="9"/>
    <x v="1"/>
    <x v="1"/>
    <x v="12"/>
    <n v="23"/>
    <n v="371910"/>
  </r>
  <r>
    <x v="9"/>
    <x v="1"/>
    <x v="1"/>
    <x v="13"/>
    <n v="111"/>
    <n v="626410"/>
  </r>
  <r>
    <x v="9"/>
    <x v="1"/>
    <x v="1"/>
    <x v="14"/>
    <n v="7"/>
    <n v="235540"/>
  </r>
  <r>
    <x v="9"/>
    <x v="1"/>
    <x v="1"/>
    <x v="15"/>
    <n v="15"/>
    <n v="78150"/>
  </r>
  <r>
    <x v="9"/>
    <x v="1"/>
    <x v="1"/>
    <x v="16"/>
    <n v="5"/>
    <n v="91340"/>
  </r>
  <r>
    <x v="9"/>
    <x v="1"/>
    <x v="1"/>
    <x v="17"/>
    <n v="3"/>
    <n v="95520"/>
  </r>
  <r>
    <x v="9"/>
    <x v="1"/>
    <x v="1"/>
    <x v="18"/>
    <n v="1"/>
    <n v="26830"/>
  </r>
  <r>
    <x v="9"/>
    <x v="1"/>
    <x v="1"/>
    <x v="19"/>
    <n v="17"/>
    <n v="135280"/>
  </r>
  <r>
    <x v="9"/>
    <x v="1"/>
    <x v="1"/>
    <x v="20"/>
    <n v="47"/>
    <n v="340180"/>
  </r>
  <r>
    <x v="9"/>
    <x v="1"/>
    <x v="1"/>
    <x v="22"/>
    <n v="2"/>
    <n v="151290"/>
  </r>
  <r>
    <x v="9"/>
    <x v="1"/>
    <x v="1"/>
    <x v="23"/>
    <n v="21"/>
    <n v="177790"/>
  </r>
  <r>
    <x v="9"/>
    <x v="1"/>
    <x v="1"/>
    <x v="24"/>
    <n v="12"/>
    <n v="115270"/>
  </r>
  <r>
    <x v="9"/>
    <x v="1"/>
    <x v="1"/>
    <x v="26"/>
    <n v="11"/>
    <n v="112550"/>
  </r>
  <r>
    <x v="9"/>
    <x v="1"/>
    <x v="1"/>
    <x v="27"/>
    <n v="27"/>
    <n v="319020"/>
  </r>
  <r>
    <x v="9"/>
    <x v="1"/>
    <x v="1"/>
    <x v="28"/>
    <n v="6"/>
    <n v="94330"/>
  </r>
  <r>
    <x v="9"/>
    <x v="1"/>
    <x v="1"/>
    <x v="29"/>
    <n v="11"/>
    <n v="89130"/>
  </r>
  <r>
    <x v="9"/>
    <x v="1"/>
    <x v="1"/>
    <x v="30"/>
    <n v="20"/>
    <n v="182140"/>
  </r>
  <r>
    <x v="9"/>
    <x v="2"/>
    <x v="0"/>
    <x v="0"/>
    <n v="102"/>
    <n v="227560"/>
  </r>
  <r>
    <x v="9"/>
    <x v="2"/>
    <x v="0"/>
    <x v="1"/>
    <n v="77"/>
    <n v="261470"/>
  </r>
  <r>
    <x v="9"/>
    <x v="2"/>
    <x v="0"/>
    <x v="2"/>
    <n v="32"/>
    <n v="116040"/>
  </r>
  <r>
    <x v="9"/>
    <x v="2"/>
    <x v="0"/>
    <x v="3"/>
    <n v="34"/>
    <n v="86260"/>
  </r>
  <r>
    <x v="9"/>
    <x v="2"/>
    <x v="0"/>
    <x v="4"/>
    <n v="185"/>
    <n v="518500"/>
  </r>
  <r>
    <x v="9"/>
    <x v="2"/>
    <x v="0"/>
    <x v="5"/>
    <n v="12"/>
    <n v="51400"/>
  </r>
  <r>
    <x v="9"/>
    <x v="2"/>
    <x v="0"/>
    <x v="6"/>
    <n v="45"/>
    <n v="148790"/>
  </r>
  <r>
    <x v="9"/>
    <x v="2"/>
    <x v="0"/>
    <x v="7"/>
    <n v="53"/>
    <n v="148750"/>
  </r>
  <r>
    <x v="9"/>
    <x v="2"/>
    <x v="0"/>
    <x v="8"/>
    <n v="41"/>
    <n v="121840"/>
  </r>
  <r>
    <x v="9"/>
    <x v="2"/>
    <x v="0"/>
    <x v="9"/>
    <n v="30"/>
    <n v="108330"/>
  </r>
  <r>
    <x v="9"/>
    <x v="2"/>
    <x v="0"/>
    <x v="10"/>
    <n v="33"/>
    <n v="105790"/>
  </r>
  <r>
    <x v="9"/>
    <x v="2"/>
    <x v="0"/>
    <x v="31"/>
    <n v="17"/>
    <n v="95170"/>
  </r>
  <r>
    <x v="9"/>
    <x v="2"/>
    <x v="0"/>
    <x v="11"/>
    <n v="37"/>
    <n v="160340"/>
  </r>
  <r>
    <x v="9"/>
    <x v="2"/>
    <x v="0"/>
    <x v="12"/>
    <n v="92"/>
    <n v="371910"/>
  </r>
  <r>
    <x v="9"/>
    <x v="2"/>
    <x v="0"/>
    <x v="13"/>
    <n v="256"/>
    <n v="626410"/>
  </r>
  <r>
    <x v="9"/>
    <x v="2"/>
    <x v="0"/>
    <x v="14"/>
    <n v="91"/>
    <n v="235540"/>
  </r>
  <r>
    <x v="9"/>
    <x v="2"/>
    <x v="0"/>
    <x v="15"/>
    <n v="19"/>
    <n v="78150"/>
  </r>
  <r>
    <x v="9"/>
    <x v="2"/>
    <x v="0"/>
    <x v="16"/>
    <n v="21"/>
    <n v="91340"/>
  </r>
  <r>
    <x v="9"/>
    <x v="2"/>
    <x v="0"/>
    <x v="17"/>
    <n v="37"/>
    <n v="95520"/>
  </r>
  <r>
    <x v="9"/>
    <x v="2"/>
    <x v="0"/>
    <x v="18"/>
    <n v="9"/>
    <n v="26830"/>
  </r>
  <r>
    <x v="9"/>
    <x v="2"/>
    <x v="0"/>
    <x v="19"/>
    <n v="46"/>
    <n v="135280"/>
  </r>
  <r>
    <x v="9"/>
    <x v="2"/>
    <x v="0"/>
    <x v="20"/>
    <n v="94"/>
    <n v="340180"/>
  </r>
  <r>
    <x v="9"/>
    <x v="2"/>
    <x v="0"/>
    <x v="21"/>
    <n v="5"/>
    <n v="22190"/>
  </r>
  <r>
    <x v="9"/>
    <x v="2"/>
    <x v="0"/>
    <x v="22"/>
    <n v="42"/>
    <n v="151290"/>
  </r>
  <r>
    <x v="9"/>
    <x v="2"/>
    <x v="0"/>
    <x v="23"/>
    <n v="48"/>
    <n v="177790"/>
  </r>
  <r>
    <x v="9"/>
    <x v="2"/>
    <x v="0"/>
    <x v="24"/>
    <n v="32"/>
    <n v="115270"/>
  </r>
  <r>
    <x v="9"/>
    <x v="2"/>
    <x v="0"/>
    <x v="25"/>
    <n v="6"/>
    <n v="22990"/>
  </r>
  <r>
    <x v="9"/>
    <x v="2"/>
    <x v="0"/>
    <x v="26"/>
    <n v="43"/>
    <n v="112550"/>
  </r>
  <r>
    <x v="9"/>
    <x v="2"/>
    <x v="0"/>
    <x v="27"/>
    <n v="73"/>
    <n v="319020"/>
  </r>
  <r>
    <x v="9"/>
    <x v="2"/>
    <x v="0"/>
    <x v="28"/>
    <n v="22"/>
    <n v="94330"/>
  </r>
  <r>
    <x v="9"/>
    <x v="2"/>
    <x v="0"/>
    <x v="29"/>
    <n v="22"/>
    <n v="89130"/>
  </r>
  <r>
    <x v="9"/>
    <x v="2"/>
    <x v="0"/>
    <x v="30"/>
    <n v="47"/>
    <n v="182140"/>
  </r>
  <r>
    <x v="9"/>
    <x v="2"/>
    <x v="1"/>
    <x v="0"/>
    <n v="16"/>
    <n v="227560"/>
  </r>
  <r>
    <x v="9"/>
    <x v="2"/>
    <x v="1"/>
    <x v="1"/>
    <n v="29"/>
    <n v="261470"/>
  </r>
  <r>
    <x v="9"/>
    <x v="2"/>
    <x v="1"/>
    <x v="2"/>
    <n v="3"/>
    <n v="116040"/>
  </r>
  <r>
    <x v="9"/>
    <x v="2"/>
    <x v="1"/>
    <x v="3"/>
    <n v="6"/>
    <n v="86260"/>
  </r>
  <r>
    <x v="9"/>
    <x v="2"/>
    <x v="1"/>
    <x v="4"/>
    <n v="50"/>
    <n v="518500"/>
  </r>
  <r>
    <x v="9"/>
    <x v="2"/>
    <x v="1"/>
    <x v="5"/>
    <n v="5"/>
    <n v="51400"/>
  </r>
  <r>
    <x v="9"/>
    <x v="2"/>
    <x v="1"/>
    <x v="6"/>
    <n v="7"/>
    <n v="148790"/>
  </r>
  <r>
    <x v="9"/>
    <x v="2"/>
    <x v="1"/>
    <x v="7"/>
    <n v="14"/>
    <n v="148750"/>
  </r>
  <r>
    <x v="9"/>
    <x v="2"/>
    <x v="1"/>
    <x v="8"/>
    <n v="12"/>
    <n v="121840"/>
  </r>
  <r>
    <x v="9"/>
    <x v="2"/>
    <x v="1"/>
    <x v="9"/>
    <n v="13"/>
    <n v="108330"/>
  </r>
  <r>
    <x v="9"/>
    <x v="2"/>
    <x v="1"/>
    <x v="10"/>
    <n v="12"/>
    <n v="105790"/>
  </r>
  <r>
    <x v="9"/>
    <x v="2"/>
    <x v="1"/>
    <x v="31"/>
    <n v="6"/>
    <n v="95170"/>
  </r>
  <r>
    <x v="9"/>
    <x v="2"/>
    <x v="1"/>
    <x v="11"/>
    <n v="33"/>
    <n v="160340"/>
  </r>
  <r>
    <x v="9"/>
    <x v="2"/>
    <x v="1"/>
    <x v="12"/>
    <n v="31"/>
    <n v="371910"/>
  </r>
  <r>
    <x v="9"/>
    <x v="2"/>
    <x v="1"/>
    <x v="13"/>
    <n v="106"/>
    <n v="626410"/>
  </r>
  <r>
    <x v="9"/>
    <x v="2"/>
    <x v="1"/>
    <x v="14"/>
    <n v="9"/>
    <n v="235540"/>
  </r>
  <r>
    <x v="9"/>
    <x v="2"/>
    <x v="1"/>
    <x v="15"/>
    <n v="4"/>
    <n v="78150"/>
  </r>
  <r>
    <x v="9"/>
    <x v="2"/>
    <x v="1"/>
    <x v="16"/>
    <n v="11"/>
    <n v="91340"/>
  </r>
  <r>
    <x v="9"/>
    <x v="2"/>
    <x v="1"/>
    <x v="17"/>
    <n v="4"/>
    <n v="95520"/>
  </r>
  <r>
    <x v="9"/>
    <x v="2"/>
    <x v="1"/>
    <x v="19"/>
    <n v="18"/>
    <n v="135280"/>
  </r>
  <r>
    <x v="9"/>
    <x v="2"/>
    <x v="1"/>
    <x v="20"/>
    <n v="44"/>
    <n v="340180"/>
  </r>
  <r>
    <x v="9"/>
    <x v="2"/>
    <x v="1"/>
    <x v="22"/>
    <n v="11"/>
    <n v="151290"/>
  </r>
  <r>
    <x v="9"/>
    <x v="2"/>
    <x v="1"/>
    <x v="23"/>
    <n v="24"/>
    <n v="177790"/>
  </r>
  <r>
    <x v="9"/>
    <x v="2"/>
    <x v="1"/>
    <x v="24"/>
    <n v="10"/>
    <n v="115270"/>
  </r>
  <r>
    <x v="9"/>
    <x v="2"/>
    <x v="1"/>
    <x v="25"/>
    <n v="1"/>
    <n v="22990"/>
  </r>
  <r>
    <x v="9"/>
    <x v="2"/>
    <x v="1"/>
    <x v="26"/>
    <n v="7"/>
    <n v="112550"/>
  </r>
  <r>
    <x v="9"/>
    <x v="2"/>
    <x v="1"/>
    <x v="27"/>
    <n v="16"/>
    <n v="319020"/>
  </r>
  <r>
    <x v="9"/>
    <x v="2"/>
    <x v="1"/>
    <x v="28"/>
    <n v="10"/>
    <n v="94330"/>
  </r>
  <r>
    <x v="9"/>
    <x v="2"/>
    <x v="1"/>
    <x v="29"/>
    <n v="12"/>
    <n v="89130"/>
  </r>
  <r>
    <x v="9"/>
    <x v="2"/>
    <x v="1"/>
    <x v="30"/>
    <n v="25"/>
    <n v="182140"/>
  </r>
  <r>
    <x v="9"/>
    <x v="3"/>
    <x v="0"/>
    <x v="0"/>
    <n v="35"/>
    <n v="227560"/>
  </r>
  <r>
    <x v="9"/>
    <x v="3"/>
    <x v="0"/>
    <x v="1"/>
    <n v="60"/>
    <n v="261470"/>
  </r>
  <r>
    <x v="9"/>
    <x v="3"/>
    <x v="0"/>
    <x v="2"/>
    <n v="28"/>
    <n v="116040"/>
  </r>
  <r>
    <x v="9"/>
    <x v="3"/>
    <x v="0"/>
    <x v="3"/>
    <n v="24"/>
    <n v="86260"/>
  </r>
  <r>
    <x v="9"/>
    <x v="3"/>
    <x v="0"/>
    <x v="4"/>
    <n v="70"/>
    <n v="518500"/>
  </r>
  <r>
    <x v="9"/>
    <x v="3"/>
    <x v="0"/>
    <x v="5"/>
    <n v="7"/>
    <n v="51400"/>
  </r>
  <r>
    <x v="9"/>
    <x v="3"/>
    <x v="0"/>
    <x v="6"/>
    <n v="55"/>
    <n v="148790"/>
  </r>
  <r>
    <x v="9"/>
    <x v="3"/>
    <x v="0"/>
    <x v="7"/>
    <n v="23"/>
    <n v="148750"/>
  </r>
  <r>
    <x v="9"/>
    <x v="3"/>
    <x v="0"/>
    <x v="8"/>
    <n v="26"/>
    <n v="121840"/>
  </r>
  <r>
    <x v="9"/>
    <x v="3"/>
    <x v="0"/>
    <x v="9"/>
    <n v="14"/>
    <n v="108330"/>
  </r>
  <r>
    <x v="9"/>
    <x v="3"/>
    <x v="0"/>
    <x v="10"/>
    <n v="21"/>
    <n v="105790"/>
  </r>
  <r>
    <x v="9"/>
    <x v="3"/>
    <x v="0"/>
    <x v="31"/>
    <n v="21"/>
    <n v="95170"/>
  </r>
  <r>
    <x v="9"/>
    <x v="3"/>
    <x v="0"/>
    <x v="11"/>
    <n v="42"/>
    <n v="160340"/>
  </r>
  <r>
    <x v="9"/>
    <x v="3"/>
    <x v="0"/>
    <x v="12"/>
    <n v="66"/>
    <n v="371910"/>
  </r>
  <r>
    <x v="9"/>
    <x v="3"/>
    <x v="0"/>
    <x v="13"/>
    <n v="116"/>
    <n v="626410"/>
  </r>
  <r>
    <x v="9"/>
    <x v="3"/>
    <x v="0"/>
    <x v="14"/>
    <n v="83"/>
    <n v="235540"/>
  </r>
  <r>
    <x v="9"/>
    <x v="3"/>
    <x v="0"/>
    <x v="15"/>
    <n v="11"/>
    <n v="78150"/>
  </r>
  <r>
    <x v="9"/>
    <x v="3"/>
    <x v="0"/>
    <x v="16"/>
    <n v="23"/>
    <n v="91340"/>
  </r>
  <r>
    <x v="9"/>
    <x v="3"/>
    <x v="0"/>
    <x v="17"/>
    <n v="15"/>
    <n v="95520"/>
  </r>
  <r>
    <x v="9"/>
    <x v="3"/>
    <x v="0"/>
    <x v="18"/>
    <n v="6"/>
    <n v="26830"/>
  </r>
  <r>
    <x v="9"/>
    <x v="3"/>
    <x v="0"/>
    <x v="19"/>
    <n v="21"/>
    <n v="135280"/>
  </r>
  <r>
    <x v="9"/>
    <x v="3"/>
    <x v="0"/>
    <x v="20"/>
    <n v="84"/>
    <n v="340180"/>
  </r>
  <r>
    <x v="9"/>
    <x v="3"/>
    <x v="0"/>
    <x v="21"/>
    <n v="11"/>
    <n v="22190"/>
  </r>
  <r>
    <x v="9"/>
    <x v="3"/>
    <x v="0"/>
    <x v="22"/>
    <n v="49"/>
    <n v="151290"/>
  </r>
  <r>
    <x v="9"/>
    <x v="3"/>
    <x v="0"/>
    <x v="23"/>
    <n v="36"/>
    <n v="177790"/>
  </r>
  <r>
    <x v="9"/>
    <x v="3"/>
    <x v="0"/>
    <x v="24"/>
    <n v="24"/>
    <n v="115270"/>
  </r>
  <r>
    <x v="9"/>
    <x v="3"/>
    <x v="0"/>
    <x v="25"/>
    <n v="6"/>
    <n v="22990"/>
  </r>
  <r>
    <x v="9"/>
    <x v="3"/>
    <x v="0"/>
    <x v="26"/>
    <n v="22"/>
    <n v="112550"/>
  </r>
  <r>
    <x v="9"/>
    <x v="3"/>
    <x v="0"/>
    <x v="27"/>
    <n v="75"/>
    <n v="319020"/>
  </r>
  <r>
    <x v="9"/>
    <x v="3"/>
    <x v="0"/>
    <x v="28"/>
    <n v="23"/>
    <n v="94330"/>
  </r>
  <r>
    <x v="9"/>
    <x v="3"/>
    <x v="0"/>
    <x v="29"/>
    <n v="19"/>
    <n v="89130"/>
  </r>
  <r>
    <x v="9"/>
    <x v="3"/>
    <x v="0"/>
    <x v="30"/>
    <n v="49"/>
    <n v="182140"/>
  </r>
  <r>
    <x v="9"/>
    <x v="3"/>
    <x v="1"/>
    <x v="0"/>
    <n v="23"/>
    <n v="227560"/>
  </r>
  <r>
    <x v="9"/>
    <x v="3"/>
    <x v="1"/>
    <x v="1"/>
    <n v="11"/>
    <n v="261470"/>
  </r>
  <r>
    <x v="9"/>
    <x v="3"/>
    <x v="1"/>
    <x v="2"/>
    <n v="3"/>
    <n v="116040"/>
  </r>
  <r>
    <x v="9"/>
    <x v="3"/>
    <x v="1"/>
    <x v="3"/>
    <n v="6"/>
    <n v="86260"/>
  </r>
  <r>
    <x v="9"/>
    <x v="3"/>
    <x v="1"/>
    <x v="4"/>
    <n v="72"/>
    <n v="518500"/>
  </r>
  <r>
    <x v="9"/>
    <x v="3"/>
    <x v="1"/>
    <x v="5"/>
    <n v="3"/>
    <n v="51400"/>
  </r>
  <r>
    <x v="9"/>
    <x v="3"/>
    <x v="1"/>
    <x v="6"/>
    <n v="10"/>
    <n v="148790"/>
  </r>
  <r>
    <x v="9"/>
    <x v="3"/>
    <x v="1"/>
    <x v="7"/>
    <n v="20"/>
    <n v="148750"/>
  </r>
  <r>
    <x v="9"/>
    <x v="3"/>
    <x v="1"/>
    <x v="8"/>
    <n v="24"/>
    <n v="121840"/>
  </r>
  <r>
    <x v="9"/>
    <x v="3"/>
    <x v="1"/>
    <x v="9"/>
    <n v="20"/>
    <n v="108330"/>
  </r>
  <r>
    <x v="9"/>
    <x v="3"/>
    <x v="1"/>
    <x v="10"/>
    <n v="14"/>
    <n v="105790"/>
  </r>
  <r>
    <x v="9"/>
    <x v="3"/>
    <x v="1"/>
    <x v="31"/>
    <n v="4"/>
    <n v="95170"/>
  </r>
  <r>
    <x v="9"/>
    <x v="3"/>
    <x v="1"/>
    <x v="11"/>
    <n v="17"/>
    <n v="160340"/>
  </r>
  <r>
    <x v="9"/>
    <x v="3"/>
    <x v="1"/>
    <x v="12"/>
    <n v="27"/>
    <n v="371910"/>
  </r>
  <r>
    <x v="9"/>
    <x v="3"/>
    <x v="1"/>
    <x v="13"/>
    <n v="206"/>
    <n v="626410"/>
  </r>
  <r>
    <x v="9"/>
    <x v="3"/>
    <x v="1"/>
    <x v="14"/>
    <n v="7"/>
    <n v="235540"/>
  </r>
  <r>
    <x v="9"/>
    <x v="3"/>
    <x v="1"/>
    <x v="15"/>
    <n v="15"/>
    <n v="78150"/>
  </r>
  <r>
    <x v="9"/>
    <x v="3"/>
    <x v="1"/>
    <x v="16"/>
    <n v="11"/>
    <n v="91340"/>
  </r>
  <r>
    <x v="9"/>
    <x v="3"/>
    <x v="1"/>
    <x v="17"/>
    <n v="11"/>
    <n v="95520"/>
  </r>
  <r>
    <x v="9"/>
    <x v="3"/>
    <x v="1"/>
    <x v="18"/>
    <n v="1"/>
    <n v="26830"/>
  </r>
  <r>
    <x v="9"/>
    <x v="3"/>
    <x v="1"/>
    <x v="19"/>
    <n v="15"/>
    <n v="135280"/>
  </r>
  <r>
    <x v="9"/>
    <x v="3"/>
    <x v="1"/>
    <x v="20"/>
    <n v="100"/>
    <n v="340180"/>
  </r>
  <r>
    <x v="9"/>
    <x v="3"/>
    <x v="1"/>
    <x v="22"/>
    <n v="7"/>
    <n v="151290"/>
  </r>
  <r>
    <x v="9"/>
    <x v="3"/>
    <x v="1"/>
    <x v="23"/>
    <n v="27"/>
    <n v="177790"/>
  </r>
  <r>
    <x v="9"/>
    <x v="3"/>
    <x v="1"/>
    <x v="24"/>
    <n v="5"/>
    <n v="115270"/>
  </r>
  <r>
    <x v="9"/>
    <x v="3"/>
    <x v="1"/>
    <x v="26"/>
    <n v="4"/>
    <n v="112550"/>
  </r>
  <r>
    <x v="9"/>
    <x v="3"/>
    <x v="1"/>
    <x v="27"/>
    <n v="63"/>
    <n v="319020"/>
  </r>
  <r>
    <x v="9"/>
    <x v="3"/>
    <x v="1"/>
    <x v="28"/>
    <n v="4"/>
    <n v="94330"/>
  </r>
  <r>
    <x v="9"/>
    <x v="3"/>
    <x v="1"/>
    <x v="29"/>
    <n v="30"/>
    <n v="89130"/>
  </r>
  <r>
    <x v="9"/>
    <x v="3"/>
    <x v="1"/>
    <x v="30"/>
    <n v="27"/>
    <n v="182140"/>
  </r>
  <r>
    <x v="9"/>
    <x v="4"/>
    <x v="0"/>
    <x v="0"/>
    <n v="9"/>
    <n v="227560"/>
  </r>
  <r>
    <x v="9"/>
    <x v="4"/>
    <x v="0"/>
    <x v="1"/>
    <n v="27"/>
    <n v="261470"/>
  </r>
  <r>
    <x v="9"/>
    <x v="4"/>
    <x v="0"/>
    <x v="2"/>
    <n v="12"/>
    <n v="116040"/>
  </r>
  <r>
    <x v="9"/>
    <x v="4"/>
    <x v="0"/>
    <x v="3"/>
    <n v="12"/>
    <n v="86260"/>
  </r>
  <r>
    <x v="9"/>
    <x v="4"/>
    <x v="0"/>
    <x v="4"/>
    <n v="39"/>
    <n v="518500"/>
  </r>
  <r>
    <x v="9"/>
    <x v="4"/>
    <x v="0"/>
    <x v="5"/>
    <n v="2"/>
    <n v="51400"/>
  </r>
  <r>
    <x v="9"/>
    <x v="4"/>
    <x v="0"/>
    <x v="6"/>
    <n v="9"/>
    <n v="148790"/>
  </r>
  <r>
    <x v="9"/>
    <x v="4"/>
    <x v="0"/>
    <x v="7"/>
    <n v="5"/>
    <n v="148750"/>
  </r>
  <r>
    <x v="9"/>
    <x v="4"/>
    <x v="0"/>
    <x v="8"/>
    <n v="8"/>
    <n v="121840"/>
  </r>
  <r>
    <x v="9"/>
    <x v="4"/>
    <x v="0"/>
    <x v="9"/>
    <n v="4"/>
    <n v="108330"/>
  </r>
  <r>
    <x v="9"/>
    <x v="4"/>
    <x v="0"/>
    <x v="10"/>
    <n v="21"/>
    <n v="105790"/>
  </r>
  <r>
    <x v="9"/>
    <x v="4"/>
    <x v="0"/>
    <x v="31"/>
    <n v="1"/>
    <n v="95170"/>
  </r>
  <r>
    <x v="9"/>
    <x v="4"/>
    <x v="0"/>
    <x v="11"/>
    <n v="17"/>
    <n v="160340"/>
  </r>
  <r>
    <x v="9"/>
    <x v="4"/>
    <x v="0"/>
    <x v="12"/>
    <n v="50"/>
    <n v="371910"/>
  </r>
  <r>
    <x v="9"/>
    <x v="4"/>
    <x v="0"/>
    <x v="13"/>
    <n v="24"/>
    <n v="626410"/>
  </r>
  <r>
    <x v="9"/>
    <x v="4"/>
    <x v="0"/>
    <x v="14"/>
    <n v="64"/>
    <n v="235540"/>
  </r>
  <r>
    <x v="9"/>
    <x v="4"/>
    <x v="0"/>
    <x v="15"/>
    <n v="6"/>
    <n v="78150"/>
  </r>
  <r>
    <x v="9"/>
    <x v="4"/>
    <x v="0"/>
    <x v="16"/>
    <n v="8"/>
    <n v="91340"/>
  </r>
  <r>
    <x v="9"/>
    <x v="4"/>
    <x v="0"/>
    <x v="17"/>
    <n v="17"/>
    <n v="95520"/>
  </r>
  <r>
    <x v="9"/>
    <x v="4"/>
    <x v="0"/>
    <x v="18"/>
    <n v="9"/>
    <n v="26830"/>
  </r>
  <r>
    <x v="9"/>
    <x v="4"/>
    <x v="0"/>
    <x v="19"/>
    <n v="8"/>
    <n v="135280"/>
  </r>
  <r>
    <x v="9"/>
    <x v="4"/>
    <x v="0"/>
    <x v="20"/>
    <n v="14"/>
    <n v="340180"/>
  </r>
  <r>
    <x v="9"/>
    <x v="4"/>
    <x v="0"/>
    <x v="21"/>
    <n v="1"/>
    <n v="22190"/>
  </r>
  <r>
    <x v="9"/>
    <x v="4"/>
    <x v="0"/>
    <x v="22"/>
    <n v="10"/>
    <n v="151290"/>
  </r>
  <r>
    <x v="9"/>
    <x v="4"/>
    <x v="0"/>
    <x v="23"/>
    <n v="9"/>
    <n v="177790"/>
  </r>
  <r>
    <x v="9"/>
    <x v="4"/>
    <x v="0"/>
    <x v="24"/>
    <n v="17"/>
    <n v="115270"/>
  </r>
  <r>
    <x v="9"/>
    <x v="4"/>
    <x v="0"/>
    <x v="25"/>
    <n v="1"/>
    <n v="22990"/>
  </r>
  <r>
    <x v="9"/>
    <x v="4"/>
    <x v="0"/>
    <x v="26"/>
    <n v="3"/>
    <n v="112550"/>
  </r>
  <r>
    <x v="9"/>
    <x v="4"/>
    <x v="0"/>
    <x v="27"/>
    <n v="15"/>
    <n v="319020"/>
  </r>
  <r>
    <x v="9"/>
    <x v="4"/>
    <x v="0"/>
    <x v="28"/>
    <n v="14"/>
    <n v="94330"/>
  </r>
  <r>
    <x v="9"/>
    <x v="4"/>
    <x v="0"/>
    <x v="29"/>
    <n v="7"/>
    <n v="89130"/>
  </r>
  <r>
    <x v="9"/>
    <x v="4"/>
    <x v="0"/>
    <x v="30"/>
    <n v="23"/>
    <n v="182140"/>
  </r>
  <r>
    <x v="9"/>
    <x v="4"/>
    <x v="1"/>
    <x v="0"/>
    <n v="20"/>
    <n v="227560"/>
  </r>
  <r>
    <x v="9"/>
    <x v="4"/>
    <x v="1"/>
    <x v="1"/>
    <n v="19"/>
    <n v="261470"/>
  </r>
  <r>
    <x v="9"/>
    <x v="4"/>
    <x v="1"/>
    <x v="2"/>
    <n v="7"/>
    <n v="116040"/>
  </r>
  <r>
    <x v="9"/>
    <x v="4"/>
    <x v="1"/>
    <x v="3"/>
    <n v="1"/>
    <n v="86260"/>
  </r>
  <r>
    <x v="9"/>
    <x v="4"/>
    <x v="1"/>
    <x v="4"/>
    <n v="65"/>
    <n v="518500"/>
  </r>
  <r>
    <x v="9"/>
    <x v="4"/>
    <x v="1"/>
    <x v="5"/>
    <n v="6"/>
    <n v="51400"/>
  </r>
  <r>
    <x v="9"/>
    <x v="4"/>
    <x v="1"/>
    <x v="6"/>
    <n v="8"/>
    <n v="148790"/>
  </r>
  <r>
    <x v="9"/>
    <x v="4"/>
    <x v="1"/>
    <x v="7"/>
    <n v="15"/>
    <n v="148750"/>
  </r>
  <r>
    <x v="9"/>
    <x v="4"/>
    <x v="1"/>
    <x v="8"/>
    <n v="18"/>
    <n v="121840"/>
  </r>
  <r>
    <x v="9"/>
    <x v="4"/>
    <x v="1"/>
    <x v="9"/>
    <n v="14"/>
    <n v="108330"/>
  </r>
  <r>
    <x v="9"/>
    <x v="4"/>
    <x v="1"/>
    <x v="10"/>
    <n v="38"/>
    <n v="105790"/>
  </r>
  <r>
    <x v="9"/>
    <x v="4"/>
    <x v="1"/>
    <x v="31"/>
    <n v="12"/>
    <n v="95170"/>
  </r>
  <r>
    <x v="9"/>
    <x v="4"/>
    <x v="1"/>
    <x v="11"/>
    <n v="24"/>
    <n v="160340"/>
  </r>
  <r>
    <x v="9"/>
    <x v="4"/>
    <x v="1"/>
    <x v="12"/>
    <n v="76"/>
    <n v="371910"/>
  </r>
  <r>
    <x v="9"/>
    <x v="4"/>
    <x v="1"/>
    <x v="13"/>
    <n v="47"/>
    <n v="626410"/>
  </r>
  <r>
    <x v="9"/>
    <x v="4"/>
    <x v="1"/>
    <x v="14"/>
    <n v="13"/>
    <n v="235540"/>
  </r>
  <r>
    <x v="9"/>
    <x v="4"/>
    <x v="1"/>
    <x v="15"/>
    <n v="11"/>
    <n v="78150"/>
  </r>
  <r>
    <x v="9"/>
    <x v="4"/>
    <x v="1"/>
    <x v="16"/>
    <n v="38"/>
    <n v="91340"/>
  </r>
  <r>
    <x v="9"/>
    <x v="4"/>
    <x v="1"/>
    <x v="17"/>
    <n v="9"/>
    <n v="95520"/>
  </r>
  <r>
    <x v="9"/>
    <x v="4"/>
    <x v="1"/>
    <x v="19"/>
    <n v="20"/>
    <n v="135280"/>
  </r>
  <r>
    <x v="9"/>
    <x v="4"/>
    <x v="1"/>
    <x v="20"/>
    <n v="35"/>
    <n v="340180"/>
  </r>
  <r>
    <x v="9"/>
    <x v="4"/>
    <x v="1"/>
    <x v="22"/>
    <n v="11"/>
    <n v="151290"/>
  </r>
  <r>
    <x v="9"/>
    <x v="4"/>
    <x v="1"/>
    <x v="23"/>
    <n v="28"/>
    <n v="177790"/>
  </r>
  <r>
    <x v="9"/>
    <x v="4"/>
    <x v="1"/>
    <x v="24"/>
    <n v="30"/>
    <n v="115270"/>
  </r>
  <r>
    <x v="9"/>
    <x v="4"/>
    <x v="1"/>
    <x v="26"/>
    <n v="2"/>
    <n v="112550"/>
  </r>
  <r>
    <x v="9"/>
    <x v="4"/>
    <x v="1"/>
    <x v="27"/>
    <n v="16"/>
    <n v="319020"/>
  </r>
  <r>
    <x v="9"/>
    <x v="4"/>
    <x v="1"/>
    <x v="28"/>
    <n v="14"/>
    <n v="94330"/>
  </r>
  <r>
    <x v="9"/>
    <x v="4"/>
    <x v="1"/>
    <x v="29"/>
    <n v="15"/>
    <n v="89130"/>
  </r>
  <r>
    <x v="9"/>
    <x v="4"/>
    <x v="1"/>
    <x v="30"/>
    <n v="46"/>
    <n v="182140"/>
  </r>
  <r>
    <x v="9"/>
    <x v="5"/>
    <x v="0"/>
    <x v="0"/>
    <n v="167"/>
    <n v="227560"/>
  </r>
  <r>
    <x v="9"/>
    <x v="5"/>
    <x v="0"/>
    <x v="1"/>
    <n v="144"/>
    <n v="261470"/>
  </r>
  <r>
    <x v="9"/>
    <x v="5"/>
    <x v="0"/>
    <x v="2"/>
    <n v="80"/>
    <n v="116040"/>
  </r>
  <r>
    <x v="9"/>
    <x v="5"/>
    <x v="0"/>
    <x v="3"/>
    <n v="50"/>
    <n v="86260"/>
  </r>
  <r>
    <x v="9"/>
    <x v="5"/>
    <x v="0"/>
    <x v="4"/>
    <n v="690"/>
    <n v="518500"/>
  </r>
  <r>
    <x v="9"/>
    <x v="5"/>
    <x v="0"/>
    <x v="5"/>
    <n v="29"/>
    <n v="51400"/>
  </r>
  <r>
    <x v="9"/>
    <x v="5"/>
    <x v="0"/>
    <x v="6"/>
    <n v="83"/>
    <n v="148790"/>
  </r>
  <r>
    <x v="9"/>
    <x v="5"/>
    <x v="0"/>
    <x v="7"/>
    <n v="81"/>
    <n v="148750"/>
  </r>
  <r>
    <x v="9"/>
    <x v="5"/>
    <x v="0"/>
    <x v="8"/>
    <n v="48"/>
    <n v="121840"/>
  </r>
  <r>
    <x v="9"/>
    <x v="5"/>
    <x v="0"/>
    <x v="9"/>
    <n v="16"/>
    <n v="108330"/>
  </r>
  <r>
    <x v="9"/>
    <x v="5"/>
    <x v="0"/>
    <x v="10"/>
    <n v="81"/>
    <n v="105790"/>
  </r>
  <r>
    <x v="9"/>
    <x v="5"/>
    <x v="0"/>
    <x v="31"/>
    <n v="16"/>
    <n v="95170"/>
  </r>
  <r>
    <x v="9"/>
    <x v="5"/>
    <x v="0"/>
    <x v="11"/>
    <n v="119"/>
    <n v="160340"/>
  </r>
  <r>
    <x v="9"/>
    <x v="5"/>
    <x v="0"/>
    <x v="12"/>
    <n v="287"/>
    <n v="371910"/>
  </r>
  <r>
    <x v="9"/>
    <x v="5"/>
    <x v="0"/>
    <x v="13"/>
    <n v="137"/>
    <n v="626410"/>
  </r>
  <r>
    <x v="9"/>
    <x v="5"/>
    <x v="0"/>
    <x v="14"/>
    <n v="366"/>
    <n v="235540"/>
  </r>
  <r>
    <x v="9"/>
    <x v="5"/>
    <x v="0"/>
    <x v="15"/>
    <n v="18"/>
    <n v="78150"/>
  </r>
  <r>
    <x v="9"/>
    <x v="5"/>
    <x v="0"/>
    <x v="16"/>
    <n v="51"/>
    <n v="91340"/>
  </r>
  <r>
    <x v="9"/>
    <x v="5"/>
    <x v="0"/>
    <x v="17"/>
    <n v="140"/>
    <n v="95520"/>
  </r>
  <r>
    <x v="9"/>
    <x v="5"/>
    <x v="0"/>
    <x v="18"/>
    <n v="45"/>
    <n v="26830"/>
  </r>
  <r>
    <x v="9"/>
    <x v="5"/>
    <x v="0"/>
    <x v="19"/>
    <n v="29"/>
    <n v="135280"/>
  </r>
  <r>
    <x v="9"/>
    <x v="5"/>
    <x v="0"/>
    <x v="20"/>
    <n v="49"/>
    <n v="340180"/>
  </r>
  <r>
    <x v="9"/>
    <x v="5"/>
    <x v="0"/>
    <x v="21"/>
    <n v="19"/>
    <n v="22190"/>
  </r>
  <r>
    <x v="9"/>
    <x v="5"/>
    <x v="0"/>
    <x v="22"/>
    <n v="56"/>
    <n v="151290"/>
  </r>
  <r>
    <x v="9"/>
    <x v="5"/>
    <x v="0"/>
    <x v="23"/>
    <n v="43"/>
    <n v="177790"/>
  </r>
  <r>
    <x v="9"/>
    <x v="5"/>
    <x v="0"/>
    <x v="24"/>
    <n v="41"/>
    <n v="115270"/>
  </r>
  <r>
    <x v="9"/>
    <x v="5"/>
    <x v="0"/>
    <x v="25"/>
    <n v="15"/>
    <n v="22990"/>
  </r>
  <r>
    <x v="9"/>
    <x v="5"/>
    <x v="0"/>
    <x v="26"/>
    <n v="29"/>
    <n v="112550"/>
  </r>
  <r>
    <x v="9"/>
    <x v="5"/>
    <x v="0"/>
    <x v="27"/>
    <n v="47"/>
    <n v="319020"/>
  </r>
  <r>
    <x v="9"/>
    <x v="5"/>
    <x v="0"/>
    <x v="28"/>
    <n v="83"/>
    <n v="94330"/>
  </r>
  <r>
    <x v="9"/>
    <x v="5"/>
    <x v="0"/>
    <x v="29"/>
    <n v="9"/>
    <n v="89130"/>
  </r>
  <r>
    <x v="9"/>
    <x v="5"/>
    <x v="0"/>
    <x v="30"/>
    <n v="144"/>
    <n v="182140"/>
  </r>
  <r>
    <x v="9"/>
    <x v="5"/>
    <x v="1"/>
    <x v="0"/>
    <n v="360"/>
    <n v="227560"/>
  </r>
  <r>
    <x v="9"/>
    <x v="5"/>
    <x v="1"/>
    <x v="1"/>
    <n v="191"/>
    <n v="261470"/>
  </r>
  <r>
    <x v="9"/>
    <x v="5"/>
    <x v="1"/>
    <x v="2"/>
    <n v="121"/>
    <n v="116040"/>
  </r>
  <r>
    <x v="9"/>
    <x v="5"/>
    <x v="1"/>
    <x v="3"/>
    <n v="70"/>
    <n v="86260"/>
  </r>
  <r>
    <x v="9"/>
    <x v="5"/>
    <x v="1"/>
    <x v="4"/>
    <n v="1160"/>
    <n v="518500"/>
  </r>
  <r>
    <x v="9"/>
    <x v="5"/>
    <x v="1"/>
    <x v="5"/>
    <n v="59"/>
    <n v="51400"/>
  </r>
  <r>
    <x v="9"/>
    <x v="5"/>
    <x v="1"/>
    <x v="6"/>
    <n v="116"/>
    <n v="148790"/>
  </r>
  <r>
    <x v="9"/>
    <x v="5"/>
    <x v="1"/>
    <x v="7"/>
    <n v="525"/>
    <n v="148750"/>
  </r>
  <r>
    <x v="9"/>
    <x v="5"/>
    <x v="1"/>
    <x v="8"/>
    <n v="538"/>
    <n v="121840"/>
  </r>
  <r>
    <x v="9"/>
    <x v="5"/>
    <x v="1"/>
    <x v="9"/>
    <n v="216"/>
    <n v="108330"/>
  </r>
  <r>
    <x v="9"/>
    <x v="5"/>
    <x v="1"/>
    <x v="10"/>
    <n v="222"/>
    <n v="105790"/>
  </r>
  <r>
    <x v="9"/>
    <x v="5"/>
    <x v="1"/>
    <x v="31"/>
    <n v="107"/>
    <n v="95170"/>
  </r>
  <r>
    <x v="9"/>
    <x v="5"/>
    <x v="1"/>
    <x v="11"/>
    <n v="240"/>
    <n v="160340"/>
  </r>
  <r>
    <x v="9"/>
    <x v="5"/>
    <x v="1"/>
    <x v="12"/>
    <n v="747"/>
    <n v="371910"/>
  </r>
  <r>
    <x v="9"/>
    <x v="5"/>
    <x v="1"/>
    <x v="13"/>
    <n v="2363"/>
    <n v="626410"/>
  </r>
  <r>
    <x v="9"/>
    <x v="5"/>
    <x v="1"/>
    <x v="14"/>
    <n v="156"/>
    <n v="235540"/>
  </r>
  <r>
    <x v="9"/>
    <x v="5"/>
    <x v="1"/>
    <x v="15"/>
    <n v="354"/>
    <n v="78150"/>
  </r>
  <r>
    <x v="9"/>
    <x v="5"/>
    <x v="1"/>
    <x v="16"/>
    <n v="266"/>
    <n v="91340"/>
  </r>
  <r>
    <x v="9"/>
    <x v="5"/>
    <x v="1"/>
    <x v="17"/>
    <n v="97"/>
    <n v="95520"/>
  </r>
  <r>
    <x v="9"/>
    <x v="5"/>
    <x v="1"/>
    <x v="18"/>
    <n v="2"/>
    <n v="26830"/>
  </r>
  <r>
    <x v="9"/>
    <x v="5"/>
    <x v="1"/>
    <x v="19"/>
    <n v="559"/>
    <n v="135280"/>
  </r>
  <r>
    <x v="9"/>
    <x v="5"/>
    <x v="1"/>
    <x v="20"/>
    <n v="1244"/>
    <n v="340180"/>
  </r>
  <r>
    <x v="9"/>
    <x v="5"/>
    <x v="1"/>
    <x v="21"/>
    <n v="4"/>
    <n v="22190"/>
  </r>
  <r>
    <x v="9"/>
    <x v="5"/>
    <x v="1"/>
    <x v="22"/>
    <n v="108"/>
    <n v="151290"/>
  </r>
  <r>
    <x v="9"/>
    <x v="5"/>
    <x v="1"/>
    <x v="23"/>
    <n v="574"/>
    <n v="177790"/>
  </r>
  <r>
    <x v="9"/>
    <x v="5"/>
    <x v="1"/>
    <x v="24"/>
    <n v="92"/>
    <n v="115270"/>
  </r>
  <r>
    <x v="9"/>
    <x v="5"/>
    <x v="1"/>
    <x v="25"/>
    <n v="3"/>
    <n v="22990"/>
  </r>
  <r>
    <x v="9"/>
    <x v="5"/>
    <x v="1"/>
    <x v="26"/>
    <n v="225"/>
    <n v="112550"/>
  </r>
  <r>
    <x v="9"/>
    <x v="5"/>
    <x v="1"/>
    <x v="27"/>
    <n v="706"/>
    <n v="319020"/>
  </r>
  <r>
    <x v="9"/>
    <x v="5"/>
    <x v="1"/>
    <x v="28"/>
    <n v="92"/>
    <n v="94330"/>
  </r>
  <r>
    <x v="9"/>
    <x v="5"/>
    <x v="1"/>
    <x v="29"/>
    <n v="253"/>
    <n v="89130"/>
  </r>
  <r>
    <x v="9"/>
    <x v="5"/>
    <x v="1"/>
    <x v="30"/>
    <n v="715"/>
    <n v="182140"/>
  </r>
  <r>
    <x v="10"/>
    <x v="0"/>
    <x v="0"/>
    <x v="0"/>
    <n v="8"/>
    <n v="228670"/>
  </r>
  <r>
    <x v="10"/>
    <x v="0"/>
    <x v="0"/>
    <x v="1"/>
    <n v="57"/>
    <n v="261210"/>
  </r>
  <r>
    <x v="10"/>
    <x v="0"/>
    <x v="0"/>
    <x v="2"/>
    <n v="12"/>
    <n v="116200"/>
  </r>
  <r>
    <x v="10"/>
    <x v="0"/>
    <x v="0"/>
    <x v="3"/>
    <n v="39"/>
    <n v="85870"/>
  </r>
  <r>
    <x v="10"/>
    <x v="0"/>
    <x v="0"/>
    <x v="4"/>
    <n v="9"/>
    <n v="524930"/>
  </r>
  <r>
    <x v="10"/>
    <x v="0"/>
    <x v="0"/>
    <x v="5"/>
    <n v="1"/>
    <n v="51540"/>
  </r>
  <r>
    <x v="10"/>
    <x v="0"/>
    <x v="0"/>
    <x v="6"/>
    <n v="47"/>
    <n v="148860"/>
  </r>
  <r>
    <x v="10"/>
    <x v="0"/>
    <x v="0"/>
    <x v="7"/>
    <n v="2"/>
    <n v="149320"/>
  </r>
  <r>
    <x v="10"/>
    <x v="0"/>
    <x v="0"/>
    <x v="8"/>
    <n v="7"/>
    <n v="122010"/>
  </r>
  <r>
    <x v="10"/>
    <x v="0"/>
    <x v="0"/>
    <x v="9"/>
    <n v="5"/>
    <n v="108640"/>
  </r>
  <r>
    <x v="10"/>
    <x v="0"/>
    <x v="0"/>
    <x v="10"/>
    <n v="11"/>
    <n v="107090"/>
  </r>
  <r>
    <x v="10"/>
    <x v="0"/>
    <x v="0"/>
    <x v="31"/>
    <n v="2"/>
    <n v="95530"/>
  </r>
  <r>
    <x v="10"/>
    <x v="0"/>
    <x v="0"/>
    <x v="11"/>
    <n v="4"/>
    <n v="160890"/>
  </r>
  <r>
    <x v="10"/>
    <x v="0"/>
    <x v="0"/>
    <x v="12"/>
    <n v="12"/>
    <n v="373550"/>
  </r>
  <r>
    <x v="10"/>
    <x v="0"/>
    <x v="0"/>
    <x v="13"/>
    <n v="4"/>
    <n v="633120"/>
  </r>
  <r>
    <x v="10"/>
    <x v="0"/>
    <x v="0"/>
    <x v="14"/>
    <n v="125"/>
    <n v="235830"/>
  </r>
  <r>
    <x v="10"/>
    <x v="0"/>
    <x v="0"/>
    <x v="15"/>
    <n v="3"/>
    <n v="77800"/>
  </r>
  <r>
    <x v="10"/>
    <x v="0"/>
    <x v="0"/>
    <x v="16"/>
    <n v="6"/>
    <n v="92460"/>
  </r>
  <r>
    <x v="10"/>
    <x v="0"/>
    <x v="0"/>
    <x v="17"/>
    <n v="25"/>
    <n v="95820"/>
  </r>
  <r>
    <x v="10"/>
    <x v="0"/>
    <x v="0"/>
    <x v="18"/>
    <n v="37"/>
    <n v="26720"/>
  </r>
  <r>
    <x v="10"/>
    <x v="0"/>
    <x v="0"/>
    <x v="19"/>
    <n v="8"/>
    <n v="134740"/>
  </r>
  <r>
    <x v="10"/>
    <x v="0"/>
    <x v="0"/>
    <x v="20"/>
    <n v="4"/>
    <n v="341370"/>
  </r>
  <r>
    <x v="10"/>
    <x v="0"/>
    <x v="0"/>
    <x v="21"/>
    <n v="4"/>
    <n v="22270"/>
  </r>
  <r>
    <x v="10"/>
    <x v="0"/>
    <x v="0"/>
    <x v="22"/>
    <n v="38"/>
    <n v="151950"/>
  </r>
  <r>
    <x v="10"/>
    <x v="0"/>
    <x v="0"/>
    <x v="23"/>
    <n v="2"/>
    <n v="179100"/>
  </r>
  <r>
    <x v="10"/>
    <x v="0"/>
    <x v="0"/>
    <x v="24"/>
    <n v="31"/>
    <n v="115510"/>
  </r>
  <r>
    <x v="10"/>
    <x v="0"/>
    <x v="0"/>
    <x v="25"/>
    <n v="10"/>
    <n v="22920"/>
  </r>
  <r>
    <x v="10"/>
    <x v="0"/>
    <x v="0"/>
    <x v="26"/>
    <n v="8"/>
    <n v="112610"/>
  </r>
  <r>
    <x v="10"/>
    <x v="0"/>
    <x v="0"/>
    <x v="27"/>
    <n v="11"/>
    <n v="320530"/>
  </r>
  <r>
    <x v="10"/>
    <x v="0"/>
    <x v="0"/>
    <x v="28"/>
    <n v="15"/>
    <n v="94210"/>
  </r>
  <r>
    <x v="10"/>
    <x v="0"/>
    <x v="0"/>
    <x v="29"/>
    <n v="2"/>
    <n v="88930"/>
  </r>
  <r>
    <x v="10"/>
    <x v="0"/>
    <x v="0"/>
    <x v="30"/>
    <n v="5"/>
    <n v="183100"/>
  </r>
  <r>
    <x v="10"/>
    <x v="0"/>
    <x v="1"/>
    <x v="3"/>
    <n v="1"/>
    <n v="85870"/>
  </r>
  <r>
    <x v="10"/>
    <x v="0"/>
    <x v="1"/>
    <x v="6"/>
    <n v="1"/>
    <n v="148860"/>
  </r>
  <r>
    <x v="10"/>
    <x v="1"/>
    <x v="0"/>
    <x v="0"/>
    <n v="257"/>
    <n v="228670"/>
  </r>
  <r>
    <x v="10"/>
    <x v="1"/>
    <x v="0"/>
    <x v="1"/>
    <n v="160"/>
    <n v="261210"/>
  </r>
  <r>
    <x v="10"/>
    <x v="1"/>
    <x v="0"/>
    <x v="2"/>
    <n v="79"/>
    <n v="116200"/>
  </r>
  <r>
    <x v="10"/>
    <x v="1"/>
    <x v="0"/>
    <x v="3"/>
    <n v="84"/>
    <n v="85870"/>
  </r>
  <r>
    <x v="10"/>
    <x v="1"/>
    <x v="0"/>
    <x v="4"/>
    <n v="438"/>
    <n v="524930"/>
  </r>
  <r>
    <x v="10"/>
    <x v="1"/>
    <x v="0"/>
    <x v="5"/>
    <n v="40"/>
    <n v="51540"/>
  </r>
  <r>
    <x v="10"/>
    <x v="1"/>
    <x v="0"/>
    <x v="6"/>
    <n v="94"/>
    <n v="148860"/>
  </r>
  <r>
    <x v="10"/>
    <x v="1"/>
    <x v="0"/>
    <x v="7"/>
    <n v="175"/>
    <n v="149320"/>
  </r>
  <r>
    <x v="10"/>
    <x v="1"/>
    <x v="0"/>
    <x v="8"/>
    <n v="87"/>
    <n v="122010"/>
  </r>
  <r>
    <x v="10"/>
    <x v="1"/>
    <x v="0"/>
    <x v="9"/>
    <n v="62"/>
    <n v="108640"/>
  </r>
  <r>
    <x v="10"/>
    <x v="1"/>
    <x v="0"/>
    <x v="10"/>
    <n v="57"/>
    <n v="107090"/>
  </r>
  <r>
    <x v="10"/>
    <x v="1"/>
    <x v="0"/>
    <x v="31"/>
    <n v="67"/>
    <n v="95530"/>
  </r>
  <r>
    <x v="10"/>
    <x v="1"/>
    <x v="0"/>
    <x v="11"/>
    <n v="103"/>
    <n v="160890"/>
  </r>
  <r>
    <x v="10"/>
    <x v="1"/>
    <x v="0"/>
    <x v="12"/>
    <n v="218"/>
    <n v="373550"/>
  </r>
  <r>
    <x v="10"/>
    <x v="1"/>
    <x v="0"/>
    <x v="13"/>
    <n v="768"/>
    <n v="633120"/>
  </r>
  <r>
    <x v="10"/>
    <x v="1"/>
    <x v="0"/>
    <x v="14"/>
    <n v="113"/>
    <n v="235830"/>
  </r>
  <r>
    <x v="10"/>
    <x v="1"/>
    <x v="0"/>
    <x v="15"/>
    <n v="76"/>
    <n v="77800"/>
  </r>
  <r>
    <x v="10"/>
    <x v="1"/>
    <x v="0"/>
    <x v="16"/>
    <n v="71"/>
    <n v="92460"/>
  </r>
  <r>
    <x v="10"/>
    <x v="1"/>
    <x v="0"/>
    <x v="17"/>
    <n v="78"/>
    <n v="95820"/>
  </r>
  <r>
    <x v="10"/>
    <x v="1"/>
    <x v="0"/>
    <x v="18"/>
    <n v="20"/>
    <n v="26720"/>
  </r>
  <r>
    <x v="10"/>
    <x v="1"/>
    <x v="0"/>
    <x v="19"/>
    <n v="150"/>
    <n v="134740"/>
  </r>
  <r>
    <x v="10"/>
    <x v="1"/>
    <x v="0"/>
    <x v="20"/>
    <n v="227"/>
    <n v="341370"/>
  </r>
  <r>
    <x v="10"/>
    <x v="1"/>
    <x v="0"/>
    <x v="21"/>
    <n v="11"/>
    <n v="22270"/>
  </r>
  <r>
    <x v="10"/>
    <x v="1"/>
    <x v="0"/>
    <x v="22"/>
    <n v="106"/>
    <n v="151950"/>
  </r>
  <r>
    <x v="10"/>
    <x v="1"/>
    <x v="0"/>
    <x v="23"/>
    <n v="142"/>
    <n v="179100"/>
  </r>
  <r>
    <x v="10"/>
    <x v="1"/>
    <x v="0"/>
    <x v="24"/>
    <n v="96"/>
    <n v="115510"/>
  </r>
  <r>
    <x v="10"/>
    <x v="1"/>
    <x v="0"/>
    <x v="25"/>
    <n v="12"/>
    <n v="22920"/>
  </r>
  <r>
    <x v="10"/>
    <x v="1"/>
    <x v="0"/>
    <x v="26"/>
    <n v="86"/>
    <n v="112610"/>
  </r>
  <r>
    <x v="10"/>
    <x v="1"/>
    <x v="0"/>
    <x v="27"/>
    <n v="228"/>
    <n v="320530"/>
  </r>
  <r>
    <x v="10"/>
    <x v="1"/>
    <x v="0"/>
    <x v="28"/>
    <n v="44"/>
    <n v="94210"/>
  </r>
  <r>
    <x v="10"/>
    <x v="1"/>
    <x v="0"/>
    <x v="29"/>
    <n v="103"/>
    <n v="88930"/>
  </r>
  <r>
    <x v="10"/>
    <x v="1"/>
    <x v="0"/>
    <x v="30"/>
    <n v="112"/>
    <n v="183100"/>
  </r>
  <r>
    <x v="10"/>
    <x v="1"/>
    <x v="0"/>
    <x v="32"/>
    <n v="1"/>
    <m/>
  </r>
  <r>
    <x v="10"/>
    <x v="1"/>
    <x v="1"/>
    <x v="0"/>
    <n v="35"/>
    <n v="228670"/>
  </r>
  <r>
    <x v="10"/>
    <x v="1"/>
    <x v="1"/>
    <x v="1"/>
    <n v="7"/>
    <n v="261210"/>
  </r>
  <r>
    <x v="10"/>
    <x v="1"/>
    <x v="1"/>
    <x v="2"/>
    <n v="10"/>
    <n v="116200"/>
  </r>
  <r>
    <x v="10"/>
    <x v="1"/>
    <x v="1"/>
    <x v="3"/>
    <n v="4"/>
    <n v="85870"/>
  </r>
  <r>
    <x v="10"/>
    <x v="1"/>
    <x v="1"/>
    <x v="4"/>
    <n v="45"/>
    <n v="524930"/>
  </r>
  <r>
    <x v="10"/>
    <x v="1"/>
    <x v="1"/>
    <x v="5"/>
    <n v="10"/>
    <n v="51540"/>
  </r>
  <r>
    <x v="10"/>
    <x v="1"/>
    <x v="1"/>
    <x v="6"/>
    <n v="4"/>
    <n v="148860"/>
  </r>
  <r>
    <x v="10"/>
    <x v="1"/>
    <x v="1"/>
    <x v="7"/>
    <n v="13"/>
    <n v="149320"/>
  </r>
  <r>
    <x v="10"/>
    <x v="1"/>
    <x v="1"/>
    <x v="8"/>
    <n v="20"/>
    <n v="122010"/>
  </r>
  <r>
    <x v="10"/>
    <x v="1"/>
    <x v="1"/>
    <x v="9"/>
    <n v="8"/>
    <n v="108640"/>
  </r>
  <r>
    <x v="10"/>
    <x v="1"/>
    <x v="1"/>
    <x v="10"/>
    <n v="2"/>
    <n v="107090"/>
  </r>
  <r>
    <x v="10"/>
    <x v="1"/>
    <x v="1"/>
    <x v="11"/>
    <n v="14"/>
    <n v="160890"/>
  </r>
  <r>
    <x v="10"/>
    <x v="1"/>
    <x v="1"/>
    <x v="12"/>
    <n v="18"/>
    <n v="373550"/>
  </r>
  <r>
    <x v="10"/>
    <x v="1"/>
    <x v="1"/>
    <x v="13"/>
    <n v="135"/>
    <n v="633120"/>
  </r>
  <r>
    <x v="10"/>
    <x v="1"/>
    <x v="1"/>
    <x v="14"/>
    <n v="8"/>
    <n v="235830"/>
  </r>
  <r>
    <x v="10"/>
    <x v="1"/>
    <x v="1"/>
    <x v="15"/>
    <n v="13"/>
    <n v="77800"/>
  </r>
  <r>
    <x v="10"/>
    <x v="1"/>
    <x v="1"/>
    <x v="16"/>
    <n v="3"/>
    <n v="92460"/>
  </r>
  <r>
    <x v="10"/>
    <x v="1"/>
    <x v="1"/>
    <x v="17"/>
    <n v="4"/>
    <n v="95820"/>
  </r>
  <r>
    <x v="10"/>
    <x v="1"/>
    <x v="1"/>
    <x v="19"/>
    <n v="18"/>
    <n v="134740"/>
  </r>
  <r>
    <x v="10"/>
    <x v="1"/>
    <x v="1"/>
    <x v="20"/>
    <n v="49"/>
    <n v="341370"/>
  </r>
  <r>
    <x v="10"/>
    <x v="1"/>
    <x v="1"/>
    <x v="22"/>
    <n v="5"/>
    <n v="151950"/>
  </r>
  <r>
    <x v="10"/>
    <x v="1"/>
    <x v="1"/>
    <x v="23"/>
    <n v="22"/>
    <n v="179100"/>
  </r>
  <r>
    <x v="10"/>
    <x v="1"/>
    <x v="1"/>
    <x v="24"/>
    <n v="6"/>
    <n v="115510"/>
  </r>
  <r>
    <x v="10"/>
    <x v="1"/>
    <x v="1"/>
    <x v="26"/>
    <n v="12"/>
    <n v="112610"/>
  </r>
  <r>
    <x v="10"/>
    <x v="1"/>
    <x v="1"/>
    <x v="27"/>
    <n v="21"/>
    <n v="320530"/>
  </r>
  <r>
    <x v="10"/>
    <x v="1"/>
    <x v="1"/>
    <x v="28"/>
    <n v="8"/>
    <n v="94210"/>
  </r>
  <r>
    <x v="10"/>
    <x v="1"/>
    <x v="1"/>
    <x v="29"/>
    <n v="12"/>
    <n v="88930"/>
  </r>
  <r>
    <x v="10"/>
    <x v="1"/>
    <x v="1"/>
    <x v="30"/>
    <n v="19"/>
    <n v="183100"/>
  </r>
  <r>
    <x v="10"/>
    <x v="2"/>
    <x v="0"/>
    <x v="0"/>
    <n v="89"/>
    <n v="228670"/>
  </r>
  <r>
    <x v="10"/>
    <x v="2"/>
    <x v="0"/>
    <x v="1"/>
    <n v="55"/>
    <n v="261210"/>
  </r>
  <r>
    <x v="10"/>
    <x v="2"/>
    <x v="0"/>
    <x v="2"/>
    <n v="26"/>
    <n v="116200"/>
  </r>
  <r>
    <x v="10"/>
    <x v="2"/>
    <x v="0"/>
    <x v="3"/>
    <n v="26"/>
    <n v="85870"/>
  </r>
  <r>
    <x v="10"/>
    <x v="2"/>
    <x v="0"/>
    <x v="4"/>
    <n v="156"/>
    <n v="524930"/>
  </r>
  <r>
    <x v="10"/>
    <x v="2"/>
    <x v="0"/>
    <x v="5"/>
    <n v="12"/>
    <n v="51540"/>
  </r>
  <r>
    <x v="10"/>
    <x v="2"/>
    <x v="0"/>
    <x v="6"/>
    <n v="40"/>
    <n v="148860"/>
  </r>
  <r>
    <x v="10"/>
    <x v="2"/>
    <x v="0"/>
    <x v="7"/>
    <n v="47"/>
    <n v="149320"/>
  </r>
  <r>
    <x v="10"/>
    <x v="2"/>
    <x v="0"/>
    <x v="8"/>
    <n v="21"/>
    <n v="122010"/>
  </r>
  <r>
    <x v="10"/>
    <x v="2"/>
    <x v="0"/>
    <x v="9"/>
    <n v="22"/>
    <n v="108640"/>
  </r>
  <r>
    <x v="10"/>
    <x v="2"/>
    <x v="0"/>
    <x v="10"/>
    <n v="23"/>
    <n v="107090"/>
  </r>
  <r>
    <x v="10"/>
    <x v="2"/>
    <x v="0"/>
    <x v="31"/>
    <n v="15"/>
    <n v="95530"/>
  </r>
  <r>
    <x v="10"/>
    <x v="2"/>
    <x v="0"/>
    <x v="11"/>
    <n v="47"/>
    <n v="160890"/>
  </r>
  <r>
    <x v="10"/>
    <x v="2"/>
    <x v="0"/>
    <x v="12"/>
    <n v="68"/>
    <n v="373550"/>
  </r>
  <r>
    <x v="10"/>
    <x v="2"/>
    <x v="0"/>
    <x v="13"/>
    <n v="252"/>
    <n v="633120"/>
  </r>
  <r>
    <x v="10"/>
    <x v="2"/>
    <x v="0"/>
    <x v="14"/>
    <n v="68"/>
    <n v="235830"/>
  </r>
  <r>
    <x v="10"/>
    <x v="2"/>
    <x v="0"/>
    <x v="15"/>
    <n v="15"/>
    <n v="77800"/>
  </r>
  <r>
    <x v="10"/>
    <x v="2"/>
    <x v="0"/>
    <x v="16"/>
    <n v="20"/>
    <n v="92460"/>
  </r>
  <r>
    <x v="10"/>
    <x v="2"/>
    <x v="0"/>
    <x v="17"/>
    <n v="17"/>
    <n v="95820"/>
  </r>
  <r>
    <x v="10"/>
    <x v="2"/>
    <x v="0"/>
    <x v="18"/>
    <n v="5"/>
    <n v="26720"/>
  </r>
  <r>
    <x v="10"/>
    <x v="2"/>
    <x v="0"/>
    <x v="19"/>
    <n v="44"/>
    <n v="134740"/>
  </r>
  <r>
    <x v="10"/>
    <x v="2"/>
    <x v="0"/>
    <x v="20"/>
    <n v="70"/>
    <n v="341370"/>
  </r>
  <r>
    <x v="10"/>
    <x v="2"/>
    <x v="0"/>
    <x v="21"/>
    <n v="6"/>
    <n v="22270"/>
  </r>
  <r>
    <x v="10"/>
    <x v="2"/>
    <x v="0"/>
    <x v="22"/>
    <n v="49"/>
    <n v="151950"/>
  </r>
  <r>
    <x v="10"/>
    <x v="2"/>
    <x v="0"/>
    <x v="23"/>
    <n v="59"/>
    <n v="179100"/>
  </r>
  <r>
    <x v="10"/>
    <x v="2"/>
    <x v="0"/>
    <x v="24"/>
    <n v="36"/>
    <n v="115510"/>
  </r>
  <r>
    <x v="10"/>
    <x v="2"/>
    <x v="0"/>
    <x v="25"/>
    <n v="6"/>
    <n v="22920"/>
  </r>
  <r>
    <x v="10"/>
    <x v="2"/>
    <x v="0"/>
    <x v="26"/>
    <n v="36"/>
    <n v="112610"/>
  </r>
  <r>
    <x v="10"/>
    <x v="2"/>
    <x v="0"/>
    <x v="27"/>
    <n v="55"/>
    <n v="320530"/>
  </r>
  <r>
    <x v="10"/>
    <x v="2"/>
    <x v="0"/>
    <x v="28"/>
    <n v="44"/>
    <n v="94210"/>
  </r>
  <r>
    <x v="10"/>
    <x v="2"/>
    <x v="0"/>
    <x v="29"/>
    <n v="35"/>
    <n v="88930"/>
  </r>
  <r>
    <x v="10"/>
    <x v="2"/>
    <x v="0"/>
    <x v="30"/>
    <n v="42"/>
    <n v="183100"/>
  </r>
  <r>
    <x v="10"/>
    <x v="2"/>
    <x v="1"/>
    <x v="0"/>
    <n v="16"/>
    <n v="228670"/>
  </r>
  <r>
    <x v="10"/>
    <x v="2"/>
    <x v="1"/>
    <x v="1"/>
    <n v="25"/>
    <n v="261210"/>
  </r>
  <r>
    <x v="10"/>
    <x v="2"/>
    <x v="1"/>
    <x v="2"/>
    <n v="9"/>
    <n v="116200"/>
  </r>
  <r>
    <x v="10"/>
    <x v="2"/>
    <x v="1"/>
    <x v="3"/>
    <n v="3"/>
    <n v="85870"/>
  </r>
  <r>
    <x v="10"/>
    <x v="2"/>
    <x v="1"/>
    <x v="4"/>
    <n v="40"/>
    <n v="524930"/>
  </r>
  <r>
    <x v="10"/>
    <x v="2"/>
    <x v="1"/>
    <x v="5"/>
    <n v="5"/>
    <n v="51540"/>
  </r>
  <r>
    <x v="10"/>
    <x v="2"/>
    <x v="1"/>
    <x v="6"/>
    <n v="9"/>
    <n v="148860"/>
  </r>
  <r>
    <x v="10"/>
    <x v="2"/>
    <x v="1"/>
    <x v="7"/>
    <n v="8"/>
    <n v="149320"/>
  </r>
  <r>
    <x v="10"/>
    <x v="2"/>
    <x v="1"/>
    <x v="8"/>
    <n v="7"/>
    <n v="122010"/>
  </r>
  <r>
    <x v="10"/>
    <x v="2"/>
    <x v="1"/>
    <x v="9"/>
    <n v="5"/>
    <n v="108640"/>
  </r>
  <r>
    <x v="10"/>
    <x v="2"/>
    <x v="1"/>
    <x v="10"/>
    <n v="6"/>
    <n v="107090"/>
  </r>
  <r>
    <x v="10"/>
    <x v="2"/>
    <x v="1"/>
    <x v="31"/>
    <n v="7"/>
    <n v="95530"/>
  </r>
  <r>
    <x v="10"/>
    <x v="2"/>
    <x v="1"/>
    <x v="11"/>
    <n v="22"/>
    <n v="160890"/>
  </r>
  <r>
    <x v="10"/>
    <x v="2"/>
    <x v="1"/>
    <x v="12"/>
    <n v="28"/>
    <n v="373550"/>
  </r>
  <r>
    <x v="10"/>
    <x v="2"/>
    <x v="1"/>
    <x v="13"/>
    <n v="80"/>
    <n v="633120"/>
  </r>
  <r>
    <x v="10"/>
    <x v="2"/>
    <x v="1"/>
    <x v="14"/>
    <n v="9"/>
    <n v="235830"/>
  </r>
  <r>
    <x v="10"/>
    <x v="2"/>
    <x v="1"/>
    <x v="15"/>
    <n v="13"/>
    <n v="77800"/>
  </r>
  <r>
    <x v="10"/>
    <x v="2"/>
    <x v="1"/>
    <x v="16"/>
    <n v="10"/>
    <n v="92460"/>
  </r>
  <r>
    <x v="10"/>
    <x v="2"/>
    <x v="1"/>
    <x v="17"/>
    <n v="6"/>
    <n v="95820"/>
  </r>
  <r>
    <x v="10"/>
    <x v="2"/>
    <x v="1"/>
    <x v="19"/>
    <n v="16"/>
    <n v="134740"/>
  </r>
  <r>
    <x v="10"/>
    <x v="2"/>
    <x v="1"/>
    <x v="20"/>
    <n v="31"/>
    <n v="341370"/>
  </r>
  <r>
    <x v="10"/>
    <x v="2"/>
    <x v="1"/>
    <x v="22"/>
    <n v="14"/>
    <n v="151950"/>
  </r>
  <r>
    <x v="10"/>
    <x v="2"/>
    <x v="1"/>
    <x v="23"/>
    <n v="20"/>
    <n v="179100"/>
  </r>
  <r>
    <x v="10"/>
    <x v="2"/>
    <x v="1"/>
    <x v="24"/>
    <n v="6"/>
    <n v="115510"/>
  </r>
  <r>
    <x v="10"/>
    <x v="2"/>
    <x v="1"/>
    <x v="25"/>
    <n v="1"/>
    <n v="22920"/>
  </r>
  <r>
    <x v="10"/>
    <x v="2"/>
    <x v="1"/>
    <x v="26"/>
    <n v="8"/>
    <n v="112610"/>
  </r>
  <r>
    <x v="10"/>
    <x v="2"/>
    <x v="1"/>
    <x v="27"/>
    <n v="30"/>
    <n v="320530"/>
  </r>
  <r>
    <x v="10"/>
    <x v="2"/>
    <x v="1"/>
    <x v="28"/>
    <n v="5"/>
    <n v="94210"/>
  </r>
  <r>
    <x v="10"/>
    <x v="2"/>
    <x v="1"/>
    <x v="29"/>
    <n v="2"/>
    <n v="88930"/>
  </r>
  <r>
    <x v="10"/>
    <x v="2"/>
    <x v="1"/>
    <x v="30"/>
    <n v="33"/>
    <n v="183100"/>
  </r>
  <r>
    <x v="10"/>
    <x v="3"/>
    <x v="0"/>
    <x v="0"/>
    <n v="23"/>
    <n v="228670"/>
  </r>
  <r>
    <x v="10"/>
    <x v="3"/>
    <x v="0"/>
    <x v="1"/>
    <n v="80"/>
    <n v="261210"/>
  </r>
  <r>
    <x v="10"/>
    <x v="3"/>
    <x v="0"/>
    <x v="2"/>
    <n v="26"/>
    <n v="116200"/>
  </r>
  <r>
    <x v="10"/>
    <x v="3"/>
    <x v="0"/>
    <x v="3"/>
    <n v="24"/>
    <n v="85870"/>
  </r>
  <r>
    <x v="10"/>
    <x v="3"/>
    <x v="0"/>
    <x v="4"/>
    <n v="70"/>
    <n v="524930"/>
  </r>
  <r>
    <x v="10"/>
    <x v="3"/>
    <x v="0"/>
    <x v="5"/>
    <n v="7"/>
    <n v="51540"/>
  </r>
  <r>
    <x v="10"/>
    <x v="3"/>
    <x v="0"/>
    <x v="6"/>
    <n v="52"/>
    <n v="148860"/>
  </r>
  <r>
    <x v="10"/>
    <x v="3"/>
    <x v="0"/>
    <x v="7"/>
    <n v="31"/>
    <n v="149320"/>
  </r>
  <r>
    <x v="10"/>
    <x v="3"/>
    <x v="0"/>
    <x v="8"/>
    <n v="28"/>
    <n v="122010"/>
  </r>
  <r>
    <x v="10"/>
    <x v="3"/>
    <x v="0"/>
    <x v="9"/>
    <n v="19"/>
    <n v="108640"/>
  </r>
  <r>
    <x v="10"/>
    <x v="3"/>
    <x v="0"/>
    <x v="10"/>
    <n v="23"/>
    <n v="107090"/>
  </r>
  <r>
    <x v="10"/>
    <x v="3"/>
    <x v="0"/>
    <x v="31"/>
    <n v="14"/>
    <n v="95530"/>
  </r>
  <r>
    <x v="10"/>
    <x v="3"/>
    <x v="0"/>
    <x v="11"/>
    <n v="48"/>
    <n v="160890"/>
  </r>
  <r>
    <x v="10"/>
    <x v="3"/>
    <x v="0"/>
    <x v="12"/>
    <n v="79"/>
    <n v="373550"/>
  </r>
  <r>
    <x v="10"/>
    <x v="3"/>
    <x v="0"/>
    <x v="13"/>
    <n v="115"/>
    <n v="633120"/>
  </r>
  <r>
    <x v="10"/>
    <x v="3"/>
    <x v="0"/>
    <x v="14"/>
    <n v="71"/>
    <n v="235830"/>
  </r>
  <r>
    <x v="10"/>
    <x v="3"/>
    <x v="0"/>
    <x v="15"/>
    <n v="11"/>
    <n v="77800"/>
  </r>
  <r>
    <x v="10"/>
    <x v="3"/>
    <x v="0"/>
    <x v="16"/>
    <n v="14"/>
    <n v="92460"/>
  </r>
  <r>
    <x v="10"/>
    <x v="3"/>
    <x v="0"/>
    <x v="17"/>
    <n v="26"/>
    <n v="95820"/>
  </r>
  <r>
    <x v="10"/>
    <x v="3"/>
    <x v="0"/>
    <x v="18"/>
    <n v="8"/>
    <n v="26720"/>
  </r>
  <r>
    <x v="10"/>
    <x v="3"/>
    <x v="0"/>
    <x v="19"/>
    <n v="17"/>
    <n v="134740"/>
  </r>
  <r>
    <x v="10"/>
    <x v="3"/>
    <x v="0"/>
    <x v="20"/>
    <n v="96"/>
    <n v="341370"/>
  </r>
  <r>
    <x v="10"/>
    <x v="3"/>
    <x v="0"/>
    <x v="21"/>
    <n v="11"/>
    <n v="22270"/>
  </r>
  <r>
    <x v="10"/>
    <x v="3"/>
    <x v="0"/>
    <x v="22"/>
    <n v="51"/>
    <n v="151950"/>
  </r>
  <r>
    <x v="10"/>
    <x v="3"/>
    <x v="0"/>
    <x v="23"/>
    <n v="30"/>
    <n v="179100"/>
  </r>
  <r>
    <x v="10"/>
    <x v="3"/>
    <x v="0"/>
    <x v="24"/>
    <n v="26"/>
    <n v="115510"/>
  </r>
  <r>
    <x v="10"/>
    <x v="3"/>
    <x v="0"/>
    <x v="25"/>
    <n v="3"/>
    <n v="22920"/>
  </r>
  <r>
    <x v="10"/>
    <x v="3"/>
    <x v="0"/>
    <x v="26"/>
    <n v="31"/>
    <n v="112610"/>
  </r>
  <r>
    <x v="10"/>
    <x v="3"/>
    <x v="0"/>
    <x v="27"/>
    <n v="87"/>
    <n v="320530"/>
  </r>
  <r>
    <x v="10"/>
    <x v="3"/>
    <x v="0"/>
    <x v="28"/>
    <n v="26"/>
    <n v="94210"/>
  </r>
  <r>
    <x v="10"/>
    <x v="3"/>
    <x v="0"/>
    <x v="29"/>
    <n v="19"/>
    <n v="88930"/>
  </r>
  <r>
    <x v="10"/>
    <x v="3"/>
    <x v="0"/>
    <x v="30"/>
    <n v="41"/>
    <n v="183100"/>
  </r>
  <r>
    <x v="10"/>
    <x v="3"/>
    <x v="1"/>
    <x v="0"/>
    <n v="32"/>
    <n v="228670"/>
  </r>
  <r>
    <x v="10"/>
    <x v="3"/>
    <x v="1"/>
    <x v="1"/>
    <n v="16"/>
    <n v="261210"/>
  </r>
  <r>
    <x v="10"/>
    <x v="3"/>
    <x v="1"/>
    <x v="2"/>
    <n v="6"/>
    <n v="116200"/>
  </r>
  <r>
    <x v="10"/>
    <x v="3"/>
    <x v="1"/>
    <x v="4"/>
    <n v="81"/>
    <n v="524930"/>
  </r>
  <r>
    <x v="10"/>
    <x v="3"/>
    <x v="1"/>
    <x v="5"/>
    <n v="1"/>
    <n v="51540"/>
  </r>
  <r>
    <x v="10"/>
    <x v="3"/>
    <x v="1"/>
    <x v="6"/>
    <n v="5"/>
    <n v="148860"/>
  </r>
  <r>
    <x v="10"/>
    <x v="3"/>
    <x v="1"/>
    <x v="7"/>
    <n v="23"/>
    <n v="149320"/>
  </r>
  <r>
    <x v="10"/>
    <x v="3"/>
    <x v="1"/>
    <x v="8"/>
    <n v="23"/>
    <n v="122010"/>
  </r>
  <r>
    <x v="10"/>
    <x v="3"/>
    <x v="1"/>
    <x v="9"/>
    <n v="26"/>
    <n v="108640"/>
  </r>
  <r>
    <x v="10"/>
    <x v="3"/>
    <x v="1"/>
    <x v="10"/>
    <n v="15"/>
    <n v="107090"/>
  </r>
  <r>
    <x v="10"/>
    <x v="3"/>
    <x v="1"/>
    <x v="31"/>
    <n v="21"/>
    <n v="95530"/>
  </r>
  <r>
    <x v="10"/>
    <x v="3"/>
    <x v="1"/>
    <x v="11"/>
    <n v="22"/>
    <n v="160890"/>
  </r>
  <r>
    <x v="10"/>
    <x v="3"/>
    <x v="1"/>
    <x v="12"/>
    <n v="16"/>
    <n v="373550"/>
  </r>
  <r>
    <x v="10"/>
    <x v="3"/>
    <x v="1"/>
    <x v="13"/>
    <n v="221"/>
    <n v="633120"/>
  </r>
  <r>
    <x v="10"/>
    <x v="3"/>
    <x v="1"/>
    <x v="14"/>
    <n v="8"/>
    <n v="235830"/>
  </r>
  <r>
    <x v="10"/>
    <x v="3"/>
    <x v="1"/>
    <x v="15"/>
    <n v="26"/>
    <n v="77800"/>
  </r>
  <r>
    <x v="10"/>
    <x v="3"/>
    <x v="1"/>
    <x v="16"/>
    <n v="13"/>
    <n v="92460"/>
  </r>
  <r>
    <x v="10"/>
    <x v="3"/>
    <x v="1"/>
    <x v="17"/>
    <n v="5"/>
    <n v="95820"/>
  </r>
  <r>
    <x v="10"/>
    <x v="3"/>
    <x v="1"/>
    <x v="19"/>
    <n v="12"/>
    <n v="134740"/>
  </r>
  <r>
    <x v="10"/>
    <x v="3"/>
    <x v="1"/>
    <x v="20"/>
    <n v="125"/>
    <n v="341370"/>
  </r>
  <r>
    <x v="10"/>
    <x v="3"/>
    <x v="1"/>
    <x v="22"/>
    <n v="1"/>
    <n v="151950"/>
  </r>
  <r>
    <x v="10"/>
    <x v="3"/>
    <x v="1"/>
    <x v="23"/>
    <n v="43"/>
    <n v="179100"/>
  </r>
  <r>
    <x v="10"/>
    <x v="3"/>
    <x v="1"/>
    <x v="24"/>
    <n v="6"/>
    <n v="115510"/>
  </r>
  <r>
    <x v="10"/>
    <x v="3"/>
    <x v="1"/>
    <x v="26"/>
    <n v="7"/>
    <n v="112610"/>
  </r>
  <r>
    <x v="10"/>
    <x v="3"/>
    <x v="1"/>
    <x v="27"/>
    <n v="72"/>
    <n v="320530"/>
  </r>
  <r>
    <x v="10"/>
    <x v="3"/>
    <x v="1"/>
    <x v="28"/>
    <n v="4"/>
    <n v="94210"/>
  </r>
  <r>
    <x v="10"/>
    <x v="3"/>
    <x v="1"/>
    <x v="29"/>
    <n v="27"/>
    <n v="88930"/>
  </r>
  <r>
    <x v="10"/>
    <x v="3"/>
    <x v="1"/>
    <x v="30"/>
    <n v="35"/>
    <n v="183100"/>
  </r>
  <r>
    <x v="10"/>
    <x v="4"/>
    <x v="0"/>
    <x v="0"/>
    <n v="11"/>
    <n v="228670"/>
  </r>
  <r>
    <x v="10"/>
    <x v="4"/>
    <x v="0"/>
    <x v="1"/>
    <n v="28"/>
    <n v="261210"/>
  </r>
  <r>
    <x v="10"/>
    <x v="4"/>
    <x v="0"/>
    <x v="2"/>
    <n v="11"/>
    <n v="116200"/>
  </r>
  <r>
    <x v="10"/>
    <x v="4"/>
    <x v="0"/>
    <x v="3"/>
    <n v="15"/>
    <n v="85870"/>
  </r>
  <r>
    <x v="10"/>
    <x v="4"/>
    <x v="0"/>
    <x v="4"/>
    <n v="29"/>
    <n v="524930"/>
  </r>
  <r>
    <x v="10"/>
    <x v="4"/>
    <x v="0"/>
    <x v="5"/>
    <n v="3"/>
    <n v="51540"/>
  </r>
  <r>
    <x v="10"/>
    <x v="4"/>
    <x v="0"/>
    <x v="6"/>
    <n v="13"/>
    <n v="148860"/>
  </r>
  <r>
    <x v="10"/>
    <x v="4"/>
    <x v="0"/>
    <x v="7"/>
    <n v="8"/>
    <n v="149320"/>
  </r>
  <r>
    <x v="10"/>
    <x v="4"/>
    <x v="0"/>
    <x v="8"/>
    <n v="8"/>
    <n v="122010"/>
  </r>
  <r>
    <x v="10"/>
    <x v="4"/>
    <x v="0"/>
    <x v="9"/>
    <n v="3"/>
    <n v="108640"/>
  </r>
  <r>
    <x v="10"/>
    <x v="4"/>
    <x v="0"/>
    <x v="10"/>
    <n v="1"/>
    <n v="107090"/>
  </r>
  <r>
    <x v="10"/>
    <x v="4"/>
    <x v="0"/>
    <x v="31"/>
    <n v="4"/>
    <n v="95530"/>
  </r>
  <r>
    <x v="10"/>
    <x v="4"/>
    <x v="0"/>
    <x v="11"/>
    <n v="18"/>
    <n v="160890"/>
  </r>
  <r>
    <x v="10"/>
    <x v="4"/>
    <x v="0"/>
    <x v="12"/>
    <n v="21"/>
    <n v="373550"/>
  </r>
  <r>
    <x v="10"/>
    <x v="4"/>
    <x v="0"/>
    <x v="13"/>
    <n v="15"/>
    <n v="633120"/>
  </r>
  <r>
    <x v="10"/>
    <x v="4"/>
    <x v="0"/>
    <x v="14"/>
    <n v="35"/>
    <n v="235830"/>
  </r>
  <r>
    <x v="10"/>
    <x v="4"/>
    <x v="0"/>
    <x v="15"/>
    <n v="2"/>
    <n v="77800"/>
  </r>
  <r>
    <x v="10"/>
    <x v="4"/>
    <x v="0"/>
    <x v="16"/>
    <n v="5"/>
    <n v="92460"/>
  </r>
  <r>
    <x v="10"/>
    <x v="4"/>
    <x v="0"/>
    <x v="17"/>
    <n v="14"/>
    <n v="95820"/>
  </r>
  <r>
    <x v="10"/>
    <x v="4"/>
    <x v="0"/>
    <x v="18"/>
    <n v="3"/>
    <n v="26720"/>
  </r>
  <r>
    <x v="10"/>
    <x v="4"/>
    <x v="0"/>
    <x v="19"/>
    <n v="4"/>
    <n v="134740"/>
  </r>
  <r>
    <x v="10"/>
    <x v="4"/>
    <x v="0"/>
    <x v="20"/>
    <n v="8"/>
    <n v="341370"/>
  </r>
  <r>
    <x v="10"/>
    <x v="4"/>
    <x v="0"/>
    <x v="21"/>
    <n v="6"/>
    <n v="22270"/>
  </r>
  <r>
    <x v="10"/>
    <x v="4"/>
    <x v="0"/>
    <x v="22"/>
    <n v="15"/>
    <n v="151950"/>
  </r>
  <r>
    <x v="10"/>
    <x v="4"/>
    <x v="0"/>
    <x v="23"/>
    <n v="6"/>
    <n v="179100"/>
  </r>
  <r>
    <x v="10"/>
    <x v="4"/>
    <x v="0"/>
    <x v="24"/>
    <n v="11"/>
    <n v="115510"/>
  </r>
  <r>
    <x v="10"/>
    <x v="4"/>
    <x v="0"/>
    <x v="25"/>
    <n v="6"/>
    <n v="22920"/>
  </r>
  <r>
    <x v="10"/>
    <x v="4"/>
    <x v="0"/>
    <x v="26"/>
    <n v="5"/>
    <n v="112610"/>
  </r>
  <r>
    <x v="10"/>
    <x v="4"/>
    <x v="0"/>
    <x v="27"/>
    <n v="6"/>
    <n v="320530"/>
  </r>
  <r>
    <x v="10"/>
    <x v="4"/>
    <x v="0"/>
    <x v="28"/>
    <n v="11"/>
    <n v="94210"/>
  </r>
  <r>
    <x v="10"/>
    <x v="4"/>
    <x v="0"/>
    <x v="29"/>
    <n v="1"/>
    <n v="88930"/>
  </r>
  <r>
    <x v="10"/>
    <x v="4"/>
    <x v="0"/>
    <x v="30"/>
    <n v="5"/>
    <n v="183100"/>
  </r>
  <r>
    <x v="10"/>
    <x v="4"/>
    <x v="1"/>
    <x v="0"/>
    <n v="23"/>
    <n v="228670"/>
  </r>
  <r>
    <x v="10"/>
    <x v="4"/>
    <x v="1"/>
    <x v="1"/>
    <n v="38"/>
    <n v="261210"/>
  </r>
  <r>
    <x v="10"/>
    <x v="4"/>
    <x v="1"/>
    <x v="2"/>
    <n v="12"/>
    <n v="116200"/>
  </r>
  <r>
    <x v="10"/>
    <x v="4"/>
    <x v="1"/>
    <x v="3"/>
    <n v="6"/>
    <n v="85870"/>
  </r>
  <r>
    <x v="10"/>
    <x v="4"/>
    <x v="1"/>
    <x v="4"/>
    <n v="57"/>
    <n v="524930"/>
  </r>
  <r>
    <x v="10"/>
    <x v="4"/>
    <x v="1"/>
    <x v="5"/>
    <n v="4"/>
    <n v="51540"/>
  </r>
  <r>
    <x v="10"/>
    <x v="4"/>
    <x v="1"/>
    <x v="6"/>
    <n v="5"/>
    <n v="148860"/>
  </r>
  <r>
    <x v="10"/>
    <x v="4"/>
    <x v="1"/>
    <x v="7"/>
    <n v="9"/>
    <n v="149320"/>
  </r>
  <r>
    <x v="10"/>
    <x v="4"/>
    <x v="1"/>
    <x v="8"/>
    <n v="10"/>
    <n v="122010"/>
  </r>
  <r>
    <x v="10"/>
    <x v="4"/>
    <x v="1"/>
    <x v="9"/>
    <n v="9"/>
    <n v="108640"/>
  </r>
  <r>
    <x v="10"/>
    <x v="4"/>
    <x v="1"/>
    <x v="10"/>
    <n v="22"/>
    <n v="107090"/>
  </r>
  <r>
    <x v="10"/>
    <x v="4"/>
    <x v="1"/>
    <x v="31"/>
    <n v="9"/>
    <n v="95530"/>
  </r>
  <r>
    <x v="10"/>
    <x v="4"/>
    <x v="1"/>
    <x v="11"/>
    <n v="24"/>
    <n v="160890"/>
  </r>
  <r>
    <x v="10"/>
    <x v="4"/>
    <x v="1"/>
    <x v="12"/>
    <n v="74"/>
    <n v="373550"/>
  </r>
  <r>
    <x v="10"/>
    <x v="4"/>
    <x v="1"/>
    <x v="13"/>
    <n v="40"/>
    <n v="633120"/>
  </r>
  <r>
    <x v="10"/>
    <x v="4"/>
    <x v="1"/>
    <x v="14"/>
    <n v="18"/>
    <n v="235830"/>
  </r>
  <r>
    <x v="10"/>
    <x v="4"/>
    <x v="1"/>
    <x v="15"/>
    <n v="5"/>
    <n v="77800"/>
  </r>
  <r>
    <x v="10"/>
    <x v="4"/>
    <x v="1"/>
    <x v="16"/>
    <n v="19"/>
    <n v="92460"/>
  </r>
  <r>
    <x v="10"/>
    <x v="4"/>
    <x v="1"/>
    <x v="17"/>
    <n v="10"/>
    <n v="95820"/>
  </r>
  <r>
    <x v="10"/>
    <x v="4"/>
    <x v="1"/>
    <x v="19"/>
    <n v="6"/>
    <n v="134740"/>
  </r>
  <r>
    <x v="10"/>
    <x v="4"/>
    <x v="1"/>
    <x v="20"/>
    <n v="29"/>
    <n v="341370"/>
  </r>
  <r>
    <x v="10"/>
    <x v="4"/>
    <x v="1"/>
    <x v="22"/>
    <n v="9"/>
    <n v="151950"/>
  </r>
  <r>
    <x v="10"/>
    <x v="4"/>
    <x v="1"/>
    <x v="23"/>
    <n v="18"/>
    <n v="179100"/>
  </r>
  <r>
    <x v="10"/>
    <x v="4"/>
    <x v="1"/>
    <x v="24"/>
    <n v="31"/>
    <n v="115510"/>
  </r>
  <r>
    <x v="10"/>
    <x v="4"/>
    <x v="1"/>
    <x v="26"/>
    <n v="1"/>
    <n v="112610"/>
  </r>
  <r>
    <x v="10"/>
    <x v="4"/>
    <x v="1"/>
    <x v="27"/>
    <n v="24"/>
    <n v="320530"/>
  </r>
  <r>
    <x v="10"/>
    <x v="4"/>
    <x v="1"/>
    <x v="28"/>
    <n v="7"/>
    <n v="94210"/>
  </r>
  <r>
    <x v="10"/>
    <x v="4"/>
    <x v="1"/>
    <x v="29"/>
    <n v="6"/>
    <n v="88930"/>
  </r>
  <r>
    <x v="10"/>
    <x v="4"/>
    <x v="1"/>
    <x v="30"/>
    <n v="27"/>
    <n v="183100"/>
  </r>
  <r>
    <x v="10"/>
    <x v="5"/>
    <x v="0"/>
    <x v="0"/>
    <n v="91"/>
    <n v="228670"/>
  </r>
  <r>
    <x v="10"/>
    <x v="5"/>
    <x v="0"/>
    <x v="1"/>
    <n v="87"/>
    <n v="261210"/>
  </r>
  <r>
    <x v="10"/>
    <x v="5"/>
    <x v="0"/>
    <x v="2"/>
    <n v="50"/>
    <n v="116200"/>
  </r>
  <r>
    <x v="10"/>
    <x v="5"/>
    <x v="0"/>
    <x v="3"/>
    <n v="64"/>
    <n v="85870"/>
  </r>
  <r>
    <x v="10"/>
    <x v="5"/>
    <x v="0"/>
    <x v="4"/>
    <n v="559"/>
    <n v="524930"/>
  </r>
  <r>
    <x v="10"/>
    <x v="5"/>
    <x v="0"/>
    <x v="5"/>
    <n v="17"/>
    <n v="51540"/>
  </r>
  <r>
    <x v="10"/>
    <x v="5"/>
    <x v="0"/>
    <x v="6"/>
    <n v="81"/>
    <n v="148860"/>
  </r>
  <r>
    <x v="10"/>
    <x v="5"/>
    <x v="0"/>
    <x v="7"/>
    <n v="109"/>
    <n v="149320"/>
  </r>
  <r>
    <x v="10"/>
    <x v="5"/>
    <x v="0"/>
    <x v="8"/>
    <n v="25"/>
    <n v="122010"/>
  </r>
  <r>
    <x v="10"/>
    <x v="5"/>
    <x v="0"/>
    <x v="9"/>
    <n v="15"/>
    <n v="108640"/>
  </r>
  <r>
    <x v="10"/>
    <x v="5"/>
    <x v="0"/>
    <x v="10"/>
    <n v="57"/>
    <n v="107090"/>
  </r>
  <r>
    <x v="10"/>
    <x v="5"/>
    <x v="0"/>
    <x v="31"/>
    <n v="14"/>
    <n v="95530"/>
  </r>
  <r>
    <x v="10"/>
    <x v="5"/>
    <x v="0"/>
    <x v="11"/>
    <n v="98"/>
    <n v="160890"/>
  </r>
  <r>
    <x v="10"/>
    <x v="5"/>
    <x v="0"/>
    <x v="12"/>
    <n v="174"/>
    <n v="373550"/>
  </r>
  <r>
    <x v="10"/>
    <x v="5"/>
    <x v="0"/>
    <x v="13"/>
    <n v="168"/>
    <n v="633120"/>
  </r>
  <r>
    <x v="10"/>
    <x v="5"/>
    <x v="0"/>
    <x v="14"/>
    <n v="272"/>
    <n v="235830"/>
  </r>
  <r>
    <x v="10"/>
    <x v="5"/>
    <x v="0"/>
    <x v="15"/>
    <n v="19"/>
    <n v="77800"/>
  </r>
  <r>
    <x v="10"/>
    <x v="5"/>
    <x v="0"/>
    <x v="16"/>
    <n v="37"/>
    <n v="92460"/>
  </r>
  <r>
    <x v="10"/>
    <x v="5"/>
    <x v="0"/>
    <x v="17"/>
    <n v="54"/>
    <n v="95820"/>
  </r>
  <r>
    <x v="10"/>
    <x v="5"/>
    <x v="0"/>
    <x v="18"/>
    <n v="27"/>
    <n v="26720"/>
  </r>
  <r>
    <x v="10"/>
    <x v="5"/>
    <x v="0"/>
    <x v="19"/>
    <n v="30"/>
    <n v="134740"/>
  </r>
  <r>
    <x v="10"/>
    <x v="5"/>
    <x v="0"/>
    <x v="20"/>
    <n v="49"/>
    <n v="341370"/>
  </r>
  <r>
    <x v="10"/>
    <x v="5"/>
    <x v="0"/>
    <x v="21"/>
    <n v="9"/>
    <n v="22270"/>
  </r>
  <r>
    <x v="10"/>
    <x v="5"/>
    <x v="0"/>
    <x v="22"/>
    <n v="58"/>
    <n v="151950"/>
  </r>
  <r>
    <x v="10"/>
    <x v="5"/>
    <x v="0"/>
    <x v="23"/>
    <n v="32"/>
    <n v="179100"/>
  </r>
  <r>
    <x v="10"/>
    <x v="5"/>
    <x v="0"/>
    <x v="24"/>
    <n v="27"/>
    <n v="115510"/>
  </r>
  <r>
    <x v="10"/>
    <x v="5"/>
    <x v="0"/>
    <x v="25"/>
    <n v="6"/>
    <n v="22920"/>
  </r>
  <r>
    <x v="10"/>
    <x v="5"/>
    <x v="0"/>
    <x v="26"/>
    <n v="33"/>
    <n v="112610"/>
  </r>
  <r>
    <x v="10"/>
    <x v="5"/>
    <x v="0"/>
    <x v="27"/>
    <n v="47"/>
    <n v="320530"/>
  </r>
  <r>
    <x v="10"/>
    <x v="5"/>
    <x v="0"/>
    <x v="28"/>
    <n v="51"/>
    <n v="94210"/>
  </r>
  <r>
    <x v="10"/>
    <x v="5"/>
    <x v="0"/>
    <x v="29"/>
    <n v="8"/>
    <n v="88930"/>
  </r>
  <r>
    <x v="10"/>
    <x v="5"/>
    <x v="0"/>
    <x v="30"/>
    <n v="70"/>
    <n v="183100"/>
  </r>
  <r>
    <x v="10"/>
    <x v="5"/>
    <x v="1"/>
    <x v="0"/>
    <n v="250"/>
    <n v="228670"/>
  </r>
  <r>
    <x v="10"/>
    <x v="5"/>
    <x v="1"/>
    <x v="1"/>
    <n v="147"/>
    <n v="261210"/>
  </r>
  <r>
    <x v="10"/>
    <x v="5"/>
    <x v="1"/>
    <x v="2"/>
    <n v="95"/>
    <n v="116200"/>
  </r>
  <r>
    <x v="10"/>
    <x v="5"/>
    <x v="1"/>
    <x v="3"/>
    <n v="89"/>
    <n v="85870"/>
  </r>
  <r>
    <x v="10"/>
    <x v="5"/>
    <x v="1"/>
    <x v="4"/>
    <n v="1021"/>
    <n v="524930"/>
  </r>
  <r>
    <x v="10"/>
    <x v="5"/>
    <x v="1"/>
    <x v="5"/>
    <n v="63"/>
    <n v="51540"/>
  </r>
  <r>
    <x v="10"/>
    <x v="5"/>
    <x v="1"/>
    <x v="6"/>
    <n v="131"/>
    <n v="148860"/>
  </r>
  <r>
    <x v="10"/>
    <x v="5"/>
    <x v="1"/>
    <x v="7"/>
    <n v="391"/>
    <n v="149320"/>
  </r>
  <r>
    <x v="10"/>
    <x v="5"/>
    <x v="1"/>
    <x v="8"/>
    <n v="450"/>
    <n v="122010"/>
  </r>
  <r>
    <x v="10"/>
    <x v="5"/>
    <x v="1"/>
    <x v="9"/>
    <n v="138"/>
    <n v="108640"/>
  </r>
  <r>
    <x v="10"/>
    <x v="5"/>
    <x v="1"/>
    <x v="10"/>
    <n v="140"/>
    <n v="107090"/>
  </r>
  <r>
    <x v="10"/>
    <x v="5"/>
    <x v="1"/>
    <x v="31"/>
    <n v="152"/>
    <n v="95530"/>
  </r>
  <r>
    <x v="10"/>
    <x v="5"/>
    <x v="1"/>
    <x v="11"/>
    <n v="259"/>
    <n v="160890"/>
  </r>
  <r>
    <x v="10"/>
    <x v="5"/>
    <x v="1"/>
    <x v="12"/>
    <n v="588"/>
    <n v="373550"/>
  </r>
  <r>
    <x v="10"/>
    <x v="5"/>
    <x v="1"/>
    <x v="13"/>
    <n v="2449"/>
    <n v="633120"/>
  </r>
  <r>
    <x v="10"/>
    <x v="5"/>
    <x v="1"/>
    <x v="14"/>
    <n v="155"/>
    <n v="235830"/>
  </r>
  <r>
    <x v="10"/>
    <x v="5"/>
    <x v="1"/>
    <x v="15"/>
    <n v="392"/>
    <n v="77800"/>
  </r>
  <r>
    <x v="10"/>
    <x v="5"/>
    <x v="1"/>
    <x v="16"/>
    <n v="193"/>
    <n v="92460"/>
  </r>
  <r>
    <x v="10"/>
    <x v="5"/>
    <x v="1"/>
    <x v="17"/>
    <n v="49"/>
    <n v="95820"/>
  </r>
  <r>
    <x v="10"/>
    <x v="5"/>
    <x v="1"/>
    <x v="18"/>
    <n v="8"/>
    <n v="26720"/>
  </r>
  <r>
    <x v="10"/>
    <x v="5"/>
    <x v="1"/>
    <x v="19"/>
    <n v="567"/>
    <n v="134740"/>
  </r>
  <r>
    <x v="10"/>
    <x v="5"/>
    <x v="1"/>
    <x v="20"/>
    <n v="1303"/>
    <n v="341370"/>
  </r>
  <r>
    <x v="10"/>
    <x v="5"/>
    <x v="1"/>
    <x v="21"/>
    <n v="1"/>
    <n v="22270"/>
  </r>
  <r>
    <x v="10"/>
    <x v="5"/>
    <x v="1"/>
    <x v="22"/>
    <n v="86"/>
    <n v="151950"/>
  </r>
  <r>
    <x v="10"/>
    <x v="5"/>
    <x v="1"/>
    <x v="23"/>
    <n v="474"/>
    <n v="179100"/>
  </r>
  <r>
    <x v="10"/>
    <x v="5"/>
    <x v="1"/>
    <x v="24"/>
    <n v="85"/>
    <n v="115510"/>
  </r>
  <r>
    <x v="10"/>
    <x v="5"/>
    <x v="1"/>
    <x v="25"/>
    <n v="3"/>
    <n v="22920"/>
  </r>
  <r>
    <x v="10"/>
    <x v="5"/>
    <x v="1"/>
    <x v="26"/>
    <n v="227"/>
    <n v="112610"/>
  </r>
  <r>
    <x v="10"/>
    <x v="5"/>
    <x v="1"/>
    <x v="27"/>
    <n v="746"/>
    <n v="320530"/>
  </r>
  <r>
    <x v="10"/>
    <x v="5"/>
    <x v="1"/>
    <x v="28"/>
    <n v="67"/>
    <n v="94210"/>
  </r>
  <r>
    <x v="10"/>
    <x v="5"/>
    <x v="1"/>
    <x v="29"/>
    <n v="285"/>
    <n v="88930"/>
  </r>
  <r>
    <x v="10"/>
    <x v="5"/>
    <x v="1"/>
    <x v="30"/>
    <n v="648"/>
    <n v="183100"/>
  </r>
  <r>
    <x v="11"/>
    <x v="0"/>
    <x v="0"/>
    <x v="0"/>
    <n v="2"/>
    <n v="229060"/>
  </r>
  <r>
    <x v="11"/>
    <x v="0"/>
    <x v="0"/>
    <x v="1"/>
    <n v="45"/>
    <n v="260780"/>
  </r>
  <r>
    <x v="11"/>
    <x v="0"/>
    <x v="0"/>
    <x v="2"/>
    <n v="21"/>
    <n v="115820"/>
  </r>
  <r>
    <x v="11"/>
    <x v="0"/>
    <x v="0"/>
    <x v="3"/>
    <n v="44"/>
    <n v="85430"/>
  </r>
  <r>
    <x v="11"/>
    <x v="0"/>
    <x v="0"/>
    <x v="4"/>
    <n v="13"/>
    <n v="527620"/>
  </r>
  <r>
    <x v="11"/>
    <x v="0"/>
    <x v="0"/>
    <x v="5"/>
    <n v="3"/>
    <n v="51290"/>
  </r>
  <r>
    <x v="11"/>
    <x v="0"/>
    <x v="0"/>
    <x v="6"/>
    <n v="46"/>
    <n v="148290"/>
  </r>
  <r>
    <x v="11"/>
    <x v="0"/>
    <x v="0"/>
    <x v="7"/>
    <n v="4"/>
    <n v="148820"/>
  </r>
  <r>
    <x v="11"/>
    <x v="0"/>
    <x v="0"/>
    <x v="8"/>
    <n v="5"/>
    <n v="121600"/>
  </r>
  <r>
    <x v="11"/>
    <x v="0"/>
    <x v="0"/>
    <x v="9"/>
    <n v="5"/>
    <n v="108750"/>
  </r>
  <r>
    <x v="11"/>
    <x v="0"/>
    <x v="0"/>
    <x v="10"/>
    <n v="10"/>
    <n v="107900"/>
  </r>
  <r>
    <x v="11"/>
    <x v="0"/>
    <x v="0"/>
    <x v="31"/>
    <n v="6"/>
    <n v="96060"/>
  </r>
  <r>
    <x v="11"/>
    <x v="0"/>
    <x v="0"/>
    <x v="11"/>
    <n v="4"/>
    <n v="160560"/>
  </r>
  <r>
    <x v="11"/>
    <x v="0"/>
    <x v="0"/>
    <x v="12"/>
    <n v="25"/>
    <n v="374130"/>
  </r>
  <r>
    <x v="11"/>
    <x v="0"/>
    <x v="0"/>
    <x v="13"/>
    <n v="2"/>
    <n v="635640"/>
  </r>
  <r>
    <x v="11"/>
    <x v="0"/>
    <x v="0"/>
    <x v="14"/>
    <n v="138"/>
    <n v="235430"/>
  </r>
  <r>
    <x v="11"/>
    <x v="0"/>
    <x v="0"/>
    <x v="15"/>
    <n v="3"/>
    <n v="77060"/>
  </r>
  <r>
    <x v="11"/>
    <x v="0"/>
    <x v="0"/>
    <x v="16"/>
    <n v="6"/>
    <n v="93150"/>
  </r>
  <r>
    <x v="11"/>
    <x v="0"/>
    <x v="0"/>
    <x v="17"/>
    <n v="20"/>
    <n v="95710"/>
  </r>
  <r>
    <x v="11"/>
    <x v="0"/>
    <x v="0"/>
    <x v="18"/>
    <n v="36"/>
    <n v="26500"/>
  </r>
  <r>
    <x v="11"/>
    <x v="0"/>
    <x v="0"/>
    <x v="19"/>
    <n v="12"/>
    <n v="134250"/>
  </r>
  <r>
    <x v="11"/>
    <x v="0"/>
    <x v="0"/>
    <x v="20"/>
    <n v="6"/>
    <n v="341140"/>
  </r>
  <r>
    <x v="11"/>
    <x v="0"/>
    <x v="0"/>
    <x v="21"/>
    <n v="5"/>
    <n v="22400"/>
  </r>
  <r>
    <x v="11"/>
    <x v="0"/>
    <x v="0"/>
    <x v="22"/>
    <n v="41"/>
    <n v="151910"/>
  </r>
  <r>
    <x v="11"/>
    <x v="0"/>
    <x v="0"/>
    <x v="23"/>
    <n v="3"/>
    <n v="179390"/>
  </r>
  <r>
    <x v="11"/>
    <x v="0"/>
    <x v="0"/>
    <x v="24"/>
    <n v="43"/>
    <n v="115240"/>
  </r>
  <r>
    <x v="11"/>
    <x v="0"/>
    <x v="0"/>
    <x v="25"/>
    <n v="14"/>
    <n v="22870"/>
  </r>
  <r>
    <x v="11"/>
    <x v="0"/>
    <x v="0"/>
    <x v="26"/>
    <n v="9"/>
    <n v="112140"/>
  </r>
  <r>
    <x v="11"/>
    <x v="0"/>
    <x v="0"/>
    <x v="27"/>
    <n v="9"/>
    <n v="320820"/>
  </r>
  <r>
    <x v="11"/>
    <x v="0"/>
    <x v="0"/>
    <x v="28"/>
    <n v="13"/>
    <n v="94080"/>
  </r>
  <r>
    <x v="11"/>
    <x v="0"/>
    <x v="0"/>
    <x v="29"/>
    <n v="3"/>
    <n v="88340"/>
  </r>
  <r>
    <x v="11"/>
    <x v="0"/>
    <x v="0"/>
    <x v="30"/>
    <n v="4"/>
    <n v="183820"/>
  </r>
  <r>
    <x v="11"/>
    <x v="0"/>
    <x v="1"/>
    <x v="24"/>
    <n v="1"/>
    <n v="115240"/>
  </r>
  <r>
    <x v="11"/>
    <x v="1"/>
    <x v="0"/>
    <x v="0"/>
    <n v="222"/>
    <n v="229060"/>
  </r>
  <r>
    <x v="11"/>
    <x v="1"/>
    <x v="0"/>
    <x v="1"/>
    <n v="164"/>
    <n v="260780"/>
  </r>
  <r>
    <x v="11"/>
    <x v="1"/>
    <x v="0"/>
    <x v="2"/>
    <n v="74"/>
    <n v="115820"/>
  </r>
  <r>
    <x v="11"/>
    <x v="1"/>
    <x v="0"/>
    <x v="3"/>
    <n v="84"/>
    <n v="85430"/>
  </r>
  <r>
    <x v="11"/>
    <x v="1"/>
    <x v="0"/>
    <x v="4"/>
    <n v="369"/>
    <n v="527620"/>
  </r>
  <r>
    <x v="11"/>
    <x v="1"/>
    <x v="0"/>
    <x v="5"/>
    <n v="54"/>
    <n v="51290"/>
  </r>
  <r>
    <x v="11"/>
    <x v="1"/>
    <x v="0"/>
    <x v="6"/>
    <n v="69"/>
    <n v="148290"/>
  </r>
  <r>
    <x v="11"/>
    <x v="1"/>
    <x v="0"/>
    <x v="7"/>
    <n v="186"/>
    <n v="148820"/>
  </r>
  <r>
    <x v="11"/>
    <x v="1"/>
    <x v="0"/>
    <x v="8"/>
    <n v="95"/>
    <n v="121600"/>
  </r>
  <r>
    <x v="11"/>
    <x v="1"/>
    <x v="0"/>
    <x v="9"/>
    <n v="65"/>
    <n v="108750"/>
  </r>
  <r>
    <x v="11"/>
    <x v="1"/>
    <x v="0"/>
    <x v="10"/>
    <n v="46"/>
    <n v="107900"/>
  </r>
  <r>
    <x v="11"/>
    <x v="1"/>
    <x v="0"/>
    <x v="31"/>
    <n v="49"/>
    <n v="96060"/>
  </r>
  <r>
    <x v="11"/>
    <x v="1"/>
    <x v="0"/>
    <x v="11"/>
    <n v="99"/>
    <n v="160560"/>
  </r>
  <r>
    <x v="11"/>
    <x v="1"/>
    <x v="0"/>
    <x v="12"/>
    <n v="227"/>
    <n v="374130"/>
  </r>
  <r>
    <x v="11"/>
    <x v="1"/>
    <x v="0"/>
    <x v="13"/>
    <n v="685"/>
    <n v="635640"/>
  </r>
  <r>
    <x v="11"/>
    <x v="1"/>
    <x v="0"/>
    <x v="14"/>
    <n v="126"/>
    <n v="235430"/>
  </r>
  <r>
    <x v="11"/>
    <x v="1"/>
    <x v="0"/>
    <x v="15"/>
    <n v="88"/>
    <n v="77060"/>
  </r>
  <r>
    <x v="11"/>
    <x v="1"/>
    <x v="0"/>
    <x v="16"/>
    <n v="57"/>
    <n v="93150"/>
  </r>
  <r>
    <x v="11"/>
    <x v="1"/>
    <x v="0"/>
    <x v="17"/>
    <n v="50"/>
    <n v="95710"/>
  </r>
  <r>
    <x v="11"/>
    <x v="1"/>
    <x v="0"/>
    <x v="18"/>
    <n v="21"/>
    <n v="26500"/>
  </r>
  <r>
    <x v="11"/>
    <x v="1"/>
    <x v="0"/>
    <x v="19"/>
    <n v="136"/>
    <n v="134250"/>
  </r>
  <r>
    <x v="11"/>
    <x v="1"/>
    <x v="0"/>
    <x v="20"/>
    <n v="279"/>
    <n v="341140"/>
  </r>
  <r>
    <x v="11"/>
    <x v="1"/>
    <x v="0"/>
    <x v="21"/>
    <n v="4"/>
    <n v="22400"/>
  </r>
  <r>
    <x v="11"/>
    <x v="1"/>
    <x v="0"/>
    <x v="22"/>
    <n v="97"/>
    <n v="151910"/>
  </r>
  <r>
    <x v="11"/>
    <x v="1"/>
    <x v="0"/>
    <x v="23"/>
    <n v="151"/>
    <n v="179390"/>
  </r>
  <r>
    <x v="11"/>
    <x v="1"/>
    <x v="0"/>
    <x v="24"/>
    <n v="77"/>
    <n v="115240"/>
  </r>
  <r>
    <x v="11"/>
    <x v="1"/>
    <x v="0"/>
    <x v="25"/>
    <n v="24"/>
    <n v="22870"/>
  </r>
  <r>
    <x v="11"/>
    <x v="1"/>
    <x v="0"/>
    <x v="26"/>
    <n v="73"/>
    <n v="112140"/>
  </r>
  <r>
    <x v="11"/>
    <x v="1"/>
    <x v="0"/>
    <x v="27"/>
    <n v="221"/>
    <n v="320820"/>
  </r>
  <r>
    <x v="11"/>
    <x v="1"/>
    <x v="0"/>
    <x v="28"/>
    <n v="48"/>
    <n v="94080"/>
  </r>
  <r>
    <x v="11"/>
    <x v="1"/>
    <x v="0"/>
    <x v="29"/>
    <n v="102"/>
    <n v="88340"/>
  </r>
  <r>
    <x v="11"/>
    <x v="1"/>
    <x v="0"/>
    <x v="30"/>
    <n v="99"/>
    <n v="183820"/>
  </r>
  <r>
    <x v="11"/>
    <x v="1"/>
    <x v="1"/>
    <x v="0"/>
    <n v="21"/>
    <n v="229060"/>
  </r>
  <r>
    <x v="11"/>
    <x v="1"/>
    <x v="1"/>
    <x v="1"/>
    <n v="8"/>
    <n v="260780"/>
  </r>
  <r>
    <x v="11"/>
    <x v="1"/>
    <x v="1"/>
    <x v="2"/>
    <n v="6"/>
    <n v="115820"/>
  </r>
  <r>
    <x v="11"/>
    <x v="1"/>
    <x v="1"/>
    <x v="3"/>
    <n v="2"/>
    <n v="85430"/>
  </r>
  <r>
    <x v="11"/>
    <x v="1"/>
    <x v="1"/>
    <x v="4"/>
    <n v="53"/>
    <n v="527620"/>
  </r>
  <r>
    <x v="11"/>
    <x v="1"/>
    <x v="1"/>
    <x v="5"/>
    <n v="1"/>
    <n v="51290"/>
  </r>
  <r>
    <x v="11"/>
    <x v="1"/>
    <x v="1"/>
    <x v="6"/>
    <n v="5"/>
    <n v="148290"/>
  </r>
  <r>
    <x v="11"/>
    <x v="1"/>
    <x v="1"/>
    <x v="7"/>
    <n v="23"/>
    <n v="148820"/>
  </r>
  <r>
    <x v="11"/>
    <x v="1"/>
    <x v="1"/>
    <x v="8"/>
    <n v="14"/>
    <n v="121600"/>
  </r>
  <r>
    <x v="11"/>
    <x v="1"/>
    <x v="1"/>
    <x v="9"/>
    <n v="9"/>
    <n v="108750"/>
  </r>
  <r>
    <x v="11"/>
    <x v="1"/>
    <x v="1"/>
    <x v="10"/>
    <n v="3"/>
    <n v="107900"/>
  </r>
  <r>
    <x v="11"/>
    <x v="1"/>
    <x v="1"/>
    <x v="31"/>
    <n v="4"/>
    <n v="96060"/>
  </r>
  <r>
    <x v="11"/>
    <x v="1"/>
    <x v="1"/>
    <x v="11"/>
    <n v="10"/>
    <n v="160560"/>
  </r>
  <r>
    <x v="11"/>
    <x v="1"/>
    <x v="1"/>
    <x v="12"/>
    <n v="20"/>
    <n v="374130"/>
  </r>
  <r>
    <x v="11"/>
    <x v="1"/>
    <x v="1"/>
    <x v="13"/>
    <n v="110"/>
    <n v="635640"/>
  </r>
  <r>
    <x v="11"/>
    <x v="1"/>
    <x v="1"/>
    <x v="14"/>
    <n v="6"/>
    <n v="235430"/>
  </r>
  <r>
    <x v="11"/>
    <x v="1"/>
    <x v="1"/>
    <x v="15"/>
    <n v="22"/>
    <n v="77060"/>
  </r>
  <r>
    <x v="11"/>
    <x v="1"/>
    <x v="1"/>
    <x v="16"/>
    <n v="2"/>
    <n v="93150"/>
  </r>
  <r>
    <x v="11"/>
    <x v="1"/>
    <x v="1"/>
    <x v="17"/>
    <n v="1"/>
    <n v="95710"/>
  </r>
  <r>
    <x v="11"/>
    <x v="1"/>
    <x v="1"/>
    <x v="18"/>
    <n v="1"/>
    <n v="26500"/>
  </r>
  <r>
    <x v="11"/>
    <x v="1"/>
    <x v="1"/>
    <x v="19"/>
    <n v="17"/>
    <n v="134250"/>
  </r>
  <r>
    <x v="11"/>
    <x v="1"/>
    <x v="1"/>
    <x v="20"/>
    <n v="39"/>
    <n v="341140"/>
  </r>
  <r>
    <x v="11"/>
    <x v="1"/>
    <x v="1"/>
    <x v="22"/>
    <n v="7"/>
    <n v="151910"/>
  </r>
  <r>
    <x v="11"/>
    <x v="1"/>
    <x v="1"/>
    <x v="23"/>
    <n v="34"/>
    <n v="179390"/>
  </r>
  <r>
    <x v="11"/>
    <x v="1"/>
    <x v="1"/>
    <x v="24"/>
    <n v="8"/>
    <n v="115240"/>
  </r>
  <r>
    <x v="11"/>
    <x v="1"/>
    <x v="1"/>
    <x v="25"/>
    <n v="1"/>
    <n v="22870"/>
  </r>
  <r>
    <x v="11"/>
    <x v="1"/>
    <x v="1"/>
    <x v="26"/>
    <n v="17"/>
    <n v="112140"/>
  </r>
  <r>
    <x v="11"/>
    <x v="1"/>
    <x v="1"/>
    <x v="27"/>
    <n v="34"/>
    <n v="320820"/>
  </r>
  <r>
    <x v="11"/>
    <x v="1"/>
    <x v="1"/>
    <x v="28"/>
    <n v="11"/>
    <n v="94080"/>
  </r>
  <r>
    <x v="11"/>
    <x v="1"/>
    <x v="1"/>
    <x v="29"/>
    <n v="15"/>
    <n v="88340"/>
  </r>
  <r>
    <x v="11"/>
    <x v="1"/>
    <x v="1"/>
    <x v="30"/>
    <n v="16"/>
    <n v="183820"/>
  </r>
  <r>
    <x v="11"/>
    <x v="2"/>
    <x v="0"/>
    <x v="0"/>
    <n v="74"/>
    <n v="229060"/>
  </r>
  <r>
    <x v="11"/>
    <x v="2"/>
    <x v="0"/>
    <x v="1"/>
    <n v="71"/>
    <n v="260780"/>
  </r>
  <r>
    <x v="11"/>
    <x v="2"/>
    <x v="0"/>
    <x v="2"/>
    <n v="21"/>
    <n v="115820"/>
  </r>
  <r>
    <x v="11"/>
    <x v="2"/>
    <x v="0"/>
    <x v="3"/>
    <n v="30"/>
    <n v="85430"/>
  </r>
  <r>
    <x v="11"/>
    <x v="2"/>
    <x v="0"/>
    <x v="4"/>
    <n v="125"/>
    <n v="527620"/>
  </r>
  <r>
    <x v="11"/>
    <x v="2"/>
    <x v="0"/>
    <x v="5"/>
    <n v="15"/>
    <n v="51290"/>
  </r>
  <r>
    <x v="11"/>
    <x v="2"/>
    <x v="0"/>
    <x v="6"/>
    <n v="34"/>
    <n v="148290"/>
  </r>
  <r>
    <x v="11"/>
    <x v="2"/>
    <x v="0"/>
    <x v="7"/>
    <n v="42"/>
    <n v="148820"/>
  </r>
  <r>
    <x v="11"/>
    <x v="2"/>
    <x v="0"/>
    <x v="8"/>
    <n v="21"/>
    <n v="121600"/>
  </r>
  <r>
    <x v="11"/>
    <x v="2"/>
    <x v="0"/>
    <x v="9"/>
    <n v="20"/>
    <n v="108750"/>
  </r>
  <r>
    <x v="11"/>
    <x v="2"/>
    <x v="0"/>
    <x v="10"/>
    <n v="22"/>
    <n v="107900"/>
  </r>
  <r>
    <x v="11"/>
    <x v="2"/>
    <x v="0"/>
    <x v="31"/>
    <n v="6"/>
    <n v="96060"/>
  </r>
  <r>
    <x v="11"/>
    <x v="2"/>
    <x v="0"/>
    <x v="11"/>
    <n v="42"/>
    <n v="160560"/>
  </r>
  <r>
    <x v="11"/>
    <x v="2"/>
    <x v="0"/>
    <x v="12"/>
    <n v="76"/>
    <n v="374130"/>
  </r>
  <r>
    <x v="11"/>
    <x v="2"/>
    <x v="0"/>
    <x v="13"/>
    <n v="169"/>
    <n v="635640"/>
  </r>
  <r>
    <x v="11"/>
    <x v="2"/>
    <x v="0"/>
    <x v="14"/>
    <n v="101"/>
    <n v="235430"/>
  </r>
  <r>
    <x v="11"/>
    <x v="2"/>
    <x v="0"/>
    <x v="15"/>
    <n v="14"/>
    <n v="77060"/>
  </r>
  <r>
    <x v="11"/>
    <x v="2"/>
    <x v="0"/>
    <x v="16"/>
    <n v="33"/>
    <n v="93150"/>
  </r>
  <r>
    <x v="11"/>
    <x v="2"/>
    <x v="0"/>
    <x v="17"/>
    <n v="21"/>
    <n v="95710"/>
  </r>
  <r>
    <x v="11"/>
    <x v="2"/>
    <x v="0"/>
    <x v="18"/>
    <n v="6"/>
    <n v="26500"/>
  </r>
  <r>
    <x v="11"/>
    <x v="2"/>
    <x v="0"/>
    <x v="19"/>
    <n v="28"/>
    <n v="134250"/>
  </r>
  <r>
    <x v="11"/>
    <x v="2"/>
    <x v="0"/>
    <x v="20"/>
    <n v="75"/>
    <n v="341140"/>
  </r>
  <r>
    <x v="11"/>
    <x v="2"/>
    <x v="0"/>
    <x v="21"/>
    <n v="2"/>
    <n v="22400"/>
  </r>
  <r>
    <x v="11"/>
    <x v="2"/>
    <x v="0"/>
    <x v="22"/>
    <n v="43"/>
    <n v="151910"/>
  </r>
  <r>
    <x v="11"/>
    <x v="2"/>
    <x v="0"/>
    <x v="23"/>
    <n v="39"/>
    <n v="179390"/>
  </r>
  <r>
    <x v="11"/>
    <x v="2"/>
    <x v="0"/>
    <x v="24"/>
    <n v="36"/>
    <n v="115240"/>
  </r>
  <r>
    <x v="11"/>
    <x v="2"/>
    <x v="0"/>
    <x v="25"/>
    <n v="9"/>
    <n v="22870"/>
  </r>
  <r>
    <x v="11"/>
    <x v="2"/>
    <x v="0"/>
    <x v="26"/>
    <n v="22"/>
    <n v="112140"/>
  </r>
  <r>
    <x v="11"/>
    <x v="2"/>
    <x v="0"/>
    <x v="27"/>
    <n v="54"/>
    <n v="320820"/>
  </r>
  <r>
    <x v="11"/>
    <x v="2"/>
    <x v="0"/>
    <x v="28"/>
    <n v="30"/>
    <n v="94080"/>
  </r>
  <r>
    <x v="11"/>
    <x v="2"/>
    <x v="0"/>
    <x v="29"/>
    <n v="19"/>
    <n v="88340"/>
  </r>
  <r>
    <x v="11"/>
    <x v="2"/>
    <x v="0"/>
    <x v="30"/>
    <n v="35"/>
    <n v="183820"/>
  </r>
  <r>
    <x v="11"/>
    <x v="2"/>
    <x v="1"/>
    <x v="0"/>
    <n v="16"/>
    <n v="229060"/>
  </r>
  <r>
    <x v="11"/>
    <x v="2"/>
    <x v="1"/>
    <x v="1"/>
    <n v="20"/>
    <n v="260780"/>
  </r>
  <r>
    <x v="11"/>
    <x v="2"/>
    <x v="1"/>
    <x v="2"/>
    <n v="12"/>
    <n v="115820"/>
  </r>
  <r>
    <x v="11"/>
    <x v="2"/>
    <x v="1"/>
    <x v="3"/>
    <n v="2"/>
    <n v="85430"/>
  </r>
  <r>
    <x v="11"/>
    <x v="2"/>
    <x v="1"/>
    <x v="4"/>
    <n v="28"/>
    <n v="527620"/>
  </r>
  <r>
    <x v="11"/>
    <x v="2"/>
    <x v="1"/>
    <x v="5"/>
    <n v="6"/>
    <n v="51290"/>
  </r>
  <r>
    <x v="11"/>
    <x v="2"/>
    <x v="1"/>
    <x v="6"/>
    <n v="11"/>
    <n v="148290"/>
  </r>
  <r>
    <x v="11"/>
    <x v="2"/>
    <x v="1"/>
    <x v="7"/>
    <n v="12"/>
    <n v="148820"/>
  </r>
  <r>
    <x v="11"/>
    <x v="2"/>
    <x v="1"/>
    <x v="8"/>
    <n v="10"/>
    <n v="121600"/>
  </r>
  <r>
    <x v="11"/>
    <x v="2"/>
    <x v="1"/>
    <x v="9"/>
    <n v="1"/>
    <n v="108750"/>
  </r>
  <r>
    <x v="11"/>
    <x v="2"/>
    <x v="1"/>
    <x v="10"/>
    <n v="5"/>
    <n v="107900"/>
  </r>
  <r>
    <x v="11"/>
    <x v="2"/>
    <x v="1"/>
    <x v="31"/>
    <n v="6"/>
    <n v="96060"/>
  </r>
  <r>
    <x v="11"/>
    <x v="2"/>
    <x v="1"/>
    <x v="11"/>
    <n v="16"/>
    <n v="160560"/>
  </r>
  <r>
    <x v="11"/>
    <x v="2"/>
    <x v="1"/>
    <x v="12"/>
    <n v="23"/>
    <n v="374130"/>
  </r>
  <r>
    <x v="11"/>
    <x v="2"/>
    <x v="1"/>
    <x v="13"/>
    <n v="66"/>
    <n v="635640"/>
  </r>
  <r>
    <x v="11"/>
    <x v="2"/>
    <x v="1"/>
    <x v="14"/>
    <n v="5"/>
    <n v="235430"/>
  </r>
  <r>
    <x v="11"/>
    <x v="2"/>
    <x v="1"/>
    <x v="15"/>
    <n v="6"/>
    <n v="77060"/>
  </r>
  <r>
    <x v="11"/>
    <x v="2"/>
    <x v="1"/>
    <x v="16"/>
    <n v="2"/>
    <n v="93150"/>
  </r>
  <r>
    <x v="11"/>
    <x v="2"/>
    <x v="1"/>
    <x v="17"/>
    <n v="6"/>
    <n v="95710"/>
  </r>
  <r>
    <x v="11"/>
    <x v="2"/>
    <x v="1"/>
    <x v="19"/>
    <n v="7"/>
    <n v="134250"/>
  </r>
  <r>
    <x v="11"/>
    <x v="2"/>
    <x v="1"/>
    <x v="20"/>
    <n v="31"/>
    <n v="341140"/>
  </r>
  <r>
    <x v="11"/>
    <x v="2"/>
    <x v="1"/>
    <x v="22"/>
    <n v="1"/>
    <n v="151910"/>
  </r>
  <r>
    <x v="11"/>
    <x v="2"/>
    <x v="1"/>
    <x v="23"/>
    <n v="23"/>
    <n v="179390"/>
  </r>
  <r>
    <x v="11"/>
    <x v="2"/>
    <x v="1"/>
    <x v="24"/>
    <n v="5"/>
    <n v="115240"/>
  </r>
  <r>
    <x v="11"/>
    <x v="2"/>
    <x v="1"/>
    <x v="26"/>
    <n v="7"/>
    <n v="112140"/>
  </r>
  <r>
    <x v="11"/>
    <x v="2"/>
    <x v="1"/>
    <x v="27"/>
    <n v="17"/>
    <n v="320820"/>
  </r>
  <r>
    <x v="11"/>
    <x v="2"/>
    <x v="1"/>
    <x v="28"/>
    <n v="8"/>
    <n v="94080"/>
  </r>
  <r>
    <x v="11"/>
    <x v="2"/>
    <x v="1"/>
    <x v="29"/>
    <n v="7"/>
    <n v="88340"/>
  </r>
  <r>
    <x v="11"/>
    <x v="2"/>
    <x v="1"/>
    <x v="30"/>
    <n v="24"/>
    <n v="183820"/>
  </r>
  <r>
    <x v="11"/>
    <x v="3"/>
    <x v="0"/>
    <x v="0"/>
    <n v="19"/>
    <n v="229060"/>
  </r>
  <r>
    <x v="11"/>
    <x v="3"/>
    <x v="0"/>
    <x v="1"/>
    <n v="60"/>
    <n v="260780"/>
  </r>
  <r>
    <x v="11"/>
    <x v="3"/>
    <x v="0"/>
    <x v="2"/>
    <n v="21"/>
    <n v="115820"/>
  </r>
  <r>
    <x v="11"/>
    <x v="3"/>
    <x v="0"/>
    <x v="3"/>
    <n v="17"/>
    <n v="85430"/>
  </r>
  <r>
    <x v="11"/>
    <x v="3"/>
    <x v="0"/>
    <x v="4"/>
    <n v="63"/>
    <n v="527620"/>
  </r>
  <r>
    <x v="11"/>
    <x v="3"/>
    <x v="0"/>
    <x v="5"/>
    <n v="1"/>
    <n v="51290"/>
  </r>
  <r>
    <x v="11"/>
    <x v="3"/>
    <x v="0"/>
    <x v="6"/>
    <n v="39"/>
    <n v="148290"/>
  </r>
  <r>
    <x v="11"/>
    <x v="3"/>
    <x v="0"/>
    <x v="7"/>
    <n v="19"/>
    <n v="148820"/>
  </r>
  <r>
    <x v="11"/>
    <x v="3"/>
    <x v="0"/>
    <x v="8"/>
    <n v="28"/>
    <n v="121600"/>
  </r>
  <r>
    <x v="11"/>
    <x v="3"/>
    <x v="0"/>
    <x v="9"/>
    <n v="10"/>
    <n v="108750"/>
  </r>
  <r>
    <x v="11"/>
    <x v="3"/>
    <x v="0"/>
    <x v="10"/>
    <n v="28"/>
    <n v="107900"/>
  </r>
  <r>
    <x v="11"/>
    <x v="3"/>
    <x v="0"/>
    <x v="31"/>
    <n v="9"/>
    <n v="96060"/>
  </r>
  <r>
    <x v="11"/>
    <x v="3"/>
    <x v="0"/>
    <x v="11"/>
    <n v="40"/>
    <n v="160560"/>
  </r>
  <r>
    <x v="11"/>
    <x v="3"/>
    <x v="0"/>
    <x v="12"/>
    <n v="81"/>
    <n v="374130"/>
  </r>
  <r>
    <x v="11"/>
    <x v="3"/>
    <x v="0"/>
    <x v="13"/>
    <n v="106"/>
    <n v="635640"/>
  </r>
  <r>
    <x v="11"/>
    <x v="3"/>
    <x v="0"/>
    <x v="14"/>
    <n v="57"/>
    <n v="235430"/>
  </r>
  <r>
    <x v="11"/>
    <x v="3"/>
    <x v="0"/>
    <x v="15"/>
    <n v="7"/>
    <n v="77060"/>
  </r>
  <r>
    <x v="11"/>
    <x v="3"/>
    <x v="0"/>
    <x v="16"/>
    <n v="12"/>
    <n v="93150"/>
  </r>
  <r>
    <x v="11"/>
    <x v="3"/>
    <x v="0"/>
    <x v="17"/>
    <n v="19"/>
    <n v="95710"/>
  </r>
  <r>
    <x v="11"/>
    <x v="3"/>
    <x v="0"/>
    <x v="18"/>
    <n v="7"/>
    <n v="26500"/>
  </r>
  <r>
    <x v="11"/>
    <x v="3"/>
    <x v="0"/>
    <x v="19"/>
    <n v="25"/>
    <n v="134250"/>
  </r>
  <r>
    <x v="11"/>
    <x v="3"/>
    <x v="0"/>
    <x v="20"/>
    <n v="102"/>
    <n v="341140"/>
  </r>
  <r>
    <x v="11"/>
    <x v="3"/>
    <x v="0"/>
    <x v="21"/>
    <n v="7"/>
    <n v="22400"/>
  </r>
  <r>
    <x v="11"/>
    <x v="3"/>
    <x v="0"/>
    <x v="22"/>
    <n v="45"/>
    <n v="151910"/>
  </r>
  <r>
    <x v="11"/>
    <x v="3"/>
    <x v="0"/>
    <x v="23"/>
    <n v="19"/>
    <n v="179390"/>
  </r>
  <r>
    <x v="11"/>
    <x v="3"/>
    <x v="0"/>
    <x v="24"/>
    <n v="28"/>
    <n v="115240"/>
  </r>
  <r>
    <x v="11"/>
    <x v="3"/>
    <x v="0"/>
    <x v="25"/>
    <n v="13"/>
    <n v="22870"/>
  </r>
  <r>
    <x v="11"/>
    <x v="3"/>
    <x v="0"/>
    <x v="26"/>
    <n v="21"/>
    <n v="112140"/>
  </r>
  <r>
    <x v="11"/>
    <x v="3"/>
    <x v="0"/>
    <x v="27"/>
    <n v="77"/>
    <n v="320820"/>
  </r>
  <r>
    <x v="11"/>
    <x v="3"/>
    <x v="0"/>
    <x v="28"/>
    <n v="25"/>
    <n v="94080"/>
  </r>
  <r>
    <x v="11"/>
    <x v="3"/>
    <x v="0"/>
    <x v="29"/>
    <n v="13"/>
    <n v="88340"/>
  </r>
  <r>
    <x v="11"/>
    <x v="3"/>
    <x v="0"/>
    <x v="30"/>
    <n v="37"/>
    <n v="183820"/>
  </r>
  <r>
    <x v="11"/>
    <x v="3"/>
    <x v="1"/>
    <x v="0"/>
    <n v="18"/>
    <n v="229060"/>
  </r>
  <r>
    <x v="11"/>
    <x v="3"/>
    <x v="1"/>
    <x v="1"/>
    <n v="12"/>
    <n v="260780"/>
  </r>
  <r>
    <x v="11"/>
    <x v="3"/>
    <x v="1"/>
    <x v="2"/>
    <n v="5"/>
    <n v="115820"/>
  </r>
  <r>
    <x v="11"/>
    <x v="3"/>
    <x v="1"/>
    <x v="3"/>
    <n v="3"/>
    <n v="85430"/>
  </r>
  <r>
    <x v="11"/>
    <x v="3"/>
    <x v="1"/>
    <x v="4"/>
    <n v="72"/>
    <n v="527620"/>
  </r>
  <r>
    <x v="11"/>
    <x v="3"/>
    <x v="1"/>
    <x v="5"/>
    <n v="2"/>
    <n v="51290"/>
  </r>
  <r>
    <x v="11"/>
    <x v="3"/>
    <x v="1"/>
    <x v="6"/>
    <n v="5"/>
    <n v="148290"/>
  </r>
  <r>
    <x v="11"/>
    <x v="3"/>
    <x v="1"/>
    <x v="7"/>
    <n v="13"/>
    <n v="148820"/>
  </r>
  <r>
    <x v="11"/>
    <x v="3"/>
    <x v="1"/>
    <x v="8"/>
    <n v="18"/>
    <n v="121600"/>
  </r>
  <r>
    <x v="11"/>
    <x v="3"/>
    <x v="1"/>
    <x v="9"/>
    <n v="17"/>
    <n v="108750"/>
  </r>
  <r>
    <x v="11"/>
    <x v="3"/>
    <x v="1"/>
    <x v="10"/>
    <n v="8"/>
    <n v="107900"/>
  </r>
  <r>
    <x v="11"/>
    <x v="3"/>
    <x v="1"/>
    <x v="31"/>
    <n v="15"/>
    <n v="96060"/>
  </r>
  <r>
    <x v="11"/>
    <x v="3"/>
    <x v="1"/>
    <x v="11"/>
    <n v="10"/>
    <n v="160560"/>
  </r>
  <r>
    <x v="11"/>
    <x v="3"/>
    <x v="1"/>
    <x v="12"/>
    <n v="28"/>
    <n v="374130"/>
  </r>
  <r>
    <x v="11"/>
    <x v="3"/>
    <x v="1"/>
    <x v="13"/>
    <n v="192"/>
    <n v="635640"/>
  </r>
  <r>
    <x v="11"/>
    <x v="3"/>
    <x v="1"/>
    <x v="14"/>
    <n v="4"/>
    <n v="235430"/>
  </r>
  <r>
    <x v="11"/>
    <x v="3"/>
    <x v="1"/>
    <x v="15"/>
    <n v="22"/>
    <n v="77060"/>
  </r>
  <r>
    <x v="11"/>
    <x v="3"/>
    <x v="1"/>
    <x v="16"/>
    <n v="7"/>
    <n v="93150"/>
  </r>
  <r>
    <x v="11"/>
    <x v="3"/>
    <x v="1"/>
    <x v="17"/>
    <n v="4"/>
    <n v="95710"/>
  </r>
  <r>
    <x v="11"/>
    <x v="3"/>
    <x v="1"/>
    <x v="18"/>
    <n v="1"/>
    <n v="26500"/>
  </r>
  <r>
    <x v="11"/>
    <x v="3"/>
    <x v="1"/>
    <x v="19"/>
    <n v="10"/>
    <n v="134250"/>
  </r>
  <r>
    <x v="11"/>
    <x v="3"/>
    <x v="1"/>
    <x v="20"/>
    <n v="115"/>
    <n v="341140"/>
  </r>
  <r>
    <x v="11"/>
    <x v="3"/>
    <x v="1"/>
    <x v="22"/>
    <n v="7"/>
    <n v="151910"/>
  </r>
  <r>
    <x v="11"/>
    <x v="3"/>
    <x v="1"/>
    <x v="23"/>
    <n v="36"/>
    <n v="179390"/>
  </r>
  <r>
    <x v="11"/>
    <x v="3"/>
    <x v="1"/>
    <x v="24"/>
    <n v="5"/>
    <n v="115240"/>
  </r>
  <r>
    <x v="11"/>
    <x v="3"/>
    <x v="1"/>
    <x v="26"/>
    <n v="5"/>
    <n v="112140"/>
  </r>
  <r>
    <x v="11"/>
    <x v="3"/>
    <x v="1"/>
    <x v="27"/>
    <n v="75"/>
    <n v="320820"/>
  </r>
  <r>
    <x v="11"/>
    <x v="3"/>
    <x v="1"/>
    <x v="28"/>
    <n v="8"/>
    <n v="94080"/>
  </r>
  <r>
    <x v="11"/>
    <x v="3"/>
    <x v="1"/>
    <x v="29"/>
    <n v="19"/>
    <n v="88340"/>
  </r>
  <r>
    <x v="11"/>
    <x v="3"/>
    <x v="1"/>
    <x v="30"/>
    <n v="25"/>
    <n v="183820"/>
  </r>
  <r>
    <x v="11"/>
    <x v="4"/>
    <x v="0"/>
    <x v="0"/>
    <n v="15"/>
    <n v="229060"/>
  </r>
  <r>
    <x v="11"/>
    <x v="4"/>
    <x v="0"/>
    <x v="1"/>
    <n v="35"/>
    <n v="260780"/>
  </r>
  <r>
    <x v="11"/>
    <x v="4"/>
    <x v="0"/>
    <x v="2"/>
    <n v="14"/>
    <n v="115820"/>
  </r>
  <r>
    <x v="11"/>
    <x v="4"/>
    <x v="0"/>
    <x v="3"/>
    <n v="14"/>
    <n v="85430"/>
  </r>
  <r>
    <x v="11"/>
    <x v="4"/>
    <x v="0"/>
    <x v="4"/>
    <n v="22"/>
    <n v="527620"/>
  </r>
  <r>
    <x v="11"/>
    <x v="4"/>
    <x v="0"/>
    <x v="5"/>
    <n v="3"/>
    <n v="51290"/>
  </r>
  <r>
    <x v="11"/>
    <x v="4"/>
    <x v="0"/>
    <x v="6"/>
    <n v="22"/>
    <n v="148290"/>
  </r>
  <r>
    <x v="11"/>
    <x v="4"/>
    <x v="0"/>
    <x v="7"/>
    <n v="14"/>
    <n v="148820"/>
  </r>
  <r>
    <x v="11"/>
    <x v="4"/>
    <x v="0"/>
    <x v="8"/>
    <n v="11"/>
    <n v="121600"/>
  </r>
  <r>
    <x v="11"/>
    <x v="4"/>
    <x v="0"/>
    <x v="9"/>
    <n v="1"/>
    <n v="108750"/>
  </r>
  <r>
    <x v="11"/>
    <x v="4"/>
    <x v="0"/>
    <x v="10"/>
    <n v="12"/>
    <n v="107900"/>
  </r>
  <r>
    <x v="11"/>
    <x v="4"/>
    <x v="0"/>
    <x v="31"/>
    <n v="1"/>
    <n v="96060"/>
  </r>
  <r>
    <x v="11"/>
    <x v="4"/>
    <x v="0"/>
    <x v="11"/>
    <n v="22"/>
    <n v="160560"/>
  </r>
  <r>
    <x v="11"/>
    <x v="4"/>
    <x v="0"/>
    <x v="12"/>
    <n v="35"/>
    <n v="374130"/>
  </r>
  <r>
    <x v="11"/>
    <x v="4"/>
    <x v="0"/>
    <x v="13"/>
    <n v="31"/>
    <n v="635640"/>
  </r>
  <r>
    <x v="11"/>
    <x v="4"/>
    <x v="0"/>
    <x v="14"/>
    <n v="53"/>
    <n v="235430"/>
  </r>
  <r>
    <x v="11"/>
    <x v="4"/>
    <x v="0"/>
    <x v="15"/>
    <n v="2"/>
    <n v="77060"/>
  </r>
  <r>
    <x v="11"/>
    <x v="4"/>
    <x v="0"/>
    <x v="16"/>
    <n v="16"/>
    <n v="93150"/>
  </r>
  <r>
    <x v="11"/>
    <x v="4"/>
    <x v="0"/>
    <x v="17"/>
    <n v="23"/>
    <n v="95710"/>
  </r>
  <r>
    <x v="11"/>
    <x v="4"/>
    <x v="0"/>
    <x v="18"/>
    <n v="5"/>
    <n v="26500"/>
  </r>
  <r>
    <x v="11"/>
    <x v="4"/>
    <x v="0"/>
    <x v="19"/>
    <n v="4"/>
    <n v="134250"/>
  </r>
  <r>
    <x v="11"/>
    <x v="4"/>
    <x v="0"/>
    <x v="20"/>
    <n v="16"/>
    <n v="341140"/>
  </r>
  <r>
    <x v="11"/>
    <x v="4"/>
    <x v="0"/>
    <x v="21"/>
    <n v="4"/>
    <n v="22400"/>
  </r>
  <r>
    <x v="11"/>
    <x v="4"/>
    <x v="0"/>
    <x v="22"/>
    <n v="16"/>
    <n v="151910"/>
  </r>
  <r>
    <x v="11"/>
    <x v="4"/>
    <x v="0"/>
    <x v="23"/>
    <n v="8"/>
    <n v="179390"/>
  </r>
  <r>
    <x v="11"/>
    <x v="4"/>
    <x v="0"/>
    <x v="24"/>
    <n v="14"/>
    <n v="115240"/>
  </r>
  <r>
    <x v="11"/>
    <x v="4"/>
    <x v="0"/>
    <x v="25"/>
    <n v="5"/>
    <n v="22870"/>
  </r>
  <r>
    <x v="11"/>
    <x v="4"/>
    <x v="0"/>
    <x v="26"/>
    <n v="12"/>
    <n v="112140"/>
  </r>
  <r>
    <x v="11"/>
    <x v="4"/>
    <x v="0"/>
    <x v="27"/>
    <n v="16"/>
    <n v="320820"/>
  </r>
  <r>
    <x v="11"/>
    <x v="4"/>
    <x v="0"/>
    <x v="28"/>
    <n v="14"/>
    <n v="94080"/>
  </r>
  <r>
    <x v="11"/>
    <x v="4"/>
    <x v="0"/>
    <x v="29"/>
    <n v="4"/>
    <n v="88340"/>
  </r>
  <r>
    <x v="11"/>
    <x v="4"/>
    <x v="0"/>
    <x v="30"/>
    <n v="16"/>
    <n v="183820"/>
  </r>
  <r>
    <x v="11"/>
    <x v="4"/>
    <x v="1"/>
    <x v="0"/>
    <n v="42"/>
    <n v="229060"/>
  </r>
  <r>
    <x v="11"/>
    <x v="4"/>
    <x v="1"/>
    <x v="1"/>
    <n v="36"/>
    <n v="260780"/>
  </r>
  <r>
    <x v="11"/>
    <x v="4"/>
    <x v="1"/>
    <x v="2"/>
    <n v="19"/>
    <n v="115820"/>
  </r>
  <r>
    <x v="11"/>
    <x v="4"/>
    <x v="1"/>
    <x v="3"/>
    <n v="6"/>
    <n v="85430"/>
  </r>
  <r>
    <x v="11"/>
    <x v="4"/>
    <x v="1"/>
    <x v="4"/>
    <n v="84"/>
    <n v="527620"/>
  </r>
  <r>
    <x v="11"/>
    <x v="4"/>
    <x v="1"/>
    <x v="5"/>
    <n v="5"/>
    <n v="51290"/>
  </r>
  <r>
    <x v="11"/>
    <x v="4"/>
    <x v="1"/>
    <x v="6"/>
    <n v="8"/>
    <n v="148290"/>
  </r>
  <r>
    <x v="11"/>
    <x v="4"/>
    <x v="1"/>
    <x v="7"/>
    <n v="24"/>
    <n v="148820"/>
  </r>
  <r>
    <x v="11"/>
    <x v="4"/>
    <x v="1"/>
    <x v="8"/>
    <n v="23"/>
    <n v="121600"/>
  </r>
  <r>
    <x v="11"/>
    <x v="4"/>
    <x v="1"/>
    <x v="9"/>
    <n v="7"/>
    <n v="108750"/>
  </r>
  <r>
    <x v="11"/>
    <x v="4"/>
    <x v="1"/>
    <x v="10"/>
    <n v="15"/>
    <n v="107900"/>
  </r>
  <r>
    <x v="11"/>
    <x v="4"/>
    <x v="1"/>
    <x v="31"/>
    <n v="8"/>
    <n v="96060"/>
  </r>
  <r>
    <x v="11"/>
    <x v="4"/>
    <x v="1"/>
    <x v="11"/>
    <n v="45"/>
    <n v="160560"/>
  </r>
  <r>
    <x v="11"/>
    <x v="4"/>
    <x v="1"/>
    <x v="12"/>
    <n v="94"/>
    <n v="374130"/>
  </r>
  <r>
    <x v="11"/>
    <x v="4"/>
    <x v="1"/>
    <x v="13"/>
    <n v="51"/>
    <n v="635640"/>
  </r>
  <r>
    <x v="11"/>
    <x v="4"/>
    <x v="1"/>
    <x v="14"/>
    <n v="28"/>
    <n v="235430"/>
  </r>
  <r>
    <x v="11"/>
    <x v="4"/>
    <x v="1"/>
    <x v="15"/>
    <n v="5"/>
    <n v="77060"/>
  </r>
  <r>
    <x v="11"/>
    <x v="4"/>
    <x v="1"/>
    <x v="16"/>
    <n v="29"/>
    <n v="93150"/>
  </r>
  <r>
    <x v="11"/>
    <x v="4"/>
    <x v="1"/>
    <x v="17"/>
    <n v="19"/>
    <n v="95710"/>
  </r>
  <r>
    <x v="11"/>
    <x v="4"/>
    <x v="1"/>
    <x v="19"/>
    <n v="12"/>
    <n v="134250"/>
  </r>
  <r>
    <x v="11"/>
    <x v="4"/>
    <x v="1"/>
    <x v="20"/>
    <n v="26"/>
    <n v="341140"/>
  </r>
  <r>
    <x v="11"/>
    <x v="4"/>
    <x v="1"/>
    <x v="22"/>
    <n v="11"/>
    <n v="151910"/>
  </r>
  <r>
    <x v="11"/>
    <x v="4"/>
    <x v="1"/>
    <x v="23"/>
    <n v="22"/>
    <n v="179390"/>
  </r>
  <r>
    <x v="11"/>
    <x v="4"/>
    <x v="1"/>
    <x v="24"/>
    <n v="14"/>
    <n v="115240"/>
  </r>
  <r>
    <x v="11"/>
    <x v="4"/>
    <x v="1"/>
    <x v="25"/>
    <n v="1"/>
    <n v="22870"/>
  </r>
  <r>
    <x v="11"/>
    <x v="4"/>
    <x v="1"/>
    <x v="26"/>
    <n v="2"/>
    <n v="112140"/>
  </r>
  <r>
    <x v="11"/>
    <x v="4"/>
    <x v="1"/>
    <x v="27"/>
    <n v="22"/>
    <n v="320820"/>
  </r>
  <r>
    <x v="11"/>
    <x v="4"/>
    <x v="1"/>
    <x v="28"/>
    <n v="19"/>
    <n v="94080"/>
  </r>
  <r>
    <x v="11"/>
    <x v="4"/>
    <x v="1"/>
    <x v="29"/>
    <n v="21"/>
    <n v="88340"/>
  </r>
  <r>
    <x v="11"/>
    <x v="4"/>
    <x v="1"/>
    <x v="30"/>
    <n v="43"/>
    <n v="183820"/>
  </r>
  <r>
    <x v="11"/>
    <x v="5"/>
    <x v="0"/>
    <x v="0"/>
    <n v="82"/>
    <n v="229060"/>
  </r>
  <r>
    <x v="11"/>
    <x v="5"/>
    <x v="0"/>
    <x v="1"/>
    <n v="138"/>
    <n v="260780"/>
  </r>
  <r>
    <x v="11"/>
    <x v="5"/>
    <x v="0"/>
    <x v="2"/>
    <n v="70"/>
    <n v="115820"/>
  </r>
  <r>
    <x v="11"/>
    <x v="5"/>
    <x v="0"/>
    <x v="3"/>
    <n v="68"/>
    <n v="85430"/>
  </r>
  <r>
    <x v="11"/>
    <x v="5"/>
    <x v="0"/>
    <x v="4"/>
    <n v="432"/>
    <n v="527620"/>
  </r>
  <r>
    <x v="11"/>
    <x v="5"/>
    <x v="0"/>
    <x v="5"/>
    <n v="38"/>
    <n v="51290"/>
  </r>
  <r>
    <x v="11"/>
    <x v="5"/>
    <x v="0"/>
    <x v="6"/>
    <n v="85"/>
    <n v="148290"/>
  </r>
  <r>
    <x v="11"/>
    <x v="5"/>
    <x v="0"/>
    <x v="7"/>
    <n v="119"/>
    <n v="148820"/>
  </r>
  <r>
    <x v="11"/>
    <x v="5"/>
    <x v="0"/>
    <x v="8"/>
    <n v="56"/>
    <n v="121600"/>
  </r>
  <r>
    <x v="11"/>
    <x v="5"/>
    <x v="0"/>
    <x v="9"/>
    <n v="36"/>
    <n v="108750"/>
  </r>
  <r>
    <x v="11"/>
    <x v="5"/>
    <x v="0"/>
    <x v="10"/>
    <n v="43"/>
    <n v="107900"/>
  </r>
  <r>
    <x v="11"/>
    <x v="5"/>
    <x v="0"/>
    <x v="31"/>
    <n v="32"/>
    <n v="96060"/>
  </r>
  <r>
    <x v="11"/>
    <x v="5"/>
    <x v="0"/>
    <x v="11"/>
    <n v="110"/>
    <n v="160560"/>
  </r>
  <r>
    <x v="11"/>
    <x v="5"/>
    <x v="0"/>
    <x v="12"/>
    <n v="193"/>
    <n v="374130"/>
  </r>
  <r>
    <x v="11"/>
    <x v="5"/>
    <x v="0"/>
    <x v="13"/>
    <n v="312"/>
    <n v="635640"/>
  </r>
  <r>
    <x v="11"/>
    <x v="5"/>
    <x v="0"/>
    <x v="14"/>
    <n v="234"/>
    <n v="235430"/>
  </r>
  <r>
    <x v="11"/>
    <x v="5"/>
    <x v="0"/>
    <x v="15"/>
    <n v="26"/>
    <n v="77060"/>
  </r>
  <r>
    <x v="11"/>
    <x v="5"/>
    <x v="0"/>
    <x v="16"/>
    <n v="45"/>
    <n v="93150"/>
  </r>
  <r>
    <x v="11"/>
    <x v="5"/>
    <x v="0"/>
    <x v="17"/>
    <n v="65"/>
    <n v="95710"/>
  </r>
  <r>
    <x v="11"/>
    <x v="5"/>
    <x v="0"/>
    <x v="18"/>
    <n v="58"/>
    <n v="26500"/>
  </r>
  <r>
    <x v="11"/>
    <x v="5"/>
    <x v="0"/>
    <x v="19"/>
    <n v="54"/>
    <n v="134250"/>
  </r>
  <r>
    <x v="11"/>
    <x v="5"/>
    <x v="0"/>
    <x v="20"/>
    <n v="162"/>
    <n v="341140"/>
  </r>
  <r>
    <x v="11"/>
    <x v="5"/>
    <x v="0"/>
    <x v="21"/>
    <n v="8"/>
    <n v="22400"/>
  </r>
  <r>
    <x v="11"/>
    <x v="5"/>
    <x v="0"/>
    <x v="22"/>
    <n v="81"/>
    <n v="151910"/>
  </r>
  <r>
    <x v="11"/>
    <x v="5"/>
    <x v="0"/>
    <x v="23"/>
    <n v="73"/>
    <n v="179390"/>
  </r>
  <r>
    <x v="11"/>
    <x v="5"/>
    <x v="0"/>
    <x v="24"/>
    <n v="30"/>
    <n v="115240"/>
  </r>
  <r>
    <x v="11"/>
    <x v="5"/>
    <x v="0"/>
    <x v="25"/>
    <n v="9"/>
    <n v="22870"/>
  </r>
  <r>
    <x v="11"/>
    <x v="5"/>
    <x v="0"/>
    <x v="26"/>
    <n v="64"/>
    <n v="112140"/>
  </r>
  <r>
    <x v="11"/>
    <x v="5"/>
    <x v="0"/>
    <x v="27"/>
    <n v="126"/>
    <n v="320820"/>
  </r>
  <r>
    <x v="11"/>
    <x v="5"/>
    <x v="0"/>
    <x v="28"/>
    <n v="72"/>
    <n v="94080"/>
  </r>
  <r>
    <x v="11"/>
    <x v="5"/>
    <x v="0"/>
    <x v="29"/>
    <n v="22"/>
    <n v="88340"/>
  </r>
  <r>
    <x v="11"/>
    <x v="5"/>
    <x v="0"/>
    <x v="30"/>
    <n v="130"/>
    <n v="183820"/>
  </r>
  <r>
    <x v="11"/>
    <x v="5"/>
    <x v="1"/>
    <x v="0"/>
    <n v="246"/>
    <n v="229060"/>
  </r>
  <r>
    <x v="11"/>
    <x v="5"/>
    <x v="1"/>
    <x v="1"/>
    <n v="157"/>
    <n v="260780"/>
  </r>
  <r>
    <x v="11"/>
    <x v="5"/>
    <x v="1"/>
    <x v="2"/>
    <n v="134"/>
    <n v="115820"/>
  </r>
  <r>
    <x v="11"/>
    <x v="5"/>
    <x v="1"/>
    <x v="3"/>
    <n v="65"/>
    <n v="85430"/>
  </r>
  <r>
    <x v="11"/>
    <x v="5"/>
    <x v="1"/>
    <x v="4"/>
    <n v="1034"/>
    <n v="527620"/>
  </r>
  <r>
    <x v="11"/>
    <x v="5"/>
    <x v="1"/>
    <x v="5"/>
    <n v="74"/>
    <n v="51290"/>
  </r>
  <r>
    <x v="11"/>
    <x v="5"/>
    <x v="1"/>
    <x v="6"/>
    <n v="120"/>
    <n v="148290"/>
  </r>
  <r>
    <x v="11"/>
    <x v="5"/>
    <x v="1"/>
    <x v="7"/>
    <n v="579"/>
    <n v="148820"/>
  </r>
  <r>
    <x v="11"/>
    <x v="5"/>
    <x v="1"/>
    <x v="8"/>
    <n v="528"/>
    <n v="121600"/>
  </r>
  <r>
    <x v="11"/>
    <x v="5"/>
    <x v="1"/>
    <x v="9"/>
    <n v="205"/>
    <n v="108750"/>
  </r>
  <r>
    <x v="11"/>
    <x v="5"/>
    <x v="1"/>
    <x v="10"/>
    <n v="152"/>
    <n v="107900"/>
  </r>
  <r>
    <x v="11"/>
    <x v="5"/>
    <x v="1"/>
    <x v="31"/>
    <n v="150"/>
    <n v="96060"/>
  </r>
  <r>
    <x v="11"/>
    <x v="5"/>
    <x v="1"/>
    <x v="11"/>
    <n v="313"/>
    <n v="160560"/>
  </r>
  <r>
    <x v="11"/>
    <x v="5"/>
    <x v="1"/>
    <x v="12"/>
    <n v="826"/>
    <n v="374130"/>
  </r>
  <r>
    <x v="11"/>
    <x v="5"/>
    <x v="1"/>
    <x v="13"/>
    <n v="2128"/>
    <n v="635640"/>
  </r>
  <r>
    <x v="11"/>
    <x v="5"/>
    <x v="1"/>
    <x v="14"/>
    <n v="162"/>
    <n v="235430"/>
  </r>
  <r>
    <x v="11"/>
    <x v="5"/>
    <x v="1"/>
    <x v="15"/>
    <n v="391"/>
    <n v="77060"/>
  </r>
  <r>
    <x v="11"/>
    <x v="5"/>
    <x v="1"/>
    <x v="16"/>
    <n v="158"/>
    <n v="93150"/>
  </r>
  <r>
    <x v="11"/>
    <x v="5"/>
    <x v="1"/>
    <x v="17"/>
    <n v="63"/>
    <n v="95710"/>
  </r>
  <r>
    <x v="11"/>
    <x v="5"/>
    <x v="1"/>
    <x v="18"/>
    <n v="18"/>
    <n v="26500"/>
  </r>
  <r>
    <x v="11"/>
    <x v="5"/>
    <x v="1"/>
    <x v="19"/>
    <n v="437"/>
    <n v="134250"/>
  </r>
  <r>
    <x v="11"/>
    <x v="5"/>
    <x v="1"/>
    <x v="20"/>
    <n v="1313"/>
    <n v="341140"/>
  </r>
  <r>
    <x v="11"/>
    <x v="5"/>
    <x v="1"/>
    <x v="21"/>
    <n v="6"/>
    <n v="22400"/>
  </r>
  <r>
    <x v="11"/>
    <x v="5"/>
    <x v="1"/>
    <x v="22"/>
    <n v="64"/>
    <n v="151910"/>
  </r>
  <r>
    <x v="11"/>
    <x v="5"/>
    <x v="1"/>
    <x v="23"/>
    <n v="430"/>
    <n v="179390"/>
  </r>
  <r>
    <x v="11"/>
    <x v="5"/>
    <x v="1"/>
    <x v="24"/>
    <n v="94"/>
    <n v="115240"/>
  </r>
  <r>
    <x v="11"/>
    <x v="5"/>
    <x v="1"/>
    <x v="25"/>
    <n v="6"/>
    <n v="22870"/>
  </r>
  <r>
    <x v="11"/>
    <x v="5"/>
    <x v="1"/>
    <x v="26"/>
    <n v="240"/>
    <n v="112140"/>
  </r>
  <r>
    <x v="11"/>
    <x v="5"/>
    <x v="1"/>
    <x v="27"/>
    <n v="892"/>
    <n v="320820"/>
  </r>
  <r>
    <x v="11"/>
    <x v="5"/>
    <x v="1"/>
    <x v="28"/>
    <n v="124"/>
    <n v="94080"/>
  </r>
  <r>
    <x v="11"/>
    <x v="5"/>
    <x v="1"/>
    <x v="29"/>
    <n v="386"/>
    <n v="88340"/>
  </r>
  <r>
    <x v="11"/>
    <x v="5"/>
    <x v="1"/>
    <x v="30"/>
    <n v="562"/>
    <n v="183820"/>
  </r>
</pivotCacheRecords>
</file>

<file path=xl/pivotCache/pivotCacheRecords23.xml><?xml version="1.0" encoding="utf-8"?>
<pivotCacheRecords xmlns="http://schemas.openxmlformats.org/spreadsheetml/2006/main" xmlns:r="http://schemas.openxmlformats.org/officeDocument/2006/relationships" count="385">
  <r>
    <x v="0"/>
    <x v="0"/>
    <x v="0"/>
    <n v="340"/>
    <n v="67"/>
    <n v="240"/>
    <n v="33"/>
  </r>
  <r>
    <x v="0"/>
    <x v="0"/>
    <x v="1"/>
    <n v="191"/>
    <n v="20"/>
    <n v="164"/>
    <n v="7"/>
  </r>
  <r>
    <x v="0"/>
    <x v="0"/>
    <x v="2"/>
    <n v="96"/>
    <n v="10"/>
    <n v="74"/>
    <n v="12"/>
  </r>
  <r>
    <x v="0"/>
    <x v="0"/>
    <x v="3"/>
    <n v="80"/>
    <n v="16"/>
    <n v="57"/>
    <n v="7"/>
  </r>
  <r>
    <x v="0"/>
    <x v="0"/>
    <x v="4"/>
    <n v="587"/>
    <n v="96"/>
    <n v="385"/>
    <n v="106"/>
  </r>
  <r>
    <x v="0"/>
    <x v="0"/>
    <x v="5"/>
    <n v="35"/>
    <n v="8"/>
    <n v="22"/>
    <n v="5"/>
  </r>
  <r>
    <x v="0"/>
    <x v="0"/>
    <x v="6"/>
    <n v="123"/>
    <n v="20"/>
    <n v="92"/>
    <n v="11"/>
  </r>
  <r>
    <x v="0"/>
    <x v="0"/>
    <x v="7"/>
    <n v="276"/>
    <n v="60"/>
    <n v="164"/>
    <n v="52"/>
  </r>
  <r>
    <x v="0"/>
    <x v="0"/>
    <x v="8"/>
    <n v="103"/>
    <n v="15"/>
    <n v="81"/>
    <n v="7"/>
  </r>
  <r>
    <x v="0"/>
    <x v="0"/>
    <x v="9"/>
    <n v="60"/>
    <n v="5"/>
    <n v="48"/>
    <n v="7"/>
  </r>
  <r>
    <x v="0"/>
    <x v="0"/>
    <x v="10"/>
    <n v="88"/>
    <n v="14"/>
    <n v="63"/>
    <n v="11"/>
  </r>
  <r>
    <x v="0"/>
    <x v="0"/>
    <x v="11"/>
    <n v="42"/>
    <n v="3"/>
    <n v="34"/>
    <n v="5"/>
  </r>
  <r>
    <x v="0"/>
    <x v="0"/>
    <x v="12"/>
    <n v="96"/>
    <n v="19"/>
    <n v="70"/>
    <n v="7"/>
  </r>
  <r>
    <x v="0"/>
    <x v="0"/>
    <x v="13"/>
    <n v="266"/>
    <n v="46"/>
    <n v="192"/>
    <n v="28"/>
  </r>
  <r>
    <x v="0"/>
    <x v="0"/>
    <x v="14"/>
    <n v="1004"/>
    <n v="182"/>
    <n v="640"/>
    <n v="182"/>
  </r>
  <r>
    <x v="0"/>
    <x v="0"/>
    <x v="15"/>
    <n v="141"/>
    <n v="17"/>
    <n v="80"/>
    <n v="44"/>
  </r>
  <r>
    <x v="0"/>
    <x v="0"/>
    <x v="16"/>
    <n v="88"/>
    <n v="15"/>
    <n v="57"/>
    <n v="16"/>
  </r>
  <r>
    <x v="0"/>
    <x v="0"/>
    <x v="17"/>
    <n v="61"/>
    <n v="9"/>
    <n v="46"/>
    <n v="6"/>
  </r>
  <r>
    <x v="0"/>
    <x v="0"/>
    <x v="18"/>
    <n v="63"/>
    <n v="10"/>
    <n v="52"/>
    <n v="1"/>
  </r>
  <r>
    <x v="0"/>
    <x v="0"/>
    <x v="19"/>
    <n v="22"/>
    <n v="8"/>
    <n v="5"/>
    <n v="9"/>
  </r>
  <r>
    <x v="0"/>
    <x v="0"/>
    <x v="20"/>
    <n v="154"/>
    <n v="24"/>
    <n v="111"/>
    <n v="19"/>
  </r>
  <r>
    <x v="0"/>
    <x v="0"/>
    <x v="21"/>
    <n v="283"/>
    <n v="37"/>
    <n v="190"/>
    <n v="56"/>
  </r>
  <r>
    <x v="0"/>
    <x v="0"/>
    <x v="22"/>
    <n v="10"/>
    <m/>
    <n v="7"/>
    <n v="3"/>
  </r>
  <r>
    <x v="0"/>
    <x v="0"/>
    <x v="23"/>
    <n v="115"/>
    <n v="12"/>
    <n v="93"/>
    <n v="10"/>
  </r>
  <r>
    <x v="0"/>
    <x v="0"/>
    <x v="24"/>
    <n v="189"/>
    <n v="37"/>
    <n v="118"/>
    <n v="34"/>
  </r>
  <r>
    <x v="0"/>
    <x v="0"/>
    <x v="25"/>
    <n v="105"/>
    <n v="8"/>
    <n v="86"/>
    <n v="11"/>
  </r>
  <r>
    <x v="0"/>
    <x v="0"/>
    <x v="26"/>
    <n v="11"/>
    <n v="1"/>
    <n v="5"/>
    <n v="5"/>
  </r>
  <r>
    <x v="0"/>
    <x v="0"/>
    <x v="27"/>
    <n v="84"/>
    <n v="11"/>
    <n v="60"/>
    <n v="13"/>
  </r>
  <r>
    <x v="0"/>
    <x v="0"/>
    <x v="28"/>
    <n v="270"/>
    <n v="49"/>
    <n v="182"/>
    <n v="39"/>
  </r>
  <r>
    <x v="0"/>
    <x v="0"/>
    <x v="29"/>
    <n v="83"/>
    <n v="13"/>
    <n v="67"/>
    <n v="3"/>
  </r>
  <r>
    <x v="0"/>
    <x v="0"/>
    <x v="30"/>
    <n v="127"/>
    <n v="32"/>
    <n v="82"/>
    <n v="13"/>
  </r>
  <r>
    <x v="0"/>
    <x v="0"/>
    <x v="31"/>
    <n v="174"/>
    <n v="30"/>
    <n v="123"/>
    <n v="21"/>
  </r>
  <r>
    <x v="0"/>
    <x v="1"/>
    <x v="0"/>
    <n v="267"/>
    <n v="57"/>
    <n v="194"/>
    <n v="16"/>
  </r>
  <r>
    <x v="0"/>
    <x v="1"/>
    <x v="1"/>
    <n v="192"/>
    <n v="15"/>
    <n v="170"/>
    <n v="7"/>
  </r>
  <r>
    <x v="0"/>
    <x v="1"/>
    <x v="2"/>
    <n v="79"/>
    <n v="10"/>
    <n v="60"/>
    <n v="9"/>
  </r>
  <r>
    <x v="0"/>
    <x v="1"/>
    <x v="3"/>
    <n v="109"/>
    <n v="11"/>
    <n v="88"/>
    <n v="10"/>
  </r>
  <r>
    <x v="0"/>
    <x v="1"/>
    <x v="4"/>
    <n v="593"/>
    <n v="79"/>
    <n v="372"/>
    <n v="142"/>
  </r>
  <r>
    <x v="0"/>
    <x v="1"/>
    <x v="5"/>
    <n v="37"/>
    <n v="5"/>
    <n v="30"/>
    <n v="2"/>
  </r>
  <r>
    <x v="0"/>
    <x v="1"/>
    <x v="6"/>
    <n v="94"/>
    <n v="9"/>
    <n v="82"/>
    <n v="3"/>
  </r>
  <r>
    <x v="0"/>
    <x v="1"/>
    <x v="7"/>
    <n v="294"/>
    <n v="56"/>
    <n v="176"/>
    <n v="62"/>
  </r>
  <r>
    <x v="0"/>
    <x v="1"/>
    <x v="8"/>
    <n v="92"/>
    <n v="16"/>
    <n v="70"/>
    <n v="6"/>
  </r>
  <r>
    <x v="0"/>
    <x v="1"/>
    <x v="9"/>
    <n v="64"/>
    <n v="9"/>
    <n v="54"/>
    <n v="1"/>
  </r>
  <r>
    <x v="0"/>
    <x v="1"/>
    <x v="10"/>
    <n v="81"/>
    <n v="7"/>
    <n v="66"/>
    <n v="8"/>
  </r>
  <r>
    <x v="0"/>
    <x v="1"/>
    <x v="11"/>
    <n v="51"/>
    <n v="3"/>
    <n v="47"/>
    <n v="1"/>
  </r>
  <r>
    <x v="0"/>
    <x v="1"/>
    <x v="12"/>
    <n v="113"/>
    <n v="23"/>
    <n v="79"/>
    <n v="11"/>
  </r>
  <r>
    <x v="0"/>
    <x v="1"/>
    <x v="13"/>
    <n v="257"/>
    <n v="45"/>
    <n v="189"/>
    <n v="23"/>
  </r>
  <r>
    <x v="0"/>
    <x v="1"/>
    <x v="14"/>
    <n v="923"/>
    <n v="150"/>
    <n v="641"/>
    <n v="132"/>
  </r>
  <r>
    <x v="0"/>
    <x v="1"/>
    <x v="15"/>
    <n v="151"/>
    <n v="27"/>
    <n v="102"/>
    <n v="22"/>
  </r>
  <r>
    <x v="0"/>
    <x v="1"/>
    <x v="16"/>
    <n v="82"/>
    <n v="20"/>
    <n v="53"/>
    <n v="9"/>
  </r>
  <r>
    <x v="0"/>
    <x v="1"/>
    <x v="17"/>
    <n v="63"/>
    <n v="7"/>
    <n v="48"/>
    <n v="8"/>
  </r>
  <r>
    <x v="0"/>
    <x v="1"/>
    <x v="18"/>
    <n v="74"/>
    <n v="11"/>
    <n v="61"/>
    <n v="2"/>
  </r>
  <r>
    <x v="0"/>
    <x v="1"/>
    <x v="19"/>
    <n v="16"/>
    <n v="3"/>
    <n v="12"/>
    <n v="1"/>
  </r>
  <r>
    <x v="0"/>
    <x v="1"/>
    <x v="20"/>
    <n v="147"/>
    <n v="25"/>
    <n v="109"/>
    <n v="13"/>
  </r>
  <r>
    <x v="0"/>
    <x v="1"/>
    <x v="21"/>
    <n v="280"/>
    <n v="50"/>
    <n v="171"/>
    <n v="59"/>
  </r>
  <r>
    <x v="0"/>
    <x v="1"/>
    <x v="22"/>
    <n v="9"/>
    <n v="2"/>
    <n v="7"/>
    <m/>
  </r>
  <r>
    <x v="0"/>
    <x v="1"/>
    <x v="23"/>
    <n v="135"/>
    <n v="15"/>
    <n v="102"/>
    <n v="18"/>
  </r>
  <r>
    <x v="0"/>
    <x v="1"/>
    <x v="24"/>
    <n v="184"/>
    <n v="40"/>
    <n v="119"/>
    <n v="25"/>
  </r>
  <r>
    <x v="0"/>
    <x v="1"/>
    <x v="25"/>
    <n v="100"/>
    <n v="16"/>
    <n v="76"/>
    <n v="8"/>
  </r>
  <r>
    <x v="0"/>
    <x v="1"/>
    <x v="26"/>
    <n v="9"/>
    <n v="3"/>
    <n v="6"/>
    <m/>
  </r>
  <r>
    <x v="0"/>
    <x v="1"/>
    <x v="27"/>
    <n v="96"/>
    <n v="19"/>
    <n v="63"/>
    <n v="14"/>
  </r>
  <r>
    <x v="0"/>
    <x v="1"/>
    <x v="28"/>
    <n v="255"/>
    <n v="41"/>
    <n v="193"/>
    <n v="21"/>
  </r>
  <r>
    <x v="0"/>
    <x v="1"/>
    <x v="29"/>
    <n v="71"/>
    <n v="13"/>
    <n v="53"/>
    <n v="5"/>
  </r>
  <r>
    <x v="0"/>
    <x v="1"/>
    <x v="30"/>
    <n v="115"/>
    <n v="28"/>
    <n v="65"/>
    <n v="22"/>
  </r>
  <r>
    <x v="0"/>
    <x v="1"/>
    <x v="31"/>
    <n v="176"/>
    <n v="22"/>
    <n v="133"/>
    <n v="21"/>
  </r>
  <r>
    <x v="0"/>
    <x v="2"/>
    <x v="0"/>
    <n v="322"/>
    <n v="70"/>
    <n v="221"/>
    <n v="31"/>
  </r>
  <r>
    <x v="0"/>
    <x v="2"/>
    <x v="1"/>
    <n v="198"/>
    <n v="15"/>
    <n v="177"/>
    <n v="6"/>
  </r>
  <r>
    <x v="0"/>
    <x v="2"/>
    <x v="2"/>
    <n v="95"/>
    <n v="19"/>
    <n v="63"/>
    <n v="13"/>
  </r>
  <r>
    <x v="0"/>
    <x v="2"/>
    <x v="3"/>
    <n v="83"/>
    <n v="9"/>
    <n v="66"/>
    <n v="8"/>
  </r>
  <r>
    <x v="0"/>
    <x v="2"/>
    <x v="4"/>
    <n v="608"/>
    <n v="72"/>
    <n v="398"/>
    <n v="138"/>
  </r>
  <r>
    <x v="0"/>
    <x v="2"/>
    <x v="5"/>
    <n v="51"/>
    <n v="13"/>
    <n v="34"/>
    <n v="4"/>
  </r>
  <r>
    <x v="0"/>
    <x v="2"/>
    <x v="6"/>
    <n v="96"/>
    <n v="13"/>
    <n v="78"/>
    <n v="5"/>
  </r>
  <r>
    <x v="0"/>
    <x v="2"/>
    <x v="7"/>
    <n v="236"/>
    <n v="55"/>
    <n v="128"/>
    <n v="53"/>
  </r>
  <r>
    <x v="0"/>
    <x v="2"/>
    <x v="8"/>
    <n v="99"/>
    <n v="25"/>
    <n v="67"/>
    <n v="7"/>
  </r>
  <r>
    <x v="0"/>
    <x v="2"/>
    <x v="9"/>
    <n v="64"/>
    <n v="9"/>
    <n v="53"/>
    <n v="2"/>
  </r>
  <r>
    <x v="0"/>
    <x v="2"/>
    <x v="10"/>
    <n v="86"/>
    <n v="7"/>
    <n v="60"/>
    <n v="19"/>
  </r>
  <r>
    <x v="0"/>
    <x v="2"/>
    <x v="11"/>
    <n v="59"/>
    <n v="9"/>
    <n v="47"/>
    <n v="3"/>
  </r>
  <r>
    <x v="0"/>
    <x v="2"/>
    <x v="12"/>
    <n v="101"/>
    <n v="18"/>
    <n v="65"/>
    <n v="18"/>
  </r>
  <r>
    <x v="0"/>
    <x v="2"/>
    <x v="13"/>
    <n v="247"/>
    <n v="41"/>
    <n v="174"/>
    <n v="32"/>
  </r>
  <r>
    <x v="0"/>
    <x v="2"/>
    <x v="14"/>
    <n v="932"/>
    <n v="175"/>
    <n v="622"/>
    <n v="135"/>
  </r>
  <r>
    <x v="0"/>
    <x v="2"/>
    <x v="15"/>
    <n v="136"/>
    <n v="18"/>
    <n v="99"/>
    <n v="19"/>
  </r>
  <r>
    <x v="0"/>
    <x v="2"/>
    <x v="16"/>
    <n v="72"/>
    <n v="14"/>
    <n v="55"/>
    <n v="3"/>
  </r>
  <r>
    <x v="0"/>
    <x v="2"/>
    <x v="17"/>
    <n v="65"/>
    <n v="9"/>
    <n v="47"/>
    <n v="9"/>
  </r>
  <r>
    <x v="0"/>
    <x v="2"/>
    <x v="18"/>
    <n v="67"/>
    <n v="7"/>
    <n v="52"/>
    <n v="8"/>
  </r>
  <r>
    <x v="0"/>
    <x v="2"/>
    <x v="19"/>
    <n v="17"/>
    <n v="3"/>
    <n v="13"/>
    <n v="1"/>
  </r>
  <r>
    <x v="0"/>
    <x v="2"/>
    <x v="20"/>
    <n v="120"/>
    <n v="21"/>
    <n v="92"/>
    <n v="7"/>
  </r>
  <r>
    <x v="0"/>
    <x v="2"/>
    <x v="21"/>
    <n v="279"/>
    <n v="59"/>
    <n v="188"/>
    <n v="32"/>
  </r>
  <r>
    <x v="0"/>
    <x v="2"/>
    <x v="22"/>
    <n v="12"/>
    <n v="2"/>
    <n v="9"/>
    <n v="1"/>
  </r>
  <r>
    <x v="0"/>
    <x v="2"/>
    <x v="23"/>
    <n v="112"/>
    <n v="9"/>
    <n v="91"/>
    <n v="12"/>
  </r>
  <r>
    <x v="0"/>
    <x v="2"/>
    <x v="24"/>
    <n v="212"/>
    <n v="43"/>
    <n v="147"/>
    <n v="22"/>
  </r>
  <r>
    <x v="0"/>
    <x v="2"/>
    <x v="25"/>
    <n v="92"/>
    <n v="7"/>
    <n v="73"/>
    <n v="12"/>
  </r>
  <r>
    <x v="0"/>
    <x v="2"/>
    <x v="26"/>
    <n v="10"/>
    <n v="1"/>
    <n v="9"/>
    <m/>
  </r>
  <r>
    <x v="0"/>
    <x v="2"/>
    <x v="27"/>
    <n v="73"/>
    <n v="13"/>
    <n v="51"/>
    <n v="9"/>
  </r>
  <r>
    <x v="0"/>
    <x v="2"/>
    <x v="28"/>
    <n v="254"/>
    <n v="55"/>
    <n v="159"/>
    <n v="40"/>
  </r>
  <r>
    <x v="0"/>
    <x v="2"/>
    <x v="29"/>
    <n v="64"/>
    <n v="10"/>
    <n v="51"/>
    <n v="3"/>
  </r>
  <r>
    <x v="0"/>
    <x v="2"/>
    <x v="30"/>
    <n v="105"/>
    <n v="29"/>
    <n v="62"/>
    <n v="14"/>
  </r>
  <r>
    <x v="0"/>
    <x v="2"/>
    <x v="31"/>
    <n v="150"/>
    <n v="17"/>
    <n v="102"/>
    <n v="31"/>
  </r>
  <r>
    <x v="0"/>
    <x v="3"/>
    <x v="0"/>
    <n v="266"/>
    <n v="53"/>
    <n v="192"/>
    <n v="21"/>
  </r>
  <r>
    <x v="0"/>
    <x v="3"/>
    <x v="1"/>
    <n v="163"/>
    <n v="14"/>
    <n v="144"/>
    <n v="5"/>
  </r>
  <r>
    <x v="0"/>
    <x v="3"/>
    <x v="2"/>
    <n v="79"/>
    <n v="5"/>
    <n v="64"/>
    <n v="10"/>
  </r>
  <r>
    <x v="0"/>
    <x v="3"/>
    <x v="3"/>
    <n v="81"/>
    <n v="10"/>
    <n v="58"/>
    <n v="13"/>
  </r>
  <r>
    <x v="0"/>
    <x v="3"/>
    <x v="4"/>
    <n v="596"/>
    <n v="78"/>
    <n v="392"/>
    <n v="126"/>
  </r>
  <r>
    <x v="0"/>
    <x v="3"/>
    <x v="5"/>
    <n v="38"/>
    <n v="7"/>
    <n v="25"/>
    <n v="6"/>
  </r>
  <r>
    <x v="0"/>
    <x v="3"/>
    <x v="6"/>
    <n v="97"/>
    <n v="14"/>
    <n v="79"/>
    <n v="4"/>
  </r>
  <r>
    <x v="0"/>
    <x v="3"/>
    <x v="7"/>
    <n v="235"/>
    <n v="46"/>
    <n v="149"/>
    <n v="40"/>
  </r>
  <r>
    <x v="0"/>
    <x v="3"/>
    <x v="8"/>
    <n v="99"/>
    <n v="13"/>
    <n v="78"/>
    <n v="8"/>
  </r>
  <r>
    <x v="0"/>
    <x v="3"/>
    <x v="9"/>
    <n v="60"/>
    <n v="5"/>
    <n v="50"/>
    <n v="5"/>
  </r>
  <r>
    <x v="0"/>
    <x v="3"/>
    <x v="10"/>
    <n v="96"/>
    <n v="4"/>
    <n v="83"/>
    <n v="9"/>
  </r>
  <r>
    <x v="0"/>
    <x v="3"/>
    <x v="11"/>
    <n v="60"/>
    <n v="6"/>
    <n v="48"/>
    <n v="6"/>
  </r>
  <r>
    <x v="0"/>
    <x v="3"/>
    <x v="12"/>
    <n v="91"/>
    <n v="10"/>
    <n v="64"/>
    <n v="17"/>
  </r>
  <r>
    <x v="0"/>
    <x v="3"/>
    <x v="13"/>
    <n v="262"/>
    <n v="39"/>
    <n v="197"/>
    <n v="26"/>
  </r>
  <r>
    <x v="0"/>
    <x v="3"/>
    <x v="14"/>
    <n v="842"/>
    <n v="149"/>
    <n v="565"/>
    <n v="128"/>
  </r>
  <r>
    <x v="0"/>
    <x v="3"/>
    <x v="15"/>
    <n v="126"/>
    <n v="20"/>
    <n v="97"/>
    <n v="9"/>
  </r>
  <r>
    <x v="0"/>
    <x v="3"/>
    <x v="16"/>
    <n v="80"/>
    <n v="29"/>
    <n v="42"/>
    <n v="9"/>
  </r>
  <r>
    <x v="0"/>
    <x v="3"/>
    <x v="17"/>
    <n v="87"/>
    <n v="5"/>
    <n v="63"/>
    <n v="19"/>
  </r>
  <r>
    <x v="0"/>
    <x v="3"/>
    <x v="18"/>
    <n v="55"/>
    <n v="8"/>
    <n v="46"/>
    <n v="1"/>
  </r>
  <r>
    <x v="0"/>
    <x v="3"/>
    <x v="19"/>
    <n v="22"/>
    <n v="3"/>
    <n v="19"/>
    <m/>
  </r>
  <r>
    <x v="0"/>
    <x v="3"/>
    <x v="20"/>
    <n v="142"/>
    <n v="27"/>
    <n v="106"/>
    <n v="9"/>
  </r>
  <r>
    <x v="0"/>
    <x v="3"/>
    <x v="21"/>
    <n v="284"/>
    <n v="53"/>
    <n v="185"/>
    <n v="46"/>
  </r>
  <r>
    <x v="0"/>
    <x v="3"/>
    <x v="22"/>
    <n v="9"/>
    <n v="1"/>
    <n v="8"/>
    <m/>
  </r>
  <r>
    <x v="0"/>
    <x v="3"/>
    <x v="23"/>
    <n v="114"/>
    <n v="11"/>
    <n v="92"/>
    <n v="11"/>
  </r>
  <r>
    <x v="0"/>
    <x v="3"/>
    <x v="24"/>
    <n v="219"/>
    <n v="42"/>
    <n v="151"/>
    <n v="26"/>
  </r>
  <r>
    <x v="0"/>
    <x v="3"/>
    <x v="25"/>
    <n v="100"/>
    <n v="16"/>
    <n v="73"/>
    <n v="11"/>
  </r>
  <r>
    <x v="0"/>
    <x v="3"/>
    <x v="26"/>
    <n v="17"/>
    <m/>
    <n v="17"/>
    <m/>
  </r>
  <r>
    <x v="0"/>
    <x v="3"/>
    <x v="27"/>
    <n v="99"/>
    <n v="23"/>
    <n v="65"/>
    <n v="11"/>
  </r>
  <r>
    <x v="0"/>
    <x v="3"/>
    <x v="28"/>
    <n v="249"/>
    <n v="41"/>
    <n v="182"/>
    <n v="26"/>
  </r>
  <r>
    <x v="0"/>
    <x v="3"/>
    <x v="29"/>
    <n v="54"/>
    <n v="8"/>
    <n v="41"/>
    <n v="5"/>
  </r>
  <r>
    <x v="0"/>
    <x v="3"/>
    <x v="30"/>
    <n v="96"/>
    <n v="21"/>
    <n v="65"/>
    <n v="10"/>
  </r>
  <r>
    <x v="0"/>
    <x v="3"/>
    <x v="31"/>
    <n v="179"/>
    <n v="16"/>
    <n v="139"/>
    <n v="24"/>
  </r>
  <r>
    <x v="0"/>
    <x v="4"/>
    <x v="0"/>
    <n v="247"/>
    <n v="46"/>
    <n v="174"/>
    <n v="27"/>
  </r>
  <r>
    <x v="0"/>
    <x v="4"/>
    <x v="1"/>
    <n v="173"/>
    <n v="13"/>
    <n v="155"/>
    <n v="5"/>
  </r>
  <r>
    <x v="0"/>
    <x v="4"/>
    <x v="2"/>
    <n v="71"/>
    <n v="9"/>
    <n v="57"/>
    <n v="5"/>
  </r>
  <r>
    <x v="0"/>
    <x v="4"/>
    <x v="3"/>
    <n v="78"/>
    <n v="11"/>
    <n v="63"/>
    <n v="4"/>
  </r>
  <r>
    <x v="0"/>
    <x v="4"/>
    <x v="4"/>
    <n v="523"/>
    <n v="77"/>
    <n v="352"/>
    <n v="94"/>
  </r>
  <r>
    <x v="0"/>
    <x v="4"/>
    <x v="5"/>
    <n v="38"/>
    <n v="1"/>
    <n v="33"/>
    <n v="4"/>
  </r>
  <r>
    <x v="0"/>
    <x v="4"/>
    <x v="6"/>
    <n v="111"/>
    <n v="12"/>
    <n v="90"/>
    <n v="9"/>
  </r>
  <r>
    <x v="0"/>
    <x v="4"/>
    <x v="7"/>
    <n v="195"/>
    <n v="45"/>
    <n v="114"/>
    <n v="36"/>
  </r>
  <r>
    <x v="0"/>
    <x v="4"/>
    <x v="8"/>
    <n v="91"/>
    <n v="14"/>
    <n v="72"/>
    <n v="5"/>
  </r>
  <r>
    <x v="0"/>
    <x v="4"/>
    <x v="9"/>
    <n v="53"/>
    <n v="2"/>
    <n v="46"/>
    <n v="5"/>
  </r>
  <r>
    <x v="0"/>
    <x v="4"/>
    <x v="10"/>
    <n v="81"/>
    <n v="6"/>
    <n v="61"/>
    <n v="14"/>
  </r>
  <r>
    <x v="0"/>
    <x v="4"/>
    <x v="11"/>
    <n v="61"/>
    <n v="6"/>
    <n v="52"/>
    <n v="3"/>
  </r>
  <r>
    <x v="0"/>
    <x v="4"/>
    <x v="12"/>
    <n v="118"/>
    <n v="25"/>
    <n v="78"/>
    <n v="15"/>
  </r>
  <r>
    <x v="0"/>
    <x v="4"/>
    <x v="13"/>
    <n v="216"/>
    <n v="34"/>
    <n v="151"/>
    <n v="31"/>
  </r>
  <r>
    <x v="0"/>
    <x v="4"/>
    <x v="14"/>
    <n v="763"/>
    <n v="119"/>
    <n v="523"/>
    <n v="121"/>
  </r>
  <r>
    <x v="0"/>
    <x v="4"/>
    <x v="15"/>
    <n v="140"/>
    <n v="18"/>
    <n v="108"/>
    <n v="14"/>
  </r>
  <r>
    <x v="0"/>
    <x v="4"/>
    <x v="16"/>
    <n v="87"/>
    <n v="19"/>
    <n v="59"/>
    <n v="9"/>
  </r>
  <r>
    <x v="0"/>
    <x v="4"/>
    <x v="17"/>
    <n v="62"/>
    <n v="5"/>
    <n v="47"/>
    <n v="10"/>
  </r>
  <r>
    <x v="0"/>
    <x v="4"/>
    <x v="18"/>
    <n v="69"/>
    <n v="10"/>
    <n v="56"/>
    <n v="3"/>
  </r>
  <r>
    <x v="0"/>
    <x v="4"/>
    <x v="19"/>
    <n v="11"/>
    <n v="1"/>
    <n v="10"/>
    <m/>
  </r>
  <r>
    <x v="0"/>
    <x v="4"/>
    <x v="20"/>
    <n v="135"/>
    <n v="21"/>
    <n v="101"/>
    <n v="13"/>
  </r>
  <r>
    <x v="0"/>
    <x v="4"/>
    <x v="21"/>
    <n v="259"/>
    <n v="54"/>
    <n v="160"/>
    <n v="45"/>
  </r>
  <r>
    <x v="0"/>
    <x v="4"/>
    <x v="22"/>
    <n v="10"/>
    <m/>
    <n v="8"/>
    <n v="2"/>
  </r>
  <r>
    <x v="0"/>
    <x v="4"/>
    <x v="23"/>
    <n v="97"/>
    <n v="14"/>
    <n v="74"/>
    <n v="9"/>
  </r>
  <r>
    <x v="0"/>
    <x v="4"/>
    <x v="24"/>
    <n v="223"/>
    <n v="38"/>
    <n v="157"/>
    <n v="28"/>
  </r>
  <r>
    <x v="0"/>
    <x v="4"/>
    <x v="25"/>
    <n v="101"/>
    <n v="5"/>
    <n v="83"/>
    <n v="13"/>
  </r>
  <r>
    <x v="0"/>
    <x v="4"/>
    <x v="26"/>
    <n v="11"/>
    <n v="4"/>
    <n v="7"/>
    <m/>
  </r>
  <r>
    <x v="0"/>
    <x v="4"/>
    <x v="27"/>
    <n v="86"/>
    <n v="15"/>
    <n v="66"/>
    <n v="5"/>
  </r>
  <r>
    <x v="0"/>
    <x v="4"/>
    <x v="28"/>
    <n v="228"/>
    <n v="47"/>
    <n v="152"/>
    <n v="29"/>
  </r>
  <r>
    <x v="0"/>
    <x v="4"/>
    <x v="29"/>
    <n v="66"/>
    <n v="5"/>
    <n v="57"/>
    <n v="4"/>
  </r>
  <r>
    <x v="0"/>
    <x v="4"/>
    <x v="30"/>
    <n v="105"/>
    <n v="22"/>
    <n v="75"/>
    <n v="8"/>
  </r>
  <r>
    <x v="0"/>
    <x v="4"/>
    <x v="31"/>
    <n v="164"/>
    <n v="19"/>
    <n v="121"/>
    <n v="24"/>
  </r>
  <r>
    <x v="0"/>
    <x v="5"/>
    <x v="0"/>
    <n v="274"/>
    <n v="44"/>
    <n v="195"/>
    <n v="35"/>
  </r>
  <r>
    <x v="0"/>
    <x v="5"/>
    <x v="1"/>
    <n v="191"/>
    <n v="20"/>
    <n v="161"/>
    <n v="10"/>
  </r>
  <r>
    <x v="0"/>
    <x v="5"/>
    <x v="2"/>
    <n v="103"/>
    <n v="15"/>
    <n v="77"/>
    <n v="11"/>
  </r>
  <r>
    <x v="0"/>
    <x v="5"/>
    <x v="3"/>
    <n v="81"/>
    <n v="9"/>
    <n v="60"/>
    <n v="12"/>
  </r>
  <r>
    <x v="0"/>
    <x v="5"/>
    <x v="4"/>
    <n v="563"/>
    <n v="72"/>
    <n v="366"/>
    <n v="125"/>
  </r>
  <r>
    <x v="0"/>
    <x v="5"/>
    <x v="5"/>
    <n v="43"/>
    <n v="9"/>
    <n v="31"/>
    <n v="3"/>
  </r>
  <r>
    <x v="0"/>
    <x v="5"/>
    <x v="6"/>
    <n v="93"/>
    <n v="12"/>
    <n v="72"/>
    <n v="9"/>
  </r>
  <r>
    <x v="0"/>
    <x v="5"/>
    <x v="7"/>
    <n v="180"/>
    <n v="31"/>
    <n v="122"/>
    <n v="27"/>
  </r>
  <r>
    <x v="0"/>
    <x v="5"/>
    <x v="8"/>
    <n v="101"/>
    <n v="19"/>
    <n v="76"/>
    <n v="6"/>
  </r>
  <r>
    <x v="0"/>
    <x v="5"/>
    <x v="9"/>
    <n v="69"/>
    <n v="7"/>
    <n v="58"/>
    <n v="4"/>
  </r>
  <r>
    <x v="0"/>
    <x v="5"/>
    <x v="10"/>
    <n v="72"/>
    <n v="8"/>
    <n v="58"/>
    <n v="6"/>
  </r>
  <r>
    <x v="0"/>
    <x v="5"/>
    <x v="11"/>
    <n v="66"/>
    <n v="9"/>
    <n v="55"/>
    <n v="2"/>
  </r>
  <r>
    <x v="0"/>
    <x v="5"/>
    <x v="12"/>
    <n v="111"/>
    <n v="18"/>
    <n v="80"/>
    <n v="13"/>
  </r>
  <r>
    <x v="0"/>
    <x v="5"/>
    <x v="13"/>
    <n v="231"/>
    <n v="33"/>
    <n v="182"/>
    <n v="16"/>
  </r>
  <r>
    <x v="0"/>
    <x v="5"/>
    <x v="14"/>
    <n v="836"/>
    <n v="121"/>
    <n v="616"/>
    <n v="99"/>
  </r>
  <r>
    <x v="0"/>
    <x v="5"/>
    <x v="15"/>
    <n v="160"/>
    <n v="15"/>
    <n v="120"/>
    <n v="25"/>
  </r>
  <r>
    <x v="0"/>
    <x v="5"/>
    <x v="16"/>
    <n v="93"/>
    <n v="16"/>
    <n v="70"/>
    <n v="7"/>
  </r>
  <r>
    <x v="0"/>
    <x v="5"/>
    <x v="17"/>
    <n v="56"/>
    <n v="11"/>
    <n v="35"/>
    <n v="10"/>
  </r>
  <r>
    <x v="0"/>
    <x v="5"/>
    <x v="18"/>
    <n v="53"/>
    <n v="12"/>
    <n v="36"/>
    <n v="5"/>
  </r>
  <r>
    <x v="0"/>
    <x v="5"/>
    <x v="19"/>
    <n v="22"/>
    <n v="1"/>
    <n v="21"/>
    <m/>
  </r>
  <r>
    <x v="0"/>
    <x v="5"/>
    <x v="20"/>
    <n v="154"/>
    <n v="10"/>
    <n v="128"/>
    <n v="16"/>
  </r>
  <r>
    <x v="0"/>
    <x v="5"/>
    <x v="21"/>
    <n v="286"/>
    <n v="35"/>
    <n v="209"/>
    <n v="42"/>
  </r>
  <r>
    <x v="0"/>
    <x v="5"/>
    <x v="22"/>
    <n v="12"/>
    <m/>
    <n v="11"/>
    <n v="1"/>
  </r>
  <r>
    <x v="0"/>
    <x v="5"/>
    <x v="23"/>
    <n v="124"/>
    <n v="16"/>
    <n v="88"/>
    <n v="20"/>
  </r>
  <r>
    <x v="0"/>
    <x v="5"/>
    <x v="24"/>
    <n v="221"/>
    <n v="47"/>
    <n v="161"/>
    <n v="13"/>
  </r>
  <r>
    <x v="0"/>
    <x v="5"/>
    <x v="25"/>
    <n v="80"/>
    <n v="18"/>
    <n v="55"/>
    <n v="7"/>
  </r>
  <r>
    <x v="0"/>
    <x v="5"/>
    <x v="26"/>
    <n v="11"/>
    <m/>
    <n v="10"/>
    <n v="1"/>
  </r>
  <r>
    <x v="0"/>
    <x v="5"/>
    <x v="27"/>
    <n v="78"/>
    <n v="14"/>
    <n v="50"/>
    <n v="14"/>
  </r>
  <r>
    <x v="0"/>
    <x v="5"/>
    <x v="28"/>
    <n v="267"/>
    <n v="35"/>
    <n v="199"/>
    <n v="33"/>
  </r>
  <r>
    <x v="0"/>
    <x v="5"/>
    <x v="29"/>
    <n v="83"/>
    <n v="10"/>
    <n v="65"/>
    <n v="8"/>
  </r>
  <r>
    <x v="0"/>
    <x v="5"/>
    <x v="30"/>
    <n v="83"/>
    <n v="20"/>
    <n v="56"/>
    <n v="7"/>
  </r>
  <r>
    <x v="0"/>
    <x v="5"/>
    <x v="31"/>
    <n v="156"/>
    <n v="18"/>
    <n v="112"/>
    <n v="26"/>
  </r>
  <r>
    <x v="0"/>
    <x v="6"/>
    <x v="0"/>
    <n v="299"/>
    <n v="47"/>
    <n v="221"/>
    <n v="31"/>
  </r>
  <r>
    <x v="0"/>
    <x v="6"/>
    <x v="1"/>
    <n v="180"/>
    <n v="21"/>
    <n v="155"/>
    <n v="4"/>
  </r>
  <r>
    <x v="0"/>
    <x v="6"/>
    <x v="2"/>
    <n v="88"/>
    <n v="15"/>
    <n v="66"/>
    <n v="7"/>
  </r>
  <r>
    <x v="0"/>
    <x v="6"/>
    <x v="3"/>
    <n v="60"/>
    <n v="7"/>
    <n v="49"/>
    <n v="4"/>
  </r>
  <r>
    <x v="0"/>
    <x v="6"/>
    <x v="4"/>
    <n v="545"/>
    <n v="76"/>
    <n v="375"/>
    <n v="94"/>
  </r>
  <r>
    <x v="0"/>
    <x v="6"/>
    <x v="5"/>
    <n v="71"/>
    <n v="11"/>
    <n v="53"/>
    <n v="7"/>
  </r>
  <r>
    <x v="0"/>
    <x v="6"/>
    <x v="6"/>
    <n v="82"/>
    <n v="5"/>
    <n v="70"/>
    <n v="7"/>
  </r>
  <r>
    <x v="0"/>
    <x v="6"/>
    <x v="7"/>
    <n v="227"/>
    <n v="50"/>
    <n v="139"/>
    <n v="38"/>
  </r>
  <r>
    <x v="0"/>
    <x v="6"/>
    <x v="8"/>
    <n v="92"/>
    <n v="14"/>
    <n v="68"/>
    <n v="10"/>
  </r>
  <r>
    <x v="0"/>
    <x v="6"/>
    <x v="9"/>
    <n v="71"/>
    <n v="7"/>
    <n v="57"/>
    <n v="7"/>
  </r>
  <r>
    <x v="0"/>
    <x v="6"/>
    <x v="10"/>
    <n v="80"/>
    <n v="5"/>
    <n v="69"/>
    <n v="6"/>
  </r>
  <r>
    <x v="0"/>
    <x v="6"/>
    <x v="11"/>
    <n v="63"/>
    <n v="5"/>
    <n v="52"/>
    <n v="6"/>
  </r>
  <r>
    <x v="0"/>
    <x v="6"/>
    <x v="12"/>
    <n v="123"/>
    <n v="20"/>
    <n v="87"/>
    <n v="16"/>
  </r>
  <r>
    <x v="0"/>
    <x v="6"/>
    <x v="13"/>
    <n v="254"/>
    <n v="39"/>
    <n v="193"/>
    <n v="22"/>
  </r>
  <r>
    <x v="0"/>
    <x v="6"/>
    <x v="14"/>
    <n v="833"/>
    <n v="113"/>
    <n v="608"/>
    <n v="112"/>
  </r>
  <r>
    <x v="0"/>
    <x v="6"/>
    <x v="15"/>
    <n v="120"/>
    <n v="15"/>
    <n v="94"/>
    <n v="11"/>
  </r>
  <r>
    <x v="0"/>
    <x v="6"/>
    <x v="16"/>
    <n v="111"/>
    <n v="21"/>
    <n v="78"/>
    <n v="12"/>
  </r>
  <r>
    <x v="0"/>
    <x v="6"/>
    <x v="17"/>
    <n v="60"/>
    <n v="9"/>
    <n v="42"/>
    <n v="9"/>
  </r>
  <r>
    <x v="0"/>
    <x v="6"/>
    <x v="18"/>
    <n v="47"/>
    <n v="3"/>
    <n v="39"/>
    <n v="5"/>
  </r>
  <r>
    <x v="0"/>
    <x v="6"/>
    <x v="19"/>
    <n v="20"/>
    <n v="5"/>
    <n v="14"/>
    <n v="1"/>
  </r>
  <r>
    <x v="0"/>
    <x v="6"/>
    <x v="20"/>
    <n v="160"/>
    <n v="15"/>
    <n v="133"/>
    <n v="12"/>
  </r>
  <r>
    <x v="0"/>
    <x v="6"/>
    <x v="21"/>
    <n v="294"/>
    <n v="48"/>
    <n v="213"/>
    <n v="33"/>
  </r>
  <r>
    <x v="0"/>
    <x v="6"/>
    <x v="22"/>
    <n v="11"/>
    <m/>
    <n v="11"/>
    <m/>
  </r>
  <r>
    <x v="0"/>
    <x v="6"/>
    <x v="23"/>
    <n v="119"/>
    <n v="14"/>
    <n v="97"/>
    <n v="8"/>
  </r>
  <r>
    <x v="0"/>
    <x v="6"/>
    <x v="24"/>
    <n v="207"/>
    <n v="34"/>
    <n v="154"/>
    <n v="19"/>
  </r>
  <r>
    <x v="0"/>
    <x v="6"/>
    <x v="25"/>
    <n v="104"/>
    <n v="14"/>
    <n v="84"/>
    <n v="6"/>
  </r>
  <r>
    <x v="0"/>
    <x v="6"/>
    <x v="26"/>
    <n v="17"/>
    <n v="2"/>
    <n v="15"/>
    <m/>
  </r>
  <r>
    <x v="0"/>
    <x v="6"/>
    <x v="27"/>
    <n v="89"/>
    <n v="18"/>
    <n v="61"/>
    <n v="10"/>
  </r>
  <r>
    <x v="0"/>
    <x v="6"/>
    <x v="28"/>
    <n v="259"/>
    <n v="44"/>
    <n v="170"/>
    <n v="45"/>
  </r>
  <r>
    <x v="0"/>
    <x v="6"/>
    <x v="29"/>
    <n v="107"/>
    <n v="7"/>
    <n v="89"/>
    <n v="11"/>
  </r>
  <r>
    <x v="0"/>
    <x v="6"/>
    <x v="30"/>
    <n v="144"/>
    <n v="27"/>
    <n v="106"/>
    <n v="11"/>
  </r>
  <r>
    <x v="0"/>
    <x v="6"/>
    <x v="31"/>
    <n v="131"/>
    <n v="14"/>
    <n v="91"/>
    <n v="26"/>
  </r>
  <r>
    <x v="0"/>
    <x v="7"/>
    <x v="0"/>
    <n v="300"/>
    <n v="52"/>
    <n v="206"/>
    <n v="42"/>
  </r>
  <r>
    <x v="0"/>
    <x v="7"/>
    <x v="1"/>
    <n v="170"/>
    <n v="20"/>
    <n v="143"/>
    <n v="7"/>
  </r>
  <r>
    <x v="0"/>
    <x v="7"/>
    <x v="2"/>
    <n v="93"/>
    <n v="16"/>
    <n v="65"/>
    <n v="12"/>
  </r>
  <r>
    <x v="0"/>
    <x v="7"/>
    <x v="3"/>
    <n v="77"/>
    <n v="7"/>
    <n v="65"/>
    <n v="5"/>
  </r>
  <r>
    <x v="0"/>
    <x v="7"/>
    <x v="4"/>
    <n v="490"/>
    <n v="55"/>
    <n v="332"/>
    <n v="103"/>
  </r>
  <r>
    <x v="0"/>
    <x v="7"/>
    <x v="5"/>
    <n v="67"/>
    <n v="9"/>
    <n v="52"/>
    <n v="6"/>
  </r>
  <r>
    <x v="0"/>
    <x v="7"/>
    <x v="6"/>
    <n v="105"/>
    <n v="6"/>
    <n v="94"/>
    <n v="5"/>
  </r>
  <r>
    <x v="0"/>
    <x v="7"/>
    <x v="7"/>
    <n v="225"/>
    <n v="37"/>
    <n v="144"/>
    <n v="44"/>
  </r>
  <r>
    <x v="0"/>
    <x v="7"/>
    <x v="8"/>
    <n v="138"/>
    <n v="18"/>
    <n v="112"/>
    <n v="8"/>
  </r>
  <r>
    <x v="0"/>
    <x v="7"/>
    <x v="9"/>
    <n v="75"/>
    <n v="6"/>
    <n v="57"/>
    <n v="12"/>
  </r>
  <r>
    <x v="0"/>
    <x v="7"/>
    <x v="10"/>
    <n v="52"/>
    <n v="1"/>
    <n v="46"/>
    <n v="5"/>
  </r>
  <r>
    <x v="0"/>
    <x v="7"/>
    <x v="11"/>
    <n v="57"/>
    <n v="6"/>
    <n v="49"/>
    <n v="2"/>
  </r>
  <r>
    <x v="0"/>
    <x v="7"/>
    <x v="12"/>
    <n v="107"/>
    <n v="19"/>
    <n v="79"/>
    <n v="9"/>
  </r>
  <r>
    <x v="0"/>
    <x v="7"/>
    <x v="13"/>
    <n v="246"/>
    <n v="33"/>
    <n v="187"/>
    <n v="26"/>
  </r>
  <r>
    <x v="0"/>
    <x v="7"/>
    <x v="14"/>
    <n v="811"/>
    <n v="123"/>
    <n v="592"/>
    <n v="96"/>
  </r>
  <r>
    <x v="0"/>
    <x v="7"/>
    <x v="15"/>
    <n v="147"/>
    <n v="24"/>
    <n v="106"/>
    <n v="17"/>
  </r>
  <r>
    <x v="0"/>
    <x v="7"/>
    <x v="16"/>
    <n v="119"/>
    <n v="22"/>
    <n v="86"/>
    <n v="11"/>
  </r>
  <r>
    <x v="0"/>
    <x v="7"/>
    <x v="17"/>
    <n v="74"/>
    <n v="5"/>
    <n v="59"/>
    <n v="10"/>
  </r>
  <r>
    <x v="0"/>
    <x v="7"/>
    <x v="18"/>
    <n v="51"/>
    <n v="4"/>
    <n v="39"/>
    <n v="8"/>
  </r>
  <r>
    <x v="0"/>
    <x v="7"/>
    <x v="19"/>
    <n v="22"/>
    <n v="2"/>
    <n v="17"/>
    <n v="3"/>
  </r>
  <r>
    <x v="0"/>
    <x v="7"/>
    <x v="20"/>
    <n v="156"/>
    <n v="18"/>
    <n v="125"/>
    <n v="13"/>
  </r>
  <r>
    <x v="0"/>
    <x v="7"/>
    <x v="21"/>
    <n v="290"/>
    <n v="56"/>
    <n v="193"/>
    <n v="41"/>
  </r>
  <r>
    <x v="0"/>
    <x v="7"/>
    <x v="22"/>
    <n v="7"/>
    <n v="1"/>
    <n v="5"/>
    <n v="1"/>
  </r>
  <r>
    <x v="0"/>
    <x v="7"/>
    <x v="23"/>
    <n v="137"/>
    <n v="17"/>
    <n v="115"/>
    <n v="5"/>
  </r>
  <r>
    <x v="0"/>
    <x v="7"/>
    <x v="24"/>
    <n v="178"/>
    <n v="39"/>
    <n v="126"/>
    <n v="13"/>
  </r>
  <r>
    <x v="0"/>
    <x v="7"/>
    <x v="25"/>
    <n v="87"/>
    <n v="12"/>
    <n v="65"/>
    <n v="10"/>
  </r>
  <r>
    <x v="0"/>
    <x v="7"/>
    <x v="26"/>
    <n v="7"/>
    <n v="1"/>
    <n v="6"/>
    <m/>
  </r>
  <r>
    <x v="0"/>
    <x v="7"/>
    <x v="27"/>
    <n v="82"/>
    <n v="12"/>
    <n v="60"/>
    <n v="10"/>
  </r>
  <r>
    <x v="0"/>
    <x v="7"/>
    <x v="28"/>
    <n v="222"/>
    <n v="29"/>
    <n v="159"/>
    <n v="34"/>
  </r>
  <r>
    <x v="0"/>
    <x v="7"/>
    <x v="29"/>
    <n v="76"/>
    <n v="12"/>
    <n v="57"/>
    <n v="7"/>
  </r>
  <r>
    <x v="0"/>
    <x v="7"/>
    <x v="30"/>
    <n v="130"/>
    <n v="36"/>
    <n v="82"/>
    <n v="12"/>
  </r>
  <r>
    <x v="0"/>
    <x v="7"/>
    <x v="31"/>
    <n v="124"/>
    <n v="6"/>
    <n v="97"/>
    <n v="21"/>
  </r>
  <r>
    <x v="0"/>
    <x v="8"/>
    <x v="0"/>
    <n v="240"/>
    <n v="41"/>
    <n v="166"/>
    <n v="33"/>
  </r>
  <r>
    <x v="0"/>
    <x v="8"/>
    <x v="1"/>
    <n v="162"/>
    <n v="15"/>
    <n v="138"/>
    <n v="9"/>
  </r>
  <r>
    <x v="0"/>
    <x v="8"/>
    <x v="2"/>
    <n v="76"/>
    <n v="14"/>
    <n v="49"/>
    <n v="13"/>
  </r>
  <r>
    <x v="0"/>
    <x v="8"/>
    <x v="3"/>
    <n v="77"/>
    <n v="4"/>
    <n v="68"/>
    <n v="5"/>
  </r>
  <r>
    <x v="0"/>
    <x v="8"/>
    <x v="4"/>
    <n v="463"/>
    <n v="65"/>
    <n v="307"/>
    <n v="91"/>
  </r>
  <r>
    <x v="0"/>
    <x v="8"/>
    <x v="5"/>
    <n v="47"/>
    <n v="17"/>
    <n v="22"/>
    <n v="8"/>
  </r>
  <r>
    <x v="0"/>
    <x v="8"/>
    <x v="6"/>
    <n v="89"/>
    <n v="8"/>
    <n v="80"/>
    <n v="1"/>
  </r>
  <r>
    <x v="0"/>
    <x v="8"/>
    <x v="7"/>
    <n v="197"/>
    <n v="41"/>
    <n v="122"/>
    <n v="34"/>
  </r>
  <r>
    <x v="0"/>
    <x v="8"/>
    <x v="8"/>
    <n v="76"/>
    <n v="12"/>
    <n v="56"/>
    <n v="8"/>
  </r>
  <r>
    <x v="0"/>
    <x v="8"/>
    <x v="9"/>
    <n v="65"/>
    <n v="3"/>
    <n v="58"/>
    <n v="4"/>
  </r>
  <r>
    <x v="0"/>
    <x v="8"/>
    <x v="10"/>
    <n v="69"/>
    <n v="4"/>
    <n v="58"/>
    <n v="7"/>
  </r>
  <r>
    <x v="0"/>
    <x v="8"/>
    <x v="11"/>
    <n v="79"/>
    <n v="7"/>
    <n v="65"/>
    <n v="7"/>
  </r>
  <r>
    <x v="0"/>
    <x v="8"/>
    <x v="12"/>
    <n v="106"/>
    <n v="13"/>
    <n v="75"/>
    <n v="18"/>
  </r>
  <r>
    <x v="0"/>
    <x v="8"/>
    <x v="13"/>
    <n v="287"/>
    <n v="43"/>
    <n v="205"/>
    <n v="39"/>
  </r>
  <r>
    <x v="0"/>
    <x v="8"/>
    <x v="14"/>
    <n v="847"/>
    <n v="149"/>
    <n v="573"/>
    <n v="125"/>
  </r>
  <r>
    <x v="0"/>
    <x v="8"/>
    <x v="15"/>
    <n v="143"/>
    <n v="12"/>
    <n v="113"/>
    <n v="18"/>
  </r>
  <r>
    <x v="0"/>
    <x v="8"/>
    <x v="16"/>
    <n v="84"/>
    <n v="12"/>
    <n v="64"/>
    <n v="8"/>
  </r>
  <r>
    <x v="0"/>
    <x v="8"/>
    <x v="17"/>
    <n v="60"/>
    <n v="4"/>
    <n v="50"/>
    <n v="6"/>
  </r>
  <r>
    <x v="0"/>
    <x v="8"/>
    <x v="18"/>
    <n v="35"/>
    <n v="6"/>
    <n v="27"/>
    <n v="2"/>
  </r>
  <r>
    <x v="0"/>
    <x v="8"/>
    <x v="19"/>
    <n v="14"/>
    <n v="1"/>
    <n v="13"/>
    <m/>
  </r>
  <r>
    <x v="0"/>
    <x v="8"/>
    <x v="20"/>
    <n v="147"/>
    <n v="25"/>
    <n v="105"/>
    <n v="17"/>
  </r>
  <r>
    <x v="0"/>
    <x v="8"/>
    <x v="21"/>
    <n v="262"/>
    <n v="50"/>
    <n v="167"/>
    <n v="45"/>
  </r>
  <r>
    <x v="0"/>
    <x v="8"/>
    <x v="22"/>
    <n v="6"/>
    <n v="1"/>
    <n v="5"/>
    <m/>
  </r>
  <r>
    <x v="0"/>
    <x v="8"/>
    <x v="23"/>
    <n v="113"/>
    <n v="11"/>
    <n v="98"/>
    <n v="4"/>
  </r>
  <r>
    <x v="0"/>
    <x v="8"/>
    <x v="24"/>
    <n v="191"/>
    <n v="37"/>
    <n v="136"/>
    <n v="18"/>
  </r>
  <r>
    <x v="0"/>
    <x v="8"/>
    <x v="25"/>
    <n v="92"/>
    <n v="10"/>
    <n v="78"/>
    <n v="4"/>
  </r>
  <r>
    <x v="0"/>
    <x v="8"/>
    <x v="26"/>
    <n v="12"/>
    <m/>
    <n v="12"/>
    <m/>
  </r>
  <r>
    <x v="0"/>
    <x v="8"/>
    <x v="27"/>
    <n v="96"/>
    <n v="11"/>
    <n v="71"/>
    <n v="14"/>
  </r>
  <r>
    <x v="0"/>
    <x v="8"/>
    <x v="28"/>
    <n v="244"/>
    <n v="43"/>
    <n v="163"/>
    <n v="38"/>
  </r>
  <r>
    <x v="0"/>
    <x v="8"/>
    <x v="29"/>
    <n v="82"/>
    <n v="8"/>
    <n v="68"/>
    <n v="6"/>
  </r>
  <r>
    <x v="0"/>
    <x v="8"/>
    <x v="30"/>
    <n v="141"/>
    <n v="32"/>
    <n v="98"/>
    <n v="11"/>
  </r>
  <r>
    <x v="0"/>
    <x v="8"/>
    <x v="31"/>
    <n v="149"/>
    <n v="16"/>
    <n v="111"/>
    <n v="22"/>
  </r>
  <r>
    <x v="0"/>
    <x v="9"/>
    <x v="0"/>
    <n v="262"/>
    <n v="57"/>
    <n v="180"/>
    <n v="25"/>
  </r>
  <r>
    <x v="0"/>
    <x v="9"/>
    <x v="1"/>
    <n v="163"/>
    <n v="17"/>
    <n v="133"/>
    <n v="13"/>
  </r>
  <r>
    <x v="0"/>
    <x v="9"/>
    <x v="2"/>
    <n v="80"/>
    <n v="11"/>
    <n v="59"/>
    <n v="10"/>
  </r>
  <r>
    <x v="0"/>
    <x v="9"/>
    <x v="3"/>
    <n v="85"/>
    <n v="9"/>
    <n v="72"/>
    <n v="4"/>
  </r>
  <r>
    <x v="0"/>
    <x v="9"/>
    <x v="4"/>
    <n v="448"/>
    <n v="54"/>
    <n v="310"/>
    <n v="84"/>
  </r>
  <r>
    <x v="0"/>
    <x v="9"/>
    <x v="5"/>
    <n v="45"/>
    <n v="9"/>
    <n v="29"/>
    <n v="7"/>
  </r>
  <r>
    <x v="0"/>
    <x v="9"/>
    <x v="6"/>
    <n v="76"/>
    <n v="6"/>
    <n v="62"/>
    <n v="8"/>
  </r>
  <r>
    <x v="0"/>
    <x v="9"/>
    <x v="7"/>
    <n v="182"/>
    <n v="43"/>
    <n v="107"/>
    <n v="32"/>
  </r>
  <r>
    <x v="0"/>
    <x v="9"/>
    <x v="8"/>
    <n v="83"/>
    <n v="12"/>
    <n v="67"/>
    <n v="4"/>
  </r>
  <r>
    <x v="0"/>
    <x v="9"/>
    <x v="9"/>
    <n v="64"/>
    <n v="3"/>
    <n v="55"/>
    <n v="6"/>
  </r>
  <r>
    <x v="0"/>
    <x v="9"/>
    <x v="10"/>
    <n v="69"/>
    <n v="11"/>
    <n v="47"/>
    <n v="11"/>
  </r>
  <r>
    <x v="0"/>
    <x v="9"/>
    <x v="11"/>
    <n v="60"/>
    <n v="7"/>
    <n v="50"/>
    <n v="3"/>
  </r>
  <r>
    <x v="0"/>
    <x v="9"/>
    <x v="12"/>
    <n v="112"/>
    <n v="19"/>
    <n v="76"/>
    <n v="17"/>
  </r>
  <r>
    <x v="0"/>
    <x v="9"/>
    <x v="13"/>
    <n v="244"/>
    <n v="31"/>
    <n v="182"/>
    <n v="31"/>
  </r>
  <r>
    <x v="0"/>
    <x v="9"/>
    <x v="14"/>
    <n v="784"/>
    <n v="140"/>
    <n v="528"/>
    <n v="116"/>
  </r>
  <r>
    <x v="0"/>
    <x v="9"/>
    <x v="15"/>
    <n v="145"/>
    <n v="11"/>
    <n v="117"/>
    <n v="17"/>
  </r>
  <r>
    <x v="0"/>
    <x v="9"/>
    <x v="16"/>
    <n v="77"/>
    <n v="13"/>
    <n v="54"/>
    <n v="10"/>
  </r>
  <r>
    <x v="0"/>
    <x v="9"/>
    <x v="17"/>
    <n v="52"/>
    <n v="4"/>
    <n v="38"/>
    <n v="10"/>
  </r>
  <r>
    <x v="0"/>
    <x v="9"/>
    <x v="18"/>
    <n v="55"/>
    <n v="4"/>
    <n v="48"/>
    <n v="3"/>
  </r>
  <r>
    <x v="0"/>
    <x v="9"/>
    <x v="19"/>
    <n v="22"/>
    <n v="3"/>
    <n v="19"/>
    <m/>
  </r>
  <r>
    <x v="0"/>
    <x v="9"/>
    <x v="20"/>
    <n v="163"/>
    <n v="26"/>
    <n v="114"/>
    <n v="23"/>
  </r>
  <r>
    <x v="0"/>
    <x v="9"/>
    <x v="21"/>
    <n v="296"/>
    <n v="48"/>
    <n v="193"/>
    <n v="55"/>
  </r>
  <r>
    <x v="0"/>
    <x v="9"/>
    <x v="22"/>
    <n v="7"/>
    <n v="1"/>
    <n v="6"/>
    <m/>
  </r>
  <r>
    <x v="0"/>
    <x v="9"/>
    <x v="23"/>
    <n v="111"/>
    <n v="8"/>
    <n v="90"/>
    <n v="13"/>
  </r>
  <r>
    <x v="0"/>
    <x v="9"/>
    <x v="24"/>
    <n v="199"/>
    <n v="43"/>
    <n v="133"/>
    <n v="23"/>
  </r>
  <r>
    <x v="0"/>
    <x v="9"/>
    <x v="25"/>
    <n v="92"/>
    <n v="11"/>
    <n v="68"/>
    <n v="13"/>
  </r>
  <r>
    <x v="0"/>
    <x v="9"/>
    <x v="26"/>
    <n v="4"/>
    <m/>
    <n v="3"/>
    <n v="1"/>
  </r>
  <r>
    <x v="0"/>
    <x v="9"/>
    <x v="27"/>
    <n v="84"/>
    <n v="11"/>
    <n v="62"/>
    <n v="11"/>
  </r>
  <r>
    <x v="0"/>
    <x v="9"/>
    <x v="28"/>
    <n v="232"/>
    <n v="31"/>
    <n v="157"/>
    <n v="44"/>
  </r>
  <r>
    <x v="0"/>
    <x v="9"/>
    <x v="29"/>
    <n v="64"/>
    <n v="7"/>
    <n v="45"/>
    <n v="12"/>
  </r>
  <r>
    <x v="0"/>
    <x v="9"/>
    <x v="30"/>
    <n v="135"/>
    <n v="28"/>
    <n v="96"/>
    <n v="11"/>
  </r>
  <r>
    <x v="0"/>
    <x v="9"/>
    <x v="31"/>
    <n v="140"/>
    <n v="18"/>
    <n v="104"/>
    <n v="18"/>
  </r>
  <r>
    <x v="0"/>
    <x v="10"/>
    <x v="0"/>
    <n v="257"/>
    <n v="40"/>
    <n v="180"/>
    <n v="37"/>
  </r>
  <r>
    <x v="0"/>
    <x v="10"/>
    <x v="1"/>
    <n v="160"/>
    <n v="24"/>
    <n v="129"/>
    <n v="7"/>
  </r>
  <r>
    <x v="0"/>
    <x v="10"/>
    <x v="2"/>
    <n v="79"/>
    <n v="15"/>
    <n v="55"/>
    <n v="9"/>
  </r>
  <r>
    <x v="0"/>
    <x v="10"/>
    <x v="3"/>
    <n v="84"/>
    <n v="7"/>
    <n v="67"/>
    <n v="10"/>
  </r>
  <r>
    <x v="0"/>
    <x v="10"/>
    <x v="4"/>
    <n v="438"/>
    <n v="59"/>
    <n v="294"/>
    <n v="85"/>
  </r>
  <r>
    <x v="0"/>
    <x v="10"/>
    <x v="5"/>
    <n v="40"/>
    <n v="12"/>
    <n v="26"/>
    <n v="2"/>
  </r>
  <r>
    <x v="0"/>
    <x v="10"/>
    <x v="6"/>
    <n v="94"/>
    <n v="10"/>
    <n v="74"/>
    <n v="10"/>
  </r>
  <r>
    <x v="0"/>
    <x v="10"/>
    <x v="7"/>
    <n v="175"/>
    <n v="35"/>
    <n v="100"/>
    <n v="40"/>
  </r>
  <r>
    <x v="0"/>
    <x v="10"/>
    <x v="8"/>
    <n v="87"/>
    <n v="14"/>
    <n v="68"/>
    <n v="5"/>
  </r>
  <r>
    <x v="0"/>
    <x v="10"/>
    <x v="9"/>
    <n v="62"/>
    <n v="5"/>
    <n v="50"/>
    <n v="7"/>
  </r>
  <r>
    <x v="0"/>
    <x v="10"/>
    <x v="10"/>
    <n v="57"/>
    <n v="7"/>
    <n v="41"/>
    <n v="9"/>
  </r>
  <r>
    <x v="0"/>
    <x v="10"/>
    <x v="11"/>
    <n v="67"/>
    <n v="4"/>
    <n v="61"/>
    <n v="2"/>
  </r>
  <r>
    <x v="0"/>
    <x v="10"/>
    <x v="12"/>
    <n v="103"/>
    <n v="17"/>
    <n v="67"/>
    <n v="19"/>
  </r>
  <r>
    <x v="0"/>
    <x v="10"/>
    <x v="13"/>
    <n v="218"/>
    <n v="29"/>
    <n v="157"/>
    <n v="32"/>
  </r>
  <r>
    <x v="0"/>
    <x v="10"/>
    <x v="14"/>
    <n v="768"/>
    <n v="148"/>
    <n v="501"/>
    <n v="119"/>
  </r>
  <r>
    <x v="0"/>
    <x v="10"/>
    <x v="15"/>
    <n v="113"/>
    <n v="13"/>
    <n v="88"/>
    <n v="12"/>
  </r>
  <r>
    <x v="0"/>
    <x v="10"/>
    <x v="16"/>
    <n v="76"/>
    <n v="17"/>
    <n v="56"/>
    <n v="3"/>
  </r>
  <r>
    <x v="0"/>
    <x v="10"/>
    <x v="17"/>
    <n v="71"/>
    <n v="5"/>
    <n v="61"/>
    <n v="5"/>
  </r>
  <r>
    <x v="0"/>
    <x v="10"/>
    <x v="18"/>
    <n v="78"/>
    <n v="6"/>
    <n v="64"/>
    <n v="8"/>
  </r>
  <r>
    <x v="0"/>
    <x v="10"/>
    <x v="19"/>
    <n v="20"/>
    <n v="2"/>
    <n v="15"/>
    <n v="3"/>
  </r>
  <r>
    <x v="0"/>
    <x v="10"/>
    <x v="20"/>
    <n v="150"/>
    <n v="26"/>
    <n v="114"/>
    <n v="10"/>
  </r>
  <r>
    <x v="0"/>
    <x v="10"/>
    <x v="21"/>
    <n v="227"/>
    <n v="50"/>
    <n v="147"/>
    <n v="30"/>
  </r>
  <r>
    <x v="0"/>
    <x v="10"/>
    <x v="22"/>
    <n v="11"/>
    <m/>
    <n v="10"/>
    <n v="1"/>
  </r>
  <r>
    <x v="0"/>
    <x v="10"/>
    <x v="23"/>
    <n v="106"/>
    <n v="10"/>
    <n v="78"/>
    <n v="18"/>
  </r>
  <r>
    <x v="0"/>
    <x v="10"/>
    <x v="24"/>
    <n v="142"/>
    <n v="28"/>
    <n v="104"/>
    <n v="10"/>
  </r>
  <r>
    <x v="0"/>
    <x v="10"/>
    <x v="25"/>
    <n v="96"/>
    <n v="8"/>
    <n v="80"/>
    <n v="8"/>
  </r>
  <r>
    <x v="0"/>
    <x v="10"/>
    <x v="26"/>
    <n v="12"/>
    <n v="1"/>
    <n v="9"/>
    <n v="2"/>
  </r>
  <r>
    <x v="0"/>
    <x v="10"/>
    <x v="27"/>
    <n v="86"/>
    <n v="12"/>
    <n v="58"/>
    <n v="16"/>
  </r>
  <r>
    <x v="0"/>
    <x v="10"/>
    <x v="28"/>
    <n v="228"/>
    <n v="42"/>
    <n v="145"/>
    <n v="41"/>
  </r>
  <r>
    <x v="0"/>
    <x v="10"/>
    <x v="29"/>
    <n v="44"/>
    <n v="7"/>
    <n v="33"/>
    <n v="4"/>
  </r>
  <r>
    <x v="0"/>
    <x v="10"/>
    <x v="30"/>
    <n v="103"/>
    <n v="21"/>
    <n v="77"/>
    <n v="5"/>
  </r>
  <r>
    <x v="0"/>
    <x v="10"/>
    <x v="31"/>
    <n v="112"/>
    <n v="14"/>
    <n v="84"/>
    <n v="14"/>
  </r>
  <r>
    <x v="0"/>
    <x v="10"/>
    <x v="32"/>
    <n v="1"/>
    <m/>
    <n v="1"/>
    <m/>
  </r>
  <r>
    <x v="0"/>
    <x v="11"/>
    <x v="0"/>
    <n v="222"/>
    <n v="37"/>
    <n v="148"/>
    <n v="37"/>
  </r>
  <r>
    <x v="0"/>
    <x v="11"/>
    <x v="1"/>
    <n v="164"/>
    <n v="20"/>
    <n v="135"/>
    <n v="9"/>
  </r>
  <r>
    <x v="0"/>
    <x v="11"/>
    <x v="2"/>
    <n v="74"/>
    <n v="18"/>
    <n v="44"/>
    <n v="12"/>
  </r>
  <r>
    <x v="0"/>
    <x v="11"/>
    <x v="3"/>
    <n v="84"/>
    <n v="6"/>
    <n v="72"/>
    <n v="6"/>
  </r>
  <r>
    <x v="0"/>
    <x v="11"/>
    <x v="4"/>
    <n v="369"/>
    <n v="47"/>
    <n v="256"/>
    <n v="66"/>
  </r>
  <r>
    <x v="0"/>
    <x v="11"/>
    <x v="5"/>
    <n v="54"/>
    <n v="14"/>
    <n v="37"/>
    <n v="3"/>
  </r>
  <r>
    <x v="0"/>
    <x v="11"/>
    <x v="6"/>
    <n v="69"/>
    <n v="12"/>
    <n v="53"/>
    <n v="4"/>
  </r>
  <r>
    <x v="0"/>
    <x v="11"/>
    <x v="7"/>
    <n v="186"/>
    <n v="30"/>
    <n v="120"/>
    <n v="36"/>
  </r>
  <r>
    <x v="0"/>
    <x v="11"/>
    <x v="8"/>
    <n v="95"/>
    <n v="17"/>
    <n v="63"/>
    <n v="15"/>
  </r>
  <r>
    <x v="0"/>
    <x v="11"/>
    <x v="9"/>
    <n v="65"/>
    <n v="5"/>
    <n v="53"/>
    <n v="7"/>
  </r>
  <r>
    <x v="0"/>
    <x v="11"/>
    <x v="10"/>
    <n v="46"/>
    <n v="8"/>
    <n v="29"/>
    <n v="9"/>
  </r>
  <r>
    <x v="0"/>
    <x v="11"/>
    <x v="11"/>
    <n v="49"/>
    <n v="7"/>
    <n v="37"/>
    <n v="5"/>
  </r>
  <r>
    <x v="0"/>
    <x v="11"/>
    <x v="12"/>
    <n v="99"/>
    <n v="14"/>
    <n v="72"/>
    <n v="13"/>
  </r>
  <r>
    <x v="0"/>
    <x v="11"/>
    <x v="13"/>
    <n v="227"/>
    <n v="29"/>
    <n v="155"/>
    <n v="43"/>
  </r>
  <r>
    <x v="0"/>
    <x v="11"/>
    <x v="14"/>
    <n v="685"/>
    <n v="119"/>
    <n v="452"/>
    <n v="114"/>
  </r>
  <r>
    <x v="0"/>
    <x v="11"/>
    <x v="15"/>
    <n v="126"/>
    <n v="15"/>
    <n v="95"/>
    <n v="16"/>
  </r>
  <r>
    <x v="0"/>
    <x v="11"/>
    <x v="16"/>
    <n v="88"/>
    <n v="15"/>
    <n v="66"/>
    <n v="7"/>
  </r>
  <r>
    <x v="0"/>
    <x v="11"/>
    <x v="17"/>
    <n v="57"/>
    <n v="9"/>
    <n v="43"/>
    <n v="5"/>
  </r>
  <r>
    <x v="0"/>
    <x v="11"/>
    <x v="18"/>
    <n v="50"/>
    <n v="7"/>
    <n v="33"/>
    <n v="10"/>
  </r>
  <r>
    <x v="0"/>
    <x v="11"/>
    <x v="19"/>
    <n v="21"/>
    <n v="3"/>
    <n v="16"/>
    <n v="2"/>
  </r>
  <r>
    <x v="0"/>
    <x v="11"/>
    <x v="20"/>
    <n v="136"/>
    <n v="19"/>
    <n v="101"/>
    <n v="16"/>
  </r>
  <r>
    <x v="0"/>
    <x v="11"/>
    <x v="21"/>
    <n v="279"/>
    <n v="56"/>
    <n v="188"/>
    <n v="35"/>
  </r>
  <r>
    <x v="0"/>
    <x v="11"/>
    <x v="22"/>
    <n v="4"/>
    <n v="1"/>
    <n v="3"/>
    <m/>
  </r>
  <r>
    <x v="0"/>
    <x v="11"/>
    <x v="23"/>
    <n v="97"/>
    <n v="9"/>
    <n v="72"/>
    <n v="16"/>
  </r>
  <r>
    <x v="0"/>
    <x v="11"/>
    <x v="24"/>
    <n v="151"/>
    <n v="25"/>
    <n v="111"/>
    <n v="15"/>
  </r>
  <r>
    <x v="0"/>
    <x v="11"/>
    <x v="25"/>
    <n v="77"/>
    <n v="11"/>
    <n v="56"/>
    <n v="10"/>
  </r>
  <r>
    <x v="0"/>
    <x v="11"/>
    <x v="26"/>
    <n v="24"/>
    <n v="3"/>
    <n v="20"/>
    <n v="1"/>
  </r>
  <r>
    <x v="0"/>
    <x v="11"/>
    <x v="27"/>
    <n v="73"/>
    <n v="6"/>
    <n v="55"/>
    <n v="12"/>
  </r>
  <r>
    <x v="0"/>
    <x v="11"/>
    <x v="28"/>
    <n v="221"/>
    <n v="48"/>
    <n v="144"/>
    <n v="29"/>
  </r>
  <r>
    <x v="0"/>
    <x v="11"/>
    <x v="29"/>
    <n v="48"/>
    <n v="9"/>
    <n v="33"/>
    <n v="6"/>
  </r>
  <r>
    <x v="0"/>
    <x v="11"/>
    <x v="30"/>
    <n v="102"/>
    <n v="28"/>
    <n v="67"/>
    <n v="7"/>
  </r>
  <r>
    <x v="0"/>
    <x v="11"/>
    <x v="31"/>
    <n v="99"/>
    <n v="18"/>
    <n v="69"/>
    <n v="12"/>
  </r>
</pivotCacheRecords>
</file>

<file path=xl/pivotCache/pivotCacheRecords24.xml><?xml version="1.0" encoding="utf-8"?>
<pivotCacheRecords xmlns="http://schemas.openxmlformats.org/spreadsheetml/2006/main" xmlns:r="http://schemas.openxmlformats.org/officeDocument/2006/relationships" count="24">
  <r>
    <x v="0"/>
    <x v="0"/>
    <x v="0"/>
    <x v="0"/>
    <x v="0"/>
    <x v="0"/>
    <x v="0"/>
    <x v="0"/>
  </r>
  <r>
    <x v="0"/>
    <x v="1"/>
    <x v="0"/>
    <x v="0"/>
    <x v="1"/>
    <x v="1"/>
    <x v="1"/>
    <x v="1"/>
  </r>
  <r>
    <x v="0"/>
    <x v="2"/>
    <x v="0"/>
    <x v="0"/>
    <x v="2"/>
    <x v="2"/>
    <x v="2"/>
    <x v="2"/>
  </r>
  <r>
    <x v="0"/>
    <x v="3"/>
    <x v="0"/>
    <x v="0"/>
    <x v="3"/>
    <x v="3"/>
    <x v="3"/>
    <x v="3"/>
  </r>
  <r>
    <x v="0"/>
    <x v="4"/>
    <x v="0"/>
    <x v="0"/>
    <x v="4"/>
    <x v="4"/>
    <x v="4"/>
    <x v="4"/>
  </r>
  <r>
    <x v="0"/>
    <x v="5"/>
    <x v="0"/>
    <x v="0"/>
    <x v="5"/>
    <x v="5"/>
    <x v="5"/>
    <x v="5"/>
  </r>
  <r>
    <x v="0"/>
    <x v="6"/>
    <x v="0"/>
    <x v="0"/>
    <x v="6"/>
    <x v="3"/>
    <x v="6"/>
    <x v="5"/>
  </r>
  <r>
    <x v="0"/>
    <x v="7"/>
    <x v="0"/>
    <x v="0"/>
    <x v="7"/>
    <x v="6"/>
    <x v="0"/>
    <x v="6"/>
  </r>
  <r>
    <x v="0"/>
    <x v="8"/>
    <x v="0"/>
    <x v="0"/>
    <x v="8"/>
    <x v="7"/>
    <x v="6"/>
    <x v="7"/>
  </r>
  <r>
    <x v="0"/>
    <x v="9"/>
    <x v="0"/>
    <x v="0"/>
    <x v="3"/>
    <x v="8"/>
    <x v="5"/>
    <x v="2"/>
  </r>
  <r>
    <x v="0"/>
    <x v="10"/>
    <x v="0"/>
    <x v="0"/>
    <x v="9"/>
    <x v="4"/>
    <x v="7"/>
    <x v="8"/>
  </r>
  <r>
    <x v="0"/>
    <x v="11"/>
    <x v="0"/>
    <x v="0"/>
    <x v="3"/>
    <x v="8"/>
    <x v="1"/>
    <x v="9"/>
  </r>
  <r>
    <x v="1"/>
    <x v="0"/>
    <x v="0"/>
    <x v="0"/>
    <x v="10"/>
    <x v="9"/>
    <x v="8"/>
    <x v="10"/>
  </r>
  <r>
    <x v="1"/>
    <x v="1"/>
    <x v="0"/>
    <x v="0"/>
    <x v="11"/>
    <x v="10"/>
    <x v="9"/>
    <x v="11"/>
  </r>
  <r>
    <x v="1"/>
    <x v="2"/>
    <x v="0"/>
    <x v="0"/>
    <x v="12"/>
    <x v="11"/>
    <x v="10"/>
    <x v="12"/>
  </r>
  <r>
    <x v="1"/>
    <x v="3"/>
    <x v="0"/>
    <x v="0"/>
    <x v="13"/>
    <x v="12"/>
    <x v="11"/>
    <x v="13"/>
  </r>
  <r>
    <x v="1"/>
    <x v="4"/>
    <x v="0"/>
    <x v="0"/>
    <x v="14"/>
    <x v="13"/>
    <x v="12"/>
    <x v="14"/>
  </r>
  <r>
    <x v="1"/>
    <x v="5"/>
    <x v="0"/>
    <x v="0"/>
    <x v="15"/>
    <x v="14"/>
    <x v="13"/>
    <x v="15"/>
  </r>
  <r>
    <x v="1"/>
    <x v="6"/>
    <x v="0"/>
    <x v="0"/>
    <x v="16"/>
    <x v="15"/>
    <x v="14"/>
    <x v="10"/>
  </r>
  <r>
    <x v="1"/>
    <x v="7"/>
    <x v="0"/>
    <x v="0"/>
    <x v="17"/>
    <x v="16"/>
    <x v="15"/>
    <x v="16"/>
  </r>
  <r>
    <x v="1"/>
    <x v="8"/>
    <x v="0"/>
    <x v="0"/>
    <x v="18"/>
    <x v="17"/>
    <x v="16"/>
    <x v="17"/>
  </r>
  <r>
    <x v="1"/>
    <x v="9"/>
    <x v="0"/>
    <x v="0"/>
    <x v="19"/>
    <x v="18"/>
    <x v="17"/>
    <x v="18"/>
  </r>
  <r>
    <x v="1"/>
    <x v="10"/>
    <x v="0"/>
    <x v="0"/>
    <x v="20"/>
    <x v="19"/>
    <x v="18"/>
    <x v="19"/>
  </r>
  <r>
    <x v="1"/>
    <x v="11"/>
    <x v="0"/>
    <x v="0"/>
    <x v="21"/>
    <x v="20"/>
    <x v="19"/>
    <x v="20"/>
  </r>
</pivotCacheRecords>
</file>

<file path=xl/pivotCache/pivotCacheRecords25.xml><?xml version="1.0" encoding="utf-8"?>
<pivotCacheRecords xmlns="http://schemas.openxmlformats.org/spreadsheetml/2006/main" xmlns:r="http://schemas.openxmlformats.org/officeDocument/2006/relationships" count="36">
  <r>
    <x v="0"/>
    <x v="0"/>
    <n v="6560"/>
    <n v="242"/>
    <n v="212"/>
    <n v="203"/>
    <n v="175"/>
    <n v="134"/>
    <x v="0"/>
    <x v="0"/>
    <n v="105"/>
    <x v="0"/>
    <n v="150"/>
    <n v="171"/>
    <n v="252"/>
    <n v="298"/>
    <n v="320"/>
    <n v="311"/>
    <x v="0"/>
    <n v="418"/>
    <x v="0"/>
    <n v="529"/>
    <n v="470"/>
    <n v="417"/>
    <n v="389"/>
    <n v="369"/>
    <n v="289"/>
  </r>
  <r>
    <x v="0"/>
    <x v="1"/>
    <n v="6293"/>
    <n v="230"/>
    <n v="251"/>
    <n v="181"/>
    <n v="158"/>
    <n v="117"/>
    <x v="1"/>
    <x v="1"/>
    <n v="101"/>
    <x v="0"/>
    <n v="154"/>
    <n v="185"/>
    <n v="228"/>
    <n v="291"/>
    <n v="283"/>
    <n v="323"/>
    <x v="1"/>
    <n v="425"/>
    <x v="1"/>
    <n v="473"/>
    <n v="448"/>
    <n v="389"/>
    <n v="349"/>
    <n v="318"/>
    <n v="277"/>
  </r>
  <r>
    <x v="0"/>
    <x v="2"/>
    <n v="6157"/>
    <n v="246"/>
    <n v="203"/>
    <n v="178"/>
    <n v="154"/>
    <n v="137"/>
    <x v="2"/>
    <x v="2"/>
    <n v="93"/>
    <x v="1"/>
    <n v="151"/>
    <n v="199"/>
    <n v="237"/>
    <n v="253"/>
    <n v="292"/>
    <n v="269"/>
    <x v="2"/>
    <n v="419"/>
    <x v="2"/>
    <n v="448"/>
    <n v="453"/>
    <n v="423"/>
    <n v="342"/>
    <n v="280"/>
    <n v="258"/>
  </r>
  <r>
    <x v="0"/>
    <x v="3"/>
    <n v="5829"/>
    <n v="218"/>
    <n v="183"/>
    <n v="160"/>
    <n v="124"/>
    <n v="97"/>
    <x v="3"/>
    <x v="3"/>
    <n v="102"/>
    <x v="2"/>
    <n v="165"/>
    <n v="182"/>
    <n v="204"/>
    <n v="223"/>
    <n v="266"/>
    <n v="280"/>
    <x v="3"/>
    <n v="382"/>
    <x v="3"/>
    <n v="472"/>
    <n v="410"/>
    <n v="391"/>
    <n v="311"/>
    <n v="290"/>
    <n v="250"/>
  </r>
  <r>
    <x v="0"/>
    <x v="4"/>
    <n v="5323"/>
    <n v="164"/>
    <n v="149"/>
    <n v="135"/>
    <n v="117"/>
    <n v="107"/>
    <x v="4"/>
    <x v="4"/>
    <n v="103"/>
    <x v="3"/>
    <n v="139"/>
    <n v="171"/>
    <n v="199"/>
    <n v="252"/>
    <n v="267"/>
    <n v="263"/>
    <x v="4"/>
    <n v="339"/>
    <x v="4"/>
    <n v="423"/>
    <n v="365"/>
    <n v="351"/>
    <n v="288"/>
    <n v="273"/>
    <n v="203"/>
  </r>
  <r>
    <x v="0"/>
    <x v="5"/>
    <n v="5574"/>
    <n v="199"/>
    <n v="159"/>
    <n v="122"/>
    <n v="112"/>
    <n v="113"/>
    <x v="5"/>
    <x v="5"/>
    <n v="92"/>
    <x v="4"/>
    <n v="153"/>
    <n v="204"/>
    <n v="221"/>
    <n v="277"/>
    <n v="303"/>
    <n v="296"/>
    <x v="5"/>
    <n v="357"/>
    <x v="5"/>
    <n v="427"/>
    <n v="415"/>
    <n v="326"/>
    <n v="295"/>
    <n v="238"/>
    <n v="214"/>
  </r>
  <r>
    <x v="0"/>
    <x v="6"/>
    <n v="5673"/>
    <n v="170"/>
    <n v="175"/>
    <n v="127"/>
    <n v="110"/>
    <n v="94"/>
    <x v="6"/>
    <x v="6"/>
    <n v="91"/>
    <x v="4"/>
    <n v="154"/>
    <n v="194"/>
    <n v="244"/>
    <n v="232"/>
    <n v="321"/>
    <n v="314"/>
    <x v="6"/>
    <n v="401"/>
    <x v="3"/>
    <n v="429"/>
    <n v="373"/>
    <n v="329"/>
    <n v="332"/>
    <n v="262"/>
    <n v="235"/>
  </r>
  <r>
    <x v="0"/>
    <x v="7"/>
    <n v="5540"/>
    <n v="201"/>
    <n v="167"/>
    <n v="133"/>
    <n v="104"/>
    <n v="79"/>
    <x v="7"/>
    <x v="4"/>
    <n v="109"/>
    <x v="5"/>
    <n v="156"/>
    <n v="194"/>
    <n v="241"/>
    <n v="243"/>
    <n v="257"/>
    <n v="284"/>
    <x v="7"/>
    <n v="380"/>
    <x v="6"/>
    <n v="430"/>
    <n v="408"/>
    <n v="332"/>
    <n v="304"/>
    <n v="265"/>
    <n v="234"/>
  </r>
  <r>
    <x v="0"/>
    <x v="8"/>
    <n v="5311"/>
    <n v="188"/>
    <n v="144"/>
    <n v="132"/>
    <n v="98"/>
    <n v="99"/>
    <x v="8"/>
    <x v="7"/>
    <n v="99"/>
    <x v="6"/>
    <n v="144"/>
    <n v="176"/>
    <n v="209"/>
    <n v="241"/>
    <n v="258"/>
    <n v="282"/>
    <x v="8"/>
    <n v="348"/>
    <x v="7"/>
    <n v="403"/>
    <n v="348"/>
    <n v="351"/>
    <n v="306"/>
    <n v="248"/>
    <n v="204"/>
  </r>
  <r>
    <x v="0"/>
    <x v="9"/>
    <n v="5145"/>
    <n v="173"/>
    <n v="157"/>
    <n v="116"/>
    <n v="119"/>
    <n v="84"/>
    <x v="5"/>
    <x v="8"/>
    <n v="104"/>
    <x v="7"/>
    <n v="156"/>
    <n v="145"/>
    <n v="207"/>
    <n v="250"/>
    <n v="265"/>
    <n v="241"/>
    <x v="9"/>
    <n v="344"/>
    <x v="8"/>
    <n v="399"/>
    <n v="360"/>
    <n v="325"/>
    <n v="292"/>
    <n v="215"/>
    <n v="227"/>
  </r>
  <r>
    <x v="0"/>
    <x v="10"/>
    <n v="4890"/>
    <n v="157"/>
    <n v="152"/>
    <n v="112"/>
    <n v="107"/>
    <n v="91"/>
    <x v="9"/>
    <x v="9"/>
    <n v="88"/>
    <x v="0"/>
    <n v="140"/>
    <n v="166"/>
    <n v="181"/>
    <n v="220"/>
    <n v="231"/>
    <n v="270"/>
    <x v="10"/>
    <n v="330"/>
    <x v="9"/>
    <n v="423"/>
    <n v="315"/>
    <n v="358"/>
    <n v="250"/>
    <n v="257"/>
    <n v="197"/>
  </r>
  <r>
    <x v="0"/>
    <x v="11"/>
    <n v="4661"/>
    <n v="157"/>
    <n v="133"/>
    <n v="108"/>
    <n v="102"/>
    <n v="87"/>
    <x v="10"/>
    <x v="10"/>
    <n v="62"/>
    <x v="8"/>
    <n v="124"/>
    <n v="153"/>
    <n v="194"/>
    <n v="234"/>
    <n v="240"/>
    <n v="221"/>
    <x v="11"/>
    <n v="340"/>
    <x v="10"/>
    <n v="389"/>
    <n v="329"/>
    <n v="287"/>
    <n v="271"/>
    <n v="215"/>
    <n v="195"/>
  </r>
  <r>
    <x v="1"/>
    <x v="0"/>
    <n v="3004"/>
    <n v="92"/>
    <n v="104"/>
    <n v="83"/>
    <n v="80"/>
    <n v="62"/>
    <x v="10"/>
    <x v="11"/>
    <n v="85"/>
    <x v="9"/>
    <n v="111"/>
    <n v="125"/>
    <n v="132"/>
    <n v="149"/>
    <n v="165"/>
    <n v="152"/>
    <x v="12"/>
    <n v="153"/>
    <x v="11"/>
    <n v="183"/>
    <n v="181"/>
    <n v="191"/>
    <n v="180"/>
    <n v="125"/>
    <n v="116"/>
  </r>
  <r>
    <x v="1"/>
    <x v="1"/>
    <n v="2795"/>
    <n v="97"/>
    <n v="88"/>
    <n v="78"/>
    <n v="56"/>
    <n v="71"/>
    <x v="11"/>
    <x v="12"/>
    <n v="59"/>
    <x v="10"/>
    <n v="121"/>
    <n v="143"/>
    <n v="159"/>
    <n v="137"/>
    <n v="138"/>
    <n v="138"/>
    <x v="13"/>
    <n v="132"/>
    <x v="11"/>
    <n v="167"/>
    <n v="166"/>
    <n v="192"/>
    <n v="144"/>
    <n v="111"/>
    <n v="114"/>
  </r>
  <r>
    <x v="1"/>
    <x v="2"/>
    <n v="2717"/>
    <n v="100"/>
    <n v="73"/>
    <n v="66"/>
    <n v="81"/>
    <n v="60"/>
    <x v="12"/>
    <x v="13"/>
    <n v="68"/>
    <x v="11"/>
    <n v="117"/>
    <n v="117"/>
    <n v="119"/>
    <n v="132"/>
    <n v="143"/>
    <n v="149"/>
    <x v="14"/>
    <n v="154"/>
    <x v="12"/>
    <n v="163"/>
    <n v="183"/>
    <n v="130"/>
    <n v="149"/>
    <n v="121"/>
    <n v="118"/>
  </r>
  <r>
    <x v="1"/>
    <x v="3"/>
    <n v="2408"/>
    <n v="73"/>
    <n v="63"/>
    <n v="71"/>
    <n v="66"/>
    <n v="56"/>
    <x v="13"/>
    <x v="14"/>
    <n v="53"/>
    <x v="3"/>
    <n v="91"/>
    <n v="94"/>
    <n v="113"/>
    <n v="137"/>
    <n v="140"/>
    <n v="131"/>
    <x v="15"/>
    <n v="139"/>
    <x v="13"/>
    <n v="121"/>
    <n v="146"/>
    <n v="142"/>
    <n v="125"/>
    <n v="100"/>
    <n v="97"/>
  </r>
  <r>
    <x v="1"/>
    <x v="4"/>
    <n v="2346"/>
    <n v="77"/>
    <n v="71"/>
    <n v="61"/>
    <n v="57"/>
    <n v="44"/>
    <x v="14"/>
    <x v="15"/>
    <n v="54"/>
    <x v="10"/>
    <n v="112"/>
    <n v="115"/>
    <n v="111"/>
    <n v="133"/>
    <n v="136"/>
    <n v="116"/>
    <x v="16"/>
    <n v="117"/>
    <x v="14"/>
    <n v="131"/>
    <n v="137"/>
    <n v="156"/>
    <n v="115"/>
    <n v="102"/>
    <n v="78"/>
  </r>
  <r>
    <x v="1"/>
    <x v="5"/>
    <n v="2324"/>
    <n v="102"/>
    <n v="72"/>
    <n v="85"/>
    <n v="67"/>
    <n v="48"/>
    <x v="15"/>
    <x v="16"/>
    <n v="58"/>
    <x v="12"/>
    <n v="118"/>
    <n v="112"/>
    <n v="116"/>
    <n v="114"/>
    <n v="113"/>
    <n v="111"/>
    <x v="17"/>
    <n v="117"/>
    <x v="15"/>
    <n v="125"/>
    <n v="110"/>
    <n v="148"/>
    <n v="135"/>
    <n v="88"/>
    <n v="75"/>
  </r>
  <r>
    <x v="1"/>
    <x v="6"/>
    <n v="2494"/>
    <n v="85"/>
    <n v="79"/>
    <n v="62"/>
    <n v="53"/>
    <n v="41"/>
    <x v="15"/>
    <x v="12"/>
    <n v="70"/>
    <x v="13"/>
    <n v="117"/>
    <n v="115"/>
    <n v="138"/>
    <n v="144"/>
    <n v="132"/>
    <n v="123"/>
    <x v="18"/>
    <n v="150"/>
    <x v="16"/>
    <n v="114"/>
    <n v="134"/>
    <n v="127"/>
    <n v="134"/>
    <n v="104"/>
    <n v="85"/>
  </r>
  <r>
    <x v="1"/>
    <x v="7"/>
    <n v="2277"/>
    <n v="64"/>
    <n v="56"/>
    <n v="60"/>
    <n v="39"/>
    <n v="45"/>
    <x v="16"/>
    <x v="17"/>
    <n v="64"/>
    <x v="11"/>
    <n v="95"/>
    <n v="113"/>
    <n v="114"/>
    <n v="127"/>
    <n v="129"/>
    <n v="126"/>
    <x v="19"/>
    <n v="144"/>
    <x v="17"/>
    <n v="148"/>
    <n v="131"/>
    <n v="138"/>
    <n v="86"/>
    <n v="79"/>
    <n v="98"/>
  </r>
  <r>
    <x v="1"/>
    <x v="8"/>
    <n v="2287"/>
    <n v="64"/>
    <n v="71"/>
    <n v="52"/>
    <n v="63"/>
    <n v="33"/>
    <x v="17"/>
    <x v="18"/>
    <n v="68"/>
    <x v="14"/>
    <n v="127"/>
    <n v="98"/>
    <n v="113"/>
    <n v="119"/>
    <n v="124"/>
    <n v="123"/>
    <x v="20"/>
    <n v="113"/>
    <x v="15"/>
    <n v="135"/>
    <n v="137"/>
    <n v="126"/>
    <n v="113"/>
    <n v="96"/>
    <n v="81"/>
  </r>
  <r>
    <x v="1"/>
    <x v="9"/>
    <n v="2252"/>
    <n v="64"/>
    <n v="59"/>
    <n v="48"/>
    <n v="62"/>
    <n v="42"/>
    <x v="14"/>
    <x v="19"/>
    <n v="45"/>
    <x v="15"/>
    <n v="107"/>
    <n v="123"/>
    <n v="121"/>
    <n v="129"/>
    <n v="117"/>
    <n v="106"/>
    <x v="17"/>
    <n v="117"/>
    <x v="18"/>
    <n v="124"/>
    <n v="137"/>
    <n v="123"/>
    <n v="101"/>
    <n v="88"/>
    <n v="96"/>
  </r>
  <r>
    <x v="1"/>
    <x v="10"/>
    <n v="1980"/>
    <n v="60"/>
    <n v="72"/>
    <n v="39"/>
    <n v="33"/>
    <n v="38"/>
    <x v="18"/>
    <x v="20"/>
    <n v="46"/>
    <x v="14"/>
    <n v="84"/>
    <n v="85"/>
    <n v="127"/>
    <n v="103"/>
    <n v="105"/>
    <n v="123"/>
    <x v="21"/>
    <n v="106"/>
    <x v="19"/>
    <n v="122"/>
    <n v="109"/>
    <n v="101"/>
    <n v="95"/>
    <n v="74"/>
    <n v="68"/>
  </r>
  <r>
    <x v="1"/>
    <x v="11"/>
    <n v="1718"/>
    <n v="54"/>
    <n v="50"/>
    <n v="26"/>
    <n v="26"/>
    <n v="35"/>
    <x v="19"/>
    <x v="16"/>
    <n v="56"/>
    <x v="16"/>
    <n v="72"/>
    <n v="75"/>
    <n v="86"/>
    <n v="83"/>
    <n v="90"/>
    <n v="95"/>
    <x v="22"/>
    <n v="125"/>
    <x v="20"/>
    <n v="128"/>
    <n v="80"/>
    <n v="99"/>
    <n v="77"/>
    <n v="70"/>
    <n v="69"/>
  </r>
  <r>
    <x v="2"/>
    <x v="0"/>
    <n v="4428"/>
    <n v="270"/>
    <n v="219"/>
    <n v="236"/>
    <n v="172"/>
    <n v="168"/>
    <x v="20"/>
    <x v="21"/>
    <n v="86"/>
    <x v="17"/>
    <n v="88"/>
    <n v="95"/>
    <n v="115"/>
    <n v="131"/>
    <n v="165"/>
    <n v="179"/>
    <x v="23"/>
    <n v="172"/>
    <x v="21"/>
    <n v="229"/>
    <n v="287"/>
    <n v="297"/>
    <n v="325"/>
    <n v="295"/>
    <n v="279"/>
  </r>
  <r>
    <x v="2"/>
    <x v="1"/>
    <n v="4056"/>
    <n v="249"/>
    <n v="198"/>
    <n v="197"/>
    <n v="177"/>
    <n v="124"/>
    <x v="21"/>
    <x v="22"/>
    <n v="87"/>
    <x v="18"/>
    <n v="94"/>
    <n v="92"/>
    <n v="117"/>
    <n v="121"/>
    <n v="132"/>
    <n v="153"/>
    <x v="24"/>
    <n v="183"/>
    <x v="22"/>
    <n v="214"/>
    <n v="220"/>
    <n v="289"/>
    <n v="285"/>
    <n v="255"/>
    <n v="235"/>
  </r>
  <r>
    <x v="2"/>
    <x v="2"/>
    <n v="3537"/>
    <n v="206"/>
    <n v="212"/>
    <n v="172"/>
    <n v="143"/>
    <n v="101"/>
    <x v="6"/>
    <x v="2"/>
    <n v="75"/>
    <x v="18"/>
    <n v="63"/>
    <n v="73"/>
    <n v="100"/>
    <n v="121"/>
    <n v="132"/>
    <n v="127"/>
    <x v="25"/>
    <n v="146"/>
    <x v="23"/>
    <n v="193"/>
    <n v="205"/>
    <n v="220"/>
    <n v="245"/>
    <n v="208"/>
    <n v="216"/>
  </r>
  <r>
    <x v="2"/>
    <x v="3"/>
    <n v="2849"/>
    <n v="152"/>
    <n v="147"/>
    <n v="104"/>
    <n v="93"/>
    <n v="84"/>
    <x v="22"/>
    <x v="23"/>
    <n v="70"/>
    <x v="18"/>
    <n v="84"/>
    <n v="77"/>
    <n v="85"/>
    <n v="106"/>
    <n v="125"/>
    <n v="122"/>
    <x v="26"/>
    <n v="143"/>
    <x v="24"/>
    <n v="141"/>
    <n v="169"/>
    <n v="168"/>
    <n v="164"/>
    <n v="163"/>
    <n v="162"/>
  </r>
  <r>
    <x v="2"/>
    <x v="4"/>
    <n v="2852"/>
    <n v="133"/>
    <n v="125"/>
    <n v="115"/>
    <n v="90"/>
    <n v="59"/>
    <x v="23"/>
    <x v="24"/>
    <n v="67"/>
    <x v="19"/>
    <n v="81"/>
    <n v="83"/>
    <n v="82"/>
    <n v="106"/>
    <n v="108"/>
    <n v="130"/>
    <x v="12"/>
    <n v="161"/>
    <x v="25"/>
    <n v="154"/>
    <n v="177"/>
    <n v="189"/>
    <n v="160"/>
    <n v="140"/>
    <n v="134"/>
  </r>
  <r>
    <x v="2"/>
    <x v="5"/>
    <n v="2735"/>
    <n v="142"/>
    <n v="151"/>
    <n v="117"/>
    <n v="92"/>
    <n v="79"/>
    <x v="12"/>
    <x v="25"/>
    <n v="63"/>
    <x v="20"/>
    <n v="52"/>
    <n v="80"/>
    <n v="103"/>
    <n v="91"/>
    <n v="111"/>
    <n v="110"/>
    <x v="18"/>
    <n v="127"/>
    <x v="26"/>
    <n v="171"/>
    <n v="168"/>
    <n v="141"/>
    <n v="168"/>
    <n v="132"/>
    <n v="152"/>
  </r>
  <r>
    <x v="2"/>
    <x v="6"/>
    <n v="2839"/>
    <n v="141"/>
    <n v="119"/>
    <n v="117"/>
    <n v="69"/>
    <n v="77"/>
    <x v="22"/>
    <x v="18"/>
    <n v="54"/>
    <x v="21"/>
    <n v="76"/>
    <n v="77"/>
    <n v="82"/>
    <n v="108"/>
    <n v="124"/>
    <n v="120"/>
    <x v="26"/>
    <n v="152"/>
    <x v="26"/>
    <n v="172"/>
    <n v="187"/>
    <n v="181"/>
    <n v="184"/>
    <n v="177"/>
    <n v="141"/>
  </r>
  <r>
    <x v="2"/>
    <x v="7"/>
    <n v="3077"/>
    <n v="135"/>
    <n v="130"/>
    <n v="121"/>
    <n v="113"/>
    <n v="90"/>
    <x v="24"/>
    <x v="10"/>
    <n v="63"/>
    <x v="22"/>
    <n v="56"/>
    <n v="91"/>
    <n v="109"/>
    <n v="109"/>
    <n v="108"/>
    <n v="136"/>
    <x v="27"/>
    <n v="166"/>
    <x v="26"/>
    <n v="209"/>
    <n v="192"/>
    <n v="207"/>
    <n v="184"/>
    <n v="166"/>
    <n v="179"/>
  </r>
  <r>
    <x v="2"/>
    <x v="8"/>
    <n v="3074"/>
    <n v="143"/>
    <n v="159"/>
    <n v="116"/>
    <n v="80"/>
    <n v="70"/>
    <x v="25"/>
    <x v="25"/>
    <n v="69"/>
    <x v="23"/>
    <n v="73"/>
    <n v="82"/>
    <n v="111"/>
    <n v="100"/>
    <n v="106"/>
    <n v="153"/>
    <x v="16"/>
    <n v="159"/>
    <x v="27"/>
    <n v="194"/>
    <n v="222"/>
    <n v="210"/>
    <n v="176"/>
    <n v="176"/>
    <n v="172"/>
  </r>
  <r>
    <x v="2"/>
    <x v="9"/>
    <n v="3076"/>
    <n v="168"/>
    <n v="160"/>
    <n v="100"/>
    <n v="83"/>
    <n v="65"/>
    <x v="26"/>
    <x v="26"/>
    <n v="60"/>
    <x v="24"/>
    <n v="86"/>
    <n v="98"/>
    <n v="110"/>
    <n v="120"/>
    <n v="130"/>
    <n v="142"/>
    <x v="28"/>
    <n v="181"/>
    <x v="28"/>
    <n v="194"/>
    <n v="184"/>
    <n v="201"/>
    <n v="186"/>
    <n v="166"/>
    <n v="153"/>
  </r>
  <r>
    <x v="2"/>
    <x v="10"/>
    <n v="2982"/>
    <n v="174"/>
    <n v="166"/>
    <n v="135"/>
    <n v="85"/>
    <n v="66"/>
    <x v="27"/>
    <x v="27"/>
    <n v="49"/>
    <x v="25"/>
    <n v="73"/>
    <n v="96"/>
    <n v="90"/>
    <n v="91"/>
    <n v="118"/>
    <n v="109"/>
    <x v="25"/>
    <n v="166"/>
    <x v="27"/>
    <n v="154"/>
    <n v="176"/>
    <n v="177"/>
    <n v="187"/>
    <n v="190"/>
    <n v="187"/>
  </r>
  <r>
    <x v="2"/>
    <x v="11"/>
    <n v="3037"/>
    <n v="179"/>
    <n v="159"/>
    <n v="117"/>
    <n v="86"/>
    <n v="61"/>
    <x v="9"/>
    <x v="28"/>
    <n v="42"/>
    <x v="26"/>
    <n v="68"/>
    <n v="78"/>
    <n v="92"/>
    <n v="96"/>
    <n v="122"/>
    <n v="117"/>
    <x v="29"/>
    <n v="185"/>
    <x v="29"/>
    <n v="197"/>
    <n v="224"/>
    <n v="194"/>
    <n v="195"/>
    <n v="181"/>
    <n v="175"/>
  </r>
</pivotCacheRecords>
</file>

<file path=xl/pivotCache/pivotCacheRecords26.xml><?xml version="1.0" encoding="utf-8"?>
<pivotCacheRecords xmlns="http://schemas.openxmlformats.org/spreadsheetml/2006/main" xmlns:r="http://schemas.openxmlformats.org/officeDocument/2006/relationships" count="24">
  <r>
    <x v="0"/>
    <x v="0"/>
    <x v="0"/>
    <x v="0"/>
    <x v="0"/>
    <x v="0"/>
    <x v="0"/>
    <x v="0"/>
  </r>
  <r>
    <x v="0"/>
    <x v="1"/>
    <x v="1"/>
    <x v="0"/>
    <x v="1"/>
    <x v="1"/>
    <x v="0"/>
    <x v="0"/>
  </r>
  <r>
    <x v="0"/>
    <x v="2"/>
    <x v="1"/>
    <x v="0"/>
    <x v="2"/>
    <x v="2"/>
    <x v="0"/>
    <x v="0"/>
  </r>
  <r>
    <x v="0"/>
    <x v="3"/>
    <x v="0"/>
    <x v="0"/>
    <x v="3"/>
    <x v="3"/>
    <x v="0"/>
    <x v="1"/>
  </r>
  <r>
    <x v="0"/>
    <x v="4"/>
    <x v="2"/>
    <x v="0"/>
    <x v="3"/>
    <x v="4"/>
    <x v="1"/>
    <x v="0"/>
  </r>
  <r>
    <x v="0"/>
    <x v="5"/>
    <x v="3"/>
    <x v="0"/>
    <x v="4"/>
    <x v="5"/>
    <x v="0"/>
    <x v="0"/>
  </r>
  <r>
    <x v="0"/>
    <x v="6"/>
    <x v="4"/>
    <x v="0"/>
    <x v="2"/>
    <x v="6"/>
    <x v="0"/>
    <x v="1"/>
  </r>
  <r>
    <x v="0"/>
    <x v="7"/>
    <x v="0"/>
    <x v="0"/>
    <x v="5"/>
    <x v="0"/>
    <x v="0"/>
    <x v="2"/>
  </r>
  <r>
    <x v="0"/>
    <x v="8"/>
    <x v="1"/>
    <x v="0"/>
    <x v="1"/>
    <x v="0"/>
    <x v="2"/>
    <x v="3"/>
  </r>
  <r>
    <x v="0"/>
    <x v="9"/>
    <x v="5"/>
    <x v="0"/>
    <x v="2"/>
    <x v="4"/>
    <x v="0"/>
    <x v="4"/>
  </r>
  <r>
    <x v="0"/>
    <x v="10"/>
    <x v="6"/>
    <x v="0"/>
    <x v="2"/>
    <x v="6"/>
    <x v="1"/>
    <x v="5"/>
  </r>
  <r>
    <x v="0"/>
    <x v="11"/>
    <x v="7"/>
    <x v="1"/>
    <x v="4"/>
    <x v="7"/>
    <x v="0"/>
    <x v="1"/>
  </r>
  <r>
    <x v="1"/>
    <x v="0"/>
    <x v="8"/>
    <x v="2"/>
    <x v="6"/>
    <x v="8"/>
    <x v="3"/>
    <x v="1"/>
  </r>
  <r>
    <x v="1"/>
    <x v="1"/>
    <x v="9"/>
    <x v="3"/>
    <x v="7"/>
    <x v="9"/>
    <x v="4"/>
    <x v="6"/>
  </r>
  <r>
    <x v="1"/>
    <x v="2"/>
    <x v="10"/>
    <x v="4"/>
    <x v="8"/>
    <x v="10"/>
    <x v="5"/>
    <x v="7"/>
  </r>
  <r>
    <x v="1"/>
    <x v="3"/>
    <x v="11"/>
    <x v="5"/>
    <x v="9"/>
    <x v="11"/>
    <x v="6"/>
    <x v="8"/>
  </r>
  <r>
    <x v="1"/>
    <x v="4"/>
    <x v="12"/>
    <x v="6"/>
    <x v="10"/>
    <x v="12"/>
    <x v="7"/>
    <x v="9"/>
  </r>
  <r>
    <x v="1"/>
    <x v="5"/>
    <x v="13"/>
    <x v="7"/>
    <x v="11"/>
    <x v="13"/>
    <x v="8"/>
    <x v="9"/>
  </r>
  <r>
    <x v="1"/>
    <x v="6"/>
    <x v="14"/>
    <x v="8"/>
    <x v="12"/>
    <x v="14"/>
    <x v="9"/>
    <x v="10"/>
  </r>
  <r>
    <x v="1"/>
    <x v="7"/>
    <x v="15"/>
    <x v="9"/>
    <x v="13"/>
    <x v="15"/>
    <x v="10"/>
    <x v="11"/>
  </r>
  <r>
    <x v="1"/>
    <x v="8"/>
    <x v="16"/>
    <x v="10"/>
    <x v="14"/>
    <x v="16"/>
    <x v="11"/>
    <x v="12"/>
  </r>
  <r>
    <x v="1"/>
    <x v="9"/>
    <x v="17"/>
    <x v="11"/>
    <x v="15"/>
    <x v="17"/>
    <x v="12"/>
    <x v="13"/>
  </r>
  <r>
    <x v="1"/>
    <x v="10"/>
    <x v="18"/>
    <x v="12"/>
    <x v="16"/>
    <x v="18"/>
    <x v="13"/>
    <x v="14"/>
  </r>
  <r>
    <x v="1"/>
    <x v="11"/>
    <x v="19"/>
    <x v="13"/>
    <x v="17"/>
    <x v="19"/>
    <x v="14"/>
    <x v="15"/>
  </r>
</pivotCacheRecords>
</file>

<file path=xl/pivotCache/pivotCacheRecords27.xml><?xml version="1.0" encoding="utf-8"?>
<pivotCacheRecords xmlns="http://schemas.openxmlformats.org/spreadsheetml/2006/main" xmlns:r="http://schemas.openxmlformats.org/officeDocument/2006/relationships" count="24">
  <r>
    <x v="0"/>
    <x v="0"/>
    <x v="0"/>
    <x v="0"/>
    <x v="0"/>
    <x v="0"/>
    <x v="0"/>
  </r>
  <r>
    <x v="0"/>
    <x v="1"/>
    <x v="1"/>
    <x v="1"/>
    <x v="1"/>
    <x v="1"/>
    <x v="1"/>
  </r>
  <r>
    <x v="0"/>
    <x v="2"/>
    <x v="2"/>
    <x v="2"/>
    <x v="2"/>
    <x v="2"/>
    <x v="0"/>
  </r>
  <r>
    <x v="0"/>
    <x v="3"/>
    <x v="3"/>
    <x v="3"/>
    <x v="3"/>
    <x v="3"/>
    <x v="2"/>
  </r>
  <r>
    <x v="0"/>
    <x v="4"/>
    <x v="4"/>
    <x v="4"/>
    <x v="4"/>
    <x v="4"/>
    <x v="3"/>
  </r>
  <r>
    <x v="0"/>
    <x v="5"/>
    <x v="5"/>
    <x v="4"/>
    <x v="5"/>
    <x v="5"/>
    <x v="4"/>
  </r>
  <r>
    <x v="0"/>
    <x v="6"/>
    <x v="6"/>
    <x v="5"/>
    <x v="3"/>
    <x v="6"/>
    <x v="5"/>
  </r>
  <r>
    <x v="0"/>
    <x v="7"/>
    <x v="7"/>
    <x v="6"/>
    <x v="6"/>
    <x v="7"/>
    <x v="6"/>
  </r>
  <r>
    <x v="0"/>
    <x v="8"/>
    <x v="8"/>
    <x v="7"/>
    <x v="7"/>
    <x v="8"/>
    <x v="7"/>
  </r>
  <r>
    <x v="0"/>
    <x v="9"/>
    <x v="9"/>
    <x v="8"/>
    <x v="8"/>
    <x v="9"/>
    <x v="8"/>
  </r>
  <r>
    <x v="0"/>
    <x v="10"/>
    <x v="10"/>
    <x v="9"/>
    <x v="9"/>
    <x v="10"/>
    <x v="9"/>
  </r>
  <r>
    <x v="0"/>
    <x v="11"/>
    <x v="11"/>
    <x v="10"/>
    <x v="10"/>
    <x v="11"/>
    <x v="10"/>
  </r>
  <r>
    <x v="1"/>
    <x v="0"/>
    <x v="12"/>
    <x v="11"/>
    <x v="11"/>
    <x v="12"/>
    <x v="11"/>
  </r>
  <r>
    <x v="1"/>
    <x v="1"/>
    <x v="13"/>
    <x v="12"/>
    <x v="12"/>
    <x v="13"/>
    <x v="12"/>
  </r>
  <r>
    <x v="1"/>
    <x v="2"/>
    <x v="14"/>
    <x v="13"/>
    <x v="13"/>
    <x v="14"/>
    <x v="13"/>
  </r>
  <r>
    <x v="1"/>
    <x v="3"/>
    <x v="15"/>
    <x v="14"/>
    <x v="14"/>
    <x v="15"/>
    <x v="14"/>
  </r>
  <r>
    <x v="1"/>
    <x v="4"/>
    <x v="16"/>
    <x v="15"/>
    <x v="15"/>
    <x v="16"/>
    <x v="15"/>
  </r>
  <r>
    <x v="1"/>
    <x v="5"/>
    <x v="17"/>
    <x v="16"/>
    <x v="16"/>
    <x v="15"/>
    <x v="16"/>
  </r>
  <r>
    <x v="1"/>
    <x v="6"/>
    <x v="18"/>
    <x v="17"/>
    <x v="17"/>
    <x v="17"/>
    <x v="17"/>
  </r>
  <r>
    <x v="1"/>
    <x v="7"/>
    <x v="19"/>
    <x v="18"/>
    <x v="18"/>
    <x v="18"/>
    <x v="18"/>
  </r>
  <r>
    <x v="1"/>
    <x v="8"/>
    <x v="17"/>
    <x v="19"/>
    <x v="19"/>
    <x v="19"/>
    <x v="19"/>
  </r>
  <r>
    <x v="1"/>
    <x v="9"/>
    <x v="20"/>
    <x v="20"/>
    <x v="20"/>
    <x v="20"/>
    <x v="20"/>
  </r>
  <r>
    <x v="1"/>
    <x v="10"/>
    <x v="21"/>
    <x v="21"/>
    <x v="21"/>
    <x v="21"/>
    <x v="21"/>
  </r>
  <r>
    <x v="1"/>
    <x v="11"/>
    <x v="22"/>
    <x v="22"/>
    <x v="22"/>
    <x v="22"/>
    <x v="22"/>
  </r>
</pivotCacheRecords>
</file>

<file path=xl/pivotCache/pivotCacheRecords28.xml><?xml version="1.0" encoding="utf-8"?>
<pivotCacheRecords xmlns="http://schemas.openxmlformats.org/spreadsheetml/2006/main" xmlns:r="http://schemas.openxmlformats.org/officeDocument/2006/relationships" count="36">
  <r>
    <x v="0"/>
    <x v="0"/>
    <x v="0"/>
    <n v="28"/>
  </r>
  <r>
    <x v="0"/>
    <x v="1"/>
    <x v="0"/>
    <n v="22"/>
  </r>
  <r>
    <x v="0"/>
    <x v="2"/>
    <x v="0"/>
    <n v="26"/>
  </r>
  <r>
    <x v="0"/>
    <x v="3"/>
    <x v="0"/>
    <n v="22"/>
  </r>
  <r>
    <x v="0"/>
    <x v="4"/>
    <x v="0"/>
    <n v="13"/>
  </r>
  <r>
    <x v="0"/>
    <x v="5"/>
    <x v="0"/>
    <n v="13"/>
  </r>
  <r>
    <x v="0"/>
    <x v="6"/>
    <x v="0"/>
    <n v="28"/>
  </r>
  <r>
    <x v="0"/>
    <x v="7"/>
    <x v="0"/>
    <n v="19"/>
  </r>
  <r>
    <x v="0"/>
    <x v="8"/>
    <x v="0"/>
    <n v="22"/>
  </r>
  <r>
    <x v="0"/>
    <x v="9"/>
    <x v="0"/>
    <n v="14"/>
  </r>
  <r>
    <x v="0"/>
    <x v="10"/>
    <x v="0"/>
    <n v="12"/>
  </r>
  <r>
    <x v="0"/>
    <x v="11"/>
    <x v="0"/>
    <n v="22"/>
  </r>
  <r>
    <x v="1"/>
    <x v="0"/>
    <x v="1"/>
    <n v="414"/>
  </r>
  <r>
    <x v="1"/>
    <x v="1"/>
    <x v="1"/>
    <n v="462"/>
  </r>
  <r>
    <x v="1"/>
    <x v="2"/>
    <x v="1"/>
    <n v="434"/>
  </r>
  <r>
    <x v="1"/>
    <x v="3"/>
    <x v="1"/>
    <n v="390"/>
  </r>
  <r>
    <x v="1"/>
    <x v="4"/>
    <x v="1"/>
    <n v="439"/>
  </r>
  <r>
    <x v="1"/>
    <x v="5"/>
    <x v="1"/>
    <n v="355"/>
  </r>
  <r>
    <x v="1"/>
    <x v="6"/>
    <x v="1"/>
    <n v="403"/>
  </r>
  <r>
    <x v="1"/>
    <x v="7"/>
    <x v="1"/>
    <n v="447"/>
  </r>
  <r>
    <x v="1"/>
    <x v="8"/>
    <x v="1"/>
    <n v="416"/>
  </r>
  <r>
    <x v="1"/>
    <x v="9"/>
    <x v="1"/>
    <n v="373"/>
  </r>
  <r>
    <x v="1"/>
    <x v="10"/>
    <x v="1"/>
    <n v="344"/>
  </r>
  <r>
    <x v="1"/>
    <x v="11"/>
    <x v="1"/>
    <n v="288"/>
  </r>
  <r>
    <x v="2"/>
    <x v="0"/>
    <x v="2"/>
    <n v="533"/>
  </r>
  <r>
    <x v="2"/>
    <x v="1"/>
    <x v="2"/>
    <n v="470"/>
  </r>
  <r>
    <x v="2"/>
    <x v="2"/>
    <x v="2"/>
    <n v="412"/>
  </r>
  <r>
    <x v="2"/>
    <x v="3"/>
    <x v="2"/>
    <n v="415"/>
  </r>
  <r>
    <x v="2"/>
    <x v="4"/>
    <x v="2"/>
    <n v="274"/>
  </r>
  <r>
    <x v="2"/>
    <x v="5"/>
    <x v="2"/>
    <n v="264"/>
  </r>
  <r>
    <x v="2"/>
    <x v="6"/>
    <x v="2"/>
    <n v="272"/>
  </r>
  <r>
    <x v="2"/>
    <x v="7"/>
    <x v="2"/>
    <n v="189"/>
  </r>
  <r>
    <x v="2"/>
    <x v="8"/>
    <x v="2"/>
    <n v="257"/>
  </r>
  <r>
    <x v="2"/>
    <x v="9"/>
    <x v="2"/>
    <n v="220"/>
  </r>
  <r>
    <x v="2"/>
    <x v="10"/>
    <x v="2"/>
    <n v="199"/>
  </r>
  <r>
    <x v="2"/>
    <x v="11"/>
    <x v="2"/>
    <n v="214"/>
  </r>
</pivotCacheRecords>
</file>

<file path=xl/pivotCache/pivotCacheRecords29.xml><?xml version="1.0" encoding="utf-8"?>
<pivotCacheRecords xmlns="http://schemas.openxmlformats.org/spreadsheetml/2006/main" xmlns:r="http://schemas.openxmlformats.org/officeDocument/2006/relationships" count="451">
  <r>
    <x v="0"/>
    <x v="0"/>
    <x v="0"/>
    <x v="0"/>
    <n v="5"/>
    <x v="0"/>
    <x v="0"/>
    <n v="1053621"/>
  </r>
  <r>
    <x v="1"/>
    <x v="0"/>
    <x v="0"/>
    <x v="1"/>
    <n v="1"/>
    <x v="0"/>
    <x v="0"/>
    <n v="1053621"/>
  </r>
  <r>
    <x v="1"/>
    <x v="0"/>
    <x v="0"/>
    <x v="2"/>
    <n v="14"/>
    <x v="0"/>
    <x v="0"/>
    <n v="1053621"/>
  </r>
  <r>
    <x v="0"/>
    <x v="0"/>
    <x v="0"/>
    <x v="2"/>
    <n v="449"/>
    <x v="0"/>
    <x v="0"/>
    <n v="1053621"/>
  </r>
  <r>
    <x v="0"/>
    <x v="0"/>
    <x v="0"/>
    <x v="1"/>
    <n v="19"/>
    <x v="0"/>
    <x v="0"/>
    <n v="1053621"/>
  </r>
  <r>
    <x v="0"/>
    <x v="0"/>
    <x v="0"/>
    <x v="3"/>
    <n v="2"/>
    <x v="0"/>
    <x v="0"/>
    <n v="1053621"/>
  </r>
  <r>
    <x v="2"/>
    <x v="0"/>
    <x v="0"/>
    <x v="2"/>
    <n v="337"/>
    <x v="0"/>
    <x v="0"/>
    <n v="1053621"/>
  </r>
  <r>
    <x v="2"/>
    <x v="0"/>
    <x v="0"/>
    <x v="0"/>
    <n v="4"/>
    <x v="0"/>
    <x v="0"/>
    <n v="1053621"/>
  </r>
  <r>
    <x v="2"/>
    <x v="0"/>
    <x v="0"/>
    <x v="3"/>
    <n v="2"/>
    <x v="0"/>
    <x v="0"/>
    <n v="1053621"/>
  </r>
  <r>
    <x v="2"/>
    <x v="0"/>
    <x v="0"/>
    <x v="1"/>
    <n v="14"/>
    <x v="0"/>
    <x v="0"/>
    <n v="1053621"/>
  </r>
  <r>
    <x v="0"/>
    <x v="0"/>
    <x v="1"/>
    <x v="1"/>
    <n v="29"/>
    <x v="0"/>
    <x v="1"/>
    <n v="1052734"/>
  </r>
  <r>
    <x v="1"/>
    <x v="0"/>
    <x v="1"/>
    <x v="0"/>
    <n v="1"/>
    <x v="0"/>
    <x v="1"/>
    <n v="1052734"/>
  </r>
  <r>
    <x v="1"/>
    <x v="0"/>
    <x v="1"/>
    <x v="1"/>
    <n v="1"/>
    <x v="0"/>
    <x v="1"/>
    <n v="1052734"/>
  </r>
  <r>
    <x v="0"/>
    <x v="0"/>
    <x v="1"/>
    <x v="0"/>
    <n v="10"/>
    <x v="0"/>
    <x v="1"/>
    <n v="1052734"/>
  </r>
  <r>
    <x v="1"/>
    <x v="0"/>
    <x v="1"/>
    <x v="2"/>
    <n v="6"/>
    <x v="0"/>
    <x v="1"/>
    <n v="1052734"/>
  </r>
  <r>
    <x v="0"/>
    <x v="0"/>
    <x v="1"/>
    <x v="3"/>
    <n v="11"/>
    <x v="0"/>
    <x v="1"/>
    <n v="1052734"/>
  </r>
  <r>
    <x v="0"/>
    <x v="0"/>
    <x v="1"/>
    <x v="2"/>
    <n v="266"/>
    <x v="0"/>
    <x v="1"/>
    <n v="1052734"/>
  </r>
  <r>
    <x v="2"/>
    <x v="0"/>
    <x v="1"/>
    <x v="0"/>
    <n v="9"/>
    <x v="0"/>
    <x v="1"/>
    <n v="1052734"/>
  </r>
  <r>
    <x v="2"/>
    <x v="0"/>
    <x v="1"/>
    <x v="2"/>
    <n v="205"/>
    <x v="0"/>
    <x v="1"/>
    <n v="1052734"/>
  </r>
  <r>
    <x v="2"/>
    <x v="0"/>
    <x v="1"/>
    <x v="1"/>
    <n v="26"/>
    <x v="0"/>
    <x v="1"/>
    <n v="1052734"/>
  </r>
  <r>
    <x v="2"/>
    <x v="0"/>
    <x v="1"/>
    <x v="3"/>
    <n v="8"/>
    <x v="0"/>
    <x v="1"/>
    <n v="1052734"/>
  </r>
  <r>
    <x v="2"/>
    <x v="0"/>
    <x v="2"/>
    <x v="2"/>
    <n v="162"/>
    <x v="0"/>
    <x v="2"/>
    <n v="1061383"/>
  </r>
  <r>
    <x v="0"/>
    <x v="0"/>
    <x v="2"/>
    <x v="2"/>
    <n v="204"/>
    <x v="0"/>
    <x v="2"/>
    <n v="1061383"/>
  </r>
  <r>
    <x v="0"/>
    <x v="0"/>
    <x v="2"/>
    <x v="1"/>
    <n v="18"/>
    <x v="0"/>
    <x v="2"/>
    <n v="1061383"/>
  </r>
  <r>
    <x v="0"/>
    <x v="0"/>
    <x v="2"/>
    <x v="3"/>
    <n v="10"/>
    <x v="0"/>
    <x v="2"/>
    <n v="1061383"/>
  </r>
  <r>
    <x v="0"/>
    <x v="0"/>
    <x v="2"/>
    <x v="0"/>
    <n v="5"/>
    <x v="0"/>
    <x v="2"/>
    <n v="1061383"/>
  </r>
  <r>
    <x v="2"/>
    <x v="0"/>
    <x v="2"/>
    <x v="1"/>
    <n v="18"/>
    <x v="0"/>
    <x v="2"/>
    <n v="1061383"/>
  </r>
  <r>
    <x v="2"/>
    <x v="0"/>
    <x v="2"/>
    <x v="3"/>
    <n v="10"/>
    <x v="0"/>
    <x v="2"/>
    <n v="1061383"/>
  </r>
  <r>
    <x v="2"/>
    <x v="0"/>
    <x v="2"/>
    <x v="0"/>
    <n v="5"/>
    <x v="0"/>
    <x v="2"/>
    <n v="1061383"/>
  </r>
  <r>
    <x v="1"/>
    <x v="0"/>
    <x v="2"/>
    <x v="2"/>
    <n v="10"/>
    <x v="0"/>
    <x v="2"/>
    <n v="1061383"/>
  </r>
  <r>
    <x v="2"/>
    <x v="0"/>
    <x v="3"/>
    <x v="3"/>
    <n v="9"/>
    <x v="0"/>
    <x v="3"/>
    <n v="1060010"/>
  </r>
  <r>
    <x v="0"/>
    <x v="0"/>
    <x v="3"/>
    <x v="0"/>
    <n v="5"/>
    <x v="0"/>
    <x v="3"/>
    <n v="1060010"/>
  </r>
  <r>
    <x v="0"/>
    <x v="0"/>
    <x v="3"/>
    <x v="3"/>
    <n v="9"/>
    <x v="0"/>
    <x v="3"/>
    <n v="1060010"/>
  </r>
  <r>
    <x v="2"/>
    <x v="0"/>
    <x v="3"/>
    <x v="1"/>
    <n v="16"/>
    <x v="0"/>
    <x v="3"/>
    <n v="1060010"/>
  </r>
  <r>
    <x v="2"/>
    <x v="0"/>
    <x v="3"/>
    <x v="0"/>
    <n v="5"/>
    <x v="0"/>
    <x v="3"/>
    <n v="1060010"/>
  </r>
  <r>
    <x v="0"/>
    <x v="0"/>
    <x v="3"/>
    <x v="1"/>
    <n v="20"/>
    <x v="0"/>
    <x v="3"/>
    <n v="1060010"/>
  </r>
  <r>
    <x v="0"/>
    <x v="0"/>
    <x v="3"/>
    <x v="2"/>
    <n v="152"/>
    <x v="0"/>
    <x v="3"/>
    <n v="1060010"/>
  </r>
  <r>
    <x v="1"/>
    <x v="0"/>
    <x v="3"/>
    <x v="2"/>
    <n v="6"/>
    <x v="0"/>
    <x v="3"/>
    <n v="1060010"/>
  </r>
  <r>
    <x v="1"/>
    <x v="0"/>
    <x v="3"/>
    <x v="3"/>
    <n v="2"/>
    <x v="0"/>
    <x v="3"/>
    <n v="1060010"/>
  </r>
  <r>
    <x v="2"/>
    <x v="0"/>
    <x v="3"/>
    <x v="2"/>
    <n v="131"/>
    <x v="0"/>
    <x v="3"/>
    <n v="1060010"/>
  </r>
  <r>
    <x v="0"/>
    <x v="0"/>
    <x v="4"/>
    <x v="0"/>
    <n v="1"/>
    <x v="0"/>
    <x v="4"/>
    <n v="1085852"/>
  </r>
  <r>
    <x v="0"/>
    <x v="0"/>
    <x v="4"/>
    <x v="2"/>
    <n v="95"/>
    <x v="0"/>
    <x v="4"/>
    <n v="1085852"/>
  </r>
  <r>
    <x v="0"/>
    <x v="0"/>
    <x v="4"/>
    <x v="1"/>
    <n v="6"/>
    <x v="0"/>
    <x v="4"/>
    <n v="1085852"/>
  </r>
  <r>
    <x v="2"/>
    <x v="0"/>
    <x v="4"/>
    <x v="3"/>
    <n v="3"/>
    <x v="0"/>
    <x v="4"/>
    <n v="1085852"/>
  </r>
  <r>
    <x v="0"/>
    <x v="0"/>
    <x v="4"/>
    <x v="3"/>
    <n v="3"/>
    <x v="0"/>
    <x v="4"/>
    <n v="1085852"/>
  </r>
  <r>
    <x v="2"/>
    <x v="0"/>
    <x v="4"/>
    <x v="1"/>
    <n v="4"/>
    <x v="0"/>
    <x v="4"/>
    <n v="1085852"/>
  </r>
  <r>
    <x v="1"/>
    <x v="0"/>
    <x v="4"/>
    <x v="2"/>
    <n v="4"/>
    <x v="0"/>
    <x v="4"/>
    <n v="1085852"/>
  </r>
  <r>
    <x v="1"/>
    <x v="0"/>
    <x v="4"/>
    <x v="0"/>
    <n v="1"/>
    <x v="0"/>
    <x v="4"/>
    <n v="1085852"/>
  </r>
  <r>
    <x v="2"/>
    <x v="0"/>
    <x v="4"/>
    <x v="2"/>
    <n v="88"/>
    <x v="0"/>
    <x v="4"/>
    <n v="1085852"/>
  </r>
  <r>
    <x v="2"/>
    <x v="0"/>
    <x v="4"/>
    <x v="0"/>
    <n v="1"/>
    <x v="0"/>
    <x v="4"/>
    <n v="1085852"/>
  </r>
  <r>
    <x v="2"/>
    <x v="1"/>
    <x v="0"/>
    <x v="1"/>
    <n v="12"/>
    <x v="1"/>
    <x v="0"/>
    <n v="1052242"/>
  </r>
  <r>
    <x v="2"/>
    <x v="1"/>
    <x v="0"/>
    <x v="2"/>
    <n v="383"/>
    <x v="1"/>
    <x v="0"/>
    <n v="1052242"/>
  </r>
  <r>
    <x v="0"/>
    <x v="1"/>
    <x v="0"/>
    <x v="1"/>
    <n v="18"/>
    <x v="1"/>
    <x v="0"/>
    <n v="1052242"/>
  </r>
  <r>
    <x v="0"/>
    <x v="1"/>
    <x v="0"/>
    <x v="0"/>
    <n v="8"/>
    <x v="1"/>
    <x v="0"/>
    <n v="1052242"/>
  </r>
  <r>
    <x v="0"/>
    <x v="1"/>
    <x v="0"/>
    <x v="3"/>
    <n v="2"/>
    <x v="1"/>
    <x v="0"/>
    <n v="1052242"/>
  </r>
  <r>
    <x v="0"/>
    <x v="1"/>
    <x v="0"/>
    <x v="2"/>
    <n v="473"/>
    <x v="1"/>
    <x v="0"/>
    <n v="1052242"/>
  </r>
  <r>
    <x v="1"/>
    <x v="1"/>
    <x v="0"/>
    <x v="2"/>
    <n v="16"/>
    <x v="1"/>
    <x v="0"/>
    <n v="1052242"/>
  </r>
  <r>
    <x v="2"/>
    <x v="1"/>
    <x v="0"/>
    <x v="0"/>
    <n v="3"/>
    <x v="1"/>
    <x v="0"/>
    <n v="1052242"/>
  </r>
  <r>
    <x v="2"/>
    <x v="1"/>
    <x v="0"/>
    <x v="3"/>
    <n v="2"/>
    <x v="1"/>
    <x v="0"/>
    <n v="1052242"/>
  </r>
  <r>
    <x v="1"/>
    <x v="1"/>
    <x v="1"/>
    <x v="2"/>
    <n v="5"/>
    <x v="1"/>
    <x v="1"/>
    <n v="1051706"/>
  </r>
  <r>
    <x v="0"/>
    <x v="1"/>
    <x v="1"/>
    <x v="3"/>
    <n v="7"/>
    <x v="1"/>
    <x v="1"/>
    <n v="1051706"/>
  </r>
  <r>
    <x v="2"/>
    <x v="1"/>
    <x v="1"/>
    <x v="2"/>
    <n v="212"/>
    <x v="1"/>
    <x v="1"/>
    <n v="1051706"/>
  </r>
  <r>
    <x v="0"/>
    <x v="1"/>
    <x v="1"/>
    <x v="0"/>
    <n v="4"/>
    <x v="1"/>
    <x v="1"/>
    <n v="1051706"/>
  </r>
  <r>
    <x v="2"/>
    <x v="1"/>
    <x v="1"/>
    <x v="1"/>
    <n v="24"/>
    <x v="1"/>
    <x v="1"/>
    <n v="1051706"/>
  </r>
  <r>
    <x v="2"/>
    <x v="1"/>
    <x v="1"/>
    <x v="3"/>
    <n v="4"/>
    <x v="1"/>
    <x v="1"/>
    <n v="1051706"/>
  </r>
  <r>
    <x v="2"/>
    <x v="1"/>
    <x v="1"/>
    <x v="0"/>
    <n v="3"/>
    <x v="1"/>
    <x v="1"/>
    <n v="1051706"/>
  </r>
  <r>
    <x v="0"/>
    <x v="1"/>
    <x v="1"/>
    <x v="1"/>
    <n v="24"/>
    <x v="1"/>
    <x v="1"/>
    <n v="1051706"/>
  </r>
  <r>
    <x v="0"/>
    <x v="1"/>
    <x v="1"/>
    <x v="2"/>
    <n v="269"/>
    <x v="1"/>
    <x v="1"/>
    <n v="1051706"/>
  </r>
  <r>
    <x v="0"/>
    <x v="1"/>
    <x v="2"/>
    <x v="0"/>
    <n v="12"/>
    <x v="1"/>
    <x v="2"/>
    <n v="1062201"/>
  </r>
  <r>
    <x v="1"/>
    <x v="1"/>
    <x v="2"/>
    <x v="2"/>
    <n v="3"/>
    <x v="1"/>
    <x v="2"/>
    <n v="1062201"/>
  </r>
  <r>
    <x v="0"/>
    <x v="1"/>
    <x v="2"/>
    <x v="3"/>
    <n v="11"/>
    <x v="1"/>
    <x v="2"/>
    <n v="1062201"/>
  </r>
  <r>
    <x v="2"/>
    <x v="1"/>
    <x v="2"/>
    <x v="2"/>
    <n v="161"/>
    <x v="1"/>
    <x v="2"/>
    <n v="1062201"/>
  </r>
  <r>
    <x v="2"/>
    <x v="1"/>
    <x v="2"/>
    <x v="1"/>
    <n v="15"/>
    <x v="1"/>
    <x v="2"/>
    <n v="1062201"/>
  </r>
  <r>
    <x v="2"/>
    <x v="1"/>
    <x v="2"/>
    <x v="0"/>
    <n v="11"/>
    <x v="1"/>
    <x v="2"/>
    <n v="1062201"/>
  </r>
  <r>
    <x v="0"/>
    <x v="1"/>
    <x v="2"/>
    <x v="1"/>
    <n v="17"/>
    <x v="1"/>
    <x v="2"/>
    <n v="1062201"/>
  </r>
  <r>
    <x v="0"/>
    <x v="1"/>
    <x v="2"/>
    <x v="2"/>
    <n v="182"/>
    <x v="1"/>
    <x v="2"/>
    <n v="1062201"/>
  </r>
  <r>
    <x v="1"/>
    <x v="1"/>
    <x v="2"/>
    <x v="1"/>
    <n v="1"/>
    <x v="1"/>
    <x v="2"/>
    <n v="1062201"/>
  </r>
  <r>
    <x v="2"/>
    <x v="1"/>
    <x v="2"/>
    <x v="3"/>
    <n v="10"/>
    <x v="1"/>
    <x v="2"/>
    <n v="1062201"/>
  </r>
  <r>
    <x v="0"/>
    <x v="1"/>
    <x v="3"/>
    <x v="2"/>
    <n v="133"/>
    <x v="1"/>
    <x v="3"/>
    <n v="1066971"/>
  </r>
  <r>
    <x v="0"/>
    <x v="1"/>
    <x v="3"/>
    <x v="1"/>
    <n v="17"/>
    <x v="1"/>
    <x v="3"/>
    <n v="1066971"/>
  </r>
  <r>
    <x v="0"/>
    <x v="1"/>
    <x v="3"/>
    <x v="3"/>
    <n v="17"/>
    <x v="1"/>
    <x v="3"/>
    <n v="1066971"/>
  </r>
  <r>
    <x v="0"/>
    <x v="1"/>
    <x v="3"/>
    <x v="0"/>
    <n v="6"/>
    <x v="1"/>
    <x v="3"/>
    <n v="1066971"/>
  </r>
  <r>
    <x v="2"/>
    <x v="1"/>
    <x v="3"/>
    <x v="2"/>
    <n v="109"/>
    <x v="1"/>
    <x v="3"/>
    <n v="1066971"/>
  </r>
  <r>
    <x v="2"/>
    <x v="1"/>
    <x v="3"/>
    <x v="1"/>
    <n v="17"/>
    <x v="1"/>
    <x v="3"/>
    <n v="1066971"/>
  </r>
  <r>
    <x v="2"/>
    <x v="1"/>
    <x v="3"/>
    <x v="3"/>
    <n v="17"/>
    <x v="1"/>
    <x v="3"/>
    <n v="1066971"/>
  </r>
  <r>
    <x v="2"/>
    <x v="1"/>
    <x v="3"/>
    <x v="0"/>
    <n v="4"/>
    <x v="1"/>
    <x v="3"/>
    <n v="1066971"/>
  </r>
  <r>
    <x v="1"/>
    <x v="1"/>
    <x v="3"/>
    <x v="2"/>
    <n v="3"/>
    <x v="1"/>
    <x v="3"/>
    <n v="1066971"/>
  </r>
  <r>
    <x v="0"/>
    <x v="1"/>
    <x v="4"/>
    <x v="0"/>
    <n v="4"/>
    <x v="1"/>
    <x v="4"/>
    <n v="1094580"/>
  </r>
  <r>
    <x v="1"/>
    <x v="1"/>
    <x v="4"/>
    <x v="3"/>
    <n v="1"/>
    <x v="1"/>
    <x v="4"/>
    <n v="1094580"/>
  </r>
  <r>
    <x v="2"/>
    <x v="1"/>
    <x v="4"/>
    <x v="2"/>
    <n v="77"/>
    <x v="1"/>
    <x v="4"/>
    <n v="1094580"/>
  </r>
  <r>
    <x v="0"/>
    <x v="1"/>
    <x v="4"/>
    <x v="2"/>
    <n v="83"/>
    <x v="1"/>
    <x v="4"/>
    <n v="1094580"/>
  </r>
  <r>
    <x v="0"/>
    <x v="1"/>
    <x v="4"/>
    <x v="1"/>
    <n v="10"/>
    <x v="1"/>
    <x v="4"/>
    <n v="1094580"/>
  </r>
  <r>
    <x v="0"/>
    <x v="1"/>
    <x v="4"/>
    <x v="3"/>
    <n v="13"/>
    <x v="1"/>
    <x v="4"/>
    <n v="1094580"/>
  </r>
  <r>
    <x v="2"/>
    <x v="1"/>
    <x v="4"/>
    <x v="0"/>
    <n v="4"/>
    <x v="1"/>
    <x v="4"/>
    <n v="1094580"/>
  </r>
  <r>
    <x v="1"/>
    <x v="1"/>
    <x v="4"/>
    <x v="2"/>
    <n v="2"/>
    <x v="1"/>
    <x v="4"/>
    <n v="1094580"/>
  </r>
  <r>
    <x v="2"/>
    <x v="1"/>
    <x v="4"/>
    <x v="3"/>
    <n v="13"/>
    <x v="1"/>
    <x v="4"/>
    <n v="1094580"/>
  </r>
  <r>
    <x v="2"/>
    <x v="1"/>
    <x v="4"/>
    <x v="1"/>
    <n v="8"/>
    <x v="1"/>
    <x v="4"/>
    <n v="1094580"/>
  </r>
  <r>
    <x v="0"/>
    <x v="2"/>
    <x v="5"/>
    <x v="0"/>
    <n v="1"/>
    <x v="2"/>
    <x v="5"/>
    <m/>
  </r>
  <r>
    <x v="0"/>
    <x v="2"/>
    <x v="0"/>
    <x v="0"/>
    <n v="7"/>
    <x v="3"/>
    <x v="0"/>
    <n v="1051892"/>
  </r>
  <r>
    <x v="0"/>
    <x v="2"/>
    <x v="0"/>
    <x v="3"/>
    <n v="7"/>
    <x v="3"/>
    <x v="0"/>
    <n v="1051892"/>
  </r>
  <r>
    <x v="0"/>
    <x v="2"/>
    <x v="0"/>
    <x v="1"/>
    <n v="16"/>
    <x v="3"/>
    <x v="0"/>
    <n v="1051892"/>
  </r>
  <r>
    <x v="2"/>
    <x v="2"/>
    <x v="0"/>
    <x v="0"/>
    <n v="4"/>
    <x v="3"/>
    <x v="0"/>
    <n v="1051892"/>
  </r>
  <r>
    <x v="2"/>
    <x v="2"/>
    <x v="0"/>
    <x v="1"/>
    <n v="12"/>
    <x v="3"/>
    <x v="0"/>
    <n v="1051892"/>
  </r>
  <r>
    <x v="2"/>
    <x v="2"/>
    <x v="0"/>
    <x v="3"/>
    <n v="5"/>
    <x v="3"/>
    <x v="0"/>
    <n v="1051892"/>
  </r>
  <r>
    <x v="0"/>
    <x v="2"/>
    <x v="0"/>
    <x v="2"/>
    <n v="390"/>
    <x v="3"/>
    <x v="0"/>
    <n v="1051892"/>
  </r>
  <r>
    <x v="2"/>
    <x v="2"/>
    <x v="0"/>
    <x v="2"/>
    <n v="311"/>
    <x v="3"/>
    <x v="0"/>
    <n v="1051892"/>
  </r>
  <r>
    <x v="1"/>
    <x v="2"/>
    <x v="0"/>
    <x v="1"/>
    <n v="2"/>
    <x v="3"/>
    <x v="0"/>
    <n v="1051892"/>
  </r>
  <r>
    <x v="1"/>
    <x v="2"/>
    <x v="0"/>
    <x v="2"/>
    <n v="10"/>
    <x v="3"/>
    <x v="0"/>
    <n v="1051892"/>
  </r>
  <r>
    <x v="1"/>
    <x v="2"/>
    <x v="1"/>
    <x v="1"/>
    <n v="1"/>
    <x v="3"/>
    <x v="1"/>
    <n v="1052469"/>
  </r>
  <r>
    <x v="0"/>
    <x v="2"/>
    <x v="1"/>
    <x v="0"/>
    <n v="4"/>
    <x v="3"/>
    <x v="1"/>
    <n v="1052469"/>
  </r>
  <r>
    <x v="0"/>
    <x v="2"/>
    <x v="1"/>
    <x v="3"/>
    <n v="6"/>
    <x v="3"/>
    <x v="1"/>
    <n v="1052469"/>
  </r>
  <r>
    <x v="0"/>
    <x v="2"/>
    <x v="1"/>
    <x v="1"/>
    <n v="22"/>
    <x v="3"/>
    <x v="1"/>
    <n v="1052469"/>
  </r>
  <r>
    <x v="0"/>
    <x v="2"/>
    <x v="1"/>
    <x v="2"/>
    <n v="231"/>
    <x v="3"/>
    <x v="1"/>
    <n v="1052469"/>
  </r>
  <r>
    <x v="1"/>
    <x v="2"/>
    <x v="1"/>
    <x v="0"/>
    <n v="3"/>
    <x v="3"/>
    <x v="1"/>
    <n v="1052469"/>
  </r>
  <r>
    <x v="1"/>
    <x v="2"/>
    <x v="1"/>
    <x v="2"/>
    <n v="5"/>
    <x v="3"/>
    <x v="1"/>
    <n v="1052469"/>
  </r>
  <r>
    <x v="2"/>
    <x v="2"/>
    <x v="1"/>
    <x v="0"/>
    <n v="3"/>
    <x v="3"/>
    <x v="1"/>
    <n v="1052469"/>
  </r>
  <r>
    <x v="2"/>
    <x v="2"/>
    <x v="1"/>
    <x v="1"/>
    <n v="20"/>
    <x v="3"/>
    <x v="1"/>
    <n v="1052469"/>
  </r>
  <r>
    <x v="2"/>
    <x v="2"/>
    <x v="1"/>
    <x v="3"/>
    <n v="5"/>
    <x v="3"/>
    <x v="1"/>
    <n v="1052469"/>
  </r>
  <r>
    <x v="2"/>
    <x v="2"/>
    <x v="1"/>
    <x v="2"/>
    <n v="186"/>
    <x v="3"/>
    <x v="1"/>
    <n v="1052469"/>
  </r>
  <r>
    <x v="0"/>
    <x v="2"/>
    <x v="2"/>
    <x v="0"/>
    <n v="2"/>
    <x v="3"/>
    <x v="2"/>
    <n v="1063532"/>
  </r>
  <r>
    <x v="0"/>
    <x v="2"/>
    <x v="2"/>
    <x v="3"/>
    <n v="8"/>
    <x v="3"/>
    <x v="2"/>
    <n v="1063532"/>
  </r>
  <r>
    <x v="1"/>
    <x v="2"/>
    <x v="2"/>
    <x v="0"/>
    <n v="1"/>
    <x v="3"/>
    <x v="2"/>
    <n v="1063532"/>
  </r>
  <r>
    <x v="2"/>
    <x v="2"/>
    <x v="2"/>
    <x v="0"/>
    <n v="2"/>
    <x v="3"/>
    <x v="2"/>
    <n v="1063532"/>
  </r>
  <r>
    <x v="0"/>
    <x v="2"/>
    <x v="2"/>
    <x v="1"/>
    <n v="23"/>
    <x v="3"/>
    <x v="2"/>
    <n v="1063532"/>
  </r>
  <r>
    <x v="1"/>
    <x v="2"/>
    <x v="2"/>
    <x v="2"/>
    <n v="9"/>
    <x v="3"/>
    <x v="2"/>
    <n v="1063532"/>
  </r>
  <r>
    <x v="2"/>
    <x v="2"/>
    <x v="2"/>
    <x v="2"/>
    <n v="139"/>
    <x v="3"/>
    <x v="2"/>
    <n v="1063532"/>
  </r>
  <r>
    <x v="2"/>
    <x v="2"/>
    <x v="2"/>
    <x v="1"/>
    <n v="18"/>
    <x v="3"/>
    <x v="2"/>
    <n v="1063532"/>
  </r>
  <r>
    <x v="2"/>
    <x v="2"/>
    <x v="2"/>
    <x v="3"/>
    <n v="7"/>
    <x v="3"/>
    <x v="2"/>
    <n v="1063532"/>
  </r>
  <r>
    <x v="0"/>
    <x v="2"/>
    <x v="2"/>
    <x v="2"/>
    <n v="167"/>
    <x v="3"/>
    <x v="2"/>
    <n v="1063532"/>
  </r>
  <r>
    <x v="1"/>
    <x v="2"/>
    <x v="3"/>
    <x v="3"/>
    <n v="1"/>
    <x v="3"/>
    <x v="3"/>
    <n v="1076943"/>
  </r>
  <r>
    <x v="1"/>
    <x v="2"/>
    <x v="3"/>
    <x v="2"/>
    <n v="4"/>
    <x v="3"/>
    <x v="3"/>
    <n v="1076943"/>
  </r>
  <r>
    <x v="1"/>
    <x v="2"/>
    <x v="3"/>
    <x v="0"/>
    <n v="1"/>
    <x v="3"/>
    <x v="3"/>
    <n v="1076943"/>
  </r>
  <r>
    <x v="2"/>
    <x v="2"/>
    <x v="3"/>
    <x v="2"/>
    <n v="82"/>
    <x v="3"/>
    <x v="3"/>
    <n v="1076943"/>
  </r>
  <r>
    <x v="0"/>
    <x v="2"/>
    <x v="3"/>
    <x v="3"/>
    <n v="17"/>
    <x v="3"/>
    <x v="3"/>
    <n v="1076943"/>
  </r>
  <r>
    <x v="0"/>
    <x v="2"/>
    <x v="3"/>
    <x v="0"/>
    <n v="5"/>
    <x v="3"/>
    <x v="3"/>
    <n v="1076943"/>
  </r>
  <r>
    <x v="2"/>
    <x v="2"/>
    <x v="3"/>
    <x v="1"/>
    <n v="19"/>
    <x v="3"/>
    <x v="3"/>
    <n v="1076943"/>
  </r>
  <r>
    <x v="2"/>
    <x v="2"/>
    <x v="3"/>
    <x v="3"/>
    <n v="12"/>
    <x v="3"/>
    <x v="3"/>
    <n v="1076943"/>
  </r>
  <r>
    <x v="2"/>
    <x v="2"/>
    <x v="3"/>
    <x v="0"/>
    <n v="5"/>
    <x v="3"/>
    <x v="3"/>
    <n v="1076943"/>
  </r>
  <r>
    <x v="0"/>
    <x v="2"/>
    <x v="3"/>
    <x v="1"/>
    <n v="19"/>
    <x v="3"/>
    <x v="3"/>
    <n v="1076943"/>
  </r>
  <r>
    <x v="0"/>
    <x v="2"/>
    <x v="3"/>
    <x v="2"/>
    <n v="100"/>
    <x v="3"/>
    <x v="3"/>
    <n v="1076943"/>
  </r>
  <r>
    <x v="0"/>
    <x v="2"/>
    <x v="4"/>
    <x v="3"/>
    <n v="2"/>
    <x v="3"/>
    <x v="4"/>
    <n v="1102764"/>
  </r>
  <r>
    <x v="2"/>
    <x v="2"/>
    <x v="4"/>
    <x v="2"/>
    <n v="44"/>
    <x v="3"/>
    <x v="4"/>
    <n v="1102764"/>
  </r>
  <r>
    <x v="2"/>
    <x v="2"/>
    <x v="4"/>
    <x v="1"/>
    <n v="9"/>
    <x v="3"/>
    <x v="4"/>
    <n v="1102764"/>
  </r>
  <r>
    <x v="2"/>
    <x v="2"/>
    <x v="4"/>
    <x v="3"/>
    <n v="1"/>
    <x v="3"/>
    <x v="4"/>
    <n v="1102764"/>
  </r>
  <r>
    <x v="2"/>
    <x v="2"/>
    <x v="4"/>
    <x v="0"/>
    <n v="2"/>
    <x v="3"/>
    <x v="4"/>
    <n v="1102764"/>
  </r>
  <r>
    <x v="0"/>
    <x v="2"/>
    <x v="4"/>
    <x v="0"/>
    <n v="2"/>
    <x v="3"/>
    <x v="4"/>
    <n v="1102764"/>
  </r>
  <r>
    <x v="1"/>
    <x v="2"/>
    <x v="4"/>
    <x v="2"/>
    <n v="3"/>
    <x v="3"/>
    <x v="4"/>
    <n v="1102764"/>
  </r>
  <r>
    <x v="0"/>
    <x v="2"/>
    <x v="4"/>
    <x v="1"/>
    <n v="11"/>
    <x v="3"/>
    <x v="4"/>
    <n v="1102764"/>
  </r>
  <r>
    <x v="0"/>
    <x v="2"/>
    <x v="4"/>
    <x v="2"/>
    <n v="59"/>
    <x v="3"/>
    <x v="4"/>
    <n v="1102764"/>
  </r>
  <r>
    <x v="2"/>
    <x v="3"/>
    <x v="5"/>
    <x v="0"/>
    <n v="2"/>
    <x v="2"/>
    <x v="5"/>
    <m/>
  </r>
  <r>
    <x v="0"/>
    <x v="3"/>
    <x v="5"/>
    <x v="0"/>
    <n v="4"/>
    <x v="2"/>
    <x v="5"/>
    <m/>
  </r>
  <r>
    <x v="1"/>
    <x v="3"/>
    <x v="0"/>
    <x v="2"/>
    <n v="15"/>
    <x v="4"/>
    <x v="0"/>
    <n v="1054168"/>
  </r>
  <r>
    <x v="0"/>
    <x v="3"/>
    <x v="0"/>
    <x v="0"/>
    <n v="1"/>
    <x v="4"/>
    <x v="0"/>
    <n v="1054168"/>
  </r>
  <r>
    <x v="0"/>
    <x v="3"/>
    <x v="0"/>
    <x v="1"/>
    <n v="29"/>
    <x v="4"/>
    <x v="0"/>
    <n v="1054168"/>
  </r>
  <r>
    <x v="2"/>
    <x v="3"/>
    <x v="0"/>
    <x v="3"/>
    <n v="3"/>
    <x v="4"/>
    <x v="0"/>
    <n v="1054168"/>
  </r>
  <r>
    <x v="0"/>
    <x v="3"/>
    <x v="0"/>
    <x v="3"/>
    <n v="4"/>
    <x v="4"/>
    <x v="0"/>
    <n v="1054168"/>
  </r>
  <r>
    <x v="2"/>
    <x v="3"/>
    <x v="0"/>
    <x v="0"/>
    <n v="1"/>
    <x v="4"/>
    <x v="0"/>
    <n v="1054168"/>
  </r>
  <r>
    <x v="2"/>
    <x v="3"/>
    <x v="0"/>
    <x v="1"/>
    <n v="27"/>
    <x v="4"/>
    <x v="0"/>
    <n v="1054168"/>
  </r>
  <r>
    <x v="2"/>
    <x v="3"/>
    <x v="0"/>
    <x v="2"/>
    <n v="381"/>
    <x v="4"/>
    <x v="0"/>
    <n v="1054168"/>
  </r>
  <r>
    <x v="0"/>
    <x v="3"/>
    <x v="0"/>
    <x v="2"/>
    <n v="497"/>
    <x v="4"/>
    <x v="0"/>
    <n v="1054168"/>
  </r>
  <r>
    <x v="0"/>
    <x v="3"/>
    <x v="1"/>
    <x v="0"/>
    <n v="13"/>
    <x v="4"/>
    <x v="1"/>
    <n v="1055402"/>
  </r>
  <r>
    <x v="2"/>
    <x v="3"/>
    <x v="1"/>
    <x v="0"/>
    <n v="11"/>
    <x v="4"/>
    <x v="1"/>
    <n v="1055402"/>
  </r>
  <r>
    <x v="0"/>
    <x v="3"/>
    <x v="1"/>
    <x v="2"/>
    <n v="263"/>
    <x v="4"/>
    <x v="1"/>
    <n v="1055402"/>
  </r>
  <r>
    <x v="2"/>
    <x v="3"/>
    <x v="1"/>
    <x v="3"/>
    <n v="5"/>
    <x v="4"/>
    <x v="1"/>
    <n v="1055402"/>
  </r>
  <r>
    <x v="2"/>
    <x v="3"/>
    <x v="1"/>
    <x v="2"/>
    <n v="202"/>
    <x v="4"/>
    <x v="1"/>
    <n v="1055402"/>
  </r>
  <r>
    <x v="1"/>
    <x v="3"/>
    <x v="1"/>
    <x v="2"/>
    <n v="9"/>
    <x v="4"/>
    <x v="1"/>
    <n v="1055402"/>
  </r>
  <r>
    <x v="0"/>
    <x v="3"/>
    <x v="1"/>
    <x v="3"/>
    <n v="5"/>
    <x v="4"/>
    <x v="1"/>
    <n v="1055402"/>
  </r>
  <r>
    <x v="0"/>
    <x v="3"/>
    <x v="1"/>
    <x v="1"/>
    <n v="26"/>
    <x v="4"/>
    <x v="1"/>
    <n v="1055402"/>
  </r>
  <r>
    <x v="2"/>
    <x v="3"/>
    <x v="1"/>
    <x v="1"/>
    <n v="20"/>
    <x v="4"/>
    <x v="1"/>
    <n v="1055402"/>
  </r>
  <r>
    <x v="2"/>
    <x v="3"/>
    <x v="2"/>
    <x v="1"/>
    <n v="27"/>
    <x v="4"/>
    <x v="2"/>
    <n v="1065989"/>
  </r>
  <r>
    <x v="1"/>
    <x v="3"/>
    <x v="2"/>
    <x v="3"/>
    <n v="3"/>
    <x v="4"/>
    <x v="2"/>
    <n v="1065989"/>
  </r>
  <r>
    <x v="2"/>
    <x v="3"/>
    <x v="2"/>
    <x v="2"/>
    <n v="121"/>
    <x v="4"/>
    <x v="2"/>
    <n v="1065989"/>
  </r>
  <r>
    <x v="0"/>
    <x v="3"/>
    <x v="2"/>
    <x v="0"/>
    <n v="5"/>
    <x v="4"/>
    <x v="2"/>
    <n v="1065989"/>
  </r>
  <r>
    <x v="0"/>
    <x v="3"/>
    <x v="2"/>
    <x v="3"/>
    <n v="26"/>
    <x v="4"/>
    <x v="2"/>
    <n v="1065989"/>
  </r>
  <r>
    <x v="0"/>
    <x v="3"/>
    <x v="2"/>
    <x v="1"/>
    <n v="29"/>
    <x v="4"/>
    <x v="2"/>
    <n v="1065989"/>
  </r>
  <r>
    <x v="0"/>
    <x v="3"/>
    <x v="2"/>
    <x v="2"/>
    <n v="148"/>
    <x v="4"/>
    <x v="2"/>
    <n v="1065989"/>
  </r>
  <r>
    <x v="2"/>
    <x v="3"/>
    <x v="2"/>
    <x v="0"/>
    <n v="5"/>
    <x v="4"/>
    <x v="2"/>
    <n v="1065989"/>
  </r>
  <r>
    <x v="2"/>
    <x v="3"/>
    <x v="2"/>
    <x v="3"/>
    <n v="25"/>
    <x v="4"/>
    <x v="2"/>
    <n v="1065989"/>
  </r>
  <r>
    <x v="1"/>
    <x v="3"/>
    <x v="2"/>
    <x v="2"/>
    <n v="6"/>
    <x v="4"/>
    <x v="2"/>
    <n v="1065989"/>
  </r>
  <r>
    <x v="2"/>
    <x v="3"/>
    <x v="3"/>
    <x v="3"/>
    <n v="21"/>
    <x v="4"/>
    <x v="3"/>
    <n v="1087470"/>
  </r>
  <r>
    <x v="1"/>
    <x v="3"/>
    <x v="3"/>
    <x v="1"/>
    <n v="2"/>
    <x v="4"/>
    <x v="3"/>
    <n v="1087470"/>
  </r>
  <r>
    <x v="2"/>
    <x v="3"/>
    <x v="3"/>
    <x v="1"/>
    <n v="17"/>
    <x v="4"/>
    <x v="3"/>
    <n v="1087470"/>
  </r>
  <r>
    <x v="2"/>
    <x v="3"/>
    <x v="3"/>
    <x v="2"/>
    <n v="75"/>
    <x v="4"/>
    <x v="3"/>
    <n v="1087470"/>
  </r>
  <r>
    <x v="2"/>
    <x v="3"/>
    <x v="3"/>
    <x v="0"/>
    <n v="6"/>
    <x v="4"/>
    <x v="3"/>
    <n v="1087470"/>
  </r>
  <r>
    <x v="0"/>
    <x v="3"/>
    <x v="3"/>
    <x v="2"/>
    <n v="98"/>
    <x v="4"/>
    <x v="3"/>
    <n v="1087470"/>
  </r>
  <r>
    <x v="0"/>
    <x v="3"/>
    <x v="3"/>
    <x v="1"/>
    <n v="20"/>
    <x v="4"/>
    <x v="3"/>
    <n v="1087470"/>
  </r>
  <r>
    <x v="0"/>
    <x v="3"/>
    <x v="3"/>
    <x v="3"/>
    <n v="22"/>
    <x v="4"/>
    <x v="3"/>
    <n v="1087470"/>
  </r>
  <r>
    <x v="0"/>
    <x v="3"/>
    <x v="3"/>
    <x v="0"/>
    <n v="8"/>
    <x v="4"/>
    <x v="3"/>
    <n v="1087470"/>
  </r>
  <r>
    <x v="1"/>
    <x v="3"/>
    <x v="3"/>
    <x v="2"/>
    <n v="7"/>
    <x v="4"/>
    <x v="3"/>
    <n v="1087470"/>
  </r>
  <r>
    <x v="2"/>
    <x v="3"/>
    <x v="4"/>
    <x v="2"/>
    <n v="50"/>
    <x v="4"/>
    <x v="4"/>
    <n v="1109971"/>
  </r>
  <r>
    <x v="2"/>
    <x v="3"/>
    <x v="4"/>
    <x v="3"/>
    <n v="2"/>
    <x v="4"/>
    <x v="4"/>
    <n v="1109971"/>
  </r>
  <r>
    <x v="1"/>
    <x v="3"/>
    <x v="4"/>
    <x v="2"/>
    <n v="2"/>
    <x v="4"/>
    <x v="4"/>
    <n v="1109971"/>
  </r>
  <r>
    <x v="2"/>
    <x v="3"/>
    <x v="4"/>
    <x v="1"/>
    <n v="12"/>
    <x v="4"/>
    <x v="4"/>
    <n v="1109971"/>
  </r>
  <r>
    <x v="0"/>
    <x v="3"/>
    <x v="4"/>
    <x v="2"/>
    <n v="57"/>
    <x v="4"/>
    <x v="4"/>
    <n v="1109971"/>
  </r>
  <r>
    <x v="0"/>
    <x v="3"/>
    <x v="4"/>
    <x v="1"/>
    <n v="13"/>
    <x v="4"/>
    <x v="4"/>
    <n v="1109971"/>
  </r>
  <r>
    <x v="2"/>
    <x v="3"/>
    <x v="4"/>
    <x v="0"/>
    <n v="4"/>
    <x v="4"/>
    <x v="4"/>
    <n v="1109971"/>
  </r>
  <r>
    <x v="0"/>
    <x v="3"/>
    <x v="4"/>
    <x v="0"/>
    <n v="4"/>
    <x v="4"/>
    <x v="4"/>
    <n v="1109971"/>
  </r>
  <r>
    <x v="1"/>
    <x v="3"/>
    <x v="4"/>
    <x v="1"/>
    <n v="1"/>
    <x v="4"/>
    <x v="4"/>
    <n v="1109971"/>
  </r>
  <r>
    <x v="0"/>
    <x v="3"/>
    <x v="4"/>
    <x v="3"/>
    <n v="4"/>
    <x v="4"/>
    <x v="4"/>
    <n v="1109971"/>
  </r>
  <r>
    <x v="2"/>
    <x v="4"/>
    <x v="0"/>
    <x v="0"/>
    <n v="5"/>
    <x v="5"/>
    <x v="0"/>
    <n v="1058713"/>
  </r>
  <r>
    <x v="1"/>
    <x v="4"/>
    <x v="0"/>
    <x v="1"/>
    <n v="2"/>
    <x v="5"/>
    <x v="0"/>
    <n v="1058713"/>
  </r>
  <r>
    <x v="1"/>
    <x v="4"/>
    <x v="0"/>
    <x v="2"/>
    <n v="13"/>
    <x v="5"/>
    <x v="0"/>
    <n v="1058713"/>
  </r>
  <r>
    <x v="2"/>
    <x v="4"/>
    <x v="0"/>
    <x v="2"/>
    <n v="348"/>
    <x v="5"/>
    <x v="0"/>
    <n v="1058713"/>
  </r>
  <r>
    <x v="2"/>
    <x v="4"/>
    <x v="0"/>
    <x v="3"/>
    <n v="4"/>
    <x v="5"/>
    <x v="0"/>
    <n v="1058713"/>
  </r>
  <r>
    <x v="0"/>
    <x v="4"/>
    <x v="0"/>
    <x v="2"/>
    <n v="501"/>
    <x v="5"/>
    <x v="0"/>
    <n v="1058713"/>
  </r>
  <r>
    <x v="0"/>
    <x v="4"/>
    <x v="0"/>
    <x v="1"/>
    <n v="17"/>
    <x v="5"/>
    <x v="0"/>
    <n v="1058713"/>
  </r>
  <r>
    <x v="0"/>
    <x v="4"/>
    <x v="0"/>
    <x v="3"/>
    <n v="5"/>
    <x v="5"/>
    <x v="0"/>
    <n v="1058713"/>
  </r>
  <r>
    <x v="0"/>
    <x v="4"/>
    <x v="0"/>
    <x v="0"/>
    <n v="7"/>
    <x v="5"/>
    <x v="0"/>
    <n v="1058713"/>
  </r>
  <r>
    <x v="2"/>
    <x v="4"/>
    <x v="0"/>
    <x v="1"/>
    <n v="13"/>
    <x v="5"/>
    <x v="0"/>
    <n v="1058713"/>
  </r>
  <r>
    <x v="1"/>
    <x v="4"/>
    <x v="1"/>
    <x v="2"/>
    <n v="5"/>
    <x v="5"/>
    <x v="1"/>
    <n v="1057929"/>
  </r>
  <r>
    <x v="1"/>
    <x v="4"/>
    <x v="1"/>
    <x v="3"/>
    <n v="1"/>
    <x v="5"/>
    <x v="1"/>
    <n v="1057929"/>
  </r>
  <r>
    <x v="2"/>
    <x v="4"/>
    <x v="1"/>
    <x v="0"/>
    <n v="7"/>
    <x v="5"/>
    <x v="1"/>
    <n v="1057929"/>
  </r>
  <r>
    <x v="2"/>
    <x v="4"/>
    <x v="1"/>
    <x v="1"/>
    <n v="17"/>
    <x v="5"/>
    <x v="1"/>
    <n v="1057929"/>
  </r>
  <r>
    <x v="2"/>
    <x v="4"/>
    <x v="1"/>
    <x v="3"/>
    <n v="8"/>
    <x v="5"/>
    <x v="1"/>
    <n v="1057929"/>
  </r>
  <r>
    <x v="0"/>
    <x v="4"/>
    <x v="1"/>
    <x v="2"/>
    <n v="273"/>
    <x v="5"/>
    <x v="1"/>
    <n v="1057929"/>
  </r>
  <r>
    <x v="0"/>
    <x v="4"/>
    <x v="1"/>
    <x v="1"/>
    <n v="19"/>
    <x v="5"/>
    <x v="1"/>
    <n v="1057929"/>
  </r>
  <r>
    <x v="0"/>
    <x v="4"/>
    <x v="1"/>
    <x v="3"/>
    <n v="9"/>
    <x v="5"/>
    <x v="1"/>
    <n v="1057929"/>
  </r>
  <r>
    <x v="0"/>
    <x v="4"/>
    <x v="1"/>
    <x v="0"/>
    <n v="8"/>
    <x v="5"/>
    <x v="1"/>
    <n v="1057929"/>
  </r>
  <r>
    <x v="2"/>
    <x v="4"/>
    <x v="1"/>
    <x v="2"/>
    <n v="204"/>
    <x v="5"/>
    <x v="1"/>
    <n v="1057929"/>
  </r>
  <r>
    <x v="2"/>
    <x v="4"/>
    <x v="2"/>
    <x v="1"/>
    <n v="12"/>
    <x v="5"/>
    <x v="2"/>
    <n v="1070719"/>
  </r>
  <r>
    <x v="1"/>
    <x v="4"/>
    <x v="2"/>
    <x v="2"/>
    <n v="7"/>
    <x v="5"/>
    <x v="2"/>
    <n v="1070719"/>
  </r>
  <r>
    <x v="1"/>
    <x v="4"/>
    <x v="2"/>
    <x v="3"/>
    <n v="1"/>
    <x v="5"/>
    <x v="2"/>
    <n v="1070719"/>
  </r>
  <r>
    <x v="0"/>
    <x v="4"/>
    <x v="2"/>
    <x v="2"/>
    <n v="162"/>
    <x v="5"/>
    <x v="2"/>
    <n v="1070719"/>
  </r>
  <r>
    <x v="0"/>
    <x v="4"/>
    <x v="2"/>
    <x v="0"/>
    <n v="10"/>
    <x v="5"/>
    <x v="2"/>
    <n v="1070719"/>
  </r>
  <r>
    <x v="2"/>
    <x v="4"/>
    <x v="2"/>
    <x v="2"/>
    <n v="112"/>
    <x v="5"/>
    <x v="2"/>
    <n v="1070719"/>
  </r>
  <r>
    <x v="2"/>
    <x v="4"/>
    <x v="2"/>
    <x v="3"/>
    <n v="8"/>
    <x v="5"/>
    <x v="2"/>
    <n v="1070719"/>
  </r>
  <r>
    <x v="2"/>
    <x v="4"/>
    <x v="2"/>
    <x v="0"/>
    <n v="8"/>
    <x v="5"/>
    <x v="2"/>
    <n v="1070719"/>
  </r>
  <r>
    <x v="0"/>
    <x v="4"/>
    <x v="2"/>
    <x v="3"/>
    <n v="11"/>
    <x v="5"/>
    <x v="2"/>
    <n v="1070719"/>
  </r>
  <r>
    <x v="0"/>
    <x v="4"/>
    <x v="2"/>
    <x v="1"/>
    <n v="15"/>
    <x v="5"/>
    <x v="2"/>
    <n v="1070719"/>
  </r>
  <r>
    <x v="2"/>
    <x v="4"/>
    <x v="3"/>
    <x v="2"/>
    <n v="81"/>
    <x v="5"/>
    <x v="3"/>
    <n v="1099208"/>
  </r>
  <r>
    <x v="2"/>
    <x v="4"/>
    <x v="3"/>
    <x v="1"/>
    <n v="9"/>
    <x v="5"/>
    <x v="3"/>
    <n v="1099208"/>
  </r>
  <r>
    <x v="2"/>
    <x v="4"/>
    <x v="3"/>
    <x v="3"/>
    <n v="15"/>
    <x v="5"/>
    <x v="3"/>
    <n v="1099208"/>
  </r>
  <r>
    <x v="2"/>
    <x v="4"/>
    <x v="3"/>
    <x v="0"/>
    <n v="4"/>
    <x v="5"/>
    <x v="3"/>
    <n v="1099208"/>
  </r>
  <r>
    <x v="1"/>
    <x v="4"/>
    <x v="3"/>
    <x v="3"/>
    <n v="3"/>
    <x v="5"/>
    <x v="3"/>
    <n v="1099208"/>
  </r>
  <r>
    <x v="0"/>
    <x v="4"/>
    <x v="3"/>
    <x v="0"/>
    <n v="4"/>
    <x v="5"/>
    <x v="3"/>
    <n v="1099208"/>
  </r>
  <r>
    <x v="1"/>
    <x v="4"/>
    <x v="3"/>
    <x v="2"/>
    <n v="4"/>
    <x v="5"/>
    <x v="3"/>
    <n v="1099208"/>
  </r>
  <r>
    <x v="0"/>
    <x v="4"/>
    <x v="3"/>
    <x v="2"/>
    <n v="100"/>
    <x v="5"/>
    <x v="3"/>
    <n v="1099208"/>
  </r>
  <r>
    <x v="0"/>
    <x v="4"/>
    <x v="3"/>
    <x v="1"/>
    <n v="13"/>
    <x v="5"/>
    <x v="3"/>
    <n v="1099208"/>
  </r>
  <r>
    <x v="1"/>
    <x v="4"/>
    <x v="3"/>
    <x v="1"/>
    <n v="1"/>
    <x v="5"/>
    <x v="3"/>
    <n v="1099208"/>
  </r>
  <r>
    <x v="0"/>
    <x v="4"/>
    <x v="3"/>
    <x v="3"/>
    <n v="17"/>
    <x v="5"/>
    <x v="3"/>
    <n v="1099208"/>
  </r>
  <r>
    <x v="1"/>
    <x v="4"/>
    <x v="4"/>
    <x v="2"/>
    <n v="7"/>
    <x v="5"/>
    <x v="4"/>
    <n v="1118131"/>
  </r>
  <r>
    <x v="2"/>
    <x v="4"/>
    <x v="4"/>
    <x v="0"/>
    <n v="2"/>
    <x v="5"/>
    <x v="4"/>
    <n v="1118131"/>
  </r>
  <r>
    <x v="2"/>
    <x v="4"/>
    <x v="4"/>
    <x v="3"/>
    <n v="5"/>
    <x v="5"/>
    <x v="4"/>
    <n v="1118131"/>
  </r>
  <r>
    <x v="2"/>
    <x v="4"/>
    <x v="4"/>
    <x v="1"/>
    <n v="5"/>
    <x v="5"/>
    <x v="4"/>
    <n v="1118131"/>
  </r>
  <r>
    <x v="0"/>
    <x v="4"/>
    <x v="4"/>
    <x v="2"/>
    <n v="79"/>
    <x v="5"/>
    <x v="4"/>
    <n v="1118131"/>
  </r>
  <r>
    <x v="2"/>
    <x v="4"/>
    <x v="4"/>
    <x v="2"/>
    <n v="69"/>
    <x v="5"/>
    <x v="4"/>
    <n v="1118131"/>
  </r>
  <r>
    <x v="0"/>
    <x v="4"/>
    <x v="4"/>
    <x v="1"/>
    <n v="8"/>
    <x v="5"/>
    <x v="4"/>
    <n v="1118131"/>
  </r>
  <r>
    <x v="0"/>
    <x v="4"/>
    <x v="4"/>
    <x v="3"/>
    <n v="6"/>
    <x v="5"/>
    <x v="4"/>
    <n v="1118131"/>
  </r>
  <r>
    <x v="0"/>
    <x v="4"/>
    <x v="4"/>
    <x v="0"/>
    <n v="2"/>
    <x v="5"/>
    <x v="4"/>
    <n v="1118131"/>
  </r>
  <r>
    <x v="2"/>
    <x v="5"/>
    <x v="5"/>
    <x v="0"/>
    <n v="1"/>
    <x v="2"/>
    <x v="5"/>
    <m/>
  </r>
  <r>
    <x v="0"/>
    <x v="5"/>
    <x v="5"/>
    <x v="0"/>
    <n v="2"/>
    <x v="2"/>
    <x v="5"/>
    <m/>
  </r>
  <r>
    <x v="2"/>
    <x v="5"/>
    <x v="0"/>
    <x v="0"/>
    <n v="4"/>
    <x v="6"/>
    <x v="0"/>
    <n v="1059288"/>
  </r>
  <r>
    <x v="2"/>
    <x v="5"/>
    <x v="0"/>
    <x v="3"/>
    <n v="6"/>
    <x v="6"/>
    <x v="0"/>
    <n v="1059288"/>
  </r>
  <r>
    <x v="2"/>
    <x v="5"/>
    <x v="0"/>
    <x v="1"/>
    <n v="18"/>
    <x v="6"/>
    <x v="0"/>
    <n v="1059288"/>
  </r>
  <r>
    <x v="2"/>
    <x v="5"/>
    <x v="0"/>
    <x v="2"/>
    <n v="314"/>
    <x v="6"/>
    <x v="0"/>
    <n v="1059288"/>
  </r>
  <r>
    <x v="1"/>
    <x v="5"/>
    <x v="0"/>
    <x v="2"/>
    <n v="14"/>
    <x v="6"/>
    <x v="0"/>
    <n v="1059288"/>
  </r>
  <r>
    <x v="0"/>
    <x v="5"/>
    <x v="0"/>
    <x v="0"/>
    <n v="4"/>
    <x v="6"/>
    <x v="0"/>
    <n v="1059288"/>
  </r>
  <r>
    <x v="0"/>
    <x v="5"/>
    <x v="0"/>
    <x v="3"/>
    <n v="14"/>
    <x v="6"/>
    <x v="0"/>
    <n v="1059288"/>
  </r>
  <r>
    <x v="0"/>
    <x v="5"/>
    <x v="0"/>
    <x v="1"/>
    <n v="31"/>
    <x v="6"/>
    <x v="0"/>
    <n v="1059288"/>
  </r>
  <r>
    <x v="0"/>
    <x v="5"/>
    <x v="0"/>
    <x v="2"/>
    <n v="410"/>
    <x v="6"/>
    <x v="0"/>
    <n v="1059288"/>
  </r>
  <r>
    <x v="1"/>
    <x v="5"/>
    <x v="0"/>
    <x v="1"/>
    <n v="2"/>
    <x v="6"/>
    <x v="0"/>
    <n v="1059288"/>
  </r>
  <r>
    <x v="0"/>
    <x v="5"/>
    <x v="1"/>
    <x v="1"/>
    <n v="27"/>
    <x v="6"/>
    <x v="1"/>
    <n v="1059104"/>
  </r>
  <r>
    <x v="0"/>
    <x v="5"/>
    <x v="1"/>
    <x v="3"/>
    <n v="4"/>
    <x v="6"/>
    <x v="1"/>
    <n v="1059104"/>
  </r>
  <r>
    <x v="2"/>
    <x v="5"/>
    <x v="1"/>
    <x v="0"/>
    <n v="6"/>
    <x v="6"/>
    <x v="1"/>
    <n v="1059104"/>
  </r>
  <r>
    <x v="2"/>
    <x v="5"/>
    <x v="1"/>
    <x v="2"/>
    <n v="181"/>
    <x v="6"/>
    <x v="1"/>
    <n v="1059104"/>
  </r>
  <r>
    <x v="0"/>
    <x v="5"/>
    <x v="1"/>
    <x v="0"/>
    <n v="7"/>
    <x v="6"/>
    <x v="1"/>
    <n v="1059104"/>
  </r>
  <r>
    <x v="2"/>
    <x v="5"/>
    <x v="1"/>
    <x v="3"/>
    <n v="3"/>
    <x v="6"/>
    <x v="1"/>
    <n v="1059104"/>
  </r>
  <r>
    <x v="0"/>
    <x v="5"/>
    <x v="1"/>
    <x v="2"/>
    <n v="217"/>
    <x v="6"/>
    <x v="1"/>
    <n v="1059104"/>
  </r>
  <r>
    <x v="1"/>
    <x v="5"/>
    <x v="1"/>
    <x v="2"/>
    <n v="5"/>
    <x v="6"/>
    <x v="1"/>
    <n v="1059104"/>
  </r>
  <r>
    <x v="2"/>
    <x v="5"/>
    <x v="1"/>
    <x v="1"/>
    <n v="22"/>
    <x v="6"/>
    <x v="1"/>
    <n v="1059104"/>
  </r>
  <r>
    <x v="1"/>
    <x v="5"/>
    <x v="1"/>
    <x v="1"/>
    <n v="1"/>
    <x v="6"/>
    <x v="1"/>
    <n v="1059104"/>
  </r>
  <r>
    <x v="2"/>
    <x v="5"/>
    <x v="2"/>
    <x v="2"/>
    <n v="109"/>
    <x v="6"/>
    <x v="2"/>
    <n v="1072629"/>
  </r>
  <r>
    <x v="2"/>
    <x v="5"/>
    <x v="2"/>
    <x v="1"/>
    <n v="15"/>
    <x v="6"/>
    <x v="2"/>
    <n v="1072629"/>
  </r>
  <r>
    <x v="2"/>
    <x v="5"/>
    <x v="2"/>
    <x v="3"/>
    <n v="13"/>
    <x v="6"/>
    <x v="2"/>
    <n v="1072629"/>
  </r>
  <r>
    <x v="2"/>
    <x v="5"/>
    <x v="2"/>
    <x v="0"/>
    <n v="4"/>
    <x v="6"/>
    <x v="2"/>
    <n v="1072629"/>
  </r>
  <r>
    <x v="1"/>
    <x v="5"/>
    <x v="2"/>
    <x v="0"/>
    <n v="1"/>
    <x v="6"/>
    <x v="2"/>
    <n v="1072629"/>
  </r>
  <r>
    <x v="1"/>
    <x v="5"/>
    <x v="2"/>
    <x v="3"/>
    <n v="3"/>
    <x v="6"/>
    <x v="2"/>
    <n v="1072629"/>
  </r>
  <r>
    <x v="0"/>
    <x v="5"/>
    <x v="2"/>
    <x v="2"/>
    <n v="128"/>
    <x v="6"/>
    <x v="2"/>
    <n v="1072629"/>
  </r>
  <r>
    <x v="1"/>
    <x v="5"/>
    <x v="2"/>
    <x v="2"/>
    <n v="10"/>
    <x v="6"/>
    <x v="2"/>
    <n v="1072629"/>
  </r>
  <r>
    <x v="0"/>
    <x v="5"/>
    <x v="2"/>
    <x v="1"/>
    <n v="19"/>
    <x v="6"/>
    <x v="2"/>
    <n v="1072629"/>
  </r>
  <r>
    <x v="0"/>
    <x v="5"/>
    <x v="2"/>
    <x v="3"/>
    <n v="19"/>
    <x v="6"/>
    <x v="2"/>
    <n v="1072629"/>
  </r>
  <r>
    <x v="0"/>
    <x v="5"/>
    <x v="2"/>
    <x v="0"/>
    <n v="4"/>
    <x v="6"/>
    <x v="2"/>
    <n v="1072629"/>
  </r>
  <r>
    <x v="1"/>
    <x v="5"/>
    <x v="3"/>
    <x v="2"/>
    <n v="5"/>
    <x v="6"/>
    <x v="3"/>
    <n v="1110521"/>
  </r>
  <r>
    <x v="2"/>
    <x v="5"/>
    <x v="3"/>
    <x v="2"/>
    <n v="75"/>
    <x v="6"/>
    <x v="3"/>
    <n v="1110521"/>
  </r>
  <r>
    <x v="2"/>
    <x v="5"/>
    <x v="3"/>
    <x v="1"/>
    <n v="23"/>
    <x v="6"/>
    <x v="3"/>
    <n v="1110521"/>
  </r>
  <r>
    <x v="2"/>
    <x v="5"/>
    <x v="3"/>
    <x v="3"/>
    <n v="10"/>
    <x v="6"/>
    <x v="3"/>
    <n v="1110521"/>
  </r>
  <r>
    <x v="2"/>
    <x v="5"/>
    <x v="3"/>
    <x v="0"/>
    <n v="3"/>
    <x v="6"/>
    <x v="3"/>
    <n v="1110521"/>
  </r>
  <r>
    <x v="0"/>
    <x v="5"/>
    <x v="3"/>
    <x v="2"/>
    <n v="100"/>
    <x v="6"/>
    <x v="3"/>
    <n v="1110521"/>
  </r>
  <r>
    <x v="0"/>
    <x v="5"/>
    <x v="3"/>
    <x v="1"/>
    <n v="28"/>
    <x v="6"/>
    <x v="3"/>
    <n v="1110521"/>
  </r>
  <r>
    <x v="0"/>
    <x v="5"/>
    <x v="3"/>
    <x v="3"/>
    <n v="11"/>
    <x v="6"/>
    <x v="3"/>
    <n v="1110521"/>
  </r>
  <r>
    <x v="0"/>
    <x v="5"/>
    <x v="3"/>
    <x v="0"/>
    <n v="7"/>
    <x v="6"/>
    <x v="3"/>
    <n v="1110521"/>
  </r>
  <r>
    <x v="2"/>
    <x v="5"/>
    <x v="4"/>
    <x v="2"/>
    <n v="58"/>
    <x v="6"/>
    <x v="4"/>
    <n v="1123258"/>
  </r>
  <r>
    <x v="2"/>
    <x v="5"/>
    <x v="4"/>
    <x v="1"/>
    <n v="12"/>
    <x v="6"/>
    <x v="4"/>
    <n v="1123258"/>
  </r>
  <r>
    <x v="2"/>
    <x v="5"/>
    <x v="4"/>
    <x v="3"/>
    <n v="3"/>
    <x v="6"/>
    <x v="4"/>
    <n v="1123258"/>
  </r>
  <r>
    <x v="2"/>
    <x v="5"/>
    <x v="4"/>
    <x v="0"/>
    <n v="1"/>
    <x v="6"/>
    <x v="4"/>
    <n v="1123258"/>
  </r>
  <r>
    <x v="1"/>
    <x v="5"/>
    <x v="4"/>
    <x v="2"/>
    <n v="3"/>
    <x v="6"/>
    <x v="4"/>
    <n v="1123258"/>
  </r>
  <r>
    <x v="0"/>
    <x v="5"/>
    <x v="4"/>
    <x v="1"/>
    <n v="14"/>
    <x v="6"/>
    <x v="4"/>
    <n v="1123258"/>
  </r>
  <r>
    <x v="0"/>
    <x v="5"/>
    <x v="4"/>
    <x v="3"/>
    <n v="3"/>
    <x v="6"/>
    <x v="4"/>
    <n v="1123258"/>
  </r>
  <r>
    <x v="0"/>
    <x v="5"/>
    <x v="4"/>
    <x v="0"/>
    <n v="1"/>
    <x v="6"/>
    <x v="4"/>
    <n v="1123258"/>
  </r>
  <r>
    <x v="0"/>
    <x v="5"/>
    <x v="4"/>
    <x v="2"/>
    <n v="66"/>
    <x v="6"/>
    <x v="4"/>
    <n v="1123258"/>
  </r>
  <r>
    <x v="2"/>
    <x v="6"/>
    <x v="0"/>
    <x v="0"/>
    <n v="10"/>
    <x v="7"/>
    <x v="0"/>
    <n v="1059180"/>
  </r>
  <r>
    <x v="0"/>
    <x v="6"/>
    <x v="0"/>
    <x v="0"/>
    <n v="12"/>
    <x v="7"/>
    <x v="0"/>
    <n v="1059180"/>
  </r>
  <r>
    <x v="0"/>
    <x v="6"/>
    <x v="0"/>
    <x v="3"/>
    <n v="2"/>
    <x v="7"/>
    <x v="0"/>
    <n v="1059180"/>
  </r>
  <r>
    <x v="2"/>
    <x v="6"/>
    <x v="0"/>
    <x v="2"/>
    <n v="374"/>
    <x v="7"/>
    <x v="0"/>
    <n v="1059180"/>
  </r>
  <r>
    <x v="1"/>
    <x v="6"/>
    <x v="0"/>
    <x v="0"/>
    <n v="1"/>
    <x v="7"/>
    <x v="0"/>
    <n v="1059180"/>
  </r>
  <r>
    <x v="2"/>
    <x v="6"/>
    <x v="0"/>
    <x v="1"/>
    <n v="19"/>
    <x v="7"/>
    <x v="0"/>
    <n v="1059180"/>
  </r>
  <r>
    <x v="0"/>
    <x v="6"/>
    <x v="0"/>
    <x v="1"/>
    <n v="20"/>
    <x v="7"/>
    <x v="0"/>
    <n v="1059180"/>
  </r>
  <r>
    <x v="2"/>
    <x v="6"/>
    <x v="0"/>
    <x v="3"/>
    <n v="1"/>
    <x v="7"/>
    <x v="0"/>
    <n v="1059180"/>
  </r>
  <r>
    <x v="1"/>
    <x v="6"/>
    <x v="0"/>
    <x v="2"/>
    <n v="13"/>
    <x v="7"/>
    <x v="0"/>
    <n v="1059180"/>
  </r>
  <r>
    <x v="0"/>
    <x v="6"/>
    <x v="0"/>
    <x v="2"/>
    <n v="491"/>
    <x v="7"/>
    <x v="0"/>
    <n v="1059180"/>
  </r>
  <r>
    <x v="2"/>
    <x v="6"/>
    <x v="1"/>
    <x v="0"/>
    <n v="7"/>
    <x v="7"/>
    <x v="1"/>
    <n v="1058116"/>
  </r>
  <r>
    <x v="2"/>
    <x v="6"/>
    <x v="1"/>
    <x v="3"/>
    <n v="10"/>
    <x v="7"/>
    <x v="1"/>
    <n v="1058116"/>
  </r>
  <r>
    <x v="2"/>
    <x v="6"/>
    <x v="1"/>
    <x v="2"/>
    <n v="182"/>
    <x v="7"/>
    <x v="1"/>
    <n v="1058116"/>
  </r>
  <r>
    <x v="0"/>
    <x v="6"/>
    <x v="1"/>
    <x v="2"/>
    <n v="236"/>
    <x v="7"/>
    <x v="1"/>
    <n v="1058116"/>
  </r>
  <r>
    <x v="2"/>
    <x v="6"/>
    <x v="1"/>
    <x v="1"/>
    <n v="18"/>
    <x v="7"/>
    <x v="1"/>
    <n v="1058116"/>
  </r>
  <r>
    <x v="1"/>
    <x v="6"/>
    <x v="1"/>
    <x v="2"/>
    <n v="9"/>
    <x v="7"/>
    <x v="1"/>
    <n v="1058116"/>
  </r>
  <r>
    <x v="0"/>
    <x v="6"/>
    <x v="1"/>
    <x v="3"/>
    <n v="11"/>
    <x v="7"/>
    <x v="1"/>
    <n v="1058116"/>
  </r>
  <r>
    <x v="0"/>
    <x v="6"/>
    <x v="1"/>
    <x v="0"/>
    <n v="7"/>
    <x v="7"/>
    <x v="1"/>
    <n v="1058116"/>
  </r>
  <r>
    <x v="1"/>
    <x v="6"/>
    <x v="1"/>
    <x v="1"/>
    <n v="1"/>
    <x v="7"/>
    <x v="1"/>
    <n v="1058116"/>
  </r>
  <r>
    <x v="1"/>
    <x v="6"/>
    <x v="1"/>
    <x v="0"/>
    <n v="1"/>
    <x v="7"/>
    <x v="1"/>
    <n v="1058116"/>
  </r>
  <r>
    <x v="0"/>
    <x v="6"/>
    <x v="1"/>
    <x v="1"/>
    <n v="23"/>
    <x v="7"/>
    <x v="1"/>
    <n v="1058116"/>
  </r>
  <r>
    <x v="2"/>
    <x v="6"/>
    <x v="2"/>
    <x v="0"/>
    <n v="10"/>
    <x v="7"/>
    <x v="2"/>
    <n v="1075006"/>
  </r>
  <r>
    <x v="0"/>
    <x v="6"/>
    <x v="2"/>
    <x v="2"/>
    <n v="148"/>
    <x v="7"/>
    <x v="2"/>
    <n v="1075006"/>
  </r>
  <r>
    <x v="0"/>
    <x v="6"/>
    <x v="2"/>
    <x v="1"/>
    <n v="33"/>
    <x v="7"/>
    <x v="2"/>
    <n v="1075006"/>
  </r>
  <r>
    <x v="1"/>
    <x v="6"/>
    <x v="2"/>
    <x v="2"/>
    <n v="10"/>
    <x v="7"/>
    <x v="2"/>
    <n v="1075006"/>
  </r>
  <r>
    <x v="0"/>
    <x v="6"/>
    <x v="2"/>
    <x v="3"/>
    <n v="6"/>
    <x v="7"/>
    <x v="2"/>
    <n v="1075006"/>
  </r>
  <r>
    <x v="0"/>
    <x v="6"/>
    <x v="2"/>
    <x v="0"/>
    <n v="10"/>
    <x v="7"/>
    <x v="2"/>
    <n v="1075006"/>
  </r>
  <r>
    <x v="2"/>
    <x v="6"/>
    <x v="2"/>
    <x v="3"/>
    <n v="6"/>
    <x v="7"/>
    <x v="2"/>
    <n v="1075006"/>
  </r>
  <r>
    <x v="2"/>
    <x v="6"/>
    <x v="2"/>
    <x v="2"/>
    <n v="120"/>
    <x v="7"/>
    <x v="2"/>
    <n v="1075006"/>
  </r>
  <r>
    <x v="2"/>
    <x v="6"/>
    <x v="2"/>
    <x v="1"/>
    <n v="28"/>
    <x v="7"/>
    <x v="2"/>
    <n v="1075006"/>
  </r>
  <r>
    <x v="0"/>
    <x v="6"/>
    <x v="3"/>
    <x v="2"/>
    <n v="76"/>
    <x v="7"/>
    <x v="3"/>
    <n v="1120192"/>
  </r>
  <r>
    <x v="0"/>
    <x v="6"/>
    <x v="3"/>
    <x v="1"/>
    <n v="22"/>
    <x v="7"/>
    <x v="3"/>
    <n v="1120192"/>
  </r>
  <r>
    <x v="1"/>
    <x v="6"/>
    <x v="3"/>
    <x v="2"/>
    <n v="6"/>
    <x v="7"/>
    <x v="3"/>
    <n v="1120192"/>
  </r>
  <r>
    <x v="0"/>
    <x v="6"/>
    <x v="3"/>
    <x v="3"/>
    <n v="10"/>
    <x v="7"/>
    <x v="3"/>
    <n v="1120192"/>
  </r>
  <r>
    <x v="1"/>
    <x v="6"/>
    <x v="3"/>
    <x v="3"/>
    <n v="1"/>
    <x v="7"/>
    <x v="3"/>
    <n v="1120192"/>
  </r>
  <r>
    <x v="2"/>
    <x v="6"/>
    <x v="3"/>
    <x v="0"/>
    <n v="6"/>
    <x v="7"/>
    <x v="3"/>
    <n v="1120192"/>
  </r>
  <r>
    <x v="2"/>
    <x v="6"/>
    <x v="3"/>
    <x v="3"/>
    <n v="9"/>
    <x v="7"/>
    <x v="3"/>
    <n v="1120192"/>
  </r>
  <r>
    <x v="2"/>
    <x v="6"/>
    <x v="3"/>
    <x v="1"/>
    <n v="15"/>
    <x v="7"/>
    <x v="3"/>
    <n v="1120192"/>
  </r>
  <r>
    <x v="2"/>
    <x v="6"/>
    <x v="3"/>
    <x v="2"/>
    <n v="60"/>
    <x v="7"/>
    <x v="3"/>
    <n v="1120192"/>
  </r>
  <r>
    <x v="0"/>
    <x v="6"/>
    <x v="3"/>
    <x v="0"/>
    <n v="6"/>
    <x v="7"/>
    <x v="3"/>
    <n v="1120192"/>
  </r>
  <r>
    <x v="2"/>
    <x v="6"/>
    <x v="4"/>
    <x v="0"/>
    <n v="2"/>
    <x v="7"/>
    <x v="4"/>
    <n v="1125606"/>
  </r>
  <r>
    <x v="1"/>
    <x v="6"/>
    <x v="4"/>
    <x v="2"/>
    <n v="2"/>
    <x v="7"/>
    <x v="4"/>
    <n v="1125606"/>
  </r>
  <r>
    <x v="2"/>
    <x v="6"/>
    <x v="4"/>
    <x v="2"/>
    <n v="57"/>
    <x v="7"/>
    <x v="4"/>
    <n v="1125606"/>
  </r>
  <r>
    <x v="2"/>
    <x v="6"/>
    <x v="4"/>
    <x v="3"/>
    <n v="5"/>
    <x v="7"/>
    <x v="4"/>
    <n v="1125606"/>
  </r>
  <r>
    <x v="0"/>
    <x v="6"/>
    <x v="4"/>
    <x v="2"/>
    <n v="65"/>
    <x v="7"/>
    <x v="4"/>
    <n v="1125606"/>
  </r>
  <r>
    <x v="0"/>
    <x v="6"/>
    <x v="4"/>
    <x v="1"/>
    <n v="11"/>
    <x v="7"/>
    <x v="4"/>
    <n v="1125606"/>
  </r>
  <r>
    <x v="0"/>
    <x v="6"/>
    <x v="4"/>
    <x v="3"/>
    <n v="5"/>
    <x v="7"/>
    <x v="4"/>
    <n v="1125606"/>
  </r>
  <r>
    <x v="0"/>
    <x v="6"/>
    <x v="4"/>
    <x v="0"/>
    <n v="3"/>
    <x v="7"/>
    <x v="4"/>
    <n v="1125606"/>
  </r>
  <r>
    <x v="2"/>
    <x v="6"/>
    <x v="4"/>
    <x v="1"/>
    <n v="10"/>
    <x v="7"/>
    <x v="4"/>
    <n v="1125606"/>
  </r>
  <r>
    <x v="1"/>
    <x v="7"/>
    <x v="0"/>
    <x v="3"/>
    <n v="1"/>
    <x v="8"/>
    <x v="0"/>
    <n v="1060939"/>
  </r>
  <r>
    <x v="0"/>
    <x v="7"/>
    <x v="0"/>
    <x v="2"/>
    <n v="377"/>
    <x v="8"/>
    <x v="0"/>
    <n v="1060939"/>
  </r>
  <r>
    <x v="0"/>
    <x v="7"/>
    <x v="0"/>
    <x v="1"/>
    <n v="17"/>
    <x v="8"/>
    <x v="0"/>
    <n v="1060939"/>
  </r>
  <r>
    <x v="0"/>
    <x v="7"/>
    <x v="0"/>
    <x v="3"/>
    <n v="2"/>
    <x v="8"/>
    <x v="0"/>
    <n v="1060939"/>
  </r>
  <r>
    <x v="0"/>
    <x v="7"/>
    <x v="0"/>
    <x v="0"/>
    <n v="7"/>
    <x v="8"/>
    <x v="0"/>
    <n v="1060939"/>
  </r>
  <r>
    <x v="2"/>
    <x v="7"/>
    <x v="0"/>
    <x v="0"/>
    <n v="6"/>
    <x v="8"/>
    <x v="0"/>
    <n v="1060939"/>
  </r>
  <r>
    <x v="1"/>
    <x v="7"/>
    <x v="0"/>
    <x v="2"/>
    <n v="11"/>
    <x v="8"/>
    <x v="0"/>
    <n v="1060939"/>
  </r>
  <r>
    <x v="1"/>
    <x v="7"/>
    <x v="0"/>
    <x v="1"/>
    <n v="1"/>
    <x v="8"/>
    <x v="0"/>
    <n v="1060939"/>
  </r>
  <r>
    <x v="2"/>
    <x v="7"/>
    <x v="0"/>
    <x v="3"/>
    <n v="2"/>
    <x v="8"/>
    <x v="0"/>
    <n v="1060939"/>
  </r>
  <r>
    <x v="2"/>
    <x v="7"/>
    <x v="0"/>
    <x v="1"/>
    <n v="16"/>
    <x v="8"/>
    <x v="0"/>
    <n v="1060939"/>
  </r>
  <r>
    <x v="2"/>
    <x v="7"/>
    <x v="0"/>
    <x v="2"/>
    <n v="288"/>
    <x v="8"/>
    <x v="0"/>
    <n v="1060939"/>
  </r>
  <r>
    <x v="0"/>
    <x v="7"/>
    <x v="1"/>
    <x v="1"/>
    <n v="19"/>
    <x v="8"/>
    <x v="1"/>
    <n v="1060924"/>
  </r>
  <r>
    <x v="0"/>
    <x v="7"/>
    <x v="1"/>
    <x v="3"/>
    <n v="6"/>
    <x v="8"/>
    <x v="1"/>
    <n v="1060924"/>
  </r>
  <r>
    <x v="0"/>
    <x v="7"/>
    <x v="1"/>
    <x v="0"/>
    <n v="11"/>
    <x v="8"/>
    <x v="1"/>
    <n v="1060924"/>
  </r>
  <r>
    <x v="1"/>
    <x v="7"/>
    <x v="1"/>
    <x v="2"/>
    <n v="5"/>
    <x v="8"/>
    <x v="1"/>
    <n v="1060924"/>
  </r>
  <r>
    <x v="2"/>
    <x v="7"/>
    <x v="1"/>
    <x v="0"/>
    <n v="10"/>
    <x v="8"/>
    <x v="1"/>
    <n v="1060924"/>
  </r>
  <r>
    <x v="2"/>
    <x v="7"/>
    <x v="1"/>
    <x v="3"/>
    <n v="6"/>
    <x v="8"/>
    <x v="1"/>
    <n v="1060924"/>
  </r>
  <r>
    <x v="2"/>
    <x v="7"/>
    <x v="1"/>
    <x v="1"/>
    <n v="18"/>
    <x v="8"/>
    <x v="1"/>
    <n v="1060924"/>
  </r>
  <r>
    <x v="0"/>
    <x v="7"/>
    <x v="1"/>
    <x v="2"/>
    <n v="209"/>
    <x v="8"/>
    <x v="1"/>
    <n v="1060924"/>
  </r>
  <r>
    <x v="2"/>
    <x v="7"/>
    <x v="1"/>
    <x v="2"/>
    <n v="148"/>
    <x v="8"/>
    <x v="1"/>
    <n v="1060924"/>
  </r>
  <r>
    <x v="1"/>
    <x v="7"/>
    <x v="1"/>
    <x v="3"/>
    <n v="1"/>
    <x v="8"/>
    <x v="1"/>
    <n v="1060924"/>
  </r>
  <r>
    <x v="1"/>
    <x v="7"/>
    <x v="1"/>
    <x v="1"/>
    <n v="1"/>
    <x v="8"/>
    <x v="1"/>
    <n v="1060924"/>
  </r>
  <r>
    <x v="2"/>
    <x v="7"/>
    <x v="2"/>
    <x v="3"/>
    <n v="6"/>
    <x v="8"/>
    <x v="2"/>
    <n v="1078198"/>
  </r>
  <r>
    <x v="0"/>
    <x v="7"/>
    <x v="2"/>
    <x v="2"/>
    <n v="131"/>
    <x v="8"/>
    <x v="2"/>
    <n v="1078198"/>
  </r>
  <r>
    <x v="0"/>
    <x v="7"/>
    <x v="2"/>
    <x v="1"/>
    <n v="27"/>
    <x v="8"/>
    <x v="2"/>
    <n v="1078198"/>
  </r>
  <r>
    <x v="0"/>
    <x v="7"/>
    <x v="2"/>
    <x v="3"/>
    <n v="7"/>
    <x v="8"/>
    <x v="2"/>
    <n v="1078198"/>
  </r>
  <r>
    <x v="0"/>
    <x v="7"/>
    <x v="2"/>
    <x v="0"/>
    <n v="6"/>
    <x v="8"/>
    <x v="2"/>
    <n v="1078198"/>
  </r>
  <r>
    <x v="2"/>
    <x v="7"/>
    <x v="2"/>
    <x v="0"/>
    <n v="5"/>
    <x v="8"/>
    <x v="2"/>
    <n v="1078198"/>
  </r>
  <r>
    <x v="2"/>
    <x v="7"/>
    <x v="2"/>
    <x v="1"/>
    <n v="24"/>
    <x v="8"/>
    <x v="2"/>
    <n v="1078198"/>
  </r>
  <r>
    <x v="2"/>
    <x v="7"/>
    <x v="2"/>
    <x v="2"/>
    <n v="98"/>
    <x v="8"/>
    <x v="2"/>
    <n v="1078198"/>
  </r>
  <r>
    <x v="1"/>
    <x v="7"/>
    <x v="2"/>
    <x v="2"/>
    <n v="2"/>
    <x v="8"/>
    <x v="2"/>
    <n v="1078198"/>
  </r>
  <r>
    <x v="2"/>
    <x v="7"/>
    <x v="3"/>
    <x v="0"/>
    <n v="5"/>
    <x v="8"/>
    <x v="3"/>
    <n v="1132425"/>
  </r>
  <r>
    <x v="0"/>
    <x v="7"/>
    <x v="3"/>
    <x v="3"/>
    <n v="8"/>
    <x v="8"/>
    <x v="3"/>
    <n v="1132425"/>
  </r>
  <r>
    <x v="0"/>
    <x v="7"/>
    <x v="3"/>
    <x v="1"/>
    <n v="22"/>
    <x v="8"/>
    <x v="3"/>
    <n v="1132425"/>
  </r>
  <r>
    <x v="1"/>
    <x v="7"/>
    <x v="3"/>
    <x v="1"/>
    <n v="1"/>
    <x v="8"/>
    <x v="3"/>
    <n v="1132425"/>
  </r>
  <r>
    <x v="1"/>
    <x v="7"/>
    <x v="3"/>
    <x v="2"/>
    <n v="3"/>
    <x v="8"/>
    <x v="3"/>
    <n v="1132425"/>
  </r>
  <r>
    <x v="0"/>
    <x v="7"/>
    <x v="3"/>
    <x v="2"/>
    <n v="88"/>
    <x v="8"/>
    <x v="3"/>
    <n v="1132425"/>
  </r>
  <r>
    <x v="2"/>
    <x v="7"/>
    <x v="3"/>
    <x v="1"/>
    <n v="21"/>
    <x v="8"/>
    <x v="3"/>
    <n v="1132425"/>
  </r>
  <r>
    <x v="2"/>
    <x v="7"/>
    <x v="3"/>
    <x v="3"/>
    <n v="7"/>
    <x v="8"/>
    <x v="3"/>
    <n v="1132425"/>
  </r>
  <r>
    <x v="0"/>
    <x v="7"/>
    <x v="3"/>
    <x v="0"/>
    <n v="5"/>
    <x v="8"/>
    <x v="3"/>
    <n v="1132425"/>
  </r>
  <r>
    <x v="2"/>
    <x v="7"/>
    <x v="3"/>
    <x v="2"/>
    <n v="75"/>
    <x v="8"/>
    <x v="3"/>
    <n v="1132425"/>
  </r>
  <r>
    <x v="1"/>
    <x v="7"/>
    <x v="4"/>
    <x v="3"/>
    <n v="1"/>
    <x v="8"/>
    <x v="4"/>
    <n v="1130814"/>
  </r>
  <r>
    <x v="0"/>
    <x v="7"/>
    <x v="4"/>
    <x v="0"/>
    <n v="1"/>
    <x v="8"/>
    <x v="4"/>
    <n v="1130814"/>
  </r>
  <r>
    <x v="2"/>
    <x v="7"/>
    <x v="4"/>
    <x v="3"/>
    <n v="4"/>
    <x v="8"/>
    <x v="4"/>
    <n v="1130814"/>
  </r>
  <r>
    <x v="2"/>
    <x v="7"/>
    <x v="4"/>
    <x v="2"/>
    <n v="62"/>
    <x v="8"/>
    <x v="4"/>
    <n v="1130814"/>
  </r>
  <r>
    <x v="2"/>
    <x v="7"/>
    <x v="4"/>
    <x v="0"/>
    <n v="1"/>
    <x v="8"/>
    <x v="4"/>
    <n v="1130814"/>
  </r>
  <r>
    <x v="0"/>
    <x v="7"/>
    <x v="4"/>
    <x v="3"/>
    <n v="6"/>
    <x v="8"/>
    <x v="4"/>
    <n v="1130814"/>
  </r>
  <r>
    <x v="0"/>
    <x v="7"/>
    <x v="4"/>
    <x v="1"/>
    <n v="6"/>
    <x v="8"/>
    <x v="4"/>
    <n v="1130814"/>
  </r>
  <r>
    <x v="0"/>
    <x v="7"/>
    <x v="4"/>
    <x v="2"/>
    <n v="72"/>
    <x v="8"/>
    <x v="4"/>
    <n v="1130814"/>
  </r>
  <r>
    <x v="2"/>
    <x v="7"/>
    <x v="4"/>
    <x v="1"/>
    <n v="6"/>
    <x v="8"/>
    <x v="4"/>
    <n v="1130814"/>
  </r>
  <r>
    <x v="0"/>
    <x v="8"/>
    <x v="0"/>
    <x v="2"/>
    <n v="446"/>
    <x v="9"/>
    <x v="0"/>
    <n v="1057767"/>
  </r>
  <r>
    <x v="0"/>
    <x v="8"/>
    <x v="0"/>
    <x v="1"/>
    <n v="14"/>
    <x v="9"/>
    <x v="0"/>
    <n v="1057767"/>
  </r>
  <r>
    <x v="0"/>
    <x v="8"/>
    <x v="0"/>
    <x v="3"/>
    <n v="2"/>
    <x v="9"/>
    <x v="0"/>
    <n v="1057767"/>
  </r>
  <r>
    <x v="0"/>
    <x v="8"/>
    <x v="0"/>
    <x v="0"/>
    <n v="10"/>
    <x v="9"/>
    <x v="0"/>
    <n v="1057767"/>
  </r>
  <r>
    <x v="2"/>
    <x v="8"/>
    <x v="0"/>
    <x v="0"/>
    <n v="8"/>
    <x v="9"/>
    <x v="0"/>
    <n v="1057767"/>
  </r>
  <r>
    <x v="1"/>
    <x v="8"/>
    <x v="0"/>
    <x v="2"/>
    <n v="17"/>
    <x v="9"/>
    <x v="0"/>
    <n v="1057767"/>
  </r>
  <r>
    <x v="1"/>
    <x v="8"/>
    <x v="0"/>
    <x v="3"/>
    <n v="1"/>
    <x v="9"/>
    <x v="0"/>
    <n v="1057767"/>
  </r>
  <r>
    <x v="1"/>
    <x v="8"/>
    <x v="0"/>
    <x v="0"/>
    <n v="1"/>
    <x v="9"/>
    <x v="0"/>
    <n v="1057767"/>
  </r>
  <r>
    <x v="2"/>
    <x v="8"/>
    <x v="0"/>
    <x v="2"/>
    <n v="288"/>
    <x v="9"/>
    <x v="0"/>
    <n v="1057767"/>
  </r>
  <r>
    <x v="2"/>
    <x v="8"/>
    <x v="0"/>
    <x v="1"/>
    <n v="5"/>
    <x v="9"/>
    <x v="0"/>
    <n v="1057767"/>
  </r>
  <r>
    <x v="2"/>
    <x v="8"/>
    <x v="0"/>
    <x v="3"/>
    <n v="2"/>
    <x v="9"/>
    <x v="0"/>
    <n v="1057767"/>
  </r>
  <r>
    <x v="2"/>
    <x v="8"/>
    <x v="1"/>
    <x v="3"/>
    <n v="2"/>
    <x v="9"/>
    <x v="1"/>
    <n v="1057929"/>
  </r>
  <r>
    <x v="2"/>
    <x v="8"/>
    <x v="1"/>
    <x v="2"/>
    <n v="145"/>
    <x v="9"/>
    <x v="1"/>
    <n v="1057929"/>
  </r>
  <r>
    <x v="0"/>
    <x v="8"/>
    <x v="1"/>
    <x v="3"/>
    <n v="3"/>
    <x v="9"/>
    <x v="1"/>
    <n v="1057929"/>
  </r>
  <r>
    <x v="0"/>
    <x v="8"/>
    <x v="1"/>
    <x v="2"/>
    <n v="206"/>
    <x v="9"/>
    <x v="1"/>
    <n v="1057929"/>
  </r>
  <r>
    <x v="0"/>
    <x v="8"/>
    <x v="1"/>
    <x v="0"/>
    <n v="9"/>
    <x v="9"/>
    <x v="1"/>
    <n v="1057929"/>
  </r>
  <r>
    <x v="2"/>
    <x v="8"/>
    <x v="1"/>
    <x v="1"/>
    <n v="14"/>
    <x v="9"/>
    <x v="1"/>
    <n v="1057929"/>
  </r>
  <r>
    <x v="0"/>
    <x v="8"/>
    <x v="1"/>
    <x v="1"/>
    <n v="17"/>
    <x v="9"/>
    <x v="1"/>
    <n v="1057929"/>
  </r>
  <r>
    <x v="2"/>
    <x v="8"/>
    <x v="1"/>
    <x v="0"/>
    <n v="8"/>
    <x v="9"/>
    <x v="1"/>
    <n v="1057929"/>
  </r>
  <r>
    <x v="1"/>
    <x v="8"/>
    <x v="1"/>
    <x v="1"/>
    <n v="1"/>
    <x v="9"/>
    <x v="1"/>
    <n v="1057929"/>
  </r>
  <r>
    <x v="1"/>
    <x v="8"/>
    <x v="1"/>
    <x v="0"/>
    <n v="1"/>
    <x v="9"/>
    <x v="1"/>
    <n v="1057929"/>
  </r>
  <r>
    <x v="1"/>
    <x v="8"/>
    <x v="1"/>
    <x v="3"/>
    <n v="1"/>
    <x v="9"/>
    <x v="1"/>
    <n v="1057929"/>
  </r>
  <r>
    <x v="1"/>
    <x v="8"/>
    <x v="1"/>
    <x v="2"/>
    <n v="14"/>
    <x v="9"/>
    <x v="1"/>
    <n v="1057929"/>
  </r>
  <r>
    <x v="2"/>
    <x v="8"/>
    <x v="2"/>
    <x v="1"/>
    <n v="17"/>
    <x v="9"/>
    <x v="2"/>
    <n v="1077589"/>
  </r>
  <r>
    <x v="1"/>
    <x v="8"/>
    <x v="2"/>
    <x v="1"/>
    <n v="1"/>
    <x v="9"/>
    <x v="2"/>
    <n v="1077589"/>
  </r>
  <r>
    <x v="1"/>
    <x v="8"/>
    <x v="2"/>
    <x v="2"/>
    <n v="8"/>
    <x v="9"/>
    <x v="2"/>
    <n v="1077589"/>
  </r>
  <r>
    <x v="1"/>
    <x v="8"/>
    <x v="2"/>
    <x v="3"/>
    <n v="2"/>
    <x v="9"/>
    <x v="2"/>
    <n v="1077589"/>
  </r>
  <r>
    <x v="2"/>
    <x v="8"/>
    <x v="2"/>
    <x v="3"/>
    <n v="5"/>
    <x v="9"/>
    <x v="2"/>
    <n v="1077589"/>
  </r>
  <r>
    <x v="0"/>
    <x v="8"/>
    <x v="2"/>
    <x v="2"/>
    <n v="107"/>
    <x v="9"/>
    <x v="2"/>
    <n v="1077589"/>
  </r>
  <r>
    <x v="0"/>
    <x v="8"/>
    <x v="2"/>
    <x v="0"/>
    <n v="14"/>
    <x v="9"/>
    <x v="2"/>
    <n v="1077589"/>
  </r>
  <r>
    <x v="0"/>
    <x v="8"/>
    <x v="2"/>
    <x v="1"/>
    <n v="21"/>
    <x v="9"/>
    <x v="2"/>
    <n v="1077589"/>
  </r>
  <r>
    <x v="0"/>
    <x v="8"/>
    <x v="2"/>
    <x v="3"/>
    <n v="5"/>
    <x v="9"/>
    <x v="2"/>
    <n v="1077589"/>
  </r>
  <r>
    <x v="2"/>
    <x v="8"/>
    <x v="2"/>
    <x v="2"/>
    <n v="66"/>
    <x v="9"/>
    <x v="2"/>
    <n v="1077589"/>
  </r>
  <r>
    <x v="2"/>
    <x v="8"/>
    <x v="2"/>
    <x v="0"/>
    <n v="13"/>
    <x v="9"/>
    <x v="2"/>
    <n v="1077589"/>
  </r>
  <r>
    <x v="0"/>
    <x v="8"/>
    <x v="3"/>
    <x v="0"/>
    <n v="10"/>
    <x v="9"/>
    <x v="3"/>
    <n v="1140448"/>
  </r>
  <r>
    <x v="0"/>
    <x v="8"/>
    <x v="3"/>
    <x v="3"/>
    <n v="9"/>
    <x v="9"/>
    <x v="3"/>
    <n v="1140448"/>
  </r>
  <r>
    <x v="0"/>
    <x v="8"/>
    <x v="3"/>
    <x v="1"/>
    <n v="20"/>
    <x v="9"/>
    <x v="3"/>
    <n v="1140448"/>
  </r>
  <r>
    <x v="0"/>
    <x v="8"/>
    <x v="3"/>
    <x v="2"/>
    <n v="68"/>
    <x v="9"/>
    <x v="3"/>
    <n v="1140448"/>
  </r>
  <r>
    <x v="1"/>
    <x v="8"/>
    <x v="3"/>
    <x v="2"/>
    <n v="2"/>
    <x v="9"/>
    <x v="3"/>
    <n v="1140448"/>
  </r>
  <r>
    <x v="2"/>
    <x v="8"/>
    <x v="3"/>
    <x v="2"/>
    <n v="52"/>
    <x v="9"/>
    <x v="3"/>
    <n v="1140448"/>
  </r>
  <r>
    <x v="2"/>
    <x v="8"/>
    <x v="3"/>
    <x v="1"/>
    <n v="16"/>
    <x v="9"/>
    <x v="3"/>
    <n v="1140448"/>
  </r>
  <r>
    <x v="2"/>
    <x v="8"/>
    <x v="3"/>
    <x v="3"/>
    <n v="4"/>
    <x v="9"/>
    <x v="3"/>
    <n v="1140448"/>
  </r>
  <r>
    <x v="2"/>
    <x v="8"/>
    <x v="3"/>
    <x v="0"/>
    <n v="10"/>
    <x v="9"/>
    <x v="3"/>
    <n v="1140448"/>
  </r>
  <r>
    <x v="1"/>
    <x v="8"/>
    <x v="3"/>
    <x v="3"/>
    <n v="1"/>
    <x v="9"/>
    <x v="3"/>
    <n v="1140448"/>
  </r>
  <r>
    <x v="0"/>
    <x v="8"/>
    <x v="4"/>
    <x v="0"/>
    <n v="2"/>
    <x v="9"/>
    <x v="4"/>
    <n v="1132267"/>
  </r>
  <r>
    <x v="1"/>
    <x v="8"/>
    <x v="4"/>
    <x v="2"/>
    <n v="3"/>
    <x v="9"/>
    <x v="4"/>
    <n v="1132267"/>
  </r>
  <r>
    <x v="2"/>
    <x v="8"/>
    <x v="4"/>
    <x v="2"/>
    <n v="33"/>
    <x v="9"/>
    <x v="4"/>
    <n v="1132267"/>
  </r>
  <r>
    <x v="2"/>
    <x v="8"/>
    <x v="4"/>
    <x v="1"/>
    <n v="2"/>
    <x v="9"/>
    <x v="4"/>
    <n v="1132267"/>
  </r>
  <r>
    <x v="2"/>
    <x v="8"/>
    <x v="4"/>
    <x v="3"/>
    <n v="2"/>
    <x v="9"/>
    <x v="4"/>
    <n v="1132267"/>
  </r>
  <r>
    <x v="2"/>
    <x v="8"/>
    <x v="4"/>
    <x v="0"/>
    <n v="1"/>
    <x v="9"/>
    <x v="4"/>
    <n v="1132267"/>
  </r>
  <r>
    <x v="0"/>
    <x v="8"/>
    <x v="4"/>
    <x v="2"/>
    <n v="49"/>
    <x v="9"/>
    <x v="4"/>
    <n v="1132267"/>
  </r>
  <r>
    <x v="0"/>
    <x v="8"/>
    <x v="4"/>
    <x v="1"/>
    <n v="2"/>
    <x v="9"/>
    <x v="4"/>
    <n v="1132267"/>
  </r>
</pivotCacheRecords>
</file>

<file path=xl/pivotCache/pivotCacheRecords3.xml><?xml version="1.0" encoding="utf-8"?>
<pivotCacheRecords xmlns="http://schemas.openxmlformats.org/spreadsheetml/2006/main" xmlns:r="http://schemas.openxmlformats.org/officeDocument/2006/relationships" count="24">
  <r>
    <x v="0"/>
    <x v="0"/>
    <x v="0"/>
    <x v="0"/>
    <x v="0"/>
    <x v="0"/>
    <x v="0"/>
  </r>
  <r>
    <x v="1"/>
    <x v="0"/>
    <x v="1"/>
    <x v="1"/>
    <x v="1"/>
    <x v="1"/>
    <x v="1"/>
  </r>
  <r>
    <x v="2"/>
    <x v="0"/>
    <x v="2"/>
    <x v="2"/>
    <x v="2"/>
    <x v="2"/>
    <x v="2"/>
  </r>
  <r>
    <x v="3"/>
    <x v="0"/>
    <x v="3"/>
    <x v="3"/>
    <x v="3"/>
    <x v="3"/>
    <x v="3"/>
  </r>
  <r>
    <x v="4"/>
    <x v="0"/>
    <x v="4"/>
    <x v="4"/>
    <x v="4"/>
    <x v="4"/>
    <x v="4"/>
  </r>
  <r>
    <x v="5"/>
    <x v="0"/>
    <x v="5"/>
    <x v="5"/>
    <x v="5"/>
    <x v="5"/>
    <x v="5"/>
  </r>
  <r>
    <x v="6"/>
    <x v="0"/>
    <x v="6"/>
    <x v="6"/>
    <x v="6"/>
    <x v="6"/>
    <x v="6"/>
  </r>
  <r>
    <x v="7"/>
    <x v="0"/>
    <x v="7"/>
    <x v="7"/>
    <x v="7"/>
    <x v="7"/>
    <x v="7"/>
  </r>
  <r>
    <x v="8"/>
    <x v="0"/>
    <x v="4"/>
    <x v="8"/>
    <x v="8"/>
    <x v="8"/>
    <x v="8"/>
  </r>
  <r>
    <x v="9"/>
    <x v="0"/>
    <x v="8"/>
    <x v="9"/>
    <x v="9"/>
    <x v="6"/>
    <x v="9"/>
  </r>
  <r>
    <x v="10"/>
    <x v="0"/>
    <x v="9"/>
    <x v="10"/>
    <x v="10"/>
    <x v="9"/>
    <x v="10"/>
  </r>
  <r>
    <x v="11"/>
    <x v="0"/>
    <x v="10"/>
    <x v="11"/>
    <x v="11"/>
    <x v="10"/>
    <x v="11"/>
  </r>
  <r>
    <x v="0"/>
    <x v="1"/>
    <x v="11"/>
    <x v="12"/>
    <x v="12"/>
    <x v="11"/>
    <x v="12"/>
  </r>
  <r>
    <x v="1"/>
    <x v="1"/>
    <x v="12"/>
    <x v="13"/>
    <x v="13"/>
    <x v="12"/>
    <x v="13"/>
  </r>
  <r>
    <x v="2"/>
    <x v="1"/>
    <x v="13"/>
    <x v="14"/>
    <x v="14"/>
    <x v="13"/>
    <x v="14"/>
  </r>
  <r>
    <x v="3"/>
    <x v="1"/>
    <x v="14"/>
    <x v="15"/>
    <x v="15"/>
    <x v="14"/>
    <x v="15"/>
  </r>
  <r>
    <x v="4"/>
    <x v="1"/>
    <x v="15"/>
    <x v="16"/>
    <x v="16"/>
    <x v="15"/>
    <x v="16"/>
  </r>
  <r>
    <x v="5"/>
    <x v="1"/>
    <x v="16"/>
    <x v="17"/>
    <x v="17"/>
    <x v="16"/>
    <x v="17"/>
  </r>
  <r>
    <x v="6"/>
    <x v="1"/>
    <x v="17"/>
    <x v="18"/>
    <x v="18"/>
    <x v="17"/>
    <x v="18"/>
  </r>
  <r>
    <x v="7"/>
    <x v="1"/>
    <x v="18"/>
    <x v="19"/>
    <x v="19"/>
    <x v="18"/>
    <x v="19"/>
  </r>
  <r>
    <x v="8"/>
    <x v="1"/>
    <x v="19"/>
    <x v="20"/>
    <x v="20"/>
    <x v="19"/>
    <x v="20"/>
  </r>
  <r>
    <x v="9"/>
    <x v="1"/>
    <x v="20"/>
    <x v="21"/>
    <x v="21"/>
    <x v="20"/>
    <x v="21"/>
  </r>
  <r>
    <x v="10"/>
    <x v="1"/>
    <x v="21"/>
    <x v="22"/>
    <x v="22"/>
    <x v="21"/>
    <x v="22"/>
  </r>
  <r>
    <x v="11"/>
    <x v="1"/>
    <x v="22"/>
    <x v="23"/>
    <x v="23"/>
    <x v="22"/>
    <x v="23"/>
  </r>
</pivotCacheRecords>
</file>

<file path=xl/pivotCache/pivotCacheRecords30.xml><?xml version="1.0" encoding="utf-8"?>
<pivotCacheRecords xmlns="http://schemas.openxmlformats.org/spreadsheetml/2006/main" xmlns:r="http://schemas.openxmlformats.org/officeDocument/2006/relationships" count="420">
  <r>
    <x v="0"/>
    <x v="0"/>
    <x v="0"/>
    <n v="1"/>
    <x v="0"/>
    <x v="0"/>
    <m/>
  </r>
  <r>
    <x v="0"/>
    <x v="0"/>
    <x v="1"/>
    <n v="2305"/>
    <x v="1"/>
    <x v="1"/>
    <n v="1053621"/>
  </r>
  <r>
    <x v="0"/>
    <x v="0"/>
    <x v="2"/>
    <n v="1337"/>
    <x v="1"/>
    <x v="2"/>
    <n v="1052734"/>
  </r>
  <r>
    <x v="0"/>
    <x v="0"/>
    <x v="3"/>
    <n v="934"/>
    <x v="1"/>
    <x v="3"/>
    <n v="1061383"/>
  </r>
  <r>
    <x v="0"/>
    <x v="0"/>
    <x v="4"/>
    <n v="693"/>
    <x v="1"/>
    <x v="4"/>
    <n v="1060010"/>
  </r>
  <r>
    <x v="0"/>
    <x v="0"/>
    <x v="5"/>
    <n v="559"/>
    <x v="1"/>
    <x v="5"/>
    <n v="1085852"/>
  </r>
  <r>
    <x v="0"/>
    <x v="1"/>
    <x v="1"/>
    <n v="549"/>
    <x v="1"/>
    <x v="1"/>
    <n v="1053621"/>
  </r>
  <r>
    <x v="0"/>
    <x v="1"/>
    <x v="2"/>
    <n v="611"/>
    <x v="1"/>
    <x v="2"/>
    <n v="1052734"/>
  </r>
  <r>
    <x v="0"/>
    <x v="1"/>
    <x v="3"/>
    <n v="500"/>
    <x v="1"/>
    <x v="3"/>
    <n v="1061383"/>
  </r>
  <r>
    <x v="0"/>
    <x v="1"/>
    <x v="4"/>
    <n v="473"/>
    <x v="1"/>
    <x v="4"/>
    <n v="1060010"/>
  </r>
  <r>
    <x v="0"/>
    <x v="1"/>
    <x v="5"/>
    <n v="275"/>
    <x v="1"/>
    <x v="5"/>
    <n v="1085852"/>
  </r>
  <r>
    <x v="0"/>
    <x v="2"/>
    <x v="0"/>
    <n v="4"/>
    <x v="0"/>
    <x v="0"/>
    <m/>
  </r>
  <r>
    <x v="0"/>
    <x v="2"/>
    <x v="1"/>
    <n v="514"/>
    <x v="1"/>
    <x v="1"/>
    <n v="1053621"/>
  </r>
  <r>
    <x v="0"/>
    <x v="2"/>
    <x v="2"/>
    <n v="431"/>
    <x v="1"/>
    <x v="2"/>
    <n v="1052734"/>
  </r>
  <r>
    <x v="0"/>
    <x v="2"/>
    <x v="3"/>
    <n v="448"/>
    <x v="1"/>
    <x v="3"/>
    <n v="1061383"/>
  </r>
  <r>
    <x v="0"/>
    <x v="2"/>
    <x v="4"/>
    <n v="465"/>
    <x v="1"/>
    <x v="4"/>
    <n v="1060010"/>
  </r>
  <r>
    <x v="0"/>
    <x v="2"/>
    <x v="5"/>
    <n v="172"/>
    <x v="1"/>
    <x v="5"/>
    <n v="1085852"/>
  </r>
  <r>
    <x v="0"/>
    <x v="3"/>
    <x v="0"/>
    <n v="5"/>
    <x v="0"/>
    <x v="0"/>
    <m/>
  </r>
  <r>
    <x v="0"/>
    <x v="3"/>
    <x v="1"/>
    <n v="204"/>
    <x v="1"/>
    <x v="1"/>
    <n v="1053621"/>
  </r>
  <r>
    <x v="0"/>
    <x v="3"/>
    <x v="2"/>
    <n v="161"/>
    <x v="1"/>
    <x v="2"/>
    <n v="1052734"/>
  </r>
  <r>
    <x v="0"/>
    <x v="3"/>
    <x v="3"/>
    <n v="171"/>
    <x v="1"/>
    <x v="3"/>
    <n v="1061383"/>
  </r>
  <r>
    <x v="0"/>
    <x v="3"/>
    <x v="4"/>
    <n v="196"/>
    <x v="1"/>
    <x v="4"/>
    <n v="1060010"/>
  </r>
  <r>
    <x v="0"/>
    <x v="3"/>
    <x v="5"/>
    <n v="78"/>
    <x v="1"/>
    <x v="5"/>
    <n v="1085852"/>
  </r>
  <r>
    <x v="0"/>
    <x v="4"/>
    <x v="0"/>
    <n v="8"/>
    <x v="0"/>
    <x v="0"/>
    <m/>
  </r>
  <r>
    <x v="0"/>
    <x v="4"/>
    <x v="1"/>
    <n v="8071"/>
    <x v="1"/>
    <x v="1"/>
    <n v="1053621"/>
  </r>
  <r>
    <x v="0"/>
    <x v="4"/>
    <x v="2"/>
    <n v="7803"/>
    <x v="1"/>
    <x v="2"/>
    <n v="1052734"/>
  </r>
  <r>
    <x v="0"/>
    <x v="4"/>
    <x v="3"/>
    <n v="7823"/>
    <x v="1"/>
    <x v="3"/>
    <n v="1061383"/>
  </r>
  <r>
    <x v="0"/>
    <x v="4"/>
    <x v="4"/>
    <n v="6801"/>
    <x v="1"/>
    <x v="4"/>
    <n v="1060010"/>
  </r>
  <r>
    <x v="0"/>
    <x v="4"/>
    <x v="5"/>
    <n v="4604"/>
    <x v="1"/>
    <x v="5"/>
    <n v="1085852"/>
  </r>
  <r>
    <x v="0"/>
    <x v="5"/>
    <x v="0"/>
    <n v="11"/>
    <x v="0"/>
    <x v="0"/>
    <m/>
  </r>
  <r>
    <x v="0"/>
    <x v="5"/>
    <x v="1"/>
    <n v="2847"/>
    <x v="1"/>
    <x v="1"/>
    <n v="1053621"/>
  </r>
  <r>
    <x v="0"/>
    <x v="5"/>
    <x v="2"/>
    <n v="2294"/>
    <x v="1"/>
    <x v="2"/>
    <n v="1052734"/>
  </r>
  <r>
    <x v="0"/>
    <x v="5"/>
    <x v="3"/>
    <n v="1899"/>
    <x v="1"/>
    <x v="3"/>
    <n v="1061383"/>
  </r>
  <r>
    <x v="0"/>
    <x v="5"/>
    <x v="4"/>
    <n v="1658"/>
    <x v="1"/>
    <x v="4"/>
    <n v="1060010"/>
  </r>
  <r>
    <x v="0"/>
    <x v="5"/>
    <x v="5"/>
    <n v="1162"/>
    <x v="1"/>
    <x v="5"/>
    <n v="1085852"/>
  </r>
  <r>
    <x v="0"/>
    <x v="6"/>
    <x v="0"/>
    <n v="1"/>
    <x v="0"/>
    <x v="0"/>
    <m/>
  </r>
  <r>
    <x v="0"/>
    <x v="6"/>
    <x v="1"/>
    <n v="894"/>
    <x v="1"/>
    <x v="1"/>
    <n v="1053621"/>
  </r>
  <r>
    <x v="0"/>
    <x v="6"/>
    <x v="2"/>
    <n v="516"/>
    <x v="1"/>
    <x v="2"/>
    <n v="1052734"/>
  </r>
  <r>
    <x v="0"/>
    <x v="6"/>
    <x v="3"/>
    <n v="397"/>
    <x v="1"/>
    <x v="3"/>
    <n v="1061383"/>
  </r>
  <r>
    <x v="0"/>
    <x v="6"/>
    <x v="4"/>
    <n v="320"/>
    <x v="1"/>
    <x v="4"/>
    <n v="1060010"/>
  </r>
  <r>
    <x v="0"/>
    <x v="6"/>
    <x v="5"/>
    <n v="179"/>
    <x v="1"/>
    <x v="5"/>
    <n v="1085852"/>
  </r>
  <r>
    <x v="0"/>
    <x v="7"/>
    <x v="0"/>
    <n v="32"/>
    <x v="0"/>
    <x v="0"/>
    <m/>
  </r>
  <r>
    <x v="0"/>
    <x v="7"/>
    <x v="1"/>
    <n v="5839"/>
    <x v="1"/>
    <x v="1"/>
    <n v="1053621"/>
  </r>
  <r>
    <x v="0"/>
    <x v="7"/>
    <x v="2"/>
    <n v="3069"/>
    <x v="1"/>
    <x v="2"/>
    <n v="1052734"/>
  </r>
  <r>
    <x v="0"/>
    <x v="7"/>
    <x v="3"/>
    <n v="2431"/>
    <x v="1"/>
    <x v="3"/>
    <n v="1061383"/>
  </r>
  <r>
    <x v="0"/>
    <x v="7"/>
    <x v="4"/>
    <n v="1908"/>
    <x v="1"/>
    <x v="4"/>
    <n v="1060010"/>
  </r>
  <r>
    <x v="0"/>
    <x v="7"/>
    <x v="5"/>
    <n v="994"/>
    <x v="1"/>
    <x v="5"/>
    <n v="1085852"/>
  </r>
  <r>
    <x v="1"/>
    <x v="0"/>
    <x v="1"/>
    <n v="2109"/>
    <x v="2"/>
    <x v="1"/>
    <n v="1052242"/>
  </r>
  <r>
    <x v="1"/>
    <x v="0"/>
    <x v="2"/>
    <n v="1204"/>
    <x v="2"/>
    <x v="2"/>
    <n v="1051706"/>
  </r>
  <r>
    <x v="1"/>
    <x v="0"/>
    <x v="3"/>
    <n v="824"/>
    <x v="2"/>
    <x v="3"/>
    <n v="1062201"/>
  </r>
  <r>
    <x v="1"/>
    <x v="0"/>
    <x v="4"/>
    <n v="650"/>
    <x v="2"/>
    <x v="4"/>
    <n v="1066971"/>
  </r>
  <r>
    <x v="1"/>
    <x v="0"/>
    <x v="5"/>
    <n v="536"/>
    <x v="2"/>
    <x v="5"/>
    <n v="1094580"/>
  </r>
  <r>
    <x v="1"/>
    <x v="1"/>
    <x v="1"/>
    <n v="502"/>
    <x v="2"/>
    <x v="1"/>
    <n v="1052242"/>
  </r>
  <r>
    <x v="1"/>
    <x v="1"/>
    <x v="2"/>
    <n v="574"/>
    <x v="2"/>
    <x v="2"/>
    <n v="1051706"/>
  </r>
  <r>
    <x v="1"/>
    <x v="1"/>
    <x v="3"/>
    <n v="514"/>
    <x v="2"/>
    <x v="3"/>
    <n v="1062201"/>
  </r>
  <r>
    <x v="1"/>
    <x v="1"/>
    <x v="4"/>
    <n v="469"/>
    <x v="2"/>
    <x v="4"/>
    <n v="1066971"/>
  </r>
  <r>
    <x v="1"/>
    <x v="1"/>
    <x v="5"/>
    <n v="287"/>
    <x v="2"/>
    <x v="5"/>
    <n v="1094580"/>
  </r>
  <r>
    <x v="1"/>
    <x v="2"/>
    <x v="0"/>
    <n v="3"/>
    <x v="0"/>
    <x v="0"/>
    <m/>
  </r>
  <r>
    <x v="1"/>
    <x v="2"/>
    <x v="1"/>
    <n v="498"/>
    <x v="2"/>
    <x v="1"/>
    <n v="1052242"/>
  </r>
  <r>
    <x v="1"/>
    <x v="2"/>
    <x v="2"/>
    <n v="398"/>
    <x v="2"/>
    <x v="2"/>
    <n v="1051706"/>
  </r>
  <r>
    <x v="1"/>
    <x v="2"/>
    <x v="3"/>
    <n v="399"/>
    <x v="2"/>
    <x v="3"/>
    <n v="1062201"/>
  </r>
  <r>
    <x v="1"/>
    <x v="2"/>
    <x v="4"/>
    <n v="414"/>
    <x v="2"/>
    <x v="4"/>
    <n v="1066971"/>
  </r>
  <r>
    <x v="1"/>
    <x v="2"/>
    <x v="5"/>
    <n v="226"/>
    <x v="2"/>
    <x v="5"/>
    <n v="1094580"/>
  </r>
  <r>
    <x v="1"/>
    <x v="3"/>
    <x v="0"/>
    <n v="6"/>
    <x v="0"/>
    <x v="0"/>
    <m/>
  </r>
  <r>
    <x v="1"/>
    <x v="3"/>
    <x v="1"/>
    <n v="185"/>
    <x v="2"/>
    <x v="1"/>
    <n v="1052242"/>
  </r>
  <r>
    <x v="1"/>
    <x v="3"/>
    <x v="2"/>
    <n v="183"/>
    <x v="2"/>
    <x v="2"/>
    <n v="1051706"/>
  </r>
  <r>
    <x v="1"/>
    <x v="3"/>
    <x v="3"/>
    <n v="199"/>
    <x v="2"/>
    <x v="3"/>
    <n v="1062201"/>
  </r>
  <r>
    <x v="1"/>
    <x v="3"/>
    <x v="4"/>
    <n v="224"/>
    <x v="2"/>
    <x v="4"/>
    <n v="1066971"/>
  </r>
  <r>
    <x v="1"/>
    <x v="3"/>
    <x v="5"/>
    <n v="117"/>
    <x v="2"/>
    <x v="5"/>
    <n v="1094580"/>
  </r>
  <r>
    <x v="1"/>
    <x v="4"/>
    <x v="0"/>
    <n v="2"/>
    <x v="0"/>
    <x v="0"/>
    <m/>
  </r>
  <r>
    <x v="1"/>
    <x v="4"/>
    <x v="1"/>
    <n v="8034"/>
    <x v="2"/>
    <x v="1"/>
    <n v="1052242"/>
  </r>
  <r>
    <x v="1"/>
    <x v="4"/>
    <x v="2"/>
    <n v="8115"/>
    <x v="2"/>
    <x v="2"/>
    <n v="1051706"/>
  </r>
  <r>
    <x v="1"/>
    <x v="4"/>
    <x v="3"/>
    <n v="7632"/>
    <x v="2"/>
    <x v="3"/>
    <n v="1062201"/>
  </r>
  <r>
    <x v="1"/>
    <x v="4"/>
    <x v="4"/>
    <n v="6612"/>
    <x v="2"/>
    <x v="4"/>
    <n v="1066971"/>
  </r>
  <r>
    <x v="1"/>
    <x v="4"/>
    <x v="5"/>
    <n v="4818"/>
    <x v="2"/>
    <x v="5"/>
    <n v="1094580"/>
  </r>
  <r>
    <x v="1"/>
    <x v="5"/>
    <x v="0"/>
    <n v="5"/>
    <x v="0"/>
    <x v="0"/>
    <m/>
  </r>
  <r>
    <x v="1"/>
    <x v="5"/>
    <x v="1"/>
    <n v="2700"/>
    <x v="2"/>
    <x v="1"/>
    <n v="1052242"/>
  </r>
  <r>
    <x v="1"/>
    <x v="5"/>
    <x v="2"/>
    <n v="2224"/>
    <x v="2"/>
    <x v="2"/>
    <n v="1051706"/>
  </r>
  <r>
    <x v="1"/>
    <x v="5"/>
    <x v="3"/>
    <n v="1872"/>
    <x v="2"/>
    <x v="3"/>
    <n v="1062201"/>
  </r>
  <r>
    <x v="1"/>
    <x v="5"/>
    <x v="4"/>
    <n v="1694"/>
    <x v="2"/>
    <x v="4"/>
    <n v="1066971"/>
  </r>
  <r>
    <x v="1"/>
    <x v="5"/>
    <x v="5"/>
    <n v="1122"/>
    <x v="2"/>
    <x v="5"/>
    <n v="1094580"/>
  </r>
  <r>
    <x v="1"/>
    <x v="6"/>
    <x v="1"/>
    <n v="858"/>
    <x v="2"/>
    <x v="1"/>
    <n v="1052242"/>
  </r>
  <r>
    <x v="1"/>
    <x v="6"/>
    <x v="2"/>
    <n v="543"/>
    <x v="2"/>
    <x v="2"/>
    <n v="1051706"/>
  </r>
  <r>
    <x v="1"/>
    <x v="6"/>
    <x v="3"/>
    <n v="459"/>
    <x v="2"/>
    <x v="3"/>
    <n v="1062201"/>
  </r>
  <r>
    <x v="1"/>
    <x v="6"/>
    <x v="4"/>
    <n v="330"/>
    <x v="2"/>
    <x v="4"/>
    <n v="1066971"/>
  </r>
  <r>
    <x v="1"/>
    <x v="6"/>
    <x v="5"/>
    <n v="175"/>
    <x v="2"/>
    <x v="5"/>
    <n v="1094580"/>
  </r>
  <r>
    <x v="1"/>
    <x v="7"/>
    <x v="0"/>
    <n v="37"/>
    <x v="0"/>
    <x v="0"/>
    <m/>
  </r>
  <r>
    <x v="1"/>
    <x v="7"/>
    <x v="1"/>
    <n v="6234"/>
    <x v="2"/>
    <x v="1"/>
    <n v="1052242"/>
  </r>
  <r>
    <x v="1"/>
    <x v="7"/>
    <x v="2"/>
    <n v="3500"/>
    <x v="2"/>
    <x v="2"/>
    <n v="1051706"/>
  </r>
  <r>
    <x v="1"/>
    <x v="7"/>
    <x v="3"/>
    <n v="2762"/>
    <x v="2"/>
    <x v="3"/>
    <n v="1062201"/>
  </r>
  <r>
    <x v="1"/>
    <x v="7"/>
    <x v="4"/>
    <n v="2551"/>
    <x v="2"/>
    <x v="4"/>
    <n v="1066971"/>
  </r>
  <r>
    <x v="1"/>
    <x v="7"/>
    <x v="5"/>
    <n v="1277"/>
    <x v="2"/>
    <x v="5"/>
    <n v="1094580"/>
  </r>
  <r>
    <x v="2"/>
    <x v="0"/>
    <x v="0"/>
    <n v="1"/>
    <x v="0"/>
    <x v="0"/>
    <m/>
  </r>
  <r>
    <x v="2"/>
    <x v="0"/>
    <x v="1"/>
    <n v="2138"/>
    <x v="3"/>
    <x v="1"/>
    <n v="1051892"/>
  </r>
  <r>
    <x v="2"/>
    <x v="0"/>
    <x v="2"/>
    <n v="1263"/>
    <x v="3"/>
    <x v="2"/>
    <n v="1052469"/>
  </r>
  <r>
    <x v="2"/>
    <x v="0"/>
    <x v="3"/>
    <n v="954"/>
    <x v="3"/>
    <x v="3"/>
    <n v="1063532"/>
  </r>
  <r>
    <x v="2"/>
    <x v="0"/>
    <x v="4"/>
    <n v="681"/>
    <x v="3"/>
    <x v="4"/>
    <n v="1076943"/>
  </r>
  <r>
    <x v="2"/>
    <x v="0"/>
    <x v="5"/>
    <n v="537"/>
    <x v="3"/>
    <x v="5"/>
    <n v="1102764"/>
  </r>
  <r>
    <x v="2"/>
    <x v="1"/>
    <x v="1"/>
    <n v="543"/>
    <x v="3"/>
    <x v="1"/>
    <n v="1051892"/>
  </r>
  <r>
    <x v="2"/>
    <x v="1"/>
    <x v="2"/>
    <n v="518"/>
    <x v="3"/>
    <x v="2"/>
    <n v="1052469"/>
  </r>
  <r>
    <x v="2"/>
    <x v="1"/>
    <x v="3"/>
    <n v="544"/>
    <x v="3"/>
    <x v="3"/>
    <n v="1063532"/>
  </r>
  <r>
    <x v="2"/>
    <x v="1"/>
    <x v="4"/>
    <n v="459"/>
    <x v="3"/>
    <x v="4"/>
    <n v="1076943"/>
  </r>
  <r>
    <x v="2"/>
    <x v="1"/>
    <x v="5"/>
    <n v="260"/>
    <x v="3"/>
    <x v="5"/>
    <n v="1102764"/>
  </r>
  <r>
    <x v="2"/>
    <x v="2"/>
    <x v="0"/>
    <n v="1"/>
    <x v="0"/>
    <x v="0"/>
    <m/>
  </r>
  <r>
    <x v="2"/>
    <x v="2"/>
    <x v="1"/>
    <n v="530"/>
    <x v="3"/>
    <x v="1"/>
    <n v="1051892"/>
  </r>
  <r>
    <x v="2"/>
    <x v="2"/>
    <x v="2"/>
    <n v="377"/>
    <x v="3"/>
    <x v="2"/>
    <n v="1052469"/>
  </r>
  <r>
    <x v="2"/>
    <x v="2"/>
    <x v="3"/>
    <n v="402"/>
    <x v="3"/>
    <x v="3"/>
    <n v="1063532"/>
  </r>
  <r>
    <x v="2"/>
    <x v="2"/>
    <x v="4"/>
    <n v="411"/>
    <x v="3"/>
    <x v="4"/>
    <n v="1076943"/>
  </r>
  <r>
    <x v="2"/>
    <x v="2"/>
    <x v="5"/>
    <n v="176"/>
    <x v="3"/>
    <x v="5"/>
    <n v="1102764"/>
  </r>
  <r>
    <x v="2"/>
    <x v="3"/>
    <x v="0"/>
    <n v="3"/>
    <x v="0"/>
    <x v="0"/>
    <m/>
  </r>
  <r>
    <x v="2"/>
    <x v="3"/>
    <x v="1"/>
    <n v="180"/>
    <x v="3"/>
    <x v="1"/>
    <n v="1051892"/>
  </r>
  <r>
    <x v="2"/>
    <x v="3"/>
    <x v="2"/>
    <n v="166"/>
    <x v="3"/>
    <x v="2"/>
    <n v="1052469"/>
  </r>
  <r>
    <x v="2"/>
    <x v="3"/>
    <x v="3"/>
    <n v="178"/>
    <x v="3"/>
    <x v="3"/>
    <n v="1063532"/>
  </r>
  <r>
    <x v="2"/>
    <x v="3"/>
    <x v="4"/>
    <n v="211"/>
    <x v="3"/>
    <x v="4"/>
    <n v="1076943"/>
  </r>
  <r>
    <x v="2"/>
    <x v="3"/>
    <x v="5"/>
    <n v="100"/>
    <x v="3"/>
    <x v="5"/>
    <n v="1102764"/>
  </r>
  <r>
    <x v="2"/>
    <x v="4"/>
    <x v="0"/>
    <n v="1"/>
    <x v="0"/>
    <x v="0"/>
    <m/>
  </r>
  <r>
    <x v="2"/>
    <x v="4"/>
    <x v="1"/>
    <n v="8503"/>
    <x v="3"/>
    <x v="1"/>
    <n v="1051892"/>
  </r>
  <r>
    <x v="2"/>
    <x v="4"/>
    <x v="2"/>
    <n v="8379"/>
    <x v="3"/>
    <x v="2"/>
    <n v="1052469"/>
  </r>
  <r>
    <x v="2"/>
    <x v="4"/>
    <x v="3"/>
    <n v="8367"/>
    <x v="3"/>
    <x v="3"/>
    <n v="1063532"/>
  </r>
  <r>
    <x v="2"/>
    <x v="4"/>
    <x v="4"/>
    <n v="7047"/>
    <x v="3"/>
    <x v="4"/>
    <n v="1076943"/>
  </r>
  <r>
    <x v="2"/>
    <x v="4"/>
    <x v="5"/>
    <n v="5040"/>
    <x v="3"/>
    <x v="5"/>
    <n v="1102764"/>
  </r>
  <r>
    <x v="2"/>
    <x v="5"/>
    <x v="0"/>
    <n v="3"/>
    <x v="0"/>
    <x v="0"/>
    <m/>
  </r>
  <r>
    <x v="2"/>
    <x v="5"/>
    <x v="1"/>
    <n v="2543"/>
    <x v="3"/>
    <x v="1"/>
    <n v="1051892"/>
  </r>
  <r>
    <x v="2"/>
    <x v="5"/>
    <x v="2"/>
    <n v="2198"/>
    <x v="3"/>
    <x v="2"/>
    <n v="1052469"/>
  </r>
  <r>
    <x v="2"/>
    <x v="5"/>
    <x v="3"/>
    <n v="1826"/>
    <x v="3"/>
    <x v="3"/>
    <n v="1063532"/>
  </r>
  <r>
    <x v="2"/>
    <x v="5"/>
    <x v="4"/>
    <n v="1620"/>
    <x v="3"/>
    <x v="4"/>
    <n v="1076943"/>
  </r>
  <r>
    <x v="2"/>
    <x v="5"/>
    <x v="5"/>
    <n v="1066"/>
    <x v="3"/>
    <x v="5"/>
    <n v="1102764"/>
  </r>
  <r>
    <x v="2"/>
    <x v="6"/>
    <x v="0"/>
    <n v="1"/>
    <x v="0"/>
    <x v="0"/>
    <m/>
  </r>
  <r>
    <x v="2"/>
    <x v="6"/>
    <x v="1"/>
    <n v="756"/>
    <x v="3"/>
    <x v="1"/>
    <n v="1051892"/>
  </r>
  <r>
    <x v="2"/>
    <x v="6"/>
    <x v="2"/>
    <n v="448"/>
    <x v="3"/>
    <x v="2"/>
    <n v="1052469"/>
  </r>
  <r>
    <x v="2"/>
    <x v="6"/>
    <x v="3"/>
    <n v="410"/>
    <x v="3"/>
    <x v="3"/>
    <n v="1063532"/>
  </r>
  <r>
    <x v="2"/>
    <x v="6"/>
    <x v="4"/>
    <n v="273"/>
    <x v="3"/>
    <x v="4"/>
    <n v="1076943"/>
  </r>
  <r>
    <x v="2"/>
    <x v="6"/>
    <x v="5"/>
    <n v="168"/>
    <x v="3"/>
    <x v="5"/>
    <n v="1102764"/>
  </r>
  <r>
    <x v="2"/>
    <x v="7"/>
    <x v="0"/>
    <n v="17"/>
    <x v="0"/>
    <x v="0"/>
    <m/>
  </r>
  <r>
    <x v="2"/>
    <x v="7"/>
    <x v="1"/>
    <n v="5461"/>
    <x v="3"/>
    <x v="1"/>
    <n v="1051892"/>
  </r>
  <r>
    <x v="2"/>
    <x v="7"/>
    <x v="2"/>
    <n v="2781"/>
    <x v="3"/>
    <x v="2"/>
    <n v="1052469"/>
  </r>
  <r>
    <x v="2"/>
    <x v="7"/>
    <x v="3"/>
    <n v="2093"/>
    <x v="3"/>
    <x v="3"/>
    <n v="1063532"/>
  </r>
  <r>
    <x v="2"/>
    <x v="7"/>
    <x v="4"/>
    <n v="2006"/>
    <x v="3"/>
    <x v="4"/>
    <n v="1076943"/>
  </r>
  <r>
    <x v="2"/>
    <x v="7"/>
    <x v="5"/>
    <n v="1048"/>
    <x v="3"/>
    <x v="5"/>
    <n v="1102764"/>
  </r>
  <r>
    <x v="3"/>
    <x v="0"/>
    <x v="1"/>
    <n v="2230"/>
    <x v="4"/>
    <x v="1"/>
    <n v="1054168"/>
  </r>
  <r>
    <x v="3"/>
    <x v="0"/>
    <x v="2"/>
    <n v="1298"/>
    <x v="4"/>
    <x v="2"/>
    <n v="1055402"/>
  </r>
  <r>
    <x v="3"/>
    <x v="0"/>
    <x v="3"/>
    <n v="945"/>
    <x v="4"/>
    <x v="3"/>
    <n v="1065989"/>
  </r>
  <r>
    <x v="3"/>
    <x v="0"/>
    <x v="4"/>
    <n v="737"/>
    <x v="4"/>
    <x v="4"/>
    <n v="1087470"/>
  </r>
  <r>
    <x v="3"/>
    <x v="0"/>
    <x v="5"/>
    <n v="463"/>
    <x v="4"/>
    <x v="5"/>
    <n v="1109971"/>
  </r>
  <r>
    <x v="3"/>
    <x v="1"/>
    <x v="0"/>
    <n v="2"/>
    <x v="0"/>
    <x v="0"/>
    <m/>
  </r>
  <r>
    <x v="3"/>
    <x v="1"/>
    <x v="1"/>
    <n v="592"/>
    <x v="4"/>
    <x v="1"/>
    <n v="1054168"/>
  </r>
  <r>
    <x v="3"/>
    <x v="1"/>
    <x v="2"/>
    <n v="522"/>
    <x v="4"/>
    <x v="2"/>
    <n v="1055402"/>
  </r>
  <r>
    <x v="3"/>
    <x v="1"/>
    <x v="3"/>
    <n v="537"/>
    <x v="4"/>
    <x v="3"/>
    <n v="1065989"/>
  </r>
  <r>
    <x v="3"/>
    <x v="1"/>
    <x v="4"/>
    <n v="542"/>
    <x v="4"/>
    <x v="4"/>
    <n v="1087470"/>
  </r>
  <r>
    <x v="3"/>
    <x v="1"/>
    <x v="5"/>
    <n v="299"/>
    <x v="4"/>
    <x v="5"/>
    <n v="1109971"/>
  </r>
  <r>
    <x v="3"/>
    <x v="2"/>
    <x v="0"/>
    <n v="1"/>
    <x v="0"/>
    <x v="0"/>
    <m/>
  </r>
  <r>
    <x v="3"/>
    <x v="2"/>
    <x v="1"/>
    <n v="517"/>
    <x v="4"/>
    <x v="1"/>
    <n v="1054168"/>
  </r>
  <r>
    <x v="3"/>
    <x v="2"/>
    <x v="2"/>
    <n v="392"/>
    <x v="4"/>
    <x v="2"/>
    <n v="1055402"/>
  </r>
  <r>
    <x v="3"/>
    <x v="2"/>
    <x v="3"/>
    <n v="409"/>
    <x v="4"/>
    <x v="3"/>
    <n v="1065989"/>
  </r>
  <r>
    <x v="3"/>
    <x v="2"/>
    <x v="4"/>
    <n v="425"/>
    <x v="4"/>
    <x v="4"/>
    <n v="1087470"/>
  </r>
  <r>
    <x v="3"/>
    <x v="2"/>
    <x v="5"/>
    <n v="221"/>
    <x v="4"/>
    <x v="5"/>
    <n v="1109971"/>
  </r>
  <r>
    <x v="3"/>
    <x v="3"/>
    <x v="0"/>
    <n v="11"/>
    <x v="0"/>
    <x v="0"/>
    <m/>
  </r>
  <r>
    <x v="3"/>
    <x v="3"/>
    <x v="1"/>
    <n v="163"/>
    <x v="4"/>
    <x v="1"/>
    <n v="1054168"/>
  </r>
  <r>
    <x v="3"/>
    <x v="3"/>
    <x v="2"/>
    <n v="195"/>
    <x v="4"/>
    <x v="2"/>
    <n v="1055402"/>
  </r>
  <r>
    <x v="3"/>
    <x v="3"/>
    <x v="3"/>
    <n v="184"/>
    <x v="4"/>
    <x v="3"/>
    <n v="1065989"/>
  </r>
  <r>
    <x v="3"/>
    <x v="3"/>
    <x v="4"/>
    <n v="212"/>
    <x v="4"/>
    <x v="4"/>
    <n v="1087470"/>
  </r>
  <r>
    <x v="3"/>
    <x v="3"/>
    <x v="5"/>
    <n v="109"/>
    <x v="4"/>
    <x v="5"/>
    <n v="1109971"/>
  </r>
  <r>
    <x v="3"/>
    <x v="4"/>
    <x v="0"/>
    <n v="11"/>
    <x v="0"/>
    <x v="0"/>
    <m/>
  </r>
  <r>
    <x v="3"/>
    <x v="4"/>
    <x v="1"/>
    <n v="8520"/>
    <x v="4"/>
    <x v="1"/>
    <n v="1054168"/>
  </r>
  <r>
    <x v="3"/>
    <x v="4"/>
    <x v="2"/>
    <n v="8415"/>
    <x v="4"/>
    <x v="2"/>
    <n v="1055402"/>
  </r>
  <r>
    <x v="3"/>
    <x v="4"/>
    <x v="3"/>
    <n v="8540"/>
    <x v="4"/>
    <x v="3"/>
    <n v="1065989"/>
  </r>
  <r>
    <x v="3"/>
    <x v="4"/>
    <x v="4"/>
    <n v="7133"/>
    <x v="4"/>
    <x v="4"/>
    <n v="1087470"/>
  </r>
  <r>
    <x v="3"/>
    <x v="4"/>
    <x v="5"/>
    <n v="5002"/>
    <x v="4"/>
    <x v="5"/>
    <n v="1109971"/>
  </r>
  <r>
    <x v="3"/>
    <x v="5"/>
    <x v="0"/>
    <n v="10"/>
    <x v="0"/>
    <x v="0"/>
    <m/>
  </r>
  <r>
    <x v="3"/>
    <x v="5"/>
    <x v="1"/>
    <n v="2382"/>
    <x v="4"/>
    <x v="1"/>
    <n v="1054168"/>
  </r>
  <r>
    <x v="3"/>
    <x v="5"/>
    <x v="2"/>
    <n v="2039"/>
    <x v="4"/>
    <x v="2"/>
    <n v="1055402"/>
  </r>
  <r>
    <x v="3"/>
    <x v="5"/>
    <x v="3"/>
    <n v="1792"/>
    <x v="4"/>
    <x v="3"/>
    <n v="1065989"/>
  </r>
  <r>
    <x v="3"/>
    <x v="5"/>
    <x v="4"/>
    <n v="1591"/>
    <x v="4"/>
    <x v="4"/>
    <n v="1087470"/>
  </r>
  <r>
    <x v="3"/>
    <x v="5"/>
    <x v="5"/>
    <n v="1036"/>
    <x v="4"/>
    <x v="5"/>
    <n v="1109971"/>
  </r>
  <r>
    <x v="3"/>
    <x v="6"/>
    <x v="1"/>
    <n v="870"/>
    <x v="4"/>
    <x v="1"/>
    <n v="1054168"/>
  </r>
  <r>
    <x v="3"/>
    <x v="6"/>
    <x v="2"/>
    <n v="480"/>
    <x v="4"/>
    <x v="2"/>
    <n v="1055402"/>
  </r>
  <r>
    <x v="3"/>
    <x v="6"/>
    <x v="3"/>
    <n v="474"/>
    <x v="4"/>
    <x v="3"/>
    <n v="1065989"/>
  </r>
  <r>
    <x v="3"/>
    <x v="6"/>
    <x v="4"/>
    <n v="336"/>
    <x v="4"/>
    <x v="4"/>
    <n v="1087470"/>
  </r>
  <r>
    <x v="3"/>
    <x v="6"/>
    <x v="5"/>
    <n v="215"/>
    <x v="4"/>
    <x v="5"/>
    <n v="1109971"/>
  </r>
  <r>
    <x v="3"/>
    <x v="7"/>
    <x v="0"/>
    <n v="26"/>
    <x v="0"/>
    <x v="0"/>
    <m/>
  </r>
  <r>
    <x v="3"/>
    <x v="7"/>
    <x v="1"/>
    <n v="5436"/>
    <x v="4"/>
    <x v="1"/>
    <n v="1054168"/>
  </r>
  <r>
    <x v="3"/>
    <x v="7"/>
    <x v="2"/>
    <n v="3305"/>
    <x v="4"/>
    <x v="2"/>
    <n v="1055402"/>
  </r>
  <r>
    <x v="3"/>
    <x v="7"/>
    <x v="3"/>
    <n v="2336"/>
    <x v="4"/>
    <x v="3"/>
    <n v="1065989"/>
  </r>
  <r>
    <x v="3"/>
    <x v="7"/>
    <x v="4"/>
    <n v="2409"/>
    <x v="4"/>
    <x v="4"/>
    <n v="1087470"/>
  </r>
  <r>
    <x v="3"/>
    <x v="7"/>
    <x v="5"/>
    <n v="1220"/>
    <x v="4"/>
    <x v="5"/>
    <n v="1109971"/>
  </r>
  <r>
    <x v="4"/>
    <x v="0"/>
    <x v="1"/>
    <n v="2141"/>
    <x v="5"/>
    <x v="1"/>
    <n v="1058713"/>
  </r>
  <r>
    <x v="4"/>
    <x v="0"/>
    <x v="2"/>
    <n v="1337"/>
    <x v="5"/>
    <x v="2"/>
    <n v="1057929"/>
  </r>
  <r>
    <x v="4"/>
    <x v="0"/>
    <x v="3"/>
    <n v="882"/>
    <x v="5"/>
    <x v="3"/>
    <n v="1070719"/>
  </r>
  <r>
    <x v="4"/>
    <x v="0"/>
    <x v="4"/>
    <n v="646"/>
    <x v="5"/>
    <x v="4"/>
    <n v="1099208"/>
  </r>
  <r>
    <x v="4"/>
    <x v="0"/>
    <x v="5"/>
    <n v="534"/>
    <x v="5"/>
    <x v="5"/>
    <n v="1118131"/>
  </r>
  <r>
    <x v="4"/>
    <x v="1"/>
    <x v="1"/>
    <n v="536"/>
    <x v="5"/>
    <x v="1"/>
    <n v="1058713"/>
  </r>
  <r>
    <x v="4"/>
    <x v="1"/>
    <x v="2"/>
    <n v="523"/>
    <x v="5"/>
    <x v="2"/>
    <n v="1057929"/>
  </r>
  <r>
    <x v="4"/>
    <x v="1"/>
    <x v="3"/>
    <n v="506"/>
    <x v="5"/>
    <x v="3"/>
    <n v="1070719"/>
  </r>
  <r>
    <x v="4"/>
    <x v="1"/>
    <x v="4"/>
    <n v="465"/>
    <x v="5"/>
    <x v="4"/>
    <n v="1099208"/>
  </r>
  <r>
    <x v="4"/>
    <x v="1"/>
    <x v="5"/>
    <n v="247"/>
    <x v="5"/>
    <x v="5"/>
    <n v="1118131"/>
  </r>
  <r>
    <x v="4"/>
    <x v="2"/>
    <x v="0"/>
    <n v="1"/>
    <x v="0"/>
    <x v="0"/>
    <m/>
  </r>
  <r>
    <x v="4"/>
    <x v="2"/>
    <x v="1"/>
    <n v="547"/>
    <x v="5"/>
    <x v="1"/>
    <n v="1058713"/>
  </r>
  <r>
    <x v="4"/>
    <x v="2"/>
    <x v="2"/>
    <n v="423"/>
    <x v="5"/>
    <x v="2"/>
    <n v="1057929"/>
  </r>
  <r>
    <x v="4"/>
    <x v="2"/>
    <x v="3"/>
    <n v="481"/>
    <x v="5"/>
    <x v="3"/>
    <n v="1070719"/>
  </r>
  <r>
    <x v="4"/>
    <x v="2"/>
    <x v="4"/>
    <n v="455"/>
    <x v="5"/>
    <x v="4"/>
    <n v="1099208"/>
  </r>
  <r>
    <x v="4"/>
    <x v="2"/>
    <x v="5"/>
    <n v="213"/>
    <x v="5"/>
    <x v="5"/>
    <n v="1118131"/>
  </r>
  <r>
    <x v="4"/>
    <x v="3"/>
    <x v="0"/>
    <n v="5"/>
    <x v="0"/>
    <x v="0"/>
    <m/>
  </r>
  <r>
    <x v="4"/>
    <x v="3"/>
    <x v="1"/>
    <n v="189"/>
    <x v="5"/>
    <x v="1"/>
    <n v="1058713"/>
  </r>
  <r>
    <x v="4"/>
    <x v="3"/>
    <x v="2"/>
    <n v="202"/>
    <x v="5"/>
    <x v="2"/>
    <n v="1057929"/>
  </r>
  <r>
    <x v="4"/>
    <x v="3"/>
    <x v="3"/>
    <n v="197"/>
    <x v="5"/>
    <x v="3"/>
    <n v="1070719"/>
  </r>
  <r>
    <x v="4"/>
    <x v="3"/>
    <x v="4"/>
    <n v="225"/>
    <x v="5"/>
    <x v="4"/>
    <n v="1099208"/>
  </r>
  <r>
    <x v="4"/>
    <x v="3"/>
    <x v="5"/>
    <n v="139"/>
    <x v="5"/>
    <x v="5"/>
    <n v="1118131"/>
  </r>
  <r>
    <x v="4"/>
    <x v="4"/>
    <x v="0"/>
    <n v="13"/>
    <x v="0"/>
    <x v="0"/>
    <m/>
  </r>
  <r>
    <x v="4"/>
    <x v="4"/>
    <x v="1"/>
    <n v="9211"/>
    <x v="5"/>
    <x v="1"/>
    <n v="1058713"/>
  </r>
  <r>
    <x v="4"/>
    <x v="4"/>
    <x v="2"/>
    <n v="9182"/>
    <x v="5"/>
    <x v="2"/>
    <n v="1057929"/>
  </r>
  <r>
    <x v="4"/>
    <x v="4"/>
    <x v="3"/>
    <n v="8634"/>
    <x v="5"/>
    <x v="3"/>
    <n v="1070719"/>
  </r>
  <r>
    <x v="4"/>
    <x v="4"/>
    <x v="4"/>
    <n v="7372"/>
    <x v="5"/>
    <x v="4"/>
    <n v="1099208"/>
  </r>
  <r>
    <x v="4"/>
    <x v="4"/>
    <x v="5"/>
    <n v="5218"/>
    <x v="5"/>
    <x v="5"/>
    <n v="1118131"/>
  </r>
  <r>
    <x v="4"/>
    <x v="5"/>
    <x v="0"/>
    <n v="13"/>
    <x v="0"/>
    <x v="0"/>
    <m/>
  </r>
  <r>
    <x v="4"/>
    <x v="5"/>
    <x v="1"/>
    <n v="2476"/>
    <x v="5"/>
    <x v="1"/>
    <n v="1058713"/>
  </r>
  <r>
    <x v="4"/>
    <x v="5"/>
    <x v="2"/>
    <n v="2039"/>
    <x v="5"/>
    <x v="2"/>
    <n v="1057929"/>
  </r>
  <r>
    <x v="4"/>
    <x v="5"/>
    <x v="3"/>
    <n v="1831"/>
    <x v="5"/>
    <x v="3"/>
    <n v="1070719"/>
  </r>
  <r>
    <x v="4"/>
    <x v="5"/>
    <x v="4"/>
    <n v="1637"/>
    <x v="5"/>
    <x v="4"/>
    <n v="1099208"/>
  </r>
  <r>
    <x v="4"/>
    <x v="5"/>
    <x v="5"/>
    <n v="961"/>
    <x v="5"/>
    <x v="5"/>
    <n v="1118131"/>
  </r>
  <r>
    <x v="4"/>
    <x v="6"/>
    <x v="0"/>
    <n v="1"/>
    <x v="0"/>
    <x v="0"/>
    <m/>
  </r>
  <r>
    <x v="4"/>
    <x v="6"/>
    <x v="1"/>
    <n v="827"/>
    <x v="5"/>
    <x v="1"/>
    <n v="1058713"/>
  </r>
  <r>
    <x v="4"/>
    <x v="6"/>
    <x v="2"/>
    <n v="505"/>
    <x v="5"/>
    <x v="2"/>
    <n v="1057929"/>
  </r>
  <r>
    <x v="4"/>
    <x v="6"/>
    <x v="3"/>
    <n v="397"/>
    <x v="5"/>
    <x v="3"/>
    <n v="1070719"/>
  </r>
  <r>
    <x v="4"/>
    <x v="6"/>
    <x v="4"/>
    <n v="310"/>
    <x v="5"/>
    <x v="4"/>
    <n v="1099208"/>
  </r>
  <r>
    <x v="4"/>
    <x v="6"/>
    <x v="5"/>
    <n v="241"/>
    <x v="5"/>
    <x v="5"/>
    <n v="1118131"/>
  </r>
  <r>
    <x v="4"/>
    <x v="7"/>
    <x v="0"/>
    <n v="31"/>
    <x v="0"/>
    <x v="0"/>
    <m/>
  </r>
  <r>
    <x v="4"/>
    <x v="7"/>
    <x v="1"/>
    <n v="5843"/>
    <x v="5"/>
    <x v="1"/>
    <n v="1058713"/>
  </r>
  <r>
    <x v="4"/>
    <x v="7"/>
    <x v="2"/>
    <n v="3333"/>
    <x v="5"/>
    <x v="2"/>
    <n v="1057929"/>
  </r>
  <r>
    <x v="4"/>
    <x v="7"/>
    <x v="3"/>
    <n v="2609"/>
    <x v="5"/>
    <x v="3"/>
    <n v="1070719"/>
  </r>
  <r>
    <x v="4"/>
    <x v="7"/>
    <x v="4"/>
    <n v="2516"/>
    <x v="5"/>
    <x v="4"/>
    <n v="1099208"/>
  </r>
  <r>
    <x v="4"/>
    <x v="7"/>
    <x v="5"/>
    <n v="1328"/>
    <x v="5"/>
    <x v="5"/>
    <n v="1118131"/>
  </r>
  <r>
    <x v="5"/>
    <x v="0"/>
    <x v="1"/>
    <n v="2128"/>
    <x v="6"/>
    <x v="1"/>
    <n v="1059288"/>
  </r>
  <r>
    <x v="5"/>
    <x v="0"/>
    <x v="2"/>
    <n v="1218"/>
    <x v="6"/>
    <x v="2"/>
    <n v="1059104"/>
  </r>
  <r>
    <x v="5"/>
    <x v="0"/>
    <x v="3"/>
    <n v="805"/>
    <x v="6"/>
    <x v="3"/>
    <n v="1072629"/>
  </r>
  <r>
    <x v="5"/>
    <x v="0"/>
    <x v="4"/>
    <n v="641"/>
    <x v="6"/>
    <x v="4"/>
    <n v="1110521"/>
  </r>
  <r>
    <x v="5"/>
    <x v="0"/>
    <x v="5"/>
    <n v="519"/>
    <x v="6"/>
    <x v="5"/>
    <n v="1123258"/>
  </r>
  <r>
    <x v="5"/>
    <x v="1"/>
    <x v="0"/>
    <n v="1"/>
    <x v="0"/>
    <x v="0"/>
    <m/>
  </r>
  <r>
    <x v="5"/>
    <x v="1"/>
    <x v="1"/>
    <n v="492"/>
    <x v="6"/>
    <x v="1"/>
    <n v="1059288"/>
  </r>
  <r>
    <x v="5"/>
    <x v="1"/>
    <x v="2"/>
    <n v="524"/>
    <x v="6"/>
    <x v="2"/>
    <n v="1059104"/>
  </r>
  <r>
    <x v="5"/>
    <x v="1"/>
    <x v="3"/>
    <n v="511"/>
    <x v="6"/>
    <x v="3"/>
    <n v="1072629"/>
  </r>
  <r>
    <x v="5"/>
    <x v="1"/>
    <x v="4"/>
    <n v="490"/>
    <x v="6"/>
    <x v="4"/>
    <n v="1110521"/>
  </r>
  <r>
    <x v="5"/>
    <x v="1"/>
    <x v="5"/>
    <n v="269"/>
    <x v="6"/>
    <x v="5"/>
    <n v="1123258"/>
  </r>
  <r>
    <x v="5"/>
    <x v="2"/>
    <x v="0"/>
    <n v="2"/>
    <x v="0"/>
    <x v="0"/>
    <m/>
  </r>
  <r>
    <x v="5"/>
    <x v="2"/>
    <x v="1"/>
    <n v="569"/>
    <x v="6"/>
    <x v="1"/>
    <n v="1059288"/>
  </r>
  <r>
    <x v="5"/>
    <x v="2"/>
    <x v="2"/>
    <n v="398"/>
    <x v="6"/>
    <x v="2"/>
    <n v="1059104"/>
  </r>
  <r>
    <x v="5"/>
    <x v="2"/>
    <x v="3"/>
    <n v="419"/>
    <x v="6"/>
    <x v="3"/>
    <n v="1072629"/>
  </r>
  <r>
    <x v="5"/>
    <x v="2"/>
    <x v="4"/>
    <n v="423"/>
    <x v="6"/>
    <x v="4"/>
    <n v="1110521"/>
  </r>
  <r>
    <x v="5"/>
    <x v="2"/>
    <x v="5"/>
    <n v="205"/>
    <x v="6"/>
    <x v="5"/>
    <n v="1123258"/>
  </r>
  <r>
    <x v="5"/>
    <x v="3"/>
    <x v="0"/>
    <n v="10"/>
    <x v="0"/>
    <x v="0"/>
    <m/>
  </r>
  <r>
    <x v="5"/>
    <x v="3"/>
    <x v="1"/>
    <n v="186"/>
    <x v="6"/>
    <x v="1"/>
    <n v="1059288"/>
  </r>
  <r>
    <x v="5"/>
    <x v="3"/>
    <x v="2"/>
    <n v="230"/>
    <x v="6"/>
    <x v="2"/>
    <n v="1059104"/>
  </r>
  <r>
    <x v="5"/>
    <x v="3"/>
    <x v="3"/>
    <n v="228"/>
    <x v="6"/>
    <x v="3"/>
    <n v="1072629"/>
  </r>
  <r>
    <x v="5"/>
    <x v="3"/>
    <x v="4"/>
    <n v="252"/>
    <x v="6"/>
    <x v="4"/>
    <n v="1110521"/>
  </r>
  <r>
    <x v="5"/>
    <x v="3"/>
    <x v="5"/>
    <n v="152"/>
    <x v="6"/>
    <x v="5"/>
    <n v="1123258"/>
  </r>
  <r>
    <x v="5"/>
    <x v="4"/>
    <x v="0"/>
    <n v="11"/>
    <x v="0"/>
    <x v="0"/>
    <m/>
  </r>
  <r>
    <x v="5"/>
    <x v="4"/>
    <x v="1"/>
    <n v="9594"/>
    <x v="6"/>
    <x v="1"/>
    <n v="1059288"/>
  </r>
  <r>
    <x v="5"/>
    <x v="4"/>
    <x v="2"/>
    <n v="9329"/>
    <x v="6"/>
    <x v="2"/>
    <n v="1059104"/>
  </r>
  <r>
    <x v="5"/>
    <x v="4"/>
    <x v="3"/>
    <n v="8622"/>
    <x v="6"/>
    <x v="3"/>
    <n v="1072629"/>
  </r>
  <r>
    <x v="5"/>
    <x v="4"/>
    <x v="4"/>
    <n v="7658"/>
    <x v="6"/>
    <x v="4"/>
    <n v="1110521"/>
  </r>
  <r>
    <x v="5"/>
    <x v="4"/>
    <x v="5"/>
    <n v="5222"/>
    <x v="6"/>
    <x v="5"/>
    <n v="1123258"/>
  </r>
  <r>
    <x v="5"/>
    <x v="5"/>
    <x v="0"/>
    <n v="10"/>
    <x v="0"/>
    <x v="0"/>
    <m/>
  </r>
  <r>
    <x v="5"/>
    <x v="5"/>
    <x v="1"/>
    <n v="2413"/>
    <x v="6"/>
    <x v="1"/>
    <n v="1059288"/>
  </r>
  <r>
    <x v="5"/>
    <x v="5"/>
    <x v="2"/>
    <n v="2080"/>
    <x v="6"/>
    <x v="2"/>
    <n v="1059104"/>
  </r>
  <r>
    <x v="5"/>
    <x v="5"/>
    <x v="3"/>
    <n v="1877"/>
    <x v="6"/>
    <x v="3"/>
    <n v="1072629"/>
  </r>
  <r>
    <x v="5"/>
    <x v="5"/>
    <x v="4"/>
    <n v="1663"/>
    <x v="6"/>
    <x v="4"/>
    <n v="1110521"/>
  </r>
  <r>
    <x v="5"/>
    <x v="5"/>
    <x v="5"/>
    <n v="1068"/>
    <x v="6"/>
    <x v="5"/>
    <n v="1123258"/>
  </r>
  <r>
    <x v="5"/>
    <x v="6"/>
    <x v="0"/>
    <n v="2"/>
    <x v="0"/>
    <x v="0"/>
    <m/>
  </r>
  <r>
    <x v="5"/>
    <x v="6"/>
    <x v="1"/>
    <n v="797"/>
    <x v="6"/>
    <x v="1"/>
    <n v="1059288"/>
  </r>
  <r>
    <x v="5"/>
    <x v="6"/>
    <x v="2"/>
    <n v="512"/>
    <x v="6"/>
    <x v="2"/>
    <n v="1059104"/>
  </r>
  <r>
    <x v="5"/>
    <x v="6"/>
    <x v="3"/>
    <n v="432"/>
    <x v="6"/>
    <x v="3"/>
    <n v="1072629"/>
  </r>
  <r>
    <x v="5"/>
    <x v="6"/>
    <x v="4"/>
    <n v="337"/>
    <x v="6"/>
    <x v="4"/>
    <n v="1110521"/>
  </r>
  <r>
    <x v="5"/>
    <x v="6"/>
    <x v="5"/>
    <n v="257"/>
    <x v="6"/>
    <x v="5"/>
    <n v="1123258"/>
  </r>
  <r>
    <x v="5"/>
    <x v="7"/>
    <x v="0"/>
    <n v="33"/>
    <x v="0"/>
    <x v="0"/>
    <m/>
  </r>
  <r>
    <x v="5"/>
    <x v="7"/>
    <x v="1"/>
    <n v="5042"/>
    <x v="6"/>
    <x v="1"/>
    <n v="1059288"/>
  </r>
  <r>
    <x v="5"/>
    <x v="7"/>
    <x v="2"/>
    <n v="3248"/>
    <x v="6"/>
    <x v="2"/>
    <n v="1059104"/>
  </r>
  <r>
    <x v="5"/>
    <x v="7"/>
    <x v="3"/>
    <n v="2634"/>
    <x v="6"/>
    <x v="3"/>
    <n v="1072629"/>
  </r>
  <r>
    <x v="5"/>
    <x v="7"/>
    <x v="4"/>
    <n v="2499"/>
    <x v="6"/>
    <x v="4"/>
    <n v="1110521"/>
  </r>
  <r>
    <x v="5"/>
    <x v="7"/>
    <x v="5"/>
    <n v="1272"/>
    <x v="6"/>
    <x v="5"/>
    <n v="1123258"/>
  </r>
  <r>
    <x v="6"/>
    <x v="0"/>
    <x v="1"/>
    <n v="2027"/>
    <x v="7"/>
    <x v="1"/>
    <n v="1059180"/>
  </r>
  <r>
    <x v="6"/>
    <x v="0"/>
    <x v="2"/>
    <n v="1198"/>
    <x v="7"/>
    <x v="2"/>
    <n v="1058116"/>
  </r>
  <r>
    <x v="6"/>
    <x v="0"/>
    <x v="3"/>
    <n v="824"/>
    <x v="7"/>
    <x v="3"/>
    <n v="1075006"/>
  </r>
  <r>
    <x v="6"/>
    <x v="0"/>
    <x v="4"/>
    <n v="624"/>
    <x v="7"/>
    <x v="4"/>
    <n v="1120192"/>
  </r>
  <r>
    <x v="6"/>
    <x v="0"/>
    <x v="5"/>
    <n v="472"/>
    <x v="7"/>
    <x v="5"/>
    <n v="1125606"/>
  </r>
  <r>
    <x v="6"/>
    <x v="1"/>
    <x v="1"/>
    <n v="480"/>
    <x v="7"/>
    <x v="1"/>
    <n v="1059180"/>
  </r>
  <r>
    <x v="6"/>
    <x v="1"/>
    <x v="2"/>
    <n v="508"/>
    <x v="7"/>
    <x v="2"/>
    <n v="1058116"/>
  </r>
  <r>
    <x v="6"/>
    <x v="1"/>
    <x v="3"/>
    <n v="527"/>
    <x v="7"/>
    <x v="3"/>
    <n v="1075006"/>
  </r>
  <r>
    <x v="6"/>
    <x v="1"/>
    <x v="4"/>
    <n v="464"/>
    <x v="7"/>
    <x v="4"/>
    <n v="1120192"/>
  </r>
  <r>
    <x v="6"/>
    <x v="1"/>
    <x v="5"/>
    <n v="273"/>
    <x v="7"/>
    <x v="5"/>
    <n v="1125606"/>
  </r>
  <r>
    <x v="6"/>
    <x v="2"/>
    <x v="0"/>
    <n v="5"/>
    <x v="0"/>
    <x v="0"/>
    <m/>
  </r>
  <r>
    <x v="6"/>
    <x v="2"/>
    <x v="1"/>
    <n v="534"/>
    <x v="7"/>
    <x v="1"/>
    <n v="1059180"/>
  </r>
  <r>
    <x v="6"/>
    <x v="2"/>
    <x v="2"/>
    <n v="381"/>
    <x v="7"/>
    <x v="2"/>
    <n v="1058116"/>
  </r>
  <r>
    <x v="6"/>
    <x v="2"/>
    <x v="3"/>
    <n v="415"/>
    <x v="7"/>
    <x v="3"/>
    <n v="1075006"/>
  </r>
  <r>
    <x v="6"/>
    <x v="2"/>
    <x v="4"/>
    <n v="433"/>
    <x v="7"/>
    <x v="4"/>
    <n v="1120192"/>
  </r>
  <r>
    <x v="6"/>
    <x v="2"/>
    <x v="5"/>
    <n v="184"/>
    <x v="7"/>
    <x v="5"/>
    <n v="1125606"/>
  </r>
  <r>
    <x v="6"/>
    <x v="3"/>
    <x v="0"/>
    <n v="5"/>
    <x v="0"/>
    <x v="0"/>
    <m/>
  </r>
  <r>
    <x v="6"/>
    <x v="3"/>
    <x v="1"/>
    <n v="219"/>
    <x v="7"/>
    <x v="1"/>
    <n v="1059180"/>
  </r>
  <r>
    <x v="6"/>
    <x v="3"/>
    <x v="2"/>
    <n v="203"/>
    <x v="7"/>
    <x v="2"/>
    <n v="1058116"/>
  </r>
  <r>
    <x v="6"/>
    <x v="3"/>
    <x v="3"/>
    <n v="265"/>
    <x v="7"/>
    <x v="3"/>
    <n v="1075006"/>
  </r>
  <r>
    <x v="6"/>
    <x v="3"/>
    <x v="4"/>
    <n v="290"/>
    <x v="7"/>
    <x v="4"/>
    <n v="1120192"/>
  </r>
  <r>
    <x v="6"/>
    <x v="3"/>
    <x v="5"/>
    <n v="142"/>
    <x v="7"/>
    <x v="5"/>
    <n v="1125606"/>
  </r>
  <r>
    <x v="6"/>
    <x v="4"/>
    <x v="0"/>
    <n v="27"/>
    <x v="0"/>
    <x v="0"/>
    <m/>
  </r>
  <r>
    <x v="6"/>
    <x v="4"/>
    <x v="1"/>
    <n v="9770"/>
    <x v="7"/>
    <x v="1"/>
    <n v="1059180"/>
  </r>
  <r>
    <x v="6"/>
    <x v="4"/>
    <x v="2"/>
    <n v="9212"/>
    <x v="7"/>
    <x v="2"/>
    <n v="1058116"/>
  </r>
  <r>
    <x v="6"/>
    <x v="4"/>
    <x v="3"/>
    <n v="8769"/>
    <x v="7"/>
    <x v="3"/>
    <n v="1075006"/>
  </r>
  <r>
    <x v="6"/>
    <x v="4"/>
    <x v="4"/>
    <n v="7667"/>
    <x v="7"/>
    <x v="4"/>
    <n v="1120192"/>
  </r>
  <r>
    <x v="6"/>
    <x v="4"/>
    <x v="5"/>
    <n v="5196"/>
    <x v="7"/>
    <x v="5"/>
    <n v="1125606"/>
  </r>
  <r>
    <x v="6"/>
    <x v="5"/>
    <x v="0"/>
    <n v="19"/>
    <x v="0"/>
    <x v="0"/>
    <m/>
  </r>
  <r>
    <x v="6"/>
    <x v="5"/>
    <x v="1"/>
    <n v="2495"/>
    <x v="7"/>
    <x v="1"/>
    <n v="1059180"/>
  </r>
  <r>
    <x v="6"/>
    <x v="5"/>
    <x v="2"/>
    <n v="2005"/>
    <x v="7"/>
    <x v="2"/>
    <n v="1058116"/>
  </r>
  <r>
    <x v="6"/>
    <x v="5"/>
    <x v="3"/>
    <n v="1893"/>
    <x v="7"/>
    <x v="3"/>
    <n v="1075006"/>
  </r>
  <r>
    <x v="6"/>
    <x v="5"/>
    <x v="4"/>
    <n v="1716"/>
    <x v="7"/>
    <x v="4"/>
    <n v="1120192"/>
  </r>
  <r>
    <x v="6"/>
    <x v="5"/>
    <x v="5"/>
    <n v="1110"/>
    <x v="7"/>
    <x v="5"/>
    <n v="1125606"/>
  </r>
  <r>
    <x v="6"/>
    <x v="6"/>
    <x v="0"/>
    <n v="2"/>
    <x v="0"/>
    <x v="0"/>
    <m/>
  </r>
  <r>
    <x v="6"/>
    <x v="6"/>
    <x v="1"/>
    <n v="812"/>
    <x v="7"/>
    <x v="1"/>
    <n v="1059180"/>
  </r>
  <r>
    <x v="6"/>
    <x v="6"/>
    <x v="2"/>
    <n v="510"/>
    <x v="7"/>
    <x v="2"/>
    <n v="1058116"/>
  </r>
  <r>
    <x v="6"/>
    <x v="6"/>
    <x v="3"/>
    <n v="420"/>
    <x v="7"/>
    <x v="3"/>
    <n v="1075006"/>
  </r>
  <r>
    <x v="6"/>
    <x v="6"/>
    <x v="4"/>
    <n v="339"/>
    <x v="7"/>
    <x v="4"/>
    <n v="1120192"/>
  </r>
  <r>
    <x v="6"/>
    <x v="6"/>
    <x v="5"/>
    <n v="196"/>
    <x v="7"/>
    <x v="5"/>
    <n v="1125606"/>
  </r>
  <r>
    <x v="6"/>
    <x v="7"/>
    <x v="0"/>
    <n v="52"/>
    <x v="0"/>
    <x v="0"/>
    <m/>
  </r>
  <r>
    <x v="6"/>
    <x v="7"/>
    <x v="1"/>
    <n v="5344"/>
    <x v="7"/>
    <x v="1"/>
    <n v="1059180"/>
  </r>
  <r>
    <x v="6"/>
    <x v="7"/>
    <x v="2"/>
    <n v="3283"/>
    <x v="7"/>
    <x v="2"/>
    <n v="1058116"/>
  </r>
  <r>
    <x v="6"/>
    <x v="7"/>
    <x v="3"/>
    <n v="2710"/>
    <x v="7"/>
    <x v="3"/>
    <n v="1075006"/>
  </r>
  <r>
    <x v="6"/>
    <x v="7"/>
    <x v="4"/>
    <n v="2732"/>
    <x v="7"/>
    <x v="4"/>
    <n v="1120192"/>
  </r>
  <r>
    <x v="6"/>
    <x v="7"/>
    <x v="5"/>
    <n v="1576"/>
    <x v="7"/>
    <x v="5"/>
    <n v="1125606"/>
  </r>
  <r>
    <x v="7"/>
    <x v="0"/>
    <x v="0"/>
    <n v="1"/>
    <x v="0"/>
    <x v="0"/>
    <m/>
  </r>
  <r>
    <x v="7"/>
    <x v="0"/>
    <x v="1"/>
    <n v="1837"/>
    <x v="8"/>
    <x v="1"/>
    <n v="1060939"/>
  </r>
  <r>
    <x v="7"/>
    <x v="0"/>
    <x v="2"/>
    <n v="1141"/>
    <x v="8"/>
    <x v="2"/>
    <n v="1060924"/>
  </r>
  <r>
    <x v="7"/>
    <x v="0"/>
    <x v="3"/>
    <n v="819"/>
    <x v="8"/>
    <x v="3"/>
    <n v="1078198"/>
  </r>
  <r>
    <x v="7"/>
    <x v="0"/>
    <x v="4"/>
    <n v="622"/>
    <x v="8"/>
    <x v="4"/>
    <n v="1132425"/>
  </r>
  <r>
    <x v="7"/>
    <x v="0"/>
    <x v="5"/>
    <n v="470"/>
    <x v="8"/>
    <x v="5"/>
    <n v="1130814"/>
  </r>
  <r>
    <x v="7"/>
    <x v="1"/>
    <x v="0"/>
    <n v="1"/>
    <x v="0"/>
    <x v="0"/>
    <m/>
  </r>
  <r>
    <x v="7"/>
    <x v="1"/>
    <x v="1"/>
    <n v="471"/>
    <x v="8"/>
    <x v="1"/>
    <n v="1060939"/>
  </r>
  <r>
    <x v="7"/>
    <x v="1"/>
    <x v="2"/>
    <n v="433"/>
    <x v="8"/>
    <x v="2"/>
    <n v="1060924"/>
  </r>
  <r>
    <x v="7"/>
    <x v="1"/>
    <x v="3"/>
    <n v="419"/>
    <x v="8"/>
    <x v="3"/>
    <n v="1078198"/>
  </r>
  <r>
    <x v="7"/>
    <x v="1"/>
    <x v="4"/>
    <n v="431"/>
    <x v="8"/>
    <x v="4"/>
    <n v="1132425"/>
  </r>
  <r>
    <x v="7"/>
    <x v="1"/>
    <x v="5"/>
    <n v="225"/>
    <x v="8"/>
    <x v="5"/>
    <n v="1130814"/>
  </r>
  <r>
    <x v="7"/>
    <x v="2"/>
    <x v="0"/>
    <n v="2"/>
    <x v="0"/>
    <x v="0"/>
    <m/>
  </r>
  <r>
    <x v="7"/>
    <x v="2"/>
    <x v="1"/>
    <n v="558"/>
    <x v="8"/>
    <x v="1"/>
    <n v="1060939"/>
  </r>
  <r>
    <x v="7"/>
    <x v="2"/>
    <x v="2"/>
    <n v="450"/>
    <x v="8"/>
    <x v="2"/>
    <n v="1060924"/>
  </r>
  <r>
    <x v="7"/>
    <x v="2"/>
    <x v="3"/>
    <n v="419"/>
    <x v="8"/>
    <x v="3"/>
    <n v="1078198"/>
  </r>
  <r>
    <x v="7"/>
    <x v="2"/>
    <x v="4"/>
    <n v="460"/>
    <x v="8"/>
    <x v="4"/>
    <n v="1132425"/>
  </r>
  <r>
    <x v="7"/>
    <x v="2"/>
    <x v="5"/>
    <n v="210"/>
    <x v="8"/>
    <x v="5"/>
    <n v="1130814"/>
  </r>
  <r>
    <x v="7"/>
    <x v="3"/>
    <x v="0"/>
    <n v="7"/>
    <x v="0"/>
    <x v="0"/>
    <m/>
  </r>
  <r>
    <x v="7"/>
    <x v="3"/>
    <x v="1"/>
    <n v="182"/>
    <x v="8"/>
    <x v="1"/>
    <n v="1060939"/>
  </r>
  <r>
    <x v="7"/>
    <x v="3"/>
    <x v="2"/>
    <n v="161"/>
    <x v="8"/>
    <x v="2"/>
    <n v="1060924"/>
  </r>
  <r>
    <x v="7"/>
    <x v="3"/>
    <x v="3"/>
    <n v="195"/>
    <x v="8"/>
    <x v="3"/>
    <n v="1078198"/>
  </r>
  <r>
    <x v="7"/>
    <x v="3"/>
    <x v="4"/>
    <n v="228"/>
    <x v="8"/>
    <x v="4"/>
    <n v="1132425"/>
  </r>
  <r>
    <x v="7"/>
    <x v="3"/>
    <x v="5"/>
    <n v="110"/>
    <x v="8"/>
    <x v="5"/>
    <n v="1130814"/>
  </r>
  <r>
    <x v="7"/>
    <x v="4"/>
    <x v="0"/>
    <n v="25"/>
    <x v="0"/>
    <x v="0"/>
    <m/>
  </r>
  <r>
    <x v="7"/>
    <x v="4"/>
    <x v="1"/>
    <n v="10019"/>
    <x v="8"/>
    <x v="1"/>
    <n v="1060939"/>
  </r>
  <r>
    <x v="7"/>
    <x v="4"/>
    <x v="2"/>
    <n v="9344"/>
    <x v="8"/>
    <x v="2"/>
    <n v="1060924"/>
  </r>
  <r>
    <x v="7"/>
    <x v="4"/>
    <x v="3"/>
    <n v="9016"/>
    <x v="8"/>
    <x v="3"/>
    <n v="1078198"/>
  </r>
  <r>
    <x v="7"/>
    <x v="4"/>
    <x v="4"/>
    <n v="7955"/>
    <x v="8"/>
    <x v="4"/>
    <n v="1132425"/>
  </r>
  <r>
    <x v="7"/>
    <x v="4"/>
    <x v="5"/>
    <n v="5108"/>
    <x v="8"/>
    <x v="5"/>
    <n v="1130814"/>
  </r>
  <r>
    <x v="7"/>
    <x v="5"/>
    <x v="0"/>
    <n v="10"/>
    <x v="0"/>
    <x v="0"/>
    <m/>
  </r>
  <r>
    <x v="7"/>
    <x v="5"/>
    <x v="1"/>
    <n v="2382"/>
    <x v="8"/>
    <x v="1"/>
    <n v="1060939"/>
  </r>
  <r>
    <x v="7"/>
    <x v="5"/>
    <x v="2"/>
    <n v="1976"/>
    <x v="8"/>
    <x v="2"/>
    <n v="1060924"/>
  </r>
  <r>
    <x v="7"/>
    <x v="5"/>
    <x v="3"/>
    <n v="1757"/>
    <x v="8"/>
    <x v="3"/>
    <n v="1078198"/>
  </r>
  <r>
    <x v="7"/>
    <x v="5"/>
    <x v="4"/>
    <n v="1529"/>
    <x v="8"/>
    <x v="4"/>
    <n v="1132425"/>
  </r>
  <r>
    <x v="7"/>
    <x v="5"/>
    <x v="5"/>
    <n v="983"/>
    <x v="8"/>
    <x v="5"/>
    <n v="1130814"/>
  </r>
  <r>
    <x v="7"/>
    <x v="6"/>
    <x v="0"/>
    <n v="1"/>
    <x v="0"/>
    <x v="0"/>
    <m/>
  </r>
  <r>
    <x v="7"/>
    <x v="6"/>
    <x v="1"/>
    <n v="702"/>
    <x v="8"/>
    <x v="1"/>
    <n v="1060939"/>
  </r>
  <r>
    <x v="7"/>
    <x v="6"/>
    <x v="2"/>
    <n v="513"/>
    <x v="8"/>
    <x v="2"/>
    <n v="1060924"/>
  </r>
  <r>
    <x v="7"/>
    <x v="6"/>
    <x v="3"/>
    <n v="434"/>
    <x v="8"/>
    <x v="3"/>
    <n v="1078198"/>
  </r>
  <r>
    <x v="7"/>
    <x v="6"/>
    <x v="4"/>
    <n v="329"/>
    <x v="8"/>
    <x v="4"/>
    <n v="1132425"/>
  </r>
  <r>
    <x v="7"/>
    <x v="6"/>
    <x v="5"/>
    <n v="219"/>
    <x v="8"/>
    <x v="5"/>
    <n v="1130814"/>
  </r>
  <r>
    <x v="7"/>
    <x v="7"/>
    <x v="0"/>
    <n v="24"/>
    <x v="0"/>
    <x v="0"/>
    <m/>
  </r>
  <r>
    <x v="7"/>
    <x v="7"/>
    <x v="1"/>
    <n v="5283"/>
    <x v="8"/>
    <x v="1"/>
    <n v="1060939"/>
  </r>
  <r>
    <x v="7"/>
    <x v="7"/>
    <x v="2"/>
    <n v="2961"/>
    <x v="8"/>
    <x v="2"/>
    <n v="1060924"/>
  </r>
  <r>
    <x v="7"/>
    <x v="7"/>
    <x v="3"/>
    <n v="2381"/>
    <x v="8"/>
    <x v="3"/>
    <n v="1078198"/>
  </r>
  <r>
    <x v="7"/>
    <x v="7"/>
    <x v="4"/>
    <n v="2229"/>
    <x v="8"/>
    <x v="4"/>
    <n v="1132425"/>
  </r>
  <r>
    <x v="7"/>
    <x v="7"/>
    <x v="5"/>
    <n v="1212"/>
    <x v="8"/>
    <x v="5"/>
    <n v="1130814"/>
  </r>
  <r>
    <x v="8"/>
    <x v="0"/>
    <x v="0"/>
    <n v="1"/>
    <x v="0"/>
    <x v="0"/>
    <m/>
  </r>
  <r>
    <x v="8"/>
    <x v="0"/>
    <x v="1"/>
    <n v="1853"/>
    <x v="9"/>
    <x v="1"/>
    <n v="1057767"/>
  </r>
  <r>
    <x v="8"/>
    <x v="0"/>
    <x v="2"/>
    <n v="1110"/>
    <x v="9"/>
    <x v="2"/>
    <n v="1057929"/>
  </r>
  <r>
    <x v="8"/>
    <x v="0"/>
    <x v="3"/>
    <n v="715"/>
    <x v="9"/>
    <x v="3"/>
    <n v="1077589"/>
  </r>
  <r>
    <x v="8"/>
    <x v="0"/>
    <x v="4"/>
    <n v="555"/>
    <x v="9"/>
    <x v="4"/>
    <n v="1140448"/>
  </r>
  <r>
    <x v="8"/>
    <x v="0"/>
    <x v="5"/>
    <n v="427"/>
    <x v="9"/>
    <x v="5"/>
    <n v="1132267"/>
  </r>
  <r>
    <x v="8"/>
    <x v="1"/>
    <x v="0"/>
    <n v="1"/>
    <x v="0"/>
    <x v="0"/>
    <m/>
  </r>
  <r>
    <x v="8"/>
    <x v="1"/>
    <x v="1"/>
    <n v="376"/>
    <x v="9"/>
    <x v="1"/>
    <n v="1057767"/>
  </r>
  <r>
    <x v="8"/>
    <x v="1"/>
    <x v="2"/>
    <n v="395"/>
    <x v="9"/>
    <x v="2"/>
    <n v="1057929"/>
  </r>
  <r>
    <x v="8"/>
    <x v="1"/>
    <x v="3"/>
    <n v="378"/>
    <x v="9"/>
    <x v="3"/>
    <n v="1077589"/>
  </r>
  <r>
    <x v="8"/>
    <x v="1"/>
    <x v="4"/>
    <n v="379"/>
    <x v="9"/>
    <x v="4"/>
    <n v="1140448"/>
  </r>
  <r>
    <x v="8"/>
    <x v="1"/>
    <x v="5"/>
    <n v="189"/>
    <x v="9"/>
    <x v="5"/>
    <n v="1132267"/>
  </r>
  <r>
    <x v="8"/>
    <x v="2"/>
    <x v="0"/>
    <n v="1"/>
    <x v="0"/>
    <x v="0"/>
    <m/>
  </r>
  <r>
    <x v="8"/>
    <x v="2"/>
    <x v="1"/>
    <n v="533"/>
    <x v="9"/>
    <x v="1"/>
    <n v="1057767"/>
  </r>
  <r>
    <x v="8"/>
    <x v="2"/>
    <x v="2"/>
    <n v="381"/>
    <x v="9"/>
    <x v="2"/>
    <n v="1057929"/>
  </r>
  <r>
    <x v="8"/>
    <x v="2"/>
    <x v="3"/>
    <n v="361"/>
    <x v="9"/>
    <x v="3"/>
    <n v="1077589"/>
  </r>
  <r>
    <x v="8"/>
    <x v="2"/>
    <x v="4"/>
    <n v="362"/>
    <x v="9"/>
    <x v="4"/>
    <n v="1140448"/>
  </r>
  <r>
    <x v="8"/>
    <x v="2"/>
    <x v="5"/>
    <n v="178"/>
    <x v="9"/>
    <x v="5"/>
    <n v="1132267"/>
  </r>
  <r>
    <x v="8"/>
    <x v="3"/>
    <x v="0"/>
    <n v="9"/>
    <x v="0"/>
    <x v="0"/>
    <m/>
  </r>
  <r>
    <x v="8"/>
    <x v="3"/>
    <x v="1"/>
    <n v="214"/>
    <x v="9"/>
    <x v="1"/>
    <n v="1057767"/>
  </r>
  <r>
    <x v="8"/>
    <x v="3"/>
    <x v="2"/>
    <n v="222"/>
    <x v="9"/>
    <x v="2"/>
    <n v="1057929"/>
  </r>
  <r>
    <x v="8"/>
    <x v="3"/>
    <x v="3"/>
    <n v="271"/>
    <x v="9"/>
    <x v="3"/>
    <n v="1077589"/>
  </r>
  <r>
    <x v="8"/>
    <x v="3"/>
    <x v="4"/>
    <n v="316"/>
    <x v="9"/>
    <x v="4"/>
    <n v="1140448"/>
  </r>
  <r>
    <x v="8"/>
    <x v="3"/>
    <x v="5"/>
    <n v="189"/>
    <x v="9"/>
    <x v="5"/>
    <n v="1132267"/>
  </r>
  <r>
    <x v="8"/>
    <x v="4"/>
    <x v="0"/>
    <n v="9"/>
    <x v="0"/>
    <x v="0"/>
    <m/>
  </r>
  <r>
    <x v="8"/>
    <x v="4"/>
    <x v="1"/>
    <n v="8842"/>
    <x v="9"/>
    <x v="1"/>
    <n v="1057767"/>
  </r>
  <r>
    <x v="8"/>
    <x v="4"/>
    <x v="2"/>
    <n v="8216"/>
    <x v="9"/>
    <x v="2"/>
    <n v="1057929"/>
  </r>
  <r>
    <x v="8"/>
    <x v="4"/>
    <x v="3"/>
    <n v="7570"/>
    <x v="9"/>
    <x v="3"/>
    <n v="1077589"/>
  </r>
  <r>
    <x v="8"/>
    <x v="4"/>
    <x v="4"/>
    <n v="6809"/>
    <x v="9"/>
    <x v="4"/>
    <n v="1140448"/>
  </r>
  <r>
    <x v="8"/>
    <x v="4"/>
    <x v="5"/>
    <n v="4363"/>
    <x v="9"/>
    <x v="5"/>
    <n v="1132267"/>
  </r>
  <r>
    <x v="8"/>
    <x v="5"/>
    <x v="0"/>
    <n v="13"/>
    <x v="0"/>
    <x v="0"/>
    <m/>
  </r>
  <r>
    <x v="8"/>
    <x v="5"/>
    <x v="1"/>
    <n v="2624"/>
    <x v="9"/>
    <x v="1"/>
    <n v="1057767"/>
  </r>
  <r>
    <x v="8"/>
    <x v="5"/>
    <x v="2"/>
    <n v="2249"/>
    <x v="9"/>
    <x v="2"/>
    <n v="1057929"/>
  </r>
  <r>
    <x v="8"/>
    <x v="5"/>
    <x v="3"/>
    <n v="1850"/>
    <x v="9"/>
    <x v="3"/>
    <n v="1077589"/>
  </r>
  <r>
    <x v="8"/>
    <x v="5"/>
    <x v="4"/>
    <n v="1655"/>
    <x v="9"/>
    <x v="4"/>
    <n v="1140448"/>
  </r>
  <r>
    <x v="8"/>
    <x v="5"/>
    <x v="5"/>
    <n v="1126"/>
    <x v="9"/>
    <x v="5"/>
    <n v="1132267"/>
  </r>
  <r>
    <x v="8"/>
    <x v="6"/>
    <x v="1"/>
    <n v="488"/>
    <x v="9"/>
    <x v="1"/>
    <n v="1057767"/>
  </r>
  <r>
    <x v="8"/>
    <x v="6"/>
    <x v="2"/>
    <n v="315"/>
    <x v="9"/>
    <x v="2"/>
    <n v="1057929"/>
  </r>
  <r>
    <x v="8"/>
    <x v="6"/>
    <x v="3"/>
    <n v="290"/>
    <x v="9"/>
    <x v="3"/>
    <n v="1077589"/>
  </r>
  <r>
    <x v="8"/>
    <x v="6"/>
    <x v="4"/>
    <n v="251"/>
    <x v="9"/>
    <x v="4"/>
    <n v="1140448"/>
  </r>
  <r>
    <x v="8"/>
    <x v="6"/>
    <x v="5"/>
    <n v="150"/>
    <x v="9"/>
    <x v="5"/>
    <n v="1132267"/>
  </r>
  <r>
    <x v="8"/>
    <x v="7"/>
    <x v="0"/>
    <n v="39"/>
    <x v="0"/>
    <x v="0"/>
    <m/>
  </r>
  <r>
    <x v="8"/>
    <x v="7"/>
    <x v="1"/>
    <n v="5572"/>
    <x v="9"/>
    <x v="1"/>
    <n v="1057767"/>
  </r>
  <r>
    <x v="8"/>
    <x v="7"/>
    <x v="2"/>
    <n v="3197"/>
    <x v="9"/>
    <x v="2"/>
    <n v="1057929"/>
  </r>
  <r>
    <x v="8"/>
    <x v="7"/>
    <x v="3"/>
    <n v="2509"/>
    <x v="9"/>
    <x v="3"/>
    <n v="1077589"/>
  </r>
  <r>
    <x v="8"/>
    <x v="7"/>
    <x v="4"/>
    <n v="2428"/>
    <x v="9"/>
    <x v="4"/>
    <n v="1140448"/>
  </r>
  <r>
    <x v="8"/>
    <x v="7"/>
    <x v="5"/>
    <n v="1385"/>
    <x v="9"/>
    <x v="5"/>
    <n v="1132267"/>
  </r>
  <r>
    <x v="9"/>
    <x v="8"/>
    <x v="0"/>
    <m/>
    <x v="0"/>
    <x v="0"/>
    <m/>
  </r>
</pivotCacheRecords>
</file>

<file path=xl/pivotCache/pivotCacheRecords31.xml><?xml version="1.0" encoding="utf-8"?>
<pivotCacheRecords xmlns="http://schemas.openxmlformats.org/spreadsheetml/2006/main" xmlns:r="http://schemas.openxmlformats.org/officeDocument/2006/relationships" count="36">
  <r>
    <x v="0"/>
    <x v="0"/>
    <n v="956"/>
    <n v="787"/>
    <x v="0"/>
    <x v="0"/>
    <x v="0"/>
  </r>
  <r>
    <x v="0"/>
    <x v="1"/>
    <n v="1094"/>
    <n v="934"/>
    <x v="1"/>
    <x v="1"/>
    <x v="1"/>
  </r>
  <r>
    <x v="0"/>
    <x v="2"/>
    <n v="1117"/>
    <n v="955"/>
    <x v="2"/>
    <x v="2"/>
    <x v="1"/>
  </r>
  <r>
    <x v="0"/>
    <x v="3"/>
    <n v="1057"/>
    <n v="923"/>
    <x v="3"/>
    <x v="3"/>
    <x v="2"/>
  </r>
  <r>
    <x v="0"/>
    <x v="4"/>
    <n v="1089"/>
    <n v="942"/>
    <x v="4"/>
    <x v="4"/>
    <x v="3"/>
  </r>
  <r>
    <x v="0"/>
    <x v="5"/>
    <n v="886"/>
    <n v="762"/>
    <x v="3"/>
    <x v="5"/>
    <x v="4"/>
  </r>
  <r>
    <x v="0"/>
    <x v="6"/>
    <n v="1017"/>
    <n v="829"/>
    <x v="5"/>
    <x v="6"/>
    <x v="5"/>
  </r>
  <r>
    <x v="0"/>
    <x v="7"/>
    <n v="936"/>
    <n v="814"/>
    <x v="6"/>
    <x v="7"/>
    <x v="0"/>
  </r>
  <r>
    <x v="0"/>
    <x v="8"/>
    <n v="881"/>
    <n v="737"/>
    <x v="7"/>
    <x v="8"/>
    <x v="6"/>
  </r>
  <r>
    <x v="0"/>
    <x v="9"/>
    <n v="949"/>
    <n v="793"/>
    <x v="7"/>
    <x v="9"/>
    <x v="7"/>
  </r>
  <r>
    <x v="0"/>
    <x v="10"/>
    <n v="808"/>
    <n v="671"/>
    <x v="2"/>
    <x v="10"/>
    <x v="8"/>
  </r>
  <r>
    <x v="0"/>
    <x v="11"/>
    <n v="693"/>
    <n v="584"/>
    <x v="8"/>
    <x v="11"/>
    <x v="9"/>
  </r>
  <r>
    <x v="1"/>
    <x v="0"/>
    <n v="62"/>
    <n v="53"/>
    <x v="9"/>
    <x v="12"/>
    <x v="10"/>
  </r>
  <r>
    <x v="1"/>
    <x v="1"/>
    <n v="52"/>
    <n v="45"/>
    <x v="10"/>
    <x v="13"/>
    <x v="10"/>
  </r>
  <r>
    <x v="1"/>
    <x v="2"/>
    <n v="59"/>
    <n v="51"/>
    <x v="9"/>
    <x v="13"/>
    <x v="10"/>
  </r>
  <r>
    <x v="1"/>
    <x v="3"/>
    <n v="46"/>
    <n v="40"/>
    <x v="11"/>
    <x v="14"/>
    <x v="11"/>
  </r>
  <r>
    <x v="1"/>
    <x v="4"/>
    <n v="31"/>
    <n v="29"/>
    <x v="12"/>
    <x v="15"/>
    <x v="12"/>
  </r>
  <r>
    <x v="1"/>
    <x v="5"/>
    <n v="40"/>
    <n v="31"/>
    <x v="10"/>
    <x v="15"/>
    <x v="13"/>
  </r>
  <r>
    <x v="1"/>
    <x v="6"/>
    <n v="45"/>
    <n v="39"/>
    <x v="10"/>
    <x v="13"/>
    <x v="12"/>
  </r>
  <r>
    <x v="1"/>
    <x v="7"/>
    <n v="44"/>
    <n v="36"/>
    <x v="10"/>
    <x v="16"/>
    <x v="12"/>
  </r>
  <r>
    <x v="1"/>
    <x v="8"/>
    <n v="44"/>
    <n v="37"/>
    <x v="10"/>
    <x v="13"/>
    <x v="10"/>
  </r>
  <r>
    <x v="1"/>
    <x v="9"/>
    <n v="44"/>
    <n v="40"/>
    <x v="12"/>
    <x v="15"/>
    <x v="11"/>
  </r>
  <r>
    <x v="1"/>
    <x v="10"/>
    <n v="27"/>
    <n v="21"/>
    <x v="10"/>
    <x v="13"/>
    <x v="12"/>
  </r>
  <r>
    <x v="1"/>
    <x v="11"/>
    <n v="53"/>
    <n v="44"/>
    <x v="11"/>
    <x v="16"/>
    <x v="11"/>
  </r>
  <r>
    <x v="2"/>
    <x v="0"/>
    <n v="1223"/>
    <n v="1032"/>
    <x v="13"/>
    <x v="17"/>
    <x v="14"/>
  </r>
  <r>
    <x v="2"/>
    <x v="1"/>
    <n v="1332"/>
    <n v="1142"/>
    <x v="14"/>
    <x v="2"/>
    <x v="15"/>
  </r>
  <r>
    <x v="2"/>
    <x v="2"/>
    <n v="1414"/>
    <n v="1219"/>
    <x v="15"/>
    <x v="18"/>
    <x v="15"/>
  </r>
  <r>
    <x v="2"/>
    <x v="3"/>
    <n v="1319"/>
    <n v="1166"/>
    <x v="16"/>
    <x v="8"/>
    <x v="0"/>
  </r>
  <r>
    <x v="2"/>
    <x v="4"/>
    <n v="1310"/>
    <n v="1140"/>
    <x v="17"/>
    <x v="19"/>
    <x v="1"/>
  </r>
  <r>
    <x v="2"/>
    <x v="5"/>
    <n v="1099"/>
    <n v="947"/>
    <x v="18"/>
    <x v="7"/>
    <x v="16"/>
  </r>
  <r>
    <x v="2"/>
    <x v="6"/>
    <n v="1276"/>
    <n v="1063"/>
    <x v="19"/>
    <x v="20"/>
    <x v="7"/>
  </r>
  <r>
    <x v="2"/>
    <x v="7"/>
    <n v="1266"/>
    <n v="1115"/>
    <x v="20"/>
    <x v="21"/>
    <x v="17"/>
  </r>
  <r>
    <x v="2"/>
    <x v="8"/>
    <n v="1116"/>
    <n v="921"/>
    <x v="21"/>
    <x v="22"/>
    <x v="3"/>
  </r>
  <r>
    <x v="2"/>
    <x v="9"/>
    <n v="1197"/>
    <n v="1016"/>
    <x v="14"/>
    <x v="23"/>
    <x v="15"/>
  </r>
  <r>
    <x v="2"/>
    <x v="10"/>
    <n v="1027"/>
    <n v="877"/>
    <x v="18"/>
    <x v="24"/>
    <x v="14"/>
  </r>
  <r>
    <x v="2"/>
    <x v="11"/>
    <n v="1017"/>
    <n v="876"/>
    <x v="22"/>
    <x v="25"/>
    <x v="18"/>
  </r>
</pivotCacheRecords>
</file>

<file path=xl/pivotCache/pivotCacheRecords32.xml><?xml version="1.0" encoding="utf-8"?>
<pivotCacheRecords xmlns="http://schemas.openxmlformats.org/spreadsheetml/2006/main" xmlns:r="http://schemas.openxmlformats.org/officeDocument/2006/relationships" count="452">
  <r>
    <x v="0"/>
    <x v="0"/>
    <x v="0"/>
    <x v="0"/>
    <n v="5"/>
    <x v="0"/>
    <x v="0"/>
    <n v="1053621"/>
  </r>
  <r>
    <x v="1"/>
    <x v="0"/>
    <x v="0"/>
    <x v="1"/>
    <n v="1"/>
    <x v="0"/>
    <x v="0"/>
    <n v="1053621"/>
  </r>
  <r>
    <x v="1"/>
    <x v="0"/>
    <x v="0"/>
    <x v="2"/>
    <n v="14"/>
    <x v="0"/>
    <x v="0"/>
    <n v="1053621"/>
  </r>
  <r>
    <x v="0"/>
    <x v="0"/>
    <x v="0"/>
    <x v="2"/>
    <n v="449"/>
    <x v="0"/>
    <x v="0"/>
    <n v="1053621"/>
  </r>
  <r>
    <x v="0"/>
    <x v="0"/>
    <x v="0"/>
    <x v="1"/>
    <n v="19"/>
    <x v="0"/>
    <x v="0"/>
    <n v="1053621"/>
  </r>
  <r>
    <x v="0"/>
    <x v="0"/>
    <x v="0"/>
    <x v="3"/>
    <n v="2"/>
    <x v="0"/>
    <x v="0"/>
    <n v="1053621"/>
  </r>
  <r>
    <x v="2"/>
    <x v="0"/>
    <x v="0"/>
    <x v="2"/>
    <n v="337"/>
    <x v="0"/>
    <x v="0"/>
    <n v="1053621"/>
  </r>
  <r>
    <x v="2"/>
    <x v="0"/>
    <x v="0"/>
    <x v="0"/>
    <n v="4"/>
    <x v="0"/>
    <x v="0"/>
    <n v="1053621"/>
  </r>
  <r>
    <x v="2"/>
    <x v="0"/>
    <x v="0"/>
    <x v="3"/>
    <n v="2"/>
    <x v="0"/>
    <x v="0"/>
    <n v="1053621"/>
  </r>
  <r>
    <x v="2"/>
    <x v="0"/>
    <x v="0"/>
    <x v="1"/>
    <n v="14"/>
    <x v="0"/>
    <x v="0"/>
    <n v="1053621"/>
  </r>
  <r>
    <x v="0"/>
    <x v="0"/>
    <x v="1"/>
    <x v="1"/>
    <n v="29"/>
    <x v="0"/>
    <x v="1"/>
    <n v="1052734"/>
  </r>
  <r>
    <x v="1"/>
    <x v="0"/>
    <x v="1"/>
    <x v="0"/>
    <n v="1"/>
    <x v="0"/>
    <x v="1"/>
    <n v="1052734"/>
  </r>
  <r>
    <x v="1"/>
    <x v="0"/>
    <x v="1"/>
    <x v="1"/>
    <n v="1"/>
    <x v="0"/>
    <x v="1"/>
    <n v="1052734"/>
  </r>
  <r>
    <x v="0"/>
    <x v="0"/>
    <x v="1"/>
    <x v="0"/>
    <n v="10"/>
    <x v="0"/>
    <x v="1"/>
    <n v="1052734"/>
  </r>
  <r>
    <x v="1"/>
    <x v="0"/>
    <x v="1"/>
    <x v="2"/>
    <n v="6"/>
    <x v="0"/>
    <x v="1"/>
    <n v="1052734"/>
  </r>
  <r>
    <x v="0"/>
    <x v="0"/>
    <x v="1"/>
    <x v="3"/>
    <n v="11"/>
    <x v="0"/>
    <x v="1"/>
    <n v="1052734"/>
  </r>
  <r>
    <x v="0"/>
    <x v="0"/>
    <x v="1"/>
    <x v="2"/>
    <n v="266"/>
    <x v="0"/>
    <x v="1"/>
    <n v="1052734"/>
  </r>
  <r>
    <x v="2"/>
    <x v="0"/>
    <x v="1"/>
    <x v="0"/>
    <n v="9"/>
    <x v="0"/>
    <x v="1"/>
    <n v="1052734"/>
  </r>
  <r>
    <x v="2"/>
    <x v="0"/>
    <x v="1"/>
    <x v="2"/>
    <n v="205"/>
    <x v="0"/>
    <x v="1"/>
    <n v="1052734"/>
  </r>
  <r>
    <x v="2"/>
    <x v="0"/>
    <x v="1"/>
    <x v="1"/>
    <n v="26"/>
    <x v="0"/>
    <x v="1"/>
    <n v="1052734"/>
  </r>
  <r>
    <x v="2"/>
    <x v="0"/>
    <x v="1"/>
    <x v="3"/>
    <n v="8"/>
    <x v="0"/>
    <x v="1"/>
    <n v="1052734"/>
  </r>
  <r>
    <x v="2"/>
    <x v="0"/>
    <x v="2"/>
    <x v="2"/>
    <n v="162"/>
    <x v="0"/>
    <x v="2"/>
    <n v="1061383"/>
  </r>
  <r>
    <x v="0"/>
    <x v="0"/>
    <x v="2"/>
    <x v="2"/>
    <n v="204"/>
    <x v="0"/>
    <x v="2"/>
    <n v="1061383"/>
  </r>
  <r>
    <x v="0"/>
    <x v="0"/>
    <x v="2"/>
    <x v="1"/>
    <n v="18"/>
    <x v="0"/>
    <x v="2"/>
    <n v="1061383"/>
  </r>
  <r>
    <x v="0"/>
    <x v="0"/>
    <x v="2"/>
    <x v="3"/>
    <n v="10"/>
    <x v="0"/>
    <x v="2"/>
    <n v="1061383"/>
  </r>
  <r>
    <x v="0"/>
    <x v="0"/>
    <x v="2"/>
    <x v="0"/>
    <n v="5"/>
    <x v="0"/>
    <x v="2"/>
    <n v="1061383"/>
  </r>
  <r>
    <x v="2"/>
    <x v="0"/>
    <x v="2"/>
    <x v="1"/>
    <n v="18"/>
    <x v="0"/>
    <x v="2"/>
    <n v="1061383"/>
  </r>
  <r>
    <x v="2"/>
    <x v="0"/>
    <x v="2"/>
    <x v="3"/>
    <n v="10"/>
    <x v="0"/>
    <x v="2"/>
    <n v="1061383"/>
  </r>
  <r>
    <x v="2"/>
    <x v="0"/>
    <x v="2"/>
    <x v="0"/>
    <n v="5"/>
    <x v="0"/>
    <x v="2"/>
    <n v="1061383"/>
  </r>
  <r>
    <x v="1"/>
    <x v="0"/>
    <x v="2"/>
    <x v="2"/>
    <n v="10"/>
    <x v="0"/>
    <x v="2"/>
    <n v="1061383"/>
  </r>
  <r>
    <x v="2"/>
    <x v="0"/>
    <x v="3"/>
    <x v="3"/>
    <n v="9"/>
    <x v="0"/>
    <x v="3"/>
    <n v="1060010"/>
  </r>
  <r>
    <x v="0"/>
    <x v="0"/>
    <x v="3"/>
    <x v="0"/>
    <n v="5"/>
    <x v="0"/>
    <x v="3"/>
    <n v="1060010"/>
  </r>
  <r>
    <x v="0"/>
    <x v="0"/>
    <x v="3"/>
    <x v="3"/>
    <n v="9"/>
    <x v="0"/>
    <x v="3"/>
    <n v="1060010"/>
  </r>
  <r>
    <x v="2"/>
    <x v="0"/>
    <x v="3"/>
    <x v="1"/>
    <n v="16"/>
    <x v="0"/>
    <x v="3"/>
    <n v="1060010"/>
  </r>
  <r>
    <x v="2"/>
    <x v="0"/>
    <x v="3"/>
    <x v="0"/>
    <n v="5"/>
    <x v="0"/>
    <x v="3"/>
    <n v="1060010"/>
  </r>
  <r>
    <x v="0"/>
    <x v="0"/>
    <x v="3"/>
    <x v="1"/>
    <n v="20"/>
    <x v="0"/>
    <x v="3"/>
    <n v="1060010"/>
  </r>
  <r>
    <x v="0"/>
    <x v="0"/>
    <x v="3"/>
    <x v="2"/>
    <n v="152"/>
    <x v="0"/>
    <x v="3"/>
    <n v="1060010"/>
  </r>
  <r>
    <x v="1"/>
    <x v="0"/>
    <x v="3"/>
    <x v="2"/>
    <n v="6"/>
    <x v="0"/>
    <x v="3"/>
    <n v="1060010"/>
  </r>
  <r>
    <x v="1"/>
    <x v="0"/>
    <x v="3"/>
    <x v="3"/>
    <n v="2"/>
    <x v="0"/>
    <x v="3"/>
    <n v="1060010"/>
  </r>
  <r>
    <x v="2"/>
    <x v="0"/>
    <x v="3"/>
    <x v="2"/>
    <n v="131"/>
    <x v="0"/>
    <x v="3"/>
    <n v="1060010"/>
  </r>
  <r>
    <x v="0"/>
    <x v="0"/>
    <x v="4"/>
    <x v="0"/>
    <n v="1"/>
    <x v="0"/>
    <x v="4"/>
    <n v="1085852"/>
  </r>
  <r>
    <x v="0"/>
    <x v="0"/>
    <x v="4"/>
    <x v="2"/>
    <n v="95"/>
    <x v="0"/>
    <x v="4"/>
    <n v="1085852"/>
  </r>
  <r>
    <x v="0"/>
    <x v="0"/>
    <x v="4"/>
    <x v="1"/>
    <n v="6"/>
    <x v="0"/>
    <x v="4"/>
    <n v="1085852"/>
  </r>
  <r>
    <x v="2"/>
    <x v="0"/>
    <x v="4"/>
    <x v="3"/>
    <n v="3"/>
    <x v="0"/>
    <x v="4"/>
    <n v="1085852"/>
  </r>
  <r>
    <x v="0"/>
    <x v="0"/>
    <x v="4"/>
    <x v="3"/>
    <n v="3"/>
    <x v="0"/>
    <x v="4"/>
    <n v="1085852"/>
  </r>
  <r>
    <x v="2"/>
    <x v="0"/>
    <x v="4"/>
    <x v="1"/>
    <n v="4"/>
    <x v="0"/>
    <x v="4"/>
    <n v="1085852"/>
  </r>
  <r>
    <x v="1"/>
    <x v="0"/>
    <x v="4"/>
    <x v="2"/>
    <n v="4"/>
    <x v="0"/>
    <x v="4"/>
    <n v="1085852"/>
  </r>
  <r>
    <x v="1"/>
    <x v="0"/>
    <x v="4"/>
    <x v="0"/>
    <n v="1"/>
    <x v="0"/>
    <x v="4"/>
    <n v="1085852"/>
  </r>
  <r>
    <x v="2"/>
    <x v="0"/>
    <x v="4"/>
    <x v="2"/>
    <n v="88"/>
    <x v="0"/>
    <x v="4"/>
    <n v="1085852"/>
  </r>
  <r>
    <x v="2"/>
    <x v="0"/>
    <x v="4"/>
    <x v="0"/>
    <n v="1"/>
    <x v="0"/>
    <x v="4"/>
    <n v="1085852"/>
  </r>
  <r>
    <x v="2"/>
    <x v="1"/>
    <x v="0"/>
    <x v="1"/>
    <n v="12"/>
    <x v="1"/>
    <x v="0"/>
    <n v="1052242"/>
  </r>
  <r>
    <x v="2"/>
    <x v="1"/>
    <x v="0"/>
    <x v="2"/>
    <n v="383"/>
    <x v="1"/>
    <x v="0"/>
    <n v="1052242"/>
  </r>
  <r>
    <x v="0"/>
    <x v="1"/>
    <x v="0"/>
    <x v="1"/>
    <n v="18"/>
    <x v="1"/>
    <x v="0"/>
    <n v="1052242"/>
  </r>
  <r>
    <x v="0"/>
    <x v="1"/>
    <x v="0"/>
    <x v="0"/>
    <n v="8"/>
    <x v="1"/>
    <x v="0"/>
    <n v="1052242"/>
  </r>
  <r>
    <x v="0"/>
    <x v="1"/>
    <x v="0"/>
    <x v="3"/>
    <n v="2"/>
    <x v="1"/>
    <x v="0"/>
    <n v="1052242"/>
  </r>
  <r>
    <x v="0"/>
    <x v="1"/>
    <x v="0"/>
    <x v="2"/>
    <n v="473"/>
    <x v="1"/>
    <x v="0"/>
    <n v="1052242"/>
  </r>
  <r>
    <x v="1"/>
    <x v="1"/>
    <x v="0"/>
    <x v="2"/>
    <n v="16"/>
    <x v="1"/>
    <x v="0"/>
    <n v="1052242"/>
  </r>
  <r>
    <x v="2"/>
    <x v="1"/>
    <x v="0"/>
    <x v="0"/>
    <n v="3"/>
    <x v="1"/>
    <x v="0"/>
    <n v="1052242"/>
  </r>
  <r>
    <x v="2"/>
    <x v="1"/>
    <x v="0"/>
    <x v="3"/>
    <n v="2"/>
    <x v="1"/>
    <x v="0"/>
    <n v="1052242"/>
  </r>
  <r>
    <x v="1"/>
    <x v="1"/>
    <x v="1"/>
    <x v="2"/>
    <n v="5"/>
    <x v="1"/>
    <x v="1"/>
    <n v="1051706"/>
  </r>
  <r>
    <x v="0"/>
    <x v="1"/>
    <x v="1"/>
    <x v="3"/>
    <n v="7"/>
    <x v="1"/>
    <x v="1"/>
    <n v="1051706"/>
  </r>
  <r>
    <x v="2"/>
    <x v="1"/>
    <x v="1"/>
    <x v="2"/>
    <n v="212"/>
    <x v="1"/>
    <x v="1"/>
    <n v="1051706"/>
  </r>
  <r>
    <x v="0"/>
    <x v="1"/>
    <x v="1"/>
    <x v="0"/>
    <n v="4"/>
    <x v="1"/>
    <x v="1"/>
    <n v="1051706"/>
  </r>
  <r>
    <x v="2"/>
    <x v="1"/>
    <x v="1"/>
    <x v="1"/>
    <n v="24"/>
    <x v="1"/>
    <x v="1"/>
    <n v="1051706"/>
  </r>
  <r>
    <x v="2"/>
    <x v="1"/>
    <x v="1"/>
    <x v="3"/>
    <n v="4"/>
    <x v="1"/>
    <x v="1"/>
    <n v="1051706"/>
  </r>
  <r>
    <x v="2"/>
    <x v="1"/>
    <x v="1"/>
    <x v="0"/>
    <n v="3"/>
    <x v="1"/>
    <x v="1"/>
    <n v="1051706"/>
  </r>
  <r>
    <x v="0"/>
    <x v="1"/>
    <x v="1"/>
    <x v="1"/>
    <n v="24"/>
    <x v="1"/>
    <x v="1"/>
    <n v="1051706"/>
  </r>
  <r>
    <x v="0"/>
    <x v="1"/>
    <x v="1"/>
    <x v="2"/>
    <n v="269"/>
    <x v="1"/>
    <x v="1"/>
    <n v="1051706"/>
  </r>
  <r>
    <x v="0"/>
    <x v="1"/>
    <x v="2"/>
    <x v="0"/>
    <n v="12"/>
    <x v="1"/>
    <x v="2"/>
    <n v="1062201"/>
  </r>
  <r>
    <x v="1"/>
    <x v="1"/>
    <x v="2"/>
    <x v="2"/>
    <n v="3"/>
    <x v="1"/>
    <x v="2"/>
    <n v="1062201"/>
  </r>
  <r>
    <x v="0"/>
    <x v="1"/>
    <x v="2"/>
    <x v="3"/>
    <n v="11"/>
    <x v="1"/>
    <x v="2"/>
    <n v="1062201"/>
  </r>
  <r>
    <x v="2"/>
    <x v="1"/>
    <x v="2"/>
    <x v="2"/>
    <n v="161"/>
    <x v="1"/>
    <x v="2"/>
    <n v="1062201"/>
  </r>
  <r>
    <x v="2"/>
    <x v="1"/>
    <x v="2"/>
    <x v="1"/>
    <n v="15"/>
    <x v="1"/>
    <x v="2"/>
    <n v="1062201"/>
  </r>
  <r>
    <x v="2"/>
    <x v="1"/>
    <x v="2"/>
    <x v="0"/>
    <n v="11"/>
    <x v="1"/>
    <x v="2"/>
    <n v="1062201"/>
  </r>
  <r>
    <x v="0"/>
    <x v="1"/>
    <x v="2"/>
    <x v="1"/>
    <n v="17"/>
    <x v="1"/>
    <x v="2"/>
    <n v="1062201"/>
  </r>
  <r>
    <x v="0"/>
    <x v="1"/>
    <x v="2"/>
    <x v="2"/>
    <n v="182"/>
    <x v="1"/>
    <x v="2"/>
    <n v="1062201"/>
  </r>
  <r>
    <x v="1"/>
    <x v="1"/>
    <x v="2"/>
    <x v="1"/>
    <n v="1"/>
    <x v="1"/>
    <x v="2"/>
    <n v="1062201"/>
  </r>
  <r>
    <x v="2"/>
    <x v="1"/>
    <x v="2"/>
    <x v="3"/>
    <n v="10"/>
    <x v="1"/>
    <x v="2"/>
    <n v="1062201"/>
  </r>
  <r>
    <x v="0"/>
    <x v="1"/>
    <x v="3"/>
    <x v="2"/>
    <n v="133"/>
    <x v="1"/>
    <x v="3"/>
    <n v="1066971"/>
  </r>
  <r>
    <x v="0"/>
    <x v="1"/>
    <x v="3"/>
    <x v="1"/>
    <n v="17"/>
    <x v="1"/>
    <x v="3"/>
    <n v="1066971"/>
  </r>
  <r>
    <x v="0"/>
    <x v="1"/>
    <x v="3"/>
    <x v="3"/>
    <n v="17"/>
    <x v="1"/>
    <x v="3"/>
    <n v="1066971"/>
  </r>
  <r>
    <x v="0"/>
    <x v="1"/>
    <x v="3"/>
    <x v="0"/>
    <n v="6"/>
    <x v="1"/>
    <x v="3"/>
    <n v="1066971"/>
  </r>
  <r>
    <x v="2"/>
    <x v="1"/>
    <x v="3"/>
    <x v="2"/>
    <n v="109"/>
    <x v="1"/>
    <x v="3"/>
    <n v="1066971"/>
  </r>
  <r>
    <x v="2"/>
    <x v="1"/>
    <x v="3"/>
    <x v="1"/>
    <n v="17"/>
    <x v="1"/>
    <x v="3"/>
    <n v="1066971"/>
  </r>
  <r>
    <x v="2"/>
    <x v="1"/>
    <x v="3"/>
    <x v="3"/>
    <n v="17"/>
    <x v="1"/>
    <x v="3"/>
    <n v="1066971"/>
  </r>
  <r>
    <x v="2"/>
    <x v="1"/>
    <x v="3"/>
    <x v="0"/>
    <n v="4"/>
    <x v="1"/>
    <x v="3"/>
    <n v="1066971"/>
  </r>
  <r>
    <x v="1"/>
    <x v="1"/>
    <x v="3"/>
    <x v="2"/>
    <n v="3"/>
    <x v="1"/>
    <x v="3"/>
    <n v="1066971"/>
  </r>
  <r>
    <x v="0"/>
    <x v="1"/>
    <x v="4"/>
    <x v="0"/>
    <n v="4"/>
    <x v="1"/>
    <x v="4"/>
    <n v="1094580"/>
  </r>
  <r>
    <x v="1"/>
    <x v="1"/>
    <x v="4"/>
    <x v="3"/>
    <n v="1"/>
    <x v="1"/>
    <x v="4"/>
    <n v="1094580"/>
  </r>
  <r>
    <x v="2"/>
    <x v="1"/>
    <x v="4"/>
    <x v="2"/>
    <n v="77"/>
    <x v="1"/>
    <x v="4"/>
    <n v="1094580"/>
  </r>
  <r>
    <x v="0"/>
    <x v="1"/>
    <x v="4"/>
    <x v="2"/>
    <n v="83"/>
    <x v="1"/>
    <x v="4"/>
    <n v="1094580"/>
  </r>
  <r>
    <x v="0"/>
    <x v="1"/>
    <x v="4"/>
    <x v="1"/>
    <n v="10"/>
    <x v="1"/>
    <x v="4"/>
    <n v="1094580"/>
  </r>
  <r>
    <x v="0"/>
    <x v="1"/>
    <x v="4"/>
    <x v="3"/>
    <n v="13"/>
    <x v="1"/>
    <x v="4"/>
    <n v="1094580"/>
  </r>
  <r>
    <x v="2"/>
    <x v="1"/>
    <x v="4"/>
    <x v="0"/>
    <n v="4"/>
    <x v="1"/>
    <x v="4"/>
    <n v="1094580"/>
  </r>
  <r>
    <x v="1"/>
    <x v="1"/>
    <x v="4"/>
    <x v="2"/>
    <n v="2"/>
    <x v="1"/>
    <x v="4"/>
    <n v="1094580"/>
  </r>
  <r>
    <x v="2"/>
    <x v="1"/>
    <x v="4"/>
    <x v="3"/>
    <n v="13"/>
    <x v="1"/>
    <x v="4"/>
    <n v="1094580"/>
  </r>
  <r>
    <x v="2"/>
    <x v="1"/>
    <x v="4"/>
    <x v="1"/>
    <n v="8"/>
    <x v="1"/>
    <x v="4"/>
    <n v="1094580"/>
  </r>
  <r>
    <x v="0"/>
    <x v="2"/>
    <x v="5"/>
    <x v="0"/>
    <n v="1"/>
    <x v="2"/>
    <x v="5"/>
    <m/>
  </r>
  <r>
    <x v="0"/>
    <x v="2"/>
    <x v="0"/>
    <x v="0"/>
    <n v="7"/>
    <x v="3"/>
    <x v="0"/>
    <n v="1051892"/>
  </r>
  <r>
    <x v="0"/>
    <x v="2"/>
    <x v="0"/>
    <x v="3"/>
    <n v="7"/>
    <x v="3"/>
    <x v="0"/>
    <n v="1051892"/>
  </r>
  <r>
    <x v="0"/>
    <x v="2"/>
    <x v="0"/>
    <x v="1"/>
    <n v="16"/>
    <x v="3"/>
    <x v="0"/>
    <n v="1051892"/>
  </r>
  <r>
    <x v="2"/>
    <x v="2"/>
    <x v="0"/>
    <x v="0"/>
    <n v="4"/>
    <x v="3"/>
    <x v="0"/>
    <n v="1051892"/>
  </r>
  <r>
    <x v="2"/>
    <x v="2"/>
    <x v="0"/>
    <x v="1"/>
    <n v="12"/>
    <x v="3"/>
    <x v="0"/>
    <n v="1051892"/>
  </r>
  <r>
    <x v="2"/>
    <x v="2"/>
    <x v="0"/>
    <x v="3"/>
    <n v="5"/>
    <x v="3"/>
    <x v="0"/>
    <n v="1051892"/>
  </r>
  <r>
    <x v="0"/>
    <x v="2"/>
    <x v="0"/>
    <x v="2"/>
    <n v="390"/>
    <x v="3"/>
    <x v="0"/>
    <n v="1051892"/>
  </r>
  <r>
    <x v="2"/>
    <x v="2"/>
    <x v="0"/>
    <x v="2"/>
    <n v="311"/>
    <x v="3"/>
    <x v="0"/>
    <n v="1051892"/>
  </r>
  <r>
    <x v="1"/>
    <x v="2"/>
    <x v="0"/>
    <x v="1"/>
    <n v="2"/>
    <x v="3"/>
    <x v="0"/>
    <n v="1051892"/>
  </r>
  <r>
    <x v="1"/>
    <x v="2"/>
    <x v="0"/>
    <x v="2"/>
    <n v="10"/>
    <x v="3"/>
    <x v="0"/>
    <n v="1051892"/>
  </r>
  <r>
    <x v="1"/>
    <x v="2"/>
    <x v="1"/>
    <x v="1"/>
    <n v="1"/>
    <x v="3"/>
    <x v="1"/>
    <n v="1052469"/>
  </r>
  <r>
    <x v="0"/>
    <x v="2"/>
    <x v="1"/>
    <x v="0"/>
    <n v="4"/>
    <x v="3"/>
    <x v="1"/>
    <n v="1052469"/>
  </r>
  <r>
    <x v="0"/>
    <x v="2"/>
    <x v="1"/>
    <x v="3"/>
    <n v="6"/>
    <x v="3"/>
    <x v="1"/>
    <n v="1052469"/>
  </r>
  <r>
    <x v="0"/>
    <x v="2"/>
    <x v="1"/>
    <x v="1"/>
    <n v="22"/>
    <x v="3"/>
    <x v="1"/>
    <n v="1052469"/>
  </r>
  <r>
    <x v="0"/>
    <x v="2"/>
    <x v="1"/>
    <x v="2"/>
    <n v="231"/>
    <x v="3"/>
    <x v="1"/>
    <n v="1052469"/>
  </r>
  <r>
    <x v="1"/>
    <x v="2"/>
    <x v="1"/>
    <x v="0"/>
    <n v="3"/>
    <x v="3"/>
    <x v="1"/>
    <n v="1052469"/>
  </r>
  <r>
    <x v="1"/>
    <x v="2"/>
    <x v="1"/>
    <x v="2"/>
    <n v="5"/>
    <x v="3"/>
    <x v="1"/>
    <n v="1052469"/>
  </r>
  <r>
    <x v="2"/>
    <x v="2"/>
    <x v="1"/>
    <x v="0"/>
    <n v="3"/>
    <x v="3"/>
    <x v="1"/>
    <n v="1052469"/>
  </r>
  <r>
    <x v="2"/>
    <x v="2"/>
    <x v="1"/>
    <x v="1"/>
    <n v="20"/>
    <x v="3"/>
    <x v="1"/>
    <n v="1052469"/>
  </r>
  <r>
    <x v="2"/>
    <x v="2"/>
    <x v="1"/>
    <x v="3"/>
    <n v="5"/>
    <x v="3"/>
    <x v="1"/>
    <n v="1052469"/>
  </r>
  <r>
    <x v="2"/>
    <x v="2"/>
    <x v="1"/>
    <x v="2"/>
    <n v="186"/>
    <x v="3"/>
    <x v="1"/>
    <n v="1052469"/>
  </r>
  <r>
    <x v="0"/>
    <x v="2"/>
    <x v="2"/>
    <x v="0"/>
    <n v="2"/>
    <x v="3"/>
    <x v="2"/>
    <n v="1063532"/>
  </r>
  <r>
    <x v="0"/>
    <x v="2"/>
    <x v="2"/>
    <x v="3"/>
    <n v="8"/>
    <x v="3"/>
    <x v="2"/>
    <n v="1063532"/>
  </r>
  <r>
    <x v="1"/>
    <x v="2"/>
    <x v="2"/>
    <x v="0"/>
    <n v="1"/>
    <x v="3"/>
    <x v="2"/>
    <n v="1063532"/>
  </r>
  <r>
    <x v="2"/>
    <x v="2"/>
    <x v="2"/>
    <x v="0"/>
    <n v="2"/>
    <x v="3"/>
    <x v="2"/>
    <n v="1063532"/>
  </r>
  <r>
    <x v="0"/>
    <x v="2"/>
    <x v="2"/>
    <x v="1"/>
    <n v="23"/>
    <x v="3"/>
    <x v="2"/>
    <n v="1063532"/>
  </r>
  <r>
    <x v="1"/>
    <x v="2"/>
    <x v="2"/>
    <x v="2"/>
    <n v="9"/>
    <x v="3"/>
    <x v="2"/>
    <n v="1063532"/>
  </r>
  <r>
    <x v="2"/>
    <x v="2"/>
    <x v="2"/>
    <x v="2"/>
    <n v="139"/>
    <x v="3"/>
    <x v="2"/>
    <n v="1063532"/>
  </r>
  <r>
    <x v="2"/>
    <x v="2"/>
    <x v="2"/>
    <x v="1"/>
    <n v="18"/>
    <x v="3"/>
    <x v="2"/>
    <n v="1063532"/>
  </r>
  <r>
    <x v="2"/>
    <x v="2"/>
    <x v="2"/>
    <x v="3"/>
    <n v="7"/>
    <x v="3"/>
    <x v="2"/>
    <n v="1063532"/>
  </r>
  <r>
    <x v="0"/>
    <x v="2"/>
    <x v="2"/>
    <x v="2"/>
    <n v="167"/>
    <x v="3"/>
    <x v="2"/>
    <n v="1063532"/>
  </r>
  <r>
    <x v="1"/>
    <x v="2"/>
    <x v="3"/>
    <x v="3"/>
    <n v="1"/>
    <x v="3"/>
    <x v="3"/>
    <n v="1076943"/>
  </r>
  <r>
    <x v="1"/>
    <x v="2"/>
    <x v="3"/>
    <x v="2"/>
    <n v="4"/>
    <x v="3"/>
    <x v="3"/>
    <n v="1076943"/>
  </r>
  <r>
    <x v="1"/>
    <x v="2"/>
    <x v="3"/>
    <x v="0"/>
    <n v="1"/>
    <x v="3"/>
    <x v="3"/>
    <n v="1076943"/>
  </r>
  <r>
    <x v="2"/>
    <x v="2"/>
    <x v="3"/>
    <x v="2"/>
    <n v="82"/>
    <x v="3"/>
    <x v="3"/>
    <n v="1076943"/>
  </r>
  <r>
    <x v="0"/>
    <x v="2"/>
    <x v="3"/>
    <x v="3"/>
    <n v="17"/>
    <x v="3"/>
    <x v="3"/>
    <n v="1076943"/>
  </r>
  <r>
    <x v="0"/>
    <x v="2"/>
    <x v="3"/>
    <x v="0"/>
    <n v="5"/>
    <x v="3"/>
    <x v="3"/>
    <n v="1076943"/>
  </r>
  <r>
    <x v="2"/>
    <x v="2"/>
    <x v="3"/>
    <x v="1"/>
    <n v="19"/>
    <x v="3"/>
    <x v="3"/>
    <n v="1076943"/>
  </r>
  <r>
    <x v="2"/>
    <x v="2"/>
    <x v="3"/>
    <x v="3"/>
    <n v="12"/>
    <x v="3"/>
    <x v="3"/>
    <n v="1076943"/>
  </r>
  <r>
    <x v="2"/>
    <x v="2"/>
    <x v="3"/>
    <x v="0"/>
    <n v="5"/>
    <x v="3"/>
    <x v="3"/>
    <n v="1076943"/>
  </r>
  <r>
    <x v="0"/>
    <x v="2"/>
    <x v="3"/>
    <x v="1"/>
    <n v="19"/>
    <x v="3"/>
    <x v="3"/>
    <n v="1076943"/>
  </r>
  <r>
    <x v="0"/>
    <x v="2"/>
    <x v="3"/>
    <x v="2"/>
    <n v="100"/>
    <x v="3"/>
    <x v="3"/>
    <n v="1076943"/>
  </r>
  <r>
    <x v="0"/>
    <x v="2"/>
    <x v="4"/>
    <x v="3"/>
    <n v="2"/>
    <x v="3"/>
    <x v="4"/>
    <n v="1102764"/>
  </r>
  <r>
    <x v="2"/>
    <x v="2"/>
    <x v="4"/>
    <x v="2"/>
    <n v="44"/>
    <x v="3"/>
    <x v="4"/>
    <n v="1102764"/>
  </r>
  <r>
    <x v="2"/>
    <x v="2"/>
    <x v="4"/>
    <x v="1"/>
    <n v="9"/>
    <x v="3"/>
    <x v="4"/>
    <n v="1102764"/>
  </r>
  <r>
    <x v="2"/>
    <x v="2"/>
    <x v="4"/>
    <x v="3"/>
    <n v="1"/>
    <x v="3"/>
    <x v="4"/>
    <n v="1102764"/>
  </r>
  <r>
    <x v="2"/>
    <x v="2"/>
    <x v="4"/>
    <x v="0"/>
    <n v="2"/>
    <x v="3"/>
    <x v="4"/>
    <n v="1102764"/>
  </r>
  <r>
    <x v="0"/>
    <x v="2"/>
    <x v="4"/>
    <x v="0"/>
    <n v="2"/>
    <x v="3"/>
    <x v="4"/>
    <n v="1102764"/>
  </r>
  <r>
    <x v="1"/>
    <x v="2"/>
    <x v="4"/>
    <x v="2"/>
    <n v="3"/>
    <x v="3"/>
    <x v="4"/>
    <n v="1102764"/>
  </r>
  <r>
    <x v="0"/>
    <x v="2"/>
    <x v="4"/>
    <x v="1"/>
    <n v="11"/>
    <x v="3"/>
    <x v="4"/>
    <n v="1102764"/>
  </r>
  <r>
    <x v="0"/>
    <x v="2"/>
    <x v="4"/>
    <x v="2"/>
    <n v="59"/>
    <x v="3"/>
    <x v="4"/>
    <n v="1102764"/>
  </r>
  <r>
    <x v="2"/>
    <x v="3"/>
    <x v="5"/>
    <x v="0"/>
    <n v="2"/>
    <x v="2"/>
    <x v="5"/>
    <m/>
  </r>
  <r>
    <x v="0"/>
    <x v="3"/>
    <x v="5"/>
    <x v="0"/>
    <n v="4"/>
    <x v="2"/>
    <x v="5"/>
    <m/>
  </r>
  <r>
    <x v="1"/>
    <x v="3"/>
    <x v="0"/>
    <x v="2"/>
    <n v="15"/>
    <x v="4"/>
    <x v="0"/>
    <n v="1054168"/>
  </r>
  <r>
    <x v="0"/>
    <x v="3"/>
    <x v="0"/>
    <x v="0"/>
    <n v="1"/>
    <x v="4"/>
    <x v="0"/>
    <n v="1054168"/>
  </r>
  <r>
    <x v="0"/>
    <x v="3"/>
    <x v="0"/>
    <x v="1"/>
    <n v="29"/>
    <x v="4"/>
    <x v="0"/>
    <n v="1054168"/>
  </r>
  <r>
    <x v="2"/>
    <x v="3"/>
    <x v="0"/>
    <x v="3"/>
    <n v="3"/>
    <x v="4"/>
    <x v="0"/>
    <n v="1054168"/>
  </r>
  <r>
    <x v="0"/>
    <x v="3"/>
    <x v="0"/>
    <x v="3"/>
    <n v="4"/>
    <x v="4"/>
    <x v="0"/>
    <n v="1054168"/>
  </r>
  <r>
    <x v="2"/>
    <x v="3"/>
    <x v="0"/>
    <x v="0"/>
    <n v="1"/>
    <x v="4"/>
    <x v="0"/>
    <n v="1054168"/>
  </r>
  <r>
    <x v="2"/>
    <x v="3"/>
    <x v="0"/>
    <x v="1"/>
    <n v="27"/>
    <x v="4"/>
    <x v="0"/>
    <n v="1054168"/>
  </r>
  <r>
    <x v="2"/>
    <x v="3"/>
    <x v="0"/>
    <x v="2"/>
    <n v="381"/>
    <x v="4"/>
    <x v="0"/>
    <n v="1054168"/>
  </r>
  <r>
    <x v="0"/>
    <x v="3"/>
    <x v="0"/>
    <x v="2"/>
    <n v="497"/>
    <x v="4"/>
    <x v="0"/>
    <n v="1054168"/>
  </r>
  <r>
    <x v="0"/>
    <x v="3"/>
    <x v="1"/>
    <x v="0"/>
    <n v="13"/>
    <x v="4"/>
    <x v="1"/>
    <n v="1055402"/>
  </r>
  <r>
    <x v="2"/>
    <x v="3"/>
    <x v="1"/>
    <x v="0"/>
    <n v="11"/>
    <x v="4"/>
    <x v="1"/>
    <n v="1055402"/>
  </r>
  <r>
    <x v="0"/>
    <x v="3"/>
    <x v="1"/>
    <x v="2"/>
    <n v="263"/>
    <x v="4"/>
    <x v="1"/>
    <n v="1055402"/>
  </r>
  <r>
    <x v="2"/>
    <x v="3"/>
    <x v="1"/>
    <x v="3"/>
    <n v="5"/>
    <x v="4"/>
    <x v="1"/>
    <n v="1055402"/>
  </r>
  <r>
    <x v="2"/>
    <x v="3"/>
    <x v="1"/>
    <x v="2"/>
    <n v="202"/>
    <x v="4"/>
    <x v="1"/>
    <n v="1055402"/>
  </r>
  <r>
    <x v="1"/>
    <x v="3"/>
    <x v="1"/>
    <x v="2"/>
    <n v="9"/>
    <x v="4"/>
    <x v="1"/>
    <n v="1055402"/>
  </r>
  <r>
    <x v="0"/>
    <x v="3"/>
    <x v="1"/>
    <x v="3"/>
    <n v="5"/>
    <x v="4"/>
    <x v="1"/>
    <n v="1055402"/>
  </r>
  <r>
    <x v="0"/>
    <x v="3"/>
    <x v="1"/>
    <x v="1"/>
    <n v="26"/>
    <x v="4"/>
    <x v="1"/>
    <n v="1055402"/>
  </r>
  <r>
    <x v="2"/>
    <x v="3"/>
    <x v="1"/>
    <x v="1"/>
    <n v="20"/>
    <x v="4"/>
    <x v="1"/>
    <n v="1055402"/>
  </r>
  <r>
    <x v="2"/>
    <x v="3"/>
    <x v="2"/>
    <x v="1"/>
    <n v="27"/>
    <x v="4"/>
    <x v="2"/>
    <n v="1065989"/>
  </r>
  <r>
    <x v="1"/>
    <x v="3"/>
    <x v="2"/>
    <x v="3"/>
    <n v="3"/>
    <x v="4"/>
    <x v="2"/>
    <n v="1065989"/>
  </r>
  <r>
    <x v="2"/>
    <x v="3"/>
    <x v="2"/>
    <x v="2"/>
    <n v="121"/>
    <x v="4"/>
    <x v="2"/>
    <n v="1065989"/>
  </r>
  <r>
    <x v="0"/>
    <x v="3"/>
    <x v="2"/>
    <x v="0"/>
    <n v="5"/>
    <x v="4"/>
    <x v="2"/>
    <n v="1065989"/>
  </r>
  <r>
    <x v="0"/>
    <x v="3"/>
    <x v="2"/>
    <x v="3"/>
    <n v="26"/>
    <x v="4"/>
    <x v="2"/>
    <n v="1065989"/>
  </r>
  <r>
    <x v="0"/>
    <x v="3"/>
    <x v="2"/>
    <x v="1"/>
    <n v="29"/>
    <x v="4"/>
    <x v="2"/>
    <n v="1065989"/>
  </r>
  <r>
    <x v="0"/>
    <x v="3"/>
    <x v="2"/>
    <x v="2"/>
    <n v="148"/>
    <x v="4"/>
    <x v="2"/>
    <n v="1065989"/>
  </r>
  <r>
    <x v="2"/>
    <x v="3"/>
    <x v="2"/>
    <x v="0"/>
    <n v="5"/>
    <x v="4"/>
    <x v="2"/>
    <n v="1065989"/>
  </r>
  <r>
    <x v="2"/>
    <x v="3"/>
    <x v="2"/>
    <x v="3"/>
    <n v="25"/>
    <x v="4"/>
    <x v="2"/>
    <n v="1065989"/>
  </r>
  <r>
    <x v="1"/>
    <x v="3"/>
    <x v="2"/>
    <x v="2"/>
    <n v="6"/>
    <x v="4"/>
    <x v="2"/>
    <n v="1065989"/>
  </r>
  <r>
    <x v="2"/>
    <x v="3"/>
    <x v="3"/>
    <x v="3"/>
    <n v="21"/>
    <x v="4"/>
    <x v="3"/>
    <n v="1087470"/>
  </r>
  <r>
    <x v="1"/>
    <x v="3"/>
    <x v="3"/>
    <x v="1"/>
    <n v="2"/>
    <x v="4"/>
    <x v="3"/>
    <n v="1087470"/>
  </r>
  <r>
    <x v="2"/>
    <x v="3"/>
    <x v="3"/>
    <x v="1"/>
    <n v="17"/>
    <x v="4"/>
    <x v="3"/>
    <n v="1087470"/>
  </r>
  <r>
    <x v="2"/>
    <x v="3"/>
    <x v="3"/>
    <x v="2"/>
    <n v="75"/>
    <x v="4"/>
    <x v="3"/>
    <n v="1087470"/>
  </r>
  <r>
    <x v="2"/>
    <x v="3"/>
    <x v="3"/>
    <x v="0"/>
    <n v="6"/>
    <x v="4"/>
    <x v="3"/>
    <n v="1087470"/>
  </r>
  <r>
    <x v="0"/>
    <x v="3"/>
    <x v="3"/>
    <x v="2"/>
    <n v="98"/>
    <x v="4"/>
    <x v="3"/>
    <n v="1087470"/>
  </r>
  <r>
    <x v="0"/>
    <x v="3"/>
    <x v="3"/>
    <x v="1"/>
    <n v="20"/>
    <x v="4"/>
    <x v="3"/>
    <n v="1087470"/>
  </r>
  <r>
    <x v="0"/>
    <x v="3"/>
    <x v="3"/>
    <x v="3"/>
    <n v="22"/>
    <x v="4"/>
    <x v="3"/>
    <n v="1087470"/>
  </r>
  <r>
    <x v="0"/>
    <x v="3"/>
    <x v="3"/>
    <x v="0"/>
    <n v="8"/>
    <x v="4"/>
    <x v="3"/>
    <n v="1087470"/>
  </r>
  <r>
    <x v="1"/>
    <x v="3"/>
    <x v="3"/>
    <x v="2"/>
    <n v="7"/>
    <x v="4"/>
    <x v="3"/>
    <n v="1087470"/>
  </r>
  <r>
    <x v="2"/>
    <x v="3"/>
    <x v="4"/>
    <x v="2"/>
    <n v="50"/>
    <x v="4"/>
    <x v="4"/>
    <n v="1109971"/>
  </r>
  <r>
    <x v="2"/>
    <x v="3"/>
    <x v="4"/>
    <x v="3"/>
    <n v="2"/>
    <x v="4"/>
    <x v="4"/>
    <n v="1109971"/>
  </r>
  <r>
    <x v="1"/>
    <x v="3"/>
    <x v="4"/>
    <x v="2"/>
    <n v="2"/>
    <x v="4"/>
    <x v="4"/>
    <n v="1109971"/>
  </r>
  <r>
    <x v="2"/>
    <x v="3"/>
    <x v="4"/>
    <x v="1"/>
    <n v="12"/>
    <x v="4"/>
    <x v="4"/>
    <n v="1109971"/>
  </r>
  <r>
    <x v="0"/>
    <x v="3"/>
    <x v="4"/>
    <x v="2"/>
    <n v="57"/>
    <x v="4"/>
    <x v="4"/>
    <n v="1109971"/>
  </r>
  <r>
    <x v="0"/>
    <x v="3"/>
    <x v="4"/>
    <x v="1"/>
    <n v="13"/>
    <x v="4"/>
    <x v="4"/>
    <n v="1109971"/>
  </r>
  <r>
    <x v="2"/>
    <x v="3"/>
    <x v="4"/>
    <x v="0"/>
    <n v="4"/>
    <x v="4"/>
    <x v="4"/>
    <n v="1109971"/>
  </r>
  <r>
    <x v="0"/>
    <x v="3"/>
    <x v="4"/>
    <x v="0"/>
    <n v="4"/>
    <x v="4"/>
    <x v="4"/>
    <n v="1109971"/>
  </r>
  <r>
    <x v="1"/>
    <x v="3"/>
    <x v="4"/>
    <x v="1"/>
    <n v="1"/>
    <x v="4"/>
    <x v="4"/>
    <n v="1109971"/>
  </r>
  <r>
    <x v="0"/>
    <x v="3"/>
    <x v="4"/>
    <x v="3"/>
    <n v="4"/>
    <x v="4"/>
    <x v="4"/>
    <n v="1109971"/>
  </r>
  <r>
    <x v="2"/>
    <x v="4"/>
    <x v="0"/>
    <x v="0"/>
    <n v="5"/>
    <x v="5"/>
    <x v="0"/>
    <n v="1058713"/>
  </r>
  <r>
    <x v="1"/>
    <x v="4"/>
    <x v="0"/>
    <x v="1"/>
    <n v="2"/>
    <x v="5"/>
    <x v="0"/>
    <n v="1058713"/>
  </r>
  <r>
    <x v="1"/>
    <x v="4"/>
    <x v="0"/>
    <x v="2"/>
    <n v="13"/>
    <x v="5"/>
    <x v="0"/>
    <n v="1058713"/>
  </r>
  <r>
    <x v="2"/>
    <x v="4"/>
    <x v="0"/>
    <x v="2"/>
    <n v="348"/>
    <x v="5"/>
    <x v="0"/>
    <n v="1058713"/>
  </r>
  <r>
    <x v="2"/>
    <x v="4"/>
    <x v="0"/>
    <x v="3"/>
    <n v="4"/>
    <x v="5"/>
    <x v="0"/>
    <n v="1058713"/>
  </r>
  <r>
    <x v="0"/>
    <x v="4"/>
    <x v="0"/>
    <x v="2"/>
    <n v="501"/>
    <x v="5"/>
    <x v="0"/>
    <n v="1058713"/>
  </r>
  <r>
    <x v="0"/>
    <x v="4"/>
    <x v="0"/>
    <x v="1"/>
    <n v="17"/>
    <x v="5"/>
    <x v="0"/>
    <n v="1058713"/>
  </r>
  <r>
    <x v="0"/>
    <x v="4"/>
    <x v="0"/>
    <x v="3"/>
    <n v="5"/>
    <x v="5"/>
    <x v="0"/>
    <n v="1058713"/>
  </r>
  <r>
    <x v="0"/>
    <x v="4"/>
    <x v="0"/>
    <x v="0"/>
    <n v="7"/>
    <x v="5"/>
    <x v="0"/>
    <n v="1058713"/>
  </r>
  <r>
    <x v="2"/>
    <x v="4"/>
    <x v="0"/>
    <x v="1"/>
    <n v="13"/>
    <x v="5"/>
    <x v="0"/>
    <n v="1058713"/>
  </r>
  <r>
    <x v="1"/>
    <x v="4"/>
    <x v="1"/>
    <x v="2"/>
    <n v="5"/>
    <x v="5"/>
    <x v="1"/>
    <n v="1057929"/>
  </r>
  <r>
    <x v="1"/>
    <x v="4"/>
    <x v="1"/>
    <x v="3"/>
    <n v="1"/>
    <x v="5"/>
    <x v="1"/>
    <n v="1057929"/>
  </r>
  <r>
    <x v="2"/>
    <x v="4"/>
    <x v="1"/>
    <x v="0"/>
    <n v="7"/>
    <x v="5"/>
    <x v="1"/>
    <n v="1057929"/>
  </r>
  <r>
    <x v="2"/>
    <x v="4"/>
    <x v="1"/>
    <x v="1"/>
    <n v="17"/>
    <x v="5"/>
    <x v="1"/>
    <n v="1057929"/>
  </r>
  <r>
    <x v="2"/>
    <x v="4"/>
    <x v="1"/>
    <x v="3"/>
    <n v="8"/>
    <x v="5"/>
    <x v="1"/>
    <n v="1057929"/>
  </r>
  <r>
    <x v="0"/>
    <x v="4"/>
    <x v="1"/>
    <x v="2"/>
    <n v="273"/>
    <x v="5"/>
    <x v="1"/>
    <n v="1057929"/>
  </r>
  <r>
    <x v="0"/>
    <x v="4"/>
    <x v="1"/>
    <x v="1"/>
    <n v="19"/>
    <x v="5"/>
    <x v="1"/>
    <n v="1057929"/>
  </r>
  <r>
    <x v="0"/>
    <x v="4"/>
    <x v="1"/>
    <x v="3"/>
    <n v="9"/>
    <x v="5"/>
    <x v="1"/>
    <n v="1057929"/>
  </r>
  <r>
    <x v="0"/>
    <x v="4"/>
    <x v="1"/>
    <x v="0"/>
    <n v="8"/>
    <x v="5"/>
    <x v="1"/>
    <n v="1057929"/>
  </r>
  <r>
    <x v="2"/>
    <x v="4"/>
    <x v="1"/>
    <x v="2"/>
    <n v="204"/>
    <x v="5"/>
    <x v="1"/>
    <n v="1057929"/>
  </r>
  <r>
    <x v="2"/>
    <x v="4"/>
    <x v="2"/>
    <x v="1"/>
    <n v="12"/>
    <x v="5"/>
    <x v="2"/>
    <n v="1070719"/>
  </r>
  <r>
    <x v="1"/>
    <x v="4"/>
    <x v="2"/>
    <x v="2"/>
    <n v="7"/>
    <x v="5"/>
    <x v="2"/>
    <n v="1070719"/>
  </r>
  <r>
    <x v="1"/>
    <x v="4"/>
    <x v="2"/>
    <x v="3"/>
    <n v="1"/>
    <x v="5"/>
    <x v="2"/>
    <n v="1070719"/>
  </r>
  <r>
    <x v="0"/>
    <x v="4"/>
    <x v="2"/>
    <x v="2"/>
    <n v="162"/>
    <x v="5"/>
    <x v="2"/>
    <n v="1070719"/>
  </r>
  <r>
    <x v="0"/>
    <x v="4"/>
    <x v="2"/>
    <x v="0"/>
    <n v="10"/>
    <x v="5"/>
    <x v="2"/>
    <n v="1070719"/>
  </r>
  <r>
    <x v="2"/>
    <x v="4"/>
    <x v="2"/>
    <x v="2"/>
    <n v="112"/>
    <x v="5"/>
    <x v="2"/>
    <n v="1070719"/>
  </r>
  <r>
    <x v="2"/>
    <x v="4"/>
    <x v="2"/>
    <x v="3"/>
    <n v="8"/>
    <x v="5"/>
    <x v="2"/>
    <n v="1070719"/>
  </r>
  <r>
    <x v="2"/>
    <x v="4"/>
    <x v="2"/>
    <x v="0"/>
    <n v="8"/>
    <x v="5"/>
    <x v="2"/>
    <n v="1070719"/>
  </r>
  <r>
    <x v="0"/>
    <x v="4"/>
    <x v="2"/>
    <x v="3"/>
    <n v="11"/>
    <x v="5"/>
    <x v="2"/>
    <n v="1070719"/>
  </r>
  <r>
    <x v="0"/>
    <x v="4"/>
    <x v="2"/>
    <x v="1"/>
    <n v="15"/>
    <x v="5"/>
    <x v="2"/>
    <n v="1070719"/>
  </r>
  <r>
    <x v="2"/>
    <x v="4"/>
    <x v="3"/>
    <x v="2"/>
    <n v="81"/>
    <x v="5"/>
    <x v="3"/>
    <n v="1099208"/>
  </r>
  <r>
    <x v="2"/>
    <x v="4"/>
    <x v="3"/>
    <x v="1"/>
    <n v="9"/>
    <x v="5"/>
    <x v="3"/>
    <n v="1099208"/>
  </r>
  <r>
    <x v="2"/>
    <x v="4"/>
    <x v="3"/>
    <x v="3"/>
    <n v="15"/>
    <x v="5"/>
    <x v="3"/>
    <n v="1099208"/>
  </r>
  <r>
    <x v="2"/>
    <x v="4"/>
    <x v="3"/>
    <x v="0"/>
    <n v="4"/>
    <x v="5"/>
    <x v="3"/>
    <n v="1099208"/>
  </r>
  <r>
    <x v="1"/>
    <x v="4"/>
    <x v="3"/>
    <x v="3"/>
    <n v="3"/>
    <x v="5"/>
    <x v="3"/>
    <n v="1099208"/>
  </r>
  <r>
    <x v="0"/>
    <x v="4"/>
    <x v="3"/>
    <x v="0"/>
    <n v="4"/>
    <x v="5"/>
    <x v="3"/>
    <n v="1099208"/>
  </r>
  <r>
    <x v="1"/>
    <x v="4"/>
    <x v="3"/>
    <x v="2"/>
    <n v="4"/>
    <x v="5"/>
    <x v="3"/>
    <n v="1099208"/>
  </r>
  <r>
    <x v="0"/>
    <x v="4"/>
    <x v="3"/>
    <x v="2"/>
    <n v="100"/>
    <x v="5"/>
    <x v="3"/>
    <n v="1099208"/>
  </r>
  <r>
    <x v="0"/>
    <x v="4"/>
    <x v="3"/>
    <x v="1"/>
    <n v="13"/>
    <x v="5"/>
    <x v="3"/>
    <n v="1099208"/>
  </r>
  <r>
    <x v="1"/>
    <x v="4"/>
    <x v="3"/>
    <x v="1"/>
    <n v="1"/>
    <x v="5"/>
    <x v="3"/>
    <n v="1099208"/>
  </r>
  <r>
    <x v="0"/>
    <x v="4"/>
    <x v="3"/>
    <x v="3"/>
    <n v="17"/>
    <x v="5"/>
    <x v="3"/>
    <n v="1099208"/>
  </r>
  <r>
    <x v="1"/>
    <x v="4"/>
    <x v="4"/>
    <x v="2"/>
    <n v="7"/>
    <x v="5"/>
    <x v="4"/>
    <n v="1118131"/>
  </r>
  <r>
    <x v="2"/>
    <x v="4"/>
    <x v="4"/>
    <x v="0"/>
    <n v="2"/>
    <x v="5"/>
    <x v="4"/>
    <n v="1118131"/>
  </r>
  <r>
    <x v="2"/>
    <x v="4"/>
    <x v="4"/>
    <x v="3"/>
    <n v="5"/>
    <x v="5"/>
    <x v="4"/>
    <n v="1118131"/>
  </r>
  <r>
    <x v="2"/>
    <x v="4"/>
    <x v="4"/>
    <x v="1"/>
    <n v="5"/>
    <x v="5"/>
    <x v="4"/>
    <n v="1118131"/>
  </r>
  <r>
    <x v="0"/>
    <x v="4"/>
    <x v="4"/>
    <x v="2"/>
    <n v="79"/>
    <x v="5"/>
    <x v="4"/>
    <n v="1118131"/>
  </r>
  <r>
    <x v="2"/>
    <x v="4"/>
    <x v="4"/>
    <x v="2"/>
    <n v="69"/>
    <x v="5"/>
    <x v="4"/>
    <n v="1118131"/>
  </r>
  <r>
    <x v="0"/>
    <x v="4"/>
    <x v="4"/>
    <x v="1"/>
    <n v="8"/>
    <x v="5"/>
    <x v="4"/>
    <n v="1118131"/>
  </r>
  <r>
    <x v="0"/>
    <x v="4"/>
    <x v="4"/>
    <x v="3"/>
    <n v="6"/>
    <x v="5"/>
    <x v="4"/>
    <n v="1118131"/>
  </r>
  <r>
    <x v="0"/>
    <x v="4"/>
    <x v="4"/>
    <x v="0"/>
    <n v="2"/>
    <x v="5"/>
    <x v="4"/>
    <n v="1118131"/>
  </r>
  <r>
    <x v="2"/>
    <x v="5"/>
    <x v="5"/>
    <x v="0"/>
    <n v="1"/>
    <x v="2"/>
    <x v="5"/>
    <m/>
  </r>
  <r>
    <x v="0"/>
    <x v="5"/>
    <x v="5"/>
    <x v="0"/>
    <n v="2"/>
    <x v="2"/>
    <x v="5"/>
    <m/>
  </r>
  <r>
    <x v="2"/>
    <x v="5"/>
    <x v="0"/>
    <x v="0"/>
    <n v="4"/>
    <x v="6"/>
    <x v="0"/>
    <n v="1059288"/>
  </r>
  <r>
    <x v="2"/>
    <x v="5"/>
    <x v="0"/>
    <x v="3"/>
    <n v="6"/>
    <x v="6"/>
    <x v="0"/>
    <n v="1059288"/>
  </r>
  <r>
    <x v="2"/>
    <x v="5"/>
    <x v="0"/>
    <x v="1"/>
    <n v="18"/>
    <x v="6"/>
    <x v="0"/>
    <n v="1059288"/>
  </r>
  <r>
    <x v="2"/>
    <x v="5"/>
    <x v="0"/>
    <x v="2"/>
    <n v="314"/>
    <x v="6"/>
    <x v="0"/>
    <n v="1059288"/>
  </r>
  <r>
    <x v="1"/>
    <x v="5"/>
    <x v="0"/>
    <x v="2"/>
    <n v="14"/>
    <x v="6"/>
    <x v="0"/>
    <n v="1059288"/>
  </r>
  <r>
    <x v="0"/>
    <x v="5"/>
    <x v="0"/>
    <x v="0"/>
    <n v="4"/>
    <x v="6"/>
    <x v="0"/>
    <n v="1059288"/>
  </r>
  <r>
    <x v="0"/>
    <x v="5"/>
    <x v="0"/>
    <x v="3"/>
    <n v="14"/>
    <x v="6"/>
    <x v="0"/>
    <n v="1059288"/>
  </r>
  <r>
    <x v="0"/>
    <x v="5"/>
    <x v="0"/>
    <x v="1"/>
    <n v="31"/>
    <x v="6"/>
    <x v="0"/>
    <n v="1059288"/>
  </r>
  <r>
    <x v="0"/>
    <x v="5"/>
    <x v="0"/>
    <x v="2"/>
    <n v="410"/>
    <x v="6"/>
    <x v="0"/>
    <n v="1059288"/>
  </r>
  <r>
    <x v="1"/>
    <x v="5"/>
    <x v="0"/>
    <x v="1"/>
    <n v="2"/>
    <x v="6"/>
    <x v="0"/>
    <n v="1059288"/>
  </r>
  <r>
    <x v="0"/>
    <x v="5"/>
    <x v="1"/>
    <x v="1"/>
    <n v="27"/>
    <x v="6"/>
    <x v="1"/>
    <n v="1059104"/>
  </r>
  <r>
    <x v="0"/>
    <x v="5"/>
    <x v="1"/>
    <x v="3"/>
    <n v="4"/>
    <x v="6"/>
    <x v="1"/>
    <n v="1059104"/>
  </r>
  <r>
    <x v="2"/>
    <x v="5"/>
    <x v="1"/>
    <x v="0"/>
    <n v="6"/>
    <x v="6"/>
    <x v="1"/>
    <n v="1059104"/>
  </r>
  <r>
    <x v="2"/>
    <x v="5"/>
    <x v="1"/>
    <x v="2"/>
    <n v="181"/>
    <x v="6"/>
    <x v="1"/>
    <n v="1059104"/>
  </r>
  <r>
    <x v="0"/>
    <x v="5"/>
    <x v="1"/>
    <x v="0"/>
    <n v="7"/>
    <x v="6"/>
    <x v="1"/>
    <n v="1059104"/>
  </r>
  <r>
    <x v="2"/>
    <x v="5"/>
    <x v="1"/>
    <x v="3"/>
    <n v="3"/>
    <x v="6"/>
    <x v="1"/>
    <n v="1059104"/>
  </r>
  <r>
    <x v="0"/>
    <x v="5"/>
    <x v="1"/>
    <x v="2"/>
    <n v="217"/>
    <x v="6"/>
    <x v="1"/>
    <n v="1059104"/>
  </r>
  <r>
    <x v="1"/>
    <x v="5"/>
    <x v="1"/>
    <x v="2"/>
    <n v="5"/>
    <x v="6"/>
    <x v="1"/>
    <n v="1059104"/>
  </r>
  <r>
    <x v="2"/>
    <x v="5"/>
    <x v="1"/>
    <x v="1"/>
    <n v="22"/>
    <x v="6"/>
    <x v="1"/>
    <n v="1059104"/>
  </r>
  <r>
    <x v="1"/>
    <x v="5"/>
    <x v="1"/>
    <x v="1"/>
    <n v="1"/>
    <x v="6"/>
    <x v="1"/>
    <n v="1059104"/>
  </r>
  <r>
    <x v="2"/>
    <x v="5"/>
    <x v="2"/>
    <x v="2"/>
    <n v="109"/>
    <x v="6"/>
    <x v="2"/>
    <n v="1072629"/>
  </r>
  <r>
    <x v="2"/>
    <x v="5"/>
    <x v="2"/>
    <x v="1"/>
    <n v="15"/>
    <x v="6"/>
    <x v="2"/>
    <n v="1072629"/>
  </r>
  <r>
    <x v="2"/>
    <x v="5"/>
    <x v="2"/>
    <x v="3"/>
    <n v="13"/>
    <x v="6"/>
    <x v="2"/>
    <n v="1072629"/>
  </r>
  <r>
    <x v="2"/>
    <x v="5"/>
    <x v="2"/>
    <x v="0"/>
    <n v="4"/>
    <x v="6"/>
    <x v="2"/>
    <n v="1072629"/>
  </r>
  <r>
    <x v="1"/>
    <x v="5"/>
    <x v="2"/>
    <x v="0"/>
    <n v="1"/>
    <x v="6"/>
    <x v="2"/>
    <n v="1072629"/>
  </r>
  <r>
    <x v="1"/>
    <x v="5"/>
    <x v="2"/>
    <x v="3"/>
    <n v="3"/>
    <x v="6"/>
    <x v="2"/>
    <n v="1072629"/>
  </r>
  <r>
    <x v="0"/>
    <x v="5"/>
    <x v="2"/>
    <x v="2"/>
    <n v="128"/>
    <x v="6"/>
    <x v="2"/>
    <n v="1072629"/>
  </r>
  <r>
    <x v="1"/>
    <x v="5"/>
    <x v="2"/>
    <x v="2"/>
    <n v="10"/>
    <x v="6"/>
    <x v="2"/>
    <n v="1072629"/>
  </r>
  <r>
    <x v="0"/>
    <x v="5"/>
    <x v="2"/>
    <x v="1"/>
    <n v="19"/>
    <x v="6"/>
    <x v="2"/>
    <n v="1072629"/>
  </r>
  <r>
    <x v="0"/>
    <x v="5"/>
    <x v="2"/>
    <x v="3"/>
    <n v="19"/>
    <x v="6"/>
    <x v="2"/>
    <n v="1072629"/>
  </r>
  <r>
    <x v="0"/>
    <x v="5"/>
    <x v="2"/>
    <x v="0"/>
    <n v="4"/>
    <x v="6"/>
    <x v="2"/>
    <n v="1072629"/>
  </r>
  <r>
    <x v="1"/>
    <x v="5"/>
    <x v="3"/>
    <x v="2"/>
    <n v="5"/>
    <x v="6"/>
    <x v="3"/>
    <n v="1110521"/>
  </r>
  <r>
    <x v="2"/>
    <x v="5"/>
    <x v="3"/>
    <x v="2"/>
    <n v="75"/>
    <x v="6"/>
    <x v="3"/>
    <n v="1110521"/>
  </r>
  <r>
    <x v="2"/>
    <x v="5"/>
    <x v="3"/>
    <x v="1"/>
    <n v="23"/>
    <x v="6"/>
    <x v="3"/>
    <n v="1110521"/>
  </r>
  <r>
    <x v="2"/>
    <x v="5"/>
    <x v="3"/>
    <x v="3"/>
    <n v="10"/>
    <x v="6"/>
    <x v="3"/>
    <n v="1110521"/>
  </r>
  <r>
    <x v="2"/>
    <x v="5"/>
    <x v="3"/>
    <x v="0"/>
    <n v="3"/>
    <x v="6"/>
    <x v="3"/>
    <n v="1110521"/>
  </r>
  <r>
    <x v="0"/>
    <x v="5"/>
    <x v="3"/>
    <x v="2"/>
    <n v="100"/>
    <x v="6"/>
    <x v="3"/>
    <n v="1110521"/>
  </r>
  <r>
    <x v="0"/>
    <x v="5"/>
    <x v="3"/>
    <x v="1"/>
    <n v="28"/>
    <x v="6"/>
    <x v="3"/>
    <n v="1110521"/>
  </r>
  <r>
    <x v="0"/>
    <x v="5"/>
    <x v="3"/>
    <x v="3"/>
    <n v="11"/>
    <x v="6"/>
    <x v="3"/>
    <n v="1110521"/>
  </r>
  <r>
    <x v="0"/>
    <x v="5"/>
    <x v="3"/>
    <x v="0"/>
    <n v="7"/>
    <x v="6"/>
    <x v="3"/>
    <n v="1110521"/>
  </r>
  <r>
    <x v="2"/>
    <x v="5"/>
    <x v="4"/>
    <x v="2"/>
    <n v="58"/>
    <x v="6"/>
    <x v="4"/>
    <n v="1123258"/>
  </r>
  <r>
    <x v="2"/>
    <x v="5"/>
    <x v="4"/>
    <x v="1"/>
    <n v="12"/>
    <x v="6"/>
    <x v="4"/>
    <n v="1123258"/>
  </r>
  <r>
    <x v="2"/>
    <x v="5"/>
    <x v="4"/>
    <x v="3"/>
    <n v="3"/>
    <x v="6"/>
    <x v="4"/>
    <n v="1123258"/>
  </r>
  <r>
    <x v="2"/>
    <x v="5"/>
    <x v="4"/>
    <x v="0"/>
    <n v="1"/>
    <x v="6"/>
    <x v="4"/>
    <n v="1123258"/>
  </r>
  <r>
    <x v="1"/>
    <x v="5"/>
    <x v="4"/>
    <x v="2"/>
    <n v="3"/>
    <x v="6"/>
    <x v="4"/>
    <n v="1123258"/>
  </r>
  <r>
    <x v="0"/>
    <x v="5"/>
    <x v="4"/>
    <x v="1"/>
    <n v="14"/>
    <x v="6"/>
    <x v="4"/>
    <n v="1123258"/>
  </r>
  <r>
    <x v="0"/>
    <x v="5"/>
    <x v="4"/>
    <x v="3"/>
    <n v="3"/>
    <x v="6"/>
    <x v="4"/>
    <n v="1123258"/>
  </r>
  <r>
    <x v="0"/>
    <x v="5"/>
    <x v="4"/>
    <x v="0"/>
    <n v="1"/>
    <x v="6"/>
    <x v="4"/>
    <n v="1123258"/>
  </r>
  <r>
    <x v="0"/>
    <x v="5"/>
    <x v="4"/>
    <x v="2"/>
    <n v="66"/>
    <x v="6"/>
    <x v="4"/>
    <n v="1123258"/>
  </r>
  <r>
    <x v="2"/>
    <x v="6"/>
    <x v="0"/>
    <x v="0"/>
    <n v="10"/>
    <x v="7"/>
    <x v="0"/>
    <n v="1059180"/>
  </r>
  <r>
    <x v="0"/>
    <x v="6"/>
    <x v="0"/>
    <x v="0"/>
    <n v="12"/>
    <x v="7"/>
    <x v="0"/>
    <n v="1059180"/>
  </r>
  <r>
    <x v="0"/>
    <x v="6"/>
    <x v="0"/>
    <x v="3"/>
    <n v="2"/>
    <x v="7"/>
    <x v="0"/>
    <n v="1059180"/>
  </r>
  <r>
    <x v="2"/>
    <x v="6"/>
    <x v="0"/>
    <x v="2"/>
    <n v="374"/>
    <x v="7"/>
    <x v="0"/>
    <n v="1059180"/>
  </r>
  <r>
    <x v="1"/>
    <x v="6"/>
    <x v="0"/>
    <x v="0"/>
    <n v="1"/>
    <x v="7"/>
    <x v="0"/>
    <n v="1059180"/>
  </r>
  <r>
    <x v="2"/>
    <x v="6"/>
    <x v="0"/>
    <x v="1"/>
    <n v="19"/>
    <x v="7"/>
    <x v="0"/>
    <n v="1059180"/>
  </r>
  <r>
    <x v="0"/>
    <x v="6"/>
    <x v="0"/>
    <x v="1"/>
    <n v="20"/>
    <x v="7"/>
    <x v="0"/>
    <n v="1059180"/>
  </r>
  <r>
    <x v="2"/>
    <x v="6"/>
    <x v="0"/>
    <x v="3"/>
    <n v="1"/>
    <x v="7"/>
    <x v="0"/>
    <n v="1059180"/>
  </r>
  <r>
    <x v="1"/>
    <x v="6"/>
    <x v="0"/>
    <x v="2"/>
    <n v="13"/>
    <x v="7"/>
    <x v="0"/>
    <n v="1059180"/>
  </r>
  <r>
    <x v="0"/>
    <x v="6"/>
    <x v="0"/>
    <x v="2"/>
    <n v="491"/>
    <x v="7"/>
    <x v="0"/>
    <n v="1059180"/>
  </r>
  <r>
    <x v="2"/>
    <x v="6"/>
    <x v="1"/>
    <x v="0"/>
    <n v="7"/>
    <x v="7"/>
    <x v="1"/>
    <n v="1058116"/>
  </r>
  <r>
    <x v="2"/>
    <x v="6"/>
    <x v="1"/>
    <x v="3"/>
    <n v="10"/>
    <x v="7"/>
    <x v="1"/>
    <n v="1058116"/>
  </r>
  <r>
    <x v="2"/>
    <x v="6"/>
    <x v="1"/>
    <x v="2"/>
    <n v="182"/>
    <x v="7"/>
    <x v="1"/>
    <n v="1058116"/>
  </r>
  <r>
    <x v="0"/>
    <x v="6"/>
    <x v="1"/>
    <x v="2"/>
    <n v="236"/>
    <x v="7"/>
    <x v="1"/>
    <n v="1058116"/>
  </r>
  <r>
    <x v="2"/>
    <x v="6"/>
    <x v="1"/>
    <x v="1"/>
    <n v="18"/>
    <x v="7"/>
    <x v="1"/>
    <n v="1058116"/>
  </r>
  <r>
    <x v="1"/>
    <x v="6"/>
    <x v="1"/>
    <x v="2"/>
    <n v="9"/>
    <x v="7"/>
    <x v="1"/>
    <n v="1058116"/>
  </r>
  <r>
    <x v="0"/>
    <x v="6"/>
    <x v="1"/>
    <x v="3"/>
    <n v="11"/>
    <x v="7"/>
    <x v="1"/>
    <n v="1058116"/>
  </r>
  <r>
    <x v="0"/>
    <x v="6"/>
    <x v="1"/>
    <x v="0"/>
    <n v="7"/>
    <x v="7"/>
    <x v="1"/>
    <n v="1058116"/>
  </r>
  <r>
    <x v="1"/>
    <x v="6"/>
    <x v="1"/>
    <x v="1"/>
    <n v="1"/>
    <x v="7"/>
    <x v="1"/>
    <n v="1058116"/>
  </r>
  <r>
    <x v="1"/>
    <x v="6"/>
    <x v="1"/>
    <x v="0"/>
    <n v="1"/>
    <x v="7"/>
    <x v="1"/>
    <n v="1058116"/>
  </r>
  <r>
    <x v="0"/>
    <x v="6"/>
    <x v="1"/>
    <x v="1"/>
    <n v="23"/>
    <x v="7"/>
    <x v="1"/>
    <n v="1058116"/>
  </r>
  <r>
    <x v="2"/>
    <x v="6"/>
    <x v="2"/>
    <x v="0"/>
    <n v="10"/>
    <x v="7"/>
    <x v="2"/>
    <n v="1075006"/>
  </r>
  <r>
    <x v="0"/>
    <x v="6"/>
    <x v="2"/>
    <x v="2"/>
    <n v="148"/>
    <x v="7"/>
    <x v="2"/>
    <n v="1075006"/>
  </r>
  <r>
    <x v="0"/>
    <x v="6"/>
    <x v="2"/>
    <x v="1"/>
    <n v="33"/>
    <x v="7"/>
    <x v="2"/>
    <n v="1075006"/>
  </r>
  <r>
    <x v="1"/>
    <x v="6"/>
    <x v="2"/>
    <x v="2"/>
    <n v="10"/>
    <x v="7"/>
    <x v="2"/>
    <n v="1075006"/>
  </r>
  <r>
    <x v="0"/>
    <x v="6"/>
    <x v="2"/>
    <x v="3"/>
    <n v="6"/>
    <x v="7"/>
    <x v="2"/>
    <n v="1075006"/>
  </r>
  <r>
    <x v="0"/>
    <x v="6"/>
    <x v="2"/>
    <x v="0"/>
    <n v="10"/>
    <x v="7"/>
    <x v="2"/>
    <n v="1075006"/>
  </r>
  <r>
    <x v="2"/>
    <x v="6"/>
    <x v="2"/>
    <x v="3"/>
    <n v="6"/>
    <x v="7"/>
    <x v="2"/>
    <n v="1075006"/>
  </r>
  <r>
    <x v="2"/>
    <x v="6"/>
    <x v="2"/>
    <x v="2"/>
    <n v="120"/>
    <x v="7"/>
    <x v="2"/>
    <n v="1075006"/>
  </r>
  <r>
    <x v="2"/>
    <x v="6"/>
    <x v="2"/>
    <x v="1"/>
    <n v="28"/>
    <x v="7"/>
    <x v="2"/>
    <n v="1075006"/>
  </r>
  <r>
    <x v="0"/>
    <x v="6"/>
    <x v="3"/>
    <x v="2"/>
    <n v="76"/>
    <x v="7"/>
    <x v="3"/>
    <n v="1120192"/>
  </r>
  <r>
    <x v="0"/>
    <x v="6"/>
    <x v="3"/>
    <x v="1"/>
    <n v="22"/>
    <x v="7"/>
    <x v="3"/>
    <n v="1120192"/>
  </r>
  <r>
    <x v="1"/>
    <x v="6"/>
    <x v="3"/>
    <x v="2"/>
    <n v="6"/>
    <x v="7"/>
    <x v="3"/>
    <n v="1120192"/>
  </r>
  <r>
    <x v="0"/>
    <x v="6"/>
    <x v="3"/>
    <x v="3"/>
    <n v="10"/>
    <x v="7"/>
    <x v="3"/>
    <n v="1120192"/>
  </r>
  <r>
    <x v="1"/>
    <x v="6"/>
    <x v="3"/>
    <x v="3"/>
    <n v="1"/>
    <x v="7"/>
    <x v="3"/>
    <n v="1120192"/>
  </r>
  <r>
    <x v="2"/>
    <x v="6"/>
    <x v="3"/>
    <x v="0"/>
    <n v="6"/>
    <x v="7"/>
    <x v="3"/>
    <n v="1120192"/>
  </r>
  <r>
    <x v="2"/>
    <x v="6"/>
    <x v="3"/>
    <x v="3"/>
    <n v="9"/>
    <x v="7"/>
    <x v="3"/>
    <n v="1120192"/>
  </r>
  <r>
    <x v="2"/>
    <x v="6"/>
    <x v="3"/>
    <x v="1"/>
    <n v="15"/>
    <x v="7"/>
    <x v="3"/>
    <n v="1120192"/>
  </r>
  <r>
    <x v="2"/>
    <x v="6"/>
    <x v="3"/>
    <x v="2"/>
    <n v="60"/>
    <x v="7"/>
    <x v="3"/>
    <n v="1120192"/>
  </r>
  <r>
    <x v="0"/>
    <x v="6"/>
    <x v="3"/>
    <x v="0"/>
    <n v="6"/>
    <x v="7"/>
    <x v="3"/>
    <n v="1120192"/>
  </r>
  <r>
    <x v="2"/>
    <x v="6"/>
    <x v="4"/>
    <x v="0"/>
    <n v="2"/>
    <x v="7"/>
    <x v="4"/>
    <n v="1125606"/>
  </r>
  <r>
    <x v="1"/>
    <x v="6"/>
    <x v="4"/>
    <x v="2"/>
    <n v="2"/>
    <x v="7"/>
    <x v="4"/>
    <n v="1125606"/>
  </r>
  <r>
    <x v="2"/>
    <x v="6"/>
    <x v="4"/>
    <x v="2"/>
    <n v="57"/>
    <x v="7"/>
    <x v="4"/>
    <n v="1125606"/>
  </r>
  <r>
    <x v="2"/>
    <x v="6"/>
    <x v="4"/>
    <x v="3"/>
    <n v="5"/>
    <x v="7"/>
    <x v="4"/>
    <n v="1125606"/>
  </r>
  <r>
    <x v="0"/>
    <x v="6"/>
    <x v="4"/>
    <x v="2"/>
    <n v="65"/>
    <x v="7"/>
    <x v="4"/>
    <n v="1125606"/>
  </r>
  <r>
    <x v="0"/>
    <x v="6"/>
    <x v="4"/>
    <x v="1"/>
    <n v="11"/>
    <x v="7"/>
    <x v="4"/>
    <n v="1125606"/>
  </r>
  <r>
    <x v="0"/>
    <x v="6"/>
    <x v="4"/>
    <x v="3"/>
    <n v="5"/>
    <x v="7"/>
    <x v="4"/>
    <n v="1125606"/>
  </r>
  <r>
    <x v="0"/>
    <x v="6"/>
    <x v="4"/>
    <x v="0"/>
    <n v="3"/>
    <x v="7"/>
    <x v="4"/>
    <n v="1125606"/>
  </r>
  <r>
    <x v="2"/>
    <x v="6"/>
    <x v="4"/>
    <x v="1"/>
    <n v="10"/>
    <x v="7"/>
    <x v="4"/>
    <n v="1125606"/>
  </r>
  <r>
    <x v="1"/>
    <x v="7"/>
    <x v="0"/>
    <x v="3"/>
    <n v="1"/>
    <x v="8"/>
    <x v="0"/>
    <n v="1060939"/>
  </r>
  <r>
    <x v="0"/>
    <x v="7"/>
    <x v="0"/>
    <x v="2"/>
    <n v="377"/>
    <x v="8"/>
    <x v="0"/>
    <n v="1060939"/>
  </r>
  <r>
    <x v="0"/>
    <x v="7"/>
    <x v="0"/>
    <x v="1"/>
    <n v="17"/>
    <x v="8"/>
    <x v="0"/>
    <n v="1060939"/>
  </r>
  <r>
    <x v="0"/>
    <x v="7"/>
    <x v="0"/>
    <x v="3"/>
    <n v="2"/>
    <x v="8"/>
    <x v="0"/>
    <n v="1060939"/>
  </r>
  <r>
    <x v="0"/>
    <x v="7"/>
    <x v="0"/>
    <x v="0"/>
    <n v="7"/>
    <x v="8"/>
    <x v="0"/>
    <n v="1060939"/>
  </r>
  <r>
    <x v="2"/>
    <x v="7"/>
    <x v="0"/>
    <x v="0"/>
    <n v="6"/>
    <x v="8"/>
    <x v="0"/>
    <n v="1060939"/>
  </r>
  <r>
    <x v="1"/>
    <x v="7"/>
    <x v="0"/>
    <x v="2"/>
    <n v="11"/>
    <x v="8"/>
    <x v="0"/>
    <n v="1060939"/>
  </r>
  <r>
    <x v="1"/>
    <x v="7"/>
    <x v="0"/>
    <x v="1"/>
    <n v="1"/>
    <x v="8"/>
    <x v="0"/>
    <n v="1060939"/>
  </r>
  <r>
    <x v="2"/>
    <x v="7"/>
    <x v="0"/>
    <x v="3"/>
    <n v="2"/>
    <x v="8"/>
    <x v="0"/>
    <n v="1060939"/>
  </r>
  <r>
    <x v="2"/>
    <x v="7"/>
    <x v="0"/>
    <x v="1"/>
    <n v="16"/>
    <x v="8"/>
    <x v="0"/>
    <n v="1060939"/>
  </r>
  <r>
    <x v="2"/>
    <x v="7"/>
    <x v="0"/>
    <x v="2"/>
    <n v="288"/>
    <x v="8"/>
    <x v="0"/>
    <n v="1060939"/>
  </r>
  <r>
    <x v="0"/>
    <x v="7"/>
    <x v="1"/>
    <x v="1"/>
    <n v="19"/>
    <x v="8"/>
    <x v="1"/>
    <n v="1060924"/>
  </r>
  <r>
    <x v="0"/>
    <x v="7"/>
    <x v="1"/>
    <x v="3"/>
    <n v="6"/>
    <x v="8"/>
    <x v="1"/>
    <n v="1060924"/>
  </r>
  <r>
    <x v="0"/>
    <x v="7"/>
    <x v="1"/>
    <x v="0"/>
    <n v="11"/>
    <x v="8"/>
    <x v="1"/>
    <n v="1060924"/>
  </r>
  <r>
    <x v="1"/>
    <x v="7"/>
    <x v="1"/>
    <x v="2"/>
    <n v="5"/>
    <x v="8"/>
    <x v="1"/>
    <n v="1060924"/>
  </r>
  <r>
    <x v="2"/>
    <x v="7"/>
    <x v="1"/>
    <x v="0"/>
    <n v="10"/>
    <x v="8"/>
    <x v="1"/>
    <n v="1060924"/>
  </r>
  <r>
    <x v="2"/>
    <x v="7"/>
    <x v="1"/>
    <x v="3"/>
    <n v="6"/>
    <x v="8"/>
    <x v="1"/>
    <n v="1060924"/>
  </r>
  <r>
    <x v="2"/>
    <x v="7"/>
    <x v="1"/>
    <x v="1"/>
    <n v="18"/>
    <x v="8"/>
    <x v="1"/>
    <n v="1060924"/>
  </r>
  <r>
    <x v="0"/>
    <x v="7"/>
    <x v="1"/>
    <x v="2"/>
    <n v="209"/>
    <x v="8"/>
    <x v="1"/>
    <n v="1060924"/>
  </r>
  <r>
    <x v="2"/>
    <x v="7"/>
    <x v="1"/>
    <x v="2"/>
    <n v="148"/>
    <x v="8"/>
    <x v="1"/>
    <n v="1060924"/>
  </r>
  <r>
    <x v="1"/>
    <x v="7"/>
    <x v="1"/>
    <x v="3"/>
    <n v="1"/>
    <x v="8"/>
    <x v="1"/>
    <n v="1060924"/>
  </r>
  <r>
    <x v="1"/>
    <x v="7"/>
    <x v="1"/>
    <x v="1"/>
    <n v="1"/>
    <x v="8"/>
    <x v="1"/>
    <n v="1060924"/>
  </r>
  <r>
    <x v="2"/>
    <x v="7"/>
    <x v="2"/>
    <x v="3"/>
    <n v="6"/>
    <x v="8"/>
    <x v="2"/>
    <n v="1078198"/>
  </r>
  <r>
    <x v="0"/>
    <x v="7"/>
    <x v="2"/>
    <x v="2"/>
    <n v="131"/>
    <x v="8"/>
    <x v="2"/>
    <n v="1078198"/>
  </r>
  <r>
    <x v="0"/>
    <x v="7"/>
    <x v="2"/>
    <x v="1"/>
    <n v="27"/>
    <x v="8"/>
    <x v="2"/>
    <n v="1078198"/>
  </r>
  <r>
    <x v="0"/>
    <x v="7"/>
    <x v="2"/>
    <x v="3"/>
    <n v="7"/>
    <x v="8"/>
    <x v="2"/>
    <n v="1078198"/>
  </r>
  <r>
    <x v="0"/>
    <x v="7"/>
    <x v="2"/>
    <x v="0"/>
    <n v="6"/>
    <x v="8"/>
    <x v="2"/>
    <n v="1078198"/>
  </r>
  <r>
    <x v="2"/>
    <x v="7"/>
    <x v="2"/>
    <x v="0"/>
    <n v="5"/>
    <x v="8"/>
    <x v="2"/>
    <n v="1078198"/>
  </r>
  <r>
    <x v="2"/>
    <x v="7"/>
    <x v="2"/>
    <x v="1"/>
    <n v="24"/>
    <x v="8"/>
    <x v="2"/>
    <n v="1078198"/>
  </r>
  <r>
    <x v="2"/>
    <x v="7"/>
    <x v="2"/>
    <x v="2"/>
    <n v="98"/>
    <x v="8"/>
    <x v="2"/>
    <n v="1078198"/>
  </r>
  <r>
    <x v="1"/>
    <x v="7"/>
    <x v="2"/>
    <x v="2"/>
    <n v="2"/>
    <x v="8"/>
    <x v="2"/>
    <n v="1078198"/>
  </r>
  <r>
    <x v="2"/>
    <x v="7"/>
    <x v="3"/>
    <x v="0"/>
    <n v="5"/>
    <x v="8"/>
    <x v="3"/>
    <n v="1132425"/>
  </r>
  <r>
    <x v="0"/>
    <x v="7"/>
    <x v="3"/>
    <x v="3"/>
    <n v="8"/>
    <x v="8"/>
    <x v="3"/>
    <n v="1132425"/>
  </r>
  <r>
    <x v="0"/>
    <x v="7"/>
    <x v="3"/>
    <x v="1"/>
    <n v="22"/>
    <x v="8"/>
    <x v="3"/>
    <n v="1132425"/>
  </r>
  <r>
    <x v="1"/>
    <x v="7"/>
    <x v="3"/>
    <x v="1"/>
    <n v="1"/>
    <x v="8"/>
    <x v="3"/>
    <n v="1132425"/>
  </r>
  <r>
    <x v="1"/>
    <x v="7"/>
    <x v="3"/>
    <x v="2"/>
    <n v="3"/>
    <x v="8"/>
    <x v="3"/>
    <n v="1132425"/>
  </r>
  <r>
    <x v="0"/>
    <x v="7"/>
    <x v="3"/>
    <x v="2"/>
    <n v="88"/>
    <x v="8"/>
    <x v="3"/>
    <n v="1132425"/>
  </r>
  <r>
    <x v="2"/>
    <x v="7"/>
    <x v="3"/>
    <x v="1"/>
    <n v="21"/>
    <x v="8"/>
    <x v="3"/>
    <n v="1132425"/>
  </r>
  <r>
    <x v="2"/>
    <x v="7"/>
    <x v="3"/>
    <x v="3"/>
    <n v="7"/>
    <x v="8"/>
    <x v="3"/>
    <n v="1132425"/>
  </r>
  <r>
    <x v="0"/>
    <x v="7"/>
    <x v="3"/>
    <x v="0"/>
    <n v="5"/>
    <x v="8"/>
    <x v="3"/>
    <n v="1132425"/>
  </r>
  <r>
    <x v="2"/>
    <x v="7"/>
    <x v="3"/>
    <x v="2"/>
    <n v="75"/>
    <x v="8"/>
    <x v="3"/>
    <n v="1132425"/>
  </r>
  <r>
    <x v="1"/>
    <x v="7"/>
    <x v="4"/>
    <x v="3"/>
    <n v="1"/>
    <x v="8"/>
    <x v="4"/>
    <n v="1130814"/>
  </r>
  <r>
    <x v="0"/>
    <x v="7"/>
    <x v="4"/>
    <x v="0"/>
    <n v="1"/>
    <x v="8"/>
    <x v="4"/>
    <n v="1130814"/>
  </r>
  <r>
    <x v="2"/>
    <x v="7"/>
    <x v="4"/>
    <x v="3"/>
    <n v="4"/>
    <x v="8"/>
    <x v="4"/>
    <n v="1130814"/>
  </r>
  <r>
    <x v="2"/>
    <x v="7"/>
    <x v="4"/>
    <x v="2"/>
    <n v="62"/>
    <x v="8"/>
    <x v="4"/>
    <n v="1130814"/>
  </r>
  <r>
    <x v="2"/>
    <x v="7"/>
    <x v="4"/>
    <x v="0"/>
    <n v="1"/>
    <x v="8"/>
    <x v="4"/>
    <n v="1130814"/>
  </r>
  <r>
    <x v="0"/>
    <x v="7"/>
    <x v="4"/>
    <x v="3"/>
    <n v="6"/>
    <x v="8"/>
    <x v="4"/>
    <n v="1130814"/>
  </r>
  <r>
    <x v="0"/>
    <x v="7"/>
    <x v="4"/>
    <x v="1"/>
    <n v="6"/>
    <x v="8"/>
    <x v="4"/>
    <n v="1130814"/>
  </r>
  <r>
    <x v="0"/>
    <x v="7"/>
    <x v="4"/>
    <x v="2"/>
    <n v="72"/>
    <x v="8"/>
    <x v="4"/>
    <n v="1130814"/>
  </r>
  <r>
    <x v="2"/>
    <x v="7"/>
    <x v="4"/>
    <x v="1"/>
    <n v="6"/>
    <x v="8"/>
    <x v="4"/>
    <n v="1130814"/>
  </r>
  <r>
    <x v="0"/>
    <x v="8"/>
    <x v="0"/>
    <x v="2"/>
    <n v="446"/>
    <x v="9"/>
    <x v="0"/>
    <n v="1057767"/>
  </r>
  <r>
    <x v="0"/>
    <x v="8"/>
    <x v="0"/>
    <x v="1"/>
    <n v="14"/>
    <x v="9"/>
    <x v="0"/>
    <n v="1057767"/>
  </r>
  <r>
    <x v="0"/>
    <x v="8"/>
    <x v="0"/>
    <x v="3"/>
    <n v="2"/>
    <x v="9"/>
    <x v="0"/>
    <n v="1057767"/>
  </r>
  <r>
    <x v="0"/>
    <x v="8"/>
    <x v="0"/>
    <x v="0"/>
    <n v="10"/>
    <x v="9"/>
    <x v="0"/>
    <n v="1057767"/>
  </r>
  <r>
    <x v="2"/>
    <x v="8"/>
    <x v="0"/>
    <x v="0"/>
    <n v="8"/>
    <x v="9"/>
    <x v="0"/>
    <n v="1057767"/>
  </r>
  <r>
    <x v="1"/>
    <x v="8"/>
    <x v="0"/>
    <x v="2"/>
    <n v="17"/>
    <x v="9"/>
    <x v="0"/>
    <n v="1057767"/>
  </r>
  <r>
    <x v="1"/>
    <x v="8"/>
    <x v="0"/>
    <x v="3"/>
    <n v="1"/>
    <x v="9"/>
    <x v="0"/>
    <n v="1057767"/>
  </r>
  <r>
    <x v="1"/>
    <x v="8"/>
    <x v="0"/>
    <x v="0"/>
    <n v="1"/>
    <x v="9"/>
    <x v="0"/>
    <n v="1057767"/>
  </r>
  <r>
    <x v="2"/>
    <x v="8"/>
    <x v="0"/>
    <x v="2"/>
    <n v="288"/>
    <x v="9"/>
    <x v="0"/>
    <n v="1057767"/>
  </r>
  <r>
    <x v="2"/>
    <x v="8"/>
    <x v="0"/>
    <x v="1"/>
    <n v="5"/>
    <x v="9"/>
    <x v="0"/>
    <n v="1057767"/>
  </r>
  <r>
    <x v="2"/>
    <x v="8"/>
    <x v="0"/>
    <x v="3"/>
    <n v="2"/>
    <x v="9"/>
    <x v="0"/>
    <n v="1057767"/>
  </r>
  <r>
    <x v="2"/>
    <x v="8"/>
    <x v="1"/>
    <x v="3"/>
    <n v="2"/>
    <x v="9"/>
    <x v="1"/>
    <n v="1057929"/>
  </r>
  <r>
    <x v="2"/>
    <x v="8"/>
    <x v="1"/>
    <x v="2"/>
    <n v="145"/>
    <x v="9"/>
    <x v="1"/>
    <n v="1057929"/>
  </r>
  <r>
    <x v="0"/>
    <x v="8"/>
    <x v="1"/>
    <x v="3"/>
    <n v="3"/>
    <x v="9"/>
    <x v="1"/>
    <n v="1057929"/>
  </r>
  <r>
    <x v="0"/>
    <x v="8"/>
    <x v="1"/>
    <x v="2"/>
    <n v="206"/>
    <x v="9"/>
    <x v="1"/>
    <n v="1057929"/>
  </r>
  <r>
    <x v="0"/>
    <x v="8"/>
    <x v="1"/>
    <x v="0"/>
    <n v="9"/>
    <x v="9"/>
    <x v="1"/>
    <n v="1057929"/>
  </r>
  <r>
    <x v="2"/>
    <x v="8"/>
    <x v="1"/>
    <x v="1"/>
    <n v="14"/>
    <x v="9"/>
    <x v="1"/>
    <n v="1057929"/>
  </r>
  <r>
    <x v="0"/>
    <x v="8"/>
    <x v="1"/>
    <x v="1"/>
    <n v="17"/>
    <x v="9"/>
    <x v="1"/>
    <n v="1057929"/>
  </r>
  <r>
    <x v="2"/>
    <x v="8"/>
    <x v="1"/>
    <x v="0"/>
    <n v="8"/>
    <x v="9"/>
    <x v="1"/>
    <n v="1057929"/>
  </r>
  <r>
    <x v="1"/>
    <x v="8"/>
    <x v="1"/>
    <x v="1"/>
    <n v="1"/>
    <x v="9"/>
    <x v="1"/>
    <n v="1057929"/>
  </r>
  <r>
    <x v="1"/>
    <x v="8"/>
    <x v="1"/>
    <x v="0"/>
    <n v="1"/>
    <x v="9"/>
    <x v="1"/>
    <n v="1057929"/>
  </r>
  <r>
    <x v="1"/>
    <x v="8"/>
    <x v="1"/>
    <x v="3"/>
    <n v="1"/>
    <x v="9"/>
    <x v="1"/>
    <n v="1057929"/>
  </r>
  <r>
    <x v="1"/>
    <x v="8"/>
    <x v="1"/>
    <x v="2"/>
    <n v="14"/>
    <x v="9"/>
    <x v="1"/>
    <n v="1057929"/>
  </r>
  <r>
    <x v="2"/>
    <x v="8"/>
    <x v="2"/>
    <x v="1"/>
    <n v="17"/>
    <x v="9"/>
    <x v="2"/>
    <n v="1077589"/>
  </r>
  <r>
    <x v="1"/>
    <x v="8"/>
    <x v="2"/>
    <x v="1"/>
    <n v="1"/>
    <x v="9"/>
    <x v="2"/>
    <n v="1077589"/>
  </r>
  <r>
    <x v="1"/>
    <x v="8"/>
    <x v="2"/>
    <x v="2"/>
    <n v="8"/>
    <x v="9"/>
    <x v="2"/>
    <n v="1077589"/>
  </r>
  <r>
    <x v="1"/>
    <x v="8"/>
    <x v="2"/>
    <x v="3"/>
    <n v="2"/>
    <x v="9"/>
    <x v="2"/>
    <n v="1077589"/>
  </r>
  <r>
    <x v="2"/>
    <x v="8"/>
    <x v="2"/>
    <x v="3"/>
    <n v="5"/>
    <x v="9"/>
    <x v="2"/>
    <n v="1077589"/>
  </r>
  <r>
    <x v="0"/>
    <x v="8"/>
    <x v="2"/>
    <x v="2"/>
    <n v="107"/>
    <x v="9"/>
    <x v="2"/>
    <n v="1077589"/>
  </r>
  <r>
    <x v="0"/>
    <x v="8"/>
    <x v="2"/>
    <x v="0"/>
    <n v="14"/>
    <x v="9"/>
    <x v="2"/>
    <n v="1077589"/>
  </r>
  <r>
    <x v="0"/>
    <x v="8"/>
    <x v="2"/>
    <x v="1"/>
    <n v="21"/>
    <x v="9"/>
    <x v="2"/>
    <n v="1077589"/>
  </r>
  <r>
    <x v="0"/>
    <x v="8"/>
    <x v="2"/>
    <x v="3"/>
    <n v="5"/>
    <x v="9"/>
    <x v="2"/>
    <n v="1077589"/>
  </r>
  <r>
    <x v="2"/>
    <x v="8"/>
    <x v="2"/>
    <x v="2"/>
    <n v="66"/>
    <x v="9"/>
    <x v="2"/>
    <n v="1077589"/>
  </r>
  <r>
    <x v="2"/>
    <x v="8"/>
    <x v="2"/>
    <x v="0"/>
    <n v="13"/>
    <x v="9"/>
    <x v="2"/>
    <n v="1077589"/>
  </r>
  <r>
    <x v="0"/>
    <x v="8"/>
    <x v="3"/>
    <x v="0"/>
    <n v="10"/>
    <x v="9"/>
    <x v="3"/>
    <n v="1140448"/>
  </r>
  <r>
    <x v="0"/>
    <x v="8"/>
    <x v="3"/>
    <x v="3"/>
    <n v="9"/>
    <x v="9"/>
    <x v="3"/>
    <n v="1140448"/>
  </r>
  <r>
    <x v="0"/>
    <x v="8"/>
    <x v="3"/>
    <x v="1"/>
    <n v="20"/>
    <x v="9"/>
    <x v="3"/>
    <n v="1140448"/>
  </r>
  <r>
    <x v="0"/>
    <x v="8"/>
    <x v="3"/>
    <x v="2"/>
    <n v="68"/>
    <x v="9"/>
    <x v="3"/>
    <n v="1140448"/>
  </r>
  <r>
    <x v="1"/>
    <x v="8"/>
    <x v="3"/>
    <x v="2"/>
    <n v="2"/>
    <x v="9"/>
    <x v="3"/>
    <n v="1140448"/>
  </r>
  <r>
    <x v="2"/>
    <x v="8"/>
    <x v="3"/>
    <x v="2"/>
    <n v="52"/>
    <x v="9"/>
    <x v="3"/>
    <n v="1140448"/>
  </r>
  <r>
    <x v="2"/>
    <x v="8"/>
    <x v="3"/>
    <x v="1"/>
    <n v="16"/>
    <x v="9"/>
    <x v="3"/>
    <n v="1140448"/>
  </r>
  <r>
    <x v="2"/>
    <x v="8"/>
    <x v="3"/>
    <x v="3"/>
    <n v="4"/>
    <x v="9"/>
    <x v="3"/>
    <n v="1140448"/>
  </r>
  <r>
    <x v="2"/>
    <x v="8"/>
    <x v="3"/>
    <x v="0"/>
    <n v="10"/>
    <x v="9"/>
    <x v="3"/>
    <n v="1140448"/>
  </r>
  <r>
    <x v="1"/>
    <x v="8"/>
    <x v="3"/>
    <x v="3"/>
    <n v="1"/>
    <x v="9"/>
    <x v="3"/>
    <n v="1140448"/>
  </r>
  <r>
    <x v="0"/>
    <x v="8"/>
    <x v="4"/>
    <x v="0"/>
    <n v="2"/>
    <x v="9"/>
    <x v="4"/>
    <n v="1132267"/>
  </r>
  <r>
    <x v="1"/>
    <x v="8"/>
    <x v="4"/>
    <x v="2"/>
    <n v="3"/>
    <x v="9"/>
    <x v="4"/>
    <n v="1132267"/>
  </r>
  <r>
    <x v="2"/>
    <x v="8"/>
    <x v="4"/>
    <x v="2"/>
    <n v="33"/>
    <x v="9"/>
    <x v="4"/>
    <n v="1132267"/>
  </r>
  <r>
    <x v="2"/>
    <x v="8"/>
    <x v="4"/>
    <x v="1"/>
    <n v="2"/>
    <x v="9"/>
    <x v="4"/>
    <n v="1132267"/>
  </r>
  <r>
    <x v="2"/>
    <x v="8"/>
    <x v="4"/>
    <x v="3"/>
    <n v="2"/>
    <x v="9"/>
    <x v="4"/>
    <n v="1132267"/>
  </r>
  <r>
    <x v="2"/>
    <x v="8"/>
    <x v="4"/>
    <x v="0"/>
    <n v="1"/>
    <x v="9"/>
    <x v="4"/>
    <n v="1132267"/>
  </r>
  <r>
    <x v="0"/>
    <x v="8"/>
    <x v="4"/>
    <x v="2"/>
    <n v="49"/>
    <x v="9"/>
    <x v="4"/>
    <n v="1132267"/>
  </r>
  <r>
    <x v="0"/>
    <x v="8"/>
    <x v="4"/>
    <x v="1"/>
    <n v="2"/>
    <x v="9"/>
    <x v="4"/>
    <n v="1132267"/>
  </r>
  <r>
    <x v="0"/>
    <x v="8"/>
    <x v="4"/>
    <x v="3"/>
    <n v="3"/>
    <x v="9"/>
    <x v="4"/>
    <n v="1132267"/>
  </r>
</pivotCacheRecords>
</file>

<file path=xl/pivotCache/pivotCacheRecords33.xml><?xml version="1.0" encoding="utf-8"?>
<pivotCacheRecords xmlns="http://schemas.openxmlformats.org/spreadsheetml/2006/main" xmlns:r="http://schemas.openxmlformats.org/officeDocument/2006/relationships" count="419">
  <r>
    <x v="0"/>
    <x v="0"/>
    <x v="0"/>
    <n v="1"/>
    <x v="0"/>
    <x v="0"/>
    <m/>
  </r>
  <r>
    <x v="0"/>
    <x v="0"/>
    <x v="1"/>
    <n v="2305"/>
    <x v="1"/>
    <x v="1"/>
    <n v="1053621"/>
  </r>
  <r>
    <x v="0"/>
    <x v="0"/>
    <x v="2"/>
    <n v="1337"/>
    <x v="1"/>
    <x v="2"/>
    <n v="1052734"/>
  </r>
  <r>
    <x v="0"/>
    <x v="0"/>
    <x v="3"/>
    <n v="934"/>
    <x v="1"/>
    <x v="3"/>
    <n v="1061383"/>
  </r>
  <r>
    <x v="0"/>
    <x v="0"/>
    <x v="4"/>
    <n v="693"/>
    <x v="1"/>
    <x v="4"/>
    <n v="1060010"/>
  </r>
  <r>
    <x v="0"/>
    <x v="0"/>
    <x v="5"/>
    <n v="559"/>
    <x v="1"/>
    <x v="5"/>
    <n v="1085852"/>
  </r>
  <r>
    <x v="0"/>
    <x v="1"/>
    <x v="1"/>
    <n v="549"/>
    <x v="1"/>
    <x v="1"/>
    <n v="1053621"/>
  </r>
  <r>
    <x v="0"/>
    <x v="1"/>
    <x v="2"/>
    <n v="611"/>
    <x v="1"/>
    <x v="2"/>
    <n v="1052734"/>
  </r>
  <r>
    <x v="0"/>
    <x v="1"/>
    <x v="3"/>
    <n v="500"/>
    <x v="1"/>
    <x v="3"/>
    <n v="1061383"/>
  </r>
  <r>
    <x v="0"/>
    <x v="1"/>
    <x v="4"/>
    <n v="473"/>
    <x v="1"/>
    <x v="4"/>
    <n v="1060010"/>
  </r>
  <r>
    <x v="0"/>
    <x v="1"/>
    <x v="5"/>
    <n v="275"/>
    <x v="1"/>
    <x v="5"/>
    <n v="1085852"/>
  </r>
  <r>
    <x v="0"/>
    <x v="2"/>
    <x v="0"/>
    <n v="4"/>
    <x v="0"/>
    <x v="0"/>
    <m/>
  </r>
  <r>
    <x v="0"/>
    <x v="2"/>
    <x v="1"/>
    <n v="514"/>
    <x v="1"/>
    <x v="1"/>
    <n v="1053621"/>
  </r>
  <r>
    <x v="0"/>
    <x v="2"/>
    <x v="2"/>
    <n v="431"/>
    <x v="1"/>
    <x v="2"/>
    <n v="1052734"/>
  </r>
  <r>
    <x v="0"/>
    <x v="2"/>
    <x v="3"/>
    <n v="448"/>
    <x v="1"/>
    <x v="3"/>
    <n v="1061383"/>
  </r>
  <r>
    <x v="0"/>
    <x v="2"/>
    <x v="4"/>
    <n v="465"/>
    <x v="1"/>
    <x v="4"/>
    <n v="1060010"/>
  </r>
  <r>
    <x v="0"/>
    <x v="2"/>
    <x v="5"/>
    <n v="172"/>
    <x v="1"/>
    <x v="5"/>
    <n v="1085852"/>
  </r>
  <r>
    <x v="0"/>
    <x v="3"/>
    <x v="0"/>
    <n v="5"/>
    <x v="0"/>
    <x v="0"/>
    <m/>
  </r>
  <r>
    <x v="0"/>
    <x v="3"/>
    <x v="1"/>
    <n v="204"/>
    <x v="1"/>
    <x v="1"/>
    <n v="1053621"/>
  </r>
  <r>
    <x v="0"/>
    <x v="3"/>
    <x v="2"/>
    <n v="161"/>
    <x v="1"/>
    <x v="2"/>
    <n v="1052734"/>
  </r>
  <r>
    <x v="0"/>
    <x v="3"/>
    <x v="3"/>
    <n v="171"/>
    <x v="1"/>
    <x v="3"/>
    <n v="1061383"/>
  </r>
  <r>
    <x v="0"/>
    <x v="3"/>
    <x v="4"/>
    <n v="196"/>
    <x v="1"/>
    <x v="4"/>
    <n v="1060010"/>
  </r>
  <r>
    <x v="0"/>
    <x v="3"/>
    <x v="5"/>
    <n v="78"/>
    <x v="1"/>
    <x v="5"/>
    <n v="1085852"/>
  </r>
  <r>
    <x v="0"/>
    <x v="4"/>
    <x v="0"/>
    <n v="8"/>
    <x v="0"/>
    <x v="0"/>
    <m/>
  </r>
  <r>
    <x v="0"/>
    <x v="4"/>
    <x v="1"/>
    <n v="8071"/>
    <x v="1"/>
    <x v="1"/>
    <n v="1053621"/>
  </r>
  <r>
    <x v="0"/>
    <x v="4"/>
    <x v="2"/>
    <n v="7803"/>
    <x v="1"/>
    <x v="2"/>
    <n v="1052734"/>
  </r>
  <r>
    <x v="0"/>
    <x v="4"/>
    <x v="3"/>
    <n v="7823"/>
    <x v="1"/>
    <x v="3"/>
    <n v="1061383"/>
  </r>
  <r>
    <x v="0"/>
    <x v="4"/>
    <x v="4"/>
    <n v="6801"/>
    <x v="1"/>
    <x v="4"/>
    <n v="1060010"/>
  </r>
  <r>
    <x v="0"/>
    <x v="4"/>
    <x v="5"/>
    <n v="4604"/>
    <x v="1"/>
    <x v="5"/>
    <n v="1085852"/>
  </r>
  <r>
    <x v="0"/>
    <x v="5"/>
    <x v="0"/>
    <n v="11"/>
    <x v="0"/>
    <x v="0"/>
    <m/>
  </r>
  <r>
    <x v="0"/>
    <x v="5"/>
    <x v="1"/>
    <n v="2847"/>
    <x v="1"/>
    <x v="1"/>
    <n v="1053621"/>
  </r>
  <r>
    <x v="0"/>
    <x v="5"/>
    <x v="2"/>
    <n v="2294"/>
    <x v="1"/>
    <x v="2"/>
    <n v="1052734"/>
  </r>
  <r>
    <x v="0"/>
    <x v="5"/>
    <x v="3"/>
    <n v="1899"/>
    <x v="1"/>
    <x v="3"/>
    <n v="1061383"/>
  </r>
  <r>
    <x v="0"/>
    <x v="5"/>
    <x v="4"/>
    <n v="1658"/>
    <x v="1"/>
    <x v="4"/>
    <n v="1060010"/>
  </r>
  <r>
    <x v="0"/>
    <x v="5"/>
    <x v="5"/>
    <n v="1162"/>
    <x v="1"/>
    <x v="5"/>
    <n v="1085852"/>
  </r>
  <r>
    <x v="0"/>
    <x v="6"/>
    <x v="0"/>
    <n v="1"/>
    <x v="0"/>
    <x v="0"/>
    <m/>
  </r>
  <r>
    <x v="0"/>
    <x v="6"/>
    <x v="1"/>
    <n v="894"/>
    <x v="1"/>
    <x v="1"/>
    <n v="1053621"/>
  </r>
  <r>
    <x v="0"/>
    <x v="6"/>
    <x v="2"/>
    <n v="516"/>
    <x v="1"/>
    <x v="2"/>
    <n v="1052734"/>
  </r>
  <r>
    <x v="0"/>
    <x v="6"/>
    <x v="3"/>
    <n v="397"/>
    <x v="1"/>
    <x v="3"/>
    <n v="1061383"/>
  </r>
  <r>
    <x v="0"/>
    <x v="6"/>
    <x v="4"/>
    <n v="320"/>
    <x v="1"/>
    <x v="4"/>
    <n v="1060010"/>
  </r>
  <r>
    <x v="0"/>
    <x v="6"/>
    <x v="5"/>
    <n v="179"/>
    <x v="1"/>
    <x v="5"/>
    <n v="1085852"/>
  </r>
  <r>
    <x v="0"/>
    <x v="7"/>
    <x v="0"/>
    <n v="32"/>
    <x v="0"/>
    <x v="0"/>
    <m/>
  </r>
  <r>
    <x v="0"/>
    <x v="7"/>
    <x v="1"/>
    <n v="5839"/>
    <x v="1"/>
    <x v="1"/>
    <n v="1053621"/>
  </r>
  <r>
    <x v="0"/>
    <x v="7"/>
    <x v="2"/>
    <n v="3069"/>
    <x v="1"/>
    <x v="2"/>
    <n v="1052734"/>
  </r>
  <r>
    <x v="0"/>
    <x v="7"/>
    <x v="3"/>
    <n v="2431"/>
    <x v="1"/>
    <x v="3"/>
    <n v="1061383"/>
  </r>
  <r>
    <x v="0"/>
    <x v="7"/>
    <x v="4"/>
    <n v="1908"/>
    <x v="1"/>
    <x v="4"/>
    <n v="1060010"/>
  </r>
  <r>
    <x v="0"/>
    <x v="7"/>
    <x v="5"/>
    <n v="994"/>
    <x v="1"/>
    <x v="5"/>
    <n v="1085852"/>
  </r>
  <r>
    <x v="1"/>
    <x v="0"/>
    <x v="1"/>
    <n v="2109"/>
    <x v="2"/>
    <x v="1"/>
    <n v="1052242"/>
  </r>
  <r>
    <x v="1"/>
    <x v="0"/>
    <x v="2"/>
    <n v="1204"/>
    <x v="2"/>
    <x v="2"/>
    <n v="1051706"/>
  </r>
  <r>
    <x v="1"/>
    <x v="0"/>
    <x v="3"/>
    <n v="824"/>
    <x v="2"/>
    <x v="3"/>
    <n v="1062201"/>
  </r>
  <r>
    <x v="1"/>
    <x v="0"/>
    <x v="4"/>
    <n v="650"/>
    <x v="2"/>
    <x v="4"/>
    <n v="1066971"/>
  </r>
  <r>
    <x v="1"/>
    <x v="0"/>
    <x v="5"/>
    <n v="536"/>
    <x v="2"/>
    <x v="5"/>
    <n v="1094580"/>
  </r>
  <r>
    <x v="1"/>
    <x v="1"/>
    <x v="1"/>
    <n v="502"/>
    <x v="2"/>
    <x v="1"/>
    <n v="1052242"/>
  </r>
  <r>
    <x v="1"/>
    <x v="1"/>
    <x v="2"/>
    <n v="574"/>
    <x v="2"/>
    <x v="2"/>
    <n v="1051706"/>
  </r>
  <r>
    <x v="1"/>
    <x v="1"/>
    <x v="3"/>
    <n v="514"/>
    <x v="2"/>
    <x v="3"/>
    <n v="1062201"/>
  </r>
  <r>
    <x v="1"/>
    <x v="1"/>
    <x v="4"/>
    <n v="469"/>
    <x v="2"/>
    <x v="4"/>
    <n v="1066971"/>
  </r>
  <r>
    <x v="1"/>
    <x v="1"/>
    <x v="5"/>
    <n v="287"/>
    <x v="2"/>
    <x v="5"/>
    <n v="1094580"/>
  </r>
  <r>
    <x v="1"/>
    <x v="2"/>
    <x v="0"/>
    <n v="3"/>
    <x v="0"/>
    <x v="0"/>
    <m/>
  </r>
  <r>
    <x v="1"/>
    <x v="2"/>
    <x v="1"/>
    <n v="498"/>
    <x v="2"/>
    <x v="1"/>
    <n v="1052242"/>
  </r>
  <r>
    <x v="1"/>
    <x v="2"/>
    <x v="2"/>
    <n v="398"/>
    <x v="2"/>
    <x v="2"/>
    <n v="1051706"/>
  </r>
  <r>
    <x v="1"/>
    <x v="2"/>
    <x v="3"/>
    <n v="399"/>
    <x v="2"/>
    <x v="3"/>
    <n v="1062201"/>
  </r>
  <r>
    <x v="1"/>
    <x v="2"/>
    <x v="4"/>
    <n v="414"/>
    <x v="2"/>
    <x v="4"/>
    <n v="1066971"/>
  </r>
  <r>
    <x v="1"/>
    <x v="2"/>
    <x v="5"/>
    <n v="226"/>
    <x v="2"/>
    <x v="5"/>
    <n v="1094580"/>
  </r>
  <r>
    <x v="1"/>
    <x v="3"/>
    <x v="0"/>
    <n v="6"/>
    <x v="0"/>
    <x v="0"/>
    <m/>
  </r>
  <r>
    <x v="1"/>
    <x v="3"/>
    <x v="1"/>
    <n v="185"/>
    <x v="2"/>
    <x v="1"/>
    <n v="1052242"/>
  </r>
  <r>
    <x v="1"/>
    <x v="3"/>
    <x v="2"/>
    <n v="183"/>
    <x v="2"/>
    <x v="2"/>
    <n v="1051706"/>
  </r>
  <r>
    <x v="1"/>
    <x v="3"/>
    <x v="3"/>
    <n v="199"/>
    <x v="2"/>
    <x v="3"/>
    <n v="1062201"/>
  </r>
  <r>
    <x v="1"/>
    <x v="3"/>
    <x v="4"/>
    <n v="224"/>
    <x v="2"/>
    <x v="4"/>
    <n v="1066971"/>
  </r>
  <r>
    <x v="1"/>
    <x v="3"/>
    <x v="5"/>
    <n v="117"/>
    <x v="2"/>
    <x v="5"/>
    <n v="1094580"/>
  </r>
  <r>
    <x v="1"/>
    <x v="4"/>
    <x v="0"/>
    <n v="2"/>
    <x v="0"/>
    <x v="0"/>
    <m/>
  </r>
  <r>
    <x v="1"/>
    <x v="4"/>
    <x v="1"/>
    <n v="8034"/>
    <x v="2"/>
    <x v="1"/>
    <n v="1052242"/>
  </r>
  <r>
    <x v="1"/>
    <x v="4"/>
    <x v="2"/>
    <n v="8115"/>
    <x v="2"/>
    <x v="2"/>
    <n v="1051706"/>
  </r>
  <r>
    <x v="1"/>
    <x v="4"/>
    <x v="3"/>
    <n v="7632"/>
    <x v="2"/>
    <x v="3"/>
    <n v="1062201"/>
  </r>
  <r>
    <x v="1"/>
    <x v="4"/>
    <x v="4"/>
    <n v="6612"/>
    <x v="2"/>
    <x v="4"/>
    <n v="1066971"/>
  </r>
  <r>
    <x v="1"/>
    <x v="4"/>
    <x v="5"/>
    <n v="4818"/>
    <x v="2"/>
    <x v="5"/>
    <n v="1094580"/>
  </r>
  <r>
    <x v="1"/>
    <x v="5"/>
    <x v="0"/>
    <n v="5"/>
    <x v="0"/>
    <x v="0"/>
    <m/>
  </r>
  <r>
    <x v="1"/>
    <x v="5"/>
    <x v="1"/>
    <n v="2700"/>
    <x v="2"/>
    <x v="1"/>
    <n v="1052242"/>
  </r>
  <r>
    <x v="1"/>
    <x v="5"/>
    <x v="2"/>
    <n v="2224"/>
    <x v="2"/>
    <x v="2"/>
    <n v="1051706"/>
  </r>
  <r>
    <x v="1"/>
    <x v="5"/>
    <x v="3"/>
    <n v="1872"/>
    <x v="2"/>
    <x v="3"/>
    <n v="1062201"/>
  </r>
  <r>
    <x v="1"/>
    <x v="5"/>
    <x v="4"/>
    <n v="1694"/>
    <x v="2"/>
    <x v="4"/>
    <n v="1066971"/>
  </r>
  <r>
    <x v="1"/>
    <x v="5"/>
    <x v="5"/>
    <n v="1122"/>
    <x v="2"/>
    <x v="5"/>
    <n v="1094580"/>
  </r>
  <r>
    <x v="1"/>
    <x v="6"/>
    <x v="1"/>
    <n v="858"/>
    <x v="2"/>
    <x v="1"/>
    <n v="1052242"/>
  </r>
  <r>
    <x v="1"/>
    <x v="6"/>
    <x v="2"/>
    <n v="543"/>
    <x v="2"/>
    <x v="2"/>
    <n v="1051706"/>
  </r>
  <r>
    <x v="1"/>
    <x v="6"/>
    <x v="3"/>
    <n v="459"/>
    <x v="2"/>
    <x v="3"/>
    <n v="1062201"/>
  </r>
  <r>
    <x v="1"/>
    <x v="6"/>
    <x v="4"/>
    <n v="330"/>
    <x v="2"/>
    <x v="4"/>
    <n v="1066971"/>
  </r>
  <r>
    <x v="1"/>
    <x v="6"/>
    <x v="5"/>
    <n v="175"/>
    <x v="2"/>
    <x v="5"/>
    <n v="1094580"/>
  </r>
  <r>
    <x v="1"/>
    <x v="7"/>
    <x v="0"/>
    <n v="37"/>
    <x v="0"/>
    <x v="0"/>
    <m/>
  </r>
  <r>
    <x v="1"/>
    <x v="7"/>
    <x v="1"/>
    <n v="6234"/>
    <x v="2"/>
    <x v="1"/>
    <n v="1052242"/>
  </r>
  <r>
    <x v="1"/>
    <x v="7"/>
    <x v="2"/>
    <n v="3500"/>
    <x v="2"/>
    <x v="2"/>
    <n v="1051706"/>
  </r>
  <r>
    <x v="1"/>
    <x v="7"/>
    <x v="3"/>
    <n v="2762"/>
    <x v="2"/>
    <x v="3"/>
    <n v="1062201"/>
  </r>
  <r>
    <x v="1"/>
    <x v="7"/>
    <x v="4"/>
    <n v="2551"/>
    <x v="2"/>
    <x v="4"/>
    <n v="1066971"/>
  </r>
  <r>
    <x v="1"/>
    <x v="7"/>
    <x v="5"/>
    <n v="1277"/>
    <x v="2"/>
    <x v="5"/>
    <n v="1094580"/>
  </r>
  <r>
    <x v="2"/>
    <x v="0"/>
    <x v="0"/>
    <n v="1"/>
    <x v="0"/>
    <x v="0"/>
    <m/>
  </r>
  <r>
    <x v="2"/>
    <x v="0"/>
    <x v="1"/>
    <n v="2138"/>
    <x v="3"/>
    <x v="1"/>
    <n v="1051892"/>
  </r>
  <r>
    <x v="2"/>
    <x v="0"/>
    <x v="2"/>
    <n v="1263"/>
    <x v="3"/>
    <x v="2"/>
    <n v="1052469"/>
  </r>
  <r>
    <x v="2"/>
    <x v="0"/>
    <x v="3"/>
    <n v="954"/>
    <x v="3"/>
    <x v="3"/>
    <n v="1063532"/>
  </r>
  <r>
    <x v="2"/>
    <x v="0"/>
    <x v="4"/>
    <n v="681"/>
    <x v="3"/>
    <x v="4"/>
    <n v="1076943"/>
  </r>
  <r>
    <x v="2"/>
    <x v="0"/>
    <x v="5"/>
    <n v="537"/>
    <x v="3"/>
    <x v="5"/>
    <n v="1102764"/>
  </r>
  <r>
    <x v="2"/>
    <x v="1"/>
    <x v="1"/>
    <n v="543"/>
    <x v="3"/>
    <x v="1"/>
    <n v="1051892"/>
  </r>
  <r>
    <x v="2"/>
    <x v="1"/>
    <x v="2"/>
    <n v="518"/>
    <x v="3"/>
    <x v="2"/>
    <n v="1052469"/>
  </r>
  <r>
    <x v="2"/>
    <x v="1"/>
    <x v="3"/>
    <n v="544"/>
    <x v="3"/>
    <x v="3"/>
    <n v="1063532"/>
  </r>
  <r>
    <x v="2"/>
    <x v="1"/>
    <x v="4"/>
    <n v="459"/>
    <x v="3"/>
    <x v="4"/>
    <n v="1076943"/>
  </r>
  <r>
    <x v="2"/>
    <x v="1"/>
    <x v="5"/>
    <n v="260"/>
    <x v="3"/>
    <x v="5"/>
    <n v="1102764"/>
  </r>
  <r>
    <x v="2"/>
    <x v="2"/>
    <x v="0"/>
    <n v="1"/>
    <x v="0"/>
    <x v="0"/>
    <m/>
  </r>
  <r>
    <x v="2"/>
    <x v="2"/>
    <x v="1"/>
    <n v="530"/>
    <x v="3"/>
    <x v="1"/>
    <n v="1051892"/>
  </r>
  <r>
    <x v="2"/>
    <x v="2"/>
    <x v="2"/>
    <n v="377"/>
    <x v="3"/>
    <x v="2"/>
    <n v="1052469"/>
  </r>
  <r>
    <x v="2"/>
    <x v="2"/>
    <x v="3"/>
    <n v="402"/>
    <x v="3"/>
    <x v="3"/>
    <n v="1063532"/>
  </r>
  <r>
    <x v="2"/>
    <x v="2"/>
    <x v="4"/>
    <n v="411"/>
    <x v="3"/>
    <x v="4"/>
    <n v="1076943"/>
  </r>
  <r>
    <x v="2"/>
    <x v="2"/>
    <x v="5"/>
    <n v="176"/>
    <x v="3"/>
    <x v="5"/>
    <n v="1102764"/>
  </r>
  <r>
    <x v="2"/>
    <x v="3"/>
    <x v="0"/>
    <n v="3"/>
    <x v="0"/>
    <x v="0"/>
    <m/>
  </r>
  <r>
    <x v="2"/>
    <x v="3"/>
    <x v="1"/>
    <n v="180"/>
    <x v="3"/>
    <x v="1"/>
    <n v="1051892"/>
  </r>
  <r>
    <x v="2"/>
    <x v="3"/>
    <x v="2"/>
    <n v="166"/>
    <x v="3"/>
    <x v="2"/>
    <n v="1052469"/>
  </r>
  <r>
    <x v="2"/>
    <x v="3"/>
    <x v="3"/>
    <n v="178"/>
    <x v="3"/>
    <x v="3"/>
    <n v="1063532"/>
  </r>
  <r>
    <x v="2"/>
    <x v="3"/>
    <x v="4"/>
    <n v="211"/>
    <x v="3"/>
    <x v="4"/>
    <n v="1076943"/>
  </r>
  <r>
    <x v="2"/>
    <x v="3"/>
    <x v="5"/>
    <n v="100"/>
    <x v="3"/>
    <x v="5"/>
    <n v="1102764"/>
  </r>
  <r>
    <x v="2"/>
    <x v="4"/>
    <x v="0"/>
    <n v="1"/>
    <x v="0"/>
    <x v="0"/>
    <m/>
  </r>
  <r>
    <x v="2"/>
    <x v="4"/>
    <x v="1"/>
    <n v="8503"/>
    <x v="3"/>
    <x v="1"/>
    <n v="1051892"/>
  </r>
  <r>
    <x v="2"/>
    <x v="4"/>
    <x v="2"/>
    <n v="8379"/>
    <x v="3"/>
    <x v="2"/>
    <n v="1052469"/>
  </r>
  <r>
    <x v="2"/>
    <x v="4"/>
    <x v="3"/>
    <n v="8367"/>
    <x v="3"/>
    <x v="3"/>
    <n v="1063532"/>
  </r>
  <r>
    <x v="2"/>
    <x v="4"/>
    <x v="4"/>
    <n v="7047"/>
    <x v="3"/>
    <x v="4"/>
    <n v="1076943"/>
  </r>
  <r>
    <x v="2"/>
    <x v="4"/>
    <x v="5"/>
    <n v="5040"/>
    <x v="3"/>
    <x v="5"/>
    <n v="1102764"/>
  </r>
  <r>
    <x v="2"/>
    <x v="5"/>
    <x v="0"/>
    <n v="3"/>
    <x v="0"/>
    <x v="0"/>
    <m/>
  </r>
  <r>
    <x v="2"/>
    <x v="5"/>
    <x v="1"/>
    <n v="2543"/>
    <x v="3"/>
    <x v="1"/>
    <n v="1051892"/>
  </r>
  <r>
    <x v="2"/>
    <x v="5"/>
    <x v="2"/>
    <n v="2198"/>
    <x v="3"/>
    <x v="2"/>
    <n v="1052469"/>
  </r>
  <r>
    <x v="2"/>
    <x v="5"/>
    <x v="3"/>
    <n v="1826"/>
    <x v="3"/>
    <x v="3"/>
    <n v="1063532"/>
  </r>
  <r>
    <x v="2"/>
    <x v="5"/>
    <x v="4"/>
    <n v="1620"/>
    <x v="3"/>
    <x v="4"/>
    <n v="1076943"/>
  </r>
  <r>
    <x v="2"/>
    <x v="5"/>
    <x v="5"/>
    <n v="1066"/>
    <x v="3"/>
    <x v="5"/>
    <n v="1102764"/>
  </r>
  <r>
    <x v="2"/>
    <x v="6"/>
    <x v="0"/>
    <n v="1"/>
    <x v="0"/>
    <x v="0"/>
    <m/>
  </r>
  <r>
    <x v="2"/>
    <x v="6"/>
    <x v="1"/>
    <n v="756"/>
    <x v="3"/>
    <x v="1"/>
    <n v="1051892"/>
  </r>
  <r>
    <x v="2"/>
    <x v="6"/>
    <x v="2"/>
    <n v="448"/>
    <x v="3"/>
    <x v="2"/>
    <n v="1052469"/>
  </r>
  <r>
    <x v="2"/>
    <x v="6"/>
    <x v="3"/>
    <n v="410"/>
    <x v="3"/>
    <x v="3"/>
    <n v="1063532"/>
  </r>
  <r>
    <x v="2"/>
    <x v="6"/>
    <x v="4"/>
    <n v="273"/>
    <x v="3"/>
    <x v="4"/>
    <n v="1076943"/>
  </r>
  <r>
    <x v="2"/>
    <x v="6"/>
    <x v="5"/>
    <n v="168"/>
    <x v="3"/>
    <x v="5"/>
    <n v="1102764"/>
  </r>
  <r>
    <x v="2"/>
    <x v="7"/>
    <x v="0"/>
    <n v="17"/>
    <x v="0"/>
    <x v="0"/>
    <m/>
  </r>
  <r>
    <x v="2"/>
    <x v="7"/>
    <x v="1"/>
    <n v="5461"/>
    <x v="3"/>
    <x v="1"/>
    <n v="1051892"/>
  </r>
  <r>
    <x v="2"/>
    <x v="7"/>
    <x v="2"/>
    <n v="2781"/>
    <x v="3"/>
    <x v="2"/>
    <n v="1052469"/>
  </r>
  <r>
    <x v="2"/>
    <x v="7"/>
    <x v="3"/>
    <n v="2093"/>
    <x v="3"/>
    <x v="3"/>
    <n v="1063532"/>
  </r>
  <r>
    <x v="2"/>
    <x v="7"/>
    <x v="4"/>
    <n v="2006"/>
    <x v="3"/>
    <x v="4"/>
    <n v="1076943"/>
  </r>
  <r>
    <x v="2"/>
    <x v="7"/>
    <x v="5"/>
    <n v="1048"/>
    <x v="3"/>
    <x v="5"/>
    <n v="1102764"/>
  </r>
  <r>
    <x v="3"/>
    <x v="0"/>
    <x v="1"/>
    <n v="2230"/>
    <x v="4"/>
    <x v="1"/>
    <n v="1054168"/>
  </r>
  <r>
    <x v="3"/>
    <x v="0"/>
    <x v="2"/>
    <n v="1298"/>
    <x v="4"/>
    <x v="2"/>
    <n v="1055402"/>
  </r>
  <r>
    <x v="3"/>
    <x v="0"/>
    <x v="3"/>
    <n v="945"/>
    <x v="4"/>
    <x v="3"/>
    <n v="1065989"/>
  </r>
  <r>
    <x v="3"/>
    <x v="0"/>
    <x v="4"/>
    <n v="737"/>
    <x v="4"/>
    <x v="4"/>
    <n v="1087470"/>
  </r>
  <r>
    <x v="3"/>
    <x v="0"/>
    <x v="5"/>
    <n v="463"/>
    <x v="4"/>
    <x v="5"/>
    <n v="1109971"/>
  </r>
  <r>
    <x v="3"/>
    <x v="1"/>
    <x v="0"/>
    <n v="2"/>
    <x v="0"/>
    <x v="0"/>
    <m/>
  </r>
  <r>
    <x v="3"/>
    <x v="1"/>
    <x v="1"/>
    <n v="592"/>
    <x v="4"/>
    <x v="1"/>
    <n v="1054168"/>
  </r>
  <r>
    <x v="3"/>
    <x v="1"/>
    <x v="2"/>
    <n v="522"/>
    <x v="4"/>
    <x v="2"/>
    <n v="1055402"/>
  </r>
  <r>
    <x v="3"/>
    <x v="1"/>
    <x v="3"/>
    <n v="537"/>
    <x v="4"/>
    <x v="3"/>
    <n v="1065989"/>
  </r>
  <r>
    <x v="3"/>
    <x v="1"/>
    <x v="4"/>
    <n v="542"/>
    <x v="4"/>
    <x v="4"/>
    <n v="1087470"/>
  </r>
  <r>
    <x v="3"/>
    <x v="1"/>
    <x v="5"/>
    <n v="299"/>
    <x v="4"/>
    <x v="5"/>
    <n v="1109971"/>
  </r>
  <r>
    <x v="3"/>
    <x v="2"/>
    <x v="0"/>
    <n v="1"/>
    <x v="0"/>
    <x v="0"/>
    <m/>
  </r>
  <r>
    <x v="3"/>
    <x v="2"/>
    <x v="1"/>
    <n v="517"/>
    <x v="4"/>
    <x v="1"/>
    <n v="1054168"/>
  </r>
  <r>
    <x v="3"/>
    <x v="2"/>
    <x v="2"/>
    <n v="392"/>
    <x v="4"/>
    <x v="2"/>
    <n v="1055402"/>
  </r>
  <r>
    <x v="3"/>
    <x v="2"/>
    <x v="3"/>
    <n v="409"/>
    <x v="4"/>
    <x v="3"/>
    <n v="1065989"/>
  </r>
  <r>
    <x v="3"/>
    <x v="2"/>
    <x v="4"/>
    <n v="425"/>
    <x v="4"/>
    <x v="4"/>
    <n v="1087470"/>
  </r>
  <r>
    <x v="3"/>
    <x v="2"/>
    <x v="5"/>
    <n v="221"/>
    <x v="4"/>
    <x v="5"/>
    <n v="1109971"/>
  </r>
  <r>
    <x v="3"/>
    <x v="3"/>
    <x v="0"/>
    <n v="11"/>
    <x v="0"/>
    <x v="0"/>
    <m/>
  </r>
  <r>
    <x v="3"/>
    <x v="3"/>
    <x v="1"/>
    <n v="163"/>
    <x v="4"/>
    <x v="1"/>
    <n v="1054168"/>
  </r>
  <r>
    <x v="3"/>
    <x v="3"/>
    <x v="2"/>
    <n v="195"/>
    <x v="4"/>
    <x v="2"/>
    <n v="1055402"/>
  </r>
  <r>
    <x v="3"/>
    <x v="3"/>
    <x v="3"/>
    <n v="184"/>
    <x v="4"/>
    <x v="3"/>
    <n v="1065989"/>
  </r>
  <r>
    <x v="3"/>
    <x v="3"/>
    <x v="4"/>
    <n v="212"/>
    <x v="4"/>
    <x v="4"/>
    <n v="1087470"/>
  </r>
  <r>
    <x v="3"/>
    <x v="3"/>
    <x v="5"/>
    <n v="109"/>
    <x v="4"/>
    <x v="5"/>
    <n v="1109971"/>
  </r>
  <r>
    <x v="3"/>
    <x v="4"/>
    <x v="0"/>
    <n v="11"/>
    <x v="0"/>
    <x v="0"/>
    <m/>
  </r>
  <r>
    <x v="3"/>
    <x v="4"/>
    <x v="1"/>
    <n v="8520"/>
    <x v="4"/>
    <x v="1"/>
    <n v="1054168"/>
  </r>
  <r>
    <x v="3"/>
    <x v="4"/>
    <x v="2"/>
    <n v="8415"/>
    <x v="4"/>
    <x v="2"/>
    <n v="1055402"/>
  </r>
  <r>
    <x v="3"/>
    <x v="4"/>
    <x v="3"/>
    <n v="8540"/>
    <x v="4"/>
    <x v="3"/>
    <n v="1065989"/>
  </r>
  <r>
    <x v="3"/>
    <x v="4"/>
    <x v="4"/>
    <n v="7133"/>
    <x v="4"/>
    <x v="4"/>
    <n v="1087470"/>
  </r>
  <r>
    <x v="3"/>
    <x v="4"/>
    <x v="5"/>
    <n v="5002"/>
    <x v="4"/>
    <x v="5"/>
    <n v="1109971"/>
  </r>
  <r>
    <x v="3"/>
    <x v="5"/>
    <x v="0"/>
    <n v="10"/>
    <x v="0"/>
    <x v="0"/>
    <m/>
  </r>
  <r>
    <x v="3"/>
    <x v="5"/>
    <x v="1"/>
    <n v="2382"/>
    <x v="4"/>
    <x v="1"/>
    <n v="1054168"/>
  </r>
  <r>
    <x v="3"/>
    <x v="5"/>
    <x v="2"/>
    <n v="2039"/>
    <x v="4"/>
    <x v="2"/>
    <n v="1055402"/>
  </r>
  <r>
    <x v="3"/>
    <x v="5"/>
    <x v="3"/>
    <n v="1792"/>
    <x v="4"/>
    <x v="3"/>
    <n v="1065989"/>
  </r>
  <r>
    <x v="3"/>
    <x v="5"/>
    <x v="4"/>
    <n v="1591"/>
    <x v="4"/>
    <x v="4"/>
    <n v="1087470"/>
  </r>
  <r>
    <x v="3"/>
    <x v="5"/>
    <x v="5"/>
    <n v="1036"/>
    <x v="4"/>
    <x v="5"/>
    <n v="1109971"/>
  </r>
  <r>
    <x v="3"/>
    <x v="6"/>
    <x v="1"/>
    <n v="870"/>
    <x v="4"/>
    <x v="1"/>
    <n v="1054168"/>
  </r>
  <r>
    <x v="3"/>
    <x v="6"/>
    <x v="2"/>
    <n v="480"/>
    <x v="4"/>
    <x v="2"/>
    <n v="1055402"/>
  </r>
  <r>
    <x v="3"/>
    <x v="6"/>
    <x v="3"/>
    <n v="474"/>
    <x v="4"/>
    <x v="3"/>
    <n v="1065989"/>
  </r>
  <r>
    <x v="3"/>
    <x v="6"/>
    <x v="4"/>
    <n v="336"/>
    <x v="4"/>
    <x v="4"/>
    <n v="1087470"/>
  </r>
  <r>
    <x v="3"/>
    <x v="6"/>
    <x v="5"/>
    <n v="215"/>
    <x v="4"/>
    <x v="5"/>
    <n v="1109971"/>
  </r>
  <r>
    <x v="3"/>
    <x v="7"/>
    <x v="0"/>
    <n v="26"/>
    <x v="0"/>
    <x v="0"/>
    <m/>
  </r>
  <r>
    <x v="3"/>
    <x v="7"/>
    <x v="1"/>
    <n v="5436"/>
    <x v="4"/>
    <x v="1"/>
    <n v="1054168"/>
  </r>
  <r>
    <x v="3"/>
    <x v="7"/>
    <x v="2"/>
    <n v="3305"/>
    <x v="4"/>
    <x v="2"/>
    <n v="1055402"/>
  </r>
  <r>
    <x v="3"/>
    <x v="7"/>
    <x v="3"/>
    <n v="2336"/>
    <x v="4"/>
    <x v="3"/>
    <n v="1065989"/>
  </r>
  <r>
    <x v="3"/>
    <x v="7"/>
    <x v="4"/>
    <n v="2409"/>
    <x v="4"/>
    <x v="4"/>
    <n v="1087470"/>
  </r>
  <r>
    <x v="3"/>
    <x v="7"/>
    <x v="5"/>
    <n v="1220"/>
    <x v="4"/>
    <x v="5"/>
    <n v="1109971"/>
  </r>
  <r>
    <x v="4"/>
    <x v="0"/>
    <x v="1"/>
    <n v="2141"/>
    <x v="5"/>
    <x v="1"/>
    <n v="1058713"/>
  </r>
  <r>
    <x v="4"/>
    <x v="0"/>
    <x v="2"/>
    <n v="1337"/>
    <x v="5"/>
    <x v="2"/>
    <n v="1057929"/>
  </r>
  <r>
    <x v="4"/>
    <x v="0"/>
    <x v="3"/>
    <n v="882"/>
    <x v="5"/>
    <x v="3"/>
    <n v="1070719"/>
  </r>
  <r>
    <x v="4"/>
    <x v="0"/>
    <x v="4"/>
    <n v="646"/>
    <x v="5"/>
    <x v="4"/>
    <n v="1099208"/>
  </r>
  <r>
    <x v="4"/>
    <x v="0"/>
    <x v="5"/>
    <n v="534"/>
    <x v="5"/>
    <x v="5"/>
    <n v="1118131"/>
  </r>
  <r>
    <x v="4"/>
    <x v="1"/>
    <x v="1"/>
    <n v="536"/>
    <x v="5"/>
    <x v="1"/>
    <n v="1058713"/>
  </r>
  <r>
    <x v="4"/>
    <x v="1"/>
    <x v="2"/>
    <n v="523"/>
    <x v="5"/>
    <x v="2"/>
    <n v="1057929"/>
  </r>
  <r>
    <x v="4"/>
    <x v="1"/>
    <x v="3"/>
    <n v="506"/>
    <x v="5"/>
    <x v="3"/>
    <n v="1070719"/>
  </r>
  <r>
    <x v="4"/>
    <x v="1"/>
    <x v="4"/>
    <n v="465"/>
    <x v="5"/>
    <x v="4"/>
    <n v="1099208"/>
  </r>
  <r>
    <x v="4"/>
    <x v="1"/>
    <x v="5"/>
    <n v="247"/>
    <x v="5"/>
    <x v="5"/>
    <n v="1118131"/>
  </r>
  <r>
    <x v="4"/>
    <x v="2"/>
    <x v="0"/>
    <n v="1"/>
    <x v="0"/>
    <x v="0"/>
    <m/>
  </r>
  <r>
    <x v="4"/>
    <x v="2"/>
    <x v="1"/>
    <n v="547"/>
    <x v="5"/>
    <x v="1"/>
    <n v="1058713"/>
  </r>
  <r>
    <x v="4"/>
    <x v="2"/>
    <x v="2"/>
    <n v="423"/>
    <x v="5"/>
    <x v="2"/>
    <n v="1057929"/>
  </r>
  <r>
    <x v="4"/>
    <x v="2"/>
    <x v="3"/>
    <n v="481"/>
    <x v="5"/>
    <x v="3"/>
    <n v="1070719"/>
  </r>
  <r>
    <x v="4"/>
    <x v="2"/>
    <x v="4"/>
    <n v="455"/>
    <x v="5"/>
    <x v="4"/>
    <n v="1099208"/>
  </r>
  <r>
    <x v="4"/>
    <x v="2"/>
    <x v="5"/>
    <n v="213"/>
    <x v="5"/>
    <x v="5"/>
    <n v="1118131"/>
  </r>
  <r>
    <x v="4"/>
    <x v="3"/>
    <x v="0"/>
    <n v="5"/>
    <x v="0"/>
    <x v="0"/>
    <m/>
  </r>
  <r>
    <x v="4"/>
    <x v="3"/>
    <x v="1"/>
    <n v="189"/>
    <x v="5"/>
    <x v="1"/>
    <n v="1058713"/>
  </r>
  <r>
    <x v="4"/>
    <x v="3"/>
    <x v="2"/>
    <n v="202"/>
    <x v="5"/>
    <x v="2"/>
    <n v="1057929"/>
  </r>
  <r>
    <x v="4"/>
    <x v="3"/>
    <x v="3"/>
    <n v="197"/>
    <x v="5"/>
    <x v="3"/>
    <n v="1070719"/>
  </r>
  <r>
    <x v="4"/>
    <x v="3"/>
    <x v="4"/>
    <n v="225"/>
    <x v="5"/>
    <x v="4"/>
    <n v="1099208"/>
  </r>
  <r>
    <x v="4"/>
    <x v="3"/>
    <x v="5"/>
    <n v="139"/>
    <x v="5"/>
    <x v="5"/>
    <n v="1118131"/>
  </r>
  <r>
    <x v="4"/>
    <x v="4"/>
    <x v="0"/>
    <n v="13"/>
    <x v="0"/>
    <x v="0"/>
    <m/>
  </r>
  <r>
    <x v="4"/>
    <x v="4"/>
    <x v="1"/>
    <n v="9211"/>
    <x v="5"/>
    <x v="1"/>
    <n v="1058713"/>
  </r>
  <r>
    <x v="4"/>
    <x v="4"/>
    <x v="2"/>
    <n v="9182"/>
    <x v="5"/>
    <x v="2"/>
    <n v="1057929"/>
  </r>
  <r>
    <x v="4"/>
    <x v="4"/>
    <x v="3"/>
    <n v="8634"/>
    <x v="5"/>
    <x v="3"/>
    <n v="1070719"/>
  </r>
  <r>
    <x v="4"/>
    <x v="4"/>
    <x v="4"/>
    <n v="7372"/>
    <x v="5"/>
    <x v="4"/>
    <n v="1099208"/>
  </r>
  <r>
    <x v="4"/>
    <x v="4"/>
    <x v="5"/>
    <n v="5218"/>
    <x v="5"/>
    <x v="5"/>
    <n v="1118131"/>
  </r>
  <r>
    <x v="4"/>
    <x v="5"/>
    <x v="0"/>
    <n v="13"/>
    <x v="0"/>
    <x v="0"/>
    <m/>
  </r>
  <r>
    <x v="4"/>
    <x v="5"/>
    <x v="1"/>
    <n v="2476"/>
    <x v="5"/>
    <x v="1"/>
    <n v="1058713"/>
  </r>
  <r>
    <x v="4"/>
    <x v="5"/>
    <x v="2"/>
    <n v="2039"/>
    <x v="5"/>
    <x v="2"/>
    <n v="1057929"/>
  </r>
  <r>
    <x v="4"/>
    <x v="5"/>
    <x v="3"/>
    <n v="1831"/>
    <x v="5"/>
    <x v="3"/>
    <n v="1070719"/>
  </r>
  <r>
    <x v="4"/>
    <x v="5"/>
    <x v="4"/>
    <n v="1637"/>
    <x v="5"/>
    <x v="4"/>
    <n v="1099208"/>
  </r>
  <r>
    <x v="4"/>
    <x v="5"/>
    <x v="5"/>
    <n v="961"/>
    <x v="5"/>
    <x v="5"/>
    <n v="1118131"/>
  </r>
  <r>
    <x v="4"/>
    <x v="6"/>
    <x v="0"/>
    <n v="1"/>
    <x v="0"/>
    <x v="0"/>
    <m/>
  </r>
  <r>
    <x v="4"/>
    <x v="6"/>
    <x v="1"/>
    <n v="827"/>
    <x v="5"/>
    <x v="1"/>
    <n v="1058713"/>
  </r>
  <r>
    <x v="4"/>
    <x v="6"/>
    <x v="2"/>
    <n v="505"/>
    <x v="5"/>
    <x v="2"/>
    <n v="1057929"/>
  </r>
  <r>
    <x v="4"/>
    <x v="6"/>
    <x v="3"/>
    <n v="397"/>
    <x v="5"/>
    <x v="3"/>
    <n v="1070719"/>
  </r>
  <r>
    <x v="4"/>
    <x v="6"/>
    <x v="4"/>
    <n v="310"/>
    <x v="5"/>
    <x v="4"/>
    <n v="1099208"/>
  </r>
  <r>
    <x v="4"/>
    <x v="6"/>
    <x v="5"/>
    <n v="241"/>
    <x v="5"/>
    <x v="5"/>
    <n v="1118131"/>
  </r>
  <r>
    <x v="4"/>
    <x v="7"/>
    <x v="0"/>
    <n v="31"/>
    <x v="0"/>
    <x v="0"/>
    <m/>
  </r>
  <r>
    <x v="4"/>
    <x v="7"/>
    <x v="1"/>
    <n v="5843"/>
    <x v="5"/>
    <x v="1"/>
    <n v="1058713"/>
  </r>
  <r>
    <x v="4"/>
    <x v="7"/>
    <x v="2"/>
    <n v="3333"/>
    <x v="5"/>
    <x v="2"/>
    <n v="1057929"/>
  </r>
  <r>
    <x v="4"/>
    <x v="7"/>
    <x v="3"/>
    <n v="2609"/>
    <x v="5"/>
    <x v="3"/>
    <n v="1070719"/>
  </r>
  <r>
    <x v="4"/>
    <x v="7"/>
    <x v="4"/>
    <n v="2516"/>
    <x v="5"/>
    <x v="4"/>
    <n v="1099208"/>
  </r>
  <r>
    <x v="4"/>
    <x v="7"/>
    <x v="5"/>
    <n v="1328"/>
    <x v="5"/>
    <x v="5"/>
    <n v="1118131"/>
  </r>
  <r>
    <x v="5"/>
    <x v="0"/>
    <x v="1"/>
    <n v="2128"/>
    <x v="6"/>
    <x v="1"/>
    <n v="1059288"/>
  </r>
  <r>
    <x v="5"/>
    <x v="0"/>
    <x v="2"/>
    <n v="1218"/>
    <x v="6"/>
    <x v="2"/>
    <n v="1059104"/>
  </r>
  <r>
    <x v="5"/>
    <x v="0"/>
    <x v="3"/>
    <n v="805"/>
    <x v="6"/>
    <x v="3"/>
    <n v="1072629"/>
  </r>
  <r>
    <x v="5"/>
    <x v="0"/>
    <x v="4"/>
    <n v="641"/>
    <x v="6"/>
    <x v="4"/>
    <n v="1110521"/>
  </r>
  <r>
    <x v="5"/>
    <x v="0"/>
    <x v="5"/>
    <n v="519"/>
    <x v="6"/>
    <x v="5"/>
    <n v="1123258"/>
  </r>
  <r>
    <x v="5"/>
    <x v="1"/>
    <x v="0"/>
    <n v="1"/>
    <x v="0"/>
    <x v="0"/>
    <m/>
  </r>
  <r>
    <x v="5"/>
    <x v="1"/>
    <x v="1"/>
    <n v="492"/>
    <x v="6"/>
    <x v="1"/>
    <n v="1059288"/>
  </r>
  <r>
    <x v="5"/>
    <x v="1"/>
    <x v="2"/>
    <n v="524"/>
    <x v="6"/>
    <x v="2"/>
    <n v="1059104"/>
  </r>
  <r>
    <x v="5"/>
    <x v="1"/>
    <x v="3"/>
    <n v="511"/>
    <x v="6"/>
    <x v="3"/>
    <n v="1072629"/>
  </r>
  <r>
    <x v="5"/>
    <x v="1"/>
    <x v="4"/>
    <n v="490"/>
    <x v="6"/>
    <x v="4"/>
    <n v="1110521"/>
  </r>
  <r>
    <x v="5"/>
    <x v="1"/>
    <x v="5"/>
    <n v="269"/>
    <x v="6"/>
    <x v="5"/>
    <n v="1123258"/>
  </r>
  <r>
    <x v="5"/>
    <x v="2"/>
    <x v="0"/>
    <n v="2"/>
    <x v="0"/>
    <x v="0"/>
    <m/>
  </r>
  <r>
    <x v="5"/>
    <x v="2"/>
    <x v="1"/>
    <n v="569"/>
    <x v="6"/>
    <x v="1"/>
    <n v="1059288"/>
  </r>
  <r>
    <x v="5"/>
    <x v="2"/>
    <x v="2"/>
    <n v="398"/>
    <x v="6"/>
    <x v="2"/>
    <n v="1059104"/>
  </r>
  <r>
    <x v="5"/>
    <x v="2"/>
    <x v="3"/>
    <n v="419"/>
    <x v="6"/>
    <x v="3"/>
    <n v="1072629"/>
  </r>
  <r>
    <x v="5"/>
    <x v="2"/>
    <x v="4"/>
    <n v="423"/>
    <x v="6"/>
    <x v="4"/>
    <n v="1110521"/>
  </r>
  <r>
    <x v="5"/>
    <x v="2"/>
    <x v="5"/>
    <n v="205"/>
    <x v="6"/>
    <x v="5"/>
    <n v="1123258"/>
  </r>
  <r>
    <x v="5"/>
    <x v="3"/>
    <x v="0"/>
    <n v="10"/>
    <x v="0"/>
    <x v="0"/>
    <m/>
  </r>
  <r>
    <x v="5"/>
    <x v="3"/>
    <x v="1"/>
    <n v="186"/>
    <x v="6"/>
    <x v="1"/>
    <n v="1059288"/>
  </r>
  <r>
    <x v="5"/>
    <x v="3"/>
    <x v="2"/>
    <n v="230"/>
    <x v="6"/>
    <x v="2"/>
    <n v="1059104"/>
  </r>
  <r>
    <x v="5"/>
    <x v="3"/>
    <x v="3"/>
    <n v="228"/>
    <x v="6"/>
    <x v="3"/>
    <n v="1072629"/>
  </r>
  <r>
    <x v="5"/>
    <x v="3"/>
    <x v="4"/>
    <n v="252"/>
    <x v="6"/>
    <x v="4"/>
    <n v="1110521"/>
  </r>
  <r>
    <x v="5"/>
    <x v="3"/>
    <x v="5"/>
    <n v="152"/>
    <x v="6"/>
    <x v="5"/>
    <n v="1123258"/>
  </r>
  <r>
    <x v="5"/>
    <x v="4"/>
    <x v="0"/>
    <n v="11"/>
    <x v="0"/>
    <x v="0"/>
    <m/>
  </r>
  <r>
    <x v="5"/>
    <x v="4"/>
    <x v="1"/>
    <n v="9594"/>
    <x v="6"/>
    <x v="1"/>
    <n v="1059288"/>
  </r>
  <r>
    <x v="5"/>
    <x v="4"/>
    <x v="2"/>
    <n v="9329"/>
    <x v="6"/>
    <x v="2"/>
    <n v="1059104"/>
  </r>
  <r>
    <x v="5"/>
    <x v="4"/>
    <x v="3"/>
    <n v="8622"/>
    <x v="6"/>
    <x v="3"/>
    <n v="1072629"/>
  </r>
  <r>
    <x v="5"/>
    <x v="4"/>
    <x v="4"/>
    <n v="7658"/>
    <x v="6"/>
    <x v="4"/>
    <n v="1110521"/>
  </r>
  <r>
    <x v="5"/>
    <x v="4"/>
    <x v="5"/>
    <n v="5222"/>
    <x v="6"/>
    <x v="5"/>
    <n v="1123258"/>
  </r>
  <r>
    <x v="5"/>
    <x v="5"/>
    <x v="0"/>
    <n v="10"/>
    <x v="0"/>
    <x v="0"/>
    <m/>
  </r>
  <r>
    <x v="5"/>
    <x v="5"/>
    <x v="1"/>
    <n v="2413"/>
    <x v="6"/>
    <x v="1"/>
    <n v="1059288"/>
  </r>
  <r>
    <x v="5"/>
    <x v="5"/>
    <x v="2"/>
    <n v="2080"/>
    <x v="6"/>
    <x v="2"/>
    <n v="1059104"/>
  </r>
  <r>
    <x v="5"/>
    <x v="5"/>
    <x v="3"/>
    <n v="1877"/>
    <x v="6"/>
    <x v="3"/>
    <n v="1072629"/>
  </r>
  <r>
    <x v="5"/>
    <x v="5"/>
    <x v="4"/>
    <n v="1663"/>
    <x v="6"/>
    <x v="4"/>
    <n v="1110521"/>
  </r>
  <r>
    <x v="5"/>
    <x v="5"/>
    <x v="5"/>
    <n v="1068"/>
    <x v="6"/>
    <x v="5"/>
    <n v="1123258"/>
  </r>
  <r>
    <x v="5"/>
    <x v="6"/>
    <x v="0"/>
    <n v="2"/>
    <x v="0"/>
    <x v="0"/>
    <m/>
  </r>
  <r>
    <x v="5"/>
    <x v="6"/>
    <x v="1"/>
    <n v="797"/>
    <x v="6"/>
    <x v="1"/>
    <n v="1059288"/>
  </r>
  <r>
    <x v="5"/>
    <x v="6"/>
    <x v="2"/>
    <n v="512"/>
    <x v="6"/>
    <x v="2"/>
    <n v="1059104"/>
  </r>
  <r>
    <x v="5"/>
    <x v="6"/>
    <x v="3"/>
    <n v="432"/>
    <x v="6"/>
    <x v="3"/>
    <n v="1072629"/>
  </r>
  <r>
    <x v="5"/>
    <x v="6"/>
    <x v="4"/>
    <n v="337"/>
    <x v="6"/>
    <x v="4"/>
    <n v="1110521"/>
  </r>
  <r>
    <x v="5"/>
    <x v="6"/>
    <x v="5"/>
    <n v="257"/>
    <x v="6"/>
    <x v="5"/>
    <n v="1123258"/>
  </r>
  <r>
    <x v="5"/>
    <x v="7"/>
    <x v="0"/>
    <n v="33"/>
    <x v="0"/>
    <x v="0"/>
    <m/>
  </r>
  <r>
    <x v="5"/>
    <x v="7"/>
    <x v="1"/>
    <n v="5042"/>
    <x v="6"/>
    <x v="1"/>
    <n v="1059288"/>
  </r>
  <r>
    <x v="5"/>
    <x v="7"/>
    <x v="2"/>
    <n v="3248"/>
    <x v="6"/>
    <x v="2"/>
    <n v="1059104"/>
  </r>
  <r>
    <x v="5"/>
    <x v="7"/>
    <x v="3"/>
    <n v="2634"/>
    <x v="6"/>
    <x v="3"/>
    <n v="1072629"/>
  </r>
  <r>
    <x v="5"/>
    <x v="7"/>
    <x v="4"/>
    <n v="2499"/>
    <x v="6"/>
    <x v="4"/>
    <n v="1110521"/>
  </r>
  <r>
    <x v="5"/>
    <x v="7"/>
    <x v="5"/>
    <n v="1272"/>
    <x v="6"/>
    <x v="5"/>
    <n v="1123258"/>
  </r>
  <r>
    <x v="6"/>
    <x v="0"/>
    <x v="1"/>
    <n v="2027"/>
    <x v="7"/>
    <x v="1"/>
    <n v="1059180"/>
  </r>
  <r>
    <x v="6"/>
    <x v="0"/>
    <x v="2"/>
    <n v="1198"/>
    <x v="7"/>
    <x v="2"/>
    <n v="1058116"/>
  </r>
  <r>
    <x v="6"/>
    <x v="0"/>
    <x v="3"/>
    <n v="824"/>
    <x v="7"/>
    <x v="3"/>
    <n v="1075006"/>
  </r>
  <r>
    <x v="6"/>
    <x v="0"/>
    <x v="4"/>
    <n v="624"/>
    <x v="7"/>
    <x v="4"/>
    <n v="1120192"/>
  </r>
  <r>
    <x v="6"/>
    <x v="0"/>
    <x v="5"/>
    <n v="472"/>
    <x v="7"/>
    <x v="5"/>
    <n v="1125606"/>
  </r>
  <r>
    <x v="6"/>
    <x v="1"/>
    <x v="1"/>
    <n v="480"/>
    <x v="7"/>
    <x v="1"/>
    <n v="1059180"/>
  </r>
  <r>
    <x v="6"/>
    <x v="1"/>
    <x v="2"/>
    <n v="508"/>
    <x v="7"/>
    <x v="2"/>
    <n v="1058116"/>
  </r>
  <r>
    <x v="6"/>
    <x v="1"/>
    <x v="3"/>
    <n v="527"/>
    <x v="7"/>
    <x v="3"/>
    <n v="1075006"/>
  </r>
  <r>
    <x v="6"/>
    <x v="1"/>
    <x v="4"/>
    <n v="464"/>
    <x v="7"/>
    <x v="4"/>
    <n v="1120192"/>
  </r>
  <r>
    <x v="6"/>
    <x v="1"/>
    <x v="5"/>
    <n v="273"/>
    <x v="7"/>
    <x v="5"/>
    <n v="1125606"/>
  </r>
  <r>
    <x v="6"/>
    <x v="2"/>
    <x v="0"/>
    <n v="5"/>
    <x v="0"/>
    <x v="0"/>
    <m/>
  </r>
  <r>
    <x v="6"/>
    <x v="2"/>
    <x v="1"/>
    <n v="534"/>
    <x v="7"/>
    <x v="1"/>
    <n v="1059180"/>
  </r>
  <r>
    <x v="6"/>
    <x v="2"/>
    <x v="2"/>
    <n v="381"/>
    <x v="7"/>
    <x v="2"/>
    <n v="1058116"/>
  </r>
  <r>
    <x v="6"/>
    <x v="2"/>
    <x v="3"/>
    <n v="415"/>
    <x v="7"/>
    <x v="3"/>
    <n v="1075006"/>
  </r>
  <r>
    <x v="6"/>
    <x v="2"/>
    <x v="4"/>
    <n v="433"/>
    <x v="7"/>
    <x v="4"/>
    <n v="1120192"/>
  </r>
  <r>
    <x v="6"/>
    <x v="2"/>
    <x v="5"/>
    <n v="184"/>
    <x v="7"/>
    <x v="5"/>
    <n v="1125606"/>
  </r>
  <r>
    <x v="6"/>
    <x v="3"/>
    <x v="0"/>
    <n v="5"/>
    <x v="0"/>
    <x v="0"/>
    <m/>
  </r>
  <r>
    <x v="6"/>
    <x v="3"/>
    <x v="1"/>
    <n v="219"/>
    <x v="7"/>
    <x v="1"/>
    <n v="1059180"/>
  </r>
  <r>
    <x v="6"/>
    <x v="3"/>
    <x v="2"/>
    <n v="203"/>
    <x v="7"/>
    <x v="2"/>
    <n v="1058116"/>
  </r>
  <r>
    <x v="6"/>
    <x v="3"/>
    <x v="3"/>
    <n v="265"/>
    <x v="7"/>
    <x v="3"/>
    <n v="1075006"/>
  </r>
  <r>
    <x v="6"/>
    <x v="3"/>
    <x v="4"/>
    <n v="290"/>
    <x v="7"/>
    <x v="4"/>
    <n v="1120192"/>
  </r>
  <r>
    <x v="6"/>
    <x v="3"/>
    <x v="5"/>
    <n v="142"/>
    <x v="7"/>
    <x v="5"/>
    <n v="1125606"/>
  </r>
  <r>
    <x v="6"/>
    <x v="4"/>
    <x v="0"/>
    <n v="27"/>
    <x v="0"/>
    <x v="0"/>
    <m/>
  </r>
  <r>
    <x v="6"/>
    <x v="4"/>
    <x v="1"/>
    <n v="9770"/>
    <x v="7"/>
    <x v="1"/>
    <n v="1059180"/>
  </r>
  <r>
    <x v="6"/>
    <x v="4"/>
    <x v="2"/>
    <n v="9212"/>
    <x v="7"/>
    <x v="2"/>
    <n v="1058116"/>
  </r>
  <r>
    <x v="6"/>
    <x v="4"/>
    <x v="3"/>
    <n v="8769"/>
    <x v="7"/>
    <x v="3"/>
    <n v="1075006"/>
  </r>
  <r>
    <x v="6"/>
    <x v="4"/>
    <x v="4"/>
    <n v="7667"/>
    <x v="7"/>
    <x v="4"/>
    <n v="1120192"/>
  </r>
  <r>
    <x v="6"/>
    <x v="4"/>
    <x v="5"/>
    <n v="5196"/>
    <x v="7"/>
    <x v="5"/>
    <n v="1125606"/>
  </r>
  <r>
    <x v="6"/>
    <x v="5"/>
    <x v="0"/>
    <n v="19"/>
    <x v="0"/>
    <x v="0"/>
    <m/>
  </r>
  <r>
    <x v="6"/>
    <x v="5"/>
    <x v="1"/>
    <n v="2495"/>
    <x v="7"/>
    <x v="1"/>
    <n v="1059180"/>
  </r>
  <r>
    <x v="6"/>
    <x v="5"/>
    <x v="2"/>
    <n v="2005"/>
    <x v="7"/>
    <x v="2"/>
    <n v="1058116"/>
  </r>
  <r>
    <x v="6"/>
    <x v="5"/>
    <x v="3"/>
    <n v="1893"/>
    <x v="7"/>
    <x v="3"/>
    <n v="1075006"/>
  </r>
  <r>
    <x v="6"/>
    <x v="5"/>
    <x v="4"/>
    <n v="1716"/>
    <x v="7"/>
    <x v="4"/>
    <n v="1120192"/>
  </r>
  <r>
    <x v="6"/>
    <x v="5"/>
    <x v="5"/>
    <n v="1110"/>
    <x v="7"/>
    <x v="5"/>
    <n v="1125606"/>
  </r>
  <r>
    <x v="6"/>
    <x v="6"/>
    <x v="0"/>
    <n v="2"/>
    <x v="0"/>
    <x v="0"/>
    <m/>
  </r>
  <r>
    <x v="6"/>
    <x v="6"/>
    <x v="1"/>
    <n v="812"/>
    <x v="7"/>
    <x v="1"/>
    <n v="1059180"/>
  </r>
  <r>
    <x v="6"/>
    <x v="6"/>
    <x v="2"/>
    <n v="510"/>
    <x v="7"/>
    <x v="2"/>
    <n v="1058116"/>
  </r>
  <r>
    <x v="6"/>
    <x v="6"/>
    <x v="3"/>
    <n v="420"/>
    <x v="7"/>
    <x v="3"/>
    <n v="1075006"/>
  </r>
  <r>
    <x v="6"/>
    <x v="6"/>
    <x v="4"/>
    <n v="339"/>
    <x v="7"/>
    <x v="4"/>
    <n v="1120192"/>
  </r>
  <r>
    <x v="6"/>
    <x v="6"/>
    <x v="5"/>
    <n v="196"/>
    <x v="7"/>
    <x v="5"/>
    <n v="1125606"/>
  </r>
  <r>
    <x v="6"/>
    <x v="7"/>
    <x v="0"/>
    <n v="52"/>
    <x v="0"/>
    <x v="0"/>
    <m/>
  </r>
  <r>
    <x v="6"/>
    <x v="7"/>
    <x v="1"/>
    <n v="5344"/>
    <x v="7"/>
    <x v="1"/>
    <n v="1059180"/>
  </r>
  <r>
    <x v="6"/>
    <x v="7"/>
    <x v="2"/>
    <n v="3283"/>
    <x v="7"/>
    <x v="2"/>
    <n v="1058116"/>
  </r>
  <r>
    <x v="6"/>
    <x v="7"/>
    <x v="3"/>
    <n v="2710"/>
    <x v="7"/>
    <x v="3"/>
    <n v="1075006"/>
  </r>
  <r>
    <x v="6"/>
    <x v="7"/>
    <x v="4"/>
    <n v="2732"/>
    <x v="7"/>
    <x v="4"/>
    <n v="1120192"/>
  </r>
  <r>
    <x v="6"/>
    <x v="7"/>
    <x v="5"/>
    <n v="1576"/>
    <x v="7"/>
    <x v="5"/>
    <n v="1125606"/>
  </r>
  <r>
    <x v="7"/>
    <x v="0"/>
    <x v="0"/>
    <n v="1"/>
    <x v="0"/>
    <x v="0"/>
    <m/>
  </r>
  <r>
    <x v="7"/>
    <x v="0"/>
    <x v="1"/>
    <n v="1837"/>
    <x v="8"/>
    <x v="1"/>
    <n v="1060939"/>
  </r>
  <r>
    <x v="7"/>
    <x v="0"/>
    <x v="2"/>
    <n v="1141"/>
    <x v="8"/>
    <x v="2"/>
    <n v="1060924"/>
  </r>
  <r>
    <x v="7"/>
    <x v="0"/>
    <x v="3"/>
    <n v="819"/>
    <x v="8"/>
    <x v="3"/>
    <n v="1078198"/>
  </r>
  <r>
    <x v="7"/>
    <x v="0"/>
    <x v="4"/>
    <n v="622"/>
    <x v="8"/>
    <x v="4"/>
    <n v="1132425"/>
  </r>
  <r>
    <x v="7"/>
    <x v="0"/>
    <x v="5"/>
    <n v="470"/>
    <x v="8"/>
    <x v="5"/>
    <n v="1130814"/>
  </r>
  <r>
    <x v="7"/>
    <x v="1"/>
    <x v="0"/>
    <n v="1"/>
    <x v="0"/>
    <x v="0"/>
    <m/>
  </r>
  <r>
    <x v="7"/>
    <x v="1"/>
    <x v="1"/>
    <n v="471"/>
    <x v="8"/>
    <x v="1"/>
    <n v="1060939"/>
  </r>
  <r>
    <x v="7"/>
    <x v="1"/>
    <x v="2"/>
    <n v="433"/>
    <x v="8"/>
    <x v="2"/>
    <n v="1060924"/>
  </r>
  <r>
    <x v="7"/>
    <x v="1"/>
    <x v="3"/>
    <n v="419"/>
    <x v="8"/>
    <x v="3"/>
    <n v="1078198"/>
  </r>
  <r>
    <x v="7"/>
    <x v="1"/>
    <x v="4"/>
    <n v="431"/>
    <x v="8"/>
    <x v="4"/>
    <n v="1132425"/>
  </r>
  <r>
    <x v="7"/>
    <x v="1"/>
    <x v="5"/>
    <n v="225"/>
    <x v="8"/>
    <x v="5"/>
    <n v="1130814"/>
  </r>
  <r>
    <x v="7"/>
    <x v="2"/>
    <x v="0"/>
    <n v="2"/>
    <x v="0"/>
    <x v="0"/>
    <m/>
  </r>
  <r>
    <x v="7"/>
    <x v="2"/>
    <x v="1"/>
    <n v="558"/>
    <x v="8"/>
    <x v="1"/>
    <n v="1060939"/>
  </r>
  <r>
    <x v="7"/>
    <x v="2"/>
    <x v="2"/>
    <n v="450"/>
    <x v="8"/>
    <x v="2"/>
    <n v="1060924"/>
  </r>
  <r>
    <x v="7"/>
    <x v="2"/>
    <x v="3"/>
    <n v="419"/>
    <x v="8"/>
    <x v="3"/>
    <n v="1078198"/>
  </r>
  <r>
    <x v="7"/>
    <x v="2"/>
    <x v="4"/>
    <n v="460"/>
    <x v="8"/>
    <x v="4"/>
    <n v="1132425"/>
  </r>
  <r>
    <x v="7"/>
    <x v="2"/>
    <x v="5"/>
    <n v="210"/>
    <x v="8"/>
    <x v="5"/>
    <n v="1130814"/>
  </r>
  <r>
    <x v="7"/>
    <x v="3"/>
    <x v="0"/>
    <n v="7"/>
    <x v="0"/>
    <x v="0"/>
    <m/>
  </r>
  <r>
    <x v="7"/>
    <x v="3"/>
    <x v="1"/>
    <n v="182"/>
    <x v="8"/>
    <x v="1"/>
    <n v="1060939"/>
  </r>
  <r>
    <x v="7"/>
    <x v="3"/>
    <x v="2"/>
    <n v="161"/>
    <x v="8"/>
    <x v="2"/>
    <n v="1060924"/>
  </r>
  <r>
    <x v="7"/>
    <x v="3"/>
    <x v="3"/>
    <n v="195"/>
    <x v="8"/>
    <x v="3"/>
    <n v="1078198"/>
  </r>
  <r>
    <x v="7"/>
    <x v="3"/>
    <x v="4"/>
    <n v="228"/>
    <x v="8"/>
    <x v="4"/>
    <n v="1132425"/>
  </r>
  <r>
    <x v="7"/>
    <x v="3"/>
    <x v="5"/>
    <n v="110"/>
    <x v="8"/>
    <x v="5"/>
    <n v="1130814"/>
  </r>
  <r>
    <x v="7"/>
    <x v="4"/>
    <x v="0"/>
    <n v="25"/>
    <x v="0"/>
    <x v="0"/>
    <m/>
  </r>
  <r>
    <x v="7"/>
    <x v="4"/>
    <x v="1"/>
    <n v="10019"/>
    <x v="8"/>
    <x v="1"/>
    <n v="1060939"/>
  </r>
  <r>
    <x v="7"/>
    <x v="4"/>
    <x v="2"/>
    <n v="9344"/>
    <x v="8"/>
    <x v="2"/>
    <n v="1060924"/>
  </r>
  <r>
    <x v="7"/>
    <x v="4"/>
    <x v="3"/>
    <n v="9016"/>
    <x v="8"/>
    <x v="3"/>
    <n v="1078198"/>
  </r>
  <r>
    <x v="7"/>
    <x v="4"/>
    <x v="4"/>
    <n v="7955"/>
    <x v="8"/>
    <x v="4"/>
    <n v="1132425"/>
  </r>
  <r>
    <x v="7"/>
    <x v="4"/>
    <x v="5"/>
    <n v="5108"/>
    <x v="8"/>
    <x v="5"/>
    <n v="1130814"/>
  </r>
  <r>
    <x v="7"/>
    <x v="5"/>
    <x v="0"/>
    <n v="10"/>
    <x v="0"/>
    <x v="0"/>
    <m/>
  </r>
  <r>
    <x v="7"/>
    <x v="5"/>
    <x v="1"/>
    <n v="2382"/>
    <x v="8"/>
    <x v="1"/>
    <n v="1060939"/>
  </r>
  <r>
    <x v="7"/>
    <x v="5"/>
    <x v="2"/>
    <n v="1976"/>
    <x v="8"/>
    <x v="2"/>
    <n v="1060924"/>
  </r>
  <r>
    <x v="7"/>
    <x v="5"/>
    <x v="3"/>
    <n v="1757"/>
    <x v="8"/>
    <x v="3"/>
    <n v="1078198"/>
  </r>
  <r>
    <x v="7"/>
    <x v="5"/>
    <x v="4"/>
    <n v="1529"/>
    <x v="8"/>
    <x v="4"/>
    <n v="1132425"/>
  </r>
  <r>
    <x v="7"/>
    <x v="5"/>
    <x v="5"/>
    <n v="983"/>
    <x v="8"/>
    <x v="5"/>
    <n v="1130814"/>
  </r>
  <r>
    <x v="7"/>
    <x v="6"/>
    <x v="0"/>
    <n v="1"/>
    <x v="0"/>
    <x v="0"/>
    <m/>
  </r>
  <r>
    <x v="7"/>
    <x v="6"/>
    <x v="1"/>
    <n v="702"/>
    <x v="8"/>
    <x v="1"/>
    <n v="1060939"/>
  </r>
  <r>
    <x v="7"/>
    <x v="6"/>
    <x v="2"/>
    <n v="513"/>
    <x v="8"/>
    <x v="2"/>
    <n v="1060924"/>
  </r>
  <r>
    <x v="7"/>
    <x v="6"/>
    <x v="3"/>
    <n v="434"/>
    <x v="8"/>
    <x v="3"/>
    <n v="1078198"/>
  </r>
  <r>
    <x v="7"/>
    <x v="6"/>
    <x v="4"/>
    <n v="329"/>
    <x v="8"/>
    <x v="4"/>
    <n v="1132425"/>
  </r>
  <r>
    <x v="7"/>
    <x v="6"/>
    <x v="5"/>
    <n v="219"/>
    <x v="8"/>
    <x v="5"/>
    <n v="1130814"/>
  </r>
  <r>
    <x v="7"/>
    <x v="7"/>
    <x v="0"/>
    <n v="24"/>
    <x v="0"/>
    <x v="0"/>
    <m/>
  </r>
  <r>
    <x v="7"/>
    <x v="7"/>
    <x v="1"/>
    <n v="5283"/>
    <x v="8"/>
    <x v="1"/>
    <n v="1060939"/>
  </r>
  <r>
    <x v="7"/>
    <x v="7"/>
    <x v="2"/>
    <n v="2961"/>
    <x v="8"/>
    <x v="2"/>
    <n v="1060924"/>
  </r>
  <r>
    <x v="7"/>
    <x v="7"/>
    <x v="3"/>
    <n v="2381"/>
    <x v="8"/>
    <x v="3"/>
    <n v="1078198"/>
  </r>
  <r>
    <x v="7"/>
    <x v="7"/>
    <x v="4"/>
    <n v="2229"/>
    <x v="8"/>
    <x v="4"/>
    <n v="1132425"/>
  </r>
  <r>
    <x v="7"/>
    <x v="7"/>
    <x v="5"/>
    <n v="1212"/>
    <x v="8"/>
    <x v="5"/>
    <n v="1130814"/>
  </r>
  <r>
    <x v="8"/>
    <x v="0"/>
    <x v="0"/>
    <n v="1"/>
    <x v="0"/>
    <x v="0"/>
    <m/>
  </r>
  <r>
    <x v="8"/>
    <x v="0"/>
    <x v="1"/>
    <n v="1853"/>
    <x v="9"/>
    <x v="1"/>
    <n v="1057767"/>
  </r>
  <r>
    <x v="8"/>
    <x v="0"/>
    <x v="2"/>
    <n v="1110"/>
    <x v="9"/>
    <x v="2"/>
    <n v="1057929"/>
  </r>
  <r>
    <x v="8"/>
    <x v="0"/>
    <x v="3"/>
    <n v="715"/>
    <x v="9"/>
    <x v="3"/>
    <n v="1077589"/>
  </r>
  <r>
    <x v="8"/>
    <x v="0"/>
    <x v="4"/>
    <n v="555"/>
    <x v="9"/>
    <x v="4"/>
    <n v="1140448"/>
  </r>
  <r>
    <x v="8"/>
    <x v="0"/>
    <x v="5"/>
    <n v="427"/>
    <x v="9"/>
    <x v="5"/>
    <n v="1132267"/>
  </r>
  <r>
    <x v="8"/>
    <x v="1"/>
    <x v="0"/>
    <n v="1"/>
    <x v="0"/>
    <x v="0"/>
    <m/>
  </r>
  <r>
    <x v="8"/>
    <x v="1"/>
    <x v="1"/>
    <n v="376"/>
    <x v="9"/>
    <x v="1"/>
    <n v="1057767"/>
  </r>
  <r>
    <x v="8"/>
    <x v="1"/>
    <x v="2"/>
    <n v="395"/>
    <x v="9"/>
    <x v="2"/>
    <n v="1057929"/>
  </r>
  <r>
    <x v="8"/>
    <x v="1"/>
    <x v="3"/>
    <n v="378"/>
    <x v="9"/>
    <x v="3"/>
    <n v="1077589"/>
  </r>
  <r>
    <x v="8"/>
    <x v="1"/>
    <x v="4"/>
    <n v="379"/>
    <x v="9"/>
    <x v="4"/>
    <n v="1140448"/>
  </r>
  <r>
    <x v="8"/>
    <x v="1"/>
    <x v="5"/>
    <n v="189"/>
    <x v="9"/>
    <x v="5"/>
    <n v="1132267"/>
  </r>
  <r>
    <x v="8"/>
    <x v="2"/>
    <x v="0"/>
    <n v="1"/>
    <x v="0"/>
    <x v="0"/>
    <m/>
  </r>
  <r>
    <x v="8"/>
    <x v="2"/>
    <x v="1"/>
    <n v="533"/>
    <x v="9"/>
    <x v="1"/>
    <n v="1057767"/>
  </r>
  <r>
    <x v="8"/>
    <x v="2"/>
    <x v="2"/>
    <n v="381"/>
    <x v="9"/>
    <x v="2"/>
    <n v="1057929"/>
  </r>
  <r>
    <x v="8"/>
    <x v="2"/>
    <x v="3"/>
    <n v="361"/>
    <x v="9"/>
    <x v="3"/>
    <n v="1077589"/>
  </r>
  <r>
    <x v="8"/>
    <x v="2"/>
    <x v="4"/>
    <n v="362"/>
    <x v="9"/>
    <x v="4"/>
    <n v="1140448"/>
  </r>
  <r>
    <x v="8"/>
    <x v="2"/>
    <x v="5"/>
    <n v="178"/>
    <x v="9"/>
    <x v="5"/>
    <n v="1132267"/>
  </r>
  <r>
    <x v="8"/>
    <x v="3"/>
    <x v="0"/>
    <n v="9"/>
    <x v="0"/>
    <x v="0"/>
    <m/>
  </r>
  <r>
    <x v="8"/>
    <x v="3"/>
    <x v="1"/>
    <n v="214"/>
    <x v="9"/>
    <x v="1"/>
    <n v="1057767"/>
  </r>
  <r>
    <x v="8"/>
    <x v="3"/>
    <x v="2"/>
    <n v="222"/>
    <x v="9"/>
    <x v="2"/>
    <n v="1057929"/>
  </r>
  <r>
    <x v="8"/>
    <x v="3"/>
    <x v="3"/>
    <n v="271"/>
    <x v="9"/>
    <x v="3"/>
    <n v="1077589"/>
  </r>
  <r>
    <x v="8"/>
    <x v="3"/>
    <x v="4"/>
    <n v="316"/>
    <x v="9"/>
    <x v="4"/>
    <n v="1140448"/>
  </r>
  <r>
    <x v="8"/>
    <x v="3"/>
    <x v="5"/>
    <n v="189"/>
    <x v="9"/>
    <x v="5"/>
    <n v="1132267"/>
  </r>
  <r>
    <x v="8"/>
    <x v="4"/>
    <x v="0"/>
    <n v="9"/>
    <x v="0"/>
    <x v="0"/>
    <m/>
  </r>
  <r>
    <x v="8"/>
    <x v="4"/>
    <x v="1"/>
    <n v="8842"/>
    <x v="9"/>
    <x v="1"/>
    <n v="1057767"/>
  </r>
  <r>
    <x v="8"/>
    <x v="4"/>
    <x v="2"/>
    <n v="8216"/>
    <x v="9"/>
    <x v="2"/>
    <n v="1057929"/>
  </r>
  <r>
    <x v="8"/>
    <x v="4"/>
    <x v="3"/>
    <n v="7570"/>
    <x v="9"/>
    <x v="3"/>
    <n v="1077589"/>
  </r>
  <r>
    <x v="8"/>
    <x v="4"/>
    <x v="4"/>
    <n v="6809"/>
    <x v="9"/>
    <x v="4"/>
    <n v="1140448"/>
  </r>
  <r>
    <x v="8"/>
    <x v="4"/>
    <x v="5"/>
    <n v="4363"/>
    <x v="9"/>
    <x v="5"/>
    <n v="1132267"/>
  </r>
  <r>
    <x v="8"/>
    <x v="5"/>
    <x v="0"/>
    <n v="13"/>
    <x v="0"/>
    <x v="0"/>
    <m/>
  </r>
  <r>
    <x v="8"/>
    <x v="5"/>
    <x v="1"/>
    <n v="2624"/>
    <x v="9"/>
    <x v="1"/>
    <n v="1057767"/>
  </r>
  <r>
    <x v="8"/>
    <x v="5"/>
    <x v="2"/>
    <n v="2249"/>
    <x v="9"/>
    <x v="2"/>
    <n v="1057929"/>
  </r>
  <r>
    <x v="8"/>
    <x v="5"/>
    <x v="3"/>
    <n v="1850"/>
    <x v="9"/>
    <x v="3"/>
    <n v="1077589"/>
  </r>
  <r>
    <x v="8"/>
    <x v="5"/>
    <x v="4"/>
    <n v="1655"/>
    <x v="9"/>
    <x v="4"/>
    <n v="1140448"/>
  </r>
  <r>
    <x v="8"/>
    <x v="5"/>
    <x v="5"/>
    <n v="1126"/>
    <x v="9"/>
    <x v="5"/>
    <n v="1132267"/>
  </r>
  <r>
    <x v="8"/>
    <x v="6"/>
    <x v="1"/>
    <n v="488"/>
    <x v="9"/>
    <x v="1"/>
    <n v="1057767"/>
  </r>
  <r>
    <x v="8"/>
    <x v="6"/>
    <x v="2"/>
    <n v="315"/>
    <x v="9"/>
    <x v="2"/>
    <n v="1057929"/>
  </r>
  <r>
    <x v="8"/>
    <x v="6"/>
    <x v="3"/>
    <n v="290"/>
    <x v="9"/>
    <x v="3"/>
    <n v="1077589"/>
  </r>
  <r>
    <x v="8"/>
    <x v="6"/>
    <x v="4"/>
    <n v="251"/>
    <x v="9"/>
    <x v="4"/>
    <n v="1140448"/>
  </r>
  <r>
    <x v="8"/>
    <x v="6"/>
    <x v="5"/>
    <n v="150"/>
    <x v="9"/>
    <x v="5"/>
    <n v="1132267"/>
  </r>
  <r>
    <x v="8"/>
    <x v="7"/>
    <x v="0"/>
    <n v="39"/>
    <x v="0"/>
    <x v="0"/>
    <m/>
  </r>
  <r>
    <x v="8"/>
    <x v="7"/>
    <x v="1"/>
    <n v="5572"/>
    <x v="9"/>
    <x v="1"/>
    <n v="1057767"/>
  </r>
  <r>
    <x v="8"/>
    <x v="7"/>
    <x v="2"/>
    <n v="3197"/>
    <x v="9"/>
    <x v="2"/>
    <n v="1057929"/>
  </r>
  <r>
    <x v="8"/>
    <x v="7"/>
    <x v="3"/>
    <n v="2509"/>
    <x v="9"/>
    <x v="3"/>
    <n v="1077589"/>
  </r>
  <r>
    <x v="8"/>
    <x v="7"/>
    <x v="4"/>
    <n v="2428"/>
    <x v="9"/>
    <x v="4"/>
    <n v="1140448"/>
  </r>
  <r>
    <x v="8"/>
    <x v="7"/>
    <x v="5"/>
    <n v="1385"/>
    <x v="9"/>
    <x v="5"/>
    <n v="1132267"/>
  </r>
</pivotCacheRecords>
</file>

<file path=xl/pivotCache/pivotCacheRecords34.xml><?xml version="1.0" encoding="utf-8"?>
<pivotCacheRecords xmlns="http://schemas.openxmlformats.org/spreadsheetml/2006/main" xmlns:r="http://schemas.openxmlformats.org/officeDocument/2006/relationships" count="491">
  <r>
    <x v="0"/>
    <x v="0"/>
    <x v="0"/>
    <n v="1"/>
    <x v="0"/>
    <x v="0"/>
    <m/>
  </r>
  <r>
    <x v="0"/>
    <x v="0"/>
    <x v="1"/>
    <n v="2817"/>
    <x v="1"/>
    <x v="1"/>
    <n v="1819758"/>
  </r>
  <r>
    <x v="0"/>
    <x v="0"/>
    <x v="2"/>
    <n v="1945"/>
    <x v="1"/>
    <x v="2"/>
    <n v="1946513"/>
  </r>
  <r>
    <x v="0"/>
    <x v="0"/>
    <x v="3"/>
    <n v="356"/>
    <x v="1"/>
    <x v="3"/>
    <n v="461593"/>
  </r>
  <r>
    <x v="0"/>
    <x v="0"/>
    <x v="4"/>
    <n v="143"/>
    <x v="1"/>
    <x v="4"/>
    <n v="193502"/>
  </r>
  <r>
    <x v="0"/>
    <x v="0"/>
    <x v="5"/>
    <n v="373"/>
    <x v="1"/>
    <x v="5"/>
    <n v="576605"/>
  </r>
  <r>
    <x v="0"/>
    <x v="0"/>
    <x v="6"/>
    <n v="194"/>
    <x v="1"/>
    <x v="6"/>
    <n v="315629"/>
  </r>
  <r>
    <x v="0"/>
    <x v="1"/>
    <x v="1"/>
    <n v="1032"/>
    <x v="1"/>
    <x v="1"/>
    <n v="1819758"/>
  </r>
  <r>
    <x v="0"/>
    <x v="1"/>
    <x v="2"/>
    <n v="789"/>
    <x v="1"/>
    <x v="2"/>
    <n v="1946513"/>
  </r>
  <r>
    <x v="0"/>
    <x v="1"/>
    <x v="3"/>
    <n v="126"/>
    <x v="1"/>
    <x v="3"/>
    <n v="461593"/>
  </r>
  <r>
    <x v="0"/>
    <x v="1"/>
    <x v="4"/>
    <n v="81"/>
    <x v="1"/>
    <x v="4"/>
    <n v="193502"/>
  </r>
  <r>
    <x v="0"/>
    <x v="1"/>
    <x v="5"/>
    <n v="226"/>
    <x v="1"/>
    <x v="5"/>
    <n v="576605"/>
  </r>
  <r>
    <x v="0"/>
    <x v="1"/>
    <x v="6"/>
    <n v="154"/>
    <x v="1"/>
    <x v="6"/>
    <n v="315629"/>
  </r>
  <r>
    <x v="0"/>
    <x v="2"/>
    <x v="0"/>
    <n v="4"/>
    <x v="0"/>
    <x v="0"/>
    <m/>
  </r>
  <r>
    <x v="0"/>
    <x v="2"/>
    <x v="1"/>
    <n v="678"/>
    <x v="1"/>
    <x v="1"/>
    <n v="1819758"/>
  </r>
  <r>
    <x v="0"/>
    <x v="2"/>
    <x v="2"/>
    <n v="634"/>
    <x v="1"/>
    <x v="2"/>
    <n v="1946513"/>
  </r>
  <r>
    <x v="0"/>
    <x v="2"/>
    <x v="3"/>
    <n v="148"/>
    <x v="1"/>
    <x v="3"/>
    <n v="461593"/>
  </r>
  <r>
    <x v="0"/>
    <x v="2"/>
    <x v="4"/>
    <n v="36"/>
    <x v="1"/>
    <x v="4"/>
    <n v="193502"/>
  </r>
  <r>
    <x v="0"/>
    <x v="2"/>
    <x v="5"/>
    <n v="383"/>
    <x v="1"/>
    <x v="5"/>
    <n v="576605"/>
  </r>
  <r>
    <x v="0"/>
    <x v="2"/>
    <x v="6"/>
    <n v="151"/>
    <x v="1"/>
    <x v="6"/>
    <n v="315629"/>
  </r>
  <r>
    <x v="0"/>
    <x v="3"/>
    <x v="0"/>
    <n v="5"/>
    <x v="0"/>
    <x v="0"/>
    <m/>
  </r>
  <r>
    <x v="0"/>
    <x v="3"/>
    <x v="1"/>
    <n v="267"/>
    <x v="1"/>
    <x v="1"/>
    <n v="1819758"/>
  </r>
  <r>
    <x v="0"/>
    <x v="3"/>
    <x v="2"/>
    <n v="251"/>
    <x v="1"/>
    <x v="2"/>
    <n v="1946513"/>
  </r>
  <r>
    <x v="0"/>
    <x v="3"/>
    <x v="3"/>
    <n v="47"/>
    <x v="1"/>
    <x v="3"/>
    <n v="461593"/>
  </r>
  <r>
    <x v="0"/>
    <x v="3"/>
    <x v="4"/>
    <n v="22"/>
    <x v="1"/>
    <x v="4"/>
    <n v="193502"/>
  </r>
  <r>
    <x v="0"/>
    <x v="3"/>
    <x v="5"/>
    <n v="130"/>
    <x v="1"/>
    <x v="5"/>
    <n v="576605"/>
  </r>
  <r>
    <x v="0"/>
    <x v="3"/>
    <x v="6"/>
    <n v="93"/>
    <x v="1"/>
    <x v="6"/>
    <n v="315629"/>
  </r>
  <r>
    <x v="0"/>
    <x v="4"/>
    <x v="0"/>
    <n v="8"/>
    <x v="0"/>
    <x v="0"/>
    <m/>
  </r>
  <r>
    <x v="0"/>
    <x v="4"/>
    <x v="1"/>
    <n v="16592"/>
    <x v="1"/>
    <x v="1"/>
    <n v="1819758"/>
  </r>
  <r>
    <x v="0"/>
    <x v="4"/>
    <x v="2"/>
    <n v="11586"/>
    <x v="1"/>
    <x v="2"/>
    <n v="1946513"/>
  </r>
  <r>
    <x v="0"/>
    <x v="4"/>
    <x v="3"/>
    <n v="1759"/>
    <x v="1"/>
    <x v="3"/>
    <n v="461593"/>
  </r>
  <r>
    <x v="0"/>
    <x v="4"/>
    <x v="4"/>
    <n v="1122"/>
    <x v="1"/>
    <x v="4"/>
    <n v="193502"/>
  </r>
  <r>
    <x v="0"/>
    <x v="4"/>
    <x v="5"/>
    <n v="2616"/>
    <x v="1"/>
    <x v="5"/>
    <n v="576605"/>
  </r>
  <r>
    <x v="0"/>
    <x v="4"/>
    <x v="6"/>
    <n v="1427"/>
    <x v="1"/>
    <x v="6"/>
    <n v="315629"/>
  </r>
  <r>
    <x v="0"/>
    <x v="5"/>
    <x v="0"/>
    <n v="11"/>
    <x v="0"/>
    <x v="0"/>
    <m/>
  </r>
  <r>
    <x v="0"/>
    <x v="5"/>
    <x v="1"/>
    <n v="4149"/>
    <x v="1"/>
    <x v="1"/>
    <n v="1819758"/>
  </r>
  <r>
    <x v="0"/>
    <x v="5"/>
    <x v="2"/>
    <n v="3343"/>
    <x v="1"/>
    <x v="2"/>
    <n v="1946513"/>
  </r>
  <r>
    <x v="0"/>
    <x v="5"/>
    <x v="3"/>
    <n v="607"/>
    <x v="1"/>
    <x v="3"/>
    <n v="461593"/>
  </r>
  <r>
    <x v="0"/>
    <x v="5"/>
    <x v="4"/>
    <n v="373"/>
    <x v="1"/>
    <x v="4"/>
    <n v="193502"/>
  </r>
  <r>
    <x v="0"/>
    <x v="5"/>
    <x v="5"/>
    <n v="870"/>
    <x v="1"/>
    <x v="5"/>
    <n v="576605"/>
  </r>
  <r>
    <x v="0"/>
    <x v="5"/>
    <x v="6"/>
    <n v="518"/>
    <x v="1"/>
    <x v="6"/>
    <n v="315629"/>
  </r>
  <r>
    <x v="0"/>
    <x v="6"/>
    <x v="0"/>
    <n v="1"/>
    <x v="0"/>
    <x v="0"/>
    <m/>
  </r>
  <r>
    <x v="0"/>
    <x v="6"/>
    <x v="1"/>
    <n v="1206"/>
    <x v="1"/>
    <x v="1"/>
    <n v="1819758"/>
  </r>
  <r>
    <x v="0"/>
    <x v="6"/>
    <x v="2"/>
    <n v="803"/>
    <x v="1"/>
    <x v="2"/>
    <n v="1946513"/>
  </r>
  <r>
    <x v="0"/>
    <x v="6"/>
    <x v="3"/>
    <n v="98"/>
    <x v="1"/>
    <x v="3"/>
    <n v="461593"/>
  </r>
  <r>
    <x v="0"/>
    <x v="6"/>
    <x v="4"/>
    <n v="46"/>
    <x v="1"/>
    <x v="4"/>
    <n v="193502"/>
  </r>
  <r>
    <x v="0"/>
    <x v="6"/>
    <x v="5"/>
    <n v="114"/>
    <x v="1"/>
    <x v="5"/>
    <n v="576605"/>
  </r>
  <r>
    <x v="0"/>
    <x v="6"/>
    <x v="6"/>
    <n v="39"/>
    <x v="1"/>
    <x v="6"/>
    <n v="315629"/>
  </r>
  <r>
    <x v="0"/>
    <x v="7"/>
    <x v="0"/>
    <n v="32"/>
    <x v="0"/>
    <x v="0"/>
    <m/>
  </r>
  <r>
    <x v="0"/>
    <x v="7"/>
    <x v="1"/>
    <n v="5784"/>
    <x v="1"/>
    <x v="1"/>
    <n v="1819758"/>
  </r>
  <r>
    <x v="0"/>
    <x v="7"/>
    <x v="2"/>
    <n v="5524"/>
    <x v="1"/>
    <x v="2"/>
    <n v="1946513"/>
  </r>
  <r>
    <x v="0"/>
    <x v="7"/>
    <x v="3"/>
    <n v="819"/>
    <x v="1"/>
    <x v="3"/>
    <n v="461593"/>
  </r>
  <r>
    <x v="0"/>
    <x v="7"/>
    <x v="4"/>
    <n v="273"/>
    <x v="1"/>
    <x v="4"/>
    <n v="193502"/>
  </r>
  <r>
    <x v="0"/>
    <x v="7"/>
    <x v="5"/>
    <n v="1096"/>
    <x v="1"/>
    <x v="5"/>
    <n v="576605"/>
  </r>
  <r>
    <x v="0"/>
    <x v="7"/>
    <x v="6"/>
    <n v="745"/>
    <x v="1"/>
    <x v="6"/>
    <n v="315629"/>
  </r>
  <r>
    <x v="1"/>
    <x v="0"/>
    <x v="1"/>
    <n v="2519"/>
    <x v="2"/>
    <x v="1"/>
    <n v="1828026"/>
  </r>
  <r>
    <x v="1"/>
    <x v="0"/>
    <x v="2"/>
    <n v="1741"/>
    <x v="2"/>
    <x v="2"/>
    <n v="1948246"/>
  </r>
  <r>
    <x v="1"/>
    <x v="0"/>
    <x v="3"/>
    <n v="327"/>
    <x v="2"/>
    <x v="3"/>
    <n v="463037"/>
  </r>
  <r>
    <x v="1"/>
    <x v="0"/>
    <x v="4"/>
    <n v="173"/>
    <x v="2"/>
    <x v="4"/>
    <n v="193081"/>
  </r>
  <r>
    <x v="1"/>
    <x v="0"/>
    <x v="5"/>
    <n v="360"/>
    <x v="2"/>
    <x v="5"/>
    <n v="580159"/>
  </r>
  <r>
    <x v="1"/>
    <x v="0"/>
    <x v="6"/>
    <n v="203"/>
    <x v="2"/>
    <x v="6"/>
    <n v="315151"/>
  </r>
  <r>
    <x v="1"/>
    <x v="1"/>
    <x v="1"/>
    <n v="1017"/>
    <x v="2"/>
    <x v="1"/>
    <n v="1828026"/>
  </r>
  <r>
    <x v="1"/>
    <x v="1"/>
    <x v="2"/>
    <n v="762"/>
    <x v="2"/>
    <x v="2"/>
    <n v="1948246"/>
  </r>
  <r>
    <x v="1"/>
    <x v="1"/>
    <x v="3"/>
    <n v="121"/>
    <x v="2"/>
    <x v="3"/>
    <n v="463037"/>
  </r>
  <r>
    <x v="1"/>
    <x v="1"/>
    <x v="4"/>
    <n v="87"/>
    <x v="2"/>
    <x v="4"/>
    <n v="193081"/>
  </r>
  <r>
    <x v="1"/>
    <x v="1"/>
    <x v="5"/>
    <n v="242"/>
    <x v="2"/>
    <x v="5"/>
    <n v="580159"/>
  </r>
  <r>
    <x v="1"/>
    <x v="1"/>
    <x v="6"/>
    <n v="117"/>
    <x v="2"/>
    <x v="6"/>
    <n v="315151"/>
  </r>
  <r>
    <x v="1"/>
    <x v="2"/>
    <x v="0"/>
    <n v="3"/>
    <x v="0"/>
    <x v="0"/>
    <m/>
  </r>
  <r>
    <x v="1"/>
    <x v="2"/>
    <x v="1"/>
    <n v="737"/>
    <x v="2"/>
    <x v="1"/>
    <n v="1828026"/>
  </r>
  <r>
    <x v="1"/>
    <x v="2"/>
    <x v="2"/>
    <n v="546"/>
    <x v="2"/>
    <x v="2"/>
    <n v="1948246"/>
  </r>
  <r>
    <x v="1"/>
    <x v="2"/>
    <x v="3"/>
    <n v="112"/>
    <x v="2"/>
    <x v="3"/>
    <n v="463037"/>
  </r>
  <r>
    <x v="1"/>
    <x v="2"/>
    <x v="4"/>
    <n v="44"/>
    <x v="2"/>
    <x v="4"/>
    <n v="193081"/>
  </r>
  <r>
    <x v="1"/>
    <x v="2"/>
    <x v="5"/>
    <n v="363"/>
    <x v="2"/>
    <x v="5"/>
    <n v="580159"/>
  </r>
  <r>
    <x v="1"/>
    <x v="2"/>
    <x v="6"/>
    <n v="133"/>
    <x v="2"/>
    <x v="6"/>
    <n v="315151"/>
  </r>
  <r>
    <x v="1"/>
    <x v="3"/>
    <x v="0"/>
    <n v="6"/>
    <x v="0"/>
    <x v="0"/>
    <m/>
  </r>
  <r>
    <x v="1"/>
    <x v="3"/>
    <x v="1"/>
    <n v="239"/>
    <x v="2"/>
    <x v="1"/>
    <n v="1828026"/>
  </r>
  <r>
    <x v="1"/>
    <x v="3"/>
    <x v="2"/>
    <n v="302"/>
    <x v="2"/>
    <x v="2"/>
    <n v="1948246"/>
  </r>
  <r>
    <x v="1"/>
    <x v="3"/>
    <x v="3"/>
    <n v="61"/>
    <x v="2"/>
    <x v="3"/>
    <n v="463037"/>
  </r>
  <r>
    <x v="1"/>
    <x v="3"/>
    <x v="4"/>
    <n v="22"/>
    <x v="2"/>
    <x v="4"/>
    <n v="193081"/>
  </r>
  <r>
    <x v="1"/>
    <x v="3"/>
    <x v="5"/>
    <n v="192"/>
    <x v="2"/>
    <x v="5"/>
    <n v="580159"/>
  </r>
  <r>
    <x v="1"/>
    <x v="3"/>
    <x v="6"/>
    <n v="92"/>
    <x v="2"/>
    <x v="6"/>
    <n v="315151"/>
  </r>
  <r>
    <x v="1"/>
    <x v="4"/>
    <x v="0"/>
    <n v="2"/>
    <x v="0"/>
    <x v="0"/>
    <m/>
  </r>
  <r>
    <x v="1"/>
    <x v="4"/>
    <x v="1"/>
    <n v="16593"/>
    <x v="2"/>
    <x v="1"/>
    <n v="1828026"/>
  </r>
  <r>
    <x v="1"/>
    <x v="4"/>
    <x v="2"/>
    <n v="11532"/>
    <x v="2"/>
    <x v="2"/>
    <n v="1948246"/>
  </r>
  <r>
    <x v="1"/>
    <x v="4"/>
    <x v="3"/>
    <n v="1807"/>
    <x v="2"/>
    <x v="3"/>
    <n v="463037"/>
  </r>
  <r>
    <x v="1"/>
    <x v="4"/>
    <x v="4"/>
    <n v="1231"/>
    <x v="2"/>
    <x v="4"/>
    <n v="193081"/>
  </r>
  <r>
    <x v="1"/>
    <x v="4"/>
    <x v="5"/>
    <n v="2428"/>
    <x v="2"/>
    <x v="5"/>
    <n v="580159"/>
  </r>
  <r>
    <x v="1"/>
    <x v="4"/>
    <x v="6"/>
    <n v="1620"/>
    <x v="2"/>
    <x v="6"/>
    <n v="315151"/>
  </r>
  <r>
    <x v="1"/>
    <x v="5"/>
    <x v="0"/>
    <n v="5"/>
    <x v="0"/>
    <x v="0"/>
    <m/>
  </r>
  <r>
    <x v="1"/>
    <x v="5"/>
    <x v="1"/>
    <n v="3815"/>
    <x v="2"/>
    <x v="1"/>
    <n v="1828026"/>
  </r>
  <r>
    <x v="1"/>
    <x v="5"/>
    <x v="2"/>
    <n v="3377"/>
    <x v="2"/>
    <x v="2"/>
    <n v="1948246"/>
  </r>
  <r>
    <x v="1"/>
    <x v="5"/>
    <x v="3"/>
    <n v="564"/>
    <x v="2"/>
    <x v="3"/>
    <n v="463037"/>
  </r>
  <r>
    <x v="1"/>
    <x v="5"/>
    <x v="4"/>
    <n v="310"/>
    <x v="2"/>
    <x v="4"/>
    <n v="193081"/>
  </r>
  <r>
    <x v="1"/>
    <x v="5"/>
    <x v="5"/>
    <n v="987"/>
    <x v="2"/>
    <x v="5"/>
    <n v="580159"/>
  </r>
  <r>
    <x v="1"/>
    <x v="5"/>
    <x v="6"/>
    <n v="559"/>
    <x v="2"/>
    <x v="6"/>
    <n v="315151"/>
  </r>
  <r>
    <x v="1"/>
    <x v="6"/>
    <x v="1"/>
    <n v="1283"/>
    <x v="2"/>
    <x v="1"/>
    <n v="1828026"/>
  </r>
  <r>
    <x v="1"/>
    <x v="6"/>
    <x v="2"/>
    <n v="797"/>
    <x v="2"/>
    <x v="2"/>
    <n v="1948246"/>
  </r>
  <r>
    <x v="1"/>
    <x v="6"/>
    <x v="3"/>
    <n v="96"/>
    <x v="2"/>
    <x v="3"/>
    <n v="463037"/>
  </r>
  <r>
    <x v="1"/>
    <x v="6"/>
    <x v="4"/>
    <n v="27"/>
    <x v="2"/>
    <x v="4"/>
    <n v="193081"/>
  </r>
  <r>
    <x v="1"/>
    <x v="6"/>
    <x v="5"/>
    <n v="127"/>
    <x v="2"/>
    <x v="5"/>
    <n v="580159"/>
  </r>
  <r>
    <x v="1"/>
    <x v="6"/>
    <x v="6"/>
    <n v="35"/>
    <x v="2"/>
    <x v="6"/>
    <n v="315151"/>
  </r>
  <r>
    <x v="1"/>
    <x v="7"/>
    <x v="0"/>
    <n v="37"/>
    <x v="0"/>
    <x v="0"/>
    <m/>
  </r>
  <r>
    <x v="1"/>
    <x v="7"/>
    <x v="1"/>
    <n v="6542"/>
    <x v="2"/>
    <x v="1"/>
    <n v="1828026"/>
  </r>
  <r>
    <x v="1"/>
    <x v="7"/>
    <x v="2"/>
    <n v="5924"/>
    <x v="2"/>
    <x v="2"/>
    <n v="1948246"/>
  </r>
  <r>
    <x v="1"/>
    <x v="7"/>
    <x v="3"/>
    <n v="964"/>
    <x v="2"/>
    <x v="3"/>
    <n v="463037"/>
  </r>
  <r>
    <x v="1"/>
    <x v="7"/>
    <x v="4"/>
    <n v="250"/>
    <x v="2"/>
    <x v="4"/>
    <n v="193081"/>
  </r>
  <r>
    <x v="1"/>
    <x v="7"/>
    <x v="5"/>
    <n v="1841"/>
    <x v="2"/>
    <x v="5"/>
    <n v="580159"/>
  </r>
  <r>
    <x v="1"/>
    <x v="7"/>
    <x v="6"/>
    <n v="803"/>
    <x v="2"/>
    <x v="6"/>
    <n v="315151"/>
  </r>
  <r>
    <x v="2"/>
    <x v="0"/>
    <x v="0"/>
    <n v="1"/>
    <x v="0"/>
    <x v="0"/>
    <m/>
  </r>
  <r>
    <x v="2"/>
    <x v="0"/>
    <x v="1"/>
    <n v="2580"/>
    <x v="3"/>
    <x v="1"/>
    <n v="1839393"/>
  </r>
  <r>
    <x v="2"/>
    <x v="0"/>
    <x v="2"/>
    <n v="1919"/>
    <x v="3"/>
    <x v="2"/>
    <n v="1951361"/>
  </r>
  <r>
    <x v="2"/>
    <x v="0"/>
    <x v="3"/>
    <n v="300"/>
    <x v="3"/>
    <x v="3"/>
    <n v="463205"/>
  </r>
  <r>
    <x v="2"/>
    <x v="0"/>
    <x v="4"/>
    <n v="175"/>
    <x v="3"/>
    <x v="4"/>
    <n v="192400"/>
  </r>
  <r>
    <x v="2"/>
    <x v="0"/>
    <x v="5"/>
    <n v="364"/>
    <x v="3"/>
    <x v="5"/>
    <n v="585566"/>
  </r>
  <r>
    <x v="2"/>
    <x v="0"/>
    <x v="6"/>
    <n v="235"/>
    <x v="3"/>
    <x v="6"/>
    <n v="315675"/>
  </r>
  <r>
    <x v="2"/>
    <x v="1"/>
    <x v="1"/>
    <n v="995"/>
    <x v="3"/>
    <x v="1"/>
    <n v="1839393"/>
  </r>
  <r>
    <x v="2"/>
    <x v="1"/>
    <x v="2"/>
    <n v="778"/>
    <x v="3"/>
    <x v="2"/>
    <n v="1951361"/>
  </r>
  <r>
    <x v="2"/>
    <x v="1"/>
    <x v="3"/>
    <n v="104"/>
    <x v="3"/>
    <x v="3"/>
    <n v="463205"/>
  </r>
  <r>
    <x v="2"/>
    <x v="1"/>
    <x v="4"/>
    <n v="76"/>
    <x v="3"/>
    <x v="4"/>
    <n v="192400"/>
  </r>
  <r>
    <x v="2"/>
    <x v="1"/>
    <x v="5"/>
    <n v="254"/>
    <x v="3"/>
    <x v="5"/>
    <n v="585566"/>
  </r>
  <r>
    <x v="2"/>
    <x v="1"/>
    <x v="6"/>
    <n v="117"/>
    <x v="3"/>
    <x v="6"/>
    <n v="315675"/>
  </r>
  <r>
    <x v="2"/>
    <x v="2"/>
    <x v="0"/>
    <n v="1"/>
    <x v="0"/>
    <x v="0"/>
    <m/>
  </r>
  <r>
    <x v="2"/>
    <x v="2"/>
    <x v="1"/>
    <n v="692"/>
    <x v="3"/>
    <x v="1"/>
    <n v="1839393"/>
  </r>
  <r>
    <x v="2"/>
    <x v="2"/>
    <x v="2"/>
    <n v="564"/>
    <x v="3"/>
    <x v="2"/>
    <n v="1951361"/>
  </r>
  <r>
    <x v="2"/>
    <x v="2"/>
    <x v="3"/>
    <n v="98"/>
    <x v="3"/>
    <x v="3"/>
    <n v="463205"/>
  </r>
  <r>
    <x v="2"/>
    <x v="2"/>
    <x v="4"/>
    <n v="35"/>
    <x v="3"/>
    <x v="4"/>
    <n v="192400"/>
  </r>
  <r>
    <x v="2"/>
    <x v="2"/>
    <x v="5"/>
    <n v="364"/>
    <x v="3"/>
    <x v="5"/>
    <n v="585566"/>
  </r>
  <r>
    <x v="2"/>
    <x v="2"/>
    <x v="6"/>
    <n v="143"/>
    <x v="3"/>
    <x v="6"/>
    <n v="315675"/>
  </r>
  <r>
    <x v="2"/>
    <x v="3"/>
    <x v="0"/>
    <n v="3"/>
    <x v="0"/>
    <x v="0"/>
    <m/>
  </r>
  <r>
    <x v="2"/>
    <x v="3"/>
    <x v="1"/>
    <n v="226"/>
    <x v="3"/>
    <x v="1"/>
    <n v="1839393"/>
  </r>
  <r>
    <x v="2"/>
    <x v="3"/>
    <x v="2"/>
    <n v="285"/>
    <x v="3"/>
    <x v="2"/>
    <n v="1951361"/>
  </r>
  <r>
    <x v="2"/>
    <x v="3"/>
    <x v="3"/>
    <n v="54"/>
    <x v="3"/>
    <x v="3"/>
    <n v="463205"/>
  </r>
  <r>
    <x v="2"/>
    <x v="3"/>
    <x v="4"/>
    <n v="16"/>
    <x v="3"/>
    <x v="4"/>
    <n v="192400"/>
  </r>
  <r>
    <x v="2"/>
    <x v="3"/>
    <x v="5"/>
    <n v="159"/>
    <x v="3"/>
    <x v="5"/>
    <n v="585566"/>
  </r>
  <r>
    <x v="2"/>
    <x v="3"/>
    <x v="6"/>
    <n v="95"/>
    <x v="3"/>
    <x v="6"/>
    <n v="315675"/>
  </r>
  <r>
    <x v="2"/>
    <x v="4"/>
    <x v="0"/>
    <n v="1"/>
    <x v="0"/>
    <x v="0"/>
    <m/>
  </r>
  <r>
    <x v="2"/>
    <x v="4"/>
    <x v="1"/>
    <n v="17286"/>
    <x v="3"/>
    <x v="1"/>
    <n v="1839393"/>
  </r>
  <r>
    <x v="2"/>
    <x v="4"/>
    <x v="2"/>
    <n v="12260"/>
    <x v="3"/>
    <x v="2"/>
    <n v="1951361"/>
  </r>
  <r>
    <x v="2"/>
    <x v="4"/>
    <x v="3"/>
    <n v="1949"/>
    <x v="3"/>
    <x v="3"/>
    <n v="463205"/>
  </r>
  <r>
    <x v="2"/>
    <x v="4"/>
    <x v="4"/>
    <n v="1350"/>
    <x v="3"/>
    <x v="4"/>
    <n v="192400"/>
  </r>
  <r>
    <x v="2"/>
    <x v="4"/>
    <x v="5"/>
    <n v="2741"/>
    <x v="3"/>
    <x v="5"/>
    <n v="585566"/>
  </r>
  <r>
    <x v="2"/>
    <x v="4"/>
    <x v="6"/>
    <n v="1750"/>
    <x v="3"/>
    <x v="6"/>
    <n v="315675"/>
  </r>
  <r>
    <x v="2"/>
    <x v="5"/>
    <x v="0"/>
    <n v="3"/>
    <x v="0"/>
    <x v="0"/>
    <m/>
  </r>
  <r>
    <x v="2"/>
    <x v="5"/>
    <x v="1"/>
    <n v="3670"/>
    <x v="3"/>
    <x v="1"/>
    <n v="1839393"/>
  </r>
  <r>
    <x v="2"/>
    <x v="5"/>
    <x v="2"/>
    <n v="3125"/>
    <x v="3"/>
    <x v="2"/>
    <n v="1951361"/>
  </r>
  <r>
    <x v="2"/>
    <x v="5"/>
    <x v="3"/>
    <n v="566"/>
    <x v="3"/>
    <x v="3"/>
    <n v="463205"/>
  </r>
  <r>
    <x v="2"/>
    <x v="5"/>
    <x v="4"/>
    <n v="312"/>
    <x v="3"/>
    <x v="4"/>
    <n v="192400"/>
  </r>
  <r>
    <x v="2"/>
    <x v="5"/>
    <x v="5"/>
    <n v="1005"/>
    <x v="3"/>
    <x v="5"/>
    <n v="585566"/>
  </r>
  <r>
    <x v="2"/>
    <x v="5"/>
    <x v="6"/>
    <n v="575"/>
    <x v="3"/>
    <x v="6"/>
    <n v="315675"/>
  </r>
  <r>
    <x v="2"/>
    <x v="6"/>
    <x v="0"/>
    <n v="1"/>
    <x v="0"/>
    <x v="0"/>
    <m/>
  </r>
  <r>
    <x v="2"/>
    <x v="6"/>
    <x v="1"/>
    <n v="1143"/>
    <x v="3"/>
    <x v="1"/>
    <n v="1839393"/>
  </r>
  <r>
    <x v="2"/>
    <x v="6"/>
    <x v="2"/>
    <n v="647"/>
    <x v="3"/>
    <x v="2"/>
    <n v="1951361"/>
  </r>
  <r>
    <x v="2"/>
    <x v="6"/>
    <x v="3"/>
    <n v="63"/>
    <x v="3"/>
    <x v="3"/>
    <n v="463205"/>
  </r>
  <r>
    <x v="2"/>
    <x v="6"/>
    <x v="4"/>
    <n v="47"/>
    <x v="3"/>
    <x v="4"/>
    <n v="192400"/>
  </r>
  <r>
    <x v="2"/>
    <x v="6"/>
    <x v="5"/>
    <n v="129"/>
    <x v="3"/>
    <x v="5"/>
    <n v="585566"/>
  </r>
  <r>
    <x v="2"/>
    <x v="6"/>
    <x v="6"/>
    <n v="26"/>
    <x v="3"/>
    <x v="6"/>
    <n v="315675"/>
  </r>
  <r>
    <x v="2"/>
    <x v="7"/>
    <x v="0"/>
    <n v="17"/>
    <x v="0"/>
    <x v="0"/>
    <m/>
  </r>
  <r>
    <x v="2"/>
    <x v="7"/>
    <x v="1"/>
    <n v="5845"/>
    <x v="3"/>
    <x v="1"/>
    <n v="1839393"/>
  </r>
  <r>
    <x v="2"/>
    <x v="7"/>
    <x v="2"/>
    <n v="4924"/>
    <x v="3"/>
    <x v="2"/>
    <n v="1951361"/>
  </r>
  <r>
    <x v="2"/>
    <x v="7"/>
    <x v="3"/>
    <n v="747"/>
    <x v="3"/>
    <x v="3"/>
    <n v="463205"/>
  </r>
  <r>
    <x v="2"/>
    <x v="7"/>
    <x v="4"/>
    <n v="194"/>
    <x v="3"/>
    <x v="4"/>
    <n v="192400"/>
  </r>
  <r>
    <x v="2"/>
    <x v="7"/>
    <x v="5"/>
    <n v="1253"/>
    <x v="3"/>
    <x v="5"/>
    <n v="585566"/>
  </r>
  <r>
    <x v="2"/>
    <x v="7"/>
    <x v="6"/>
    <n v="426"/>
    <x v="3"/>
    <x v="6"/>
    <n v="315675"/>
  </r>
  <r>
    <x v="3"/>
    <x v="0"/>
    <x v="1"/>
    <n v="2641"/>
    <x v="4"/>
    <x v="1"/>
    <n v="1854344"/>
  </r>
  <r>
    <x v="3"/>
    <x v="0"/>
    <x v="2"/>
    <n v="1930"/>
    <x v="4"/>
    <x v="2"/>
    <n v="1956221"/>
  </r>
  <r>
    <x v="3"/>
    <x v="0"/>
    <x v="3"/>
    <n v="372"/>
    <x v="4"/>
    <x v="3"/>
    <n v="463264"/>
  </r>
  <r>
    <x v="3"/>
    <x v="0"/>
    <x v="4"/>
    <n v="168"/>
    <x v="4"/>
    <x v="4"/>
    <n v="192266"/>
  </r>
  <r>
    <x v="3"/>
    <x v="0"/>
    <x v="5"/>
    <n v="360"/>
    <x v="4"/>
    <x v="5"/>
    <n v="591482"/>
  </r>
  <r>
    <x v="3"/>
    <x v="0"/>
    <x v="6"/>
    <n v="202"/>
    <x v="4"/>
    <x v="6"/>
    <n v="315423"/>
  </r>
  <r>
    <x v="3"/>
    <x v="1"/>
    <x v="0"/>
    <n v="2"/>
    <x v="0"/>
    <x v="0"/>
    <m/>
  </r>
  <r>
    <x v="3"/>
    <x v="1"/>
    <x v="1"/>
    <n v="1067"/>
    <x v="4"/>
    <x v="1"/>
    <n v="1854344"/>
  </r>
  <r>
    <x v="3"/>
    <x v="1"/>
    <x v="2"/>
    <n v="861"/>
    <x v="4"/>
    <x v="2"/>
    <n v="1956221"/>
  </r>
  <r>
    <x v="3"/>
    <x v="1"/>
    <x v="3"/>
    <n v="129"/>
    <x v="4"/>
    <x v="3"/>
    <n v="463264"/>
  </r>
  <r>
    <x v="3"/>
    <x v="1"/>
    <x v="4"/>
    <n v="76"/>
    <x v="4"/>
    <x v="4"/>
    <n v="192266"/>
  </r>
  <r>
    <x v="3"/>
    <x v="1"/>
    <x v="5"/>
    <n v="224"/>
    <x v="4"/>
    <x v="5"/>
    <n v="591482"/>
  </r>
  <r>
    <x v="3"/>
    <x v="1"/>
    <x v="6"/>
    <n v="135"/>
    <x v="4"/>
    <x v="6"/>
    <n v="315423"/>
  </r>
  <r>
    <x v="3"/>
    <x v="2"/>
    <x v="0"/>
    <n v="1"/>
    <x v="0"/>
    <x v="0"/>
    <m/>
  </r>
  <r>
    <x v="3"/>
    <x v="2"/>
    <x v="1"/>
    <n v="725"/>
    <x v="4"/>
    <x v="1"/>
    <n v="1854344"/>
  </r>
  <r>
    <x v="3"/>
    <x v="2"/>
    <x v="2"/>
    <n v="579"/>
    <x v="4"/>
    <x v="2"/>
    <n v="1956221"/>
  </r>
  <r>
    <x v="3"/>
    <x v="2"/>
    <x v="3"/>
    <n v="108"/>
    <x v="4"/>
    <x v="3"/>
    <n v="463264"/>
  </r>
  <r>
    <x v="3"/>
    <x v="2"/>
    <x v="4"/>
    <n v="33"/>
    <x v="4"/>
    <x v="4"/>
    <n v="192266"/>
  </r>
  <r>
    <x v="3"/>
    <x v="2"/>
    <x v="5"/>
    <n v="380"/>
    <x v="4"/>
    <x v="5"/>
    <n v="591482"/>
  </r>
  <r>
    <x v="3"/>
    <x v="2"/>
    <x v="6"/>
    <n v="139"/>
    <x v="4"/>
    <x v="6"/>
    <n v="315423"/>
  </r>
  <r>
    <x v="3"/>
    <x v="3"/>
    <x v="0"/>
    <n v="11"/>
    <x v="0"/>
    <x v="0"/>
    <m/>
  </r>
  <r>
    <x v="3"/>
    <x v="3"/>
    <x v="1"/>
    <n v="237"/>
    <x v="4"/>
    <x v="1"/>
    <n v="1854344"/>
  </r>
  <r>
    <x v="3"/>
    <x v="3"/>
    <x v="2"/>
    <n v="266"/>
    <x v="4"/>
    <x v="2"/>
    <n v="1956221"/>
  </r>
  <r>
    <x v="3"/>
    <x v="3"/>
    <x v="3"/>
    <n v="74"/>
    <x v="4"/>
    <x v="3"/>
    <n v="463264"/>
  </r>
  <r>
    <x v="3"/>
    <x v="3"/>
    <x v="4"/>
    <n v="17"/>
    <x v="4"/>
    <x v="4"/>
    <n v="192266"/>
  </r>
  <r>
    <x v="3"/>
    <x v="3"/>
    <x v="5"/>
    <n v="190"/>
    <x v="4"/>
    <x v="5"/>
    <n v="591482"/>
  </r>
  <r>
    <x v="3"/>
    <x v="3"/>
    <x v="6"/>
    <n v="79"/>
    <x v="4"/>
    <x v="6"/>
    <n v="315423"/>
  </r>
  <r>
    <x v="3"/>
    <x v="4"/>
    <x v="0"/>
    <n v="11"/>
    <x v="0"/>
    <x v="0"/>
    <m/>
  </r>
  <r>
    <x v="3"/>
    <x v="4"/>
    <x v="1"/>
    <n v="17295"/>
    <x v="4"/>
    <x v="1"/>
    <n v="1854344"/>
  </r>
  <r>
    <x v="3"/>
    <x v="4"/>
    <x v="2"/>
    <n v="12430"/>
    <x v="4"/>
    <x v="2"/>
    <n v="1956221"/>
  </r>
  <r>
    <x v="3"/>
    <x v="4"/>
    <x v="3"/>
    <n v="2098"/>
    <x v="4"/>
    <x v="3"/>
    <n v="463264"/>
  </r>
  <r>
    <x v="3"/>
    <x v="4"/>
    <x v="4"/>
    <n v="1204"/>
    <x v="4"/>
    <x v="4"/>
    <n v="192266"/>
  </r>
  <r>
    <x v="3"/>
    <x v="4"/>
    <x v="5"/>
    <n v="2917"/>
    <x v="4"/>
    <x v="5"/>
    <n v="591482"/>
  </r>
  <r>
    <x v="3"/>
    <x v="4"/>
    <x v="6"/>
    <n v="1666"/>
    <x v="4"/>
    <x v="6"/>
    <n v="315423"/>
  </r>
  <r>
    <x v="3"/>
    <x v="5"/>
    <x v="0"/>
    <n v="10"/>
    <x v="0"/>
    <x v="0"/>
    <m/>
  </r>
  <r>
    <x v="3"/>
    <x v="5"/>
    <x v="1"/>
    <n v="3311"/>
    <x v="4"/>
    <x v="1"/>
    <n v="1854344"/>
  </r>
  <r>
    <x v="3"/>
    <x v="5"/>
    <x v="2"/>
    <n v="3042"/>
    <x v="4"/>
    <x v="2"/>
    <n v="1956221"/>
  </r>
  <r>
    <x v="3"/>
    <x v="5"/>
    <x v="3"/>
    <n v="621"/>
    <x v="4"/>
    <x v="3"/>
    <n v="463264"/>
  </r>
  <r>
    <x v="3"/>
    <x v="5"/>
    <x v="4"/>
    <n v="334"/>
    <x v="4"/>
    <x v="4"/>
    <n v="192266"/>
  </r>
  <r>
    <x v="3"/>
    <x v="5"/>
    <x v="5"/>
    <n v="969"/>
    <x v="4"/>
    <x v="5"/>
    <n v="591482"/>
  </r>
  <r>
    <x v="3"/>
    <x v="5"/>
    <x v="6"/>
    <n v="563"/>
    <x v="4"/>
    <x v="6"/>
    <n v="315423"/>
  </r>
  <r>
    <x v="3"/>
    <x v="6"/>
    <x v="1"/>
    <n v="1270"/>
    <x v="4"/>
    <x v="1"/>
    <n v="1854344"/>
  </r>
  <r>
    <x v="3"/>
    <x v="6"/>
    <x v="2"/>
    <n v="746"/>
    <x v="4"/>
    <x v="2"/>
    <n v="1956221"/>
  </r>
  <r>
    <x v="3"/>
    <x v="6"/>
    <x v="3"/>
    <n v="82"/>
    <x v="4"/>
    <x v="3"/>
    <n v="463264"/>
  </r>
  <r>
    <x v="3"/>
    <x v="6"/>
    <x v="4"/>
    <n v="44"/>
    <x v="4"/>
    <x v="4"/>
    <n v="192266"/>
  </r>
  <r>
    <x v="3"/>
    <x v="6"/>
    <x v="5"/>
    <n v="203"/>
    <x v="4"/>
    <x v="5"/>
    <n v="591482"/>
  </r>
  <r>
    <x v="3"/>
    <x v="6"/>
    <x v="6"/>
    <n v="30"/>
    <x v="4"/>
    <x v="6"/>
    <n v="315423"/>
  </r>
  <r>
    <x v="3"/>
    <x v="7"/>
    <x v="0"/>
    <n v="26"/>
    <x v="0"/>
    <x v="0"/>
    <m/>
  </r>
  <r>
    <x v="3"/>
    <x v="7"/>
    <x v="1"/>
    <n v="6390"/>
    <x v="4"/>
    <x v="1"/>
    <n v="1854344"/>
  </r>
  <r>
    <x v="3"/>
    <x v="7"/>
    <x v="2"/>
    <n v="5328"/>
    <x v="4"/>
    <x v="2"/>
    <n v="1956221"/>
  </r>
  <r>
    <x v="3"/>
    <x v="7"/>
    <x v="3"/>
    <n v="795"/>
    <x v="4"/>
    <x v="3"/>
    <n v="463264"/>
  </r>
  <r>
    <x v="3"/>
    <x v="7"/>
    <x v="4"/>
    <n v="200"/>
    <x v="4"/>
    <x v="4"/>
    <n v="192266"/>
  </r>
  <r>
    <x v="3"/>
    <x v="7"/>
    <x v="5"/>
    <n v="1471"/>
    <x v="4"/>
    <x v="5"/>
    <n v="591482"/>
  </r>
  <r>
    <x v="3"/>
    <x v="7"/>
    <x v="6"/>
    <n v="522"/>
    <x v="4"/>
    <x v="6"/>
    <n v="315423"/>
  </r>
  <r>
    <x v="4"/>
    <x v="0"/>
    <x v="1"/>
    <n v="2543"/>
    <x v="5"/>
    <x v="1"/>
    <n v="1872642"/>
  </r>
  <r>
    <x v="4"/>
    <x v="0"/>
    <x v="2"/>
    <n v="1894"/>
    <x v="5"/>
    <x v="2"/>
    <n v="1960470"/>
  </r>
  <r>
    <x v="4"/>
    <x v="0"/>
    <x v="3"/>
    <n v="360"/>
    <x v="5"/>
    <x v="3"/>
    <n v="465834"/>
  </r>
  <r>
    <x v="4"/>
    <x v="0"/>
    <x v="4"/>
    <n v="183"/>
    <x v="5"/>
    <x v="4"/>
    <n v="192175"/>
  </r>
  <r>
    <x v="4"/>
    <x v="0"/>
    <x v="5"/>
    <n v="379"/>
    <x v="5"/>
    <x v="5"/>
    <n v="598082"/>
  </r>
  <r>
    <x v="4"/>
    <x v="0"/>
    <x v="6"/>
    <n v="181"/>
    <x v="5"/>
    <x v="6"/>
    <n v="315497"/>
  </r>
  <r>
    <x v="4"/>
    <x v="1"/>
    <x v="1"/>
    <n v="980"/>
    <x v="5"/>
    <x v="1"/>
    <n v="1872642"/>
  </r>
  <r>
    <x v="4"/>
    <x v="1"/>
    <x v="2"/>
    <n v="746"/>
    <x v="5"/>
    <x v="2"/>
    <n v="1960470"/>
  </r>
  <r>
    <x v="4"/>
    <x v="1"/>
    <x v="3"/>
    <n v="128"/>
    <x v="5"/>
    <x v="3"/>
    <n v="465834"/>
  </r>
  <r>
    <x v="4"/>
    <x v="1"/>
    <x v="4"/>
    <n v="75"/>
    <x v="5"/>
    <x v="4"/>
    <n v="192175"/>
  </r>
  <r>
    <x v="4"/>
    <x v="1"/>
    <x v="5"/>
    <n v="233"/>
    <x v="5"/>
    <x v="5"/>
    <n v="598082"/>
  </r>
  <r>
    <x v="4"/>
    <x v="1"/>
    <x v="6"/>
    <n v="115"/>
    <x v="5"/>
    <x v="6"/>
    <n v="315497"/>
  </r>
  <r>
    <x v="4"/>
    <x v="2"/>
    <x v="0"/>
    <n v="1"/>
    <x v="0"/>
    <x v="0"/>
    <m/>
  </r>
  <r>
    <x v="4"/>
    <x v="2"/>
    <x v="1"/>
    <n v="795"/>
    <x v="5"/>
    <x v="1"/>
    <n v="1872642"/>
  </r>
  <r>
    <x v="4"/>
    <x v="2"/>
    <x v="2"/>
    <n v="604"/>
    <x v="5"/>
    <x v="2"/>
    <n v="1960470"/>
  </r>
  <r>
    <x v="4"/>
    <x v="2"/>
    <x v="3"/>
    <n v="132"/>
    <x v="5"/>
    <x v="3"/>
    <n v="465834"/>
  </r>
  <r>
    <x v="4"/>
    <x v="2"/>
    <x v="4"/>
    <n v="29"/>
    <x v="5"/>
    <x v="4"/>
    <n v="192175"/>
  </r>
  <r>
    <x v="4"/>
    <x v="2"/>
    <x v="5"/>
    <n v="414"/>
    <x v="5"/>
    <x v="5"/>
    <n v="598082"/>
  </r>
  <r>
    <x v="4"/>
    <x v="2"/>
    <x v="6"/>
    <n v="145"/>
    <x v="5"/>
    <x v="6"/>
    <n v="315497"/>
  </r>
  <r>
    <x v="4"/>
    <x v="3"/>
    <x v="0"/>
    <n v="5"/>
    <x v="0"/>
    <x v="0"/>
    <m/>
  </r>
  <r>
    <x v="4"/>
    <x v="3"/>
    <x v="1"/>
    <n v="265"/>
    <x v="5"/>
    <x v="1"/>
    <n v="1872642"/>
  </r>
  <r>
    <x v="4"/>
    <x v="3"/>
    <x v="2"/>
    <n v="341"/>
    <x v="5"/>
    <x v="2"/>
    <n v="1960470"/>
  </r>
  <r>
    <x v="4"/>
    <x v="3"/>
    <x v="3"/>
    <n v="72"/>
    <x v="5"/>
    <x v="3"/>
    <n v="465834"/>
  </r>
  <r>
    <x v="4"/>
    <x v="3"/>
    <x v="4"/>
    <n v="17"/>
    <x v="5"/>
    <x v="4"/>
    <n v="192175"/>
  </r>
  <r>
    <x v="4"/>
    <x v="3"/>
    <x v="5"/>
    <n v="190"/>
    <x v="5"/>
    <x v="5"/>
    <n v="598082"/>
  </r>
  <r>
    <x v="4"/>
    <x v="3"/>
    <x v="6"/>
    <n v="67"/>
    <x v="5"/>
    <x v="6"/>
    <n v="315497"/>
  </r>
  <r>
    <x v="4"/>
    <x v="4"/>
    <x v="0"/>
    <n v="13"/>
    <x v="0"/>
    <x v="0"/>
    <m/>
  </r>
  <r>
    <x v="4"/>
    <x v="4"/>
    <x v="1"/>
    <n v="17900"/>
    <x v="5"/>
    <x v="1"/>
    <n v="1872642"/>
  </r>
  <r>
    <x v="4"/>
    <x v="4"/>
    <x v="2"/>
    <n v="13514"/>
    <x v="5"/>
    <x v="2"/>
    <n v="1960470"/>
  </r>
  <r>
    <x v="4"/>
    <x v="4"/>
    <x v="3"/>
    <n v="2250"/>
    <x v="5"/>
    <x v="3"/>
    <n v="465834"/>
  </r>
  <r>
    <x v="4"/>
    <x v="4"/>
    <x v="4"/>
    <n v="1225"/>
    <x v="5"/>
    <x v="4"/>
    <n v="192175"/>
  </r>
  <r>
    <x v="4"/>
    <x v="4"/>
    <x v="5"/>
    <n v="3021"/>
    <x v="5"/>
    <x v="5"/>
    <n v="598082"/>
  </r>
  <r>
    <x v="4"/>
    <x v="4"/>
    <x v="6"/>
    <n v="1707"/>
    <x v="5"/>
    <x v="6"/>
    <n v="315497"/>
  </r>
  <r>
    <x v="4"/>
    <x v="5"/>
    <x v="0"/>
    <n v="13"/>
    <x v="0"/>
    <x v="0"/>
    <m/>
  </r>
  <r>
    <x v="4"/>
    <x v="5"/>
    <x v="1"/>
    <n v="3269"/>
    <x v="5"/>
    <x v="1"/>
    <n v="1872642"/>
  </r>
  <r>
    <x v="4"/>
    <x v="5"/>
    <x v="2"/>
    <n v="3176"/>
    <x v="5"/>
    <x v="2"/>
    <n v="1960470"/>
  </r>
  <r>
    <x v="4"/>
    <x v="5"/>
    <x v="3"/>
    <n v="675"/>
    <x v="5"/>
    <x v="3"/>
    <n v="465834"/>
  </r>
  <r>
    <x v="4"/>
    <x v="5"/>
    <x v="4"/>
    <n v="327"/>
    <x v="5"/>
    <x v="4"/>
    <n v="192175"/>
  </r>
  <r>
    <x v="4"/>
    <x v="5"/>
    <x v="5"/>
    <n v="947"/>
    <x v="5"/>
    <x v="5"/>
    <n v="598082"/>
  </r>
  <r>
    <x v="4"/>
    <x v="5"/>
    <x v="6"/>
    <n v="550"/>
    <x v="5"/>
    <x v="6"/>
    <n v="315497"/>
  </r>
  <r>
    <x v="4"/>
    <x v="6"/>
    <x v="0"/>
    <n v="1"/>
    <x v="0"/>
    <x v="0"/>
    <m/>
  </r>
  <r>
    <x v="4"/>
    <x v="6"/>
    <x v="1"/>
    <n v="1275"/>
    <x v="5"/>
    <x v="1"/>
    <n v="1872642"/>
  </r>
  <r>
    <x v="4"/>
    <x v="6"/>
    <x v="2"/>
    <n v="720"/>
    <x v="5"/>
    <x v="2"/>
    <n v="1960470"/>
  </r>
  <r>
    <x v="4"/>
    <x v="6"/>
    <x v="3"/>
    <n v="100"/>
    <x v="5"/>
    <x v="3"/>
    <n v="465834"/>
  </r>
  <r>
    <x v="4"/>
    <x v="6"/>
    <x v="4"/>
    <n v="55"/>
    <x v="5"/>
    <x v="4"/>
    <n v="192175"/>
  </r>
  <r>
    <x v="4"/>
    <x v="6"/>
    <x v="5"/>
    <n v="97"/>
    <x v="5"/>
    <x v="5"/>
    <n v="598082"/>
  </r>
  <r>
    <x v="4"/>
    <x v="6"/>
    <x v="6"/>
    <n v="33"/>
    <x v="5"/>
    <x v="6"/>
    <n v="315497"/>
  </r>
  <r>
    <x v="4"/>
    <x v="7"/>
    <x v="0"/>
    <n v="31"/>
    <x v="0"/>
    <x v="0"/>
    <m/>
  </r>
  <r>
    <x v="4"/>
    <x v="7"/>
    <x v="1"/>
    <n v="6696"/>
    <x v="5"/>
    <x v="1"/>
    <n v="1872642"/>
  </r>
  <r>
    <x v="4"/>
    <x v="7"/>
    <x v="2"/>
    <n v="5731"/>
    <x v="5"/>
    <x v="2"/>
    <n v="1960470"/>
  </r>
  <r>
    <x v="4"/>
    <x v="7"/>
    <x v="3"/>
    <n v="916"/>
    <x v="5"/>
    <x v="3"/>
    <n v="465834"/>
  </r>
  <r>
    <x v="4"/>
    <x v="7"/>
    <x v="4"/>
    <n v="175"/>
    <x v="5"/>
    <x v="4"/>
    <n v="192175"/>
  </r>
  <r>
    <x v="4"/>
    <x v="7"/>
    <x v="5"/>
    <n v="1517"/>
    <x v="5"/>
    <x v="5"/>
    <n v="598082"/>
  </r>
  <r>
    <x v="4"/>
    <x v="7"/>
    <x v="6"/>
    <n v="594"/>
    <x v="5"/>
    <x v="6"/>
    <n v="315497"/>
  </r>
  <r>
    <x v="5"/>
    <x v="0"/>
    <x v="1"/>
    <n v="2415"/>
    <x v="6"/>
    <x v="1"/>
    <n v="1884644"/>
  </r>
  <r>
    <x v="5"/>
    <x v="0"/>
    <x v="2"/>
    <n v="1903"/>
    <x v="6"/>
    <x v="2"/>
    <n v="1961709"/>
  </r>
  <r>
    <x v="5"/>
    <x v="0"/>
    <x v="3"/>
    <n v="324"/>
    <x v="6"/>
    <x v="3"/>
    <n v="467115"/>
  </r>
  <r>
    <x v="5"/>
    <x v="0"/>
    <x v="4"/>
    <n v="143"/>
    <x v="6"/>
    <x v="4"/>
    <n v="191497"/>
  </r>
  <r>
    <x v="5"/>
    <x v="0"/>
    <x v="5"/>
    <n v="326"/>
    <x v="6"/>
    <x v="5"/>
    <n v="603678"/>
  </r>
  <r>
    <x v="5"/>
    <x v="0"/>
    <x v="6"/>
    <n v="200"/>
    <x v="6"/>
    <x v="6"/>
    <n v="316157"/>
  </r>
  <r>
    <x v="5"/>
    <x v="1"/>
    <x v="0"/>
    <n v="1"/>
    <x v="0"/>
    <x v="0"/>
    <m/>
  </r>
  <r>
    <x v="5"/>
    <x v="1"/>
    <x v="1"/>
    <n v="885"/>
    <x v="6"/>
    <x v="1"/>
    <n v="1884644"/>
  </r>
  <r>
    <x v="5"/>
    <x v="1"/>
    <x v="2"/>
    <n v="810"/>
    <x v="6"/>
    <x v="2"/>
    <n v="1961709"/>
  </r>
  <r>
    <x v="5"/>
    <x v="1"/>
    <x v="3"/>
    <n v="145"/>
    <x v="6"/>
    <x v="3"/>
    <n v="467115"/>
  </r>
  <r>
    <x v="5"/>
    <x v="1"/>
    <x v="4"/>
    <n v="59"/>
    <x v="6"/>
    <x v="4"/>
    <n v="191497"/>
  </r>
  <r>
    <x v="5"/>
    <x v="1"/>
    <x v="5"/>
    <n v="265"/>
    <x v="6"/>
    <x v="5"/>
    <n v="603678"/>
  </r>
  <r>
    <x v="5"/>
    <x v="1"/>
    <x v="6"/>
    <n v="122"/>
    <x v="6"/>
    <x v="6"/>
    <n v="316157"/>
  </r>
  <r>
    <x v="5"/>
    <x v="2"/>
    <x v="0"/>
    <n v="2"/>
    <x v="0"/>
    <x v="0"/>
    <m/>
  </r>
  <r>
    <x v="5"/>
    <x v="2"/>
    <x v="1"/>
    <n v="726"/>
    <x v="6"/>
    <x v="1"/>
    <n v="1884644"/>
  </r>
  <r>
    <x v="5"/>
    <x v="2"/>
    <x v="2"/>
    <n v="636"/>
    <x v="6"/>
    <x v="2"/>
    <n v="1961709"/>
  </r>
  <r>
    <x v="5"/>
    <x v="2"/>
    <x v="3"/>
    <n v="120"/>
    <x v="6"/>
    <x v="3"/>
    <n v="467115"/>
  </r>
  <r>
    <x v="5"/>
    <x v="2"/>
    <x v="4"/>
    <n v="39"/>
    <x v="6"/>
    <x v="4"/>
    <n v="191497"/>
  </r>
  <r>
    <x v="5"/>
    <x v="2"/>
    <x v="5"/>
    <n v="368"/>
    <x v="6"/>
    <x v="5"/>
    <n v="603678"/>
  </r>
  <r>
    <x v="5"/>
    <x v="2"/>
    <x v="6"/>
    <n v="125"/>
    <x v="6"/>
    <x v="6"/>
    <n v="316157"/>
  </r>
  <r>
    <x v="5"/>
    <x v="3"/>
    <x v="0"/>
    <n v="10"/>
    <x v="0"/>
    <x v="0"/>
    <m/>
  </r>
  <r>
    <x v="5"/>
    <x v="3"/>
    <x v="1"/>
    <n v="258"/>
    <x v="6"/>
    <x v="1"/>
    <n v="1884644"/>
  </r>
  <r>
    <x v="5"/>
    <x v="3"/>
    <x v="2"/>
    <n v="361"/>
    <x v="6"/>
    <x v="2"/>
    <n v="1961709"/>
  </r>
  <r>
    <x v="5"/>
    <x v="3"/>
    <x v="3"/>
    <n v="80"/>
    <x v="6"/>
    <x v="3"/>
    <n v="467115"/>
  </r>
  <r>
    <x v="5"/>
    <x v="3"/>
    <x v="4"/>
    <n v="13"/>
    <x v="6"/>
    <x v="4"/>
    <n v="191497"/>
  </r>
  <r>
    <x v="5"/>
    <x v="3"/>
    <x v="5"/>
    <n v="252"/>
    <x v="6"/>
    <x v="5"/>
    <n v="603678"/>
  </r>
  <r>
    <x v="5"/>
    <x v="3"/>
    <x v="6"/>
    <n v="84"/>
    <x v="6"/>
    <x v="6"/>
    <n v="316157"/>
  </r>
  <r>
    <x v="5"/>
    <x v="4"/>
    <x v="0"/>
    <n v="11"/>
    <x v="0"/>
    <x v="0"/>
    <m/>
  </r>
  <r>
    <x v="5"/>
    <x v="4"/>
    <x v="1"/>
    <n v="18087"/>
    <x v="6"/>
    <x v="1"/>
    <n v="1884644"/>
  </r>
  <r>
    <x v="5"/>
    <x v="4"/>
    <x v="2"/>
    <n v="13627"/>
    <x v="6"/>
    <x v="2"/>
    <n v="1961709"/>
  </r>
  <r>
    <x v="5"/>
    <x v="4"/>
    <x v="3"/>
    <n v="2417"/>
    <x v="6"/>
    <x v="3"/>
    <n v="467115"/>
  </r>
  <r>
    <x v="5"/>
    <x v="4"/>
    <x v="4"/>
    <n v="1350"/>
    <x v="6"/>
    <x v="4"/>
    <n v="191497"/>
  </r>
  <r>
    <x v="5"/>
    <x v="4"/>
    <x v="5"/>
    <n v="3107"/>
    <x v="6"/>
    <x v="5"/>
    <n v="603678"/>
  </r>
  <r>
    <x v="5"/>
    <x v="4"/>
    <x v="6"/>
    <n v="1837"/>
    <x v="6"/>
    <x v="6"/>
    <n v="316157"/>
  </r>
  <r>
    <x v="5"/>
    <x v="5"/>
    <x v="0"/>
    <n v="10"/>
    <x v="0"/>
    <x v="0"/>
    <m/>
  </r>
  <r>
    <x v="5"/>
    <x v="5"/>
    <x v="1"/>
    <n v="3294"/>
    <x v="6"/>
    <x v="1"/>
    <n v="1884644"/>
  </r>
  <r>
    <x v="5"/>
    <x v="5"/>
    <x v="2"/>
    <n v="3171"/>
    <x v="6"/>
    <x v="2"/>
    <n v="1961709"/>
  </r>
  <r>
    <x v="5"/>
    <x v="5"/>
    <x v="3"/>
    <n v="666"/>
    <x v="6"/>
    <x v="3"/>
    <n v="467115"/>
  </r>
  <r>
    <x v="5"/>
    <x v="5"/>
    <x v="4"/>
    <n v="332"/>
    <x v="6"/>
    <x v="4"/>
    <n v="191497"/>
  </r>
  <r>
    <x v="5"/>
    <x v="5"/>
    <x v="5"/>
    <n v="1067"/>
    <x v="6"/>
    <x v="5"/>
    <n v="603678"/>
  </r>
  <r>
    <x v="5"/>
    <x v="5"/>
    <x v="6"/>
    <n v="571"/>
    <x v="6"/>
    <x v="6"/>
    <n v="316157"/>
  </r>
  <r>
    <x v="5"/>
    <x v="6"/>
    <x v="0"/>
    <n v="2"/>
    <x v="0"/>
    <x v="0"/>
    <m/>
  </r>
  <r>
    <x v="5"/>
    <x v="6"/>
    <x v="1"/>
    <n v="1241"/>
    <x v="6"/>
    <x v="1"/>
    <n v="1884644"/>
  </r>
  <r>
    <x v="5"/>
    <x v="6"/>
    <x v="2"/>
    <n v="779"/>
    <x v="6"/>
    <x v="2"/>
    <n v="1961709"/>
  </r>
  <r>
    <x v="5"/>
    <x v="6"/>
    <x v="3"/>
    <n v="91"/>
    <x v="6"/>
    <x v="3"/>
    <n v="467115"/>
  </r>
  <r>
    <x v="5"/>
    <x v="6"/>
    <x v="4"/>
    <n v="45"/>
    <x v="6"/>
    <x v="4"/>
    <n v="191497"/>
  </r>
  <r>
    <x v="5"/>
    <x v="6"/>
    <x v="5"/>
    <n v="143"/>
    <x v="6"/>
    <x v="5"/>
    <n v="603678"/>
  </r>
  <r>
    <x v="5"/>
    <x v="6"/>
    <x v="6"/>
    <n v="36"/>
    <x v="6"/>
    <x v="6"/>
    <n v="316157"/>
  </r>
  <r>
    <x v="5"/>
    <x v="7"/>
    <x v="0"/>
    <n v="33"/>
    <x v="0"/>
    <x v="0"/>
    <m/>
  </r>
  <r>
    <x v="5"/>
    <x v="7"/>
    <x v="1"/>
    <n v="6070"/>
    <x v="6"/>
    <x v="1"/>
    <n v="1884644"/>
  </r>
  <r>
    <x v="5"/>
    <x v="7"/>
    <x v="2"/>
    <n v="5329"/>
    <x v="6"/>
    <x v="2"/>
    <n v="1961709"/>
  </r>
  <r>
    <x v="5"/>
    <x v="7"/>
    <x v="3"/>
    <n v="864"/>
    <x v="6"/>
    <x v="3"/>
    <n v="467115"/>
  </r>
  <r>
    <x v="5"/>
    <x v="7"/>
    <x v="4"/>
    <n v="215"/>
    <x v="6"/>
    <x v="4"/>
    <n v="191497"/>
  </r>
  <r>
    <x v="5"/>
    <x v="7"/>
    <x v="5"/>
    <n v="1601"/>
    <x v="6"/>
    <x v="5"/>
    <n v="603678"/>
  </r>
  <r>
    <x v="5"/>
    <x v="7"/>
    <x v="6"/>
    <n v="616"/>
    <x v="6"/>
    <x v="6"/>
    <n v="316157"/>
  </r>
  <r>
    <x v="6"/>
    <x v="0"/>
    <x v="1"/>
    <n v="2315"/>
    <x v="7"/>
    <x v="1"/>
    <n v="1894973"/>
  </r>
  <r>
    <x v="6"/>
    <x v="0"/>
    <x v="2"/>
    <n v="1775"/>
    <x v="7"/>
    <x v="2"/>
    <n v="1959405"/>
  </r>
  <r>
    <x v="6"/>
    <x v="0"/>
    <x v="3"/>
    <n v="334"/>
    <x v="7"/>
    <x v="3"/>
    <n v="467717"/>
  </r>
  <r>
    <x v="6"/>
    <x v="0"/>
    <x v="4"/>
    <n v="166"/>
    <x v="7"/>
    <x v="4"/>
    <n v="191207"/>
  </r>
  <r>
    <x v="6"/>
    <x v="0"/>
    <x v="5"/>
    <n v="337"/>
    <x v="7"/>
    <x v="5"/>
    <n v="608611"/>
  </r>
  <r>
    <x v="6"/>
    <x v="0"/>
    <x v="6"/>
    <n v="218"/>
    <x v="7"/>
    <x v="6"/>
    <n v="316187"/>
  </r>
  <r>
    <x v="6"/>
    <x v="1"/>
    <x v="1"/>
    <n v="907"/>
    <x v="7"/>
    <x v="1"/>
    <n v="1894973"/>
  </r>
  <r>
    <x v="6"/>
    <x v="1"/>
    <x v="2"/>
    <n v="747"/>
    <x v="7"/>
    <x v="2"/>
    <n v="1959405"/>
  </r>
  <r>
    <x v="6"/>
    <x v="1"/>
    <x v="3"/>
    <n v="140"/>
    <x v="7"/>
    <x v="3"/>
    <n v="467717"/>
  </r>
  <r>
    <x v="6"/>
    <x v="1"/>
    <x v="4"/>
    <n v="66"/>
    <x v="7"/>
    <x v="4"/>
    <n v="191207"/>
  </r>
  <r>
    <x v="6"/>
    <x v="1"/>
    <x v="5"/>
    <n v="234"/>
    <x v="7"/>
    <x v="5"/>
    <n v="608611"/>
  </r>
  <r>
    <x v="6"/>
    <x v="1"/>
    <x v="6"/>
    <n v="158"/>
    <x v="7"/>
    <x v="6"/>
    <n v="316187"/>
  </r>
  <r>
    <x v="6"/>
    <x v="2"/>
    <x v="0"/>
    <n v="5"/>
    <x v="0"/>
    <x v="0"/>
    <m/>
  </r>
  <r>
    <x v="6"/>
    <x v="2"/>
    <x v="1"/>
    <n v="681"/>
    <x v="7"/>
    <x v="1"/>
    <n v="1894973"/>
  </r>
  <r>
    <x v="6"/>
    <x v="2"/>
    <x v="2"/>
    <n v="597"/>
    <x v="7"/>
    <x v="2"/>
    <n v="1959405"/>
  </r>
  <r>
    <x v="6"/>
    <x v="2"/>
    <x v="3"/>
    <n v="114"/>
    <x v="7"/>
    <x v="3"/>
    <n v="467717"/>
  </r>
  <r>
    <x v="6"/>
    <x v="2"/>
    <x v="4"/>
    <n v="35"/>
    <x v="7"/>
    <x v="4"/>
    <n v="191207"/>
  </r>
  <r>
    <x v="6"/>
    <x v="2"/>
    <x v="5"/>
    <n v="367"/>
    <x v="7"/>
    <x v="5"/>
    <n v="608611"/>
  </r>
  <r>
    <x v="6"/>
    <x v="2"/>
    <x v="6"/>
    <n v="153"/>
    <x v="7"/>
    <x v="6"/>
    <n v="316187"/>
  </r>
  <r>
    <x v="6"/>
    <x v="3"/>
    <x v="0"/>
    <n v="5"/>
    <x v="0"/>
    <x v="0"/>
    <m/>
  </r>
  <r>
    <x v="6"/>
    <x v="3"/>
    <x v="1"/>
    <n v="267"/>
    <x v="7"/>
    <x v="1"/>
    <n v="1894973"/>
  </r>
  <r>
    <x v="6"/>
    <x v="3"/>
    <x v="2"/>
    <n v="357"/>
    <x v="7"/>
    <x v="2"/>
    <n v="1959405"/>
  </r>
  <r>
    <x v="6"/>
    <x v="3"/>
    <x v="3"/>
    <n v="90"/>
    <x v="7"/>
    <x v="3"/>
    <n v="467717"/>
  </r>
  <r>
    <x v="6"/>
    <x v="3"/>
    <x v="4"/>
    <n v="29"/>
    <x v="7"/>
    <x v="4"/>
    <n v="191207"/>
  </r>
  <r>
    <x v="6"/>
    <x v="3"/>
    <x v="5"/>
    <n v="268"/>
    <x v="7"/>
    <x v="5"/>
    <n v="608611"/>
  </r>
  <r>
    <x v="6"/>
    <x v="3"/>
    <x v="6"/>
    <n v="108"/>
    <x v="7"/>
    <x v="6"/>
    <n v="316187"/>
  </r>
  <r>
    <x v="6"/>
    <x v="4"/>
    <x v="0"/>
    <n v="27"/>
    <x v="0"/>
    <x v="0"/>
    <m/>
  </r>
  <r>
    <x v="6"/>
    <x v="4"/>
    <x v="1"/>
    <n v="18344"/>
    <x v="7"/>
    <x v="1"/>
    <n v="1894973"/>
  </r>
  <r>
    <x v="6"/>
    <x v="4"/>
    <x v="2"/>
    <n v="13470"/>
    <x v="7"/>
    <x v="2"/>
    <n v="1959405"/>
  </r>
  <r>
    <x v="6"/>
    <x v="4"/>
    <x v="3"/>
    <n v="2309"/>
    <x v="7"/>
    <x v="3"/>
    <n v="467717"/>
  </r>
  <r>
    <x v="6"/>
    <x v="4"/>
    <x v="4"/>
    <n v="1456"/>
    <x v="7"/>
    <x v="4"/>
    <n v="191207"/>
  </r>
  <r>
    <x v="6"/>
    <x v="4"/>
    <x v="5"/>
    <n v="3203"/>
    <x v="7"/>
    <x v="5"/>
    <n v="608611"/>
  </r>
  <r>
    <x v="6"/>
    <x v="4"/>
    <x v="6"/>
    <n v="1832"/>
    <x v="7"/>
    <x v="6"/>
    <n v="316187"/>
  </r>
  <r>
    <x v="6"/>
    <x v="5"/>
    <x v="0"/>
    <n v="19"/>
    <x v="0"/>
    <x v="0"/>
    <m/>
  </r>
  <r>
    <x v="6"/>
    <x v="5"/>
    <x v="1"/>
    <n v="3242"/>
    <x v="7"/>
    <x v="1"/>
    <n v="1894973"/>
  </r>
  <r>
    <x v="6"/>
    <x v="5"/>
    <x v="2"/>
    <n v="3213"/>
    <x v="7"/>
    <x v="2"/>
    <n v="1959405"/>
  </r>
  <r>
    <x v="6"/>
    <x v="5"/>
    <x v="3"/>
    <n v="663"/>
    <x v="7"/>
    <x v="3"/>
    <n v="467717"/>
  </r>
  <r>
    <x v="6"/>
    <x v="5"/>
    <x v="4"/>
    <n v="307"/>
    <x v="7"/>
    <x v="4"/>
    <n v="191207"/>
  </r>
  <r>
    <x v="6"/>
    <x v="5"/>
    <x v="5"/>
    <n v="1148"/>
    <x v="7"/>
    <x v="5"/>
    <n v="608611"/>
  </r>
  <r>
    <x v="6"/>
    <x v="5"/>
    <x v="6"/>
    <n v="646"/>
    <x v="7"/>
    <x v="6"/>
    <n v="316187"/>
  </r>
  <r>
    <x v="6"/>
    <x v="6"/>
    <x v="0"/>
    <n v="2"/>
    <x v="0"/>
    <x v="0"/>
    <m/>
  </r>
  <r>
    <x v="6"/>
    <x v="6"/>
    <x v="1"/>
    <n v="1110"/>
    <x v="7"/>
    <x v="1"/>
    <n v="1894973"/>
  </r>
  <r>
    <x v="6"/>
    <x v="6"/>
    <x v="2"/>
    <n v="797"/>
    <x v="7"/>
    <x v="2"/>
    <n v="1959405"/>
  </r>
  <r>
    <x v="6"/>
    <x v="6"/>
    <x v="3"/>
    <n v="105"/>
    <x v="7"/>
    <x v="3"/>
    <n v="467717"/>
  </r>
  <r>
    <x v="6"/>
    <x v="6"/>
    <x v="4"/>
    <n v="64"/>
    <x v="7"/>
    <x v="4"/>
    <n v="191207"/>
  </r>
  <r>
    <x v="6"/>
    <x v="6"/>
    <x v="5"/>
    <n v="152"/>
    <x v="7"/>
    <x v="5"/>
    <n v="608611"/>
  </r>
  <r>
    <x v="6"/>
    <x v="6"/>
    <x v="6"/>
    <n v="49"/>
    <x v="7"/>
    <x v="6"/>
    <n v="316187"/>
  </r>
  <r>
    <x v="6"/>
    <x v="7"/>
    <x v="0"/>
    <n v="52"/>
    <x v="0"/>
    <x v="0"/>
    <m/>
  </r>
  <r>
    <x v="6"/>
    <x v="7"/>
    <x v="1"/>
    <n v="6388"/>
    <x v="7"/>
    <x v="1"/>
    <n v="1894973"/>
  </r>
  <r>
    <x v="6"/>
    <x v="7"/>
    <x v="2"/>
    <n v="5500"/>
    <x v="7"/>
    <x v="2"/>
    <n v="1959405"/>
  </r>
  <r>
    <x v="6"/>
    <x v="7"/>
    <x v="3"/>
    <n v="882"/>
    <x v="7"/>
    <x v="3"/>
    <n v="467717"/>
  </r>
  <r>
    <x v="6"/>
    <x v="7"/>
    <x v="4"/>
    <n v="255"/>
    <x v="7"/>
    <x v="4"/>
    <n v="191207"/>
  </r>
  <r>
    <x v="6"/>
    <x v="7"/>
    <x v="5"/>
    <n v="1896"/>
    <x v="7"/>
    <x v="5"/>
    <n v="608611"/>
  </r>
  <r>
    <x v="6"/>
    <x v="7"/>
    <x v="6"/>
    <n v="724"/>
    <x v="7"/>
    <x v="6"/>
    <n v="316187"/>
  </r>
  <r>
    <x v="7"/>
    <x v="0"/>
    <x v="0"/>
    <n v="1"/>
    <x v="0"/>
    <x v="0"/>
    <m/>
  </r>
  <r>
    <x v="7"/>
    <x v="0"/>
    <x v="1"/>
    <n v="2215"/>
    <x v="8"/>
    <x v="1"/>
    <n v="1910606"/>
  </r>
  <r>
    <x v="7"/>
    <x v="0"/>
    <x v="2"/>
    <n v="1692"/>
    <x v="8"/>
    <x v="2"/>
    <n v="1960069"/>
  </r>
  <r>
    <x v="7"/>
    <x v="0"/>
    <x v="3"/>
    <n v="318"/>
    <x v="8"/>
    <x v="3"/>
    <n v="468895"/>
  </r>
  <r>
    <x v="7"/>
    <x v="0"/>
    <x v="4"/>
    <n v="134"/>
    <x v="8"/>
    <x v="4"/>
    <n v="191028"/>
  </r>
  <r>
    <x v="7"/>
    <x v="0"/>
    <x v="5"/>
    <n v="342"/>
    <x v="8"/>
    <x v="5"/>
    <n v="616536"/>
  </r>
  <r>
    <x v="7"/>
    <x v="0"/>
    <x v="6"/>
    <n v="188"/>
    <x v="8"/>
    <x v="6"/>
    <n v="316166"/>
  </r>
  <r>
    <x v="7"/>
    <x v="1"/>
    <x v="0"/>
    <n v="1"/>
    <x v="0"/>
    <x v="0"/>
    <m/>
  </r>
  <r>
    <x v="7"/>
    <x v="1"/>
    <x v="1"/>
    <n v="815"/>
    <x v="8"/>
    <x v="1"/>
    <n v="1910606"/>
  </r>
  <r>
    <x v="7"/>
    <x v="1"/>
    <x v="2"/>
    <n v="664"/>
    <x v="8"/>
    <x v="2"/>
    <n v="1960069"/>
  </r>
  <r>
    <x v="7"/>
    <x v="1"/>
    <x v="3"/>
    <n v="113"/>
    <x v="8"/>
    <x v="3"/>
    <n v="468895"/>
  </r>
  <r>
    <x v="7"/>
    <x v="1"/>
    <x v="4"/>
    <n v="61"/>
    <x v="8"/>
    <x v="4"/>
    <n v="191028"/>
  </r>
  <r>
    <x v="7"/>
    <x v="1"/>
    <x v="5"/>
    <n v="204"/>
    <x v="8"/>
    <x v="5"/>
    <n v="616536"/>
  </r>
  <r>
    <x v="7"/>
    <x v="1"/>
    <x v="6"/>
    <n v="122"/>
    <x v="8"/>
    <x v="6"/>
    <n v="316166"/>
  </r>
  <r>
    <x v="7"/>
    <x v="2"/>
    <x v="0"/>
    <n v="2"/>
    <x v="0"/>
    <x v="0"/>
    <m/>
  </r>
  <r>
    <x v="7"/>
    <x v="2"/>
    <x v="1"/>
    <n v="751"/>
    <x v="8"/>
    <x v="1"/>
    <n v="1910606"/>
  </r>
  <r>
    <x v="7"/>
    <x v="2"/>
    <x v="2"/>
    <n v="599"/>
    <x v="8"/>
    <x v="2"/>
    <n v="1960069"/>
  </r>
  <r>
    <x v="7"/>
    <x v="2"/>
    <x v="3"/>
    <n v="146"/>
    <x v="8"/>
    <x v="3"/>
    <n v="468895"/>
  </r>
  <r>
    <x v="7"/>
    <x v="2"/>
    <x v="4"/>
    <n v="37"/>
    <x v="8"/>
    <x v="4"/>
    <n v="191028"/>
  </r>
  <r>
    <x v="7"/>
    <x v="2"/>
    <x v="5"/>
    <n v="420"/>
    <x v="8"/>
    <x v="5"/>
    <n v="616536"/>
  </r>
  <r>
    <x v="7"/>
    <x v="2"/>
    <x v="6"/>
    <n v="144"/>
    <x v="8"/>
    <x v="6"/>
    <n v="316166"/>
  </r>
  <r>
    <x v="7"/>
    <x v="3"/>
    <x v="0"/>
    <n v="7"/>
    <x v="0"/>
    <x v="0"/>
    <m/>
  </r>
  <r>
    <x v="7"/>
    <x v="3"/>
    <x v="1"/>
    <n v="225"/>
    <x v="8"/>
    <x v="1"/>
    <n v="1910606"/>
  </r>
  <r>
    <x v="7"/>
    <x v="3"/>
    <x v="2"/>
    <n v="277"/>
    <x v="8"/>
    <x v="2"/>
    <n v="1960069"/>
  </r>
  <r>
    <x v="7"/>
    <x v="3"/>
    <x v="3"/>
    <n v="67"/>
    <x v="8"/>
    <x v="3"/>
    <n v="468895"/>
  </r>
  <r>
    <x v="7"/>
    <x v="3"/>
    <x v="4"/>
    <n v="24"/>
    <x v="8"/>
    <x v="4"/>
    <n v="191028"/>
  </r>
  <r>
    <x v="7"/>
    <x v="3"/>
    <x v="5"/>
    <n v="194"/>
    <x v="8"/>
    <x v="5"/>
    <n v="616536"/>
  </r>
  <r>
    <x v="7"/>
    <x v="3"/>
    <x v="6"/>
    <n v="89"/>
    <x v="8"/>
    <x v="6"/>
    <n v="316166"/>
  </r>
  <r>
    <x v="7"/>
    <x v="4"/>
    <x v="0"/>
    <n v="25"/>
    <x v="0"/>
    <x v="0"/>
    <m/>
  </r>
  <r>
    <x v="7"/>
    <x v="4"/>
    <x v="1"/>
    <n v="18649"/>
    <x v="8"/>
    <x v="1"/>
    <n v="1910606"/>
  </r>
  <r>
    <x v="7"/>
    <x v="4"/>
    <x v="2"/>
    <n v="13991"/>
    <x v="8"/>
    <x v="2"/>
    <n v="1960069"/>
  </r>
  <r>
    <x v="7"/>
    <x v="4"/>
    <x v="3"/>
    <n v="2336"/>
    <x v="8"/>
    <x v="3"/>
    <n v="468895"/>
  </r>
  <r>
    <x v="7"/>
    <x v="4"/>
    <x v="4"/>
    <n v="1331"/>
    <x v="8"/>
    <x v="4"/>
    <n v="191028"/>
  </r>
  <r>
    <x v="7"/>
    <x v="4"/>
    <x v="5"/>
    <n v="3322"/>
    <x v="8"/>
    <x v="5"/>
    <n v="616536"/>
  </r>
  <r>
    <x v="7"/>
    <x v="4"/>
    <x v="6"/>
    <n v="1813"/>
    <x v="8"/>
    <x v="6"/>
    <n v="316166"/>
  </r>
  <r>
    <x v="7"/>
    <x v="5"/>
    <x v="0"/>
    <n v="10"/>
    <x v="0"/>
    <x v="0"/>
    <m/>
  </r>
  <r>
    <x v="7"/>
    <x v="5"/>
    <x v="1"/>
    <n v="3085"/>
    <x v="8"/>
    <x v="1"/>
    <n v="1910606"/>
  </r>
  <r>
    <x v="7"/>
    <x v="5"/>
    <x v="2"/>
    <n v="3043"/>
    <x v="8"/>
    <x v="2"/>
    <n v="1960069"/>
  </r>
  <r>
    <x v="7"/>
    <x v="5"/>
    <x v="3"/>
    <n v="599"/>
    <x v="8"/>
    <x v="3"/>
    <n v="468895"/>
  </r>
  <r>
    <x v="7"/>
    <x v="5"/>
    <x v="4"/>
    <n v="296"/>
    <x v="8"/>
    <x v="4"/>
    <n v="191028"/>
  </r>
  <r>
    <x v="7"/>
    <x v="5"/>
    <x v="5"/>
    <n v="1041"/>
    <x v="8"/>
    <x v="5"/>
    <n v="616536"/>
  </r>
  <r>
    <x v="7"/>
    <x v="5"/>
    <x v="6"/>
    <n v="563"/>
    <x v="8"/>
    <x v="6"/>
    <n v="316166"/>
  </r>
  <r>
    <x v="7"/>
    <x v="6"/>
    <x v="0"/>
    <n v="1"/>
    <x v="0"/>
    <x v="0"/>
    <m/>
  </r>
  <r>
    <x v="7"/>
    <x v="6"/>
    <x v="1"/>
    <n v="1086"/>
    <x v="8"/>
    <x v="1"/>
    <n v="1910606"/>
  </r>
  <r>
    <x v="7"/>
    <x v="6"/>
    <x v="2"/>
    <n v="754"/>
    <x v="8"/>
    <x v="2"/>
    <n v="1960069"/>
  </r>
  <r>
    <x v="7"/>
    <x v="6"/>
    <x v="3"/>
    <n v="101"/>
    <x v="8"/>
    <x v="3"/>
    <n v="468895"/>
  </r>
  <r>
    <x v="7"/>
    <x v="6"/>
    <x v="4"/>
    <n v="70"/>
    <x v="8"/>
    <x v="4"/>
    <n v="191028"/>
  </r>
  <r>
    <x v="7"/>
    <x v="6"/>
    <x v="5"/>
    <n v="120"/>
    <x v="8"/>
    <x v="5"/>
    <n v="616536"/>
  </r>
  <r>
    <x v="7"/>
    <x v="6"/>
    <x v="6"/>
    <n v="66"/>
    <x v="8"/>
    <x v="6"/>
    <n v="316166"/>
  </r>
  <r>
    <x v="7"/>
    <x v="7"/>
    <x v="0"/>
    <n v="24"/>
    <x v="0"/>
    <x v="0"/>
    <m/>
  </r>
  <r>
    <x v="7"/>
    <x v="7"/>
    <x v="1"/>
    <n v="5835"/>
    <x v="8"/>
    <x v="1"/>
    <n v="1910606"/>
  </r>
  <r>
    <x v="7"/>
    <x v="7"/>
    <x v="2"/>
    <n v="5179"/>
    <x v="8"/>
    <x v="2"/>
    <n v="1960069"/>
  </r>
  <r>
    <x v="7"/>
    <x v="7"/>
    <x v="3"/>
    <n v="795"/>
    <x v="8"/>
    <x v="3"/>
    <n v="468895"/>
  </r>
  <r>
    <x v="7"/>
    <x v="7"/>
    <x v="4"/>
    <n v="230"/>
    <x v="8"/>
    <x v="4"/>
    <n v="191028"/>
  </r>
  <r>
    <x v="7"/>
    <x v="7"/>
    <x v="5"/>
    <n v="1473"/>
    <x v="8"/>
    <x v="5"/>
    <n v="616536"/>
  </r>
  <r>
    <x v="7"/>
    <x v="7"/>
    <x v="6"/>
    <n v="554"/>
    <x v="8"/>
    <x v="6"/>
    <n v="316166"/>
  </r>
  <r>
    <x v="8"/>
    <x v="0"/>
    <x v="0"/>
    <n v="1"/>
    <x v="0"/>
    <x v="0"/>
    <m/>
  </r>
  <r>
    <x v="8"/>
    <x v="0"/>
    <x v="1"/>
    <n v="2049"/>
    <x v="9"/>
    <x v="1"/>
    <n v="1914450"/>
  </r>
  <r>
    <x v="8"/>
    <x v="0"/>
    <x v="2"/>
    <n v="1699"/>
    <x v="9"/>
    <x v="2"/>
    <n v="1954572"/>
  </r>
  <r>
    <x v="8"/>
    <x v="0"/>
    <x v="3"/>
    <n v="307"/>
    <x v="9"/>
    <x v="3"/>
    <n v="468634"/>
  </r>
  <r>
    <x v="8"/>
    <x v="0"/>
    <x v="4"/>
    <n v="155"/>
    <x v="9"/>
    <x v="4"/>
    <n v="189997"/>
  </r>
  <r>
    <x v="8"/>
    <x v="0"/>
    <x v="5"/>
    <n v="260"/>
    <x v="9"/>
    <x v="5"/>
    <n v="623257"/>
  </r>
  <r>
    <x v="8"/>
    <x v="0"/>
    <x v="6"/>
    <n v="190"/>
    <x v="9"/>
    <x v="6"/>
    <n v="315090"/>
  </r>
  <r>
    <x v="8"/>
    <x v="1"/>
    <x v="0"/>
    <n v="1"/>
    <x v="0"/>
    <x v="0"/>
    <m/>
  </r>
  <r>
    <x v="8"/>
    <x v="1"/>
    <x v="1"/>
    <n v="617"/>
    <x v="9"/>
    <x v="1"/>
    <n v="1914450"/>
  </r>
  <r>
    <x v="8"/>
    <x v="1"/>
    <x v="2"/>
    <n v="584"/>
    <x v="9"/>
    <x v="2"/>
    <n v="1954572"/>
  </r>
  <r>
    <x v="8"/>
    <x v="1"/>
    <x v="3"/>
    <n v="99"/>
    <x v="9"/>
    <x v="3"/>
    <n v="468634"/>
  </r>
  <r>
    <x v="8"/>
    <x v="1"/>
    <x v="4"/>
    <n v="63"/>
    <x v="9"/>
    <x v="4"/>
    <n v="189997"/>
  </r>
  <r>
    <x v="8"/>
    <x v="1"/>
    <x v="5"/>
    <n v="219"/>
    <x v="9"/>
    <x v="5"/>
    <n v="623257"/>
  </r>
  <r>
    <x v="8"/>
    <x v="1"/>
    <x v="6"/>
    <n v="135"/>
    <x v="9"/>
    <x v="6"/>
    <n v="315090"/>
  </r>
  <r>
    <x v="8"/>
    <x v="2"/>
    <x v="0"/>
    <n v="1"/>
    <x v="0"/>
    <x v="0"/>
    <m/>
  </r>
  <r>
    <x v="8"/>
    <x v="2"/>
    <x v="1"/>
    <n v="617"/>
    <x v="9"/>
    <x v="1"/>
    <n v="1914450"/>
  </r>
  <r>
    <x v="8"/>
    <x v="2"/>
    <x v="2"/>
    <n v="567"/>
    <x v="9"/>
    <x v="2"/>
    <n v="1954572"/>
  </r>
  <r>
    <x v="8"/>
    <x v="2"/>
    <x v="3"/>
    <n v="123"/>
    <x v="9"/>
    <x v="3"/>
    <n v="468634"/>
  </r>
  <r>
    <x v="8"/>
    <x v="2"/>
    <x v="4"/>
    <n v="27"/>
    <x v="9"/>
    <x v="4"/>
    <n v="189997"/>
  </r>
  <r>
    <x v="8"/>
    <x v="2"/>
    <x v="5"/>
    <n v="356"/>
    <x v="9"/>
    <x v="5"/>
    <n v="623257"/>
  </r>
  <r>
    <x v="8"/>
    <x v="2"/>
    <x v="6"/>
    <n v="125"/>
    <x v="9"/>
    <x v="6"/>
    <n v="315090"/>
  </r>
  <r>
    <x v="8"/>
    <x v="3"/>
    <x v="0"/>
    <n v="9"/>
    <x v="0"/>
    <x v="0"/>
    <m/>
  </r>
  <r>
    <x v="8"/>
    <x v="3"/>
    <x v="1"/>
    <n v="313"/>
    <x v="9"/>
    <x v="1"/>
    <n v="1914450"/>
  </r>
  <r>
    <x v="8"/>
    <x v="3"/>
    <x v="2"/>
    <n v="385"/>
    <x v="9"/>
    <x v="2"/>
    <n v="1954572"/>
  </r>
  <r>
    <x v="8"/>
    <x v="3"/>
    <x v="3"/>
    <n v="96"/>
    <x v="9"/>
    <x v="3"/>
    <n v="468634"/>
  </r>
  <r>
    <x v="8"/>
    <x v="3"/>
    <x v="4"/>
    <n v="38"/>
    <x v="9"/>
    <x v="4"/>
    <n v="189997"/>
  </r>
  <r>
    <x v="8"/>
    <x v="3"/>
    <x v="5"/>
    <n v="271"/>
    <x v="9"/>
    <x v="5"/>
    <n v="623257"/>
  </r>
  <r>
    <x v="8"/>
    <x v="3"/>
    <x v="6"/>
    <n v="109"/>
    <x v="9"/>
    <x v="6"/>
    <n v="315090"/>
  </r>
  <r>
    <x v="8"/>
    <x v="4"/>
    <x v="0"/>
    <n v="9"/>
    <x v="0"/>
    <x v="0"/>
    <m/>
  </r>
  <r>
    <x v="8"/>
    <x v="4"/>
    <x v="1"/>
    <n v="15389"/>
    <x v="9"/>
    <x v="1"/>
    <n v="1914450"/>
  </r>
  <r>
    <x v="8"/>
    <x v="4"/>
    <x v="2"/>
    <n v="12374"/>
    <x v="9"/>
    <x v="2"/>
    <n v="1954572"/>
  </r>
  <r>
    <x v="8"/>
    <x v="4"/>
    <x v="3"/>
    <n v="2206"/>
    <x v="9"/>
    <x v="3"/>
    <n v="468634"/>
  </r>
  <r>
    <x v="8"/>
    <x v="4"/>
    <x v="4"/>
    <n v="1227"/>
    <x v="9"/>
    <x v="4"/>
    <n v="189997"/>
  </r>
  <r>
    <x v="8"/>
    <x v="4"/>
    <x v="5"/>
    <n v="3027"/>
    <x v="9"/>
    <x v="5"/>
    <n v="623257"/>
  </r>
  <r>
    <x v="8"/>
    <x v="4"/>
    <x v="6"/>
    <n v="1577"/>
    <x v="9"/>
    <x v="6"/>
    <n v="315090"/>
  </r>
  <r>
    <x v="8"/>
    <x v="5"/>
    <x v="0"/>
    <n v="13"/>
    <x v="0"/>
    <x v="0"/>
    <m/>
  </r>
  <r>
    <x v="8"/>
    <x v="5"/>
    <x v="1"/>
    <n v="3304"/>
    <x v="9"/>
    <x v="1"/>
    <n v="1914450"/>
  </r>
  <r>
    <x v="8"/>
    <x v="5"/>
    <x v="2"/>
    <n v="3496"/>
    <x v="9"/>
    <x v="2"/>
    <n v="1954572"/>
  </r>
  <r>
    <x v="8"/>
    <x v="5"/>
    <x v="3"/>
    <n v="735"/>
    <x v="9"/>
    <x v="3"/>
    <n v="468634"/>
  </r>
  <r>
    <x v="8"/>
    <x v="5"/>
    <x v="4"/>
    <n v="317"/>
    <x v="9"/>
    <x v="4"/>
    <n v="189997"/>
  </r>
  <r>
    <x v="8"/>
    <x v="5"/>
    <x v="5"/>
    <n v="1137"/>
    <x v="9"/>
    <x v="5"/>
    <n v="623257"/>
  </r>
  <r>
    <x v="8"/>
    <x v="5"/>
    <x v="6"/>
    <n v="515"/>
    <x v="9"/>
    <x v="6"/>
    <n v="315090"/>
  </r>
  <r>
    <x v="8"/>
    <x v="6"/>
    <x v="1"/>
    <n v="703"/>
    <x v="9"/>
    <x v="1"/>
    <n v="1914450"/>
  </r>
  <r>
    <x v="8"/>
    <x v="6"/>
    <x v="2"/>
    <n v="555"/>
    <x v="9"/>
    <x v="2"/>
    <n v="1954572"/>
  </r>
  <r>
    <x v="8"/>
    <x v="6"/>
    <x v="3"/>
    <n v="81"/>
    <x v="9"/>
    <x v="3"/>
    <n v="468634"/>
  </r>
  <r>
    <x v="8"/>
    <x v="6"/>
    <x v="4"/>
    <n v="41"/>
    <x v="9"/>
    <x v="4"/>
    <n v="189997"/>
  </r>
  <r>
    <x v="8"/>
    <x v="6"/>
    <x v="5"/>
    <n v="86"/>
    <x v="9"/>
    <x v="5"/>
    <n v="623257"/>
  </r>
  <r>
    <x v="8"/>
    <x v="6"/>
    <x v="6"/>
    <n v="28"/>
    <x v="9"/>
    <x v="6"/>
    <n v="315090"/>
  </r>
  <r>
    <x v="8"/>
    <x v="7"/>
    <x v="0"/>
    <n v="39"/>
    <x v="0"/>
    <x v="0"/>
    <m/>
  </r>
  <r>
    <x v="8"/>
    <x v="7"/>
    <x v="1"/>
    <n v="5919"/>
    <x v="9"/>
    <x v="1"/>
    <n v="1914450"/>
  </r>
  <r>
    <x v="8"/>
    <x v="7"/>
    <x v="2"/>
    <n v="5565"/>
    <x v="9"/>
    <x v="2"/>
    <n v="1954572"/>
  </r>
  <r>
    <x v="8"/>
    <x v="7"/>
    <x v="3"/>
    <n v="944"/>
    <x v="9"/>
    <x v="3"/>
    <n v="468634"/>
  </r>
  <r>
    <x v="8"/>
    <x v="7"/>
    <x v="4"/>
    <n v="224"/>
    <x v="9"/>
    <x v="4"/>
    <n v="189997"/>
  </r>
  <r>
    <x v="8"/>
    <x v="7"/>
    <x v="5"/>
    <n v="1748"/>
    <x v="9"/>
    <x v="5"/>
    <n v="623257"/>
  </r>
  <r>
    <x v="8"/>
    <x v="7"/>
    <x v="6"/>
    <n v="691"/>
    <x v="9"/>
    <x v="6"/>
    <n v="315090"/>
  </r>
</pivotCacheRecords>
</file>

<file path=xl/pivotCache/pivotCacheRecords35.xml><?xml version="1.0" encoding="utf-8"?>
<pivotCacheRecords xmlns="http://schemas.openxmlformats.org/spreadsheetml/2006/main" xmlns:r="http://schemas.openxmlformats.org/officeDocument/2006/relationships" count="503">
  <r>
    <x v="0"/>
    <x v="0"/>
    <x v="0"/>
    <x v="0"/>
    <n v="1"/>
    <x v="0"/>
    <x v="0"/>
    <m/>
  </r>
  <r>
    <x v="0"/>
    <x v="1"/>
    <x v="0"/>
    <x v="0"/>
    <n v="4"/>
    <x v="0"/>
    <x v="0"/>
    <m/>
  </r>
  <r>
    <x v="1"/>
    <x v="1"/>
    <x v="0"/>
    <x v="0"/>
    <n v="2"/>
    <x v="0"/>
    <x v="0"/>
    <m/>
  </r>
  <r>
    <x v="1"/>
    <x v="2"/>
    <x v="0"/>
    <x v="0"/>
    <n v="1"/>
    <x v="0"/>
    <x v="0"/>
    <m/>
  </r>
  <r>
    <x v="0"/>
    <x v="2"/>
    <x v="0"/>
    <x v="0"/>
    <n v="2"/>
    <x v="0"/>
    <x v="0"/>
    <m/>
  </r>
  <r>
    <x v="0"/>
    <x v="3"/>
    <x v="1"/>
    <x v="0"/>
    <n v="7"/>
    <x v="1"/>
    <x v="1"/>
    <n v="1819758"/>
  </r>
  <r>
    <x v="0"/>
    <x v="3"/>
    <x v="1"/>
    <x v="1"/>
    <n v="5"/>
    <x v="1"/>
    <x v="1"/>
    <n v="1819758"/>
  </r>
  <r>
    <x v="0"/>
    <x v="3"/>
    <x v="1"/>
    <x v="2"/>
    <n v="42"/>
    <x v="1"/>
    <x v="1"/>
    <n v="1819758"/>
  </r>
  <r>
    <x v="0"/>
    <x v="3"/>
    <x v="1"/>
    <x v="3"/>
    <n v="546"/>
    <x v="1"/>
    <x v="1"/>
    <n v="1819758"/>
  </r>
  <r>
    <x v="2"/>
    <x v="3"/>
    <x v="1"/>
    <x v="0"/>
    <n v="2"/>
    <x v="1"/>
    <x v="1"/>
    <n v="1819758"/>
  </r>
  <r>
    <x v="1"/>
    <x v="3"/>
    <x v="1"/>
    <x v="0"/>
    <n v="5"/>
    <x v="1"/>
    <x v="1"/>
    <n v="1819758"/>
  </r>
  <r>
    <x v="1"/>
    <x v="3"/>
    <x v="1"/>
    <x v="1"/>
    <n v="3"/>
    <x v="1"/>
    <x v="1"/>
    <n v="1819758"/>
  </r>
  <r>
    <x v="1"/>
    <x v="3"/>
    <x v="1"/>
    <x v="2"/>
    <n v="37"/>
    <x v="1"/>
    <x v="1"/>
    <n v="1819758"/>
  </r>
  <r>
    <x v="2"/>
    <x v="3"/>
    <x v="1"/>
    <x v="2"/>
    <n v="1"/>
    <x v="1"/>
    <x v="1"/>
    <n v="1819758"/>
  </r>
  <r>
    <x v="1"/>
    <x v="3"/>
    <x v="1"/>
    <x v="3"/>
    <n v="423"/>
    <x v="1"/>
    <x v="1"/>
    <n v="1819758"/>
  </r>
  <r>
    <x v="2"/>
    <x v="3"/>
    <x v="1"/>
    <x v="3"/>
    <n v="18"/>
    <x v="1"/>
    <x v="1"/>
    <n v="1819758"/>
  </r>
  <r>
    <x v="2"/>
    <x v="4"/>
    <x v="1"/>
    <x v="3"/>
    <n v="10"/>
    <x v="2"/>
    <x v="1"/>
    <n v="1828026"/>
  </r>
  <r>
    <x v="1"/>
    <x v="4"/>
    <x v="1"/>
    <x v="3"/>
    <n v="442"/>
    <x v="2"/>
    <x v="1"/>
    <n v="1828026"/>
  </r>
  <r>
    <x v="1"/>
    <x v="4"/>
    <x v="1"/>
    <x v="2"/>
    <n v="28"/>
    <x v="2"/>
    <x v="1"/>
    <n v="1828026"/>
  </r>
  <r>
    <x v="1"/>
    <x v="4"/>
    <x v="1"/>
    <x v="0"/>
    <n v="3"/>
    <x v="2"/>
    <x v="1"/>
    <n v="1828026"/>
  </r>
  <r>
    <x v="0"/>
    <x v="4"/>
    <x v="1"/>
    <x v="0"/>
    <n v="5"/>
    <x v="2"/>
    <x v="1"/>
    <n v="1828026"/>
  </r>
  <r>
    <x v="0"/>
    <x v="4"/>
    <x v="1"/>
    <x v="1"/>
    <n v="5"/>
    <x v="2"/>
    <x v="1"/>
    <n v="1828026"/>
  </r>
  <r>
    <x v="0"/>
    <x v="4"/>
    <x v="1"/>
    <x v="2"/>
    <n v="31"/>
    <x v="2"/>
    <x v="1"/>
    <n v="1828026"/>
  </r>
  <r>
    <x v="0"/>
    <x v="4"/>
    <x v="1"/>
    <x v="3"/>
    <n v="522"/>
    <x v="2"/>
    <x v="1"/>
    <n v="1828026"/>
  </r>
  <r>
    <x v="1"/>
    <x v="4"/>
    <x v="1"/>
    <x v="1"/>
    <n v="5"/>
    <x v="2"/>
    <x v="1"/>
    <n v="1828026"/>
  </r>
  <r>
    <x v="2"/>
    <x v="0"/>
    <x v="1"/>
    <x v="3"/>
    <n v="10"/>
    <x v="3"/>
    <x v="1"/>
    <n v="1839393"/>
  </r>
  <r>
    <x v="2"/>
    <x v="0"/>
    <x v="1"/>
    <x v="2"/>
    <n v="3"/>
    <x v="3"/>
    <x v="1"/>
    <n v="1839393"/>
  </r>
  <r>
    <x v="2"/>
    <x v="0"/>
    <x v="1"/>
    <x v="0"/>
    <n v="2"/>
    <x v="3"/>
    <x v="1"/>
    <n v="1839393"/>
  </r>
  <r>
    <x v="1"/>
    <x v="0"/>
    <x v="1"/>
    <x v="3"/>
    <n v="326"/>
    <x v="3"/>
    <x v="1"/>
    <n v="1839393"/>
  </r>
  <r>
    <x v="1"/>
    <x v="0"/>
    <x v="1"/>
    <x v="2"/>
    <n v="23"/>
    <x v="3"/>
    <x v="1"/>
    <n v="1839393"/>
  </r>
  <r>
    <x v="0"/>
    <x v="0"/>
    <x v="1"/>
    <x v="2"/>
    <n v="28"/>
    <x v="3"/>
    <x v="1"/>
    <n v="1839393"/>
  </r>
  <r>
    <x v="1"/>
    <x v="0"/>
    <x v="1"/>
    <x v="1"/>
    <n v="6"/>
    <x v="3"/>
    <x v="1"/>
    <n v="1839393"/>
  </r>
  <r>
    <x v="1"/>
    <x v="0"/>
    <x v="1"/>
    <x v="0"/>
    <n v="3"/>
    <x v="3"/>
    <x v="1"/>
    <n v="1839393"/>
  </r>
  <r>
    <x v="0"/>
    <x v="0"/>
    <x v="1"/>
    <x v="1"/>
    <n v="13"/>
    <x v="3"/>
    <x v="1"/>
    <n v="1839393"/>
  </r>
  <r>
    <x v="0"/>
    <x v="0"/>
    <x v="1"/>
    <x v="3"/>
    <n v="391"/>
    <x v="3"/>
    <x v="1"/>
    <n v="1839393"/>
  </r>
  <r>
    <x v="0"/>
    <x v="0"/>
    <x v="1"/>
    <x v="0"/>
    <n v="4"/>
    <x v="3"/>
    <x v="1"/>
    <n v="1839393"/>
  </r>
  <r>
    <x v="1"/>
    <x v="1"/>
    <x v="1"/>
    <x v="0"/>
    <n v="6"/>
    <x v="4"/>
    <x v="1"/>
    <n v="1854344"/>
  </r>
  <r>
    <x v="1"/>
    <x v="1"/>
    <x v="1"/>
    <x v="1"/>
    <n v="4"/>
    <x v="4"/>
    <x v="1"/>
    <n v="1854344"/>
  </r>
  <r>
    <x v="2"/>
    <x v="1"/>
    <x v="1"/>
    <x v="3"/>
    <n v="13"/>
    <x v="4"/>
    <x v="1"/>
    <n v="1854344"/>
  </r>
  <r>
    <x v="1"/>
    <x v="1"/>
    <x v="1"/>
    <x v="2"/>
    <n v="35"/>
    <x v="4"/>
    <x v="1"/>
    <n v="1854344"/>
  </r>
  <r>
    <x v="0"/>
    <x v="1"/>
    <x v="1"/>
    <x v="1"/>
    <n v="4"/>
    <x v="4"/>
    <x v="1"/>
    <n v="1854344"/>
  </r>
  <r>
    <x v="0"/>
    <x v="1"/>
    <x v="1"/>
    <x v="3"/>
    <n v="512"/>
    <x v="4"/>
    <x v="1"/>
    <n v="1854344"/>
  </r>
  <r>
    <x v="0"/>
    <x v="1"/>
    <x v="1"/>
    <x v="0"/>
    <n v="7"/>
    <x v="4"/>
    <x v="1"/>
    <n v="1854344"/>
  </r>
  <r>
    <x v="1"/>
    <x v="1"/>
    <x v="1"/>
    <x v="3"/>
    <n v="408"/>
    <x v="4"/>
    <x v="1"/>
    <n v="1854344"/>
  </r>
  <r>
    <x v="0"/>
    <x v="1"/>
    <x v="1"/>
    <x v="2"/>
    <n v="38"/>
    <x v="4"/>
    <x v="1"/>
    <n v="1854344"/>
  </r>
  <r>
    <x v="2"/>
    <x v="1"/>
    <x v="1"/>
    <x v="2"/>
    <n v="1"/>
    <x v="4"/>
    <x v="1"/>
    <n v="1854344"/>
  </r>
  <r>
    <x v="1"/>
    <x v="5"/>
    <x v="1"/>
    <x v="1"/>
    <n v="9"/>
    <x v="5"/>
    <x v="1"/>
    <n v="1872642"/>
  </r>
  <r>
    <x v="1"/>
    <x v="5"/>
    <x v="1"/>
    <x v="2"/>
    <n v="20"/>
    <x v="5"/>
    <x v="1"/>
    <n v="1872642"/>
  </r>
  <r>
    <x v="1"/>
    <x v="5"/>
    <x v="1"/>
    <x v="3"/>
    <n v="361"/>
    <x v="5"/>
    <x v="1"/>
    <n v="1872642"/>
  </r>
  <r>
    <x v="2"/>
    <x v="5"/>
    <x v="1"/>
    <x v="3"/>
    <n v="15"/>
    <x v="5"/>
    <x v="1"/>
    <n v="1872642"/>
  </r>
  <r>
    <x v="2"/>
    <x v="5"/>
    <x v="1"/>
    <x v="2"/>
    <n v="2"/>
    <x v="5"/>
    <x v="1"/>
    <n v="1872642"/>
  </r>
  <r>
    <x v="2"/>
    <x v="5"/>
    <x v="1"/>
    <x v="1"/>
    <n v="1"/>
    <x v="5"/>
    <x v="1"/>
    <n v="1872642"/>
  </r>
  <r>
    <x v="0"/>
    <x v="5"/>
    <x v="1"/>
    <x v="0"/>
    <n v="8"/>
    <x v="5"/>
    <x v="1"/>
    <n v="1872642"/>
  </r>
  <r>
    <x v="0"/>
    <x v="5"/>
    <x v="1"/>
    <x v="1"/>
    <n v="14"/>
    <x v="5"/>
    <x v="1"/>
    <n v="1872642"/>
  </r>
  <r>
    <x v="0"/>
    <x v="5"/>
    <x v="1"/>
    <x v="2"/>
    <n v="27"/>
    <x v="5"/>
    <x v="1"/>
    <n v="1872642"/>
  </r>
  <r>
    <x v="0"/>
    <x v="5"/>
    <x v="1"/>
    <x v="3"/>
    <n v="496"/>
    <x v="5"/>
    <x v="1"/>
    <n v="1872642"/>
  </r>
  <r>
    <x v="1"/>
    <x v="5"/>
    <x v="1"/>
    <x v="0"/>
    <n v="7"/>
    <x v="5"/>
    <x v="1"/>
    <n v="1872642"/>
  </r>
  <r>
    <x v="1"/>
    <x v="2"/>
    <x v="1"/>
    <x v="1"/>
    <n v="8"/>
    <x v="6"/>
    <x v="1"/>
    <n v="1884644"/>
  </r>
  <r>
    <x v="0"/>
    <x v="2"/>
    <x v="1"/>
    <x v="0"/>
    <n v="5"/>
    <x v="6"/>
    <x v="1"/>
    <n v="1884644"/>
  </r>
  <r>
    <x v="0"/>
    <x v="2"/>
    <x v="1"/>
    <x v="1"/>
    <n v="16"/>
    <x v="6"/>
    <x v="1"/>
    <n v="1884644"/>
  </r>
  <r>
    <x v="0"/>
    <x v="2"/>
    <x v="1"/>
    <x v="2"/>
    <n v="35"/>
    <x v="6"/>
    <x v="1"/>
    <n v="1884644"/>
  </r>
  <r>
    <x v="1"/>
    <x v="2"/>
    <x v="1"/>
    <x v="3"/>
    <n v="325"/>
    <x v="6"/>
    <x v="1"/>
    <n v="1884644"/>
  </r>
  <r>
    <x v="0"/>
    <x v="2"/>
    <x v="1"/>
    <x v="3"/>
    <n v="396"/>
    <x v="6"/>
    <x v="1"/>
    <n v="1884644"/>
  </r>
  <r>
    <x v="2"/>
    <x v="2"/>
    <x v="1"/>
    <x v="3"/>
    <n v="12"/>
    <x v="6"/>
    <x v="1"/>
    <n v="1884644"/>
  </r>
  <r>
    <x v="1"/>
    <x v="2"/>
    <x v="1"/>
    <x v="2"/>
    <n v="29"/>
    <x v="6"/>
    <x v="1"/>
    <n v="1884644"/>
  </r>
  <r>
    <x v="1"/>
    <x v="2"/>
    <x v="1"/>
    <x v="0"/>
    <n v="5"/>
    <x v="6"/>
    <x v="1"/>
    <n v="1884644"/>
  </r>
  <r>
    <x v="2"/>
    <x v="6"/>
    <x v="1"/>
    <x v="0"/>
    <n v="2"/>
    <x v="7"/>
    <x v="1"/>
    <n v="1894973"/>
  </r>
  <r>
    <x v="2"/>
    <x v="6"/>
    <x v="1"/>
    <x v="3"/>
    <n v="6"/>
    <x v="7"/>
    <x v="1"/>
    <n v="1894973"/>
  </r>
  <r>
    <x v="1"/>
    <x v="6"/>
    <x v="1"/>
    <x v="2"/>
    <n v="38"/>
    <x v="7"/>
    <x v="1"/>
    <n v="1894973"/>
  </r>
  <r>
    <x v="2"/>
    <x v="6"/>
    <x v="1"/>
    <x v="1"/>
    <n v="1"/>
    <x v="7"/>
    <x v="1"/>
    <n v="1894973"/>
  </r>
  <r>
    <x v="1"/>
    <x v="6"/>
    <x v="1"/>
    <x v="3"/>
    <n v="350"/>
    <x v="7"/>
    <x v="1"/>
    <n v="1894973"/>
  </r>
  <r>
    <x v="1"/>
    <x v="6"/>
    <x v="1"/>
    <x v="0"/>
    <n v="12"/>
    <x v="7"/>
    <x v="1"/>
    <n v="1894973"/>
  </r>
  <r>
    <x v="0"/>
    <x v="6"/>
    <x v="1"/>
    <x v="3"/>
    <n v="437"/>
    <x v="7"/>
    <x v="1"/>
    <n v="1894973"/>
  </r>
  <r>
    <x v="1"/>
    <x v="6"/>
    <x v="1"/>
    <x v="1"/>
    <n v="5"/>
    <x v="7"/>
    <x v="1"/>
    <n v="1894973"/>
  </r>
  <r>
    <x v="0"/>
    <x v="6"/>
    <x v="1"/>
    <x v="0"/>
    <n v="15"/>
    <x v="7"/>
    <x v="1"/>
    <n v="1894973"/>
  </r>
  <r>
    <x v="0"/>
    <x v="6"/>
    <x v="1"/>
    <x v="1"/>
    <n v="5"/>
    <x v="7"/>
    <x v="1"/>
    <n v="1894973"/>
  </r>
  <r>
    <x v="0"/>
    <x v="6"/>
    <x v="1"/>
    <x v="2"/>
    <n v="45"/>
    <x v="7"/>
    <x v="1"/>
    <n v="1894973"/>
  </r>
  <r>
    <x v="0"/>
    <x v="7"/>
    <x v="1"/>
    <x v="3"/>
    <n v="378"/>
    <x v="8"/>
    <x v="1"/>
    <n v="1910606"/>
  </r>
  <r>
    <x v="0"/>
    <x v="7"/>
    <x v="1"/>
    <x v="1"/>
    <n v="4"/>
    <x v="8"/>
    <x v="1"/>
    <n v="1910606"/>
  </r>
  <r>
    <x v="1"/>
    <x v="7"/>
    <x v="1"/>
    <x v="3"/>
    <n v="298"/>
    <x v="8"/>
    <x v="1"/>
    <n v="1910606"/>
  </r>
  <r>
    <x v="1"/>
    <x v="7"/>
    <x v="1"/>
    <x v="2"/>
    <n v="28"/>
    <x v="8"/>
    <x v="1"/>
    <n v="1910606"/>
  </r>
  <r>
    <x v="1"/>
    <x v="7"/>
    <x v="1"/>
    <x v="1"/>
    <n v="4"/>
    <x v="8"/>
    <x v="1"/>
    <n v="1910606"/>
  </r>
  <r>
    <x v="2"/>
    <x v="7"/>
    <x v="1"/>
    <x v="3"/>
    <n v="4"/>
    <x v="8"/>
    <x v="1"/>
    <n v="1910606"/>
  </r>
  <r>
    <x v="0"/>
    <x v="7"/>
    <x v="1"/>
    <x v="0"/>
    <n v="5"/>
    <x v="8"/>
    <x v="1"/>
    <n v="1910606"/>
  </r>
  <r>
    <x v="1"/>
    <x v="7"/>
    <x v="1"/>
    <x v="0"/>
    <n v="3"/>
    <x v="8"/>
    <x v="1"/>
    <n v="1910606"/>
  </r>
  <r>
    <x v="0"/>
    <x v="7"/>
    <x v="1"/>
    <x v="2"/>
    <n v="31"/>
    <x v="8"/>
    <x v="1"/>
    <n v="1910606"/>
  </r>
  <r>
    <x v="2"/>
    <x v="8"/>
    <x v="1"/>
    <x v="2"/>
    <n v="1"/>
    <x v="9"/>
    <x v="1"/>
    <n v="1914450"/>
  </r>
  <r>
    <x v="1"/>
    <x v="8"/>
    <x v="1"/>
    <x v="1"/>
    <n v="2"/>
    <x v="9"/>
    <x v="1"/>
    <n v="1914450"/>
  </r>
  <r>
    <x v="1"/>
    <x v="8"/>
    <x v="1"/>
    <x v="2"/>
    <n v="21"/>
    <x v="9"/>
    <x v="1"/>
    <n v="1914450"/>
  </r>
  <r>
    <x v="0"/>
    <x v="8"/>
    <x v="1"/>
    <x v="0"/>
    <n v="12"/>
    <x v="9"/>
    <x v="1"/>
    <n v="1914450"/>
  </r>
  <r>
    <x v="2"/>
    <x v="8"/>
    <x v="1"/>
    <x v="1"/>
    <n v="2"/>
    <x v="9"/>
    <x v="1"/>
    <n v="1914450"/>
  </r>
  <r>
    <x v="0"/>
    <x v="8"/>
    <x v="1"/>
    <x v="1"/>
    <n v="2"/>
    <x v="9"/>
    <x v="1"/>
    <n v="1914450"/>
  </r>
  <r>
    <x v="0"/>
    <x v="8"/>
    <x v="1"/>
    <x v="2"/>
    <n v="35"/>
    <x v="9"/>
    <x v="1"/>
    <n v="1914450"/>
  </r>
  <r>
    <x v="0"/>
    <x v="8"/>
    <x v="1"/>
    <x v="3"/>
    <n v="360"/>
    <x v="9"/>
    <x v="1"/>
    <n v="1914450"/>
  </r>
  <r>
    <x v="1"/>
    <x v="8"/>
    <x v="1"/>
    <x v="3"/>
    <n v="243"/>
    <x v="9"/>
    <x v="1"/>
    <n v="1914450"/>
  </r>
  <r>
    <x v="2"/>
    <x v="8"/>
    <x v="1"/>
    <x v="3"/>
    <n v="20"/>
    <x v="9"/>
    <x v="1"/>
    <n v="1914450"/>
  </r>
  <r>
    <x v="1"/>
    <x v="8"/>
    <x v="1"/>
    <x v="0"/>
    <n v="10"/>
    <x v="9"/>
    <x v="1"/>
    <n v="1914450"/>
  </r>
  <r>
    <x v="0"/>
    <x v="3"/>
    <x v="2"/>
    <x v="3"/>
    <n v="406"/>
    <x v="1"/>
    <x v="2"/>
    <n v="1946513"/>
  </r>
  <r>
    <x v="1"/>
    <x v="3"/>
    <x v="2"/>
    <x v="2"/>
    <n v="23"/>
    <x v="1"/>
    <x v="2"/>
    <n v="1946513"/>
  </r>
  <r>
    <x v="1"/>
    <x v="3"/>
    <x v="2"/>
    <x v="1"/>
    <n v="4"/>
    <x v="1"/>
    <x v="2"/>
    <n v="1946513"/>
  </r>
  <r>
    <x v="1"/>
    <x v="3"/>
    <x v="2"/>
    <x v="3"/>
    <n v="317"/>
    <x v="1"/>
    <x v="2"/>
    <n v="1946513"/>
  </r>
  <r>
    <x v="0"/>
    <x v="3"/>
    <x v="2"/>
    <x v="2"/>
    <n v="27"/>
    <x v="1"/>
    <x v="2"/>
    <n v="1946513"/>
  </r>
  <r>
    <x v="0"/>
    <x v="3"/>
    <x v="2"/>
    <x v="1"/>
    <n v="4"/>
    <x v="1"/>
    <x v="2"/>
    <n v="1946513"/>
  </r>
  <r>
    <x v="2"/>
    <x v="3"/>
    <x v="2"/>
    <x v="2"/>
    <n v="1"/>
    <x v="1"/>
    <x v="2"/>
    <n v="1946513"/>
  </r>
  <r>
    <x v="2"/>
    <x v="3"/>
    <x v="2"/>
    <x v="3"/>
    <n v="13"/>
    <x v="1"/>
    <x v="2"/>
    <n v="1946513"/>
  </r>
  <r>
    <x v="0"/>
    <x v="3"/>
    <x v="2"/>
    <x v="0"/>
    <n v="7"/>
    <x v="1"/>
    <x v="2"/>
    <n v="1946513"/>
  </r>
  <r>
    <x v="1"/>
    <x v="3"/>
    <x v="2"/>
    <x v="0"/>
    <n v="7"/>
    <x v="1"/>
    <x v="2"/>
    <n v="1946513"/>
  </r>
  <r>
    <x v="1"/>
    <x v="4"/>
    <x v="2"/>
    <x v="1"/>
    <n v="9"/>
    <x v="2"/>
    <x v="2"/>
    <n v="1948246"/>
  </r>
  <r>
    <x v="1"/>
    <x v="4"/>
    <x v="2"/>
    <x v="3"/>
    <n v="299"/>
    <x v="2"/>
    <x v="2"/>
    <n v="1948246"/>
  </r>
  <r>
    <x v="1"/>
    <x v="4"/>
    <x v="2"/>
    <x v="2"/>
    <n v="31"/>
    <x v="2"/>
    <x v="2"/>
    <n v="1948246"/>
  </r>
  <r>
    <x v="1"/>
    <x v="4"/>
    <x v="2"/>
    <x v="0"/>
    <n v="10"/>
    <x v="2"/>
    <x v="2"/>
    <n v="1948246"/>
  </r>
  <r>
    <x v="2"/>
    <x v="4"/>
    <x v="2"/>
    <x v="2"/>
    <n v="1"/>
    <x v="2"/>
    <x v="2"/>
    <n v="1948246"/>
  </r>
  <r>
    <x v="0"/>
    <x v="4"/>
    <x v="2"/>
    <x v="0"/>
    <n v="14"/>
    <x v="2"/>
    <x v="2"/>
    <n v="1948246"/>
  </r>
  <r>
    <x v="0"/>
    <x v="4"/>
    <x v="2"/>
    <x v="1"/>
    <n v="13"/>
    <x v="2"/>
    <x v="2"/>
    <n v="1948246"/>
  </r>
  <r>
    <x v="2"/>
    <x v="4"/>
    <x v="2"/>
    <x v="3"/>
    <n v="13"/>
    <x v="2"/>
    <x v="2"/>
    <n v="1948246"/>
  </r>
  <r>
    <x v="0"/>
    <x v="4"/>
    <x v="2"/>
    <x v="2"/>
    <n v="38"/>
    <x v="2"/>
    <x v="2"/>
    <n v="1948246"/>
  </r>
  <r>
    <x v="0"/>
    <x v="4"/>
    <x v="2"/>
    <x v="3"/>
    <n v="382"/>
    <x v="2"/>
    <x v="2"/>
    <n v="1948246"/>
  </r>
  <r>
    <x v="2"/>
    <x v="0"/>
    <x v="2"/>
    <x v="3"/>
    <n v="10"/>
    <x v="3"/>
    <x v="2"/>
    <n v="1951361"/>
  </r>
  <r>
    <x v="0"/>
    <x v="0"/>
    <x v="2"/>
    <x v="3"/>
    <n v="396"/>
    <x v="3"/>
    <x v="2"/>
    <n v="1951361"/>
  </r>
  <r>
    <x v="1"/>
    <x v="0"/>
    <x v="2"/>
    <x v="3"/>
    <n v="301"/>
    <x v="3"/>
    <x v="2"/>
    <n v="1951361"/>
  </r>
  <r>
    <x v="0"/>
    <x v="0"/>
    <x v="2"/>
    <x v="1"/>
    <n v="9"/>
    <x v="3"/>
    <x v="2"/>
    <n v="1951361"/>
  </r>
  <r>
    <x v="0"/>
    <x v="0"/>
    <x v="2"/>
    <x v="0"/>
    <n v="9"/>
    <x v="3"/>
    <x v="2"/>
    <n v="1951361"/>
  </r>
  <r>
    <x v="1"/>
    <x v="0"/>
    <x v="2"/>
    <x v="2"/>
    <n v="34"/>
    <x v="3"/>
    <x v="2"/>
    <n v="1951361"/>
  </r>
  <r>
    <x v="1"/>
    <x v="0"/>
    <x v="2"/>
    <x v="1"/>
    <n v="7"/>
    <x v="3"/>
    <x v="2"/>
    <n v="1951361"/>
  </r>
  <r>
    <x v="1"/>
    <x v="0"/>
    <x v="2"/>
    <x v="0"/>
    <n v="6"/>
    <x v="3"/>
    <x v="2"/>
    <n v="1951361"/>
  </r>
  <r>
    <x v="0"/>
    <x v="0"/>
    <x v="2"/>
    <x v="2"/>
    <n v="38"/>
    <x v="3"/>
    <x v="2"/>
    <n v="1951361"/>
  </r>
  <r>
    <x v="0"/>
    <x v="1"/>
    <x v="2"/>
    <x v="3"/>
    <n v="387"/>
    <x v="4"/>
    <x v="2"/>
    <n v="1956221"/>
  </r>
  <r>
    <x v="0"/>
    <x v="1"/>
    <x v="2"/>
    <x v="2"/>
    <n v="44"/>
    <x v="4"/>
    <x v="2"/>
    <n v="1956221"/>
  </r>
  <r>
    <x v="0"/>
    <x v="1"/>
    <x v="2"/>
    <x v="1"/>
    <n v="13"/>
    <x v="4"/>
    <x v="2"/>
    <n v="1956221"/>
  </r>
  <r>
    <x v="2"/>
    <x v="1"/>
    <x v="2"/>
    <x v="3"/>
    <n v="14"/>
    <x v="4"/>
    <x v="2"/>
    <n v="1956221"/>
  </r>
  <r>
    <x v="1"/>
    <x v="1"/>
    <x v="2"/>
    <x v="3"/>
    <n v="298"/>
    <x v="4"/>
    <x v="2"/>
    <n v="1956221"/>
  </r>
  <r>
    <x v="1"/>
    <x v="1"/>
    <x v="2"/>
    <x v="2"/>
    <n v="34"/>
    <x v="4"/>
    <x v="2"/>
    <n v="1956221"/>
  </r>
  <r>
    <x v="1"/>
    <x v="1"/>
    <x v="2"/>
    <x v="0"/>
    <n v="13"/>
    <x v="4"/>
    <x v="2"/>
    <n v="1956221"/>
  </r>
  <r>
    <x v="1"/>
    <x v="1"/>
    <x v="2"/>
    <x v="1"/>
    <n v="10"/>
    <x v="4"/>
    <x v="2"/>
    <n v="1956221"/>
  </r>
  <r>
    <x v="0"/>
    <x v="1"/>
    <x v="2"/>
    <x v="0"/>
    <n v="15"/>
    <x v="4"/>
    <x v="2"/>
    <n v="1956221"/>
  </r>
  <r>
    <x v="1"/>
    <x v="5"/>
    <x v="2"/>
    <x v="1"/>
    <n v="10"/>
    <x v="5"/>
    <x v="2"/>
    <n v="1960470"/>
  </r>
  <r>
    <x v="2"/>
    <x v="5"/>
    <x v="2"/>
    <x v="3"/>
    <n v="11"/>
    <x v="5"/>
    <x v="2"/>
    <n v="1960470"/>
  </r>
  <r>
    <x v="0"/>
    <x v="5"/>
    <x v="2"/>
    <x v="0"/>
    <n v="10"/>
    <x v="5"/>
    <x v="2"/>
    <n v="1960470"/>
  </r>
  <r>
    <x v="1"/>
    <x v="5"/>
    <x v="2"/>
    <x v="3"/>
    <n v="320"/>
    <x v="5"/>
    <x v="2"/>
    <n v="1960470"/>
  </r>
  <r>
    <x v="0"/>
    <x v="5"/>
    <x v="2"/>
    <x v="1"/>
    <n v="11"/>
    <x v="5"/>
    <x v="2"/>
    <n v="1960470"/>
  </r>
  <r>
    <x v="0"/>
    <x v="5"/>
    <x v="2"/>
    <x v="2"/>
    <n v="26"/>
    <x v="5"/>
    <x v="2"/>
    <n v="1960470"/>
  </r>
  <r>
    <x v="1"/>
    <x v="5"/>
    <x v="2"/>
    <x v="2"/>
    <n v="21"/>
    <x v="5"/>
    <x v="2"/>
    <n v="1960470"/>
  </r>
  <r>
    <x v="0"/>
    <x v="5"/>
    <x v="2"/>
    <x v="3"/>
    <n v="439"/>
    <x v="5"/>
    <x v="2"/>
    <n v="1960470"/>
  </r>
  <r>
    <x v="1"/>
    <x v="5"/>
    <x v="2"/>
    <x v="0"/>
    <n v="9"/>
    <x v="5"/>
    <x v="2"/>
    <n v="1960470"/>
  </r>
  <r>
    <x v="1"/>
    <x v="2"/>
    <x v="2"/>
    <x v="2"/>
    <n v="41"/>
    <x v="6"/>
    <x v="2"/>
    <n v="1961709"/>
  </r>
  <r>
    <x v="0"/>
    <x v="2"/>
    <x v="2"/>
    <x v="2"/>
    <n v="56"/>
    <x v="6"/>
    <x v="2"/>
    <n v="1961709"/>
  </r>
  <r>
    <x v="0"/>
    <x v="2"/>
    <x v="2"/>
    <x v="3"/>
    <n v="363"/>
    <x v="6"/>
    <x v="2"/>
    <n v="1961709"/>
  </r>
  <r>
    <x v="1"/>
    <x v="2"/>
    <x v="2"/>
    <x v="0"/>
    <n v="7"/>
    <x v="6"/>
    <x v="2"/>
    <n v="1961709"/>
  </r>
  <r>
    <x v="2"/>
    <x v="2"/>
    <x v="2"/>
    <x v="1"/>
    <n v="2"/>
    <x v="6"/>
    <x v="2"/>
    <n v="1961709"/>
  </r>
  <r>
    <x v="0"/>
    <x v="2"/>
    <x v="2"/>
    <x v="0"/>
    <n v="9"/>
    <x v="6"/>
    <x v="2"/>
    <n v="1961709"/>
  </r>
  <r>
    <x v="0"/>
    <x v="2"/>
    <x v="2"/>
    <x v="1"/>
    <n v="4"/>
    <x v="6"/>
    <x v="2"/>
    <n v="1961709"/>
  </r>
  <r>
    <x v="1"/>
    <x v="2"/>
    <x v="2"/>
    <x v="1"/>
    <n v="4"/>
    <x v="6"/>
    <x v="2"/>
    <n v="1961709"/>
  </r>
  <r>
    <x v="1"/>
    <x v="2"/>
    <x v="2"/>
    <x v="3"/>
    <n v="283"/>
    <x v="6"/>
    <x v="2"/>
    <n v="1961709"/>
  </r>
  <r>
    <x v="2"/>
    <x v="2"/>
    <x v="2"/>
    <x v="3"/>
    <n v="12"/>
    <x v="6"/>
    <x v="2"/>
    <n v="1961709"/>
  </r>
  <r>
    <x v="2"/>
    <x v="2"/>
    <x v="2"/>
    <x v="2"/>
    <n v="3"/>
    <x v="6"/>
    <x v="2"/>
    <n v="1961709"/>
  </r>
  <r>
    <x v="0"/>
    <x v="6"/>
    <x v="2"/>
    <x v="2"/>
    <n v="38"/>
    <x v="7"/>
    <x v="2"/>
    <n v="1959405"/>
  </r>
  <r>
    <x v="0"/>
    <x v="6"/>
    <x v="2"/>
    <x v="1"/>
    <n v="11"/>
    <x v="7"/>
    <x v="2"/>
    <n v="1959405"/>
  </r>
  <r>
    <x v="0"/>
    <x v="6"/>
    <x v="2"/>
    <x v="0"/>
    <n v="9"/>
    <x v="7"/>
    <x v="2"/>
    <n v="1959405"/>
  </r>
  <r>
    <x v="0"/>
    <x v="6"/>
    <x v="2"/>
    <x v="3"/>
    <n v="412"/>
    <x v="7"/>
    <x v="2"/>
    <n v="1959405"/>
  </r>
  <r>
    <x v="1"/>
    <x v="6"/>
    <x v="2"/>
    <x v="2"/>
    <n v="33"/>
    <x v="7"/>
    <x v="2"/>
    <n v="1959405"/>
  </r>
  <r>
    <x v="2"/>
    <x v="6"/>
    <x v="2"/>
    <x v="3"/>
    <n v="16"/>
    <x v="7"/>
    <x v="2"/>
    <n v="1959405"/>
  </r>
  <r>
    <x v="1"/>
    <x v="6"/>
    <x v="2"/>
    <x v="0"/>
    <n v="9"/>
    <x v="7"/>
    <x v="2"/>
    <n v="1959405"/>
  </r>
  <r>
    <x v="1"/>
    <x v="6"/>
    <x v="2"/>
    <x v="1"/>
    <n v="9"/>
    <x v="7"/>
    <x v="2"/>
    <n v="1959405"/>
  </r>
  <r>
    <x v="1"/>
    <x v="6"/>
    <x v="2"/>
    <x v="3"/>
    <n v="310"/>
    <x v="7"/>
    <x v="2"/>
    <n v="1959405"/>
  </r>
  <r>
    <x v="1"/>
    <x v="7"/>
    <x v="2"/>
    <x v="3"/>
    <n v="252"/>
    <x v="8"/>
    <x v="2"/>
    <n v="1960069"/>
  </r>
  <r>
    <x v="1"/>
    <x v="7"/>
    <x v="2"/>
    <x v="1"/>
    <n v="7"/>
    <x v="8"/>
    <x v="2"/>
    <n v="1960069"/>
  </r>
  <r>
    <x v="2"/>
    <x v="7"/>
    <x v="2"/>
    <x v="3"/>
    <n v="9"/>
    <x v="8"/>
    <x v="2"/>
    <n v="1960069"/>
  </r>
  <r>
    <x v="2"/>
    <x v="7"/>
    <x v="2"/>
    <x v="2"/>
    <n v="2"/>
    <x v="8"/>
    <x v="2"/>
    <n v="1960069"/>
  </r>
  <r>
    <x v="0"/>
    <x v="7"/>
    <x v="2"/>
    <x v="0"/>
    <n v="15"/>
    <x v="8"/>
    <x v="2"/>
    <n v="1960069"/>
  </r>
  <r>
    <x v="1"/>
    <x v="7"/>
    <x v="2"/>
    <x v="2"/>
    <n v="25"/>
    <x v="8"/>
    <x v="2"/>
    <n v="1960069"/>
  </r>
  <r>
    <x v="0"/>
    <x v="7"/>
    <x v="2"/>
    <x v="2"/>
    <n v="27"/>
    <x v="8"/>
    <x v="2"/>
    <n v="1960069"/>
  </r>
  <r>
    <x v="0"/>
    <x v="7"/>
    <x v="2"/>
    <x v="1"/>
    <n v="9"/>
    <x v="8"/>
    <x v="2"/>
    <n v="1960069"/>
  </r>
  <r>
    <x v="2"/>
    <x v="7"/>
    <x v="2"/>
    <x v="1"/>
    <n v="1"/>
    <x v="8"/>
    <x v="2"/>
    <n v="1960069"/>
  </r>
  <r>
    <x v="1"/>
    <x v="7"/>
    <x v="2"/>
    <x v="0"/>
    <n v="14"/>
    <x v="8"/>
    <x v="2"/>
    <n v="1960069"/>
  </r>
  <r>
    <x v="0"/>
    <x v="7"/>
    <x v="2"/>
    <x v="3"/>
    <n v="342"/>
    <x v="8"/>
    <x v="2"/>
    <n v="1960069"/>
  </r>
  <r>
    <x v="1"/>
    <x v="8"/>
    <x v="2"/>
    <x v="2"/>
    <n v="11"/>
    <x v="9"/>
    <x v="2"/>
    <n v="1954572"/>
  </r>
  <r>
    <x v="1"/>
    <x v="8"/>
    <x v="2"/>
    <x v="0"/>
    <n v="11"/>
    <x v="9"/>
    <x v="2"/>
    <n v="1954572"/>
  </r>
  <r>
    <x v="1"/>
    <x v="8"/>
    <x v="2"/>
    <x v="1"/>
    <n v="6"/>
    <x v="9"/>
    <x v="2"/>
    <n v="1954572"/>
  </r>
  <r>
    <x v="1"/>
    <x v="8"/>
    <x v="2"/>
    <x v="3"/>
    <n v="249"/>
    <x v="9"/>
    <x v="2"/>
    <n v="1954572"/>
  </r>
  <r>
    <x v="0"/>
    <x v="8"/>
    <x v="2"/>
    <x v="3"/>
    <n v="365"/>
    <x v="9"/>
    <x v="2"/>
    <n v="1954572"/>
  </r>
  <r>
    <x v="0"/>
    <x v="8"/>
    <x v="2"/>
    <x v="1"/>
    <n v="10"/>
    <x v="9"/>
    <x v="2"/>
    <n v="1954572"/>
  </r>
  <r>
    <x v="2"/>
    <x v="8"/>
    <x v="2"/>
    <x v="0"/>
    <n v="1"/>
    <x v="9"/>
    <x v="2"/>
    <n v="1954572"/>
  </r>
  <r>
    <x v="2"/>
    <x v="8"/>
    <x v="2"/>
    <x v="3"/>
    <n v="14"/>
    <x v="9"/>
    <x v="2"/>
    <n v="1954572"/>
  </r>
  <r>
    <x v="0"/>
    <x v="8"/>
    <x v="2"/>
    <x v="2"/>
    <n v="13"/>
    <x v="9"/>
    <x v="2"/>
    <n v="1954572"/>
  </r>
  <r>
    <x v="0"/>
    <x v="8"/>
    <x v="2"/>
    <x v="0"/>
    <n v="12"/>
    <x v="9"/>
    <x v="2"/>
    <n v="1954572"/>
  </r>
  <r>
    <x v="0"/>
    <x v="3"/>
    <x v="3"/>
    <x v="1"/>
    <n v="1"/>
    <x v="1"/>
    <x v="3"/>
    <n v="461593"/>
  </r>
  <r>
    <x v="0"/>
    <x v="3"/>
    <x v="3"/>
    <x v="2"/>
    <n v="4"/>
    <x v="1"/>
    <x v="3"/>
    <n v="461593"/>
  </r>
  <r>
    <x v="0"/>
    <x v="3"/>
    <x v="3"/>
    <x v="3"/>
    <n v="80"/>
    <x v="1"/>
    <x v="3"/>
    <n v="461593"/>
  </r>
  <r>
    <x v="1"/>
    <x v="3"/>
    <x v="3"/>
    <x v="3"/>
    <n v="67"/>
    <x v="1"/>
    <x v="3"/>
    <n v="461593"/>
  </r>
  <r>
    <x v="1"/>
    <x v="3"/>
    <x v="3"/>
    <x v="2"/>
    <n v="4"/>
    <x v="1"/>
    <x v="3"/>
    <n v="461593"/>
  </r>
  <r>
    <x v="1"/>
    <x v="3"/>
    <x v="3"/>
    <x v="1"/>
    <n v="1"/>
    <x v="1"/>
    <x v="3"/>
    <n v="461593"/>
  </r>
  <r>
    <x v="2"/>
    <x v="3"/>
    <x v="3"/>
    <x v="3"/>
    <n v="1"/>
    <x v="1"/>
    <x v="3"/>
    <n v="461593"/>
  </r>
  <r>
    <x v="0"/>
    <x v="3"/>
    <x v="3"/>
    <x v="0"/>
    <n v="1"/>
    <x v="1"/>
    <x v="3"/>
    <n v="461593"/>
  </r>
  <r>
    <x v="1"/>
    <x v="3"/>
    <x v="3"/>
    <x v="0"/>
    <n v="1"/>
    <x v="1"/>
    <x v="3"/>
    <n v="461593"/>
  </r>
  <r>
    <x v="0"/>
    <x v="4"/>
    <x v="3"/>
    <x v="0"/>
    <n v="1"/>
    <x v="2"/>
    <x v="3"/>
    <n v="463037"/>
  </r>
  <r>
    <x v="2"/>
    <x v="4"/>
    <x v="3"/>
    <x v="3"/>
    <n v="1"/>
    <x v="2"/>
    <x v="3"/>
    <n v="463037"/>
  </r>
  <r>
    <x v="1"/>
    <x v="4"/>
    <x v="3"/>
    <x v="1"/>
    <n v="3"/>
    <x v="2"/>
    <x v="3"/>
    <n v="463037"/>
  </r>
  <r>
    <x v="0"/>
    <x v="4"/>
    <x v="3"/>
    <x v="1"/>
    <n v="3"/>
    <x v="2"/>
    <x v="3"/>
    <n v="463037"/>
  </r>
  <r>
    <x v="0"/>
    <x v="4"/>
    <x v="3"/>
    <x v="2"/>
    <n v="1"/>
    <x v="2"/>
    <x v="3"/>
    <n v="463037"/>
  </r>
  <r>
    <x v="1"/>
    <x v="4"/>
    <x v="3"/>
    <x v="3"/>
    <n v="66"/>
    <x v="2"/>
    <x v="3"/>
    <n v="463037"/>
  </r>
  <r>
    <x v="0"/>
    <x v="4"/>
    <x v="3"/>
    <x v="3"/>
    <n v="75"/>
    <x v="2"/>
    <x v="3"/>
    <n v="463037"/>
  </r>
  <r>
    <x v="1"/>
    <x v="4"/>
    <x v="3"/>
    <x v="2"/>
    <n v="1"/>
    <x v="2"/>
    <x v="3"/>
    <n v="463037"/>
  </r>
  <r>
    <x v="1"/>
    <x v="4"/>
    <x v="3"/>
    <x v="0"/>
    <n v="1"/>
    <x v="2"/>
    <x v="3"/>
    <n v="463037"/>
  </r>
  <r>
    <x v="0"/>
    <x v="0"/>
    <x v="3"/>
    <x v="2"/>
    <n v="6"/>
    <x v="3"/>
    <x v="3"/>
    <n v="463205"/>
  </r>
  <r>
    <x v="1"/>
    <x v="0"/>
    <x v="3"/>
    <x v="0"/>
    <n v="4"/>
    <x v="3"/>
    <x v="3"/>
    <n v="463205"/>
  </r>
  <r>
    <x v="1"/>
    <x v="0"/>
    <x v="3"/>
    <x v="2"/>
    <n v="6"/>
    <x v="3"/>
    <x v="3"/>
    <n v="463205"/>
  </r>
  <r>
    <x v="0"/>
    <x v="0"/>
    <x v="3"/>
    <x v="3"/>
    <n v="34"/>
    <x v="3"/>
    <x v="3"/>
    <n v="463205"/>
  </r>
  <r>
    <x v="0"/>
    <x v="0"/>
    <x v="3"/>
    <x v="1"/>
    <n v="3"/>
    <x v="3"/>
    <x v="3"/>
    <n v="463205"/>
  </r>
  <r>
    <x v="0"/>
    <x v="0"/>
    <x v="3"/>
    <x v="0"/>
    <n v="4"/>
    <x v="3"/>
    <x v="3"/>
    <n v="463205"/>
  </r>
  <r>
    <x v="2"/>
    <x v="0"/>
    <x v="3"/>
    <x v="0"/>
    <n v="1"/>
    <x v="3"/>
    <x v="3"/>
    <n v="463205"/>
  </r>
  <r>
    <x v="1"/>
    <x v="0"/>
    <x v="3"/>
    <x v="3"/>
    <n v="27"/>
    <x v="3"/>
    <x v="3"/>
    <n v="463205"/>
  </r>
  <r>
    <x v="1"/>
    <x v="0"/>
    <x v="3"/>
    <x v="1"/>
    <n v="2"/>
    <x v="3"/>
    <x v="3"/>
    <n v="463205"/>
  </r>
  <r>
    <x v="2"/>
    <x v="0"/>
    <x v="3"/>
    <x v="3"/>
    <n v="1"/>
    <x v="3"/>
    <x v="3"/>
    <n v="463205"/>
  </r>
  <r>
    <x v="2"/>
    <x v="1"/>
    <x v="3"/>
    <x v="3"/>
    <n v="1"/>
    <x v="4"/>
    <x v="3"/>
    <n v="463264"/>
  </r>
  <r>
    <x v="1"/>
    <x v="1"/>
    <x v="3"/>
    <x v="2"/>
    <n v="7"/>
    <x v="4"/>
    <x v="3"/>
    <n v="463264"/>
  </r>
  <r>
    <x v="1"/>
    <x v="1"/>
    <x v="3"/>
    <x v="1"/>
    <n v="1"/>
    <x v="4"/>
    <x v="3"/>
    <n v="463264"/>
  </r>
  <r>
    <x v="0"/>
    <x v="1"/>
    <x v="3"/>
    <x v="1"/>
    <n v="1"/>
    <x v="4"/>
    <x v="3"/>
    <n v="463264"/>
  </r>
  <r>
    <x v="0"/>
    <x v="1"/>
    <x v="3"/>
    <x v="2"/>
    <n v="7"/>
    <x v="4"/>
    <x v="3"/>
    <n v="463264"/>
  </r>
  <r>
    <x v="0"/>
    <x v="1"/>
    <x v="3"/>
    <x v="3"/>
    <n v="57"/>
    <x v="4"/>
    <x v="3"/>
    <n v="463264"/>
  </r>
  <r>
    <x v="1"/>
    <x v="1"/>
    <x v="3"/>
    <x v="3"/>
    <n v="40"/>
    <x v="4"/>
    <x v="3"/>
    <n v="463264"/>
  </r>
  <r>
    <x v="1"/>
    <x v="5"/>
    <x v="3"/>
    <x v="1"/>
    <n v="2"/>
    <x v="5"/>
    <x v="3"/>
    <n v="465834"/>
  </r>
  <r>
    <x v="0"/>
    <x v="5"/>
    <x v="3"/>
    <x v="0"/>
    <n v="3"/>
    <x v="5"/>
    <x v="3"/>
    <n v="465834"/>
  </r>
  <r>
    <x v="1"/>
    <x v="5"/>
    <x v="3"/>
    <x v="0"/>
    <n v="1"/>
    <x v="5"/>
    <x v="3"/>
    <n v="465834"/>
  </r>
  <r>
    <x v="1"/>
    <x v="5"/>
    <x v="3"/>
    <x v="2"/>
    <n v="1"/>
    <x v="5"/>
    <x v="3"/>
    <n v="465834"/>
  </r>
  <r>
    <x v="1"/>
    <x v="5"/>
    <x v="3"/>
    <x v="3"/>
    <n v="43"/>
    <x v="5"/>
    <x v="3"/>
    <n v="465834"/>
  </r>
  <r>
    <x v="2"/>
    <x v="5"/>
    <x v="3"/>
    <x v="2"/>
    <n v="1"/>
    <x v="5"/>
    <x v="3"/>
    <n v="465834"/>
  </r>
  <r>
    <x v="2"/>
    <x v="5"/>
    <x v="3"/>
    <x v="3"/>
    <n v="1"/>
    <x v="5"/>
    <x v="3"/>
    <n v="465834"/>
  </r>
  <r>
    <x v="0"/>
    <x v="5"/>
    <x v="3"/>
    <x v="2"/>
    <n v="2"/>
    <x v="5"/>
    <x v="3"/>
    <n v="465834"/>
  </r>
  <r>
    <x v="0"/>
    <x v="5"/>
    <x v="3"/>
    <x v="3"/>
    <n v="58"/>
    <x v="5"/>
    <x v="3"/>
    <n v="465834"/>
  </r>
  <r>
    <x v="0"/>
    <x v="5"/>
    <x v="3"/>
    <x v="1"/>
    <n v="2"/>
    <x v="5"/>
    <x v="3"/>
    <n v="465834"/>
  </r>
  <r>
    <x v="1"/>
    <x v="2"/>
    <x v="3"/>
    <x v="2"/>
    <n v="5"/>
    <x v="6"/>
    <x v="3"/>
    <n v="467115"/>
  </r>
  <r>
    <x v="2"/>
    <x v="2"/>
    <x v="3"/>
    <x v="3"/>
    <n v="3"/>
    <x v="6"/>
    <x v="3"/>
    <n v="467115"/>
  </r>
  <r>
    <x v="0"/>
    <x v="2"/>
    <x v="3"/>
    <x v="2"/>
    <n v="10"/>
    <x v="6"/>
    <x v="3"/>
    <n v="467115"/>
  </r>
  <r>
    <x v="1"/>
    <x v="2"/>
    <x v="3"/>
    <x v="3"/>
    <n v="43"/>
    <x v="6"/>
    <x v="3"/>
    <n v="467115"/>
  </r>
  <r>
    <x v="0"/>
    <x v="2"/>
    <x v="3"/>
    <x v="1"/>
    <n v="5"/>
    <x v="6"/>
    <x v="3"/>
    <n v="467115"/>
  </r>
  <r>
    <x v="1"/>
    <x v="2"/>
    <x v="3"/>
    <x v="1"/>
    <n v="3"/>
    <x v="6"/>
    <x v="3"/>
    <n v="467115"/>
  </r>
  <r>
    <x v="0"/>
    <x v="2"/>
    <x v="3"/>
    <x v="3"/>
    <n v="54"/>
    <x v="6"/>
    <x v="3"/>
    <n v="467115"/>
  </r>
  <r>
    <x v="0"/>
    <x v="6"/>
    <x v="3"/>
    <x v="3"/>
    <n v="63"/>
    <x v="7"/>
    <x v="3"/>
    <n v="467717"/>
  </r>
  <r>
    <x v="1"/>
    <x v="6"/>
    <x v="3"/>
    <x v="1"/>
    <n v="1"/>
    <x v="7"/>
    <x v="3"/>
    <n v="467717"/>
  </r>
  <r>
    <x v="1"/>
    <x v="6"/>
    <x v="3"/>
    <x v="2"/>
    <n v="6"/>
    <x v="7"/>
    <x v="3"/>
    <n v="467717"/>
  </r>
  <r>
    <x v="1"/>
    <x v="6"/>
    <x v="3"/>
    <x v="3"/>
    <n v="49"/>
    <x v="7"/>
    <x v="3"/>
    <n v="467717"/>
  </r>
  <r>
    <x v="0"/>
    <x v="6"/>
    <x v="3"/>
    <x v="1"/>
    <n v="2"/>
    <x v="7"/>
    <x v="3"/>
    <n v="467717"/>
  </r>
  <r>
    <x v="1"/>
    <x v="6"/>
    <x v="3"/>
    <x v="0"/>
    <n v="4"/>
    <x v="7"/>
    <x v="3"/>
    <n v="467717"/>
  </r>
  <r>
    <x v="2"/>
    <x v="6"/>
    <x v="3"/>
    <x v="3"/>
    <n v="6"/>
    <x v="7"/>
    <x v="3"/>
    <n v="467717"/>
  </r>
  <r>
    <x v="0"/>
    <x v="6"/>
    <x v="3"/>
    <x v="0"/>
    <n v="4"/>
    <x v="7"/>
    <x v="3"/>
    <n v="467717"/>
  </r>
  <r>
    <x v="0"/>
    <x v="6"/>
    <x v="3"/>
    <x v="2"/>
    <n v="9"/>
    <x v="7"/>
    <x v="3"/>
    <n v="467717"/>
  </r>
  <r>
    <x v="1"/>
    <x v="7"/>
    <x v="3"/>
    <x v="0"/>
    <n v="3"/>
    <x v="8"/>
    <x v="3"/>
    <n v="468895"/>
  </r>
  <r>
    <x v="1"/>
    <x v="7"/>
    <x v="3"/>
    <x v="1"/>
    <n v="4"/>
    <x v="8"/>
    <x v="3"/>
    <n v="468895"/>
  </r>
  <r>
    <x v="0"/>
    <x v="7"/>
    <x v="3"/>
    <x v="0"/>
    <n v="3"/>
    <x v="8"/>
    <x v="3"/>
    <n v="468895"/>
  </r>
  <r>
    <x v="0"/>
    <x v="7"/>
    <x v="3"/>
    <x v="2"/>
    <n v="6"/>
    <x v="8"/>
    <x v="3"/>
    <n v="468895"/>
  </r>
  <r>
    <x v="1"/>
    <x v="7"/>
    <x v="3"/>
    <x v="2"/>
    <n v="6"/>
    <x v="8"/>
    <x v="3"/>
    <n v="468895"/>
  </r>
  <r>
    <x v="1"/>
    <x v="7"/>
    <x v="3"/>
    <x v="3"/>
    <n v="38"/>
    <x v="8"/>
    <x v="3"/>
    <n v="468895"/>
  </r>
  <r>
    <x v="2"/>
    <x v="7"/>
    <x v="3"/>
    <x v="3"/>
    <n v="1"/>
    <x v="8"/>
    <x v="3"/>
    <n v="468895"/>
  </r>
  <r>
    <x v="0"/>
    <x v="7"/>
    <x v="3"/>
    <x v="3"/>
    <n v="52"/>
    <x v="8"/>
    <x v="3"/>
    <n v="468895"/>
  </r>
  <r>
    <x v="2"/>
    <x v="7"/>
    <x v="3"/>
    <x v="1"/>
    <n v="1"/>
    <x v="8"/>
    <x v="3"/>
    <n v="468895"/>
  </r>
  <r>
    <x v="0"/>
    <x v="7"/>
    <x v="3"/>
    <x v="1"/>
    <n v="4"/>
    <x v="8"/>
    <x v="3"/>
    <n v="468895"/>
  </r>
  <r>
    <x v="2"/>
    <x v="8"/>
    <x v="3"/>
    <x v="3"/>
    <n v="4"/>
    <x v="9"/>
    <x v="3"/>
    <n v="468634"/>
  </r>
  <r>
    <x v="0"/>
    <x v="8"/>
    <x v="3"/>
    <x v="0"/>
    <n v="3"/>
    <x v="9"/>
    <x v="3"/>
    <n v="468634"/>
  </r>
  <r>
    <x v="0"/>
    <x v="8"/>
    <x v="3"/>
    <x v="1"/>
    <n v="1"/>
    <x v="9"/>
    <x v="3"/>
    <n v="468634"/>
  </r>
  <r>
    <x v="0"/>
    <x v="8"/>
    <x v="3"/>
    <x v="2"/>
    <n v="2"/>
    <x v="9"/>
    <x v="3"/>
    <n v="468634"/>
  </r>
  <r>
    <x v="1"/>
    <x v="8"/>
    <x v="3"/>
    <x v="1"/>
    <n v="1"/>
    <x v="9"/>
    <x v="3"/>
    <n v="468634"/>
  </r>
  <r>
    <x v="0"/>
    <x v="8"/>
    <x v="3"/>
    <x v="3"/>
    <n v="75"/>
    <x v="9"/>
    <x v="3"/>
    <n v="468634"/>
  </r>
  <r>
    <x v="1"/>
    <x v="8"/>
    <x v="3"/>
    <x v="0"/>
    <n v="2"/>
    <x v="9"/>
    <x v="3"/>
    <n v="468634"/>
  </r>
  <r>
    <x v="1"/>
    <x v="8"/>
    <x v="3"/>
    <x v="3"/>
    <n v="43"/>
    <x v="9"/>
    <x v="3"/>
    <n v="468634"/>
  </r>
  <r>
    <x v="1"/>
    <x v="8"/>
    <x v="3"/>
    <x v="2"/>
    <n v="1"/>
    <x v="9"/>
    <x v="3"/>
    <n v="468634"/>
  </r>
  <r>
    <x v="1"/>
    <x v="3"/>
    <x v="4"/>
    <x v="2"/>
    <n v="3"/>
    <x v="1"/>
    <x v="4"/>
    <n v="193502"/>
  </r>
  <r>
    <x v="1"/>
    <x v="3"/>
    <x v="4"/>
    <x v="1"/>
    <n v="2"/>
    <x v="1"/>
    <x v="4"/>
    <n v="193502"/>
  </r>
  <r>
    <x v="1"/>
    <x v="3"/>
    <x v="4"/>
    <x v="0"/>
    <n v="1"/>
    <x v="1"/>
    <x v="4"/>
    <n v="193502"/>
  </r>
  <r>
    <x v="2"/>
    <x v="3"/>
    <x v="4"/>
    <x v="3"/>
    <n v="1"/>
    <x v="1"/>
    <x v="4"/>
    <n v="193502"/>
  </r>
  <r>
    <x v="0"/>
    <x v="3"/>
    <x v="4"/>
    <x v="3"/>
    <n v="21"/>
    <x v="1"/>
    <x v="4"/>
    <n v="193502"/>
  </r>
  <r>
    <x v="0"/>
    <x v="3"/>
    <x v="4"/>
    <x v="0"/>
    <n v="1"/>
    <x v="1"/>
    <x v="4"/>
    <n v="193502"/>
  </r>
  <r>
    <x v="0"/>
    <x v="3"/>
    <x v="4"/>
    <x v="1"/>
    <n v="2"/>
    <x v="1"/>
    <x v="4"/>
    <n v="193502"/>
  </r>
  <r>
    <x v="0"/>
    <x v="3"/>
    <x v="4"/>
    <x v="2"/>
    <n v="3"/>
    <x v="1"/>
    <x v="4"/>
    <n v="193502"/>
  </r>
  <r>
    <x v="1"/>
    <x v="3"/>
    <x v="4"/>
    <x v="3"/>
    <n v="17"/>
    <x v="1"/>
    <x v="4"/>
    <n v="193502"/>
  </r>
  <r>
    <x v="1"/>
    <x v="4"/>
    <x v="4"/>
    <x v="0"/>
    <n v="1"/>
    <x v="2"/>
    <x v="4"/>
    <n v="193081"/>
  </r>
  <r>
    <x v="1"/>
    <x v="4"/>
    <x v="4"/>
    <x v="3"/>
    <n v="39"/>
    <x v="2"/>
    <x v="4"/>
    <n v="193081"/>
  </r>
  <r>
    <x v="1"/>
    <x v="4"/>
    <x v="4"/>
    <x v="2"/>
    <n v="1"/>
    <x v="2"/>
    <x v="4"/>
    <n v="193081"/>
  </r>
  <r>
    <x v="0"/>
    <x v="4"/>
    <x v="4"/>
    <x v="3"/>
    <n v="43"/>
    <x v="2"/>
    <x v="4"/>
    <n v="193081"/>
  </r>
  <r>
    <x v="0"/>
    <x v="4"/>
    <x v="4"/>
    <x v="2"/>
    <n v="1"/>
    <x v="2"/>
    <x v="4"/>
    <n v="193081"/>
  </r>
  <r>
    <x v="0"/>
    <x v="4"/>
    <x v="4"/>
    <x v="0"/>
    <n v="1"/>
    <x v="2"/>
    <x v="4"/>
    <n v="193081"/>
  </r>
  <r>
    <x v="0"/>
    <x v="0"/>
    <x v="4"/>
    <x v="2"/>
    <n v="5"/>
    <x v="3"/>
    <x v="4"/>
    <n v="192400"/>
  </r>
  <r>
    <x v="1"/>
    <x v="0"/>
    <x v="4"/>
    <x v="2"/>
    <n v="1"/>
    <x v="3"/>
    <x v="4"/>
    <n v="192400"/>
  </r>
  <r>
    <x v="1"/>
    <x v="0"/>
    <x v="4"/>
    <x v="3"/>
    <n v="34"/>
    <x v="3"/>
    <x v="4"/>
    <n v="192400"/>
  </r>
  <r>
    <x v="0"/>
    <x v="0"/>
    <x v="4"/>
    <x v="3"/>
    <n v="39"/>
    <x v="3"/>
    <x v="4"/>
    <n v="192400"/>
  </r>
  <r>
    <x v="2"/>
    <x v="0"/>
    <x v="4"/>
    <x v="3"/>
    <n v="1"/>
    <x v="3"/>
    <x v="4"/>
    <n v="192400"/>
  </r>
  <r>
    <x v="1"/>
    <x v="1"/>
    <x v="4"/>
    <x v="3"/>
    <n v="17"/>
    <x v="4"/>
    <x v="4"/>
    <n v="192266"/>
  </r>
  <r>
    <x v="1"/>
    <x v="1"/>
    <x v="4"/>
    <x v="2"/>
    <n v="2"/>
    <x v="4"/>
    <x v="4"/>
    <n v="192266"/>
  </r>
  <r>
    <x v="0"/>
    <x v="1"/>
    <x v="4"/>
    <x v="3"/>
    <n v="29"/>
    <x v="4"/>
    <x v="4"/>
    <n v="192266"/>
  </r>
  <r>
    <x v="0"/>
    <x v="1"/>
    <x v="4"/>
    <x v="2"/>
    <n v="2"/>
    <x v="4"/>
    <x v="4"/>
    <n v="192266"/>
  </r>
  <r>
    <x v="2"/>
    <x v="1"/>
    <x v="4"/>
    <x v="3"/>
    <n v="2"/>
    <x v="4"/>
    <x v="4"/>
    <n v="192266"/>
  </r>
  <r>
    <x v="0"/>
    <x v="5"/>
    <x v="4"/>
    <x v="2"/>
    <n v="4"/>
    <x v="5"/>
    <x v="4"/>
    <n v="192175"/>
  </r>
  <r>
    <x v="0"/>
    <x v="5"/>
    <x v="4"/>
    <x v="3"/>
    <n v="32"/>
    <x v="5"/>
    <x v="4"/>
    <n v="192175"/>
  </r>
  <r>
    <x v="1"/>
    <x v="5"/>
    <x v="4"/>
    <x v="2"/>
    <n v="4"/>
    <x v="5"/>
    <x v="4"/>
    <n v="192175"/>
  </r>
  <r>
    <x v="1"/>
    <x v="5"/>
    <x v="4"/>
    <x v="3"/>
    <n v="21"/>
    <x v="5"/>
    <x v="4"/>
    <n v="192175"/>
  </r>
  <r>
    <x v="0"/>
    <x v="2"/>
    <x v="4"/>
    <x v="1"/>
    <n v="2"/>
    <x v="6"/>
    <x v="4"/>
    <n v="191497"/>
  </r>
  <r>
    <x v="1"/>
    <x v="2"/>
    <x v="4"/>
    <x v="2"/>
    <n v="1"/>
    <x v="6"/>
    <x v="4"/>
    <n v="191497"/>
  </r>
  <r>
    <x v="0"/>
    <x v="2"/>
    <x v="4"/>
    <x v="3"/>
    <n v="24"/>
    <x v="6"/>
    <x v="4"/>
    <n v="191497"/>
  </r>
  <r>
    <x v="0"/>
    <x v="2"/>
    <x v="4"/>
    <x v="2"/>
    <n v="1"/>
    <x v="6"/>
    <x v="4"/>
    <n v="191497"/>
  </r>
  <r>
    <x v="2"/>
    <x v="2"/>
    <x v="4"/>
    <x v="0"/>
    <n v="1"/>
    <x v="6"/>
    <x v="4"/>
    <n v="191497"/>
  </r>
  <r>
    <x v="2"/>
    <x v="2"/>
    <x v="4"/>
    <x v="3"/>
    <n v="4"/>
    <x v="6"/>
    <x v="4"/>
    <n v="191497"/>
  </r>
  <r>
    <x v="1"/>
    <x v="2"/>
    <x v="4"/>
    <x v="3"/>
    <n v="16"/>
    <x v="6"/>
    <x v="4"/>
    <n v="191497"/>
  </r>
  <r>
    <x v="2"/>
    <x v="6"/>
    <x v="4"/>
    <x v="3"/>
    <n v="4"/>
    <x v="7"/>
    <x v="4"/>
    <n v="191207"/>
  </r>
  <r>
    <x v="0"/>
    <x v="6"/>
    <x v="4"/>
    <x v="1"/>
    <n v="1"/>
    <x v="7"/>
    <x v="4"/>
    <n v="191207"/>
  </r>
  <r>
    <x v="0"/>
    <x v="6"/>
    <x v="4"/>
    <x v="2"/>
    <n v="1"/>
    <x v="7"/>
    <x v="4"/>
    <n v="191207"/>
  </r>
  <r>
    <x v="1"/>
    <x v="6"/>
    <x v="4"/>
    <x v="0"/>
    <n v="1"/>
    <x v="7"/>
    <x v="4"/>
    <n v="191207"/>
  </r>
  <r>
    <x v="0"/>
    <x v="6"/>
    <x v="4"/>
    <x v="3"/>
    <n v="28"/>
    <x v="7"/>
    <x v="4"/>
    <n v="191207"/>
  </r>
  <r>
    <x v="1"/>
    <x v="6"/>
    <x v="4"/>
    <x v="3"/>
    <n v="25"/>
    <x v="7"/>
    <x v="4"/>
    <n v="191207"/>
  </r>
  <r>
    <x v="1"/>
    <x v="6"/>
    <x v="4"/>
    <x v="2"/>
    <n v="1"/>
    <x v="7"/>
    <x v="4"/>
    <n v="191207"/>
  </r>
  <r>
    <x v="0"/>
    <x v="6"/>
    <x v="4"/>
    <x v="0"/>
    <n v="1"/>
    <x v="7"/>
    <x v="4"/>
    <n v="191207"/>
  </r>
  <r>
    <x v="1"/>
    <x v="6"/>
    <x v="4"/>
    <x v="1"/>
    <n v="1"/>
    <x v="7"/>
    <x v="4"/>
    <n v="191207"/>
  </r>
  <r>
    <x v="1"/>
    <x v="7"/>
    <x v="4"/>
    <x v="2"/>
    <n v="2"/>
    <x v="8"/>
    <x v="4"/>
    <n v="191028"/>
  </r>
  <r>
    <x v="1"/>
    <x v="7"/>
    <x v="4"/>
    <x v="3"/>
    <n v="21"/>
    <x v="8"/>
    <x v="4"/>
    <n v="191028"/>
  </r>
  <r>
    <x v="2"/>
    <x v="7"/>
    <x v="4"/>
    <x v="3"/>
    <n v="1"/>
    <x v="8"/>
    <x v="4"/>
    <n v="191028"/>
  </r>
  <r>
    <x v="0"/>
    <x v="7"/>
    <x v="4"/>
    <x v="2"/>
    <n v="3"/>
    <x v="8"/>
    <x v="4"/>
    <n v="191028"/>
  </r>
  <r>
    <x v="0"/>
    <x v="7"/>
    <x v="4"/>
    <x v="1"/>
    <n v="2"/>
    <x v="8"/>
    <x v="4"/>
    <n v="191028"/>
  </r>
  <r>
    <x v="0"/>
    <x v="7"/>
    <x v="4"/>
    <x v="3"/>
    <n v="27"/>
    <x v="8"/>
    <x v="4"/>
    <n v="191028"/>
  </r>
  <r>
    <x v="1"/>
    <x v="7"/>
    <x v="4"/>
    <x v="1"/>
    <n v="2"/>
    <x v="8"/>
    <x v="4"/>
    <n v="191028"/>
  </r>
  <r>
    <x v="1"/>
    <x v="8"/>
    <x v="4"/>
    <x v="2"/>
    <n v="5"/>
    <x v="9"/>
    <x v="4"/>
    <n v="189997"/>
  </r>
  <r>
    <x v="1"/>
    <x v="8"/>
    <x v="4"/>
    <x v="3"/>
    <n v="19"/>
    <x v="9"/>
    <x v="4"/>
    <n v="189997"/>
  </r>
  <r>
    <x v="0"/>
    <x v="8"/>
    <x v="4"/>
    <x v="0"/>
    <n v="1"/>
    <x v="9"/>
    <x v="4"/>
    <n v="189997"/>
  </r>
  <r>
    <x v="1"/>
    <x v="8"/>
    <x v="4"/>
    <x v="0"/>
    <n v="1"/>
    <x v="9"/>
    <x v="4"/>
    <n v="189997"/>
  </r>
  <r>
    <x v="0"/>
    <x v="8"/>
    <x v="4"/>
    <x v="2"/>
    <n v="5"/>
    <x v="9"/>
    <x v="4"/>
    <n v="189997"/>
  </r>
  <r>
    <x v="0"/>
    <x v="8"/>
    <x v="4"/>
    <x v="3"/>
    <n v="27"/>
    <x v="9"/>
    <x v="4"/>
    <n v="189997"/>
  </r>
  <r>
    <x v="0"/>
    <x v="3"/>
    <x v="5"/>
    <x v="0"/>
    <n v="3"/>
    <x v="1"/>
    <x v="5"/>
    <n v="576605"/>
  </r>
  <r>
    <x v="0"/>
    <x v="3"/>
    <x v="5"/>
    <x v="2"/>
    <n v="8"/>
    <x v="1"/>
    <x v="5"/>
    <n v="576605"/>
  </r>
  <r>
    <x v="0"/>
    <x v="3"/>
    <x v="5"/>
    <x v="3"/>
    <n v="69"/>
    <x v="1"/>
    <x v="5"/>
    <n v="576605"/>
  </r>
  <r>
    <x v="1"/>
    <x v="3"/>
    <x v="5"/>
    <x v="1"/>
    <n v="19"/>
    <x v="1"/>
    <x v="5"/>
    <n v="576605"/>
  </r>
  <r>
    <x v="0"/>
    <x v="3"/>
    <x v="5"/>
    <x v="1"/>
    <n v="20"/>
    <x v="1"/>
    <x v="5"/>
    <n v="576605"/>
  </r>
  <r>
    <x v="1"/>
    <x v="3"/>
    <x v="5"/>
    <x v="2"/>
    <n v="4"/>
    <x v="1"/>
    <x v="5"/>
    <n v="576605"/>
  </r>
  <r>
    <x v="2"/>
    <x v="3"/>
    <x v="5"/>
    <x v="3"/>
    <n v="5"/>
    <x v="1"/>
    <x v="5"/>
    <n v="576605"/>
  </r>
  <r>
    <x v="1"/>
    <x v="3"/>
    <x v="5"/>
    <x v="0"/>
    <n v="3"/>
    <x v="1"/>
    <x v="5"/>
    <n v="576605"/>
  </r>
  <r>
    <x v="1"/>
    <x v="3"/>
    <x v="5"/>
    <x v="3"/>
    <n v="61"/>
    <x v="1"/>
    <x v="5"/>
    <n v="576605"/>
  </r>
  <r>
    <x v="2"/>
    <x v="3"/>
    <x v="5"/>
    <x v="1"/>
    <n v="2"/>
    <x v="1"/>
    <x v="5"/>
    <n v="576605"/>
  </r>
  <r>
    <x v="1"/>
    <x v="4"/>
    <x v="5"/>
    <x v="2"/>
    <n v="11"/>
    <x v="2"/>
    <x v="5"/>
    <n v="580159"/>
  </r>
  <r>
    <x v="0"/>
    <x v="4"/>
    <x v="5"/>
    <x v="3"/>
    <n v="72"/>
    <x v="2"/>
    <x v="5"/>
    <n v="580159"/>
  </r>
  <r>
    <x v="1"/>
    <x v="4"/>
    <x v="5"/>
    <x v="1"/>
    <n v="25"/>
    <x v="2"/>
    <x v="5"/>
    <n v="580159"/>
  </r>
  <r>
    <x v="0"/>
    <x v="4"/>
    <x v="5"/>
    <x v="0"/>
    <n v="8"/>
    <x v="2"/>
    <x v="5"/>
    <n v="580159"/>
  </r>
  <r>
    <x v="0"/>
    <x v="4"/>
    <x v="5"/>
    <x v="1"/>
    <n v="25"/>
    <x v="2"/>
    <x v="5"/>
    <n v="580159"/>
  </r>
  <r>
    <x v="2"/>
    <x v="4"/>
    <x v="5"/>
    <x v="3"/>
    <n v="5"/>
    <x v="2"/>
    <x v="5"/>
    <n v="580159"/>
  </r>
  <r>
    <x v="1"/>
    <x v="4"/>
    <x v="5"/>
    <x v="3"/>
    <n v="62"/>
    <x v="2"/>
    <x v="5"/>
    <n v="580159"/>
  </r>
  <r>
    <x v="1"/>
    <x v="4"/>
    <x v="5"/>
    <x v="0"/>
    <n v="5"/>
    <x v="2"/>
    <x v="5"/>
    <n v="580159"/>
  </r>
  <r>
    <x v="0"/>
    <x v="4"/>
    <x v="5"/>
    <x v="2"/>
    <n v="11"/>
    <x v="2"/>
    <x v="5"/>
    <n v="580159"/>
  </r>
  <r>
    <x v="2"/>
    <x v="4"/>
    <x v="5"/>
    <x v="1"/>
    <n v="1"/>
    <x v="2"/>
    <x v="5"/>
    <n v="580159"/>
  </r>
  <r>
    <x v="1"/>
    <x v="0"/>
    <x v="5"/>
    <x v="3"/>
    <n v="42"/>
    <x v="3"/>
    <x v="5"/>
    <n v="585566"/>
  </r>
  <r>
    <x v="1"/>
    <x v="0"/>
    <x v="5"/>
    <x v="0"/>
    <n v="1"/>
    <x v="3"/>
    <x v="5"/>
    <n v="585566"/>
  </r>
  <r>
    <x v="2"/>
    <x v="0"/>
    <x v="5"/>
    <x v="3"/>
    <n v="4"/>
    <x v="3"/>
    <x v="5"/>
    <n v="585566"/>
  </r>
  <r>
    <x v="2"/>
    <x v="0"/>
    <x v="5"/>
    <x v="1"/>
    <n v="1"/>
    <x v="3"/>
    <x v="5"/>
    <n v="585566"/>
  </r>
  <r>
    <x v="2"/>
    <x v="0"/>
    <x v="5"/>
    <x v="0"/>
    <n v="1"/>
    <x v="3"/>
    <x v="5"/>
    <n v="585566"/>
  </r>
  <r>
    <x v="0"/>
    <x v="0"/>
    <x v="5"/>
    <x v="0"/>
    <n v="1"/>
    <x v="3"/>
    <x v="5"/>
    <n v="585566"/>
  </r>
  <r>
    <x v="0"/>
    <x v="0"/>
    <x v="5"/>
    <x v="1"/>
    <n v="10"/>
    <x v="3"/>
    <x v="5"/>
    <n v="585566"/>
  </r>
  <r>
    <x v="0"/>
    <x v="0"/>
    <x v="5"/>
    <x v="2"/>
    <n v="11"/>
    <x v="3"/>
    <x v="5"/>
    <n v="585566"/>
  </r>
  <r>
    <x v="0"/>
    <x v="0"/>
    <x v="5"/>
    <x v="3"/>
    <n v="49"/>
    <x v="3"/>
    <x v="5"/>
    <n v="585566"/>
  </r>
  <r>
    <x v="1"/>
    <x v="0"/>
    <x v="5"/>
    <x v="2"/>
    <n v="11"/>
    <x v="3"/>
    <x v="5"/>
    <n v="585566"/>
  </r>
  <r>
    <x v="1"/>
    <x v="0"/>
    <x v="5"/>
    <x v="1"/>
    <n v="10"/>
    <x v="3"/>
    <x v="5"/>
    <n v="585566"/>
  </r>
  <r>
    <x v="0"/>
    <x v="1"/>
    <x v="5"/>
    <x v="0"/>
    <n v="5"/>
    <x v="4"/>
    <x v="5"/>
    <n v="591482"/>
  </r>
  <r>
    <x v="0"/>
    <x v="1"/>
    <x v="5"/>
    <x v="1"/>
    <n v="20"/>
    <x v="4"/>
    <x v="5"/>
    <n v="591482"/>
  </r>
  <r>
    <x v="0"/>
    <x v="1"/>
    <x v="5"/>
    <x v="2"/>
    <n v="17"/>
    <x v="4"/>
    <x v="5"/>
    <n v="591482"/>
  </r>
  <r>
    <x v="0"/>
    <x v="1"/>
    <x v="5"/>
    <x v="3"/>
    <n v="51"/>
    <x v="4"/>
    <x v="5"/>
    <n v="591482"/>
  </r>
  <r>
    <x v="1"/>
    <x v="1"/>
    <x v="5"/>
    <x v="2"/>
    <n v="16"/>
    <x v="4"/>
    <x v="5"/>
    <n v="591482"/>
  </r>
  <r>
    <x v="1"/>
    <x v="1"/>
    <x v="5"/>
    <x v="1"/>
    <n v="19"/>
    <x v="4"/>
    <x v="5"/>
    <n v="591482"/>
  </r>
  <r>
    <x v="1"/>
    <x v="1"/>
    <x v="5"/>
    <x v="0"/>
    <n v="5"/>
    <x v="4"/>
    <x v="5"/>
    <n v="591482"/>
  </r>
  <r>
    <x v="2"/>
    <x v="1"/>
    <x v="5"/>
    <x v="1"/>
    <n v="2"/>
    <x v="4"/>
    <x v="5"/>
    <n v="591482"/>
  </r>
  <r>
    <x v="2"/>
    <x v="1"/>
    <x v="5"/>
    <x v="2"/>
    <n v="1"/>
    <x v="4"/>
    <x v="5"/>
    <n v="591482"/>
  </r>
  <r>
    <x v="2"/>
    <x v="1"/>
    <x v="5"/>
    <x v="3"/>
    <n v="3"/>
    <x v="4"/>
    <x v="5"/>
    <n v="591482"/>
  </r>
  <r>
    <x v="1"/>
    <x v="1"/>
    <x v="5"/>
    <x v="3"/>
    <n v="46"/>
    <x v="4"/>
    <x v="5"/>
    <n v="591482"/>
  </r>
  <r>
    <x v="1"/>
    <x v="5"/>
    <x v="5"/>
    <x v="0"/>
    <n v="4"/>
    <x v="5"/>
    <x v="5"/>
    <n v="598082"/>
  </r>
  <r>
    <x v="2"/>
    <x v="5"/>
    <x v="5"/>
    <x v="1"/>
    <n v="3"/>
    <x v="5"/>
    <x v="5"/>
    <n v="598082"/>
  </r>
  <r>
    <x v="1"/>
    <x v="5"/>
    <x v="5"/>
    <x v="3"/>
    <n v="47"/>
    <x v="5"/>
    <x v="5"/>
    <n v="598082"/>
  </r>
  <r>
    <x v="1"/>
    <x v="5"/>
    <x v="5"/>
    <x v="2"/>
    <n v="8"/>
    <x v="5"/>
    <x v="5"/>
    <n v="598082"/>
  </r>
  <r>
    <x v="1"/>
    <x v="5"/>
    <x v="5"/>
    <x v="1"/>
    <n v="17"/>
    <x v="5"/>
    <x v="5"/>
    <n v="598082"/>
  </r>
  <r>
    <x v="2"/>
    <x v="5"/>
    <x v="5"/>
    <x v="3"/>
    <n v="3"/>
    <x v="5"/>
    <x v="5"/>
    <n v="598082"/>
  </r>
  <r>
    <x v="0"/>
    <x v="5"/>
    <x v="5"/>
    <x v="3"/>
    <n v="54"/>
    <x v="5"/>
    <x v="5"/>
    <n v="598082"/>
  </r>
  <r>
    <x v="0"/>
    <x v="5"/>
    <x v="5"/>
    <x v="2"/>
    <n v="10"/>
    <x v="5"/>
    <x v="5"/>
    <n v="598082"/>
  </r>
  <r>
    <x v="0"/>
    <x v="5"/>
    <x v="5"/>
    <x v="1"/>
    <n v="19"/>
    <x v="5"/>
    <x v="5"/>
    <n v="598082"/>
  </r>
  <r>
    <x v="0"/>
    <x v="5"/>
    <x v="5"/>
    <x v="0"/>
    <n v="4"/>
    <x v="5"/>
    <x v="5"/>
    <n v="598082"/>
  </r>
  <r>
    <x v="0"/>
    <x v="2"/>
    <x v="5"/>
    <x v="0"/>
    <n v="6"/>
    <x v="6"/>
    <x v="5"/>
    <n v="603678"/>
  </r>
  <r>
    <x v="2"/>
    <x v="2"/>
    <x v="5"/>
    <x v="1"/>
    <n v="1"/>
    <x v="6"/>
    <x v="5"/>
    <n v="603678"/>
  </r>
  <r>
    <x v="2"/>
    <x v="2"/>
    <x v="5"/>
    <x v="3"/>
    <n v="4"/>
    <x v="6"/>
    <x v="5"/>
    <n v="603678"/>
  </r>
  <r>
    <x v="0"/>
    <x v="2"/>
    <x v="5"/>
    <x v="3"/>
    <n v="49"/>
    <x v="6"/>
    <x v="5"/>
    <n v="603678"/>
  </r>
  <r>
    <x v="0"/>
    <x v="2"/>
    <x v="5"/>
    <x v="1"/>
    <n v="19"/>
    <x v="6"/>
    <x v="5"/>
    <n v="603678"/>
  </r>
  <r>
    <x v="1"/>
    <x v="2"/>
    <x v="5"/>
    <x v="2"/>
    <n v="11"/>
    <x v="6"/>
    <x v="5"/>
    <n v="603678"/>
  </r>
  <r>
    <x v="1"/>
    <x v="2"/>
    <x v="5"/>
    <x v="1"/>
    <n v="15"/>
    <x v="6"/>
    <x v="5"/>
    <n v="603678"/>
  </r>
  <r>
    <x v="1"/>
    <x v="2"/>
    <x v="5"/>
    <x v="0"/>
    <n v="4"/>
    <x v="6"/>
    <x v="5"/>
    <n v="603678"/>
  </r>
  <r>
    <x v="0"/>
    <x v="2"/>
    <x v="5"/>
    <x v="2"/>
    <n v="12"/>
    <x v="6"/>
    <x v="5"/>
    <n v="603678"/>
  </r>
  <r>
    <x v="1"/>
    <x v="2"/>
    <x v="5"/>
    <x v="3"/>
    <n v="43"/>
    <x v="6"/>
    <x v="5"/>
    <n v="603678"/>
  </r>
  <r>
    <x v="0"/>
    <x v="6"/>
    <x v="5"/>
    <x v="0"/>
    <n v="5"/>
    <x v="7"/>
    <x v="5"/>
    <n v="608611"/>
  </r>
  <r>
    <x v="1"/>
    <x v="6"/>
    <x v="5"/>
    <x v="1"/>
    <n v="12"/>
    <x v="7"/>
    <x v="5"/>
    <n v="608611"/>
  </r>
  <r>
    <x v="1"/>
    <x v="6"/>
    <x v="5"/>
    <x v="3"/>
    <n v="34"/>
    <x v="7"/>
    <x v="5"/>
    <n v="608611"/>
  </r>
  <r>
    <x v="1"/>
    <x v="6"/>
    <x v="5"/>
    <x v="2"/>
    <n v="8"/>
    <x v="7"/>
    <x v="5"/>
    <n v="608611"/>
  </r>
  <r>
    <x v="0"/>
    <x v="6"/>
    <x v="5"/>
    <x v="3"/>
    <n v="42"/>
    <x v="7"/>
    <x v="5"/>
    <n v="608611"/>
  </r>
  <r>
    <x v="2"/>
    <x v="6"/>
    <x v="5"/>
    <x v="3"/>
    <n v="6"/>
    <x v="7"/>
    <x v="5"/>
    <n v="608611"/>
  </r>
  <r>
    <x v="2"/>
    <x v="6"/>
    <x v="5"/>
    <x v="2"/>
    <n v="1"/>
    <x v="7"/>
    <x v="5"/>
    <n v="608611"/>
  </r>
  <r>
    <x v="0"/>
    <x v="6"/>
    <x v="5"/>
    <x v="2"/>
    <n v="12"/>
    <x v="7"/>
    <x v="5"/>
    <n v="608611"/>
  </r>
  <r>
    <x v="0"/>
    <x v="6"/>
    <x v="5"/>
    <x v="1"/>
    <n v="12"/>
    <x v="7"/>
    <x v="5"/>
    <n v="608611"/>
  </r>
  <r>
    <x v="1"/>
    <x v="6"/>
    <x v="5"/>
    <x v="0"/>
    <n v="5"/>
    <x v="7"/>
    <x v="5"/>
    <n v="608611"/>
  </r>
  <r>
    <x v="1"/>
    <x v="7"/>
    <x v="5"/>
    <x v="2"/>
    <n v="17"/>
    <x v="8"/>
    <x v="5"/>
    <n v="616536"/>
  </r>
  <r>
    <x v="0"/>
    <x v="7"/>
    <x v="5"/>
    <x v="0"/>
    <n v="6"/>
    <x v="8"/>
    <x v="5"/>
    <n v="616536"/>
  </r>
  <r>
    <x v="0"/>
    <x v="7"/>
    <x v="5"/>
    <x v="1"/>
    <n v="5"/>
    <x v="8"/>
    <x v="5"/>
    <n v="616536"/>
  </r>
  <r>
    <x v="0"/>
    <x v="7"/>
    <x v="5"/>
    <x v="2"/>
    <n v="17"/>
    <x v="8"/>
    <x v="5"/>
    <n v="616536"/>
  </r>
  <r>
    <x v="2"/>
    <x v="7"/>
    <x v="5"/>
    <x v="2"/>
    <n v="1"/>
    <x v="8"/>
    <x v="5"/>
    <n v="616536"/>
  </r>
  <r>
    <x v="1"/>
    <x v="7"/>
    <x v="5"/>
    <x v="3"/>
    <n v="41"/>
    <x v="8"/>
    <x v="5"/>
    <n v="616536"/>
  </r>
  <r>
    <x v="2"/>
    <x v="7"/>
    <x v="5"/>
    <x v="1"/>
    <n v="1"/>
    <x v="8"/>
    <x v="5"/>
    <n v="616536"/>
  </r>
  <r>
    <x v="1"/>
    <x v="7"/>
    <x v="5"/>
    <x v="1"/>
    <n v="4"/>
    <x v="8"/>
    <x v="5"/>
    <n v="616536"/>
  </r>
  <r>
    <x v="1"/>
    <x v="7"/>
    <x v="5"/>
    <x v="0"/>
    <n v="6"/>
    <x v="8"/>
    <x v="5"/>
    <n v="616536"/>
  </r>
  <r>
    <x v="2"/>
    <x v="7"/>
    <x v="5"/>
    <x v="3"/>
    <n v="3"/>
    <x v="8"/>
    <x v="5"/>
    <n v="616536"/>
  </r>
  <r>
    <x v="0"/>
    <x v="7"/>
    <x v="5"/>
    <x v="3"/>
    <n v="52"/>
    <x v="8"/>
    <x v="5"/>
    <n v="616536"/>
  </r>
  <r>
    <x v="2"/>
    <x v="8"/>
    <x v="5"/>
    <x v="1"/>
    <n v="2"/>
    <x v="9"/>
    <x v="5"/>
    <n v="623257"/>
  </r>
  <r>
    <x v="2"/>
    <x v="8"/>
    <x v="5"/>
    <x v="0"/>
    <n v="1"/>
    <x v="9"/>
    <x v="5"/>
    <n v="623257"/>
  </r>
  <r>
    <x v="2"/>
    <x v="8"/>
    <x v="5"/>
    <x v="3"/>
    <n v="4"/>
    <x v="9"/>
    <x v="5"/>
    <n v="623257"/>
  </r>
  <r>
    <x v="0"/>
    <x v="8"/>
    <x v="5"/>
    <x v="0"/>
    <n v="11"/>
    <x v="9"/>
    <x v="5"/>
    <n v="623257"/>
  </r>
  <r>
    <x v="1"/>
    <x v="8"/>
    <x v="5"/>
    <x v="2"/>
    <n v="9"/>
    <x v="9"/>
    <x v="5"/>
    <n v="623257"/>
  </r>
  <r>
    <x v="0"/>
    <x v="8"/>
    <x v="5"/>
    <x v="3"/>
    <n v="33"/>
    <x v="9"/>
    <x v="5"/>
    <n v="623257"/>
  </r>
  <r>
    <x v="0"/>
    <x v="8"/>
    <x v="5"/>
    <x v="1"/>
    <n v="8"/>
    <x v="9"/>
    <x v="5"/>
    <n v="623257"/>
  </r>
  <r>
    <x v="1"/>
    <x v="8"/>
    <x v="5"/>
    <x v="3"/>
    <n v="21"/>
    <x v="9"/>
    <x v="5"/>
    <n v="623257"/>
  </r>
  <r>
    <x v="0"/>
    <x v="8"/>
    <x v="5"/>
    <x v="2"/>
    <n v="12"/>
    <x v="9"/>
    <x v="5"/>
    <n v="623257"/>
  </r>
  <r>
    <x v="1"/>
    <x v="8"/>
    <x v="5"/>
    <x v="1"/>
    <n v="5"/>
    <x v="9"/>
    <x v="5"/>
    <n v="623257"/>
  </r>
  <r>
    <x v="1"/>
    <x v="8"/>
    <x v="5"/>
    <x v="0"/>
    <n v="10"/>
    <x v="9"/>
    <x v="5"/>
    <n v="623257"/>
  </r>
  <r>
    <x v="1"/>
    <x v="3"/>
    <x v="6"/>
    <x v="1"/>
    <n v="3"/>
    <x v="1"/>
    <x v="6"/>
    <n v="315629"/>
  </r>
  <r>
    <x v="0"/>
    <x v="3"/>
    <x v="6"/>
    <x v="2"/>
    <n v="8"/>
    <x v="1"/>
    <x v="6"/>
    <n v="315629"/>
  </r>
  <r>
    <x v="0"/>
    <x v="3"/>
    <x v="6"/>
    <x v="1"/>
    <n v="3"/>
    <x v="1"/>
    <x v="6"/>
    <n v="315629"/>
  </r>
  <r>
    <x v="0"/>
    <x v="3"/>
    <x v="6"/>
    <x v="0"/>
    <n v="7"/>
    <x v="1"/>
    <x v="6"/>
    <n v="315629"/>
  </r>
  <r>
    <x v="1"/>
    <x v="3"/>
    <x v="6"/>
    <x v="3"/>
    <n v="38"/>
    <x v="1"/>
    <x v="6"/>
    <n v="315629"/>
  </r>
  <r>
    <x v="1"/>
    <x v="3"/>
    <x v="6"/>
    <x v="2"/>
    <n v="7"/>
    <x v="1"/>
    <x v="6"/>
    <n v="315629"/>
  </r>
  <r>
    <x v="1"/>
    <x v="3"/>
    <x v="6"/>
    <x v="0"/>
    <n v="7"/>
    <x v="1"/>
    <x v="6"/>
    <n v="315629"/>
  </r>
  <r>
    <x v="2"/>
    <x v="3"/>
    <x v="6"/>
    <x v="3"/>
    <n v="2"/>
    <x v="1"/>
    <x v="6"/>
    <n v="315629"/>
  </r>
  <r>
    <x v="0"/>
    <x v="3"/>
    <x v="6"/>
    <x v="3"/>
    <n v="44"/>
    <x v="1"/>
    <x v="6"/>
    <n v="315629"/>
  </r>
  <r>
    <x v="1"/>
    <x v="4"/>
    <x v="6"/>
    <x v="1"/>
    <n v="4"/>
    <x v="2"/>
    <x v="6"/>
    <n v="315151"/>
  </r>
  <r>
    <x v="1"/>
    <x v="4"/>
    <x v="6"/>
    <x v="2"/>
    <n v="4"/>
    <x v="2"/>
    <x v="6"/>
    <n v="315151"/>
  </r>
  <r>
    <x v="1"/>
    <x v="4"/>
    <x v="6"/>
    <x v="0"/>
    <n v="5"/>
    <x v="2"/>
    <x v="6"/>
    <n v="315151"/>
  </r>
  <r>
    <x v="1"/>
    <x v="4"/>
    <x v="6"/>
    <x v="3"/>
    <n v="34"/>
    <x v="2"/>
    <x v="6"/>
    <n v="315151"/>
  </r>
  <r>
    <x v="0"/>
    <x v="4"/>
    <x v="6"/>
    <x v="1"/>
    <n v="4"/>
    <x v="2"/>
    <x v="6"/>
    <n v="315151"/>
  </r>
  <r>
    <x v="0"/>
    <x v="4"/>
    <x v="6"/>
    <x v="2"/>
    <n v="4"/>
    <x v="2"/>
    <x v="6"/>
    <n v="315151"/>
  </r>
  <r>
    <x v="0"/>
    <x v="4"/>
    <x v="6"/>
    <x v="3"/>
    <n v="46"/>
    <x v="2"/>
    <x v="6"/>
    <n v="315151"/>
  </r>
  <r>
    <x v="0"/>
    <x v="4"/>
    <x v="6"/>
    <x v="0"/>
    <n v="5"/>
    <x v="2"/>
    <x v="6"/>
    <n v="315151"/>
  </r>
  <r>
    <x v="0"/>
    <x v="0"/>
    <x v="6"/>
    <x v="0"/>
    <n v="2"/>
    <x v="3"/>
    <x v="6"/>
    <n v="315675"/>
  </r>
  <r>
    <x v="0"/>
    <x v="0"/>
    <x v="6"/>
    <x v="3"/>
    <n v="38"/>
    <x v="3"/>
    <x v="6"/>
    <n v="315675"/>
  </r>
  <r>
    <x v="0"/>
    <x v="0"/>
    <x v="6"/>
    <x v="2"/>
    <n v="3"/>
    <x v="3"/>
    <x v="6"/>
    <n v="315675"/>
  </r>
  <r>
    <x v="1"/>
    <x v="0"/>
    <x v="6"/>
    <x v="1"/>
    <n v="5"/>
    <x v="3"/>
    <x v="6"/>
    <n v="315675"/>
  </r>
  <r>
    <x v="0"/>
    <x v="0"/>
    <x v="6"/>
    <x v="1"/>
    <n v="5"/>
    <x v="3"/>
    <x v="6"/>
    <n v="315675"/>
  </r>
  <r>
    <x v="2"/>
    <x v="0"/>
    <x v="6"/>
    <x v="3"/>
    <n v="5"/>
    <x v="3"/>
    <x v="6"/>
    <n v="315675"/>
  </r>
  <r>
    <x v="1"/>
    <x v="0"/>
    <x v="6"/>
    <x v="2"/>
    <n v="3"/>
    <x v="3"/>
    <x v="6"/>
    <n v="315675"/>
  </r>
  <r>
    <x v="2"/>
    <x v="0"/>
    <x v="6"/>
    <x v="0"/>
    <n v="1"/>
    <x v="3"/>
    <x v="6"/>
    <n v="315675"/>
  </r>
  <r>
    <x v="1"/>
    <x v="0"/>
    <x v="6"/>
    <x v="0"/>
    <n v="2"/>
    <x v="3"/>
    <x v="6"/>
    <n v="315675"/>
  </r>
  <r>
    <x v="1"/>
    <x v="0"/>
    <x v="6"/>
    <x v="3"/>
    <n v="32"/>
    <x v="3"/>
    <x v="6"/>
    <n v="315675"/>
  </r>
  <r>
    <x v="0"/>
    <x v="1"/>
    <x v="6"/>
    <x v="0"/>
    <n v="4"/>
    <x v="4"/>
    <x v="6"/>
    <n v="315423"/>
  </r>
  <r>
    <x v="2"/>
    <x v="1"/>
    <x v="6"/>
    <x v="3"/>
    <n v="6"/>
    <x v="4"/>
    <x v="6"/>
    <n v="315423"/>
  </r>
  <r>
    <x v="2"/>
    <x v="1"/>
    <x v="6"/>
    <x v="2"/>
    <n v="1"/>
    <x v="4"/>
    <x v="6"/>
    <n v="315423"/>
  </r>
  <r>
    <x v="2"/>
    <x v="1"/>
    <x v="6"/>
    <x v="1"/>
    <n v="1"/>
    <x v="4"/>
    <x v="6"/>
    <n v="315423"/>
  </r>
  <r>
    <x v="1"/>
    <x v="1"/>
    <x v="6"/>
    <x v="0"/>
    <n v="3"/>
    <x v="4"/>
    <x v="6"/>
    <n v="315423"/>
  </r>
  <r>
    <x v="1"/>
    <x v="1"/>
    <x v="6"/>
    <x v="1"/>
    <n v="22"/>
    <x v="4"/>
    <x v="6"/>
    <n v="315423"/>
  </r>
  <r>
    <x v="1"/>
    <x v="1"/>
    <x v="6"/>
    <x v="3"/>
    <n v="20"/>
    <x v="4"/>
    <x v="6"/>
    <n v="315423"/>
  </r>
  <r>
    <x v="0"/>
    <x v="1"/>
    <x v="6"/>
    <x v="1"/>
    <n v="23"/>
    <x v="4"/>
    <x v="6"/>
    <n v="315423"/>
  </r>
  <r>
    <x v="0"/>
    <x v="1"/>
    <x v="6"/>
    <x v="2"/>
    <n v="9"/>
    <x v="4"/>
    <x v="6"/>
    <n v="315423"/>
  </r>
  <r>
    <x v="0"/>
    <x v="1"/>
    <x v="6"/>
    <x v="3"/>
    <n v="27"/>
    <x v="4"/>
    <x v="6"/>
    <n v="315423"/>
  </r>
  <r>
    <x v="1"/>
    <x v="1"/>
    <x v="6"/>
    <x v="2"/>
    <n v="9"/>
    <x v="4"/>
    <x v="6"/>
    <n v="315423"/>
  </r>
  <r>
    <x v="0"/>
    <x v="5"/>
    <x v="6"/>
    <x v="0"/>
    <n v="6"/>
    <x v="5"/>
    <x v="6"/>
    <n v="315497"/>
  </r>
  <r>
    <x v="0"/>
    <x v="5"/>
    <x v="6"/>
    <x v="1"/>
    <n v="2"/>
    <x v="5"/>
    <x v="6"/>
    <n v="315497"/>
  </r>
  <r>
    <x v="0"/>
    <x v="5"/>
    <x v="6"/>
    <x v="2"/>
    <n v="3"/>
    <x v="5"/>
    <x v="6"/>
    <n v="315497"/>
  </r>
  <r>
    <x v="0"/>
    <x v="5"/>
    <x v="6"/>
    <x v="3"/>
    <n v="36"/>
    <x v="5"/>
    <x v="6"/>
    <n v="315497"/>
  </r>
  <r>
    <x v="2"/>
    <x v="5"/>
    <x v="6"/>
    <x v="3"/>
    <n v="6"/>
    <x v="5"/>
    <x v="6"/>
    <n v="315497"/>
  </r>
  <r>
    <x v="1"/>
    <x v="5"/>
    <x v="6"/>
    <x v="0"/>
    <n v="5"/>
    <x v="5"/>
    <x v="6"/>
    <n v="315497"/>
  </r>
  <r>
    <x v="1"/>
    <x v="5"/>
    <x v="6"/>
    <x v="1"/>
    <n v="2"/>
    <x v="5"/>
    <x v="6"/>
    <n v="315497"/>
  </r>
  <r>
    <x v="1"/>
    <x v="5"/>
    <x v="6"/>
    <x v="2"/>
    <n v="2"/>
    <x v="5"/>
    <x v="6"/>
    <n v="315497"/>
  </r>
  <r>
    <x v="2"/>
    <x v="5"/>
    <x v="6"/>
    <x v="1"/>
    <n v="1"/>
    <x v="5"/>
    <x v="6"/>
    <n v="315497"/>
  </r>
  <r>
    <x v="1"/>
    <x v="5"/>
    <x v="6"/>
    <x v="3"/>
    <n v="22"/>
    <x v="5"/>
    <x v="6"/>
    <n v="315497"/>
  </r>
  <r>
    <x v="1"/>
    <x v="2"/>
    <x v="6"/>
    <x v="0"/>
    <n v="2"/>
    <x v="6"/>
    <x v="6"/>
    <n v="316157"/>
  </r>
  <r>
    <x v="0"/>
    <x v="2"/>
    <x v="6"/>
    <x v="1"/>
    <n v="5"/>
    <x v="6"/>
    <x v="6"/>
    <n v="316157"/>
  </r>
  <r>
    <x v="0"/>
    <x v="2"/>
    <x v="6"/>
    <x v="0"/>
    <n v="3"/>
    <x v="6"/>
    <x v="6"/>
    <n v="316157"/>
  </r>
  <r>
    <x v="1"/>
    <x v="2"/>
    <x v="6"/>
    <x v="1"/>
    <n v="5"/>
    <x v="6"/>
    <x v="6"/>
    <n v="316157"/>
  </r>
  <r>
    <x v="0"/>
    <x v="2"/>
    <x v="6"/>
    <x v="3"/>
    <n v="35"/>
    <x v="6"/>
    <x v="6"/>
    <n v="316157"/>
  </r>
  <r>
    <x v="1"/>
    <x v="2"/>
    <x v="6"/>
    <x v="3"/>
    <n v="27"/>
    <x v="6"/>
    <x v="6"/>
    <n v="316157"/>
  </r>
  <r>
    <x v="1"/>
    <x v="2"/>
    <x v="6"/>
    <x v="2"/>
    <n v="3"/>
    <x v="6"/>
    <x v="6"/>
    <n v="316157"/>
  </r>
  <r>
    <x v="0"/>
    <x v="2"/>
    <x v="6"/>
    <x v="2"/>
    <n v="5"/>
    <x v="6"/>
    <x v="6"/>
    <n v="316157"/>
  </r>
  <r>
    <x v="2"/>
    <x v="2"/>
    <x v="6"/>
    <x v="3"/>
    <n v="2"/>
    <x v="6"/>
    <x v="6"/>
    <n v="316157"/>
  </r>
  <r>
    <x v="0"/>
    <x v="6"/>
    <x v="6"/>
    <x v="0"/>
    <n v="4"/>
    <x v="7"/>
    <x v="6"/>
    <n v="316187"/>
  </r>
  <r>
    <x v="1"/>
    <x v="6"/>
    <x v="6"/>
    <x v="3"/>
    <n v="25"/>
    <x v="7"/>
    <x v="6"/>
    <n v="316187"/>
  </r>
  <r>
    <x v="1"/>
    <x v="6"/>
    <x v="6"/>
    <x v="2"/>
    <n v="4"/>
    <x v="7"/>
    <x v="6"/>
    <n v="316187"/>
  </r>
  <r>
    <x v="1"/>
    <x v="6"/>
    <x v="6"/>
    <x v="1"/>
    <n v="3"/>
    <x v="7"/>
    <x v="6"/>
    <n v="316187"/>
  </r>
  <r>
    <x v="1"/>
    <x v="6"/>
    <x v="6"/>
    <x v="0"/>
    <n v="4"/>
    <x v="7"/>
    <x v="6"/>
    <n v="316187"/>
  </r>
  <r>
    <x v="0"/>
    <x v="6"/>
    <x v="6"/>
    <x v="1"/>
    <n v="3"/>
    <x v="7"/>
    <x v="6"/>
    <n v="316187"/>
  </r>
  <r>
    <x v="0"/>
    <x v="6"/>
    <x v="6"/>
    <x v="2"/>
    <n v="4"/>
    <x v="7"/>
    <x v="6"/>
    <n v="316187"/>
  </r>
  <r>
    <x v="0"/>
    <x v="6"/>
    <x v="6"/>
    <x v="3"/>
    <n v="34"/>
    <x v="7"/>
    <x v="6"/>
    <n v="316187"/>
  </r>
  <r>
    <x v="2"/>
    <x v="6"/>
    <x v="6"/>
    <x v="3"/>
    <n v="2"/>
    <x v="7"/>
    <x v="6"/>
    <n v="316187"/>
  </r>
  <r>
    <x v="0"/>
    <x v="7"/>
    <x v="6"/>
    <x v="3"/>
    <n v="26"/>
    <x v="8"/>
    <x v="6"/>
    <n v="316166"/>
  </r>
  <r>
    <x v="0"/>
    <x v="7"/>
    <x v="6"/>
    <x v="0"/>
    <n v="1"/>
    <x v="8"/>
    <x v="6"/>
    <n v="316166"/>
  </r>
  <r>
    <x v="2"/>
    <x v="7"/>
    <x v="6"/>
    <x v="3"/>
    <n v="3"/>
    <x v="8"/>
    <x v="6"/>
    <n v="316166"/>
  </r>
  <r>
    <x v="0"/>
    <x v="7"/>
    <x v="6"/>
    <x v="2"/>
    <n v="7"/>
    <x v="8"/>
    <x v="6"/>
    <n v="316166"/>
  </r>
  <r>
    <x v="1"/>
    <x v="7"/>
    <x v="6"/>
    <x v="1"/>
    <n v="4"/>
    <x v="8"/>
    <x v="6"/>
    <n v="316166"/>
  </r>
  <r>
    <x v="1"/>
    <x v="7"/>
    <x v="6"/>
    <x v="2"/>
    <n v="7"/>
    <x v="8"/>
    <x v="6"/>
    <n v="316166"/>
  </r>
  <r>
    <x v="1"/>
    <x v="7"/>
    <x v="6"/>
    <x v="3"/>
    <n v="21"/>
    <x v="8"/>
    <x v="6"/>
    <n v="316166"/>
  </r>
  <r>
    <x v="1"/>
    <x v="7"/>
    <x v="6"/>
    <x v="0"/>
    <n v="1"/>
    <x v="8"/>
    <x v="6"/>
    <n v="316166"/>
  </r>
  <r>
    <x v="0"/>
    <x v="7"/>
    <x v="6"/>
    <x v="1"/>
    <n v="5"/>
    <x v="8"/>
    <x v="6"/>
    <n v="316166"/>
  </r>
  <r>
    <x v="0"/>
    <x v="8"/>
    <x v="6"/>
    <x v="0"/>
    <n v="6"/>
    <x v="9"/>
    <x v="6"/>
    <n v="315090"/>
  </r>
  <r>
    <x v="0"/>
    <x v="8"/>
    <x v="6"/>
    <x v="1"/>
    <n v="1"/>
    <x v="9"/>
    <x v="6"/>
    <n v="315090"/>
  </r>
  <r>
    <x v="0"/>
    <x v="8"/>
    <x v="6"/>
    <x v="2"/>
    <n v="7"/>
    <x v="9"/>
    <x v="6"/>
    <n v="315090"/>
  </r>
  <r>
    <x v="0"/>
    <x v="8"/>
    <x v="6"/>
    <x v="3"/>
    <n v="16"/>
    <x v="9"/>
    <x v="6"/>
    <n v="315090"/>
  </r>
  <r>
    <x v="2"/>
    <x v="8"/>
    <x v="6"/>
    <x v="1"/>
    <n v="1"/>
    <x v="9"/>
    <x v="6"/>
    <n v="315090"/>
  </r>
  <r>
    <x v="2"/>
    <x v="8"/>
    <x v="6"/>
    <x v="2"/>
    <n v="1"/>
    <x v="9"/>
    <x v="6"/>
    <n v="315090"/>
  </r>
  <r>
    <x v="1"/>
    <x v="8"/>
    <x v="6"/>
    <x v="1"/>
    <n v="1"/>
    <x v="9"/>
    <x v="6"/>
    <n v="315090"/>
  </r>
  <r>
    <x v="1"/>
    <x v="8"/>
    <x v="6"/>
    <x v="0"/>
    <n v="6"/>
    <x v="9"/>
    <x v="6"/>
    <n v="315090"/>
  </r>
  <r>
    <x v="1"/>
    <x v="8"/>
    <x v="6"/>
    <x v="3"/>
    <n v="9"/>
    <x v="9"/>
    <x v="6"/>
    <n v="315090"/>
  </r>
  <r>
    <x v="1"/>
    <x v="8"/>
    <x v="6"/>
    <x v="2"/>
    <n v="7"/>
    <x v="9"/>
    <x v="6"/>
    <n v="315090"/>
  </r>
  <r>
    <x v="2"/>
    <x v="8"/>
    <x v="6"/>
    <x v="3"/>
    <n v="2"/>
    <x v="9"/>
    <x v="6"/>
    <n v="315090"/>
  </r>
</pivotCacheRecords>
</file>

<file path=xl/pivotCache/pivotCacheRecords36.xml><?xml version="1.0" encoding="utf-8"?>
<pivotCacheRecords xmlns="http://schemas.openxmlformats.org/spreadsheetml/2006/main" xmlns:r="http://schemas.openxmlformats.org/officeDocument/2006/relationships" count="24">
  <r>
    <x v="0"/>
    <x v="0"/>
    <x v="0"/>
    <x v="0"/>
    <x v="0"/>
    <x v="0"/>
    <x v="0"/>
    <x v="0"/>
  </r>
  <r>
    <x v="0"/>
    <x v="1"/>
    <x v="1"/>
    <x v="1"/>
    <x v="1"/>
    <x v="1"/>
    <x v="1"/>
    <x v="1"/>
  </r>
  <r>
    <x v="0"/>
    <x v="2"/>
    <x v="2"/>
    <x v="2"/>
    <x v="2"/>
    <x v="2"/>
    <x v="2"/>
    <x v="2"/>
  </r>
  <r>
    <x v="0"/>
    <x v="3"/>
    <x v="3"/>
    <x v="3"/>
    <x v="3"/>
    <x v="3"/>
    <x v="3"/>
    <x v="3"/>
  </r>
  <r>
    <x v="0"/>
    <x v="4"/>
    <x v="4"/>
    <x v="4"/>
    <x v="4"/>
    <x v="4"/>
    <x v="4"/>
    <x v="4"/>
  </r>
  <r>
    <x v="0"/>
    <x v="5"/>
    <x v="5"/>
    <x v="5"/>
    <x v="5"/>
    <x v="5"/>
    <x v="5"/>
    <x v="5"/>
  </r>
  <r>
    <x v="0"/>
    <x v="6"/>
    <x v="6"/>
    <x v="6"/>
    <x v="6"/>
    <x v="6"/>
    <x v="6"/>
    <x v="6"/>
  </r>
  <r>
    <x v="0"/>
    <x v="7"/>
    <x v="7"/>
    <x v="7"/>
    <x v="7"/>
    <x v="7"/>
    <x v="7"/>
    <x v="7"/>
  </r>
  <r>
    <x v="0"/>
    <x v="8"/>
    <x v="8"/>
    <x v="8"/>
    <x v="8"/>
    <x v="8"/>
    <x v="8"/>
    <x v="8"/>
  </r>
  <r>
    <x v="0"/>
    <x v="9"/>
    <x v="9"/>
    <x v="9"/>
    <x v="9"/>
    <x v="0"/>
    <x v="9"/>
    <x v="9"/>
  </r>
  <r>
    <x v="0"/>
    <x v="10"/>
    <x v="10"/>
    <x v="10"/>
    <x v="6"/>
    <x v="9"/>
    <x v="10"/>
    <x v="10"/>
  </r>
  <r>
    <x v="0"/>
    <x v="11"/>
    <x v="11"/>
    <x v="11"/>
    <x v="10"/>
    <x v="10"/>
    <x v="10"/>
    <x v="11"/>
  </r>
  <r>
    <x v="1"/>
    <x v="0"/>
    <x v="12"/>
    <x v="12"/>
    <x v="11"/>
    <x v="11"/>
    <x v="11"/>
    <x v="12"/>
  </r>
  <r>
    <x v="1"/>
    <x v="1"/>
    <x v="13"/>
    <x v="13"/>
    <x v="12"/>
    <x v="12"/>
    <x v="12"/>
    <x v="13"/>
  </r>
  <r>
    <x v="1"/>
    <x v="2"/>
    <x v="14"/>
    <x v="14"/>
    <x v="13"/>
    <x v="13"/>
    <x v="13"/>
    <x v="14"/>
  </r>
  <r>
    <x v="1"/>
    <x v="3"/>
    <x v="15"/>
    <x v="15"/>
    <x v="14"/>
    <x v="14"/>
    <x v="14"/>
    <x v="15"/>
  </r>
  <r>
    <x v="1"/>
    <x v="4"/>
    <x v="15"/>
    <x v="16"/>
    <x v="15"/>
    <x v="15"/>
    <x v="15"/>
    <x v="16"/>
  </r>
  <r>
    <x v="1"/>
    <x v="5"/>
    <x v="16"/>
    <x v="17"/>
    <x v="16"/>
    <x v="16"/>
    <x v="16"/>
    <x v="17"/>
  </r>
  <r>
    <x v="1"/>
    <x v="6"/>
    <x v="17"/>
    <x v="18"/>
    <x v="17"/>
    <x v="17"/>
    <x v="17"/>
    <x v="18"/>
  </r>
  <r>
    <x v="1"/>
    <x v="7"/>
    <x v="18"/>
    <x v="19"/>
    <x v="18"/>
    <x v="18"/>
    <x v="18"/>
    <x v="19"/>
  </r>
  <r>
    <x v="1"/>
    <x v="8"/>
    <x v="19"/>
    <x v="20"/>
    <x v="14"/>
    <x v="19"/>
    <x v="19"/>
    <x v="20"/>
  </r>
  <r>
    <x v="1"/>
    <x v="9"/>
    <x v="20"/>
    <x v="21"/>
    <x v="19"/>
    <x v="20"/>
    <x v="15"/>
    <x v="21"/>
  </r>
  <r>
    <x v="1"/>
    <x v="10"/>
    <x v="21"/>
    <x v="22"/>
    <x v="20"/>
    <x v="21"/>
    <x v="20"/>
    <x v="22"/>
  </r>
  <r>
    <x v="1"/>
    <x v="11"/>
    <x v="22"/>
    <x v="23"/>
    <x v="21"/>
    <x v="22"/>
    <x v="21"/>
    <x v="23"/>
  </r>
</pivotCacheRecords>
</file>

<file path=xl/pivotCache/pivotCacheRecords37.xml><?xml version="1.0" encoding="utf-8"?>
<pivotCacheRecords xmlns="http://schemas.openxmlformats.org/spreadsheetml/2006/main" xmlns:r="http://schemas.openxmlformats.org/officeDocument/2006/relationships" count="54">
  <r>
    <x v="0"/>
    <x v="0"/>
    <x v="0"/>
    <x v="0"/>
    <x v="0"/>
    <x v="0"/>
    <x v="0"/>
    <x v="0"/>
    <x v="0"/>
  </r>
  <r>
    <x v="0"/>
    <x v="0"/>
    <x v="1"/>
    <x v="1"/>
    <x v="1"/>
    <x v="0"/>
    <x v="1"/>
    <x v="1"/>
    <x v="1"/>
  </r>
  <r>
    <x v="0"/>
    <x v="0"/>
    <x v="2"/>
    <x v="2"/>
    <x v="2"/>
    <x v="0"/>
    <x v="0"/>
    <x v="2"/>
    <x v="2"/>
  </r>
  <r>
    <x v="0"/>
    <x v="0"/>
    <x v="3"/>
    <x v="3"/>
    <x v="3"/>
    <x v="0"/>
    <x v="1"/>
    <x v="3"/>
    <x v="3"/>
  </r>
  <r>
    <x v="0"/>
    <x v="1"/>
    <x v="4"/>
    <x v="4"/>
    <x v="4"/>
    <x v="0"/>
    <x v="1"/>
    <x v="4"/>
    <x v="4"/>
  </r>
  <r>
    <x v="0"/>
    <x v="0"/>
    <x v="4"/>
    <x v="4"/>
    <x v="0"/>
    <x v="1"/>
    <x v="2"/>
    <x v="5"/>
    <x v="5"/>
  </r>
  <r>
    <x v="1"/>
    <x v="0"/>
    <x v="0"/>
    <x v="0"/>
    <x v="5"/>
    <x v="0"/>
    <x v="1"/>
    <x v="5"/>
    <x v="6"/>
  </r>
  <r>
    <x v="1"/>
    <x v="0"/>
    <x v="1"/>
    <x v="1"/>
    <x v="5"/>
    <x v="0"/>
    <x v="2"/>
    <x v="5"/>
    <x v="5"/>
  </r>
  <r>
    <x v="1"/>
    <x v="0"/>
    <x v="2"/>
    <x v="2"/>
    <x v="2"/>
    <x v="0"/>
    <x v="3"/>
    <x v="2"/>
    <x v="7"/>
  </r>
  <r>
    <x v="1"/>
    <x v="0"/>
    <x v="5"/>
    <x v="5"/>
    <x v="4"/>
    <x v="0"/>
    <x v="1"/>
    <x v="4"/>
    <x v="4"/>
  </r>
  <r>
    <x v="1"/>
    <x v="0"/>
    <x v="3"/>
    <x v="3"/>
    <x v="4"/>
    <x v="0"/>
    <x v="1"/>
    <x v="4"/>
    <x v="4"/>
  </r>
  <r>
    <x v="1"/>
    <x v="0"/>
    <x v="4"/>
    <x v="4"/>
    <x v="6"/>
    <x v="0"/>
    <x v="0"/>
    <x v="4"/>
    <x v="5"/>
  </r>
  <r>
    <x v="2"/>
    <x v="0"/>
    <x v="0"/>
    <x v="0"/>
    <x v="7"/>
    <x v="0"/>
    <x v="1"/>
    <x v="6"/>
    <x v="5"/>
  </r>
  <r>
    <x v="2"/>
    <x v="0"/>
    <x v="1"/>
    <x v="1"/>
    <x v="8"/>
    <x v="1"/>
    <x v="2"/>
    <x v="5"/>
    <x v="7"/>
  </r>
  <r>
    <x v="2"/>
    <x v="0"/>
    <x v="2"/>
    <x v="2"/>
    <x v="9"/>
    <x v="2"/>
    <x v="1"/>
    <x v="7"/>
    <x v="8"/>
  </r>
  <r>
    <x v="2"/>
    <x v="0"/>
    <x v="4"/>
    <x v="4"/>
    <x v="7"/>
    <x v="0"/>
    <x v="0"/>
    <x v="4"/>
    <x v="9"/>
  </r>
  <r>
    <x v="3"/>
    <x v="0"/>
    <x v="0"/>
    <x v="0"/>
    <x v="10"/>
    <x v="0"/>
    <x v="0"/>
    <x v="3"/>
    <x v="2"/>
  </r>
  <r>
    <x v="3"/>
    <x v="0"/>
    <x v="1"/>
    <x v="1"/>
    <x v="11"/>
    <x v="0"/>
    <x v="1"/>
    <x v="8"/>
    <x v="1"/>
  </r>
  <r>
    <x v="3"/>
    <x v="0"/>
    <x v="2"/>
    <x v="2"/>
    <x v="8"/>
    <x v="0"/>
    <x v="1"/>
    <x v="9"/>
    <x v="6"/>
  </r>
  <r>
    <x v="3"/>
    <x v="0"/>
    <x v="4"/>
    <x v="4"/>
    <x v="10"/>
    <x v="0"/>
    <x v="1"/>
    <x v="5"/>
    <x v="10"/>
  </r>
  <r>
    <x v="4"/>
    <x v="0"/>
    <x v="0"/>
    <x v="0"/>
    <x v="7"/>
    <x v="0"/>
    <x v="1"/>
    <x v="0"/>
    <x v="3"/>
  </r>
  <r>
    <x v="4"/>
    <x v="0"/>
    <x v="1"/>
    <x v="1"/>
    <x v="7"/>
    <x v="0"/>
    <x v="1"/>
    <x v="0"/>
    <x v="3"/>
  </r>
  <r>
    <x v="4"/>
    <x v="0"/>
    <x v="2"/>
    <x v="2"/>
    <x v="12"/>
    <x v="0"/>
    <x v="1"/>
    <x v="10"/>
    <x v="0"/>
  </r>
  <r>
    <x v="4"/>
    <x v="0"/>
    <x v="4"/>
    <x v="4"/>
    <x v="3"/>
    <x v="0"/>
    <x v="1"/>
    <x v="4"/>
    <x v="1"/>
  </r>
  <r>
    <x v="5"/>
    <x v="0"/>
    <x v="0"/>
    <x v="0"/>
    <x v="5"/>
    <x v="2"/>
    <x v="0"/>
    <x v="0"/>
    <x v="9"/>
  </r>
  <r>
    <x v="5"/>
    <x v="0"/>
    <x v="1"/>
    <x v="1"/>
    <x v="10"/>
    <x v="0"/>
    <x v="0"/>
    <x v="10"/>
    <x v="9"/>
  </r>
  <r>
    <x v="5"/>
    <x v="0"/>
    <x v="2"/>
    <x v="2"/>
    <x v="0"/>
    <x v="0"/>
    <x v="1"/>
    <x v="6"/>
    <x v="11"/>
  </r>
  <r>
    <x v="5"/>
    <x v="0"/>
    <x v="4"/>
    <x v="4"/>
    <x v="11"/>
    <x v="0"/>
    <x v="1"/>
    <x v="4"/>
    <x v="3"/>
  </r>
  <r>
    <x v="6"/>
    <x v="0"/>
    <x v="0"/>
    <x v="0"/>
    <x v="7"/>
    <x v="0"/>
    <x v="1"/>
    <x v="8"/>
    <x v="9"/>
  </r>
  <r>
    <x v="6"/>
    <x v="0"/>
    <x v="1"/>
    <x v="1"/>
    <x v="1"/>
    <x v="0"/>
    <x v="1"/>
    <x v="5"/>
    <x v="9"/>
  </r>
  <r>
    <x v="6"/>
    <x v="0"/>
    <x v="2"/>
    <x v="2"/>
    <x v="13"/>
    <x v="0"/>
    <x v="3"/>
    <x v="11"/>
    <x v="8"/>
  </r>
  <r>
    <x v="6"/>
    <x v="0"/>
    <x v="3"/>
    <x v="3"/>
    <x v="4"/>
    <x v="0"/>
    <x v="1"/>
    <x v="3"/>
    <x v="12"/>
  </r>
  <r>
    <x v="6"/>
    <x v="0"/>
    <x v="4"/>
    <x v="4"/>
    <x v="3"/>
    <x v="0"/>
    <x v="1"/>
    <x v="6"/>
    <x v="4"/>
  </r>
  <r>
    <x v="7"/>
    <x v="0"/>
    <x v="0"/>
    <x v="0"/>
    <x v="7"/>
    <x v="0"/>
    <x v="1"/>
    <x v="5"/>
    <x v="1"/>
  </r>
  <r>
    <x v="7"/>
    <x v="0"/>
    <x v="1"/>
    <x v="1"/>
    <x v="14"/>
    <x v="0"/>
    <x v="0"/>
    <x v="6"/>
    <x v="9"/>
  </r>
  <r>
    <x v="7"/>
    <x v="0"/>
    <x v="2"/>
    <x v="2"/>
    <x v="13"/>
    <x v="0"/>
    <x v="3"/>
    <x v="2"/>
    <x v="2"/>
  </r>
  <r>
    <x v="7"/>
    <x v="0"/>
    <x v="4"/>
    <x v="4"/>
    <x v="11"/>
    <x v="0"/>
    <x v="1"/>
    <x v="0"/>
    <x v="4"/>
  </r>
  <r>
    <x v="8"/>
    <x v="0"/>
    <x v="0"/>
    <x v="0"/>
    <x v="15"/>
    <x v="0"/>
    <x v="0"/>
    <x v="0"/>
    <x v="11"/>
  </r>
  <r>
    <x v="8"/>
    <x v="0"/>
    <x v="1"/>
    <x v="1"/>
    <x v="16"/>
    <x v="0"/>
    <x v="1"/>
    <x v="4"/>
    <x v="5"/>
  </r>
  <r>
    <x v="8"/>
    <x v="0"/>
    <x v="2"/>
    <x v="2"/>
    <x v="8"/>
    <x v="0"/>
    <x v="2"/>
    <x v="1"/>
    <x v="0"/>
  </r>
  <r>
    <x v="8"/>
    <x v="0"/>
    <x v="5"/>
    <x v="5"/>
    <x v="4"/>
    <x v="0"/>
    <x v="1"/>
    <x v="4"/>
    <x v="4"/>
  </r>
  <r>
    <x v="8"/>
    <x v="0"/>
    <x v="4"/>
    <x v="4"/>
    <x v="16"/>
    <x v="0"/>
    <x v="1"/>
    <x v="0"/>
    <x v="12"/>
  </r>
  <r>
    <x v="9"/>
    <x v="0"/>
    <x v="0"/>
    <x v="0"/>
    <x v="14"/>
    <x v="0"/>
    <x v="0"/>
    <x v="8"/>
    <x v="6"/>
  </r>
  <r>
    <x v="9"/>
    <x v="0"/>
    <x v="1"/>
    <x v="1"/>
    <x v="0"/>
    <x v="0"/>
    <x v="0"/>
    <x v="5"/>
    <x v="10"/>
  </r>
  <r>
    <x v="9"/>
    <x v="0"/>
    <x v="2"/>
    <x v="2"/>
    <x v="17"/>
    <x v="0"/>
    <x v="1"/>
    <x v="11"/>
    <x v="2"/>
  </r>
  <r>
    <x v="9"/>
    <x v="0"/>
    <x v="4"/>
    <x v="4"/>
    <x v="18"/>
    <x v="0"/>
    <x v="1"/>
    <x v="3"/>
    <x v="1"/>
  </r>
  <r>
    <x v="10"/>
    <x v="0"/>
    <x v="0"/>
    <x v="0"/>
    <x v="6"/>
    <x v="0"/>
    <x v="1"/>
    <x v="6"/>
    <x v="3"/>
  </r>
  <r>
    <x v="10"/>
    <x v="0"/>
    <x v="1"/>
    <x v="1"/>
    <x v="6"/>
    <x v="0"/>
    <x v="1"/>
    <x v="4"/>
    <x v="9"/>
  </r>
  <r>
    <x v="10"/>
    <x v="0"/>
    <x v="2"/>
    <x v="2"/>
    <x v="5"/>
    <x v="0"/>
    <x v="1"/>
    <x v="10"/>
    <x v="9"/>
  </r>
  <r>
    <x v="10"/>
    <x v="0"/>
    <x v="4"/>
    <x v="4"/>
    <x v="11"/>
    <x v="0"/>
    <x v="1"/>
    <x v="6"/>
    <x v="12"/>
  </r>
  <r>
    <x v="11"/>
    <x v="0"/>
    <x v="0"/>
    <x v="0"/>
    <x v="19"/>
    <x v="0"/>
    <x v="2"/>
    <x v="1"/>
    <x v="10"/>
  </r>
  <r>
    <x v="11"/>
    <x v="0"/>
    <x v="1"/>
    <x v="1"/>
    <x v="20"/>
    <x v="0"/>
    <x v="1"/>
    <x v="0"/>
    <x v="5"/>
  </r>
  <r>
    <x v="11"/>
    <x v="0"/>
    <x v="2"/>
    <x v="2"/>
    <x v="17"/>
    <x v="3"/>
    <x v="1"/>
    <x v="5"/>
    <x v="8"/>
  </r>
  <r>
    <x v="11"/>
    <x v="0"/>
    <x v="4"/>
    <x v="4"/>
    <x v="20"/>
    <x v="0"/>
    <x v="1"/>
    <x v="6"/>
    <x v="9"/>
  </r>
</pivotCacheRecords>
</file>

<file path=xl/pivotCache/pivotCacheRecords38.xml><?xml version="1.0" encoding="utf-8"?>
<pivotCacheRecords xmlns="http://schemas.openxmlformats.org/spreadsheetml/2006/main" xmlns:r="http://schemas.openxmlformats.org/officeDocument/2006/relationships" count="48">
  <r>
    <x v="0"/>
    <x v="0"/>
    <n v="267"/>
    <x v="0"/>
    <x v="0"/>
    <x v="0"/>
    <x v="0"/>
    <x v="0"/>
    <x v="0"/>
    <n v="46"/>
    <n v="113"/>
    <n v="70"/>
    <x v="0"/>
    <x v="0"/>
    <x v="0"/>
    <x v="0"/>
    <x v="0"/>
    <x v="0"/>
    <x v="0"/>
  </r>
  <r>
    <x v="0"/>
    <x v="1"/>
    <n v="414"/>
    <x v="0"/>
    <x v="0"/>
    <x v="1"/>
    <x v="0"/>
    <x v="0"/>
    <x v="1"/>
    <n v="84"/>
    <n v="181"/>
    <n v="107"/>
    <x v="1"/>
    <x v="0"/>
    <x v="0"/>
    <x v="0"/>
    <x v="0"/>
    <x v="0"/>
    <x v="0"/>
  </r>
  <r>
    <x v="0"/>
    <x v="2"/>
    <n v="449"/>
    <x v="0"/>
    <x v="1"/>
    <x v="2"/>
    <x v="0"/>
    <x v="0"/>
    <x v="2"/>
    <n v="92"/>
    <n v="204"/>
    <n v="115"/>
    <x v="1"/>
    <x v="0"/>
    <x v="0"/>
    <x v="0"/>
    <x v="0"/>
    <x v="0"/>
    <x v="0"/>
  </r>
  <r>
    <x v="0"/>
    <x v="3"/>
    <n v="93"/>
    <x v="0"/>
    <x v="2"/>
    <x v="3"/>
    <x v="0"/>
    <x v="0"/>
    <x v="3"/>
    <n v="16"/>
    <n v="54"/>
    <n v="16"/>
    <x v="1"/>
    <x v="0"/>
    <x v="0"/>
    <x v="0"/>
    <x v="0"/>
    <x v="0"/>
    <x v="0"/>
  </r>
  <r>
    <x v="1"/>
    <x v="0"/>
    <n v="238"/>
    <x v="0"/>
    <x v="2"/>
    <x v="1"/>
    <x v="0"/>
    <x v="0"/>
    <x v="4"/>
    <n v="47"/>
    <n v="101"/>
    <n v="55"/>
    <x v="0"/>
    <x v="1"/>
    <x v="1"/>
    <x v="1"/>
    <x v="1"/>
    <x v="1"/>
    <x v="1"/>
  </r>
  <r>
    <x v="1"/>
    <x v="1"/>
    <n v="448"/>
    <x v="0"/>
    <x v="0"/>
    <x v="3"/>
    <x v="0"/>
    <x v="0"/>
    <x v="5"/>
    <n v="101"/>
    <n v="193"/>
    <n v="122"/>
    <x v="1"/>
    <x v="1"/>
    <x v="1"/>
    <x v="1"/>
    <x v="1"/>
    <x v="1"/>
    <x v="1"/>
  </r>
  <r>
    <x v="1"/>
    <x v="2"/>
    <n v="543"/>
    <x v="0"/>
    <x v="1"/>
    <x v="4"/>
    <x v="0"/>
    <x v="0"/>
    <x v="6"/>
    <n v="113"/>
    <n v="236"/>
    <n v="123"/>
    <x v="0"/>
    <x v="1"/>
    <x v="1"/>
    <x v="1"/>
    <x v="1"/>
    <x v="1"/>
    <x v="1"/>
  </r>
  <r>
    <x v="1"/>
    <x v="3"/>
    <n v="103"/>
    <x v="0"/>
    <x v="2"/>
    <x v="1"/>
    <x v="0"/>
    <x v="0"/>
    <x v="7"/>
    <n v="22"/>
    <n v="53"/>
    <n v="23"/>
    <x v="1"/>
    <x v="1"/>
    <x v="1"/>
    <x v="1"/>
    <x v="1"/>
    <x v="1"/>
    <x v="1"/>
  </r>
  <r>
    <x v="2"/>
    <x v="0"/>
    <n v="297"/>
    <x v="0"/>
    <x v="2"/>
    <x v="1"/>
    <x v="0"/>
    <x v="0"/>
    <x v="8"/>
    <n v="56"/>
    <n v="129"/>
    <n v="71"/>
    <x v="2"/>
    <x v="2"/>
    <x v="2"/>
    <x v="2"/>
    <x v="2"/>
    <x v="2"/>
    <x v="2"/>
  </r>
  <r>
    <x v="2"/>
    <x v="1"/>
    <n v="522"/>
    <x v="0"/>
    <x v="2"/>
    <x v="5"/>
    <x v="0"/>
    <x v="0"/>
    <x v="9"/>
    <n v="86"/>
    <n v="256"/>
    <n v="134"/>
    <x v="3"/>
    <x v="2"/>
    <x v="2"/>
    <x v="2"/>
    <x v="2"/>
    <x v="2"/>
    <x v="2"/>
  </r>
  <r>
    <x v="2"/>
    <x v="2"/>
    <n v="513"/>
    <x v="0"/>
    <x v="0"/>
    <x v="6"/>
    <x v="0"/>
    <x v="0"/>
    <x v="10"/>
    <n v="111"/>
    <n v="212"/>
    <n v="129"/>
    <x v="1"/>
    <x v="2"/>
    <x v="2"/>
    <x v="2"/>
    <x v="2"/>
    <x v="2"/>
    <x v="2"/>
  </r>
  <r>
    <x v="2"/>
    <x v="3"/>
    <n v="82"/>
    <x v="0"/>
    <x v="0"/>
    <x v="1"/>
    <x v="0"/>
    <x v="0"/>
    <x v="11"/>
    <n v="15"/>
    <n v="47"/>
    <n v="16"/>
    <x v="1"/>
    <x v="2"/>
    <x v="2"/>
    <x v="2"/>
    <x v="2"/>
    <x v="2"/>
    <x v="2"/>
  </r>
  <r>
    <x v="3"/>
    <x v="0"/>
    <n v="262"/>
    <x v="0"/>
    <x v="2"/>
    <x v="0"/>
    <x v="0"/>
    <x v="0"/>
    <x v="5"/>
    <n v="54"/>
    <n v="96"/>
    <n v="61"/>
    <x v="4"/>
    <x v="3"/>
    <x v="3"/>
    <x v="3"/>
    <x v="3"/>
    <x v="3"/>
    <x v="3"/>
  </r>
  <r>
    <x v="3"/>
    <x v="1"/>
    <n v="558"/>
    <x v="0"/>
    <x v="1"/>
    <x v="7"/>
    <x v="0"/>
    <x v="0"/>
    <x v="5"/>
    <n v="109"/>
    <n v="213"/>
    <n v="175"/>
    <x v="5"/>
    <x v="3"/>
    <x v="3"/>
    <x v="3"/>
    <x v="3"/>
    <x v="3"/>
    <x v="3"/>
  </r>
  <r>
    <x v="3"/>
    <x v="2"/>
    <n v="442"/>
    <x v="0"/>
    <x v="2"/>
    <x v="2"/>
    <x v="0"/>
    <x v="0"/>
    <x v="4"/>
    <n v="78"/>
    <n v="176"/>
    <n v="137"/>
    <x v="6"/>
    <x v="3"/>
    <x v="3"/>
    <x v="3"/>
    <x v="3"/>
    <x v="3"/>
    <x v="3"/>
  </r>
  <r>
    <x v="3"/>
    <x v="3"/>
    <n v="57"/>
    <x v="0"/>
    <x v="2"/>
    <x v="8"/>
    <x v="0"/>
    <x v="1"/>
    <x v="11"/>
    <n v="11"/>
    <n v="29"/>
    <n v="16"/>
    <x v="1"/>
    <x v="3"/>
    <x v="3"/>
    <x v="3"/>
    <x v="3"/>
    <x v="3"/>
    <x v="3"/>
  </r>
  <r>
    <x v="4"/>
    <x v="0"/>
    <n v="221"/>
    <x v="0"/>
    <x v="2"/>
    <x v="3"/>
    <x v="0"/>
    <x v="0"/>
    <x v="12"/>
    <n v="37"/>
    <n v="93"/>
    <n v="50"/>
    <x v="7"/>
    <x v="4"/>
    <x v="4"/>
    <x v="4"/>
    <x v="4"/>
    <x v="4"/>
    <x v="4"/>
  </r>
  <r>
    <x v="4"/>
    <x v="1"/>
    <n v="570"/>
    <x v="0"/>
    <x v="0"/>
    <x v="3"/>
    <x v="0"/>
    <x v="0"/>
    <x v="13"/>
    <n v="107"/>
    <n v="241"/>
    <n v="162"/>
    <x v="8"/>
    <x v="4"/>
    <x v="4"/>
    <x v="4"/>
    <x v="4"/>
    <x v="4"/>
    <x v="4"/>
  </r>
  <r>
    <x v="4"/>
    <x v="2"/>
    <n v="443"/>
    <x v="0"/>
    <x v="3"/>
    <x v="9"/>
    <x v="1"/>
    <x v="0"/>
    <x v="14"/>
    <n v="70"/>
    <n v="205"/>
    <n v="106"/>
    <x v="9"/>
    <x v="4"/>
    <x v="4"/>
    <x v="4"/>
    <x v="4"/>
    <x v="4"/>
    <x v="4"/>
  </r>
  <r>
    <x v="4"/>
    <x v="3"/>
    <n v="76"/>
    <x v="0"/>
    <x v="2"/>
    <x v="3"/>
    <x v="0"/>
    <x v="0"/>
    <x v="15"/>
    <n v="13"/>
    <n v="33"/>
    <n v="21"/>
    <x v="10"/>
    <x v="4"/>
    <x v="4"/>
    <x v="4"/>
    <x v="4"/>
    <x v="4"/>
    <x v="4"/>
  </r>
  <r>
    <x v="5"/>
    <x v="0"/>
    <n v="213"/>
    <x v="0"/>
    <x v="2"/>
    <x v="3"/>
    <x v="0"/>
    <x v="0"/>
    <x v="2"/>
    <n v="37"/>
    <n v="72"/>
    <n v="56"/>
    <x v="11"/>
    <x v="5"/>
    <x v="5"/>
    <x v="5"/>
    <x v="5"/>
    <x v="5"/>
    <x v="5"/>
  </r>
  <r>
    <x v="5"/>
    <x v="1"/>
    <n v="441"/>
    <x v="0"/>
    <x v="2"/>
    <x v="0"/>
    <x v="0"/>
    <x v="0"/>
    <x v="16"/>
    <n v="77"/>
    <n v="180"/>
    <n v="133"/>
    <x v="8"/>
    <x v="5"/>
    <x v="5"/>
    <x v="5"/>
    <x v="5"/>
    <x v="5"/>
    <x v="5"/>
  </r>
  <r>
    <x v="5"/>
    <x v="2"/>
    <n v="383"/>
    <x v="0"/>
    <x v="2"/>
    <x v="7"/>
    <x v="0"/>
    <x v="0"/>
    <x v="4"/>
    <n v="64"/>
    <n v="150"/>
    <n v="109"/>
    <x v="5"/>
    <x v="5"/>
    <x v="5"/>
    <x v="5"/>
    <x v="5"/>
    <x v="5"/>
    <x v="5"/>
  </r>
  <r>
    <x v="5"/>
    <x v="3"/>
    <n v="62"/>
    <x v="0"/>
    <x v="2"/>
    <x v="1"/>
    <x v="0"/>
    <x v="0"/>
    <x v="17"/>
    <n v="8"/>
    <n v="30"/>
    <n v="16"/>
    <x v="2"/>
    <x v="5"/>
    <x v="5"/>
    <x v="5"/>
    <x v="5"/>
    <x v="5"/>
    <x v="5"/>
  </r>
  <r>
    <x v="6"/>
    <x v="0"/>
    <n v="259"/>
    <x v="0"/>
    <x v="2"/>
    <x v="0"/>
    <x v="0"/>
    <x v="1"/>
    <x v="18"/>
    <n v="57"/>
    <n v="98"/>
    <n v="64"/>
    <x v="7"/>
    <x v="6"/>
    <x v="6"/>
    <x v="6"/>
    <x v="6"/>
    <x v="6"/>
    <x v="6"/>
  </r>
  <r>
    <x v="6"/>
    <x v="1"/>
    <n v="516"/>
    <x v="0"/>
    <x v="0"/>
    <x v="8"/>
    <x v="0"/>
    <x v="0"/>
    <x v="16"/>
    <n v="76"/>
    <n v="219"/>
    <n v="169"/>
    <x v="12"/>
    <x v="6"/>
    <x v="6"/>
    <x v="6"/>
    <x v="6"/>
    <x v="6"/>
    <x v="6"/>
  </r>
  <r>
    <x v="6"/>
    <x v="2"/>
    <n v="431"/>
    <x v="0"/>
    <x v="0"/>
    <x v="7"/>
    <x v="0"/>
    <x v="0"/>
    <x v="19"/>
    <n v="63"/>
    <n v="182"/>
    <n v="134"/>
    <x v="11"/>
    <x v="6"/>
    <x v="6"/>
    <x v="6"/>
    <x v="6"/>
    <x v="6"/>
    <x v="6"/>
  </r>
  <r>
    <x v="6"/>
    <x v="3"/>
    <n v="70"/>
    <x v="0"/>
    <x v="2"/>
    <x v="8"/>
    <x v="0"/>
    <x v="0"/>
    <x v="15"/>
    <n v="8"/>
    <n v="43"/>
    <n v="14"/>
    <x v="13"/>
    <x v="6"/>
    <x v="6"/>
    <x v="6"/>
    <x v="6"/>
    <x v="6"/>
    <x v="6"/>
  </r>
  <r>
    <x v="7"/>
    <x v="0"/>
    <n v="330"/>
    <x v="0"/>
    <x v="0"/>
    <x v="1"/>
    <x v="0"/>
    <x v="0"/>
    <x v="18"/>
    <n v="50"/>
    <n v="139"/>
    <n v="92"/>
    <x v="9"/>
    <x v="7"/>
    <x v="7"/>
    <x v="7"/>
    <x v="7"/>
    <x v="7"/>
    <x v="7"/>
  </r>
  <r>
    <x v="7"/>
    <x v="1"/>
    <n v="487"/>
    <x v="0"/>
    <x v="2"/>
    <x v="3"/>
    <x v="0"/>
    <x v="1"/>
    <x v="20"/>
    <n v="73"/>
    <n v="234"/>
    <n v="131"/>
    <x v="12"/>
    <x v="7"/>
    <x v="7"/>
    <x v="7"/>
    <x v="7"/>
    <x v="7"/>
    <x v="7"/>
  </r>
  <r>
    <x v="7"/>
    <x v="2"/>
    <n v="384"/>
    <x v="0"/>
    <x v="2"/>
    <x v="2"/>
    <x v="0"/>
    <x v="2"/>
    <x v="19"/>
    <n v="67"/>
    <n v="166"/>
    <n v="102"/>
    <x v="6"/>
    <x v="7"/>
    <x v="7"/>
    <x v="7"/>
    <x v="7"/>
    <x v="7"/>
    <x v="7"/>
  </r>
  <r>
    <x v="7"/>
    <x v="3"/>
    <n v="65"/>
    <x v="0"/>
    <x v="2"/>
    <x v="0"/>
    <x v="0"/>
    <x v="1"/>
    <x v="21"/>
    <n v="11"/>
    <n v="35"/>
    <n v="9"/>
    <x v="0"/>
    <x v="7"/>
    <x v="7"/>
    <x v="7"/>
    <x v="7"/>
    <x v="7"/>
    <x v="7"/>
  </r>
  <r>
    <x v="8"/>
    <x v="0"/>
    <n v="235"/>
    <x v="0"/>
    <x v="2"/>
    <x v="3"/>
    <x v="2"/>
    <x v="3"/>
    <x v="4"/>
    <n v="33"/>
    <n v="85"/>
    <n v="64"/>
    <x v="14"/>
    <x v="8"/>
    <x v="8"/>
    <x v="8"/>
    <x v="8"/>
    <x v="8"/>
    <x v="8"/>
  </r>
  <r>
    <x v="8"/>
    <x v="1"/>
    <n v="462"/>
    <x v="0"/>
    <x v="3"/>
    <x v="1"/>
    <x v="0"/>
    <x v="2"/>
    <x v="22"/>
    <n v="70"/>
    <n v="206"/>
    <n v="119"/>
    <x v="15"/>
    <x v="8"/>
    <x v="8"/>
    <x v="8"/>
    <x v="8"/>
    <x v="8"/>
    <x v="8"/>
  </r>
  <r>
    <x v="8"/>
    <x v="2"/>
    <n v="356"/>
    <x v="0"/>
    <x v="3"/>
    <x v="2"/>
    <x v="0"/>
    <x v="1"/>
    <x v="23"/>
    <n v="67"/>
    <n v="154"/>
    <n v="73"/>
    <x v="7"/>
    <x v="8"/>
    <x v="8"/>
    <x v="8"/>
    <x v="8"/>
    <x v="8"/>
    <x v="8"/>
  </r>
  <r>
    <x v="8"/>
    <x v="3"/>
    <n v="63"/>
    <x v="0"/>
    <x v="2"/>
    <x v="0"/>
    <x v="0"/>
    <x v="0"/>
    <x v="7"/>
    <n v="13"/>
    <n v="31"/>
    <n v="13"/>
    <x v="3"/>
    <x v="8"/>
    <x v="8"/>
    <x v="8"/>
    <x v="8"/>
    <x v="8"/>
    <x v="8"/>
  </r>
  <r>
    <x v="9"/>
    <x v="0"/>
    <n v="248"/>
    <x v="0"/>
    <x v="2"/>
    <x v="0"/>
    <x v="0"/>
    <x v="4"/>
    <x v="16"/>
    <n v="30"/>
    <n v="110"/>
    <n v="64"/>
    <x v="6"/>
    <x v="9"/>
    <x v="9"/>
    <x v="9"/>
    <x v="9"/>
    <x v="9"/>
    <x v="9"/>
  </r>
  <r>
    <x v="9"/>
    <x v="1"/>
    <n v="523"/>
    <x v="0"/>
    <x v="0"/>
    <x v="9"/>
    <x v="0"/>
    <x v="2"/>
    <x v="5"/>
    <n v="77"/>
    <n v="223"/>
    <n v="136"/>
    <x v="16"/>
    <x v="9"/>
    <x v="9"/>
    <x v="9"/>
    <x v="9"/>
    <x v="9"/>
    <x v="9"/>
  </r>
  <r>
    <x v="9"/>
    <x v="2"/>
    <n v="373"/>
    <x v="0"/>
    <x v="0"/>
    <x v="9"/>
    <x v="0"/>
    <x v="2"/>
    <x v="24"/>
    <n v="62"/>
    <n v="161"/>
    <n v="92"/>
    <x v="12"/>
    <x v="9"/>
    <x v="9"/>
    <x v="9"/>
    <x v="9"/>
    <x v="9"/>
    <x v="9"/>
  </r>
  <r>
    <x v="9"/>
    <x v="3"/>
    <n v="53"/>
    <x v="0"/>
    <x v="2"/>
    <x v="8"/>
    <x v="0"/>
    <x v="0"/>
    <x v="17"/>
    <n v="12"/>
    <n v="21"/>
    <n v="11"/>
    <x v="10"/>
    <x v="9"/>
    <x v="9"/>
    <x v="9"/>
    <x v="9"/>
    <x v="9"/>
    <x v="9"/>
  </r>
  <r>
    <x v="10"/>
    <x v="0"/>
    <n v="219"/>
    <x v="0"/>
    <x v="2"/>
    <x v="3"/>
    <x v="1"/>
    <x v="2"/>
    <x v="16"/>
    <n v="37"/>
    <n v="91"/>
    <n v="44"/>
    <x v="17"/>
    <x v="10"/>
    <x v="10"/>
    <x v="10"/>
    <x v="10"/>
    <x v="10"/>
    <x v="10"/>
  </r>
  <r>
    <x v="10"/>
    <x v="1"/>
    <n v="441"/>
    <x v="0"/>
    <x v="0"/>
    <x v="0"/>
    <x v="0"/>
    <x v="0"/>
    <x v="9"/>
    <n v="46"/>
    <n v="189"/>
    <n v="132"/>
    <x v="18"/>
    <x v="10"/>
    <x v="10"/>
    <x v="10"/>
    <x v="10"/>
    <x v="10"/>
    <x v="10"/>
  </r>
  <r>
    <x v="10"/>
    <x v="2"/>
    <n v="314"/>
    <x v="0"/>
    <x v="0"/>
    <x v="10"/>
    <x v="0"/>
    <x v="1"/>
    <x v="16"/>
    <n v="45"/>
    <n v="135"/>
    <n v="82"/>
    <x v="19"/>
    <x v="10"/>
    <x v="10"/>
    <x v="10"/>
    <x v="10"/>
    <x v="10"/>
    <x v="10"/>
  </r>
  <r>
    <x v="10"/>
    <x v="3"/>
    <n v="53"/>
    <x v="0"/>
    <x v="2"/>
    <x v="8"/>
    <x v="0"/>
    <x v="0"/>
    <x v="11"/>
    <n v="5"/>
    <n v="32"/>
    <n v="10"/>
    <x v="10"/>
    <x v="10"/>
    <x v="10"/>
    <x v="10"/>
    <x v="10"/>
    <x v="10"/>
    <x v="10"/>
  </r>
  <r>
    <x v="11"/>
    <x v="0"/>
    <n v="324"/>
    <x v="1"/>
    <x v="2"/>
    <x v="8"/>
    <x v="0"/>
    <x v="1"/>
    <x v="25"/>
    <n v="39"/>
    <n v="140"/>
    <n v="64"/>
    <x v="9"/>
    <x v="11"/>
    <x v="11"/>
    <x v="11"/>
    <x v="11"/>
    <x v="11"/>
    <x v="11"/>
  </r>
  <r>
    <x v="11"/>
    <x v="1"/>
    <n v="343"/>
    <x v="0"/>
    <x v="2"/>
    <x v="8"/>
    <x v="0"/>
    <x v="0"/>
    <x v="26"/>
    <n v="37"/>
    <n v="153"/>
    <n v="96"/>
    <x v="20"/>
    <x v="11"/>
    <x v="11"/>
    <x v="11"/>
    <x v="11"/>
    <x v="11"/>
    <x v="11"/>
  </r>
  <r>
    <x v="11"/>
    <x v="2"/>
    <n v="299"/>
    <x v="1"/>
    <x v="2"/>
    <x v="9"/>
    <x v="0"/>
    <x v="0"/>
    <x v="2"/>
    <n v="44"/>
    <n v="134"/>
    <n v="76"/>
    <x v="21"/>
    <x v="11"/>
    <x v="11"/>
    <x v="11"/>
    <x v="11"/>
    <x v="11"/>
    <x v="11"/>
  </r>
  <r>
    <x v="11"/>
    <x v="3"/>
    <n v="51"/>
    <x v="0"/>
    <x v="2"/>
    <x v="8"/>
    <x v="0"/>
    <x v="0"/>
    <x v="15"/>
    <n v="6"/>
    <n v="25"/>
    <n v="14"/>
    <x v="22"/>
    <x v="11"/>
    <x v="11"/>
    <x v="11"/>
    <x v="11"/>
    <x v="11"/>
    <x v="11"/>
  </r>
</pivotCacheRecords>
</file>

<file path=xl/pivotCache/pivotCacheRecords39.xml><?xml version="1.0" encoding="utf-8"?>
<pivotCacheRecords xmlns="http://schemas.openxmlformats.org/spreadsheetml/2006/main" xmlns:r="http://schemas.openxmlformats.org/officeDocument/2006/relationships" count="54">
  <r>
    <x v="0"/>
    <x v="0"/>
    <x v="0"/>
    <x v="0"/>
    <x v="0"/>
    <x v="0"/>
    <x v="0"/>
    <x v="0"/>
    <x v="0"/>
  </r>
  <r>
    <x v="0"/>
    <x v="1"/>
    <x v="1"/>
    <x v="0"/>
    <x v="1"/>
    <x v="0"/>
    <x v="0"/>
    <x v="1"/>
    <x v="0"/>
  </r>
  <r>
    <x v="0"/>
    <x v="2"/>
    <x v="2"/>
    <x v="0"/>
    <x v="2"/>
    <x v="0"/>
    <x v="0"/>
    <x v="1"/>
    <x v="1"/>
  </r>
  <r>
    <x v="0"/>
    <x v="3"/>
    <x v="3"/>
    <x v="0"/>
    <x v="3"/>
    <x v="0"/>
    <x v="0"/>
    <x v="2"/>
    <x v="2"/>
  </r>
  <r>
    <x v="1"/>
    <x v="4"/>
    <x v="4"/>
    <x v="0"/>
    <x v="4"/>
    <x v="0"/>
    <x v="0"/>
    <x v="3"/>
    <x v="3"/>
  </r>
  <r>
    <x v="0"/>
    <x v="4"/>
    <x v="4"/>
    <x v="0"/>
    <x v="0"/>
    <x v="0"/>
    <x v="0"/>
    <x v="1"/>
    <x v="4"/>
  </r>
  <r>
    <x v="0"/>
    <x v="0"/>
    <x v="0"/>
    <x v="1"/>
    <x v="5"/>
    <x v="1"/>
    <x v="1"/>
    <x v="4"/>
    <x v="5"/>
  </r>
  <r>
    <x v="0"/>
    <x v="1"/>
    <x v="1"/>
    <x v="1"/>
    <x v="5"/>
    <x v="1"/>
    <x v="1"/>
    <x v="1"/>
    <x v="6"/>
  </r>
  <r>
    <x v="0"/>
    <x v="2"/>
    <x v="2"/>
    <x v="1"/>
    <x v="2"/>
    <x v="1"/>
    <x v="1"/>
    <x v="1"/>
    <x v="1"/>
  </r>
  <r>
    <x v="0"/>
    <x v="5"/>
    <x v="5"/>
    <x v="1"/>
    <x v="4"/>
    <x v="1"/>
    <x v="1"/>
    <x v="3"/>
    <x v="3"/>
  </r>
  <r>
    <x v="0"/>
    <x v="3"/>
    <x v="3"/>
    <x v="1"/>
    <x v="4"/>
    <x v="1"/>
    <x v="1"/>
    <x v="3"/>
    <x v="3"/>
  </r>
  <r>
    <x v="0"/>
    <x v="4"/>
    <x v="4"/>
    <x v="1"/>
    <x v="6"/>
    <x v="1"/>
    <x v="1"/>
    <x v="5"/>
    <x v="7"/>
  </r>
  <r>
    <x v="0"/>
    <x v="0"/>
    <x v="0"/>
    <x v="2"/>
    <x v="7"/>
    <x v="2"/>
    <x v="2"/>
    <x v="5"/>
    <x v="8"/>
  </r>
  <r>
    <x v="0"/>
    <x v="1"/>
    <x v="1"/>
    <x v="2"/>
    <x v="8"/>
    <x v="2"/>
    <x v="2"/>
    <x v="6"/>
    <x v="9"/>
  </r>
  <r>
    <x v="0"/>
    <x v="2"/>
    <x v="2"/>
    <x v="2"/>
    <x v="9"/>
    <x v="2"/>
    <x v="2"/>
    <x v="7"/>
    <x v="10"/>
  </r>
  <r>
    <x v="0"/>
    <x v="4"/>
    <x v="4"/>
    <x v="2"/>
    <x v="7"/>
    <x v="2"/>
    <x v="2"/>
    <x v="2"/>
    <x v="6"/>
  </r>
  <r>
    <x v="0"/>
    <x v="0"/>
    <x v="0"/>
    <x v="3"/>
    <x v="10"/>
    <x v="3"/>
    <x v="3"/>
    <x v="8"/>
    <x v="0"/>
  </r>
  <r>
    <x v="0"/>
    <x v="1"/>
    <x v="1"/>
    <x v="3"/>
    <x v="11"/>
    <x v="3"/>
    <x v="3"/>
    <x v="5"/>
    <x v="3"/>
  </r>
  <r>
    <x v="0"/>
    <x v="2"/>
    <x v="2"/>
    <x v="3"/>
    <x v="8"/>
    <x v="3"/>
    <x v="3"/>
    <x v="6"/>
    <x v="9"/>
  </r>
  <r>
    <x v="0"/>
    <x v="4"/>
    <x v="4"/>
    <x v="3"/>
    <x v="10"/>
    <x v="3"/>
    <x v="3"/>
    <x v="8"/>
    <x v="0"/>
  </r>
  <r>
    <x v="0"/>
    <x v="0"/>
    <x v="0"/>
    <x v="4"/>
    <x v="7"/>
    <x v="4"/>
    <x v="4"/>
    <x v="4"/>
    <x v="7"/>
  </r>
  <r>
    <x v="0"/>
    <x v="1"/>
    <x v="1"/>
    <x v="4"/>
    <x v="7"/>
    <x v="4"/>
    <x v="4"/>
    <x v="5"/>
    <x v="8"/>
  </r>
  <r>
    <x v="0"/>
    <x v="2"/>
    <x v="2"/>
    <x v="4"/>
    <x v="12"/>
    <x v="4"/>
    <x v="4"/>
    <x v="0"/>
    <x v="6"/>
  </r>
  <r>
    <x v="0"/>
    <x v="4"/>
    <x v="4"/>
    <x v="4"/>
    <x v="3"/>
    <x v="4"/>
    <x v="4"/>
    <x v="5"/>
    <x v="11"/>
  </r>
  <r>
    <x v="0"/>
    <x v="0"/>
    <x v="0"/>
    <x v="5"/>
    <x v="5"/>
    <x v="5"/>
    <x v="5"/>
    <x v="4"/>
    <x v="5"/>
  </r>
  <r>
    <x v="0"/>
    <x v="1"/>
    <x v="1"/>
    <x v="5"/>
    <x v="10"/>
    <x v="5"/>
    <x v="5"/>
    <x v="1"/>
    <x v="5"/>
  </r>
  <r>
    <x v="0"/>
    <x v="2"/>
    <x v="2"/>
    <x v="5"/>
    <x v="0"/>
    <x v="5"/>
    <x v="5"/>
    <x v="1"/>
    <x v="4"/>
  </r>
  <r>
    <x v="0"/>
    <x v="4"/>
    <x v="4"/>
    <x v="5"/>
    <x v="11"/>
    <x v="5"/>
    <x v="5"/>
    <x v="9"/>
    <x v="2"/>
  </r>
  <r>
    <x v="0"/>
    <x v="0"/>
    <x v="0"/>
    <x v="6"/>
    <x v="7"/>
    <x v="6"/>
    <x v="6"/>
    <x v="4"/>
    <x v="7"/>
  </r>
  <r>
    <x v="0"/>
    <x v="1"/>
    <x v="1"/>
    <x v="6"/>
    <x v="1"/>
    <x v="6"/>
    <x v="6"/>
    <x v="6"/>
    <x v="8"/>
  </r>
  <r>
    <x v="0"/>
    <x v="2"/>
    <x v="2"/>
    <x v="6"/>
    <x v="13"/>
    <x v="6"/>
    <x v="6"/>
    <x v="6"/>
    <x v="12"/>
  </r>
  <r>
    <x v="0"/>
    <x v="3"/>
    <x v="3"/>
    <x v="6"/>
    <x v="4"/>
    <x v="6"/>
    <x v="6"/>
    <x v="2"/>
    <x v="11"/>
  </r>
  <r>
    <x v="0"/>
    <x v="4"/>
    <x v="4"/>
    <x v="6"/>
    <x v="3"/>
    <x v="6"/>
    <x v="6"/>
    <x v="5"/>
    <x v="11"/>
  </r>
  <r>
    <x v="0"/>
    <x v="0"/>
    <x v="0"/>
    <x v="7"/>
    <x v="7"/>
    <x v="7"/>
    <x v="7"/>
    <x v="9"/>
    <x v="0"/>
  </r>
  <r>
    <x v="0"/>
    <x v="1"/>
    <x v="1"/>
    <x v="7"/>
    <x v="14"/>
    <x v="7"/>
    <x v="7"/>
    <x v="1"/>
    <x v="8"/>
  </r>
  <r>
    <x v="0"/>
    <x v="2"/>
    <x v="2"/>
    <x v="7"/>
    <x v="13"/>
    <x v="7"/>
    <x v="7"/>
    <x v="8"/>
    <x v="1"/>
  </r>
  <r>
    <x v="0"/>
    <x v="4"/>
    <x v="4"/>
    <x v="7"/>
    <x v="11"/>
    <x v="7"/>
    <x v="7"/>
    <x v="9"/>
    <x v="2"/>
  </r>
  <r>
    <x v="0"/>
    <x v="0"/>
    <x v="0"/>
    <x v="8"/>
    <x v="15"/>
    <x v="8"/>
    <x v="8"/>
    <x v="6"/>
    <x v="13"/>
  </r>
  <r>
    <x v="0"/>
    <x v="1"/>
    <x v="1"/>
    <x v="8"/>
    <x v="16"/>
    <x v="8"/>
    <x v="8"/>
    <x v="3"/>
    <x v="0"/>
  </r>
  <r>
    <x v="0"/>
    <x v="2"/>
    <x v="2"/>
    <x v="8"/>
    <x v="8"/>
    <x v="8"/>
    <x v="8"/>
    <x v="7"/>
    <x v="5"/>
  </r>
  <r>
    <x v="0"/>
    <x v="5"/>
    <x v="5"/>
    <x v="8"/>
    <x v="4"/>
    <x v="8"/>
    <x v="8"/>
    <x v="3"/>
    <x v="3"/>
  </r>
  <r>
    <x v="0"/>
    <x v="4"/>
    <x v="4"/>
    <x v="8"/>
    <x v="16"/>
    <x v="8"/>
    <x v="8"/>
    <x v="2"/>
    <x v="8"/>
  </r>
  <r>
    <x v="0"/>
    <x v="0"/>
    <x v="0"/>
    <x v="9"/>
    <x v="14"/>
    <x v="9"/>
    <x v="9"/>
    <x v="9"/>
    <x v="5"/>
  </r>
  <r>
    <x v="0"/>
    <x v="1"/>
    <x v="1"/>
    <x v="9"/>
    <x v="0"/>
    <x v="9"/>
    <x v="9"/>
    <x v="6"/>
    <x v="5"/>
  </r>
  <r>
    <x v="0"/>
    <x v="2"/>
    <x v="2"/>
    <x v="9"/>
    <x v="17"/>
    <x v="9"/>
    <x v="9"/>
    <x v="6"/>
    <x v="14"/>
  </r>
  <r>
    <x v="0"/>
    <x v="4"/>
    <x v="4"/>
    <x v="9"/>
    <x v="18"/>
    <x v="9"/>
    <x v="9"/>
    <x v="2"/>
    <x v="3"/>
  </r>
  <r>
    <x v="0"/>
    <x v="0"/>
    <x v="0"/>
    <x v="10"/>
    <x v="6"/>
    <x v="10"/>
    <x v="10"/>
    <x v="9"/>
    <x v="8"/>
  </r>
  <r>
    <x v="0"/>
    <x v="1"/>
    <x v="1"/>
    <x v="10"/>
    <x v="6"/>
    <x v="10"/>
    <x v="10"/>
    <x v="9"/>
    <x v="8"/>
  </r>
  <r>
    <x v="0"/>
    <x v="2"/>
    <x v="2"/>
    <x v="10"/>
    <x v="5"/>
    <x v="10"/>
    <x v="10"/>
    <x v="9"/>
    <x v="13"/>
  </r>
  <r>
    <x v="0"/>
    <x v="4"/>
    <x v="4"/>
    <x v="10"/>
    <x v="11"/>
    <x v="10"/>
    <x v="10"/>
    <x v="2"/>
    <x v="7"/>
  </r>
  <r>
    <x v="0"/>
    <x v="0"/>
    <x v="0"/>
    <x v="11"/>
    <x v="19"/>
    <x v="11"/>
    <x v="11"/>
    <x v="9"/>
    <x v="15"/>
  </r>
  <r>
    <x v="0"/>
    <x v="1"/>
    <x v="1"/>
    <x v="11"/>
    <x v="20"/>
    <x v="11"/>
    <x v="11"/>
    <x v="5"/>
    <x v="0"/>
  </r>
  <r>
    <x v="0"/>
    <x v="2"/>
    <x v="2"/>
    <x v="11"/>
    <x v="17"/>
    <x v="11"/>
    <x v="11"/>
    <x v="8"/>
    <x v="16"/>
  </r>
  <r>
    <x v="0"/>
    <x v="4"/>
    <x v="4"/>
    <x v="11"/>
    <x v="20"/>
    <x v="11"/>
    <x v="11"/>
    <x v="2"/>
    <x v="5"/>
  </r>
</pivotCacheRecords>
</file>

<file path=xl/pivotCache/pivotCacheRecords4.xml><?xml version="1.0" encoding="utf-8"?>
<pivotCacheRecords xmlns="http://schemas.openxmlformats.org/spreadsheetml/2006/main" xmlns:r="http://schemas.openxmlformats.org/officeDocument/2006/relationships" count="385">
  <r>
    <x v="0"/>
    <x v="0"/>
    <n v="505"/>
    <n v="198"/>
    <n v="217020"/>
  </r>
  <r>
    <x v="0"/>
    <x v="1"/>
    <n v="387"/>
    <n v="64"/>
    <n v="249020"/>
  </r>
  <r>
    <x v="0"/>
    <x v="2"/>
    <n v="166"/>
    <n v="25"/>
    <n v="114830"/>
  </r>
  <r>
    <x v="0"/>
    <x v="3"/>
    <n v="152"/>
    <n v="35"/>
    <n v="89450"/>
  </r>
  <r>
    <x v="0"/>
    <x v="4"/>
    <n v="949"/>
    <n v="623"/>
    <n v="463230"/>
  </r>
  <r>
    <x v="0"/>
    <x v="5"/>
    <n v="73"/>
    <n v="42"/>
    <n v="51290"/>
  </r>
  <r>
    <x v="0"/>
    <x v="6"/>
    <n v="253"/>
    <n v="53"/>
    <n v="151160"/>
  </r>
  <r>
    <x v="0"/>
    <x v="7"/>
    <n v="403"/>
    <n v="102"/>
    <n v="145170"/>
  </r>
  <r>
    <x v="0"/>
    <x v="8"/>
    <n v="178"/>
    <n v="118"/>
    <n v="122110"/>
  </r>
  <r>
    <x v="0"/>
    <x v="9"/>
    <n v="107"/>
    <n v="82"/>
    <n v="104960"/>
  </r>
  <r>
    <x v="0"/>
    <x v="10"/>
    <n v="160"/>
    <n v="86"/>
    <n v="98340"/>
  </r>
  <r>
    <x v="0"/>
    <x v="11"/>
    <n v="90"/>
    <n v="64"/>
    <n v="89980"/>
  </r>
  <r>
    <x v="0"/>
    <x v="12"/>
    <n v="184"/>
    <n v="73"/>
    <n v="154210"/>
  </r>
  <r>
    <x v="0"/>
    <x v="13"/>
    <n v="492"/>
    <n v="188"/>
    <n v="361420"/>
  </r>
  <r>
    <x v="0"/>
    <x v="14"/>
    <n v="1573"/>
    <n v="846"/>
    <n v="581620"/>
  </r>
  <r>
    <x v="0"/>
    <x v="15"/>
    <n v="305"/>
    <n v="52"/>
    <n v="228750"/>
  </r>
  <r>
    <x v="0"/>
    <x v="16"/>
    <n v="152"/>
    <n v="150"/>
    <n v="81670"/>
  </r>
  <r>
    <x v="0"/>
    <x v="17"/>
    <n v="117"/>
    <n v="81"/>
    <n v="81900"/>
  </r>
  <r>
    <x v="0"/>
    <x v="18"/>
    <n v="135"/>
    <n v="31"/>
    <n v="93160"/>
  </r>
  <r>
    <x v="0"/>
    <x v="19"/>
    <n v="36"/>
    <n v="3"/>
    <n v="27420"/>
  </r>
  <r>
    <x v="0"/>
    <x v="20"/>
    <n v="256"/>
    <n v="117"/>
    <n v="137830"/>
  </r>
  <r>
    <x v="0"/>
    <x v="21"/>
    <n v="537"/>
    <n v="479"/>
    <n v="335160"/>
  </r>
  <r>
    <x v="0"/>
    <x v="22"/>
    <n v="20"/>
    <n v="1"/>
    <n v="20940"/>
  </r>
  <r>
    <x v="0"/>
    <x v="23"/>
    <n v="246"/>
    <n v="38"/>
    <n v="144370"/>
  </r>
  <r>
    <x v="0"/>
    <x v="24"/>
    <n v="338"/>
    <n v="197"/>
    <n v="173020"/>
  </r>
  <r>
    <x v="0"/>
    <x v="25"/>
    <n v="193"/>
    <n v="42"/>
    <n v="113590"/>
  </r>
  <r>
    <x v="0"/>
    <x v="26"/>
    <n v="31"/>
    <n v="2"/>
    <n v="22800"/>
  </r>
  <r>
    <x v="0"/>
    <x v="27"/>
    <n v="151"/>
    <n v="60"/>
    <n v="112490"/>
  </r>
  <r>
    <x v="0"/>
    <x v="28"/>
    <n v="529"/>
    <n v="297"/>
    <n v="312180"/>
  </r>
  <r>
    <x v="0"/>
    <x v="29"/>
    <n v="157"/>
    <n v="42"/>
    <n v="88690"/>
  </r>
  <r>
    <x v="0"/>
    <x v="30"/>
    <n v="193"/>
    <n v="163"/>
    <n v="91080"/>
  </r>
  <r>
    <x v="0"/>
    <x v="31"/>
    <n v="309"/>
    <n v="261"/>
    <n v="173040"/>
  </r>
  <r>
    <x v="1"/>
    <x v="0"/>
    <n v="428"/>
    <n v="210"/>
    <n v="219730"/>
  </r>
  <r>
    <x v="1"/>
    <x v="1"/>
    <n v="380"/>
    <n v="66"/>
    <n v="251430"/>
  </r>
  <r>
    <x v="1"/>
    <x v="2"/>
    <n v="155"/>
    <n v="29"/>
    <n v="115410"/>
  </r>
  <r>
    <x v="1"/>
    <x v="3"/>
    <n v="203"/>
    <n v="41"/>
    <n v="88620"/>
  </r>
  <r>
    <x v="1"/>
    <x v="4"/>
    <n v="959"/>
    <n v="444"/>
    <n v="469930"/>
  </r>
  <r>
    <x v="1"/>
    <x v="5"/>
    <n v="70"/>
    <n v="45"/>
    <n v="51330"/>
  </r>
  <r>
    <x v="1"/>
    <x v="6"/>
    <n v="201"/>
    <n v="68"/>
    <n v="151100"/>
  </r>
  <r>
    <x v="1"/>
    <x v="7"/>
    <n v="426"/>
    <n v="104"/>
    <n v="146060"/>
  </r>
  <r>
    <x v="1"/>
    <x v="8"/>
    <n v="174"/>
    <n v="94"/>
    <n v="122410"/>
  </r>
  <r>
    <x v="1"/>
    <x v="9"/>
    <n v="104"/>
    <n v="52"/>
    <n v="104920"/>
  </r>
  <r>
    <x v="1"/>
    <x v="10"/>
    <n v="150"/>
    <n v="59"/>
    <n v="99140"/>
  </r>
  <r>
    <x v="1"/>
    <x v="11"/>
    <n v="91"/>
    <n v="41"/>
    <n v="90410"/>
  </r>
  <r>
    <x v="1"/>
    <x v="12"/>
    <n v="225"/>
    <n v="86"/>
    <n v="155130"/>
  </r>
  <r>
    <x v="1"/>
    <x v="13"/>
    <n v="481"/>
    <n v="178"/>
    <n v="362610"/>
  </r>
  <r>
    <x v="1"/>
    <x v="14"/>
    <n v="1428"/>
    <n v="777"/>
    <n v="586500"/>
  </r>
  <r>
    <x v="1"/>
    <x v="15"/>
    <n v="366"/>
    <n v="50"/>
    <n v="230730"/>
  </r>
  <r>
    <x v="1"/>
    <x v="16"/>
    <n v="133"/>
    <n v="146"/>
    <n v="81510"/>
  </r>
  <r>
    <x v="1"/>
    <x v="17"/>
    <n v="116"/>
    <n v="73"/>
    <n v="82360"/>
  </r>
  <r>
    <x v="1"/>
    <x v="18"/>
    <n v="136"/>
    <n v="24"/>
    <n v="93690"/>
  </r>
  <r>
    <x v="1"/>
    <x v="19"/>
    <n v="41"/>
    <n v="4"/>
    <n v="27600"/>
  </r>
  <r>
    <x v="1"/>
    <x v="20"/>
    <n v="226"/>
    <n v="123"/>
    <n v="137800"/>
  </r>
  <r>
    <x v="1"/>
    <x v="21"/>
    <n v="483"/>
    <n v="358"/>
    <n v="336280"/>
  </r>
  <r>
    <x v="1"/>
    <x v="22"/>
    <n v="31"/>
    <n v="4"/>
    <n v="21220"/>
  </r>
  <r>
    <x v="1"/>
    <x v="23"/>
    <n v="295"/>
    <n v="26"/>
    <n v="145600"/>
  </r>
  <r>
    <x v="1"/>
    <x v="24"/>
    <n v="301"/>
    <n v="195"/>
    <n v="173700"/>
  </r>
  <r>
    <x v="1"/>
    <x v="25"/>
    <n v="187"/>
    <n v="62"/>
    <n v="113700"/>
  </r>
  <r>
    <x v="1"/>
    <x v="26"/>
    <n v="19"/>
    <n v="2"/>
    <n v="23060"/>
  </r>
  <r>
    <x v="1"/>
    <x v="27"/>
    <n v="169"/>
    <n v="49"/>
    <n v="112600"/>
  </r>
  <r>
    <x v="1"/>
    <x v="28"/>
    <n v="460"/>
    <n v="313"/>
    <n v="313180"/>
  </r>
  <r>
    <x v="1"/>
    <x v="29"/>
    <n v="156"/>
    <n v="32"/>
    <n v="89550"/>
  </r>
  <r>
    <x v="1"/>
    <x v="30"/>
    <n v="174"/>
    <n v="114"/>
    <n v="90800"/>
  </r>
  <r>
    <x v="1"/>
    <x v="31"/>
    <n v="292"/>
    <n v="215"/>
    <n v="174090"/>
  </r>
  <r>
    <x v="2"/>
    <x v="0"/>
    <n v="469"/>
    <n v="180"/>
    <n v="222460"/>
  </r>
  <r>
    <x v="2"/>
    <x v="1"/>
    <n v="369"/>
    <n v="64"/>
    <n v="253650"/>
  </r>
  <r>
    <x v="2"/>
    <x v="2"/>
    <n v="161"/>
    <n v="21"/>
    <n v="116200"/>
  </r>
  <r>
    <x v="2"/>
    <x v="3"/>
    <n v="171"/>
    <n v="31"/>
    <n v="88930"/>
  </r>
  <r>
    <x v="2"/>
    <x v="4"/>
    <n v="960"/>
    <n v="438"/>
    <n v="477940"/>
  </r>
  <r>
    <x v="2"/>
    <x v="5"/>
    <n v="70"/>
    <n v="20"/>
    <n v="51500"/>
  </r>
  <r>
    <x v="2"/>
    <x v="6"/>
    <n v="204"/>
    <n v="62"/>
    <n v="151410"/>
  </r>
  <r>
    <x v="2"/>
    <x v="7"/>
    <n v="348"/>
    <n v="95"/>
    <n v="147200"/>
  </r>
  <r>
    <x v="2"/>
    <x v="8"/>
    <n v="163"/>
    <n v="98"/>
    <n v="122690"/>
  </r>
  <r>
    <x v="2"/>
    <x v="9"/>
    <n v="94"/>
    <n v="40"/>
    <n v="105000"/>
  </r>
  <r>
    <x v="2"/>
    <x v="10"/>
    <n v="151"/>
    <n v="68"/>
    <n v="99920"/>
  </r>
  <r>
    <x v="2"/>
    <x v="11"/>
    <n v="101"/>
    <n v="46"/>
    <n v="90810"/>
  </r>
  <r>
    <x v="2"/>
    <x v="12"/>
    <n v="185"/>
    <n v="98"/>
    <n v="156250"/>
  </r>
  <r>
    <x v="2"/>
    <x v="13"/>
    <n v="446"/>
    <n v="186"/>
    <n v="365300"/>
  </r>
  <r>
    <x v="2"/>
    <x v="14"/>
    <n v="1457"/>
    <n v="722"/>
    <n v="593060"/>
  </r>
  <r>
    <x v="2"/>
    <x v="15"/>
    <n v="359"/>
    <n v="46"/>
    <n v="232730"/>
  </r>
  <r>
    <x v="2"/>
    <x v="16"/>
    <n v="102"/>
    <n v="121"/>
    <n v="81220"/>
  </r>
  <r>
    <x v="2"/>
    <x v="17"/>
    <n v="107"/>
    <n v="92"/>
    <n v="83450"/>
  </r>
  <r>
    <x v="2"/>
    <x v="18"/>
    <n v="113"/>
    <n v="33"/>
    <n v="93470"/>
  </r>
  <r>
    <x v="2"/>
    <x v="19"/>
    <n v="39"/>
    <m/>
    <n v="27690"/>
  </r>
  <r>
    <x v="2"/>
    <x v="20"/>
    <n v="191"/>
    <n v="91"/>
    <n v="138090"/>
  </r>
  <r>
    <x v="2"/>
    <x v="21"/>
    <n v="448"/>
    <n v="336"/>
    <n v="337720"/>
  </r>
  <r>
    <x v="2"/>
    <x v="22"/>
    <n v="29"/>
    <n v="1"/>
    <n v="21420"/>
  </r>
  <r>
    <x v="2"/>
    <x v="23"/>
    <n v="254"/>
    <n v="53"/>
    <n v="146850"/>
  </r>
  <r>
    <x v="2"/>
    <x v="24"/>
    <n v="302"/>
    <n v="160"/>
    <n v="174700"/>
  </r>
  <r>
    <x v="2"/>
    <x v="25"/>
    <n v="185"/>
    <n v="39"/>
    <n v="113880"/>
  </r>
  <r>
    <x v="2"/>
    <x v="26"/>
    <n v="29"/>
    <m/>
    <n v="23240"/>
  </r>
  <r>
    <x v="2"/>
    <x v="27"/>
    <n v="145"/>
    <n v="39"/>
    <n v="112980"/>
  </r>
  <r>
    <x v="2"/>
    <x v="28"/>
    <n v="402"/>
    <n v="240"/>
    <n v="313900"/>
  </r>
  <r>
    <x v="2"/>
    <x v="29"/>
    <n v="127"/>
    <n v="43"/>
    <n v="90330"/>
  </r>
  <r>
    <x v="2"/>
    <x v="30"/>
    <n v="169"/>
    <n v="131"/>
    <n v="90610"/>
  </r>
  <r>
    <x v="2"/>
    <x v="31"/>
    <n v="281"/>
    <n v="186"/>
    <n v="175300"/>
  </r>
  <r>
    <x v="3"/>
    <x v="0"/>
    <n v="425"/>
    <n v="134"/>
    <n v="224910"/>
  </r>
  <r>
    <x v="3"/>
    <x v="1"/>
    <n v="354"/>
    <n v="58"/>
    <n v="255560"/>
  </r>
  <r>
    <x v="3"/>
    <x v="2"/>
    <n v="157"/>
    <n v="27"/>
    <n v="116220"/>
  </r>
  <r>
    <x v="3"/>
    <x v="3"/>
    <n v="162"/>
    <n v="22"/>
    <n v="86910"/>
  </r>
  <r>
    <x v="3"/>
    <x v="4"/>
    <n v="900"/>
    <n v="286"/>
    <n v="482630"/>
  </r>
  <r>
    <x v="3"/>
    <x v="5"/>
    <n v="58"/>
    <n v="25"/>
    <n v="51280"/>
  </r>
  <r>
    <x v="3"/>
    <x v="6"/>
    <n v="199"/>
    <n v="38"/>
    <n v="150840"/>
  </r>
  <r>
    <x v="3"/>
    <x v="7"/>
    <n v="323"/>
    <n v="73"/>
    <n v="147780"/>
  </r>
  <r>
    <x v="3"/>
    <x v="8"/>
    <n v="168"/>
    <n v="62"/>
    <n v="122730"/>
  </r>
  <r>
    <x v="3"/>
    <x v="9"/>
    <n v="97"/>
    <n v="57"/>
    <n v="105880"/>
  </r>
  <r>
    <x v="3"/>
    <x v="10"/>
    <n v="142"/>
    <n v="44"/>
    <n v="100860"/>
  </r>
  <r>
    <x v="3"/>
    <x v="11"/>
    <n v="95"/>
    <n v="43"/>
    <n v="91040"/>
  </r>
  <r>
    <x v="3"/>
    <x v="12"/>
    <n v="152"/>
    <n v="70"/>
    <n v="156800"/>
  </r>
  <r>
    <x v="3"/>
    <x v="13"/>
    <n v="470"/>
    <n v="156"/>
    <n v="366210"/>
  </r>
  <r>
    <x v="3"/>
    <x v="14"/>
    <n v="1290"/>
    <n v="593"/>
    <n v="595070"/>
  </r>
  <r>
    <x v="3"/>
    <x v="15"/>
    <n v="328"/>
    <n v="26"/>
    <n v="232890"/>
  </r>
  <r>
    <x v="3"/>
    <x v="16"/>
    <n v="121"/>
    <n v="59"/>
    <n v="80690"/>
  </r>
  <r>
    <x v="3"/>
    <x v="17"/>
    <n v="125"/>
    <n v="43"/>
    <n v="84240"/>
  </r>
  <r>
    <x v="3"/>
    <x v="18"/>
    <n v="109"/>
    <n v="16"/>
    <n v="92930"/>
  </r>
  <r>
    <x v="3"/>
    <x v="19"/>
    <n v="56"/>
    <n v="10"/>
    <n v="27560"/>
  </r>
  <r>
    <x v="3"/>
    <x v="20"/>
    <n v="203"/>
    <n v="53"/>
    <n v="137570"/>
  </r>
  <r>
    <x v="3"/>
    <x v="21"/>
    <n v="429"/>
    <n v="284"/>
    <n v="337890"/>
  </r>
  <r>
    <x v="3"/>
    <x v="22"/>
    <n v="30"/>
    <n v="1"/>
    <n v="21530"/>
  </r>
  <r>
    <x v="3"/>
    <x v="23"/>
    <n v="237"/>
    <n v="31"/>
    <n v="147740"/>
  </r>
  <r>
    <x v="3"/>
    <x v="24"/>
    <n v="300"/>
    <n v="128"/>
    <n v="174300"/>
  </r>
  <r>
    <x v="3"/>
    <x v="25"/>
    <n v="169"/>
    <n v="24"/>
    <n v="113720"/>
  </r>
  <r>
    <x v="3"/>
    <x v="26"/>
    <n v="29"/>
    <n v="1"/>
    <n v="23210"/>
  </r>
  <r>
    <x v="3"/>
    <x v="27"/>
    <n v="174"/>
    <n v="38"/>
    <n v="112920"/>
  </r>
  <r>
    <x v="3"/>
    <x v="28"/>
    <n v="411"/>
    <n v="187"/>
    <n v="314330"/>
  </r>
  <r>
    <x v="3"/>
    <x v="29"/>
    <n v="111"/>
    <n v="27"/>
    <n v="91010"/>
  </r>
  <r>
    <x v="3"/>
    <x v="30"/>
    <n v="152"/>
    <n v="121"/>
    <n v="90340"/>
  </r>
  <r>
    <x v="3"/>
    <x v="31"/>
    <n v="277"/>
    <n v="96"/>
    <n v="176010"/>
  </r>
  <r>
    <x v="4"/>
    <x v="0"/>
    <n v="415"/>
    <n v="142"/>
    <n v="227070"/>
  </r>
  <r>
    <x v="4"/>
    <x v="1"/>
    <n v="365"/>
    <n v="47"/>
    <n v="257770"/>
  </r>
  <r>
    <x v="4"/>
    <x v="2"/>
    <n v="150"/>
    <n v="23"/>
    <n v="116290"/>
  </r>
  <r>
    <x v="4"/>
    <x v="3"/>
    <n v="157"/>
    <n v="17"/>
    <n v="88050"/>
  </r>
  <r>
    <x v="4"/>
    <x v="4"/>
    <n v="819"/>
    <n v="352"/>
    <n v="487460"/>
  </r>
  <r>
    <x v="4"/>
    <x v="5"/>
    <n v="73"/>
    <n v="21"/>
    <n v="51280"/>
  </r>
  <r>
    <x v="4"/>
    <x v="6"/>
    <n v="212"/>
    <n v="33"/>
    <n v="150280"/>
  </r>
  <r>
    <x v="4"/>
    <x v="7"/>
    <n v="278"/>
    <n v="52"/>
    <n v="148100"/>
  </r>
  <r>
    <x v="4"/>
    <x v="8"/>
    <n v="153"/>
    <n v="64"/>
    <n v="122430"/>
  </r>
  <r>
    <x v="4"/>
    <x v="9"/>
    <n v="91"/>
    <n v="34"/>
    <n v="105840"/>
  </r>
  <r>
    <x v="4"/>
    <x v="10"/>
    <n v="136"/>
    <n v="36"/>
    <n v="101390"/>
  </r>
  <r>
    <x v="4"/>
    <x v="11"/>
    <n v="96"/>
    <n v="26"/>
    <n v="91530"/>
  </r>
  <r>
    <x v="4"/>
    <x v="12"/>
    <n v="215"/>
    <n v="78"/>
    <n v="157160"/>
  </r>
  <r>
    <x v="4"/>
    <x v="13"/>
    <n v="414"/>
    <n v="98"/>
    <n v="366900"/>
  </r>
  <r>
    <x v="4"/>
    <x v="14"/>
    <n v="1201"/>
    <n v="483"/>
    <n v="596520"/>
  </r>
  <r>
    <x v="4"/>
    <x v="15"/>
    <n v="332"/>
    <n v="34"/>
    <n v="232930"/>
  </r>
  <r>
    <x v="4"/>
    <x v="16"/>
    <n v="127"/>
    <n v="63"/>
    <n v="80340"/>
  </r>
  <r>
    <x v="4"/>
    <x v="17"/>
    <n v="108"/>
    <n v="44"/>
    <n v="84710"/>
  </r>
  <r>
    <x v="4"/>
    <x v="18"/>
    <n v="135"/>
    <n v="29"/>
    <n v="94360"/>
  </r>
  <r>
    <x v="4"/>
    <x v="19"/>
    <n v="32"/>
    <n v="1"/>
    <n v="27400"/>
  </r>
  <r>
    <x v="4"/>
    <x v="20"/>
    <n v="189"/>
    <n v="47"/>
    <n v="136940"/>
  </r>
  <r>
    <x v="4"/>
    <x v="21"/>
    <n v="422"/>
    <n v="253"/>
    <n v="337780"/>
  </r>
  <r>
    <x v="4"/>
    <x v="22"/>
    <n v="28"/>
    <n v="2"/>
    <n v="21560"/>
  </r>
  <r>
    <x v="4"/>
    <x v="23"/>
    <n v="192"/>
    <n v="34"/>
    <n v="147770"/>
  </r>
  <r>
    <x v="4"/>
    <x v="24"/>
    <n v="331"/>
    <n v="116"/>
    <n v="173890"/>
  </r>
  <r>
    <x v="4"/>
    <x v="25"/>
    <n v="173"/>
    <n v="31"/>
    <n v="113880"/>
  </r>
  <r>
    <x v="4"/>
    <x v="26"/>
    <n v="25"/>
    <n v="1"/>
    <n v="23200"/>
  </r>
  <r>
    <x v="4"/>
    <x v="27"/>
    <n v="152"/>
    <n v="29"/>
    <n v="112870"/>
  </r>
  <r>
    <x v="4"/>
    <x v="28"/>
    <n v="358"/>
    <n v="142"/>
    <n v="314810"/>
  </r>
  <r>
    <x v="4"/>
    <x v="29"/>
    <n v="134"/>
    <n v="26"/>
    <n v="91230"/>
  </r>
  <r>
    <x v="4"/>
    <x v="30"/>
    <n v="145"/>
    <n v="91"/>
    <n v="89800"/>
  </r>
  <r>
    <x v="4"/>
    <x v="31"/>
    <n v="283"/>
    <n v="131"/>
    <n v="176160"/>
  </r>
  <r>
    <x v="5"/>
    <x v="0"/>
    <n v="426"/>
    <n v="121"/>
    <n v="228920"/>
  </r>
  <r>
    <x v="5"/>
    <x v="1"/>
    <n v="370"/>
    <n v="63"/>
    <n v="260530"/>
  </r>
  <r>
    <x v="5"/>
    <x v="2"/>
    <n v="161"/>
    <n v="29"/>
    <n v="116740"/>
  </r>
  <r>
    <x v="5"/>
    <x v="3"/>
    <n v="145"/>
    <n v="14"/>
    <n v="87650"/>
  </r>
  <r>
    <x v="5"/>
    <x v="4"/>
    <n v="903"/>
    <n v="318"/>
    <n v="492610"/>
  </r>
  <r>
    <x v="5"/>
    <x v="5"/>
    <n v="72"/>
    <n v="25"/>
    <n v="51190"/>
  </r>
  <r>
    <x v="5"/>
    <x v="6"/>
    <n v="183"/>
    <n v="22"/>
    <n v="149960"/>
  </r>
  <r>
    <x v="5"/>
    <x v="7"/>
    <n v="259"/>
    <n v="84"/>
    <n v="148130"/>
  </r>
  <r>
    <x v="5"/>
    <x v="8"/>
    <n v="159"/>
    <n v="43"/>
    <n v="122130"/>
  </r>
  <r>
    <x v="5"/>
    <x v="9"/>
    <n v="101"/>
    <n v="40"/>
    <n v="106710"/>
  </r>
  <r>
    <x v="5"/>
    <x v="10"/>
    <n v="147"/>
    <n v="44"/>
    <n v="102090"/>
  </r>
  <r>
    <x v="5"/>
    <x v="11"/>
    <n v="86"/>
    <n v="18"/>
    <n v="92410"/>
  </r>
  <r>
    <x v="5"/>
    <x v="12"/>
    <n v="200"/>
    <n v="71"/>
    <n v="157690"/>
  </r>
  <r>
    <x v="5"/>
    <x v="13"/>
    <n v="416"/>
    <n v="101"/>
    <n v="367250"/>
  </r>
  <r>
    <x v="5"/>
    <x v="14"/>
    <n v="1275"/>
    <n v="416"/>
    <n v="599640"/>
  </r>
  <r>
    <x v="5"/>
    <x v="15"/>
    <n v="336"/>
    <n v="31"/>
    <n v="233080"/>
  </r>
  <r>
    <x v="5"/>
    <x v="16"/>
    <n v="131"/>
    <n v="69"/>
    <n v="79890"/>
  </r>
  <r>
    <x v="5"/>
    <x v="17"/>
    <n v="104"/>
    <n v="65"/>
    <n v="86220"/>
  </r>
  <r>
    <x v="5"/>
    <x v="18"/>
    <n v="123"/>
    <n v="19"/>
    <n v="94770"/>
  </r>
  <r>
    <x v="5"/>
    <x v="19"/>
    <n v="51"/>
    <n v="2"/>
    <n v="27250"/>
  </r>
  <r>
    <x v="5"/>
    <x v="20"/>
    <n v="225"/>
    <n v="59"/>
    <n v="136480"/>
  </r>
  <r>
    <x v="5"/>
    <x v="21"/>
    <n v="452"/>
    <n v="209"/>
    <n v="338000"/>
  </r>
  <r>
    <x v="5"/>
    <x v="22"/>
    <n v="33"/>
    <n v="6"/>
    <n v="21580"/>
  </r>
  <r>
    <x v="5"/>
    <x v="23"/>
    <n v="230"/>
    <n v="32"/>
    <n v="148930"/>
  </r>
  <r>
    <x v="5"/>
    <x v="24"/>
    <n v="319"/>
    <n v="99"/>
    <n v="174230"/>
  </r>
  <r>
    <x v="5"/>
    <x v="25"/>
    <n v="149"/>
    <n v="30"/>
    <n v="114040"/>
  </r>
  <r>
    <x v="5"/>
    <x v="26"/>
    <n v="39"/>
    <n v="3"/>
    <n v="23220"/>
  </r>
  <r>
    <x v="5"/>
    <x v="27"/>
    <n v="152"/>
    <n v="36"/>
    <n v="112530"/>
  </r>
  <r>
    <x v="5"/>
    <x v="28"/>
    <n v="425"/>
    <n v="160"/>
    <n v="315300"/>
  </r>
  <r>
    <x v="5"/>
    <x v="29"/>
    <n v="148"/>
    <n v="31"/>
    <n v="91520"/>
  </r>
  <r>
    <x v="5"/>
    <x v="30"/>
    <n v="124"/>
    <n v="52"/>
    <n v="89710"/>
  </r>
  <r>
    <x v="5"/>
    <x v="31"/>
    <n v="276"/>
    <n v="101"/>
    <n v="177200"/>
  </r>
  <r>
    <x v="6"/>
    <x v="0"/>
    <n v="435"/>
    <n v="118"/>
    <n v="230350"/>
  </r>
  <r>
    <x v="6"/>
    <x v="1"/>
    <n v="348"/>
    <n v="56"/>
    <n v="261960"/>
  </r>
  <r>
    <x v="6"/>
    <x v="2"/>
    <n v="156"/>
    <n v="25"/>
    <n v="116900"/>
  </r>
  <r>
    <x v="6"/>
    <x v="3"/>
    <n v="128"/>
    <n v="9"/>
    <n v="86890"/>
  </r>
  <r>
    <x v="6"/>
    <x v="4"/>
    <n v="886"/>
    <n v="337"/>
    <n v="498810"/>
  </r>
  <r>
    <x v="6"/>
    <x v="5"/>
    <n v="92"/>
    <n v="20"/>
    <n v="51360"/>
  </r>
  <r>
    <x v="6"/>
    <x v="6"/>
    <n v="194"/>
    <n v="34"/>
    <n v="149670"/>
  </r>
  <r>
    <x v="6"/>
    <x v="7"/>
    <n v="308"/>
    <n v="75"/>
    <n v="148210"/>
  </r>
  <r>
    <x v="6"/>
    <x v="8"/>
    <n v="157"/>
    <n v="62"/>
    <n v="122060"/>
  </r>
  <r>
    <x v="6"/>
    <x v="9"/>
    <n v="102"/>
    <n v="45"/>
    <n v="106960"/>
  </r>
  <r>
    <x v="6"/>
    <x v="10"/>
    <n v="134"/>
    <n v="63"/>
    <n v="103050"/>
  </r>
  <r>
    <x v="6"/>
    <x v="11"/>
    <n v="97"/>
    <n v="34"/>
    <n v="92940"/>
  </r>
  <r>
    <x v="6"/>
    <x v="12"/>
    <n v="225"/>
    <n v="82"/>
    <n v="158460"/>
  </r>
  <r>
    <x v="6"/>
    <x v="13"/>
    <n v="452"/>
    <n v="125"/>
    <n v="368080"/>
  </r>
  <r>
    <x v="6"/>
    <x v="14"/>
    <n v="1298"/>
    <n v="440"/>
    <n v="606340"/>
  </r>
  <r>
    <x v="6"/>
    <x v="15"/>
    <n v="326"/>
    <n v="48"/>
    <n v="234110"/>
  </r>
  <r>
    <x v="6"/>
    <x v="16"/>
    <n v="153"/>
    <n v="62"/>
    <n v="79500"/>
  </r>
  <r>
    <x v="6"/>
    <x v="17"/>
    <n v="105"/>
    <n v="65"/>
    <n v="87390"/>
  </r>
  <r>
    <x v="6"/>
    <x v="18"/>
    <n v="109"/>
    <n v="16"/>
    <n v="95510"/>
  </r>
  <r>
    <x v="6"/>
    <x v="19"/>
    <n v="38"/>
    <n v="3"/>
    <n v="27070"/>
  </r>
  <r>
    <x v="6"/>
    <x v="20"/>
    <n v="232"/>
    <n v="52"/>
    <n v="136130"/>
  </r>
  <r>
    <x v="6"/>
    <x v="21"/>
    <n v="439"/>
    <n v="216"/>
    <n v="338260"/>
  </r>
  <r>
    <x v="6"/>
    <x v="22"/>
    <n v="37"/>
    <m/>
    <n v="21670"/>
  </r>
  <r>
    <x v="6"/>
    <x v="23"/>
    <n v="237"/>
    <n v="32"/>
    <n v="149930"/>
  </r>
  <r>
    <x v="6"/>
    <x v="24"/>
    <n v="305"/>
    <n v="101"/>
    <n v="174560"/>
  </r>
  <r>
    <x v="6"/>
    <x v="25"/>
    <n v="184"/>
    <n v="42"/>
    <n v="114030"/>
  </r>
  <r>
    <x v="6"/>
    <x v="26"/>
    <n v="34"/>
    <n v="3"/>
    <n v="23200"/>
  </r>
  <r>
    <x v="6"/>
    <x v="27"/>
    <n v="154"/>
    <n v="35"/>
    <n v="112400"/>
  </r>
  <r>
    <x v="6"/>
    <x v="28"/>
    <n v="416"/>
    <n v="123"/>
    <n v="316230"/>
  </r>
  <r>
    <x v="6"/>
    <x v="29"/>
    <n v="183"/>
    <n v="49"/>
    <n v="92830"/>
  </r>
  <r>
    <x v="6"/>
    <x v="30"/>
    <n v="208"/>
    <n v="62"/>
    <n v="89590"/>
  </r>
  <r>
    <x v="6"/>
    <x v="31"/>
    <n v="247"/>
    <n v="153"/>
    <n v="178550"/>
  </r>
  <r>
    <x v="7"/>
    <x v="0"/>
    <n v="439"/>
    <n v="125"/>
    <n v="229840"/>
  </r>
  <r>
    <x v="7"/>
    <x v="1"/>
    <n v="344"/>
    <n v="55"/>
    <n v="262190"/>
  </r>
  <r>
    <x v="7"/>
    <x v="2"/>
    <n v="163"/>
    <n v="23"/>
    <n v="116520"/>
  </r>
  <r>
    <x v="7"/>
    <x v="3"/>
    <n v="141"/>
    <n v="9"/>
    <n v="87130"/>
  </r>
  <r>
    <x v="7"/>
    <x v="4"/>
    <n v="791"/>
    <n v="378"/>
    <n v="507170"/>
  </r>
  <r>
    <x v="7"/>
    <x v="5"/>
    <n v="96"/>
    <n v="13"/>
    <n v="51350"/>
  </r>
  <r>
    <x v="7"/>
    <x v="6"/>
    <n v="202"/>
    <n v="44"/>
    <n v="149520"/>
  </r>
  <r>
    <x v="7"/>
    <x v="7"/>
    <n v="311"/>
    <n v="71"/>
    <n v="148270"/>
  </r>
  <r>
    <x v="7"/>
    <x v="8"/>
    <n v="202"/>
    <n v="53"/>
    <n v="122200"/>
  </r>
  <r>
    <x v="7"/>
    <x v="9"/>
    <n v="117"/>
    <n v="49"/>
    <n v="107540"/>
  </r>
  <r>
    <x v="7"/>
    <x v="10"/>
    <n v="116"/>
    <n v="39"/>
    <n v="104090"/>
  </r>
  <r>
    <x v="7"/>
    <x v="11"/>
    <n v="80"/>
    <n v="26"/>
    <n v="93810"/>
  </r>
  <r>
    <x v="7"/>
    <x v="12"/>
    <n v="202"/>
    <n v="79"/>
    <n v="159380"/>
  </r>
  <r>
    <x v="7"/>
    <x v="13"/>
    <n v="451"/>
    <n v="180"/>
    <n v="370330"/>
  </r>
  <r>
    <x v="7"/>
    <x v="14"/>
    <n v="1256"/>
    <n v="452"/>
    <n v="615070"/>
  </r>
  <r>
    <x v="7"/>
    <x v="15"/>
    <n v="340"/>
    <n v="32"/>
    <n v="234770"/>
  </r>
  <r>
    <x v="7"/>
    <x v="16"/>
    <n v="162"/>
    <n v="53"/>
    <n v="79160"/>
  </r>
  <r>
    <x v="7"/>
    <x v="17"/>
    <n v="126"/>
    <n v="78"/>
    <n v="88610"/>
  </r>
  <r>
    <x v="7"/>
    <x v="18"/>
    <n v="110"/>
    <n v="18"/>
    <n v="96070"/>
  </r>
  <r>
    <x v="7"/>
    <x v="19"/>
    <n v="34"/>
    <n v="1"/>
    <n v="26900"/>
  </r>
  <r>
    <x v="7"/>
    <x v="20"/>
    <n v="220"/>
    <n v="49"/>
    <n v="135890"/>
  </r>
  <r>
    <x v="7"/>
    <x v="21"/>
    <n v="463"/>
    <n v="224"/>
    <n v="339390"/>
  </r>
  <r>
    <x v="7"/>
    <x v="22"/>
    <n v="21"/>
    <n v="2"/>
    <n v="21850"/>
  </r>
  <r>
    <x v="7"/>
    <x v="23"/>
    <n v="255"/>
    <n v="33"/>
    <n v="150680"/>
  </r>
  <r>
    <x v="7"/>
    <x v="24"/>
    <n v="276"/>
    <n v="109"/>
    <n v="175930"/>
  </r>
  <r>
    <x v="7"/>
    <x v="25"/>
    <n v="162"/>
    <n v="33"/>
    <n v="114530"/>
  </r>
  <r>
    <x v="7"/>
    <x v="26"/>
    <n v="24"/>
    <n v="2"/>
    <n v="23200"/>
  </r>
  <r>
    <x v="7"/>
    <x v="27"/>
    <n v="152"/>
    <n v="36"/>
    <n v="112470"/>
  </r>
  <r>
    <x v="7"/>
    <x v="28"/>
    <n v="389"/>
    <n v="169"/>
    <n v="317100"/>
  </r>
  <r>
    <x v="7"/>
    <x v="29"/>
    <n v="151"/>
    <n v="53"/>
    <n v="93750"/>
  </r>
  <r>
    <x v="7"/>
    <x v="30"/>
    <n v="179"/>
    <n v="81"/>
    <n v="89860"/>
  </r>
  <r>
    <x v="7"/>
    <x v="31"/>
    <n v="224"/>
    <n v="126"/>
    <n v="180130"/>
  </r>
  <r>
    <x v="8"/>
    <x v="0"/>
    <n v="355"/>
    <n v="100"/>
    <n v="228800"/>
  </r>
  <r>
    <x v="8"/>
    <x v="1"/>
    <n v="343"/>
    <n v="49"/>
    <n v="261800"/>
  </r>
  <r>
    <x v="8"/>
    <x v="2"/>
    <n v="131"/>
    <n v="30"/>
    <n v="116280"/>
  </r>
  <r>
    <x v="8"/>
    <x v="3"/>
    <n v="161"/>
    <n v="27"/>
    <n v="86810"/>
  </r>
  <r>
    <x v="8"/>
    <x v="4"/>
    <n v="747"/>
    <n v="298"/>
    <n v="513210"/>
  </r>
  <r>
    <x v="8"/>
    <x v="5"/>
    <n v="69"/>
    <n v="24"/>
    <n v="51450"/>
  </r>
  <r>
    <x v="8"/>
    <x v="6"/>
    <n v="197"/>
    <n v="38"/>
    <n v="149200"/>
  </r>
  <r>
    <x v="8"/>
    <x v="7"/>
    <n v="272"/>
    <n v="73"/>
    <n v="148710"/>
  </r>
  <r>
    <x v="8"/>
    <x v="8"/>
    <n v="133"/>
    <n v="47"/>
    <n v="121940"/>
  </r>
  <r>
    <x v="8"/>
    <x v="9"/>
    <n v="101"/>
    <n v="57"/>
    <n v="108130"/>
  </r>
  <r>
    <x v="8"/>
    <x v="10"/>
    <n v="130"/>
    <n v="59"/>
    <n v="104840"/>
  </r>
  <r>
    <x v="8"/>
    <x v="11"/>
    <n v="111"/>
    <n v="19"/>
    <n v="94760"/>
  </r>
  <r>
    <x v="8"/>
    <x v="12"/>
    <n v="199"/>
    <n v="144"/>
    <n v="160130"/>
  </r>
  <r>
    <x v="8"/>
    <x v="13"/>
    <n v="513"/>
    <n v="151"/>
    <n v="371410"/>
  </r>
  <r>
    <x v="8"/>
    <x v="14"/>
    <n v="1262"/>
    <n v="448"/>
    <n v="621020"/>
  </r>
  <r>
    <x v="8"/>
    <x v="15"/>
    <n v="334"/>
    <n v="23"/>
    <n v="235180"/>
  </r>
  <r>
    <x v="8"/>
    <x v="16"/>
    <n v="123"/>
    <n v="66"/>
    <n v="78760"/>
  </r>
  <r>
    <x v="8"/>
    <x v="17"/>
    <n v="116"/>
    <n v="95"/>
    <n v="90090"/>
  </r>
  <r>
    <x v="8"/>
    <x v="18"/>
    <n v="89"/>
    <n v="25"/>
    <n v="95780"/>
  </r>
  <r>
    <x v="8"/>
    <x v="19"/>
    <n v="34"/>
    <n v="3"/>
    <n v="26950"/>
  </r>
  <r>
    <x v="8"/>
    <x v="20"/>
    <n v="222"/>
    <n v="50"/>
    <n v="135790"/>
  </r>
  <r>
    <x v="8"/>
    <x v="21"/>
    <n v="449"/>
    <n v="209"/>
    <n v="339960"/>
  </r>
  <r>
    <x v="8"/>
    <x v="22"/>
    <n v="14"/>
    <m/>
    <n v="22000"/>
  </r>
  <r>
    <x v="8"/>
    <x v="23"/>
    <n v="207"/>
    <n v="28"/>
    <n v="151100"/>
  </r>
  <r>
    <x v="8"/>
    <x v="24"/>
    <n v="283"/>
    <n v="113"/>
    <n v="176830"/>
  </r>
  <r>
    <x v="8"/>
    <x v="25"/>
    <n v="149"/>
    <n v="56"/>
    <n v="115020"/>
  </r>
  <r>
    <x v="8"/>
    <x v="26"/>
    <n v="32"/>
    <n v="1"/>
    <n v="23080"/>
  </r>
  <r>
    <x v="8"/>
    <x v="27"/>
    <n v="165"/>
    <n v="40"/>
    <n v="112680"/>
  </r>
  <r>
    <x v="8"/>
    <x v="28"/>
    <n v="401"/>
    <n v="183"/>
    <n v="318170"/>
  </r>
  <r>
    <x v="8"/>
    <x v="29"/>
    <n v="142"/>
    <n v="40"/>
    <n v="94000"/>
  </r>
  <r>
    <x v="8"/>
    <x v="30"/>
    <n v="199"/>
    <n v="70"/>
    <n v="89610"/>
  </r>
  <r>
    <x v="8"/>
    <x v="31"/>
    <n v="258"/>
    <n v="165"/>
    <n v="181310"/>
  </r>
  <r>
    <x v="9"/>
    <x v="0"/>
    <n v="408"/>
    <n v="86"/>
    <n v="227560"/>
  </r>
  <r>
    <x v="9"/>
    <x v="1"/>
    <n v="327"/>
    <n v="66"/>
    <n v="261470"/>
  </r>
  <r>
    <x v="9"/>
    <x v="2"/>
    <n v="152"/>
    <n v="16"/>
    <n v="116040"/>
  </r>
  <r>
    <x v="9"/>
    <x v="3"/>
    <n v="155"/>
    <n v="19"/>
    <n v="86260"/>
  </r>
  <r>
    <x v="9"/>
    <x v="4"/>
    <n v="742"/>
    <n v="254"/>
    <n v="518500"/>
  </r>
  <r>
    <x v="9"/>
    <x v="5"/>
    <n v="66"/>
    <n v="15"/>
    <n v="51400"/>
  </r>
  <r>
    <x v="9"/>
    <x v="6"/>
    <n v="185"/>
    <n v="33"/>
    <n v="148790"/>
  </r>
  <r>
    <x v="9"/>
    <x v="7"/>
    <n v="263"/>
    <n v="70"/>
    <n v="148750"/>
  </r>
  <r>
    <x v="9"/>
    <x v="8"/>
    <n v="158"/>
    <n v="59"/>
    <n v="121840"/>
  </r>
  <r>
    <x v="9"/>
    <x v="9"/>
    <n v="112"/>
    <n v="53"/>
    <n v="108330"/>
  </r>
  <r>
    <x v="9"/>
    <x v="10"/>
    <n v="144"/>
    <n v="70"/>
    <n v="105790"/>
  </r>
  <r>
    <x v="9"/>
    <x v="11"/>
    <n v="99"/>
    <n v="22"/>
    <n v="95170"/>
  </r>
  <r>
    <x v="9"/>
    <x v="12"/>
    <n v="208"/>
    <n v="88"/>
    <n v="160340"/>
  </r>
  <r>
    <x v="9"/>
    <x v="13"/>
    <n v="452"/>
    <n v="157"/>
    <n v="371910"/>
  </r>
  <r>
    <x v="9"/>
    <x v="14"/>
    <n v="1180"/>
    <n v="470"/>
    <n v="626410"/>
  </r>
  <r>
    <x v="9"/>
    <x v="15"/>
    <n v="383"/>
    <n v="36"/>
    <n v="235540"/>
  </r>
  <r>
    <x v="9"/>
    <x v="16"/>
    <n v="113"/>
    <n v="45"/>
    <n v="78150"/>
  </r>
  <r>
    <x v="9"/>
    <x v="17"/>
    <n v="104"/>
    <n v="65"/>
    <n v="91340"/>
  </r>
  <r>
    <x v="9"/>
    <x v="18"/>
    <n v="124"/>
    <n v="27"/>
    <n v="95520"/>
  </r>
  <r>
    <x v="9"/>
    <x v="19"/>
    <n v="46"/>
    <n v="2"/>
    <n v="26830"/>
  </r>
  <r>
    <x v="9"/>
    <x v="20"/>
    <n v="238"/>
    <n v="70"/>
    <n v="135280"/>
  </r>
  <r>
    <x v="9"/>
    <x v="21"/>
    <n v="488"/>
    <n v="226"/>
    <n v="340180"/>
  </r>
  <r>
    <x v="9"/>
    <x v="22"/>
    <n v="24"/>
    <m/>
    <n v="22190"/>
  </r>
  <r>
    <x v="9"/>
    <x v="23"/>
    <n v="212"/>
    <n v="31"/>
    <n v="151290"/>
  </r>
  <r>
    <x v="9"/>
    <x v="24"/>
    <n v="292"/>
    <n v="100"/>
    <n v="177790"/>
  </r>
  <r>
    <x v="9"/>
    <x v="25"/>
    <n v="165"/>
    <n v="57"/>
    <n v="115270"/>
  </r>
  <r>
    <x v="9"/>
    <x v="26"/>
    <n v="17"/>
    <n v="1"/>
    <n v="22990"/>
  </r>
  <r>
    <x v="9"/>
    <x v="27"/>
    <n v="152"/>
    <n v="24"/>
    <n v="112550"/>
  </r>
  <r>
    <x v="9"/>
    <x v="28"/>
    <n v="395"/>
    <n v="122"/>
    <n v="319020"/>
  </r>
  <r>
    <x v="9"/>
    <x v="29"/>
    <n v="123"/>
    <n v="34"/>
    <n v="94330"/>
  </r>
  <r>
    <x v="9"/>
    <x v="30"/>
    <n v="183"/>
    <n v="68"/>
    <n v="89130"/>
  </r>
  <r>
    <x v="9"/>
    <x v="31"/>
    <n v="259"/>
    <n v="118"/>
    <n v="182140"/>
  </r>
  <r>
    <x v="10"/>
    <x v="0"/>
    <n v="380"/>
    <n v="106"/>
    <n v="228670"/>
  </r>
  <r>
    <x v="10"/>
    <x v="1"/>
    <n v="323"/>
    <n v="86"/>
    <n v="261210"/>
  </r>
  <r>
    <x v="10"/>
    <x v="2"/>
    <n v="142"/>
    <n v="37"/>
    <n v="116200"/>
  </r>
  <r>
    <x v="10"/>
    <x v="3"/>
    <n v="149"/>
    <n v="13"/>
    <n v="85870"/>
  </r>
  <r>
    <x v="10"/>
    <x v="4"/>
    <n v="693"/>
    <n v="223"/>
    <n v="524930"/>
  </r>
  <r>
    <x v="10"/>
    <x v="5"/>
    <n v="62"/>
    <n v="20"/>
    <n v="51540"/>
  </r>
  <r>
    <x v="10"/>
    <x v="6"/>
    <n v="199"/>
    <n v="23"/>
    <n v="148860"/>
  </r>
  <r>
    <x v="10"/>
    <x v="7"/>
    <n v="261"/>
    <n v="53"/>
    <n v="149320"/>
  </r>
  <r>
    <x v="10"/>
    <x v="8"/>
    <n v="144"/>
    <n v="60"/>
    <n v="122010"/>
  </r>
  <r>
    <x v="10"/>
    <x v="9"/>
    <n v="106"/>
    <n v="48"/>
    <n v="108640"/>
  </r>
  <r>
    <x v="10"/>
    <x v="10"/>
    <n v="104"/>
    <n v="45"/>
    <n v="107090"/>
  </r>
  <r>
    <x v="10"/>
    <x v="11"/>
    <n v="100"/>
    <n v="37"/>
    <n v="95530"/>
  </r>
  <r>
    <x v="10"/>
    <x v="12"/>
    <n v="216"/>
    <n v="82"/>
    <n v="160890"/>
  </r>
  <r>
    <x v="10"/>
    <x v="13"/>
    <n v="386"/>
    <n v="136"/>
    <n v="373550"/>
  </r>
  <r>
    <x v="10"/>
    <x v="14"/>
    <n v="1150"/>
    <n v="476"/>
    <n v="633120"/>
  </r>
  <r>
    <x v="10"/>
    <x v="15"/>
    <n v="287"/>
    <n v="43"/>
    <n v="235830"/>
  </r>
  <r>
    <x v="10"/>
    <x v="16"/>
    <n v="104"/>
    <n v="57"/>
    <n v="77800"/>
  </r>
  <r>
    <x v="10"/>
    <x v="17"/>
    <n v="110"/>
    <n v="45"/>
    <n v="92460"/>
  </r>
  <r>
    <x v="10"/>
    <x v="18"/>
    <n v="135"/>
    <n v="25"/>
    <n v="95820"/>
  </r>
  <r>
    <x v="10"/>
    <x v="19"/>
    <n v="36"/>
    <m/>
    <n v="26720"/>
  </r>
  <r>
    <x v="10"/>
    <x v="20"/>
    <n v="215"/>
    <n v="52"/>
    <n v="134740"/>
  </r>
  <r>
    <x v="10"/>
    <x v="21"/>
    <n v="401"/>
    <n v="234"/>
    <n v="341370"/>
  </r>
  <r>
    <x v="10"/>
    <x v="22"/>
    <n v="34"/>
    <m/>
    <n v="22270"/>
  </r>
  <r>
    <x v="10"/>
    <x v="23"/>
    <n v="221"/>
    <n v="29"/>
    <n v="151950"/>
  </r>
  <r>
    <x v="10"/>
    <x v="24"/>
    <n v="237"/>
    <n v="103"/>
    <n v="179100"/>
  </r>
  <r>
    <x v="10"/>
    <x v="25"/>
    <n v="169"/>
    <n v="49"/>
    <n v="115510"/>
  </r>
  <r>
    <x v="10"/>
    <x v="26"/>
    <n v="27"/>
    <n v="1"/>
    <n v="22920"/>
  </r>
  <r>
    <x v="10"/>
    <x v="27"/>
    <n v="158"/>
    <n v="28"/>
    <n v="112610"/>
  </r>
  <r>
    <x v="10"/>
    <x v="28"/>
    <n v="376"/>
    <n v="147"/>
    <n v="320530"/>
  </r>
  <r>
    <x v="10"/>
    <x v="29"/>
    <n v="125"/>
    <n v="24"/>
    <n v="94210"/>
  </r>
  <r>
    <x v="10"/>
    <x v="30"/>
    <n v="158"/>
    <n v="47"/>
    <n v="88930"/>
  </r>
  <r>
    <x v="10"/>
    <x v="31"/>
    <n v="200"/>
    <n v="114"/>
    <n v="183100"/>
  </r>
  <r>
    <x v="10"/>
    <x v="32"/>
    <n v="1"/>
    <m/>
    <m/>
  </r>
  <r>
    <x v="11"/>
    <x v="0"/>
    <n v="330"/>
    <n v="97"/>
    <n v="229060"/>
  </r>
  <r>
    <x v="11"/>
    <x v="1"/>
    <n v="330"/>
    <n v="76"/>
    <n v="260780"/>
  </r>
  <r>
    <x v="11"/>
    <x v="2"/>
    <n v="130"/>
    <n v="42"/>
    <n v="115820"/>
  </r>
  <r>
    <x v="11"/>
    <x v="3"/>
    <n v="145"/>
    <n v="13"/>
    <n v="85430"/>
  </r>
  <r>
    <x v="11"/>
    <x v="4"/>
    <n v="579"/>
    <n v="237"/>
    <n v="527620"/>
  </r>
  <r>
    <x v="11"/>
    <x v="5"/>
    <n v="73"/>
    <n v="14"/>
    <n v="51290"/>
  </r>
  <r>
    <x v="11"/>
    <x v="6"/>
    <n v="164"/>
    <n v="29"/>
    <n v="148290"/>
  </r>
  <r>
    <x v="11"/>
    <x v="7"/>
    <n v="261"/>
    <n v="72"/>
    <n v="148820"/>
  </r>
  <r>
    <x v="11"/>
    <x v="8"/>
    <n v="155"/>
    <n v="65"/>
    <n v="121600"/>
  </r>
  <r>
    <x v="11"/>
    <x v="9"/>
    <n v="96"/>
    <n v="34"/>
    <n v="108750"/>
  </r>
  <r>
    <x v="11"/>
    <x v="10"/>
    <n v="108"/>
    <n v="31"/>
    <n v="107900"/>
  </r>
  <r>
    <x v="11"/>
    <x v="11"/>
    <n v="65"/>
    <n v="33"/>
    <n v="96060"/>
  </r>
  <r>
    <x v="11"/>
    <x v="12"/>
    <n v="203"/>
    <n v="81"/>
    <n v="160560"/>
  </r>
  <r>
    <x v="11"/>
    <x v="13"/>
    <n v="419"/>
    <n v="165"/>
    <n v="374130"/>
  </r>
  <r>
    <x v="11"/>
    <x v="14"/>
    <n v="991"/>
    <n v="419"/>
    <n v="635640"/>
  </r>
  <r>
    <x v="11"/>
    <x v="15"/>
    <n v="337"/>
    <n v="43"/>
    <n v="235430"/>
  </r>
  <r>
    <x v="11"/>
    <x v="16"/>
    <n v="111"/>
    <n v="55"/>
    <n v="77060"/>
  </r>
  <r>
    <x v="11"/>
    <x v="17"/>
    <n v="118"/>
    <n v="40"/>
    <n v="93150"/>
  </r>
  <r>
    <x v="11"/>
    <x v="18"/>
    <n v="113"/>
    <n v="30"/>
    <n v="95710"/>
  </r>
  <r>
    <x v="11"/>
    <x v="19"/>
    <n v="39"/>
    <n v="2"/>
    <n v="26500"/>
  </r>
  <r>
    <x v="11"/>
    <x v="20"/>
    <n v="193"/>
    <n v="46"/>
    <n v="134250"/>
  </r>
  <r>
    <x v="11"/>
    <x v="21"/>
    <n v="472"/>
    <n v="211"/>
    <n v="341140"/>
  </r>
  <r>
    <x v="11"/>
    <x v="22"/>
    <n v="17"/>
    <m/>
    <n v="22400"/>
  </r>
  <r>
    <x v="11"/>
    <x v="23"/>
    <n v="201"/>
    <n v="26"/>
    <n v="151910"/>
  </r>
  <r>
    <x v="11"/>
    <x v="24"/>
    <n v="217"/>
    <n v="115"/>
    <n v="179390"/>
  </r>
  <r>
    <x v="11"/>
    <x v="25"/>
    <n v="155"/>
    <n v="32"/>
    <n v="115240"/>
  </r>
  <r>
    <x v="11"/>
    <x v="26"/>
    <n v="51"/>
    <n v="2"/>
    <n v="22870"/>
  </r>
  <r>
    <x v="11"/>
    <x v="27"/>
    <n v="128"/>
    <n v="31"/>
    <n v="112140"/>
  </r>
  <r>
    <x v="11"/>
    <x v="28"/>
    <n v="368"/>
    <n v="148"/>
    <n v="320820"/>
  </r>
  <r>
    <x v="11"/>
    <x v="29"/>
    <n v="117"/>
    <n v="46"/>
    <n v="94080"/>
  </r>
  <r>
    <x v="11"/>
    <x v="30"/>
    <n v="138"/>
    <n v="62"/>
    <n v="88340"/>
  </r>
  <r>
    <x v="11"/>
    <x v="31"/>
    <n v="187"/>
    <n v="108"/>
    <n v="183820"/>
  </r>
</pivotCacheRecords>
</file>

<file path=xl/pivotCache/pivotCacheRecords40.xml><?xml version="1.0" encoding="utf-8"?>
<pivotCacheRecords xmlns="http://schemas.openxmlformats.org/spreadsheetml/2006/main" xmlns:r="http://schemas.openxmlformats.org/officeDocument/2006/relationships" count="24">
  <r>
    <x v="0"/>
    <x v="0"/>
    <x v="0"/>
    <x v="0"/>
    <x v="0"/>
    <x v="0"/>
    <x v="0"/>
  </r>
  <r>
    <x v="0"/>
    <x v="1"/>
    <x v="1"/>
    <x v="0"/>
    <x v="1"/>
    <x v="0"/>
    <x v="0"/>
  </r>
  <r>
    <x v="0"/>
    <x v="2"/>
    <x v="1"/>
    <x v="0"/>
    <x v="1"/>
    <x v="0"/>
    <x v="0"/>
  </r>
  <r>
    <x v="0"/>
    <x v="3"/>
    <x v="0"/>
    <x v="0"/>
    <x v="0"/>
    <x v="0"/>
    <x v="0"/>
  </r>
  <r>
    <x v="0"/>
    <x v="4"/>
    <x v="2"/>
    <x v="1"/>
    <x v="2"/>
    <x v="0"/>
    <x v="0"/>
  </r>
  <r>
    <x v="0"/>
    <x v="5"/>
    <x v="3"/>
    <x v="0"/>
    <x v="3"/>
    <x v="0"/>
    <x v="0"/>
  </r>
  <r>
    <x v="0"/>
    <x v="6"/>
    <x v="4"/>
    <x v="2"/>
    <x v="4"/>
    <x v="0"/>
    <x v="0"/>
  </r>
  <r>
    <x v="0"/>
    <x v="7"/>
    <x v="0"/>
    <x v="0"/>
    <x v="5"/>
    <x v="1"/>
    <x v="0"/>
  </r>
  <r>
    <x v="0"/>
    <x v="8"/>
    <x v="1"/>
    <x v="1"/>
    <x v="6"/>
    <x v="2"/>
    <x v="1"/>
  </r>
  <r>
    <x v="0"/>
    <x v="9"/>
    <x v="5"/>
    <x v="0"/>
    <x v="7"/>
    <x v="0"/>
    <x v="1"/>
  </r>
  <r>
    <x v="0"/>
    <x v="10"/>
    <x v="6"/>
    <x v="0"/>
    <x v="3"/>
    <x v="0"/>
    <x v="1"/>
  </r>
  <r>
    <x v="0"/>
    <x v="11"/>
    <x v="7"/>
    <x v="0"/>
    <x v="8"/>
    <x v="2"/>
    <x v="0"/>
  </r>
  <r>
    <x v="1"/>
    <x v="0"/>
    <x v="8"/>
    <x v="3"/>
    <x v="9"/>
    <x v="3"/>
    <x v="2"/>
  </r>
  <r>
    <x v="1"/>
    <x v="1"/>
    <x v="9"/>
    <x v="4"/>
    <x v="10"/>
    <x v="4"/>
    <x v="1"/>
  </r>
  <r>
    <x v="1"/>
    <x v="2"/>
    <x v="10"/>
    <x v="5"/>
    <x v="11"/>
    <x v="5"/>
    <x v="3"/>
  </r>
  <r>
    <x v="1"/>
    <x v="3"/>
    <x v="11"/>
    <x v="6"/>
    <x v="12"/>
    <x v="3"/>
    <x v="0"/>
  </r>
  <r>
    <x v="1"/>
    <x v="4"/>
    <x v="12"/>
    <x v="7"/>
    <x v="13"/>
    <x v="6"/>
    <x v="4"/>
  </r>
  <r>
    <x v="1"/>
    <x v="5"/>
    <x v="13"/>
    <x v="8"/>
    <x v="14"/>
    <x v="7"/>
    <x v="1"/>
  </r>
  <r>
    <x v="1"/>
    <x v="6"/>
    <x v="14"/>
    <x v="9"/>
    <x v="15"/>
    <x v="4"/>
    <x v="1"/>
  </r>
  <r>
    <x v="1"/>
    <x v="7"/>
    <x v="15"/>
    <x v="10"/>
    <x v="16"/>
    <x v="8"/>
    <x v="0"/>
  </r>
  <r>
    <x v="1"/>
    <x v="8"/>
    <x v="16"/>
    <x v="11"/>
    <x v="17"/>
    <x v="9"/>
    <x v="1"/>
  </r>
  <r>
    <x v="1"/>
    <x v="9"/>
    <x v="17"/>
    <x v="12"/>
    <x v="18"/>
    <x v="10"/>
    <x v="1"/>
  </r>
  <r>
    <x v="1"/>
    <x v="10"/>
    <x v="18"/>
    <x v="13"/>
    <x v="19"/>
    <x v="10"/>
    <x v="5"/>
  </r>
  <r>
    <x v="1"/>
    <x v="11"/>
    <x v="19"/>
    <x v="14"/>
    <x v="20"/>
    <x v="11"/>
    <x v="0"/>
  </r>
</pivotCacheRecords>
</file>

<file path=xl/pivotCache/pivotCacheRecords41.xml><?xml version="1.0" encoding="utf-8"?>
<pivotCacheRecords xmlns="http://schemas.openxmlformats.org/spreadsheetml/2006/main" xmlns:r="http://schemas.openxmlformats.org/officeDocument/2006/relationships" count="13">
  <r>
    <x v="0"/>
    <x v="0"/>
    <x v="0"/>
    <x v="0"/>
    <x v="0"/>
  </r>
  <r>
    <x v="1"/>
    <x v="0"/>
    <x v="1"/>
    <x v="1"/>
    <x v="1"/>
  </r>
  <r>
    <x v="1"/>
    <x v="1"/>
    <x v="2"/>
    <x v="2"/>
    <x v="2"/>
  </r>
  <r>
    <x v="1"/>
    <x v="2"/>
    <x v="3"/>
    <x v="3"/>
    <x v="3"/>
  </r>
  <r>
    <x v="1"/>
    <x v="3"/>
    <x v="4"/>
    <x v="4"/>
    <x v="4"/>
  </r>
  <r>
    <x v="1"/>
    <x v="4"/>
    <x v="5"/>
    <x v="5"/>
    <x v="5"/>
  </r>
  <r>
    <x v="1"/>
    <x v="5"/>
    <x v="6"/>
    <x v="6"/>
    <x v="6"/>
  </r>
  <r>
    <x v="1"/>
    <x v="6"/>
    <x v="7"/>
    <x v="7"/>
    <x v="7"/>
  </r>
  <r>
    <x v="1"/>
    <x v="7"/>
    <x v="8"/>
    <x v="6"/>
    <x v="8"/>
  </r>
  <r>
    <x v="1"/>
    <x v="8"/>
    <x v="8"/>
    <x v="5"/>
    <x v="9"/>
  </r>
  <r>
    <x v="1"/>
    <x v="9"/>
    <x v="8"/>
    <x v="8"/>
    <x v="10"/>
  </r>
  <r>
    <x v="1"/>
    <x v="10"/>
    <x v="9"/>
    <x v="9"/>
    <x v="11"/>
  </r>
  <r>
    <x v="1"/>
    <x v="11"/>
    <x v="10"/>
    <x v="10"/>
    <x v="12"/>
  </r>
</pivotCacheRecords>
</file>

<file path=xl/pivotCache/pivotCacheRecords42.xml><?xml version="1.0" encoding="utf-8"?>
<pivotCacheRecords xmlns="http://schemas.openxmlformats.org/spreadsheetml/2006/main" xmlns:r="http://schemas.openxmlformats.org/officeDocument/2006/relationships" count="134">
  <r>
    <x v="0"/>
    <x v="0"/>
    <x v="0"/>
    <n v="3"/>
    <x v="0"/>
    <x v="0"/>
    <m/>
    <n v="3"/>
    <x v="0"/>
    <x v="0"/>
  </r>
  <r>
    <x v="0"/>
    <x v="0"/>
    <x v="1"/>
    <n v="10"/>
    <x v="0"/>
    <x v="0"/>
    <m/>
    <n v="10"/>
    <x v="0"/>
    <x v="0"/>
  </r>
  <r>
    <x v="0"/>
    <x v="0"/>
    <x v="2"/>
    <n v="2"/>
    <x v="0"/>
    <x v="0"/>
    <m/>
    <n v="2"/>
    <x v="0"/>
    <x v="0"/>
  </r>
  <r>
    <x v="0"/>
    <x v="0"/>
    <x v="3"/>
    <n v="3"/>
    <x v="0"/>
    <x v="0"/>
    <m/>
    <n v="3"/>
    <x v="0"/>
    <x v="0"/>
  </r>
  <r>
    <x v="0"/>
    <x v="1"/>
    <x v="0"/>
    <n v="152"/>
    <x v="0"/>
    <x v="0"/>
    <n v="50"/>
    <n v="102"/>
    <x v="0"/>
    <x v="0"/>
  </r>
  <r>
    <x v="0"/>
    <x v="1"/>
    <x v="4"/>
    <n v="31"/>
    <x v="0"/>
    <x v="0"/>
    <n v="13"/>
    <n v="18"/>
    <x v="0"/>
    <x v="0"/>
  </r>
  <r>
    <x v="0"/>
    <x v="1"/>
    <x v="5"/>
    <n v="569"/>
    <x v="0"/>
    <x v="0"/>
    <n v="244"/>
    <n v="319"/>
    <x v="1"/>
    <x v="1"/>
  </r>
  <r>
    <x v="0"/>
    <x v="1"/>
    <x v="1"/>
    <n v="43"/>
    <x v="0"/>
    <x v="0"/>
    <n v="10"/>
    <n v="32"/>
    <x v="2"/>
    <x v="0"/>
  </r>
  <r>
    <x v="0"/>
    <x v="1"/>
    <x v="6"/>
    <n v="23"/>
    <x v="0"/>
    <x v="0"/>
    <n v="17"/>
    <n v="6"/>
    <x v="0"/>
    <x v="0"/>
  </r>
  <r>
    <x v="0"/>
    <x v="1"/>
    <x v="2"/>
    <n v="252"/>
    <x v="0"/>
    <x v="0"/>
    <n v="120"/>
    <n v="132"/>
    <x v="0"/>
    <x v="0"/>
  </r>
  <r>
    <x v="0"/>
    <x v="1"/>
    <x v="3"/>
    <n v="135"/>
    <x v="0"/>
    <x v="0"/>
    <n v="69"/>
    <n v="63"/>
    <x v="2"/>
    <x v="2"/>
  </r>
  <r>
    <x v="1"/>
    <x v="0"/>
    <x v="0"/>
    <n v="2"/>
    <x v="1"/>
    <x v="1"/>
    <m/>
    <n v="2"/>
    <x v="0"/>
    <x v="0"/>
  </r>
  <r>
    <x v="1"/>
    <x v="0"/>
    <x v="5"/>
    <n v="7"/>
    <x v="1"/>
    <x v="1"/>
    <m/>
    <n v="7"/>
    <x v="0"/>
    <x v="0"/>
  </r>
  <r>
    <x v="1"/>
    <x v="0"/>
    <x v="1"/>
    <n v="9"/>
    <x v="1"/>
    <x v="1"/>
    <m/>
    <n v="9"/>
    <x v="0"/>
    <x v="0"/>
  </r>
  <r>
    <x v="1"/>
    <x v="0"/>
    <x v="6"/>
    <n v="1"/>
    <x v="1"/>
    <x v="1"/>
    <m/>
    <n v="1"/>
    <x v="0"/>
    <x v="0"/>
  </r>
  <r>
    <x v="1"/>
    <x v="0"/>
    <x v="2"/>
    <n v="5"/>
    <x v="1"/>
    <x v="1"/>
    <m/>
    <n v="5"/>
    <x v="0"/>
    <x v="0"/>
  </r>
  <r>
    <x v="1"/>
    <x v="0"/>
    <x v="3"/>
    <n v="4"/>
    <x v="1"/>
    <x v="1"/>
    <m/>
    <n v="4"/>
    <x v="0"/>
    <x v="0"/>
  </r>
  <r>
    <x v="1"/>
    <x v="1"/>
    <x v="0"/>
    <n v="157"/>
    <x v="1"/>
    <x v="1"/>
    <n v="49"/>
    <n v="108"/>
    <x v="0"/>
    <x v="0"/>
  </r>
  <r>
    <x v="1"/>
    <x v="1"/>
    <x v="4"/>
    <n v="49"/>
    <x v="1"/>
    <x v="1"/>
    <n v="12"/>
    <n v="37"/>
    <x v="0"/>
    <x v="0"/>
  </r>
  <r>
    <x v="1"/>
    <x v="1"/>
    <x v="5"/>
    <n v="651"/>
    <x v="1"/>
    <x v="1"/>
    <n v="297"/>
    <n v="350"/>
    <x v="3"/>
    <x v="0"/>
  </r>
  <r>
    <x v="1"/>
    <x v="1"/>
    <x v="1"/>
    <n v="32"/>
    <x v="1"/>
    <x v="1"/>
    <n v="12"/>
    <n v="20"/>
    <x v="0"/>
    <x v="0"/>
  </r>
  <r>
    <x v="1"/>
    <x v="1"/>
    <x v="6"/>
    <n v="29"/>
    <x v="1"/>
    <x v="1"/>
    <n v="21"/>
    <n v="8"/>
    <x v="0"/>
    <x v="0"/>
  </r>
  <r>
    <x v="1"/>
    <x v="1"/>
    <x v="2"/>
    <n v="239"/>
    <x v="1"/>
    <x v="1"/>
    <n v="120"/>
    <n v="119"/>
    <x v="0"/>
    <x v="0"/>
  </r>
  <r>
    <x v="1"/>
    <x v="1"/>
    <x v="3"/>
    <n v="147"/>
    <x v="1"/>
    <x v="1"/>
    <n v="59"/>
    <n v="87"/>
    <x v="0"/>
    <x v="1"/>
  </r>
  <r>
    <x v="2"/>
    <x v="0"/>
    <x v="0"/>
    <n v="1"/>
    <x v="2"/>
    <x v="2"/>
    <m/>
    <n v="1"/>
    <x v="0"/>
    <x v="0"/>
  </r>
  <r>
    <x v="2"/>
    <x v="0"/>
    <x v="5"/>
    <n v="1"/>
    <x v="2"/>
    <x v="2"/>
    <m/>
    <n v="1"/>
    <x v="0"/>
    <x v="0"/>
  </r>
  <r>
    <x v="2"/>
    <x v="0"/>
    <x v="1"/>
    <n v="8"/>
    <x v="2"/>
    <x v="2"/>
    <m/>
    <n v="8"/>
    <x v="0"/>
    <x v="0"/>
  </r>
  <r>
    <x v="2"/>
    <x v="0"/>
    <x v="6"/>
    <n v="3"/>
    <x v="2"/>
    <x v="2"/>
    <m/>
    <n v="3"/>
    <x v="0"/>
    <x v="0"/>
  </r>
  <r>
    <x v="2"/>
    <x v="0"/>
    <x v="2"/>
    <n v="7"/>
    <x v="2"/>
    <x v="2"/>
    <m/>
    <n v="7"/>
    <x v="0"/>
    <x v="0"/>
  </r>
  <r>
    <x v="2"/>
    <x v="0"/>
    <x v="3"/>
    <n v="8"/>
    <x v="2"/>
    <x v="2"/>
    <m/>
    <n v="8"/>
    <x v="0"/>
    <x v="0"/>
  </r>
  <r>
    <x v="2"/>
    <x v="1"/>
    <x v="0"/>
    <n v="147"/>
    <x v="2"/>
    <x v="2"/>
    <n v="60"/>
    <n v="87"/>
    <x v="0"/>
    <x v="0"/>
  </r>
  <r>
    <x v="2"/>
    <x v="1"/>
    <x v="4"/>
    <n v="40"/>
    <x v="2"/>
    <x v="2"/>
    <n v="18"/>
    <n v="22"/>
    <x v="0"/>
    <x v="0"/>
  </r>
  <r>
    <x v="2"/>
    <x v="1"/>
    <x v="5"/>
    <n v="680"/>
    <x v="2"/>
    <x v="2"/>
    <n v="301"/>
    <n v="360"/>
    <x v="4"/>
    <x v="2"/>
  </r>
  <r>
    <x v="2"/>
    <x v="1"/>
    <x v="1"/>
    <n v="48"/>
    <x v="2"/>
    <x v="2"/>
    <n v="19"/>
    <n v="29"/>
    <x v="0"/>
    <x v="0"/>
  </r>
  <r>
    <x v="2"/>
    <x v="1"/>
    <x v="6"/>
    <n v="34"/>
    <x v="2"/>
    <x v="2"/>
    <n v="27"/>
    <n v="7"/>
    <x v="0"/>
    <x v="0"/>
  </r>
  <r>
    <x v="2"/>
    <x v="1"/>
    <x v="2"/>
    <n v="282"/>
    <x v="2"/>
    <x v="2"/>
    <n v="139"/>
    <n v="139"/>
    <x v="3"/>
    <x v="0"/>
  </r>
  <r>
    <x v="2"/>
    <x v="1"/>
    <x v="3"/>
    <n v="155"/>
    <x v="2"/>
    <x v="2"/>
    <n v="85"/>
    <n v="70"/>
    <x v="0"/>
    <x v="0"/>
  </r>
  <r>
    <x v="3"/>
    <x v="0"/>
    <x v="0"/>
    <n v="5"/>
    <x v="3"/>
    <x v="3"/>
    <m/>
    <n v="5"/>
    <x v="0"/>
    <x v="0"/>
  </r>
  <r>
    <x v="3"/>
    <x v="0"/>
    <x v="1"/>
    <n v="6"/>
    <x v="3"/>
    <x v="3"/>
    <m/>
    <n v="6"/>
    <x v="0"/>
    <x v="0"/>
  </r>
  <r>
    <x v="3"/>
    <x v="0"/>
    <x v="2"/>
    <n v="6"/>
    <x v="3"/>
    <x v="3"/>
    <m/>
    <n v="6"/>
    <x v="0"/>
    <x v="0"/>
  </r>
  <r>
    <x v="3"/>
    <x v="0"/>
    <x v="3"/>
    <n v="1"/>
    <x v="3"/>
    <x v="3"/>
    <m/>
    <n v="1"/>
    <x v="0"/>
    <x v="0"/>
  </r>
  <r>
    <x v="3"/>
    <x v="1"/>
    <x v="0"/>
    <n v="135"/>
    <x v="3"/>
    <x v="3"/>
    <n v="51"/>
    <n v="84"/>
    <x v="0"/>
    <x v="0"/>
  </r>
  <r>
    <x v="3"/>
    <x v="1"/>
    <x v="4"/>
    <n v="20"/>
    <x v="3"/>
    <x v="3"/>
    <n v="9"/>
    <n v="11"/>
    <x v="0"/>
    <x v="0"/>
  </r>
  <r>
    <x v="3"/>
    <x v="1"/>
    <x v="5"/>
    <n v="708"/>
    <x v="3"/>
    <x v="3"/>
    <n v="329"/>
    <n v="376"/>
    <x v="5"/>
    <x v="0"/>
  </r>
  <r>
    <x v="3"/>
    <x v="1"/>
    <x v="1"/>
    <n v="48"/>
    <x v="3"/>
    <x v="3"/>
    <n v="17"/>
    <n v="31"/>
    <x v="0"/>
    <x v="0"/>
  </r>
  <r>
    <x v="3"/>
    <x v="1"/>
    <x v="6"/>
    <n v="33"/>
    <x v="3"/>
    <x v="3"/>
    <n v="22"/>
    <n v="11"/>
    <x v="0"/>
    <x v="0"/>
  </r>
  <r>
    <x v="3"/>
    <x v="1"/>
    <x v="2"/>
    <n v="250"/>
    <x v="3"/>
    <x v="3"/>
    <n v="113"/>
    <n v="137"/>
    <x v="0"/>
    <x v="0"/>
  </r>
  <r>
    <x v="3"/>
    <x v="1"/>
    <x v="3"/>
    <n v="107"/>
    <x v="3"/>
    <x v="3"/>
    <n v="56"/>
    <n v="47"/>
    <x v="3"/>
    <x v="0"/>
  </r>
  <r>
    <x v="4"/>
    <x v="0"/>
    <x v="0"/>
    <n v="2"/>
    <x v="4"/>
    <x v="4"/>
    <m/>
    <n v="2"/>
    <x v="0"/>
    <x v="0"/>
  </r>
  <r>
    <x v="4"/>
    <x v="0"/>
    <x v="1"/>
    <n v="6"/>
    <x v="4"/>
    <x v="4"/>
    <m/>
    <n v="6"/>
    <x v="0"/>
    <x v="0"/>
  </r>
  <r>
    <x v="4"/>
    <x v="0"/>
    <x v="2"/>
    <n v="3"/>
    <x v="4"/>
    <x v="4"/>
    <m/>
    <n v="3"/>
    <x v="0"/>
    <x v="0"/>
  </r>
  <r>
    <x v="4"/>
    <x v="0"/>
    <x v="3"/>
    <n v="4"/>
    <x v="4"/>
    <x v="4"/>
    <n v="1"/>
    <n v="3"/>
    <x v="0"/>
    <x v="0"/>
  </r>
  <r>
    <x v="4"/>
    <x v="1"/>
    <x v="0"/>
    <n v="139"/>
    <x v="4"/>
    <x v="4"/>
    <n v="40"/>
    <n v="99"/>
    <x v="0"/>
    <x v="0"/>
  </r>
  <r>
    <x v="4"/>
    <x v="1"/>
    <x v="4"/>
    <n v="33"/>
    <x v="4"/>
    <x v="4"/>
    <n v="8"/>
    <n v="25"/>
    <x v="0"/>
    <x v="0"/>
  </r>
  <r>
    <x v="4"/>
    <x v="1"/>
    <x v="5"/>
    <n v="738"/>
    <x v="4"/>
    <x v="4"/>
    <n v="332"/>
    <n v="397"/>
    <x v="3"/>
    <x v="3"/>
  </r>
  <r>
    <x v="4"/>
    <x v="1"/>
    <x v="1"/>
    <n v="40"/>
    <x v="4"/>
    <x v="4"/>
    <n v="16"/>
    <n v="24"/>
    <x v="0"/>
    <x v="0"/>
  </r>
  <r>
    <x v="4"/>
    <x v="1"/>
    <x v="6"/>
    <n v="34"/>
    <x v="4"/>
    <x v="4"/>
    <n v="21"/>
    <n v="12"/>
    <x v="0"/>
    <x v="1"/>
  </r>
  <r>
    <x v="4"/>
    <x v="1"/>
    <x v="2"/>
    <n v="205"/>
    <x v="4"/>
    <x v="4"/>
    <n v="98"/>
    <n v="104"/>
    <x v="5"/>
    <x v="0"/>
  </r>
  <r>
    <x v="4"/>
    <x v="1"/>
    <x v="3"/>
    <n v="106"/>
    <x v="4"/>
    <x v="4"/>
    <n v="59"/>
    <n v="45"/>
    <x v="2"/>
    <x v="1"/>
  </r>
  <r>
    <x v="5"/>
    <x v="0"/>
    <x v="0"/>
    <n v="6"/>
    <x v="5"/>
    <x v="5"/>
    <m/>
    <n v="6"/>
    <x v="0"/>
    <x v="0"/>
  </r>
  <r>
    <x v="5"/>
    <x v="0"/>
    <x v="1"/>
    <n v="4"/>
    <x v="5"/>
    <x v="5"/>
    <m/>
    <n v="4"/>
    <x v="0"/>
    <x v="0"/>
  </r>
  <r>
    <x v="5"/>
    <x v="0"/>
    <x v="2"/>
    <n v="2"/>
    <x v="5"/>
    <x v="5"/>
    <m/>
    <n v="2"/>
    <x v="0"/>
    <x v="0"/>
  </r>
  <r>
    <x v="5"/>
    <x v="1"/>
    <x v="0"/>
    <n v="160"/>
    <x v="5"/>
    <x v="5"/>
    <n v="53"/>
    <n v="107"/>
    <x v="0"/>
    <x v="0"/>
  </r>
  <r>
    <x v="5"/>
    <x v="1"/>
    <x v="4"/>
    <n v="25"/>
    <x v="5"/>
    <x v="5"/>
    <n v="8"/>
    <n v="17"/>
    <x v="0"/>
    <x v="0"/>
  </r>
  <r>
    <x v="5"/>
    <x v="1"/>
    <x v="5"/>
    <n v="617"/>
    <x v="5"/>
    <x v="5"/>
    <n v="270"/>
    <n v="342"/>
    <x v="1"/>
    <x v="0"/>
  </r>
  <r>
    <x v="5"/>
    <x v="1"/>
    <x v="1"/>
    <n v="39"/>
    <x v="5"/>
    <x v="5"/>
    <n v="8"/>
    <n v="31"/>
    <x v="0"/>
    <x v="0"/>
  </r>
  <r>
    <x v="5"/>
    <x v="1"/>
    <x v="6"/>
    <n v="12"/>
    <x v="5"/>
    <x v="5"/>
    <n v="10"/>
    <n v="2"/>
    <x v="0"/>
    <x v="0"/>
  </r>
  <r>
    <x v="5"/>
    <x v="1"/>
    <x v="2"/>
    <n v="136"/>
    <x v="5"/>
    <x v="5"/>
    <n v="65"/>
    <n v="70"/>
    <x v="2"/>
    <x v="0"/>
  </r>
  <r>
    <x v="5"/>
    <x v="1"/>
    <x v="3"/>
    <n v="98"/>
    <x v="5"/>
    <x v="5"/>
    <n v="49"/>
    <n v="48"/>
    <x v="0"/>
    <x v="1"/>
  </r>
  <r>
    <x v="6"/>
    <x v="0"/>
    <x v="0"/>
    <n v="1"/>
    <x v="6"/>
    <x v="6"/>
    <m/>
    <n v="1"/>
    <x v="0"/>
    <x v="0"/>
  </r>
  <r>
    <x v="6"/>
    <x v="0"/>
    <x v="1"/>
    <n v="7"/>
    <x v="6"/>
    <x v="6"/>
    <n v="2"/>
    <n v="5"/>
    <x v="0"/>
    <x v="0"/>
  </r>
  <r>
    <x v="6"/>
    <x v="0"/>
    <x v="2"/>
    <n v="1"/>
    <x v="6"/>
    <x v="6"/>
    <m/>
    <n v="1"/>
    <x v="0"/>
    <x v="0"/>
  </r>
  <r>
    <x v="6"/>
    <x v="0"/>
    <x v="3"/>
    <n v="1"/>
    <x v="6"/>
    <x v="6"/>
    <m/>
    <n v="1"/>
    <x v="0"/>
    <x v="0"/>
  </r>
  <r>
    <x v="6"/>
    <x v="1"/>
    <x v="0"/>
    <n v="156"/>
    <x v="6"/>
    <x v="6"/>
    <n v="50"/>
    <n v="106"/>
    <x v="0"/>
    <x v="0"/>
  </r>
  <r>
    <x v="6"/>
    <x v="1"/>
    <x v="4"/>
    <n v="37"/>
    <x v="6"/>
    <x v="6"/>
    <n v="11"/>
    <n v="26"/>
    <x v="0"/>
    <x v="0"/>
  </r>
  <r>
    <x v="6"/>
    <x v="1"/>
    <x v="5"/>
    <n v="708"/>
    <x v="6"/>
    <x v="6"/>
    <n v="304"/>
    <n v="399"/>
    <x v="3"/>
    <x v="1"/>
  </r>
  <r>
    <x v="6"/>
    <x v="1"/>
    <x v="1"/>
    <n v="60"/>
    <x v="6"/>
    <x v="6"/>
    <n v="17"/>
    <n v="43"/>
    <x v="0"/>
    <x v="0"/>
  </r>
  <r>
    <x v="6"/>
    <x v="1"/>
    <x v="6"/>
    <n v="29"/>
    <x v="6"/>
    <x v="6"/>
    <n v="23"/>
    <n v="6"/>
    <x v="0"/>
    <x v="0"/>
  </r>
  <r>
    <x v="6"/>
    <x v="1"/>
    <x v="2"/>
    <n v="167"/>
    <x v="6"/>
    <x v="6"/>
    <n v="83"/>
    <n v="84"/>
    <x v="0"/>
    <x v="0"/>
  </r>
  <r>
    <x v="6"/>
    <x v="1"/>
    <x v="3"/>
    <n v="109"/>
    <x v="6"/>
    <x v="6"/>
    <n v="63"/>
    <n v="46"/>
    <x v="0"/>
    <x v="0"/>
  </r>
  <r>
    <x v="7"/>
    <x v="0"/>
    <x v="1"/>
    <n v="8"/>
    <x v="7"/>
    <x v="7"/>
    <m/>
    <n v="8"/>
    <x v="0"/>
    <x v="0"/>
  </r>
  <r>
    <x v="7"/>
    <x v="0"/>
    <x v="2"/>
    <n v="6"/>
    <x v="7"/>
    <x v="7"/>
    <m/>
    <n v="6"/>
    <x v="0"/>
    <x v="0"/>
  </r>
  <r>
    <x v="7"/>
    <x v="0"/>
    <x v="3"/>
    <n v="4"/>
    <x v="7"/>
    <x v="7"/>
    <m/>
    <n v="3"/>
    <x v="2"/>
    <x v="0"/>
  </r>
  <r>
    <x v="7"/>
    <x v="1"/>
    <x v="0"/>
    <n v="129"/>
    <x v="7"/>
    <x v="7"/>
    <n v="38"/>
    <n v="91"/>
    <x v="0"/>
    <x v="0"/>
  </r>
  <r>
    <x v="7"/>
    <x v="1"/>
    <x v="4"/>
    <n v="26"/>
    <x v="7"/>
    <x v="7"/>
    <n v="7"/>
    <n v="19"/>
    <x v="0"/>
    <x v="0"/>
  </r>
  <r>
    <x v="7"/>
    <x v="1"/>
    <x v="5"/>
    <n v="752"/>
    <x v="7"/>
    <x v="7"/>
    <n v="343"/>
    <n v="405"/>
    <x v="3"/>
    <x v="0"/>
  </r>
  <r>
    <x v="7"/>
    <x v="1"/>
    <x v="1"/>
    <n v="41"/>
    <x v="7"/>
    <x v="7"/>
    <n v="10"/>
    <n v="31"/>
    <x v="0"/>
    <x v="0"/>
  </r>
  <r>
    <x v="7"/>
    <x v="1"/>
    <x v="6"/>
    <n v="33"/>
    <x v="7"/>
    <x v="7"/>
    <n v="20"/>
    <n v="13"/>
    <x v="0"/>
    <x v="0"/>
  </r>
  <r>
    <x v="7"/>
    <x v="1"/>
    <x v="2"/>
    <n v="132"/>
    <x v="7"/>
    <x v="7"/>
    <n v="67"/>
    <n v="65"/>
    <x v="0"/>
    <x v="0"/>
  </r>
  <r>
    <x v="7"/>
    <x v="1"/>
    <x v="3"/>
    <n v="135"/>
    <x v="7"/>
    <x v="7"/>
    <n v="63"/>
    <n v="71"/>
    <x v="2"/>
    <x v="0"/>
  </r>
  <r>
    <x v="8"/>
    <x v="0"/>
    <x v="0"/>
    <n v="4"/>
    <x v="8"/>
    <x v="8"/>
    <m/>
    <n v="3"/>
    <x v="0"/>
    <x v="1"/>
  </r>
  <r>
    <x v="8"/>
    <x v="0"/>
    <x v="1"/>
    <n v="14"/>
    <x v="8"/>
    <x v="8"/>
    <n v="1"/>
    <n v="13"/>
    <x v="0"/>
    <x v="0"/>
  </r>
  <r>
    <x v="8"/>
    <x v="0"/>
    <x v="2"/>
    <n v="7"/>
    <x v="8"/>
    <x v="8"/>
    <m/>
    <n v="6"/>
    <x v="2"/>
    <x v="0"/>
  </r>
  <r>
    <x v="8"/>
    <x v="0"/>
    <x v="3"/>
    <n v="3"/>
    <x v="8"/>
    <x v="8"/>
    <m/>
    <n v="1"/>
    <x v="6"/>
    <x v="0"/>
  </r>
  <r>
    <x v="8"/>
    <x v="1"/>
    <x v="0"/>
    <n v="115"/>
    <x v="8"/>
    <x v="8"/>
    <n v="32"/>
    <n v="82"/>
    <x v="2"/>
    <x v="0"/>
  </r>
  <r>
    <x v="8"/>
    <x v="1"/>
    <x v="4"/>
    <n v="16"/>
    <x v="8"/>
    <x v="8"/>
    <n v="10"/>
    <n v="6"/>
    <x v="0"/>
    <x v="0"/>
  </r>
  <r>
    <x v="8"/>
    <x v="1"/>
    <x v="5"/>
    <n v="659"/>
    <x v="8"/>
    <x v="8"/>
    <n v="305"/>
    <n v="346"/>
    <x v="7"/>
    <x v="0"/>
  </r>
  <r>
    <x v="8"/>
    <x v="1"/>
    <x v="1"/>
    <n v="35"/>
    <x v="8"/>
    <x v="8"/>
    <n v="15"/>
    <n v="20"/>
    <x v="0"/>
    <x v="0"/>
  </r>
  <r>
    <x v="8"/>
    <x v="1"/>
    <x v="6"/>
    <n v="17"/>
    <x v="8"/>
    <x v="8"/>
    <n v="8"/>
    <n v="9"/>
    <x v="0"/>
    <x v="0"/>
  </r>
  <r>
    <x v="8"/>
    <x v="1"/>
    <x v="2"/>
    <n v="140"/>
    <x v="8"/>
    <x v="8"/>
    <n v="66"/>
    <n v="74"/>
    <x v="0"/>
    <x v="0"/>
  </r>
  <r>
    <x v="8"/>
    <x v="1"/>
    <x v="3"/>
    <n v="106"/>
    <x v="8"/>
    <x v="8"/>
    <n v="42"/>
    <n v="62"/>
    <x v="2"/>
    <x v="1"/>
  </r>
  <r>
    <x v="9"/>
    <x v="0"/>
    <x v="0"/>
    <n v="4"/>
    <x v="9"/>
    <x v="9"/>
    <m/>
    <n v="4"/>
    <x v="0"/>
    <x v="0"/>
  </r>
  <r>
    <x v="9"/>
    <x v="0"/>
    <x v="5"/>
    <n v="2"/>
    <x v="9"/>
    <x v="9"/>
    <m/>
    <n v="2"/>
    <x v="0"/>
    <x v="0"/>
  </r>
  <r>
    <x v="9"/>
    <x v="0"/>
    <x v="1"/>
    <n v="7"/>
    <x v="9"/>
    <x v="9"/>
    <m/>
    <n v="7"/>
    <x v="0"/>
    <x v="0"/>
  </r>
  <r>
    <x v="9"/>
    <x v="0"/>
    <x v="2"/>
    <n v="5"/>
    <x v="9"/>
    <x v="9"/>
    <m/>
    <n v="4"/>
    <x v="0"/>
    <x v="1"/>
  </r>
  <r>
    <x v="9"/>
    <x v="0"/>
    <x v="3"/>
    <n v="3"/>
    <x v="9"/>
    <x v="9"/>
    <m/>
    <n v="3"/>
    <x v="0"/>
    <x v="0"/>
  </r>
  <r>
    <x v="9"/>
    <x v="1"/>
    <x v="0"/>
    <n v="132"/>
    <x v="9"/>
    <x v="9"/>
    <n v="41"/>
    <n v="91"/>
    <x v="0"/>
    <x v="0"/>
  </r>
  <r>
    <x v="9"/>
    <x v="1"/>
    <x v="4"/>
    <n v="21"/>
    <x v="9"/>
    <x v="9"/>
    <n v="6"/>
    <n v="15"/>
    <x v="0"/>
    <x v="0"/>
  </r>
  <r>
    <x v="9"/>
    <x v="1"/>
    <x v="5"/>
    <n v="665"/>
    <x v="9"/>
    <x v="9"/>
    <n v="286"/>
    <n v="362"/>
    <x v="8"/>
    <x v="1"/>
  </r>
  <r>
    <x v="9"/>
    <x v="1"/>
    <x v="1"/>
    <n v="35"/>
    <x v="9"/>
    <x v="9"/>
    <n v="17"/>
    <n v="18"/>
    <x v="0"/>
    <x v="0"/>
  </r>
  <r>
    <x v="9"/>
    <x v="1"/>
    <x v="6"/>
    <n v="21"/>
    <x v="9"/>
    <x v="9"/>
    <n v="15"/>
    <n v="6"/>
    <x v="0"/>
    <x v="0"/>
  </r>
  <r>
    <x v="9"/>
    <x v="1"/>
    <x v="2"/>
    <n v="185"/>
    <x v="9"/>
    <x v="9"/>
    <n v="94"/>
    <n v="91"/>
    <x v="0"/>
    <x v="0"/>
  </r>
  <r>
    <x v="9"/>
    <x v="1"/>
    <x v="3"/>
    <n v="117"/>
    <x v="9"/>
    <x v="9"/>
    <n v="53"/>
    <n v="64"/>
    <x v="0"/>
    <x v="0"/>
  </r>
  <r>
    <x v="10"/>
    <x v="0"/>
    <x v="0"/>
    <n v="3"/>
    <x v="10"/>
    <x v="10"/>
    <m/>
    <n v="3"/>
    <x v="0"/>
    <x v="0"/>
  </r>
  <r>
    <x v="10"/>
    <x v="0"/>
    <x v="1"/>
    <n v="5"/>
    <x v="10"/>
    <x v="10"/>
    <m/>
    <n v="4"/>
    <x v="0"/>
    <x v="1"/>
  </r>
  <r>
    <x v="10"/>
    <x v="0"/>
    <x v="2"/>
    <n v="4"/>
    <x v="10"/>
    <x v="10"/>
    <m/>
    <n v="4"/>
    <x v="0"/>
    <x v="0"/>
  </r>
  <r>
    <x v="10"/>
    <x v="0"/>
    <x v="3"/>
    <n v="1"/>
    <x v="10"/>
    <x v="10"/>
    <m/>
    <n v="1"/>
    <x v="0"/>
    <x v="0"/>
  </r>
  <r>
    <x v="10"/>
    <x v="1"/>
    <x v="0"/>
    <n v="122"/>
    <x v="10"/>
    <x v="10"/>
    <n v="36"/>
    <n v="86"/>
    <x v="0"/>
    <x v="0"/>
  </r>
  <r>
    <x v="10"/>
    <x v="1"/>
    <x v="4"/>
    <n v="23"/>
    <x v="10"/>
    <x v="10"/>
    <n v="8"/>
    <n v="15"/>
    <x v="0"/>
    <x v="0"/>
  </r>
  <r>
    <x v="10"/>
    <x v="1"/>
    <x v="5"/>
    <n v="571"/>
    <x v="10"/>
    <x v="10"/>
    <n v="264"/>
    <n v="290"/>
    <x v="9"/>
    <x v="4"/>
  </r>
  <r>
    <x v="10"/>
    <x v="1"/>
    <x v="1"/>
    <n v="30"/>
    <x v="10"/>
    <x v="10"/>
    <n v="13"/>
    <n v="16"/>
    <x v="2"/>
    <x v="0"/>
  </r>
  <r>
    <x v="10"/>
    <x v="1"/>
    <x v="6"/>
    <n v="12"/>
    <x v="10"/>
    <x v="10"/>
    <n v="5"/>
    <n v="7"/>
    <x v="0"/>
    <x v="0"/>
  </r>
  <r>
    <x v="10"/>
    <x v="1"/>
    <x v="2"/>
    <n v="150"/>
    <x v="10"/>
    <x v="10"/>
    <n v="68"/>
    <n v="82"/>
    <x v="0"/>
    <x v="0"/>
  </r>
  <r>
    <x v="10"/>
    <x v="1"/>
    <x v="3"/>
    <n v="106"/>
    <x v="10"/>
    <x v="10"/>
    <n v="43"/>
    <n v="59"/>
    <x v="3"/>
    <x v="0"/>
  </r>
  <r>
    <x v="11"/>
    <x v="0"/>
    <x v="0"/>
    <n v="1"/>
    <x v="11"/>
    <x v="11"/>
    <m/>
    <m/>
    <x v="2"/>
    <x v="0"/>
  </r>
  <r>
    <x v="11"/>
    <x v="0"/>
    <x v="1"/>
    <n v="4"/>
    <x v="11"/>
    <x v="11"/>
    <m/>
    <n v="3"/>
    <x v="2"/>
    <x v="0"/>
  </r>
  <r>
    <x v="11"/>
    <x v="0"/>
    <x v="2"/>
    <n v="3"/>
    <x v="11"/>
    <x v="11"/>
    <m/>
    <n v="2"/>
    <x v="2"/>
    <x v="0"/>
  </r>
  <r>
    <x v="11"/>
    <x v="1"/>
    <x v="0"/>
    <n v="141"/>
    <x v="11"/>
    <x v="11"/>
    <n v="44"/>
    <n v="93"/>
    <x v="3"/>
    <x v="0"/>
  </r>
  <r>
    <x v="11"/>
    <x v="1"/>
    <x v="4"/>
    <n v="20"/>
    <x v="11"/>
    <x v="11"/>
    <n v="8"/>
    <n v="12"/>
    <x v="0"/>
    <x v="0"/>
  </r>
  <r>
    <x v="11"/>
    <x v="1"/>
    <x v="5"/>
    <n v="510"/>
    <x v="11"/>
    <x v="11"/>
    <n v="217"/>
    <n v="267"/>
    <x v="10"/>
    <x v="0"/>
  </r>
  <r>
    <x v="11"/>
    <x v="1"/>
    <x v="1"/>
    <n v="33"/>
    <x v="11"/>
    <x v="11"/>
    <n v="10"/>
    <n v="23"/>
    <x v="0"/>
    <x v="0"/>
  </r>
  <r>
    <x v="11"/>
    <x v="1"/>
    <x v="6"/>
    <n v="14"/>
    <x v="11"/>
    <x v="11"/>
    <n v="11"/>
    <n v="3"/>
    <x v="0"/>
    <x v="0"/>
  </r>
  <r>
    <x v="11"/>
    <x v="1"/>
    <x v="2"/>
    <n v="153"/>
    <x v="11"/>
    <x v="11"/>
    <n v="71"/>
    <n v="81"/>
    <x v="2"/>
    <x v="0"/>
  </r>
  <r>
    <x v="11"/>
    <x v="1"/>
    <x v="3"/>
    <n v="138"/>
    <x v="11"/>
    <x v="11"/>
    <n v="61"/>
    <n v="75"/>
    <x v="6"/>
    <x v="0"/>
  </r>
</pivotCacheRecords>
</file>

<file path=xl/pivotCache/pivotCacheRecords43.xml><?xml version="1.0" encoding="utf-8"?>
<pivotCacheRecords xmlns="http://schemas.openxmlformats.org/spreadsheetml/2006/main" xmlns:r="http://schemas.openxmlformats.org/officeDocument/2006/relationships" count="134">
  <r>
    <x v="0"/>
    <x v="0"/>
    <x v="0"/>
    <n v="3"/>
    <m/>
    <n v="1"/>
    <n v="2"/>
    <m/>
    <m/>
    <s v="2009-10"/>
    <n v="5231900"/>
    <n v="984309"/>
    <n v="893916"/>
    <n v="2159788"/>
    <n v="1193887"/>
  </r>
  <r>
    <x v="0"/>
    <x v="0"/>
    <x v="1"/>
    <n v="10"/>
    <m/>
    <n v="2"/>
    <n v="8"/>
    <m/>
    <m/>
    <s v="2009-10"/>
    <n v="5231900"/>
    <n v="984309"/>
    <n v="893916"/>
    <n v="2159788"/>
    <n v="1193887"/>
  </r>
  <r>
    <x v="0"/>
    <x v="0"/>
    <x v="2"/>
    <n v="2"/>
    <m/>
    <n v="1"/>
    <n v="1"/>
    <m/>
    <m/>
    <s v="2009-10"/>
    <n v="5231900"/>
    <n v="984309"/>
    <n v="893916"/>
    <n v="2159788"/>
    <n v="1193887"/>
  </r>
  <r>
    <x v="0"/>
    <x v="0"/>
    <x v="3"/>
    <n v="3"/>
    <m/>
    <n v="1"/>
    <n v="2"/>
    <m/>
    <m/>
    <s v="2009-10"/>
    <n v="5231900"/>
    <n v="984309"/>
    <n v="893916"/>
    <n v="2159788"/>
    <n v="1193887"/>
  </r>
  <r>
    <x v="0"/>
    <x v="1"/>
    <x v="0"/>
    <n v="152"/>
    <n v="8"/>
    <n v="42"/>
    <n v="76"/>
    <n v="26"/>
    <m/>
    <s v="2009-10"/>
    <n v="5231900"/>
    <n v="984309"/>
    <n v="893916"/>
    <n v="2159788"/>
    <n v="1193887"/>
  </r>
  <r>
    <x v="0"/>
    <x v="1"/>
    <x v="4"/>
    <n v="31"/>
    <n v="1"/>
    <n v="3"/>
    <n v="19"/>
    <n v="8"/>
    <m/>
    <s v="2009-10"/>
    <n v="5231900"/>
    <n v="984309"/>
    <n v="893916"/>
    <n v="2159788"/>
    <n v="1193887"/>
  </r>
  <r>
    <x v="0"/>
    <x v="1"/>
    <x v="5"/>
    <n v="569"/>
    <n v="46"/>
    <n v="109"/>
    <n v="266"/>
    <n v="148"/>
    <m/>
    <s v="2009-10"/>
    <n v="5231900"/>
    <n v="984309"/>
    <n v="893916"/>
    <n v="2159788"/>
    <n v="1193887"/>
  </r>
  <r>
    <x v="0"/>
    <x v="1"/>
    <x v="1"/>
    <n v="43"/>
    <n v="5"/>
    <n v="9"/>
    <n v="20"/>
    <n v="9"/>
    <m/>
    <s v="2009-10"/>
    <n v="5231900"/>
    <n v="984309"/>
    <n v="893916"/>
    <n v="2159788"/>
    <n v="1193887"/>
  </r>
  <r>
    <x v="0"/>
    <x v="1"/>
    <x v="6"/>
    <n v="23"/>
    <n v="4"/>
    <n v="2"/>
    <n v="8"/>
    <n v="9"/>
    <m/>
    <s v="2009-10"/>
    <n v="5231900"/>
    <n v="984309"/>
    <n v="893916"/>
    <n v="2159788"/>
    <n v="1193887"/>
  </r>
  <r>
    <x v="0"/>
    <x v="1"/>
    <x v="2"/>
    <n v="252"/>
    <n v="21"/>
    <n v="43"/>
    <n v="112"/>
    <n v="75"/>
    <n v="1"/>
    <s v="2009-10"/>
    <n v="5231900"/>
    <n v="984309"/>
    <n v="893916"/>
    <n v="2159788"/>
    <n v="1193887"/>
  </r>
  <r>
    <x v="0"/>
    <x v="1"/>
    <x v="3"/>
    <n v="135"/>
    <n v="21"/>
    <n v="30"/>
    <n v="51"/>
    <n v="33"/>
    <m/>
    <s v="2009-10"/>
    <n v="5231900"/>
    <n v="984309"/>
    <n v="893916"/>
    <n v="2159788"/>
    <n v="1193887"/>
  </r>
  <r>
    <x v="1"/>
    <x v="0"/>
    <x v="0"/>
    <n v="2"/>
    <m/>
    <m/>
    <n v="2"/>
    <m/>
    <m/>
    <s v="2010-11"/>
    <n v="5262200"/>
    <n v="981096"/>
    <n v="903573"/>
    <n v="2163995"/>
    <n v="1213536"/>
  </r>
  <r>
    <x v="1"/>
    <x v="0"/>
    <x v="5"/>
    <n v="7"/>
    <m/>
    <m/>
    <n v="7"/>
    <m/>
    <m/>
    <s v="2010-11"/>
    <n v="5262200"/>
    <n v="981096"/>
    <n v="903573"/>
    <n v="2163995"/>
    <n v="1213536"/>
  </r>
  <r>
    <x v="1"/>
    <x v="0"/>
    <x v="1"/>
    <n v="9"/>
    <m/>
    <n v="1"/>
    <n v="8"/>
    <m/>
    <m/>
    <s v="2010-11"/>
    <n v="5262200"/>
    <n v="981096"/>
    <n v="903573"/>
    <n v="2163995"/>
    <n v="1213536"/>
  </r>
  <r>
    <x v="1"/>
    <x v="0"/>
    <x v="6"/>
    <n v="1"/>
    <m/>
    <n v="1"/>
    <m/>
    <m/>
    <m/>
    <s v="2010-11"/>
    <n v="5262200"/>
    <n v="981096"/>
    <n v="903573"/>
    <n v="2163995"/>
    <n v="1213536"/>
  </r>
  <r>
    <x v="1"/>
    <x v="0"/>
    <x v="2"/>
    <n v="5"/>
    <m/>
    <n v="1"/>
    <n v="4"/>
    <m/>
    <m/>
    <s v="2010-11"/>
    <n v="5262200"/>
    <n v="981096"/>
    <n v="903573"/>
    <n v="2163995"/>
    <n v="1213536"/>
  </r>
  <r>
    <x v="1"/>
    <x v="0"/>
    <x v="3"/>
    <n v="4"/>
    <m/>
    <n v="1"/>
    <n v="3"/>
    <m/>
    <m/>
    <s v="2010-11"/>
    <n v="5262200"/>
    <n v="981096"/>
    <n v="903573"/>
    <n v="2163995"/>
    <n v="1213536"/>
  </r>
  <r>
    <x v="1"/>
    <x v="1"/>
    <x v="0"/>
    <n v="157"/>
    <n v="14"/>
    <n v="43"/>
    <n v="75"/>
    <n v="25"/>
    <m/>
    <s v="2010-11"/>
    <n v="5262200"/>
    <n v="981096"/>
    <n v="903573"/>
    <n v="2163995"/>
    <n v="1213536"/>
  </r>
  <r>
    <x v="1"/>
    <x v="1"/>
    <x v="4"/>
    <n v="49"/>
    <n v="1"/>
    <n v="13"/>
    <n v="22"/>
    <n v="13"/>
    <m/>
    <s v="2010-11"/>
    <n v="5262200"/>
    <n v="981096"/>
    <n v="903573"/>
    <n v="2163995"/>
    <n v="1213536"/>
  </r>
  <r>
    <x v="1"/>
    <x v="1"/>
    <x v="5"/>
    <n v="651"/>
    <n v="54"/>
    <n v="130"/>
    <n v="299"/>
    <n v="168"/>
    <m/>
    <s v="2010-11"/>
    <n v="5262200"/>
    <n v="981096"/>
    <n v="903573"/>
    <n v="2163995"/>
    <n v="1213536"/>
  </r>
  <r>
    <x v="1"/>
    <x v="1"/>
    <x v="1"/>
    <n v="32"/>
    <m/>
    <n v="17"/>
    <n v="11"/>
    <n v="4"/>
    <m/>
    <s v="2010-11"/>
    <n v="5262200"/>
    <n v="981096"/>
    <n v="903573"/>
    <n v="2163995"/>
    <n v="1213536"/>
  </r>
  <r>
    <x v="1"/>
    <x v="1"/>
    <x v="6"/>
    <n v="29"/>
    <n v="2"/>
    <n v="5"/>
    <n v="10"/>
    <n v="12"/>
    <m/>
    <s v="2010-11"/>
    <n v="5262200"/>
    <n v="981096"/>
    <n v="903573"/>
    <n v="2163995"/>
    <n v="1213536"/>
  </r>
  <r>
    <x v="1"/>
    <x v="1"/>
    <x v="2"/>
    <n v="239"/>
    <n v="22"/>
    <n v="47"/>
    <n v="92"/>
    <n v="77"/>
    <n v="1"/>
    <s v="2010-11"/>
    <n v="5262200"/>
    <n v="981096"/>
    <n v="903573"/>
    <n v="2163995"/>
    <n v="1213536"/>
  </r>
  <r>
    <x v="1"/>
    <x v="1"/>
    <x v="3"/>
    <n v="147"/>
    <n v="20"/>
    <n v="28"/>
    <n v="74"/>
    <n v="24"/>
    <n v="1"/>
    <s v="2010-11"/>
    <n v="5262200"/>
    <n v="981096"/>
    <n v="903573"/>
    <n v="2163995"/>
    <n v="1213536"/>
  </r>
  <r>
    <x v="2"/>
    <x v="0"/>
    <x v="0"/>
    <n v="1"/>
    <m/>
    <m/>
    <n v="1"/>
    <m/>
    <m/>
    <s v="2011-12"/>
    <n v="5299900"/>
    <n v="978075"/>
    <n v="915437"/>
    <n v="2173561"/>
    <n v="1232827"/>
  </r>
  <r>
    <x v="2"/>
    <x v="0"/>
    <x v="5"/>
    <n v="1"/>
    <m/>
    <m/>
    <n v="1"/>
    <m/>
    <m/>
    <s v="2011-12"/>
    <n v="5299900"/>
    <n v="978075"/>
    <n v="915437"/>
    <n v="2173561"/>
    <n v="1232827"/>
  </r>
  <r>
    <x v="2"/>
    <x v="0"/>
    <x v="1"/>
    <n v="8"/>
    <m/>
    <n v="2"/>
    <n v="6"/>
    <m/>
    <m/>
    <s v="2011-12"/>
    <n v="5299900"/>
    <n v="978075"/>
    <n v="915437"/>
    <n v="2173561"/>
    <n v="1232827"/>
  </r>
  <r>
    <x v="2"/>
    <x v="0"/>
    <x v="6"/>
    <n v="3"/>
    <m/>
    <m/>
    <n v="3"/>
    <m/>
    <m/>
    <s v="2011-12"/>
    <n v="5299900"/>
    <n v="978075"/>
    <n v="915437"/>
    <n v="2173561"/>
    <n v="1232827"/>
  </r>
  <r>
    <x v="2"/>
    <x v="0"/>
    <x v="2"/>
    <n v="7"/>
    <m/>
    <m/>
    <n v="7"/>
    <m/>
    <m/>
    <s v="2011-12"/>
    <n v="5299900"/>
    <n v="978075"/>
    <n v="915437"/>
    <n v="2173561"/>
    <n v="1232827"/>
  </r>
  <r>
    <x v="2"/>
    <x v="0"/>
    <x v="3"/>
    <n v="8"/>
    <m/>
    <m/>
    <n v="8"/>
    <m/>
    <m/>
    <s v="2011-12"/>
    <n v="5299900"/>
    <n v="978075"/>
    <n v="915437"/>
    <n v="2173561"/>
    <n v="1232827"/>
  </r>
  <r>
    <x v="2"/>
    <x v="1"/>
    <x v="0"/>
    <n v="147"/>
    <n v="10"/>
    <n v="34"/>
    <n v="73"/>
    <n v="30"/>
    <m/>
    <s v="2011-12"/>
    <n v="5299900"/>
    <n v="978075"/>
    <n v="915437"/>
    <n v="2173561"/>
    <n v="1232827"/>
  </r>
  <r>
    <x v="2"/>
    <x v="1"/>
    <x v="4"/>
    <n v="40"/>
    <n v="1"/>
    <n v="9"/>
    <n v="17"/>
    <n v="13"/>
    <m/>
    <s v="2011-12"/>
    <n v="5299900"/>
    <n v="978075"/>
    <n v="915437"/>
    <n v="2173561"/>
    <n v="1232827"/>
  </r>
  <r>
    <x v="2"/>
    <x v="1"/>
    <x v="5"/>
    <n v="680"/>
    <n v="54"/>
    <n v="122"/>
    <n v="314"/>
    <n v="188"/>
    <n v="2"/>
    <s v="2011-12"/>
    <n v="5299900"/>
    <n v="978075"/>
    <n v="915437"/>
    <n v="2173561"/>
    <n v="1232827"/>
  </r>
  <r>
    <x v="2"/>
    <x v="1"/>
    <x v="1"/>
    <n v="48"/>
    <n v="3"/>
    <n v="15"/>
    <n v="26"/>
    <n v="4"/>
    <m/>
    <s v="2011-12"/>
    <n v="5299900"/>
    <n v="978075"/>
    <n v="915437"/>
    <n v="2173561"/>
    <n v="1232827"/>
  </r>
  <r>
    <x v="2"/>
    <x v="1"/>
    <x v="6"/>
    <n v="34"/>
    <n v="3"/>
    <n v="10"/>
    <n v="14"/>
    <n v="7"/>
    <m/>
    <s v="2011-12"/>
    <n v="5299900"/>
    <n v="978075"/>
    <n v="915437"/>
    <n v="2173561"/>
    <n v="1232827"/>
  </r>
  <r>
    <x v="2"/>
    <x v="1"/>
    <x v="2"/>
    <n v="282"/>
    <n v="29"/>
    <n v="43"/>
    <n v="128"/>
    <n v="80"/>
    <n v="2"/>
    <s v="2011-12"/>
    <n v="5299900"/>
    <n v="978075"/>
    <n v="915437"/>
    <n v="2173561"/>
    <n v="1232827"/>
  </r>
  <r>
    <x v="2"/>
    <x v="1"/>
    <x v="3"/>
    <n v="155"/>
    <n v="19"/>
    <n v="35"/>
    <n v="72"/>
    <n v="28"/>
    <n v="1"/>
    <s v="2011-12"/>
    <n v="5299900"/>
    <n v="978075"/>
    <n v="915437"/>
    <n v="2173561"/>
    <n v="1232827"/>
  </r>
  <r>
    <x v="3"/>
    <x v="0"/>
    <x v="0"/>
    <n v="5"/>
    <m/>
    <n v="2"/>
    <n v="3"/>
    <m/>
    <m/>
    <s v="2012-13"/>
    <n v="5313600"/>
    <n v="976055"/>
    <n v="914515"/>
    <n v="2174666"/>
    <n v="1248364"/>
  </r>
  <r>
    <x v="3"/>
    <x v="0"/>
    <x v="1"/>
    <n v="6"/>
    <m/>
    <n v="1"/>
    <n v="4"/>
    <m/>
    <n v="1"/>
    <s v="2012-13"/>
    <n v="5313600"/>
    <n v="976055"/>
    <n v="914515"/>
    <n v="2174666"/>
    <n v="1248364"/>
  </r>
  <r>
    <x v="3"/>
    <x v="0"/>
    <x v="2"/>
    <n v="6"/>
    <m/>
    <m/>
    <n v="6"/>
    <m/>
    <m/>
    <s v="2012-13"/>
    <n v="5313600"/>
    <n v="976055"/>
    <n v="914515"/>
    <n v="2174666"/>
    <n v="1248364"/>
  </r>
  <r>
    <x v="3"/>
    <x v="0"/>
    <x v="3"/>
    <n v="1"/>
    <m/>
    <m/>
    <n v="1"/>
    <m/>
    <m/>
    <s v="2012-13"/>
    <n v="5313600"/>
    <n v="976055"/>
    <n v="914515"/>
    <n v="2174666"/>
    <n v="1248364"/>
  </r>
  <r>
    <x v="3"/>
    <x v="1"/>
    <x v="0"/>
    <n v="135"/>
    <n v="2"/>
    <n v="35"/>
    <n v="66"/>
    <n v="26"/>
    <n v="6"/>
    <s v="2012-13"/>
    <n v="5313600"/>
    <n v="976055"/>
    <n v="914515"/>
    <n v="2174666"/>
    <n v="1248364"/>
  </r>
  <r>
    <x v="3"/>
    <x v="1"/>
    <x v="4"/>
    <n v="20"/>
    <m/>
    <n v="5"/>
    <n v="9"/>
    <n v="6"/>
    <m/>
    <s v="2012-13"/>
    <n v="5313600"/>
    <n v="976055"/>
    <n v="914515"/>
    <n v="2174666"/>
    <n v="1248364"/>
  </r>
  <r>
    <x v="3"/>
    <x v="1"/>
    <x v="5"/>
    <n v="708"/>
    <n v="47"/>
    <n v="128"/>
    <n v="295"/>
    <n v="207"/>
    <n v="31"/>
    <s v="2012-13"/>
    <n v="5313600"/>
    <n v="976055"/>
    <n v="914515"/>
    <n v="2174666"/>
    <n v="1248364"/>
  </r>
  <r>
    <x v="3"/>
    <x v="1"/>
    <x v="1"/>
    <n v="48"/>
    <n v="1"/>
    <n v="12"/>
    <n v="22"/>
    <n v="11"/>
    <n v="2"/>
    <s v="2012-13"/>
    <n v="5313600"/>
    <n v="976055"/>
    <n v="914515"/>
    <n v="2174666"/>
    <n v="1248364"/>
  </r>
  <r>
    <x v="3"/>
    <x v="1"/>
    <x v="6"/>
    <n v="33"/>
    <n v="3"/>
    <n v="7"/>
    <n v="7"/>
    <n v="14"/>
    <n v="2"/>
    <s v="2012-13"/>
    <n v="5313600"/>
    <n v="976055"/>
    <n v="914515"/>
    <n v="2174666"/>
    <n v="1248364"/>
  </r>
  <r>
    <x v="3"/>
    <x v="1"/>
    <x v="2"/>
    <n v="250"/>
    <n v="20"/>
    <n v="44"/>
    <n v="85"/>
    <n v="96"/>
    <n v="5"/>
    <s v="2012-13"/>
    <n v="5313600"/>
    <n v="976055"/>
    <n v="914515"/>
    <n v="2174666"/>
    <n v="1248364"/>
  </r>
  <r>
    <x v="3"/>
    <x v="1"/>
    <x v="3"/>
    <n v="107"/>
    <n v="16"/>
    <n v="21"/>
    <n v="30"/>
    <n v="29"/>
    <n v="11"/>
    <s v="2012-13"/>
    <n v="5313600"/>
    <n v="976055"/>
    <n v="914515"/>
    <n v="2174666"/>
    <n v="1248364"/>
  </r>
  <r>
    <x v="4"/>
    <x v="0"/>
    <x v="0"/>
    <n v="2"/>
    <m/>
    <n v="1"/>
    <n v="1"/>
    <m/>
    <m/>
    <s v="2013-14"/>
    <n v="5327700"/>
    <n v="973340"/>
    <n v="914383"/>
    <n v="2175770"/>
    <n v="1264207"/>
  </r>
  <r>
    <x v="4"/>
    <x v="0"/>
    <x v="1"/>
    <n v="6"/>
    <m/>
    <m/>
    <n v="6"/>
    <m/>
    <m/>
    <s v="2013-14"/>
    <n v="5327700"/>
    <n v="973340"/>
    <n v="914383"/>
    <n v="2175770"/>
    <n v="1264207"/>
  </r>
  <r>
    <x v="4"/>
    <x v="0"/>
    <x v="2"/>
    <n v="3"/>
    <m/>
    <n v="1"/>
    <n v="2"/>
    <m/>
    <m/>
    <s v="2013-14"/>
    <n v="5327700"/>
    <n v="973340"/>
    <n v="914383"/>
    <n v="2175770"/>
    <n v="1264207"/>
  </r>
  <r>
    <x v="4"/>
    <x v="0"/>
    <x v="3"/>
    <n v="4"/>
    <m/>
    <n v="1"/>
    <n v="2"/>
    <n v="1"/>
    <m/>
    <s v="2013-14"/>
    <n v="5327700"/>
    <n v="973340"/>
    <n v="914383"/>
    <n v="2175770"/>
    <n v="1264207"/>
  </r>
  <r>
    <x v="4"/>
    <x v="1"/>
    <x v="0"/>
    <n v="139"/>
    <n v="6"/>
    <n v="31"/>
    <n v="58"/>
    <n v="31"/>
    <n v="13"/>
    <s v="2013-14"/>
    <n v="5327700"/>
    <n v="973340"/>
    <n v="914383"/>
    <n v="2175770"/>
    <n v="1264207"/>
  </r>
  <r>
    <x v="4"/>
    <x v="1"/>
    <x v="4"/>
    <n v="33"/>
    <m/>
    <n v="6"/>
    <n v="17"/>
    <n v="9"/>
    <n v="1"/>
    <s v="2013-14"/>
    <n v="5327700"/>
    <n v="973340"/>
    <n v="914383"/>
    <n v="2175770"/>
    <n v="1264207"/>
  </r>
  <r>
    <x v="4"/>
    <x v="1"/>
    <x v="5"/>
    <n v="738"/>
    <n v="55"/>
    <n v="126"/>
    <n v="333"/>
    <n v="187"/>
    <n v="37"/>
    <s v="2013-14"/>
    <n v="5327700"/>
    <n v="973340"/>
    <n v="914383"/>
    <n v="2175770"/>
    <n v="1264207"/>
  </r>
  <r>
    <x v="4"/>
    <x v="1"/>
    <x v="1"/>
    <n v="40"/>
    <n v="2"/>
    <n v="11"/>
    <n v="16"/>
    <n v="9"/>
    <n v="2"/>
    <s v="2013-14"/>
    <n v="5327700"/>
    <n v="973340"/>
    <n v="914383"/>
    <n v="2175770"/>
    <n v="1264207"/>
  </r>
  <r>
    <x v="4"/>
    <x v="1"/>
    <x v="6"/>
    <n v="34"/>
    <n v="2"/>
    <n v="7"/>
    <n v="13"/>
    <n v="11"/>
    <n v="1"/>
    <s v="2013-14"/>
    <n v="5327700"/>
    <n v="973340"/>
    <n v="914383"/>
    <n v="2175770"/>
    <n v="1264207"/>
  </r>
  <r>
    <x v="4"/>
    <x v="1"/>
    <x v="2"/>
    <n v="205"/>
    <n v="12"/>
    <n v="27"/>
    <n v="94"/>
    <n v="64"/>
    <n v="8"/>
    <s v="2013-14"/>
    <n v="5327700"/>
    <n v="973340"/>
    <n v="914383"/>
    <n v="2175770"/>
    <n v="1264207"/>
  </r>
  <r>
    <x v="4"/>
    <x v="1"/>
    <x v="3"/>
    <n v="106"/>
    <n v="13"/>
    <n v="19"/>
    <n v="41"/>
    <n v="28"/>
    <n v="5"/>
    <s v="2013-14"/>
    <n v="5327700"/>
    <n v="973340"/>
    <n v="914383"/>
    <n v="2175770"/>
    <n v="1264207"/>
  </r>
  <r>
    <x v="5"/>
    <x v="0"/>
    <x v="0"/>
    <n v="6"/>
    <m/>
    <m/>
    <n v="6"/>
    <m/>
    <m/>
    <s v="2014-15"/>
    <n v="5347600"/>
    <n v="970875"/>
    <n v="915972"/>
    <n v="2176493"/>
    <n v="1284260"/>
  </r>
  <r>
    <x v="5"/>
    <x v="0"/>
    <x v="1"/>
    <n v="4"/>
    <m/>
    <m/>
    <n v="4"/>
    <m/>
    <m/>
    <s v="2014-15"/>
    <n v="5347600"/>
    <n v="970875"/>
    <n v="915972"/>
    <n v="2176493"/>
    <n v="1284260"/>
  </r>
  <r>
    <x v="5"/>
    <x v="0"/>
    <x v="2"/>
    <n v="2"/>
    <m/>
    <m/>
    <n v="2"/>
    <m/>
    <m/>
    <s v="2014-15"/>
    <n v="5347600"/>
    <n v="970875"/>
    <n v="915972"/>
    <n v="2176493"/>
    <n v="1284260"/>
  </r>
  <r>
    <x v="5"/>
    <x v="1"/>
    <x v="0"/>
    <n v="160"/>
    <n v="13"/>
    <n v="30"/>
    <n v="70"/>
    <n v="36"/>
    <n v="11"/>
    <s v="2014-15"/>
    <n v="5347600"/>
    <n v="970875"/>
    <n v="915972"/>
    <n v="2176493"/>
    <n v="1284260"/>
  </r>
  <r>
    <x v="5"/>
    <x v="1"/>
    <x v="4"/>
    <n v="25"/>
    <m/>
    <n v="3"/>
    <n v="14"/>
    <n v="8"/>
    <m/>
    <s v="2014-15"/>
    <n v="5347600"/>
    <n v="970875"/>
    <n v="915972"/>
    <n v="2176493"/>
    <n v="1284260"/>
  </r>
  <r>
    <x v="5"/>
    <x v="1"/>
    <x v="5"/>
    <n v="617"/>
    <n v="54"/>
    <n v="95"/>
    <n v="257"/>
    <n v="177"/>
    <n v="34"/>
    <s v="2014-15"/>
    <n v="5347600"/>
    <n v="970875"/>
    <n v="915972"/>
    <n v="2176493"/>
    <n v="1284260"/>
  </r>
  <r>
    <x v="5"/>
    <x v="1"/>
    <x v="1"/>
    <n v="39"/>
    <m/>
    <n v="15"/>
    <n v="14"/>
    <n v="9"/>
    <n v="1"/>
    <s v="2014-15"/>
    <n v="5347600"/>
    <n v="970875"/>
    <n v="915972"/>
    <n v="2176493"/>
    <n v="1284260"/>
  </r>
  <r>
    <x v="5"/>
    <x v="1"/>
    <x v="6"/>
    <n v="12"/>
    <m/>
    <n v="3"/>
    <n v="1"/>
    <n v="7"/>
    <n v="1"/>
    <s v="2014-15"/>
    <n v="5347600"/>
    <n v="970875"/>
    <n v="915972"/>
    <n v="2176493"/>
    <n v="1284260"/>
  </r>
  <r>
    <x v="5"/>
    <x v="1"/>
    <x v="2"/>
    <n v="136"/>
    <n v="13"/>
    <n v="20"/>
    <n v="44"/>
    <n v="49"/>
    <n v="10"/>
    <s v="2014-15"/>
    <n v="5347600"/>
    <n v="970875"/>
    <n v="915972"/>
    <n v="2176493"/>
    <n v="1284260"/>
  </r>
  <r>
    <x v="5"/>
    <x v="1"/>
    <x v="3"/>
    <n v="98"/>
    <n v="8"/>
    <n v="20"/>
    <n v="32"/>
    <n v="28"/>
    <n v="10"/>
    <s v="2014-15"/>
    <n v="5347600"/>
    <n v="970875"/>
    <n v="915972"/>
    <n v="2176493"/>
    <n v="1284260"/>
  </r>
  <r>
    <x v="6"/>
    <x v="0"/>
    <x v="0"/>
    <n v="1"/>
    <m/>
    <n v="1"/>
    <m/>
    <m/>
    <m/>
    <s v="2015-16"/>
    <n v="5373000"/>
    <n v="971022"/>
    <n v="920189"/>
    <n v="2181793"/>
    <n v="1299996"/>
  </r>
  <r>
    <x v="6"/>
    <x v="0"/>
    <x v="1"/>
    <n v="7"/>
    <m/>
    <n v="1"/>
    <n v="5"/>
    <m/>
    <n v="1"/>
    <s v="2015-16"/>
    <n v="5373000"/>
    <n v="971022"/>
    <n v="920189"/>
    <n v="2181793"/>
    <n v="1299996"/>
  </r>
  <r>
    <x v="6"/>
    <x v="0"/>
    <x v="2"/>
    <n v="1"/>
    <m/>
    <m/>
    <n v="1"/>
    <m/>
    <m/>
    <s v="2015-16"/>
    <n v="5373000"/>
    <n v="971022"/>
    <n v="920189"/>
    <n v="2181793"/>
    <n v="1299996"/>
  </r>
  <r>
    <x v="6"/>
    <x v="0"/>
    <x v="3"/>
    <n v="1"/>
    <m/>
    <m/>
    <n v="1"/>
    <m/>
    <m/>
    <s v="2015-16"/>
    <n v="5373000"/>
    <n v="971022"/>
    <n v="920189"/>
    <n v="2181793"/>
    <n v="1299996"/>
  </r>
  <r>
    <x v="6"/>
    <x v="1"/>
    <x v="0"/>
    <n v="156"/>
    <n v="14"/>
    <n v="34"/>
    <n v="68"/>
    <n v="35"/>
    <n v="5"/>
    <s v="2015-16"/>
    <n v="5373000"/>
    <n v="971022"/>
    <n v="920189"/>
    <n v="2181793"/>
    <n v="1299996"/>
  </r>
  <r>
    <x v="6"/>
    <x v="1"/>
    <x v="4"/>
    <n v="37"/>
    <m/>
    <n v="8"/>
    <n v="19"/>
    <n v="7"/>
    <n v="3"/>
    <s v="2015-16"/>
    <n v="5373000"/>
    <n v="971022"/>
    <n v="920189"/>
    <n v="2181793"/>
    <n v="1299996"/>
  </r>
  <r>
    <x v="6"/>
    <x v="1"/>
    <x v="5"/>
    <n v="708"/>
    <n v="46"/>
    <n v="102"/>
    <n v="303"/>
    <n v="221"/>
    <n v="36"/>
    <s v="2015-16"/>
    <n v="5373000"/>
    <n v="971022"/>
    <n v="920189"/>
    <n v="2181793"/>
    <n v="1299996"/>
  </r>
  <r>
    <x v="6"/>
    <x v="1"/>
    <x v="1"/>
    <n v="60"/>
    <n v="4"/>
    <n v="13"/>
    <n v="28"/>
    <n v="11"/>
    <n v="4"/>
    <s v="2015-16"/>
    <n v="5373000"/>
    <n v="971022"/>
    <n v="920189"/>
    <n v="2181793"/>
    <n v="1299996"/>
  </r>
  <r>
    <x v="6"/>
    <x v="1"/>
    <x v="6"/>
    <n v="29"/>
    <n v="1"/>
    <n v="2"/>
    <n v="14"/>
    <n v="9"/>
    <n v="3"/>
    <s v="2015-16"/>
    <n v="5373000"/>
    <n v="971022"/>
    <n v="920189"/>
    <n v="2181793"/>
    <n v="1299996"/>
  </r>
  <r>
    <x v="6"/>
    <x v="1"/>
    <x v="2"/>
    <n v="167"/>
    <n v="2"/>
    <n v="21"/>
    <n v="73"/>
    <n v="67"/>
    <n v="4"/>
    <s v="2015-16"/>
    <n v="5373000"/>
    <n v="971022"/>
    <n v="920189"/>
    <n v="2181793"/>
    <n v="1299996"/>
  </r>
  <r>
    <x v="6"/>
    <x v="1"/>
    <x v="3"/>
    <n v="109"/>
    <n v="10"/>
    <n v="24"/>
    <n v="37"/>
    <n v="31"/>
    <n v="7"/>
    <s v="2015-16"/>
    <n v="5373000"/>
    <n v="971022"/>
    <n v="920189"/>
    <n v="2181793"/>
    <n v="1299996"/>
  </r>
  <r>
    <x v="7"/>
    <x v="0"/>
    <x v="1"/>
    <n v="8"/>
    <m/>
    <m/>
    <n v="6"/>
    <m/>
    <n v="2"/>
    <s v="2016-17"/>
    <n v="5404700"/>
    <n v="972780"/>
    <n v="924449"/>
    <n v="2187067"/>
    <n v="1320404"/>
  </r>
  <r>
    <x v="7"/>
    <x v="0"/>
    <x v="2"/>
    <n v="6"/>
    <m/>
    <n v="1"/>
    <n v="4"/>
    <m/>
    <n v="1"/>
    <s v="2016-17"/>
    <n v="5404700"/>
    <n v="972780"/>
    <n v="924449"/>
    <n v="2187067"/>
    <n v="1320404"/>
  </r>
  <r>
    <x v="7"/>
    <x v="0"/>
    <x v="3"/>
    <n v="4"/>
    <m/>
    <m/>
    <n v="3"/>
    <m/>
    <n v="1"/>
    <s v="2016-17"/>
    <n v="5404700"/>
    <n v="972780"/>
    <n v="924449"/>
    <n v="2187067"/>
    <n v="1320404"/>
  </r>
  <r>
    <x v="7"/>
    <x v="1"/>
    <x v="0"/>
    <n v="129"/>
    <n v="5"/>
    <n v="25"/>
    <n v="72"/>
    <n v="22"/>
    <n v="5"/>
    <s v="2016-17"/>
    <n v="5404700"/>
    <n v="972780"/>
    <n v="924449"/>
    <n v="2187067"/>
    <n v="1320404"/>
  </r>
  <r>
    <x v="7"/>
    <x v="1"/>
    <x v="4"/>
    <n v="26"/>
    <m/>
    <n v="4"/>
    <n v="15"/>
    <n v="7"/>
    <m/>
    <s v="2016-17"/>
    <n v="5404700"/>
    <n v="972780"/>
    <n v="924449"/>
    <n v="2187067"/>
    <n v="1320404"/>
  </r>
  <r>
    <x v="7"/>
    <x v="1"/>
    <x v="5"/>
    <n v="752"/>
    <n v="54"/>
    <n v="122"/>
    <n v="349"/>
    <n v="190"/>
    <n v="37"/>
    <s v="2016-17"/>
    <n v="5404700"/>
    <n v="972780"/>
    <n v="924449"/>
    <n v="2187067"/>
    <n v="1320404"/>
  </r>
  <r>
    <x v="7"/>
    <x v="1"/>
    <x v="1"/>
    <n v="41"/>
    <n v="3"/>
    <n v="9"/>
    <n v="19"/>
    <n v="7"/>
    <n v="3"/>
    <s v="2016-17"/>
    <n v="5404700"/>
    <n v="972780"/>
    <n v="924449"/>
    <n v="2187067"/>
    <n v="1320404"/>
  </r>
  <r>
    <x v="7"/>
    <x v="1"/>
    <x v="6"/>
    <n v="33"/>
    <n v="2"/>
    <n v="5"/>
    <n v="12"/>
    <n v="12"/>
    <n v="2"/>
    <s v="2016-17"/>
    <n v="5404700"/>
    <n v="972780"/>
    <n v="924449"/>
    <n v="2187067"/>
    <n v="1320404"/>
  </r>
  <r>
    <x v="7"/>
    <x v="1"/>
    <x v="2"/>
    <n v="132"/>
    <n v="5"/>
    <n v="15"/>
    <n v="49"/>
    <n v="56"/>
    <n v="7"/>
    <s v="2016-17"/>
    <n v="5404700"/>
    <n v="972780"/>
    <n v="924449"/>
    <n v="2187067"/>
    <n v="1320404"/>
  </r>
  <r>
    <x v="7"/>
    <x v="1"/>
    <x v="3"/>
    <n v="135"/>
    <n v="9"/>
    <n v="21"/>
    <n v="58"/>
    <n v="40"/>
    <n v="7"/>
    <s v="2016-17"/>
    <n v="5404700"/>
    <n v="972780"/>
    <n v="924449"/>
    <n v="2187067"/>
    <n v="1320404"/>
  </r>
  <r>
    <x v="8"/>
    <x v="0"/>
    <x v="0"/>
    <n v="4"/>
    <m/>
    <n v="2"/>
    <n v="1"/>
    <m/>
    <n v="1"/>
    <s v="2017-18"/>
    <n v="5424800"/>
    <n v="973036"/>
    <n v="920015"/>
    <n v="2190171"/>
    <n v="1341578"/>
  </r>
  <r>
    <x v="8"/>
    <x v="0"/>
    <x v="1"/>
    <n v="14"/>
    <m/>
    <n v="1"/>
    <n v="6"/>
    <n v="2"/>
    <n v="5"/>
    <s v="2017-18"/>
    <n v="5424800"/>
    <n v="973036"/>
    <n v="920015"/>
    <n v="2190171"/>
    <n v="1341578"/>
  </r>
  <r>
    <x v="8"/>
    <x v="0"/>
    <x v="2"/>
    <n v="7"/>
    <m/>
    <n v="1"/>
    <n v="5"/>
    <m/>
    <n v="1"/>
    <s v="2017-18"/>
    <n v="5424800"/>
    <n v="973036"/>
    <n v="920015"/>
    <n v="2190171"/>
    <n v="1341578"/>
  </r>
  <r>
    <x v="8"/>
    <x v="0"/>
    <x v="3"/>
    <n v="3"/>
    <m/>
    <m/>
    <n v="1"/>
    <m/>
    <n v="2"/>
    <s v="2017-18"/>
    <n v="5424800"/>
    <n v="973036"/>
    <n v="920015"/>
    <n v="2190171"/>
    <n v="1341578"/>
  </r>
  <r>
    <x v="8"/>
    <x v="1"/>
    <x v="0"/>
    <n v="115"/>
    <n v="5"/>
    <n v="29"/>
    <n v="62"/>
    <n v="14"/>
    <n v="5"/>
    <s v="2017-18"/>
    <n v="5424800"/>
    <n v="973036"/>
    <n v="920015"/>
    <n v="2190171"/>
    <n v="1341578"/>
  </r>
  <r>
    <x v="8"/>
    <x v="1"/>
    <x v="4"/>
    <n v="16"/>
    <n v="1"/>
    <n v="1"/>
    <n v="8"/>
    <n v="6"/>
    <m/>
    <s v="2017-18"/>
    <n v="5424800"/>
    <n v="973036"/>
    <n v="920015"/>
    <n v="2190171"/>
    <n v="1341578"/>
  </r>
  <r>
    <x v="8"/>
    <x v="1"/>
    <x v="5"/>
    <n v="659"/>
    <n v="61"/>
    <n v="103"/>
    <n v="278"/>
    <n v="164"/>
    <n v="53"/>
    <s v="2017-18"/>
    <n v="5424800"/>
    <n v="973036"/>
    <n v="920015"/>
    <n v="2190171"/>
    <n v="1341578"/>
  </r>
  <r>
    <x v="8"/>
    <x v="1"/>
    <x v="1"/>
    <n v="35"/>
    <n v="2"/>
    <n v="10"/>
    <n v="16"/>
    <n v="7"/>
    <m/>
    <s v="2017-18"/>
    <n v="5424800"/>
    <n v="973036"/>
    <n v="920015"/>
    <n v="2190171"/>
    <n v="1341578"/>
  </r>
  <r>
    <x v="8"/>
    <x v="1"/>
    <x v="6"/>
    <n v="17"/>
    <m/>
    <n v="4"/>
    <n v="7"/>
    <n v="4"/>
    <n v="2"/>
    <s v="2017-18"/>
    <n v="5424800"/>
    <n v="973036"/>
    <n v="920015"/>
    <n v="2190171"/>
    <n v="1341578"/>
  </r>
  <r>
    <x v="8"/>
    <x v="1"/>
    <x v="2"/>
    <n v="140"/>
    <n v="4"/>
    <n v="19"/>
    <n v="63"/>
    <n v="46"/>
    <n v="8"/>
    <s v="2017-18"/>
    <n v="5424800"/>
    <n v="973036"/>
    <n v="920015"/>
    <n v="2190171"/>
    <n v="1341578"/>
  </r>
  <r>
    <x v="8"/>
    <x v="1"/>
    <x v="3"/>
    <n v="106"/>
    <n v="14"/>
    <n v="17"/>
    <n v="42"/>
    <n v="28"/>
    <n v="5"/>
    <s v="2017-18"/>
    <n v="5424800"/>
    <n v="973036"/>
    <n v="920015"/>
    <n v="2190171"/>
    <n v="1341578"/>
  </r>
  <r>
    <x v="9"/>
    <x v="0"/>
    <x v="0"/>
    <n v="4"/>
    <m/>
    <m/>
    <n v="1"/>
    <m/>
    <n v="3"/>
    <s v="2018-19"/>
    <n v="5438100"/>
    <n v="972972"/>
    <n v="910297"/>
    <n v="2192411"/>
    <n v="1362420"/>
  </r>
  <r>
    <x v="9"/>
    <x v="0"/>
    <x v="5"/>
    <n v="2"/>
    <m/>
    <n v="1"/>
    <n v="1"/>
    <m/>
    <m/>
    <s v="2018-19"/>
    <n v="5438100"/>
    <n v="972972"/>
    <n v="910297"/>
    <n v="2192411"/>
    <n v="1362420"/>
  </r>
  <r>
    <x v="9"/>
    <x v="0"/>
    <x v="1"/>
    <n v="7"/>
    <m/>
    <n v="1"/>
    <n v="3"/>
    <m/>
    <n v="3"/>
    <s v="2018-19"/>
    <n v="5438100"/>
    <n v="972972"/>
    <n v="910297"/>
    <n v="2192411"/>
    <n v="1362420"/>
  </r>
  <r>
    <x v="9"/>
    <x v="0"/>
    <x v="2"/>
    <n v="5"/>
    <m/>
    <m/>
    <n v="3"/>
    <m/>
    <n v="2"/>
    <s v="2018-19"/>
    <n v="5438100"/>
    <n v="972972"/>
    <n v="910297"/>
    <n v="2192411"/>
    <n v="1362420"/>
  </r>
  <r>
    <x v="9"/>
    <x v="0"/>
    <x v="3"/>
    <n v="3"/>
    <m/>
    <m/>
    <n v="3"/>
    <m/>
    <m/>
    <s v="2018-19"/>
    <n v="5438100"/>
    <n v="972972"/>
    <n v="910297"/>
    <n v="2192411"/>
    <n v="1362420"/>
  </r>
  <r>
    <x v="9"/>
    <x v="1"/>
    <x v="0"/>
    <n v="132"/>
    <n v="3"/>
    <n v="30"/>
    <n v="68"/>
    <n v="21"/>
    <n v="10"/>
    <s v="2018-19"/>
    <n v="5438100"/>
    <n v="972972"/>
    <n v="910297"/>
    <n v="2192411"/>
    <n v="1362420"/>
  </r>
  <r>
    <x v="9"/>
    <x v="1"/>
    <x v="4"/>
    <n v="21"/>
    <m/>
    <n v="1"/>
    <n v="13"/>
    <n v="6"/>
    <n v="1"/>
    <s v="2018-19"/>
    <n v="5438100"/>
    <n v="972972"/>
    <n v="910297"/>
    <n v="2192411"/>
    <n v="1362420"/>
  </r>
  <r>
    <x v="9"/>
    <x v="1"/>
    <x v="5"/>
    <n v="665"/>
    <n v="42"/>
    <n v="100"/>
    <n v="287"/>
    <n v="178"/>
    <n v="58"/>
    <s v="2018-19"/>
    <n v="5438100"/>
    <n v="972972"/>
    <n v="910297"/>
    <n v="2192411"/>
    <n v="1362420"/>
  </r>
  <r>
    <x v="9"/>
    <x v="1"/>
    <x v="1"/>
    <n v="35"/>
    <n v="4"/>
    <n v="8"/>
    <n v="13"/>
    <n v="6"/>
    <n v="4"/>
    <s v="2018-19"/>
    <n v="5438100"/>
    <n v="972972"/>
    <n v="910297"/>
    <n v="2192411"/>
    <n v="1362420"/>
  </r>
  <r>
    <x v="9"/>
    <x v="1"/>
    <x v="6"/>
    <n v="21"/>
    <n v="4"/>
    <n v="5"/>
    <n v="2"/>
    <n v="10"/>
    <m/>
    <s v="2018-19"/>
    <n v="5438100"/>
    <n v="972972"/>
    <n v="910297"/>
    <n v="2192411"/>
    <n v="1362420"/>
  </r>
  <r>
    <x v="9"/>
    <x v="1"/>
    <x v="2"/>
    <n v="185"/>
    <n v="14"/>
    <n v="27"/>
    <n v="76"/>
    <n v="57"/>
    <n v="11"/>
    <s v="2018-19"/>
    <n v="5438100"/>
    <n v="972972"/>
    <n v="910297"/>
    <n v="2192411"/>
    <n v="1362420"/>
  </r>
  <r>
    <x v="9"/>
    <x v="1"/>
    <x v="3"/>
    <n v="117"/>
    <n v="16"/>
    <n v="10"/>
    <n v="56"/>
    <n v="25"/>
    <n v="10"/>
    <s v="2018-19"/>
    <n v="5438100"/>
    <n v="972972"/>
    <n v="910297"/>
    <n v="2192411"/>
    <n v="1362420"/>
  </r>
  <r>
    <x v="10"/>
    <x v="0"/>
    <x v="0"/>
    <n v="3"/>
    <m/>
    <n v="1"/>
    <n v="2"/>
    <m/>
    <m/>
    <s v="2019-20"/>
    <n v="5463300"/>
    <n v="975449"/>
    <n v="901925"/>
    <n v="2197088"/>
    <n v="1388838"/>
  </r>
  <r>
    <x v="10"/>
    <x v="0"/>
    <x v="1"/>
    <n v="5"/>
    <m/>
    <m/>
    <n v="2"/>
    <m/>
    <n v="3"/>
    <s v="2019-20"/>
    <n v="5463300"/>
    <n v="975449"/>
    <n v="901925"/>
    <n v="2197088"/>
    <n v="1388838"/>
  </r>
  <r>
    <x v="10"/>
    <x v="0"/>
    <x v="2"/>
    <n v="4"/>
    <m/>
    <n v="1"/>
    <n v="2"/>
    <n v="1"/>
    <m/>
    <s v="2019-20"/>
    <n v="5463300"/>
    <n v="975449"/>
    <n v="901925"/>
    <n v="2197088"/>
    <n v="1388838"/>
  </r>
  <r>
    <x v="10"/>
    <x v="0"/>
    <x v="3"/>
    <n v="1"/>
    <m/>
    <m/>
    <n v="1"/>
    <m/>
    <m/>
    <s v="2019-20"/>
    <n v="5463300"/>
    <n v="975449"/>
    <n v="901925"/>
    <n v="2197088"/>
    <n v="1388838"/>
  </r>
  <r>
    <x v="10"/>
    <x v="1"/>
    <x v="0"/>
    <n v="122"/>
    <n v="4"/>
    <n v="18"/>
    <n v="66"/>
    <n v="26"/>
    <n v="8"/>
    <s v="2019-20"/>
    <n v="5463300"/>
    <n v="975449"/>
    <n v="901925"/>
    <n v="2197088"/>
    <n v="1388838"/>
  </r>
  <r>
    <x v="10"/>
    <x v="1"/>
    <x v="4"/>
    <n v="23"/>
    <n v="1"/>
    <n v="4"/>
    <n v="10"/>
    <n v="7"/>
    <n v="1"/>
    <s v="2019-20"/>
    <n v="5463300"/>
    <n v="975449"/>
    <n v="901925"/>
    <n v="2197088"/>
    <n v="1388838"/>
  </r>
  <r>
    <x v="10"/>
    <x v="1"/>
    <x v="5"/>
    <n v="571"/>
    <n v="54"/>
    <n v="73"/>
    <n v="254"/>
    <n v="139"/>
    <n v="51"/>
    <s v="2019-20"/>
    <n v="5463300"/>
    <n v="975449"/>
    <n v="901925"/>
    <n v="2197088"/>
    <n v="1388838"/>
  </r>
  <r>
    <x v="10"/>
    <x v="1"/>
    <x v="1"/>
    <n v="30"/>
    <n v="2"/>
    <n v="9"/>
    <n v="10"/>
    <n v="7"/>
    <n v="2"/>
    <s v="2019-20"/>
    <n v="5463300"/>
    <n v="975449"/>
    <n v="901925"/>
    <n v="2197088"/>
    <n v="1388838"/>
  </r>
  <r>
    <x v="10"/>
    <x v="1"/>
    <x v="6"/>
    <n v="12"/>
    <m/>
    <m/>
    <n v="5"/>
    <n v="7"/>
    <m/>
    <s v="2019-20"/>
    <n v="5463300"/>
    <n v="975449"/>
    <n v="901925"/>
    <n v="2197088"/>
    <n v="1388838"/>
  </r>
  <r>
    <x v="10"/>
    <x v="1"/>
    <x v="2"/>
    <n v="150"/>
    <n v="13"/>
    <n v="14"/>
    <n v="65"/>
    <n v="53"/>
    <n v="5"/>
    <s v="2019-20"/>
    <n v="5463300"/>
    <n v="975449"/>
    <n v="901925"/>
    <n v="2197088"/>
    <n v="1388838"/>
  </r>
  <r>
    <x v="10"/>
    <x v="1"/>
    <x v="3"/>
    <n v="106"/>
    <n v="12"/>
    <n v="15"/>
    <n v="37"/>
    <n v="29"/>
    <n v="13"/>
    <s v="2019-20"/>
    <n v="5463300"/>
    <n v="975449"/>
    <n v="901925"/>
    <n v="2197088"/>
    <n v="1388838"/>
  </r>
  <r>
    <x v="11"/>
    <x v="0"/>
    <x v="0"/>
    <n v="1"/>
    <n v="1"/>
    <m/>
    <m/>
    <m/>
    <m/>
    <s v="2020-21"/>
    <n v="5466000"/>
    <n v="972673"/>
    <n v="888196"/>
    <n v="2196482"/>
    <n v="1408649"/>
  </r>
  <r>
    <x v="11"/>
    <x v="0"/>
    <x v="1"/>
    <n v="4"/>
    <m/>
    <m/>
    <n v="3"/>
    <m/>
    <n v="1"/>
    <s v="2020-21"/>
    <n v="5466000"/>
    <n v="972673"/>
    <n v="888196"/>
    <n v="2196482"/>
    <n v="1408649"/>
  </r>
  <r>
    <x v="11"/>
    <x v="0"/>
    <x v="2"/>
    <n v="3"/>
    <n v="1"/>
    <m/>
    <n v="2"/>
    <m/>
    <m/>
    <s v="2020-21"/>
    <n v="5466000"/>
    <n v="972673"/>
    <n v="888196"/>
    <n v="2196482"/>
    <n v="1408649"/>
  </r>
  <r>
    <x v="11"/>
    <x v="1"/>
    <x v="0"/>
    <n v="141"/>
    <n v="9"/>
    <n v="22"/>
    <n v="61"/>
    <n v="42"/>
    <n v="7"/>
    <s v="2020-21"/>
    <n v="5466000"/>
    <n v="972673"/>
    <n v="888196"/>
    <n v="2196482"/>
    <n v="1408649"/>
  </r>
  <r>
    <x v="11"/>
    <x v="1"/>
    <x v="4"/>
    <n v="20"/>
    <n v="2"/>
    <n v="1"/>
    <n v="11"/>
    <n v="4"/>
    <n v="2"/>
    <s v="2020-21"/>
    <n v="5466000"/>
    <n v="972673"/>
    <n v="888196"/>
    <n v="2196482"/>
    <n v="1408649"/>
  </r>
  <r>
    <x v="11"/>
    <x v="1"/>
    <x v="5"/>
    <n v="510"/>
    <n v="61"/>
    <n v="62"/>
    <n v="235"/>
    <n v="111"/>
    <n v="41"/>
    <s v="2020-21"/>
    <n v="5466000"/>
    <n v="972673"/>
    <n v="888196"/>
    <n v="2196482"/>
    <n v="1408649"/>
  </r>
  <r>
    <x v="11"/>
    <x v="1"/>
    <x v="1"/>
    <n v="33"/>
    <n v="4"/>
    <n v="4"/>
    <n v="12"/>
    <n v="12"/>
    <n v="1"/>
    <s v="2020-21"/>
    <n v="5466000"/>
    <n v="972673"/>
    <n v="888196"/>
    <n v="2196482"/>
    <n v="1408649"/>
  </r>
  <r>
    <x v="11"/>
    <x v="1"/>
    <x v="6"/>
    <n v="14"/>
    <m/>
    <n v="3"/>
    <n v="5"/>
    <n v="5"/>
    <n v="1"/>
    <s v="2020-21"/>
    <n v="5466000"/>
    <n v="972673"/>
    <n v="888196"/>
    <n v="2196482"/>
    <n v="1408649"/>
  </r>
  <r>
    <x v="11"/>
    <x v="1"/>
    <x v="2"/>
    <n v="153"/>
    <n v="13"/>
    <n v="16"/>
    <n v="68"/>
    <n v="52"/>
    <n v="4"/>
    <s v="2020-21"/>
    <n v="5466000"/>
    <n v="972673"/>
    <n v="888196"/>
    <n v="2196482"/>
    <n v="1408649"/>
  </r>
  <r>
    <x v="11"/>
    <x v="1"/>
    <x v="3"/>
    <n v="138"/>
    <n v="27"/>
    <n v="18"/>
    <n v="60"/>
    <n v="24"/>
    <n v="9"/>
    <s v="2020-21"/>
    <n v="5466000"/>
    <n v="972673"/>
    <n v="888196"/>
    <n v="2196482"/>
    <n v="1408649"/>
  </r>
</pivotCacheRecords>
</file>

<file path=xl/pivotCache/pivotCacheRecords44.xml><?xml version="1.0" encoding="utf-8"?>
<pivotCacheRecords xmlns="http://schemas.openxmlformats.org/spreadsheetml/2006/main" xmlns:r="http://schemas.openxmlformats.org/officeDocument/2006/relationships" count="386">
  <r>
    <x v="0"/>
    <x v="0"/>
    <n v="1"/>
  </r>
  <r>
    <x v="1"/>
    <x v="1"/>
    <n v="1193"/>
  </r>
  <r>
    <x v="2"/>
    <x v="2"/>
    <n v="378"/>
  </r>
  <r>
    <x v="3"/>
    <x v="2"/>
    <n v="595"/>
  </r>
  <r>
    <x v="4"/>
    <x v="3"/>
    <n v="406"/>
  </r>
  <r>
    <x v="1"/>
    <x v="3"/>
    <n v="404"/>
  </r>
  <r>
    <x v="5"/>
    <x v="4"/>
    <n v="494"/>
  </r>
  <r>
    <x v="5"/>
    <x v="5"/>
    <n v="3961"/>
  </r>
  <r>
    <x v="2"/>
    <x v="6"/>
    <n v="270"/>
  </r>
  <r>
    <x v="1"/>
    <x v="7"/>
    <n v="278"/>
  </r>
  <r>
    <x v="4"/>
    <x v="8"/>
    <n v="1380"/>
  </r>
  <r>
    <x v="1"/>
    <x v="8"/>
    <n v="1226"/>
  </r>
  <r>
    <x v="6"/>
    <x v="9"/>
    <n v="570"/>
  </r>
  <r>
    <x v="7"/>
    <x v="9"/>
    <n v="632"/>
  </r>
  <r>
    <x v="8"/>
    <x v="10"/>
    <n v="311"/>
  </r>
  <r>
    <x v="0"/>
    <x v="10"/>
    <n v="280"/>
  </r>
  <r>
    <x v="9"/>
    <x v="10"/>
    <n v="294"/>
  </r>
  <r>
    <x v="10"/>
    <x v="10"/>
    <n v="377"/>
  </r>
  <r>
    <x v="9"/>
    <x v="11"/>
    <n v="259"/>
  </r>
  <r>
    <x v="7"/>
    <x v="11"/>
    <n v="281"/>
  </r>
  <r>
    <x v="2"/>
    <x v="12"/>
    <n v="721"/>
  </r>
  <r>
    <x v="5"/>
    <x v="13"/>
    <n v="1666"/>
  </r>
  <r>
    <x v="6"/>
    <x v="14"/>
    <n v="1090"/>
  </r>
  <r>
    <x v="5"/>
    <x v="14"/>
    <n v="1034"/>
  </r>
  <r>
    <x v="7"/>
    <x v="15"/>
    <n v="376"/>
  </r>
  <r>
    <x v="2"/>
    <x v="16"/>
    <n v="151"/>
  </r>
  <r>
    <x v="3"/>
    <x v="16"/>
    <n v="182"/>
  </r>
  <r>
    <x v="11"/>
    <x v="16"/>
    <n v="135"/>
  </r>
  <r>
    <x v="5"/>
    <x v="17"/>
    <n v="629"/>
  </r>
  <r>
    <x v="6"/>
    <x v="18"/>
    <n v="1385"/>
  </r>
  <r>
    <x v="6"/>
    <x v="19"/>
    <n v="691"/>
  </r>
  <r>
    <x v="7"/>
    <x v="20"/>
    <n v="521"/>
  </r>
  <r>
    <x v="4"/>
    <x v="21"/>
    <n v="94"/>
  </r>
  <r>
    <x v="4"/>
    <x v="22"/>
    <n v="556"/>
  </r>
  <r>
    <x v="9"/>
    <x v="23"/>
    <n v="351"/>
  </r>
  <r>
    <x v="7"/>
    <x v="23"/>
    <n v="381"/>
  </r>
  <r>
    <x v="1"/>
    <x v="24"/>
    <n v="966"/>
  </r>
  <r>
    <x v="5"/>
    <x v="1"/>
    <n v="1471"/>
  </r>
  <r>
    <x v="8"/>
    <x v="3"/>
    <n v="409"/>
  </r>
  <r>
    <x v="0"/>
    <x v="3"/>
    <n v="370"/>
  </r>
  <r>
    <x v="9"/>
    <x v="3"/>
    <n v="428"/>
  </r>
  <r>
    <x v="10"/>
    <x v="3"/>
    <n v="380"/>
  </r>
  <r>
    <x v="1"/>
    <x v="4"/>
    <n v="569"/>
  </r>
  <r>
    <x v="1"/>
    <x v="5"/>
    <n v="4105"/>
  </r>
  <r>
    <x v="8"/>
    <x v="7"/>
    <n v="265"/>
  </r>
  <r>
    <x v="0"/>
    <x v="7"/>
    <n v="350"/>
  </r>
  <r>
    <x v="10"/>
    <x v="7"/>
    <n v="540"/>
  </r>
  <r>
    <x v="8"/>
    <x v="8"/>
    <n v="1288"/>
  </r>
  <r>
    <x v="0"/>
    <x v="8"/>
    <n v="1238"/>
  </r>
  <r>
    <x v="10"/>
    <x v="8"/>
    <n v="1290"/>
  </r>
  <r>
    <x v="11"/>
    <x v="9"/>
    <n v="501"/>
  </r>
  <r>
    <x v="4"/>
    <x v="10"/>
    <n v="318"/>
  </r>
  <r>
    <x v="1"/>
    <x v="10"/>
    <n v="318"/>
  </r>
  <r>
    <x v="11"/>
    <x v="10"/>
    <n v="277"/>
  </r>
  <r>
    <x v="1"/>
    <x v="25"/>
    <n v="438"/>
  </r>
  <r>
    <x v="11"/>
    <x v="11"/>
    <n v="221"/>
  </r>
  <r>
    <x v="1"/>
    <x v="13"/>
    <n v="1117"/>
  </r>
  <r>
    <x v="1"/>
    <x v="26"/>
    <n v="5360"/>
  </r>
  <r>
    <x v="8"/>
    <x v="14"/>
    <n v="879"/>
  </r>
  <r>
    <x v="9"/>
    <x v="14"/>
    <n v="928"/>
  </r>
  <r>
    <x v="6"/>
    <x v="27"/>
    <n v="487"/>
  </r>
  <r>
    <x v="2"/>
    <x v="27"/>
    <n v="467"/>
  </r>
  <r>
    <x v="3"/>
    <x v="27"/>
    <n v="394"/>
  </r>
  <r>
    <x v="6"/>
    <x v="15"/>
    <n v="255"/>
  </r>
  <r>
    <x v="2"/>
    <x v="15"/>
    <n v="283"/>
  </r>
  <r>
    <x v="3"/>
    <x v="15"/>
    <n v="386"/>
  </r>
  <r>
    <x v="4"/>
    <x v="28"/>
    <n v="301"/>
  </r>
  <r>
    <x v="1"/>
    <x v="28"/>
    <n v="404"/>
  </r>
  <r>
    <x v="7"/>
    <x v="16"/>
    <n v="160"/>
  </r>
  <r>
    <x v="1"/>
    <x v="17"/>
    <n v="477"/>
  </r>
  <r>
    <x v="7"/>
    <x v="18"/>
    <n v="1265"/>
  </r>
  <r>
    <x v="5"/>
    <x v="29"/>
    <n v="51"/>
  </r>
  <r>
    <x v="5"/>
    <x v="30"/>
    <n v="763"/>
  </r>
  <r>
    <x v="11"/>
    <x v="20"/>
    <n v="451"/>
  </r>
  <r>
    <x v="11"/>
    <x v="21"/>
    <n v="66"/>
  </r>
  <r>
    <x v="4"/>
    <x v="31"/>
    <n v="653"/>
  </r>
  <r>
    <x v="1"/>
    <x v="31"/>
    <n v="667"/>
  </r>
  <r>
    <x v="3"/>
    <x v="22"/>
    <n v="534"/>
  </r>
  <r>
    <x v="11"/>
    <x v="22"/>
    <n v="455"/>
  </r>
  <r>
    <x v="11"/>
    <x v="23"/>
    <n v="355"/>
  </r>
  <r>
    <x v="5"/>
    <x v="24"/>
    <n v="1127"/>
  </r>
  <r>
    <x v="7"/>
    <x v="1"/>
    <n v="1349"/>
  </r>
  <r>
    <x v="4"/>
    <x v="2"/>
    <n v="392"/>
  </r>
  <r>
    <x v="6"/>
    <x v="3"/>
    <n v="377"/>
  </r>
  <r>
    <x v="2"/>
    <x v="3"/>
    <n v="419"/>
  </r>
  <r>
    <x v="3"/>
    <x v="3"/>
    <n v="361"/>
  </r>
  <r>
    <x v="11"/>
    <x v="5"/>
    <n v="2998"/>
  </r>
  <r>
    <x v="4"/>
    <x v="6"/>
    <n v="233"/>
  </r>
  <r>
    <x v="3"/>
    <x v="6"/>
    <n v="225"/>
  </r>
  <r>
    <x v="6"/>
    <x v="7"/>
    <n v="354"/>
  </r>
  <r>
    <x v="4"/>
    <x v="7"/>
    <n v="335"/>
  </r>
  <r>
    <x v="2"/>
    <x v="7"/>
    <n v="318"/>
  </r>
  <r>
    <x v="3"/>
    <x v="7"/>
    <n v="446"/>
  </r>
  <r>
    <x v="2"/>
    <x v="8"/>
    <n v="1275"/>
  </r>
  <r>
    <x v="1"/>
    <x v="9"/>
    <n v="581"/>
  </r>
  <r>
    <x v="11"/>
    <x v="25"/>
    <n v="454"/>
  </r>
  <r>
    <x v="4"/>
    <x v="12"/>
    <n v="767"/>
  </r>
  <r>
    <x v="3"/>
    <x v="12"/>
    <n v="674"/>
  </r>
  <r>
    <x v="6"/>
    <x v="13"/>
    <n v="1389"/>
  </r>
  <r>
    <x v="3"/>
    <x v="13"/>
    <n v="1550"/>
  </r>
  <r>
    <x v="11"/>
    <x v="13"/>
    <n v="1305"/>
  </r>
  <r>
    <x v="8"/>
    <x v="27"/>
    <n v="385"/>
  </r>
  <r>
    <x v="0"/>
    <x v="27"/>
    <n v="420"/>
  </r>
  <r>
    <x v="9"/>
    <x v="27"/>
    <n v="367"/>
  </r>
  <r>
    <x v="10"/>
    <x v="27"/>
    <n v="391"/>
  </r>
  <r>
    <x v="8"/>
    <x v="15"/>
    <n v="264"/>
  </r>
  <r>
    <x v="0"/>
    <x v="15"/>
    <n v="252"/>
  </r>
  <r>
    <x v="9"/>
    <x v="15"/>
    <n v="308"/>
  </r>
  <r>
    <x v="10"/>
    <x v="15"/>
    <n v="364"/>
  </r>
  <r>
    <x v="5"/>
    <x v="16"/>
    <n v="177"/>
  </r>
  <r>
    <x v="11"/>
    <x v="17"/>
    <n v="594"/>
  </r>
  <r>
    <x v="5"/>
    <x v="18"/>
    <n v="1198"/>
  </r>
  <r>
    <x v="7"/>
    <x v="29"/>
    <n v="47"/>
  </r>
  <r>
    <x v="4"/>
    <x v="19"/>
    <n v="585"/>
  </r>
  <r>
    <x v="1"/>
    <x v="19"/>
    <n v="627"/>
  </r>
  <r>
    <x v="7"/>
    <x v="30"/>
    <n v="863"/>
  </r>
  <r>
    <x v="1"/>
    <x v="20"/>
    <n v="469"/>
  </r>
  <r>
    <x v="1"/>
    <x v="21"/>
    <n v="72"/>
  </r>
  <r>
    <x v="11"/>
    <x v="32"/>
    <n v="1152"/>
  </r>
  <r>
    <x v="1"/>
    <x v="22"/>
    <n v="555"/>
  </r>
  <r>
    <x v="7"/>
    <x v="24"/>
    <n v="1018"/>
  </r>
  <r>
    <x v="3"/>
    <x v="1"/>
    <n v="1428"/>
  </r>
  <r>
    <x v="8"/>
    <x v="2"/>
    <n v="436"/>
  </r>
  <r>
    <x v="0"/>
    <x v="2"/>
    <n v="513"/>
  </r>
  <r>
    <x v="9"/>
    <x v="2"/>
    <n v="568"/>
  </r>
  <r>
    <x v="10"/>
    <x v="2"/>
    <n v="647"/>
  </r>
  <r>
    <x v="11"/>
    <x v="2"/>
    <n v="553"/>
  </r>
  <r>
    <x v="7"/>
    <x v="4"/>
    <n v="631"/>
  </r>
  <r>
    <x v="11"/>
    <x v="4"/>
    <n v="531"/>
  </r>
  <r>
    <x v="6"/>
    <x v="5"/>
    <n v="4211"/>
  </r>
  <r>
    <x v="7"/>
    <x v="5"/>
    <n v="4017"/>
  </r>
  <r>
    <x v="8"/>
    <x v="6"/>
    <n v="224"/>
  </r>
  <r>
    <x v="0"/>
    <x v="6"/>
    <n v="251"/>
  </r>
  <r>
    <x v="9"/>
    <x v="6"/>
    <n v="238"/>
  </r>
  <r>
    <x v="10"/>
    <x v="6"/>
    <n v="240"/>
  </r>
  <r>
    <x v="11"/>
    <x v="6"/>
    <n v="201"/>
  </r>
  <r>
    <x v="3"/>
    <x v="8"/>
    <n v="1148"/>
  </r>
  <r>
    <x v="5"/>
    <x v="9"/>
    <n v="583"/>
  </r>
  <r>
    <x v="2"/>
    <x v="10"/>
    <n v="334"/>
  </r>
  <r>
    <x v="3"/>
    <x v="10"/>
    <n v="365"/>
  </r>
  <r>
    <x v="4"/>
    <x v="25"/>
    <n v="416"/>
  </r>
  <r>
    <x v="3"/>
    <x v="25"/>
    <n v="531"/>
  </r>
  <r>
    <x v="6"/>
    <x v="11"/>
    <n v="240"/>
  </r>
  <r>
    <x v="5"/>
    <x v="11"/>
    <n v="258"/>
  </r>
  <r>
    <x v="8"/>
    <x v="12"/>
    <n v="646"/>
  </r>
  <r>
    <x v="0"/>
    <x v="12"/>
    <n v="638"/>
  </r>
  <r>
    <x v="9"/>
    <x v="12"/>
    <n v="570"/>
  </r>
  <r>
    <x v="10"/>
    <x v="12"/>
    <n v="626"/>
  </r>
  <r>
    <x v="11"/>
    <x v="12"/>
    <n v="455"/>
  </r>
  <r>
    <x v="7"/>
    <x v="13"/>
    <n v="1553"/>
  </r>
  <r>
    <x v="4"/>
    <x v="26"/>
    <n v="6406"/>
  </r>
  <r>
    <x v="7"/>
    <x v="14"/>
    <n v="1268"/>
  </r>
  <r>
    <x v="4"/>
    <x v="27"/>
    <n v="449"/>
  </r>
  <r>
    <x v="1"/>
    <x v="27"/>
    <n v="451"/>
  </r>
  <r>
    <x v="5"/>
    <x v="15"/>
    <n v="377"/>
  </r>
  <r>
    <x v="6"/>
    <x v="28"/>
    <n v="303"/>
  </r>
  <r>
    <x v="8"/>
    <x v="16"/>
    <n v="184"/>
  </r>
  <r>
    <x v="0"/>
    <x v="16"/>
    <n v="161"/>
  </r>
  <r>
    <x v="9"/>
    <x v="16"/>
    <n v="157"/>
  </r>
  <r>
    <x v="10"/>
    <x v="16"/>
    <n v="156"/>
  </r>
  <r>
    <x v="7"/>
    <x v="17"/>
    <n v="656"/>
  </r>
  <r>
    <x v="6"/>
    <x v="29"/>
    <n v="64"/>
  </r>
  <r>
    <x v="6"/>
    <x v="30"/>
    <n v="1150"/>
  </r>
  <r>
    <x v="5"/>
    <x v="20"/>
    <n v="447"/>
  </r>
  <r>
    <x v="6"/>
    <x v="31"/>
    <n v="620"/>
  </r>
  <r>
    <x v="4"/>
    <x v="32"/>
    <n v="1221"/>
  </r>
  <r>
    <x v="1"/>
    <x v="32"/>
    <n v="1152"/>
  </r>
  <r>
    <x v="6"/>
    <x v="23"/>
    <n v="493"/>
  </r>
  <r>
    <x v="5"/>
    <x v="23"/>
    <n v="378"/>
  </r>
  <r>
    <x v="7"/>
    <x v="0"/>
    <n v="1"/>
  </r>
  <r>
    <x v="4"/>
    <x v="1"/>
    <n v="1131"/>
  </r>
  <r>
    <x v="2"/>
    <x v="1"/>
    <n v="1136"/>
  </r>
  <r>
    <x v="8"/>
    <x v="1"/>
    <n v="1282"/>
  </r>
  <r>
    <x v="0"/>
    <x v="1"/>
    <n v="1340"/>
  </r>
  <r>
    <x v="10"/>
    <x v="1"/>
    <n v="1412"/>
  </r>
  <r>
    <x v="5"/>
    <x v="2"/>
    <n v="606"/>
  </r>
  <r>
    <x v="7"/>
    <x v="2"/>
    <n v="689"/>
  </r>
  <r>
    <x v="5"/>
    <x v="7"/>
    <n v="520"/>
  </r>
  <r>
    <x v="7"/>
    <x v="7"/>
    <n v="470"/>
  </r>
  <r>
    <x v="9"/>
    <x v="9"/>
    <n v="534"/>
  </r>
  <r>
    <x v="5"/>
    <x v="10"/>
    <n v="322"/>
  </r>
  <r>
    <x v="7"/>
    <x v="10"/>
    <n v="332"/>
  </r>
  <r>
    <x v="2"/>
    <x v="25"/>
    <n v="404"/>
  </r>
  <r>
    <x v="8"/>
    <x v="25"/>
    <n v="461"/>
  </r>
  <r>
    <x v="0"/>
    <x v="25"/>
    <n v="450"/>
  </r>
  <r>
    <x v="9"/>
    <x v="25"/>
    <n v="466"/>
  </r>
  <r>
    <x v="10"/>
    <x v="25"/>
    <n v="514"/>
  </r>
  <r>
    <x v="5"/>
    <x v="12"/>
    <n v="598"/>
  </r>
  <r>
    <x v="7"/>
    <x v="12"/>
    <n v="590"/>
  </r>
  <r>
    <x v="2"/>
    <x v="26"/>
    <n v="5841"/>
  </r>
  <r>
    <x v="8"/>
    <x v="26"/>
    <n v="5471"/>
  </r>
  <r>
    <x v="0"/>
    <x v="26"/>
    <n v="5380"/>
  </r>
  <r>
    <x v="9"/>
    <x v="26"/>
    <n v="5383"/>
  </r>
  <r>
    <x v="10"/>
    <x v="26"/>
    <n v="5447"/>
  </r>
  <r>
    <x v="1"/>
    <x v="14"/>
    <n v="862"/>
  </r>
  <r>
    <x v="11"/>
    <x v="15"/>
    <n v="293"/>
  </r>
  <r>
    <x v="5"/>
    <x v="28"/>
    <n v="373"/>
  </r>
  <r>
    <x v="7"/>
    <x v="28"/>
    <n v="374"/>
  </r>
  <r>
    <x v="3"/>
    <x v="17"/>
    <n v="613"/>
  </r>
  <r>
    <x v="4"/>
    <x v="29"/>
    <n v="39"/>
  </r>
  <r>
    <x v="1"/>
    <x v="29"/>
    <n v="54"/>
  </r>
  <r>
    <x v="11"/>
    <x v="29"/>
    <n v="37"/>
  </r>
  <r>
    <x v="5"/>
    <x v="19"/>
    <n v="615"/>
  </r>
  <r>
    <x v="7"/>
    <x v="19"/>
    <n v="606"/>
  </r>
  <r>
    <x v="6"/>
    <x v="20"/>
    <n v="478"/>
  </r>
  <r>
    <x v="2"/>
    <x v="20"/>
    <n v="460"/>
  </r>
  <r>
    <x v="8"/>
    <x v="20"/>
    <n v="441"/>
  </r>
  <r>
    <x v="0"/>
    <x v="20"/>
    <n v="444"/>
  </r>
  <r>
    <x v="9"/>
    <x v="20"/>
    <n v="430"/>
  </r>
  <r>
    <x v="10"/>
    <x v="20"/>
    <n v="455"/>
  </r>
  <r>
    <x v="2"/>
    <x v="21"/>
    <n v="62"/>
  </r>
  <r>
    <x v="8"/>
    <x v="21"/>
    <n v="59"/>
  </r>
  <r>
    <x v="0"/>
    <x v="21"/>
    <n v="81"/>
  </r>
  <r>
    <x v="9"/>
    <x v="21"/>
    <n v="68"/>
  </r>
  <r>
    <x v="10"/>
    <x v="21"/>
    <n v="78"/>
  </r>
  <r>
    <x v="5"/>
    <x v="31"/>
    <n v="644"/>
  </r>
  <r>
    <x v="7"/>
    <x v="31"/>
    <n v="706"/>
  </r>
  <r>
    <x v="6"/>
    <x v="32"/>
    <n v="1305"/>
  </r>
  <r>
    <x v="3"/>
    <x v="32"/>
    <n v="1453"/>
  </r>
  <r>
    <x v="3"/>
    <x v="23"/>
    <n v="388"/>
  </r>
  <r>
    <x v="6"/>
    <x v="24"/>
    <n v="1008"/>
  </r>
  <r>
    <x v="3"/>
    <x v="24"/>
    <n v="1005"/>
  </r>
  <r>
    <x v="11"/>
    <x v="1"/>
    <n v="1220"/>
  </r>
  <r>
    <x v="6"/>
    <x v="2"/>
    <n v="392"/>
  </r>
  <r>
    <x v="1"/>
    <x v="2"/>
    <n v="398"/>
  </r>
  <r>
    <x v="4"/>
    <x v="4"/>
    <n v="578"/>
  </r>
  <r>
    <x v="4"/>
    <x v="5"/>
    <n v="4084"/>
  </r>
  <r>
    <x v="2"/>
    <x v="5"/>
    <n v="4156"/>
  </r>
  <r>
    <x v="8"/>
    <x v="5"/>
    <n v="3959"/>
  </r>
  <r>
    <x v="0"/>
    <x v="5"/>
    <n v="4024"/>
  </r>
  <r>
    <x v="10"/>
    <x v="5"/>
    <n v="3760"/>
  </r>
  <r>
    <x v="11"/>
    <x v="7"/>
    <n v="359"/>
  </r>
  <r>
    <x v="3"/>
    <x v="9"/>
    <n v="622"/>
  </r>
  <r>
    <x v="6"/>
    <x v="10"/>
    <n v="315"/>
  </r>
  <r>
    <x v="4"/>
    <x v="11"/>
    <n v="234"/>
  </r>
  <r>
    <x v="1"/>
    <x v="11"/>
    <n v="212"/>
  </r>
  <r>
    <x v="3"/>
    <x v="11"/>
    <n v="326"/>
  </r>
  <r>
    <x v="6"/>
    <x v="12"/>
    <n v="667"/>
  </r>
  <r>
    <x v="1"/>
    <x v="12"/>
    <n v="700"/>
  </r>
  <r>
    <x v="4"/>
    <x v="13"/>
    <n v="1241"/>
  </r>
  <r>
    <x v="2"/>
    <x v="13"/>
    <n v="1303"/>
  </r>
  <r>
    <x v="0"/>
    <x v="13"/>
    <n v="1264"/>
  </r>
  <r>
    <x v="10"/>
    <x v="13"/>
    <n v="1472"/>
  </r>
  <r>
    <x v="3"/>
    <x v="14"/>
    <n v="1243"/>
  </r>
  <r>
    <x v="4"/>
    <x v="15"/>
    <n v="257"/>
  </r>
  <r>
    <x v="3"/>
    <x v="28"/>
    <n v="402"/>
  </r>
  <r>
    <x v="11"/>
    <x v="28"/>
    <n v="354"/>
  </r>
  <r>
    <x v="6"/>
    <x v="16"/>
    <n v="145"/>
  </r>
  <r>
    <x v="4"/>
    <x v="17"/>
    <n v="545"/>
  </r>
  <r>
    <x v="2"/>
    <x v="18"/>
    <n v="1027"/>
  </r>
  <r>
    <x v="8"/>
    <x v="18"/>
    <n v="1079"/>
  </r>
  <r>
    <x v="0"/>
    <x v="18"/>
    <n v="1193"/>
  </r>
  <r>
    <x v="9"/>
    <x v="18"/>
    <n v="1174"/>
  </r>
  <r>
    <x v="10"/>
    <x v="18"/>
    <n v="1291"/>
  </r>
  <r>
    <x v="3"/>
    <x v="29"/>
    <n v="58"/>
  </r>
  <r>
    <x v="3"/>
    <x v="19"/>
    <n v="587"/>
  </r>
  <r>
    <x v="11"/>
    <x v="19"/>
    <n v="595"/>
  </r>
  <r>
    <x v="2"/>
    <x v="30"/>
    <n v="881"/>
  </r>
  <r>
    <x v="8"/>
    <x v="30"/>
    <n v="738"/>
  </r>
  <r>
    <x v="0"/>
    <x v="30"/>
    <n v="751"/>
  </r>
  <r>
    <x v="9"/>
    <x v="30"/>
    <n v="800"/>
  </r>
  <r>
    <x v="10"/>
    <x v="30"/>
    <n v="939"/>
  </r>
  <r>
    <x v="3"/>
    <x v="31"/>
    <n v="741"/>
  </r>
  <r>
    <x v="11"/>
    <x v="31"/>
    <n v="581"/>
  </r>
  <r>
    <x v="5"/>
    <x v="32"/>
    <n v="1335"/>
  </r>
  <r>
    <x v="7"/>
    <x v="32"/>
    <n v="1328"/>
  </r>
  <r>
    <x v="6"/>
    <x v="22"/>
    <n v="667"/>
  </r>
  <r>
    <x v="5"/>
    <x v="22"/>
    <n v="463"/>
  </r>
  <r>
    <x v="7"/>
    <x v="22"/>
    <n v="505"/>
  </r>
  <r>
    <x v="4"/>
    <x v="23"/>
    <n v="435"/>
  </r>
  <r>
    <x v="1"/>
    <x v="23"/>
    <n v="380"/>
  </r>
  <r>
    <x v="9"/>
    <x v="24"/>
    <n v="1074"/>
  </r>
  <r>
    <x v="6"/>
    <x v="1"/>
    <n v="1126"/>
  </r>
  <r>
    <x v="9"/>
    <x v="1"/>
    <n v="1347"/>
  </r>
  <r>
    <x v="5"/>
    <x v="3"/>
    <n v="375"/>
  </r>
  <r>
    <x v="7"/>
    <x v="3"/>
    <n v="369"/>
  </r>
  <r>
    <x v="3"/>
    <x v="4"/>
    <n v="673"/>
  </r>
  <r>
    <x v="3"/>
    <x v="5"/>
    <n v="4128"/>
  </r>
  <r>
    <x v="6"/>
    <x v="6"/>
    <n v="287"/>
  </r>
  <r>
    <x v="1"/>
    <x v="6"/>
    <n v="260"/>
  </r>
  <r>
    <x v="9"/>
    <x v="7"/>
    <n v="469"/>
  </r>
  <r>
    <x v="6"/>
    <x v="8"/>
    <n v="1293"/>
  </r>
  <r>
    <x v="9"/>
    <x v="8"/>
    <n v="1244"/>
  </r>
  <r>
    <x v="5"/>
    <x v="8"/>
    <n v="1270"/>
  </r>
  <r>
    <x v="7"/>
    <x v="8"/>
    <n v="1276"/>
  </r>
  <r>
    <x v="4"/>
    <x v="9"/>
    <n v="810"/>
  </r>
  <r>
    <x v="2"/>
    <x v="9"/>
    <n v="697"/>
  </r>
  <r>
    <x v="8"/>
    <x v="9"/>
    <n v="549"/>
  </r>
  <r>
    <x v="0"/>
    <x v="9"/>
    <n v="594"/>
  </r>
  <r>
    <x v="10"/>
    <x v="9"/>
    <n v="572"/>
  </r>
  <r>
    <x v="5"/>
    <x v="25"/>
    <n v="455"/>
  </r>
  <r>
    <x v="7"/>
    <x v="25"/>
    <n v="490"/>
  </r>
  <r>
    <x v="5"/>
    <x v="26"/>
    <n v="5479"/>
  </r>
  <r>
    <x v="7"/>
    <x v="26"/>
    <n v="5281"/>
  </r>
  <r>
    <x v="11"/>
    <x v="26"/>
    <n v="4169"/>
  </r>
  <r>
    <x v="4"/>
    <x v="14"/>
    <n v="897"/>
  </r>
  <r>
    <x v="2"/>
    <x v="14"/>
    <n v="904"/>
  </r>
  <r>
    <x v="0"/>
    <x v="14"/>
    <n v="1000"/>
  </r>
  <r>
    <x v="10"/>
    <x v="14"/>
    <n v="1144"/>
  </r>
  <r>
    <x v="5"/>
    <x v="27"/>
    <n v="445"/>
  </r>
  <r>
    <x v="7"/>
    <x v="27"/>
    <n v="412"/>
  </r>
  <r>
    <x v="2"/>
    <x v="28"/>
    <n v="287"/>
  </r>
  <r>
    <x v="8"/>
    <x v="28"/>
    <n v="295"/>
  </r>
  <r>
    <x v="0"/>
    <x v="28"/>
    <n v="377"/>
  </r>
  <r>
    <x v="9"/>
    <x v="28"/>
    <n v="345"/>
  </r>
  <r>
    <x v="10"/>
    <x v="28"/>
    <n v="375"/>
  </r>
  <r>
    <x v="3"/>
    <x v="18"/>
    <n v="1332"/>
  </r>
  <r>
    <x v="11"/>
    <x v="18"/>
    <n v="1221"/>
  </r>
  <r>
    <x v="2"/>
    <x v="29"/>
    <n v="58"/>
  </r>
  <r>
    <x v="8"/>
    <x v="29"/>
    <n v="59"/>
  </r>
  <r>
    <x v="0"/>
    <x v="29"/>
    <n v="87"/>
  </r>
  <r>
    <x v="9"/>
    <x v="29"/>
    <n v="57"/>
  </r>
  <r>
    <x v="10"/>
    <x v="29"/>
    <n v="36"/>
  </r>
  <r>
    <x v="2"/>
    <x v="19"/>
    <n v="618"/>
  </r>
  <r>
    <x v="8"/>
    <x v="19"/>
    <n v="610"/>
  </r>
  <r>
    <x v="0"/>
    <x v="19"/>
    <n v="656"/>
  </r>
  <r>
    <x v="9"/>
    <x v="19"/>
    <n v="570"/>
  </r>
  <r>
    <x v="10"/>
    <x v="19"/>
    <n v="599"/>
  </r>
  <r>
    <x v="3"/>
    <x v="30"/>
    <n v="911"/>
  </r>
  <r>
    <x v="4"/>
    <x v="20"/>
    <n v="470"/>
  </r>
  <r>
    <x v="5"/>
    <x v="21"/>
    <n v="76"/>
  </r>
  <r>
    <x v="7"/>
    <x v="21"/>
    <n v="77"/>
  </r>
  <r>
    <x v="2"/>
    <x v="31"/>
    <n v="629"/>
  </r>
  <r>
    <x v="8"/>
    <x v="31"/>
    <n v="651"/>
  </r>
  <r>
    <x v="0"/>
    <x v="31"/>
    <n v="687"/>
  </r>
  <r>
    <x v="9"/>
    <x v="31"/>
    <n v="652"/>
  </r>
  <r>
    <x v="10"/>
    <x v="31"/>
    <n v="704"/>
  </r>
  <r>
    <x v="11"/>
    <x v="24"/>
    <n v="806"/>
  </r>
  <r>
    <x v="11"/>
    <x v="3"/>
    <n v="270"/>
  </r>
  <r>
    <x v="6"/>
    <x v="4"/>
    <n v="657"/>
  </r>
  <r>
    <x v="2"/>
    <x v="4"/>
    <n v="651"/>
  </r>
  <r>
    <x v="8"/>
    <x v="4"/>
    <n v="609"/>
  </r>
  <r>
    <x v="0"/>
    <x v="4"/>
    <n v="600"/>
  </r>
  <r>
    <x v="9"/>
    <x v="4"/>
    <n v="591"/>
  </r>
  <r>
    <x v="10"/>
    <x v="4"/>
    <n v="588"/>
  </r>
  <r>
    <x v="9"/>
    <x v="5"/>
    <n v="4028"/>
  </r>
  <r>
    <x v="5"/>
    <x v="6"/>
    <n v="238"/>
  </r>
  <r>
    <x v="7"/>
    <x v="6"/>
    <n v="231"/>
  </r>
  <r>
    <x v="11"/>
    <x v="8"/>
    <n v="927"/>
  </r>
  <r>
    <x v="6"/>
    <x v="25"/>
    <n v="415"/>
  </r>
  <r>
    <x v="2"/>
    <x v="11"/>
    <n v="204"/>
  </r>
  <r>
    <x v="8"/>
    <x v="11"/>
    <n v="225"/>
  </r>
  <r>
    <x v="0"/>
    <x v="11"/>
    <n v="231"/>
  </r>
  <r>
    <x v="10"/>
    <x v="11"/>
    <n v="318"/>
  </r>
  <r>
    <x v="8"/>
    <x v="13"/>
    <n v="1178"/>
  </r>
  <r>
    <x v="9"/>
    <x v="13"/>
    <n v="1480"/>
  </r>
  <r>
    <x v="6"/>
    <x v="26"/>
    <n v="7263"/>
  </r>
  <r>
    <x v="3"/>
    <x v="26"/>
    <n v="5455"/>
  </r>
  <r>
    <x v="11"/>
    <x v="14"/>
    <n v="1142"/>
  </r>
  <r>
    <x v="11"/>
    <x v="27"/>
    <n v="323"/>
  </r>
  <r>
    <x v="1"/>
    <x v="15"/>
    <n v="265"/>
  </r>
  <r>
    <x v="4"/>
    <x v="16"/>
    <n v="124"/>
  </r>
  <r>
    <x v="1"/>
    <x v="16"/>
    <n v="150"/>
  </r>
  <r>
    <x v="6"/>
    <x v="17"/>
    <n v="641"/>
  </r>
  <r>
    <x v="2"/>
    <x v="17"/>
    <n v="481"/>
  </r>
  <r>
    <x v="8"/>
    <x v="17"/>
    <n v="572"/>
  </r>
  <r>
    <x v="0"/>
    <x v="17"/>
    <n v="463"/>
  </r>
  <r>
    <x v="9"/>
    <x v="17"/>
    <n v="474"/>
  </r>
  <r>
    <x v="10"/>
    <x v="17"/>
    <n v="596"/>
  </r>
  <r>
    <x v="4"/>
    <x v="18"/>
    <n v="1266"/>
  </r>
  <r>
    <x v="1"/>
    <x v="18"/>
    <n v="1042"/>
  </r>
  <r>
    <x v="4"/>
    <x v="30"/>
    <n v="1022"/>
  </r>
  <r>
    <x v="1"/>
    <x v="30"/>
    <n v="790"/>
  </r>
  <r>
    <x v="11"/>
    <x v="30"/>
    <n v="732"/>
  </r>
  <r>
    <x v="3"/>
    <x v="20"/>
    <n v="464"/>
  </r>
  <r>
    <x v="6"/>
    <x v="21"/>
    <n v="110"/>
  </r>
  <r>
    <x v="3"/>
    <x v="21"/>
    <n v="65"/>
  </r>
  <r>
    <x v="2"/>
    <x v="32"/>
    <n v="1143"/>
  </r>
  <r>
    <x v="8"/>
    <x v="32"/>
    <n v="1124"/>
  </r>
  <r>
    <x v="0"/>
    <x v="32"/>
    <n v="1160"/>
  </r>
  <r>
    <x v="9"/>
    <x v="32"/>
    <n v="1335"/>
  </r>
  <r>
    <x v="10"/>
    <x v="32"/>
    <n v="1247"/>
  </r>
  <r>
    <x v="2"/>
    <x v="22"/>
    <n v="520"/>
  </r>
  <r>
    <x v="8"/>
    <x v="22"/>
    <n v="484"/>
  </r>
  <r>
    <x v="0"/>
    <x v="22"/>
    <n v="433"/>
  </r>
  <r>
    <x v="9"/>
    <x v="22"/>
    <n v="428"/>
  </r>
  <r>
    <x v="10"/>
    <x v="22"/>
    <n v="452"/>
  </r>
  <r>
    <x v="2"/>
    <x v="23"/>
    <n v="382"/>
  </r>
  <r>
    <x v="8"/>
    <x v="23"/>
    <n v="336"/>
  </r>
  <r>
    <x v="0"/>
    <x v="23"/>
    <n v="377"/>
  </r>
  <r>
    <x v="10"/>
    <x v="23"/>
    <n v="465"/>
  </r>
  <r>
    <x v="4"/>
    <x v="24"/>
    <n v="975"/>
  </r>
  <r>
    <x v="2"/>
    <x v="24"/>
    <n v="904"/>
  </r>
  <r>
    <x v="8"/>
    <x v="24"/>
    <n v="921"/>
  </r>
  <r>
    <x v="0"/>
    <x v="24"/>
    <n v="1050"/>
  </r>
  <r>
    <x v="10"/>
    <x v="24"/>
    <n v="1040"/>
  </r>
</pivotCacheRecords>
</file>

<file path=xl/pivotCache/pivotCacheRecords45.xml><?xml version="1.0" encoding="utf-8"?>
<pivotCacheRecords xmlns="http://schemas.openxmlformats.org/spreadsheetml/2006/main" xmlns:r="http://schemas.openxmlformats.org/officeDocument/2006/relationships" count="24">
  <r>
    <x v="0"/>
    <x v="0"/>
    <n v="55"/>
    <n v="48"/>
    <n v="4"/>
    <n v="2"/>
    <n v="1"/>
  </r>
  <r>
    <x v="0"/>
    <x v="1"/>
    <n v="48"/>
    <n v="43"/>
    <n v="2"/>
    <n v="2"/>
    <n v="1"/>
  </r>
  <r>
    <x v="0"/>
    <x v="2"/>
    <n v="51"/>
    <n v="44"/>
    <n v="4"/>
    <n v="2"/>
    <n v="1"/>
  </r>
  <r>
    <x v="0"/>
    <x v="3"/>
    <n v="39"/>
    <n v="36"/>
    <n v="2"/>
    <m/>
    <n v="1"/>
  </r>
  <r>
    <x v="0"/>
    <x v="4"/>
    <n v="26"/>
    <n v="25"/>
    <m/>
    <n v="1"/>
    <m/>
  </r>
  <r>
    <x v="0"/>
    <x v="5"/>
    <n v="32"/>
    <n v="27"/>
    <n v="2"/>
    <m/>
    <n v="3"/>
  </r>
  <r>
    <x v="0"/>
    <x v="6"/>
    <n v="37"/>
    <n v="33"/>
    <n v="2"/>
    <n v="2"/>
    <m/>
  </r>
  <r>
    <x v="0"/>
    <x v="7"/>
    <n v="35"/>
    <n v="31"/>
    <n v="3"/>
    <n v="1"/>
    <m/>
  </r>
  <r>
    <x v="0"/>
    <x v="8"/>
    <n v="41"/>
    <n v="34"/>
    <n v="3"/>
    <n v="3"/>
    <n v="1"/>
  </r>
  <r>
    <x v="0"/>
    <x v="9"/>
    <n v="38"/>
    <n v="36"/>
    <n v="1"/>
    <m/>
    <n v="1"/>
  </r>
  <r>
    <x v="0"/>
    <x v="10"/>
    <n v="25"/>
    <n v="21"/>
    <n v="2"/>
    <n v="2"/>
    <m/>
  </r>
  <r>
    <x v="0"/>
    <x v="11"/>
    <n v="43"/>
    <n v="36"/>
    <n v="2"/>
    <n v="4"/>
    <n v="1"/>
  </r>
  <r>
    <x v="1"/>
    <x v="0"/>
    <n v="7"/>
    <n v="5"/>
    <m/>
    <n v="2"/>
    <m/>
  </r>
  <r>
    <x v="1"/>
    <x v="1"/>
    <n v="4"/>
    <n v="2"/>
    <n v="1"/>
    <n v="1"/>
    <m/>
  </r>
  <r>
    <x v="1"/>
    <x v="2"/>
    <n v="8"/>
    <n v="7"/>
    <m/>
    <n v="1"/>
    <m/>
  </r>
  <r>
    <x v="1"/>
    <x v="3"/>
    <n v="7"/>
    <n v="4"/>
    <m/>
    <n v="2"/>
    <n v="1"/>
  </r>
  <r>
    <x v="1"/>
    <x v="4"/>
    <n v="5"/>
    <n v="4"/>
    <n v="1"/>
    <m/>
    <m/>
  </r>
  <r>
    <x v="1"/>
    <x v="5"/>
    <n v="8"/>
    <n v="4"/>
    <n v="1"/>
    <n v="1"/>
    <n v="2"/>
  </r>
  <r>
    <x v="1"/>
    <x v="6"/>
    <n v="8"/>
    <n v="6"/>
    <n v="1"/>
    <n v="1"/>
    <m/>
  </r>
  <r>
    <x v="1"/>
    <x v="7"/>
    <n v="9"/>
    <n v="5"/>
    <m/>
    <n v="4"/>
    <m/>
  </r>
  <r>
    <x v="1"/>
    <x v="8"/>
    <n v="3"/>
    <n v="3"/>
    <m/>
    <m/>
    <m/>
  </r>
  <r>
    <x v="1"/>
    <x v="9"/>
    <n v="6"/>
    <n v="4"/>
    <m/>
    <n v="1"/>
    <n v="1"/>
  </r>
  <r>
    <x v="1"/>
    <x v="10"/>
    <n v="2"/>
    <m/>
    <n v="1"/>
    <n v="1"/>
    <m/>
  </r>
  <r>
    <x v="1"/>
    <x v="11"/>
    <n v="10"/>
    <n v="8"/>
    <m/>
    <n v="1"/>
    <n v="1"/>
  </r>
</pivotCacheRecords>
</file>

<file path=xl/pivotCache/pivotCacheRecords46.xml><?xml version="1.0" encoding="utf-8"?>
<pivotCacheRecords xmlns="http://schemas.openxmlformats.org/spreadsheetml/2006/main" xmlns:r="http://schemas.openxmlformats.org/officeDocument/2006/relationships" count="134">
  <r>
    <x v="0"/>
    <x v="0"/>
    <x v="0"/>
    <n v="3"/>
    <m/>
    <n v="1"/>
    <n v="2"/>
    <m/>
    <m/>
  </r>
  <r>
    <x v="0"/>
    <x v="0"/>
    <x v="1"/>
    <n v="10"/>
    <m/>
    <n v="2"/>
    <n v="8"/>
    <m/>
    <m/>
  </r>
  <r>
    <x v="0"/>
    <x v="0"/>
    <x v="2"/>
    <n v="2"/>
    <m/>
    <n v="1"/>
    <n v="1"/>
    <m/>
    <m/>
  </r>
  <r>
    <x v="0"/>
    <x v="0"/>
    <x v="3"/>
    <n v="3"/>
    <m/>
    <n v="1"/>
    <n v="2"/>
    <m/>
    <m/>
  </r>
  <r>
    <x v="0"/>
    <x v="1"/>
    <x v="0"/>
    <n v="152"/>
    <n v="8"/>
    <n v="42"/>
    <n v="76"/>
    <n v="26"/>
    <m/>
  </r>
  <r>
    <x v="0"/>
    <x v="1"/>
    <x v="4"/>
    <n v="31"/>
    <n v="1"/>
    <n v="3"/>
    <n v="19"/>
    <n v="8"/>
    <m/>
  </r>
  <r>
    <x v="0"/>
    <x v="1"/>
    <x v="5"/>
    <n v="569"/>
    <n v="46"/>
    <n v="109"/>
    <n v="266"/>
    <n v="148"/>
    <m/>
  </r>
  <r>
    <x v="0"/>
    <x v="1"/>
    <x v="1"/>
    <n v="43"/>
    <n v="5"/>
    <n v="9"/>
    <n v="20"/>
    <n v="9"/>
    <m/>
  </r>
  <r>
    <x v="0"/>
    <x v="1"/>
    <x v="6"/>
    <n v="23"/>
    <n v="4"/>
    <n v="2"/>
    <n v="8"/>
    <n v="9"/>
    <m/>
  </r>
  <r>
    <x v="0"/>
    <x v="1"/>
    <x v="2"/>
    <n v="252"/>
    <n v="21"/>
    <n v="43"/>
    <n v="112"/>
    <n v="75"/>
    <n v="1"/>
  </r>
  <r>
    <x v="0"/>
    <x v="1"/>
    <x v="3"/>
    <n v="135"/>
    <n v="21"/>
    <n v="30"/>
    <n v="51"/>
    <n v="33"/>
    <m/>
  </r>
  <r>
    <x v="1"/>
    <x v="0"/>
    <x v="0"/>
    <n v="2"/>
    <m/>
    <m/>
    <n v="2"/>
    <m/>
    <m/>
  </r>
  <r>
    <x v="1"/>
    <x v="0"/>
    <x v="5"/>
    <n v="7"/>
    <m/>
    <m/>
    <n v="7"/>
    <m/>
    <m/>
  </r>
  <r>
    <x v="1"/>
    <x v="0"/>
    <x v="1"/>
    <n v="9"/>
    <m/>
    <n v="1"/>
    <n v="8"/>
    <m/>
    <m/>
  </r>
  <r>
    <x v="1"/>
    <x v="0"/>
    <x v="6"/>
    <n v="1"/>
    <m/>
    <n v="1"/>
    <m/>
    <m/>
    <m/>
  </r>
  <r>
    <x v="1"/>
    <x v="0"/>
    <x v="2"/>
    <n v="5"/>
    <m/>
    <n v="1"/>
    <n v="4"/>
    <m/>
    <m/>
  </r>
  <r>
    <x v="1"/>
    <x v="0"/>
    <x v="3"/>
    <n v="4"/>
    <m/>
    <n v="1"/>
    <n v="3"/>
    <m/>
    <m/>
  </r>
  <r>
    <x v="1"/>
    <x v="1"/>
    <x v="0"/>
    <n v="157"/>
    <n v="14"/>
    <n v="43"/>
    <n v="75"/>
    <n v="25"/>
    <m/>
  </r>
  <r>
    <x v="1"/>
    <x v="1"/>
    <x v="4"/>
    <n v="49"/>
    <n v="1"/>
    <n v="13"/>
    <n v="22"/>
    <n v="13"/>
    <m/>
  </r>
  <r>
    <x v="1"/>
    <x v="1"/>
    <x v="5"/>
    <n v="651"/>
    <n v="54"/>
    <n v="130"/>
    <n v="299"/>
    <n v="168"/>
    <m/>
  </r>
  <r>
    <x v="1"/>
    <x v="1"/>
    <x v="1"/>
    <n v="32"/>
    <m/>
    <n v="17"/>
    <n v="11"/>
    <n v="4"/>
    <m/>
  </r>
  <r>
    <x v="1"/>
    <x v="1"/>
    <x v="6"/>
    <n v="29"/>
    <n v="2"/>
    <n v="5"/>
    <n v="10"/>
    <n v="12"/>
    <m/>
  </r>
  <r>
    <x v="1"/>
    <x v="1"/>
    <x v="2"/>
    <n v="239"/>
    <n v="22"/>
    <n v="47"/>
    <n v="92"/>
    <n v="77"/>
    <n v="1"/>
  </r>
  <r>
    <x v="1"/>
    <x v="1"/>
    <x v="3"/>
    <n v="147"/>
    <n v="20"/>
    <n v="28"/>
    <n v="74"/>
    <n v="24"/>
    <n v="1"/>
  </r>
  <r>
    <x v="2"/>
    <x v="0"/>
    <x v="0"/>
    <n v="1"/>
    <m/>
    <m/>
    <n v="1"/>
    <m/>
    <m/>
  </r>
  <r>
    <x v="2"/>
    <x v="0"/>
    <x v="5"/>
    <n v="1"/>
    <m/>
    <m/>
    <n v="1"/>
    <m/>
    <m/>
  </r>
  <r>
    <x v="2"/>
    <x v="0"/>
    <x v="1"/>
    <n v="8"/>
    <m/>
    <n v="2"/>
    <n v="6"/>
    <m/>
    <m/>
  </r>
  <r>
    <x v="2"/>
    <x v="0"/>
    <x v="6"/>
    <n v="3"/>
    <m/>
    <m/>
    <n v="3"/>
    <m/>
    <m/>
  </r>
  <r>
    <x v="2"/>
    <x v="0"/>
    <x v="2"/>
    <n v="7"/>
    <m/>
    <m/>
    <n v="7"/>
    <m/>
    <m/>
  </r>
  <r>
    <x v="2"/>
    <x v="0"/>
    <x v="3"/>
    <n v="8"/>
    <m/>
    <m/>
    <n v="8"/>
    <m/>
    <m/>
  </r>
  <r>
    <x v="2"/>
    <x v="1"/>
    <x v="0"/>
    <n v="147"/>
    <n v="10"/>
    <n v="34"/>
    <n v="73"/>
    <n v="30"/>
    <m/>
  </r>
  <r>
    <x v="2"/>
    <x v="1"/>
    <x v="4"/>
    <n v="40"/>
    <n v="1"/>
    <n v="9"/>
    <n v="17"/>
    <n v="13"/>
    <m/>
  </r>
  <r>
    <x v="2"/>
    <x v="1"/>
    <x v="5"/>
    <n v="680"/>
    <n v="54"/>
    <n v="122"/>
    <n v="314"/>
    <n v="188"/>
    <n v="2"/>
  </r>
  <r>
    <x v="2"/>
    <x v="1"/>
    <x v="1"/>
    <n v="48"/>
    <n v="3"/>
    <n v="15"/>
    <n v="26"/>
    <n v="4"/>
    <m/>
  </r>
  <r>
    <x v="2"/>
    <x v="1"/>
    <x v="6"/>
    <n v="34"/>
    <n v="3"/>
    <n v="10"/>
    <n v="14"/>
    <n v="7"/>
    <m/>
  </r>
  <r>
    <x v="2"/>
    <x v="1"/>
    <x v="2"/>
    <n v="282"/>
    <n v="29"/>
    <n v="43"/>
    <n v="128"/>
    <n v="80"/>
    <n v="2"/>
  </r>
  <r>
    <x v="2"/>
    <x v="1"/>
    <x v="3"/>
    <n v="155"/>
    <n v="19"/>
    <n v="35"/>
    <n v="72"/>
    <n v="28"/>
    <n v="1"/>
  </r>
  <r>
    <x v="3"/>
    <x v="0"/>
    <x v="0"/>
    <n v="5"/>
    <m/>
    <n v="2"/>
    <n v="3"/>
    <m/>
    <m/>
  </r>
  <r>
    <x v="3"/>
    <x v="0"/>
    <x v="1"/>
    <n v="6"/>
    <m/>
    <n v="1"/>
    <n v="4"/>
    <m/>
    <n v="1"/>
  </r>
  <r>
    <x v="3"/>
    <x v="0"/>
    <x v="2"/>
    <n v="6"/>
    <m/>
    <m/>
    <n v="6"/>
    <m/>
    <m/>
  </r>
  <r>
    <x v="3"/>
    <x v="0"/>
    <x v="3"/>
    <n v="1"/>
    <m/>
    <m/>
    <n v="1"/>
    <m/>
    <m/>
  </r>
  <r>
    <x v="3"/>
    <x v="1"/>
    <x v="0"/>
    <n v="135"/>
    <n v="2"/>
    <n v="35"/>
    <n v="66"/>
    <n v="26"/>
    <n v="6"/>
  </r>
  <r>
    <x v="3"/>
    <x v="1"/>
    <x v="4"/>
    <n v="20"/>
    <m/>
    <n v="5"/>
    <n v="9"/>
    <n v="6"/>
    <m/>
  </r>
  <r>
    <x v="3"/>
    <x v="1"/>
    <x v="5"/>
    <n v="708"/>
    <n v="47"/>
    <n v="128"/>
    <n v="295"/>
    <n v="207"/>
    <n v="31"/>
  </r>
  <r>
    <x v="3"/>
    <x v="1"/>
    <x v="1"/>
    <n v="48"/>
    <n v="1"/>
    <n v="12"/>
    <n v="22"/>
    <n v="11"/>
    <n v="2"/>
  </r>
  <r>
    <x v="3"/>
    <x v="1"/>
    <x v="6"/>
    <n v="33"/>
    <n v="3"/>
    <n v="7"/>
    <n v="7"/>
    <n v="14"/>
    <n v="2"/>
  </r>
  <r>
    <x v="3"/>
    <x v="1"/>
    <x v="2"/>
    <n v="250"/>
    <n v="20"/>
    <n v="44"/>
    <n v="85"/>
    <n v="96"/>
    <n v="5"/>
  </r>
  <r>
    <x v="3"/>
    <x v="1"/>
    <x v="3"/>
    <n v="107"/>
    <n v="16"/>
    <n v="21"/>
    <n v="30"/>
    <n v="29"/>
    <n v="11"/>
  </r>
  <r>
    <x v="4"/>
    <x v="0"/>
    <x v="0"/>
    <n v="2"/>
    <m/>
    <n v="1"/>
    <n v="1"/>
    <m/>
    <m/>
  </r>
  <r>
    <x v="4"/>
    <x v="0"/>
    <x v="1"/>
    <n v="6"/>
    <m/>
    <m/>
    <n v="6"/>
    <m/>
    <m/>
  </r>
  <r>
    <x v="4"/>
    <x v="0"/>
    <x v="2"/>
    <n v="3"/>
    <m/>
    <n v="1"/>
    <n v="2"/>
    <m/>
    <m/>
  </r>
  <r>
    <x v="4"/>
    <x v="0"/>
    <x v="3"/>
    <n v="4"/>
    <m/>
    <n v="1"/>
    <n v="2"/>
    <n v="1"/>
    <m/>
  </r>
  <r>
    <x v="4"/>
    <x v="1"/>
    <x v="0"/>
    <n v="139"/>
    <n v="6"/>
    <n v="31"/>
    <n v="58"/>
    <n v="31"/>
    <n v="13"/>
  </r>
  <r>
    <x v="4"/>
    <x v="1"/>
    <x v="4"/>
    <n v="33"/>
    <m/>
    <n v="6"/>
    <n v="17"/>
    <n v="9"/>
    <n v="1"/>
  </r>
  <r>
    <x v="4"/>
    <x v="1"/>
    <x v="5"/>
    <n v="738"/>
    <n v="55"/>
    <n v="126"/>
    <n v="333"/>
    <n v="187"/>
    <n v="37"/>
  </r>
  <r>
    <x v="4"/>
    <x v="1"/>
    <x v="1"/>
    <n v="40"/>
    <n v="2"/>
    <n v="11"/>
    <n v="16"/>
    <n v="9"/>
    <n v="2"/>
  </r>
  <r>
    <x v="4"/>
    <x v="1"/>
    <x v="6"/>
    <n v="34"/>
    <n v="2"/>
    <n v="7"/>
    <n v="13"/>
    <n v="11"/>
    <n v="1"/>
  </r>
  <r>
    <x v="4"/>
    <x v="1"/>
    <x v="2"/>
    <n v="205"/>
    <n v="12"/>
    <n v="27"/>
    <n v="94"/>
    <n v="64"/>
    <n v="8"/>
  </r>
  <r>
    <x v="4"/>
    <x v="1"/>
    <x v="3"/>
    <n v="106"/>
    <n v="13"/>
    <n v="19"/>
    <n v="41"/>
    <n v="28"/>
    <n v="5"/>
  </r>
  <r>
    <x v="5"/>
    <x v="0"/>
    <x v="0"/>
    <n v="6"/>
    <m/>
    <m/>
    <n v="6"/>
    <m/>
    <m/>
  </r>
  <r>
    <x v="5"/>
    <x v="0"/>
    <x v="1"/>
    <n v="4"/>
    <m/>
    <m/>
    <n v="4"/>
    <m/>
    <m/>
  </r>
  <r>
    <x v="5"/>
    <x v="0"/>
    <x v="2"/>
    <n v="2"/>
    <m/>
    <m/>
    <n v="2"/>
    <m/>
    <m/>
  </r>
  <r>
    <x v="5"/>
    <x v="1"/>
    <x v="0"/>
    <n v="160"/>
    <n v="13"/>
    <n v="30"/>
    <n v="70"/>
    <n v="36"/>
    <n v="11"/>
  </r>
  <r>
    <x v="5"/>
    <x v="1"/>
    <x v="4"/>
    <n v="25"/>
    <m/>
    <n v="3"/>
    <n v="14"/>
    <n v="8"/>
    <m/>
  </r>
  <r>
    <x v="5"/>
    <x v="1"/>
    <x v="5"/>
    <n v="617"/>
    <n v="54"/>
    <n v="95"/>
    <n v="257"/>
    <n v="177"/>
    <n v="34"/>
  </r>
  <r>
    <x v="5"/>
    <x v="1"/>
    <x v="1"/>
    <n v="39"/>
    <m/>
    <n v="15"/>
    <n v="14"/>
    <n v="9"/>
    <n v="1"/>
  </r>
  <r>
    <x v="5"/>
    <x v="1"/>
    <x v="6"/>
    <n v="12"/>
    <m/>
    <n v="3"/>
    <n v="1"/>
    <n v="7"/>
    <n v="1"/>
  </r>
  <r>
    <x v="5"/>
    <x v="1"/>
    <x v="2"/>
    <n v="136"/>
    <n v="13"/>
    <n v="20"/>
    <n v="44"/>
    <n v="49"/>
    <n v="10"/>
  </r>
  <r>
    <x v="5"/>
    <x v="1"/>
    <x v="3"/>
    <n v="98"/>
    <n v="8"/>
    <n v="20"/>
    <n v="32"/>
    <n v="28"/>
    <n v="10"/>
  </r>
  <r>
    <x v="6"/>
    <x v="0"/>
    <x v="0"/>
    <n v="1"/>
    <m/>
    <n v="1"/>
    <m/>
    <m/>
    <m/>
  </r>
  <r>
    <x v="6"/>
    <x v="0"/>
    <x v="1"/>
    <n v="7"/>
    <m/>
    <n v="1"/>
    <n v="5"/>
    <m/>
    <n v="1"/>
  </r>
  <r>
    <x v="6"/>
    <x v="0"/>
    <x v="2"/>
    <n v="1"/>
    <m/>
    <m/>
    <n v="1"/>
    <m/>
    <m/>
  </r>
  <r>
    <x v="6"/>
    <x v="0"/>
    <x v="3"/>
    <n v="1"/>
    <m/>
    <m/>
    <n v="1"/>
    <m/>
    <m/>
  </r>
  <r>
    <x v="6"/>
    <x v="1"/>
    <x v="0"/>
    <n v="156"/>
    <n v="14"/>
    <n v="34"/>
    <n v="68"/>
    <n v="35"/>
    <n v="5"/>
  </r>
  <r>
    <x v="6"/>
    <x v="1"/>
    <x v="4"/>
    <n v="37"/>
    <m/>
    <n v="8"/>
    <n v="19"/>
    <n v="7"/>
    <n v="3"/>
  </r>
  <r>
    <x v="6"/>
    <x v="1"/>
    <x v="5"/>
    <n v="708"/>
    <n v="46"/>
    <n v="102"/>
    <n v="303"/>
    <n v="221"/>
    <n v="36"/>
  </r>
  <r>
    <x v="6"/>
    <x v="1"/>
    <x v="1"/>
    <n v="60"/>
    <n v="4"/>
    <n v="13"/>
    <n v="28"/>
    <n v="11"/>
    <n v="4"/>
  </r>
  <r>
    <x v="6"/>
    <x v="1"/>
    <x v="6"/>
    <n v="29"/>
    <n v="1"/>
    <n v="2"/>
    <n v="14"/>
    <n v="9"/>
    <n v="3"/>
  </r>
  <r>
    <x v="6"/>
    <x v="1"/>
    <x v="2"/>
    <n v="167"/>
    <n v="2"/>
    <n v="21"/>
    <n v="73"/>
    <n v="67"/>
    <n v="4"/>
  </r>
  <r>
    <x v="6"/>
    <x v="1"/>
    <x v="3"/>
    <n v="109"/>
    <n v="10"/>
    <n v="24"/>
    <n v="37"/>
    <n v="31"/>
    <n v="7"/>
  </r>
  <r>
    <x v="7"/>
    <x v="0"/>
    <x v="1"/>
    <n v="8"/>
    <m/>
    <m/>
    <n v="6"/>
    <m/>
    <n v="2"/>
  </r>
  <r>
    <x v="7"/>
    <x v="0"/>
    <x v="2"/>
    <n v="6"/>
    <m/>
    <n v="1"/>
    <n v="4"/>
    <m/>
    <n v="1"/>
  </r>
  <r>
    <x v="7"/>
    <x v="0"/>
    <x v="3"/>
    <n v="4"/>
    <m/>
    <m/>
    <n v="3"/>
    <m/>
    <n v="1"/>
  </r>
  <r>
    <x v="7"/>
    <x v="1"/>
    <x v="0"/>
    <n v="129"/>
    <n v="5"/>
    <n v="25"/>
    <n v="72"/>
    <n v="22"/>
    <n v="5"/>
  </r>
  <r>
    <x v="7"/>
    <x v="1"/>
    <x v="4"/>
    <n v="26"/>
    <m/>
    <n v="4"/>
    <n v="15"/>
    <n v="7"/>
    <m/>
  </r>
  <r>
    <x v="7"/>
    <x v="1"/>
    <x v="5"/>
    <n v="752"/>
    <n v="54"/>
    <n v="122"/>
    <n v="349"/>
    <n v="190"/>
    <n v="37"/>
  </r>
  <r>
    <x v="7"/>
    <x v="1"/>
    <x v="1"/>
    <n v="41"/>
    <n v="3"/>
    <n v="9"/>
    <n v="19"/>
    <n v="7"/>
    <n v="3"/>
  </r>
  <r>
    <x v="7"/>
    <x v="1"/>
    <x v="6"/>
    <n v="33"/>
    <n v="2"/>
    <n v="5"/>
    <n v="12"/>
    <n v="12"/>
    <n v="2"/>
  </r>
  <r>
    <x v="7"/>
    <x v="1"/>
    <x v="2"/>
    <n v="132"/>
    <n v="5"/>
    <n v="15"/>
    <n v="49"/>
    <n v="56"/>
    <n v="7"/>
  </r>
  <r>
    <x v="7"/>
    <x v="1"/>
    <x v="3"/>
    <n v="135"/>
    <n v="9"/>
    <n v="21"/>
    <n v="58"/>
    <n v="40"/>
    <n v="7"/>
  </r>
  <r>
    <x v="8"/>
    <x v="0"/>
    <x v="0"/>
    <n v="4"/>
    <m/>
    <n v="2"/>
    <n v="1"/>
    <m/>
    <n v="1"/>
  </r>
  <r>
    <x v="8"/>
    <x v="0"/>
    <x v="1"/>
    <n v="14"/>
    <m/>
    <n v="1"/>
    <n v="6"/>
    <n v="2"/>
    <n v="5"/>
  </r>
  <r>
    <x v="8"/>
    <x v="0"/>
    <x v="2"/>
    <n v="7"/>
    <m/>
    <n v="1"/>
    <n v="5"/>
    <m/>
    <n v="1"/>
  </r>
  <r>
    <x v="8"/>
    <x v="0"/>
    <x v="3"/>
    <n v="3"/>
    <m/>
    <m/>
    <n v="1"/>
    <m/>
    <n v="2"/>
  </r>
  <r>
    <x v="8"/>
    <x v="1"/>
    <x v="0"/>
    <n v="115"/>
    <n v="5"/>
    <n v="29"/>
    <n v="62"/>
    <n v="14"/>
    <n v="5"/>
  </r>
  <r>
    <x v="8"/>
    <x v="1"/>
    <x v="4"/>
    <n v="16"/>
    <n v="1"/>
    <n v="1"/>
    <n v="8"/>
    <n v="6"/>
    <m/>
  </r>
  <r>
    <x v="8"/>
    <x v="1"/>
    <x v="5"/>
    <n v="659"/>
    <n v="61"/>
    <n v="103"/>
    <n v="278"/>
    <n v="164"/>
    <n v="53"/>
  </r>
  <r>
    <x v="8"/>
    <x v="1"/>
    <x v="1"/>
    <n v="35"/>
    <n v="2"/>
    <n v="10"/>
    <n v="16"/>
    <n v="7"/>
    <m/>
  </r>
  <r>
    <x v="8"/>
    <x v="1"/>
    <x v="6"/>
    <n v="17"/>
    <m/>
    <n v="4"/>
    <n v="7"/>
    <n v="4"/>
    <n v="2"/>
  </r>
  <r>
    <x v="8"/>
    <x v="1"/>
    <x v="2"/>
    <n v="140"/>
    <n v="4"/>
    <n v="19"/>
    <n v="63"/>
    <n v="46"/>
    <n v="8"/>
  </r>
  <r>
    <x v="8"/>
    <x v="1"/>
    <x v="3"/>
    <n v="106"/>
    <n v="14"/>
    <n v="17"/>
    <n v="42"/>
    <n v="28"/>
    <n v="5"/>
  </r>
  <r>
    <x v="9"/>
    <x v="0"/>
    <x v="0"/>
    <n v="4"/>
    <m/>
    <m/>
    <n v="1"/>
    <m/>
    <n v="3"/>
  </r>
  <r>
    <x v="9"/>
    <x v="0"/>
    <x v="5"/>
    <n v="2"/>
    <m/>
    <n v="1"/>
    <n v="1"/>
    <m/>
    <m/>
  </r>
  <r>
    <x v="9"/>
    <x v="0"/>
    <x v="1"/>
    <n v="7"/>
    <m/>
    <n v="1"/>
    <n v="3"/>
    <m/>
    <n v="3"/>
  </r>
  <r>
    <x v="9"/>
    <x v="0"/>
    <x v="2"/>
    <n v="5"/>
    <m/>
    <m/>
    <n v="3"/>
    <m/>
    <n v="2"/>
  </r>
  <r>
    <x v="9"/>
    <x v="0"/>
    <x v="3"/>
    <n v="3"/>
    <m/>
    <m/>
    <n v="3"/>
    <m/>
    <m/>
  </r>
  <r>
    <x v="9"/>
    <x v="1"/>
    <x v="0"/>
    <n v="132"/>
    <n v="3"/>
    <n v="30"/>
    <n v="68"/>
    <n v="21"/>
    <n v="10"/>
  </r>
  <r>
    <x v="9"/>
    <x v="1"/>
    <x v="4"/>
    <n v="21"/>
    <m/>
    <n v="1"/>
    <n v="13"/>
    <n v="6"/>
    <n v="1"/>
  </r>
  <r>
    <x v="9"/>
    <x v="1"/>
    <x v="5"/>
    <n v="665"/>
    <n v="42"/>
    <n v="100"/>
    <n v="287"/>
    <n v="178"/>
    <n v="58"/>
  </r>
  <r>
    <x v="9"/>
    <x v="1"/>
    <x v="1"/>
    <n v="35"/>
    <n v="4"/>
    <n v="8"/>
    <n v="13"/>
    <n v="6"/>
    <n v="4"/>
  </r>
  <r>
    <x v="9"/>
    <x v="1"/>
    <x v="6"/>
    <n v="21"/>
    <n v="4"/>
    <n v="5"/>
    <n v="2"/>
    <n v="10"/>
    <m/>
  </r>
  <r>
    <x v="9"/>
    <x v="1"/>
    <x v="2"/>
    <n v="185"/>
    <n v="14"/>
    <n v="27"/>
    <n v="76"/>
    <n v="57"/>
    <n v="11"/>
  </r>
  <r>
    <x v="9"/>
    <x v="1"/>
    <x v="3"/>
    <n v="117"/>
    <n v="16"/>
    <n v="10"/>
    <n v="56"/>
    <n v="25"/>
    <n v="10"/>
  </r>
  <r>
    <x v="10"/>
    <x v="0"/>
    <x v="0"/>
    <n v="3"/>
    <m/>
    <n v="1"/>
    <n v="2"/>
    <m/>
    <m/>
  </r>
  <r>
    <x v="10"/>
    <x v="0"/>
    <x v="1"/>
    <n v="5"/>
    <m/>
    <m/>
    <n v="2"/>
    <m/>
    <n v="3"/>
  </r>
  <r>
    <x v="10"/>
    <x v="0"/>
    <x v="2"/>
    <n v="4"/>
    <m/>
    <n v="1"/>
    <n v="2"/>
    <n v="1"/>
    <m/>
  </r>
  <r>
    <x v="10"/>
    <x v="0"/>
    <x v="3"/>
    <n v="1"/>
    <m/>
    <m/>
    <n v="1"/>
    <m/>
    <m/>
  </r>
  <r>
    <x v="10"/>
    <x v="1"/>
    <x v="0"/>
    <n v="122"/>
    <n v="4"/>
    <n v="18"/>
    <n v="66"/>
    <n v="26"/>
    <n v="8"/>
  </r>
  <r>
    <x v="10"/>
    <x v="1"/>
    <x v="4"/>
    <n v="23"/>
    <n v="1"/>
    <n v="4"/>
    <n v="10"/>
    <n v="7"/>
    <n v="1"/>
  </r>
  <r>
    <x v="10"/>
    <x v="1"/>
    <x v="5"/>
    <n v="571"/>
    <n v="54"/>
    <n v="73"/>
    <n v="254"/>
    <n v="139"/>
    <n v="51"/>
  </r>
  <r>
    <x v="10"/>
    <x v="1"/>
    <x v="1"/>
    <n v="30"/>
    <n v="2"/>
    <n v="9"/>
    <n v="10"/>
    <n v="7"/>
    <n v="2"/>
  </r>
  <r>
    <x v="10"/>
    <x v="1"/>
    <x v="6"/>
    <n v="12"/>
    <m/>
    <m/>
    <n v="5"/>
    <n v="7"/>
    <m/>
  </r>
  <r>
    <x v="10"/>
    <x v="1"/>
    <x v="2"/>
    <n v="150"/>
    <n v="13"/>
    <n v="14"/>
    <n v="65"/>
    <n v="53"/>
    <n v="5"/>
  </r>
  <r>
    <x v="10"/>
    <x v="1"/>
    <x v="3"/>
    <n v="106"/>
    <n v="12"/>
    <n v="15"/>
    <n v="37"/>
    <n v="29"/>
    <n v="13"/>
  </r>
  <r>
    <x v="11"/>
    <x v="0"/>
    <x v="0"/>
    <n v="1"/>
    <n v="1"/>
    <m/>
    <m/>
    <m/>
    <m/>
  </r>
  <r>
    <x v="11"/>
    <x v="0"/>
    <x v="1"/>
    <n v="4"/>
    <m/>
    <m/>
    <n v="3"/>
    <m/>
    <n v="1"/>
  </r>
  <r>
    <x v="11"/>
    <x v="0"/>
    <x v="2"/>
    <n v="3"/>
    <n v="1"/>
    <m/>
    <n v="2"/>
    <m/>
    <m/>
  </r>
  <r>
    <x v="11"/>
    <x v="1"/>
    <x v="0"/>
    <n v="141"/>
    <n v="9"/>
    <n v="22"/>
    <n v="61"/>
    <n v="42"/>
    <n v="7"/>
  </r>
  <r>
    <x v="11"/>
    <x v="1"/>
    <x v="4"/>
    <n v="20"/>
    <n v="2"/>
    <n v="1"/>
    <n v="11"/>
    <n v="4"/>
    <n v="2"/>
  </r>
  <r>
    <x v="11"/>
    <x v="1"/>
    <x v="5"/>
    <n v="510"/>
    <n v="61"/>
    <n v="62"/>
    <n v="235"/>
    <n v="111"/>
    <n v="41"/>
  </r>
  <r>
    <x v="11"/>
    <x v="1"/>
    <x v="1"/>
    <n v="33"/>
    <n v="4"/>
    <n v="4"/>
    <n v="12"/>
    <n v="12"/>
    <n v="1"/>
  </r>
  <r>
    <x v="11"/>
    <x v="1"/>
    <x v="6"/>
    <n v="14"/>
    <m/>
    <n v="3"/>
    <n v="5"/>
    <n v="5"/>
    <n v="1"/>
  </r>
  <r>
    <x v="11"/>
    <x v="1"/>
    <x v="2"/>
    <n v="153"/>
    <n v="13"/>
    <n v="16"/>
    <n v="68"/>
    <n v="52"/>
    <n v="4"/>
  </r>
  <r>
    <x v="11"/>
    <x v="1"/>
    <x v="3"/>
    <n v="138"/>
    <n v="27"/>
    <n v="18"/>
    <n v="60"/>
    <n v="24"/>
    <n v="9"/>
  </r>
</pivotCacheRecords>
</file>

<file path=xl/pivotCache/pivotCacheRecords47.xml><?xml version="1.0" encoding="utf-8"?>
<pivotCacheRecords xmlns="http://schemas.openxmlformats.org/spreadsheetml/2006/main" xmlns:r="http://schemas.openxmlformats.org/officeDocument/2006/relationships" count="36">
  <r>
    <x v="0"/>
    <x v="0"/>
    <n v="53"/>
    <n v="10"/>
    <n v="9"/>
    <n v="10"/>
    <n v="18"/>
    <n v="6"/>
  </r>
  <r>
    <x v="1"/>
    <x v="0"/>
    <n v="45"/>
    <n v="15"/>
    <n v="4"/>
    <n v="8"/>
    <n v="8"/>
    <n v="10"/>
  </r>
  <r>
    <x v="2"/>
    <x v="0"/>
    <n v="51"/>
    <n v="13"/>
    <n v="11"/>
    <n v="12"/>
    <n v="10"/>
    <n v="5"/>
  </r>
  <r>
    <x v="3"/>
    <x v="0"/>
    <n v="40"/>
    <n v="11"/>
    <n v="7"/>
    <n v="7"/>
    <n v="13"/>
    <n v="2"/>
  </r>
  <r>
    <x v="4"/>
    <x v="0"/>
    <n v="29"/>
    <n v="9"/>
    <n v="7"/>
    <n v="9"/>
    <n v="4"/>
    <m/>
  </r>
  <r>
    <x v="5"/>
    <x v="0"/>
    <n v="31"/>
    <n v="12"/>
    <n v="6"/>
    <n v="6"/>
    <n v="3"/>
    <n v="4"/>
  </r>
  <r>
    <x v="6"/>
    <x v="0"/>
    <n v="39"/>
    <n v="6"/>
    <n v="10"/>
    <n v="5"/>
    <n v="14"/>
    <n v="4"/>
  </r>
  <r>
    <x v="7"/>
    <x v="0"/>
    <n v="36"/>
    <n v="8"/>
    <n v="7"/>
    <n v="8"/>
    <n v="6"/>
    <n v="7"/>
  </r>
  <r>
    <x v="8"/>
    <x v="0"/>
    <n v="37"/>
    <n v="12"/>
    <n v="8"/>
    <n v="8"/>
    <n v="6"/>
    <n v="3"/>
  </r>
  <r>
    <x v="9"/>
    <x v="0"/>
    <n v="40"/>
    <n v="12"/>
    <n v="7"/>
    <n v="4"/>
    <n v="10"/>
    <n v="7"/>
  </r>
  <r>
    <x v="10"/>
    <x v="0"/>
    <n v="21"/>
    <n v="8"/>
    <n v="3"/>
    <n v="3"/>
    <n v="5"/>
    <n v="2"/>
  </r>
  <r>
    <x v="11"/>
    <x v="0"/>
    <n v="44"/>
    <n v="23"/>
    <n v="5"/>
    <n v="3"/>
    <n v="4"/>
    <n v="9"/>
  </r>
  <r>
    <x v="0"/>
    <x v="1"/>
    <n v="1032"/>
    <n v="417"/>
    <n v="123"/>
    <n v="155"/>
    <n v="304"/>
    <n v="33"/>
  </r>
  <r>
    <x v="1"/>
    <x v="1"/>
    <n v="1142"/>
    <n v="493"/>
    <n v="106"/>
    <n v="155"/>
    <n v="363"/>
    <n v="25"/>
  </r>
  <r>
    <x v="2"/>
    <x v="1"/>
    <n v="1219"/>
    <n v="519"/>
    <n v="143"/>
    <n v="144"/>
    <n v="380"/>
    <n v="33"/>
  </r>
  <r>
    <x v="3"/>
    <x v="1"/>
    <n v="1166"/>
    <n v="540"/>
    <n v="138"/>
    <n v="145"/>
    <n v="305"/>
    <n v="38"/>
  </r>
  <r>
    <x v="4"/>
    <x v="1"/>
    <n v="1140"/>
    <n v="532"/>
    <n v="129"/>
    <n v="125"/>
    <n v="329"/>
    <n v="25"/>
  </r>
  <r>
    <x v="5"/>
    <x v="1"/>
    <n v="947"/>
    <n v="489"/>
    <n v="110"/>
    <n v="110"/>
    <n v="222"/>
    <n v="16"/>
  </r>
  <r>
    <x v="6"/>
    <x v="1"/>
    <n v="1063"/>
    <n v="491"/>
    <n v="131"/>
    <n v="124"/>
    <n v="274"/>
    <n v="43"/>
  </r>
  <r>
    <x v="7"/>
    <x v="1"/>
    <n v="1115"/>
    <n v="581"/>
    <n v="149"/>
    <n v="114"/>
    <n v="262"/>
    <n v="9"/>
  </r>
  <r>
    <x v="8"/>
    <x v="1"/>
    <n v="921"/>
    <n v="502"/>
    <n v="111"/>
    <n v="76"/>
    <n v="211"/>
    <n v="21"/>
  </r>
  <r>
    <x v="9"/>
    <x v="1"/>
    <n v="1016"/>
    <n v="588"/>
    <n v="88"/>
    <n v="92"/>
    <n v="217"/>
    <n v="31"/>
  </r>
  <r>
    <x v="10"/>
    <x v="1"/>
    <n v="877"/>
    <n v="443"/>
    <n v="119"/>
    <n v="55"/>
    <n v="232"/>
    <n v="28"/>
  </r>
  <r>
    <x v="11"/>
    <x v="1"/>
    <n v="876"/>
    <n v="484"/>
    <n v="111"/>
    <n v="59"/>
    <n v="181"/>
    <n v="41"/>
  </r>
  <r>
    <x v="0"/>
    <x v="2"/>
    <n v="6560"/>
    <n v="2519"/>
    <n v="482"/>
    <n v="847"/>
    <n v="2472"/>
    <n v="240"/>
  </r>
  <r>
    <x v="1"/>
    <x v="2"/>
    <n v="6293"/>
    <n v="2576"/>
    <n v="495"/>
    <n v="823"/>
    <n v="2257"/>
    <n v="142"/>
  </r>
  <r>
    <x v="2"/>
    <x v="2"/>
    <n v="6157"/>
    <n v="2661"/>
    <n v="492"/>
    <n v="800"/>
    <n v="2079"/>
    <n v="125"/>
  </r>
  <r>
    <x v="3"/>
    <x v="2"/>
    <n v="5829"/>
    <n v="2641"/>
    <n v="483"/>
    <n v="806"/>
    <n v="1802"/>
    <n v="97"/>
  </r>
  <r>
    <x v="4"/>
    <x v="2"/>
    <n v="5323"/>
    <n v="2481"/>
    <n v="467"/>
    <n v="773"/>
    <n v="1521"/>
    <n v="81"/>
  </r>
  <r>
    <x v="5"/>
    <x v="2"/>
    <n v="5574"/>
    <n v="2791"/>
    <n v="485"/>
    <n v="799"/>
    <n v="1414"/>
    <n v="85"/>
  </r>
  <r>
    <x v="6"/>
    <x v="2"/>
    <n v="5673"/>
    <n v="2859"/>
    <n v="531"/>
    <n v="779"/>
    <n v="1422"/>
    <n v="82"/>
  </r>
  <r>
    <x v="7"/>
    <x v="2"/>
    <n v="5540"/>
    <n v="2953"/>
    <n v="446"/>
    <n v="672"/>
    <n v="1392"/>
    <n v="77"/>
  </r>
  <r>
    <x v="8"/>
    <x v="2"/>
    <n v="5311"/>
    <n v="2762"/>
    <n v="441"/>
    <n v="694"/>
    <n v="1316"/>
    <n v="98"/>
  </r>
  <r>
    <x v="9"/>
    <x v="2"/>
    <n v="5145"/>
    <n v="2740"/>
    <n v="405"/>
    <n v="601"/>
    <n v="1307"/>
    <n v="92"/>
  </r>
  <r>
    <x v="10"/>
    <x v="2"/>
    <n v="4890"/>
    <n v="2540"/>
    <n v="420"/>
    <n v="525"/>
    <n v="1290"/>
    <n v="115"/>
  </r>
  <r>
    <x v="11"/>
    <x v="2"/>
    <n v="4661"/>
    <n v="2431"/>
    <n v="404"/>
    <n v="541"/>
    <n v="1163"/>
    <n v="122"/>
  </r>
</pivotCacheRecords>
</file>

<file path=xl/pivotCache/pivotCacheRecords48.xml><?xml version="1.0" encoding="utf-8"?>
<pivotCacheRecords xmlns="http://schemas.openxmlformats.org/spreadsheetml/2006/main" xmlns:r="http://schemas.openxmlformats.org/officeDocument/2006/relationships" count="385">
  <r>
    <x v="0"/>
    <s v="Dwelling: Primary fires"/>
    <x v="0"/>
    <n v="391"/>
    <n v="173"/>
    <n v="24"/>
    <n v="44"/>
    <n v="147"/>
    <n v="3"/>
    <s v="2009-10"/>
    <s v="Aberdeen City"/>
    <s v="Dwelling: Fatal"/>
    <n v="2"/>
    <m/>
    <n v="1"/>
    <n v="1"/>
    <m/>
    <m/>
    <s v="2009-10"/>
    <s v="Aberdeen City"/>
    <s v="Dwelling: Nonfatal"/>
    <n v="61"/>
    <n v="30"/>
    <n v="4"/>
    <n v="9"/>
    <n v="14"/>
    <n v="4"/>
  </r>
  <r>
    <x v="0"/>
    <s v="Dwelling: Primary fires"/>
    <x v="1"/>
    <n v="204"/>
    <n v="96"/>
    <n v="20"/>
    <n v="23"/>
    <n v="61"/>
    <n v="4"/>
    <s v="2009-10"/>
    <s v="Aberdeenshire"/>
    <s v="Dwelling: Fatal"/>
    <n v="1"/>
    <m/>
    <m/>
    <m/>
    <n v="1"/>
    <m/>
    <s v="2009-10"/>
    <s v="Aberdeenshire"/>
    <s v="Dwelling: Nonfatal"/>
    <n v="41"/>
    <n v="12"/>
    <n v="5"/>
    <n v="6"/>
    <n v="17"/>
    <n v="1"/>
  </r>
  <r>
    <x v="0"/>
    <s v="Dwelling: Primary fires"/>
    <x v="2"/>
    <n v="102"/>
    <n v="32"/>
    <n v="5"/>
    <n v="24"/>
    <n v="41"/>
    <m/>
    <s v="2009-10"/>
    <s v="Angus"/>
    <s v="Dwelling: Fatal"/>
    <n v="1"/>
    <m/>
    <m/>
    <n v="1"/>
    <m/>
    <m/>
    <s v="2009-10"/>
    <s v="Angus"/>
    <s v="Dwelling: Nonfatal"/>
    <n v="19"/>
    <n v="6"/>
    <n v="2"/>
    <n v="8"/>
    <n v="3"/>
    <m/>
  </r>
  <r>
    <x v="0"/>
    <s v="Dwelling: Primary fires"/>
    <x v="3"/>
    <n v="86"/>
    <n v="42"/>
    <n v="2"/>
    <n v="7"/>
    <n v="28"/>
    <n v="7"/>
    <m/>
    <m/>
    <m/>
    <m/>
    <m/>
    <m/>
    <m/>
    <m/>
    <m/>
    <s v="2009-10"/>
    <s v="Argyll and Bute"/>
    <s v="Dwelling: Nonfatal"/>
    <n v="5"/>
    <n v="2"/>
    <m/>
    <n v="2"/>
    <n v="1"/>
    <m/>
  </r>
  <r>
    <x v="0"/>
    <s v="Dwelling: Primary fires"/>
    <x v="4"/>
    <n v="795"/>
    <n v="255"/>
    <n v="57"/>
    <n v="122"/>
    <n v="352"/>
    <n v="9"/>
    <s v="2009-10"/>
    <s v="City of Edinburgh"/>
    <s v="Dwelling: Fatal"/>
    <n v="2"/>
    <m/>
    <n v="1"/>
    <m/>
    <n v="1"/>
    <m/>
    <s v="2009-10"/>
    <s v="City of Edinburgh"/>
    <s v="Dwelling: Nonfatal"/>
    <n v="173"/>
    <n v="59"/>
    <n v="20"/>
    <n v="20"/>
    <n v="73"/>
    <n v="1"/>
  </r>
  <r>
    <x v="0"/>
    <s v="Dwelling: Primary fires"/>
    <x v="5"/>
    <n v="40"/>
    <n v="19"/>
    <n v="2"/>
    <n v="8"/>
    <n v="10"/>
    <n v="1"/>
    <m/>
    <m/>
    <m/>
    <m/>
    <m/>
    <m/>
    <m/>
    <m/>
    <m/>
    <s v="2009-10"/>
    <s v="Clackmannanshire"/>
    <s v="Dwelling: Nonfatal"/>
    <n v="11"/>
    <n v="9"/>
    <m/>
    <n v="2"/>
    <m/>
    <m/>
  </r>
  <r>
    <x v="0"/>
    <s v="Dwelling: Primary fires"/>
    <x v="6"/>
    <n v="132"/>
    <n v="51"/>
    <n v="13"/>
    <n v="26"/>
    <n v="42"/>
    <m/>
    <s v="2009-10"/>
    <s v="Dumfries and Galloway"/>
    <s v="Dwelling: Fatal"/>
    <n v="3"/>
    <m/>
    <m/>
    <n v="2"/>
    <n v="1"/>
    <m/>
    <s v="2009-10"/>
    <s v="Dumfries and Galloway"/>
    <s v="Dwelling: Nonfatal"/>
    <n v="16"/>
    <n v="4"/>
    <n v="3"/>
    <n v="6"/>
    <n v="3"/>
    <m/>
  </r>
  <r>
    <x v="0"/>
    <s v="Dwelling: Primary fires"/>
    <x v="7"/>
    <n v="325"/>
    <n v="128"/>
    <n v="23"/>
    <n v="40"/>
    <n v="134"/>
    <m/>
    <s v="2009-10"/>
    <s v="Dundee City"/>
    <s v="Dwelling: Fatal"/>
    <n v="4"/>
    <m/>
    <n v="2"/>
    <n v="1"/>
    <n v="1"/>
    <m/>
    <s v="2009-10"/>
    <s v="Dundee City"/>
    <s v="Dwelling: Nonfatal"/>
    <n v="47"/>
    <n v="24"/>
    <n v="3"/>
    <n v="6"/>
    <n v="14"/>
    <m/>
  </r>
  <r>
    <x v="0"/>
    <s v="Dwelling: Primary fires"/>
    <x v="8"/>
    <n v="125"/>
    <n v="64"/>
    <n v="15"/>
    <n v="10"/>
    <n v="26"/>
    <n v="10"/>
    <m/>
    <m/>
    <m/>
    <m/>
    <m/>
    <m/>
    <m/>
    <m/>
    <m/>
    <s v="2009-10"/>
    <s v="East Ayrshire"/>
    <s v="Dwelling: Nonfatal"/>
    <n v="14"/>
    <n v="7"/>
    <n v="5"/>
    <n v="1"/>
    <m/>
    <n v="1"/>
  </r>
  <r>
    <x v="0"/>
    <s v="Dwelling: Primary fires"/>
    <x v="9"/>
    <n v="78"/>
    <n v="34"/>
    <n v="4"/>
    <n v="11"/>
    <n v="25"/>
    <n v="4"/>
    <m/>
    <m/>
    <m/>
    <m/>
    <m/>
    <m/>
    <m/>
    <m/>
    <m/>
    <s v="2009-10"/>
    <s v="East Dunbartonshire"/>
    <s v="Dwelling: Nonfatal"/>
    <n v="11"/>
    <n v="7"/>
    <n v="1"/>
    <m/>
    <n v="3"/>
    <m/>
  </r>
  <r>
    <x v="0"/>
    <s v="Dwelling: Primary fires"/>
    <x v="10"/>
    <n v="100"/>
    <n v="39"/>
    <n v="10"/>
    <n v="13"/>
    <n v="37"/>
    <n v="1"/>
    <s v="2009-10"/>
    <s v="East Lothian"/>
    <s v="Dwelling: Fatal"/>
    <n v="1"/>
    <m/>
    <n v="1"/>
    <m/>
    <m/>
    <m/>
    <s v="2009-10"/>
    <s v="East Lothian"/>
    <s v="Dwelling: Nonfatal"/>
    <n v="22"/>
    <n v="10"/>
    <n v="5"/>
    <n v="5"/>
    <n v="2"/>
    <m/>
  </r>
  <r>
    <x v="0"/>
    <s v="Dwelling: Primary fires"/>
    <x v="11"/>
    <n v="48"/>
    <n v="14"/>
    <n v="3"/>
    <n v="8"/>
    <n v="22"/>
    <n v="1"/>
    <s v="2009-10"/>
    <s v="East Renfrewshire"/>
    <s v="Dwelling: Fatal"/>
    <n v="1"/>
    <m/>
    <m/>
    <m/>
    <m/>
    <n v="1"/>
    <s v="2009-10"/>
    <s v="East Renfrewshire"/>
    <s v="Dwelling: Nonfatal"/>
    <n v="2"/>
    <n v="1"/>
    <m/>
    <n v="1"/>
    <m/>
    <m/>
  </r>
  <r>
    <x v="0"/>
    <s v="Dwelling: Primary fires"/>
    <x v="12"/>
    <n v="113"/>
    <n v="46"/>
    <n v="11"/>
    <n v="19"/>
    <n v="36"/>
    <n v="1"/>
    <s v="2009-10"/>
    <s v="Falkirk"/>
    <s v="Dwelling: Fatal"/>
    <n v="1"/>
    <m/>
    <n v="1"/>
    <m/>
    <m/>
    <m/>
    <s v="2009-10"/>
    <s v="Falkirk"/>
    <s v="Dwelling: Nonfatal"/>
    <n v="21"/>
    <n v="6"/>
    <n v="6"/>
    <n v="6"/>
    <n v="3"/>
    <m/>
  </r>
  <r>
    <x v="0"/>
    <s v="Dwelling: Primary fires"/>
    <x v="13"/>
    <n v="320"/>
    <n v="123"/>
    <n v="26"/>
    <n v="44"/>
    <n v="124"/>
    <n v="3"/>
    <s v="2009-10"/>
    <s v="Fife"/>
    <s v="Dwelling: Fatal"/>
    <n v="4"/>
    <n v="1"/>
    <n v="1"/>
    <m/>
    <n v="2"/>
    <m/>
    <s v="2009-10"/>
    <s v="Fife"/>
    <s v="Dwelling: Nonfatal"/>
    <n v="77"/>
    <n v="34"/>
    <n v="10"/>
    <n v="11"/>
    <n v="21"/>
    <n v="1"/>
  </r>
  <r>
    <x v="0"/>
    <s v="Dwelling: Primary fires"/>
    <x v="14"/>
    <n v="1284"/>
    <n v="531"/>
    <n v="62"/>
    <n v="156"/>
    <n v="479"/>
    <n v="56"/>
    <s v="2009-10"/>
    <s v="Glasgow City"/>
    <s v="Dwelling: Fatal"/>
    <n v="12"/>
    <n v="3"/>
    <n v="1"/>
    <n v="2"/>
    <n v="3"/>
    <n v="3"/>
    <s v="2009-10"/>
    <s v="Glasgow City"/>
    <s v="Dwelling: Nonfatal"/>
    <n v="154"/>
    <n v="72"/>
    <n v="14"/>
    <n v="25"/>
    <n v="38"/>
    <n v="5"/>
  </r>
  <r>
    <x v="0"/>
    <s v="Dwelling: Primary fires"/>
    <x v="15"/>
    <n v="145"/>
    <n v="37"/>
    <n v="10"/>
    <n v="18"/>
    <n v="50"/>
    <n v="30"/>
    <s v="2009-10"/>
    <s v="Highland"/>
    <s v="Dwelling: Fatal"/>
    <n v="1"/>
    <m/>
    <m/>
    <m/>
    <n v="1"/>
    <m/>
    <s v="2009-10"/>
    <s v="Highland"/>
    <s v="Dwelling: Nonfatal"/>
    <n v="29"/>
    <n v="10"/>
    <n v="3"/>
    <n v="5"/>
    <n v="6"/>
    <n v="5"/>
  </r>
  <r>
    <x v="0"/>
    <s v="Dwelling: Primary fires"/>
    <x v="16"/>
    <n v="144"/>
    <n v="37"/>
    <n v="8"/>
    <n v="21"/>
    <n v="73"/>
    <n v="5"/>
    <s v="2009-10"/>
    <s v="Inverclyde"/>
    <s v="Dwelling: Fatal"/>
    <n v="3"/>
    <n v="1"/>
    <m/>
    <n v="1"/>
    <m/>
    <n v="1"/>
    <s v="2009-10"/>
    <s v="Inverclyde"/>
    <s v="Dwelling: Nonfatal"/>
    <n v="33"/>
    <n v="6"/>
    <n v="5"/>
    <n v="3"/>
    <n v="19"/>
    <m/>
  </r>
  <r>
    <x v="0"/>
    <s v="Dwelling: Primary fires"/>
    <x v="17"/>
    <n v="73"/>
    <n v="27"/>
    <n v="14"/>
    <n v="16"/>
    <n v="16"/>
    <m/>
    <m/>
    <m/>
    <m/>
    <m/>
    <m/>
    <m/>
    <m/>
    <m/>
    <m/>
    <s v="2009-10"/>
    <s v="Midlothian"/>
    <s v="Dwelling: Nonfatal"/>
    <n v="14"/>
    <n v="4"/>
    <n v="1"/>
    <n v="4"/>
    <n v="5"/>
    <m/>
  </r>
  <r>
    <x v="0"/>
    <s v="Dwelling: Primary fires"/>
    <x v="18"/>
    <n v="71"/>
    <n v="26"/>
    <n v="8"/>
    <n v="11"/>
    <n v="26"/>
    <m/>
    <m/>
    <m/>
    <m/>
    <m/>
    <m/>
    <m/>
    <m/>
    <m/>
    <m/>
    <s v="2009-10"/>
    <s v="Moray"/>
    <s v="Dwelling: Nonfatal"/>
    <n v="22"/>
    <n v="9"/>
    <n v="2"/>
    <n v="3"/>
    <n v="8"/>
    <m/>
  </r>
  <r>
    <x v="0"/>
    <s v="Dwelling: Primary fires"/>
    <x v="19"/>
    <n v="24"/>
    <n v="7"/>
    <n v="1"/>
    <m/>
    <n v="4"/>
    <n v="12"/>
    <m/>
    <m/>
    <m/>
    <m/>
    <m/>
    <m/>
    <m/>
    <m/>
    <m/>
    <s v="2009-10"/>
    <s v="Na h-Eileanan Siar"/>
    <s v="Dwelling: Nonfatal"/>
    <n v="12"/>
    <n v="6"/>
    <n v="1"/>
    <m/>
    <n v="1"/>
    <n v="4"/>
  </r>
  <r>
    <x v="0"/>
    <s v="Dwelling: Primary fires"/>
    <x v="20"/>
    <n v="177"/>
    <n v="72"/>
    <n v="13"/>
    <n v="20"/>
    <n v="62"/>
    <n v="10"/>
    <s v="2009-10"/>
    <s v="North Ayrshire"/>
    <s v="Dwelling: Fatal"/>
    <n v="1"/>
    <m/>
    <n v="1"/>
    <m/>
    <m/>
    <m/>
    <s v="2009-10"/>
    <s v="North Ayrshire"/>
    <s v="Dwelling: Nonfatal"/>
    <n v="21"/>
    <n v="6"/>
    <n v="3"/>
    <n v="2"/>
    <n v="10"/>
    <m/>
  </r>
  <r>
    <x v="0"/>
    <s v="Dwelling: Primary fires"/>
    <x v="21"/>
    <n v="378"/>
    <n v="119"/>
    <n v="34"/>
    <n v="35"/>
    <n v="175"/>
    <n v="15"/>
    <s v="2009-10"/>
    <s v="North Lanarkshire"/>
    <s v="Dwelling: Fatal"/>
    <n v="1"/>
    <m/>
    <m/>
    <n v="1"/>
    <m/>
    <m/>
    <s v="2009-10"/>
    <s v="North Lanarkshire"/>
    <s v="Dwelling: Nonfatal"/>
    <n v="43"/>
    <n v="20"/>
    <n v="5"/>
    <n v="6"/>
    <n v="12"/>
    <m/>
  </r>
  <r>
    <x v="0"/>
    <s v="Dwelling: Primary fires"/>
    <x v="22"/>
    <n v="11"/>
    <n v="6"/>
    <m/>
    <n v="1"/>
    <n v="2"/>
    <n v="2"/>
    <s v="2009-10"/>
    <s v="Orkney Islands"/>
    <s v="Dwelling: Fatal"/>
    <n v="1"/>
    <n v="1"/>
    <m/>
    <m/>
    <m/>
    <m/>
    <s v="2009-10"/>
    <s v="Orkney Islands"/>
    <s v="Dwelling: Nonfatal"/>
    <n v="1"/>
    <m/>
    <m/>
    <m/>
    <n v="1"/>
    <m/>
  </r>
  <r>
    <x v="0"/>
    <s v="Dwelling: Primary fires"/>
    <x v="23"/>
    <n v="122"/>
    <n v="48"/>
    <n v="7"/>
    <n v="16"/>
    <n v="47"/>
    <n v="4"/>
    <s v="2009-10"/>
    <s v="Perth and Kinross"/>
    <s v="Dwelling: Fatal"/>
    <n v="3"/>
    <m/>
    <m/>
    <m/>
    <n v="3"/>
    <m/>
    <s v="2009-10"/>
    <s v="Perth and Kinross"/>
    <s v="Dwelling: Nonfatal"/>
    <n v="10"/>
    <n v="4"/>
    <m/>
    <n v="1"/>
    <n v="5"/>
    <m/>
  </r>
  <r>
    <x v="0"/>
    <s v="Dwelling: Primary fires"/>
    <x v="24"/>
    <n v="237"/>
    <n v="111"/>
    <n v="14"/>
    <n v="24"/>
    <n v="80"/>
    <n v="8"/>
    <s v="2009-10"/>
    <s v="Renfrewshire"/>
    <s v="Dwelling: Fatal"/>
    <n v="1"/>
    <n v="1"/>
    <m/>
    <m/>
    <m/>
    <m/>
    <s v="2009-10"/>
    <s v="Renfrewshire"/>
    <s v="Dwelling: Nonfatal"/>
    <n v="20"/>
    <n v="8"/>
    <n v="1"/>
    <n v="3"/>
    <n v="6"/>
    <n v="2"/>
  </r>
  <r>
    <x v="0"/>
    <s v="Dwelling: Primary fires"/>
    <x v="25"/>
    <n v="111"/>
    <n v="40"/>
    <n v="18"/>
    <n v="17"/>
    <n v="35"/>
    <n v="1"/>
    <m/>
    <m/>
    <m/>
    <m/>
    <m/>
    <m/>
    <m/>
    <m/>
    <m/>
    <s v="2009-10"/>
    <s v="Scottish Borders"/>
    <s v="Dwelling: Nonfatal"/>
    <n v="29"/>
    <n v="9"/>
    <n v="9"/>
    <n v="6"/>
    <n v="5"/>
    <m/>
  </r>
  <r>
    <x v="0"/>
    <s v="Dwelling: Primary fires"/>
    <x v="26"/>
    <n v="11"/>
    <n v="5"/>
    <m/>
    <m/>
    <n v="4"/>
    <n v="2"/>
    <m/>
    <m/>
    <m/>
    <m/>
    <m/>
    <m/>
    <m/>
    <m/>
    <m/>
    <m/>
    <m/>
    <m/>
    <m/>
    <m/>
    <m/>
    <m/>
    <m/>
    <m/>
  </r>
  <r>
    <x v="0"/>
    <s v="Dwelling: Primary fires"/>
    <x v="27"/>
    <n v="99"/>
    <n v="31"/>
    <n v="5"/>
    <n v="14"/>
    <n v="35"/>
    <n v="14"/>
    <s v="2009-10"/>
    <s v="South Ayrshire"/>
    <s v="Dwelling: Fatal"/>
    <n v="1"/>
    <n v="1"/>
    <m/>
    <m/>
    <m/>
    <m/>
    <s v="2009-10"/>
    <s v="South Ayrshire"/>
    <s v="Dwelling: Nonfatal"/>
    <n v="11"/>
    <n v="5"/>
    <n v="3"/>
    <n v="1"/>
    <n v="1"/>
    <n v="1"/>
  </r>
  <r>
    <x v="0"/>
    <s v="Dwelling: Primary fires"/>
    <x v="28"/>
    <n v="326"/>
    <n v="111"/>
    <n v="31"/>
    <n v="51"/>
    <n v="110"/>
    <n v="23"/>
    <s v="2009-10"/>
    <s v="South Lanarkshire"/>
    <s v="Dwelling: Fatal"/>
    <n v="3"/>
    <m/>
    <m/>
    <m/>
    <n v="2"/>
    <n v="1"/>
    <s v="2009-10"/>
    <s v="South Lanarkshire"/>
    <s v="Dwelling: Nonfatal"/>
    <n v="43"/>
    <n v="14"/>
    <n v="2"/>
    <n v="6"/>
    <n v="14"/>
    <n v="7"/>
  </r>
  <r>
    <x v="0"/>
    <s v="Dwelling: Primary fires"/>
    <x v="29"/>
    <n v="94"/>
    <n v="40"/>
    <n v="11"/>
    <n v="9"/>
    <n v="30"/>
    <n v="4"/>
    <s v="2009-10"/>
    <s v="Stirling"/>
    <s v="Dwelling: Fatal"/>
    <n v="1"/>
    <n v="1"/>
    <m/>
    <m/>
    <m/>
    <m/>
    <s v="2009-10"/>
    <s v="Stirling"/>
    <s v="Dwelling: Nonfatal"/>
    <n v="10"/>
    <n v="3"/>
    <n v="4"/>
    <n v="2"/>
    <n v="1"/>
    <m/>
  </r>
  <r>
    <x v="0"/>
    <s v="Dwelling: Primary fires"/>
    <x v="30"/>
    <n v="172"/>
    <n v="72"/>
    <n v="14"/>
    <n v="18"/>
    <n v="61"/>
    <n v="7"/>
    <s v="2009-10"/>
    <s v="West Dunbartonshire"/>
    <s v="Dwelling: Fatal"/>
    <n v="2"/>
    <m/>
    <m/>
    <m/>
    <n v="2"/>
    <m/>
    <s v="2009-10"/>
    <s v="West Dunbartonshire"/>
    <s v="Dwelling: Nonfatal"/>
    <n v="13"/>
    <n v="8"/>
    <n v="1"/>
    <n v="1"/>
    <n v="3"/>
    <m/>
  </r>
  <r>
    <x v="0"/>
    <s v="Dwelling: Primary fires"/>
    <x v="31"/>
    <n v="222"/>
    <n v="83"/>
    <n v="17"/>
    <n v="21"/>
    <n v="98"/>
    <n v="3"/>
    <s v="2009-10"/>
    <s v="West Lothian"/>
    <s v="Dwelling: Fatal"/>
    <n v="3"/>
    <n v="1"/>
    <m/>
    <n v="1"/>
    <n v="1"/>
    <m/>
    <s v="2009-10"/>
    <s v="West Lothian"/>
    <s v="Dwelling: Nonfatal"/>
    <n v="47"/>
    <n v="22"/>
    <n v="5"/>
    <n v="4"/>
    <n v="15"/>
    <n v="1"/>
  </r>
  <r>
    <x v="1"/>
    <s v="Dwelling: Primary fires"/>
    <x v="0"/>
    <n v="340"/>
    <n v="146"/>
    <n v="14"/>
    <n v="29"/>
    <n v="143"/>
    <n v="8"/>
    <s v="2010-11"/>
    <s v="Aberdeen City"/>
    <s v="Dwelling: Fatal"/>
    <n v="1"/>
    <m/>
    <m/>
    <m/>
    <n v="1"/>
    <m/>
    <s v="2010-11"/>
    <s v="Aberdeen City"/>
    <s v="Dwelling: Nonfatal"/>
    <n v="71"/>
    <n v="34"/>
    <n v="2"/>
    <n v="2"/>
    <n v="33"/>
    <m/>
  </r>
  <r>
    <x v="1"/>
    <s v="Dwelling: Primary fires"/>
    <x v="1"/>
    <n v="203"/>
    <n v="113"/>
    <n v="9"/>
    <n v="18"/>
    <n v="60"/>
    <n v="3"/>
    <s v="2010-11"/>
    <s v="Aberdeenshire"/>
    <s v="Dwelling: Fatal"/>
    <n v="4"/>
    <m/>
    <m/>
    <n v="2"/>
    <n v="1"/>
    <n v="1"/>
    <s v="2010-11"/>
    <s v="Aberdeenshire"/>
    <s v="Dwelling: Nonfatal"/>
    <n v="27"/>
    <n v="9"/>
    <n v="3"/>
    <n v="8"/>
    <n v="7"/>
    <m/>
  </r>
  <r>
    <x v="1"/>
    <s v="Dwelling: Primary fires"/>
    <x v="2"/>
    <n v="87"/>
    <n v="33"/>
    <n v="7"/>
    <n v="22"/>
    <n v="24"/>
    <n v="1"/>
    <s v="2010-11"/>
    <s v="Angus"/>
    <s v="Dwelling: Fatal"/>
    <n v="1"/>
    <n v="1"/>
    <m/>
    <m/>
    <m/>
    <m/>
    <s v="2010-11"/>
    <s v="Angus"/>
    <s v="Dwelling: Nonfatal"/>
    <n v="10"/>
    <n v="4"/>
    <m/>
    <n v="3"/>
    <n v="3"/>
    <m/>
  </r>
  <r>
    <x v="1"/>
    <s v="Dwelling: Primary fires"/>
    <x v="3"/>
    <n v="126"/>
    <n v="42"/>
    <n v="8"/>
    <n v="19"/>
    <n v="46"/>
    <n v="11"/>
    <s v="2010-11"/>
    <s v="Argyll and Bute"/>
    <s v="Dwelling: Fatal"/>
    <n v="2"/>
    <m/>
    <m/>
    <m/>
    <n v="2"/>
    <m/>
    <s v="2010-11"/>
    <s v="Argyll and Bute"/>
    <s v="Dwelling: Nonfatal"/>
    <n v="14"/>
    <n v="4"/>
    <m/>
    <n v="4"/>
    <n v="4"/>
    <n v="2"/>
  </r>
  <r>
    <x v="1"/>
    <s v="Dwelling: Primary fires"/>
    <x v="4"/>
    <n v="728"/>
    <n v="272"/>
    <n v="49"/>
    <n v="105"/>
    <n v="292"/>
    <n v="10"/>
    <s v="2010-11"/>
    <s v="City of Edinburgh"/>
    <s v="Dwelling: Fatal"/>
    <n v="6"/>
    <n v="3"/>
    <m/>
    <n v="2"/>
    <n v="1"/>
    <m/>
    <s v="2010-11"/>
    <s v="City of Edinburgh"/>
    <s v="Dwelling: Nonfatal"/>
    <n v="227"/>
    <n v="89"/>
    <n v="15"/>
    <n v="28"/>
    <n v="91"/>
    <n v="4"/>
  </r>
  <r>
    <x v="1"/>
    <s v="Dwelling: Primary fires"/>
    <x v="5"/>
    <n v="49"/>
    <n v="14"/>
    <n v="3"/>
    <n v="5"/>
    <n v="26"/>
    <n v="1"/>
    <m/>
    <m/>
    <m/>
    <m/>
    <m/>
    <m/>
    <m/>
    <m/>
    <m/>
    <s v="2010-11"/>
    <s v="Clackmannanshire"/>
    <s v="Dwelling: Nonfatal"/>
    <n v="5"/>
    <n v="3"/>
    <n v="1"/>
    <m/>
    <n v="1"/>
    <m/>
  </r>
  <r>
    <x v="1"/>
    <s v="Dwelling: Primary fires"/>
    <x v="6"/>
    <n v="110"/>
    <n v="43"/>
    <n v="20"/>
    <n v="29"/>
    <n v="17"/>
    <n v="1"/>
    <m/>
    <m/>
    <m/>
    <m/>
    <m/>
    <m/>
    <m/>
    <m/>
    <m/>
    <s v="2010-11"/>
    <s v="Dumfries and Galloway"/>
    <s v="Dwelling: Nonfatal"/>
    <n v="11"/>
    <n v="7"/>
    <n v="3"/>
    <n v="1"/>
    <m/>
    <m/>
  </r>
  <r>
    <x v="1"/>
    <s v="Dwelling: Primary fires"/>
    <x v="7"/>
    <n v="332"/>
    <n v="154"/>
    <n v="20"/>
    <n v="40"/>
    <n v="117"/>
    <n v="1"/>
    <s v="2010-11"/>
    <s v="Dundee City"/>
    <s v="Dwelling: Fatal"/>
    <n v="4"/>
    <n v="2"/>
    <n v="1"/>
    <n v="1"/>
    <m/>
    <m/>
    <s v="2010-11"/>
    <s v="Dundee City"/>
    <s v="Dwelling: Nonfatal"/>
    <n v="39"/>
    <n v="15"/>
    <n v="3"/>
    <n v="12"/>
    <n v="9"/>
    <m/>
  </r>
  <r>
    <x v="1"/>
    <s v="Dwelling: Primary fires"/>
    <x v="8"/>
    <n v="118"/>
    <n v="57"/>
    <n v="11"/>
    <n v="10"/>
    <n v="39"/>
    <n v="1"/>
    <m/>
    <m/>
    <m/>
    <m/>
    <m/>
    <m/>
    <m/>
    <m/>
    <m/>
    <s v="2010-11"/>
    <s v="East Ayrshire"/>
    <s v="Dwelling: Nonfatal"/>
    <n v="15"/>
    <n v="5"/>
    <n v="3"/>
    <n v="4"/>
    <n v="3"/>
    <m/>
  </r>
  <r>
    <x v="1"/>
    <s v="Dwelling: Primary fires"/>
    <x v="9"/>
    <n v="69"/>
    <n v="28"/>
    <n v="3"/>
    <n v="15"/>
    <n v="19"/>
    <n v="4"/>
    <s v="2010-11"/>
    <s v="East Dunbartonshire"/>
    <s v="Dwelling: Fatal"/>
    <n v="1"/>
    <m/>
    <m/>
    <n v="1"/>
    <m/>
    <m/>
    <s v="2010-11"/>
    <s v="East Dunbartonshire"/>
    <s v="Dwelling: Nonfatal"/>
    <n v="6"/>
    <n v="3"/>
    <m/>
    <m/>
    <n v="2"/>
    <n v="1"/>
  </r>
  <r>
    <x v="1"/>
    <s v="Dwelling: Primary fires"/>
    <x v="10"/>
    <n v="88"/>
    <n v="36"/>
    <n v="12"/>
    <n v="11"/>
    <n v="28"/>
    <n v="1"/>
    <m/>
    <m/>
    <m/>
    <m/>
    <m/>
    <m/>
    <m/>
    <m/>
    <m/>
    <s v="2010-11"/>
    <s v="East Lothian"/>
    <s v="Dwelling: Nonfatal"/>
    <n v="21"/>
    <n v="7"/>
    <n v="1"/>
    <n v="2"/>
    <n v="11"/>
    <m/>
  </r>
  <r>
    <x v="1"/>
    <s v="Dwelling: Primary fires"/>
    <x v="11"/>
    <n v="58"/>
    <n v="21"/>
    <n v="4"/>
    <n v="6"/>
    <n v="26"/>
    <n v="1"/>
    <m/>
    <m/>
    <m/>
    <m/>
    <m/>
    <m/>
    <m/>
    <m/>
    <m/>
    <s v="2010-11"/>
    <s v="East Renfrewshire"/>
    <s v="Dwelling: Nonfatal"/>
    <n v="14"/>
    <n v="9"/>
    <m/>
    <m/>
    <n v="5"/>
    <m/>
  </r>
  <r>
    <x v="1"/>
    <s v="Dwelling: Primary fires"/>
    <x v="12"/>
    <n v="130"/>
    <n v="52"/>
    <n v="14"/>
    <n v="19"/>
    <n v="41"/>
    <n v="4"/>
    <s v="2010-11"/>
    <s v="Falkirk"/>
    <s v="Dwelling: Fatal"/>
    <n v="2"/>
    <m/>
    <m/>
    <m/>
    <m/>
    <n v="2"/>
    <s v="2010-11"/>
    <s v="Falkirk"/>
    <s v="Dwelling: Nonfatal"/>
    <n v="20"/>
    <n v="12"/>
    <n v="1"/>
    <n v="1"/>
    <n v="6"/>
    <m/>
  </r>
  <r>
    <x v="1"/>
    <s v="Dwelling: Primary fires"/>
    <x v="13"/>
    <n v="301"/>
    <n v="89"/>
    <n v="48"/>
    <n v="36"/>
    <n v="126"/>
    <n v="2"/>
    <s v="2010-11"/>
    <s v="Fife"/>
    <s v="Dwelling: Fatal"/>
    <n v="2"/>
    <m/>
    <n v="1"/>
    <m/>
    <m/>
    <n v="1"/>
    <s v="2010-11"/>
    <s v="Fife"/>
    <s v="Dwelling: Nonfatal"/>
    <n v="51"/>
    <n v="14"/>
    <n v="15"/>
    <n v="7"/>
    <n v="15"/>
    <m/>
  </r>
  <r>
    <x v="1"/>
    <s v="Dwelling: Primary fires"/>
    <x v="14"/>
    <n v="1179"/>
    <n v="526"/>
    <n v="82"/>
    <n v="134"/>
    <n v="410"/>
    <n v="27"/>
    <s v="2010-11"/>
    <s v="Glasgow City"/>
    <s v="Dwelling: Fatal"/>
    <n v="10"/>
    <n v="5"/>
    <m/>
    <n v="1"/>
    <n v="1"/>
    <n v="3"/>
    <s v="2010-11"/>
    <s v="Glasgow City"/>
    <s v="Dwelling: Nonfatal"/>
    <n v="168"/>
    <n v="72"/>
    <n v="12"/>
    <n v="25"/>
    <n v="55"/>
    <n v="4"/>
  </r>
  <r>
    <x v="1"/>
    <s v="Dwelling: Primary fires"/>
    <x v="15"/>
    <n v="162"/>
    <n v="54"/>
    <n v="11"/>
    <n v="26"/>
    <n v="59"/>
    <n v="12"/>
    <s v="2010-11"/>
    <s v="Highland"/>
    <s v="Dwelling: Fatal"/>
    <n v="1"/>
    <n v="1"/>
    <m/>
    <m/>
    <m/>
    <m/>
    <s v="2010-11"/>
    <s v="Highland"/>
    <s v="Dwelling: Nonfatal"/>
    <n v="46"/>
    <n v="14"/>
    <n v="2"/>
    <n v="9"/>
    <n v="17"/>
    <n v="4"/>
  </r>
  <r>
    <x v="1"/>
    <s v="Dwelling: Primary fires"/>
    <x v="16"/>
    <n v="132"/>
    <n v="43"/>
    <n v="8"/>
    <n v="15"/>
    <n v="63"/>
    <n v="3"/>
    <s v="2010-11"/>
    <s v="Inverclyde"/>
    <s v="Dwelling: Fatal"/>
    <n v="1"/>
    <m/>
    <m/>
    <m/>
    <n v="1"/>
    <m/>
    <s v="2010-11"/>
    <s v="Inverclyde"/>
    <s v="Dwelling: Nonfatal"/>
    <n v="19"/>
    <n v="9"/>
    <n v="3"/>
    <n v="1"/>
    <n v="6"/>
    <m/>
  </r>
  <r>
    <x v="1"/>
    <s v="Dwelling: Primary fires"/>
    <x v="17"/>
    <n v="73"/>
    <n v="22"/>
    <n v="8"/>
    <n v="13"/>
    <n v="28"/>
    <n v="2"/>
    <m/>
    <m/>
    <m/>
    <m/>
    <m/>
    <m/>
    <m/>
    <m/>
    <m/>
    <s v="2010-11"/>
    <s v="Midlothian"/>
    <s v="Dwelling: Nonfatal"/>
    <n v="23"/>
    <n v="9"/>
    <n v="2"/>
    <n v="10"/>
    <n v="2"/>
    <m/>
  </r>
  <r>
    <x v="1"/>
    <s v="Dwelling: Primary fires"/>
    <x v="18"/>
    <n v="76"/>
    <n v="31"/>
    <n v="8"/>
    <n v="5"/>
    <n v="31"/>
    <n v="1"/>
    <s v="2010-11"/>
    <s v="Moray"/>
    <s v="Dwelling: Fatal"/>
    <n v="1"/>
    <m/>
    <m/>
    <m/>
    <n v="1"/>
    <m/>
    <s v="2010-11"/>
    <s v="Moray"/>
    <s v="Dwelling: Nonfatal"/>
    <n v="38"/>
    <n v="15"/>
    <n v="4"/>
    <n v="1"/>
    <n v="18"/>
    <m/>
  </r>
  <r>
    <x v="1"/>
    <s v="Dwelling: Primary fires"/>
    <x v="19"/>
    <n v="17"/>
    <n v="6"/>
    <n v="2"/>
    <n v="5"/>
    <n v="4"/>
    <m/>
    <m/>
    <m/>
    <m/>
    <m/>
    <m/>
    <m/>
    <m/>
    <m/>
    <m/>
    <s v="2010-11"/>
    <s v="Na h-Eileanan Siar"/>
    <s v="Dwelling: Nonfatal"/>
    <n v="4"/>
    <n v="3"/>
    <m/>
    <n v="1"/>
    <m/>
    <m/>
  </r>
  <r>
    <x v="1"/>
    <s v="Dwelling: Primary fires"/>
    <x v="20"/>
    <n v="167"/>
    <n v="76"/>
    <n v="15"/>
    <n v="27"/>
    <n v="43"/>
    <n v="6"/>
    <m/>
    <m/>
    <m/>
    <m/>
    <m/>
    <m/>
    <m/>
    <m/>
    <m/>
    <s v="2010-11"/>
    <s v="North Ayrshire"/>
    <s v="Dwelling: Nonfatal"/>
    <n v="41"/>
    <n v="18"/>
    <n v="3"/>
    <n v="8"/>
    <n v="8"/>
    <n v="4"/>
  </r>
  <r>
    <x v="1"/>
    <s v="Dwelling: Primary fires"/>
    <x v="21"/>
    <n v="370"/>
    <n v="140"/>
    <n v="42"/>
    <n v="43"/>
    <n v="137"/>
    <n v="8"/>
    <s v="2010-11"/>
    <s v="North Lanarkshire"/>
    <s v="Dwelling: Fatal"/>
    <n v="1"/>
    <m/>
    <m/>
    <n v="1"/>
    <m/>
    <m/>
    <s v="2010-11"/>
    <s v="North Lanarkshire"/>
    <s v="Dwelling: Nonfatal"/>
    <n v="62"/>
    <n v="31"/>
    <n v="11"/>
    <n v="5"/>
    <n v="15"/>
    <m/>
  </r>
  <r>
    <x v="1"/>
    <s v="Dwelling: Primary fires"/>
    <x v="22"/>
    <n v="9"/>
    <n v="4"/>
    <m/>
    <n v="1"/>
    <n v="4"/>
    <m/>
    <m/>
    <m/>
    <m/>
    <m/>
    <m/>
    <m/>
    <m/>
    <m/>
    <m/>
    <s v="2010-11"/>
    <s v="Orkney Islands"/>
    <s v="Dwelling: Nonfatal"/>
    <n v="1"/>
    <n v="1"/>
    <m/>
    <m/>
    <m/>
    <m/>
  </r>
  <r>
    <x v="1"/>
    <s v="Dwelling: Primary fires"/>
    <x v="23"/>
    <n v="138"/>
    <n v="52"/>
    <n v="3"/>
    <n v="24"/>
    <n v="58"/>
    <n v="1"/>
    <m/>
    <m/>
    <m/>
    <m/>
    <m/>
    <m/>
    <m/>
    <m/>
    <m/>
    <s v="2010-11"/>
    <s v="Perth and Kinross"/>
    <s v="Dwelling: Nonfatal"/>
    <n v="15"/>
    <n v="10"/>
    <n v="1"/>
    <n v="3"/>
    <n v="1"/>
    <m/>
  </r>
  <r>
    <x v="1"/>
    <s v="Dwelling: Primary fires"/>
    <x v="24"/>
    <n v="246"/>
    <n v="104"/>
    <n v="19"/>
    <n v="24"/>
    <n v="93"/>
    <n v="6"/>
    <s v="2010-11"/>
    <s v="Renfrewshire"/>
    <s v="Dwelling: Fatal"/>
    <n v="1"/>
    <m/>
    <n v="1"/>
    <m/>
    <m/>
    <m/>
    <s v="2010-11"/>
    <s v="Renfrewshire"/>
    <s v="Dwelling: Nonfatal"/>
    <n v="47"/>
    <n v="20"/>
    <n v="2"/>
    <m/>
    <n v="25"/>
    <m/>
  </r>
  <r>
    <x v="1"/>
    <s v="Dwelling: Primary fires"/>
    <x v="25"/>
    <n v="113"/>
    <n v="38"/>
    <n v="17"/>
    <n v="13"/>
    <n v="42"/>
    <n v="3"/>
    <m/>
    <m/>
    <m/>
    <m/>
    <m/>
    <m/>
    <m/>
    <m/>
    <m/>
    <s v="2010-11"/>
    <s v="Scottish Borders"/>
    <s v="Dwelling: Nonfatal"/>
    <n v="22"/>
    <n v="8"/>
    <n v="7"/>
    <n v="2"/>
    <n v="5"/>
    <m/>
  </r>
  <r>
    <x v="1"/>
    <s v="Dwelling: Primary fires"/>
    <x v="26"/>
    <n v="10"/>
    <n v="2"/>
    <n v="2"/>
    <m/>
    <n v="6"/>
    <m/>
    <m/>
    <m/>
    <m/>
    <m/>
    <m/>
    <m/>
    <m/>
    <m/>
    <m/>
    <s v="2010-11"/>
    <s v="Shetland Islands"/>
    <s v="Dwelling: Nonfatal"/>
    <n v="2"/>
    <m/>
    <n v="1"/>
    <m/>
    <n v="1"/>
    <m/>
  </r>
  <r>
    <x v="1"/>
    <s v="Dwelling: Primary fires"/>
    <x v="27"/>
    <n v="107"/>
    <n v="50"/>
    <n v="8"/>
    <n v="19"/>
    <n v="26"/>
    <n v="4"/>
    <s v="2010-11"/>
    <s v="South Ayrshire"/>
    <s v="Dwelling: Fatal"/>
    <n v="1"/>
    <m/>
    <m/>
    <m/>
    <m/>
    <n v="1"/>
    <s v="2010-11"/>
    <s v="South Ayrshire"/>
    <s v="Dwelling: Nonfatal"/>
    <n v="24"/>
    <n v="11"/>
    <m/>
    <n v="4"/>
    <n v="4"/>
    <n v="5"/>
  </r>
  <r>
    <x v="1"/>
    <s v="Dwelling: Primary fires"/>
    <x v="28"/>
    <n v="316"/>
    <n v="151"/>
    <n v="18"/>
    <n v="50"/>
    <n v="89"/>
    <n v="8"/>
    <s v="2010-11"/>
    <s v="South Lanarkshire"/>
    <s v="Dwelling: Fatal"/>
    <n v="1"/>
    <n v="1"/>
    <m/>
    <m/>
    <m/>
    <m/>
    <s v="2010-11"/>
    <s v="South Lanarkshire"/>
    <s v="Dwelling: Nonfatal"/>
    <n v="40"/>
    <n v="27"/>
    <n v="2"/>
    <n v="5"/>
    <n v="6"/>
    <m/>
  </r>
  <r>
    <x v="1"/>
    <s v="Dwelling: Primary fires"/>
    <x v="29"/>
    <n v="75"/>
    <n v="29"/>
    <n v="6"/>
    <n v="11"/>
    <n v="29"/>
    <m/>
    <m/>
    <m/>
    <m/>
    <m/>
    <m/>
    <m/>
    <m/>
    <m/>
    <m/>
    <s v="2010-11"/>
    <s v="Stirling"/>
    <s v="Dwelling: Nonfatal"/>
    <n v="7"/>
    <n v="2"/>
    <n v="2"/>
    <m/>
    <n v="3"/>
    <m/>
  </r>
  <r>
    <x v="1"/>
    <s v="Dwelling: Primary fires"/>
    <x v="30"/>
    <n v="151"/>
    <n v="66"/>
    <n v="9"/>
    <n v="12"/>
    <n v="57"/>
    <n v="7"/>
    <s v="2010-11"/>
    <s v="West Dunbartonshire"/>
    <s v="Dwelling: Fatal"/>
    <n v="4"/>
    <n v="2"/>
    <n v="1"/>
    <m/>
    <m/>
    <n v="1"/>
    <s v="2010-11"/>
    <s v="West Dunbartonshire"/>
    <s v="Dwelling: Nonfatal"/>
    <n v="15"/>
    <n v="9"/>
    <n v="2"/>
    <n v="1"/>
    <n v="2"/>
    <n v="1"/>
  </r>
  <r>
    <x v="1"/>
    <s v="Dwelling: Primary fires"/>
    <x v="31"/>
    <n v="213"/>
    <n v="82"/>
    <n v="15"/>
    <n v="37"/>
    <n v="74"/>
    <n v="5"/>
    <s v="2010-11"/>
    <s v="West Lothian"/>
    <s v="Dwelling: Fatal"/>
    <n v="1"/>
    <m/>
    <m/>
    <m/>
    <m/>
    <n v="1"/>
    <s v="2010-11"/>
    <s v="West Lothian"/>
    <s v="Dwelling: Nonfatal"/>
    <n v="37"/>
    <n v="19"/>
    <n v="5"/>
    <n v="8"/>
    <n v="5"/>
    <m/>
  </r>
  <r>
    <x v="2"/>
    <s v="Dwelling: Primary fires"/>
    <x v="0"/>
    <n v="375"/>
    <n v="169"/>
    <n v="25"/>
    <n v="46"/>
    <n v="133"/>
    <n v="2"/>
    <s v="2011-12"/>
    <s v="Aberdeen City"/>
    <s v="Dwelling: Fatal"/>
    <n v="2"/>
    <n v="1"/>
    <n v="1"/>
    <m/>
    <m/>
    <m/>
    <s v="2011-12"/>
    <s v="Aberdeen City"/>
    <s v="Dwelling: Nonfatal"/>
    <n v="75"/>
    <n v="35"/>
    <n v="10"/>
    <n v="8"/>
    <n v="22"/>
    <m/>
  </r>
  <r>
    <x v="2"/>
    <s v="Dwelling: Primary fires"/>
    <x v="1"/>
    <n v="207"/>
    <n v="99"/>
    <n v="12"/>
    <n v="19"/>
    <n v="73"/>
    <n v="4"/>
    <s v="2011-12"/>
    <s v="Aberdeenshire"/>
    <s v="Dwelling: Fatal"/>
    <n v="2"/>
    <m/>
    <m/>
    <n v="1"/>
    <m/>
    <n v="1"/>
    <s v="2011-12"/>
    <s v="Aberdeenshire"/>
    <s v="Dwelling: Nonfatal"/>
    <n v="22"/>
    <n v="4"/>
    <n v="5"/>
    <n v="1"/>
    <n v="11"/>
    <n v="1"/>
  </r>
  <r>
    <x v="2"/>
    <s v="Dwelling: Primary fires"/>
    <x v="2"/>
    <n v="101"/>
    <n v="49"/>
    <n v="9"/>
    <n v="13"/>
    <n v="25"/>
    <n v="5"/>
    <s v="2011-12"/>
    <s v="Angus"/>
    <s v="Dwelling: Fatal"/>
    <n v="2"/>
    <n v="2"/>
    <m/>
    <m/>
    <m/>
    <m/>
    <s v="2011-12"/>
    <s v="Angus"/>
    <s v="Dwelling: Nonfatal"/>
    <n v="13"/>
    <n v="9"/>
    <m/>
    <n v="1"/>
    <n v="3"/>
    <m/>
  </r>
  <r>
    <x v="2"/>
    <s v="Dwelling: Primary fires"/>
    <x v="3"/>
    <n v="92"/>
    <n v="42"/>
    <n v="13"/>
    <n v="13"/>
    <n v="20"/>
    <n v="4"/>
    <s v="2011-12"/>
    <s v="Argyll and Bute"/>
    <s v="Dwelling: Fatal"/>
    <n v="5"/>
    <m/>
    <n v="1"/>
    <m/>
    <n v="1"/>
    <n v="3"/>
    <s v="2011-12"/>
    <s v="Argyll and Bute"/>
    <s v="Dwelling: Nonfatal"/>
    <n v="8"/>
    <n v="5"/>
    <n v="1"/>
    <n v="1"/>
    <m/>
    <n v="1"/>
  </r>
  <r>
    <x v="2"/>
    <s v="Dwelling: Primary fires"/>
    <x v="4"/>
    <n v="746"/>
    <n v="269"/>
    <n v="53"/>
    <n v="103"/>
    <n v="310"/>
    <n v="11"/>
    <s v="2011-12"/>
    <s v="City of Edinburgh"/>
    <s v="Dwelling: Fatal"/>
    <n v="3"/>
    <n v="2"/>
    <m/>
    <n v="1"/>
    <m/>
    <m/>
    <s v="2011-12"/>
    <s v="City of Edinburgh"/>
    <s v="Dwelling: Nonfatal"/>
    <n v="223"/>
    <n v="95"/>
    <n v="14"/>
    <n v="30"/>
    <n v="66"/>
    <n v="18"/>
  </r>
  <r>
    <x v="2"/>
    <s v="Dwelling: Primary fires"/>
    <x v="5"/>
    <n v="58"/>
    <n v="13"/>
    <n v="4"/>
    <n v="6"/>
    <n v="34"/>
    <n v="1"/>
    <m/>
    <m/>
    <m/>
    <m/>
    <m/>
    <m/>
    <m/>
    <m/>
    <m/>
    <s v="2011-12"/>
    <s v="Clackmannanshire"/>
    <s v="Dwelling: Nonfatal"/>
    <n v="17"/>
    <n v="2"/>
    <m/>
    <n v="1"/>
    <n v="14"/>
    <m/>
  </r>
  <r>
    <x v="2"/>
    <s v="Dwelling: Primary fires"/>
    <x v="6"/>
    <n v="106"/>
    <n v="51"/>
    <n v="11"/>
    <n v="32"/>
    <n v="11"/>
    <n v="1"/>
    <s v="2011-12"/>
    <s v="Dumfries and Galloway"/>
    <s v="Dwelling: Fatal"/>
    <n v="1"/>
    <m/>
    <m/>
    <n v="1"/>
    <m/>
    <m/>
    <s v="2011-12"/>
    <s v="Dumfries and Galloway"/>
    <s v="Dwelling: Nonfatal"/>
    <n v="25"/>
    <n v="15"/>
    <n v="3"/>
    <n v="4"/>
    <n v="3"/>
    <m/>
  </r>
  <r>
    <x v="2"/>
    <s v="Dwelling: Primary fires"/>
    <x v="7"/>
    <n v="276"/>
    <n v="106"/>
    <n v="28"/>
    <n v="34"/>
    <n v="108"/>
    <m/>
    <s v="2011-12"/>
    <s v="Dundee City"/>
    <s v="Dwelling: Fatal"/>
    <n v="2"/>
    <m/>
    <m/>
    <m/>
    <n v="2"/>
    <m/>
    <s v="2011-12"/>
    <s v="Dundee City"/>
    <s v="Dwelling: Nonfatal"/>
    <n v="43"/>
    <n v="17"/>
    <n v="6"/>
    <n v="4"/>
    <n v="16"/>
    <m/>
  </r>
  <r>
    <x v="2"/>
    <s v="Dwelling: Primary fires"/>
    <x v="8"/>
    <n v="116"/>
    <n v="51"/>
    <n v="18"/>
    <n v="10"/>
    <n v="32"/>
    <n v="5"/>
    <s v="2011-12"/>
    <s v="East Ayrshire"/>
    <s v="Dwelling: Fatal"/>
    <n v="3"/>
    <m/>
    <n v="1"/>
    <m/>
    <n v="1"/>
    <n v="1"/>
    <s v="2011-12"/>
    <s v="East Ayrshire"/>
    <s v="Dwelling: Nonfatal"/>
    <n v="19"/>
    <n v="5"/>
    <n v="7"/>
    <n v="4"/>
    <n v="3"/>
    <m/>
  </r>
  <r>
    <x v="2"/>
    <s v="Dwelling: Primary fires"/>
    <x v="9"/>
    <n v="65"/>
    <n v="32"/>
    <n v="5"/>
    <n v="15"/>
    <n v="12"/>
    <n v="1"/>
    <m/>
    <m/>
    <m/>
    <m/>
    <m/>
    <m/>
    <m/>
    <m/>
    <m/>
    <s v="2011-12"/>
    <s v="East Dunbartonshire"/>
    <s v="Dwelling: Nonfatal"/>
    <n v="6"/>
    <n v="4"/>
    <m/>
    <n v="2"/>
    <m/>
    <m/>
  </r>
  <r>
    <x v="2"/>
    <s v="Dwelling: Primary fires"/>
    <x v="10"/>
    <n v="98"/>
    <n v="38"/>
    <n v="7"/>
    <n v="9"/>
    <n v="42"/>
    <n v="2"/>
    <s v="2011-12"/>
    <s v="East Lothian"/>
    <s v="Dwelling: Fatal"/>
    <n v="1"/>
    <m/>
    <n v="1"/>
    <m/>
    <m/>
    <m/>
    <s v="2011-12"/>
    <s v="East Lothian"/>
    <s v="Dwelling: Nonfatal"/>
    <n v="21"/>
    <n v="13"/>
    <n v="2"/>
    <m/>
    <n v="6"/>
    <m/>
  </r>
  <r>
    <x v="2"/>
    <s v="Dwelling: Primary fires"/>
    <x v="11"/>
    <n v="68"/>
    <n v="34"/>
    <n v="5"/>
    <n v="11"/>
    <n v="18"/>
    <m/>
    <m/>
    <m/>
    <m/>
    <m/>
    <m/>
    <m/>
    <m/>
    <m/>
    <m/>
    <s v="2011-12"/>
    <s v="East Renfrewshire"/>
    <s v="Dwelling: Nonfatal"/>
    <n v="19"/>
    <n v="9"/>
    <m/>
    <n v="1"/>
    <n v="9"/>
    <m/>
  </r>
  <r>
    <x v="2"/>
    <s v="Dwelling: Primary fires"/>
    <x v="12"/>
    <n v="119"/>
    <n v="36"/>
    <n v="8"/>
    <n v="24"/>
    <n v="49"/>
    <n v="2"/>
    <s v="2011-12"/>
    <s v="Falkirk"/>
    <s v="Dwelling: Fatal"/>
    <n v="2"/>
    <m/>
    <m/>
    <n v="2"/>
    <m/>
    <m/>
    <s v="2011-12"/>
    <s v="Falkirk"/>
    <s v="Dwelling: Nonfatal"/>
    <n v="21"/>
    <n v="8"/>
    <n v="1"/>
    <n v="8"/>
    <n v="4"/>
    <m/>
  </r>
  <r>
    <x v="2"/>
    <s v="Dwelling: Primary fires"/>
    <x v="13"/>
    <n v="303"/>
    <n v="109"/>
    <n v="34"/>
    <n v="39"/>
    <n v="118"/>
    <n v="3"/>
    <s v="2011-12"/>
    <s v="Fife"/>
    <s v="Dwelling: Fatal"/>
    <n v="4"/>
    <m/>
    <n v="2"/>
    <n v="1"/>
    <n v="1"/>
    <m/>
    <s v="2011-12"/>
    <s v="Fife"/>
    <s v="Dwelling: Nonfatal"/>
    <n v="58"/>
    <n v="20"/>
    <n v="12"/>
    <n v="6"/>
    <n v="20"/>
    <m/>
  </r>
  <r>
    <x v="2"/>
    <s v="Dwelling: Primary fires"/>
    <x v="14"/>
    <n v="1213"/>
    <n v="582"/>
    <n v="73"/>
    <n v="120"/>
    <n v="410"/>
    <n v="28"/>
    <s v="2011-12"/>
    <s v="Glasgow City"/>
    <s v="Dwelling: Fatal"/>
    <n v="8"/>
    <n v="4"/>
    <n v="1"/>
    <n v="1"/>
    <n v="2"/>
    <m/>
    <s v="2011-12"/>
    <s v="Glasgow City"/>
    <s v="Dwelling: Nonfatal"/>
    <n v="192"/>
    <n v="87"/>
    <n v="21"/>
    <n v="9"/>
    <n v="70"/>
    <n v="5"/>
  </r>
  <r>
    <x v="2"/>
    <s v="Dwelling: Primary fires"/>
    <x v="15"/>
    <n v="143"/>
    <n v="47"/>
    <n v="14"/>
    <n v="14"/>
    <n v="56"/>
    <n v="12"/>
    <s v="2011-12"/>
    <s v="Highland"/>
    <s v="Dwelling: Fatal"/>
    <n v="2"/>
    <m/>
    <m/>
    <n v="1"/>
    <n v="1"/>
    <m/>
    <s v="2011-12"/>
    <s v="Highland"/>
    <s v="Dwelling: Nonfatal"/>
    <n v="55"/>
    <n v="21"/>
    <n v="2"/>
    <m/>
    <n v="28"/>
    <n v="4"/>
  </r>
  <r>
    <x v="2"/>
    <s v="Dwelling: Primary fires"/>
    <x v="16"/>
    <n v="108"/>
    <n v="33"/>
    <n v="3"/>
    <n v="22"/>
    <n v="49"/>
    <n v="1"/>
    <s v="2011-12"/>
    <s v="Inverclyde"/>
    <s v="Dwelling: Fatal"/>
    <n v="2"/>
    <m/>
    <m/>
    <n v="1"/>
    <n v="1"/>
    <m/>
    <s v="2011-12"/>
    <s v="Inverclyde"/>
    <s v="Dwelling: Nonfatal"/>
    <n v="17"/>
    <n v="3"/>
    <n v="2"/>
    <n v="5"/>
    <n v="7"/>
    <m/>
  </r>
  <r>
    <x v="2"/>
    <s v="Dwelling: Primary fires"/>
    <x v="17"/>
    <n v="79"/>
    <n v="38"/>
    <n v="8"/>
    <n v="13"/>
    <n v="20"/>
    <m/>
    <s v="2011-12"/>
    <s v="Midlothian"/>
    <s v="Dwelling: Fatal"/>
    <n v="2"/>
    <m/>
    <n v="1"/>
    <n v="1"/>
    <m/>
    <m/>
    <s v="2011-12"/>
    <s v="Midlothian"/>
    <s v="Dwelling: Nonfatal"/>
    <n v="23"/>
    <n v="15"/>
    <n v="3"/>
    <n v="3"/>
    <n v="2"/>
    <m/>
  </r>
  <r>
    <x v="2"/>
    <s v="Dwelling: Primary fires"/>
    <x v="18"/>
    <n v="75"/>
    <n v="34"/>
    <n v="7"/>
    <n v="7"/>
    <n v="26"/>
    <n v="1"/>
    <m/>
    <m/>
    <m/>
    <m/>
    <m/>
    <m/>
    <m/>
    <m/>
    <m/>
    <s v="2011-12"/>
    <s v="Moray"/>
    <s v="Dwelling: Nonfatal"/>
    <n v="21"/>
    <n v="8"/>
    <n v="6"/>
    <n v="4"/>
    <n v="3"/>
    <m/>
  </r>
  <r>
    <x v="2"/>
    <s v="Dwelling: Primary fires"/>
    <x v="19"/>
    <n v="17"/>
    <n v="5"/>
    <n v="5"/>
    <n v="2"/>
    <n v="3"/>
    <n v="2"/>
    <s v="2011-12"/>
    <s v="Na h-Eileanan Siar"/>
    <s v="Dwelling: Fatal"/>
    <n v="1"/>
    <m/>
    <n v="1"/>
    <m/>
    <m/>
    <m/>
    <s v="2011-12"/>
    <s v="Na h-Eileanan Siar"/>
    <s v="Dwelling: Nonfatal"/>
    <n v="3"/>
    <n v="2"/>
    <m/>
    <m/>
    <n v="1"/>
    <m/>
  </r>
  <r>
    <x v="2"/>
    <s v="Dwelling: Primary fires"/>
    <x v="20"/>
    <n v="142"/>
    <n v="78"/>
    <n v="13"/>
    <n v="24"/>
    <n v="27"/>
    <m/>
    <m/>
    <m/>
    <m/>
    <m/>
    <m/>
    <m/>
    <m/>
    <m/>
    <m/>
    <s v="2011-12"/>
    <s v="North Ayrshire"/>
    <s v="Dwelling: Nonfatal"/>
    <n v="27"/>
    <n v="11"/>
    <n v="2"/>
    <n v="5"/>
    <n v="9"/>
    <m/>
  </r>
  <r>
    <x v="2"/>
    <s v="Dwelling: Primary fires"/>
    <x v="21"/>
    <n v="345"/>
    <n v="162"/>
    <n v="31"/>
    <n v="29"/>
    <n v="115"/>
    <n v="8"/>
    <s v="2011-12"/>
    <s v="North Lanarkshire"/>
    <s v="Dwelling: Fatal"/>
    <n v="1"/>
    <m/>
    <n v="1"/>
    <m/>
    <m/>
    <m/>
    <s v="2011-12"/>
    <s v="North Lanarkshire"/>
    <s v="Dwelling: Nonfatal"/>
    <n v="75"/>
    <n v="43"/>
    <n v="5"/>
    <n v="2"/>
    <n v="23"/>
    <n v="2"/>
  </r>
  <r>
    <x v="2"/>
    <s v="Dwelling: Primary fires"/>
    <x v="22"/>
    <n v="12"/>
    <n v="6"/>
    <m/>
    <n v="2"/>
    <n v="1"/>
    <n v="3"/>
    <m/>
    <m/>
    <m/>
    <m/>
    <m/>
    <m/>
    <m/>
    <m/>
    <m/>
    <s v="2011-12"/>
    <s v="Orkney Islands"/>
    <s v="Dwelling: Nonfatal"/>
    <n v="2"/>
    <m/>
    <m/>
    <n v="2"/>
    <m/>
    <m/>
  </r>
  <r>
    <x v="2"/>
    <s v="Dwelling: Primary fires"/>
    <x v="23"/>
    <n v="127"/>
    <n v="41"/>
    <n v="6"/>
    <n v="30"/>
    <n v="47"/>
    <n v="3"/>
    <s v="2011-12"/>
    <s v="Perth and Kinross"/>
    <s v="Dwelling: Fatal"/>
    <n v="1"/>
    <m/>
    <m/>
    <n v="1"/>
    <m/>
    <m/>
    <s v="2011-12"/>
    <s v="Perth and Kinross"/>
    <s v="Dwelling: Nonfatal"/>
    <n v="13"/>
    <n v="6"/>
    <m/>
    <n v="2"/>
    <n v="5"/>
    <m/>
  </r>
  <r>
    <x v="2"/>
    <s v="Dwelling: Primary fires"/>
    <x v="24"/>
    <n v="264"/>
    <n v="120"/>
    <n v="21"/>
    <n v="26"/>
    <n v="89"/>
    <n v="8"/>
    <m/>
    <m/>
    <m/>
    <m/>
    <m/>
    <m/>
    <m/>
    <m/>
    <m/>
    <s v="2011-12"/>
    <s v="Renfrewshire"/>
    <s v="Dwelling: Nonfatal"/>
    <n v="40"/>
    <n v="14"/>
    <n v="10"/>
    <n v="6"/>
    <n v="9"/>
    <n v="1"/>
  </r>
  <r>
    <x v="2"/>
    <s v="Dwelling: Primary fires"/>
    <x v="25"/>
    <n v="95"/>
    <n v="37"/>
    <n v="10"/>
    <n v="14"/>
    <n v="32"/>
    <n v="2"/>
    <s v="2011-12"/>
    <s v="Scottish Borders"/>
    <s v="Dwelling: Fatal"/>
    <n v="2"/>
    <n v="1"/>
    <m/>
    <n v="1"/>
    <m/>
    <m/>
    <s v="2011-12"/>
    <s v="Scottish Borders"/>
    <s v="Dwelling: Nonfatal"/>
    <n v="16"/>
    <n v="11"/>
    <m/>
    <n v="1"/>
    <n v="4"/>
    <m/>
  </r>
  <r>
    <x v="2"/>
    <s v="Dwelling: Primary fires"/>
    <x v="26"/>
    <n v="10"/>
    <n v="4"/>
    <n v="1"/>
    <n v="1"/>
    <n v="3"/>
    <n v="1"/>
    <m/>
    <m/>
    <m/>
    <m/>
    <m/>
    <m/>
    <m/>
    <m/>
    <m/>
    <s v="2011-12"/>
    <s v="Shetland Islands"/>
    <s v="Dwelling: Nonfatal"/>
    <n v="1"/>
    <n v="1"/>
    <m/>
    <m/>
    <m/>
    <m/>
  </r>
  <r>
    <x v="2"/>
    <s v="Dwelling: Primary fires"/>
    <x v="27"/>
    <n v="86"/>
    <n v="43"/>
    <n v="6"/>
    <n v="15"/>
    <n v="20"/>
    <n v="2"/>
    <s v="2011-12"/>
    <s v="South Ayrshire"/>
    <s v="Dwelling: Fatal"/>
    <n v="1"/>
    <m/>
    <m/>
    <m/>
    <n v="1"/>
    <m/>
    <s v="2011-12"/>
    <s v="South Ayrshire"/>
    <s v="Dwelling: Nonfatal"/>
    <n v="18"/>
    <n v="5"/>
    <n v="3"/>
    <n v="2"/>
    <n v="8"/>
    <m/>
  </r>
  <r>
    <x v="2"/>
    <s v="Dwelling: Primary fires"/>
    <x v="28"/>
    <n v="312"/>
    <n v="148"/>
    <n v="28"/>
    <n v="60"/>
    <n v="69"/>
    <n v="7"/>
    <s v="2011-12"/>
    <s v="South Lanarkshire"/>
    <s v="Dwelling: Fatal"/>
    <n v="1"/>
    <n v="1"/>
    <m/>
    <m/>
    <m/>
    <m/>
    <s v="2011-12"/>
    <s v="South Lanarkshire"/>
    <s v="Dwelling: Nonfatal"/>
    <n v="50"/>
    <n v="20"/>
    <n v="9"/>
    <n v="13"/>
    <n v="8"/>
    <m/>
  </r>
  <r>
    <x v="2"/>
    <s v="Dwelling: Primary fires"/>
    <x v="29"/>
    <n v="69"/>
    <n v="30"/>
    <n v="3"/>
    <n v="7"/>
    <n v="29"/>
    <m/>
    <s v="2011-12"/>
    <s v="Stirling"/>
    <s v="Dwelling: Fatal"/>
    <n v="1"/>
    <n v="1"/>
    <m/>
    <m/>
    <m/>
    <m/>
    <s v="2011-12"/>
    <s v="Stirling"/>
    <s v="Dwelling: Nonfatal"/>
    <n v="16"/>
    <n v="5"/>
    <n v="2"/>
    <n v="1"/>
    <n v="8"/>
    <m/>
  </r>
  <r>
    <x v="2"/>
    <s v="Dwelling: Primary fires"/>
    <x v="30"/>
    <n v="148"/>
    <n v="71"/>
    <n v="12"/>
    <n v="16"/>
    <n v="45"/>
    <n v="4"/>
    <m/>
    <m/>
    <m/>
    <m/>
    <m/>
    <m/>
    <m/>
    <m/>
    <m/>
    <s v="2011-12"/>
    <s v="West Dunbartonshire"/>
    <s v="Dwelling: Nonfatal"/>
    <n v="22"/>
    <n v="10"/>
    <n v="4"/>
    <n v="4"/>
    <n v="4"/>
    <m/>
  </r>
  <r>
    <x v="2"/>
    <s v="Dwelling: Primary fires"/>
    <x v="31"/>
    <n v="182"/>
    <n v="84"/>
    <n v="19"/>
    <n v="24"/>
    <n v="53"/>
    <n v="2"/>
    <s v="2011-12"/>
    <s v="West Lothian"/>
    <s v="Dwelling: Fatal"/>
    <n v="2"/>
    <n v="1"/>
    <n v="1"/>
    <m/>
    <m/>
    <m/>
    <s v="2011-12"/>
    <s v="West Lothian"/>
    <s v="Dwelling: Nonfatal"/>
    <n v="58"/>
    <n v="16"/>
    <n v="13"/>
    <n v="14"/>
    <n v="14"/>
    <n v="1"/>
  </r>
  <r>
    <x v="3"/>
    <s v="Dwelling: Primary fires"/>
    <x v="0"/>
    <n v="320"/>
    <n v="150"/>
    <n v="27"/>
    <n v="29"/>
    <n v="112"/>
    <n v="2"/>
    <s v="2012-13"/>
    <s v="Aberdeen City"/>
    <s v="Dwelling: Fatal"/>
    <n v="3"/>
    <m/>
    <n v="1"/>
    <m/>
    <n v="1"/>
    <n v="1"/>
    <s v="2012-13"/>
    <s v="Aberdeen City"/>
    <s v="Dwelling: Nonfatal"/>
    <n v="54"/>
    <n v="23"/>
    <n v="10"/>
    <n v="2"/>
    <n v="19"/>
    <m/>
  </r>
  <r>
    <x v="3"/>
    <s v="Dwelling: Primary fires"/>
    <x v="1"/>
    <n v="179"/>
    <n v="91"/>
    <n v="12"/>
    <n v="9"/>
    <n v="65"/>
    <n v="2"/>
    <s v="2012-13"/>
    <s v="Aberdeenshire"/>
    <s v="Dwelling: Fatal"/>
    <n v="2"/>
    <m/>
    <m/>
    <m/>
    <n v="2"/>
    <m/>
    <s v="2012-13"/>
    <s v="Aberdeenshire"/>
    <s v="Dwelling: Nonfatal"/>
    <n v="31"/>
    <n v="14"/>
    <n v="2"/>
    <n v="1"/>
    <n v="11"/>
    <n v="3"/>
  </r>
  <r>
    <x v="3"/>
    <s v="Dwelling: Primary fires"/>
    <x v="2"/>
    <n v="86"/>
    <n v="32"/>
    <n v="7"/>
    <n v="20"/>
    <n v="24"/>
    <n v="3"/>
    <m/>
    <m/>
    <m/>
    <m/>
    <m/>
    <m/>
    <m/>
    <m/>
    <m/>
    <s v="2012-13"/>
    <s v="Angus"/>
    <s v="Dwelling: Nonfatal"/>
    <n v="17"/>
    <n v="7"/>
    <n v="3"/>
    <n v="2"/>
    <n v="2"/>
    <n v="3"/>
  </r>
  <r>
    <x v="3"/>
    <s v="Dwelling: Primary fires"/>
    <x v="3"/>
    <n v="88"/>
    <n v="47"/>
    <n v="5"/>
    <n v="6"/>
    <n v="25"/>
    <n v="5"/>
    <m/>
    <m/>
    <m/>
    <m/>
    <m/>
    <m/>
    <m/>
    <m/>
    <m/>
    <s v="2012-13"/>
    <s v="Argyll and Bute"/>
    <s v="Dwelling: Nonfatal"/>
    <n v="15"/>
    <n v="7"/>
    <n v="4"/>
    <n v="1"/>
    <n v="3"/>
    <m/>
  </r>
  <r>
    <x v="3"/>
    <s v="Dwelling: Primary fires"/>
    <x v="4"/>
    <n v="700"/>
    <n v="257"/>
    <n v="49"/>
    <n v="85"/>
    <n v="297"/>
    <n v="12"/>
    <s v="2012-13"/>
    <s v="City of Edinburgh"/>
    <s v="Dwelling: Fatal"/>
    <n v="6"/>
    <n v="1"/>
    <n v="1"/>
    <n v="1"/>
    <n v="3"/>
    <m/>
    <s v="2012-13"/>
    <s v="City of Edinburgh"/>
    <s v="Dwelling: Nonfatal"/>
    <n v="151"/>
    <n v="47"/>
    <n v="14"/>
    <n v="22"/>
    <n v="63"/>
    <n v="5"/>
  </r>
  <r>
    <x v="3"/>
    <s v="Dwelling: Primary fires"/>
    <x v="5"/>
    <n v="44"/>
    <n v="15"/>
    <n v="4"/>
    <n v="5"/>
    <n v="20"/>
    <m/>
    <m/>
    <m/>
    <m/>
    <m/>
    <m/>
    <m/>
    <m/>
    <m/>
    <m/>
    <s v="2012-13"/>
    <s v="Clackmannanshire"/>
    <s v="Dwelling: Nonfatal"/>
    <n v="7"/>
    <n v="3"/>
    <n v="1"/>
    <n v="1"/>
    <n v="2"/>
    <m/>
  </r>
  <r>
    <x v="3"/>
    <s v="Dwelling: Primary fires"/>
    <x v="6"/>
    <n v="106"/>
    <n v="50"/>
    <n v="18"/>
    <n v="26"/>
    <n v="11"/>
    <n v="1"/>
    <m/>
    <m/>
    <m/>
    <m/>
    <m/>
    <m/>
    <m/>
    <m/>
    <m/>
    <s v="2012-13"/>
    <s v="Dumfries and Galloway"/>
    <s v="Dwelling: Nonfatal"/>
    <n v="32"/>
    <n v="18"/>
    <n v="5"/>
    <n v="7"/>
    <n v="2"/>
    <m/>
  </r>
  <r>
    <x v="3"/>
    <s v="Dwelling: Primary fires"/>
    <x v="7"/>
    <n v="269"/>
    <n v="117"/>
    <n v="23"/>
    <n v="47"/>
    <n v="77"/>
    <n v="5"/>
    <s v="2012-13"/>
    <s v="Dundee City"/>
    <s v="Dwelling: Fatal"/>
    <n v="1"/>
    <m/>
    <n v="1"/>
    <m/>
    <m/>
    <m/>
    <s v="2012-13"/>
    <s v="Dundee City"/>
    <s v="Dwelling: Nonfatal"/>
    <n v="53"/>
    <n v="24"/>
    <n v="10"/>
    <n v="8"/>
    <n v="10"/>
    <n v="1"/>
  </r>
  <r>
    <x v="3"/>
    <s v="Dwelling: Primary fires"/>
    <x v="8"/>
    <n v="108"/>
    <n v="48"/>
    <n v="11"/>
    <n v="22"/>
    <n v="24"/>
    <n v="3"/>
    <m/>
    <m/>
    <m/>
    <m/>
    <m/>
    <m/>
    <m/>
    <m/>
    <m/>
    <s v="2012-13"/>
    <s v="East Ayrshire"/>
    <s v="Dwelling: Nonfatal"/>
    <n v="11"/>
    <n v="7"/>
    <m/>
    <n v="1"/>
    <n v="3"/>
    <m/>
  </r>
  <r>
    <x v="3"/>
    <s v="Dwelling: Primary fires"/>
    <x v="9"/>
    <n v="70"/>
    <n v="30"/>
    <n v="3"/>
    <n v="18"/>
    <n v="17"/>
    <n v="2"/>
    <s v="2012-13"/>
    <s v="East Dunbartonshire"/>
    <s v="Dwelling: Fatal"/>
    <n v="1"/>
    <m/>
    <m/>
    <m/>
    <n v="1"/>
    <m/>
    <s v="2012-13"/>
    <s v="East Dunbartonshire"/>
    <s v="Dwelling: Nonfatal"/>
    <n v="23"/>
    <n v="15"/>
    <m/>
    <n v="2"/>
    <n v="4"/>
    <n v="2"/>
  </r>
  <r>
    <x v="3"/>
    <s v="Dwelling: Primary fires"/>
    <x v="10"/>
    <n v="103"/>
    <n v="53"/>
    <n v="9"/>
    <n v="13"/>
    <n v="28"/>
    <m/>
    <s v="2012-13"/>
    <s v="East Lothian"/>
    <s v="Dwelling: Fatal"/>
    <n v="1"/>
    <m/>
    <m/>
    <m/>
    <n v="1"/>
    <m/>
    <s v="2012-13"/>
    <s v="East Lothian"/>
    <s v="Dwelling: Nonfatal"/>
    <n v="13"/>
    <n v="8"/>
    <m/>
    <n v="1"/>
    <n v="4"/>
    <m/>
  </r>
  <r>
    <x v="3"/>
    <s v="Dwelling: Primary fires"/>
    <x v="11"/>
    <n v="75"/>
    <n v="39"/>
    <n v="5"/>
    <n v="10"/>
    <n v="21"/>
    <m/>
    <m/>
    <m/>
    <m/>
    <m/>
    <m/>
    <m/>
    <m/>
    <m/>
    <m/>
    <s v="2012-13"/>
    <s v="East Renfrewshire"/>
    <s v="Dwelling: Nonfatal"/>
    <n v="9"/>
    <n v="7"/>
    <m/>
    <n v="1"/>
    <n v="1"/>
    <m/>
  </r>
  <r>
    <x v="3"/>
    <s v="Dwelling: Primary fires"/>
    <x v="12"/>
    <n v="103"/>
    <n v="29"/>
    <n v="11"/>
    <n v="21"/>
    <n v="35"/>
    <n v="7"/>
    <s v="2012-13"/>
    <s v="Falkirk"/>
    <s v="Dwelling: Fatal"/>
    <n v="1"/>
    <m/>
    <n v="1"/>
    <m/>
    <m/>
    <m/>
    <s v="2012-13"/>
    <s v="Falkirk"/>
    <s v="Dwelling: Nonfatal"/>
    <n v="11"/>
    <n v="7"/>
    <m/>
    <n v="1"/>
    <n v="3"/>
    <m/>
  </r>
  <r>
    <x v="3"/>
    <s v="Dwelling: Primary fires"/>
    <x v="13"/>
    <n v="298"/>
    <n v="107"/>
    <n v="30"/>
    <n v="43"/>
    <n v="117"/>
    <n v="1"/>
    <s v="2012-13"/>
    <s v="Fife"/>
    <s v="Dwelling: Fatal"/>
    <n v="2"/>
    <n v="1"/>
    <m/>
    <n v="1"/>
    <m/>
    <m/>
    <s v="2012-13"/>
    <s v="Fife"/>
    <s v="Dwelling: Nonfatal"/>
    <n v="62"/>
    <n v="26"/>
    <n v="12"/>
    <n v="3"/>
    <n v="21"/>
    <m/>
  </r>
  <r>
    <x v="3"/>
    <s v="Dwelling: Primary fires"/>
    <x v="14"/>
    <n v="1040"/>
    <n v="514"/>
    <n v="65"/>
    <n v="134"/>
    <n v="316"/>
    <n v="11"/>
    <s v="2012-13"/>
    <s v="Glasgow City"/>
    <s v="Dwelling: Fatal"/>
    <n v="5"/>
    <n v="2"/>
    <n v="1"/>
    <n v="1"/>
    <n v="1"/>
    <m/>
    <s v="2012-13"/>
    <s v="Glasgow City"/>
    <s v="Dwelling: Nonfatal"/>
    <n v="193"/>
    <n v="87"/>
    <n v="13"/>
    <n v="29"/>
    <n v="60"/>
    <n v="4"/>
  </r>
  <r>
    <x v="3"/>
    <s v="Dwelling: Primary fires"/>
    <x v="15"/>
    <n v="132"/>
    <n v="40"/>
    <n v="21"/>
    <n v="18"/>
    <n v="47"/>
    <n v="6"/>
    <s v="2012-13"/>
    <s v="Highland"/>
    <s v="Dwelling: Fatal"/>
    <n v="1"/>
    <m/>
    <m/>
    <m/>
    <m/>
    <n v="1"/>
    <s v="2012-13"/>
    <s v="Highland"/>
    <s v="Dwelling: Nonfatal"/>
    <n v="43"/>
    <n v="10"/>
    <n v="11"/>
    <n v="4"/>
    <n v="16"/>
    <n v="2"/>
  </r>
  <r>
    <x v="3"/>
    <s v="Dwelling: Primary fires"/>
    <x v="16"/>
    <n v="98"/>
    <n v="50"/>
    <n v="7"/>
    <n v="15"/>
    <n v="25"/>
    <n v="1"/>
    <m/>
    <m/>
    <m/>
    <m/>
    <m/>
    <m/>
    <m/>
    <m/>
    <m/>
    <s v="2012-13"/>
    <s v="Inverclyde"/>
    <s v="Dwelling: Nonfatal"/>
    <n v="19"/>
    <n v="12"/>
    <m/>
    <n v="3"/>
    <n v="1"/>
    <n v="3"/>
  </r>
  <r>
    <x v="3"/>
    <s v="Dwelling: Primary fires"/>
    <x v="17"/>
    <n v="93"/>
    <n v="41"/>
    <n v="15"/>
    <n v="16"/>
    <n v="18"/>
    <n v="3"/>
    <s v="2012-13"/>
    <s v="Midlothian"/>
    <s v="Dwelling: Fatal"/>
    <n v="1"/>
    <m/>
    <n v="1"/>
    <m/>
    <m/>
    <m/>
    <s v="2012-13"/>
    <s v="Midlothian"/>
    <s v="Dwelling: Nonfatal"/>
    <n v="18"/>
    <n v="9"/>
    <n v="2"/>
    <n v="6"/>
    <n v="1"/>
    <m/>
  </r>
  <r>
    <x v="3"/>
    <s v="Dwelling: Primary fires"/>
    <x v="18"/>
    <n v="57"/>
    <n v="32"/>
    <n v="6"/>
    <n v="4"/>
    <n v="15"/>
    <m/>
    <s v="2012-13"/>
    <s v="Moray"/>
    <s v="Dwelling: Fatal"/>
    <n v="1"/>
    <m/>
    <m/>
    <n v="1"/>
    <m/>
    <m/>
    <s v="2012-13"/>
    <s v="Moray"/>
    <s v="Dwelling: Nonfatal"/>
    <n v="24"/>
    <n v="12"/>
    <n v="2"/>
    <n v="2"/>
    <n v="8"/>
    <m/>
  </r>
  <r>
    <x v="3"/>
    <s v="Dwelling: Primary fires"/>
    <x v="19"/>
    <n v="23"/>
    <n v="7"/>
    <n v="4"/>
    <n v="3"/>
    <n v="6"/>
    <n v="3"/>
    <s v="2012-13"/>
    <s v="Na h-Eileanan Siar"/>
    <s v="Dwelling: Fatal"/>
    <n v="1"/>
    <m/>
    <n v="1"/>
    <m/>
    <m/>
    <m/>
    <s v="2012-13"/>
    <s v="Na h-Eileanan Siar"/>
    <s v="Dwelling: Nonfatal"/>
    <n v="11"/>
    <n v="3"/>
    <n v="1"/>
    <n v="2"/>
    <m/>
    <n v="5"/>
  </r>
  <r>
    <x v="3"/>
    <s v="Dwelling: Primary fires"/>
    <x v="20"/>
    <n v="154"/>
    <n v="80"/>
    <n v="8"/>
    <n v="30"/>
    <n v="32"/>
    <n v="4"/>
    <m/>
    <m/>
    <m/>
    <m/>
    <m/>
    <m/>
    <m/>
    <m/>
    <m/>
    <s v="2012-13"/>
    <s v="North Ayrshire"/>
    <s v="Dwelling: Nonfatal"/>
    <n v="30"/>
    <n v="15"/>
    <n v="4"/>
    <n v="4"/>
    <n v="4"/>
    <n v="3"/>
  </r>
  <r>
    <x v="3"/>
    <s v="Dwelling: Primary fires"/>
    <x v="21"/>
    <n v="360"/>
    <n v="170"/>
    <n v="39"/>
    <n v="35"/>
    <n v="111"/>
    <n v="5"/>
    <s v="2012-13"/>
    <s v="North Lanarkshire"/>
    <s v="Dwelling: Fatal"/>
    <n v="2"/>
    <n v="1"/>
    <m/>
    <m/>
    <n v="1"/>
    <m/>
    <s v="2012-13"/>
    <s v="North Lanarkshire"/>
    <s v="Dwelling: Nonfatal"/>
    <n v="71"/>
    <n v="42"/>
    <n v="12"/>
    <n v="1"/>
    <n v="14"/>
    <n v="2"/>
  </r>
  <r>
    <x v="3"/>
    <s v="Dwelling: Primary fires"/>
    <x v="22"/>
    <n v="10"/>
    <n v="2"/>
    <m/>
    <n v="2"/>
    <n v="3"/>
    <n v="3"/>
    <m/>
    <m/>
    <m/>
    <m/>
    <m/>
    <m/>
    <m/>
    <m/>
    <m/>
    <m/>
    <m/>
    <m/>
    <m/>
    <m/>
    <m/>
    <m/>
    <m/>
    <m/>
  </r>
  <r>
    <x v="3"/>
    <s v="Dwelling: Primary fires"/>
    <x v="23"/>
    <n v="121"/>
    <n v="55"/>
    <n v="8"/>
    <n v="17"/>
    <n v="38"/>
    <n v="3"/>
    <s v="2012-13"/>
    <s v="Perth and Kinross"/>
    <s v="Dwelling: Fatal"/>
    <n v="1"/>
    <n v="1"/>
    <m/>
    <m/>
    <m/>
    <m/>
    <s v="2012-13"/>
    <s v="Perth and Kinross"/>
    <s v="Dwelling: Nonfatal"/>
    <n v="25"/>
    <n v="16"/>
    <n v="2"/>
    <n v="3"/>
    <n v="3"/>
    <n v="1"/>
  </r>
  <r>
    <x v="3"/>
    <s v="Dwelling: Primary fires"/>
    <x v="24"/>
    <n v="260"/>
    <n v="144"/>
    <n v="26"/>
    <n v="39"/>
    <n v="50"/>
    <n v="1"/>
    <s v="2012-13"/>
    <s v="Renfrewshire"/>
    <s v="Dwelling: Fatal"/>
    <n v="1"/>
    <m/>
    <m/>
    <m/>
    <n v="1"/>
    <m/>
    <s v="2012-13"/>
    <s v="Renfrewshire"/>
    <s v="Dwelling: Nonfatal"/>
    <n v="48"/>
    <n v="23"/>
    <n v="10"/>
    <n v="10"/>
    <n v="5"/>
    <m/>
  </r>
  <r>
    <x v="3"/>
    <s v="Dwelling: Primary fires"/>
    <x v="25"/>
    <n v="107"/>
    <n v="44"/>
    <n v="10"/>
    <n v="12"/>
    <n v="40"/>
    <n v="1"/>
    <s v="2012-13"/>
    <s v="Scottish Borders"/>
    <s v="Dwelling: Fatal"/>
    <n v="1"/>
    <m/>
    <m/>
    <n v="1"/>
    <m/>
    <m/>
    <s v="2012-13"/>
    <s v="Scottish Borders"/>
    <s v="Dwelling: Nonfatal"/>
    <n v="17"/>
    <n v="10"/>
    <n v="1"/>
    <n v="1"/>
    <n v="5"/>
    <m/>
  </r>
  <r>
    <x v="3"/>
    <s v="Dwelling: Primary fires"/>
    <x v="26"/>
    <n v="18"/>
    <n v="4"/>
    <n v="3"/>
    <n v="3"/>
    <n v="6"/>
    <n v="2"/>
    <s v="2012-13"/>
    <s v="Shetland Islands"/>
    <s v="Dwelling: Fatal"/>
    <n v="1"/>
    <m/>
    <m/>
    <n v="1"/>
    <m/>
    <m/>
    <s v="2012-13"/>
    <s v="Shetland Islands"/>
    <s v="Dwelling: Nonfatal"/>
    <n v="3"/>
    <m/>
    <m/>
    <m/>
    <n v="2"/>
    <n v="1"/>
  </r>
  <r>
    <x v="3"/>
    <s v="Dwelling: Primary fires"/>
    <x v="27"/>
    <n v="111"/>
    <n v="58"/>
    <n v="8"/>
    <n v="12"/>
    <n v="32"/>
    <n v="1"/>
    <s v="2012-13"/>
    <s v="South Ayrshire"/>
    <s v="Dwelling: Fatal"/>
    <n v="2"/>
    <n v="1"/>
    <m/>
    <m/>
    <n v="1"/>
    <m/>
    <s v="2012-13"/>
    <s v="South Ayrshire"/>
    <s v="Dwelling: Nonfatal"/>
    <n v="25"/>
    <n v="11"/>
    <n v="5"/>
    <n v="2"/>
    <n v="7"/>
    <m/>
  </r>
  <r>
    <x v="3"/>
    <s v="Dwelling: Primary fires"/>
    <x v="28"/>
    <n v="292"/>
    <n v="169"/>
    <n v="16"/>
    <n v="51"/>
    <n v="53"/>
    <n v="3"/>
    <s v="2012-13"/>
    <s v="South Lanarkshire"/>
    <s v="Dwelling: Fatal"/>
    <n v="4"/>
    <n v="3"/>
    <m/>
    <n v="1"/>
    <m/>
    <m/>
    <s v="2012-13"/>
    <s v="South Lanarkshire"/>
    <s v="Dwelling: Nonfatal"/>
    <n v="64"/>
    <n v="37"/>
    <n v="7"/>
    <n v="10"/>
    <n v="10"/>
    <m/>
  </r>
  <r>
    <x v="3"/>
    <s v="Dwelling: Primary fires"/>
    <x v="29"/>
    <n v="57"/>
    <n v="23"/>
    <n v="7"/>
    <n v="9"/>
    <n v="15"/>
    <n v="3"/>
    <m/>
    <m/>
    <m/>
    <m/>
    <m/>
    <m/>
    <m/>
    <m/>
    <m/>
    <s v="2012-13"/>
    <s v="Stirling"/>
    <s v="Dwelling: Nonfatal"/>
    <n v="6"/>
    <n v="1"/>
    <n v="2"/>
    <n v="3"/>
    <m/>
    <m/>
  </r>
  <r>
    <x v="3"/>
    <s v="Dwelling: Primary fires"/>
    <x v="30"/>
    <n v="146"/>
    <n v="63"/>
    <n v="5"/>
    <n v="14"/>
    <n v="62"/>
    <n v="2"/>
    <s v="2012-13"/>
    <s v="West Dunbartonshire"/>
    <s v="Dwelling: Fatal"/>
    <n v="1"/>
    <m/>
    <m/>
    <m/>
    <n v="1"/>
    <m/>
    <s v="2012-13"/>
    <s v="West Dunbartonshire"/>
    <s v="Dwelling: Nonfatal"/>
    <n v="25"/>
    <n v="13"/>
    <m/>
    <n v="2"/>
    <n v="8"/>
    <n v="2"/>
  </r>
  <r>
    <x v="3"/>
    <s v="Dwelling: Primary fires"/>
    <x v="31"/>
    <n v="201"/>
    <n v="80"/>
    <n v="21"/>
    <n v="38"/>
    <n v="60"/>
    <n v="2"/>
    <s v="2012-13"/>
    <s v="West Lothian"/>
    <s v="Dwelling: Fatal"/>
    <n v="1"/>
    <n v="1"/>
    <m/>
    <m/>
    <m/>
    <m/>
    <s v="2012-13"/>
    <s v="West Lothian"/>
    <s v="Dwelling: Nonfatal"/>
    <n v="55"/>
    <n v="26"/>
    <n v="5"/>
    <n v="10"/>
    <n v="13"/>
    <n v="1"/>
  </r>
  <r>
    <x v="4"/>
    <s v="Dwelling: Primary fires"/>
    <x v="0"/>
    <n v="294"/>
    <n v="150"/>
    <n v="21"/>
    <n v="42"/>
    <n v="78"/>
    <n v="3"/>
    <s v="2013-14"/>
    <s v="Aberdeen City"/>
    <s v="Dwelling: Fatal"/>
    <n v="1"/>
    <m/>
    <n v="1"/>
    <m/>
    <m/>
    <m/>
    <s v="2013-14"/>
    <s v="Aberdeen City"/>
    <s v="Dwelling: Nonfatal"/>
    <n v="51"/>
    <n v="25"/>
    <n v="1"/>
    <n v="8"/>
    <n v="17"/>
    <m/>
  </r>
  <r>
    <x v="4"/>
    <s v="Dwelling: Primary fires"/>
    <x v="1"/>
    <n v="182"/>
    <n v="74"/>
    <n v="17"/>
    <n v="20"/>
    <n v="68"/>
    <n v="3"/>
    <s v="2013-14"/>
    <s v="Aberdeenshire"/>
    <s v="Dwelling: Fatal"/>
    <n v="3"/>
    <n v="1"/>
    <m/>
    <n v="2"/>
    <m/>
    <m/>
    <s v="2013-14"/>
    <s v="Aberdeenshire"/>
    <s v="Dwelling: Nonfatal"/>
    <n v="29"/>
    <n v="8"/>
    <n v="6"/>
    <n v="2"/>
    <n v="12"/>
    <n v="1"/>
  </r>
  <r>
    <x v="4"/>
    <s v="Dwelling: Primary fires"/>
    <x v="2"/>
    <n v="80"/>
    <n v="32"/>
    <n v="7"/>
    <n v="18"/>
    <n v="22"/>
    <n v="1"/>
    <s v="2013-14"/>
    <s v="Angus"/>
    <s v="Dwelling: Fatal"/>
    <n v="1"/>
    <n v="1"/>
    <m/>
    <m/>
    <m/>
    <m/>
    <s v="2013-14"/>
    <s v="Angus"/>
    <s v="Dwelling: Nonfatal"/>
    <n v="20"/>
    <n v="4"/>
    <n v="8"/>
    <n v="1"/>
    <n v="7"/>
    <m/>
  </r>
  <r>
    <x v="4"/>
    <s v="Dwelling: Primary fires"/>
    <x v="3"/>
    <n v="88"/>
    <n v="43"/>
    <n v="5"/>
    <n v="14"/>
    <n v="20"/>
    <n v="6"/>
    <m/>
    <m/>
    <m/>
    <m/>
    <m/>
    <m/>
    <m/>
    <m/>
    <m/>
    <s v="2013-14"/>
    <s v="Argyll and Bute"/>
    <s v="Dwelling: Nonfatal"/>
    <n v="12"/>
    <n v="5"/>
    <n v="3"/>
    <m/>
    <n v="3"/>
    <n v="1"/>
  </r>
  <r>
    <x v="4"/>
    <s v="Dwelling: Primary fires"/>
    <x v="4"/>
    <n v="607"/>
    <n v="242"/>
    <n v="60"/>
    <n v="85"/>
    <n v="216"/>
    <n v="4"/>
    <s v="2013-14"/>
    <s v="City of Edinburgh"/>
    <s v="Dwelling: Fatal"/>
    <n v="4"/>
    <n v="1"/>
    <n v="1"/>
    <n v="1"/>
    <n v="1"/>
    <m/>
    <s v="2013-14"/>
    <s v="City of Edinburgh"/>
    <s v="Dwelling: Nonfatal"/>
    <n v="149"/>
    <n v="60"/>
    <n v="16"/>
    <n v="22"/>
    <n v="49"/>
    <n v="2"/>
  </r>
  <r>
    <x v="4"/>
    <s v="Dwelling: Primary fires"/>
    <x v="5"/>
    <n v="42"/>
    <n v="12"/>
    <n v="7"/>
    <n v="6"/>
    <n v="17"/>
    <m/>
    <m/>
    <m/>
    <m/>
    <m/>
    <m/>
    <m/>
    <m/>
    <m/>
    <m/>
    <s v="2013-14"/>
    <s v="Clackmannanshire"/>
    <s v="Dwelling: Nonfatal"/>
    <n v="3"/>
    <n v="2"/>
    <m/>
    <m/>
    <n v="1"/>
    <m/>
  </r>
  <r>
    <x v="4"/>
    <s v="Dwelling: Primary fires"/>
    <x v="6"/>
    <n v="112"/>
    <n v="53"/>
    <n v="16"/>
    <n v="28"/>
    <n v="15"/>
    <m/>
    <m/>
    <m/>
    <m/>
    <m/>
    <m/>
    <m/>
    <m/>
    <m/>
    <m/>
    <s v="2013-14"/>
    <s v="Dumfries and Galloway"/>
    <s v="Dwelling: Nonfatal"/>
    <n v="23"/>
    <n v="17"/>
    <n v="4"/>
    <n v="1"/>
    <n v="1"/>
    <m/>
  </r>
  <r>
    <x v="4"/>
    <s v="Dwelling: Primary fires"/>
    <x v="7"/>
    <n v="220"/>
    <n v="118"/>
    <n v="15"/>
    <n v="28"/>
    <n v="57"/>
    <n v="2"/>
    <m/>
    <m/>
    <m/>
    <m/>
    <m/>
    <m/>
    <m/>
    <m/>
    <m/>
    <s v="2013-14"/>
    <s v="Dundee City"/>
    <s v="Dwelling: Nonfatal"/>
    <n v="70"/>
    <n v="43"/>
    <n v="8"/>
    <n v="6"/>
    <n v="13"/>
    <m/>
  </r>
  <r>
    <x v="4"/>
    <s v="Dwelling: Primary fires"/>
    <x v="8"/>
    <n v="107"/>
    <n v="65"/>
    <n v="6"/>
    <n v="15"/>
    <n v="18"/>
    <n v="3"/>
    <s v="2013-14"/>
    <s v="East Ayrshire"/>
    <s v="Dwelling: Fatal"/>
    <n v="1"/>
    <m/>
    <m/>
    <n v="1"/>
    <m/>
    <m/>
    <s v="2013-14"/>
    <s v="East Ayrshire"/>
    <s v="Dwelling: Nonfatal"/>
    <n v="16"/>
    <n v="7"/>
    <n v="1"/>
    <n v="1"/>
    <n v="1"/>
    <n v="6"/>
  </r>
  <r>
    <x v="4"/>
    <s v="Dwelling: Primary fires"/>
    <x v="9"/>
    <n v="57"/>
    <n v="27"/>
    <n v="2"/>
    <n v="16"/>
    <n v="12"/>
    <m/>
    <m/>
    <m/>
    <m/>
    <m/>
    <m/>
    <m/>
    <m/>
    <m/>
    <m/>
    <s v="2013-14"/>
    <s v="East Dunbartonshire"/>
    <s v="Dwelling: Nonfatal"/>
    <n v="12"/>
    <n v="6"/>
    <m/>
    <n v="4"/>
    <n v="2"/>
    <m/>
  </r>
  <r>
    <x v="4"/>
    <s v="Dwelling: Primary fires"/>
    <x v="10"/>
    <n v="83"/>
    <n v="42"/>
    <n v="5"/>
    <n v="16"/>
    <n v="19"/>
    <n v="1"/>
    <s v="2013-14"/>
    <s v="East Lothian"/>
    <s v="Dwelling: Fatal"/>
    <n v="1"/>
    <m/>
    <m/>
    <m/>
    <n v="1"/>
    <m/>
    <s v="2013-14"/>
    <s v="East Lothian"/>
    <s v="Dwelling: Nonfatal"/>
    <n v="14"/>
    <n v="9"/>
    <n v="2"/>
    <n v="2"/>
    <n v="1"/>
    <m/>
  </r>
  <r>
    <x v="4"/>
    <s v="Dwelling: Primary fires"/>
    <x v="11"/>
    <n v="64"/>
    <n v="38"/>
    <n v="1"/>
    <n v="14"/>
    <n v="9"/>
    <n v="2"/>
    <m/>
    <m/>
    <m/>
    <m/>
    <m/>
    <m/>
    <m/>
    <m/>
    <m/>
    <s v="2013-14"/>
    <s v="East Renfrewshire"/>
    <s v="Dwelling: Nonfatal"/>
    <n v="11"/>
    <n v="5"/>
    <m/>
    <n v="2"/>
    <n v="2"/>
    <n v="2"/>
  </r>
  <r>
    <x v="4"/>
    <s v="Dwelling: Primary fires"/>
    <x v="12"/>
    <n v="130"/>
    <n v="34"/>
    <n v="21"/>
    <n v="24"/>
    <n v="49"/>
    <n v="2"/>
    <s v="2013-14"/>
    <s v="Falkirk"/>
    <s v="Dwelling: Fatal"/>
    <n v="2"/>
    <m/>
    <n v="1"/>
    <n v="1"/>
    <m/>
    <m/>
    <s v="2013-14"/>
    <s v="Falkirk"/>
    <s v="Dwelling: Nonfatal"/>
    <n v="28"/>
    <n v="10"/>
    <n v="7"/>
    <n v="5"/>
    <n v="6"/>
    <m/>
  </r>
  <r>
    <x v="4"/>
    <s v="Dwelling: Primary fires"/>
    <x v="13"/>
    <n v="231"/>
    <n v="78"/>
    <n v="27"/>
    <n v="33"/>
    <n v="91"/>
    <n v="2"/>
    <s v="2013-14"/>
    <s v="Fife"/>
    <s v="Dwelling: Fatal"/>
    <n v="2"/>
    <m/>
    <n v="1"/>
    <n v="1"/>
    <m/>
    <m/>
    <s v="2013-14"/>
    <s v="Fife"/>
    <s v="Dwelling: Nonfatal"/>
    <n v="44"/>
    <n v="13"/>
    <n v="6"/>
    <n v="2"/>
    <n v="21"/>
    <n v="2"/>
  </r>
  <r>
    <x v="4"/>
    <s v="Dwelling: Primary fires"/>
    <x v="14"/>
    <n v="916"/>
    <n v="452"/>
    <n v="56"/>
    <n v="131"/>
    <n v="261"/>
    <n v="16"/>
    <s v="2013-14"/>
    <s v="Glasgow City"/>
    <s v="Dwelling: Fatal"/>
    <n v="5"/>
    <n v="3"/>
    <n v="1"/>
    <m/>
    <n v="1"/>
    <m/>
    <s v="2013-14"/>
    <s v="Glasgow City"/>
    <s v="Dwelling: Nonfatal"/>
    <n v="171"/>
    <n v="91"/>
    <n v="12"/>
    <n v="12"/>
    <n v="51"/>
    <n v="5"/>
  </r>
  <r>
    <x v="4"/>
    <s v="Dwelling: Primary fires"/>
    <x v="15"/>
    <n v="143"/>
    <n v="54"/>
    <n v="19"/>
    <n v="14"/>
    <n v="46"/>
    <n v="10"/>
    <s v="2013-14"/>
    <s v="Highland"/>
    <s v="Dwelling: Fatal"/>
    <n v="1"/>
    <m/>
    <n v="1"/>
    <m/>
    <m/>
    <m/>
    <s v="2013-14"/>
    <s v="Highland"/>
    <s v="Dwelling: Nonfatal"/>
    <n v="55"/>
    <n v="26"/>
    <n v="9"/>
    <n v="3"/>
    <n v="14"/>
    <n v="3"/>
  </r>
  <r>
    <x v="4"/>
    <s v="Dwelling: Primary fires"/>
    <x v="16"/>
    <n v="106"/>
    <n v="52"/>
    <n v="7"/>
    <n v="13"/>
    <n v="32"/>
    <n v="2"/>
    <s v="2013-14"/>
    <s v="Inverclyde"/>
    <s v="Dwelling: Fatal"/>
    <n v="1"/>
    <m/>
    <n v="1"/>
    <m/>
    <m/>
    <m/>
    <s v="2013-14"/>
    <s v="Inverclyde"/>
    <s v="Dwelling: Nonfatal"/>
    <n v="32"/>
    <n v="15"/>
    <n v="1"/>
    <n v="4"/>
    <n v="12"/>
    <m/>
  </r>
  <r>
    <x v="4"/>
    <s v="Dwelling: Primary fires"/>
    <x v="17"/>
    <n v="66"/>
    <n v="29"/>
    <n v="7"/>
    <n v="14"/>
    <n v="15"/>
    <n v="1"/>
    <m/>
    <m/>
    <m/>
    <m/>
    <m/>
    <m/>
    <m/>
    <m/>
    <m/>
    <s v="2013-14"/>
    <s v="Midlothian"/>
    <s v="Dwelling: Nonfatal"/>
    <n v="28"/>
    <n v="8"/>
    <n v="5"/>
    <n v="3"/>
    <n v="12"/>
    <m/>
  </r>
  <r>
    <x v="4"/>
    <s v="Dwelling: Primary fires"/>
    <x v="18"/>
    <n v="74"/>
    <n v="33"/>
    <n v="4"/>
    <n v="10"/>
    <n v="27"/>
    <m/>
    <m/>
    <m/>
    <m/>
    <m/>
    <m/>
    <m/>
    <m/>
    <m/>
    <m/>
    <s v="2013-14"/>
    <s v="Moray"/>
    <s v="Dwelling: Nonfatal"/>
    <n v="25"/>
    <n v="5"/>
    <n v="4"/>
    <n v="1"/>
    <n v="15"/>
    <m/>
  </r>
  <r>
    <x v="4"/>
    <s v="Dwelling: Primary fires"/>
    <x v="19"/>
    <n v="11"/>
    <n v="3"/>
    <n v="1"/>
    <n v="1"/>
    <n v="6"/>
    <m/>
    <m/>
    <m/>
    <m/>
    <m/>
    <m/>
    <m/>
    <m/>
    <m/>
    <m/>
    <s v="2013-14"/>
    <s v="Na h-Eileanan Siar"/>
    <s v="Dwelling: Nonfatal"/>
    <n v="3"/>
    <n v="2"/>
    <m/>
    <m/>
    <n v="1"/>
    <m/>
  </r>
  <r>
    <x v="4"/>
    <s v="Dwelling: Primary fires"/>
    <x v="20"/>
    <n v="148"/>
    <n v="75"/>
    <n v="14"/>
    <n v="27"/>
    <n v="25"/>
    <n v="7"/>
    <s v="2013-14"/>
    <s v="North Ayrshire"/>
    <s v="Dwelling: Fatal"/>
    <n v="1"/>
    <m/>
    <m/>
    <n v="1"/>
    <m/>
    <m/>
    <s v="2013-14"/>
    <s v="North Ayrshire"/>
    <s v="Dwelling: Nonfatal"/>
    <n v="30"/>
    <n v="16"/>
    <n v="1"/>
    <n v="4"/>
    <n v="9"/>
    <m/>
  </r>
  <r>
    <x v="4"/>
    <s v="Dwelling: Primary fires"/>
    <x v="21"/>
    <n v="315"/>
    <n v="167"/>
    <n v="28"/>
    <n v="39"/>
    <n v="79"/>
    <n v="2"/>
    <s v="2013-14"/>
    <s v="North Lanarkshire"/>
    <s v="Dwelling: Fatal"/>
    <n v="1"/>
    <n v="1"/>
    <m/>
    <m/>
    <m/>
    <m/>
    <s v="2013-14"/>
    <s v="North Lanarkshire"/>
    <s v="Dwelling: Nonfatal"/>
    <n v="85"/>
    <n v="51"/>
    <n v="7"/>
    <n v="10"/>
    <n v="17"/>
    <m/>
  </r>
  <r>
    <x v="4"/>
    <s v="Dwelling: Primary fires"/>
    <x v="22"/>
    <n v="10"/>
    <n v="2"/>
    <n v="1"/>
    <n v="1"/>
    <n v="5"/>
    <n v="1"/>
    <m/>
    <m/>
    <m/>
    <m/>
    <m/>
    <m/>
    <m/>
    <m/>
    <m/>
    <s v="2013-14"/>
    <s v="Orkney Islands"/>
    <s v="Dwelling: Nonfatal"/>
    <n v="1"/>
    <m/>
    <m/>
    <m/>
    <n v="1"/>
    <m/>
  </r>
  <r>
    <x v="4"/>
    <s v="Dwelling: Primary fires"/>
    <x v="23"/>
    <n v="105"/>
    <n v="44"/>
    <n v="8"/>
    <n v="13"/>
    <n v="39"/>
    <n v="1"/>
    <m/>
    <m/>
    <m/>
    <m/>
    <m/>
    <m/>
    <m/>
    <m/>
    <m/>
    <s v="2013-14"/>
    <s v="Perth and Kinross"/>
    <s v="Dwelling: Nonfatal"/>
    <n v="40"/>
    <n v="14"/>
    <n v="4"/>
    <n v="8"/>
    <n v="14"/>
    <m/>
  </r>
  <r>
    <x v="4"/>
    <s v="Dwelling: Primary fires"/>
    <x v="24"/>
    <n v="262"/>
    <n v="151"/>
    <n v="20"/>
    <n v="29"/>
    <n v="60"/>
    <n v="2"/>
    <m/>
    <m/>
    <m/>
    <m/>
    <m/>
    <m/>
    <m/>
    <m/>
    <m/>
    <s v="2013-14"/>
    <s v="Renfrewshire"/>
    <s v="Dwelling: Nonfatal"/>
    <n v="47"/>
    <n v="23"/>
    <n v="5"/>
    <n v="4"/>
    <n v="13"/>
    <n v="2"/>
  </r>
  <r>
    <x v="4"/>
    <s v="Dwelling: Primary fires"/>
    <x v="25"/>
    <n v="110"/>
    <n v="52"/>
    <n v="14"/>
    <n v="14"/>
    <n v="30"/>
    <m/>
    <m/>
    <m/>
    <m/>
    <m/>
    <m/>
    <m/>
    <m/>
    <m/>
    <m/>
    <s v="2013-14"/>
    <s v="Scottish Borders"/>
    <s v="Dwelling: Nonfatal"/>
    <n v="26"/>
    <n v="10"/>
    <n v="5"/>
    <n v="1"/>
    <n v="10"/>
    <m/>
  </r>
  <r>
    <x v="4"/>
    <s v="Dwelling: Primary fires"/>
    <x v="26"/>
    <n v="11"/>
    <n v="5"/>
    <n v="1"/>
    <n v="2"/>
    <n v="2"/>
    <n v="1"/>
    <m/>
    <m/>
    <m/>
    <m/>
    <m/>
    <m/>
    <m/>
    <m/>
    <m/>
    <s v="2013-14"/>
    <s v="Shetland Islands"/>
    <s v="Dwelling: Nonfatal"/>
    <n v="1"/>
    <n v="1"/>
    <m/>
    <m/>
    <m/>
    <m/>
  </r>
  <r>
    <x v="4"/>
    <s v="Dwelling: Primary fires"/>
    <x v="27"/>
    <n v="93"/>
    <n v="53"/>
    <n v="2"/>
    <n v="15"/>
    <n v="23"/>
    <m/>
    <s v="2013-14"/>
    <s v="South Ayrshire"/>
    <s v="Dwelling: Fatal"/>
    <n v="2"/>
    <n v="2"/>
    <m/>
    <m/>
    <m/>
    <m/>
    <s v="2013-14"/>
    <s v="South Ayrshire"/>
    <s v="Dwelling: Nonfatal"/>
    <n v="13"/>
    <n v="6"/>
    <n v="1"/>
    <n v="3"/>
    <n v="3"/>
    <m/>
  </r>
  <r>
    <x v="4"/>
    <s v="Dwelling: Primary fires"/>
    <x v="28"/>
    <n v="263"/>
    <n v="131"/>
    <n v="30"/>
    <n v="38"/>
    <n v="60"/>
    <n v="4"/>
    <s v="2013-14"/>
    <s v="South Lanarkshire"/>
    <s v="Dwelling: Fatal"/>
    <n v="2"/>
    <m/>
    <m/>
    <n v="1"/>
    <n v="1"/>
    <m/>
    <s v="2013-14"/>
    <s v="South Lanarkshire"/>
    <s v="Dwelling: Nonfatal"/>
    <n v="50"/>
    <n v="26"/>
    <n v="6"/>
    <n v="7"/>
    <n v="11"/>
    <m/>
  </r>
  <r>
    <x v="4"/>
    <s v="Dwelling: Primary fires"/>
    <x v="29"/>
    <n v="72"/>
    <n v="25"/>
    <n v="13"/>
    <n v="5"/>
    <n v="26"/>
    <n v="3"/>
    <m/>
    <m/>
    <m/>
    <m/>
    <m/>
    <m/>
    <m/>
    <m/>
    <m/>
    <s v="2013-14"/>
    <s v="Stirling"/>
    <s v="Dwelling: Nonfatal"/>
    <n v="10"/>
    <n v="6"/>
    <n v="3"/>
    <m/>
    <n v="1"/>
    <m/>
  </r>
  <r>
    <x v="4"/>
    <s v="Dwelling: Primary fires"/>
    <x v="30"/>
    <n v="133"/>
    <n v="60"/>
    <n v="14"/>
    <n v="19"/>
    <n v="39"/>
    <n v="1"/>
    <m/>
    <m/>
    <m/>
    <m/>
    <m/>
    <m/>
    <m/>
    <m/>
    <m/>
    <s v="2013-14"/>
    <s v="West Dunbartonshire"/>
    <s v="Dwelling: Nonfatal"/>
    <n v="16"/>
    <n v="8"/>
    <n v="2"/>
    <n v="4"/>
    <n v="2"/>
    <m/>
  </r>
  <r>
    <x v="4"/>
    <s v="Dwelling: Primary fires"/>
    <x v="31"/>
    <n v="188"/>
    <n v="85"/>
    <n v="18"/>
    <n v="29"/>
    <n v="55"/>
    <n v="1"/>
    <s v="2013-14"/>
    <s v="West Lothian"/>
    <s v="Dwelling: Fatal"/>
    <n v="1"/>
    <m/>
    <m/>
    <n v="1"/>
    <m/>
    <m/>
    <s v="2013-14"/>
    <s v="West Lothian"/>
    <s v="Dwelling: Nonfatal"/>
    <n v="25"/>
    <n v="10"/>
    <n v="2"/>
    <n v="5"/>
    <n v="7"/>
    <n v="1"/>
  </r>
  <r>
    <x v="5"/>
    <s v="Dwelling: Primary fires"/>
    <x v="0"/>
    <n v="320"/>
    <n v="184"/>
    <n v="21"/>
    <n v="38"/>
    <n v="74"/>
    <n v="3"/>
    <s v="2014-15"/>
    <s v="Aberdeen City"/>
    <s v="Dwelling: Fatal"/>
    <n v="2"/>
    <m/>
    <n v="1"/>
    <n v="1"/>
    <m/>
    <m/>
    <s v="2014-15"/>
    <s v="Aberdeen City"/>
    <s v="Dwelling: Nonfatal"/>
    <n v="52"/>
    <n v="26"/>
    <n v="5"/>
    <n v="6"/>
    <n v="12"/>
    <n v="3"/>
  </r>
  <r>
    <x v="5"/>
    <s v="Dwelling: Primary fires"/>
    <x v="1"/>
    <n v="200"/>
    <n v="109"/>
    <n v="9"/>
    <n v="16"/>
    <n v="64"/>
    <n v="2"/>
    <s v="2014-15"/>
    <s v="Aberdeenshire"/>
    <s v="Dwelling: Fatal"/>
    <n v="2"/>
    <m/>
    <m/>
    <n v="1"/>
    <m/>
    <n v="1"/>
    <s v="2014-15"/>
    <s v="Aberdeenshire"/>
    <s v="Dwelling: Nonfatal"/>
    <n v="32"/>
    <n v="10"/>
    <n v="2"/>
    <n v="4"/>
    <n v="15"/>
    <n v="1"/>
  </r>
  <r>
    <x v="5"/>
    <s v="Dwelling: Primary fires"/>
    <x v="2"/>
    <n v="113"/>
    <n v="56"/>
    <n v="17"/>
    <n v="12"/>
    <n v="27"/>
    <n v="1"/>
    <s v="2014-15"/>
    <s v="Angus"/>
    <s v="Dwelling: Fatal"/>
    <n v="1"/>
    <m/>
    <m/>
    <n v="1"/>
    <m/>
    <m/>
    <s v="2014-15"/>
    <s v="Angus"/>
    <s v="Dwelling: Nonfatal"/>
    <n v="25"/>
    <n v="12"/>
    <n v="6"/>
    <n v="1"/>
    <n v="6"/>
    <m/>
  </r>
  <r>
    <x v="5"/>
    <s v="Dwelling: Primary fires"/>
    <x v="3"/>
    <n v="88"/>
    <n v="54"/>
    <n v="6"/>
    <n v="10"/>
    <n v="15"/>
    <n v="3"/>
    <m/>
    <m/>
    <m/>
    <m/>
    <m/>
    <m/>
    <m/>
    <m/>
    <m/>
    <s v="2014-15"/>
    <s v="Argyll and Bute"/>
    <s v="Dwelling: Nonfatal"/>
    <n v="12"/>
    <n v="6"/>
    <n v="1"/>
    <n v="1"/>
    <n v="4"/>
    <m/>
  </r>
  <r>
    <x v="5"/>
    <s v="Dwelling: Primary fires"/>
    <x v="4"/>
    <n v="663"/>
    <n v="255"/>
    <n v="57"/>
    <n v="92"/>
    <n v="253"/>
    <n v="6"/>
    <s v="2014-15"/>
    <s v="City of Edinburgh"/>
    <s v="Dwelling: Fatal"/>
    <n v="3"/>
    <n v="1"/>
    <n v="1"/>
    <m/>
    <n v="1"/>
    <m/>
    <s v="2014-15"/>
    <s v="City of Edinburgh"/>
    <s v="Dwelling: Nonfatal"/>
    <n v="118"/>
    <n v="63"/>
    <n v="16"/>
    <n v="9"/>
    <n v="30"/>
    <m/>
  </r>
  <r>
    <x v="5"/>
    <s v="Dwelling: Primary fires"/>
    <x v="5"/>
    <n v="49"/>
    <n v="22"/>
    <n v="5"/>
    <n v="10"/>
    <n v="12"/>
    <m/>
    <m/>
    <m/>
    <m/>
    <m/>
    <m/>
    <m/>
    <m/>
    <m/>
    <m/>
    <s v="2014-15"/>
    <s v="Clackmannanshire"/>
    <s v="Dwelling: Nonfatal"/>
    <n v="8"/>
    <n v="6"/>
    <m/>
    <m/>
    <n v="2"/>
    <m/>
  </r>
  <r>
    <x v="5"/>
    <s v="Dwelling: Primary fires"/>
    <x v="6"/>
    <n v="98"/>
    <n v="44"/>
    <n v="10"/>
    <n v="22"/>
    <n v="20"/>
    <n v="2"/>
    <s v="2014-15"/>
    <s v="Dumfries and Galloway"/>
    <s v="Dwelling: Fatal"/>
    <n v="3"/>
    <n v="1"/>
    <m/>
    <n v="1"/>
    <m/>
    <n v="1"/>
    <s v="2014-15"/>
    <s v="Dumfries and Galloway"/>
    <s v="Dwelling: Nonfatal"/>
    <n v="9"/>
    <n v="4"/>
    <n v="1"/>
    <n v="2"/>
    <n v="2"/>
    <m/>
  </r>
  <r>
    <x v="5"/>
    <s v="Dwelling: Primary fires"/>
    <x v="7"/>
    <n v="214"/>
    <n v="108"/>
    <n v="25"/>
    <n v="22"/>
    <n v="56"/>
    <n v="3"/>
    <s v="2014-15"/>
    <s v="Dundee City"/>
    <s v="Dwelling: Fatal"/>
    <n v="1"/>
    <n v="1"/>
    <m/>
    <m/>
    <m/>
    <m/>
    <s v="2014-15"/>
    <s v="Dundee City"/>
    <s v="Dwelling: Nonfatal"/>
    <n v="38"/>
    <n v="29"/>
    <n v="4"/>
    <m/>
    <n v="5"/>
    <m/>
  </r>
  <r>
    <x v="5"/>
    <s v="Dwelling: Primary fires"/>
    <x v="8"/>
    <n v="113"/>
    <n v="75"/>
    <n v="10"/>
    <n v="14"/>
    <n v="13"/>
    <n v="1"/>
    <m/>
    <m/>
    <m/>
    <m/>
    <m/>
    <m/>
    <m/>
    <m/>
    <m/>
    <s v="2014-15"/>
    <s v="East Ayrshire"/>
    <s v="Dwelling: Nonfatal"/>
    <n v="23"/>
    <n v="13"/>
    <n v="2"/>
    <n v="3"/>
    <n v="5"/>
    <m/>
  </r>
  <r>
    <x v="5"/>
    <s v="Dwelling: Primary fires"/>
    <x v="9"/>
    <n v="73"/>
    <n v="36"/>
    <n v="7"/>
    <n v="21"/>
    <n v="4"/>
    <n v="5"/>
    <m/>
    <m/>
    <m/>
    <m/>
    <m/>
    <m/>
    <m/>
    <m/>
    <m/>
    <s v="2014-15"/>
    <s v="East Dunbartonshire"/>
    <s v="Dwelling: Nonfatal"/>
    <n v="11"/>
    <n v="6"/>
    <n v="2"/>
    <n v="2"/>
    <m/>
    <n v="1"/>
  </r>
  <r>
    <x v="5"/>
    <s v="Dwelling: Primary fires"/>
    <x v="10"/>
    <n v="75"/>
    <n v="39"/>
    <n v="4"/>
    <n v="8"/>
    <n v="23"/>
    <n v="1"/>
    <m/>
    <m/>
    <m/>
    <m/>
    <m/>
    <m/>
    <m/>
    <m/>
    <m/>
    <s v="2014-15"/>
    <s v="East Lothian"/>
    <s v="Dwelling: Nonfatal"/>
    <n v="9"/>
    <n v="6"/>
    <m/>
    <n v="1"/>
    <n v="2"/>
    <m/>
  </r>
  <r>
    <x v="5"/>
    <s v="Dwelling: Primary fires"/>
    <x v="11"/>
    <n v="70"/>
    <n v="36"/>
    <n v="7"/>
    <n v="17"/>
    <n v="10"/>
    <m/>
    <m/>
    <m/>
    <m/>
    <m/>
    <m/>
    <m/>
    <m/>
    <m/>
    <m/>
    <s v="2014-15"/>
    <s v="East Renfrewshire"/>
    <s v="Dwelling: Nonfatal"/>
    <n v="7"/>
    <n v="4"/>
    <m/>
    <n v="2"/>
    <n v="1"/>
    <m/>
  </r>
  <r>
    <x v="5"/>
    <s v="Dwelling: Primary fires"/>
    <x v="12"/>
    <n v="123"/>
    <n v="41"/>
    <n v="11"/>
    <n v="22"/>
    <n v="45"/>
    <n v="4"/>
    <m/>
    <m/>
    <m/>
    <m/>
    <m/>
    <m/>
    <m/>
    <m/>
    <m/>
    <s v="2014-15"/>
    <s v="Falkirk"/>
    <s v="Dwelling: Nonfatal"/>
    <n v="22"/>
    <n v="14"/>
    <n v="1"/>
    <n v="1"/>
    <n v="5"/>
    <n v="1"/>
  </r>
  <r>
    <x v="5"/>
    <s v="Dwelling: Primary fires"/>
    <x v="13"/>
    <n v="251"/>
    <n v="100"/>
    <n v="27"/>
    <n v="38"/>
    <n v="85"/>
    <n v="1"/>
    <s v="2014-15"/>
    <s v="Fife"/>
    <s v="Dwelling: Fatal"/>
    <n v="2"/>
    <n v="1"/>
    <n v="1"/>
    <m/>
    <m/>
    <m/>
    <s v="2014-15"/>
    <s v="Fife"/>
    <s v="Dwelling: Nonfatal"/>
    <n v="46"/>
    <n v="23"/>
    <n v="5"/>
    <n v="7"/>
    <n v="11"/>
    <m/>
  </r>
  <r>
    <x v="5"/>
    <s v="Dwelling: Primary fires"/>
    <x v="14"/>
    <n v="943"/>
    <n v="514"/>
    <n v="49"/>
    <n v="142"/>
    <n v="225"/>
    <n v="13"/>
    <s v="2014-15"/>
    <s v="Glasgow City"/>
    <s v="Dwelling: Fatal"/>
    <n v="1"/>
    <n v="1"/>
    <m/>
    <m/>
    <m/>
    <m/>
    <s v="2014-15"/>
    <s v="Glasgow City"/>
    <s v="Dwelling: Nonfatal"/>
    <n v="136"/>
    <n v="69"/>
    <n v="4"/>
    <n v="22"/>
    <n v="41"/>
    <m/>
  </r>
  <r>
    <x v="5"/>
    <s v="Dwelling: Primary fires"/>
    <x v="15"/>
    <n v="163"/>
    <n v="59"/>
    <n v="12"/>
    <n v="16"/>
    <n v="65"/>
    <n v="11"/>
    <s v="2014-15"/>
    <s v="Highland"/>
    <s v="Dwelling: Fatal"/>
    <n v="4"/>
    <n v="1"/>
    <n v="1"/>
    <m/>
    <n v="1"/>
    <n v="1"/>
    <s v="2014-15"/>
    <s v="Highland"/>
    <s v="Dwelling: Nonfatal"/>
    <n v="54"/>
    <n v="21"/>
    <n v="6"/>
    <n v="5"/>
    <n v="19"/>
    <n v="3"/>
  </r>
  <r>
    <x v="5"/>
    <s v="Dwelling: Primary fires"/>
    <x v="16"/>
    <n v="113"/>
    <n v="60"/>
    <n v="14"/>
    <n v="14"/>
    <n v="23"/>
    <n v="2"/>
    <m/>
    <m/>
    <m/>
    <m/>
    <m/>
    <m/>
    <m/>
    <m/>
    <m/>
    <s v="2014-15"/>
    <s v="Inverclyde"/>
    <s v="Dwelling: Nonfatal"/>
    <n v="24"/>
    <n v="16"/>
    <n v="5"/>
    <n v="1"/>
    <n v="2"/>
    <m/>
  </r>
  <r>
    <x v="5"/>
    <s v="Dwelling: Primary fires"/>
    <x v="17"/>
    <n v="71"/>
    <n v="30"/>
    <n v="9"/>
    <n v="10"/>
    <n v="20"/>
    <n v="2"/>
    <s v="2014-15"/>
    <s v="Midlothian"/>
    <s v="Dwelling: Fatal"/>
    <n v="1"/>
    <m/>
    <m/>
    <m/>
    <m/>
    <n v="1"/>
    <s v="2014-15"/>
    <s v="Midlothian"/>
    <s v="Dwelling: Nonfatal"/>
    <n v="15"/>
    <n v="10"/>
    <n v="1"/>
    <n v="1"/>
    <n v="3"/>
    <m/>
  </r>
  <r>
    <x v="5"/>
    <s v="Dwelling: Primary fires"/>
    <x v="18"/>
    <n v="59"/>
    <n v="26"/>
    <n v="8"/>
    <n v="3"/>
    <n v="21"/>
    <n v="1"/>
    <s v="2014-15"/>
    <s v="Moray"/>
    <s v="Dwelling: Fatal"/>
    <n v="1"/>
    <m/>
    <n v="1"/>
    <m/>
    <m/>
    <m/>
    <s v="2014-15"/>
    <s v="Moray"/>
    <s v="Dwelling: Nonfatal"/>
    <n v="9"/>
    <n v="3"/>
    <n v="2"/>
    <m/>
    <n v="4"/>
    <m/>
  </r>
  <r>
    <x v="5"/>
    <s v="Dwelling: Primary fires"/>
    <x v="19"/>
    <n v="22"/>
    <n v="4"/>
    <n v="4"/>
    <n v="2"/>
    <n v="8"/>
    <n v="4"/>
    <m/>
    <m/>
    <m/>
    <m/>
    <m/>
    <m/>
    <m/>
    <m/>
    <m/>
    <s v="2014-15"/>
    <s v="Na h-Eileanan Siar"/>
    <s v="Dwelling: Nonfatal"/>
    <n v="6"/>
    <n v="2"/>
    <n v="3"/>
    <n v="1"/>
    <m/>
    <m/>
  </r>
  <r>
    <x v="5"/>
    <s v="Dwelling: Primary fires"/>
    <x v="20"/>
    <n v="168"/>
    <n v="105"/>
    <n v="16"/>
    <n v="21"/>
    <n v="24"/>
    <n v="2"/>
    <m/>
    <m/>
    <m/>
    <m/>
    <m/>
    <m/>
    <m/>
    <m/>
    <m/>
    <s v="2014-15"/>
    <s v="North Ayrshire"/>
    <s v="Dwelling: Nonfatal"/>
    <n v="40"/>
    <n v="20"/>
    <n v="5"/>
    <n v="8"/>
    <n v="5"/>
    <n v="2"/>
  </r>
  <r>
    <x v="5"/>
    <s v="Dwelling: Primary fires"/>
    <x v="21"/>
    <n v="345"/>
    <n v="180"/>
    <n v="34"/>
    <n v="54"/>
    <n v="77"/>
    <m/>
    <s v="2014-15"/>
    <s v="North Lanarkshire"/>
    <s v="Dwelling: Fatal"/>
    <n v="3"/>
    <n v="2"/>
    <n v="1"/>
    <m/>
    <m/>
    <m/>
    <s v="2014-15"/>
    <s v="North Lanarkshire"/>
    <s v="Dwelling: Nonfatal"/>
    <n v="71"/>
    <n v="34"/>
    <n v="11"/>
    <n v="7"/>
    <n v="19"/>
    <m/>
  </r>
  <r>
    <x v="5"/>
    <s v="Dwelling: Primary fires"/>
    <x v="22"/>
    <n v="15"/>
    <n v="2"/>
    <n v="1"/>
    <n v="3"/>
    <n v="6"/>
    <n v="3"/>
    <m/>
    <m/>
    <m/>
    <m/>
    <m/>
    <m/>
    <m/>
    <m/>
    <m/>
    <s v="2014-15"/>
    <s v="Orkney Islands"/>
    <s v="Dwelling: Nonfatal"/>
    <n v="2"/>
    <m/>
    <m/>
    <m/>
    <m/>
    <n v="2"/>
  </r>
  <r>
    <x v="5"/>
    <s v="Dwelling: Primary fires"/>
    <x v="23"/>
    <n v="131"/>
    <n v="68"/>
    <n v="11"/>
    <n v="10"/>
    <n v="42"/>
    <m/>
    <m/>
    <m/>
    <m/>
    <m/>
    <m/>
    <m/>
    <m/>
    <m/>
    <m/>
    <s v="2014-15"/>
    <s v="Perth and Kinross"/>
    <s v="Dwelling: Nonfatal"/>
    <n v="23"/>
    <n v="12"/>
    <n v="6"/>
    <m/>
    <n v="5"/>
    <m/>
  </r>
  <r>
    <x v="5"/>
    <s v="Dwelling: Primary fires"/>
    <x v="24"/>
    <n v="247"/>
    <n v="137"/>
    <n v="22"/>
    <n v="41"/>
    <n v="44"/>
    <n v="3"/>
    <s v="2014-15"/>
    <s v="Renfrewshire"/>
    <s v="Dwelling: Fatal"/>
    <n v="2"/>
    <n v="1"/>
    <m/>
    <m/>
    <n v="1"/>
    <m/>
    <s v="2014-15"/>
    <s v="Renfrewshire"/>
    <s v="Dwelling: Nonfatal"/>
    <n v="28"/>
    <n v="15"/>
    <n v="3"/>
    <n v="5"/>
    <n v="4"/>
    <n v="1"/>
  </r>
  <r>
    <x v="5"/>
    <s v="Dwelling: Primary fires"/>
    <x v="25"/>
    <n v="83"/>
    <n v="44"/>
    <n v="8"/>
    <n v="12"/>
    <n v="18"/>
    <n v="1"/>
    <m/>
    <m/>
    <m/>
    <m/>
    <m/>
    <m/>
    <m/>
    <m/>
    <m/>
    <s v="2014-15"/>
    <s v="Scottish Borders"/>
    <s v="Dwelling: Nonfatal"/>
    <n v="13"/>
    <n v="8"/>
    <n v="2"/>
    <n v="1"/>
    <n v="2"/>
    <m/>
  </r>
  <r>
    <x v="5"/>
    <s v="Dwelling: Primary fires"/>
    <x v="26"/>
    <n v="11"/>
    <n v="2"/>
    <n v="3"/>
    <n v="2"/>
    <n v="3"/>
    <n v="1"/>
    <m/>
    <m/>
    <m/>
    <m/>
    <m/>
    <m/>
    <m/>
    <m/>
    <m/>
    <s v="2014-15"/>
    <s v="Shetland Islands"/>
    <s v="Dwelling: Nonfatal"/>
    <n v="1"/>
    <m/>
    <m/>
    <m/>
    <n v="1"/>
    <m/>
  </r>
  <r>
    <x v="5"/>
    <s v="Dwelling: Primary fires"/>
    <x v="27"/>
    <n v="91"/>
    <n v="49"/>
    <n v="7"/>
    <n v="14"/>
    <n v="18"/>
    <n v="3"/>
    <s v="2014-15"/>
    <s v="South Ayrshire"/>
    <s v="Dwelling: Fatal"/>
    <n v="3"/>
    <n v="1"/>
    <m/>
    <n v="2"/>
    <m/>
    <m/>
    <s v="2014-15"/>
    <s v="South Ayrshire"/>
    <s v="Dwelling: Nonfatal"/>
    <n v="18"/>
    <n v="10"/>
    <n v="1"/>
    <n v="4"/>
    <n v="2"/>
    <n v="1"/>
  </r>
  <r>
    <x v="5"/>
    <s v="Dwelling: Primary fires"/>
    <x v="28"/>
    <n v="304"/>
    <n v="149"/>
    <n v="41"/>
    <n v="58"/>
    <n v="53"/>
    <n v="3"/>
    <s v="2014-15"/>
    <s v="South Lanarkshire"/>
    <s v="Dwelling: Fatal"/>
    <n v="1"/>
    <n v="1"/>
    <m/>
    <m/>
    <m/>
    <m/>
    <s v="2014-15"/>
    <s v="South Lanarkshire"/>
    <s v="Dwelling: Nonfatal"/>
    <n v="53"/>
    <n v="30"/>
    <n v="10"/>
    <n v="7"/>
    <n v="6"/>
    <m/>
  </r>
  <r>
    <x v="5"/>
    <s v="Dwelling: Primary fires"/>
    <x v="29"/>
    <n v="87"/>
    <n v="49"/>
    <n v="10"/>
    <n v="6"/>
    <n v="20"/>
    <n v="2"/>
    <s v="2014-15"/>
    <s v="Stirling"/>
    <s v="Dwelling: Fatal"/>
    <n v="1"/>
    <n v="1"/>
    <m/>
    <m/>
    <m/>
    <m/>
    <s v="2014-15"/>
    <s v="Stirling"/>
    <s v="Dwelling: Nonfatal"/>
    <n v="10"/>
    <n v="5"/>
    <n v="1"/>
    <n v="1"/>
    <n v="3"/>
    <m/>
  </r>
  <r>
    <x v="5"/>
    <s v="Dwelling: Primary fires"/>
    <x v="30"/>
    <n v="98"/>
    <n v="57"/>
    <n v="6"/>
    <n v="19"/>
    <n v="16"/>
    <m/>
    <m/>
    <m/>
    <m/>
    <m/>
    <m/>
    <m/>
    <m/>
    <m/>
    <m/>
    <s v="2014-15"/>
    <s v="West Dunbartonshire"/>
    <s v="Dwelling: Nonfatal"/>
    <n v="7"/>
    <n v="6"/>
    <n v="1"/>
    <m/>
    <m/>
    <m/>
  </r>
  <r>
    <x v="5"/>
    <s v="Dwelling: Primary fires"/>
    <x v="31"/>
    <n v="173"/>
    <n v="97"/>
    <n v="14"/>
    <n v="30"/>
    <n v="30"/>
    <n v="2"/>
    <m/>
    <m/>
    <m/>
    <m/>
    <m/>
    <m/>
    <m/>
    <m/>
    <m/>
    <s v="2014-15"/>
    <s v="West Lothian"/>
    <s v="Dwelling: Nonfatal"/>
    <n v="25"/>
    <n v="6"/>
    <n v="4"/>
    <n v="8"/>
    <n v="6"/>
    <n v="1"/>
  </r>
  <r>
    <x v="6"/>
    <s v="Dwelling: Primary fires"/>
    <x v="0"/>
    <n v="334"/>
    <n v="199"/>
    <n v="26"/>
    <n v="38"/>
    <n v="68"/>
    <n v="3"/>
    <s v="2015-16"/>
    <s v="Aberdeen City"/>
    <s v="Dwelling: Fatal"/>
    <n v="1"/>
    <m/>
    <n v="1"/>
    <m/>
    <m/>
    <m/>
    <s v="2015-16"/>
    <s v="Aberdeen City"/>
    <s v="Dwelling: Nonfatal"/>
    <n v="60"/>
    <n v="30"/>
    <n v="5"/>
    <n v="15"/>
    <n v="9"/>
    <n v="1"/>
  </r>
  <r>
    <x v="6"/>
    <s v="Dwelling: Primary fires"/>
    <x v="1"/>
    <n v="192"/>
    <n v="109"/>
    <n v="14"/>
    <n v="10"/>
    <n v="58"/>
    <n v="1"/>
    <s v="2015-16"/>
    <s v="Aberdeenshire"/>
    <s v="Dwelling: Fatal"/>
    <n v="2"/>
    <m/>
    <n v="1"/>
    <m/>
    <m/>
    <n v="1"/>
    <s v="2015-16"/>
    <s v="Aberdeenshire"/>
    <s v="Dwelling: Nonfatal"/>
    <n v="20"/>
    <n v="9"/>
    <n v="4"/>
    <m/>
    <n v="7"/>
    <m/>
  </r>
  <r>
    <x v="6"/>
    <s v="Dwelling: Primary fires"/>
    <x v="2"/>
    <n v="95"/>
    <n v="48"/>
    <n v="9"/>
    <n v="11"/>
    <n v="25"/>
    <n v="2"/>
    <m/>
    <m/>
    <m/>
    <m/>
    <m/>
    <m/>
    <m/>
    <m/>
    <m/>
    <s v="2015-16"/>
    <s v="Angus"/>
    <s v="Dwelling: Nonfatal"/>
    <n v="35"/>
    <n v="15"/>
    <n v="12"/>
    <m/>
    <n v="6"/>
    <n v="2"/>
  </r>
  <r>
    <x v="6"/>
    <s v="Dwelling: Primary fires"/>
    <x v="3"/>
    <n v="64"/>
    <n v="24"/>
    <n v="8"/>
    <n v="7"/>
    <n v="19"/>
    <n v="6"/>
    <m/>
    <m/>
    <m/>
    <m/>
    <m/>
    <m/>
    <m/>
    <m/>
    <m/>
    <s v="2015-16"/>
    <s v="Argyll and Bute"/>
    <s v="Dwelling: Nonfatal"/>
    <n v="7"/>
    <n v="2"/>
    <n v="1"/>
    <m/>
    <n v="4"/>
    <m/>
  </r>
  <r>
    <x v="6"/>
    <s v="Dwelling: Primary fires"/>
    <x v="4"/>
    <n v="633"/>
    <n v="261"/>
    <n v="53"/>
    <n v="88"/>
    <n v="226"/>
    <n v="5"/>
    <s v="2015-16"/>
    <s v="City of Edinburgh"/>
    <s v="Dwelling: Fatal"/>
    <n v="4"/>
    <n v="1"/>
    <n v="1"/>
    <m/>
    <n v="2"/>
    <m/>
    <s v="2015-16"/>
    <s v="City of Edinburgh"/>
    <s v="Dwelling: Nonfatal"/>
    <n v="106"/>
    <n v="42"/>
    <n v="14"/>
    <n v="9"/>
    <n v="41"/>
    <m/>
  </r>
  <r>
    <x v="6"/>
    <s v="Dwelling: Primary fires"/>
    <x v="5"/>
    <n v="75"/>
    <n v="40"/>
    <n v="7"/>
    <n v="6"/>
    <n v="20"/>
    <n v="2"/>
    <m/>
    <m/>
    <m/>
    <m/>
    <m/>
    <m/>
    <m/>
    <m/>
    <m/>
    <s v="2015-16"/>
    <s v="Clackmannanshire"/>
    <s v="Dwelling: Nonfatal"/>
    <n v="11"/>
    <n v="3"/>
    <n v="1"/>
    <n v="1"/>
    <n v="3"/>
    <n v="3"/>
  </r>
  <r>
    <x v="6"/>
    <s v="Dwelling: Primary fires"/>
    <x v="6"/>
    <n v="94"/>
    <n v="44"/>
    <n v="7"/>
    <n v="14"/>
    <n v="27"/>
    <n v="2"/>
    <s v="2015-16"/>
    <s v="Dumfries and Galloway"/>
    <s v="Dwelling: Fatal"/>
    <n v="2"/>
    <n v="1"/>
    <m/>
    <n v="1"/>
    <m/>
    <m/>
    <s v="2015-16"/>
    <s v="Dumfries and Galloway"/>
    <s v="Dwelling: Nonfatal"/>
    <n v="6"/>
    <n v="4"/>
    <m/>
    <n v="1"/>
    <n v="1"/>
    <m/>
  </r>
  <r>
    <x v="6"/>
    <s v="Dwelling: Primary fires"/>
    <x v="7"/>
    <n v="256"/>
    <n v="128"/>
    <n v="24"/>
    <n v="29"/>
    <n v="72"/>
    <n v="3"/>
    <s v="2015-16"/>
    <s v="Dundee City"/>
    <s v="Dwelling: Fatal"/>
    <n v="2"/>
    <m/>
    <m/>
    <m/>
    <n v="2"/>
    <m/>
    <s v="2015-16"/>
    <s v="Dundee City"/>
    <s v="Dwelling: Nonfatal"/>
    <n v="71"/>
    <n v="34"/>
    <n v="11"/>
    <n v="3"/>
    <n v="16"/>
    <n v="7"/>
  </r>
  <r>
    <x v="6"/>
    <s v="Dwelling: Primary fires"/>
    <x v="8"/>
    <n v="104"/>
    <n v="58"/>
    <n v="14"/>
    <n v="13"/>
    <n v="17"/>
    <n v="2"/>
    <m/>
    <m/>
    <m/>
    <m/>
    <m/>
    <m/>
    <m/>
    <m/>
    <m/>
    <s v="2015-16"/>
    <s v="East Ayrshire"/>
    <s v="Dwelling: Nonfatal"/>
    <n v="30"/>
    <n v="13"/>
    <n v="4"/>
    <n v="7"/>
    <n v="3"/>
    <n v="3"/>
  </r>
  <r>
    <x v="6"/>
    <s v="Dwelling: Primary fires"/>
    <x v="9"/>
    <n v="77"/>
    <n v="41"/>
    <n v="10"/>
    <n v="17"/>
    <n v="9"/>
    <m/>
    <m/>
    <m/>
    <m/>
    <m/>
    <m/>
    <m/>
    <m/>
    <m/>
    <m/>
    <s v="2015-16"/>
    <s v="East Dunbartonshire"/>
    <s v="Dwelling: Nonfatal"/>
    <n v="12"/>
    <n v="6"/>
    <n v="2"/>
    <n v="2"/>
    <n v="2"/>
    <m/>
  </r>
  <r>
    <x v="6"/>
    <s v="Dwelling: Primary fires"/>
    <x v="10"/>
    <n v="85"/>
    <n v="25"/>
    <n v="10"/>
    <n v="7"/>
    <n v="42"/>
    <n v="1"/>
    <s v="2015-16"/>
    <s v="East Lothian"/>
    <s v="Dwelling: Fatal"/>
    <n v="1"/>
    <m/>
    <n v="1"/>
    <m/>
    <m/>
    <m/>
    <s v="2015-16"/>
    <s v="East Lothian"/>
    <s v="Dwelling: Nonfatal"/>
    <n v="7"/>
    <n v="4"/>
    <n v="2"/>
    <n v="1"/>
    <m/>
    <m/>
  </r>
  <r>
    <x v="6"/>
    <s v="Dwelling: Primary fires"/>
    <x v="11"/>
    <n v="71"/>
    <n v="36"/>
    <n v="6"/>
    <n v="15"/>
    <n v="14"/>
    <m/>
    <s v="2015-16"/>
    <s v="East Renfrewshire"/>
    <s v="Dwelling: Fatal"/>
    <n v="1"/>
    <m/>
    <m/>
    <n v="1"/>
    <m/>
    <m/>
    <s v="2015-16"/>
    <s v="East Renfrewshire"/>
    <s v="Dwelling: Nonfatal"/>
    <n v="12"/>
    <n v="10"/>
    <n v="1"/>
    <m/>
    <n v="1"/>
    <m/>
  </r>
  <r>
    <x v="6"/>
    <s v="Dwelling: Primary fires"/>
    <x v="12"/>
    <n v="134"/>
    <n v="50"/>
    <n v="18"/>
    <n v="14"/>
    <n v="47"/>
    <n v="5"/>
    <s v="2015-16"/>
    <s v="Falkirk"/>
    <s v="Dwelling: Fatal"/>
    <n v="2"/>
    <m/>
    <n v="1"/>
    <m/>
    <n v="1"/>
    <m/>
    <s v="2015-16"/>
    <s v="Falkirk"/>
    <s v="Dwelling: Nonfatal"/>
    <n v="25"/>
    <n v="7"/>
    <n v="4"/>
    <n v="2"/>
    <n v="12"/>
    <m/>
  </r>
  <r>
    <x v="6"/>
    <s v="Dwelling: Primary fires"/>
    <x v="13"/>
    <n v="278"/>
    <n v="96"/>
    <n v="40"/>
    <n v="44"/>
    <n v="97"/>
    <n v="1"/>
    <s v="2015-16"/>
    <s v="Fife"/>
    <s v="Dwelling: Fatal"/>
    <n v="1"/>
    <m/>
    <n v="1"/>
    <m/>
    <m/>
    <m/>
    <s v="2015-16"/>
    <s v="Fife"/>
    <s v="Dwelling: Nonfatal"/>
    <n v="28"/>
    <n v="16"/>
    <n v="4"/>
    <m/>
    <n v="8"/>
    <m/>
  </r>
  <r>
    <x v="6"/>
    <s v="Dwelling: Primary fires"/>
    <x v="14"/>
    <n v="960"/>
    <n v="531"/>
    <n v="80"/>
    <n v="135"/>
    <n v="199"/>
    <n v="15"/>
    <s v="2015-16"/>
    <s v="Glasgow City"/>
    <s v="Dwelling: Fatal"/>
    <n v="4"/>
    <n v="2"/>
    <n v="1"/>
    <n v="1"/>
    <m/>
    <m/>
    <s v="2015-16"/>
    <s v="Glasgow City"/>
    <s v="Dwelling: Nonfatal"/>
    <n v="182"/>
    <n v="74"/>
    <n v="20"/>
    <n v="29"/>
    <n v="43"/>
    <n v="16"/>
  </r>
  <r>
    <x v="6"/>
    <s v="Dwelling: Primary fires"/>
    <x v="15"/>
    <n v="129"/>
    <n v="44"/>
    <n v="10"/>
    <n v="18"/>
    <n v="51"/>
    <n v="6"/>
    <s v="2015-16"/>
    <s v="Highland"/>
    <s v="Dwelling: Fatal"/>
    <n v="5"/>
    <m/>
    <n v="1"/>
    <m/>
    <n v="3"/>
    <n v="1"/>
    <s v="2015-16"/>
    <s v="Highland"/>
    <s v="Dwelling: Nonfatal"/>
    <n v="35"/>
    <n v="14"/>
    <n v="2"/>
    <n v="2"/>
    <n v="17"/>
    <m/>
  </r>
  <r>
    <x v="6"/>
    <s v="Dwelling: Primary fires"/>
    <x v="16"/>
    <n v="129"/>
    <n v="69"/>
    <n v="16"/>
    <n v="23"/>
    <n v="19"/>
    <n v="2"/>
    <s v="2015-16"/>
    <s v="Inverclyde"/>
    <s v="Dwelling: Fatal"/>
    <n v="1"/>
    <m/>
    <m/>
    <m/>
    <m/>
    <n v="1"/>
    <s v="2015-16"/>
    <s v="Inverclyde"/>
    <s v="Dwelling: Nonfatal"/>
    <n v="41"/>
    <n v="13"/>
    <n v="5"/>
    <n v="14"/>
    <n v="9"/>
    <m/>
  </r>
  <r>
    <x v="6"/>
    <s v="Dwelling: Primary fires"/>
    <x v="17"/>
    <n v="69"/>
    <n v="30"/>
    <n v="7"/>
    <n v="8"/>
    <n v="23"/>
    <n v="1"/>
    <m/>
    <m/>
    <m/>
    <m/>
    <m/>
    <m/>
    <m/>
    <m/>
    <m/>
    <s v="2015-16"/>
    <s v="Midlothian"/>
    <s v="Dwelling: Nonfatal"/>
    <n v="9"/>
    <n v="2"/>
    <n v="2"/>
    <n v="2"/>
    <n v="3"/>
    <m/>
  </r>
  <r>
    <x v="6"/>
    <s v="Dwelling: Primary fires"/>
    <x v="18"/>
    <n v="50"/>
    <n v="21"/>
    <n v="3"/>
    <n v="9"/>
    <n v="14"/>
    <n v="3"/>
    <m/>
    <m/>
    <m/>
    <m/>
    <m/>
    <m/>
    <m/>
    <m/>
    <m/>
    <s v="2015-16"/>
    <s v="Moray"/>
    <s v="Dwelling: Nonfatal"/>
    <n v="11"/>
    <n v="3"/>
    <n v="2"/>
    <m/>
    <n v="3"/>
    <n v="3"/>
  </r>
  <r>
    <x v="6"/>
    <s v="Dwelling: Primary fires"/>
    <x v="19"/>
    <n v="20"/>
    <n v="5"/>
    <n v="2"/>
    <n v="5"/>
    <n v="6"/>
    <n v="2"/>
    <m/>
    <m/>
    <m/>
    <m/>
    <m/>
    <m/>
    <m/>
    <m/>
    <m/>
    <s v="2015-16"/>
    <s v="Na h-Eileanan Siar"/>
    <s v="Dwelling: Nonfatal"/>
    <n v="7"/>
    <n v="4"/>
    <n v="1"/>
    <m/>
    <n v="1"/>
    <n v="1"/>
  </r>
  <r>
    <x v="6"/>
    <s v="Dwelling: Primary fires"/>
    <x v="20"/>
    <n v="176"/>
    <n v="112"/>
    <n v="14"/>
    <n v="21"/>
    <n v="28"/>
    <n v="1"/>
    <s v="2015-16"/>
    <s v="North Ayrshire"/>
    <s v="Dwelling: Fatal"/>
    <n v="1"/>
    <n v="1"/>
    <m/>
    <m/>
    <m/>
    <m/>
    <s v="2015-16"/>
    <s v="North Ayrshire"/>
    <s v="Dwelling: Nonfatal"/>
    <n v="43"/>
    <n v="27"/>
    <n v="4"/>
    <n v="1"/>
    <n v="10"/>
    <n v="1"/>
  </r>
  <r>
    <x v="6"/>
    <s v="Dwelling: Primary fires"/>
    <x v="21"/>
    <n v="336"/>
    <n v="177"/>
    <n v="41"/>
    <n v="49"/>
    <n v="65"/>
    <n v="4"/>
    <s v="2015-16"/>
    <s v="North Lanarkshire"/>
    <s v="Dwelling: Fatal"/>
    <n v="4"/>
    <m/>
    <n v="2"/>
    <m/>
    <n v="2"/>
    <m/>
    <s v="2015-16"/>
    <s v="North Lanarkshire"/>
    <s v="Dwelling: Nonfatal"/>
    <n v="75"/>
    <n v="34"/>
    <n v="12"/>
    <n v="12"/>
    <n v="15"/>
    <n v="2"/>
  </r>
  <r>
    <x v="6"/>
    <s v="Dwelling: Primary fires"/>
    <x v="22"/>
    <n v="11"/>
    <n v="3"/>
    <m/>
    <n v="1"/>
    <n v="7"/>
    <m/>
    <m/>
    <m/>
    <m/>
    <m/>
    <m/>
    <m/>
    <m/>
    <m/>
    <m/>
    <s v="2015-16"/>
    <s v="Orkney Islands"/>
    <s v="Dwelling: Nonfatal"/>
    <n v="2"/>
    <n v="1"/>
    <m/>
    <m/>
    <n v="1"/>
    <m/>
  </r>
  <r>
    <x v="6"/>
    <s v="Dwelling: Primary fires"/>
    <x v="23"/>
    <n v="122"/>
    <n v="62"/>
    <n v="5"/>
    <n v="18"/>
    <n v="35"/>
    <n v="2"/>
    <m/>
    <m/>
    <m/>
    <m/>
    <m/>
    <m/>
    <m/>
    <m/>
    <m/>
    <s v="2015-16"/>
    <s v="Perth and Kinross"/>
    <s v="Dwelling: Nonfatal"/>
    <n v="23"/>
    <n v="15"/>
    <n v="2"/>
    <n v="3"/>
    <n v="3"/>
    <m/>
  </r>
  <r>
    <x v="6"/>
    <s v="Dwelling: Primary fires"/>
    <x v="24"/>
    <n v="242"/>
    <n v="135"/>
    <n v="16"/>
    <n v="38"/>
    <n v="52"/>
    <n v="1"/>
    <m/>
    <m/>
    <m/>
    <m/>
    <m/>
    <m/>
    <m/>
    <m/>
    <m/>
    <s v="2015-16"/>
    <s v="Renfrewshire"/>
    <s v="Dwelling: Nonfatal"/>
    <n v="38"/>
    <n v="20"/>
    <n v="1"/>
    <n v="8"/>
    <n v="9"/>
    <m/>
  </r>
  <r>
    <x v="6"/>
    <s v="Dwelling: Primary fires"/>
    <x v="25"/>
    <n v="109"/>
    <n v="48"/>
    <n v="8"/>
    <n v="18"/>
    <n v="33"/>
    <n v="2"/>
    <s v="2015-16"/>
    <s v="Scottish Borders"/>
    <s v="Dwelling: Fatal"/>
    <n v="1"/>
    <m/>
    <m/>
    <m/>
    <n v="1"/>
    <m/>
    <s v="2015-16"/>
    <s v="Scottish Borders"/>
    <s v="Dwelling: Nonfatal"/>
    <n v="14"/>
    <n v="3"/>
    <n v="2"/>
    <n v="3"/>
    <n v="5"/>
    <n v="1"/>
  </r>
  <r>
    <x v="6"/>
    <s v="Dwelling: Primary fires"/>
    <x v="26"/>
    <n v="19"/>
    <n v="3"/>
    <n v="4"/>
    <n v="3"/>
    <n v="6"/>
    <n v="3"/>
    <s v="2015-16"/>
    <s v="Shetland Islands"/>
    <s v="Dwelling: Fatal"/>
    <n v="1"/>
    <m/>
    <m/>
    <m/>
    <m/>
    <n v="1"/>
    <s v="2015-16"/>
    <s v="Shetland Islands"/>
    <s v="Dwelling: Nonfatal"/>
    <n v="2"/>
    <n v="1"/>
    <n v="1"/>
    <m/>
    <m/>
    <m/>
  </r>
  <r>
    <x v="6"/>
    <s v="Dwelling: Primary fires"/>
    <x v="27"/>
    <n v="101"/>
    <n v="57"/>
    <n v="10"/>
    <n v="13"/>
    <n v="18"/>
    <n v="3"/>
    <m/>
    <m/>
    <m/>
    <m/>
    <m/>
    <m/>
    <m/>
    <m/>
    <m/>
    <s v="2015-16"/>
    <s v="South Ayrshire"/>
    <s v="Dwelling: Nonfatal"/>
    <n v="20"/>
    <n v="13"/>
    <n v="3"/>
    <n v="1"/>
    <n v="3"/>
    <m/>
  </r>
  <r>
    <x v="6"/>
    <s v="Dwelling: Primary fires"/>
    <x v="28"/>
    <n v="294"/>
    <n v="159"/>
    <n v="33"/>
    <n v="50"/>
    <n v="50"/>
    <n v="2"/>
    <s v="2015-16"/>
    <s v="South Lanarkshire"/>
    <s v="Dwelling: Fatal"/>
    <n v="4"/>
    <n v="1"/>
    <m/>
    <n v="2"/>
    <n v="1"/>
    <m/>
    <s v="2015-16"/>
    <s v="South Lanarkshire"/>
    <s v="Dwelling: Nonfatal"/>
    <n v="62"/>
    <n v="32"/>
    <n v="6"/>
    <n v="5"/>
    <n v="19"/>
    <m/>
  </r>
  <r>
    <x v="6"/>
    <s v="Dwelling: Primary fires"/>
    <x v="29"/>
    <n v="108"/>
    <n v="65"/>
    <n v="14"/>
    <n v="13"/>
    <n v="16"/>
    <m/>
    <s v="2015-16"/>
    <s v="Stirling"/>
    <s v="Dwelling: Fatal"/>
    <n v="1"/>
    <m/>
    <m/>
    <m/>
    <n v="1"/>
    <m/>
    <s v="2015-16"/>
    <s v="Stirling"/>
    <s v="Dwelling: Nonfatal"/>
    <n v="8"/>
    <n v="6"/>
    <n v="1"/>
    <m/>
    <n v="1"/>
    <m/>
  </r>
  <r>
    <x v="6"/>
    <s v="Dwelling: Primary fires"/>
    <x v="30"/>
    <n v="156"/>
    <n v="109"/>
    <n v="9"/>
    <n v="15"/>
    <n v="22"/>
    <n v="1"/>
    <m/>
    <m/>
    <m/>
    <m/>
    <m/>
    <m/>
    <m/>
    <m/>
    <m/>
    <s v="2015-16"/>
    <s v="West Dunbartonshire"/>
    <s v="Dwelling: Nonfatal"/>
    <n v="35"/>
    <n v="21"/>
    <m/>
    <m/>
    <n v="14"/>
    <m/>
  </r>
  <r>
    <x v="6"/>
    <s v="Dwelling: Primary fires"/>
    <x v="31"/>
    <n v="150"/>
    <n v="70"/>
    <n v="13"/>
    <n v="29"/>
    <n v="37"/>
    <n v="1"/>
    <s v="2015-16"/>
    <s v="West Lothian"/>
    <s v="Dwelling: Fatal"/>
    <n v="1"/>
    <m/>
    <m/>
    <m/>
    <n v="1"/>
    <m/>
    <s v="2015-16"/>
    <s v="West Lothian"/>
    <s v="Dwelling: Nonfatal"/>
    <n v="26"/>
    <n v="13"/>
    <n v="2"/>
    <n v="3"/>
    <n v="5"/>
    <n v="3"/>
  </r>
  <r>
    <x v="7"/>
    <s v="Dwelling: Primary fires"/>
    <x v="0"/>
    <n v="350"/>
    <n v="217"/>
    <n v="18"/>
    <n v="20"/>
    <n v="94"/>
    <n v="1"/>
    <s v="2016-17"/>
    <s v="Aberdeen City"/>
    <s v="Dwelling: Fatal"/>
    <n v="2"/>
    <m/>
    <m/>
    <n v="1"/>
    <n v="1"/>
    <m/>
    <s v="2016-17"/>
    <s v="Aberdeen City"/>
    <s v="Dwelling: Nonfatal"/>
    <n v="33"/>
    <n v="16"/>
    <n v="3"/>
    <n v="7"/>
    <n v="7"/>
    <m/>
  </r>
  <r>
    <x v="7"/>
    <s v="Dwelling: Primary fires"/>
    <x v="1"/>
    <n v="184"/>
    <n v="95"/>
    <n v="8"/>
    <n v="13"/>
    <n v="63"/>
    <n v="5"/>
    <s v="2016-17"/>
    <s v="Aberdeenshire"/>
    <s v="Dwelling: Fatal"/>
    <n v="2"/>
    <n v="2"/>
    <m/>
    <m/>
    <m/>
    <m/>
    <s v="2016-17"/>
    <s v="Aberdeenshire"/>
    <s v="Dwelling: Nonfatal"/>
    <n v="20"/>
    <n v="8"/>
    <n v="5"/>
    <m/>
    <n v="6"/>
    <n v="1"/>
  </r>
  <r>
    <x v="7"/>
    <s v="Dwelling: Primary fires"/>
    <x v="2"/>
    <n v="98"/>
    <n v="53"/>
    <n v="13"/>
    <n v="13"/>
    <n v="16"/>
    <n v="3"/>
    <m/>
    <m/>
    <m/>
    <m/>
    <m/>
    <m/>
    <m/>
    <m/>
    <m/>
    <s v="2016-17"/>
    <s v="Angus"/>
    <s v="Dwelling: Nonfatal"/>
    <n v="18"/>
    <n v="4"/>
    <n v="6"/>
    <n v="2"/>
    <n v="6"/>
    <m/>
  </r>
  <r>
    <x v="7"/>
    <s v="Dwelling: Primary fires"/>
    <x v="3"/>
    <n v="80"/>
    <n v="44"/>
    <n v="9"/>
    <n v="16"/>
    <n v="7"/>
    <n v="4"/>
    <m/>
    <m/>
    <m/>
    <m/>
    <m/>
    <m/>
    <m/>
    <m/>
    <m/>
    <s v="2016-17"/>
    <s v="Argyll and Bute"/>
    <s v="Dwelling: Nonfatal"/>
    <n v="13"/>
    <n v="13"/>
    <m/>
    <m/>
    <m/>
    <m/>
  </r>
  <r>
    <x v="7"/>
    <s v="Dwelling: Primary fires"/>
    <x v="4"/>
    <n v="579"/>
    <n v="228"/>
    <n v="44"/>
    <n v="67"/>
    <n v="234"/>
    <n v="6"/>
    <s v="2016-17"/>
    <s v="City of Edinburgh"/>
    <s v="Dwelling: Fatal"/>
    <n v="3"/>
    <m/>
    <n v="1"/>
    <m/>
    <n v="2"/>
    <m/>
    <s v="2016-17"/>
    <s v="City of Edinburgh"/>
    <s v="Dwelling: Nonfatal"/>
    <n v="130"/>
    <n v="56"/>
    <n v="23"/>
    <n v="13"/>
    <n v="38"/>
    <m/>
  </r>
  <r>
    <x v="7"/>
    <s v="Dwelling: Primary fires"/>
    <x v="5"/>
    <n v="72"/>
    <n v="39"/>
    <n v="8"/>
    <n v="10"/>
    <n v="15"/>
    <m/>
    <m/>
    <m/>
    <m/>
    <m/>
    <m/>
    <m/>
    <m/>
    <m/>
    <m/>
    <s v="2016-17"/>
    <s v="Clackmannanshire"/>
    <s v="Dwelling: Nonfatal"/>
    <n v="20"/>
    <n v="8"/>
    <m/>
    <n v="4"/>
    <n v="8"/>
    <m/>
  </r>
  <r>
    <x v="7"/>
    <s v="Dwelling: Primary fires"/>
    <x v="6"/>
    <n v="118"/>
    <n v="49"/>
    <n v="11"/>
    <n v="18"/>
    <n v="39"/>
    <n v="1"/>
    <s v="2016-17"/>
    <s v="Dumfries and Galloway"/>
    <s v="Dwelling: Fatal"/>
    <n v="1"/>
    <m/>
    <m/>
    <m/>
    <m/>
    <n v="1"/>
    <s v="2016-17"/>
    <s v="Dumfries and Galloway"/>
    <s v="Dwelling: Nonfatal"/>
    <n v="7"/>
    <n v="5"/>
    <n v="1"/>
    <m/>
    <n v="1"/>
    <m/>
  </r>
  <r>
    <x v="7"/>
    <s v="Dwelling: Primary fires"/>
    <x v="7"/>
    <n v="257"/>
    <n v="137"/>
    <n v="25"/>
    <n v="24"/>
    <n v="69"/>
    <n v="2"/>
    <m/>
    <m/>
    <m/>
    <m/>
    <m/>
    <m/>
    <m/>
    <m/>
    <m/>
    <s v="2016-17"/>
    <s v="Dundee City"/>
    <s v="Dwelling: Nonfatal"/>
    <n v="53"/>
    <n v="22"/>
    <n v="3"/>
    <n v="5"/>
    <n v="23"/>
    <m/>
  </r>
  <r>
    <x v="7"/>
    <s v="Dwelling: Primary fires"/>
    <x v="8"/>
    <n v="146"/>
    <n v="105"/>
    <n v="12"/>
    <n v="16"/>
    <n v="11"/>
    <n v="2"/>
    <s v="2016-17"/>
    <s v="East Ayrshire"/>
    <s v="Dwelling: Fatal"/>
    <n v="2"/>
    <m/>
    <m/>
    <m/>
    <m/>
    <n v="2"/>
    <s v="2016-17"/>
    <s v="East Ayrshire"/>
    <s v="Dwelling: Nonfatal"/>
    <n v="29"/>
    <n v="15"/>
    <n v="5"/>
    <n v="5"/>
    <n v="3"/>
    <n v="1"/>
  </r>
  <r>
    <x v="7"/>
    <s v="Dwelling: Primary fires"/>
    <x v="9"/>
    <n v="82"/>
    <n v="41"/>
    <n v="6"/>
    <n v="21"/>
    <n v="12"/>
    <n v="2"/>
    <s v="2016-17"/>
    <s v="East Dunbartonshire"/>
    <s v="Dwelling: Fatal"/>
    <n v="2"/>
    <m/>
    <m/>
    <n v="1"/>
    <m/>
    <n v="1"/>
    <s v="2016-17"/>
    <s v="East Dunbartonshire"/>
    <s v="Dwelling: Nonfatal"/>
    <n v="23"/>
    <n v="11"/>
    <n v="2"/>
    <n v="9"/>
    <m/>
    <n v="1"/>
  </r>
  <r>
    <x v="7"/>
    <s v="Dwelling: Primary fires"/>
    <x v="10"/>
    <n v="59"/>
    <n v="23"/>
    <m/>
    <n v="7"/>
    <n v="27"/>
    <n v="2"/>
    <m/>
    <m/>
    <m/>
    <m/>
    <m/>
    <m/>
    <m/>
    <m/>
    <m/>
    <s v="2016-17"/>
    <s v="East Lothian"/>
    <s v="Dwelling: Nonfatal"/>
    <n v="8"/>
    <n v="2"/>
    <m/>
    <n v="3"/>
    <n v="3"/>
    <m/>
  </r>
  <r>
    <x v="7"/>
    <s v="Dwelling: Primary fires"/>
    <x v="11"/>
    <n v="64"/>
    <n v="40"/>
    <n v="7"/>
    <n v="9"/>
    <n v="7"/>
    <n v="1"/>
    <m/>
    <m/>
    <m/>
    <m/>
    <m/>
    <m/>
    <m/>
    <m/>
    <m/>
    <s v="2016-17"/>
    <s v="East Renfrewshire"/>
    <s v="Dwelling: Nonfatal"/>
    <n v="7"/>
    <n v="6"/>
    <n v="1"/>
    <m/>
    <m/>
    <m/>
  </r>
  <r>
    <x v="7"/>
    <s v="Dwelling: Primary fires"/>
    <x v="12"/>
    <n v="117"/>
    <n v="36"/>
    <n v="16"/>
    <n v="16"/>
    <n v="48"/>
    <n v="1"/>
    <s v="2016-17"/>
    <s v="Falkirk"/>
    <s v="Dwelling: Fatal"/>
    <n v="2"/>
    <m/>
    <n v="1"/>
    <m/>
    <n v="1"/>
    <m/>
    <s v="2016-17"/>
    <s v="Falkirk"/>
    <s v="Dwelling: Nonfatal"/>
    <n v="30"/>
    <n v="8"/>
    <n v="11"/>
    <n v="2"/>
    <n v="9"/>
    <m/>
  </r>
  <r>
    <x v="7"/>
    <s v="Dwelling: Primary fires"/>
    <x v="13"/>
    <n v="272"/>
    <n v="114"/>
    <n v="37"/>
    <n v="32"/>
    <n v="87"/>
    <n v="2"/>
    <s v="2016-17"/>
    <s v="Fife"/>
    <s v="Dwelling: Fatal"/>
    <n v="4"/>
    <n v="2"/>
    <n v="2"/>
    <m/>
    <m/>
    <m/>
    <s v="2016-17"/>
    <s v="Fife"/>
    <s v="Dwelling: Nonfatal"/>
    <n v="65"/>
    <n v="27"/>
    <n v="10"/>
    <n v="10"/>
    <n v="17"/>
    <n v="1"/>
  </r>
  <r>
    <x v="7"/>
    <s v="Dwelling: Primary fires"/>
    <x v="14"/>
    <n v="929"/>
    <n v="565"/>
    <n v="65"/>
    <n v="113"/>
    <n v="176"/>
    <n v="10"/>
    <s v="2016-17"/>
    <s v="Glasgow City"/>
    <s v="Dwelling: Fatal"/>
    <n v="6"/>
    <n v="3"/>
    <n v="1"/>
    <n v="2"/>
    <m/>
    <m/>
    <s v="2016-17"/>
    <s v="Glasgow City"/>
    <s v="Dwelling: Nonfatal"/>
    <n v="209"/>
    <n v="127"/>
    <n v="13"/>
    <n v="24"/>
    <n v="45"/>
    <m/>
  </r>
  <r>
    <x v="7"/>
    <s v="Dwelling: Primary fires"/>
    <x v="15"/>
    <n v="156"/>
    <n v="78"/>
    <n v="12"/>
    <n v="9"/>
    <n v="52"/>
    <n v="5"/>
    <s v="2016-17"/>
    <s v="Highland"/>
    <s v="Dwelling: Fatal"/>
    <n v="2"/>
    <m/>
    <m/>
    <m/>
    <n v="1"/>
    <n v="1"/>
    <s v="2016-17"/>
    <s v="Highland"/>
    <s v="Dwelling: Nonfatal"/>
    <n v="43"/>
    <n v="31"/>
    <n v="2"/>
    <n v="1"/>
    <n v="9"/>
    <m/>
  </r>
  <r>
    <x v="7"/>
    <s v="Dwelling: Primary fires"/>
    <x v="16"/>
    <n v="131"/>
    <n v="70"/>
    <n v="12"/>
    <n v="25"/>
    <n v="22"/>
    <n v="2"/>
    <s v="2016-17"/>
    <s v="Inverclyde"/>
    <s v="Dwelling: Fatal"/>
    <n v="1"/>
    <m/>
    <n v="1"/>
    <m/>
    <m/>
    <m/>
    <s v="2016-17"/>
    <s v="Inverclyde"/>
    <s v="Dwelling: Nonfatal"/>
    <n v="40"/>
    <n v="18"/>
    <n v="6"/>
    <n v="6"/>
    <n v="10"/>
    <m/>
  </r>
  <r>
    <x v="7"/>
    <s v="Dwelling: Primary fires"/>
    <x v="17"/>
    <n v="77"/>
    <n v="45"/>
    <n v="4"/>
    <n v="4"/>
    <n v="24"/>
    <m/>
    <m/>
    <m/>
    <m/>
    <m/>
    <m/>
    <m/>
    <m/>
    <m/>
    <m/>
    <s v="2016-17"/>
    <s v="Midlothian"/>
    <s v="Dwelling: Nonfatal"/>
    <n v="12"/>
    <n v="8"/>
    <n v="1"/>
    <m/>
    <n v="3"/>
    <m/>
  </r>
  <r>
    <x v="7"/>
    <s v="Dwelling: Primary fires"/>
    <x v="18"/>
    <n v="55"/>
    <n v="25"/>
    <n v="9"/>
    <n v="8"/>
    <n v="12"/>
    <n v="1"/>
    <s v="2016-17"/>
    <s v="Moray"/>
    <s v="Dwelling: Fatal"/>
    <n v="1"/>
    <m/>
    <n v="1"/>
    <m/>
    <m/>
    <m/>
    <s v="2016-17"/>
    <s v="Moray"/>
    <s v="Dwelling: Nonfatal"/>
    <n v="16"/>
    <n v="5"/>
    <n v="5"/>
    <n v="2"/>
    <n v="4"/>
    <m/>
  </r>
  <r>
    <x v="7"/>
    <s v="Dwelling: Primary fires"/>
    <x v="19"/>
    <n v="22"/>
    <n v="11"/>
    <n v="2"/>
    <n v="6"/>
    <n v="2"/>
    <n v="1"/>
    <s v="2016-17"/>
    <s v="Na h-Eileanan Siar"/>
    <s v="Dwelling: Fatal"/>
    <n v="3"/>
    <n v="1"/>
    <m/>
    <n v="1"/>
    <n v="1"/>
    <m/>
    <s v="2016-17"/>
    <s v="Na h-Eileanan Siar"/>
    <s v="Dwelling: Nonfatal"/>
    <n v="8"/>
    <n v="8"/>
    <m/>
    <m/>
    <m/>
    <m/>
  </r>
  <r>
    <x v="7"/>
    <s v="Dwelling: Primary fires"/>
    <x v="20"/>
    <n v="167"/>
    <n v="118"/>
    <n v="6"/>
    <n v="20"/>
    <n v="20"/>
    <n v="3"/>
    <m/>
    <m/>
    <m/>
    <m/>
    <m/>
    <m/>
    <m/>
    <m/>
    <m/>
    <s v="2016-17"/>
    <s v="North Ayrshire"/>
    <s v="Dwelling: Nonfatal"/>
    <n v="24"/>
    <n v="17"/>
    <n v="2"/>
    <n v="1"/>
    <n v="3"/>
    <n v="1"/>
  </r>
  <r>
    <x v="7"/>
    <s v="Dwelling: Primary fires"/>
    <x v="21"/>
    <n v="353"/>
    <n v="195"/>
    <n v="32"/>
    <n v="41"/>
    <n v="82"/>
    <n v="3"/>
    <s v="2016-17"/>
    <s v="North Lanarkshire"/>
    <s v="Dwelling: Fatal"/>
    <n v="1"/>
    <m/>
    <m/>
    <n v="1"/>
    <m/>
    <m/>
    <s v="2016-17"/>
    <s v="North Lanarkshire"/>
    <s v="Dwelling: Nonfatal"/>
    <n v="85"/>
    <n v="40"/>
    <n v="21"/>
    <n v="6"/>
    <n v="18"/>
    <m/>
  </r>
  <r>
    <x v="7"/>
    <s v="Dwelling: Primary fires"/>
    <x v="22"/>
    <n v="7"/>
    <n v="4"/>
    <n v="1"/>
    <m/>
    <n v="2"/>
    <m/>
    <m/>
    <m/>
    <m/>
    <m/>
    <m/>
    <m/>
    <m/>
    <m/>
    <m/>
    <s v="2016-17"/>
    <s v="Orkney Islands"/>
    <s v="Dwelling: Nonfatal"/>
    <n v="3"/>
    <m/>
    <m/>
    <m/>
    <n v="3"/>
    <m/>
  </r>
  <r>
    <x v="7"/>
    <s v="Dwelling: Primary fires"/>
    <x v="23"/>
    <n v="146"/>
    <n v="74"/>
    <n v="2"/>
    <n v="11"/>
    <n v="54"/>
    <n v="5"/>
    <s v="2016-17"/>
    <s v="Perth and Kinross"/>
    <s v="Dwelling: Fatal"/>
    <n v="1"/>
    <m/>
    <m/>
    <m/>
    <m/>
    <n v="1"/>
    <s v="2016-17"/>
    <s v="Perth and Kinross"/>
    <s v="Dwelling: Nonfatal"/>
    <n v="29"/>
    <n v="16"/>
    <m/>
    <m/>
    <n v="13"/>
    <m/>
  </r>
  <r>
    <x v="7"/>
    <s v="Dwelling: Primary fires"/>
    <x v="24"/>
    <n v="205"/>
    <n v="126"/>
    <n v="13"/>
    <n v="26"/>
    <n v="38"/>
    <n v="2"/>
    <s v="2016-17"/>
    <s v="Renfrewshire"/>
    <s v="Dwelling: Fatal"/>
    <n v="1"/>
    <m/>
    <m/>
    <m/>
    <m/>
    <n v="1"/>
    <s v="2016-17"/>
    <s v="Renfrewshire"/>
    <s v="Dwelling: Nonfatal"/>
    <n v="30"/>
    <n v="24"/>
    <n v="2"/>
    <n v="1"/>
    <n v="3"/>
    <m/>
  </r>
  <r>
    <x v="7"/>
    <s v="Dwelling: Primary fires"/>
    <x v="25"/>
    <n v="91"/>
    <n v="42"/>
    <n v="11"/>
    <n v="14"/>
    <n v="23"/>
    <n v="1"/>
    <s v="2016-17"/>
    <s v="Scottish Borders"/>
    <s v="Dwelling: Fatal"/>
    <n v="1"/>
    <m/>
    <m/>
    <n v="1"/>
    <m/>
    <m/>
    <s v="2016-17"/>
    <s v="Scottish Borders"/>
    <s v="Dwelling: Nonfatal"/>
    <n v="25"/>
    <n v="16"/>
    <n v="4"/>
    <n v="2"/>
    <n v="3"/>
    <m/>
  </r>
  <r>
    <x v="7"/>
    <s v="Dwelling: Primary fires"/>
    <x v="26"/>
    <n v="9"/>
    <n v="1"/>
    <n v="1"/>
    <m/>
    <n v="7"/>
    <m/>
    <m/>
    <m/>
    <m/>
    <m/>
    <m/>
    <m/>
    <m/>
    <m/>
    <m/>
    <s v="2016-17"/>
    <s v="Shetland Islands"/>
    <s v="Dwelling: Nonfatal"/>
    <n v="1"/>
    <m/>
    <m/>
    <m/>
    <n v="1"/>
    <m/>
  </r>
  <r>
    <x v="7"/>
    <s v="Dwelling: Primary fires"/>
    <x v="27"/>
    <n v="97"/>
    <n v="47"/>
    <n v="13"/>
    <n v="14"/>
    <n v="22"/>
    <n v="1"/>
    <m/>
    <m/>
    <m/>
    <m/>
    <m/>
    <m/>
    <m/>
    <m/>
    <m/>
    <s v="2016-17"/>
    <s v="South Ayrshire"/>
    <s v="Dwelling: Nonfatal"/>
    <n v="23"/>
    <n v="14"/>
    <n v="5"/>
    <n v="1"/>
    <n v="3"/>
    <m/>
  </r>
  <r>
    <x v="7"/>
    <s v="Dwelling: Primary fires"/>
    <x v="28"/>
    <n v="250"/>
    <n v="132"/>
    <n v="16"/>
    <n v="44"/>
    <n v="55"/>
    <n v="3"/>
    <m/>
    <m/>
    <m/>
    <m/>
    <m/>
    <m/>
    <m/>
    <m/>
    <m/>
    <s v="2016-17"/>
    <s v="South Lanarkshire"/>
    <s v="Dwelling: Nonfatal"/>
    <n v="46"/>
    <n v="30"/>
    <n v="4"/>
    <n v="2"/>
    <n v="10"/>
    <m/>
  </r>
  <r>
    <x v="7"/>
    <s v="Dwelling: Primary fires"/>
    <x v="29"/>
    <n v="86"/>
    <n v="40"/>
    <n v="7"/>
    <n v="9"/>
    <n v="27"/>
    <n v="3"/>
    <s v="2016-17"/>
    <s v="Stirling"/>
    <s v="Dwelling: Fatal"/>
    <n v="1"/>
    <m/>
    <m/>
    <n v="1"/>
    <m/>
    <m/>
    <s v="2016-17"/>
    <s v="Stirling"/>
    <s v="Dwelling: Nonfatal"/>
    <n v="11"/>
    <n v="3"/>
    <n v="2"/>
    <n v="2"/>
    <n v="4"/>
    <m/>
  </r>
  <r>
    <x v="7"/>
    <s v="Dwelling: Primary fires"/>
    <x v="30"/>
    <n v="143"/>
    <n v="99"/>
    <n v="6"/>
    <n v="21"/>
    <n v="16"/>
    <n v="1"/>
    <m/>
    <m/>
    <m/>
    <m/>
    <m/>
    <m/>
    <m/>
    <m/>
    <m/>
    <s v="2016-17"/>
    <s v="West Dunbartonshire"/>
    <s v="Dwelling: Nonfatal"/>
    <n v="20"/>
    <n v="12"/>
    <n v="1"/>
    <n v="3"/>
    <n v="1"/>
    <n v="3"/>
  </r>
  <r>
    <x v="7"/>
    <s v="Dwelling: Primary fires"/>
    <x v="31"/>
    <n v="138"/>
    <n v="60"/>
    <n v="20"/>
    <n v="25"/>
    <n v="29"/>
    <n v="4"/>
    <m/>
    <m/>
    <m/>
    <m/>
    <m/>
    <m/>
    <m/>
    <m/>
    <m/>
    <s v="2016-17"/>
    <s v="West Lothian"/>
    <s v="Dwelling: Nonfatal"/>
    <n v="34"/>
    <n v="11"/>
    <n v="11"/>
    <n v="3"/>
    <n v="8"/>
    <n v="1"/>
  </r>
  <r>
    <x v="8"/>
    <s v="Dwelling: Primary fires"/>
    <x v="0"/>
    <n v="277"/>
    <n v="157"/>
    <n v="17"/>
    <n v="27"/>
    <n v="72"/>
    <n v="4"/>
    <s v="2017-18"/>
    <s v="Aberdeen City"/>
    <s v="Dwelling: Fatal"/>
    <n v="3"/>
    <m/>
    <n v="1"/>
    <n v="2"/>
    <m/>
    <m/>
    <s v="2017-18"/>
    <s v="Aberdeen City"/>
    <s v="Dwelling: Nonfatal"/>
    <n v="29"/>
    <n v="14"/>
    <n v="5"/>
    <m/>
    <n v="8"/>
    <n v="2"/>
  </r>
  <r>
    <x v="8"/>
    <s v="Dwelling: Primary fires"/>
    <x v="1"/>
    <n v="167"/>
    <n v="76"/>
    <n v="12"/>
    <n v="16"/>
    <n v="61"/>
    <n v="2"/>
    <s v="2017-18"/>
    <s v="Aberdeenshire"/>
    <s v="Dwelling: Fatal"/>
    <n v="1"/>
    <n v="1"/>
    <m/>
    <m/>
    <m/>
    <m/>
    <s v="2017-18"/>
    <s v="Aberdeenshire"/>
    <s v="Dwelling: Nonfatal"/>
    <n v="32"/>
    <n v="7"/>
    <n v="5"/>
    <n v="2"/>
    <n v="18"/>
    <m/>
  </r>
  <r>
    <x v="8"/>
    <s v="Dwelling: Primary fires"/>
    <x v="2"/>
    <n v="79"/>
    <n v="44"/>
    <n v="6"/>
    <n v="5"/>
    <n v="24"/>
    <m/>
    <m/>
    <m/>
    <m/>
    <m/>
    <m/>
    <m/>
    <m/>
    <m/>
    <m/>
    <s v="2017-18"/>
    <s v="Angus"/>
    <s v="Dwelling: Nonfatal"/>
    <n v="18"/>
    <n v="9"/>
    <n v="2"/>
    <n v="2"/>
    <n v="5"/>
    <m/>
  </r>
  <r>
    <x v="8"/>
    <s v="Dwelling: Primary fires"/>
    <x v="3"/>
    <n v="87"/>
    <n v="45"/>
    <n v="12"/>
    <n v="11"/>
    <n v="13"/>
    <n v="6"/>
    <s v="2017-18"/>
    <s v="Argyll and Bute"/>
    <s v="Dwelling: Fatal"/>
    <n v="1"/>
    <n v="1"/>
    <m/>
    <m/>
    <m/>
    <m/>
    <s v="2017-18"/>
    <s v="Argyll and Bute"/>
    <s v="Dwelling: Nonfatal"/>
    <n v="18"/>
    <n v="10"/>
    <n v="1"/>
    <n v="4"/>
    <n v="3"/>
    <m/>
  </r>
  <r>
    <x v="8"/>
    <s v="Dwelling: Primary fires"/>
    <x v="4"/>
    <n v="526"/>
    <n v="222"/>
    <n v="35"/>
    <n v="62"/>
    <n v="198"/>
    <n v="9"/>
    <s v="2017-18"/>
    <s v="City of Edinburgh"/>
    <s v="Dwelling: Fatal"/>
    <n v="1"/>
    <n v="1"/>
    <m/>
    <m/>
    <m/>
    <m/>
    <s v="2017-18"/>
    <s v="City of Edinburgh"/>
    <s v="Dwelling: Nonfatal"/>
    <n v="79"/>
    <n v="38"/>
    <n v="9"/>
    <n v="7"/>
    <n v="22"/>
    <n v="3"/>
  </r>
  <r>
    <x v="8"/>
    <s v="Dwelling: Primary fires"/>
    <x v="5"/>
    <n v="51"/>
    <n v="28"/>
    <n v="10"/>
    <n v="4"/>
    <n v="8"/>
    <n v="1"/>
    <m/>
    <m/>
    <m/>
    <m/>
    <m/>
    <m/>
    <m/>
    <m/>
    <m/>
    <s v="2017-18"/>
    <s v="Clackmannanshire"/>
    <s v="Dwelling: Nonfatal"/>
    <n v="8"/>
    <n v="6"/>
    <n v="1"/>
    <m/>
    <n v="1"/>
    <m/>
  </r>
  <r>
    <x v="8"/>
    <s v="Dwelling: Primary fires"/>
    <x v="6"/>
    <n v="103"/>
    <n v="33"/>
    <n v="7"/>
    <n v="21"/>
    <n v="41"/>
    <n v="1"/>
    <s v="2017-18"/>
    <s v="Dumfries and Galloway"/>
    <s v="Dwelling: Fatal"/>
    <n v="3"/>
    <m/>
    <n v="1"/>
    <n v="2"/>
    <m/>
    <m/>
    <s v="2017-18"/>
    <s v="Dumfries and Galloway"/>
    <s v="Dwelling: Nonfatal"/>
    <n v="4"/>
    <n v="3"/>
    <m/>
    <m/>
    <n v="1"/>
    <m/>
  </r>
  <r>
    <x v="8"/>
    <s v="Dwelling: Primary fires"/>
    <x v="7"/>
    <n v="215"/>
    <n v="125"/>
    <n v="20"/>
    <n v="20"/>
    <n v="49"/>
    <n v="1"/>
    <m/>
    <m/>
    <m/>
    <m/>
    <m/>
    <m/>
    <m/>
    <m/>
    <m/>
    <s v="2017-18"/>
    <s v="Dundee City"/>
    <s v="Dwelling: Nonfatal"/>
    <n v="34"/>
    <n v="22"/>
    <n v="3"/>
    <n v="2"/>
    <n v="7"/>
    <m/>
  </r>
  <r>
    <x v="8"/>
    <s v="Dwelling: Primary fires"/>
    <x v="8"/>
    <n v="87"/>
    <n v="51"/>
    <n v="14"/>
    <n v="10"/>
    <n v="10"/>
    <n v="2"/>
    <s v="2017-18"/>
    <s v="East Ayrshire"/>
    <s v="Dwelling: Fatal"/>
    <n v="1"/>
    <m/>
    <n v="1"/>
    <m/>
    <m/>
    <m/>
    <s v="2017-18"/>
    <s v="East Ayrshire"/>
    <s v="Dwelling: Nonfatal"/>
    <n v="26"/>
    <n v="15"/>
    <n v="6"/>
    <n v="2"/>
    <n v="1"/>
    <n v="2"/>
  </r>
  <r>
    <x v="8"/>
    <s v="Dwelling: Primary fires"/>
    <x v="9"/>
    <n v="67"/>
    <n v="34"/>
    <n v="3"/>
    <n v="19"/>
    <n v="10"/>
    <n v="1"/>
    <m/>
    <m/>
    <m/>
    <m/>
    <m/>
    <m/>
    <m/>
    <m/>
    <m/>
    <s v="2017-18"/>
    <s v="East Dunbartonshire"/>
    <s v="Dwelling: Nonfatal"/>
    <n v="13"/>
    <n v="7"/>
    <m/>
    <n v="4"/>
    <n v="2"/>
    <m/>
  </r>
  <r>
    <x v="8"/>
    <s v="Dwelling: Primary fires"/>
    <x v="10"/>
    <n v="76"/>
    <n v="45"/>
    <n v="2"/>
    <n v="6"/>
    <n v="20"/>
    <n v="3"/>
    <s v="2017-18"/>
    <s v="East Lothian"/>
    <s v="Dwelling: Fatal"/>
    <n v="2"/>
    <m/>
    <m/>
    <m/>
    <n v="2"/>
    <m/>
    <s v="2017-18"/>
    <s v="East Lothian"/>
    <s v="Dwelling: Nonfatal"/>
    <n v="7"/>
    <n v="5"/>
    <m/>
    <m/>
    <n v="2"/>
    <m/>
  </r>
  <r>
    <x v="8"/>
    <s v="Dwelling: Primary fires"/>
    <x v="11"/>
    <n v="84"/>
    <n v="58"/>
    <n v="4"/>
    <n v="9"/>
    <n v="11"/>
    <n v="2"/>
    <m/>
    <m/>
    <m/>
    <m/>
    <m/>
    <m/>
    <m/>
    <m/>
    <m/>
    <s v="2017-18"/>
    <s v="East Renfrewshire"/>
    <s v="Dwelling: Nonfatal"/>
    <n v="9"/>
    <n v="7"/>
    <m/>
    <m/>
    <n v="2"/>
    <m/>
  </r>
  <r>
    <x v="8"/>
    <s v="Dwelling: Primary fires"/>
    <x v="12"/>
    <n v="122"/>
    <n v="52"/>
    <n v="13"/>
    <n v="13"/>
    <n v="44"/>
    <m/>
    <s v="2017-18"/>
    <s v="Falkirk"/>
    <s v="Dwelling: Fatal"/>
    <n v="2"/>
    <n v="1"/>
    <n v="1"/>
    <m/>
    <m/>
    <m/>
    <s v="2017-18"/>
    <s v="Falkirk"/>
    <s v="Dwelling: Nonfatal"/>
    <n v="20"/>
    <n v="16"/>
    <m/>
    <n v="1"/>
    <n v="3"/>
    <m/>
  </r>
  <r>
    <x v="8"/>
    <s v="Dwelling: Primary fires"/>
    <x v="13"/>
    <n v="304"/>
    <n v="129"/>
    <n v="39"/>
    <n v="53"/>
    <n v="77"/>
    <n v="6"/>
    <s v="2017-18"/>
    <s v="Fife"/>
    <s v="Dwelling: Fatal"/>
    <n v="2"/>
    <m/>
    <m/>
    <m/>
    <n v="2"/>
    <m/>
    <s v="2017-18"/>
    <s v="Fife"/>
    <s v="Dwelling: Nonfatal"/>
    <n v="32"/>
    <n v="13"/>
    <n v="8"/>
    <n v="6"/>
    <n v="5"/>
    <m/>
  </r>
  <r>
    <x v="8"/>
    <s v="Dwelling: Primary fires"/>
    <x v="14"/>
    <n v="962"/>
    <n v="566"/>
    <n v="79"/>
    <n v="134"/>
    <n v="168"/>
    <n v="15"/>
    <s v="2017-18"/>
    <s v="Glasgow City"/>
    <s v="Dwelling: Fatal"/>
    <n v="5"/>
    <n v="3"/>
    <n v="1"/>
    <m/>
    <n v="1"/>
    <m/>
    <s v="2017-18"/>
    <s v="Glasgow City"/>
    <s v="Dwelling: Nonfatal"/>
    <n v="185"/>
    <n v="101"/>
    <n v="24"/>
    <n v="14"/>
    <n v="42"/>
    <n v="4"/>
  </r>
  <r>
    <x v="8"/>
    <s v="Dwelling: Primary fires"/>
    <x v="15"/>
    <n v="150"/>
    <n v="54"/>
    <n v="15"/>
    <n v="17"/>
    <n v="59"/>
    <n v="5"/>
    <s v="2017-18"/>
    <s v="Highland"/>
    <s v="Dwelling: Fatal"/>
    <n v="2"/>
    <m/>
    <m/>
    <m/>
    <n v="1"/>
    <n v="1"/>
    <s v="2017-18"/>
    <s v="Highland"/>
    <s v="Dwelling: Nonfatal"/>
    <n v="31"/>
    <n v="18"/>
    <n v="4"/>
    <n v="4"/>
    <n v="5"/>
    <m/>
  </r>
  <r>
    <x v="8"/>
    <s v="Dwelling: Primary fires"/>
    <x v="16"/>
    <n v="103"/>
    <n v="58"/>
    <n v="3"/>
    <n v="14"/>
    <n v="27"/>
    <n v="1"/>
    <m/>
    <m/>
    <m/>
    <m/>
    <m/>
    <m/>
    <m/>
    <m/>
    <m/>
    <s v="2017-18"/>
    <s v="Inverclyde"/>
    <s v="Dwelling: Nonfatal"/>
    <n v="14"/>
    <n v="11"/>
    <m/>
    <n v="1"/>
    <n v="2"/>
    <m/>
  </r>
  <r>
    <x v="8"/>
    <s v="Dwelling: Primary fires"/>
    <x v="17"/>
    <n v="70"/>
    <n v="33"/>
    <n v="7"/>
    <n v="8"/>
    <n v="22"/>
    <m/>
    <m/>
    <m/>
    <m/>
    <m/>
    <m/>
    <m/>
    <m/>
    <m/>
    <m/>
    <s v="2017-18"/>
    <s v="Midlothian"/>
    <s v="Dwelling: Nonfatal"/>
    <n v="15"/>
    <n v="11"/>
    <m/>
    <n v="2"/>
    <n v="2"/>
    <m/>
  </r>
  <r>
    <x v="8"/>
    <s v="Dwelling: Primary fires"/>
    <x v="18"/>
    <n v="39"/>
    <n v="18"/>
    <n v="5"/>
    <n v="8"/>
    <n v="7"/>
    <n v="1"/>
    <m/>
    <m/>
    <m/>
    <m/>
    <m/>
    <m/>
    <m/>
    <m/>
    <m/>
    <s v="2017-18"/>
    <s v="Moray"/>
    <s v="Dwelling: Nonfatal"/>
    <n v="13"/>
    <n v="6"/>
    <n v="2"/>
    <n v="3"/>
    <n v="2"/>
    <m/>
  </r>
  <r>
    <x v="8"/>
    <s v="Dwelling: Primary fires"/>
    <x v="19"/>
    <n v="15"/>
    <n v="4"/>
    <n v="3"/>
    <n v="3"/>
    <n v="5"/>
    <m/>
    <s v="2017-18"/>
    <s v="Na h-Eileanan Siar"/>
    <s v="Dwelling: Fatal"/>
    <n v="1"/>
    <m/>
    <m/>
    <n v="1"/>
    <m/>
    <m/>
    <s v="2017-18"/>
    <s v="Na h-Eileanan Siar"/>
    <s v="Dwelling: Nonfatal"/>
    <n v="1"/>
    <m/>
    <n v="1"/>
    <m/>
    <m/>
    <m/>
  </r>
  <r>
    <x v="8"/>
    <s v="Dwelling: Primary fires"/>
    <x v="20"/>
    <n v="162"/>
    <n v="96"/>
    <n v="12"/>
    <n v="24"/>
    <n v="28"/>
    <n v="2"/>
    <m/>
    <m/>
    <m/>
    <m/>
    <m/>
    <m/>
    <m/>
    <m/>
    <m/>
    <s v="2017-18"/>
    <s v="North Ayrshire"/>
    <s v="Dwelling: Nonfatal"/>
    <n v="18"/>
    <n v="12"/>
    <n v="3"/>
    <n v="1"/>
    <n v="2"/>
    <m/>
  </r>
  <r>
    <x v="8"/>
    <s v="Dwelling: Primary fires"/>
    <x v="21"/>
    <n v="307"/>
    <n v="165"/>
    <n v="38"/>
    <n v="23"/>
    <n v="73"/>
    <n v="8"/>
    <s v="2017-18"/>
    <s v="North Lanarkshire"/>
    <s v="Dwelling: Fatal"/>
    <n v="1"/>
    <n v="1"/>
    <m/>
    <m/>
    <m/>
    <m/>
    <s v="2017-18"/>
    <s v="North Lanarkshire"/>
    <s v="Dwelling: Nonfatal"/>
    <n v="84"/>
    <n v="44"/>
    <n v="12"/>
    <n v="3"/>
    <n v="25"/>
    <m/>
  </r>
  <r>
    <x v="8"/>
    <s v="Dwelling: Primary fires"/>
    <x v="22"/>
    <n v="6"/>
    <m/>
    <n v="1"/>
    <m/>
    <n v="4"/>
    <n v="1"/>
    <m/>
    <m/>
    <m/>
    <m/>
    <m/>
    <m/>
    <m/>
    <m/>
    <m/>
    <s v="2017-18"/>
    <s v="Orkney Islands"/>
    <s v="Dwelling: Nonfatal"/>
    <n v="3"/>
    <m/>
    <n v="3"/>
    <m/>
    <m/>
    <m/>
  </r>
  <r>
    <x v="8"/>
    <s v="Dwelling: Primary fires"/>
    <x v="23"/>
    <n v="116"/>
    <n v="54"/>
    <n v="6"/>
    <n v="10"/>
    <n v="45"/>
    <n v="1"/>
    <m/>
    <m/>
    <m/>
    <m/>
    <m/>
    <m/>
    <m/>
    <m/>
    <m/>
    <s v="2017-18"/>
    <s v="Perth and Kinross"/>
    <s v="Dwelling: Nonfatal"/>
    <n v="20"/>
    <n v="11"/>
    <n v="3"/>
    <m/>
    <n v="6"/>
    <m/>
  </r>
  <r>
    <x v="8"/>
    <s v="Dwelling: Primary fires"/>
    <x v="24"/>
    <n v="223"/>
    <n v="124"/>
    <n v="11"/>
    <n v="33"/>
    <n v="45"/>
    <n v="10"/>
    <s v="2017-18"/>
    <s v="Renfrewshire"/>
    <s v="Dwelling: Fatal"/>
    <n v="1"/>
    <m/>
    <m/>
    <n v="1"/>
    <m/>
    <m/>
    <s v="2017-18"/>
    <s v="Renfrewshire"/>
    <s v="Dwelling: Nonfatal"/>
    <n v="37"/>
    <n v="25"/>
    <n v="2"/>
    <n v="3"/>
    <n v="3"/>
    <n v="4"/>
  </r>
  <r>
    <x v="8"/>
    <s v="Dwelling: Primary fires"/>
    <x v="25"/>
    <n v="100"/>
    <n v="39"/>
    <n v="9"/>
    <n v="17"/>
    <n v="33"/>
    <n v="2"/>
    <s v="2017-18"/>
    <s v="Scottish Borders"/>
    <s v="Dwelling: Fatal"/>
    <n v="1"/>
    <m/>
    <n v="1"/>
    <m/>
    <m/>
    <m/>
    <s v="2017-18"/>
    <s v="Scottish Borders"/>
    <s v="Dwelling: Nonfatal"/>
    <n v="16"/>
    <n v="9"/>
    <m/>
    <n v="1"/>
    <n v="6"/>
    <m/>
  </r>
  <r>
    <x v="8"/>
    <s v="Dwelling: Primary fires"/>
    <x v="26"/>
    <n v="13"/>
    <n v="2"/>
    <n v="4"/>
    <n v="2"/>
    <n v="2"/>
    <n v="3"/>
    <m/>
    <m/>
    <m/>
    <m/>
    <m/>
    <m/>
    <m/>
    <m/>
    <m/>
    <s v="2017-18"/>
    <s v="Shetland Islands"/>
    <s v="Dwelling: Nonfatal"/>
    <n v="5"/>
    <n v="1"/>
    <n v="4"/>
    <m/>
    <m/>
    <m/>
  </r>
  <r>
    <x v="8"/>
    <s v="Dwelling: Primary fires"/>
    <x v="27"/>
    <n v="106"/>
    <n v="70"/>
    <n v="9"/>
    <n v="14"/>
    <n v="8"/>
    <n v="5"/>
    <s v="2017-18"/>
    <s v="South Ayrshire"/>
    <s v="Dwelling: Fatal"/>
    <n v="3"/>
    <m/>
    <n v="1"/>
    <m/>
    <m/>
    <n v="2"/>
    <s v="2017-18"/>
    <s v="South Ayrshire"/>
    <s v="Dwelling: Nonfatal"/>
    <n v="20"/>
    <n v="12"/>
    <n v="3"/>
    <n v="2"/>
    <n v="1"/>
    <n v="2"/>
  </r>
  <r>
    <x v="8"/>
    <s v="Dwelling: Primary fires"/>
    <x v="28"/>
    <n v="278"/>
    <n v="154"/>
    <n v="16"/>
    <n v="49"/>
    <n v="55"/>
    <n v="4"/>
    <s v="2017-18"/>
    <s v="South Lanarkshire"/>
    <s v="Dwelling: Fatal"/>
    <n v="4"/>
    <n v="3"/>
    <m/>
    <n v="1"/>
    <m/>
    <m/>
    <s v="2017-18"/>
    <s v="South Lanarkshire"/>
    <s v="Dwelling: Nonfatal"/>
    <n v="61"/>
    <n v="34"/>
    <n v="3"/>
    <n v="7"/>
    <n v="15"/>
    <n v="2"/>
  </r>
  <r>
    <x v="8"/>
    <s v="Dwelling: Primary fires"/>
    <x v="29"/>
    <n v="89"/>
    <n v="39"/>
    <n v="13"/>
    <n v="8"/>
    <n v="29"/>
    <m/>
    <s v="2017-18"/>
    <s v="Stirling"/>
    <s v="Dwelling: Fatal"/>
    <n v="2"/>
    <n v="1"/>
    <m/>
    <n v="1"/>
    <m/>
    <m/>
    <s v="2017-18"/>
    <s v="Stirling"/>
    <s v="Dwelling: Nonfatal"/>
    <n v="15"/>
    <n v="5"/>
    <n v="2"/>
    <n v="1"/>
    <n v="7"/>
    <m/>
  </r>
  <r>
    <x v="8"/>
    <s v="Dwelling: Primary fires"/>
    <x v="30"/>
    <n v="158"/>
    <n v="100"/>
    <n v="7"/>
    <n v="27"/>
    <n v="23"/>
    <n v="1"/>
    <s v="2017-18"/>
    <s v="West Dunbartonshire"/>
    <s v="Dwelling: Fatal"/>
    <n v="1"/>
    <m/>
    <n v="1"/>
    <m/>
    <m/>
    <m/>
    <s v="2017-18"/>
    <s v="West Dunbartonshire"/>
    <s v="Dwelling: Nonfatal"/>
    <n v="22"/>
    <n v="13"/>
    <n v="2"/>
    <n v="1"/>
    <n v="4"/>
    <n v="2"/>
  </r>
  <r>
    <x v="8"/>
    <s v="Dwelling: Primary fires"/>
    <x v="31"/>
    <n v="169"/>
    <n v="87"/>
    <n v="9"/>
    <n v="27"/>
    <n v="45"/>
    <n v="1"/>
    <m/>
    <m/>
    <m/>
    <m/>
    <m/>
    <m/>
    <m/>
    <m/>
    <m/>
    <s v="2017-18"/>
    <s v="West Lothian"/>
    <s v="Dwelling: Nonfatal"/>
    <n v="32"/>
    <n v="17"/>
    <n v="3"/>
    <n v="3"/>
    <n v="9"/>
    <m/>
  </r>
  <r>
    <x v="9"/>
    <s v="Dwelling: Primary fires"/>
    <x v="0"/>
    <n v="289"/>
    <n v="158"/>
    <n v="17"/>
    <n v="19"/>
    <n v="87"/>
    <n v="8"/>
    <s v="2018-19"/>
    <s v="Aberdeen City"/>
    <s v="Dwelling: Fatal"/>
    <n v="2"/>
    <n v="1"/>
    <m/>
    <m/>
    <m/>
    <n v="1"/>
    <s v="2018-19"/>
    <s v="Aberdeen City"/>
    <s v="Dwelling: Nonfatal"/>
    <n v="46"/>
    <n v="28"/>
    <n v="3"/>
    <m/>
    <n v="12"/>
    <n v="3"/>
  </r>
  <r>
    <x v="9"/>
    <s v="Dwelling: Primary fires"/>
    <x v="1"/>
    <n v="170"/>
    <n v="100"/>
    <n v="8"/>
    <n v="13"/>
    <n v="46"/>
    <n v="3"/>
    <s v="2018-19"/>
    <s v="Aberdeenshire"/>
    <s v="Dwelling: Fatal"/>
    <n v="1"/>
    <m/>
    <m/>
    <m/>
    <m/>
    <n v="1"/>
    <s v="2018-19"/>
    <s v="Aberdeenshire"/>
    <s v="Dwelling: Nonfatal"/>
    <n v="20"/>
    <n v="15"/>
    <m/>
    <m/>
    <n v="5"/>
    <m/>
  </r>
  <r>
    <x v="9"/>
    <s v="Dwelling: Primary fires"/>
    <x v="2"/>
    <n v="83"/>
    <n v="33"/>
    <n v="6"/>
    <n v="7"/>
    <n v="36"/>
    <n v="1"/>
    <s v="2018-19"/>
    <s v="Angus"/>
    <s v="Dwelling: Fatal"/>
    <n v="2"/>
    <m/>
    <n v="1"/>
    <n v="1"/>
    <m/>
    <m/>
    <s v="2018-19"/>
    <s v="Angus"/>
    <s v="Dwelling: Nonfatal"/>
    <n v="12"/>
    <n v="8"/>
    <n v="1"/>
    <m/>
    <n v="3"/>
    <m/>
  </r>
  <r>
    <x v="9"/>
    <s v="Dwelling: Primary fires"/>
    <x v="3"/>
    <n v="91"/>
    <n v="51"/>
    <n v="8"/>
    <n v="11"/>
    <n v="13"/>
    <n v="8"/>
    <m/>
    <m/>
    <m/>
    <m/>
    <m/>
    <m/>
    <m/>
    <m/>
    <m/>
    <s v="2018-19"/>
    <s v="Argyll and Bute"/>
    <s v="Dwelling: Nonfatal"/>
    <n v="21"/>
    <n v="8"/>
    <n v="3"/>
    <n v="6"/>
    <m/>
    <n v="4"/>
  </r>
  <r>
    <x v="9"/>
    <s v="Dwelling: Primary fires"/>
    <x v="4"/>
    <n v="515"/>
    <n v="225"/>
    <n v="46"/>
    <n v="65"/>
    <n v="174"/>
    <n v="5"/>
    <s v="2018-19"/>
    <s v="City of Edinburgh"/>
    <s v="Dwelling: Fatal"/>
    <n v="2"/>
    <m/>
    <n v="2"/>
    <m/>
    <m/>
    <m/>
    <s v="2018-19"/>
    <s v="City of Edinburgh"/>
    <s v="Dwelling: Nonfatal"/>
    <n v="107"/>
    <n v="60"/>
    <n v="13"/>
    <n v="10"/>
    <n v="24"/>
    <m/>
  </r>
  <r>
    <x v="9"/>
    <s v="Dwelling: Primary fires"/>
    <x v="5"/>
    <n v="46"/>
    <n v="25"/>
    <n v="4"/>
    <n v="5"/>
    <n v="12"/>
    <m/>
    <m/>
    <m/>
    <m/>
    <m/>
    <m/>
    <m/>
    <m/>
    <m/>
    <m/>
    <s v="2018-19"/>
    <s v="Clackmannanshire"/>
    <s v="Dwelling: Nonfatal"/>
    <n v="16"/>
    <n v="8"/>
    <n v="2"/>
    <n v="1"/>
    <n v="5"/>
    <m/>
  </r>
  <r>
    <x v="9"/>
    <s v="Dwelling: Primary fires"/>
    <x v="6"/>
    <n v="84"/>
    <n v="42"/>
    <n v="4"/>
    <n v="9"/>
    <n v="27"/>
    <n v="2"/>
    <m/>
    <m/>
    <m/>
    <m/>
    <m/>
    <m/>
    <m/>
    <m/>
    <m/>
    <s v="2018-19"/>
    <s v="Dumfries and Galloway"/>
    <s v="Dwelling: Nonfatal"/>
    <n v="9"/>
    <n v="5"/>
    <m/>
    <n v="1"/>
    <n v="3"/>
    <m/>
  </r>
  <r>
    <x v="9"/>
    <s v="Dwelling: Primary fires"/>
    <x v="7"/>
    <n v="203"/>
    <n v="116"/>
    <n v="17"/>
    <n v="18"/>
    <n v="49"/>
    <n v="3"/>
    <m/>
    <m/>
    <m/>
    <m/>
    <m/>
    <m/>
    <m/>
    <m/>
    <m/>
    <s v="2018-19"/>
    <s v="Dundee City"/>
    <s v="Dwelling: Nonfatal"/>
    <n v="40"/>
    <n v="21"/>
    <n v="6"/>
    <n v="3"/>
    <n v="6"/>
    <n v="4"/>
  </r>
  <r>
    <x v="9"/>
    <s v="Dwelling: Primary fires"/>
    <x v="8"/>
    <n v="88"/>
    <n v="62"/>
    <n v="7"/>
    <n v="7"/>
    <n v="9"/>
    <n v="3"/>
    <m/>
    <m/>
    <m/>
    <m/>
    <m/>
    <m/>
    <m/>
    <m/>
    <m/>
    <s v="2018-19"/>
    <s v="East Ayrshire"/>
    <s v="Dwelling: Nonfatal"/>
    <n v="30"/>
    <n v="21"/>
    <n v="2"/>
    <n v="2"/>
    <n v="5"/>
    <m/>
  </r>
  <r>
    <x v="9"/>
    <s v="Dwelling: Primary fires"/>
    <x v="9"/>
    <n v="70"/>
    <n v="32"/>
    <n v="9"/>
    <n v="16"/>
    <n v="11"/>
    <n v="2"/>
    <m/>
    <m/>
    <m/>
    <m/>
    <m/>
    <m/>
    <m/>
    <m/>
    <m/>
    <s v="2018-19"/>
    <s v="East Dunbartonshire"/>
    <s v="Dwelling: Nonfatal"/>
    <n v="9"/>
    <n v="4"/>
    <n v="1"/>
    <n v="1"/>
    <n v="3"/>
    <m/>
  </r>
  <r>
    <x v="9"/>
    <s v="Dwelling: Primary fires"/>
    <x v="10"/>
    <n v="75"/>
    <n v="37"/>
    <n v="2"/>
    <n v="6"/>
    <n v="29"/>
    <n v="1"/>
    <s v="2018-19"/>
    <s v="East Lothian"/>
    <s v="Dwelling: Fatal"/>
    <n v="2"/>
    <n v="1"/>
    <m/>
    <m/>
    <n v="1"/>
    <m/>
    <s v="2018-19"/>
    <s v="East Lothian"/>
    <s v="Dwelling: Nonfatal"/>
    <n v="6"/>
    <n v="5"/>
    <m/>
    <m/>
    <n v="1"/>
    <m/>
  </r>
  <r>
    <x v="9"/>
    <s v="Dwelling: Primary fires"/>
    <x v="11"/>
    <n v="60"/>
    <n v="30"/>
    <n v="6"/>
    <n v="11"/>
    <n v="12"/>
    <n v="1"/>
    <m/>
    <m/>
    <m/>
    <m/>
    <m/>
    <m/>
    <m/>
    <m/>
    <m/>
    <s v="2018-19"/>
    <s v="East Renfrewshire"/>
    <s v="Dwelling: Nonfatal"/>
    <n v="14"/>
    <n v="9"/>
    <m/>
    <m/>
    <n v="5"/>
    <m/>
  </r>
  <r>
    <x v="9"/>
    <s v="Dwelling: Primary fires"/>
    <x v="12"/>
    <n v="126"/>
    <n v="57"/>
    <n v="10"/>
    <n v="12"/>
    <n v="45"/>
    <n v="2"/>
    <s v="2018-19"/>
    <s v="Falkirk"/>
    <s v="Dwelling: Fatal"/>
    <n v="1"/>
    <m/>
    <m/>
    <m/>
    <n v="1"/>
    <m/>
    <s v="2018-19"/>
    <s v="Falkirk"/>
    <s v="Dwelling: Nonfatal"/>
    <n v="26"/>
    <n v="14"/>
    <n v="5"/>
    <n v="1"/>
    <n v="6"/>
    <m/>
  </r>
  <r>
    <x v="9"/>
    <s v="Dwelling: Primary fires"/>
    <x v="13"/>
    <n v="267"/>
    <n v="124"/>
    <n v="24"/>
    <n v="28"/>
    <n v="88"/>
    <n v="3"/>
    <s v="2018-19"/>
    <s v="Fife"/>
    <s v="Dwelling: Fatal"/>
    <n v="2"/>
    <n v="1"/>
    <m/>
    <m/>
    <m/>
    <n v="1"/>
    <s v="2018-19"/>
    <s v="Fife"/>
    <s v="Dwelling: Nonfatal"/>
    <n v="54"/>
    <n v="28"/>
    <n v="6"/>
    <n v="5"/>
    <n v="13"/>
    <n v="2"/>
  </r>
  <r>
    <x v="9"/>
    <s v="Dwelling: Primary fires"/>
    <x v="14"/>
    <n v="895"/>
    <n v="534"/>
    <n v="68"/>
    <n v="103"/>
    <n v="183"/>
    <n v="7"/>
    <s v="2018-19"/>
    <s v="Glasgow City"/>
    <s v="Dwelling: Fatal"/>
    <n v="2"/>
    <m/>
    <m/>
    <n v="2"/>
    <m/>
    <m/>
    <s v="2018-19"/>
    <s v="Glasgow City"/>
    <s v="Dwelling: Nonfatal"/>
    <n v="173"/>
    <n v="88"/>
    <n v="15"/>
    <n v="13"/>
    <n v="54"/>
    <n v="3"/>
  </r>
  <r>
    <x v="9"/>
    <s v="Dwelling: Primary fires"/>
    <x v="15"/>
    <n v="152"/>
    <n v="55"/>
    <n v="14"/>
    <n v="22"/>
    <n v="56"/>
    <n v="5"/>
    <s v="2018-19"/>
    <s v="Highland"/>
    <s v="Dwelling: Fatal"/>
    <n v="2"/>
    <m/>
    <n v="1"/>
    <m/>
    <n v="1"/>
    <m/>
    <s v="2018-19"/>
    <s v="Highland"/>
    <s v="Dwelling: Nonfatal"/>
    <n v="29"/>
    <n v="16"/>
    <n v="1"/>
    <n v="4"/>
    <n v="8"/>
    <m/>
  </r>
  <r>
    <x v="9"/>
    <s v="Dwelling: Primary fires"/>
    <x v="16"/>
    <n v="92"/>
    <n v="53"/>
    <n v="8"/>
    <n v="3"/>
    <n v="26"/>
    <n v="2"/>
    <s v="2018-19"/>
    <s v="Inverclyde"/>
    <s v="Dwelling: Fatal"/>
    <n v="4"/>
    <n v="1"/>
    <m/>
    <m/>
    <n v="3"/>
    <m/>
    <s v="2018-19"/>
    <s v="Inverclyde"/>
    <s v="Dwelling: Nonfatal"/>
    <n v="26"/>
    <n v="18"/>
    <n v="2"/>
    <m/>
    <n v="3"/>
    <n v="3"/>
  </r>
  <r>
    <x v="9"/>
    <s v="Dwelling: Primary fires"/>
    <x v="17"/>
    <n v="57"/>
    <n v="22"/>
    <n v="4"/>
    <n v="10"/>
    <n v="20"/>
    <n v="1"/>
    <s v="2018-19"/>
    <s v="Midlothian"/>
    <s v="Dwelling: Fatal"/>
    <n v="1"/>
    <m/>
    <m/>
    <m/>
    <m/>
    <n v="1"/>
    <s v="2018-19"/>
    <s v="Midlothian"/>
    <s v="Dwelling: Nonfatal"/>
    <n v="11"/>
    <n v="9"/>
    <n v="1"/>
    <m/>
    <n v="1"/>
    <m/>
  </r>
  <r>
    <x v="9"/>
    <s v="Dwelling: Primary fires"/>
    <x v="18"/>
    <n v="58"/>
    <n v="29"/>
    <n v="4"/>
    <n v="4"/>
    <n v="18"/>
    <n v="3"/>
    <s v="2018-19"/>
    <s v="Moray"/>
    <s v="Dwelling: Fatal"/>
    <n v="2"/>
    <n v="1"/>
    <m/>
    <m/>
    <m/>
    <n v="1"/>
    <s v="2018-19"/>
    <s v="Moray"/>
    <s v="Dwelling: Nonfatal"/>
    <n v="11"/>
    <n v="5"/>
    <m/>
    <n v="2"/>
    <n v="1"/>
    <n v="3"/>
  </r>
  <r>
    <x v="9"/>
    <s v="Dwelling: Primary fires"/>
    <x v="19"/>
    <n v="23"/>
    <n v="13"/>
    <n v="2"/>
    <n v="1"/>
    <n v="7"/>
    <m/>
    <m/>
    <m/>
    <m/>
    <m/>
    <m/>
    <m/>
    <m/>
    <m/>
    <m/>
    <s v="2018-19"/>
    <s v="Na h-Eileanan Siar"/>
    <s v="Dwelling: Nonfatal"/>
    <n v="3"/>
    <n v="2"/>
    <m/>
    <n v="1"/>
    <m/>
    <m/>
  </r>
  <r>
    <x v="9"/>
    <s v="Dwelling: Primary fires"/>
    <x v="20"/>
    <n v="180"/>
    <n v="120"/>
    <n v="11"/>
    <n v="22"/>
    <n v="24"/>
    <n v="3"/>
    <s v="2018-19"/>
    <s v="North Ayrshire"/>
    <s v="Dwelling: Fatal"/>
    <n v="5"/>
    <n v="3"/>
    <n v="1"/>
    <m/>
    <n v="1"/>
    <m/>
    <s v="2018-19"/>
    <s v="North Ayrshire"/>
    <s v="Dwelling: Nonfatal"/>
    <n v="35"/>
    <n v="24"/>
    <n v="3"/>
    <n v="5"/>
    <n v="2"/>
    <n v="1"/>
  </r>
  <r>
    <x v="9"/>
    <s v="Dwelling: Primary fires"/>
    <x v="21"/>
    <n v="343"/>
    <n v="201"/>
    <n v="30"/>
    <n v="50"/>
    <n v="59"/>
    <n v="3"/>
    <s v="2018-19"/>
    <s v="North Lanarkshire"/>
    <s v="Dwelling: Fatal"/>
    <n v="2"/>
    <n v="1"/>
    <n v="1"/>
    <m/>
    <m/>
    <m/>
    <s v="2018-19"/>
    <s v="North Lanarkshire"/>
    <s v="Dwelling: Nonfatal"/>
    <n v="105"/>
    <n v="74"/>
    <n v="8"/>
    <n v="12"/>
    <n v="11"/>
    <m/>
  </r>
  <r>
    <x v="9"/>
    <s v="Dwelling: Primary fires"/>
    <x v="22"/>
    <n v="7"/>
    <n v="2"/>
    <m/>
    <m/>
    <n v="5"/>
    <m/>
    <m/>
    <m/>
    <m/>
    <m/>
    <m/>
    <m/>
    <m/>
    <m/>
    <m/>
    <m/>
    <m/>
    <m/>
    <m/>
    <m/>
    <m/>
    <m/>
    <m/>
    <m/>
  </r>
  <r>
    <x v="9"/>
    <s v="Dwelling: Primary fires"/>
    <x v="23"/>
    <n v="113"/>
    <n v="58"/>
    <n v="7"/>
    <n v="12"/>
    <n v="31"/>
    <n v="5"/>
    <s v="2018-19"/>
    <s v="Perth and Kinross"/>
    <s v="Dwelling: Fatal"/>
    <n v="1"/>
    <m/>
    <m/>
    <m/>
    <n v="1"/>
    <m/>
    <s v="2018-19"/>
    <s v="Perth and Kinross"/>
    <s v="Dwelling: Nonfatal"/>
    <n v="17"/>
    <n v="6"/>
    <n v="1"/>
    <n v="1"/>
    <n v="7"/>
    <n v="2"/>
  </r>
  <r>
    <x v="9"/>
    <s v="Dwelling: Primary fires"/>
    <x v="24"/>
    <n v="220"/>
    <n v="126"/>
    <n v="16"/>
    <n v="33"/>
    <n v="44"/>
    <n v="1"/>
    <s v="2018-19"/>
    <s v="Renfrewshire"/>
    <s v="Dwelling: Fatal"/>
    <n v="1"/>
    <n v="1"/>
    <m/>
    <m/>
    <m/>
    <m/>
    <s v="2018-19"/>
    <s v="Renfrewshire"/>
    <s v="Dwelling: Nonfatal"/>
    <n v="42"/>
    <n v="20"/>
    <n v="3"/>
    <n v="8"/>
    <n v="11"/>
    <m/>
  </r>
  <r>
    <x v="9"/>
    <s v="Dwelling: Primary fires"/>
    <x v="25"/>
    <n v="104"/>
    <n v="41"/>
    <n v="13"/>
    <n v="14"/>
    <n v="34"/>
    <n v="2"/>
    <s v="2018-19"/>
    <s v="Scottish Borders"/>
    <s v="Dwelling: Fatal"/>
    <n v="1"/>
    <n v="1"/>
    <m/>
    <m/>
    <m/>
    <m/>
    <s v="2018-19"/>
    <s v="Scottish Borders"/>
    <s v="Dwelling: Nonfatal"/>
    <n v="17"/>
    <n v="4"/>
    <n v="1"/>
    <n v="3"/>
    <n v="7"/>
    <n v="2"/>
  </r>
  <r>
    <x v="9"/>
    <s v="Dwelling: Primary fires"/>
    <x v="26"/>
    <n v="4"/>
    <n v="2"/>
    <m/>
    <m/>
    <n v="2"/>
    <m/>
    <s v="2018-19"/>
    <s v="Shetland Islands"/>
    <s v="Dwelling: Fatal"/>
    <n v="1"/>
    <m/>
    <m/>
    <m/>
    <n v="1"/>
    <m/>
    <m/>
    <m/>
    <m/>
    <m/>
    <m/>
    <m/>
    <m/>
    <m/>
    <m/>
  </r>
  <r>
    <x v="9"/>
    <s v="Dwelling: Primary fires"/>
    <x v="27"/>
    <n v="95"/>
    <n v="47"/>
    <n v="13"/>
    <n v="10"/>
    <n v="20"/>
    <n v="5"/>
    <s v="2018-19"/>
    <s v="South Ayrshire"/>
    <s v="Dwelling: Fatal"/>
    <n v="1"/>
    <m/>
    <m/>
    <n v="1"/>
    <m/>
    <m/>
    <s v="2018-19"/>
    <s v="South Ayrshire"/>
    <s v="Dwelling: Nonfatal"/>
    <n v="17"/>
    <n v="11"/>
    <n v="3"/>
    <n v="1"/>
    <n v="2"/>
    <m/>
  </r>
  <r>
    <x v="9"/>
    <s v="Dwelling: Primary fires"/>
    <x v="28"/>
    <n v="259"/>
    <n v="136"/>
    <n v="16"/>
    <n v="41"/>
    <n v="60"/>
    <n v="6"/>
    <s v="2018-19"/>
    <s v="South Lanarkshire"/>
    <s v="Dwelling: Fatal"/>
    <n v="1"/>
    <n v="1"/>
    <m/>
    <m/>
    <m/>
    <m/>
    <s v="2018-19"/>
    <s v="South Lanarkshire"/>
    <s v="Dwelling: Nonfatal"/>
    <n v="69"/>
    <n v="46"/>
    <n v="2"/>
    <n v="7"/>
    <n v="12"/>
    <n v="2"/>
  </r>
  <r>
    <x v="9"/>
    <s v="Dwelling: Primary fires"/>
    <x v="29"/>
    <n v="70"/>
    <n v="39"/>
    <n v="6"/>
    <n v="6"/>
    <n v="16"/>
    <n v="3"/>
    <s v="2018-19"/>
    <s v="Stirling"/>
    <s v="Dwelling: Fatal"/>
    <n v="2"/>
    <m/>
    <m/>
    <m/>
    <m/>
    <n v="2"/>
    <s v="2018-19"/>
    <s v="Stirling"/>
    <s v="Dwelling: Nonfatal"/>
    <n v="4"/>
    <n v="1"/>
    <m/>
    <n v="1"/>
    <n v="1"/>
    <n v="1"/>
  </r>
  <r>
    <x v="9"/>
    <s v="Dwelling: Primary fires"/>
    <x v="30"/>
    <n v="146"/>
    <n v="87"/>
    <n v="14"/>
    <n v="24"/>
    <n v="20"/>
    <n v="1"/>
    <s v="2018-19"/>
    <s v="West Dunbartonshire"/>
    <s v="Dwelling: Fatal"/>
    <n v="1"/>
    <m/>
    <n v="1"/>
    <m/>
    <m/>
    <m/>
    <s v="2018-19"/>
    <s v="West Dunbartonshire"/>
    <s v="Dwelling: Nonfatal"/>
    <n v="20"/>
    <n v="14"/>
    <n v="5"/>
    <m/>
    <n v="1"/>
    <m/>
  </r>
  <r>
    <x v="9"/>
    <s v="Dwelling: Primary fires"/>
    <x v="31"/>
    <n v="160"/>
    <n v="83"/>
    <n v="11"/>
    <n v="19"/>
    <n v="44"/>
    <n v="3"/>
    <s v="2018-19"/>
    <s v="West Lothian"/>
    <s v="Dwelling: Fatal"/>
    <n v="1"/>
    <m/>
    <m/>
    <m/>
    <n v="1"/>
    <m/>
    <s v="2018-19"/>
    <s v="West Lothian"/>
    <s v="Dwelling: Nonfatal"/>
    <n v="27"/>
    <n v="16"/>
    <n v="1"/>
    <n v="4"/>
    <n v="5"/>
    <n v="1"/>
  </r>
  <r>
    <x v="10"/>
    <s v="Dwelling: Primary fires"/>
    <x v="0"/>
    <n v="292"/>
    <n v="159"/>
    <n v="24"/>
    <n v="22"/>
    <n v="81"/>
    <n v="6"/>
    <m/>
    <m/>
    <m/>
    <m/>
    <m/>
    <m/>
    <m/>
    <m/>
    <m/>
    <s v="2019-20"/>
    <s v="Aberdeen City"/>
    <s v="Dwelling: Nonfatal"/>
    <n v="45"/>
    <n v="30"/>
    <n v="2"/>
    <n v="1"/>
    <n v="11"/>
    <n v="1"/>
  </r>
  <r>
    <x v="10"/>
    <s v="Dwelling: Primary fires"/>
    <x v="1"/>
    <n v="167"/>
    <n v="78"/>
    <n v="7"/>
    <n v="12"/>
    <n v="69"/>
    <n v="1"/>
    <s v="2019-20"/>
    <s v="Aberdeenshire"/>
    <s v="Dwelling: Fatal"/>
    <n v="2"/>
    <n v="1"/>
    <m/>
    <m/>
    <n v="1"/>
    <m/>
    <s v="2019-20"/>
    <s v="Aberdeenshire"/>
    <s v="Dwelling: Nonfatal"/>
    <n v="24"/>
    <n v="11"/>
    <m/>
    <m/>
    <n v="12"/>
    <n v="1"/>
  </r>
  <r>
    <x v="10"/>
    <s v="Dwelling: Primary fires"/>
    <x v="2"/>
    <n v="89"/>
    <n v="48"/>
    <n v="4"/>
    <n v="5"/>
    <n v="26"/>
    <n v="6"/>
    <m/>
    <m/>
    <m/>
    <m/>
    <m/>
    <m/>
    <m/>
    <m/>
    <m/>
    <s v="2019-20"/>
    <s v="Angus"/>
    <s v="Dwelling: Nonfatal"/>
    <n v="10"/>
    <n v="4"/>
    <m/>
    <n v="1"/>
    <n v="5"/>
    <m/>
  </r>
  <r>
    <x v="10"/>
    <s v="Dwelling: Primary fires"/>
    <x v="3"/>
    <n v="88"/>
    <n v="46"/>
    <n v="9"/>
    <n v="13"/>
    <n v="12"/>
    <n v="8"/>
    <s v="2019-20"/>
    <s v="Argyll and Bute"/>
    <s v="Dwelling: Fatal"/>
    <n v="1"/>
    <n v="1"/>
    <m/>
    <m/>
    <m/>
    <m/>
    <s v="2019-20"/>
    <s v="Argyll and Bute"/>
    <s v="Dwelling: Nonfatal"/>
    <n v="14"/>
    <n v="6"/>
    <n v="7"/>
    <n v="1"/>
    <m/>
    <m/>
  </r>
  <r>
    <x v="10"/>
    <s v="Dwelling: Primary fires"/>
    <x v="4"/>
    <n v="483"/>
    <n v="203"/>
    <n v="31"/>
    <n v="59"/>
    <n v="184"/>
    <n v="6"/>
    <s v="2019-20"/>
    <s v="City of Edinburgh"/>
    <s v="Dwelling: Fatal"/>
    <n v="1"/>
    <m/>
    <m/>
    <m/>
    <n v="1"/>
    <m/>
    <s v="2019-20"/>
    <s v="City of Edinburgh"/>
    <s v="Dwelling: Nonfatal"/>
    <n v="94"/>
    <n v="36"/>
    <n v="11"/>
    <n v="6"/>
    <n v="39"/>
    <n v="2"/>
  </r>
  <r>
    <x v="10"/>
    <s v="Dwelling: Primary fires"/>
    <x v="5"/>
    <n v="50"/>
    <n v="25"/>
    <n v="7"/>
    <n v="5"/>
    <n v="13"/>
    <m/>
    <m/>
    <m/>
    <m/>
    <m/>
    <m/>
    <m/>
    <m/>
    <m/>
    <m/>
    <s v="2019-20"/>
    <s v="Clackmannanshire"/>
    <s v="Dwelling: Nonfatal"/>
    <n v="10"/>
    <n v="5"/>
    <n v="1"/>
    <n v="3"/>
    <n v="1"/>
    <m/>
  </r>
  <r>
    <x v="10"/>
    <s v="Dwelling: Primary fires"/>
    <x v="6"/>
    <n v="98"/>
    <n v="47"/>
    <n v="8"/>
    <n v="11"/>
    <n v="29"/>
    <n v="3"/>
    <m/>
    <m/>
    <m/>
    <m/>
    <m/>
    <m/>
    <m/>
    <m/>
    <m/>
    <s v="2019-20"/>
    <s v="Dumfries and Galloway"/>
    <s v="Dwelling: Nonfatal"/>
    <n v="8"/>
    <n v="4"/>
    <m/>
    <n v="1"/>
    <n v="3"/>
    <m/>
  </r>
  <r>
    <x v="10"/>
    <s v="Dwelling: Primary fires"/>
    <x v="7"/>
    <n v="188"/>
    <n v="104"/>
    <n v="25"/>
    <n v="18"/>
    <n v="37"/>
    <n v="4"/>
    <m/>
    <m/>
    <m/>
    <m/>
    <m/>
    <m/>
    <m/>
    <m/>
    <m/>
    <s v="2019-20"/>
    <s v="Dundee City"/>
    <s v="Dwelling: Nonfatal"/>
    <n v="26"/>
    <n v="16"/>
    <n v="3"/>
    <n v="2"/>
    <n v="5"/>
    <m/>
  </r>
  <r>
    <x v="10"/>
    <s v="Dwelling: Primary fires"/>
    <x v="8"/>
    <n v="107"/>
    <n v="54"/>
    <n v="10"/>
    <n v="19"/>
    <n v="19"/>
    <n v="5"/>
    <s v="2019-20"/>
    <s v="East Ayrshire"/>
    <s v="Dwelling: Fatal"/>
    <n v="1"/>
    <n v="1"/>
    <m/>
    <m/>
    <m/>
    <m/>
    <s v="2019-20"/>
    <s v="East Ayrshire"/>
    <s v="Dwelling: Nonfatal"/>
    <n v="19"/>
    <n v="11"/>
    <n v="2"/>
    <m/>
    <n v="6"/>
    <m/>
  </r>
  <r>
    <x v="10"/>
    <s v="Dwelling: Primary fires"/>
    <x v="9"/>
    <n v="70"/>
    <n v="43"/>
    <n v="5"/>
    <n v="11"/>
    <n v="10"/>
    <n v="1"/>
    <m/>
    <m/>
    <m/>
    <m/>
    <m/>
    <m/>
    <m/>
    <m/>
    <m/>
    <s v="2019-20"/>
    <s v="East Dunbartonshire"/>
    <s v="Dwelling: Nonfatal"/>
    <n v="11"/>
    <n v="9"/>
    <m/>
    <n v="1"/>
    <n v="1"/>
    <m/>
  </r>
  <r>
    <x v="10"/>
    <s v="Dwelling: Primary fires"/>
    <x v="10"/>
    <n v="59"/>
    <n v="24"/>
    <n v="5"/>
    <n v="9"/>
    <n v="21"/>
    <m/>
    <m/>
    <m/>
    <m/>
    <m/>
    <m/>
    <m/>
    <m/>
    <m/>
    <m/>
    <s v="2019-20"/>
    <s v="East Lothian"/>
    <s v="Dwelling: Nonfatal"/>
    <n v="7"/>
    <n v="3"/>
    <m/>
    <n v="1"/>
    <n v="3"/>
    <m/>
  </r>
  <r>
    <x v="10"/>
    <s v="Dwelling: Primary fires"/>
    <x v="11"/>
    <n v="67"/>
    <n v="39"/>
    <n v="4"/>
    <n v="13"/>
    <n v="9"/>
    <n v="2"/>
    <m/>
    <m/>
    <m/>
    <m/>
    <m/>
    <m/>
    <m/>
    <m/>
    <m/>
    <s v="2019-20"/>
    <s v="East Renfrewshire"/>
    <s v="Dwelling: Nonfatal"/>
    <n v="10"/>
    <n v="6"/>
    <n v="3"/>
    <m/>
    <m/>
    <n v="1"/>
  </r>
  <r>
    <x v="10"/>
    <s v="Dwelling: Primary fires"/>
    <x v="12"/>
    <n v="117"/>
    <n v="45"/>
    <n v="12"/>
    <n v="12"/>
    <n v="44"/>
    <n v="4"/>
    <s v="2019-20"/>
    <s v="Falkirk"/>
    <s v="Dwelling: Fatal"/>
    <n v="2"/>
    <m/>
    <m/>
    <m/>
    <n v="1"/>
    <n v="1"/>
    <s v="2019-20"/>
    <s v="Falkirk"/>
    <s v="Dwelling: Nonfatal"/>
    <n v="14"/>
    <n v="6"/>
    <n v="2"/>
    <n v="1"/>
    <n v="4"/>
    <n v="1"/>
  </r>
  <r>
    <x v="10"/>
    <s v="Dwelling: Primary fires"/>
    <x v="13"/>
    <n v="236"/>
    <n v="115"/>
    <n v="21"/>
    <n v="26"/>
    <n v="67"/>
    <n v="7"/>
    <s v="2019-20"/>
    <s v="Fife"/>
    <s v="Dwelling: Fatal"/>
    <n v="1"/>
    <m/>
    <m/>
    <m/>
    <m/>
    <n v="1"/>
    <s v="2019-20"/>
    <s v="Fife"/>
    <s v="Dwelling: Nonfatal"/>
    <n v="38"/>
    <n v="18"/>
    <n v="3"/>
    <m/>
    <n v="14"/>
    <n v="3"/>
  </r>
  <r>
    <x v="10"/>
    <s v="Dwelling: Primary fires"/>
    <x v="14"/>
    <n v="903"/>
    <n v="514"/>
    <n v="62"/>
    <n v="97"/>
    <n v="211"/>
    <n v="19"/>
    <s v="2019-20"/>
    <s v="Glasgow City"/>
    <s v="Dwelling: Fatal"/>
    <n v="3"/>
    <n v="1"/>
    <n v="1"/>
    <m/>
    <n v="1"/>
    <m/>
    <s v="2019-20"/>
    <s v="Glasgow City"/>
    <s v="Dwelling: Nonfatal"/>
    <n v="157"/>
    <n v="81"/>
    <n v="18"/>
    <n v="10"/>
    <n v="41"/>
    <n v="7"/>
  </r>
  <r>
    <x v="10"/>
    <s v="Dwelling: Primary fires"/>
    <x v="15"/>
    <n v="121"/>
    <n v="43"/>
    <n v="17"/>
    <n v="10"/>
    <n v="45"/>
    <n v="6"/>
    <m/>
    <m/>
    <m/>
    <m/>
    <m/>
    <m/>
    <m/>
    <m/>
    <m/>
    <s v="2019-20"/>
    <s v="Highland"/>
    <s v="Dwelling: Nonfatal"/>
    <n v="25"/>
    <n v="12"/>
    <n v="8"/>
    <n v="3"/>
    <n v="2"/>
    <m/>
  </r>
  <r>
    <x v="10"/>
    <s v="Dwelling: Primary fires"/>
    <x v="16"/>
    <n v="89"/>
    <n v="52"/>
    <n v="2"/>
    <n v="10"/>
    <n v="22"/>
    <n v="3"/>
    <m/>
    <m/>
    <m/>
    <m/>
    <m/>
    <m/>
    <m/>
    <m/>
    <m/>
    <s v="2019-20"/>
    <s v="Inverclyde"/>
    <s v="Dwelling: Nonfatal"/>
    <n v="24"/>
    <n v="15"/>
    <m/>
    <n v="1"/>
    <n v="7"/>
    <n v="1"/>
  </r>
  <r>
    <x v="10"/>
    <s v="Dwelling: Primary fires"/>
    <x v="17"/>
    <n v="74"/>
    <n v="37"/>
    <n v="6"/>
    <n v="8"/>
    <n v="22"/>
    <n v="1"/>
    <m/>
    <m/>
    <m/>
    <m/>
    <m/>
    <m/>
    <m/>
    <m/>
    <m/>
    <s v="2019-20"/>
    <s v="Midlothian"/>
    <s v="Dwelling: Nonfatal"/>
    <n v="12"/>
    <n v="2"/>
    <n v="2"/>
    <n v="3"/>
    <n v="3"/>
    <n v="2"/>
  </r>
  <r>
    <x v="10"/>
    <s v="Dwelling: Primary fires"/>
    <x v="18"/>
    <n v="82"/>
    <n v="43"/>
    <n v="8"/>
    <n v="4"/>
    <n v="25"/>
    <n v="2"/>
    <m/>
    <m/>
    <m/>
    <m/>
    <m/>
    <m/>
    <m/>
    <m/>
    <m/>
    <s v="2019-20"/>
    <s v="Moray"/>
    <s v="Dwelling: Nonfatal"/>
    <n v="19"/>
    <n v="11"/>
    <n v="3"/>
    <n v="4"/>
    <m/>
    <n v="1"/>
  </r>
  <r>
    <x v="10"/>
    <s v="Dwelling: Primary fires"/>
    <x v="19"/>
    <n v="20"/>
    <n v="6"/>
    <n v="3"/>
    <n v="1"/>
    <n v="10"/>
    <m/>
    <m/>
    <m/>
    <m/>
    <m/>
    <m/>
    <m/>
    <m/>
    <m/>
    <m/>
    <s v="2019-20"/>
    <s v="Na h-Eileanan Siar"/>
    <s v="Dwelling: Nonfatal"/>
    <n v="8"/>
    <n v="1"/>
    <n v="1"/>
    <m/>
    <n v="6"/>
    <m/>
  </r>
  <r>
    <x v="10"/>
    <s v="Dwelling: Primary fires"/>
    <x v="20"/>
    <n v="168"/>
    <n v="107"/>
    <n v="16"/>
    <n v="12"/>
    <n v="29"/>
    <n v="4"/>
    <s v="2019-20"/>
    <s v="North Ayrshire"/>
    <s v="Dwelling: Fatal"/>
    <n v="1"/>
    <m/>
    <m/>
    <n v="1"/>
    <m/>
    <m/>
    <s v="2019-20"/>
    <s v="North Ayrshire"/>
    <s v="Dwelling: Nonfatal"/>
    <n v="20"/>
    <n v="14"/>
    <n v="3"/>
    <n v="1"/>
    <n v="2"/>
    <m/>
  </r>
  <r>
    <x v="10"/>
    <s v="Dwelling: Primary fires"/>
    <x v="21"/>
    <n v="276"/>
    <n v="152"/>
    <n v="33"/>
    <n v="26"/>
    <n v="60"/>
    <n v="5"/>
    <s v="2019-20"/>
    <s v="North Lanarkshire"/>
    <s v="Dwelling: Fatal"/>
    <n v="4"/>
    <n v="2"/>
    <m/>
    <n v="2"/>
    <m/>
    <m/>
    <s v="2019-20"/>
    <s v="North Lanarkshire"/>
    <s v="Dwelling: Nonfatal"/>
    <n v="64"/>
    <n v="24"/>
    <n v="10"/>
    <n v="2"/>
    <n v="24"/>
    <n v="4"/>
  </r>
  <r>
    <x v="10"/>
    <s v="Dwelling: Primary fires"/>
    <x v="22"/>
    <n v="11"/>
    <n v="5"/>
    <m/>
    <m/>
    <n v="6"/>
    <m/>
    <s v="2019-20"/>
    <s v="Orkney Islands"/>
    <s v="Dwelling: Fatal"/>
    <n v="1"/>
    <n v="1"/>
    <m/>
    <m/>
    <m/>
    <m/>
    <s v="2019-20"/>
    <s v="Orkney Islands"/>
    <s v="Dwelling: Nonfatal"/>
    <n v="1"/>
    <m/>
    <m/>
    <m/>
    <n v="1"/>
    <m/>
  </r>
  <r>
    <x v="10"/>
    <s v="Dwelling: Primary fires"/>
    <x v="23"/>
    <n v="111"/>
    <n v="51"/>
    <n v="12"/>
    <n v="14"/>
    <n v="34"/>
    <m/>
    <m/>
    <m/>
    <m/>
    <m/>
    <m/>
    <m/>
    <m/>
    <m/>
    <m/>
    <s v="2019-20"/>
    <s v="Perth and Kinross"/>
    <s v="Dwelling: Nonfatal"/>
    <n v="32"/>
    <n v="11"/>
    <n v="16"/>
    <m/>
    <n v="5"/>
    <m/>
  </r>
  <r>
    <x v="10"/>
    <s v="Dwelling: Primary fires"/>
    <x v="24"/>
    <n v="164"/>
    <n v="83"/>
    <n v="9"/>
    <n v="27"/>
    <n v="40"/>
    <n v="5"/>
    <m/>
    <m/>
    <m/>
    <m/>
    <m/>
    <m/>
    <m/>
    <m/>
    <m/>
    <s v="2019-20"/>
    <s v="Renfrewshire"/>
    <s v="Dwelling: Nonfatal"/>
    <n v="24"/>
    <n v="12"/>
    <n v="4"/>
    <n v="1"/>
    <n v="7"/>
    <m/>
  </r>
  <r>
    <x v="10"/>
    <s v="Dwelling: Primary fires"/>
    <x v="25"/>
    <n v="102"/>
    <n v="45"/>
    <n v="11"/>
    <n v="10"/>
    <n v="36"/>
    <m/>
    <m/>
    <m/>
    <m/>
    <m/>
    <m/>
    <m/>
    <m/>
    <m/>
    <m/>
    <s v="2019-20"/>
    <s v="Scottish Borders"/>
    <s v="Dwelling: Nonfatal"/>
    <n v="26"/>
    <n v="11"/>
    <n v="1"/>
    <n v="2"/>
    <n v="12"/>
    <m/>
  </r>
  <r>
    <x v="10"/>
    <s v="Dwelling: Primary fires"/>
    <x v="26"/>
    <n v="12"/>
    <n v="7"/>
    <n v="1"/>
    <m/>
    <n v="3"/>
    <n v="1"/>
    <s v="2019-20"/>
    <s v="Shetland Islands"/>
    <s v="Dwelling: Fatal"/>
    <n v="1"/>
    <m/>
    <m/>
    <m/>
    <n v="1"/>
    <m/>
    <s v="2019-20"/>
    <s v="Shetland Islands"/>
    <s v="Dwelling: Nonfatal"/>
    <n v="5"/>
    <n v="3"/>
    <m/>
    <m/>
    <n v="2"/>
    <m/>
  </r>
  <r>
    <x v="10"/>
    <s v="Dwelling: Primary fires"/>
    <x v="27"/>
    <n v="98"/>
    <n v="55"/>
    <n v="13"/>
    <n v="9"/>
    <n v="18"/>
    <n v="3"/>
    <m/>
    <m/>
    <m/>
    <m/>
    <m/>
    <m/>
    <m/>
    <m/>
    <m/>
    <s v="2019-20"/>
    <s v="South Ayrshire"/>
    <s v="Dwelling: Nonfatal"/>
    <n v="19"/>
    <n v="11"/>
    <n v="4"/>
    <n v="2"/>
    <n v="2"/>
    <m/>
  </r>
  <r>
    <x v="10"/>
    <s v="Dwelling: Primary fires"/>
    <x v="28"/>
    <n v="249"/>
    <n v="151"/>
    <n v="23"/>
    <n v="23"/>
    <n v="47"/>
    <n v="5"/>
    <s v="2019-20"/>
    <s v="South Lanarkshire"/>
    <s v="Dwelling: Fatal"/>
    <n v="2"/>
    <n v="1"/>
    <n v="1"/>
    <m/>
    <m/>
    <m/>
    <s v="2019-20"/>
    <s v="South Lanarkshire"/>
    <s v="Dwelling: Nonfatal"/>
    <n v="59"/>
    <n v="40"/>
    <n v="6"/>
    <n v="4"/>
    <n v="9"/>
    <m/>
  </r>
  <r>
    <x v="10"/>
    <s v="Dwelling: Primary fires"/>
    <x v="29"/>
    <n v="52"/>
    <n v="26"/>
    <n v="9"/>
    <n v="7"/>
    <n v="8"/>
    <n v="2"/>
    <s v="2019-20"/>
    <s v="Stirling"/>
    <s v="Dwelling: Fatal"/>
    <n v="1"/>
    <m/>
    <n v="1"/>
    <m/>
    <m/>
    <m/>
    <s v="2019-20"/>
    <s v="Stirling"/>
    <s v="Dwelling: Nonfatal"/>
    <n v="5"/>
    <n v="4"/>
    <n v="1"/>
    <m/>
    <m/>
    <m/>
  </r>
  <r>
    <x v="10"/>
    <s v="Dwelling: Primary fires"/>
    <x v="30"/>
    <n v="115"/>
    <n v="73"/>
    <n v="11"/>
    <n v="16"/>
    <n v="12"/>
    <n v="3"/>
    <m/>
    <m/>
    <m/>
    <m/>
    <m/>
    <m/>
    <m/>
    <m/>
    <m/>
    <s v="2019-20"/>
    <s v="West Dunbartonshire"/>
    <s v="Dwelling: Nonfatal"/>
    <n v="25"/>
    <n v="16"/>
    <n v="1"/>
    <n v="4"/>
    <m/>
    <n v="4"/>
  </r>
  <r>
    <x v="10"/>
    <s v="Dwelling: Primary fires"/>
    <x v="31"/>
    <n v="131"/>
    <n v="59"/>
    <n v="12"/>
    <n v="16"/>
    <n v="41"/>
    <n v="3"/>
    <m/>
    <m/>
    <m/>
    <m/>
    <m/>
    <m/>
    <m/>
    <m/>
    <m/>
    <s v="2019-20"/>
    <s v="West Lothian"/>
    <s v="Dwelling: Nonfatal"/>
    <n v="22"/>
    <n v="10"/>
    <n v="7"/>
    <m/>
    <n v="5"/>
    <m/>
  </r>
  <r>
    <x v="10"/>
    <s v="Dwelling: Primary fires"/>
    <x v="32"/>
    <n v="1"/>
    <n v="1"/>
    <m/>
    <m/>
    <m/>
    <m/>
    <m/>
    <m/>
    <m/>
    <m/>
    <m/>
    <m/>
    <m/>
    <m/>
    <m/>
    <m/>
    <m/>
    <m/>
    <m/>
    <m/>
    <m/>
    <m/>
    <m/>
    <m/>
  </r>
  <r>
    <x v="11"/>
    <s v="Dwelling: Primary fires"/>
    <x v="0"/>
    <n v="243"/>
    <n v="141"/>
    <n v="24"/>
    <n v="22"/>
    <n v="52"/>
    <n v="4"/>
    <s v="2020-21"/>
    <s v="Aberdeen City"/>
    <s v="Dwelling: Fatal"/>
    <n v="3"/>
    <n v="3"/>
    <m/>
    <m/>
    <m/>
    <m/>
    <s v="2020-21"/>
    <s v="Aberdeen City"/>
    <s v="Dwelling: Nonfatal"/>
    <n v="35"/>
    <n v="24"/>
    <n v="7"/>
    <n v="2"/>
    <n v="2"/>
    <m/>
  </r>
  <r>
    <x v="11"/>
    <s v="Dwelling: Primary fires"/>
    <x v="1"/>
    <n v="172"/>
    <n v="78"/>
    <n v="11"/>
    <n v="14"/>
    <n v="62"/>
    <n v="7"/>
    <s v="2020-21"/>
    <s v="Aberdeenshire"/>
    <s v="Dwelling: Fatal"/>
    <n v="1"/>
    <m/>
    <m/>
    <m/>
    <m/>
    <n v="1"/>
    <s v="2020-21"/>
    <s v="Aberdeenshire"/>
    <s v="Dwelling: Nonfatal"/>
    <n v="16"/>
    <n v="5"/>
    <n v="1"/>
    <n v="2"/>
    <n v="7"/>
    <n v="1"/>
  </r>
  <r>
    <x v="11"/>
    <s v="Dwelling: Primary fires"/>
    <x v="2"/>
    <n v="80"/>
    <n v="45"/>
    <n v="6"/>
    <n v="3"/>
    <n v="24"/>
    <n v="2"/>
    <m/>
    <m/>
    <m/>
    <m/>
    <m/>
    <m/>
    <m/>
    <m/>
    <m/>
    <s v="2020-21"/>
    <s v="Angus"/>
    <s v="Dwelling: Nonfatal"/>
    <n v="19"/>
    <n v="15"/>
    <n v="2"/>
    <n v="1"/>
    <n v="1"/>
    <m/>
  </r>
  <r>
    <x v="11"/>
    <s v="Dwelling: Primary fires"/>
    <x v="3"/>
    <n v="86"/>
    <n v="51"/>
    <n v="5"/>
    <n v="13"/>
    <n v="9"/>
    <n v="8"/>
    <s v="2020-21"/>
    <s v="Argyll and Bute"/>
    <s v="Dwelling: Fatal"/>
    <n v="1"/>
    <m/>
    <m/>
    <m/>
    <m/>
    <n v="1"/>
    <s v="2020-21"/>
    <s v="Argyll and Bute"/>
    <s v="Dwelling: Nonfatal"/>
    <n v="7"/>
    <n v="5"/>
    <m/>
    <m/>
    <m/>
    <n v="2"/>
  </r>
  <r>
    <x v="11"/>
    <s v="Dwelling: Primary fires"/>
    <x v="4"/>
    <n v="422"/>
    <n v="162"/>
    <n v="34"/>
    <n v="55"/>
    <n v="164"/>
    <n v="7"/>
    <s v="2020-21"/>
    <s v="City of Edinburgh"/>
    <s v="Dwelling: Fatal"/>
    <n v="2"/>
    <n v="1"/>
    <m/>
    <m/>
    <m/>
    <n v="1"/>
    <s v="2020-21"/>
    <s v="City of Edinburgh"/>
    <s v="Dwelling: Nonfatal"/>
    <n v="61"/>
    <n v="25"/>
    <n v="10"/>
    <n v="3"/>
    <n v="18"/>
    <n v="5"/>
  </r>
  <r>
    <x v="11"/>
    <s v="Dwelling: Primary fires"/>
    <x v="5"/>
    <n v="55"/>
    <n v="32"/>
    <n v="6"/>
    <n v="4"/>
    <n v="13"/>
    <m/>
    <s v="2020-21"/>
    <s v="Clackmannanshire"/>
    <s v="Dwelling: Fatal"/>
    <n v="2"/>
    <n v="1"/>
    <m/>
    <m/>
    <n v="1"/>
    <m/>
    <s v="2020-21"/>
    <s v="Clackmannanshire"/>
    <s v="Dwelling: Nonfatal"/>
    <n v="20"/>
    <n v="8"/>
    <n v="5"/>
    <m/>
    <n v="7"/>
    <m/>
  </r>
  <r>
    <x v="11"/>
    <s v="Dwelling: Primary fires"/>
    <x v="6"/>
    <n v="74"/>
    <n v="47"/>
    <n v="5"/>
    <n v="5"/>
    <n v="16"/>
    <n v="1"/>
    <s v="2020-21"/>
    <s v="Dumfries and Galloway"/>
    <s v="Dwelling: Fatal"/>
    <n v="2"/>
    <n v="1"/>
    <m/>
    <m/>
    <m/>
    <n v="1"/>
    <s v="2020-21"/>
    <s v="Dumfries and Galloway"/>
    <s v="Dwelling: Nonfatal"/>
    <n v="4"/>
    <n v="2"/>
    <n v="1"/>
    <m/>
    <n v="1"/>
    <m/>
  </r>
  <r>
    <x v="11"/>
    <s v="Dwelling: Primary fires"/>
    <x v="7"/>
    <n v="209"/>
    <n v="99"/>
    <n v="18"/>
    <n v="27"/>
    <n v="61"/>
    <n v="4"/>
    <s v="2020-21"/>
    <s v="Dundee City"/>
    <s v="Dwelling: Fatal"/>
    <n v="3"/>
    <n v="2"/>
    <m/>
    <m/>
    <m/>
    <n v="1"/>
    <s v="2020-21"/>
    <s v="Dundee City"/>
    <s v="Dwelling: Nonfatal"/>
    <n v="32"/>
    <n v="20"/>
    <n v="5"/>
    <n v="3"/>
    <n v="4"/>
    <m/>
  </r>
  <r>
    <x v="11"/>
    <s v="Dwelling: Primary fires"/>
    <x v="8"/>
    <n v="109"/>
    <n v="67"/>
    <n v="10"/>
    <n v="15"/>
    <n v="14"/>
    <n v="3"/>
    <s v="2020-21"/>
    <s v="East Ayrshire"/>
    <s v="Dwelling: Fatal"/>
    <n v="1"/>
    <n v="1"/>
    <m/>
    <m/>
    <m/>
    <m/>
    <s v="2020-21"/>
    <s v="East Ayrshire"/>
    <s v="Dwelling: Nonfatal"/>
    <n v="20"/>
    <n v="11"/>
    <n v="4"/>
    <n v="2"/>
    <n v="2"/>
    <n v="1"/>
  </r>
  <r>
    <x v="11"/>
    <s v="Dwelling: Primary fires"/>
    <x v="9"/>
    <n v="74"/>
    <n v="41"/>
    <n v="5"/>
    <n v="13"/>
    <n v="12"/>
    <n v="3"/>
    <s v="2020-21"/>
    <s v="East Dunbartonshire"/>
    <s v="Dwelling: Fatal"/>
    <n v="1"/>
    <n v="1"/>
    <m/>
    <m/>
    <m/>
    <m/>
    <s v="2020-21"/>
    <s v="East Dunbartonshire"/>
    <s v="Dwelling: Nonfatal"/>
    <n v="9"/>
    <n v="3"/>
    <n v="3"/>
    <n v="1"/>
    <n v="2"/>
    <m/>
  </r>
  <r>
    <x v="11"/>
    <s v="Dwelling: Primary fires"/>
    <x v="10"/>
    <n v="49"/>
    <n v="27"/>
    <n v="3"/>
    <n v="8"/>
    <n v="10"/>
    <n v="1"/>
    <s v="2020-21"/>
    <s v="East Lothian"/>
    <s v="Dwelling: Fatal"/>
    <n v="1"/>
    <n v="1"/>
    <m/>
    <m/>
    <m/>
    <m/>
    <s v="2020-21"/>
    <s v="East Lothian"/>
    <s v="Dwelling: Nonfatal"/>
    <n v="4"/>
    <n v="3"/>
    <m/>
    <n v="1"/>
    <m/>
    <m/>
  </r>
  <r>
    <x v="11"/>
    <s v="Dwelling: Primary fires"/>
    <x v="11"/>
    <n v="53"/>
    <n v="33"/>
    <n v="6"/>
    <n v="6"/>
    <n v="7"/>
    <n v="1"/>
    <s v="2020-21"/>
    <s v="East Renfrewshire"/>
    <s v="Dwelling: Fatal"/>
    <n v="1"/>
    <n v="1"/>
    <m/>
    <m/>
    <m/>
    <m/>
    <s v="2020-21"/>
    <s v="East Renfrewshire"/>
    <s v="Dwelling: Nonfatal"/>
    <n v="6"/>
    <n v="3"/>
    <n v="2"/>
    <m/>
    <n v="1"/>
    <m/>
  </r>
  <r>
    <x v="11"/>
    <s v="Dwelling: Primary fires"/>
    <x v="12"/>
    <n v="109"/>
    <n v="49"/>
    <n v="10"/>
    <n v="20"/>
    <n v="28"/>
    <n v="2"/>
    <m/>
    <m/>
    <m/>
    <m/>
    <m/>
    <m/>
    <m/>
    <m/>
    <m/>
    <s v="2020-21"/>
    <s v="Falkirk"/>
    <s v="Dwelling: Nonfatal"/>
    <n v="30"/>
    <n v="12"/>
    <n v="6"/>
    <n v="4"/>
    <n v="8"/>
    <m/>
  </r>
  <r>
    <x v="11"/>
    <s v="Dwelling: Primary fires"/>
    <x v="13"/>
    <n v="247"/>
    <n v="93"/>
    <n v="27"/>
    <n v="33"/>
    <n v="90"/>
    <n v="4"/>
    <s v="2020-21"/>
    <s v="Fife"/>
    <s v="Dwelling: Fatal"/>
    <n v="2"/>
    <n v="1"/>
    <m/>
    <n v="1"/>
    <m/>
    <m/>
    <s v="2020-21"/>
    <s v="Fife"/>
    <s v="Dwelling: Nonfatal"/>
    <n v="45"/>
    <n v="24"/>
    <n v="2"/>
    <n v="2"/>
    <n v="15"/>
    <n v="2"/>
  </r>
  <r>
    <x v="11"/>
    <s v="Dwelling: Primary fires"/>
    <x v="14"/>
    <n v="795"/>
    <n v="446"/>
    <n v="56"/>
    <n v="92"/>
    <n v="170"/>
    <n v="31"/>
    <s v="2020-21"/>
    <s v="Glasgow City"/>
    <s v="Dwelling: Fatal"/>
    <n v="7"/>
    <n v="4"/>
    <m/>
    <n v="1"/>
    <n v="1"/>
    <n v="1"/>
    <s v="2020-21"/>
    <s v="Glasgow City"/>
    <s v="Dwelling: Nonfatal"/>
    <n v="166"/>
    <n v="99"/>
    <n v="13"/>
    <n v="14"/>
    <n v="27"/>
    <n v="13"/>
  </r>
  <r>
    <x v="11"/>
    <s v="Dwelling: Primary fires"/>
    <x v="15"/>
    <n v="132"/>
    <n v="62"/>
    <n v="13"/>
    <n v="10"/>
    <n v="43"/>
    <n v="4"/>
    <m/>
    <m/>
    <m/>
    <m/>
    <m/>
    <m/>
    <m/>
    <m/>
    <m/>
    <s v="2020-21"/>
    <s v="Highland"/>
    <s v="Dwelling: Nonfatal"/>
    <n v="18"/>
    <n v="9"/>
    <n v="2"/>
    <n v="1"/>
    <n v="4"/>
    <n v="2"/>
  </r>
  <r>
    <x v="11"/>
    <s v="Dwelling: Primary fires"/>
    <x v="16"/>
    <n v="110"/>
    <n v="56"/>
    <n v="14"/>
    <n v="12"/>
    <n v="25"/>
    <n v="3"/>
    <s v="2020-21"/>
    <s v="Inverclyde"/>
    <s v="Dwelling: Fatal"/>
    <n v="2"/>
    <n v="1"/>
    <n v="1"/>
    <m/>
    <m/>
    <m/>
    <s v="2020-21"/>
    <s v="Inverclyde"/>
    <s v="Dwelling: Nonfatal"/>
    <n v="33"/>
    <n v="19"/>
    <n v="5"/>
    <n v="2"/>
    <n v="6"/>
    <n v="1"/>
  </r>
  <r>
    <x v="11"/>
    <s v="Dwelling: Primary fires"/>
    <x v="17"/>
    <n v="59"/>
    <n v="37"/>
    <n v="2"/>
    <n v="8"/>
    <n v="12"/>
    <m/>
    <s v="2020-21"/>
    <s v="Midlothian"/>
    <s v="Dwelling: Fatal"/>
    <n v="1"/>
    <n v="1"/>
    <m/>
    <m/>
    <m/>
    <m/>
    <s v="2020-21"/>
    <s v="Midlothian"/>
    <s v="Dwelling: Nonfatal"/>
    <n v="13"/>
    <n v="5"/>
    <n v="3"/>
    <n v="2"/>
    <n v="3"/>
    <m/>
  </r>
  <r>
    <x v="11"/>
    <s v="Dwelling: Primary fires"/>
    <x v="18"/>
    <n v="51"/>
    <n v="22"/>
    <n v="5"/>
    <n v="9"/>
    <n v="13"/>
    <n v="2"/>
    <s v="2020-21"/>
    <s v="Moray"/>
    <s v="Dwelling: Fatal"/>
    <n v="1"/>
    <m/>
    <m/>
    <m/>
    <m/>
    <n v="1"/>
    <s v="2020-21"/>
    <s v="Moray"/>
    <s v="Dwelling: Nonfatal"/>
    <n v="7"/>
    <n v="2"/>
    <n v="1"/>
    <n v="2"/>
    <n v="2"/>
    <m/>
  </r>
  <r>
    <x v="11"/>
    <s v="Dwelling: Primary fires"/>
    <x v="19"/>
    <n v="22"/>
    <n v="12"/>
    <n v="1"/>
    <n v="1"/>
    <n v="7"/>
    <n v="1"/>
    <m/>
    <m/>
    <m/>
    <m/>
    <m/>
    <m/>
    <m/>
    <m/>
    <m/>
    <s v="2020-21"/>
    <s v="Na h-Eileanan Siar"/>
    <s v="Dwelling: Nonfatal"/>
    <n v="4"/>
    <n v="4"/>
    <m/>
    <m/>
    <m/>
    <m/>
  </r>
  <r>
    <x v="11"/>
    <s v="Dwelling: Primary fires"/>
    <x v="20"/>
    <n v="153"/>
    <n v="90"/>
    <n v="12"/>
    <n v="18"/>
    <n v="30"/>
    <n v="3"/>
    <m/>
    <m/>
    <m/>
    <m/>
    <m/>
    <m/>
    <m/>
    <m/>
    <m/>
    <s v="2020-21"/>
    <s v="North Ayrshire"/>
    <s v="Dwelling: Nonfatal"/>
    <n v="39"/>
    <n v="22"/>
    <n v="7"/>
    <m/>
    <n v="10"/>
    <m/>
  </r>
  <r>
    <x v="11"/>
    <s v="Dwelling: Primary fires"/>
    <x v="21"/>
    <n v="318"/>
    <n v="177"/>
    <n v="34"/>
    <n v="45"/>
    <n v="54"/>
    <n v="8"/>
    <s v="2020-21"/>
    <s v="North Lanarkshire"/>
    <s v="Dwelling: Fatal"/>
    <n v="2"/>
    <m/>
    <n v="1"/>
    <m/>
    <m/>
    <n v="1"/>
    <s v="2020-21"/>
    <s v="North Lanarkshire"/>
    <s v="Dwelling: Nonfatal"/>
    <n v="75"/>
    <n v="38"/>
    <n v="14"/>
    <n v="6"/>
    <n v="15"/>
    <n v="2"/>
  </r>
  <r>
    <x v="11"/>
    <s v="Dwelling: Primary fires"/>
    <x v="22"/>
    <n v="4"/>
    <n v="1"/>
    <m/>
    <m/>
    <n v="2"/>
    <n v="1"/>
    <m/>
    <m/>
    <m/>
    <m/>
    <m/>
    <m/>
    <m/>
    <m/>
    <m/>
    <s v="2020-21"/>
    <s v="Orkney Islands"/>
    <s v="Dwelling: Nonfatal"/>
    <n v="1"/>
    <m/>
    <m/>
    <m/>
    <m/>
    <n v="1"/>
  </r>
  <r>
    <x v="11"/>
    <s v="Dwelling: Primary fires"/>
    <x v="23"/>
    <n v="104"/>
    <n v="54"/>
    <n v="11"/>
    <n v="7"/>
    <n v="30"/>
    <n v="2"/>
    <m/>
    <m/>
    <m/>
    <m/>
    <m/>
    <m/>
    <m/>
    <m/>
    <m/>
    <s v="2020-21"/>
    <s v="Perth and Kinross"/>
    <s v="Dwelling: Nonfatal"/>
    <n v="25"/>
    <n v="11"/>
    <n v="2"/>
    <n v="2"/>
    <n v="10"/>
    <m/>
  </r>
  <r>
    <x v="11"/>
    <s v="Dwelling: Primary fires"/>
    <x v="24"/>
    <n v="185"/>
    <n v="104"/>
    <n v="14"/>
    <n v="22"/>
    <n v="41"/>
    <n v="4"/>
    <s v="2020-21"/>
    <s v="Renfrewshire"/>
    <s v="Dwelling: Fatal"/>
    <n v="3"/>
    <n v="3"/>
    <m/>
    <m/>
    <m/>
    <m/>
    <s v="2020-21"/>
    <s v="Renfrewshire"/>
    <s v="Dwelling: Nonfatal"/>
    <n v="37"/>
    <n v="29"/>
    <n v="1"/>
    <n v="1"/>
    <n v="3"/>
    <n v="3"/>
  </r>
  <r>
    <x v="11"/>
    <s v="Dwelling: Primary fires"/>
    <x v="25"/>
    <n v="85"/>
    <n v="40"/>
    <n v="4"/>
    <n v="12"/>
    <n v="27"/>
    <n v="2"/>
    <s v="2020-21"/>
    <s v="Scottish Borders"/>
    <s v="Dwelling: Fatal"/>
    <n v="1"/>
    <m/>
    <m/>
    <m/>
    <n v="1"/>
    <m/>
    <s v="2020-21"/>
    <s v="Scottish Borders"/>
    <s v="Dwelling: Nonfatal"/>
    <n v="12"/>
    <n v="6"/>
    <m/>
    <n v="3"/>
    <n v="2"/>
    <n v="1"/>
  </r>
  <r>
    <x v="11"/>
    <s v="Dwelling: Primary fires"/>
    <x v="26"/>
    <n v="25"/>
    <n v="12"/>
    <m/>
    <n v="1"/>
    <n v="12"/>
    <m/>
    <m/>
    <m/>
    <m/>
    <m/>
    <m/>
    <m/>
    <m/>
    <m/>
    <m/>
    <s v="2020-21"/>
    <s v="Shetland Islands"/>
    <s v="Dwelling: Nonfatal"/>
    <n v="2"/>
    <n v="2"/>
    <m/>
    <m/>
    <m/>
    <m/>
  </r>
  <r>
    <x v="11"/>
    <s v="Dwelling: Primary fires"/>
    <x v="27"/>
    <n v="90"/>
    <n v="50"/>
    <n v="11"/>
    <n v="10"/>
    <n v="18"/>
    <n v="1"/>
    <s v="2020-21"/>
    <s v="South Ayrshire"/>
    <s v="Dwelling: Fatal"/>
    <n v="1"/>
    <m/>
    <n v="1"/>
    <m/>
    <m/>
    <m/>
    <s v="2020-21"/>
    <s v="South Ayrshire"/>
    <s v="Dwelling: Nonfatal"/>
    <n v="20"/>
    <n v="14"/>
    <n v="3"/>
    <m/>
    <n v="3"/>
    <m/>
  </r>
  <r>
    <x v="11"/>
    <s v="Dwelling: Primary fires"/>
    <x v="28"/>
    <n v="255"/>
    <n v="130"/>
    <n v="33"/>
    <n v="33"/>
    <n v="52"/>
    <n v="7"/>
    <s v="2020-21"/>
    <s v="South Lanarkshire"/>
    <s v="Dwelling: Fatal"/>
    <n v="2"/>
    <m/>
    <n v="1"/>
    <m/>
    <m/>
    <n v="1"/>
    <s v="2020-21"/>
    <s v="South Lanarkshire"/>
    <s v="Dwelling: Nonfatal"/>
    <n v="59"/>
    <n v="26"/>
    <n v="9"/>
    <n v="3"/>
    <n v="20"/>
    <n v="1"/>
  </r>
  <r>
    <x v="11"/>
    <s v="Dwelling: Primary fires"/>
    <x v="29"/>
    <n v="59"/>
    <n v="29"/>
    <n v="7"/>
    <n v="4"/>
    <n v="19"/>
    <m/>
    <m/>
    <m/>
    <m/>
    <m/>
    <m/>
    <m/>
    <m/>
    <m/>
    <m/>
    <s v="2020-21"/>
    <s v="Stirling"/>
    <s v="Dwelling: Nonfatal"/>
    <n v="9"/>
    <n v="6"/>
    <m/>
    <n v="1"/>
    <n v="2"/>
    <m/>
  </r>
  <r>
    <x v="11"/>
    <s v="Dwelling: Primary fires"/>
    <x v="30"/>
    <n v="117"/>
    <n v="77"/>
    <n v="13"/>
    <n v="11"/>
    <n v="15"/>
    <n v="1"/>
    <s v="2020-21"/>
    <s v="West Dunbartonshire"/>
    <s v="Dwelling: Fatal"/>
    <n v="2"/>
    <n v="1"/>
    <m/>
    <n v="1"/>
    <m/>
    <m/>
    <s v="2020-21"/>
    <s v="West Dunbartonshire"/>
    <s v="Dwelling: Nonfatal"/>
    <n v="21"/>
    <n v="17"/>
    <n v="1"/>
    <n v="1"/>
    <n v="1"/>
    <n v="1"/>
  </r>
  <r>
    <x v="11"/>
    <s v="Dwelling: Primary fires"/>
    <x v="31"/>
    <n v="115"/>
    <n v="67"/>
    <n v="4"/>
    <n v="8"/>
    <n v="31"/>
    <n v="5"/>
    <s v="2020-21"/>
    <s v="West Lothian"/>
    <s v="Dwelling: Fatal"/>
    <n v="2"/>
    <m/>
    <n v="1"/>
    <m/>
    <n v="1"/>
    <m/>
    <s v="2020-21"/>
    <s v="West Lothian"/>
    <s v="Dwelling: Nonfatal"/>
    <n v="27"/>
    <n v="15"/>
    <n v="2"/>
    <m/>
    <n v="5"/>
    <n v="5"/>
  </r>
</pivotCacheRecords>
</file>

<file path=xl/pivotCache/pivotCacheRecords49.xml><?xml version="1.0" encoding="utf-8"?>
<pivotCacheRecords xmlns="http://schemas.openxmlformats.org/spreadsheetml/2006/main" xmlns:r="http://schemas.openxmlformats.org/officeDocument/2006/relationships" count="24">
  <r>
    <x v="0"/>
    <x v="0"/>
    <n v="13877"/>
    <n v="4864"/>
    <n v="6021"/>
    <n v="2828"/>
    <n v="106"/>
    <n v="32"/>
    <n v="22"/>
    <n v="4"/>
  </r>
  <r>
    <x v="0"/>
    <x v="1"/>
    <n v="13025"/>
    <n v="4514"/>
    <n v="5893"/>
    <n v="2404"/>
    <n v="155"/>
    <n v="29"/>
    <n v="27"/>
    <n v="3"/>
  </r>
  <r>
    <x v="0"/>
    <x v="2"/>
    <n v="12295"/>
    <n v="3983"/>
    <n v="5443"/>
    <n v="2686"/>
    <n v="131"/>
    <n v="28"/>
    <n v="17"/>
    <n v="7"/>
  </r>
  <r>
    <x v="0"/>
    <x v="3"/>
    <n v="10986"/>
    <n v="3353"/>
    <n v="5125"/>
    <n v="2355"/>
    <n v="101"/>
    <n v="27"/>
    <n v="21"/>
    <n v="4"/>
  </r>
  <r>
    <x v="0"/>
    <x v="4"/>
    <n v="10412"/>
    <n v="3352"/>
    <n v="4733"/>
    <n v="2164"/>
    <n v="125"/>
    <n v="18"/>
    <n v="17"/>
    <n v="3"/>
  </r>
  <r>
    <x v="0"/>
    <x v="5"/>
    <n v="10512"/>
    <n v="3241"/>
    <n v="4840"/>
    <n v="2271"/>
    <n v="114"/>
    <n v="22"/>
    <n v="19"/>
    <n v="5"/>
  </r>
  <r>
    <x v="0"/>
    <x v="6"/>
    <n v="10901"/>
    <n v="3351"/>
    <n v="4894"/>
    <n v="2352"/>
    <n v="111"/>
    <n v="21"/>
    <n v="17"/>
    <n v="155"/>
  </r>
  <r>
    <x v="0"/>
    <x v="7"/>
    <n v="10795"/>
    <n v="3565"/>
    <n v="4814"/>
    <n v="2257"/>
    <n v="125"/>
    <n v="16"/>
    <n v="17"/>
    <n v="1"/>
  </r>
  <r>
    <x v="0"/>
    <x v="8"/>
    <n v="10581"/>
    <n v="3574"/>
    <n v="4612"/>
    <n v="2218"/>
    <n v="125"/>
    <n v="29"/>
    <n v="22"/>
    <n v="1"/>
  </r>
  <r>
    <x v="0"/>
    <x v="9"/>
    <n v="10389"/>
    <n v="3432"/>
    <n v="4569"/>
    <n v="2149"/>
    <n v="157"/>
    <n v="38"/>
    <n v="37"/>
    <n v="7"/>
  </r>
  <r>
    <x v="0"/>
    <x v="10"/>
    <n v="9786"/>
    <n v="3357"/>
    <n v="4206"/>
    <n v="2053"/>
    <n v="120"/>
    <n v="25"/>
    <n v="22"/>
    <n v="3"/>
  </r>
  <r>
    <x v="0"/>
    <x v="11"/>
    <n v="9367"/>
    <n v="3336"/>
    <n v="4098"/>
    <n v="1719"/>
    <n v="144"/>
    <n v="32"/>
    <n v="26"/>
    <n v="12"/>
  </r>
  <r>
    <x v="1"/>
    <x v="0"/>
    <n v="22989"/>
    <n v="19656"/>
    <n v="2792"/>
    <n v="494"/>
    <n v="1"/>
    <n v="1"/>
    <m/>
    <n v="45"/>
  </r>
  <r>
    <x v="1"/>
    <x v="1"/>
    <n v="24189"/>
    <n v="20475"/>
    <n v="3194"/>
    <n v="491"/>
    <n v="4"/>
    <m/>
    <m/>
    <n v="25"/>
  </r>
  <r>
    <x v="1"/>
    <x v="2"/>
    <n v="18654"/>
    <n v="15625"/>
    <n v="2576"/>
    <n v="423"/>
    <n v="9"/>
    <m/>
    <m/>
    <n v="21"/>
  </r>
  <r>
    <x v="1"/>
    <x v="3"/>
    <n v="14262"/>
    <n v="12007"/>
    <n v="1895"/>
    <n v="345"/>
    <n v="1"/>
    <m/>
    <m/>
    <n v="14"/>
  </r>
  <r>
    <x v="1"/>
    <x v="4"/>
    <n v="16351"/>
    <n v="14092"/>
    <n v="1895"/>
    <n v="334"/>
    <n v="5"/>
    <n v="1"/>
    <m/>
    <n v="24"/>
  </r>
  <r>
    <x v="1"/>
    <x v="5"/>
    <n v="13390"/>
    <n v="11495"/>
    <n v="1595"/>
    <n v="287"/>
    <m/>
    <m/>
    <m/>
    <n v="13"/>
  </r>
  <r>
    <x v="1"/>
    <x v="6"/>
    <n v="14704"/>
    <n v="12744"/>
    <n v="1522"/>
    <n v="276"/>
    <n v="3"/>
    <m/>
    <m/>
    <n v="159"/>
  </r>
  <r>
    <x v="1"/>
    <x v="7"/>
    <n v="15640"/>
    <n v="13945"/>
    <n v="1367"/>
    <n v="313"/>
    <n v="3"/>
    <m/>
    <m/>
    <n v="12"/>
  </r>
  <r>
    <x v="1"/>
    <x v="8"/>
    <n v="14703"/>
    <n v="12927"/>
    <n v="1425"/>
    <n v="340"/>
    <m/>
    <m/>
    <m/>
    <n v="11"/>
  </r>
  <r>
    <x v="1"/>
    <x v="9"/>
    <n v="15672"/>
    <n v="13889"/>
    <n v="1394"/>
    <n v="369"/>
    <n v="3"/>
    <m/>
    <m/>
    <n v="17"/>
  </r>
  <r>
    <x v="1"/>
    <x v="10"/>
    <n v="14062"/>
    <n v="12599"/>
    <n v="1148"/>
    <n v="300"/>
    <n v="2"/>
    <m/>
    <m/>
    <n v="13"/>
  </r>
  <r>
    <x v="1"/>
    <x v="11"/>
    <n v="15113"/>
    <n v="13564"/>
    <n v="1261"/>
    <n v="236"/>
    <n v="1"/>
    <m/>
    <n v="1"/>
    <n v="50"/>
  </r>
</pivotCacheRecords>
</file>

<file path=xl/pivotCache/pivotCacheRecords5.xml><?xml version="1.0" encoding="utf-8"?>
<pivotCacheRecords xmlns="http://schemas.openxmlformats.org/spreadsheetml/2006/main" xmlns:r="http://schemas.openxmlformats.org/officeDocument/2006/relationships" count="385">
  <r>
    <x v="0"/>
    <x v="0"/>
    <n v="391"/>
    <n v="340"/>
    <n v="51"/>
    <n v="110565"/>
  </r>
  <r>
    <x v="0"/>
    <x v="1"/>
    <n v="204"/>
    <n v="191"/>
    <n v="13"/>
    <n v="108051"/>
  </r>
  <r>
    <x v="0"/>
    <x v="2"/>
    <n v="102"/>
    <n v="96"/>
    <n v="6"/>
    <n v="53807"/>
  </r>
  <r>
    <x v="0"/>
    <x v="3"/>
    <n v="86"/>
    <n v="80"/>
    <n v="6"/>
    <n v="46446"/>
  </r>
  <r>
    <x v="0"/>
    <x v="4"/>
    <n v="795"/>
    <n v="587"/>
    <n v="208"/>
    <n v="231903"/>
  </r>
  <r>
    <x v="0"/>
    <x v="5"/>
    <n v="40"/>
    <n v="35"/>
    <n v="5"/>
    <n v="23549"/>
  </r>
  <r>
    <x v="0"/>
    <x v="6"/>
    <n v="132"/>
    <n v="123"/>
    <n v="9"/>
    <n v="72106"/>
  </r>
  <r>
    <x v="0"/>
    <x v="7"/>
    <n v="325"/>
    <n v="276"/>
    <n v="49"/>
    <n v="73696"/>
  </r>
  <r>
    <x v="0"/>
    <x v="8"/>
    <n v="125"/>
    <n v="103"/>
    <n v="22"/>
    <n v="56121"/>
  </r>
  <r>
    <x v="0"/>
    <x v="9"/>
    <n v="78"/>
    <n v="60"/>
    <n v="18"/>
    <n v="44154"/>
  </r>
  <r>
    <x v="0"/>
    <x v="10"/>
    <n v="100"/>
    <n v="88"/>
    <n v="12"/>
    <n v="44175"/>
  </r>
  <r>
    <x v="0"/>
    <x v="11"/>
    <n v="48"/>
    <n v="42"/>
    <n v="6"/>
    <n v="36890"/>
  </r>
  <r>
    <x v="0"/>
    <x v="12"/>
    <n v="113"/>
    <n v="96"/>
    <n v="17"/>
    <n v="70533"/>
  </r>
  <r>
    <x v="0"/>
    <x v="13"/>
    <n v="320"/>
    <n v="266"/>
    <n v="54"/>
    <n v="168677"/>
  </r>
  <r>
    <x v="0"/>
    <x v="14"/>
    <n v="1284"/>
    <n v="1004"/>
    <n v="280"/>
    <n v="299915"/>
  </r>
  <r>
    <x v="0"/>
    <x v="15"/>
    <n v="145"/>
    <n v="141"/>
    <n v="4"/>
    <n v="109617"/>
  </r>
  <r>
    <x v="0"/>
    <x v="16"/>
    <n v="144"/>
    <n v="88"/>
    <n v="56"/>
    <n v="39299"/>
  </r>
  <r>
    <x v="0"/>
    <x v="17"/>
    <n v="73"/>
    <n v="61"/>
    <n v="12"/>
    <n v="35605"/>
  </r>
  <r>
    <x v="0"/>
    <x v="18"/>
    <n v="71"/>
    <n v="63"/>
    <n v="8"/>
    <n v="41981"/>
  </r>
  <r>
    <x v="0"/>
    <x v="19"/>
    <n v="24"/>
    <n v="22"/>
    <n v="2"/>
    <n v="14101"/>
  </r>
  <r>
    <x v="0"/>
    <x v="20"/>
    <n v="177"/>
    <n v="154"/>
    <n v="23"/>
    <n v="66204"/>
  </r>
  <r>
    <x v="0"/>
    <x v="21"/>
    <n v="378"/>
    <n v="283"/>
    <n v="95"/>
    <n v="147604"/>
  </r>
  <r>
    <x v="0"/>
    <x v="22"/>
    <n v="11"/>
    <n v="10"/>
    <n v="1"/>
    <n v="10190"/>
  </r>
  <r>
    <x v="0"/>
    <x v="23"/>
    <n v="122"/>
    <n v="115"/>
    <n v="7"/>
    <n v="68349"/>
  </r>
  <r>
    <x v="0"/>
    <x v="24"/>
    <n v="237"/>
    <n v="189"/>
    <n v="48"/>
    <n v="82663"/>
  </r>
  <r>
    <x v="0"/>
    <x v="25"/>
    <n v="111"/>
    <n v="105"/>
    <n v="6"/>
    <n v="55666"/>
  </r>
  <r>
    <x v="0"/>
    <x v="26"/>
    <n v="11"/>
    <n v="11"/>
    <n v="0"/>
    <n v="10522"/>
  </r>
  <r>
    <x v="0"/>
    <x v="27"/>
    <n v="99"/>
    <n v="84"/>
    <n v="15"/>
    <n v="53424"/>
  </r>
  <r>
    <x v="0"/>
    <x v="28"/>
    <n v="326"/>
    <n v="270"/>
    <n v="56"/>
    <n v="142594"/>
  </r>
  <r>
    <x v="0"/>
    <x v="29"/>
    <n v="94"/>
    <n v="83"/>
    <n v="11"/>
    <n v="39091"/>
  </r>
  <r>
    <x v="0"/>
    <x v="30"/>
    <n v="172"/>
    <n v="127"/>
    <n v="45"/>
    <n v="44262"/>
  </r>
  <r>
    <x v="0"/>
    <x v="31"/>
    <n v="222"/>
    <n v="174"/>
    <n v="48"/>
    <n v="74397"/>
  </r>
  <r>
    <x v="1"/>
    <x v="0"/>
    <n v="340"/>
    <n v="267"/>
    <n v="73"/>
    <n v="110968"/>
  </r>
  <r>
    <x v="1"/>
    <x v="1"/>
    <n v="203"/>
    <n v="192"/>
    <n v="11"/>
    <n v="109552"/>
  </r>
  <r>
    <x v="1"/>
    <x v="2"/>
    <n v="87"/>
    <n v="79"/>
    <n v="8"/>
    <n v="54060"/>
  </r>
  <r>
    <x v="1"/>
    <x v="3"/>
    <n v="126"/>
    <n v="109"/>
    <n v="17"/>
    <n v="46679"/>
  </r>
  <r>
    <x v="1"/>
    <x v="4"/>
    <n v="728"/>
    <n v="593"/>
    <n v="135"/>
    <n v="233068"/>
  </r>
  <r>
    <x v="1"/>
    <x v="5"/>
    <n v="49"/>
    <n v="37"/>
    <n v="12"/>
    <n v="23670"/>
  </r>
  <r>
    <x v="1"/>
    <x v="6"/>
    <n v="110"/>
    <n v="94"/>
    <n v="16"/>
    <n v="72421"/>
  </r>
  <r>
    <x v="1"/>
    <x v="7"/>
    <n v="332"/>
    <n v="294"/>
    <n v="38"/>
    <n v="74015"/>
  </r>
  <r>
    <x v="1"/>
    <x v="8"/>
    <n v="118"/>
    <n v="92"/>
    <n v="26"/>
    <n v="56398"/>
  </r>
  <r>
    <x v="1"/>
    <x v="9"/>
    <n v="69"/>
    <n v="64"/>
    <n v="5"/>
    <n v="44184"/>
  </r>
  <r>
    <x v="1"/>
    <x v="10"/>
    <n v="88"/>
    <n v="81"/>
    <n v="7"/>
    <n v="44544"/>
  </r>
  <r>
    <x v="1"/>
    <x v="11"/>
    <n v="58"/>
    <n v="51"/>
    <n v="7"/>
    <n v="37063"/>
  </r>
  <r>
    <x v="1"/>
    <x v="12"/>
    <n v="130"/>
    <n v="113"/>
    <n v="17"/>
    <n v="71010"/>
  </r>
  <r>
    <x v="1"/>
    <x v="13"/>
    <n v="301"/>
    <n v="257"/>
    <n v="44"/>
    <n v="169435"/>
  </r>
  <r>
    <x v="1"/>
    <x v="14"/>
    <n v="1179"/>
    <n v="923"/>
    <n v="256"/>
    <n v="299160"/>
  </r>
  <r>
    <x v="1"/>
    <x v="15"/>
    <n v="162"/>
    <n v="151"/>
    <n v="11"/>
    <n v="110788"/>
  </r>
  <r>
    <x v="1"/>
    <x v="16"/>
    <n v="132"/>
    <n v="82"/>
    <n v="50"/>
    <n v="39377"/>
  </r>
  <r>
    <x v="1"/>
    <x v="17"/>
    <n v="73"/>
    <n v="63"/>
    <n v="10"/>
    <n v="35986"/>
  </r>
  <r>
    <x v="1"/>
    <x v="18"/>
    <n v="76"/>
    <n v="74"/>
    <n v="2"/>
    <n v="42241"/>
  </r>
  <r>
    <x v="1"/>
    <x v="19"/>
    <n v="17"/>
    <n v="16"/>
    <n v="1"/>
    <n v="14258"/>
  </r>
  <r>
    <x v="1"/>
    <x v="20"/>
    <n v="167"/>
    <n v="147"/>
    <n v="20"/>
    <n v="66461"/>
  </r>
  <r>
    <x v="1"/>
    <x v="21"/>
    <n v="370"/>
    <n v="280"/>
    <n v="90"/>
    <n v="148553"/>
  </r>
  <r>
    <x v="1"/>
    <x v="22"/>
    <n v="9"/>
    <n v="9"/>
    <n v="0"/>
    <n v="10265"/>
  </r>
  <r>
    <x v="1"/>
    <x v="23"/>
    <n v="138"/>
    <n v="135"/>
    <n v="3"/>
    <n v="68788"/>
  </r>
  <r>
    <x v="1"/>
    <x v="24"/>
    <n v="246"/>
    <n v="184"/>
    <n v="62"/>
    <n v="82760"/>
  </r>
  <r>
    <x v="1"/>
    <x v="25"/>
    <n v="113"/>
    <n v="100"/>
    <n v="13"/>
    <n v="56129"/>
  </r>
  <r>
    <x v="1"/>
    <x v="26"/>
    <n v="10"/>
    <n v="9"/>
    <n v="1"/>
    <n v="10621"/>
  </r>
  <r>
    <x v="1"/>
    <x v="27"/>
    <n v="107"/>
    <n v="96"/>
    <n v="11"/>
    <n v="53788"/>
  </r>
  <r>
    <x v="1"/>
    <x v="28"/>
    <n v="316"/>
    <n v="255"/>
    <n v="61"/>
    <n v="143470"/>
  </r>
  <r>
    <x v="1"/>
    <x v="29"/>
    <n v="75"/>
    <n v="71"/>
    <n v="4"/>
    <n v="39246"/>
  </r>
  <r>
    <x v="1"/>
    <x v="30"/>
    <n v="151"/>
    <n v="115"/>
    <n v="36"/>
    <n v="44415"/>
  </r>
  <r>
    <x v="1"/>
    <x v="31"/>
    <n v="213"/>
    <n v="176"/>
    <n v="37"/>
    <n v="75123"/>
  </r>
  <r>
    <x v="2"/>
    <x v="0"/>
    <n v="375"/>
    <n v="322"/>
    <n v="53"/>
    <n v="111419"/>
  </r>
  <r>
    <x v="2"/>
    <x v="1"/>
    <n v="207"/>
    <n v="198"/>
    <n v="9"/>
    <n v="110649"/>
  </r>
  <r>
    <x v="2"/>
    <x v="2"/>
    <n v="101"/>
    <n v="95"/>
    <n v="6"/>
    <n v="54372"/>
  </r>
  <r>
    <x v="2"/>
    <x v="3"/>
    <n v="92"/>
    <n v="83"/>
    <n v="9"/>
    <n v="46896"/>
  </r>
  <r>
    <x v="2"/>
    <x v="4"/>
    <n v="746"/>
    <n v="608"/>
    <n v="138"/>
    <n v="234541"/>
  </r>
  <r>
    <x v="2"/>
    <x v="5"/>
    <n v="58"/>
    <n v="51"/>
    <n v="7"/>
    <n v="23720"/>
  </r>
  <r>
    <x v="2"/>
    <x v="6"/>
    <n v="106"/>
    <n v="96"/>
    <n v="10"/>
    <n v="72871"/>
  </r>
  <r>
    <x v="2"/>
    <x v="7"/>
    <n v="276"/>
    <n v="236"/>
    <n v="40"/>
    <n v="73529"/>
  </r>
  <r>
    <x v="2"/>
    <x v="8"/>
    <n v="116"/>
    <n v="99"/>
    <n v="17"/>
    <n v="56614"/>
  </r>
  <r>
    <x v="2"/>
    <x v="9"/>
    <n v="65"/>
    <n v="64"/>
    <n v="1"/>
    <n v="44332"/>
  </r>
  <r>
    <x v="2"/>
    <x v="10"/>
    <n v="98"/>
    <n v="86"/>
    <n v="12"/>
    <n v="44967"/>
  </r>
  <r>
    <x v="2"/>
    <x v="11"/>
    <n v="68"/>
    <n v="59"/>
    <n v="9"/>
    <n v="37231"/>
  </r>
  <r>
    <x v="2"/>
    <x v="12"/>
    <n v="119"/>
    <n v="101"/>
    <n v="18"/>
    <n v="71303"/>
  </r>
  <r>
    <x v="2"/>
    <x v="13"/>
    <n v="303"/>
    <n v="247"/>
    <n v="56"/>
    <n v="170169"/>
  </r>
  <r>
    <x v="2"/>
    <x v="14"/>
    <n v="1213"/>
    <n v="932"/>
    <n v="281"/>
    <n v="299881"/>
  </r>
  <r>
    <x v="2"/>
    <x v="15"/>
    <n v="143"/>
    <n v="136"/>
    <n v="7"/>
    <n v="111830"/>
  </r>
  <r>
    <x v="2"/>
    <x v="16"/>
    <n v="108"/>
    <n v="72"/>
    <n v="36"/>
    <n v="39457"/>
  </r>
  <r>
    <x v="2"/>
    <x v="17"/>
    <n v="79"/>
    <n v="65"/>
    <n v="14"/>
    <n v="36434"/>
  </r>
  <r>
    <x v="2"/>
    <x v="18"/>
    <n v="75"/>
    <n v="67"/>
    <n v="8"/>
    <n v="42699"/>
  </r>
  <r>
    <x v="2"/>
    <x v="19"/>
    <n v="17"/>
    <n v="17"/>
    <n v="0"/>
    <n v="14396"/>
  </r>
  <r>
    <x v="2"/>
    <x v="20"/>
    <n v="142"/>
    <n v="120"/>
    <n v="22"/>
    <n v="66648"/>
  </r>
  <r>
    <x v="2"/>
    <x v="21"/>
    <n v="345"/>
    <n v="279"/>
    <n v="66"/>
    <n v="149190"/>
  </r>
  <r>
    <x v="2"/>
    <x v="22"/>
    <n v="12"/>
    <n v="12"/>
    <n v="0"/>
    <n v="10438"/>
  </r>
  <r>
    <x v="2"/>
    <x v="23"/>
    <n v="127"/>
    <n v="112"/>
    <n v="15"/>
    <n v="69236"/>
  </r>
  <r>
    <x v="2"/>
    <x v="24"/>
    <n v="264"/>
    <n v="212"/>
    <n v="52"/>
    <n v="82944"/>
  </r>
  <r>
    <x v="2"/>
    <x v="25"/>
    <n v="95"/>
    <n v="92"/>
    <n v="3"/>
    <n v="56530"/>
  </r>
  <r>
    <x v="2"/>
    <x v="26"/>
    <n v="10"/>
    <n v="10"/>
    <n v="0"/>
    <n v="10707"/>
  </r>
  <r>
    <x v="2"/>
    <x v="27"/>
    <n v="86"/>
    <n v="73"/>
    <n v="13"/>
    <n v="53968"/>
  </r>
  <r>
    <x v="2"/>
    <x v="28"/>
    <n v="312"/>
    <n v="254"/>
    <n v="58"/>
    <n v="144386"/>
  </r>
  <r>
    <x v="2"/>
    <x v="29"/>
    <n v="69"/>
    <n v="64"/>
    <n v="5"/>
    <n v="39509"/>
  </r>
  <r>
    <x v="2"/>
    <x v="30"/>
    <n v="148"/>
    <n v="105"/>
    <n v="43"/>
    <n v="44586"/>
  </r>
  <r>
    <x v="2"/>
    <x v="31"/>
    <n v="182"/>
    <n v="150"/>
    <n v="32"/>
    <n v="75397"/>
  </r>
  <r>
    <x v="3"/>
    <x v="0"/>
    <n v="320"/>
    <n v="266"/>
    <n v="54"/>
    <n v="112073"/>
  </r>
  <r>
    <x v="3"/>
    <x v="1"/>
    <n v="179"/>
    <n v="163"/>
    <n v="16"/>
    <n v="111773"/>
  </r>
  <r>
    <x v="3"/>
    <x v="2"/>
    <n v="86"/>
    <n v="79"/>
    <n v="7"/>
    <n v="54566"/>
  </r>
  <r>
    <x v="3"/>
    <x v="3"/>
    <n v="88"/>
    <n v="81"/>
    <n v="7"/>
    <n v="47105"/>
  </r>
  <r>
    <x v="3"/>
    <x v="4"/>
    <n v="700"/>
    <n v="596"/>
    <n v="104"/>
    <n v="235850"/>
  </r>
  <r>
    <x v="3"/>
    <x v="5"/>
    <n v="44"/>
    <n v="38"/>
    <n v="6"/>
    <n v="23774"/>
  </r>
  <r>
    <x v="3"/>
    <x v="6"/>
    <n v="106"/>
    <n v="97"/>
    <n v="9"/>
    <n v="73224"/>
  </r>
  <r>
    <x v="3"/>
    <x v="7"/>
    <n v="269"/>
    <n v="235"/>
    <n v="34"/>
    <n v="73818"/>
  </r>
  <r>
    <x v="3"/>
    <x v="8"/>
    <n v="108"/>
    <n v="99"/>
    <n v="9"/>
    <n v="56919"/>
  </r>
  <r>
    <x v="3"/>
    <x v="9"/>
    <n v="70"/>
    <n v="60"/>
    <n v="10"/>
    <n v="44564"/>
  </r>
  <r>
    <x v="3"/>
    <x v="10"/>
    <n v="103"/>
    <n v="96"/>
    <n v="7"/>
    <n v="45364"/>
  </r>
  <r>
    <x v="3"/>
    <x v="11"/>
    <n v="75"/>
    <n v="60"/>
    <n v="15"/>
    <n v="37448"/>
  </r>
  <r>
    <x v="3"/>
    <x v="12"/>
    <n v="103"/>
    <n v="91"/>
    <n v="12"/>
    <n v="71742"/>
  </r>
  <r>
    <x v="3"/>
    <x v="13"/>
    <n v="298"/>
    <n v="262"/>
    <n v="36"/>
    <n v="170881"/>
  </r>
  <r>
    <x v="3"/>
    <x v="14"/>
    <n v="1040"/>
    <n v="842"/>
    <n v="198"/>
    <n v="301513"/>
  </r>
  <r>
    <x v="3"/>
    <x v="15"/>
    <n v="132"/>
    <n v="126"/>
    <n v="6"/>
    <n v="112812"/>
  </r>
  <r>
    <x v="3"/>
    <x v="16"/>
    <n v="98"/>
    <n v="80"/>
    <n v="18"/>
    <n v="39590"/>
  </r>
  <r>
    <x v="3"/>
    <x v="17"/>
    <n v="93"/>
    <n v="87"/>
    <n v="6"/>
    <n v="37051"/>
  </r>
  <r>
    <x v="3"/>
    <x v="18"/>
    <n v="57"/>
    <n v="55"/>
    <n v="2"/>
    <n v="43139"/>
  </r>
  <r>
    <x v="3"/>
    <x v="19"/>
    <n v="23"/>
    <n v="22"/>
    <n v="1"/>
    <n v="14458"/>
  </r>
  <r>
    <x v="3"/>
    <x v="20"/>
    <n v="154"/>
    <n v="142"/>
    <n v="12"/>
    <n v="66888"/>
  </r>
  <r>
    <x v="3"/>
    <x v="21"/>
    <n v="360"/>
    <n v="284"/>
    <n v="76"/>
    <n v="149763"/>
  </r>
  <r>
    <x v="3"/>
    <x v="22"/>
    <n v="10"/>
    <n v="9"/>
    <n v="1"/>
    <n v="10613"/>
  </r>
  <r>
    <x v="3"/>
    <x v="23"/>
    <n v="121"/>
    <n v="114"/>
    <n v="7"/>
    <n v="69618"/>
  </r>
  <r>
    <x v="3"/>
    <x v="24"/>
    <n v="260"/>
    <n v="219"/>
    <n v="41"/>
    <n v="83166"/>
  </r>
  <r>
    <x v="3"/>
    <x v="25"/>
    <n v="107"/>
    <n v="100"/>
    <n v="7"/>
    <n v="56765"/>
  </r>
  <r>
    <x v="3"/>
    <x v="26"/>
    <n v="18"/>
    <n v="17"/>
    <n v="1"/>
    <n v="10789"/>
  </r>
  <r>
    <x v="3"/>
    <x v="27"/>
    <n v="111"/>
    <n v="99"/>
    <n v="12"/>
    <n v="54202"/>
  </r>
  <r>
    <x v="3"/>
    <x v="28"/>
    <n v="292"/>
    <n v="249"/>
    <n v="43"/>
    <n v="145257"/>
  </r>
  <r>
    <x v="3"/>
    <x v="29"/>
    <n v="57"/>
    <n v="54"/>
    <n v="3"/>
    <n v="39798"/>
  </r>
  <r>
    <x v="3"/>
    <x v="30"/>
    <n v="146"/>
    <n v="96"/>
    <n v="50"/>
    <n v="44790"/>
  </r>
  <r>
    <x v="3"/>
    <x v="31"/>
    <n v="201"/>
    <n v="179"/>
    <n v="22"/>
    <n v="75729"/>
  </r>
  <r>
    <x v="4"/>
    <x v="0"/>
    <n v="294"/>
    <n v="247"/>
    <n v="47"/>
    <n v="112713"/>
  </r>
  <r>
    <x v="4"/>
    <x v="1"/>
    <n v="182"/>
    <n v="173"/>
    <n v="9"/>
    <n v="112867"/>
  </r>
  <r>
    <x v="4"/>
    <x v="2"/>
    <n v="80"/>
    <n v="71"/>
    <n v="9"/>
    <n v="54872"/>
  </r>
  <r>
    <x v="4"/>
    <x v="3"/>
    <n v="88"/>
    <n v="78"/>
    <n v="10"/>
    <n v="47336"/>
  </r>
  <r>
    <x v="4"/>
    <x v="4"/>
    <n v="607"/>
    <n v="523"/>
    <n v="84"/>
    <n v="237524"/>
  </r>
  <r>
    <x v="4"/>
    <x v="5"/>
    <n v="42"/>
    <n v="38"/>
    <n v="4"/>
    <n v="23894"/>
  </r>
  <r>
    <x v="4"/>
    <x v="6"/>
    <n v="112"/>
    <n v="111"/>
    <n v="1"/>
    <n v="73555"/>
  </r>
  <r>
    <x v="4"/>
    <x v="7"/>
    <n v="220"/>
    <n v="195"/>
    <n v="25"/>
    <n v="73560"/>
  </r>
  <r>
    <x v="4"/>
    <x v="8"/>
    <n v="107"/>
    <n v="91"/>
    <n v="16"/>
    <n v="57172"/>
  </r>
  <r>
    <x v="4"/>
    <x v="9"/>
    <n v="57"/>
    <n v="53"/>
    <n v="4"/>
    <n v="44864"/>
  </r>
  <r>
    <x v="4"/>
    <x v="10"/>
    <n v="83"/>
    <n v="81"/>
    <n v="2"/>
    <n v="45613"/>
  </r>
  <r>
    <x v="4"/>
    <x v="11"/>
    <n v="64"/>
    <n v="61"/>
    <n v="3"/>
    <n v="37639"/>
  </r>
  <r>
    <x v="4"/>
    <x v="12"/>
    <n v="130"/>
    <n v="118"/>
    <n v="12"/>
    <n v="72128"/>
  </r>
  <r>
    <x v="4"/>
    <x v="13"/>
    <n v="231"/>
    <n v="216"/>
    <n v="15"/>
    <n v="171560"/>
  </r>
  <r>
    <x v="4"/>
    <x v="14"/>
    <n v="916"/>
    <n v="763"/>
    <n v="153"/>
    <n v="301633"/>
  </r>
  <r>
    <x v="4"/>
    <x v="15"/>
    <n v="143"/>
    <n v="140"/>
    <n v="3"/>
    <n v="113703"/>
  </r>
  <r>
    <x v="4"/>
    <x v="16"/>
    <n v="106"/>
    <n v="87"/>
    <n v="19"/>
    <n v="38791"/>
  </r>
  <r>
    <x v="4"/>
    <x v="17"/>
    <n v="66"/>
    <n v="62"/>
    <n v="4"/>
    <n v="37503"/>
  </r>
  <r>
    <x v="4"/>
    <x v="18"/>
    <n v="74"/>
    <n v="69"/>
    <n v="5"/>
    <n v="43495"/>
  </r>
  <r>
    <x v="4"/>
    <x v="19"/>
    <n v="11"/>
    <n v="11"/>
    <n v="0"/>
    <n v="14490"/>
  </r>
  <r>
    <x v="4"/>
    <x v="20"/>
    <n v="148"/>
    <n v="135"/>
    <n v="13"/>
    <n v="67082"/>
  </r>
  <r>
    <x v="4"/>
    <x v="21"/>
    <n v="315"/>
    <n v="259"/>
    <n v="56"/>
    <n v="150541"/>
  </r>
  <r>
    <x v="4"/>
    <x v="22"/>
    <n v="10"/>
    <n v="10"/>
    <n v="0"/>
    <n v="10717"/>
  </r>
  <r>
    <x v="4"/>
    <x v="23"/>
    <n v="105"/>
    <n v="97"/>
    <n v="8"/>
    <n v="69923"/>
  </r>
  <r>
    <x v="4"/>
    <x v="24"/>
    <n v="262"/>
    <n v="223"/>
    <n v="39"/>
    <n v="83933"/>
  </r>
  <r>
    <x v="4"/>
    <x v="25"/>
    <n v="110"/>
    <n v="101"/>
    <n v="9"/>
    <n v="57097"/>
  </r>
  <r>
    <x v="4"/>
    <x v="26"/>
    <n v="11"/>
    <n v="11"/>
    <n v="0"/>
    <n v="10852"/>
  </r>
  <r>
    <x v="4"/>
    <x v="27"/>
    <n v="93"/>
    <n v="86"/>
    <n v="7"/>
    <n v="54385"/>
  </r>
  <r>
    <x v="4"/>
    <x v="28"/>
    <n v="263"/>
    <n v="228"/>
    <n v="35"/>
    <n v="146110"/>
  </r>
  <r>
    <x v="4"/>
    <x v="29"/>
    <n v="72"/>
    <n v="66"/>
    <n v="6"/>
    <n v="39965"/>
  </r>
  <r>
    <x v="4"/>
    <x v="30"/>
    <n v="133"/>
    <n v="105"/>
    <n v="28"/>
    <n v="44880"/>
  </r>
  <r>
    <x v="4"/>
    <x v="31"/>
    <n v="188"/>
    <n v="164"/>
    <n v="24"/>
    <n v="76473"/>
  </r>
  <r>
    <x v="5"/>
    <x v="0"/>
    <n v="320"/>
    <n v="274"/>
    <n v="46"/>
    <n v="113508"/>
  </r>
  <r>
    <x v="5"/>
    <x v="1"/>
    <n v="200"/>
    <n v="191"/>
    <n v="9"/>
    <n v="114086"/>
  </r>
  <r>
    <x v="5"/>
    <x v="2"/>
    <n v="113"/>
    <n v="103"/>
    <n v="10"/>
    <n v="55267"/>
  </r>
  <r>
    <x v="5"/>
    <x v="3"/>
    <n v="88"/>
    <n v="81"/>
    <n v="7"/>
    <n v="47500"/>
  </r>
  <r>
    <x v="5"/>
    <x v="4"/>
    <n v="663"/>
    <n v="563"/>
    <n v="100"/>
    <n v="239525"/>
  </r>
  <r>
    <x v="5"/>
    <x v="5"/>
    <n v="49"/>
    <n v="43"/>
    <n v="6"/>
    <n v="23995"/>
  </r>
  <r>
    <x v="5"/>
    <x v="6"/>
    <n v="98"/>
    <n v="93"/>
    <n v="5"/>
    <n v="73895"/>
  </r>
  <r>
    <x v="5"/>
    <x v="7"/>
    <n v="214"/>
    <n v="180"/>
    <n v="34"/>
    <n v="73575"/>
  </r>
  <r>
    <x v="5"/>
    <x v="8"/>
    <n v="113"/>
    <n v="101"/>
    <n v="12"/>
    <n v="57324"/>
  </r>
  <r>
    <x v="5"/>
    <x v="9"/>
    <n v="73"/>
    <n v="69"/>
    <n v="4"/>
    <n v="45281"/>
  </r>
  <r>
    <x v="5"/>
    <x v="10"/>
    <n v="75"/>
    <n v="72"/>
    <n v="3"/>
    <n v="45968"/>
  </r>
  <r>
    <x v="5"/>
    <x v="11"/>
    <n v="70"/>
    <n v="66"/>
    <n v="4"/>
    <n v="37852"/>
  </r>
  <r>
    <x v="5"/>
    <x v="12"/>
    <n v="123"/>
    <n v="111"/>
    <n v="12"/>
    <n v="72624"/>
  </r>
  <r>
    <x v="5"/>
    <x v="13"/>
    <n v="251"/>
    <n v="231"/>
    <n v="20"/>
    <n v="172425"/>
  </r>
  <r>
    <x v="5"/>
    <x v="14"/>
    <n v="943"/>
    <n v="836"/>
    <n v="107"/>
    <n v="301891"/>
  </r>
  <r>
    <x v="5"/>
    <x v="15"/>
    <n v="163"/>
    <n v="160"/>
    <n v="3"/>
    <n v="114603"/>
  </r>
  <r>
    <x v="5"/>
    <x v="16"/>
    <n v="113"/>
    <n v="93"/>
    <n v="20"/>
    <n v="38699"/>
  </r>
  <r>
    <x v="5"/>
    <x v="17"/>
    <n v="71"/>
    <n v="56"/>
    <n v="15"/>
    <n v="38159"/>
  </r>
  <r>
    <x v="5"/>
    <x v="18"/>
    <n v="59"/>
    <n v="53"/>
    <n v="6"/>
    <n v="43788"/>
  </r>
  <r>
    <x v="5"/>
    <x v="19"/>
    <n v="22"/>
    <n v="22"/>
    <n v="0"/>
    <n v="14520"/>
  </r>
  <r>
    <x v="5"/>
    <x v="20"/>
    <n v="168"/>
    <n v="154"/>
    <n v="14"/>
    <n v="67204"/>
  </r>
  <r>
    <x v="5"/>
    <x v="21"/>
    <n v="345"/>
    <n v="286"/>
    <n v="59"/>
    <n v="151424"/>
  </r>
  <r>
    <x v="5"/>
    <x v="22"/>
    <n v="15"/>
    <n v="12"/>
    <n v="3"/>
    <n v="10816"/>
  </r>
  <r>
    <x v="5"/>
    <x v="23"/>
    <n v="131"/>
    <n v="124"/>
    <n v="7"/>
    <n v="70312"/>
  </r>
  <r>
    <x v="5"/>
    <x v="24"/>
    <n v="247"/>
    <n v="221"/>
    <n v="26"/>
    <n v="84442"/>
  </r>
  <r>
    <x v="5"/>
    <x v="25"/>
    <n v="83"/>
    <n v="80"/>
    <n v="3"/>
    <n v="57274"/>
  </r>
  <r>
    <x v="5"/>
    <x v="26"/>
    <n v="11"/>
    <n v="11"/>
    <n v="0"/>
    <n v="10950"/>
  </r>
  <r>
    <x v="5"/>
    <x v="27"/>
    <n v="91"/>
    <n v="78"/>
    <n v="13"/>
    <n v="54489"/>
  </r>
  <r>
    <x v="5"/>
    <x v="28"/>
    <n v="304"/>
    <n v="267"/>
    <n v="37"/>
    <n v="146925"/>
  </r>
  <r>
    <x v="5"/>
    <x v="29"/>
    <n v="87"/>
    <n v="83"/>
    <n v="4"/>
    <n v="40320"/>
  </r>
  <r>
    <x v="5"/>
    <x v="30"/>
    <n v="98"/>
    <n v="83"/>
    <n v="15"/>
    <n v="44734"/>
  </r>
  <r>
    <x v="5"/>
    <x v="31"/>
    <n v="173"/>
    <n v="156"/>
    <n v="17"/>
    <n v="77186"/>
  </r>
  <r>
    <x v="6"/>
    <x v="0"/>
    <n v="334"/>
    <n v="299"/>
    <n v="35"/>
    <n v="114234"/>
  </r>
  <r>
    <x v="6"/>
    <x v="1"/>
    <n v="192"/>
    <n v="180"/>
    <n v="12"/>
    <n v="115223"/>
  </r>
  <r>
    <x v="6"/>
    <x v="2"/>
    <n v="95"/>
    <n v="88"/>
    <n v="7"/>
    <n v="55619"/>
  </r>
  <r>
    <x v="6"/>
    <x v="3"/>
    <n v="64"/>
    <n v="60"/>
    <n v="4"/>
    <n v="47712"/>
  </r>
  <r>
    <x v="6"/>
    <x v="4"/>
    <n v="633"/>
    <n v="545"/>
    <n v="88"/>
    <n v="241433"/>
  </r>
  <r>
    <x v="6"/>
    <x v="5"/>
    <n v="75"/>
    <n v="71"/>
    <n v="4"/>
    <n v="24114"/>
  </r>
  <r>
    <x v="6"/>
    <x v="6"/>
    <n v="94"/>
    <n v="82"/>
    <n v="12"/>
    <n v="74190"/>
  </r>
  <r>
    <x v="6"/>
    <x v="7"/>
    <n v="256"/>
    <n v="227"/>
    <n v="29"/>
    <n v="73689"/>
  </r>
  <r>
    <x v="6"/>
    <x v="8"/>
    <n v="104"/>
    <n v="92"/>
    <n v="12"/>
    <n v="57654"/>
  </r>
  <r>
    <x v="6"/>
    <x v="9"/>
    <n v="77"/>
    <n v="71"/>
    <n v="6"/>
    <n v="45678"/>
  </r>
  <r>
    <x v="6"/>
    <x v="10"/>
    <n v="85"/>
    <n v="80"/>
    <n v="5"/>
    <n v="46332"/>
  </r>
  <r>
    <x v="6"/>
    <x v="11"/>
    <n v="71"/>
    <n v="63"/>
    <n v="8"/>
    <n v="38061"/>
  </r>
  <r>
    <x v="6"/>
    <x v="12"/>
    <n v="134"/>
    <n v="123"/>
    <n v="11"/>
    <n v="73290"/>
  </r>
  <r>
    <x v="6"/>
    <x v="13"/>
    <n v="278"/>
    <n v="254"/>
    <n v="24"/>
    <n v="173366"/>
  </r>
  <r>
    <x v="6"/>
    <x v="14"/>
    <n v="960"/>
    <n v="833"/>
    <n v="127"/>
    <n v="304013"/>
  </r>
  <r>
    <x v="6"/>
    <x v="15"/>
    <n v="129"/>
    <n v="120"/>
    <n v="9"/>
    <n v="115538"/>
  </r>
  <r>
    <x v="6"/>
    <x v="16"/>
    <n v="129"/>
    <n v="111"/>
    <n v="18"/>
    <n v="38787"/>
  </r>
  <r>
    <x v="6"/>
    <x v="17"/>
    <n v="69"/>
    <n v="60"/>
    <n v="9"/>
    <n v="38675"/>
  </r>
  <r>
    <x v="6"/>
    <x v="18"/>
    <n v="50"/>
    <n v="47"/>
    <n v="3"/>
    <n v="44096"/>
  </r>
  <r>
    <x v="6"/>
    <x v="19"/>
    <n v="20"/>
    <n v="20"/>
    <n v="0"/>
    <n v="14577"/>
  </r>
  <r>
    <x v="6"/>
    <x v="20"/>
    <n v="176"/>
    <n v="160"/>
    <n v="16"/>
    <n v="67590"/>
  </r>
  <r>
    <x v="6"/>
    <x v="21"/>
    <n v="336"/>
    <n v="294"/>
    <n v="42"/>
    <n v="152293"/>
  </r>
  <r>
    <x v="6"/>
    <x v="22"/>
    <n v="11"/>
    <n v="11"/>
    <n v="0"/>
    <n v="10924"/>
  </r>
  <r>
    <x v="6"/>
    <x v="23"/>
    <n v="122"/>
    <n v="119"/>
    <n v="3"/>
    <n v="70828"/>
  </r>
  <r>
    <x v="6"/>
    <x v="24"/>
    <n v="242"/>
    <n v="207"/>
    <n v="35"/>
    <n v="84997"/>
  </r>
  <r>
    <x v="6"/>
    <x v="25"/>
    <n v="109"/>
    <n v="104"/>
    <n v="5"/>
    <n v="57628"/>
  </r>
  <r>
    <x v="6"/>
    <x v="26"/>
    <n v="19"/>
    <n v="17"/>
    <n v="2"/>
    <n v="11021"/>
  </r>
  <r>
    <x v="6"/>
    <x v="27"/>
    <n v="101"/>
    <n v="89"/>
    <n v="12"/>
    <n v="54635"/>
  </r>
  <r>
    <x v="6"/>
    <x v="28"/>
    <n v="294"/>
    <n v="259"/>
    <n v="35"/>
    <n v="147849"/>
  </r>
  <r>
    <x v="6"/>
    <x v="29"/>
    <n v="108"/>
    <n v="107"/>
    <n v="1"/>
    <n v="40646"/>
  </r>
  <r>
    <x v="6"/>
    <x v="30"/>
    <n v="156"/>
    <n v="144"/>
    <n v="12"/>
    <n v="45056"/>
  </r>
  <r>
    <x v="6"/>
    <x v="31"/>
    <n v="150"/>
    <n v="131"/>
    <n v="19"/>
    <n v="77834"/>
  </r>
  <r>
    <x v="7"/>
    <x v="0"/>
    <n v="350"/>
    <n v="300"/>
    <n v="50"/>
    <n v="115080"/>
  </r>
  <r>
    <x v="7"/>
    <x v="1"/>
    <n v="184"/>
    <n v="170"/>
    <n v="14"/>
    <n v="116421"/>
  </r>
  <r>
    <x v="7"/>
    <x v="2"/>
    <n v="98"/>
    <n v="93"/>
    <n v="5"/>
    <n v="55872"/>
  </r>
  <r>
    <x v="7"/>
    <x v="3"/>
    <n v="80"/>
    <n v="77"/>
    <n v="3"/>
    <n v="47780"/>
  </r>
  <r>
    <x v="7"/>
    <x v="4"/>
    <n v="579"/>
    <n v="490"/>
    <n v="89"/>
    <n v="244131"/>
  </r>
  <r>
    <x v="7"/>
    <x v="5"/>
    <n v="72"/>
    <n v="67"/>
    <n v="5"/>
    <n v="24221"/>
  </r>
  <r>
    <x v="7"/>
    <x v="6"/>
    <n v="118"/>
    <n v="105"/>
    <n v="13"/>
    <n v="74453"/>
  </r>
  <r>
    <x v="7"/>
    <x v="7"/>
    <n v="257"/>
    <n v="225"/>
    <n v="32"/>
    <n v="74026"/>
  </r>
  <r>
    <x v="7"/>
    <x v="8"/>
    <n v="146"/>
    <n v="138"/>
    <n v="8"/>
    <n v="57873"/>
  </r>
  <r>
    <x v="7"/>
    <x v="9"/>
    <n v="82"/>
    <n v="75"/>
    <n v="7"/>
    <n v="46026"/>
  </r>
  <r>
    <x v="7"/>
    <x v="10"/>
    <n v="59"/>
    <n v="52"/>
    <n v="7"/>
    <n v="46672"/>
  </r>
  <r>
    <x v="7"/>
    <x v="11"/>
    <n v="64"/>
    <n v="57"/>
    <n v="7"/>
    <n v="38389"/>
  </r>
  <r>
    <x v="7"/>
    <x v="12"/>
    <n v="117"/>
    <n v="107"/>
    <n v="10"/>
    <n v="73767"/>
  </r>
  <r>
    <x v="7"/>
    <x v="13"/>
    <n v="272"/>
    <n v="246"/>
    <n v="26"/>
    <n v="174528"/>
  </r>
  <r>
    <x v="7"/>
    <x v="14"/>
    <n v="929"/>
    <n v="811"/>
    <n v="118"/>
    <n v="306000"/>
  </r>
  <r>
    <x v="7"/>
    <x v="15"/>
    <n v="156"/>
    <n v="147"/>
    <n v="9"/>
    <n v="116453"/>
  </r>
  <r>
    <x v="7"/>
    <x v="16"/>
    <n v="131"/>
    <n v="119"/>
    <n v="12"/>
    <n v="38835"/>
  </r>
  <r>
    <x v="7"/>
    <x v="17"/>
    <n v="77"/>
    <n v="74"/>
    <n v="3"/>
    <n v="39297"/>
  </r>
  <r>
    <x v="7"/>
    <x v="18"/>
    <n v="55"/>
    <n v="51"/>
    <n v="4"/>
    <n v="44454"/>
  </r>
  <r>
    <x v="7"/>
    <x v="19"/>
    <n v="22"/>
    <n v="22"/>
    <n v="0"/>
    <n v="14599"/>
  </r>
  <r>
    <x v="7"/>
    <x v="20"/>
    <n v="167"/>
    <n v="156"/>
    <n v="11"/>
    <n v="67800"/>
  </r>
  <r>
    <x v="7"/>
    <x v="21"/>
    <n v="353"/>
    <n v="290"/>
    <n v="63"/>
    <n v="153388"/>
  </r>
  <r>
    <x v="7"/>
    <x v="22"/>
    <n v="7"/>
    <n v="7"/>
    <n v="0"/>
    <n v="11063"/>
  </r>
  <r>
    <x v="7"/>
    <x v="23"/>
    <n v="146"/>
    <n v="137"/>
    <n v="9"/>
    <n v="71347"/>
  </r>
  <r>
    <x v="7"/>
    <x v="24"/>
    <n v="205"/>
    <n v="178"/>
    <n v="27"/>
    <n v="85724"/>
  </r>
  <r>
    <x v="7"/>
    <x v="25"/>
    <n v="91"/>
    <n v="87"/>
    <n v="4"/>
    <n v="57940"/>
  </r>
  <r>
    <x v="7"/>
    <x v="26"/>
    <n v="9"/>
    <n v="7"/>
    <n v="2"/>
    <n v="11109"/>
  </r>
  <r>
    <x v="7"/>
    <x v="27"/>
    <n v="97"/>
    <n v="82"/>
    <n v="15"/>
    <n v="54942"/>
  </r>
  <r>
    <x v="7"/>
    <x v="28"/>
    <n v="250"/>
    <n v="222"/>
    <n v="28"/>
    <n v="148771"/>
  </r>
  <r>
    <x v="7"/>
    <x v="29"/>
    <n v="86"/>
    <n v="76"/>
    <n v="10"/>
    <n v="40998"/>
  </r>
  <r>
    <x v="7"/>
    <x v="30"/>
    <n v="143"/>
    <n v="130"/>
    <n v="13"/>
    <n v="45104"/>
  </r>
  <r>
    <x v="7"/>
    <x v="31"/>
    <n v="138"/>
    <n v="124"/>
    <n v="14"/>
    <n v="78604"/>
  </r>
  <r>
    <x v="8"/>
    <x v="0"/>
    <n v="277"/>
    <n v="240"/>
    <n v="37"/>
    <n v="116821"/>
  </r>
  <r>
    <x v="8"/>
    <x v="1"/>
    <n v="167"/>
    <n v="162"/>
    <n v="5"/>
    <n v="117363"/>
  </r>
  <r>
    <x v="8"/>
    <x v="2"/>
    <n v="79"/>
    <n v="76"/>
    <n v="3"/>
    <n v="56135"/>
  </r>
  <r>
    <x v="8"/>
    <x v="3"/>
    <n v="87"/>
    <n v="77"/>
    <n v="10"/>
    <n v="47884"/>
  </r>
  <r>
    <x v="8"/>
    <x v="4"/>
    <n v="526"/>
    <n v="463"/>
    <n v="63"/>
    <n v="246818"/>
  </r>
  <r>
    <x v="8"/>
    <x v="5"/>
    <n v="51"/>
    <n v="47"/>
    <n v="4"/>
    <n v="24377"/>
  </r>
  <r>
    <x v="8"/>
    <x v="6"/>
    <n v="103"/>
    <n v="89"/>
    <n v="14"/>
    <n v="74687"/>
  </r>
  <r>
    <x v="8"/>
    <x v="7"/>
    <n v="215"/>
    <n v="197"/>
    <n v="18"/>
    <n v="74354"/>
  </r>
  <r>
    <x v="8"/>
    <x v="8"/>
    <n v="87"/>
    <n v="76"/>
    <n v="11"/>
    <n v="58158"/>
  </r>
  <r>
    <x v="8"/>
    <x v="9"/>
    <n v="67"/>
    <n v="65"/>
    <n v="2"/>
    <n v="46430"/>
  </r>
  <r>
    <x v="8"/>
    <x v="10"/>
    <n v="76"/>
    <n v="69"/>
    <n v="7"/>
    <n v="47407"/>
  </r>
  <r>
    <x v="8"/>
    <x v="11"/>
    <n v="84"/>
    <n v="79"/>
    <n v="5"/>
    <n v="38677"/>
  </r>
  <r>
    <x v="8"/>
    <x v="12"/>
    <n v="122"/>
    <n v="106"/>
    <n v="16"/>
    <n v="74361"/>
  </r>
  <r>
    <x v="8"/>
    <x v="13"/>
    <n v="304"/>
    <n v="287"/>
    <n v="17"/>
    <n v="175915"/>
  </r>
  <r>
    <x v="8"/>
    <x v="14"/>
    <n v="962"/>
    <n v="847"/>
    <n v="115"/>
    <n v="308293"/>
  </r>
  <r>
    <x v="8"/>
    <x v="15"/>
    <n v="150"/>
    <n v="143"/>
    <n v="7"/>
    <n v="117291"/>
  </r>
  <r>
    <x v="8"/>
    <x v="16"/>
    <n v="103"/>
    <n v="84"/>
    <n v="19"/>
    <n v="38848"/>
  </r>
  <r>
    <x v="8"/>
    <x v="17"/>
    <n v="70"/>
    <n v="60"/>
    <n v="10"/>
    <n v="39937"/>
  </r>
  <r>
    <x v="8"/>
    <x v="18"/>
    <n v="39"/>
    <n v="35"/>
    <n v="4"/>
    <n v="44838"/>
  </r>
  <r>
    <x v="8"/>
    <x v="19"/>
    <n v="15"/>
    <n v="14"/>
    <n v="1"/>
    <n v="14714"/>
  </r>
  <r>
    <x v="8"/>
    <x v="20"/>
    <n v="162"/>
    <n v="147"/>
    <n v="15"/>
    <n v="67960"/>
  </r>
  <r>
    <x v="8"/>
    <x v="21"/>
    <n v="307"/>
    <n v="262"/>
    <n v="45"/>
    <n v="154286"/>
  </r>
  <r>
    <x v="8"/>
    <x v="22"/>
    <n v="6"/>
    <n v="6"/>
    <n v="0"/>
    <n v="11192"/>
  </r>
  <r>
    <x v="8"/>
    <x v="23"/>
    <n v="116"/>
    <n v="113"/>
    <n v="3"/>
    <n v="71810"/>
  </r>
  <r>
    <x v="8"/>
    <x v="24"/>
    <n v="223"/>
    <n v="191"/>
    <n v="32"/>
    <n v="86449"/>
  </r>
  <r>
    <x v="8"/>
    <x v="25"/>
    <n v="100"/>
    <n v="92"/>
    <n v="8"/>
    <n v="58167"/>
  </r>
  <r>
    <x v="8"/>
    <x v="26"/>
    <n v="13"/>
    <n v="12"/>
    <n v="1"/>
    <n v="11180"/>
  </r>
  <r>
    <x v="8"/>
    <x v="27"/>
    <n v="106"/>
    <n v="96"/>
    <n v="10"/>
    <n v="55252"/>
  </r>
  <r>
    <x v="8"/>
    <x v="28"/>
    <n v="278"/>
    <n v="244"/>
    <n v="34"/>
    <n v="149972"/>
  </r>
  <r>
    <x v="8"/>
    <x v="29"/>
    <n v="89"/>
    <n v="82"/>
    <n v="7"/>
    <n v="41250"/>
  </r>
  <r>
    <x v="8"/>
    <x v="30"/>
    <n v="158"/>
    <n v="141"/>
    <n v="17"/>
    <n v="45093"/>
  </r>
  <r>
    <x v="8"/>
    <x v="31"/>
    <n v="169"/>
    <n v="149"/>
    <n v="20"/>
    <n v="79112"/>
  </r>
  <r>
    <x v="9"/>
    <x v="0"/>
    <n v="289"/>
    <n v="262"/>
    <n v="27"/>
    <n v="118131"/>
  </r>
  <r>
    <x v="9"/>
    <x v="1"/>
    <n v="170"/>
    <n v="163"/>
    <n v="7"/>
    <n v="118197"/>
  </r>
  <r>
    <x v="9"/>
    <x v="2"/>
    <n v="83"/>
    <n v="80"/>
    <n v="3"/>
    <n v="56485"/>
  </r>
  <r>
    <x v="9"/>
    <x v="3"/>
    <n v="91"/>
    <n v="85"/>
    <n v="6"/>
    <n v="48020"/>
  </r>
  <r>
    <x v="9"/>
    <x v="4"/>
    <n v="515"/>
    <n v="448"/>
    <n v="67"/>
    <n v="249810"/>
  </r>
  <r>
    <x v="9"/>
    <x v="5"/>
    <n v="46"/>
    <n v="45"/>
    <n v="1"/>
    <n v="24524"/>
  </r>
  <r>
    <x v="9"/>
    <x v="6"/>
    <n v="84"/>
    <n v="76"/>
    <n v="8"/>
    <n v="74823"/>
  </r>
  <r>
    <x v="9"/>
    <x v="7"/>
    <n v="203"/>
    <n v="182"/>
    <n v="21"/>
    <n v="74531"/>
  </r>
  <r>
    <x v="9"/>
    <x v="8"/>
    <n v="88"/>
    <n v="83"/>
    <n v="5"/>
    <n v="58453"/>
  </r>
  <r>
    <x v="9"/>
    <x v="9"/>
    <n v="70"/>
    <n v="64"/>
    <n v="6"/>
    <n v="46721"/>
  </r>
  <r>
    <x v="9"/>
    <x v="10"/>
    <n v="75"/>
    <n v="69"/>
    <n v="6"/>
    <n v="48055"/>
  </r>
  <r>
    <x v="9"/>
    <x v="11"/>
    <n v="60"/>
    <n v="60"/>
    <n v="0"/>
    <n v="38902"/>
  </r>
  <r>
    <x v="9"/>
    <x v="12"/>
    <n v="126"/>
    <n v="112"/>
    <n v="14"/>
    <n v="74826"/>
  </r>
  <r>
    <x v="9"/>
    <x v="13"/>
    <n v="267"/>
    <n v="244"/>
    <n v="23"/>
    <n v="177084"/>
  </r>
  <r>
    <x v="9"/>
    <x v="14"/>
    <n v="895"/>
    <n v="784"/>
    <n v="111"/>
    <n v="311447"/>
  </r>
  <r>
    <x v="9"/>
    <x v="15"/>
    <n v="152"/>
    <n v="145"/>
    <n v="7"/>
    <n v="118117"/>
  </r>
  <r>
    <x v="9"/>
    <x v="16"/>
    <n v="92"/>
    <n v="77"/>
    <n v="15"/>
    <n v="38985"/>
  </r>
  <r>
    <x v="9"/>
    <x v="17"/>
    <n v="57"/>
    <n v="52"/>
    <n v="5"/>
    <n v="40612"/>
  </r>
  <r>
    <x v="9"/>
    <x v="18"/>
    <n v="58"/>
    <n v="55"/>
    <n v="3"/>
    <n v="45209"/>
  </r>
  <r>
    <x v="9"/>
    <x v="19"/>
    <n v="23"/>
    <n v="22"/>
    <n v="1"/>
    <n v="14706"/>
  </r>
  <r>
    <x v="9"/>
    <x v="20"/>
    <n v="180"/>
    <n v="163"/>
    <n v="17"/>
    <n v="68158"/>
  </r>
  <r>
    <x v="9"/>
    <x v="21"/>
    <n v="343"/>
    <n v="296"/>
    <n v="47"/>
    <n v="155364"/>
  </r>
  <r>
    <x v="9"/>
    <x v="22"/>
    <n v="7"/>
    <n v="7"/>
    <n v="0"/>
    <n v="11261"/>
  </r>
  <r>
    <x v="9"/>
    <x v="23"/>
    <n v="113"/>
    <n v="111"/>
    <n v="2"/>
    <n v="72441"/>
  </r>
  <r>
    <x v="9"/>
    <x v="24"/>
    <n v="220"/>
    <n v="199"/>
    <n v="21"/>
    <n v="87265"/>
  </r>
  <r>
    <x v="9"/>
    <x v="25"/>
    <n v="104"/>
    <n v="92"/>
    <n v="12"/>
    <n v="58425"/>
  </r>
  <r>
    <x v="9"/>
    <x v="26"/>
    <n v="4"/>
    <n v="4"/>
    <n v="0"/>
    <n v="11270"/>
  </r>
  <r>
    <x v="9"/>
    <x v="27"/>
    <n v="95"/>
    <n v="84"/>
    <n v="11"/>
    <n v="55486"/>
  </r>
  <r>
    <x v="9"/>
    <x v="28"/>
    <n v="259"/>
    <n v="232"/>
    <n v="27"/>
    <n v="151352"/>
  </r>
  <r>
    <x v="9"/>
    <x v="29"/>
    <n v="70"/>
    <n v="64"/>
    <n v="6"/>
    <n v="41443"/>
  </r>
  <r>
    <x v="9"/>
    <x v="30"/>
    <n v="146"/>
    <n v="135"/>
    <n v="11"/>
    <n v="45228"/>
  </r>
  <r>
    <x v="9"/>
    <x v="31"/>
    <n v="160"/>
    <n v="140"/>
    <n v="20"/>
    <n v="79854"/>
  </r>
  <r>
    <x v="10"/>
    <x v="0"/>
    <n v="292"/>
    <n v="257"/>
    <n v="35"/>
    <n v="119523"/>
  </r>
  <r>
    <x v="10"/>
    <x v="1"/>
    <n v="167"/>
    <n v="160"/>
    <n v="7"/>
    <n v="119196"/>
  </r>
  <r>
    <x v="10"/>
    <x v="2"/>
    <n v="89"/>
    <n v="79"/>
    <n v="10"/>
    <n v="56928"/>
  </r>
  <r>
    <x v="10"/>
    <x v="3"/>
    <n v="88"/>
    <n v="84"/>
    <n v="4"/>
    <n v="48134"/>
  </r>
  <r>
    <x v="10"/>
    <x v="4"/>
    <n v="483"/>
    <n v="438"/>
    <n v="45"/>
    <n v="252731"/>
  </r>
  <r>
    <x v="10"/>
    <x v="5"/>
    <n v="50"/>
    <n v="40"/>
    <n v="10"/>
    <n v="24716"/>
  </r>
  <r>
    <x v="10"/>
    <x v="6"/>
    <n v="98"/>
    <n v="94"/>
    <n v="4"/>
    <n v="75089"/>
  </r>
  <r>
    <x v="10"/>
    <x v="7"/>
    <n v="188"/>
    <n v="175"/>
    <n v="13"/>
    <n v="74891"/>
  </r>
  <r>
    <x v="10"/>
    <x v="8"/>
    <n v="107"/>
    <n v="87"/>
    <n v="20"/>
    <n v="58628"/>
  </r>
  <r>
    <x v="10"/>
    <x v="9"/>
    <n v="70"/>
    <n v="62"/>
    <n v="8"/>
    <n v="46986"/>
  </r>
  <r>
    <x v="10"/>
    <x v="10"/>
    <n v="59"/>
    <n v="57"/>
    <n v="2"/>
    <n v="48851"/>
  </r>
  <r>
    <x v="10"/>
    <x v="11"/>
    <n v="67"/>
    <n v="67"/>
    <n v="0"/>
    <n v="39144"/>
  </r>
  <r>
    <x v="10"/>
    <x v="12"/>
    <n v="117"/>
    <n v="103"/>
    <n v="14"/>
    <n v="75226"/>
  </r>
  <r>
    <x v="10"/>
    <x v="13"/>
    <n v="236"/>
    <n v="218"/>
    <n v="18"/>
    <n v="178183"/>
  </r>
  <r>
    <x v="10"/>
    <x v="14"/>
    <n v="903"/>
    <n v="768"/>
    <n v="135"/>
    <n v="314604"/>
  </r>
  <r>
    <x v="10"/>
    <x v="15"/>
    <n v="121"/>
    <n v="113"/>
    <n v="8"/>
    <n v="119061"/>
  </r>
  <r>
    <x v="10"/>
    <x v="16"/>
    <n v="89"/>
    <n v="76"/>
    <n v="13"/>
    <n v="38977"/>
  </r>
  <r>
    <x v="10"/>
    <x v="17"/>
    <n v="74"/>
    <n v="71"/>
    <n v="3"/>
    <n v="41226"/>
  </r>
  <r>
    <x v="10"/>
    <x v="18"/>
    <n v="82"/>
    <n v="78"/>
    <n v="4"/>
    <n v="45630"/>
  </r>
  <r>
    <x v="10"/>
    <x v="19"/>
    <n v="20"/>
    <n v="20"/>
    <n v="0"/>
    <n v="14734"/>
  </r>
  <r>
    <x v="10"/>
    <x v="20"/>
    <n v="168"/>
    <n v="150"/>
    <n v="18"/>
    <n v="68496"/>
  </r>
  <r>
    <x v="10"/>
    <x v="21"/>
    <n v="276"/>
    <n v="227"/>
    <n v="49"/>
    <n v="156694"/>
  </r>
  <r>
    <x v="10"/>
    <x v="22"/>
    <n v="11"/>
    <n v="11"/>
    <n v="0"/>
    <n v="11322"/>
  </r>
  <r>
    <x v="10"/>
    <x v="23"/>
    <n v="111"/>
    <n v="106"/>
    <n v="5"/>
    <n v="73267"/>
  </r>
  <r>
    <x v="10"/>
    <x v="24"/>
    <n v="164"/>
    <n v="142"/>
    <n v="22"/>
    <n v="88086"/>
  </r>
  <r>
    <x v="10"/>
    <x v="25"/>
    <n v="102"/>
    <n v="96"/>
    <n v="6"/>
    <n v="58671"/>
  </r>
  <r>
    <x v="10"/>
    <x v="26"/>
    <n v="12"/>
    <n v="12"/>
    <n v="0"/>
    <n v="11305"/>
  </r>
  <r>
    <x v="10"/>
    <x v="27"/>
    <n v="98"/>
    <n v="86"/>
    <n v="12"/>
    <n v="55668"/>
  </r>
  <r>
    <x v="10"/>
    <x v="28"/>
    <n v="249"/>
    <n v="228"/>
    <n v="21"/>
    <n v="152998"/>
  </r>
  <r>
    <x v="10"/>
    <x v="29"/>
    <n v="52"/>
    <n v="44"/>
    <n v="8"/>
    <n v="41638"/>
  </r>
  <r>
    <x v="10"/>
    <x v="30"/>
    <n v="115"/>
    <n v="103"/>
    <n v="12"/>
    <n v="45357"/>
  </r>
  <r>
    <x v="10"/>
    <x v="31"/>
    <n v="131"/>
    <n v="112"/>
    <n v="19"/>
    <n v="80911"/>
  </r>
  <r>
    <x v="10"/>
    <x v="32"/>
    <n v="1"/>
    <n v="1"/>
    <n v="0"/>
    <m/>
  </r>
  <r>
    <x v="11"/>
    <x v="0"/>
    <n v="243"/>
    <n v="222"/>
    <n v="21"/>
    <n v="120980"/>
  </r>
  <r>
    <x v="11"/>
    <x v="1"/>
    <n v="172"/>
    <n v="164"/>
    <n v="8"/>
    <n v="119854"/>
  </r>
  <r>
    <x v="11"/>
    <x v="2"/>
    <n v="80"/>
    <n v="74"/>
    <n v="6"/>
    <n v="57206"/>
  </r>
  <r>
    <x v="11"/>
    <x v="3"/>
    <n v="86"/>
    <n v="84"/>
    <n v="2"/>
    <n v="48199"/>
  </r>
  <r>
    <x v="11"/>
    <x v="4"/>
    <n v="422"/>
    <n v="369"/>
    <n v="53"/>
    <n v="254929"/>
  </r>
  <r>
    <x v="11"/>
    <x v="5"/>
    <n v="55"/>
    <n v="54"/>
    <n v="1"/>
    <n v="24838"/>
  </r>
  <r>
    <x v="11"/>
    <x v="6"/>
    <n v="74"/>
    <n v="69"/>
    <n v="5"/>
    <n v="75298"/>
  </r>
  <r>
    <x v="11"/>
    <x v="7"/>
    <n v="209"/>
    <n v="186"/>
    <n v="23"/>
    <n v="75027"/>
  </r>
  <r>
    <x v="11"/>
    <x v="8"/>
    <n v="109"/>
    <n v="95"/>
    <n v="14"/>
    <n v="58821"/>
  </r>
  <r>
    <x v="11"/>
    <x v="9"/>
    <n v="74"/>
    <n v="65"/>
    <n v="9"/>
    <n v="47251"/>
  </r>
  <r>
    <x v="11"/>
    <x v="10"/>
    <n v="49"/>
    <n v="46"/>
    <n v="3"/>
    <n v="49642"/>
  </r>
  <r>
    <x v="11"/>
    <x v="11"/>
    <n v="53"/>
    <n v="49"/>
    <n v="4"/>
    <n v="39453"/>
  </r>
  <r>
    <x v="11"/>
    <x v="12"/>
    <n v="109"/>
    <n v="99"/>
    <n v="10"/>
    <n v="75595"/>
  </r>
  <r>
    <x v="11"/>
    <x v="13"/>
    <n v="247"/>
    <n v="227"/>
    <n v="20"/>
    <n v="179232"/>
  </r>
  <r>
    <x v="11"/>
    <x v="14"/>
    <n v="795"/>
    <n v="685"/>
    <n v="110"/>
    <n v="317193"/>
  </r>
  <r>
    <x v="11"/>
    <x v="15"/>
    <n v="132"/>
    <n v="126"/>
    <n v="6"/>
    <n v="119918"/>
  </r>
  <r>
    <x v="11"/>
    <x v="16"/>
    <n v="110"/>
    <n v="88"/>
    <n v="22"/>
    <n v="39107"/>
  </r>
  <r>
    <x v="11"/>
    <x v="17"/>
    <n v="59"/>
    <n v="57"/>
    <n v="2"/>
    <n v="41657"/>
  </r>
  <r>
    <x v="11"/>
    <x v="18"/>
    <n v="51"/>
    <n v="50"/>
    <n v="1"/>
    <n v="45838"/>
  </r>
  <r>
    <x v="11"/>
    <x v="19"/>
    <n v="22"/>
    <n v="21"/>
    <n v="1"/>
    <n v="14764"/>
  </r>
  <r>
    <x v="11"/>
    <x v="20"/>
    <n v="153"/>
    <n v="136"/>
    <n v="17"/>
    <n v="68843"/>
  </r>
  <r>
    <x v="11"/>
    <x v="21"/>
    <n v="318"/>
    <n v="279"/>
    <n v="39"/>
    <n v="157625"/>
  </r>
  <r>
    <x v="11"/>
    <x v="22"/>
    <n v="4"/>
    <n v="4"/>
    <n v="0"/>
    <n v="11391"/>
  </r>
  <r>
    <x v="11"/>
    <x v="23"/>
    <n v="104"/>
    <n v="97"/>
    <n v="7"/>
    <n v="73775"/>
  </r>
  <r>
    <x v="11"/>
    <x v="24"/>
    <n v="185"/>
    <n v="151"/>
    <n v="34"/>
    <n v="88624"/>
  </r>
  <r>
    <x v="11"/>
    <x v="25"/>
    <n v="85"/>
    <n v="77"/>
    <n v="8"/>
    <n v="58814"/>
  </r>
  <r>
    <x v="11"/>
    <x v="26"/>
    <n v="25"/>
    <n v="24"/>
    <n v="1"/>
    <n v="11374"/>
  </r>
  <r>
    <x v="11"/>
    <x v="27"/>
    <n v="90"/>
    <n v="73"/>
    <n v="17"/>
    <n v="55793"/>
  </r>
  <r>
    <x v="11"/>
    <x v="28"/>
    <n v="255"/>
    <n v="221"/>
    <n v="34"/>
    <n v="153863"/>
  </r>
  <r>
    <x v="11"/>
    <x v="29"/>
    <n v="59"/>
    <n v="48"/>
    <n v="11"/>
    <n v="41950"/>
  </r>
  <r>
    <x v="11"/>
    <x v="30"/>
    <n v="117"/>
    <n v="102"/>
    <n v="15"/>
    <n v="45148"/>
  </r>
  <r>
    <x v="11"/>
    <x v="31"/>
    <n v="115"/>
    <n v="99"/>
    <n v="16"/>
    <n v="81723"/>
  </r>
</pivotCacheRecords>
</file>

<file path=xl/pivotCache/pivotCacheRecords50.xml><?xml version="1.0" encoding="utf-8"?>
<pivotCacheRecords xmlns="http://schemas.openxmlformats.org/spreadsheetml/2006/main" xmlns:r="http://schemas.openxmlformats.org/officeDocument/2006/relationships" count="1021">
  <r>
    <x v="0"/>
    <x v="0"/>
    <x v="0"/>
    <n v="56"/>
    <n v="50"/>
    <n v="2"/>
    <n v="3"/>
    <n v="1"/>
  </r>
  <r>
    <x v="0"/>
    <x v="0"/>
    <x v="1"/>
    <n v="51"/>
    <n v="33"/>
    <n v="9"/>
    <n v="6"/>
    <n v="3"/>
  </r>
  <r>
    <x v="0"/>
    <x v="0"/>
    <x v="2"/>
    <n v="21"/>
    <n v="17"/>
    <n v="1"/>
    <n v="3"/>
    <m/>
  </r>
  <r>
    <x v="0"/>
    <x v="0"/>
    <x v="3"/>
    <n v="3"/>
    <n v="2"/>
    <m/>
    <n v="1"/>
    <m/>
  </r>
  <r>
    <x v="0"/>
    <x v="0"/>
    <x v="4"/>
    <n v="163"/>
    <n v="143"/>
    <n v="14"/>
    <n v="5"/>
    <n v="1"/>
  </r>
  <r>
    <x v="0"/>
    <x v="0"/>
    <x v="5"/>
    <n v="10"/>
    <n v="10"/>
    <m/>
    <m/>
    <m/>
  </r>
  <r>
    <x v="0"/>
    <x v="0"/>
    <x v="6"/>
    <n v="17"/>
    <n v="11"/>
    <n v="3"/>
    <n v="2"/>
    <n v="1"/>
  </r>
  <r>
    <x v="0"/>
    <x v="0"/>
    <x v="7"/>
    <n v="44"/>
    <n v="42"/>
    <n v="2"/>
    <m/>
    <m/>
  </r>
  <r>
    <x v="0"/>
    <x v="0"/>
    <x v="8"/>
    <n v="15"/>
    <n v="13"/>
    <n v="1"/>
    <m/>
    <n v="1"/>
  </r>
  <r>
    <x v="0"/>
    <x v="0"/>
    <x v="9"/>
    <n v="5"/>
    <n v="4"/>
    <n v="1"/>
    <m/>
    <m/>
  </r>
  <r>
    <x v="0"/>
    <x v="0"/>
    <x v="10"/>
    <n v="24"/>
    <n v="20"/>
    <n v="1"/>
    <n v="3"/>
    <m/>
  </r>
  <r>
    <x v="0"/>
    <x v="0"/>
    <x v="11"/>
    <n v="5"/>
    <m/>
    <n v="2"/>
    <n v="3"/>
    <m/>
  </r>
  <r>
    <x v="0"/>
    <x v="0"/>
    <x v="12"/>
    <n v="18"/>
    <n v="14"/>
    <n v="2"/>
    <n v="2"/>
    <m/>
  </r>
  <r>
    <x v="0"/>
    <x v="0"/>
    <x v="13"/>
    <n v="58"/>
    <n v="43"/>
    <n v="5"/>
    <n v="6"/>
    <n v="4"/>
  </r>
  <r>
    <x v="0"/>
    <x v="0"/>
    <x v="14"/>
    <n v="115"/>
    <n v="102"/>
    <n v="8"/>
    <n v="4"/>
    <n v="1"/>
  </r>
  <r>
    <x v="0"/>
    <x v="0"/>
    <x v="15"/>
    <n v="26"/>
    <n v="19"/>
    <n v="3"/>
    <n v="2"/>
    <n v="2"/>
  </r>
  <r>
    <x v="0"/>
    <x v="0"/>
    <x v="16"/>
    <n v="31"/>
    <n v="30"/>
    <m/>
    <m/>
    <n v="1"/>
  </r>
  <r>
    <x v="0"/>
    <x v="0"/>
    <x v="17"/>
    <n v="21"/>
    <n v="14"/>
    <n v="2"/>
    <n v="3"/>
    <n v="2"/>
  </r>
  <r>
    <x v="0"/>
    <x v="0"/>
    <x v="18"/>
    <n v="31"/>
    <n v="20"/>
    <n v="1"/>
    <n v="6"/>
    <n v="4"/>
  </r>
  <r>
    <x v="0"/>
    <x v="0"/>
    <x v="19"/>
    <n v="11"/>
    <n v="10"/>
    <n v="1"/>
    <m/>
    <m/>
  </r>
  <r>
    <x v="0"/>
    <x v="0"/>
    <x v="20"/>
    <n v="18"/>
    <n v="16"/>
    <n v="1"/>
    <m/>
    <n v="1"/>
  </r>
  <r>
    <x v="0"/>
    <x v="0"/>
    <x v="21"/>
    <n v="32"/>
    <n v="27"/>
    <n v="2"/>
    <n v="2"/>
    <n v="1"/>
  </r>
  <r>
    <x v="0"/>
    <x v="0"/>
    <x v="22"/>
    <n v="1"/>
    <n v="1"/>
    <m/>
    <m/>
    <m/>
  </r>
  <r>
    <x v="0"/>
    <x v="0"/>
    <x v="23"/>
    <n v="20"/>
    <n v="9"/>
    <n v="9"/>
    <m/>
    <n v="2"/>
  </r>
  <r>
    <x v="0"/>
    <x v="0"/>
    <x v="24"/>
    <n v="18"/>
    <n v="11"/>
    <n v="3"/>
    <n v="4"/>
    <m/>
  </r>
  <r>
    <x v="0"/>
    <x v="0"/>
    <x v="25"/>
    <n v="29"/>
    <n v="25"/>
    <n v="1"/>
    <n v="3"/>
    <m/>
  </r>
  <r>
    <x v="0"/>
    <x v="0"/>
    <x v="26"/>
    <n v="8"/>
    <n v="8"/>
    <m/>
    <m/>
    <m/>
  </r>
  <r>
    <x v="0"/>
    <x v="0"/>
    <x v="27"/>
    <n v="31"/>
    <n v="31"/>
    <m/>
    <m/>
    <m/>
  </r>
  <r>
    <x v="0"/>
    <x v="0"/>
    <x v="28"/>
    <n v="12"/>
    <n v="9"/>
    <n v="3"/>
    <m/>
    <m/>
  </r>
  <r>
    <x v="0"/>
    <x v="0"/>
    <x v="29"/>
    <n v="12"/>
    <n v="11"/>
    <m/>
    <m/>
    <n v="1"/>
  </r>
  <r>
    <x v="0"/>
    <x v="0"/>
    <x v="30"/>
    <n v="50"/>
    <n v="42"/>
    <n v="7"/>
    <n v="1"/>
    <m/>
  </r>
  <r>
    <x v="0"/>
    <x v="1"/>
    <x v="0"/>
    <n v="69"/>
    <n v="62"/>
    <n v="4"/>
    <n v="2"/>
    <n v="1"/>
  </r>
  <r>
    <x v="0"/>
    <x v="1"/>
    <x v="1"/>
    <n v="36"/>
    <n v="26"/>
    <n v="6"/>
    <n v="4"/>
    <m/>
  </r>
  <r>
    <x v="0"/>
    <x v="1"/>
    <x v="2"/>
    <n v="10"/>
    <n v="9"/>
    <m/>
    <m/>
    <n v="1"/>
  </r>
  <r>
    <x v="0"/>
    <x v="1"/>
    <x v="3"/>
    <n v="11"/>
    <n v="11"/>
    <m/>
    <m/>
    <m/>
  </r>
  <r>
    <x v="0"/>
    <x v="1"/>
    <x v="4"/>
    <n v="213"/>
    <n v="199"/>
    <n v="13"/>
    <m/>
    <n v="1"/>
  </r>
  <r>
    <x v="0"/>
    <x v="1"/>
    <x v="5"/>
    <n v="6"/>
    <n v="4"/>
    <n v="1"/>
    <m/>
    <n v="1"/>
  </r>
  <r>
    <x v="0"/>
    <x v="1"/>
    <x v="6"/>
    <n v="12"/>
    <n v="9"/>
    <n v="2"/>
    <n v="1"/>
    <m/>
  </r>
  <r>
    <x v="0"/>
    <x v="1"/>
    <x v="7"/>
    <n v="38"/>
    <n v="34"/>
    <n v="3"/>
    <m/>
    <n v="1"/>
  </r>
  <r>
    <x v="0"/>
    <x v="1"/>
    <x v="8"/>
    <n v="14"/>
    <n v="12"/>
    <n v="2"/>
    <m/>
    <m/>
  </r>
  <r>
    <x v="0"/>
    <x v="1"/>
    <x v="9"/>
    <n v="11"/>
    <n v="6"/>
    <n v="5"/>
    <m/>
    <m/>
  </r>
  <r>
    <x v="0"/>
    <x v="1"/>
    <x v="10"/>
    <n v="17"/>
    <n v="16"/>
    <m/>
    <m/>
    <n v="1"/>
  </r>
  <r>
    <x v="0"/>
    <x v="1"/>
    <x v="11"/>
    <n v="15"/>
    <n v="14"/>
    <m/>
    <n v="1"/>
    <m/>
  </r>
  <r>
    <x v="0"/>
    <x v="1"/>
    <x v="12"/>
    <n v="24"/>
    <n v="18"/>
    <n v="3"/>
    <n v="1"/>
    <n v="2"/>
  </r>
  <r>
    <x v="0"/>
    <x v="1"/>
    <x v="13"/>
    <n v="52"/>
    <n v="40"/>
    <n v="6"/>
    <n v="1"/>
    <n v="5"/>
  </r>
  <r>
    <x v="0"/>
    <x v="1"/>
    <x v="14"/>
    <n v="133"/>
    <n v="120"/>
    <n v="12"/>
    <n v="1"/>
    <m/>
  </r>
  <r>
    <x v="0"/>
    <x v="1"/>
    <x v="15"/>
    <n v="39"/>
    <n v="28"/>
    <n v="2"/>
    <n v="2"/>
    <n v="7"/>
  </r>
  <r>
    <x v="0"/>
    <x v="1"/>
    <x v="16"/>
    <n v="21"/>
    <n v="17"/>
    <n v="3"/>
    <m/>
    <n v="1"/>
  </r>
  <r>
    <x v="0"/>
    <x v="1"/>
    <x v="17"/>
    <n v="15"/>
    <n v="14"/>
    <m/>
    <m/>
    <n v="1"/>
  </r>
  <r>
    <x v="0"/>
    <x v="1"/>
    <x v="18"/>
    <n v="41"/>
    <n v="34"/>
    <n v="3"/>
    <n v="2"/>
    <n v="2"/>
  </r>
  <r>
    <x v="0"/>
    <x v="1"/>
    <x v="19"/>
    <n v="3"/>
    <n v="3"/>
    <m/>
    <m/>
    <m/>
  </r>
  <r>
    <x v="0"/>
    <x v="1"/>
    <x v="20"/>
    <n v="33"/>
    <n v="32"/>
    <n v="1"/>
    <m/>
    <m/>
  </r>
  <r>
    <x v="0"/>
    <x v="1"/>
    <x v="21"/>
    <n v="50"/>
    <n v="45"/>
    <n v="2"/>
    <n v="3"/>
    <m/>
  </r>
  <r>
    <x v="0"/>
    <x v="1"/>
    <x v="22"/>
    <n v="1"/>
    <m/>
    <m/>
    <n v="1"/>
    <m/>
  </r>
  <r>
    <x v="0"/>
    <x v="1"/>
    <x v="23"/>
    <n v="19"/>
    <n v="15"/>
    <n v="1"/>
    <n v="3"/>
    <m/>
  </r>
  <r>
    <x v="0"/>
    <x v="1"/>
    <x v="24"/>
    <n v="53"/>
    <n v="42"/>
    <n v="3"/>
    <n v="6"/>
    <n v="2"/>
  </r>
  <r>
    <x v="0"/>
    <x v="1"/>
    <x v="25"/>
    <n v="25"/>
    <n v="20"/>
    <n v="1"/>
    <n v="3"/>
    <n v="1"/>
  </r>
  <r>
    <x v="0"/>
    <x v="1"/>
    <x v="31"/>
    <n v="3"/>
    <n v="2"/>
    <m/>
    <m/>
    <n v="1"/>
  </r>
  <r>
    <x v="0"/>
    <x v="1"/>
    <x v="26"/>
    <n v="24"/>
    <n v="22"/>
    <n v="1"/>
    <m/>
    <n v="1"/>
  </r>
  <r>
    <x v="0"/>
    <x v="1"/>
    <x v="27"/>
    <n v="38"/>
    <n v="31"/>
    <n v="2"/>
    <n v="4"/>
    <n v="1"/>
  </r>
  <r>
    <x v="0"/>
    <x v="1"/>
    <x v="28"/>
    <n v="10"/>
    <n v="6"/>
    <n v="1"/>
    <n v="1"/>
    <n v="2"/>
  </r>
  <r>
    <x v="0"/>
    <x v="1"/>
    <x v="29"/>
    <n v="9"/>
    <n v="9"/>
    <m/>
    <m/>
    <m/>
  </r>
  <r>
    <x v="0"/>
    <x v="1"/>
    <x v="30"/>
    <n v="49"/>
    <n v="34"/>
    <n v="12"/>
    <n v="1"/>
    <n v="2"/>
  </r>
  <r>
    <x v="0"/>
    <x v="2"/>
    <x v="0"/>
    <n v="75"/>
    <n v="68"/>
    <n v="1"/>
    <n v="4"/>
    <n v="2"/>
  </r>
  <r>
    <x v="0"/>
    <x v="2"/>
    <x v="1"/>
    <n v="31"/>
    <n v="18"/>
    <n v="6"/>
    <n v="5"/>
    <n v="2"/>
  </r>
  <r>
    <x v="0"/>
    <x v="2"/>
    <x v="2"/>
    <n v="17"/>
    <n v="10"/>
    <n v="3"/>
    <n v="2"/>
    <n v="2"/>
  </r>
  <r>
    <x v="0"/>
    <x v="2"/>
    <x v="3"/>
    <n v="4"/>
    <n v="4"/>
    <m/>
    <m/>
    <m/>
  </r>
  <r>
    <x v="0"/>
    <x v="2"/>
    <x v="4"/>
    <n v="207"/>
    <n v="193"/>
    <n v="13"/>
    <n v="1"/>
    <m/>
  </r>
  <r>
    <x v="0"/>
    <x v="2"/>
    <x v="5"/>
    <n v="14"/>
    <n v="14"/>
    <m/>
    <m/>
    <m/>
  </r>
  <r>
    <x v="0"/>
    <x v="2"/>
    <x v="6"/>
    <n v="22"/>
    <n v="22"/>
    <m/>
    <m/>
    <m/>
  </r>
  <r>
    <x v="0"/>
    <x v="2"/>
    <x v="7"/>
    <n v="39"/>
    <n v="32"/>
    <n v="5"/>
    <m/>
    <n v="2"/>
  </r>
  <r>
    <x v="0"/>
    <x v="2"/>
    <x v="8"/>
    <n v="15"/>
    <n v="15"/>
    <m/>
    <m/>
    <m/>
  </r>
  <r>
    <x v="0"/>
    <x v="2"/>
    <x v="9"/>
    <n v="4"/>
    <n v="3"/>
    <n v="1"/>
    <m/>
    <m/>
  </r>
  <r>
    <x v="0"/>
    <x v="2"/>
    <x v="10"/>
    <n v="21"/>
    <n v="17"/>
    <n v="4"/>
    <m/>
    <m/>
  </r>
  <r>
    <x v="0"/>
    <x v="2"/>
    <x v="11"/>
    <n v="17"/>
    <n v="16"/>
    <m/>
    <n v="1"/>
    <m/>
  </r>
  <r>
    <x v="0"/>
    <x v="2"/>
    <x v="12"/>
    <n v="15"/>
    <n v="12"/>
    <m/>
    <n v="3"/>
    <m/>
  </r>
  <r>
    <x v="0"/>
    <x v="2"/>
    <x v="13"/>
    <n v="52"/>
    <n v="42"/>
    <n v="2"/>
    <n v="2"/>
    <n v="6"/>
  </r>
  <r>
    <x v="0"/>
    <x v="2"/>
    <x v="14"/>
    <n v="153"/>
    <n v="138"/>
    <n v="14"/>
    <m/>
    <n v="1"/>
  </r>
  <r>
    <x v="0"/>
    <x v="2"/>
    <x v="15"/>
    <n v="45"/>
    <n v="35"/>
    <n v="3"/>
    <n v="6"/>
    <n v="1"/>
  </r>
  <r>
    <x v="0"/>
    <x v="2"/>
    <x v="16"/>
    <n v="14"/>
    <n v="14"/>
    <m/>
    <m/>
    <m/>
  </r>
  <r>
    <x v="0"/>
    <x v="2"/>
    <x v="17"/>
    <n v="22"/>
    <n v="19"/>
    <m/>
    <n v="2"/>
    <n v="1"/>
  </r>
  <r>
    <x v="0"/>
    <x v="2"/>
    <x v="18"/>
    <n v="28"/>
    <n v="21"/>
    <n v="4"/>
    <n v="2"/>
    <n v="1"/>
  </r>
  <r>
    <x v="0"/>
    <x v="2"/>
    <x v="19"/>
    <n v="2"/>
    <n v="2"/>
    <m/>
    <m/>
    <m/>
  </r>
  <r>
    <x v="0"/>
    <x v="2"/>
    <x v="20"/>
    <n v="24"/>
    <n v="21"/>
    <n v="2"/>
    <n v="1"/>
    <m/>
  </r>
  <r>
    <x v="0"/>
    <x v="2"/>
    <x v="21"/>
    <n v="56"/>
    <n v="48"/>
    <n v="3"/>
    <n v="4"/>
    <n v="1"/>
  </r>
  <r>
    <x v="0"/>
    <x v="2"/>
    <x v="22"/>
    <n v="2"/>
    <n v="2"/>
    <m/>
    <m/>
    <m/>
  </r>
  <r>
    <x v="0"/>
    <x v="2"/>
    <x v="23"/>
    <n v="24"/>
    <n v="12"/>
    <n v="7"/>
    <n v="4"/>
    <n v="1"/>
  </r>
  <r>
    <x v="0"/>
    <x v="2"/>
    <x v="24"/>
    <n v="29"/>
    <n v="27"/>
    <n v="1"/>
    <m/>
    <n v="1"/>
  </r>
  <r>
    <x v="0"/>
    <x v="2"/>
    <x v="25"/>
    <n v="20"/>
    <n v="14"/>
    <n v="3"/>
    <n v="1"/>
    <n v="2"/>
  </r>
  <r>
    <x v="0"/>
    <x v="2"/>
    <x v="31"/>
    <n v="1"/>
    <n v="1"/>
    <m/>
    <m/>
    <m/>
  </r>
  <r>
    <x v="0"/>
    <x v="2"/>
    <x v="26"/>
    <n v="22"/>
    <n v="15"/>
    <n v="1"/>
    <n v="3"/>
    <n v="3"/>
  </r>
  <r>
    <x v="0"/>
    <x v="2"/>
    <x v="27"/>
    <n v="44"/>
    <n v="41"/>
    <n v="1"/>
    <m/>
    <n v="2"/>
  </r>
  <r>
    <x v="0"/>
    <x v="2"/>
    <x v="28"/>
    <n v="18"/>
    <n v="14"/>
    <n v="4"/>
    <m/>
    <m/>
  </r>
  <r>
    <x v="0"/>
    <x v="2"/>
    <x v="29"/>
    <n v="20"/>
    <n v="19"/>
    <n v="1"/>
    <m/>
    <m/>
  </r>
  <r>
    <x v="0"/>
    <x v="2"/>
    <x v="30"/>
    <n v="60"/>
    <n v="46"/>
    <n v="6"/>
    <n v="2"/>
    <n v="6"/>
  </r>
  <r>
    <x v="0"/>
    <x v="3"/>
    <x v="0"/>
    <n v="57"/>
    <n v="48"/>
    <n v="8"/>
    <m/>
    <n v="1"/>
  </r>
  <r>
    <x v="0"/>
    <x v="3"/>
    <x v="1"/>
    <n v="41"/>
    <n v="29"/>
    <n v="3"/>
    <n v="8"/>
    <n v="1"/>
  </r>
  <r>
    <x v="0"/>
    <x v="3"/>
    <x v="2"/>
    <n v="16"/>
    <n v="15"/>
    <n v="1"/>
    <m/>
    <m/>
  </r>
  <r>
    <x v="0"/>
    <x v="3"/>
    <x v="3"/>
    <n v="15"/>
    <n v="13"/>
    <m/>
    <m/>
    <n v="2"/>
  </r>
  <r>
    <x v="0"/>
    <x v="3"/>
    <x v="4"/>
    <n v="152"/>
    <n v="137"/>
    <n v="13"/>
    <n v="2"/>
    <m/>
  </r>
  <r>
    <x v="0"/>
    <x v="3"/>
    <x v="5"/>
    <n v="8"/>
    <n v="7"/>
    <m/>
    <m/>
    <n v="1"/>
  </r>
  <r>
    <x v="0"/>
    <x v="3"/>
    <x v="6"/>
    <n v="33"/>
    <n v="29"/>
    <n v="2"/>
    <n v="2"/>
    <m/>
  </r>
  <r>
    <x v="0"/>
    <x v="3"/>
    <x v="7"/>
    <n v="37"/>
    <n v="34"/>
    <n v="3"/>
    <m/>
    <m/>
  </r>
  <r>
    <x v="0"/>
    <x v="3"/>
    <x v="8"/>
    <n v="10"/>
    <n v="9"/>
    <m/>
    <m/>
    <n v="1"/>
  </r>
  <r>
    <x v="0"/>
    <x v="3"/>
    <x v="9"/>
    <n v="25"/>
    <n v="19"/>
    <n v="2"/>
    <n v="4"/>
    <m/>
  </r>
  <r>
    <x v="0"/>
    <x v="3"/>
    <x v="10"/>
    <n v="14"/>
    <n v="12"/>
    <n v="2"/>
    <m/>
    <m/>
  </r>
  <r>
    <x v="0"/>
    <x v="3"/>
    <x v="11"/>
    <n v="10"/>
    <n v="7"/>
    <n v="2"/>
    <n v="1"/>
    <m/>
  </r>
  <r>
    <x v="0"/>
    <x v="3"/>
    <x v="12"/>
    <n v="13"/>
    <n v="11"/>
    <n v="2"/>
    <m/>
    <m/>
  </r>
  <r>
    <x v="0"/>
    <x v="3"/>
    <x v="13"/>
    <n v="55"/>
    <n v="47"/>
    <n v="4"/>
    <n v="2"/>
    <n v="2"/>
  </r>
  <r>
    <x v="0"/>
    <x v="3"/>
    <x v="14"/>
    <n v="148"/>
    <n v="135"/>
    <n v="10"/>
    <n v="1"/>
    <n v="2"/>
  </r>
  <r>
    <x v="0"/>
    <x v="3"/>
    <x v="15"/>
    <n v="40"/>
    <n v="36"/>
    <n v="2"/>
    <m/>
    <n v="2"/>
  </r>
  <r>
    <x v="0"/>
    <x v="3"/>
    <x v="16"/>
    <n v="16"/>
    <n v="16"/>
    <m/>
    <m/>
    <m/>
  </r>
  <r>
    <x v="0"/>
    <x v="3"/>
    <x v="17"/>
    <n v="18"/>
    <n v="18"/>
    <m/>
    <m/>
    <m/>
  </r>
  <r>
    <x v="0"/>
    <x v="3"/>
    <x v="18"/>
    <n v="31"/>
    <n v="23"/>
    <n v="6"/>
    <m/>
    <n v="2"/>
  </r>
  <r>
    <x v="0"/>
    <x v="3"/>
    <x v="19"/>
    <n v="10"/>
    <n v="7"/>
    <m/>
    <n v="2"/>
    <n v="1"/>
  </r>
  <r>
    <x v="0"/>
    <x v="3"/>
    <x v="20"/>
    <n v="27"/>
    <n v="25"/>
    <n v="2"/>
    <m/>
    <m/>
  </r>
  <r>
    <x v="0"/>
    <x v="3"/>
    <x v="21"/>
    <n v="45"/>
    <n v="37"/>
    <n v="4"/>
    <n v="3"/>
    <n v="1"/>
  </r>
  <r>
    <x v="0"/>
    <x v="3"/>
    <x v="23"/>
    <n v="25"/>
    <n v="21"/>
    <n v="1"/>
    <n v="2"/>
    <n v="1"/>
  </r>
  <r>
    <x v="0"/>
    <x v="3"/>
    <x v="24"/>
    <n v="42"/>
    <n v="38"/>
    <n v="1"/>
    <n v="1"/>
    <n v="2"/>
  </r>
  <r>
    <x v="0"/>
    <x v="3"/>
    <x v="25"/>
    <n v="15"/>
    <n v="15"/>
    <m/>
    <m/>
    <m/>
  </r>
  <r>
    <x v="0"/>
    <x v="3"/>
    <x v="31"/>
    <n v="3"/>
    <n v="3"/>
    <m/>
    <m/>
    <m/>
  </r>
  <r>
    <x v="0"/>
    <x v="3"/>
    <x v="26"/>
    <n v="16"/>
    <n v="15"/>
    <m/>
    <m/>
    <n v="1"/>
  </r>
  <r>
    <x v="0"/>
    <x v="3"/>
    <x v="27"/>
    <n v="47"/>
    <n v="42"/>
    <n v="2"/>
    <n v="3"/>
    <m/>
  </r>
  <r>
    <x v="0"/>
    <x v="3"/>
    <x v="28"/>
    <n v="8"/>
    <n v="6"/>
    <n v="1"/>
    <m/>
    <n v="1"/>
  </r>
  <r>
    <x v="0"/>
    <x v="3"/>
    <x v="29"/>
    <n v="23"/>
    <n v="17"/>
    <n v="5"/>
    <m/>
    <n v="1"/>
  </r>
  <r>
    <x v="0"/>
    <x v="3"/>
    <x v="30"/>
    <n v="57"/>
    <n v="52"/>
    <n v="2"/>
    <n v="1"/>
    <n v="2"/>
  </r>
  <r>
    <x v="0"/>
    <x v="4"/>
    <x v="0"/>
    <n v="51"/>
    <n v="45"/>
    <n v="4"/>
    <n v="1"/>
    <n v="1"/>
  </r>
  <r>
    <x v="0"/>
    <x v="4"/>
    <x v="1"/>
    <n v="40"/>
    <n v="28"/>
    <n v="2"/>
    <n v="9"/>
    <n v="1"/>
  </r>
  <r>
    <x v="0"/>
    <x v="4"/>
    <x v="2"/>
    <n v="15"/>
    <n v="14"/>
    <n v="1"/>
    <m/>
    <m/>
  </r>
  <r>
    <x v="0"/>
    <x v="4"/>
    <x v="3"/>
    <n v="11"/>
    <n v="11"/>
    <m/>
    <m/>
    <m/>
  </r>
  <r>
    <x v="0"/>
    <x v="4"/>
    <x v="4"/>
    <n v="149"/>
    <n v="140"/>
    <n v="9"/>
    <m/>
    <m/>
  </r>
  <r>
    <x v="0"/>
    <x v="4"/>
    <x v="5"/>
    <n v="3"/>
    <n v="2"/>
    <n v="1"/>
    <m/>
    <m/>
  </r>
  <r>
    <x v="0"/>
    <x v="4"/>
    <x v="6"/>
    <n v="17"/>
    <n v="13"/>
    <n v="2"/>
    <n v="1"/>
    <n v="1"/>
  </r>
  <r>
    <x v="0"/>
    <x v="4"/>
    <x v="7"/>
    <n v="48"/>
    <n v="48"/>
    <m/>
    <m/>
    <m/>
  </r>
  <r>
    <x v="0"/>
    <x v="4"/>
    <x v="8"/>
    <n v="15"/>
    <n v="15"/>
    <m/>
    <m/>
    <m/>
  </r>
  <r>
    <x v="0"/>
    <x v="4"/>
    <x v="9"/>
    <n v="13"/>
    <n v="11"/>
    <n v="2"/>
    <m/>
    <m/>
  </r>
  <r>
    <x v="0"/>
    <x v="4"/>
    <x v="10"/>
    <n v="13"/>
    <n v="13"/>
    <m/>
    <m/>
    <m/>
  </r>
  <r>
    <x v="0"/>
    <x v="4"/>
    <x v="11"/>
    <n v="6"/>
    <n v="5"/>
    <m/>
    <n v="1"/>
    <m/>
  </r>
  <r>
    <x v="0"/>
    <x v="4"/>
    <x v="12"/>
    <n v="27"/>
    <n v="24"/>
    <n v="3"/>
    <m/>
    <m/>
  </r>
  <r>
    <x v="0"/>
    <x v="4"/>
    <x v="13"/>
    <n v="41"/>
    <n v="35"/>
    <n v="1"/>
    <n v="1"/>
    <n v="4"/>
  </r>
  <r>
    <x v="0"/>
    <x v="4"/>
    <x v="14"/>
    <n v="162"/>
    <n v="145"/>
    <n v="13"/>
    <n v="2"/>
    <n v="2"/>
  </r>
  <r>
    <x v="0"/>
    <x v="4"/>
    <x v="15"/>
    <n v="50"/>
    <n v="42"/>
    <n v="5"/>
    <m/>
    <n v="3"/>
  </r>
  <r>
    <x v="0"/>
    <x v="4"/>
    <x v="16"/>
    <n v="29"/>
    <n v="29"/>
    <m/>
    <m/>
    <m/>
  </r>
  <r>
    <x v="0"/>
    <x v="4"/>
    <x v="17"/>
    <n v="33"/>
    <n v="26"/>
    <n v="2"/>
    <n v="5"/>
    <m/>
  </r>
  <r>
    <x v="0"/>
    <x v="4"/>
    <x v="18"/>
    <n v="26"/>
    <n v="20"/>
    <n v="3"/>
    <n v="1"/>
    <n v="2"/>
  </r>
  <r>
    <x v="0"/>
    <x v="4"/>
    <x v="19"/>
    <n v="6"/>
    <n v="3"/>
    <m/>
    <m/>
    <n v="3"/>
  </r>
  <r>
    <x v="0"/>
    <x v="4"/>
    <x v="20"/>
    <n v="27"/>
    <n v="24"/>
    <n v="3"/>
    <m/>
    <m/>
  </r>
  <r>
    <x v="0"/>
    <x v="4"/>
    <x v="21"/>
    <n v="70"/>
    <n v="58"/>
    <n v="9"/>
    <n v="2"/>
    <n v="1"/>
  </r>
  <r>
    <x v="0"/>
    <x v="4"/>
    <x v="22"/>
    <n v="1"/>
    <n v="1"/>
    <m/>
    <m/>
    <m/>
  </r>
  <r>
    <x v="0"/>
    <x v="4"/>
    <x v="23"/>
    <n v="37"/>
    <n v="31"/>
    <n v="3"/>
    <n v="1"/>
    <n v="2"/>
  </r>
  <r>
    <x v="0"/>
    <x v="4"/>
    <x v="24"/>
    <n v="52"/>
    <n v="39"/>
    <n v="2"/>
    <n v="11"/>
    <m/>
  </r>
  <r>
    <x v="0"/>
    <x v="4"/>
    <x v="25"/>
    <n v="27"/>
    <n v="26"/>
    <m/>
    <n v="1"/>
    <m/>
  </r>
  <r>
    <x v="0"/>
    <x v="4"/>
    <x v="31"/>
    <n v="1"/>
    <n v="1"/>
    <m/>
    <m/>
    <m/>
  </r>
  <r>
    <x v="0"/>
    <x v="4"/>
    <x v="26"/>
    <n v="14"/>
    <n v="10"/>
    <n v="2"/>
    <n v="1"/>
    <n v="1"/>
  </r>
  <r>
    <x v="0"/>
    <x v="4"/>
    <x v="27"/>
    <n v="43"/>
    <n v="38"/>
    <n v="3"/>
    <n v="2"/>
    <m/>
  </r>
  <r>
    <x v="0"/>
    <x v="4"/>
    <x v="28"/>
    <n v="13"/>
    <n v="7"/>
    <n v="5"/>
    <n v="1"/>
    <m/>
  </r>
  <r>
    <x v="0"/>
    <x v="4"/>
    <x v="29"/>
    <n v="15"/>
    <n v="15"/>
    <m/>
    <m/>
    <m/>
  </r>
  <r>
    <x v="0"/>
    <x v="4"/>
    <x v="30"/>
    <n v="34"/>
    <n v="23"/>
    <n v="1"/>
    <n v="6"/>
    <n v="4"/>
  </r>
  <r>
    <x v="0"/>
    <x v="5"/>
    <x v="0"/>
    <n v="48"/>
    <n v="44"/>
    <n v="3"/>
    <n v="1"/>
    <m/>
  </r>
  <r>
    <x v="0"/>
    <x v="5"/>
    <x v="1"/>
    <n v="35"/>
    <n v="26"/>
    <n v="3"/>
    <n v="6"/>
    <m/>
  </r>
  <r>
    <x v="0"/>
    <x v="5"/>
    <x v="2"/>
    <n v="17"/>
    <n v="16"/>
    <n v="1"/>
    <m/>
    <m/>
  </r>
  <r>
    <x v="0"/>
    <x v="5"/>
    <x v="3"/>
    <n v="11"/>
    <n v="10"/>
    <m/>
    <m/>
    <n v="1"/>
  </r>
  <r>
    <x v="0"/>
    <x v="5"/>
    <x v="4"/>
    <n v="129"/>
    <n v="110"/>
    <n v="16"/>
    <n v="3"/>
    <m/>
  </r>
  <r>
    <x v="0"/>
    <x v="5"/>
    <x v="5"/>
    <n v="5"/>
    <n v="3"/>
    <n v="2"/>
    <m/>
    <m/>
  </r>
  <r>
    <x v="0"/>
    <x v="5"/>
    <x v="6"/>
    <n v="12"/>
    <n v="9"/>
    <n v="2"/>
    <n v="1"/>
    <m/>
  </r>
  <r>
    <x v="0"/>
    <x v="5"/>
    <x v="7"/>
    <n v="28"/>
    <n v="28"/>
    <m/>
    <m/>
    <m/>
  </r>
  <r>
    <x v="0"/>
    <x v="5"/>
    <x v="8"/>
    <n v="23"/>
    <n v="21"/>
    <n v="2"/>
    <m/>
    <m/>
  </r>
  <r>
    <x v="0"/>
    <x v="5"/>
    <x v="9"/>
    <n v="13"/>
    <n v="11"/>
    <n v="1"/>
    <m/>
    <n v="1"/>
  </r>
  <r>
    <x v="0"/>
    <x v="5"/>
    <x v="10"/>
    <n v="12"/>
    <n v="9"/>
    <n v="1"/>
    <m/>
    <n v="2"/>
  </r>
  <r>
    <x v="0"/>
    <x v="5"/>
    <x v="11"/>
    <n v="5"/>
    <n v="5"/>
    <m/>
    <m/>
    <m/>
  </r>
  <r>
    <x v="0"/>
    <x v="5"/>
    <x v="12"/>
    <n v="16"/>
    <n v="16"/>
    <m/>
    <m/>
    <m/>
  </r>
  <r>
    <x v="0"/>
    <x v="5"/>
    <x v="13"/>
    <n v="48"/>
    <n v="35"/>
    <n v="7"/>
    <n v="4"/>
    <n v="2"/>
  </r>
  <r>
    <x v="0"/>
    <x v="5"/>
    <x v="14"/>
    <n v="110"/>
    <n v="104"/>
    <n v="2"/>
    <n v="2"/>
    <n v="2"/>
  </r>
  <r>
    <x v="0"/>
    <x v="5"/>
    <x v="15"/>
    <n v="48"/>
    <n v="38"/>
    <n v="8"/>
    <n v="2"/>
    <m/>
  </r>
  <r>
    <x v="0"/>
    <x v="5"/>
    <x v="16"/>
    <n v="23"/>
    <n v="22"/>
    <n v="1"/>
    <m/>
    <m/>
  </r>
  <r>
    <x v="0"/>
    <x v="5"/>
    <x v="17"/>
    <n v="18"/>
    <n v="14"/>
    <n v="1"/>
    <n v="1"/>
    <n v="2"/>
  </r>
  <r>
    <x v="0"/>
    <x v="5"/>
    <x v="18"/>
    <n v="17"/>
    <n v="8"/>
    <n v="7"/>
    <n v="2"/>
    <m/>
  </r>
  <r>
    <x v="0"/>
    <x v="5"/>
    <x v="19"/>
    <n v="5"/>
    <n v="4"/>
    <m/>
    <n v="1"/>
    <m/>
  </r>
  <r>
    <x v="0"/>
    <x v="5"/>
    <x v="20"/>
    <n v="36"/>
    <n v="31"/>
    <m/>
    <n v="3"/>
    <n v="2"/>
  </r>
  <r>
    <x v="0"/>
    <x v="5"/>
    <x v="21"/>
    <n v="55"/>
    <n v="54"/>
    <n v="1"/>
    <m/>
    <m/>
  </r>
  <r>
    <x v="0"/>
    <x v="5"/>
    <x v="22"/>
    <n v="2"/>
    <n v="2"/>
    <m/>
    <m/>
    <m/>
  </r>
  <r>
    <x v="0"/>
    <x v="5"/>
    <x v="23"/>
    <n v="22"/>
    <n v="17"/>
    <n v="4"/>
    <n v="1"/>
    <m/>
  </r>
  <r>
    <x v="0"/>
    <x v="5"/>
    <x v="24"/>
    <n v="24"/>
    <n v="22"/>
    <m/>
    <m/>
    <n v="2"/>
  </r>
  <r>
    <x v="0"/>
    <x v="5"/>
    <x v="25"/>
    <n v="14"/>
    <n v="13"/>
    <n v="1"/>
    <m/>
    <m/>
  </r>
  <r>
    <x v="0"/>
    <x v="5"/>
    <x v="31"/>
    <n v="2"/>
    <n v="1"/>
    <n v="1"/>
    <m/>
    <m/>
  </r>
  <r>
    <x v="0"/>
    <x v="5"/>
    <x v="26"/>
    <n v="22"/>
    <n v="17"/>
    <n v="4"/>
    <m/>
    <n v="1"/>
  </r>
  <r>
    <x v="0"/>
    <x v="5"/>
    <x v="27"/>
    <n v="42"/>
    <n v="39"/>
    <n v="2"/>
    <n v="1"/>
    <m/>
  </r>
  <r>
    <x v="0"/>
    <x v="5"/>
    <x v="28"/>
    <n v="10"/>
    <n v="6"/>
    <n v="2"/>
    <n v="2"/>
    <m/>
  </r>
  <r>
    <x v="0"/>
    <x v="5"/>
    <x v="29"/>
    <n v="5"/>
    <n v="5"/>
    <m/>
    <m/>
    <m/>
  </r>
  <r>
    <x v="0"/>
    <x v="5"/>
    <x v="30"/>
    <n v="29"/>
    <n v="22"/>
    <n v="6"/>
    <m/>
    <n v="1"/>
  </r>
  <r>
    <x v="0"/>
    <x v="6"/>
    <x v="0"/>
    <n v="65"/>
    <n v="54"/>
    <n v="9"/>
    <m/>
    <n v="2"/>
  </r>
  <r>
    <x v="0"/>
    <x v="6"/>
    <x v="1"/>
    <n v="37"/>
    <n v="19"/>
    <n v="6"/>
    <n v="9"/>
    <n v="3"/>
  </r>
  <r>
    <x v="0"/>
    <x v="6"/>
    <x v="2"/>
    <n v="24"/>
    <n v="23"/>
    <m/>
    <n v="1"/>
    <m/>
  </r>
  <r>
    <x v="0"/>
    <x v="6"/>
    <x v="3"/>
    <n v="9"/>
    <n v="3"/>
    <n v="4"/>
    <n v="1"/>
    <n v="1"/>
  </r>
  <r>
    <x v="0"/>
    <x v="6"/>
    <x v="4"/>
    <n v="106"/>
    <n v="97"/>
    <n v="8"/>
    <m/>
    <n v="1"/>
  </r>
  <r>
    <x v="0"/>
    <x v="6"/>
    <x v="5"/>
    <n v="9"/>
    <n v="7"/>
    <m/>
    <m/>
    <n v="2"/>
  </r>
  <r>
    <x v="0"/>
    <x v="6"/>
    <x v="6"/>
    <n v="13"/>
    <n v="6"/>
    <n v="2"/>
    <n v="4"/>
    <n v="1"/>
  </r>
  <r>
    <x v="0"/>
    <x v="6"/>
    <x v="7"/>
    <n v="50"/>
    <n v="45"/>
    <n v="4"/>
    <m/>
    <n v="1"/>
  </r>
  <r>
    <x v="0"/>
    <x v="6"/>
    <x v="8"/>
    <n v="35"/>
    <n v="25"/>
    <n v="4"/>
    <n v="5"/>
    <n v="1"/>
  </r>
  <r>
    <x v="0"/>
    <x v="6"/>
    <x v="9"/>
    <n v="13"/>
    <n v="11"/>
    <n v="2"/>
    <m/>
    <m/>
  </r>
  <r>
    <x v="0"/>
    <x v="6"/>
    <x v="10"/>
    <n v="9"/>
    <n v="7"/>
    <n v="1"/>
    <n v="1"/>
    <m/>
  </r>
  <r>
    <x v="0"/>
    <x v="6"/>
    <x v="11"/>
    <n v="9"/>
    <n v="8"/>
    <n v="1"/>
    <m/>
    <m/>
  </r>
  <r>
    <x v="0"/>
    <x v="6"/>
    <x v="12"/>
    <n v="33"/>
    <n v="24"/>
    <n v="2"/>
    <n v="4"/>
    <n v="3"/>
  </r>
  <r>
    <x v="0"/>
    <x v="6"/>
    <x v="13"/>
    <n v="25"/>
    <n v="20"/>
    <n v="2"/>
    <n v="1"/>
    <n v="2"/>
  </r>
  <r>
    <x v="0"/>
    <x v="6"/>
    <x v="14"/>
    <n v="160"/>
    <n v="143"/>
    <n v="10"/>
    <n v="4"/>
    <n v="3"/>
  </r>
  <r>
    <x v="0"/>
    <x v="6"/>
    <x v="15"/>
    <n v="46"/>
    <n v="26"/>
    <n v="6"/>
    <n v="12"/>
    <n v="2"/>
  </r>
  <r>
    <x v="0"/>
    <x v="6"/>
    <x v="16"/>
    <n v="31"/>
    <n v="27"/>
    <n v="3"/>
    <m/>
    <n v="1"/>
  </r>
  <r>
    <x v="0"/>
    <x v="6"/>
    <x v="17"/>
    <n v="10"/>
    <n v="9"/>
    <m/>
    <n v="1"/>
    <m/>
  </r>
  <r>
    <x v="0"/>
    <x v="6"/>
    <x v="18"/>
    <n v="14"/>
    <n v="9"/>
    <n v="2"/>
    <n v="2"/>
    <n v="1"/>
  </r>
  <r>
    <x v="0"/>
    <x v="6"/>
    <x v="19"/>
    <n v="7"/>
    <n v="6"/>
    <m/>
    <m/>
    <n v="1"/>
  </r>
  <r>
    <x v="0"/>
    <x v="6"/>
    <x v="20"/>
    <n v="37"/>
    <n v="32"/>
    <n v="5"/>
    <m/>
    <m/>
  </r>
  <r>
    <x v="0"/>
    <x v="6"/>
    <x v="21"/>
    <n v="59"/>
    <n v="51"/>
    <n v="7"/>
    <n v="1"/>
    <m/>
  </r>
  <r>
    <x v="0"/>
    <x v="6"/>
    <x v="22"/>
    <n v="1"/>
    <n v="1"/>
    <m/>
    <m/>
    <m/>
  </r>
  <r>
    <x v="0"/>
    <x v="6"/>
    <x v="23"/>
    <n v="21"/>
    <n v="12"/>
    <n v="2"/>
    <n v="6"/>
    <n v="1"/>
  </r>
  <r>
    <x v="0"/>
    <x v="6"/>
    <x v="24"/>
    <n v="26"/>
    <n v="25"/>
    <n v="1"/>
    <m/>
    <m/>
  </r>
  <r>
    <x v="0"/>
    <x v="6"/>
    <x v="25"/>
    <n v="17"/>
    <n v="14"/>
    <n v="3"/>
    <m/>
    <m/>
  </r>
  <r>
    <x v="0"/>
    <x v="6"/>
    <x v="31"/>
    <n v="1"/>
    <n v="1"/>
    <m/>
    <m/>
    <m/>
  </r>
  <r>
    <x v="0"/>
    <x v="6"/>
    <x v="26"/>
    <n v="22"/>
    <n v="18"/>
    <n v="3"/>
    <n v="1"/>
    <m/>
  </r>
  <r>
    <x v="0"/>
    <x v="6"/>
    <x v="27"/>
    <n v="55"/>
    <n v="47"/>
    <n v="5"/>
    <n v="2"/>
    <n v="1"/>
  </r>
  <r>
    <x v="0"/>
    <x v="6"/>
    <x v="28"/>
    <n v="15"/>
    <n v="8"/>
    <n v="5"/>
    <n v="1"/>
    <n v="1"/>
  </r>
  <r>
    <x v="0"/>
    <x v="6"/>
    <x v="29"/>
    <n v="27"/>
    <n v="27"/>
    <m/>
    <m/>
    <m/>
  </r>
  <r>
    <x v="0"/>
    <x v="6"/>
    <x v="30"/>
    <n v="31"/>
    <n v="24"/>
    <n v="6"/>
    <m/>
    <n v="1"/>
  </r>
  <r>
    <x v="0"/>
    <x v="7"/>
    <x v="0"/>
    <n v="34"/>
    <n v="31"/>
    <n v="1"/>
    <n v="2"/>
    <m/>
  </r>
  <r>
    <x v="0"/>
    <x v="7"/>
    <x v="1"/>
    <n v="27"/>
    <n v="20"/>
    <n v="3"/>
    <n v="3"/>
    <n v="1"/>
  </r>
  <r>
    <x v="0"/>
    <x v="7"/>
    <x v="2"/>
    <n v="15"/>
    <n v="12"/>
    <n v="1"/>
    <m/>
    <n v="2"/>
  </r>
  <r>
    <x v="0"/>
    <x v="7"/>
    <x v="3"/>
    <n v="13"/>
    <n v="12"/>
    <n v="1"/>
    <m/>
    <m/>
  </r>
  <r>
    <x v="0"/>
    <x v="7"/>
    <x v="4"/>
    <n v="121"/>
    <n v="109"/>
    <n v="8"/>
    <m/>
    <n v="4"/>
  </r>
  <r>
    <x v="0"/>
    <x v="7"/>
    <x v="5"/>
    <n v="18"/>
    <n v="16"/>
    <n v="1"/>
    <n v="1"/>
    <m/>
  </r>
  <r>
    <x v="0"/>
    <x v="7"/>
    <x v="6"/>
    <n v="8"/>
    <n v="7"/>
    <m/>
    <n v="1"/>
    <m/>
  </r>
  <r>
    <x v="0"/>
    <x v="7"/>
    <x v="7"/>
    <n v="42"/>
    <n v="38"/>
    <n v="1"/>
    <n v="2"/>
    <n v="1"/>
  </r>
  <r>
    <x v="0"/>
    <x v="7"/>
    <x v="8"/>
    <n v="24"/>
    <n v="21"/>
    <n v="3"/>
    <m/>
    <m/>
  </r>
  <r>
    <x v="0"/>
    <x v="7"/>
    <x v="9"/>
    <n v="20"/>
    <n v="20"/>
    <m/>
    <m/>
    <m/>
  </r>
  <r>
    <x v="0"/>
    <x v="7"/>
    <x v="10"/>
    <n v="8"/>
    <n v="8"/>
    <m/>
    <m/>
    <m/>
  </r>
  <r>
    <x v="0"/>
    <x v="7"/>
    <x v="11"/>
    <n v="5"/>
    <n v="5"/>
    <m/>
    <m/>
    <m/>
  </r>
  <r>
    <x v="0"/>
    <x v="7"/>
    <x v="12"/>
    <n v="23"/>
    <n v="22"/>
    <m/>
    <m/>
    <n v="1"/>
  </r>
  <r>
    <x v="0"/>
    <x v="7"/>
    <x v="13"/>
    <n v="60"/>
    <n v="53"/>
    <n v="1"/>
    <n v="3"/>
    <n v="3"/>
  </r>
  <r>
    <x v="0"/>
    <x v="7"/>
    <x v="14"/>
    <n v="139"/>
    <n v="131"/>
    <n v="6"/>
    <m/>
    <n v="2"/>
  </r>
  <r>
    <x v="0"/>
    <x v="7"/>
    <x v="15"/>
    <n v="42"/>
    <n v="25"/>
    <n v="3"/>
    <n v="9"/>
    <n v="5"/>
  </r>
  <r>
    <x v="0"/>
    <x v="7"/>
    <x v="16"/>
    <n v="28"/>
    <n v="26"/>
    <n v="1"/>
    <n v="1"/>
    <m/>
  </r>
  <r>
    <x v="0"/>
    <x v="7"/>
    <x v="17"/>
    <n v="11"/>
    <n v="9"/>
    <n v="1"/>
    <m/>
    <n v="1"/>
  </r>
  <r>
    <x v="0"/>
    <x v="7"/>
    <x v="18"/>
    <n v="15"/>
    <n v="13"/>
    <n v="1"/>
    <n v="1"/>
    <m/>
  </r>
  <r>
    <x v="0"/>
    <x v="7"/>
    <x v="19"/>
    <n v="3"/>
    <n v="3"/>
    <m/>
    <m/>
    <m/>
  </r>
  <r>
    <x v="0"/>
    <x v="7"/>
    <x v="20"/>
    <n v="20"/>
    <n v="18"/>
    <n v="2"/>
    <m/>
    <m/>
  </r>
  <r>
    <x v="0"/>
    <x v="7"/>
    <x v="21"/>
    <n v="61"/>
    <n v="53"/>
    <n v="2"/>
    <n v="5"/>
    <n v="1"/>
  </r>
  <r>
    <x v="0"/>
    <x v="7"/>
    <x v="22"/>
    <n v="2"/>
    <m/>
    <n v="2"/>
    <m/>
    <m/>
  </r>
  <r>
    <x v="0"/>
    <x v="7"/>
    <x v="23"/>
    <n v="22"/>
    <n v="19"/>
    <n v="1"/>
    <n v="1"/>
    <n v="1"/>
  </r>
  <r>
    <x v="0"/>
    <x v="7"/>
    <x v="24"/>
    <n v="29"/>
    <n v="24"/>
    <n v="3"/>
    <n v="2"/>
    <m/>
  </r>
  <r>
    <x v="0"/>
    <x v="7"/>
    <x v="25"/>
    <n v="26"/>
    <n v="25"/>
    <n v="1"/>
    <m/>
    <m/>
  </r>
  <r>
    <x v="0"/>
    <x v="7"/>
    <x v="31"/>
    <n v="3"/>
    <m/>
    <n v="3"/>
    <m/>
    <m/>
  </r>
  <r>
    <x v="0"/>
    <x v="7"/>
    <x v="26"/>
    <n v="24"/>
    <n v="18"/>
    <n v="3"/>
    <n v="3"/>
    <m/>
  </r>
  <r>
    <x v="0"/>
    <x v="7"/>
    <x v="27"/>
    <n v="35"/>
    <n v="26"/>
    <n v="1"/>
    <n v="5"/>
    <n v="3"/>
  </r>
  <r>
    <x v="0"/>
    <x v="7"/>
    <x v="28"/>
    <n v="13"/>
    <n v="9"/>
    <n v="2"/>
    <n v="1"/>
    <n v="1"/>
  </r>
  <r>
    <x v="0"/>
    <x v="7"/>
    <x v="29"/>
    <n v="13"/>
    <n v="12"/>
    <n v="1"/>
    <m/>
    <m/>
  </r>
  <r>
    <x v="0"/>
    <x v="7"/>
    <x v="30"/>
    <n v="32"/>
    <n v="29"/>
    <n v="3"/>
    <m/>
    <m/>
  </r>
  <r>
    <x v="0"/>
    <x v="8"/>
    <x v="0"/>
    <n v="28"/>
    <n v="26"/>
    <n v="1"/>
    <m/>
    <n v="1"/>
  </r>
  <r>
    <x v="0"/>
    <x v="8"/>
    <x v="1"/>
    <n v="41"/>
    <n v="28"/>
    <n v="4"/>
    <n v="4"/>
    <n v="5"/>
  </r>
  <r>
    <x v="0"/>
    <x v="8"/>
    <x v="2"/>
    <n v="19"/>
    <n v="16"/>
    <n v="2"/>
    <n v="1"/>
    <m/>
  </r>
  <r>
    <x v="0"/>
    <x v="8"/>
    <x v="3"/>
    <n v="13"/>
    <n v="13"/>
    <m/>
    <m/>
    <m/>
  </r>
  <r>
    <x v="0"/>
    <x v="8"/>
    <x v="4"/>
    <n v="86"/>
    <n v="75"/>
    <n v="10"/>
    <n v="1"/>
    <m/>
  </r>
  <r>
    <x v="0"/>
    <x v="8"/>
    <x v="5"/>
    <n v="5"/>
    <n v="5"/>
    <m/>
    <m/>
    <m/>
  </r>
  <r>
    <x v="0"/>
    <x v="8"/>
    <x v="6"/>
    <n v="6"/>
    <n v="4"/>
    <n v="2"/>
    <m/>
    <m/>
  </r>
  <r>
    <x v="0"/>
    <x v="8"/>
    <x v="7"/>
    <n v="33"/>
    <n v="29"/>
    <n v="2"/>
    <n v="1"/>
    <n v="1"/>
  </r>
  <r>
    <x v="0"/>
    <x v="8"/>
    <x v="8"/>
    <n v="25"/>
    <n v="22"/>
    <n v="1"/>
    <n v="2"/>
    <m/>
  </r>
  <r>
    <x v="0"/>
    <x v="8"/>
    <x v="9"/>
    <n v="13"/>
    <n v="9"/>
    <n v="4"/>
    <m/>
    <m/>
  </r>
  <r>
    <x v="0"/>
    <x v="8"/>
    <x v="10"/>
    <n v="12"/>
    <n v="7"/>
    <n v="1"/>
    <n v="4"/>
    <m/>
  </r>
  <r>
    <x v="0"/>
    <x v="8"/>
    <x v="11"/>
    <n v="9"/>
    <n v="9"/>
    <m/>
    <m/>
    <m/>
  </r>
  <r>
    <x v="0"/>
    <x v="8"/>
    <x v="12"/>
    <n v="24"/>
    <n v="16"/>
    <n v="7"/>
    <m/>
    <n v="1"/>
  </r>
  <r>
    <x v="0"/>
    <x v="8"/>
    <x v="13"/>
    <n v="37"/>
    <n v="29"/>
    <n v="5"/>
    <n v="2"/>
    <n v="1"/>
  </r>
  <r>
    <x v="0"/>
    <x v="8"/>
    <x v="14"/>
    <n v="153"/>
    <n v="137"/>
    <n v="12"/>
    <n v="2"/>
    <n v="2"/>
  </r>
  <r>
    <x v="0"/>
    <x v="8"/>
    <x v="15"/>
    <n v="28"/>
    <n v="21"/>
    <n v="1"/>
    <n v="4"/>
    <n v="2"/>
  </r>
  <r>
    <x v="0"/>
    <x v="8"/>
    <x v="16"/>
    <n v="10"/>
    <n v="9"/>
    <m/>
    <m/>
    <n v="1"/>
  </r>
  <r>
    <x v="0"/>
    <x v="8"/>
    <x v="17"/>
    <n v="15"/>
    <n v="15"/>
    <m/>
    <m/>
    <m/>
  </r>
  <r>
    <x v="0"/>
    <x v="8"/>
    <x v="18"/>
    <n v="18"/>
    <n v="13"/>
    <n v="3"/>
    <n v="2"/>
    <m/>
  </r>
  <r>
    <x v="0"/>
    <x v="8"/>
    <x v="19"/>
    <n v="1"/>
    <n v="1"/>
    <m/>
    <m/>
    <m/>
  </r>
  <r>
    <x v="0"/>
    <x v="8"/>
    <x v="20"/>
    <n v="14"/>
    <n v="12"/>
    <n v="2"/>
    <m/>
    <m/>
  </r>
  <r>
    <x v="0"/>
    <x v="8"/>
    <x v="21"/>
    <n v="67"/>
    <n v="56"/>
    <n v="9"/>
    <n v="2"/>
    <m/>
  </r>
  <r>
    <x v="0"/>
    <x v="8"/>
    <x v="22"/>
    <n v="1"/>
    <m/>
    <m/>
    <n v="1"/>
    <m/>
  </r>
  <r>
    <x v="0"/>
    <x v="8"/>
    <x v="23"/>
    <n v="18"/>
    <n v="16"/>
    <n v="2"/>
    <m/>
    <m/>
  </r>
  <r>
    <x v="0"/>
    <x v="8"/>
    <x v="24"/>
    <n v="35"/>
    <n v="30"/>
    <n v="1"/>
    <n v="4"/>
    <m/>
  </r>
  <r>
    <x v="0"/>
    <x v="8"/>
    <x v="25"/>
    <n v="16"/>
    <n v="15"/>
    <m/>
    <m/>
    <n v="1"/>
  </r>
  <r>
    <x v="0"/>
    <x v="8"/>
    <x v="31"/>
    <n v="6"/>
    <n v="5"/>
    <n v="1"/>
    <m/>
    <m/>
  </r>
  <r>
    <x v="0"/>
    <x v="8"/>
    <x v="26"/>
    <n v="18"/>
    <n v="14"/>
    <n v="2"/>
    <n v="2"/>
    <m/>
  </r>
  <r>
    <x v="0"/>
    <x v="8"/>
    <x v="27"/>
    <n v="52"/>
    <n v="45"/>
    <n v="5"/>
    <m/>
    <n v="2"/>
  </r>
  <r>
    <x v="0"/>
    <x v="8"/>
    <x v="28"/>
    <n v="19"/>
    <n v="11"/>
    <n v="6"/>
    <n v="2"/>
    <m/>
  </r>
  <r>
    <x v="0"/>
    <x v="8"/>
    <x v="29"/>
    <n v="20"/>
    <n v="18"/>
    <n v="1"/>
    <m/>
    <n v="1"/>
  </r>
  <r>
    <x v="0"/>
    <x v="8"/>
    <x v="30"/>
    <n v="39"/>
    <n v="31"/>
    <n v="6"/>
    <n v="1"/>
    <n v="1"/>
  </r>
  <r>
    <x v="0"/>
    <x v="9"/>
    <x v="0"/>
    <n v="52"/>
    <n v="45"/>
    <n v="5"/>
    <m/>
    <n v="2"/>
  </r>
  <r>
    <x v="0"/>
    <x v="9"/>
    <x v="1"/>
    <n v="25"/>
    <n v="17"/>
    <n v="2"/>
    <n v="5"/>
    <n v="1"/>
  </r>
  <r>
    <x v="0"/>
    <x v="9"/>
    <x v="2"/>
    <n v="12"/>
    <n v="11"/>
    <n v="1"/>
    <m/>
    <m/>
  </r>
  <r>
    <x v="0"/>
    <x v="9"/>
    <x v="3"/>
    <n v="12"/>
    <n v="12"/>
    <m/>
    <m/>
    <m/>
  </r>
  <r>
    <x v="0"/>
    <x v="9"/>
    <x v="4"/>
    <n v="108"/>
    <n v="89"/>
    <n v="10"/>
    <n v="3"/>
    <n v="6"/>
  </r>
  <r>
    <x v="0"/>
    <x v="9"/>
    <x v="5"/>
    <n v="20"/>
    <n v="13"/>
    <n v="7"/>
    <m/>
    <m/>
  </r>
  <r>
    <x v="0"/>
    <x v="9"/>
    <x v="6"/>
    <n v="11"/>
    <n v="6"/>
    <n v="1"/>
    <n v="4"/>
    <m/>
  </r>
  <r>
    <x v="0"/>
    <x v="9"/>
    <x v="7"/>
    <n v="36"/>
    <n v="34"/>
    <n v="2"/>
    <m/>
    <m/>
  </r>
  <r>
    <x v="0"/>
    <x v="9"/>
    <x v="8"/>
    <n v="21"/>
    <n v="20"/>
    <m/>
    <m/>
    <n v="1"/>
  </r>
  <r>
    <x v="0"/>
    <x v="9"/>
    <x v="9"/>
    <n v="5"/>
    <n v="5"/>
    <m/>
    <m/>
    <m/>
  </r>
  <r>
    <x v="0"/>
    <x v="9"/>
    <x v="10"/>
    <n v="5"/>
    <n v="4"/>
    <m/>
    <m/>
    <n v="1"/>
  </r>
  <r>
    <x v="0"/>
    <x v="9"/>
    <x v="11"/>
    <n v="10"/>
    <n v="10"/>
    <m/>
    <m/>
    <m/>
  </r>
  <r>
    <x v="0"/>
    <x v="9"/>
    <x v="12"/>
    <n v="25"/>
    <n v="19"/>
    <n v="3"/>
    <n v="2"/>
    <n v="1"/>
  </r>
  <r>
    <x v="0"/>
    <x v="9"/>
    <x v="13"/>
    <n v="47"/>
    <n v="41"/>
    <n v="3"/>
    <m/>
    <n v="3"/>
  </r>
  <r>
    <x v="0"/>
    <x v="9"/>
    <x v="14"/>
    <n v="149"/>
    <n v="128"/>
    <n v="18"/>
    <n v="2"/>
    <n v="1"/>
  </r>
  <r>
    <x v="0"/>
    <x v="9"/>
    <x v="15"/>
    <n v="31"/>
    <n v="23"/>
    <n v="2"/>
    <n v="3"/>
    <n v="3"/>
  </r>
  <r>
    <x v="0"/>
    <x v="9"/>
    <x v="16"/>
    <n v="21"/>
    <n v="20"/>
    <m/>
    <m/>
    <n v="1"/>
  </r>
  <r>
    <x v="0"/>
    <x v="9"/>
    <x v="17"/>
    <n v="12"/>
    <n v="9"/>
    <n v="1"/>
    <n v="1"/>
    <n v="1"/>
  </r>
  <r>
    <x v="0"/>
    <x v="9"/>
    <x v="18"/>
    <n v="12"/>
    <n v="11"/>
    <n v="1"/>
    <m/>
    <m/>
  </r>
  <r>
    <x v="0"/>
    <x v="9"/>
    <x v="19"/>
    <n v="4"/>
    <n v="3"/>
    <m/>
    <m/>
    <n v="1"/>
  </r>
  <r>
    <x v="0"/>
    <x v="9"/>
    <x v="20"/>
    <n v="33"/>
    <n v="28"/>
    <n v="4"/>
    <m/>
    <n v="1"/>
  </r>
  <r>
    <x v="0"/>
    <x v="9"/>
    <x v="21"/>
    <n v="85"/>
    <n v="72"/>
    <n v="6"/>
    <n v="3"/>
    <n v="4"/>
  </r>
  <r>
    <x v="0"/>
    <x v="9"/>
    <x v="23"/>
    <n v="19"/>
    <n v="16"/>
    <n v="1"/>
    <n v="2"/>
    <m/>
  </r>
  <r>
    <x v="0"/>
    <x v="9"/>
    <x v="24"/>
    <n v="42"/>
    <n v="35"/>
    <n v="6"/>
    <m/>
    <n v="1"/>
  </r>
  <r>
    <x v="0"/>
    <x v="9"/>
    <x v="25"/>
    <n v="19"/>
    <n v="16"/>
    <n v="3"/>
    <m/>
    <m/>
  </r>
  <r>
    <x v="0"/>
    <x v="9"/>
    <x v="26"/>
    <n v="16"/>
    <n v="14"/>
    <n v="1"/>
    <n v="1"/>
    <m/>
  </r>
  <r>
    <x v="0"/>
    <x v="9"/>
    <x v="27"/>
    <n v="52"/>
    <n v="49"/>
    <n v="1"/>
    <m/>
    <n v="2"/>
  </r>
  <r>
    <x v="0"/>
    <x v="9"/>
    <x v="28"/>
    <n v="9"/>
    <n v="4"/>
    <n v="2"/>
    <n v="2"/>
    <n v="1"/>
  </r>
  <r>
    <x v="0"/>
    <x v="9"/>
    <x v="29"/>
    <n v="16"/>
    <n v="14"/>
    <m/>
    <n v="1"/>
    <n v="1"/>
  </r>
  <r>
    <x v="0"/>
    <x v="9"/>
    <x v="30"/>
    <n v="40"/>
    <n v="25"/>
    <n v="10"/>
    <n v="2"/>
    <n v="3"/>
  </r>
  <r>
    <x v="0"/>
    <x v="10"/>
    <x v="0"/>
    <n v="43"/>
    <n v="40"/>
    <n v="3"/>
    <m/>
    <m/>
  </r>
  <r>
    <x v="0"/>
    <x v="10"/>
    <x v="1"/>
    <n v="30"/>
    <n v="23"/>
    <n v="4"/>
    <n v="2"/>
    <n v="1"/>
  </r>
  <r>
    <x v="0"/>
    <x v="10"/>
    <x v="2"/>
    <n v="14"/>
    <n v="8"/>
    <n v="5"/>
    <m/>
    <n v="1"/>
  </r>
  <r>
    <x v="0"/>
    <x v="10"/>
    <x v="3"/>
    <n v="15"/>
    <n v="11"/>
    <n v="1"/>
    <n v="3"/>
    <m/>
  </r>
  <r>
    <x v="0"/>
    <x v="10"/>
    <x v="4"/>
    <n v="91"/>
    <n v="82"/>
    <n v="6"/>
    <m/>
    <n v="3"/>
  </r>
  <r>
    <x v="0"/>
    <x v="10"/>
    <x v="5"/>
    <n v="11"/>
    <n v="9"/>
    <n v="2"/>
    <m/>
    <m/>
  </r>
  <r>
    <x v="0"/>
    <x v="10"/>
    <x v="6"/>
    <n v="4"/>
    <n v="3"/>
    <m/>
    <m/>
    <n v="1"/>
  </r>
  <r>
    <x v="0"/>
    <x v="10"/>
    <x v="7"/>
    <n v="21"/>
    <n v="21"/>
    <m/>
    <m/>
    <m/>
  </r>
  <r>
    <x v="0"/>
    <x v="10"/>
    <x v="8"/>
    <n v="15"/>
    <n v="12"/>
    <n v="1"/>
    <n v="1"/>
    <n v="1"/>
  </r>
  <r>
    <x v="0"/>
    <x v="10"/>
    <x v="9"/>
    <n v="12"/>
    <n v="6"/>
    <n v="5"/>
    <n v="1"/>
    <m/>
  </r>
  <r>
    <x v="0"/>
    <x v="10"/>
    <x v="10"/>
    <n v="8"/>
    <n v="7"/>
    <m/>
    <n v="1"/>
    <m/>
  </r>
  <r>
    <x v="0"/>
    <x v="10"/>
    <x v="11"/>
    <n v="9"/>
    <n v="5"/>
    <n v="1"/>
    <m/>
    <n v="3"/>
  </r>
  <r>
    <x v="0"/>
    <x v="10"/>
    <x v="12"/>
    <n v="17"/>
    <n v="14"/>
    <n v="2"/>
    <n v="1"/>
    <m/>
  </r>
  <r>
    <x v="0"/>
    <x v="10"/>
    <x v="13"/>
    <n v="34"/>
    <n v="27"/>
    <n v="5"/>
    <n v="2"/>
    <m/>
  </r>
  <r>
    <x v="0"/>
    <x v="10"/>
    <x v="14"/>
    <n v="136"/>
    <n v="118"/>
    <n v="12"/>
    <n v="3"/>
    <n v="3"/>
  </r>
  <r>
    <x v="0"/>
    <x v="10"/>
    <x v="15"/>
    <n v="29"/>
    <n v="21"/>
    <n v="6"/>
    <n v="2"/>
    <m/>
  </r>
  <r>
    <x v="0"/>
    <x v="10"/>
    <x v="16"/>
    <n v="21"/>
    <n v="20"/>
    <n v="1"/>
    <m/>
    <m/>
  </r>
  <r>
    <x v="0"/>
    <x v="10"/>
    <x v="17"/>
    <n v="11"/>
    <n v="11"/>
    <m/>
    <m/>
    <m/>
  </r>
  <r>
    <x v="0"/>
    <x v="10"/>
    <x v="18"/>
    <n v="17"/>
    <n v="16"/>
    <n v="1"/>
    <m/>
    <m/>
  </r>
  <r>
    <x v="0"/>
    <x v="10"/>
    <x v="19"/>
    <n v="8"/>
    <n v="7"/>
    <n v="1"/>
    <m/>
    <m/>
  </r>
  <r>
    <x v="0"/>
    <x v="10"/>
    <x v="20"/>
    <n v="16"/>
    <n v="15"/>
    <m/>
    <m/>
    <n v="1"/>
  </r>
  <r>
    <x v="0"/>
    <x v="10"/>
    <x v="21"/>
    <n v="50"/>
    <n v="39"/>
    <n v="7"/>
    <n v="2"/>
    <n v="2"/>
  </r>
  <r>
    <x v="0"/>
    <x v="10"/>
    <x v="22"/>
    <n v="2"/>
    <n v="1"/>
    <m/>
    <n v="1"/>
    <m/>
  </r>
  <r>
    <x v="0"/>
    <x v="10"/>
    <x v="23"/>
    <n v="33"/>
    <n v="29"/>
    <n v="2"/>
    <n v="2"/>
    <m/>
  </r>
  <r>
    <x v="0"/>
    <x v="10"/>
    <x v="24"/>
    <n v="24"/>
    <n v="19"/>
    <n v="5"/>
    <m/>
    <m/>
  </r>
  <r>
    <x v="0"/>
    <x v="10"/>
    <x v="25"/>
    <n v="24"/>
    <n v="17"/>
    <n v="3"/>
    <m/>
    <n v="4"/>
  </r>
  <r>
    <x v="0"/>
    <x v="10"/>
    <x v="31"/>
    <n v="5"/>
    <n v="5"/>
    <m/>
    <m/>
    <m/>
  </r>
  <r>
    <x v="0"/>
    <x v="10"/>
    <x v="26"/>
    <n v="16"/>
    <n v="14"/>
    <n v="1"/>
    <m/>
    <n v="1"/>
  </r>
  <r>
    <x v="0"/>
    <x v="10"/>
    <x v="27"/>
    <n v="41"/>
    <n v="38"/>
    <n v="2"/>
    <n v="1"/>
    <m/>
  </r>
  <r>
    <x v="0"/>
    <x v="10"/>
    <x v="28"/>
    <n v="7"/>
    <n v="2"/>
    <n v="3"/>
    <n v="2"/>
    <m/>
  </r>
  <r>
    <x v="0"/>
    <x v="10"/>
    <x v="29"/>
    <n v="16"/>
    <n v="15"/>
    <m/>
    <m/>
    <n v="1"/>
  </r>
  <r>
    <x v="0"/>
    <x v="10"/>
    <x v="30"/>
    <n v="28"/>
    <n v="16"/>
    <n v="6"/>
    <n v="1"/>
    <n v="5"/>
  </r>
  <r>
    <x v="0"/>
    <x v="11"/>
    <x v="0"/>
    <n v="34"/>
    <n v="33"/>
    <n v="1"/>
    <m/>
    <m/>
  </r>
  <r>
    <x v="0"/>
    <x v="11"/>
    <x v="1"/>
    <n v="25"/>
    <n v="15"/>
    <n v="3"/>
    <n v="1"/>
    <n v="6"/>
  </r>
  <r>
    <x v="0"/>
    <x v="11"/>
    <x v="2"/>
    <n v="11"/>
    <n v="10"/>
    <m/>
    <m/>
    <n v="1"/>
  </r>
  <r>
    <x v="0"/>
    <x v="11"/>
    <x v="3"/>
    <n v="7"/>
    <n v="4"/>
    <n v="3"/>
    <m/>
    <m/>
  </r>
  <r>
    <x v="0"/>
    <x v="11"/>
    <x v="4"/>
    <n v="47"/>
    <n v="41"/>
    <n v="5"/>
    <m/>
    <n v="1"/>
  </r>
  <r>
    <x v="0"/>
    <x v="11"/>
    <x v="5"/>
    <n v="10"/>
    <n v="9"/>
    <n v="1"/>
    <m/>
    <m/>
  </r>
  <r>
    <x v="0"/>
    <x v="11"/>
    <x v="6"/>
    <n v="5"/>
    <n v="4"/>
    <m/>
    <m/>
    <n v="1"/>
  </r>
  <r>
    <x v="0"/>
    <x v="11"/>
    <x v="7"/>
    <n v="22"/>
    <n v="21"/>
    <m/>
    <m/>
    <n v="1"/>
  </r>
  <r>
    <x v="0"/>
    <x v="11"/>
    <x v="8"/>
    <n v="17"/>
    <n v="12"/>
    <n v="3"/>
    <n v="1"/>
    <n v="1"/>
  </r>
  <r>
    <x v="0"/>
    <x v="11"/>
    <x v="9"/>
    <n v="9"/>
    <n v="9"/>
    <m/>
    <m/>
    <m/>
  </r>
  <r>
    <x v="0"/>
    <x v="11"/>
    <x v="10"/>
    <n v="7"/>
    <n v="4"/>
    <m/>
    <n v="1"/>
    <n v="2"/>
  </r>
  <r>
    <x v="0"/>
    <x v="11"/>
    <x v="11"/>
    <n v="6"/>
    <n v="6"/>
    <m/>
    <m/>
    <m/>
  </r>
  <r>
    <x v="0"/>
    <x v="11"/>
    <x v="12"/>
    <n v="25"/>
    <n v="20"/>
    <n v="3"/>
    <m/>
    <n v="2"/>
  </r>
  <r>
    <x v="0"/>
    <x v="11"/>
    <x v="13"/>
    <n v="28"/>
    <n v="24"/>
    <n v="3"/>
    <n v="1"/>
    <m/>
  </r>
  <r>
    <x v="0"/>
    <x v="11"/>
    <x v="14"/>
    <n v="112"/>
    <n v="95"/>
    <n v="11"/>
    <n v="2"/>
    <n v="4"/>
  </r>
  <r>
    <x v="0"/>
    <x v="11"/>
    <x v="15"/>
    <n v="22"/>
    <n v="14"/>
    <n v="4"/>
    <m/>
    <n v="4"/>
  </r>
  <r>
    <x v="0"/>
    <x v="11"/>
    <x v="16"/>
    <n v="28"/>
    <n v="27"/>
    <n v="1"/>
    <m/>
    <m/>
  </r>
  <r>
    <x v="0"/>
    <x v="11"/>
    <x v="17"/>
    <n v="9"/>
    <n v="8"/>
    <n v="1"/>
    <m/>
    <m/>
  </r>
  <r>
    <x v="0"/>
    <x v="11"/>
    <x v="18"/>
    <n v="11"/>
    <n v="7"/>
    <n v="3"/>
    <n v="1"/>
    <m/>
  </r>
  <r>
    <x v="0"/>
    <x v="11"/>
    <x v="19"/>
    <n v="3"/>
    <n v="3"/>
    <m/>
    <m/>
    <m/>
  </r>
  <r>
    <x v="0"/>
    <x v="11"/>
    <x v="20"/>
    <n v="28"/>
    <n v="28"/>
    <m/>
    <m/>
    <m/>
  </r>
  <r>
    <x v="0"/>
    <x v="11"/>
    <x v="21"/>
    <n v="54"/>
    <n v="47"/>
    <n v="2"/>
    <n v="2"/>
    <n v="3"/>
  </r>
  <r>
    <x v="0"/>
    <x v="11"/>
    <x v="22"/>
    <n v="1"/>
    <n v="1"/>
    <m/>
    <m/>
    <m/>
  </r>
  <r>
    <x v="0"/>
    <x v="11"/>
    <x v="23"/>
    <n v="25"/>
    <n v="20"/>
    <m/>
    <n v="2"/>
    <n v="3"/>
  </r>
  <r>
    <x v="0"/>
    <x v="11"/>
    <x v="24"/>
    <n v="33"/>
    <n v="27"/>
    <n v="4"/>
    <m/>
    <n v="2"/>
  </r>
  <r>
    <x v="0"/>
    <x v="11"/>
    <x v="25"/>
    <n v="13"/>
    <n v="10"/>
    <n v="1"/>
    <m/>
    <n v="2"/>
  </r>
  <r>
    <x v="0"/>
    <x v="11"/>
    <x v="31"/>
    <n v="2"/>
    <n v="1"/>
    <m/>
    <n v="1"/>
    <m/>
  </r>
  <r>
    <x v="0"/>
    <x v="11"/>
    <x v="26"/>
    <n v="12"/>
    <n v="10"/>
    <n v="1"/>
    <n v="1"/>
    <m/>
  </r>
  <r>
    <x v="0"/>
    <x v="11"/>
    <x v="27"/>
    <n v="43"/>
    <n v="36"/>
    <n v="4"/>
    <n v="1"/>
    <n v="2"/>
  </r>
  <r>
    <x v="0"/>
    <x v="11"/>
    <x v="28"/>
    <n v="8"/>
    <n v="8"/>
    <m/>
    <m/>
    <m/>
  </r>
  <r>
    <x v="0"/>
    <x v="11"/>
    <x v="29"/>
    <n v="15"/>
    <n v="13"/>
    <m/>
    <m/>
    <n v="2"/>
  </r>
  <r>
    <x v="0"/>
    <x v="11"/>
    <x v="30"/>
    <n v="21"/>
    <n v="17"/>
    <m/>
    <n v="1"/>
    <n v="3"/>
  </r>
  <r>
    <x v="1"/>
    <x v="0"/>
    <x v="0"/>
    <n v="2"/>
    <n v="2"/>
    <m/>
    <m/>
    <m/>
  </r>
  <r>
    <x v="1"/>
    <x v="0"/>
    <x v="1"/>
    <n v="1"/>
    <n v="1"/>
    <m/>
    <m/>
    <m/>
  </r>
  <r>
    <x v="1"/>
    <x v="0"/>
    <x v="2"/>
    <n v="1"/>
    <n v="1"/>
    <m/>
    <m/>
    <m/>
  </r>
  <r>
    <x v="1"/>
    <x v="0"/>
    <x v="4"/>
    <n v="3"/>
    <n v="2"/>
    <n v="1"/>
    <m/>
    <m/>
  </r>
  <r>
    <x v="1"/>
    <x v="0"/>
    <x v="6"/>
    <n v="3"/>
    <n v="3"/>
    <m/>
    <m/>
    <m/>
  </r>
  <r>
    <x v="1"/>
    <x v="0"/>
    <x v="7"/>
    <n v="4"/>
    <n v="4"/>
    <m/>
    <m/>
    <m/>
  </r>
  <r>
    <x v="1"/>
    <x v="0"/>
    <x v="10"/>
    <n v="1"/>
    <n v="1"/>
    <m/>
    <m/>
    <m/>
  </r>
  <r>
    <x v="1"/>
    <x v="0"/>
    <x v="11"/>
    <n v="3"/>
    <n v="1"/>
    <m/>
    <n v="2"/>
    <m/>
  </r>
  <r>
    <x v="1"/>
    <x v="0"/>
    <x v="12"/>
    <n v="1"/>
    <n v="1"/>
    <m/>
    <m/>
    <m/>
  </r>
  <r>
    <x v="1"/>
    <x v="0"/>
    <x v="13"/>
    <n v="4"/>
    <n v="4"/>
    <m/>
    <m/>
    <m/>
  </r>
  <r>
    <x v="1"/>
    <x v="0"/>
    <x v="14"/>
    <n v="12"/>
    <n v="12"/>
    <m/>
    <m/>
    <m/>
  </r>
  <r>
    <x v="1"/>
    <x v="0"/>
    <x v="15"/>
    <n v="1"/>
    <n v="1"/>
    <m/>
    <m/>
    <m/>
  </r>
  <r>
    <x v="1"/>
    <x v="0"/>
    <x v="16"/>
    <n v="3"/>
    <n v="3"/>
    <m/>
    <m/>
    <m/>
  </r>
  <r>
    <x v="1"/>
    <x v="0"/>
    <x v="19"/>
    <n v="1"/>
    <m/>
    <m/>
    <m/>
    <n v="1"/>
  </r>
  <r>
    <x v="1"/>
    <x v="0"/>
    <x v="20"/>
    <n v="1"/>
    <n v="1"/>
    <m/>
    <m/>
    <m/>
  </r>
  <r>
    <x v="1"/>
    <x v="0"/>
    <x v="21"/>
    <n v="2"/>
    <n v="1"/>
    <m/>
    <n v="1"/>
    <m/>
  </r>
  <r>
    <x v="1"/>
    <x v="0"/>
    <x v="22"/>
    <n v="1"/>
    <n v="1"/>
    <m/>
    <m/>
    <m/>
  </r>
  <r>
    <x v="1"/>
    <x v="0"/>
    <x v="23"/>
    <n v="3"/>
    <n v="3"/>
    <m/>
    <m/>
    <m/>
  </r>
  <r>
    <x v="1"/>
    <x v="0"/>
    <x v="24"/>
    <n v="2"/>
    <n v="1"/>
    <m/>
    <n v="1"/>
    <m/>
  </r>
  <r>
    <x v="1"/>
    <x v="0"/>
    <x v="25"/>
    <n v="1"/>
    <m/>
    <n v="1"/>
    <m/>
    <m/>
  </r>
  <r>
    <x v="1"/>
    <x v="0"/>
    <x v="26"/>
    <n v="1"/>
    <n v="1"/>
    <m/>
    <m/>
    <m/>
  </r>
  <r>
    <x v="1"/>
    <x v="0"/>
    <x v="27"/>
    <n v="3"/>
    <n v="3"/>
    <m/>
    <m/>
    <m/>
  </r>
  <r>
    <x v="1"/>
    <x v="0"/>
    <x v="28"/>
    <n v="1"/>
    <n v="1"/>
    <m/>
    <m/>
    <m/>
  </r>
  <r>
    <x v="1"/>
    <x v="0"/>
    <x v="29"/>
    <n v="4"/>
    <n v="2"/>
    <n v="2"/>
    <m/>
    <m/>
  </r>
  <r>
    <x v="1"/>
    <x v="0"/>
    <x v="30"/>
    <n v="3"/>
    <n v="3"/>
    <m/>
    <m/>
    <m/>
  </r>
  <r>
    <x v="1"/>
    <x v="1"/>
    <x v="0"/>
    <n v="1"/>
    <n v="1"/>
    <m/>
    <m/>
    <m/>
  </r>
  <r>
    <x v="1"/>
    <x v="1"/>
    <x v="1"/>
    <n v="6"/>
    <n v="4"/>
    <m/>
    <n v="2"/>
    <m/>
  </r>
  <r>
    <x v="1"/>
    <x v="1"/>
    <x v="2"/>
    <n v="1"/>
    <n v="1"/>
    <m/>
    <m/>
    <m/>
  </r>
  <r>
    <x v="1"/>
    <x v="1"/>
    <x v="3"/>
    <n v="2"/>
    <n v="2"/>
    <m/>
    <m/>
    <m/>
  </r>
  <r>
    <x v="1"/>
    <x v="1"/>
    <x v="4"/>
    <n v="6"/>
    <n v="6"/>
    <m/>
    <m/>
    <m/>
  </r>
  <r>
    <x v="1"/>
    <x v="1"/>
    <x v="7"/>
    <n v="4"/>
    <n v="4"/>
    <m/>
    <m/>
    <m/>
  </r>
  <r>
    <x v="1"/>
    <x v="1"/>
    <x v="8"/>
    <n v="1"/>
    <m/>
    <n v="1"/>
    <m/>
    <m/>
  </r>
  <r>
    <x v="1"/>
    <x v="1"/>
    <x v="9"/>
    <n v="1"/>
    <n v="1"/>
    <m/>
    <m/>
    <m/>
  </r>
  <r>
    <x v="1"/>
    <x v="1"/>
    <x v="12"/>
    <n v="2"/>
    <n v="2"/>
    <m/>
    <m/>
    <m/>
  </r>
  <r>
    <x v="1"/>
    <x v="1"/>
    <x v="13"/>
    <n v="4"/>
    <n v="2"/>
    <n v="1"/>
    <n v="1"/>
    <m/>
  </r>
  <r>
    <x v="1"/>
    <x v="1"/>
    <x v="14"/>
    <n v="10"/>
    <n v="10"/>
    <m/>
    <m/>
    <m/>
  </r>
  <r>
    <x v="1"/>
    <x v="1"/>
    <x v="15"/>
    <n v="1"/>
    <n v="1"/>
    <m/>
    <m/>
    <m/>
  </r>
  <r>
    <x v="1"/>
    <x v="1"/>
    <x v="16"/>
    <n v="1"/>
    <n v="1"/>
    <m/>
    <m/>
    <m/>
  </r>
  <r>
    <x v="1"/>
    <x v="1"/>
    <x v="17"/>
    <n v="1"/>
    <m/>
    <m/>
    <m/>
    <n v="1"/>
  </r>
  <r>
    <x v="1"/>
    <x v="1"/>
    <x v="18"/>
    <n v="1"/>
    <n v="1"/>
    <m/>
    <m/>
    <m/>
  </r>
  <r>
    <x v="1"/>
    <x v="1"/>
    <x v="21"/>
    <n v="1"/>
    <n v="1"/>
    <m/>
    <m/>
    <m/>
  </r>
  <r>
    <x v="1"/>
    <x v="1"/>
    <x v="24"/>
    <n v="2"/>
    <n v="1"/>
    <n v="1"/>
    <m/>
    <m/>
  </r>
  <r>
    <x v="1"/>
    <x v="1"/>
    <x v="26"/>
    <n v="1"/>
    <n v="1"/>
    <m/>
    <m/>
    <m/>
  </r>
  <r>
    <x v="1"/>
    <x v="1"/>
    <x v="27"/>
    <n v="1"/>
    <n v="1"/>
    <m/>
    <m/>
    <m/>
  </r>
  <r>
    <x v="1"/>
    <x v="1"/>
    <x v="29"/>
    <n v="4"/>
    <n v="4"/>
    <m/>
    <m/>
    <m/>
  </r>
  <r>
    <x v="1"/>
    <x v="1"/>
    <x v="30"/>
    <n v="1"/>
    <n v="1"/>
    <m/>
    <m/>
    <m/>
  </r>
  <r>
    <x v="1"/>
    <x v="2"/>
    <x v="0"/>
    <n v="2"/>
    <n v="2"/>
    <m/>
    <m/>
    <m/>
  </r>
  <r>
    <x v="1"/>
    <x v="2"/>
    <x v="1"/>
    <n v="2"/>
    <n v="2"/>
    <m/>
    <m/>
    <m/>
  </r>
  <r>
    <x v="1"/>
    <x v="2"/>
    <x v="2"/>
    <n v="2"/>
    <n v="2"/>
    <m/>
    <m/>
    <m/>
  </r>
  <r>
    <x v="1"/>
    <x v="2"/>
    <x v="3"/>
    <n v="5"/>
    <n v="5"/>
    <m/>
    <m/>
    <m/>
  </r>
  <r>
    <x v="1"/>
    <x v="2"/>
    <x v="4"/>
    <n v="3"/>
    <n v="3"/>
    <m/>
    <m/>
    <m/>
  </r>
  <r>
    <x v="1"/>
    <x v="2"/>
    <x v="6"/>
    <n v="1"/>
    <n v="1"/>
    <m/>
    <m/>
    <m/>
  </r>
  <r>
    <x v="1"/>
    <x v="2"/>
    <x v="7"/>
    <n v="2"/>
    <n v="2"/>
    <m/>
    <m/>
    <m/>
  </r>
  <r>
    <x v="1"/>
    <x v="2"/>
    <x v="8"/>
    <n v="3"/>
    <n v="3"/>
    <m/>
    <m/>
    <m/>
  </r>
  <r>
    <x v="1"/>
    <x v="2"/>
    <x v="10"/>
    <n v="1"/>
    <n v="1"/>
    <m/>
    <m/>
    <m/>
  </r>
  <r>
    <x v="1"/>
    <x v="2"/>
    <x v="12"/>
    <n v="2"/>
    <n v="2"/>
    <m/>
    <m/>
    <m/>
  </r>
  <r>
    <x v="1"/>
    <x v="2"/>
    <x v="13"/>
    <n v="4"/>
    <n v="4"/>
    <m/>
    <m/>
    <m/>
  </r>
  <r>
    <x v="1"/>
    <x v="2"/>
    <x v="14"/>
    <n v="9"/>
    <n v="8"/>
    <m/>
    <n v="1"/>
    <m/>
  </r>
  <r>
    <x v="1"/>
    <x v="2"/>
    <x v="15"/>
    <n v="6"/>
    <n v="2"/>
    <n v="1"/>
    <n v="2"/>
    <n v="1"/>
  </r>
  <r>
    <x v="1"/>
    <x v="2"/>
    <x v="16"/>
    <n v="2"/>
    <n v="2"/>
    <m/>
    <m/>
    <m/>
  </r>
  <r>
    <x v="1"/>
    <x v="2"/>
    <x v="17"/>
    <n v="2"/>
    <n v="2"/>
    <m/>
    <m/>
    <m/>
  </r>
  <r>
    <x v="1"/>
    <x v="2"/>
    <x v="19"/>
    <n v="2"/>
    <n v="1"/>
    <n v="1"/>
    <m/>
    <m/>
  </r>
  <r>
    <x v="1"/>
    <x v="2"/>
    <x v="20"/>
    <n v="1"/>
    <m/>
    <n v="1"/>
    <m/>
    <m/>
  </r>
  <r>
    <x v="1"/>
    <x v="2"/>
    <x v="21"/>
    <n v="1"/>
    <n v="1"/>
    <m/>
    <m/>
    <m/>
  </r>
  <r>
    <x v="1"/>
    <x v="2"/>
    <x v="23"/>
    <n v="1"/>
    <n v="1"/>
    <m/>
    <m/>
    <m/>
  </r>
  <r>
    <x v="1"/>
    <x v="2"/>
    <x v="25"/>
    <n v="3"/>
    <n v="2"/>
    <n v="1"/>
    <m/>
    <m/>
  </r>
  <r>
    <x v="1"/>
    <x v="2"/>
    <x v="26"/>
    <n v="1"/>
    <n v="1"/>
    <m/>
    <m/>
    <m/>
  </r>
  <r>
    <x v="1"/>
    <x v="2"/>
    <x v="27"/>
    <n v="1"/>
    <n v="1"/>
    <m/>
    <m/>
    <m/>
  </r>
  <r>
    <x v="1"/>
    <x v="2"/>
    <x v="28"/>
    <n v="1"/>
    <n v="1"/>
    <m/>
    <m/>
    <m/>
  </r>
  <r>
    <x v="1"/>
    <x v="2"/>
    <x v="30"/>
    <n v="2"/>
    <n v="2"/>
    <m/>
    <m/>
    <m/>
  </r>
  <r>
    <x v="1"/>
    <x v="3"/>
    <x v="0"/>
    <n v="3"/>
    <n v="3"/>
    <m/>
    <m/>
    <m/>
  </r>
  <r>
    <x v="1"/>
    <x v="3"/>
    <x v="1"/>
    <n v="3"/>
    <n v="2"/>
    <m/>
    <n v="1"/>
    <m/>
  </r>
  <r>
    <x v="1"/>
    <x v="3"/>
    <x v="4"/>
    <n v="7"/>
    <n v="6"/>
    <m/>
    <m/>
    <n v="1"/>
  </r>
  <r>
    <x v="1"/>
    <x v="3"/>
    <x v="7"/>
    <n v="1"/>
    <n v="1"/>
    <m/>
    <m/>
    <m/>
  </r>
  <r>
    <x v="1"/>
    <x v="3"/>
    <x v="9"/>
    <n v="1"/>
    <n v="1"/>
    <m/>
    <m/>
    <m/>
  </r>
  <r>
    <x v="1"/>
    <x v="3"/>
    <x v="10"/>
    <n v="1"/>
    <n v="1"/>
    <m/>
    <m/>
    <m/>
  </r>
  <r>
    <x v="1"/>
    <x v="3"/>
    <x v="12"/>
    <n v="1"/>
    <n v="1"/>
    <m/>
    <m/>
    <m/>
  </r>
  <r>
    <x v="1"/>
    <x v="3"/>
    <x v="13"/>
    <n v="2"/>
    <n v="2"/>
    <m/>
    <m/>
    <m/>
  </r>
  <r>
    <x v="1"/>
    <x v="3"/>
    <x v="14"/>
    <n v="7"/>
    <n v="5"/>
    <n v="1"/>
    <m/>
    <n v="1"/>
  </r>
  <r>
    <x v="1"/>
    <x v="3"/>
    <x v="15"/>
    <n v="1"/>
    <n v="1"/>
    <m/>
    <m/>
    <m/>
  </r>
  <r>
    <x v="1"/>
    <x v="3"/>
    <x v="17"/>
    <n v="2"/>
    <n v="1"/>
    <m/>
    <n v="1"/>
    <m/>
  </r>
  <r>
    <x v="1"/>
    <x v="3"/>
    <x v="18"/>
    <n v="1"/>
    <n v="1"/>
    <m/>
    <m/>
    <m/>
  </r>
  <r>
    <x v="1"/>
    <x v="3"/>
    <x v="19"/>
    <n v="1"/>
    <n v="1"/>
    <m/>
    <m/>
    <m/>
  </r>
  <r>
    <x v="1"/>
    <x v="3"/>
    <x v="21"/>
    <n v="2"/>
    <n v="2"/>
    <m/>
    <m/>
    <m/>
  </r>
  <r>
    <x v="1"/>
    <x v="3"/>
    <x v="23"/>
    <n v="1"/>
    <n v="1"/>
    <m/>
    <m/>
    <m/>
  </r>
  <r>
    <x v="1"/>
    <x v="3"/>
    <x v="24"/>
    <n v="1"/>
    <n v="1"/>
    <m/>
    <m/>
    <m/>
  </r>
  <r>
    <x v="1"/>
    <x v="3"/>
    <x v="25"/>
    <n v="1"/>
    <n v="1"/>
    <m/>
    <m/>
    <m/>
  </r>
  <r>
    <x v="1"/>
    <x v="3"/>
    <x v="31"/>
    <n v="1"/>
    <n v="1"/>
    <m/>
    <m/>
    <m/>
  </r>
  <r>
    <x v="1"/>
    <x v="3"/>
    <x v="26"/>
    <n v="2"/>
    <n v="2"/>
    <m/>
    <m/>
    <m/>
  </r>
  <r>
    <x v="1"/>
    <x v="3"/>
    <x v="27"/>
    <n v="4"/>
    <n v="4"/>
    <m/>
    <m/>
    <m/>
  </r>
  <r>
    <x v="1"/>
    <x v="3"/>
    <x v="28"/>
    <n v="1"/>
    <m/>
    <n v="1"/>
    <m/>
    <m/>
  </r>
  <r>
    <x v="1"/>
    <x v="3"/>
    <x v="29"/>
    <n v="1"/>
    <n v="1"/>
    <m/>
    <m/>
    <m/>
  </r>
  <r>
    <x v="1"/>
    <x v="3"/>
    <x v="30"/>
    <n v="1"/>
    <n v="1"/>
    <m/>
    <m/>
    <m/>
  </r>
  <r>
    <x v="1"/>
    <x v="4"/>
    <x v="0"/>
    <n v="1"/>
    <n v="1"/>
    <m/>
    <m/>
    <m/>
  </r>
  <r>
    <x v="1"/>
    <x v="4"/>
    <x v="1"/>
    <n v="3"/>
    <n v="3"/>
    <m/>
    <m/>
    <m/>
  </r>
  <r>
    <x v="1"/>
    <x v="4"/>
    <x v="2"/>
    <n v="1"/>
    <n v="1"/>
    <m/>
    <m/>
    <m/>
  </r>
  <r>
    <x v="1"/>
    <x v="4"/>
    <x v="4"/>
    <n v="4"/>
    <n v="4"/>
    <m/>
    <m/>
    <m/>
  </r>
  <r>
    <x v="1"/>
    <x v="4"/>
    <x v="8"/>
    <n v="1"/>
    <n v="1"/>
    <m/>
    <m/>
    <m/>
  </r>
  <r>
    <x v="1"/>
    <x v="4"/>
    <x v="10"/>
    <n v="1"/>
    <n v="1"/>
    <m/>
    <m/>
    <m/>
  </r>
  <r>
    <x v="1"/>
    <x v="4"/>
    <x v="12"/>
    <n v="2"/>
    <n v="2"/>
    <m/>
    <m/>
    <m/>
  </r>
  <r>
    <x v="1"/>
    <x v="4"/>
    <x v="13"/>
    <n v="2"/>
    <n v="2"/>
    <m/>
    <m/>
    <m/>
  </r>
  <r>
    <x v="1"/>
    <x v="4"/>
    <x v="14"/>
    <n v="5"/>
    <n v="5"/>
    <m/>
    <m/>
    <m/>
  </r>
  <r>
    <x v="1"/>
    <x v="4"/>
    <x v="15"/>
    <n v="1"/>
    <n v="1"/>
    <m/>
    <m/>
    <m/>
  </r>
  <r>
    <x v="1"/>
    <x v="4"/>
    <x v="16"/>
    <n v="1"/>
    <n v="1"/>
    <m/>
    <m/>
    <m/>
  </r>
  <r>
    <x v="1"/>
    <x v="4"/>
    <x v="20"/>
    <n v="1"/>
    <n v="1"/>
    <m/>
    <m/>
    <m/>
  </r>
  <r>
    <x v="1"/>
    <x v="4"/>
    <x v="21"/>
    <n v="1"/>
    <n v="1"/>
    <m/>
    <m/>
    <m/>
  </r>
  <r>
    <x v="1"/>
    <x v="4"/>
    <x v="25"/>
    <n v="1"/>
    <m/>
    <m/>
    <n v="1"/>
    <m/>
  </r>
  <r>
    <x v="1"/>
    <x v="4"/>
    <x v="26"/>
    <n v="2"/>
    <n v="2"/>
    <m/>
    <m/>
    <m/>
  </r>
  <r>
    <x v="1"/>
    <x v="4"/>
    <x v="27"/>
    <n v="2"/>
    <n v="2"/>
    <m/>
    <m/>
    <m/>
  </r>
  <r>
    <x v="1"/>
    <x v="4"/>
    <x v="28"/>
    <n v="1"/>
    <m/>
    <n v="1"/>
    <m/>
    <m/>
  </r>
  <r>
    <x v="1"/>
    <x v="4"/>
    <x v="30"/>
    <n v="1"/>
    <n v="1"/>
    <m/>
    <m/>
    <m/>
  </r>
  <r>
    <x v="1"/>
    <x v="5"/>
    <x v="0"/>
    <n v="3"/>
    <n v="2"/>
    <m/>
    <m/>
    <n v="1"/>
  </r>
  <r>
    <x v="1"/>
    <x v="5"/>
    <x v="1"/>
    <n v="2"/>
    <n v="2"/>
    <m/>
    <m/>
    <m/>
  </r>
  <r>
    <x v="1"/>
    <x v="5"/>
    <x v="2"/>
    <n v="1"/>
    <n v="1"/>
    <m/>
    <m/>
    <m/>
  </r>
  <r>
    <x v="1"/>
    <x v="5"/>
    <x v="3"/>
    <n v="1"/>
    <m/>
    <m/>
    <m/>
    <n v="1"/>
  </r>
  <r>
    <x v="1"/>
    <x v="5"/>
    <x v="4"/>
    <n v="4"/>
    <n v="3"/>
    <n v="1"/>
    <m/>
    <m/>
  </r>
  <r>
    <x v="1"/>
    <x v="5"/>
    <x v="6"/>
    <n v="3"/>
    <n v="3"/>
    <m/>
    <m/>
    <m/>
  </r>
  <r>
    <x v="1"/>
    <x v="5"/>
    <x v="7"/>
    <n v="2"/>
    <n v="1"/>
    <n v="1"/>
    <m/>
    <m/>
  </r>
  <r>
    <x v="1"/>
    <x v="5"/>
    <x v="8"/>
    <n v="1"/>
    <m/>
    <m/>
    <m/>
    <n v="1"/>
  </r>
  <r>
    <x v="1"/>
    <x v="5"/>
    <x v="13"/>
    <n v="3"/>
    <n v="2"/>
    <m/>
    <n v="1"/>
    <m/>
  </r>
  <r>
    <x v="1"/>
    <x v="5"/>
    <x v="14"/>
    <n v="2"/>
    <n v="1"/>
    <m/>
    <m/>
    <n v="1"/>
  </r>
  <r>
    <x v="1"/>
    <x v="5"/>
    <x v="15"/>
    <n v="4"/>
    <n v="4"/>
    <m/>
    <m/>
    <m/>
  </r>
  <r>
    <x v="1"/>
    <x v="5"/>
    <x v="17"/>
    <n v="1"/>
    <n v="1"/>
    <m/>
    <m/>
    <m/>
  </r>
  <r>
    <x v="1"/>
    <x v="5"/>
    <x v="18"/>
    <n v="1"/>
    <n v="1"/>
    <m/>
    <m/>
    <m/>
  </r>
  <r>
    <x v="1"/>
    <x v="5"/>
    <x v="21"/>
    <n v="3"/>
    <n v="3"/>
    <m/>
    <m/>
    <m/>
  </r>
  <r>
    <x v="1"/>
    <x v="5"/>
    <x v="24"/>
    <n v="2"/>
    <n v="2"/>
    <m/>
    <m/>
    <m/>
  </r>
  <r>
    <x v="1"/>
    <x v="5"/>
    <x v="25"/>
    <n v="1"/>
    <m/>
    <m/>
    <m/>
    <n v="1"/>
  </r>
  <r>
    <x v="1"/>
    <x v="5"/>
    <x v="26"/>
    <n v="3"/>
    <n v="3"/>
    <m/>
    <m/>
    <m/>
  </r>
  <r>
    <x v="1"/>
    <x v="5"/>
    <x v="27"/>
    <n v="1"/>
    <n v="1"/>
    <m/>
    <m/>
    <m/>
  </r>
  <r>
    <x v="1"/>
    <x v="5"/>
    <x v="28"/>
    <n v="1"/>
    <n v="1"/>
    <m/>
    <m/>
    <m/>
  </r>
  <r>
    <x v="1"/>
    <x v="5"/>
    <x v="29"/>
    <n v="1"/>
    <m/>
    <n v="1"/>
    <m/>
    <m/>
  </r>
  <r>
    <x v="1"/>
    <x v="6"/>
    <x v="0"/>
    <n v="1"/>
    <n v="1"/>
    <m/>
    <m/>
    <m/>
  </r>
  <r>
    <x v="1"/>
    <x v="6"/>
    <x v="1"/>
    <n v="2"/>
    <n v="2"/>
    <m/>
    <m/>
    <m/>
  </r>
  <r>
    <x v="1"/>
    <x v="6"/>
    <x v="2"/>
    <n v="1"/>
    <m/>
    <n v="1"/>
    <m/>
    <m/>
  </r>
  <r>
    <x v="1"/>
    <x v="6"/>
    <x v="3"/>
    <n v="1"/>
    <m/>
    <n v="1"/>
    <m/>
    <m/>
  </r>
  <r>
    <x v="1"/>
    <x v="6"/>
    <x v="4"/>
    <n v="4"/>
    <n v="4"/>
    <m/>
    <m/>
    <m/>
  </r>
  <r>
    <x v="1"/>
    <x v="6"/>
    <x v="6"/>
    <n v="3"/>
    <n v="2"/>
    <m/>
    <n v="1"/>
    <m/>
  </r>
  <r>
    <x v="1"/>
    <x v="6"/>
    <x v="7"/>
    <n v="2"/>
    <n v="2"/>
    <m/>
    <m/>
    <m/>
  </r>
  <r>
    <x v="1"/>
    <x v="6"/>
    <x v="10"/>
    <n v="1"/>
    <n v="1"/>
    <m/>
    <m/>
    <m/>
  </r>
  <r>
    <x v="1"/>
    <x v="6"/>
    <x v="11"/>
    <n v="2"/>
    <n v="1"/>
    <n v="1"/>
    <m/>
    <m/>
  </r>
  <r>
    <x v="1"/>
    <x v="6"/>
    <x v="12"/>
    <n v="2"/>
    <n v="2"/>
    <m/>
    <m/>
    <m/>
  </r>
  <r>
    <x v="1"/>
    <x v="6"/>
    <x v="13"/>
    <n v="1"/>
    <n v="1"/>
    <m/>
    <m/>
    <m/>
  </r>
  <r>
    <x v="1"/>
    <x v="6"/>
    <x v="14"/>
    <n v="4"/>
    <n v="4"/>
    <m/>
    <m/>
    <m/>
  </r>
  <r>
    <x v="1"/>
    <x v="6"/>
    <x v="15"/>
    <n v="6"/>
    <n v="5"/>
    <m/>
    <n v="1"/>
    <m/>
  </r>
  <r>
    <x v="1"/>
    <x v="6"/>
    <x v="16"/>
    <n v="1"/>
    <n v="1"/>
    <m/>
    <m/>
    <m/>
  </r>
  <r>
    <x v="1"/>
    <x v="6"/>
    <x v="20"/>
    <n v="1"/>
    <n v="1"/>
    <m/>
    <m/>
    <m/>
  </r>
  <r>
    <x v="1"/>
    <x v="6"/>
    <x v="21"/>
    <n v="4"/>
    <n v="4"/>
    <m/>
    <m/>
    <m/>
  </r>
  <r>
    <x v="1"/>
    <x v="6"/>
    <x v="25"/>
    <n v="1"/>
    <n v="1"/>
    <m/>
    <m/>
    <m/>
  </r>
  <r>
    <x v="1"/>
    <x v="6"/>
    <x v="31"/>
    <n v="1"/>
    <n v="1"/>
    <m/>
    <m/>
    <m/>
  </r>
  <r>
    <x v="1"/>
    <x v="6"/>
    <x v="26"/>
    <n v="1"/>
    <m/>
    <m/>
    <n v="1"/>
    <m/>
  </r>
  <r>
    <x v="1"/>
    <x v="6"/>
    <x v="27"/>
    <n v="4"/>
    <n v="4"/>
    <m/>
    <m/>
    <m/>
  </r>
  <r>
    <x v="1"/>
    <x v="6"/>
    <x v="28"/>
    <n v="1"/>
    <n v="1"/>
    <m/>
    <m/>
    <m/>
  </r>
  <r>
    <x v="1"/>
    <x v="6"/>
    <x v="30"/>
    <n v="1"/>
    <n v="1"/>
    <m/>
    <m/>
    <m/>
  </r>
  <r>
    <x v="1"/>
    <x v="7"/>
    <x v="0"/>
    <n v="2"/>
    <n v="2"/>
    <m/>
    <m/>
    <m/>
  </r>
  <r>
    <x v="1"/>
    <x v="7"/>
    <x v="1"/>
    <n v="2"/>
    <n v="2"/>
    <m/>
    <m/>
    <m/>
  </r>
  <r>
    <x v="1"/>
    <x v="7"/>
    <x v="4"/>
    <n v="3"/>
    <n v="3"/>
    <m/>
    <m/>
    <m/>
  </r>
  <r>
    <x v="1"/>
    <x v="7"/>
    <x v="6"/>
    <n v="1"/>
    <n v="1"/>
    <m/>
    <m/>
    <m/>
  </r>
  <r>
    <x v="1"/>
    <x v="7"/>
    <x v="7"/>
    <n v="1"/>
    <m/>
    <m/>
    <n v="1"/>
    <m/>
  </r>
  <r>
    <x v="1"/>
    <x v="7"/>
    <x v="8"/>
    <n v="3"/>
    <n v="2"/>
    <n v="1"/>
    <m/>
    <m/>
  </r>
  <r>
    <x v="1"/>
    <x v="7"/>
    <x v="9"/>
    <n v="2"/>
    <n v="2"/>
    <m/>
    <m/>
    <m/>
  </r>
  <r>
    <x v="1"/>
    <x v="7"/>
    <x v="12"/>
    <n v="2"/>
    <n v="2"/>
    <m/>
    <m/>
    <m/>
  </r>
  <r>
    <x v="1"/>
    <x v="7"/>
    <x v="13"/>
    <n v="4"/>
    <n v="4"/>
    <m/>
    <m/>
    <m/>
  </r>
  <r>
    <x v="1"/>
    <x v="7"/>
    <x v="14"/>
    <n v="8"/>
    <n v="6"/>
    <n v="2"/>
    <m/>
    <m/>
  </r>
  <r>
    <x v="1"/>
    <x v="7"/>
    <x v="15"/>
    <n v="3"/>
    <n v="2"/>
    <m/>
    <n v="1"/>
    <m/>
  </r>
  <r>
    <x v="1"/>
    <x v="7"/>
    <x v="16"/>
    <n v="1"/>
    <n v="1"/>
    <m/>
    <m/>
    <m/>
  </r>
  <r>
    <x v="1"/>
    <x v="7"/>
    <x v="17"/>
    <n v="1"/>
    <m/>
    <m/>
    <n v="1"/>
    <m/>
  </r>
  <r>
    <x v="1"/>
    <x v="7"/>
    <x v="18"/>
    <n v="1"/>
    <n v="1"/>
    <m/>
    <m/>
    <m/>
  </r>
  <r>
    <x v="1"/>
    <x v="7"/>
    <x v="19"/>
    <n v="3"/>
    <n v="3"/>
    <m/>
    <m/>
    <m/>
  </r>
  <r>
    <x v="1"/>
    <x v="7"/>
    <x v="20"/>
    <n v="1"/>
    <m/>
    <m/>
    <n v="1"/>
    <m/>
  </r>
  <r>
    <x v="1"/>
    <x v="7"/>
    <x v="21"/>
    <n v="1"/>
    <n v="1"/>
    <m/>
    <m/>
    <m/>
  </r>
  <r>
    <x v="1"/>
    <x v="7"/>
    <x v="23"/>
    <n v="1"/>
    <n v="1"/>
    <m/>
    <m/>
    <m/>
  </r>
  <r>
    <x v="1"/>
    <x v="7"/>
    <x v="24"/>
    <n v="1"/>
    <n v="1"/>
    <m/>
    <m/>
    <m/>
  </r>
  <r>
    <x v="1"/>
    <x v="7"/>
    <x v="25"/>
    <n v="1"/>
    <n v="1"/>
    <m/>
    <m/>
    <m/>
  </r>
  <r>
    <x v="1"/>
    <x v="7"/>
    <x v="27"/>
    <n v="1"/>
    <m/>
    <m/>
    <n v="1"/>
    <m/>
  </r>
  <r>
    <x v="1"/>
    <x v="7"/>
    <x v="28"/>
    <n v="1"/>
    <n v="1"/>
    <m/>
    <m/>
    <m/>
  </r>
  <r>
    <x v="1"/>
    <x v="8"/>
    <x v="0"/>
    <n v="3"/>
    <n v="3"/>
    <m/>
    <m/>
    <m/>
  </r>
  <r>
    <x v="1"/>
    <x v="8"/>
    <x v="1"/>
    <n v="1"/>
    <n v="1"/>
    <m/>
    <m/>
    <m/>
  </r>
  <r>
    <x v="1"/>
    <x v="8"/>
    <x v="3"/>
    <n v="1"/>
    <n v="1"/>
    <m/>
    <m/>
    <m/>
  </r>
  <r>
    <x v="1"/>
    <x v="8"/>
    <x v="4"/>
    <n v="1"/>
    <n v="1"/>
    <m/>
    <m/>
    <m/>
  </r>
  <r>
    <x v="1"/>
    <x v="8"/>
    <x v="6"/>
    <n v="5"/>
    <n v="3"/>
    <m/>
    <n v="2"/>
    <m/>
  </r>
  <r>
    <x v="1"/>
    <x v="8"/>
    <x v="8"/>
    <n v="1"/>
    <n v="1"/>
    <m/>
    <m/>
    <m/>
  </r>
  <r>
    <x v="1"/>
    <x v="8"/>
    <x v="10"/>
    <n v="2"/>
    <n v="2"/>
    <m/>
    <m/>
    <m/>
  </r>
  <r>
    <x v="1"/>
    <x v="8"/>
    <x v="12"/>
    <n v="2"/>
    <n v="2"/>
    <m/>
    <m/>
    <m/>
  </r>
  <r>
    <x v="1"/>
    <x v="8"/>
    <x v="13"/>
    <n v="2"/>
    <n v="2"/>
    <m/>
    <m/>
    <m/>
  </r>
  <r>
    <x v="1"/>
    <x v="8"/>
    <x v="14"/>
    <n v="5"/>
    <n v="5"/>
    <m/>
    <m/>
    <m/>
  </r>
  <r>
    <x v="1"/>
    <x v="8"/>
    <x v="15"/>
    <n v="2"/>
    <n v="2"/>
    <m/>
    <m/>
    <m/>
  </r>
  <r>
    <x v="1"/>
    <x v="8"/>
    <x v="18"/>
    <n v="1"/>
    <m/>
    <m/>
    <m/>
    <n v="1"/>
  </r>
  <r>
    <x v="1"/>
    <x v="8"/>
    <x v="19"/>
    <n v="1"/>
    <n v="1"/>
    <m/>
    <m/>
    <m/>
  </r>
  <r>
    <x v="1"/>
    <x v="8"/>
    <x v="21"/>
    <n v="2"/>
    <n v="1"/>
    <n v="1"/>
    <m/>
    <m/>
  </r>
  <r>
    <x v="1"/>
    <x v="8"/>
    <x v="24"/>
    <n v="1"/>
    <n v="1"/>
    <m/>
    <m/>
    <m/>
  </r>
  <r>
    <x v="1"/>
    <x v="8"/>
    <x v="25"/>
    <n v="1"/>
    <n v="1"/>
    <m/>
    <m/>
    <m/>
  </r>
  <r>
    <x v="1"/>
    <x v="8"/>
    <x v="26"/>
    <n v="4"/>
    <n v="3"/>
    <m/>
    <n v="1"/>
    <m/>
  </r>
  <r>
    <x v="1"/>
    <x v="8"/>
    <x v="27"/>
    <n v="4"/>
    <n v="4"/>
    <m/>
    <m/>
    <m/>
  </r>
  <r>
    <x v="1"/>
    <x v="8"/>
    <x v="28"/>
    <n v="2"/>
    <n v="2"/>
    <m/>
    <m/>
    <m/>
  </r>
  <r>
    <x v="1"/>
    <x v="8"/>
    <x v="29"/>
    <n v="3"/>
    <n v="1"/>
    <n v="2"/>
    <m/>
    <m/>
  </r>
  <r>
    <x v="1"/>
    <x v="9"/>
    <x v="0"/>
    <n v="2"/>
    <n v="2"/>
    <m/>
    <m/>
    <m/>
  </r>
  <r>
    <x v="1"/>
    <x v="9"/>
    <x v="1"/>
    <n v="1"/>
    <n v="1"/>
    <m/>
    <m/>
    <m/>
  </r>
  <r>
    <x v="1"/>
    <x v="9"/>
    <x v="2"/>
    <n v="2"/>
    <n v="2"/>
    <m/>
    <m/>
    <m/>
  </r>
  <r>
    <x v="1"/>
    <x v="9"/>
    <x v="4"/>
    <n v="2"/>
    <n v="2"/>
    <m/>
    <m/>
    <m/>
  </r>
  <r>
    <x v="1"/>
    <x v="9"/>
    <x v="10"/>
    <n v="2"/>
    <n v="2"/>
    <m/>
    <m/>
    <m/>
  </r>
  <r>
    <x v="1"/>
    <x v="9"/>
    <x v="12"/>
    <n v="1"/>
    <n v="1"/>
    <m/>
    <m/>
    <m/>
  </r>
  <r>
    <x v="1"/>
    <x v="9"/>
    <x v="13"/>
    <n v="2"/>
    <n v="2"/>
    <m/>
    <m/>
    <m/>
  </r>
  <r>
    <x v="1"/>
    <x v="9"/>
    <x v="14"/>
    <n v="4"/>
    <n v="2"/>
    <m/>
    <m/>
    <n v="2"/>
  </r>
  <r>
    <x v="1"/>
    <x v="9"/>
    <x v="15"/>
    <n v="3"/>
    <n v="2"/>
    <n v="1"/>
    <m/>
    <m/>
  </r>
  <r>
    <x v="1"/>
    <x v="9"/>
    <x v="16"/>
    <n v="4"/>
    <n v="4"/>
    <m/>
    <m/>
    <m/>
  </r>
  <r>
    <x v="1"/>
    <x v="9"/>
    <x v="17"/>
    <n v="1"/>
    <n v="1"/>
    <m/>
    <m/>
    <m/>
  </r>
  <r>
    <x v="1"/>
    <x v="9"/>
    <x v="18"/>
    <n v="2"/>
    <n v="2"/>
    <m/>
    <m/>
    <m/>
  </r>
  <r>
    <x v="1"/>
    <x v="9"/>
    <x v="20"/>
    <n v="5"/>
    <n v="5"/>
    <m/>
    <m/>
    <m/>
  </r>
  <r>
    <x v="1"/>
    <x v="9"/>
    <x v="21"/>
    <n v="2"/>
    <n v="2"/>
    <m/>
    <m/>
    <m/>
  </r>
  <r>
    <x v="1"/>
    <x v="9"/>
    <x v="23"/>
    <n v="1"/>
    <n v="1"/>
    <m/>
    <m/>
    <m/>
  </r>
  <r>
    <x v="1"/>
    <x v="9"/>
    <x v="24"/>
    <n v="2"/>
    <n v="1"/>
    <m/>
    <n v="1"/>
    <m/>
  </r>
  <r>
    <x v="1"/>
    <x v="9"/>
    <x v="25"/>
    <n v="1"/>
    <n v="1"/>
    <m/>
    <m/>
    <m/>
  </r>
  <r>
    <x v="1"/>
    <x v="9"/>
    <x v="31"/>
    <n v="1"/>
    <n v="1"/>
    <m/>
    <m/>
    <m/>
  </r>
  <r>
    <x v="1"/>
    <x v="9"/>
    <x v="26"/>
    <n v="1"/>
    <n v="1"/>
    <m/>
    <m/>
    <m/>
  </r>
  <r>
    <x v="1"/>
    <x v="9"/>
    <x v="27"/>
    <n v="1"/>
    <n v="1"/>
    <m/>
    <m/>
    <m/>
  </r>
  <r>
    <x v="1"/>
    <x v="9"/>
    <x v="28"/>
    <n v="2"/>
    <n v="2"/>
    <m/>
    <m/>
    <m/>
  </r>
  <r>
    <x v="1"/>
    <x v="9"/>
    <x v="29"/>
    <n v="1"/>
    <n v="1"/>
    <m/>
    <m/>
    <m/>
  </r>
  <r>
    <x v="1"/>
    <x v="9"/>
    <x v="30"/>
    <n v="1"/>
    <n v="1"/>
    <m/>
    <m/>
    <m/>
  </r>
  <r>
    <x v="1"/>
    <x v="10"/>
    <x v="1"/>
    <n v="2"/>
    <n v="2"/>
    <m/>
    <m/>
    <m/>
  </r>
  <r>
    <x v="1"/>
    <x v="10"/>
    <x v="3"/>
    <n v="1"/>
    <n v="1"/>
    <m/>
    <m/>
    <m/>
  </r>
  <r>
    <x v="1"/>
    <x v="10"/>
    <x v="4"/>
    <n v="1"/>
    <n v="1"/>
    <m/>
    <m/>
    <m/>
  </r>
  <r>
    <x v="1"/>
    <x v="10"/>
    <x v="8"/>
    <n v="1"/>
    <n v="1"/>
    <m/>
    <m/>
    <m/>
  </r>
  <r>
    <x v="1"/>
    <x v="10"/>
    <x v="12"/>
    <n v="2"/>
    <n v="2"/>
    <m/>
    <m/>
    <m/>
  </r>
  <r>
    <x v="1"/>
    <x v="10"/>
    <x v="13"/>
    <n v="1"/>
    <n v="1"/>
    <m/>
    <m/>
    <m/>
  </r>
  <r>
    <x v="1"/>
    <x v="10"/>
    <x v="14"/>
    <n v="3"/>
    <n v="3"/>
    <m/>
    <m/>
    <m/>
  </r>
  <r>
    <x v="1"/>
    <x v="10"/>
    <x v="20"/>
    <n v="1"/>
    <n v="1"/>
    <m/>
    <m/>
    <m/>
  </r>
  <r>
    <x v="1"/>
    <x v="10"/>
    <x v="21"/>
    <n v="6"/>
    <n v="4"/>
    <n v="1"/>
    <n v="1"/>
    <m/>
  </r>
  <r>
    <x v="1"/>
    <x v="10"/>
    <x v="22"/>
    <n v="1"/>
    <n v="1"/>
    <m/>
    <m/>
    <m/>
  </r>
  <r>
    <x v="1"/>
    <x v="10"/>
    <x v="23"/>
    <n v="1"/>
    <m/>
    <n v="1"/>
    <m/>
    <m/>
  </r>
  <r>
    <x v="1"/>
    <x v="10"/>
    <x v="31"/>
    <n v="1"/>
    <n v="1"/>
    <m/>
    <m/>
    <m/>
  </r>
  <r>
    <x v="1"/>
    <x v="10"/>
    <x v="26"/>
    <n v="1"/>
    <m/>
    <n v="1"/>
    <m/>
    <m/>
  </r>
  <r>
    <x v="1"/>
    <x v="10"/>
    <x v="27"/>
    <n v="2"/>
    <n v="2"/>
    <m/>
    <m/>
    <m/>
  </r>
  <r>
    <x v="1"/>
    <x v="10"/>
    <x v="28"/>
    <n v="1"/>
    <n v="1"/>
    <m/>
    <m/>
    <m/>
  </r>
  <r>
    <x v="1"/>
    <x v="10"/>
    <x v="30"/>
    <n v="2"/>
    <m/>
    <m/>
    <n v="2"/>
    <m/>
  </r>
  <r>
    <x v="1"/>
    <x v="11"/>
    <x v="0"/>
    <n v="3"/>
    <n v="3"/>
    <m/>
    <m/>
    <m/>
  </r>
  <r>
    <x v="1"/>
    <x v="11"/>
    <x v="1"/>
    <n v="1"/>
    <n v="1"/>
    <m/>
    <m/>
    <m/>
  </r>
  <r>
    <x v="1"/>
    <x v="11"/>
    <x v="3"/>
    <n v="1"/>
    <n v="1"/>
    <m/>
    <m/>
    <m/>
  </r>
  <r>
    <x v="1"/>
    <x v="11"/>
    <x v="4"/>
    <n v="2"/>
    <n v="2"/>
    <m/>
    <m/>
    <m/>
  </r>
  <r>
    <x v="1"/>
    <x v="11"/>
    <x v="5"/>
    <n v="2"/>
    <n v="2"/>
    <m/>
    <m/>
    <m/>
  </r>
  <r>
    <x v="1"/>
    <x v="11"/>
    <x v="6"/>
    <n v="2"/>
    <n v="2"/>
    <m/>
    <m/>
    <m/>
  </r>
  <r>
    <x v="1"/>
    <x v="11"/>
    <x v="7"/>
    <n v="3"/>
    <n v="3"/>
    <m/>
    <m/>
    <m/>
  </r>
  <r>
    <x v="1"/>
    <x v="11"/>
    <x v="8"/>
    <n v="2"/>
    <n v="1"/>
    <m/>
    <n v="1"/>
    <m/>
  </r>
  <r>
    <x v="1"/>
    <x v="11"/>
    <x v="9"/>
    <n v="1"/>
    <n v="1"/>
    <m/>
    <m/>
    <m/>
  </r>
  <r>
    <x v="1"/>
    <x v="11"/>
    <x v="10"/>
    <n v="1"/>
    <n v="1"/>
    <m/>
    <m/>
    <m/>
  </r>
  <r>
    <x v="1"/>
    <x v="11"/>
    <x v="11"/>
    <n v="1"/>
    <n v="1"/>
    <m/>
    <m/>
    <m/>
  </r>
  <r>
    <x v="1"/>
    <x v="11"/>
    <x v="13"/>
    <n v="2"/>
    <n v="2"/>
    <m/>
    <m/>
    <m/>
  </r>
  <r>
    <x v="1"/>
    <x v="11"/>
    <x v="14"/>
    <n v="10"/>
    <n v="7"/>
    <n v="1"/>
    <n v="2"/>
    <m/>
  </r>
  <r>
    <x v="1"/>
    <x v="11"/>
    <x v="15"/>
    <n v="1"/>
    <m/>
    <n v="1"/>
    <m/>
    <m/>
  </r>
  <r>
    <x v="1"/>
    <x v="11"/>
    <x v="16"/>
    <n v="2"/>
    <n v="2"/>
    <m/>
    <m/>
    <m/>
  </r>
  <r>
    <x v="1"/>
    <x v="11"/>
    <x v="17"/>
    <n v="2"/>
    <n v="1"/>
    <m/>
    <n v="1"/>
    <m/>
  </r>
  <r>
    <x v="1"/>
    <x v="11"/>
    <x v="18"/>
    <n v="1"/>
    <n v="1"/>
    <m/>
    <m/>
    <m/>
  </r>
  <r>
    <x v="1"/>
    <x v="11"/>
    <x v="20"/>
    <n v="1"/>
    <m/>
    <m/>
    <m/>
    <n v="1"/>
  </r>
  <r>
    <x v="1"/>
    <x v="11"/>
    <x v="21"/>
    <n v="2"/>
    <n v="2"/>
    <m/>
    <m/>
    <m/>
  </r>
  <r>
    <x v="1"/>
    <x v="11"/>
    <x v="24"/>
    <n v="3"/>
    <n v="3"/>
    <m/>
    <m/>
    <m/>
  </r>
  <r>
    <x v="1"/>
    <x v="11"/>
    <x v="25"/>
    <n v="2"/>
    <n v="1"/>
    <m/>
    <m/>
    <n v="1"/>
  </r>
  <r>
    <x v="1"/>
    <x v="11"/>
    <x v="31"/>
    <n v="1"/>
    <m/>
    <m/>
    <n v="1"/>
    <m/>
  </r>
  <r>
    <x v="1"/>
    <x v="11"/>
    <x v="26"/>
    <n v="1"/>
    <n v="1"/>
    <m/>
    <m/>
    <m/>
  </r>
  <r>
    <x v="1"/>
    <x v="11"/>
    <x v="27"/>
    <n v="2"/>
    <n v="2"/>
    <m/>
    <m/>
    <m/>
  </r>
  <r>
    <x v="1"/>
    <x v="11"/>
    <x v="29"/>
    <n v="2"/>
    <n v="2"/>
    <m/>
    <m/>
    <m/>
  </r>
  <r>
    <x v="1"/>
    <x v="11"/>
    <x v="30"/>
    <n v="2"/>
    <n v="2"/>
    <m/>
    <m/>
    <m/>
  </r>
  <r>
    <x v="2"/>
    <x v="0"/>
    <x v="0"/>
    <n v="69"/>
    <n v="61"/>
    <n v="4"/>
    <n v="3"/>
    <n v="1"/>
  </r>
  <r>
    <x v="2"/>
    <x v="0"/>
    <x v="1"/>
    <n v="60"/>
    <n v="41"/>
    <n v="10"/>
    <n v="6"/>
    <n v="3"/>
  </r>
  <r>
    <x v="2"/>
    <x v="0"/>
    <x v="2"/>
    <n v="23"/>
    <n v="19"/>
    <n v="1"/>
    <n v="3"/>
    <m/>
  </r>
  <r>
    <x v="2"/>
    <x v="0"/>
    <x v="3"/>
    <n v="8"/>
    <n v="5"/>
    <n v="2"/>
    <n v="1"/>
    <m/>
  </r>
  <r>
    <x v="2"/>
    <x v="0"/>
    <x v="4"/>
    <n v="200"/>
    <n v="173"/>
    <n v="18"/>
    <n v="7"/>
    <n v="2"/>
  </r>
  <r>
    <x v="2"/>
    <x v="0"/>
    <x v="5"/>
    <n v="12"/>
    <n v="11"/>
    <m/>
    <n v="1"/>
    <m/>
  </r>
  <r>
    <x v="2"/>
    <x v="0"/>
    <x v="6"/>
    <n v="23"/>
    <n v="16"/>
    <n v="3"/>
    <n v="3"/>
    <n v="1"/>
  </r>
  <r>
    <x v="2"/>
    <x v="0"/>
    <x v="7"/>
    <n v="49"/>
    <n v="47"/>
    <n v="2"/>
    <m/>
    <m/>
  </r>
  <r>
    <x v="2"/>
    <x v="0"/>
    <x v="8"/>
    <n v="16"/>
    <n v="14"/>
    <n v="1"/>
    <m/>
    <n v="1"/>
  </r>
  <r>
    <x v="2"/>
    <x v="0"/>
    <x v="9"/>
    <n v="12"/>
    <n v="11"/>
    <n v="1"/>
    <m/>
    <m/>
  </r>
  <r>
    <x v="2"/>
    <x v="0"/>
    <x v="10"/>
    <n v="27"/>
    <n v="22"/>
    <n v="1"/>
    <n v="4"/>
    <m/>
  </r>
  <r>
    <x v="2"/>
    <x v="0"/>
    <x v="11"/>
    <n v="7"/>
    <n v="2"/>
    <n v="2"/>
    <n v="3"/>
    <m/>
  </r>
  <r>
    <x v="2"/>
    <x v="0"/>
    <x v="12"/>
    <n v="26"/>
    <n v="21"/>
    <n v="2"/>
    <n v="3"/>
    <m/>
  </r>
  <r>
    <x v="2"/>
    <x v="0"/>
    <x v="13"/>
    <n v="93"/>
    <n v="77"/>
    <n v="5"/>
    <n v="7"/>
    <n v="4"/>
  </r>
  <r>
    <x v="2"/>
    <x v="0"/>
    <x v="14"/>
    <n v="167"/>
    <n v="154"/>
    <n v="8"/>
    <n v="4"/>
    <n v="1"/>
  </r>
  <r>
    <x v="2"/>
    <x v="0"/>
    <x v="15"/>
    <n v="36"/>
    <n v="29"/>
    <n v="3"/>
    <n v="2"/>
    <n v="2"/>
  </r>
  <r>
    <x v="2"/>
    <x v="0"/>
    <x v="16"/>
    <n v="34"/>
    <n v="33"/>
    <m/>
    <m/>
    <n v="1"/>
  </r>
  <r>
    <x v="2"/>
    <x v="0"/>
    <x v="17"/>
    <n v="22"/>
    <n v="14"/>
    <n v="3"/>
    <n v="3"/>
    <n v="2"/>
  </r>
  <r>
    <x v="2"/>
    <x v="0"/>
    <x v="18"/>
    <n v="33"/>
    <n v="22"/>
    <n v="1"/>
    <n v="6"/>
    <n v="4"/>
  </r>
  <r>
    <x v="2"/>
    <x v="0"/>
    <x v="19"/>
    <n v="13"/>
    <n v="12"/>
    <n v="1"/>
    <m/>
    <m/>
  </r>
  <r>
    <x v="2"/>
    <x v="0"/>
    <x v="20"/>
    <n v="23"/>
    <n v="21"/>
    <n v="1"/>
    <m/>
    <n v="1"/>
  </r>
  <r>
    <x v="2"/>
    <x v="0"/>
    <x v="21"/>
    <n v="48"/>
    <n v="43"/>
    <n v="2"/>
    <n v="2"/>
    <n v="1"/>
  </r>
  <r>
    <x v="2"/>
    <x v="0"/>
    <x v="22"/>
    <n v="1"/>
    <n v="1"/>
    <m/>
    <m/>
    <m/>
  </r>
  <r>
    <x v="2"/>
    <x v="0"/>
    <x v="23"/>
    <n v="21"/>
    <n v="10"/>
    <n v="9"/>
    <m/>
    <n v="2"/>
  </r>
  <r>
    <x v="2"/>
    <x v="0"/>
    <x v="24"/>
    <n v="28"/>
    <n v="20"/>
    <n v="4"/>
    <n v="4"/>
    <m/>
  </r>
  <r>
    <x v="2"/>
    <x v="0"/>
    <x v="25"/>
    <n v="33"/>
    <n v="29"/>
    <n v="1"/>
    <n v="3"/>
    <m/>
  </r>
  <r>
    <x v="2"/>
    <x v="0"/>
    <x v="31"/>
    <n v="2"/>
    <m/>
    <m/>
    <m/>
    <n v="2"/>
  </r>
  <r>
    <x v="2"/>
    <x v="0"/>
    <x v="26"/>
    <n v="11"/>
    <n v="11"/>
    <m/>
    <m/>
    <m/>
  </r>
  <r>
    <x v="2"/>
    <x v="0"/>
    <x v="27"/>
    <n v="43"/>
    <n v="43"/>
    <m/>
    <m/>
    <m/>
  </r>
  <r>
    <x v="2"/>
    <x v="0"/>
    <x v="28"/>
    <n v="13"/>
    <n v="10"/>
    <n v="3"/>
    <m/>
    <m/>
  </r>
  <r>
    <x v="2"/>
    <x v="0"/>
    <x v="29"/>
    <n v="14"/>
    <n v="13"/>
    <m/>
    <m/>
    <n v="1"/>
  </r>
  <r>
    <x v="2"/>
    <x v="0"/>
    <x v="30"/>
    <n v="56"/>
    <n v="47"/>
    <n v="7"/>
    <n v="1"/>
    <n v="1"/>
  </r>
  <r>
    <x v="2"/>
    <x v="1"/>
    <x v="0"/>
    <n v="86"/>
    <n v="71"/>
    <n v="11"/>
    <n v="3"/>
    <n v="1"/>
  </r>
  <r>
    <x v="2"/>
    <x v="1"/>
    <x v="1"/>
    <n v="37"/>
    <n v="27"/>
    <n v="6"/>
    <n v="4"/>
    <m/>
  </r>
  <r>
    <x v="2"/>
    <x v="1"/>
    <x v="2"/>
    <n v="11"/>
    <n v="10"/>
    <m/>
    <m/>
    <n v="1"/>
  </r>
  <r>
    <x v="2"/>
    <x v="1"/>
    <x v="3"/>
    <n v="15"/>
    <n v="14"/>
    <n v="1"/>
    <m/>
    <m/>
  </r>
  <r>
    <x v="2"/>
    <x v="1"/>
    <x v="4"/>
    <n v="243"/>
    <n v="227"/>
    <n v="15"/>
    <m/>
    <n v="1"/>
  </r>
  <r>
    <x v="2"/>
    <x v="1"/>
    <x v="5"/>
    <n v="7"/>
    <n v="5"/>
    <n v="1"/>
    <m/>
    <n v="1"/>
  </r>
  <r>
    <x v="2"/>
    <x v="1"/>
    <x v="6"/>
    <n v="14"/>
    <n v="11"/>
    <n v="2"/>
    <n v="1"/>
    <m/>
  </r>
  <r>
    <x v="2"/>
    <x v="1"/>
    <x v="7"/>
    <n v="43"/>
    <n v="39"/>
    <n v="3"/>
    <m/>
    <n v="1"/>
  </r>
  <r>
    <x v="2"/>
    <x v="1"/>
    <x v="8"/>
    <n v="17"/>
    <n v="15"/>
    <n v="2"/>
    <m/>
    <m/>
  </r>
  <r>
    <x v="2"/>
    <x v="1"/>
    <x v="9"/>
    <n v="12"/>
    <n v="6"/>
    <n v="6"/>
    <m/>
    <m/>
  </r>
  <r>
    <x v="2"/>
    <x v="1"/>
    <x v="10"/>
    <n v="22"/>
    <n v="21"/>
    <m/>
    <m/>
    <n v="1"/>
  </r>
  <r>
    <x v="2"/>
    <x v="1"/>
    <x v="11"/>
    <n v="16"/>
    <n v="14"/>
    <m/>
    <n v="2"/>
    <m/>
  </r>
  <r>
    <x v="2"/>
    <x v="1"/>
    <x v="12"/>
    <n v="26"/>
    <n v="20"/>
    <n v="3"/>
    <n v="1"/>
    <n v="2"/>
  </r>
  <r>
    <x v="2"/>
    <x v="1"/>
    <x v="13"/>
    <n v="63"/>
    <n v="51"/>
    <n v="6"/>
    <n v="1"/>
    <n v="5"/>
  </r>
  <r>
    <x v="2"/>
    <x v="1"/>
    <x v="14"/>
    <n v="186"/>
    <n v="168"/>
    <n v="16"/>
    <n v="2"/>
    <m/>
  </r>
  <r>
    <x v="2"/>
    <x v="1"/>
    <x v="15"/>
    <n v="58"/>
    <n v="46"/>
    <n v="2"/>
    <n v="3"/>
    <n v="7"/>
  </r>
  <r>
    <x v="2"/>
    <x v="1"/>
    <x v="16"/>
    <n v="24"/>
    <n v="19"/>
    <n v="3"/>
    <n v="1"/>
    <n v="1"/>
  </r>
  <r>
    <x v="2"/>
    <x v="1"/>
    <x v="17"/>
    <n v="25"/>
    <n v="23"/>
    <m/>
    <m/>
    <n v="2"/>
  </r>
  <r>
    <x v="2"/>
    <x v="1"/>
    <x v="18"/>
    <n v="47"/>
    <n v="38"/>
    <n v="5"/>
    <n v="2"/>
    <n v="2"/>
  </r>
  <r>
    <x v="2"/>
    <x v="1"/>
    <x v="19"/>
    <n v="4"/>
    <n v="4"/>
    <m/>
    <m/>
    <m/>
  </r>
  <r>
    <x v="2"/>
    <x v="1"/>
    <x v="20"/>
    <n v="42"/>
    <n v="41"/>
    <n v="1"/>
    <m/>
    <m/>
  </r>
  <r>
    <x v="2"/>
    <x v="1"/>
    <x v="21"/>
    <n v="69"/>
    <n v="62"/>
    <n v="2"/>
    <n v="3"/>
    <n v="2"/>
  </r>
  <r>
    <x v="2"/>
    <x v="1"/>
    <x v="22"/>
    <n v="2"/>
    <n v="1"/>
    <m/>
    <n v="1"/>
    <m/>
  </r>
  <r>
    <x v="2"/>
    <x v="1"/>
    <x v="23"/>
    <n v="20"/>
    <n v="15"/>
    <n v="2"/>
    <n v="3"/>
    <m/>
  </r>
  <r>
    <x v="2"/>
    <x v="1"/>
    <x v="24"/>
    <n v="59"/>
    <n v="47"/>
    <n v="3"/>
    <n v="6"/>
    <n v="3"/>
  </r>
  <r>
    <x v="2"/>
    <x v="1"/>
    <x v="25"/>
    <n v="28"/>
    <n v="22"/>
    <n v="2"/>
    <n v="3"/>
    <n v="1"/>
  </r>
  <r>
    <x v="2"/>
    <x v="1"/>
    <x v="31"/>
    <n v="3"/>
    <n v="2"/>
    <m/>
    <m/>
    <n v="1"/>
  </r>
  <r>
    <x v="2"/>
    <x v="1"/>
    <x v="26"/>
    <n v="26"/>
    <n v="24"/>
    <n v="1"/>
    <m/>
    <n v="1"/>
  </r>
  <r>
    <x v="2"/>
    <x v="1"/>
    <x v="27"/>
    <n v="48"/>
    <n v="40"/>
    <n v="3"/>
    <n v="4"/>
    <n v="1"/>
  </r>
  <r>
    <x v="2"/>
    <x v="1"/>
    <x v="28"/>
    <n v="11"/>
    <n v="7"/>
    <n v="1"/>
    <n v="1"/>
    <n v="2"/>
  </r>
  <r>
    <x v="2"/>
    <x v="1"/>
    <x v="29"/>
    <n v="15"/>
    <n v="15"/>
    <m/>
    <m/>
    <m/>
  </r>
  <r>
    <x v="2"/>
    <x v="1"/>
    <x v="30"/>
    <n v="53"/>
    <n v="37"/>
    <n v="12"/>
    <n v="2"/>
    <n v="2"/>
  </r>
  <r>
    <x v="2"/>
    <x v="2"/>
    <x v="0"/>
    <n v="84"/>
    <n v="75"/>
    <n v="1"/>
    <n v="6"/>
    <n v="2"/>
  </r>
  <r>
    <x v="2"/>
    <x v="2"/>
    <x v="1"/>
    <n v="36"/>
    <n v="22"/>
    <n v="6"/>
    <n v="6"/>
    <n v="2"/>
  </r>
  <r>
    <x v="2"/>
    <x v="2"/>
    <x v="2"/>
    <n v="20"/>
    <n v="13"/>
    <n v="3"/>
    <n v="2"/>
    <n v="2"/>
  </r>
  <r>
    <x v="2"/>
    <x v="2"/>
    <x v="3"/>
    <n v="12"/>
    <n v="8"/>
    <m/>
    <n v="4"/>
    <m/>
  </r>
  <r>
    <x v="2"/>
    <x v="2"/>
    <x v="4"/>
    <n v="242"/>
    <n v="223"/>
    <n v="15"/>
    <n v="3"/>
    <n v="1"/>
  </r>
  <r>
    <x v="2"/>
    <x v="2"/>
    <x v="5"/>
    <n v="17"/>
    <n v="17"/>
    <m/>
    <m/>
    <m/>
  </r>
  <r>
    <x v="2"/>
    <x v="2"/>
    <x v="6"/>
    <n v="25"/>
    <n v="25"/>
    <m/>
    <m/>
    <m/>
  </r>
  <r>
    <x v="2"/>
    <x v="2"/>
    <x v="7"/>
    <n v="50"/>
    <n v="43"/>
    <n v="5"/>
    <m/>
    <n v="2"/>
  </r>
  <r>
    <x v="2"/>
    <x v="2"/>
    <x v="8"/>
    <n v="19"/>
    <n v="19"/>
    <m/>
    <m/>
    <m/>
  </r>
  <r>
    <x v="2"/>
    <x v="2"/>
    <x v="9"/>
    <n v="7"/>
    <n v="6"/>
    <n v="1"/>
    <m/>
    <m/>
  </r>
  <r>
    <x v="2"/>
    <x v="2"/>
    <x v="10"/>
    <n v="25"/>
    <n v="21"/>
    <n v="4"/>
    <m/>
    <m/>
  </r>
  <r>
    <x v="2"/>
    <x v="2"/>
    <x v="11"/>
    <n v="20"/>
    <n v="19"/>
    <m/>
    <n v="1"/>
    <m/>
  </r>
  <r>
    <x v="2"/>
    <x v="2"/>
    <x v="12"/>
    <n v="24"/>
    <n v="21"/>
    <m/>
    <n v="3"/>
    <m/>
  </r>
  <r>
    <x v="2"/>
    <x v="2"/>
    <x v="13"/>
    <n v="70"/>
    <n v="58"/>
    <n v="4"/>
    <n v="2"/>
    <n v="6"/>
  </r>
  <r>
    <x v="2"/>
    <x v="2"/>
    <x v="14"/>
    <n v="209"/>
    <n v="192"/>
    <n v="16"/>
    <m/>
    <n v="1"/>
  </r>
  <r>
    <x v="2"/>
    <x v="2"/>
    <x v="15"/>
    <n v="69"/>
    <n v="55"/>
    <n v="5"/>
    <n v="7"/>
    <n v="2"/>
  </r>
  <r>
    <x v="2"/>
    <x v="2"/>
    <x v="16"/>
    <n v="17"/>
    <n v="17"/>
    <m/>
    <m/>
    <m/>
  </r>
  <r>
    <x v="2"/>
    <x v="2"/>
    <x v="17"/>
    <n v="27"/>
    <n v="23"/>
    <m/>
    <n v="3"/>
    <n v="1"/>
  </r>
  <r>
    <x v="2"/>
    <x v="2"/>
    <x v="18"/>
    <n v="29"/>
    <n v="21"/>
    <n v="5"/>
    <n v="2"/>
    <n v="1"/>
  </r>
  <r>
    <x v="2"/>
    <x v="2"/>
    <x v="19"/>
    <n v="5"/>
    <n v="3"/>
    <n v="1"/>
    <m/>
    <n v="1"/>
  </r>
  <r>
    <x v="2"/>
    <x v="2"/>
    <x v="20"/>
    <n v="30"/>
    <n v="27"/>
    <n v="2"/>
    <n v="1"/>
    <m/>
  </r>
  <r>
    <x v="2"/>
    <x v="2"/>
    <x v="21"/>
    <n v="84"/>
    <n v="75"/>
    <n v="3"/>
    <n v="5"/>
    <n v="1"/>
  </r>
  <r>
    <x v="2"/>
    <x v="2"/>
    <x v="22"/>
    <n v="2"/>
    <n v="2"/>
    <m/>
    <m/>
    <m/>
  </r>
  <r>
    <x v="2"/>
    <x v="2"/>
    <x v="23"/>
    <n v="25"/>
    <n v="13"/>
    <n v="7"/>
    <n v="4"/>
    <n v="1"/>
  </r>
  <r>
    <x v="2"/>
    <x v="2"/>
    <x v="24"/>
    <n v="42"/>
    <n v="40"/>
    <n v="1"/>
    <m/>
    <n v="1"/>
  </r>
  <r>
    <x v="2"/>
    <x v="2"/>
    <x v="25"/>
    <n v="22"/>
    <n v="16"/>
    <n v="3"/>
    <n v="1"/>
    <n v="2"/>
  </r>
  <r>
    <x v="2"/>
    <x v="2"/>
    <x v="31"/>
    <n v="1"/>
    <n v="1"/>
    <m/>
    <m/>
    <m/>
  </r>
  <r>
    <x v="2"/>
    <x v="2"/>
    <x v="26"/>
    <n v="27"/>
    <n v="18"/>
    <n v="3"/>
    <n v="3"/>
    <n v="3"/>
  </r>
  <r>
    <x v="2"/>
    <x v="2"/>
    <x v="27"/>
    <n v="53"/>
    <n v="50"/>
    <n v="1"/>
    <m/>
    <n v="2"/>
  </r>
  <r>
    <x v="2"/>
    <x v="2"/>
    <x v="28"/>
    <n v="21"/>
    <n v="16"/>
    <n v="5"/>
    <m/>
    <m/>
  </r>
  <r>
    <x v="2"/>
    <x v="2"/>
    <x v="29"/>
    <n v="23"/>
    <n v="22"/>
    <n v="1"/>
    <m/>
    <m/>
  </r>
  <r>
    <x v="2"/>
    <x v="2"/>
    <x v="30"/>
    <n v="77"/>
    <n v="58"/>
    <n v="7"/>
    <n v="5"/>
    <n v="7"/>
  </r>
  <r>
    <x v="2"/>
    <x v="3"/>
    <x v="0"/>
    <n v="63"/>
    <n v="54"/>
    <n v="8"/>
    <m/>
    <n v="1"/>
  </r>
  <r>
    <x v="2"/>
    <x v="3"/>
    <x v="1"/>
    <n v="43"/>
    <n v="31"/>
    <n v="3"/>
    <n v="8"/>
    <n v="1"/>
  </r>
  <r>
    <x v="2"/>
    <x v="3"/>
    <x v="2"/>
    <n v="18"/>
    <n v="17"/>
    <n v="1"/>
    <m/>
    <m/>
  </r>
  <r>
    <x v="2"/>
    <x v="3"/>
    <x v="3"/>
    <n v="17"/>
    <n v="15"/>
    <m/>
    <m/>
    <n v="2"/>
  </r>
  <r>
    <x v="2"/>
    <x v="3"/>
    <x v="4"/>
    <n v="169"/>
    <n v="151"/>
    <n v="16"/>
    <n v="2"/>
    <m/>
  </r>
  <r>
    <x v="2"/>
    <x v="3"/>
    <x v="5"/>
    <n v="8"/>
    <n v="7"/>
    <m/>
    <m/>
    <n v="1"/>
  </r>
  <r>
    <x v="2"/>
    <x v="3"/>
    <x v="6"/>
    <n v="36"/>
    <n v="32"/>
    <n v="2"/>
    <n v="2"/>
    <m/>
  </r>
  <r>
    <x v="2"/>
    <x v="3"/>
    <x v="7"/>
    <n v="56"/>
    <n v="53"/>
    <n v="3"/>
    <m/>
    <m/>
  </r>
  <r>
    <x v="2"/>
    <x v="3"/>
    <x v="8"/>
    <n v="12"/>
    <n v="11"/>
    <m/>
    <m/>
    <n v="1"/>
  </r>
  <r>
    <x v="2"/>
    <x v="3"/>
    <x v="9"/>
    <n v="29"/>
    <n v="23"/>
    <n v="2"/>
    <n v="4"/>
    <m/>
  </r>
  <r>
    <x v="2"/>
    <x v="3"/>
    <x v="10"/>
    <n v="16"/>
    <n v="13"/>
    <n v="2"/>
    <n v="1"/>
    <m/>
  </r>
  <r>
    <x v="2"/>
    <x v="3"/>
    <x v="11"/>
    <n v="12"/>
    <n v="9"/>
    <n v="2"/>
    <n v="1"/>
    <m/>
  </r>
  <r>
    <x v="2"/>
    <x v="3"/>
    <x v="12"/>
    <n v="13"/>
    <n v="11"/>
    <n v="2"/>
    <m/>
    <m/>
  </r>
  <r>
    <x v="2"/>
    <x v="3"/>
    <x v="13"/>
    <n v="71"/>
    <n v="62"/>
    <n v="5"/>
    <n v="2"/>
    <n v="2"/>
  </r>
  <r>
    <x v="2"/>
    <x v="3"/>
    <x v="14"/>
    <n v="208"/>
    <n v="193"/>
    <n v="11"/>
    <n v="1"/>
    <n v="3"/>
  </r>
  <r>
    <x v="2"/>
    <x v="3"/>
    <x v="15"/>
    <n v="49"/>
    <n v="43"/>
    <n v="4"/>
    <m/>
    <n v="2"/>
  </r>
  <r>
    <x v="2"/>
    <x v="3"/>
    <x v="16"/>
    <n v="19"/>
    <n v="19"/>
    <m/>
    <m/>
    <m/>
  </r>
  <r>
    <x v="2"/>
    <x v="3"/>
    <x v="17"/>
    <n v="18"/>
    <n v="18"/>
    <m/>
    <m/>
    <m/>
  </r>
  <r>
    <x v="2"/>
    <x v="3"/>
    <x v="18"/>
    <n v="32"/>
    <n v="24"/>
    <n v="6"/>
    <m/>
    <n v="2"/>
  </r>
  <r>
    <x v="2"/>
    <x v="3"/>
    <x v="19"/>
    <n v="14"/>
    <n v="11"/>
    <m/>
    <n v="2"/>
    <n v="1"/>
  </r>
  <r>
    <x v="2"/>
    <x v="3"/>
    <x v="20"/>
    <n v="33"/>
    <n v="30"/>
    <n v="3"/>
    <m/>
    <m/>
  </r>
  <r>
    <x v="2"/>
    <x v="3"/>
    <x v="21"/>
    <n v="83"/>
    <n v="71"/>
    <n v="6"/>
    <n v="4"/>
    <n v="2"/>
  </r>
  <r>
    <x v="2"/>
    <x v="3"/>
    <x v="23"/>
    <n v="29"/>
    <n v="25"/>
    <n v="1"/>
    <n v="2"/>
    <n v="1"/>
  </r>
  <r>
    <x v="2"/>
    <x v="3"/>
    <x v="24"/>
    <n v="54"/>
    <n v="48"/>
    <n v="2"/>
    <n v="2"/>
    <n v="2"/>
  </r>
  <r>
    <x v="2"/>
    <x v="3"/>
    <x v="25"/>
    <n v="17"/>
    <n v="17"/>
    <m/>
    <m/>
    <m/>
  </r>
  <r>
    <x v="2"/>
    <x v="3"/>
    <x v="31"/>
    <n v="3"/>
    <n v="3"/>
    <m/>
    <m/>
    <m/>
  </r>
  <r>
    <x v="2"/>
    <x v="3"/>
    <x v="26"/>
    <n v="28"/>
    <n v="25"/>
    <n v="2"/>
    <m/>
    <n v="1"/>
  </r>
  <r>
    <x v="2"/>
    <x v="3"/>
    <x v="27"/>
    <n v="69"/>
    <n v="64"/>
    <n v="2"/>
    <n v="3"/>
    <m/>
  </r>
  <r>
    <x v="2"/>
    <x v="3"/>
    <x v="28"/>
    <n v="9"/>
    <n v="6"/>
    <n v="2"/>
    <m/>
    <n v="1"/>
  </r>
  <r>
    <x v="2"/>
    <x v="3"/>
    <x v="29"/>
    <n v="31"/>
    <n v="25"/>
    <n v="5"/>
    <m/>
    <n v="1"/>
  </r>
  <r>
    <x v="2"/>
    <x v="3"/>
    <x v="30"/>
    <n v="60"/>
    <n v="55"/>
    <n v="2"/>
    <n v="1"/>
    <n v="2"/>
  </r>
  <r>
    <x v="2"/>
    <x v="4"/>
    <x v="0"/>
    <n v="60"/>
    <n v="51"/>
    <n v="6"/>
    <n v="1"/>
    <n v="2"/>
  </r>
  <r>
    <x v="2"/>
    <x v="4"/>
    <x v="1"/>
    <n v="41"/>
    <n v="29"/>
    <n v="2"/>
    <n v="9"/>
    <n v="1"/>
  </r>
  <r>
    <x v="2"/>
    <x v="4"/>
    <x v="2"/>
    <n v="21"/>
    <n v="20"/>
    <n v="1"/>
    <m/>
    <m/>
  </r>
  <r>
    <x v="2"/>
    <x v="4"/>
    <x v="3"/>
    <n v="12"/>
    <n v="12"/>
    <m/>
    <m/>
    <m/>
  </r>
  <r>
    <x v="2"/>
    <x v="4"/>
    <x v="4"/>
    <n v="158"/>
    <n v="149"/>
    <n v="9"/>
    <m/>
    <m/>
  </r>
  <r>
    <x v="2"/>
    <x v="4"/>
    <x v="5"/>
    <n v="4"/>
    <n v="3"/>
    <n v="1"/>
    <m/>
    <m/>
  </r>
  <r>
    <x v="2"/>
    <x v="4"/>
    <x v="6"/>
    <n v="27"/>
    <n v="23"/>
    <n v="2"/>
    <n v="1"/>
    <n v="1"/>
  </r>
  <r>
    <x v="2"/>
    <x v="4"/>
    <x v="7"/>
    <n v="72"/>
    <n v="70"/>
    <n v="1"/>
    <m/>
    <n v="1"/>
  </r>
  <r>
    <x v="2"/>
    <x v="4"/>
    <x v="8"/>
    <n v="16"/>
    <n v="16"/>
    <m/>
    <m/>
    <m/>
  </r>
  <r>
    <x v="2"/>
    <x v="4"/>
    <x v="9"/>
    <n v="14"/>
    <n v="12"/>
    <n v="2"/>
    <m/>
    <m/>
  </r>
  <r>
    <x v="2"/>
    <x v="4"/>
    <x v="10"/>
    <n v="14"/>
    <n v="14"/>
    <m/>
    <m/>
    <m/>
  </r>
  <r>
    <x v="2"/>
    <x v="4"/>
    <x v="11"/>
    <n v="12"/>
    <n v="11"/>
    <m/>
    <n v="1"/>
    <m/>
  </r>
  <r>
    <x v="2"/>
    <x v="4"/>
    <x v="12"/>
    <n v="31"/>
    <n v="28"/>
    <n v="3"/>
    <m/>
    <m/>
  </r>
  <r>
    <x v="2"/>
    <x v="4"/>
    <x v="13"/>
    <n v="52"/>
    <n v="44"/>
    <n v="1"/>
    <n v="1"/>
    <n v="6"/>
  </r>
  <r>
    <x v="2"/>
    <x v="4"/>
    <x v="14"/>
    <n v="188"/>
    <n v="171"/>
    <n v="13"/>
    <n v="2"/>
    <n v="2"/>
  </r>
  <r>
    <x v="2"/>
    <x v="4"/>
    <x v="15"/>
    <n v="64"/>
    <n v="55"/>
    <n v="6"/>
    <m/>
    <n v="3"/>
  </r>
  <r>
    <x v="2"/>
    <x v="4"/>
    <x v="16"/>
    <n v="35"/>
    <n v="32"/>
    <m/>
    <n v="3"/>
    <m/>
  </r>
  <r>
    <x v="2"/>
    <x v="4"/>
    <x v="17"/>
    <n v="35"/>
    <n v="28"/>
    <n v="2"/>
    <n v="5"/>
    <m/>
  </r>
  <r>
    <x v="2"/>
    <x v="4"/>
    <x v="18"/>
    <n v="33"/>
    <n v="25"/>
    <n v="3"/>
    <n v="1"/>
    <n v="4"/>
  </r>
  <r>
    <x v="2"/>
    <x v="4"/>
    <x v="19"/>
    <n v="6"/>
    <n v="3"/>
    <m/>
    <m/>
    <n v="3"/>
  </r>
  <r>
    <x v="2"/>
    <x v="4"/>
    <x v="20"/>
    <n v="33"/>
    <n v="30"/>
    <n v="3"/>
    <m/>
    <m/>
  </r>
  <r>
    <x v="2"/>
    <x v="4"/>
    <x v="21"/>
    <n v="104"/>
    <n v="85"/>
    <n v="13"/>
    <n v="2"/>
    <n v="4"/>
  </r>
  <r>
    <x v="2"/>
    <x v="4"/>
    <x v="22"/>
    <n v="1"/>
    <n v="1"/>
    <m/>
    <m/>
    <m/>
  </r>
  <r>
    <x v="2"/>
    <x v="4"/>
    <x v="23"/>
    <n v="46"/>
    <n v="40"/>
    <n v="3"/>
    <n v="1"/>
    <n v="2"/>
  </r>
  <r>
    <x v="2"/>
    <x v="4"/>
    <x v="24"/>
    <n v="60"/>
    <n v="47"/>
    <n v="2"/>
    <n v="11"/>
    <m/>
  </r>
  <r>
    <x v="2"/>
    <x v="4"/>
    <x v="25"/>
    <n v="27"/>
    <n v="26"/>
    <m/>
    <n v="1"/>
    <m/>
  </r>
  <r>
    <x v="2"/>
    <x v="4"/>
    <x v="31"/>
    <n v="1"/>
    <n v="1"/>
    <m/>
    <m/>
    <m/>
  </r>
  <r>
    <x v="2"/>
    <x v="4"/>
    <x v="26"/>
    <n v="17"/>
    <n v="13"/>
    <n v="2"/>
    <n v="1"/>
    <n v="1"/>
  </r>
  <r>
    <x v="2"/>
    <x v="4"/>
    <x v="27"/>
    <n v="56"/>
    <n v="50"/>
    <n v="3"/>
    <n v="3"/>
    <m/>
  </r>
  <r>
    <x v="2"/>
    <x v="4"/>
    <x v="28"/>
    <n v="18"/>
    <n v="10"/>
    <n v="7"/>
    <n v="1"/>
    <m/>
  </r>
  <r>
    <x v="2"/>
    <x v="4"/>
    <x v="29"/>
    <n v="16"/>
    <n v="16"/>
    <m/>
    <m/>
    <m/>
  </r>
  <r>
    <x v="2"/>
    <x v="4"/>
    <x v="30"/>
    <n v="36"/>
    <n v="25"/>
    <n v="1"/>
    <n v="6"/>
    <n v="4"/>
  </r>
  <r>
    <x v="2"/>
    <x v="5"/>
    <x v="0"/>
    <n v="57"/>
    <n v="52"/>
    <n v="4"/>
    <n v="1"/>
    <m/>
  </r>
  <r>
    <x v="2"/>
    <x v="5"/>
    <x v="1"/>
    <n v="43"/>
    <n v="32"/>
    <n v="4"/>
    <n v="6"/>
    <n v="1"/>
  </r>
  <r>
    <x v="2"/>
    <x v="5"/>
    <x v="2"/>
    <n v="26"/>
    <n v="25"/>
    <n v="1"/>
    <m/>
    <m/>
  </r>
  <r>
    <x v="2"/>
    <x v="5"/>
    <x v="3"/>
    <n v="13"/>
    <n v="12"/>
    <m/>
    <m/>
    <n v="1"/>
  </r>
  <r>
    <x v="2"/>
    <x v="5"/>
    <x v="4"/>
    <n v="139"/>
    <n v="118"/>
    <n v="18"/>
    <n v="3"/>
    <m/>
  </r>
  <r>
    <x v="2"/>
    <x v="5"/>
    <x v="5"/>
    <n v="10"/>
    <n v="8"/>
    <n v="2"/>
    <m/>
    <m/>
  </r>
  <r>
    <x v="2"/>
    <x v="5"/>
    <x v="6"/>
    <n v="12"/>
    <n v="9"/>
    <n v="2"/>
    <n v="1"/>
    <m/>
  </r>
  <r>
    <x v="2"/>
    <x v="5"/>
    <x v="7"/>
    <n v="39"/>
    <n v="38"/>
    <n v="1"/>
    <m/>
    <m/>
  </r>
  <r>
    <x v="2"/>
    <x v="5"/>
    <x v="8"/>
    <n v="26"/>
    <n v="23"/>
    <n v="3"/>
    <m/>
    <m/>
  </r>
  <r>
    <x v="2"/>
    <x v="5"/>
    <x v="9"/>
    <n v="18"/>
    <n v="11"/>
    <n v="1"/>
    <n v="5"/>
    <n v="1"/>
  </r>
  <r>
    <x v="2"/>
    <x v="5"/>
    <x v="10"/>
    <n v="12"/>
    <n v="9"/>
    <n v="1"/>
    <m/>
    <n v="2"/>
  </r>
  <r>
    <x v="2"/>
    <x v="5"/>
    <x v="11"/>
    <n v="7"/>
    <n v="7"/>
    <m/>
    <m/>
    <m/>
  </r>
  <r>
    <x v="2"/>
    <x v="5"/>
    <x v="12"/>
    <n v="23"/>
    <n v="22"/>
    <m/>
    <n v="1"/>
    <m/>
  </r>
  <r>
    <x v="2"/>
    <x v="5"/>
    <x v="13"/>
    <n v="59"/>
    <n v="46"/>
    <n v="7"/>
    <n v="4"/>
    <n v="2"/>
  </r>
  <r>
    <x v="2"/>
    <x v="5"/>
    <x v="14"/>
    <n v="146"/>
    <n v="136"/>
    <n v="3"/>
    <n v="4"/>
    <n v="3"/>
  </r>
  <r>
    <x v="2"/>
    <x v="5"/>
    <x v="15"/>
    <n v="64"/>
    <n v="54"/>
    <n v="8"/>
    <n v="2"/>
    <m/>
  </r>
  <r>
    <x v="2"/>
    <x v="5"/>
    <x v="16"/>
    <n v="25"/>
    <n v="24"/>
    <n v="1"/>
    <m/>
    <m/>
  </r>
  <r>
    <x v="2"/>
    <x v="5"/>
    <x v="17"/>
    <n v="19"/>
    <n v="15"/>
    <n v="1"/>
    <n v="1"/>
    <n v="2"/>
  </r>
  <r>
    <x v="2"/>
    <x v="5"/>
    <x v="18"/>
    <n v="21"/>
    <n v="9"/>
    <n v="10"/>
    <n v="2"/>
    <m/>
  </r>
  <r>
    <x v="2"/>
    <x v="5"/>
    <x v="19"/>
    <n v="7"/>
    <n v="6"/>
    <m/>
    <n v="1"/>
    <m/>
  </r>
  <r>
    <x v="2"/>
    <x v="5"/>
    <x v="20"/>
    <n v="46"/>
    <n v="40"/>
    <n v="1"/>
    <n v="3"/>
    <n v="2"/>
  </r>
  <r>
    <x v="2"/>
    <x v="5"/>
    <x v="21"/>
    <n v="75"/>
    <n v="71"/>
    <n v="1"/>
    <n v="1"/>
    <n v="2"/>
  </r>
  <r>
    <x v="2"/>
    <x v="5"/>
    <x v="22"/>
    <n v="2"/>
    <n v="2"/>
    <m/>
    <m/>
    <m/>
  </r>
  <r>
    <x v="2"/>
    <x v="5"/>
    <x v="23"/>
    <n v="28"/>
    <n v="23"/>
    <n v="4"/>
    <n v="1"/>
    <m/>
  </r>
  <r>
    <x v="2"/>
    <x v="5"/>
    <x v="24"/>
    <n v="30"/>
    <n v="28"/>
    <m/>
    <m/>
    <n v="2"/>
  </r>
  <r>
    <x v="2"/>
    <x v="5"/>
    <x v="25"/>
    <n v="14"/>
    <n v="13"/>
    <n v="1"/>
    <m/>
    <m/>
  </r>
  <r>
    <x v="2"/>
    <x v="5"/>
    <x v="31"/>
    <n v="2"/>
    <n v="1"/>
    <n v="1"/>
    <m/>
    <m/>
  </r>
  <r>
    <x v="2"/>
    <x v="5"/>
    <x v="26"/>
    <n v="24"/>
    <n v="18"/>
    <n v="5"/>
    <m/>
    <n v="1"/>
  </r>
  <r>
    <x v="2"/>
    <x v="5"/>
    <x v="27"/>
    <n v="57"/>
    <n v="53"/>
    <n v="2"/>
    <n v="1"/>
    <n v="1"/>
  </r>
  <r>
    <x v="2"/>
    <x v="5"/>
    <x v="28"/>
    <n v="15"/>
    <n v="10"/>
    <n v="2"/>
    <n v="3"/>
    <m/>
  </r>
  <r>
    <x v="2"/>
    <x v="5"/>
    <x v="29"/>
    <n v="7"/>
    <n v="7"/>
    <m/>
    <m/>
    <m/>
  </r>
  <r>
    <x v="2"/>
    <x v="5"/>
    <x v="30"/>
    <n v="33"/>
    <n v="25"/>
    <n v="7"/>
    <m/>
    <n v="1"/>
  </r>
  <r>
    <x v="2"/>
    <x v="6"/>
    <x v="0"/>
    <n v="71"/>
    <n v="60"/>
    <n v="9"/>
    <m/>
    <n v="2"/>
  </r>
  <r>
    <x v="2"/>
    <x v="6"/>
    <x v="1"/>
    <n v="40"/>
    <n v="20"/>
    <n v="7"/>
    <n v="10"/>
    <n v="3"/>
  </r>
  <r>
    <x v="2"/>
    <x v="6"/>
    <x v="2"/>
    <n v="38"/>
    <n v="35"/>
    <m/>
    <n v="1"/>
    <n v="2"/>
  </r>
  <r>
    <x v="2"/>
    <x v="6"/>
    <x v="3"/>
    <n v="16"/>
    <n v="7"/>
    <n v="5"/>
    <n v="1"/>
    <n v="3"/>
  </r>
  <r>
    <x v="2"/>
    <x v="6"/>
    <x v="4"/>
    <n v="116"/>
    <n v="106"/>
    <n v="9"/>
    <m/>
    <n v="1"/>
  </r>
  <r>
    <x v="2"/>
    <x v="6"/>
    <x v="5"/>
    <n v="13"/>
    <n v="11"/>
    <m/>
    <m/>
    <n v="2"/>
  </r>
  <r>
    <x v="2"/>
    <x v="6"/>
    <x v="6"/>
    <n v="13"/>
    <n v="6"/>
    <n v="2"/>
    <n v="4"/>
    <n v="1"/>
  </r>
  <r>
    <x v="2"/>
    <x v="6"/>
    <x v="7"/>
    <n v="77"/>
    <n v="71"/>
    <n v="4"/>
    <m/>
    <n v="2"/>
  </r>
  <r>
    <x v="2"/>
    <x v="6"/>
    <x v="8"/>
    <n v="41"/>
    <n v="30"/>
    <n v="4"/>
    <n v="6"/>
    <n v="1"/>
  </r>
  <r>
    <x v="2"/>
    <x v="6"/>
    <x v="9"/>
    <n v="14"/>
    <n v="12"/>
    <n v="2"/>
    <m/>
    <m/>
  </r>
  <r>
    <x v="2"/>
    <x v="6"/>
    <x v="10"/>
    <n v="9"/>
    <n v="7"/>
    <n v="1"/>
    <n v="1"/>
    <m/>
  </r>
  <r>
    <x v="2"/>
    <x v="6"/>
    <x v="11"/>
    <n v="13"/>
    <n v="12"/>
    <n v="1"/>
    <m/>
    <m/>
  </r>
  <r>
    <x v="2"/>
    <x v="6"/>
    <x v="12"/>
    <n v="34"/>
    <n v="25"/>
    <n v="2"/>
    <n v="4"/>
    <n v="3"/>
  </r>
  <r>
    <x v="2"/>
    <x v="6"/>
    <x v="13"/>
    <n v="34"/>
    <n v="28"/>
    <n v="3"/>
    <n v="1"/>
    <n v="2"/>
  </r>
  <r>
    <x v="2"/>
    <x v="6"/>
    <x v="14"/>
    <n v="201"/>
    <n v="182"/>
    <n v="12"/>
    <n v="4"/>
    <n v="3"/>
  </r>
  <r>
    <x v="2"/>
    <x v="6"/>
    <x v="15"/>
    <n v="55"/>
    <n v="35"/>
    <n v="6"/>
    <n v="12"/>
    <n v="2"/>
  </r>
  <r>
    <x v="2"/>
    <x v="6"/>
    <x v="16"/>
    <n v="45"/>
    <n v="41"/>
    <n v="3"/>
    <m/>
    <n v="1"/>
  </r>
  <r>
    <x v="2"/>
    <x v="6"/>
    <x v="17"/>
    <n v="10"/>
    <n v="9"/>
    <m/>
    <n v="1"/>
    <m/>
  </r>
  <r>
    <x v="2"/>
    <x v="6"/>
    <x v="18"/>
    <n v="16"/>
    <n v="11"/>
    <n v="2"/>
    <n v="2"/>
    <n v="1"/>
  </r>
  <r>
    <x v="2"/>
    <x v="6"/>
    <x v="19"/>
    <n v="8"/>
    <n v="7"/>
    <m/>
    <m/>
    <n v="1"/>
  </r>
  <r>
    <x v="2"/>
    <x v="6"/>
    <x v="20"/>
    <n v="48"/>
    <n v="43"/>
    <n v="5"/>
    <m/>
    <m/>
  </r>
  <r>
    <x v="2"/>
    <x v="6"/>
    <x v="21"/>
    <n v="85"/>
    <n v="75"/>
    <n v="8"/>
    <n v="2"/>
    <m/>
  </r>
  <r>
    <x v="2"/>
    <x v="6"/>
    <x v="22"/>
    <n v="2"/>
    <n v="2"/>
    <m/>
    <m/>
    <m/>
  </r>
  <r>
    <x v="2"/>
    <x v="6"/>
    <x v="23"/>
    <n v="33"/>
    <n v="23"/>
    <n v="2"/>
    <n v="6"/>
    <n v="2"/>
  </r>
  <r>
    <x v="2"/>
    <x v="6"/>
    <x v="24"/>
    <n v="39"/>
    <n v="38"/>
    <n v="1"/>
    <m/>
    <m/>
  </r>
  <r>
    <x v="2"/>
    <x v="6"/>
    <x v="25"/>
    <n v="17"/>
    <n v="14"/>
    <n v="3"/>
    <m/>
    <m/>
  </r>
  <r>
    <x v="2"/>
    <x v="6"/>
    <x v="31"/>
    <n v="2"/>
    <n v="2"/>
    <m/>
    <m/>
    <m/>
  </r>
  <r>
    <x v="2"/>
    <x v="6"/>
    <x v="26"/>
    <n v="24"/>
    <n v="20"/>
    <n v="3"/>
    <n v="1"/>
    <m/>
  </r>
  <r>
    <x v="2"/>
    <x v="6"/>
    <x v="27"/>
    <n v="73"/>
    <n v="62"/>
    <n v="7"/>
    <n v="3"/>
    <n v="1"/>
  </r>
  <r>
    <x v="2"/>
    <x v="6"/>
    <x v="28"/>
    <n v="17"/>
    <n v="8"/>
    <n v="7"/>
    <n v="1"/>
    <n v="1"/>
  </r>
  <r>
    <x v="2"/>
    <x v="6"/>
    <x v="29"/>
    <n v="35"/>
    <n v="35"/>
    <m/>
    <m/>
    <m/>
  </r>
  <r>
    <x v="2"/>
    <x v="6"/>
    <x v="30"/>
    <n v="37"/>
    <n v="26"/>
    <n v="9"/>
    <n v="1"/>
    <n v="1"/>
  </r>
  <r>
    <x v="2"/>
    <x v="7"/>
    <x v="0"/>
    <n v="38"/>
    <n v="33"/>
    <n v="2"/>
    <n v="3"/>
    <m/>
  </r>
  <r>
    <x v="2"/>
    <x v="7"/>
    <x v="1"/>
    <n v="27"/>
    <n v="20"/>
    <n v="3"/>
    <n v="3"/>
    <n v="1"/>
  </r>
  <r>
    <x v="2"/>
    <x v="7"/>
    <x v="2"/>
    <n v="21"/>
    <n v="18"/>
    <n v="1"/>
    <m/>
    <n v="2"/>
  </r>
  <r>
    <x v="2"/>
    <x v="7"/>
    <x v="3"/>
    <n v="14"/>
    <n v="13"/>
    <n v="1"/>
    <m/>
    <m/>
  </r>
  <r>
    <x v="2"/>
    <x v="7"/>
    <x v="4"/>
    <n v="143"/>
    <n v="130"/>
    <n v="9"/>
    <m/>
    <n v="4"/>
  </r>
  <r>
    <x v="2"/>
    <x v="7"/>
    <x v="5"/>
    <n v="22"/>
    <n v="20"/>
    <n v="1"/>
    <n v="1"/>
    <m/>
  </r>
  <r>
    <x v="2"/>
    <x v="7"/>
    <x v="6"/>
    <n v="8"/>
    <n v="7"/>
    <m/>
    <n v="1"/>
    <m/>
  </r>
  <r>
    <x v="2"/>
    <x v="7"/>
    <x v="7"/>
    <n v="59"/>
    <n v="53"/>
    <n v="3"/>
    <n v="2"/>
    <n v="1"/>
  </r>
  <r>
    <x v="2"/>
    <x v="7"/>
    <x v="8"/>
    <n v="33"/>
    <n v="29"/>
    <n v="3"/>
    <n v="1"/>
    <m/>
  </r>
  <r>
    <x v="2"/>
    <x v="7"/>
    <x v="9"/>
    <n v="25"/>
    <n v="23"/>
    <n v="1"/>
    <n v="1"/>
    <m/>
  </r>
  <r>
    <x v="2"/>
    <x v="7"/>
    <x v="10"/>
    <n v="8"/>
    <n v="8"/>
    <m/>
    <m/>
    <m/>
  </r>
  <r>
    <x v="2"/>
    <x v="7"/>
    <x v="11"/>
    <n v="7"/>
    <n v="7"/>
    <m/>
    <m/>
    <m/>
  </r>
  <r>
    <x v="2"/>
    <x v="7"/>
    <x v="12"/>
    <n v="32"/>
    <n v="30"/>
    <m/>
    <m/>
    <n v="2"/>
  </r>
  <r>
    <x v="2"/>
    <x v="7"/>
    <x v="13"/>
    <n v="73"/>
    <n v="65"/>
    <n v="2"/>
    <n v="3"/>
    <n v="3"/>
  </r>
  <r>
    <x v="2"/>
    <x v="7"/>
    <x v="14"/>
    <n v="219"/>
    <n v="209"/>
    <n v="7"/>
    <n v="1"/>
    <n v="2"/>
  </r>
  <r>
    <x v="2"/>
    <x v="7"/>
    <x v="15"/>
    <n v="64"/>
    <n v="43"/>
    <n v="5"/>
    <n v="10"/>
    <n v="6"/>
  </r>
  <r>
    <x v="2"/>
    <x v="7"/>
    <x v="16"/>
    <n v="42"/>
    <n v="40"/>
    <n v="1"/>
    <n v="1"/>
    <m/>
  </r>
  <r>
    <x v="2"/>
    <x v="7"/>
    <x v="17"/>
    <n v="16"/>
    <n v="12"/>
    <n v="2"/>
    <m/>
    <n v="2"/>
  </r>
  <r>
    <x v="2"/>
    <x v="7"/>
    <x v="18"/>
    <n v="18"/>
    <n v="16"/>
    <n v="1"/>
    <n v="1"/>
    <m/>
  </r>
  <r>
    <x v="2"/>
    <x v="7"/>
    <x v="19"/>
    <n v="8"/>
    <n v="8"/>
    <m/>
    <m/>
    <m/>
  </r>
  <r>
    <x v="2"/>
    <x v="7"/>
    <x v="20"/>
    <n v="26"/>
    <n v="24"/>
    <n v="2"/>
    <m/>
    <m/>
  </r>
  <r>
    <x v="2"/>
    <x v="7"/>
    <x v="21"/>
    <n v="96"/>
    <n v="85"/>
    <n v="3"/>
    <n v="6"/>
    <n v="2"/>
  </r>
  <r>
    <x v="2"/>
    <x v="7"/>
    <x v="22"/>
    <n v="5"/>
    <n v="3"/>
    <n v="2"/>
    <m/>
    <m/>
  </r>
  <r>
    <x v="2"/>
    <x v="7"/>
    <x v="23"/>
    <n v="32"/>
    <n v="29"/>
    <n v="1"/>
    <n v="1"/>
    <n v="1"/>
  </r>
  <r>
    <x v="2"/>
    <x v="7"/>
    <x v="24"/>
    <n v="37"/>
    <n v="30"/>
    <n v="3"/>
    <n v="4"/>
    <m/>
  </r>
  <r>
    <x v="2"/>
    <x v="7"/>
    <x v="25"/>
    <n v="26"/>
    <n v="25"/>
    <n v="1"/>
    <m/>
    <m/>
  </r>
  <r>
    <x v="2"/>
    <x v="7"/>
    <x v="31"/>
    <n v="4"/>
    <n v="1"/>
    <n v="3"/>
    <m/>
    <m/>
  </r>
  <r>
    <x v="2"/>
    <x v="7"/>
    <x v="26"/>
    <n v="29"/>
    <n v="23"/>
    <n v="3"/>
    <n v="3"/>
    <m/>
  </r>
  <r>
    <x v="2"/>
    <x v="7"/>
    <x v="27"/>
    <n v="58"/>
    <n v="46"/>
    <n v="3"/>
    <n v="5"/>
    <n v="4"/>
  </r>
  <r>
    <x v="2"/>
    <x v="7"/>
    <x v="28"/>
    <n v="18"/>
    <n v="11"/>
    <n v="5"/>
    <n v="1"/>
    <n v="1"/>
  </r>
  <r>
    <x v="2"/>
    <x v="7"/>
    <x v="29"/>
    <n v="21"/>
    <n v="20"/>
    <n v="1"/>
    <m/>
    <m/>
  </r>
  <r>
    <x v="2"/>
    <x v="7"/>
    <x v="30"/>
    <n v="37"/>
    <n v="34"/>
    <n v="3"/>
    <m/>
    <m/>
  </r>
  <r>
    <x v="2"/>
    <x v="8"/>
    <x v="0"/>
    <n v="32"/>
    <n v="29"/>
    <n v="2"/>
    <m/>
    <n v="1"/>
  </r>
  <r>
    <x v="2"/>
    <x v="8"/>
    <x v="1"/>
    <n v="46"/>
    <n v="32"/>
    <n v="4"/>
    <n v="5"/>
    <n v="5"/>
  </r>
  <r>
    <x v="2"/>
    <x v="8"/>
    <x v="2"/>
    <n v="21"/>
    <n v="18"/>
    <n v="2"/>
    <n v="1"/>
    <m/>
  </r>
  <r>
    <x v="2"/>
    <x v="8"/>
    <x v="3"/>
    <n v="21"/>
    <n v="18"/>
    <n v="1"/>
    <m/>
    <n v="2"/>
  </r>
  <r>
    <x v="2"/>
    <x v="8"/>
    <x v="4"/>
    <n v="91"/>
    <n v="79"/>
    <n v="11"/>
    <n v="1"/>
    <m/>
  </r>
  <r>
    <x v="2"/>
    <x v="8"/>
    <x v="5"/>
    <n v="9"/>
    <n v="8"/>
    <n v="1"/>
    <m/>
    <m/>
  </r>
  <r>
    <x v="2"/>
    <x v="8"/>
    <x v="6"/>
    <n v="6"/>
    <n v="4"/>
    <n v="2"/>
    <m/>
    <m/>
  </r>
  <r>
    <x v="2"/>
    <x v="8"/>
    <x v="7"/>
    <n v="38"/>
    <n v="34"/>
    <n v="2"/>
    <n v="1"/>
    <n v="1"/>
  </r>
  <r>
    <x v="2"/>
    <x v="8"/>
    <x v="8"/>
    <n v="31"/>
    <n v="26"/>
    <n v="3"/>
    <n v="2"/>
    <m/>
  </r>
  <r>
    <x v="2"/>
    <x v="8"/>
    <x v="9"/>
    <n v="17"/>
    <n v="13"/>
    <n v="4"/>
    <m/>
    <m/>
  </r>
  <r>
    <x v="2"/>
    <x v="8"/>
    <x v="10"/>
    <n v="12"/>
    <n v="7"/>
    <n v="1"/>
    <n v="4"/>
    <m/>
  </r>
  <r>
    <x v="2"/>
    <x v="8"/>
    <x v="11"/>
    <n v="9"/>
    <n v="9"/>
    <m/>
    <m/>
    <m/>
  </r>
  <r>
    <x v="2"/>
    <x v="8"/>
    <x v="12"/>
    <n v="29"/>
    <n v="20"/>
    <n v="8"/>
    <m/>
    <n v="1"/>
  </r>
  <r>
    <x v="2"/>
    <x v="8"/>
    <x v="13"/>
    <n v="42"/>
    <n v="32"/>
    <n v="7"/>
    <n v="2"/>
    <n v="1"/>
  </r>
  <r>
    <x v="2"/>
    <x v="8"/>
    <x v="14"/>
    <n v="213"/>
    <n v="185"/>
    <n v="16"/>
    <n v="10"/>
    <n v="2"/>
  </r>
  <r>
    <x v="2"/>
    <x v="8"/>
    <x v="15"/>
    <n v="41"/>
    <n v="31"/>
    <n v="2"/>
    <n v="5"/>
    <n v="3"/>
  </r>
  <r>
    <x v="2"/>
    <x v="8"/>
    <x v="16"/>
    <n v="23"/>
    <n v="14"/>
    <n v="8"/>
    <m/>
    <n v="1"/>
  </r>
  <r>
    <x v="2"/>
    <x v="8"/>
    <x v="17"/>
    <n v="15"/>
    <n v="15"/>
    <m/>
    <m/>
    <m/>
  </r>
  <r>
    <x v="2"/>
    <x v="8"/>
    <x v="18"/>
    <n v="21"/>
    <n v="13"/>
    <n v="3"/>
    <n v="3"/>
    <n v="2"/>
  </r>
  <r>
    <x v="2"/>
    <x v="8"/>
    <x v="19"/>
    <n v="1"/>
    <n v="1"/>
    <m/>
    <m/>
    <m/>
  </r>
  <r>
    <x v="2"/>
    <x v="8"/>
    <x v="20"/>
    <n v="20"/>
    <n v="18"/>
    <n v="2"/>
    <m/>
    <m/>
  </r>
  <r>
    <x v="2"/>
    <x v="8"/>
    <x v="21"/>
    <n v="98"/>
    <n v="84"/>
    <n v="10"/>
    <n v="3"/>
    <n v="1"/>
  </r>
  <r>
    <x v="2"/>
    <x v="8"/>
    <x v="22"/>
    <n v="4"/>
    <n v="3"/>
    <m/>
    <n v="1"/>
    <m/>
  </r>
  <r>
    <x v="2"/>
    <x v="8"/>
    <x v="23"/>
    <n v="22"/>
    <n v="20"/>
    <n v="2"/>
    <m/>
    <m/>
  </r>
  <r>
    <x v="2"/>
    <x v="8"/>
    <x v="24"/>
    <n v="42"/>
    <n v="37"/>
    <n v="1"/>
    <n v="4"/>
    <m/>
  </r>
  <r>
    <x v="2"/>
    <x v="8"/>
    <x v="25"/>
    <n v="17"/>
    <n v="16"/>
    <m/>
    <m/>
    <n v="1"/>
  </r>
  <r>
    <x v="2"/>
    <x v="8"/>
    <x v="31"/>
    <n v="6"/>
    <n v="5"/>
    <n v="1"/>
    <m/>
    <m/>
  </r>
  <r>
    <x v="2"/>
    <x v="8"/>
    <x v="26"/>
    <n v="29"/>
    <n v="20"/>
    <n v="4"/>
    <n v="5"/>
    <m/>
  </r>
  <r>
    <x v="2"/>
    <x v="8"/>
    <x v="27"/>
    <n v="70"/>
    <n v="61"/>
    <n v="6"/>
    <n v="1"/>
    <n v="2"/>
  </r>
  <r>
    <x v="2"/>
    <x v="8"/>
    <x v="28"/>
    <n v="24"/>
    <n v="15"/>
    <n v="7"/>
    <n v="2"/>
    <m/>
  </r>
  <r>
    <x v="2"/>
    <x v="8"/>
    <x v="29"/>
    <n v="25"/>
    <n v="22"/>
    <n v="2"/>
    <m/>
    <n v="1"/>
  </r>
  <r>
    <x v="2"/>
    <x v="8"/>
    <x v="30"/>
    <n v="41"/>
    <n v="32"/>
    <n v="7"/>
    <n v="1"/>
    <n v="1"/>
  </r>
  <r>
    <x v="2"/>
    <x v="9"/>
    <x v="0"/>
    <n v="53"/>
    <n v="46"/>
    <n v="5"/>
    <m/>
    <n v="2"/>
  </r>
  <r>
    <x v="2"/>
    <x v="9"/>
    <x v="1"/>
    <n v="28"/>
    <n v="20"/>
    <n v="2"/>
    <n v="5"/>
    <n v="1"/>
  </r>
  <r>
    <x v="2"/>
    <x v="9"/>
    <x v="2"/>
    <n v="15"/>
    <n v="12"/>
    <n v="3"/>
    <m/>
    <m/>
  </r>
  <r>
    <x v="2"/>
    <x v="9"/>
    <x v="3"/>
    <n v="21"/>
    <n v="21"/>
    <m/>
    <m/>
    <m/>
  </r>
  <r>
    <x v="2"/>
    <x v="9"/>
    <x v="4"/>
    <n v="129"/>
    <n v="107"/>
    <n v="13"/>
    <n v="3"/>
    <n v="6"/>
  </r>
  <r>
    <x v="2"/>
    <x v="9"/>
    <x v="5"/>
    <n v="26"/>
    <n v="16"/>
    <n v="9"/>
    <n v="1"/>
    <m/>
  </r>
  <r>
    <x v="2"/>
    <x v="9"/>
    <x v="6"/>
    <n v="14"/>
    <n v="9"/>
    <n v="1"/>
    <n v="4"/>
    <m/>
  </r>
  <r>
    <x v="2"/>
    <x v="9"/>
    <x v="7"/>
    <n v="42"/>
    <n v="40"/>
    <n v="2"/>
    <m/>
    <m/>
  </r>
  <r>
    <x v="2"/>
    <x v="9"/>
    <x v="8"/>
    <n v="31"/>
    <n v="30"/>
    <m/>
    <m/>
    <n v="1"/>
  </r>
  <r>
    <x v="2"/>
    <x v="9"/>
    <x v="9"/>
    <n v="11"/>
    <n v="9"/>
    <m/>
    <n v="1"/>
    <n v="1"/>
  </r>
  <r>
    <x v="2"/>
    <x v="9"/>
    <x v="10"/>
    <n v="7"/>
    <n v="6"/>
    <m/>
    <m/>
    <n v="1"/>
  </r>
  <r>
    <x v="2"/>
    <x v="9"/>
    <x v="11"/>
    <n v="14"/>
    <n v="14"/>
    <m/>
    <m/>
    <m/>
  </r>
  <r>
    <x v="2"/>
    <x v="9"/>
    <x v="12"/>
    <n v="33"/>
    <n v="26"/>
    <n v="4"/>
    <n v="2"/>
    <n v="1"/>
  </r>
  <r>
    <x v="2"/>
    <x v="9"/>
    <x v="13"/>
    <n v="61"/>
    <n v="54"/>
    <n v="4"/>
    <m/>
    <n v="3"/>
  </r>
  <r>
    <x v="2"/>
    <x v="9"/>
    <x v="14"/>
    <n v="200"/>
    <n v="173"/>
    <n v="22"/>
    <n v="2"/>
    <n v="3"/>
  </r>
  <r>
    <x v="2"/>
    <x v="9"/>
    <x v="15"/>
    <n v="38"/>
    <n v="29"/>
    <n v="2"/>
    <n v="4"/>
    <n v="3"/>
  </r>
  <r>
    <x v="2"/>
    <x v="9"/>
    <x v="16"/>
    <n v="27"/>
    <n v="26"/>
    <m/>
    <m/>
    <n v="1"/>
  </r>
  <r>
    <x v="2"/>
    <x v="9"/>
    <x v="17"/>
    <n v="14"/>
    <n v="11"/>
    <n v="1"/>
    <n v="1"/>
    <n v="1"/>
  </r>
  <r>
    <x v="2"/>
    <x v="9"/>
    <x v="18"/>
    <n v="13"/>
    <n v="11"/>
    <n v="2"/>
    <m/>
    <m/>
  </r>
  <r>
    <x v="2"/>
    <x v="9"/>
    <x v="19"/>
    <n v="4"/>
    <n v="3"/>
    <m/>
    <m/>
    <n v="1"/>
  </r>
  <r>
    <x v="2"/>
    <x v="9"/>
    <x v="20"/>
    <n v="41"/>
    <n v="35"/>
    <n v="5"/>
    <m/>
    <n v="1"/>
  </r>
  <r>
    <x v="2"/>
    <x v="9"/>
    <x v="21"/>
    <n v="120"/>
    <n v="105"/>
    <n v="8"/>
    <n v="3"/>
    <n v="4"/>
  </r>
  <r>
    <x v="2"/>
    <x v="9"/>
    <x v="23"/>
    <n v="20"/>
    <n v="17"/>
    <n v="1"/>
    <n v="2"/>
    <m/>
  </r>
  <r>
    <x v="2"/>
    <x v="9"/>
    <x v="24"/>
    <n v="49"/>
    <n v="42"/>
    <n v="6"/>
    <m/>
    <n v="1"/>
  </r>
  <r>
    <x v="2"/>
    <x v="9"/>
    <x v="25"/>
    <n v="20"/>
    <n v="17"/>
    <n v="3"/>
    <m/>
    <m/>
  </r>
  <r>
    <x v="2"/>
    <x v="9"/>
    <x v="26"/>
    <n v="19"/>
    <n v="17"/>
    <n v="1"/>
    <n v="1"/>
    <m/>
  </r>
  <r>
    <x v="2"/>
    <x v="9"/>
    <x v="27"/>
    <n v="74"/>
    <n v="69"/>
    <n v="3"/>
    <m/>
    <n v="2"/>
  </r>
  <r>
    <x v="2"/>
    <x v="9"/>
    <x v="28"/>
    <n v="9"/>
    <n v="4"/>
    <n v="2"/>
    <n v="2"/>
    <n v="1"/>
  </r>
  <r>
    <x v="2"/>
    <x v="9"/>
    <x v="29"/>
    <n v="22"/>
    <n v="20"/>
    <m/>
    <n v="1"/>
    <n v="1"/>
  </r>
  <r>
    <x v="2"/>
    <x v="9"/>
    <x v="30"/>
    <n v="42"/>
    <n v="27"/>
    <n v="10"/>
    <n v="2"/>
    <n v="3"/>
  </r>
  <r>
    <x v="2"/>
    <x v="10"/>
    <x v="0"/>
    <n v="48"/>
    <n v="45"/>
    <n v="3"/>
    <m/>
    <m/>
  </r>
  <r>
    <x v="2"/>
    <x v="10"/>
    <x v="1"/>
    <n v="32"/>
    <n v="24"/>
    <n v="4"/>
    <n v="3"/>
    <n v="1"/>
  </r>
  <r>
    <x v="2"/>
    <x v="10"/>
    <x v="2"/>
    <n v="16"/>
    <n v="10"/>
    <n v="5"/>
    <m/>
    <n v="1"/>
  </r>
  <r>
    <x v="2"/>
    <x v="10"/>
    <x v="3"/>
    <n v="19"/>
    <n v="14"/>
    <n v="2"/>
    <n v="3"/>
    <m/>
  </r>
  <r>
    <x v="2"/>
    <x v="10"/>
    <x v="4"/>
    <n v="105"/>
    <n v="94"/>
    <n v="8"/>
    <m/>
    <n v="3"/>
  </r>
  <r>
    <x v="2"/>
    <x v="10"/>
    <x v="5"/>
    <n v="12"/>
    <n v="10"/>
    <n v="2"/>
    <m/>
    <m/>
  </r>
  <r>
    <x v="2"/>
    <x v="10"/>
    <x v="6"/>
    <n v="9"/>
    <n v="8"/>
    <m/>
    <m/>
    <n v="1"/>
  </r>
  <r>
    <x v="2"/>
    <x v="10"/>
    <x v="7"/>
    <n v="27"/>
    <n v="26"/>
    <m/>
    <m/>
    <n v="1"/>
  </r>
  <r>
    <x v="2"/>
    <x v="10"/>
    <x v="8"/>
    <n v="22"/>
    <n v="19"/>
    <n v="1"/>
    <n v="1"/>
    <n v="1"/>
  </r>
  <r>
    <x v="2"/>
    <x v="10"/>
    <x v="9"/>
    <n v="17"/>
    <n v="11"/>
    <n v="5"/>
    <n v="1"/>
    <m/>
  </r>
  <r>
    <x v="2"/>
    <x v="10"/>
    <x v="10"/>
    <n v="8"/>
    <n v="7"/>
    <m/>
    <n v="1"/>
    <m/>
  </r>
  <r>
    <x v="2"/>
    <x v="10"/>
    <x v="11"/>
    <n v="14"/>
    <n v="10"/>
    <n v="1"/>
    <m/>
    <n v="3"/>
  </r>
  <r>
    <x v="2"/>
    <x v="10"/>
    <x v="12"/>
    <n v="17"/>
    <n v="14"/>
    <n v="2"/>
    <n v="1"/>
    <m/>
  </r>
  <r>
    <x v="2"/>
    <x v="10"/>
    <x v="13"/>
    <n v="45"/>
    <n v="38"/>
    <n v="5"/>
    <n v="2"/>
    <m/>
  </r>
  <r>
    <x v="2"/>
    <x v="10"/>
    <x v="14"/>
    <n v="176"/>
    <n v="157"/>
    <n v="12"/>
    <n v="3"/>
    <n v="4"/>
  </r>
  <r>
    <x v="2"/>
    <x v="10"/>
    <x v="15"/>
    <n v="33"/>
    <n v="25"/>
    <n v="6"/>
    <n v="2"/>
    <m/>
  </r>
  <r>
    <x v="2"/>
    <x v="10"/>
    <x v="16"/>
    <n v="25"/>
    <n v="24"/>
    <n v="1"/>
    <m/>
    <m/>
  </r>
  <r>
    <x v="2"/>
    <x v="10"/>
    <x v="17"/>
    <n v="12"/>
    <n v="12"/>
    <m/>
    <m/>
    <m/>
  </r>
  <r>
    <x v="2"/>
    <x v="10"/>
    <x v="18"/>
    <n v="20"/>
    <n v="19"/>
    <n v="1"/>
    <m/>
    <m/>
  </r>
  <r>
    <x v="2"/>
    <x v="10"/>
    <x v="19"/>
    <n v="9"/>
    <n v="8"/>
    <n v="1"/>
    <m/>
    <m/>
  </r>
  <r>
    <x v="2"/>
    <x v="10"/>
    <x v="20"/>
    <n v="21"/>
    <n v="20"/>
    <m/>
    <m/>
    <n v="1"/>
  </r>
  <r>
    <x v="2"/>
    <x v="10"/>
    <x v="21"/>
    <n v="75"/>
    <n v="64"/>
    <n v="7"/>
    <n v="2"/>
    <n v="2"/>
  </r>
  <r>
    <x v="2"/>
    <x v="10"/>
    <x v="22"/>
    <n v="2"/>
    <n v="1"/>
    <m/>
    <n v="1"/>
    <m/>
  </r>
  <r>
    <x v="2"/>
    <x v="10"/>
    <x v="23"/>
    <n v="36"/>
    <n v="32"/>
    <n v="2"/>
    <n v="2"/>
    <m/>
  </r>
  <r>
    <x v="2"/>
    <x v="10"/>
    <x v="24"/>
    <n v="30"/>
    <n v="24"/>
    <n v="6"/>
    <m/>
    <m/>
  </r>
  <r>
    <x v="2"/>
    <x v="10"/>
    <x v="25"/>
    <n v="33"/>
    <n v="26"/>
    <n v="3"/>
    <m/>
    <n v="4"/>
  </r>
  <r>
    <x v="2"/>
    <x v="10"/>
    <x v="31"/>
    <n v="5"/>
    <n v="5"/>
    <m/>
    <m/>
    <m/>
  </r>
  <r>
    <x v="2"/>
    <x v="10"/>
    <x v="26"/>
    <n v="23"/>
    <n v="19"/>
    <n v="2"/>
    <n v="1"/>
    <n v="1"/>
  </r>
  <r>
    <x v="2"/>
    <x v="10"/>
    <x v="27"/>
    <n v="65"/>
    <n v="59"/>
    <n v="2"/>
    <n v="3"/>
    <n v="1"/>
  </r>
  <r>
    <x v="2"/>
    <x v="10"/>
    <x v="28"/>
    <n v="10"/>
    <n v="5"/>
    <n v="3"/>
    <n v="2"/>
    <m/>
  </r>
  <r>
    <x v="2"/>
    <x v="10"/>
    <x v="29"/>
    <n v="26"/>
    <n v="25"/>
    <m/>
    <m/>
    <n v="1"/>
  </r>
  <r>
    <x v="2"/>
    <x v="10"/>
    <x v="30"/>
    <n v="35"/>
    <n v="22"/>
    <n v="7"/>
    <n v="1"/>
    <n v="5"/>
  </r>
  <r>
    <x v="2"/>
    <x v="11"/>
    <x v="0"/>
    <n v="36"/>
    <n v="35"/>
    <n v="1"/>
    <m/>
    <m/>
  </r>
  <r>
    <x v="2"/>
    <x v="11"/>
    <x v="1"/>
    <n v="26"/>
    <n v="16"/>
    <n v="3"/>
    <n v="1"/>
    <n v="6"/>
  </r>
  <r>
    <x v="2"/>
    <x v="11"/>
    <x v="2"/>
    <n v="20"/>
    <n v="19"/>
    <m/>
    <m/>
    <n v="1"/>
  </r>
  <r>
    <x v="2"/>
    <x v="11"/>
    <x v="3"/>
    <n v="10"/>
    <n v="7"/>
    <n v="3"/>
    <m/>
    <m/>
  </r>
  <r>
    <x v="2"/>
    <x v="11"/>
    <x v="4"/>
    <n v="71"/>
    <n v="61"/>
    <n v="8"/>
    <m/>
    <n v="2"/>
  </r>
  <r>
    <x v="2"/>
    <x v="11"/>
    <x v="5"/>
    <n v="21"/>
    <n v="20"/>
    <n v="1"/>
    <m/>
    <m/>
  </r>
  <r>
    <x v="2"/>
    <x v="11"/>
    <x v="6"/>
    <n v="5"/>
    <n v="4"/>
    <m/>
    <m/>
    <n v="1"/>
  </r>
  <r>
    <x v="2"/>
    <x v="11"/>
    <x v="7"/>
    <n v="33"/>
    <n v="32"/>
    <m/>
    <m/>
    <n v="1"/>
  </r>
  <r>
    <x v="2"/>
    <x v="11"/>
    <x v="8"/>
    <n v="25"/>
    <n v="20"/>
    <n v="3"/>
    <n v="1"/>
    <n v="1"/>
  </r>
  <r>
    <x v="2"/>
    <x v="11"/>
    <x v="9"/>
    <n v="9"/>
    <n v="9"/>
    <m/>
    <m/>
    <m/>
  </r>
  <r>
    <x v="2"/>
    <x v="11"/>
    <x v="10"/>
    <n v="7"/>
    <n v="4"/>
    <m/>
    <n v="1"/>
    <n v="2"/>
  </r>
  <r>
    <x v="2"/>
    <x v="11"/>
    <x v="11"/>
    <n v="6"/>
    <n v="6"/>
    <m/>
    <m/>
    <m/>
  </r>
  <r>
    <x v="2"/>
    <x v="11"/>
    <x v="12"/>
    <n v="35"/>
    <n v="30"/>
    <n v="3"/>
    <m/>
    <n v="2"/>
  </r>
  <r>
    <x v="2"/>
    <x v="11"/>
    <x v="13"/>
    <n v="49"/>
    <n v="45"/>
    <n v="3"/>
    <n v="1"/>
    <m/>
  </r>
  <r>
    <x v="2"/>
    <x v="11"/>
    <x v="14"/>
    <n v="194"/>
    <n v="166"/>
    <n v="21"/>
    <n v="2"/>
    <n v="5"/>
  </r>
  <r>
    <x v="2"/>
    <x v="11"/>
    <x v="15"/>
    <n v="26"/>
    <n v="18"/>
    <n v="4"/>
    <m/>
    <n v="4"/>
  </r>
  <r>
    <x v="2"/>
    <x v="11"/>
    <x v="16"/>
    <n v="34"/>
    <n v="33"/>
    <n v="1"/>
    <m/>
    <m/>
  </r>
  <r>
    <x v="2"/>
    <x v="11"/>
    <x v="17"/>
    <n v="14"/>
    <n v="13"/>
    <n v="1"/>
    <m/>
    <m/>
  </r>
  <r>
    <x v="2"/>
    <x v="11"/>
    <x v="18"/>
    <n v="11"/>
    <n v="7"/>
    <n v="3"/>
    <n v="1"/>
    <m/>
  </r>
  <r>
    <x v="2"/>
    <x v="11"/>
    <x v="19"/>
    <n v="4"/>
    <n v="4"/>
    <m/>
    <m/>
    <m/>
  </r>
  <r>
    <x v="2"/>
    <x v="11"/>
    <x v="20"/>
    <n v="41"/>
    <n v="39"/>
    <n v="1"/>
    <n v="1"/>
    <m/>
  </r>
  <r>
    <x v="2"/>
    <x v="11"/>
    <x v="21"/>
    <n v="90"/>
    <n v="75"/>
    <n v="6"/>
    <n v="5"/>
    <n v="4"/>
  </r>
  <r>
    <x v="2"/>
    <x v="11"/>
    <x v="22"/>
    <n v="1"/>
    <n v="1"/>
    <m/>
    <m/>
    <m/>
  </r>
  <r>
    <x v="2"/>
    <x v="11"/>
    <x v="23"/>
    <n v="30"/>
    <n v="25"/>
    <m/>
    <n v="2"/>
    <n v="3"/>
  </r>
  <r>
    <x v="2"/>
    <x v="11"/>
    <x v="24"/>
    <n v="44"/>
    <n v="37"/>
    <n v="5"/>
    <m/>
    <n v="2"/>
  </r>
  <r>
    <x v="2"/>
    <x v="11"/>
    <x v="25"/>
    <n v="15"/>
    <n v="12"/>
    <n v="1"/>
    <m/>
    <n v="2"/>
  </r>
  <r>
    <x v="2"/>
    <x v="11"/>
    <x v="31"/>
    <n v="3"/>
    <n v="2"/>
    <m/>
    <n v="1"/>
    <m/>
  </r>
  <r>
    <x v="2"/>
    <x v="11"/>
    <x v="26"/>
    <n v="24"/>
    <n v="20"/>
    <n v="1"/>
    <n v="3"/>
    <m/>
  </r>
  <r>
    <x v="2"/>
    <x v="11"/>
    <x v="27"/>
    <n v="68"/>
    <n v="59"/>
    <n v="5"/>
    <n v="2"/>
    <n v="2"/>
  </r>
  <r>
    <x v="2"/>
    <x v="11"/>
    <x v="28"/>
    <n v="11"/>
    <n v="9"/>
    <m/>
    <m/>
    <n v="2"/>
  </r>
  <r>
    <x v="2"/>
    <x v="11"/>
    <x v="29"/>
    <n v="23"/>
    <n v="21"/>
    <m/>
    <m/>
    <n v="2"/>
  </r>
  <r>
    <x v="2"/>
    <x v="11"/>
    <x v="30"/>
    <n v="31"/>
    <n v="27"/>
    <m/>
    <n v="1"/>
    <n v="3"/>
  </r>
</pivotCacheRecords>
</file>

<file path=xl/pivotCache/pivotCacheRecords51.xml><?xml version="1.0" encoding="utf-8"?>
<pivotCacheRecords xmlns="http://schemas.openxmlformats.org/spreadsheetml/2006/main" xmlns:r="http://schemas.openxmlformats.org/officeDocument/2006/relationships" count="718">
  <r>
    <x v="0"/>
    <x v="0"/>
    <x v="0"/>
    <n v="18"/>
  </r>
  <r>
    <x v="0"/>
    <x v="0"/>
    <x v="1"/>
    <n v="28"/>
  </r>
  <r>
    <x v="0"/>
    <x v="0"/>
    <x v="2"/>
    <n v="4"/>
  </r>
  <r>
    <x v="0"/>
    <x v="0"/>
    <x v="3"/>
    <m/>
  </r>
  <r>
    <x v="0"/>
    <x v="0"/>
    <x v="4"/>
    <m/>
  </r>
  <r>
    <x v="0"/>
    <x v="0"/>
    <x v="5"/>
    <m/>
  </r>
  <r>
    <x v="0"/>
    <x v="0"/>
    <x v="6"/>
    <n v="3"/>
  </r>
  <r>
    <x v="0"/>
    <x v="0"/>
    <x v="7"/>
    <m/>
  </r>
  <r>
    <x v="0"/>
    <x v="0"/>
    <x v="8"/>
    <m/>
  </r>
  <r>
    <x v="0"/>
    <x v="0"/>
    <x v="9"/>
    <n v="1"/>
  </r>
  <r>
    <x v="0"/>
    <x v="0"/>
    <x v="10"/>
    <m/>
  </r>
  <r>
    <x v="0"/>
    <x v="0"/>
    <x v="11"/>
    <m/>
  </r>
  <r>
    <x v="0"/>
    <x v="0"/>
    <x v="12"/>
    <m/>
  </r>
  <r>
    <x v="0"/>
    <x v="0"/>
    <x v="13"/>
    <m/>
  </r>
  <r>
    <x v="0"/>
    <x v="0"/>
    <x v="14"/>
    <m/>
  </r>
  <r>
    <x v="0"/>
    <x v="0"/>
    <x v="15"/>
    <n v="1"/>
  </r>
  <r>
    <x v="0"/>
    <x v="0"/>
    <x v="16"/>
    <m/>
  </r>
  <r>
    <x v="0"/>
    <x v="0"/>
    <x v="17"/>
    <m/>
  </r>
  <r>
    <x v="0"/>
    <x v="0"/>
    <x v="18"/>
    <m/>
  </r>
  <r>
    <x v="0"/>
    <x v="0"/>
    <x v="19"/>
    <m/>
  </r>
  <r>
    <x v="0"/>
    <x v="0"/>
    <x v="20"/>
    <m/>
  </r>
  <r>
    <x v="0"/>
    <x v="0"/>
    <x v="21"/>
    <m/>
  </r>
  <r>
    <x v="0"/>
    <x v="0"/>
    <x v="22"/>
    <m/>
  </r>
  <r>
    <x v="0"/>
    <x v="0"/>
    <x v="23"/>
    <n v="2"/>
  </r>
  <r>
    <x v="0"/>
    <x v="0"/>
    <x v="24"/>
    <m/>
  </r>
  <r>
    <x v="0"/>
    <x v="0"/>
    <x v="25"/>
    <m/>
  </r>
  <r>
    <x v="0"/>
    <x v="0"/>
    <x v="26"/>
    <m/>
  </r>
  <r>
    <x v="0"/>
    <x v="0"/>
    <x v="27"/>
    <m/>
  </r>
  <r>
    <x v="0"/>
    <x v="0"/>
    <x v="28"/>
    <m/>
  </r>
  <r>
    <x v="0"/>
    <x v="0"/>
    <x v="29"/>
    <m/>
  </r>
  <r>
    <x v="0"/>
    <x v="1"/>
    <x v="0"/>
    <n v="17"/>
  </r>
  <r>
    <x v="0"/>
    <x v="1"/>
    <x v="1"/>
    <n v="21"/>
  </r>
  <r>
    <x v="0"/>
    <x v="1"/>
    <x v="2"/>
    <n v="4"/>
  </r>
  <r>
    <x v="0"/>
    <x v="1"/>
    <x v="3"/>
    <n v="1"/>
  </r>
  <r>
    <x v="0"/>
    <x v="1"/>
    <x v="4"/>
    <m/>
  </r>
  <r>
    <x v="0"/>
    <x v="1"/>
    <x v="5"/>
    <n v="1"/>
  </r>
  <r>
    <x v="0"/>
    <x v="1"/>
    <x v="6"/>
    <n v="1"/>
  </r>
  <r>
    <x v="0"/>
    <x v="1"/>
    <x v="7"/>
    <m/>
  </r>
  <r>
    <x v="0"/>
    <x v="1"/>
    <x v="8"/>
    <n v="1"/>
  </r>
  <r>
    <x v="0"/>
    <x v="1"/>
    <x v="9"/>
    <m/>
  </r>
  <r>
    <x v="0"/>
    <x v="1"/>
    <x v="10"/>
    <m/>
  </r>
  <r>
    <x v="0"/>
    <x v="1"/>
    <x v="11"/>
    <m/>
  </r>
  <r>
    <x v="0"/>
    <x v="1"/>
    <x v="12"/>
    <m/>
  </r>
  <r>
    <x v="0"/>
    <x v="1"/>
    <x v="13"/>
    <m/>
  </r>
  <r>
    <x v="0"/>
    <x v="1"/>
    <x v="14"/>
    <m/>
  </r>
  <r>
    <x v="0"/>
    <x v="1"/>
    <x v="15"/>
    <m/>
  </r>
  <r>
    <x v="0"/>
    <x v="1"/>
    <x v="16"/>
    <m/>
  </r>
  <r>
    <x v="0"/>
    <x v="1"/>
    <x v="17"/>
    <m/>
  </r>
  <r>
    <x v="0"/>
    <x v="1"/>
    <x v="18"/>
    <m/>
  </r>
  <r>
    <x v="0"/>
    <x v="1"/>
    <x v="19"/>
    <m/>
  </r>
  <r>
    <x v="0"/>
    <x v="1"/>
    <x v="20"/>
    <m/>
  </r>
  <r>
    <x v="0"/>
    <x v="1"/>
    <x v="21"/>
    <m/>
  </r>
  <r>
    <x v="0"/>
    <x v="1"/>
    <x v="22"/>
    <m/>
  </r>
  <r>
    <x v="0"/>
    <x v="1"/>
    <x v="23"/>
    <m/>
  </r>
  <r>
    <x v="0"/>
    <x v="1"/>
    <x v="24"/>
    <n v="1"/>
  </r>
  <r>
    <x v="0"/>
    <x v="1"/>
    <x v="25"/>
    <m/>
  </r>
  <r>
    <x v="0"/>
    <x v="1"/>
    <x v="26"/>
    <m/>
  </r>
  <r>
    <x v="0"/>
    <x v="1"/>
    <x v="27"/>
    <n v="1"/>
  </r>
  <r>
    <x v="0"/>
    <x v="1"/>
    <x v="28"/>
    <m/>
  </r>
  <r>
    <x v="0"/>
    <x v="1"/>
    <x v="29"/>
    <m/>
  </r>
  <r>
    <x v="0"/>
    <x v="2"/>
    <x v="0"/>
    <n v="21"/>
  </r>
  <r>
    <x v="0"/>
    <x v="2"/>
    <x v="1"/>
    <n v="25"/>
  </r>
  <r>
    <x v="0"/>
    <x v="2"/>
    <x v="2"/>
    <n v="3"/>
  </r>
  <r>
    <x v="0"/>
    <x v="2"/>
    <x v="3"/>
    <m/>
  </r>
  <r>
    <x v="0"/>
    <x v="2"/>
    <x v="4"/>
    <m/>
  </r>
  <r>
    <x v="0"/>
    <x v="2"/>
    <x v="5"/>
    <n v="1"/>
  </r>
  <r>
    <x v="0"/>
    <x v="2"/>
    <x v="6"/>
    <n v="1"/>
  </r>
  <r>
    <x v="0"/>
    <x v="2"/>
    <x v="7"/>
    <m/>
  </r>
  <r>
    <x v="0"/>
    <x v="2"/>
    <x v="8"/>
    <n v="1"/>
  </r>
  <r>
    <x v="0"/>
    <x v="2"/>
    <x v="9"/>
    <m/>
  </r>
  <r>
    <x v="0"/>
    <x v="2"/>
    <x v="10"/>
    <n v="1"/>
  </r>
  <r>
    <x v="0"/>
    <x v="2"/>
    <x v="11"/>
    <m/>
  </r>
  <r>
    <x v="0"/>
    <x v="2"/>
    <x v="12"/>
    <m/>
  </r>
  <r>
    <x v="0"/>
    <x v="2"/>
    <x v="13"/>
    <m/>
  </r>
  <r>
    <x v="0"/>
    <x v="2"/>
    <x v="14"/>
    <m/>
  </r>
  <r>
    <x v="0"/>
    <x v="2"/>
    <x v="15"/>
    <m/>
  </r>
  <r>
    <x v="0"/>
    <x v="2"/>
    <x v="16"/>
    <n v="1"/>
  </r>
  <r>
    <x v="0"/>
    <x v="2"/>
    <x v="17"/>
    <m/>
  </r>
  <r>
    <x v="0"/>
    <x v="2"/>
    <x v="18"/>
    <m/>
  </r>
  <r>
    <x v="0"/>
    <x v="2"/>
    <x v="19"/>
    <n v="1"/>
  </r>
  <r>
    <x v="0"/>
    <x v="2"/>
    <x v="20"/>
    <m/>
  </r>
  <r>
    <x v="0"/>
    <x v="2"/>
    <x v="21"/>
    <m/>
  </r>
  <r>
    <x v="0"/>
    <x v="2"/>
    <x v="22"/>
    <m/>
  </r>
  <r>
    <x v="0"/>
    <x v="2"/>
    <x v="23"/>
    <m/>
  </r>
  <r>
    <x v="0"/>
    <x v="2"/>
    <x v="24"/>
    <m/>
  </r>
  <r>
    <x v="0"/>
    <x v="2"/>
    <x v="25"/>
    <m/>
  </r>
  <r>
    <x v="0"/>
    <x v="2"/>
    <x v="26"/>
    <m/>
  </r>
  <r>
    <x v="0"/>
    <x v="2"/>
    <x v="27"/>
    <m/>
  </r>
  <r>
    <x v="0"/>
    <x v="2"/>
    <x v="28"/>
    <m/>
  </r>
  <r>
    <x v="0"/>
    <x v="2"/>
    <x v="29"/>
    <m/>
  </r>
  <r>
    <x v="0"/>
    <x v="3"/>
    <x v="0"/>
    <n v="19"/>
  </r>
  <r>
    <x v="0"/>
    <x v="3"/>
    <x v="1"/>
    <n v="14"/>
  </r>
  <r>
    <x v="0"/>
    <x v="3"/>
    <x v="2"/>
    <n v="6"/>
  </r>
  <r>
    <x v="0"/>
    <x v="3"/>
    <x v="3"/>
    <m/>
  </r>
  <r>
    <x v="0"/>
    <x v="3"/>
    <x v="4"/>
    <m/>
  </r>
  <r>
    <x v="0"/>
    <x v="3"/>
    <x v="5"/>
    <n v="1"/>
  </r>
  <r>
    <x v="0"/>
    <x v="3"/>
    <x v="6"/>
    <m/>
  </r>
  <r>
    <x v="0"/>
    <x v="3"/>
    <x v="7"/>
    <m/>
  </r>
  <r>
    <x v="0"/>
    <x v="3"/>
    <x v="8"/>
    <m/>
  </r>
  <r>
    <x v="0"/>
    <x v="3"/>
    <x v="9"/>
    <m/>
  </r>
  <r>
    <x v="0"/>
    <x v="3"/>
    <x v="10"/>
    <m/>
  </r>
  <r>
    <x v="0"/>
    <x v="3"/>
    <x v="11"/>
    <m/>
  </r>
  <r>
    <x v="0"/>
    <x v="3"/>
    <x v="12"/>
    <m/>
  </r>
  <r>
    <x v="0"/>
    <x v="3"/>
    <x v="13"/>
    <m/>
  </r>
  <r>
    <x v="0"/>
    <x v="3"/>
    <x v="14"/>
    <m/>
  </r>
  <r>
    <x v="0"/>
    <x v="3"/>
    <x v="15"/>
    <m/>
  </r>
  <r>
    <x v="0"/>
    <x v="3"/>
    <x v="16"/>
    <m/>
  </r>
  <r>
    <x v="0"/>
    <x v="3"/>
    <x v="17"/>
    <m/>
  </r>
  <r>
    <x v="0"/>
    <x v="3"/>
    <x v="18"/>
    <m/>
  </r>
  <r>
    <x v="0"/>
    <x v="3"/>
    <x v="19"/>
    <m/>
  </r>
  <r>
    <x v="0"/>
    <x v="3"/>
    <x v="20"/>
    <m/>
  </r>
  <r>
    <x v="0"/>
    <x v="3"/>
    <x v="21"/>
    <m/>
  </r>
  <r>
    <x v="0"/>
    <x v="3"/>
    <x v="22"/>
    <m/>
  </r>
  <r>
    <x v="0"/>
    <x v="3"/>
    <x v="23"/>
    <m/>
  </r>
  <r>
    <x v="0"/>
    <x v="3"/>
    <x v="24"/>
    <n v="1"/>
  </r>
  <r>
    <x v="0"/>
    <x v="3"/>
    <x v="25"/>
    <m/>
  </r>
  <r>
    <x v="0"/>
    <x v="3"/>
    <x v="26"/>
    <m/>
  </r>
  <r>
    <x v="0"/>
    <x v="3"/>
    <x v="27"/>
    <n v="1"/>
  </r>
  <r>
    <x v="0"/>
    <x v="3"/>
    <x v="28"/>
    <m/>
  </r>
  <r>
    <x v="0"/>
    <x v="3"/>
    <x v="29"/>
    <m/>
  </r>
  <r>
    <x v="0"/>
    <x v="4"/>
    <x v="0"/>
    <n v="14"/>
  </r>
  <r>
    <x v="0"/>
    <x v="4"/>
    <x v="1"/>
    <n v="11"/>
  </r>
  <r>
    <x v="0"/>
    <x v="4"/>
    <x v="2"/>
    <n v="2"/>
  </r>
  <r>
    <x v="0"/>
    <x v="4"/>
    <x v="3"/>
    <m/>
  </r>
  <r>
    <x v="0"/>
    <x v="4"/>
    <x v="4"/>
    <m/>
  </r>
  <r>
    <x v="0"/>
    <x v="4"/>
    <x v="5"/>
    <n v="2"/>
  </r>
  <r>
    <x v="0"/>
    <x v="4"/>
    <x v="6"/>
    <m/>
  </r>
  <r>
    <x v="0"/>
    <x v="4"/>
    <x v="7"/>
    <m/>
  </r>
  <r>
    <x v="0"/>
    <x v="4"/>
    <x v="8"/>
    <m/>
  </r>
  <r>
    <x v="0"/>
    <x v="4"/>
    <x v="9"/>
    <m/>
  </r>
  <r>
    <x v="0"/>
    <x v="4"/>
    <x v="10"/>
    <m/>
  </r>
  <r>
    <x v="0"/>
    <x v="4"/>
    <x v="11"/>
    <m/>
  </r>
  <r>
    <x v="0"/>
    <x v="4"/>
    <x v="12"/>
    <m/>
  </r>
  <r>
    <x v="0"/>
    <x v="4"/>
    <x v="13"/>
    <m/>
  </r>
  <r>
    <x v="0"/>
    <x v="4"/>
    <x v="14"/>
    <m/>
  </r>
  <r>
    <x v="0"/>
    <x v="4"/>
    <x v="15"/>
    <m/>
  </r>
  <r>
    <x v="0"/>
    <x v="4"/>
    <x v="16"/>
    <n v="1"/>
  </r>
  <r>
    <x v="0"/>
    <x v="4"/>
    <x v="17"/>
    <m/>
  </r>
  <r>
    <x v="0"/>
    <x v="4"/>
    <x v="18"/>
    <m/>
  </r>
  <r>
    <x v="0"/>
    <x v="4"/>
    <x v="19"/>
    <m/>
  </r>
  <r>
    <x v="0"/>
    <x v="4"/>
    <x v="20"/>
    <m/>
  </r>
  <r>
    <x v="0"/>
    <x v="4"/>
    <x v="21"/>
    <m/>
  </r>
  <r>
    <x v="0"/>
    <x v="4"/>
    <x v="22"/>
    <m/>
  </r>
  <r>
    <x v="0"/>
    <x v="4"/>
    <x v="23"/>
    <m/>
  </r>
  <r>
    <x v="0"/>
    <x v="4"/>
    <x v="24"/>
    <m/>
  </r>
  <r>
    <x v="0"/>
    <x v="4"/>
    <x v="25"/>
    <m/>
  </r>
  <r>
    <x v="0"/>
    <x v="4"/>
    <x v="26"/>
    <m/>
  </r>
  <r>
    <x v="0"/>
    <x v="4"/>
    <x v="27"/>
    <m/>
  </r>
  <r>
    <x v="0"/>
    <x v="4"/>
    <x v="28"/>
    <m/>
  </r>
  <r>
    <x v="0"/>
    <x v="4"/>
    <x v="29"/>
    <m/>
  </r>
  <r>
    <x v="0"/>
    <x v="5"/>
    <x v="0"/>
    <n v="16"/>
  </r>
  <r>
    <x v="0"/>
    <x v="5"/>
    <x v="1"/>
    <n v="11"/>
  </r>
  <r>
    <x v="0"/>
    <x v="5"/>
    <x v="2"/>
    <m/>
  </r>
  <r>
    <x v="0"/>
    <x v="5"/>
    <x v="3"/>
    <m/>
  </r>
  <r>
    <x v="0"/>
    <x v="5"/>
    <x v="4"/>
    <m/>
  </r>
  <r>
    <x v="0"/>
    <x v="5"/>
    <x v="5"/>
    <n v="2"/>
  </r>
  <r>
    <x v="0"/>
    <x v="5"/>
    <x v="6"/>
    <n v="1"/>
  </r>
  <r>
    <x v="0"/>
    <x v="5"/>
    <x v="7"/>
    <n v="1"/>
  </r>
  <r>
    <x v="0"/>
    <x v="5"/>
    <x v="8"/>
    <m/>
  </r>
  <r>
    <x v="0"/>
    <x v="5"/>
    <x v="9"/>
    <m/>
  </r>
  <r>
    <x v="0"/>
    <x v="5"/>
    <x v="10"/>
    <m/>
  </r>
  <r>
    <x v="0"/>
    <x v="5"/>
    <x v="11"/>
    <m/>
  </r>
  <r>
    <x v="0"/>
    <x v="5"/>
    <x v="12"/>
    <m/>
  </r>
  <r>
    <x v="0"/>
    <x v="5"/>
    <x v="13"/>
    <n v="1"/>
  </r>
  <r>
    <x v="0"/>
    <x v="5"/>
    <x v="14"/>
    <m/>
  </r>
  <r>
    <x v="0"/>
    <x v="5"/>
    <x v="15"/>
    <n v="1"/>
  </r>
  <r>
    <x v="0"/>
    <x v="5"/>
    <x v="16"/>
    <m/>
  </r>
  <r>
    <x v="0"/>
    <x v="5"/>
    <x v="17"/>
    <m/>
  </r>
  <r>
    <x v="0"/>
    <x v="5"/>
    <x v="18"/>
    <m/>
  </r>
  <r>
    <x v="0"/>
    <x v="5"/>
    <x v="19"/>
    <m/>
  </r>
  <r>
    <x v="0"/>
    <x v="5"/>
    <x v="20"/>
    <m/>
  </r>
  <r>
    <x v="0"/>
    <x v="5"/>
    <x v="21"/>
    <m/>
  </r>
  <r>
    <x v="0"/>
    <x v="5"/>
    <x v="22"/>
    <m/>
  </r>
  <r>
    <x v="0"/>
    <x v="5"/>
    <x v="23"/>
    <m/>
  </r>
  <r>
    <x v="0"/>
    <x v="5"/>
    <x v="24"/>
    <n v="1"/>
  </r>
  <r>
    <x v="0"/>
    <x v="5"/>
    <x v="25"/>
    <m/>
  </r>
  <r>
    <x v="0"/>
    <x v="5"/>
    <x v="26"/>
    <m/>
  </r>
  <r>
    <x v="0"/>
    <x v="5"/>
    <x v="27"/>
    <m/>
  </r>
  <r>
    <x v="0"/>
    <x v="5"/>
    <x v="28"/>
    <m/>
  </r>
  <r>
    <x v="0"/>
    <x v="5"/>
    <x v="29"/>
    <m/>
  </r>
  <r>
    <x v="0"/>
    <x v="6"/>
    <x v="0"/>
    <n v="21"/>
  </r>
  <r>
    <x v="0"/>
    <x v="6"/>
    <x v="1"/>
    <n v="12"/>
  </r>
  <r>
    <x v="0"/>
    <x v="6"/>
    <x v="2"/>
    <n v="6"/>
  </r>
  <r>
    <x v="0"/>
    <x v="6"/>
    <x v="3"/>
    <m/>
  </r>
  <r>
    <x v="0"/>
    <x v="6"/>
    <x v="4"/>
    <m/>
  </r>
  <r>
    <x v="0"/>
    <x v="6"/>
    <x v="5"/>
    <m/>
  </r>
  <r>
    <x v="0"/>
    <x v="6"/>
    <x v="6"/>
    <m/>
  </r>
  <r>
    <x v="0"/>
    <x v="6"/>
    <x v="7"/>
    <m/>
  </r>
  <r>
    <x v="0"/>
    <x v="6"/>
    <x v="8"/>
    <m/>
  </r>
  <r>
    <x v="0"/>
    <x v="6"/>
    <x v="9"/>
    <m/>
  </r>
  <r>
    <x v="0"/>
    <x v="6"/>
    <x v="10"/>
    <m/>
  </r>
  <r>
    <x v="0"/>
    <x v="6"/>
    <x v="11"/>
    <m/>
  </r>
  <r>
    <x v="0"/>
    <x v="6"/>
    <x v="12"/>
    <m/>
  </r>
  <r>
    <x v="0"/>
    <x v="6"/>
    <x v="13"/>
    <m/>
  </r>
  <r>
    <x v="0"/>
    <x v="6"/>
    <x v="14"/>
    <m/>
  </r>
  <r>
    <x v="0"/>
    <x v="6"/>
    <x v="15"/>
    <m/>
  </r>
  <r>
    <x v="0"/>
    <x v="6"/>
    <x v="16"/>
    <m/>
  </r>
  <r>
    <x v="0"/>
    <x v="6"/>
    <x v="17"/>
    <m/>
  </r>
  <r>
    <x v="0"/>
    <x v="6"/>
    <x v="18"/>
    <m/>
  </r>
  <r>
    <x v="0"/>
    <x v="6"/>
    <x v="19"/>
    <n v="1"/>
  </r>
  <r>
    <x v="0"/>
    <x v="6"/>
    <x v="20"/>
    <n v="1"/>
  </r>
  <r>
    <x v="0"/>
    <x v="6"/>
    <x v="21"/>
    <m/>
  </r>
  <r>
    <x v="0"/>
    <x v="6"/>
    <x v="22"/>
    <n v="1"/>
  </r>
  <r>
    <x v="0"/>
    <x v="6"/>
    <x v="23"/>
    <m/>
  </r>
  <r>
    <x v="0"/>
    <x v="6"/>
    <x v="24"/>
    <m/>
  </r>
  <r>
    <x v="0"/>
    <x v="6"/>
    <x v="25"/>
    <m/>
  </r>
  <r>
    <x v="0"/>
    <x v="6"/>
    <x v="26"/>
    <m/>
  </r>
  <r>
    <x v="0"/>
    <x v="6"/>
    <x v="27"/>
    <m/>
  </r>
  <r>
    <x v="0"/>
    <x v="6"/>
    <x v="28"/>
    <m/>
  </r>
  <r>
    <x v="0"/>
    <x v="6"/>
    <x v="29"/>
    <m/>
  </r>
  <r>
    <x v="0"/>
    <x v="7"/>
    <x v="0"/>
    <n v="18"/>
  </r>
  <r>
    <x v="0"/>
    <x v="7"/>
    <x v="1"/>
    <n v="11"/>
  </r>
  <r>
    <x v="0"/>
    <x v="7"/>
    <x v="2"/>
    <n v="4"/>
  </r>
  <r>
    <x v="0"/>
    <x v="7"/>
    <x v="3"/>
    <m/>
  </r>
  <r>
    <x v="0"/>
    <x v="7"/>
    <x v="5"/>
    <n v="2"/>
  </r>
  <r>
    <x v="0"/>
    <x v="7"/>
    <x v="6"/>
    <n v="1"/>
  </r>
  <r>
    <x v="0"/>
    <x v="7"/>
    <x v="7"/>
    <m/>
  </r>
  <r>
    <x v="0"/>
    <x v="7"/>
    <x v="8"/>
    <m/>
  </r>
  <r>
    <x v="0"/>
    <x v="7"/>
    <x v="9"/>
    <m/>
  </r>
  <r>
    <x v="0"/>
    <x v="7"/>
    <x v="10"/>
    <m/>
  </r>
  <r>
    <x v="0"/>
    <x v="7"/>
    <x v="11"/>
    <m/>
  </r>
  <r>
    <x v="0"/>
    <x v="7"/>
    <x v="12"/>
    <m/>
  </r>
  <r>
    <x v="0"/>
    <x v="7"/>
    <x v="13"/>
    <m/>
  </r>
  <r>
    <x v="0"/>
    <x v="7"/>
    <x v="14"/>
    <m/>
  </r>
  <r>
    <x v="0"/>
    <x v="7"/>
    <x v="15"/>
    <m/>
  </r>
  <r>
    <x v="0"/>
    <x v="7"/>
    <x v="16"/>
    <m/>
  </r>
  <r>
    <x v="0"/>
    <x v="7"/>
    <x v="17"/>
    <m/>
  </r>
  <r>
    <x v="0"/>
    <x v="7"/>
    <x v="18"/>
    <m/>
  </r>
  <r>
    <x v="0"/>
    <x v="7"/>
    <x v="19"/>
    <m/>
  </r>
  <r>
    <x v="0"/>
    <x v="7"/>
    <x v="20"/>
    <m/>
  </r>
  <r>
    <x v="0"/>
    <x v="7"/>
    <x v="21"/>
    <m/>
  </r>
  <r>
    <x v="0"/>
    <x v="7"/>
    <x v="22"/>
    <m/>
  </r>
  <r>
    <x v="0"/>
    <x v="7"/>
    <x v="23"/>
    <n v="1"/>
  </r>
  <r>
    <x v="0"/>
    <x v="7"/>
    <x v="24"/>
    <n v="2"/>
  </r>
  <r>
    <x v="0"/>
    <x v="7"/>
    <x v="25"/>
    <m/>
  </r>
  <r>
    <x v="0"/>
    <x v="7"/>
    <x v="26"/>
    <m/>
  </r>
  <r>
    <x v="0"/>
    <x v="7"/>
    <x v="27"/>
    <m/>
  </r>
  <r>
    <x v="0"/>
    <x v="7"/>
    <x v="28"/>
    <m/>
  </r>
  <r>
    <x v="0"/>
    <x v="7"/>
    <x v="29"/>
    <m/>
  </r>
  <r>
    <x v="0"/>
    <x v="8"/>
    <x v="0"/>
    <n v="19"/>
  </r>
  <r>
    <x v="0"/>
    <x v="8"/>
    <x v="1"/>
    <n v="11"/>
  </r>
  <r>
    <x v="0"/>
    <x v="8"/>
    <x v="2"/>
    <n v="4"/>
  </r>
  <r>
    <x v="0"/>
    <x v="8"/>
    <x v="3"/>
    <m/>
  </r>
  <r>
    <x v="0"/>
    <x v="8"/>
    <x v="4"/>
    <m/>
  </r>
  <r>
    <x v="0"/>
    <x v="8"/>
    <x v="5"/>
    <n v="2"/>
  </r>
  <r>
    <x v="0"/>
    <x v="8"/>
    <x v="6"/>
    <m/>
  </r>
  <r>
    <x v="0"/>
    <x v="8"/>
    <x v="7"/>
    <n v="1"/>
  </r>
  <r>
    <x v="0"/>
    <x v="8"/>
    <x v="8"/>
    <m/>
  </r>
  <r>
    <x v="0"/>
    <x v="8"/>
    <x v="9"/>
    <m/>
  </r>
  <r>
    <x v="0"/>
    <x v="8"/>
    <x v="10"/>
    <m/>
  </r>
  <r>
    <x v="0"/>
    <x v="8"/>
    <x v="11"/>
    <m/>
  </r>
  <r>
    <x v="0"/>
    <x v="8"/>
    <x v="12"/>
    <m/>
  </r>
  <r>
    <x v="0"/>
    <x v="8"/>
    <x v="13"/>
    <m/>
  </r>
  <r>
    <x v="0"/>
    <x v="8"/>
    <x v="14"/>
    <m/>
  </r>
  <r>
    <x v="0"/>
    <x v="8"/>
    <x v="15"/>
    <m/>
  </r>
  <r>
    <x v="0"/>
    <x v="8"/>
    <x v="16"/>
    <m/>
  </r>
  <r>
    <x v="0"/>
    <x v="8"/>
    <x v="17"/>
    <m/>
  </r>
  <r>
    <x v="0"/>
    <x v="8"/>
    <x v="18"/>
    <m/>
  </r>
  <r>
    <x v="0"/>
    <x v="8"/>
    <x v="19"/>
    <m/>
  </r>
  <r>
    <x v="0"/>
    <x v="8"/>
    <x v="20"/>
    <n v="2"/>
  </r>
  <r>
    <x v="0"/>
    <x v="8"/>
    <x v="21"/>
    <m/>
  </r>
  <r>
    <x v="0"/>
    <x v="8"/>
    <x v="22"/>
    <m/>
  </r>
  <r>
    <x v="0"/>
    <x v="8"/>
    <x v="23"/>
    <m/>
  </r>
  <r>
    <x v="0"/>
    <x v="8"/>
    <x v="24"/>
    <m/>
  </r>
  <r>
    <x v="0"/>
    <x v="8"/>
    <x v="25"/>
    <m/>
  </r>
  <r>
    <x v="0"/>
    <x v="8"/>
    <x v="26"/>
    <m/>
  </r>
  <r>
    <x v="0"/>
    <x v="8"/>
    <x v="27"/>
    <m/>
  </r>
  <r>
    <x v="0"/>
    <x v="8"/>
    <x v="28"/>
    <m/>
  </r>
  <r>
    <x v="0"/>
    <x v="8"/>
    <x v="29"/>
    <n v="1"/>
  </r>
  <r>
    <x v="0"/>
    <x v="9"/>
    <x v="0"/>
    <n v="24"/>
  </r>
  <r>
    <x v="0"/>
    <x v="9"/>
    <x v="1"/>
    <n v="11"/>
  </r>
  <r>
    <x v="0"/>
    <x v="9"/>
    <x v="2"/>
    <m/>
  </r>
  <r>
    <x v="0"/>
    <x v="9"/>
    <x v="3"/>
    <m/>
  </r>
  <r>
    <x v="0"/>
    <x v="9"/>
    <x v="4"/>
    <m/>
  </r>
  <r>
    <x v="0"/>
    <x v="9"/>
    <x v="5"/>
    <m/>
  </r>
  <r>
    <x v="0"/>
    <x v="9"/>
    <x v="6"/>
    <n v="5"/>
  </r>
  <r>
    <x v="0"/>
    <x v="9"/>
    <x v="7"/>
    <m/>
  </r>
  <r>
    <x v="0"/>
    <x v="9"/>
    <x v="8"/>
    <m/>
  </r>
  <r>
    <x v="0"/>
    <x v="9"/>
    <x v="9"/>
    <m/>
  </r>
  <r>
    <x v="0"/>
    <x v="9"/>
    <x v="10"/>
    <m/>
  </r>
  <r>
    <x v="0"/>
    <x v="9"/>
    <x v="11"/>
    <m/>
  </r>
  <r>
    <x v="0"/>
    <x v="9"/>
    <x v="12"/>
    <m/>
  </r>
  <r>
    <x v="0"/>
    <x v="9"/>
    <x v="13"/>
    <m/>
  </r>
  <r>
    <x v="0"/>
    <x v="9"/>
    <x v="14"/>
    <m/>
  </r>
  <r>
    <x v="0"/>
    <x v="9"/>
    <x v="15"/>
    <m/>
  </r>
  <r>
    <x v="0"/>
    <x v="9"/>
    <x v="16"/>
    <m/>
  </r>
  <r>
    <x v="0"/>
    <x v="9"/>
    <x v="17"/>
    <m/>
  </r>
  <r>
    <x v="0"/>
    <x v="9"/>
    <x v="18"/>
    <m/>
  </r>
  <r>
    <x v="0"/>
    <x v="9"/>
    <x v="19"/>
    <m/>
  </r>
  <r>
    <x v="0"/>
    <x v="9"/>
    <x v="20"/>
    <m/>
  </r>
  <r>
    <x v="0"/>
    <x v="9"/>
    <x v="21"/>
    <m/>
  </r>
  <r>
    <x v="0"/>
    <x v="9"/>
    <x v="22"/>
    <m/>
  </r>
  <r>
    <x v="0"/>
    <x v="9"/>
    <x v="23"/>
    <n v="1"/>
  </r>
  <r>
    <x v="0"/>
    <x v="9"/>
    <x v="24"/>
    <m/>
  </r>
  <r>
    <x v="0"/>
    <x v="9"/>
    <x v="25"/>
    <m/>
  </r>
  <r>
    <x v="0"/>
    <x v="9"/>
    <x v="26"/>
    <m/>
  </r>
  <r>
    <x v="0"/>
    <x v="9"/>
    <x v="27"/>
    <m/>
  </r>
  <r>
    <x v="0"/>
    <x v="9"/>
    <x v="28"/>
    <m/>
  </r>
  <r>
    <x v="0"/>
    <x v="9"/>
    <x v="29"/>
    <m/>
  </r>
  <r>
    <x v="0"/>
    <x v="10"/>
    <x v="0"/>
    <n v="8"/>
  </r>
  <r>
    <x v="0"/>
    <x v="10"/>
    <x v="1"/>
    <n v="6"/>
  </r>
  <r>
    <x v="0"/>
    <x v="10"/>
    <x v="2"/>
    <n v="3"/>
  </r>
  <r>
    <x v="0"/>
    <x v="10"/>
    <x v="3"/>
    <m/>
  </r>
  <r>
    <x v="0"/>
    <x v="10"/>
    <x v="4"/>
    <m/>
  </r>
  <r>
    <x v="0"/>
    <x v="10"/>
    <x v="5"/>
    <n v="4"/>
  </r>
  <r>
    <x v="0"/>
    <x v="10"/>
    <x v="6"/>
    <m/>
  </r>
  <r>
    <x v="0"/>
    <x v="10"/>
    <x v="7"/>
    <m/>
  </r>
  <r>
    <x v="0"/>
    <x v="10"/>
    <x v="8"/>
    <m/>
  </r>
  <r>
    <x v="0"/>
    <x v="10"/>
    <x v="9"/>
    <m/>
  </r>
  <r>
    <x v="0"/>
    <x v="10"/>
    <x v="10"/>
    <m/>
  </r>
  <r>
    <x v="0"/>
    <x v="10"/>
    <x v="11"/>
    <m/>
  </r>
  <r>
    <x v="0"/>
    <x v="10"/>
    <x v="12"/>
    <n v="1"/>
  </r>
  <r>
    <x v="0"/>
    <x v="10"/>
    <x v="13"/>
    <m/>
  </r>
  <r>
    <x v="0"/>
    <x v="10"/>
    <x v="14"/>
    <m/>
  </r>
  <r>
    <x v="0"/>
    <x v="10"/>
    <x v="15"/>
    <m/>
  </r>
  <r>
    <x v="0"/>
    <x v="10"/>
    <x v="16"/>
    <n v="1"/>
  </r>
  <r>
    <x v="0"/>
    <x v="10"/>
    <x v="17"/>
    <m/>
  </r>
  <r>
    <x v="0"/>
    <x v="10"/>
    <x v="18"/>
    <m/>
  </r>
  <r>
    <x v="0"/>
    <x v="10"/>
    <x v="19"/>
    <m/>
  </r>
  <r>
    <x v="0"/>
    <x v="10"/>
    <x v="20"/>
    <m/>
  </r>
  <r>
    <x v="0"/>
    <x v="10"/>
    <x v="21"/>
    <m/>
  </r>
  <r>
    <x v="0"/>
    <x v="10"/>
    <x v="22"/>
    <m/>
  </r>
  <r>
    <x v="0"/>
    <x v="10"/>
    <x v="23"/>
    <m/>
  </r>
  <r>
    <x v="0"/>
    <x v="10"/>
    <x v="24"/>
    <m/>
  </r>
  <r>
    <x v="0"/>
    <x v="10"/>
    <x v="25"/>
    <m/>
  </r>
  <r>
    <x v="0"/>
    <x v="10"/>
    <x v="26"/>
    <m/>
  </r>
  <r>
    <x v="0"/>
    <x v="10"/>
    <x v="27"/>
    <n v="1"/>
  </r>
  <r>
    <x v="0"/>
    <x v="10"/>
    <x v="28"/>
    <m/>
  </r>
  <r>
    <x v="0"/>
    <x v="10"/>
    <x v="29"/>
    <m/>
  </r>
  <r>
    <x v="0"/>
    <x v="11"/>
    <x v="0"/>
    <n v="24"/>
  </r>
  <r>
    <x v="0"/>
    <x v="11"/>
    <x v="1"/>
    <n v="14"/>
  </r>
  <r>
    <x v="0"/>
    <x v="11"/>
    <x v="2"/>
    <n v="3"/>
  </r>
  <r>
    <x v="0"/>
    <x v="11"/>
    <x v="3"/>
    <m/>
  </r>
  <r>
    <x v="0"/>
    <x v="11"/>
    <x v="4"/>
    <m/>
  </r>
  <r>
    <x v="0"/>
    <x v="11"/>
    <x v="5"/>
    <n v="2"/>
  </r>
  <r>
    <x v="0"/>
    <x v="11"/>
    <x v="6"/>
    <n v="1"/>
  </r>
  <r>
    <x v="0"/>
    <x v="11"/>
    <x v="7"/>
    <m/>
  </r>
  <r>
    <x v="0"/>
    <x v="11"/>
    <x v="8"/>
    <n v="1"/>
  </r>
  <r>
    <x v="0"/>
    <x v="11"/>
    <x v="9"/>
    <m/>
  </r>
  <r>
    <x v="0"/>
    <x v="11"/>
    <x v="10"/>
    <m/>
  </r>
  <r>
    <x v="0"/>
    <x v="11"/>
    <x v="11"/>
    <m/>
  </r>
  <r>
    <x v="0"/>
    <x v="11"/>
    <x v="12"/>
    <m/>
  </r>
  <r>
    <x v="0"/>
    <x v="11"/>
    <x v="13"/>
    <m/>
  </r>
  <r>
    <x v="0"/>
    <x v="11"/>
    <x v="14"/>
    <m/>
  </r>
  <r>
    <x v="0"/>
    <x v="11"/>
    <x v="15"/>
    <m/>
  </r>
  <r>
    <x v="0"/>
    <x v="11"/>
    <x v="16"/>
    <m/>
  </r>
  <r>
    <x v="0"/>
    <x v="11"/>
    <x v="17"/>
    <m/>
  </r>
  <r>
    <x v="0"/>
    <x v="11"/>
    <x v="18"/>
    <m/>
  </r>
  <r>
    <x v="0"/>
    <x v="11"/>
    <x v="19"/>
    <m/>
  </r>
  <r>
    <x v="0"/>
    <x v="11"/>
    <x v="20"/>
    <m/>
  </r>
  <r>
    <x v="0"/>
    <x v="11"/>
    <x v="21"/>
    <m/>
  </r>
  <r>
    <x v="0"/>
    <x v="11"/>
    <x v="22"/>
    <m/>
  </r>
  <r>
    <x v="0"/>
    <x v="11"/>
    <x v="23"/>
    <m/>
  </r>
  <r>
    <x v="0"/>
    <x v="11"/>
    <x v="24"/>
    <n v="1"/>
  </r>
  <r>
    <x v="0"/>
    <x v="11"/>
    <x v="25"/>
    <m/>
  </r>
  <r>
    <x v="0"/>
    <x v="11"/>
    <x v="26"/>
    <m/>
  </r>
  <r>
    <x v="0"/>
    <x v="11"/>
    <x v="27"/>
    <m/>
  </r>
  <r>
    <x v="0"/>
    <x v="11"/>
    <x v="28"/>
    <m/>
  </r>
  <r>
    <x v="0"/>
    <x v="11"/>
    <x v="29"/>
    <m/>
  </r>
  <r>
    <x v="1"/>
    <x v="0"/>
    <x v="0"/>
    <n v="302"/>
  </r>
  <r>
    <x v="1"/>
    <x v="0"/>
    <x v="1"/>
    <n v="542"/>
  </r>
  <r>
    <x v="1"/>
    <x v="0"/>
    <x v="2"/>
    <n v="123"/>
  </r>
  <r>
    <x v="1"/>
    <x v="0"/>
    <x v="3"/>
    <n v="2"/>
  </r>
  <r>
    <x v="1"/>
    <x v="0"/>
    <x v="4"/>
    <m/>
  </r>
  <r>
    <x v="1"/>
    <x v="0"/>
    <x v="5"/>
    <n v="48"/>
  </r>
  <r>
    <x v="1"/>
    <x v="0"/>
    <x v="6"/>
    <n v="5"/>
  </r>
  <r>
    <x v="1"/>
    <x v="0"/>
    <x v="7"/>
    <n v="10"/>
  </r>
  <r>
    <x v="1"/>
    <x v="0"/>
    <x v="8"/>
    <n v="13"/>
  </r>
  <r>
    <x v="1"/>
    <x v="0"/>
    <x v="9"/>
    <n v="1"/>
  </r>
  <r>
    <x v="1"/>
    <x v="0"/>
    <x v="10"/>
    <n v="12"/>
  </r>
  <r>
    <x v="1"/>
    <x v="0"/>
    <x v="11"/>
    <n v="1"/>
  </r>
  <r>
    <x v="1"/>
    <x v="0"/>
    <x v="12"/>
    <n v="1"/>
  </r>
  <r>
    <x v="1"/>
    <x v="0"/>
    <x v="13"/>
    <n v="6"/>
  </r>
  <r>
    <x v="1"/>
    <x v="0"/>
    <x v="14"/>
    <n v="2"/>
  </r>
  <r>
    <x v="1"/>
    <x v="0"/>
    <x v="15"/>
    <n v="16"/>
  </r>
  <r>
    <x v="1"/>
    <x v="0"/>
    <x v="16"/>
    <n v="11"/>
  </r>
  <r>
    <x v="1"/>
    <x v="0"/>
    <x v="17"/>
    <m/>
  </r>
  <r>
    <x v="1"/>
    <x v="0"/>
    <x v="18"/>
    <n v="1"/>
  </r>
  <r>
    <x v="1"/>
    <x v="0"/>
    <x v="19"/>
    <n v="2"/>
  </r>
  <r>
    <x v="1"/>
    <x v="0"/>
    <x v="20"/>
    <n v="3"/>
  </r>
  <r>
    <x v="1"/>
    <x v="0"/>
    <x v="21"/>
    <n v="2"/>
  </r>
  <r>
    <x v="1"/>
    <x v="0"/>
    <x v="22"/>
    <n v="2"/>
  </r>
  <r>
    <x v="1"/>
    <x v="0"/>
    <x v="23"/>
    <n v="2"/>
  </r>
  <r>
    <x v="1"/>
    <x v="0"/>
    <x v="24"/>
    <n v="13"/>
  </r>
  <r>
    <x v="1"/>
    <x v="0"/>
    <x v="25"/>
    <n v="1"/>
  </r>
  <r>
    <x v="1"/>
    <x v="0"/>
    <x v="26"/>
    <n v="2"/>
  </r>
  <r>
    <x v="1"/>
    <x v="0"/>
    <x v="27"/>
    <n v="3"/>
  </r>
  <r>
    <x v="1"/>
    <x v="0"/>
    <x v="28"/>
    <n v="1"/>
  </r>
  <r>
    <x v="1"/>
    <x v="0"/>
    <x v="29"/>
    <m/>
  </r>
  <r>
    <x v="1"/>
    <x v="1"/>
    <x v="0"/>
    <n v="340"/>
  </r>
  <r>
    <x v="1"/>
    <x v="1"/>
    <x v="1"/>
    <n v="555"/>
  </r>
  <r>
    <x v="1"/>
    <x v="1"/>
    <x v="2"/>
    <n v="168"/>
  </r>
  <r>
    <x v="1"/>
    <x v="1"/>
    <x v="3"/>
    <n v="3"/>
  </r>
  <r>
    <x v="1"/>
    <x v="1"/>
    <x v="4"/>
    <n v="1"/>
  </r>
  <r>
    <x v="1"/>
    <x v="1"/>
    <x v="5"/>
    <n v="63"/>
  </r>
  <r>
    <x v="1"/>
    <x v="1"/>
    <x v="6"/>
    <n v="7"/>
  </r>
  <r>
    <x v="1"/>
    <x v="1"/>
    <x v="7"/>
    <n v="5"/>
  </r>
  <r>
    <x v="1"/>
    <x v="1"/>
    <x v="8"/>
    <n v="7"/>
  </r>
  <r>
    <x v="1"/>
    <x v="1"/>
    <x v="9"/>
    <n v="4"/>
  </r>
  <r>
    <x v="1"/>
    <x v="1"/>
    <x v="10"/>
    <n v="22"/>
  </r>
  <r>
    <x v="1"/>
    <x v="1"/>
    <x v="11"/>
    <m/>
  </r>
  <r>
    <x v="1"/>
    <x v="1"/>
    <x v="12"/>
    <n v="5"/>
  </r>
  <r>
    <x v="1"/>
    <x v="1"/>
    <x v="13"/>
    <n v="9"/>
  </r>
  <r>
    <x v="1"/>
    <x v="1"/>
    <x v="14"/>
    <n v="1"/>
  </r>
  <r>
    <x v="1"/>
    <x v="1"/>
    <x v="15"/>
    <n v="7"/>
  </r>
  <r>
    <x v="1"/>
    <x v="1"/>
    <x v="16"/>
    <n v="3"/>
  </r>
  <r>
    <x v="1"/>
    <x v="1"/>
    <x v="17"/>
    <n v="3"/>
  </r>
  <r>
    <x v="1"/>
    <x v="1"/>
    <x v="18"/>
    <n v="9"/>
  </r>
  <r>
    <x v="1"/>
    <x v="1"/>
    <x v="19"/>
    <n v="4"/>
  </r>
  <r>
    <x v="1"/>
    <x v="1"/>
    <x v="20"/>
    <n v="2"/>
  </r>
  <r>
    <x v="1"/>
    <x v="1"/>
    <x v="21"/>
    <n v="8"/>
  </r>
  <r>
    <x v="1"/>
    <x v="1"/>
    <x v="22"/>
    <n v="1"/>
  </r>
  <r>
    <x v="1"/>
    <x v="1"/>
    <x v="23"/>
    <n v="1"/>
  </r>
  <r>
    <x v="1"/>
    <x v="1"/>
    <x v="24"/>
    <n v="6"/>
  </r>
  <r>
    <x v="1"/>
    <x v="1"/>
    <x v="25"/>
    <n v="2"/>
  </r>
  <r>
    <x v="1"/>
    <x v="1"/>
    <x v="26"/>
    <n v="3"/>
  </r>
  <r>
    <x v="1"/>
    <x v="1"/>
    <x v="27"/>
    <n v="7"/>
  </r>
  <r>
    <x v="1"/>
    <x v="1"/>
    <x v="28"/>
    <n v="5"/>
  </r>
  <r>
    <x v="1"/>
    <x v="1"/>
    <x v="29"/>
    <m/>
  </r>
  <r>
    <x v="1"/>
    <x v="2"/>
    <x v="0"/>
    <n v="354"/>
  </r>
  <r>
    <x v="1"/>
    <x v="2"/>
    <x v="1"/>
    <n v="588"/>
  </r>
  <r>
    <x v="1"/>
    <x v="2"/>
    <x v="2"/>
    <n v="183"/>
  </r>
  <r>
    <x v="1"/>
    <x v="2"/>
    <x v="3"/>
    <n v="2"/>
  </r>
  <r>
    <x v="1"/>
    <x v="2"/>
    <x v="4"/>
    <n v="4"/>
  </r>
  <r>
    <x v="1"/>
    <x v="2"/>
    <x v="5"/>
    <n v="80"/>
  </r>
  <r>
    <x v="1"/>
    <x v="2"/>
    <x v="6"/>
    <n v="3"/>
  </r>
  <r>
    <x v="1"/>
    <x v="2"/>
    <x v="7"/>
    <n v="5"/>
  </r>
  <r>
    <x v="1"/>
    <x v="2"/>
    <x v="8"/>
    <n v="4"/>
  </r>
  <r>
    <x v="1"/>
    <x v="2"/>
    <x v="9"/>
    <n v="1"/>
  </r>
  <r>
    <x v="1"/>
    <x v="2"/>
    <x v="10"/>
    <n v="32"/>
  </r>
  <r>
    <x v="1"/>
    <x v="2"/>
    <x v="11"/>
    <m/>
  </r>
  <r>
    <x v="1"/>
    <x v="2"/>
    <x v="12"/>
    <m/>
  </r>
  <r>
    <x v="1"/>
    <x v="2"/>
    <x v="13"/>
    <n v="8"/>
  </r>
  <r>
    <x v="1"/>
    <x v="2"/>
    <x v="14"/>
    <n v="2"/>
  </r>
  <r>
    <x v="1"/>
    <x v="2"/>
    <x v="15"/>
    <n v="6"/>
  </r>
  <r>
    <x v="1"/>
    <x v="2"/>
    <x v="16"/>
    <n v="4"/>
  </r>
  <r>
    <x v="1"/>
    <x v="2"/>
    <x v="17"/>
    <n v="1"/>
  </r>
  <r>
    <x v="1"/>
    <x v="2"/>
    <x v="18"/>
    <n v="6"/>
  </r>
  <r>
    <x v="1"/>
    <x v="2"/>
    <x v="19"/>
    <n v="9"/>
  </r>
  <r>
    <x v="1"/>
    <x v="2"/>
    <x v="20"/>
    <n v="7"/>
  </r>
  <r>
    <x v="1"/>
    <x v="2"/>
    <x v="21"/>
    <n v="1"/>
  </r>
  <r>
    <x v="1"/>
    <x v="2"/>
    <x v="22"/>
    <m/>
  </r>
  <r>
    <x v="1"/>
    <x v="2"/>
    <x v="23"/>
    <m/>
  </r>
  <r>
    <x v="1"/>
    <x v="2"/>
    <x v="24"/>
    <n v="1"/>
  </r>
  <r>
    <x v="1"/>
    <x v="2"/>
    <x v="25"/>
    <n v="3"/>
  </r>
  <r>
    <x v="1"/>
    <x v="2"/>
    <x v="26"/>
    <n v="2"/>
  </r>
  <r>
    <x v="1"/>
    <x v="2"/>
    <x v="27"/>
    <n v="10"/>
  </r>
  <r>
    <x v="1"/>
    <x v="2"/>
    <x v="28"/>
    <n v="2"/>
  </r>
  <r>
    <x v="1"/>
    <x v="2"/>
    <x v="29"/>
    <m/>
  </r>
  <r>
    <x v="1"/>
    <x v="3"/>
    <x v="0"/>
    <n v="391"/>
  </r>
  <r>
    <x v="1"/>
    <x v="3"/>
    <x v="1"/>
    <n v="518"/>
  </r>
  <r>
    <x v="1"/>
    <x v="3"/>
    <x v="2"/>
    <n v="171"/>
  </r>
  <r>
    <x v="1"/>
    <x v="3"/>
    <x v="3"/>
    <n v="5"/>
  </r>
  <r>
    <x v="1"/>
    <x v="3"/>
    <x v="4"/>
    <n v="1"/>
  </r>
  <r>
    <x v="1"/>
    <x v="3"/>
    <x v="5"/>
    <n v="71"/>
  </r>
  <r>
    <x v="1"/>
    <x v="3"/>
    <x v="6"/>
    <n v="3"/>
  </r>
  <r>
    <x v="1"/>
    <x v="3"/>
    <x v="7"/>
    <n v="6"/>
  </r>
  <r>
    <x v="1"/>
    <x v="3"/>
    <x v="8"/>
    <n v="10"/>
  </r>
  <r>
    <x v="1"/>
    <x v="3"/>
    <x v="9"/>
    <n v="4"/>
  </r>
  <r>
    <x v="1"/>
    <x v="3"/>
    <x v="10"/>
    <n v="2"/>
  </r>
  <r>
    <x v="1"/>
    <x v="3"/>
    <x v="11"/>
    <m/>
  </r>
  <r>
    <x v="1"/>
    <x v="3"/>
    <x v="12"/>
    <m/>
  </r>
  <r>
    <x v="1"/>
    <x v="3"/>
    <x v="13"/>
    <n v="8"/>
  </r>
  <r>
    <x v="1"/>
    <x v="3"/>
    <x v="14"/>
    <n v="2"/>
  </r>
  <r>
    <x v="1"/>
    <x v="3"/>
    <x v="15"/>
    <n v="5"/>
  </r>
  <r>
    <x v="1"/>
    <x v="3"/>
    <x v="16"/>
    <n v="14"/>
  </r>
  <r>
    <x v="1"/>
    <x v="3"/>
    <x v="17"/>
    <n v="8"/>
  </r>
  <r>
    <x v="1"/>
    <x v="3"/>
    <x v="18"/>
    <n v="4"/>
  </r>
  <r>
    <x v="1"/>
    <x v="3"/>
    <x v="19"/>
    <n v="3"/>
  </r>
  <r>
    <x v="1"/>
    <x v="3"/>
    <x v="20"/>
    <n v="2"/>
  </r>
  <r>
    <x v="1"/>
    <x v="3"/>
    <x v="21"/>
    <n v="2"/>
  </r>
  <r>
    <x v="1"/>
    <x v="3"/>
    <x v="22"/>
    <n v="2"/>
  </r>
  <r>
    <x v="1"/>
    <x v="3"/>
    <x v="23"/>
    <m/>
  </r>
  <r>
    <x v="1"/>
    <x v="3"/>
    <x v="24"/>
    <n v="9"/>
  </r>
  <r>
    <x v="1"/>
    <x v="3"/>
    <x v="25"/>
    <n v="4"/>
  </r>
  <r>
    <x v="1"/>
    <x v="3"/>
    <x v="26"/>
    <n v="5"/>
  </r>
  <r>
    <x v="1"/>
    <x v="3"/>
    <x v="27"/>
    <n v="5"/>
  </r>
  <r>
    <x v="1"/>
    <x v="3"/>
    <x v="28"/>
    <n v="2"/>
  </r>
  <r>
    <x v="1"/>
    <x v="3"/>
    <x v="29"/>
    <n v="1"/>
  </r>
  <r>
    <x v="1"/>
    <x v="4"/>
    <x v="0"/>
    <n v="373"/>
  </r>
  <r>
    <x v="1"/>
    <x v="4"/>
    <x v="1"/>
    <n v="494"/>
  </r>
  <r>
    <x v="1"/>
    <x v="4"/>
    <x v="2"/>
    <n v="191"/>
  </r>
  <r>
    <x v="1"/>
    <x v="4"/>
    <x v="3"/>
    <n v="3"/>
  </r>
  <r>
    <x v="1"/>
    <x v="4"/>
    <x v="4"/>
    <m/>
  </r>
  <r>
    <x v="1"/>
    <x v="4"/>
    <x v="5"/>
    <n v="66"/>
  </r>
  <r>
    <x v="1"/>
    <x v="4"/>
    <x v="6"/>
    <n v="6"/>
  </r>
  <r>
    <x v="1"/>
    <x v="4"/>
    <x v="7"/>
    <n v="7"/>
  </r>
  <r>
    <x v="1"/>
    <x v="4"/>
    <x v="8"/>
    <n v="10"/>
  </r>
  <r>
    <x v="1"/>
    <x v="4"/>
    <x v="9"/>
    <n v="3"/>
  </r>
  <r>
    <x v="1"/>
    <x v="4"/>
    <x v="10"/>
    <n v="7"/>
  </r>
  <r>
    <x v="1"/>
    <x v="4"/>
    <x v="11"/>
    <n v="3"/>
  </r>
  <r>
    <x v="1"/>
    <x v="4"/>
    <x v="12"/>
    <n v="2"/>
  </r>
  <r>
    <x v="1"/>
    <x v="4"/>
    <x v="13"/>
    <n v="8"/>
  </r>
  <r>
    <x v="1"/>
    <x v="4"/>
    <x v="14"/>
    <n v="1"/>
  </r>
  <r>
    <x v="1"/>
    <x v="4"/>
    <x v="15"/>
    <n v="7"/>
  </r>
  <r>
    <x v="1"/>
    <x v="4"/>
    <x v="16"/>
    <n v="4"/>
  </r>
  <r>
    <x v="1"/>
    <x v="4"/>
    <x v="17"/>
    <m/>
  </r>
  <r>
    <x v="1"/>
    <x v="4"/>
    <x v="18"/>
    <n v="6"/>
  </r>
  <r>
    <x v="1"/>
    <x v="4"/>
    <x v="19"/>
    <n v="5"/>
  </r>
  <r>
    <x v="1"/>
    <x v="4"/>
    <x v="20"/>
    <n v="4"/>
  </r>
  <r>
    <x v="1"/>
    <x v="4"/>
    <x v="21"/>
    <n v="4"/>
  </r>
  <r>
    <x v="1"/>
    <x v="4"/>
    <x v="22"/>
    <n v="4"/>
  </r>
  <r>
    <x v="1"/>
    <x v="4"/>
    <x v="23"/>
    <n v="1"/>
  </r>
  <r>
    <x v="1"/>
    <x v="4"/>
    <x v="24"/>
    <n v="3"/>
  </r>
  <r>
    <x v="1"/>
    <x v="4"/>
    <x v="25"/>
    <n v="5"/>
  </r>
  <r>
    <x v="1"/>
    <x v="4"/>
    <x v="26"/>
    <n v="3"/>
  </r>
  <r>
    <x v="1"/>
    <x v="4"/>
    <x v="27"/>
    <n v="5"/>
  </r>
  <r>
    <x v="1"/>
    <x v="4"/>
    <x v="28"/>
    <m/>
  </r>
  <r>
    <x v="1"/>
    <x v="4"/>
    <x v="29"/>
    <n v="1"/>
  </r>
  <r>
    <x v="1"/>
    <x v="5"/>
    <x v="0"/>
    <n v="324"/>
  </r>
  <r>
    <x v="1"/>
    <x v="5"/>
    <x v="1"/>
    <n v="416"/>
  </r>
  <r>
    <x v="1"/>
    <x v="5"/>
    <x v="2"/>
    <n v="125"/>
  </r>
  <r>
    <x v="1"/>
    <x v="5"/>
    <x v="3"/>
    <n v="9"/>
  </r>
  <r>
    <x v="1"/>
    <x v="5"/>
    <x v="4"/>
    <m/>
  </r>
  <r>
    <x v="1"/>
    <x v="5"/>
    <x v="5"/>
    <n v="67"/>
  </r>
  <r>
    <x v="1"/>
    <x v="5"/>
    <x v="6"/>
    <n v="2"/>
  </r>
  <r>
    <x v="1"/>
    <x v="5"/>
    <x v="7"/>
    <n v="4"/>
  </r>
  <r>
    <x v="1"/>
    <x v="5"/>
    <x v="8"/>
    <n v="9"/>
  </r>
  <r>
    <x v="1"/>
    <x v="5"/>
    <x v="9"/>
    <n v="7"/>
  </r>
  <r>
    <x v="1"/>
    <x v="5"/>
    <x v="10"/>
    <n v="13"/>
  </r>
  <r>
    <x v="1"/>
    <x v="5"/>
    <x v="11"/>
    <m/>
  </r>
  <r>
    <x v="1"/>
    <x v="5"/>
    <x v="12"/>
    <n v="1"/>
  </r>
  <r>
    <x v="1"/>
    <x v="5"/>
    <x v="13"/>
    <n v="9"/>
  </r>
  <r>
    <x v="1"/>
    <x v="5"/>
    <x v="14"/>
    <n v="3"/>
  </r>
  <r>
    <x v="1"/>
    <x v="5"/>
    <x v="15"/>
    <n v="3"/>
  </r>
  <r>
    <x v="1"/>
    <x v="5"/>
    <x v="16"/>
    <n v="6"/>
  </r>
  <r>
    <x v="1"/>
    <x v="5"/>
    <x v="17"/>
    <m/>
  </r>
  <r>
    <x v="1"/>
    <x v="5"/>
    <x v="18"/>
    <n v="7"/>
  </r>
  <r>
    <x v="1"/>
    <x v="5"/>
    <x v="19"/>
    <n v="5"/>
  </r>
  <r>
    <x v="1"/>
    <x v="5"/>
    <x v="20"/>
    <n v="3"/>
  </r>
  <r>
    <x v="1"/>
    <x v="5"/>
    <x v="21"/>
    <n v="9"/>
  </r>
  <r>
    <x v="1"/>
    <x v="5"/>
    <x v="22"/>
    <n v="1"/>
  </r>
  <r>
    <x v="1"/>
    <x v="5"/>
    <x v="23"/>
    <m/>
  </r>
  <r>
    <x v="1"/>
    <x v="5"/>
    <x v="24"/>
    <n v="6"/>
  </r>
  <r>
    <x v="1"/>
    <x v="5"/>
    <x v="25"/>
    <n v="2"/>
  </r>
  <r>
    <x v="1"/>
    <x v="5"/>
    <x v="26"/>
    <n v="1"/>
  </r>
  <r>
    <x v="1"/>
    <x v="5"/>
    <x v="27"/>
    <n v="3"/>
  </r>
  <r>
    <x v="1"/>
    <x v="5"/>
    <x v="28"/>
    <n v="3"/>
  </r>
  <r>
    <x v="1"/>
    <x v="5"/>
    <x v="29"/>
    <m/>
  </r>
  <r>
    <x v="1"/>
    <x v="6"/>
    <x v="0"/>
    <n v="352"/>
  </r>
  <r>
    <x v="1"/>
    <x v="6"/>
    <x v="1"/>
    <n v="456"/>
  </r>
  <r>
    <x v="1"/>
    <x v="6"/>
    <x v="2"/>
    <n v="186"/>
  </r>
  <r>
    <x v="1"/>
    <x v="6"/>
    <x v="3"/>
    <n v="2"/>
  </r>
  <r>
    <x v="1"/>
    <x v="6"/>
    <x v="4"/>
    <m/>
  </r>
  <r>
    <x v="1"/>
    <x v="6"/>
    <x v="5"/>
    <n v="62"/>
  </r>
  <r>
    <x v="1"/>
    <x v="6"/>
    <x v="6"/>
    <n v="2"/>
  </r>
  <r>
    <x v="1"/>
    <x v="6"/>
    <x v="7"/>
    <n v="3"/>
  </r>
  <r>
    <x v="1"/>
    <x v="6"/>
    <x v="8"/>
    <n v="11"/>
  </r>
  <r>
    <x v="1"/>
    <x v="6"/>
    <x v="9"/>
    <n v="9"/>
  </r>
  <r>
    <x v="1"/>
    <x v="6"/>
    <x v="10"/>
    <n v="9"/>
  </r>
  <r>
    <x v="1"/>
    <x v="6"/>
    <x v="11"/>
    <m/>
  </r>
  <r>
    <x v="1"/>
    <x v="6"/>
    <x v="12"/>
    <n v="2"/>
  </r>
  <r>
    <x v="1"/>
    <x v="6"/>
    <x v="13"/>
    <n v="15"/>
  </r>
  <r>
    <x v="1"/>
    <x v="6"/>
    <x v="14"/>
    <n v="2"/>
  </r>
  <r>
    <x v="1"/>
    <x v="6"/>
    <x v="15"/>
    <n v="11"/>
  </r>
  <r>
    <x v="1"/>
    <x v="6"/>
    <x v="16"/>
    <n v="5"/>
  </r>
  <r>
    <x v="1"/>
    <x v="6"/>
    <x v="17"/>
    <n v="3"/>
  </r>
  <r>
    <x v="1"/>
    <x v="6"/>
    <x v="18"/>
    <n v="3"/>
  </r>
  <r>
    <x v="1"/>
    <x v="6"/>
    <x v="19"/>
    <n v="6"/>
  </r>
  <r>
    <x v="1"/>
    <x v="6"/>
    <x v="20"/>
    <n v="7"/>
  </r>
  <r>
    <x v="1"/>
    <x v="6"/>
    <x v="21"/>
    <n v="8"/>
  </r>
  <r>
    <x v="1"/>
    <x v="6"/>
    <x v="22"/>
    <n v="2"/>
  </r>
  <r>
    <x v="1"/>
    <x v="6"/>
    <x v="23"/>
    <m/>
  </r>
  <r>
    <x v="1"/>
    <x v="6"/>
    <x v="24"/>
    <n v="15"/>
  </r>
  <r>
    <x v="1"/>
    <x v="6"/>
    <x v="25"/>
    <n v="3"/>
  </r>
  <r>
    <x v="1"/>
    <x v="6"/>
    <x v="26"/>
    <n v="1"/>
  </r>
  <r>
    <x v="1"/>
    <x v="6"/>
    <x v="27"/>
    <n v="5"/>
  </r>
  <r>
    <x v="1"/>
    <x v="6"/>
    <x v="28"/>
    <m/>
  </r>
  <r>
    <x v="1"/>
    <x v="6"/>
    <x v="29"/>
    <m/>
  </r>
  <r>
    <x v="1"/>
    <x v="7"/>
    <x v="0"/>
    <n v="356"/>
  </r>
  <r>
    <x v="1"/>
    <x v="7"/>
    <x v="1"/>
    <n v="508"/>
  </r>
  <r>
    <x v="1"/>
    <x v="7"/>
    <x v="2"/>
    <n v="179"/>
  </r>
  <r>
    <x v="1"/>
    <x v="7"/>
    <x v="3"/>
    <n v="9"/>
  </r>
  <r>
    <x v="1"/>
    <x v="7"/>
    <x v="5"/>
    <n v="61"/>
  </r>
  <r>
    <x v="1"/>
    <x v="7"/>
    <x v="6"/>
    <n v="2"/>
  </r>
  <r>
    <x v="1"/>
    <x v="7"/>
    <x v="7"/>
    <m/>
  </r>
  <r>
    <x v="1"/>
    <x v="7"/>
    <x v="8"/>
    <n v="3"/>
  </r>
  <r>
    <x v="1"/>
    <x v="7"/>
    <x v="9"/>
    <n v="5"/>
  </r>
  <r>
    <x v="1"/>
    <x v="7"/>
    <x v="10"/>
    <n v="13"/>
  </r>
  <r>
    <x v="1"/>
    <x v="7"/>
    <x v="11"/>
    <m/>
  </r>
  <r>
    <x v="1"/>
    <x v="7"/>
    <x v="12"/>
    <m/>
  </r>
  <r>
    <x v="1"/>
    <x v="7"/>
    <x v="13"/>
    <n v="8"/>
  </r>
  <r>
    <x v="1"/>
    <x v="7"/>
    <x v="14"/>
    <n v="2"/>
  </r>
  <r>
    <x v="1"/>
    <x v="7"/>
    <x v="15"/>
    <n v="6"/>
  </r>
  <r>
    <x v="1"/>
    <x v="7"/>
    <x v="16"/>
    <n v="2"/>
  </r>
  <r>
    <x v="1"/>
    <x v="7"/>
    <x v="17"/>
    <n v="3"/>
  </r>
  <r>
    <x v="1"/>
    <x v="7"/>
    <x v="18"/>
    <n v="4"/>
  </r>
  <r>
    <x v="1"/>
    <x v="7"/>
    <x v="19"/>
    <n v="2"/>
  </r>
  <r>
    <x v="1"/>
    <x v="7"/>
    <x v="20"/>
    <n v="2"/>
  </r>
  <r>
    <x v="1"/>
    <x v="7"/>
    <x v="21"/>
    <n v="6"/>
  </r>
  <r>
    <x v="1"/>
    <x v="7"/>
    <x v="22"/>
    <m/>
  </r>
  <r>
    <x v="1"/>
    <x v="7"/>
    <x v="23"/>
    <n v="1"/>
  </r>
  <r>
    <x v="1"/>
    <x v="7"/>
    <x v="24"/>
    <n v="9"/>
  </r>
  <r>
    <x v="1"/>
    <x v="7"/>
    <x v="25"/>
    <n v="2"/>
  </r>
  <r>
    <x v="1"/>
    <x v="7"/>
    <x v="26"/>
    <m/>
  </r>
  <r>
    <x v="1"/>
    <x v="7"/>
    <x v="27"/>
    <n v="3"/>
  </r>
  <r>
    <x v="1"/>
    <x v="7"/>
    <x v="28"/>
    <n v="1"/>
  </r>
  <r>
    <x v="1"/>
    <x v="7"/>
    <x v="29"/>
    <m/>
  </r>
  <r>
    <x v="1"/>
    <x v="8"/>
    <x v="0"/>
    <n v="330"/>
  </r>
  <r>
    <x v="1"/>
    <x v="8"/>
    <x v="1"/>
    <n v="412"/>
  </r>
  <r>
    <x v="1"/>
    <x v="8"/>
    <x v="2"/>
    <n v="128"/>
  </r>
  <r>
    <x v="1"/>
    <x v="8"/>
    <x v="3"/>
    <n v="5"/>
  </r>
  <r>
    <x v="1"/>
    <x v="8"/>
    <x v="4"/>
    <m/>
  </r>
  <r>
    <x v="1"/>
    <x v="8"/>
    <x v="5"/>
    <n v="42"/>
  </r>
  <r>
    <x v="1"/>
    <x v="8"/>
    <x v="6"/>
    <n v="4"/>
  </r>
  <r>
    <x v="1"/>
    <x v="8"/>
    <x v="7"/>
    <m/>
  </r>
  <r>
    <x v="1"/>
    <x v="8"/>
    <x v="8"/>
    <n v="21"/>
  </r>
  <r>
    <x v="1"/>
    <x v="8"/>
    <x v="9"/>
    <n v="4"/>
  </r>
  <r>
    <x v="1"/>
    <x v="8"/>
    <x v="10"/>
    <n v="16"/>
  </r>
  <r>
    <x v="1"/>
    <x v="8"/>
    <x v="11"/>
    <n v="2"/>
  </r>
  <r>
    <x v="1"/>
    <x v="8"/>
    <x v="12"/>
    <n v="5"/>
  </r>
  <r>
    <x v="1"/>
    <x v="8"/>
    <x v="13"/>
    <n v="21"/>
  </r>
  <r>
    <x v="1"/>
    <x v="8"/>
    <x v="14"/>
    <n v="2"/>
  </r>
  <r>
    <x v="1"/>
    <x v="8"/>
    <x v="15"/>
    <n v="3"/>
  </r>
  <r>
    <x v="1"/>
    <x v="8"/>
    <x v="16"/>
    <n v="11"/>
  </r>
  <r>
    <x v="1"/>
    <x v="8"/>
    <x v="17"/>
    <n v="2"/>
  </r>
  <r>
    <x v="1"/>
    <x v="8"/>
    <x v="18"/>
    <n v="3"/>
  </r>
  <r>
    <x v="1"/>
    <x v="8"/>
    <x v="19"/>
    <n v="3"/>
  </r>
  <r>
    <x v="1"/>
    <x v="8"/>
    <x v="20"/>
    <n v="3"/>
  </r>
  <r>
    <x v="1"/>
    <x v="8"/>
    <x v="21"/>
    <n v="10"/>
  </r>
  <r>
    <x v="1"/>
    <x v="8"/>
    <x v="22"/>
    <n v="1"/>
  </r>
  <r>
    <x v="1"/>
    <x v="8"/>
    <x v="23"/>
    <m/>
  </r>
  <r>
    <x v="1"/>
    <x v="8"/>
    <x v="24"/>
    <n v="3"/>
  </r>
  <r>
    <x v="1"/>
    <x v="8"/>
    <x v="25"/>
    <n v="6"/>
  </r>
  <r>
    <x v="1"/>
    <x v="8"/>
    <x v="26"/>
    <m/>
  </r>
  <r>
    <x v="1"/>
    <x v="8"/>
    <x v="27"/>
    <n v="1"/>
  </r>
  <r>
    <x v="1"/>
    <x v="8"/>
    <x v="28"/>
    <n v="1"/>
  </r>
  <r>
    <x v="1"/>
    <x v="8"/>
    <x v="29"/>
    <n v="1"/>
  </r>
  <r>
    <x v="1"/>
    <x v="9"/>
    <x v="0"/>
    <n v="316"/>
  </r>
  <r>
    <x v="1"/>
    <x v="9"/>
    <x v="1"/>
    <n v="454"/>
  </r>
  <r>
    <x v="1"/>
    <x v="9"/>
    <x v="2"/>
    <n v="174"/>
  </r>
  <r>
    <x v="1"/>
    <x v="9"/>
    <x v="3"/>
    <n v="2"/>
  </r>
  <r>
    <x v="1"/>
    <x v="9"/>
    <x v="4"/>
    <n v="1"/>
  </r>
  <r>
    <x v="1"/>
    <x v="9"/>
    <x v="5"/>
    <n v="67"/>
  </r>
  <r>
    <x v="1"/>
    <x v="9"/>
    <x v="6"/>
    <n v="1"/>
  </r>
  <r>
    <x v="1"/>
    <x v="9"/>
    <x v="7"/>
    <n v="1"/>
  </r>
  <r>
    <x v="1"/>
    <x v="9"/>
    <x v="8"/>
    <n v="10"/>
  </r>
  <r>
    <x v="1"/>
    <x v="9"/>
    <x v="9"/>
    <n v="8"/>
  </r>
  <r>
    <x v="1"/>
    <x v="9"/>
    <x v="10"/>
    <n v="15"/>
  </r>
  <r>
    <x v="1"/>
    <x v="9"/>
    <x v="11"/>
    <m/>
  </r>
  <r>
    <x v="1"/>
    <x v="9"/>
    <x v="12"/>
    <n v="1"/>
  </r>
  <r>
    <x v="1"/>
    <x v="9"/>
    <x v="13"/>
    <n v="19"/>
  </r>
  <r>
    <x v="1"/>
    <x v="9"/>
    <x v="14"/>
    <n v="4"/>
  </r>
  <r>
    <x v="1"/>
    <x v="9"/>
    <x v="15"/>
    <n v="6"/>
  </r>
  <r>
    <x v="1"/>
    <x v="9"/>
    <x v="16"/>
    <n v="1"/>
  </r>
  <r>
    <x v="1"/>
    <x v="9"/>
    <x v="17"/>
    <n v="2"/>
  </r>
  <r>
    <x v="1"/>
    <x v="9"/>
    <x v="18"/>
    <n v="4"/>
  </r>
  <r>
    <x v="1"/>
    <x v="9"/>
    <x v="19"/>
    <n v="6"/>
  </r>
  <r>
    <x v="1"/>
    <x v="9"/>
    <x v="20"/>
    <n v="4"/>
  </r>
  <r>
    <x v="1"/>
    <x v="9"/>
    <x v="21"/>
    <n v="7"/>
  </r>
  <r>
    <x v="1"/>
    <x v="9"/>
    <x v="22"/>
    <n v="2"/>
  </r>
  <r>
    <x v="1"/>
    <x v="9"/>
    <x v="23"/>
    <m/>
  </r>
  <r>
    <x v="1"/>
    <x v="9"/>
    <x v="24"/>
    <n v="10"/>
  </r>
  <r>
    <x v="1"/>
    <x v="9"/>
    <x v="25"/>
    <n v="1"/>
  </r>
  <r>
    <x v="1"/>
    <x v="9"/>
    <x v="26"/>
    <n v="1"/>
  </r>
  <r>
    <x v="1"/>
    <x v="9"/>
    <x v="27"/>
    <n v="6"/>
  </r>
  <r>
    <x v="1"/>
    <x v="9"/>
    <x v="28"/>
    <n v="2"/>
  </r>
  <r>
    <x v="1"/>
    <x v="9"/>
    <x v="29"/>
    <m/>
  </r>
  <r>
    <x v="1"/>
    <x v="10"/>
    <x v="0"/>
    <n v="299"/>
  </r>
  <r>
    <x v="1"/>
    <x v="10"/>
    <x v="1"/>
    <n v="386"/>
  </r>
  <r>
    <x v="1"/>
    <x v="10"/>
    <x v="2"/>
    <n v="150"/>
  </r>
  <r>
    <x v="1"/>
    <x v="10"/>
    <x v="3"/>
    <n v="2"/>
  </r>
  <r>
    <x v="1"/>
    <x v="10"/>
    <x v="4"/>
    <m/>
  </r>
  <r>
    <x v="1"/>
    <x v="10"/>
    <x v="5"/>
    <n v="39"/>
  </r>
  <r>
    <x v="1"/>
    <x v="10"/>
    <x v="6"/>
    <m/>
  </r>
  <r>
    <x v="1"/>
    <x v="10"/>
    <x v="7"/>
    <n v="1"/>
  </r>
  <r>
    <x v="1"/>
    <x v="10"/>
    <x v="8"/>
    <n v="17"/>
  </r>
  <r>
    <x v="1"/>
    <x v="10"/>
    <x v="9"/>
    <n v="1"/>
  </r>
  <r>
    <x v="1"/>
    <x v="10"/>
    <x v="10"/>
    <n v="9"/>
  </r>
  <r>
    <x v="1"/>
    <x v="10"/>
    <x v="11"/>
    <n v="1"/>
  </r>
  <r>
    <x v="1"/>
    <x v="10"/>
    <x v="12"/>
    <n v="1"/>
  </r>
  <r>
    <x v="1"/>
    <x v="10"/>
    <x v="13"/>
    <n v="12"/>
  </r>
  <r>
    <x v="1"/>
    <x v="10"/>
    <x v="14"/>
    <n v="2"/>
  </r>
  <r>
    <x v="1"/>
    <x v="10"/>
    <x v="15"/>
    <n v="8"/>
  </r>
  <r>
    <x v="1"/>
    <x v="10"/>
    <x v="16"/>
    <n v="4"/>
  </r>
  <r>
    <x v="1"/>
    <x v="10"/>
    <x v="17"/>
    <n v="4"/>
  </r>
  <r>
    <x v="1"/>
    <x v="10"/>
    <x v="18"/>
    <n v="1"/>
  </r>
  <r>
    <x v="1"/>
    <x v="10"/>
    <x v="19"/>
    <n v="6"/>
  </r>
  <r>
    <x v="1"/>
    <x v="10"/>
    <x v="20"/>
    <n v="4"/>
  </r>
  <r>
    <x v="1"/>
    <x v="10"/>
    <x v="21"/>
    <n v="3"/>
  </r>
  <r>
    <x v="1"/>
    <x v="10"/>
    <x v="22"/>
    <m/>
  </r>
  <r>
    <x v="1"/>
    <x v="10"/>
    <x v="23"/>
    <m/>
  </r>
  <r>
    <x v="1"/>
    <x v="10"/>
    <x v="24"/>
    <n v="6"/>
  </r>
  <r>
    <x v="1"/>
    <x v="10"/>
    <x v="25"/>
    <n v="3"/>
  </r>
  <r>
    <x v="1"/>
    <x v="10"/>
    <x v="26"/>
    <m/>
  </r>
  <r>
    <x v="1"/>
    <x v="10"/>
    <x v="27"/>
    <n v="9"/>
  </r>
  <r>
    <x v="1"/>
    <x v="10"/>
    <x v="28"/>
    <m/>
  </r>
  <r>
    <x v="1"/>
    <x v="10"/>
    <x v="29"/>
    <m/>
  </r>
  <r>
    <x v="1"/>
    <x v="11"/>
    <x v="0"/>
    <n v="305"/>
  </r>
  <r>
    <x v="1"/>
    <x v="11"/>
    <x v="1"/>
    <n v="352"/>
  </r>
  <r>
    <x v="1"/>
    <x v="11"/>
    <x v="2"/>
    <n v="168"/>
  </r>
  <r>
    <x v="1"/>
    <x v="11"/>
    <x v="3"/>
    <n v="1"/>
  </r>
  <r>
    <x v="1"/>
    <x v="11"/>
    <x v="4"/>
    <n v="1"/>
  </r>
  <r>
    <x v="1"/>
    <x v="11"/>
    <x v="5"/>
    <n v="33"/>
  </r>
  <r>
    <x v="1"/>
    <x v="11"/>
    <x v="6"/>
    <n v="6"/>
  </r>
  <r>
    <x v="1"/>
    <x v="11"/>
    <x v="7"/>
    <n v="10"/>
  </r>
  <r>
    <x v="1"/>
    <x v="11"/>
    <x v="8"/>
    <n v="12"/>
  </r>
  <r>
    <x v="1"/>
    <x v="11"/>
    <x v="9"/>
    <m/>
  </r>
  <r>
    <x v="1"/>
    <x v="11"/>
    <x v="10"/>
    <n v="6"/>
  </r>
  <r>
    <x v="1"/>
    <x v="11"/>
    <x v="11"/>
    <n v="1"/>
  </r>
  <r>
    <x v="1"/>
    <x v="11"/>
    <x v="12"/>
    <m/>
  </r>
  <r>
    <x v="1"/>
    <x v="11"/>
    <x v="13"/>
    <n v="9"/>
  </r>
  <r>
    <x v="1"/>
    <x v="11"/>
    <x v="14"/>
    <n v="2"/>
  </r>
  <r>
    <x v="1"/>
    <x v="11"/>
    <x v="15"/>
    <n v="7"/>
  </r>
  <r>
    <x v="1"/>
    <x v="11"/>
    <x v="16"/>
    <n v="11"/>
  </r>
  <r>
    <x v="1"/>
    <x v="11"/>
    <x v="17"/>
    <m/>
  </r>
  <r>
    <x v="1"/>
    <x v="11"/>
    <x v="18"/>
    <n v="4"/>
  </r>
  <r>
    <x v="1"/>
    <x v="11"/>
    <x v="19"/>
    <n v="3"/>
  </r>
  <r>
    <x v="1"/>
    <x v="11"/>
    <x v="20"/>
    <n v="2"/>
  </r>
  <r>
    <x v="1"/>
    <x v="11"/>
    <x v="21"/>
    <n v="3"/>
  </r>
  <r>
    <x v="1"/>
    <x v="11"/>
    <x v="22"/>
    <m/>
  </r>
  <r>
    <x v="1"/>
    <x v="11"/>
    <x v="23"/>
    <m/>
  </r>
  <r>
    <x v="1"/>
    <x v="11"/>
    <x v="24"/>
    <n v="3"/>
  </r>
  <r>
    <x v="1"/>
    <x v="11"/>
    <x v="25"/>
    <n v="5"/>
  </r>
  <r>
    <x v="1"/>
    <x v="11"/>
    <x v="26"/>
    <n v="1"/>
  </r>
  <r>
    <x v="1"/>
    <x v="11"/>
    <x v="27"/>
    <n v="4"/>
  </r>
  <r>
    <x v="1"/>
    <x v="11"/>
    <x v="28"/>
    <n v="1"/>
  </r>
  <r>
    <x v="1"/>
    <x v="11"/>
    <x v="29"/>
    <m/>
  </r>
</pivotCacheRecords>
</file>

<file path=xl/pivotCache/pivotCacheRecords52.xml><?xml version="1.0" encoding="utf-8"?>
<pivotCacheRecords xmlns="http://schemas.openxmlformats.org/spreadsheetml/2006/main" xmlns:r="http://schemas.openxmlformats.org/officeDocument/2006/relationships" count="761">
  <r>
    <x v="0"/>
    <x v="0"/>
    <x v="0"/>
    <n v="505"/>
    <n v="2"/>
    <n v="54"/>
  </r>
  <r>
    <x v="0"/>
    <x v="0"/>
    <x v="1"/>
    <n v="387"/>
    <n v="1"/>
    <n v="54"/>
  </r>
  <r>
    <x v="0"/>
    <x v="0"/>
    <x v="2"/>
    <n v="166"/>
    <n v="1"/>
    <n v="20"/>
  </r>
  <r>
    <x v="0"/>
    <x v="0"/>
    <x v="3"/>
    <n v="152"/>
    <m/>
    <n v="8"/>
  </r>
  <r>
    <x v="0"/>
    <x v="0"/>
    <x v="4"/>
    <n v="949"/>
    <n v="2"/>
    <n v="161"/>
  </r>
  <r>
    <x v="0"/>
    <x v="0"/>
    <x v="5"/>
    <n v="73"/>
    <m/>
    <n v="12"/>
  </r>
  <r>
    <x v="0"/>
    <x v="0"/>
    <x v="6"/>
    <n v="253"/>
    <n v="3"/>
    <n v="21"/>
  </r>
  <r>
    <x v="0"/>
    <x v="0"/>
    <x v="7"/>
    <n v="403"/>
    <n v="4"/>
    <n v="43"/>
  </r>
  <r>
    <x v="0"/>
    <x v="0"/>
    <x v="8"/>
    <n v="178"/>
    <m/>
    <n v="15"/>
  </r>
  <r>
    <x v="0"/>
    <x v="0"/>
    <x v="9"/>
    <n v="107"/>
    <m/>
    <n v="8"/>
  </r>
  <r>
    <x v="0"/>
    <x v="0"/>
    <x v="10"/>
    <n v="160"/>
    <m/>
    <n v="21"/>
  </r>
  <r>
    <x v="0"/>
    <x v="0"/>
    <x v="11"/>
    <n v="90"/>
    <n v="3"/>
    <n v="7"/>
  </r>
  <r>
    <x v="0"/>
    <x v="0"/>
    <x v="12"/>
    <n v="184"/>
    <n v="1"/>
    <n v="23"/>
  </r>
  <r>
    <x v="0"/>
    <x v="0"/>
    <x v="13"/>
    <n v="492"/>
    <n v="4"/>
    <n v="87"/>
  </r>
  <r>
    <x v="0"/>
    <x v="0"/>
    <x v="14"/>
    <n v="1573"/>
    <n v="11"/>
    <n v="144"/>
  </r>
  <r>
    <x v="0"/>
    <x v="0"/>
    <x v="15"/>
    <n v="305"/>
    <n v="1"/>
    <n v="31"/>
  </r>
  <r>
    <x v="0"/>
    <x v="0"/>
    <x v="16"/>
    <n v="152"/>
    <n v="2"/>
    <n v="18"/>
  </r>
  <r>
    <x v="0"/>
    <x v="0"/>
    <x v="17"/>
    <n v="117"/>
    <m/>
    <n v="16"/>
  </r>
  <r>
    <x v="0"/>
    <x v="0"/>
    <x v="18"/>
    <n v="135"/>
    <m/>
    <n v="29"/>
  </r>
  <r>
    <x v="0"/>
    <x v="0"/>
    <x v="19"/>
    <n v="36"/>
    <n v="1"/>
    <n v="13"/>
  </r>
  <r>
    <x v="0"/>
    <x v="0"/>
    <x v="20"/>
    <n v="256"/>
    <n v="1"/>
    <n v="19"/>
  </r>
  <r>
    <x v="0"/>
    <x v="0"/>
    <x v="21"/>
    <n v="537"/>
    <n v="1"/>
    <n v="42"/>
  </r>
  <r>
    <x v="0"/>
    <x v="0"/>
    <x v="22"/>
    <n v="20"/>
    <n v="1"/>
    <n v="1"/>
  </r>
  <r>
    <x v="0"/>
    <x v="0"/>
    <x v="23"/>
    <n v="246"/>
    <n v="2"/>
    <n v="21"/>
  </r>
  <r>
    <x v="0"/>
    <x v="0"/>
    <x v="24"/>
    <n v="338"/>
    <n v="1"/>
    <n v="27"/>
  </r>
  <r>
    <x v="0"/>
    <x v="0"/>
    <x v="25"/>
    <n v="193"/>
    <n v="1"/>
    <n v="31"/>
  </r>
  <r>
    <x v="0"/>
    <x v="0"/>
    <x v="26"/>
    <n v="31"/>
    <m/>
    <n v="2"/>
  </r>
  <r>
    <x v="0"/>
    <x v="0"/>
    <x v="27"/>
    <n v="151"/>
    <n v="1"/>
    <n v="10"/>
  </r>
  <r>
    <x v="0"/>
    <x v="0"/>
    <x v="28"/>
    <n v="529"/>
    <n v="3"/>
    <n v="35"/>
  </r>
  <r>
    <x v="0"/>
    <x v="0"/>
    <x v="29"/>
    <n v="157"/>
    <n v="1"/>
    <n v="11"/>
  </r>
  <r>
    <x v="0"/>
    <x v="0"/>
    <x v="30"/>
    <n v="193"/>
    <n v="4"/>
    <n v="13"/>
  </r>
  <r>
    <x v="0"/>
    <x v="0"/>
    <x v="31"/>
    <n v="309"/>
    <n v="3"/>
    <n v="45"/>
  </r>
  <r>
    <x v="0"/>
    <x v="1"/>
    <x v="0"/>
    <n v="428"/>
    <n v="1"/>
    <n v="71"/>
  </r>
  <r>
    <x v="0"/>
    <x v="1"/>
    <x v="1"/>
    <n v="380"/>
    <n v="6"/>
    <n v="32"/>
  </r>
  <r>
    <x v="0"/>
    <x v="1"/>
    <x v="2"/>
    <n v="155"/>
    <n v="1"/>
    <n v="7"/>
  </r>
  <r>
    <x v="0"/>
    <x v="1"/>
    <x v="3"/>
    <n v="203"/>
    <n v="2"/>
    <n v="12"/>
  </r>
  <r>
    <x v="0"/>
    <x v="1"/>
    <x v="4"/>
    <n v="959"/>
    <n v="6"/>
    <n v="217"/>
  </r>
  <r>
    <x v="0"/>
    <x v="1"/>
    <x v="5"/>
    <n v="70"/>
    <m/>
    <n v="6"/>
  </r>
  <r>
    <x v="0"/>
    <x v="1"/>
    <x v="6"/>
    <n v="201"/>
    <m/>
    <n v="11"/>
  </r>
  <r>
    <x v="0"/>
    <x v="1"/>
    <x v="7"/>
    <n v="426"/>
    <n v="4"/>
    <n v="34"/>
  </r>
  <r>
    <x v="0"/>
    <x v="1"/>
    <x v="8"/>
    <n v="174"/>
    <m/>
    <n v="9"/>
  </r>
  <r>
    <x v="0"/>
    <x v="1"/>
    <x v="9"/>
    <n v="104"/>
    <n v="1"/>
    <n v="7"/>
  </r>
  <r>
    <x v="0"/>
    <x v="1"/>
    <x v="10"/>
    <n v="150"/>
    <m/>
    <n v="21"/>
  </r>
  <r>
    <x v="0"/>
    <x v="1"/>
    <x v="11"/>
    <n v="91"/>
    <m/>
    <n v="11"/>
  </r>
  <r>
    <x v="0"/>
    <x v="1"/>
    <x v="12"/>
    <n v="225"/>
    <n v="2"/>
    <n v="23"/>
  </r>
  <r>
    <x v="0"/>
    <x v="1"/>
    <x v="13"/>
    <n v="481"/>
    <n v="3"/>
    <n v="59"/>
  </r>
  <r>
    <x v="0"/>
    <x v="1"/>
    <x v="14"/>
    <n v="1428"/>
    <n v="10"/>
    <n v="142"/>
  </r>
  <r>
    <x v="0"/>
    <x v="1"/>
    <x v="15"/>
    <n v="366"/>
    <n v="1"/>
    <n v="54"/>
  </r>
  <r>
    <x v="0"/>
    <x v="1"/>
    <x v="16"/>
    <n v="133"/>
    <n v="1"/>
    <n v="12"/>
  </r>
  <r>
    <x v="0"/>
    <x v="1"/>
    <x v="17"/>
    <n v="116"/>
    <n v="1"/>
    <n v="22"/>
  </r>
  <r>
    <x v="0"/>
    <x v="1"/>
    <x v="18"/>
    <n v="136"/>
    <n v="1"/>
    <n v="43"/>
  </r>
  <r>
    <x v="0"/>
    <x v="1"/>
    <x v="19"/>
    <n v="41"/>
    <m/>
    <n v="4"/>
  </r>
  <r>
    <x v="0"/>
    <x v="1"/>
    <x v="20"/>
    <n v="226"/>
    <m/>
    <n v="31"/>
  </r>
  <r>
    <x v="0"/>
    <x v="1"/>
    <x v="21"/>
    <n v="483"/>
    <n v="1"/>
    <n v="49"/>
  </r>
  <r>
    <x v="0"/>
    <x v="1"/>
    <x v="22"/>
    <n v="31"/>
    <m/>
    <n v="2"/>
  </r>
  <r>
    <x v="0"/>
    <x v="1"/>
    <x v="23"/>
    <n v="295"/>
    <m/>
    <n v="20"/>
  </r>
  <r>
    <x v="0"/>
    <x v="1"/>
    <x v="24"/>
    <n v="301"/>
    <n v="2"/>
    <n v="47"/>
  </r>
  <r>
    <x v="0"/>
    <x v="1"/>
    <x v="25"/>
    <n v="187"/>
    <m/>
    <n v="24"/>
  </r>
  <r>
    <x v="0"/>
    <x v="1"/>
    <x v="26"/>
    <n v="19"/>
    <m/>
    <n v="3"/>
  </r>
  <r>
    <x v="0"/>
    <x v="1"/>
    <x v="27"/>
    <n v="169"/>
    <n v="1"/>
    <n v="24"/>
  </r>
  <r>
    <x v="0"/>
    <x v="1"/>
    <x v="28"/>
    <n v="460"/>
    <m/>
    <n v="34"/>
  </r>
  <r>
    <x v="0"/>
    <x v="1"/>
    <x v="29"/>
    <n v="156"/>
    <m/>
    <n v="10"/>
  </r>
  <r>
    <x v="0"/>
    <x v="1"/>
    <x v="30"/>
    <n v="174"/>
    <n v="3"/>
    <n v="15"/>
  </r>
  <r>
    <x v="0"/>
    <x v="1"/>
    <x v="31"/>
    <n v="292"/>
    <n v="1"/>
    <n v="45"/>
  </r>
  <r>
    <x v="0"/>
    <x v="2"/>
    <x v="0"/>
    <n v="469"/>
    <n v="2"/>
    <n v="68"/>
  </r>
  <r>
    <x v="0"/>
    <x v="2"/>
    <x v="1"/>
    <n v="369"/>
    <n v="2"/>
    <n v="33"/>
  </r>
  <r>
    <x v="0"/>
    <x v="2"/>
    <x v="2"/>
    <n v="161"/>
    <n v="2"/>
    <n v="18"/>
  </r>
  <r>
    <x v="0"/>
    <x v="2"/>
    <x v="3"/>
    <n v="171"/>
    <n v="2"/>
    <n v="10"/>
  </r>
  <r>
    <x v="0"/>
    <x v="2"/>
    <x v="4"/>
    <n v="960"/>
    <n v="3"/>
    <n v="192"/>
  </r>
  <r>
    <x v="0"/>
    <x v="2"/>
    <x v="5"/>
    <n v="70"/>
    <m/>
    <n v="16"/>
  </r>
  <r>
    <x v="0"/>
    <x v="2"/>
    <x v="6"/>
    <n v="204"/>
    <n v="1"/>
    <n v="23"/>
  </r>
  <r>
    <x v="0"/>
    <x v="2"/>
    <x v="7"/>
    <n v="348"/>
    <n v="2"/>
    <n v="41"/>
  </r>
  <r>
    <x v="0"/>
    <x v="2"/>
    <x v="8"/>
    <n v="163"/>
    <n v="3"/>
    <n v="17"/>
  </r>
  <r>
    <x v="0"/>
    <x v="2"/>
    <x v="9"/>
    <n v="94"/>
    <m/>
    <n v="7"/>
  </r>
  <r>
    <x v="0"/>
    <x v="2"/>
    <x v="10"/>
    <n v="151"/>
    <n v="1"/>
    <n v="19"/>
  </r>
  <r>
    <x v="0"/>
    <x v="2"/>
    <x v="11"/>
    <n v="101"/>
    <m/>
    <n v="14"/>
  </r>
  <r>
    <x v="0"/>
    <x v="2"/>
    <x v="12"/>
    <n v="185"/>
    <n v="2"/>
    <n v="24"/>
  </r>
  <r>
    <x v="0"/>
    <x v="2"/>
    <x v="13"/>
    <n v="446"/>
    <n v="3"/>
    <n v="61"/>
  </r>
  <r>
    <x v="0"/>
    <x v="2"/>
    <x v="14"/>
    <n v="1457"/>
    <n v="7"/>
    <n v="157"/>
  </r>
  <r>
    <x v="0"/>
    <x v="2"/>
    <x v="15"/>
    <n v="359"/>
    <n v="6"/>
    <n v="69"/>
  </r>
  <r>
    <x v="0"/>
    <x v="2"/>
    <x v="16"/>
    <n v="102"/>
    <n v="1"/>
    <n v="8"/>
  </r>
  <r>
    <x v="0"/>
    <x v="2"/>
    <x v="17"/>
    <n v="107"/>
    <n v="2"/>
    <n v="21"/>
  </r>
  <r>
    <x v="0"/>
    <x v="2"/>
    <x v="18"/>
    <n v="113"/>
    <m/>
    <n v="22"/>
  </r>
  <r>
    <x v="0"/>
    <x v="2"/>
    <x v="19"/>
    <n v="39"/>
    <n v="2"/>
    <n v="5"/>
  </r>
  <r>
    <x v="0"/>
    <x v="2"/>
    <x v="20"/>
    <n v="191"/>
    <n v="1"/>
    <n v="26"/>
  </r>
  <r>
    <x v="0"/>
    <x v="2"/>
    <x v="21"/>
    <n v="448"/>
    <n v="1"/>
    <n v="68"/>
  </r>
  <r>
    <x v="0"/>
    <x v="2"/>
    <x v="22"/>
    <n v="29"/>
    <m/>
    <n v="2"/>
  </r>
  <r>
    <x v="0"/>
    <x v="2"/>
    <x v="23"/>
    <n v="254"/>
    <n v="1"/>
    <n v="19"/>
  </r>
  <r>
    <x v="0"/>
    <x v="2"/>
    <x v="24"/>
    <n v="302"/>
    <m/>
    <n v="33"/>
  </r>
  <r>
    <x v="0"/>
    <x v="2"/>
    <x v="25"/>
    <n v="185"/>
    <n v="3"/>
    <n v="20"/>
  </r>
  <r>
    <x v="0"/>
    <x v="2"/>
    <x v="26"/>
    <n v="29"/>
    <m/>
    <n v="1"/>
  </r>
  <r>
    <x v="0"/>
    <x v="2"/>
    <x v="27"/>
    <n v="145"/>
    <m/>
    <n v="22"/>
  </r>
  <r>
    <x v="0"/>
    <x v="2"/>
    <x v="28"/>
    <n v="402"/>
    <n v="1"/>
    <n v="35"/>
  </r>
  <r>
    <x v="0"/>
    <x v="2"/>
    <x v="29"/>
    <n v="127"/>
    <n v="1"/>
    <n v="13"/>
  </r>
  <r>
    <x v="0"/>
    <x v="2"/>
    <x v="30"/>
    <n v="169"/>
    <m/>
    <n v="17"/>
  </r>
  <r>
    <x v="0"/>
    <x v="2"/>
    <x v="31"/>
    <n v="281"/>
    <n v="2"/>
    <n v="52"/>
  </r>
  <r>
    <x v="0"/>
    <x v="3"/>
    <x v="0"/>
    <n v="425"/>
    <n v="3"/>
    <n v="53"/>
  </r>
  <r>
    <x v="0"/>
    <x v="3"/>
    <x v="1"/>
    <n v="354"/>
    <n v="2"/>
    <n v="40"/>
  </r>
  <r>
    <x v="0"/>
    <x v="3"/>
    <x v="2"/>
    <n v="157"/>
    <m/>
    <n v="13"/>
  </r>
  <r>
    <x v="0"/>
    <x v="3"/>
    <x v="3"/>
    <n v="162"/>
    <m/>
    <n v="17"/>
  </r>
  <r>
    <x v="0"/>
    <x v="3"/>
    <x v="4"/>
    <n v="900"/>
    <n v="5"/>
    <n v="137"/>
  </r>
  <r>
    <x v="0"/>
    <x v="3"/>
    <x v="5"/>
    <n v="58"/>
    <m/>
    <n v="6"/>
  </r>
  <r>
    <x v="0"/>
    <x v="3"/>
    <x v="6"/>
    <n v="199"/>
    <m/>
    <n v="31"/>
  </r>
  <r>
    <x v="0"/>
    <x v="3"/>
    <x v="7"/>
    <n v="323"/>
    <n v="1"/>
    <n v="54"/>
  </r>
  <r>
    <x v="0"/>
    <x v="3"/>
    <x v="8"/>
    <n v="168"/>
    <m/>
    <n v="11"/>
  </r>
  <r>
    <x v="0"/>
    <x v="3"/>
    <x v="9"/>
    <n v="97"/>
    <n v="1"/>
    <n v="26"/>
  </r>
  <r>
    <x v="0"/>
    <x v="3"/>
    <x v="10"/>
    <n v="142"/>
    <m/>
    <n v="12"/>
  </r>
  <r>
    <x v="0"/>
    <x v="3"/>
    <x v="11"/>
    <n v="95"/>
    <m/>
    <n v="6"/>
  </r>
  <r>
    <x v="0"/>
    <x v="3"/>
    <x v="12"/>
    <n v="152"/>
    <n v="1"/>
    <n v="10"/>
  </r>
  <r>
    <x v="0"/>
    <x v="3"/>
    <x v="13"/>
    <n v="470"/>
    <n v="2"/>
    <n v="67"/>
  </r>
  <r>
    <x v="0"/>
    <x v="3"/>
    <x v="14"/>
    <n v="1290"/>
    <n v="6"/>
    <n v="171"/>
  </r>
  <r>
    <x v="0"/>
    <x v="3"/>
    <x v="15"/>
    <n v="328"/>
    <n v="1"/>
    <n v="47"/>
  </r>
  <r>
    <x v="0"/>
    <x v="3"/>
    <x v="16"/>
    <n v="121"/>
    <m/>
    <n v="19"/>
  </r>
  <r>
    <x v="0"/>
    <x v="3"/>
    <x v="17"/>
    <n v="125"/>
    <n v="1"/>
    <n v="17"/>
  </r>
  <r>
    <x v="0"/>
    <x v="3"/>
    <x v="18"/>
    <n v="109"/>
    <n v="1"/>
    <n v="28"/>
  </r>
  <r>
    <x v="0"/>
    <x v="3"/>
    <x v="19"/>
    <n v="56"/>
    <n v="1"/>
    <n v="14"/>
  </r>
  <r>
    <x v="0"/>
    <x v="3"/>
    <x v="20"/>
    <n v="203"/>
    <m/>
    <n v="29"/>
  </r>
  <r>
    <x v="0"/>
    <x v="3"/>
    <x v="21"/>
    <n v="429"/>
    <n v="2"/>
    <n v="66"/>
  </r>
  <r>
    <x v="0"/>
    <x v="3"/>
    <x v="22"/>
    <n v="30"/>
    <m/>
    <m/>
  </r>
  <r>
    <x v="0"/>
    <x v="3"/>
    <x v="23"/>
    <n v="237"/>
    <n v="1"/>
    <n v="29"/>
  </r>
  <r>
    <x v="0"/>
    <x v="3"/>
    <x v="24"/>
    <n v="300"/>
    <m/>
    <n v="48"/>
  </r>
  <r>
    <x v="0"/>
    <x v="3"/>
    <x v="25"/>
    <n v="169"/>
    <n v="1"/>
    <n v="14"/>
  </r>
  <r>
    <x v="0"/>
    <x v="3"/>
    <x v="26"/>
    <n v="29"/>
    <n v="1"/>
    <n v="3"/>
  </r>
  <r>
    <x v="0"/>
    <x v="3"/>
    <x v="27"/>
    <n v="174"/>
    <n v="2"/>
    <n v="25"/>
  </r>
  <r>
    <x v="0"/>
    <x v="3"/>
    <x v="28"/>
    <n v="411"/>
    <n v="4"/>
    <n v="57"/>
  </r>
  <r>
    <x v="0"/>
    <x v="3"/>
    <x v="29"/>
    <n v="111"/>
    <n v="1"/>
    <n v="8"/>
  </r>
  <r>
    <x v="0"/>
    <x v="3"/>
    <x v="30"/>
    <n v="152"/>
    <n v="1"/>
    <n v="16"/>
  </r>
  <r>
    <x v="0"/>
    <x v="3"/>
    <x v="31"/>
    <n v="277"/>
    <n v="1"/>
    <n v="51"/>
  </r>
  <r>
    <x v="0"/>
    <x v="4"/>
    <x v="0"/>
    <n v="415"/>
    <n v="1"/>
    <n v="54"/>
  </r>
  <r>
    <x v="0"/>
    <x v="4"/>
    <x v="1"/>
    <n v="365"/>
    <n v="3"/>
    <n v="39"/>
  </r>
  <r>
    <x v="0"/>
    <x v="4"/>
    <x v="2"/>
    <n v="150"/>
    <n v="1"/>
    <n v="20"/>
  </r>
  <r>
    <x v="0"/>
    <x v="4"/>
    <x v="3"/>
    <n v="157"/>
    <m/>
    <n v="10"/>
  </r>
  <r>
    <x v="0"/>
    <x v="4"/>
    <x v="4"/>
    <n v="819"/>
    <n v="3"/>
    <n v="125"/>
  </r>
  <r>
    <x v="0"/>
    <x v="4"/>
    <x v="5"/>
    <n v="73"/>
    <m/>
    <n v="3"/>
  </r>
  <r>
    <x v="0"/>
    <x v="4"/>
    <x v="6"/>
    <n v="212"/>
    <m/>
    <n v="27"/>
  </r>
  <r>
    <x v="0"/>
    <x v="4"/>
    <x v="7"/>
    <n v="278"/>
    <m/>
    <n v="68"/>
  </r>
  <r>
    <x v="0"/>
    <x v="4"/>
    <x v="8"/>
    <n v="153"/>
    <m/>
    <n v="10"/>
  </r>
  <r>
    <x v="0"/>
    <x v="4"/>
    <x v="9"/>
    <n v="91"/>
    <m/>
    <n v="9"/>
  </r>
  <r>
    <x v="0"/>
    <x v="4"/>
    <x v="10"/>
    <n v="136"/>
    <n v="1"/>
    <n v="13"/>
  </r>
  <r>
    <x v="0"/>
    <x v="4"/>
    <x v="11"/>
    <n v="96"/>
    <m/>
    <n v="12"/>
  </r>
  <r>
    <x v="0"/>
    <x v="4"/>
    <x v="12"/>
    <n v="215"/>
    <n v="2"/>
    <n v="28"/>
  </r>
  <r>
    <x v="0"/>
    <x v="4"/>
    <x v="13"/>
    <n v="414"/>
    <n v="2"/>
    <n v="47"/>
  </r>
  <r>
    <x v="0"/>
    <x v="4"/>
    <x v="14"/>
    <n v="1201"/>
    <n v="3"/>
    <n v="167"/>
  </r>
  <r>
    <x v="0"/>
    <x v="4"/>
    <x v="15"/>
    <n v="332"/>
    <n v="1"/>
    <n v="63"/>
  </r>
  <r>
    <x v="0"/>
    <x v="4"/>
    <x v="16"/>
    <n v="127"/>
    <n v="1"/>
    <n v="26"/>
  </r>
  <r>
    <x v="0"/>
    <x v="4"/>
    <x v="17"/>
    <n v="108"/>
    <m/>
    <n v="33"/>
  </r>
  <r>
    <x v="0"/>
    <x v="4"/>
    <x v="18"/>
    <n v="135"/>
    <m/>
    <n v="29"/>
  </r>
  <r>
    <x v="0"/>
    <x v="4"/>
    <x v="19"/>
    <n v="32"/>
    <m/>
    <n v="6"/>
  </r>
  <r>
    <x v="0"/>
    <x v="4"/>
    <x v="20"/>
    <n v="189"/>
    <n v="1"/>
    <n v="29"/>
  </r>
  <r>
    <x v="0"/>
    <x v="4"/>
    <x v="21"/>
    <n v="422"/>
    <n v="1"/>
    <n v="72"/>
  </r>
  <r>
    <x v="0"/>
    <x v="4"/>
    <x v="22"/>
    <n v="28"/>
    <m/>
    <n v="1"/>
  </r>
  <r>
    <x v="0"/>
    <x v="4"/>
    <x v="23"/>
    <n v="192"/>
    <m/>
    <n v="36"/>
  </r>
  <r>
    <x v="0"/>
    <x v="4"/>
    <x v="24"/>
    <n v="331"/>
    <m/>
    <n v="48"/>
  </r>
  <r>
    <x v="0"/>
    <x v="4"/>
    <x v="25"/>
    <n v="173"/>
    <n v="1"/>
    <n v="25"/>
  </r>
  <r>
    <x v="0"/>
    <x v="4"/>
    <x v="26"/>
    <n v="25"/>
    <m/>
    <n v="1"/>
  </r>
  <r>
    <x v="0"/>
    <x v="4"/>
    <x v="27"/>
    <n v="152"/>
    <n v="2"/>
    <n v="14"/>
  </r>
  <r>
    <x v="0"/>
    <x v="4"/>
    <x v="28"/>
    <n v="358"/>
    <n v="2"/>
    <n v="49"/>
  </r>
  <r>
    <x v="0"/>
    <x v="4"/>
    <x v="29"/>
    <n v="134"/>
    <m/>
    <n v="13"/>
  </r>
  <r>
    <x v="0"/>
    <x v="4"/>
    <x v="30"/>
    <n v="145"/>
    <m/>
    <n v="12"/>
  </r>
  <r>
    <x v="0"/>
    <x v="4"/>
    <x v="31"/>
    <n v="283"/>
    <n v="1"/>
    <n v="29"/>
  </r>
  <r>
    <x v="0"/>
    <x v="5"/>
    <x v="0"/>
    <n v="426"/>
    <n v="2"/>
    <n v="54"/>
  </r>
  <r>
    <x v="0"/>
    <x v="5"/>
    <x v="1"/>
    <n v="370"/>
    <n v="2"/>
    <n v="40"/>
  </r>
  <r>
    <x v="0"/>
    <x v="5"/>
    <x v="2"/>
    <n v="161"/>
    <n v="1"/>
    <n v="24"/>
  </r>
  <r>
    <x v="0"/>
    <x v="5"/>
    <x v="3"/>
    <n v="145"/>
    <n v="1"/>
    <n v="12"/>
  </r>
  <r>
    <x v="0"/>
    <x v="5"/>
    <x v="4"/>
    <n v="903"/>
    <n v="4"/>
    <n v="117"/>
  </r>
  <r>
    <x v="0"/>
    <x v="5"/>
    <x v="5"/>
    <n v="72"/>
    <m/>
    <n v="10"/>
  </r>
  <r>
    <x v="0"/>
    <x v="5"/>
    <x v="6"/>
    <n v="183"/>
    <n v="3"/>
    <n v="11"/>
  </r>
  <r>
    <x v="0"/>
    <x v="5"/>
    <x v="7"/>
    <n v="259"/>
    <n v="2"/>
    <n v="36"/>
  </r>
  <r>
    <x v="0"/>
    <x v="5"/>
    <x v="8"/>
    <n v="159"/>
    <m/>
    <n v="22"/>
  </r>
  <r>
    <x v="0"/>
    <x v="5"/>
    <x v="9"/>
    <n v="101"/>
    <m/>
    <n v="12"/>
  </r>
  <r>
    <x v="0"/>
    <x v="5"/>
    <x v="10"/>
    <n v="147"/>
    <m/>
    <n v="12"/>
  </r>
  <r>
    <x v="0"/>
    <x v="5"/>
    <x v="11"/>
    <n v="86"/>
    <m/>
    <n v="7"/>
  </r>
  <r>
    <x v="0"/>
    <x v="5"/>
    <x v="12"/>
    <n v="200"/>
    <m/>
    <n v="23"/>
  </r>
  <r>
    <x v="0"/>
    <x v="5"/>
    <x v="13"/>
    <n v="416"/>
    <n v="2"/>
    <n v="55"/>
  </r>
  <r>
    <x v="0"/>
    <x v="5"/>
    <x v="14"/>
    <n v="1275"/>
    <n v="1"/>
    <n v="119"/>
  </r>
  <r>
    <x v="0"/>
    <x v="5"/>
    <x v="15"/>
    <n v="336"/>
    <n v="4"/>
    <n v="59"/>
  </r>
  <r>
    <x v="0"/>
    <x v="5"/>
    <x v="16"/>
    <n v="131"/>
    <m/>
    <n v="23"/>
  </r>
  <r>
    <x v="0"/>
    <x v="5"/>
    <x v="17"/>
    <n v="104"/>
    <n v="1"/>
    <n v="13"/>
  </r>
  <r>
    <x v="0"/>
    <x v="5"/>
    <x v="18"/>
    <n v="123"/>
    <n v="1"/>
    <n v="19"/>
  </r>
  <r>
    <x v="0"/>
    <x v="5"/>
    <x v="19"/>
    <n v="51"/>
    <m/>
    <n v="7"/>
  </r>
  <r>
    <x v="0"/>
    <x v="5"/>
    <x v="20"/>
    <n v="225"/>
    <m/>
    <n v="41"/>
  </r>
  <r>
    <x v="0"/>
    <x v="5"/>
    <x v="21"/>
    <n v="452"/>
    <n v="2"/>
    <n v="50"/>
  </r>
  <r>
    <x v="0"/>
    <x v="5"/>
    <x v="22"/>
    <n v="33"/>
    <m/>
    <n v="1"/>
  </r>
  <r>
    <x v="0"/>
    <x v="5"/>
    <x v="23"/>
    <n v="230"/>
    <m/>
    <n v="27"/>
  </r>
  <r>
    <x v="0"/>
    <x v="5"/>
    <x v="24"/>
    <n v="319"/>
    <n v="1"/>
    <n v="26"/>
  </r>
  <r>
    <x v="0"/>
    <x v="5"/>
    <x v="25"/>
    <n v="149"/>
    <n v="1"/>
    <n v="13"/>
  </r>
  <r>
    <x v="0"/>
    <x v="5"/>
    <x v="26"/>
    <n v="39"/>
    <m/>
    <n v="2"/>
  </r>
  <r>
    <x v="0"/>
    <x v="5"/>
    <x v="27"/>
    <n v="152"/>
    <n v="2"/>
    <n v="18"/>
  </r>
  <r>
    <x v="0"/>
    <x v="5"/>
    <x v="28"/>
    <n v="425"/>
    <n v="1"/>
    <n v="46"/>
  </r>
  <r>
    <x v="0"/>
    <x v="5"/>
    <x v="29"/>
    <n v="148"/>
    <n v="1"/>
    <n v="12"/>
  </r>
  <r>
    <x v="0"/>
    <x v="5"/>
    <x v="30"/>
    <n v="124"/>
    <m/>
    <n v="5"/>
  </r>
  <r>
    <x v="0"/>
    <x v="5"/>
    <x v="31"/>
    <n v="276"/>
    <m/>
    <n v="24"/>
  </r>
  <r>
    <x v="0"/>
    <x v="6"/>
    <x v="0"/>
    <n v="435"/>
    <n v="1"/>
    <n v="59"/>
  </r>
  <r>
    <x v="0"/>
    <x v="6"/>
    <x v="1"/>
    <n v="348"/>
    <m/>
    <n v="37"/>
  </r>
  <r>
    <x v="0"/>
    <x v="6"/>
    <x v="2"/>
    <n v="156"/>
    <n v="1"/>
    <n v="29"/>
  </r>
  <r>
    <x v="0"/>
    <x v="6"/>
    <x v="3"/>
    <n v="128"/>
    <n v="1"/>
    <n v="16"/>
  </r>
  <r>
    <x v="0"/>
    <x v="6"/>
    <x v="4"/>
    <n v="886"/>
    <n v="4"/>
    <n v="91"/>
  </r>
  <r>
    <x v="0"/>
    <x v="6"/>
    <x v="5"/>
    <n v="92"/>
    <m/>
    <n v="10"/>
  </r>
  <r>
    <x v="0"/>
    <x v="6"/>
    <x v="6"/>
    <n v="194"/>
    <n v="1"/>
    <n v="13"/>
  </r>
  <r>
    <x v="0"/>
    <x v="6"/>
    <x v="7"/>
    <n v="308"/>
    <n v="2"/>
    <n v="76"/>
  </r>
  <r>
    <x v="0"/>
    <x v="6"/>
    <x v="8"/>
    <n v="157"/>
    <m/>
    <n v="38"/>
  </r>
  <r>
    <x v="0"/>
    <x v="6"/>
    <x v="9"/>
    <n v="102"/>
    <m/>
    <n v="12"/>
  </r>
  <r>
    <x v="0"/>
    <x v="6"/>
    <x v="10"/>
    <n v="134"/>
    <n v="1"/>
    <n v="8"/>
  </r>
  <r>
    <x v="0"/>
    <x v="6"/>
    <x v="11"/>
    <n v="97"/>
    <n v="1"/>
    <n v="12"/>
  </r>
  <r>
    <x v="0"/>
    <x v="6"/>
    <x v="12"/>
    <n v="225"/>
    <n v="2"/>
    <n v="29"/>
  </r>
  <r>
    <x v="0"/>
    <x v="6"/>
    <x v="13"/>
    <n v="452"/>
    <n v="1"/>
    <n v="30"/>
  </r>
  <r>
    <x v="0"/>
    <x v="6"/>
    <x v="14"/>
    <n v="1298"/>
    <n v="3"/>
    <n v="166"/>
  </r>
  <r>
    <x v="0"/>
    <x v="6"/>
    <x v="15"/>
    <n v="326"/>
    <n v="6"/>
    <n v="53"/>
  </r>
  <r>
    <x v="0"/>
    <x v="6"/>
    <x v="16"/>
    <n v="153"/>
    <n v="1"/>
    <n v="39"/>
  </r>
  <r>
    <x v="0"/>
    <x v="6"/>
    <x v="17"/>
    <n v="105"/>
    <m/>
    <n v="10"/>
  </r>
  <r>
    <x v="0"/>
    <x v="6"/>
    <x v="18"/>
    <n v="109"/>
    <m/>
    <n v="16"/>
  </r>
  <r>
    <x v="0"/>
    <x v="6"/>
    <x v="19"/>
    <n v="38"/>
    <m/>
    <n v="8"/>
  </r>
  <r>
    <x v="0"/>
    <x v="6"/>
    <x v="20"/>
    <n v="232"/>
    <n v="1"/>
    <n v="42"/>
  </r>
  <r>
    <x v="0"/>
    <x v="6"/>
    <x v="21"/>
    <n v="439"/>
    <n v="4"/>
    <n v="65"/>
  </r>
  <r>
    <x v="0"/>
    <x v="6"/>
    <x v="22"/>
    <n v="37"/>
    <m/>
    <n v="2"/>
  </r>
  <r>
    <x v="0"/>
    <x v="6"/>
    <x v="23"/>
    <n v="237"/>
    <m/>
    <n v="31"/>
  </r>
  <r>
    <x v="0"/>
    <x v="6"/>
    <x v="24"/>
    <n v="305"/>
    <m/>
    <n v="31"/>
  </r>
  <r>
    <x v="0"/>
    <x v="6"/>
    <x v="25"/>
    <n v="184"/>
    <n v="1"/>
    <n v="16"/>
  </r>
  <r>
    <x v="0"/>
    <x v="6"/>
    <x v="26"/>
    <n v="34"/>
    <m/>
    <n v="2"/>
  </r>
  <r>
    <x v="0"/>
    <x v="6"/>
    <x v="27"/>
    <n v="154"/>
    <n v="1"/>
    <n v="24"/>
  </r>
  <r>
    <x v="0"/>
    <x v="6"/>
    <x v="28"/>
    <n v="416"/>
    <n v="4"/>
    <n v="61"/>
  </r>
  <r>
    <x v="0"/>
    <x v="6"/>
    <x v="29"/>
    <n v="183"/>
    <n v="1"/>
    <n v="10"/>
  </r>
  <r>
    <x v="0"/>
    <x v="6"/>
    <x v="30"/>
    <n v="208"/>
    <m/>
    <n v="25"/>
  </r>
  <r>
    <x v="0"/>
    <x v="6"/>
    <x v="31"/>
    <n v="247"/>
    <m/>
    <n v="32"/>
  </r>
  <r>
    <x v="0"/>
    <x v="7"/>
    <x v="0"/>
    <n v="439"/>
    <n v="2"/>
    <n v="34"/>
  </r>
  <r>
    <x v="0"/>
    <x v="7"/>
    <x v="1"/>
    <n v="344"/>
    <n v="2"/>
    <n v="24"/>
  </r>
  <r>
    <x v="0"/>
    <x v="7"/>
    <x v="2"/>
    <n v="163"/>
    <m/>
    <n v="21"/>
  </r>
  <r>
    <x v="0"/>
    <x v="7"/>
    <x v="3"/>
    <n v="141"/>
    <m/>
    <n v="9"/>
  </r>
  <r>
    <x v="0"/>
    <x v="7"/>
    <x v="4"/>
    <n v="791"/>
    <n v="3"/>
    <n v="111"/>
  </r>
  <r>
    <x v="0"/>
    <x v="7"/>
    <x v="5"/>
    <n v="96"/>
    <m/>
    <n v="22"/>
  </r>
  <r>
    <x v="0"/>
    <x v="7"/>
    <x v="6"/>
    <n v="202"/>
    <m/>
    <n v="8"/>
  </r>
  <r>
    <x v="0"/>
    <x v="7"/>
    <x v="7"/>
    <n v="311"/>
    <m/>
    <n v="50"/>
  </r>
  <r>
    <x v="0"/>
    <x v="7"/>
    <x v="8"/>
    <n v="202"/>
    <n v="2"/>
    <n v="29"/>
  </r>
  <r>
    <x v="0"/>
    <x v="7"/>
    <x v="9"/>
    <n v="117"/>
    <n v="1"/>
    <n v="21"/>
  </r>
  <r>
    <x v="0"/>
    <x v="7"/>
    <x v="10"/>
    <n v="116"/>
    <m/>
    <n v="6"/>
  </r>
  <r>
    <x v="0"/>
    <x v="7"/>
    <x v="11"/>
    <n v="80"/>
    <m/>
    <n v="6"/>
  </r>
  <r>
    <x v="0"/>
    <x v="7"/>
    <x v="12"/>
    <n v="202"/>
    <n v="1"/>
    <n v="32"/>
  </r>
  <r>
    <x v="0"/>
    <x v="7"/>
    <x v="13"/>
    <n v="451"/>
    <n v="4"/>
    <n v="64"/>
  </r>
  <r>
    <x v="0"/>
    <x v="7"/>
    <x v="14"/>
    <n v="1256"/>
    <n v="7"/>
    <n v="176"/>
  </r>
  <r>
    <x v="0"/>
    <x v="7"/>
    <x v="15"/>
    <n v="340"/>
    <n v="2"/>
    <n v="59"/>
  </r>
  <r>
    <x v="0"/>
    <x v="7"/>
    <x v="16"/>
    <n v="162"/>
    <n v="1"/>
    <n v="38"/>
  </r>
  <r>
    <x v="0"/>
    <x v="7"/>
    <x v="17"/>
    <n v="126"/>
    <n v="1"/>
    <n v="16"/>
  </r>
  <r>
    <x v="0"/>
    <x v="7"/>
    <x v="18"/>
    <n v="110"/>
    <n v="1"/>
    <n v="16"/>
  </r>
  <r>
    <x v="0"/>
    <x v="7"/>
    <x v="19"/>
    <n v="34"/>
    <n v="3"/>
    <n v="8"/>
  </r>
  <r>
    <x v="0"/>
    <x v="7"/>
    <x v="20"/>
    <n v="220"/>
    <m/>
    <n v="25"/>
  </r>
  <r>
    <x v="0"/>
    <x v="7"/>
    <x v="21"/>
    <n v="463"/>
    <n v="1"/>
    <n v="65"/>
  </r>
  <r>
    <x v="0"/>
    <x v="7"/>
    <x v="22"/>
    <n v="21"/>
    <m/>
    <n v="5"/>
  </r>
  <r>
    <x v="0"/>
    <x v="7"/>
    <x v="23"/>
    <n v="255"/>
    <n v="1"/>
    <n v="23"/>
  </r>
  <r>
    <x v="0"/>
    <x v="7"/>
    <x v="24"/>
    <n v="276"/>
    <n v="1"/>
    <n v="27"/>
  </r>
  <r>
    <x v="0"/>
    <x v="7"/>
    <x v="25"/>
    <n v="162"/>
    <n v="1"/>
    <n v="26"/>
  </r>
  <r>
    <x v="0"/>
    <x v="7"/>
    <x v="26"/>
    <n v="24"/>
    <m/>
    <n v="4"/>
  </r>
  <r>
    <x v="0"/>
    <x v="7"/>
    <x v="27"/>
    <n v="152"/>
    <m/>
    <n v="23"/>
  </r>
  <r>
    <x v="0"/>
    <x v="7"/>
    <x v="28"/>
    <n v="389"/>
    <m/>
    <n v="44"/>
  </r>
  <r>
    <x v="0"/>
    <x v="7"/>
    <x v="29"/>
    <n v="151"/>
    <n v="1"/>
    <n v="13"/>
  </r>
  <r>
    <x v="0"/>
    <x v="7"/>
    <x v="30"/>
    <n v="179"/>
    <m/>
    <n v="20"/>
  </r>
  <r>
    <x v="0"/>
    <x v="7"/>
    <x v="31"/>
    <n v="224"/>
    <m/>
    <n v="28"/>
  </r>
  <r>
    <x v="0"/>
    <x v="8"/>
    <x v="0"/>
    <n v="355"/>
    <n v="3"/>
    <n v="23"/>
  </r>
  <r>
    <x v="0"/>
    <x v="8"/>
    <x v="1"/>
    <n v="343"/>
    <n v="1"/>
    <n v="44"/>
  </r>
  <r>
    <x v="0"/>
    <x v="8"/>
    <x v="2"/>
    <n v="131"/>
    <m/>
    <n v="20"/>
  </r>
  <r>
    <x v="0"/>
    <x v="8"/>
    <x v="3"/>
    <n v="161"/>
    <n v="1"/>
    <n v="18"/>
  </r>
  <r>
    <x v="0"/>
    <x v="8"/>
    <x v="4"/>
    <n v="747"/>
    <n v="1"/>
    <n v="78"/>
  </r>
  <r>
    <x v="0"/>
    <x v="8"/>
    <x v="5"/>
    <n v="69"/>
    <m/>
    <n v="8"/>
  </r>
  <r>
    <x v="0"/>
    <x v="8"/>
    <x v="6"/>
    <n v="197"/>
    <n v="4"/>
    <n v="5"/>
  </r>
  <r>
    <x v="0"/>
    <x v="8"/>
    <x v="7"/>
    <n v="272"/>
    <m/>
    <n v="34"/>
  </r>
  <r>
    <x v="0"/>
    <x v="8"/>
    <x v="8"/>
    <n v="133"/>
    <n v="1"/>
    <n v="24"/>
  </r>
  <r>
    <x v="0"/>
    <x v="8"/>
    <x v="9"/>
    <n v="101"/>
    <m/>
    <n v="16"/>
  </r>
  <r>
    <x v="0"/>
    <x v="8"/>
    <x v="10"/>
    <n v="130"/>
    <n v="2"/>
    <n v="12"/>
  </r>
  <r>
    <x v="0"/>
    <x v="8"/>
    <x v="11"/>
    <n v="111"/>
    <m/>
    <n v="7"/>
  </r>
  <r>
    <x v="0"/>
    <x v="8"/>
    <x v="12"/>
    <n v="199"/>
    <n v="2"/>
    <n v="21"/>
  </r>
  <r>
    <x v="0"/>
    <x v="8"/>
    <x v="13"/>
    <n v="513"/>
    <n v="2"/>
    <n v="39"/>
  </r>
  <r>
    <x v="0"/>
    <x v="8"/>
    <x v="14"/>
    <n v="1262"/>
    <n v="4"/>
    <n v="172"/>
  </r>
  <r>
    <x v="0"/>
    <x v="8"/>
    <x v="15"/>
    <n v="334"/>
    <n v="2"/>
    <n v="40"/>
  </r>
  <r>
    <x v="0"/>
    <x v="8"/>
    <x v="16"/>
    <n v="123"/>
    <m/>
    <n v="14"/>
  </r>
  <r>
    <x v="0"/>
    <x v="8"/>
    <x v="17"/>
    <n v="116"/>
    <m/>
    <n v="14"/>
  </r>
  <r>
    <x v="0"/>
    <x v="8"/>
    <x v="18"/>
    <n v="89"/>
    <n v="1"/>
    <n v="17"/>
  </r>
  <r>
    <x v="0"/>
    <x v="8"/>
    <x v="19"/>
    <n v="34"/>
    <m/>
    <n v="1"/>
  </r>
  <r>
    <x v="0"/>
    <x v="8"/>
    <x v="20"/>
    <n v="222"/>
    <m/>
    <n v="20"/>
  </r>
  <r>
    <x v="0"/>
    <x v="8"/>
    <x v="21"/>
    <n v="449"/>
    <n v="2"/>
    <n v="87"/>
  </r>
  <r>
    <x v="0"/>
    <x v="8"/>
    <x v="22"/>
    <n v="14"/>
    <m/>
    <n v="4"/>
  </r>
  <r>
    <x v="0"/>
    <x v="8"/>
    <x v="23"/>
    <n v="207"/>
    <m/>
    <n v="22"/>
  </r>
  <r>
    <x v="0"/>
    <x v="8"/>
    <x v="24"/>
    <n v="283"/>
    <n v="1"/>
    <n v="31"/>
  </r>
  <r>
    <x v="0"/>
    <x v="8"/>
    <x v="25"/>
    <n v="149"/>
    <n v="1"/>
    <n v="15"/>
  </r>
  <r>
    <x v="0"/>
    <x v="8"/>
    <x v="26"/>
    <n v="32"/>
    <m/>
    <n v="6"/>
  </r>
  <r>
    <x v="0"/>
    <x v="8"/>
    <x v="27"/>
    <n v="165"/>
    <n v="4"/>
    <n v="24"/>
  </r>
  <r>
    <x v="0"/>
    <x v="8"/>
    <x v="28"/>
    <n v="401"/>
    <n v="4"/>
    <n v="52"/>
  </r>
  <r>
    <x v="0"/>
    <x v="8"/>
    <x v="29"/>
    <n v="142"/>
    <n v="2"/>
    <n v="20"/>
  </r>
  <r>
    <x v="0"/>
    <x v="8"/>
    <x v="30"/>
    <n v="199"/>
    <n v="3"/>
    <n v="18"/>
  </r>
  <r>
    <x v="0"/>
    <x v="8"/>
    <x v="31"/>
    <n v="258"/>
    <m/>
    <n v="29"/>
  </r>
  <r>
    <x v="0"/>
    <x v="9"/>
    <x v="0"/>
    <n v="408"/>
    <n v="2"/>
    <n v="43"/>
  </r>
  <r>
    <x v="0"/>
    <x v="9"/>
    <x v="1"/>
    <n v="327"/>
    <n v="1"/>
    <n v="28"/>
  </r>
  <r>
    <x v="0"/>
    <x v="9"/>
    <x v="2"/>
    <n v="152"/>
    <n v="2"/>
    <n v="15"/>
  </r>
  <r>
    <x v="0"/>
    <x v="9"/>
    <x v="3"/>
    <n v="155"/>
    <m/>
    <n v="19"/>
  </r>
  <r>
    <x v="0"/>
    <x v="9"/>
    <x v="4"/>
    <n v="742"/>
    <n v="2"/>
    <n v="106"/>
  </r>
  <r>
    <x v="0"/>
    <x v="9"/>
    <x v="5"/>
    <n v="66"/>
    <m/>
    <n v="23"/>
  </r>
  <r>
    <x v="0"/>
    <x v="9"/>
    <x v="6"/>
    <n v="185"/>
    <m/>
    <n v="13"/>
  </r>
  <r>
    <x v="0"/>
    <x v="9"/>
    <x v="7"/>
    <n v="263"/>
    <m/>
    <n v="40"/>
  </r>
  <r>
    <x v="0"/>
    <x v="9"/>
    <x v="8"/>
    <n v="158"/>
    <m/>
    <n v="31"/>
  </r>
  <r>
    <x v="0"/>
    <x v="9"/>
    <x v="9"/>
    <n v="112"/>
    <m/>
    <n v="8"/>
  </r>
  <r>
    <x v="0"/>
    <x v="9"/>
    <x v="10"/>
    <n v="144"/>
    <n v="1"/>
    <n v="7"/>
  </r>
  <r>
    <x v="0"/>
    <x v="9"/>
    <x v="11"/>
    <n v="99"/>
    <m/>
    <n v="14"/>
  </r>
  <r>
    <x v="0"/>
    <x v="9"/>
    <x v="12"/>
    <n v="208"/>
    <n v="1"/>
    <n v="25"/>
  </r>
  <r>
    <x v="0"/>
    <x v="9"/>
    <x v="13"/>
    <n v="452"/>
    <n v="2"/>
    <n v="53"/>
  </r>
  <r>
    <x v="0"/>
    <x v="9"/>
    <x v="14"/>
    <n v="1180"/>
    <n v="3"/>
    <n v="165"/>
  </r>
  <r>
    <x v="0"/>
    <x v="9"/>
    <x v="15"/>
    <n v="383"/>
    <n v="2"/>
    <n v="33"/>
  </r>
  <r>
    <x v="0"/>
    <x v="9"/>
    <x v="16"/>
    <n v="113"/>
    <n v="4"/>
    <n v="23"/>
  </r>
  <r>
    <x v="0"/>
    <x v="9"/>
    <x v="17"/>
    <n v="104"/>
    <n v="1"/>
    <n v="10"/>
  </r>
  <r>
    <x v="0"/>
    <x v="9"/>
    <x v="18"/>
    <n v="124"/>
    <n v="2"/>
    <n v="12"/>
  </r>
  <r>
    <x v="0"/>
    <x v="9"/>
    <x v="19"/>
    <n v="46"/>
    <m/>
    <n v="4"/>
  </r>
  <r>
    <x v="0"/>
    <x v="9"/>
    <x v="20"/>
    <n v="238"/>
    <n v="4"/>
    <n v="37"/>
  </r>
  <r>
    <x v="0"/>
    <x v="9"/>
    <x v="21"/>
    <n v="488"/>
    <n v="2"/>
    <n v="95"/>
  </r>
  <r>
    <x v="0"/>
    <x v="9"/>
    <x v="22"/>
    <n v="24"/>
    <m/>
    <m/>
  </r>
  <r>
    <x v="0"/>
    <x v="9"/>
    <x v="23"/>
    <n v="212"/>
    <n v="1"/>
    <n v="20"/>
  </r>
  <r>
    <x v="0"/>
    <x v="9"/>
    <x v="24"/>
    <n v="292"/>
    <n v="1"/>
    <n v="42"/>
  </r>
  <r>
    <x v="0"/>
    <x v="9"/>
    <x v="25"/>
    <n v="165"/>
    <n v="1"/>
    <n v="18"/>
  </r>
  <r>
    <x v="0"/>
    <x v="9"/>
    <x v="26"/>
    <n v="17"/>
    <n v="1"/>
    <m/>
  </r>
  <r>
    <x v="0"/>
    <x v="9"/>
    <x v="27"/>
    <n v="152"/>
    <n v="1"/>
    <n v="17"/>
  </r>
  <r>
    <x v="0"/>
    <x v="9"/>
    <x v="28"/>
    <n v="395"/>
    <m/>
    <n v="64"/>
  </r>
  <r>
    <x v="0"/>
    <x v="9"/>
    <x v="29"/>
    <n v="123"/>
    <n v="2"/>
    <n v="4"/>
  </r>
  <r>
    <x v="0"/>
    <x v="9"/>
    <x v="30"/>
    <n v="183"/>
    <n v="1"/>
    <n v="11"/>
  </r>
  <r>
    <x v="0"/>
    <x v="9"/>
    <x v="31"/>
    <n v="259"/>
    <n v="1"/>
    <n v="28"/>
  </r>
  <r>
    <x v="0"/>
    <x v="10"/>
    <x v="0"/>
    <n v="380"/>
    <m/>
    <n v="45"/>
  </r>
  <r>
    <x v="0"/>
    <x v="10"/>
    <x v="1"/>
    <n v="323"/>
    <n v="2"/>
    <n v="31"/>
  </r>
  <r>
    <x v="0"/>
    <x v="10"/>
    <x v="2"/>
    <n v="142"/>
    <m/>
    <n v="12"/>
  </r>
  <r>
    <x v="0"/>
    <x v="10"/>
    <x v="3"/>
    <n v="149"/>
    <n v="1"/>
    <n v="14"/>
  </r>
  <r>
    <x v="0"/>
    <x v="10"/>
    <x v="4"/>
    <n v="693"/>
    <n v="1"/>
    <n v="90"/>
  </r>
  <r>
    <x v="0"/>
    <x v="10"/>
    <x v="5"/>
    <n v="62"/>
    <m/>
    <n v="8"/>
  </r>
  <r>
    <x v="0"/>
    <x v="10"/>
    <x v="6"/>
    <n v="199"/>
    <m/>
    <n v="8"/>
  </r>
  <r>
    <x v="0"/>
    <x v="10"/>
    <x v="7"/>
    <n v="261"/>
    <m/>
    <n v="25"/>
  </r>
  <r>
    <x v="0"/>
    <x v="10"/>
    <x v="8"/>
    <n v="144"/>
    <n v="1"/>
    <n v="14"/>
  </r>
  <r>
    <x v="0"/>
    <x v="10"/>
    <x v="9"/>
    <n v="106"/>
    <m/>
    <n v="14"/>
  </r>
  <r>
    <x v="0"/>
    <x v="10"/>
    <x v="10"/>
    <n v="104"/>
    <m/>
    <n v="7"/>
  </r>
  <r>
    <x v="0"/>
    <x v="10"/>
    <x v="11"/>
    <n v="100"/>
    <m/>
    <n v="12"/>
  </r>
  <r>
    <x v="0"/>
    <x v="10"/>
    <x v="12"/>
    <n v="216"/>
    <n v="2"/>
    <n v="15"/>
  </r>
  <r>
    <x v="0"/>
    <x v="10"/>
    <x v="13"/>
    <n v="386"/>
    <n v="1"/>
    <n v="38"/>
  </r>
  <r>
    <x v="0"/>
    <x v="10"/>
    <x v="14"/>
    <n v="1150"/>
    <n v="3"/>
    <n v="133"/>
  </r>
  <r>
    <x v="0"/>
    <x v="10"/>
    <x v="15"/>
    <n v="287"/>
    <m/>
    <n v="33"/>
  </r>
  <r>
    <x v="0"/>
    <x v="10"/>
    <x v="16"/>
    <n v="104"/>
    <m/>
    <n v="21"/>
  </r>
  <r>
    <x v="0"/>
    <x v="10"/>
    <x v="17"/>
    <n v="110"/>
    <m/>
    <n v="10"/>
  </r>
  <r>
    <x v="0"/>
    <x v="10"/>
    <x v="18"/>
    <n v="135"/>
    <m/>
    <n v="20"/>
  </r>
  <r>
    <x v="0"/>
    <x v="10"/>
    <x v="19"/>
    <n v="36"/>
    <m/>
    <n v="9"/>
  </r>
  <r>
    <x v="0"/>
    <x v="10"/>
    <x v="20"/>
    <n v="215"/>
    <n v="1"/>
    <n v="18"/>
  </r>
  <r>
    <x v="0"/>
    <x v="10"/>
    <x v="21"/>
    <n v="401"/>
    <n v="5"/>
    <n v="58"/>
  </r>
  <r>
    <x v="0"/>
    <x v="10"/>
    <x v="22"/>
    <n v="34"/>
    <n v="1"/>
    <n v="2"/>
  </r>
  <r>
    <x v="0"/>
    <x v="10"/>
    <x v="23"/>
    <n v="221"/>
    <m/>
    <n v="35"/>
  </r>
  <r>
    <x v="0"/>
    <x v="10"/>
    <x v="24"/>
    <n v="237"/>
    <m/>
    <n v="20"/>
  </r>
  <r>
    <x v="0"/>
    <x v="10"/>
    <x v="25"/>
    <n v="169"/>
    <m/>
    <n v="29"/>
  </r>
  <r>
    <x v="0"/>
    <x v="10"/>
    <x v="26"/>
    <n v="27"/>
    <n v="1"/>
    <n v="5"/>
  </r>
  <r>
    <x v="0"/>
    <x v="10"/>
    <x v="27"/>
    <n v="158"/>
    <n v="1"/>
    <n v="19"/>
  </r>
  <r>
    <x v="0"/>
    <x v="10"/>
    <x v="28"/>
    <n v="376"/>
    <n v="2"/>
    <n v="57"/>
  </r>
  <r>
    <x v="0"/>
    <x v="10"/>
    <x v="29"/>
    <n v="125"/>
    <n v="1"/>
    <n v="8"/>
  </r>
  <r>
    <x v="0"/>
    <x v="10"/>
    <x v="30"/>
    <n v="158"/>
    <m/>
    <n v="22"/>
  </r>
  <r>
    <x v="0"/>
    <x v="10"/>
    <x v="31"/>
    <n v="200"/>
    <n v="2"/>
    <n v="28"/>
  </r>
  <r>
    <x v="0"/>
    <x v="10"/>
    <x v="32"/>
    <n v="1"/>
    <m/>
    <m/>
  </r>
  <r>
    <x v="0"/>
    <x v="11"/>
    <x v="0"/>
    <n v="330"/>
    <n v="3"/>
    <n v="26"/>
  </r>
  <r>
    <x v="0"/>
    <x v="11"/>
    <x v="1"/>
    <n v="330"/>
    <n v="1"/>
    <n v="23"/>
  </r>
  <r>
    <x v="0"/>
    <x v="11"/>
    <x v="2"/>
    <n v="130"/>
    <m/>
    <n v="20"/>
  </r>
  <r>
    <x v="0"/>
    <x v="11"/>
    <x v="3"/>
    <n v="145"/>
    <n v="1"/>
    <n v="10"/>
  </r>
  <r>
    <x v="0"/>
    <x v="11"/>
    <x v="4"/>
    <n v="579"/>
    <n v="2"/>
    <n v="60"/>
  </r>
  <r>
    <x v="0"/>
    <x v="11"/>
    <x v="5"/>
    <n v="73"/>
    <n v="2"/>
    <n v="19"/>
  </r>
  <r>
    <x v="0"/>
    <x v="11"/>
    <x v="6"/>
    <n v="164"/>
    <n v="1"/>
    <n v="5"/>
  </r>
  <r>
    <x v="0"/>
    <x v="11"/>
    <x v="7"/>
    <n v="261"/>
    <n v="3"/>
    <n v="32"/>
  </r>
  <r>
    <x v="0"/>
    <x v="11"/>
    <x v="8"/>
    <n v="155"/>
    <n v="2"/>
    <n v="22"/>
  </r>
  <r>
    <x v="0"/>
    <x v="11"/>
    <x v="9"/>
    <n v="96"/>
    <n v="1"/>
    <n v="7"/>
  </r>
  <r>
    <x v="0"/>
    <x v="11"/>
    <x v="10"/>
    <n v="108"/>
    <n v="1"/>
    <n v="7"/>
  </r>
  <r>
    <x v="0"/>
    <x v="11"/>
    <x v="11"/>
    <n v="65"/>
    <m/>
    <n v="5"/>
  </r>
  <r>
    <x v="0"/>
    <x v="11"/>
    <x v="12"/>
    <n v="203"/>
    <m/>
    <n v="34"/>
  </r>
  <r>
    <x v="0"/>
    <x v="11"/>
    <x v="13"/>
    <n v="419"/>
    <n v="2"/>
    <n v="47"/>
  </r>
  <r>
    <x v="0"/>
    <x v="11"/>
    <x v="14"/>
    <n v="991"/>
    <n v="9"/>
    <n v="157"/>
  </r>
  <r>
    <x v="0"/>
    <x v="11"/>
    <x v="15"/>
    <n v="337"/>
    <n v="1"/>
    <n v="24"/>
  </r>
  <r>
    <x v="0"/>
    <x v="11"/>
    <x v="16"/>
    <n v="111"/>
    <n v="1"/>
    <n v="24"/>
  </r>
  <r>
    <x v="0"/>
    <x v="11"/>
    <x v="17"/>
    <n v="118"/>
    <n v="2"/>
    <n v="11"/>
  </r>
  <r>
    <x v="0"/>
    <x v="11"/>
    <x v="18"/>
    <n v="113"/>
    <n v="1"/>
    <n v="10"/>
  </r>
  <r>
    <x v="0"/>
    <x v="11"/>
    <x v="19"/>
    <n v="39"/>
    <m/>
    <n v="4"/>
  </r>
  <r>
    <x v="0"/>
    <x v="11"/>
    <x v="20"/>
    <n v="193"/>
    <m/>
    <n v="34"/>
  </r>
  <r>
    <x v="0"/>
    <x v="11"/>
    <x v="21"/>
    <n v="472"/>
    <n v="1"/>
    <n v="70"/>
  </r>
  <r>
    <x v="0"/>
    <x v="11"/>
    <x v="22"/>
    <n v="17"/>
    <m/>
    <n v="1"/>
  </r>
  <r>
    <x v="0"/>
    <x v="11"/>
    <x v="23"/>
    <n v="201"/>
    <m/>
    <n v="27"/>
  </r>
  <r>
    <x v="0"/>
    <x v="11"/>
    <x v="24"/>
    <n v="217"/>
    <m/>
    <n v="37"/>
  </r>
  <r>
    <x v="0"/>
    <x v="11"/>
    <x v="25"/>
    <n v="155"/>
    <n v="2"/>
    <n v="15"/>
  </r>
  <r>
    <x v="0"/>
    <x v="11"/>
    <x v="26"/>
    <n v="51"/>
    <n v="1"/>
    <n v="3"/>
  </r>
  <r>
    <x v="0"/>
    <x v="11"/>
    <x v="27"/>
    <n v="128"/>
    <n v="1"/>
    <n v="20"/>
  </r>
  <r>
    <x v="0"/>
    <x v="11"/>
    <x v="28"/>
    <n v="368"/>
    <n v="2"/>
    <n v="54"/>
  </r>
  <r>
    <x v="0"/>
    <x v="11"/>
    <x v="29"/>
    <n v="117"/>
    <m/>
    <n v="8"/>
  </r>
  <r>
    <x v="0"/>
    <x v="11"/>
    <x v="30"/>
    <n v="138"/>
    <n v="1"/>
    <n v="20"/>
  </r>
  <r>
    <x v="0"/>
    <x v="11"/>
    <x v="31"/>
    <n v="187"/>
    <n v="2"/>
    <n v="25"/>
  </r>
  <r>
    <x v="1"/>
    <x v="0"/>
    <x v="0"/>
    <n v="198"/>
    <m/>
    <n v="15"/>
  </r>
  <r>
    <x v="1"/>
    <x v="0"/>
    <x v="1"/>
    <n v="64"/>
    <m/>
    <n v="6"/>
  </r>
  <r>
    <x v="1"/>
    <x v="0"/>
    <x v="2"/>
    <n v="25"/>
    <m/>
    <n v="3"/>
  </r>
  <r>
    <x v="1"/>
    <x v="0"/>
    <x v="3"/>
    <n v="35"/>
    <m/>
    <m/>
  </r>
  <r>
    <x v="1"/>
    <x v="0"/>
    <x v="4"/>
    <n v="623"/>
    <n v="1"/>
    <n v="39"/>
  </r>
  <r>
    <x v="1"/>
    <x v="0"/>
    <x v="5"/>
    <n v="42"/>
    <m/>
    <m/>
  </r>
  <r>
    <x v="1"/>
    <x v="0"/>
    <x v="6"/>
    <n v="53"/>
    <m/>
    <n v="2"/>
  </r>
  <r>
    <x v="1"/>
    <x v="0"/>
    <x v="7"/>
    <n v="102"/>
    <m/>
    <n v="6"/>
  </r>
  <r>
    <x v="1"/>
    <x v="0"/>
    <x v="8"/>
    <n v="118"/>
    <m/>
    <n v="1"/>
  </r>
  <r>
    <x v="1"/>
    <x v="0"/>
    <x v="9"/>
    <n v="82"/>
    <m/>
    <n v="4"/>
  </r>
  <r>
    <x v="1"/>
    <x v="0"/>
    <x v="10"/>
    <n v="86"/>
    <n v="1"/>
    <n v="6"/>
  </r>
  <r>
    <x v="1"/>
    <x v="0"/>
    <x v="11"/>
    <n v="64"/>
    <m/>
    <m/>
  </r>
  <r>
    <x v="1"/>
    <x v="0"/>
    <x v="12"/>
    <n v="73"/>
    <m/>
    <n v="3"/>
  </r>
  <r>
    <x v="1"/>
    <x v="0"/>
    <x v="13"/>
    <n v="188"/>
    <m/>
    <n v="6"/>
  </r>
  <r>
    <x v="1"/>
    <x v="0"/>
    <x v="14"/>
    <n v="846"/>
    <n v="1"/>
    <n v="23"/>
  </r>
  <r>
    <x v="1"/>
    <x v="0"/>
    <x v="15"/>
    <n v="52"/>
    <m/>
    <n v="5"/>
  </r>
  <r>
    <x v="1"/>
    <x v="0"/>
    <x v="16"/>
    <n v="150"/>
    <n v="1"/>
    <n v="16"/>
  </r>
  <r>
    <x v="1"/>
    <x v="0"/>
    <x v="17"/>
    <n v="81"/>
    <m/>
    <n v="6"/>
  </r>
  <r>
    <x v="1"/>
    <x v="0"/>
    <x v="18"/>
    <n v="31"/>
    <m/>
    <n v="4"/>
  </r>
  <r>
    <x v="1"/>
    <x v="0"/>
    <x v="19"/>
    <n v="3"/>
    <m/>
    <m/>
  </r>
  <r>
    <x v="1"/>
    <x v="0"/>
    <x v="20"/>
    <n v="117"/>
    <m/>
    <n v="4"/>
  </r>
  <r>
    <x v="1"/>
    <x v="0"/>
    <x v="21"/>
    <n v="479"/>
    <n v="1"/>
    <n v="6"/>
  </r>
  <r>
    <x v="1"/>
    <x v="0"/>
    <x v="22"/>
    <n v="1"/>
    <m/>
    <m/>
  </r>
  <r>
    <x v="1"/>
    <x v="0"/>
    <x v="23"/>
    <n v="38"/>
    <n v="1"/>
    <m/>
  </r>
  <r>
    <x v="1"/>
    <x v="0"/>
    <x v="24"/>
    <n v="197"/>
    <n v="1"/>
    <n v="1"/>
  </r>
  <r>
    <x v="1"/>
    <x v="0"/>
    <x v="25"/>
    <n v="42"/>
    <m/>
    <n v="2"/>
  </r>
  <r>
    <x v="1"/>
    <x v="0"/>
    <x v="26"/>
    <n v="2"/>
    <m/>
    <m/>
  </r>
  <r>
    <x v="1"/>
    <x v="0"/>
    <x v="27"/>
    <n v="60"/>
    <m/>
    <n v="1"/>
  </r>
  <r>
    <x v="1"/>
    <x v="0"/>
    <x v="28"/>
    <n v="297"/>
    <m/>
    <n v="8"/>
  </r>
  <r>
    <x v="1"/>
    <x v="0"/>
    <x v="29"/>
    <n v="42"/>
    <m/>
    <n v="2"/>
  </r>
  <r>
    <x v="1"/>
    <x v="0"/>
    <x v="30"/>
    <n v="163"/>
    <m/>
    <n v="1"/>
  </r>
  <r>
    <x v="1"/>
    <x v="0"/>
    <x v="31"/>
    <n v="261"/>
    <m/>
    <n v="11"/>
  </r>
  <r>
    <x v="1"/>
    <x v="1"/>
    <x v="0"/>
    <n v="210"/>
    <m/>
    <n v="15"/>
  </r>
  <r>
    <x v="1"/>
    <x v="1"/>
    <x v="1"/>
    <n v="66"/>
    <m/>
    <n v="5"/>
  </r>
  <r>
    <x v="1"/>
    <x v="1"/>
    <x v="2"/>
    <n v="29"/>
    <m/>
    <n v="4"/>
  </r>
  <r>
    <x v="1"/>
    <x v="1"/>
    <x v="3"/>
    <n v="41"/>
    <m/>
    <n v="3"/>
  </r>
  <r>
    <x v="1"/>
    <x v="1"/>
    <x v="4"/>
    <n v="444"/>
    <m/>
    <n v="26"/>
  </r>
  <r>
    <x v="1"/>
    <x v="1"/>
    <x v="5"/>
    <n v="45"/>
    <m/>
    <n v="1"/>
  </r>
  <r>
    <x v="1"/>
    <x v="1"/>
    <x v="6"/>
    <n v="68"/>
    <m/>
    <n v="3"/>
  </r>
  <r>
    <x v="1"/>
    <x v="1"/>
    <x v="7"/>
    <n v="104"/>
    <m/>
    <n v="9"/>
  </r>
  <r>
    <x v="1"/>
    <x v="1"/>
    <x v="8"/>
    <n v="94"/>
    <n v="1"/>
    <n v="8"/>
  </r>
  <r>
    <x v="1"/>
    <x v="1"/>
    <x v="9"/>
    <n v="52"/>
    <m/>
    <n v="5"/>
  </r>
  <r>
    <x v="1"/>
    <x v="1"/>
    <x v="10"/>
    <n v="59"/>
    <m/>
    <n v="1"/>
  </r>
  <r>
    <x v="1"/>
    <x v="1"/>
    <x v="11"/>
    <n v="41"/>
    <m/>
    <n v="5"/>
  </r>
  <r>
    <x v="1"/>
    <x v="1"/>
    <x v="12"/>
    <n v="86"/>
    <m/>
    <n v="3"/>
  </r>
  <r>
    <x v="1"/>
    <x v="1"/>
    <x v="13"/>
    <n v="178"/>
    <n v="1"/>
    <n v="4"/>
  </r>
  <r>
    <x v="1"/>
    <x v="1"/>
    <x v="14"/>
    <n v="777"/>
    <m/>
    <n v="44"/>
  </r>
  <r>
    <x v="1"/>
    <x v="1"/>
    <x v="15"/>
    <n v="50"/>
    <m/>
    <n v="4"/>
  </r>
  <r>
    <x v="1"/>
    <x v="1"/>
    <x v="16"/>
    <n v="146"/>
    <m/>
    <n v="12"/>
  </r>
  <r>
    <x v="1"/>
    <x v="1"/>
    <x v="17"/>
    <n v="73"/>
    <m/>
    <n v="3"/>
  </r>
  <r>
    <x v="1"/>
    <x v="1"/>
    <x v="18"/>
    <n v="24"/>
    <m/>
    <n v="4"/>
  </r>
  <r>
    <x v="1"/>
    <x v="1"/>
    <x v="19"/>
    <n v="4"/>
    <m/>
    <m/>
  </r>
  <r>
    <x v="1"/>
    <x v="1"/>
    <x v="20"/>
    <n v="123"/>
    <m/>
    <n v="11"/>
  </r>
  <r>
    <x v="1"/>
    <x v="1"/>
    <x v="21"/>
    <n v="358"/>
    <m/>
    <n v="20"/>
  </r>
  <r>
    <x v="1"/>
    <x v="1"/>
    <x v="22"/>
    <n v="4"/>
    <m/>
    <m/>
  </r>
  <r>
    <x v="1"/>
    <x v="1"/>
    <x v="23"/>
    <n v="26"/>
    <m/>
    <m/>
  </r>
  <r>
    <x v="1"/>
    <x v="1"/>
    <x v="24"/>
    <n v="195"/>
    <m/>
    <n v="12"/>
  </r>
  <r>
    <x v="1"/>
    <x v="1"/>
    <x v="25"/>
    <n v="62"/>
    <m/>
    <n v="4"/>
  </r>
  <r>
    <x v="1"/>
    <x v="1"/>
    <x v="26"/>
    <n v="2"/>
    <m/>
    <m/>
  </r>
  <r>
    <x v="1"/>
    <x v="1"/>
    <x v="27"/>
    <n v="49"/>
    <m/>
    <n v="2"/>
  </r>
  <r>
    <x v="1"/>
    <x v="1"/>
    <x v="28"/>
    <n v="313"/>
    <n v="1"/>
    <n v="14"/>
  </r>
  <r>
    <x v="1"/>
    <x v="1"/>
    <x v="29"/>
    <n v="32"/>
    <m/>
    <n v="1"/>
  </r>
  <r>
    <x v="1"/>
    <x v="1"/>
    <x v="30"/>
    <n v="114"/>
    <n v="1"/>
    <m/>
  </r>
  <r>
    <x v="1"/>
    <x v="1"/>
    <x v="31"/>
    <n v="215"/>
    <m/>
    <n v="8"/>
  </r>
  <r>
    <x v="1"/>
    <x v="2"/>
    <x v="0"/>
    <n v="180"/>
    <m/>
    <n v="16"/>
  </r>
  <r>
    <x v="1"/>
    <x v="2"/>
    <x v="1"/>
    <n v="64"/>
    <m/>
    <n v="3"/>
  </r>
  <r>
    <x v="1"/>
    <x v="2"/>
    <x v="2"/>
    <n v="21"/>
    <m/>
    <n v="2"/>
  </r>
  <r>
    <x v="1"/>
    <x v="2"/>
    <x v="3"/>
    <n v="31"/>
    <n v="3"/>
    <n v="2"/>
  </r>
  <r>
    <x v="1"/>
    <x v="2"/>
    <x v="4"/>
    <n v="438"/>
    <m/>
    <n v="50"/>
  </r>
  <r>
    <x v="1"/>
    <x v="2"/>
    <x v="5"/>
    <n v="20"/>
    <m/>
    <n v="1"/>
  </r>
  <r>
    <x v="1"/>
    <x v="2"/>
    <x v="6"/>
    <n v="62"/>
    <m/>
    <n v="2"/>
  </r>
  <r>
    <x v="1"/>
    <x v="2"/>
    <x v="7"/>
    <n v="95"/>
    <m/>
    <n v="9"/>
  </r>
  <r>
    <x v="1"/>
    <x v="2"/>
    <x v="8"/>
    <n v="98"/>
    <m/>
    <n v="2"/>
  </r>
  <r>
    <x v="1"/>
    <x v="2"/>
    <x v="9"/>
    <n v="40"/>
    <m/>
    <m/>
  </r>
  <r>
    <x v="1"/>
    <x v="2"/>
    <x v="10"/>
    <n v="68"/>
    <m/>
    <n v="6"/>
  </r>
  <r>
    <x v="1"/>
    <x v="2"/>
    <x v="11"/>
    <n v="46"/>
    <m/>
    <n v="6"/>
  </r>
  <r>
    <x v="1"/>
    <x v="2"/>
    <x v="12"/>
    <n v="98"/>
    <m/>
    <m/>
  </r>
  <r>
    <x v="1"/>
    <x v="2"/>
    <x v="13"/>
    <n v="186"/>
    <n v="1"/>
    <n v="9"/>
  </r>
  <r>
    <x v="1"/>
    <x v="2"/>
    <x v="14"/>
    <n v="722"/>
    <n v="2"/>
    <n v="52"/>
  </r>
  <r>
    <x v="1"/>
    <x v="2"/>
    <x v="15"/>
    <n v="46"/>
    <m/>
    <m/>
  </r>
  <r>
    <x v="1"/>
    <x v="2"/>
    <x v="16"/>
    <n v="121"/>
    <n v="1"/>
    <n v="9"/>
  </r>
  <r>
    <x v="1"/>
    <x v="2"/>
    <x v="17"/>
    <n v="92"/>
    <m/>
    <n v="6"/>
  </r>
  <r>
    <x v="1"/>
    <x v="2"/>
    <x v="18"/>
    <n v="33"/>
    <m/>
    <n v="7"/>
  </r>
  <r>
    <x v="1"/>
    <x v="2"/>
    <x v="20"/>
    <n v="91"/>
    <m/>
    <n v="4"/>
  </r>
  <r>
    <x v="1"/>
    <x v="2"/>
    <x v="21"/>
    <n v="336"/>
    <m/>
    <n v="16"/>
  </r>
  <r>
    <x v="1"/>
    <x v="2"/>
    <x v="22"/>
    <n v="1"/>
    <m/>
    <m/>
  </r>
  <r>
    <x v="1"/>
    <x v="2"/>
    <x v="23"/>
    <n v="53"/>
    <m/>
    <n v="6"/>
  </r>
  <r>
    <x v="1"/>
    <x v="2"/>
    <x v="24"/>
    <n v="160"/>
    <m/>
    <n v="9"/>
  </r>
  <r>
    <x v="1"/>
    <x v="2"/>
    <x v="25"/>
    <n v="39"/>
    <m/>
    <n v="2"/>
  </r>
  <r>
    <x v="1"/>
    <x v="2"/>
    <x v="27"/>
    <n v="39"/>
    <n v="1"/>
    <n v="5"/>
  </r>
  <r>
    <x v="1"/>
    <x v="2"/>
    <x v="28"/>
    <n v="240"/>
    <m/>
    <n v="18"/>
  </r>
  <r>
    <x v="1"/>
    <x v="2"/>
    <x v="29"/>
    <n v="43"/>
    <m/>
    <n v="8"/>
  </r>
  <r>
    <x v="1"/>
    <x v="2"/>
    <x v="30"/>
    <n v="131"/>
    <m/>
    <n v="6"/>
  </r>
  <r>
    <x v="1"/>
    <x v="2"/>
    <x v="31"/>
    <n v="186"/>
    <m/>
    <n v="25"/>
  </r>
  <r>
    <x v="1"/>
    <x v="3"/>
    <x v="0"/>
    <n v="134"/>
    <m/>
    <n v="10"/>
  </r>
  <r>
    <x v="1"/>
    <x v="3"/>
    <x v="1"/>
    <n v="58"/>
    <n v="1"/>
    <n v="3"/>
  </r>
  <r>
    <x v="1"/>
    <x v="3"/>
    <x v="2"/>
    <n v="27"/>
    <m/>
    <n v="5"/>
  </r>
  <r>
    <x v="1"/>
    <x v="3"/>
    <x v="3"/>
    <n v="22"/>
    <m/>
    <m/>
  </r>
  <r>
    <x v="1"/>
    <x v="3"/>
    <x v="4"/>
    <n v="286"/>
    <n v="2"/>
    <n v="32"/>
  </r>
  <r>
    <x v="1"/>
    <x v="3"/>
    <x v="5"/>
    <n v="25"/>
    <m/>
    <n v="2"/>
  </r>
  <r>
    <x v="1"/>
    <x v="3"/>
    <x v="6"/>
    <n v="38"/>
    <m/>
    <n v="5"/>
  </r>
  <r>
    <x v="1"/>
    <x v="3"/>
    <x v="7"/>
    <n v="73"/>
    <m/>
    <n v="2"/>
  </r>
  <r>
    <x v="1"/>
    <x v="3"/>
    <x v="8"/>
    <n v="62"/>
    <m/>
    <n v="1"/>
  </r>
  <r>
    <x v="1"/>
    <x v="3"/>
    <x v="9"/>
    <n v="57"/>
    <m/>
    <n v="3"/>
  </r>
  <r>
    <x v="1"/>
    <x v="3"/>
    <x v="10"/>
    <n v="44"/>
    <n v="1"/>
    <n v="4"/>
  </r>
  <r>
    <x v="1"/>
    <x v="3"/>
    <x v="11"/>
    <n v="43"/>
    <m/>
    <n v="6"/>
  </r>
  <r>
    <x v="1"/>
    <x v="3"/>
    <x v="12"/>
    <n v="70"/>
    <m/>
    <n v="3"/>
  </r>
  <r>
    <x v="1"/>
    <x v="3"/>
    <x v="13"/>
    <n v="156"/>
    <m/>
    <n v="4"/>
  </r>
  <r>
    <x v="1"/>
    <x v="3"/>
    <x v="14"/>
    <n v="593"/>
    <n v="1"/>
    <n v="37"/>
  </r>
  <r>
    <x v="1"/>
    <x v="3"/>
    <x v="15"/>
    <n v="26"/>
    <m/>
    <n v="2"/>
  </r>
  <r>
    <x v="1"/>
    <x v="3"/>
    <x v="16"/>
    <n v="59"/>
    <m/>
    <m/>
  </r>
  <r>
    <x v="1"/>
    <x v="3"/>
    <x v="17"/>
    <n v="43"/>
    <n v="1"/>
    <n v="1"/>
  </r>
  <r>
    <x v="1"/>
    <x v="3"/>
    <x v="18"/>
    <n v="16"/>
    <m/>
    <n v="4"/>
  </r>
  <r>
    <x v="1"/>
    <x v="3"/>
    <x v="19"/>
    <n v="10"/>
    <m/>
    <m/>
  </r>
  <r>
    <x v="1"/>
    <x v="3"/>
    <x v="20"/>
    <n v="53"/>
    <m/>
    <n v="4"/>
  </r>
  <r>
    <x v="1"/>
    <x v="3"/>
    <x v="21"/>
    <n v="284"/>
    <m/>
    <n v="17"/>
  </r>
  <r>
    <x v="1"/>
    <x v="3"/>
    <x v="22"/>
    <n v="1"/>
    <m/>
    <m/>
  </r>
  <r>
    <x v="1"/>
    <x v="3"/>
    <x v="23"/>
    <n v="31"/>
    <m/>
    <m/>
  </r>
  <r>
    <x v="1"/>
    <x v="3"/>
    <x v="24"/>
    <n v="128"/>
    <n v="1"/>
    <n v="6"/>
  </r>
  <r>
    <x v="1"/>
    <x v="3"/>
    <x v="25"/>
    <n v="24"/>
    <m/>
    <n v="3"/>
  </r>
  <r>
    <x v="1"/>
    <x v="3"/>
    <x v="26"/>
    <n v="1"/>
    <m/>
    <m/>
  </r>
  <r>
    <x v="1"/>
    <x v="3"/>
    <x v="27"/>
    <n v="38"/>
    <m/>
    <n v="3"/>
  </r>
  <r>
    <x v="1"/>
    <x v="3"/>
    <x v="28"/>
    <n v="187"/>
    <m/>
    <n v="12"/>
  </r>
  <r>
    <x v="1"/>
    <x v="3"/>
    <x v="29"/>
    <n v="27"/>
    <m/>
    <n v="1"/>
  </r>
  <r>
    <x v="1"/>
    <x v="3"/>
    <x v="30"/>
    <n v="121"/>
    <m/>
    <n v="15"/>
  </r>
  <r>
    <x v="1"/>
    <x v="3"/>
    <x v="31"/>
    <n v="96"/>
    <m/>
    <n v="9"/>
  </r>
  <r>
    <x v="1"/>
    <x v="4"/>
    <x v="0"/>
    <n v="142"/>
    <m/>
    <n v="6"/>
  </r>
  <r>
    <x v="1"/>
    <x v="4"/>
    <x v="1"/>
    <n v="47"/>
    <m/>
    <n v="2"/>
  </r>
  <r>
    <x v="1"/>
    <x v="4"/>
    <x v="2"/>
    <n v="23"/>
    <m/>
    <n v="1"/>
  </r>
  <r>
    <x v="1"/>
    <x v="4"/>
    <x v="3"/>
    <n v="17"/>
    <m/>
    <n v="2"/>
  </r>
  <r>
    <x v="1"/>
    <x v="4"/>
    <x v="4"/>
    <n v="352"/>
    <n v="1"/>
    <n v="33"/>
  </r>
  <r>
    <x v="1"/>
    <x v="4"/>
    <x v="5"/>
    <n v="21"/>
    <m/>
    <n v="1"/>
  </r>
  <r>
    <x v="1"/>
    <x v="4"/>
    <x v="6"/>
    <n v="33"/>
    <m/>
    <m/>
  </r>
  <r>
    <x v="1"/>
    <x v="4"/>
    <x v="7"/>
    <n v="52"/>
    <m/>
    <n v="4"/>
  </r>
  <r>
    <x v="1"/>
    <x v="4"/>
    <x v="8"/>
    <n v="64"/>
    <n v="1"/>
    <n v="6"/>
  </r>
  <r>
    <x v="1"/>
    <x v="4"/>
    <x v="9"/>
    <n v="34"/>
    <m/>
    <n v="5"/>
  </r>
  <r>
    <x v="1"/>
    <x v="4"/>
    <x v="10"/>
    <n v="36"/>
    <m/>
    <n v="1"/>
  </r>
  <r>
    <x v="1"/>
    <x v="4"/>
    <x v="11"/>
    <n v="26"/>
    <m/>
    <m/>
  </r>
  <r>
    <x v="1"/>
    <x v="4"/>
    <x v="12"/>
    <n v="78"/>
    <m/>
    <n v="3"/>
  </r>
  <r>
    <x v="1"/>
    <x v="4"/>
    <x v="13"/>
    <n v="98"/>
    <m/>
    <n v="5"/>
  </r>
  <r>
    <x v="1"/>
    <x v="4"/>
    <x v="14"/>
    <n v="483"/>
    <n v="2"/>
    <n v="21"/>
  </r>
  <r>
    <x v="1"/>
    <x v="4"/>
    <x v="15"/>
    <n v="34"/>
    <m/>
    <n v="1"/>
  </r>
  <r>
    <x v="1"/>
    <x v="4"/>
    <x v="16"/>
    <n v="63"/>
    <m/>
    <n v="9"/>
  </r>
  <r>
    <x v="1"/>
    <x v="4"/>
    <x v="17"/>
    <n v="44"/>
    <m/>
    <n v="2"/>
  </r>
  <r>
    <x v="1"/>
    <x v="4"/>
    <x v="18"/>
    <n v="29"/>
    <m/>
    <n v="4"/>
  </r>
  <r>
    <x v="1"/>
    <x v="4"/>
    <x v="19"/>
    <n v="1"/>
    <m/>
    <m/>
  </r>
  <r>
    <x v="1"/>
    <x v="4"/>
    <x v="20"/>
    <n v="47"/>
    <m/>
    <n v="4"/>
  </r>
  <r>
    <x v="1"/>
    <x v="4"/>
    <x v="21"/>
    <n v="253"/>
    <m/>
    <n v="32"/>
  </r>
  <r>
    <x v="1"/>
    <x v="4"/>
    <x v="22"/>
    <n v="2"/>
    <m/>
    <m/>
  </r>
  <r>
    <x v="1"/>
    <x v="4"/>
    <x v="23"/>
    <n v="34"/>
    <m/>
    <n v="10"/>
  </r>
  <r>
    <x v="1"/>
    <x v="4"/>
    <x v="24"/>
    <n v="116"/>
    <m/>
    <n v="12"/>
  </r>
  <r>
    <x v="1"/>
    <x v="4"/>
    <x v="25"/>
    <n v="31"/>
    <m/>
    <n v="2"/>
  </r>
  <r>
    <x v="1"/>
    <x v="4"/>
    <x v="26"/>
    <n v="1"/>
    <m/>
    <m/>
  </r>
  <r>
    <x v="1"/>
    <x v="4"/>
    <x v="27"/>
    <n v="29"/>
    <m/>
    <n v="3"/>
  </r>
  <r>
    <x v="1"/>
    <x v="4"/>
    <x v="28"/>
    <n v="142"/>
    <m/>
    <n v="7"/>
  </r>
  <r>
    <x v="1"/>
    <x v="4"/>
    <x v="29"/>
    <n v="26"/>
    <n v="1"/>
    <n v="5"/>
  </r>
  <r>
    <x v="1"/>
    <x v="4"/>
    <x v="30"/>
    <n v="91"/>
    <m/>
    <n v="4"/>
  </r>
  <r>
    <x v="1"/>
    <x v="4"/>
    <x v="31"/>
    <n v="131"/>
    <m/>
    <n v="7"/>
  </r>
  <r>
    <x v="1"/>
    <x v="5"/>
    <x v="0"/>
    <n v="121"/>
    <n v="1"/>
    <n v="3"/>
  </r>
  <r>
    <x v="1"/>
    <x v="5"/>
    <x v="1"/>
    <n v="63"/>
    <m/>
    <n v="3"/>
  </r>
  <r>
    <x v="1"/>
    <x v="5"/>
    <x v="2"/>
    <n v="29"/>
    <m/>
    <n v="2"/>
  </r>
  <r>
    <x v="1"/>
    <x v="5"/>
    <x v="3"/>
    <n v="14"/>
    <m/>
    <n v="1"/>
  </r>
  <r>
    <x v="1"/>
    <x v="5"/>
    <x v="4"/>
    <n v="318"/>
    <m/>
    <n v="22"/>
  </r>
  <r>
    <x v="1"/>
    <x v="5"/>
    <x v="5"/>
    <n v="25"/>
    <m/>
    <m/>
  </r>
  <r>
    <x v="1"/>
    <x v="5"/>
    <x v="6"/>
    <n v="22"/>
    <m/>
    <n v="1"/>
  </r>
  <r>
    <x v="1"/>
    <x v="5"/>
    <x v="7"/>
    <n v="84"/>
    <m/>
    <n v="3"/>
  </r>
  <r>
    <x v="1"/>
    <x v="5"/>
    <x v="8"/>
    <n v="43"/>
    <n v="1"/>
    <n v="4"/>
  </r>
  <r>
    <x v="1"/>
    <x v="5"/>
    <x v="9"/>
    <n v="40"/>
    <m/>
    <n v="6"/>
  </r>
  <r>
    <x v="1"/>
    <x v="5"/>
    <x v="10"/>
    <n v="44"/>
    <m/>
    <m/>
  </r>
  <r>
    <x v="1"/>
    <x v="5"/>
    <x v="11"/>
    <n v="18"/>
    <m/>
    <m/>
  </r>
  <r>
    <x v="1"/>
    <x v="5"/>
    <x v="12"/>
    <n v="71"/>
    <m/>
    <m/>
  </r>
  <r>
    <x v="1"/>
    <x v="5"/>
    <x v="13"/>
    <n v="101"/>
    <n v="1"/>
    <n v="4"/>
  </r>
  <r>
    <x v="1"/>
    <x v="5"/>
    <x v="14"/>
    <n v="416"/>
    <n v="1"/>
    <n v="27"/>
  </r>
  <r>
    <x v="1"/>
    <x v="5"/>
    <x v="15"/>
    <n v="31"/>
    <m/>
    <n v="5"/>
  </r>
  <r>
    <x v="1"/>
    <x v="5"/>
    <x v="16"/>
    <n v="69"/>
    <m/>
    <n v="2"/>
  </r>
  <r>
    <x v="1"/>
    <x v="5"/>
    <x v="17"/>
    <n v="65"/>
    <m/>
    <n v="6"/>
  </r>
  <r>
    <x v="1"/>
    <x v="5"/>
    <x v="18"/>
    <n v="19"/>
    <m/>
    <n v="2"/>
  </r>
  <r>
    <x v="1"/>
    <x v="5"/>
    <x v="19"/>
    <n v="2"/>
    <m/>
    <m/>
  </r>
  <r>
    <x v="1"/>
    <x v="5"/>
    <x v="20"/>
    <n v="59"/>
    <m/>
    <n v="5"/>
  </r>
  <r>
    <x v="1"/>
    <x v="5"/>
    <x v="21"/>
    <n v="209"/>
    <n v="1"/>
    <n v="25"/>
  </r>
  <r>
    <x v="1"/>
    <x v="5"/>
    <x v="22"/>
    <n v="6"/>
    <m/>
    <n v="1"/>
  </r>
  <r>
    <x v="1"/>
    <x v="5"/>
    <x v="23"/>
    <n v="32"/>
    <m/>
    <n v="1"/>
  </r>
  <r>
    <x v="1"/>
    <x v="5"/>
    <x v="24"/>
    <n v="99"/>
    <n v="1"/>
    <n v="4"/>
  </r>
  <r>
    <x v="1"/>
    <x v="5"/>
    <x v="25"/>
    <n v="30"/>
    <m/>
    <n v="1"/>
  </r>
  <r>
    <x v="1"/>
    <x v="5"/>
    <x v="26"/>
    <n v="3"/>
    <m/>
    <m/>
  </r>
  <r>
    <x v="1"/>
    <x v="5"/>
    <x v="27"/>
    <n v="36"/>
    <n v="1"/>
    <n v="6"/>
  </r>
  <r>
    <x v="1"/>
    <x v="5"/>
    <x v="28"/>
    <n v="160"/>
    <m/>
    <n v="11"/>
  </r>
  <r>
    <x v="1"/>
    <x v="5"/>
    <x v="29"/>
    <n v="31"/>
    <m/>
    <n v="3"/>
  </r>
  <r>
    <x v="1"/>
    <x v="5"/>
    <x v="30"/>
    <n v="52"/>
    <n v="1"/>
    <n v="2"/>
  </r>
  <r>
    <x v="1"/>
    <x v="5"/>
    <x v="31"/>
    <n v="101"/>
    <m/>
    <n v="9"/>
  </r>
  <r>
    <x v="1"/>
    <x v="6"/>
    <x v="0"/>
    <n v="118"/>
    <m/>
    <n v="12"/>
  </r>
  <r>
    <x v="1"/>
    <x v="6"/>
    <x v="1"/>
    <n v="56"/>
    <n v="2"/>
    <n v="3"/>
  </r>
  <r>
    <x v="1"/>
    <x v="6"/>
    <x v="2"/>
    <n v="25"/>
    <m/>
    <n v="9"/>
  </r>
  <r>
    <x v="1"/>
    <x v="6"/>
    <x v="3"/>
    <n v="9"/>
    <m/>
    <m/>
  </r>
  <r>
    <x v="1"/>
    <x v="6"/>
    <x v="4"/>
    <n v="337"/>
    <m/>
    <n v="25"/>
  </r>
  <r>
    <x v="1"/>
    <x v="6"/>
    <x v="5"/>
    <n v="20"/>
    <m/>
    <n v="3"/>
  </r>
  <r>
    <x v="1"/>
    <x v="6"/>
    <x v="6"/>
    <n v="34"/>
    <n v="2"/>
    <m/>
  </r>
  <r>
    <x v="1"/>
    <x v="6"/>
    <x v="7"/>
    <n v="75"/>
    <m/>
    <n v="1"/>
  </r>
  <r>
    <x v="1"/>
    <x v="6"/>
    <x v="8"/>
    <n v="62"/>
    <m/>
    <n v="3"/>
  </r>
  <r>
    <x v="1"/>
    <x v="6"/>
    <x v="9"/>
    <n v="45"/>
    <m/>
    <n v="2"/>
  </r>
  <r>
    <x v="1"/>
    <x v="6"/>
    <x v="10"/>
    <n v="63"/>
    <m/>
    <n v="1"/>
  </r>
  <r>
    <x v="1"/>
    <x v="6"/>
    <x v="11"/>
    <n v="34"/>
    <n v="1"/>
    <n v="1"/>
  </r>
  <r>
    <x v="1"/>
    <x v="6"/>
    <x v="12"/>
    <n v="82"/>
    <m/>
    <n v="5"/>
  </r>
  <r>
    <x v="1"/>
    <x v="6"/>
    <x v="13"/>
    <n v="125"/>
    <m/>
    <n v="4"/>
  </r>
  <r>
    <x v="1"/>
    <x v="6"/>
    <x v="14"/>
    <n v="440"/>
    <n v="1"/>
    <n v="35"/>
  </r>
  <r>
    <x v="1"/>
    <x v="6"/>
    <x v="15"/>
    <n v="48"/>
    <m/>
    <n v="2"/>
  </r>
  <r>
    <x v="1"/>
    <x v="6"/>
    <x v="16"/>
    <n v="62"/>
    <m/>
    <n v="6"/>
  </r>
  <r>
    <x v="1"/>
    <x v="6"/>
    <x v="17"/>
    <n v="65"/>
    <m/>
    <m/>
  </r>
  <r>
    <x v="1"/>
    <x v="6"/>
    <x v="18"/>
    <n v="16"/>
    <m/>
    <m/>
  </r>
  <r>
    <x v="1"/>
    <x v="6"/>
    <x v="19"/>
    <n v="3"/>
    <m/>
    <m/>
  </r>
  <r>
    <x v="1"/>
    <x v="6"/>
    <x v="20"/>
    <n v="52"/>
    <m/>
    <n v="6"/>
  </r>
  <r>
    <x v="1"/>
    <x v="6"/>
    <x v="21"/>
    <n v="216"/>
    <m/>
    <n v="20"/>
  </r>
  <r>
    <x v="1"/>
    <x v="6"/>
    <x v="23"/>
    <n v="32"/>
    <m/>
    <n v="2"/>
  </r>
  <r>
    <x v="1"/>
    <x v="6"/>
    <x v="24"/>
    <n v="101"/>
    <m/>
    <n v="8"/>
  </r>
  <r>
    <x v="1"/>
    <x v="6"/>
    <x v="25"/>
    <n v="42"/>
    <m/>
    <n v="1"/>
  </r>
  <r>
    <x v="1"/>
    <x v="6"/>
    <x v="26"/>
    <n v="3"/>
    <n v="1"/>
    <m/>
  </r>
  <r>
    <x v="1"/>
    <x v="6"/>
    <x v="27"/>
    <n v="35"/>
    <m/>
    <m/>
  </r>
  <r>
    <x v="1"/>
    <x v="6"/>
    <x v="28"/>
    <n v="123"/>
    <m/>
    <n v="12"/>
  </r>
  <r>
    <x v="1"/>
    <x v="6"/>
    <x v="29"/>
    <n v="49"/>
    <m/>
    <n v="7"/>
  </r>
  <r>
    <x v="1"/>
    <x v="6"/>
    <x v="30"/>
    <n v="62"/>
    <m/>
    <n v="10"/>
  </r>
  <r>
    <x v="1"/>
    <x v="6"/>
    <x v="31"/>
    <n v="153"/>
    <n v="1"/>
    <n v="5"/>
  </r>
  <r>
    <x v="1"/>
    <x v="7"/>
    <x v="0"/>
    <n v="125"/>
    <m/>
    <n v="4"/>
  </r>
  <r>
    <x v="1"/>
    <x v="7"/>
    <x v="1"/>
    <n v="55"/>
    <m/>
    <n v="3"/>
  </r>
  <r>
    <x v="1"/>
    <x v="7"/>
    <x v="2"/>
    <n v="23"/>
    <m/>
    <m/>
  </r>
  <r>
    <x v="1"/>
    <x v="7"/>
    <x v="3"/>
    <n v="9"/>
    <m/>
    <n v="5"/>
  </r>
  <r>
    <x v="1"/>
    <x v="7"/>
    <x v="4"/>
    <n v="378"/>
    <m/>
    <n v="32"/>
  </r>
  <r>
    <x v="1"/>
    <x v="7"/>
    <x v="5"/>
    <n v="13"/>
    <m/>
    <m/>
  </r>
  <r>
    <x v="1"/>
    <x v="7"/>
    <x v="6"/>
    <n v="44"/>
    <n v="1"/>
    <m/>
  </r>
  <r>
    <x v="1"/>
    <x v="7"/>
    <x v="7"/>
    <n v="71"/>
    <n v="1"/>
    <n v="9"/>
  </r>
  <r>
    <x v="1"/>
    <x v="7"/>
    <x v="8"/>
    <n v="53"/>
    <n v="1"/>
    <n v="4"/>
  </r>
  <r>
    <x v="1"/>
    <x v="7"/>
    <x v="9"/>
    <n v="49"/>
    <n v="1"/>
    <n v="4"/>
  </r>
  <r>
    <x v="1"/>
    <x v="7"/>
    <x v="10"/>
    <n v="39"/>
    <m/>
    <n v="2"/>
  </r>
  <r>
    <x v="1"/>
    <x v="7"/>
    <x v="11"/>
    <n v="26"/>
    <m/>
    <n v="1"/>
  </r>
  <r>
    <x v="1"/>
    <x v="7"/>
    <x v="12"/>
    <n v="79"/>
    <n v="1"/>
    <m/>
  </r>
  <r>
    <x v="1"/>
    <x v="7"/>
    <x v="13"/>
    <n v="180"/>
    <m/>
    <n v="9"/>
  </r>
  <r>
    <x v="1"/>
    <x v="7"/>
    <x v="14"/>
    <n v="452"/>
    <n v="1"/>
    <n v="43"/>
  </r>
  <r>
    <x v="1"/>
    <x v="7"/>
    <x v="15"/>
    <n v="32"/>
    <n v="1"/>
    <n v="5"/>
  </r>
  <r>
    <x v="1"/>
    <x v="7"/>
    <x v="16"/>
    <n v="53"/>
    <m/>
    <n v="4"/>
  </r>
  <r>
    <x v="1"/>
    <x v="7"/>
    <x v="17"/>
    <n v="78"/>
    <m/>
    <m/>
  </r>
  <r>
    <x v="1"/>
    <x v="7"/>
    <x v="18"/>
    <n v="18"/>
    <m/>
    <n v="2"/>
  </r>
  <r>
    <x v="1"/>
    <x v="7"/>
    <x v="19"/>
    <n v="1"/>
    <m/>
    <m/>
  </r>
  <r>
    <x v="1"/>
    <x v="7"/>
    <x v="20"/>
    <n v="49"/>
    <n v="1"/>
    <n v="1"/>
  </r>
  <r>
    <x v="1"/>
    <x v="7"/>
    <x v="21"/>
    <n v="224"/>
    <m/>
    <n v="31"/>
  </r>
  <r>
    <x v="1"/>
    <x v="7"/>
    <x v="22"/>
    <n v="2"/>
    <m/>
    <m/>
  </r>
  <r>
    <x v="1"/>
    <x v="7"/>
    <x v="23"/>
    <n v="33"/>
    <m/>
    <n v="9"/>
  </r>
  <r>
    <x v="1"/>
    <x v="7"/>
    <x v="24"/>
    <n v="109"/>
    <m/>
    <n v="10"/>
  </r>
  <r>
    <x v="1"/>
    <x v="7"/>
    <x v="25"/>
    <n v="33"/>
    <m/>
    <m/>
  </r>
  <r>
    <x v="1"/>
    <x v="7"/>
    <x v="26"/>
    <n v="2"/>
    <m/>
    <m/>
  </r>
  <r>
    <x v="1"/>
    <x v="7"/>
    <x v="27"/>
    <n v="36"/>
    <m/>
    <n v="6"/>
  </r>
  <r>
    <x v="1"/>
    <x v="7"/>
    <x v="28"/>
    <n v="169"/>
    <n v="1"/>
    <n v="14"/>
  </r>
  <r>
    <x v="1"/>
    <x v="7"/>
    <x v="29"/>
    <n v="53"/>
    <m/>
    <n v="5"/>
  </r>
  <r>
    <x v="1"/>
    <x v="7"/>
    <x v="30"/>
    <n v="81"/>
    <m/>
    <n v="1"/>
  </r>
  <r>
    <x v="1"/>
    <x v="7"/>
    <x v="31"/>
    <n v="126"/>
    <m/>
    <n v="9"/>
  </r>
  <r>
    <x v="1"/>
    <x v="8"/>
    <x v="0"/>
    <n v="100"/>
    <m/>
    <n v="9"/>
  </r>
  <r>
    <x v="1"/>
    <x v="8"/>
    <x v="1"/>
    <n v="49"/>
    <m/>
    <n v="2"/>
  </r>
  <r>
    <x v="1"/>
    <x v="8"/>
    <x v="2"/>
    <n v="30"/>
    <m/>
    <n v="1"/>
  </r>
  <r>
    <x v="1"/>
    <x v="8"/>
    <x v="3"/>
    <n v="27"/>
    <m/>
    <n v="3"/>
  </r>
  <r>
    <x v="1"/>
    <x v="8"/>
    <x v="4"/>
    <n v="298"/>
    <m/>
    <n v="13"/>
  </r>
  <r>
    <x v="1"/>
    <x v="8"/>
    <x v="5"/>
    <n v="24"/>
    <m/>
    <n v="1"/>
  </r>
  <r>
    <x v="1"/>
    <x v="8"/>
    <x v="6"/>
    <n v="38"/>
    <n v="1"/>
    <n v="1"/>
  </r>
  <r>
    <x v="1"/>
    <x v="8"/>
    <x v="7"/>
    <n v="73"/>
    <m/>
    <n v="4"/>
  </r>
  <r>
    <x v="1"/>
    <x v="8"/>
    <x v="8"/>
    <n v="47"/>
    <m/>
    <n v="7"/>
  </r>
  <r>
    <x v="1"/>
    <x v="8"/>
    <x v="9"/>
    <n v="57"/>
    <m/>
    <n v="1"/>
  </r>
  <r>
    <x v="1"/>
    <x v="8"/>
    <x v="10"/>
    <n v="59"/>
    <m/>
    <m/>
  </r>
  <r>
    <x v="1"/>
    <x v="8"/>
    <x v="11"/>
    <n v="19"/>
    <m/>
    <n v="2"/>
  </r>
  <r>
    <x v="1"/>
    <x v="8"/>
    <x v="12"/>
    <n v="144"/>
    <m/>
    <n v="8"/>
  </r>
  <r>
    <x v="1"/>
    <x v="8"/>
    <x v="13"/>
    <n v="151"/>
    <m/>
    <n v="3"/>
  </r>
  <r>
    <x v="1"/>
    <x v="8"/>
    <x v="14"/>
    <n v="448"/>
    <n v="1"/>
    <n v="41"/>
  </r>
  <r>
    <x v="1"/>
    <x v="8"/>
    <x v="15"/>
    <n v="23"/>
    <m/>
    <n v="1"/>
  </r>
  <r>
    <x v="1"/>
    <x v="8"/>
    <x v="16"/>
    <n v="66"/>
    <m/>
    <n v="9"/>
  </r>
  <r>
    <x v="1"/>
    <x v="8"/>
    <x v="17"/>
    <n v="95"/>
    <m/>
    <n v="1"/>
  </r>
  <r>
    <x v="1"/>
    <x v="8"/>
    <x v="18"/>
    <n v="25"/>
    <m/>
    <n v="4"/>
  </r>
  <r>
    <x v="1"/>
    <x v="8"/>
    <x v="19"/>
    <n v="3"/>
    <n v="1"/>
    <m/>
  </r>
  <r>
    <x v="1"/>
    <x v="8"/>
    <x v="20"/>
    <n v="50"/>
    <m/>
    <m/>
  </r>
  <r>
    <x v="1"/>
    <x v="8"/>
    <x v="21"/>
    <n v="209"/>
    <m/>
    <n v="11"/>
  </r>
  <r>
    <x v="1"/>
    <x v="8"/>
    <x v="23"/>
    <n v="28"/>
    <m/>
    <m/>
  </r>
  <r>
    <x v="1"/>
    <x v="8"/>
    <x v="24"/>
    <n v="113"/>
    <m/>
    <n v="11"/>
  </r>
  <r>
    <x v="1"/>
    <x v="8"/>
    <x v="25"/>
    <n v="56"/>
    <m/>
    <n v="2"/>
  </r>
  <r>
    <x v="1"/>
    <x v="8"/>
    <x v="26"/>
    <n v="1"/>
    <m/>
    <m/>
  </r>
  <r>
    <x v="1"/>
    <x v="8"/>
    <x v="27"/>
    <n v="40"/>
    <m/>
    <n v="5"/>
  </r>
  <r>
    <x v="1"/>
    <x v="8"/>
    <x v="28"/>
    <n v="183"/>
    <m/>
    <n v="18"/>
  </r>
  <r>
    <x v="1"/>
    <x v="8"/>
    <x v="29"/>
    <n v="40"/>
    <m/>
    <n v="4"/>
  </r>
  <r>
    <x v="1"/>
    <x v="8"/>
    <x v="30"/>
    <n v="70"/>
    <m/>
    <n v="7"/>
  </r>
  <r>
    <x v="1"/>
    <x v="8"/>
    <x v="31"/>
    <n v="165"/>
    <m/>
    <n v="12"/>
  </r>
  <r>
    <x v="1"/>
    <x v="9"/>
    <x v="0"/>
    <n v="86"/>
    <m/>
    <n v="10"/>
  </r>
  <r>
    <x v="1"/>
    <x v="9"/>
    <x v="1"/>
    <n v="66"/>
    <m/>
    <m/>
  </r>
  <r>
    <x v="1"/>
    <x v="9"/>
    <x v="2"/>
    <n v="16"/>
    <m/>
    <m/>
  </r>
  <r>
    <x v="1"/>
    <x v="9"/>
    <x v="3"/>
    <n v="19"/>
    <m/>
    <n v="2"/>
  </r>
  <r>
    <x v="1"/>
    <x v="9"/>
    <x v="4"/>
    <n v="254"/>
    <m/>
    <n v="23"/>
  </r>
  <r>
    <x v="1"/>
    <x v="9"/>
    <x v="5"/>
    <n v="15"/>
    <m/>
    <n v="3"/>
  </r>
  <r>
    <x v="1"/>
    <x v="9"/>
    <x v="6"/>
    <n v="33"/>
    <m/>
    <n v="1"/>
  </r>
  <r>
    <x v="1"/>
    <x v="9"/>
    <x v="7"/>
    <n v="70"/>
    <m/>
    <n v="2"/>
  </r>
  <r>
    <x v="1"/>
    <x v="9"/>
    <x v="8"/>
    <n v="59"/>
    <m/>
    <m/>
  </r>
  <r>
    <x v="1"/>
    <x v="9"/>
    <x v="9"/>
    <n v="53"/>
    <m/>
    <n v="3"/>
  </r>
  <r>
    <x v="1"/>
    <x v="9"/>
    <x v="10"/>
    <n v="70"/>
    <n v="1"/>
    <m/>
  </r>
  <r>
    <x v="1"/>
    <x v="9"/>
    <x v="11"/>
    <n v="22"/>
    <m/>
    <m/>
  </r>
  <r>
    <x v="1"/>
    <x v="9"/>
    <x v="12"/>
    <n v="88"/>
    <m/>
    <n v="8"/>
  </r>
  <r>
    <x v="1"/>
    <x v="9"/>
    <x v="13"/>
    <n v="157"/>
    <m/>
    <n v="8"/>
  </r>
  <r>
    <x v="1"/>
    <x v="9"/>
    <x v="14"/>
    <n v="470"/>
    <n v="1"/>
    <n v="35"/>
  </r>
  <r>
    <x v="1"/>
    <x v="9"/>
    <x v="15"/>
    <n v="36"/>
    <n v="1"/>
    <n v="5"/>
  </r>
  <r>
    <x v="1"/>
    <x v="9"/>
    <x v="16"/>
    <n v="45"/>
    <m/>
    <n v="4"/>
  </r>
  <r>
    <x v="1"/>
    <x v="9"/>
    <x v="17"/>
    <n v="65"/>
    <m/>
    <n v="4"/>
  </r>
  <r>
    <x v="1"/>
    <x v="9"/>
    <x v="18"/>
    <n v="27"/>
    <m/>
    <n v="1"/>
  </r>
  <r>
    <x v="1"/>
    <x v="9"/>
    <x v="19"/>
    <n v="2"/>
    <m/>
    <m/>
  </r>
  <r>
    <x v="1"/>
    <x v="9"/>
    <x v="20"/>
    <n v="70"/>
    <n v="1"/>
    <n v="4"/>
  </r>
  <r>
    <x v="1"/>
    <x v="9"/>
    <x v="21"/>
    <n v="226"/>
    <m/>
    <n v="25"/>
  </r>
  <r>
    <x v="1"/>
    <x v="9"/>
    <x v="23"/>
    <n v="31"/>
    <m/>
    <m/>
  </r>
  <r>
    <x v="1"/>
    <x v="9"/>
    <x v="24"/>
    <n v="100"/>
    <n v="1"/>
    <n v="7"/>
  </r>
  <r>
    <x v="1"/>
    <x v="9"/>
    <x v="25"/>
    <n v="57"/>
    <m/>
    <n v="2"/>
  </r>
  <r>
    <x v="1"/>
    <x v="9"/>
    <x v="26"/>
    <n v="1"/>
    <m/>
    <m/>
  </r>
  <r>
    <x v="1"/>
    <x v="9"/>
    <x v="27"/>
    <n v="24"/>
    <m/>
    <n v="2"/>
  </r>
  <r>
    <x v="1"/>
    <x v="9"/>
    <x v="28"/>
    <n v="122"/>
    <n v="1"/>
    <n v="10"/>
  </r>
  <r>
    <x v="1"/>
    <x v="9"/>
    <x v="29"/>
    <n v="34"/>
    <m/>
    <n v="5"/>
  </r>
  <r>
    <x v="1"/>
    <x v="9"/>
    <x v="30"/>
    <n v="68"/>
    <m/>
    <n v="11"/>
  </r>
  <r>
    <x v="1"/>
    <x v="9"/>
    <x v="31"/>
    <n v="118"/>
    <m/>
    <n v="14"/>
  </r>
  <r>
    <x v="1"/>
    <x v="10"/>
    <x v="0"/>
    <n v="106"/>
    <m/>
    <n v="3"/>
  </r>
  <r>
    <x v="1"/>
    <x v="10"/>
    <x v="1"/>
    <n v="86"/>
    <m/>
    <n v="1"/>
  </r>
  <r>
    <x v="1"/>
    <x v="10"/>
    <x v="2"/>
    <n v="37"/>
    <m/>
    <n v="4"/>
  </r>
  <r>
    <x v="1"/>
    <x v="10"/>
    <x v="3"/>
    <n v="13"/>
    <m/>
    <n v="5"/>
  </r>
  <r>
    <x v="1"/>
    <x v="10"/>
    <x v="4"/>
    <n v="223"/>
    <m/>
    <n v="15"/>
  </r>
  <r>
    <x v="1"/>
    <x v="10"/>
    <x v="5"/>
    <n v="20"/>
    <m/>
    <n v="4"/>
  </r>
  <r>
    <x v="1"/>
    <x v="10"/>
    <x v="6"/>
    <n v="23"/>
    <m/>
    <n v="1"/>
  </r>
  <r>
    <x v="1"/>
    <x v="10"/>
    <x v="7"/>
    <n v="53"/>
    <m/>
    <n v="2"/>
  </r>
  <r>
    <x v="1"/>
    <x v="10"/>
    <x v="8"/>
    <n v="60"/>
    <m/>
    <n v="8"/>
  </r>
  <r>
    <x v="1"/>
    <x v="10"/>
    <x v="9"/>
    <n v="48"/>
    <m/>
    <n v="3"/>
  </r>
  <r>
    <x v="1"/>
    <x v="10"/>
    <x v="10"/>
    <n v="45"/>
    <m/>
    <n v="1"/>
  </r>
  <r>
    <x v="1"/>
    <x v="10"/>
    <x v="11"/>
    <n v="37"/>
    <m/>
    <n v="2"/>
  </r>
  <r>
    <x v="1"/>
    <x v="10"/>
    <x v="12"/>
    <n v="82"/>
    <m/>
    <n v="2"/>
  </r>
  <r>
    <x v="1"/>
    <x v="10"/>
    <x v="13"/>
    <n v="136"/>
    <m/>
    <n v="7"/>
  </r>
  <r>
    <x v="1"/>
    <x v="10"/>
    <x v="14"/>
    <n v="476"/>
    <m/>
    <n v="43"/>
  </r>
  <r>
    <x v="1"/>
    <x v="10"/>
    <x v="15"/>
    <n v="43"/>
    <m/>
    <m/>
  </r>
  <r>
    <x v="1"/>
    <x v="10"/>
    <x v="16"/>
    <n v="57"/>
    <m/>
    <n v="4"/>
  </r>
  <r>
    <x v="1"/>
    <x v="10"/>
    <x v="17"/>
    <n v="45"/>
    <m/>
    <n v="2"/>
  </r>
  <r>
    <x v="1"/>
    <x v="10"/>
    <x v="18"/>
    <n v="25"/>
    <m/>
    <m/>
  </r>
  <r>
    <x v="1"/>
    <x v="10"/>
    <x v="20"/>
    <n v="52"/>
    <m/>
    <n v="3"/>
  </r>
  <r>
    <x v="1"/>
    <x v="10"/>
    <x v="21"/>
    <n v="234"/>
    <n v="1"/>
    <n v="17"/>
  </r>
  <r>
    <x v="1"/>
    <x v="10"/>
    <x v="23"/>
    <n v="29"/>
    <n v="1"/>
    <n v="1"/>
  </r>
  <r>
    <x v="1"/>
    <x v="10"/>
    <x v="24"/>
    <n v="103"/>
    <m/>
    <n v="10"/>
  </r>
  <r>
    <x v="1"/>
    <x v="10"/>
    <x v="25"/>
    <n v="49"/>
    <m/>
    <n v="4"/>
  </r>
  <r>
    <x v="1"/>
    <x v="10"/>
    <x v="26"/>
    <n v="1"/>
    <m/>
    <m/>
  </r>
  <r>
    <x v="1"/>
    <x v="10"/>
    <x v="27"/>
    <n v="28"/>
    <m/>
    <n v="4"/>
  </r>
  <r>
    <x v="1"/>
    <x v="10"/>
    <x v="28"/>
    <n v="147"/>
    <m/>
    <n v="8"/>
  </r>
  <r>
    <x v="1"/>
    <x v="10"/>
    <x v="29"/>
    <n v="24"/>
    <m/>
    <n v="2"/>
  </r>
  <r>
    <x v="1"/>
    <x v="10"/>
    <x v="30"/>
    <n v="47"/>
    <m/>
    <n v="4"/>
  </r>
  <r>
    <x v="1"/>
    <x v="10"/>
    <x v="31"/>
    <n v="114"/>
    <m/>
    <n v="7"/>
  </r>
  <r>
    <x v="1"/>
    <x v="11"/>
    <x v="0"/>
    <n v="97"/>
    <m/>
    <n v="10"/>
  </r>
  <r>
    <x v="1"/>
    <x v="11"/>
    <x v="1"/>
    <n v="76"/>
    <m/>
    <n v="3"/>
  </r>
  <r>
    <x v="1"/>
    <x v="11"/>
    <x v="2"/>
    <n v="42"/>
    <m/>
    <m/>
  </r>
  <r>
    <x v="1"/>
    <x v="11"/>
    <x v="3"/>
    <n v="13"/>
    <m/>
    <m/>
  </r>
  <r>
    <x v="1"/>
    <x v="11"/>
    <x v="4"/>
    <n v="237"/>
    <m/>
    <n v="11"/>
  </r>
  <r>
    <x v="1"/>
    <x v="11"/>
    <x v="5"/>
    <n v="14"/>
    <m/>
    <n v="2"/>
  </r>
  <r>
    <x v="1"/>
    <x v="11"/>
    <x v="6"/>
    <n v="29"/>
    <n v="1"/>
    <m/>
  </r>
  <r>
    <x v="1"/>
    <x v="11"/>
    <x v="7"/>
    <n v="72"/>
    <m/>
    <n v="1"/>
  </r>
  <r>
    <x v="1"/>
    <x v="11"/>
    <x v="8"/>
    <n v="65"/>
    <m/>
    <n v="3"/>
  </r>
  <r>
    <x v="1"/>
    <x v="11"/>
    <x v="9"/>
    <n v="34"/>
    <m/>
    <n v="2"/>
  </r>
  <r>
    <x v="1"/>
    <x v="11"/>
    <x v="10"/>
    <n v="31"/>
    <m/>
    <m/>
  </r>
  <r>
    <x v="1"/>
    <x v="11"/>
    <x v="11"/>
    <n v="33"/>
    <n v="1"/>
    <n v="1"/>
  </r>
  <r>
    <x v="1"/>
    <x v="11"/>
    <x v="12"/>
    <n v="81"/>
    <m/>
    <n v="1"/>
  </r>
  <r>
    <x v="1"/>
    <x v="11"/>
    <x v="13"/>
    <n v="165"/>
    <m/>
    <n v="2"/>
  </r>
  <r>
    <x v="1"/>
    <x v="11"/>
    <x v="14"/>
    <n v="419"/>
    <n v="1"/>
    <n v="37"/>
  </r>
  <r>
    <x v="1"/>
    <x v="11"/>
    <x v="15"/>
    <n v="43"/>
    <m/>
    <n v="2"/>
  </r>
  <r>
    <x v="1"/>
    <x v="11"/>
    <x v="16"/>
    <n v="55"/>
    <n v="1"/>
    <n v="10"/>
  </r>
  <r>
    <x v="1"/>
    <x v="11"/>
    <x v="17"/>
    <n v="40"/>
    <m/>
    <n v="3"/>
  </r>
  <r>
    <x v="1"/>
    <x v="11"/>
    <x v="18"/>
    <n v="30"/>
    <m/>
    <n v="1"/>
  </r>
  <r>
    <x v="1"/>
    <x v="11"/>
    <x v="19"/>
    <n v="2"/>
    <m/>
    <m/>
  </r>
  <r>
    <x v="1"/>
    <x v="11"/>
    <x v="20"/>
    <n v="46"/>
    <n v="1"/>
    <n v="7"/>
  </r>
  <r>
    <x v="1"/>
    <x v="11"/>
    <x v="21"/>
    <n v="211"/>
    <n v="1"/>
    <n v="20"/>
  </r>
  <r>
    <x v="1"/>
    <x v="11"/>
    <x v="23"/>
    <n v="26"/>
    <m/>
    <n v="3"/>
  </r>
  <r>
    <x v="1"/>
    <x v="11"/>
    <x v="24"/>
    <n v="115"/>
    <n v="3"/>
    <n v="7"/>
  </r>
  <r>
    <x v="1"/>
    <x v="11"/>
    <x v="25"/>
    <n v="32"/>
    <m/>
    <m/>
  </r>
  <r>
    <x v="1"/>
    <x v="11"/>
    <x v="26"/>
    <n v="2"/>
    <m/>
    <m/>
  </r>
  <r>
    <x v="1"/>
    <x v="11"/>
    <x v="27"/>
    <n v="31"/>
    <m/>
    <n v="4"/>
  </r>
  <r>
    <x v="1"/>
    <x v="11"/>
    <x v="28"/>
    <n v="148"/>
    <m/>
    <n v="14"/>
  </r>
  <r>
    <x v="1"/>
    <x v="11"/>
    <x v="29"/>
    <n v="46"/>
    <m/>
    <n v="3"/>
  </r>
  <r>
    <x v="1"/>
    <x v="11"/>
    <x v="30"/>
    <n v="62"/>
    <n v="1"/>
    <n v="3"/>
  </r>
  <r>
    <x v="1"/>
    <x v="11"/>
    <x v="31"/>
    <n v="108"/>
    <m/>
    <n v="6"/>
  </r>
</pivotCacheRecords>
</file>

<file path=xl/pivotCache/pivotCacheRecords53.xml><?xml version="1.0" encoding="utf-8"?>
<pivotCacheRecords xmlns="http://schemas.openxmlformats.org/spreadsheetml/2006/main" xmlns:r="http://schemas.openxmlformats.org/officeDocument/2006/relationships" count="48">
  <r>
    <x v="0"/>
    <x v="0"/>
    <n v="267"/>
    <m/>
    <n v="1"/>
    <n v="1"/>
    <m/>
    <m/>
    <n v="35"/>
    <n v="46"/>
    <n v="113"/>
    <n v="70"/>
    <n v="1"/>
  </r>
  <r>
    <x v="0"/>
    <x v="1"/>
    <n v="414"/>
    <m/>
    <n v="1"/>
    <n v="3"/>
    <m/>
    <m/>
    <n v="38"/>
    <n v="84"/>
    <n v="181"/>
    <n v="107"/>
    <m/>
  </r>
  <r>
    <x v="0"/>
    <x v="2"/>
    <n v="449"/>
    <m/>
    <n v="3"/>
    <n v="7"/>
    <m/>
    <m/>
    <n v="28"/>
    <n v="92"/>
    <n v="204"/>
    <n v="115"/>
    <m/>
  </r>
  <r>
    <x v="0"/>
    <x v="3"/>
    <n v="93"/>
    <m/>
    <m/>
    <n v="2"/>
    <m/>
    <m/>
    <n v="5"/>
    <n v="16"/>
    <n v="54"/>
    <n v="16"/>
    <m/>
  </r>
  <r>
    <x v="1"/>
    <x v="0"/>
    <n v="238"/>
    <m/>
    <m/>
    <n v="3"/>
    <m/>
    <m/>
    <n v="31"/>
    <n v="47"/>
    <n v="101"/>
    <n v="55"/>
    <n v="1"/>
  </r>
  <r>
    <x v="1"/>
    <x v="1"/>
    <n v="448"/>
    <m/>
    <n v="1"/>
    <n v="2"/>
    <m/>
    <m/>
    <n v="29"/>
    <n v="101"/>
    <n v="193"/>
    <n v="122"/>
    <m/>
  </r>
  <r>
    <x v="1"/>
    <x v="2"/>
    <n v="543"/>
    <m/>
    <n v="3"/>
    <n v="16"/>
    <m/>
    <m/>
    <n v="51"/>
    <n v="113"/>
    <n v="236"/>
    <n v="123"/>
    <n v="1"/>
  </r>
  <r>
    <x v="1"/>
    <x v="3"/>
    <n v="103"/>
    <m/>
    <m/>
    <n v="3"/>
    <m/>
    <m/>
    <n v="2"/>
    <n v="22"/>
    <n v="53"/>
    <n v="23"/>
    <m/>
  </r>
  <r>
    <x v="2"/>
    <x v="0"/>
    <n v="297"/>
    <m/>
    <m/>
    <n v="3"/>
    <m/>
    <m/>
    <n v="36"/>
    <n v="56"/>
    <n v="129"/>
    <n v="71"/>
    <n v="2"/>
  </r>
  <r>
    <x v="2"/>
    <x v="1"/>
    <n v="522"/>
    <m/>
    <m/>
    <n v="9"/>
    <m/>
    <m/>
    <n v="34"/>
    <n v="86"/>
    <n v="256"/>
    <n v="134"/>
    <n v="3"/>
  </r>
  <r>
    <x v="2"/>
    <x v="2"/>
    <n v="513"/>
    <m/>
    <n v="1"/>
    <n v="11"/>
    <m/>
    <m/>
    <n v="49"/>
    <n v="111"/>
    <n v="212"/>
    <n v="129"/>
    <m/>
  </r>
  <r>
    <x v="2"/>
    <x v="3"/>
    <n v="82"/>
    <m/>
    <n v="1"/>
    <n v="3"/>
    <m/>
    <m/>
    <m/>
    <n v="15"/>
    <n v="47"/>
    <n v="16"/>
    <m/>
  </r>
  <r>
    <x v="3"/>
    <x v="0"/>
    <n v="262"/>
    <m/>
    <m/>
    <n v="1"/>
    <m/>
    <m/>
    <n v="29"/>
    <n v="54"/>
    <n v="96"/>
    <n v="61"/>
    <n v="21"/>
  </r>
  <r>
    <x v="3"/>
    <x v="1"/>
    <n v="558"/>
    <m/>
    <n v="3"/>
    <n v="6"/>
    <m/>
    <m/>
    <n v="29"/>
    <n v="109"/>
    <n v="213"/>
    <n v="175"/>
    <n v="23"/>
  </r>
  <r>
    <x v="3"/>
    <x v="2"/>
    <n v="442"/>
    <m/>
    <m/>
    <n v="7"/>
    <m/>
    <m/>
    <n v="31"/>
    <n v="78"/>
    <n v="176"/>
    <n v="137"/>
    <n v="13"/>
  </r>
  <r>
    <x v="3"/>
    <x v="3"/>
    <n v="57"/>
    <m/>
    <m/>
    <m/>
    <m/>
    <n v="1"/>
    <m/>
    <n v="11"/>
    <n v="29"/>
    <n v="16"/>
    <m/>
  </r>
  <r>
    <x v="4"/>
    <x v="0"/>
    <n v="221"/>
    <m/>
    <m/>
    <n v="2"/>
    <m/>
    <m/>
    <n v="24"/>
    <n v="37"/>
    <n v="93"/>
    <n v="50"/>
    <n v="15"/>
  </r>
  <r>
    <x v="4"/>
    <x v="1"/>
    <n v="570"/>
    <m/>
    <n v="1"/>
    <n v="2"/>
    <m/>
    <m/>
    <n v="33"/>
    <n v="107"/>
    <n v="241"/>
    <n v="162"/>
    <n v="24"/>
  </r>
  <r>
    <x v="4"/>
    <x v="2"/>
    <n v="443"/>
    <m/>
    <n v="2"/>
    <n v="5"/>
    <n v="1"/>
    <m/>
    <n v="32"/>
    <n v="70"/>
    <n v="205"/>
    <n v="106"/>
    <n v="22"/>
  </r>
  <r>
    <x v="4"/>
    <x v="3"/>
    <n v="76"/>
    <m/>
    <m/>
    <n v="2"/>
    <m/>
    <m/>
    <n v="1"/>
    <n v="13"/>
    <n v="33"/>
    <n v="21"/>
    <n v="6"/>
  </r>
  <r>
    <x v="5"/>
    <x v="0"/>
    <n v="213"/>
    <m/>
    <m/>
    <n v="2"/>
    <m/>
    <m/>
    <n v="28"/>
    <n v="37"/>
    <n v="72"/>
    <n v="56"/>
    <n v="18"/>
  </r>
  <r>
    <x v="5"/>
    <x v="1"/>
    <n v="441"/>
    <m/>
    <m/>
    <n v="1"/>
    <m/>
    <m/>
    <n v="26"/>
    <n v="77"/>
    <n v="180"/>
    <n v="133"/>
    <n v="24"/>
  </r>
  <r>
    <x v="5"/>
    <x v="2"/>
    <n v="383"/>
    <m/>
    <m/>
    <n v="6"/>
    <m/>
    <m/>
    <n v="31"/>
    <n v="64"/>
    <n v="150"/>
    <n v="109"/>
    <n v="23"/>
  </r>
  <r>
    <x v="5"/>
    <x v="3"/>
    <n v="62"/>
    <m/>
    <m/>
    <n v="3"/>
    <m/>
    <m/>
    <n v="3"/>
    <n v="8"/>
    <n v="30"/>
    <n v="16"/>
    <n v="2"/>
  </r>
  <r>
    <x v="6"/>
    <x v="0"/>
    <n v="259"/>
    <m/>
    <m/>
    <n v="1"/>
    <m/>
    <n v="1"/>
    <n v="23"/>
    <n v="57"/>
    <n v="98"/>
    <n v="64"/>
    <n v="15"/>
  </r>
  <r>
    <x v="6"/>
    <x v="1"/>
    <n v="516"/>
    <m/>
    <n v="1"/>
    <m/>
    <m/>
    <m/>
    <n v="26"/>
    <n v="76"/>
    <n v="219"/>
    <n v="169"/>
    <n v="25"/>
  </r>
  <r>
    <x v="6"/>
    <x v="2"/>
    <n v="431"/>
    <m/>
    <n v="1"/>
    <n v="6"/>
    <m/>
    <m/>
    <n v="27"/>
    <n v="63"/>
    <n v="182"/>
    <n v="134"/>
    <n v="18"/>
  </r>
  <r>
    <x v="6"/>
    <x v="3"/>
    <n v="70"/>
    <m/>
    <m/>
    <m/>
    <m/>
    <m/>
    <n v="1"/>
    <n v="8"/>
    <n v="43"/>
    <n v="14"/>
    <n v="4"/>
  </r>
  <r>
    <x v="7"/>
    <x v="0"/>
    <n v="330"/>
    <m/>
    <n v="1"/>
    <n v="3"/>
    <m/>
    <m/>
    <n v="23"/>
    <n v="50"/>
    <n v="139"/>
    <n v="92"/>
    <n v="22"/>
  </r>
  <r>
    <x v="7"/>
    <x v="1"/>
    <n v="487"/>
    <m/>
    <m/>
    <n v="2"/>
    <m/>
    <n v="1"/>
    <n v="21"/>
    <n v="73"/>
    <n v="234"/>
    <n v="131"/>
    <n v="25"/>
  </r>
  <r>
    <x v="7"/>
    <x v="2"/>
    <n v="384"/>
    <m/>
    <m/>
    <n v="7"/>
    <m/>
    <n v="2"/>
    <n v="27"/>
    <n v="67"/>
    <n v="166"/>
    <n v="102"/>
    <n v="13"/>
  </r>
  <r>
    <x v="7"/>
    <x v="3"/>
    <n v="65"/>
    <m/>
    <m/>
    <n v="1"/>
    <m/>
    <n v="1"/>
    <n v="7"/>
    <n v="11"/>
    <n v="35"/>
    <n v="9"/>
    <n v="1"/>
  </r>
  <r>
    <x v="8"/>
    <x v="0"/>
    <n v="235"/>
    <m/>
    <m/>
    <n v="2"/>
    <n v="2"/>
    <n v="6"/>
    <n v="31"/>
    <n v="33"/>
    <n v="85"/>
    <n v="64"/>
    <n v="12"/>
  </r>
  <r>
    <x v="8"/>
    <x v="1"/>
    <n v="462"/>
    <m/>
    <n v="2"/>
    <n v="3"/>
    <m/>
    <n v="2"/>
    <n v="17"/>
    <n v="70"/>
    <n v="206"/>
    <n v="119"/>
    <n v="43"/>
  </r>
  <r>
    <x v="8"/>
    <x v="2"/>
    <n v="356"/>
    <m/>
    <n v="2"/>
    <n v="7"/>
    <m/>
    <n v="1"/>
    <n v="37"/>
    <n v="67"/>
    <n v="154"/>
    <n v="73"/>
    <n v="15"/>
  </r>
  <r>
    <x v="8"/>
    <x v="3"/>
    <n v="63"/>
    <m/>
    <m/>
    <n v="1"/>
    <m/>
    <m/>
    <n v="2"/>
    <n v="13"/>
    <n v="31"/>
    <n v="13"/>
    <n v="3"/>
  </r>
  <r>
    <x v="9"/>
    <x v="0"/>
    <n v="248"/>
    <m/>
    <m/>
    <n v="1"/>
    <m/>
    <n v="4"/>
    <n v="26"/>
    <n v="30"/>
    <n v="110"/>
    <n v="64"/>
    <n v="13"/>
  </r>
  <r>
    <x v="9"/>
    <x v="1"/>
    <n v="523"/>
    <m/>
    <n v="1"/>
    <n v="5"/>
    <m/>
    <n v="2"/>
    <n v="29"/>
    <n v="77"/>
    <n v="223"/>
    <n v="136"/>
    <n v="50"/>
  </r>
  <r>
    <x v="9"/>
    <x v="2"/>
    <n v="373"/>
    <m/>
    <n v="1"/>
    <n v="5"/>
    <m/>
    <n v="2"/>
    <n v="25"/>
    <n v="62"/>
    <n v="161"/>
    <n v="92"/>
    <n v="25"/>
  </r>
  <r>
    <x v="9"/>
    <x v="3"/>
    <n v="53"/>
    <m/>
    <m/>
    <m/>
    <m/>
    <m/>
    <n v="3"/>
    <n v="12"/>
    <n v="21"/>
    <n v="11"/>
    <n v="6"/>
  </r>
  <r>
    <x v="10"/>
    <x v="0"/>
    <n v="219"/>
    <m/>
    <m/>
    <n v="2"/>
    <n v="1"/>
    <n v="2"/>
    <n v="26"/>
    <n v="37"/>
    <n v="91"/>
    <n v="44"/>
    <n v="16"/>
  </r>
  <r>
    <x v="10"/>
    <x v="1"/>
    <n v="441"/>
    <m/>
    <n v="1"/>
    <n v="1"/>
    <m/>
    <m/>
    <n v="34"/>
    <n v="46"/>
    <n v="189"/>
    <n v="132"/>
    <n v="38"/>
  </r>
  <r>
    <x v="10"/>
    <x v="2"/>
    <n v="314"/>
    <m/>
    <n v="1"/>
    <n v="4"/>
    <m/>
    <n v="1"/>
    <n v="26"/>
    <n v="45"/>
    <n v="135"/>
    <n v="82"/>
    <n v="20"/>
  </r>
  <r>
    <x v="10"/>
    <x v="3"/>
    <n v="53"/>
    <m/>
    <m/>
    <m/>
    <m/>
    <m/>
    <m/>
    <n v="5"/>
    <n v="32"/>
    <n v="10"/>
    <n v="6"/>
  </r>
  <r>
    <x v="11"/>
    <x v="0"/>
    <n v="324"/>
    <n v="1"/>
    <m/>
    <m/>
    <m/>
    <n v="2"/>
    <n v="57"/>
    <n v="39"/>
    <n v="140"/>
    <n v="64"/>
    <n v="22"/>
  </r>
  <r>
    <x v="11"/>
    <x v="1"/>
    <n v="343"/>
    <m/>
    <m/>
    <m/>
    <m/>
    <m/>
    <n v="30"/>
    <n v="37"/>
    <n v="153"/>
    <n v="96"/>
    <n v="27"/>
  </r>
  <r>
    <x v="11"/>
    <x v="2"/>
    <n v="299"/>
    <n v="1"/>
    <m/>
    <n v="5"/>
    <m/>
    <n v="1"/>
    <n v="28"/>
    <n v="44"/>
    <n v="134"/>
    <n v="76"/>
    <n v="11"/>
  </r>
  <r>
    <x v="11"/>
    <x v="3"/>
    <n v="51"/>
    <m/>
    <m/>
    <m/>
    <m/>
    <m/>
    <n v="1"/>
    <n v="6"/>
    <n v="25"/>
    <n v="14"/>
    <n v="5"/>
  </r>
</pivotCacheRecords>
</file>

<file path=xl/pivotCache/pivotCacheRecords54.xml><?xml version="1.0" encoding="utf-8"?>
<pivotCacheRecords xmlns="http://schemas.openxmlformats.org/spreadsheetml/2006/main" xmlns:r="http://schemas.openxmlformats.org/officeDocument/2006/relationships" count="24">
  <r>
    <x v="0"/>
    <x v="0"/>
    <n v="53"/>
    <n v="4"/>
    <n v="4"/>
    <n v="7"/>
    <n v="3"/>
    <n v="3"/>
    <n v="1"/>
    <n v="1"/>
    <m/>
    <n v="2"/>
    <m/>
    <m/>
    <n v="3"/>
    <m/>
    <n v="2"/>
    <m/>
    <m/>
    <n v="4"/>
    <n v="2"/>
    <n v="8"/>
    <n v="3"/>
    <m/>
    <m/>
    <n v="5"/>
    <n v="1"/>
  </r>
  <r>
    <x v="0"/>
    <x v="1"/>
    <n v="45"/>
    <n v="1"/>
    <n v="5"/>
    <n v="2"/>
    <n v="5"/>
    <n v="2"/>
    <n v="3"/>
    <n v="3"/>
    <n v="2"/>
    <n v="1"/>
    <m/>
    <n v="2"/>
    <n v="1"/>
    <n v="1"/>
    <n v="2"/>
    <n v="2"/>
    <n v="1"/>
    <n v="1"/>
    <n v="3"/>
    <m/>
    <m/>
    <n v="1"/>
    <n v="1"/>
    <n v="1"/>
    <n v="5"/>
  </r>
  <r>
    <x v="0"/>
    <x v="2"/>
    <n v="51"/>
    <n v="1"/>
    <n v="2"/>
    <n v="4"/>
    <n v="3"/>
    <n v="2"/>
    <n v="3"/>
    <n v="1"/>
    <n v="2"/>
    <n v="2"/>
    <m/>
    <n v="3"/>
    <n v="3"/>
    <n v="4"/>
    <n v="1"/>
    <n v="1"/>
    <n v="2"/>
    <n v="4"/>
    <n v="2"/>
    <m/>
    <n v="1"/>
    <n v="1"/>
    <n v="3"/>
    <n v="5"/>
    <n v="1"/>
  </r>
  <r>
    <x v="0"/>
    <x v="3"/>
    <n v="40"/>
    <n v="1"/>
    <n v="1"/>
    <n v="3"/>
    <n v="2"/>
    <n v="1"/>
    <n v="5"/>
    <n v="1"/>
    <n v="3"/>
    <n v="2"/>
    <n v="2"/>
    <n v="4"/>
    <n v="1"/>
    <n v="1"/>
    <m/>
    <n v="1"/>
    <n v="3"/>
    <n v="1"/>
    <m/>
    <n v="2"/>
    <m/>
    <m/>
    <n v="2"/>
    <n v="2"/>
    <n v="2"/>
  </r>
  <r>
    <x v="0"/>
    <x v="4"/>
    <n v="29"/>
    <n v="1"/>
    <m/>
    <n v="1"/>
    <n v="2"/>
    <n v="1"/>
    <n v="2"/>
    <n v="1"/>
    <n v="2"/>
    <n v="2"/>
    <n v="1"/>
    <m/>
    <m/>
    <n v="1"/>
    <n v="2"/>
    <n v="1"/>
    <m/>
    <n v="1"/>
    <n v="1"/>
    <n v="1"/>
    <n v="1"/>
    <n v="5"/>
    <n v="2"/>
    <m/>
    <n v="1"/>
  </r>
  <r>
    <x v="0"/>
    <x v="5"/>
    <n v="31"/>
    <n v="2"/>
    <m/>
    <m/>
    <n v="1"/>
    <n v="1"/>
    <m/>
    <m/>
    <n v="2"/>
    <n v="1"/>
    <n v="2"/>
    <n v="2"/>
    <n v="1"/>
    <n v="1"/>
    <n v="2"/>
    <m/>
    <n v="4"/>
    <n v="1"/>
    <m/>
    <n v="4"/>
    <n v="4"/>
    <m/>
    <n v="2"/>
    <n v="1"/>
    <m/>
  </r>
  <r>
    <x v="0"/>
    <x v="6"/>
    <n v="39"/>
    <n v="1"/>
    <n v="2"/>
    <n v="1"/>
    <n v="1"/>
    <n v="1"/>
    <n v="1"/>
    <n v="3"/>
    <n v="1"/>
    <n v="1"/>
    <m/>
    <n v="1"/>
    <n v="4"/>
    <m/>
    <n v="1"/>
    <n v="4"/>
    <n v="3"/>
    <n v="3"/>
    <n v="1"/>
    <n v="5"/>
    <n v="2"/>
    <n v="1"/>
    <n v="1"/>
    <m/>
    <n v="1"/>
  </r>
  <r>
    <x v="0"/>
    <x v="7"/>
    <n v="36"/>
    <m/>
    <n v="3"/>
    <n v="2"/>
    <n v="1"/>
    <m/>
    <n v="3"/>
    <n v="2"/>
    <n v="5"/>
    <m/>
    <n v="3"/>
    <n v="2"/>
    <n v="1"/>
    <n v="1"/>
    <n v="1"/>
    <m/>
    <m/>
    <n v="3"/>
    <n v="2"/>
    <n v="1"/>
    <n v="3"/>
    <n v="1"/>
    <m/>
    <m/>
    <n v="2"/>
  </r>
  <r>
    <x v="0"/>
    <x v="8"/>
    <n v="37"/>
    <n v="4"/>
    <n v="1"/>
    <n v="3"/>
    <n v="1"/>
    <m/>
    <m/>
    <m/>
    <n v="1"/>
    <n v="4"/>
    <n v="1"/>
    <m/>
    <m/>
    <n v="3"/>
    <n v="2"/>
    <n v="2"/>
    <m/>
    <n v="3"/>
    <n v="3"/>
    <m/>
    <n v="4"/>
    <n v="1"/>
    <n v="2"/>
    <n v="1"/>
    <n v="1"/>
  </r>
  <r>
    <x v="0"/>
    <x v="9"/>
    <n v="40"/>
    <m/>
    <m/>
    <n v="3"/>
    <n v="2"/>
    <n v="3"/>
    <n v="3"/>
    <n v="1"/>
    <n v="4"/>
    <m/>
    <m/>
    <m/>
    <m/>
    <n v="3"/>
    <n v="2"/>
    <m/>
    <n v="4"/>
    <n v="3"/>
    <m/>
    <n v="1"/>
    <n v="1"/>
    <n v="2"/>
    <n v="3"/>
    <n v="3"/>
    <n v="2"/>
  </r>
  <r>
    <x v="0"/>
    <x v="10"/>
    <n v="21"/>
    <n v="1"/>
    <n v="3"/>
    <n v="1"/>
    <m/>
    <n v="1"/>
    <n v="1"/>
    <m/>
    <m/>
    <n v="1"/>
    <n v="2"/>
    <m/>
    <m/>
    <n v="1"/>
    <n v="1"/>
    <n v="2"/>
    <m/>
    <n v="2"/>
    <m/>
    <n v="2"/>
    <n v="1"/>
    <m/>
    <m/>
    <n v="1"/>
    <n v="1"/>
  </r>
  <r>
    <x v="0"/>
    <x v="11"/>
    <n v="44"/>
    <n v="4"/>
    <m/>
    <n v="1"/>
    <n v="4"/>
    <n v="1"/>
    <n v="1"/>
    <n v="1"/>
    <n v="1"/>
    <n v="1"/>
    <m/>
    <n v="1"/>
    <n v="2"/>
    <n v="3"/>
    <n v="2"/>
    <n v="1"/>
    <n v="3"/>
    <n v="1"/>
    <n v="2"/>
    <n v="2"/>
    <m/>
    <n v="3"/>
    <n v="5"/>
    <n v="2"/>
    <n v="3"/>
  </r>
  <r>
    <x v="1"/>
    <x v="0"/>
    <n v="1032"/>
    <n v="47"/>
    <n v="28"/>
    <n v="43"/>
    <n v="43"/>
    <n v="24"/>
    <n v="26"/>
    <n v="24"/>
    <n v="19"/>
    <n v="24"/>
    <n v="32"/>
    <n v="23"/>
    <n v="25"/>
    <n v="39"/>
    <n v="26"/>
    <n v="34"/>
    <n v="34"/>
    <n v="55"/>
    <n v="75"/>
    <n v="80"/>
    <n v="71"/>
    <n v="64"/>
    <n v="71"/>
    <n v="58"/>
    <n v="67"/>
  </r>
  <r>
    <x v="1"/>
    <x v="1"/>
    <n v="1142"/>
    <n v="62"/>
    <n v="62"/>
    <n v="52"/>
    <n v="29"/>
    <n v="32"/>
    <n v="28"/>
    <n v="23"/>
    <n v="27"/>
    <n v="19"/>
    <n v="27"/>
    <n v="30"/>
    <n v="40"/>
    <n v="48"/>
    <n v="29"/>
    <n v="35"/>
    <n v="30"/>
    <n v="55"/>
    <n v="67"/>
    <n v="90"/>
    <n v="93"/>
    <n v="63"/>
    <n v="78"/>
    <n v="55"/>
    <n v="68"/>
  </r>
  <r>
    <x v="1"/>
    <x v="2"/>
    <n v="1219"/>
    <n v="59"/>
    <n v="40"/>
    <n v="68"/>
    <n v="40"/>
    <n v="66"/>
    <n v="28"/>
    <n v="15"/>
    <n v="27"/>
    <n v="16"/>
    <n v="28"/>
    <n v="15"/>
    <n v="22"/>
    <n v="34"/>
    <n v="39"/>
    <n v="29"/>
    <n v="45"/>
    <n v="72"/>
    <n v="66"/>
    <n v="106"/>
    <n v="81"/>
    <n v="94"/>
    <n v="86"/>
    <n v="74"/>
    <n v="69"/>
  </r>
  <r>
    <x v="1"/>
    <x v="3"/>
    <n v="1166"/>
    <n v="65"/>
    <n v="52"/>
    <n v="30"/>
    <n v="45"/>
    <n v="22"/>
    <n v="34"/>
    <n v="11"/>
    <n v="25"/>
    <n v="22"/>
    <n v="33"/>
    <n v="31"/>
    <n v="24"/>
    <n v="30"/>
    <n v="42"/>
    <n v="46"/>
    <n v="51"/>
    <n v="59"/>
    <n v="91"/>
    <n v="88"/>
    <n v="79"/>
    <n v="94"/>
    <n v="62"/>
    <n v="70"/>
    <n v="60"/>
  </r>
  <r>
    <x v="1"/>
    <x v="4"/>
    <n v="1140"/>
    <n v="50"/>
    <n v="54"/>
    <n v="57"/>
    <n v="60"/>
    <n v="39"/>
    <n v="19"/>
    <n v="20"/>
    <n v="16"/>
    <n v="19"/>
    <n v="19"/>
    <n v="33"/>
    <n v="39"/>
    <n v="42"/>
    <n v="36"/>
    <n v="40"/>
    <n v="40"/>
    <n v="57"/>
    <n v="85"/>
    <n v="81"/>
    <n v="84"/>
    <n v="70"/>
    <n v="79"/>
    <n v="70"/>
    <n v="31"/>
  </r>
  <r>
    <x v="1"/>
    <x v="5"/>
    <n v="947"/>
    <n v="40"/>
    <n v="29"/>
    <n v="38"/>
    <n v="30"/>
    <n v="20"/>
    <n v="30"/>
    <n v="18"/>
    <n v="10"/>
    <n v="26"/>
    <n v="24"/>
    <n v="31"/>
    <n v="29"/>
    <n v="18"/>
    <n v="28"/>
    <n v="40"/>
    <n v="33"/>
    <n v="40"/>
    <n v="75"/>
    <n v="60"/>
    <n v="84"/>
    <n v="73"/>
    <n v="68"/>
    <n v="50"/>
    <n v="53"/>
  </r>
  <r>
    <x v="1"/>
    <x v="6"/>
    <n v="1063"/>
    <n v="34"/>
    <n v="38"/>
    <n v="42"/>
    <n v="43"/>
    <n v="27"/>
    <n v="18"/>
    <n v="25"/>
    <n v="15"/>
    <n v="32"/>
    <n v="19"/>
    <n v="22"/>
    <n v="28"/>
    <n v="28"/>
    <n v="39"/>
    <n v="54"/>
    <n v="55"/>
    <n v="63"/>
    <n v="75"/>
    <n v="79"/>
    <n v="71"/>
    <n v="70"/>
    <n v="68"/>
    <n v="51"/>
    <n v="67"/>
  </r>
  <r>
    <x v="1"/>
    <x v="7"/>
    <n v="1115"/>
    <n v="52"/>
    <n v="61"/>
    <n v="45"/>
    <n v="37"/>
    <n v="42"/>
    <n v="24"/>
    <n v="32"/>
    <n v="26"/>
    <n v="30"/>
    <n v="30"/>
    <n v="27"/>
    <n v="50"/>
    <n v="22"/>
    <n v="35"/>
    <n v="43"/>
    <n v="37"/>
    <n v="73"/>
    <n v="72"/>
    <n v="53"/>
    <n v="78"/>
    <n v="61"/>
    <n v="60"/>
    <n v="65"/>
    <n v="60"/>
  </r>
  <r>
    <x v="1"/>
    <x v="8"/>
    <n v="921"/>
    <n v="51"/>
    <n v="31"/>
    <n v="30"/>
    <n v="30"/>
    <n v="26"/>
    <n v="25"/>
    <n v="14"/>
    <n v="16"/>
    <n v="28"/>
    <n v="16"/>
    <n v="26"/>
    <n v="33"/>
    <n v="27"/>
    <n v="37"/>
    <n v="37"/>
    <n v="43"/>
    <n v="55"/>
    <n v="78"/>
    <n v="64"/>
    <n v="48"/>
    <n v="57"/>
    <n v="52"/>
    <n v="52"/>
    <n v="45"/>
  </r>
  <r>
    <x v="1"/>
    <x v="9"/>
    <n v="1016"/>
    <n v="47"/>
    <n v="60"/>
    <n v="36"/>
    <n v="52"/>
    <n v="26"/>
    <n v="20"/>
    <n v="19"/>
    <n v="24"/>
    <n v="20"/>
    <n v="27"/>
    <n v="15"/>
    <n v="24"/>
    <n v="34"/>
    <n v="37"/>
    <n v="32"/>
    <n v="40"/>
    <n v="77"/>
    <n v="63"/>
    <n v="77"/>
    <n v="70"/>
    <n v="57"/>
    <n v="50"/>
    <n v="50"/>
    <n v="59"/>
  </r>
  <r>
    <x v="1"/>
    <x v="10"/>
    <n v="877"/>
    <n v="36"/>
    <n v="44"/>
    <n v="39"/>
    <n v="26"/>
    <n v="31"/>
    <n v="11"/>
    <n v="24"/>
    <n v="16"/>
    <n v="24"/>
    <n v="37"/>
    <n v="22"/>
    <n v="22"/>
    <n v="22"/>
    <n v="19"/>
    <n v="35"/>
    <n v="29"/>
    <n v="55"/>
    <n v="55"/>
    <n v="71"/>
    <n v="55"/>
    <n v="57"/>
    <n v="45"/>
    <n v="58"/>
    <n v="44"/>
  </r>
  <r>
    <x v="1"/>
    <x v="11"/>
    <n v="876"/>
    <n v="24"/>
    <n v="25"/>
    <n v="32"/>
    <n v="31"/>
    <n v="27"/>
    <n v="11"/>
    <n v="15"/>
    <n v="13"/>
    <n v="9"/>
    <n v="22"/>
    <n v="20"/>
    <n v="36"/>
    <n v="40"/>
    <n v="44"/>
    <n v="37"/>
    <n v="38"/>
    <n v="50"/>
    <n v="72"/>
    <n v="50"/>
    <n v="54"/>
    <n v="69"/>
    <n v="57"/>
    <n v="47"/>
    <n v="53"/>
  </r>
</pivotCacheRecords>
</file>

<file path=xl/pivotCache/pivotCacheRecords55.xml><?xml version="1.0" encoding="utf-8"?>
<pivotCacheRecords xmlns="http://schemas.openxmlformats.org/spreadsheetml/2006/main" xmlns:r="http://schemas.openxmlformats.org/officeDocument/2006/relationships" count="54">
  <r>
    <x v="0"/>
    <x v="0"/>
    <n v="1"/>
    <x v="0"/>
    <n v="13"/>
    <m/>
    <n v="1"/>
    <n v="4"/>
    <n v="8"/>
    <s v="2009-10"/>
    <n v="5231900"/>
    <n v="984309"/>
    <n v="893916"/>
    <n v="2159788"/>
    <n v="1193887"/>
  </r>
  <r>
    <x v="0"/>
    <x v="0"/>
    <n v="2"/>
    <x v="1"/>
    <n v="10"/>
    <m/>
    <m/>
    <n v="8"/>
    <n v="2"/>
    <s v="2009-10"/>
    <n v="5231900"/>
    <n v="984309"/>
    <n v="893916"/>
    <n v="2159788"/>
    <n v="1193887"/>
  </r>
  <r>
    <x v="0"/>
    <x v="0"/>
    <n v="3"/>
    <x v="2"/>
    <n v="22"/>
    <m/>
    <n v="1"/>
    <n v="10"/>
    <n v="11"/>
    <s v="2009-10"/>
    <n v="5231900"/>
    <n v="984309"/>
    <n v="893916"/>
    <n v="2159788"/>
    <n v="1193887"/>
  </r>
  <r>
    <x v="0"/>
    <x v="0"/>
    <n v="6"/>
    <x v="3"/>
    <n v="3"/>
    <m/>
    <m/>
    <m/>
    <n v="3"/>
    <s v="2009-10"/>
    <n v="5231900"/>
    <n v="984309"/>
    <n v="893916"/>
    <n v="2159788"/>
    <n v="1193887"/>
  </r>
  <r>
    <x v="0"/>
    <x v="1"/>
    <n v="8"/>
    <x v="4"/>
    <n v="1"/>
    <m/>
    <m/>
    <n v="1"/>
    <m/>
    <s v="2009-10"/>
    <n v="5231900"/>
    <n v="984309"/>
    <n v="893916"/>
    <n v="2159788"/>
    <n v="1193887"/>
  </r>
  <r>
    <x v="0"/>
    <x v="0"/>
    <n v="8"/>
    <x v="4"/>
    <n v="13"/>
    <n v="2"/>
    <n v="2"/>
    <n v="5"/>
    <n v="4"/>
    <s v="2009-10"/>
    <n v="5231900"/>
    <n v="984309"/>
    <n v="893916"/>
    <n v="2159788"/>
    <n v="1193887"/>
  </r>
  <r>
    <x v="1"/>
    <x v="0"/>
    <n v="1"/>
    <x v="0"/>
    <n v="11"/>
    <m/>
    <m/>
    <n v="5"/>
    <n v="6"/>
    <s v="2010-11"/>
    <n v="5262200"/>
    <n v="981096"/>
    <n v="903573"/>
    <n v="2163995"/>
    <n v="1213536"/>
  </r>
  <r>
    <x v="1"/>
    <x v="0"/>
    <n v="2"/>
    <x v="1"/>
    <n v="11"/>
    <m/>
    <n v="2"/>
    <n v="5"/>
    <n v="4"/>
    <s v="2010-11"/>
    <n v="5262200"/>
    <n v="981096"/>
    <n v="903573"/>
    <n v="2163995"/>
    <n v="1213536"/>
  </r>
  <r>
    <x v="1"/>
    <x v="0"/>
    <n v="3"/>
    <x v="2"/>
    <n v="22"/>
    <m/>
    <n v="3"/>
    <n v="10"/>
    <n v="9"/>
    <s v="2010-11"/>
    <n v="5262200"/>
    <n v="981096"/>
    <n v="903573"/>
    <n v="2163995"/>
    <n v="1213536"/>
  </r>
  <r>
    <x v="1"/>
    <x v="0"/>
    <n v="4"/>
    <x v="5"/>
    <n v="1"/>
    <m/>
    <m/>
    <n v="1"/>
    <m/>
    <s v="2010-11"/>
    <n v="5262200"/>
    <n v="981096"/>
    <n v="903573"/>
    <n v="2163995"/>
    <n v="1213536"/>
  </r>
  <r>
    <x v="1"/>
    <x v="0"/>
    <n v="6"/>
    <x v="3"/>
    <n v="1"/>
    <m/>
    <m/>
    <n v="1"/>
    <m/>
    <s v="2010-11"/>
    <n v="5262200"/>
    <n v="981096"/>
    <n v="903573"/>
    <n v="2163995"/>
    <n v="1213536"/>
  </r>
  <r>
    <x v="1"/>
    <x v="0"/>
    <n v="8"/>
    <x v="4"/>
    <n v="6"/>
    <m/>
    <n v="1"/>
    <n v="1"/>
    <n v="4"/>
    <s v="2010-11"/>
    <n v="5262200"/>
    <n v="981096"/>
    <n v="903573"/>
    <n v="2163995"/>
    <n v="1213536"/>
  </r>
  <r>
    <x v="2"/>
    <x v="0"/>
    <n v="1"/>
    <x v="0"/>
    <n v="7"/>
    <m/>
    <m/>
    <n v="3"/>
    <n v="4"/>
    <s v="2011-12"/>
    <n v="5299900"/>
    <n v="978075"/>
    <n v="915437"/>
    <n v="2173561"/>
    <n v="1232827"/>
  </r>
  <r>
    <x v="2"/>
    <x v="0"/>
    <n v="2"/>
    <x v="1"/>
    <n v="18"/>
    <n v="2"/>
    <n v="2"/>
    <n v="5"/>
    <n v="9"/>
    <s v="2011-12"/>
    <n v="5299900"/>
    <n v="978075"/>
    <n v="915437"/>
    <n v="2173561"/>
    <n v="1232827"/>
  </r>
  <r>
    <x v="2"/>
    <x v="0"/>
    <n v="3"/>
    <x v="2"/>
    <n v="27"/>
    <n v="1"/>
    <m/>
    <n v="14"/>
    <n v="12"/>
    <s v="2011-12"/>
    <n v="5299900"/>
    <n v="978075"/>
    <n v="915437"/>
    <n v="2173561"/>
    <n v="1232827"/>
  </r>
  <r>
    <x v="2"/>
    <x v="0"/>
    <n v="8"/>
    <x v="4"/>
    <n v="7"/>
    <m/>
    <n v="1"/>
    <n v="1"/>
    <n v="5"/>
    <s v="2011-12"/>
    <n v="5299900"/>
    <n v="978075"/>
    <n v="915437"/>
    <n v="2173561"/>
    <n v="1232827"/>
  </r>
  <r>
    <x v="3"/>
    <x v="0"/>
    <n v="1"/>
    <x v="0"/>
    <n v="12"/>
    <m/>
    <n v="1"/>
    <m/>
    <n v="11"/>
    <s v="2012-13"/>
    <n v="5313600"/>
    <n v="976055"/>
    <n v="914515"/>
    <n v="2174666"/>
    <n v="1248364"/>
  </r>
  <r>
    <x v="3"/>
    <x v="0"/>
    <n v="2"/>
    <x v="1"/>
    <n v="4"/>
    <m/>
    <m/>
    <n v="2"/>
    <n v="2"/>
    <s v="2012-13"/>
    <n v="5313600"/>
    <n v="976055"/>
    <n v="914515"/>
    <n v="2174666"/>
    <n v="1248364"/>
  </r>
  <r>
    <x v="3"/>
    <x v="0"/>
    <n v="3"/>
    <x v="2"/>
    <n v="18"/>
    <m/>
    <m/>
    <n v="12"/>
    <n v="6"/>
    <s v="2012-13"/>
    <n v="5313600"/>
    <n v="976055"/>
    <n v="914515"/>
    <n v="2174666"/>
    <n v="1248364"/>
  </r>
  <r>
    <x v="3"/>
    <x v="0"/>
    <n v="8"/>
    <x v="4"/>
    <n v="12"/>
    <m/>
    <m/>
    <n v="5"/>
    <n v="7"/>
    <s v="2012-13"/>
    <n v="5313600"/>
    <n v="976055"/>
    <n v="914515"/>
    <n v="2174666"/>
    <n v="1248364"/>
  </r>
  <r>
    <x v="4"/>
    <x v="0"/>
    <n v="1"/>
    <x v="0"/>
    <n v="7"/>
    <m/>
    <m/>
    <n v="4"/>
    <n v="3"/>
    <s v="2013-14"/>
    <n v="5327700"/>
    <n v="973340"/>
    <n v="914383"/>
    <n v="2175770"/>
    <n v="1264207"/>
  </r>
  <r>
    <x v="4"/>
    <x v="0"/>
    <n v="2"/>
    <x v="1"/>
    <n v="7"/>
    <m/>
    <m/>
    <n v="4"/>
    <n v="3"/>
    <s v="2013-14"/>
    <n v="5327700"/>
    <n v="973340"/>
    <n v="914383"/>
    <n v="2175770"/>
    <n v="1264207"/>
  </r>
  <r>
    <x v="4"/>
    <x v="0"/>
    <n v="3"/>
    <x v="2"/>
    <n v="14"/>
    <m/>
    <m/>
    <n v="6"/>
    <n v="8"/>
    <s v="2013-14"/>
    <n v="5327700"/>
    <n v="973340"/>
    <n v="914383"/>
    <n v="2175770"/>
    <n v="1264207"/>
  </r>
  <r>
    <x v="4"/>
    <x v="0"/>
    <n v="8"/>
    <x v="4"/>
    <n v="3"/>
    <m/>
    <m/>
    <n v="1"/>
    <n v="2"/>
    <s v="2013-14"/>
    <n v="5327700"/>
    <n v="973340"/>
    <n v="914383"/>
    <n v="2175770"/>
    <n v="1264207"/>
  </r>
  <r>
    <x v="5"/>
    <x v="0"/>
    <n v="1"/>
    <x v="0"/>
    <n v="11"/>
    <n v="1"/>
    <n v="1"/>
    <n v="4"/>
    <n v="5"/>
    <s v="2014-15"/>
    <n v="5347600"/>
    <n v="970875"/>
    <n v="915972"/>
    <n v="2176493"/>
    <n v="1284260"/>
  </r>
  <r>
    <x v="5"/>
    <x v="0"/>
    <n v="2"/>
    <x v="1"/>
    <n v="12"/>
    <m/>
    <n v="1"/>
    <n v="6"/>
    <n v="5"/>
    <s v="2014-15"/>
    <n v="5347600"/>
    <n v="970875"/>
    <n v="915972"/>
    <n v="2176493"/>
    <n v="1284260"/>
  </r>
  <r>
    <x v="5"/>
    <x v="0"/>
    <n v="3"/>
    <x v="2"/>
    <n v="13"/>
    <m/>
    <m/>
    <n v="3"/>
    <n v="10"/>
    <s v="2014-15"/>
    <n v="5347600"/>
    <n v="970875"/>
    <n v="915972"/>
    <n v="2176493"/>
    <n v="1284260"/>
  </r>
  <r>
    <x v="5"/>
    <x v="0"/>
    <n v="8"/>
    <x v="4"/>
    <n v="4"/>
    <m/>
    <m/>
    <n v="1"/>
    <n v="3"/>
    <s v="2014-15"/>
    <n v="5347600"/>
    <n v="970875"/>
    <n v="915972"/>
    <n v="2176493"/>
    <n v="1284260"/>
  </r>
  <r>
    <x v="6"/>
    <x v="0"/>
    <n v="1"/>
    <x v="0"/>
    <n v="7"/>
    <m/>
    <m/>
    <n v="2"/>
    <n v="5"/>
    <s v="2015-16"/>
    <n v="5373000"/>
    <n v="971022"/>
    <n v="920189"/>
    <n v="2181793"/>
    <n v="1299996"/>
  </r>
  <r>
    <x v="6"/>
    <x v="0"/>
    <n v="2"/>
    <x v="1"/>
    <n v="10"/>
    <m/>
    <m/>
    <n v="5"/>
    <n v="5"/>
    <s v="2015-16"/>
    <n v="5373000"/>
    <n v="971022"/>
    <n v="920189"/>
    <n v="2181793"/>
    <n v="1299996"/>
  </r>
  <r>
    <x v="6"/>
    <x v="0"/>
    <n v="3"/>
    <x v="2"/>
    <n v="24"/>
    <m/>
    <n v="3"/>
    <n v="9"/>
    <n v="12"/>
    <s v="2015-16"/>
    <n v="5373000"/>
    <n v="971022"/>
    <n v="920189"/>
    <n v="2181793"/>
    <n v="1299996"/>
  </r>
  <r>
    <x v="6"/>
    <x v="0"/>
    <n v="6"/>
    <x v="3"/>
    <n v="1"/>
    <m/>
    <m/>
    <m/>
    <n v="1"/>
    <s v="2015-16"/>
    <n v="5373000"/>
    <n v="971022"/>
    <n v="920189"/>
    <n v="2181793"/>
    <n v="1299996"/>
  </r>
  <r>
    <x v="6"/>
    <x v="0"/>
    <n v="8"/>
    <x v="4"/>
    <n v="3"/>
    <m/>
    <m/>
    <n v="3"/>
    <m/>
    <s v="2015-16"/>
    <n v="5373000"/>
    <n v="971022"/>
    <n v="920189"/>
    <n v="2181793"/>
    <n v="1299996"/>
  </r>
  <r>
    <x v="7"/>
    <x v="0"/>
    <n v="1"/>
    <x v="0"/>
    <n v="7"/>
    <m/>
    <m/>
    <n v="5"/>
    <n v="2"/>
    <s v="2016-17"/>
    <n v="5404700"/>
    <n v="972780"/>
    <n v="924449"/>
    <n v="2187067"/>
    <n v="1320404"/>
  </r>
  <r>
    <x v="7"/>
    <x v="0"/>
    <n v="2"/>
    <x v="1"/>
    <n v="9"/>
    <m/>
    <n v="1"/>
    <n v="3"/>
    <n v="5"/>
    <s v="2016-17"/>
    <n v="5404700"/>
    <n v="972780"/>
    <n v="924449"/>
    <n v="2187067"/>
    <n v="1320404"/>
  </r>
  <r>
    <x v="7"/>
    <x v="0"/>
    <n v="3"/>
    <x v="2"/>
    <n v="24"/>
    <m/>
    <n v="3"/>
    <n v="10"/>
    <n v="11"/>
    <s v="2016-17"/>
    <n v="5404700"/>
    <n v="972780"/>
    <n v="924449"/>
    <n v="2187067"/>
    <n v="1320404"/>
  </r>
  <r>
    <x v="7"/>
    <x v="0"/>
    <n v="8"/>
    <x v="4"/>
    <n v="4"/>
    <m/>
    <m/>
    <n v="4"/>
    <m/>
    <s v="2016-17"/>
    <n v="5404700"/>
    <n v="972780"/>
    <n v="924449"/>
    <n v="2187067"/>
    <n v="1320404"/>
  </r>
  <r>
    <x v="8"/>
    <x v="0"/>
    <n v="1"/>
    <x v="0"/>
    <n v="15"/>
    <m/>
    <n v="1"/>
    <n v="4"/>
    <n v="10"/>
    <s v="2017-18"/>
    <n v="5424800"/>
    <n v="973036"/>
    <n v="920015"/>
    <n v="2190171"/>
    <n v="1341578"/>
  </r>
  <r>
    <x v="8"/>
    <x v="0"/>
    <n v="2"/>
    <x v="1"/>
    <n v="5"/>
    <m/>
    <m/>
    <n v="1"/>
    <n v="4"/>
    <s v="2017-18"/>
    <n v="5424800"/>
    <n v="973036"/>
    <n v="920015"/>
    <n v="2190171"/>
    <n v="1341578"/>
  </r>
  <r>
    <x v="8"/>
    <x v="0"/>
    <n v="3"/>
    <x v="2"/>
    <n v="18"/>
    <m/>
    <n v="2"/>
    <n v="8"/>
    <n v="8"/>
    <s v="2017-18"/>
    <n v="5424800"/>
    <n v="973036"/>
    <n v="920015"/>
    <n v="2190171"/>
    <n v="1341578"/>
  </r>
  <r>
    <x v="8"/>
    <x v="0"/>
    <n v="4"/>
    <x v="5"/>
    <n v="1"/>
    <m/>
    <m/>
    <n v="1"/>
    <m/>
    <s v="2017-18"/>
    <n v="5424800"/>
    <n v="973036"/>
    <n v="920015"/>
    <n v="2190171"/>
    <n v="1341578"/>
  </r>
  <r>
    <x v="8"/>
    <x v="0"/>
    <n v="8"/>
    <x v="4"/>
    <n v="5"/>
    <m/>
    <m/>
    <n v="4"/>
    <n v="1"/>
    <s v="2017-18"/>
    <n v="5424800"/>
    <n v="973036"/>
    <n v="920015"/>
    <n v="2190171"/>
    <n v="1341578"/>
  </r>
  <r>
    <x v="9"/>
    <x v="0"/>
    <n v="1"/>
    <x v="0"/>
    <n v="9"/>
    <m/>
    <n v="1"/>
    <n v="2"/>
    <n v="6"/>
    <s v="2018-19"/>
    <n v="5438100"/>
    <n v="972972"/>
    <n v="910297"/>
    <n v="2192411"/>
    <n v="1362420"/>
  </r>
  <r>
    <x v="9"/>
    <x v="0"/>
    <n v="2"/>
    <x v="1"/>
    <n v="13"/>
    <m/>
    <n v="1"/>
    <n v="5"/>
    <n v="7"/>
    <s v="2018-19"/>
    <n v="5438100"/>
    <n v="972972"/>
    <n v="910297"/>
    <n v="2192411"/>
    <n v="1362420"/>
  </r>
  <r>
    <x v="9"/>
    <x v="0"/>
    <n v="3"/>
    <x v="2"/>
    <n v="20"/>
    <m/>
    <m/>
    <n v="9"/>
    <n v="11"/>
    <s v="2018-19"/>
    <n v="5438100"/>
    <n v="972972"/>
    <n v="910297"/>
    <n v="2192411"/>
    <n v="1362420"/>
  </r>
  <r>
    <x v="9"/>
    <x v="0"/>
    <n v="8"/>
    <x v="4"/>
    <n v="2"/>
    <m/>
    <m/>
    <m/>
    <n v="2"/>
    <s v="2018-19"/>
    <n v="5438100"/>
    <n v="972972"/>
    <n v="910297"/>
    <n v="2192411"/>
    <n v="1362420"/>
  </r>
  <r>
    <x v="10"/>
    <x v="0"/>
    <n v="1"/>
    <x v="0"/>
    <n v="6"/>
    <m/>
    <m/>
    <n v="3"/>
    <n v="3"/>
    <s v="2019-20"/>
    <n v="5463300"/>
    <n v="975449"/>
    <n v="901925"/>
    <n v="2197088"/>
    <n v="1388838"/>
  </r>
  <r>
    <x v="10"/>
    <x v="0"/>
    <n v="2"/>
    <x v="1"/>
    <n v="6"/>
    <m/>
    <m/>
    <n v="1"/>
    <n v="5"/>
    <s v="2019-20"/>
    <n v="5463300"/>
    <n v="975449"/>
    <n v="901925"/>
    <n v="2197088"/>
    <n v="1388838"/>
  </r>
  <r>
    <x v="10"/>
    <x v="0"/>
    <n v="3"/>
    <x v="2"/>
    <n v="11"/>
    <m/>
    <m/>
    <n v="6"/>
    <n v="5"/>
    <s v="2019-20"/>
    <n v="5463300"/>
    <n v="975449"/>
    <n v="901925"/>
    <n v="2197088"/>
    <n v="1388838"/>
  </r>
  <r>
    <x v="10"/>
    <x v="0"/>
    <n v="8"/>
    <x v="4"/>
    <n v="4"/>
    <m/>
    <m/>
    <n v="3"/>
    <n v="1"/>
    <s v="2019-20"/>
    <n v="5463300"/>
    <n v="975449"/>
    <n v="901925"/>
    <n v="2197088"/>
    <n v="1388838"/>
  </r>
  <r>
    <x v="11"/>
    <x v="0"/>
    <n v="1"/>
    <x v="0"/>
    <n v="17"/>
    <m/>
    <n v="2"/>
    <n v="8"/>
    <n v="7"/>
    <s v="2020-21"/>
    <n v="5466000"/>
    <n v="972673"/>
    <n v="888196"/>
    <n v="2196482"/>
    <n v="1408649"/>
  </r>
  <r>
    <x v="11"/>
    <x v="0"/>
    <n v="2"/>
    <x v="1"/>
    <n v="8"/>
    <m/>
    <m/>
    <n v="4"/>
    <n v="4"/>
    <s v="2020-21"/>
    <n v="5466000"/>
    <n v="972673"/>
    <n v="888196"/>
    <n v="2196482"/>
    <n v="1408649"/>
  </r>
  <r>
    <x v="11"/>
    <x v="0"/>
    <n v="3"/>
    <x v="2"/>
    <n v="20"/>
    <n v="3"/>
    <m/>
    <n v="5"/>
    <n v="12"/>
    <s v="2020-21"/>
    <n v="5466000"/>
    <n v="972673"/>
    <n v="888196"/>
    <n v="2196482"/>
    <n v="1408649"/>
  </r>
  <r>
    <x v="11"/>
    <x v="0"/>
    <n v="8"/>
    <x v="4"/>
    <n v="8"/>
    <m/>
    <m/>
    <n v="3"/>
    <n v="5"/>
    <s v="2020-21"/>
    <n v="5466000"/>
    <n v="972673"/>
    <n v="888196"/>
    <n v="2196482"/>
    <n v="1408649"/>
  </r>
</pivotCacheRecords>
</file>

<file path=xl/pivotCache/pivotCacheRecords6.xml><?xml version="1.0" encoding="utf-8"?>
<pivotCacheRecords xmlns="http://schemas.openxmlformats.org/spreadsheetml/2006/main" xmlns:r="http://schemas.openxmlformats.org/officeDocument/2006/relationships" count="384">
  <r>
    <x v="0"/>
    <x v="0"/>
    <n v="658"/>
    <n v="12"/>
    <n v="166"/>
    <x v="0"/>
    <n v="23"/>
    <x v="0"/>
    <n v="23"/>
    <n v="206"/>
    <n v="18"/>
    <n v="204"/>
    <n v="217020"/>
  </r>
  <r>
    <x v="1"/>
    <x v="0"/>
    <n v="254"/>
    <n v="7"/>
    <n v="106"/>
    <x v="1"/>
    <n v="9"/>
    <x v="1"/>
    <n v="6"/>
    <n v="28"/>
    <n v="15"/>
    <n v="76"/>
    <n v="249020"/>
  </r>
  <r>
    <x v="2"/>
    <x v="0"/>
    <n v="191"/>
    <n v="7"/>
    <n v="85"/>
    <x v="2"/>
    <n v="4"/>
    <x v="1"/>
    <n v="16"/>
    <n v="28"/>
    <n v="6"/>
    <n v="30"/>
    <n v="114830"/>
  </r>
  <r>
    <x v="3"/>
    <x v="0"/>
    <n v="156"/>
    <n v="8"/>
    <n v="76"/>
    <x v="3"/>
    <n v="5"/>
    <x v="0"/>
    <n v="15"/>
    <n v="22"/>
    <n v="7"/>
    <n v="18"/>
    <n v="89450"/>
  </r>
  <r>
    <x v="4"/>
    <x v="0"/>
    <n v="2220"/>
    <n v="40"/>
    <n v="552"/>
    <x v="4"/>
    <n v="30"/>
    <x v="2"/>
    <n v="397"/>
    <n v="611"/>
    <n v="88"/>
    <n v="477"/>
    <n v="463230"/>
  </r>
  <r>
    <x v="5"/>
    <x v="0"/>
    <n v="218"/>
    <n v="6"/>
    <n v="73"/>
    <x v="5"/>
    <n v="6"/>
    <x v="3"/>
    <n v="17"/>
    <n v="36"/>
    <n v="2"/>
    <n v="70"/>
    <n v="51290"/>
  </r>
  <r>
    <x v="6"/>
    <x v="0"/>
    <n v="239"/>
    <n v="5"/>
    <n v="71"/>
    <x v="3"/>
    <n v="21"/>
    <x v="4"/>
    <n v="11"/>
    <n v="47"/>
    <n v="11"/>
    <n v="73"/>
    <n v="151160"/>
  </r>
  <r>
    <x v="7"/>
    <x v="0"/>
    <n v="1009"/>
    <n v="23"/>
    <n v="259"/>
    <x v="4"/>
    <n v="15"/>
    <x v="5"/>
    <n v="108"/>
    <n v="251"/>
    <n v="34"/>
    <n v="304"/>
    <n v="145170"/>
  </r>
  <r>
    <x v="8"/>
    <x v="0"/>
    <n v="868"/>
    <n v="37"/>
    <n v="213"/>
    <x v="6"/>
    <n v="11"/>
    <x v="6"/>
    <n v="93"/>
    <n v="185"/>
    <n v="42"/>
    <n v="267"/>
    <n v="122110"/>
  </r>
  <r>
    <x v="9"/>
    <x v="0"/>
    <n v="314"/>
    <n v="15"/>
    <n v="120"/>
    <x v="6"/>
    <n v="8"/>
    <x v="0"/>
    <n v="29"/>
    <n v="36"/>
    <n v="9"/>
    <n v="90"/>
    <n v="104960"/>
  </r>
  <r>
    <x v="10"/>
    <x v="0"/>
    <n v="345"/>
    <n v="11"/>
    <n v="139"/>
    <x v="7"/>
    <n v="4"/>
    <x v="1"/>
    <n v="52"/>
    <n v="49"/>
    <n v="7"/>
    <n v="66"/>
    <n v="98340"/>
  </r>
  <r>
    <x v="11"/>
    <x v="0"/>
    <n v="283"/>
    <n v="12"/>
    <n v="91"/>
    <x v="1"/>
    <n v="6"/>
    <x v="4"/>
    <n v="38"/>
    <n v="36"/>
    <n v="7"/>
    <n v="87"/>
    <n v="89980"/>
  </r>
  <r>
    <x v="12"/>
    <x v="0"/>
    <n v="751"/>
    <n v="12"/>
    <n v="227"/>
    <x v="8"/>
    <n v="21"/>
    <x v="3"/>
    <n v="107"/>
    <n v="166"/>
    <n v="14"/>
    <n v="191"/>
    <n v="154210"/>
  </r>
  <r>
    <x v="13"/>
    <x v="0"/>
    <n v="1315"/>
    <n v="35"/>
    <n v="490"/>
    <x v="9"/>
    <n v="26"/>
    <x v="7"/>
    <n v="96"/>
    <n v="214"/>
    <n v="32"/>
    <n v="379"/>
    <n v="361420"/>
  </r>
  <r>
    <x v="14"/>
    <x v="0"/>
    <n v="3810"/>
    <n v="161"/>
    <n v="692"/>
    <x v="10"/>
    <n v="49"/>
    <x v="8"/>
    <n v="534"/>
    <n v="885"/>
    <n v="166"/>
    <n v="1290"/>
    <n v="581620"/>
  </r>
  <r>
    <x v="15"/>
    <x v="0"/>
    <n v="570"/>
    <n v="7"/>
    <n v="349"/>
    <x v="5"/>
    <n v="7"/>
    <x v="9"/>
    <n v="24"/>
    <n v="69"/>
    <n v="15"/>
    <n v="81"/>
    <n v="228750"/>
  </r>
  <r>
    <x v="16"/>
    <x v="0"/>
    <n v="625"/>
    <n v="40"/>
    <n v="192"/>
    <x v="10"/>
    <n v="6"/>
    <x v="10"/>
    <n v="87"/>
    <n v="95"/>
    <n v="17"/>
    <n v="176"/>
    <n v="81670"/>
  </r>
  <r>
    <x v="17"/>
    <x v="0"/>
    <n v="371"/>
    <n v="6"/>
    <n v="131"/>
    <x v="11"/>
    <n v="5"/>
    <x v="1"/>
    <n v="59"/>
    <n v="57"/>
    <n v="13"/>
    <n v="87"/>
    <n v="81900"/>
  </r>
  <r>
    <x v="18"/>
    <x v="0"/>
    <n v="167"/>
    <n v="3"/>
    <n v="103"/>
    <x v="12"/>
    <n v="3"/>
    <x v="1"/>
    <n v="6"/>
    <n v="15"/>
    <n v="2"/>
    <n v="31"/>
    <n v="93160"/>
  </r>
  <r>
    <x v="19"/>
    <x v="0"/>
    <n v="33"/>
    <m/>
    <n v="23"/>
    <x v="3"/>
    <n v="1"/>
    <x v="11"/>
    <n v="1"/>
    <n v="4"/>
    <n v="2"/>
    <m/>
    <n v="27420"/>
  </r>
  <r>
    <x v="20"/>
    <x v="0"/>
    <n v="907"/>
    <n v="24"/>
    <n v="325"/>
    <x v="1"/>
    <n v="7"/>
    <x v="12"/>
    <n v="149"/>
    <n v="116"/>
    <n v="29"/>
    <n v="239"/>
    <n v="137830"/>
  </r>
  <r>
    <x v="21"/>
    <x v="0"/>
    <n v="2211"/>
    <n v="61"/>
    <n v="695"/>
    <x v="10"/>
    <n v="26"/>
    <x v="12"/>
    <n v="246"/>
    <n v="326"/>
    <n v="135"/>
    <n v="702"/>
    <n v="335160"/>
  </r>
  <r>
    <x v="22"/>
    <x v="0"/>
    <n v="18"/>
    <m/>
    <n v="10"/>
    <x v="3"/>
    <m/>
    <x v="4"/>
    <n v="1"/>
    <n v="2"/>
    <m/>
    <n v="5"/>
    <n v="20940"/>
  </r>
  <r>
    <x v="23"/>
    <x v="0"/>
    <n v="225"/>
    <n v="6"/>
    <n v="69"/>
    <x v="13"/>
    <n v="6"/>
    <x v="1"/>
    <n v="14"/>
    <n v="45"/>
    <n v="12"/>
    <n v="65"/>
    <n v="144370"/>
  </r>
  <r>
    <x v="24"/>
    <x v="0"/>
    <n v="871"/>
    <n v="44"/>
    <n v="222"/>
    <x v="10"/>
    <n v="9"/>
    <x v="10"/>
    <n v="100"/>
    <n v="175"/>
    <n v="35"/>
    <n v="274"/>
    <n v="173020"/>
  </r>
  <r>
    <x v="25"/>
    <x v="0"/>
    <n v="147"/>
    <n v="4"/>
    <n v="61"/>
    <x v="3"/>
    <n v="6"/>
    <x v="4"/>
    <n v="20"/>
    <n v="22"/>
    <n v="3"/>
    <n v="31"/>
    <n v="113590"/>
  </r>
  <r>
    <x v="26"/>
    <x v="0"/>
    <n v="14"/>
    <n v="1"/>
    <n v="5"/>
    <x v="3"/>
    <n v="1"/>
    <x v="4"/>
    <n v="2"/>
    <n v="3"/>
    <n v="1"/>
    <n v="1"/>
    <n v="22800"/>
  </r>
  <r>
    <x v="27"/>
    <x v="0"/>
    <n v="415"/>
    <n v="8"/>
    <n v="153"/>
    <x v="3"/>
    <n v="5"/>
    <x v="3"/>
    <n v="48"/>
    <n v="64"/>
    <n v="22"/>
    <n v="112"/>
    <n v="112490"/>
  </r>
  <r>
    <x v="28"/>
    <x v="0"/>
    <n v="1788"/>
    <n v="55"/>
    <n v="546"/>
    <x v="4"/>
    <n v="25"/>
    <x v="13"/>
    <n v="153"/>
    <n v="280"/>
    <n v="71"/>
    <n v="641"/>
    <n v="312180"/>
  </r>
  <r>
    <x v="29"/>
    <x v="0"/>
    <n v="249"/>
    <n v="3"/>
    <n v="86"/>
    <x v="6"/>
    <n v="4"/>
    <x v="4"/>
    <n v="39"/>
    <n v="37"/>
    <n v="7"/>
    <n v="71"/>
    <n v="88690"/>
  </r>
  <r>
    <x v="30"/>
    <x v="0"/>
    <n v="795"/>
    <n v="29"/>
    <n v="264"/>
    <x v="5"/>
    <n v="5"/>
    <x v="14"/>
    <n v="93"/>
    <n v="143"/>
    <n v="28"/>
    <n v="219"/>
    <n v="91080"/>
  </r>
  <r>
    <x v="31"/>
    <x v="0"/>
    <n v="968"/>
    <n v="29"/>
    <n v="385"/>
    <x v="14"/>
    <n v="14"/>
    <x v="15"/>
    <n v="151"/>
    <n v="149"/>
    <n v="25"/>
    <n v="195"/>
    <n v="173040"/>
  </r>
  <r>
    <x v="0"/>
    <x v="1"/>
    <n v="522"/>
    <n v="14"/>
    <n v="129"/>
    <x v="6"/>
    <n v="19"/>
    <x v="3"/>
    <n v="16"/>
    <n v="158"/>
    <n v="24"/>
    <n v="157"/>
    <n v="219730"/>
  </r>
  <r>
    <x v="1"/>
    <x v="1"/>
    <n v="264"/>
    <n v="8"/>
    <n v="98"/>
    <x v="5"/>
    <n v="12"/>
    <x v="11"/>
    <n v="17"/>
    <n v="39"/>
    <n v="8"/>
    <n v="75"/>
    <n v="251430"/>
  </r>
  <r>
    <x v="2"/>
    <x v="1"/>
    <n v="197"/>
    <n v="8"/>
    <n v="90"/>
    <x v="15"/>
    <n v="8"/>
    <x v="1"/>
    <n v="19"/>
    <n v="30"/>
    <n v="4"/>
    <n v="26"/>
    <n v="115410"/>
  </r>
  <r>
    <x v="3"/>
    <x v="1"/>
    <n v="260"/>
    <n v="7"/>
    <n v="164"/>
    <x v="12"/>
    <n v="7"/>
    <x v="5"/>
    <n v="24"/>
    <n v="27"/>
    <n v="9"/>
    <n v="13"/>
    <n v="88620"/>
  </r>
  <r>
    <x v="4"/>
    <x v="1"/>
    <n v="1886"/>
    <n v="44"/>
    <n v="507"/>
    <x v="13"/>
    <n v="39"/>
    <x v="10"/>
    <n v="254"/>
    <n v="564"/>
    <n v="96"/>
    <n v="371"/>
    <n v="469930"/>
  </r>
  <r>
    <x v="5"/>
    <x v="1"/>
    <n v="196"/>
    <n v="5"/>
    <n v="94"/>
    <x v="16"/>
    <n v="7"/>
    <x v="4"/>
    <n v="27"/>
    <n v="17"/>
    <n v="4"/>
    <n v="38"/>
    <n v="51330"/>
  </r>
  <r>
    <x v="6"/>
    <x v="1"/>
    <n v="260"/>
    <n v="3"/>
    <n v="117"/>
    <x v="3"/>
    <n v="8"/>
    <x v="4"/>
    <n v="20"/>
    <n v="42"/>
    <n v="6"/>
    <n v="64"/>
    <n v="151100"/>
  </r>
  <r>
    <x v="7"/>
    <x v="1"/>
    <n v="914"/>
    <n v="11"/>
    <n v="242"/>
    <x v="1"/>
    <n v="22"/>
    <x v="11"/>
    <n v="70"/>
    <n v="311"/>
    <n v="40"/>
    <n v="210"/>
    <n v="146060"/>
  </r>
  <r>
    <x v="8"/>
    <x v="1"/>
    <n v="1076"/>
    <n v="36"/>
    <n v="398"/>
    <x v="3"/>
    <n v="11"/>
    <x v="9"/>
    <n v="123"/>
    <n v="230"/>
    <n v="52"/>
    <n v="213"/>
    <n v="122410"/>
  </r>
  <r>
    <x v="9"/>
    <x v="1"/>
    <n v="342"/>
    <n v="17"/>
    <n v="138"/>
    <x v="3"/>
    <n v="9"/>
    <x v="10"/>
    <n v="46"/>
    <n v="49"/>
    <n v="8"/>
    <n v="71"/>
    <n v="104920"/>
  </r>
  <r>
    <x v="10"/>
    <x v="1"/>
    <n v="286"/>
    <n v="2"/>
    <n v="117"/>
    <x v="1"/>
    <n v="9"/>
    <x v="3"/>
    <n v="49"/>
    <n v="43"/>
    <n v="5"/>
    <n v="52"/>
    <n v="99140"/>
  </r>
  <r>
    <x v="11"/>
    <x v="1"/>
    <n v="293"/>
    <n v="11"/>
    <n v="124"/>
    <x v="0"/>
    <n v="4"/>
    <x v="1"/>
    <n v="40"/>
    <n v="47"/>
    <n v="8"/>
    <n v="57"/>
    <n v="90410"/>
  </r>
  <r>
    <x v="12"/>
    <x v="1"/>
    <n v="728"/>
    <n v="18"/>
    <n v="323"/>
    <x v="3"/>
    <n v="8"/>
    <x v="4"/>
    <n v="67"/>
    <n v="155"/>
    <n v="17"/>
    <n v="140"/>
    <n v="155130"/>
  </r>
  <r>
    <x v="13"/>
    <x v="1"/>
    <n v="1125"/>
    <n v="28"/>
    <n v="453"/>
    <x v="17"/>
    <n v="22"/>
    <x v="14"/>
    <n v="78"/>
    <n v="179"/>
    <n v="34"/>
    <n v="303"/>
    <n v="362610"/>
  </r>
  <r>
    <x v="14"/>
    <x v="1"/>
    <n v="3958"/>
    <n v="170"/>
    <n v="819"/>
    <x v="10"/>
    <n v="74"/>
    <x v="16"/>
    <n v="636"/>
    <n v="973"/>
    <n v="176"/>
    <n v="1076"/>
    <n v="586500"/>
  </r>
  <r>
    <x v="15"/>
    <x v="1"/>
    <n v="597"/>
    <n v="6"/>
    <n v="379"/>
    <x v="6"/>
    <n v="9"/>
    <x v="1"/>
    <n v="58"/>
    <n v="44"/>
    <n v="9"/>
    <n v="89"/>
    <n v="230730"/>
  </r>
  <r>
    <x v="16"/>
    <x v="1"/>
    <n v="899"/>
    <n v="28"/>
    <n v="413"/>
    <x v="0"/>
    <n v="10"/>
    <x v="0"/>
    <n v="124"/>
    <n v="135"/>
    <n v="14"/>
    <n v="169"/>
    <n v="81510"/>
  </r>
  <r>
    <x v="17"/>
    <x v="1"/>
    <n v="360"/>
    <n v="16"/>
    <n v="120"/>
    <x v="13"/>
    <n v="7"/>
    <x v="3"/>
    <n v="82"/>
    <n v="43"/>
    <n v="12"/>
    <n v="70"/>
    <n v="82360"/>
  </r>
  <r>
    <x v="18"/>
    <x v="1"/>
    <n v="173"/>
    <n v="2"/>
    <n v="84"/>
    <x v="0"/>
    <n v="6"/>
    <x v="3"/>
    <n v="8"/>
    <n v="30"/>
    <n v="3"/>
    <n v="36"/>
    <n v="93690"/>
  </r>
  <r>
    <x v="19"/>
    <x v="1"/>
    <n v="46"/>
    <n v="1"/>
    <n v="31"/>
    <x v="0"/>
    <n v="2"/>
    <x v="1"/>
    <m/>
    <n v="3"/>
    <m/>
    <n v="7"/>
    <n v="27600"/>
  </r>
  <r>
    <x v="20"/>
    <x v="1"/>
    <n v="1023"/>
    <n v="31"/>
    <n v="492"/>
    <x v="12"/>
    <n v="9"/>
    <x v="5"/>
    <n v="164"/>
    <n v="131"/>
    <n v="50"/>
    <n v="137"/>
    <n v="137800"/>
  </r>
  <r>
    <x v="21"/>
    <x v="1"/>
    <n v="2719"/>
    <n v="52"/>
    <n v="966"/>
    <x v="1"/>
    <n v="34"/>
    <x v="9"/>
    <n v="365"/>
    <n v="391"/>
    <n v="101"/>
    <n v="791"/>
    <n v="336280"/>
  </r>
  <r>
    <x v="22"/>
    <x v="1"/>
    <n v="11"/>
    <n v="2"/>
    <n v="2"/>
    <x v="3"/>
    <m/>
    <x v="4"/>
    <n v="2"/>
    <n v="1"/>
    <m/>
    <n v="4"/>
    <n v="21220"/>
  </r>
  <r>
    <x v="23"/>
    <x v="1"/>
    <n v="270"/>
    <n v="6"/>
    <n v="115"/>
    <x v="12"/>
    <n v="9"/>
    <x v="15"/>
    <n v="25"/>
    <n v="59"/>
    <n v="11"/>
    <n v="35"/>
    <n v="145600"/>
  </r>
  <r>
    <x v="24"/>
    <x v="1"/>
    <n v="1080"/>
    <n v="84"/>
    <n v="358"/>
    <x v="1"/>
    <n v="14"/>
    <x v="17"/>
    <n v="136"/>
    <n v="146"/>
    <n v="39"/>
    <n v="287"/>
    <n v="173700"/>
  </r>
  <r>
    <x v="25"/>
    <x v="1"/>
    <n v="150"/>
    <n v="2"/>
    <n v="72"/>
    <x v="12"/>
    <n v="5"/>
    <x v="4"/>
    <n v="31"/>
    <n v="18"/>
    <n v="3"/>
    <n v="16"/>
    <n v="113700"/>
  </r>
  <r>
    <x v="26"/>
    <x v="1"/>
    <n v="17"/>
    <m/>
    <n v="11"/>
    <x v="3"/>
    <m/>
    <x v="4"/>
    <n v="2"/>
    <n v="1"/>
    <n v="1"/>
    <n v="2"/>
    <n v="23060"/>
  </r>
  <r>
    <x v="27"/>
    <x v="1"/>
    <n v="620"/>
    <n v="29"/>
    <n v="188"/>
    <x v="3"/>
    <n v="8"/>
    <x v="18"/>
    <n v="146"/>
    <n v="132"/>
    <n v="19"/>
    <n v="87"/>
    <n v="112600"/>
  </r>
  <r>
    <x v="28"/>
    <x v="1"/>
    <n v="1944"/>
    <n v="38"/>
    <n v="691"/>
    <x v="7"/>
    <n v="35"/>
    <x v="19"/>
    <n v="200"/>
    <n v="313"/>
    <n v="56"/>
    <n v="581"/>
    <n v="313180"/>
  </r>
  <r>
    <x v="29"/>
    <x v="1"/>
    <n v="227"/>
    <n v="9"/>
    <n v="91"/>
    <x v="6"/>
    <n v="3"/>
    <x v="4"/>
    <n v="32"/>
    <n v="35"/>
    <n v="3"/>
    <n v="52"/>
    <n v="89550"/>
  </r>
  <r>
    <x v="30"/>
    <x v="1"/>
    <n v="856"/>
    <n v="38"/>
    <n v="332"/>
    <x v="12"/>
    <n v="6"/>
    <x v="14"/>
    <n v="94"/>
    <n v="168"/>
    <n v="33"/>
    <n v="173"/>
    <n v="90800"/>
  </r>
  <r>
    <x v="31"/>
    <x v="1"/>
    <n v="918"/>
    <n v="20"/>
    <n v="470"/>
    <x v="0"/>
    <n v="15"/>
    <x v="11"/>
    <n v="100"/>
    <n v="146"/>
    <n v="34"/>
    <n v="130"/>
    <n v="174090"/>
  </r>
  <r>
    <x v="0"/>
    <x v="2"/>
    <n v="605"/>
    <n v="23"/>
    <n v="138"/>
    <x v="0"/>
    <n v="20"/>
    <x v="4"/>
    <n v="5"/>
    <n v="214"/>
    <n v="17"/>
    <n v="187"/>
    <n v="222460"/>
  </r>
  <r>
    <x v="1"/>
    <x v="2"/>
    <n v="293"/>
    <n v="5"/>
    <n v="134"/>
    <x v="1"/>
    <n v="13"/>
    <x v="11"/>
    <n v="12"/>
    <n v="31"/>
    <n v="9"/>
    <n v="81"/>
    <n v="253650"/>
  </r>
  <r>
    <x v="2"/>
    <x v="2"/>
    <n v="201"/>
    <n v="5"/>
    <n v="85"/>
    <x v="10"/>
    <n v="10"/>
    <x v="1"/>
    <n v="18"/>
    <n v="23"/>
    <n v="5"/>
    <n v="46"/>
    <n v="116200"/>
  </r>
  <r>
    <x v="3"/>
    <x v="2"/>
    <n v="160"/>
    <n v="4"/>
    <n v="75"/>
    <x v="0"/>
    <n v="8"/>
    <x v="11"/>
    <n v="21"/>
    <n v="20"/>
    <n v="6"/>
    <n v="23"/>
    <n v="88930"/>
  </r>
  <r>
    <x v="4"/>
    <x v="2"/>
    <n v="1815"/>
    <n v="47"/>
    <n v="419"/>
    <x v="5"/>
    <n v="21"/>
    <x v="5"/>
    <n v="242"/>
    <n v="591"/>
    <n v="92"/>
    <n v="392"/>
    <n v="477940"/>
  </r>
  <r>
    <x v="5"/>
    <x v="2"/>
    <n v="120"/>
    <n v="3"/>
    <n v="38"/>
    <x v="12"/>
    <n v="3"/>
    <x v="4"/>
    <n v="9"/>
    <n v="20"/>
    <n v="4"/>
    <n v="40"/>
    <n v="51500"/>
  </r>
  <r>
    <x v="6"/>
    <x v="2"/>
    <n v="184"/>
    <n v="2"/>
    <n v="54"/>
    <x v="3"/>
    <n v="16"/>
    <x v="4"/>
    <n v="5"/>
    <n v="44"/>
    <n v="4"/>
    <n v="59"/>
    <n v="151410"/>
  </r>
  <r>
    <x v="7"/>
    <x v="2"/>
    <n v="716"/>
    <n v="21"/>
    <n v="174"/>
    <x v="10"/>
    <n v="12"/>
    <x v="1"/>
    <n v="47"/>
    <n v="215"/>
    <n v="28"/>
    <n v="210"/>
    <n v="147200"/>
  </r>
  <r>
    <x v="8"/>
    <x v="2"/>
    <n v="753"/>
    <n v="36"/>
    <n v="163"/>
    <x v="12"/>
    <n v="8"/>
    <x v="9"/>
    <n v="68"/>
    <n v="203"/>
    <n v="40"/>
    <n v="219"/>
    <n v="122690"/>
  </r>
  <r>
    <x v="9"/>
    <x v="2"/>
    <n v="201"/>
    <n v="11"/>
    <n v="70"/>
    <x v="12"/>
    <n v="7"/>
    <x v="10"/>
    <n v="21"/>
    <n v="24"/>
    <n v="4"/>
    <n v="57"/>
    <n v="105000"/>
  </r>
  <r>
    <x v="10"/>
    <x v="2"/>
    <n v="289"/>
    <n v="6"/>
    <n v="108"/>
    <x v="14"/>
    <n v="6"/>
    <x v="1"/>
    <n v="26"/>
    <n v="38"/>
    <n v="4"/>
    <n v="87"/>
    <n v="99920"/>
  </r>
  <r>
    <x v="11"/>
    <x v="2"/>
    <n v="190"/>
    <n v="13"/>
    <n v="58"/>
    <x v="3"/>
    <n v="8"/>
    <x v="11"/>
    <n v="27"/>
    <n v="28"/>
    <n v="4"/>
    <n v="50"/>
    <n v="90810"/>
  </r>
  <r>
    <x v="12"/>
    <x v="2"/>
    <n v="571"/>
    <n v="15"/>
    <n v="174"/>
    <x v="16"/>
    <n v="8"/>
    <x v="1"/>
    <n v="80"/>
    <n v="165"/>
    <n v="12"/>
    <n v="112"/>
    <n v="156250"/>
  </r>
  <r>
    <x v="13"/>
    <x v="2"/>
    <n v="986"/>
    <n v="29"/>
    <n v="279"/>
    <x v="2"/>
    <n v="42"/>
    <x v="10"/>
    <n v="55"/>
    <n v="225"/>
    <n v="16"/>
    <n v="322"/>
    <n v="365300"/>
  </r>
  <r>
    <x v="14"/>
    <x v="2"/>
    <n v="2828"/>
    <n v="113"/>
    <n v="428"/>
    <x v="12"/>
    <n v="51"/>
    <x v="17"/>
    <n v="450"/>
    <n v="897"/>
    <n v="132"/>
    <n v="744"/>
    <n v="593060"/>
  </r>
  <r>
    <x v="15"/>
    <x v="2"/>
    <n v="664"/>
    <n v="13"/>
    <n v="430"/>
    <x v="5"/>
    <n v="14"/>
    <x v="3"/>
    <n v="52"/>
    <n v="56"/>
    <n v="13"/>
    <n v="78"/>
    <n v="232730"/>
  </r>
  <r>
    <x v="16"/>
    <x v="2"/>
    <n v="648"/>
    <n v="49"/>
    <n v="193"/>
    <x v="6"/>
    <n v="13"/>
    <x v="3"/>
    <n v="89"/>
    <n v="124"/>
    <n v="12"/>
    <n v="163"/>
    <n v="81220"/>
  </r>
  <r>
    <x v="17"/>
    <x v="2"/>
    <n v="376"/>
    <n v="13"/>
    <n v="86"/>
    <x v="1"/>
    <n v="6"/>
    <x v="11"/>
    <n v="96"/>
    <n v="55"/>
    <n v="14"/>
    <n v="98"/>
    <n v="83450"/>
  </r>
  <r>
    <x v="18"/>
    <x v="2"/>
    <n v="191"/>
    <n v="12"/>
    <n v="118"/>
    <x v="16"/>
    <n v="2"/>
    <x v="11"/>
    <n v="7"/>
    <n v="12"/>
    <n v="4"/>
    <n v="30"/>
    <n v="93470"/>
  </r>
  <r>
    <x v="19"/>
    <x v="2"/>
    <n v="74"/>
    <n v="1"/>
    <n v="63"/>
    <x v="0"/>
    <n v="1"/>
    <x v="4"/>
    <m/>
    <n v="3"/>
    <n v="1"/>
    <n v="4"/>
    <n v="27690"/>
  </r>
  <r>
    <x v="20"/>
    <x v="2"/>
    <n v="641"/>
    <n v="15"/>
    <n v="174"/>
    <x v="6"/>
    <n v="10"/>
    <x v="10"/>
    <n v="165"/>
    <n v="154"/>
    <n v="19"/>
    <n v="98"/>
    <n v="138090"/>
  </r>
  <r>
    <x v="21"/>
    <x v="2"/>
    <n v="1962"/>
    <n v="40"/>
    <n v="504"/>
    <x v="0"/>
    <n v="30"/>
    <x v="19"/>
    <n v="284"/>
    <n v="385"/>
    <n v="83"/>
    <n v="621"/>
    <n v="337720"/>
  </r>
  <r>
    <x v="22"/>
    <x v="2"/>
    <n v="6"/>
    <m/>
    <n v="3"/>
    <x v="0"/>
    <m/>
    <x v="4"/>
    <m/>
    <m/>
    <m/>
    <n v="2"/>
    <n v="21420"/>
  </r>
  <r>
    <x v="23"/>
    <x v="2"/>
    <n v="234"/>
    <n v="9"/>
    <n v="81"/>
    <x v="12"/>
    <n v="11"/>
    <x v="1"/>
    <n v="13"/>
    <n v="63"/>
    <n v="7"/>
    <n v="46"/>
    <n v="146850"/>
  </r>
  <r>
    <x v="24"/>
    <x v="2"/>
    <n v="759"/>
    <n v="49"/>
    <n v="196"/>
    <x v="16"/>
    <n v="19"/>
    <x v="10"/>
    <n v="113"/>
    <n v="147"/>
    <n v="52"/>
    <n v="175"/>
    <n v="174700"/>
  </r>
  <r>
    <x v="25"/>
    <x v="2"/>
    <n v="126"/>
    <n v="5"/>
    <n v="53"/>
    <x v="6"/>
    <m/>
    <x v="4"/>
    <n v="23"/>
    <n v="21"/>
    <m/>
    <n v="22"/>
    <n v="113880"/>
  </r>
  <r>
    <x v="26"/>
    <x v="2"/>
    <n v="13"/>
    <n v="1"/>
    <n v="2"/>
    <x v="3"/>
    <n v="3"/>
    <x v="1"/>
    <m/>
    <n v="2"/>
    <m/>
    <n v="4"/>
    <n v="23240"/>
  </r>
  <r>
    <x v="27"/>
    <x v="2"/>
    <n v="359"/>
    <n v="18"/>
    <n v="93"/>
    <x v="6"/>
    <n v="10"/>
    <x v="3"/>
    <n v="69"/>
    <n v="86"/>
    <n v="14"/>
    <n v="64"/>
    <n v="112980"/>
  </r>
  <r>
    <x v="28"/>
    <x v="2"/>
    <n v="1293"/>
    <n v="28"/>
    <n v="345"/>
    <x v="5"/>
    <n v="19"/>
    <x v="14"/>
    <n v="127"/>
    <n v="308"/>
    <n v="66"/>
    <n v="386"/>
    <n v="313900"/>
  </r>
  <r>
    <x v="29"/>
    <x v="2"/>
    <n v="168"/>
    <n v="4"/>
    <n v="48"/>
    <x v="16"/>
    <n v="4"/>
    <x v="1"/>
    <n v="29"/>
    <n v="35"/>
    <n v="4"/>
    <n v="39"/>
    <n v="90330"/>
  </r>
  <r>
    <x v="30"/>
    <x v="2"/>
    <n v="510"/>
    <n v="43"/>
    <n v="127"/>
    <x v="6"/>
    <n v="9"/>
    <x v="0"/>
    <n v="61"/>
    <n v="111"/>
    <n v="21"/>
    <n v="131"/>
    <n v="90610"/>
  </r>
  <r>
    <x v="31"/>
    <x v="2"/>
    <n v="747"/>
    <n v="9"/>
    <n v="305"/>
    <x v="16"/>
    <n v="8"/>
    <x v="11"/>
    <n v="69"/>
    <n v="173"/>
    <n v="18"/>
    <n v="159"/>
    <n v="175300"/>
  </r>
  <r>
    <x v="0"/>
    <x v="3"/>
    <n v="447"/>
    <n v="26"/>
    <n v="67"/>
    <x v="0"/>
    <n v="10"/>
    <x v="4"/>
    <n v="5"/>
    <n v="161"/>
    <n v="23"/>
    <n v="154"/>
    <n v="224910"/>
  </r>
  <r>
    <x v="1"/>
    <x v="3"/>
    <n v="205"/>
    <n v="6"/>
    <n v="48"/>
    <x v="1"/>
    <n v="10"/>
    <x v="4"/>
    <n v="4"/>
    <n v="35"/>
    <n v="12"/>
    <n v="84"/>
    <n v="255560"/>
  </r>
  <r>
    <x v="2"/>
    <x v="3"/>
    <n v="137"/>
    <n v="3"/>
    <n v="49"/>
    <x v="16"/>
    <n v="5"/>
    <x v="4"/>
    <n v="18"/>
    <n v="31"/>
    <n v="7"/>
    <n v="20"/>
    <n v="116220"/>
  </r>
  <r>
    <x v="3"/>
    <x v="3"/>
    <n v="148"/>
    <n v="5"/>
    <n v="79"/>
    <x v="6"/>
    <n v="2"/>
    <x v="4"/>
    <n v="15"/>
    <n v="26"/>
    <m/>
    <n v="19"/>
    <n v="86910"/>
  </r>
  <r>
    <x v="4"/>
    <x v="3"/>
    <n v="1223"/>
    <n v="13"/>
    <n v="215"/>
    <x v="0"/>
    <n v="19"/>
    <x v="3"/>
    <n v="230"/>
    <n v="461"/>
    <n v="94"/>
    <n v="187"/>
    <n v="482630"/>
  </r>
  <r>
    <x v="5"/>
    <x v="3"/>
    <n v="96"/>
    <n v="2"/>
    <n v="22"/>
    <x v="12"/>
    <n v="7"/>
    <x v="4"/>
    <n v="10"/>
    <n v="28"/>
    <n v="5"/>
    <n v="19"/>
    <n v="51280"/>
  </r>
  <r>
    <x v="6"/>
    <x v="3"/>
    <n v="125"/>
    <n v="4"/>
    <n v="29"/>
    <x v="3"/>
    <n v="13"/>
    <x v="1"/>
    <n v="3"/>
    <n v="22"/>
    <n v="4"/>
    <n v="49"/>
    <n v="150840"/>
  </r>
  <r>
    <x v="7"/>
    <x v="3"/>
    <n v="413"/>
    <n v="7"/>
    <n v="66"/>
    <x v="0"/>
    <n v="9"/>
    <x v="1"/>
    <n v="48"/>
    <n v="145"/>
    <n v="28"/>
    <n v="108"/>
    <n v="147780"/>
  </r>
  <r>
    <x v="8"/>
    <x v="3"/>
    <n v="675"/>
    <n v="15"/>
    <n v="180"/>
    <x v="16"/>
    <n v="12"/>
    <x v="10"/>
    <n v="89"/>
    <n v="166"/>
    <n v="30"/>
    <n v="175"/>
    <n v="122730"/>
  </r>
  <r>
    <x v="9"/>
    <x v="3"/>
    <n v="145"/>
    <n v="5"/>
    <n v="27"/>
    <x v="3"/>
    <n v="6"/>
    <x v="11"/>
    <n v="20"/>
    <n v="33"/>
    <n v="7"/>
    <n v="45"/>
    <n v="105880"/>
  </r>
  <r>
    <x v="10"/>
    <x v="3"/>
    <n v="128"/>
    <n v="3"/>
    <n v="29"/>
    <x v="12"/>
    <n v="4"/>
    <x v="1"/>
    <n v="30"/>
    <n v="16"/>
    <n v="12"/>
    <n v="30"/>
    <n v="100860"/>
  </r>
  <r>
    <x v="11"/>
    <x v="3"/>
    <n v="177"/>
    <n v="9"/>
    <n v="45"/>
    <x v="3"/>
    <n v="3"/>
    <x v="3"/>
    <n v="27"/>
    <n v="35"/>
    <n v="10"/>
    <n v="45"/>
    <n v="91040"/>
  </r>
  <r>
    <x v="12"/>
    <x v="3"/>
    <n v="374"/>
    <n v="4"/>
    <n v="111"/>
    <x v="3"/>
    <n v="9"/>
    <x v="4"/>
    <n v="81"/>
    <n v="91"/>
    <n v="12"/>
    <n v="66"/>
    <n v="156800"/>
  </r>
  <r>
    <x v="13"/>
    <x v="3"/>
    <n v="693"/>
    <n v="15"/>
    <n v="133"/>
    <x v="5"/>
    <n v="19"/>
    <x v="0"/>
    <n v="5"/>
    <n v="198"/>
    <n v="27"/>
    <n v="286"/>
    <n v="366210"/>
  </r>
  <r>
    <x v="14"/>
    <x v="3"/>
    <n v="2475"/>
    <n v="105"/>
    <n v="388"/>
    <x v="12"/>
    <n v="53"/>
    <x v="18"/>
    <n v="320"/>
    <n v="805"/>
    <n v="98"/>
    <n v="692"/>
    <n v="595070"/>
  </r>
  <r>
    <x v="15"/>
    <x v="3"/>
    <n v="504"/>
    <n v="9"/>
    <n v="341"/>
    <x v="0"/>
    <n v="9"/>
    <x v="10"/>
    <n v="47"/>
    <n v="44"/>
    <n v="6"/>
    <n v="43"/>
    <n v="232890"/>
  </r>
  <r>
    <x v="16"/>
    <x v="3"/>
    <n v="513"/>
    <n v="32"/>
    <n v="152"/>
    <x v="3"/>
    <n v="7"/>
    <x v="1"/>
    <n v="84"/>
    <n v="81"/>
    <n v="10"/>
    <n v="146"/>
    <n v="80690"/>
  </r>
  <r>
    <x v="17"/>
    <x v="3"/>
    <n v="166"/>
    <n v="1"/>
    <n v="48"/>
    <x v="12"/>
    <n v="2"/>
    <x v="4"/>
    <n v="39"/>
    <n v="27"/>
    <n v="5"/>
    <n v="41"/>
    <n v="84240"/>
  </r>
  <r>
    <x v="18"/>
    <x v="3"/>
    <n v="105"/>
    <n v="3"/>
    <n v="59"/>
    <x v="0"/>
    <n v="4"/>
    <x v="11"/>
    <n v="1"/>
    <n v="18"/>
    <n v="2"/>
    <n v="15"/>
    <n v="92930"/>
  </r>
  <r>
    <x v="19"/>
    <x v="3"/>
    <n v="130"/>
    <n v="1"/>
    <n v="119"/>
    <x v="3"/>
    <n v="2"/>
    <x v="4"/>
    <n v="4"/>
    <n v="1"/>
    <n v="1"/>
    <n v="2"/>
    <n v="27560"/>
  </r>
  <r>
    <x v="20"/>
    <x v="3"/>
    <n v="632"/>
    <n v="18"/>
    <n v="167"/>
    <x v="16"/>
    <n v="14"/>
    <x v="0"/>
    <n v="157"/>
    <n v="99"/>
    <n v="17"/>
    <n v="151"/>
    <n v="137570"/>
  </r>
  <r>
    <x v="21"/>
    <x v="3"/>
    <n v="1513"/>
    <n v="40"/>
    <n v="348"/>
    <x v="12"/>
    <n v="20"/>
    <x v="0"/>
    <n v="235"/>
    <n v="366"/>
    <n v="58"/>
    <n v="438"/>
    <n v="337890"/>
  </r>
  <r>
    <x v="22"/>
    <x v="3"/>
    <n v="7"/>
    <m/>
    <n v="4"/>
    <x v="3"/>
    <m/>
    <x v="4"/>
    <m/>
    <n v="1"/>
    <m/>
    <n v="2"/>
    <n v="21530"/>
  </r>
  <r>
    <x v="23"/>
    <x v="3"/>
    <n v="131"/>
    <n v="10"/>
    <n v="33"/>
    <x v="6"/>
    <n v="10"/>
    <x v="4"/>
    <n v="15"/>
    <n v="31"/>
    <n v="11"/>
    <n v="19"/>
    <n v="147740"/>
  </r>
  <r>
    <x v="24"/>
    <x v="3"/>
    <n v="634"/>
    <n v="34"/>
    <n v="132"/>
    <x v="0"/>
    <n v="19"/>
    <x v="3"/>
    <n v="84"/>
    <n v="150"/>
    <n v="43"/>
    <n v="168"/>
    <n v="174300"/>
  </r>
  <r>
    <x v="25"/>
    <x v="3"/>
    <n v="65"/>
    <n v="1"/>
    <n v="27"/>
    <x v="12"/>
    <n v="6"/>
    <x v="4"/>
    <n v="9"/>
    <n v="8"/>
    <n v="6"/>
    <n v="5"/>
    <n v="113720"/>
  </r>
  <r>
    <x v="26"/>
    <x v="3"/>
    <n v="13"/>
    <n v="1"/>
    <n v="8"/>
    <x v="3"/>
    <n v="2"/>
    <x v="11"/>
    <m/>
    <m/>
    <m/>
    <m/>
    <n v="23210"/>
  </r>
  <r>
    <x v="27"/>
    <x v="3"/>
    <n v="299"/>
    <n v="13"/>
    <n v="67"/>
    <x v="1"/>
    <n v="13"/>
    <x v="10"/>
    <n v="32"/>
    <n v="88"/>
    <n v="15"/>
    <n v="61"/>
    <n v="112920"/>
  </r>
  <r>
    <x v="28"/>
    <x v="3"/>
    <n v="1087"/>
    <n v="30"/>
    <n v="215"/>
    <x v="0"/>
    <n v="20"/>
    <x v="5"/>
    <n v="132"/>
    <n v="311"/>
    <n v="37"/>
    <n v="335"/>
    <n v="314330"/>
  </r>
  <r>
    <x v="29"/>
    <x v="3"/>
    <n v="127"/>
    <n v="6"/>
    <n v="35"/>
    <x v="3"/>
    <n v="5"/>
    <x v="4"/>
    <n v="14"/>
    <n v="26"/>
    <n v="5"/>
    <n v="36"/>
    <n v="91010"/>
  </r>
  <r>
    <x v="30"/>
    <x v="3"/>
    <n v="446"/>
    <n v="53"/>
    <n v="107"/>
    <x v="0"/>
    <n v="8"/>
    <x v="10"/>
    <n v="62"/>
    <n v="104"/>
    <n v="22"/>
    <n v="85"/>
    <n v="90340"/>
  </r>
  <r>
    <x v="31"/>
    <x v="3"/>
    <n v="440"/>
    <n v="8"/>
    <n v="124"/>
    <x v="6"/>
    <n v="14"/>
    <x v="11"/>
    <n v="85"/>
    <n v="114"/>
    <n v="18"/>
    <n v="73"/>
    <n v="176010"/>
  </r>
  <r>
    <x v="0"/>
    <x v="4"/>
    <n v="430"/>
    <n v="9"/>
    <n v="100"/>
    <x v="3"/>
    <n v="14"/>
    <x v="4"/>
    <n v="6"/>
    <n v="149"/>
    <n v="14"/>
    <n v="138"/>
    <n v="227070"/>
  </r>
  <r>
    <x v="1"/>
    <x v="4"/>
    <n v="301"/>
    <n v="16"/>
    <n v="120"/>
    <x v="1"/>
    <n v="12"/>
    <x v="11"/>
    <n v="2"/>
    <n v="30"/>
    <n v="14"/>
    <n v="99"/>
    <n v="257770"/>
  </r>
  <r>
    <x v="2"/>
    <x v="4"/>
    <n v="199"/>
    <n v="4"/>
    <n v="96"/>
    <x v="6"/>
    <n v="9"/>
    <x v="1"/>
    <n v="41"/>
    <n v="22"/>
    <n v="1"/>
    <n v="23"/>
    <n v="116290"/>
  </r>
  <r>
    <x v="3"/>
    <x v="4"/>
    <n v="133"/>
    <n v="3"/>
    <n v="66"/>
    <x v="6"/>
    <n v="5"/>
    <x v="11"/>
    <n v="27"/>
    <n v="14"/>
    <n v="2"/>
    <n v="12"/>
    <n v="88050"/>
  </r>
  <r>
    <x v="4"/>
    <x v="4"/>
    <n v="1460"/>
    <n v="16"/>
    <n v="355"/>
    <x v="0"/>
    <n v="31"/>
    <x v="10"/>
    <n v="250"/>
    <n v="497"/>
    <n v="117"/>
    <n v="189"/>
    <n v="487460"/>
  </r>
  <r>
    <x v="5"/>
    <x v="4"/>
    <n v="110"/>
    <n v="3"/>
    <n v="60"/>
    <x v="0"/>
    <n v="1"/>
    <x v="1"/>
    <n v="15"/>
    <n v="13"/>
    <n v="4"/>
    <n v="12"/>
    <n v="51280"/>
  </r>
  <r>
    <x v="6"/>
    <x v="4"/>
    <n v="172"/>
    <n v="2"/>
    <n v="62"/>
    <x v="3"/>
    <n v="14"/>
    <x v="11"/>
    <n v="3"/>
    <n v="26"/>
    <n v="5"/>
    <n v="58"/>
    <n v="150280"/>
  </r>
  <r>
    <x v="7"/>
    <x v="4"/>
    <n v="647"/>
    <n v="21"/>
    <n v="205"/>
    <x v="3"/>
    <n v="14"/>
    <x v="3"/>
    <n v="65"/>
    <n v="182"/>
    <n v="31"/>
    <n v="126"/>
    <n v="148100"/>
  </r>
  <r>
    <x v="8"/>
    <x v="4"/>
    <n v="693"/>
    <n v="14"/>
    <n v="306"/>
    <x v="12"/>
    <n v="5"/>
    <x v="3"/>
    <n v="49"/>
    <n v="131"/>
    <n v="23"/>
    <n v="159"/>
    <n v="122430"/>
  </r>
  <r>
    <x v="9"/>
    <x v="4"/>
    <n v="221"/>
    <n v="5"/>
    <n v="74"/>
    <x v="0"/>
    <n v="10"/>
    <x v="10"/>
    <n v="23"/>
    <n v="42"/>
    <n v="10"/>
    <n v="52"/>
    <n v="105840"/>
  </r>
  <r>
    <x v="10"/>
    <x v="4"/>
    <n v="237"/>
    <n v="2"/>
    <n v="121"/>
    <x v="6"/>
    <n v="4"/>
    <x v="1"/>
    <n v="41"/>
    <n v="30"/>
    <n v="8"/>
    <n v="28"/>
    <n v="101390"/>
  </r>
  <r>
    <x v="11"/>
    <x v="4"/>
    <n v="154"/>
    <n v="9"/>
    <n v="63"/>
    <x v="3"/>
    <n v="5"/>
    <x v="3"/>
    <n v="23"/>
    <n v="15"/>
    <n v="7"/>
    <n v="29"/>
    <n v="91530"/>
  </r>
  <r>
    <x v="12"/>
    <x v="4"/>
    <n v="499"/>
    <n v="2"/>
    <n v="191"/>
    <x v="6"/>
    <n v="24"/>
    <x v="1"/>
    <n v="101"/>
    <n v="103"/>
    <n v="20"/>
    <n v="55"/>
    <n v="157160"/>
  </r>
  <r>
    <x v="13"/>
    <x v="4"/>
    <n v="801"/>
    <n v="19"/>
    <n v="305"/>
    <x v="15"/>
    <n v="26"/>
    <x v="11"/>
    <n v="8"/>
    <n v="120"/>
    <n v="22"/>
    <n v="288"/>
    <n v="366900"/>
  </r>
  <r>
    <x v="14"/>
    <x v="4"/>
    <n v="2842"/>
    <n v="88"/>
    <n v="753"/>
    <x v="16"/>
    <n v="59"/>
    <x v="15"/>
    <n v="290"/>
    <n v="780"/>
    <n v="143"/>
    <n v="718"/>
    <n v="596520"/>
  </r>
  <r>
    <x v="15"/>
    <x v="4"/>
    <n v="556"/>
    <n v="12"/>
    <n v="391"/>
    <x v="0"/>
    <n v="17"/>
    <x v="10"/>
    <n v="44"/>
    <n v="41"/>
    <n v="10"/>
    <n v="36"/>
    <n v="232930"/>
  </r>
  <r>
    <x v="16"/>
    <x v="4"/>
    <n v="447"/>
    <n v="18"/>
    <n v="210"/>
    <x v="6"/>
    <n v="9"/>
    <x v="4"/>
    <n v="44"/>
    <n v="65"/>
    <n v="8"/>
    <n v="91"/>
    <n v="80340"/>
  </r>
  <r>
    <x v="17"/>
    <x v="4"/>
    <n v="336"/>
    <n v="11"/>
    <n v="145"/>
    <x v="13"/>
    <n v="9"/>
    <x v="11"/>
    <n v="71"/>
    <n v="37"/>
    <n v="11"/>
    <n v="43"/>
    <n v="84710"/>
  </r>
  <r>
    <x v="18"/>
    <x v="4"/>
    <n v="128"/>
    <n v="3"/>
    <n v="84"/>
    <x v="6"/>
    <n v="4"/>
    <x v="10"/>
    <n v="1"/>
    <n v="11"/>
    <n v="2"/>
    <n v="17"/>
    <n v="94360"/>
  </r>
  <r>
    <x v="19"/>
    <x v="4"/>
    <n v="87"/>
    <n v="1"/>
    <n v="75"/>
    <x v="3"/>
    <n v="2"/>
    <x v="1"/>
    <n v="1"/>
    <n v="4"/>
    <m/>
    <n v="3"/>
    <n v="27400"/>
  </r>
  <r>
    <x v="20"/>
    <x v="4"/>
    <n v="553"/>
    <n v="5"/>
    <n v="215"/>
    <x v="6"/>
    <n v="7"/>
    <x v="5"/>
    <n v="114"/>
    <n v="103"/>
    <n v="11"/>
    <n v="90"/>
    <n v="136940"/>
  </r>
  <r>
    <x v="21"/>
    <x v="4"/>
    <n v="1844"/>
    <n v="14"/>
    <n v="739"/>
    <x v="5"/>
    <n v="29"/>
    <x v="0"/>
    <n v="212"/>
    <n v="343"/>
    <n v="56"/>
    <n v="441"/>
    <n v="337780"/>
  </r>
  <r>
    <x v="22"/>
    <x v="4"/>
    <n v="13"/>
    <m/>
    <n v="10"/>
    <x v="3"/>
    <n v="1"/>
    <x v="4"/>
    <m/>
    <n v="1"/>
    <m/>
    <n v="1"/>
    <n v="21560"/>
  </r>
  <r>
    <x v="23"/>
    <x v="4"/>
    <n v="128"/>
    <n v="1"/>
    <n v="54"/>
    <x v="0"/>
    <n v="2"/>
    <x v="3"/>
    <n v="21"/>
    <n v="21"/>
    <n v="5"/>
    <n v="20"/>
    <n v="147770"/>
  </r>
  <r>
    <x v="24"/>
    <x v="4"/>
    <n v="523"/>
    <n v="19"/>
    <n v="183"/>
    <x v="6"/>
    <n v="6"/>
    <x v="3"/>
    <n v="49"/>
    <n v="112"/>
    <n v="22"/>
    <n v="127"/>
    <n v="173890"/>
  </r>
  <r>
    <x v="25"/>
    <x v="4"/>
    <n v="107"/>
    <n v="2"/>
    <n v="56"/>
    <x v="0"/>
    <n v="8"/>
    <x v="1"/>
    <n v="14"/>
    <n v="14"/>
    <n v="5"/>
    <n v="6"/>
    <n v="113880"/>
  </r>
  <r>
    <x v="26"/>
    <x v="4"/>
    <n v="9"/>
    <m/>
    <n v="2"/>
    <x v="3"/>
    <n v="1"/>
    <x v="4"/>
    <n v="1"/>
    <n v="1"/>
    <n v="2"/>
    <n v="2"/>
    <n v="23200"/>
  </r>
  <r>
    <x v="27"/>
    <x v="4"/>
    <n v="294"/>
    <n v="13"/>
    <n v="93"/>
    <x v="6"/>
    <n v="4"/>
    <x v="10"/>
    <n v="36"/>
    <n v="69"/>
    <n v="14"/>
    <n v="59"/>
    <n v="112870"/>
  </r>
  <r>
    <x v="28"/>
    <x v="4"/>
    <n v="1209"/>
    <n v="39"/>
    <n v="408"/>
    <x v="16"/>
    <n v="22"/>
    <x v="15"/>
    <n v="110"/>
    <n v="227"/>
    <n v="56"/>
    <n v="336"/>
    <n v="314810"/>
  </r>
  <r>
    <x v="29"/>
    <x v="4"/>
    <n v="130"/>
    <n v="2"/>
    <n v="54"/>
    <x v="0"/>
    <n v="6"/>
    <x v="4"/>
    <n v="20"/>
    <n v="20"/>
    <n v="4"/>
    <n v="23"/>
    <n v="91230"/>
  </r>
  <r>
    <x v="30"/>
    <x v="4"/>
    <n v="496"/>
    <n v="19"/>
    <n v="215"/>
    <x v="0"/>
    <n v="1"/>
    <x v="3"/>
    <n v="51"/>
    <n v="101"/>
    <n v="5"/>
    <n v="100"/>
    <n v="89800"/>
  </r>
  <r>
    <x v="31"/>
    <x v="4"/>
    <n v="602"/>
    <n v="7"/>
    <n v="276"/>
    <x v="6"/>
    <n v="14"/>
    <x v="11"/>
    <n v="83"/>
    <n v="138"/>
    <n v="16"/>
    <n v="64"/>
    <n v="176160"/>
  </r>
  <r>
    <x v="0"/>
    <x v="5"/>
    <n v="402"/>
    <n v="18"/>
    <n v="67"/>
    <x v="3"/>
    <n v="13"/>
    <x v="11"/>
    <n v="1"/>
    <n v="182"/>
    <n v="18"/>
    <n v="101"/>
    <n v="228920"/>
  </r>
  <r>
    <x v="1"/>
    <x v="5"/>
    <n v="221"/>
    <n v="10"/>
    <n v="68"/>
    <x v="10"/>
    <n v="9"/>
    <x v="10"/>
    <n v="1"/>
    <n v="29"/>
    <n v="9"/>
    <n v="83"/>
    <n v="260530"/>
  </r>
  <r>
    <x v="2"/>
    <x v="5"/>
    <n v="161"/>
    <n v="6"/>
    <n v="57"/>
    <x v="4"/>
    <n v="4"/>
    <x v="3"/>
    <n v="27"/>
    <n v="30"/>
    <n v="6"/>
    <n v="19"/>
    <n v="116740"/>
  </r>
  <r>
    <x v="3"/>
    <x v="5"/>
    <n v="88"/>
    <n v="1"/>
    <n v="24"/>
    <x v="0"/>
    <n v="8"/>
    <x v="10"/>
    <n v="18"/>
    <n v="11"/>
    <n v="4"/>
    <n v="17"/>
    <n v="87650"/>
  </r>
  <r>
    <x v="4"/>
    <x v="5"/>
    <n v="1354"/>
    <n v="9"/>
    <n v="260"/>
    <x v="12"/>
    <n v="35"/>
    <x v="1"/>
    <n v="225"/>
    <n v="513"/>
    <n v="88"/>
    <n v="220"/>
    <n v="492610"/>
  </r>
  <r>
    <x v="5"/>
    <x v="5"/>
    <n v="85"/>
    <m/>
    <n v="41"/>
    <x v="12"/>
    <n v="1"/>
    <x v="4"/>
    <n v="5"/>
    <n v="18"/>
    <n v="2"/>
    <n v="15"/>
    <n v="51190"/>
  </r>
  <r>
    <x v="6"/>
    <x v="5"/>
    <n v="143"/>
    <n v="1"/>
    <n v="42"/>
    <x v="3"/>
    <n v="12"/>
    <x v="1"/>
    <n v="10"/>
    <n v="23"/>
    <n v="3"/>
    <n v="51"/>
    <n v="149960"/>
  </r>
  <r>
    <x v="7"/>
    <x v="5"/>
    <n v="598"/>
    <n v="12"/>
    <n v="176"/>
    <x v="0"/>
    <n v="9"/>
    <x v="3"/>
    <n v="67"/>
    <n v="182"/>
    <n v="32"/>
    <n v="116"/>
    <n v="148130"/>
  </r>
  <r>
    <x v="8"/>
    <x v="5"/>
    <n v="444"/>
    <n v="16"/>
    <n v="116"/>
    <x v="0"/>
    <n v="5"/>
    <x v="11"/>
    <n v="54"/>
    <n v="88"/>
    <n v="17"/>
    <n v="145"/>
    <n v="122130"/>
  </r>
  <r>
    <x v="9"/>
    <x v="5"/>
    <n v="178"/>
    <n v="5"/>
    <n v="48"/>
    <x v="3"/>
    <n v="6"/>
    <x v="4"/>
    <n v="25"/>
    <n v="35"/>
    <n v="6"/>
    <n v="53"/>
    <n v="106710"/>
  </r>
  <r>
    <x v="10"/>
    <x v="5"/>
    <n v="144"/>
    <n v="10"/>
    <n v="45"/>
    <x v="15"/>
    <n v="3"/>
    <x v="4"/>
    <n v="24"/>
    <n v="25"/>
    <n v="11"/>
    <n v="15"/>
    <n v="102090"/>
  </r>
  <r>
    <x v="11"/>
    <x v="5"/>
    <n v="132"/>
    <n v="7"/>
    <n v="32"/>
    <x v="3"/>
    <n v="6"/>
    <x v="4"/>
    <n v="24"/>
    <n v="18"/>
    <n v="12"/>
    <n v="33"/>
    <n v="92410"/>
  </r>
  <r>
    <x v="12"/>
    <x v="5"/>
    <n v="383"/>
    <n v="6"/>
    <n v="135"/>
    <x v="3"/>
    <n v="8"/>
    <x v="11"/>
    <n v="64"/>
    <n v="102"/>
    <n v="6"/>
    <n v="60"/>
    <n v="157690"/>
  </r>
  <r>
    <x v="13"/>
    <x v="5"/>
    <n v="681"/>
    <n v="18"/>
    <n v="201"/>
    <x v="10"/>
    <n v="30"/>
    <x v="1"/>
    <n v="23"/>
    <n v="123"/>
    <n v="21"/>
    <n v="256"/>
    <n v="367250"/>
  </r>
  <r>
    <x v="14"/>
    <x v="5"/>
    <n v="2626"/>
    <n v="82"/>
    <n v="557"/>
    <x v="5"/>
    <n v="41"/>
    <x v="17"/>
    <n v="302"/>
    <n v="876"/>
    <n v="115"/>
    <n v="638"/>
    <n v="599640"/>
  </r>
  <r>
    <x v="15"/>
    <x v="5"/>
    <n v="337"/>
    <n v="9"/>
    <n v="202"/>
    <x v="6"/>
    <n v="11"/>
    <x v="4"/>
    <n v="30"/>
    <n v="46"/>
    <n v="7"/>
    <n v="30"/>
    <n v="233080"/>
  </r>
  <r>
    <x v="16"/>
    <x v="5"/>
    <n v="391"/>
    <n v="19"/>
    <n v="144"/>
    <x v="3"/>
    <n v="11"/>
    <x v="4"/>
    <n v="52"/>
    <n v="60"/>
    <n v="9"/>
    <n v="96"/>
    <n v="79890"/>
  </r>
  <r>
    <x v="17"/>
    <x v="5"/>
    <n v="257"/>
    <n v="1"/>
    <n v="82"/>
    <x v="6"/>
    <n v="6"/>
    <x v="4"/>
    <n v="79"/>
    <n v="40"/>
    <n v="9"/>
    <n v="38"/>
    <n v="86220"/>
  </r>
  <r>
    <x v="18"/>
    <x v="5"/>
    <n v="104"/>
    <n v="4"/>
    <n v="45"/>
    <x v="6"/>
    <n v="2"/>
    <x v="1"/>
    <n v="1"/>
    <n v="16"/>
    <n v="1"/>
    <n v="32"/>
    <n v="94770"/>
  </r>
  <r>
    <x v="19"/>
    <x v="5"/>
    <n v="41"/>
    <m/>
    <n v="33"/>
    <x v="3"/>
    <n v="1"/>
    <x v="4"/>
    <m/>
    <n v="3"/>
    <m/>
    <n v="4"/>
    <n v="27250"/>
  </r>
  <r>
    <x v="20"/>
    <x v="5"/>
    <n v="419"/>
    <n v="11"/>
    <n v="117"/>
    <x v="6"/>
    <n v="11"/>
    <x v="10"/>
    <n v="92"/>
    <n v="94"/>
    <n v="14"/>
    <n v="74"/>
    <n v="136480"/>
  </r>
  <r>
    <x v="21"/>
    <x v="5"/>
    <n v="1415"/>
    <n v="15"/>
    <n v="432"/>
    <x v="12"/>
    <n v="20"/>
    <x v="11"/>
    <n v="189"/>
    <n v="275"/>
    <n v="33"/>
    <n v="446"/>
    <n v="338000"/>
  </r>
  <r>
    <x v="22"/>
    <x v="5"/>
    <n v="7"/>
    <m/>
    <n v="2"/>
    <x v="3"/>
    <m/>
    <x v="4"/>
    <n v="3"/>
    <n v="1"/>
    <m/>
    <n v="1"/>
    <n v="21580"/>
  </r>
  <r>
    <x v="23"/>
    <x v="5"/>
    <n v="116"/>
    <n v="6"/>
    <n v="40"/>
    <x v="16"/>
    <n v="8"/>
    <x v="3"/>
    <n v="15"/>
    <n v="20"/>
    <n v="3"/>
    <n v="17"/>
    <n v="148930"/>
  </r>
  <r>
    <x v="24"/>
    <x v="5"/>
    <n v="492"/>
    <n v="24"/>
    <n v="104"/>
    <x v="3"/>
    <n v="10"/>
    <x v="0"/>
    <n v="75"/>
    <n v="112"/>
    <n v="31"/>
    <n v="131"/>
    <n v="174230"/>
  </r>
  <r>
    <x v="25"/>
    <x v="5"/>
    <n v="93"/>
    <n v="2"/>
    <n v="46"/>
    <x v="6"/>
    <n v="8"/>
    <x v="4"/>
    <n v="11"/>
    <n v="10"/>
    <n v="2"/>
    <n v="12"/>
    <n v="114040"/>
  </r>
  <r>
    <x v="26"/>
    <x v="5"/>
    <n v="9"/>
    <n v="1"/>
    <n v="2"/>
    <x v="3"/>
    <n v="1"/>
    <x v="4"/>
    <n v="2"/>
    <n v="3"/>
    <m/>
    <m/>
    <n v="23220"/>
  </r>
  <r>
    <x v="27"/>
    <x v="5"/>
    <n v="222"/>
    <n v="6"/>
    <n v="64"/>
    <x v="0"/>
    <n v="7"/>
    <x v="1"/>
    <n v="36"/>
    <n v="64"/>
    <n v="7"/>
    <n v="36"/>
    <n v="112530"/>
  </r>
  <r>
    <x v="28"/>
    <x v="5"/>
    <n v="884"/>
    <n v="20"/>
    <n v="225"/>
    <x v="16"/>
    <n v="16"/>
    <x v="3"/>
    <n v="98"/>
    <n v="208"/>
    <n v="20"/>
    <n v="290"/>
    <n v="315300"/>
  </r>
  <r>
    <x v="29"/>
    <x v="5"/>
    <n v="126"/>
    <n v="8"/>
    <n v="43"/>
    <x v="0"/>
    <n v="4"/>
    <x v="1"/>
    <n v="19"/>
    <n v="25"/>
    <n v="4"/>
    <n v="21"/>
    <n v="91520"/>
  </r>
  <r>
    <x v="30"/>
    <x v="5"/>
    <n v="326"/>
    <n v="8"/>
    <n v="112"/>
    <x v="16"/>
    <n v="5"/>
    <x v="11"/>
    <n v="49"/>
    <n v="67"/>
    <n v="7"/>
    <n v="72"/>
    <n v="89710"/>
  </r>
  <r>
    <x v="31"/>
    <x v="5"/>
    <n v="527"/>
    <n v="8"/>
    <n v="201"/>
    <x v="0"/>
    <n v="10"/>
    <x v="1"/>
    <n v="82"/>
    <n v="126"/>
    <n v="19"/>
    <n v="79"/>
    <n v="177200"/>
  </r>
  <r>
    <x v="0"/>
    <x v="6"/>
    <n v="441"/>
    <n v="22"/>
    <n v="75"/>
    <x v="3"/>
    <n v="9"/>
    <x v="11"/>
    <m/>
    <n v="194"/>
    <n v="20"/>
    <n v="119"/>
    <n v="230350"/>
  </r>
  <r>
    <x v="1"/>
    <x v="6"/>
    <n v="184"/>
    <n v="8"/>
    <n v="59"/>
    <x v="16"/>
    <n v="13"/>
    <x v="3"/>
    <n v="1"/>
    <n v="16"/>
    <n v="7"/>
    <n v="73"/>
    <n v="261960"/>
  </r>
  <r>
    <x v="2"/>
    <x v="6"/>
    <n v="147"/>
    <n v="5"/>
    <n v="70"/>
    <x v="6"/>
    <n v="6"/>
    <x v="1"/>
    <n v="19"/>
    <n v="27"/>
    <n v="5"/>
    <n v="12"/>
    <n v="116900"/>
  </r>
  <r>
    <x v="3"/>
    <x v="6"/>
    <n v="68"/>
    <n v="3"/>
    <n v="26"/>
    <x v="3"/>
    <n v="5"/>
    <x v="11"/>
    <n v="12"/>
    <n v="10"/>
    <n v="3"/>
    <n v="7"/>
    <n v="86890"/>
  </r>
  <r>
    <x v="4"/>
    <x v="6"/>
    <n v="1893"/>
    <n v="22"/>
    <n v="419"/>
    <x v="0"/>
    <n v="34"/>
    <x v="11"/>
    <n v="310"/>
    <n v="726"/>
    <n v="143"/>
    <n v="236"/>
    <n v="498810"/>
  </r>
  <r>
    <x v="5"/>
    <x v="6"/>
    <n v="102"/>
    <n v="3"/>
    <n v="31"/>
    <x v="6"/>
    <n v="2"/>
    <x v="4"/>
    <n v="12"/>
    <n v="22"/>
    <n v="6"/>
    <n v="24"/>
    <n v="51360"/>
  </r>
  <r>
    <x v="6"/>
    <x v="6"/>
    <n v="155"/>
    <n v="8"/>
    <n v="64"/>
    <x v="3"/>
    <n v="11"/>
    <x v="3"/>
    <n v="8"/>
    <n v="24"/>
    <n v="5"/>
    <n v="32"/>
    <n v="149670"/>
  </r>
  <r>
    <x v="7"/>
    <x v="6"/>
    <n v="680"/>
    <n v="28"/>
    <n v="211"/>
    <x v="5"/>
    <n v="15"/>
    <x v="3"/>
    <n v="74"/>
    <n v="212"/>
    <n v="35"/>
    <n v="97"/>
    <n v="148210"/>
  </r>
  <r>
    <x v="8"/>
    <x v="6"/>
    <n v="616"/>
    <n v="12"/>
    <n v="216"/>
    <x v="12"/>
    <n v="12"/>
    <x v="10"/>
    <n v="65"/>
    <n v="124"/>
    <n v="34"/>
    <n v="146"/>
    <n v="122060"/>
  </r>
  <r>
    <x v="9"/>
    <x v="6"/>
    <n v="171"/>
    <n v="4"/>
    <n v="56"/>
    <x v="12"/>
    <n v="5"/>
    <x v="1"/>
    <n v="31"/>
    <n v="21"/>
    <n v="7"/>
    <n v="43"/>
    <n v="106960"/>
  </r>
  <r>
    <x v="10"/>
    <x v="6"/>
    <n v="195"/>
    <n v="4"/>
    <n v="69"/>
    <x v="10"/>
    <n v="6"/>
    <x v="1"/>
    <n v="41"/>
    <n v="34"/>
    <n v="5"/>
    <n v="27"/>
    <n v="103050"/>
  </r>
  <r>
    <x v="11"/>
    <x v="6"/>
    <n v="147"/>
    <n v="6"/>
    <n v="41"/>
    <x v="0"/>
    <n v="10"/>
    <x v="4"/>
    <n v="27"/>
    <n v="26"/>
    <n v="8"/>
    <n v="28"/>
    <n v="92940"/>
  </r>
  <r>
    <x v="12"/>
    <x v="6"/>
    <n v="343"/>
    <n v="6"/>
    <n v="143"/>
    <x v="5"/>
    <n v="8"/>
    <x v="1"/>
    <n v="62"/>
    <n v="64"/>
    <n v="6"/>
    <n v="48"/>
    <n v="158460"/>
  </r>
  <r>
    <x v="13"/>
    <x v="6"/>
    <n v="740"/>
    <n v="17"/>
    <n v="270"/>
    <x v="6"/>
    <n v="25"/>
    <x v="5"/>
    <n v="65"/>
    <n v="119"/>
    <n v="16"/>
    <n v="220"/>
    <n v="368080"/>
  </r>
  <r>
    <x v="14"/>
    <x v="6"/>
    <n v="2436"/>
    <n v="72"/>
    <n v="499"/>
    <x v="12"/>
    <n v="45"/>
    <x v="14"/>
    <n v="301"/>
    <n v="793"/>
    <n v="76"/>
    <n v="638"/>
    <n v="606340"/>
  </r>
  <r>
    <x v="15"/>
    <x v="6"/>
    <n v="342"/>
    <n v="9"/>
    <n v="214"/>
    <x v="6"/>
    <n v="12"/>
    <x v="1"/>
    <n v="24"/>
    <n v="46"/>
    <n v="2"/>
    <n v="32"/>
    <n v="234110"/>
  </r>
  <r>
    <x v="16"/>
    <x v="6"/>
    <n v="405"/>
    <n v="16"/>
    <n v="161"/>
    <x v="3"/>
    <n v="8"/>
    <x v="4"/>
    <n v="50"/>
    <n v="66"/>
    <n v="19"/>
    <n v="85"/>
    <n v="79500"/>
  </r>
  <r>
    <x v="17"/>
    <x v="6"/>
    <n v="301"/>
    <n v="4"/>
    <n v="112"/>
    <x v="1"/>
    <n v="6"/>
    <x v="4"/>
    <n v="49"/>
    <n v="53"/>
    <n v="18"/>
    <n v="53"/>
    <n v="87390"/>
  </r>
  <r>
    <x v="18"/>
    <x v="6"/>
    <n v="95"/>
    <n v="3"/>
    <n v="46"/>
    <x v="0"/>
    <m/>
    <x v="1"/>
    <n v="2"/>
    <n v="12"/>
    <m/>
    <n v="30"/>
    <n v="95510"/>
  </r>
  <r>
    <x v="19"/>
    <x v="6"/>
    <n v="30"/>
    <m/>
    <n v="26"/>
    <x v="3"/>
    <m/>
    <x v="4"/>
    <n v="1"/>
    <m/>
    <n v="2"/>
    <n v="1"/>
    <n v="27070"/>
  </r>
  <r>
    <x v="20"/>
    <x v="6"/>
    <n v="507"/>
    <n v="11"/>
    <n v="180"/>
    <x v="0"/>
    <n v="10"/>
    <x v="4"/>
    <n v="98"/>
    <n v="106"/>
    <n v="18"/>
    <n v="83"/>
    <n v="136130"/>
  </r>
  <r>
    <x v="21"/>
    <x v="6"/>
    <n v="1540"/>
    <n v="17"/>
    <n v="514"/>
    <x v="1"/>
    <n v="28"/>
    <x v="10"/>
    <n v="211"/>
    <n v="267"/>
    <n v="49"/>
    <n v="444"/>
    <n v="338260"/>
  </r>
  <r>
    <x v="22"/>
    <x v="6"/>
    <n v="13"/>
    <n v="4"/>
    <n v="3"/>
    <x v="3"/>
    <n v="2"/>
    <x v="4"/>
    <n v="1"/>
    <n v="1"/>
    <n v="1"/>
    <n v="1"/>
    <n v="21670"/>
  </r>
  <r>
    <x v="23"/>
    <x v="6"/>
    <n v="144"/>
    <n v="5"/>
    <n v="62"/>
    <x v="16"/>
    <n v="3"/>
    <x v="11"/>
    <n v="21"/>
    <n v="24"/>
    <n v="7"/>
    <n v="16"/>
    <n v="149930"/>
  </r>
  <r>
    <x v="24"/>
    <x v="6"/>
    <n v="566"/>
    <n v="15"/>
    <n v="147"/>
    <x v="0"/>
    <n v="9"/>
    <x v="3"/>
    <n v="99"/>
    <n v="139"/>
    <n v="28"/>
    <n v="125"/>
    <n v="174560"/>
  </r>
  <r>
    <x v="25"/>
    <x v="6"/>
    <n v="92"/>
    <n v="2"/>
    <n v="36"/>
    <x v="0"/>
    <n v="5"/>
    <x v="4"/>
    <n v="11"/>
    <n v="11"/>
    <n v="4"/>
    <n v="22"/>
    <n v="114030"/>
  </r>
  <r>
    <x v="26"/>
    <x v="6"/>
    <n v="11"/>
    <n v="1"/>
    <n v="4"/>
    <x v="3"/>
    <m/>
    <x v="4"/>
    <n v="3"/>
    <n v="2"/>
    <n v="1"/>
    <m/>
    <n v="23200"/>
  </r>
  <r>
    <x v="27"/>
    <x v="6"/>
    <n v="211"/>
    <n v="5"/>
    <n v="70"/>
    <x v="6"/>
    <m/>
    <x v="4"/>
    <n v="23"/>
    <n v="57"/>
    <n v="10"/>
    <n v="44"/>
    <n v="112400"/>
  </r>
  <r>
    <x v="28"/>
    <x v="6"/>
    <n v="906"/>
    <n v="17"/>
    <n v="269"/>
    <x v="3"/>
    <n v="18"/>
    <x v="18"/>
    <n v="85"/>
    <n v="177"/>
    <n v="27"/>
    <n v="302"/>
    <n v="316230"/>
  </r>
  <r>
    <x v="29"/>
    <x v="6"/>
    <n v="209"/>
    <n v="4"/>
    <n v="92"/>
    <x v="12"/>
    <n v="7"/>
    <x v="4"/>
    <n v="26"/>
    <n v="37"/>
    <n v="5"/>
    <n v="35"/>
    <n v="92830"/>
  </r>
  <r>
    <x v="30"/>
    <x v="6"/>
    <n v="312"/>
    <n v="13"/>
    <n v="114"/>
    <x v="6"/>
    <n v="4"/>
    <x v="1"/>
    <n v="34"/>
    <n v="55"/>
    <n v="1"/>
    <n v="88"/>
    <n v="89590"/>
  </r>
  <r>
    <x v="31"/>
    <x v="6"/>
    <n v="730"/>
    <n v="22"/>
    <n v="267"/>
    <x v="12"/>
    <n v="16"/>
    <x v="10"/>
    <n v="128"/>
    <n v="206"/>
    <n v="20"/>
    <n v="64"/>
    <n v="178550"/>
  </r>
  <r>
    <x v="0"/>
    <x v="7"/>
    <n v="315"/>
    <n v="11"/>
    <n v="69"/>
    <x v="3"/>
    <n v="11"/>
    <x v="4"/>
    <n v="7"/>
    <n v="117"/>
    <n v="17"/>
    <n v="83"/>
    <n v="229840"/>
  </r>
  <r>
    <x v="1"/>
    <x v="7"/>
    <n v="264"/>
    <n v="4"/>
    <n v="106"/>
    <x v="0"/>
    <n v="9"/>
    <x v="11"/>
    <n v="17"/>
    <n v="39"/>
    <n v="13"/>
    <n v="73"/>
    <n v="262190"/>
  </r>
  <r>
    <x v="2"/>
    <x v="7"/>
    <n v="126"/>
    <n v="5"/>
    <n v="50"/>
    <x v="12"/>
    <n v="4"/>
    <x v="1"/>
    <n v="18"/>
    <n v="23"/>
    <n v="4"/>
    <n v="18"/>
    <n v="116520"/>
  </r>
  <r>
    <x v="3"/>
    <x v="7"/>
    <n v="122"/>
    <n v="5"/>
    <n v="64"/>
    <x v="6"/>
    <n v="2"/>
    <x v="3"/>
    <n v="18"/>
    <n v="20"/>
    <n v="1"/>
    <n v="7"/>
    <n v="87130"/>
  </r>
  <r>
    <x v="4"/>
    <x v="7"/>
    <n v="1875"/>
    <n v="9"/>
    <n v="388"/>
    <x v="3"/>
    <n v="46"/>
    <x v="3"/>
    <n v="324"/>
    <n v="710"/>
    <n v="120"/>
    <n v="275"/>
    <n v="507170"/>
  </r>
  <r>
    <x v="5"/>
    <x v="7"/>
    <n v="84"/>
    <n v="3"/>
    <n v="25"/>
    <x v="3"/>
    <n v="6"/>
    <x v="1"/>
    <n v="11"/>
    <n v="19"/>
    <m/>
    <n v="19"/>
    <n v="51350"/>
  </r>
  <r>
    <x v="6"/>
    <x v="7"/>
    <n v="169"/>
    <n v="4"/>
    <n v="58"/>
    <x v="3"/>
    <n v="6"/>
    <x v="1"/>
    <n v="19"/>
    <n v="36"/>
    <n v="9"/>
    <n v="36"/>
    <n v="149520"/>
  </r>
  <r>
    <x v="7"/>
    <x v="7"/>
    <n v="818"/>
    <n v="15"/>
    <n v="272"/>
    <x v="6"/>
    <n v="26"/>
    <x v="4"/>
    <n v="79"/>
    <n v="301"/>
    <n v="40"/>
    <n v="83"/>
    <n v="148270"/>
  </r>
  <r>
    <x v="8"/>
    <x v="7"/>
    <n v="640"/>
    <n v="10"/>
    <n v="199"/>
    <x v="1"/>
    <n v="9"/>
    <x v="1"/>
    <n v="69"/>
    <n v="165"/>
    <n v="23"/>
    <n v="158"/>
    <n v="122200"/>
  </r>
  <r>
    <x v="9"/>
    <x v="7"/>
    <n v="180"/>
    <n v="7"/>
    <n v="54"/>
    <x v="3"/>
    <n v="4"/>
    <x v="11"/>
    <n v="20"/>
    <n v="44"/>
    <n v="4"/>
    <n v="45"/>
    <n v="107540"/>
  </r>
  <r>
    <x v="10"/>
    <x v="7"/>
    <n v="255"/>
    <n v="3"/>
    <n v="79"/>
    <x v="16"/>
    <n v="8"/>
    <x v="4"/>
    <n v="54"/>
    <n v="43"/>
    <n v="14"/>
    <n v="50"/>
    <n v="104090"/>
  </r>
  <r>
    <x v="11"/>
    <x v="7"/>
    <n v="152"/>
    <n v="7"/>
    <n v="57"/>
    <x v="6"/>
    <n v="8"/>
    <x v="4"/>
    <n v="23"/>
    <n v="19"/>
    <n v="3"/>
    <n v="33"/>
    <n v="93810"/>
  </r>
  <r>
    <x v="12"/>
    <x v="7"/>
    <n v="412"/>
    <n v="7"/>
    <n v="179"/>
    <x v="3"/>
    <n v="6"/>
    <x v="4"/>
    <n v="58"/>
    <n v="79"/>
    <n v="20"/>
    <n v="63"/>
    <n v="159380"/>
  </r>
  <r>
    <x v="13"/>
    <x v="7"/>
    <n v="737"/>
    <n v="17"/>
    <n v="287"/>
    <x v="5"/>
    <n v="23"/>
    <x v="11"/>
    <n v="84"/>
    <n v="116"/>
    <n v="22"/>
    <n v="181"/>
    <n v="370330"/>
  </r>
  <r>
    <x v="14"/>
    <x v="7"/>
    <n v="2559"/>
    <n v="41"/>
    <n v="488"/>
    <x v="12"/>
    <n v="33"/>
    <x v="15"/>
    <n v="306"/>
    <n v="892"/>
    <n v="70"/>
    <n v="719"/>
    <n v="615070"/>
  </r>
  <r>
    <x v="15"/>
    <x v="7"/>
    <n v="360"/>
    <n v="11"/>
    <n v="242"/>
    <x v="16"/>
    <n v="2"/>
    <x v="11"/>
    <n v="27"/>
    <n v="40"/>
    <n v="8"/>
    <n v="24"/>
    <n v="234770"/>
  </r>
  <r>
    <x v="16"/>
    <x v="7"/>
    <n v="569"/>
    <n v="13"/>
    <n v="281"/>
    <x v="3"/>
    <n v="7"/>
    <x v="3"/>
    <n v="57"/>
    <n v="101"/>
    <n v="11"/>
    <n v="96"/>
    <n v="79160"/>
  </r>
  <r>
    <x v="17"/>
    <x v="7"/>
    <n v="371"/>
    <n v="5"/>
    <n v="106"/>
    <x v="10"/>
    <n v="19"/>
    <x v="1"/>
    <n v="69"/>
    <n v="62"/>
    <n v="22"/>
    <n v="79"/>
    <n v="88610"/>
  </r>
  <r>
    <x v="18"/>
    <x v="7"/>
    <n v="127"/>
    <n v="5"/>
    <n v="66"/>
    <x v="0"/>
    <n v="6"/>
    <x v="3"/>
    <n v="6"/>
    <n v="12"/>
    <n v="3"/>
    <n v="25"/>
    <n v="96070"/>
  </r>
  <r>
    <x v="19"/>
    <x v="7"/>
    <n v="52"/>
    <n v="1"/>
    <n v="44"/>
    <x v="0"/>
    <m/>
    <x v="4"/>
    <m/>
    <n v="1"/>
    <m/>
    <n v="5"/>
    <n v="26900"/>
  </r>
  <r>
    <x v="20"/>
    <x v="7"/>
    <n v="621"/>
    <n v="16"/>
    <n v="203"/>
    <x v="12"/>
    <n v="14"/>
    <x v="11"/>
    <n v="108"/>
    <n v="103"/>
    <n v="19"/>
    <n v="153"/>
    <n v="135890"/>
  </r>
  <r>
    <x v="21"/>
    <x v="7"/>
    <n v="1484"/>
    <n v="14"/>
    <n v="479"/>
    <x v="6"/>
    <n v="20"/>
    <x v="3"/>
    <n v="216"/>
    <n v="208"/>
    <n v="47"/>
    <n v="495"/>
    <n v="339390"/>
  </r>
  <r>
    <x v="22"/>
    <x v="7"/>
    <n v="10"/>
    <m/>
    <n v="5"/>
    <x v="3"/>
    <n v="1"/>
    <x v="4"/>
    <n v="1"/>
    <n v="2"/>
    <m/>
    <n v="1"/>
    <n v="21850"/>
  </r>
  <r>
    <x v="23"/>
    <x v="7"/>
    <n v="143"/>
    <n v="3"/>
    <n v="70"/>
    <x v="3"/>
    <n v="9"/>
    <x v="3"/>
    <n v="14"/>
    <n v="23"/>
    <n v="4"/>
    <n v="17"/>
    <n v="150680"/>
  </r>
  <r>
    <x v="24"/>
    <x v="7"/>
    <n v="693"/>
    <n v="30"/>
    <n v="205"/>
    <x v="12"/>
    <n v="13"/>
    <x v="15"/>
    <n v="110"/>
    <n v="142"/>
    <n v="12"/>
    <n v="171"/>
    <n v="175930"/>
  </r>
  <r>
    <x v="25"/>
    <x v="7"/>
    <n v="102"/>
    <n v="3"/>
    <n v="43"/>
    <x v="6"/>
    <n v="8"/>
    <x v="4"/>
    <n v="14"/>
    <n v="6"/>
    <n v="8"/>
    <n v="18"/>
    <n v="114530"/>
  </r>
  <r>
    <x v="26"/>
    <x v="7"/>
    <n v="5"/>
    <m/>
    <n v="3"/>
    <x v="3"/>
    <n v="1"/>
    <x v="4"/>
    <m/>
    <m/>
    <n v="1"/>
    <m/>
    <n v="23200"/>
  </r>
  <r>
    <x v="27"/>
    <x v="7"/>
    <n v="231"/>
    <n v="1"/>
    <n v="58"/>
    <x v="6"/>
    <n v="5"/>
    <x v="3"/>
    <n v="38"/>
    <n v="71"/>
    <n v="8"/>
    <n v="45"/>
    <n v="112470"/>
  </r>
  <r>
    <x v="28"/>
    <x v="7"/>
    <n v="891"/>
    <n v="16"/>
    <n v="241"/>
    <x v="12"/>
    <n v="20"/>
    <x v="5"/>
    <n v="82"/>
    <n v="213"/>
    <n v="22"/>
    <n v="288"/>
    <n v="317100"/>
  </r>
  <r>
    <x v="29"/>
    <x v="7"/>
    <n v="185"/>
    <n v="3"/>
    <n v="94"/>
    <x v="3"/>
    <n v="4"/>
    <x v="1"/>
    <n v="24"/>
    <n v="25"/>
    <n v="8"/>
    <n v="26"/>
    <n v="93750"/>
  </r>
  <r>
    <x v="30"/>
    <x v="7"/>
    <n v="425"/>
    <n v="18"/>
    <n v="138"/>
    <x v="6"/>
    <n v="8"/>
    <x v="1"/>
    <n v="47"/>
    <n v="95"/>
    <n v="4"/>
    <n v="112"/>
    <n v="89860"/>
  </r>
  <r>
    <x v="31"/>
    <x v="7"/>
    <n v="683"/>
    <n v="17"/>
    <n v="273"/>
    <x v="0"/>
    <n v="15"/>
    <x v="10"/>
    <n v="101"/>
    <n v="176"/>
    <n v="19"/>
    <n v="77"/>
    <n v="180130"/>
  </r>
  <r>
    <x v="0"/>
    <x v="8"/>
    <n v="342"/>
    <n v="4"/>
    <n v="107"/>
    <x v="3"/>
    <n v="13"/>
    <x v="1"/>
    <n v="11"/>
    <n v="126"/>
    <n v="14"/>
    <n v="66"/>
    <n v="228800"/>
  </r>
  <r>
    <x v="1"/>
    <x v="8"/>
    <n v="215"/>
    <n v="9"/>
    <n v="106"/>
    <x v="0"/>
    <n v="5"/>
    <x v="1"/>
    <n v="17"/>
    <n v="26"/>
    <n v="6"/>
    <n v="44"/>
    <n v="261800"/>
  </r>
  <r>
    <x v="2"/>
    <x v="8"/>
    <n v="182"/>
    <n v="8"/>
    <n v="74"/>
    <x v="12"/>
    <n v="5"/>
    <x v="4"/>
    <n v="27"/>
    <n v="35"/>
    <n v="5"/>
    <n v="25"/>
    <n v="116280"/>
  </r>
  <r>
    <x v="3"/>
    <x v="8"/>
    <n v="80"/>
    <n v="6"/>
    <n v="41"/>
    <x v="0"/>
    <n v="5"/>
    <x v="3"/>
    <n v="4"/>
    <n v="14"/>
    <n v="2"/>
    <n v="4"/>
    <n v="86810"/>
  </r>
  <r>
    <x v="4"/>
    <x v="8"/>
    <n v="1791"/>
    <n v="17"/>
    <n v="453"/>
    <x v="3"/>
    <n v="41"/>
    <x v="3"/>
    <n v="303"/>
    <n v="612"/>
    <n v="122"/>
    <n v="240"/>
    <n v="513210"/>
  </r>
  <r>
    <x v="5"/>
    <x v="8"/>
    <n v="111"/>
    <n v="5"/>
    <n v="57"/>
    <x v="6"/>
    <n v="3"/>
    <x v="4"/>
    <n v="15"/>
    <n v="9"/>
    <n v="1"/>
    <n v="19"/>
    <n v="51450"/>
  </r>
  <r>
    <x v="6"/>
    <x v="8"/>
    <n v="178"/>
    <n v="4"/>
    <n v="74"/>
    <x v="6"/>
    <n v="5"/>
    <x v="1"/>
    <n v="24"/>
    <n v="27"/>
    <n v="3"/>
    <n v="38"/>
    <n v="149200"/>
  </r>
  <r>
    <x v="7"/>
    <x v="8"/>
    <n v="774"/>
    <n v="13"/>
    <n v="271"/>
    <x v="0"/>
    <n v="19"/>
    <x v="3"/>
    <n v="78"/>
    <n v="262"/>
    <n v="53"/>
    <n v="74"/>
    <n v="148710"/>
  </r>
  <r>
    <x v="8"/>
    <x v="8"/>
    <n v="592"/>
    <n v="10"/>
    <n v="224"/>
    <x v="0"/>
    <n v="17"/>
    <x v="3"/>
    <n v="65"/>
    <n v="132"/>
    <n v="15"/>
    <n v="125"/>
    <n v="121940"/>
  </r>
  <r>
    <x v="9"/>
    <x v="8"/>
    <n v="175"/>
    <n v="4"/>
    <n v="58"/>
    <x v="6"/>
    <n v="5"/>
    <x v="4"/>
    <n v="16"/>
    <n v="39"/>
    <n v="11"/>
    <n v="40"/>
    <n v="108130"/>
  </r>
  <r>
    <x v="10"/>
    <x v="8"/>
    <n v="244"/>
    <n v="2"/>
    <n v="119"/>
    <x v="6"/>
    <n v="5"/>
    <x v="1"/>
    <n v="53"/>
    <n v="25"/>
    <n v="13"/>
    <n v="24"/>
    <n v="104840"/>
  </r>
  <r>
    <x v="11"/>
    <x v="8"/>
    <n v="165"/>
    <n v="6"/>
    <n v="37"/>
    <x v="0"/>
    <n v="8"/>
    <x v="4"/>
    <n v="24"/>
    <n v="40"/>
    <n v="6"/>
    <n v="43"/>
    <n v="94760"/>
  </r>
  <r>
    <x v="12"/>
    <x v="8"/>
    <n v="428"/>
    <n v="18"/>
    <n v="221"/>
    <x v="12"/>
    <n v="11"/>
    <x v="11"/>
    <n v="47"/>
    <n v="57"/>
    <n v="14"/>
    <n v="55"/>
    <n v="160130"/>
  </r>
  <r>
    <x v="13"/>
    <x v="8"/>
    <n v="949"/>
    <n v="33"/>
    <n v="346"/>
    <x v="15"/>
    <n v="38"/>
    <x v="15"/>
    <n v="132"/>
    <n v="134"/>
    <n v="24"/>
    <n v="224"/>
    <n v="371410"/>
  </r>
  <r>
    <x v="14"/>
    <x v="8"/>
    <n v="2350"/>
    <n v="49"/>
    <n v="419"/>
    <x v="13"/>
    <n v="55"/>
    <x v="10"/>
    <n v="287"/>
    <n v="829"/>
    <n v="71"/>
    <n v="629"/>
    <n v="621020"/>
  </r>
  <r>
    <x v="15"/>
    <x v="8"/>
    <n v="470"/>
    <n v="11"/>
    <n v="320"/>
    <x v="6"/>
    <n v="10"/>
    <x v="5"/>
    <n v="36"/>
    <n v="48"/>
    <n v="8"/>
    <n v="29"/>
    <n v="235180"/>
  </r>
  <r>
    <x v="16"/>
    <x v="8"/>
    <n v="348"/>
    <n v="5"/>
    <n v="197"/>
    <x v="0"/>
    <n v="3"/>
    <x v="1"/>
    <n v="29"/>
    <n v="42"/>
    <n v="2"/>
    <n v="68"/>
    <n v="78760"/>
  </r>
  <r>
    <x v="17"/>
    <x v="8"/>
    <n v="391"/>
    <n v="6"/>
    <n v="171"/>
    <x v="5"/>
    <n v="12"/>
    <x v="1"/>
    <n v="84"/>
    <n v="46"/>
    <n v="13"/>
    <n v="53"/>
    <n v="90090"/>
  </r>
  <r>
    <x v="18"/>
    <x v="8"/>
    <n v="83"/>
    <n v="5"/>
    <n v="48"/>
    <x v="0"/>
    <n v="4"/>
    <x v="4"/>
    <n v="9"/>
    <n v="9"/>
    <m/>
    <n v="7"/>
    <n v="95780"/>
  </r>
  <r>
    <x v="19"/>
    <x v="8"/>
    <n v="65"/>
    <m/>
    <n v="61"/>
    <x v="3"/>
    <n v="1"/>
    <x v="4"/>
    <n v="1"/>
    <n v="1"/>
    <m/>
    <n v="1"/>
    <n v="26950"/>
  </r>
  <r>
    <x v="20"/>
    <x v="8"/>
    <n v="569"/>
    <n v="16"/>
    <n v="218"/>
    <x v="12"/>
    <n v="7"/>
    <x v="1"/>
    <n v="124"/>
    <n v="89"/>
    <n v="11"/>
    <n v="100"/>
    <n v="135790"/>
  </r>
  <r>
    <x v="21"/>
    <x v="8"/>
    <n v="1206"/>
    <n v="22"/>
    <n v="364"/>
    <x v="16"/>
    <n v="43"/>
    <x v="15"/>
    <n v="168"/>
    <n v="188"/>
    <n v="27"/>
    <n v="383"/>
    <n v="339960"/>
  </r>
  <r>
    <x v="22"/>
    <x v="8"/>
    <n v="9"/>
    <m/>
    <n v="4"/>
    <x v="3"/>
    <m/>
    <x v="1"/>
    <n v="2"/>
    <n v="2"/>
    <m/>
    <m/>
    <n v="22000"/>
  </r>
  <r>
    <x v="23"/>
    <x v="8"/>
    <n v="181"/>
    <n v="5"/>
    <n v="76"/>
    <x v="3"/>
    <n v="10"/>
    <x v="1"/>
    <n v="19"/>
    <n v="27"/>
    <n v="5"/>
    <n v="38"/>
    <n v="151100"/>
  </r>
  <r>
    <x v="24"/>
    <x v="8"/>
    <n v="503"/>
    <n v="12"/>
    <n v="135"/>
    <x v="6"/>
    <n v="22"/>
    <x v="1"/>
    <n v="73"/>
    <n v="114"/>
    <n v="13"/>
    <n v="131"/>
    <n v="176830"/>
  </r>
  <r>
    <x v="25"/>
    <x v="8"/>
    <n v="133"/>
    <n v="3"/>
    <n v="57"/>
    <x v="12"/>
    <n v="6"/>
    <x v="4"/>
    <n v="30"/>
    <n v="18"/>
    <n v="3"/>
    <n v="13"/>
    <n v="115020"/>
  </r>
  <r>
    <x v="26"/>
    <x v="8"/>
    <n v="11"/>
    <n v="1"/>
    <n v="7"/>
    <x v="3"/>
    <n v="1"/>
    <x v="4"/>
    <m/>
    <m/>
    <n v="1"/>
    <n v="1"/>
    <n v="23080"/>
  </r>
  <r>
    <x v="27"/>
    <x v="8"/>
    <n v="251"/>
    <n v="4"/>
    <n v="108"/>
    <x v="0"/>
    <n v="5"/>
    <x v="11"/>
    <n v="46"/>
    <n v="54"/>
    <n v="2"/>
    <n v="29"/>
    <n v="112680"/>
  </r>
  <r>
    <x v="28"/>
    <x v="8"/>
    <n v="797"/>
    <n v="20"/>
    <n v="209"/>
    <x v="1"/>
    <n v="14"/>
    <x v="10"/>
    <n v="73"/>
    <n v="187"/>
    <n v="28"/>
    <n v="256"/>
    <n v="318170"/>
  </r>
  <r>
    <x v="29"/>
    <x v="8"/>
    <n v="171"/>
    <n v="2"/>
    <n v="80"/>
    <x v="0"/>
    <n v="7"/>
    <x v="4"/>
    <n v="17"/>
    <n v="35"/>
    <n v="4"/>
    <n v="25"/>
    <n v="94000"/>
  </r>
  <r>
    <x v="30"/>
    <x v="8"/>
    <n v="241"/>
    <n v="3"/>
    <n v="69"/>
    <x v="6"/>
    <n v="2"/>
    <x v="1"/>
    <n v="35"/>
    <n v="57"/>
    <n v="6"/>
    <n v="66"/>
    <n v="89610"/>
  </r>
  <r>
    <x v="31"/>
    <x v="8"/>
    <n v="723"/>
    <n v="4"/>
    <n v="339"/>
    <x v="0"/>
    <n v="14"/>
    <x v="0"/>
    <n v="74"/>
    <n v="161"/>
    <n v="22"/>
    <n v="103"/>
    <n v="181310"/>
  </r>
  <r>
    <x v="0"/>
    <x v="9"/>
    <n v="527"/>
    <n v="8"/>
    <n v="247"/>
    <x v="0"/>
    <n v="16"/>
    <x v="1"/>
    <n v="26"/>
    <n v="138"/>
    <n v="23"/>
    <n v="67"/>
    <n v="227560"/>
  </r>
  <r>
    <x v="1"/>
    <x v="9"/>
    <n v="335"/>
    <n v="4"/>
    <n v="197"/>
    <x v="13"/>
    <n v="8"/>
    <x v="11"/>
    <n v="19"/>
    <n v="22"/>
    <n v="12"/>
    <n v="64"/>
    <n v="261470"/>
  </r>
  <r>
    <x v="2"/>
    <x v="9"/>
    <n v="201"/>
    <n v="11"/>
    <n v="109"/>
    <x v="1"/>
    <n v="8"/>
    <x v="3"/>
    <n v="9"/>
    <n v="24"/>
    <n v="4"/>
    <n v="27"/>
    <n v="116040"/>
  </r>
  <r>
    <x v="3"/>
    <x v="9"/>
    <n v="120"/>
    <n v="3"/>
    <n v="57"/>
    <x v="0"/>
    <n v="5"/>
    <x v="10"/>
    <n v="17"/>
    <n v="18"/>
    <n v="1"/>
    <n v="14"/>
    <n v="86260"/>
  </r>
  <r>
    <x v="4"/>
    <x v="9"/>
    <n v="1850"/>
    <n v="12"/>
    <n v="469"/>
    <x v="12"/>
    <n v="41"/>
    <x v="10"/>
    <n v="126"/>
    <n v="722"/>
    <n v="104"/>
    <n v="369"/>
    <n v="518500"/>
  </r>
  <r>
    <x v="5"/>
    <x v="9"/>
    <n v="88"/>
    <n v="3"/>
    <n v="33"/>
    <x v="0"/>
    <n v="5"/>
    <x v="11"/>
    <n v="2"/>
    <n v="19"/>
    <n v="1"/>
    <n v="22"/>
    <n v="51400"/>
  </r>
  <r>
    <x v="6"/>
    <x v="9"/>
    <n v="199"/>
    <n v="8"/>
    <n v="95"/>
    <x v="3"/>
    <n v="9"/>
    <x v="3"/>
    <n v="12"/>
    <n v="30"/>
    <n v="3"/>
    <n v="39"/>
    <n v="148790"/>
  </r>
  <r>
    <x v="7"/>
    <x v="9"/>
    <n v="606"/>
    <n v="12"/>
    <n v="254"/>
    <x v="6"/>
    <n v="13"/>
    <x v="1"/>
    <n v="53"/>
    <n v="168"/>
    <n v="21"/>
    <n v="82"/>
    <n v="148750"/>
  </r>
  <r>
    <x v="8"/>
    <x v="9"/>
    <n v="586"/>
    <n v="12"/>
    <n v="250"/>
    <x v="0"/>
    <n v="8"/>
    <x v="10"/>
    <n v="58"/>
    <n v="131"/>
    <n v="8"/>
    <n v="114"/>
    <n v="121840"/>
  </r>
  <r>
    <x v="9"/>
    <x v="9"/>
    <n v="232"/>
    <m/>
    <n v="62"/>
    <x v="6"/>
    <n v="4"/>
    <x v="1"/>
    <n v="34"/>
    <n v="72"/>
    <n v="10"/>
    <n v="47"/>
    <n v="108330"/>
  </r>
  <r>
    <x v="10"/>
    <x v="9"/>
    <n v="303"/>
    <n v="3"/>
    <n v="138"/>
    <x v="6"/>
    <n v="7"/>
    <x v="4"/>
    <n v="32"/>
    <n v="28"/>
    <n v="15"/>
    <n v="78"/>
    <n v="105790"/>
  </r>
  <r>
    <x v="11"/>
    <x v="9"/>
    <n v="123"/>
    <n v="1"/>
    <n v="47"/>
    <x v="3"/>
    <n v="8"/>
    <x v="1"/>
    <n v="14"/>
    <n v="23"/>
    <n v="4"/>
    <n v="25"/>
    <n v="95170"/>
  </r>
  <r>
    <x v="12"/>
    <x v="9"/>
    <n v="359"/>
    <n v="9"/>
    <n v="208"/>
    <x v="5"/>
    <n v="7"/>
    <x v="4"/>
    <n v="20"/>
    <n v="44"/>
    <n v="7"/>
    <n v="59"/>
    <n v="160340"/>
  </r>
  <r>
    <x v="13"/>
    <x v="9"/>
    <n v="1034"/>
    <n v="16"/>
    <n v="408"/>
    <x v="1"/>
    <n v="27"/>
    <x v="0"/>
    <n v="98"/>
    <n v="200"/>
    <n v="24"/>
    <n v="250"/>
    <n v="371910"/>
  </r>
  <r>
    <x v="14"/>
    <x v="9"/>
    <n v="2500"/>
    <n v="31"/>
    <n v="572"/>
    <x v="13"/>
    <n v="43"/>
    <x v="10"/>
    <n v="215"/>
    <n v="826"/>
    <n v="71"/>
    <n v="731"/>
    <n v="626410"/>
  </r>
  <r>
    <x v="15"/>
    <x v="9"/>
    <n v="522"/>
    <n v="6"/>
    <n v="381"/>
    <x v="0"/>
    <n v="15"/>
    <x v="0"/>
    <n v="23"/>
    <n v="46"/>
    <n v="4"/>
    <n v="41"/>
    <n v="235540"/>
  </r>
  <r>
    <x v="16"/>
    <x v="9"/>
    <n v="372"/>
    <n v="8"/>
    <n v="255"/>
    <x v="3"/>
    <n v="6"/>
    <x v="11"/>
    <n v="23"/>
    <n v="27"/>
    <n v="4"/>
    <n v="47"/>
    <n v="78150"/>
  </r>
  <r>
    <x v="17"/>
    <x v="9"/>
    <n v="317"/>
    <n v="2"/>
    <n v="135"/>
    <x v="1"/>
    <n v="13"/>
    <x v="1"/>
    <n v="39"/>
    <n v="50"/>
    <n v="13"/>
    <n v="58"/>
    <n v="91340"/>
  </r>
  <r>
    <x v="18"/>
    <x v="9"/>
    <n v="237"/>
    <n v="3"/>
    <n v="189"/>
    <x v="0"/>
    <n v="5"/>
    <x v="4"/>
    <n v="5"/>
    <n v="6"/>
    <n v="1"/>
    <n v="27"/>
    <n v="95520"/>
  </r>
  <r>
    <x v="19"/>
    <x v="9"/>
    <n v="47"/>
    <m/>
    <n v="41"/>
    <x v="3"/>
    <m/>
    <x v="4"/>
    <n v="1"/>
    <n v="2"/>
    <n v="1"/>
    <n v="2"/>
    <n v="26830"/>
  </r>
  <r>
    <x v="20"/>
    <x v="9"/>
    <n v="588"/>
    <n v="7"/>
    <n v="273"/>
    <x v="1"/>
    <n v="6"/>
    <x v="4"/>
    <n v="110"/>
    <n v="83"/>
    <n v="15"/>
    <n v="88"/>
    <n v="135280"/>
  </r>
  <r>
    <x v="21"/>
    <x v="9"/>
    <n v="1293"/>
    <n v="10"/>
    <n v="399"/>
    <x v="5"/>
    <n v="27"/>
    <x v="13"/>
    <n v="188"/>
    <n v="214"/>
    <n v="34"/>
    <n v="408"/>
    <n v="340180"/>
  </r>
  <r>
    <x v="22"/>
    <x v="9"/>
    <n v="23"/>
    <n v="2"/>
    <n v="11"/>
    <x v="3"/>
    <n v="1"/>
    <x v="4"/>
    <n v="3"/>
    <n v="2"/>
    <n v="1"/>
    <n v="3"/>
    <n v="22190"/>
  </r>
  <r>
    <x v="23"/>
    <x v="9"/>
    <n v="164"/>
    <n v="9"/>
    <n v="92"/>
    <x v="0"/>
    <n v="4"/>
    <x v="1"/>
    <n v="13"/>
    <n v="16"/>
    <n v="4"/>
    <n v="24"/>
    <n v="151290"/>
  </r>
  <r>
    <x v="24"/>
    <x v="9"/>
    <n v="617"/>
    <n v="16"/>
    <n v="218"/>
    <x v="16"/>
    <n v="10"/>
    <x v="3"/>
    <n v="62"/>
    <n v="140"/>
    <n v="16"/>
    <n v="148"/>
    <n v="177790"/>
  </r>
  <r>
    <x v="25"/>
    <x v="9"/>
    <n v="133"/>
    <n v="1"/>
    <n v="78"/>
    <x v="6"/>
    <n v="3"/>
    <x v="1"/>
    <n v="19"/>
    <n v="12"/>
    <n v="3"/>
    <n v="14"/>
    <n v="115270"/>
  </r>
  <r>
    <x v="26"/>
    <x v="9"/>
    <n v="18"/>
    <n v="2"/>
    <n v="9"/>
    <x v="3"/>
    <n v="1"/>
    <x v="4"/>
    <n v="2"/>
    <n v="3"/>
    <m/>
    <n v="1"/>
    <n v="22990"/>
  </r>
  <r>
    <x v="27"/>
    <x v="9"/>
    <n v="254"/>
    <n v="3"/>
    <n v="111"/>
    <x v="12"/>
    <n v="2"/>
    <x v="11"/>
    <n v="35"/>
    <n v="54"/>
    <n v="5"/>
    <n v="39"/>
    <n v="112550"/>
  </r>
  <r>
    <x v="28"/>
    <x v="9"/>
    <n v="753"/>
    <n v="9"/>
    <n v="243"/>
    <x v="6"/>
    <n v="12"/>
    <x v="3"/>
    <n v="76"/>
    <n v="139"/>
    <n v="21"/>
    <n v="248"/>
    <n v="319020"/>
  </r>
  <r>
    <x v="29"/>
    <x v="9"/>
    <n v="175"/>
    <n v="4"/>
    <n v="101"/>
    <x v="3"/>
    <n v="5"/>
    <x v="4"/>
    <n v="10"/>
    <n v="18"/>
    <n v="3"/>
    <n v="34"/>
    <n v="94330"/>
  </r>
  <r>
    <x v="30"/>
    <x v="9"/>
    <n v="262"/>
    <n v="3"/>
    <n v="91"/>
    <x v="6"/>
    <n v="5"/>
    <x v="11"/>
    <n v="25"/>
    <n v="73"/>
    <n v="6"/>
    <n v="55"/>
    <n v="89130"/>
  </r>
  <r>
    <x v="31"/>
    <x v="9"/>
    <n v="859"/>
    <n v="4"/>
    <n v="424"/>
    <x v="3"/>
    <n v="23"/>
    <x v="10"/>
    <n v="52"/>
    <n v="217"/>
    <n v="13"/>
    <n v="122"/>
    <n v="182140"/>
  </r>
  <r>
    <x v="0"/>
    <x v="10"/>
    <n v="341"/>
    <n v="9"/>
    <n v="112"/>
    <x v="0"/>
    <n v="16"/>
    <x v="4"/>
    <n v="18"/>
    <n v="114"/>
    <n v="14"/>
    <n v="57"/>
    <n v="228670"/>
  </r>
  <r>
    <x v="1"/>
    <x v="10"/>
    <n v="234"/>
    <n v="10"/>
    <n v="104"/>
    <x v="6"/>
    <n v="13"/>
    <x v="3"/>
    <n v="19"/>
    <n v="19"/>
    <n v="4"/>
    <n v="60"/>
    <n v="261210"/>
  </r>
  <r>
    <x v="2"/>
    <x v="10"/>
    <n v="145"/>
    <m/>
    <n v="64"/>
    <x v="5"/>
    <n v="3"/>
    <x v="1"/>
    <n v="18"/>
    <n v="22"/>
    <m/>
    <n v="32"/>
    <n v="116200"/>
  </r>
  <r>
    <x v="3"/>
    <x v="10"/>
    <n v="153"/>
    <n v="5"/>
    <n v="86"/>
    <x v="0"/>
    <n v="9"/>
    <x v="11"/>
    <n v="11"/>
    <n v="13"/>
    <n v="2"/>
    <n v="24"/>
    <n v="85870"/>
  </r>
  <r>
    <x v="4"/>
    <x v="10"/>
    <n v="1580"/>
    <n v="14"/>
    <n v="334"/>
    <x v="6"/>
    <n v="30"/>
    <x v="11"/>
    <n v="88"/>
    <n v="684"/>
    <n v="89"/>
    <n v="337"/>
    <n v="524930"/>
  </r>
  <r>
    <x v="5"/>
    <x v="10"/>
    <n v="80"/>
    <n v="2"/>
    <n v="21"/>
    <x v="0"/>
    <n v="3"/>
    <x v="1"/>
    <m/>
    <n v="24"/>
    <n v="2"/>
    <n v="26"/>
    <n v="51540"/>
  </r>
  <r>
    <x v="6"/>
    <x v="10"/>
    <n v="212"/>
    <n v="14"/>
    <n v="85"/>
    <x v="0"/>
    <n v="6"/>
    <x v="3"/>
    <n v="5"/>
    <n v="32"/>
    <n v="6"/>
    <n v="60"/>
    <n v="148860"/>
  </r>
  <r>
    <x v="7"/>
    <x v="10"/>
    <n v="500"/>
    <n v="1"/>
    <n v="148"/>
    <x v="0"/>
    <n v="10"/>
    <x v="3"/>
    <n v="37"/>
    <n v="198"/>
    <n v="30"/>
    <n v="72"/>
    <n v="149320"/>
  </r>
  <r>
    <x v="8"/>
    <x v="10"/>
    <n v="475"/>
    <n v="12"/>
    <n v="131"/>
    <x v="12"/>
    <n v="7"/>
    <x v="11"/>
    <n v="49"/>
    <n v="142"/>
    <n v="8"/>
    <n v="121"/>
    <n v="122010"/>
  </r>
  <r>
    <x v="9"/>
    <x v="10"/>
    <n v="153"/>
    <n v="1"/>
    <n v="51"/>
    <x v="0"/>
    <n v="3"/>
    <x v="4"/>
    <n v="12"/>
    <n v="36"/>
    <n v="9"/>
    <n v="40"/>
    <n v="108640"/>
  </r>
  <r>
    <x v="10"/>
    <x v="10"/>
    <n v="197"/>
    <m/>
    <n v="86"/>
    <x v="6"/>
    <n v="4"/>
    <x v="4"/>
    <n v="19"/>
    <n v="29"/>
    <n v="3"/>
    <n v="54"/>
    <n v="107090"/>
  </r>
  <r>
    <x v="11"/>
    <x v="10"/>
    <n v="166"/>
    <n v="3"/>
    <n v="53"/>
    <x v="3"/>
    <n v="5"/>
    <x v="4"/>
    <n v="11"/>
    <n v="39"/>
    <n v="10"/>
    <n v="45"/>
    <n v="95530"/>
  </r>
  <r>
    <x v="12"/>
    <x v="10"/>
    <n v="357"/>
    <n v="7"/>
    <n v="149"/>
    <x v="0"/>
    <n v="15"/>
    <x v="4"/>
    <n v="27"/>
    <n v="72"/>
    <n v="10"/>
    <n v="76"/>
    <n v="160890"/>
  </r>
  <r>
    <x v="13"/>
    <x v="10"/>
    <n v="762"/>
    <n v="31"/>
    <n v="278"/>
    <x v="5"/>
    <n v="35"/>
    <x v="3"/>
    <n v="38"/>
    <n v="135"/>
    <n v="30"/>
    <n v="207"/>
    <n v="373550"/>
  </r>
  <r>
    <x v="14"/>
    <x v="10"/>
    <n v="2617"/>
    <n v="29"/>
    <n v="377"/>
    <x v="1"/>
    <n v="62"/>
    <x v="14"/>
    <n v="152"/>
    <n v="979"/>
    <n v="73"/>
    <n v="930"/>
    <n v="633120"/>
  </r>
  <r>
    <x v="15"/>
    <x v="10"/>
    <n v="427"/>
    <n v="14"/>
    <n v="305"/>
    <x v="3"/>
    <n v="6"/>
    <x v="1"/>
    <n v="13"/>
    <n v="46"/>
    <n v="2"/>
    <n v="40"/>
    <n v="235830"/>
  </r>
  <r>
    <x v="16"/>
    <x v="10"/>
    <n v="411"/>
    <n v="20"/>
    <n v="209"/>
    <x v="12"/>
    <n v="10"/>
    <x v="11"/>
    <n v="19"/>
    <n v="76"/>
    <n v="9"/>
    <n v="63"/>
    <n v="77800"/>
  </r>
  <r>
    <x v="17"/>
    <x v="10"/>
    <n v="230"/>
    <n v="2"/>
    <n v="112"/>
    <x v="1"/>
    <n v="9"/>
    <x v="4"/>
    <n v="16"/>
    <n v="30"/>
    <n v="11"/>
    <n v="44"/>
    <n v="92460"/>
  </r>
  <r>
    <x v="18"/>
    <x v="10"/>
    <n v="103"/>
    <n v="3"/>
    <n v="67"/>
    <x v="0"/>
    <n v="2"/>
    <x v="4"/>
    <n v="5"/>
    <n v="12"/>
    <m/>
    <n v="13"/>
    <n v="95820"/>
  </r>
  <r>
    <x v="19"/>
    <x v="10"/>
    <n v="35"/>
    <m/>
    <n v="29"/>
    <x v="3"/>
    <m/>
    <x v="4"/>
    <n v="2"/>
    <n v="1"/>
    <n v="1"/>
    <n v="2"/>
    <n v="26720"/>
  </r>
  <r>
    <x v="20"/>
    <x v="10"/>
    <n v="597"/>
    <n v="15"/>
    <n v="207"/>
    <x v="13"/>
    <n v="6"/>
    <x v="11"/>
    <n v="88"/>
    <n v="140"/>
    <n v="12"/>
    <n v="120"/>
    <n v="134740"/>
  </r>
  <r>
    <x v="21"/>
    <x v="10"/>
    <n v="1352"/>
    <n v="13"/>
    <n v="424"/>
    <x v="5"/>
    <n v="29"/>
    <x v="10"/>
    <n v="112"/>
    <n v="231"/>
    <n v="30"/>
    <n v="504"/>
    <n v="341370"/>
  </r>
  <r>
    <x v="22"/>
    <x v="10"/>
    <n v="10"/>
    <m/>
    <n v="4"/>
    <x v="3"/>
    <m/>
    <x v="4"/>
    <n v="1"/>
    <n v="1"/>
    <n v="1"/>
    <n v="3"/>
    <n v="22270"/>
  </r>
  <r>
    <x v="23"/>
    <x v="10"/>
    <n v="144"/>
    <n v="2"/>
    <n v="54"/>
    <x v="13"/>
    <n v="4"/>
    <x v="10"/>
    <n v="6"/>
    <n v="32"/>
    <n v="9"/>
    <n v="26"/>
    <n v="151950"/>
  </r>
  <r>
    <x v="24"/>
    <x v="10"/>
    <n v="506"/>
    <n v="9"/>
    <n v="98"/>
    <x v="12"/>
    <n v="12"/>
    <x v="1"/>
    <n v="43"/>
    <n v="156"/>
    <n v="18"/>
    <n v="166"/>
    <n v="179100"/>
  </r>
  <r>
    <x v="25"/>
    <x v="10"/>
    <n v="112"/>
    <n v="1"/>
    <n v="59"/>
    <x v="1"/>
    <n v="2"/>
    <x v="4"/>
    <n v="9"/>
    <n v="15"/>
    <n v="1"/>
    <n v="19"/>
    <n v="115510"/>
  </r>
  <r>
    <x v="26"/>
    <x v="10"/>
    <n v="9"/>
    <n v="1"/>
    <n v="2"/>
    <x v="3"/>
    <n v="2"/>
    <x v="4"/>
    <m/>
    <m/>
    <n v="1"/>
    <n v="3"/>
    <n v="22920"/>
  </r>
  <r>
    <x v="27"/>
    <x v="10"/>
    <n v="260"/>
    <n v="6"/>
    <n v="85"/>
    <x v="3"/>
    <n v="9"/>
    <x v="11"/>
    <n v="24"/>
    <n v="69"/>
    <n v="5"/>
    <n v="60"/>
    <n v="112610"/>
  </r>
  <r>
    <x v="28"/>
    <x v="10"/>
    <n v="793"/>
    <n v="10"/>
    <n v="220"/>
    <x v="5"/>
    <n v="31"/>
    <x v="15"/>
    <n v="61"/>
    <n v="141"/>
    <n v="26"/>
    <n v="292"/>
    <n v="320530"/>
  </r>
  <r>
    <x v="29"/>
    <x v="10"/>
    <n v="118"/>
    <n v="6"/>
    <n v="60"/>
    <x v="3"/>
    <n v="4"/>
    <x v="11"/>
    <n v="1"/>
    <n v="22"/>
    <n v="4"/>
    <n v="19"/>
    <n v="94210"/>
  </r>
  <r>
    <x v="30"/>
    <x v="10"/>
    <n v="293"/>
    <n v="8"/>
    <n v="79"/>
    <x v="3"/>
    <n v="5"/>
    <x v="4"/>
    <n v="26"/>
    <n v="79"/>
    <n v="5"/>
    <n v="91"/>
    <n v="88930"/>
  </r>
  <r>
    <x v="31"/>
    <x v="10"/>
    <n v="718"/>
    <n v="17"/>
    <n v="294"/>
    <x v="6"/>
    <n v="17"/>
    <x v="0"/>
    <n v="51"/>
    <n v="174"/>
    <n v="22"/>
    <n v="136"/>
    <n v="183100"/>
  </r>
  <r>
    <x v="0"/>
    <x v="11"/>
    <n v="328"/>
    <n v="4"/>
    <n v="116"/>
    <x v="3"/>
    <n v="15"/>
    <x v="4"/>
    <n v="32"/>
    <n v="91"/>
    <n v="19"/>
    <n v="51"/>
    <n v="229060"/>
  </r>
  <r>
    <x v="1"/>
    <x v="11"/>
    <n v="295"/>
    <n v="6"/>
    <n v="151"/>
    <x v="4"/>
    <n v="18"/>
    <x v="4"/>
    <n v="40"/>
    <n v="18"/>
    <n v="2"/>
    <n v="51"/>
    <n v="260780"/>
  </r>
  <r>
    <x v="2"/>
    <x v="11"/>
    <n v="204"/>
    <n v="8"/>
    <n v="91"/>
    <x v="12"/>
    <n v="7"/>
    <x v="4"/>
    <n v="27"/>
    <n v="40"/>
    <m/>
    <n v="28"/>
    <n v="115820"/>
  </r>
  <r>
    <x v="3"/>
    <x v="11"/>
    <n v="133"/>
    <n v="3"/>
    <n v="62"/>
    <x v="3"/>
    <n v="5"/>
    <x v="1"/>
    <n v="27"/>
    <n v="16"/>
    <n v="3"/>
    <n v="16"/>
    <n v="85430"/>
  </r>
  <r>
    <x v="4"/>
    <x v="11"/>
    <n v="1466"/>
    <n v="5"/>
    <n v="377"/>
    <x v="16"/>
    <n v="33"/>
    <x v="1"/>
    <n v="212"/>
    <n v="478"/>
    <n v="111"/>
    <n v="245"/>
    <n v="527620"/>
  </r>
  <r>
    <x v="5"/>
    <x v="11"/>
    <n v="112"/>
    <n v="5"/>
    <n v="34"/>
    <x v="16"/>
    <n v="9"/>
    <x v="10"/>
    <n v="8"/>
    <n v="16"/>
    <n v="1"/>
    <n v="31"/>
    <n v="51290"/>
  </r>
  <r>
    <x v="6"/>
    <x v="11"/>
    <n v="205"/>
    <n v="4"/>
    <n v="98"/>
    <x v="0"/>
    <n v="10"/>
    <x v="5"/>
    <n v="6"/>
    <n v="26"/>
    <n v="5"/>
    <n v="49"/>
    <n v="148290"/>
  </r>
  <r>
    <x v="7"/>
    <x v="11"/>
    <n v="698"/>
    <n v="7"/>
    <n v="232"/>
    <x v="12"/>
    <n v="19"/>
    <x v="11"/>
    <n v="110"/>
    <n v="229"/>
    <n v="30"/>
    <n v="66"/>
    <n v="148820"/>
  </r>
  <r>
    <x v="8"/>
    <x v="11"/>
    <n v="584"/>
    <n v="5"/>
    <n v="172"/>
    <x v="6"/>
    <n v="7"/>
    <x v="10"/>
    <n v="92"/>
    <n v="128"/>
    <n v="5"/>
    <n v="169"/>
    <n v="121600"/>
  </r>
  <r>
    <x v="9"/>
    <x v="11"/>
    <n v="241"/>
    <n v="2"/>
    <n v="105"/>
    <x v="12"/>
    <n v="2"/>
    <x v="1"/>
    <n v="40"/>
    <n v="42"/>
    <n v="5"/>
    <n v="41"/>
    <n v="108750"/>
  </r>
  <r>
    <x v="10"/>
    <x v="11"/>
    <n v="195"/>
    <n v="1"/>
    <n v="67"/>
    <x v="3"/>
    <n v="5"/>
    <x v="4"/>
    <n v="37"/>
    <n v="30"/>
    <n v="4"/>
    <n v="51"/>
    <n v="107900"/>
  </r>
  <r>
    <x v="11"/>
    <x v="11"/>
    <n v="182"/>
    <n v="6"/>
    <n v="68"/>
    <x v="12"/>
    <n v="5"/>
    <x v="1"/>
    <n v="35"/>
    <n v="34"/>
    <n v="3"/>
    <n v="27"/>
    <n v="96060"/>
  </r>
  <r>
    <x v="12"/>
    <x v="11"/>
    <n v="423"/>
    <n v="5"/>
    <n v="206"/>
    <x v="0"/>
    <n v="11"/>
    <x v="1"/>
    <n v="70"/>
    <n v="59"/>
    <n v="15"/>
    <n v="55"/>
    <n v="160560"/>
  </r>
  <r>
    <x v="13"/>
    <x v="11"/>
    <n v="1019"/>
    <n v="25"/>
    <n v="311"/>
    <x v="1"/>
    <n v="42"/>
    <x v="0"/>
    <n v="136"/>
    <n v="211"/>
    <n v="31"/>
    <n v="252"/>
    <n v="374130"/>
  </r>
  <r>
    <x v="14"/>
    <x v="11"/>
    <n v="2440"/>
    <n v="18"/>
    <n v="423"/>
    <x v="1"/>
    <n v="37"/>
    <x v="6"/>
    <n v="284"/>
    <n v="777"/>
    <n v="61"/>
    <n v="816"/>
    <n v="635640"/>
  </r>
  <r>
    <x v="15"/>
    <x v="11"/>
    <n v="396"/>
    <n v="6"/>
    <n v="252"/>
    <x v="13"/>
    <n v="8"/>
    <x v="3"/>
    <n v="45"/>
    <n v="20"/>
    <n v="6"/>
    <n v="49"/>
    <n v="235430"/>
  </r>
  <r>
    <x v="16"/>
    <x v="11"/>
    <n v="417"/>
    <n v="8"/>
    <n v="204"/>
    <x v="3"/>
    <n v="3"/>
    <x v="3"/>
    <n v="37"/>
    <n v="80"/>
    <n v="6"/>
    <n v="76"/>
    <n v="77060"/>
  </r>
  <r>
    <x v="17"/>
    <x v="11"/>
    <n v="203"/>
    <n v="2"/>
    <n v="86"/>
    <x v="16"/>
    <n v="7"/>
    <x v="4"/>
    <n v="24"/>
    <n v="33"/>
    <n v="6"/>
    <n v="41"/>
    <n v="93150"/>
  </r>
  <r>
    <x v="18"/>
    <x v="11"/>
    <n v="128"/>
    <n v="1"/>
    <n v="69"/>
    <x v="6"/>
    <n v="6"/>
    <x v="4"/>
    <n v="13"/>
    <n v="17"/>
    <n v="1"/>
    <n v="19"/>
    <n v="95710"/>
  </r>
  <r>
    <x v="19"/>
    <x v="11"/>
    <n v="76"/>
    <n v="3"/>
    <n v="70"/>
    <x v="3"/>
    <n v="1"/>
    <x v="4"/>
    <n v="1"/>
    <m/>
    <m/>
    <n v="1"/>
    <n v="26500"/>
  </r>
  <r>
    <x v="20"/>
    <x v="11"/>
    <n v="491"/>
    <n v="9"/>
    <n v="156"/>
    <x v="5"/>
    <n v="9"/>
    <x v="12"/>
    <n v="91"/>
    <n v="101"/>
    <n v="11"/>
    <n v="97"/>
    <n v="134250"/>
  </r>
  <r>
    <x v="21"/>
    <x v="11"/>
    <n v="1475"/>
    <n v="14"/>
    <n v="460"/>
    <x v="10"/>
    <n v="29"/>
    <x v="6"/>
    <n v="164"/>
    <n v="179"/>
    <n v="29"/>
    <n v="574"/>
    <n v="341140"/>
  </r>
  <r>
    <x v="22"/>
    <x v="11"/>
    <n v="14"/>
    <m/>
    <n v="6"/>
    <x v="0"/>
    <n v="1"/>
    <x v="4"/>
    <n v="3"/>
    <n v="1"/>
    <m/>
    <n v="2"/>
    <n v="22400"/>
  </r>
  <r>
    <x v="23"/>
    <x v="11"/>
    <n v="145"/>
    <n v="2"/>
    <n v="62"/>
    <x v="16"/>
    <n v="5"/>
    <x v="0"/>
    <n v="11"/>
    <n v="34"/>
    <n v="5"/>
    <n v="17"/>
    <n v="151910"/>
  </r>
  <r>
    <x v="24"/>
    <x v="11"/>
    <n v="503"/>
    <n v="3"/>
    <n v="137"/>
    <x v="0"/>
    <n v="11"/>
    <x v="3"/>
    <n v="63"/>
    <n v="122"/>
    <n v="17"/>
    <n v="146"/>
    <n v="179390"/>
  </r>
  <r>
    <x v="25"/>
    <x v="11"/>
    <n v="124"/>
    <n v="1"/>
    <n v="64"/>
    <x v="6"/>
    <n v="4"/>
    <x v="1"/>
    <n v="12"/>
    <n v="23"/>
    <n v="4"/>
    <n v="13"/>
    <n v="115240"/>
  </r>
  <r>
    <x v="26"/>
    <x v="11"/>
    <n v="15"/>
    <m/>
    <n v="6"/>
    <x v="3"/>
    <n v="2"/>
    <x v="4"/>
    <n v="3"/>
    <n v="1"/>
    <m/>
    <n v="3"/>
    <n v="22870"/>
  </r>
  <r>
    <x v="27"/>
    <x v="11"/>
    <n v="304"/>
    <n v="2"/>
    <n v="102"/>
    <x v="6"/>
    <n v="4"/>
    <x v="1"/>
    <n v="66"/>
    <n v="74"/>
    <n v="2"/>
    <n v="51"/>
    <n v="112140"/>
  </r>
  <r>
    <x v="28"/>
    <x v="11"/>
    <n v="1018"/>
    <n v="5"/>
    <n v="349"/>
    <x v="10"/>
    <n v="7"/>
    <x v="10"/>
    <n v="97"/>
    <n v="171"/>
    <n v="26"/>
    <n v="351"/>
    <n v="320820"/>
  </r>
  <r>
    <x v="29"/>
    <x v="11"/>
    <n v="196"/>
    <n v="2"/>
    <n v="89"/>
    <x v="3"/>
    <n v="8"/>
    <x v="1"/>
    <n v="19"/>
    <n v="46"/>
    <n v="4"/>
    <n v="27"/>
    <n v="94080"/>
  </r>
  <r>
    <x v="30"/>
    <x v="11"/>
    <n v="408"/>
    <n v="12"/>
    <n v="119"/>
    <x v="12"/>
    <n v="6"/>
    <x v="4"/>
    <n v="54"/>
    <n v="121"/>
    <n v="7"/>
    <n v="86"/>
    <n v="88340"/>
  </r>
  <r>
    <x v="31"/>
    <x v="11"/>
    <n v="692"/>
    <n v="11"/>
    <n v="283"/>
    <x v="12"/>
    <n v="15"/>
    <x v="5"/>
    <n v="82"/>
    <n v="164"/>
    <n v="22"/>
    <n v="106"/>
    <n v="183820"/>
  </r>
</pivotCacheRecords>
</file>

<file path=xl/pivotCache/pivotCacheRecords7.xml><?xml version="1.0" encoding="utf-8"?>
<pivotCacheRecords xmlns="http://schemas.openxmlformats.org/spreadsheetml/2006/main" xmlns:r="http://schemas.openxmlformats.org/officeDocument/2006/relationships" count="384">
  <r>
    <x v="0"/>
    <x v="0"/>
    <x v="0"/>
    <n v="166"/>
    <n v="23"/>
    <x v="0"/>
    <x v="0"/>
    <m/>
    <x v="0"/>
    <x v="0"/>
    <n v="59"/>
    <n v="16"/>
    <n v="29"/>
    <n v="33"/>
    <n v="217020"/>
  </r>
  <r>
    <x v="0"/>
    <x v="0"/>
    <x v="1"/>
    <n v="158"/>
    <n v="15"/>
    <x v="1"/>
    <x v="1"/>
    <n v="1"/>
    <x v="1"/>
    <x v="1"/>
    <n v="56"/>
    <n v="5"/>
    <n v="36"/>
    <n v="3"/>
    <n v="249020"/>
  </r>
  <r>
    <x v="0"/>
    <x v="0"/>
    <x v="2"/>
    <n v="46"/>
    <n v="2"/>
    <x v="2"/>
    <x v="2"/>
    <n v="1"/>
    <x v="0"/>
    <x v="0"/>
    <n v="23"/>
    <n v="7"/>
    <n v="9"/>
    <m/>
    <n v="114830"/>
  </r>
  <r>
    <x v="0"/>
    <x v="0"/>
    <x v="3"/>
    <n v="51"/>
    <n v="7"/>
    <x v="3"/>
    <x v="3"/>
    <n v="3"/>
    <x v="2"/>
    <x v="0"/>
    <n v="18"/>
    <n v="5"/>
    <n v="15"/>
    <m/>
    <n v="89450"/>
  </r>
  <r>
    <x v="0"/>
    <x v="0"/>
    <x v="4"/>
    <n v="437"/>
    <n v="106"/>
    <x v="4"/>
    <x v="4"/>
    <n v="43"/>
    <x v="2"/>
    <x v="2"/>
    <n v="119"/>
    <n v="31"/>
    <n v="69"/>
    <n v="37"/>
    <n v="463230"/>
  </r>
  <r>
    <x v="0"/>
    <x v="0"/>
    <x v="5"/>
    <n v="51"/>
    <n v="6"/>
    <x v="5"/>
    <x v="5"/>
    <n v="2"/>
    <x v="0"/>
    <x v="0"/>
    <n v="12"/>
    <m/>
    <n v="8"/>
    <n v="1"/>
    <n v="51290"/>
  </r>
  <r>
    <x v="0"/>
    <x v="0"/>
    <x v="6"/>
    <n v="107"/>
    <n v="6"/>
    <x v="6"/>
    <x v="6"/>
    <n v="4"/>
    <x v="3"/>
    <x v="1"/>
    <n v="39"/>
    <n v="3"/>
    <n v="40"/>
    <n v="6"/>
    <n v="151160"/>
  </r>
  <r>
    <x v="0"/>
    <x v="0"/>
    <x v="7"/>
    <n v="73"/>
    <n v="12"/>
    <x v="7"/>
    <x v="0"/>
    <n v="1"/>
    <x v="3"/>
    <x v="0"/>
    <n v="25"/>
    <n v="8"/>
    <n v="17"/>
    <n v="2"/>
    <n v="145170"/>
  </r>
  <r>
    <x v="0"/>
    <x v="0"/>
    <x v="8"/>
    <n v="105"/>
    <n v="26"/>
    <x v="6"/>
    <x v="6"/>
    <n v="8"/>
    <x v="0"/>
    <x v="0"/>
    <n v="33"/>
    <n v="12"/>
    <n v="14"/>
    <n v="5"/>
    <n v="122110"/>
  </r>
  <r>
    <x v="0"/>
    <x v="0"/>
    <x v="9"/>
    <n v="71"/>
    <n v="9"/>
    <x v="2"/>
    <x v="0"/>
    <n v="7"/>
    <x v="0"/>
    <x v="0"/>
    <n v="29"/>
    <n v="7"/>
    <n v="12"/>
    <n v="4"/>
    <n v="104960"/>
  </r>
  <r>
    <x v="0"/>
    <x v="0"/>
    <x v="10"/>
    <n v="96"/>
    <n v="15"/>
    <x v="8"/>
    <x v="7"/>
    <n v="7"/>
    <x v="0"/>
    <x v="0"/>
    <n v="25"/>
    <n v="6"/>
    <n v="21"/>
    <n v="3"/>
    <n v="98340"/>
  </r>
  <r>
    <x v="0"/>
    <x v="0"/>
    <x v="11"/>
    <n v="70"/>
    <n v="6"/>
    <x v="9"/>
    <x v="3"/>
    <n v="15"/>
    <x v="3"/>
    <x v="0"/>
    <n v="21"/>
    <n v="7"/>
    <n v="11"/>
    <n v="1"/>
    <n v="89980"/>
  </r>
  <r>
    <x v="0"/>
    <x v="0"/>
    <x v="12"/>
    <n v="87"/>
    <n v="15"/>
    <x v="7"/>
    <x v="6"/>
    <n v="1"/>
    <x v="0"/>
    <x v="0"/>
    <n v="32"/>
    <n v="6"/>
    <n v="25"/>
    <n v="2"/>
    <n v="154210"/>
  </r>
  <r>
    <x v="0"/>
    <x v="0"/>
    <x v="13"/>
    <n v="207"/>
    <n v="36"/>
    <x v="6"/>
    <x v="8"/>
    <n v="3"/>
    <x v="1"/>
    <x v="1"/>
    <n v="79"/>
    <n v="18"/>
    <n v="41"/>
    <n v="9"/>
    <n v="361420"/>
  </r>
  <r>
    <x v="0"/>
    <x v="0"/>
    <x v="14"/>
    <n v="619"/>
    <n v="108"/>
    <x v="10"/>
    <x v="6"/>
    <n v="27"/>
    <x v="2"/>
    <x v="1"/>
    <n v="281"/>
    <n v="68"/>
    <n v="98"/>
    <n v="10"/>
    <n v="581620"/>
  </r>
  <r>
    <x v="0"/>
    <x v="0"/>
    <x v="15"/>
    <n v="131"/>
    <n v="18"/>
    <x v="6"/>
    <x v="8"/>
    <n v="9"/>
    <x v="2"/>
    <x v="1"/>
    <n v="44"/>
    <n v="2"/>
    <n v="36"/>
    <m/>
    <n v="228750"/>
  </r>
  <r>
    <x v="0"/>
    <x v="0"/>
    <x v="16"/>
    <n v="107"/>
    <n v="21"/>
    <x v="2"/>
    <x v="6"/>
    <n v="2"/>
    <x v="2"/>
    <x v="0"/>
    <n v="40"/>
    <n v="14"/>
    <n v="22"/>
    <n v="3"/>
    <n v="81670"/>
  </r>
  <r>
    <x v="0"/>
    <x v="0"/>
    <x v="17"/>
    <n v="78"/>
    <n v="10"/>
    <x v="9"/>
    <x v="9"/>
    <n v="9"/>
    <x v="0"/>
    <x v="1"/>
    <n v="26"/>
    <n v="4"/>
    <n v="13"/>
    <n v="2"/>
    <n v="81900"/>
  </r>
  <r>
    <x v="0"/>
    <x v="0"/>
    <x v="18"/>
    <n v="56"/>
    <n v="9"/>
    <x v="7"/>
    <x v="9"/>
    <n v="2"/>
    <x v="0"/>
    <x v="0"/>
    <n v="14"/>
    <n v="7"/>
    <n v="13"/>
    <n v="1"/>
    <n v="93160"/>
  </r>
  <r>
    <x v="0"/>
    <x v="0"/>
    <x v="19"/>
    <n v="7"/>
    <n v="1"/>
    <x v="3"/>
    <x v="6"/>
    <n v="1"/>
    <x v="3"/>
    <x v="0"/>
    <n v="2"/>
    <m/>
    <n v="1"/>
    <m/>
    <n v="27420"/>
  </r>
  <r>
    <x v="0"/>
    <x v="0"/>
    <x v="20"/>
    <n v="122"/>
    <n v="29"/>
    <x v="11"/>
    <x v="3"/>
    <n v="6"/>
    <x v="3"/>
    <x v="1"/>
    <n v="37"/>
    <n v="11"/>
    <n v="23"/>
    <n v="5"/>
    <n v="137830"/>
  </r>
  <r>
    <x v="0"/>
    <x v="0"/>
    <x v="21"/>
    <n v="449"/>
    <n v="61"/>
    <x v="12"/>
    <x v="4"/>
    <n v="56"/>
    <x v="0"/>
    <x v="3"/>
    <n v="172"/>
    <n v="49"/>
    <n v="80"/>
    <n v="9"/>
    <n v="335160"/>
  </r>
  <r>
    <x v="0"/>
    <x v="0"/>
    <x v="22"/>
    <n v="5"/>
    <n v="1"/>
    <x v="3"/>
    <x v="3"/>
    <m/>
    <x v="0"/>
    <x v="0"/>
    <n v="3"/>
    <m/>
    <n v="1"/>
    <m/>
    <n v="20940"/>
  </r>
  <r>
    <x v="0"/>
    <x v="0"/>
    <x v="23"/>
    <n v="78"/>
    <n v="9"/>
    <x v="5"/>
    <x v="9"/>
    <n v="1"/>
    <x v="0"/>
    <x v="1"/>
    <n v="36"/>
    <n v="3"/>
    <n v="19"/>
    <n v="1"/>
    <n v="144370"/>
  </r>
  <r>
    <x v="0"/>
    <x v="0"/>
    <x v="24"/>
    <n v="153"/>
    <n v="25"/>
    <x v="12"/>
    <x v="6"/>
    <n v="12"/>
    <x v="3"/>
    <x v="0"/>
    <n v="49"/>
    <n v="17"/>
    <n v="32"/>
    <n v="4"/>
    <n v="173020"/>
  </r>
  <r>
    <x v="0"/>
    <x v="0"/>
    <x v="25"/>
    <n v="78"/>
    <n v="5"/>
    <x v="13"/>
    <x v="6"/>
    <n v="17"/>
    <x v="0"/>
    <x v="0"/>
    <n v="28"/>
    <n v="2"/>
    <n v="18"/>
    <m/>
    <n v="113590"/>
  </r>
  <r>
    <x v="0"/>
    <x v="0"/>
    <x v="26"/>
    <n v="12"/>
    <n v="2"/>
    <x v="8"/>
    <x v="3"/>
    <m/>
    <x v="1"/>
    <x v="0"/>
    <n v="4"/>
    <m/>
    <n v="2"/>
    <m/>
    <n v="22800"/>
  </r>
  <r>
    <x v="0"/>
    <x v="0"/>
    <x v="27"/>
    <n v="53"/>
    <n v="10"/>
    <x v="5"/>
    <x v="6"/>
    <n v="3"/>
    <x v="0"/>
    <x v="0"/>
    <n v="17"/>
    <n v="8"/>
    <n v="9"/>
    <n v="2"/>
    <n v="112490"/>
  </r>
  <r>
    <x v="0"/>
    <x v="0"/>
    <x v="28"/>
    <n v="330"/>
    <n v="61"/>
    <x v="12"/>
    <x v="10"/>
    <n v="49"/>
    <x v="0"/>
    <x v="1"/>
    <n v="102"/>
    <n v="38"/>
    <n v="53"/>
    <n v="7"/>
    <n v="312180"/>
  </r>
  <r>
    <x v="0"/>
    <x v="0"/>
    <x v="29"/>
    <n v="59"/>
    <n v="7"/>
    <x v="2"/>
    <x v="0"/>
    <n v="1"/>
    <x v="0"/>
    <x v="0"/>
    <n v="19"/>
    <n v="8"/>
    <n v="20"/>
    <n v="1"/>
    <n v="88690"/>
  </r>
  <r>
    <x v="0"/>
    <x v="0"/>
    <x v="30"/>
    <n v="133"/>
    <n v="22"/>
    <x v="7"/>
    <x v="6"/>
    <n v="10"/>
    <x v="3"/>
    <x v="1"/>
    <n v="49"/>
    <n v="10"/>
    <n v="30"/>
    <n v="4"/>
    <n v="91080"/>
  </r>
  <r>
    <x v="0"/>
    <x v="0"/>
    <x v="31"/>
    <n v="233"/>
    <n v="32"/>
    <x v="11"/>
    <x v="11"/>
    <n v="34"/>
    <x v="0"/>
    <x v="0"/>
    <n v="94"/>
    <n v="27"/>
    <n v="24"/>
    <n v="3"/>
    <n v="173040"/>
  </r>
  <r>
    <x v="1"/>
    <x v="0"/>
    <x v="0"/>
    <n v="159"/>
    <n v="11"/>
    <x v="8"/>
    <x v="3"/>
    <n v="1"/>
    <x v="3"/>
    <x v="1"/>
    <n v="73"/>
    <n v="12"/>
    <n v="35"/>
    <n v="23"/>
    <n v="219730"/>
  </r>
  <r>
    <x v="1"/>
    <x v="0"/>
    <x v="1"/>
    <n v="137"/>
    <n v="20"/>
    <x v="14"/>
    <x v="9"/>
    <n v="4"/>
    <x v="1"/>
    <x v="0"/>
    <n v="53"/>
    <n v="4"/>
    <n v="30"/>
    <n v="3"/>
    <n v="251430"/>
  </r>
  <r>
    <x v="1"/>
    <x v="0"/>
    <x v="2"/>
    <n v="59"/>
    <n v="7"/>
    <x v="6"/>
    <x v="12"/>
    <n v="1"/>
    <x v="3"/>
    <x v="0"/>
    <n v="20"/>
    <n v="4"/>
    <n v="15"/>
    <n v="1"/>
    <n v="115410"/>
  </r>
  <r>
    <x v="1"/>
    <x v="0"/>
    <x v="3"/>
    <n v="56"/>
    <n v="7"/>
    <x v="0"/>
    <x v="0"/>
    <n v="8"/>
    <x v="2"/>
    <x v="0"/>
    <n v="19"/>
    <n v="1"/>
    <n v="10"/>
    <n v="2"/>
    <n v="88620"/>
  </r>
  <r>
    <x v="1"/>
    <x v="0"/>
    <x v="4"/>
    <n v="342"/>
    <n v="79"/>
    <x v="15"/>
    <x v="13"/>
    <n v="43"/>
    <x v="1"/>
    <x v="0"/>
    <n v="85"/>
    <n v="25"/>
    <n v="59"/>
    <n v="27"/>
    <n v="469930"/>
  </r>
  <r>
    <x v="1"/>
    <x v="0"/>
    <x v="5"/>
    <n v="41"/>
    <n v="8"/>
    <x v="5"/>
    <x v="13"/>
    <m/>
    <x v="0"/>
    <x v="0"/>
    <n v="8"/>
    <m/>
    <n v="8"/>
    <n v="3"/>
    <n v="51330"/>
  </r>
  <r>
    <x v="1"/>
    <x v="0"/>
    <x v="6"/>
    <n v="78"/>
    <n v="6"/>
    <x v="8"/>
    <x v="2"/>
    <n v="2"/>
    <x v="0"/>
    <x v="0"/>
    <n v="30"/>
    <n v="5"/>
    <n v="28"/>
    <n v="2"/>
    <n v="151100"/>
  </r>
  <r>
    <x v="1"/>
    <x v="0"/>
    <x v="7"/>
    <n v="95"/>
    <n v="17"/>
    <x v="5"/>
    <x v="6"/>
    <n v="4"/>
    <x v="0"/>
    <x v="1"/>
    <n v="43"/>
    <n v="4"/>
    <n v="17"/>
    <n v="5"/>
    <n v="146060"/>
  </r>
  <r>
    <x v="1"/>
    <x v="0"/>
    <x v="8"/>
    <n v="106"/>
    <n v="29"/>
    <x v="5"/>
    <x v="6"/>
    <n v="11"/>
    <x v="0"/>
    <x v="0"/>
    <n v="29"/>
    <n v="13"/>
    <n v="14"/>
    <n v="6"/>
    <n v="122410"/>
  </r>
  <r>
    <x v="1"/>
    <x v="0"/>
    <x v="9"/>
    <n v="50"/>
    <n v="8"/>
    <x v="3"/>
    <x v="3"/>
    <n v="6"/>
    <x v="0"/>
    <x v="1"/>
    <n v="22"/>
    <n v="5"/>
    <n v="7"/>
    <n v="1"/>
    <n v="104920"/>
  </r>
  <r>
    <x v="1"/>
    <x v="0"/>
    <x v="10"/>
    <n v="80"/>
    <n v="11"/>
    <x v="7"/>
    <x v="1"/>
    <n v="8"/>
    <x v="0"/>
    <x v="0"/>
    <n v="21"/>
    <n v="5"/>
    <n v="15"/>
    <n v="1"/>
    <n v="99140"/>
  </r>
  <r>
    <x v="1"/>
    <x v="0"/>
    <x v="11"/>
    <n v="48"/>
    <n v="9"/>
    <x v="2"/>
    <x v="3"/>
    <n v="4"/>
    <x v="0"/>
    <x v="0"/>
    <n v="25"/>
    <n v="6"/>
    <n v="2"/>
    <n v="1"/>
    <n v="90410"/>
  </r>
  <r>
    <x v="1"/>
    <x v="0"/>
    <x v="12"/>
    <n v="99"/>
    <n v="21"/>
    <x v="15"/>
    <x v="8"/>
    <n v="2"/>
    <x v="0"/>
    <x v="1"/>
    <n v="30"/>
    <n v="8"/>
    <n v="13"/>
    <n v="1"/>
    <n v="155130"/>
  </r>
  <r>
    <x v="1"/>
    <x v="0"/>
    <x v="13"/>
    <n v="221"/>
    <n v="33"/>
    <x v="16"/>
    <x v="11"/>
    <n v="2"/>
    <x v="4"/>
    <x v="1"/>
    <n v="73"/>
    <n v="34"/>
    <n v="45"/>
    <n v="3"/>
    <n v="362610"/>
  </r>
  <r>
    <x v="1"/>
    <x v="0"/>
    <x v="14"/>
    <n v="586"/>
    <n v="115"/>
    <x v="17"/>
    <x v="0"/>
    <n v="16"/>
    <x v="1"/>
    <x v="0"/>
    <n v="244"/>
    <n v="71"/>
    <n v="98"/>
    <n v="21"/>
    <n v="586500"/>
  </r>
  <r>
    <x v="1"/>
    <x v="0"/>
    <x v="15"/>
    <n v="164"/>
    <n v="10"/>
    <x v="18"/>
    <x v="14"/>
    <n v="21"/>
    <x v="4"/>
    <x v="1"/>
    <n v="39"/>
    <m/>
    <n v="46"/>
    <n v="3"/>
    <n v="230730"/>
  </r>
  <r>
    <x v="1"/>
    <x v="0"/>
    <x v="16"/>
    <n v="86"/>
    <n v="20"/>
    <x v="5"/>
    <x v="3"/>
    <n v="5"/>
    <x v="1"/>
    <x v="1"/>
    <n v="30"/>
    <n v="9"/>
    <n v="16"/>
    <m/>
    <n v="81510"/>
  </r>
  <r>
    <x v="1"/>
    <x v="0"/>
    <x v="17"/>
    <n v="83"/>
    <n v="12"/>
    <x v="8"/>
    <x v="12"/>
    <n v="18"/>
    <x v="0"/>
    <x v="3"/>
    <n v="13"/>
    <n v="7"/>
    <n v="20"/>
    <n v="5"/>
    <n v="82360"/>
  </r>
  <r>
    <x v="1"/>
    <x v="0"/>
    <x v="18"/>
    <n v="38"/>
    <n v="7"/>
    <x v="3"/>
    <x v="2"/>
    <n v="1"/>
    <x v="3"/>
    <x v="0"/>
    <n v="13"/>
    <n v="2"/>
    <n v="11"/>
    <m/>
    <n v="93690"/>
  </r>
  <r>
    <x v="1"/>
    <x v="0"/>
    <x v="19"/>
    <n v="18"/>
    <n v="1"/>
    <x v="8"/>
    <x v="0"/>
    <n v="1"/>
    <x v="3"/>
    <x v="0"/>
    <n v="7"/>
    <n v="1"/>
    <n v="2"/>
    <n v="1"/>
    <n v="27600"/>
  </r>
  <r>
    <x v="1"/>
    <x v="0"/>
    <x v="20"/>
    <n v="104"/>
    <n v="31"/>
    <x v="6"/>
    <x v="0"/>
    <n v="3"/>
    <x v="3"/>
    <x v="0"/>
    <n v="37"/>
    <n v="12"/>
    <n v="11"/>
    <n v="1"/>
    <n v="137800"/>
  </r>
  <r>
    <x v="1"/>
    <x v="0"/>
    <x v="21"/>
    <n v="342"/>
    <n v="63"/>
    <x v="9"/>
    <x v="2"/>
    <n v="27"/>
    <x v="2"/>
    <x v="3"/>
    <n v="147"/>
    <n v="32"/>
    <n v="52"/>
    <n v="5"/>
    <n v="336280"/>
  </r>
  <r>
    <x v="1"/>
    <x v="0"/>
    <x v="22"/>
    <n v="18"/>
    <n v="1"/>
    <x v="8"/>
    <x v="3"/>
    <n v="2"/>
    <x v="0"/>
    <x v="0"/>
    <n v="6"/>
    <m/>
    <n v="7"/>
    <m/>
    <n v="21220"/>
  </r>
  <r>
    <x v="1"/>
    <x v="0"/>
    <x v="23"/>
    <n v="114"/>
    <n v="4"/>
    <x v="5"/>
    <x v="12"/>
    <n v="5"/>
    <x v="3"/>
    <x v="0"/>
    <n v="42"/>
    <n v="4"/>
    <n v="49"/>
    <n v="2"/>
    <n v="145600"/>
  </r>
  <r>
    <x v="1"/>
    <x v="0"/>
    <x v="24"/>
    <n v="152"/>
    <n v="23"/>
    <x v="11"/>
    <x v="6"/>
    <n v="10"/>
    <x v="3"/>
    <x v="4"/>
    <n v="51"/>
    <n v="18"/>
    <n v="32"/>
    <n v="3"/>
    <n v="173700"/>
  </r>
  <r>
    <x v="1"/>
    <x v="0"/>
    <x v="25"/>
    <n v="87"/>
    <n v="6"/>
    <x v="9"/>
    <x v="12"/>
    <n v="30"/>
    <x v="0"/>
    <x v="1"/>
    <n v="18"/>
    <n v="1"/>
    <n v="16"/>
    <n v="3"/>
    <n v="113700"/>
  </r>
  <r>
    <x v="1"/>
    <x v="0"/>
    <x v="26"/>
    <n v="9"/>
    <n v="2"/>
    <x v="8"/>
    <x v="3"/>
    <m/>
    <x v="3"/>
    <x v="0"/>
    <n v="2"/>
    <m/>
    <n v="2"/>
    <m/>
    <n v="23060"/>
  </r>
  <r>
    <x v="1"/>
    <x v="0"/>
    <x v="27"/>
    <n v="52"/>
    <n v="10"/>
    <x v="8"/>
    <x v="12"/>
    <n v="2"/>
    <x v="3"/>
    <x v="0"/>
    <n v="18"/>
    <n v="4"/>
    <n v="11"/>
    <m/>
    <n v="112600"/>
  </r>
  <r>
    <x v="1"/>
    <x v="0"/>
    <x v="28"/>
    <n v="292"/>
    <n v="58"/>
    <x v="11"/>
    <x v="9"/>
    <n v="27"/>
    <x v="0"/>
    <x v="1"/>
    <n v="106"/>
    <n v="24"/>
    <n v="55"/>
    <n v="7"/>
    <n v="313180"/>
  </r>
  <r>
    <x v="1"/>
    <x v="0"/>
    <x v="29"/>
    <n v="52"/>
    <n v="7"/>
    <x v="8"/>
    <x v="12"/>
    <n v="2"/>
    <x v="0"/>
    <x v="0"/>
    <n v="21"/>
    <n v="4"/>
    <n v="11"/>
    <n v="1"/>
    <n v="89550"/>
  </r>
  <r>
    <x v="1"/>
    <x v="0"/>
    <x v="30"/>
    <n v="92"/>
    <n v="11"/>
    <x v="5"/>
    <x v="0"/>
    <n v="3"/>
    <x v="1"/>
    <x v="0"/>
    <n v="47"/>
    <n v="8"/>
    <n v="15"/>
    <n v="1"/>
    <n v="90800"/>
  </r>
  <r>
    <x v="1"/>
    <x v="0"/>
    <x v="31"/>
    <n v="196"/>
    <n v="31"/>
    <x v="5"/>
    <x v="15"/>
    <n v="47"/>
    <x v="0"/>
    <x v="1"/>
    <n v="59"/>
    <n v="15"/>
    <n v="24"/>
    <n v="7"/>
    <n v="174090"/>
  </r>
  <r>
    <x v="2"/>
    <x v="0"/>
    <x v="0"/>
    <n v="119"/>
    <n v="16"/>
    <x v="5"/>
    <x v="0"/>
    <n v="2"/>
    <x v="0"/>
    <x v="0"/>
    <n v="51"/>
    <n v="9"/>
    <n v="27"/>
    <n v="9"/>
    <n v="222460"/>
  </r>
  <r>
    <x v="2"/>
    <x v="0"/>
    <x v="1"/>
    <n v="133"/>
    <n v="11"/>
    <x v="19"/>
    <x v="1"/>
    <n v="3"/>
    <x v="2"/>
    <x v="0"/>
    <n v="49"/>
    <n v="7"/>
    <n v="25"/>
    <n v="1"/>
    <n v="253650"/>
  </r>
  <r>
    <x v="2"/>
    <x v="0"/>
    <x v="2"/>
    <n v="49"/>
    <n v="6"/>
    <x v="6"/>
    <x v="6"/>
    <m/>
    <x v="0"/>
    <x v="1"/>
    <n v="19"/>
    <n v="3"/>
    <n v="13"/>
    <m/>
    <n v="116200"/>
  </r>
  <r>
    <x v="2"/>
    <x v="0"/>
    <x v="3"/>
    <n v="54"/>
    <n v="9"/>
    <x v="8"/>
    <x v="16"/>
    <n v="3"/>
    <x v="3"/>
    <x v="0"/>
    <n v="22"/>
    <n v="2"/>
    <n v="9"/>
    <m/>
    <n v="88930"/>
  </r>
  <r>
    <x v="2"/>
    <x v="0"/>
    <x v="4"/>
    <n v="336"/>
    <n v="88"/>
    <x v="9"/>
    <x v="17"/>
    <n v="27"/>
    <x v="3"/>
    <x v="3"/>
    <n v="80"/>
    <n v="26"/>
    <n v="60"/>
    <n v="29"/>
    <n v="477940"/>
  </r>
  <r>
    <x v="2"/>
    <x v="0"/>
    <x v="5"/>
    <n v="16"/>
    <n v="2"/>
    <x v="2"/>
    <x v="6"/>
    <n v="1"/>
    <x v="0"/>
    <x v="0"/>
    <n v="5"/>
    <n v="2"/>
    <n v="3"/>
    <n v="1"/>
    <n v="51500"/>
  </r>
  <r>
    <x v="2"/>
    <x v="0"/>
    <x v="6"/>
    <n v="103"/>
    <n v="5"/>
    <x v="6"/>
    <x v="16"/>
    <n v="1"/>
    <x v="3"/>
    <x v="0"/>
    <n v="35"/>
    <n v="5"/>
    <n v="40"/>
    <n v="4"/>
    <n v="151410"/>
  </r>
  <r>
    <x v="2"/>
    <x v="0"/>
    <x v="7"/>
    <n v="82"/>
    <n v="19"/>
    <x v="7"/>
    <x v="3"/>
    <m/>
    <x v="0"/>
    <x v="0"/>
    <n v="29"/>
    <n v="2"/>
    <n v="19"/>
    <n v="8"/>
    <n v="147200"/>
  </r>
  <r>
    <x v="2"/>
    <x v="0"/>
    <x v="8"/>
    <n v="82"/>
    <n v="12"/>
    <x v="0"/>
    <x v="6"/>
    <n v="7"/>
    <x v="0"/>
    <x v="1"/>
    <n v="24"/>
    <n v="15"/>
    <n v="17"/>
    <n v="1"/>
    <n v="122690"/>
  </r>
  <r>
    <x v="2"/>
    <x v="0"/>
    <x v="9"/>
    <n v="38"/>
    <n v="4"/>
    <x v="2"/>
    <x v="6"/>
    <n v="1"/>
    <x v="0"/>
    <x v="0"/>
    <n v="15"/>
    <n v="6"/>
    <n v="9"/>
    <n v="1"/>
    <n v="105000"/>
  </r>
  <r>
    <x v="2"/>
    <x v="0"/>
    <x v="10"/>
    <n v="79"/>
    <n v="12"/>
    <x v="13"/>
    <x v="18"/>
    <n v="20"/>
    <x v="0"/>
    <x v="0"/>
    <n v="16"/>
    <n v="1"/>
    <n v="5"/>
    <n v="2"/>
    <n v="99920"/>
  </r>
  <r>
    <x v="2"/>
    <x v="0"/>
    <x v="11"/>
    <n v="49"/>
    <n v="9"/>
    <x v="2"/>
    <x v="3"/>
    <n v="5"/>
    <x v="0"/>
    <x v="0"/>
    <n v="16"/>
    <n v="6"/>
    <n v="12"/>
    <m/>
    <n v="90810"/>
  </r>
  <r>
    <x v="2"/>
    <x v="0"/>
    <x v="12"/>
    <n v="89"/>
    <n v="19"/>
    <x v="5"/>
    <x v="11"/>
    <n v="3"/>
    <x v="0"/>
    <x v="1"/>
    <n v="24"/>
    <n v="5"/>
    <n v="22"/>
    <n v="2"/>
    <n v="156250"/>
  </r>
  <r>
    <x v="2"/>
    <x v="0"/>
    <x v="13"/>
    <n v="196"/>
    <n v="38"/>
    <x v="15"/>
    <x v="18"/>
    <n v="4"/>
    <x v="5"/>
    <x v="3"/>
    <n v="67"/>
    <n v="11"/>
    <n v="35"/>
    <n v="7"/>
    <n v="365300"/>
  </r>
  <r>
    <x v="2"/>
    <x v="0"/>
    <x v="14"/>
    <n v="455"/>
    <n v="79"/>
    <x v="20"/>
    <x v="6"/>
    <n v="7"/>
    <x v="1"/>
    <x v="0"/>
    <n v="200"/>
    <n v="54"/>
    <n v="86"/>
    <n v="11"/>
    <n v="593060"/>
  </r>
  <r>
    <x v="2"/>
    <x v="0"/>
    <x v="15"/>
    <n v="174"/>
    <n v="25"/>
    <x v="11"/>
    <x v="7"/>
    <n v="28"/>
    <x v="6"/>
    <x v="3"/>
    <n v="40"/>
    <n v="3"/>
    <n v="40"/>
    <n v="4"/>
    <n v="232730"/>
  </r>
  <r>
    <x v="2"/>
    <x v="0"/>
    <x v="16"/>
    <n v="72"/>
    <n v="15"/>
    <x v="3"/>
    <x v="3"/>
    <n v="2"/>
    <x v="1"/>
    <x v="0"/>
    <n v="30"/>
    <n v="6"/>
    <n v="14"/>
    <n v="3"/>
    <n v="81220"/>
  </r>
  <r>
    <x v="2"/>
    <x v="0"/>
    <x v="17"/>
    <n v="80"/>
    <n v="13"/>
    <x v="8"/>
    <x v="2"/>
    <n v="16"/>
    <x v="0"/>
    <x v="3"/>
    <n v="16"/>
    <n v="6"/>
    <n v="18"/>
    <n v="4"/>
    <n v="83450"/>
  </r>
  <r>
    <x v="2"/>
    <x v="0"/>
    <x v="18"/>
    <n v="36"/>
    <n v="5"/>
    <x v="7"/>
    <x v="2"/>
    <m/>
    <x v="0"/>
    <x v="1"/>
    <n v="9"/>
    <n v="1"/>
    <n v="10"/>
    <n v="2"/>
    <n v="93470"/>
  </r>
  <r>
    <x v="2"/>
    <x v="0"/>
    <x v="19"/>
    <n v="17"/>
    <n v="5"/>
    <x v="8"/>
    <x v="6"/>
    <m/>
    <x v="1"/>
    <x v="0"/>
    <n v="4"/>
    <m/>
    <n v="3"/>
    <m/>
    <n v="27690"/>
  </r>
  <r>
    <x v="2"/>
    <x v="0"/>
    <x v="20"/>
    <n v="72"/>
    <n v="12"/>
    <x v="0"/>
    <x v="0"/>
    <n v="3"/>
    <x v="3"/>
    <x v="1"/>
    <n v="27"/>
    <n v="6"/>
    <n v="16"/>
    <m/>
    <n v="138090"/>
  </r>
  <r>
    <x v="2"/>
    <x v="0"/>
    <x v="21"/>
    <n v="275"/>
    <n v="47"/>
    <x v="15"/>
    <x v="9"/>
    <n v="11"/>
    <x v="0"/>
    <x v="3"/>
    <n v="105"/>
    <n v="34"/>
    <n v="51"/>
    <n v="9"/>
    <n v="337720"/>
  </r>
  <r>
    <x v="2"/>
    <x v="0"/>
    <x v="22"/>
    <n v="13"/>
    <n v="1"/>
    <x v="2"/>
    <x v="3"/>
    <m/>
    <x v="0"/>
    <x v="0"/>
    <n v="6"/>
    <n v="1"/>
    <n v="4"/>
    <m/>
    <n v="21420"/>
  </r>
  <r>
    <x v="2"/>
    <x v="0"/>
    <x v="23"/>
    <n v="108"/>
    <n v="7"/>
    <x v="6"/>
    <x v="13"/>
    <n v="1"/>
    <x v="0"/>
    <x v="3"/>
    <n v="45"/>
    <n v="3"/>
    <n v="31"/>
    <n v="2"/>
    <n v="146850"/>
  </r>
  <r>
    <x v="2"/>
    <x v="0"/>
    <x v="24"/>
    <n v="107"/>
    <n v="15"/>
    <x v="6"/>
    <x v="3"/>
    <n v="7"/>
    <x v="0"/>
    <x v="1"/>
    <n v="43"/>
    <n v="12"/>
    <n v="17"/>
    <n v="6"/>
    <n v="174700"/>
  </r>
  <r>
    <x v="2"/>
    <x v="0"/>
    <x v="25"/>
    <n v="85"/>
    <n v="11"/>
    <x v="7"/>
    <x v="15"/>
    <n v="17"/>
    <x v="0"/>
    <x v="1"/>
    <n v="20"/>
    <n v="2"/>
    <n v="20"/>
    <m/>
    <n v="113880"/>
  </r>
  <r>
    <x v="2"/>
    <x v="0"/>
    <x v="26"/>
    <n v="11"/>
    <n v="5"/>
    <x v="0"/>
    <x v="3"/>
    <m/>
    <x v="3"/>
    <x v="0"/>
    <m/>
    <m/>
    <n v="1"/>
    <m/>
    <n v="23240"/>
  </r>
  <r>
    <x v="2"/>
    <x v="0"/>
    <x v="27"/>
    <n v="58"/>
    <n v="11"/>
    <x v="2"/>
    <x v="6"/>
    <n v="3"/>
    <x v="0"/>
    <x v="0"/>
    <n v="24"/>
    <n v="6"/>
    <n v="11"/>
    <n v="1"/>
    <n v="112980"/>
  </r>
  <r>
    <x v="2"/>
    <x v="0"/>
    <x v="28"/>
    <n v="214"/>
    <n v="29"/>
    <x v="11"/>
    <x v="3"/>
    <n v="14"/>
    <x v="0"/>
    <x v="3"/>
    <n v="95"/>
    <n v="24"/>
    <n v="39"/>
    <n v="2"/>
    <n v="313900"/>
  </r>
  <r>
    <x v="2"/>
    <x v="0"/>
    <x v="29"/>
    <n v="47"/>
    <n v="8"/>
    <x v="5"/>
    <x v="4"/>
    <n v="3"/>
    <x v="0"/>
    <x v="0"/>
    <n v="19"/>
    <n v="2"/>
    <n v="4"/>
    <m/>
    <n v="90330"/>
  </r>
  <r>
    <x v="2"/>
    <x v="0"/>
    <x v="30"/>
    <n v="106"/>
    <n v="12"/>
    <x v="0"/>
    <x v="3"/>
    <n v="2"/>
    <x v="3"/>
    <x v="0"/>
    <n v="51"/>
    <n v="8"/>
    <n v="26"/>
    <n v="2"/>
    <n v="90610"/>
  </r>
  <r>
    <x v="2"/>
    <x v="0"/>
    <x v="31"/>
    <n v="182"/>
    <n v="28"/>
    <x v="9"/>
    <x v="10"/>
    <n v="28"/>
    <x v="0"/>
    <x v="1"/>
    <n v="57"/>
    <n v="13"/>
    <n v="37"/>
    <n v="3"/>
    <n v="175300"/>
  </r>
  <r>
    <x v="3"/>
    <x v="0"/>
    <x v="0"/>
    <n v="107"/>
    <n v="14"/>
    <x v="5"/>
    <x v="3"/>
    <m/>
    <x v="0"/>
    <x v="0"/>
    <n v="50"/>
    <n v="10"/>
    <n v="22"/>
    <n v="8"/>
    <n v="224910"/>
  </r>
  <r>
    <x v="3"/>
    <x v="0"/>
    <x v="1"/>
    <n v="144"/>
    <n v="11"/>
    <x v="19"/>
    <x v="9"/>
    <n v="2"/>
    <x v="1"/>
    <x v="1"/>
    <n v="55"/>
    <n v="10"/>
    <n v="31"/>
    <n v="7"/>
    <n v="255560"/>
  </r>
  <r>
    <x v="3"/>
    <x v="0"/>
    <x v="2"/>
    <n v="50"/>
    <n v="6"/>
    <x v="8"/>
    <x v="9"/>
    <m/>
    <x v="0"/>
    <x v="0"/>
    <n v="25"/>
    <n v="4"/>
    <n v="7"/>
    <n v="1"/>
    <n v="116220"/>
  </r>
  <r>
    <x v="3"/>
    <x v="0"/>
    <x v="3"/>
    <n v="50"/>
    <n v="4"/>
    <x v="2"/>
    <x v="0"/>
    <n v="8"/>
    <x v="7"/>
    <x v="0"/>
    <n v="17"/>
    <m/>
    <n v="14"/>
    <m/>
    <n v="86910"/>
  </r>
  <r>
    <x v="3"/>
    <x v="0"/>
    <x v="4"/>
    <n v="229"/>
    <n v="52"/>
    <x v="21"/>
    <x v="12"/>
    <n v="19"/>
    <x v="1"/>
    <x v="1"/>
    <n v="66"/>
    <n v="10"/>
    <n v="41"/>
    <n v="24"/>
    <n v="482630"/>
  </r>
  <r>
    <x v="3"/>
    <x v="0"/>
    <x v="5"/>
    <n v="17"/>
    <n v="2"/>
    <x v="2"/>
    <x v="6"/>
    <n v="5"/>
    <x v="0"/>
    <x v="0"/>
    <n v="4"/>
    <n v="1"/>
    <n v="2"/>
    <n v="1"/>
    <n v="51280"/>
  </r>
  <r>
    <x v="3"/>
    <x v="0"/>
    <x v="6"/>
    <n v="66"/>
    <n v="2"/>
    <x v="6"/>
    <x v="0"/>
    <m/>
    <x v="3"/>
    <x v="0"/>
    <n v="30"/>
    <n v="2"/>
    <n v="23"/>
    <m/>
    <n v="150840"/>
  </r>
  <r>
    <x v="3"/>
    <x v="0"/>
    <x v="7"/>
    <n v="53"/>
    <n v="9"/>
    <x v="5"/>
    <x v="6"/>
    <n v="2"/>
    <x v="0"/>
    <x v="0"/>
    <n v="23"/>
    <n v="3"/>
    <n v="8"/>
    <n v="4"/>
    <n v="147780"/>
  </r>
  <r>
    <x v="3"/>
    <x v="0"/>
    <x v="8"/>
    <n v="69"/>
    <n v="10"/>
    <x v="2"/>
    <x v="0"/>
    <n v="4"/>
    <x v="0"/>
    <x v="1"/>
    <n v="30"/>
    <n v="7"/>
    <n v="14"/>
    <m/>
    <n v="122730"/>
  </r>
  <r>
    <x v="3"/>
    <x v="0"/>
    <x v="9"/>
    <n v="42"/>
    <n v="2"/>
    <x v="3"/>
    <x v="6"/>
    <n v="3"/>
    <x v="0"/>
    <x v="0"/>
    <n v="20"/>
    <n v="6"/>
    <n v="7"/>
    <n v="3"/>
    <n v="105880"/>
  </r>
  <r>
    <x v="3"/>
    <x v="0"/>
    <x v="10"/>
    <n v="47"/>
    <n v="5"/>
    <x v="13"/>
    <x v="2"/>
    <n v="1"/>
    <x v="0"/>
    <x v="0"/>
    <n v="14"/>
    <n v="3"/>
    <n v="12"/>
    <n v="2"/>
    <n v="100860"/>
  </r>
  <r>
    <x v="3"/>
    <x v="0"/>
    <x v="11"/>
    <n v="33"/>
    <n v="3"/>
    <x v="2"/>
    <x v="3"/>
    <n v="4"/>
    <x v="3"/>
    <x v="0"/>
    <n v="14"/>
    <m/>
    <n v="9"/>
    <n v="1"/>
    <n v="91040"/>
  </r>
  <r>
    <x v="3"/>
    <x v="0"/>
    <x v="12"/>
    <n v="66"/>
    <n v="11"/>
    <x v="8"/>
    <x v="0"/>
    <n v="4"/>
    <x v="0"/>
    <x v="0"/>
    <n v="29"/>
    <n v="5"/>
    <n v="13"/>
    <m/>
    <n v="156800"/>
  </r>
  <r>
    <x v="3"/>
    <x v="0"/>
    <x v="13"/>
    <n v="196"/>
    <n v="41"/>
    <x v="21"/>
    <x v="16"/>
    <n v="2"/>
    <x v="8"/>
    <x v="0"/>
    <n v="65"/>
    <n v="14"/>
    <n v="45"/>
    <n v="4"/>
    <n v="366210"/>
  </r>
  <r>
    <x v="3"/>
    <x v="0"/>
    <x v="14"/>
    <n v="415"/>
    <n v="70"/>
    <x v="22"/>
    <x v="6"/>
    <n v="12"/>
    <x v="1"/>
    <x v="2"/>
    <n v="196"/>
    <n v="29"/>
    <n v="68"/>
    <n v="13"/>
    <n v="595070"/>
  </r>
  <r>
    <x v="3"/>
    <x v="0"/>
    <x v="15"/>
    <n v="134"/>
    <n v="9"/>
    <x v="9"/>
    <x v="1"/>
    <n v="8"/>
    <x v="1"/>
    <x v="3"/>
    <n v="44"/>
    <n v="2"/>
    <n v="45"/>
    <m/>
    <n v="232890"/>
  </r>
  <r>
    <x v="3"/>
    <x v="0"/>
    <x v="16"/>
    <n v="55"/>
    <n v="7"/>
    <x v="8"/>
    <x v="3"/>
    <n v="1"/>
    <x v="3"/>
    <x v="1"/>
    <n v="27"/>
    <n v="7"/>
    <n v="7"/>
    <n v="2"/>
    <n v="80690"/>
  </r>
  <r>
    <x v="3"/>
    <x v="0"/>
    <x v="17"/>
    <n v="46"/>
    <n v="5"/>
    <x v="8"/>
    <x v="16"/>
    <n v="9"/>
    <x v="0"/>
    <x v="0"/>
    <n v="15"/>
    <n v="3"/>
    <n v="4"/>
    <n v="2"/>
    <n v="84240"/>
  </r>
  <r>
    <x v="3"/>
    <x v="0"/>
    <x v="18"/>
    <n v="36"/>
    <n v="3"/>
    <x v="6"/>
    <x v="12"/>
    <m/>
    <x v="0"/>
    <x v="1"/>
    <n v="12"/>
    <n v="2"/>
    <n v="8"/>
    <m/>
    <n v="92930"/>
  </r>
  <r>
    <x v="3"/>
    <x v="0"/>
    <x v="19"/>
    <n v="34"/>
    <n v="5"/>
    <x v="2"/>
    <x v="0"/>
    <n v="9"/>
    <x v="3"/>
    <x v="0"/>
    <n v="4"/>
    <n v="2"/>
    <n v="10"/>
    <m/>
    <n v="27560"/>
  </r>
  <r>
    <x v="3"/>
    <x v="0"/>
    <x v="20"/>
    <n v="56"/>
    <n v="5"/>
    <x v="7"/>
    <x v="3"/>
    <n v="3"/>
    <x v="2"/>
    <x v="0"/>
    <n v="28"/>
    <n v="3"/>
    <n v="8"/>
    <n v="1"/>
    <n v="137570"/>
  </r>
  <r>
    <x v="3"/>
    <x v="0"/>
    <x v="21"/>
    <n v="210"/>
    <n v="30"/>
    <x v="0"/>
    <x v="6"/>
    <n v="13"/>
    <x v="3"/>
    <x v="1"/>
    <n v="89"/>
    <n v="14"/>
    <n v="50"/>
    <n v="7"/>
    <n v="337890"/>
  </r>
  <r>
    <x v="3"/>
    <x v="0"/>
    <x v="22"/>
    <n v="15"/>
    <m/>
    <x v="8"/>
    <x v="3"/>
    <m/>
    <x v="3"/>
    <x v="0"/>
    <n v="5"/>
    <m/>
    <n v="7"/>
    <m/>
    <n v="21530"/>
  </r>
  <r>
    <x v="3"/>
    <x v="0"/>
    <x v="23"/>
    <n v="79"/>
    <n v="4"/>
    <x v="13"/>
    <x v="2"/>
    <m/>
    <x v="3"/>
    <x v="0"/>
    <n v="28"/>
    <n v="1"/>
    <n v="33"/>
    <n v="2"/>
    <n v="147740"/>
  </r>
  <r>
    <x v="3"/>
    <x v="0"/>
    <x v="24"/>
    <n v="86"/>
    <n v="17"/>
    <x v="0"/>
    <x v="6"/>
    <n v="2"/>
    <x v="0"/>
    <x v="0"/>
    <n v="39"/>
    <n v="6"/>
    <n v="15"/>
    <n v="2"/>
    <n v="174300"/>
  </r>
  <r>
    <x v="3"/>
    <x v="0"/>
    <x v="25"/>
    <n v="61"/>
    <n v="12"/>
    <x v="8"/>
    <x v="2"/>
    <n v="2"/>
    <x v="3"/>
    <x v="0"/>
    <n v="20"/>
    <n v="3"/>
    <n v="18"/>
    <m/>
    <n v="113720"/>
  </r>
  <r>
    <x v="3"/>
    <x v="0"/>
    <x v="26"/>
    <n v="6"/>
    <n v="2"/>
    <x v="5"/>
    <x v="3"/>
    <m/>
    <x v="0"/>
    <x v="0"/>
    <m/>
    <m/>
    <n v="1"/>
    <m/>
    <n v="23210"/>
  </r>
  <r>
    <x v="3"/>
    <x v="0"/>
    <x v="27"/>
    <n v="50"/>
    <n v="4"/>
    <x v="9"/>
    <x v="6"/>
    <n v="1"/>
    <x v="0"/>
    <x v="1"/>
    <n v="24"/>
    <m/>
    <n v="9"/>
    <n v="2"/>
    <n v="112920"/>
  </r>
  <r>
    <x v="3"/>
    <x v="0"/>
    <x v="28"/>
    <n v="179"/>
    <n v="23"/>
    <x v="0"/>
    <x v="3"/>
    <n v="5"/>
    <x v="0"/>
    <x v="0"/>
    <n v="93"/>
    <n v="14"/>
    <n v="38"/>
    <n v="2"/>
    <n v="314330"/>
  </r>
  <r>
    <x v="3"/>
    <x v="0"/>
    <x v="29"/>
    <n v="38"/>
    <n v="4"/>
    <x v="5"/>
    <x v="2"/>
    <n v="1"/>
    <x v="0"/>
    <x v="0"/>
    <n v="16"/>
    <n v="3"/>
    <n v="7"/>
    <n v="1"/>
    <n v="91010"/>
  </r>
  <r>
    <x v="3"/>
    <x v="0"/>
    <x v="30"/>
    <n v="83"/>
    <n v="13"/>
    <x v="8"/>
    <x v="3"/>
    <m/>
    <x v="1"/>
    <x v="1"/>
    <n v="36"/>
    <n v="6"/>
    <n v="21"/>
    <n v="2"/>
    <n v="90340"/>
  </r>
  <r>
    <x v="3"/>
    <x v="0"/>
    <x v="31"/>
    <n v="97"/>
    <n v="18"/>
    <x v="6"/>
    <x v="9"/>
    <n v="9"/>
    <x v="0"/>
    <x v="1"/>
    <n v="32"/>
    <n v="7"/>
    <n v="16"/>
    <n v="3"/>
    <n v="176010"/>
  </r>
  <r>
    <x v="4"/>
    <x v="0"/>
    <x v="0"/>
    <n v="121"/>
    <n v="16"/>
    <x v="0"/>
    <x v="6"/>
    <n v="3"/>
    <x v="0"/>
    <x v="0"/>
    <n v="49"/>
    <n v="10"/>
    <n v="25"/>
    <n v="13"/>
    <n v="227070"/>
  </r>
  <r>
    <x v="4"/>
    <x v="0"/>
    <x v="1"/>
    <n v="142"/>
    <n v="15"/>
    <x v="22"/>
    <x v="9"/>
    <n v="3"/>
    <x v="3"/>
    <x v="0"/>
    <n v="39"/>
    <n v="7"/>
    <n v="49"/>
    <n v="2"/>
    <n v="257770"/>
  </r>
  <r>
    <x v="4"/>
    <x v="0"/>
    <x v="2"/>
    <n v="48"/>
    <n v="7"/>
    <x v="13"/>
    <x v="6"/>
    <m/>
    <x v="0"/>
    <x v="0"/>
    <n v="19"/>
    <n v="3"/>
    <n v="10"/>
    <n v="1"/>
    <n v="116290"/>
  </r>
  <r>
    <x v="4"/>
    <x v="0"/>
    <x v="3"/>
    <n v="40"/>
    <n v="2"/>
    <x v="0"/>
    <x v="3"/>
    <n v="1"/>
    <x v="5"/>
    <x v="0"/>
    <n v="15"/>
    <n v="1"/>
    <n v="12"/>
    <m/>
    <n v="88050"/>
  </r>
  <r>
    <x v="4"/>
    <x v="0"/>
    <x v="4"/>
    <n v="297"/>
    <n v="60"/>
    <x v="9"/>
    <x v="0"/>
    <n v="23"/>
    <x v="0"/>
    <x v="3"/>
    <n v="74"/>
    <n v="17"/>
    <n v="47"/>
    <n v="64"/>
    <n v="487460"/>
  </r>
  <r>
    <x v="4"/>
    <x v="0"/>
    <x v="5"/>
    <n v="31"/>
    <n v="7"/>
    <x v="8"/>
    <x v="9"/>
    <n v="7"/>
    <x v="0"/>
    <x v="0"/>
    <n v="6"/>
    <n v="1"/>
    <n v="3"/>
    <m/>
    <n v="51280"/>
  </r>
  <r>
    <x v="4"/>
    <x v="0"/>
    <x v="6"/>
    <n v="76"/>
    <n v="5"/>
    <x v="13"/>
    <x v="2"/>
    <m/>
    <x v="0"/>
    <x v="0"/>
    <n v="26"/>
    <n v="3"/>
    <n v="31"/>
    <n v="1"/>
    <n v="150280"/>
  </r>
  <r>
    <x v="4"/>
    <x v="0"/>
    <x v="7"/>
    <n v="51"/>
    <n v="9"/>
    <x v="2"/>
    <x v="3"/>
    <m/>
    <x v="3"/>
    <x v="0"/>
    <n v="24"/>
    <n v="4"/>
    <n v="9"/>
    <n v="3"/>
    <n v="148100"/>
  </r>
  <r>
    <x v="4"/>
    <x v="0"/>
    <x v="8"/>
    <n v="66"/>
    <n v="13"/>
    <x v="5"/>
    <x v="0"/>
    <n v="5"/>
    <x v="0"/>
    <x v="0"/>
    <n v="21"/>
    <n v="8"/>
    <n v="12"/>
    <n v="2"/>
    <n v="122430"/>
  </r>
  <r>
    <x v="4"/>
    <x v="0"/>
    <x v="9"/>
    <n v="40"/>
    <n v="3"/>
    <x v="8"/>
    <x v="6"/>
    <n v="1"/>
    <x v="0"/>
    <x v="0"/>
    <n v="19"/>
    <n v="3"/>
    <n v="10"/>
    <n v="1"/>
    <n v="105840"/>
  </r>
  <r>
    <x v="4"/>
    <x v="0"/>
    <x v="10"/>
    <n v="52"/>
    <n v="5"/>
    <x v="8"/>
    <x v="16"/>
    <n v="5"/>
    <x v="3"/>
    <x v="0"/>
    <n v="18"/>
    <n v="3"/>
    <n v="9"/>
    <n v="3"/>
    <n v="101390"/>
  </r>
  <r>
    <x v="4"/>
    <x v="0"/>
    <x v="11"/>
    <n v="33"/>
    <n v="3"/>
    <x v="5"/>
    <x v="6"/>
    <n v="1"/>
    <x v="0"/>
    <x v="0"/>
    <n v="16"/>
    <m/>
    <n v="8"/>
    <n v="1"/>
    <n v="91530"/>
  </r>
  <r>
    <x v="4"/>
    <x v="0"/>
    <x v="12"/>
    <n v="93"/>
    <n v="17"/>
    <x v="8"/>
    <x v="16"/>
    <n v="19"/>
    <x v="3"/>
    <x v="1"/>
    <n v="25"/>
    <n v="3"/>
    <n v="17"/>
    <n v="2"/>
    <n v="157160"/>
  </r>
  <r>
    <x v="4"/>
    <x v="0"/>
    <x v="13"/>
    <n v="154"/>
    <n v="24"/>
    <x v="11"/>
    <x v="4"/>
    <n v="5"/>
    <x v="9"/>
    <x v="1"/>
    <n v="45"/>
    <n v="10"/>
    <n v="38"/>
    <n v="3"/>
    <n v="366900"/>
  </r>
  <r>
    <x v="4"/>
    <x v="0"/>
    <x v="14"/>
    <n v="343"/>
    <n v="49"/>
    <x v="21"/>
    <x v="0"/>
    <n v="10"/>
    <x v="1"/>
    <x v="3"/>
    <n v="155"/>
    <n v="28"/>
    <n v="76"/>
    <n v="9"/>
    <n v="596520"/>
  </r>
  <r>
    <x v="4"/>
    <x v="0"/>
    <x v="15"/>
    <n v="138"/>
    <n v="10"/>
    <x v="17"/>
    <x v="7"/>
    <n v="13"/>
    <x v="7"/>
    <x v="0"/>
    <n v="39"/>
    <n v="1"/>
    <n v="35"/>
    <n v="2"/>
    <n v="232930"/>
  </r>
  <r>
    <x v="4"/>
    <x v="0"/>
    <x v="16"/>
    <n v="53"/>
    <n v="7"/>
    <x v="2"/>
    <x v="3"/>
    <n v="5"/>
    <x v="0"/>
    <x v="1"/>
    <n v="24"/>
    <n v="2"/>
    <n v="13"/>
    <m/>
    <n v="80340"/>
  </r>
  <r>
    <x v="4"/>
    <x v="0"/>
    <x v="17"/>
    <n v="56"/>
    <n v="7"/>
    <x v="2"/>
    <x v="11"/>
    <n v="13"/>
    <x v="0"/>
    <x v="0"/>
    <n v="7"/>
    <n v="2"/>
    <n v="13"/>
    <n v="3"/>
    <n v="84710"/>
  </r>
  <r>
    <x v="4"/>
    <x v="0"/>
    <x v="18"/>
    <n v="45"/>
    <n v="2"/>
    <x v="8"/>
    <x v="16"/>
    <n v="3"/>
    <x v="0"/>
    <x v="0"/>
    <n v="14"/>
    <m/>
    <n v="14"/>
    <n v="4"/>
    <n v="94360"/>
  </r>
  <r>
    <x v="4"/>
    <x v="0"/>
    <x v="19"/>
    <n v="13"/>
    <n v="1"/>
    <x v="5"/>
    <x v="2"/>
    <n v="2"/>
    <x v="0"/>
    <x v="0"/>
    <n v="3"/>
    <m/>
    <n v="1"/>
    <m/>
    <n v="27400"/>
  </r>
  <r>
    <x v="4"/>
    <x v="0"/>
    <x v="20"/>
    <n v="46"/>
    <n v="6"/>
    <x v="0"/>
    <x v="6"/>
    <n v="5"/>
    <x v="0"/>
    <x v="0"/>
    <n v="12"/>
    <n v="3"/>
    <n v="12"/>
    <n v="3"/>
    <n v="136940"/>
  </r>
  <r>
    <x v="4"/>
    <x v="0"/>
    <x v="21"/>
    <n v="225"/>
    <n v="29"/>
    <x v="21"/>
    <x v="2"/>
    <n v="15"/>
    <x v="3"/>
    <x v="0"/>
    <n v="86"/>
    <n v="23"/>
    <n v="52"/>
    <n v="6"/>
    <n v="337780"/>
  </r>
  <r>
    <x v="4"/>
    <x v="0"/>
    <x v="22"/>
    <n v="9"/>
    <m/>
    <x v="7"/>
    <x v="3"/>
    <m/>
    <x v="3"/>
    <x v="0"/>
    <n v="3"/>
    <m/>
    <m/>
    <m/>
    <n v="21560"/>
  </r>
  <r>
    <x v="4"/>
    <x v="0"/>
    <x v="23"/>
    <n v="63"/>
    <n v="3"/>
    <x v="13"/>
    <x v="12"/>
    <n v="1"/>
    <x v="3"/>
    <x v="1"/>
    <n v="19"/>
    <n v="2"/>
    <n v="24"/>
    <n v="1"/>
    <n v="147770"/>
  </r>
  <r>
    <x v="4"/>
    <x v="0"/>
    <x v="24"/>
    <n v="108"/>
    <n v="7"/>
    <x v="7"/>
    <x v="3"/>
    <n v="11"/>
    <x v="0"/>
    <x v="0"/>
    <n v="53"/>
    <n v="10"/>
    <n v="19"/>
    <n v="3"/>
    <n v="173890"/>
  </r>
  <r>
    <x v="4"/>
    <x v="0"/>
    <x v="25"/>
    <n v="65"/>
    <n v="6"/>
    <x v="0"/>
    <x v="12"/>
    <n v="16"/>
    <x v="0"/>
    <x v="1"/>
    <n v="17"/>
    <n v="1"/>
    <n v="16"/>
    <m/>
    <n v="113880"/>
  </r>
  <r>
    <x v="4"/>
    <x v="0"/>
    <x v="26"/>
    <n v="11"/>
    <n v="1"/>
    <x v="5"/>
    <x v="3"/>
    <m/>
    <x v="0"/>
    <x v="0"/>
    <n v="2"/>
    <m/>
    <n v="5"/>
    <m/>
    <n v="23200"/>
  </r>
  <r>
    <x v="4"/>
    <x v="0"/>
    <x v="27"/>
    <n v="40"/>
    <n v="3"/>
    <x v="0"/>
    <x v="3"/>
    <n v="2"/>
    <x v="3"/>
    <x v="0"/>
    <n v="14"/>
    <n v="3"/>
    <n v="12"/>
    <n v="1"/>
    <n v="112870"/>
  </r>
  <r>
    <x v="4"/>
    <x v="0"/>
    <x v="28"/>
    <n v="140"/>
    <n v="22"/>
    <x v="13"/>
    <x v="2"/>
    <n v="11"/>
    <x v="0"/>
    <x v="0"/>
    <n v="61"/>
    <n v="10"/>
    <n v="26"/>
    <m/>
    <n v="314810"/>
  </r>
  <r>
    <x v="4"/>
    <x v="0"/>
    <x v="29"/>
    <n v="42"/>
    <n v="3"/>
    <x v="8"/>
    <x v="6"/>
    <n v="7"/>
    <x v="0"/>
    <x v="0"/>
    <n v="17"/>
    <n v="1"/>
    <n v="11"/>
    <m/>
    <n v="91230"/>
  </r>
  <r>
    <x v="4"/>
    <x v="0"/>
    <x v="30"/>
    <n v="66"/>
    <n v="8"/>
    <x v="8"/>
    <x v="3"/>
    <n v="3"/>
    <x v="3"/>
    <x v="0"/>
    <n v="29"/>
    <n v="3"/>
    <n v="17"/>
    <n v="3"/>
    <n v="89800"/>
  </r>
  <r>
    <x v="4"/>
    <x v="0"/>
    <x v="31"/>
    <n v="145"/>
    <n v="20"/>
    <x v="8"/>
    <x v="15"/>
    <n v="46"/>
    <x v="0"/>
    <x v="0"/>
    <n v="29"/>
    <n v="11"/>
    <n v="20"/>
    <n v="8"/>
    <n v="176160"/>
  </r>
  <r>
    <x v="5"/>
    <x v="0"/>
    <x v="0"/>
    <n v="102"/>
    <n v="15"/>
    <x v="8"/>
    <x v="6"/>
    <m/>
    <x v="3"/>
    <x v="1"/>
    <n v="28"/>
    <n v="14"/>
    <n v="24"/>
    <n v="16"/>
    <n v="228920"/>
  </r>
  <r>
    <x v="5"/>
    <x v="0"/>
    <x v="1"/>
    <n v="125"/>
    <n v="8"/>
    <x v="15"/>
    <x v="19"/>
    <n v="1"/>
    <x v="1"/>
    <x v="1"/>
    <n v="38"/>
    <n v="7"/>
    <n v="42"/>
    <n v="2"/>
    <n v="260530"/>
  </r>
  <r>
    <x v="5"/>
    <x v="0"/>
    <x v="2"/>
    <n v="42"/>
    <n v="1"/>
    <x v="7"/>
    <x v="10"/>
    <m/>
    <x v="0"/>
    <x v="0"/>
    <n v="8"/>
    <n v="6"/>
    <n v="15"/>
    <m/>
    <n v="116740"/>
  </r>
  <r>
    <x v="5"/>
    <x v="0"/>
    <x v="3"/>
    <n v="35"/>
    <n v="2"/>
    <x v="6"/>
    <x v="3"/>
    <n v="2"/>
    <x v="3"/>
    <x v="0"/>
    <n v="10"/>
    <n v="2"/>
    <n v="10"/>
    <n v="2"/>
    <n v="87650"/>
  </r>
  <r>
    <x v="5"/>
    <x v="0"/>
    <x v="4"/>
    <n v="285"/>
    <n v="53"/>
    <x v="13"/>
    <x v="2"/>
    <n v="22"/>
    <x v="3"/>
    <x v="1"/>
    <n v="61"/>
    <n v="28"/>
    <n v="52"/>
    <n v="57"/>
    <n v="492610"/>
  </r>
  <r>
    <x v="5"/>
    <x v="0"/>
    <x v="5"/>
    <n v="25"/>
    <n v="1"/>
    <x v="2"/>
    <x v="12"/>
    <n v="7"/>
    <x v="0"/>
    <x v="0"/>
    <n v="3"/>
    <m/>
    <n v="8"/>
    <n v="1"/>
    <n v="51190"/>
  </r>
  <r>
    <x v="5"/>
    <x v="0"/>
    <x v="6"/>
    <n v="58"/>
    <n v="4"/>
    <x v="6"/>
    <x v="3"/>
    <n v="1"/>
    <x v="0"/>
    <x v="0"/>
    <n v="17"/>
    <m/>
    <n v="27"/>
    <n v="3"/>
    <n v="149960"/>
  </r>
  <r>
    <x v="5"/>
    <x v="0"/>
    <x v="7"/>
    <n v="60"/>
    <n v="21"/>
    <x v="2"/>
    <x v="6"/>
    <m/>
    <x v="0"/>
    <x v="0"/>
    <n v="19"/>
    <n v="2"/>
    <n v="8"/>
    <n v="8"/>
    <n v="148130"/>
  </r>
  <r>
    <x v="5"/>
    <x v="0"/>
    <x v="8"/>
    <n v="52"/>
    <n v="2"/>
    <x v="7"/>
    <x v="3"/>
    <n v="8"/>
    <x v="0"/>
    <x v="0"/>
    <n v="18"/>
    <n v="8"/>
    <n v="11"/>
    <m/>
    <n v="122130"/>
  </r>
  <r>
    <x v="5"/>
    <x v="0"/>
    <x v="9"/>
    <n v="43"/>
    <n v="4"/>
    <x v="0"/>
    <x v="3"/>
    <n v="4"/>
    <x v="0"/>
    <x v="0"/>
    <n v="17"/>
    <n v="7"/>
    <n v="5"/>
    <n v="2"/>
    <n v="106710"/>
  </r>
  <r>
    <x v="5"/>
    <x v="0"/>
    <x v="10"/>
    <n v="72"/>
    <n v="11"/>
    <x v="2"/>
    <x v="17"/>
    <n v="8"/>
    <x v="0"/>
    <x v="0"/>
    <n v="11"/>
    <n v="5"/>
    <n v="18"/>
    <n v="3"/>
    <n v="102090"/>
  </r>
  <r>
    <x v="5"/>
    <x v="0"/>
    <x v="11"/>
    <n v="17"/>
    <n v="1"/>
    <x v="2"/>
    <x v="3"/>
    <n v="2"/>
    <x v="0"/>
    <x v="0"/>
    <n v="8"/>
    <n v="1"/>
    <n v="4"/>
    <m/>
    <n v="92410"/>
  </r>
  <r>
    <x v="5"/>
    <x v="0"/>
    <x v="12"/>
    <n v="102"/>
    <n v="16"/>
    <x v="6"/>
    <x v="10"/>
    <n v="27"/>
    <x v="0"/>
    <x v="0"/>
    <n v="19"/>
    <n v="6"/>
    <n v="20"/>
    <n v="1"/>
    <n v="157690"/>
  </r>
  <r>
    <x v="5"/>
    <x v="0"/>
    <x v="13"/>
    <n v="145"/>
    <n v="23"/>
    <x v="21"/>
    <x v="12"/>
    <n v="1"/>
    <x v="7"/>
    <x v="0"/>
    <n v="57"/>
    <n v="7"/>
    <n v="35"/>
    <n v="4"/>
    <n v="367250"/>
  </r>
  <r>
    <x v="5"/>
    <x v="0"/>
    <x v="14"/>
    <n v="354"/>
    <n v="44"/>
    <x v="23"/>
    <x v="0"/>
    <n v="4"/>
    <x v="1"/>
    <x v="3"/>
    <n v="175"/>
    <n v="31"/>
    <n v="66"/>
    <n v="14"/>
    <n v="599640"/>
  </r>
  <r>
    <x v="5"/>
    <x v="0"/>
    <x v="15"/>
    <n v="133"/>
    <n v="10"/>
    <x v="23"/>
    <x v="1"/>
    <n v="15"/>
    <x v="0"/>
    <x v="0"/>
    <n v="41"/>
    <n v="4"/>
    <n v="33"/>
    <n v="2"/>
    <n v="233080"/>
  </r>
  <r>
    <x v="5"/>
    <x v="0"/>
    <x v="16"/>
    <n v="52"/>
    <n v="15"/>
    <x v="2"/>
    <x v="3"/>
    <n v="1"/>
    <x v="1"/>
    <x v="0"/>
    <n v="19"/>
    <n v="5"/>
    <n v="7"/>
    <n v="2"/>
    <n v="79890"/>
  </r>
  <r>
    <x v="5"/>
    <x v="0"/>
    <x v="17"/>
    <n v="62"/>
    <n v="10"/>
    <x v="5"/>
    <x v="12"/>
    <n v="16"/>
    <x v="0"/>
    <x v="1"/>
    <n v="10"/>
    <n v="1"/>
    <n v="11"/>
    <n v="6"/>
    <n v="86220"/>
  </r>
  <r>
    <x v="5"/>
    <x v="0"/>
    <x v="18"/>
    <n v="40"/>
    <n v="4"/>
    <x v="8"/>
    <x v="10"/>
    <n v="2"/>
    <x v="0"/>
    <x v="0"/>
    <n v="12"/>
    <n v="1"/>
    <n v="10"/>
    <n v="2"/>
    <n v="94770"/>
  </r>
  <r>
    <x v="5"/>
    <x v="0"/>
    <x v="19"/>
    <n v="24"/>
    <n v="1"/>
    <x v="20"/>
    <x v="3"/>
    <n v="1"/>
    <x v="0"/>
    <x v="0"/>
    <n v="6"/>
    <m/>
    <n v="1"/>
    <m/>
    <n v="27250"/>
  </r>
  <r>
    <x v="5"/>
    <x v="0"/>
    <x v="20"/>
    <n v="60"/>
    <n v="6"/>
    <x v="15"/>
    <x v="3"/>
    <n v="2"/>
    <x v="3"/>
    <x v="3"/>
    <n v="25"/>
    <n v="2"/>
    <n v="7"/>
    <n v="4"/>
    <n v="136480"/>
  </r>
  <r>
    <x v="5"/>
    <x v="0"/>
    <x v="21"/>
    <n v="190"/>
    <n v="22"/>
    <x v="15"/>
    <x v="6"/>
    <n v="7"/>
    <x v="0"/>
    <x v="0"/>
    <n v="75"/>
    <n v="20"/>
    <n v="44"/>
    <n v="10"/>
    <n v="338000"/>
  </r>
  <r>
    <x v="5"/>
    <x v="0"/>
    <x v="22"/>
    <n v="18"/>
    <n v="1"/>
    <x v="0"/>
    <x v="3"/>
    <m/>
    <x v="0"/>
    <x v="0"/>
    <n v="10"/>
    <m/>
    <n v="3"/>
    <m/>
    <n v="21580"/>
  </r>
  <r>
    <x v="5"/>
    <x v="0"/>
    <x v="23"/>
    <n v="61"/>
    <n v="2"/>
    <x v="7"/>
    <x v="16"/>
    <m/>
    <x v="0"/>
    <x v="0"/>
    <n v="24"/>
    <n v="2"/>
    <n v="22"/>
    <m/>
    <n v="148930"/>
  </r>
  <r>
    <x v="5"/>
    <x v="0"/>
    <x v="24"/>
    <n v="85"/>
    <n v="14"/>
    <x v="2"/>
    <x v="3"/>
    <n v="8"/>
    <x v="0"/>
    <x v="1"/>
    <n v="41"/>
    <n v="4"/>
    <n v="15"/>
    <n v="1"/>
    <n v="174230"/>
  </r>
  <r>
    <x v="5"/>
    <x v="0"/>
    <x v="25"/>
    <n v="54"/>
    <n v="3"/>
    <x v="2"/>
    <x v="9"/>
    <n v="10"/>
    <x v="0"/>
    <x v="1"/>
    <n v="15"/>
    <m/>
    <n v="18"/>
    <n v="1"/>
    <n v="114040"/>
  </r>
  <r>
    <x v="5"/>
    <x v="0"/>
    <x v="26"/>
    <n v="14"/>
    <n v="3"/>
    <x v="7"/>
    <x v="3"/>
    <m/>
    <x v="3"/>
    <x v="0"/>
    <n v="2"/>
    <m/>
    <n v="3"/>
    <m/>
    <n v="23220"/>
  </r>
  <r>
    <x v="5"/>
    <x v="0"/>
    <x v="27"/>
    <n v="44"/>
    <n v="2"/>
    <x v="7"/>
    <x v="3"/>
    <n v="1"/>
    <x v="1"/>
    <x v="0"/>
    <n v="12"/>
    <n v="9"/>
    <n v="12"/>
    <n v="1"/>
    <n v="112530"/>
  </r>
  <r>
    <x v="5"/>
    <x v="0"/>
    <x v="28"/>
    <n v="168"/>
    <n v="21"/>
    <x v="20"/>
    <x v="0"/>
    <n v="4"/>
    <x v="0"/>
    <x v="0"/>
    <n v="84"/>
    <n v="15"/>
    <n v="25"/>
    <n v="2"/>
    <n v="315300"/>
  </r>
  <r>
    <x v="5"/>
    <x v="0"/>
    <x v="29"/>
    <n v="52"/>
    <n v="5"/>
    <x v="5"/>
    <x v="2"/>
    <n v="6"/>
    <x v="0"/>
    <x v="0"/>
    <n v="23"/>
    <n v="5"/>
    <n v="7"/>
    <m/>
    <n v="91520"/>
  </r>
  <r>
    <x v="5"/>
    <x v="0"/>
    <x v="30"/>
    <n v="44"/>
    <n v="2"/>
    <x v="5"/>
    <x v="6"/>
    <m/>
    <x v="3"/>
    <x v="1"/>
    <n v="23"/>
    <n v="4"/>
    <n v="7"/>
    <n v="2"/>
    <n v="89710"/>
  </r>
  <r>
    <x v="5"/>
    <x v="0"/>
    <x v="31"/>
    <n v="117"/>
    <n v="15"/>
    <x v="5"/>
    <x v="4"/>
    <n v="15"/>
    <x v="3"/>
    <x v="1"/>
    <n v="43"/>
    <n v="11"/>
    <n v="17"/>
    <n v="3"/>
    <n v="177200"/>
  </r>
  <r>
    <x v="6"/>
    <x v="0"/>
    <x v="0"/>
    <n v="98"/>
    <n v="14"/>
    <x v="3"/>
    <x v="6"/>
    <n v="2"/>
    <x v="3"/>
    <x v="0"/>
    <n v="30"/>
    <n v="8"/>
    <n v="29"/>
    <n v="13"/>
    <n v="230350"/>
  </r>
  <r>
    <x v="6"/>
    <x v="0"/>
    <x v="1"/>
    <n v="129"/>
    <n v="5"/>
    <x v="23"/>
    <x v="18"/>
    <n v="1"/>
    <x v="1"/>
    <x v="1"/>
    <n v="41"/>
    <n v="5"/>
    <n v="38"/>
    <n v="6"/>
    <n v="261960"/>
  </r>
  <r>
    <x v="6"/>
    <x v="0"/>
    <x v="2"/>
    <n v="44"/>
    <n v="4"/>
    <x v="7"/>
    <x v="6"/>
    <n v="1"/>
    <x v="0"/>
    <x v="1"/>
    <n v="13"/>
    <n v="3"/>
    <n v="15"/>
    <n v="1"/>
    <n v="116900"/>
  </r>
  <r>
    <x v="6"/>
    <x v="0"/>
    <x v="3"/>
    <n v="35"/>
    <n v="6"/>
    <x v="0"/>
    <x v="3"/>
    <m/>
    <x v="7"/>
    <x v="0"/>
    <n v="9"/>
    <n v="2"/>
    <n v="9"/>
    <n v="1"/>
    <n v="86890"/>
  </r>
  <r>
    <x v="6"/>
    <x v="0"/>
    <x v="4"/>
    <n v="302"/>
    <n v="61"/>
    <x v="11"/>
    <x v="0"/>
    <n v="24"/>
    <x v="2"/>
    <x v="0"/>
    <n v="75"/>
    <n v="28"/>
    <n v="47"/>
    <n v="53"/>
    <n v="498810"/>
  </r>
  <r>
    <x v="6"/>
    <x v="0"/>
    <x v="5"/>
    <n v="14"/>
    <n v="4"/>
    <x v="2"/>
    <x v="0"/>
    <n v="3"/>
    <x v="0"/>
    <x v="0"/>
    <n v="3"/>
    <m/>
    <n v="1"/>
    <m/>
    <n v="51360"/>
  </r>
  <r>
    <x v="6"/>
    <x v="0"/>
    <x v="6"/>
    <n v="90"/>
    <n v="15"/>
    <x v="5"/>
    <x v="2"/>
    <n v="1"/>
    <x v="0"/>
    <x v="1"/>
    <n v="34"/>
    <n v="3"/>
    <n v="28"/>
    <n v="2"/>
    <n v="149670"/>
  </r>
  <r>
    <x v="6"/>
    <x v="0"/>
    <x v="7"/>
    <n v="49"/>
    <n v="6"/>
    <x v="3"/>
    <x v="0"/>
    <n v="1"/>
    <x v="0"/>
    <x v="0"/>
    <n v="16"/>
    <n v="5"/>
    <n v="14"/>
    <n v="5"/>
    <n v="148210"/>
  </r>
  <r>
    <x v="6"/>
    <x v="0"/>
    <x v="8"/>
    <n v="61"/>
    <n v="8"/>
    <x v="5"/>
    <x v="2"/>
    <n v="5"/>
    <x v="0"/>
    <x v="0"/>
    <n v="19"/>
    <n v="7"/>
    <n v="15"/>
    <n v="1"/>
    <n v="122060"/>
  </r>
  <r>
    <x v="6"/>
    <x v="0"/>
    <x v="9"/>
    <n v="41"/>
    <n v="4"/>
    <x v="2"/>
    <x v="6"/>
    <n v="4"/>
    <x v="0"/>
    <x v="0"/>
    <n v="16"/>
    <n v="11"/>
    <n v="4"/>
    <m/>
    <n v="106960"/>
  </r>
  <r>
    <x v="6"/>
    <x v="0"/>
    <x v="10"/>
    <n v="77"/>
    <n v="4"/>
    <x v="0"/>
    <x v="11"/>
    <n v="6"/>
    <x v="2"/>
    <x v="0"/>
    <n v="29"/>
    <n v="4"/>
    <n v="14"/>
    <n v="3"/>
    <n v="103050"/>
  </r>
  <r>
    <x v="6"/>
    <x v="0"/>
    <x v="11"/>
    <n v="27"/>
    <n v="5"/>
    <x v="2"/>
    <x v="6"/>
    <n v="4"/>
    <x v="0"/>
    <x v="0"/>
    <n v="10"/>
    <m/>
    <n v="6"/>
    <m/>
    <n v="92940"/>
  </r>
  <r>
    <x v="6"/>
    <x v="0"/>
    <x v="12"/>
    <n v="102"/>
    <n v="9"/>
    <x v="8"/>
    <x v="16"/>
    <n v="26"/>
    <x v="3"/>
    <x v="2"/>
    <n v="33"/>
    <n v="4"/>
    <n v="17"/>
    <n v="1"/>
    <n v="158460"/>
  </r>
  <r>
    <x v="6"/>
    <x v="0"/>
    <x v="13"/>
    <n v="165"/>
    <n v="17"/>
    <x v="9"/>
    <x v="11"/>
    <n v="9"/>
    <x v="7"/>
    <x v="0"/>
    <n v="62"/>
    <n v="13"/>
    <n v="41"/>
    <n v="1"/>
    <n v="368080"/>
  </r>
  <r>
    <x v="6"/>
    <x v="0"/>
    <x v="14"/>
    <n v="370"/>
    <n v="52"/>
    <x v="4"/>
    <x v="0"/>
    <n v="3"/>
    <x v="3"/>
    <x v="2"/>
    <n v="182"/>
    <n v="38"/>
    <n v="63"/>
    <n v="8"/>
    <n v="606340"/>
  </r>
  <r>
    <x v="6"/>
    <x v="0"/>
    <x v="15"/>
    <n v="143"/>
    <n v="9"/>
    <x v="17"/>
    <x v="20"/>
    <n v="7"/>
    <x v="3"/>
    <x v="0"/>
    <n v="43"/>
    <n v="3"/>
    <n v="38"/>
    <n v="3"/>
    <n v="234110"/>
  </r>
  <r>
    <x v="6"/>
    <x v="0"/>
    <x v="16"/>
    <n v="49"/>
    <n v="9"/>
    <x v="0"/>
    <x v="3"/>
    <n v="1"/>
    <x v="2"/>
    <x v="0"/>
    <n v="23"/>
    <n v="4"/>
    <n v="5"/>
    <m/>
    <n v="79500"/>
  </r>
  <r>
    <x v="6"/>
    <x v="0"/>
    <x v="17"/>
    <n v="69"/>
    <n v="11"/>
    <x v="2"/>
    <x v="15"/>
    <n v="19"/>
    <x v="0"/>
    <x v="0"/>
    <n v="13"/>
    <n v="5"/>
    <n v="9"/>
    <n v="2"/>
    <n v="87390"/>
  </r>
  <r>
    <x v="6"/>
    <x v="0"/>
    <x v="18"/>
    <n v="39"/>
    <n v="4"/>
    <x v="8"/>
    <x v="2"/>
    <n v="1"/>
    <x v="3"/>
    <x v="0"/>
    <n v="12"/>
    <n v="1"/>
    <n v="15"/>
    <m/>
    <n v="95510"/>
  </r>
  <r>
    <x v="6"/>
    <x v="0"/>
    <x v="19"/>
    <n v="14"/>
    <n v="1"/>
    <x v="8"/>
    <x v="3"/>
    <n v="1"/>
    <x v="0"/>
    <x v="1"/>
    <n v="6"/>
    <m/>
    <n v="2"/>
    <n v="1"/>
    <n v="27070"/>
  </r>
  <r>
    <x v="6"/>
    <x v="0"/>
    <x v="20"/>
    <n v="45"/>
    <n v="1"/>
    <x v="6"/>
    <x v="6"/>
    <n v="3"/>
    <x v="0"/>
    <x v="0"/>
    <n v="19"/>
    <n v="3"/>
    <n v="11"/>
    <n v="1"/>
    <n v="136130"/>
  </r>
  <r>
    <x v="6"/>
    <x v="0"/>
    <x v="21"/>
    <n v="179"/>
    <n v="18"/>
    <x v="13"/>
    <x v="2"/>
    <n v="5"/>
    <x v="0"/>
    <x v="0"/>
    <n v="72"/>
    <n v="28"/>
    <n v="40"/>
    <n v="6"/>
    <n v="338260"/>
  </r>
  <r>
    <x v="6"/>
    <x v="0"/>
    <x v="22"/>
    <n v="17"/>
    <n v="1"/>
    <x v="8"/>
    <x v="3"/>
    <m/>
    <x v="2"/>
    <x v="0"/>
    <n v="6"/>
    <m/>
    <n v="5"/>
    <m/>
    <n v="21670"/>
  </r>
  <r>
    <x v="6"/>
    <x v="0"/>
    <x v="23"/>
    <n v="73"/>
    <n v="4"/>
    <x v="12"/>
    <x v="12"/>
    <n v="2"/>
    <x v="0"/>
    <x v="1"/>
    <n v="25"/>
    <n v="1"/>
    <n v="24"/>
    <m/>
    <n v="149930"/>
  </r>
  <r>
    <x v="6"/>
    <x v="0"/>
    <x v="24"/>
    <n v="75"/>
    <n v="7"/>
    <x v="7"/>
    <x v="3"/>
    <n v="6"/>
    <x v="3"/>
    <x v="0"/>
    <n v="28"/>
    <n v="9"/>
    <n v="19"/>
    <m/>
    <n v="174560"/>
  </r>
  <r>
    <x v="6"/>
    <x v="0"/>
    <x v="25"/>
    <n v="69"/>
    <n v="7"/>
    <x v="9"/>
    <x v="12"/>
    <n v="18"/>
    <x v="0"/>
    <x v="0"/>
    <n v="13"/>
    <n v="1"/>
    <n v="15"/>
    <n v="3"/>
    <n v="114030"/>
  </r>
  <r>
    <x v="6"/>
    <x v="0"/>
    <x v="26"/>
    <n v="14"/>
    <n v="2"/>
    <x v="0"/>
    <x v="3"/>
    <m/>
    <x v="0"/>
    <x v="1"/>
    <n v="5"/>
    <m/>
    <n v="2"/>
    <m/>
    <n v="23200"/>
  </r>
  <r>
    <x v="6"/>
    <x v="0"/>
    <x v="27"/>
    <n v="34"/>
    <n v="2"/>
    <x v="8"/>
    <x v="3"/>
    <m/>
    <x v="0"/>
    <x v="0"/>
    <n v="13"/>
    <n v="6"/>
    <n v="11"/>
    <m/>
    <n v="112400"/>
  </r>
  <r>
    <x v="6"/>
    <x v="0"/>
    <x v="28"/>
    <n v="146"/>
    <n v="9"/>
    <x v="6"/>
    <x v="6"/>
    <n v="7"/>
    <x v="0"/>
    <x v="0"/>
    <n v="71"/>
    <n v="11"/>
    <n v="37"/>
    <n v="4"/>
    <n v="316230"/>
  </r>
  <r>
    <x v="6"/>
    <x v="0"/>
    <x v="29"/>
    <n v="52"/>
    <n v="7"/>
    <x v="2"/>
    <x v="16"/>
    <n v="4"/>
    <x v="0"/>
    <x v="0"/>
    <n v="17"/>
    <n v="2"/>
    <n v="15"/>
    <m/>
    <n v="92830"/>
  </r>
  <r>
    <x v="6"/>
    <x v="0"/>
    <x v="30"/>
    <n v="55"/>
    <n v="10"/>
    <x v="2"/>
    <x v="3"/>
    <n v="1"/>
    <x v="2"/>
    <x v="0"/>
    <n v="28"/>
    <n v="4"/>
    <n v="8"/>
    <m/>
    <n v="89590"/>
  </r>
  <r>
    <x v="6"/>
    <x v="0"/>
    <x v="31"/>
    <n v="162"/>
    <n v="13"/>
    <x v="8"/>
    <x v="9"/>
    <n v="62"/>
    <x v="0"/>
    <x v="3"/>
    <n v="43"/>
    <n v="8"/>
    <n v="22"/>
    <n v="5"/>
    <n v="178550"/>
  </r>
  <r>
    <x v="7"/>
    <x v="0"/>
    <x v="0"/>
    <n v="106"/>
    <n v="9"/>
    <x v="7"/>
    <x v="0"/>
    <n v="4"/>
    <x v="1"/>
    <x v="0"/>
    <n v="33"/>
    <n v="14"/>
    <n v="17"/>
    <n v="20"/>
    <n v="229840"/>
  </r>
  <r>
    <x v="7"/>
    <x v="0"/>
    <x v="1"/>
    <n v="127"/>
    <n v="10"/>
    <x v="12"/>
    <x v="11"/>
    <n v="4"/>
    <x v="1"/>
    <x v="0"/>
    <n v="32"/>
    <n v="10"/>
    <n v="38"/>
    <n v="9"/>
    <n v="262190"/>
  </r>
  <r>
    <x v="7"/>
    <x v="0"/>
    <x v="2"/>
    <n v="60"/>
    <n v="3"/>
    <x v="5"/>
    <x v="9"/>
    <n v="1"/>
    <x v="3"/>
    <x v="0"/>
    <n v="21"/>
    <n v="7"/>
    <n v="17"/>
    <n v="2"/>
    <n v="116520"/>
  </r>
  <r>
    <x v="7"/>
    <x v="0"/>
    <x v="3"/>
    <n v="39"/>
    <n v="5"/>
    <x v="5"/>
    <x v="2"/>
    <n v="1"/>
    <x v="3"/>
    <x v="0"/>
    <n v="16"/>
    <n v="2"/>
    <n v="8"/>
    <m/>
    <n v="87130"/>
  </r>
  <r>
    <x v="7"/>
    <x v="0"/>
    <x v="4"/>
    <n v="331"/>
    <n v="73"/>
    <x v="11"/>
    <x v="12"/>
    <n v="25"/>
    <x v="7"/>
    <x v="2"/>
    <n v="77"/>
    <n v="37"/>
    <n v="48"/>
    <n v="51"/>
    <n v="507170"/>
  </r>
  <r>
    <x v="7"/>
    <x v="0"/>
    <x v="5"/>
    <n v="17"/>
    <n v="1"/>
    <x v="3"/>
    <x v="6"/>
    <n v="2"/>
    <x v="0"/>
    <x v="0"/>
    <n v="7"/>
    <n v="2"/>
    <n v="4"/>
    <m/>
    <n v="51350"/>
  </r>
  <r>
    <x v="7"/>
    <x v="0"/>
    <x v="6"/>
    <n v="74"/>
    <n v="11"/>
    <x v="8"/>
    <x v="9"/>
    <m/>
    <x v="1"/>
    <x v="0"/>
    <n v="23"/>
    <n v="10"/>
    <n v="21"/>
    <m/>
    <n v="149520"/>
  </r>
  <r>
    <x v="7"/>
    <x v="0"/>
    <x v="7"/>
    <n v="58"/>
    <n v="9"/>
    <x v="8"/>
    <x v="0"/>
    <n v="5"/>
    <x v="3"/>
    <x v="0"/>
    <n v="24"/>
    <n v="4"/>
    <n v="8"/>
    <n v="3"/>
    <n v="148270"/>
  </r>
  <r>
    <x v="7"/>
    <x v="0"/>
    <x v="8"/>
    <n v="54"/>
    <n v="4"/>
    <x v="5"/>
    <x v="3"/>
    <n v="1"/>
    <x v="0"/>
    <x v="0"/>
    <n v="25"/>
    <n v="9"/>
    <n v="11"/>
    <n v="1"/>
    <n v="122200"/>
  </r>
  <r>
    <x v="7"/>
    <x v="0"/>
    <x v="9"/>
    <n v="48"/>
    <n v="2"/>
    <x v="8"/>
    <x v="6"/>
    <n v="5"/>
    <x v="0"/>
    <x v="0"/>
    <n v="19"/>
    <n v="8"/>
    <n v="9"/>
    <n v="2"/>
    <n v="107540"/>
  </r>
  <r>
    <x v="7"/>
    <x v="0"/>
    <x v="10"/>
    <n v="52"/>
    <n v="6"/>
    <x v="0"/>
    <x v="10"/>
    <n v="7"/>
    <x v="0"/>
    <x v="1"/>
    <n v="17"/>
    <n v="4"/>
    <n v="5"/>
    <n v="1"/>
    <n v="104090"/>
  </r>
  <r>
    <x v="7"/>
    <x v="0"/>
    <x v="11"/>
    <n v="24"/>
    <n v="4"/>
    <x v="8"/>
    <x v="6"/>
    <n v="1"/>
    <x v="0"/>
    <x v="0"/>
    <n v="9"/>
    <n v="4"/>
    <n v="3"/>
    <m/>
    <n v="93810"/>
  </r>
  <r>
    <x v="7"/>
    <x v="0"/>
    <x v="12"/>
    <n v="99"/>
    <n v="5"/>
    <x v="8"/>
    <x v="9"/>
    <n v="37"/>
    <x v="0"/>
    <x v="0"/>
    <n v="24"/>
    <n v="9"/>
    <n v="15"/>
    <n v="2"/>
    <n v="159380"/>
  </r>
  <r>
    <x v="7"/>
    <x v="0"/>
    <x v="13"/>
    <n v="214"/>
    <n v="37"/>
    <x v="0"/>
    <x v="17"/>
    <n v="51"/>
    <x v="2"/>
    <x v="1"/>
    <n v="51"/>
    <n v="12"/>
    <n v="37"/>
    <n v="3"/>
    <n v="370330"/>
  </r>
  <r>
    <x v="7"/>
    <x v="0"/>
    <x v="14"/>
    <n v="384"/>
    <n v="35"/>
    <x v="24"/>
    <x v="3"/>
    <n v="5"/>
    <x v="0"/>
    <x v="1"/>
    <n v="189"/>
    <n v="57"/>
    <n v="63"/>
    <n v="10"/>
    <n v="615070"/>
  </r>
  <r>
    <x v="7"/>
    <x v="0"/>
    <x v="15"/>
    <n v="125"/>
    <n v="9"/>
    <x v="21"/>
    <x v="19"/>
    <m/>
    <x v="1"/>
    <x v="3"/>
    <n v="42"/>
    <n v="6"/>
    <n v="39"/>
    <n v="2"/>
    <n v="234770"/>
  </r>
  <r>
    <x v="7"/>
    <x v="0"/>
    <x v="16"/>
    <n v="52"/>
    <n v="4"/>
    <x v="5"/>
    <x v="0"/>
    <m/>
    <x v="0"/>
    <x v="0"/>
    <n v="28"/>
    <n v="6"/>
    <n v="8"/>
    <n v="1"/>
    <n v="79160"/>
  </r>
  <r>
    <x v="7"/>
    <x v="0"/>
    <x v="17"/>
    <n v="95"/>
    <n v="11"/>
    <x v="5"/>
    <x v="4"/>
    <n v="28"/>
    <x v="0"/>
    <x v="0"/>
    <n v="20"/>
    <n v="7"/>
    <n v="11"/>
    <n v="7"/>
    <n v="88610"/>
  </r>
  <r>
    <x v="7"/>
    <x v="0"/>
    <x v="18"/>
    <n v="44"/>
    <n v="2"/>
    <x v="2"/>
    <x v="12"/>
    <n v="1"/>
    <x v="0"/>
    <x v="0"/>
    <n v="18"/>
    <n v="3"/>
    <n v="15"/>
    <m/>
    <n v="96070"/>
  </r>
  <r>
    <x v="7"/>
    <x v="0"/>
    <x v="19"/>
    <n v="8"/>
    <m/>
    <x v="7"/>
    <x v="3"/>
    <n v="1"/>
    <x v="3"/>
    <x v="0"/>
    <m/>
    <m/>
    <n v="1"/>
    <m/>
    <n v="26900"/>
  </r>
  <r>
    <x v="7"/>
    <x v="0"/>
    <x v="20"/>
    <n v="59"/>
    <n v="13"/>
    <x v="9"/>
    <x v="3"/>
    <n v="5"/>
    <x v="3"/>
    <x v="0"/>
    <n v="24"/>
    <n v="2"/>
    <n v="5"/>
    <n v="1"/>
    <n v="135890"/>
  </r>
  <r>
    <x v="7"/>
    <x v="0"/>
    <x v="21"/>
    <n v="222"/>
    <n v="18"/>
    <x v="11"/>
    <x v="9"/>
    <n v="9"/>
    <x v="1"/>
    <x v="3"/>
    <n v="87"/>
    <n v="38"/>
    <n v="46"/>
    <n v="6"/>
    <n v="339390"/>
  </r>
  <r>
    <x v="7"/>
    <x v="0"/>
    <x v="22"/>
    <n v="11"/>
    <n v="1"/>
    <x v="8"/>
    <x v="3"/>
    <m/>
    <x v="0"/>
    <x v="0"/>
    <n v="4"/>
    <n v="1"/>
    <n v="3"/>
    <m/>
    <n v="21850"/>
  </r>
  <r>
    <x v="7"/>
    <x v="0"/>
    <x v="23"/>
    <n v="72"/>
    <n v="7"/>
    <x v="7"/>
    <x v="16"/>
    <n v="4"/>
    <x v="3"/>
    <x v="0"/>
    <n v="27"/>
    <n v="1"/>
    <n v="20"/>
    <n v="1"/>
    <n v="150680"/>
  </r>
  <r>
    <x v="7"/>
    <x v="0"/>
    <x v="24"/>
    <n v="102"/>
    <n v="13"/>
    <x v="2"/>
    <x v="6"/>
    <n v="12"/>
    <x v="0"/>
    <x v="0"/>
    <n v="37"/>
    <n v="15"/>
    <n v="23"/>
    <m/>
    <n v="175930"/>
  </r>
  <r>
    <x v="7"/>
    <x v="0"/>
    <x v="25"/>
    <n v="62"/>
    <n v="10"/>
    <x v="7"/>
    <x v="12"/>
    <n v="6"/>
    <x v="3"/>
    <x v="0"/>
    <n v="16"/>
    <n v="1"/>
    <n v="17"/>
    <n v="2"/>
    <n v="114530"/>
  </r>
  <r>
    <x v="7"/>
    <x v="0"/>
    <x v="26"/>
    <n v="9"/>
    <n v="2"/>
    <x v="0"/>
    <x v="3"/>
    <m/>
    <x v="0"/>
    <x v="0"/>
    <n v="2"/>
    <m/>
    <n v="1"/>
    <m/>
    <n v="23200"/>
  </r>
  <r>
    <x v="7"/>
    <x v="0"/>
    <x v="27"/>
    <n v="47"/>
    <n v="5"/>
    <x v="9"/>
    <x v="3"/>
    <n v="3"/>
    <x v="3"/>
    <x v="0"/>
    <n v="12"/>
    <n v="5"/>
    <n v="13"/>
    <m/>
    <n v="112470"/>
  </r>
  <r>
    <x v="7"/>
    <x v="0"/>
    <x v="28"/>
    <n v="197"/>
    <n v="10"/>
    <x v="7"/>
    <x v="0"/>
    <n v="11"/>
    <x v="0"/>
    <x v="3"/>
    <n v="81"/>
    <n v="25"/>
    <n v="55"/>
    <n v="6"/>
    <n v="317100"/>
  </r>
  <r>
    <x v="7"/>
    <x v="0"/>
    <x v="29"/>
    <n v="74"/>
    <n v="8"/>
    <x v="6"/>
    <x v="10"/>
    <n v="8"/>
    <x v="3"/>
    <x v="0"/>
    <n v="19"/>
    <n v="5"/>
    <n v="17"/>
    <n v="3"/>
    <n v="93750"/>
  </r>
  <r>
    <x v="7"/>
    <x v="0"/>
    <x v="30"/>
    <n v="73"/>
    <n v="13"/>
    <x v="5"/>
    <x v="3"/>
    <n v="5"/>
    <x v="1"/>
    <x v="0"/>
    <n v="40"/>
    <n v="5"/>
    <n v="4"/>
    <n v="1"/>
    <n v="89860"/>
  </r>
  <r>
    <x v="7"/>
    <x v="0"/>
    <x v="31"/>
    <n v="138"/>
    <n v="25"/>
    <x v="0"/>
    <x v="0"/>
    <n v="36"/>
    <x v="0"/>
    <x v="0"/>
    <n v="41"/>
    <n v="9"/>
    <n v="18"/>
    <n v="3"/>
    <n v="180130"/>
  </r>
  <r>
    <x v="8"/>
    <x v="0"/>
    <x v="0"/>
    <n v="80"/>
    <n v="8"/>
    <x v="7"/>
    <x v="6"/>
    <n v="2"/>
    <x v="0"/>
    <x v="0"/>
    <n v="29"/>
    <n v="11"/>
    <n v="17"/>
    <n v="7"/>
    <n v="228800"/>
  </r>
  <r>
    <x v="8"/>
    <x v="0"/>
    <x v="1"/>
    <n v="119"/>
    <n v="11"/>
    <x v="18"/>
    <x v="15"/>
    <m/>
    <x v="1"/>
    <x v="0"/>
    <n v="37"/>
    <n v="4"/>
    <n v="37"/>
    <m/>
    <n v="261800"/>
  </r>
  <r>
    <x v="8"/>
    <x v="0"/>
    <x v="2"/>
    <n v="48"/>
    <n v="7"/>
    <x v="5"/>
    <x v="12"/>
    <n v="4"/>
    <x v="0"/>
    <x v="0"/>
    <n v="11"/>
    <n v="3"/>
    <n v="16"/>
    <m/>
    <n v="116280"/>
  </r>
  <r>
    <x v="8"/>
    <x v="0"/>
    <x v="3"/>
    <n v="50"/>
    <n v="4"/>
    <x v="7"/>
    <x v="6"/>
    <n v="2"/>
    <x v="7"/>
    <x v="0"/>
    <n v="20"/>
    <n v="4"/>
    <n v="10"/>
    <m/>
    <n v="86810"/>
  </r>
  <r>
    <x v="8"/>
    <x v="0"/>
    <x v="4"/>
    <n v="279"/>
    <n v="49"/>
    <x v="6"/>
    <x v="10"/>
    <n v="30"/>
    <x v="1"/>
    <x v="1"/>
    <n v="76"/>
    <n v="20"/>
    <n v="38"/>
    <n v="50"/>
    <n v="513210"/>
  </r>
  <r>
    <x v="8"/>
    <x v="0"/>
    <x v="5"/>
    <n v="21"/>
    <m/>
    <x v="3"/>
    <x v="12"/>
    <n v="7"/>
    <x v="0"/>
    <x v="0"/>
    <n v="5"/>
    <n v="2"/>
    <n v="2"/>
    <n v="1"/>
    <n v="51450"/>
  </r>
  <r>
    <x v="8"/>
    <x v="0"/>
    <x v="6"/>
    <n v="83"/>
    <n v="12"/>
    <x v="0"/>
    <x v="0"/>
    <n v="5"/>
    <x v="0"/>
    <x v="0"/>
    <n v="29"/>
    <n v="3"/>
    <n v="27"/>
    <n v="1"/>
    <n v="149200"/>
  </r>
  <r>
    <x v="8"/>
    <x v="0"/>
    <x v="7"/>
    <n v="70"/>
    <n v="17"/>
    <x v="8"/>
    <x v="3"/>
    <n v="5"/>
    <x v="0"/>
    <x v="0"/>
    <n v="25"/>
    <n v="7"/>
    <n v="10"/>
    <n v="4"/>
    <n v="148710"/>
  </r>
  <r>
    <x v="8"/>
    <x v="0"/>
    <x v="8"/>
    <n v="60"/>
    <n v="4"/>
    <x v="8"/>
    <x v="6"/>
    <n v="4"/>
    <x v="0"/>
    <x v="0"/>
    <n v="33"/>
    <n v="4"/>
    <n v="11"/>
    <n v="1"/>
    <n v="121940"/>
  </r>
  <r>
    <x v="8"/>
    <x v="0"/>
    <x v="9"/>
    <n v="57"/>
    <n v="5"/>
    <x v="3"/>
    <x v="3"/>
    <n v="5"/>
    <x v="0"/>
    <x v="0"/>
    <n v="25"/>
    <n v="13"/>
    <n v="7"/>
    <n v="2"/>
    <n v="108130"/>
  </r>
  <r>
    <x v="8"/>
    <x v="0"/>
    <x v="10"/>
    <n v="75"/>
    <n v="15"/>
    <x v="5"/>
    <x v="10"/>
    <n v="19"/>
    <x v="3"/>
    <x v="0"/>
    <n v="12"/>
    <n v="3"/>
    <n v="12"/>
    <n v="3"/>
    <n v="104840"/>
  </r>
  <r>
    <x v="8"/>
    <x v="0"/>
    <x v="11"/>
    <n v="23"/>
    <n v="1"/>
    <x v="8"/>
    <x v="3"/>
    <n v="1"/>
    <x v="0"/>
    <x v="0"/>
    <n v="11"/>
    <n v="4"/>
    <n v="4"/>
    <m/>
    <n v="94760"/>
  </r>
  <r>
    <x v="8"/>
    <x v="0"/>
    <x v="12"/>
    <n v="125"/>
    <n v="16"/>
    <x v="8"/>
    <x v="16"/>
    <n v="48"/>
    <x v="0"/>
    <x v="1"/>
    <n v="22"/>
    <n v="5"/>
    <n v="20"/>
    <n v="5"/>
    <n v="160130"/>
  </r>
  <r>
    <x v="8"/>
    <x v="0"/>
    <x v="13"/>
    <n v="205"/>
    <n v="24"/>
    <x v="23"/>
    <x v="13"/>
    <n v="58"/>
    <x v="2"/>
    <x v="0"/>
    <n v="55"/>
    <n v="10"/>
    <n v="26"/>
    <n v="4"/>
    <n v="371410"/>
  </r>
  <r>
    <x v="8"/>
    <x v="0"/>
    <x v="14"/>
    <n v="380"/>
    <n v="42"/>
    <x v="10"/>
    <x v="3"/>
    <n v="11"/>
    <x v="2"/>
    <x v="3"/>
    <n v="174"/>
    <n v="47"/>
    <n v="73"/>
    <n v="6"/>
    <n v="621020"/>
  </r>
  <r>
    <x v="8"/>
    <x v="0"/>
    <x v="15"/>
    <n v="119"/>
    <n v="7"/>
    <x v="20"/>
    <x v="18"/>
    <n v="6"/>
    <x v="2"/>
    <x v="0"/>
    <n v="30"/>
    <n v="9"/>
    <n v="31"/>
    <n v="2"/>
    <n v="235180"/>
  </r>
  <r>
    <x v="8"/>
    <x v="0"/>
    <x v="16"/>
    <n v="53"/>
    <n v="6"/>
    <x v="5"/>
    <x v="6"/>
    <m/>
    <x v="3"/>
    <x v="0"/>
    <n v="21"/>
    <n v="8"/>
    <n v="12"/>
    <n v="1"/>
    <n v="78760"/>
  </r>
  <r>
    <x v="8"/>
    <x v="0"/>
    <x v="17"/>
    <n v="104"/>
    <n v="13"/>
    <x v="3"/>
    <x v="10"/>
    <n v="41"/>
    <x v="0"/>
    <x v="0"/>
    <n v="20"/>
    <n v="4"/>
    <n v="15"/>
    <n v="4"/>
    <n v="90090"/>
  </r>
  <r>
    <x v="8"/>
    <x v="0"/>
    <x v="18"/>
    <n v="39"/>
    <n v="5"/>
    <x v="0"/>
    <x v="2"/>
    <n v="1"/>
    <x v="3"/>
    <x v="1"/>
    <n v="10"/>
    <n v="4"/>
    <n v="9"/>
    <n v="1"/>
    <n v="95780"/>
  </r>
  <r>
    <x v="8"/>
    <x v="0"/>
    <x v="19"/>
    <n v="14"/>
    <m/>
    <x v="0"/>
    <x v="6"/>
    <m/>
    <x v="0"/>
    <x v="0"/>
    <n v="5"/>
    <n v="1"/>
    <n v="3"/>
    <m/>
    <n v="26950"/>
  </r>
  <r>
    <x v="8"/>
    <x v="0"/>
    <x v="20"/>
    <n v="58"/>
    <n v="6"/>
    <x v="5"/>
    <x v="0"/>
    <n v="5"/>
    <x v="3"/>
    <x v="0"/>
    <n v="27"/>
    <n v="3"/>
    <n v="9"/>
    <n v="2"/>
    <n v="135790"/>
  </r>
  <r>
    <x v="8"/>
    <x v="0"/>
    <x v="21"/>
    <n v="224"/>
    <n v="12"/>
    <x v="9"/>
    <x v="3"/>
    <n v="10"/>
    <x v="1"/>
    <x v="1"/>
    <n v="101"/>
    <n v="27"/>
    <n v="53"/>
    <n v="10"/>
    <n v="339960"/>
  </r>
  <r>
    <x v="8"/>
    <x v="0"/>
    <x v="22"/>
    <n v="6"/>
    <m/>
    <x v="2"/>
    <x v="3"/>
    <m/>
    <x v="0"/>
    <x v="0"/>
    <n v="1"/>
    <m/>
    <n v="4"/>
    <m/>
    <n v="22000"/>
  </r>
  <r>
    <x v="8"/>
    <x v="0"/>
    <x v="23"/>
    <n v="62"/>
    <n v="4"/>
    <x v="5"/>
    <x v="0"/>
    <n v="9"/>
    <x v="0"/>
    <x v="0"/>
    <n v="21"/>
    <n v="2"/>
    <n v="21"/>
    <m/>
    <n v="151100"/>
  </r>
  <r>
    <x v="8"/>
    <x v="0"/>
    <x v="24"/>
    <n v="103"/>
    <n v="12"/>
    <x v="6"/>
    <x v="0"/>
    <n v="12"/>
    <x v="0"/>
    <x v="0"/>
    <n v="47"/>
    <n v="11"/>
    <n v="12"/>
    <n v="1"/>
    <n v="176830"/>
  </r>
  <r>
    <x v="8"/>
    <x v="0"/>
    <x v="25"/>
    <n v="70"/>
    <n v="3"/>
    <x v="5"/>
    <x v="0"/>
    <n v="37"/>
    <x v="0"/>
    <x v="1"/>
    <n v="13"/>
    <n v="3"/>
    <n v="7"/>
    <n v="1"/>
    <n v="115020"/>
  </r>
  <r>
    <x v="8"/>
    <x v="0"/>
    <x v="26"/>
    <n v="13"/>
    <m/>
    <x v="13"/>
    <x v="3"/>
    <m/>
    <x v="3"/>
    <x v="0"/>
    <n v="3"/>
    <m/>
    <n v="2"/>
    <m/>
    <n v="23080"/>
  </r>
  <r>
    <x v="8"/>
    <x v="0"/>
    <x v="27"/>
    <n v="55"/>
    <n v="4"/>
    <x v="7"/>
    <x v="0"/>
    <n v="3"/>
    <x v="3"/>
    <x v="0"/>
    <n v="22"/>
    <n v="4"/>
    <n v="14"/>
    <m/>
    <n v="112680"/>
  </r>
  <r>
    <x v="8"/>
    <x v="0"/>
    <x v="28"/>
    <n v="191"/>
    <n v="21"/>
    <x v="0"/>
    <x v="12"/>
    <n v="10"/>
    <x v="3"/>
    <x v="1"/>
    <n v="81"/>
    <n v="22"/>
    <n v="42"/>
    <n v="5"/>
    <n v="318170"/>
  </r>
  <r>
    <x v="8"/>
    <x v="0"/>
    <x v="29"/>
    <n v="45"/>
    <n v="6"/>
    <x v="8"/>
    <x v="0"/>
    <n v="7"/>
    <x v="3"/>
    <x v="0"/>
    <n v="18"/>
    <n v="3"/>
    <n v="5"/>
    <n v="1"/>
    <n v="94000"/>
  </r>
  <r>
    <x v="8"/>
    <x v="0"/>
    <x v="30"/>
    <n v="64"/>
    <n v="5"/>
    <x v="8"/>
    <x v="2"/>
    <m/>
    <x v="3"/>
    <x v="0"/>
    <n v="41"/>
    <m/>
    <n v="11"/>
    <n v="1"/>
    <n v="89610"/>
  </r>
  <r>
    <x v="8"/>
    <x v="0"/>
    <x v="31"/>
    <n v="179"/>
    <n v="15"/>
    <x v="6"/>
    <x v="0"/>
    <n v="79"/>
    <x v="0"/>
    <x v="0"/>
    <n v="45"/>
    <n v="11"/>
    <n v="16"/>
    <n v="5"/>
    <n v="181310"/>
  </r>
  <r>
    <x v="9"/>
    <x v="0"/>
    <x v="0"/>
    <n v="87"/>
    <n v="7"/>
    <x v="6"/>
    <x v="8"/>
    <n v="3"/>
    <x v="3"/>
    <x v="0"/>
    <n v="27"/>
    <n v="5"/>
    <n v="19"/>
    <n v="7"/>
    <n v="227560"/>
  </r>
  <r>
    <x v="9"/>
    <x v="0"/>
    <x v="1"/>
    <n v="117"/>
    <n v="12"/>
    <x v="11"/>
    <x v="15"/>
    <n v="11"/>
    <x v="7"/>
    <x v="1"/>
    <n v="30"/>
    <n v="3"/>
    <n v="37"/>
    <n v="1"/>
    <n v="261470"/>
  </r>
  <r>
    <x v="9"/>
    <x v="0"/>
    <x v="2"/>
    <n v="50"/>
    <n v="2"/>
    <x v="11"/>
    <x v="9"/>
    <n v="3"/>
    <x v="0"/>
    <x v="0"/>
    <n v="8"/>
    <n v="4"/>
    <n v="19"/>
    <m/>
    <n v="116040"/>
  </r>
  <r>
    <x v="9"/>
    <x v="0"/>
    <x v="3"/>
    <n v="43"/>
    <n v="2"/>
    <x v="8"/>
    <x v="3"/>
    <n v="3"/>
    <x v="6"/>
    <x v="0"/>
    <n v="16"/>
    <n v="2"/>
    <n v="10"/>
    <n v="2"/>
    <n v="86260"/>
  </r>
  <r>
    <x v="9"/>
    <x v="0"/>
    <x v="4"/>
    <n v="246"/>
    <n v="38"/>
    <x v="11"/>
    <x v="13"/>
    <n v="42"/>
    <x v="2"/>
    <x v="1"/>
    <n v="58"/>
    <n v="16"/>
    <n v="36"/>
    <n v="32"/>
    <n v="518500"/>
  </r>
  <r>
    <x v="9"/>
    <x v="0"/>
    <x v="5"/>
    <n v="18"/>
    <n v="2"/>
    <x v="3"/>
    <x v="3"/>
    <n v="6"/>
    <x v="0"/>
    <x v="0"/>
    <n v="9"/>
    <m/>
    <n v="1"/>
    <m/>
    <n v="51400"/>
  </r>
  <r>
    <x v="9"/>
    <x v="0"/>
    <x v="6"/>
    <n v="82"/>
    <n v="8"/>
    <x v="8"/>
    <x v="0"/>
    <n v="5"/>
    <x v="0"/>
    <x v="0"/>
    <n v="30"/>
    <n v="2"/>
    <n v="30"/>
    <n v="3"/>
    <n v="148790"/>
  </r>
  <r>
    <x v="9"/>
    <x v="0"/>
    <x v="7"/>
    <n v="63"/>
    <n v="12"/>
    <x v="5"/>
    <x v="0"/>
    <n v="3"/>
    <x v="0"/>
    <x v="0"/>
    <n v="18"/>
    <n v="7"/>
    <n v="14"/>
    <n v="4"/>
    <n v="148750"/>
  </r>
  <r>
    <x v="9"/>
    <x v="0"/>
    <x v="8"/>
    <n v="76"/>
    <n v="6"/>
    <x v="5"/>
    <x v="2"/>
    <n v="13"/>
    <x v="0"/>
    <x v="1"/>
    <n v="20"/>
    <n v="13"/>
    <n v="16"/>
    <n v="1"/>
    <n v="121840"/>
  </r>
  <r>
    <x v="9"/>
    <x v="0"/>
    <x v="9"/>
    <n v="52"/>
    <n v="11"/>
    <x v="8"/>
    <x v="3"/>
    <n v="5"/>
    <x v="0"/>
    <x v="0"/>
    <n v="16"/>
    <n v="10"/>
    <n v="5"/>
    <n v="3"/>
    <n v="108330"/>
  </r>
  <r>
    <x v="9"/>
    <x v="0"/>
    <x v="10"/>
    <n v="94"/>
    <n v="9"/>
    <x v="13"/>
    <x v="1"/>
    <n v="28"/>
    <x v="3"/>
    <x v="0"/>
    <n v="12"/>
    <n v="7"/>
    <n v="11"/>
    <n v="5"/>
    <n v="105790"/>
  </r>
  <r>
    <x v="9"/>
    <x v="0"/>
    <x v="11"/>
    <n v="38"/>
    <n v="8"/>
    <x v="8"/>
    <x v="3"/>
    <n v="3"/>
    <x v="0"/>
    <x v="0"/>
    <n v="16"/>
    <n v="3"/>
    <n v="6"/>
    <m/>
    <n v="95170"/>
  </r>
  <r>
    <x v="9"/>
    <x v="0"/>
    <x v="12"/>
    <n v="100"/>
    <n v="6"/>
    <x v="0"/>
    <x v="16"/>
    <n v="24"/>
    <x v="0"/>
    <x v="1"/>
    <n v="41"/>
    <n v="1"/>
    <n v="15"/>
    <n v="2"/>
    <n v="160340"/>
  </r>
  <r>
    <x v="9"/>
    <x v="0"/>
    <x v="13"/>
    <n v="219"/>
    <n v="25"/>
    <x v="14"/>
    <x v="7"/>
    <n v="66"/>
    <x v="1"/>
    <x v="0"/>
    <n v="40"/>
    <n v="9"/>
    <n v="37"/>
    <n v="7"/>
    <n v="371910"/>
  </r>
  <r>
    <x v="9"/>
    <x v="0"/>
    <x v="14"/>
    <n v="393"/>
    <n v="39"/>
    <x v="19"/>
    <x v="2"/>
    <n v="4"/>
    <x v="2"/>
    <x v="3"/>
    <n v="181"/>
    <n v="49"/>
    <n v="74"/>
    <n v="18"/>
    <n v="626410"/>
  </r>
  <r>
    <x v="9"/>
    <x v="0"/>
    <x v="15"/>
    <n v="167"/>
    <n v="11"/>
    <x v="9"/>
    <x v="1"/>
    <n v="40"/>
    <x v="7"/>
    <x v="0"/>
    <n v="41"/>
    <n v="1"/>
    <n v="47"/>
    <n v="1"/>
    <n v="235540"/>
  </r>
  <r>
    <x v="9"/>
    <x v="0"/>
    <x v="16"/>
    <n v="43"/>
    <n v="8"/>
    <x v="5"/>
    <x v="0"/>
    <n v="2"/>
    <x v="1"/>
    <x v="0"/>
    <n v="15"/>
    <n v="4"/>
    <n v="6"/>
    <n v="1"/>
    <n v="78150"/>
  </r>
  <r>
    <x v="9"/>
    <x v="0"/>
    <x v="17"/>
    <n v="80"/>
    <n v="12"/>
    <x v="2"/>
    <x v="17"/>
    <n v="18"/>
    <x v="0"/>
    <x v="0"/>
    <n v="19"/>
    <n v="2"/>
    <n v="12"/>
    <n v="1"/>
    <n v="91340"/>
  </r>
  <r>
    <x v="9"/>
    <x v="0"/>
    <x v="18"/>
    <n v="52"/>
    <n v="3"/>
    <x v="8"/>
    <x v="8"/>
    <n v="9"/>
    <x v="0"/>
    <x v="0"/>
    <n v="12"/>
    <n v="3"/>
    <n v="10"/>
    <n v="1"/>
    <n v="95520"/>
  </r>
  <r>
    <x v="9"/>
    <x v="0"/>
    <x v="19"/>
    <n v="16"/>
    <n v="6"/>
    <x v="2"/>
    <x v="6"/>
    <m/>
    <x v="3"/>
    <x v="0"/>
    <n v="4"/>
    <n v="1"/>
    <n v="2"/>
    <m/>
    <n v="26830"/>
  </r>
  <r>
    <x v="9"/>
    <x v="0"/>
    <x v="20"/>
    <n v="64"/>
    <n v="9"/>
    <x v="0"/>
    <x v="9"/>
    <n v="9"/>
    <x v="0"/>
    <x v="1"/>
    <n v="15"/>
    <n v="10"/>
    <n v="10"/>
    <n v="1"/>
    <n v="135280"/>
  </r>
  <r>
    <x v="9"/>
    <x v="0"/>
    <x v="21"/>
    <n v="233"/>
    <n v="20"/>
    <x v="0"/>
    <x v="12"/>
    <n v="16"/>
    <x v="3"/>
    <x v="4"/>
    <n v="98"/>
    <n v="31"/>
    <n v="48"/>
    <n v="7"/>
    <n v="340180"/>
  </r>
  <r>
    <x v="9"/>
    <x v="0"/>
    <x v="22"/>
    <n v="12"/>
    <m/>
    <x v="2"/>
    <x v="3"/>
    <m/>
    <x v="0"/>
    <x v="0"/>
    <n v="5"/>
    <n v="1"/>
    <n v="5"/>
    <m/>
    <n v="22190"/>
  </r>
  <r>
    <x v="9"/>
    <x v="0"/>
    <x v="23"/>
    <n v="77"/>
    <n v="9"/>
    <x v="8"/>
    <x v="0"/>
    <n v="7"/>
    <x v="3"/>
    <x v="0"/>
    <n v="22"/>
    <n v="2"/>
    <n v="29"/>
    <n v="3"/>
    <n v="151290"/>
  </r>
  <r>
    <x v="9"/>
    <x v="0"/>
    <x v="24"/>
    <n v="100"/>
    <n v="9"/>
    <x v="7"/>
    <x v="9"/>
    <n v="18"/>
    <x v="0"/>
    <x v="0"/>
    <n v="36"/>
    <n v="7"/>
    <n v="18"/>
    <n v="2"/>
    <n v="177790"/>
  </r>
  <r>
    <x v="9"/>
    <x v="0"/>
    <x v="25"/>
    <n v="76"/>
    <n v="6"/>
    <x v="13"/>
    <x v="4"/>
    <n v="25"/>
    <x v="0"/>
    <x v="1"/>
    <n v="18"/>
    <n v="1"/>
    <n v="10"/>
    <m/>
    <n v="115270"/>
  </r>
  <r>
    <x v="9"/>
    <x v="0"/>
    <x v="26"/>
    <n v="7"/>
    <m/>
    <x v="3"/>
    <x v="3"/>
    <m/>
    <x v="3"/>
    <x v="0"/>
    <n v="2"/>
    <m/>
    <n v="4"/>
    <m/>
    <n v="22990"/>
  </r>
  <r>
    <x v="9"/>
    <x v="0"/>
    <x v="27"/>
    <n v="31"/>
    <n v="1"/>
    <x v="5"/>
    <x v="3"/>
    <n v="1"/>
    <x v="0"/>
    <x v="0"/>
    <n v="15"/>
    <n v="5"/>
    <n v="6"/>
    <m/>
    <n v="112550"/>
  </r>
  <r>
    <x v="9"/>
    <x v="0"/>
    <x v="28"/>
    <n v="169"/>
    <n v="10"/>
    <x v="9"/>
    <x v="2"/>
    <n v="9"/>
    <x v="3"/>
    <x v="0"/>
    <n v="74"/>
    <n v="21"/>
    <n v="38"/>
    <n v="5"/>
    <n v="319020"/>
  </r>
  <r>
    <x v="9"/>
    <x v="0"/>
    <x v="29"/>
    <n v="55"/>
    <n v="4"/>
    <x v="6"/>
    <x v="12"/>
    <n v="12"/>
    <x v="0"/>
    <x v="3"/>
    <n v="12"/>
    <n v="3"/>
    <n v="11"/>
    <n v="1"/>
    <n v="94330"/>
  </r>
  <r>
    <x v="9"/>
    <x v="0"/>
    <x v="30"/>
    <n v="71"/>
    <n v="7"/>
    <x v="7"/>
    <x v="2"/>
    <n v="7"/>
    <x v="0"/>
    <x v="0"/>
    <n v="30"/>
    <n v="2"/>
    <n v="15"/>
    <n v="2"/>
    <n v="89130"/>
  </r>
  <r>
    <x v="9"/>
    <x v="0"/>
    <x v="31"/>
    <n v="145"/>
    <n v="16"/>
    <x v="8"/>
    <x v="6"/>
    <n v="48"/>
    <x v="0"/>
    <x v="3"/>
    <n v="41"/>
    <n v="12"/>
    <n v="20"/>
    <n v="3"/>
    <n v="182140"/>
  </r>
  <r>
    <x v="10"/>
    <x v="0"/>
    <x v="0"/>
    <n v="89"/>
    <n v="14"/>
    <x v="0"/>
    <x v="0"/>
    <n v="14"/>
    <x v="0"/>
    <x v="0"/>
    <n v="27"/>
    <n v="5"/>
    <n v="18"/>
    <n v="5"/>
    <n v="228670"/>
  </r>
  <r>
    <x v="10"/>
    <x v="0"/>
    <x v="1"/>
    <n v="162"/>
    <n v="15"/>
    <x v="7"/>
    <x v="21"/>
    <n v="20"/>
    <x v="2"/>
    <x v="0"/>
    <n v="44"/>
    <n v="8"/>
    <n v="41"/>
    <n v="3"/>
    <n v="261210"/>
  </r>
  <r>
    <x v="10"/>
    <x v="0"/>
    <x v="2"/>
    <n v="55"/>
    <n v="7"/>
    <x v="13"/>
    <x v="12"/>
    <n v="5"/>
    <x v="0"/>
    <x v="0"/>
    <n v="11"/>
    <n v="3"/>
    <n v="17"/>
    <n v="1"/>
    <n v="116200"/>
  </r>
  <r>
    <x v="10"/>
    <x v="0"/>
    <x v="3"/>
    <n v="45"/>
    <n v="1"/>
    <x v="2"/>
    <x v="9"/>
    <n v="10"/>
    <x v="7"/>
    <x v="0"/>
    <n v="7"/>
    <m/>
    <n v="17"/>
    <m/>
    <n v="85870"/>
  </r>
  <r>
    <x v="10"/>
    <x v="0"/>
    <x v="4"/>
    <n v="237"/>
    <n v="41"/>
    <x v="21"/>
    <x v="9"/>
    <n v="29"/>
    <x v="3"/>
    <x v="0"/>
    <n v="65"/>
    <n v="12"/>
    <n v="46"/>
    <n v="28"/>
    <n v="524930"/>
  </r>
  <r>
    <x v="10"/>
    <x v="0"/>
    <x v="5"/>
    <n v="15"/>
    <n v="1"/>
    <x v="8"/>
    <x v="2"/>
    <n v="1"/>
    <x v="0"/>
    <x v="0"/>
    <n v="6"/>
    <m/>
    <n v="2"/>
    <m/>
    <n v="51540"/>
  </r>
  <r>
    <x v="10"/>
    <x v="0"/>
    <x v="6"/>
    <n v="75"/>
    <n v="5"/>
    <x v="7"/>
    <x v="12"/>
    <n v="3"/>
    <x v="3"/>
    <x v="0"/>
    <n v="26"/>
    <n v="1"/>
    <n v="30"/>
    <m/>
    <n v="148860"/>
  </r>
  <r>
    <x v="10"/>
    <x v="0"/>
    <x v="7"/>
    <n v="71"/>
    <n v="10"/>
    <x v="2"/>
    <x v="0"/>
    <n v="2"/>
    <x v="3"/>
    <x v="1"/>
    <n v="27"/>
    <n v="4"/>
    <n v="15"/>
    <n v="8"/>
    <n v="149320"/>
  </r>
  <r>
    <x v="10"/>
    <x v="0"/>
    <x v="8"/>
    <n v="69"/>
    <n v="6"/>
    <x v="0"/>
    <x v="6"/>
    <n v="7"/>
    <x v="0"/>
    <x v="0"/>
    <n v="26"/>
    <n v="10"/>
    <n v="10"/>
    <n v="5"/>
    <n v="122010"/>
  </r>
  <r>
    <x v="10"/>
    <x v="0"/>
    <x v="9"/>
    <n v="57"/>
    <n v="4"/>
    <x v="5"/>
    <x v="3"/>
    <n v="5"/>
    <x v="0"/>
    <x v="0"/>
    <n v="27"/>
    <n v="10"/>
    <n v="7"/>
    <n v="1"/>
    <n v="108640"/>
  </r>
  <r>
    <x v="10"/>
    <x v="0"/>
    <x v="10"/>
    <n v="61"/>
    <n v="2"/>
    <x v="2"/>
    <x v="4"/>
    <n v="12"/>
    <x v="0"/>
    <x v="0"/>
    <n v="18"/>
    <n v="2"/>
    <n v="15"/>
    <n v="3"/>
    <n v="107090"/>
  </r>
  <r>
    <x v="10"/>
    <x v="0"/>
    <x v="11"/>
    <n v="48"/>
    <n v="1"/>
    <x v="5"/>
    <x v="6"/>
    <n v="6"/>
    <x v="0"/>
    <x v="3"/>
    <n v="25"/>
    <n v="5"/>
    <n v="4"/>
    <n v="1"/>
    <n v="95530"/>
  </r>
  <r>
    <x v="10"/>
    <x v="0"/>
    <x v="12"/>
    <n v="112"/>
    <n v="7"/>
    <x v="0"/>
    <x v="9"/>
    <n v="26"/>
    <x v="0"/>
    <x v="0"/>
    <n v="43"/>
    <n v="3"/>
    <n v="20"/>
    <n v="4"/>
    <n v="160890"/>
  </r>
  <r>
    <x v="10"/>
    <x v="0"/>
    <x v="13"/>
    <n v="190"/>
    <n v="11"/>
    <x v="13"/>
    <x v="1"/>
    <n v="61"/>
    <x v="1"/>
    <x v="0"/>
    <n v="53"/>
    <n v="8"/>
    <n v="30"/>
    <n v="4"/>
    <n v="373550"/>
  </r>
  <r>
    <x v="10"/>
    <x v="0"/>
    <x v="14"/>
    <n v="391"/>
    <n v="36"/>
    <x v="15"/>
    <x v="0"/>
    <n v="3"/>
    <x v="1"/>
    <x v="1"/>
    <n v="200"/>
    <n v="38"/>
    <n v="71"/>
    <n v="27"/>
    <n v="633120"/>
  </r>
  <r>
    <x v="10"/>
    <x v="0"/>
    <x v="15"/>
    <n v="132"/>
    <n v="13"/>
    <x v="21"/>
    <x v="18"/>
    <n v="11"/>
    <x v="2"/>
    <x v="0"/>
    <n v="34"/>
    <n v="3"/>
    <n v="36"/>
    <n v="6"/>
    <n v="235830"/>
  </r>
  <r>
    <x v="10"/>
    <x v="0"/>
    <x v="16"/>
    <n v="44"/>
    <n v="3"/>
    <x v="8"/>
    <x v="6"/>
    <m/>
    <x v="3"/>
    <x v="0"/>
    <n v="18"/>
    <n v="6"/>
    <n v="11"/>
    <n v="2"/>
    <n v="77800"/>
  </r>
  <r>
    <x v="10"/>
    <x v="0"/>
    <x v="17"/>
    <n v="51"/>
    <n v="3"/>
    <x v="2"/>
    <x v="16"/>
    <n v="14"/>
    <x v="0"/>
    <x v="0"/>
    <n v="12"/>
    <n v="2"/>
    <n v="8"/>
    <n v="5"/>
    <n v="92460"/>
  </r>
  <r>
    <x v="10"/>
    <x v="0"/>
    <x v="18"/>
    <n v="55"/>
    <n v="4"/>
    <x v="2"/>
    <x v="10"/>
    <n v="12"/>
    <x v="0"/>
    <x v="0"/>
    <n v="17"/>
    <n v="4"/>
    <n v="10"/>
    <m/>
    <n v="95820"/>
  </r>
  <r>
    <x v="10"/>
    <x v="0"/>
    <x v="19"/>
    <n v="11"/>
    <m/>
    <x v="8"/>
    <x v="3"/>
    <m/>
    <x v="3"/>
    <x v="0"/>
    <n v="5"/>
    <m/>
    <n v="3"/>
    <m/>
    <n v="26720"/>
  </r>
  <r>
    <x v="10"/>
    <x v="0"/>
    <x v="20"/>
    <n v="39"/>
    <n v="3"/>
    <x v="5"/>
    <x v="0"/>
    <n v="1"/>
    <x v="3"/>
    <x v="0"/>
    <n v="15"/>
    <n v="5"/>
    <n v="7"/>
    <n v="2"/>
    <n v="134740"/>
  </r>
  <r>
    <x v="10"/>
    <x v="0"/>
    <x v="21"/>
    <n v="258"/>
    <n v="18"/>
    <x v="0"/>
    <x v="0"/>
    <n v="11"/>
    <x v="3"/>
    <x v="1"/>
    <n v="127"/>
    <n v="33"/>
    <n v="57"/>
    <n v="4"/>
    <n v="341370"/>
  </r>
  <r>
    <x v="10"/>
    <x v="0"/>
    <x v="22"/>
    <n v="17"/>
    <n v="2"/>
    <x v="8"/>
    <x v="6"/>
    <m/>
    <x v="3"/>
    <x v="0"/>
    <n v="4"/>
    <m/>
    <n v="7"/>
    <m/>
    <n v="22270"/>
  </r>
  <r>
    <x v="10"/>
    <x v="0"/>
    <x v="23"/>
    <n v="76"/>
    <n v="9"/>
    <x v="7"/>
    <x v="16"/>
    <n v="4"/>
    <x v="0"/>
    <x v="0"/>
    <n v="26"/>
    <n v="1"/>
    <n v="25"/>
    <m/>
    <n v="151950"/>
  </r>
  <r>
    <x v="10"/>
    <x v="0"/>
    <x v="24"/>
    <n v="97"/>
    <n v="11"/>
    <x v="8"/>
    <x v="0"/>
    <n v="8"/>
    <x v="0"/>
    <x v="1"/>
    <n v="43"/>
    <n v="9"/>
    <n v="17"/>
    <n v="4"/>
    <n v="179100"/>
  </r>
  <r>
    <x v="10"/>
    <x v="0"/>
    <x v="25"/>
    <n v="74"/>
    <n v="10"/>
    <x v="0"/>
    <x v="15"/>
    <n v="19"/>
    <x v="0"/>
    <x v="0"/>
    <n v="13"/>
    <n v="2"/>
    <n v="17"/>
    <m/>
    <n v="115510"/>
  </r>
  <r>
    <x v="10"/>
    <x v="0"/>
    <x v="26"/>
    <n v="9"/>
    <n v="2"/>
    <x v="5"/>
    <x v="3"/>
    <m/>
    <x v="3"/>
    <x v="0"/>
    <n v="1"/>
    <m/>
    <n v="2"/>
    <m/>
    <n v="22920"/>
  </r>
  <r>
    <x v="10"/>
    <x v="0"/>
    <x v="27"/>
    <n v="44"/>
    <n v="1"/>
    <x v="8"/>
    <x v="6"/>
    <m/>
    <x v="1"/>
    <x v="0"/>
    <n v="21"/>
    <n v="8"/>
    <n v="9"/>
    <m/>
    <n v="112610"/>
  </r>
  <r>
    <x v="10"/>
    <x v="0"/>
    <x v="28"/>
    <n v="189"/>
    <n v="8"/>
    <x v="7"/>
    <x v="0"/>
    <n v="15"/>
    <x v="0"/>
    <x v="0"/>
    <n v="93"/>
    <n v="20"/>
    <n v="39"/>
    <n v="7"/>
    <n v="320530"/>
  </r>
  <r>
    <x v="10"/>
    <x v="0"/>
    <x v="29"/>
    <n v="48"/>
    <n v="5"/>
    <x v="8"/>
    <x v="6"/>
    <n v="10"/>
    <x v="0"/>
    <x v="0"/>
    <n v="11"/>
    <n v="2"/>
    <n v="17"/>
    <m/>
    <n v="94210"/>
  </r>
  <r>
    <x v="10"/>
    <x v="0"/>
    <x v="30"/>
    <n v="53"/>
    <n v="1"/>
    <x v="3"/>
    <x v="6"/>
    <n v="2"/>
    <x v="1"/>
    <x v="1"/>
    <n v="28"/>
    <n v="3"/>
    <n v="14"/>
    <n v="1"/>
    <n v="88930"/>
  </r>
  <r>
    <x v="10"/>
    <x v="0"/>
    <x v="31"/>
    <n v="108"/>
    <n v="13"/>
    <x v="8"/>
    <x v="12"/>
    <n v="13"/>
    <x v="0"/>
    <x v="0"/>
    <n v="35"/>
    <n v="12"/>
    <n v="21"/>
    <n v="8"/>
    <n v="183100"/>
  </r>
  <r>
    <x v="11"/>
    <x v="0"/>
    <x v="0"/>
    <n v="94"/>
    <n v="10"/>
    <x v="7"/>
    <x v="3"/>
    <n v="41"/>
    <x v="3"/>
    <x v="0"/>
    <n v="15"/>
    <n v="7"/>
    <n v="9"/>
    <n v="6"/>
    <n v="229060"/>
  </r>
  <r>
    <x v="11"/>
    <x v="0"/>
    <x v="1"/>
    <n v="143"/>
    <n v="11"/>
    <x v="15"/>
    <x v="22"/>
    <n v="24"/>
    <x v="2"/>
    <x v="3"/>
    <n v="25"/>
    <n v="4"/>
    <n v="38"/>
    <n v="5"/>
    <n v="260780"/>
  </r>
  <r>
    <x v="11"/>
    <x v="0"/>
    <x v="2"/>
    <n v="59"/>
    <n v="9"/>
    <x v="0"/>
    <x v="10"/>
    <n v="13"/>
    <x v="0"/>
    <x v="0"/>
    <n v="7"/>
    <n v="6"/>
    <n v="12"/>
    <n v="1"/>
    <n v="115820"/>
  </r>
  <r>
    <x v="11"/>
    <x v="0"/>
    <x v="3"/>
    <n v="40"/>
    <n v="7"/>
    <x v="7"/>
    <x v="3"/>
    <n v="7"/>
    <x v="3"/>
    <x v="0"/>
    <n v="8"/>
    <n v="2"/>
    <n v="10"/>
    <m/>
    <n v="85430"/>
  </r>
  <r>
    <x v="11"/>
    <x v="0"/>
    <x v="4"/>
    <n v="241"/>
    <n v="39"/>
    <x v="7"/>
    <x v="4"/>
    <n v="52"/>
    <x v="3"/>
    <x v="1"/>
    <n v="65"/>
    <n v="13"/>
    <n v="36"/>
    <n v="21"/>
    <n v="527620"/>
  </r>
  <r>
    <x v="11"/>
    <x v="0"/>
    <x v="5"/>
    <n v="11"/>
    <n v="1"/>
    <x v="5"/>
    <x v="3"/>
    <n v="4"/>
    <x v="0"/>
    <x v="0"/>
    <n v="2"/>
    <n v="1"/>
    <m/>
    <m/>
    <n v="51290"/>
  </r>
  <r>
    <x v="11"/>
    <x v="0"/>
    <x v="6"/>
    <n v="74"/>
    <n v="11"/>
    <x v="0"/>
    <x v="12"/>
    <n v="10"/>
    <x v="3"/>
    <x v="0"/>
    <n v="15"/>
    <n v="2"/>
    <n v="26"/>
    <n v="1"/>
    <n v="148290"/>
  </r>
  <r>
    <x v="11"/>
    <x v="0"/>
    <x v="7"/>
    <n v="70"/>
    <n v="16"/>
    <x v="8"/>
    <x v="0"/>
    <n v="17"/>
    <x v="0"/>
    <x v="1"/>
    <n v="12"/>
    <n v="11"/>
    <n v="7"/>
    <n v="2"/>
    <n v="148820"/>
  </r>
  <r>
    <x v="11"/>
    <x v="0"/>
    <x v="8"/>
    <n v="80"/>
    <n v="15"/>
    <x v="8"/>
    <x v="6"/>
    <n v="16"/>
    <x v="0"/>
    <x v="0"/>
    <n v="28"/>
    <n v="6"/>
    <n v="11"/>
    <n v="1"/>
    <n v="121600"/>
  </r>
  <r>
    <x v="11"/>
    <x v="0"/>
    <x v="9"/>
    <n v="35"/>
    <n v="5"/>
    <x v="3"/>
    <x v="6"/>
    <n v="2"/>
    <x v="0"/>
    <x v="0"/>
    <n v="16"/>
    <n v="4"/>
    <n v="7"/>
    <m/>
    <n v="108750"/>
  </r>
  <r>
    <x v="11"/>
    <x v="0"/>
    <x v="10"/>
    <n v="63"/>
    <n v="9"/>
    <x v="3"/>
    <x v="0"/>
    <n v="15"/>
    <x v="0"/>
    <x v="1"/>
    <n v="22"/>
    <n v="3"/>
    <n v="9"/>
    <n v="2"/>
    <n v="107900"/>
  </r>
  <r>
    <x v="11"/>
    <x v="0"/>
    <x v="11"/>
    <n v="33"/>
    <n v="5"/>
    <x v="2"/>
    <x v="6"/>
    <n v="1"/>
    <x v="0"/>
    <x v="1"/>
    <n v="15"/>
    <n v="3"/>
    <n v="6"/>
    <m/>
    <n v="96060"/>
  </r>
  <r>
    <x v="11"/>
    <x v="0"/>
    <x v="12"/>
    <n v="117"/>
    <n v="19"/>
    <x v="0"/>
    <x v="9"/>
    <n v="38"/>
    <x v="3"/>
    <x v="0"/>
    <n v="30"/>
    <n v="3"/>
    <n v="17"/>
    <m/>
    <n v="160560"/>
  </r>
  <r>
    <x v="11"/>
    <x v="0"/>
    <x v="13"/>
    <n v="238"/>
    <n v="30"/>
    <x v="15"/>
    <x v="4"/>
    <n v="78"/>
    <x v="1"/>
    <x v="0"/>
    <n v="57"/>
    <n v="8"/>
    <n v="37"/>
    <n v="7"/>
    <n v="374130"/>
  </r>
  <r>
    <x v="11"/>
    <x v="0"/>
    <x v="14"/>
    <n v="380"/>
    <n v="52"/>
    <x v="13"/>
    <x v="9"/>
    <n v="12"/>
    <x v="2"/>
    <x v="2"/>
    <n v="188"/>
    <n v="23"/>
    <n v="71"/>
    <n v="16"/>
    <n v="635640"/>
  </r>
  <r>
    <x v="11"/>
    <x v="0"/>
    <x v="15"/>
    <n v="142"/>
    <n v="15"/>
    <x v="15"/>
    <x v="17"/>
    <n v="38"/>
    <x v="3"/>
    <x v="1"/>
    <n v="25"/>
    <n v="4"/>
    <n v="31"/>
    <n v="1"/>
    <n v="235430"/>
  </r>
  <r>
    <x v="11"/>
    <x v="0"/>
    <x v="16"/>
    <n v="36"/>
    <n v="6"/>
    <x v="3"/>
    <x v="3"/>
    <m/>
    <x v="3"/>
    <x v="0"/>
    <n v="17"/>
    <n v="5"/>
    <n v="7"/>
    <m/>
    <n v="77060"/>
  </r>
  <r>
    <x v="11"/>
    <x v="0"/>
    <x v="17"/>
    <n v="64"/>
    <n v="12"/>
    <x v="11"/>
    <x v="2"/>
    <n v="20"/>
    <x v="0"/>
    <x v="1"/>
    <n v="8"/>
    <m/>
    <n v="6"/>
    <n v="5"/>
    <n v="93150"/>
  </r>
  <r>
    <x v="11"/>
    <x v="0"/>
    <x v="18"/>
    <n v="65"/>
    <n v="10"/>
    <x v="2"/>
    <x v="10"/>
    <n v="24"/>
    <x v="0"/>
    <x v="0"/>
    <n v="18"/>
    <m/>
    <n v="5"/>
    <m/>
    <n v="95710"/>
  </r>
  <r>
    <x v="11"/>
    <x v="0"/>
    <x v="19"/>
    <n v="13"/>
    <n v="1"/>
    <x v="2"/>
    <x v="2"/>
    <m/>
    <x v="0"/>
    <x v="0"/>
    <n v="4"/>
    <n v="1"/>
    <n v="3"/>
    <m/>
    <n v="26500"/>
  </r>
  <r>
    <x v="11"/>
    <x v="0"/>
    <x v="20"/>
    <n v="51"/>
    <n v="10"/>
    <x v="2"/>
    <x v="0"/>
    <n v="2"/>
    <x v="3"/>
    <x v="0"/>
    <n v="24"/>
    <m/>
    <n v="10"/>
    <n v="1"/>
    <n v="134250"/>
  </r>
  <r>
    <x v="11"/>
    <x v="0"/>
    <x v="21"/>
    <n v="259"/>
    <n v="17"/>
    <x v="13"/>
    <x v="4"/>
    <n v="8"/>
    <x v="3"/>
    <x v="1"/>
    <n v="131"/>
    <n v="25"/>
    <n v="58"/>
    <n v="3"/>
    <n v="341140"/>
  </r>
  <r>
    <x v="11"/>
    <x v="0"/>
    <x v="22"/>
    <n v="11"/>
    <n v="2"/>
    <x v="2"/>
    <x v="3"/>
    <m/>
    <x v="3"/>
    <x v="0"/>
    <n v="4"/>
    <m/>
    <n v="3"/>
    <m/>
    <n v="22400"/>
  </r>
  <r>
    <x v="11"/>
    <x v="0"/>
    <x v="23"/>
    <n v="79"/>
    <n v="5"/>
    <x v="8"/>
    <x v="4"/>
    <n v="11"/>
    <x v="0"/>
    <x v="1"/>
    <n v="24"/>
    <n v="3"/>
    <n v="23"/>
    <n v="2"/>
    <n v="151910"/>
  </r>
  <r>
    <x v="11"/>
    <x v="0"/>
    <x v="24"/>
    <n v="85"/>
    <n v="12"/>
    <x v="5"/>
    <x v="6"/>
    <n v="14"/>
    <x v="0"/>
    <x v="0"/>
    <n v="31"/>
    <n v="8"/>
    <n v="15"/>
    <n v="1"/>
    <n v="179390"/>
  </r>
  <r>
    <x v="11"/>
    <x v="0"/>
    <x v="25"/>
    <n v="61"/>
    <n v="5"/>
    <x v="7"/>
    <x v="16"/>
    <n v="12"/>
    <x v="0"/>
    <x v="0"/>
    <n v="17"/>
    <n v="2"/>
    <n v="12"/>
    <n v="2"/>
    <n v="115240"/>
  </r>
  <r>
    <x v="11"/>
    <x v="0"/>
    <x v="26"/>
    <n v="19"/>
    <n v="5"/>
    <x v="3"/>
    <x v="3"/>
    <m/>
    <x v="3"/>
    <x v="0"/>
    <n v="8"/>
    <m/>
    <n v="5"/>
    <m/>
    <n v="22870"/>
  </r>
  <r>
    <x v="11"/>
    <x v="0"/>
    <x v="27"/>
    <n v="40"/>
    <n v="5"/>
    <x v="3"/>
    <x v="0"/>
    <n v="7"/>
    <x v="0"/>
    <x v="0"/>
    <n v="13"/>
    <n v="1"/>
    <n v="12"/>
    <m/>
    <n v="112140"/>
  </r>
  <r>
    <x v="11"/>
    <x v="0"/>
    <x v="28"/>
    <n v="190"/>
    <n v="13"/>
    <x v="7"/>
    <x v="12"/>
    <n v="14"/>
    <x v="3"/>
    <x v="1"/>
    <n v="90"/>
    <n v="20"/>
    <n v="34"/>
    <n v="8"/>
    <n v="320820"/>
  </r>
  <r>
    <x v="11"/>
    <x v="0"/>
    <x v="29"/>
    <n v="66"/>
    <n v="10"/>
    <x v="0"/>
    <x v="2"/>
    <n v="16"/>
    <x v="0"/>
    <x v="0"/>
    <n v="17"/>
    <n v="3"/>
    <n v="12"/>
    <n v="1"/>
    <n v="94080"/>
  </r>
  <r>
    <x v="11"/>
    <x v="0"/>
    <x v="30"/>
    <n v="57"/>
    <n v="12"/>
    <x v="5"/>
    <x v="0"/>
    <n v="6"/>
    <x v="1"/>
    <x v="0"/>
    <n v="23"/>
    <m/>
    <n v="9"/>
    <m/>
    <n v="88340"/>
  </r>
  <r>
    <x v="11"/>
    <x v="0"/>
    <x v="31"/>
    <n v="121"/>
    <n v="14"/>
    <x v="11"/>
    <x v="4"/>
    <n v="28"/>
    <x v="0"/>
    <x v="0"/>
    <n v="30"/>
    <n v="8"/>
    <n v="17"/>
    <n v="7"/>
    <n v="183820"/>
  </r>
</pivotCacheRecords>
</file>

<file path=xl/pivotCache/pivotCacheRecords8.xml><?xml version="1.0" encoding="utf-8"?>
<pivotCacheRecords xmlns="http://schemas.openxmlformats.org/spreadsheetml/2006/main" xmlns:r="http://schemas.openxmlformats.org/officeDocument/2006/relationships" count="386">
  <r>
    <x v="0"/>
    <x v="0"/>
    <x v="0"/>
    <n v="82"/>
    <x v="0"/>
    <n v="68"/>
    <n v="5"/>
    <n v="36"/>
    <x v="0"/>
    <n v="130"/>
    <n v="5"/>
    <x v="0"/>
    <n v="9"/>
    <n v="21"/>
    <n v="2"/>
    <n v="8"/>
    <n v="25"/>
    <n v="18"/>
    <n v="40"/>
    <x v="0"/>
    <x v="0"/>
    <n v="25"/>
    <n v="47"/>
    <n v="217020"/>
  </r>
  <r>
    <x v="0"/>
    <x v="1"/>
    <x v="1"/>
    <n v="299"/>
    <x v="1"/>
    <n v="93"/>
    <n v="20"/>
    <n v="19"/>
    <x v="1"/>
    <n v="5"/>
    <n v="126"/>
    <x v="1"/>
    <n v="7"/>
    <n v="11"/>
    <n v="3"/>
    <n v="15"/>
    <n v="4"/>
    <n v="8"/>
    <n v="40"/>
    <x v="0"/>
    <x v="1"/>
    <n v="17"/>
    <n v="8"/>
    <n v="249020"/>
  </r>
  <r>
    <x v="0"/>
    <x v="2"/>
    <x v="1"/>
    <n v="43"/>
    <x v="2"/>
    <n v="98"/>
    <n v="3"/>
    <n v="12"/>
    <x v="2"/>
    <n v="5"/>
    <n v="2"/>
    <x v="1"/>
    <n v="2"/>
    <n v="13"/>
    <n v="1"/>
    <n v="9"/>
    <n v="12"/>
    <n v="12"/>
    <n v="2"/>
    <x v="0"/>
    <x v="1"/>
    <n v="10"/>
    <n v="3"/>
    <n v="114830"/>
  </r>
  <r>
    <x v="0"/>
    <x v="3"/>
    <x v="1"/>
    <n v="101"/>
    <x v="3"/>
    <n v="44"/>
    <n v="7"/>
    <n v="12"/>
    <x v="2"/>
    <n v="11"/>
    <n v="5"/>
    <x v="0"/>
    <n v="2"/>
    <n v="5"/>
    <n v="1"/>
    <n v="11"/>
    <n v="4"/>
    <n v="6"/>
    <n v="19"/>
    <x v="1"/>
    <x v="2"/>
    <n v="27"/>
    <n v="3"/>
    <n v="89450"/>
  </r>
  <r>
    <x v="0"/>
    <x v="4"/>
    <x v="1"/>
    <n v="167"/>
    <x v="4"/>
    <n v="24"/>
    <n v="3"/>
    <n v="67"/>
    <x v="3"/>
    <n v="67"/>
    <n v="30"/>
    <x v="2"/>
    <n v="30"/>
    <n v="47"/>
    <n v="21"/>
    <n v="22"/>
    <n v="84"/>
    <n v="13"/>
    <n v="34"/>
    <x v="2"/>
    <x v="3"/>
    <n v="38"/>
    <n v="13"/>
    <n v="463230"/>
  </r>
  <r>
    <x v="0"/>
    <x v="5"/>
    <x v="1"/>
    <n v="19"/>
    <x v="2"/>
    <n v="8"/>
    <n v="0"/>
    <n v="13"/>
    <x v="0"/>
    <n v="1"/>
    <n v="6"/>
    <x v="1"/>
    <n v="0"/>
    <n v="6"/>
    <n v="2"/>
    <n v="8"/>
    <n v="5"/>
    <n v="1"/>
    <n v="2"/>
    <x v="0"/>
    <x v="4"/>
    <n v="13"/>
    <n v="1"/>
    <n v="51290"/>
  </r>
  <r>
    <x v="0"/>
    <x v="6"/>
    <x v="1"/>
    <n v="110"/>
    <x v="5"/>
    <n v="50"/>
    <n v="12"/>
    <n v="17"/>
    <x v="1"/>
    <n v="11"/>
    <n v="2"/>
    <x v="3"/>
    <n v="1"/>
    <n v="6"/>
    <n v="3"/>
    <n v="11"/>
    <n v="4"/>
    <n v="2"/>
    <n v="5"/>
    <x v="2"/>
    <x v="4"/>
    <n v="8"/>
    <n v="3"/>
    <n v="151160"/>
  </r>
  <r>
    <x v="0"/>
    <x v="7"/>
    <x v="1"/>
    <n v="38"/>
    <x v="5"/>
    <n v="53"/>
    <n v="2"/>
    <n v="28"/>
    <x v="1"/>
    <n v="32"/>
    <n v="14"/>
    <x v="0"/>
    <n v="0"/>
    <n v="36"/>
    <n v="5"/>
    <n v="9"/>
    <n v="42"/>
    <n v="38"/>
    <n v="7"/>
    <x v="0"/>
    <x v="5"/>
    <n v="16"/>
    <n v="3"/>
    <n v="145170"/>
  </r>
  <r>
    <x v="0"/>
    <x v="8"/>
    <x v="1"/>
    <n v="80"/>
    <x v="6"/>
    <n v="54"/>
    <n v="8"/>
    <n v="13"/>
    <x v="1"/>
    <n v="9"/>
    <n v="3"/>
    <x v="4"/>
    <n v="1"/>
    <n v="3"/>
    <n v="3"/>
    <n v="11"/>
    <n v="9"/>
    <n v="5"/>
    <n v="17"/>
    <x v="3"/>
    <x v="6"/>
    <n v="14"/>
    <n v="3"/>
    <n v="122110"/>
  </r>
  <r>
    <x v="0"/>
    <x v="9"/>
    <x v="1"/>
    <n v="40"/>
    <x v="2"/>
    <n v="32"/>
    <n v="1"/>
    <n v="16"/>
    <x v="1"/>
    <n v="6"/>
    <n v="3"/>
    <x v="3"/>
    <n v="2"/>
    <n v="4"/>
    <n v="2"/>
    <n v="10"/>
    <n v="21"/>
    <n v="4"/>
    <n v="6"/>
    <x v="0"/>
    <x v="1"/>
    <n v="9"/>
    <n v="1"/>
    <n v="104960"/>
  </r>
  <r>
    <x v="0"/>
    <x v="10"/>
    <x v="1"/>
    <n v="45"/>
    <x v="7"/>
    <n v="12"/>
    <n v="1"/>
    <n v="9"/>
    <x v="0"/>
    <n v="2"/>
    <n v="14"/>
    <x v="3"/>
    <n v="5"/>
    <n v="8"/>
    <n v="2"/>
    <n v="2"/>
    <n v="5"/>
    <n v="0"/>
    <n v="5"/>
    <x v="3"/>
    <x v="7"/>
    <n v="7"/>
    <n v="0"/>
    <n v="98340"/>
  </r>
  <r>
    <x v="0"/>
    <x v="11"/>
    <x v="1"/>
    <n v="32"/>
    <x v="5"/>
    <n v="27"/>
    <n v="1"/>
    <n v="17"/>
    <x v="0"/>
    <n v="0"/>
    <n v="4"/>
    <x v="3"/>
    <n v="2"/>
    <n v="1"/>
    <n v="2"/>
    <n v="10"/>
    <n v="14"/>
    <n v="2"/>
    <n v="14"/>
    <x v="2"/>
    <x v="1"/>
    <n v="10"/>
    <n v="1"/>
    <n v="89980"/>
  </r>
  <r>
    <x v="0"/>
    <x v="12"/>
    <x v="1"/>
    <n v="66"/>
    <x v="2"/>
    <n v="39"/>
    <n v="5"/>
    <n v="21"/>
    <x v="2"/>
    <n v="5"/>
    <n v="6"/>
    <x v="3"/>
    <n v="5"/>
    <n v="5"/>
    <n v="1"/>
    <n v="14"/>
    <n v="15"/>
    <n v="1"/>
    <n v="14"/>
    <x v="0"/>
    <x v="1"/>
    <n v="13"/>
    <n v="3"/>
    <n v="154210"/>
  </r>
  <r>
    <x v="0"/>
    <x v="13"/>
    <x v="1"/>
    <n v="136"/>
    <x v="1"/>
    <n v="140"/>
    <n v="9"/>
    <n v="61"/>
    <x v="4"/>
    <n v="22"/>
    <n v="14"/>
    <x v="5"/>
    <n v="7"/>
    <n v="22"/>
    <n v="12"/>
    <n v="21"/>
    <n v="33"/>
    <n v="22"/>
    <n v="27"/>
    <x v="0"/>
    <x v="5"/>
    <n v="36"/>
    <n v="14"/>
    <n v="361420"/>
  </r>
  <r>
    <x v="0"/>
    <x v="14"/>
    <x v="1"/>
    <n v="265"/>
    <x v="8"/>
    <n v="470"/>
    <n v="42"/>
    <n v="117"/>
    <x v="5"/>
    <n v="202"/>
    <n v="38"/>
    <x v="6"/>
    <n v="11"/>
    <n v="45"/>
    <n v="46"/>
    <n v="62"/>
    <n v="249"/>
    <n v="34"/>
    <n v="200"/>
    <x v="2"/>
    <x v="8"/>
    <n v="93"/>
    <n v="25"/>
    <n v="581620"/>
  </r>
  <r>
    <x v="0"/>
    <x v="15"/>
    <x v="1"/>
    <n v="274"/>
    <x v="4"/>
    <n v="133"/>
    <n v="8"/>
    <n v="17"/>
    <x v="4"/>
    <n v="14"/>
    <n v="9"/>
    <x v="7"/>
    <n v="9"/>
    <n v="22"/>
    <n v="4"/>
    <n v="16"/>
    <n v="31"/>
    <n v="30"/>
    <n v="40"/>
    <x v="3"/>
    <x v="9"/>
    <n v="31"/>
    <n v="7"/>
    <n v="228750"/>
  </r>
  <r>
    <x v="0"/>
    <x v="16"/>
    <x v="1"/>
    <n v="43"/>
    <x v="2"/>
    <n v="54"/>
    <n v="2"/>
    <n v="13"/>
    <x v="0"/>
    <n v="54"/>
    <n v="6"/>
    <x v="8"/>
    <n v="1"/>
    <n v="4"/>
    <n v="2"/>
    <n v="10"/>
    <n v="21"/>
    <n v="3"/>
    <n v="12"/>
    <x v="3"/>
    <x v="1"/>
    <n v="13"/>
    <n v="6"/>
    <n v="81670"/>
  </r>
  <r>
    <x v="0"/>
    <x v="17"/>
    <x v="1"/>
    <n v="41"/>
    <x v="2"/>
    <n v="3"/>
    <n v="0"/>
    <n v="8"/>
    <x v="1"/>
    <n v="2"/>
    <n v="7"/>
    <x v="0"/>
    <n v="3"/>
    <n v="9"/>
    <n v="3"/>
    <n v="7"/>
    <n v="6"/>
    <n v="1"/>
    <n v="3"/>
    <x v="0"/>
    <x v="4"/>
    <n v="2"/>
    <n v="1"/>
    <n v="81900"/>
  </r>
  <r>
    <x v="0"/>
    <x v="18"/>
    <x v="1"/>
    <n v="58"/>
    <x v="5"/>
    <n v="37"/>
    <n v="5"/>
    <n v="17"/>
    <x v="1"/>
    <n v="3"/>
    <n v="2"/>
    <x v="3"/>
    <n v="2"/>
    <n v="2"/>
    <n v="1"/>
    <n v="7"/>
    <n v="2"/>
    <n v="3"/>
    <n v="17"/>
    <x v="0"/>
    <x v="4"/>
    <n v="5"/>
    <n v="3"/>
    <n v="93160"/>
  </r>
  <r>
    <x v="0"/>
    <x v="19"/>
    <x v="1"/>
    <n v="17"/>
    <x v="2"/>
    <n v="5"/>
    <n v="0"/>
    <n v="2"/>
    <x v="2"/>
    <n v="0"/>
    <n v="1"/>
    <x v="1"/>
    <n v="1"/>
    <n v="0"/>
    <n v="0"/>
    <n v="5"/>
    <n v="2"/>
    <n v="1"/>
    <n v="5"/>
    <x v="0"/>
    <x v="7"/>
    <n v="1"/>
    <n v="2"/>
    <n v="27420"/>
  </r>
  <r>
    <x v="0"/>
    <x v="20"/>
    <x v="1"/>
    <n v="54"/>
    <x v="6"/>
    <n v="58"/>
    <n v="3"/>
    <n v="32"/>
    <x v="1"/>
    <n v="13"/>
    <n v="13"/>
    <x v="9"/>
    <n v="0"/>
    <n v="4"/>
    <n v="2"/>
    <n v="18"/>
    <n v="20"/>
    <n v="9"/>
    <n v="21"/>
    <x v="0"/>
    <x v="1"/>
    <n v="18"/>
    <n v="3"/>
    <n v="137830"/>
  </r>
  <r>
    <x v="0"/>
    <x v="21"/>
    <x v="1"/>
    <n v="142"/>
    <x v="9"/>
    <n v="113"/>
    <n v="8"/>
    <n v="50"/>
    <x v="6"/>
    <n v="21"/>
    <n v="15"/>
    <x v="7"/>
    <n v="3"/>
    <n v="17"/>
    <n v="27"/>
    <n v="18"/>
    <n v="66"/>
    <n v="10"/>
    <n v="59"/>
    <x v="0"/>
    <x v="5"/>
    <n v="49"/>
    <n v="10"/>
    <n v="335160"/>
  </r>
  <r>
    <x v="0"/>
    <x v="22"/>
    <x v="1"/>
    <n v="4"/>
    <x v="7"/>
    <n v="5"/>
    <n v="0"/>
    <n v="1"/>
    <x v="2"/>
    <n v="0"/>
    <n v="1"/>
    <x v="1"/>
    <n v="2"/>
    <n v="1"/>
    <n v="0"/>
    <n v="2"/>
    <n v="0"/>
    <n v="0"/>
    <n v="3"/>
    <x v="0"/>
    <x v="1"/>
    <n v="2"/>
    <n v="0"/>
    <n v="20940"/>
  </r>
  <r>
    <x v="0"/>
    <x v="23"/>
    <x v="1"/>
    <n v="129"/>
    <x v="10"/>
    <n v="60"/>
    <n v="11"/>
    <n v="14"/>
    <x v="1"/>
    <n v="15"/>
    <n v="9"/>
    <x v="4"/>
    <n v="1"/>
    <n v="21"/>
    <n v="0"/>
    <n v="11"/>
    <n v="19"/>
    <n v="22"/>
    <n v="7"/>
    <x v="3"/>
    <x v="1"/>
    <n v="15"/>
    <n v="6"/>
    <n v="144370"/>
  </r>
  <r>
    <x v="0"/>
    <x v="24"/>
    <x v="1"/>
    <n v="68"/>
    <x v="6"/>
    <n v="63"/>
    <n v="8"/>
    <n v="28"/>
    <x v="7"/>
    <n v="20"/>
    <n v="11"/>
    <x v="9"/>
    <n v="4"/>
    <n v="10"/>
    <n v="8"/>
    <n v="14"/>
    <n v="30"/>
    <n v="7"/>
    <n v="55"/>
    <x v="0"/>
    <x v="10"/>
    <n v="31"/>
    <n v="9"/>
    <n v="173020"/>
  </r>
  <r>
    <x v="0"/>
    <x v="25"/>
    <x v="1"/>
    <n v="96"/>
    <x v="5"/>
    <n v="20"/>
    <n v="6"/>
    <n v="13"/>
    <x v="2"/>
    <n v="2"/>
    <n v="5"/>
    <x v="0"/>
    <n v="4"/>
    <n v="12"/>
    <n v="1"/>
    <n v="9"/>
    <n v="6"/>
    <n v="2"/>
    <n v="7"/>
    <x v="3"/>
    <x v="11"/>
    <n v="12"/>
    <n v="7"/>
    <n v="113590"/>
  </r>
  <r>
    <x v="0"/>
    <x v="26"/>
    <x v="1"/>
    <n v="10"/>
    <x v="7"/>
    <n v="3"/>
    <n v="0"/>
    <n v="2"/>
    <x v="2"/>
    <n v="0"/>
    <n v="0"/>
    <x v="0"/>
    <n v="2"/>
    <n v="1"/>
    <n v="0"/>
    <n v="2"/>
    <n v="2"/>
    <n v="0"/>
    <n v="4"/>
    <x v="0"/>
    <x v="7"/>
    <n v="4"/>
    <n v="0"/>
    <n v="22800"/>
  </r>
  <r>
    <x v="0"/>
    <x v="27"/>
    <x v="1"/>
    <n v="57"/>
    <x v="1"/>
    <n v="63"/>
    <n v="8"/>
    <n v="24"/>
    <x v="4"/>
    <n v="15"/>
    <n v="2"/>
    <x v="10"/>
    <n v="1"/>
    <n v="5"/>
    <n v="4"/>
    <n v="10"/>
    <n v="13"/>
    <n v="6"/>
    <n v="23"/>
    <x v="0"/>
    <x v="7"/>
    <n v="16"/>
    <n v="2"/>
    <n v="112490"/>
  </r>
  <r>
    <x v="0"/>
    <x v="28"/>
    <x v="1"/>
    <n v="210"/>
    <x v="3"/>
    <n v="120"/>
    <n v="3"/>
    <n v="30"/>
    <x v="1"/>
    <n v="33"/>
    <n v="18"/>
    <x v="7"/>
    <n v="7"/>
    <n v="17"/>
    <n v="19"/>
    <n v="29"/>
    <n v="48"/>
    <n v="14"/>
    <n v="42"/>
    <x v="2"/>
    <x v="7"/>
    <n v="47"/>
    <n v="13"/>
    <n v="312180"/>
  </r>
  <r>
    <x v="0"/>
    <x v="29"/>
    <x v="1"/>
    <n v="74"/>
    <x v="2"/>
    <n v="40"/>
    <n v="4"/>
    <n v="11"/>
    <x v="2"/>
    <n v="11"/>
    <n v="3"/>
    <x v="8"/>
    <n v="3"/>
    <n v="6"/>
    <n v="2"/>
    <n v="12"/>
    <n v="16"/>
    <n v="2"/>
    <n v="4"/>
    <x v="0"/>
    <x v="1"/>
    <n v="7"/>
    <n v="3"/>
    <n v="88690"/>
  </r>
  <r>
    <x v="0"/>
    <x v="30"/>
    <x v="1"/>
    <n v="41"/>
    <x v="5"/>
    <n v="43"/>
    <n v="5"/>
    <n v="14"/>
    <x v="2"/>
    <n v="50"/>
    <n v="3"/>
    <x v="0"/>
    <n v="4"/>
    <n v="3"/>
    <n v="6"/>
    <n v="6"/>
    <n v="18"/>
    <n v="2"/>
    <n v="14"/>
    <x v="0"/>
    <x v="4"/>
    <n v="9"/>
    <n v="3"/>
    <n v="91080"/>
  </r>
  <r>
    <x v="0"/>
    <x v="31"/>
    <x v="1"/>
    <n v="104"/>
    <x v="2"/>
    <n v="6"/>
    <n v="2"/>
    <n v="29"/>
    <x v="0"/>
    <n v="8"/>
    <n v="11"/>
    <x v="7"/>
    <n v="2"/>
    <n v="11"/>
    <n v="2"/>
    <n v="4"/>
    <n v="17"/>
    <n v="6"/>
    <n v="8"/>
    <x v="0"/>
    <x v="5"/>
    <n v="12"/>
    <n v="4"/>
    <n v="173040"/>
  </r>
  <r>
    <x v="1"/>
    <x v="0"/>
    <x v="1"/>
    <n v="80"/>
    <x v="5"/>
    <n v="57"/>
    <n v="1"/>
    <n v="39"/>
    <x v="1"/>
    <n v="144"/>
    <n v="11"/>
    <x v="0"/>
    <n v="10"/>
    <n v="16"/>
    <n v="2"/>
    <n v="5"/>
    <n v="22"/>
    <n v="10"/>
    <n v="43"/>
    <x v="0"/>
    <x v="6"/>
    <n v="10"/>
    <n v="56"/>
    <n v="219730"/>
  </r>
  <r>
    <x v="1"/>
    <x v="1"/>
    <x v="1"/>
    <n v="210"/>
    <x v="1"/>
    <n v="41"/>
    <n v="2"/>
    <n v="20"/>
    <x v="1"/>
    <n v="2"/>
    <n v="107"/>
    <x v="0"/>
    <n v="1"/>
    <n v="5"/>
    <n v="1"/>
    <n v="13"/>
    <n v="8"/>
    <n v="5"/>
    <n v="11"/>
    <x v="3"/>
    <x v="2"/>
    <n v="24"/>
    <n v="12"/>
    <n v="251430"/>
  </r>
  <r>
    <x v="1"/>
    <x v="2"/>
    <x v="1"/>
    <n v="50"/>
    <x v="5"/>
    <n v="23"/>
    <n v="1"/>
    <n v="5"/>
    <x v="1"/>
    <n v="4"/>
    <n v="4"/>
    <x v="3"/>
    <n v="3"/>
    <n v="20"/>
    <n v="2"/>
    <n v="5"/>
    <n v="15"/>
    <n v="25"/>
    <n v="5"/>
    <x v="4"/>
    <x v="4"/>
    <n v="8"/>
    <n v="2"/>
    <n v="115410"/>
  </r>
  <r>
    <x v="1"/>
    <x v="3"/>
    <x v="1"/>
    <n v="91"/>
    <x v="3"/>
    <n v="58"/>
    <n v="3"/>
    <n v="9"/>
    <x v="1"/>
    <n v="9"/>
    <n v="5"/>
    <x v="1"/>
    <n v="4"/>
    <n v="5"/>
    <n v="1"/>
    <n v="10"/>
    <n v="6"/>
    <n v="7"/>
    <n v="15"/>
    <x v="2"/>
    <x v="9"/>
    <n v="18"/>
    <n v="7"/>
    <n v="88620"/>
  </r>
  <r>
    <x v="1"/>
    <x v="4"/>
    <x v="1"/>
    <n v="137"/>
    <x v="11"/>
    <n v="22"/>
    <n v="5"/>
    <n v="66"/>
    <x v="8"/>
    <n v="51"/>
    <n v="23"/>
    <x v="11"/>
    <n v="25"/>
    <n v="49"/>
    <n v="25"/>
    <n v="14"/>
    <n v="93"/>
    <n v="34"/>
    <n v="55"/>
    <x v="0"/>
    <x v="9"/>
    <n v="40"/>
    <n v="21"/>
    <n v="469930"/>
  </r>
  <r>
    <x v="1"/>
    <x v="5"/>
    <x v="1"/>
    <n v="13"/>
    <x v="7"/>
    <n v="22"/>
    <n v="1"/>
    <n v="12"/>
    <x v="2"/>
    <n v="0"/>
    <n v="8"/>
    <x v="0"/>
    <n v="1"/>
    <n v="3"/>
    <n v="3"/>
    <n v="4"/>
    <n v="6"/>
    <n v="5"/>
    <n v="1"/>
    <x v="0"/>
    <x v="4"/>
    <n v="15"/>
    <n v="0"/>
    <n v="51330"/>
  </r>
  <r>
    <x v="1"/>
    <x v="6"/>
    <x v="1"/>
    <n v="85"/>
    <x v="10"/>
    <n v="19"/>
    <n v="8"/>
    <n v="14"/>
    <x v="2"/>
    <n v="9"/>
    <n v="3"/>
    <x v="4"/>
    <n v="4"/>
    <n v="9"/>
    <n v="2"/>
    <n v="20"/>
    <n v="2"/>
    <n v="8"/>
    <n v="3"/>
    <x v="3"/>
    <x v="4"/>
    <n v="8"/>
    <n v="2"/>
    <n v="151100"/>
  </r>
  <r>
    <x v="1"/>
    <x v="7"/>
    <x v="1"/>
    <n v="28"/>
    <x v="3"/>
    <n v="74"/>
    <n v="2"/>
    <n v="32"/>
    <x v="2"/>
    <n v="31"/>
    <n v="6"/>
    <x v="9"/>
    <n v="5"/>
    <n v="66"/>
    <n v="0"/>
    <n v="12"/>
    <n v="45"/>
    <n v="123"/>
    <n v="9"/>
    <x v="0"/>
    <x v="1"/>
    <n v="29"/>
    <n v="9"/>
    <n v="146060"/>
  </r>
  <r>
    <x v="1"/>
    <x v="8"/>
    <x v="1"/>
    <n v="71"/>
    <x v="10"/>
    <n v="44"/>
    <n v="5"/>
    <n v="14"/>
    <x v="1"/>
    <n v="4"/>
    <n v="7"/>
    <x v="8"/>
    <n v="4"/>
    <n v="3"/>
    <n v="1"/>
    <n v="9"/>
    <n v="12"/>
    <n v="3"/>
    <n v="13"/>
    <x v="0"/>
    <x v="12"/>
    <n v="19"/>
    <n v="0"/>
    <n v="122410"/>
  </r>
  <r>
    <x v="1"/>
    <x v="9"/>
    <x v="1"/>
    <n v="31"/>
    <x v="3"/>
    <n v="71"/>
    <n v="4"/>
    <n v="9"/>
    <x v="2"/>
    <n v="6"/>
    <n v="3"/>
    <x v="0"/>
    <n v="1"/>
    <n v="1"/>
    <n v="2"/>
    <n v="5"/>
    <n v="20"/>
    <n v="3"/>
    <n v="13"/>
    <x v="0"/>
    <x v="4"/>
    <n v="5"/>
    <n v="7"/>
    <n v="104920"/>
  </r>
  <r>
    <x v="1"/>
    <x v="10"/>
    <x v="1"/>
    <n v="39"/>
    <x v="7"/>
    <n v="7"/>
    <n v="1"/>
    <n v="16"/>
    <x v="1"/>
    <n v="1"/>
    <n v="4"/>
    <x v="3"/>
    <n v="2"/>
    <n v="4"/>
    <n v="4"/>
    <n v="6"/>
    <n v="10"/>
    <n v="3"/>
    <n v="5"/>
    <x v="3"/>
    <x v="1"/>
    <n v="5"/>
    <n v="1"/>
    <n v="99140"/>
  </r>
  <r>
    <x v="1"/>
    <x v="11"/>
    <x v="1"/>
    <n v="16"/>
    <x v="5"/>
    <n v="28"/>
    <n v="2"/>
    <n v="11"/>
    <x v="2"/>
    <n v="1"/>
    <n v="3"/>
    <x v="1"/>
    <n v="0"/>
    <n v="0"/>
    <n v="1"/>
    <n v="6"/>
    <n v="9"/>
    <n v="5"/>
    <n v="7"/>
    <x v="0"/>
    <x v="7"/>
    <n v="6"/>
    <n v="1"/>
    <n v="90410"/>
  </r>
  <r>
    <x v="1"/>
    <x v="12"/>
    <x v="1"/>
    <n v="51"/>
    <x v="3"/>
    <n v="94"/>
    <n v="3"/>
    <n v="17"/>
    <x v="2"/>
    <n v="8"/>
    <n v="7"/>
    <x v="4"/>
    <n v="4"/>
    <n v="7"/>
    <n v="3"/>
    <n v="13"/>
    <n v="15"/>
    <n v="9"/>
    <n v="7"/>
    <x v="0"/>
    <x v="1"/>
    <n v="12"/>
    <n v="4"/>
    <n v="155130"/>
  </r>
  <r>
    <x v="1"/>
    <x v="13"/>
    <x v="1"/>
    <n v="125"/>
    <x v="12"/>
    <n v="119"/>
    <n v="3"/>
    <n v="53"/>
    <x v="7"/>
    <n v="26"/>
    <n v="8"/>
    <x v="12"/>
    <n v="12"/>
    <n v="17"/>
    <n v="12"/>
    <n v="20"/>
    <n v="35"/>
    <n v="34"/>
    <n v="23"/>
    <x v="0"/>
    <x v="7"/>
    <n v="62"/>
    <n v="16"/>
    <n v="362610"/>
  </r>
  <r>
    <x v="1"/>
    <x v="14"/>
    <x v="1"/>
    <n v="210"/>
    <x v="13"/>
    <n v="652"/>
    <n v="42"/>
    <n v="88"/>
    <x v="7"/>
    <n v="198"/>
    <n v="34"/>
    <x v="13"/>
    <n v="14"/>
    <n v="45"/>
    <n v="39"/>
    <n v="51"/>
    <n v="281"/>
    <n v="41"/>
    <n v="173"/>
    <x v="4"/>
    <x v="13"/>
    <n v="92"/>
    <n v="47"/>
    <n v="586500"/>
  </r>
  <r>
    <x v="1"/>
    <x v="15"/>
    <x v="1"/>
    <n v="182"/>
    <x v="14"/>
    <n v="85"/>
    <n v="4"/>
    <n v="25"/>
    <x v="1"/>
    <n v="8"/>
    <n v="8"/>
    <x v="0"/>
    <n v="4"/>
    <n v="19"/>
    <n v="3"/>
    <n v="22"/>
    <n v="12"/>
    <n v="13"/>
    <n v="6"/>
    <x v="3"/>
    <x v="5"/>
    <n v="21"/>
    <n v="5"/>
    <n v="230730"/>
  </r>
  <r>
    <x v="1"/>
    <x v="16"/>
    <x v="1"/>
    <n v="35"/>
    <x v="5"/>
    <n v="53"/>
    <n v="1"/>
    <n v="14"/>
    <x v="0"/>
    <n v="34"/>
    <n v="2"/>
    <x v="0"/>
    <n v="1"/>
    <n v="2"/>
    <n v="6"/>
    <n v="1"/>
    <n v="22"/>
    <n v="8"/>
    <n v="25"/>
    <x v="0"/>
    <x v="4"/>
    <n v="6"/>
    <n v="8"/>
    <n v="81510"/>
  </r>
  <r>
    <x v="1"/>
    <x v="17"/>
    <x v="1"/>
    <n v="50"/>
    <x v="7"/>
    <n v="2"/>
    <n v="0"/>
    <n v="13"/>
    <x v="2"/>
    <n v="0"/>
    <n v="6"/>
    <x v="0"/>
    <n v="2"/>
    <n v="4"/>
    <n v="2"/>
    <n v="4"/>
    <n v="8"/>
    <n v="1"/>
    <n v="4"/>
    <x v="0"/>
    <x v="4"/>
    <n v="2"/>
    <n v="0"/>
    <n v="82360"/>
  </r>
  <r>
    <x v="1"/>
    <x v="18"/>
    <x v="1"/>
    <n v="55"/>
    <x v="7"/>
    <n v="4"/>
    <n v="0"/>
    <n v="11"/>
    <x v="1"/>
    <n v="2"/>
    <n v="2"/>
    <x v="3"/>
    <n v="1"/>
    <n v="4"/>
    <n v="0"/>
    <n v="10"/>
    <n v="2"/>
    <n v="5"/>
    <n v="5"/>
    <x v="0"/>
    <x v="1"/>
    <n v="8"/>
    <n v="2"/>
    <n v="93690"/>
  </r>
  <r>
    <x v="1"/>
    <x v="19"/>
    <x v="1"/>
    <n v="17"/>
    <x v="3"/>
    <n v="7"/>
    <n v="0"/>
    <n v="1"/>
    <x v="1"/>
    <n v="0"/>
    <n v="2"/>
    <x v="1"/>
    <n v="0"/>
    <n v="0"/>
    <n v="0"/>
    <n v="4"/>
    <n v="1"/>
    <n v="4"/>
    <n v="1"/>
    <x v="0"/>
    <x v="7"/>
    <n v="5"/>
    <n v="0"/>
    <n v="27600"/>
  </r>
  <r>
    <x v="1"/>
    <x v="20"/>
    <x v="1"/>
    <n v="39"/>
    <x v="3"/>
    <n v="124"/>
    <n v="8"/>
    <n v="23"/>
    <x v="1"/>
    <n v="17"/>
    <n v="3"/>
    <x v="14"/>
    <n v="0"/>
    <n v="7"/>
    <n v="4"/>
    <n v="14"/>
    <n v="30"/>
    <n v="5"/>
    <n v="24"/>
    <x v="0"/>
    <x v="5"/>
    <n v="9"/>
    <n v="1"/>
    <n v="137800"/>
  </r>
  <r>
    <x v="1"/>
    <x v="21"/>
    <x v="1"/>
    <n v="114"/>
    <x v="15"/>
    <n v="237"/>
    <n v="1"/>
    <n v="31"/>
    <x v="9"/>
    <n v="29"/>
    <n v="11"/>
    <x v="14"/>
    <n v="5"/>
    <n v="13"/>
    <n v="22"/>
    <n v="17"/>
    <n v="76"/>
    <n v="14"/>
    <n v="63"/>
    <x v="1"/>
    <x v="7"/>
    <n v="42"/>
    <n v="14"/>
    <n v="336280"/>
  </r>
  <r>
    <x v="1"/>
    <x v="22"/>
    <x v="1"/>
    <n v="8"/>
    <x v="2"/>
    <n v="0"/>
    <n v="0"/>
    <n v="1"/>
    <x v="2"/>
    <n v="0"/>
    <n v="0"/>
    <x v="1"/>
    <n v="0"/>
    <n v="0"/>
    <n v="0"/>
    <n v="0"/>
    <n v="0"/>
    <n v="1"/>
    <n v="0"/>
    <x v="0"/>
    <x v="4"/>
    <n v="2"/>
    <n v="0"/>
    <n v="21220"/>
  </r>
  <r>
    <x v="1"/>
    <x v="23"/>
    <x v="1"/>
    <n v="113"/>
    <x v="10"/>
    <n v="97"/>
    <n v="10"/>
    <n v="10"/>
    <x v="2"/>
    <n v="10"/>
    <n v="5"/>
    <x v="10"/>
    <n v="2"/>
    <n v="69"/>
    <n v="1"/>
    <n v="12"/>
    <n v="9"/>
    <n v="81"/>
    <n v="3"/>
    <x v="0"/>
    <x v="4"/>
    <n v="15"/>
    <n v="11"/>
    <n v="145600"/>
  </r>
  <r>
    <x v="1"/>
    <x v="24"/>
    <x v="1"/>
    <n v="72"/>
    <x v="14"/>
    <n v="141"/>
    <n v="8"/>
    <n v="21"/>
    <x v="9"/>
    <n v="22"/>
    <n v="10"/>
    <x v="15"/>
    <n v="4"/>
    <n v="7"/>
    <n v="7"/>
    <n v="13"/>
    <n v="54"/>
    <n v="12"/>
    <n v="38"/>
    <x v="3"/>
    <x v="10"/>
    <n v="24"/>
    <n v="9"/>
    <n v="173700"/>
  </r>
  <r>
    <x v="1"/>
    <x v="25"/>
    <x v="1"/>
    <n v="85"/>
    <x v="5"/>
    <n v="10"/>
    <n v="1"/>
    <n v="10"/>
    <x v="1"/>
    <n v="1"/>
    <n v="16"/>
    <x v="4"/>
    <n v="2"/>
    <n v="6"/>
    <n v="3"/>
    <n v="6"/>
    <n v="8"/>
    <n v="3"/>
    <n v="3"/>
    <x v="0"/>
    <x v="14"/>
    <n v="7"/>
    <n v="6"/>
    <n v="113700"/>
  </r>
  <r>
    <x v="1"/>
    <x v="26"/>
    <x v="1"/>
    <n v="13"/>
    <x v="3"/>
    <n v="4"/>
    <n v="2"/>
    <n v="0"/>
    <x v="2"/>
    <n v="0"/>
    <n v="0"/>
    <x v="1"/>
    <n v="0"/>
    <n v="1"/>
    <n v="0"/>
    <n v="0"/>
    <n v="4"/>
    <n v="0"/>
    <n v="1"/>
    <x v="0"/>
    <x v="1"/>
    <n v="2"/>
    <n v="0"/>
    <n v="23060"/>
  </r>
  <r>
    <x v="1"/>
    <x v="27"/>
    <x v="1"/>
    <n v="61"/>
    <x v="10"/>
    <n v="63"/>
    <n v="9"/>
    <n v="9"/>
    <x v="7"/>
    <n v="11"/>
    <n v="3"/>
    <x v="0"/>
    <n v="2"/>
    <n v="4"/>
    <n v="2"/>
    <n v="9"/>
    <n v="15"/>
    <n v="8"/>
    <n v="28"/>
    <x v="0"/>
    <x v="15"/>
    <n v="16"/>
    <n v="3"/>
    <n v="112600"/>
  </r>
  <r>
    <x v="1"/>
    <x v="28"/>
    <x v="1"/>
    <n v="162"/>
    <x v="12"/>
    <n v="191"/>
    <n v="2"/>
    <n v="28"/>
    <x v="0"/>
    <n v="18"/>
    <n v="5"/>
    <x v="9"/>
    <n v="6"/>
    <n v="20"/>
    <n v="13"/>
    <n v="19"/>
    <n v="43"/>
    <n v="21"/>
    <n v="71"/>
    <x v="1"/>
    <x v="7"/>
    <n v="31"/>
    <n v="12"/>
    <n v="313180"/>
  </r>
  <r>
    <x v="1"/>
    <x v="29"/>
    <x v="1"/>
    <n v="67"/>
    <x v="2"/>
    <n v="57"/>
    <n v="5"/>
    <n v="15"/>
    <x v="1"/>
    <n v="5"/>
    <n v="9"/>
    <x v="10"/>
    <n v="3"/>
    <n v="8"/>
    <n v="2"/>
    <n v="4"/>
    <n v="8"/>
    <n v="5"/>
    <n v="1"/>
    <x v="0"/>
    <x v="7"/>
    <n v="9"/>
    <n v="2"/>
    <n v="89550"/>
  </r>
  <r>
    <x v="1"/>
    <x v="30"/>
    <x v="1"/>
    <n v="40"/>
    <x v="2"/>
    <n v="61"/>
    <n v="4"/>
    <n v="16"/>
    <x v="4"/>
    <n v="52"/>
    <n v="3"/>
    <x v="10"/>
    <n v="0"/>
    <n v="3"/>
    <n v="5"/>
    <n v="6"/>
    <n v="13"/>
    <n v="2"/>
    <n v="24"/>
    <x v="0"/>
    <x v="2"/>
    <n v="9"/>
    <n v="4"/>
    <n v="90800"/>
  </r>
  <r>
    <x v="1"/>
    <x v="31"/>
    <x v="1"/>
    <n v="71"/>
    <x v="2"/>
    <n v="8"/>
    <n v="2"/>
    <n v="31"/>
    <x v="2"/>
    <n v="2"/>
    <n v="8"/>
    <x v="1"/>
    <n v="9"/>
    <n v="12"/>
    <n v="2"/>
    <n v="7"/>
    <n v="16"/>
    <n v="11"/>
    <n v="19"/>
    <x v="0"/>
    <x v="2"/>
    <n v="7"/>
    <n v="9"/>
    <n v="174090"/>
  </r>
  <r>
    <x v="1"/>
    <x v="32"/>
    <x v="1"/>
    <n v="0"/>
    <x v="7"/>
    <n v="0"/>
    <n v="0"/>
    <n v="0"/>
    <x v="2"/>
    <n v="0"/>
    <n v="0"/>
    <x v="1"/>
    <n v="0"/>
    <n v="1"/>
    <n v="0"/>
    <n v="0"/>
    <n v="0"/>
    <n v="0"/>
    <n v="0"/>
    <x v="0"/>
    <x v="4"/>
    <n v="0"/>
    <n v="0"/>
    <m/>
  </r>
  <r>
    <x v="2"/>
    <x v="0"/>
    <x v="1"/>
    <n v="76"/>
    <x v="10"/>
    <n v="17"/>
    <n v="1"/>
    <n v="30"/>
    <x v="2"/>
    <n v="132"/>
    <n v="10"/>
    <x v="3"/>
    <n v="6"/>
    <n v="13"/>
    <n v="3"/>
    <n v="8"/>
    <n v="27"/>
    <n v="21"/>
    <n v="39"/>
    <x v="0"/>
    <x v="16"/>
    <n v="16"/>
    <n v="69"/>
    <n v="222460"/>
  </r>
  <r>
    <x v="2"/>
    <x v="1"/>
    <x v="1"/>
    <n v="176"/>
    <x v="2"/>
    <n v="10"/>
    <n v="1"/>
    <n v="16"/>
    <x v="2"/>
    <n v="2"/>
    <n v="68"/>
    <x v="1"/>
    <n v="7"/>
    <n v="6"/>
    <n v="1"/>
    <n v="6"/>
    <n v="11"/>
    <n v="11"/>
    <n v="12"/>
    <x v="0"/>
    <x v="2"/>
    <n v="7"/>
    <n v="12"/>
    <n v="253650"/>
  </r>
  <r>
    <x v="2"/>
    <x v="2"/>
    <x v="1"/>
    <n v="53"/>
    <x v="5"/>
    <n v="29"/>
    <n v="4"/>
    <n v="11"/>
    <x v="2"/>
    <n v="8"/>
    <n v="0"/>
    <x v="3"/>
    <n v="0"/>
    <n v="8"/>
    <n v="0"/>
    <n v="4"/>
    <n v="6"/>
    <n v="24"/>
    <n v="5"/>
    <x v="0"/>
    <x v="4"/>
    <n v="4"/>
    <n v="2"/>
    <n v="116200"/>
  </r>
  <r>
    <x v="2"/>
    <x v="3"/>
    <x v="1"/>
    <n v="82"/>
    <x v="6"/>
    <n v="34"/>
    <n v="5"/>
    <n v="9"/>
    <x v="2"/>
    <n v="7"/>
    <n v="8"/>
    <x v="1"/>
    <n v="4"/>
    <n v="5"/>
    <n v="3"/>
    <n v="4"/>
    <n v="10"/>
    <n v="21"/>
    <n v="22"/>
    <x v="0"/>
    <x v="17"/>
    <n v="36"/>
    <n v="6"/>
    <n v="88930"/>
  </r>
  <r>
    <x v="2"/>
    <x v="4"/>
    <x v="1"/>
    <n v="126"/>
    <x v="16"/>
    <n v="32"/>
    <n v="7"/>
    <n v="76"/>
    <x v="5"/>
    <n v="62"/>
    <n v="23"/>
    <x v="16"/>
    <n v="22"/>
    <n v="40"/>
    <n v="9"/>
    <n v="21"/>
    <n v="88"/>
    <n v="40"/>
    <n v="40"/>
    <x v="3"/>
    <x v="18"/>
    <n v="27"/>
    <n v="20"/>
    <n v="477940"/>
  </r>
  <r>
    <x v="2"/>
    <x v="5"/>
    <x v="1"/>
    <n v="19"/>
    <x v="7"/>
    <n v="7"/>
    <n v="1"/>
    <n v="9"/>
    <x v="2"/>
    <n v="1"/>
    <n v="6"/>
    <x v="1"/>
    <n v="0"/>
    <n v="1"/>
    <n v="4"/>
    <n v="7"/>
    <n v="2"/>
    <n v="6"/>
    <n v="0"/>
    <x v="0"/>
    <x v="1"/>
    <n v="18"/>
    <n v="1"/>
    <n v="51500"/>
  </r>
  <r>
    <x v="2"/>
    <x v="6"/>
    <x v="1"/>
    <n v="81"/>
    <x v="7"/>
    <n v="9"/>
    <n v="8"/>
    <n v="13"/>
    <x v="2"/>
    <n v="13"/>
    <n v="0"/>
    <x v="4"/>
    <n v="6"/>
    <n v="5"/>
    <n v="2"/>
    <n v="13"/>
    <n v="1"/>
    <n v="5"/>
    <n v="1"/>
    <x v="3"/>
    <x v="1"/>
    <n v="12"/>
    <n v="4"/>
    <n v="151410"/>
  </r>
  <r>
    <x v="2"/>
    <x v="7"/>
    <x v="1"/>
    <n v="32"/>
    <x v="5"/>
    <n v="34"/>
    <n v="1"/>
    <n v="28"/>
    <x v="4"/>
    <n v="47"/>
    <n v="6"/>
    <x v="14"/>
    <n v="3"/>
    <n v="33"/>
    <n v="4"/>
    <n v="9"/>
    <n v="43"/>
    <n v="95"/>
    <n v="7"/>
    <x v="0"/>
    <x v="4"/>
    <n v="24"/>
    <n v="8"/>
    <n v="147200"/>
  </r>
  <r>
    <x v="2"/>
    <x v="8"/>
    <x v="1"/>
    <n v="63"/>
    <x v="7"/>
    <n v="27"/>
    <n v="8"/>
    <n v="12"/>
    <x v="4"/>
    <n v="1"/>
    <n v="5"/>
    <x v="8"/>
    <n v="2"/>
    <n v="4"/>
    <n v="3"/>
    <n v="8"/>
    <n v="12"/>
    <n v="12"/>
    <n v="27"/>
    <x v="3"/>
    <x v="6"/>
    <n v="17"/>
    <n v="0"/>
    <n v="122690"/>
  </r>
  <r>
    <x v="2"/>
    <x v="9"/>
    <x v="1"/>
    <n v="30"/>
    <x v="2"/>
    <n v="13"/>
    <n v="1"/>
    <n v="8"/>
    <x v="4"/>
    <n v="1"/>
    <n v="1"/>
    <x v="3"/>
    <n v="2"/>
    <n v="1"/>
    <n v="1"/>
    <n v="6"/>
    <n v="13"/>
    <n v="4"/>
    <n v="25"/>
    <x v="0"/>
    <x v="1"/>
    <n v="11"/>
    <n v="4"/>
    <n v="105000"/>
  </r>
  <r>
    <x v="2"/>
    <x v="10"/>
    <x v="1"/>
    <n v="41"/>
    <x v="2"/>
    <n v="8"/>
    <n v="3"/>
    <n v="13"/>
    <x v="2"/>
    <n v="4"/>
    <n v="10"/>
    <x v="10"/>
    <n v="3"/>
    <n v="5"/>
    <n v="1"/>
    <n v="3"/>
    <n v="5"/>
    <n v="5"/>
    <n v="4"/>
    <x v="0"/>
    <x v="4"/>
    <n v="4"/>
    <n v="3"/>
    <n v="99920"/>
  </r>
  <r>
    <x v="2"/>
    <x v="11"/>
    <x v="1"/>
    <n v="25"/>
    <x v="5"/>
    <n v="15"/>
    <n v="1"/>
    <n v="5"/>
    <x v="4"/>
    <n v="3"/>
    <n v="3"/>
    <x v="1"/>
    <n v="2"/>
    <n v="3"/>
    <n v="3"/>
    <n v="4"/>
    <n v="17"/>
    <n v="16"/>
    <n v="7"/>
    <x v="0"/>
    <x v="2"/>
    <n v="7"/>
    <n v="8"/>
    <n v="90810"/>
  </r>
  <r>
    <x v="2"/>
    <x v="12"/>
    <x v="1"/>
    <n v="46"/>
    <x v="3"/>
    <n v="30"/>
    <n v="6"/>
    <n v="28"/>
    <x v="1"/>
    <n v="1"/>
    <n v="6"/>
    <x v="4"/>
    <n v="3"/>
    <n v="6"/>
    <n v="5"/>
    <n v="18"/>
    <n v="24"/>
    <n v="16"/>
    <n v="9"/>
    <x v="0"/>
    <x v="7"/>
    <n v="12"/>
    <n v="2"/>
    <n v="156250"/>
  </r>
  <r>
    <x v="2"/>
    <x v="13"/>
    <x v="1"/>
    <n v="109"/>
    <x v="17"/>
    <n v="52"/>
    <n v="2"/>
    <n v="45"/>
    <x v="0"/>
    <n v="12"/>
    <n v="10"/>
    <x v="9"/>
    <n v="10"/>
    <n v="16"/>
    <n v="7"/>
    <n v="17"/>
    <n v="27"/>
    <n v="77"/>
    <n v="44"/>
    <x v="0"/>
    <x v="17"/>
    <n v="42"/>
    <n v="30"/>
    <n v="365300"/>
  </r>
  <r>
    <x v="2"/>
    <x v="14"/>
    <x v="1"/>
    <n v="177"/>
    <x v="17"/>
    <n v="248"/>
    <n v="34"/>
    <n v="96"/>
    <x v="10"/>
    <n v="176"/>
    <n v="34"/>
    <x v="17"/>
    <n v="10"/>
    <n v="27"/>
    <n v="37"/>
    <n v="39"/>
    <n v="269"/>
    <n v="168"/>
    <n v="234"/>
    <x v="3"/>
    <x v="19"/>
    <n v="82"/>
    <n v="46"/>
    <n v="593060"/>
  </r>
  <r>
    <x v="2"/>
    <x v="15"/>
    <x v="1"/>
    <n v="209"/>
    <x v="16"/>
    <n v="132"/>
    <n v="3"/>
    <n v="31"/>
    <x v="4"/>
    <n v="8"/>
    <n v="6"/>
    <x v="0"/>
    <n v="11"/>
    <n v="20"/>
    <n v="1"/>
    <n v="25"/>
    <n v="23"/>
    <n v="33"/>
    <n v="9"/>
    <x v="2"/>
    <x v="1"/>
    <n v="33"/>
    <n v="7"/>
    <n v="232730"/>
  </r>
  <r>
    <x v="2"/>
    <x v="16"/>
    <x v="1"/>
    <n v="29"/>
    <x v="2"/>
    <n v="59"/>
    <n v="5"/>
    <n v="7"/>
    <x v="1"/>
    <n v="36"/>
    <n v="4"/>
    <x v="8"/>
    <n v="2"/>
    <n v="4"/>
    <n v="3"/>
    <n v="7"/>
    <n v="30"/>
    <n v="19"/>
    <n v="21"/>
    <x v="0"/>
    <x v="7"/>
    <n v="10"/>
    <n v="7"/>
    <n v="81220"/>
  </r>
  <r>
    <x v="2"/>
    <x v="17"/>
    <x v="1"/>
    <n v="41"/>
    <x v="7"/>
    <n v="0"/>
    <n v="0"/>
    <n v="10"/>
    <x v="2"/>
    <n v="2"/>
    <n v="4"/>
    <x v="0"/>
    <n v="1"/>
    <n v="3"/>
    <n v="2"/>
    <n v="1"/>
    <n v="7"/>
    <n v="5"/>
    <n v="8"/>
    <x v="0"/>
    <x v="4"/>
    <n v="5"/>
    <n v="1"/>
    <n v="83450"/>
  </r>
  <r>
    <x v="2"/>
    <x v="18"/>
    <x v="1"/>
    <n v="47"/>
    <x v="2"/>
    <n v="5"/>
    <n v="0"/>
    <n v="20"/>
    <x v="2"/>
    <n v="7"/>
    <n v="4"/>
    <x v="0"/>
    <n v="2"/>
    <n v="3"/>
    <n v="3"/>
    <n v="6"/>
    <n v="2"/>
    <n v="8"/>
    <n v="1"/>
    <x v="0"/>
    <x v="4"/>
    <n v="4"/>
    <n v="3"/>
    <n v="93470"/>
  </r>
  <r>
    <x v="2"/>
    <x v="19"/>
    <x v="1"/>
    <n v="14"/>
    <x v="5"/>
    <n v="5"/>
    <n v="0"/>
    <n v="2"/>
    <x v="2"/>
    <n v="2"/>
    <n v="0"/>
    <x v="3"/>
    <n v="1"/>
    <n v="1"/>
    <n v="0"/>
    <n v="7"/>
    <n v="1"/>
    <n v="3"/>
    <n v="0"/>
    <x v="0"/>
    <x v="2"/>
    <n v="5"/>
    <n v="0"/>
    <n v="27690"/>
  </r>
  <r>
    <x v="2"/>
    <x v="20"/>
    <x v="1"/>
    <n v="56"/>
    <x v="1"/>
    <n v="39"/>
    <n v="4"/>
    <n v="22"/>
    <x v="4"/>
    <n v="8"/>
    <n v="7"/>
    <x v="8"/>
    <n v="2"/>
    <n v="0"/>
    <n v="0"/>
    <n v="8"/>
    <n v="21"/>
    <n v="22"/>
    <n v="23"/>
    <x v="0"/>
    <x v="7"/>
    <n v="16"/>
    <n v="5"/>
    <n v="138090"/>
  </r>
  <r>
    <x v="2"/>
    <x v="21"/>
    <x v="1"/>
    <n v="113"/>
    <x v="5"/>
    <n v="47"/>
    <n v="3"/>
    <n v="36"/>
    <x v="10"/>
    <n v="20"/>
    <n v="5"/>
    <x v="7"/>
    <n v="5"/>
    <n v="18"/>
    <n v="22"/>
    <n v="14"/>
    <n v="69"/>
    <n v="63"/>
    <n v="84"/>
    <x v="3"/>
    <x v="2"/>
    <n v="54"/>
    <n v="17"/>
    <n v="337720"/>
  </r>
  <r>
    <x v="2"/>
    <x v="22"/>
    <x v="1"/>
    <n v="5"/>
    <x v="5"/>
    <n v="5"/>
    <n v="0"/>
    <n v="2"/>
    <x v="2"/>
    <n v="0"/>
    <n v="0"/>
    <x v="1"/>
    <n v="0"/>
    <n v="0"/>
    <n v="0"/>
    <n v="1"/>
    <n v="0"/>
    <n v="3"/>
    <n v="4"/>
    <x v="0"/>
    <x v="4"/>
    <n v="3"/>
    <n v="1"/>
    <n v="21420"/>
  </r>
  <r>
    <x v="2"/>
    <x v="23"/>
    <x v="1"/>
    <n v="77"/>
    <x v="1"/>
    <n v="42"/>
    <n v="18"/>
    <n v="10"/>
    <x v="0"/>
    <n v="9"/>
    <n v="9"/>
    <x v="4"/>
    <n v="4"/>
    <n v="17"/>
    <n v="3"/>
    <n v="17"/>
    <n v="12"/>
    <n v="81"/>
    <n v="11"/>
    <x v="0"/>
    <x v="1"/>
    <n v="12"/>
    <n v="5"/>
    <n v="146850"/>
  </r>
  <r>
    <x v="2"/>
    <x v="24"/>
    <x v="1"/>
    <n v="71"/>
    <x v="18"/>
    <n v="49"/>
    <n v="10"/>
    <n v="22"/>
    <x v="11"/>
    <n v="26"/>
    <n v="8"/>
    <x v="2"/>
    <n v="5"/>
    <n v="9"/>
    <n v="10"/>
    <n v="10"/>
    <n v="53"/>
    <n v="30"/>
    <n v="58"/>
    <x v="0"/>
    <x v="20"/>
    <n v="27"/>
    <n v="12"/>
    <n v="174700"/>
  </r>
  <r>
    <x v="2"/>
    <x v="25"/>
    <x v="1"/>
    <n v="77"/>
    <x v="3"/>
    <n v="1"/>
    <n v="1"/>
    <n v="18"/>
    <x v="1"/>
    <n v="3"/>
    <n v="5"/>
    <x v="8"/>
    <n v="11"/>
    <n v="4"/>
    <n v="5"/>
    <n v="9"/>
    <n v="2"/>
    <n v="2"/>
    <n v="4"/>
    <x v="3"/>
    <x v="1"/>
    <n v="12"/>
    <n v="4"/>
    <n v="113880"/>
  </r>
  <r>
    <x v="2"/>
    <x v="26"/>
    <x v="1"/>
    <n v="11"/>
    <x v="5"/>
    <n v="7"/>
    <n v="0"/>
    <n v="1"/>
    <x v="2"/>
    <n v="0"/>
    <n v="0"/>
    <x v="1"/>
    <n v="0"/>
    <n v="0"/>
    <n v="0"/>
    <n v="1"/>
    <n v="0"/>
    <n v="11"/>
    <n v="0"/>
    <x v="0"/>
    <x v="5"/>
    <n v="0"/>
    <n v="0"/>
    <n v="23240"/>
  </r>
  <r>
    <x v="2"/>
    <x v="27"/>
    <x v="1"/>
    <n v="48"/>
    <x v="3"/>
    <n v="33"/>
    <n v="8"/>
    <n v="15"/>
    <x v="0"/>
    <n v="16"/>
    <n v="7"/>
    <x v="8"/>
    <n v="4"/>
    <n v="4"/>
    <n v="3"/>
    <n v="7"/>
    <n v="26"/>
    <n v="23"/>
    <n v="26"/>
    <x v="0"/>
    <x v="9"/>
    <n v="8"/>
    <n v="7"/>
    <n v="112980"/>
  </r>
  <r>
    <x v="2"/>
    <x v="28"/>
    <x v="1"/>
    <n v="135"/>
    <x v="1"/>
    <n v="57"/>
    <n v="7"/>
    <n v="38"/>
    <x v="8"/>
    <n v="15"/>
    <n v="11"/>
    <x v="8"/>
    <n v="4"/>
    <n v="12"/>
    <n v="14"/>
    <n v="18"/>
    <n v="40"/>
    <n v="63"/>
    <n v="80"/>
    <x v="0"/>
    <x v="2"/>
    <n v="34"/>
    <n v="16"/>
    <n v="313900"/>
  </r>
  <r>
    <x v="2"/>
    <x v="29"/>
    <x v="1"/>
    <n v="51"/>
    <x v="2"/>
    <n v="36"/>
    <n v="7"/>
    <n v="17"/>
    <x v="2"/>
    <n v="6"/>
    <n v="6"/>
    <x v="0"/>
    <n v="3"/>
    <n v="7"/>
    <n v="0"/>
    <n v="8"/>
    <n v="3"/>
    <n v="11"/>
    <n v="2"/>
    <x v="3"/>
    <x v="1"/>
    <n v="11"/>
    <n v="2"/>
    <n v="90330"/>
  </r>
  <r>
    <x v="2"/>
    <x v="30"/>
    <x v="1"/>
    <n v="34"/>
    <x v="3"/>
    <n v="48"/>
    <n v="12"/>
    <n v="20"/>
    <x v="1"/>
    <n v="46"/>
    <n v="7"/>
    <x v="10"/>
    <n v="1"/>
    <n v="5"/>
    <n v="2"/>
    <n v="8"/>
    <n v="24"/>
    <n v="17"/>
    <n v="34"/>
    <x v="0"/>
    <x v="1"/>
    <n v="5"/>
    <n v="8"/>
    <n v="90610"/>
  </r>
  <r>
    <x v="2"/>
    <x v="31"/>
    <x v="1"/>
    <n v="69"/>
    <x v="3"/>
    <n v="6"/>
    <n v="0"/>
    <n v="18"/>
    <x v="2"/>
    <n v="4"/>
    <n v="10"/>
    <x v="8"/>
    <n v="4"/>
    <n v="7"/>
    <n v="3"/>
    <n v="7"/>
    <n v="14"/>
    <n v="10"/>
    <n v="13"/>
    <x v="0"/>
    <x v="4"/>
    <n v="8"/>
    <n v="7"/>
    <n v="175300"/>
  </r>
  <r>
    <x v="3"/>
    <x v="0"/>
    <x v="1"/>
    <n v="75"/>
    <x v="3"/>
    <n v="48"/>
    <n v="1"/>
    <n v="31"/>
    <x v="2"/>
    <n v="157"/>
    <n v="10"/>
    <x v="1"/>
    <n v="16"/>
    <n v="16"/>
    <n v="6"/>
    <n v="12"/>
    <n v="27"/>
    <n v="11"/>
    <n v="31"/>
    <x v="0"/>
    <x v="6"/>
    <n v="18"/>
    <n v="64"/>
    <n v="224910"/>
  </r>
  <r>
    <x v="3"/>
    <x v="1"/>
    <x v="1"/>
    <n v="172"/>
    <x v="5"/>
    <n v="29"/>
    <n v="10"/>
    <n v="18"/>
    <x v="1"/>
    <n v="5"/>
    <n v="50"/>
    <x v="1"/>
    <n v="5"/>
    <n v="11"/>
    <n v="1"/>
    <n v="12"/>
    <n v="10"/>
    <n v="5"/>
    <n v="22"/>
    <x v="0"/>
    <x v="4"/>
    <n v="10"/>
    <n v="5"/>
    <n v="255560"/>
  </r>
  <r>
    <x v="3"/>
    <x v="2"/>
    <x v="1"/>
    <n v="56"/>
    <x v="3"/>
    <n v="63"/>
    <n v="8"/>
    <n v="8"/>
    <x v="2"/>
    <n v="8"/>
    <n v="4"/>
    <x v="1"/>
    <n v="0"/>
    <n v="11"/>
    <n v="5"/>
    <n v="10"/>
    <n v="14"/>
    <n v="8"/>
    <n v="4"/>
    <x v="0"/>
    <x v="4"/>
    <n v="6"/>
    <n v="2"/>
    <n v="116220"/>
  </r>
  <r>
    <x v="3"/>
    <x v="3"/>
    <x v="1"/>
    <n v="63"/>
    <x v="3"/>
    <n v="39"/>
    <n v="6"/>
    <n v="4"/>
    <x v="1"/>
    <n v="6"/>
    <n v="2"/>
    <x v="1"/>
    <n v="0"/>
    <n v="8"/>
    <n v="0"/>
    <n v="5"/>
    <n v="7"/>
    <n v="4"/>
    <n v="8"/>
    <x v="0"/>
    <x v="21"/>
    <n v="24"/>
    <n v="4"/>
    <n v="86910"/>
  </r>
  <r>
    <x v="3"/>
    <x v="4"/>
    <x v="1"/>
    <n v="115"/>
    <x v="12"/>
    <n v="47"/>
    <n v="11"/>
    <n v="64"/>
    <x v="7"/>
    <n v="51"/>
    <n v="17"/>
    <x v="18"/>
    <n v="28"/>
    <n v="45"/>
    <n v="30"/>
    <n v="16"/>
    <n v="78"/>
    <n v="11"/>
    <n v="56"/>
    <x v="0"/>
    <x v="9"/>
    <n v="27"/>
    <n v="11"/>
    <n v="482630"/>
  </r>
  <r>
    <x v="3"/>
    <x v="5"/>
    <x v="1"/>
    <n v="20"/>
    <x v="2"/>
    <n v="16"/>
    <n v="0"/>
    <n v="6"/>
    <x v="0"/>
    <n v="1"/>
    <n v="3"/>
    <x v="4"/>
    <n v="5"/>
    <n v="1"/>
    <n v="7"/>
    <n v="8"/>
    <n v="2"/>
    <n v="1"/>
    <n v="0"/>
    <x v="0"/>
    <x v="4"/>
    <n v="27"/>
    <n v="0"/>
    <n v="51280"/>
  </r>
  <r>
    <x v="3"/>
    <x v="6"/>
    <x v="1"/>
    <n v="84"/>
    <x v="3"/>
    <n v="23"/>
    <n v="10"/>
    <n v="12"/>
    <x v="1"/>
    <n v="16"/>
    <n v="0"/>
    <x v="14"/>
    <n v="11"/>
    <n v="3"/>
    <n v="3"/>
    <n v="15"/>
    <n v="3"/>
    <n v="3"/>
    <n v="8"/>
    <x v="0"/>
    <x v="4"/>
    <n v="18"/>
    <n v="1"/>
    <n v="150840"/>
  </r>
  <r>
    <x v="3"/>
    <x v="7"/>
    <x v="1"/>
    <n v="47"/>
    <x v="10"/>
    <n v="38"/>
    <n v="1"/>
    <n v="17"/>
    <x v="4"/>
    <n v="31"/>
    <n v="15"/>
    <x v="1"/>
    <n v="5"/>
    <n v="26"/>
    <n v="11"/>
    <n v="16"/>
    <n v="32"/>
    <n v="56"/>
    <n v="11"/>
    <x v="0"/>
    <x v="7"/>
    <n v="17"/>
    <n v="3"/>
    <n v="147780"/>
  </r>
  <r>
    <x v="3"/>
    <x v="8"/>
    <x v="1"/>
    <n v="65"/>
    <x v="15"/>
    <n v="35"/>
    <n v="6"/>
    <n v="15"/>
    <x v="2"/>
    <n v="1"/>
    <n v="8"/>
    <x v="8"/>
    <n v="2"/>
    <n v="6"/>
    <n v="4"/>
    <n v="5"/>
    <n v="16"/>
    <n v="5"/>
    <n v="15"/>
    <x v="0"/>
    <x v="22"/>
    <n v="7"/>
    <n v="4"/>
    <n v="122730"/>
  </r>
  <r>
    <x v="3"/>
    <x v="9"/>
    <x v="1"/>
    <n v="23"/>
    <x v="3"/>
    <n v="19"/>
    <n v="0"/>
    <n v="7"/>
    <x v="0"/>
    <n v="0"/>
    <n v="3"/>
    <x v="8"/>
    <n v="3"/>
    <n v="4"/>
    <n v="5"/>
    <n v="4"/>
    <n v="13"/>
    <n v="2"/>
    <n v="24"/>
    <x v="0"/>
    <x v="4"/>
    <n v="4"/>
    <n v="2"/>
    <n v="105880"/>
  </r>
  <r>
    <x v="3"/>
    <x v="10"/>
    <x v="1"/>
    <n v="29"/>
    <x v="2"/>
    <n v="22"/>
    <n v="3"/>
    <n v="9"/>
    <x v="0"/>
    <n v="0"/>
    <n v="4"/>
    <x v="3"/>
    <n v="3"/>
    <n v="3"/>
    <n v="1"/>
    <n v="3"/>
    <n v="8"/>
    <n v="3"/>
    <n v="2"/>
    <x v="0"/>
    <x v="4"/>
    <n v="5"/>
    <n v="1"/>
    <n v="100860"/>
  </r>
  <r>
    <x v="3"/>
    <x v="11"/>
    <x v="1"/>
    <n v="25"/>
    <x v="7"/>
    <n v="10"/>
    <n v="4"/>
    <n v="8"/>
    <x v="1"/>
    <n v="5"/>
    <n v="1"/>
    <x v="1"/>
    <n v="1"/>
    <n v="1"/>
    <n v="1"/>
    <n v="2"/>
    <n v="10"/>
    <n v="0"/>
    <n v="10"/>
    <x v="0"/>
    <x v="4"/>
    <n v="5"/>
    <n v="1"/>
    <n v="91040"/>
  </r>
  <r>
    <x v="3"/>
    <x v="12"/>
    <x v="1"/>
    <n v="66"/>
    <x v="2"/>
    <n v="22"/>
    <n v="0"/>
    <n v="21"/>
    <x v="1"/>
    <n v="10"/>
    <n v="6"/>
    <x v="4"/>
    <n v="3"/>
    <n v="4"/>
    <n v="7"/>
    <n v="12"/>
    <n v="26"/>
    <n v="1"/>
    <n v="7"/>
    <x v="0"/>
    <x v="4"/>
    <n v="10"/>
    <n v="4"/>
    <n v="156800"/>
  </r>
  <r>
    <x v="3"/>
    <x v="13"/>
    <x v="1"/>
    <n v="107"/>
    <x v="9"/>
    <n v="123"/>
    <n v="11"/>
    <n v="36"/>
    <x v="1"/>
    <n v="13"/>
    <n v="11"/>
    <x v="5"/>
    <n v="19"/>
    <n v="19"/>
    <n v="14"/>
    <n v="21"/>
    <n v="30"/>
    <n v="14"/>
    <n v="36"/>
    <x v="3"/>
    <x v="7"/>
    <n v="22"/>
    <n v="16"/>
    <n v="366210"/>
  </r>
  <r>
    <x v="3"/>
    <x v="14"/>
    <x v="1"/>
    <n v="174"/>
    <x v="15"/>
    <n v="271"/>
    <n v="38"/>
    <n v="78"/>
    <x v="3"/>
    <n v="163"/>
    <n v="18"/>
    <x v="19"/>
    <n v="12"/>
    <n v="19"/>
    <n v="38"/>
    <n v="28"/>
    <n v="245"/>
    <n v="26"/>
    <n v="204"/>
    <x v="3"/>
    <x v="18"/>
    <n v="59"/>
    <n v="24"/>
    <n v="595070"/>
  </r>
  <r>
    <x v="3"/>
    <x v="15"/>
    <x v="1"/>
    <n v="213"/>
    <x v="11"/>
    <n v="63"/>
    <n v="1"/>
    <n v="23"/>
    <x v="2"/>
    <n v="18"/>
    <n v="10"/>
    <x v="14"/>
    <n v="8"/>
    <n v="15"/>
    <n v="1"/>
    <n v="29"/>
    <n v="26"/>
    <n v="11"/>
    <n v="9"/>
    <x v="0"/>
    <x v="5"/>
    <n v="26"/>
    <n v="13"/>
    <n v="232890"/>
  </r>
  <r>
    <x v="3"/>
    <x v="16"/>
    <x v="1"/>
    <n v="21"/>
    <x v="5"/>
    <n v="38"/>
    <n v="0"/>
    <n v="15"/>
    <x v="7"/>
    <n v="15"/>
    <n v="3"/>
    <x v="1"/>
    <n v="0"/>
    <n v="4"/>
    <n v="1"/>
    <n v="1"/>
    <n v="23"/>
    <n v="6"/>
    <n v="17"/>
    <x v="0"/>
    <x v="1"/>
    <n v="10"/>
    <n v="1"/>
    <n v="80690"/>
  </r>
  <r>
    <x v="3"/>
    <x v="17"/>
    <x v="1"/>
    <n v="41"/>
    <x v="7"/>
    <n v="6"/>
    <n v="4"/>
    <n v="11"/>
    <x v="1"/>
    <n v="0"/>
    <n v="1"/>
    <x v="8"/>
    <n v="3"/>
    <n v="6"/>
    <n v="5"/>
    <n v="3"/>
    <n v="7"/>
    <n v="3"/>
    <n v="6"/>
    <x v="0"/>
    <x v="4"/>
    <n v="1"/>
    <n v="3"/>
    <n v="84240"/>
  </r>
  <r>
    <x v="3"/>
    <x v="18"/>
    <x v="1"/>
    <n v="60"/>
    <x v="2"/>
    <n v="4"/>
    <n v="2"/>
    <n v="11"/>
    <x v="2"/>
    <n v="1"/>
    <n v="2"/>
    <x v="1"/>
    <n v="3"/>
    <n v="0"/>
    <n v="1"/>
    <n v="7"/>
    <n v="4"/>
    <n v="3"/>
    <n v="4"/>
    <x v="0"/>
    <x v="1"/>
    <n v="7"/>
    <n v="1"/>
    <n v="92930"/>
  </r>
  <r>
    <x v="3"/>
    <x v="19"/>
    <x v="1"/>
    <n v="18"/>
    <x v="7"/>
    <n v="2"/>
    <n v="0"/>
    <n v="2"/>
    <x v="2"/>
    <n v="0"/>
    <n v="0"/>
    <x v="1"/>
    <n v="4"/>
    <n v="1"/>
    <n v="0"/>
    <n v="6"/>
    <n v="0"/>
    <n v="5"/>
    <n v="1"/>
    <x v="0"/>
    <x v="4"/>
    <n v="3"/>
    <n v="1"/>
    <n v="27560"/>
  </r>
  <r>
    <x v="3"/>
    <x v="20"/>
    <x v="1"/>
    <n v="39"/>
    <x v="5"/>
    <n v="22"/>
    <n v="0"/>
    <n v="22"/>
    <x v="0"/>
    <n v="4"/>
    <n v="9"/>
    <x v="8"/>
    <n v="1"/>
    <n v="3"/>
    <n v="4"/>
    <n v="17"/>
    <n v="38"/>
    <n v="4"/>
    <n v="24"/>
    <x v="0"/>
    <x v="2"/>
    <n v="12"/>
    <n v="3"/>
    <n v="137570"/>
  </r>
  <r>
    <x v="3"/>
    <x v="21"/>
    <x v="1"/>
    <n v="133"/>
    <x v="5"/>
    <n v="84"/>
    <n v="7"/>
    <n v="35"/>
    <x v="9"/>
    <n v="21"/>
    <n v="11"/>
    <x v="4"/>
    <n v="4"/>
    <n v="10"/>
    <n v="25"/>
    <n v="21"/>
    <n v="64"/>
    <n v="5"/>
    <n v="68"/>
    <x v="3"/>
    <x v="4"/>
    <n v="36"/>
    <n v="8"/>
    <n v="337890"/>
  </r>
  <r>
    <x v="3"/>
    <x v="22"/>
    <x v="1"/>
    <n v="10"/>
    <x v="2"/>
    <n v="9"/>
    <n v="0"/>
    <n v="0"/>
    <x v="2"/>
    <n v="0"/>
    <n v="0"/>
    <x v="1"/>
    <n v="0"/>
    <n v="1"/>
    <n v="0"/>
    <n v="1"/>
    <n v="0"/>
    <n v="0"/>
    <n v="0"/>
    <x v="0"/>
    <x v="4"/>
    <n v="3"/>
    <n v="1"/>
    <n v="21530"/>
  </r>
  <r>
    <x v="3"/>
    <x v="23"/>
    <x v="1"/>
    <n v="106"/>
    <x v="5"/>
    <n v="57"/>
    <n v="15"/>
    <n v="9"/>
    <x v="1"/>
    <n v="9"/>
    <n v="7"/>
    <x v="8"/>
    <n v="3"/>
    <n v="16"/>
    <n v="7"/>
    <n v="19"/>
    <n v="17"/>
    <n v="19"/>
    <n v="12"/>
    <x v="0"/>
    <x v="7"/>
    <n v="14"/>
    <n v="3"/>
    <n v="147740"/>
  </r>
  <r>
    <x v="3"/>
    <x v="24"/>
    <x v="1"/>
    <n v="57"/>
    <x v="3"/>
    <n v="43"/>
    <n v="7"/>
    <n v="12"/>
    <x v="12"/>
    <n v="11"/>
    <n v="9"/>
    <x v="14"/>
    <n v="2"/>
    <n v="9"/>
    <n v="6"/>
    <n v="13"/>
    <n v="40"/>
    <n v="6"/>
    <n v="41"/>
    <x v="0"/>
    <x v="23"/>
    <n v="27"/>
    <n v="7"/>
    <n v="174300"/>
  </r>
  <r>
    <x v="3"/>
    <x v="25"/>
    <x v="1"/>
    <n v="86"/>
    <x v="3"/>
    <n v="33"/>
    <n v="5"/>
    <n v="11"/>
    <x v="0"/>
    <n v="12"/>
    <n v="4"/>
    <x v="3"/>
    <n v="6"/>
    <n v="5"/>
    <n v="5"/>
    <n v="15"/>
    <n v="5"/>
    <n v="1"/>
    <n v="6"/>
    <x v="0"/>
    <x v="4"/>
    <n v="4"/>
    <n v="1"/>
    <n v="113720"/>
  </r>
  <r>
    <x v="3"/>
    <x v="26"/>
    <x v="1"/>
    <n v="10"/>
    <x v="7"/>
    <n v="8"/>
    <n v="0"/>
    <n v="2"/>
    <x v="1"/>
    <n v="0"/>
    <n v="2"/>
    <x v="3"/>
    <n v="0"/>
    <n v="1"/>
    <n v="0"/>
    <n v="0"/>
    <n v="2"/>
    <n v="3"/>
    <n v="0"/>
    <x v="0"/>
    <x v="4"/>
    <n v="3"/>
    <n v="0"/>
    <n v="23210"/>
  </r>
  <r>
    <x v="3"/>
    <x v="27"/>
    <x v="1"/>
    <n v="40"/>
    <x v="3"/>
    <n v="39"/>
    <n v="3"/>
    <n v="8"/>
    <x v="2"/>
    <n v="12"/>
    <n v="4"/>
    <x v="3"/>
    <n v="0"/>
    <n v="6"/>
    <n v="1"/>
    <n v="1"/>
    <n v="18"/>
    <n v="4"/>
    <n v="18"/>
    <x v="3"/>
    <x v="24"/>
    <n v="11"/>
    <n v="1"/>
    <n v="112920"/>
  </r>
  <r>
    <x v="3"/>
    <x v="28"/>
    <x v="1"/>
    <n v="139"/>
    <x v="9"/>
    <n v="54"/>
    <n v="2"/>
    <n v="21"/>
    <x v="7"/>
    <n v="21"/>
    <n v="12"/>
    <x v="8"/>
    <n v="5"/>
    <n v="16"/>
    <n v="13"/>
    <n v="20"/>
    <n v="63"/>
    <n v="12"/>
    <n v="57"/>
    <x v="0"/>
    <x v="1"/>
    <n v="17"/>
    <n v="7"/>
    <n v="314330"/>
  </r>
  <r>
    <x v="3"/>
    <x v="29"/>
    <x v="1"/>
    <n v="60"/>
    <x v="7"/>
    <n v="65"/>
    <n v="5"/>
    <n v="13"/>
    <x v="2"/>
    <n v="9"/>
    <n v="8"/>
    <x v="3"/>
    <n v="7"/>
    <n v="4"/>
    <n v="0"/>
    <n v="14"/>
    <n v="16"/>
    <n v="2"/>
    <n v="3"/>
    <x v="0"/>
    <x v="4"/>
    <n v="13"/>
    <n v="2"/>
    <n v="91010"/>
  </r>
  <r>
    <x v="3"/>
    <x v="30"/>
    <x v="1"/>
    <n v="28"/>
    <x v="2"/>
    <n v="20"/>
    <n v="6"/>
    <n v="9"/>
    <x v="4"/>
    <n v="16"/>
    <n v="6"/>
    <x v="3"/>
    <n v="4"/>
    <n v="5"/>
    <n v="5"/>
    <n v="8"/>
    <n v="21"/>
    <n v="5"/>
    <n v="26"/>
    <x v="0"/>
    <x v="7"/>
    <n v="15"/>
    <n v="4"/>
    <n v="90340"/>
  </r>
  <r>
    <x v="3"/>
    <x v="31"/>
    <x v="1"/>
    <n v="82"/>
    <x v="5"/>
    <n v="5"/>
    <n v="0"/>
    <n v="18"/>
    <x v="1"/>
    <n v="1"/>
    <n v="5"/>
    <x v="4"/>
    <n v="11"/>
    <n v="7"/>
    <n v="11"/>
    <n v="6"/>
    <n v="19"/>
    <n v="8"/>
    <n v="12"/>
    <x v="0"/>
    <x v="1"/>
    <n v="5"/>
    <n v="3"/>
    <n v="176010"/>
  </r>
  <r>
    <x v="4"/>
    <x v="0"/>
    <x v="1"/>
    <n v="65"/>
    <x v="1"/>
    <n v="22"/>
    <n v="0"/>
    <n v="17"/>
    <x v="1"/>
    <n v="160"/>
    <n v="10"/>
    <x v="0"/>
    <n v="14"/>
    <n v="13"/>
    <n v="3"/>
    <n v="12"/>
    <n v="79"/>
    <n v="21"/>
    <n v="64"/>
    <x v="0"/>
    <x v="3"/>
    <n v="24"/>
    <n v="60"/>
    <n v="227070"/>
  </r>
  <r>
    <x v="4"/>
    <x v="1"/>
    <x v="1"/>
    <n v="173"/>
    <x v="3"/>
    <n v="11"/>
    <n v="3"/>
    <n v="25"/>
    <x v="0"/>
    <n v="7"/>
    <n v="62"/>
    <x v="0"/>
    <n v="7"/>
    <n v="8"/>
    <n v="8"/>
    <n v="12"/>
    <n v="40"/>
    <n v="11"/>
    <n v="26"/>
    <x v="2"/>
    <x v="1"/>
    <n v="24"/>
    <n v="5"/>
    <n v="257770"/>
  </r>
  <r>
    <x v="4"/>
    <x v="2"/>
    <x v="1"/>
    <n v="47"/>
    <x v="3"/>
    <n v="14"/>
    <n v="2"/>
    <n v="9"/>
    <x v="0"/>
    <n v="4"/>
    <n v="2"/>
    <x v="8"/>
    <n v="1"/>
    <n v="8"/>
    <n v="4"/>
    <n v="11"/>
    <n v="12"/>
    <n v="15"/>
    <n v="2"/>
    <x v="0"/>
    <x v="1"/>
    <n v="10"/>
    <n v="4"/>
    <n v="116290"/>
  </r>
  <r>
    <x v="4"/>
    <x v="3"/>
    <x v="1"/>
    <n v="79"/>
    <x v="5"/>
    <n v="34"/>
    <n v="2"/>
    <n v="9"/>
    <x v="2"/>
    <n v="6"/>
    <n v="7"/>
    <x v="3"/>
    <n v="2"/>
    <n v="7"/>
    <n v="1"/>
    <n v="6"/>
    <n v="11"/>
    <n v="7"/>
    <n v="12"/>
    <x v="0"/>
    <x v="25"/>
    <n v="17"/>
    <n v="2"/>
    <n v="88050"/>
  </r>
  <r>
    <x v="4"/>
    <x v="4"/>
    <x v="1"/>
    <n v="104"/>
    <x v="14"/>
    <n v="81"/>
    <n v="7"/>
    <n v="43"/>
    <x v="7"/>
    <n v="92"/>
    <n v="35"/>
    <x v="12"/>
    <n v="34"/>
    <n v="34"/>
    <n v="24"/>
    <n v="22"/>
    <n v="122"/>
    <n v="36"/>
    <n v="55"/>
    <x v="5"/>
    <x v="7"/>
    <n v="33"/>
    <n v="13"/>
    <n v="487460"/>
  </r>
  <r>
    <x v="4"/>
    <x v="5"/>
    <x v="1"/>
    <n v="7"/>
    <x v="2"/>
    <n v="7"/>
    <n v="0"/>
    <n v="3"/>
    <x v="1"/>
    <n v="1"/>
    <n v="4"/>
    <x v="0"/>
    <n v="2"/>
    <n v="1"/>
    <n v="3"/>
    <n v="4"/>
    <n v="14"/>
    <n v="3"/>
    <n v="0"/>
    <x v="0"/>
    <x v="4"/>
    <n v="28"/>
    <n v="1"/>
    <n v="51280"/>
  </r>
  <r>
    <x v="4"/>
    <x v="6"/>
    <x v="1"/>
    <n v="89"/>
    <x v="7"/>
    <n v="43"/>
    <n v="19"/>
    <n v="11"/>
    <x v="1"/>
    <n v="2"/>
    <n v="0"/>
    <x v="8"/>
    <n v="6"/>
    <n v="8"/>
    <n v="1"/>
    <n v="14"/>
    <n v="5"/>
    <n v="19"/>
    <n v="4"/>
    <x v="0"/>
    <x v="4"/>
    <n v="16"/>
    <n v="1"/>
    <n v="150280"/>
  </r>
  <r>
    <x v="4"/>
    <x v="7"/>
    <x v="1"/>
    <n v="29"/>
    <x v="2"/>
    <n v="34"/>
    <n v="3"/>
    <n v="15"/>
    <x v="1"/>
    <n v="39"/>
    <n v="7"/>
    <x v="0"/>
    <n v="3"/>
    <n v="24"/>
    <n v="14"/>
    <n v="12"/>
    <n v="46"/>
    <n v="58"/>
    <n v="8"/>
    <x v="0"/>
    <x v="2"/>
    <n v="9"/>
    <n v="7"/>
    <n v="148100"/>
  </r>
  <r>
    <x v="4"/>
    <x v="8"/>
    <x v="1"/>
    <n v="56"/>
    <x v="7"/>
    <n v="18"/>
    <n v="8"/>
    <n v="7"/>
    <x v="0"/>
    <n v="4"/>
    <n v="2"/>
    <x v="8"/>
    <n v="1"/>
    <n v="4"/>
    <n v="4"/>
    <n v="9"/>
    <n v="17"/>
    <n v="12"/>
    <n v="26"/>
    <x v="0"/>
    <x v="1"/>
    <n v="3"/>
    <n v="4"/>
    <n v="122430"/>
  </r>
  <r>
    <x v="4"/>
    <x v="9"/>
    <x v="1"/>
    <n v="31"/>
    <x v="3"/>
    <n v="9"/>
    <n v="3"/>
    <n v="3"/>
    <x v="1"/>
    <n v="1"/>
    <n v="3"/>
    <x v="0"/>
    <n v="0"/>
    <n v="4"/>
    <n v="5"/>
    <n v="7"/>
    <n v="18"/>
    <n v="2"/>
    <n v="10"/>
    <x v="0"/>
    <x v="4"/>
    <n v="8"/>
    <n v="1"/>
    <n v="105840"/>
  </r>
  <r>
    <x v="4"/>
    <x v="10"/>
    <x v="1"/>
    <n v="48"/>
    <x v="2"/>
    <n v="3"/>
    <n v="1"/>
    <n v="14"/>
    <x v="2"/>
    <n v="4"/>
    <n v="4"/>
    <x v="3"/>
    <n v="4"/>
    <n v="1"/>
    <n v="4"/>
    <n v="10"/>
    <n v="18"/>
    <n v="4"/>
    <n v="3"/>
    <x v="0"/>
    <x v="1"/>
    <n v="5"/>
    <n v="1"/>
    <n v="101390"/>
  </r>
  <r>
    <x v="4"/>
    <x v="11"/>
    <x v="1"/>
    <n v="22"/>
    <x v="7"/>
    <n v="15"/>
    <n v="1"/>
    <n v="4"/>
    <x v="1"/>
    <n v="1"/>
    <n v="2"/>
    <x v="1"/>
    <n v="1"/>
    <n v="2"/>
    <n v="2"/>
    <n v="4"/>
    <n v="18"/>
    <n v="2"/>
    <n v="6"/>
    <x v="0"/>
    <x v="4"/>
    <n v="5"/>
    <n v="2"/>
    <n v="91530"/>
  </r>
  <r>
    <x v="4"/>
    <x v="12"/>
    <x v="1"/>
    <n v="49"/>
    <x v="2"/>
    <n v="28"/>
    <n v="2"/>
    <n v="14"/>
    <x v="9"/>
    <n v="10"/>
    <n v="6"/>
    <x v="7"/>
    <n v="4"/>
    <n v="7"/>
    <n v="13"/>
    <n v="13"/>
    <n v="27"/>
    <n v="8"/>
    <n v="7"/>
    <x v="0"/>
    <x v="1"/>
    <n v="28"/>
    <n v="7"/>
    <n v="157160"/>
  </r>
  <r>
    <x v="4"/>
    <x v="13"/>
    <x v="1"/>
    <n v="113"/>
    <x v="12"/>
    <n v="40"/>
    <n v="2"/>
    <n v="22"/>
    <x v="7"/>
    <n v="17"/>
    <n v="7"/>
    <x v="0"/>
    <n v="19"/>
    <n v="6"/>
    <n v="31"/>
    <n v="32"/>
    <n v="48"/>
    <n v="18"/>
    <n v="15"/>
    <x v="0"/>
    <x v="5"/>
    <n v="40"/>
    <n v="15"/>
    <n v="366900"/>
  </r>
  <r>
    <x v="4"/>
    <x v="14"/>
    <x v="1"/>
    <n v="154"/>
    <x v="3"/>
    <n v="263"/>
    <n v="27"/>
    <n v="68"/>
    <x v="8"/>
    <n v="126"/>
    <n v="18"/>
    <x v="20"/>
    <n v="14"/>
    <n v="26"/>
    <n v="46"/>
    <n v="43"/>
    <n v="209"/>
    <n v="39"/>
    <n v="184"/>
    <x v="1"/>
    <x v="4"/>
    <n v="81"/>
    <n v="24"/>
    <n v="596520"/>
  </r>
  <r>
    <x v="4"/>
    <x v="15"/>
    <x v="1"/>
    <n v="211"/>
    <x v="10"/>
    <n v="46"/>
    <n v="3"/>
    <n v="10"/>
    <x v="0"/>
    <n v="26"/>
    <n v="9"/>
    <x v="1"/>
    <n v="17"/>
    <n v="16"/>
    <n v="6"/>
    <n v="27"/>
    <n v="28"/>
    <n v="16"/>
    <n v="16"/>
    <x v="2"/>
    <x v="24"/>
    <n v="44"/>
    <n v="13"/>
    <n v="232930"/>
  </r>
  <r>
    <x v="4"/>
    <x v="16"/>
    <x v="1"/>
    <n v="30"/>
    <x v="2"/>
    <n v="45"/>
    <n v="1"/>
    <n v="8"/>
    <x v="0"/>
    <n v="19"/>
    <n v="3"/>
    <x v="3"/>
    <n v="2"/>
    <n v="7"/>
    <n v="0"/>
    <n v="4"/>
    <n v="32"/>
    <n v="12"/>
    <n v="10"/>
    <x v="0"/>
    <x v="4"/>
    <n v="5"/>
    <n v="2"/>
    <n v="80340"/>
  </r>
  <r>
    <x v="4"/>
    <x v="17"/>
    <x v="1"/>
    <n v="36"/>
    <x v="7"/>
    <n v="3"/>
    <n v="1"/>
    <n v="3"/>
    <x v="4"/>
    <n v="3"/>
    <n v="13"/>
    <x v="1"/>
    <n v="3"/>
    <n v="5"/>
    <n v="3"/>
    <n v="6"/>
    <n v="8"/>
    <n v="1"/>
    <n v="6"/>
    <x v="0"/>
    <x v="4"/>
    <n v="10"/>
    <n v="1"/>
    <n v="84710"/>
  </r>
  <r>
    <x v="4"/>
    <x v="18"/>
    <x v="1"/>
    <n v="36"/>
    <x v="7"/>
    <n v="3"/>
    <n v="5"/>
    <n v="7"/>
    <x v="2"/>
    <n v="6"/>
    <n v="1"/>
    <x v="3"/>
    <n v="2"/>
    <n v="2"/>
    <n v="2"/>
    <n v="6"/>
    <n v="19"/>
    <n v="4"/>
    <n v="14"/>
    <x v="0"/>
    <x v="1"/>
    <n v="7"/>
    <n v="1"/>
    <n v="94360"/>
  </r>
  <r>
    <x v="4"/>
    <x v="19"/>
    <x v="1"/>
    <n v="16"/>
    <x v="7"/>
    <n v="1"/>
    <n v="0"/>
    <n v="0"/>
    <x v="2"/>
    <n v="2"/>
    <n v="0"/>
    <x v="3"/>
    <n v="2"/>
    <n v="0"/>
    <n v="0"/>
    <n v="4"/>
    <n v="2"/>
    <n v="2"/>
    <n v="0"/>
    <x v="0"/>
    <x v="4"/>
    <n v="3"/>
    <n v="0"/>
    <n v="27400"/>
  </r>
  <r>
    <x v="4"/>
    <x v="20"/>
    <x v="1"/>
    <n v="48"/>
    <x v="2"/>
    <n v="23"/>
    <n v="9"/>
    <n v="14"/>
    <x v="7"/>
    <n v="6"/>
    <n v="3"/>
    <x v="0"/>
    <n v="2"/>
    <n v="2"/>
    <n v="1"/>
    <n v="12"/>
    <n v="35"/>
    <n v="13"/>
    <n v="23"/>
    <x v="0"/>
    <x v="4"/>
    <n v="19"/>
    <n v="2"/>
    <n v="136940"/>
  </r>
  <r>
    <x v="4"/>
    <x v="21"/>
    <x v="1"/>
    <n v="116"/>
    <x v="3"/>
    <n v="64"/>
    <n v="0"/>
    <n v="25"/>
    <x v="7"/>
    <n v="24"/>
    <n v="7"/>
    <x v="14"/>
    <n v="8"/>
    <n v="15"/>
    <n v="20"/>
    <n v="22"/>
    <n v="57"/>
    <n v="15"/>
    <n v="69"/>
    <x v="3"/>
    <x v="1"/>
    <n v="34"/>
    <n v="10"/>
    <n v="337780"/>
  </r>
  <r>
    <x v="4"/>
    <x v="22"/>
    <x v="1"/>
    <n v="11"/>
    <x v="2"/>
    <n v="8"/>
    <n v="0"/>
    <n v="1"/>
    <x v="2"/>
    <n v="0"/>
    <n v="1"/>
    <x v="1"/>
    <n v="0"/>
    <n v="0"/>
    <n v="0"/>
    <n v="0"/>
    <n v="1"/>
    <n v="0"/>
    <n v="1"/>
    <x v="0"/>
    <x v="1"/>
    <n v="3"/>
    <n v="0"/>
    <n v="21560"/>
  </r>
  <r>
    <x v="4"/>
    <x v="23"/>
    <x v="1"/>
    <n v="75"/>
    <x v="3"/>
    <n v="43"/>
    <n v="13"/>
    <n v="12"/>
    <x v="2"/>
    <n v="7"/>
    <n v="9"/>
    <x v="4"/>
    <n v="10"/>
    <n v="20"/>
    <n v="4"/>
    <n v="10"/>
    <n v="14"/>
    <n v="30"/>
    <n v="11"/>
    <x v="0"/>
    <x v="4"/>
    <n v="7"/>
    <n v="7"/>
    <n v="147770"/>
  </r>
  <r>
    <x v="4"/>
    <x v="24"/>
    <x v="1"/>
    <n v="48"/>
    <x v="3"/>
    <n v="44"/>
    <n v="8"/>
    <n v="14"/>
    <x v="0"/>
    <n v="12"/>
    <n v="9"/>
    <x v="14"/>
    <n v="2"/>
    <n v="4"/>
    <n v="9"/>
    <n v="8"/>
    <n v="44"/>
    <n v="5"/>
    <n v="44"/>
    <x v="0"/>
    <x v="17"/>
    <n v="15"/>
    <n v="3"/>
    <n v="173890"/>
  </r>
  <r>
    <x v="4"/>
    <x v="25"/>
    <x v="1"/>
    <n v="77"/>
    <x v="7"/>
    <n v="20"/>
    <n v="7"/>
    <n v="13"/>
    <x v="2"/>
    <n v="7"/>
    <n v="11"/>
    <x v="1"/>
    <n v="9"/>
    <n v="5"/>
    <n v="7"/>
    <n v="7"/>
    <n v="20"/>
    <n v="4"/>
    <n v="11"/>
    <x v="0"/>
    <x v="4"/>
    <n v="8"/>
    <n v="5"/>
    <n v="113880"/>
  </r>
  <r>
    <x v="4"/>
    <x v="26"/>
    <x v="1"/>
    <n v="8"/>
    <x v="5"/>
    <n v="5"/>
    <n v="0"/>
    <n v="1"/>
    <x v="2"/>
    <n v="1"/>
    <n v="0"/>
    <x v="1"/>
    <n v="2"/>
    <n v="1"/>
    <n v="0"/>
    <n v="2"/>
    <n v="0"/>
    <n v="2"/>
    <n v="0"/>
    <x v="0"/>
    <x v="17"/>
    <n v="1"/>
    <n v="2"/>
    <n v="23200"/>
  </r>
  <r>
    <x v="4"/>
    <x v="27"/>
    <x v="1"/>
    <n v="52"/>
    <x v="5"/>
    <n v="7"/>
    <n v="4"/>
    <n v="8"/>
    <x v="4"/>
    <n v="16"/>
    <n v="3"/>
    <x v="1"/>
    <n v="2"/>
    <n v="3"/>
    <n v="0"/>
    <n v="11"/>
    <n v="11"/>
    <n v="11"/>
    <n v="14"/>
    <x v="0"/>
    <x v="24"/>
    <n v="10"/>
    <n v="2"/>
    <n v="112870"/>
  </r>
  <r>
    <x v="4"/>
    <x v="28"/>
    <x v="1"/>
    <n v="150"/>
    <x v="15"/>
    <n v="75"/>
    <n v="9"/>
    <n v="34"/>
    <x v="0"/>
    <n v="23"/>
    <n v="15"/>
    <x v="10"/>
    <n v="7"/>
    <n v="8"/>
    <n v="14"/>
    <n v="19"/>
    <n v="48"/>
    <n v="26"/>
    <n v="80"/>
    <x v="3"/>
    <x v="7"/>
    <n v="32"/>
    <n v="7"/>
    <n v="314810"/>
  </r>
  <r>
    <x v="4"/>
    <x v="29"/>
    <x v="1"/>
    <n v="64"/>
    <x v="2"/>
    <n v="21"/>
    <n v="2"/>
    <n v="11"/>
    <x v="2"/>
    <n v="11"/>
    <n v="5"/>
    <x v="4"/>
    <n v="4"/>
    <n v="4"/>
    <n v="6"/>
    <n v="7"/>
    <n v="22"/>
    <n v="2"/>
    <n v="2"/>
    <x v="2"/>
    <x v="1"/>
    <n v="13"/>
    <n v="4"/>
    <n v="91230"/>
  </r>
  <r>
    <x v="4"/>
    <x v="30"/>
    <x v="1"/>
    <n v="16"/>
    <x v="2"/>
    <n v="14"/>
    <n v="5"/>
    <n v="7"/>
    <x v="0"/>
    <n v="25"/>
    <n v="8"/>
    <x v="1"/>
    <n v="1"/>
    <n v="3"/>
    <n v="5"/>
    <n v="5"/>
    <n v="18"/>
    <n v="7"/>
    <n v="26"/>
    <x v="0"/>
    <x v="4"/>
    <n v="12"/>
    <n v="4"/>
    <n v="89800"/>
  </r>
  <r>
    <x v="4"/>
    <x v="31"/>
    <x v="1"/>
    <n v="77"/>
    <x v="1"/>
    <n v="22"/>
    <n v="2"/>
    <n v="22"/>
    <x v="2"/>
    <n v="5"/>
    <n v="11"/>
    <x v="10"/>
    <n v="7"/>
    <n v="4"/>
    <n v="8"/>
    <n v="4"/>
    <n v="28"/>
    <n v="13"/>
    <n v="9"/>
    <x v="0"/>
    <x v="4"/>
    <n v="4"/>
    <n v="5"/>
    <n v="176160"/>
  </r>
  <r>
    <x v="5"/>
    <x v="0"/>
    <x v="1"/>
    <n v="74"/>
    <x v="19"/>
    <n v="21"/>
    <n v="0"/>
    <n v="22"/>
    <x v="0"/>
    <n v="117"/>
    <n v="12"/>
    <x v="7"/>
    <n v="9"/>
    <n v="8"/>
    <n v="9"/>
    <n v="20"/>
    <n v="96"/>
    <n v="11"/>
    <n v="65"/>
    <x v="3"/>
    <x v="22"/>
    <n v="13"/>
    <n v="42"/>
    <n v="228920"/>
  </r>
  <r>
    <x v="5"/>
    <x v="1"/>
    <x v="1"/>
    <n v="198"/>
    <x v="5"/>
    <n v="16"/>
    <n v="3"/>
    <n v="15"/>
    <x v="0"/>
    <n v="10"/>
    <n v="68"/>
    <x v="3"/>
    <n v="5"/>
    <n v="10"/>
    <n v="5"/>
    <n v="14"/>
    <n v="47"/>
    <n v="7"/>
    <n v="24"/>
    <x v="0"/>
    <x v="4"/>
    <n v="17"/>
    <n v="8"/>
    <n v="260530"/>
  </r>
  <r>
    <x v="5"/>
    <x v="2"/>
    <x v="1"/>
    <n v="38"/>
    <x v="5"/>
    <n v="23"/>
    <n v="1"/>
    <n v="6"/>
    <x v="2"/>
    <n v="3"/>
    <n v="7"/>
    <x v="0"/>
    <n v="2"/>
    <n v="5"/>
    <n v="8"/>
    <n v="10"/>
    <n v="24"/>
    <n v="10"/>
    <n v="6"/>
    <x v="0"/>
    <x v="4"/>
    <n v="16"/>
    <n v="2"/>
    <n v="116740"/>
  </r>
  <r>
    <x v="5"/>
    <x v="3"/>
    <x v="1"/>
    <n v="80"/>
    <x v="2"/>
    <n v="44"/>
    <n v="4"/>
    <n v="6"/>
    <x v="2"/>
    <n v="10"/>
    <n v="8"/>
    <x v="8"/>
    <n v="1"/>
    <n v="3"/>
    <n v="1"/>
    <n v="7"/>
    <n v="9"/>
    <n v="1"/>
    <n v="22"/>
    <x v="0"/>
    <x v="16"/>
    <n v="23"/>
    <n v="3"/>
    <n v="87650"/>
  </r>
  <r>
    <x v="5"/>
    <x v="4"/>
    <x v="1"/>
    <n v="157"/>
    <x v="16"/>
    <n v="148"/>
    <n v="4"/>
    <n v="71"/>
    <x v="12"/>
    <n v="86"/>
    <n v="76"/>
    <x v="11"/>
    <n v="56"/>
    <n v="37"/>
    <n v="27"/>
    <n v="31"/>
    <n v="314"/>
    <n v="35"/>
    <n v="102"/>
    <x v="0"/>
    <x v="1"/>
    <n v="72"/>
    <n v="19"/>
    <n v="492610"/>
  </r>
  <r>
    <x v="5"/>
    <x v="5"/>
    <x v="1"/>
    <n v="19"/>
    <x v="2"/>
    <n v="6"/>
    <n v="0"/>
    <n v="11"/>
    <x v="2"/>
    <n v="0"/>
    <n v="2"/>
    <x v="1"/>
    <n v="6"/>
    <n v="1"/>
    <n v="2"/>
    <n v="9"/>
    <n v="14"/>
    <n v="2"/>
    <n v="0"/>
    <x v="0"/>
    <x v="4"/>
    <n v="20"/>
    <n v="0"/>
    <n v="51190"/>
  </r>
  <r>
    <x v="5"/>
    <x v="6"/>
    <x v="1"/>
    <n v="91"/>
    <x v="7"/>
    <n v="22"/>
    <n v="8"/>
    <n v="12"/>
    <x v="1"/>
    <n v="13"/>
    <n v="1"/>
    <x v="1"/>
    <n v="5"/>
    <n v="9"/>
    <n v="4"/>
    <n v="8"/>
    <n v="14"/>
    <n v="8"/>
    <n v="14"/>
    <x v="3"/>
    <x v="4"/>
    <n v="23"/>
    <n v="2"/>
    <n v="149960"/>
  </r>
  <r>
    <x v="5"/>
    <x v="7"/>
    <x v="1"/>
    <n v="28"/>
    <x v="10"/>
    <n v="30"/>
    <n v="2"/>
    <n v="15"/>
    <x v="0"/>
    <n v="29"/>
    <n v="6"/>
    <x v="3"/>
    <n v="0"/>
    <n v="22"/>
    <n v="15"/>
    <n v="8"/>
    <n v="66"/>
    <n v="39"/>
    <n v="16"/>
    <x v="0"/>
    <x v="4"/>
    <n v="21"/>
    <n v="4"/>
    <n v="148130"/>
  </r>
  <r>
    <x v="5"/>
    <x v="8"/>
    <x v="1"/>
    <n v="48"/>
    <x v="7"/>
    <n v="38"/>
    <n v="3"/>
    <n v="9"/>
    <x v="0"/>
    <n v="2"/>
    <n v="4"/>
    <x v="1"/>
    <n v="1"/>
    <n v="5"/>
    <n v="3"/>
    <n v="3"/>
    <n v="30"/>
    <n v="9"/>
    <n v="27"/>
    <x v="0"/>
    <x v="7"/>
    <n v="16"/>
    <n v="5"/>
    <n v="122130"/>
  </r>
  <r>
    <x v="5"/>
    <x v="9"/>
    <x v="1"/>
    <n v="22"/>
    <x v="2"/>
    <n v="7"/>
    <n v="1"/>
    <n v="6"/>
    <x v="1"/>
    <n v="6"/>
    <n v="2"/>
    <x v="3"/>
    <n v="0"/>
    <n v="2"/>
    <n v="5"/>
    <n v="3"/>
    <n v="22"/>
    <n v="2"/>
    <n v="17"/>
    <x v="0"/>
    <x v="1"/>
    <n v="8"/>
    <n v="1"/>
    <n v="106710"/>
  </r>
  <r>
    <x v="5"/>
    <x v="10"/>
    <x v="1"/>
    <n v="47"/>
    <x v="2"/>
    <n v="8"/>
    <n v="0"/>
    <n v="5"/>
    <x v="2"/>
    <n v="4"/>
    <n v="10"/>
    <x v="0"/>
    <n v="3"/>
    <n v="5"/>
    <n v="3"/>
    <n v="8"/>
    <n v="30"/>
    <n v="2"/>
    <n v="4"/>
    <x v="0"/>
    <x v="1"/>
    <n v="4"/>
    <n v="1"/>
    <n v="102090"/>
  </r>
  <r>
    <x v="5"/>
    <x v="11"/>
    <x v="1"/>
    <n v="35"/>
    <x v="2"/>
    <n v="11"/>
    <n v="0"/>
    <n v="6"/>
    <x v="1"/>
    <n v="3"/>
    <n v="1"/>
    <x v="3"/>
    <n v="1"/>
    <n v="1"/>
    <n v="2"/>
    <n v="3"/>
    <n v="27"/>
    <n v="0"/>
    <n v="16"/>
    <x v="0"/>
    <x v="4"/>
    <n v="7"/>
    <n v="1"/>
    <n v="92410"/>
  </r>
  <r>
    <x v="5"/>
    <x v="12"/>
    <x v="1"/>
    <n v="59"/>
    <x v="10"/>
    <n v="16"/>
    <n v="1"/>
    <n v="9"/>
    <x v="1"/>
    <n v="5"/>
    <n v="10"/>
    <x v="18"/>
    <n v="5"/>
    <n v="1"/>
    <n v="8"/>
    <n v="19"/>
    <n v="42"/>
    <n v="4"/>
    <n v="11"/>
    <x v="0"/>
    <x v="1"/>
    <n v="38"/>
    <n v="5"/>
    <n v="157690"/>
  </r>
  <r>
    <x v="5"/>
    <x v="13"/>
    <x v="1"/>
    <n v="92"/>
    <x v="6"/>
    <n v="44"/>
    <n v="3"/>
    <n v="31"/>
    <x v="1"/>
    <n v="27"/>
    <n v="10"/>
    <x v="21"/>
    <n v="9"/>
    <n v="9"/>
    <n v="26"/>
    <n v="26"/>
    <n v="65"/>
    <n v="21"/>
    <n v="28"/>
    <x v="0"/>
    <x v="7"/>
    <n v="42"/>
    <n v="12"/>
    <n v="367250"/>
  </r>
  <r>
    <x v="5"/>
    <x v="14"/>
    <x v="1"/>
    <n v="171"/>
    <x v="10"/>
    <n v="252"/>
    <n v="22"/>
    <n v="59"/>
    <x v="6"/>
    <n v="143"/>
    <n v="32"/>
    <x v="22"/>
    <n v="13"/>
    <n v="23"/>
    <n v="42"/>
    <n v="32"/>
    <n v="324"/>
    <n v="48"/>
    <n v="254"/>
    <x v="1"/>
    <x v="7"/>
    <n v="116"/>
    <n v="32"/>
    <n v="599640"/>
  </r>
  <r>
    <x v="5"/>
    <x v="15"/>
    <x v="1"/>
    <n v="198"/>
    <x v="6"/>
    <n v="140"/>
    <n v="9"/>
    <n v="23"/>
    <x v="7"/>
    <n v="24"/>
    <n v="4"/>
    <x v="14"/>
    <n v="11"/>
    <n v="15"/>
    <n v="7"/>
    <n v="34"/>
    <n v="56"/>
    <n v="28"/>
    <n v="13"/>
    <x v="0"/>
    <x v="5"/>
    <n v="60"/>
    <n v="10"/>
    <n v="233080"/>
  </r>
  <r>
    <x v="5"/>
    <x v="16"/>
    <x v="1"/>
    <n v="36"/>
    <x v="5"/>
    <n v="44"/>
    <n v="0"/>
    <n v="5"/>
    <x v="1"/>
    <n v="19"/>
    <n v="3"/>
    <x v="0"/>
    <n v="0"/>
    <n v="5"/>
    <n v="1"/>
    <n v="7"/>
    <n v="41"/>
    <n v="7"/>
    <n v="20"/>
    <x v="0"/>
    <x v="4"/>
    <n v="15"/>
    <n v="2"/>
    <n v="79890"/>
  </r>
  <r>
    <x v="5"/>
    <x v="17"/>
    <x v="1"/>
    <n v="46"/>
    <x v="7"/>
    <n v="12"/>
    <n v="1"/>
    <n v="9"/>
    <x v="1"/>
    <n v="0"/>
    <n v="24"/>
    <x v="8"/>
    <n v="8"/>
    <n v="2"/>
    <n v="5"/>
    <n v="8"/>
    <n v="28"/>
    <n v="5"/>
    <n v="12"/>
    <x v="0"/>
    <x v="4"/>
    <n v="9"/>
    <n v="4"/>
    <n v="86220"/>
  </r>
  <r>
    <x v="5"/>
    <x v="18"/>
    <x v="1"/>
    <n v="48"/>
    <x v="5"/>
    <n v="30"/>
    <n v="3"/>
    <n v="5"/>
    <x v="2"/>
    <n v="3"/>
    <n v="4"/>
    <x v="3"/>
    <n v="1"/>
    <n v="5"/>
    <n v="2"/>
    <n v="5"/>
    <n v="22"/>
    <n v="2"/>
    <n v="12"/>
    <x v="0"/>
    <x v="4"/>
    <n v="10"/>
    <n v="1"/>
    <n v="94770"/>
  </r>
  <r>
    <x v="5"/>
    <x v="19"/>
    <x v="1"/>
    <n v="21"/>
    <x v="7"/>
    <n v="9"/>
    <n v="0"/>
    <n v="4"/>
    <x v="2"/>
    <n v="3"/>
    <n v="0"/>
    <x v="1"/>
    <n v="2"/>
    <n v="0"/>
    <n v="0"/>
    <n v="8"/>
    <n v="2"/>
    <n v="20"/>
    <n v="1"/>
    <x v="0"/>
    <x v="2"/>
    <n v="5"/>
    <n v="1"/>
    <n v="27250"/>
  </r>
  <r>
    <x v="5"/>
    <x v="20"/>
    <x v="1"/>
    <n v="62"/>
    <x v="3"/>
    <n v="28"/>
    <n v="1"/>
    <n v="13"/>
    <x v="7"/>
    <n v="6"/>
    <n v="8"/>
    <x v="8"/>
    <n v="2"/>
    <n v="2"/>
    <n v="6"/>
    <n v="13"/>
    <n v="43"/>
    <n v="15"/>
    <n v="39"/>
    <x v="0"/>
    <x v="1"/>
    <n v="24"/>
    <n v="1"/>
    <n v="136480"/>
  </r>
  <r>
    <x v="5"/>
    <x v="21"/>
    <x v="1"/>
    <n v="87"/>
    <x v="7"/>
    <n v="60"/>
    <n v="3"/>
    <n v="38"/>
    <x v="9"/>
    <n v="16"/>
    <n v="6"/>
    <x v="10"/>
    <n v="9"/>
    <n v="9"/>
    <n v="20"/>
    <n v="15"/>
    <n v="95"/>
    <n v="11"/>
    <n v="86"/>
    <x v="3"/>
    <x v="4"/>
    <n v="48"/>
    <n v="16"/>
    <n v="338000"/>
  </r>
  <r>
    <x v="5"/>
    <x v="22"/>
    <x v="1"/>
    <n v="7"/>
    <x v="7"/>
    <n v="2"/>
    <n v="0"/>
    <n v="4"/>
    <x v="2"/>
    <n v="1"/>
    <n v="0"/>
    <x v="3"/>
    <n v="0"/>
    <n v="0"/>
    <n v="1"/>
    <n v="0"/>
    <n v="3"/>
    <n v="0"/>
    <n v="0"/>
    <x v="0"/>
    <x v="4"/>
    <n v="8"/>
    <n v="0"/>
    <n v="21580"/>
  </r>
  <r>
    <x v="5"/>
    <x v="23"/>
    <x v="1"/>
    <n v="94"/>
    <x v="6"/>
    <n v="27"/>
    <n v="11"/>
    <n v="9"/>
    <x v="1"/>
    <n v="8"/>
    <n v="6"/>
    <x v="4"/>
    <n v="4"/>
    <n v="10"/>
    <n v="8"/>
    <n v="9"/>
    <n v="21"/>
    <n v="19"/>
    <n v="5"/>
    <x v="3"/>
    <x v="4"/>
    <n v="14"/>
    <n v="1"/>
    <n v="148930"/>
  </r>
  <r>
    <x v="5"/>
    <x v="24"/>
    <x v="1"/>
    <n v="56"/>
    <x v="7"/>
    <n v="46"/>
    <n v="5"/>
    <n v="18"/>
    <x v="4"/>
    <n v="21"/>
    <n v="9"/>
    <x v="9"/>
    <n v="4"/>
    <n v="8"/>
    <n v="10"/>
    <n v="4"/>
    <n v="66"/>
    <n v="9"/>
    <n v="79"/>
    <x v="0"/>
    <x v="9"/>
    <n v="29"/>
    <n v="3"/>
    <n v="174230"/>
  </r>
  <r>
    <x v="5"/>
    <x v="25"/>
    <x v="1"/>
    <n v="92"/>
    <x v="2"/>
    <n v="17"/>
    <n v="5"/>
    <n v="13"/>
    <x v="0"/>
    <n v="3"/>
    <n v="21"/>
    <x v="0"/>
    <n v="3"/>
    <n v="4"/>
    <n v="5"/>
    <n v="10"/>
    <n v="34"/>
    <n v="1"/>
    <n v="15"/>
    <x v="3"/>
    <x v="4"/>
    <n v="12"/>
    <n v="3"/>
    <n v="114040"/>
  </r>
  <r>
    <x v="5"/>
    <x v="26"/>
    <x v="1"/>
    <n v="10"/>
    <x v="10"/>
    <n v="13"/>
    <n v="0"/>
    <n v="0"/>
    <x v="2"/>
    <n v="1"/>
    <n v="1"/>
    <x v="3"/>
    <n v="2"/>
    <n v="1"/>
    <n v="0"/>
    <n v="1"/>
    <n v="3"/>
    <n v="3"/>
    <n v="1"/>
    <x v="0"/>
    <x v="7"/>
    <n v="1"/>
    <n v="1"/>
    <n v="23220"/>
  </r>
  <r>
    <x v="5"/>
    <x v="27"/>
    <x v="1"/>
    <n v="44"/>
    <x v="3"/>
    <n v="14"/>
    <n v="9"/>
    <n v="6"/>
    <x v="1"/>
    <n v="18"/>
    <n v="5"/>
    <x v="0"/>
    <n v="2"/>
    <n v="6"/>
    <n v="2"/>
    <n v="7"/>
    <n v="25"/>
    <n v="7"/>
    <n v="36"/>
    <x v="0"/>
    <x v="2"/>
    <n v="15"/>
    <n v="2"/>
    <n v="112530"/>
  </r>
  <r>
    <x v="5"/>
    <x v="28"/>
    <x v="1"/>
    <n v="140"/>
    <x v="7"/>
    <n v="63"/>
    <n v="7"/>
    <n v="23"/>
    <x v="9"/>
    <n v="15"/>
    <n v="10"/>
    <x v="14"/>
    <n v="10"/>
    <n v="14"/>
    <n v="5"/>
    <n v="22"/>
    <n v="97"/>
    <n v="17"/>
    <n v="100"/>
    <x v="0"/>
    <x v="1"/>
    <n v="34"/>
    <n v="11"/>
    <n v="315300"/>
  </r>
  <r>
    <x v="5"/>
    <x v="29"/>
    <x v="1"/>
    <n v="56"/>
    <x v="3"/>
    <n v="15"/>
    <n v="5"/>
    <n v="11"/>
    <x v="2"/>
    <n v="6"/>
    <n v="6"/>
    <x v="4"/>
    <n v="4"/>
    <n v="3"/>
    <n v="4"/>
    <n v="13"/>
    <n v="27"/>
    <n v="1"/>
    <n v="5"/>
    <x v="0"/>
    <x v="4"/>
    <n v="22"/>
    <n v="2"/>
    <n v="91520"/>
  </r>
  <r>
    <x v="5"/>
    <x v="30"/>
    <x v="1"/>
    <n v="33"/>
    <x v="7"/>
    <n v="24"/>
    <n v="2"/>
    <n v="5"/>
    <x v="0"/>
    <n v="8"/>
    <n v="2"/>
    <x v="8"/>
    <n v="0"/>
    <n v="1"/>
    <n v="10"/>
    <n v="6"/>
    <n v="25"/>
    <n v="2"/>
    <n v="24"/>
    <x v="0"/>
    <x v="4"/>
    <n v="24"/>
    <n v="3"/>
    <n v="89710"/>
  </r>
  <r>
    <x v="5"/>
    <x v="31"/>
    <x v="1"/>
    <n v="104"/>
    <x v="5"/>
    <n v="21"/>
    <n v="2"/>
    <n v="25"/>
    <x v="4"/>
    <n v="3"/>
    <n v="13"/>
    <x v="8"/>
    <n v="10"/>
    <n v="7"/>
    <n v="7"/>
    <n v="11"/>
    <n v="64"/>
    <n v="7"/>
    <n v="19"/>
    <x v="0"/>
    <x v="4"/>
    <n v="11"/>
    <n v="2"/>
    <n v="177200"/>
  </r>
  <r>
    <x v="6"/>
    <x v="0"/>
    <x v="1"/>
    <n v="58"/>
    <x v="14"/>
    <n v="43"/>
    <n v="4"/>
    <n v="23"/>
    <x v="0"/>
    <n v="117"/>
    <n v="11"/>
    <x v="4"/>
    <n v="5"/>
    <n v="9"/>
    <n v="7"/>
    <n v="11"/>
    <n v="113"/>
    <n v="21"/>
    <n v="57"/>
    <x v="0"/>
    <x v="26"/>
    <n v="27"/>
    <n v="39"/>
    <n v="230350"/>
  </r>
  <r>
    <x v="6"/>
    <x v="1"/>
    <x v="1"/>
    <n v="187"/>
    <x v="1"/>
    <n v="84"/>
    <n v="14"/>
    <n v="13"/>
    <x v="2"/>
    <n v="11"/>
    <n v="68"/>
    <x v="9"/>
    <n v="2"/>
    <n v="4"/>
    <n v="4"/>
    <n v="16"/>
    <n v="50"/>
    <n v="9"/>
    <n v="29"/>
    <x v="0"/>
    <x v="1"/>
    <n v="32"/>
    <n v="4"/>
    <n v="261960"/>
  </r>
  <r>
    <x v="6"/>
    <x v="2"/>
    <x v="1"/>
    <n v="69"/>
    <x v="2"/>
    <n v="56"/>
    <n v="5"/>
    <n v="9"/>
    <x v="2"/>
    <n v="1"/>
    <n v="6"/>
    <x v="0"/>
    <n v="1"/>
    <n v="3"/>
    <n v="3"/>
    <n v="9"/>
    <n v="39"/>
    <n v="15"/>
    <n v="2"/>
    <x v="0"/>
    <x v="4"/>
    <n v="17"/>
    <n v="2"/>
    <n v="116900"/>
  </r>
  <r>
    <x v="6"/>
    <x v="3"/>
    <x v="1"/>
    <n v="70"/>
    <x v="2"/>
    <n v="34"/>
    <n v="4"/>
    <n v="5"/>
    <x v="2"/>
    <n v="7"/>
    <n v="9"/>
    <x v="3"/>
    <n v="0"/>
    <n v="4"/>
    <n v="3"/>
    <n v="8"/>
    <n v="20"/>
    <n v="4"/>
    <n v="20"/>
    <x v="2"/>
    <x v="27"/>
    <n v="50"/>
    <n v="2"/>
    <n v="86890"/>
  </r>
  <r>
    <x v="6"/>
    <x v="4"/>
    <x v="1"/>
    <n v="143"/>
    <x v="12"/>
    <n v="138"/>
    <n v="7"/>
    <n v="68"/>
    <x v="7"/>
    <n v="109"/>
    <n v="49"/>
    <x v="12"/>
    <n v="40"/>
    <n v="30"/>
    <n v="33"/>
    <n v="21"/>
    <n v="485"/>
    <n v="57"/>
    <n v="143"/>
    <x v="3"/>
    <x v="7"/>
    <n v="78"/>
    <n v="20"/>
    <n v="498810"/>
  </r>
  <r>
    <x v="6"/>
    <x v="5"/>
    <x v="1"/>
    <n v="19"/>
    <x v="2"/>
    <n v="6"/>
    <n v="0"/>
    <n v="6"/>
    <x v="2"/>
    <n v="0"/>
    <n v="6"/>
    <x v="0"/>
    <n v="1"/>
    <n v="2"/>
    <n v="5"/>
    <n v="7"/>
    <n v="16"/>
    <n v="2"/>
    <n v="0"/>
    <x v="0"/>
    <x v="4"/>
    <n v="20"/>
    <n v="0"/>
    <n v="51360"/>
  </r>
  <r>
    <x v="6"/>
    <x v="6"/>
    <x v="1"/>
    <n v="102"/>
    <x v="5"/>
    <n v="69"/>
    <n v="9"/>
    <n v="17"/>
    <x v="0"/>
    <n v="17"/>
    <n v="18"/>
    <x v="8"/>
    <n v="6"/>
    <n v="15"/>
    <n v="6"/>
    <n v="16"/>
    <n v="48"/>
    <n v="9"/>
    <n v="7"/>
    <x v="0"/>
    <x v="4"/>
    <n v="24"/>
    <n v="5"/>
    <n v="149670"/>
  </r>
  <r>
    <x v="6"/>
    <x v="7"/>
    <x v="1"/>
    <n v="40"/>
    <x v="10"/>
    <n v="35"/>
    <n v="3"/>
    <n v="20"/>
    <x v="7"/>
    <n v="34"/>
    <n v="11"/>
    <x v="3"/>
    <n v="9"/>
    <n v="20"/>
    <n v="13"/>
    <n v="15"/>
    <n v="97"/>
    <n v="62"/>
    <n v="12"/>
    <x v="0"/>
    <x v="4"/>
    <n v="20"/>
    <n v="5"/>
    <n v="148210"/>
  </r>
  <r>
    <x v="6"/>
    <x v="8"/>
    <x v="1"/>
    <n v="66"/>
    <x v="10"/>
    <n v="24"/>
    <n v="1"/>
    <n v="12"/>
    <x v="2"/>
    <n v="3"/>
    <n v="3"/>
    <x v="1"/>
    <n v="3"/>
    <n v="2"/>
    <n v="1"/>
    <n v="8"/>
    <n v="24"/>
    <n v="4"/>
    <n v="41"/>
    <x v="0"/>
    <x v="1"/>
    <n v="15"/>
    <n v="3"/>
    <n v="122060"/>
  </r>
  <r>
    <x v="6"/>
    <x v="9"/>
    <x v="1"/>
    <n v="24"/>
    <x v="2"/>
    <n v="20"/>
    <n v="3"/>
    <n v="4"/>
    <x v="2"/>
    <n v="3"/>
    <n v="8"/>
    <x v="1"/>
    <n v="0"/>
    <n v="1"/>
    <n v="16"/>
    <n v="7"/>
    <n v="38"/>
    <n v="1"/>
    <n v="30"/>
    <x v="0"/>
    <x v="4"/>
    <n v="11"/>
    <n v="1"/>
    <n v="106960"/>
  </r>
  <r>
    <x v="6"/>
    <x v="10"/>
    <x v="1"/>
    <n v="57"/>
    <x v="5"/>
    <n v="12"/>
    <n v="2"/>
    <n v="15"/>
    <x v="1"/>
    <n v="4"/>
    <n v="24"/>
    <x v="8"/>
    <n v="10"/>
    <n v="2"/>
    <n v="4"/>
    <n v="7"/>
    <n v="34"/>
    <n v="8"/>
    <n v="12"/>
    <x v="0"/>
    <x v="4"/>
    <n v="15"/>
    <n v="2"/>
    <n v="103050"/>
  </r>
  <r>
    <x v="6"/>
    <x v="11"/>
    <x v="1"/>
    <n v="22"/>
    <x v="7"/>
    <n v="14"/>
    <n v="1"/>
    <n v="9"/>
    <x v="2"/>
    <n v="3"/>
    <n v="3"/>
    <x v="1"/>
    <n v="1"/>
    <n v="1"/>
    <n v="4"/>
    <n v="5"/>
    <n v="30"/>
    <n v="2"/>
    <n v="18"/>
    <x v="3"/>
    <x v="4"/>
    <n v="12"/>
    <n v="1"/>
    <n v="92940"/>
  </r>
  <r>
    <x v="6"/>
    <x v="12"/>
    <x v="1"/>
    <n v="72"/>
    <x v="2"/>
    <n v="27"/>
    <n v="5"/>
    <n v="17"/>
    <x v="0"/>
    <n v="8"/>
    <n v="17"/>
    <x v="8"/>
    <n v="3"/>
    <n v="6"/>
    <n v="5"/>
    <n v="10"/>
    <n v="50"/>
    <n v="6"/>
    <n v="25"/>
    <x v="0"/>
    <x v="7"/>
    <n v="67"/>
    <n v="3"/>
    <n v="158460"/>
  </r>
  <r>
    <x v="6"/>
    <x v="13"/>
    <x v="1"/>
    <n v="149"/>
    <x v="3"/>
    <n v="63"/>
    <n v="6"/>
    <n v="53"/>
    <x v="4"/>
    <n v="26"/>
    <n v="34"/>
    <x v="23"/>
    <n v="16"/>
    <n v="11"/>
    <n v="16"/>
    <n v="28"/>
    <n v="109"/>
    <n v="19"/>
    <n v="30"/>
    <x v="0"/>
    <x v="1"/>
    <n v="77"/>
    <n v="8"/>
    <n v="368080"/>
  </r>
  <r>
    <x v="6"/>
    <x v="14"/>
    <x v="1"/>
    <n v="188"/>
    <x v="3"/>
    <n v="210"/>
    <n v="25"/>
    <n v="70"/>
    <x v="11"/>
    <n v="132"/>
    <n v="44"/>
    <x v="24"/>
    <n v="19"/>
    <n v="19"/>
    <n v="50"/>
    <n v="35"/>
    <n v="425"/>
    <n v="37"/>
    <n v="317"/>
    <x v="3"/>
    <x v="4"/>
    <n v="246"/>
    <n v="28"/>
    <n v="606340"/>
  </r>
  <r>
    <x v="6"/>
    <x v="15"/>
    <x v="1"/>
    <n v="202"/>
    <x v="6"/>
    <n v="88"/>
    <n v="3"/>
    <n v="12"/>
    <x v="4"/>
    <n v="30"/>
    <n v="12"/>
    <x v="9"/>
    <n v="13"/>
    <n v="13"/>
    <n v="6"/>
    <n v="40"/>
    <n v="66"/>
    <n v="16"/>
    <n v="21"/>
    <x v="0"/>
    <x v="4"/>
    <n v="54"/>
    <n v="9"/>
    <n v="234110"/>
  </r>
  <r>
    <x v="6"/>
    <x v="16"/>
    <x v="1"/>
    <n v="36"/>
    <x v="7"/>
    <n v="25"/>
    <n v="1"/>
    <n v="14"/>
    <x v="1"/>
    <n v="11"/>
    <n v="5"/>
    <x v="3"/>
    <n v="0"/>
    <n v="5"/>
    <n v="5"/>
    <n v="3"/>
    <n v="59"/>
    <n v="13"/>
    <n v="26"/>
    <x v="0"/>
    <x v="1"/>
    <n v="20"/>
    <n v="3"/>
    <n v="79500"/>
  </r>
  <r>
    <x v="6"/>
    <x v="17"/>
    <x v="1"/>
    <n v="47"/>
    <x v="5"/>
    <n v="13"/>
    <n v="4"/>
    <n v="8"/>
    <x v="0"/>
    <n v="2"/>
    <n v="12"/>
    <x v="3"/>
    <n v="7"/>
    <n v="4"/>
    <n v="5"/>
    <n v="10"/>
    <n v="41"/>
    <n v="5"/>
    <n v="13"/>
    <x v="0"/>
    <x v="4"/>
    <n v="7"/>
    <n v="0"/>
    <n v="87390"/>
  </r>
  <r>
    <x v="6"/>
    <x v="18"/>
    <x v="1"/>
    <n v="37"/>
    <x v="7"/>
    <n v="0"/>
    <n v="3"/>
    <n v="6"/>
    <x v="2"/>
    <n v="3"/>
    <n v="4"/>
    <x v="3"/>
    <n v="4"/>
    <n v="3"/>
    <n v="5"/>
    <n v="8"/>
    <n v="23"/>
    <n v="1"/>
    <n v="16"/>
    <x v="0"/>
    <x v="1"/>
    <n v="14"/>
    <n v="0"/>
    <n v="95510"/>
  </r>
  <r>
    <x v="6"/>
    <x v="19"/>
    <x v="1"/>
    <n v="16"/>
    <x v="7"/>
    <n v="7"/>
    <n v="0"/>
    <n v="1"/>
    <x v="1"/>
    <n v="0"/>
    <n v="1"/>
    <x v="1"/>
    <n v="1"/>
    <n v="0"/>
    <n v="1"/>
    <n v="6"/>
    <n v="5"/>
    <n v="3"/>
    <n v="1"/>
    <x v="0"/>
    <x v="1"/>
    <n v="4"/>
    <n v="4"/>
    <n v="27070"/>
  </r>
  <r>
    <x v="6"/>
    <x v="20"/>
    <x v="1"/>
    <n v="53"/>
    <x v="7"/>
    <n v="26"/>
    <n v="2"/>
    <n v="16"/>
    <x v="0"/>
    <n v="10"/>
    <n v="5"/>
    <x v="8"/>
    <n v="2"/>
    <n v="2"/>
    <n v="5"/>
    <n v="16"/>
    <n v="75"/>
    <n v="9"/>
    <n v="47"/>
    <x v="0"/>
    <x v="4"/>
    <n v="51"/>
    <n v="1"/>
    <n v="136130"/>
  </r>
  <r>
    <x v="6"/>
    <x v="21"/>
    <x v="1"/>
    <n v="124"/>
    <x v="3"/>
    <n v="83"/>
    <n v="3"/>
    <n v="25"/>
    <x v="10"/>
    <n v="29"/>
    <n v="11"/>
    <x v="9"/>
    <n v="6"/>
    <n v="15"/>
    <n v="30"/>
    <n v="17"/>
    <n v="128"/>
    <n v="17"/>
    <n v="80"/>
    <x v="3"/>
    <x v="7"/>
    <n v="74"/>
    <n v="7"/>
    <n v="338260"/>
  </r>
  <r>
    <x v="6"/>
    <x v="22"/>
    <x v="1"/>
    <n v="8"/>
    <x v="2"/>
    <n v="4"/>
    <n v="0"/>
    <n v="3"/>
    <x v="2"/>
    <n v="1"/>
    <n v="0"/>
    <x v="3"/>
    <n v="0"/>
    <n v="0"/>
    <n v="1"/>
    <n v="0"/>
    <n v="2"/>
    <n v="0"/>
    <n v="0"/>
    <x v="0"/>
    <x v="2"/>
    <n v="3"/>
    <n v="0"/>
    <n v="21670"/>
  </r>
  <r>
    <x v="6"/>
    <x v="23"/>
    <x v="1"/>
    <n v="91"/>
    <x v="10"/>
    <n v="104"/>
    <n v="18"/>
    <n v="7"/>
    <x v="1"/>
    <n v="8"/>
    <n v="13"/>
    <x v="0"/>
    <n v="4"/>
    <n v="17"/>
    <n v="7"/>
    <n v="14"/>
    <n v="39"/>
    <n v="28"/>
    <n v="6"/>
    <x v="0"/>
    <x v="4"/>
    <n v="14"/>
    <n v="5"/>
    <n v="149930"/>
  </r>
  <r>
    <x v="6"/>
    <x v="24"/>
    <x v="1"/>
    <n v="54"/>
    <x v="10"/>
    <n v="47"/>
    <n v="5"/>
    <n v="11"/>
    <x v="0"/>
    <n v="15"/>
    <n v="20"/>
    <x v="9"/>
    <n v="3"/>
    <n v="4"/>
    <n v="7"/>
    <n v="8"/>
    <n v="94"/>
    <n v="9"/>
    <n v="127"/>
    <x v="0"/>
    <x v="9"/>
    <n v="60"/>
    <n v="8"/>
    <n v="174560"/>
  </r>
  <r>
    <x v="6"/>
    <x v="25"/>
    <x v="1"/>
    <n v="108"/>
    <x v="1"/>
    <n v="80"/>
    <n v="13"/>
    <n v="19"/>
    <x v="2"/>
    <n v="2"/>
    <n v="41"/>
    <x v="14"/>
    <n v="8"/>
    <n v="6"/>
    <n v="2"/>
    <n v="19"/>
    <n v="43"/>
    <n v="3"/>
    <n v="11"/>
    <x v="0"/>
    <x v="2"/>
    <n v="17"/>
    <n v="3"/>
    <n v="114030"/>
  </r>
  <r>
    <x v="6"/>
    <x v="26"/>
    <x v="1"/>
    <n v="9"/>
    <x v="2"/>
    <n v="2"/>
    <n v="0"/>
    <n v="0"/>
    <x v="2"/>
    <n v="0"/>
    <n v="0"/>
    <x v="1"/>
    <n v="0"/>
    <n v="0"/>
    <n v="1"/>
    <n v="2"/>
    <n v="3"/>
    <n v="3"/>
    <n v="3"/>
    <x v="0"/>
    <x v="5"/>
    <n v="4"/>
    <n v="0"/>
    <n v="23200"/>
  </r>
  <r>
    <x v="6"/>
    <x v="27"/>
    <x v="1"/>
    <n v="61"/>
    <x v="10"/>
    <n v="22"/>
    <n v="9"/>
    <n v="10"/>
    <x v="1"/>
    <n v="12"/>
    <n v="7"/>
    <x v="4"/>
    <n v="2"/>
    <n v="3"/>
    <n v="6"/>
    <n v="4"/>
    <n v="47"/>
    <n v="11"/>
    <n v="52"/>
    <x v="3"/>
    <x v="7"/>
    <n v="39"/>
    <n v="4"/>
    <n v="112400"/>
  </r>
  <r>
    <x v="6"/>
    <x v="28"/>
    <x v="1"/>
    <n v="137"/>
    <x v="3"/>
    <n v="71"/>
    <n v="5"/>
    <n v="21"/>
    <x v="4"/>
    <n v="21"/>
    <n v="20"/>
    <x v="8"/>
    <n v="6"/>
    <n v="9"/>
    <n v="15"/>
    <n v="13"/>
    <n v="117"/>
    <n v="17"/>
    <n v="95"/>
    <x v="0"/>
    <x v="4"/>
    <n v="65"/>
    <n v="15"/>
    <n v="316230"/>
  </r>
  <r>
    <x v="6"/>
    <x v="29"/>
    <x v="1"/>
    <n v="71"/>
    <x v="5"/>
    <n v="35"/>
    <n v="14"/>
    <n v="7"/>
    <x v="2"/>
    <n v="7"/>
    <n v="18"/>
    <x v="3"/>
    <n v="0"/>
    <n v="4"/>
    <n v="5"/>
    <n v="10"/>
    <n v="37"/>
    <n v="2"/>
    <n v="5"/>
    <x v="0"/>
    <x v="4"/>
    <n v="22"/>
    <n v="0"/>
    <n v="92830"/>
  </r>
  <r>
    <x v="6"/>
    <x v="30"/>
    <x v="1"/>
    <n v="32"/>
    <x v="2"/>
    <n v="23"/>
    <n v="3"/>
    <n v="11"/>
    <x v="1"/>
    <n v="20"/>
    <n v="6"/>
    <x v="4"/>
    <n v="1"/>
    <n v="2"/>
    <n v="7"/>
    <n v="3"/>
    <n v="27"/>
    <n v="4"/>
    <n v="37"/>
    <x v="3"/>
    <x v="4"/>
    <n v="25"/>
    <n v="6"/>
    <n v="89590"/>
  </r>
  <r>
    <x v="6"/>
    <x v="31"/>
    <x v="1"/>
    <n v="93"/>
    <x v="5"/>
    <n v="23"/>
    <n v="2"/>
    <n v="12"/>
    <x v="2"/>
    <n v="6"/>
    <n v="34"/>
    <x v="9"/>
    <n v="10"/>
    <n v="6"/>
    <n v="5"/>
    <n v="8"/>
    <n v="105"/>
    <n v="6"/>
    <n v="41"/>
    <x v="0"/>
    <x v="4"/>
    <n v="18"/>
    <n v="3"/>
    <n v="178550"/>
  </r>
  <r>
    <x v="7"/>
    <x v="0"/>
    <x v="1"/>
    <n v="53"/>
    <x v="15"/>
    <n v="35"/>
    <n v="4"/>
    <n v="24"/>
    <x v="0"/>
    <n v="129"/>
    <n v="11"/>
    <x v="14"/>
    <n v="10"/>
    <n v="8"/>
    <n v="12"/>
    <n v="12"/>
    <n v="121"/>
    <n v="3"/>
    <n v="42"/>
    <x v="0"/>
    <x v="7"/>
    <n v="25"/>
    <n v="11"/>
    <n v="229840"/>
  </r>
  <r>
    <x v="7"/>
    <x v="1"/>
    <x v="1"/>
    <n v="159"/>
    <x v="3"/>
    <n v="17"/>
    <n v="3"/>
    <n v="13"/>
    <x v="1"/>
    <n v="13"/>
    <n v="65"/>
    <x v="10"/>
    <n v="9"/>
    <n v="10"/>
    <n v="5"/>
    <n v="18"/>
    <n v="58"/>
    <n v="2"/>
    <n v="25"/>
    <x v="0"/>
    <x v="1"/>
    <n v="30"/>
    <n v="6"/>
    <n v="262190"/>
  </r>
  <r>
    <x v="7"/>
    <x v="2"/>
    <x v="1"/>
    <n v="53"/>
    <x v="3"/>
    <n v="11"/>
    <n v="1"/>
    <n v="11"/>
    <x v="1"/>
    <n v="4"/>
    <n v="10"/>
    <x v="4"/>
    <n v="3"/>
    <n v="7"/>
    <n v="4"/>
    <n v="11"/>
    <n v="39"/>
    <n v="5"/>
    <n v="7"/>
    <x v="3"/>
    <x v="1"/>
    <n v="18"/>
    <n v="3"/>
    <n v="116520"/>
  </r>
  <r>
    <x v="7"/>
    <x v="3"/>
    <x v="1"/>
    <n v="79"/>
    <x v="10"/>
    <n v="18"/>
    <n v="3"/>
    <n v="7"/>
    <x v="2"/>
    <n v="4"/>
    <n v="20"/>
    <x v="3"/>
    <n v="2"/>
    <n v="2"/>
    <n v="2"/>
    <n v="6"/>
    <n v="22"/>
    <n v="1"/>
    <n v="34"/>
    <x v="0"/>
    <x v="28"/>
    <n v="50"/>
    <n v="4"/>
    <n v="87130"/>
  </r>
  <r>
    <x v="7"/>
    <x v="4"/>
    <x v="1"/>
    <n v="145"/>
    <x v="12"/>
    <n v="163"/>
    <n v="8"/>
    <n v="73"/>
    <x v="9"/>
    <n v="113"/>
    <n v="34"/>
    <x v="24"/>
    <n v="37"/>
    <n v="32"/>
    <n v="37"/>
    <n v="25"/>
    <n v="516"/>
    <n v="20"/>
    <n v="120"/>
    <x v="3"/>
    <x v="24"/>
    <n v="81"/>
    <n v="24"/>
    <n v="507170"/>
  </r>
  <r>
    <x v="7"/>
    <x v="5"/>
    <x v="1"/>
    <n v="16"/>
    <x v="7"/>
    <n v="6"/>
    <n v="1"/>
    <n v="8"/>
    <x v="2"/>
    <n v="3"/>
    <n v="3"/>
    <x v="4"/>
    <n v="3"/>
    <n v="1"/>
    <n v="7"/>
    <n v="3"/>
    <n v="34"/>
    <n v="2"/>
    <n v="1"/>
    <x v="0"/>
    <x v="4"/>
    <n v="11"/>
    <n v="2"/>
    <n v="51350"/>
  </r>
  <r>
    <x v="7"/>
    <x v="6"/>
    <x v="1"/>
    <n v="99"/>
    <x v="1"/>
    <n v="9"/>
    <n v="10"/>
    <n v="20"/>
    <x v="2"/>
    <n v="9"/>
    <n v="23"/>
    <x v="0"/>
    <n v="4"/>
    <n v="10"/>
    <n v="3"/>
    <n v="14"/>
    <n v="57"/>
    <n v="8"/>
    <n v="5"/>
    <x v="0"/>
    <x v="1"/>
    <n v="40"/>
    <n v="0"/>
    <n v="149520"/>
  </r>
  <r>
    <x v="7"/>
    <x v="7"/>
    <x v="1"/>
    <n v="34"/>
    <x v="5"/>
    <n v="35"/>
    <n v="2"/>
    <n v="30"/>
    <x v="4"/>
    <n v="42"/>
    <n v="6"/>
    <x v="4"/>
    <n v="3"/>
    <n v="18"/>
    <n v="11"/>
    <n v="11"/>
    <n v="121"/>
    <n v="30"/>
    <n v="18"/>
    <x v="0"/>
    <x v="4"/>
    <n v="32"/>
    <n v="2"/>
    <n v="148270"/>
  </r>
  <r>
    <x v="7"/>
    <x v="8"/>
    <x v="1"/>
    <n v="57"/>
    <x v="5"/>
    <n v="8"/>
    <n v="1"/>
    <n v="8"/>
    <x v="1"/>
    <n v="6"/>
    <n v="8"/>
    <x v="8"/>
    <n v="4"/>
    <n v="4"/>
    <n v="4"/>
    <n v="8"/>
    <n v="26"/>
    <n v="1"/>
    <n v="25"/>
    <x v="0"/>
    <x v="1"/>
    <n v="28"/>
    <n v="3"/>
    <n v="122200"/>
  </r>
  <r>
    <x v="7"/>
    <x v="9"/>
    <x v="1"/>
    <n v="30"/>
    <x v="2"/>
    <n v="14"/>
    <n v="1"/>
    <n v="5"/>
    <x v="1"/>
    <n v="4"/>
    <n v="2"/>
    <x v="1"/>
    <n v="0"/>
    <n v="4"/>
    <n v="35"/>
    <n v="10"/>
    <n v="41"/>
    <n v="4"/>
    <n v="14"/>
    <x v="0"/>
    <x v="4"/>
    <n v="17"/>
    <n v="2"/>
    <n v="107540"/>
  </r>
  <r>
    <x v="7"/>
    <x v="10"/>
    <x v="1"/>
    <n v="50"/>
    <x v="2"/>
    <n v="15"/>
    <n v="3"/>
    <n v="19"/>
    <x v="0"/>
    <n v="4"/>
    <n v="27"/>
    <x v="0"/>
    <n v="3"/>
    <n v="7"/>
    <n v="8"/>
    <n v="9"/>
    <n v="46"/>
    <n v="0"/>
    <n v="13"/>
    <x v="0"/>
    <x v="4"/>
    <n v="19"/>
    <n v="1"/>
    <n v="104090"/>
  </r>
  <r>
    <x v="7"/>
    <x v="11"/>
    <x v="1"/>
    <n v="28"/>
    <x v="3"/>
    <n v="10"/>
    <n v="0"/>
    <n v="3"/>
    <x v="1"/>
    <n v="2"/>
    <n v="8"/>
    <x v="1"/>
    <n v="1"/>
    <n v="1"/>
    <n v="3"/>
    <n v="5"/>
    <n v="33"/>
    <n v="2"/>
    <n v="10"/>
    <x v="0"/>
    <x v="1"/>
    <n v="12"/>
    <n v="4"/>
    <n v="93810"/>
  </r>
  <r>
    <x v="7"/>
    <x v="12"/>
    <x v="1"/>
    <n v="78"/>
    <x v="10"/>
    <n v="15"/>
    <n v="6"/>
    <n v="14"/>
    <x v="6"/>
    <n v="9"/>
    <n v="39"/>
    <x v="5"/>
    <n v="8"/>
    <n v="5"/>
    <n v="4"/>
    <n v="16"/>
    <n v="118"/>
    <n v="4"/>
    <n v="14"/>
    <x v="0"/>
    <x v="1"/>
    <n v="39"/>
    <n v="2"/>
    <n v="159380"/>
  </r>
  <r>
    <x v="7"/>
    <x v="13"/>
    <x v="1"/>
    <n v="169"/>
    <x v="10"/>
    <n v="54"/>
    <n v="1"/>
    <n v="49"/>
    <x v="9"/>
    <n v="27"/>
    <n v="18"/>
    <x v="21"/>
    <n v="12"/>
    <n v="19"/>
    <n v="11"/>
    <n v="35"/>
    <n v="200"/>
    <n v="8"/>
    <n v="21"/>
    <x v="0"/>
    <x v="5"/>
    <n v="52"/>
    <n v="5"/>
    <n v="370330"/>
  </r>
  <r>
    <x v="7"/>
    <x v="14"/>
    <x v="1"/>
    <n v="205"/>
    <x v="1"/>
    <n v="203"/>
    <n v="26"/>
    <n v="48"/>
    <x v="5"/>
    <n v="161"/>
    <n v="37"/>
    <x v="25"/>
    <n v="25"/>
    <n v="26"/>
    <n v="41"/>
    <n v="37"/>
    <n v="368"/>
    <n v="39"/>
    <n v="292"/>
    <x v="2"/>
    <x v="1"/>
    <n v="224"/>
    <n v="27"/>
    <n v="615070"/>
  </r>
  <r>
    <x v="7"/>
    <x v="15"/>
    <x v="1"/>
    <n v="215"/>
    <x v="3"/>
    <n v="36"/>
    <n v="6"/>
    <n v="15"/>
    <x v="2"/>
    <n v="26"/>
    <n v="8"/>
    <x v="18"/>
    <n v="16"/>
    <n v="16"/>
    <n v="5"/>
    <n v="33"/>
    <n v="76"/>
    <n v="16"/>
    <n v="18"/>
    <x v="3"/>
    <x v="2"/>
    <n v="55"/>
    <n v="14"/>
    <n v="234770"/>
  </r>
  <r>
    <x v="7"/>
    <x v="16"/>
    <x v="1"/>
    <n v="28"/>
    <x v="5"/>
    <n v="33"/>
    <n v="1"/>
    <n v="8"/>
    <x v="4"/>
    <n v="15"/>
    <n v="7"/>
    <x v="8"/>
    <n v="2"/>
    <n v="4"/>
    <n v="4"/>
    <n v="8"/>
    <n v="54"/>
    <n v="8"/>
    <n v="23"/>
    <x v="3"/>
    <x v="7"/>
    <n v="16"/>
    <n v="0"/>
    <n v="79160"/>
  </r>
  <r>
    <x v="7"/>
    <x v="17"/>
    <x v="1"/>
    <n v="39"/>
    <x v="7"/>
    <n v="20"/>
    <n v="2"/>
    <n v="11"/>
    <x v="4"/>
    <n v="0"/>
    <n v="6"/>
    <x v="0"/>
    <n v="3"/>
    <n v="1"/>
    <n v="3"/>
    <n v="8"/>
    <n v="33"/>
    <n v="0"/>
    <n v="18"/>
    <x v="0"/>
    <x v="4"/>
    <n v="12"/>
    <n v="1"/>
    <n v="88610"/>
  </r>
  <r>
    <x v="7"/>
    <x v="18"/>
    <x v="1"/>
    <n v="38"/>
    <x v="5"/>
    <n v="10"/>
    <n v="1"/>
    <n v="21"/>
    <x v="0"/>
    <n v="2"/>
    <n v="4"/>
    <x v="8"/>
    <n v="4"/>
    <n v="3"/>
    <n v="2"/>
    <n v="10"/>
    <n v="35"/>
    <n v="1"/>
    <n v="8"/>
    <x v="0"/>
    <x v="1"/>
    <n v="16"/>
    <n v="2"/>
    <n v="96070"/>
  </r>
  <r>
    <x v="7"/>
    <x v="19"/>
    <x v="1"/>
    <n v="14"/>
    <x v="2"/>
    <n v="2"/>
    <n v="0"/>
    <n v="1"/>
    <x v="2"/>
    <n v="4"/>
    <n v="1"/>
    <x v="1"/>
    <n v="0"/>
    <n v="0"/>
    <n v="1"/>
    <n v="4"/>
    <n v="5"/>
    <n v="1"/>
    <n v="3"/>
    <x v="0"/>
    <x v="9"/>
    <n v="10"/>
    <n v="0"/>
    <n v="26900"/>
  </r>
  <r>
    <x v="7"/>
    <x v="20"/>
    <x v="1"/>
    <n v="39"/>
    <x v="3"/>
    <n v="47"/>
    <n v="1"/>
    <n v="8"/>
    <x v="0"/>
    <n v="12"/>
    <n v="10"/>
    <x v="1"/>
    <n v="4"/>
    <n v="3"/>
    <n v="1"/>
    <n v="9"/>
    <n v="65"/>
    <n v="4"/>
    <n v="31"/>
    <x v="0"/>
    <x v="4"/>
    <n v="45"/>
    <n v="1"/>
    <n v="135890"/>
  </r>
  <r>
    <x v="7"/>
    <x v="21"/>
    <x v="1"/>
    <n v="153"/>
    <x v="5"/>
    <n v="52"/>
    <n v="1"/>
    <n v="30"/>
    <x v="6"/>
    <n v="25"/>
    <n v="15"/>
    <x v="12"/>
    <n v="4"/>
    <n v="15"/>
    <n v="22"/>
    <n v="15"/>
    <n v="126"/>
    <n v="8"/>
    <n v="71"/>
    <x v="0"/>
    <x v="4"/>
    <n v="59"/>
    <n v="8"/>
    <n v="339390"/>
  </r>
  <r>
    <x v="7"/>
    <x v="22"/>
    <x v="1"/>
    <n v="5"/>
    <x v="2"/>
    <n v="0"/>
    <n v="1"/>
    <n v="0"/>
    <x v="2"/>
    <n v="0"/>
    <n v="1"/>
    <x v="3"/>
    <n v="1"/>
    <n v="0"/>
    <n v="0"/>
    <n v="1"/>
    <n v="1"/>
    <n v="1"/>
    <n v="3"/>
    <x v="0"/>
    <x v="4"/>
    <n v="7"/>
    <n v="1"/>
    <n v="21850"/>
  </r>
  <r>
    <x v="7"/>
    <x v="23"/>
    <x v="1"/>
    <n v="86"/>
    <x v="5"/>
    <n v="19"/>
    <n v="18"/>
    <n v="13"/>
    <x v="1"/>
    <n v="10"/>
    <n v="11"/>
    <x v="3"/>
    <n v="5"/>
    <n v="6"/>
    <n v="2"/>
    <n v="8"/>
    <n v="59"/>
    <n v="9"/>
    <n v="8"/>
    <x v="0"/>
    <x v="4"/>
    <n v="16"/>
    <n v="2"/>
    <n v="150680"/>
  </r>
  <r>
    <x v="7"/>
    <x v="24"/>
    <x v="1"/>
    <n v="86"/>
    <x v="10"/>
    <n v="33"/>
    <n v="5"/>
    <n v="16"/>
    <x v="0"/>
    <n v="19"/>
    <n v="13"/>
    <x v="4"/>
    <n v="3"/>
    <n v="9"/>
    <n v="4"/>
    <n v="13"/>
    <n v="116"/>
    <n v="2"/>
    <n v="78"/>
    <x v="0"/>
    <x v="5"/>
    <n v="39"/>
    <n v="7"/>
    <n v="175930"/>
  </r>
  <r>
    <x v="7"/>
    <x v="25"/>
    <x v="1"/>
    <n v="99"/>
    <x v="3"/>
    <n v="19"/>
    <n v="2"/>
    <n v="14"/>
    <x v="2"/>
    <n v="6"/>
    <n v="38"/>
    <x v="7"/>
    <n v="8"/>
    <n v="4"/>
    <n v="5"/>
    <n v="12"/>
    <n v="62"/>
    <n v="2"/>
    <n v="12"/>
    <x v="0"/>
    <x v="4"/>
    <n v="25"/>
    <n v="4"/>
    <n v="114530"/>
  </r>
  <r>
    <x v="7"/>
    <x v="26"/>
    <x v="1"/>
    <n v="10"/>
    <x v="7"/>
    <n v="3"/>
    <n v="0"/>
    <n v="1"/>
    <x v="2"/>
    <n v="0"/>
    <n v="1"/>
    <x v="0"/>
    <n v="2"/>
    <n v="0"/>
    <n v="1"/>
    <n v="0"/>
    <n v="2"/>
    <n v="3"/>
    <n v="2"/>
    <x v="0"/>
    <x v="9"/>
    <n v="5"/>
    <n v="0"/>
    <n v="23200"/>
  </r>
  <r>
    <x v="7"/>
    <x v="27"/>
    <x v="1"/>
    <n v="62"/>
    <x v="2"/>
    <n v="14"/>
    <n v="2"/>
    <n v="12"/>
    <x v="1"/>
    <n v="12"/>
    <n v="9"/>
    <x v="0"/>
    <n v="3"/>
    <n v="7"/>
    <n v="5"/>
    <n v="12"/>
    <n v="49"/>
    <n v="6"/>
    <n v="30"/>
    <x v="0"/>
    <x v="2"/>
    <n v="22"/>
    <n v="1"/>
    <n v="112470"/>
  </r>
  <r>
    <x v="7"/>
    <x v="28"/>
    <x v="1"/>
    <n v="151"/>
    <x v="3"/>
    <n v="37"/>
    <n v="1"/>
    <n v="16"/>
    <x v="9"/>
    <n v="14"/>
    <n v="19"/>
    <x v="18"/>
    <n v="3"/>
    <n v="13"/>
    <n v="18"/>
    <n v="19"/>
    <n v="124"/>
    <n v="9"/>
    <n v="105"/>
    <x v="3"/>
    <x v="4"/>
    <n v="79"/>
    <n v="8"/>
    <n v="317100"/>
  </r>
  <r>
    <x v="7"/>
    <x v="29"/>
    <x v="1"/>
    <n v="67"/>
    <x v="2"/>
    <n v="23"/>
    <n v="4"/>
    <n v="11"/>
    <x v="1"/>
    <n v="6"/>
    <n v="18"/>
    <x v="8"/>
    <n v="3"/>
    <n v="7"/>
    <n v="2"/>
    <n v="12"/>
    <n v="48"/>
    <n v="3"/>
    <n v="6"/>
    <x v="0"/>
    <x v="1"/>
    <n v="16"/>
    <n v="1"/>
    <n v="93750"/>
  </r>
  <r>
    <x v="7"/>
    <x v="30"/>
    <x v="1"/>
    <n v="27"/>
    <x v="7"/>
    <n v="21"/>
    <n v="1"/>
    <n v="10"/>
    <x v="4"/>
    <n v="9"/>
    <n v="10"/>
    <x v="8"/>
    <n v="0"/>
    <n v="7"/>
    <n v="3"/>
    <n v="7"/>
    <n v="46"/>
    <n v="5"/>
    <n v="20"/>
    <x v="0"/>
    <x v="4"/>
    <n v="28"/>
    <n v="4"/>
    <n v="89860"/>
  </r>
  <r>
    <x v="7"/>
    <x v="31"/>
    <x v="1"/>
    <n v="88"/>
    <x v="10"/>
    <n v="23"/>
    <n v="2"/>
    <n v="22"/>
    <x v="4"/>
    <n v="5"/>
    <n v="56"/>
    <x v="10"/>
    <n v="8"/>
    <n v="6"/>
    <n v="8"/>
    <n v="11"/>
    <n v="136"/>
    <n v="9"/>
    <n v="41"/>
    <x v="0"/>
    <x v="4"/>
    <n v="36"/>
    <n v="1"/>
    <n v="180130"/>
  </r>
  <r>
    <x v="8"/>
    <x v="0"/>
    <x v="1"/>
    <n v="52"/>
    <x v="20"/>
    <n v="58"/>
    <n v="1"/>
    <n v="26"/>
    <x v="9"/>
    <n v="151"/>
    <n v="18"/>
    <x v="8"/>
    <n v="16"/>
    <n v="3"/>
    <n v="5"/>
    <n v="20"/>
    <n v="146"/>
    <n v="11"/>
    <n v="29"/>
    <x v="0"/>
    <x v="1"/>
    <n v="28"/>
    <n v="8"/>
    <n v="228800"/>
  </r>
  <r>
    <x v="8"/>
    <x v="1"/>
    <x v="1"/>
    <n v="182"/>
    <x v="7"/>
    <n v="26"/>
    <n v="5"/>
    <n v="17"/>
    <x v="1"/>
    <n v="14"/>
    <n v="26"/>
    <x v="1"/>
    <n v="7"/>
    <n v="4"/>
    <n v="6"/>
    <n v="24"/>
    <n v="57"/>
    <n v="8"/>
    <n v="12"/>
    <x v="0"/>
    <x v="4"/>
    <n v="34"/>
    <n v="2"/>
    <n v="261800"/>
  </r>
  <r>
    <x v="8"/>
    <x v="2"/>
    <x v="1"/>
    <n v="67"/>
    <x v="2"/>
    <n v="20"/>
    <n v="2"/>
    <n v="16"/>
    <x v="1"/>
    <n v="3"/>
    <n v="11"/>
    <x v="8"/>
    <n v="4"/>
    <n v="2"/>
    <n v="3"/>
    <n v="9"/>
    <n v="76"/>
    <n v="7"/>
    <n v="21"/>
    <x v="0"/>
    <x v="4"/>
    <n v="28"/>
    <n v="4"/>
    <n v="116280"/>
  </r>
  <r>
    <x v="8"/>
    <x v="3"/>
    <x v="1"/>
    <n v="77"/>
    <x v="5"/>
    <n v="22"/>
    <n v="3"/>
    <n v="6"/>
    <x v="0"/>
    <n v="8"/>
    <n v="16"/>
    <x v="4"/>
    <n v="2"/>
    <n v="6"/>
    <n v="3"/>
    <n v="10"/>
    <n v="28"/>
    <n v="6"/>
    <n v="29"/>
    <x v="0"/>
    <x v="21"/>
    <n v="53"/>
    <n v="3"/>
    <n v="86810"/>
  </r>
  <r>
    <x v="8"/>
    <x v="4"/>
    <x v="1"/>
    <n v="137"/>
    <x v="15"/>
    <n v="168"/>
    <n v="11"/>
    <n v="40"/>
    <x v="0"/>
    <n v="125"/>
    <n v="47"/>
    <x v="21"/>
    <n v="30"/>
    <n v="34"/>
    <n v="33"/>
    <n v="22"/>
    <n v="513"/>
    <n v="30"/>
    <n v="129"/>
    <x v="0"/>
    <x v="15"/>
    <n v="91"/>
    <n v="20"/>
    <n v="513210"/>
  </r>
  <r>
    <x v="8"/>
    <x v="5"/>
    <x v="1"/>
    <n v="12"/>
    <x v="7"/>
    <n v="11"/>
    <n v="1"/>
    <n v="8"/>
    <x v="1"/>
    <n v="1"/>
    <n v="4"/>
    <x v="8"/>
    <n v="1"/>
    <n v="2"/>
    <n v="6"/>
    <n v="4"/>
    <n v="41"/>
    <n v="0"/>
    <n v="3"/>
    <x v="0"/>
    <x v="4"/>
    <n v="12"/>
    <n v="1"/>
    <n v="51450"/>
  </r>
  <r>
    <x v="8"/>
    <x v="6"/>
    <x v="1"/>
    <n v="91"/>
    <x v="10"/>
    <n v="30"/>
    <n v="13"/>
    <n v="10"/>
    <x v="1"/>
    <n v="12"/>
    <n v="23"/>
    <x v="26"/>
    <n v="6"/>
    <n v="7"/>
    <n v="5"/>
    <n v="19"/>
    <n v="44"/>
    <n v="7"/>
    <n v="6"/>
    <x v="0"/>
    <x v="1"/>
    <n v="34"/>
    <n v="5"/>
    <n v="149200"/>
  </r>
  <r>
    <x v="8"/>
    <x v="7"/>
    <x v="1"/>
    <n v="34"/>
    <x v="3"/>
    <n v="45"/>
    <n v="2"/>
    <n v="12"/>
    <x v="6"/>
    <n v="54"/>
    <n v="8"/>
    <x v="10"/>
    <n v="5"/>
    <n v="6"/>
    <n v="3"/>
    <n v="12"/>
    <n v="140"/>
    <n v="32"/>
    <n v="22"/>
    <x v="0"/>
    <x v="1"/>
    <n v="20"/>
    <n v="7"/>
    <n v="148710"/>
  </r>
  <r>
    <x v="8"/>
    <x v="8"/>
    <x v="1"/>
    <n v="61"/>
    <x v="3"/>
    <n v="15"/>
    <n v="5"/>
    <n v="7"/>
    <x v="2"/>
    <n v="2"/>
    <n v="4"/>
    <x v="8"/>
    <n v="3"/>
    <n v="0"/>
    <n v="3"/>
    <n v="8"/>
    <n v="46"/>
    <n v="5"/>
    <n v="25"/>
    <x v="0"/>
    <x v="4"/>
    <n v="23"/>
    <n v="3"/>
    <n v="121940"/>
  </r>
  <r>
    <x v="8"/>
    <x v="9"/>
    <x v="1"/>
    <n v="38"/>
    <x v="7"/>
    <n v="26"/>
    <n v="2"/>
    <n v="3"/>
    <x v="1"/>
    <n v="8"/>
    <n v="5"/>
    <x v="1"/>
    <n v="5"/>
    <n v="3"/>
    <n v="19"/>
    <n v="6"/>
    <n v="43"/>
    <n v="2"/>
    <n v="28"/>
    <x v="0"/>
    <x v="7"/>
    <n v="16"/>
    <n v="3"/>
    <n v="108130"/>
  </r>
  <r>
    <x v="8"/>
    <x v="10"/>
    <x v="1"/>
    <n v="55"/>
    <x v="2"/>
    <n v="12"/>
    <n v="2"/>
    <n v="10"/>
    <x v="1"/>
    <n v="4"/>
    <n v="18"/>
    <x v="1"/>
    <n v="3"/>
    <n v="4"/>
    <n v="6"/>
    <n v="3"/>
    <n v="69"/>
    <n v="3"/>
    <n v="13"/>
    <x v="0"/>
    <x v="1"/>
    <n v="9"/>
    <n v="3"/>
    <n v="104840"/>
  </r>
  <r>
    <x v="8"/>
    <x v="11"/>
    <x v="1"/>
    <n v="29"/>
    <x v="2"/>
    <n v="14"/>
    <n v="0"/>
    <n v="8"/>
    <x v="2"/>
    <n v="4"/>
    <n v="5"/>
    <x v="3"/>
    <n v="2"/>
    <n v="1"/>
    <n v="3"/>
    <n v="5"/>
    <n v="28"/>
    <n v="2"/>
    <n v="19"/>
    <x v="0"/>
    <x v="4"/>
    <n v="14"/>
    <n v="2"/>
    <n v="94760"/>
  </r>
  <r>
    <x v="8"/>
    <x v="12"/>
    <x v="1"/>
    <n v="93"/>
    <x v="3"/>
    <n v="32"/>
    <n v="3"/>
    <n v="21"/>
    <x v="4"/>
    <n v="8"/>
    <n v="12"/>
    <x v="10"/>
    <n v="3"/>
    <n v="3"/>
    <n v="8"/>
    <n v="11"/>
    <n v="122"/>
    <n v="4"/>
    <n v="22"/>
    <x v="0"/>
    <x v="1"/>
    <n v="40"/>
    <n v="4"/>
    <n v="160130"/>
  </r>
  <r>
    <x v="8"/>
    <x v="13"/>
    <x v="1"/>
    <n v="171"/>
    <x v="9"/>
    <n v="85"/>
    <n v="8"/>
    <n v="48"/>
    <x v="8"/>
    <n v="22"/>
    <n v="31"/>
    <x v="6"/>
    <n v="13"/>
    <n v="23"/>
    <n v="19"/>
    <n v="29"/>
    <n v="237"/>
    <n v="10"/>
    <n v="21"/>
    <x v="0"/>
    <x v="7"/>
    <n v="66"/>
    <n v="11"/>
    <n v="371410"/>
  </r>
  <r>
    <x v="8"/>
    <x v="14"/>
    <x v="1"/>
    <n v="200"/>
    <x v="12"/>
    <n v="247"/>
    <n v="23"/>
    <n v="76"/>
    <x v="13"/>
    <n v="140"/>
    <n v="55"/>
    <x v="13"/>
    <n v="30"/>
    <n v="14"/>
    <n v="36"/>
    <n v="35"/>
    <n v="409"/>
    <n v="39"/>
    <n v="315"/>
    <x v="3"/>
    <x v="5"/>
    <n v="218"/>
    <n v="43"/>
    <n v="621020"/>
  </r>
  <r>
    <x v="8"/>
    <x v="15"/>
    <x v="1"/>
    <n v="236"/>
    <x v="1"/>
    <n v="51"/>
    <n v="8"/>
    <n v="30"/>
    <x v="0"/>
    <n v="19"/>
    <n v="18"/>
    <x v="4"/>
    <n v="9"/>
    <n v="8"/>
    <n v="6"/>
    <n v="29"/>
    <n v="92"/>
    <n v="15"/>
    <n v="24"/>
    <x v="0"/>
    <x v="15"/>
    <n v="65"/>
    <n v="1"/>
    <n v="235180"/>
  </r>
  <r>
    <x v="8"/>
    <x v="16"/>
    <x v="1"/>
    <n v="30"/>
    <x v="7"/>
    <n v="29"/>
    <n v="1"/>
    <n v="18"/>
    <x v="7"/>
    <n v="12"/>
    <n v="13"/>
    <x v="0"/>
    <n v="1"/>
    <n v="4"/>
    <n v="4"/>
    <n v="12"/>
    <n v="52"/>
    <n v="9"/>
    <n v="29"/>
    <x v="0"/>
    <x v="1"/>
    <n v="22"/>
    <n v="4"/>
    <n v="78760"/>
  </r>
  <r>
    <x v="8"/>
    <x v="17"/>
    <x v="1"/>
    <n v="42"/>
    <x v="2"/>
    <n v="18"/>
    <n v="1"/>
    <n v="11"/>
    <x v="0"/>
    <n v="2"/>
    <n v="10"/>
    <x v="4"/>
    <n v="3"/>
    <n v="4"/>
    <n v="5"/>
    <n v="10"/>
    <n v="45"/>
    <n v="1"/>
    <n v="12"/>
    <x v="0"/>
    <x v="4"/>
    <n v="15"/>
    <n v="2"/>
    <n v="90090"/>
  </r>
  <r>
    <x v="8"/>
    <x v="18"/>
    <x v="1"/>
    <n v="53"/>
    <x v="5"/>
    <n v="6"/>
    <n v="6"/>
    <n v="10"/>
    <x v="2"/>
    <n v="3"/>
    <n v="4"/>
    <x v="8"/>
    <n v="5"/>
    <n v="1"/>
    <n v="1"/>
    <n v="10"/>
    <n v="31"/>
    <n v="3"/>
    <n v="5"/>
    <x v="0"/>
    <x v="4"/>
    <n v="7"/>
    <n v="0"/>
    <n v="95780"/>
  </r>
  <r>
    <x v="8"/>
    <x v="19"/>
    <x v="1"/>
    <n v="16"/>
    <x v="7"/>
    <n v="5"/>
    <n v="0"/>
    <n v="0"/>
    <x v="2"/>
    <n v="5"/>
    <n v="1"/>
    <x v="1"/>
    <n v="1"/>
    <n v="0"/>
    <n v="0"/>
    <n v="5"/>
    <n v="7"/>
    <n v="0"/>
    <n v="1"/>
    <x v="0"/>
    <x v="4"/>
    <n v="8"/>
    <n v="0"/>
    <n v="26950"/>
  </r>
  <r>
    <x v="8"/>
    <x v="20"/>
    <x v="1"/>
    <n v="45"/>
    <x v="7"/>
    <n v="37"/>
    <n v="3"/>
    <n v="16"/>
    <x v="4"/>
    <n v="17"/>
    <n v="13"/>
    <x v="3"/>
    <n v="2"/>
    <n v="5"/>
    <n v="9"/>
    <n v="6"/>
    <n v="68"/>
    <n v="5"/>
    <n v="37"/>
    <x v="0"/>
    <x v="4"/>
    <n v="40"/>
    <n v="4"/>
    <n v="135790"/>
  </r>
  <r>
    <x v="8"/>
    <x v="21"/>
    <x v="1"/>
    <n v="128"/>
    <x v="1"/>
    <n v="88"/>
    <n v="1"/>
    <n v="37"/>
    <x v="9"/>
    <n v="21"/>
    <n v="13"/>
    <x v="7"/>
    <n v="10"/>
    <n v="10"/>
    <n v="26"/>
    <n v="25"/>
    <n v="128"/>
    <n v="13"/>
    <n v="85"/>
    <x v="0"/>
    <x v="4"/>
    <n v="69"/>
    <n v="6"/>
    <n v="339960"/>
  </r>
  <r>
    <x v="8"/>
    <x v="22"/>
    <x v="1"/>
    <n v="2"/>
    <x v="7"/>
    <n v="6"/>
    <n v="0"/>
    <n v="1"/>
    <x v="2"/>
    <n v="2"/>
    <n v="1"/>
    <x v="1"/>
    <n v="0"/>
    <n v="1"/>
    <n v="0"/>
    <n v="1"/>
    <n v="1"/>
    <n v="0"/>
    <n v="0"/>
    <x v="0"/>
    <x v="2"/>
    <n v="4"/>
    <n v="0"/>
    <n v="22000"/>
  </r>
  <r>
    <x v="8"/>
    <x v="23"/>
    <x v="1"/>
    <n v="118"/>
    <x v="2"/>
    <n v="29"/>
    <n v="8"/>
    <n v="11"/>
    <x v="2"/>
    <n v="10"/>
    <n v="9"/>
    <x v="4"/>
    <n v="0"/>
    <n v="5"/>
    <n v="3"/>
    <n v="15"/>
    <n v="79"/>
    <n v="17"/>
    <n v="14"/>
    <x v="0"/>
    <x v="4"/>
    <n v="22"/>
    <n v="1"/>
    <n v="151100"/>
  </r>
  <r>
    <x v="8"/>
    <x v="24"/>
    <x v="1"/>
    <n v="76"/>
    <x v="3"/>
    <n v="45"/>
    <n v="5"/>
    <n v="17"/>
    <x v="9"/>
    <n v="12"/>
    <n v="25"/>
    <x v="10"/>
    <n v="3"/>
    <n v="9"/>
    <n v="6"/>
    <n v="14"/>
    <n v="107"/>
    <n v="14"/>
    <n v="91"/>
    <x v="3"/>
    <x v="19"/>
    <n v="64"/>
    <n v="11"/>
    <n v="176830"/>
  </r>
  <r>
    <x v="8"/>
    <x v="25"/>
    <x v="1"/>
    <n v="93"/>
    <x v="2"/>
    <n v="23"/>
    <n v="7"/>
    <n v="9"/>
    <x v="0"/>
    <n v="5"/>
    <n v="21"/>
    <x v="8"/>
    <n v="4"/>
    <n v="8"/>
    <n v="6"/>
    <n v="14"/>
    <n v="85"/>
    <n v="10"/>
    <n v="8"/>
    <x v="3"/>
    <x v="4"/>
    <n v="20"/>
    <n v="1"/>
    <n v="115020"/>
  </r>
  <r>
    <x v="8"/>
    <x v="26"/>
    <x v="1"/>
    <n v="12"/>
    <x v="7"/>
    <n v="6"/>
    <n v="0"/>
    <n v="1"/>
    <x v="2"/>
    <n v="2"/>
    <n v="0"/>
    <x v="1"/>
    <n v="1"/>
    <n v="0"/>
    <n v="0"/>
    <n v="0"/>
    <n v="2"/>
    <n v="2"/>
    <n v="1"/>
    <x v="0"/>
    <x v="24"/>
    <n v="5"/>
    <n v="1"/>
    <n v="23080"/>
  </r>
  <r>
    <x v="8"/>
    <x v="27"/>
    <x v="1"/>
    <n v="69"/>
    <x v="15"/>
    <n v="14"/>
    <n v="6"/>
    <n v="18"/>
    <x v="9"/>
    <n v="7"/>
    <n v="10"/>
    <x v="4"/>
    <n v="0"/>
    <n v="4"/>
    <n v="3"/>
    <n v="6"/>
    <n v="53"/>
    <n v="8"/>
    <n v="38"/>
    <x v="0"/>
    <x v="24"/>
    <n v="16"/>
    <n v="2"/>
    <n v="112680"/>
  </r>
  <r>
    <x v="8"/>
    <x v="28"/>
    <x v="1"/>
    <n v="130"/>
    <x v="5"/>
    <n v="65"/>
    <n v="2"/>
    <n v="26"/>
    <x v="0"/>
    <n v="19"/>
    <n v="21"/>
    <x v="10"/>
    <n v="5"/>
    <n v="9"/>
    <n v="18"/>
    <n v="22"/>
    <n v="103"/>
    <n v="17"/>
    <n v="79"/>
    <x v="0"/>
    <x v="4"/>
    <n v="50"/>
    <n v="12"/>
    <n v="318170"/>
  </r>
  <r>
    <x v="8"/>
    <x v="29"/>
    <x v="1"/>
    <n v="60"/>
    <x v="2"/>
    <n v="22"/>
    <n v="12"/>
    <n v="9"/>
    <x v="2"/>
    <n v="8"/>
    <n v="13"/>
    <x v="8"/>
    <n v="3"/>
    <n v="3"/>
    <n v="4"/>
    <n v="13"/>
    <n v="49"/>
    <n v="5"/>
    <n v="8"/>
    <x v="0"/>
    <x v="4"/>
    <n v="15"/>
    <n v="1"/>
    <n v="94000"/>
  </r>
  <r>
    <x v="8"/>
    <x v="30"/>
    <x v="1"/>
    <n v="28"/>
    <x v="7"/>
    <n v="20"/>
    <n v="3"/>
    <n v="7"/>
    <x v="2"/>
    <n v="14"/>
    <n v="7"/>
    <x v="8"/>
    <n v="4"/>
    <n v="3"/>
    <n v="7"/>
    <n v="8"/>
    <n v="42"/>
    <n v="3"/>
    <n v="42"/>
    <x v="0"/>
    <x v="1"/>
    <n v="24"/>
    <n v="5"/>
    <n v="89610"/>
  </r>
  <r>
    <x v="8"/>
    <x v="31"/>
    <x v="1"/>
    <n v="96"/>
    <x v="5"/>
    <n v="27"/>
    <n v="2"/>
    <n v="26"/>
    <x v="6"/>
    <n v="3"/>
    <n v="25"/>
    <x v="7"/>
    <n v="11"/>
    <n v="10"/>
    <n v="6"/>
    <n v="9"/>
    <n v="179"/>
    <n v="6"/>
    <n v="45"/>
    <x v="0"/>
    <x v="4"/>
    <n v="34"/>
    <n v="0"/>
    <n v="181310"/>
  </r>
  <r>
    <x v="9"/>
    <x v="0"/>
    <x v="1"/>
    <n v="74"/>
    <x v="11"/>
    <n v="44"/>
    <n v="4"/>
    <n v="25"/>
    <x v="1"/>
    <n v="152"/>
    <n v="14"/>
    <x v="7"/>
    <n v="20"/>
    <n v="3"/>
    <n v="3"/>
    <n v="21"/>
    <n v="146"/>
    <n v="23"/>
    <n v="37"/>
    <x v="3"/>
    <x v="4"/>
    <n v="24"/>
    <n v="6"/>
    <n v="227560"/>
  </r>
  <r>
    <x v="9"/>
    <x v="1"/>
    <x v="1"/>
    <n v="168"/>
    <x v="2"/>
    <n v="18"/>
    <n v="4"/>
    <n v="21"/>
    <x v="0"/>
    <n v="12"/>
    <n v="36"/>
    <x v="14"/>
    <n v="8"/>
    <n v="2"/>
    <n v="3"/>
    <n v="24"/>
    <n v="74"/>
    <n v="11"/>
    <n v="13"/>
    <x v="3"/>
    <x v="4"/>
    <n v="34"/>
    <n v="2"/>
    <n v="261470"/>
  </r>
  <r>
    <x v="9"/>
    <x v="2"/>
    <x v="1"/>
    <n v="48"/>
    <x v="2"/>
    <n v="10"/>
    <n v="5"/>
    <n v="15"/>
    <x v="1"/>
    <n v="5"/>
    <n v="4"/>
    <x v="1"/>
    <n v="2"/>
    <n v="2"/>
    <n v="3"/>
    <n v="9"/>
    <n v="92"/>
    <n v="15"/>
    <n v="7"/>
    <x v="0"/>
    <x v="4"/>
    <n v="36"/>
    <n v="0"/>
    <n v="116040"/>
  </r>
  <r>
    <x v="9"/>
    <x v="3"/>
    <x v="1"/>
    <n v="71"/>
    <x v="5"/>
    <n v="17"/>
    <n v="3"/>
    <n v="8"/>
    <x v="1"/>
    <n v="10"/>
    <n v="12"/>
    <x v="10"/>
    <n v="5"/>
    <n v="3"/>
    <n v="5"/>
    <n v="13"/>
    <n v="30"/>
    <n v="5"/>
    <n v="19"/>
    <x v="0"/>
    <x v="29"/>
    <n v="81"/>
    <n v="0"/>
    <n v="86260"/>
  </r>
  <r>
    <x v="9"/>
    <x v="4"/>
    <x v="1"/>
    <n v="107"/>
    <x v="9"/>
    <n v="178"/>
    <n v="6"/>
    <n v="49"/>
    <x v="12"/>
    <n v="118"/>
    <n v="45"/>
    <x v="24"/>
    <n v="20"/>
    <n v="11"/>
    <n v="28"/>
    <n v="35"/>
    <n v="448"/>
    <n v="30"/>
    <n v="113"/>
    <x v="3"/>
    <x v="7"/>
    <n v="63"/>
    <n v="20"/>
    <n v="518500"/>
  </r>
  <r>
    <x v="9"/>
    <x v="5"/>
    <x v="1"/>
    <n v="13"/>
    <x v="2"/>
    <n v="7"/>
    <n v="1"/>
    <n v="6"/>
    <x v="2"/>
    <n v="1"/>
    <n v="3"/>
    <x v="3"/>
    <n v="2"/>
    <n v="2"/>
    <n v="4"/>
    <n v="7"/>
    <n v="50"/>
    <n v="1"/>
    <n v="5"/>
    <x v="0"/>
    <x v="4"/>
    <n v="11"/>
    <n v="0"/>
    <n v="51400"/>
  </r>
  <r>
    <x v="9"/>
    <x v="6"/>
    <x v="1"/>
    <n v="108"/>
    <x v="10"/>
    <n v="16"/>
    <n v="10"/>
    <n v="7"/>
    <x v="1"/>
    <n v="25"/>
    <n v="18"/>
    <x v="16"/>
    <n v="7"/>
    <n v="6"/>
    <n v="3"/>
    <n v="14"/>
    <n v="63"/>
    <n v="38"/>
    <n v="9"/>
    <x v="0"/>
    <x v="4"/>
    <n v="34"/>
    <n v="2"/>
    <n v="148790"/>
  </r>
  <r>
    <x v="9"/>
    <x v="7"/>
    <x v="1"/>
    <n v="38"/>
    <x v="1"/>
    <n v="54"/>
    <n v="6"/>
    <n v="17"/>
    <x v="0"/>
    <n v="38"/>
    <n v="5"/>
    <x v="16"/>
    <n v="3"/>
    <n v="4"/>
    <n v="7"/>
    <n v="9"/>
    <n v="162"/>
    <n v="50"/>
    <n v="10"/>
    <x v="0"/>
    <x v="4"/>
    <n v="33"/>
    <n v="5"/>
    <n v="148750"/>
  </r>
  <r>
    <x v="9"/>
    <x v="8"/>
    <x v="1"/>
    <n v="58"/>
    <x v="3"/>
    <n v="11"/>
    <n v="5"/>
    <n v="11"/>
    <x v="0"/>
    <n v="6"/>
    <n v="6"/>
    <x v="9"/>
    <n v="2"/>
    <n v="2"/>
    <n v="3"/>
    <n v="6"/>
    <n v="39"/>
    <n v="3"/>
    <n v="24"/>
    <x v="0"/>
    <x v="4"/>
    <n v="27"/>
    <n v="2"/>
    <n v="121840"/>
  </r>
  <r>
    <x v="9"/>
    <x v="9"/>
    <x v="1"/>
    <n v="30"/>
    <x v="3"/>
    <n v="23"/>
    <n v="2"/>
    <n v="7"/>
    <x v="2"/>
    <n v="6"/>
    <n v="2"/>
    <x v="8"/>
    <n v="4"/>
    <n v="5"/>
    <n v="25"/>
    <n v="2"/>
    <n v="43"/>
    <n v="3"/>
    <n v="31"/>
    <x v="0"/>
    <x v="4"/>
    <n v="12"/>
    <n v="4"/>
    <n v="108330"/>
  </r>
  <r>
    <x v="9"/>
    <x v="10"/>
    <x v="1"/>
    <n v="47"/>
    <x v="7"/>
    <n v="14"/>
    <n v="4"/>
    <n v="11"/>
    <x v="9"/>
    <n v="4"/>
    <n v="5"/>
    <x v="1"/>
    <n v="6"/>
    <n v="1"/>
    <n v="5"/>
    <n v="6"/>
    <n v="34"/>
    <n v="4"/>
    <n v="10"/>
    <x v="0"/>
    <x v="4"/>
    <n v="15"/>
    <n v="3"/>
    <n v="105790"/>
  </r>
  <r>
    <x v="9"/>
    <x v="11"/>
    <x v="1"/>
    <n v="19"/>
    <x v="2"/>
    <n v="13"/>
    <n v="0"/>
    <n v="8"/>
    <x v="1"/>
    <n v="6"/>
    <n v="3"/>
    <x v="3"/>
    <n v="1"/>
    <n v="0"/>
    <n v="1"/>
    <n v="4"/>
    <n v="43"/>
    <n v="6"/>
    <n v="9"/>
    <x v="3"/>
    <x v="4"/>
    <n v="7"/>
    <n v="4"/>
    <n v="95170"/>
  </r>
  <r>
    <x v="9"/>
    <x v="12"/>
    <x v="1"/>
    <n v="72"/>
    <x v="3"/>
    <n v="26"/>
    <n v="3"/>
    <n v="13"/>
    <x v="7"/>
    <n v="11"/>
    <n v="6"/>
    <x v="9"/>
    <n v="3"/>
    <n v="5"/>
    <n v="1"/>
    <n v="15"/>
    <n v="138"/>
    <n v="9"/>
    <n v="17"/>
    <x v="0"/>
    <x v="4"/>
    <n v="24"/>
    <n v="3"/>
    <n v="160340"/>
  </r>
  <r>
    <x v="9"/>
    <x v="13"/>
    <x v="1"/>
    <n v="161"/>
    <x v="3"/>
    <n v="55"/>
    <n v="14"/>
    <n v="38"/>
    <x v="4"/>
    <n v="23"/>
    <n v="32"/>
    <x v="5"/>
    <n v="22"/>
    <n v="8"/>
    <n v="24"/>
    <n v="40"/>
    <n v="269"/>
    <n v="21"/>
    <n v="27"/>
    <x v="0"/>
    <x v="1"/>
    <n v="66"/>
    <n v="3"/>
    <n v="371910"/>
  </r>
  <r>
    <x v="9"/>
    <x v="14"/>
    <x v="1"/>
    <n v="188"/>
    <x v="16"/>
    <n v="279"/>
    <n v="30"/>
    <n v="69"/>
    <x v="13"/>
    <n v="164"/>
    <n v="78"/>
    <x v="27"/>
    <n v="20"/>
    <n v="13"/>
    <n v="45"/>
    <n v="34"/>
    <n v="501"/>
    <n v="34"/>
    <n v="306"/>
    <x v="0"/>
    <x v="7"/>
    <n v="229"/>
    <n v="45"/>
    <n v="626410"/>
  </r>
  <r>
    <x v="9"/>
    <x v="15"/>
    <x v="1"/>
    <n v="177"/>
    <x v="9"/>
    <n v="36"/>
    <n v="12"/>
    <n v="20"/>
    <x v="0"/>
    <n v="15"/>
    <n v="19"/>
    <x v="10"/>
    <n v="8"/>
    <n v="5"/>
    <n v="12"/>
    <n v="30"/>
    <n v="68"/>
    <n v="14"/>
    <n v="16"/>
    <x v="0"/>
    <x v="2"/>
    <n v="76"/>
    <n v="2"/>
    <n v="235540"/>
  </r>
  <r>
    <x v="9"/>
    <x v="16"/>
    <x v="1"/>
    <n v="36"/>
    <x v="2"/>
    <n v="18"/>
    <n v="3"/>
    <n v="8"/>
    <x v="2"/>
    <n v="26"/>
    <n v="14"/>
    <x v="10"/>
    <n v="2"/>
    <n v="0"/>
    <n v="0"/>
    <n v="9"/>
    <n v="53"/>
    <n v="7"/>
    <n v="18"/>
    <x v="0"/>
    <x v="4"/>
    <n v="24"/>
    <n v="1"/>
    <n v="78150"/>
  </r>
  <r>
    <x v="9"/>
    <x v="17"/>
    <x v="1"/>
    <n v="29"/>
    <x v="2"/>
    <n v="14"/>
    <n v="3"/>
    <n v="11"/>
    <x v="2"/>
    <n v="3"/>
    <n v="3"/>
    <x v="4"/>
    <n v="3"/>
    <n v="3"/>
    <n v="4"/>
    <n v="12"/>
    <n v="52"/>
    <n v="2"/>
    <n v="7"/>
    <x v="0"/>
    <x v="4"/>
    <n v="12"/>
    <n v="0"/>
    <n v="91340"/>
  </r>
  <r>
    <x v="9"/>
    <x v="18"/>
    <x v="1"/>
    <n v="45"/>
    <x v="7"/>
    <n v="4"/>
    <n v="4"/>
    <n v="7"/>
    <x v="1"/>
    <n v="5"/>
    <n v="5"/>
    <x v="0"/>
    <n v="2"/>
    <n v="0"/>
    <n v="0"/>
    <n v="12"/>
    <n v="43"/>
    <n v="5"/>
    <n v="7"/>
    <x v="0"/>
    <x v="4"/>
    <n v="16"/>
    <n v="1"/>
    <n v="95520"/>
  </r>
  <r>
    <x v="9"/>
    <x v="19"/>
    <x v="1"/>
    <n v="21"/>
    <x v="7"/>
    <n v="7"/>
    <n v="0"/>
    <n v="1"/>
    <x v="2"/>
    <n v="7"/>
    <n v="0"/>
    <x v="0"/>
    <n v="4"/>
    <n v="0"/>
    <n v="0"/>
    <n v="11"/>
    <n v="6"/>
    <n v="1"/>
    <n v="1"/>
    <x v="0"/>
    <x v="4"/>
    <n v="8"/>
    <n v="0"/>
    <n v="26830"/>
  </r>
  <r>
    <x v="9"/>
    <x v="20"/>
    <x v="1"/>
    <n v="52"/>
    <x v="2"/>
    <n v="27"/>
    <n v="1"/>
    <n v="15"/>
    <x v="1"/>
    <n v="20"/>
    <n v="21"/>
    <x v="9"/>
    <n v="2"/>
    <n v="2"/>
    <n v="7"/>
    <n v="10"/>
    <n v="92"/>
    <n v="17"/>
    <n v="50"/>
    <x v="0"/>
    <x v="1"/>
    <n v="48"/>
    <n v="1"/>
    <n v="135280"/>
  </r>
  <r>
    <x v="9"/>
    <x v="21"/>
    <x v="1"/>
    <n v="137"/>
    <x v="1"/>
    <n v="57"/>
    <n v="4"/>
    <n v="25"/>
    <x v="0"/>
    <n v="30"/>
    <n v="23"/>
    <x v="7"/>
    <n v="10"/>
    <n v="5"/>
    <n v="34"/>
    <n v="27"/>
    <n v="150"/>
    <n v="9"/>
    <n v="72"/>
    <x v="0"/>
    <x v="4"/>
    <n v="74"/>
    <n v="13"/>
    <n v="340180"/>
  </r>
  <r>
    <x v="9"/>
    <x v="22"/>
    <x v="1"/>
    <n v="9"/>
    <x v="7"/>
    <n v="2"/>
    <n v="1"/>
    <n v="1"/>
    <x v="2"/>
    <n v="0"/>
    <n v="0"/>
    <x v="1"/>
    <n v="1"/>
    <n v="0"/>
    <n v="0"/>
    <n v="2"/>
    <n v="1"/>
    <n v="0"/>
    <n v="1"/>
    <x v="0"/>
    <x v="4"/>
    <n v="9"/>
    <n v="0"/>
    <n v="22190"/>
  </r>
  <r>
    <x v="9"/>
    <x v="23"/>
    <x v="1"/>
    <n v="83"/>
    <x v="10"/>
    <n v="27"/>
    <n v="10"/>
    <n v="17"/>
    <x v="2"/>
    <n v="11"/>
    <n v="13"/>
    <x v="9"/>
    <n v="3"/>
    <n v="2"/>
    <n v="0"/>
    <n v="20"/>
    <n v="73"/>
    <n v="18"/>
    <n v="8"/>
    <x v="0"/>
    <x v="4"/>
    <n v="25"/>
    <n v="3"/>
    <n v="151290"/>
  </r>
  <r>
    <x v="9"/>
    <x v="24"/>
    <x v="1"/>
    <n v="68"/>
    <x v="10"/>
    <n v="33"/>
    <n v="6"/>
    <n v="14"/>
    <x v="4"/>
    <n v="11"/>
    <n v="17"/>
    <x v="10"/>
    <n v="4"/>
    <n v="7"/>
    <n v="10"/>
    <n v="10"/>
    <n v="110"/>
    <n v="12"/>
    <n v="90"/>
    <x v="0"/>
    <x v="4"/>
    <n v="42"/>
    <n v="9"/>
    <n v="177790"/>
  </r>
  <r>
    <x v="9"/>
    <x v="25"/>
    <x v="1"/>
    <n v="87"/>
    <x v="5"/>
    <n v="22"/>
    <n v="6"/>
    <n v="13"/>
    <x v="7"/>
    <n v="17"/>
    <n v="8"/>
    <x v="14"/>
    <n v="4"/>
    <n v="1"/>
    <n v="1"/>
    <n v="10"/>
    <n v="78"/>
    <n v="9"/>
    <n v="17"/>
    <x v="0"/>
    <x v="4"/>
    <n v="26"/>
    <n v="1"/>
    <n v="115270"/>
  </r>
  <r>
    <x v="9"/>
    <x v="26"/>
    <x v="1"/>
    <n v="5"/>
    <x v="3"/>
    <n v="0"/>
    <n v="0"/>
    <n v="0"/>
    <x v="2"/>
    <n v="0"/>
    <n v="1"/>
    <x v="1"/>
    <n v="0"/>
    <n v="0"/>
    <n v="2"/>
    <n v="3"/>
    <n v="0"/>
    <n v="0"/>
    <n v="0"/>
    <x v="0"/>
    <x v="4"/>
    <n v="2"/>
    <n v="0"/>
    <n v="22990"/>
  </r>
  <r>
    <x v="9"/>
    <x v="27"/>
    <x v="1"/>
    <n v="54"/>
    <x v="5"/>
    <n v="31"/>
    <n v="2"/>
    <n v="6"/>
    <x v="4"/>
    <n v="15"/>
    <n v="14"/>
    <x v="4"/>
    <n v="2"/>
    <n v="4"/>
    <n v="4"/>
    <n v="8"/>
    <n v="58"/>
    <n v="11"/>
    <n v="31"/>
    <x v="0"/>
    <x v="1"/>
    <n v="24"/>
    <n v="2"/>
    <n v="112550"/>
  </r>
  <r>
    <x v="9"/>
    <x v="28"/>
    <x v="1"/>
    <n v="133"/>
    <x v="15"/>
    <n v="57"/>
    <n v="4"/>
    <n v="21"/>
    <x v="10"/>
    <n v="19"/>
    <n v="19"/>
    <x v="9"/>
    <n v="6"/>
    <n v="7"/>
    <n v="22"/>
    <n v="16"/>
    <n v="131"/>
    <n v="14"/>
    <n v="94"/>
    <x v="0"/>
    <x v="1"/>
    <n v="59"/>
    <n v="9"/>
    <n v="319020"/>
  </r>
  <r>
    <x v="9"/>
    <x v="29"/>
    <x v="1"/>
    <n v="66"/>
    <x v="7"/>
    <n v="14"/>
    <n v="10"/>
    <n v="11"/>
    <x v="7"/>
    <n v="6"/>
    <n v="20"/>
    <x v="10"/>
    <n v="3"/>
    <n v="2"/>
    <n v="4"/>
    <n v="5"/>
    <n v="50"/>
    <n v="5"/>
    <n v="2"/>
    <x v="0"/>
    <x v="4"/>
    <n v="8"/>
    <n v="0"/>
    <n v="94330"/>
  </r>
  <r>
    <x v="9"/>
    <x v="30"/>
    <x v="1"/>
    <n v="26"/>
    <x v="2"/>
    <n v="15"/>
    <n v="5"/>
    <n v="5"/>
    <x v="2"/>
    <n v="16"/>
    <n v="9"/>
    <x v="4"/>
    <n v="0"/>
    <n v="1"/>
    <n v="9"/>
    <n v="4"/>
    <n v="40"/>
    <n v="5"/>
    <n v="41"/>
    <x v="0"/>
    <x v="1"/>
    <n v="19"/>
    <n v="5"/>
    <n v="89130"/>
  </r>
  <r>
    <x v="9"/>
    <x v="31"/>
    <x v="1"/>
    <n v="83"/>
    <x v="5"/>
    <n v="27"/>
    <n v="4"/>
    <n v="14"/>
    <x v="7"/>
    <n v="11"/>
    <n v="8"/>
    <x v="7"/>
    <n v="5"/>
    <n v="2"/>
    <n v="8"/>
    <n v="12"/>
    <n v="139"/>
    <n v="3"/>
    <n v="36"/>
    <x v="0"/>
    <x v="4"/>
    <n v="23"/>
    <n v="3"/>
    <n v="182140"/>
  </r>
  <r>
    <x v="10"/>
    <x v="0"/>
    <x v="1"/>
    <n v="60"/>
    <x v="14"/>
    <n v="63"/>
    <n v="7"/>
    <n v="47"/>
    <x v="0"/>
    <n v="142"/>
    <n v="14"/>
    <x v="9"/>
    <n v="15"/>
    <n v="3"/>
    <n v="10"/>
    <n v="24"/>
    <n v="143"/>
    <n v="12"/>
    <n v="33"/>
    <x v="0"/>
    <x v="1"/>
    <n v="23"/>
    <n v="4"/>
    <n v="228670"/>
  </r>
  <r>
    <x v="10"/>
    <x v="1"/>
    <x v="1"/>
    <n v="159"/>
    <x v="2"/>
    <n v="32"/>
    <n v="5"/>
    <n v="23"/>
    <x v="2"/>
    <n v="16"/>
    <n v="60"/>
    <x v="9"/>
    <n v="6"/>
    <n v="4"/>
    <n v="4"/>
    <n v="20"/>
    <n v="87"/>
    <n v="8"/>
    <n v="14"/>
    <x v="0"/>
    <x v="4"/>
    <n v="56"/>
    <n v="5"/>
    <n v="261210"/>
  </r>
  <r>
    <x v="10"/>
    <x v="2"/>
    <x v="1"/>
    <n v="50"/>
    <x v="7"/>
    <n v="25"/>
    <n v="2"/>
    <n v="12"/>
    <x v="2"/>
    <n v="7"/>
    <n v="7"/>
    <x v="3"/>
    <n v="3"/>
    <n v="1"/>
    <n v="2"/>
    <n v="8"/>
    <n v="96"/>
    <n v="12"/>
    <n v="12"/>
    <x v="0"/>
    <x v="1"/>
    <n v="19"/>
    <n v="6"/>
    <n v="116200"/>
  </r>
  <r>
    <x v="10"/>
    <x v="3"/>
    <x v="1"/>
    <n v="60"/>
    <x v="10"/>
    <n v="26"/>
    <n v="3"/>
    <n v="9"/>
    <x v="2"/>
    <n v="9"/>
    <n v="12"/>
    <x v="4"/>
    <n v="3"/>
    <n v="1"/>
    <n v="8"/>
    <n v="9"/>
    <n v="31"/>
    <n v="13"/>
    <n v="27"/>
    <x v="0"/>
    <x v="1"/>
    <n v="72"/>
    <n v="1"/>
    <n v="85870"/>
  </r>
  <r>
    <x v="10"/>
    <x v="4"/>
    <x v="1"/>
    <n v="118"/>
    <x v="17"/>
    <n v="279"/>
    <n v="7"/>
    <n v="66"/>
    <x v="7"/>
    <n v="115"/>
    <n v="38"/>
    <x v="28"/>
    <n v="26"/>
    <n v="8"/>
    <n v="34"/>
    <n v="36"/>
    <n v="489"/>
    <n v="33"/>
    <n v="109"/>
    <x v="3"/>
    <x v="1"/>
    <n v="67"/>
    <n v="9"/>
    <n v="524930"/>
  </r>
  <r>
    <x v="10"/>
    <x v="5"/>
    <x v="1"/>
    <n v="21"/>
    <x v="7"/>
    <n v="10"/>
    <n v="5"/>
    <n v="9"/>
    <x v="2"/>
    <n v="0"/>
    <n v="7"/>
    <x v="1"/>
    <n v="0"/>
    <n v="1"/>
    <n v="3"/>
    <n v="7"/>
    <n v="53"/>
    <n v="1"/>
    <n v="2"/>
    <x v="0"/>
    <x v="4"/>
    <n v="9"/>
    <n v="1"/>
    <n v="51540"/>
  </r>
  <r>
    <x v="10"/>
    <x v="6"/>
    <x v="1"/>
    <n v="89"/>
    <x v="10"/>
    <n v="34"/>
    <n v="10"/>
    <n v="10"/>
    <x v="0"/>
    <n v="8"/>
    <n v="17"/>
    <x v="8"/>
    <n v="9"/>
    <n v="0"/>
    <n v="7"/>
    <n v="18"/>
    <n v="69"/>
    <n v="9"/>
    <n v="10"/>
    <x v="0"/>
    <x v="4"/>
    <n v="32"/>
    <n v="2"/>
    <n v="148860"/>
  </r>
  <r>
    <x v="10"/>
    <x v="7"/>
    <x v="1"/>
    <n v="54"/>
    <x v="1"/>
    <n v="57"/>
    <n v="4"/>
    <n v="20"/>
    <x v="9"/>
    <n v="38"/>
    <n v="3"/>
    <x v="14"/>
    <n v="7"/>
    <n v="4"/>
    <n v="10"/>
    <n v="7"/>
    <n v="155"/>
    <n v="25"/>
    <n v="17"/>
    <x v="0"/>
    <x v="4"/>
    <n v="26"/>
    <n v="7"/>
    <n v="149320"/>
  </r>
  <r>
    <x v="10"/>
    <x v="8"/>
    <x v="1"/>
    <n v="67"/>
    <x v="2"/>
    <n v="40"/>
    <n v="7"/>
    <n v="19"/>
    <x v="0"/>
    <n v="2"/>
    <n v="7"/>
    <x v="14"/>
    <n v="0"/>
    <n v="1"/>
    <n v="4"/>
    <n v="7"/>
    <n v="53"/>
    <n v="3"/>
    <n v="26"/>
    <x v="3"/>
    <x v="4"/>
    <n v="22"/>
    <n v="2"/>
    <n v="122010"/>
  </r>
  <r>
    <x v="10"/>
    <x v="9"/>
    <x v="1"/>
    <n v="38"/>
    <x v="1"/>
    <n v="12"/>
    <n v="1"/>
    <n v="6"/>
    <x v="0"/>
    <n v="12"/>
    <n v="4"/>
    <x v="3"/>
    <n v="5"/>
    <n v="2"/>
    <n v="45"/>
    <n v="7"/>
    <n v="42"/>
    <n v="2"/>
    <n v="23"/>
    <x v="0"/>
    <x v="4"/>
    <n v="26"/>
    <n v="2"/>
    <n v="108640"/>
  </r>
  <r>
    <x v="10"/>
    <x v="10"/>
    <x v="1"/>
    <n v="36"/>
    <x v="7"/>
    <n v="25"/>
    <n v="1"/>
    <n v="5"/>
    <x v="1"/>
    <n v="9"/>
    <n v="5"/>
    <x v="3"/>
    <n v="5"/>
    <n v="1"/>
    <n v="6"/>
    <n v="6"/>
    <n v="69"/>
    <n v="6"/>
    <n v="16"/>
    <x v="0"/>
    <x v="4"/>
    <n v="13"/>
    <n v="1"/>
    <n v="107090"/>
  </r>
  <r>
    <x v="10"/>
    <x v="11"/>
    <x v="1"/>
    <n v="20"/>
    <x v="5"/>
    <n v="7"/>
    <n v="1"/>
    <n v="4"/>
    <x v="1"/>
    <n v="4"/>
    <n v="5"/>
    <x v="3"/>
    <n v="1"/>
    <n v="0"/>
    <n v="2"/>
    <n v="6"/>
    <n v="43"/>
    <n v="3"/>
    <n v="12"/>
    <x v="0"/>
    <x v="4"/>
    <n v="13"/>
    <n v="0"/>
    <n v="95530"/>
  </r>
  <r>
    <x v="10"/>
    <x v="12"/>
    <x v="1"/>
    <n v="86"/>
    <x v="5"/>
    <n v="45"/>
    <n v="3"/>
    <n v="16"/>
    <x v="9"/>
    <n v="15"/>
    <n v="13"/>
    <x v="0"/>
    <n v="6"/>
    <n v="3"/>
    <n v="14"/>
    <n v="15"/>
    <n v="138"/>
    <n v="9"/>
    <n v="19"/>
    <x v="0"/>
    <x v="1"/>
    <n v="22"/>
    <n v="0"/>
    <n v="160890"/>
  </r>
  <r>
    <x v="10"/>
    <x v="13"/>
    <x v="1"/>
    <n v="150"/>
    <x v="5"/>
    <n v="121"/>
    <n v="13"/>
    <n v="52"/>
    <x v="0"/>
    <n v="36"/>
    <n v="24"/>
    <x v="2"/>
    <n v="18"/>
    <n v="3"/>
    <n v="24"/>
    <n v="42"/>
    <n v="363"/>
    <n v="14"/>
    <n v="25"/>
    <x v="0"/>
    <x v="4"/>
    <n v="43"/>
    <n v="5"/>
    <n v="373550"/>
  </r>
  <r>
    <x v="10"/>
    <x v="14"/>
    <x v="1"/>
    <n v="210"/>
    <x v="21"/>
    <n v="286"/>
    <n v="50"/>
    <n v="74"/>
    <x v="14"/>
    <n v="147"/>
    <n v="78"/>
    <x v="29"/>
    <n v="13"/>
    <n v="7"/>
    <n v="48"/>
    <n v="42"/>
    <n v="704"/>
    <n v="38"/>
    <n v="288"/>
    <x v="2"/>
    <x v="7"/>
    <n v="237"/>
    <n v="35"/>
    <n v="633120"/>
  </r>
  <r>
    <x v="10"/>
    <x v="15"/>
    <x v="1"/>
    <n v="211"/>
    <x v="10"/>
    <n v="60"/>
    <n v="13"/>
    <n v="19"/>
    <x v="0"/>
    <n v="13"/>
    <n v="12"/>
    <x v="12"/>
    <n v="11"/>
    <n v="0"/>
    <n v="7"/>
    <n v="28"/>
    <n v="105"/>
    <n v="11"/>
    <n v="21"/>
    <x v="0"/>
    <x v="2"/>
    <n v="88"/>
    <n v="8"/>
    <n v="235830"/>
  </r>
  <r>
    <x v="10"/>
    <x v="16"/>
    <x v="1"/>
    <n v="28"/>
    <x v="7"/>
    <n v="25"/>
    <n v="3"/>
    <n v="13"/>
    <x v="1"/>
    <n v="10"/>
    <n v="8"/>
    <x v="8"/>
    <n v="3"/>
    <n v="1"/>
    <n v="9"/>
    <n v="7"/>
    <n v="75"/>
    <n v="4"/>
    <n v="14"/>
    <x v="0"/>
    <x v="4"/>
    <n v="27"/>
    <n v="4"/>
    <n v="77800"/>
  </r>
  <r>
    <x v="10"/>
    <x v="17"/>
    <x v="1"/>
    <n v="37"/>
    <x v="2"/>
    <n v="10"/>
    <n v="3"/>
    <n v="7"/>
    <x v="2"/>
    <n v="6"/>
    <n v="4"/>
    <x v="0"/>
    <n v="2"/>
    <n v="2"/>
    <n v="4"/>
    <n v="16"/>
    <n v="61"/>
    <n v="4"/>
    <n v="10"/>
    <x v="0"/>
    <x v="4"/>
    <n v="15"/>
    <n v="2"/>
    <n v="92460"/>
  </r>
  <r>
    <x v="10"/>
    <x v="18"/>
    <x v="1"/>
    <n v="51"/>
    <x v="7"/>
    <n v="15"/>
    <n v="7"/>
    <n v="10"/>
    <x v="1"/>
    <n v="5"/>
    <n v="6"/>
    <x v="0"/>
    <n v="4"/>
    <n v="1"/>
    <n v="1"/>
    <n v="7"/>
    <n v="49"/>
    <n v="5"/>
    <n v="5"/>
    <x v="0"/>
    <x v="4"/>
    <n v="28"/>
    <n v="5"/>
    <n v="95820"/>
  </r>
  <r>
    <x v="10"/>
    <x v="19"/>
    <x v="1"/>
    <n v="14"/>
    <x v="5"/>
    <n v="2"/>
    <n v="0"/>
    <n v="5"/>
    <x v="2"/>
    <n v="1"/>
    <n v="0"/>
    <x v="1"/>
    <n v="2"/>
    <n v="0"/>
    <n v="0"/>
    <n v="9"/>
    <n v="7"/>
    <n v="0"/>
    <n v="3"/>
    <x v="0"/>
    <x v="2"/>
    <n v="10"/>
    <n v="0"/>
    <n v="26720"/>
  </r>
  <r>
    <x v="10"/>
    <x v="20"/>
    <x v="1"/>
    <n v="43"/>
    <x v="7"/>
    <n v="36"/>
    <n v="3"/>
    <n v="20"/>
    <x v="9"/>
    <n v="19"/>
    <n v="12"/>
    <x v="8"/>
    <n v="1"/>
    <n v="8"/>
    <n v="7"/>
    <n v="9"/>
    <n v="116"/>
    <n v="8"/>
    <n v="38"/>
    <x v="0"/>
    <x v="4"/>
    <n v="48"/>
    <n v="6"/>
    <n v="134740"/>
  </r>
  <r>
    <x v="10"/>
    <x v="21"/>
    <x v="1"/>
    <n v="121"/>
    <x v="15"/>
    <n v="65"/>
    <n v="4"/>
    <n v="27"/>
    <x v="11"/>
    <n v="17"/>
    <n v="34"/>
    <x v="16"/>
    <n v="6"/>
    <n v="5"/>
    <n v="30"/>
    <n v="18"/>
    <n v="195"/>
    <n v="16"/>
    <n v="85"/>
    <x v="0"/>
    <x v="4"/>
    <n v="82"/>
    <n v="11"/>
    <n v="341370"/>
  </r>
  <r>
    <x v="10"/>
    <x v="22"/>
    <x v="1"/>
    <n v="9"/>
    <x v="5"/>
    <n v="0"/>
    <n v="0"/>
    <n v="1"/>
    <x v="2"/>
    <n v="0"/>
    <n v="1"/>
    <x v="1"/>
    <n v="1"/>
    <n v="0"/>
    <n v="0"/>
    <n v="3"/>
    <n v="3"/>
    <n v="0"/>
    <n v="0"/>
    <x v="0"/>
    <x v="4"/>
    <n v="9"/>
    <n v="0"/>
    <n v="22270"/>
  </r>
  <r>
    <x v="10"/>
    <x v="23"/>
    <x v="1"/>
    <n v="88"/>
    <x v="5"/>
    <n v="35"/>
    <n v="24"/>
    <n v="13"/>
    <x v="2"/>
    <n v="12"/>
    <n v="13"/>
    <x v="9"/>
    <n v="1"/>
    <n v="3"/>
    <n v="3"/>
    <n v="13"/>
    <n v="79"/>
    <n v="22"/>
    <n v="12"/>
    <x v="0"/>
    <x v="4"/>
    <n v="22"/>
    <n v="1"/>
    <n v="151950"/>
  </r>
  <r>
    <x v="10"/>
    <x v="24"/>
    <x v="1"/>
    <n v="71"/>
    <x v="17"/>
    <n v="57"/>
    <n v="4"/>
    <n v="12"/>
    <x v="9"/>
    <n v="19"/>
    <n v="12"/>
    <x v="9"/>
    <n v="3"/>
    <n v="3"/>
    <n v="11"/>
    <n v="9"/>
    <n v="131"/>
    <n v="10"/>
    <n v="80"/>
    <x v="0"/>
    <x v="9"/>
    <n v="53"/>
    <n v="8"/>
    <n v="179100"/>
  </r>
  <r>
    <x v="10"/>
    <x v="25"/>
    <x v="1"/>
    <n v="99"/>
    <x v="3"/>
    <n v="56"/>
    <n v="6"/>
    <n v="17"/>
    <x v="9"/>
    <n v="10"/>
    <n v="14"/>
    <x v="10"/>
    <n v="13"/>
    <n v="1"/>
    <n v="5"/>
    <n v="18"/>
    <n v="89"/>
    <n v="9"/>
    <n v="14"/>
    <x v="0"/>
    <x v="1"/>
    <n v="32"/>
    <n v="2"/>
    <n v="115510"/>
  </r>
  <r>
    <x v="10"/>
    <x v="26"/>
    <x v="1"/>
    <n v="6"/>
    <x v="3"/>
    <n v="2"/>
    <n v="0"/>
    <n v="0"/>
    <x v="1"/>
    <n v="0"/>
    <n v="1"/>
    <x v="3"/>
    <n v="0"/>
    <n v="0"/>
    <n v="2"/>
    <n v="0"/>
    <n v="2"/>
    <n v="0"/>
    <n v="5"/>
    <x v="0"/>
    <x v="1"/>
    <n v="6"/>
    <n v="0"/>
    <n v="22920"/>
  </r>
  <r>
    <x v="10"/>
    <x v="27"/>
    <x v="1"/>
    <n v="56"/>
    <x v="5"/>
    <n v="31"/>
    <n v="5"/>
    <n v="15"/>
    <x v="0"/>
    <n v="19"/>
    <n v="15"/>
    <x v="14"/>
    <n v="3"/>
    <n v="1"/>
    <n v="6"/>
    <n v="13"/>
    <n v="74"/>
    <n v="7"/>
    <n v="43"/>
    <x v="0"/>
    <x v="7"/>
    <n v="26"/>
    <n v="9"/>
    <n v="112610"/>
  </r>
  <r>
    <x v="10"/>
    <x v="28"/>
    <x v="1"/>
    <n v="151"/>
    <x v="17"/>
    <n v="78"/>
    <n v="11"/>
    <n v="26"/>
    <x v="9"/>
    <n v="29"/>
    <n v="31"/>
    <x v="26"/>
    <n v="9"/>
    <n v="5"/>
    <n v="13"/>
    <n v="14"/>
    <n v="184"/>
    <n v="13"/>
    <n v="95"/>
    <x v="0"/>
    <x v="1"/>
    <n v="66"/>
    <n v="14"/>
    <n v="320530"/>
  </r>
  <r>
    <x v="10"/>
    <x v="29"/>
    <x v="1"/>
    <n v="56"/>
    <x v="7"/>
    <n v="39"/>
    <n v="12"/>
    <n v="15"/>
    <x v="0"/>
    <n v="11"/>
    <n v="8"/>
    <x v="4"/>
    <n v="1"/>
    <n v="0"/>
    <n v="6"/>
    <n v="11"/>
    <n v="63"/>
    <n v="2"/>
    <n v="10"/>
    <x v="0"/>
    <x v="4"/>
    <n v="14"/>
    <n v="2"/>
    <n v="94210"/>
  </r>
  <r>
    <x v="10"/>
    <x v="30"/>
    <x v="1"/>
    <n v="25"/>
    <x v="2"/>
    <n v="27"/>
    <n v="2"/>
    <n v="7"/>
    <x v="2"/>
    <n v="13"/>
    <n v="14"/>
    <x v="9"/>
    <n v="2"/>
    <n v="1"/>
    <n v="5"/>
    <n v="5"/>
    <n v="67"/>
    <n v="3"/>
    <n v="33"/>
    <x v="0"/>
    <x v="4"/>
    <n v="29"/>
    <n v="3"/>
    <n v="88930"/>
  </r>
  <r>
    <x v="10"/>
    <x v="31"/>
    <x v="1"/>
    <n v="87"/>
    <x v="7"/>
    <n v="27"/>
    <n v="2"/>
    <n v="20"/>
    <x v="1"/>
    <n v="4"/>
    <n v="5"/>
    <x v="0"/>
    <n v="8"/>
    <n v="1"/>
    <n v="14"/>
    <n v="13"/>
    <n v="157"/>
    <n v="8"/>
    <n v="38"/>
    <x v="0"/>
    <x v="1"/>
    <n v="24"/>
    <n v="5"/>
    <n v="183100"/>
  </r>
  <r>
    <x v="10"/>
    <x v="32"/>
    <x v="1"/>
    <n v="1"/>
    <x v="7"/>
    <n v="0"/>
    <n v="0"/>
    <n v="0"/>
    <x v="2"/>
    <n v="0"/>
    <n v="0"/>
    <x v="1"/>
    <n v="0"/>
    <n v="0"/>
    <n v="0"/>
    <n v="0"/>
    <n v="0"/>
    <n v="0"/>
    <n v="0"/>
    <x v="0"/>
    <x v="4"/>
    <n v="0"/>
    <n v="0"/>
    <m/>
  </r>
  <r>
    <x v="11"/>
    <x v="0"/>
    <x v="1"/>
    <n v="58"/>
    <x v="16"/>
    <n v="78"/>
    <n v="6"/>
    <n v="38"/>
    <x v="9"/>
    <n v="97"/>
    <n v="7"/>
    <x v="12"/>
    <n v="12"/>
    <n v="4"/>
    <n v="10"/>
    <n v="20"/>
    <n v="135"/>
    <n v="20"/>
    <n v="31"/>
    <x v="0"/>
    <x v="4"/>
    <n v="20"/>
    <n v="9"/>
    <n v="229060"/>
  </r>
  <r>
    <x v="11"/>
    <x v="1"/>
    <x v="1"/>
    <n v="149"/>
    <x v="1"/>
    <n v="44"/>
    <n v="7"/>
    <n v="16"/>
    <x v="4"/>
    <n v="5"/>
    <n v="8"/>
    <x v="9"/>
    <n v="6"/>
    <n v="1"/>
    <n v="5"/>
    <n v="37"/>
    <n v="90"/>
    <n v="7"/>
    <n v="14"/>
    <x v="2"/>
    <x v="1"/>
    <n v="43"/>
    <n v="6"/>
    <n v="260780"/>
  </r>
  <r>
    <x v="11"/>
    <x v="2"/>
    <x v="1"/>
    <n v="49"/>
    <x v="2"/>
    <n v="20"/>
    <n v="7"/>
    <n v="20"/>
    <x v="2"/>
    <n v="11"/>
    <n v="5"/>
    <x v="10"/>
    <n v="0"/>
    <n v="4"/>
    <n v="1"/>
    <n v="14"/>
    <n v="110"/>
    <n v="9"/>
    <n v="10"/>
    <x v="0"/>
    <x v="4"/>
    <n v="21"/>
    <n v="4"/>
    <n v="115820"/>
  </r>
  <r>
    <x v="11"/>
    <x v="3"/>
    <x v="1"/>
    <n v="28"/>
    <x v="10"/>
    <n v="17"/>
    <n v="2"/>
    <n v="8"/>
    <x v="1"/>
    <n v="4"/>
    <n v="12"/>
    <x v="3"/>
    <n v="1"/>
    <n v="3"/>
    <n v="6"/>
    <n v="4"/>
    <n v="37"/>
    <n v="7"/>
    <n v="20"/>
    <x v="0"/>
    <x v="4"/>
    <n v="58"/>
    <n v="2"/>
    <n v="85430"/>
  </r>
  <r>
    <x v="11"/>
    <x v="4"/>
    <x v="1"/>
    <n v="81"/>
    <x v="15"/>
    <n v="190"/>
    <n v="12"/>
    <n v="62"/>
    <x v="8"/>
    <n v="56"/>
    <n v="21"/>
    <x v="25"/>
    <n v="24"/>
    <n v="7"/>
    <n v="24"/>
    <n v="38"/>
    <n v="469"/>
    <n v="43"/>
    <n v="53"/>
    <x v="0"/>
    <x v="4"/>
    <n v="55"/>
    <n v="19"/>
    <n v="527620"/>
  </r>
  <r>
    <x v="11"/>
    <x v="5"/>
    <x v="1"/>
    <n v="11"/>
    <x v="7"/>
    <n v="15"/>
    <n v="0"/>
    <n v="8"/>
    <x v="2"/>
    <n v="0"/>
    <n v="2"/>
    <x v="1"/>
    <n v="1"/>
    <n v="2"/>
    <n v="6"/>
    <n v="7"/>
    <n v="45"/>
    <n v="3"/>
    <n v="5"/>
    <x v="0"/>
    <x v="4"/>
    <n v="8"/>
    <n v="0"/>
    <n v="51290"/>
  </r>
  <r>
    <x v="11"/>
    <x v="6"/>
    <x v="1"/>
    <n v="51"/>
    <x v="3"/>
    <n v="14"/>
    <n v="12"/>
    <n v="17"/>
    <x v="1"/>
    <n v="13"/>
    <n v="18"/>
    <x v="12"/>
    <n v="12"/>
    <n v="2"/>
    <n v="4"/>
    <n v="14"/>
    <n v="67"/>
    <n v="7"/>
    <n v="4"/>
    <x v="0"/>
    <x v="1"/>
    <n v="34"/>
    <n v="8"/>
    <n v="148290"/>
  </r>
  <r>
    <x v="11"/>
    <x v="7"/>
    <x v="1"/>
    <n v="31"/>
    <x v="5"/>
    <n v="55"/>
    <n v="2"/>
    <n v="30"/>
    <x v="7"/>
    <n v="22"/>
    <n v="8"/>
    <x v="18"/>
    <n v="5"/>
    <n v="3"/>
    <n v="12"/>
    <n v="18"/>
    <n v="146"/>
    <n v="51"/>
    <n v="16"/>
    <x v="0"/>
    <x v="4"/>
    <n v="35"/>
    <n v="9"/>
    <n v="148820"/>
  </r>
  <r>
    <x v="11"/>
    <x v="8"/>
    <x v="1"/>
    <n v="44"/>
    <x v="7"/>
    <n v="29"/>
    <n v="6"/>
    <n v="15"/>
    <x v="9"/>
    <n v="2"/>
    <n v="8"/>
    <x v="8"/>
    <n v="0"/>
    <n v="1"/>
    <n v="8"/>
    <n v="5"/>
    <n v="56"/>
    <n v="5"/>
    <n v="27"/>
    <x v="0"/>
    <x v="1"/>
    <n v="24"/>
    <n v="4"/>
    <n v="121600"/>
  </r>
  <r>
    <x v="11"/>
    <x v="9"/>
    <x v="1"/>
    <n v="13"/>
    <x v="3"/>
    <n v="13"/>
    <n v="2"/>
    <n v="11"/>
    <x v="1"/>
    <n v="1"/>
    <n v="6"/>
    <x v="0"/>
    <n v="2"/>
    <n v="1"/>
    <n v="22"/>
    <n v="4"/>
    <n v="41"/>
    <n v="2"/>
    <n v="13"/>
    <x v="0"/>
    <x v="1"/>
    <n v="18"/>
    <n v="4"/>
    <n v="108750"/>
  </r>
  <r>
    <x v="11"/>
    <x v="10"/>
    <x v="1"/>
    <n v="25"/>
    <x v="2"/>
    <n v="15"/>
    <n v="3"/>
    <n v="15"/>
    <x v="2"/>
    <n v="1"/>
    <n v="9"/>
    <x v="10"/>
    <n v="2"/>
    <n v="2"/>
    <n v="12"/>
    <n v="5"/>
    <n v="59"/>
    <n v="4"/>
    <n v="10"/>
    <x v="0"/>
    <x v="1"/>
    <n v="17"/>
    <n v="0"/>
    <n v="107900"/>
  </r>
  <r>
    <x v="11"/>
    <x v="11"/>
    <x v="1"/>
    <n v="11"/>
    <x v="2"/>
    <n v="13"/>
    <n v="0"/>
    <n v="3"/>
    <x v="0"/>
    <n v="5"/>
    <n v="2"/>
    <x v="3"/>
    <n v="0"/>
    <n v="0"/>
    <n v="5"/>
    <n v="11"/>
    <n v="32"/>
    <n v="2"/>
    <n v="14"/>
    <x v="0"/>
    <x v="4"/>
    <n v="11"/>
    <n v="1"/>
    <n v="96060"/>
  </r>
  <r>
    <x v="11"/>
    <x v="12"/>
    <x v="1"/>
    <n v="53"/>
    <x v="2"/>
    <n v="43"/>
    <n v="13"/>
    <n v="16"/>
    <x v="6"/>
    <n v="7"/>
    <n v="9"/>
    <x v="0"/>
    <n v="9"/>
    <n v="2"/>
    <n v="10"/>
    <n v="18"/>
    <n v="100"/>
    <n v="6"/>
    <n v="17"/>
    <x v="0"/>
    <x v="4"/>
    <n v="32"/>
    <n v="1"/>
    <n v="160560"/>
  </r>
  <r>
    <x v="11"/>
    <x v="13"/>
    <x v="1"/>
    <n v="100"/>
    <x v="7"/>
    <n v="145"/>
    <n v="11"/>
    <n v="56"/>
    <x v="4"/>
    <n v="16"/>
    <n v="23"/>
    <x v="2"/>
    <n v="12"/>
    <n v="7"/>
    <n v="28"/>
    <n v="34"/>
    <n v="298"/>
    <n v="14"/>
    <n v="32"/>
    <x v="0"/>
    <x v="7"/>
    <n v="45"/>
    <n v="7"/>
    <n v="374130"/>
  </r>
  <r>
    <x v="11"/>
    <x v="14"/>
    <x v="1"/>
    <n v="151"/>
    <x v="14"/>
    <n v="329"/>
    <n v="34"/>
    <n v="64"/>
    <x v="15"/>
    <n v="86"/>
    <n v="56"/>
    <x v="19"/>
    <n v="18"/>
    <n v="8"/>
    <n v="67"/>
    <n v="53"/>
    <n v="634"/>
    <n v="20"/>
    <n v="249"/>
    <x v="3"/>
    <x v="1"/>
    <n v="207"/>
    <n v="41"/>
    <n v="635640"/>
  </r>
  <r>
    <x v="11"/>
    <x v="15"/>
    <x v="1"/>
    <n v="140"/>
    <x v="3"/>
    <n v="41"/>
    <n v="17"/>
    <n v="31"/>
    <x v="6"/>
    <n v="4"/>
    <n v="10"/>
    <x v="14"/>
    <n v="6"/>
    <n v="2"/>
    <n v="6"/>
    <n v="23"/>
    <n v="112"/>
    <n v="13"/>
    <n v="12"/>
    <x v="0"/>
    <x v="1"/>
    <n v="81"/>
    <n v="3"/>
    <n v="235430"/>
  </r>
  <r>
    <x v="11"/>
    <x v="16"/>
    <x v="1"/>
    <n v="26"/>
    <x v="2"/>
    <n v="23"/>
    <n v="2"/>
    <n v="10"/>
    <x v="7"/>
    <n v="5"/>
    <n v="6"/>
    <x v="0"/>
    <n v="6"/>
    <n v="0"/>
    <n v="5"/>
    <n v="6"/>
    <n v="72"/>
    <n v="4"/>
    <n v="25"/>
    <x v="0"/>
    <x v="7"/>
    <n v="16"/>
    <n v="1"/>
    <n v="77060"/>
  </r>
  <r>
    <x v="11"/>
    <x v="17"/>
    <x v="1"/>
    <n v="21"/>
    <x v="7"/>
    <n v="20"/>
    <n v="6"/>
    <n v="5"/>
    <x v="2"/>
    <n v="1"/>
    <n v="7"/>
    <x v="4"/>
    <n v="2"/>
    <n v="0"/>
    <n v="10"/>
    <n v="6"/>
    <n v="45"/>
    <n v="3"/>
    <n v="5"/>
    <x v="0"/>
    <x v="4"/>
    <n v="18"/>
    <n v="1"/>
    <n v="93150"/>
  </r>
  <r>
    <x v="11"/>
    <x v="18"/>
    <x v="1"/>
    <n v="29"/>
    <x v="2"/>
    <n v="9"/>
    <n v="5"/>
    <n v="5"/>
    <x v="2"/>
    <n v="2"/>
    <n v="1"/>
    <x v="1"/>
    <n v="4"/>
    <n v="1"/>
    <n v="2"/>
    <n v="8"/>
    <n v="46"/>
    <n v="0"/>
    <n v="4"/>
    <x v="0"/>
    <x v="4"/>
    <n v="32"/>
    <n v="2"/>
    <n v="95710"/>
  </r>
  <r>
    <x v="11"/>
    <x v="19"/>
    <x v="1"/>
    <n v="16"/>
    <x v="2"/>
    <n v="6"/>
    <n v="0"/>
    <n v="3"/>
    <x v="1"/>
    <n v="0"/>
    <n v="0"/>
    <x v="0"/>
    <n v="0"/>
    <n v="0"/>
    <n v="0"/>
    <n v="4"/>
    <n v="4"/>
    <n v="6"/>
    <n v="0"/>
    <x v="0"/>
    <x v="4"/>
    <n v="5"/>
    <n v="0"/>
    <n v="26500"/>
  </r>
  <r>
    <x v="11"/>
    <x v="20"/>
    <x v="1"/>
    <n v="35"/>
    <x v="10"/>
    <n v="56"/>
    <n v="4"/>
    <n v="22"/>
    <x v="7"/>
    <n v="8"/>
    <n v="8"/>
    <x v="8"/>
    <n v="3"/>
    <n v="3"/>
    <n v="13"/>
    <n v="10"/>
    <n v="140"/>
    <n v="14"/>
    <n v="39"/>
    <x v="0"/>
    <x v="1"/>
    <n v="49"/>
    <n v="7"/>
    <n v="134250"/>
  </r>
  <r>
    <x v="11"/>
    <x v="21"/>
    <x v="1"/>
    <n v="73"/>
    <x v="15"/>
    <n v="56"/>
    <n v="12"/>
    <n v="37"/>
    <x v="6"/>
    <n v="16"/>
    <n v="27"/>
    <x v="18"/>
    <n v="7"/>
    <n v="6"/>
    <n v="23"/>
    <n v="28"/>
    <n v="193"/>
    <n v="10"/>
    <n v="65"/>
    <x v="0"/>
    <x v="4"/>
    <n v="74"/>
    <n v="16"/>
    <n v="341140"/>
  </r>
  <r>
    <x v="11"/>
    <x v="22"/>
    <x v="1"/>
    <n v="12"/>
    <x v="7"/>
    <n v="2"/>
    <n v="0"/>
    <n v="1"/>
    <x v="2"/>
    <n v="0"/>
    <n v="3"/>
    <x v="1"/>
    <n v="0"/>
    <n v="1"/>
    <n v="1"/>
    <n v="3"/>
    <n v="4"/>
    <n v="0"/>
    <n v="1"/>
    <x v="0"/>
    <x v="4"/>
    <n v="8"/>
    <n v="1"/>
    <n v="22400"/>
  </r>
  <r>
    <x v="11"/>
    <x v="23"/>
    <x v="1"/>
    <n v="59"/>
    <x v="3"/>
    <n v="88"/>
    <n v="19"/>
    <n v="13"/>
    <x v="7"/>
    <n v="17"/>
    <n v="5"/>
    <x v="12"/>
    <n v="3"/>
    <n v="1"/>
    <n v="6"/>
    <n v="12"/>
    <n v="65"/>
    <n v="26"/>
    <n v="11"/>
    <x v="0"/>
    <x v="1"/>
    <n v="28"/>
    <n v="2"/>
    <n v="151910"/>
  </r>
  <r>
    <x v="11"/>
    <x v="24"/>
    <x v="1"/>
    <n v="49"/>
    <x v="3"/>
    <n v="67"/>
    <n v="6"/>
    <n v="22"/>
    <x v="4"/>
    <n v="9"/>
    <n v="12"/>
    <x v="7"/>
    <n v="6"/>
    <n v="5"/>
    <n v="19"/>
    <n v="13"/>
    <n v="116"/>
    <n v="7"/>
    <n v="68"/>
    <x v="0"/>
    <x v="7"/>
    <n v="36"/>
    <n v="8"/>
    <n v="179390"/>
  </r>
  <r>
    <x v="11"/>
    <x v="25"/>
    <x v="1"/>
    <n v="52"/>
    <x v="5"/>
    <n v="29"/>
    <n v="6"/>
    <n v="18"/>
    <x v="4"/>
    <n v="5"/>
    <n v="16"/>
    <x v="4"/>
    <n v="2"/>
    <n v="2"/>
    <n v="7"/>
    <n v="14"/>
    <n v="75"/>
    <n v="10"/>
    <n v="15"/>
    <x v="0"/>
    <x v="7"/>
    <n v="27"/>
    <n v="1"/>
    <n v="115240"/>
  </r>
  <r>
    <x v="11"/>
    <x v="26"/>
    <x v="1"/>
    <n v="4"/>
    <x v="10"/>
    <n v="3"/>
    <n v="0"/>
    <n v="1"/>
    <x v="1"/>
    <n v="1"/>
    <n v="1"/>
    <x v="4"/>
    <n v="0"/>
    <n v="0"/>
    <n v="0"/>
    <n v="2"/>
    <n v="4"/>
    <n v="0"/>
    <n v="0"/>
    <x v="0"/>
    <x v="1"/>
    <n v="2"/>
    <n v="0"/>
    <n v="22870"/>
  </r>
  <r>
    <x v="11"/>
    <x v="27"/>
    <x v="1"/>
    <n v="23"/>
    <x v="7"/>
    <n v="17"/>
    <n v="7"/>
    <n v="15"/>
    <x v="9"/>
    <n v="4"/>
    <n v="7"/>
    <x v="14"/>
    <n v="1"/>
    <n v="2"/>
    <n v="2"/>
    <n v="8"/>
    <n v="82"/>
    <n v="5"/>
    <n v="33"/>
    <x v="0"/>
    <x v="4"/>
    <n v="26"/>
    <n v="8"/>
    <n v="112140"/>
  </r>
  <r>
    <x v="11"/>
    <x v="28"/>
    <x v="1"/>
    <n v="77"/>
    <x v="15"/>
    <n v="78"/>
    <n v="7"/>
    <n v="31"/>
    <x v="6"/>
    <n v="5"/>
    <n v="22"/>
    <x v="7"/>
    <n v="2"/>
    <n v="6"/>
    <n v="30"/>
    <n v="22"/>
    <n v="192"/>
    <n v="13"/>
    <n v="73"/>
    <x v="0"/>
    <x v="4"/>
    <n v="60"/>
    <n v="14"/>
    <n v="320820"/>
  </r>
  <r>
    <x v="11"/>
    <x v="29"/>
    <x v="1"/>
    <n v="44"/>
    <x v="7"/>
    <n v="22"/>
    <n v="15"/>
    <n v="7"/>
    <x v="2"/>
    <n v="3"/>
    <n v="8"/>
    <x v="8"/>
    <n v="1"/>
    <n v="2"/>
    <n v="10"/>
    <n v="11"/>
    <n v="41"/>
    <n v="3"/>
    <n v="4"/>
    <x v="0"/>
    <x v="4"/>
    <n v="18"/>
    <n v="4"/>
    <n v="94080"/>
  </r>
  <r>
    <x v="11"/>
    <x v="30"/>
    <x v="1"/>
    <n v="18"/>
    <x v="2"/>
    <n v="32"/>
    <n v="3"/>
    <n v="6"/>
    <x v="6"/>
    <n v="7"/>
    <n v="8"/>
    <x v="3"/>
    <n v="2"/>
    <n v="1"/>
    <n v="14"/>
    <n v="6"/>
    <n v="60"/>
    <n v="7"/>
    <n v="30"/>
    <x v="0"/>
    <x v="4"/>
    <n v="22"/>
    <n v="3"/>
    <n v="88340"/>
  </r>
  <r>
    <x v="11"/>
    <x v="31"/>
    <x v="1"/>
    <n v="63"/>
    <x v="2"/>
    <n v="48"/>
    <n v="4"/>
    <n v="25"/>
    <x v="4"/>
    <n v="2"/>
    <n v="7"/>
    <x v="18"/>
    <n v="9"/>
    <n v="2"/>
    <n v="24"/>
    <n v="12"/>
    <n v="165"/>
    <n v="5"/>
    <n v="23"/>
    <x v="0"/>
    <x v="4"/>
    <n v="31"/>
    <n v="4"/>
    <n v="183820"/>
  </r>
</pivotCacheRecords>
</file>

<file path=xl/pivotCache/pivotCacheRecords9.xml><?xml version="1.0" encoding="utf-8"?>
<pivotCacheRecords xmlns="http://schemas.openxmlformats.org/spreadsheetml/2006/main" xmlns:r="http://schemas.openxmlformats.org/officeDocument/2006/relationships" count="380">
  <r>
    <x v="0"/>
    <x v="0"/>
    <n v="16"/>
    <x v="0"/>
    <n v="16"/>
  </r>
  <r>
    <x v="0"/>
    <x v="1"/>
    <n v="9"/>
    <x v="0"/>
    <n v="9"/>
  </r>
  <r>
    <x v="0"/>
    <x v="2"/>
    <n v="40"/>
    <x v="1"/>
    <n v="35"/>
  </r>
  <r>
    <x v="0"/>
    <x v="3"/>
    <n v="30"/>
    <x v="2"/>
    <n v="29"/>
  </r>
  <r>
    <x v="0"/>
    <x v="4"/>
    <n v="195"/>
    <x v="3"/>
    <n v="171"/>
  </r>
  <r>
    <x v="0"/>
    <x v="5"/>
    <n v="6"/>
    <x v="0"/>
    <n v="6"/>
  </r>
  <r>
    <x v="0"/>
    <x v="6"/>
    <n v="13"/>
    <x v="0"/>
    <n v="13"/>
  </r>
  <r>
    <x v="0"/>
    <x v="7"/>
    <n v="97"/>
    <x v="4"/>
    <n v="81"/>
  </r>
  <r>
    <x v="0"/>
    <x v="8"/>
    <n v="26"/>
    <x v="0"/>
    <n v="26"/>
  </r>
  <r>
    <x v="0"/>
    <x v="9"/>
    <n v="17"/>
    <x v="2"/>
    <n v="16"/>
  </r>
  <r>
    <x v="0"/>
    <x v="10"/>
    <n v="30"/>
    <x v="5"/>
    <n v="28"/>
  </r>
  <r>
    <x v="0"/>
    <x v="11"/>
    <n v="18"/>
    <x v="0"/>
    <n v="18"/>
  </r>
  <r>
    <x v="0"/>
    <x v="12"/>
    <n v="17"/>
    <x v="2"/>
    <n v="16"/>
  </r>
  <r>
    <x v="0"/>
    <x v="13"/>
    <n v="7"/>
    <x v="6"/>
    <n v="3"/>
  </r>
  <r>
    <x v="0"/>
    <x v="14"/>
    <n v="181"/>
    <x v="7"/>
    <n v="168"/>
  </r>
  <r>
    <x v="0"/>
    <x v="15"/>
    <n v="257"/>
    <x v="8"/>
    <n v="210"/>
  </r>
  <r>
    <x v="0"/>
    <x v="16"/>
    <n v="14"/>
    <x v="2"/>
    <n v="13"/>
  </r>
  <r>
    <x v="0"/>
    <x v="17"/>
    <n v="13"/>
    <x v="0"/>
    <n v="13"/>
  </r>
  <r>
    <x v="0"/>
    <x v="18"/>
    <n v="1"/>
    <x v="0"/>
    <n v="1"/>
  </r>
  <r>
    <x v="0"/>
    <x v="19"/>
    <n v="21"/>
    <x v="0"/>
    <n v="21"/>
  </r>
  <r>
    <x v="0"/>
    <x v="20"/>
    <n v="40"/>
    <x v="9"/>
    <n v="37"/>
  </r>
  <r>
    <x v="0"/>
    <x v="21"/>
    <n v="57"/>
    <x v="5"/>
    <n v="55"/>
  </r>
  <r>
    <x v="0"/>
    <x v="22"/>
    <n v="17"/>
    <x v="2"/>
    <n v="16"/>
  </r>
  <r>
    <x v="0"/>
    <x v="23"/>
    <n v="80"/>
    <x v="10"/>
    <n v="74"/>
  </r>
  <r>
    <x v="0"/>
    <x v="24"/>
    <n v="81"/>
    <x v="6"/>
    <n v="77"/>
  </r>
  <r>
    <x v="0"/>
    <x v="25"/>
    <n v="39"/>
    <x v="9"/>
    <n v="36"/>
  </r>
  <r>
    <x v="0"/>
    <x v="26"/>
    <n v="10"/>
    <x v="2"/>
    <n v="9"/>
  </r>
  <r>
    <x v="0"/>
    <x v="27"/>
    <n v="26"/>
    <x v="2"/>
    <n v="25"/>
  </r>
  <r>
    <x v="0"/>
    <x v="28"/>
    <n v="60"/>
    <x v="9"/>
    <n v="57"/>
  </r>
  <r>
    <x v="0"/>
    <x v="29"/>
    <n v="6"/>
    <x v="0"/>
    <n v="6"/>
  </r>
  <r>
    <x v="0"/>
    <x v="30"/>
    <n v="20"/>
    <x v="0"/>
    <n v="20"/>
  </r>
  <r>
    <x v="0"/>
    <x v="31"/>
    <n v="58"/>
    <x v="10"/>
    <n v="52"/>
  </r>
  <r>
    <x v="1"/>
    <x v="0"/>
    <n v="13"/>
    <x v="2"/>
    <n v="12"/>
  </r>
  <r>
    <x v="1"/>
    <x v="1"/>
    <n v="8"/>
    <x v="0"/>
    <n v="8"/>
  </r>
  <r>
    <x v="1"/>
    <x v="2"/>
    <n v="43"/>
    <x v="11"/>
    <n v="36"/>
  </r>
  <r>
    <x v="1"/>
    <x v="3"/>
    <n v="9"/>
    <x v="0"/>
    <n v="9"/>
  </r>
  <r>
    <x v="1"/>
    <x v="4"/>
    <n v="142"/>
    <x v="12"/>
    <n v="131"/>
  </r>
  <r>
    <x v="1"/>
    <x v="5"/>
    <n v="3"/>
    <x v="0"/>
    <n v="3"/>
  </r>
  <r>
    <x v="1"/>
    <x v="6"/>
    <n v="11"/>
    <x v="0"/>
    <n v="11"/>
  </r>
  <r>
    <x v="1"/>
    <x v="7"/>
    <n v="96"/>
    <x v="4"/>
    <n v="80"/>
  </r>
  <r>
    <x v="1"/>
    <x v="8"/>
    <n v="31"/>
    <x v="0"/>
    <n v="31"/>
  </r>
  <r>
    <x v="1"/>
    <x v="9"/>
    <n v="7"/>
    <x v="0"/>
    <n v="7"/>
  </r>
  <r>
    <x v="1"/>
    <x v="10"/>
    <n v="23"/>
    <x v="2"/>
    <n v="22"/>
  </r>
  <r>
    <x v="1"/>
    <x v="11"/>
    <n v="6"/>
    <x v="0"/>
    <n v="6"/>
  </r>
  <r>
    <x v="1"/>
    <x v="12"/>
    <n v="18"/>
    <x v="0"/>
    <n v="18"/>
  </r>
  <r>
    <x v="1"/>
    <x v="13"/>
    <n v="10"/>
    <x v="13"/>
    <n v="0"/>
  </r>
  <r>
    <x v="1"/>
    <x v="14"/>
    <n v="115"/>
    <x v="2"/>
    <n v="114"/>
  </r>
  <r>
    <x v="1"/>
    <x v="15"/>
    <n v="307"/>
    <x v="14"/>
    <n v="290"/>
  </r>
  <r>
    <x v="1"/>
    <x v="16"/>
    <n v="11"/>
    <x v="0"/>
    <n v="11"/>
  </r>
  <r>
    <x v="1"/>
    <x v="17"/>
    <n v="39"/>
    <x v="1"/>
    <n v="34"/>
  </r>
  <r>
    <x v="1"/>
    <x v="18"/>
    <n v="6"/>
    <x v="0"/>
    <n v="6"/>
  </r>
  <r>
    <x v="1"/>
    <x v="19"/>
    <n v="5"/>
    <x v="0"/>
    <n v="5"/>
  </r>
  <r>
    <x v="1"/>
    <x v="20"/>
    <n v="21"/>
    <x v="0"/>
    <n v="21"/>
  </r>
  <r>
    <x v="1"/>
    <x v="21"/>
    <n v="39"/>
    <x v="2"/>
    <n v="38"/>
  </r>
  <r>
    <x v="1"/>
    <x v="22"/>
    <n v="18"/>
    <x v="2"/>
    <n v="17"/>
  </r>
  <r>
    <x v="1"/>
    <x v="23"/>
    <n v="68"/>
    <x v="6"/>
    <n v="64"/>
  </r>
  <r>
    <x v="1"/>
    <x v="24"/>
    <n v="62"/>
    <x v="9"/>
    <n v="59"/>
  </r>
  <r>
    <x v="1"/>
    <x v="25"/>
    <n v="58"/>
    <x v="5"/>
    <n v="56"/>
  </r>
  <r>
    <x v="1"/>
    <x v="26"/>
    <n v="9"/>
    <x v="5"/>
    <n v="7"/>
  </r>
  <r>
    <x v="1"/>
    <x v="27"/>
    <n v="12"/>
    <x v="2"/>
    <n v="11"/>
  </r>
  <r>
    <x v="1"/>
    <x v="28"/>
    <n v="47"/>
    <x v="5"/>
    <n v="45"/>
  </r>
  <r>
    <x v="1"/>
    <x v="29"/>
    <n v="12"/>
    <x v="0"/>
    <n v="12"/>
  </r>
  <r>
    <x v="1"/>
    <x v="30"/>
    <n v="26"/>
    <x v="0"/>
    <n v="26"/>
  </r>
  <r>
    <x v="1"/>
    <x v="31"/>
    <n v="37"/>
    <x v="5"/>
    <n v="35"/>
  </r>
  <r>
    <x v="2"/>
    <x v="0"/>
    <n v="11"/>
    <x v="2"/>
    <n v="10"/>
  </r>
  <r>
    <x v="2"/>
    <x v="1"/>
    <n v="9"/>
    <x v="2"/>
    <n v="8"/>
  </r>
  <r>
    <x v="2"/>
    <x v="2"/>
    <n v="58"/>
    <x v="9"/>
    <n v="55"/>
  </r>
  <r>
    <x v="2"/>
    <x v="3"/>
    <n v="26"/>
    <x v="0"/>
    <n v="26"/>
  </r>
  <r>
    <x v="2"/>
    <x v="4"/>
    <n v="119"/>
    <x v="9"/>
    <n v="116"/>
  </r>
  <r>
    <x v="2"/>
    <x v="5"/>
    <n v="4"/>
    <x v="2"/>
    <n v="3"/>
  </r>
  <r>
    <x v="2"/>
    <x v="6"/>
    <n v="4"/>
    <x v="0"/>
    <n v="4"/>
  </r>
  <r>
    <x v="2"/>
    <x v="7"/>
    <n v="69"/>
    <x v="15"/>
    <n v="60"/>
  </r>
  <r>
    <x v="2"/>
    <x v="8"/>
    <n v="22"/>
    <x v="2"/>
    <n v="21"/>
  </r>
  <r>
    <x v="2"/>
    <x v="9"/>
    <n v="10"/>
    <x v="2"/>
    <n v="9"/>
  </r>
  <r>
    <x v="2"/>
    <x v="10"/>
    <n v="30"/>
    <x v="2"/>
    <n v="29"/>
  </r>
  <r>
    <x v="2"/>
    <x v="11"/>
    <n v="2"/>
    <x v="0"/>
    <n v="2"/>
  </r>
  <r>
    <x v="2"/>
    <x v="12"/>
    <n v="17"/>
    <x v="0"/>
    <n v="17"/>
  </r>
  <r>
    <x v="2"/>
    <x v="13"/>
    <n v="9"/>
    <x v="11"/>
    <n v="2"/>
  </r>
  <r>
    <x v="2"/>
    <x v="14"/>
    <n v="139"/>
    <x v="9"/>
    <n v="136"/>
  </r>
  <r>
    <x v="2"/>
    <x v="15"/>
    <n v="250"/>
    <x v="16"/>
    <n v="232"/>
  </r>
  <r>
    <x v="2"/>
    <x v="16"/>
    <n v="18"/>
    <x v="0"/>
    <n v="18"/>
  </r>
  <r>
    <x v="2"/>
    <x v="17"/>
    <n v="26"/>
    <x v="2"/>
    <n v="25"/>
  </r>
  <r>
    <x v="2"/>
    <x v="18"/>
    <n v="1"/>
    <x v="2"/>
    <n v="0"/>
  </r>
  <r>
    <x v="2"/>
    <x v="19"/>
    <n v="16"/>
    <x v="0"/>
    <n v="16"/>
  </r>
  <r>
    <x v="2"/>
    <x v="20"/>
    <n v="22"/>
    <x v="0"/>
    <n v="22"/>
  </r>
  <r>
    <x v="2"/>
    <x v="21"/>
    <n v="46"/>
    <x v="0"/>
    <n v="46"/>
  </r>
  <r>
    <x v="2"/>
    <x v="22"/>
    <n v="15"/>
    <x v="0"/>
    <n v="15"/>
  </r>
  <r>
    <x v="2"/>
    <x v="23"/>
    <n v="50"/>
    <x v="0"/>
    <n v="50"/>
  </r>
  <r>
    <x v="2"/>
    <x v="24"/>
    <n v="33"/>
    <x v="2"/>
    <n v="32"/>
  </r>
  <r>
    <x v="2"/>
    <x v="25"/>
    <n v="41"/>
    <x v="9"/>
    <n v="38"/>
  </r>
  <r>
    <x v="2"/>
    <x v="26"/>
    <n v="8"/>
    <x v="0"/>
    <n v="8"/>
  </r>
  <r>
    <x v="2"/>
    <x v="27"/>
    <n v="9"/>
    <x v="2"/>
    <n v="8"/>
  </r>
  <r>
    <x v="2"/>
    <x v="28"/>
    <n v="37"/>
    <x v="0"/>
    <n v="37"/>
  </r>
  <r>
    <x v="2"/>
    <x v="29"/>
    <n v="17"/>
    <x v="0"/>
    <n v="17"/>
  </r>
  <r>
    <x v="2"/>
    <x v="30"/>
    <n v="35"/>
    <x v="9"/>
    <n v="32"/>
  </r>
  <r>
    <x v="2"/>
    <x v="31"/>
    <n v="33"/>
    <x v="6"/>
    <n v="29"/>
  </r>
  <r>
    <x v="3"/>
    <x v="0"/>
    <n v="8"/>
    <x v="0"/>
    <n v="8"/>
  </r>
  <r>
    <x v="3"/>
    <x v="1"/>
    <n v="3"/>
    <x v="0"/>
    <n v="3"/>
  </r>
  <r>
    <x v="3"/>
    <x v="2"/>
    <n v="10"/>
    <x v="2"/>
    <n v="9"/>
  </r>
  <r>
    <x v="3"/>
    <x v="3"/>
    <n v="44"/>
    <x v="0"/>
    <n v="44"/>
  </r>
  <r>
    <x v="3"/>
    <x v="4"/>
    <n v="77"/>
    <x v="9"/>
    <n v="74"/>
  </r>
  <r>
    <x v="3"/>
    <x v="5"/>
    <n v="2"/>
    <x v="0"/>
    <n v="2"/>
  </r>
  <r>
    <x v="3"/>
    <x v="6"/>
    <n v="2"/>
    <x v="0"/>
    <n v="2"/>
  </r>
  <r>
    <x v="3"/>
    <x v="7"/>
    <n v="14"/>
    <x v="5"/>
    <n v="12"/>
  </r>
  <r>
    <x v="3"/>
    <x v="8"/>
    <n v="11"/>
    <x v="0"/>
    <n v="11"/>
  </r>
  <r>
    <x v="3"/>
    <x v="9"/>
    <n v="13"/>
    <x v="0"/>
    <n v="13"/>
  </r>
  <r>
    <x v="3"/>
    <x v="10"/>
    <n v="4"/>
    <x v="0"/>
    <n v="4"/>
  </r>
  <r>
    <x v="3"/>
    <x v="11"/>
    <n v="6"/>
    <x v="0"/>
    <n v="6"/>
  </r>
  <r>
    <x v="3"/>
    <x v="12"/>
    <n v="13"/>
    <x v="0"/>
    <n v="13"/>
  </r>
  <r>
    <x v="3"/>
    <x v="13"/>
    <n v="1"/>
    <x v="0"/>
    <n v="1"/>
  </r>
  <r>
    <x v="3"/>
    <x v="14"/>
    <n v="93"/>
    <x v="9"/>
    <n v="90"/>
  </r>
  <r>
    <x v="3"/>
    <x v="15"/>
    <n v="98"/>
    <x v="5"/>
    <n v="96"/>
  </r>
  <r>
    <x v="3"/>
    <x v="16"/>
    <n v="3"/>
    <x v="0"/>
    <n v="3"/>
  </r>
  <r>
    <x v="3"/>
    <x v="17"/>
    <n v="4"/>
    <x v="2"/>
    <n v="3"/>
  </r>
  <r>
    <x v="3"/>
    <x v="18"/>
    <n v="7"/>
    <x v="0"/>
    <n v="7"/>
  </r>
  <r>
    <x v="3"/>
    <x v="20"/>
    <n v="10"/>
    <x v="0"/>
    <n v="10"/>
  </r>
  <r>
    <x v="3"/>
    <x v="21"/>
    <n v="38"/>
    <x v="0"/>
    <n v="38"/>
  </r>
  <r>
    <x v="3"/>
    <x v="22"/>
    <n v="9"/>
    <x v="0"/>
    <n v="9"/>
  </r>
  <r>
    <x v="3"/>
    <x v="23"/>
    <n v="7"/>
    <x v="0"/>
    <n v="7"/>
  </r>
  <r>
    <x v="3"/>
    <x v="24"/>
    <n v="46"/>
    <x v="5"/>
    <n v="44"/>
  </r>
  <r>
    <x v="3"/>
    <x v="25"/>
    <n v="26"/>
    <x v="0"/>
    <n v="26"/>
  </r>
  <r>
    <x v="3"/>
    <x v="26"/>
    <n v="3"/>
    <x v="0"/>
    <n v="3"/>
  </r>
  <r>
    <x v="3"/>
    <x v="27"/>
    <n v="10"/>
    <x v="0"/>
    <n v="10"/>
  </r>
  <r>
    <x v="3"/>
    <x v="28"/>
    <n v="39"/>
    <x v="2"/>
    <n v="38"/>
  </r>
  <r>
    <x v="3"/>
    <x v="29"/>
    <n v="5"/>
    <x v="5"/>
    <n v="3"/>
  </r>
  <r>
    <x v="3"/>
    <x v="30"/>
    <n v="14"/>
    <x v="2"/>
    <n v="13"/>
  </r>
  <r>
    <x v="3"/>
    <x v="31"/>
    <n v="18"/>
    <x v="0"/>
    <n v="18"/>
  </r>
  <r>
    <x v="4"/>
    <x v="0"/>
    <n v="20"/>
    <x v="5"/>
    <n v="18"/>
  </r>
  <r>
    <x v="4"/>
    <x v="1"/>
    <n v="5"/>
    <x v="0"/>
    <n v="5"/>
  </r>
  <r>
    <x v="4"/>
    <x v="2"/>
    <n v="9"/>
    <x v="0"/>
    <n v="9"/>
  </r>
  <r>
    <x v="4"/>
    <x v="3"/>
    <n v="21"/>
    <x v="0"/>
    <n v="21"/>
  </r>
  <r>
    <x v="4"/>
    <x v="4"/>
    <n v="55"/>
    <x v="5"/>
    <n v="53"/>
  </r>
  <r>
    <x v="4"/>
    <x v="5"/>
    <n v="3"/>
    <x v="0"/>
    <n v="3"/>
  </r>
  <r>
    <x v="4"/>
    <x v="6"/>
    <n v="4"/>
    <x v="0"/>
    <n v="4"/>
  </r>
  <r>
    <x v="4"/>
    <x v="7"/>
    <n v="10"/>
    <x v="0"/>
    <n v="10"/>
  </r>
  <r>
    <x v="4"/>
    <x v="8"/>
    <n v="11"/>
    <x v="0"/>
    <n v="11"/>
  </r>
  <r>
    <x v="4"/>
    <x v="9"/>
    <n v="5"/>
    <x v="2"/>
    <n v="4"/>
  </r>
  <r>
    <x v="4"/>
    <x v="10"/>
    <n v="7"/>
    <x v="0"/>
    <n v="7"/>
  </r>
  <r>
    <x v="4"/>
    <x v="11"/>
    <n v="6"/>
    <x v="0"/>
    <n v="6"/>
  </r>
  <r>
    <x v="4"/>
    <x v="12"/>
    <n v="10"/>
    <x v="0"/>
    <n v="10"/>
  </r>
  <r>
    <x v="4"/>
    <x v="13"/>
    <n v="1"/>
    <x v="0"/>
    <n v="1"/>
  </r>
  <r>
    <x v="4"/>
    <x v="14"/>
    <n v="102"/>
    <x v="11"/>
    <n v="95"/>
  </r>
  <r>
    <x v="4"/>
    <x v="15"/>
    <n v="45"/>
    <x v="0"/>
    <n v="45"/>
  </r>
  <r>
    <x v="4"/>
    <x v="16"/>
    <n v="7"/>
    <x v="0"/>
    <n v="7"/>
  </r>
  <r>
    <x v="4"/>
    <x v="17"/>
    <n v="3"/>
    <x v="0"/>
    <n v="3"/>
  </r>
  <r>
    <x v="4"/>
    <x v="18"/>
    <n v="1"/>
    <x v="2"/>
    <n v="0"/>
  </r>
  <r>
    <x v="4"/>
    <x v="19"/>
    <n v="2"/>
    <x v="0"/>
    <n v="2"/>
  </r>
  <r>
    <x v="4"/>
    <x v="20"/>
    <n v="13"/>
    <x v="0"/>
    <n v="13"/>
  </r>
  <r>
    <x v="4"/>
    <x v="21"/>
    <n v="37"/>
    <x v="0"/>
    <n v="37"/>
  </r>
  <r>
    <x v="4"/>
    <x v="22"/>
    <n v="7"/>
    <x v="0"/>
    <n v="7"/>
  </r>
  <r>
    <x v="4"/>
    <x v="23"/>
    <n v="10"/>
    <x v="0"/>
    <n v="10"/>
  </r>
  <r>
    <x v="4"/>
    <x v="24"/>
    <n v="47"/>
    <x v="2"/>
    <n v="46"/>
  </r>
  <r>
    <x v="4"/>
    <x v="25"/>
    <n v="14"/>
    <x v="2"/>
    <n v="13"/>
  </r>
  <r>
    <x v="4"/>
    <x v="26"/>
    <n v="2"/>
    <x v="0"/>
    <n v="2"/>
  </r>
  <r>
    <x v="4"/>
    <x v="27"/>
    <n v="15"/>
    <x v="0"/>
    <n v="15"/>
  </r>
  <r>
    <x v="4"/>
    <x v="28"/>
    <n v="26"/>
    <x v="0"/>
    <n v="26"/>
  </r>
  <r>
    <x v="4"/>
    <x v="29"/>
    <n v="8"/>
    <x v="0"/>
    <n v="8"/>
  </r>
  <r>
    <x v="4"/>
    <x v="30"/>
    <n v="11"/>
    <x v="0"/>
    <n v="11"/>
  </r>
  <r>
    <x v="4"/>
    <x v="31"/>
    <n v="15"/>
    <x v="0"/>
    <n v="15"/>
  </r>
  <r>
    <x v="5"/>
    <x v="0"/>
    <n v="27"/>
    <x v="6"/>
    <n v="23"/>
  </r>
  <r>
    <x v="5"/>
    <x v="1"/>
    <n v="9"/>
    <x v="0"/>
    <n v="9"/>
  </r>
  <r>
    <x v="5"/>
    <x v="2"/>
    <n v="6"/>
    <x v="0"/>
    <n v="6"/>
  </r>
  <r>
    <x v="5"/>
    <x v="3"/>
    <n v="16"/>
    <x v="0"/>
    <n v="16"/>
  </r>
  <r>
    <x v="5"/>
    <x v="4"/>
    <n v="63"/>
    <x v="9"/>
    <n v="60"/>
  </r>
  <r>
    <x v="5"/>
    <x v="5"/>
    <n v="5"/>
    <x v="0"/>
    <n v="5"/>
  </r>
  <r>
    <x v="5"/>
    <x v="6"/>
    <n v="15"/>
    <x v="0"/>
    <n v="15"/>
  </r>
  <r>
    <x v="5"/>
    <x v="7"/>
    <n v="13"/>
    <x v="0"/>
    <n v="13"/>
  </r>
  <r>
    <x v="5"/>
    <x v="8"/>
    <n v="12"/>
    <x v="2"/>
    <n v="11"/>
  </r>
  <r>
    <x v="5"/>
    <x v="9"/>
    <n v="7"/>
    <x v="0"/>
    <n v="7"/>
  </r>
  <r>
    <x v="5"/>
    <x v="10"/>
    <n v="6"/>
    <x v="2"/>
    <n v="5"/>
  </r>
  <r>
    <x v="5"/>
    <x v="11"/>
    <n v="6"/>
    <x v="0"/>
    <n v="6"/>
  </r>
  <r>
    <x v="5"/>
    <x v="12"/>
    <n v="13"/>
    <x v="0"/>
    <n v="13"/>
  </r>
  <r>
    <x v="5"/>
    <x v="13"/>
    <n v="19"/>
    <x v="5"/>
    <n v="17"/>
  </r>
  <r>
    <x v="5"/>
    <x v="14"/>
    <n v="109"/>
    <x v="6"/>
    <n v="105"/>
  </r>
  <r>
    <x v="5"/>
    <x v="15"/>
    <n v="46"/>
    <x v="0"/>
    <n v="46"/>
  </r>
  <r>
    <x v="5"/>
    <x v="16"/>
    <n v="8"/>
    <x v="0"/>
    <n v="8"/>
  </r>
  <r>
    <x v="5"/>
    <x v="17"/>
    <n v="4"/>
    <x v="0"/>
    <n v="4"/>
  </r>
  <r>
    <x v="5"/>
    <x v="19"/>
    <n v="4"/>
    <x v="0"/>
    <n v="4"/>
  </r>
  <r>
    <x v="5"/>
    <x v="20"/>
    <n v="40"/>
    <x v="2"/>
    <n v="39"/>
  </r>
  <r>
    <x v="5"/>
    <x v="21"/>
    <n v="45"/>
    <x v="0"/>
    <n v="45"/>
  </r>
  <r>
    <x v="5"/>
    <x v="22"/>
    <n v="14"/>
    <x v="2"/>
    <n v="13"/>
  </r>
  <r>
    <x v="5"/>
    <x v="23"/>
    <n v="8"/>
    <x v="0"/>
    <n v="8"/>
  </r>
  <r>
    <x v="5"/>
    <x v="24"/>
    <n v="21"/>
    <x v="0"/>
    <n v="21"/>
  </r>
  <r>
    <x v="5"/>
    <x v="25"/>
    <n v="11"/>
    <x v="0"/>
    <n v="11"/>
  </r>
  <r>
    <x v="5"/>
    <x v="26"/>
    <n v="3"/>
    <x v="0"/>
    <n v="3"/>
  </r>
  <r>
    <x v="5"/>
    <x v="27"/>
    <n v="13"/>
    <x v="0"/>
    <n v="13"/>
  </r>
  <r>
    <x v="5"/>
    <x v="28"/>
    <n v="43"/>
    <x v="2"/>
    <n v="42"/>
  </r>
  <r>
    <x v="5"/>
    <x v="29"/>
    <n v="18"/>
    <x v="2"/>
    <n v="17"/>
  </r>
  <r>
    <x v="5"/>
    <x v="30"/>
    <n v="21"/>
    <x v="0"/>
    <n v="21"/>
  </r>
  <r>
    <x v="5"/>
    <x v="31"/>
    <n v="10"/>
    <x v="0"/>
    <n v="10"/>
  </r>
  <r>
    <x v="6"/>
    <x v="0"/>
    <n v="27"/>
    <x v="9"/>
    <n v="24"/>
  </r>
  <r>
    <x v="6"/>
    <x v="1"/>
    <n v="7"/>
    <x v="5"/>
    <n v="5"/>
  </r>
  <r>
    <x v="6"/>
    <x v="2"/>
    <n v="4"/>
    <x v="0"/>
    <n v="4"/>
  </r>
  <r>
    <x v="6"/>
    <x v="3"/>
    <n v="14"/>
    <x v="0"/>
    <n v="14"/>
  </r>
  <r>
    <x v="6"/>
    <x v="4"/>
    <n v="56"/>
    <x v="6"/>
    <n v="52"/>
  </r>
  <r>
    <x v="6"/>
    <x v="5"/>
    <n v="3"/>
    <x v="0"/>
    <n v="3"/>
  </r>
  <r>
    <x v="6"/>
    <x v="6"/>
    <n v="15"/>
    <x v="0"/>
    <n v="15"/>
  </r>
  <r>
    <x v="6"/>
    <x v="7"/>
    <n v="9"/>
    <x v="0"/>
    <n v="9"/>
  </r>
  <r>
    <x v="6"/>
    <x v="8"/>
    <n v="9"/>
    <x v="2"/>
    <n v="8"/>
  </r>
  <r>
    <x v="6"/>
    <x v="9"/>
    <n v="8"/>
    <x v="0"/>
    <n v="8"/>
  </r>
  <r>
    <x v="6"/>
    <x v="10"/>
    <n v="7"/>
    <x v="0"/>
    <n v="7"/>
  </r>
  <r>
    <x v="6"/>
    <x v="11"/>
    <n v="10"/>
    <x v="0"/>
    <n v="10"/>
  </r>
  <r>
    <x v="6"/>
    <x v="12"/>
    <n v="15"/>
    <x v="0"/>
    <n v="15"/>
  </r>
  <r>
    <x v="6"/>
    <x v="13"/>
    <n v="22"/>
    <x v="0"/>
    <n v="22"/>
  </r>
  <r>
    <x v="6"/>
    <x v="14"/>
    <n v="86"/>
    <x v="17"/>
    <n v="78"/>
  </r>
  <r>
    <x v="6"/>
    <x v="15"/>
    <n v="53"/>
    <x v="0"/>
    <n v="53"/>
  </r>
  <r>
    <x v="6"/>
    <x v="16"/>
    <n v="8"/>
    <x v="0"/>
    <n v="8"/>
  </r>
  <r>
    <x v="6"/>
    <x v="17"/>
    <n v="6"/>
    <x v="0"/>
    <n v="6"/>
  </r>
  <r>
    <x v="6"/>
    <x v="18"/>
    <n v="5"/>
    <x v="0"/>
    <n v="5"/>
  </r>
  <r>
    <x v="6"/>
    <x v="19"/>
    <n v="5"/>
    <x v="0"/>
    <n v="5"/>
  </r>
  <r>
    <x v="6"/>
    <x v="20"/>
    <n v="16"/>
    <x v="0"/>
    <n v="16"/>
  </r>
  <r>
    <x v="6"/>
    <x v="21"/>
    <n v="42"/>
    <x v="9"/>
    <n v="39"/>
  </r>
  <r>
    <x v="6"/>
    <x v="22"/>
    <n v="15"/>
    <x v="0"/>
    <n v="15"/>
  </r>
  <r>
    <x v="6"/>
    <x v="23"/>
    <n v="8"/>
    <x v="0"/>
    <n v="8"/>
  </r>
  <r>
    <x v="6"/>
    <x v="24"/>
    <n v="19"/>
    <x v="0"/>
    <n v="19"/>
  </r>
  <r>
    <x v="6"/>
    <x v="25"/>
    <n v="12"/>
    <x v="0"/>
    <n v="12"/>
  </r>
  <r>
    <x v="6"/>
    <x v="26"/>
    <n v="2"/>
    <x v="0"/>
    <n v="2"/>
  </r>
  <r>
    <x v="6"/>
    <x v="27"/>
    <n v="19"/>
    <x v="5"/>
    <n v="17"/>
  </r>
  <r>
    <x v="6"/>
    <x v="28"/>
    <n v="26"/>
    <x v="0"/>
    <n v="26"/>
  </r>
  <r>
    <x v="6"/>
    <x v="29"/>
    <n v="10"/>
    <x v="0"/>
    <n v="10"/>
  </r>
  <r>
    <x v="6"/>
    <x v="30"/>
    <n v="10"/>
    <x v="2"/>
    <n v="9"/>
  </r>
  <r>
    <x v="6"/>
    <x v="31"/>
    <n v="8"/>
    <x v="0"/>
    <n v="8"/>
  </r>
  <r>
    <x v="7"/>
    <x v="0"/>
    <n v="25"/>
    <x v="5"/>
    <n v="23"/>
  </r>
  <r>
    <x v="7"/>
    <x v="1"/>
    <n v="14"/>
    <x v="0"/>
    <n v="14"/>
  </r>
  <r>
    <x v="7"/>
    <x v="2"/>
    <n v="5"/>
    <x v="0"/>
    <n v="5"/>
  </r>
  <r>
    <x v="7"/>
    <x v="3"/>
    <n v="12"/>
    <x v="0"/>
    <n v="12"/>
  </r>
  <r>
    <x v="7"/>
    <x v="4"/>
    <n v="107"/>
    <x v="9"/>
    <n v="104"/>
  </r>
  <r>
    <x v="7"/>
    <x v="5"/>
    <n v="5"/>
    <x v="0"/>
    <n v="5"/>
  </r>
  <r>
    <x v="7"/>
    <x v="6"/>
    <n v="14"/>
    <x v="2"/>
    <n v="13"/>
  </r>
  <r>
    <x v="7"/>
    <x v="7"/>
    <n v="14"/>
    <x v="0"/>
    <n v="14"/>
  </r>
  <r>
    <x v="7"/>
    <x v="8"/>
    <n v="13"/>
    <x v="2"/>
    <n v="12"/>
  </r>
  <r>
    <x v="7"/>
    <x v="9"/>
    <n v="7"/>
    <x v="0"/>
    <n v="7"/>
  </r>
  <r>
    <x v="7"/>
    <x v="10"/>
    <n v="6"/>
    <x v="2"/>
    <n v="5"/>
  </r>
  <r>
    <x v="7"/>
    <x v="11"/>
    <n v="3"/>
    <x v="0"/>
    <n v="3"/>
  </r>
  <r>
    <x v="7"/>
    <x v="12"/>
    <n v="27"/>
    <x v="2"/>
    <n v="26"/>
  </r>
  <r>
    <x v="7"/>
    <x v="13"/>
    <n v="52"/>
    <x v="5"/>
    <n v="50"/>
  </r>
  <r>
    <x v="7"/>
    <x v="14"/>
    <n v="111"/>
    <x v="5"/>
    <n v="109"/>
  </r>
  <r>
    <x v="7"/>
    <x v="15"/>
    <n v="45"/>
    <x v="0"/>
    <n v="45"/>
  </r>
  <r>
    <x v="7"/>
    <x v="16"/>
    <n v="6"/>
    <x v="0"/>
    <n v="6"/>
  </r>
  <r>
    <x v="7"/>
    <x v="17"/>
    <n v="11"/>
    <x v="0"/>
    <n v="11"/>
  </r>
  <r>
    <x v="7"/>
    <x v="18"/>
    <n v="3"/>
    <x v="2"/>
    <n v="2"/>
  </r>
  <r>
    <x v="7"/>
    <x v="19"/>
    <n v="10"/>
    <x v="0"/>
    <n v="10"/>
  </r>
  <r>
    <x v="7"/>
    <x v="20"/>
    <n v="23"/>
    <x v="0"/>
    <n v="23"/>
  </r>
  <r>
    <x v="7"/>
    <x v="21"/>
    <n v="45"/>
    <x v="5"/>
    <n v="43"/>
  </r>
  <r>
    <x v="7"/>
    <x v="22"/>
    <n v="22"/>
    <x v="0"/>
    <n v="22"/>
  </r>
  <r>
    <x v="7"/>
    <x v="23"/>
    <n v="9"/>
    <x v="0"/>
    <n v="9"/>
  </r>
  <r>
    <x v="7"/>
    <x v="24"/>
    <n v="26"/>
    <x v="0"/>
    <n v="26"/>
  </r>
  <r>
    <x v="7"/>
    <x v="25"/>
    <n v="5"/>
    <x v="0"/>
    <n v="5"/>
  </r>
  <r>
    <x v="7"/>
    <x v="26"/>
    <n v="2"/>
    <x v="0"/>
    <n v="2"/>
  </r>
  <r>
    <x v="7"/>
    <x v="27"/>
    <n v="12"/>
    <x v="0"/>
    <n v="12"/>
  </r>
  <r>
    <x v="7"/>
    <x v="28"/>
    <n v="34"/>
    <x v="2"/>
    <n v="33"/>
  </r>
  <r>
    <x v="7"/>
    <x v="29"/>
    <n v="12"/>
    <x v="0"/>
    <n v="12"/>
  </r>
  <r>
    <x v="7"/>
    <x v="30"/>
    <n v="4"/>
    <x v="0"/>
    <n v="4"/>
  </r>
  <r>
    <x v="7"/>
    <x v="31"/>
    <n v="33"/>
    <x v="5"/>
    <n v="31"/>
  </r>
  <r>
    <x v="8"/>
    <x v="0"/>
    <n v="22"/>
    <x v="2"/>
    <n v="21"/>
  </r>
  <r>
    <x v="8"/>
    <x v="1"/>
    <n v="16"/>
    <x v="0"/>
    <n v="16"/>
  </r>
  <r>
    <x v="8"/>
    <x v="2"/>
    <n v="9"/>
    <x v="0"/>
    <n v="9"/>
  </r>
  <r>
    <x v="8"/>
    <x v="3"/>
    <n v="23"/>
    <x v="0"/>
    <n v="23"/>
  </r>
  <r>
    <x v="8"/>
    <x v="4"/>
    <n v="93"/>
    <x v="6"/>
    <n v="89"/>
  </r>
  <r>
    <x v="8"/>
    <x v="5"/>
    <n v="5"/>
    <x v="0"/>
    <n v="5"/>
  </r>
  <r>
    <x v="8"/>
    <x v="6"/>
    <n v="18"/>
    <x v="2"/>
    <n v="17"/>
  </r>
  <r>
    <x v="8"/>
    <x v="7"/>
    <n v="14"/>
    <x v="0"/>
    <n v="14"/>
  </r>
  <r>
    <x v="8"/>
    <x v="8"/>
    <n v="14"/>
    <x v="0"/>
    <n v="14"/>
  </r>
  <r>
    <x v="8"/>
    <x v="9"/>
    <n v="5"/>
    <x v="0"/>
    <n v="5"/>
  </r>
  <r>
    <x v="8"/>
    <x v="10"/>
    <n v="6"/>
    <x v="0"/>
    <n v="6"/>
  </r>
  <r>
    <x v="8"/>
    <x v="11"/>
    <n v="6"/>
    <x v="2"/>
    <n v="5"/>
  </r>
  <r>
    <x v="8"/>
    <x v="12"/>
    <n v="27"/>
    <x v="5"/>
    <n v="25"/>
  </r>
  <r>
    <x v="8"/>
    <x v="13"/>
    <n v="55"/>
    <x v="2"/>
    <n v="54"/>
  </r>
  <r>
    <x v="8"/>
    <x v="14"/>
    <n v="97"/>
    <x v="9"/>
    <n v="94"/>
  </r>
  <r>
    <x v="8"/>
    <x v="15"/>
    <n v="46"/>
    <x v="5"/>
    <n v="44"/>
  </r>
  <r>
    <x v="8"/>
    <x v="16"/>
    <n v="11"/>
    <x v="0"/>
    <n v="11"/>
  </r>
  <r>
    <x v="8"/>
    <x v="17"/>
    <n v="11"/>
    <x v="0"/>
    <n v="11"/>
  </r>
  <r>
    <x v="8"/>
    <x v="18"/>
    <n v="2"/>
    <x v="0"/>
    <n v="2"/>
  </r>
  <r>
    <x v="8"/>
    <x v="20"/>
    <n v="16"/>
    <x v="0"/>
    <n v="16"/>
  </r>
  <r>
    <x v="8"/>
    <x v="21"/>
    <n v="37"/>
    <x v="2"/>
    <n v="36"/>
  </r>
  <r>
    <x v="8"/>
    <x v="22"/>
    <n v="12"/>
    <x v="0"/>
    <n v="12"/>
  </r>
  <r>
    <x v="8"/>
    <x v="23"/>
    <n v="7"/>
    <x v="0"/>
    <n v="7"/>
  </r>
  <r>
    <x v="8"/>
    <x v="24"/>
    <n v="24"/>
    <x v="0"/>
    <n v="24"/>
  </r>
  <r>
    <x v="8"/>
    <x v="25"/>
    <n v="10"/>
    <x v="0"/>
    <n v="10"/>
  </r>
  <r>
    <x v="8"/>
    <x v="27"/>
    <n v="12"/>
    <x v="2"/>
    <n v="11"/>
  </r>
  <r>
    <x v="8"/>
    <x v="28"/>
    <n v="25"/>
    <x v="0"/>
    <n v="25"/>
  </r>
  <r>
    <x v="8"/>
    <x v="29"/>
    <n v="12"/>
    <x v="0"/>
    <n v="12"/>
  </r>
  <r>
    <x v="8"/>
    <x v="30"/>
    <n v="7"/>
    <x v="2"/>
    <n v="6"/>
  </r>
  <r>
    <x v="8"/>
    <x v="31"/>
    <n v="26"/>
    <x v="2"/>
    <n v="25"/>
  </r>
  <r>
    <x v="9"/>
    <x v="0"/>
    <n v="23"/>
    <x v="2"/>
    <n v="22"/>
  </r>
  <r>
    <x v="9"/>
    <x v="1"/>
    <n v="17"/>
    <x v="0"/>
    <n v="17"/>
  </r>
  <r>
    <x v="9"/>
    <x v="2"/>
    <n v="7"/>
    <x v="0"/>
    <n v="7"/>
  </r>
  <r>
    <x v="9"/>
    <x v="3"/>
    <n v="29"/>
    <x v="0"/>
    <n v="29"/>
  </r>
  <r>
    <x v="9"/>
    <x v="4"/>
    <n v="83"/>
    <x v="2"/>
    <n v="82"/>
  </r>
  <r>
    <x v="9"/>
    <x v="5"/>
    <n v="6"/>
    <x v="0"/>
    <n v="6"/>
  </r>
  <r>
    <x v="9"/>
    <x v="6"/>
    <n v="18"/>
    <x v="0"/>
    <n v="18"/>
  </r>
  <r>
    <x v="9"/>
    <x v="7"/>
    <n v="23"/>
    <x v="2"/>
    <n v="22"/>
  </r>
  <r>
    <x v="9"/>
    <x v="8"/>
    <n v="9"/>
    <x v="0"/>
    <n v="9"/>
  </r>
  <r>
    <x v="9"/>
    <x v="9"/>
    <n v="4"/>
    <x v="0"/>
    <n v="4"/>
  </r>
  <r>
    <x v="9"/>
    <x v="10"/>
    <n v="11"/>
    <x v="0"/>
    <n v="11"/>
  </r>
  <r>
    <x v="9"/>
    <x v="11"/>
    <n v="8"/>
    <x v="0"/>
    <n v="8"/>
  </r>
  <r>
    <x v="9"/>
    <x v="12"/>
    <n v="26"/>
    <x v="0"/>
    <n v="26"/>
  </r>
  <r>
    <x v="9"/>
    <x v="13"/>
    <n v="46"/>
    <x v="0"/>
    <n v="46"/>
  </r>
  <r>
    <x v="9"/>
    <x v="14"/>
    <n v="148"/>
    <x v="9"/>
    <n v="145"/>
  </r>
  <r>
    <x v="9"/>
    <x v="15"/>
    <n v="46"/>
    <x v="0"/>
    <n v="46"/>
  </r>
  <r>
    <x v="9"/>
    <x v="16"/>
    <n v="8"/>
    <x v="0"/>
    <n v="8"/>
  </r>
  <r>
    <x v="9"/>
    <x v="17"/>
    <n v="7"/>
    <x v="0"/>
    <n v="7"/>
  </r>
  <r>
    <x v="9"/>
    <x v="18"/>
    <n v="9"/>
    <x v="0"/>
    <n v="9"/>
  </r>
  <r>
    <x v="9"/>
    <x v="19"/>
    <n v="5"/>
    <x v="0"/>
    <n v="5"/>
  </r>
  <r>
    <x v="9"/>
    <x v="20"/>
    <n v="16"/>
    <x v="0"/>
    <n v="16"/>
  </r>
  <r>
    <x v="9"/>
    <x v="21"/>
    <n v="66"/>
    <x v="5"/>
    <n v="64"/>
  </r>
  <r>
    <x v="9"/>
    <x v="22"/>
    <n v="12"/>
    <x v="0"/>
    <n v="12"/>
  </r>
  <r>
    <x v="9"/>
    <x v="23"/>
    <n v="7"/>
    <x v="0"/>
    <n v="7"/>
  </r>
  <r>
    <x v="9"/>
    <x v="24"/>
    <n v="26"/>
    <x v="0"/>
    <n v="26"/>
  </r>
  <r>
    <x v="9"/>
    <x v="25"/>
    <n v="8"/>
    <x v="0"/>
    <n v="8"/>
  </r>
  <r>
    <x v="9"/>
    <x v="26"/>
    <n v="3"/>
    <x v="5"/>
    <n v="1"/>
  </r>
  <r>
    <x v="9"/>
    <x v="27"/>
    <n v="8"/>
    <x v="0"/>
    <n v="8"/>
  </r>
  <r>
    <x v="9"/>
    <x v="28"/>
    <n v="55"/>
    <x v="5"/>
    <n v="53"/>
  </r>
  <r>
    <x v="9"/>
    <x v="29"/>
    <n v="9"/>
    <x v="0"/>
    <n v="9"/>
  </r>
  <r>
    <x v="9"/>
    <x v="30"/>
    <n v="17"/>
    <x v="2"/>
    <n v="16"/>
  </r>
  <r>
    <x v="9"/>
    <x v="31"/>
    <n v="22"/>
    <x v="0"/>
    <n v="22"/>
  </r>
  <r>
    <x v="10"/>
    <x v="0"/>
    <n v="22"/>
    <x v="2"/>
    <n v="21"/>
  </r>
  <r>
    <x v="10"/>
    <x v="1"/>
    <n v="17"/>
    <x v="0"/>
    <n v="17"/>
  </r>
  <r>
    <x v="10"/>
    <x v="2"/>
    <n v="4"/>
    <x v="0"/>
    <n v="4"/>
  </r>
  <r>
    <x v="10"/>
    <x v="3"/>
    <n v="26"/>
    <x v="2"/>
    <n v="25"/>
  </r>
  <r>
    <x v="10"/>
    <x v="4"/>
    <n v="107"/>
    <x v="9"/>
    <n v="104"/>
  </r>
  <r>
    <x v="10"/>
    <x v="5"/>
    <n v="6"/>
    <x v="0"/>
    <n v="6"/>
  </r>
  <r>
    <x v="10"/>
    <x v="6"/>
    <n v="12"/>
    <x v="2"/>
    <n v="11"/>
  </r>
  <r>
    <x v="10"/>
    <x v="7"/>
    <n v="23"/>
    <x v="2"/>
    <n v="22"/>
  </r>
  <r>
    <x v="10"/>
    <x v="8"/>
    <n v="8"/>
    <x v="0"/>
    <n v="8"/>
  </r>
  <r>
    <x v="10"/>
    <x v="9"/>
    <n v="8"/>
    <x v="0"/>
    <n v="8"/>
  </r>
  <r>
    <x v="10"/>
    <x v="10"/>
    <n v="16"/>
    <x v="0"/>
    <n v="16"/>
  </r>
  <r>
    <x v="10"/>
    <x v="11"/>
    <n v="6"/>
    <x v="0"/>
    <n v="6"/>
  </r>
  <r>
    <x v="10"/>
    <x v="12"/>
    <n v="34"/>
    <x v="0"/>
    <n v="34"/>
  </r>
  <r>
    <x v="10"/>
    <x v="13"/>
    <n v="45"/>
    <x v="0"/>
    <n v="45"/>
  </r>
  <r>
    <x v="10"/>
    <x v="14"/>
    <n v="137"/>
    <x v="1"/>
    <n v="132"/>
  </r>
  <r>
    <x v="10"/>
    <x v="15"/>
    <n v="49"/>
    <x v="2"/>
    <n v="48"/>
  </r>
  <r>
    <x v="10"/>
    <x v="16"/>
    <n v="20"/>
    <x v="0"/>
    <n v="20"/>
  </r>
  <r>
    <x v="10"/>
    <x v="17"/>
    <n v="17"/>
    <x v="0"/>
    <n v="17"/>
  </r>
  <r>
    <x v="10"/>
    <x v="18"/>
    <n v="10"/>
    <x v="0"/>
    <n v="10"/>
  </r>
  <r>
    <x v="10"/>
    <x v="19"/>
    <n v="6"/>
    <x v="0"/>
    <n v="6"/>
  </r>
  <r>
    <x v="10"/>
    <x v="20"/>
    <n v="21"/>
    <x v="5"/>
    <n v="19"/>
  </r>
  <r>
    <x v="10"/>
    <x v="21"/>
    <n v="48"/>
    <x v="5"/>
    <n v="46"/>
  </r>
  <r>
    <x v="10"/>
    <x v="22"/>
    <n v="8"/>
    <x v="0"/>
    <n v="8"/>
  </r>
  <r>
    <x v="10"/>
    <x v="23"/>
    <n v="13"/>
    <x v="0"/>
    <n v="13"/>
  </r>
  <r>
    <x v="10"/>
    <x v="24"/>
    <n v="49"/>
    <x v="0"/>
    <n v="49"/>
  </r>
  <r>
    <x v="10"/>
    <x v="25"/>
    <n v="12"/>
    <x v="0"/>
    <n v="12"/>
  </r>
  <r>
    <x v="10"/>
    <x v="26"/>
    <n v="2"/>
    <x v="0"/>
    <n v="2"/>
  </r>
  <r>
    <x v="10"/>
    <x v="27"/>
    <n v="20"/>
    <x v="2"/>
    <n v="19"/>
  </r>
  <r>
    <x v="10"/>
    <x v="28"/>
    <n v="61"/>
    <x v="2"/>
    <n v="60"/>
  </r>
  <r>
    <x v="10"/>
    <x v="29"/>
    <n v="14"/>
    <x v="0"/>
    <n v="14"/>
  </r>
  <r>
    <x v="10"/>
    <x v="30"/>
    <n v="22"/>
    <x v="2"/>
    <n v="21"/>
  </r>
  <r>
    <x v="10"/>
    <x v="31"/>
    <n v="32"/>
    <x v="2"/>
    <n v="31"/>
  </r>
  <r>
    <x v="11"/>
    <x v="0"/>
    <n v="29"/>
    <x v="5"/>
    <n v="27"/>
  </r>
  <r>
    <x v="11"/>
    <x v="1"/>
    <n v="21"/>
    <x v="2"/>
    <n v="20"/>
  </r>
  <r>
    <x v="11"/>
    <x v="2"/>
    <n v="6"/>
    <x v="0"/>
    <n v="6"/>
  </r>
  <r>
    <x v="11"/>
    <x v="3"/>
    <n v="13"/>
    <x v="0"/>
    <n v="13"/>
  </r>
  <r>
    <x v="11"/>
    <x v="4"/>
    <n v="141"/>
    <x v="1"/>
    <n v="136"/>
  </r>
  <r>
    <x v="11"/>
    <x v="5"/>
    <n v="6"/>
    <x v="0"/>
    <n v="6"/>
  </r>
  <r>
    <x v="11"/>
    <x v="6"/>
    <n v="14"/>
    <x v="0"/>
    <n v="14"/>
  </r>
  <r>
    <x v="11"/>
    <x v="7"/>
    <n v="28"/>
    <x v="2"/>
    <n v="27"/>
  </r>
  <r>
    <x v="11"/>
    <x v="8"/>
    <n v="16"/>
    <x v="5"/>
    <n v="14"/>
  </r>
  <r>
    <x v="11"/>
    <x v="9"/>
    <n v="8"/>
    <x v="0"/>
    <n v="8"/>
  </r>
  <r>
    <x v="11"/>
    <x v="10"/>
    <n v="9"/>
    <x v="5"/>
    <n v="7"/>
  </r>
  <r>
    <x v="11"/>
    <x v="11"/>
    <n v="5"/>
    <x v="0"/>
    <n v="5"/>
  </r>
  <r>
    <x v="11"/>
    <x v="12"/>
    <n v="24"/>
    <x v="0"/>
    <n v="24"/>
  </r>
  <r>
    <x v="11"/>
    <x v="13"/>
    <n v="40"/>
    <x v="2"/>
    <n v="39"/>
  </r>
  <r>
    <x v="11"/>
    <x v="14"/>
    <n v="147"/>
    <x v="10"/>
    <n v="141"/>
  </r>
  <r>
    <x v="11"/>
    <x v="15"/>
    <n v="42"/>
    <x v="9"/>
    <n v="39"/>
  </r>
  <r>
    <x v="11"/>
    <x v="16"/>
    <n v="19"/>
    <x v="2"/>
    <n v="18"/>
  </r>
  <r>
    <x v="11"/>
    <x v="17"/>
    <n v="15"/>
    <x v="0"/>
    <n v="15"/>
  </r>
  <r>
    <x v="11"/>
    <x v="18"/>
    <n v="9"/>
    <x v="0"/>
    <n v="9"/>
  </r>
  <r>
    <x v="11"/>
    <x v="19"/>
    <n v="2"/>
    <x v="0"/>
    <n v="2"/>
  </r>
  <r>
    <x v="11"/>
    <x v="20"/>
    <n v="57"/>
    <x v="2"/>
    <n v="56"/>
  </r>
  <r>
    <x v="11"/>
    <x v="21"/>
    <n v="49"/>
    <x v="2"/>
    <n v="48"/>
  </r>
  <r>
    <x v="11"/>
    <x v="22"/>
    <n v="10"/>
    <x v="0"/>
    <n v="10"/>
  </r>
  <r>
    <x v="11"/>
    <x v="23"/>
    <n v="13"/>
    <x v="2"/>
    <n v="12"/>
  </r>
  <r>
    <x v="11"/>
    <x v="24"/>
    <n v="46"/>
    <x v="2"/>
    <n v="45"/>
  </r>
  <r>
    <x v="11"/>
    <x v="25"/>
    <n v="16"/>
    <x v="0"/>
    <n v="16"/>
  </r>
  <r>
    <x v="11"/>
    <x v="26"/>
    <n v="3"/>
    <x v="0"/>
    <n v="3"/>
  </r>
  <r>
    <x v="11"/>
    <x v="27"/>
    <n v="14"/>
    <x v="2"/>
    <n v="13"/>
  </r>
  <r>
    <x v="11"/>
    <x v="28"/>
    <n v="62"/>
    <x v="5"/>
    <n v="60"/>
  </r>
  <r>
    <x v="11"/>
    <x v="29"/>
    <n v="14"/>
    <x v="0"/>
    <n v="14"/>
  </r>
  <r>
    <x v="11"/>
    <x v="30"/>
    <n v="25"/>
    <x v="0"/>
    <n v="25"/>
  </r>
  <r>
    <x v="11"/>
    <x v="31"/>
    <n v="19"/>
    <x v="0"/>
    <n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3" cacheId="12"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I37" firstHeaderRow="0" firstDataRow="1" firstDataCol="1" rowPageCount="1" colPageCount="1"/>
  <pivotFields count="10">
    <pivotField axis="axisPage" showAll="0">
      <items count="13">
        <item x="6"/>
        <item x="7"/>
        <item x="8"/>
        <item x="0"/>
        <item x="1"/>
        <item x="2"/>
        <item x="3"/>
        <item x="4"/>
        <item x="5"/>
        <item x="9"/>
        <item x="10"/>
        <item x="1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pivotField dataField="1" showAll="0"/>
    <pivotField dataField="1" showAll="0"/>
    <pivotField dataField="1" showAll="0"/>
    <pivotField dataField="1" numFmtId="3"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8">
    <i>
      <x/>
    </i>
    <i i="1">
      <x v="1"/>
    </i>
    <i i="2">
      <x v="2"/>
    </i>
    <i i="3">
      <x v="3"/>
    </i>
    <i i="4">
      <x v="4"/>
    </i>
    <i i="5">
      <x v="5"/>
    </i>
    <i i="6">
      <x v="6"/>
    </i>
    <i i="7">
      <x v="7"/>
    </i>
  </colItems>
  <pageFields count="1">
    <pageField fld="0" item="11" hier="-1"/>
  </pageFields>
  <dataFields count="8">
    <dataField name="Sum of 1:Dwelling" fld="3" baseField="0" baseItem="0"/>
    <dataField name="Sum of 2:Other Buildings" fld="4" baseField="0" baseItem="0"/>
    <dataField name="Sum of 3:Road Vehicle" fld="5" baseField="0" baseItem="0"/>
    <dataField name="Sum of 4:Others" fld="6" baseField="0" baseItem="0"/>
    <dataField name="Sum of Primary_Total" fld="2" baseField="0" baseItem="0"/>
    <dataField name="Sum of Secondary_Total" fld="7" baseField="0" baseItem="0"/>
    <dataField name="Sum of Chimney_Total" fld="8" baseField="1" baseItem="0"/>
    <dataField name="Sum of pop"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PivotTable2"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M37" firstHeaderRow="0" firstDataRow="1" firstDataCol="1" rowPageCount="1" colPageCount="1"/>
  <pivotFields count="15">
    <pivotField axis="axisPage" showAll="0">
      <items count="13">
        <item x="6"/>
        <item x="7"/>
        <item x="8"/>
        <item x="0"/>
        <item x="1"/>
        <item x="2"/>
        <item x="3"/>
        <item x="4"/>
        <item x="5"/>
        <item x="9"/>
        <item x="10"/>
        <item x="11"/>
        <item t="default"/>
      </items>
    </pivotField>
    <pivotField showAll="0"/>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2">
    <i>
      <x/>
    </i>
    <i i="1">
      <x v="1"/>
    </i>
    <i i="2">
      <x v="2"/>
    </i>
    <i i="3">
      <x v="3"/>
    </i>
    <i i="4">
      <x v="4"/>
    </i>
    <i i="5">
      <x v="5"/>
    </i>
    <i i="6">
      <x v="6"/>
    </i>
    <i i="7">
      <x v="7"/>
    </i>
    <i i="8">
      <x v="8"/>
    </i>
    <i i="9">
      <x v="9"/>
    </i>
    <i i="10">
      <x v="10"/>
    </i>
    <i i="11">
      <x v="11"/>
    </i>
  </colItems>
  <pageFields count="1">
    <pageField fld="0" item="11" hier="-1"/>
  </pageFields>
  <dataFields count="12">
    <dataField name="Sum of pop" fld="14" baseField="0" baseItem="0"/>
    <dataField name="Sum of 01:Outdoor structures" fld="4" baseField="0" baseItem="0"/>
    <dataField name="Sum of 02:Outdoor equipment and machinery" fld="5" baseField="0" baseItem="0"/>
    <dataField name="Sum of 03:Grassland and crops" fld="6" baseField="0" baseItem="0"/>
    <dataField name="Sum of 04:Woodland" fld="7" baseField="0" baseItem="0"/>
    <dataField name="Sum of 05:Other Transport Vehicle" fld="8" baseField="0" baseItem="0"/>
    <dataField name="Sum of 06:Other outdoors (including land)" fld="9" baseField="0" baseItem="0"/>
    <dataField name="Sum of 07:Car" fld="10" baseField="0" baseItem="0"/>
    <dataField name="Sum of 08:Abandoned Car" fld="11" baseField="0" baseItem="0"/>
    <dataField name="Sum of 09:Other Road Vehicle" fld="12" baseField="0" baseItem="0"/>
    <dataField name="Sum of 10:Abandoned Other Road Vehicle" fld="13" baseField="0" baseItem="0"/>
    <dataField name="Sum of Total_Primary_Outdoor_Fire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PivotTable3"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L37" firstHeaderRow="0" firstDataRow="1" firstDataCol="1" rowPageCount="1" colPageCount="1"/>
  <pivotFields count="13">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showAll="0">
      <items count="13">
        <item x="6"/>
        <item x="7"/>
        <item x="8"/>
        <item x="0"/>
        <item x="1"/>
        <item x="2"/>
        <item x="3"/>
        <item x="4"/>
        <item x="5"/>
        <item x="9"/>
        <item x="10"/>
        <item x="1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1">
    <i>
      <x/>
    </i>
    <i i="1">
      <x v="1"/>
    </i>
    <i i="2">
      <x v="2"/>
    </i>
    <i i="3">
      <x v="3"/>
    </i>
    <i i="4">
      <x v="4"/>
    </i>
    <i i="5">
      <x v="5"/>
    </i>
    <i i="6">
      <x v="6"/>
    </i>
    <i i="7">
      <x v="7"/>
    </i>
    <i i="8">
      <x v="8"/>
    </i>
    <i i="9">
      <x v="9"/>
    </i>
    <i i="10">
      <x v="10"/>
    </i>
  </colItems>
  <pageFields count="1">
    <pageField fld="1" item="11" hier="-1"/>
  </pageFields>
  <dataFields count="11">
    <dataField name="Sum of pop" fld="12" baseField="0" baseItem="0"/>
    <dataField name="Sum of 01:Derelict Building" fld="3" baseField="0" baseItem="0"/>
    <dataField name="Sum of 02:Grassland" fld="4" baseField="0" baseItem="0"/>
    <dataField name="Sum of 03:Intentional straw or stubble" fld="5" baseField="0" baseItem="0"/>
    <dataField name="Sum of 04:Outdoor structures" fld="6" baseField="0" baseItem="0"/>
    <dataField name="Sum of 05:Derelict Vehicle" fld="7" baseField="0" baseItem="0"/>
    <dataField name="Sum of 06:Other outdoors (including land)" fld="8" baseField="0" baseItem="0"/>
    <dataField name="Sum of 07:Refuse - small/rubbish container" fld="9" baseField="0" baseItem="0"/>
    <dataField name="Sum of 08:Refuse - large/rubbish container" fld="10" baseField="0" baseItem="0"/>
    <dataField name="Sum of 09:Refuse - loose/rubbish tip" fld="11" baseField="0" baseItem="0"/>
    <dataField name="Sum of Total_Secondary_Outdoor_Fir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PivotTable5" cacheId="2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P16" firstHeaderRow="1" firstDataRow="3" firstDataCol="1"/>
  <pivotFields count="6">
    <pivotField axis="axisRow" showAll="0">
      <items count="13">
        <item x="0"/>
        <item x="1"/>
        <item x="2"/>
        <item x="3"/>
        <item x="4"/>
        <item x="5"/>
        <item x="6"/>
        <item x="7"/>
        <item x="8"/>
        <item x="9"/>
        <item x="10"/>
        <item x="11"/>
        <item t="default"/>
      </items>
    </pivotField>
    <pivotField axis="axisCol" showAll="0">
      <items count="7">
        <item x="0"/>
        <item x="1"/>
        <item x="2"/>
        <item x="3"/>
        <item x="4"/>
        <item x="5"/>
        <item t="default"/>
      </items>
    </pivotField>
    <pivotField axis="axisCol" showAll="0">
      <items count="3">
        <item x="0"/>
        <item x="1"/>
        <item t="default"/>
      </items>
    </pivotField>
    <pivotField showAll="0"/>
    <pivotField dataField="1" showAll="0"/>
    <pivotField showAll="0"/>
  </pivotFields>
  <rowFields count="1">
    <field x="0"/>
  </rowFields>
  <rowItems count="13">
    <i>
      <x/>
    </i>
    <i>
      <x v="1"/>
    </i>
    <i>
      <x v="2"/>
    </i>
    <i>
      <x v="3"/>
    </i>
    <i>
      <x v="4"/>
    </i>
    <i>
      <x v="5"/>
    </i>
    <i>
      <x v="6"/>
    </i>
    <i>
      <x v="7"/>
    </i>
    <i>
      <x v="8"/>
    </i>
    <i>
      <x v="9"/>
    </i>
    <i>
      <x v="10"/>
    </i>
    <i>
      <x v="11"/>
    </i>
    <i t="grand">
      <x/>
    </i>
  </rowItems>
  <colFields count="2">
    <field x="2"/>
    <field x="1"/>
  </colFields>
  <colItems count="15">
    <i>
      <x/>
      <x/>
    </i>
    <i r="1">
      <x v="1"/>
    </i>
    <i r="1">
      <x v="2"/>
    </i>
    <i r="1">
      <x v="3"/>
    </i>
    <i r="1">
      <x v="4"/>
    </i>
    <i r="1">
      <x v="5"/>
    </i>
    <i t="default">
      <x/>
    </i>
    <i>
      <x v="1"/>
      <x/>
    </i>
    <i r="1">
      <x v="1"/>
    </i>
    <i r="1">
      <x v="2"/>
    </i>
    <i r="1">
      <x v="3"/>
    </i>
    <i r="1">
      <x v="4"/>
    </i>
    <i r="1">
      <x v="5"/>
    </i>
    <i t="default">
      <x v="1"/>
    </i>
    <i t="grand">
      <x/>
    </i>
  </colItems>
  <dataFields count="1">
    <dataField name="Sum of Expr1004"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PivotTable2" cacheId="2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P38" firstHeaderRow="1" firstDataRow="3" firstDataCol="1" rowPageCount="1" colPageCount="1"/>
  <pivotFields count="6">
    <pivotField axis="axisPage" showAll="0">
      <items count="13">
        <item x="0"/>
        <item x="1"/>
        <item x="2"/>
        <item x="3"/>
        <item x="4"/>
        <item x="5"/>
        <item x="6"/>
        <item x="7"/>
        <item x="8"/>
        <item x="9"/>
        <item x="10"/>
        <item x="11"/>
        <item t="default"/>
      </items>
    </pivotField>
    <pivotField axis="axisCol" showAll="0">
      <items count="7">
        <item x="0"/>
        <item x="1"/>
        <item x="2"/>
        <item x="3"/>
        <item x="4"/>
        <item x="5"/>
        <item t="default"/>
      </items>
    </pivotField>
    <pivotField axis="axisCol" showAll="0">
      <items count="3">
        <item x="0"/>
        <item x="1"/>
        <item t="default"/>
      </items>
    </pivotField>
    <pivotField axis="axisRow" showAll="0" sortType="ascending">
      <items count="34">
        <item x="0"/>
        <item x="1"/>
        <item x="2"/>
        <item x="3"/>
        <item x="4"/>
        <item x="5"/>
        <item x="6"/>
        <item x="7"/>
        <item x="8"/>
        <item x="9"/>
        <item x="10"/>
        <item x="31"/>
        <item x="11"/>
        <item x="12"/>
        <item x="13"/>
        <item x="14"/>
        <item x="15"/>
        <item x="16"/>
        <item x="17"/>
        <item x="18"/>
        <item x="19"/>
        <item x="20"/>
        <item x="21"/>
        <item x="22"/>
        <item x="23"/>
        <item x="24"/>
        <item x="25"/>
        <item x="26"/>
        <item x="27"/>
        <item x="28"/>
        <item x="29"/>
        <item x="30"/>
        <item x="32"/>
        <item t="default"/>
      </items>
    </pivotField>
    <pivotField dataField="1" showAll="0"/>
    <pivotField showAll="0" defaultSubtotal="0"/>
  </pivotFields>
  <rowFields count="1">
    <field x="3"/>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2"/>
    <field x="1"/>
  </colFields>
  <colItems count="15">
    <i>
      <x/>
      <x/>
    </i>
    <i r="1">
      <x v="1"/>
    </i>
    <i r="1">
      <x v="2"/>
    </i>
    <i r="1">
      <x v="3"/>
    </i>
    <i r="1">
      <x v="4"/>
    </i>
    <i r="1">
      <x v="5"/>
    </i>
    <i t="default">
      <x/>
    </i>
    <i>
      <x v="1"/>
      <x/>
    </i>
    <i r="1">
      <x v="1"/>
    </i>
    <i r="1">
      <x v="2"/>
    </i>
    <i r="1">
      <x v="3"/>
    </i>
    <i r="1">
      <x v="4"/>
    </i>
    <i r="1">
      <x v="5"/>
    </i>
    <i t="default">
      <x v="1"/>
    </i>
    <i t="grand">
      <x/>
    </i>
  </colItems>
  <pageFields count="1">
    <pageField fld="0" item="11" hier="-1"/>
  </pageFields>
  <dataFields count="1">
    <dataField name="Sum of Expr1004"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PivotTable7" cacheId="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E37" firstHeaderRow="0" firstDataRow="1" firstDataCol="1" rowPageCount="1" colPageCount="1"/>
  <pivotFields count="6">
    <pivotField axis="axisPage" showAll="0">
      <items count="13">
        <item x="6"/>
        <item x="7"/>
        <item x="8"/>
        <item x="0"/>
        <item x="1"/>
        <item x="2"/>
        <item x="3"/>
        <item x="4"/>
        <item x="5"/>
        <item x="9"/>
        <item x="10"/>
        <item x="1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pageFields count="1">
    <pageField fld="0" item="11" hier="-1"/>
  </pageFields>
  <dataFields count="4">
    <dataField name="Sum of 1:Dwelling" fld="2" baseField="0" baseItem="0"/>
    <dataField name="Sum of Total_ADF" fld="3" baseField="0" baseItem="0"/>
    <dataField name="Sum of DDF" fld="4" baseField="0" baseItem="0"/>
    <dataField name="Sum of Dwelling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PivotTable5" cacheId="5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J39" firstHeaderRow="1" firstDataRow="3" firstDataCol="1" rowPageCount="1" colPageCount="1"/>
  <pivotFields count="6">
    <pivotField axis="axisCol" showAll="0">
      <items count="3">
        <item x="0"/>
        <item x="1"/>
        <item t="default"/>
      </items>
    </pivotField>
    <pivotField axis="axisPage" showAll="0">
      <items count="13">
        <item x="6"/>
        <item x="7"/>
        <item x="8"/>
        <item x="0"/>
        <item x="1"/>
        <item x="2"/>
        <item x="3"/>
        <item x="4"/>
        <item x="5"/>
        <item x="9"/>
        <item x="10"/>
        <item x="1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0"/>
    <field x="-2"/>
  </colFields>
  <colItems count="9">
    <i>
      <x/>
      <x/>
    </i>
    <i r="1" i="1">
      <x v="1"/>
    </i>
    <i r="1" i="2">
      <x v="2"/>
    </i>
    <i>
      <x v="1"/>
      <x/>
    </i>
    <i r="1" i="1">
      <x v="1"/>
    </i>
    <i r="1" i="2">
      <x v="2"/>
    </i>
    <i t="grand">
      <x/>
    </i>
    <i t="grand" i="1">
      <x/>
    </i>
    <i t="grand" i="2">
      <x/>
    </i>
  </colItems>
  <pageFields count="1">
    <pageField fld="1" item="11" hier="-1"/>
  </pageFields>
  <dataFields count="3">
    <dataField name="Sum of 1:fires" fld="3" baseField="0" baseItem="0"/>
    <dataField name="Sum of 2:fatal" fld="4" baseField="0" baseItem="0"/>
    <dataField name="Sum of 3:nonfata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2300-000002000000}" name="PivotTable4" cacheId="1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3:P58" firstHeaderRow="1" firstDataRow="3" firstDataCol="1"/>
  <pivotFields count="7">
    <pivotField axis="axisCol" showAll="0">
      <items count="3">
        <item x="0"/>
        <item x="1"/>
        <item t="default"/>
      </items>
    </pivotField>
    <pivotField axis="axisRow" showAll="0">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1:Dwelling" fld="3" baseField="0" baseItem="0"/>
    <dataField name="Sum of 2:Other Buildings" fld="4" baseField="0" baseItem="0"/>
    <dataField name="Sum of 3:Road Vehicle" fld="5" baseField="0" baseItem="0"/>
    <dataField name="Sum of 4:Others" fld="6" baseField="0" baseItem="0"/>
    <dataField name="Sum of Non_fatal Casualties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2300-000001000000}" name="PivotTable3" cacheId="4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2:P37" firstHeaderRow="1" firstDataRow="3" firstDataCol="1"/>
  <pivotFields count="7">
    <pivotField axis="axisCol" showAll="0">
      <items count="3">
        <item x="0"/>
        <item x="1"/>
        <item t="default"/>
      </items>
    </pivotField>
    <pivotField axis="axisRow" showAll="0">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1:Dwelling" fld="3" baseField="0" baseItem="0"/>
    <dataField name="Sum of 2:Other Buildings" fld="4" baseField="1" baseItem="0"/>
    <dataField name="Sum of 3:Road Vehicle" fld="5" baseField="1" baseItem="0"/>
    <dataField name="Sum of 4:Others" fld="6" baseField="1" baseItem="0"/>
    <dataField name="Sum of Total_Fatal_Casulati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PivotTable2" cacheId="2"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P16" firstHeaderRow="1" firstDataRow="3" firstDataCol="1"/>
  <pivotFields count="7">
    <pivotField axis="axisRow" showAll="0">
      <items count="13">
        <item x="0"/>
        <item x="1"/>
        <item x="2"/>
        <item x="3"/>
        <item x="4"/>
        <item x="5"/>
        <item x="6"/>
        <item x="7"/>
        <item x="8"/>
        <item x="9"/>
        <item x="10"/>
        <item x="11"/>
        <item t="default"/>
      </items>
    </pivotField>
    <pivotField axis="axisCol" showAll="0">
      <items count="3">
        <item x="0"/>
        <item x="1"/>
        <item t="default"/>
      </items>
    </pivotField>
    <pivotField dataField="1" showAll="0"/>
    <pivotField dataField="1" showAll="0"/>
    <pivotField dataField="1" showAll="0"/>
    <pivotField dataField="1" showAll="0"/>
    <pivotField dataField="1" showAll="0"/>
  </pivotFields>
  <rowFields count="1">
    <field x="0"/>
  </rowFields>
  <rowItems count="13">
    <i>
      <x/>
    </i>
    <i>
      <x v="1"/>
    </i>
    <i>
      <x v="2"/>
    </i>
    <i>
      <x v="3"/>
    </i>
    <i>
      <x v="4"/>
    </i>
    <i>
      <x v="5"/>
    </i>
    <i>
      <x v="6"/>
    </i>
    <i>
      <x v="7"/>
    </i>
    <i>
      <x v="8"/>
    </i>
    <i>
      <x v="9"/>
    </i>
    <i>
      <x v="10"/>
    </i>
    <i>
      <x v="11"/>
    </i>
    <i t="grand">
      <x/>
    </i>
  </rowItems>
  <colFields count="2">
    <field x="1"/>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1:Dwelling" fld="3" baseField="0" baseItem="0"/>
    <dataField name="Sum of 2:Other Buildings" fld="4" baseField="0" baseItem="0"/>
    <dataField name="Sum of 3:Road Vehicle" fld="5" baseField="0" baseItem="0"/>
    <dataField name="Sum of 4:Others" fld="6" baseField="0" baseItem="0"/>
    <dataField name="Sum of Total_Primary_Fir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2400-000000000000}" name="PivotTable4"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D37" firstHeaderRow="0" firstDataRow="1" firstDataCol="1" rowPageCount="1" colPageCount="1"/>
  <pivotFields count="5">
    <pivotField axis="axisPage" multipleItemSelectionAllowed="1" showAll="0">
      <items count="13">
        <item h="1" x="6"/>
        <item h="1" x="7"/>
        <item h="1" x="8"/>
        <item h="1" x="0"/>
        <item h="1" x="1"/>
        <item h="1" x="2"/>
        <item h="1" x="3"/>
        <item h="1" x="4"/>
        <item h="1" x="5"/>
        <item h="1" x="9"/>
        <item h="1" x="10"/>
        <item x="1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numFmtId="3"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3">
    <i>
      <x/>
    </i>
    <i i="1">
      <x v="1"/>
    </i>
    <i i="2">
      <x v="2"/>
    </i>
  </colItems>
  <pageFields count="1">
    <pageField fld="0" hier="-1"/>
  </pageFields>
  <dataFields count="3">
    <dataField name="Sum of pop" fld="4" baseField="0" baseItem="0"/>
    <dataField name="Sum of Accidental" fld="2" baseField="0" baseItem="0"/>
    <dataField name="Sum of Deliberate"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1" cacheId="11"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A4:AF36" firstHeaderRow="0" firstDataRow="1" firstDataCol="1" rowPageCount="1" colPageCount="1"/>
  <pivotFields count="33">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showAll="0">
      <items count="13">
        <item x="6"/>
        <item x="7"/>
        <item x="8"/>
        <item x="0"/>
        <item x="1"/>
        <item x="2"/>
        <item x="3"/>
        <item x="4"/>
        <item x="5"/>
        <item x="9"/>
        <item x="10"/>
        <item x="1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31">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colItems>
  <pageFields count="1">
    <pageField fld="1" item="11" hier="-1"/>
  </pageFields>
  <dataFields count="31">
    <dataField name="Sum of Buildings_Total" fld="2" baseField="0" baseItem="0"/>
    <dataField name="Sum of Dwelling:01:House/Bungalow" fld="3" baseField="0" baseItem="0"/>
    <dataField name="Sum of Dwelling:02:Flat/Maisonette" fld="4" baseField="0" baseItem="0"/>
    <dataField name="Sum of Dwelling:03:Tenement" fld="5" baseField="0" baseItem="0"/>
    <dataField name="Sum of Dwelling:04:HMO" fld="6" baseField="0" baseItem="0"/>
    <dataField name="Sum of Dwelling:05:HMO - unlicenced" fld="7" baseField="0" baseItem="0"/>
    <dataField name="Sum of Dwelling:06:Sheltered Housing - Self Contained" fld="8" baseField="0" baseItem="0"/>
    <dataField name="Sum of Dwelling:07:Caravan/Mobile Home" fld="9" baseField="0" baseItem="0"/>
    <dataField name="Sum of Dwelling:09:Other" fld="10" baseField="0" baseItem="0"/>
    <dataField name="Sum of Other Residential:01:Hotel/Motel" fld="23" baseField="0" baseItem="0"/>
    <dataField name="Sum of Other Residential:02:Hostel" fld="24" baseField="0" baseItem="0"/>
    <dataField name="Sum of Other Residential:03:Holiday Residence" fld="25" baseField="0" baseItem="0"/>
    <dataField name="Sum of Other Residential:04:Caravan (On-Site)" fld="26" baseField="0" baseItem="0"/>
    <dataField name="Sum of Other Residential:05:Residential Home" fld="27" baseField="0" baseItem="0"/>
    <dataField name="Sum of Other Residential:06:Student Accommodation" fld="28" baseField="0" baseItem="0"/>
    <dataField name="Sum of Other Residential:07:Boarding House/B&amp;B/Youth Hostel" fld="29" baseField="0" baseItem="0"/>
    <dataField name="Sum of Other Residential:08:Sheltered Housing - Not Self Contained" fld="30" baseField="0" baseItem="0"/>
    <dataField name="Sum of Other Residential:12:Other Residential Home" fld="31" baseField="0" baseItem="0"/>
    <dataField name="Sum of Other Residential:13:Other" fld="32" baseField="0" baseItem="0"/>
    <dataField name="Sum of Non-Residential:02:Private garages, sheds, etc" fld="11" baseField="0" baseItem="0"/>
    <dataField name="Sum of Non-Residential:03:Permanent Agricultural" fld="12" baseField="0" baseItem="0"/>
    <dataField name="Sum of Non-Residential:04:Industrial" fld="13" baseField="0" baseItem="0"/>
    <dataField name="Sum of Non-Residential:05:Warehouses and bulk storage" fld="14" baseField="0" baseItem="0"/>
    <dataField name="Sum of Non-Residential:06:Offices and call centres" fld="15" baseField="0" baseItem="0"/>
    <dataField name="Sum of Non-Residential:07:Public admin, security and safety" fld="16" baseField="0" baseItem="0"/>
    <dataField name="Sum of Non-Residential:08:Entertainment, Sport and Culture" fld="17" baseField="0" baseItem="0"/>
    <dataField name="Sum of Non-Residential:09:Food and Drink" fld="18" baseField="0" baseItem="0"/>
    <dataField name="Sum of Non-Residential:10:Retail" fld="19" baseField="0" baseItem="0"/>
    <dataField name="Sum of Non-Residential:11:Education" fld="20" baseField="0" baseItem="0"/>
    <dataField name="Sum of Non-Residential:12:Hospitals and medical care" fld="21" baseField="0" baseItem="0"/>
    <dataField name="Sum of Non-Residential:13:Others" fld="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PivotTable5" cacheId="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AE16" firstHeaderRow="1" firstDataRow="3" firstDataCol="1"/>
  <pivotFields count="12">
    <pivotField axis="axisCol" showAll="0">
      <items count="3">
        <item x="0"/>
        <item x="1"/>
        <item t="default"/>
      </items>
    </pivotField>
    <pivotField axis="axisRow" showAll="0">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30">
    <i>
      <x/>
      <x/>
    </i>
    <i r="1" i="1">
      <x v="1"/>
    </i>
    <i r="1" i="2">
      <x v="2"/>
    </i>
    <i r="1" i="3">
      <x v="3"/>
    </i>
    <i r="1" i="4">
      <x v="4"/>
    </i>
    <i r="1" i="5">
      <x v="5"/>
    </i>
    <i r="1" i="6">
      <x v="6"/>
    </i>
    <i r="1" i="7">
      <x v="7"/>
    </i>
    <i r="1" i="8">
      <x v="8"/>
    </i>
    <i r="1" i="9">
      <x v="9"/>
    </i>
    <i>
      <x v="1"/>
      <x/>
    </i>
    <i r="1" i="1">
      <x v="1"/>
    </i>
    <i r="1" i="2">
      <x v="2"/>
    </i>
    <i r="1" i="3">
      <x v="3"/>
    </i>
    <i r="1" i="4">
      <x v="4"/>
    </i>
    <i r="1" i="5">
      <x v="5"/>
    </i>
    <i r="1" i="6">
      <x v="6"/>
    </i>
    <i r="1" i="7">
      <x v="7"/>
    </i>
    <i r="1" i="8">
      <x v="8"/>
    </i>
    <i r="1" i="9">
      <x v="9"/>
    </i>
    <i t="grand">
      <x/>
    </i>
    <i t="grand" i="1">
      <x/>
    </i>
    <i t="grand" i="2">
      <x/>
    </i>
    <i t="grand" i="3">
      <x/>
    </i>
    <i t="grand" i="4">
      <x/>
    </i>
    <i t="grand" i="5">
      <x/>
    </i>
    <i t="grand" i="6">
      <x/>
    </i>
    <i t="grand" i="7">
      <x/>
    </i>
    <i t="grand" i="8">
      <x/>
    </i>
    <i t="grand" i="9">
      <x/>
    </i>
  </colItems>
  <dataFields count="10">
    <dataField name="Sum of 01:Derelict Building" fld="3" baseField="0" baseItem="0"/>
    <dataField name="Sum of 02:Grassland" fld="4" baseField="0" baseItem="0"/>
    <dataField name="Sum of 03:Intentional straw or stubble" fld="5" baseField="0" baseItem="0"/>
    <dataField name="Sum of 04:Outdoor structures" fld="6" baseField="0" baseItem="0"/>
    <dataField name="Sum of 05:Derelict Vehicle" fld="7" baseField="0" baseItem="0"/>
    <dataField name="Sum of 06:Other outdoors (including land)" fld="8" baseField="0" baseItem="0"/>
    <dataField name="Sum of 07:Refuse - small/rubbish container" fld="9" baseField="0" baseItem="0"/>
    <dataField name="Sum of 08:Refuse - large/rubbish container" fld="10" baseField="0" baseItem="0"/>
    <dataField name="Sum of 09:Refuse - loose/rubbish tip" fld="11" baseField="0" baseItem="0"/>
    <dataField name="Sum of Total_Secondary_Fir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PivotTable6" cacheId="2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AB39" firstHeaderRow="1" firstDataRow="3" firstDataCol="1" rowPageCount="1" colPageCount="1"/>
  <pivotFields count="14">
    <pivotField axis="axisPage" multipleItemSelectionAllowed="1" showAll="0">
      <items count="13">
        <item h="1" x="6"/>
        <item h="1" x="7"/>
        <item h="1" x="8"/>
        <item h="1" x="0"/>
        <item h="1" x="1"/>
        <item h="1" x="2"/>
        <item h="1" x="3"/>
        <item h="1" x="4"/>
        <item h="1" x="5"/>
        <item h="1" x="9"/>
        <item h="1" x="10"/>
        <item x="11"/>
        <item t="default"/>
      </items>
    </pivotField>
    <pivotField axis="axisCol" showAll="0">
      <items count="3">
        <item x="0"/>
        <item x="1"/>
        <item t="default"/>
      </items>
    </pivotField>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1"/>
    <field x="-2"/>
  </colFields>
  <colItems count="27">
    <i>
      <x/>
      <x/>
    </i>
    <i r="1" i="1">
      <x v="1"/>
    </i>
    <i r="1" i="2">
      <x v="2"/>
    </i>
    <i r="1" i="3">
      <x v="3"/>
    </i>
    <i r="1" i="4">
      <x v="4"/>
    </i>
    <i r="1" i="5">
      <x v="5"/>
    </i>
    <i r="1" i="6">
      <x v="6"/>
    </i>
    <i r="1" i="7">
      <x v="7"/>
    </i>
    <i r="1" i="8">
      <x v="8"/>
    </i>
    <i>
      <x v="1"/>
      <x/>
    </i>
    <i r="1" i="1">
      <x v="1"/>
    </i>
    <i r="1" i="2">
      <x v="2"/>
    </i>
    <i r="1" i="3">
      <x v="3"/>
    </i>
    <i r="1" i="4">
      <x v="4"/>
    </i>
    <i r="1" i="5">
      <x v="5"/>
    </i>
    <i r="1" i="6">
      <x v="6"/>
    </i>
    <i r="1" i="7">
      <x v="7"/>
    </i>
    <i r="1" i="8">
      <x v="8"/>
    </i>
    <i t="grand">
      <x/>
    </i>
    <i t="grand" i="1">
      <x/>
    </i>
    <i t="grand" i="2">
      <x/>
    </i>
    <i t="grand" i="3">
      <x/>
    </i>
    <i t="grand" i="4">
      <x/>
    </i>
    <i t="grand" i="5">
      <x/>
    </i>
    <i t="grand" i="6">
      <x/>
    </i>
    <i t="grand" i="7">
      <x/>
    </i>
    <i t="grand" i="8">
      <x/>
    </i>
  </colItems>
  <pageFields count="1">
    <pageField fld="0" hier="-1"/>
  </pageFields>
  <dataFields count="9">
    <dataField name="Sum of 01:Derelict Building" fld="4" baseField="0" baseItem="0"/>
    <dataField name="Sum of 02:Grassland" fld="5" baseField="0" baseItem="0"/>
    <dataField name="Sum of 03:Intentional straw or stubble" fld="6" baseField="0" baseItem="0"/>
    <dataField name="Sum of 04:Outdoor structures" fld="7" baseField="0" baseItem="0"/>
    <dataField name="Sum of 05:Derelict Vehicle" fld="8" baseField="0" baseItem="0"/>
    <dataField name="Sum of 06:Other outdoors (including land)" fld="9" baseField="0" baseItem="0"/>
    <dataField name="Sum of 07:Refuse - small/rubbish container" fld="10" baseField="0" baseItem="0"/>
    <dataField name="Sum of 08:Refuse - large/rubbish container" fld="11" baseField="0" baseItem="0"/>
    <dataField name="Sum of 09:Refuse - loose/rubbish tip"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2700-000000000000}" name="PivotTable7" cacheId="2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A4:E39" firstHeaderRow="1" firstDataRow="3" firstDataCol="1" rowPageCount="1" colPageCount="1"/>
  <pivotFields count="14">
    <pivotField axis="axisPage" showAll="0">
      <items count="13">
        <item x="6"/>
        <item x="7"/>
        <item x="8"/>
        <item x="0"/>
        <item x="1"/>
        <item x="2"/>
        <item x="3"/>
        <item x="4"/>
        <item x="5"/>
        <item x="9"/>
        <item x="10"/>
        <item x="11"/>
        <item t="default"/>
      </items>
    </pivotField>
    <pivotField axis="axisCol" showAll="0">
      <items count="3">
        <item x="0"/>
        <item x="1"/>
        <item t="default"/>
      </items>
    </pivotField>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1"/>
    <field x="-2"/>
  </colFields>
  <colItems count="4">
    <i>
      <x/>
      <x/>
    </i>
    <i r="1" i="1">
      <x v="1"/>
    </i>
    <i>
      <x v="1"/>
      <x/>
    </i>
    <i r="1" i="1">
      <x v="1"/>
    </i>
  </colItems>
  <pageFields count="1">
    <pageField fld="0" item="11" hier="-1"/>
  </pageFields>
  <dataFields count="2">
    <dataField name="Sum of pop" fld="13" baseField="0"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2800-000000000000}" name="PivotTable6" cacheId="4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J16" firstHeaderRow="1" firstDataRow="3" firstDataCol="1"/>
  <pivotFields count="5">
    <pivotField axis="axisCol" showAll="0">
      <items count="3">
        <item x="0"/>
        <item x="1"/>
        <item t="default"/>
      </items>
    </pivotField>
    <pivotField axis="axisRow" showAll="0">
      <items count="13">
        <item x="0"/>
        <item x="1"/>
        <item x="2"/>
        <item x="3"/>
        <item x="4"/>
        <item x="5"/>
        <item x="6"/>
        <item x="7"/>
        <item x="8"/>
        <item x="9"/>
        <item x="10"/>
        <item x="11"/>
        <item t="default"/>
      </items>
    </pivotField>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9">
    <i>
      <x/>
      <x/>
    </i>
    <i r="1" i="1">
      <x v="1"/>
    </i>
    <i r="1" i="2">
      <x v="2"/>
    </i>
    <i>
      <x v="1"/>
      <x/>
    </i>
    <i r="1" i="1">
      <x v="1"/>
    </i>
    <i r="1" i="2">
      <x v="2"/>
    </i>
    <i t="grand">
      <x/>
    </i>
    <i t="grand" i="1">
      <x/>
    </i>
    <i t="grand" i="2">
      <x/>
    </i>
  </colItems>
  <dataFields count="3">
    <dataField name="Sum of Female" fld="3" baseField="1" baseItem="0"/>
    <dataField name="Sum of Male" fld="4" baseField="0" baseItem="0"/>
    <dataField name="Sum of Total_Fa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2800-000001000000}" name="PivotTable7" cacheId="3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0:P35" firstHeaderRow="1" firstDataRow="3" firstDataCol="1"/>
  <pivotFields count="7">
    <pivotField axis="axisCol" showAll="0">
      <items count="3">
        <item x="0"/>
        <item x="1"/>
        <item t="default"/>
      </items>
    </pivotField>
    <pivotField axis="axisRow" showAll="0">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Female" fld="3" baseField="1" baseItem="0"/>
    <dataField name="Sum of Male" fld="4" baseField="0" baseItem="0"/>
    <dataField name="Sum of Not known" fld="5" baseField="1" baseItem="0"/>
    <dataField name="Sum of Not specified" fld="6" baseField="1" baseItem="0"/>
    <dataField name="Sum of Total_Nonfa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2900-000001000000}" name="PivotTable8" cacheId="38"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A4:D11" firstHeaderRow="1" firstDataRow="3" firstDataCol="1" rowPageCount="1" colPageCount="1"/>
  <pivotFields count="9">
    <pivotField axis="axisCol" showAll="0">
      <items count="3">
        <item x="0"/>
        <item x="1"/>
        <item t="default"/>
      </items>
    </pivotField>
    <pivotField showAll="0"/>
    <pivotField axis="axisRow" showAll="0">
      <items count="7">
        <item x="0"/>
        <item x="1"/>
        <item x="3"/>
        <item x="2"/>
        <item x="5"/>
        <item x="4"/>
        <item t="default"/>
      </items>
    </pivotField>
    <pivotField axis="axisPage" showAll="0">
      <items count="13">
        <item x="6"/>
        <item x="7"/>
        <item x="8"/>
        <item x="0"/>
        <item x="1"/>
        <item x="2"/>
        <item x="3"/>
        <item x="4"/>
        <item x="5"/>
        <item x="9"/>
        <item x="10"/>
        <item x="11"/>
        <item t="default"/>
      </items>
    </pivotField>
    <pivotField dataField="1" showAll="0"/>
    <pivotField numFmtId="3" showAll="0"/>
    <pivotField numFmtId="3" showAll="0"/>
    <pivotField dataField="1" showAll="0"/>
    <pivotField dataField="1" showAll="0"/>
  </pivotFields>
  <rowFields count="1">
    <field x="2"/>
  </rowFields>
  <rowItems count="5">
    <i>
      <x/>
    </i>
    <i>
      <x v="1"/>
    </i>
    <i>
      <x v="3"/>
    </i>
    <i>
      <x v="5"/>
    </i>
    <i t="grand">
      <x/>
    </i>
  </rowItems>
  <colFields count="2">
    <field x="0"/>
    <field x="-2"/>
  </colFields>
  <colItems count="3">
    <i>
      <x/>
      <x/>
    </i>
    <i r="1" i="1">
      <x v="1"/>
    </i>
    <i r="1" i="2">
      <x v="2"/>
    </i>
  </colItems>
  <pageFields count="1">
    <pageField fld="3" item="11" hier="-1"/>
  </pageFields>
  <dataFields count="3">
    <dataField name="Sum of Female" fld="7" baseField="0" baseItem="0"/>
    <dataField name="Sum of Male" fld="8" baseField="0" baseItem="0"/>
    <dataField name="Sum of Total_Fa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PivotTable11"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0:I45" firstHeaderRow="0" firstDataRow="1" firstDataCol="1" rowPageCount="1" colPageCount="1"/>
  <pivotFields count="13">
    <pivotField axis="axisPage" showAll="0">
      <items count="13">
        <item x="6"/>
        <item x="7"/>
        <item x="8"/>
        <item x="0"/>
        <item x="1"/>
        <item x="2"/>
        <item x="3"/>
        <item x="4"/>
        <item x="5"/>
        <item x="9"/>
        <item x="10"/>
        <item x="11"/>
        <item t="default"/>
      </items>
    </pivotField>
    <pivotField axis="axisRow" showAll="0">
      <items count="5">
        <item x="0"/>
        <item x="1"/>
        <item x="2"/>
        <item x="3"/>
        <item t="default"/>
      </items>
    </pivotField>
    <pivotField showAll="0"/>
    <pivotField numFmtId="3" showAll="0"/>
    <pivotField numFmtId="3"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8">
    <i>
      <x/>
    </i>
    <i i="1">
      <x v="1"/>
    </i>
    <i i="2">
      <x v="2"/>
    </i>
    <i i="3">
      <x v="3"/>
    </i>
    <i i="4">
      <x v="4"/>
    </i>
    <i i="5">
      <x v="5"/>
    </i>
    <i i="6">
      <x v="6"/>
    </i>
    <i i="7">
      <x v="7"/>
    </i>
  </colItems>
  <pageFields count="1">
    <pageField fld="0" item="11" hier="-1"/>
  </pageFields>
  <dataFields count="8">
    <dataField name="Sum of Non FRS personnelFemale" fld="9" baseField="0" baseItem="0"/>
    <dataField name="Sum of Non FRS personnelMale" fld="10" baseField="0" baseItem="0"/>
    <dataField name="Sum of Non FRS personnelNot known" fld="11" baseField="0" baseItem="0"/>
    <dataField name="Sum of Non FRS personnelNot specified" fld="12" baseField="0" baseItem="0"/>
    <dataField name="Sum of FRS personnelFemale" fld="5" baseField="0" baseItem="0"/>
    <dataField name="Sum of FRS personnelMale" fld="6" baseField="0" baseItem="0"/>
    <dataField name="Sum of FRS personnelNot known" fld="7" baseField="0" baseItem="0"/>
    <dataField name="Sum of FRS personnelNot specified"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2900-000002000000}" name="PivotTable9" cacheId="16"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A22:K32" firstHeaderRow="1" firstDataRow="3" firstDataCol="1" rowPageCount="1" colPageCount="1"/>
  <pivotFields count="10">
    <pivotField axis="axisPage" showAll="0">
      <items count="13">
        <item x="6"/>
        <item x="7"/>
        <item x="8"/>
        <item x="0"/>
        <item x="1"/>
        <item x="2"/>
        <item x="3"/>
        <item x="4"/>
        <item x="5"/>
        <item x="9"/>
        <item x="10"/>
        <item x="11"/>
        <item t="default"/>
      </items>
    </pivotField>
    <pivotField axis="axisCol" showAll="0">
      <items count="3">
        <item x="0"/>
        <item x="1"/>
        <item t="default"/>
      </items>
    </pivotField>
    <pivotField axis="axisRow" showAll="0">
      <items count="8">
        <item x="0"/>
        <item x="4"/>
        <item x="5"/>
        <item x="1"/>
        <item x="6"/>
        <item x="2"/>
        <item x="3"/>
        <item t="default"/>
      </items>
    </pivotField>
    <pivotField dataField="1" showAll="0"/>
    <pivotField numFmtId="3" showAll="0"/>
    <pivotField numFmtId="3" showAll="0"/>
    <pivotField dataField="1" showAll="0"/>
    <pivotField dataField="1" showAll="0"/>
    <pivotField dataField="1" showAll="0"/>
    <pivotField dataField="1" showAll="0"/>
  </pivotFields>
  <rowFields count="1">
    <field x="2"/>
  </rowFields>
  <rowItems count="8">
    <i>
      <x/>
    </i>
    <i>
      <x v="1"/>
    </i>
    <i>
      <x v="2"/>
    </i>
    <i>
      <x v="3"/>
    </i>
    <i>
      <x v="4"/>
    </i>
    <i>
      <x v="5"/>
    </i>
    <i>
      <x v="6"/>
    </i>
    <i t="grand">
      <x/>
    </i>
  </rowItems>
  <colFields count="2">
    <field x="1"/>
    <field x="-2"/>
  </colFields>
  <colItems count="10">
    <i>
      <x/>
      <x/>
    </i>
    <i r="1" i="1">
      <x v="1"/>
    </i>
    <i r="1" i="2">
      <x v="2"/>
    </i>
    <i r="1" i="3">
      <x v="3"/>
    </i>
    <i r="1" i="4">
      <x v="4"/>
    </i>
    <i>
      <x v="1"/>
      <x/>
    </i>
    <i r="1" i="1">
      <x v="1"/>
    </i>
    <i r="1" i="2">
      <x v="2"/>
    </i>
    <i r="1" i="3">
      <x v="3"/>
    </i>
    <i r="1" i="4">
      <x v="4"/>
    </i>
  </colItems>
  <pageFields count="1">
    <pageField fld="0" item="11" hier="-1"/>
  </pageFields>
  <dataFields count="5">
    <dataField name="Sum of Female" fld="6" baseField="0" baseItem="0"/>
    <dataField name="Sum of Male" fld="7" baseField="0" baseItem="0"/>
    <dataField name="Sum of Not known" fld="8" baseField="0" baseItem="0"/>
    <dataField name="Sum of Not specified" fld="9" baseField="0" baseItem="0"/>
    <dataField name="Sum of Total_Nonfa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2A00-000001000000}" name="PivotTable13" cacheId="4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0:F28" firstHeaderRow="0" firstDataRow="1" firstDataCol="1" rowPageCount="2" colPageCount="1"/>
  <pivotFields count="10">
    <pivotField axis="axisPage" multipleItemSelectionAllowed="1" showAll="0">
      <items count="13">
        <item h="1" x="6"/>
        <item h="1" x="7"/>
        <item h="1" x="8"/>
        <item h="1" x="0"/>
        <item h="1" x="1"/>
        <item h="1" x="2"/>
        <item h="1" x="3"/>
        <item h="1" x="4"/>
        <item h="1" x="5"/>
        <item h="1" x="9"/>
        <item h="1" x="10"/>
        <item x="11"/>
        <item t="default"/>
      </items>
    </pivotField>
    <pivotField axis="axisPage" showAll="0">
      <items count="3">
        <item x="0"/>
        <item x="1"/>
        <item t="default"/>
      </items>
    </pivotField>
    <pivotField axis="axisRow" showAll="0">
      <items count="8">
        <item x="0"/>
        <item x="4"/>
        <item x="5"/>
        <item x="1"/>
        <item x="6"/>
        <item x="2"/>
        <item x="3"/>
        <item t="default"/>
      </items>
    </pivotField>
    <pivotField dataField="1" showAll="0"/>
    <pivotField dataField="1" numFmtId="3" showAll="0"/>
    <pivotField dataField="1" numFmtId="3" showAll="0"/>
    <pivotField dataField="1" showAll="0"/>
    <pivotField dataField="1" showAll="0"/>
    <pivotField showAll="0"/>
    <pivotField showAll="0"/>
  </pivotFields>
  <rowFields count="1">
    <field x="2"/>
  </rowFields>
  <rowItems count="8">
    <i>
      <x/>
    </i>
    <i>
      <x v="1"/>
    </i>
    <i>
      <x v="2"/>
    </i>
    <i>
      <x v="3"/>
    </i>
    <i>
      <x v="4"/>
    </i>
    <i>
      <x v="5"/>
    </i>
    <i>
      <x v="6"/>
    </i>
    <i t="grand">
      <x/>
    </i>
  </rowItems>
  <colFields count="1">
    <field x="-2"/>
  </colFields>
  <colItems count="5">
    <i>
      <x/>
    </i>
    <i i="1">
      <x v="1"/>
    </i>
    <i i="2">
      <x v="2"/>
    </i>
    <i i="3">
      <x v="3"/>
    </i>
    <i i="4">
      <x v="4"/>
    </i>
  </colItems>
  <pageFields count="2">
    <pageField fld="0" hier="-1"/>
    <pageField fld="1" item="1" hier="-1"/>
  </pageFields>
  <dataFields count="5">
    <dataField name="Sum of Female" fld="6" baseField="2" baseItem="0"/>
    <dataField name="Sum of Male" fld="7" baseField="2" baseItem="0"/>
    <dataField name="Sum of Females" fld="4" baseField="2" baseItem="0"/>
    <dataField name="Sum of Males" fld="5" baseField="2" baseItem="0"/>
    <dataField name="Sum of Total_Nonfatal" fld="3" baseField="2" baseItem="0"/>
  </dataFields>
  <formats count="1">
    <format dxfId="0">
      <pivotArea collapsedLevelsAreSubtotals="1" fieldPosition="0">
        <references count="2">
          <reference field="4294967294" count="2" selected="0">
            <x v="2"/>
            <x v="3"/>
          </reference>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2A00-000000000000}" name="PivotTable12" cacheId="3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F9" firstHeaderRow="0" firstDataRow="1" firstDataCol="1" rowPageCount="2" colPageCount="1"/>
  <pivotFields count="9">
    <pivotField axis="axisPage" showAll="0">
      <items count="3">
        <item x="0"/>
        <item x="1"/>
        <item t="default"/>
      </items>
    </pivotField>
    <pivotField showAll="0"/>
    <pivotField axis="axisRow" showAll="0">
      <items count="7">
        <item x="0"/>
        <item x="1"/>
        <item x="3"/>
        <item x="2"/>
        <item x="5"/>
        <item x="4"/>
        <item t="default"/>
      </items>
    </pivotField>
    <pivotField axis="axisPage" showAll="0">
      <items count="13">
        <item x="6"/>
        <item x="7"/>
        <item x="8"/>
        <item x="0"/>
        <item x="1"/>
        <item x="2"/>
        <item x="3"/>
        <item x="4"/>
        <item x="5"/>
        <item x="9"/>
        <item x="10"/>
        <item x="11"/>
        <item t="default"/>
      </items>
    </pivotField>
    <pivotField dataField="1" showAll="0"/>
    <pivotField dataField="1" numFmtId="3" showAll="0"/>
    <pivotField dataField="1" numFmtId="3" showAll="0"/>
    <pivotField dataField="1" showAll="0"/>
    <pivotField dataField="1" showAll="0"/>
  </pivotFields>
  <rowFields count="1">
    <field x="2"/>
  </rowFields>
  <rowItems count="5">
    <i>
      <x/>
    </i>
    <i>
      <x v="1"/>
    </i>
    <i>
      <x v="3"/>
    </i>
    <i>
      <x v="5"/>
    </i>
    <i t="grand">
      <x/>
    </i>
  </rowItems>
  <colFields count="1">
    <field x="-2"/>
  </colFields>
  <colItems count="5">
    <i>
      <x/>
    </i>
    <i i="1">
      <x v="1"/>
    </i>
    <i i="2">
      <x v="2"/>
    </i>
    <i i="3">
      <x v="3"/>
    </i>
    <i i="4">
      <x v="4"/>
    </i>
  </colItems>
  <pageFields count="2">
    <pageField fld="0" hier="-1"/>
    <pageField fld="3" item="11" hier="-1"/>
  </pageFields>
  <dataFields count="5">
    <dataField name="Sum of Female" fld="7" baseField="2" baseItem="1"/>
    <dataField name="Sum of Male" fld="8" baseField="2" baseItem="1"/>
    <dataField name="Sum of Females" fld="5" baseField="2" baseItem="1"/>
    <dataField name="Sum of Males" fld="6" baseField="2" baseItem="1"/>
    <dataField name="Sum of Total_Fatal" fld="4" baseField="2"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5" cacheId="4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Q39" firstHeaderRow="1" firstDataRow="3" firstDataCol="1" rowPageCount="1" colPageCount="1"/>
  <pivotFields count="8">
    <pivotField axis="axisCol" showAll="0">
      <items count="4">
        <item x="0"/>
        <item x="1"/>
        <item x="2"/>
        <item t="default"/>
      </items>
    </pivotField>
    <pivotField axis="axisPage" showAll="0">
      <items count="13">
        <item x="6"/>
        <item x="7"/>
        <item x="8"/>
        <item x="0"/>
        <item x="1"/>
        <item x="2"/>
        <item x="3"/>
        <item x="4"/>
        <item x="5"/>
        <item x="9"/>
        <item x="10"/>
        <item x="11"/>
        <item t="default"/>
      </items>
    </pivotField>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31"/>
        <item x="26"/>
        <item x="27"/>
        <item x="28"/>
        <item x="29"/>
        <item x="30"/>
        <item t="default"/>
      </items>
    </pivotField>
    <pivotField showAll="0"/>
    <pivotField dataField="1"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0"/>
    <field x="-2"/>
  </colFields>
  <colItems count="16">
    <i>
      <x/>
      <x/>
    </i>
    <i r="1" i="1">
      <x v="1"/>
    </i>
    <i r="1" i="2">
      <x v="2"/>
    </i>
    <i r="1" i="3">
      <x v="3"/>
    </i>
    <i>
      <x v="1"/>
      <x/>
    </i>
    <i r="1" i="1">
      <x v="1"/>
    </i>
    <i r="1" i="2">
      <x v="2"/>
    </i>
    <i r="1" i="3">
      <x v="3"/>
    </i>
    <i>
      <x v="2"/>
      <x/>
    </i>
    <i r="1" i="1">
      <x v="1"/>
    </i>
    <i r="1" i="2">
      <x v="2"/>
    </i>
    <i r="1" i="3">
      <x v="3"/>
    </i>
    <i t="grand">
      <x/>
    </i>
    <i t="grand" i="1">
      <x/>
    </i>
    <i t="grand" i="2">
      <x/>
    </i>
    <i t="grand" i="3">
      <x/>
    </i>
  </colItems>
  <pageFields count="1">
    <pageField fld="1" item="11" hier="-1"/>
  </pageFields>
  <dataFields count="4">
    <dataField name="Sum of 1:Dwelling" fld="4" baseField="2" baseItem="0"/>
    <dataField name="Sum of 2:Other Buildings" fld="5" baseField="2" baseItem="0"/>
    <dataField name="Sum of 3:Road Vehicle" fld="6" baseField="2" baseItem="0"/>
    <dataField name="Sum of 4:Others" fld="7"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2A00-000002000000}" name="PivotTable14"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0:G45" firstHeaderRow="0" firstDataRow="1" firstDataCol="1" rowPageCount="1" colPageCount="1"/>
  <pivotFields count="13">
    <pivotField axis="axisPage" showAll="0">
      <items count="13">
        <item x="6"/>
        <item x="7"/>
        <item x="8"/>
        <item x="0"/>
        <item x="1"/>
        <item x="2"/>
        <item x="3"/>
        <item x="4"/>
        <item x="5"/>
        <item x="9"/>
        <item x="10"/>
        <item x="11"/>
        <item t="default"/>
      </items>
    </pivotField>
    <pivotField axis="axisRow" showAll="0">
      <items count="5">
        <item x="0"/>
        <item x="1"/>
        <item x="2"/>
        <item x="3"/>
        <item t="default"/>
      </items>
    </pivotField>
    <pivotField showAll="0"/>
    <pivotField dataField="1" numFmtId="3" showAll="0"/>
    <pivotField dataField="1" numFmtId="3" showAll="0"/>
    <pivotField showAll="0"/>
    <pivotField showAll="0"/>
    <pivotField showAll="0"/>
    <pivotField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6">
    <i>
      <x/>
    </i>
    <i i="1">
      <x v="1"/>
    </i>
    <i i="2">
      <x v="2"/>
    </i>
    <i i="3">
      <x v="3"/>
    </i>
    <i i="4">
      <x v="4"/>
    </i>
    <i i="5">
      <x v="5"/>
    </i>
  </colItems>
  <pageFields count="1">
    <pageField fld="0" item="11" hier="-1"/>
  </pageFields>
  <dataFields count="6">
    <dataField name="Sum of Non FRS personnelFemale" fld="9" baseField="0" baseItem="0"/>
    <dataField name="Sum of Non FRS personnelMale" fld="10" baseField="0" baseItem="0"/>
    <dataField name="Sum of Females" fld="3" baseField="1" baseItem="0"/>
    <dataField name="Sum of Males" fld="4" baseField="1" baseItem="0"/>
    <dataField name="Sum of Non FRS personnelNot known" fld="11" baseField="0" baseItem="0"/>
    <dataField name="Sum of Non FRS personnelNot specified"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PivotTable2" cacheId="25"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M27:N40" firstHeaderRow="1" firstDataRow="1" firstDataCol="1" rowPageCount="1" colPageCount="1"/>
  <pivotFields count="8">
    <pivotField axis="axisPage" showAll="0">
      <items count="3">
        <item x="0"/>
        <item x="1"/>
        <item t="default"/>
      </items>
    </pivotField>
    <pivotField axis="axisRow" showAll="0">
      <items count="13">
        <item x="0"/>
        <item x="1"/>
        <item x="2"/>
        <item x="3"/>
        <item x="4"/>
        <item x="5"/>
        <item x="6"/>
        <item x="7"/>
        <item x="8"/>
        <item x="9"/>
        <item x="10"/>
        <item x="11"/>
        <item t="default"/>
      </items>
    </pivotField>
    <pivotField dataField="1"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Items count="1">
    <i/>
  </colItems>
  <pageFields count="1">
    <pageField fld="0" item="0" hier="-1"/>
  </pageFields>
  <dataFields count="1">
    <dataField name="Sum of Total_Nonfa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2C00-000001000000}" name="PivotTable4" cacheId="42"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0:L28" firstHeaderRow="0" firstDataRow="1" firstDataCol="1" rowPageCount="2" colPageCount="1"/>
  <pivotFields count="15">
    <pivotField axis="axisPage" showAll="0">
      <items count="13">
        <item x="0"/>
        <item x="1"/>
        <item x="2"/>
        <item x="3"/>
        <item x="4"/>
        <item x="5"/>
        <item x="6"/>
        <item x="7"/>
        <item x="8"/>
        <item x="9"/>
        <item x="10"/>
        <item x="11"/>
        <item t="default"/>
      </items>
    </pivotField>
    <pivotField axis="axisPage" showAll="0">
      <items count="3">
        <item x="0"/>
        <item x="1"/>
        <item t="default"/>
      </items>
    </pivotField>
    <pivotField axis="axisRow" showAll="0">
      <items count="8">
        <item x="0"/>
        <item x="4"/>
        <item x="5"/>
        <item x="1"/>
        <item x="6"/>
        <item x="2"/>
        <item x="3"/>
        <item t="default"/>
      </items>
    </pivotField>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s>
  <rowFields count="1">
    <field x="2"/>
  </rowFields>
  <rowItems count="8">
    <i>
      <x/>
    </i>
    <i>
      <x v="1"/>
    </i>
    <i>
      <x v="2"/>
    </i>
    <i>
      <x v="3"/>
    </i>
    <i>
      <x v="4"/>
    </i>
    <i>
      <x v="5"/>
    </i>
    <i>
      <x v="6"/>
    </i>
    <i t="grand">
      <x/>
    </i>
  </rowItems>
  <colFields count="1">
    <field x="-2"/>
  </colFields>
  <colItems count="11">
    <i>
      <x/>
    </i>
    <i i="1">
      <x v="1"/>
    </i>
    <i i="2">
      <x v="2"/>
    </i>
    <i i="3">
      <x v="3"/>
    </i>
    <i i="4">
      <x v="4"/>
    </i>
    <i i="5">
      <x v="5"/>
    </i>
    <i i="6">
      <x v="6"/>
    </i>
    <i i="7">
      <x v="7"/>
    </i>
    <i i="8">
      <x v="8"/>
    </i>
    <i i="9">
      <x v="9"/>
    </i>
    <i i="10">
      <x v="10"/>
    </i>
  </colItems>
  <pageFields count="2">
    <pageField fld="0" item="11" hier="-1"/>
    <pageField fld="1" item="1" hier="-1"/>
  </pageFields>
  <dataFields count="11">
    <dataField name="Sum of a.0-16" fld="4" baseField="2" baseItem="0"/>
    <dataField name="Sum of a.17-29" fld="5" baseField="2" baseItem="0"/>
    <dataField name="Sum of a.30-59" fld="6" baseField="2" baseItem="0"/>
    <dataField name="Sum of a.60+" fld="7" baseField="2" baseItem="0"/>
    <dataField name="Sum of Unknown" fld="8" baseField="2" baseItem="0"/>
    <dataField name="Sum of Total_Nonfatal" fld="3" baseField="0" baseItem="0"/>
    <dataField name="Average of Total" fld="10" subtotal="average" baseField="2" baseItem="5"/>
    <dataField name="Average of b.0-16" fld="11" subtotal="average" baseField="2" baseItem="5"/>
    <dataField name="Average of b.17-29" fld="12" subtotal="average" baseField="2" baseItem="5"/>
    <dataField name="Average of b.30-59" fld="13" subtotal="average" baseField="2" baseItem="5"/>
    <dataField name="Average of b.60+" fld="14" subtotal="average" baseField="2" baseItem="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2C00-000000000000}" name="PivotTable3" cacheId="5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K9" firstHeaderRow="0" firstDataRow="1" firstDataCol="1" rowPageCount="2" colPageCount="1"/>
  <pivotFields count="15">
    <pivotField axis="axisPage" showAll="0">
      <items count="13">
        <item x="0"/>
        <item x="1"/>
        <item x="2"/>
        <item x="3"/>
        <item x="4"/>
        <item x="5"/>
        <item x="6"/>
        <item x="7"/>
        <item x="8"/>
        <item x="9"/>
        <item x="10"/>
        <item x="11"/>
        <item t="default"/>
      </items>
    </pivotField>
    <pivotField axis="axisPage" showAll="0">
      <items count="3">
        <item x="1"/>
        <item x="0"/>
        <item t="default"/>
      </items>
    </pivotField>
    <pivotField showAll="0"/>
    <pivotField axis="axisRow" showAll="0">
      <items count="7">
        <item x="0"/>
        <item x="1"/>
        <item x="3"/>
        <item x="2"/>
        <item x="5"/>
        <item x="4"/>
        <item t="default"/>
      </items>
    </pivotField>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s>
  <rowFields count="1">
    <field x="3"/>
  </rowFields>
  <rowItems count="5">
    <i>
      <x/>
    </i>
    <i>
      <x v="1"/>
    </i>
    <i>
      <x v="3"/>
    </i>
    <i>
      <x v="5"/>
    </i>
    <i t="grand">
      <x/>
    </i>
  </rowItems>
  <colFields count="1">
    <field x="-2"/>
  </colFields>
  <colItems count="10">
    <i>
      <x/>
    </i>
    <i i="1">
      <x v="1"/>
    </i>
    <i i="2">
      <x v="2"/>
    </i>
    <i i="3">
      <x v="3"/>
    </i>
    <i i="4">
      <x v="4"/>
    </i>
    <i i="5">
      <x v="5"/>
    </i>
    <i i="6">
      <x v="6"/>
    </i>
    <i i="7">
      <x v="7"/>
    </i>
    <i i="8">
      <x v="8"/>
    </i>
    <i i="9">
      <x v="9"/>
    </i>
  </colItems>
  <pageFields count="2">
    <pageField fld="1" item="1" hier="-1"/>
    <pageField fld="0" item="11" hier="-1"/>
  </pageFields>
  <dataFields count="10">
    <dataField name="Sum of a.0-16" fld="5" baseField="3" baseItem="0"/>
    <dataField name="Sum of a.17-29" fld="6" baseField="3" baseItem="0"/>
    <dataField name="Sum of a.30-59" fld="7" baseField="3" baseItem="0"/>
    <dataField name="Sum of a.60+" fld="8" baseField="3" baseItem="0"/>
    <dataField name="Sum of Total_Fatal" fld="4" baseField="0" baseItem="0"/>
    <dataField name="Average of Total" fld="10" subtotal="average" baseField="3" baseItem="0"/>
    <dataField name="Average of b.0-16" fld="11" subtotal="average" baseField="3" baseItem="0"/>
    <dataField name="Average of b.17-29" fld="12" subtotal="average" baseField="3" baseItem="0"/>
    <dataField name="Average of b.30-59" fld="13" subtotal="average" baseField="3" baseItem="0"/>
    <dataField name="Average of b.60+" fld="14" subtotal="average" baseField="3"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2C00-000002000000}" name="PivotTable6" cacheId="3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0:K45" firstHeaderRow="0" firstDataRow="1" firstDataCol="1" rowPageCount="1" colPageCount="1"/>
  <pivotFields count="19">
    <pivotField axis="axisPage" showAll="0">
      <items count="13">
        <item x="0"/>
        <item x="1"/>
        <item x="2"/>
        <item x="3"/>
        <item x="4"/>
        <item x="5"/>
        <item x="6"/>
        <item x="7"/>
        <item x="8"/>
        <item x="9"/>
        <item x="10"/>
        <item x="11"/>
        <item t="default"/>
      </items>
    </pivotField>
    <pivotField axis="axisRow" showAll="0">
      <items count="5">
        <item x="0"/>
        <item x="1"/>
        <item x="2"/>
        <item x="3"/>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10">
    <i>
      <x/>
    </i>
    <i i="1">
      <x v="1"/>
    </i>
    <i i="2">
      <x v="2"/>
    </i>
    <i i="3">
      <x v="3"/>
    </i>
    <i i="4">
      <x v="4"/>
    </i>
    <i i="5">
      <x v="5"/>
    </i>
    <i i="6">
      <x v="6"/>
    </i>
    <i i="7">
      <x v="7"/>
    </i>
    <i i="8">
      <x v="8"/>
    </i>
    <i i="9">
      <x v="9"/>
    </i>
  </colItems>
  <pageFields count="1">
    <pageField fld="0" item="11" hier="-1"/>
  </pageFields>
  <dataFields count="10">
    <dataField name="Sum of Non FRS personnel0-16" fld="8" baseField="1" baseItem="0"/>
    <dataField name="Sum of Non FRS personnel17-29" fld="9" baseField="0" baseItem="0"/>
    <dataField name="Sum of Non FRS personnel30-59" fld="10" baseField="0" baseItem="0"/>
    <dataField name="Sum of Non FRS personnel60+" fld="11" baseField="0" baseItem="0"/>
    <dataField name="Sum of Non FRS personnelUnknown" fld="12" baseField="1" baseItem="0"/>
    <dataField name="Average of 0-16" fld="15" subtotal="average" baseField="1" baseItem="1"/>
    <dataField name="Average of 17-29" fld="16" subtotal="average" baseField="1" baseItem="1"/>
    <dataField name="Average of 30-59" fld="17" subtotal="average" baseField="1" baseItem="1"/>
    <dataField name="Average of Total" fld="14" subtotal="average" baseField="1" baseItem="1"/>
    <dataField name="Average of 60+" fld="18" subtotal="average" baseField="1"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2D00-000000000000}" name="PivotTable3" cacheId="2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E15" firstHeaderRow="1" firstDataRow="2" firstDataCol="1"/>
  <pivotFields count="4">
    <pivotField showAll="0"/>
    <pivotField axis="axisRow" showAll="0">
      <items count="13">
        <item x="0"/>
        <item x="1"/>
        <item x="2"/>
        <item x="3"/>
        <item x="4"/>
        <item x="5"/>
        <item x="6"/>
        <item x="7"/>
        <item x="8"/>
        <item x="9"/>
        <item x="10"/>
        <item x="11"/>
        <item t="default"/>
      </items>
    </pivotField>
    <pivotField axis="axisCol" showAll="0">
      <items count="4">
        <item x="0"/>
        <item x="1"/>
        <item x="2"/>
        <item t="default"/>
      </items>
    </pivotField>
    <pivotField dataField="1" showAll="0"/>
  </pivotFields>
  <rowFields count="1">
    <field x="1"/>
  </rowFields>
  <rowItems count="13">
    <i>
      <x/>
    </i>
    <i>
      <x v="1"/>
    </i>
    <i>
      <x v="2"/>
    </i>
    <i>
      <x v="3"/>
    </i>
    <i>
      <x v="4"/>
    </i>
    <i>
      <x v="5"/>
    </i>
    <i>
      <x v="6"/>
    </i>
    <i>
      <x v="7"/>
    </i>
    <i>
      <x v="8"/>
    </i>
    <i>
      <x v="9"/>
    </i>
    <i>
      <x v="10"/>
    </i>
    <i>
      <x v="11"/>
    </i>
    <i t="grand">
      <x/>
    </i>
  </rowItems>
  <colFields count="1">
    <field x="2"/>
  </colFields>
  <colItems count="4">
    <i>
      <x/>
    </i>
    <i>
      <x v="1"/>
    </i>
    <i>
      <x v="2"/>
    </i>
    <i t="grand">
      <x/>
    </i>
  </colItems>
  <dataFields count="1">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2E00-000000000000}" name="PivotTable9" cacheId="46"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Y16" firstHeaderRow="1" firstDataRow="3" firstDataCol="1"/>
  <pivotFields count="8">
    <pivotField axis="axisRow" showAll="0">
      <items count="13">
        <item x="0"/>
        <item x="1"/>
        <item x="2"/>
        <item x="3"/>
        <item x="4"/>
        <item x="5"/>
        <item x="6"/>
        <item x="7"/>
        <item x="8"/>
        <item x="9"/>
        <item x="10"/>
        <item x="11"/>
        <item t="default"/>
      </items>
    </pivotField>
    <pivotField axis="axisCol" showAll="0">
      <items count="4">
        <item x="0"/>
        <item x="1"/>
        <item x="2"/>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3">
    <i>
      <x/>
    </i>
    <i>
      <x v="1"/>
    </i>
    <i>
      <x v="2"/>
    </i>
    <i>
      <x v="3"/>
    </i>
    <i>
      <x v="4"/>
    </i>
    <i>
      <x v="5"/>
    </i>
    <i>
      <x v="6"/>
    </i>
    <i>
      <x v="7"/>
    </i>
    <i>
      <x v="8"/>
    </i>
    <i>
      <x v="9"/>
    </i>
    <i>
      <x v="10"/>
    </i>
    <i>
      <x v="11"/>
    </i>
    <i t="grand">
      <x/>
    </i>
  </rowItems>
  <colFields count="2">
    <field x="1"/>
    <field x="-2"/>
  </colFields>
  <colItems count="24">
    <i>
      <x/>
      <x/>
    </i>
    <i r="1" i="1">
      <x v="1"/>
    </i>
    <i r="1" i="2">
      <x v="2"/>
    </i>
    <i r="1" i="3">
      <x v="3"/>
    </i>
    <i r="1" i="4">
      <x v="4"/>
    </i>
    <i r="1" i="5">
      <x v="5"/>
    </i>
    <i>
      <x v="1"/>
      <x/>
    </i>
    <i r="1" i="1">
      <x v="1"/>
    </i>
    <i r="1" i="2">
      <x v="2"/>
    </i>
    <i r="1" i="3">
      <x v="3"/>
    </i>
    <i r="1" i="4">
      <x v="4"/>
    </i>
    <i r="1" i="5">
      <x v="5"/>
    </i>
    <i>
      <x v="2"/>
      <x/>
    </i>
    <i r="1" i="1">
      <x v="1"/>
    </i>
    <i r="1" i="2">
      <x v="2"/>
    </i>
    <i r="1" i="3">
      <x v="3"/>
    </i>
    <i r="1" i="4">
      <x v="4"/>
    </i>
    <i r="1" i="5">
      <x v="5"/>
    </i>
    <i t="grand">
      <x/>
    </i>
    <i t="grand" i="1">
      <x/>
    </i>
    <i t="grand" i="2">
      <x/>
    </i>
    <i t="grand" i="3">
      <x/>
    </i>
    <i t="grand" i="4">
      <x/>
    </i>
    <i t="grand" i="5">
      <x/>
    </i>
  </colItems>
  <dataFields count="6">
    <dataField name="Sum of 1Present, operated and raised the alarm" fld="3" baseField="0" baseItem="0"/>
    <dataField name="Sum of 2Present, operated but did not raise the alarm" fld="4" baseField="0" baseItem="0"/>
    <dataField name="Sum of 3Present but did not operate" fld="5" baseField="0" baseItem="0"/>
    <dataField name="Sum of 4Smoke alarm absent" fld="6" baseField="0" baseItem="0"/>
    <dataField name="Sum of 5Don't know if smoke alarm was present" fld="7"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2F00-000000000000}" name="PivotTable10" cacheId="4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P37" firstHeaderRow="0" firstDataRow="1" firstDataCol="1" rowPageCount="1" colPageCount="1"/>
  <pivotFields count="27">
    <pivotField axis="axisPage" showAll="0">
      <items count="13">
        <item x="6"/>
        <item x="7"/>
        <item x="8"/>
        <item x="0"/>
        <item x="1"/>
        <item x="2"/>
        <item x="3"/>
        <item x="4"/>
        <item x="5"/>
        <item x="9"/>
        <item x="10"/>
        <item x="11"/>
        <item t="default"/>
      </items>
    </pivotField>
    <pivotField showAll="0"/>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11" hier="-1"/>
  </pageFields>
  <dataFields count="15">
    <dataField name="Sum of a.1Present, operated and raised the alarm" fld="4" baseField="0" baseItem="0"/>
    <dataField name="Sum of a.2Present, operated but did not raise the alarm" fld="5" baseField="0" baseItem="0"/>
    <dataField name="Sum of a.3Present but did not operate" fld="6" baseField="0" baseItem="0"/>
    <dataField name="Sum of a.4Smoke alarm absent" fld="7" baseField="0" baseItem="0"/>
    <dataField name="Sum of a.5Don't know if smoke alarm was present" fld="8" baseField="0" baseItem="0"/>
    <dataField name="Sum of f.1Present, operated and raised the alarm" fld="13" baseField="0" baseItem="0"/>
    <dataField name="Sum of f.2Present, operated but did not raise the alarm" fld="14" baseField="0" baseItem="0"/>
    <dataField name="Sum of f.3Present but did not operate" fld="15" baseField="0" baseItem="0"/>
    <dataField name="Sum of f.4Smoke alarm absent" fld="16" baseField="0" baseItem="0"/>
    <dataField name="Sum of f.5Don't know if smoke alarm was present" fld="17" baseField="0" baseItem="0"/>
    <dataField name="Sum of n.1Present, operated and raised the alarm" fld="22" baseField="0" baseItem="0"/>
    <dataField name="Sum of n.2Present, operated but did not raise the alarm" fld="23" baseField="0" baseItem="0"/>
    <dataField name="Sum of n.3Present but did not operate" fld="24" baseField="0" baseItem="0"/>
    <dataField name="Sum of n.4Smoke alarm absent" fld="25" baseField="0" baseItem="0"/>
    <dataField name="Sum of n.5Don't know if smoke alarm was present" fld="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3000-000000000000}" name="PivotTable11" cacheId="2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D37" firstHeaderRow="0" firstDataRow="1" firstDataCol="1" rowPageCount="1" colPageCount="1"/>
  <pivotFields count="7">
    <pivotField showAll="0"/>
    <pivotField axis="axisPage" showAll="0">
      <items count="13">
        <item x="6"/>
        <item x="7"/>
        <item x="8"/>
        <item x="0"/>
        <item x="1"/>
        <item x="2"/>
        <item x="3"/>
        <item x="4"/>
        <item x="5"/>
        <item x="9"/>
        <item x="10"/>
        <item x="1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3">
    <i>
      <x/>
    </i>
    <i i="1">
      <x v="1"/>
    </i>
    <i i="2">
      <x v="2"/>
    </i>
  </colItems>
  <pageFields count="1">
    <pageField fld="1" item="11" hier="-1"/>
  </pageFields>
  <dataFields count="3">
    <dataField name="Sum of 1:Yes" fld="4" baseField="0" baseItem="0"/>
    <dataField name="Sum of 2:No" fld="5" baseField="0" baseItem="0"/>
    <dataField name="Sum of 3:Not Known"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3100-000000000000}" name="PivotTable10" cacheId="23"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M16" firstHeaderRow="1" firstDataRow="3" firstDataCol="1"/>
  <pivotFields count="8">
    <pivotField axis="axisCol" showAll="0">
      <items count="3">
        <item x="0"/>
        <item x="1"/>
        <item t="default"/>
      </items>
    </pivotField>
    <pivotField axis="axisRow" showAll="0">
      <items count="13">
        <item x="0"/>
        <item x="1"/>
        <item x="2"/>
        <item x="3"/>
        <item x="4"/>
        <item x="5"/>
        <item x="6"/>
        <item x="7"/>
        <item x="8"/>
        <item x="9"/>
        <item x="10"/>
        <item x="11"/>
        <item t="default"/>
      </items>
    </pivotField>
    <pivotField showAll="0"/>
    <pivotField showAll="0"/>
    <pivotField dataField="1" showAll="0"/>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12">
    <i>
      <x/>
      <x/>
    </i>
    <i r="1" i="1">
      <x v="1"/>
    </i>
    <i r="1" i="2">
      <x v="2"/>
    </i>
    <i r="1" i="3">
      <x v="3"/>
    </i>
    <i>
      <x v="1"/>
      <x/>
    </i>
    <i r="1" i="1">
      <x v="1"/>
    </i>
    <i r="1" i="2">
      <x v="2"/>
    </i>
    <i r="1" i="3">
      <x v="3"/>
    </i>
    <i t="grand">
      <x/>
    </i>
    <i t="grand" i="1">
      <x/>
    </i>
    <i t="grand" i="2">
      <x/>
    </i>
    <i t="grand" i="3">
      <x/>
    </i>
  </colItems>
  <dataFields count="4">
    <dataField name="Sum of 1:Yes" fld="5" baseField="0" baseItem="0"/>
    <dataField name="Sum of 2:No" fld="6" baseField="0" baseItem="0"/>
    <dataField name="Sum of 3:Not Known" fld="7" baseField="0" baseItem="0"/>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1" cacheId="3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Q16" firstHeaderRow="1" firstDataRow="3" firstDataCol="1"/>
  <pivotFields count="7">
    <pivotField axis="axisCol" showAll="0">
      <items count="4">
        <item x="0"/>
        <item x="1"/>
        <item x="2"/>
        <item t="default"/>
      </items>
    </pivotField>
    <pivotField axis="axisRow" showAll="0">
      <items count="13">
        <item x="0"/>
        <item x="1"/>
        <item x="2"/>
        <item x="3"/>
        <item x="4"/>
        <item x="5"/>
        <item x="6"/>
        <item x="7"/>
        <item x="8"/>
        <item x="9"/>
        <item x="10"/>
        <item x="11"/>
        <item t="default"/>
      </items>
    </pivotField>
    <pivotField showAll="0"/>
    <pivotField dataField="1" showAll="0"/>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16">
    <i>
      <x/>
      <x/>
    </i>
    <i r="1" i="1">
      <x v="1"/>
    </i>
    <i r="1" i="2">
      <x v="2"/>
    </i>
    <i r="1" i="3">
      <x v="3"/>
    </i>
    <i>
      <x v="1"/>
      <x/>
    </i>
    <i r="1" i="1">
      <x v="1"/>
    </i>
    <i r="1" i="2">
      <x v="2"/>
    </i>
    <i r="1" i="3">
      <x v="3"/>
    </i>
    <i>
      <x v="2"/>
      <x/>
    </i>
    <i r="1" i="1">
      <x v="1"/>
    </i>
    <i r="1" i="2">
      <x v="2"/>
    </i>
    <i r="1" i="3">
      <x v="3"/>
    </i>
    <i t="grand">
      <x/>
    </i>
    <i t="grand" i="1">
      <x/>
    </i>
    <i t="grand" i="2">
      <x/>
    </i>
    <i t="grand" i="3">
      <x/>
    </i>
  </colItems>
  <dataFields count="4">
    <dataField name="Sum of 1:Dwelling" fld="3" baseField="0" baseItem="0"/>
    <dataField name="Sum of 2:Other Buildings" fld="4" baseField="0" baseItem="0"/>
    <dataField name="Sum of 3:Road Vehicle" fld="5" baseField="0" baseItem="0"/>
    <dataField name="Sum of 4:Others" fld="6" baseField="1"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3200-000000000000}" name="PivotTable1" cacheId="35"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S16" firstHeaderRow="1" firstDataRow="3" firstDataCol="1"/>
  <pivotFields count="8">
    <pivotField axis="axisCol" showAll="0">
      <items count="3">
        <item x="0"/>
        <item x="1"/>
        <item t="default"/>
      </items>
    </pivotField>
    <pivotField axis="axisRow" showAll="0">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18">
    <i>
      <x/>
      <x/>
    </i>
    <i r="1" i="1">
      <x v="1"/>
    </i>
    <i r="1" i="2">
      <x v="2"/>
    </i>
    <i r="1" i="3">
      <x v="3"/>
    </i>
    <i r="1" i="4">
      <x v="4"/>
    </i>
    <i r="1" i="5">
      <x v="5"/>
    </i>
    <i>
      <x v="1"/>
      <x/>
    </i>
    <i r="1" i="1">
      <x v="1"/>
    </i>
    <i r="1" i="2">
      <x v="2"/>
    </i>
    <i r="1" i="3">
      <x v="3"/>
    </i>
    <i r="1" i="4">
      <x v="4"/>
    </i>
    <i r="1" i="5">
      <x v="5"/>
    </i>
    <i t="grand">
      <x/>
    </i>
    <i t="grand" i="1">
      <x/>
    </i>
    <i t="grand" i="2">
      <x/>
    </i>
    <i t="grand" i="3">
      <x/>
    </i>
    <i t="grand" i="4">
      <x/>
    </i>
    <i t="grand" i="5">
      <x/>
    </i>
  </colItems>
  <dataFields count="6">
    <dataField name="Sum of 1Confined to the item" fld="2" baseField="0" baseItem="0"/>
    <dataField name="Sum of 2Beyond item but limited to room" fld="3" baseField="0" baseItem="0"/>
    <dataField name="Sum of 3Elsewhere in building" fld="4" baseField="0" baseItem="0"/>
    <dataField name="Sum of 4Whole building" fld="5" baseField="0" baseItem="0"/>
    <dataField name="Sum of 5Not applicable" fld="6" baseField="0" baseItem="0"/>
    <dataField name="Sum of 6Smoke and/or Heat damage only"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3300-000000000000}" name="PivotTable2" cacheId="4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V16" firstHeaderRow="1" firstDataRow="3" firstDataCol="1"/>
  <pivotFields count="10">
    <pivotField axis="axisCol" showAll="0">
      <items count="3">
        <item x="1"/>
        <item x="0"/>
        <item t="default"/>
      </items>
    </pivotField>
    <pivotField axis="axisRow" showAll="0">
      <items count="13">
        <item x="0"/>
        <item x="1"/>
        <item x="2"/>
        <item x="3"/>
        <item x="4"/>
        <item x="5"/>
        <item x="6"/>
        <item x="7"/>
        <item x="8"/>
        <item x="9"/>
        <item x="10"/>
        <item x="1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21">
    <i>
      <x/>
      <x/>
    </i>
    <i r="1" i="1">
      <x v="1"/>
    </i>
    <i r="1" i="2">
      <x v="2"/>
    </i>
    <i r="1" i="3">
      <x v="3"/>
    </i>
    <i r="1" i="4">
      <x v="4"/>
    </i>
    <i r="1" i="5">
      <x v="5"/>
    </i>
    <i r="1" i="6">
      <x v="6"/>
    </i>
    <i>
      <x v="1"/>
      <x/>
    </i>
    <i r="1" i="1">
      <x v="1"/>
    </i>
    <i r="1" i="2">
      <x v="2"/>
    </i>
    <i r="1" i="3">
      <x v="3"/>
    </i>
    <i r="1" i="4">
      <x v="4"/>
    </i>
    <i r="1" i="5">
      <x v="5"/>
    </i>
    <i r="1" i="6">
      <x v="6"/>
    </i>
    <i t="grand">
      <x/>
    </i>
    <i t="grand" i="1">
      <x/>
    </i>
    <i t="grand" i="2">
      <x/>
    </i>
    <i t="grand" i="3">
      <x/>
    </i>
    <i t="grand" i="4">
      <x/>
    </i>
    <i t="grand" i="5">
      <x/>
    </i>
    <i t="grand" i="6">
      <x/>
    </i>
  </colItems>
  <dataFields count="7">
    <dataField name="Sum of 01" fld="3" baseField="0" baseItem="0"/>
    <dataField name="Sum of 02" fld="4" baseField="0" baseItem="0"/>
    <dataField name="Sum of 03-05" fld="5" baseField="0" baseItem="0"/>
    <dataField name="Sum of 06-10" fld="6" baseField="1" baseItem="0"/>
    <dataField name="Sum of 11-15" fld="7" baseField="1" baseItem="0"/>
    <dataField name="Sum of 16+" fld="8" baseField="1" baseItem="0"/>
    <dataField name="Sum of Unknown"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3400-000000000000}" name="PivotTable12"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V39" firstHeaderRow="1" firstDataRow="3" firstDataCol="1" rowPageCount="1" colPageCount="1"/>
  <pivotFields count="11">
    <pivotField axis="axisCol" showAll="0">
      <items count="3">
        <item x="1"/>
        <item x="0"/>
        <item t="default"/>
      </items>
    </pivotField>
    <pivotField axis="axisPage" showAll="0">
      <items count="13">
        <item x="6"/>
        <item x="7"/>
        <item x="8"/>
        <item x="0"/>
        <item x="1"/>
        <item x="2"/>
        <item x="3"/>
        <item x="4"/>
        <item x="5"/>
        <item x="9"/>
        <item x="10"/>
        <item x="1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0"/>
    <field x="-2"/>
  </colFields>
  <colItems count="21">
    <i>
      <x/>
      <x/>
    </i>
    <i r="1" i="1">
      <x v="1"/>
    </i>
    <i r="1" i="2">
      <x v="2"/>
    </i>
    <i r="1" i="3">
      <x v="3"/>
    </i>
    <i r="1" i="4">
      <x v="4"/>
    </i>
    <i r="1" i="5">
      <x v="5"/>
    </i>
    <i r="1" i="6">
      <x v="6"/>
    </i>
    <i>
      <x v="1"/>
      <x/>
    </i>
    <i r="1" i="1">
      <x v="1"/>
    </i>
    <i r="1" i="2">
      <x v="2"/>
    </i>
    <i r="1" i="3">
      <x v="3"/>
    </i>
    <i r="1" i="4">
      <x v="4"/>
    </i>
    <i r="1" i="5">
      <x v="5"/>
    </i>
    <i r="1" i="6">
      <x v="6"/>
    </i>
    <i t="grand">
      <x/>
    </i>
    <i t="grand" i="1">
      <x/>
    </i>
    <i t="grand" i="2">
      <x/>
    </i>
    <i t="grand" i="3">
      <x/>
    </i>
    <i t="grand" i="4">
      <x/>
    </i>
    <i t="grand" i="5">
      <x/>
    </i>
    <i t="grand" i="6">
      <x/>
    </i>
  </colItems>
  <pageFields count="1">
    <pageField fld="1" item="11" hier="-1"/>
  </pageFields>
  <dataFields count="7">
    <dataField name="Sum of 01" fld="4" baseField="0" baseItem="0"/>
    <dataField name="Sum of 02" fld="5" baseField="0" baseItem="0"/>
    <dataField name="Sum of 03-05" fld="6" baseField="0" baseItem="0"/>
    <dataField name="Sum of 06-10" fld="7" baseField="0" baseItem="0"/>
    <dataField name="Sum of 11-15" fld="8" baseField="0" baseItem="0"/>
    <dataField name="Sum of 16+" fld="9" baseField="0" baseItem="0"/>
    <dataField name="Sum of Unknown"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3500-000000000000}" name="PivotTable3" cacheId="2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CW16" firstHeaderRow="1" firstDataRow="3" firstDataCol="1"/>
  <pivotFields count="27">
    <pivotField axis="axisCol" showAll="0">
      <items count="4">
        <item x="0"/>
        <item x="1"/>
        <item x="2"/>
        <item t="default"/>
      </items>
    </pivotField>
    <pivotField axis="axisRow" showAll="0">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100">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colItems>
  <dataFields count="25">
    <dataField name="Sum of 0" fld="3" baseField="0" baseItem="0"/>
    <dataField name="Sum of 1" fld="4" baseField="0" baseItem="0"/>
    <dataField name="Sum of 2" fld="5" baseField="0" baseItem="0"/>
    <dataField name="Sum of 3" fld="6" baseField="0" baseItem="0"/>
    <dataField name="Sum of 4" fld="7" baseField="0" baseItem="0"/>
    <dataField name="Sum of 5" fld="8" baseField="0" baseItem="0"/>
    <dataField name="Sum of 6" fld="9" baseField="0" baseItem="0"/>
    <dataField name="Sum of 7" fld="10" baseField="0" baseItem="0"/>
    <dataField name="Sum of 8" fld="11" baseField="0" baseItem="0"/>
    <dataField name="Sum of 9" fld="12" baseField="0" baseItem="0"/>
    <dataField name="Sum of 10" fld="13" baseField="0" baseItem="0"/>
    <dataField name="Sum of 11" fld="14" baseField="0" baseItem="0"/>
    <dataField name="Sum of 12" fld="15" baseField="0" baseItem="0"/>
    <dataField name="Sum of 13" fld="16" baseField="0" baseItem="0"/>
    <dataField name="Sum of 14" fld="17" baseField="0" baseItem="0"/>
    <dataField name="Sum of 15" fld="18" baseField="0" baseItem="0"/>
    <dataField name="Sum of 16" fld="19" baseField="0" baseItem="0"/>
    <dataField name="Sum of 17" fld="20" baseField="0" baseItem="0"/>
    <dataField name="Sum of 18" fld="21" baseField="0" baseItem="0"/>
    <dataField name="Sum of 19" fld="22" baseField="0" baseItem="0"/>
    <dataField name="Sum of 20" fld="23" baseField="0" baseItem="0"/>
    <dataField name="Sum of 21" fld="24" baseField="0" baseItem="0"/>
    <dataField name="Sum of 22" fld="25" baseField="0" baseItem="0"/>
    <dataField name="Sum of 23" fld="26"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3600-000000000000}" name="PivotTable4" cacheId="53"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BU16" firstHeaderRow="1" firstDataRow="3" firstDataCol="1"/>
  <pivotFields count="27">
    <pivotField axis="axisCol" showAll="0">
      <items count="3">
        <item x="0"/>
        <item x="1"/>
        <item t="default"/>
      </items>
    </pivotField>
    <pivotField axis="axisRow" showAll="0">
      <items count="13">
        <item x="0"/>
        <item x="1"/>
        <item x="2"/>
        <item x="3"/>
        <item x="4"/>
        <item x="5"/>
        <item x="6"/>
        <item x="7"/>
        <item x="8"/>
        <item x="9"/>
        <item x="10"/>
        <item x="1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72">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colItems>
  <dataFields count="24">
    <dataField name="Sum of 0" fld="3" baseField="1" baseItem="0"/>
    <dataField name="Sum of 1" fld="4" baseField="1" baseItem="5"/>
    <dataField name="Sum of 2" fld="5" baseField="1" baseItem="5"/>
    <dataField name="Sum of 3" fld="6" baseField="0" baseItem="0"/>
    <dataField name="Sum of 4" fld="7" baseField="1" baseItem="5"/>
    <dataField name="Sum of 5" fld="8" baseField="1" baseItem="5"/>
    <dataField name="Sum of 6" fld="9" baseField="1" baseItem="5"/>
    <dataField name="Sum of 7" fld="10" baseField="1" baseItem="5"/>
    <dataField name="Sum of 8" fld="11" baseField="1" baseItem="5"/>
    <dataField name="Sum of 9" fld="12" baseField="1" baseItem="5"/>
    <dataField name="Sum of 10" fld="13" baseField="1" baseItem="5"/>
    <dataField name="Sum of 11" fld="14" baseField="1" baseItem="5"/>
    <dataField name="Sum of 12" fld="15" baseField="1" baseItem="5"/>
    <dataField name="Sum of 13" fld="16" baseField="1" baseItem="5"/>
    <dataField name="Sum of 14" fld="17" baseField="1" baseItem="5"/>
    <dataField name="Sum of 15" fld="18" baseField="1" baseItem="5"/>
    <dataField name="Sum of 16" fld="19" baseField="0" baseItem="0"/>
    <dataField name="Sum of 17" fld="20" baseField="1" baseItem="5"/>
    <dataField name="Sum of 18" fld="21" baseField="1" baseItem="5"/>
    <dataField name="Sum of 19" fld="22" baseField="1" baseItem="5"/>
    <dataField name="Sum of 20" fld="23" baseField="1" baseItem="5"/>
    <dataField name="Sum of 21" fld="24" baseField="1" baseItem="5"/>
    <dataField name="Sum of 22" fld="25" baseField="1" baseItem="5"/>
    <dataField name="Sum of 23" fld="26" baseField="1" baseItem="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3800-000000000000}" name="PivotTable5" cacheId="26"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P16" firstHeaderRow="1" firstDataRow="3" firstDataCol="1"/>
  <pivotFields count="7">
    <pivotField axis="axisCol" showAll="0">
      <items count="3">
        <item x="0"/>
        <item x="1"/>
        <item t="default"/>
      </items>
    </pivotField>
    <pivotField axis="axisRow" showAll="0">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0"/>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None" fld="4" baseField="0" baseItem="0"/>
    <dataField name="Sum of Up to 5" fld="6" baseField="0" baseItem="0"/>
    <dataField name="Sum of 10-Jun" fld="3" baseField="0" baseItem="0"/>
    <dataField name="Sum of 20-Nov" fld="2" baseField="0" baseItem="0"/>
    <dataField name="Sum of Over 20"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5B00-000001000000}" name="PivotTable3" cacheId="4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8:G41" firstHeaderRow="1" firstDataRow="1" firstDataCol="1" rowPageCount="1" colPageCount="1"/>
  <pivotFields count="3">
    <pivotField axis="axisPage" subtotalTop="0" showAll="0">
      <items count="13">
        <item x="6"/>
        <item x="4"/>
        <item x="2"/>
        <item x="1"/>
        <item x="8"/>
        <item x="0"/>
        <item x="9"/>
        <item x="5"/>
        <item x="10"/>
        <item x="7"/>
        <item x="3"/>
        <item x="11"/>
        <item t="default"/>
      </items>
    </pivotField>
    <pivotField axis="axisRow" subtotalTop="0" showAll="0">
      <items count="34">
        <item x="1"/>
        <item x="2"/>
        <item x="3"/>
        <item x="4"/>
        <item x="5"/>
        <item x="6"/>
        <item x="7"/>
        <item x="8"/>
        <item x="9"/>
        <item x="10"/>
        <item x="25"/>
        <item x="11"/>
        <item x="12"/>
        <item x="13"/>
        <item x="26"/>
        <item x="14"/>
        <item x="27"/>
        <item x="15"/>
        <item x="28"/>
        <item x="16"/>
        <item x="17"/>
        <item x="18"/>
        <item x="0"/>
        <item x="29"/>
        <item x="19"/>
        <item x="30"/>
        <item x="20"/>
        <item x="21"/>
        <item x="31"/>
        <item x="32"/>
        <item x="22"/>
        <item x="23"/>
        <item x="24"/>
        <item t="default"/>
      </items>
    </pivotField>
    <pivotField dataField="1" subtotalTop="0"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3"/>
    </i>
    <i>
      <x v="24"/>
    </i>
    <i>
      <x v="25"/>
    </i>
    <i>
      <x v="26"/>
    </i>
    <i>
      <x v="27"/>
    </i>
    <i>
      <x v="28"/>
    </i>
    <i>
      <x v="29"/>
    </i>
    <i>
      <x v="30"/>
    </i>
    <i>
      <x v="31"/>
    </i>
    <i>
      <x v="32"/>
    </i>
    <i t="grand">
      <x/>
    </i>
  </rowItems>
  <colItems count="1">
    <i/>
  </colItems>
  <pageFields count="1">
    <pageField fld="0" item="11" hier="-1"/>
  </pageFields>
  <dataFields count="1">
    <dataField name="Sum of Total" fld="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5B00-000000000000}" name="PivotTable2" cacheId="4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8:J42" firstHeaderRow="1" firstDataRow="1" firstDataCol="1" rowPageCount="1" colPageCount="1"/>
  <pivotFields count="3">
    <pivotField axis="axisPage" subtotalTop="0" showAll="0">
      <items count="13">
        <item x="6"/>
        <item x="4"/>
        <item x="2"/>
        <item x="1"/>
        <item x="8"/>
        <item x="0"/>
        <item x="9"/>
        <item x="5"/>
        <item x="10"/>
        <item x="7"/>
        <item x="3"/>
        <item x="11"/>
        <item t="default"/>
      </items>
    </pivotField>
    <pivotField axis="axisRow" subtotalTop="0" showAll="0">
      <items count="34">
        <item x="1"/>
        <item x="2"/>
        <item x="3"/>
        <item x="4"/>
        <item x="5"/>
        <item x="6"/>
        <item x="7"/>
        <item x="8"/>
        <item x="9"/>
        <item x="10"/>
        <item x="25"/>
        <item x="11"/>
        <item x="12"/>
        <item x="13"/>
        <item x="26"/>
        <item x="14"/>
        <item x="27"/>
        <item x="15"/>
        <item x="28"/>
        <item x="16"/>
        <item x="17"/>
        <item x="18"/>
        <item x="0"/>
        <item x="29"/>
        <item x="19"/>
        <item x="30"/>
        <item x="20"/>
        <item x="21"/>
        <item x="31"/>
        <item x="32"/>
        <item x="22"/>
        <item x="23"/>
        <item x="24"/>
        <item t="default"/>
      </items>
    </pivotField>
    <pivotField dataField="1" subtotalTop="0"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1">
    <pageField fld="0" hier="-1"/>
  </pageFields>
  <dataFields count="1">
    <dataField name="Sum of Total" fld="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7200-000000000000}" name="PivotTable3" cacheId="5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AF18" firstHeaderRow="1" firstDataRow="2" firstDataCol="1" rowPageCount="1" colPageCount="1"/>
  <pivotFields count="4">
    <pivotField axis="axisPage" subtotalTop="0" showAll="0">
      <items count="3">
        <item x="0"/>
        <item x="1"/>
        <item t="default"/>
      </items>
    </pivotField>
    <pivotField axis="axisRow" subtotalTop="0" showAll="0">
      <items count="13">
        <item x="0"/>
        <item x="1"/>
        <item x="2"/>
        <item x="3"/>
        <item x="4"/>
        <item x="5"/>
        <item x="6"/>
        <item x="7"/>
        <item x="8"/>
        <item x="9"/>
        <item x="10"/>
        <item x="11"/>
        <item t="default"/>
      </items>
    </pivotField>
    <pivotField axis="axisCol" subtotalTop="0" showAl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dataField="1" subtotalTop="0" showAll="0"/>
  </pivotFields>
  <rowFields count="1">
    <field x="1"/>
  </rowFields>
  <rowItems count="13">
    <i>
      <x/>
    </i>
    <i>
      <x v="1"/>
    </i>
    <i>
      <x v="2"/>
    </i>
    <i>
      <x v="3"/>
    </i>
    <i>
      <x v="4"/>
    </i>
    <i>
      <x v="5"/>
    </i>
    <i>
      <x v="6"/>
    </i>
    <i>
      <x v="7"/>
    </i>
    <i>
      <x v="8"/>
    </i>
    <i>
      <x v="9"/>
    </i>
    <i>
      <x v="10"/>
    </i>
    <i>
      <x v="11"/>
    </i>
    <i t="grand">
      <x/>
    </i>
  </rowItems>
  <colFields count="1">
    <field x="2"/>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pageFields count="1">
    <pageField fld="0" item="0" hier="-1"/>
  </pageFields>
  <dataFields count="1">
    <dataField name="Sum of Buildings_Total"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8300-000001000000}" name="PivotTable2" cacheId="45"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A20:K30" firstHeaderRow="1" firstDataRow="3" firstDataCol="1" rowPageCount="1" colPageCount="1"/>
  <pivotFields count="9">
    <pivotField axis="axisPage" showAll="0">
      <items count="13">
        <item x="6"/>
        <item x="7"/>
        <item x="8"/>
        <item x="0"/>
        <item x="1"/>
        <item x="2"/>
        <item x="3"/>
        <item x="4"/>
        <item x="5"/>
        <item x="9"/>
        <item x="10"/>
        <item x="11"/>
        <item t="default"/>
      </items>
    </pivotField>
    <pivotField axis="axisCol" showAll="0">
      <items count="3">
        <item x="0"/>
        <item x="1"/>
        <item t="default"/>
      </items>
    </pivotField>
    <pivotField axis="axisRow" showAll="0">
      <items count="8">
        <item x="0"/>
        <item x="4"/>
        <item x="5"/>
        <item x="1"/>
        <item x="6"/>
        <item x="2"/>
        <item x="3"/>
        <item t="default"/>
      </items>
    </pivotField>
    <pivotField showAll="0"/>
    <pivotField dataField="1" showAll="0"/>
    <pivotField dataField="1" showAll="0"/>
    <pivotField dataField="1" showAll="0"/>
    <pivotField dataField="1" showAll="0"/>
    <pivotField dataField="1" showAll="0"/>
  </pivotFields>
  <rowFields count="1">
    <field x="2"/>
  </rowFields>
  <rowItems count="8">
    <i>
      <x/>
    </i>
    <i>
      <x v="1"/>
    </i>
    <i>
      <x v="2"/>
    </i>
    <i>
      <x v="3"/>
    </i>
    <i>
      <x v="4"/>
    </i>
    <i>
      <x v="5"/>
    </i>
    <i>
      <x v="6"/>
    </i>
    <i t="grand">
      <x/>
    </i>
  </rowItems>
  <colFields count="2">
    <field x="1"/>
    <field x="-2"/>
  </colFields>
  <colItems count="10">
    <i>
      <x/>
      <x/>
    </i>
    <i r="1" i="1">
      <x v="1"/>
    </i>
    <i r="1" i="2">
      <x v="2"/>
    </i>
    <i r="1" i="3">
      <x v="3"/>
    </i>
    <i r="1" i="4">
      <x v="4"/>
    </i>
    <i>
      <x v="1"/>
      <x/>
    </i>
    <i r="1" i="1">
      <x v="1"/>
    </i>
    <i r="1" i="2">
      <x v="2"/>
    </i>
    <i r="1" i="3">
      <x v="3"/>
    </i>
    <i r="1" i="4">
      <x v="4"/>
    </i>
  </colItems>
  <pageFields count="1">
    <pageField fld="0" item="11" hier="-1"/>
  </pageFields>
  <dataFields count="5">
    <dataField name="Sum of 0-16" fld="4" baseField="0" baseItem="0"/>
    <dataField name="Sum of 17-29" fld="5" baseField="0" baseItem="0"/>
    <dataField name="Sum of 30-59" fld="6" baseField="0" baseItem="0"/>
    <dataField name="Sum of 60+" fld="7" baseField="0" baseItem="0"/>
    <dataField name="Sum of Unknown"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6" cacheId="1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E37" firstHeaderRow="0" firstDataRow="1" firstDataCol="1" rowPageCount="1" colPageCount="1"/>
  <pivotFields count="6">
    <pivotField axis="axisPage" multipleItemSelectionAllowed="1" showAll="0">
      <items count="13">
        <item h="1" x="6"/>
        <item h="1" x="7"/>
        <item h="1" x="8"/>
        <item h="1" x="0"/>
        <item h="1" x="1"/>
        <item h="1" x="2"/>
        <item h="1" x="3"/>
        <item h="1" x="4"/>
        <item h="1" x="5"/>
        <item h="1" x="9"/>
        <item h="1" x="10"/>
        <item x="1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pageFields count="1">
    <pageField fld="0" hier="-1"/>
  </pageFields>
  <dataFields count="4">
    <dataField name="Sum of Total_ADF" fld="2" baseField="0" baseItem="0"/>
    <dataField name="Sum of Total_fatal_ADF" fld="3" baseField="1" baseItem="0"/>
    <dataField name="Sum of Total_nonfatal_ADF" fld="4" baseField="0" baseItem="0"/>
    <dataField name="Sum of Dwelling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8300-000000000000}" name="PivotTable1" cacheId="3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I11" firstHeaderRow="1" firstDataRow="3" firstDataCol="1" rowPageCount="1" colPageCount="1"/>
  <pivotFields count="9">
    <pivotField axis="axisPage" multipleItemSelectionAllowed="1" showAll="0">
      <items count="13">
        <item h="1" x="6"/>
        <item h="1" x="7"/>
        <item h="1" x="8"/>
        <item h="1" x="0"/>
        <item h="1" x="1"/>
        <item h="1" x="2"/>
        <item h="1" x="3"/>
        <item h="1" x="4"/>
        <item h="1" x="5"/>
        <item h="1" x="9"/>
        <item h="1" x="10"/>
        <item x="11"/>
        <item t="default"/>
      </items>
    </pivotField>
    <pivotField axis="axisCol" showAll="0">
      <items count="3">
        <item x="0"/>
        <item x="1"/>
        <item t="default"/>
      </items>
    </pivotField>
    <pivotField showAll="0"/>
    <pivotField axis="axisRow" showAll="0">
      <items count="7">
        <item x="0"/>
        <item x="1"/>
        <item x="3"/>
        <item x="2"/>
        <item x="5"/>
        <item x="4"/>
        <item t="default"/>
      </items>
    </pivotField>
    <pivotField showAll="0"/>
    <pivotField dataField="1" showAll="0" defaultSubtotal="0"/>
    <pivotField dataField="1" showAll="0"/>
    <pivotField dataField="1" showAll="0"/>
    <pivotField dataField="1" showAll="0"/>
  </pivotFields>
  <rowFields count="1">
    <field x="3"/>
  </rowFields>
  <rowItems count="5">
    <i>
      <x/>
    </i>
    <i>
      <x v="1"/>
    </i>
    <i>
      <x v="3"/>
    </i>
    <i>
      <x v="5"/>
    </i>
    <i t="grand">
      <x/>
    </i>
  </rowItems>
  <colFields count="2">
    <field x="1"/>
    <field x="-2"/>
  </colFields>
  <colItems count="8">
    <i>
      <x/>
      <x/>
    </i>
    <i r="1" i="1">
      <x v="1"/>
    </i>
    <i r="1" i="2">
      <x v="2"/>
    </i>
    <i r="1" i="3">
      <x v="3"/>
    </i>
    <i t="grand">
      <x/>
    </i>
    <i t="grand" i="1">
      <x/>
    </i>
    <i t="grand" i="2">
      <x/>
    </i>
    <i t="grand" i="3">
      <x/>
    </i>
  </colItems>
  <pageFields count="1">
    <pageField fld="0" hier="-1"/>
  </pageFields>
  <dataFields count="4">
    <dataField name="Sum of 0-16" fld="5" baseField="3" baseItem="0"/>
    <dataField name="Sum of 17-29" fld="6" baseField="0" baseItem="0"/>
    <dataField name="Sum of 30-59" fld="7" baseField="0" baseItem="0"/>
    <dataField name="Sum of 60+"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8300-000002000000}" name="PivotTable3" cacheId="5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0:J45" firstHeaderRow="0" firstDataRow="1" firstDataCol="1" rowPageCount="1" colPageCount="1"/>
  <pivotFields count="13">
    <pivotField axis="axisPage" showAll="0">
      <items count="13">
        <item x="6"/>
        <item x="7"/>
        <item x="8"/>
        <item x="0"/>
        <item x="1"/>
        <item x="2"/>
        <item x="3"/>
        <item x="4"/>
        <item x="5"/>
        <item x="9"/>
        <item x="10"/>
        <item x="11"/>
        <item t="default"/>
      </items>
    </pivotField>
    <pivotField axis="axisRow" showAll="0" defaultSubtotal="0">
      <items count="4">
        <item x="0"/>
        <item x="1"/>
        <item x="2"/>
        <item x="3"/>
      </items>
    </pivotField>
    <pivotField showAll="0" defaultSubtotal="0"/>
    <pivotField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9">
    <i>
      <x/>
    </i>
    <i i="1">
      <x v="1"/>
    </i>
    <i i="2">
      <x v="2"/>
    </i>
    <i i="3">
      <x v="3"/>
    </i>
    <i i="4">
      <x v="4"/>
    </i>
    <i i="5">
      <x v="5"/>
    </i>
    <i i="6">
      <x v="6"/>
    </i>
    <i i="7">
      <x v="7"/>
    </i>
    <i i="8">
      <x v="8"/>
    </i>
  </colItems>
  <pageFields count="1">
    <pageField fld="0" item="11" hier="-1"/>
  </pageFields>
  <dataFields count="9">
    <dataField name="Sum of Non FRS personnelUnknown" fld="12" baseField="1" baseItem="1"/>
    <dataField name="Sum of Non FRS personnel0-16" fld="8" baseField="0" baseItem="0"/>
    <dataField name="Sum of Non FRS personnel17-29" fld="9" baseField="0" baseItem="0"/>
    <dataField name="Sum of Non FRS personnel30-59" fld="10" baseField="0" baseItem="0"/>
    <dataField name="Sum of Non FRS personnel60+" fld="11" baseField="0" baseItem="0"/>
    <dataField name="Sum of FRS personnel17-29" fld="4" baseField="1" baseItem="0"/>
    <dataField name="Sum of FRS personnel30-59" fld="5" baseField="0" baseItem="0"/>
    <dataField name="Sum of FRS personnel60+" fld="6" baseField="0" baseItem="0"/>
    <dataField name="Sum of FRS personnelUnknown"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9900-000000000000}" name="PivotTable7" cacheId="32"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BF15" firstHeaderRow="1" firstDataRow="3" firstDataCol="1"/>
  <pivotFields count="7">
    <pivotField axis="axisRow" showAll="0">
      <items count="10">
        <item x="0"/>
        <item x="1"/>
        <item x="2"/>
        <item x="3"/>
        <item x="4"/>
        <item x="5"/>
        <item x="6"/>
        <item x="7"/>
        <item x="8"/>
        <item t="default"/>
      </items>
    </pivotField>
    <pivotField axis="axisCol" showAll="0">
      <items count="9">
        <item x="0"/>
        <item x="1"/>
        <item x="2"/>
        <item x="3"/>
        <item x="4"/>
        <item x="5"/>
        <item x="6"/>
        <item x="7"/>
        <item t="default"/>
      </items>
    </pivotField>
    <pivotField axis="axisCol" showAll="0">
      <items count="7">
        <item x="1"/>
        <item x="2"/>
        <item x="3"/>
        <item x="4"/>
        <item x="5"/>
        <item x="0"/>
        <item t="default"/>
      </items>
    </pivotField>
    <pivotField dataField="1" showAll="0"/>
    <pivotField showAll="0"/>
    <pivotField showAll="0"/>
    <pivotField showAll="0"/>
  </pivotFields>
  <rowFields count="1">
    <field x="0"/>
  </rowFields>
  <rowItems count="10">
    <i>
      <x/>
    </i>
    <i>
      <x v="1"/>
    </i>
    <i>
      <x v="2"/>
    </i>
    <i>
      <x v="3"/>
    </i>
    <i>
      <x v="4"/>
    </i>
    <i>
      <x v="5"/>
    </i>
    <i>
      <x v="6"/>
    </i>
    <i>
      <x v="7"/>
    </i>
    <i>
      <x v="8"/>
    </i>
    <i t="grand">
      <x/>
    </i>
  </rowItems>
  <colFields count="2">
    <field x="1"/>
    <field x="2"/>
  </colFields>
  <colItems count="57">
    <i>
      <x/>
      <x/>
    </i>
    <i r="1">
      <x v="1"/>
    </i>
    <i r="1">
      <x v="2"/>
    </i>
    <i r="1">
      <x v="3"/>
    </i>
    <i r="1">
      <x v="4"/>
    </i>
    <i r="1">
      <x v="5"/>
    </i>
    <i t="default">
      <x/>
    </i>
    <i>
      <x v="1"/>
      <x/>
    </i>
    <i r="1">
      <x v="1"/>
    </i>
    <i r="1">
      <x v="2"/>
    </i>
    <i r="1">
      <x v="3"/>
    </i>
    <i r="1">
      <x v="4"/>
    </i>
    <i r="1">
      <x v="5"/>
    </i>
    <i t="default">
      <x v="1"/>
    </i>
    <i>
      <x v="2"/>
      <x/>
    </i>
    <i r="1">
      <x v="1"/>
    </i>
    <i r="1">
      <x v="2"/>
    </i>
    <i r="1">
      <x v="3"/>
    </i>
    <i r="1">
      <x v="4"/>
    </i>
    <i r="1">
      <x v="5"/>
    </i>
    <i t="default">
      <x v="2"/>
    </i>
    <i>
      <x v="3"/>
      <x/>
    </i>
    <i r="1">
      <x v="1"/>
    </i>
    <i r="1">
      <x v="2"/>
    </i>
    <i r="1">
      <x v="3"/>
    </i>
    <i r="1">
      <x v="4"/>
    </i>
    <i r="1">
      <x v="5"/>
    </i>
    <i t="default">
      <x v="3"/>
    </i>
    <i>
      <x v="4"/>
      <x/>
    </i>
    <i r="1">
      <x v="1"/>
    </i>
    <i r="1">
      <x v="2"/>
    </i>
    <i r="1">
      <x v="3"/>
    </i>
    <i r="1">
      <x v="4"/>
    </i>
    <i r="1">
      <x v="5"/>
    </i>
    <i t="default">
      <x v="4"/>
    </i>
    <i>
      <x v="5"/>
      <x/>
    </i>
    <i r="1">
      <x v="1"/>
    </i>
    <i r="1">
      <x v="2"/>
    </i>
    <i r="1">
      <x v="3"/>
    </i>
    <i r="1">
      <x v="4"/>
    </i>
    <i r="1">
      <x v="5"/>
    </i>
    <i t="default">
      <x v="5"/>
    </i>
    <i>
      <x v="6"/>
      <x/>
    </i>
    <i r="1">
      <x v="1"/>
    </i>
    <i r="1">
      <x v="2"/>
    </i>
    <i r="1">
      <x v="3"/>
    </i>
    <i r="1">
      <x v="4"/>
    </i>
    <i r="1">
      <x v="5"/>
    </i>
    <i t="default">
      <x v="6"/>
    </i>
    <i>
      <x v="7"/>
      <x/>
    </i>
    <i r="1">
      <x v="1"/>
    </i>
    <i r="1">
      <x v="2"/>
    </i>
    <i r="1">
      <x v="3"/>
    </i>
    <i r="1">
      <x v="4"/>
    </i>
    <i r="1">
      <x v="5"/>
    </i>
    <i t="default">
      <x v="7"/>
    </i>
    <i t="grand">
      <x/>
    </i>
  </colItems>
  <dataFields count="1">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9900-000002000000}" name="PivotTable9" cacheId="32"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40:G51" firstHeaderRow="1" firstDataRow="2" firstDataCol="1"/>
  <pivotFields count="7">
    <pivotField axis="axisRow" showAll="0">
      <items count="10">
        <item x="0"/>
        <item x="1"/>
        <item x="2"/>
        <item x="3"/>
        <item x="4"/>
        <item x="5"/>
        <item x="6"/>
        <item x="7"/>
        <item x="8"/>
        <item t="default"/>
      </items>
    </pivotField>
    <pivotField showAll="0"/>
    <pivotField axis="axisCol" showAll="0">
      <items count="7">
        <item x="1"/>
        <item x="2"/>
        <item x="3"/>
        <item x="4"/>
        <item x="5"/>
        <item x="0"/>
        <item t="default"/>
      </items>
    </pivotField>
    <pivotField showAll="0"/>
    <pivotField showAll="0"/>
    <pivotField showAll="0"/>
    <pivotField dataField="1" showAll="0"/>
  </pivotFields>
  <rowFields count="1">
    <field x="0"/>
  </rowFields>
  <rowItems count="10">
    <i>
      <x/>
    </i>
    <i>
      <x v="1"/>
    </i>
    <i>
      <x v="2"/>
    </i>
    <i>
      <x v="3"/>
    </i>
    <i>
      <x v="4"/>
    </i>
    <i>
      <x v="5"/>
    </i>
    <i>
      <x v="6"/>
    </i>
    <i>
      <x v="7"/>
    </i>
    <i>
      <x v="8"/>
    </i>
    <i t="grand">
      <x/>
    </i>
  </rowItems>
  <colFields count="1">
    <field x="2"/>
  </colFields>
  <colItems count="6">
    <i>
      <x/>
    </i>
    <i>
      <x v="1"/>
    </i>
    <i>
      <x v="2"/>
    </i>
    <i>
      <x v="3"/>
    </i>
    <i>
      <x v="4"/>
    </i>
    <i>
      <x v="5"/>
    </i>
  </colItems>
  <dataFields count="1">
    <dataField name="Max of pop" fld="6"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9900-000001000000}" name="PivotTable8" cacheId="2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0:C29" firstHeaderRow="0" firstDataRow="1" firstDataCol="1" rowPageCount="1" colPageCount="1"/>
  <pivotFields count="7">
    <pivotField axis="axisPage" showAll="0">
      <items count="11">
        <item x="0"/>
        <item x="1"/>
        <item x="2"/>
        <item x="3"/>
        <item x="4"/>
        <item x="5"/>
        <item x="6"/>
        <item x="7"/>
        <item x="8"/>
        <item x="9"/>
        <item t="default"/>
      </items>
    </pivotField>
    <pivotField axis="axisRow" showAll="0">
      <items count="10">
        <item x="0"/>
        <item x="1"/>
        <item x="2"/>
        <item x="3"/>
        <item x="4"/>
        <item x="5"/>
        <item x="6"/>
        <item x="7"/>
        <item x="8"/>
        <item t="default"/>
      </items>
    </pivotField>
    <pivotField showAll="0"/>
    <pivotField dataField="1" showAll="0"/>
    <pivotField showAll="0"/>
    <pivotField showAll="0"/>
    <pivotField dataField="1" showAll="0"/>
  </pivotFields>
  <rowFields count="1">
    <field x="1"/>
  </rowFields>
  <rowItems count="9">
    <i>
      <x/>
    </i>
    <i>
      <x v="1"/>
    </i>
    <i>
      <x v="2"/>
    </i>
    <i>
      <x v="3"/>
    </i>
    <i>
      <x v="4"/>
    </i>
    <i>
      <x v="5"/>
    </i>
    <i>
      <x v="6"/>
    </i>
    <i>
      <x v="7"/>
    </i>
    <i t="grand">
      <x/>
    </i>
  </rowItems>
  <colFields count="1">
    <field x="-2"/>
  </colFields>
  <colItems count="2">
    <i>
      <x/>
    </i>
    <i i="1">
      <x v="1"/>
    </i>
  </colItems>
  <pageFields count="1">
    <pageField fld="0" item="8" hier="-1"/>
  </pageFields>
  <dataFields count="2">
    <dataField name="Sum of Total" fld="3" baseField="0" baseItem="0"/>
    <dataField name="Average of pop" fld="6"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0000000-0007-0000-9A00-000001000000}" name="PivotTable3" cacheId="2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4:CA27" firstHeaderRow="1" firstDataRow="4" firstDataCol="1"/>
  <pivotFields count="8">
    <pivotField axis="axisCol" showAll="0">
      <items count="4">
        <item x="2"/>
        <item x="1"/>
        <item x="0"/>
        <item t="default"/>
      </items>
    </pivotField>
    <pivotField axis="axisRow" showAll="0">
      <items count="10">
        <item x="0"/>
        <item x="1"/>
        <item x="2"/>
        <item x="3"/>
        <item x="4"/>
        <item x="5"/>
        <item x="6"/>
        <item x="7"/>
        <item x="8"/>
        <item t="default"/>
      </items>
    </pivotField>
    <pivotField axis="axisCol" showAll="0">
      <items count="7">
        <item x="0"/>
        <item x="1"/>
        <item x="2"/>
        <item x="3"/>
        <item x="4"/>
        <item x="5"/>
        <item t="default"/>
      </items>
    </pivotField>
    <pivotField axis="axisCol" showAll="0">
      <items count="5">
        <item x="2"/>
        <item x="1"/>
        <item x="3"/>
        <item x="0"/>
        <item t="default"/>
      </items>
    </pivotField>
    <pivotField dataField="1" showAll="0"/>
    <pivotField showAll="0"/>
    <pivotField showAll="0"/>
    <pivotField showAll="0"/>
  </pivotFields>
  <rowFields count="1">
    <field x="1"/>
  </rowFields>
  <rowItems count="10">
    <i>
      <x/>
    </i>
    <i>
      <x v="1"/>
    </i>
    <i>
      <x v="2"/>
    </i>
    <i>
      <x v="3"/>
    </i>
    <i>
      <x v="4"/>
    </i>
    <i>
      <x v="5"/>
    </i>
    <i>
      <x v="6"/>
    </i>
    <i>
      <x v="7"/>
    </i>
    <i>
      <x v="8"/>
    </i>
    <i t="grand">
      <x/>
    </i>
  </rowItems>
  <colFields count="3">
    <field x="0"/>
    <field x="3"/>
    <field x="2"/>
  </colFields>
  <colItems count="78">
    <i>
      <x/>
      <x/>
      <x/>
    </i>
    <i r="2">
      <x v="1"/>
    </i>
    <i r="2">
      <x v="2"/>
    </i>
    <i r="2">
      <x v="3"/>
    </i>
    <i r="2">
      <x v="4"/>
    </i>
    <i t="default" r="1">
      <x/>
    </i>
    <i r="1">
      <x v="1"/>
      <x/>
    </i>
    <i r="2">
      <x v="1"/>
    </i>
    <i r="2">
      <x v="2"/>
    </i>
    <i r="2">
      <x v="3"/>
    </i>
    <i r="2">
      <x v="4"/>
    </i>
    <i t="default" r="1">
      <x v="1"/>
    </i>
    <i r="1">
      <x v="2"/>
      <x/>
    </i>
    <i r="2">
      <x v="1"/>
    </i>
    <i r="2">
      <x v="2"/>
    </i>
    <i r="2">
      <x v="3"/>
    </i>
    <i r="2">
      <x v="4"/>
    </i>
    <i t="default" r="1">
      <x v="2"/>
    </i>
    <i r="1">
      <x v="3"/>
      <x/>
    </i>
    <i r="2">
      <x v="1"/>
    </i>
    <i r="2">
      <x v="2"/>
    </i>
    <i r="2">
      <x v="3"/>
    </i>
    <i r="2">
      <x v="4"/>
    </i>
    <i r="2">
      <x v="5"/>
    </i>
    <i t="default" r="1">
      <x v="3"/>
    </i>
    <i t="default">
      <x/>
    </i>
    <i>
      <x v="1"/>
      <x/>
      <x/>
    </i>
    <i r="2">
      <x v="1"/>
    </i>
    <i r="2">
      <x v="2"/>
    </i>
    <i r="2">
      <x v="3"/>
    </i>
    <i r="2">
      <x v="4"/>
    </i>
    <i t="default" r="1">
      <x/>
    </i>
    <i r="1">
      <x v="1"/>
      <x/>
    </i>
    <i r="2">
      <x v="1"/>
    </i>
    <i r="2">
      <x v="2"/>
    </i>
    <i r="2">
      <x v="3"/>
    </i>
    <i r="2">
      <x v="4"/>
    </i>
    <i t="default" r="1">
      <x v="1"/>
    </i>
    <i r="1">
      <x v="2"/>
      <x/>
    </i>
    <i r="2">
      <x v="1"/>
    </i>
    <i r="2">
      <x v="2"/>
    </i>
    <i r="2">
      <x v="3"/>
    </i>
    <i r="2">
      <x v="4"/>
    </i>
    <i t="default" r="1">
      <x v="2"/>
    </i>
    <i r="1">
      <x v="3"/>
      <x/>
    </i>
    <i r="2">
      <x v="1"/>
    </i>
    <i r="2">
      <x v="2"/>
    </i>
    <i r="2">
      <x v="3"/>
    </i>
    <i r="2">
      <x v="4"/>
    </i>
    <i t="default" r="1">
      <x v="3"/>
    </i>
    <i t="default">
      <x v="1"/>
    </i>
    <i>
      <x v="2"/>
      <x/>
      <x/>
    </i>
    <i r="2">
      <x v="1"/>
    </i>
    <i r="2">
      <x v="2"/>
    </i>
    <i r="2">
      <x v="3"/>
    </i>
    <i r="2">
      <x v="4"/>
    </i>
    <i t="default" r="1">
      <x/>
    </i>
    <i r="1">
      <x v="1"/>
      <x/>
    </i>
    <i r="2">
      <x v="1"/>
    </i>
    <i r="2">
      <x v="2"/>
    </i>
    <i r="2">
      <x v="3"/>
    </i>
    <i r="2">
      <x v="4"/>
    </i>
    <i t="default" r="1">
      <x v="1"/>
    </i>
    <i r="1">
      <x v="2"/>
      <x/>
    </i>
    <i r="2">
      <x v="1"/>
    </i>
    <i r="2">
      <x v="2"/>
    </i>
    <i r="2">
      <x v="3"/>
    </i>
    <i r="2">
      <x v="4"/>
    </i>
    <i t="default" r="1">
      <x v="2"/>
    </i>
    <i r="1">
      <x v="3"/>
      <x/>
    </i>
    <i r="2">
      <x v="1"/>
    </i>
    <i r="2">
      <x v="2"/>
    </i>
    <i r="2">
      <x v="3"/>
    </i>
    <i r="2">
      <x v="4"/>
    </i>
    <i r="2">
      <x v="5"/>
    </i>
    <i t="default" r="1">
      <x v="3"/>
    </i>
    <i t="default">
      <x v="2"/>
    </i>
    <i t="grand">
      <x/>
    </i>
  </colItem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00000000-0007-0000-9A00-000000000000}" name="PivotTable1" cacheId="3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V13" firstHeaderRow="1" firstDataRow="3" firstDataCol="1"/>
  <pivotFields count="8">
    <pivotField axis="axisCol" showAll="0">
      <items count="4">
        <item x="2"/>
        <item x="1"/>
        <item x="0"/>
        <item t="default"/>
      </items>
    </pivotField>
    <pivotField axis="axisRow" showAll="0">
      <items count="10">
        <item x="0"/>
        <item x="1"/>
        <item x="2"/>
        <item x="3"/>
        <item x="4"/>
        <item x="5"/>
        <item x="6"/>
        <item x="7"/>
        <item x="8"/>
        <item t="default"/>
      </items>
    </pivotField>
    <pivotField axis="axisCol" showAll="0">
      <items count="7">
        <item x="0"/>
        <item x="1"/>
        <item x="2"/>
        <item x="3"/>
        <item x="4"/>
        <item x="5"/>
        <item t="default"/>
      </items>
    </pivotField>
    <pivotField showAll="0"/>
    <pivotField dataField="1" showAll="0"/>
    <pivotField showAll="0"/>
    <pivotField showAll="0"/>
    <pivotField showAll="0"/>
  </pivotFields>
  <rowFields count="1">
    <field x="1"/>
  </rowFields>
  <rowItems count="10">
    <i>
      <x/>
    </i>
    <i>
      <x v="1"/>
    </i>
    <i>
      <x v="2"/>
    </i>
    <i>
      <x v="3"/>
    </i>
    <i>
      <x v="4"/>
    </i>
    <i>
      <x v="5"/>
    </i>
    <i>
      <x v="6"/>
    </i>
    <i>
      <x v="7"/>
    </i>
    <i>
      <x v="8"/>
    </i>
    <i t="grand">
      <x/>
    </i>
  </rowItems>
  <colFields count="2">
    <field x="0"/>
    <field x="2"/>
  </colFields>
  <colItems count="21">
    <i>
      <x/>
      <x/>
    </i>
    <i r="1">
      <x v="1"/>
    </i>
    <i r="1">
      <x v="2"/>
    </i>
    <i r="1">
      <x v="3"/>
    </i>
    <i r="1">
      <x v="4"/>
    </i>
    <i r="1">
      <x v="5"/>
    </i>
    <i t="default">
      <x/>
    </i>
    <i>
      <x v="1"/>
      <x/>
    </i>
    <i r="1">
      <x v="1"/>
    </i>
    <i r="1">
      <x v="2"/>
    </i>
    <i r="1">
      <x v="3"/>
    </i>
    <i r="1">
      <x v="4"/>
    </i>
    <i t="default">
      <x v="1"/>
    </i>
    <i>
      <x v="2"/>
      <x/>
    </i>
    <i r="1">
      <x v="1"/>
    </i>
    <i r="1">
      <x v="2"/>
    </i>
    <i r="1">
      <x v="3"/>
    </i>
    <i r="1">
      <x v="4"/>
    </i>
    <i r="1">
      <x v="5"/>
    </i>
    <i t="default">
      <x v="2"/>
    </i>
    <i t="grand">
      <x/>
    </i>
  </colItem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0000000-0007-0000-9B00-000000000000}" name="PivotTable10" cacheId="33"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BN15" firstHeaderRow="1" firstDataRow="3" firstDataCol="1"/>
  <pivotFields count="7">
    <pivotField axis="axisRow" showAll="0">
      <items count="10">
        <item x="0"/>
        <item x="1"/>
        <item x="2"/>
        <item x="3"/>
        <item x="4"/>
        <item x="5"/>
        <item x="6"/>
        <item x="7"/>
        <item x="8"/>
        <item t="default"/>
      </items>
    </pivotField>
    <pivotField axis="axisCol" showAll="0">
      <items count="9">
        <item x="0"/>
        <item x="1"/>
        <item x="2"/>
        <item x="3"/>
        <item x="4"/>
        <item x="5"/>
        <item x="6"/>
        <item x="7"/>
        <item t="default"/>
      </items>
    </pivotField>
    <pivotField axis="axisCol" showAll="0">
      <items count="8">
        <item x="1"/>
        <item x="2"/>
        <item x="3"/>
        <item x="4"/>
        <item x="5"/>
        <item x="6"/>
        <item x="0"/>
        <item t="default"/>
      </items>
    </pivotField>
    <pivotField dataField="1" showAll="0"/>
    <pivotField showAll="0"/>
    <pivotField showAll="0"/>
    <pivotField showAll="0"/>
  </pivotFields>
  <rowFields count="1">
    <field x="0"/>
  </rowFields>
  <rowItems count="10">
    <i>
      <x/>
    </i>
    <i>
      <x v="1"/>
    </i>
    <i>
      <x v="2"/>
    </i>
    <i>
      <x v="3"/>
    </i>
    <i>
      <x v="4"/>
    </i>
    <i>
      <x v="5"/>
    </i>
    <i>
      <x v="6"/>
    </i>
    <i>
      <x v="7"/>
    </i>
    <i>
      <x v="8"/>
    </i>
    <i t="grand">
      <x/>
    </i>
  </rowItems>
  <colFields count="2">
    <field x="1"/>
    <field x="2"/>
  </colFields>
  <colItems count="65">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t="grand">
      <x/>
    </i>
  </colItems>
  <dataFields count="1">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0000000-0007-0000-9B00-000001000000}" name="PivotTable11" cacheId="33"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20:H31" firstHeaderRow="1" firstDataRow="2" firstDataCol="1"/>
  <pivotFields count="7">
    <pivotField axis="axisRow" showAll="0">
      <items count="10">
        <item x="0"/>
        <item x="1"/>
        <item x="2"/>
        <item x="3"/>
        <item x="4"/>
        <item x="5"/>
        <item x="6"/>
        <item x="7"/>
        <item x="8"/>
        <item t="default"/>
      </items>
    </pivotField>
    <pivotField showAll="0"/>
    <pivotField axis="axisCol" showAll="0">
      <items count="8">
        <item x="1"/>
        <item x="2"/>
        <item x="3"/>
        <item x="4"/>
        <item x="5"/>
        <item x="6"/>
        <item x="0"/>
        <item t="default"/>
      </items>
    </pivotField>
    <pivotField showAll="0"/>
    <pivotField showAll="0"/>
    <pivotField showAll="0"/>
    <pivotField dataField="1" showAll="0"/>
  </pivotFields>
  <rowFields count="1">
    <field x="0"/>
  </rowFields>
  <rowItems count="10">
    <i>
      <x/>
    </i>
    <i>
      <x v="1"/>
    </i>
    <i>
      <x v="2"/>
    </i>
    <i>
      <x v="3"/>
    </i>
    <i>
      <x v="4"/>
    </i>
    <i>
      <x v="5"/>
    </i>
    <i>
      <x v="6"/>
    </i>
    <i>
      <x v="7"/>
    </i>
    <i>
      <x v="8"/>
    </i>
    <i t="grand">
      <x/>
    </i>
  </rowItems>
  <colFields count="1">
    <field x="2"/>
  </colFields>
  <colItems count="7">
    <i>
      <x/>
    </i>
    <i>
      <x v="1"/>
    </i>
    <i>
      <x v="2"/>
    </i>
    <i>
      <x v="3"/>
    </i>
    <i>
      <x v="4"/>
    </i>
    <i>
      <x v="5"/>
    </i>
    <i>
      <x v="6"/>
    </i>
  </colItems>
  <dataFields count="1">
    <dataField name="Max of pop" fld="6"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0000000-0007-0000-9C00-000001000000}" name="PivotTable2" cacheId="3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Y13" firstHeaderRow="1" firstDataRow="3" firstDataCol="1"/>
  <pivotFields count="8">
    <pivotField axis="axisCol" showAll="0">
      <items count="4">
        <item x="1"/>
        <item x="2"/>
        <item x="0"/>
        <item t="default"/>
      </items>
    </pivotField>
    <pivotField axis="axisRow" showAll="0">
      <items count="10">
        <item x="3"/>
        <item x="4"/>
        <item x="0"/>
        <item x="1"/>
        <item x="5"/>
        <item x="2"/>
        <item x="6"/>
        <item x="7"/>
        <item x="8"/>
        <item t="default"/>
      </items>
    </pivotField>
    <pivotField axis="axisCol" showAll="0">
      <items count="8">
        <item x="1"/>
        <item x="2"/>
        <item x="3"/>
        <item x="4"/>
        <item x="5"/>
        <item x="6"/>
        <item x="0"/>
        <item t="default"/>
      </items>
    </pivotField>
    <pivotField showAll="0"/>
    <pivotField dataField="1" showAll="0"/>
    <pivotField showAll="0"/>
    <pivotField showAll="0"/>
    <pivotField showAll="0"/>
  </pivotFields>
  <rowFields count="1">
    <field x="1"/>
  </rowFields>
  <rowItems count="10">
    <i>
      <x/>
    </i>
    <i>
      <x v="1"/>
    </i>
    <i>
      <x v="2"/>
    </i>
    <i>
      <x v="3"/>
    </i>
    <i>
      <x v="4"/>
    </i>
    <i>
      <x v="5"/>
    </i>
    <i>
      <x v="6"/>
    </i>
    <i>
      <x v="7"/>
    </i>
    <i>
      <x v="8"/>
    </i>
    <i t="grand">
      <x/>
    </i>
  </rowItems>
  <colFields count="2">
    <field x="0"/>
    <field x="2"/>
  </colFields>
  <colItems count="24">
    <i>
      <x/>
      <x/>
    </i>
    <i r="1">
      <x v="1"/>
    </i>
    <i r="1">
      <x v="2"/>
    </i>
    <i r="1">
      <x v="3"/>
    </i>
    <i r="1">
      <x v="4"/>
    </i>
    <i r="1">
      <x v="5"/>
    </i>
    <i r="1">
      <x v="6"/>
    </i>
    <i t="default">
      <x/>
    </i>
    <i>
      <x v="1"/>
      <x/>
    </i>
    <i r="1">
      <x v="1"/>
    </i>
    <i r="1">
      <x v="2"/>
    </i>
    <i r="1">
      <x v="3"/>
    </i>
    <i r="1">
      <x v="4"/>
    </i>
    <i r="1">
      <x v="5"/>
    </i>
    <i t="default">
      <x v="1"/>
    </i>
    <i>
      <x v="2"/>
      <x/>
    </i>
    <i r="1">
      <x v="1"/>
    </i>
    <i r="1">
      <x v="2"/>
    </i>
    <i r="1">
      <x v="3"/>
    </i>
    <i r="1">
      <x v="4"/>
    </i>
    <i r="1">
      <x v="5"/>
    </i>
    <i r="1">
      <x v="6"/>
    </i>
    <i t="default">
      <x v="2"/>
    </i>
    <i t="grand">
      <x/>
    </i>
  </colItem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8" cacheId="9" applyNumberFormats="0" applyBorderFormats="0" applyFontFormats="0" applyPatternFormats="0" applyAlignmentFormats="0" applyWidthHeightFormats="1" dataCaption="Values" updatedVersion="6" minRefreshableVersion="3" useAutoFormatting="1" rowGrandTotals="0" itemPrintTitles="1" createdVersion="5" indent="0" outline="1" outlineData="1" multipleFieldFilters="0">
  <location ref="A4:F37" firstHeaderRow="0" firstDataRow="1" firstDataCol="1" rowPageCount="1" colPageCount="1"/>
  <pivotFields count="7">
    <pivotField axis="axisPage" showAll="0">
      <items count="13">
        <item x="6"/>
        <item x="7"/>
        <item x="8"/>
        <item x="0"/>
        <item x="1"/>
        <item x="2"/>
        <item x="3"/>
        <item x="4"/>
        <item x="5"/>
        <item x="9"/>
        <item x="10"/>
        <item x="1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pivotField dataField="1"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5">
    <i>
      <x/>
    </i>
    <i i="1">
      <x v="1"/>
    </i>
    <i i="2">
      <x v="2"/>
    </i>
    <i i="3">
      <x v="3"/>
    </i>
    <i i="4">
      <x v="4"/>
    </i>
  </colItems>
  <pageFields count="1">
    <pageField fld="0" item="11" hier="-1"/>
  </pageFields>
  <dataFields count="5">
    <dataField name="Sum of Total" fld="2" baseField="0" baseItem="0"/>
    <dataField name="Sum of 1Malicious False Alarm" fld="3" baseField="1" baseItem="0"/>
    <dataField name="Sum of 2Fire alarm due to Apparatus" fld="4" baseField="1" baseItem="0"/>
    <dataField name="Sum of 3Good Intent false alarm" fld="5" baseField="0" baseItem="0"/>
    <dataField name="Sum of pop"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00000000-0007-0000-9C00-000004000000}" name="PivotTable5" cacheId="1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70:I81" firstHeaderRow="1" firstDataRow="2" firstDataCol="1" rowPageCount="2" colPageCount="1"/>
  <pivotFields count="8">
    <pivotField axis="axisPage" showAll="0">
      <items count="4">
        <item x="1"/>
        <item x="2"/>
        <item x="0"/>
        <item t="default"/>
      </items>
    </pivotField>
    <pivotField axis="axisRow" showAll="0">
      <items count="10">
        <item x="3"/>
        <item x="4"/>
        <item x="0"/>
        <item x="1"/>
        <item x="5"/>
        <item x="2"/>
        <item x="6"/>
        <item x="7"/>
        <item x="8"/>
        <item t="default"/>
      </items>
    </pivotField>
    <pivotField axis="axisCol" showAll="0">
      <items count="8">
        <item x="1"/>
        <item x="2"/>
        <item x="3"/>
        <item x="4"/>
        <item x="5"/>
        <item x="6"/>
        <item x="0"/>
        <item t="default"/>
      </items>
    </pivotField>
    <pivotField axis="axisPage" showAll="0">
      <items count="5">
        <item x="3"/>
        <item x="2"/>
        <item x="1"/>
        <item x="0"/>
        <item t="default"/>
      </items>
    </pivotField>
    <pivotField dataField="1" showAll="0"/>
    <pivotField showAll="0"/>
    <pivotField showAll="0"/>
    <pivotField showAll="0"/>
  </pivotFields>
  <rowFields count="1">
    <field x="1"/>
  </rowFields>
  <rowItems count="10">
    <i>
      <x/>
    </i>
    <i>
      <x v="1"/>
    </i>
    <i>
      <x v="2"/>
    </i>
    <i>
      <x v="3"/>
    </i>
    <i>
      <x v="4"/>
    </i>
    <i>
      <x v="5"/>
    </i>
    <i>
      <x v="6"/>
    </i>
    <i>
      <x v="7"/>
    </i>
    <i>
      <x v="8"/>
    </i>
    <i t="grand">
      <x/>
    </i>
  </rowItems>
  <colFields count="1">
    <field x="2"/>
  </colFields>
  <colItems count="8">
    <i>
      <x/>
    </i>
    <i>
      <x v="1"/>
    </i>
    <i>
      <x v="2"/>
    </i>
    <i>
      <x v="3"/>
    </i>
    <i>
      <x v="4"/>
    </i>
    <i>
      <x v="5"/>
    </i>
    <i>
      <x v="6"/>
    </i>
    <i t="grand">
      <x/>
    </i>
  </colItems>
  <pageFields count="2">
    <pageField fld="3" item="3" hier="-1"/>
    <pageField fld="0"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0000000-0007-0000-9C00-000002000000}" name="PivotTable3" cacheId="1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52:H63" firstHeaderRow="1" firstDataRow="2" firstDataCol="1" rowPageCount="2" colPageCount="1"/>
  <pivotFields count="8">
    <pivotField axis="axisPage" showAll="0">
      <items count="4">
        <item x="1"/>
        <item x="2"/>
        <item x="0"/>
        <item t="default"/>
      </items>
    </pivotField>
    <pivotField axis="axisRow" showAll="0">
      <items count="10">
        <item x="3"/>
        <item x="4"/>
        <item x="0"/>
        <item x="1"/>
        <item x="5"/>
        <item x="2"/>
        <item x="6"/>
        <item x="7"/>
        <item x="8"/>
        <item t="default"/>
      </items>
    </pivotField>
    <pivotField axis="axisCol" showAll="0">
      <items count="8">
        <item x="1"/>
        <item x="2"/>
        <item x="3"/>
        <item x="4"/>
        <item x="5"/>
        <item x="6"/>
        <item x="0"/>
        <item t="default"/>
      </items>
    </pivotField>
    <pivotField axis="axisPage" showAll="0">
      <items count="5">
        <item x="3"/>
        <item x="2"/>
        <item x="1"/>
        <item x="0"/>
        <item t="default"/>
      </items>
    </pivotField>
    <pivotField dataField="1" showAll="0"/>
    <pivotField showAll="0"/>
    <pivotField showAll="0"/>
    <pivotField showAll="0"/>
  </pivotFields>
  <rowFields count="1">
    <field x="1"/>
  </rowFields>
  <rowItems count="10">
    <i>
      <x/>
    </i>
    <i>
      <x v="1"/>
    </i>
    <i>
      <x v="2"/>
    </i>
    <i>
      <x v="3"/>
    </i>
    <i>
      <x v="4"/>
    </i>
    <i>
      <x v="5"/>
    </i>
    <i>
      <x v="6"/>
    </i>
    <i>
      <x v="7"/>
    </i>
    <i>
      <x v="8"/>
    </i>
    <i t="grand">
      <x/>
    </i>
  </rowItems>
  <colFields count="1">
    <field x="2"/>
  </colFields>
  <colItems count="7">
    <i>
      <x/>
    </i>
    <i>
      <x v="1"/>
    </i>
    <i>
      <x v="2"/>
    </i>
    <i>
      <x v="3"/>
    </i>
    <i>
      <x v="4"/>
    </i>
    <i>
      <x v="5"/>
    </i>
    <i t="grand">
      <x/>
    </i>
  </colItems>
  <pageFields count="2">
    <pageField fld="3" item="2" hier="-1"/>
    <pageField fld="0"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00000000-0007-0000-9C00-000000000000}" name="PivotTable1" cacheId="1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4:H45" firstHeaderRow="1" firstDataRow="2" firstDataCol="1" rowPageCount="2" colPageCount="1"/>
  <pivotFields count="8">
    <pivotField axis="axisPage" showAll="0">
      <items count="4">
        <item x="1"/>
        <item x="2"/>
        <item x="0"/>
        <item t="default"/>
      </items>
    </pivotField>
    <pivotField axis="axisRow" showAll="0">
      <items count="10">
        <item x="3"/>
        <item x="4"/>
        <item x="0"/>
        <item x="1"/>
        <item x="5"/>
        <item x="2"/>
        <item x="6"/>
        <item x="7"/>
        <item x="8"/>
        <item t="default"/>
      </items>
    </pivotField>
    <pivotField axis="axisCol" showAll="0">
      <items count="8">
        <item x="1"/>
        <item x="2"/>
        <item x="3"/>
        <item x="4"/>
        <item x="5"/>
        <item x="6"/>
        <item x="0"/>
        <item t="default"/>
      </items>
    </pivotField>
    <pivotField axis="axisPage" showAll="0">
      <items count="5">
        <item x="3"/>
        <item x="2"/>
        <item x="1"/>
        <item x="0"/>
        <item t="default"/>
      </items>
    </pivotField>
    <pivotField dataField="1" showAll="0"/>
    <pivotField showAll="0"/>
    <pivotField showAll="0"/>
    <pivotField showAll="0"/>
  </pivotFields>
  <rowFields count="1">
    <field x="1"/>
  </rowFields>
  <rowItems count="10">
    <i>
      <x/>
    </i>
    <i>
      <x v="1"/>
    </i>
    <i>
      <x v="2"/>
    </i>
    <i>
      <x v="3"/>
    </i>
    <i>
      <x v="4"/>
    </i>
    <i>
      <x v="5"/>
    </i>
    <i>
      <x v="6"/>
    </i>
    <i>
      <x v="7"/>
    </i>
    <i>
      <x v="8"/>
    </i>
    <i t="grand">
      <x/>
    </i>
  </rowItems>
  <colFields count="1">
    <field x="2"/>
  </colFields>
  <colItems count="7">
    <i>
      <x/>
    </i>
    <i>
      <x v="1"/>
    </i>
    <i>
      <x v="2"/>
    </i>
    <i>
      <x v="3"/>
    </i>
    <i>
      <x v="4"/>
    </i>
    <i>
      <x v="5"/>
    </i>
    <i t="grand">
      <x/>
    </i>
  </colItems>
  <pageFields count="2">
    <pageField fld="3" item="1" hier="-1"/>
    <pageField fld="0"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9C00-000003000000}" name="PivotTable4" cacheId="3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6:W28" firstHeaderRow="1" firstDataRow="3" firstDataCol="1" rowPageCount="1" colPageCount="1"/>
  <pivotFields count="8">
    <pivotField axis="axisCol" showAll="0">
      <items count="4">
        <item x="1"/>
        <item x="2"/>
        <item x="0"/>
        <item t="default"/>
      </items>
    </pivotField>
    <pivotField axis="axisRow" showAll="0">
      <items count="10">
        <item x="3"/>
        <item x="4"/>
        <item x="0"/>
        <item x="1"/>
        <item x="5"/>
        <item x="2"/>
        <item x="6"/>
        <item x="7"/>
        <item x="8"/>
        <item t="default"/>
      </items>
    </pivotField>
    <pivotField axis="axisCol" showAll="0">
      <items count="8">
        <item x="1"/>
        <item x="2"/>
        <item x="3"/>
        <item x="4"/>
        <item x="5"/>
        <item x="6"/>
        <item x="0"/>
        <item t="default"/>
      </items>
    </pivotField>
    <pivotField axis="axisPage" showAll="0">
      <items count="5">
        <item x="3"/>
        <item x="2"/>
        <item x="1"/>
        <item x="0"/>
        <item t="default"/>
      </items>
    </pivotField>
    <pivotField dataField="1" showAll="0"/>
    <pivotField showAll="0"/>
    <pivotField showAll="0"/>
    <pivotField showAll="0"/>
  </pivotFields>
  <rowFields count="1">
    <field x="1"/>
  </rowFields>
  <rowItems count="10">
    <i>
      <x/>
    </i>
    <i>
      <x v="1"/>
    </i>
    <i>
      <x v="2"/>
    </i>
    <i>
      <x v="3"/>
    </i>
    <i>
      <x v="4"/>
    </i>
    <i>
      <x v="5"/>
    </i>
    <i>
      <x v="6"/>
    </i>
    <i>
      <x v="7"/>
    </i>
    <i>
      <x v="8"/>
    </i>
    <i t="grand">
      <x/>
    </i>
  </rowItems>
  <colFields count="2">
    <field x="0"/>
    <field x="2"/>
  </colFields>
  <colItems count="22">
    <i>
      <x/>
      <x/>
    </i>
    <i r="1">
      <x v="1"/>
    </i>
    <i r="1">
      <x v="2"/>
    </i>
    <i r="1">
      <x v="3"/>
    </i>
    <i r="1">
      <x v="4"/>
    </i>
    <i r="1">
      <x v="5"/>
    </i>
    <i t="default">
      <x/>
    </i>
    <i>
      <x v="1"/>
      <x/>
    </i>
    <i r="1">
      <x v="1"/>
    </i>
    <i r="1">
      <x v="2"/>
    </i>
    <i r="1">
      <x v="3"/>
    </i>
    <i r="1">
      <x v="4"/>
    </i>
    <i r="1">
      <x v="5"/>
    </i>
    <i t="default">
      <x v="1"/>
    </i>
    <i>
      <x v="2"/>
      <x/>
    </i>
    <i r="1">
      <x v="1"/>
    </i>
    <i r="1">
      <x v="2"/>
    </i>
    <i r="1">
      <x v="3"/>
    </i>
    <i r="1">
      <x v="4"/>
    </i>
    <i r="1">
      <x v="5"/>
    </i>
    <i t="default">
      <x v="2"/>
    </i>
    <i t="grand">
      <x/>
    </i>
  </colItems>
  <pageFields count="1">
    <pageField fld="3"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0000000-0007-0000-9F00-000000000000}" name="PivotTable1" cacheId="13"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1:AU24" firstHeaderRow="1" firstDataRow="3" firstDataCol="1"/>
  <pivotFields count="25">
    <pivotField axis="axisCol" showAll="0">
      <items count="3">
        <item x="0"/>
        <item x="1"/>
        <item t="default"/>
      </items>
    </pivotField>
    <pivotField axis="axisRow" showAll="0">
      <items count="22">
        <item x="0"/>
        <item x="1"/>
        <item x="2"/>
        <item x="3"/>
        <item x="4"/>
        <item x="5"/>
        <item x="6"/>
        <item x="7"/>
        <item x="8"/>
        <item x="9"/>
        <item x="10"/>
        <item x="11"/>
        <item x="12"/>
        <item x="13"/>
        <item x="14"/>
        <item x="15"/>
        <item x="16"/>
        <item x="17"/>
        <item x="18"/>
        <item x="19"/>
        <item m="1" x="2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2">
    <field x="0"/>
    <field x="-2"/>
  </colFields>
  <colItems count="46">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colItems>
  <dataFields count="23">
    <dataField name="Sum of Fatal" fld="2" baseField="0" baseItem="0"/>
    <dataField name="Sum of Fatalpm" fld="3" baseField="0" baseItem="0"/>
    <dataField name="Sum of Nonfatal" fld="4" baseField="0" baseItem="0"/>
    <dataField name="Sum of Nonfatalpm" fld="5" baseField="0" baseItem="0"/>
    <dataField name="Sum of Totalfires" fld="6" baseField="0" baseItem="0"/>
    <dataField name="Sum of Totalfirespm" fld="7" baseField="0" baseItem="0"/>
    <dataField name="Sum of PrimaryFires" fld="8" baseField="0" baseItem="0"/>
    <dataField name="Sum of PrimaryFirespm" fld="9" baseField="0" baseItem="0"/>
    <dataField name="Sum of Population" fld="10" baseField="0" baseItem="0"/>
    <dataField name="Sum of SecondaryFires" fld="11" baseField="0" baseItem="0"/>
    <dataField name="Sum of SecondaryFirespm" fld="12" baseField="0" baseItem="0"/>
    <dataField name="Sum of ChimneyFires" fld="13" baseField="0" baseItem="0"/>
    <dataField name="Sum of ChimneyFirespm" fld="14" baseField="0" baseItem="0"/>
    <dataField name="Sum of DwellingFires" fld="15" baseField="0" baseItem="0"/>
    <dataField name="Sum of DwellingFirespm" fld="16" baseField="0" baseItem="0"/>
    <dataField name="Sum of FireFalseAlarms" fld="17" baseField="0" baseItem="0"/>
    <dataField name="Sum of FireFalseAlarmspm" fld="18" baseField="0" baseItem="0"/>
    <dataField name="Sum of NonFireIncidents" fld="19" baseField="1" baseItem="11"/>
    <dataField name="Sum of NonFireIncidentspm" fld="20" baseField="1" baseItem="0"/>
    <dataField name="Sum of TotalIncidents" fld="21" baseField="0" baseItem="0"/>
    <dataField name="Sum of TotalIncidentspm" fld="22" baseField="0" baseItem="0"/>
    <dataField name="Sum of HospitalTreatment" fld="23" baseField="1" baseItem="3"/>
    <dataField name="Sum of HospitalTreatmentpm" fld="24" baseField="1"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A700-000001000000}" name="PivotTable13"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B38" firstHeaderRow="1" firstDataRow="1" firstDataCol="1" rowPageCount="1" colPageCount="1"/>
  <pivotFields count="7">
    <pivotField axis="axisPage" showAll="0" defaultSubtotal="0">
      <items count="12">
        <item x="0"/>
        <item x="1"/>
        <item x="2"/>
        <item x="3"/>
        <item x="4"/>
        <item x="5"/>
        <item x="6"/>
        <item x="7"/>
        <item x="8"/>
        <item x="9"/>
        <item x="10"/>
        <item x="11"/>
      </items>
    </pivotField>
    <pivotField axis="axisRow" showAll="0" sortType="ascending"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defaultSubtotal="0"/>
    <pivotField showAll="0" defaultSubtotal="0"/>
    <pivotField showAll="0" defaultSubtotal="0"/>
    <pivotField showAll="0" defaultSubtotal="0"/>
    <pivotField dataField="1" showAll="0" defaultSubtota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1">
    <pageField fld="0" item="11" hier="-1"/>
  </pageFields>
  <dataFields count="1">
    <dataField name="Sum of pop"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00000000-0007-0000-A700-000000000000}" name="PivotTable1" cacheId="19" applyNumberFormats="0" applyBorderFormats="0" applyFontFormats="0" applyPatternFormats="0" applyAlignmentFormats="0" applyWidthHeightFormats="1" dataCaption="Values" updatedVersion="6" minRefreshableVersion="3" useAutoFormatting="1" rowGrandTotals="0" colGrandTotals="0" itemPrintTitles="1" createdVersion="5" indent="0" outline="1" outlineData="1" multipleFieldFilters="0">
  <location ref="A44:B76" firstHeaderRow="1" firstDataRow="1" firstDataCol="1" rowPageCount="1" colPageCount="1"/>
  <pivotFields count="3">
    <pivotField axis="axisPage" showAll="0" defaultSubtotal="0">
      <items count="12">
        <item x="0"/>
        <item x="1"/>
        <item x="2"/>
        <item x="3"/>
        <item x="4"/>
        <item x="5"/>
        <item x="6"/>
        <item x="7"/>
        <item x="8"/>
        <item x="9"/>
        <item x="10"/>
        <item x="11"/>
      </items>
    </pivotField>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numFmtId="3" showAll="0" defaultSubtotal="0"/>
  </pivotFields>
  <rowFields count="1">
    <field x="1"/>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Items count="1">
    <i/>
  </colItems>
  <pageFields count="1">
    <pageField fld="0" item="11" hier="-1"/>
  </pageFields>
  <dataFields count="1">
    <dataField name="Average of Dwellings" fld="2"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00000000-0007-0000-A800-000000000000}" name="PivotTable12" cacheId="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P138" firstHeaderRow="1" firstDataRow="3" firstDataCol="1"/>
  <pivotFields count="8">
    <pivotField showAll="0"/>
    <pivotField axis="axisCol" showAll="0">
      <items count="7">
        <item x="0"/>
        <item x="1"/>
        <item x="2"/>
        <item x="3"/>
        <item x="4"/>
        <item x="5"/>
        <item t="default"/>
      </items>
    </pivotField>
    <pivotField axis="axisCol" showAll="0">
      <items count="3">
        <item x="0"/>
        <item x="1"/>
        <item t="default"/>
      </items>
    </pivotField>
    <pivotField showAll="0"/>
    <pivotField axis="axisRow" showAll="0">
      <items count="1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t="default"/>
      </items>
    </pivotField>
    <pivotField showAll="0"/>
    <pivotField showAll="0"/>
    <pivotField dataField="1" showAll="0"/>
  </pivotFields>
  <rowFields count="1">
    <field x="4"/>
  </rowFields>
  <rowItems count="1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t="grand">
      <x/>
    </i>
  </rowItems>
  <colFields count="2">
    <field x="2"/>
    <field x="1"/>
  </colFields>
  <colItems count="15">
    <i>
      <x/>
      <x/>
    </i>
    <i r="1">
      <x v="1"/>
    </i>
    <i r="1">
      <x v="2"/>
    </i>
    <i r="1">
      <x v="3"/>
    </i>
    <i r="1">
      <x v="4"/>
    </i>
    <i r="1">
      <x v="5"/>
    </i>
    <i t="default">
      <x/>
    </i>
    <i>
      <x v="1"/>
      <x/>
    </i>
    <i r="1">
      <x v="1"/>
    </i>
    <i r="1">
      <x v="2"/>
    </i>
    <i r="1">
      <x v="3"/>
    </i>
    <i r="1">
      <x v="4"/>
    </i>
    <i r="1">
      <x v="5"/>
    </i>
    <i t="default">
      <x v="1"/>
    </i>
    <i t="grand">
      <x/>
    </i>
  </colItems>
  <dataFields count="1">
    <dataField name="Sum of Expr1007"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1" cacheId="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D37" firstHeaderRow="0" firstDataRow="1" firstDataCol="1" rowPageCount="1" colPageCount="1"/>
  <pivotFields count="5">
    <pivotField axis="axisPage" multipleItemSelectionAllowed="1" showAll="0">
      <items count="13">
        <item h="1" x="6"/>
        <item h="1" x="7"/>
        <item h="1" x="8"/>
        <item h="1" x="0"/>
        <item h="1" x="1"/>
        <item h="1" x="2"/>
        <item h="1" x="3"/>
        <item h="1" x="4"/>
        <item h="1" x="5"/>
        <item h="1" x="9"/>
        <item h="1" x="10"/>
        <item x="11"/>
        <item t="default"/>
      </items>
    </pivotField>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defaultSubtota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3">
    <i>
      <x/>
    </i>
    <i i="1">
      <x v="1"/>
    </i>
    <i i="2">
      <x v="2"/>
    </i>
  </colItems>
  <pageFields count="1">
    <pageField fld="0" hier="-1"/>
  </pageFields>
  <dataFields count="3">
    <dataField name="Sum of SpecialServiceFalseAlarms" fld="2" baseField="0" baseItem="0"/>
    <dataField name="Sum of 1Malicious False Alarm" fld="3" baseField="0" baseItem="0"/>
    <dataField name="Sum of 3Good Intent false alarm"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PivotTable2" cacheId="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U37" firstHeaderRow="0" firstDataRow="1" firstDataCol="1" rowPageCount="1" colPageCount="1"/>
  <pivotFields count="24">
    <pivotField axis="axisPage" showAll="0">
      <items count="13">
        <item x="6"/>
        <item x="7"/>
        <item x="8"/>
        <item x="0"/>
        <item x="1"/>
        <item x="2"/>
        <item x="3"/>
        <item x="4"/>
        <item x="5"/>
        <item x="9"/>
        <item x="10"/>
        <item x="1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pageFields count="1">
    <pageField fld="0" item="11" hier="-1"/>
  </pageFields>
  <dataFields count="20">
    <dataField name="Sum of 01:RTC" fld="3" baseField="0" baseItem="0"/>
    <dataField name="Sum of 02:Other Transport incident" fld="4" baseField="0" baseItem="0"/>
    <dataField name="Sum of 03:Flooding" fld="5" baseField="0" baseItem="0"/>
    <dataField name="Sum of 04:Rescue or evacuation from water" fld="6" baseField="0" baseItem="0"/>
    <dataField name="Sum of 05:Other rescue/release of persons" fld="7" baseField="0" baseItem="0"/>
    <dataField name="Sum of 06:Evacuation (no fire)" fld="8" baseField="0" baseItem="0"/>
    <dataField name="Sum of 07:Lift Release" fld="9" baseField="0" baseItem="0"/>
    <dataField name="Sum of 08:Medical Incident - First responder/Co-responder" fld="10" baseField="0" baseItem="0"/>
    <dataField name="Sum of 09:Suicide/attempts" fld="11" baseField="0" baseItem="0"/>
    <dataField name="Sum of 10:Hazardous Materials incident" fld="12" baseField="0" baseItem="0"/>
    <dataField name="Sum of 11:Spills and Leaks (not RTC)" fld="13" baseField="0" baseItem="0"/>
    <dataField name="Sum of 12:Removal of objects" fld="14" baseField="0" baseItem="0"/>
    <dataField name="Sum of 13:Animal assistance incidents" fld="15" baseField="0" baseItem="0"/>
    <dataField name="Sum of 14:Effecting entry/exit" fld="16" baseField="0" baseItem="0"/>
    <dataField name="Sum of 15:Making Safe (not RTC)" fld="17" baseField="0" baseItem="0"/>
    <dataField name="Sum of 16:No action (not false alarm)" fld="18" baseField="0" baseItem="0"/>
    <dataField name="Sum of 17:Water provision" fld="19" baseField="0" baseItem="0"/>
    <dataField name="Sum of 18:Stand By" fld="20" baseField="0" baseItem="0"/>
    <dataField name="Sum of 19:Assist other agencies" fld="21" baseField="0" baseItem="0"/>
    <dataField name="Sum of 20:Advice Only" fld="22" baseField="1" baseItem="1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PivotTable4" cacheId="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V37" firstHeaderRow="0" firstDataRow="1" firstDataCol="1" rowPageCount="1" colPageCount="1"/>
  <pivotFields count="24">
    <pivotField axis="axisPage" showAll="0">
      <items count="13">
        <item x="6"/>
        <item x="7"/>
        <item x="8"/>
        <item x="0"/>
        <item x="1"/>
        <item x="2"/>
        <item x="3"/>
        <item x="4"/>
        <item x="5"/>
        <item x="9"/>
        <item x="10"/>
        <item x="1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21">
    <i>
      <x/>
    </i>
    <i i="1">
      <x v="1"/>
    </i>
    <i i="2">
      <x v="2"/>
    </i>
    <i i="3">
      <x v="3"/>
    </i>
    <i i="4">
      <x v="4"/>
    </i>
    <i i="5">
      <x v="5"/>
    </i>
    <i i="6">
      <x v="6"/>
    </i>
    <i i="7">
      <x v="7"/>
    </i>
    <i i="8">
      <x v="8"/>
    </i>
    <i i="9">
      <x v="9"/>
    </i>
    <i i="10">
      <x v="10"/>
    </i>
    <i i="11">
      <x v="11"/>
    </i>
    <i i="12">
      <x v="12"/>
    </i>
    <i i="13">
      <x v="13"/>
    </i>
    <i i="14">
      <x v="14"/>
    </i>
    <i i="15">
      <x v="15"/>
    </i>
    <i i="16">
      <x v="16"/>
    </i>
    <i i="17">
      <x v="17"/>
    </i>
    <i i="18">
      <x v="18"/>
    </i>
    <i i="19">
      <x v="19"/>
    </i>
    <i i="20">
      <x v="20"/>
    </i>
  </colItems>
  <pageFields count="1">
    <pageField fld="0" item="11" hier="-1"/>
  </pageFields>
  <dataFields count="21">
    <dataField name="Sum of pop" fld="23" baseField="0" baseItem="0"/>
    <dataField name="Sum of 01:RTC" fld="3" baseField="0" baseItem="0"/>
    <dataField name="Sum of 03:Flooding" fld="5" baseField="0" baseItem="0"/>
    <dataField name="Sum of 14:Effecting entry/exit" fld="16" baseField="0" baseItem="0"/>
    <dataField name="Sum of 02:Other Transport incident" fld="4" baseField="0" baseItem="0"/>
    <dataField name="Sum of 04:Rescue or evacuation from water" fld="6" baseField="0" baseItem="0"/>
    <dataField name="Sum of 05:Other rescue/release of persons" fld="7" baseField="0" baseItem="0"/>
    <dataField name="Sum of 07:Lift Release" fld="9" baseField="0" baseItem="0"/>
    <dataField name="Sum of 08:Medical Incident - First responder/Co-responder" fld="10" baseField="0" baseItem="0"/>
    <dataField name="Sum of 09:Suicide/attempts" fld="11" baseField="0" baseItem="0"/>
    <dataField name="Sum of 06:Evacuation (no fire)" fld="8" baseField="0" baseItem="0"/>
    <dataField name="Sum of 11:Spills and Leaks (not RTC)" fld="13" baseField="0" baseItem="0"/>
    <dataField name="Sum of 12:Removal of objects" fld="14" baseField="0" baseItem="0"/>
    <dataField name="Sum of 13:Animal assistance incidents" fld="15" baseField="0" baseItem="0"/>
    <dataField name="Sum of 15:Making Safe (not RTC)" fld="17" baseField="0" baseItem="0"/>
    <dataField name="Sum of 16:No action (not false alarm)" fld="18" baseField="0" baseItem="0"/>
    <dataField name="Sum of 17:Water provision" fld="19" baseField="0" baseItem="0"/>
    <dataField name="Sum of 18:Stand By" fld="20" baseField="0" baseItem="0"/>
    <dataField name="Sum of 19:Assist other agencies" fld="21" baseField="0" baseItem="0"/>
    <dataField name="Sum of 20:Advice Only" fld="22" baseField="0" baseItem="0"/>
    <dataField name="Sum of 10:Hazardous Materials incident"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00000000-0013-0000-FFFF-FFFF01000000}" sourceName="Year">
  <pivotTables>
    <pivotTable tabId="188" name="PivotTable3"/>
  </pivotTables>
  <data>
    <tabular pivotCacheId="2040399315" sortOrder="descending">
      <items count="12">
        <i x="11" s="1"/>
        <i x="10"/>
        <i x="9"/>
        <i x="8"/>
        <i x="7"/>
        <i x="6"/>
        <i x="5"/>
        <i x="4"/>
        <i x="3"/>
        <i x="2"/>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9" xr10:uid="{00000000-0013-0000-FFFF-FFFF0A000000}" sourceName="Year">
  <pivotTables>
    <pivotTable tabId="197" name="PivotTable2"/>
  </pivotTables>
  <data>
    <tabular pivotCacheId="2040399320" sortOrder="descending">
      <items count="12">
        <i x="11" s="1"/>
        <i x="10"/>
        <i x="9"/>
        <i x="8"/>
        <i x="7"/>
        <i x="6"/>
        <i x="5"/>
        <i x="4"/>
        <i x="3"/>
        <i x="2"/>
        <i x="1"/>
        <i x="0"/>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0" xr10:uid="{00000000-0013-0000-FFFF-FFFF0B000000}" sourceName="Year">
  <pivotTables>
    <pivotTable tabId="198" name="PivotTable3"/>
  </pivotTables>
  <data>
    <tabular pivotCacheId="2040399321" sortOrder="descending">
      <items count="12">
        <i x="11" s="1"/>
        <i x="10"/>
        <i x="9"/>
        <i x="8"/>
        <i x="7"/>
        <i x="6"/>
        <i x="5"/>
        <i x="4"/>
        <i x="3"/>
        <i x="2"/>
        <i x="1"/>
        <i x="0"/>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 xr10:uid="{00000000-0013-0000-FFFF-FFFF0C000000}" sourceName="Year">
  <pivotTables>
    <pivotTable tabId="199" name="PivotTable4"/>
  </pivotTables>
  <data>
    <tabular pivotCacheId="2040399323" sortOrder="descending">
      <items count="12">
        <i x="11" s="1"/>
        <i x="10"/>
        <i x="9"/>
        <i x="8"/>
        <i x="7"/>
        <i x="6"/>
        <i x="5"/>
        <i x="4"/>
        <i x="3"/>
        <i x="2"/>
        <i x="1"/>
        <i x="0"/>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2" xr10:uid="{00000000-0013-0000-FFFF-FFFF0D000000}" sourceName="Year">
  <pivotTables>
    <pivotTable tabId="200" name="PivotTable5"/>
  </pivotTables>
  <data>
    <tabular pivotCacheId="2040399329" sortOrder="descending">
      <items count="12">
        <i x="11" s="1"/>
        <i x="10"/>
        <i x="9"/>
        <i x="8"/>
        <i x="7"/>
        <i x="6"/>
        <i x="5"/>
        <i x="4"/>
        <i x="3"/>
        <i x="2"/>
        <i x="1"/>
        <i x="0"/>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3" xr10:uid="{00000000-0013-0000-FFFF-FFFF0E000000}" sourceName="Year">
  <pivotTables>
    <pivotTable tabId="201" name="PivotTable6"/>
  </pivotTables>
  <data>
    <tabular pivotCacheId="2040399324" sortOrder="descending">
      <items count="12">
        <i x="11" s="1"/>
        <i x="10"/>
        <i x="9"/>
        <i x="8"/>
        <i x="7"/>
        <i x="6"/>
        <i x="5"/>
        <i x="4"/>
        <i x="3"/>
        <i x="2"/>
        <i x="1"/>
        <i x="0"/>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4" xr10:uid="{00000000-0013-0000-FFFF-FFFF0F000000}" sourceName="Year">
  <pivotTables>
    <pivotTable tabId="202" name="PivotTable7"/>
  </pivotTables>
  <data>
    <tabular pivotCacheId="2040399324" sortOrder="descending">
      <items count="12">
        <i x="11" s="1"/>
        <i x="10"/>
        <i x="9"/>
        <i x="8"/>
        <i x="7"/>
        <i x="6"/>
        <i x="5"/>
        <i x="4"/>
        <i x="3"/>
        <i x="2"/>
        <i x="1"/>
        <i x="0"/>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5" xr10:uid="{00000000-0013-0000-FFFF-FFFF10000000}" sourceName="Year">
  <pivotTables>
    <pivotTable tabId="203" name="PivotTable8"/>
  </pivotTables>
  <data>
    <tabular pivotCacheId="2040399340" sortOrder="descending">
      <items count="12">
        <i x="11" s="1"/>
        <i x="10"/>
        <i x="9"/>
        <i x="8"/>
        <i x="7"/>
        <i x="6"/>
        <i x="5"/>
        <i x="4"/>
        <i x="3"/>
        <i x="2"/>
        <i x="1"/>
        <i x="0"/>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6" xr10:uid="{00000000-0013-0000-FFFF-FFFF11000000}" sourceName="Year">
  <pivotTables>
    <pivotTable tabId="203" name="PivotTable9"/>
  </pivotTables>
  <data>
    <tabular pivotCacheId="2040399333" sortOrder="descending">
      <items count="12">
        <i x="11" s="1"/>
        <i x="10"/>
        <i x="9"/>
        <i x="8"/>
        <i x="7"/>
        <i x="6"/>
        <i x="5"/>
        <i x="4"/>
        <i x="3"/>
        <i x="2"/>
        <i x="1"/>
        <i x="0"/>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7" xr10:uid="{00000000-0013-0000-FFFF-FFFF12000000}" sourceName="Year">
  <pivotTables>
    <pivotTable tabId="203" name="PivotTable11"/>
  </pivotTables>
  <data>
    <tabular pivotCacheId="2040399306" sortOrder="descending">
      <items count="12">
        <i x="11" s="1"/>
        <i x="10"/>
        <i x="9"/>
        <i x="8"/>
        <i x="7"/>
        <i x="6"/>
        <i x="5"/>
        <i x="4"/>
        <i x="3"/>
        <i x="2"/>
        <i x="1"/>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8" xr10:uid="{00000000-0013-0000-FFFF-FFFF13000000}" sourceName="Year">
  <pivotTables>
    <pivotTable tabId="204" name="PivotTable12"/>
  </pivotTables>
  <data>
    <tabular pivotCacheId="2040399340" sortOrder="descending">
      <items count="12">
        <i x="11" s="1"/>
        <i x="10"/>
        <i x="9"/>
        <i x="8"/>
        <i x="7"/>
        <i x="6"/>
        <i x="5"/>
        <i x="4"/>
        <i x="3"/>
        <i x="2"/>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00000000-0013-0000-FFFF-FFFF02000000}" sourceName="Year">
  <pivotTables>
    <pivotTable tabId="189" name="PivotTable5"/>
  </pivotTables>
  <data>
    <tabular pivotCacheId="2040399328" sortOrder="descending">
      <items count="12">
        <i x="11" s="1"/>
        <i x="10"/>
        <i x="9"/>
        <i x="8"/>
        <i x="7"/>
        <i x="6"/>
        <i x="5"/>
        <i x="4"/>
        <i x="3"/>
        <i x="2"/>
        <i x="1"/>
        <i x="0"/>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9" xr10:uid="{00000000-0013-0000-FFFF-FFFF14000000}" sourceName="Year">
  <pivotTables>
    <pivotTable tabId="204" name="PivotTable13"/>
  </pivotTables>
  <data>
    <tabular pivotCacheId="2040399341" sortOrder="descending">
      <items count="12">
        <i x="11" s="1"/>
        <i x="10"/>
        <i x="9"/>
        <i x="8"/>
        <i x="7"/>
        <i x="6"/>
        <i x="5"/>
        <i x="4"/>
        <i x="3"/>
        <i x="2"/>
        <i x="1"/>
        <i x="0"/>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0" xr10:uid="{00000000-0013-0000-FFFF-FFFF15000000}" sourceName="Year">
  <pivotTables>
    <pivotTable tabId="204" name="PivotTable14"/>
  </pivotTables>
  <data>
    <tabular pivotCacheId="2040399306" sortOrder="descending">
      <items count="12">
        <i x="11" s="1"/>
        <i x="10"/>
        <i x="9"/>
        <i x="8"/>
        <i x="7"/>
        <i x="6"/>
        <i x="5"/>
        <i x="4"/>
        <i x="3"/>
        <i x="2"/>
        <i x="1"/>
        <i x="0"/>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1" xr10:uid="{00000000-0013-0000-FFFF-FFFF16000000}" sourceName="Year">
  <pivotTables>
    <pivotTable tabId="205" name="PivotTable1"/>
  </pivotTables>
  <data>
    <tabular pivotCacheId="2040399308" sortOrder="descending">
      <items count="12">
        <i x="11" s="1"/>
        <i x="10"/>
        <i x="9"/>
        <i x="8"/>
        <i x="7"/>
        <i x="6"/>
        <i x="5"/>
        <i x="4"/>
        <i x="3"/>
        <i x="2"/>
        <i x="1"/>
        <i x="0"/>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2" xr10:uid="{00000000-0013-0000-FFFF-FFFF17000000}" sourceName="Year">
  <pivotTables>
    <pivotTable tabId="205" name="PivotTable2"/>
  </pivotTables>
  <data>
    <tabular pivotCacheId="2040399344" sortOrder="descending">
      <items count="12">
        <i x="11" s="1"/>
        <i x="10"/>
        <i x="9"/>
        <i x="8"/>
        <i x="7"/>
        <i x="6"/>
        <i x="5"/>
        <i x="4"/>
        <i x="3"/>
        <i x="2"/>
        <i x="1"/>
        <i x="0"/>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3" xr10:uid="{00000000-0013-0000-FFFF-FFFF18000000}" sourceName="Year">
  <pivotTables>
    <pivotTable tabId="205" name="PivotTable3"/>
  </pivotTables>
  <data>
    <tabular pivotCacheId="2040399345" sortOrder="descending">
      <items count="12">
        <i x="11" s="1"/>
        <i x="10"/>
        <i x="9"/>
        <i x="8"/>
        <i x="7"/>
        <i x="6"/>
        <i x="5"/>
        <i x="4"/>
        <i x="3"/>
        <i x="2"/>
        <i x="1"/>
        <i x="0"/>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 xr10:uid="{00000000-0013-0000-FFFF-FFFF19000000}" sourceName="a.Year">
  <pivotTables>
    <pivotTable tabId="210" name="PivotTable10"/>
  </pivotTables>
  <data>
    <tabular pivotCacheId="2040399318" sortOrder="descending">
      <items count="12">
        <i x="11" s="1"/>
        <i x="10"/>
        <i x="9"/>
        <i x="8"/>
        <i x="7"/>
        <i x="6"/>
        <i x="5"/>
        <i x="4"/>
        <i x="3"/>
        <i x="2"/>
        <i x="1"/>
        <i x="0"/>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7" xr10:uid="{00000000-0013-0000-FFFF-FFFF1A000000}" sourceName="Year">
  <pivotTables>
    <pivotTable tabId="211" name="PivotTable11"/>
  </pivotTables>
  <data>
    <tabular pivotCacheId="2040399319" sortOrder="descending">
      <items count="12">
        <i x="11" s="1"/>
        <i x="10"/>
        <i x="9"/>
        <i x="8"/>
        <i x="7"/>
        <i x="6"/>
        <i x="5"/>
        <i x="4"/>
        <i x="3"/>
        <i x="2"/>
        <i x="1"/>
        <i x="0"/>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8" xr10:uid="{00000000-0013-0000-FFFF-FFFF1B000000}" sourceName="Year">
  <pivotTables>
    <pivotTable tabId="212" name="PivotTable12"/>
  </pivotTables>
  <data>
    <tabular pivotCacheId="2040399334" sortOrder="descending">
      <items count="12">
        <i x="11" s="1"/>
        <i x="10"/>
        <i x="9"/>
        <i x="8"/>
        <i x="7"/>
        <i x="6"/>
        <i x="5"/>
        <i x="4"/>
        <i x="3"/>
        <i x="2"/>
        <i x="1"/>
        <i x="0"/>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xpr1000" xr10:uid="{00000000-0013-0000-FFFF-FFFF1C000000}" sourceName="Expr1000">
  <pivotTables>
    <pivotTable tabId="213" name="PivotTable1"/>
  </pivotTables>
  <data>
    <tabular pivotCacheId="2040399331" sortOrder="descending">
      <items count="12">
        <i x="11" s="1"/>
        <i x="10"/>
        <i x="9"/>
        <i x="8"/>
        <i x="7"/>
        <i x="6"/>
        <i x="5"/>
        <i x="4"/>
        <i x="3"/>
        <i x="2"/>
        <i x="1"/>
        <i x="0"/>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9" xr10:uid="{00000000-0013-0000-FFFF-FFFF1D000000}" sourceName="Year">
  <pivotTables>
    <pivotTable tabId="213" name="PivotTable13"/>
  </pivotTables>
  <data>
    <tabular pivotCacheId="2040399325" sortOrder="descending">
      <items count="12">
        <i x="11" s="1"/>
        <i x="10"/>
        <i x="9"/>
        <i x="8"/>
        <i x="7"/>
        <i x="6"/>
        <i x="5"/>
        <i x="4"/>
        <i x="3"/>
        <i x="2"/>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00000000-0013-0000-FFFF-FFFF03000000}" sourceName="Year">
  <pivotTables>
    <pivotTable tabId="190" name="PivotTable6"/>
  </pivotTables>
  <data>
    <tabular pivotCacheId="2040399330" sortOrder="descending">
      <items count="12">
        <i x="11" s="1"/>
        <i x="10"/>
        <i x="9"/>
        <i x="8"/>
        <i x="7"/>
        <i x="6"/>
        <i x="5"/>
        <i x="4"/>
        <i x="3"/>
        <i x="2"/>
        <i x="1"/>
        <i x="0"/>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5" xr10:uid="{00000000-0013-0000-FFFF-FFFF1E000000}" sourceName="Year">
  <pivotTables>
    <pivotTable tabId="268" name="PivotTable2"/>
  </pivotTables>
  <data>
    <tabular pivotCacheId="2040399322" sortOrder="descending">
      <items count="12">
        <i x="11" s="1"/>
        <i x="10"/>
        <i x="9"/>
        <i x="8"/>
        <i x="7"/>
        <i x="6"/>
        <i x="5"/>
        <i x="4"/>
        <i x="3"/>
        <i x="2"/>
        <i x="1"/>
        <i x="0"/>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1" xr10:uid="{00000000-0013-0000-FFFF-FFFF1F000000}" sourceName="a.Year">
  <pivotTables>
    <pivotTable tabId="273" name="PivotTable3"/>
  </pivotTables>
  <data>
    <tabular pivotCacheId="2040399311" sortOrder="descending">
      <items count="12">
        <i x="11" s="1"/>
        <i x="10"/>
        <i x="9"/>
        <i x="8"/>
        <i x="7"/>
        <i x="6"/>
        <i x="5"/>
        <i x="4"/>
        <i x="3"/>
        <i x="2"/>
        <i x="1"/>
        <i x="0"/>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2" xr10:uid="{00000000-0013-0000-FFFF-FFFF20000000}" sourceName="a.Year">
  <pivotTables>
    <pivotTable tabId="273" name="PivotTable4"/>
  </pivotTables>
  <data>
    <tabular pivotCacheId="2040399342" sortOrder="descending">
      <items count="12">
        <i x="11" s="1"/>
        <i x="10"/>
        <i x="9"/>
        <i x="8"/>
        <i x="7"/>
        <i x="6"/>
        <i x="5"/>
        <i x="4"/>
        <i x="3"/>
        <i x="2"/>
        <i x="1"/>
        <i x="0"/>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3" xr10:uid="{00000000-0013-0000-FFFF-FFFF21000000}" sourceName="a.Year">
  <pivotTables>
    <pivotTable tabId="278" name="PivotTable8"/>
  </pivotTables>
  <data>
    <tabular pivotCacheId="2040399314" sortOrder="descending">
      <items count="10">
        <i x="8" s="1"/>
        <i x="7"/>
        <i x="6"/>
        <i x="5"/>
        <i x="4"/>
        <i x="3"/>
        <i x="2"/>
        <i x="1"/>
        <i x="0"/>
        <i x="9" nd="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4" xr10:uid="{00000000-0013-0000-FFFF-FFFF22000000}" sourceName="a.Year">
  <pivotTables>
    <pivotTable tabId="273" name="PivotTable6"/>
  </pivotTables>
  <data>
    <tabular pivotCacheId="2040399337" sortOrder="descending">
      <items count="12">
        <i x="11" s="1"/>
        <i x="10"/>
        <i x="9"/>
        <i x="8"/>
        <i x="7"/>
        <i x="6"/>
        <i x="5"/>
        <i x="4"/>
        <i x="3"/>
        <i x="2"/>
        <i x="1"/>
        <i x="0"/>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 xr10:uid="{00000000-0013-0000-FFFF-FFFF23000000}" sourceName="Type">
  <pivotTables>
    <pivotTable tabId="334" name="PivotTable3"/>
  </pivotTables>
  <data>
    <tabular pivotCacheId="2040399304">
      <items count="2">
        <i x="0" s="1"/>
        <i x="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_Yr_New1" xr10:uid="{00000000-0013-0000-FFFF-FFFF24000000}" sourceName="Fiscal_Yr_New">
  <pivotTables>
    <pivotTable tabId="339" name="PivotTable3"/>
  </pivotTables>
  <data>
    <tabular pivotCacheId="2040399343" sortOrder="descending">
      <items count="12">
        <i x="11" s="1"/>
        <i x="3"/>
        <i x="7"/>
        <i x="10"/>
        <i x="5"/>
        <i x="9"/>
        <i x="0"/>
        <i x="8"/>
        <i x="1"/>
        <i x="2"/>
        <i x="4"/>
        <i x="6"/>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00000000-0013-0000-FFFF-FFFF04000000}" sourceName="Year">
  <pivotTables>
    <pivotTable tabId="191" name="PivotTable7"/>
  </pivotTables>
  <data>
    <tabular pivotCacheId="2040399317" sortOrder="descending">
      <items count="12">
        <i x="11" s="1"/>
        <i x="10"/>
        <i x="9"/>
        <i x="8"/>
        <i x="7"/>
        <i x="6"/>
        <i x="5"/>
        <i x="4"/>
        <i x="3"/>
        <i x="2"/>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 xr10:uid="{00000000-0013-0000-FFFF-FFFF05000000}" sourceName="Year">
  <pivotTables>
    <pivotTable tabId="192" name="PivotTable8"/>
  </pivotTables>
  <data>
    <tabular pivotCacheId="2040399325" sortOrder="descending">
      <items count="12">
        <i x="11" s="1"/>
        <i x="10"/>
        <i x="9"/>
        <i x="8"/>
        <i x="7"/>
        <i x="6"/>
        <i x="5"/>
        <i x="4"/>
        <i x="3"/>
        <i x="2"/>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 xr10:uid="{00000000-0013-0000-FFFF-FFFF06000000}" sourceName="Year">
  <pivotTables>
    <pivotTable tabId="193" name="PivotTable1"/>
  </pivotTables>
  <data>
    <tabular pivotCacheId="2040399326" sortOrder="descending">
      <items count="12">
        <i x="11" s="1"/>
        <i x="10"/>
        <i x="9"/>
        <i x="8"/>
        <i x="7"/>
        <i x="6"/>
        <i x="5"/>
        <i x="4"/>
        <i x="3"/>
        <i x="2"/>
        <i x="1"/>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6" xr10:uid="{00000000-0013-0000-FFFF-FFFF07000000}" sourceName="Year">
  <pivotTables>
    <pivotTable tabId="194" name="PivotTable2"/>
  </pivotTables>
  <data>
    <tabular pivotCacheId="2040399327" sortOrder="descending">
      <items count="12">
        <i x="11" s="1"/>
        <i x="10"/>
        <i x="9"/>
        <i x="8"/>
        <i x="7"/>
        <i x="6"/>
        <i x="5"/>
        <i x="4"/>
        <i x="3"/>
        <i x="2"/>
        <i x="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7" xr10:uid="{00000000-0013-0000-FFFF-FFFF08000000}" sourceName="Year">
  <pivotTables>
    <pivotTable tabId="195" name="PivotTable4"/>
  </pivotTables>
  <data>
    <tabular pivotCacheId="2040399327" sortOrder="descending">
      <items count="12">
        <i x="11" s="1"/>
        <i x="10"/>
        <i x="9"/>
        <i x="8"/>
        <i x="7"/>
        <i x="6"/>
        <i x="5"/>
        <i x="4"/>
        <i x="3"/>
        <i x="2"/>
        <i x="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8" xr10:uid="{00000000-0013-0000-FFFF-FFFF09000000}" sourceName="Year">
  <pivotTables>
    <pivotTable tabId="196" name="PivotTable1"/>
  </pivotTables>
  <data>
    <tabular pivotCacheId="2040399316" sortOrder="descending">
      <items count="12">
        <i x="11" s="1"/>
        <i x="10"/>
        <i x="9"/>
        <i x="8"/>
        <i x="7"/>
        <i x="6"/>
        <i x="5"/>
        <i x="4"/>
        <i x="3"/>
        <i x="2"/>
        <i x="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00000000-0014-0000-FFFF-FFFF01000000}" cache="Slicer_Year" caption="Year" columnCount="3" showCaption="0" rowHeight="225425"/>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1" xr10:uid="{00000000-0014-0000-FFFF-FFFF0E000000}" cache="Slicer_Year9" caption="Year" columnCount="12" showCaption="0" rowHeight="225425"/>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2" xr10:uid="{00000000-0014-0000-FFFF-FFFF0F000000}" cache="Slicer_Year10" caption="Year" columnCount="12" showCaption="0" rowHeight="225425"/>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00000000-0014-0000-FFFF-FFFF10000000}" cache="Slicer_Year25" caption="Year" columnCount="12" showCaption="0" rowHeight="225425"/>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3" xr10:uid="{00000000-0014-0000-FFFF-FFFF11000000}" cache="Slicer_Year11" caption="Year" columnCount="12" showCaption="0" rowHeight="225425"/>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6" xr10:uid="{00000000-0014-0000-FFFF-FFFF12000000}" cache="Slicer_Year13" caption="Year" columnCount="12" showCaption="0" rowHeight="225425"/>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7" xr10:uid="{00000000-0014-0000-FFFF-FFFF13000000}" cache="Slicer_Year14" caption="Year" columnCount="12" showCaption="0" rowHeight="225425"/>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8" xr10:uid="{00000000-0014-0000-FFFF-FFFF14000000}" cache="Slicer_Year28" caption="Year" columnCount="12" showCaption="0" rowHeight="225425"/>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 xr10:uid="{00000000-0014-0000-FFFF-FFFF15000000}" cache="Slicer_Year4" caption="Year" columnCount="12" showCaption="0" style="SlicerStyleLight1 3" rowHeight="225425"/>
  <slicer name="Year 6" xr10:uid="{00000000-0014-0000-FFFF-FFFF16000000}" cache="Slicer_Year4" caption="Year" columnCount="12" showCaption="0" rowHeight="225425"/>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cal_Yr_New 2" xr10:uid="{00000000-0014-0000-FFFF-FFFF17000000}" cache="Slicer_Fiscal_Yr_New1" caption="Fiscal_Yr_New" columnCount="12" showCaption="0" rowHeight="220133"/>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cal_Yr_New" xr10:uid="{00000000-0014-0000-FFFF-FFFF18000000}" cache="Slicer_Fiscal_Yr_New1" caption="Fiscal_Yr_New" columnCount="12" showCaption="0" rowHeight="22013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9" xr10:uid="{00000000-0014-0000-FFFF-FFFF02000000}" cache="Slicer_Year" caption="Year" columnCount="12" showCaption="0" rowHeight="225425"/>
  <slicer name="Year 36" xr10:uid="{00000000-0014-0000-FFFF-FFFF03000000}" cache="Slicer_Year" caption="Year" columnCount="12" showCaption="0" rowHeight="225425"/>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8" xr10:uid="{00000000-0014-0000-FFFF-FFFF19000000}" cache="Slicer_Year5" caption="Year" columnCount="12" showCaption="0" rowHeight="225425"/>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9" xr10:uid="{00000000-0014-0000-FFFF-FFFF1A000000}" cache="Slicer_Year6" caption="Year" columnCount="12" showCaption="0" rowHeight="225425"/>
</slicers>
</file>

<file path=xl/slicers/slicer2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4" xr10:uid="{00000000-0014-0000-FFFF-FFFF1B000000}" cache="Slicer_Year7" caption="Year" columnCount="12" showCaption="0" rowHeight="225425"/>
</slicers>
</file>

<file path=xl/slicers/slicer2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00000000-0014-0000-FFFF-FFFF1C000000}" cache="Slicer_Year1" caption="Year" columnCount="12" showCaption="0" rowHeight="225425"/>
</slicers>
</file>

<file path=xl/slicers/slicer2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1" xr10:uid="{00000000-0014-0000-FFFF-FFFF1D000000}" cache="Slicer_Type" caption="Type" columnCount="2" showCaption="0" rowHeight="225425"/>
</slicers>
</file>

<file path=xl/slicers/slicer2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xr10:uid="{00000000-0014-0000-FFFF-FFFF1E000000}" cache="Slicer_Type" caption="Type" columnCount="2" showCaption="0" rowHeight="225425"/>
</slicers>
</file>

<file path=xl/slicers/slicer2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4" xr10:uid="{00000000-0014-0000-FFFF-FFFF1F000000}" cache="Slicer_Year12" caption="Year" columnCount="12" showCaption="0" rowHeight="225425"/>
  <slicer name="Year 15" xr10:uid="{00000000-0014-0000-FFFF-FFFF20000000}" cache="Slicer_Year12" caption="Year" columnCount="12" showCaption="0" rowHeight="225425"/>
</slicers>
</file>

<file path=xl/slicers/slicer2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7" xr10:uid="{00000000-0014-0000-FFFF-FFFF21000000}" cache="Slicer_Year2" caption="Year" columnCount="12" showCaption="0" rowHeight="225425"/>
</slicers>
</file>

<file path=xl/slicers/slicer2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3" xr10:uid="{00000000-0014-0000-FFFF-FFFF22000000}" cache="Slicer_Year17" caption="Year" columnCount="12" showCaption="0" rowHeight="220133"/>
</slicers>
</file>

<file path=xl/slicers/slicer2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0" xr10:uid="{00000000-0014-0000-FFFF-FFFF23000000}" cache="Slicer_Year20" caption="Year" columnCount="12" showCaption="0"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0" xr10:uid="{00000000-0014-0000-FFFF-FFFF04000000}" cache="Slicer_Year8" caption="Year" columnCount="11" showCaption="0" rowHeight="225425"/>
</slicers>
</file>

<file path=xl/slicers/slicer3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8" xr10:uid="{00000000-0014-0000-FFFF-FFFF24000000}" cache="Slicer_Year15" caption="Year" columnCount="12" showCaption="0" rowHeight="225425"/>
  <slicer name="Year 19" xr10:uid="{00000000-0014-0000-FFFF-FFFF25000000}" cache="Slicer_Year16" caption="Year" columnCount="12" showCaption="0" rowHeight="225425"/>
</slicers>
</file>

<file path=xl/slicers/slicer3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1" xr10:uid="{00000000-0014-0000-FFFF-FFFF26000000}" cache="Slicer_Year18" caption="Year" columnCount="12" showCaption="0" rowHeight="216000"/>
  <slicer name="Year 22" xr10:uid="{00000000-0014-0000-FFFF-FFFF27000000}" cache="Slicer_Year19" caption="Year" columnCount="12" showCaption="0" rowHeight="225425"/>
</slicers>
</file>

<file path=xl/slicers/slicer3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4" xr10:uid="{00000000-0014-0000-FFFF-FFFF28000000}" cache="Slicer_Year21" caption="Year" columnCount="12" showCaption="0" rowHeight="225425"/>
  <slicer name="Year 25" xr10:uid="{00000000-0014-0000-FFFF-FFFF29000000}" cache="Slicer_Year22" caption="Year" columnCount="12" showCaption="0" rowHeight="225425"/>
</slicers>
</file>

<file path=xl/slicers/slicer3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2" xr10:uid="{00000000-0014-0000-FFFF-FFFF2A000000}" cache="Slicer_a.Year1" caption="a.Year" columnCount="12" showCaption="0" rowHeight="225425"/>
  <slicer name="a.Year 4" xr10:uid="{00000000-0014-0000-FFFF-FFFF2B000000}" cache="Slicer_a.Year2" caption="a.Year" columnCount="12" showCaption="0" rowHeight="225425"/>
</slicers>
</file>

<file path=xl/slicers/slicer3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1" xr10:uid="{00000000-0014-0000-FFFF-FFFF2C000000}" cache="Slicer_Year23" caption="Year" columnCount="12" showCaption="0" rowHeight="225425"/>
</slicers>
</file>

<file path=xl/slicers/slicer3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7" xr10:uid="{00000000-0014-0000-FFFF-FFFF2D000000}" cache="Slicer_a.Year4" caption="a.Year" columnCount="12" showCaption="0" rowHeight="225425"/>
</slicers>
</file>

<file path=xl/slicers/slicer3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5" xr10:uid="{00000000-0014-0000-FFFF-FFFF2E000000}" cache="Slicer_a.Year3" caption="a.Year" columnCount="8" showCaption="0" rowHeight="225425"/>
</slicers>
</file>

<file path=xl/slicers/slicer3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8" xr10:uid="{00000000-0014-0000-FFFF-FFFF2F000000}" cache="Slicer_Year29" caption="Year" columnCount="12" showCaption="0" rowHeight="225425"/>
</slicers>
</file>

<file path=xl/slicers/slicer3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2321e" xr10:uid="{00000000-0014-0000-FFFF-FFFF30000000}" cache="Slicer_Expr1000" caption="Expr1000" columnCount="12" showCaption="0"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0" xr10:uid="{00000000-0014-0000-FFFF-FFFF05000000}" cache="Slicer_Year8" caption="Year" columnCount="12" showCaption="0"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6" xr10:uid="{00000000-0014-0000-FFFF-FFFF06000000}" cache="Slicer_Year15" caption="Year" columnCount="12" rowHeight="220133"/>
  <slicer name="Year" xr10:uid="{00000000-0014-0000-FFFF-FFFF07000000}" cache="Slicer_Year17" caption="Year" columnCount="12" rowHeight="220133"/>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1" xr10:uid="{00000000-0014-0000-FFFF-FFFF08000000}" cache="Slicer_a.Year1" caption="a.Year" columnCount="10" showCaption="0" rowHeight="225425"/>
  <slicer name="a.Year 3" xr10:uid="{00000000-0014-0000-FFFF-FFFF09000000}" cache="Slicer_a.Year2" caption="a.Year" columnCount="10" showCaption="0" rowHeight="225425"/>
  <slicer name="a.Year 6" xr10:uid="{00000000-0014-0000-FFFF-FFFF0A000000}" cache="Slicer_a.Year4" caption="a.Year" columnCount="10" showCaption="0"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 xr10:uid="{00000000-0014-0000-FFFF-FFFF0B000000}" cache="Slicer_Year3" caption="Year" columnCount="12" showCaption="0" rowHeight="225425"/>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xr10:uid="{00000000-0014-0000-FFFF-FFFF0C000000}" cache="Slicer_a.Year" caption="a.Year" columnCount="12" showCaption="0" rowHeight="225425"/>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7" xr10:uid="{00000000-0014-0000-FFFF-FFFF0D000000}" cache="Slicer_Year27" caption="Year" columnCount="12" showCaption="0" rowHeight="225425"/>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National.Statistics@firescotland.gov.uk" TargetMode="External"/><Relationship Id="rId2" Type="http://schemas.openxmlformats.org/officeDocument/2006/relationships/hyperlink" Target="http://www.scotland.gov.uk/Topics/Statistics/Browse/Crime-Justice/PubFires" TargetMode="External"/><Relationship Id="rId1" Type="http://schemas.openxmlformats.org/officeDocument/2006/relationships/hyperlink" Target="http://www.firescotland.gov.uk/about-us/fire-and-rescue-statistics.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02.xml.rels><?xml version="1.0" encoding="UTF-8" standalone="yes"?>
<Relationships xmlns="http://schemas.openxmlformats.org/package/2006/relationships"><Relationship Id="rId2" Type="http://schemas.microsoft.com/office/2007/relationships/slicer" Target="../slicers/slicer21.xml"/><Relationship Id="rId1" Type="http://schemas.openxmlformats.org/officeDocument/2006/relationships/drawing" Target="../drawings/drawing45.xml"/></Relationships>
</file>

<file path=xl/worksheets/_rels/sheet103.xml.rels><?xml version="1.0" encoding="UTF-8" standalone="yes"?>
<Relationships xmlns="http://schemas.openxmlformats.org/package/2006/relationships"><Relationship Id="rId3" Type="http://schemas.microsoft.com/office/2007/relationships/slicer" Target="../slicers/slicer22.x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3.xml.rels><?xml version="1.0" encoding="UTF-8" standalone="yes"?>
<Relationships xmlns="http://schemas.openxmlformats.org/package/2006/relationships"><Relationship Id="rId2" Type="http://schemas.microsoft.com/office/2007/relationships/slicer" Target="../slicers/slicer23.xml"/><Relationship Id="rId1" Type="http://schemas.openxmlformats.org/officeDocument/2006/relationships/drawing" Target="../drawings/drawing53.xml"/></Relationships>
</file>

<file path=xl/worksheets/_rels/sheet114.xml.rels><?xml version="1.0" encoding="UTF-8" standalone="yes"?>
<Relationships xmlns="http://schemas.openxmlformats.org/package/2006/relationships"><Relationship Id="rId3" Type="http://schemas.microsoft.com/office/2007/relationships/slicer" Target="../slicers/slicer24.xml"/><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115.xml.rels><?xml version="1.0" encoding="UTF-8" standalone="yes"?>
<Relationships xmlns="http://schemas.openxmlformats.org/package/2006/relationships"><Relationship Id="rId3" Type="http://schemas.microsoft.com/office/2007/relationships/slicer" Target="../slicers/slicer25.xml"/><Relationship Id="rId2" Type="http://schemas.openxmlformats.org/officeDocument/2006/relationships/drawing" Target="../drawings/drawing55.xml"/><Relationship Id="rId1" Type="http://schemas.openxmlformats.org/officeDocument/2006/relationships/pivotTable" Target="../pivotTables/pivotTable48.xm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8.xml.rels><?xml version="1.0" encoding="UTF-8" standalone="yes"?>
<Relationships xmlns="http://schemas.openxmlformats.org/package/2006/relationships"><Relationship Id="rId3" Type="http://schemas.microsoft.com/office/2007/relationships/slicer" Target="../slicers/slicer26.xml"/><Relationship Id="rId2" Type="http://schemas.openxmlformats.org/officeDocument/2006/relationships/drawing" Target="../drawings/drawing56.xml"/><Relationship Id="rId1"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1.xml.rels><?xml version="1.0" encoding="UTF-8" standalone="yes"?>
<Relationships xmlns="http://schemas.openxmlformats.org/package/2006/relationships"><Relationship Id="rId2" Type="http://schemas.microsoft.com/office/2007/relationships/slicer" Target="../slicers/slicer27.xml"/><Relationship Id="rId1" Type="http://schemas.openxmlformats.org/officeDocument/2006/relationships/drawing" Target="../drawings/drawing57.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26.xml.rels><?xml version="1.0" encoding="UTF-8" standalone="yes"?>
<Relationships xmlns="http://schemas.openxmlformats.org/package/2006/relationships"><Relationship Id="rId2" Type="http://schemas.microsoft.com/office/2007/relationships/slicer" Target="../slicers/slicer28.xml"/><Relationship Id="rId1" Type="http://schemas.openxmlformats.org/officeDocument/2006/relationships/drawing" Target="../drawings/drawing58.xml"/></Relationships>
</file>

<file path=xl/worksheets/_rels/sheet127.xml.rels><?xml version="1.0" encoding="UTF-8" standalone="yes"?>
<Relationships xmlns="http://schemas.openxmlformats.org/package/2006/relationships"><Relationship Id="rId3" Type="http://schemas.microsoft.com/office/2007/relationships/slicer" Target="../slicers/slicer29.xml"/><Relationship Id="rId2" Type="http://schemas.openxmlformats.org/officeDocument/2006/relationships/drawing" Target="../drawings/drawing59.xml"/><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28.xml.rels><?xml version="1.0" encoding="UTF-8" standalone="yes"?>
<Relationships xmlns="http://schemas.openxmlformats.org/package/2006/relationships"><Relationship Id="rId3" Type="http://schemas.microsoft.com/office/2007/relationships/slicer" Target="../slicers/slicer30.xml"/><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12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s://www.nrscotland.gov.uk/statistics-and-data/statistics/statistics-by-theme/population/population-estimates/mid-year-population-estimates/" TargetMode="External"/><Relationship Id="rId1" Type="http://schemas.openxmlformats.org/officeDocument/2006/relationships/hyperlink" Target="https://www.nrscotland.gov.uk/statistics-and-data/statistics/statistics-by-theme/population/population-estimates/mid-year-population-estimates/" TargetMode="External"/><Relationship Id="rId5" Type="http://schemas.microsoft.com/office/2007/relationships/slicer" Target="../slicers/slicer31.xml"/><Relationship Id="rId4" Type="http://schemas.openxmlformats.org/officeDocument/2006/relationships/drawing" Target="../drawings/drawing6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32.xml.rels><?xml version="1.0" encoding="UTF-8" standalone="yes"?>
<Relationships xmlns="http://schemas.openxmlformats.org/package/2006/relationships"><Relationship Id="rId3" Type="http://schemas.openxmlformats.org/officeDocument/2006/relationships/pivotTable" Target="../pivotTables/pivotTable51.xml"/><Relationship Id="rId2" Type="http://schemas.openxmlformats.org/officeDocument/2006/relationships/pivotTable" Target="../pivotTables/pivotTable50.xml"/><Relationship Id="rId1" Type="http://schemas.openxmlformats.org/officeDocument/2006/relationships/pivotTable" Target="../pivotTables/pivotTable49.xml"/></Relationships>
</file>

<file path=xl/worksheets/_rels/sheet133.xml.rels><?xml version="1.0" encoding="UTF-8" standalone="yes"?>
<Relationships xmlns="http://schemas.openxmlformats.org/package/2006/relationships"><Relationship Id="rId3" Type="http://schemas.microsoft.com/office/2007/relationships/slicer" Target="../slicers/slicer32.xml"/><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134.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www.nrscotland.gov.uk/statistics-and-data/statistics/statistics-by-theme/population/population-estimates/mid-year-population-estimates/" TargetMode="External"/><Relationship Id="rId1" Type="http://schemas.openxmlformats.org/officeDocument/2006/relationships/hyperlink" Target="https://www.nrscotland.gov.uk/statistics-and-data/statistics/statistics-by-theme/population/population-estimates/mid-year-population-estimates/" TargetMode="External"/><Relationship Id="rId5" Type="http://schemas.microsoft.com/office/2007/relationships/slicer" Target="../slicers/slicer33.xml"/><Relationship Id="rId4" Type="http://schemas.openxmlformats.org/officeDocument/2006/relationships/drawing" Target="../drawings/drawing63.xml"/></Relationships>
</file>

<file path=xl/worksheets/_rels/sheet135.xml.rels><?xml version="1.0" encoding="UTF-8" standalone="yes"?>
<Relationships xmlns="http://schemas.openxmlformats.org/package/2006/relationships"><Relationship Id="rId2" Type="http://schemas.microsoft.com/office/2007/relationships/slicer" Target="../slicers/slicer34.xml"/><Relationship Id="rId1" Type="http://schemas.openxmlformats.org/officeDocument/2006/relationships/drawing" Target="../drawings/drawing64.xml"/></Relationships>
</file>

<file path=xl/worksheets/_rels/sheet136.xml.rels><?xml version="1.0" encoding="UTF-8" standalone="yes"?>
<Relationships xmlns="http://schemas.openxmlformats.org/package/2006/relationships"><Relationship Id="rId3" Type="http://schemas.microsoft.com/office/2007/relationships/slicer" Target="../slicers/slicer35.xml"/><Relationship Id="rId2" Type="http://schemas.openxmlformats.org/officeDocument/2006/relationships/drawing" Target="../drawings/drawing65.xml"/><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37.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3.bin"/></Relationships>
</file>

<file path=xl/worksheets/_rels/sheet1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43.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population/population-estimates/2011-based-special-area-population-estimates/small-area-population-estimates" TargetMode="External"/></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45.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population/population-estimates/2011-based-special-area-population-estimates/small-area-population-estimates"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s://www2.gov.scot/Topics/Statistics/About/Methodology/UrbanRuralClassification" TargetMode="External"/></Relationships>
</file>

<file path=xl/worksheets/_rels/sheet147.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hyperlink" Target="https://www.nrscotland.gov.uk/statistics-and-data/statistics/statistics-by-theme/population/population-estimates/2011-based-special-area-population-estimates/small-area-population-estimates" TargetMode="External"/><Relationship Id="rId1" Type="http://schemas.openxmlformats.org/officeDocument/2006/relationships/hyperlink" Target="https://www2.gov.scot/Topics/Statistics/About/Methodology/UrbanRuralClassification" TargetMode="External"/></Relationships>
</file>

<file path=xl/worksheets/_rels/sheet148.xml.rels><?xml version="1.0" encoding="UTF-8" standalone="yes"?>
<Relationships xmlns="http://schemas.openxmlformats.org/package/2006/relationships"><Relationship Id="rId1" Type="http://schemas.openxmlformats.org/officeDocument/2006/relationships/hyperlink" Target="https://www2.gov.scot/Topics/Statistics/About/Methodology/UrbanRuralClassification" TargetMode="External"/></Relationships>
</file>

<file path=xl/worksheets/_rels/sheet149.xml.rels><?xml version="1.0" encoding="UTF-8" standalone="yes"?>
<Relationships xmlns="http://schemas.openxmlformats.org/package/2006/relationships"><Relationship Id="rId2" Type="http://schemas.openxmlformats.org/officeDocument/2006/relationships/hyperlink" Target="https://www.nrscotland.gov.uk/statistics-and-data/statistics/statistics-by-theme/population/population-estimates/2011-based-special-area-population-estimates/small-area-population-estimates" TargetMode="External"/><Relationship Id="rId1" Type="http://schemas.openxmlformats.org/officeDocument/2006/relationships/hyperlink" Target="https://www2.gov.scot/Topics/Statistics/About/Methodology/UrbanRuralClassificatio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54.xml.rels><?xml version="1.0" encoding="UTF-8" standalone="yes"?>
<Relationships xmlns="http://schemas.openxmlformats.org/package/2006/relationships"><Relationship Id="rId3" Type="http://schemas.openxmlformats.org/officeDocument/2006/relationships/pivotTable" Target="../pivotTables/pivotTable54.xml"/><Relationship Id="rId2" Type="http://schemas.openxmlformats.org/officeDocument/2006/relationships/pivotTable" Target="../pivotTables/pivotTable53.xml"/><Relationship Id="rId1" Type="http://schemas.openxmlformats.org/officeDocument/2006/relationships/pivotTable" Target="../pivotTables/pivotTable52.xml"/><Relationship Id="rId5" Type="http://schemas.microsoft.com/office/2007/relationships/slicer" Target="../slicers/slicer36.xml"/><Relationship Id="rId4" Type="http://schemas.openxmlformats.org/officeDocument/2006/relationships/drawing" Target="../drawings/drawing73.xml"/></Relationships>
</file>

<file path=xl/worksheets/_rels/sheet155.xml.rels><?xml version="1.0" encoding="UTF-8" standalone="yes"?>
<Relationships xmlns="http://schemas.openxmlformats.org/package/2006/relationships"><Relationship Id="rId2" Type="http://schemas.openxmlformats.org/officeDocument/2006/relationships/pivotTable" Target="../pivotTables/pivotTable56.xml"/><Relationship Id="rId1" Type="http://schemas.openxmlformats.org/officeDocument/2006/relationships/pivotTable" Target="../pivotTables/pivotTable55.xml"/></Relationships>
</file>

<file path=xl/worksheets/_rels/sheet156.xml.rels><?xml version="1.0" encoding="UTF-8" standalone="yes"?>
<Relationships xmlns="http://schemas.openxmlformats.org/package/2006/relationships"><Relationship Id="rId2" Type="http://schemas.openxmlformats.org/officeDocument/2006/relationships/pivotTable" Target="../pivotTables/pivotTable58.xml"/><Relationship Id="rId1" Type="http://schemas.openxmlformats.org/officeDocument/2006/relationships/pivotTable" Target="../pivotTables/pivotTable57.xml"/></Relationships>
</file>

<file path=xl/worksheets/_rels/sheet157.xml.rels><?xml version="1.0" encoding="UTF-8" standalone="yes"?>
<Relationships xmlns="http://schemas.openxmlformats.org/package/2006/relationships"><Relationship Id="rId3" Type="http://schemas.openxmlformats.org/officeDocument/2006/relationships/pivotTable" Target="../pivotTables/pivotTable61.xml"/><Relationship Id="rId2" Type="http://schemas.openxmlformats.org/officeDocument/2006/relationships/pivotTable" Target="../pivotTables/pivotTable60.xml"/><Relationship Id="rId1" Type="http://schemas.openxmlformats.org/officeDocument/2006/relationships/pivotTable" Target="../pivotTables/pivotTable59.xml"/><Relationship Id="rId5" Type="http://schemas.openxmlformats.org/officeDocument/2006/relationships/pivotTable" Target="../pivotTables/pivotTable63.xml"/><Relationship Id="rId4" Type="http://schemas.openxmlformats.org/officeDocument/2006/relationships/pivotTable" Target="../pivotTables/pivotTable62.xm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2.xml"/></Relationships>
</file>

<file path=xl/worksheets/_rels/sheet160.xml.rels><?xml version="1.0" encoding="UTF-8" standalone="yes"?>
<Relationships xmlns="http://schemas.openxmlformats.org/package/2006/relationships"><Relationship Id="rId1" Type="http://schemas.openxmlformats.org/officeDocument/2006/relationships/pivotTable" Target="../pivotTables/pivotTable64.xml"/></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65.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s://www.nrscotland.gov.uk/statistics-and-data/statistics/statistics-by-theme/population/population-estimates/mid-year-population-estimates/" TargetMode="External"/><Relationship Id="rId1" Type="http://schemas.openxmlformats.org/officeDocument/2006/relationships/hyperlink" Target="https://www.nrscotland.gov.uk/statistics-and-data/statistics/statistics-by-theme/population/population-estimates/2011-based-special-area-population-estimates/small-area-population-estimates" TargetMode="External"/></Relationships>
</file>

<file path=xl/worksheets/_rels/sheet166.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hyperlink" Target="https://www.ons.gov.uk/peoplepopulationandcommunity/populationandmigration/populationestimates" TargetMode="External"/><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37.xml"/></Relationships>
</file>

<file path=xl/worksheets/_rels/sheet167.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69.bin"/><Relationship Id="rId1" Type="http://schemas.openxmlformats.org/officeDocument/2006/relationships/hyperlink" Target="https://www.nrscotland.gov.uk/statistics-and-data/statistics/statistics-by-theme/households/household-estimates/" TargetMode="External"/><Relationship Id="rId4" Type="http://schemas.microsoft.com/office/2007/relationships/slicer" Target="../slicers/slicer38.xml"/></Relationships>
</file>

<file path=xl/worksheets/_rels/sheet168.xml.rels><?xml version="1.0" encoding="UTF-8" standalone="yes"?>
<Relationships xmlns="http://schemas.openxmlformats.org/package/2006/relationships"><Relationship Id="rId2" Type="http://schemas.openxmlformats.org/officeDocument/2006/relationships/pivotTable" Target="../pivotTables/pivotTable66.xml"/><Relationship Id="rId1" Type="http://schemas.openxmlformats.org/officeDocument/2006/relationships/pivotTable" Target="../pivotTables/pivotTable65.xml"/></Relationships>
</file>

<file path=xl/worksheets/_rels/sheet169.xml.rels><?xml version="1.0" encoding="UTF-8" standalone="yes"?>
<Relationships xmlns="http://schemas.openxmlformats.org/package/2006/relationships"><Relationship Id="rId1" Type="http://schemas.openxmlformats.org/officeDocument/2006/relationships/pivotTable" Target="../pivotTables/pivotTable6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0.bin"/></Relationships>
</file>

<file path=xl/worksheets/_rels/sheet17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1.bin"/></Relationships>
</file>

<file path=xl/worksheets/_rels/sheet17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2.bin"/></Relationships>
</file>

<file path=xl/worksheets/_rels/sheet17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4.bin"/></Relationships>
</file>

<file path=xl/worksheets/_rels/sheet18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5.bin"/></Relationships>
</file>

<file path=xl/worksheets/_rels/sheet18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6.bin"/></Relationships>
</file>

<file path=xl/worksheets/_rels/sheet18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7.bin"/></Relationships>
</file>

<file path=xl/worksheets/_rels/sheet18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8.bin"/></Relationships>
</file>

<file path=xl/worksheets/_rels/sheet18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79.bin"/></Relationships>
</file>

<file path=xl/worksheets/_rels/sheet18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80.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81.bin"/></Relationships>
</file>

<file path=xl/worksheets/_rels/sheet18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82.bin"/></Relationships>
</file>

<file path=xl/worksheets/_rels/sheet18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83.bin"/></Relationships>
</file>

<file path=xl/worksheets/_rels/sheet19.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12.xml"/></Relationships>
</file>

<file path=xl/worksheets/_rels/sheet19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84.bin"/></Relationships>
</file>

<file path=xl/worksheets/_rels/sheet19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85.bin"/></Relationships>
</file>

<file path=xl/worksheets/_rels/sheet19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86.bin"/></Relationships>
</file>

<file path=xl/worksheets/_rels/sheet19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87.bin"/></Relationships>
</file>

<file path=xl/worksheets/_rels/sheet19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88.bin"/></Relationships>
</file>

<file path=xl/worksheets/_rels/sheet19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89.bin"/></Relationships>
</file>

<file path=xl/worksheets/_rels/sheet19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90.bin"/></Relationships>
</file>

<file path=xl/worksheets/_rels/sheet19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91.bin"/></Relationships>
</file>

<file path=xl/worksheets/_rels/sheet19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92.bin"/></Relationships>
</file>

<file path=xl/worksheets/_rels/sheet19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9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13.xml"/></Relationships>
</file>

<file path=xl/worksheets/_rels/sheet20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94.bin"/></Relationships>
</file>

<file path=xl/worksheets/_rels/sheet20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95.bin"/></Relationships>
</file>

<file path=xl/worksheets/_rels/sheet20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96.bin"/></Relationships>
</file>

<file path=xl/worksheets/_rels/sheet20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97.bin"/></Relationships>
</file>

<file path=xl/worksheets/_rels/sheet20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98.bin"/></Relationships>
</file>

<file path=xl/worksheets/_rels/sheet20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99.bin"/></Relationships>
</file>

<file path=xl/worksheets/_rels/sheet20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100.bin"/></Relationships>
</file>

<file path=xl/worksheets/_rels/sheet20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101.bin"/></Relationships>
</file>

<file path=xl/worksheets/_rels/sheet20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102.bin"/></Relationships>
</file>

<file path=xl/worksheets/_rels/sheet209.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0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04.bin"/></Relationships>
</file>

<file path=xl/worksheets/_rels/sheet211.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105.bin"/></Relationships>
</file>

<file path=xl/worksheets/_rels/sheet212.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106.bin"/></Relationships>
</file>

<file path=xl/worksheets/_rels/sheet21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107.bin"/></Relationships>
</file>

<file path=xl/worksheets/_rels/sheet214.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108.bin"/></Relationships>
</file>

<file path=xl/worksheets/_rels/sheet215.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109.bin"/></Relationships>
</file>

<file path=xl/worksheets/_rels/sheet216.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110.bin"/></Relationships>
</file>

<file path=xl/worksheets/_rels/sheet217.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111.bin"/></Relationships>
</file>

<file path=xl/worksheets/_rels/sheet21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112.bin"/></Relationships>
</file>

<file path=xl/worksheets/_rels/sheet219.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113.bin"/></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20.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114.bin"/></Relationships>
</file>

<file path=xl/worksheets/_rels/sheet221.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115.bin"/></Relationships>
</file>

<file path=xl/worksheets/_rels/sheet222.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16.bin"/></Relationships>
</file>

<file path=xl/worksheets/_rels/sheet223.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17.bin"/></Relationships>
</file>

<file path=xl/worksheets/_rels/sheet224.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118.bin"/></Relationships>
</file>

<file path=xl/worksheets/_rels/sheet225.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119.bin"/></Relationships>
</file>

<file path=xl/worksheets/_rels/sheet226.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120.bin"/></Relationships>
</file>

<file path=xl/worksheets/_rels/sheet227.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121.bin"/></Relationships>
</file>

<file path=xl/worksheets/_rels/sheet228.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122.bin"/></Relationships>
</file>

<file path=xl/worksheets/_rels/sheet229.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123.bin"/></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124.bin"/></Relationships>
</file>

<file path=xl/worksheets/_rels/sheet231.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125.bin"/></Relationships>
</file>

<file path=xl/worksheets/_rels/sheet232.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126.bin"/></Relationships>
</file>

<file path=xl/worksheets/_rels/sheet233.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127.bin"/></Relationships>
</file>

<file path=xl/worksheets/_rels/sheet234.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128.bin"/></Relationships>
</file>

<file path=xl/worksheets/_rels/sheet235.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129.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237.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131.bin"/></Relationships>
</file>

<file path=xl/worksheets/_rels/sheet238.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132.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40.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134.bin"/></Relationships>
</file>

<file path=xl/worksheets/_rels/sheet241.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135.bin"/></Relationships>
</file>

<file path=xl/worksheets/_rels/sheet242.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136.bin"/></Relationships>
</file>

<file path=xl/worksheets/_rels/sheet243.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137.bin"/></Relationships>
</file>

<file path=xl/worksheets/_rels/sheet244.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138.bin"/></Relationships>
</file>

<file path=xl/worksheets/_rels/sheet245.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139.bin"/></Relationships>
</file>

<file path=xl/worksheets/_rels/sheet246.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140.bin"/></Relationships>
</file>

<file path=xl/worksheets/_rels/sheet247.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141.bin"/></Relationships>
</file>

<file path=xl/worksheets/_rels/sheet248.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142.bin"/></Relationships>
</file>

<file path=xl/worksheets/_rels/sheet249.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143.bin"/></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50.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144.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31.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32.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33.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34.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35.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36.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38.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39.xml.rels><?xml version="1.0" encoding="UTF-8" standalone="yes"?>
<Relationships xmlns="http://schemas.openxmlformats.org/package/2006/relationships"><Relationship Id="rId1" Type="http://schemas.openxmlformats.org/officeDocument/2006/relationships/pivotTable" Target="../pivotTables/pivotTable2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41.xml.rels><?xml version="1.0" encoding="UTF-8" standalone="yes"?>
<Relationships xmlns="http://schemas.openxmlformats.org/package/2006/relationships"><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42.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microsoft.com/office/2007/relationships/slicer" Target="../slicers/slicer5.xml"/><Relationship Id="rId4" Type="http://schemas.openxmlformats.org/officeDocument/2006/relationships/drawing" Target="../drawings/drawing14.xml"/></Relationships>
</file>

<file path=xl/worksheets/_rels/sheet43.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31.xml"/></Relationships>
</file>

<file path=xl/worksheets/_rels/sheet45.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 Id="rId5" Type="http://schemas.microsoft.com/office/2007/relationships/slicer" Target="../slicers/slicer6.xml"/><Relationship Id="rId4" Type="http://schemas.openxmlformats.org/officeDocument/2006/relationships/drawing" Target="../drawings/drawing15.xml"/></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35.xml"/></Relationships>
</file>

<file path=xl/worksheets/_rels/sheet47.xml.rels><?xml version="1.0" encoding="UTF-8" standalone="yes"?>
<Relationships xmlns="http://schemas.openxmlformats.org/package/2006/relationships"><Relationship Id="rId1" Type="http://schemas.openxmlformats.org/officeDocument/2006/relationships/pivotTable" Target="../pivotTables/pivotTable36.xml"/></Relationships>
</file>

<file path=xl/worksheets/_rels/sheet48.xml.rels><?xml version="1.0" encoding="UTF-8" standalone="yes"?>
<Relationships xmlns="http://schemas.openxmlformats.org/package/2006/relationships"><Relationship Id="rId1" Type="http://schemas.openxmlformats.org/officeDocument/2006/relationships/pivotTable" Target="../pivotTables/pivotTable37.xml"/></Relationships>
</file>

<file path=xl/worksheets/_rels/sheet49.xml.rels><?xml version="1.0" encoding="UTF-8" standalone="yes"?>
<Relationships xmlns="http://schemas.openxmlformats.org/package/2006/relationships"><Relationship Id="rId1" Type="http://schemas.openxmlformats.org/officeDocument/2006/relationships/pivotTable" Target="../pivotTables/pivotTable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ivotTable" Target="../pivotTables/pivotTable39.xml"/></Relationships>
</file>

<file path=xl/worksheets/_rels/sheet51.xml.rels><?xml version="1.0" encoding="UTF-8" standalone="yes"?>
<Relationships xmlns="http://schemas.openxmlformats.org/package/2006/relationships"><Relationship Id="rId1" Type="http://schemas.openxmlformats.org/officeDocument/2006/relationships/pivotTable" Target="../pivotTables/pivotTable40.xml"/></Relationships>
</file>

<file path=xl/worksheets/_rels/sheet52.xml.rels><?xml version="1.0" encoding="UTF-8" standalone="yes"?>
<Relationships xmlns="http://schemas.openxmlformats.org/package/2006/relationships"><Relationship Id="rId1" Type="http://schemas.openxmlformats.org/officeDocument/2006/relationships/pivotTable" Target="../pivotTables/pivotTable41.xml"/></Relationships>
</file>

<file path=xl/worksheets/_rels/sheet53.xml.rels><?xml version="1.0" encoding="UTF-8" standalone="yes"?>
<Relationships xmlns="http://schemas.openxmlformats.org/package/2006/relationships"><Relationship Id="rId1" Type="http://schemas.openxmlformats.org/officeDocument/2006/relationships/pivotTable" Target="../pivotTables/pivotTable42.xml"/></Relationships>
</file>

<file path=xl/worksheets/_rels/sheet54.xml.rels><?xml version="1.0" encoding="UTF-8" standalone="yes"?>
<Relationships xmlns="http://schemas.openxmlformats.org/package/2006/relationships"><Relationship Id="rId1" Type="http://schemas.openxmlformats.org/officeDocument/2006/relationships/pivotTable" Target="../pivotTables/pivotTable43.xml"/></Relationships>
</file>

<file path=xl/worksheets/_rels/sheet55.xml.rels><?xml version="1.0" encoding="UTF-8" standalone="yes"?>
<Relationships xmlns="http://schemas.openxmlformats.org/package/2006/relationships"><Relationship Id="rId1" Type="http://schemas.openxmlformats.org/officeDocument/2006/relationships/pivotTable" Target="../pivotTables/pivotTable44.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7.xml.rels><?xml version="1.0" encoding="UTF-8" standalone="yes"?>
<Relationships xmlns="http://schemas.openxmlformats.org/package/2006/relationships"><Relationship Id="rId1" Type="http://schemas.openxmlformats.org/officeDocument/2006/relationships/pivotTable" Target="../pivotTables/pivotTable45.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nrscotland.gov.uk/statistics-and-data/statistics/statistics-by-theme/households/household-estimates/" TargetMode="External"/><Relationship Id="rId4" Type="http://schemas.microsoft.com/office/2007/relationships/slicer" Target="../slicers/slicer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1.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5.xml.rels><?xml version="1.0" encoding="UTF-8" standalone="yes"?>
<Relationships xmlns="http://schemas.openxmlformats.org/package/2006/relationships"><Relationship Id="rId2" Type="http://schemas.microsoft.com/office/2007/relationships/slicer" Target="../slicers/slicer9.xml"/><Relationship Id="rId1" Type="http://schemas.openxmlformats.org/officeDocument/2006/relationships/drawing" Target="../drawings/drawing18.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10.xm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11.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0.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8.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13.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3.xml.rels><?xml version="1.0" encoding="UTF-8" standalone="yes"?>
<Relationships xmlns="http://schemas.openxmlformats.org/package/2006/relationships"><Relationship Id="rId3" Type="http://schemas.microsoft.com/office/2007/relationships/slicer" Target="../slicers/slicer14.xml"/><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15.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6.xml.rels><?xml version="1.0" encoding="UTF-8" standalone="yes"?>
<Relationships xmlns="http://schemas.openxmlformats.org/package/2006/relationships"><Relationship Id="rId2" Type="http://schemas.microsoft.com/office/2007/relationships/slicer" Target="../slicers/slicer16.xml"/><Relationship Id="rId1" Type="http://schemas.openxmlformats.org/officeDocument/2006/relationships/drawing" Target="../drawings/drawing25.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9.xml.rels><?xml version="1.0" encoding="UTF-8" standalone="yes"?>
<Relationships xmlns="http://schemas.openxmlformats.org/package/2006/relationships"><Relationship Id="rId3" Type="http://schemas.microsoft.com/office/2007/relationships/slicer" Target="../slicers/slicer17.xml"/><Relationship Id="rId2" Type="http://schemas.openxmlformats.org/officeDocument/2006/relationships/drawing" Target="../drawings/drawing36.xml"/><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1.xml.rels><?xml version="1.0" encoding="UTF-8" standalone="yes"?>
<Relationships xmlns="http://schemas.openxmlformats.org/package/2006/relationships"><Relationship Id="rId3" Type="http://schemas.microsoft.com/office/2007/relationships/slicer" Target="../slicers/slicer18.x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ivotTable" Target="../pivotTables/pivotTable47.xml"/><Relationship Id="rId1" Type="http://schemas.openxmlformats.org/officeDocument/2006/relationships/pivotTable" Target="../pivotTables/pivotTable46.xml"/><Relationship Id="rId4" Type="http://schemas.microsoft.com/office/2007/relationships/slicer" Target="../slicers/slicer19.x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95.xml.rels><?xml version="1.0" encoding="UTF-8" standalone="yes"?>
<Relationships xmlns="http://schemas.openxmlformats.org/package/2006/relationships"><Relationship Id="rId2" Type="http://schemas.microsoft.com/office/2007/relationships/slicer" Target="../slicers/slicer20.xml"/><Relationship Id="rId1" Type="http://schemas.openxmlformats.org/officeDocument/2006/relationships/drawing" Target="../drawings/drawing39.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4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U34"/>
  <sheetViews>
    <sheetView showGridLines="0" tabSelected="1" zoomScaleNormal="100" zoomScaleSheetLayoutView="100" workbookViewId="0"/>
  </sheetViews>
  <sheetFormatPr defaultRowHeight="12.75" x14ac:dyDescent="0.2"/>
  <cols>
    <col min="1" max="1" width="15" customWidth="1"/>
    <col min="5" max="5" width="12.140625" customWidth="1"/>
    <col min="6" max="6" width="25.7109375" customWidth="1"/>
    <col min="8" max="8" width="9.140625" customWidth="1"/>
    <col min="9" max="9" width="10.140625" customWidth="1"/>
    <col min="11" max="11" width="9.140625" customWidth="1"/>
    <col min="12" max="12" width="21.7109375" customWidth="1"/>
  </cols>
  <sheetData>
    <row r="1" spans="1:18" ht="23.25" customHeight="1" x14ac:dyDescent="0.2">
      <c r="F1" s="259" t="s">
        <v>569</v>
      </c>
    </row>
    <row r="2" spans="1:18" ht="27" customHeight="1" x14ac:dyDescent="0.2">
      <c r="F2" s="259" t="s">
        <v>570</v>
      </c>
    </row>
    <row r="3" spans="1:18" ht="15.75" x14ac:dyDescent="0.25">
      <c r="A3" s="264"/>
      <c r="B3" s="264"/>
      <c r="C3" s="264"/>
      <c r="D3" s="264"/>
      <c r="E3" s="264"/>
      <c r="F3" s="260" t="s">
        <v>508</v>
      </c>
      <c r="G3" s="264"/>
      <c r="H3" s="264"/>
      <c r="I3" s="264"/>
      <c r="M3" s="264"/>
      <c r="N3" s="264"/>
      <c r="O3" s="264"/>
      <c r="P3" s="264"/>
      <c r="Q3" s="264"/>
      <c r="R3" s="264"/>
    </row>
    <row r="4" spans="1:18" ht="15.75" x14ac:dyDescent="0.25">
      <c r="A4" s="264"/>
      <c r="B4" s="264"/>
      <c r="C4" s="264"/>
      <c r="D4" s="264"/>
      <c r="E4" s="264"/>
      <c r="F4" s="1083" t="s">
        <v>1571</v>
      </c>
      <c r="G4" s="264"/>
      <c r="H4" s="264"/>
      <c r="I4" s="264"/>
      <c r="M4" s="264"/>
      <c r="N4" s="263"/>
      <c r="O4" s="264"/>
      <c r="P4" s="264"/>
      <c r="Q4" s="264"/>
      <c r="R4" s="264"/>
    </row>
    <row r="5" spans="1:18" ht="15.75" x14ac:dyDescent="0.25">
      <c r="A5" s="264"/>
      <c r="B5" s="264"/>
      <c r="C5" s="264"/>
      <c r="D5" s="264"/>
      <c r="E5" s="264"/>
      <c r="F5" s="1083" t="s">
        <v>1598</v>
      </c>
      <c r="G5" s="264"/>
      <c r="H5" s="264"/>
      <c r="I5" s="264"/>
      <c r="M5" s="264"/>
      <c r="N5" s="263"/>
      <c r="O5" s="264"/>
      <c r="P5" s="264"/>
      <c r="Q5" s="264"/>
      <c r="R5" s="264"/>
    </row>
    <row r="6" spans="1:18" ht="15.75" x14ac:dyDescent="0.25">
      <c r="A6" s="264"/>
      <c r="B6" s="264"/>
      <c r="C6" s="264"/>
      <c r="D6" s="264"/>
      <c r="E6" s="264"/>
      <c r="F6" s="261" t="s">
        <v>509</v>
      </c>
      <c r="G6" s="264"/>
      <c r="H6" s="264"/>
      <c r="I6" s="264"/>
      <c r="J6" s="264"/>
      <c r="K6" s="264"/>
      <c r="L6" s="264"/>
      <c r="M6" s="264"/>
      <c r="N6" s="268"/>
      <c r="O6" s="263"/>
      <c r="P6" s="264"/>
      <c r="Q6" s="264"/>
      <c r="R6" s="264"/>
    </row>
    <row r="7" spans="1:18" ht="15.75" x14ac:dyDescent="0.25">
      <c r="A7" s="264"/>
      <c r="B7" s="264"/>
      <c r="C7" s="264"/>
      <c r="D7" s="264"/>
      <c r="E7" s="264"/>
      <c r="F7" s="261"/>
      <c r="G7" s="264"/>
      <c r="H7" s="264"/>
      <c r="I7" s="264"/>
      <c r="J7" s="264"/>
      <c r="K7" s="264"/>
      <c r="L7" s="264"/>
      <c r="M7" s="264"/>
      <c r="N7" s="268"/>
      <c r="O7" s="263"/>
      <c r="P7" s="264"/>
      <c r="Q7" s="264"/>
      <c r="R7" s="264"/>
    </row>
    <row r="8" spans="1:18" s="248" customFormat="1" ht="30" customHeight="1" x14ac:dyDescent="0.25">
      <c r="A8" s="270"/>
      <c r="B8" s="1233" t="s">
        <v>1522</v>
      </c>
      <c r="C8" s="1233"/>
      <c r="D8" s="1233"/>
      <c r="E8" s="1233"/>
      <c r="F8" s="1233"/>
      <c r="G8" s="1233"/>
      <c r="H8" s="1233"/>
      <c r="I8" s="1233"/>
      <c r="J8" s="1233"/>
      <c r="K8" s="1233"/>
      <c r="L8"/>
      <c r="M8"/>
      <c r="N8"/>
      <c r="O8" s="263"/>
      <c r="P8" s="270"/>
      <c r="Q8" s="270"/>
      <c r="R8" s="270"/>
    </row>
    <row r="9" spans="1:18" s="248" customFormat="1" ht="15.75" x14ac:dyDescent="0.25">
      <c r="A9" s="270"/>
      <c r="B9" s="271"/>
      <c r="C9" s="271"/>
      <c r="D9" s="271"/>
      <c r="E9" s="271"/>
      <c r="F9" s="271"/>
      <c r="G9" s="271"/>
      <c r="H9" s="271"/>
      <c r="I9" s="271"/>
      <c r="J9" s="271"/>
      <c r="K9" s="271"/>
      <c r="L9" s="270"/>
      <c r="M9" s="270"/>
      <c r="N9" s="268"/>
      <c r="O9" s="263"/>
      <c r="P9" s="270"/>
      <c r="Q9" s="270"/>
      <c r="R9" s="270"/>
    </row>
    <row r="10" spans="1:18" s="248" customFormat="1" ht="15.75" x14ac:dyDescent="0.25">
      <c r="A10" s="270"/>
      <c r="B10" s="1234" t="s">
        <v>571</v>
      </c>
      <c r="C10" s="1234"/>
      <c r="D10" s="1234"/>
      <c r="E10" s="1234"/>
      <c r="F10" s="1234"/>
      <c r="G10" s="1234"/>
      <c r="H10" s="1234"/>
      <c r="I10" s="1234"/>
      <c r="J10" s="1234"/>
      <c r="K10" s="1234"/>
      <c r="L10"/>
      <c r="M10" s="270"/>
      <c r="N10" s="268"/>
      <c r="O10" s="263"/>
      <c r="P10" s="270"/>
      <c r="Q10" s="270"/>
      <c r="R10" s="270"/>
    </row>
    <row r="11" spans="1:18" ht="15.75" x14ac:dyDescent="0.25">
      <c r="A11" s="264"/>
      <c r="B11" s="286" t="s">
        <v>573</v>
      </c>
      <c r="C11" s="266"/>
      <c r="D11" s="266"/>
      <c r="E11" s="266"/>
      <c r="F11" s="266"/>
      <c r="G11" s="266"/>
      <c r="H11" s="266"/>
      <c r="I11" s="266"/>
      <c r="J11" s="266"/>
      <c r="K11" s="266"/>
      <c r="L11" s="264"/>
      <c r="M11" s="264"/>
      <c r="N11" s="268"/>
      <c r="O11" s="263"/>
      <c r="P11" s="264"/>
      <c r="Q11" s="264"/>
      <c r="R11" s="264"/>
    </row>
    <row r="12" spans="1:18" ht="15.75" x14ac:dyDescent="0.25">
      <c r="A12" s="264"/>
      <c r="B12" s="286"/>
      <c r="C12" s="266"/>
      <c r="D12" s="266"/>
      <c r="E12" s="266"/>
      <c r="F12" s="266"/>
      <c r="G12" s="266"/>
      <c r="H12" s="266"/>
      <c r="I12" s="266"/>
      <c r="J12" s="266"/>
      <c r="K12" s="266"/>
      <c r="L12" s="264"/>
      <c r="M12" s="264"/>
      <c r="N12" s="268"/>
      <c r="O12" s="263"/>
      <c r="P12" s="264"/>
      <c r="Q12" s="264"/>
      <c r="R12" s="264"/>
    </row>
    <row r="13" spans="1:18" ht="30" customHeight="1" x14ac:dyDescent="0.25">
      <c r="A13" s="264"/>
      <c r="B13" s="1234" t="s">
        <v>572</v>
      </c>
      <c r="C13" s="1234"/>
      <c r="D13" s="1234"/>
      <c r="E13" s="1234"/>
      <c r="F13" s="1234"/>
      <c r="G13" s="1234"/>
      <c r="H13" s="1234"/>
      <c r="I13" s="1234"/>
      <c r="J13" s="1234"/>
      <c r="K13" s="1234"/>
      <c r="L13" s="264"/>
      <c r="M13" s="264"/>
      <c r="N13" s="268"/>
      <c r="O13" s="263"/>
      <c r="P13" s="264"/>
      <c r="Q13" s="264"/>
      <c r="R13" s="264"/>
    </row>
    <row r="14" spans="1:18" ht="15.75" x14ac:dyDescent="0.25">
      <c r="A14" s="264"/>
      <c r="B14" s="266"/>
      <c r="C14" s="266"/>
      <c r="D14" s="266"/>
      <c r="E14" s="266"/>
      <c r="F14" s="266"/>
      <c r="G14" s="266"/>
      <c r="H14" s="266"/>
      <c r="I14" s="266"/>
      <c r="J14" s="266"/>
      <c r="K14" s="266"/>
      <c r="L14" s="264"/>
      <c r="M14" s="264"/>
      <c r="N14" s="268"/>
      <c r="O14" s="263"/>
      <c r="P14" s="264"/>
      <c r="Q14" s="264"/>
      <c r="R14" s="264"/>
    </row>
    <row r="15" spans="1:18" ht="30" customHeight="1" x14ac:dyDescent="0.25">
      <c r="A15" s="264"/>
      <c r="B15" s="1234" t="s">
        <v>1418</v>
      </c>
      <c r="C15" s="1234"/>
      <c r="D15" s="1234"/>
      <c r="E15" s="1234"/>
      <c r="F15" s="1234"/>
      <c r="G15" s="1234"/>
      <c r="H15" s="1234"/>
      <c r="I15" s="1234"/>
      <c r="J15" s="1234"/>
      <c r="K15" s="1234"/>
      <c r="L15" s="264"/>
      <c r="M15" s="264"/>
      <c r="N15" s="268"/>
      <c r="O15" s="263"/>
      <c r="P15" s="264"/>
      <c r="Q15" s="264"/>
      <c r="R15" s="264"/>
    </row>
    <row r="16" spans="1:18" ht="15.75" x14ac:dyDescent="0.25">
      <c r="A16" s="264"/>
      <c r="B16" s="264"/>
      <c r="C16" s="264"/>
      <c r="D16" s="264"/>
      <c r="E16" s="264"/>
      <c r="F16" s="264"/>
      <c r="G16" s="264"/>
      <c r="H16" s="264"/>
      <c r="I16" s="264"/>
      <c r="J16" s="264"/>
      <c r="K16" s="264"/>
      <c r="L16" s="264"/>
      <c r="M16" s="264"/>
      <c r="N16" s="264"/>
      <c r="O16" s="264"/>
      <c r="P16" s="264"/>
      <c r="Q16" s="264"/>
      <c r="R16" s="264"/>
    </row>
    <row r="17" spans="1:18" ht="15.75" x14ac:dyDescent="0.25">
      <c r="A17" s="264"/>
      <c r="B17" s="1236" t="s">
        <v>574</v>
      </c>
      <c r="C17" s="1236"/>
      <c r="D17" s="1236"/>
      <c r="E17" s="1236"/>
      <c r="F17" s="1236"/>
      <c r="G17" s="1236"/>
      <c r="H17" s="1236"/>
      <c r="I17" s="1236"/>
      <c r="J17" s="1236"/>
      <c r="K17" s="1236"/>
      <c r="L17" s="264"/>
      <c r="M17" s="264"/>
      <c r="N17" s="264"/>
      <c r="O17" s="264"/>
      <c r="P17" s="264"/>
      <c r="Q17" s="264"/>
      <c r="R17" s="264"/>
    </row>
    <row r="18" spans="1:18" ht="15.75" x14ac:dyDescent="0.25">
      <c r="A18" s="264"/>
      <c r="B18" s="272" t="s">
        <v>140</v>
      </c>
      <c r="C18" s="264"/>
      <c r="D18" s="264"/>
      <c r="E18" s="264"/>
      <c r="F18" s="264"/>
      <c r="G18" s="264"/>
      <c r="H18" s="264"/>
      <c r="I18" s="264"/>
      <c r="J18" s="264"/>
      <c r="K18" s="264"/>
      <c r="L18" s="264"/>
      <c r="M18" s="264"/>
      <c r="N18" s="264"/>
      <c r="O18" s="264"/>
      <c r="P18" s="264"/>
      <c r="Q18" s="264"/>
      <c r="R18" s="264"/>
    </row>
    <row r="19" spans="1:18" ht="15.75" x14ac:dyDescent="0.25">
      <c r="A19" s="264"/>
      <c r="B19" s="264"/>
      <c r="C19" s="264"/>
      <c r="D19" s="264"/>
      <c r="E19" s="264"/>
      <c r="F19" s="264"/>
      <c r="G19" s="264"/>
      <c r="H19" s="264"/>
      <c r="I19" s="264"/>
      <c r="J19" s="264"/>
      <c r="K19" s="264"/>
      <c r="L19" s="264"/>
      <c r="M19" s="264"/>
      <c r="N19" s="264"/>
      <c r="O19" s="264"/>
      <c r="P19" s="264"/>
      <c r="Q19" s="264"/>
      <c r="R19" s="264"/>
    </row>
    <row r="20" spans="1:18" ht="15.75" x14ac:dyDescent="0.25">
      <c r="A20" s="264"/>
      <c r="B20" s="264" t="s">
        <v>510</v>
      </c>
      <c r="C20" s="264"/>
      <c r="D20" s="264"/>
      <c r="E20" s="264"/>
      <c r="F20" s="265" t="s">
        <v>511</v>
      </c>
      <c r="H20" s="264"/>
      <c r="I20" s="264"/>
      <c r="J20" s="264"/>
      <c r="K20" s="264"/>
      <c r="L20" s="264"/>
      <c r="M20" s="264"/>
      <c r="N20" s="264"/>
      <c r="O20" s="264"/>
      <c r="P20" s="264"/>
      <c r="Q20" s="264"/>
      <c r="R20" s="264"/>
    </row>
    <row r="21" spans="1:18" ht="15.75" x14ac:dyDescent="0.25">
      <c r="A21" s="264"/>
      <c r="B21" s="269"/>
      <c r="C21" s="269"/>
      <c r="D21" s="269"/>
      <c r="E21" s="269"/>
      <c r="F21" s="265"/>
      <c r="G21" s="264"/>
      <c r="H21" s="264"/>
      <c r="I21" s="264"/>
      <c r="J21" s="264"/>
      <c r="K21" s="264"/>
      <c r="L21" s="264"/>
      <c r="M21" s="264"/>
      <c r="N21" s="264"/>
      <c r="O21" s="264"/>
      <c r="P21" s="264"/>
      <c r="Q21" s="264"/>
      <c r="R21" s="264"/>
    </row>
    <row r="22" spans="1:18" ht="15.75" x14ac:dyDescent="0.25">
      <c r="A22" s="264"/>
      <c r="B22" s="262" t="s">
        <v>305</v>
      </c>
      <c r="C22" s="264"/>
      <c r="D22" s="264"/>
      <c r="E22" s="264"/>
      <c r="F22" s="264"/>
      <c r="G22" s="264"/>
      <c r="H22" s="264"/>
      <c r="I22" s="264"/>
      <c r="J22" s="264"/>
      <c r="K22" s="264"/>
      <c r="L22" s="264"/>
      <c r="M22" s="264"/>
      <c r="N22" s="264"/>
      <c r="O22" s="264"/>
      <c r="P22" s="264"/>
      <c r="Q22" s="264"/>
      <c r="R22" s="264"/>
    </row>
    <row r="23" spans="1:18" ht="60" customHeight="1" x14ac:dyDescent="0.25">
      <c r="A23" s="264"/>
      <c r="B23" s="1235" t="s">
        <v>1221</v>
      </c>
      <c r="C23" s="1235"/>
      <c r="D23" s="1235"/>
      <c r="E23" s="1235"/>
      <c r="F23" s="1235"/>
      <c r="G23" s="1235"/>
      <c r="H23" s="1235"/>
      <c r="I23" s="1235"/>
      <c r="J23" s="1235"/>
      <c r="K23" s="1235"/>
      <c r="L23" s="264"/>
      <c r="M23" s="264"/>
      <c r="N23" s="264"/>
      <c r="O23" s="264"/>
      <c r="P23" s="264"/>
      <c r="Q23" s="264"/>
      <c r="R23" s="264"/>
    </row>
    <row r="24" spans="1:18" ht="15.75" x14ac:dyDescent="0.25">
      <c r="A24" s="264"/>
      <c r="B24" s="264"/>
      <c r="C24" s="264"/>
      <c r="D24" s="264"/>
      <c r="E24" s="264"/>
      <c r="F24" s="264"/>
      <c r="G24" s="264"/>
      <c r="H24" s="264"/>
      <c r="I24" s="264"/>
      <c r="J24" s="264"/>
      <c r="K24" s="264"/>
      <c r="L24" s="267"/>
      <c r="M24" s="264"/>
      <c r="N24" s="264"/>
      <c r="O24" s="264"/>
      <c r="P24" s="264"/>
      <c r="Q24" s="264"/>
      <c r="R24" s="264"/>
    </row>
    <row r="25" spans="1:18" ht="15.75" x14ac:dyDescent="0.25">
      <c r="A25" s="264"/>
      <c r="B25" s="262" t="s">
        <v>306</v>
      </c>
      <c r="C25" s="264"/>
      <c r="D25" s="264"/>
      <c r="E25" s="264"/>
      <c r="F25" s="264"/>
      <c r="G25" s="264"/>
      <c r="H25" s="264"/>
      <c r="I25" s="264"/>
      <c r="J25" s="264"/>
      <c r="K25" s="264"/>
      <c r="L25" s="267"/>
      <c r="M25" s="264"/>
      <c r="N25" s="264"/>
      <c r="O25" s="264"/>
      <c r="P25" s="264"/>
      <c r="Q25" s="264"/>
      <c r="R25" s="264"/>
    </row>
    <row r="26" spans="1:18" ht="15.75" x14ac:dyDescent="0.25">
      <c r="A26" s="264"/>
      <c r="B26" s="965" t="s">
        <v>577</v>
      </c>
      <c r="C26" s="965"/>
      <c r="D26" s="965"/>
      <c r="K26" s="264"/>
      <c r="L26" s="267"/>
      <c r="M26" s="264"/>
      <c r="N26" s="264"/>
      <c r="O26" s="264"/>
      <c r="P26" s="264"/>
      <c r="Q26" s="264"/>
      <c r="R26" s="264"/>
    </row>
    <row r="27" spans="1:18" ht="15.75" x14ac:dyDescent="0.25">
      <c r="A27" s="264"/>
      <c r="B27" s="958" t="s">
        <v>1129</v>
      </c>
      <c r="C27" s="958"/>
      <c r="D27" s="958"/>
      <c r="G27" s="264"/>
      <c r="H27" s="264"/>
      <c r="I27" s="264"/>
      <c r="J27" s="264"/>
      <c r="K27" s="264"/>
      <c r="L27" s="264"/>
      <c r="M27" s="264"/>
      <c r="N27" s="264"/>
      <c r="O27" s="264"/>
      <c r="P27" s="264"/>
      <c r="Q27" s="264"/>
      <c r="R27" s="264"/>
    </row>
    <row r="28" spans="1:18" ht="15.75" x14ac:dyDescent="0.25">
      <c r="A28" s="264"/>
      <c r="B28" s="963" t="s">
        <v>1130</v>
      </c>
      <c r="C28" s="963"/>
      <c r="D28" s="963"/>
      <c r="G28" s="264"/>
      <c r="H28" s="264"/>
      <c r="I28" s="264"/>
      <c r="J28" s="264"/>
      <c r="K28" s="264"/>
      <c r="L28" s="264"/>
      <c r="M28" s="264"/>
      <c r="N28" s="264"/>
      <c r="O28" s="264"/>
      <c r="P28" s="264"/>
      <c r="Q28" s="264"/>
      <c r="R28" s="264"/>
    </row>
    <row r="29" spans="1:18" ht="15.75" customHeight="1" x14ac:dyDescent="0.25">
      <c r="A29" s="264"/>
      <c r="B29" s="959" t="s">
        <v>1131</v>
      </c>
      <c r="C29" s="959"/>
      <c r="D29" s="959"/>
      <c r="E29" s="264"/>
      <c r="G29" s="264"/>
      <c r="I29" s="284"/>
      <c r="J29" s="284"/>
      <c r="K29" s="284"/>
      <c r="L29" s="284"/>
      <c r="M29" s="284"/>
      <c r="N29" s="284"/>
      <c r="O29" s="284"/>
      <c r="P29" s="284"/>
      <c r="Q29" s="284"/>
      <c r="R29" s="284"/>
    </row>
    <row r="30" spans="1:18" ht="15.75" customHeight="1" x14ac:dyDescent="0.25">
      <c r="A30" s="264"/>
      <c r="B30" s="962" t="s">
        <v>1132</v>
      </c>
      <c r="C30" s="962"/>
      <c r="D30" s="962"/>
      <c r="E30" s="264"/>
      <c r="G30" s="264"/>
      <c r="H30" s="264"/>
    </row>
    <row r="31" spans="1:18" ht="15.75" x14ac:dyDescent="0.25">
      <c r="B31" s="960" t="s">
        <v>1133</v>
      </c>
      <c r="C31" s="960"/>
      <c r="D31" s="960"/>
    </row>
    <row r="32" spans="1:18" ht="15.75" x14ac:dyDescent="0.25">
      <c r="B32" s="961" t="s">
        <v>1134</v>
      </c>
      <c r="C32" s="961"/>
      <c r="D32" s="961"/>
    </row>
    <row r="33" spans="2:21" ht="12.75" customHeight="1" x14ac:dyDescent="0.25">
      <c r="B33" s="964" t="s">
        <v>1136</v>
      </c>
      <c r="C33" s="964"/>
      <c r="D33" s="964"/>
      <c r="L33" s="1232"/>
      <c r="M33" s="1232"/>
      <c r="N33" s="1232"/>
      <c r="O33" s="1232"/>
      <c r="P33" s="1232"/>
      <c r="Q33" s="1232"/>
      <c r="R33" s="1232"/>
      <c r="S33" s="1232"/>
      <c r="T33" s="1232"/>
      <c r="U33" s="1232"/>
    </row>
    <row r="34" spans="2:21" ht="15.75" x14ac:dyDescent="0.25">
      <c r="B34" s="282" t="s">
        <v>1135</v>
      </c>
      <c r="C34" s="282"/>
      <c r="D34" s="282"/>
    </row>
  </sheetData>
  <sheetProtection algorithmName="SHA-512" hashValue="WytKZD95W3HBlaQmlODUFHK5Yy9XQnY7biCCndU5cFkmBKotELqhFGVRXgnm8G0njgHP3T3RnEhJi9es2V/A4w==" saltValue="38o0Mj93+ykn12OwRYvWdA==" spinCount="100000" sheet="1" scenarios="1" formatCells="0" formatColumns="0" formatRows="0" sort="0" autoFilter="0" pivotTables="0"/>
  <mergeCells count="7">
    <mergeCell ref="L33:U33"/>
    <mergeCell ref="B8:K8"/>
    <mergeCell ref="B13:K13"/>
    <mergeCell ref="B15:K15"/>
    <mergeCell ref="B23:K23"/>
    <mergeCell ref="B17:K17"/>
    <mergeCell ref="B10:K10"/>
  </mergeCells>
  <hyperlinks>
    <hyperlink ref="F6" r:id="rId1" display="Scottish Fire and Rescue Service Fire Safety and Organisational Statistics, Scotland, 2015-16" xr:uid="{00000000-0004-0000-0000-000000000000}"/>
    <hyperlink ref="B18" r:id="rId2" xr:uid="{00000000-0004-0000-0000-000001000000}"/>
    <hyperlink ref="F20" r:id="rId3" xr:uid="{00000000-0004-0000-0000-000002000000}"/>
  </hyperlinks>
  <pageMargins left="0.70866141732283472" right="0.70866141732283472" top="0.74803149606299213" bottom="0.74803149606299213" header="0.31496062992125984" footer="0.31496062992125984"/>
  <pageSetup paperSize="9" scale="81" orientation="portrait" r:id="rId4"/>
  <headerFooter>
    <oddFooter>&amp;L&amp;P&amp;C&amp;A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H5"/>
  <sheetViews>
    <sheetView showGridLines="0" workbookViewId="0">
      <selection sqref="A1:C1"/>
    </sheetView>
  </sheetViews>
  <sheetFormatPr defaultColWidth="9.140625" defaultRowHeight="12.75" x14ac:dyDescent="0.2"/>
  <sheetData>
    <row r="1" spans="1:8" ht="17.25" customHeight="1" x14ac:dyDescent="0.2">
      <c r="A1" s="1271" t="s">
        <v>1247</v>
      </c>
      <c r="B1" s="1271"/>
      <c r="C1" s="1271"/>
    </row>
    <row r="2" spans="1:8" ht="17.25" customHeight="1" x14ac:dyDescent="0.2">
      <c r="A2" s="106" t="s">
        <v>578</v>
      </c>
      <c r="B2" s="1031"/>
      <c r="C2" s="1031"/>
    </row>
    <row r="3" spans="1:8" ht="30.75" customHeight="1" x14ac:dyDescent="0.2">
      <c r="A3" s="1272" t="s">
        <v>1265</v>
      </c>
      <c r="B3" s="1272"/>
      <c r="C3" s="1272"/>
      <c r="D3" s="1272"/>
      <c r="E3" s="1272"/>
      <c r="F3" s="1272"/>
      <c r="G3" s="1272"/>
      <c r="H3" s="1272"/>
    </row>
    <row r="4" spans="1:8" ht="15" x14ac:dyDescent="0.25">
      <c r="A4" s="1032" t="s">
        <v>1246</v>
      </c>
    </row>
    <row r="5" spans="1:8" ht="15" x14ac:dyDescent="0.25">
      <c r="A5" s="1043" t="s">
        <v>1300</v>
      </c>
    </row>
  </sheetData>
  <sheetProtection algorithmName="SHA-512" hashValue="Js7eq3nlmgmeXM5FxP90dGWwS7Yz+rye/m1/MkqcUDWDwAPw+QK1Ytcwujy2pr4gTsO3UWFcIxBpHOCEnBjvlg==" saltValue="tDuYkoPJ7s4keXyRjmSW1g=="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900-000000000000}"/>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4" tint="0.59999389629810485"/>
  </sheetPr>
  <dimension ref="A1:H5"/>
  <sheetViews>
    <sheetView showGridLines="0" workbookViewId="0">
      <selection sqref="A1:C1"/>
    </sheetView>
  </sheetViews>
  <sheetFormatPr defaultColWidth="9.140625" defaultRowHeight="12.75" x14ac:dyDescent="0.2"/>
  <sheetData>
    <row r="1" spans="1:8" ht="17.25" customHeight="1" x14ac:dyDescent="0.2">
      <c r="A1" s="1271" t="s">
        <v>1269</v>
      </c>
      <c r="B1" s="1271"/>
      <c r="C1" s="1271"/>
    </row>
    <row r="2" spans="1:8" ht="17.25" customHeight="1" x14ac:dyDescent="0.2">
      <c r="A2" s="106" t="s">
        <v>578</v>
      </c>
      <c r="B2" s="1031"/>
      <c r="C2" s="1031"/>
    </row>
    <row r="3" spans="1:8" ht="35.25" customHeight="1" x14ac:dyDescent="0.2">
      <c r="A3" s="120" t="s">
        <v>1612</v>
      </c>
      <c r="B3" s="120"/>
      <c r="C3" s="120"/>
      <c r="D3" s="120"/>
      <c r="E3" s="120"/>
      <c r="F3" s="120"/>
      <c r="G3" s="120"/>
      <c r="H3" s="120"/>
    </row>
    <row r="4" spans="1:8" ht="15" x14ac:dyDescent="0.25">
      <c r="A4" s="1032" t="s">
        <v>1246</v>
      </c>
    </row>
    <row r="5" spans="1:8" ht="15" x14ac:dyDescent="0.25">
      <c r="A5" s="1043" t="s">
        <v>1341</v>
      </c>
    </row>
  </sheetData>
  <sheetProtection algorithmName="SHA-512" hashValue="gOTz+SfMXId1bPIOVBBzfNEC07PcWlbPjnir5kbTjbSgojWo7ZhejVUJ77PASR/46hFtzbf23euj8t4KYYV4Bg==" saltValue="SX5Z+nC6O+G92177XdZ3dw==" spinCount="100000" sheet="1" scenarios="1" formatCells="0" formatColumns="0" formatRows="0" sort="0" autoFilter="0" pivotTables="0"/>
  <mergeCells count="1">
    <mergeCell ref="A1:C1"/>
  </mergeCells>
  <hyperlinks>
    <hyperlink ref="A2" location="'Table of Contents'!A1" display="Back to Table of Contents" xr:uid="{00000000-0004-0000-6300-000000000000}"/>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2">
    <tabColor rgb="FFD9B3FF"/>
    <pageSetUpPr fitToPage="1"/>
  </sheetPr>
  <dimension ref="A1:AQ161"/>
  <sheetViews>
    <sheetView showGridLines="0" zoomScaleNormal="100" zoomScaleSheetLayoutView="90" workbookViewId="0">
      <pane ySplit="2" topLeftCell="A3" activePane="bottomLeft" state="frozen"/>
      <selection activeCellId="1" sqref="A1 A1"/>
      <selection pane="bottomLeft"/>
    </sheetView>
  </sheetViews>
  <sheetFormatPr defaultColWidth="9.140625" defaultRowHeight="12.75" x14ac:dyDescent="0.2"/>
  <cols>
    <col min="1" max="1" width="24.85546875" style="1" customWidth="1"/>
    <col min="2" max="2" width="9.7109375" style="1" customWidth="1"/>
    <col min="3" max="3" width="9.42578125" style="1" customWidth="1"/>
    <col min="4" max="4" width="8.85546875" style="1" customWidth="1"/>
    <col min="5" max="5" width="10.85546875" style="1" customWidth="1"/>
    <col min="6" max="6" width="9.85546875" style="1" customWidth="1"/>
    <col min="7" max="7" width="10.85546875" style="1" customWidth="1"/>
    <col min="8" max="8" width="8.7109375" style="1" customWidth="1"/>
    <col min="9" max="9" width="12.5703125" style="1" customWidth="1"/>
    <col min="10" max="10" width="8.85546875" style="1" customWidth="1"/>
    <col min="11" max="11" width="10.28515625" style="1" customWidth="1"/>
    <col min="12" max="12" width="9.85546875" style="1" customWidth="1"/>
    <col min="13" max="13" width="9" style="1" customWidth="1"/>
    <col min="14" max="14" width="10.5703125" style="1" customWidth="1"/>
    <col min="15" max="15" width="10" style="1" customWidth="1"/>
    <col min="16" max="16" width="9.28515625" style="1" customWidth="1"/>
    <col min="17" max="17" width="9.140625" style="1" customWidth="1"/>
    <col min="18" max="18" width="9.140625" style="1"/>
    <col min="19" max="20" width="9.28515625" style="1" customWidth="1"/>
    <col min="21" max="21" width="9.140625" style="1" customWidth="1"/>
    <col min="22" max="22" width="11.7109375" style="1" customWidth="1"/>
    <col min="23" max="23" width="8" style="1" customWidth="1"/>
    <col min="24" max="16384" width="9.140625" style="1"/>
  </cols>
  <sheetData>
    <row r="1" spans="1:24" ht="17.25" customHeight="1" x14ac:dyDescent="0.2">
      <c r="A1" s="298" t="s">
        <v>1131</v>
      </c>
    </row>
    <row r="2" spans="1:24" ht="17.25" customHeight="1" x14ac:dyDescent="0.2">
      <c r="A2" s="106" t="s">
        <v>578</v>
      </c>
    </row>
    <row r="3" spans="1:24" ht="38.25" customHeight="1" x14ac:dyDescent="0.2">
      <c r="A3" s="129" t="s">
        <v>1024</v>
      </c>
      <c r="B3" s="129"/>
      <c r="C3"/>
      <c r="D3" s="129"/>
      <c r="E3" s="129"/>
      <c r="F3" s="129"/>
      <c r="G3" s="129"/>
      <c r="H3" s="129"/>
      <c r="I3" s="129"/>
      <c r="J3" s="129"/>
      <c r="K3" s="129"/>
      <c r="L3" s="129"/>
      <c r="M3" s="129"/>
    </row>
    <row r="4" spans="1:24" ht="15" customHeight="1" x14ac:dyDescent="0.25">
      <c r="A4" s="351" t="s">
        <v>579</v>
      </c>
      <c r="B4" s="1043" t="s">
        <v>1344</v>
      </c>
      <c r="D4" s="129"/>
      <c r="E4" s="129"/>
      <c r="F4" s="129"/>
      <c r="G4" s="129"/>
      <c r="H4" s="129"/>
      <c r="I4" s="129"/>
      <c r="J4" s="129"/>
      <c r="K4" s="129"/>
      <c r="L4" s="129"/>
      <c r="M4" s="129"/>
    </row>
    <row r="5" spans="1:24" ht="15" customHeight="1" x14ac:dyDescent="0.25">
      <c r="A5" s="351" t="s">
        <v>580</v>
      </c>
      <c r="B5" s="351" t="s">
        <v>581</v>
      </c>
      <c r="C5"/>
      <c r="D5" s="129"/>
      <c r="E5" s="129"/>
      <c r="F5" s="129"/>
      <c r="G5" s="129"/>
      <c r="H5" s="129"/>
      <c r="I5" s="129"/>
      <c r="J5" s="129"/>
      <c r="K5" s="129"/>
      <c r="L5" s="129"/>
      <c r="M5" s="129"/>
    </row>
    <row r="6" spans="1:24" ht="15" customHeight="1" x14ac:dyDescent="0.25">
      <c r="A6" s="351" t="s">
        <v>582</v>
      </c>
      <c r="B6" s="351" t="s">
        <v>585</v>
      </c>
      <c r="C6"/>
      <c r="D6" s="129"/>
      <c r="E6" s="129"/>
      <c r="F6" s="129"/>
      <c r="G6" s="129"/>
      <c r="H6" s="129"/>
      <c r="I6" s="129"/>
      <c r="J6" s="129"/>
      <c r="K6" s="129"/>
      <c r="L6" s="129"/>
      <c r="M6" s="129"/>
    </row>
    <row r="7" spans="1:24" ht="14.25" customHeight="1" x14ac:dyDescent="0.25">
      <c r="V7" s="83" t="s">
        <v>0</v>
      </c>
    </row>
    <row r="8" spans="1:24" s="39" customFormat="1" ht="82.5" customHeight="1" x14ac:dyDescent="0.2">
      <c r="A8" s="357" t="s">
        <v>4</v>
      </c>
      <c r="B8" s="345" t="s">
        <v>63</v>
      </c>
      <c r="C8" s="345" t="s">
        <v>518</v>
      </c>
      <c r="D8" s="345" t="s">
        <v>64</v>
      </c>
      <c r="E8" s="345" t="s">
        <v>519</v>
      </c>
      <c r="F8" s="345" t="s">
        <v>520</v>
      </c>
      <c r="G8" s="345" t="s">
        <v>65</v>
      </c>
      <c r="H8" s="345" t="s">
        <v>66</v>
      </c>
      <c r="I8" s="345" t="s">
        <v>521</v>
      </c>
      <c r="J8" s="345" t="s">
        <v>522</v>
      </c>
      <c r="K8" s="345" t="s">
        <v>523</v>
      </c>
      <c r="L8" s="345" t="s">
        <v>67</v>
      </c>
      <c r="M8" s="345" t="s">
        <v>524</v>
      </c>
      <c r="N8" s="345" t="s">
        <v>525</v>
      </c>
      <c r="O8" s="345" t="s">
        <v>516</v>
      </c>
      <c r="P8" s="345" t="s">
        <v>68</v>
      </c>
      <c r="Q8" s="345" t="s">
        <v>526</v>
      </c>
      <c r="R8" s="345" t="s">
        <v>527</v>
      </c>
      <c r="S8" s="345" t="s">
        <v>69</v>
      </c>
      <c r="T8" s="345" t="s">
        <v>528</v>
      </c>
      <c r="U8" s="233" t="s">
        <v>70</v>
      </c>
      <c r="V8" s="215" t="s">
        <v>260</v>
      </c>
      <c r="X8"/>
    </row>
    <row r="9" spans="1:24" ht="18.75" customHeight="1" x14ac:dyDescent="0.2">
      <c r="A9" s="29" t="str">
        <f>'T06'!A5</f>
        <v>2009-10</v>
      </c>
      <c r="B9" s="103">
        <f>'T06'!C5</f>
        <v>2945</v>
      </c>
      <c r="C9" s="103">
        <f>'T06'!D5</f>
        <v>163</v>
      </c>
      <c r="D9" s="103">
        <f>'T06'!E5</f>
        <v>2038</v>
      </c>
      <c r="E9" s="103">
        <f>'T06'!F5</f>
        <v>192</v>
      </c>
      <c r="F9" s="103">
        <f>'T06'!G5</f>
        <v>763</v>
      </c>
      <c r="G9" s="103">
        <f>'T06'!H5</f>
        <v>64</v>
      </c>
      <c r="H9" s="103">
        <f>'T06'!I5</f>
        <v>769</v>
      </c>
      <c r="I9" s="103">
        <f>'T06'!J5</f>
        <v>388</v>
      </c>
      <c r="J9" s="103">
        <f>'T06'!K5</f>
        <v>130</v>
      </c>
      <c r="K9" s="103">
        <f>'T06'!L5</f>
        <v>133</v>
      </c>
      <c r="L9" s="103">
        <f>'T06'!M5</f>
        <v>378</v>
      </c>
      <c r="M9" s="103">
        <f>'T06'!N5</f>
        <v>187</v>
      </c>
      <c r="N9" s="103">
        <f>'T06'!O5</f>
        <v>403</v>
      </c>
      <c r="O9" s="103">
        <f>'T06'!P5</f>
        <v>843</v>
      </c>
      <c r="P9" s="103">
        <f>'T06'!Q5</f>
        <v>284</v>
      </c>
      <c r="Q9" s="103">
        <f>'T06'!R5</f>
        <v>756</v>
      </c>
      <c r="R9" s="103">
        <f>'T06'!S5</f>
        <v>19</v>
      </c>
      <c r="S9" s="103">
        <f>'T06'!T5</f>
        <v>231</v>
      </c>
      <c r="T9" s="103">
        <f>'T06'!U5</f>
        <v>610</v>
      </c>
      <c r="U9" s="103">
        <f>'T06'!V5</f>
        <v>207</v>
      </c>
      <c r="V9" s="347">
        <f>SUM(B9:U9)</f>
        <v>11503</v>
      </c>
      <c r="W9" s="4"/>
      <c r="X9"/>
    </row>
    <row r="10" spans="1:24" ht="13.5" customHeight="1" x14ac:dyDescent="0.2">
      <c r="A10" s="29" t="str">
        <f>'T06'!A6</f>
        <v>2010-11</v>
      </c>
      <c r="B10" s="4">
        <f>'T06'!C6</f>
        <v>2421</v>
      </c>
      <c r="C10" s="4">
        <f>'T06'!D6</f>
        <v>147</v>
      </c>
      <c r="D10" s="4">
        <f>'T06'!E6</f>
        <v>2475</v>
      </c>
      <c r="E10" s="4">
        <f>'T06'!F6</f>
        <v>140</v>
      </c>
      <c r="F10" s="4">
        <f>'T06'!G6</f>
        <v>664</v>
      </c>
      <c r="G10" s="4">
        <f>'T06'!H6</f>
        <v>51</v>
      </c>
      <c r="H10" s="4">
        <f>'T06'!I6</f>
        <v>705</v>
      </c>
      <c r="I10" s="4">
        <f>'T06'!J6</f>
        <v>326</v>
      </c>
      <c r="J10" s="4">
        <f>'T06'!K6</f>
        <v>149</v>
      </c>
      <c r="K10" s="4">
        <f>'T06'!L6</f>
        <v>131</v>
      </c>
      <c r="L10" s="4">
        <f>'T06'!M6</f>
        <v>430</v>
      </c>
      <c r="M10" s="4">
        <f>'T06'!N6</f>
        <v>170</v>
      </c>
      <c r="N10" s="4">
        <f>'T06'!O6</f>
        <v>341</v>
      </c>
      <c r="O10" s="4">
        <f>'T06'!P6</f>
        <v>900</v>
      </c>
      <c r="P10" s="4">
        <f>'T06'!Q6</f>
        <v>509</v>
      </c>
      <c r="Q10" s="4">
        <f>'T06'!R6</f>
        <v>699</v>
      </c>
      <c r="R10" s="4">
        <f>'T06'!S6</f>
        <v>23</v>
      </c>
      <c r="S10" s="4">
        <f>'T06'!T6</f>
        <v>215</v>
      </c>
      <c r="T10" s="4">
        <f>'T06'!U6</f>
        <v>568</v>
      </c>
      <c r="U10" s="4">
        <f>'T06'!V6</f>
        <v>271</v>
      </c>
      <c r="V10" s="13">
        <f t="shared" ref="V10:V16" si="0">SUM(B10:U10)</f>
        <v>11335</v>
      </c>
      <c r="W10" s="4"/>
      <c r="X10"/>
    </row>
    <row r="11" spans="1:24" ht="13.5" customHeight="1" x14ac:dyDescent="0.2">
      <c r="A11" s="29" t="str">
        <f>'T06'!A7</f>
        <v>2011-12</v>
      </c>
      <c r="B11" s="4">
        <f>'T06'!C7</f>
        <v>2223</v>
      </c>
      <c r="C11" s="4">
        <f>'T06'!D7</f>
        <v>116</v>
      </c>
      <c r="D11" s="4">
        <f>'T06'!E7</f>
        <v>1136</v>
      </c>
      <c r="E11" s="4">
        <f>'T06'!F7</f>
        <v>161</v>
      </c>
      <c r="F11" s="4">
        <f>'T06'!G7</f>
        <v>688</v>
      </c>
      <c r="G11" s="4">
        <f>'T06'!H7</f>
        <v>72</v>
      </c>
      <c r="H11" s="4">
        <f>'T06'!I7</f>
        <v>678</v>
      </c>
      <c r="I11" s="4">
        <f>'T06'!J7</f>
        <v>283</v>
      </c>
      <c r="J11" s="4">
        <f>'T06'!K7</f>
        <v>146</v>
      </c>
      <c r="K11" s="4">
        <f>'T06'!L7</f>
        <v>140</v>
      </c>
      <c r="L11" s="4">
        <f>'T06'!M7</f>
        <v>287</v>
      </c>
      <c r="M11" s="4">
        <f>'T06'!N7</f>
        <v>154</v>
      </c>
      <c r="N11" s="4">
        <f>'T06'!O7</f>
        <v>321</v>
      </c>
      <c r="O11" s="4">
        <f>'T06'!P7</f>
        <v>882</v>
      </c>
      <c r="P11" s="4">
        <f>'T06'!Q7</f>
        <v>925</v>
      </c>
      <c r="Q11" s="4">
        <f>'T06'!R7</f>
        <v>854</v>
      </c>
      <c r="R11" s="4">
        <f>'T06'!S7</f>
        <v>9</v>
      </c>
      <c r="S11" s="4">
        <f>'T06'!T7</f>
        <v>161</v>
      </c>
      <c r="T11" s="4">
        <f>'T06'!U7</f>
        <v>566</v>
      </c>
      <c r="U11" s="4">
        <f>'T06'!V7</f>
        <v>317</v>
      </c>
      <c r="V11" s="13">
        <f t="shared" si="0"/>
        <v>10119</v>
      </c>
      <c r="W11" s="4"/>
      <c r="X11"/>
    </row>
    <row r="12" spans="1:24" ht="13.5" customHeight="1" x14ac:dyDescent="0.2">
      <c r="A12" s="29" t="str">
        <f>'T06'!A8</f>
        <v>2012-13</v>
      </c>
      <c r="B12" s="4">
        <f>'T06'!C8</f>
        <v>2264</v>
      </c>
      <c r="C12" s="4">
        <f>'T06'!D8</f>
        <v>98</v>
      </c>
      <c r="D12" s="4">
        <f>'T06'!E8</f>
        <v>1357</v>
      </c>
      <c r="E12" s="4">
        <f>'T06'!F8</f>
        <v>166</v>
      </c>
      <c r="F12" s="4">
        <f>'T06'!G8</f>
        <v>556</v>
      </c>
      <c r="G12" s="4">
        <f>'T06'!H8</f>
        <v>63</v>
      </c>
      <c r="H12" s="4">
        <f>'T06'!I8</f>
        <v>617</v>
      </c>
      <c r="I12" s="4">
        <f>'T06'!J8</f>
        <v>245</v>
      </c>
      <c r="J12" s="4">
        <f>'T06'!K8</f>
        <v>116</v>
      </c>
      <c r="K12" s="4">
        <f>'T06'!L8</f>
        <v>174</v>
      </c>
      <c r="L12" s="4">
        <f>'T06'!M8</f>
        <v>286</v>
      </c>
      <c r="M12" s="4">
        <f>'T06'!N8</f>
        <v>218</v>
      </c>
      <c r="N12" s="4">
        <f>'T06'!O8</f>
        <v>350</v>
      </c>
      <c r="O12" s="4">
        <f>'T06'!P8</f>
        <v>884</v>
      </c>
      <c r="P12" s="4">
        <f>'T06'!Q8</f>
        <v>247</v>
      </c>
      <c r="Q12" s="4">
        <f>'T06'!R8</f>
        <v>742</v>
      </c>
      <c r="R12" s="4">
        <f>'T06'!S8</f>
        <v>4</v>
      </c>
      <c r="S12" s="4">
        <f>'T06'!T8</f>
        <v>112</v>
      </c>
      <c r="T12" s="4">
        <f>'T06'!U8</f>
        <v>466</v>
      </c>
      <c r="U12" s="4">
        <f>'T06'!V8</f>
        <v>201</v>
      </c>
      <c r="V12" s="13">
        <f>SUM(B12:U12)</f>
        <v>9166</v>
      </c>
      <c r="W12" s="4"/>
      <c r="X12"/>
    </row>
    <row r="13" spans="1:24" s="31" customFormat="1" ht="13.5" customHeight="1" x14ac:dyDescent="0.2">
      <c r="A13" s="29" t="str">
        <f>'T06'!A9</f>
        <v>2013-14</v>
      </c>
      <c r="B13" s="4">
        <f>'T06'!C9</f>
        <v>2137</v>
      </c>
      <c r="C13" s="4">
        <f>'T06'!D9</f>
        <v>78</v>
      </c>
      <c r="D13" s="4">
        <f>'T06'!E9</f>
        <v>1066</v>
      </c>
      <c r="E13" s="4">
        <f>'T06'!F9</f>
        <v>149</v>
      </c>
      <c r="F13" s="4">
        <f>'T06'!G9</f>
        <v>454</v>
      </c>
      <c r="G13" s="4">
        <f>'T06'!H9</f>
        <v>59</v>
      </c>
      <c r="H13" s="4">
        <f>'T06'!I9</f>
        <v>667</v>
      </c>
      <c r="I13" s="4">
        <f>'T06'!J9</f>
        <v>277</v>
      </c>
      <c r="J13" s="4">
        <f>'T06'!K9</f>
        <v>103</v>
      </c>
      <c r="K13" s="4">
        <f>'T06'!L9</f>
        <v>192</v>
      </c>
      <c r="L13" s="4">
        <f>'T06'!M9</f>
        <v>252</v>
      </c>
      <c r="M13" s="4">
        <f>'T06'!N9</f>
        <v>248</v>
      </c>
      <c r="N13" s="4">
        <f>'T06'!O9</f>
        <v>365</v>
      </c>
      <c r="O13" s="4">
        <f>'T06'!P9</f>
        <v>1071</v>
      </c>
      <c r="P13" s="4">
        <f>'T06'!Q9</f>
        <v>418</v>
      </c>
      <c r="Q13" s="4">
        <f>'T06'!R9</f>
        <v>758</v>
      </c>
      <c r="R13" s="4">
        <f>'T06'!S9</f>
        <v>18</v>
      </c>
      <c r="S13" s="4">
        <f>'T06'!T9</f>
        <v>81</v>
      </c>
      <c r="T13" s="4">
        <f>'T06'!U9</f>
        <v>558</v>
      </c>
      <c r="U13" s="4">
        <f>'T06'!V9</f>
        <v>215</v>
      </c>
      <c r="V13" s="13">
        <f>SUM(B13:U13)</f>
        <v>9166</v>
      </c>
      <c r="W13" s="4"/>
      <c r="X13"/>
    </row>
    <row r="14" spans="1:24" ht="13.5" customHeight="1" x14ac:dyDescent="0.2">
      <c r="A14" s="29" t="str">
        <f>'T06'!A10</f>
        <v>2014-15</v>
      </c>
      <c r="B14" s="4">
        <f>'T06'!C10</f>
        <v>2293</v>
      </c>
      <c r="C14" s="4">
        <f>'T06'!D10</f>
        <v>96</v>
      </c>
      <c r="D14" s="4">
        <f>'T06'!E10</f>
        <v>1251</v>
      </c>
      <c r="E14" s="4">
        <f>'T06'!F10</f>
        <v>115</v>
      </c>
      <c r="F14" s="4">
        <f>'T06'!G10</f>
        <v>494</v>
      </c>
      <c r="G14" s="4">
        <f>'T06'!H10</f>
        <v>59</v>
      </c>
      <c r="H14" s="4">
        <f>'T06'!I10</f>
        <v>613</v>
      </c>
      <c r="I14" s="4">
        <f>'T06'!J10</f>
        <v>371</v>
      </c>
      <c r="J14" s="4">
        <f>'T06'!K10</f>
        <v>137</v>
      </c>
      <c r="K14" s="4">
        <f>'T06'!L10</f>
        <v>188</v>
      </c>
      <c r="L14" s="4">
        <f>'T06'!M10</f>
        <v>233</v>
      </c>
      <c r="M14" s="4">
        <f>'T06'!N10</f>
        <v>253</v>
      </c>
      <c r="N14" s="4">
        <f>'T06'!O10</f>
        <v>374</v>
      </c>
      <c r="O14" s="4">
        <f>'T06'!P10</f>
        <v>1776</v>
      </c>
      <c r="P14" s="4">
        <f>'T06'!Q10</f>
        <v>353</v>
      </c>
      <c r="Q14" s="4">
        <f>'T06'!R10</f>
        <v>1073</v>
      </c>
      <c r="R14" s="4">
        <f>'T06'!S10</f>
        <v>8</v>
      </c>
      <c r="S14" s="4">
        <f>'T06'!T10</f>
        <v>79</v>
      </c>
      <c r="T14" s="4">
        <f>'T06'!U10</f>
        <v>777</v>
      </c>
      <c r="U14" s="4">
        <f>'T06'!V10</f>
        <v>200</v>
      </c>
      <c r="V14" s="13">
        <f t="shared" si="0"/>
        <v>10743</v>
      </c>
      <c r="W14" s="4"/>
      <c r="X14"/>
    </row>
    <row r="15" spans="1:24" ht="13.5" customHeight="1" x14ac:dyDescent="0.2">
      <c r="A15" s="29" t="str">
        <f>'T06'!A11</f>
        <v>2015-16</v>
      </c>
      <c r="B15" s="4">
        <f>'T06'!C11</f>
        <v>2445</v>
      </c>
      <c r="C15" s="4">
        <f>'T06'!D11</f>
        <v>89</v>
      </c>
      <c r="D15" s="4">
        <f>'T06'!E11</f>
        <v>1488</v>
      </c>
      <c r="E15" s="4">
        <f>'T06'!F11</f>
        <v>174</v>
      </c>
      <c r="F15" s="4">
        <f>'T06'!G11</f>
        <v>524</v>
      </c>
      <c r="G15" s="4">
        <f>'T06'!H11</f>
        <v>51</v>
      </c>
      <c r="H15" s="4">
        <f>'T06'!I11</f>
        <v>652</v>
      </c>
      <c r="I15" s="4">
        <f>'T06'!J11</f>
        <v>520</v>
      </c>
      <c r="J15" s="4">
        <f>'T06'!K11</f>
        <v>131</v>
      </c>
      <c r="K15" s="4">
        <f>'T06'!L11</f>
        <v>183</v>
      </c>
      <c r="L15" s="4">
        <f>'T06'!M11</f>
        <v>222</v>
      </c>
      <c r="M15" s="4">
        <f>'T06'!N11</f>
        <v>283</v>
      </c>
      <c r="N15" s="4">
        <f>'T06'!O11</f>
        <v>384</v>
      </c>
      <c r="O15" s="4">
        <f>'T06'!P11</f>
        <v>2489</v>
      </c>
      <c r="P15" s="4">
        <f>'T06'!Q11</f>
        <v>403</v>
      </c>
      <c r="Q15" s="4">
        <f>'T06'!R11</f>
        <v>1324</v>
      </c>
      <c r="R15" s="4">
        <f>'T06'!S11</f>
        <v>8</v>
      </c>
      <c r="S15" s="4">
        <f>'T06'!T11</f>
        <v>76</v>
      </c>
      <c r="T15" s="4">
        <f>'T06'!U11</f>
        <v>1202</v>
      </c>
      <c r="U15" s="4">
        <f>'T06'!V11</f>
        <v>191</v>
      </c>
      <c r="V15" s="13">
        <f t="shared" si="0"/>
        <v>12839</v>
      </c>
      <c r="W15" s="4"/>
      <c r="X15"/>
    </row>
    <row r="16" spans="1:24" ht="13.5" customHeight="1" x14ac:dyDescent="0.2">
      <c r="A16" s="29" t="str">
        <f>'T06'!A12</f>
        <v>2016-17</v>
      </c>
      <c r="B16" s="4">
        <f>'T06'!C12</f>
        <v>2462</v>
      </c>
      <c r="C16" s="4">
        <f>'T06'!D12</f>
        <v>85</v>
      </c>
      <c r="D16" s="4">
        <f>'T06'!E12</f>
        <v>1005</v>
      </c>
      <c r="E16" s="4">
        <f>'T06'!F12</f>
        <v>118</v>
      </c>
      <c r="F16" s="4">
        <f>'T06'!G12</f>
        <v>541</v>
      </c>
      <c r="G16" s="4">
        <f>'T06'!H12</f>
        <v>71</v>
      </c>
      <c r="H16" s="4">
        <f>'T06'!I12</f>
        <v>695</v>
      </c>
      <c r="I16" s="4">
        <f>'T06'!J12</f>
        <v>538</v>
      </c>
      <c r="J16" s="4">
        <f>'T06'!K12</f>
        <v>168</v>
      </c>
      <c r="K16" s="4">
        <f>'T06'!L12</f>
        <v>193</v>
      </c>
      <c r="L16" s="4">
        <f>'T06'!M12</f>
        <v>255</v>
      </c>
      <c r="M16" s="4">
        <f>'T06'!N12</f>
        <v>273</v>
      </c>
      <c r="N16" s="4">
        <f>'T06'!O12</f>
        <v>402</v>
      </c>
      <c r="O16" s="4">
        <f>'T06'!P12</f>
        <v>2837</v>
      </c>
      <c r="P16" s="4">
        <f>'T06'!Q12</f>
        <v>216</v>
      </c>
      <c r="Q16" s="4">
        <f>'T06'!R12</f>
        <v>1118</v>
      </c>
      <c r="R16" s="4">
        <f>'T06'!S12</f>
        <v>7</v>
      </c>
      <c r="S16" s="4">
        <f>'T06'!T12</f>
        <v>72</v>
      </c>
      <c r="T16" s="4">
        <f>'T06'!U12</f>
        <v>1164</v>
      </c>
      <c r="U16" s="4">
        <f>'T06'!V12</f>
        <v>151</v>
      </c>
      <c r="V16" s="13">
        <f t="shared" si="0"/>
        <v>12371</v>
      </c>
      <c r="W16" s="4"/>
      <c r="X16"/>
    </row>
    <row r="17" spans="1:43" ht="13.5" customHeight="1" x14ac:dyDescent="0.2">
      <c r="A17" s="29" t="str">
        <f>'T06'!A13</f>
        <v>2017-18</v>
      </c>
      <c r="B17" s="4">
        <f>'T06'!C13</f>
        <v>2533</v>
      </c>
      <c r="C17" s="4">
        <f>'T06'!D13</f>
        <v>84</v>
      </c>
      <c r="D17" s="4">
        <f>'T06'!E13</f>
        <v>1302</v>
      </c>
      <c r="E17" s="4">
        <f>'T06'!F13</f>
        <v>146</v>
      </c>
      <c r="F17" s="4">
        <f>'T06'!G13</f>
        <v>555</v>
      </c>
      <c r="G17" s="4">
        <f>'T06'!H13</f>
        <v>84</v>
      </c>
      <c r="H17" s="4">
        <f>'T06'!I13</f>
        <v>717</v>
      </c>
      <c r="I17" s="4">
        <f>'T06'!J13</f>
        <v>487</v>
      </c>
      <c r="J17" s="4">
        <f>'T06'!K13</f>
        <v>156</v>
      </c>
      <c r="K17" s="4">
        <f>'T06'!L13</f>
        <v>192</v>
      </c>
      <c r="L17" s="4">
        <f>'T06'!M13</f>
        <v>196</v>
      </c>
      <c r="M17" s="4">
        <f>'T06'!N13</f>
        <v>262</v>
      </c>
      <c r="N17" s="4">
        <f>'T06'!O13</f>
        <v>416</v>
      </c>
      <c r="O17" s="4">
        <f>'T06'!P13</f>
        <v>3122</v>
      </c>
      <c r="P17" s="4">
        <f>'T06'!Q13</f>
        <v>294</v>
      </c>
      <c r="Q17" s="4">
        <f>'T06'!R13</f>
        <v>1213</v>
      </c>
      <c r="R17" s="4">
        <f>'T06'!S13</f>
        <v>3</v>
      </c>
      <c r="S17" s="4">
        <f>'T06'!T13</f>
        <v>77</v>
      </c>
      <c r="T17" s="4">
        <f>'T06'!U13</f>
        <v>1166</v>
      </c>
      <c r="U17" s="4">
        <f>'T06'!V13</f>
        <v>170</v>
      </c>
      <c r="V17" s="13">
        <f t="shared" ref="V17:V20" si="1">SUM(B17:U17)</f>
        <v>13175</v>
      </c>
      <c r="W17" s="4"/>
      <c r="X17"/>
    </row>
    <row r="18" spans="1:43" x14ac:dyDescent="0.2">
      <c r="A18" s="29" t="str">
        <f>'T06'!A14</f>
        <v>2018-19</v>
      </c>
      <c r="B18" s="4">
        <f>'T06'!C14</f>
        <v>2313</v>
      </c>
      <c r="C18" s="4">
        <f>'T06'!D14</f>
        <v>100</v>
      </c>
      <c r="D18" s="4">
        <f>'T06'!E14</f>
        <v>1156</v>
      </c>
      <c r="E18" s="4">
        <f>'T06'!F14</f>
        <v>172</v>
      </c>
      <c r="F18" s="4">
        <f>'T06'!G14</f>
        <v>494</v>
      </c>
      <c r="G18" s="4">
        <f>'T06'!H14</f>
        <v>76</v>
      </c>
      <c r="H18" s="4">
        <f>'T06'!I14</f>
        <v>793</v>
      </c>
      <c r="I18" s="4">
        <f>'T06'!J14</f>
        <v>463</v>
      </c>
      <c r="J18" s="4">
        <f>'T06'!K14</f>
        <v>233</v>
      </c>
      <c r="K18" s="4">
        <f>'T06'!L14</f>
        <v>184</v>
      </c>
      <c r="L18" s="4">
        <f>'T06'!M14</f>
        <v>108</v>
      </c>
      <c r="M18" s="4">
        <f>'T06'!N14</f>
        <v>277</v>
      </c>
      <c r="N18" s="4">
        <f>'T06'!O14</f>
        <v>440</v>
      </c>
      <c r="O18" s="4">
        <f>'T06'!P14</f>
        <v>3276</v>
      </c>
      <c r="P18" s="4">
        <f>'T06'!Q14</f>
        <v>385</v>
      </c>
      <c r="Q18" s="4">
        <f>'T06'!R14</f>
        <v>1128</v>
      </c>
      <c r="R18" s="4">
        <f>'T06'!S14</f>
        <v>4</v>
      </c>
      <c r="S18" s="4">
        <f>'T06'!T14</f>
        <v>54</v>
      </c>
      <c r="T18" s="4">
        <f>'T06'!U14</f>
        <v>1191</v>
      </c>
      <c r="U18" s="4">
        <f>'T06'!V14</f>
        <v>149</v>
      </c>
      <c r="V18" s="13">
        <f t="shared" si="1"/>
        <v>12996</v>
      </c>
      <c r="X18"/>
    </row>
    <row r="19" spans="1:43" x14ac:dyDescent="0.2">
      <c r="A19" s="29" t="str">
        <f>'T06'!A15</f>
        <v>2019-20</v>
      </c>
      <c r="B19" s="4">
        <f>'T06'!C15</f>
        <v>2372</v>
      </c>
      <c r="C19" s="4">
        <f>'T06'!D15</f>
        <v>107</v>
      </c>
      <c r="D19" s="4">
        <f>'T06'!E15</f>
        <v>1627</v>
      </c>
      <c r="E19" s="4">
        <f>'T06'!F15</f>
        <v>218</v>
      </c>
      <c r="F19" s="4">
        <f>'T06'!G15</f>
        <v>599</v>
      </c>
      <c r="G19" s="4">
        <f>'T06'!H15</f>
        <v>82</v>
      </c>
      <c r="H19" s="4">
        <f>'T06'!I15</f>
        <v>748</v>
      </c>
      <c r="I19" s="4">
        <f>'T06'!J15</f>
        <v>484</v>
      </c>
      <c r="J19" s="4">
        <f>'T06'!K15</f>
        <v>222</v>
      </c>
      <c r="K19" s="4">
        <f>'T06'!L15</f>
        <v>187</v>
      </c>
      <c r="L19" s="4">
        <f>'T06'!M15</f>
        <v>71</v>
      </c>
      <c r="M19" s="4">
        <f>'T06'!N15</f>
        <v>344</v>
      </c>
      <c r="N19" s="4">
        <f>'T06'!O15</f>
        <v>447</v>
      </c>
      <c r="O19" s="4">
        <f>'T06'!P15</f>
        <v>3992</v>
      </c>
      <c r="P19" s="4">
        <f>'T06'!Q15</f>
        <v>310</v>
      </c>
      <c r="Q19" s="4">
        <f>'T06'!R15</f>
        <v>1139</v>
      </c>
      <c r="R19" s="4">
        <f>'T06'!S15</f>
        <v>4</v>
      </c>
      <c r="S19" s="4">
        <f>'T06'!T15</f>
        <v>25</v>
      </c>
      <c r="T19" s="4">
        <f>'T06'!U15</f>
        <v>1259</v>
      </c>
      <c r="U19" s="4">
        <f>'T06'!V15</f>
        <v>160</v>
      </c>
      <c r="V19" s="13">
        <f t="shared" si="1"/>
        <v>14397</v>
      </c>
      <c r="X19"/>
    </row>
    <row r="20" spans="1:43" ht="13.5" thickBot="1" x14ac:dyDescent="0.25">
      <c r="A20" s="380" t="str">
        <f>'T06'!A16</f>
        <v>2020-21</v>
      </c>
      <c r="B20" s="349">
        <f>'T06'!C16</f>
        <v>1596</v>
      </c>
      <c r="C20" s="349">
        <f>'T06'!D16</f>
        <v>86</v>
      </c>
      <c r="D20" s="349">
        <f>'T06'!E16</f>
        <v>1617</v>
      </c>
      <c r="E20" s="349">
        <f>'T06'!F16</f>
        <v>230</v>
      </c>
      <c r="F20" s="349">
        <f>'T06'!G16</f>
        <v>631</v>
      </c>
      <c r="G20" s="349">
        <f>'T06'!H16</f>
        <v>109</v>
      </c>
      <c r="H20" s="349">
        <f>'T06'!I16</f>
        <v>415</v>
      </c>
      <c r="I20" s="349">
        <f>'T06'!J16</f>
        <v>342</v>
      </c>
      <c r="J20" s="349">
        <f>'T06'!K16</f>
        <v>210</v>
      </c>
      <c r="K20" s="349">
        <f>'T06'!L16</f>
        <v>158</v>
      </c>
      <c r="L20" s="349">
        <f>'T06'!M16</f>
        <v>81</v>
      </c>
      <c r="M20" s="349">
        <f>'T06'!N16</f>
        <v>392</v>
      </c>
      <c r="N20" s="349">
        <f>'T06'!O16</f>
        <v>470</v>
      </c>
      <c r="O20" s="349">
        <f>'T06'!P16</f>
        <v>3735</v>
      </c>
      <c r="P20" s="349">
        <f>'T06'!Q16</f>
        <v>326</v>
      </c>
      <c r="Q20" s="349">
        <f>'T06'!R16</f>
        <v>923</v>
      </c>
      <c r="R20" s="349">
        <f>'T06'!S16</f>
        <v>3</v>
      </c>
      <c r="S20" s="349">
        <f>'T06'!T16</f>
        <v>18</v>
      </c>
      <c r="T20" s="349">
        <f>'T06'!U16</f>
        <v>1161</v>
      </c>
      <c r="U20" s="349">
        <f>'T06'!V16</f>
        <v>190</v>
      </c>
      <c r="V20" s="350">
        <f t="shared" si="1"/>
        <v>12693</v>
      </c>
      <c r="X20"/>
    </row>
    <row r="21" spans="1:43" ht="15" x14ac:dyDescent="0.2">
      <c r="A21" s="29"/>
      <c r="B21" s="601"/>
      <c r="C21" s="601"/>
      <c r="D21" s="601"/>
      <c r="E21" s="601"/>
      <c r="F21" s="601"/>
      <c r="G21" s="601"/>
      <c r="H21" s="601"/>
      <c r="I21" s="601"/>
      <c r="J21" s="604"/>
      <c r="K21" s="601"/>
      <c r="L21" s="601"/>
      <c r="M21" s="601"/>
      <c r="N21" s="601"/>
      <c r="O21" s="601"/>
      <c r="P21" s="601"/>
      <c r="Q21" s="601"/>
      <c r="R21" s="601"/>
      <c r="S21" s="601"/>
      <c r="T21" s="601"/>
      <c r="U21" s="601"/>
      <c r="V21" s="601"/>
      <c r="X21"/>
    </row>
    <row r="22" spans="1:43" x14ac:dyDescent="0.2">
      <c r="A22" s="1273" t="str">
        <f>"One Year Change " &amp; A19 &amp; " to " &amp; A20</f>
        <v>One Year Change 2019-20 to 2020-21</v>
      </c>
      <c r="B22" s="1273"/>
      <c r="C22" s="1273"/>
      <c r="D22" s="615"/>
      <c r="E22" s="615"/>
      <c r="F22" s="615"/>
      <c r="G22" s="608"/>
      <c r="H22" s="608"/>
      <c r="I22" s="608"/>
      <c r="J22" s="608"/>
      <c r="K22" s="608"/>
      <c r="L22" s="608"/>
      <c r="M22" s="608"/>
      <c r="N22" s="608"/>
      <c r="O22" s="608"/>
      <c r="P22" s="608"/>
      <c r="Q22" s="608"/>
      <c r="R22" s="608"/>
      <c r="S22" s="608"/>
      <c r="T22" s="608"/>
      <c r="U22" s="608"/>
      <c r="V22" s="35"/>
      <c r="X22"/>
    </row>
    <row r="23" spans="1:43" x14ac:dyDescent="0.2">
      <c r="A23" s="617" t="s">
        <v>0</v>
      </c>
      <c r="B23" s="618">
        <f>B20-B19</f>
        <v>-776</v>
      </c>
      <c r="C23" s="618">
        <f t="shared" ref="C23:V23" si="2">C20-C19</f>
        <v>-21</v>
      </c>
      <c r="D23" s="618">
        <f t="shared" si="2"/>
        <v>-10</v>
      </c>
      <c r="E23" s="618">
        <f t="shared" si="2"/>
        <v>12</v>
      </c>
      <c r="F23" s="618">
        <f t="shared" si="2"/>
        <v>32</v>
      </c>
      <c r="G23" s="618">
        <f t="shared" si="2"/>
        <v>27</v>
      </c>
      <c r="H23" s="618">
        <f t="shared" si="2"/>
        <v>-333</v>
      </c>
      <c r="I23" s="618">
        <f t="shared" si="2"/>
        <v>-142</v>
      </c>
      <c r="J23" s="618">
        <f t="shared" si="2"/>
        <v>-12</v>
      </c>
      <c r="K23" s="618">
        <f t="shared" si="2"/>
        <v>-29</v>
      </c>
      <c r="L23" s="618">
        <f t="shared" si="2"/>
        <v>10</v>
      </c>
      <c r="M23" s="618">
        <f t="shared" si="2"/>
        <v>48</v>
      </c>
      <c r="N23" s="618">
        <f t="shared" si="2"/>
        <v>23</v>
      </c>
      <c r="O23" s="618">
        <f t="shared" si="2"/>
        <v>-257</v>
      </c>
      <c r="P23" s="618">
        <f t="shared" si="2"/>
        <v>16</v>
      </c>
      <c r="Q23" s="618">
        <f t="shared" si="2"/>
        <v>-216</v>
      </c>
      <c r="R23" s="618">
        <f t="shared" si="2"/>
        <v>-1</v>
      </c>
      <c r="S23" s="618">
        <f t="shared" si="2"/>
        <v>-7</v>
      </c>
      <c r="T23" s="618">
        <f t="shared" si="2"/>
        <v>-98</v>
      </c>
      <c r="U23" s="618">
        <f t="shared" si="2"/>
        <v>30</v>
      </c>
      <c r="V23" s="618">
        <f t="shared" si="2"/>
        <v>-1704</v>
      </c>
      <c r="X23"/>
    </row>
    <row r="24" spans="1:43" ht="13.5" thickBot="1" x14ac:dyDescent="0.25">
      <c r="A24" s="619" t="s">
        <v>62</v>
      </c>
      <c r="B24" s="620">
        <f>B23/B19</f>
        <v>-0.32715008431703202</v>
      </c>
      <c r="C24" s="620">
        <f t="shared" ref="C24:V24" si="3">C23/C19</f>
        <v>-0.19626168224299065</v>
      </c>
      <c r="D24" s="620">
        <f t="shared" si="3"/>
        <v>-6.1462814996926856E-3</v>
      </c>
      <c r="E24" s="620">
        <f t="shared" si="3"/>
        <v>5.5045871559633031E-2</v>
      </c>
      <c r="F24" s="620">
        <f t="shared" si="3"/>
        <v>5.3422370617696162E-2</v>
      </c>
      <c r="G24" s="620">
        <f t="shared" si="3"/>
        <v>0.32926829268292684</v>
      </c>
      <c r="H24" s="620">
        <f t="shared" si="3"/>
        <v>-0.44518716577540107</v>
      </c>
      <c r="I24" s="620">
        <f t="shared" si="3"/>
        <v>-0.29338842975206614</v>
      </c>
      <c r="J24" s="620">
        <f t="shared" si="3"/>
        <v>-5.4054054054054057E-2</v>
      </c>
      <c r="K24" s="620">
        <f t="shared" si="3"/>
        <v>-0.15508021390374332</v>
      </c>
      <c r="L24" s="620">
        <f t="shared" si="3"/>
        <v>0.14084507042253522</v>
      </c>
      <c r="M24" s="620">
        <f t="shared" si="3"/>
        <v>0.13953488372093023</v>
      </c>
      <c r="N24" s="620">
        <f t="shared" si="3"/>
        <v>5.145413870246085E-2</v>
      </c>
      <c r="O24" s="620">
        <f>O23/O19</f>
        <v>-6.4378757515030055E-2</v>
      </c>
      <c r="P24" s="620">
        <f t="shared" si="3"/>
        <v>5.1612903225806452E-2</v>
      </c>
      <c r="Q24" s="620">
        <f t="shared" si="3"/>
        <v>-0.18964003511852504</v>
      </c>
      <c r="R24" s="620">
        <f t="shared" si="3"/>
        <v>-0.25</v>
      </c>
      <c r="S24" s="620">
        <f t="shared" si="3"/>
        <v>-0.28000000000000003</v>
      </c>
      <c r="T24" s="620">
        <f t="shared" si="3"/>
        <v>-7.7839555202541696E-2</v>
      </c>
      <c r="U24" s="620">
        <f t="shared" si="3"/>
        <v>0.1875</v>
      </c>
      <c r="V24" s="620">
        <f t="shared" si="3"/>
        <v>-0.1183579912481767</v>
      </c>
      <c r="W24"/>
      <c r="X24"/>
      <c r="Y24"/>
      <c r="Z24"/>
      <c r="AA24"/>
      <c r="AB24"/>
      <c r="AC24"/>
      <c r="AD24"/>
      <c r="AE24"/>
      <c r="AF24"/>
      <c r="AG24"/>
      <c r="AH24"/>
      <c r="AI24"/>
      <c r="AJ24"/>
      <c r="AK24"/>
      <c r="AL24"/>
      <c r="AM24"/>
      <c r="AN24"/>
      <c r="AO24"/>
      <c r="AP24"/>
      <c r="AQ24"/>
    </row>
    <row r="25" spans="1:43" x14ac:dyDescent="0.2">
      <c r="B25" s="96"/>
      <c r="C25" s="96"/>
      <c r="D25" s="96"/>
      <c r="E25" s="96"/>
      <c r="F25" s="96"/>
      <c r="G25" s="96"/>
      <c r="H25" s="96"/>
      <c r="U25"/>
      <c r="V25"/>
      <c r="W25"/>
      <c r="X25"/>
      <c r="Y25"/>
      <c r="Z25"/>
      <c r="AA25"/>
      <c r="AB25"/>
      <c r="AC25"/>
      <c r="AD25"/>
      <c r="AE25"/>
      <c r="AF25"/>
      <c r="AG25"/>
      <c r="AH25"/>
      <c r="AI25"/>
      <c r="AJ25"/>
      <c r="AK25"/>
      <c r="AL25"/>
      <c r="AM25"/>
      <c r="AN25"/>
      <c r="AO25"/>
      <c r="AP25"/>
      <c r="AQ25"/>
    </row>
    <row r="26" spans="1:43" x14ac:dyDescent="0.2">
      <c r="A26" s="1116" t="s">
        <v>146</v>
      </c>
      <c r="U26"/>
      <c r="V26"/>
      <c r="W26"/>
      <c r="X26"/>
      <c r="Y26"/>
      <c r="Z26"/>
      <c r="AA26"/>
      <c r="AB26"/>
      <c r="AC26"/>
      <c r="AD26"/>
      <c r="AE26"/>
      <c r="AF26"/>
      <c r="AG26"/>
      <c r="AH26"/>
      <c r="AI26"/>
      <c r="AJ26"/>
      <c r="AK26"/>
      <c r="AL26"/>
      <c r="AM26"/>
      <c r="AN26"/>
      <c r="AO26"/>
      <c r="AP26"/>
      <c r="AQ26"/>
    </row>
    <row r="27" spans="1:43" x14ac:dyDescent="0.2">
      <c r="A27" t="s">
        <v>1557</v>
      </c>
      <c r="U27"/>
      <c r="V27"/>
      <c r="W27"/>
      <c r="X27"/>
      <c r="Y27"/>
      <c r="Z27"/>
      <c r="AA27"/>
      <c r="AB27"/>
      <c r="AC27"/>
      <c r="AD27"/>
      <c r="AE27"/>
      <c r="AF27"/>
      <c r="AG27"/>
      <c r="AH27"/>
      <c r="AI27"/>
      <c r="AJ27"/>
      <c r="AK27"/>
      <c r="AL27"/>
      <c r="AM27"/>
      <c r="AN27"/>
      <c r="AO27"/>
      <c r="AP27"/>
      <c r="AQ27"/>
    </row>
    <row r="28" spans="1:43" x14ac:dyDescent="0.2">
      <c r="U28"/>
      <c r="V28"/>
      <c r="W28"/>
      <c r="X28"/>
      <c r="Y28"/>
      <c r="Z28"/>
      <c r="AA28"/>
      <c r="AB28"/>
      <c r="AC28"/>
      <c r="AD28"/>
      <c r="AE28"/>
      <c r="AF28"/>
      <c r="AG28"/>
      <c r="AH28"/>
      <c r="AI28"/>
      <c r="AJ28"/>
      <c r="AK28"/>
      <c r="AL28"/>
      <c r="AM28"/>
      <c r="AN28"/>
      <c r="AO28"/>
      <c r="AP28"/>
      <c r="AQ28"/>
    </row>
    <row r="29" spans="1:43" x14ac:dyDescent="0.2">
      <c r="U29"/>
      <c r="V29"/>
      <c r="W29"/>
      <c r="X29"/>
      <c r="Y29"/>
      <c r="Z29"/>
      <c r="AA29"/>
      <c r="AB29"/>
      <c r="AC29"/>
      <c r="AD29"/>
      <c r="AE29"/>
      <c r="AF29"/>
      <c r="AG29"/>
      <c r="AH29"/>
      <c r="AI29"/>
      <c r="AJ29"/>
      <c r="AK29"/>
      <c r="AL29"/>
      <c r="AM29"/>
      <c r="AN29"/>
      <c r="AO29"/>
      <c r="AP29"/>
      <c r="AQ29"/>
    </row>
    <row r="30" spans="1:43" x14ac:dyDescent="0.2">
      <c r="U30"/>
      <c r="V30"/>
      <c r="W30"/>
      <c r="X30"/>
      <c r="Y30"/>
      <c r="Z30"/>
      <c r="AA30"/>
      <c r="AB30"/>
      <c r="AC30"/>
      <c r="AD30"/>
      <c r="AE30"/>
      <c r="AF30"/>
      <c r="AG30"/>
      <c r="AH30"/>
      <c r="AI30"/>
      <c r="AJ30"/>
      <c r="AK30"/>
      <c r="AL30"/>
      <c r="AM30"/>
      <c r="AN30"/>
      <c r="AO30"/>
      <c r="AP30"/>
      <c r="AQ30"/>
    </row>
    <row r="31" spans="1:43" x14ac:dyDescent="0.2">
      <c r="U31"/>
      <c r="V31"/>
      <c r="W31"/>
      <c r="X31"/>
      <c r="Y31"/>
      <c r="Z31"/>
      <c r="AA31"/>
      <c r="AB31"/>
      <c r="AC31"/>
      <c r="AD31"/>
      <c r="AE31"/>
      <c r="AF31"/>
      <c r="AG31"/>
      <c r="AH31"/>
      <c r="AI31"/>
      <c r="AJ31"/>
      <c r="AK31"/>
      <c r="AL31"/>
      <c r="AM31"/>
      <c r="AN31"/>
      <c r="AO31"/>
      <c r="AP31"/>
      <c r="AQ31"/>
    </row>
    <row r="32" spans="1:43" x14ac:dyDescent="0.2">
      <c r="U32"/>
      <c r="V32"/>
      <c r="W32"/>
      <c r="X32"/>
      <c r="Y32"/>
      <c r="Z32"/>
      <c r="AA32"/>
      <c r="AB32"/>
      <c r="AC32"/>
      <c r="AD32"/>
      <c r="AE32"/>
      <c r="AF32"/>
      <c r="AG32"/>
      <c r="AH32"/>
      <c r="AI32"/>
      <c r="AJ32"/>
      <c r="AK32"/>
      <c r="AL32"/>
      <c r="AM32"/>
      <c r="AN32"/>
      <c r="AO32"/>
      <c r="AP32"/>
      <c r="AQ32"/>
    </row>
    <row r="33" spans="21:43" x14ac:dyDescent="0.2">
      <c r="U33"/>
      <c r="V33"/>
      <c r="W33"/>
      <c r="X33"/>
      <c r="Y33"/>
      <c r="Z33"/>
      <c r="AA33"/>
      <c r="AB33"/>
      <c r="AC33"/>
      <c r="AD33"/>
      <c r="AE33"/>
      <c r="AF33"/>
      <c r="AG33"/>
      <c r="AH33"/>
      <c r="AI33"/>
      <c r="AJ33"/>
      <c r="AK33"/>
      <c r="AL33"/>
      <c r="AM33"/>
      <c r="AN33"/>
      <c r="AO33"/>
      <c r="AP33"/>
      <c r="AQ33"/>
    </row>
    <row r="34" spans="21:43" x14ac:dyDescent="0.2">
      <c r="U34"/>
      <c r="V34"/>
      <c r="W34"/>
      <c r="X34"/>
      <c r="Y34"/>
      <c r="Z34"/>
      <c r="AA34"/>
      <c r="AB34"/>
      <c r="AC34"/>
      <c r="AD34"/>
      <c r="AE34"/>
      <c r="AF34"/>
      <c r="AG34"/>
      <c r="AH34"/>
      <c r="AI34"/>
      <c r="AJ34"/>
      <c r="AK34"/>
      <c r="AL34"/>
      <c r="AM34"/>
      <c r="AN34"/>
      <c r="AO34"/>
      <c r="AP34"/>
      <c r="AQ34"/>
    </row>
    <row r="35" spans="21:43" customFormat="1" x14ac:dyDescent="0.2"/>
    <row r="36" spans="21:43" x14ac:dyDescent="0.2">
      <c r="U36"/>
      <c r="V36"/>
      <c r="W36"/>
      <c r="X36"/>
      <c r="Y36"/>
      <c r="Z36"/>
      <c r="AA36"/>
      <c r="AB36"/>
      <c r="AC36"/>
      <c r="AD36"/>
      <c r="AE36"/>
      <c r="AF36"/>
      <c r="AG36"/>
      <c r="AH36"/>
      <c r="AI36"/>
      <c r="AJ36"/>
      <c r="AK36"/>
      <c r="AL36"/>
      <c r="AM36"/>
      <c r="AN36"/>
      <c r="AO36"/>
      <c r="AP36"/>
      <c r="AQ36"/>
    </row>
    <row r="37" spans="21:43" customFormat="1" x14ac:dyDescent="0.2"/>
    <row r="38" spans="21:43" x14ac:dyDescent="0.2">
      <c r="U38"/>
      <c r="V38"/>
      <c r="W38"/>
      <c r="X38"/>
      <c r="Y38"/>
      <c r="Z38"/>
      <c r="AA38"/>
      <c r="AB38"/>
      <c r="AC38"/>
      <c r="AD38"/>
      <c r="AE38"/>
      <c r="AF38"/>
      <c r="AG38"/>
      <c r="AH38"/>
      <c r="AI38"/>
      <c r="AJ38"/>
      <c r="AK38"/>
      <c r="AL38"/>
      <c r="AM38"/>
      <c r="AN38"/>
      <c r="AO38"/>
      <c r="AP38"/>
      <c r="AQ38"/>
    </row>
    <row r="39" spans="21:43" x14ac:dyDescent="0.2">
      <c r="U39"/>
      <c r="V39"/>
      <c r="W39"/>
      <c r="X39"/>
      <c r="Y39"/>
      <c r="Z39"/>
      <c r="AA39"/>
      <c r="AB39"/>
      <c r="AC39"/>
      <c r="AD39"/>
      <c r="AE39"/>
      <c r="AF39"/>
      <c r="AG39"/>
      <c r="AH39"/>
      <c r="AI39"/>
      <c r="AJ39"/>
      <c r="AK39"/>
      <c r="AL39"/>
      <c r="AM39"/>
      <c r="AN39"/>
      <c r="AO39"/>
      <c r="AP39"/>
      <c r="AQ39"/>
    </row>
    <row r="40" spans="21:43" x14ac:dyDescent="0.2">
      <c r="U40"/>
      <c r="V40"/>
      <c r="W40"/>
      <c r="X40"/>
      <c r="Y40"/>
      <c r="Z40"/>
      <c r="AA40"/>
      <c r="AB40"/>
      <c r="AC40"/>
      <c r="AD40"/>
      <c r="AE40"/>
      <c r="AF40"/>
      <c r="AG40"/>
      <c r="AH40"/>
      <c r="AI40"/>
      <c r="AJ40"/>
      <c r="AK40"/>
      <c r="AL40"/>
      <c r="AM40"/>
      <c r="AN40"/>
      <c r="AO40"/>
      <c r="AP40"/>
      <c r="AQ40"/>
    </row>
    <row r="41" spans="21:43" x14ac:dyDescent="0.2">
      <c r="U41"/>
      <c r="V41"/>
      <c r="W41"/>
      <c r="X41"/>
      <c r="Y41"/>
      <c r="Z41"/>
      <c r="AA41"/>
      <c r="AB41"/>
      <c r="AC41"/>
      <c r="AD41"/>
      <c r="AE41"/>
      <c r="AF41"/>
      <c r="AG41"/>
      <c r="AH41"/>
      <c r="AI41"/>
      <c r="AJ41"/>
      <c r="AK41"/>
      <c r="AL41"/>
      <c r="AM41"/>
      <c r="AN41"/>
      <c r="AO41"/>
      <c r="AP41"/>
      <c r="AQ41"/>
    </row>
    <row r="42" spans="21:43" x14ac:dyDescent="0.2">
      <c r="U42"/>
      <c r="V42"/>
      <c r="W42"/>
      <c r="X42"/>
      <c r="Y42"/>
      <c r="Z42"/>
      <c r="AA42"/>
      <c r="AB42"/>
      <c r="AC42"/>
      <c r="AD42"/>
      <c r="AE42"/>
      <c r="AF42"/>
      <c r="AG42"/>
      <c r="AH42"/>
      <c r="AI42"/>
      <c r="AJ42"/>
      <c r="AK42"/>
      <c r="AL42"/>
      <c r="AM42"/>
      <c r="AN42"/>
      <c r="AO42"/>
      <c r="AP42"/>
      <c r="AQ42"/>
    </row>
    <row r="43" spans="21:43" x14ac:dyDescent="0.2">
      <c r="U43"/>
      <c r="V43"/>
      <c r="W43"/>
      <c r="X43"/>
      <c r="Y43"/>
      <c r="Z43"/>
      <c r="AA43"/>
      <c r="AB43"/>
      <c r="AC43"/>
      <c r="AD43"/>
      <c r="AE43"/>
      <c r="AF43"/>
      <c r="AG43"/>
      <c r="AH43"/>
      <c r="AI43"/>
      <c r="AJ43"/>
      <c r="AK43"/>
      <c r="AL43"/>
      <c r="AM43"/>
      <c r="AN43"/>
      <c r="AO43"/>
      <c r="AP43"/>
      <c r="AQ43"/>
    </row>
    <row r="44" spans="21:43" x14ac:dyDescent="0.2">
      <c r="U44"/>
      <c r="V44"/>
      <c r="W44"/>
      <c r="X44"/>
      <c r="Y44"/>
      <c r="Z44"/>
      <c r="AA44"/>
      <c r="AB44"/>
      <c r="AC44"/>
      <c r="AD44"/>
      <c r="AE44"/>
      <c r="AF44"/>
      <c r="AG44"/>
      <c r="AH44"/>
      <c r="AI44"/>
      <c r="AJ44"/>
      <c r="AK44"/>
      <c r="AL44"/>
      <c r="AM44"/>
      <c r="AN44"/>
      <c r="AO44"/>
      <c r="AP44"/>
      <c r="AQ44"/>
    </row>
    <row r="45" spans="21:43" x14ac:dyDescent="0.2">
      <c r="U45"/>
      <c r="V45"/>
      <c r="W45"/>
      <c r="X45"/>
      <c r="Y45"/>
      <c r="Z45"/>
      <c r="AA45"/>
      <c r="AB45"/>
      <c r="AC45"/>
      <c r="AD45"/>
      <c r="AE45"/>
      <c r="AF45"/>
      <c r="AG45"/>
      <c r="AH45"/>
      <c r="AI45"/>
      <c r="AJ45"/>
      <c r="AK45"/>
      <c r="AL45"/>
      <c r="AM45"/>
      <c r="AN45"/>
      <c r="AO45"/>
      <c r="AP45"/>
      <c r="AQ45"/>
    </row>
    <row r="46" spans="21:43" x14ac:dyDescent="0.2">
      <c r="U46"/>
      <c r="V46"/>
      <c r="W46"/>
      <c r="X46"/>
      <c r="Y46"/>
      <c r="Z46"/>
      <c r="AA46"/>
      <c r="AB46"/>
      <c r="AC46"/>
      <c r="AD46"/>
      <c r="AE46"/>
      <c r="AF46"/>
      <c r="AG46"/>
      <c r="AH46"/>
      <c r="AI46"/>
      <c r="AJ46"/>
      <c r="AK46"/>
      <c r="AL46"/>
      <c r="AM46"/>
      <c r="AN46"/>
      <c r="AO46"/>
      <c r="AP46"/>
      <c r="AQ46"/>
    </row>
    <row r="47" spans="21:43" x14ac:dyDescent="0.2">
      <c r="U47"/>
      <c r="V47"/>
      <c r="W47"/>
      <c r="X47"/>
      <c r="Y47"/>
      <c r="Z47"/>
      <c r="AA47"/>
      <c r="AB47"/>
      <c r="AC47"/>
      <c r="AD47"/>
      <c r="AE47"/>
      <c r="AF47"/>
      <c r="AG47"/>
      <c r="AH47"/>
      <c r="AI47"/>
      <c r="AJ47"/>
      <c r="AK47"/>
      <c r="AL47"/>
      <c r="AM47"/>
      <c r="AN47"/>
      <c r="AO47"/>
      <c r="AP47"/>
      <c r="AQ47"/>
    </row>
    <row r="48" spans="21:43" x14ac:dyDescent="0.2">
      <c r="U48"/>
      <c r="V48"/>
      <c r="W48"/>
      <c r="X48"/>
      <c r="Y48"/>
      <c r="Z48"/>
      <c r="AA48"/>
      <c r="AB48"/>
      <c r="AC48"/>
      <c r="AD48"/>
      <c r="AE48"/>
      <c r="AF48"/>
      <c r="AG48"/>
      <c r="AH48"/>
      <c r="AI48"/>
      <c r="AJ48"/>
      <c r="AK48"/>
      <c r="AL48"/>
      <c r="AM48"/>
      <c r="AN48"/>
      <c r="AO48"/>
      <c r="AP48"/>
      <c r="AQ48"/>
    </row>
    <row r="49" spans="21:43" x14ac:dyDescent="0.2">
      <c r="U49"/>
      <c r="V49"/>
      <c r="W49"/>
      <c r="X49"/>
      <c r="Y49"/>
      <c r="Z49"/>
      <c r="AA49"/>
      <c r="AB49"/>
      <c r="AC49"/>
      <c r="AD49"/>
      <c r="AE49"/>
      <c r="AF49"/>
      <c r="AG49"/>
      <c r="AH49"/>
      <c r="AI49"/>
      <c r="AJ49"/>
      <c r="AK49"/>
      <c r="AL49"/>
      <c r="AM49"/>
      <c r="AN49"/>
      <c r="AO49"/>
      <c r="AP49"/>
      <c r="AQ49"/>
    </row>
    <row r="50" spans="21:43" x14ac:dyDescent="0.2">
      <c r="U50"/>
      <c r="V50"/>
      <c r="W50"/>
      <c r="X50"/>
      <c r="Y50"/>
      <c r="Z50"/>
      <c r="AA50"/>
      <c r="AB50"/>
      <c r="AC50"/>
      <c r="AD50"/>
      <c r="AE50"/>
      <c r="AF50"/>
      <c r="AG50"/>
      <c r="AH50"/>
      <c r="AI50"/>
      <c r="AJ50"/>
      <c r="AK50"/>
      <c r="AL50"/>
      <c r="AM50"/>
      <c r="AN50"/>
      <c r="AO50"/>
      <c r="AP50"/>
      <c r="AQ50"/>
    </row>
    <row r="51" spans="21:43" x14ac:dyDescent="0.2">
      <c r="U51"/>
      <c r="V51"/>
      <c r="W51"/>
      <c r="X51"/>
      <c r="Y51"/>
      <c r="Z51"/>
      <c r="AA51"/>
      <c r="AB51"/>
      <c r="AC51"/>
      <c r="AD51"/>
      <c r="AE51"/>
      <c r="AF51"/>
      <c r="AG51"/>
      <c r="AH51"/>
      <c r="AI51"/>
      <c r="AJ51"/>
      <c r="AK51"/>
      <c r="AL51"/>
      <c r="AM51"/>
      <c r="AN51"/>
      <c r="AO51"/>
      <c r="AP51"/>
      <c r="AQ51"/>
    </row>
    <row r="52" spans="21:43" x14ac:dyDescent="0.2">
      <c r="U52"/>
      <c r="V52"/>
      <c r="W52"/>
      <c r="X52"/>
      <c r="Y52"/>
      <c r="Z52"/>
      <c r="AA52"/>
      <c r="AB52"/>
      <c r="AC52"/>
      <c r="AD52"/>
      <c r="AE52"/>
      <c r="AF52"/>
      <c r="AG52"/>
      <c r="AH52"/>
      <c r="AI52"/>
      <c r="AJ52"/>
      <c r="AK52"/>
      <c r="AL52"/>
      <c r="AM52"/>
      <c r="AN52"/>
      <c r="AO52"/>
      <c r="AP52"/>
      <c r="AQ52"/>
    </row>
    <row r="53" spans="21:43" x14ac:dyDescent="0.2">
      <c r="U53"/>
      <c r="V53"/>
      <c r="W53"/>
      <c r="X53"/>
      <c r="Y53"/>
      <c r="Z53"/>
      <c r="AA53"/>
      <c r="AB53"/>
      <c r="AC53"/>
      <c r="AD53"/>
      <c r="AE53"/>
      <c r="AF53"/>
      <c r="AG53"/>
      <c r="AH53"/>
      <c r="AI53"/>
      <c r="AJ53"/>
      <c r="AK53"/>
      <c r="AL53"/>
      <c r="AM53"/>
      <c r="AN53"/>
      <c r="AO53"/>
      <c r="AP53"/>
      <c r="AQ53"/>
    </row>
    <row r="54" spans="21:43" x14ac:dyDescent="0.2">
      <c r="U54"/>
      <c r="V54"/>
      <c r="W54"/>
      <c r="X54"/>
      <c r="Y54"/>
      <c r="Z54"/>
      <c r="AA54"/>
      <c r="AB54"/>
      <c r="AC54"/>
      <c r="AD54"/>
      <c r="AE54"/>
      <c r="AF54"/>
      <c r="AG54"/>
      <c r="AH54"/>
      <c r="AI54"/>
      <c r="AJ54"/>
      <c r="AK54"/>
      <c r="AL54"/>
      <c r="AM54"/>
      <c r="AN54"/>
      <c r="AO54"/>
      <c r="AP54"/>
      <c r="AQ54"/>
    </row>
    <row r="55" spans="21:43" x14ac:dyDescent="0.2">
      <c r="W55"/>
      <c r="X55"/>
      <c r="Y55"/>
      <c r="Z55"/>
      <c r="AA55"/>
      <c r="AB55"/>
      <c r="AC55"/>
      <c r="AD55"/>
      <c r="AE55"/>
      <c r="AF55"/>
      <c r="AG55"/>
      <c r="AH55"/>
      <c r="AI55"/>
      <c r="AJ55"/>
      <c r="AK55"/>
      <c r="AL55"/>
      <c r="AM55"/>
      <c r="AN55"/>
      <c r="AO55"/>
      <c r="AP55"/>
      <c r="AQ55"/>
    </row>
    <row r="56" spans="21:43" x14ac:dyDescent="0.2">
      <c r="W56" s="253"/>
    </row>
    <row r="57" spans="21:43" x14ac:dyDescent="0.2">
      <c r="W57" s="253"/>
    </row>
    <row r="58" spans="21:43" x14ac:dyDescent="0.2">
      <c r="W58" s="253"/>
    </row>
    <row r="59" spans="21:43" x14ac:dyDescent="0.2">
      <c r="W59" s="253"/>
    </row>
    <row r="60" spans="21:43" x14ac:dyDescent="0.2">
      <c r="W60" s="253"/>
    </row>
    <row r="61" spans="21:43" x14ac:dyDescent="0.2">
      <c r="W61" s="253"/>
    </row>
    <row r="62" spans="21:43" x14ac:dyDescent="0.2">
      <c r="W62" s="253"/>
    </row>
    <row r="63" spans="21:43" x14ac:dyDescent="0.2">
      <c r="W63" s="253"/>
    </row>
    <row r="64" spans="21:43" x14ac:dyDescent="0.2">
      <c r="W64" s="253"/>
    </row>
    <row r="65" spans="23:23" x14ac:dyDescent="0.2">
      <c r="W65" s="253"/>
    </row>
    <row r="66" spans="23:23" x14ac:dyDescent="0.2">
      <c r="W66" s="253"/>
    </row>
    <row r="67" spans="23:23" x14ac:dyDescent="0.2">
      <c r="W67" s="253"/>
    </row>
    <row r="68" spans="23:23" x14ac:dyDescent="0.2">
      <c r="W68" s="253"/>
    </row>
    <row r="69" spans="23:23" x14ac:dyDescent="0.2">
      <c r="W69" s="253"/>
    </row>
    <row r="70" spans="23:23" x14ac:dyDescent="0.2">
      <c r="W70" s="253"/>
    </row>
    <row r="71" spans="23:23" x14ac:dyDescent="0.2">
      <c r="W71" s="253"/>
    </row>
    <row r="72" spans="23:23" x14ac:dyDescent="0.2">
      <c r="W72" s="253"/>
    </row>
    <row r="73" spans="23:23" x14ac:dyDescent="0.2">
      <c r="W73" s="253"/>
    </row>
    <row r="74" spans="23:23" x14ac:dyDescent="0.2">
      <c r="W74" s="253"/>
    </row>
    <row r="75" spans="23:23" x14ac:dyDescent="0.2">
      <c r="W75" s="253"/>
    </row>
    <row r="76" spans="23:23" x14ac:dyDescent="0.2">
      <c r="W76" s="253"/>
    </row>
    <row r="77" spans="23:23" x14ac:dyDescent="0.2">
      <c r="W77" s="253"/>
    </row>
    <row r="78" spans="23:23" x14ac:dyDescent="0.2">
      <c r="W78" s="253"/>
    </row>
    <row r="79" spans="23:23" x14ac:dyDescent="0.2">
      <c r="W79" s="253"/>
    </row>
    <row r="80" spans="23:23" x14ac:dyDescent="0.2">
      <c r="W80" s="253"/>
    </row>
    <row r="81" spans="23:23" x14ac:dyDescent="0.2">
      <c r="W81" s="253"/>
    </row>
    <row r="82" spans="23:23" x14ac:dyDescent="0.2">
      <c r="W82" s="253"/>
    </row>
    <row r="83" spans="23:23" x14ac:dyDescent="0.2">
      <c r="W83" s="253"/>
    </row>
    <row r="84" spans="23:23" x14ac:dyDescent="0.2">
      <c r="W84" s="253"/>
    </row>
    <row r="85" spans="23:23" x14ac:dyDescent="0.2">
      <c r="W85" s="253"/>
    </row>
    <row r="86" spans="23:23" x14ac:dyDescent="0.2">
      <c r="W86" s="253"/>
    </row>
    <row r="87" spans="23:23" x14ac:dyDescent="0.2">
      <c r="W87" s="253"/>
    </row>
    <row r="88" spans="23:23" x14ac:dyDescent="0.2">
      <c r="W88" s="253"/>
    </row>
    <row r="89" spans="23:23" x14ac:dyDescent="0.2">
      <c r="W89" s="253"/>
    </row>
    <row r="90" spans="23:23" x14ac:dyDescent="0.2">
      <c r="W90" s="253"/>
    </row>
    <row r="91" spans="23:23" x14ac:dyDescent="0.2">
      <c r="W91" s="253"/>
    </row>
    <row r="92" spans="23:23" x14ac:dyDescent="0.2">
      <c r="W92" s="253"/>
    </row>
    <row r="93" spans="23:23" x14ac:dyDescent="0.2">
      <c r="W93" s="253"/>
    </row>
    <row r="94" spans="23:23" x14ac:dyDescent="0.2">
      <c r="W94" s="253"/>
    </row>
    <row r="95" spans="23:23" x14ac:dyDescent="0.2">
      <c r="W95" s="253"/>
    </row>
    <row r="96" spans="23:23" x14ac:dyDescent="0.2">
      <c r="W96" s="253"/>
    </row>
    <row r="97" spans="23:23" x14ac:dyDescent="0.2">
      <c r="W97" s="253"/>
    </row>
    <row r="98" spans="23:23" x14ac:dyDescent="0.2">
      <c r="W98" s="253"/>
    </row>
    <row r="99" spans="23:23" x14ac:dyDescent="0.2">
      <c r="W99" s="253"/>
    </row>
    <row r="100" spans="23:23" x14ac:dyDescent="0.2">
      <c r="W100" s="253"/>
    </row>
    <row r="101" spans="23:23" x14ac:dyDescent="0.2">
      <c r="W101" s="253"/>
    </row>
    <row r="102" spans="23:23" x14ac:dyDescent="0.2">
      <c r="W102" s="253"/>
    </row>
    <row r="103" spans="23:23" x14ac:dyDescent="0.2">
      <c r="W103" s="253"/>
    </row>
    <row r="104" spans="23:23" x14ac:dyDescent="0.2">
      <c r="W104" s="253"/>
    </row>
    <row r="105" spans="23:23" x14ac:dyDescent="0.2">
      <c r="W105" s="253"/>
    </row>
    <row r="106" spans="23:23" x14ac:dyDescent="0.2">
      <c r="W106" s="253"/>
    </row>
    <row r="107" spans="23:23" x14ac:dyDescent="0.2">
      <c r="W107" s="253"/>
    </row>
    <row r="108" spans="23:23" x14ac:dyDescent="0.2">
      <c r="W108" s="253"/>
    </row>
    <row r="109" spans="23:23" x14ac:dyDescent="0.2">
      <c r="W109" s="253"/>
    </row>
    <row r="110" spans="23:23" x14ac:dyDescent="0.2">
      <c r="W110" s="253"/>
    </row>
    <row r="111" spans="23:23" x14ac:dyDescent="0.2">
      <c r="W111" s="253"/>
    </row>
    <row r="112" spans="23:23" x14ac:dyDescent="0.2">
      <c r="W112" s="253"/>
    </row>
    <row r="113" spans="23:23" x14ac:dyDescent="0.2">
      <c r="W113" s="253"/>
    </row>
    <row r="114" spans="23:23" x14ac:dyDescent="0.2">
      <c r="W114" s="253"/>
    </row>
    <row r="115" spans="23:23" x14ac:dyDescent="0.2">
      <c r="W115" s="253"/>
    </row>
    <row r="116" spans="23:23" x14ac:dyDescent="0.2">
      <c r="W116" s="253"/>
    </row>
    <row r="117" spans="23:23" x14ac:dyDescent="0.2">
      <c r="W117" s="253"/>
    </row>
    <row r="118" spans="23:23" x14ac:dyDescent="0.2">
      <c r="W118" s="253"/>
    </row>
    <row r="119" spans="23:23" x14ac:dyDescent="0.2">
      <c r="W119" s="253"/>
    </row>
    <row r="120" spans="23:23" x14ac:dyDescent="0.2">
      <c r="W120" s="253"/>
    </row>
    <row r="121" spans="23:23" x14ac:dyDescent="0.2">
      <c r="W121" s="253"/>
    </row>
    <row r="122" spans="23:23" x14ac:dyDescent="0.2">
      <c r="W122" s="253"/>
    </row>
    <row r="123" spans="23:23" x14ac:dyDescent="0.2">
      <c r="W123" s="253"/>
    </row>
    <row r="124" spans="23:23" x14ac:dyDescent="0.2">
      <c r="W124" s="253"/>
    </row>
    <row r="125" spans="23:23" x14ac:dyDescent="0.2">
      <c r="W125" s="253"/>
    </row>
    <row r="126" spans="23:23" x14ac:dyDescent="0.2">
      <c r="W126" s="253"/>
    </row>
    <row r="127" spans="23:23" x14ac:dyDescent="0.2">
      <c r="W127" s="253"/>
    </row>
    <row r="128" spans="23:23" x14ac:dyDescent="0.2">
      <c r="W128" s="253"/>
    </row>
    <row r="129" spans="23:23" x14ac:dyDescent="0.2">
      <c r="W129" s="253"/>
    </row>
    <row r="130" spans="23:23" x14ac:dyDescent="0.2">
      <c r="W130" s="253"/>
    </row>
    <row r="131" spans="23:23" x14ac:dyDescent="0.2">
      <c r="W131" s="253"/>
    </row>
    <row r="132" spans="23:23" x14ac:dyDescent="0.2">
      <c r="W132" s="253"/>
    </row>
    <row r="133" spans="23:23" x14ac:dyDescent="0.2">
      <c r="W133" s="253"/>
    </row>
    <row r="134" spans="23:23" x14ac:dyDescent="0.2">
      <c r="W134" s="253"/>
    </row>
    <row r="135" spans="23:23" x14ac:dyDescent="0.2">
      <c r="W135" s="253"/>
    </row>
    <row r="136" spans="23:23" x14ac:dyDescent="0.2">
      <c r="W136" s="253"/>
    </row>
    <row r="137" spans="23:23" x14ac:dyDescent="0.2">
      <c r="W137" s="253"/>
    </row>
    <row r="138" spans="23:23" x14ac:dyDescent="0.2">
      <c r="W138" s="253"/>
    </row>
    <row r="139" spans="23:23" x14ac:dyDescent="0.2">
      <c r="W139" s="253"/>
    </row>
    <row r="140" spans="23:23" x14ac:dyDescent="0.2">
      <c r="W140" s="253"/>
    </row>
    <row r="141" spans="23:23" x14ac:dyDescent="0.2">
      <c r="W141" s="253"/>
    </row>
    <row r="142" spans="23:23" x14ac:dyDescent="0.2">
      <c r="W142" s="253"/>
    </row>
    <row r="143" spans="23:23" x14ac:dyDescent="0.2">
      <c r="W143" s="253"/>
    </row>
    <row r="144" spans="23:23" x14ac:dyDescent="0.2">
      <c r="W144" s="253"/>
    </row>
    <row r="145" spans="23:23" x14ac:dyDescent="0.2">
      <c r="W145" s="253"/>
    </row>
    <row r="146" spans="23:23" x14ac:dyDescent="0.2">
      <c r="W146" s="253"/>
    </row>
    <row r="147" spans="23:23" x14ac:dyDescent="0.2">
      <c r="W147" s="253"/>
    </row>
    <row r="148" spans="23:23" x14ac:dyDescent="0.2">
      <c r="W148" s="253"/>
    </row>
    <row r="149" spans="23:23" x14ac:dyDescent="0.2">
      <c r="W149" s="253"/>
    </row>
    <row r="150" spans="23:23" x14ac:dyDescent="0.2">
      <c r="W150" s="253"/>
    </row>
    <row r="151" spans="23:23" x14ac:dyDescent="0.2">
      <c r="W151" s="253"/>
    </row>
    <row r="152" spans="23:23" x14ac:dyDescent="0.2">
      <c r="W152" s="253"/>
    </row>
    <row r="153" spans="23:23" x14ac:dyDescent="0.2">
      <c r="W153" s="253"/>
    </row>
    <row r="154" spans="23:23" x14ac:dyDescent="0.2">
      <c r="W154" s="253"/>
    </row>
    <row r="155" spans="23:23" x14ac:dyDescent="0.2">
      <c r="W155" s="253"/>
    </row>
    <row r="156" spans="23:23" x14ac:dyDescent="0.2">
      <c r="W156" s="253"/>
    </row>
    <row r="157" spans="23:23" x14ac:dyDescent="0.2">
      <c r="W157" s="253"/>
    </row>
    <row r="158" spans="23:23" x14ac:dyDescent="0.2">
      <c r="W158" s="253"/>
    </row>
    <row r="159" spans="23:23" x14ac:dyDescent="0.2">
      <c r="W159" s="253"/>
    </row>
    <row r="160" spans="23:23" x14ac:dyDescent="0.2">
      <c r="W160" s="253"/>
    </row>
    <row r="161" spans="23:23" x14ac:dyDescent="0.2">
      <c r="W161" s="253"/>
    </row>
  </sheetData>
  <sheetProtection algorithmName="SHA-512" hashValue="n+Psck9a/m2w724r5QtHcA24y9Hq7CAOGlF+4Ol2IEDcjcw+CEpSorArJ450QIXoicewkyG6r92Km9YSfcCW5w==" saltValue="Xj+c1WtvmJ/kOLng70+DeA==" spinCount="100000" sheet="1" scenarios="1" formatCells="0" formatColumns="0" formatRows="0" sort="0" autoFilter="0" pivotTables="0"/>
  <mergeCells count="1">
    <mergeCell ref="A22:C22"/>
  </mergeCells>
  <hyperlinks>
    <hyperlink ref="A2" location="'Table of Contents'!A1" display="Back to Table of Contents" xr:uid="{00000000-0004-0000-6400-000000000000}"/>
  </hyperlinks>
  <pageMargins left="0.70866141732283472" right="0.70866141732283472" top="0.74803149606299213" bottom="0.74803149606299213" header="0.31496062992125984" footer="0.31496062992125984"/>
  <pageSetup paperSize="9" scale="50" orientation="landscape" r:id="rId1"/>
  <headerFooter>
    <oddFooter>&amp;L&amp;P&amp;C&amp;A</oddFooter>
  </headerFooter>
  <rowBreaks count="1" manualBreakCount="1">
    <brk id="26"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D9B3FF"/>
  </sheetPr>
  <dimension ref="A1:CL182"/>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8.7109375" style="1" customWidth="1"/>
    <col min="2" max="2" width="24.85546875" style="1" customWidth="1"/>
    <col min="3" max="3" width="9.7109375" style="1" customWidth="1"/>
    <col min="4" max="4" width="9.42578125" style="1" customWidth="1"/>
    <col min="5" max="5" width="8.85546875" style="1" customWidth="1"/>
    <col min="6" max="6" width="10.85546875" style="1" customWidth="1"/>
    <col min="7" max="7" width="9.85546875" style="1" customWidth="1"/>
    <col min="8" max="8" width="10.85546875" style="1" customWidth="1"/>
    <col min="9" max="9" width="8.7109375" style="1" customWidth="1"/>
    <col min="10" max="10" width="11" style="1" customWidth="1"/>
    <col min="11" max="11" width="8.85546875" style="1" customWidth="1"/>
    <col min="12" max="12" width="10.28515625" style="1" customWidth="1"/>
    <col min="13" max="13" width="9.85546875" style="1" customWidth="1"/>
    <col min="14" max="14" width="9" style="1" customWidth="1"/>
    <col min="15" max="15" width="10.5703125" style="1" customWidth="1"/>
    <col min="16" max="16" width="10" style="1" customWidth="1"/>
    <col min="17" max="17" width="9.28515625" style="1" customWidth="1"/>
    <col min="18" max="18" width="9.140625" style="1" customWidth="1"/>
    <col min="19" max="19" width="9.140625" style="1"/>
    <col min="20" max="21" width="9.28515625" style="1" customWidth="1"/>
    <col min="22" max="22" width="9.140625" style="1" customWidth="1"/>
    <col min="23" max="23" width="11.7109375" style="1" customWidth="1"/>
    <col min="24" max="24" width="8" style="1" customWidth="1"/>
    <col min="25" max="16384" width="9.140625" style="1"/>
  </cols>
  <sheetData>
    <row r="1" spans="1:90" ht="18.75" customHeight="1" x14ac:dyDescent="0.2">
      <c r="A1" s="298" t="s">
        <v>1131</v>
      </c>
    </row>
    <row r="2" spans="1:90" ht="18.75" customHeight="1" x14ac:dyDescent="0.2">
      <c r="A2" s="106" t="s">
        <v>578</v>
      </c>
    </row>
    <row r="3" spans="1:90" s="39" customFormat="1" ht="38.25" customHeight="1" x14ac:dyDescent="0.2">
      <c r="A3" s="120" t="s">
        <v>1025</v>
      </c>
      <c r="B3" s="120"/>
      <c r="C3" s="120"/>
      <c r="E3" s="120"/>
      <c r="F3" s="120"/>
      <c r="G3" s="120"/>
      <c r="H3" s="120"/>
      <c r="I3" s="120"/>
      <c r="J3" s="120"/>
      <c r="K3" s="120"/>
      <c r="L3" s="120"/>
      <c r="Y3" s="105"/>
    </row>
    <row r="4" spans="1:90" s="39" customFormat="1" ht="15" customHeight="1" x14ac:dyDescent="0.25">
      <c r="A4" s="351" t="s">
        <v>579</v>
      </c>
      <c r="B4" s="1043" t="s">
        <v>1345</v>
      </c>
      <c r="E4" s="120"/>
      <c r="F4" s="120"/>
      <c r="G4" s="120"/>
      <c r="H4" s="120"/>
      <c r="I4" s="120"/>
      <c r="J4" s="120"/>
      <c r="K4" s="120"/>
      <c r="L4" s="120"/>
      <c r="Y4" s="105"/>
    </row>
    <row r="5" spans="1:90" s="39" customFormat="1" ht="15" customHeight="1" x14ac:dyDescent="0.25">
      <c r="A5" s="351" t="s">
        <v>580</v>
      </c>
      <c r="B5" s="351" t="s">
        <v>581</v>
      </c>
      <c r="C5" s="120"/>
      <c r="E5" s="120"/>
      <c r="F5" s="120"/>
      <c r="G5" s="120"/>
      <c r="H5" s="120"/>
      <c r="I5" s="120"/>
      <c r="J5" s="120"/>
      <c r="K5" s="120"/>
      <c r="L5" s="120"/>
      <c r="Y5" s="105"/>
    </row>
    <row r="6" spans="1:90" s="39" customFormat="1" ht="15" customHeight="1" x14ac:dyDescent="0.25">
      <c r="A6" s="351" t="s">
        <v>582</v>
      </c>
      <c r="B6" s="351" t="s">
        <v>585</v>
      </c>
      <c r="C6" s="120"/>
      <c r="E6" s="120"/>
      <c r="F6" s="120"/>
      <c r="G6" s="120"/>
      <c r="H6" s="120"/>
      <c r="I6" s="120"/>
      <c r="J6" s="120"/>
      <c r="K6" s="120"/>
      <c r="L6" s="120"/>
      <c r="Y6" s="105"/>
    </row>
    <row r="7" spans="1:90" ht="15" x14ac:dyDescent="0.25">
      <c r="W7" s="83" t="s">
        <v>0</v>
      </c>
      <c r="X7"/>
      <c r="Y7"/>
      <c r="Z7"/>
      <c r="AA7"/>
      <c r="AB7"/>
      <c r="AC7"/>
      <c r="AD7"/>
      <c r="AE7"/>
      <c r="AF7"/>
      <c r="AG7"/>
      <c r="AH7"/>
      <c r="AI7"/>
      <c r="AJ7"/>
      <c r="AK7"/>
      <c r="AL7"/>
      <c r="AM7"/>
      <c r="AN7"/>
      <c r="AO7"/>
      <c r="AP7"/>
      <c r="AQ7"/>
      <c r="AR7"/>
    </row>
    <row r="8" spans="1:90" ht="82.5" customHeight="1" x14ac:dyDescent="0.2">
      <c r="A8" s="2" t="s">
        <v>586</v>
      </c>
      <c r="B8" s="2" t="s">
        <v>22</v>
      </c>
      <c r="C8" s="336" t="s">
        <v>63</v>
      </c>
      <c r="D8" s="345" t="s">
        <v>518</v>
      </c>
      <c r="E8" s="345" t="s">
        <v>64</v>
      </c>
      <c r="F8" s="345" t="s">
        <v>519</v>
      </c>
      <c r="G8" s="345" t="s">
        <v>520</v>
      </c>
      <c r="H8" s="345" t="s">
        <v>65</v>
      </c>
      <c r="I8" s="345" t="s">
        <v>66</v>
      </c>
      <c r="J8" s="345" t="s">
        <v>521</v>
      </c>
      <c r="K8" s="345" t="s">
        <v>522</v>
      </c>
      <c r="L8" s="345" t="s">
        <v>523</v>
      </c>
      <c r="M8" s="345" t="s">
        <v>67</v>
      </c>
      <c r="N8" s="345" t="s">
        <v>524</v>
      </c>
      <c r="O8" s="345" t="s">
        <v>525</v>
      </c>
      <c r="P8" s="345" t="s">
        <v>516</v>
      </c>
      <c r="Q8" s="345" t="s">
        <v>68</v>
      </c>
      <c r="R8" s="345" t="s">
        <v>526</v>
      </c>
      <c r="S8" s="345" t="s">
        <v>527</v>
      </c>
      <c r="T8" s="345" t="s">
        <v>69</v>
      </c>
      <c r="U8" s="345" t="s">
        <v>528</v>
      </c>
      <c r="V8" s="233" t="s">
        <v>70</v>
      </c>
      <c r="W8" s="215" t="s">
        <v>260</v>
      </c>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row>
    <row r="9" spans="1:90" ht="18.75" customHeight="1" x14ac:dyDescent="0.2">
      <c r="A9" s="414" t="s">
        <v>587</v>
      </c>
      <c r="B9" s="400" t="s">
        <v>23</v>
      </c>
      <c r="C9" s="472">
        <f>IFERROR(GETPIVOTDATA("Sum of 01:RTC",T_06!$A$4,"PubLANAME",$B9), 0)</f>
        <v>58</v>
      </c>
      <c r="D9" s="472">
        <f>IFERROR(GETPIVOTDATA("Sum of 02:Other Transport incident",T_06!$A$4,"PubLANAME",$B9), 0)</f>
        <v>11</v>
      </c>
      <c r="E9" s="472">
        <f>IFERROR(GETPIVOTDATA("Sum of 03:Flooding",T_06!$A$4,"PubLANAME",$B9), 0)</f>
        <v>78</v>
      </c>
      <c r="F9" s="473">
        <f>IFERROR(GETPIVOTDATA("Sum of 04:Rescue or evacuation from water",T_06!$A$4,"PubLANAME",$B9), 0)</f>
        <v>6</v>
      </c>
      <c r="G9" s="472">
        <f>IFERROR(GETPIVOTDATA("Sum of 05:Other rescue/release of persons",T_06!$A$4,"PubLANAME",$B9), 0)</f>
        <v>38</v>
      </c>
      <c r="H9" s="472">
        <f>IFERROR(GETPIVOTDATA("Sum of 06:Evacuation (no fire)",T_06!$A$4,"PubLANAME",$B9), 0)</f>
        <v>5</v>
      </c>
      <c r="I9" s="472">
        <f>IFERROR(GETPIVOTDATA("Sum of 07:Lift Release",T_06!$A$4,"PubLANAME",$B9), 0)</f>
        <v>97</v>
      </c>
      <c r="J9" s="472">
        <f>IFERROR(GETPIVOTDATA("Sum of 08:Medical Incident - First responder/Co-responder",T_06!$A$4,"PubLANAME",$B9), 0)</f>
        <v>7</v>
      </c>
      <c r="K9" s="472">
        <f>IFERROR(GETPIVOTDATA("Sum of 09:Suicide/attempts",T_06!$A$4,"PubLANAME",$B9), 0)</f>
        <v>9</v>
      </c>
      <c r="L9" s="472">
        <f>IFERROR(GETPIVOTDATA("Sum of 10:Hazardous Materials incident",T_06!$A$4,"PubLANAME",$B9), 0)</f>
        <v>12</v>
      </c>
      <c r="M9" s="472">
        <f>IFERROR(GETPIVOTDATA("Sum of 11:Spills and Leaks (not RTC)",T_06!$A$4,"PubLANAME",$B9), 0)</f>
        <v>4</v>
      </c>
      <c r="N9" s="472">
        <f>IFERROR(GETPIVOTDATA("Sum of 12:Removal of objects",T_06!$A$4,"PubLANAME",$B9), 0)</f>
        <v>10</v>
      </c>
      <c r="O9" s="472">
        <f>IFERROR(GETPIVOTDATA("Sum of 13:Animal assistance incidents",T_06!$A$4,"PubLANAME",$B9), 0)</f>
        <v>20</v>
      </c>
      <c r="P9" s="472">
        <f>IFERROR(GETPIVOTDATA("Sum of 14:Effecting entry/exit",T_06!$A$4,"PubLANAME",$B9), 0)</f>
        <v>135</v>
      </c>
      <c r="Q9" s="472">
        <f>IFERROR(GETPIVOTDATA("Sum of 15:Making Safe (not RTC)",T_06!$A$4,"PubLANAME",$B9), 0)</f>
        <v>20</v>
      </c>
      <c r="R9" s="472">
        <f>IFERROR(GETPIVOTDATA("Sum of 16:No action (not false alarm)",T_06!$A$4,"PubLANAME",$B9), 0)</f>
        <v>31</v>
      </c>
      <c r="S9" s="472">
        <f>IFERROR(GETPIVOTDATA("Sum of 17:Water provision",T_06!$A$4,"PubLANAME",$B9), 0)</f>
        <v>0</v>
      </c>
      <c r="T9" s="472">
        <f>IFERROR(GETPIVOTDATA("Sum of 18:Stand By",T_06!$A$4,"PubLANAME",$B9), 0)</f>
        <v>0</v>
      </c>
      <c r="U9" s="472">
        <f>IFERROR(GETPIVOTDATA("Sum of 19:Assist other agencies",T_06!$A$4,"PubLANAME",$B9), 0)</f>
        <v>20</v>
      </c>
      <c r="V9" s="472">
        <f>IFERROR(GETPIVOTDATA("Sum of 20:Advice Only",T_06!$A$4,"PubLANAME",$B9), 0)</f>
        <v>9</v>
      </c>
      <c r="W9" s="474">
        <f>SUM(C9:V9)</f>
        <v>570</v>
      </c>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ht="13.5" customHeight="1" x14ac:dyDescent="0.2">
      <c r="A10" s="1" t="s">
        <v>588</v>
      </c>
      <c r="B10" s="117" t="s">
        <v>24</v>
      </c>
      <c r="C10" s="211">
        <f>IFERROR(GETPIVOTDATA("Sum of 01:RTC",T_06!$A$4,"PubLANAME",$B10), 0)</f>
        <v>149</v>
      </c>
      <c r="D10" s="211">
        <f>IFERROR(GETPIVOTDATA("Sum of 02:Other Transport incident",T_06!$A$4,"PubLANAME",$B10), 0)</f>
        <v>5</v>
      </c>
      <c r="E10" s="211">
        <f>IFERROR(GETPIVOTDATA("Sum of 03:Flooding",T_06!$A$4,"PubLANAME",$B10), 0)</f>
        <v>44</v>
      </c>
      <c r="F10" s="212">
        <f>IFERROR(GETPIVOTDATA("Sum of 04:Rescue or evacuation from water",T_06!$A$4,"PubLANAME",$B10), 0)</f>
        <v>7</v>
      </c>
      <c r="G10" s="211">
        <f>IFERROR(GETPIVOTDATA("Sum of 05:Other rescue/release of persons",T_06!$A$4,"PubLANAME",$B10), 0)</f>
        <v>16</v>
      </c>
      <c r="H10" s="211">
        <f>IFERROR(GETPIVOTDATA("Sum of 06:Evacuation (no fire)",T_06!$A$4,"PubLANAME",$B10), 0)</f>
        <v>3</v>
      </c>
      <c r="I10" s="211">
        <f>IFERROR(GETPIVOTDATA("Sum of 07:Lift Release",T_06!$A$4,"PubLANAME",$B10), 0)</f>
        <v>5</v>
      </c>
      <c r="J10" s="211">
        <f>IFERROR(GETPIVOTDATA("Sum of 08:Medical Incident - First responder/Co-responder",T_06!$A$4,"PubLANAME",$B10), 0)</f>
        <v>8</v>
      </c>
      <c r="K10" s="211">
        <f>IFERROR(GETPIVOTDATA("Sum of 09:Suicide/attempts",T_06!$A$4,"PubLANAME",$B10), 0)</f>
        <v>8</v>
      </c>
      <c r="L10" s="211">
        <f>IFERROR(GETPIVOTDATA("Sum of 10:Hazardous Materials incident",T_06!$A$4,"PubLANAME",$B10), 0)</f>
        <v>6</v>
      </c>
      <c r="M10" s="211">
        <f>IFERROR(GETPIVOTDATA("Sum of 11:Spills and Leaks (not RTC)",T_06!$A$4,"PubLANAME",$B10), 0)</f>
        <v>1</v>
      </c>
      <c r="N10" s="211">
        <f>IFERROR(GETPIVOTDATA("Sum of 12:Removal of objects",T_06!$A$4,"PubLANAME",$B10), 0)</f>
        <v>5</v>
      </c>
      <c r="O10" s="211">
        <f>IFERROR(GETPIVOTDATA("Sum of 13:Animal assistance incidents",T_06!$A$4,"PubLANAME",$B10), 0)</f>
        <v>37</v>
      </c>
      <c r="P10" s="211">
        <f>IFERROR(GETPIVOTDATA("Sum of 14:Effecting entry/exit",T_06!$A$4,"PubLANAME",$B10), 0)</f>
        <v>90</v>
      </c>
      <c r="Q10" s="211">
        <f>IFERROR(GETPIVOTDATA("Sum of 15:Making Safe (not RTC)",T_06!$A$4,"PubLANAME",$B10), 0)</f>
        <v>7</v>
      </c>
      <c r="R10" s="211">
        <f>IFERROR(GETPIVOTDATA("Sum of 16:No action (not false alarm)",T_06!$A$4,"PubLANAME",$B10), 0)</f>
        <v>14</v>
      </c>
      <c r="S10" s="211">
        <f>IFERROR(GETPIVOTDATA("Sum of 17:Water provision",T_06!$A$4,"PubLANAME",$B10), 0)</f>
        <v>2</v>
      </c>
      <c r="T10" s="211">
        <f>IFERROR(GETPIVOTDATA("Sum of 18:Stand By",T_06!$A$4,"PubLANAME",$B10), 0)</f>
        <v>1</v>
      </c>
      <c r="U10" s="211">
        <f>IFERROR(GETPIVOTDATA("Sum of 19:Assist other agencies",T_06!$A$4,"PubLANAME",$B10), 0)</f>
        <v>43</v>
      </c>
      <c r="V10" s="211">
        <f>IFERROR(GETPIVOTDATA("Sum of 20:Advice Only",T_06!$A$4,"PubLANAME",$B10), 0)</f>
        <v>6</v>
      </c>
      <c r="W10" s="466">
        <f t="shared" ref="W10:W39" si="0">SUM(C10:V10)</f>
        <v>457</v>
      </c>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ht="13.5" customHeight="1" x14ac:dyDescent="0.2">
      <c r="A11" s="1" t="s">
        <v>589</v>
      </c>
      <c r="B11" s="117" t="s">
        <v>25</v>
      </c>
      <c r="C11" s="211">
        <f>IFERROR(GETPIVOTDATA("Sum of 01:RTC",T_06!$A$4,"PubLANAME",$B11), 0)</f>
        <v>49</v>
      </c>
      <c r="D11" s="211">
        <f>IFERROR(GETPIVOTDATA("Sum of 02:Other Transport incident",T_06!$A$4,"PubLANAME",$B11), 0)</f>
        <v>1</v>
      </c>
      <c r="E11" s="211">
        <f>IFERROR(GETPIVOTDATA("Sum of 03:Flooding",T_06!$A$4,"PubLANAME",$B11), 0)</f>
        <v>20</v>
      </c>
      <c r="F11" s="212">
        <f>IFERROR(GETPIVOTDATA("Sum of 04:Rescue or evacuation from water",T_06!$A$4,"PubLANAME",$B11), 0)</f>
        <v>7</v>
      </c>
      <c r="G11" s="211">
        <f>IFERROR(GETPIVOTDATA("Sum of 05:Other rescue/release of persons",T_06!$A$4,"PubLANAME",$B11), 0)</f>
        <v>20</v>
      </c>
      <c r="H11" s="211">
        <f>IFERROR(GETPIVOTDATA("Sum of 06:Evacuation (no fire)",T_06!$A$4,"PubLANAME",$B11), 0)</f>
        <v>0</v>
      </c>
      <c r="I11" s="211">
        <f>IFERROR(GETPIVOTDATA("Sum of 07:Lift Release",T_06!$A$4,"PubLANAME",$B11), 0)</f>
        <v>11</v>
      </c>
      <c r="J11" s="211">
        <f>IFERROR(GETPIVOTDATA("Sum of 08:Medical Incident - First responder/Co-responder",T_06!$A$4,"PubLANAME",$B11), 0)</f>
        <v>5</v>
      </c>
      <c r="K11" s="211">
        <f>IFERROR(GETPIVOTDATA("Sum of 09:Suicide/attempts",T_06!$A$4,"PubLANAME",$B11), 0)</f>
        <v>5</v>
      </c>
      <c r="L11" s="211">
        <f>IFERROR(GETPIVOTDATA("Sum of 10:Hazardous Materials incident",T_06!$A$4,"PubLANAME",$B11), 0)</f>
        <v>0</v>
      </c>
      <c r="M11" s="211">
        <f>IFERROR(GETPIVOTDATA("Sum of 11:Spills and Leaks (not RTC)",T_06!$A$4,"PubLANAME",$B11), 0)</f>
        <v>4</v>
      </c>
      <c r="N11" s="211">
        <f>IFERROR(GETPIVOTDATA("Sum of 12:Removal of objects",T_06!$A$4,"PubLANAME",$B11), 0)</f>
        <v>1</v>
      </c>
      <c r="O11" s="211">
        <f>IFERROR(GETPIVOTDATA("Sum of 13:Animal assistance incidents",T_06!$A$4,"PubLANAME",$B11), 0)</f>
        <v>14</v>
      </c>
      <c r="P11" s="211">
        <f>IFERROR(GETPIVOTDATA("Sum of 14:Effecting entry/exit",T_06!$A$4,"PubLANAME",$B11), 0)</f>
        <v>110</v>
      </c>
      <c r="Q11" s="211">
        <f>IFERROR(GETPIVOTDATA("Sum of 15:Making Safe (not RTC)",T_06!$A$4,"PubLANAME",$B11), 0)</f>
        <v>9</v>
      </c>
      <c r="R11" s="211">
        <f>IFERROR(GETPIVOTDATA("Sum of 16:No action (not false alarm)",T_06!$A$4,"PubLANAME",$B11), 0)</f>
        <v>10</v>
      </c>
      <c r="S11" s="211">
        <f>IFERROR(GETPIVOTDATA("Sum of 17:Water provision",T_06!$A$4,"PubLANAME",$B11), 0)</f>
        <v>0</v>
      </c>
      <c r="T11" s="211">
        <f>IFERROR(GETPIVOTDATA("Sum of 18:Stand By",T_06!$A$4,"PubLANAME",$B11), 0)</f>
        <v>0</v>
      </c>
      <c r="U11" s="211">
        <f>IFERROR(GETPIVOTDATA("Sum of 19:Assist other agencies",T_06!$A$4,"PubLANAME",$B11), 0)</f>
        <v>21</v>
      </c>
      <c r="V11" s="211">
        <f>IFERROR(GETPIVOTDATA("Sum of 20:Advice Only",T_06!$A$4,"PubLANAME",$B11), 0)</f>
        <v>4</v>
      </c>
      <c r="W11" s="466">
        <f t="shared" si="0"/>
        <v>291</v>
      </c>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ht="13.5" customHeight="1" x14ac:dyDescent="0.2">
      <c r="A12" s="1" t="s">
        <v>590</v>
      </c>
      <c r="B12" s="117" t="s">
        <v>26</v>
      </c>
      <c r="C12" s="211">
        <f>IFERROR(GETPIVOTDATA("Sum of 01:RTC",T_06!$A$4,"PubLANAME",$B12), 0)</f>
        <v>28</v>
      </c>
      <c r="D12" s="211">
        <f>IFERROR(GETPIVOTDATA("Sum of 02:Other Transport incident",T_06!$A$4,"PubLANAME",$B12), 0)</f>
        <v>4</v>
      </c>
      <c r="E12" s="211">
        <f>IFERROR(GETPIVOTDATA("Sum of 03:Flooding",T_06!$A$4,"PubLANAME",$B12), 0)</f>
        <v>17</v>
      </c>
      <c r="F12" s="212">
        <f>IFERROR(GETPIVOTDATA("Sum of 04:Rescue or evacuation from water",T_06!$A$4,"PubLANAME",$B12), 0)</f>
        <v>2</v>
      </c>
      <c r="G12" s="211">
        <f>IFERROR(GETPIVOTDATA("Sum of 05:Other rescue/release of persons",T_06!$A$4,"PubLANAME",$B12), 0)</f>
        <v>8</v>
      </c>
      <c r="H12" s="211">
        <f>IFERROR(GETPIVOTDATA("Sum of 06:Evacuation (no fire)",T_06!$A$4,"PubLANAME",$B12), 0)</f>
        <v>1</v>
      </c>
      <c r="I12" s="211">
        <f>IFERROR(GETPIVOTDATA("Sum of 07:Lift Release",T_06!$A$4,"PubLANAME",$B12), 0)</f>
        <v>4</v>
      </c>
      <c r="J12" s="211">
        <f>IFERROR(GETPIVOTDATA("Sum of 08:Medical Incident - First responder/Co-responder",T_06!$A$4,"PubLANAME",$B12), 0)</f>
        <v>12</v>
      </c>
      <c r="K12" s="211">
        <f>IFERROR(GETPIVOTDATA("Sum of 09:Suicide/attempts",T_06!$A$4,"PubLANAME",$B12), 0)</f>
        <v>1</v>
      </c>
      <c r="L12" s="211">
        <f>IFERROR(GETPIVOTDATA("Sum of 10:Hazardous Materials incident",T_06!$A$4,"PubLANAME",$B12), 0)</f>
        <v>1</v>
      </c>
      <c r="M12" s="211">
        <f>IFERROR(GETPIVOTDATA("Sum of 11:Spills and Leaks (not RTC)",T_06!$A$4,"PubLANAME",$B12), 0)</f>
        <v>3</v>
      </c>
      <c r="N12" s="211">
        <f>IFERROR(GETPIVOTDATA("Sum of 12:Removal of objects",T_06!$A$4,"PubLANAME",$B12), 0)</f>
        <v>6</v>
      </c>
      <c r="O12" s="211">
        <f>IFERROR(GETPIVOTDATA("Sum of 13:Animal assistance incidents",T_06!$A$4,"PubLANAME",$B12), 0)</f>
        <v>4</v>
      </c>
      <c r="P12" s="211">
        <f>IFERROR(GETPIVOTDATA("Sum of 14:Effecting entry/exit",T_06!$A$4,"PubLANAME",$B12), 0)</f>
        <v>37</v>
      </c>
      <c r="Q12" s="211">
        <f>IFERROR(GETPIVOTDATA("Sum of 15:Making Safe (not RTC)",T_06!$A$4,"PubLANAME",$B12), 0)</f>
        <v>7</v>
      </c>
      <c r="R12" s="211">
        <f>IFERROR(GETPIVOTDATA("Sum of 16:No action (not false alarm)",T_06!$A$4,"PubLANAME",$B12), 0)</f>
        <v>20</v>
      </c>
      <c r="S12" s="211">
        <f>IFERROR(GETPIVOTDATA("Sum of 17:Water provision",T_06!$A$4,"PubLANAME",$B12), 0)</f>
        <v>0</v>
      </c>
      <c r="T12" s="211">
        <f>IFERROR(GETPIVOTDATA("Sum of 18:Stand By",T_06!$A$4,"PubLANAME",$B12), 0)</f>
        <v>0</v>
      </c>
      <c r="U12" s="211">
        <f>IFERROR(GETPIVOTDATA("Sum of 19:Assist other agencies",T_06!$A$4,"PubLANAME",$B12), 0)</f>
        <v>58</v>
      </c>
      <c r="V12" s="211">
        <f>IFERROR(GETPIVOTDATA("Sum of 20:Advice Only",T_06!$A$4,"PubLANAME",$B12), 0)</f>
        <v>2</v>
      </c>
      <c r="W12" s="466">
        <f t="shared" si="0"/>
        <v>215</v>
      </c>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ht="13.5" customHeight="1" x14ac:dyDescent="0.2">
      <c r="A13" s="1" t="s">
        <v>591</v>
      </c>
      <c r="B13" s="117" t="s">
        <v>619</v>
      </c>
      <c r="C13" s="211">
        <f>IFERROR(GETPIVOTDATA("Sum of 01:RTC",T_06!$A$4,"PubLANAME",$B13), 0)</f>
        <v>81</v>
      </c>
      <c r="D13" s="211">
        <f>IFERROR(GETPIVOTDATA("Sum of 02:Other Transport incident",T_06!$A$4,"PubLANAME",$B13), 0)</f>
        <v>6</v>
      </c>
      <c r="E13" s="211">
        <f>IFERROR(GETPIVOTDATA("Sum of 03:Flooding",T_06!$A$4,"PubLANAME",$B13), 0)</f>
        <v>190</v>
      </c>
      <c r="F13" s="212">
        <f>IFERROR(GETPIVOTDATA("Sum of 04:Rescue or evacuation from water",T_06!$A$4,"PubLANAME",$B13), 0)</f>
        <v>12</v>
      </c>
      <c r="G13" s="211">
        <f>IFERROR(GETPIVOTDATA("Sum of 05:Other rescue/release of persons",T_06!$A$4,"PubLANAME",$B13), 0)</f>
        <v>62</v>
      </c>
      <c r="H13" s="211">
        <f>IFERROR(GETPIVOTDATA("Sum of 06:Evacuation (no fire)",T_06!$A$4,"PubLANAME",$B13), 0)</f>
        <v>10</v>
      </c>
      <c r="I13" s="211">
        <f>IFERROR(GETPIVOTDATA("Sum of 07:Lift Release",T_06!$A$4,"PubLANAME",$B13), 0)</f>
        <v>56</v>
      </c>
      <c r="J13" s="211">
        <f>IFERROR(GETPIVOTDATA("Sum of 08:Medical Incident - First responder/Co-responder",T_06!$A$4,"PubLANAME",$B13), 0)</f>
        <v>21</v>
      </c>
      <c r="K13" s="211">
        <f>IFERROR(GETPIVOTDATA("Sum of 09:Suicide/attempts",T_06!$A$4,"PubLANAME",$B13), 0)</f>
        <v>25</v>
      </c>
      <c r="L13" s="211">
        <f>IFERROR(GETPIVOTDATA("Sum of 10:Hazardous Materials incident",T_06!$A$4,"PubLANAME",$B13), 0)</f>
        <v>24</v>
      </c>
      <c r="M13" s="211">
        <f>IFERROR(GETPIVOTDATA("Sum of 11:Spills and Leaks (not RTC)",T_06!$A$4,"PubLANAME",$B13), 0)</f>
        <v>7</v>
      </c>
      <c r="N13" s="211">
        <f>IFERROR(GETPIVOTDATA("Sum of 12:Removal of objects",T_06!$A$4,"PubLANAME",$B13), 0)</f>
        <v>24</v>
      </c>
      <c r="O13" s="211">
        <f>IFERROR(GETPIVOTDATA("Sum of 13:Animal assistance incidents",T_06!$A$4,"PubLANAME",$B13), 0)</f>
        <v>38</v>
      </c>
      <c r="P13" s="211">
        <f>IFERROR(GETPIVOTDATA("Sum of 14:Effecting entry/exit",T_06!$A$4,"PubLANAME",$B13), 0)</f>
        <v>469</v>
      </c>
      <c r="Q13" s="211">
        <f>IFERROR(GETPIVOTDATA("Sum of 15:Making Safe (not RTC)",T_06!$A$4,"PubLANAME",$B13), 0)</f>
        <v>43</v>
      </c>
      <c r="R13" s="211">
        <f>IFERROR(GETPIVOTDATA("Sum of 16:No action (not false alarm)",T_06!$A$4,"PubLANAME",$B13), 0)</f>
        <v>53</v>
      </c>
      <c r="S13" s="211">
        <f>IFERROR(GETPIVOTDATA("Sum of 17:Water provision",T_06!$A$4,"PubLANAME",$B13), 0)</f>
        <v>0</v>
      </c>
      <c r="T13" s="211">
        <f>IFERROR(GETPIVOTDATA("Sum of 18:Stand By",T_06!$A$4,"PubLANAME",$B13), 0)</f>
        <v>0</v>
      </c>
      <c r="U13" s="211">
        <f>IFERROR(GETPIVOTDATA("Sum of 19:Assist other agencies",T_06!$A$4,"PubLANAME",$B13), 0)</f>
        <v>55</v>
      </c>
      <c r="V13" s="211">
        <f>IFERROR(GETPIVOTDATA("Sum of 20:Advice Only",T_06!$A$4,"PubLANAME",$B13), 0)</f>
        <v>19</v>
      </c>
      <c r="W13" s="466">
        <f t="shared" si="0"/>
        <v>1195</v>
      </c>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ht="13.5" customHeight="1" x14ac:dyDescent="0.2">
      <c r="A14" s="1" t="s">
        <v>592</v>
      </c>
      <c r="B14" s="117" t="s">
        <v>27</v>
      </c>
      <c r="C14" s="211">
        <f>IFERROR(GETPIVOTDATA("Sum of 01:RTC",T_06!$A$4,"PubLANAME",$B14), 0)</f>
        <v>11</v>
      </c>
      <c r="D14" s="211">
        <f>IFERROR(GETPIVOTDATA("Sum of 02:Other Transport incident",T_06!$A$4,"PubLANAME",$B14), 0)</f>
        <v>0</v>
      </c>
      <c r="E14" s="211">
        <f>IFERROR(GETPIVOTDATA("Sum of 03:Flooding",T_06!$A$4,"PubLANAME",$B14), 0)</f>
        <v>15</v>
      </c>
      <c r="F14" s="212">
        <f>IFERROR(GETPIVOTDATA("Sum of 04:Rescue or evacuation from water",T_06!$A$4,"PubLANAME",$B14), 0)</f>
        <v>0</v>
      </c>
      <c r="G14" s="211">
        <f>IFERROR(GETPIVOTDATA("Sum of 05:Other rescue/release of persons",T_06!$A$4,"PubLANAME",$B14), 0)</f>
        <v>8</v>
      </c>
      <c r="H14" s="211">
        <f>IFERROR(GETPIVOTDATA("Sum of 06:Evacuation (no fire)",T_06!$A$4,"PubLANAME",$B14), 0)</f>
        <v>0</v>
      </c>
      <c r="I14" s="211">
        <f>IFERROR(GETPIVOTDATA("Sum of 07:Lift Release",T_06!$A$4,"PubLANAME",$B14), 0)</f>
        <v>0</v>
      </c>
      <c r="J14" s="211">
        <f>IFERROR(GETPIVOTDATA("Sum of 08:Medical Incident - First responder/Co-responder",T_06!$A$4,"PubLANAME",$B14), 0)</f>
        <v>2</v>
      </c>
      <c r="K14" s="211">
        <f>IFERROR(GETPIVOTDATA("Sum of 09:Suicide/attempts",T_06!$A$4,"PubLANAME",$B14), 0)</f>
        <v>0</v>
      </c>
      <c r="L14" s="211">
        <f>IFERROR(GETPIVOTDATA("Sum of 10:Hazardous Materials incident",T_06!$A$4,"PubLANAME",$B14), 0)</f>
        <v>1</v>
      </c>
      <c r="M14" s="211">
        <f>IFERROR(GETPIVOTDATA("Sum of 11:Spills and Leaks (not RTC)",T_06!$A$4,"PubLANAME",$B14), 0)</f>
        <v>2</v>
      </c>
      <c r="N14" s="211">
        <f>IFERROR(GETPIVOTDATA("Sum of 12:Removal of objects",T_06!$A$4,"PubLANAME",$B14), 0)</f>
        <v>6</v>
      </c>
      <c r="O14" s="211">
        <f>IFERROR(GETPIVOTDATA("Sum of 13:Animal assistance incidents",T_06!$A$4,"PubLANAME",$B14), 0)</f>
        <v>7</v>
      </c>
      <c r="P14" s="211">
        <f>IFERROR(GETPIVOTDATA("Sum of 14:Effecting entry/exit",T_06!$A$4,"PubLANAME",$B14), 0)</f>
        <v>45</v>
      </c>
      <c r="Q14" s="211">
        <f>IFERROR(GETPIVOTDATA("Sum of 15:Making Safe (not RTC)",T_06!$A$4,"PubLANAME",$B14), 0)</f>
        <v>3</v>
      </c>
      <c r="R14" s="211">
        <f>IFERROR(GETPIVOTDATA("Sum of 16:No action (not false alarm)",T_06!$A$4,"PubLANAME",$B14), 0)</f>
        <v>5</v>
      </c>
      <c r="S14" s="211">
        <f>IFERROR(GETPIVOTDATA("Sum of 17:Water provision",T_06!$A$4,"PubLANAME",$B14), 0)</f>
        <v>0</v>
      </c>
      <c r="T14" s="211">
        <f>IFERROR(GETPIVOTDATA("Sum of 18:Stand By",T_06!$A$4,"PubLANAME",$B14), 0)</f>
        <v>0</v>
      </c>
      <c r="U14" s="211">
        <f>IFERROR(GETPIVOTDATA("Sum of 19:Assist other agencies",T_06!$A$4,"PubLANAME",$B14), 0)</f>
        <v>8</v>
      </c>
      <c r="V14" s="211">
        <f>IFERROR(GETPIVOTDATA("Sum of 20:Advice Only",T_06!$A$4,"PubLANAME",$B14), 0)</f>
        <v>0</v>
      </c>
      <c r="W14" s="466">
        <f t="shared" si="0"/>
        <v>113</v>
      </c>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ht="13.5" customHeight="1" x14ac:dyDescent="0.2">
      <c r="A15" s="1" t="s">
        <v>593</v>
      </c>
      <c r="B15" s="117" t="s">
        <v>28</v>
      </c>
      <c r="C15" s="211">
        <f>IFERROR(GETPIVOTDATA("Sum of 01:RTC",T_06!$A$4,"PubLANAME",$B15), 0)</f>
        <v>51</v>
      </c>
      <c r="D15" s="211">
        <f>IFERROR(GETPIVOTDATA("Sum of 02:Other Transport incident",T_06!$A$4,"PubLANAME",$B15), 0)</f>
        <v>3</v>
      </c>
      <c r="E15" s="211">
        <f>IFERROR(GETPIVOTDATA("Sum of 03:Flooding",T_06!$A$4,"PubLANAME",$B15), 0)</f>
        <v>14</v>
      </c>
      <c r="F15" s="212">
        <f>IFERROR(GETPIVOTDATA("Sum of 04:Rescue or evacuation from water",T_06!$A$4,"PubLANAME",$B15), 0)</f>
        <v>12</v>
      </c>
      <c r="G15" s="211">
        <f>IFERROR(GETPIVOTDATA("Sum of 05:Other rescue/release of persons",T_06!$A$4,"PubLANAME",$B15), 0)</f>
        <v>17</v>
      </c>
      <c r="H15" s="211">
        <f>IFERROR(GETPIVOTDATA("Sum of 06:Evacuation (no fire)",T_06!$A$4,"PubLANAME",$B15), 0)</f>
        <v>1</v>
      </c>
      <c r="I15" s="211">
        <f>IFERROR(GETPIVOTDATA("Sum of 07:Lift Release",T_06!$A$4,"PubLANAME",$B15), 0)</f>
        <v>13</v>
      </c>
      <c r="J15" s="211">
        <f>IFERROR(GETPIVOTDATA("Sum of 08:Medical Incident - First responder/Co-responder",T_06!$A$4,"PubLANAME",$B15), 0)</f>
        <v>18</v>
      </c>
      <c r="K15" s="211">
        <f>IFERROR(GETPIVOTDATA("Sum of 09:Suicide/attempts",T_06!$A$4,"PubLANAME",$B15), 0)</f>
        <v>9</v>
      </c>
      <c r="L15" s="211">
        <f>IFERROR(GETPIVOTDATA("Sum of 10:Hazardous Materials incident",T_06!$A$4,"PubLANAME",$B15), 0)</f>
        <v>12</v>
      </c>
      <c r="M15" s="211">
        <f>IFERROR(GETPIVOTDATA("Sum of 11:Spills and Leaks (not RTC)",T_06!$A$4,"PubLANAME",$B15), 0)</f>
        <v>2</v>
      </c>
      <c r="N15" s="211">
        <f>IFERROR(GETPIVOTDATA("Sum of 12:Removal of objects",T_06!$A$4,"PubLANAME",$B15), 0)</f>
        <v>4</v>
      </c>
      <c r="O15" s="211">
        <f>IFERROR(GETPIVOTDATA("Sum of 13:Animal assistance incidents",T_06!$A$4,"PubLANAME",$B15), 0)</f>
        <v>14</v>
      </c>
      <c r="P15" s="211">
        <f>IFERROR(GETPIVOTDATA("Sum of 14:Effecting entry/exit",T_06!$A$4,"PubLANAME",$B15), 0)</f>
        <v>67</v>
      </c>
      <c r="Q15" s="211">
        <f>IFERROR(GETPIVOTDATA("Sum of 15:Making Safe (not RTC)",T_06!$A$4,"PubLANAME",$B15), 0)</f>
        <v>7</v>
      </c>
      <c r="R15" s="211">
        <f>IFERROR(GETPIVOTDATA("Sum of 16:No action (not false alarm)",T_06!$A$4,"PubLANAME",$B15), 0)</f>
        <v>4</v>
      </c>
      <c r="S15" s="211">
        <f>IFERROR(GETPIVOTDATA("Sum of 17:Water provision",T_06!$A$4,"PubLANAME",$B15), 0)</f>
        <v>0</v>
      </c>
      <c r="T15" s="211">
        <f>IFERROR(GETPIVOTDATA("Sum of 18:Stand By",T_06!$A$4,"PubLANAME",$B15), 0)</f>
        <v>1</v>
      </c>
      <c r="U15" s="211">
        <f>IFERROR(GETPIVOTDATA("Sum of 19:Assist other agencies",T_06!$A$4,"PubLANAME",$B15), 0)</f>
        <v>34</v>
      </c>
      <c r="V15" s="211">
        <f>IFERROR(GETPIVOTDATA("Sum of 20:Advice Only",T_06!$A$4,"PubLANAME",$B15), 0)</f>
        <v>8</v>
      </c>
      <c r="W15" s="466">
        <f t="shared" si="0"/>
        <v>291</v>
      </c>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ht="13.5" customHeight="1" x14ac:dyDescent="0.2">
      <c r="A16" s="1" t="s">
        <v>594</v>
      </c>
      <c r="B16" s="117" t="s">
        <v>29</v>
      </c>
      <c r="C16" s="211">
        <f>IFERROR(GETPIVOTDATA("Sum of 01:RTC",T_06!$A$4,"PubLANAME",$B16), 0)</f>
        <v>31</v>
      </c>
      <c r="D16" s="211">
        <f>IFERROR(GETPIVOTDATA("Sum of 02:Other Transport incident",T_06!$A$4,"PubLANAME",$B16), 0)</f>
        <v>2</v>
      </c>
      <c r="E16" s="211">
        <f>IFERROR(GETPIVOTDATA("Sum of 03:Flooding",T_06!$A$4,"PubLANAME",$B16), 0)</f>
        <v>55</v>
      </c>
      <c r="F16" s="212">
        <f>IFERROR(GETPIVOTDATA("Sum of 04:Rescue or evacuation from water",T_06!$A$4,"PubLANAME",$B16), 0)</f>
        <v>2</v>
      </c>
      <c r="G16" s="211">
        <f>IFERROR(GETPIVOTDATA("Sum of 05:Other rescue/release of persons",T_06!$A$4,"PubLANAME",$B16), 0)</f>
        <v>30</v>
      </c>
      <c r="H16" s="211">
        <f>IFERROR(GETPIVOTDATA("Sum of 06:Evacuation (no fire)",T_06!$A$4,"PubLANAME",$B16), 0)</f>
        <v>4</v>
      </c>
      <c r="I16" s="211">
        <f>IFERROR(GETPIVOTDATA("Sum of 07:Lift Release",T_06!$A$4,"PubLANAME",$B16), 0)</f>
        <v>22</v>
      </c>
      <c r="J16" s="211">
        <f>IFERROR(GETPIVOTDATA("Sum of 08:Medical Incident - First responder/Co-responder",T_06!$A$4,"PubLANAME",$B16), 0)</f>
        <v>8</v>
      </c>
      <c r="K16" s="211">
        <f>IFERROR(GETPIVOTDATA("Sum of 09:Suicide/attempts",T_06!$A$4,"PubLANAME",$B16), 0)</f>
        <v>10</v>
      </c>
      <c r="L16" s="211">
        <f>IFERROR(GETPIVOTDATA("Sum of 10:Hazardous Materials incident",T_06!$A$4,"PubLANAME",$B16), 0)</f>
        <v>5</v>
      </c>
      <c r="M16" s="211">
        <f>IFERROR(GETPIVOTDATA("Sum of 11:Spills and Leaks (not RTC)",T_06!$A$4,"PubLANAME",$B16), 0)</f>
        <v>3</v>
      </c>
      <c r="N16" s="211">
        <f>IFERROR(GETPIVOTDATA("Sum of 12:Removal of objects",T_06!$A$4,"PubLANAME",$B16), 0)</f>
        <v>12</v>
      </c>
      <c r="O16" s="211">
        <f>IFERROR(GETPIVOTDATA("Sum of 13:Animal assistance incidents",T_06!$A$4,"PubLANAME",$B16), 0)</f>
        <v>18</v>
      </c>
      <c r="P16" s="211">
        <f>IFERROR(GETPIVOTDATA("Sum of 14:Effecting entry/exit",T_06!$A$4,"PubLANAME",$B16), 0)</f>
        <v>146</v>
      </c>
      <c r="Q16" s="211">
        <f>IFERROR(GETPIVOTDATA("Sum of 15:Making Safe (not RTC)",T_06!$A$4,"PubLANAME",$B16), 0)</f>
        <v>51</v>
      </c>
      <c r="R16" s="211">
        <f>IFERROR(GETPIVOTDATA("Sum of 16:No action (not false alarm)",T_06!$A$4,"PubLANAME",$B16), 0)</f>
        <v>16</v>
      </c>
      <c r="S16" s="211">
        <f>IFERROR(GETPIVOTDATA("Sum of 17:Water provision",T_06!$A$4,"PubLANAME",$B16), 0)</f>
        <v>0</v>
      </c>
      <c r="T16" s="211">
        <f>IFERROR(GETPIVOTDATA("Sum of 18:Stand By",T_06!$A$4,"PubLANAME",$B16), 0)</f>
        <v>0</v>
      </c>
      <c r="U16" s="211">
        <f>IFERROR(GETPIVOTDATA("Sum of 19:Assist other agencies",T_06!$A$4,"PubLANAME",$B16), 0)</f>
        <v>35</v>
      </c>
      <c r="V16" s="211">
        <f>IFERROR(GETPIVOTDATA("Sum of 20:Advice Only",T_06!$A$4,"PubLANAME",$B16), 0)</f>
        <v>9</v>
      </c>
      <c r="W16" s="466">
        <f t="shared" si="0"/>
        <v>459</v>
      </c>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ht="13.5" customHeight="1" x14ac:dyDescent="0.2">
      <c r="A17" s="1" t="s">
        <v>595</v>
      </c>
      <c r="B17" s="117" t="s">
        <v>30</v>
      </c>
      <c r="C17" s="211">
        <f>IFERROR(GETPIVOTDATA("Sum of 01:RTC",T_06!$A$4,"PubLANAME",$B17), 0)</f>
        <v>44</v>
      </c>
      <c r="D17" s="211">
        <f>IFERROR(GETPIVOTDATA("Sum of 02:Other Transport incident",T_06!$A$4,"PubLANAME",$B17), 0)</f>
        <v>0</v>
      </c>
      <c r="E17" s="211">
        <f>IFERROR(GETPIVOTDATA("Sum of 03:Flooding",T_06!$A$4,"PubLANAME",$B17), 0)</f>
        <v>29</v>
      </c>
      <c r="F17" s="212">
        <f>IFERROR(GETPIVOTDATA("Sum of 04:Rescue or evacuation from water",T_06!$A$4,"PubLANAME",$B17), 0)</f>
        <v>6</v>
      </c>
      <c r="G17" s="211">
        <f>IFERROR(GETPIVOTDATA("Sum of 05:Other rescue/release of persons",T_06!$A$4,"PubLANAME",$B17), 0)</f>
        <v>15</v>
      </c>
      <c r="H17" s="211">
        <f>IFERROR(GETPIVOTDATA("Sum of 06:Evacuation (no fire)",T_06!$A$4,"PubLANAME",$B17), 0)</f>
        <v>5</v>
      </c>
      <c r="I17" s="211">
        <f>IFERROR(GETPIVOTDATA("Sum of 07:Lift Release",T_06!$A$4,"PubLANAME",$B17), 0)</f>
        <v>2</v>
      </c>
      <c r="J17" s="211">
        <f>IFERROR(GETPIVOTDATA("Sum of 08:Medical Incident - First responder/Co-responder",T_06!$A$4,"PubLANAME",$B17), 0)</f>
        <v>8</v>
      </c>
      <c r="K17" s="211">
        <f>IFERROR(GETPIVOTDATA("Sum of 09:Suicide/attempts",T_06!$A$4,"PubLANAME",$B17), 0)</f>
        <v>3</v>
      </c>
      <c r="L17" s="211">
        <f>IFERROR(GETPIVOTDATA("Sum of 10:Hazardous Materials incident",T_06!$A$4,"PubLANAME",$B17), 0)</f>
        <v>0</v>
      </c>
      <c r="M17" s="211">
        <f>IFERROR(GETPIVOTDATA("Sum of 11:Spills and Leaks (not RTC)",T_06!$A$4,"PubLANAME",$B17), 0)</f>
        <v>1</v>
      </c>
      <c r="N17" s="211">
        <f>IFERROR(GETPIVOTDATA("Sum of 12:Removal of objects",T_06!$A$4,"PubLANAME",$B17), 0)</f>
        <v>8</v>
      </c>
      <c r="O17" s="211">
        <f>IFERROR(GETPIVOTDATA("Sum of 13:Animal assistance incidents",T_06!$A$4,"PubLANAME",$B17), 0)</f>
        <v>5</v>
      </c>
      <c r="P17" s="211">
        <f>IFERROR(GETPIVOTDATA("Sum of 14:Effecting entry/exit",T_06!$A$4,"PubLANAME",$B17), 0)</f>
        <v>56</v>
      </c>
      <c r="Q17" s="211">
        <f>IFERROR(GETPIVOTDATA("Sum of 15:Making Safe (not RTC)",T_06!$A$4,"PubLANAME",$B17), 0)</f>
        <v>5</v>
      </c>
      <c r="R17" s="211">
        <f>IFERROR(GETPIVOTDATA("Sum of 16:No action (not false alarm)",T_06!$A$4,"PubLANAME",$B17), 0)</f>
        <v>27</v>
      </c>
      <c r="S17" s="211">
        <f>IFERROR(GETPIVOTDATA("Sum of 17:Water provision",T_06!$A$4,"PubLANAME",$B17), 0)</f>
        <v>0</v>
      </c>
      <c r="T17" s="211">
        <f>IFERROR(GETPIVOTDATA("Sum of 18:Stand By",T_06!$A$4,"PubLANAME",$B17), 0)</f>
        <v>1</v>
      </c>
      <c r="U17" s="211">
        <f>IFERROR(GETPIVOTDATA("Sum of 19:Assist other agencies",T_06!$A$4,"PubLANAME",$B17), 0)</f>
        <v>24</v>
      </c>
      <c r="V17" s="211">
        <f>IFERROR(GETPIVOTDATA("Sum of 20:Advice Only",T_06!$A$4,"PubLANAME",$B17), 0)</f>
        <v>4</v>
      </c>
      <c r="W17" s="466">
        <f t="shared" si="0"/>
        <v>243</v>
      </c>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ht="13.5" customHeight="1" x14ac:dyDescent="0.2">
      <c r="A18" s="1" t="s">
        <v>596</v>
      </c>
      <c r="B18" s="117" t="s">
        <v>31</v>
      </c>
      <c r="C18" s="211">
        <f>IFERROR(GETPIVOTDATA("Sum of 01:RTC",T_06!$A$4,"PubLANAME",$B18), 0)</f>
        <v>13</v>
      </c>
      <c r="D18" s="211">
        <f>IFERROR(GETPIVOTDATA("Sum of 02:Other Transport incident",T_06!$A$4,"PubLANAME",$B18), 0)</f>
        <v>3</v>
      </c>
      <c r="E18" s="211">
        <f>IFERROR(GETPIVOTDATA("Sum of 03:Flooding",T_06!$A$4,"PubLANAME",$B18), 0)</f>
        <v>13</v>
      </c>
      <c r="F18" s="212">
        <f>IFERROR(GETPIVOTDATA("Sum of 04:Rescue or evacuation from water",T_06!$A$4,"PubLANAME",$B18), 0)</f>
        <v>2</v>
      </c>
      <c r="G18" s="211">
        <f>IFERROR(GETPIVOTDATA("Sum of 05:Other rescue/release of persons",T_06!$A$4,"PubLANAME",$B18), 0)</f>
        <v>11</v>
      </c>
      <c r="H18" s="211">
        <f>IFERROR(GETPIVOTDATA("Sum of 06:Evacuation (no fire)",T_06!$A$4,"PubLANAME",$B18), 0)</f>
        <v>1</v>
      </c>
      <c r="I18" s="211">
        <f>IFERROR(GETPIVOTDATA("Sum of 07:Lift Release",T_06!$A$4,"PubLANAME",$B18), 0)</f>
        <v>1</v>
      </c>
      <c r="J18" s="211">
        <f>IFERROR(GETPIVOTDATA("Sum of 08:Medical Incident - First responder/Co-responder",T_06!$A$4,"PubLANAME",$B18), 0)</f>
        <v>6</v>
      </c>
      <c r="K18" s="211">
        <f>IFERROR(GETPIVOTDATA("Sum of 09:Suicide/attempts",T_06!$A$4,"PubLANAME",$B18), 0)</f>
        <v>2</v>
      </c>
      <c r="L18" s="211">
        <f>IFERROR(GETPIVOTDATA("Sum of 10:Hazardous Materials incident",T_06!$A$4,"PubLANAME",$B18), 0)</f>
        <v>2</v>
      </c>
      <c r="M18" s="211">
        <f>IFERROR(GETPIVOTDATA("Sum of 11:Spills and Leaks (not RTC)",T_06!$A$4,"PubLANAME",$B18), 0)</f>
        <v>1</v>
      </c>
      <c r="N18" s="211">
        <f>IFERROR(GETPIVOTDATA("Sum of 12:Removal of objects",T_06!$A$4,"PubLANAME",$B18), 0)</f>
        <v>22</v>
      </c>
      <c r="O18" s="211">
        <f>IFERROR(GETPIVOTDATA("Sum of 13:Animal assistance incidents",T_06!$A$4,"PubLANAME",$B18), 0)</f>
        <v>4</v>
      </c>
      <c r="P18" s="211">
        <f>IFERROR(GETPIVOTDATA("Sum of 14:Effecting entry/exit",T_06!$A$4,"PubLANAME",$B18), 0)</f>
        <v>41</v>
      </c>
      <c r="Q18" s="211">
        <f>IFERROR(GETPIVOTDATA("Sum of 15:Making Safe (not RTC)",T_06!$A$4,"PubLANAME",$B18), 0)</f>
        <v>2</v>
      </c>
      <c r="R18" s="211">
        <f>IFERROR(GETPIVOTDATA("Sum of 16:No action (not false alarm)",T_06!$A$4,"PubLANAME",$B18), 0)</f>
        <v>13</v>
      </c>
      <c r="S18" s="211">
        <f>IFERROR(GETPIVOTDATA("Sum of 17:Water provision",T_06!$A$4,"PubLANAME",$B18), 0)</f>
        <v>0</v>
      </c>
      <c r="T18" s="211">
        <f>IFERROR(GETPIVOTDATA("Sum of 18:Stand By",T_06!$A$4,"PubLANAME",$B18), 0)</f>
        <v>1</v>
      </c>
      <c r="U18" s="211">
        <f>IFERROR(GETPIVOTDATA("Sum of 19:Assist other agencies",T_06!$A$4,"PubLANAME",$B18), 0)</f>
        <v>18</v>
      </c>
      <c r="V18" s="211">
        <f>IFERROR(GETPIVOTDATA("Sum of 20:Advice Only",T_06!$A$4,"PubLANAME",$B18), 0)</f>
        <v>4</v>
      </c>
      <c r="W18" s="466">
        <f t="shared" si="0"/>
        <v>160</v>
      </c>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ht="13.5" customHeight="1" x14ac:dyDescent="0.2">
      <c r="A19" s="1" t="s">
        <v>597</v>
      </c>
      <c r="B19" s="117" t="s">
        <v>32</v>
      </c>
      <c r="C19" s="211">
        <f>IFERROR(GETPIVOTDATA("Sum of 01:RTC",T_06!$A$4,"PubLANAME",$B19), 0)</f>
        <v>25</v>
      </c>
      <c r="D19" s="211">
        <f>IFERROR(GETPIVOTDATA("Sum of 02:Other Transport incident",T_06!$A$4,"PubLANAME",$B19), 0)</f>
        <v>1</v>
      </c>
      <c r="E19" s="211">
        <f>IFERROR(GETPIVOTDATA("Sum of 03:Flooding",T_06!$A$4,"PubLANAME",$B19), 0)</f>
        <v>15</v>
      </c>
      <c r="F19" s="212">
        <f>IFERROR(GETPIVOTDATA("Sum of 04:Rescue or evacuation from water",T_06!$A$4,"PubLANAME",$B19), 0)</f>
        <v>3</v>
      </c>
      <c r="G19" s="211">
        <f>IFERROR(GETPIVOTDATA("Sum of 05:Other rescue/release of persons",T_06!$A$4,"PubLANAME",$B19), 0)</f>
        <v>15</v>
      </c>
      <c r="H19" s="211">
        <f>IFERROR(GETPIVOTDATA("Sum of 06:Evacuation (no fire)",T_06!$A$4,"PubLANAME",$B19), 0)</f>
        <v>0</v>
      </c>
      <c r="I19" s="211">
        <f>IFERROR(GETPIVOTDATA("Sum of 07:Lift Release",T_06!$A$4,"PubLANAME",$B19), 0)</f>
        <v>1</v>
      </c>
      <c r="J19" s="211">
        <f>IFERROR(GETPIVOTDATA("Sum of 08:Medical Incident - First responder/Co-responder",T_06!$A$4,"PubLANAME",$B19), 0)</f>
        <v>9</v>
      </c>
      <c r="K19" s="211">
        <f>IFERROR(GETPIVOTDATA("Sum of 09:Suicide/attempts",T_06!$A$4,"PubLANAME",$B19), 0)</f>
        <v>5</v>
      </c>
      <c r="L19" s="211">
        <f>IFERROR(GETPIVOTDATA("Sum of 10:Hazardous Materials incident",T_06!$A$4,"PubLANAME",$B19), 0)</f>
        <v>2</v>
      </c>
      <c r="M19" s="211">
        <f>IFERROR(GETPIVOTDATA("Sum of 11:Spills and Leaks (not RTC)",T_06!$A$4,"PubLANAME",$B19), 0)</f>
        <v>2</v>
      </c>
      <c r="N19" s="211">
        <f>IFERROR(GETPIVOTDATA("Sum of 12:Removal of objects",T_06!$A$4,"PubLANAME",$B19), 0)</f>
        <v>12</v>
      </c>
      <c r="O19" s="211">
        <f>IFERROR(GETPIVOTDATA("Sum of 13:Animal assistance incidents",T_06!$A$4,"PubLANAME",$B19), 0)</f>
        <v>5</v>
      </c>
      <c r="P19" s="211">
        <f>IFERROR(GETPIVOTDATA("Sum of 14:Effecting entry/exit",T_06!$A$4,"PubLANAME",$B19), 0)</f>
        <v>59</v>
      </c>
      <c r="Q19" s="211">
        <f>IFERROR(GETPIVOTDATA("Sum of 15:Making Safe (not RTC)",T_06!$A$4,"PubLANAME",$B19), 0)</f>
        <v>4</v>
      </c>
      <c r="R19" s="211">
        <f>IFERROR(GETPIVOTDATA("Sum of 16:No action (not false alarm)",T_06!$A$4,"PubLANAME",$B19), 0)</f>
        <v>10</v>
      </c>
      <c r="S19" s="211">
        <f>IFERROR(GETPIVOTDATA("Sum of 17:Water provision",T_06!$A$4,"PubLANAME",$B19), 0)</f>
        <v>0</v>
      </c>
      <c r="T19" s="211">
        <f>IFERROR(GETPIVOTDATA("Sum of 18:Stand By",T_06!$A$4,"PubLANAME",$B19), 0)</f>
        <v>1</v>
      </c>
      <c r="U19" s="211">
        <f>IFERROR(GETPIVOTDATA("Sum of 19:Assist other agencies",T_06!$A$4,"PubLANAME",$B19), 0)</f>
        <v>17</v>
      </c>
      <c r="V19" s="211">
        <f>IFERROR(GETPIVOTDATA("Sum of 20:Advice Only",T_06!$A$4,"PubLANAME",$B19), 0)</f>
        <v>0</v>
      </c>
      <c r="W19" s="466">
        <f t="shared" si="0"/>
        <v>186</v>
      </c>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row>
    <row r="20" spans="1:90" ht="13.5" customHeight="1" x14ac:dyDescent="0.2">
      <c r="A20" s="1" t="s">
        <v>598</v>
      </c>
      <c r="B20" s="117" t="s">
        <v>33</v>
      </c>
      <c r="C20" s="211">
        <f>IFERROR(GETPIVOTDATA("Sum of 01:RTC",T_06!$A$4,"PubLANAME",$B20), 0)</f>
        <v>11</v>
      </c>
      <c r="D20" s="211">
        <f>IFERROR(GETPIVOTDATA("Sum of 02:Other Transport incident",T_06!$A$4,"PubLANAME",$B20), 0)</f>
        <v>1</v>
      </c>
      <c r="E20" s="211">
        <f>IFERROR(GETPIVOTDATA("Sum of 03:Flooding",T_06!$A$4,"PubLANAME",$B20), 0)</f>
        <v>13</v>
      </c>
      <c r="F20" s="212">
        <f>IFERROR(GETPIVOTDATA("Sum of 04:Rescue or evacuation from water",T_06!$A$4,"PubLANAME",$B20), 0)</f>
        <v>0</v>
      </c>
      <c r="G20" s="211">
        <f>IFERROR(GETPIVOTDATA("Sum of 05:Other rescue/release of persons",T_06!$A$4,"PubLANAME",$B20), 0)</f>
        <v>3</v>
      </c>
      <c r="H20" s="211">
        <f>IFERROR(GETPIVOTDATA("Sum of 06:Evacuation (no fire)",T_06!$A$4,"PubLANAME",$B20), 0)</f>
        <v>2</v>
      </c>
      <c r="I20" s="211">
        <f>IFERROR(GETPIVOTDATA("Sum of 07:Lift Release",T_06!$A$4,"PubLANAME",$B20), 0)</f>
        <v>5</v>
      </c>
      <c r="J20" s="211">
        <f>IFERROR(GETPIVOTDATA("Sum of 08:Medical Incident - First responder/Co-responder",T_06!$A$4,"PubLANAME",$B20), 0)</f>
        <v>2</v>
      </c>
      <c r="K20" s="211">
        <f>IFERROR(GETPIVOTDATA("Sum of 09:Suicide/attempts",T_06!$A$4,"PubLANAME",$B20), 0)</f>
        <v>1</v>
      </c>
      <c r="L20" s="211">
        <f>IFERROR(GETPIVOTDATA("Sum of 10:Hazardous Materials incident",T_06!$A$4,"PubLANAME",$B20), 0)</f>
        <v>0</v>
      </c>
      <c r="M20" s="211">
        <f>IFERROR(GETPIVOTDATA("Sum of 11:Spills and Leaks (not RTC)",T_06!$A$4,"PubLANAME",$B20), 0)</f>
        <v>0</v>
      </c>
      <c r="N20" s="211">
        <f>IFERROR(GETPIVOTDATA("Sum of 12:Removal of objects",T_06!$A$4,"PubLANAME",$B20), 0)</f>
        <v>5</v>
      </c>
      <c r="O20" s="211">
        <f>IFERROR(GETPIVOTDATA("Sum of 13:Animal assistance incidents",T_06!$A$4,"PubLANAME",$B20), 0)</f>
        <v>11</v>
      </c>
      <c r="P20" s="211">
        <f>IFERROR(GETPIVOTDATA("Sum of 14:Effecting entry/exit",T_06!$A$4,"PubLANAME",$B20), 0)</f>
        <v>32</v>
      </c>
      <c r="Q20" s="211">
        <f>IFERROR(GETPIVOTDATA("Sum of 15:Making Safe (not RTC)",T_06!$A$4,"PubLANAME",$B20), 0)</f>
        <v>2</v>
      </c>
      <c r="R20" s="211">
        <f>IFERROR(GETPIVOTDATA("Sum of 16:No action (not false alarm)",T_06!$A$4,"PubLANAME",$B20), 0)</f>
        <v>14</v>
      </c>
      <c r="S20" s="211">
        <f>IFERROR(GETPIVOTDATA("Sum of 17:Water provision",T_06!$A$4,"PubLANAME",$B20), 0)</f>
        <v>0</v>
      </c>
      <c r="T20" s="211">
        <f>IFERROR(GETPIVOTDATA("Sum of 18:Stand By",T_06!$A$4,"PubLANAME",$B20), 0)</f>
        <v>0</v>
      </c>
      <c r="U20" s="211">
        <f>IFERROR(GETPIVOTDATA("Sum of 19:Assist other agencies",T_06!$A$4,"PubLANAME",$B20), 0)</f>
        <v>11</v>
      </c>
      <c r="V20" s="211">
        <f>IFERROR(GETPIVOTDATA("Sum of 20:Advice Only",T_06!$A$4,"PubLANAME",$B20), 0)</f>
        <v>1</v>
      </c>
      <c r="W20" s="466">
        <f t="shared" si="0"/>
        <v>114</v>
      </c>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row>
    <row r="21" spans="1:90" ht="13.5" customHeight="1" x14ac:dyDescent="0.2">
      <c r="A21" s="1" t="s">
        <v>599</v>
      </c>
      <c r="B21" s="117" t="s">
        <v>34</v>
      </c>
      <c r="C21" s="211">
        <f>IFERROR(GETPIVOTDATA("Sum of 01:RTC",T_06!$A$4,"PubLANAME",$B21), 0)</f>
        <v>53</v>
      </c>
      <c r="D21" s="211">
        <f>IFERROR(GETPIVOTDATA("Sum of 02:Other Transport incident",T_06!$A$4,"PubLANAME",$B21), 0)</f>
        <v>1</v>
      </c>
      <c r="E21" s="211">
        <f>IFERROR(GETPIVOTDATA("Sum of 03:Flooding",T_06!$A$4,"PubLANAME",$B21), 0)</f>
        <v>43</v>
      </c>
      <c r="F21" s="212">
        <f>IFERROR(GETPIVOTDATA("Sum of 04:Rescue or evacuation from water",T_06!$A$4,"PubLANAME",$B21), 0)</f>
        <v>13</v>
      </c>
      <c r="G21" s="211">
        <f>IFERROR(GETPIVOTDATA("Sum of 05:Other rescue/release of persons",T_06!$A$4,"PubLANAME",$B21), 0)</f>
        <v>16</v>
      </c>
      <c r="H21" s="211">
        <f>IFERROR(GETPIVOTDATA("Sum of 06:Evacuation (no fire)",T_06!$A$4,"PubLANAME",$B21), 0)</f>
        <v>6</v>
      </c>
      <c r="I21" s="211">
        <f>IFERROR(GETPIVOTDATA("Sum of 07:Lift Release",T_06!$A$4,"PubLANAME",$B21), 0)</f>
        <v>7</v>
      </c>
      <c r="J21" s="211">
        <f>IFERROR(GETPIVOTDATA("Sum of 08:Medical Incident - First responder/Co-responder",T_06!$A$4,"PubLANAME",$B21), 0)</f>
        <v>9</v>
      </c>
      <c r="K21" s="211">
        <f>IFERROR(GETPIVOTDATA("Sum of 09:Suicide/attempts",T_06!$A$4,"PubLANAME",$B21), 0)</f>
        <v>2</v>
      </c>
      <c r="L21" s="211">
        <f>IFERROR(GETPIVOTDATA("Sum of 10:Hazardous Materials incident",T_06!$A$4,"PubLANAME",$B21), 0)</f>
        <v>9</v>
      </c>
      <c r="M21" s="211">
        <f>IFERROR(GETPIVOTDATA("Sum of 11:Spills and Leaks (not RTC)",T_06!$A$4,"PubLANAME",$B21), 0)</f>
        <v>2</v>
      </c>
      <c r="N21" s="211">
        <f>IFERROR(GETPIVOTDATA("Sum of 12:Removal of objects",T_06!$A$4,"PubLANAME",$B21), 0)</f>
        <v>10</v>
      </c>
      <c r="O21" s="211">
        <f>IFERROR(GETPIVOTDATA("Sum of 13:Animal assistance incidents",T_06!$A$4,"PubLANAME",$B21), 0)</f>
        <v>18</v>
      </c>
      <c r="P21" s="211">
        <f>IFERROR(GETPIVOTDATA("Sum of 14:Effecting entry/exit",T_06!$A$4,"PubLANAME",$B21), 0)</f>
        <v>100</v>
      </c>
      <c r="Q21" s="211">
        <f>IFERROR(GETPIVOTDATA("Sum of 15:Making Safe (not RTC)",T_06!$A$4,"PubLANAME",$B21), 0)</f>
        <v>6</v>
      </c>
      <c r="R21" s="211">
        <f>IFERROR(GETPIVOTDATA("Sum of 16:No action (not false alarm)",T_06!$A$4,"PubLANAME",$B21), 0)</f>
        <v>17</v>
      </c>
      <c r="S21" s="211">
        <f>IFERROR(GETPIVOTDATA("Sum of 17:Water provision",T_06!$A$4,"PubLANAME",$B21), 0)</f>
        <v>0</v>
      </c>
      <c r="T21" s="211">
        <f>IFERROR(GETPIVOTDATA("Sum of 18:Stand By",T_06!$A$4,"PubLANAME",$B21), 0)</f>
        <v>0</v>
      </c>
      <c r="U21" s="211">
        <f>IFERROR(GETPIVOTDATA("Sum of 19:Assist other agencies",T_06!$A$4,"PubLANAME",$B21), 0)</f>
        <v>32</v>
      </c>
      <c r="V21" s="211">
        <f>IFERROR(GETPIVOTDATA("Sum of 20:Advice Only",T_06!$A$4,"PubLANAME",$B21), 0)</f>
        <v>1</v>
      </c>
      <c r="W21" s="466">
        <f t="shared" si="0"/>
        <v>345</v>
      </c>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ht="13.5" customHeight="1" x14ac:dyDescent="0.2">
      <c r="A22" s="1" t="s">
        <v>600</v>
      </c>
      <c r="B22" s="117" t="s">
        <v>35</v>
      </c>
      <c r="C22" s="211">
        <f>IFERROR(GETPIVOTDATA("Sum of 01:RTC",T_06!$A$4,"PubLANAME",$B22), 0)</f>
        <v>100</v>
      </c>
      <c r="D22" s="211">
        <f>IFERROR(GETPIVOTDATA("Sum of 02:Other Transport incident",T_06!$A$4,"PubLANAME",$B22), 0)</f>
        <v>0</v>
      </c>
      <c r="E22" s="211">
        <f>IFERROR(GETPIVOTDATA("Sum of 03:Flooding",T_06!$A$4,"PubLANAME",$B22), 0)</f>
        <v>145</v>
      </c>
      <c r="F22" s="212">
        <f>IFERROR(GETPIVOTDATA("Sum of 04:Rescue or evacuation from water",T_06!$A$4,"PubLANAME",$B22), 0)</f>
        <v>11</v>
      </c>
      <c r="G22" s="211">
        <f>IFERROR(GETPIVOTDATA("Sum of 05:Other rescue/release of persons",T_06!$A$4,"PubLANAME",$B22), 0)</f>
        <v>56</v>
      </c>
      <c r="H22" s="211">
        <f>IFERROR(GETPIVOTDATA("Sum of 06:Evacuation (no fire)",T_06!$A$4,"PubLANAME",$B22), 0)</f>
        <v>3</v>
      </c>
      <c r="I22" s="211">
        <f>IFERROR(GETPIVOTDATA("Sum of 07:Lift Release",T_06!$A$4,"PubLANAME",$B22), 0)</f>
        <v>16</v>
      </c>
      <c r="J22" s="211">
        <f>IFERROR(GETPIVOTDATA("Sum of 08:Medical Incident - First responder/Co-responder",T_06!$A$4,"PubLANAME",$B22), 0)</f>
        <v>23</v>
      </c>
      <c r="K22" s="211">
        <f>IFERROR(GETPIVOTDATA("Sum of 09:Suicide/attempts",T_06!$A$4,"PubLANAME",$B22), 0)</f>
        <v>16</v>
      </c>
      <c r="L22" s="211">
        <f>IFERROR(GETPIVOTDATA("Sum of 10:Hazardous Materials incident",T_06!$A$4,"PubLANAME",$B22), 0)</f>
        <v>12</v>
      </c>
      <c r="M22" s="211">
        <f>IFERROR(GETPIVOTDATA("Sum of 11:Spills and Leaks (not RTC)",T_06!$A$4,"PubLANAME",$B22), 0)</f>
        <v>7</v>
      </c>
      <c r="N22" s="211">
        <f>IFERROR(GETPIVOTDATA("Sum of 12:Removal of objects",T_06!$A$4,"PubLANAME",$B22), 0)</f>
        <v>28</v>
      </c>
      <c r="O22" s="211">
        <f>IFERROR(GETPIVOTDATA("Sum of 13:Animal assistance incidents",T_06!$A$4,"PubLANAME",$B22), 0)</f>
        <v>34</v>
      </c>
      <c r="P22" s="211">
        <f>IFERROR(GETPIVOTDATA("Sum of 14:Effecting entry/exit",T_06!$A$4,"PubLANAME",$B22), 0)</f>
        <v>298</v>
      </c>
      <c r="Q22" s="211">
        <f>IFERROR(GETPIVOTDATA("Sum of 15:Making Safe (not RTC)",T_06!$A$4,"PubLANAME",$B22), 0)</f>
        <v>14</v>
      </c>
      <c r="R22" s="211">
        <f>IFERROR(GETPIVOTDATA("Sum of 16:No action (not false alarm)",T_06!$A$4,"PubLANAME",$B22), 0)</f>
        <v>32</v>
      </c>
      <c r="S22" s="211">
        <f>IFERROR(GETPIVOTDATA("Sum of 17:Water provision",T_06!$A$4,"PubLANAME",$B22), 0)</f>
        <v>0</v>
      </c>
      <c r="T22" s="211">
        <f>IFERROR(GETPIVOTDATA("Sum of 18:Stand By",T_06!$A$4,"PubLANAME",$B22), 0)</f>
        <v>2</v>
      </c>
      <c r="U22" s="211">
        <f>IFERROR(GETPIVOTDATA("Sum of 19:Assist other agencies",T_06!$A$4,"PubLANAME",$B22), 0)</f>
        <v>45</v>
      </c>
      <c r="V22" s="211">
        <f>IFERROR(GETPIVOTDATA("Sum of 20:Advice Only",T_06!$A$4,"PubLANAME",$B22), 0)</f>
        <v>7</v>
      </c>
      <c r="W22" s="466">
        <f t="shared" si="0"/>
        <v>849</v>
      </c>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ht="13.5" customHeight="1" x14ac:dyDescent="0.2">
      <c r="A23" s="1" t="s">
        <v>601</v>
      </c>
      <c r="B23" s="117" t="s">
        <v>36</v>
      </c>
      <c r="C23" s="211">
        <f>IFERROR(GETPIVOTDATA("Sum of 01:RTC",T_06!$A$4,"PubLANAME",$B23), 0)</f>
        <v>151</v>
      </c>
      <c r="D23" s="211">
        <f>IFERROR(GETPIVOTDATA("Sum of 02:Other Transport incident",T_06!$A$4,"PubLANAME",$B23), 0)</f>
        <v>12</v>
      </c>
      <c r="E23" s="211">
        <f>IFERROR(GETPIVOTDATA("Sum of 03:Flooding",T_06!$A$4,"PubLANAME",$B23), 0)</f>
        <v>329</v>
      </c>
      <c r="F23" s="212">
        <f>IFERROR(GETPIVOTDATA("Sum of 04:Rescue or evacuation from water",T_06!$A$4,"PubLANAME",$B23), 0)</f>
        <v>34</v>
      </c>
      <c r="G23" s="211">
        <f>IFERROR(GETPIVOTDATA("Sum of 05:Other rescue/release of persons",T_06!$A$4,"PubLANAME",$B23), 0)</f>
        <v>64</v>
      </c>
      <c r="H23" s="211">
        <f>IFERROR(GETPIVOTDATA("Sum of 06:Evacuation (no fire)",T_06!$A$4,"PubLANAME",$B23), 0)</f>
        <v>16</v>
      </c>
      <c r="I23" s="211">
        <f>IFERROR(GETPIVOTDATA("Sum of 07:Lift Release",T_06!$A$4,"PubLANAME",$B23), 0)</f>
        <v>86</v>
      </c>
      <c r="J23" s="211">
        <f>IFERROR(GETPIVOTDATA("Sum of 08:Medical Incident - First responder/Co-responder",T_06!$A$4,"PubLANAME",$B23), 0)</f>
        <v>56</v>
      </c>
      <c r="K23" s="211">
        <f>IFERROR(GETPIVOTDATA("Sum of 09:Suicide/attempts",T_06!$A$4,"PubLANAME",$B23), 0)</f>
        <v>36</v>
      </c>
      <c r="L23" s="211">
        <f>IFERROR(GETPIVOTDATA("Sum of 10:Hazardous Materials incident",T_06!$A$4,"PubLANAME",$B23), 0)</f>
        <v>18</v>
      </c>
      <c r="M23" s="211">
        <f>IFERROR(GETPIVOTDATA("Sum of 11:Spills and Leaks (not RTC)",T_06!$A$4,"PubLANAME",$B23), 0)</f>
        <v>8</v>
      </c>
      <c r="N23" s="211">
        <f>IFERROR(GETPIVOTDATA("Sum of 12:Removal of objects",T_06!$A$4,"PubLANAME",$B23), 0)</f>
        <v>67</v>
      </c>
      <c r="O23" s="211">
        <f>IFERROR(GETPIVOTDATA("Sum of 13:Animal assistance incidents",T_06!$A$4,"PubLANAME",$B23), 0)</f>
        <v>53</v>
      </c>
      <c r="P23" s="211">
        <f>IFERROR(GETPIVOTDATA("Sum of 14:Effecting entry/exit",T_06!$A$4,"PubLANAME",$B23), 0)</f>
        <v>634</v>
      </c>
      <c r="Q23" s="211">
        <f>IFERROR(GETPIVOTDATA("Sum of 15:Making Safe (not RTC)",T_06!$A$4,"PubLANAME",$B23), 0)</f>
        <v>20</v>
      </c>
      <c r="R23" s="211">
        <f>IFERROR(GETPIVOTDATA("Sum of 16:No action (not false alarm)",T_06!$A$4,"PubLANAME",$B23), 0)</f>
        <v>249</v>
      </c>
      <c r="S23" s="211">
        <f>IFERROR(GETPIVOTDATA("Sum of 17:Water provision",T_06!$A$4,"PubLANAME",$B23), 0)</f>
        <v>1</v>
      </c>
      <c r="T23" s="211">
        <f>IFERROR(GETPIVOTDATA("Sum of 18:Stand By",T_06!$A$4,"PubLANAME",$B23), 0)</f>
        <v>1</v>
      </c>
      <c r="U23" s="211">
        <f>IFERROR(GETPIVOTDATA("Sum of 19:Assist other agencies",T_06!$A$4,"PubLANAME",$B23), 0)</f>
        <v>207</v>
      </c>
      <c r="V23" s="211">
        <f>IFERROR(GETPIVOTDATA("Sum of 20:Advice Only",T_06!$A$4,"PubLANAME",$B23), 0)</f>
        <v>41</v>
      </c>
      <c r="W23" s="466">
        <f t="shared" si="0"/>
        <v>2083</v>
      </c>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ht="13.5" customHeight="1" x14ac:dyDescent="0.2">
      <c r="A24" s="1" t="s">
        <v>602</v>
      </c>
      <c r="B24" s="117" t="s">
        <v>37</v>
      </c>
      <c r="C24" s="211">
        <f>IFERROR(GETPIVOTDATA("Sum of 01:RTC",T_06!$A$4,"PubLANAME",$B24), 0)</f>
        <v>140</v>
      </c>
      <c r="D24" s="211">
        <f>IFERROR(GETPIVOTDATA("Sum of 02:Other Transport incident",T_06!$A$4,"PubLANAME",$B24), 0)</f>
        <v>3</v>
      </c>
      <c r="E24" s="211">
        <f>IFERROR(GETPIVOTDATA("Sum of 03:Flooding",T_06!$A$4,"PubLANAME",$B24), 0)</f>
        <v>41</v>
      </c>
      <c r="F24" s="212">
        <f>IFERROR(GETPIVOTDATA("Sum of 04:Rescue or evacuation from water",T_06!$A$4,"PubLANAME",$B24), 0)</f>
        <v>17</v>
      </c>
      <c r="G24" s="211">
        <f>IFERROR(GETPIVOTDATA("Sum of 05:Other rescue/release of persons",T_06!$A$4,"PubLANAME",$B24), 0)</f>
        <v>31</v>
      </c>
      <c r="H24" s="211">
        <f>IFERROR(GETPIVOTDATA("Sum of 06:Evacuation (no fire)",T_06!$A$4,"PubLANAME",$B24), 0)</f>
        <v>6</v>
      </c>
      <c r="I24" s="211">
        <f>IFERROR(GETPIVOTDATA("Sum of 07:Lift Release",T_06!$A$4,"PubLANAME",$B24), 0)</f>
        <v>4</v>
      </c>
      <c r="J24" s="211">
        <f>IFERROR(GETPIVOTDATA("Sum of 08:Medical Incident - First responder/Co-responder",T_06!$A$4,"PubLANAME",$B24), 0)</f>
        <v>10</v>
      </c>
      <c r="K24" s="211">
        <f>IFERROR(GETPIVOTDATA("Sum of 09:Suicide/attempts",T_06!$A$4,"PubLANAME",$B24), 0)</f>
        <v>6</v>
      </c>
      <c r="L24" s="211">
        <f>IFERROR(GETPIVOTDATA("Sum of 10:Hazardous Materials incident",T_06!$A$4,"PubLANAME",$B24), 0)</f>
        <v>6</v>
      </c>
      <c r="M24" s="211">
        <f>IFERROR(GETPIVOTDATA("Sum of 11:Spills and Leaks (not RTC)",T_06!$A$4,"PubLANAME",$B24), 0)</f>
        <v>2</v>
      </c>
      <c r="N24" s="211">
        <f>IFERROR(GETPIVOTDATA("Sum of 12:Removal of objects",T_06!$A$4,"PubLANAME",$B24), 0)</f>
        <v>6</v>
      </c>
      <c r="O24" s="211">
        <f>IFERROR(GETPIVOTDATA("Sum of 13:Animal assistance incidents",T_06!$A$4,"PubLANAME",$B24), 0)</f>
        <v>23</v>
      </c>
      <c r="P24" s="211">
        <f>IFERROR(GETPIVOTDATA("Sum of 14:Effecting entry/exit",T_06!$A$4,"PubLANAME",$B24), 0)</f>
        <v>112</v>
      </c>
      <c r="Q24" s="211">
        <f>IFERROR(GETPIVOTDATA("Sum of 15:Making Safe (not RTC)",T_06!$A$4,"PubLANAME",$B24), 0)</f>
        <v>13</v>
      </c>
      <c r="R24" s="211">
        <f>IFERROR(GETPIVOTDATA("Sum of 16:No action (not false alarm)",T_06!$A$4,"PubLANAME",$B24), 0)</f>
        <v>12</v>
      </c>
      <c r="S24" s="211">
        <f>IFERROR(GETPIVOTDATA("Sum of 17:Water provision",T_06!$A$4,"PubLANAME",$B24), 0)</f>
        <v>0</v>
      </c>
      <c r="T24" s="211">
        <f>IFERROR(GETPIVOTDATA("Sum of 18:Stand By",T_06!$A$4,"PubLANAME",$B24), 0)</f>
        <v>1</v>
      </c>
      <c r="U24" s="211">
        <f>IFERROR(GETPIVOTDATA("Sum of 19:Assist other agencies",T_06!$A$4,"PubLANAME",$B24), 0)</f>
        <v>81</v>
      </c>
      <c r="V24" s="211">
        <f>IFERROR(GETPIVOTDATA("Sum of 20:Advice Only",T_06!$A$4,"PubLANAME",$B24), 0)</f>
        <v>3</v>
      </c>
      <c r="W24" s="466">
        <f t="shared" si="0"/>
        <v>517</v>
      </c>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ht="13.5" customHeight="1" x14ac:dyDescent="0.2">
      <c r="A25" s="1" t="s">
        <v>603</v>
      </c>
      <c r="B25" s="117" t="s">
        <v>38</v>
      </c>
      <c r="C25" s="211">
        <f>IFERROR(GETPIVOTDATA("Sum of 01:RTC",T_06!$A$4,"PubLANAME",$B25), 0)</f>
        <v>26</v>
      </c>
      <c r="D25" s="211">
        <f>IFERROR(GETPIVOTDATA("Sum of 02:Other Transport incident",T_06!$A$4,"PubLANAME",$B25), 0)</f>
        <v>1</v>
      </c>
      <c r="E25" s="211">
        <f>IFERROR(GETPIVOTDATA("Sum of 03:Flooding",T_06!$A$4,"PubLANAME",$B25), 0)</f>
        <v>23</v>
      </c>
      <c r="F25" s="212">
        <f>IFERROR(GETPIVOTDATA("Sum of 04:Rescue or evacuation from water",T_06!$A$4,"PubLANAME",$B25), 0)</f>
        <v>2</v>
      </c>
      <c r="G25" s="211">
        <f>IFERROR(GETPIVOTDATA("Sum of 05:Other rescue/release of persons",T_06!$A$4,"PubLANAME",$B25), 0)</f>
        <v>10</v>
      </c>
      <c r="H25" s="211">
        <f>IFERROR(GETPIVOTDATA("Sum of 06:Evacuation (no fire)",T_06!$A$4,"PubLANAME",$B25), 0)</f>
        <v>4</v>
      </c>
      <c r="I25" s="211">
        <f>IFERROR(GETPIVOTDATA("Sum of 07:Lift Release",T_06!$A$4,"PubLANAME",$B25), 0)</f>
        <v>5</v>
      </c>
      <c r="J25" s="211">
        <f>IFERROR(GETPIVOTDATA("Sum of 08:Medical Incident - First responder/Co-responder",T_06!$A$4,"PubLANAME",$B25), 0)</f>
        <v>6</v>
      </c>
      <c r="K25" s="211">
        <f>IFERROR(GETPIVOTDATA("Sum of 09:Suicide/attempts",T_06!$A$4,"PubLANAME",$B25), 0)</f>
        <v>2</v>
      </c>
      <c r="L25" s="211">
        <f>IFERROR(GETPIVOTDATA("Sum of 10:Hazardous Materials incident",T_06!$A$4,"PubLANAME",$B25), 0)</f>
        <v>6</v>
      </c>
      <c r="M25" s="211">
        <f>IFERROR(GETPIVOTDATA("Sum of 11:Spills and Leaks (not RTC)",T_06!$A$4,"PubLANAME",$B25), 0)</f>
        <v>0</v>
      </c>
      <c r="N25" s="211">
        <f>IFERROR(GETPIVOTDATA("Sum of 12:Removal of objects",T_06!$A$4,"PubLANAME",$B25), 0)</f>
        <v>5</v>
      </c>
      <c r="O25" s="211">
        <f>IFERROR(GETPIVOTDATA("Sum of 13:Animal assistance incidents",T_06!$A$4,"PubLANAME",$B25), 0)</f>
        <v>6</v>
      </c>
      <c r="P25" s="211">
        <f>IFERROR(GETPIVOTDATA("Sum of 14:Effecting entry/exit",T_06!$A$4,"PubLANAME",$B25), 0)</f>
        <v>72</v>
      </c>
      <c r="Q25" s="211">
        <f>IFERROR(GETPIVOTDATA("Sum of 15:Making Safe (not RTC)",T_06!$A$4,"PubLANAME",$B25), 0)</f>
        <v>4</v>
      </c>
      <c r="R25" s="211">
        <f>IFERROR(GETPIVOTDATA("Sum of 16:No action (not false alarm)",T_06!$A$4,"PubLANAME",$B25), 0)</f>
        <v>25</v>
      </c>
      <c r="S25" s="211">
        <f>IFERROR(GETPIVOTDATA("Sum of 17:Water provision",T_06!$A$4,"PubLANAME",$B25), 0)</f>
        <v>0</v>
      </c>
      <c r="T25" s="211">
        <f>IFERROR(GETPIVOTDATA("Sum of 18:Stand By",T_06!$A$4,"PubLANAME",$B25), 0)</f>
        <v>2</v>
      </c>
      <c r="U25" s="211">
        <f>IFERROR(GETPIVOTDATA("Sum of 19:Assist other agencies",T_06!$A$4,"PubLANAME",$B25), 0)</f>
        <v>16</v>
      </c>
      <c r="V25" s="211">
        <f>IFERROR(GETPIVOTDATA("Sum of 20:Advice Only",T_06!$A$4,"PubLANAME",$B25), 0)</f>
        <v>1</v>
      </c>
      <c r="W25" s="466">
        <f t="shared" si="0"/>
        <v>216</v>
      </c>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ht="13.5" customHeight="1" x14ac:dyDescent="0.2">
      <c r="A26" s="1" t="s">
        <v>604</v>
      </c>
      <c r="B26" s="117" t="s">
        <v>39</v>
      </c>
      <c r="C26" s="211">
        <f>IFERROR(GETPIVOTDATA("Sum of 01:RTC",T_06!$A$4,"PubLANAME",$B26), 0)</f>
        <v>21</v>
      </c>
      <c r="D26" s="211">
        <f>IFERROR(GETPIVOTDATA("Sum of 02:Other Transport incident",T_06!$A$4,"PubLANAME",$B26), 0)</f>
        <v>0</v>
      </c>
      <c r="E26" s="211">
        <f>IFERROR(GETPIVOTDATA("Sum of 03:Flooding",T_06!$A$4,"PubLANAME",$B26), 0)</f>
        <v>20</v>
      </c>
      <c r="F26" s="212">
        <f>IFERROR(GETPIVOTDATA("Sum of 04:Rescue or evacuation from water",T_06!$A$4,"PubLANAME",$B26), 0)</f>
        <v>6</v>
      </c>
      <c r="G26" s="211">
        <f>IFERROR(GETPIVOTDATA("Sum of 05:Other rescue/release of persons",T_06!$A$4,"PubLANAME",$B26), 0)</f>
        <v>5</v>
      </c>
      <c r="H26" s="211">
        <f>IFERROR(GETPIVOTDATA("Sum of 06:Evacuation (no fire)",T_06!$A$4,"PubLANAME",$B26), 0)</f>
        <v>0</v>
      </c>
      <c r="I26" s="211">
        <f>IFERROR(GETPIVOTDATA("Sum of 07:Lift Release",T_06!$A$4,"PubLANAME",$B26), 0)</f>
        <v>1</v>
      </c>
      <c r="J26" s="211">
        <f>IFERROR(GETPIVOTDATA("Sum of 08:Medical Incident - First responder/Co-responder",T_06!$A$4,"PubLANAME",$B26), 0)</f>
        <v>7</v>
      </c>
      <c r="K26" s="211">
        <f>IFERROR(GETPIVOTDATA("Sum of 09:Suicide/attempts",T_06!$A$4,"PubLANAME",$B26), 0)</f>
        <v>4</v>
      </c>
      <c r="L26" s="211">
        <f>IFERROR(GETPIVOTDATA("Sum of 10:Hazardous Materials incident",T_06!$A$4,"PubLANAME",$B26), 0)</f>
        <v>2</v>
      </c>
      <c r="M26" s="211">
        <f>IFERROR(GETPIVOTDATA("Sum of 11:Spills and Leaks (not RTC)",T_06!$A$4,"PubLANAME",$B26), 0)</f>
        <v>0</v>
      </c>
      <c r="N26" s="211">
        <f>IFERROR(GETPIVOTDATA("Sum of 12:Removal of objects",T_06!$A$4,"PubLANAME",$B26), 0)</f>
        <v>10</v>
      </c>
      <c r="O26" s="211">
        <f>IFERROR(GETPIVOTDATA("Sum of 13:Animal assistance incidents",T_06!$A$4,"PubLANAME",$B26), 0)</f>
        <v>6</v>
      </c>
      <c r="P26" s="211">
        <f>IFERROR(GETPIVOTDATA("Sum of 14:Effecting entry/exit",T_06!$A$4,"PubLANAME",$B26), 0)</f>
        <v>45</v>
      </c>
      <c r="Q26" s="211">
        <f>IFERROR(GETPIVOTDATA("Sum of 15:Making Safe (not RTC)",T_06!$A$4,"PubLANAME",$B26), 0)</f>
        <v>3</v>
      </c>
      <c r="R26" s="211">
        <f>IFERROR(GETPIVOTDATA("Sum of 16:No action (not false alarm)",T_06!$A$4,"PubLANAME",$B26), 0)</f>
        <v>5</v>
      </c>
      <c r="S26" s="211">
        <f>IFERROR(GETPIVOTDATA("Sum of 17:Water provision",T_06!$A$4,"PubLANAME",$B26), 0)</f>
        <v>0</v>
      </c>
      <c r="T26" s="211">
        <f>IFERROR(GETPIVOTDATA("Sum of 18:Stand By",T_06!$A$4,"PubLANAME",$B26), 0)</f>
        <v>0</v>
      </c>
      <c r="U26" s="211">
        <f>IFERROR(GETPIVOTDATA("Sum of 19:Assist other agencies",T_06!$A$4,"PubLANAME",$B26), 0)</f>
        <v>18</v>
      </c>
      <c r="V26" s="211">
        <f>IFERROR(GETPIVOTDATA("Sum of 20:Advice Only",T_06!$A$4,"PubLANAME",$B26), 0)</f>
        <v>1</v>
      </c>
      <c r="W26" s="466">
        <f t="shared" si="0"/>
        <v>154</v>
      </c>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ht="13.5" customHeight="1" x14ac:dyDescent="0.2">
      <c r="A27" s="1" t="s">
        <v>605</v>
      </c>
      <c r="B27" s="117" t="s">
        <v>40</v>
      </c>
      <c r="C27" s="211">
        <f>IFERROR(GETPIVOTDATA("Sum of 01:RTC",T_06!$A$4,"PubLANAME",$B27), 0)</f>
        <v>29</v>
      </c>
      <c r="D27" s="211">
        <f>IFERROR(GETPIVOTDATA("Sum of 02:Other Transport incident",T_06!$A$4,"PubLANAME",$B27), 0)</f>
        <v>1</v>
      </c>
      <c r="E27" s="211">
        <f>IFERROR(GETPIVOTDATA("Sum of 03:Flooding",T_06!$A$4,"PubLANAME",$B27), 0)</f>
        <v>9</v>
      </c>
      <c r="F27" s="212">
        <f>IFERROR(GETPIVOTDATA("Sum of 04:Rescue or evacuation from water",T_06!$A$4,"PubLANAME",$B27), 0)</f>
        <v>5</v>
      </c>
      <c r="G27" s="211">
        <f>IFERROR(GETPIVOTDATA("Sum of 05:Other rescue/release of persons",T_06!$A$4,"PubLANAME",$B27), 0)</f>
        <v>5</v>
      </c>
      <c r="H27" s="211">
        <f>IFERROR(GETPIVOTDATA("Sum of 06:Evacuation (no fire)",T_06!$A$4,"PubLANAME",$B27), 0)</f>
        <v>0</v>
      </c>
      <c r="I27" s="211">
        <f>IFERROR(GETPIVOTDATA("Sum of 07:Lift Release",T_06!$A$4,"PubLANAME",$B27), 0)</f>
        <v>2</v>
      </c>
      <c r="J27" s="211">
        <f>IFERROR(GETPIVOTDATA("Sum of 08:Medical Incident - First responder/Co-responder",T_06!$A$4,"PubLANAME",$B27), 0)</f>
        <v>1</v>
      </c>
      <c r="K27" s="211">
        <f>IFERROR(GETPIVOTDATA("Sum of 09:Suicide/attempts",T_06!$A$4,"PubLANAME",$B27), 0)</f>
        <v>0</v>
      </c>
      <c r="L27" s="211">
        <f>IFERROR(GETPIVOTDATA("Sum of 10:Hazardous Materials incident",T_06!$A$4,"PubLANAME",$B27), 0)</f>
        <v>4</v>
      </c>
      <c r="M27" s="211">
        <f>IFERROR(GETPIVOTDATA("Sum of 11:Spills and Leaks (not RTC)",T_06!$A$4,"PubLANAME",$B27), 0)</f>
        <v>1</v>
      </c>
      <c r="N27" s="211">
        <f>IFERROR(GETPIVOTDATA("Sum of 12:Removal of objects",T_06!$A$4,"PubLANAME",$B27), 0)</f>
        <v>2</v>
      </c>
      <c r="O27" s="211">
        <f>IFERROR(GETPIVOTDATA("Sum of 13:Animal assistance incidents",T_06!$A$4,"PubLANAME",$B27), 0)</f>
        <v>8</v>
      </c>
      <c r="P27" s="211">
        <f>IFERROR(GETPIVOTDATA("Sum of 14:Effecting entry/exit",T_06!$A$4,"PubLANAME",$B27), 0)</f>
        <v>46</v>
      </c>
      <c r="Q27" s="211">
        <f>IFERROR(GETPIVOTDATA("Sum of 15:Making Safe (not RTC)",T_06!$A$4,"PubLANAME",$B27), 0)</f>
        <v>0</v>
      </c>
      <c r="R27" s="211">
        <f>IFERROR(GETPIVOTDATA("Sum of 16:No action (not false alarm)",T_06!$A$4,"PubLANAME",$B27), 0)</f>
        <v>4</v>
      </c>
      <c r="S27" s="211">
        <f>IFERROR(GETPIVOTDATA("Sum of 17:Water provision",T_06!$A$4,"PubLANAME",$B27), 0)</f>
        <v>0</v>
      </c>
      <c r="T27" s="211">
        <f>IFERROR(GETPIVOTDATA("Sum of 18:Stand By",T_06!$A$4,"PubLANAME",$B27), 0)</f>
        <v>0</v>
      </c>
      <c r="U27" s="211">
        <f>IFERROR(GETPIVOTDATA("Sum of 19:Assist other agencies",T_06!$A$4,"PubLANAME",$B27), 0)</f>
        <v>32</v>
      </c>
      <c r="V27" s="211">
        <f>IFERROR(GETPIVOTDATA("Sum of 20:Advice Only",T_06!$A$4,"PubLANAME",$B27), 0)</f>
        <v>2</v>
      </c>
      <c r="W27" s="466">
        <f t="shared" si="0"/>
        <v>151</v>
      </c>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ht="13.5" customHeight="1" x14ac:dyDescent="0.2">
      <c r="A28" s="1" t="s">
        <v>606</v>
      </c>
      <c r="B28" s="117" t="s">
        <v>295</v>
      </c>
      <c r="C28" s="211">
        <f>IFERROR(GETPIVOTDATA("Sum of 01:RTC",T_06!$A$4,"PubLANAME",$B28), 0)</f>
        <v>16</v>
      </c>
      <c r="D28" s="211">
        <f>IFERROR(GETPIVOTDATA("Sum of 02:Other Transport incident",T_06!$A$4,"PubLANAME",$B28), 0)</f>
        <v>1</v>
      </c>
      <c r="E28" s="211">
        <f>IFERROR(GETPIVOTDATA("Sum of 03:Flooding",T_06!$A$4,"PubLANAME",$B28), 0)</f>
        <v>6</v>
      </c>
      <c r="F28" s="212">
        <f>IFERROR(GETPIVOTDATA("Sum of 04:Rescue or evacuation from water",T_06!$A$4,"PubLANAME",$B28), 0)</f>
        <v>0</v>
      </c>
      <c r="G28" s="211">
        <f>IFERROR(GETPIVOTDATA("Sum of 05:Other rescue/release of persons",T_06!$A$4,"PubLANAME",$B28), 0)</f>
        <v>3</v>
      </c>
      <c r="H28" s="211">
        <f>IFERROR(GETPIVOTDATA("Sum of 06:Evacuation (no fire)",T_06!$A$4,"PubLANAME",$B28), 0)</f>
        <v>1</v>
      </c>
      <c r="I28" s="211">
        <f>IFERROR(GETPIVOTDATA("Sum of 07:Lift Release",T_06!$A$4,"PubLANAME",$B28), 0)</f>
        <v>0</v>
      </c>
      <c r="J28" s="211">
        <f>IFERROR(GETPIVOTDATA("Sum of 08:Medical Incident - First responder/Co-responder",T_06!$A$4,"PubLANAME",$B28), 0)</f>
        <v>0</v>
      </c>
      <c r="K28" s="211">
        <f>IFERROR(GETPIVOTDATA("Sum of 09:Suicide/attempts",T_06!$A$4,"PubLANAME",$B28), 0)</f>
        <v>2</v>
      </c>
      <c r="L28" s="211">
        <f>IFERROR(GETPIVOTDATA("Sum of 10:Hazardous Materials incident",T_06!$A$4,"PubLANAME",$B28), 0)</f>
        <v>0</v>
      </c>
      <c r="M28" s="211">
        <f>IFERROR(GETPIVOTDATA("Sum of 11:Spills and Leaks (not RTC)",T_06!$A$4,"PubLANAME",$B28), 0)</f>
        <v>0</v>
      </c>
      <c r="N28" s="211">
        <f>IFERROR(GETPIVOTDATA("Sum of 12:Removal of objects",T_06!$A$4,"PubLANAME",$B28), 0)</f>
        <v>0</v>
      </c>
      <c r="O28" s="211">
        <f>IFERROR(GETPIVOTDATA("Sum of 13:Animal assistance incidents",T_06!$A$4,"PubLANAME",$B28), 0)</f>
        <v>4</v>
      </c>
      <c r="P28" s="211">
        <f>IFERROR(GETPIVOTDATA("Sum of 14:Effecting entry/exit",T_06!$A$4,"PubLANAME",$B28), 0)</f>
        <v>4</v>
      </c>
      <c r="Q28" s="211">
        <f>IFERROR(GETPIVOTDATA("Sum of 15:Making Safe (not RTC)",T_06!$A$4,"PubLANAME",$B28), 0)</f>
        <v>6</v>
      </c>
      <c r="R28" s="211">
        <f>IFERROR(GETPIVOTDATA("Sum of 16:No action (not false alarm)",T_06!$A$4,"PubLANAME",$B28), 0)</f>
        <v>0</v>
      </c>
      <c r="S28" s="211">
        <f>IFERROR(GETPIVOTDATA("Sum of 17:Water provision",T_06!$A$4,"PubLANAME",$B28), 0)</f>
        <v>0</v>
      </c>
      <c r="T28" s="211">
        <f>IFERROR(GETPIVOTDATA("Sum of 18:Stand By",T_06!$A$4,"PubLANAME",$B28), 0)</f>
        <v>0</v>
      </c>
      <c r="U28" s="211">
        <f>IFERROR(GETPIVOTDATA("Sum of 19:Assist other agencies",T_06!$A$4,"PubLANAME",$B28), 0)</f>
        <v>5</v>
      </c>
      <c r="V28" s="211">
        <f>IFERROR(GETPIVOTDATA("Sum of 20:Advice Only",T_06!$A$4,"PubLANAME",$B28), 0)</f>
        <v>0</v>
      </c>
      <c r="W28" s="466">
        <f t="shared" si="0"/>
        <v>48</v>
      </c>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ht="13.5" customHeight="1" x14ac:dyDescent="0.2">
      <c r="A29" s="1" t="s">
        <v>607</v>
      </c>
      <c r="B29" s="117" t="s">
        <v>41</v>
      </c>
      <c r="C29" s="211">
        <f>IFERROR(GETPIVOTDATA("Sum of 01:RTC",T_06!$A$4,"PubLANAME",$B29), 0)</f>
        <v>35</v>
      </c>
      <c r="D29" s="211">
        <f>IFERROR(GETPIVOTDATA("Sum of 02:Other Transport incident",T_06!$A$4,"PubLANAME",$B29), 0)</f>
        <v>4</v>
      </c>
      <c r="E29" s="211">
        <f>IFERROR(GETPIVOTDATA("Sum of 03:Flooding",T_06!$A$4,"PubLANAME",$B29), 0)</f>
        <v>56</v>
      </c>
      <c r="F29" s="212">
        <f>IFERROR(GETPIVOTDATA("Sum of 04:Rescue or evacuation from water",T_06!$A$4,"PubLANAME",$B29), 0)</f>
        <v>4</v>
      </c>
      <c r="G29" s="211">
        <f>IFERROR(GETPIVOTDATA("Sum of 05:Other rescue/release of persons",T_06!$A$4,"PubLANAME",$B29), 0)</f>
        <v>22</v>
      </c>
      <c r="H29" s="211">
        <f>IFERROR(GETPIVOTDATA("Sum of 06:Evacuation (no fire)",T_06!$A$4,"PubLANAME",$B29), 0)</f>
        <v>4</v>
      </c>
      <c r="I29" s="211">
        <f>IFERROR(GETPIVOTDATA("Sum of 07:Lift Release",T_06!$A$4,"PubLANAME",$B29), 0)</f>
        <v>8</v>
      </c>
      <c r="J29" s="211">
        <f>IFERROR(GETPIVOTDATA("Sum of 08:Medical Incident - First responder/Co-responder",T_06!$A$4,"PubLANAME",$B29), 0)</f>
        <v>8</v>
      </c>
      <c r="K29" s="211">
        <f>IFERROR(GETPIVOTDATA("Sum of 09:Suicide/attempts",T_06!$A$4,"PubLANAME",$B29), 0)</f>
        <v>3</v>
      </c>
      <c r="L29" s="211">
        <f>IFERROR(GETPIVOTDATA("Sum of 10:Hazardous Materials incident",T_06!$A$4,"PubLANAME",$B29), 0)</f>
        <v>3</v>
      </c>
      <c r="M29" s="211">
        <f>IFERROR(GETPIVOTDATA("Sum of 11:Spills and Leaks (not RTC)",T_06!$A$4,"PubLANAME",$B29), 0)</f>
        <v>3</v>
      </c>
      <c r="N29" s="211">
        <f>IFERROR(GETPIVOTDATA("Sum of 12:Removal of objects",T_06!$A$4,"PubLANAME",$B29), 0)</f>
        <v>13</v>
      </c>
      <c r="O29" s="211">
        <f>IFERROR(GETPIVOTDATA("Sum of 13:Animal assistance incidents",T_06!$A$4,"PubLANAME",$B29), 0)</f>
        <v>10</v>
      </c>
      <c r="P29" s="211">
        <f>IFERROR(GETPIVOTDATA("Sum of 14:Effecting entry/exit",T_06!$A$4,"PubLANAME",$B29), 0)</f>
        <v>140</v>
      </c>
      <c r="Q29" s="211">
        <f>IFERROR(GETPIVOTDATA("Sum of 15:Making Safe (not RTC)",T_06!$A$4,"PubLANAME",$B29), 0)</f>
        <v>14</v>
      </c>
      <c r="R29" s="211">
        <f>IFERROR(GETPIVOTDATA("Sum of 16:No action (not false alarm)",T_06!$A$4,"PubLANAME",$B29), 0)</f>
        <v>39</v>
      </c>
      <c r="S29" s="211">
        <f>IFERROR(GETPIVOTDATA("Sum of 17:Water provision",T_06!$A$4,"PubLANAME",$B29), 0)</f>
        <v>0</v>
      </c>
      <c r="T29" s="211">
        <f>IFERROR(GETPIVOTDATA("Sum of 18:Stand By",T_06!$A$4,"PubLANAME",$B29), 0)</f>
        <v>1</v>
      </c>
      <c r="U29" s="211">
        <f>IFERROR(GETPIVOTDATA("Sum of 19:Assist other agencies",T_06!$A$4,"PubLANAME",$B29), 0)</f>
        <v>49</v>
      </c>
      <c r="V29" s="211">
        <f>IFERROR(GETPIVOTDATA("Sum of 20:Advice Only",T_06!$A$4,"PubLANAME",$B29), 0)</f>
        <v>7</v>
      </c>
      <c r="W29" s="466">
        <f t="shared" si="0"/>
        <v>423</v>
      </c>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ht="13.5" customHeight="1" x14ac:dyDescent="0.2">
      <c r="A30" s="1" t="s">
        <v>608</v>
      </c>
      <c r="B30" s="117" t="s">
        <v>42</v>
      </c>
      <c r="C30" s="211">
        <f>IFERROR(GETPIVOTDATA("Sum of 01:RTC",T_06!$A$4,"PubLANAME",$B30), 0)</f>
        <v>73</v>
      </c>
      <c r="D30" s="211">
        <f>IFERROR(GETPIVOTDATA("Sum of 02:Other Transport incident",T_06!$A$4,"PubLANAME",$B30), 0)</f>
        <v>6</v>
      </c>
      <c r="E30" s="211">
        <f>IFERROR(GETPIVOTDATA("Sum of 03:Flooding",T_06!$A$4,"PubLANAME",$B30), 0)</f>
        <v>56</v>
      </c>
      <c r="F30" s="212">
        <f>IFERROR(GETPIVOTDATA("Sum of 04:Rescue or evacuation from water",T_06!$A$4,"PubLANAME",$B30), 0)</f>
        <v>12</v>
      </c>
      <c r="G30" s="211">
        <f>IFERROR(GETPIVOTDATA("Sum of 05:Other rescue/release of persons",T_06!$A$4,"PubLANAME",$B30), 0)</f>
        <v>37</v>
      </c>
      <c r="H30" s="211">
        <f>IFERROR(GETPIVOTDATA("Sum of 06:Evacuation (no fire)",T_06!$A$4,"PubLANAME",$B30), 0)</f>
        <v>6</v>
      </c>
      <c r="I30" s="211">
        <f>IFERROR(GETPIVOTDATA("Sum of 07:Lift Release",T_06!$A$4,"PubLANAME",$B30), 0)</f>
        <v>16</v>
      </c>
      <c r="J30" s="211">
        <f>IFERROR(GETPIVOTDATA("Sum of 08:Medical Incident - First responder/Co-responder",T_06!$A$4,"PubLANAME",$B30), 0)</f>
        <v>27</v>
      </c>
      <c r="K30" s="211">
        <f>IFERROR(GETPIVOTDATA("Sum of 09:Suicide/attempts",T_06!$A$4,"PubLANAME",$B30), 0)</f>
        <v>10</v>
      </c>
      <c r="L30" s="211">
        <f>IFERROR(GETPIVOTDATA("Sum of 10:Hazardous Materials incident",T_06!$A$4,"PubLANAME",$B30), 0)</f>
        <v>7</v>
      </c>
      <c r="M30" s="211">
        <f>IFERROR(GETPIVOTDATA("Sum of 11:Spills and Leaks (not RTC)",T_06!$A$4,"PubLANAME",$B30), 0)</f>
        <v>6</v>
      </c>
      <c r="N30" s="211">
        <f>IFERROR(GETPIVOTDATA("Sum of 12:Removal of objects",T_06!$A$4,"PubLANAME",$B30), 0)</f>
        <v>23</v>
      </c>
      <c r="O30" s="211">
        <f>IFERROR(GETPIVOTDATA("Sum of 13:Animal assistance incidents",T_06!$A$4,"PubLANAME",$B30), 0)</f>
        <v>28</v>
      </c>
      <c r="P30" s="211">
        <f>IFERROR(GETPIVOTDATA("Sum of 14:Effecting entry/exit",T_06!$A$4,"PubLANAME",$B30), 0)</f>
        <v>193</v>
      </c>
      <c r="Q30" s="211">
        <f>IFERROR(GETPIVOTDATA("Sum of 15:Making Safe (not RTC)",T_06!$A$4,"PubLANAME",$B30), 0)</f>
        <v>10</v>
      </c>
      <c r="R30" s="211">
        <f>IFERROR(GETPIVOTDATA("Sum of 16:No action (not false alarm)",T_06!$A$4,"PubLANAME",$B30), 0)</f>
        <v>65</v>
      </c>
      <c r="S30" s="211">
        <f>IFERROR(GETPIVOTDATA("Sum of 17:Water provision",T_06!$A$4,"PubLANAME",$B30), 0)</f>
        <v>0</v>
      </c>
      <c r="T30" s="211">
        <f>IFERROR(GETPIVOTDATA("Sum of 18:Stand By",T_06!$A$4,"PubLANAME",$B30), 0)</f>
        <v>0</v>
      </c>
      <c r="U30" s="211">
        <f>IFERROR(GETPIVOTDATA("Sum of 19:Assist other agencies",T_06!$A$4,"PubLANAME",$B30), 0)</f>
        <v>74</v>
      </c>
      <c r="V30" s="211">
        <f>IFERROR(GETPIVOTDATA("Sum of 20:Advice Only",T_06!$A$4,"PubLANAME",$B30), 0)</f>
        <v>16</v>
      </c>
      <c r="W30" s="466">
        <f t="shared" si="0"/>
        <v>665</v>
      </c>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row>
    <row r="31" spans="1:90" ht="13.5" customHeight="1" x14ac:dyDescent="0.2">
      <c r="A31" s="1" t="s">
        <v>609</v>
      </c>
      <c r="B31" s="117" t="s">
        <v>43</v>
      </c>
      <c r="C31" s="211">
        <f>IFERROR(GETPIVOTDATA("Sum of 01:RTC",T_06!$A$4,"PubLANAME",$B31), 0)</f>
        <v>12</v>
      </c>
      <c r="D31" s="211">
        <f>IFERROR(GETPIVOTDATA("Sum of 02:Other Transport incident",T_06!$A$4,"PubLANAME",$B31), 0)</f>
        <v>0</v>
      </c>
      <c r="E31" s="211">
        <f>IFERROR(GETPIVOTDATA("Sum of 03:Flooding",T_06!$A$4,"PubLANAME",$B31), 0)</f>
        <v>2</v>
      </c>
      <c r="F31" s="212">
        <f>IFERROR(GETPIVOTDATA("Sum of 04:Rescue or evacuation from water",T_06!$A$4,"PubLANAME",$B31), 0)</f>
        <v>0</v>
      </c>
      <c r="G31" s="211">
        <f>IFERROR(GETPIVOTDATA("Sum of 05:Other rescue/release of persons",T_06!$A$4,"PubLANAME",$B31), 0)</f>
        <v>1</v>
      </c>
      <c r="H31" s="211">
        <f>IFERROR(GETPIVOTDATA("Sum of 06:Evacuation (no fire)",T_06!$A$4,"PubLANAME",$B31), 0)</f>
        <v>0</v>
      </c>
      <c r="I31" s="211">
        <f>IFERROR(GETPIVOTDATA("Sum of 07:Lift Release",T_06!$A$4,"PubLANAME",$B31), 0)</f>
        <v>0</v>
      </c>
      <c r="J31" s="211">
        <f>IFERROR(GETPIVOTDATA("Sum of 08:Medical Incident - First responder/Co-responder",T_06!$A$4,"PubLANAME",$B31), 0)</f>
        <v>3</v>
      </c>
      <c r="K31" s="211">
        <f>IFERROR(GETPIVOTDATA("Sum of 09:Suicide/attempts",T_06!$A$4,"PubLANAME",$B31), 0)</f>
        <v>0</v>
      </c>
      <c r="L31" s="211">
        <f>IFERROR(GETPIVOTDATA("Sum of 10:Hazardous Materials incident",T_06!$A$4,"PubLANAME",$B31), 0)</f>
        <v>0</v>
      </c>
      <c r="M31" s="211">
        <f>IFERROR(GETPIVOTDATA("Sum of 11:Spills and Leaks (not RTC)",T_06!$A$4,"PubLANAME",$B31), 0)</f>
        <v>1</v>
      </c>
      <c r="N31" s="211">
        <f>IFERROR(GETPIVOTDATA("Sum of 12:Removal of objects",T_06!$A$4,"PubLANAME",$B31), 0)</f>
        <v>1</v>
      </c>
      <c r="O31" s="211">
        <f>IFERROR(GETPIVOTDATA("Sum of 13:Animal assistance incidents",T_06!$A$4,"PubLANAME",$B31), 0)</f>
        <v>3</v>
      </c>
      <c r="P31" s="211">
        <f>IFERROR(GETPIVOTDATA("Sum of 14:Effecting entry/exit",T_06!$A$4,"PubLANAME",$B31), 0)</f>
        <v>4</v>
      </c>
      <c r="Q31" s="211">
        <f>IFERROR(GETPIVOTDATA("Sum of 15:Making Safe (not RTC)",T_06!$A$4,"PubLANAME",$B31), 0)</f>
        <v>0</v>
      </c>
      <c r="R31" s="211">
        <f>IFERROR(GETPIVOTDATA("Sum of 16:No action (not false alarm)",T_06!$A$4,"PubLANAME",$B31), 0)</f>
        <v>1</v>
      </c>
      <c r="S31" s="211">
        <f>IFERROR(GETPIVOTDATA("Sum of 17:Water provision",T_06!$A$4,"PubLANAME",$B31), 0)</f>
        <v>0</v>
      </c>
      <c r="T31" s="211">
        <f>IFERROR(GETPIVOTDATA("Sum of 18:Stand By",T_06!$A$4,"PubLANAME",$B31), 0)</f>
        <v>0</v>
      </c>
      <c r="U31" s="211">
        <f>IFERROR(GETPIVOTDATA("Sum of 19:Assist other agencies",T_06!$A$4,"PubLANAME",$B31), 0)</f>
        <v>8</v>
      </c>
      <c r="V31" s="211">
        <f>IFERROR(GETPIVOTDATA("Sum of 20:Advice Only",T_06!$A$4,"PubLANAME",$B31), 0)</f>
        <v>1</v>
      </c>
      <c r="W31" s="466">
        <f t="shared" si="0"/>
        <v>37</v>
      </c>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ht="13.5" customHeight="1" x14ac:dyDescent="0.2">
      <c r="A32" s="1" t="s">
        <v>610</v>
      </c>
      <c r="B32" s="117" t="s">
        <v>44</v>
      </c>
      <c r="C32" s="211">
        <f>IFERROR(GETPIVOTDATA("Sum of 01:RTC",T_06!$A$4,"PubLANAME",$B32), 0)</f>
        <v>59</v>
      </c>
      <c r="D32" s="211">
        <f>IFERROR(GETPIVOTDATA("Sum of 02:Other Transport incident",T_06!$A$4,"PubLANAME",$B32), 0)</f>
        <v>3</v>
      </c>
      <c r="E32" s="211">
        <f>IFERROR(GETPIVOTDATA("Sum of 03:Flooding",T_06!$A$4,"PubLANAME",$B32), 0)</f>
        <v>88</v>
      </c>
      <c r="F32" s="212">
        <f>IFERROR(GETPIVOTDATA("Sum of 04:Rescue or evacuation from water",T_06!$A$4,"PubLANAME",$B32), 0)</f>
        <v>19</v>
      </c>
      <c r="G32" s="211">
        <f>IFERROR(GETPIVOTDATA("Sum of 05:Other rescue/release of persons",T_06!$A$4,"PubLANAME",$B32), 0)</f>
        <v>13</v>
      </c>
      <c r="H32" s="211">
        <f>IFERROR(GETPIVOTDATA("Sum of 06:Evacuation (no fire)",T_06!$A$4,"PubLANAME",$B32), 0)</f>
        <v>4</v>
      </c>
      <c r="I32" s="211">
        <f>IFERROR(GETPIVOTDATA("Sum of 07:Lift Release",T_06!$A$4,"PubLANAME",$B32), 0)</f>
        <v>17</v>
      </c>
      <c r="J32" s="211">
        <f>IFERROR(GETPIVOTDATA("Sum of 08:Medical Incident - First responder/Co-responder",T_06!$A$4,"PubLANAME",$B32), 0)</f>
        <v>5</v>
      </c>
      <c r="K32" s="211">
        <f>IFERROR(GETPIVOTDATA("Sum of 09:Suicide/attempts",T_06!$A$4,"PubLANAME",$B32), 0)</f>
        <v>9</v>
      </c>
      <c r="L32" s="211">
        <f>IFERROR(GETPIVOTDATA("Sum of 10:Hazardous Materials incident",T_06!$A$4,"PubLANAME",$B32), 0)</f>
        <v>3</v>
      </c>
      <c r="M32" s="211">
        <f>IFERROR(GETPIVOTDATA("Sum of 11:Spills and Leaks (not RTC)",T_06!$A$4,"PubLANAME",$B32), 0)</f>
        <v>1</v>
      </c>
      <c r="N32" s="211">
        <f>IFERROR(GETPIVOTDATA("Sum of 12:Removal of objects",T_06!$A$4,"PubLANAME",$B32), 0)</f>
        <v>6</v>
      </c>
      <c r="O32" s="211">
        <f>IFERROR(GETPIVOTDATA("Sum of 13:Animal assistance incidents",T_06!$A$4,"PubLANAME",$B32), 0)</f>
        <v>12</v>
      </c>
      <c r="P32" s="211">
        <f>IFERROR(GETPIVOTDATA("Sum of 14:Effecting entry/exit",T_06!$A$4,"PubLANAME",$B32), 0)</f>
        <v>65</v>
      </c>
      <c r="Q32" s="211">
        <f>IFERROR(GETPIVOTDATA("Sum of 15:Making Safe (not RTC)",T_06!$A$4,"PubLANAME",$B32), 0)</f>
        <v>26</v>
      </c>
      <c r="R32" s="211">
        <f>IFERROR(GETPIVOTDATA("Sum of 16:No action (not false alarm)",T_06!$A$4,"PubLANAME",$B32), 0)</f>
        <v>11</v>
      </c>
      <c r="S32" s="211">
        <f>IFERROR(GETPIVOTDATA("Sum of 17:Water provision",T_06!$A$4,"PubLANAME",$B32), 0)</f>
        <v>0</v>
      </c>
      <c r="T32" s="211">
        <f>IFERROR(GETPIVOTDATA("Sum of 18:Stand By",T_06!$A$4,"PubLANAME",$B32), 0)</f>
        <v>1</v>
      </c>
      <c r="U32" s="211">
        <f>IFERROR(GETPIVOTDATA("Sum of 19:Assist other agencies",T_06!$A$4,"PubLANAME",$B32), 0)</f>
        <v>28</v>
      </c>
      <c r="V32" s="211">
        <f>IFERROR(GETPIVOTDATA("Sum of 20:Advice Only",T_06!$A$4,"PubLANAME",$B32), 0)</f>
        <v>2</v>
      </c>
      <c r="W32" s="466">
        <f t="shared" si="0"/>
        <v>372</v>
      </c>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ht="13.5" customHeight="1" x14ac:dyDescent="0.2">
      <c r="A33" s="1" t="s">
        <v>611</v>
      </c>
      <c r="B33" s="117" t="s">
        <v>45</v>
      </c>
      <c r="C33" s="211">
        <f>IFERROR(GETPIVOTDATA("Sum of 01:RTC",T_06!$A$4,"PubLANAME",$B33), 0)</f>
        <v>49</v>
      </c>
      <c r="D33" s="211">
        <f>IFERROR(GETPIVOTDATA("Sum of 02:Other Transport incident",T_06!$A$4,"PubLANAME",$B33), 0)</f>
        <v>3</v>
      </c>
      <c r="E33" s="211">
        <f>IFERROR(GETPIVOTDATA("Sum of 03:Flooding",T_06!$A$4,"PubLANAME",$B33), 0)</f>
        <v>67</v>
      </c>
      <c r="F33" s="212">
        <f>IFERROR(GETPIVOTDATA("Sum of 04:Rescue or evacuation from water",T_06!$A$4,"PubLANAME",$B33), 0)</f>
        <v>6</v>
      </c>
      <c r="G33" s="211">
        <f>IFERROR(GETPIVOTDATA("Sum of 05:Other rescue/release of persons",T_06!$A$4,"PubLANAME",$B33), 0)</f>
        <v>22</v>
      </c>
      <c r="H33" s="211">
        <f>IFERROR(GETPIVOTDATA("Sum of 06:Evacuation (no fire)",T_06!$A$4,"PubLANAME",$B33), 0)</f>
        <v>3</v>
      </c>
      <c r="I33" s="211">
        <f>IFERROR(GETPIVOTDATA("Sum of 07:Lift Release",T_06!$A$4,"PubLANAME",$B33), 0)</f>
        <v>9</v>
      </c>
      <c r="J33" s="211">
        <f>IFERROR(GETPIVOTDATA("Sum of 08:Medical Incident - First responder/Co-responder",T_06!$A$4,"PubLANAME",$B33), 0)</f>
        <v>12</v>
      </c>
      <c r="K33" s="211">
        <f>IFERROR(GETPIVOTDATA("Sum of 09:Suicide/attempts",T_06!$A$4,"PubLANAME",$B33), 0)</f>
        <v>7</v>
      </c>
      <c r="L33" s="211">
        <f>IFERROR(GETPIVOTDATA("Sum of 10:Hazardous Materials incident",T_06!$A$4,"PubLANAME",$B33), 0)</f>
        <v>6</v>
      </c>
      <c r="M33" s="211">
        <f>IFERROR(GETPIVOTDATA("Sum of 11:Spills and Leaks (not RTC)",T_06!$A$4,"PubLANAME",$B33), 0)</f>
        <v>5</v>
      </c>
      <c r="N33" s="211">
        <f>IFERROR(GETPIVOTDATA("Sum of 12:Removal of objects",T_06!$A$4,"PubLANAME",$B33), 0)</f>
        <v>19</v>
      </c>
      <c r="O33" s="211">
        <f>IFERROR(GETPIVOTDATA("Sum of 13:Animal assistance incidents",T_06!$A$4,"PubLANAME",$B33), 0)</f>
        <v>13</v>
      </c>
      <c r="P33" s="211">
        <f>IFERROR(GETPIVOTDATA("Sum of 14:Effecting entry/exit",T_06!$A$4,"PubLANAME",$B33), 0)</f>
        <v>116</v>
      </c>
      <c r="Q33" s="211">
        <f>IFERROR(GETPIVOTDATA("Sum of 15:Making Safe (not RTC)",T_06!$A$4,"PubLANAME",$B33), 0)</f>
        <v>7</v>
      </c>
      <c r="R33" s="211">
        <f>IFERROR(GETPIVOTDATA("Sum of 16:No action (not false alarm)",T_06!$A$4,"PubLANAME",$B33), 0)</f>
        <v>68</v>
      </c>
      <c r="S33" s="211">
        <f>IFERROR(GETPIVOTDATA("Sum of 17:Water provision",T_06!$A$4,"PubLANAME",$B33), 0)</f>
        <v>0</v>
      </c>
      <c r="T33" s="211">
        <f>IFERROR(GETPIVOTDATA("Sum of 18:Stand By",T_06!$A$4,"PubLANAME",$B33), 0)</f>
        <v>2</v>
      </c>
      <c r="U33" s="211">
        <f>IFERROR(GETPIVOTDATA("Sum of 19:Assist other agencies",T_06!$A$4,"PubLANAME",$B33), 0)</f>
        <v>36</v>
      </c>
      <c r="V33" s="211">
        <f>IFERROR(GETPIVOTDATA("Sum of 20:Advice Only",T_06!$A$4,"PubLANAME",$B33), 0)</f>
        <v>8</v>
      </c>
      <c r="W33" s="466">
        <f t="shared" si="0"/>
        <v>458</v>
      </c>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ht="13.5" customHeight="1" x14ac:dyDescent="0.2">
      <c r="A34" s="1" t="s">
        <v>612</v>
      </c>
      <c r="B34" s="117" t="s">
        <v>46</v>
      </c>
      <c r="C34" s="211">
        <f>IFERROR(GETPIVOTDATA("Sum of 01:RTC",T_06!$A$4,"PubLANAME",$B34), 0)</f>
        <v>52</v>
      </c>
      <c r="D34" s="211">
        <f>IFERROR(GETPIVOTDATA("Sum of 02:Other Transport incident",T_06!$A$4,"PubLANAME",$B34), 0)</f>
        <v>2</v>
      </c>
      <c r="E34" s="211">
        <f>IFERROR(GETPIVOTDATA("Sum of 03:Flooding",T_06!$A$4,"PubLANAME",$B34), 0)</f>
        <v>29</v>
      </c>
      <c r="F34" s="212">
        <f>IFERROR(GETPIVOTDATA("Sum of 04:Rescue or evacuation from water",T_06!$A$4,"PubLANAME",$B34), 0)</f>
        <v>6</v>
      </c>
      <c r="G34" s="211">
        <f>IFERROR(GETPIVOTDATA("Sum of 05:Other rescue/release of persons",T_06!$A$4,"PubLANAME",$B34), 0)</f>
        <v>18</v>
      </c>
      <c r="H34" s="211">
        <f>IFERROR(GETPIVOTDATA("Sum of 06:Evacuation (no fire)",T_06!$A$4,"PubLANAME",$B34), 0)</f>
        <v>3</v>
      </c>
      <c r="I34" s="211">
        <f>IFERROR(GETPIVOTDATA("Sum of 07:Lift Release",T_06!$A$4,"PubLANAME",$B34), 0)</f>
        <v>5</v>
      </c>
      <c r="J34" s="211">
        <f>IFERROR(GETPIVOTDATA("Sum of 08:Medical Incident - First responder/Co-responder",T_06!$A$4,"PubLANAME",$B34), 0)</f>
        <v>16</v>
      </c>
      <c r="K34" s="211">
        <f>IFERROR(GETPIVOTDATA("Sum of 09:Suicide/attempts",T_06!$A$4,"PubLANAME",$B34), 0)</f>
        <v>4</v>
      </c>
      <c r="L34" s="211">
        <f>IFERROR(GETPIVOTDATA("Sum of 10:Hazardous Materials incident",T_06!$A$4,"PubLANAME",$B34), 0)</f>
        <v>2</v>
      </c>
      <c r="M34" s="211">
        <f>IFERROR(GETPIVOTDATA("Sum of 11:Spills and Leaks (not RTC)",T_06!$A$4,"PubLANAME",$B34), 0)</f>
        <v>2</v>
      </c>
      <c r="N34" s="211">
        <f>IFERROR(GETPIVOTDATA("Sum of 12:Removal of objects",T_06!$A$4,"PubLANAME",$B34), 0)</f>
        <v>7</v>
      </c>
      <c r="O34" s="211">
        <f>IFERROR(GETPIVOTDATA("Sum of 13:Animal assistance incidents",T_06!$A$4,"PubLANAME",$B34), 0)</f>
        <v>14</v>
      </c>
      <c r="P34" s="211">
        <f>IFERROR(GETPIVOTDATA("Sum of 14:Effecting entry/exit",T_06!$A$4,"PubLANAME",$B34), 0)</f>
        <v>75</v>
      </c>
      <c r="Q34" s="211">
        <f>IFERROR(GETPIVOTDATA("Sum of 15:Making Safe (not RTC)",T_06!$A$4,"PubLANAME",$B34), 0)</f>
        <v>10</v>
      </c>
      <c r="R34" s="211">
        <f>IFERROR(GETPIVOTDATA("Sum of 16:No action (not false alarm)",T_06!$A$4,"PubLANAME",$B34), 0)</f>
        <v>15</v>
      </c>
      <c r="S34" s="211">
        <f>IFERROR(GETPIVOTDATA("Sum of 17:Water provision",T_06!$A$4,"PubLANAME",$B34), 0)</f>
        <v>0</v>
      </c>
      <c r="T34" s="211">
        <f>IFERROR(GETPIVOTDATA("Sum of 18:Stand By",T_06!$A$4,"PubLANAME",$B34), 0)</f>
        <v>2</v>
      </c>
      <c r="U34" s="211">
        <f>IFERROR(GETPIVOTDATA("Sum of 19:Assist other agencies",T_06!$A$4,"PubLANAME",$B34), 0)</f>
        <v>27</v>
      </c>
      <c r="V34" s="211">
        <f>IFERROR(GETPIVOTDATA("Sum of 20:Advice Only",T_06!$A$4,"PubLANAME",$B34), 0)</f>
        <v>1</v>
      </c>
      <c r="W34" s="466">
        <f t="shared" si="0"/>
        <v>290</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ht="13.5" customHeight="1" x14ac:dyDescent="0.2">
      <c r="A35" s="1" t="s">
        <v>613</v>
      </c>
      <c r="B35" s="117" t="s">
        <v>47</v>
      </c>
      <c r="C35" s="211">
        <f>IFERROR(GETPIVOTDATA("Sum of 01:RTC",T_06!$A$4,"PubLANAME",$B35), 0)</f>
        <v>4</v>
      </c>
      <c r="D35" s="211">
        <f>IFERROR(GETPIVOTDATA("Sum of 02:Other Transport incident",T_06!$A$4,"PubLANAME",$B35), 0)</f>
        <v>4</v>
      </c>
      <c r="E35" s="211">
        <f>IFERROR(GETPIVOTDATA("Sum of 03:Flooding",T_06!$A$4,"PubLANAME",$B35), 0)</f>
        <v>3</v>
      </c>
      <c r="F35" s="212">
        <f>IFERROR(GETPIVOTDATA("Sum of 04:Rescue or evacuation from water",T_06!$A$4,"PubLANAME",$B35), 0)</f>
        <v>0</v>
      </c>
      <c r="G35" s="211">
        <f>IFERROR(GETPIVOTDATA("Sum of 05:Other rescue/release of persons",T_06!$A$4,"PubLANAME",$B35), 0)</f>
        <v>1</v>
      </c>
      <c r="H35" s="211">
        <f>IFERROR(GETPIVOTDATA("Sum of 06:Evacuation (no fire)",T_06!$A$4,"PubLANAME",$B35), 0)</f>
        <v>1</v>
      </c>
      <c r="I35" s="211">
        <f>IFERROR(GETPIVOTDATA("Sum of 07:Lift Release",T_06!$A$4,"PubLANAME",$B35), 0)</f>
        <v>1</v>
      </c>
      <c r="J35" s="211">
        <f>IFERROR(GETPIVOTDATA("Sum of 08:Medical Incident - First responder/Co-responder",T_06!$A$4,"PubLANAME",$B35), 0)</f>
        <v>1</v>
      </c>
      <c r="K35" s="211">
        <f>IFERROR(GETPIVOTDATA("Sum of 09:Suicide/attempts",T_06!$A$4,"PubLANAME",$B35), 0)</f>
        <v>4</v>
      </c>
      <c r="L35" s="211">
        <f>IFERROR(GETPIVOTDATA("Sum of 10:Hazardous Materials incident",T_06!$A$4,"PubLANAME",$B35), 0)</f>
        <v>0</v>
      </c>
      <c r="M35" s="211">
        <f>IFERROR(GETPIVOTDATA("Sum of 11:Spills and Leaks (not RTC)",T_06!$A$4,"PubLANAME",$B35), 0)</f>
        <v>0</v>
      </c>
      <c r="N35" s="211">
        <f>IFERROR(GETPIVOTDATA("Sum of 12:Removal of objects",T_06!$A$4,"PubLANAME",$B35), 0)</f>
        <v>0</v>
      </c>
      <c r="O35" s="211">
        <f>IFERROR(GETPIVOTDATA("Sum of 13:Animal assistance incidents",T_06!$A$4,"PubLANAME",$B35), 0)</f>
        <v>2</v>
      </c>
      <c r="P35" s="211">
        <f>IFERROR(GETPIVOTDATA("Sum of 14:Effecting entry/exit",T_06!$A$4,"PubLANAME",$B35), 0)</f>
        <v>4</v>
      </c>
      <c r="Q35" s="211">
        <f>IFERROR(GETPIVOTDATA("Sum of 15:Making Safe (not RTC)",T_06!$A$4,"PubLANAME",$B35), 0)</f>
        <v>0</v>
      </c>
      <c r="R35" s="211">
        <f>IFERROR(GETPIVOTDATA("Sum of 16:No action (not false alarm)",T_06!$A$4,"PubLANAME",$B35), 0)</f>
        <v>0</v>
      </c>
      <c r="S35" s="211">
        <f>IFERROR(GETPIVOTDATA("Sum of 17:Water provision",T_06!$A$4,"PubLANAME",$B35), 0)</f>
        <v>0</v>
      </c>
      <c r="T35" s="211">
        <f>IFERROR(GETPIVOTDATA("Sum of 18:Stand By",T_06!$A$4,"PubLANAME",$B35), 0)</f>
        <v>1</v>
      </c>
      <c r="U35" s="211">
        <f>IFERROR(GETPIVOTDATA("Sum of 19:Assist other agencies",T_06!$A$4,"PubLANAME",$B35), 0)</f>
        <v>2</v>
      </c>
      <c r="V35" s="211">
        <f>IFERROR(GETPIVOTDATA("Sum of 20:Advice Only",T_06!$A$4,"PubLANAME",$B35), 0)</f>
        <v>0</v>
      </c>
      <c r="W35" s="466">
        <f t="shared" si="0"/>
        <v>28</v>
      </c>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ht="13.5" customHeight="1" x14ac:dyDescent="0.2">
      <c r="A36" s="1" t="s">
        <v>614</v>
      </c>
      <c r="B36" s="117" t="s">
        <v>48</v>
      </c>
      <c r="C36" s="211">
        <f>IFERROR(GETPIVOTDATA("Sum of 01:RTC",T_06!$A$4,"PubLANAME",$B36), 0)</f>
        <v>23</v>
      </c>
      <c r="D36" s="211">
        <f>IFERROR(GETPIVOTDATA("Sum of 02:Other Transport incident",T_06!$A$4,"PubLANAME",$B36), 0)</f>
        <v>0</v>
      </c>
      <c r="E36" s="211">
        <f>IFERROR(GETPIVOTDATA("Sum of 03:Flooding",T_06!$A$4,"PubLANAME",$B36), 0)</f>
        <v>17</v>
      </c>
      <c r="F36" s="212">
        <f>IFERROR(GETPIVOTDATA("Sum of 04:Rescue or evacuation from water",T_06!$A$4,"PubLANAME",$B36), 0)</f>
        <v>7</v>
      </c>
      <c r="G36" s="211">
        <f>IFERROR(GETPIVOTDATA("Sum of 05:Other rescue/release of persons",T_06!$A$4,"PubLANAME",$B36), 0)</f>
        <v>15</v>
      </c>
      <c r="H36" s="211">
        <f>IFERROR(GETPIVOTDATA("Sum of 06:Evacuation (no fire)",T_06!$A$4,"PubLANAME",$B36), 0)</f>
        <v>5</v>
      </c>
      <c r="I36" s="211">
        <f>IFERROR(GETPIVOTDATA("Sum of 07:Lift Release",T_06!$A$4,"PubLANAME",$B36), 0)</f>
        <v>4</v>
      </c>
      <c r="J36" s="211">
        <f>IFERROR(GETPIVOTDATA("Sum of 08:Medical Incident - First responder/Co-responder",T_06!$A$4,"PubLANAME",$B36), 0)</f>
        <v>7</v>
      </c>
      <c r="K36" s="211">
        <f>IFERROR(GETPIVOTDATA("Sum of 09:Suicide/attempts",T_06!$A$4,"PubLANAME",$B36), 0)</f>
        <v>6</v>
      </c>
      <c r="L36" s="211">
        <f>IFERROR(GETPIVOTDATA("Sum of 10:Hazardous Materials incident",T_06!$A$4,"PubLANAME",$B36), 0)</f>
        <v>1</v>
      </c>
      <c r="M36" s="211">
        <f>IFERROR(GETPIVOTDATA("Sum of 11:Spills and Leaks (not RTC)",T_06!$A$4,"PubLANAME",$B36), 0)</f>
        <v>2</v>
      </c>
      <c r="N36" s="211">
        <f>IFERROR(GETPIVOTDATA("Sum of 12:Removal of objects",T_06!$A$4,"PubLANAME",$B36), 0)</f>
        <v>2</v>
      </c>
      <c r="O36" s="211">
        <f>IFERROR(GETPIVOTDATA("Sum of 13:Animal assistance incidents",T_06!$A$4,"PubLANAME",$B36), 0)</f>
        <v>8</v>
      </c>
      <c r="P36" s="211">
        <f>IFERROR(GETPIVOTDATA("Sum of 14:Effecting entry/exit",T_06!$A$4,"PubLANAME",$B36), 0)</f>
        <v>82</v>
      </c>
      <c r="Q36" s="211">
        <f>IFERROR(GETPIVOTDATA("Sum of 15:Making Safe (not RTC)",T_06!$A$4,"PubLANAME",$B36), 0)</f>
        <v>5</v>
      </c>
      <c r="R36" s="211">
        <f>IFERROR(GETPIVOTDATA("Sum of 16:No action (not false alarm)",T_06!$A$4,"PubLANAME",$B36), 0)</f>
        <v>33</v>
      </c>
      <c r="S36" s="211">
        <f>IFERROR(GETPIVOTDATA("Sum of 17:Water provision",T_06!$A$4,"PubLANAME",$B36), 0)</f>
        <v>0</v>
      </c>
      <c r="T36" s="211">
        <f>IFERROR(GETPIVOTDATA("Sum of 18:Stand By",T_06!$A$4,"PubLANAME",$B36), 0)</f>
        <v>0</v>
      </c>
      <c r="U36" s="211">
        <f>IFERROR(GETPIVOTDATA("Sum of 19:Assist other agencies",T_06!$A$4,"PubLANAME",$B36), 0)</f>
        <v>26</v>
      </c>
      <c r="V36" s="211">
        <f>IFERROR(GETPIVOTDATA("Sum of 20:Advice Only",T_06!$A$4,"PubLANAME",$B36), 0)</f>
        <v>8</v>
      </c>
      <c r="W36" s="466">
        <f t="shared" si="0"/>
        <v>251</v>
      </c>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ht="13.5" customHeight="1" x14ac:dyDescent="0.2">
      <c r="A37" s="1" t="s">
        <v>615</v>
      </c>
      <c r="B37" s="117" t="s">
        <v>49</v>
      </c>
      <c r="C37" s="211">
        <f>IFERROR(GETPIVOTDATA("Sum of 01:RTC",T_06!$A$4,"PubLANAME",$B37), 0)</f>
        <v>77</v>
      </c>
      <c r="D37" s="211">
        <f>IFERROR(GETPIVOTDATA("Sum of 02:Other Transport incident",T_06!$A$4,"PubLANAME",$B37), 0)</f>
        <v>6</v>
      </c>
      <c r="E37" s="211">
        <f>IFERROR(GETPIVOTDATA("Sum of 03:Flooding",T_06!$A$4,"PubLANAME",$B37), 0)</f>
        <v>78</v>
      </c>
      <c r="F37" s="212">
        <f>IFERROR(GETPIVOTDATA("Sum of 04:Rescue or evacuation from water",T_06!$A$4,"PubLANAME",$B37), 0)</f>
        <v>7</v>
      </c>
      <c r="G37" s="211">
        <f>IFERROR(GETPIVOTDATA("Sum of 05:Other rescue/release of persons",T_06!$A$4,"PubLANAME",$B37), 0)</f>
        <v>31</v>
      </c>
      <c r="H37" s="211">
        <f>IFERROR(GETPIVOTDATA("Sum of 06:Evacuation (no fire)",T_06!$A$4,"PubLANAME",$B37), 0)</f>
        <v>6</v>
      </c>
      <c r="I37" s="211">
        <f>IFERROR(GETPIVOTDATA("Sum of 07:Lift Release",T_06!$A$4,"PubLANAME",$B37), 0)</f>
        <v>5</v>
      </c>
      <c r="J37" s="211">
        <f>IFERROR(GETPIVOTDATA("Sum of 08:Medical Incident - First responder/Co-responder",T_06!$A$4,"PubLANAME",$B37), 0)</f>
        <v>22</v>
      </c>
      <c r="K37" s="211">
        <f>IFERROR(GETPIVOTDATA("Sum of 09:Suicide/attempts",T_06!$A$4,"PubLANAME",$B37), 0)</f>
        <v>7</v>
      </c>
      <c r="L37" s="211">
        <f>IFERROR(GETPIVOTDATA("Sum of 10:Hazardous Materials incident",T_06!$A$4,"PubLANAME",$B37), 0)</f>
        <v>2</v>
      </c>
      <c r="M37" s="211">
        <f>IFERROR(GETPIVOTDATA("Sum of 11:Spills and Leaks (not RTC)",T_06!$A$4,"PubLANAME",$B37), 0)</f>
        <v>6</v>
      </c>
      <c r="N37" s="211">
        <f>IFERROR(GETPIVOTDATA("Sum of 12:Removal of objects",T_06!$A$4,"PubLANAME",$B37), 0)</f>
        <v>30</v>
      </c>
      <c r="O37" s="211">
        <f>IFERROR(GETPIVOTDATA("Sum of 13:Animal assistance incidents",T_06!$A$4,"PubLANAME",$B37), 0)</f>
        <v>22</v>
      </c>
      <c r="P37" s="211">
        <f>IFERROR(GETPIVOTDATA("Sum of 14:Effecting entry/exit",T_06!$A$4,"PubLANAME",$B37), 0)</f>
        <v>192</v>
      </c>
      <c r="Q37" s="211">
        <f>IFERROR(GETPIVOTDATA("Sum of 15:Making Safe (not RTC)",T_06!$A$4,"PubLANAME",$B37), 0)</f>
        <v>13</v>
      </c>
      <c r="R37" s="211">
        <f>IFERROR(GETPIVOTDATA("Sum of 16:No action (not false alarm)",T_06!$A$4,"PubLANAME",$B37), 0)</f>
        <v>73</v>
      </c>
      <c r="S37" s="211">
        <f>IFERROR(GETPIVOTDATA("Sum of 17:Water provision",T_06!$A$4,"PubLANAME",$B37), 0)</f>
        <v>0</v>
      </c>
      <c r="T37" s="211">
        <f>IFERROR(GETPIVOTDATA("Sum of 18:Stand By",T_06!$A$4,"PubLANAME",$B37), 0)</f>
        <v>0</v>
      </c>
      <c r="U37" s="211">
        <f>IFERROR(GETPIVOTDATA("Sum of 19:Assist other agencies",T_06!$A$4,"PubLANAME",$B37), 0)</f>
        <v>60</v>
      </c>
      <c r="V37" s="211">
        <f>IFERROR(GETPIVOTDATA("Sum of 20:Advice Only",T_06!$A$4,"PubLANAME",$B37), 0)</f>
        <v>14</v>
      </c>
      <c r="W37" s="466">
        <f t="shared" si="0"/>
        <v>651</v>
      </c>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ht="13.5" customHeight="1" x14ac:dyDescent="0.2">
      <c r="A38" s="1" t="s">
        <v>616</v>
      </c>
      <c r="B38" s="117" t="s">
        <v>50</v>
      </c>
      <c r="C38" s="211">
        <f>IFERROR(GETPIVOTDATA("Sum of 01:RTC",T_06!$A$4,"PubLANAME",$B38), 0)</f>
        <v>44</v>
      </c>
      <c r="D38" s="211">
        <f>IFERROR(GETPIVOTDATA("Sum of 02:Other Transport incident",T_06!$A$4,"PubLANAME",$B38), 0)</f>
        <v>0</v>
      </c>
      <c r="E38" s="211">
        <f>IFERROR(GETPIVOTDATA("Sum of 03:Flooding",T_06!$A$4,"PubLANAME",$B38), 0)</f>
        <v>22</v>
      </c>
      <c r="F38" s="212">
        <f>IFERROR(GETPIVOTDATA("Sum of 04:Rescue or evacuation from water",T_06!$A$4,"PubLANAME",$B38), 0)</f>
        <v>15</v>
      </c>
      <c r="G38" s="211">
        <f>IFERROR(GETPIVOTDATA("Sum of 05:Other rescue/release of persons",T_06!$A$4,"PubLANAME",$B38), 0)</f>
        <v>7</v>
      </c>
      <c r="H38" s="211">
        <f>IFERROR(GETPIVOTDATA("Sum of 06:Evacuation (no fire)",T_06!$A$4,"PubLANAME",$B38), 0)</f>
        <v>0</v>
      </c>
      <c r="I38" s="211">
        <f>IFERROR(GETPIVOTDATA("Sum of 07:Lift Release",T_06!$A$4,"PubLANAME",$B38), 0)</f>
        <v>3</v>
      </c>
      <c r="J38" s="211">
        <f>IFERROR(GETPIVOTDATA("Sum of 08:Medical Incident - First responder/Co-responder",T_06!$A$4,"PubLANAME",$B38), 0)</f>
        <v>8</v>
      </c>
      <c r="K38" s="211">
        <f>IFERROR(GETPIVOTDATA("Sum of 09:Suicide/attempts",T_06!$A$4,"PubLANAME",$B38), 0)</f>
        <v>3</v>
      </c>
      <c r="L38" s="211">
        <f>IFERROR(GETPIVOTDATA("Sum of 10:Hazardous Materials incident",T_06!$A$4,"PubLANAME",$B38), 0)</f>
        <v>1</v>
      </c>
      <c r="M38" s="211">
        <f>IFERROR(GETPIVOTDATA("Sum of 11:Spills and Leaks (not RTC)",T_06!$A$4,"PubLANAME",$B38), 0)</f>
        <v>2</v>
      </c>
      <c r="N38" s="211">
        <f>IFERROR(GETPIVOTDATA("Sum of 12:Removal of objects",T_06!$A$4,"PubLANAME",$B38), 0)</f>
        <v>10</v>
      </c>
      <c r="O38" s="211">
        <f>IFERROR(GETPIVOTDATA("Sum of 13:Animal assistance incidents",T_06!$A$4,"PubLANAME",$B38), 0)</f>
        <v>11</v>
      </c>
      <c r="P38" s="211">
        <f>IFERROR(GETPIVOTDATA("Sum of 14:Effecting entry/exit",T_06!$A$4,"PubLANAME",$B38), 0)</f>
        <v>41</v>
      </c>
      <c r="Q38" s="211">
        <f>IFERROR(GETPIVOTDATA("Sum of 15:Making Safe (not RTC)",T_06!$A$4,"PubLANAME",$B38), 0)</f>
        <v>3</v>
      </c>
      <c r="R38" s="211">
        <f>IFERROR(GETPIVOTDATA("Sum of 16:No action (not false alarm)",T_06!$A$4,"PubLANAME",$B38), 0)</f>
        <v>4</v>
      </c>
      <c r="S38" s="211">
        <f>IFERROR(GETPIVOTDATA("Sum of 17:Water provision",T_06!$A$4,"PubLANAME",$B38), 0)</f>
        <v>0</v>
      </c>
      <c r="T38" s="211">
        <f>IFERROR(GETPIVOTDATA("Sum of 18:Stand By",T_06!$A$4,"PubLANAME",$B38), 0)</f>
        <v>0</v>
      </c>
      <c r="U38" s="211">
        <f>IFERROR(GETPIVOTDATA("Sum of 19:Assist other agencies",T_06!$A$4,"PubLANAME",$B38), 0)</f>
        <v>18</v>
      </c>
      <c r="V38" s="211">
        <f>IFERROR(GETPIVOTDATA("Sum of 20:Advice Only",T_06!$A$4,"PubLANAME",$B38), 0)</f>
        <v>4</v>
      </c>
      <c r="W38" s="466">
        <f t="shared" si="0"/>
        <v>196</v>
      </c>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ht="13.5" customHeight="1" x14ac:dyDescent="0.2">
      <c r="A39" s="1" t="s">
        <v>617</v>
      </c>
      <c r="B39" s="117" t="s">
        <v>51</v>
      </c>
      <c r="C39" s="211">
        <f>IFERROR(GETPIVOTDATA("Sum of 01:RTC",T_06!$A$4,"PubLANAME",$B39), 0)</f>
        <v>18</v>
      </c>
      <c r="D39" s="211">
        <f>IFERROR(GETPIVOTDATA("Sum of 02:Other Transport incident",T_06!$A$4,"PubLANAME",$B39), 0)</f>
        <v>1</v>
      </c>
      <c r="E39" s="211">
        <f>IFERROR(GETPIVOTDATA("Sum of 03:Flooding",T_06!$A$4,"PubLANAME",$B39), 0)</f>
        <v>32</v>
      </c>
      <c r="F39" s="212">
        <f>IFERROR(GETPIVOTDATA("Sum of 04:Rescue or evacuation from water",T_06!$A$4,"PubLANAME",$B39), 0)</f>
        <v>3</v>
      </c>
      <c r="G39" s="211">
        <f>IFERROR(GETPIVOTDATA("Sum of 05:Other rescue/release of persons",T_06!$A$4,"PubLANAME",$B39), 0)</f>
        <v>6</v>
      </c>
      <c r="H39" s="211">
        <f>IFERROR(GETPIVOTDATA("Sum of 06:Evacuation (no fire)",T_06!$A$4,"PubLANAME",$B39), 0)</f>
        <v>6</v>
      </c>
      <c r="I39" s="211">
        <f>IFERROR(GETPIVOTDATA("Sum of 07:Lift Release",T_06!$A$4,"PubLANAME",$B39), 0)</f>
        <v>7</v>
      </c>
      <c r="J39" s="211">
        <f>IFERROR(GETPIVOTDATA("Sum of 08:Medical Incident - First responder/Co-responder",T_06!$A$4,"PubLANAME",$B39), 0)</f>
        <v>8</v>
      </c>
      <c r="K39" s="211">
        <f>IFERROR(GETPIVOTDATA("Sum of 09:Suicide/attempts",T_06!$A$4,"PubLANAME",$B39), 0)</f>
        <v>1</v>
      </c>
      <c r="L39" s="211">
        <f>IFERROR(GETPIVOTDATA("Sum of 10:Hazardous Materials incident",T_06!$A$4,"PubLANAME",$B39), 0)</f>
        <v>2</v>
      </c>
      <c r="M39" s="211">
        <f>IFERROR(GETPIVOTDATA("Sum of 11:Spills and Leaks (not RTC)",T_06!$A$4,"PubLANAME",$B39), 0)</f>
        <v>1</v>
      </c>
      <c r="N39" s="211">
        <f>IFERROR(GETPIVOTDATA("Sum of 12:Removal of objects",T_06!$A$4,"PubLANAME",$B39), 0)</f>
        <v>14</v>
      </c>
      <c r="O39" s="211">
        <f>IFERROR(GETPIVOTDATA("Sum of 13:Animal assistance incidents",T_06!$A$4,"PubLANAME",$B39), 0)</f>
        <v>6</v>
      </c>
      <c r="P39" s="211">
        <f>IFERROR(GETPIVOTDATA("Sum of 14:Effecting entry/exit",T_06!$A$4,"PubLANAME",$B39), 0)</f>
        <v>60</v>
      </c>
      <c r="Q39" s="211">
        <f>IFERROR(GETPIVOTDATA("Sum of 15:Making Safe (not RTC)",T_06!$A$4,"PubLANAME",$B39), 0)</f>
        <v>7</v>
      </c>
      <c r="R39" s="211">
        <f>IFERROR(GETPIVOTDATA("Sum of 16:No action (not false alarm)",T_06!$A$4,"PubLANAME",$B39), 0)</f>
        <v>30</v>
      </c>
      <c r="S39" s="211">
        <f>IFERROR(GETPIVOTDATA("Sum of 17:Water provision",T_06!$A$4,"PubLANAME",$B39), 0)</f>
        <v>0</v>
      </c>
      <c r="T39" s="211">
        <f>IFERROR(GETPIVOTDATA("Sum of 18:Stand By",T_06!$A$4,"PubLANAME",$B39), 0)</f>
        <v>0</v>
      </c>
      <c r="U39" s="211">
        <f>IFERROR(GETPIVOTDATA("Sum of 19:Assist other agencies",T_06!$A$4,"PubLANAME",$B39), 0)</f>
        <v>22</v>
      </c>
      <c r="V39" s="211">
        <f>IFERROR(GETPIVOTDATA("Sum of 20:Advice Only",T_06!$A$4,"PubLANAME",$B39), 0)</f>
        <v>3</v>
      </c>
      <c r="W39" s="466">
        <f t="shared" si="0"/>
        <v>227</v>
      </c>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3.5" customHeight="1" x14ac:dyDescent="0.2">
      <c r="A40" s="1" t="s">
        <v>618</v>
      </c>
      <c r="B40" s="117" t="s">
        <v>52</v>
      </c>
      <c r="C40" s="211">
        <f>IFERROR(GETPIVOTDATA("Sum of 01:RTC",T_06!$A$4,"PubLANAME",$B40), 0)</f>
        <v>63</v>
      </c>
      <c r="D40" s="211">
        <f>IFERROR(GETPIVOTDATA("Sum of 02:Other Transport incident",T_06!$A$4,"PubLANAME",$B40), 0)</f>
        <v>1</v>
      </c>
      <c r="E40" s="211">
        <f>IFERROR(GETPIVOTDATA("Sum of 03:Flooding",T_06!$A$4,"PubLANAME",$B40), 0)</f>
        <v>48</v>
      </c>
      <c r="F40" s="212">
        <f>IFERROR(GETPIVOTDATA("Sum of 04:Rescue or evacuation from water",T_06!$A$4,"PubLANAME",$B40), 0)</f>
        <v>4</v>
      </c>
      <c r="G40" s="211">
        <f>IFERROR(GETPIVOTDATA("Sum of 05:Other rescue/release of persons",T_06!$A$4,"PubLANAME",$B40), 0)</f>
        <v>25</v>
      </c>
      <c r="H40" s="211">
        <f>IFERROR(GETPIVOTDATA("Sum of 06:Evacuation (no fire)",T_06!$A$4,"PubLANAME",$B40), 0)</f>
        <v>3</v>
      </c>
      <c r="I40" s="211">
        <f>IFERROR(GETPIVOTDATA("Sum of 07:Lift Release",T_06!$A$4,"PubLANAME",$B40), 0)</f>
        <v>2</v>
      </c>
      <c r="J40" s="211">
        <f>IFERROR(GETPIVOTDATA("Sum of 08:Medical Incident - First responder/Co-responder",T_06!$A$4,"PubLANAME",$B40), 0)</f>
        <v>7</v>
      </c>
      <c r="K40" s="211">
        <f>IFERROR(GETPIVOTDATA("Sum of 09:Suicide/attempts",T_06!$A$4,"PubLANAME",$B40), 0)</f>
        <v>10</v>
      </c>
      <c r="L40" s="211">
        <f>IFERROR(GETPIVOTDATA("Sum of 10:Hazardous Materials incident",T_06!$A$4,"PubLANAME",$B40), 0)</f>
        <v>9</v>
      </c>
      <c r="M40" s="211">
        <f>IFERROR(GETPIVOTDATA("Sum of 11:Spills and Leaks (not RTC)",T_06!$A$4,"PubLANAME",$B40), 0)</f>
        <v>2</v>
      </c>
      <c r="N40" s="211">
        <f>IFERROR(GETPIVOTDATA("Sum of 12:Removal of objects",T_06!$A$4,"PubLANAME",$B40), 0)</f>
        <v>24</v>
      </c>
      <c r="O40" s="211">
        <f>IFERROR(GETPIVOTDATA("Sum of 13:Animal assistance incidents",T_06!$A$4,"PubLANAME",$B40), 0)</f>
        <v>12</v>
      </c>
      <c r="P40" s="211">
        <f>IFERROR(GETPIVOTDATA("Sum of 14:Effecting entry/exit",T_06!$A$4,"PubLANAME",$B40), 0)</f>
        <v>165</v>
      </c>
      <c r="Q40" s="211">
        <f>IFERROR(GETPIVOTDATA("Sum of 15:Making Safe (not RTC)",T_06!$A$4,"PubLANAME",$B40), 0)</f>
        <v>5</v>
      </c>
      <c r="R40" s="211">
        <f>IFERROR(GETPIVOTDATA("Sum of 16:No action (not false alarm)",T_06!$A$4,"PubLANAME",$B40), 0)</f>
        <v>23</v>
      </c>
      <c r="S40" s="211">
        <f>IFERROR(GETPIVOTDATA("Sum of 17:Water provision",T_06!$A$4,"PubLANAME",$B40), 0)</f>
        <v>0</v>
      </c>
      <c r="T40" s="211">
        <f>IFERROR(GETPIVOTDATA("Sum of 18:Stand By",T_06!$A$4,"PubLANAME",$B40), 0)</f>
        <v>0</v>
      </c>
      <c r="U40" s="211">
        <f>IFERROR(GETPIVOTDATA("Sum of 19:Assist other agencies",T_06!$A$4,"PubLANAME",$B40), 0)</f>
        <v>31</v>
      </c>
      <c r="V40" s="211">
        <f>IFERROR(GETPIVOTDATA("Sum of 20:Advice Only",T_06!$A$4,"PubLANAME",$B40), 0)</f>
        <v>4</v>
      </c>
      <c r="W40" s="466">
        <f>SUM(C40:V40)</f>
        <v>438</v>
      </c>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ht="13.5" customHeight="1" x14ac:dyDescent="0.2">
      <c r="B41" s="117" t="str">
        <f>IF(T_06!$A$37 = "Z_Not Known", "Not Known","")</f>
        <v/>
      </c>
      <c r="C41" s="211" t="str">
        <f>IFERROR(GETPIVOTDATA("Sum of 01:RTC",T_06!$A$4,"PubLANAME","Z_Not Known"), "")</f>
        <v/>
      </c>
      <c r="D41" s="211" t="str">
        <f>IFERROR(GETPIVOTDATA("Sum of 02:Other Transport incident",T_06!$A$4,"PubLANAME","Z_Not Known"), "")</f>
        <v/>
      </c>
      <c r="E41" s="211" t="str">
        <f>IFERROR(GETPIVOTDATA("Sum of 03:Flooding",T_06!$A$4,"PubLANAME","Z_Not Known"), "")</f>
        <v/>
      </c>
      <c r="F41" s="212" t="str">
        <f>IFERROR(GETPIVOTDATA("Sum of 04:Rescue or evacuation from water",T_06!$A$4,"PubLANAME","Z_Not Known"),"")</f>
        <v/>
      </c>
      <c r="G41" s="211" t="str">
        <f>IFERROR(GETPIVOTDATA("Sum of 05:Other rescue/release of persons",T_06!$A$4,"PubLANAME","Z_Not Known"), "")</f>
        <v/>
      </c>
      <c r="H41" s="211" t="str">
        <f>IFERROR(GETPIVOTDATA("Sum of 06:Evacuation (no fire)",T_06!$A$4,"PubLANAME","Z_Not Known"), "")</f>
        <v/>
      </c>
      <c r="I41" s="211" t="str">
        <f>IFERROR(GETPIVOTDATA("Sum of 07:Lift Release",T_06!$A$4,"PubLANAME","Z_Not Known"), "")</f>
        <v/>
      </c>
      <c r="J41" s="211" t="str">
        <f>IFERROR(GETPIVOTDATA("Sum of 08:Medical Incident - First responder/Co-responder",T_06!$A$4,"PubLANAME","Z_Not Known"), "")</f>
        <v/>
      </c>
      <c r="K41" s="211" t="str">
        <f>IFERROR(GETPIVOTDATA("Sum of 09:Suicide/attempts",T_06!$A$4,"PubLANAME","Z_Not Known"), "")</f>
        <v/>
      </c>
      <c r="L41" s="211" t="str">
        <f>IFERROR(GETPIVOTDATA("Sum of 10:Hazardous Materials incident",T_06!$A$4,"PubLANAME","Z_Not Known"), "")</f>
        <v/>
      </c>
      <c r="M41" s="211" t="str">
        <f>IFERROR(GETPIVOTDATA("Sum of 11:Spills and Leaks (not RTC)",T_06!$A$4,"PubLANAME","Z_Not Known"), "")</f>
        <v/>
      </c>
      <c r="N41" s="211" t="str">
        <f>IFERROR(GETPIVOTDATA("Sum of 12:Removal of objects",T_06!$A$4,"PubLANAME","Z_Not Known"), "")</f>
        <v/>
      </c>
      <c r="O41" s="211" t="str">
        <f>IFERROR(GETPIVOTDATA("Sum of 13:Animal assistance incidents",T_06!$A$4,"PubLANAME","Z_Not Known"), "")</f>
        <v/>
      </c>
      <c r="P41" s="211" t="str">
        <f>IFERROR(GETPIVOTDATA("Sum of 14:Effecting entry/exit",T_06!$A$4,"PubLANAME","Z_Not Known"), "")</f>
        <v/>
      </c>
      <c r="Q41" s="211" t="str">
        <f>IFERROR(GETPIVOTDATA("Sum of 15:Making Safe (not RTC)",T_06!$A$4,"PubLANAME","Z_Not Known"), "")</f>
        <v/>
      </c>
      <c r="R41" s="211" t="str">
        <f>IFERROR(GETPIVOTDATA("Sum of 16:No action (not false alarm)",T_06!$A$4,"PubLANAME","Z_Not Known"), "")</f>
        <v/>
      </c>
      <c r="S41" s="211" t="str">
        <f>IFERROR(GETPIVOTDATA("Sum of 17:Water provision",T_06!$A$4,"PubLANAME","Z_Not Known"), "")</f>
        <v/>
      </c>
      <c r="T41" s="211" t="str">
        <f>IFERROR(GETPIVOTDATA("Sum of 18:Stand By",T_06!$A$4,"PubLANAME","Z_Not Known"), "")</f>
        <v/>
      </c>
      <c r="U41" s="211" t="str">
        <f>IFERROR(GETPIVOTDATA("Sum of 19:Assist other agencies",T_06!$A$4,"PubLANAME","Z_Not Known"), "")</f>
        <v/>
      </c>
      <c r="V41" s="211" t="str">
        <f>IFERROR(GETPIVOTDATA("Sum of 20:Advice Only",T_06!$A$4,"PubLANAME","Z_Not Known"), "")</f>
        <v/>
      </c>
      <c r="W41" s="466" t="str">
        <f>IF(SUM(C41:V41)=0,"",SUM(C41:V41))</f>
        <v/>
      </c>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39" customFormat="1" ht="30" customHeight="1" thickBot="1" x14ac:dyDescent="0.25">
      <c r="A42" s="359" t="s">
        <v>620</v>
      </c>
      <c r="B42" s="360" t="s">
        <v>143</v>
      </c>
      <c r="C42" s="471">
        <f>SUM(C9:C41)</f>
        <v>1596</v>
      </c>
      <c r="D42" s="471">
        <f t="shared" ref="D42:V42" si="1">SUM(D9:D41)</f>
        <v>86</v>
      </c>
      <c r="E42" s="471">
        <f t="shared" si="1"/>
        <v>1617</v>
      </c>
      <c r="F42" s="471">
        <f t="shared" si="1"/>
        <v>230</v>
      </c>
      <c r="G42" s="471">
        <f t="shared" si="1"/>
        <v>631</v>
      </c>
      <c r="H42" s="471">
        <f t="shared" si="1"/>
        <v>109</v>
      </c>
      <c r="I42" s="471">
        <f t="shared" si="1"/>
        <v>415</v>
      </c>
      <c r="J42" s="471">
        <f t="shared" si="1"/>
        <v>342</v>
      </c>
      <c r="K42" s="471">
        <f t="shared" si="1"/>
        <v>210</v>
      </c>
      <c r="L42" s="471">
        <f t="shared" si="1"/>
        <v>158</v>
      </c>
      <c r="M42" s="471">
        <f t="shared" si="1"/>
        <v>81</v>
      </c>
      <c r="N42" s="471">
        <f t="shared" si="1"/>
        <v>392</v>
      </c>
      <c r="O42" s="471">
        <f t="shared" si="1"/>
        <v>470</v>
      </c>
      <c r="P42" s="471">
        <f t="shared" si="1"/>
        <v>3735</v>
      </c>
      <c r="Q42" s="471">
        <f t="shared" si="1"/>
        <v>326</v>
      </c>
      <c r="R42" s="471">
        <f t="shared" si="1"/>
        <v>923</v>
      </c>
      <c r="S42" s="471">
        <f t="shared" si="1"/>
        <v>3</v>
      </c>
      <c r="T42" s="471">
        <f t="shared" si="1"/>
        <v>18</v>
      </c>
      <c r="U42" s="471">
        <f t="shared" si="1"/>
        <v>1161</v>
      </c>
      <c r="V42" s="471">
        <f t="shared" si="1"/>
        <v>190</v>
      </c>
      <c r="W42" s="471">
        <f>SUM(W9:W41)</f>
        <v>12693</v>
      </c>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x14ac:dyDescent="0.2">
      <c r="X43"/>
      <c r="Y43"/>
      <c r="Z43"/>
      <c r="AA43"/>
      <c r="AB43"/>
      <c r="AC43"/>
      <c r="AD43"/>
      <c r="AE43"/>
      <c r="AF43"/>
      <c r="AG43"/>
      <c r="AH43"/>
      <c r="AI43"/>
      <c r="AJ43"/>
      <c r="AK43"/>
      <c r="AL43"/>
      <c r="AM43"/>
      <c r="AN43"/>
      <c r="AO43"/>
      <c r="AP43"/>
      <c r="AQ43"/>
      <c r="AR43"/>
    </row>
    <row r="44" spans="1:90" x14ac:dyDescent="0.2">
      <c r="A44" s="1116" t="s">
        <v>146</v>
      </c>
      <c r="B44" s="2"/>
      <c r="V44"/>
      <c r="W44"/>
      <c r="X44"/>
      <c r="Y44"/>
      <c r="Z44"/>
      <c r="AA44"/>
      <c r="AB44"/>
      <c r="AC44"/>
      <c r="AD44"/>
      <c r="AE44"/>
      <c r="AF44"/>
      <c r="AG44"/>
      <c r="AH44"/>
      <c r="AI44"/>
      <c r="AJ44"/>
      <c r="AK44"/>
      <c r="AL44"/>
      <c r="AM44"/>
      <c r="AN44"/>
      <c r="AO44"/>
      <c r="AP44"/>
      <c r="AQ44"/>
      <c r="AR44"/>
    </row>
    <row r="45" spans="1:90" x14ac:dyDescent="0.2">
      <c r="A45" t="s">
        <v>1557</v>
      </c>
      <c r="V45"/>
      <c r="W45"/>
      <c r="X45"/>
      <c r="Y45"/>
      <c r="Z45"/>
      <c r="AA45"/>
      <c r="AB45"/>
      <c r="AC45"/>
      <c r="AD45"/>
      <c r="AE45"/>
      <c r="AF45"/>
      <c r="AG45"/>
      <c r="AH45"/>
      <c r="AI45"/>
      <c r="AJ45"/>
      <c r="AK45"/>
      <c r="AL45"/>
      <c r="AM45"/>
      <c r="AN45"/>
      <c r="AO45"/>
      <c r="AP45"/>
      <c r="AQ45"/>
      <c r="AR45"/>
    </row>
    <row r="46" spans="1:90" x14ac:dyDescent="0.2">
      <c r="C46" s="96"/>
      <c r="D46" s="96"/>
      <c r="E46" s="96"/>
      <c r="F46" s="96"/>
      <c r="G46" s="96"/>
      <c r="H46" s="96"/>
      <c r="I46" s="96"/>
      <c r="V46"/>
      <c r="W46"/>
      <c r="X46"/>
      <c r="Y46"/>
      <c r="Z46"/>
      <c r="AA46"/>
      <c r="AB46"/>
      <c r="AC46"/>
      <c r="AD46"/>
      <c r="AE46"/>
      <c r="AF46"/>
      <c r="AG46"/>
      <c r="AH46"/>
      <c r="AI46"/>
      <c r="AJ46"/>
      <c r="AK46"/>
      <c r="AL46"/>
      <c r="AM46"/>
      <c r="AN46"/>
      <c r="AO46"/>
      <c r="AP46"/>
      <c r="AQ46"/>
      <c r="AR46"/>
    </row>
    <row r="47" spans="1:90" x14ac:dyDescent="0.2">
      <c r="B47" s="96"/>
      <c r="V47"/>
      <c r="W47"/>
      <c r="X47"/>
      <c r="Y47"/>
      <c r="Z47"/>
      <c r="AA47"/>
      <c r="AB47"/>
      <c r="AC47"/>
      <c r="AD47"/>
      <c r="AE47"/>
      <c r="AF47"/>
      <c r="AG47"/>
      <c r="AH47"/>
      <c r="AI47"/>
      <c r="AJ47"/>
      <c r="AK47"/>
      <c r="AL47"/>
      <c r="AM47"/>
      <c r="AN47"/>
      <c r="AO47"/>
      <c r="AP47"/>
      <c r="AQ47"/>
      <c r="AR47"/>
    </row>
    <row r="48" spans="1:90" x14ac:dyDescent="0.2">
      <c r="B48" s="18"/>
      <c r="V48"/>
      <c r="W48"/>
      <c r="X48"/>
      <c r="Y48"/>
      <c r="Z48"/>
      <c r="AA48"/>
      <c r="AB48"/>
      <c r="AC48"/>
      <c r="AD48"/>
      <c r="AE48"/>
      <c r="AF48"/>
      <c r="AG48"/>
      <c r="AH48"/>
      <c r="AI48"/>
      <c r="AJ48"/>
      <c r="AK48"/>
      <c r="AL48"/>
      <c r="AM48"/>
      <c r="AN48"/>
      <c r="AO48"/>
      <c r="AP48"/>
      <c r="AQ48"/>
      <c r="AR48"/>
    </row>
    <row r="49" spans="22:44" x14ac:dyDescent="0.2">
      <c r="V49"/>
      <c r="W49"/>
      <c r="X49"/>
      <c r="Y49"/>
      <c r="Z49"/>
      <c r="AA49"/>
      <c r="AB49"/>
      <c r="AC49"/>
      <c r="AD49"/>
      <c r="AE49"/>
      <c r="AF49"/>
      <c r="AG49"/>
      <c r="AH49"/>
      <c r="AI49"/>
      <c r="AJ49"/>
      <c r="AK49"/>
      <c r="AL49"/>
      <c r="AM49"/>
      <c r="AN49"/>
      <c r="AO49"/>
      <c r="AP49"/>
      <c r="AQ49"/>
      <c r="AR49"/>
    </row>
    <row r="50" spans="22:44" x14ac:dyDescent="0.2">
      <c r="V50"/>
      <c r="W50"/>
      <c r="X50"/>
      <c r="Y50"/>
      <c r="Z50"/>
      <c r="AA50"/>
      <c r="AB50"/>
      <c r="AC50"/>
      <c r="AD50"/>
      <c r="AE50"/>
      <c r="AF50"/>
      <c r="AG50"/>
      <c r="AH50"/>
      <c r="AI50"/>
      <c r="AJ50"/>
      <c r="AK50"/>
      <c r="AL50"/>
      <c r="AM50"/>
      <c r="AN50"/>
      <c r="AO50"/>
      <c r="AP50"/>
      <c r="AQ50"/>
      <c r="AR50"/>
    </row>
    <row r="51" spans="22:44" x14ac:dyDescent="0.2">
      <c r="V51"/>
      <c r="W51"/>
      <c r="X51"/>
      <c r="Y51"/>
      <c r="Z51"/>
      <c r="AA51"/>
      <c r="AB51"/>
      <c r="AC51"/>
      <c r="AD51"/>
      <c r="AE51"/>
      <c r="AF51"/>
      <c r="AG51"/>
      <c r="AH51"/>
      <c r="AI51"/>
      <c r="AJ51"/>
      <c r="AK51"/>
      <c r="AL51"/>
      <c r="AM51"/>
      <c r="AN51"/>
      <c r="AO51"/>
      <c r="AP51"/>
      <c r="AQ51"/>
      <c r="AR51"/>
    </row>
    <row r="52" spans="22:44" x14ac:dyDescent="0.2">
      <c r="V52"/>
      <c r="W52"/>
      <c r="X52"/>
      <c r="Y52"/>
      <c r="Z52"/>
      <c r="AA52"/>
      <c r="AB52"/>
      <c r="AC52"/>
      <c r="AD52"/>
      <c r="AE52"/>
      <c r="AF52"/>
      <c r="AG52"/>
      <c r="AH52"/>
      <c r="AI52"/>
      <c r="AJ52"/>
      <c r="AK52"/>
      <c r="AL52"/>
      <c r="AM52"/>
      <c r="AN52"/>
      <c r="AO52"/>
      <c r="AP52"/>
      <c r="AQ52"/>
      <c r="AR52"/>
    </row>
    <row r="53" spans="22:44" x14ac:dyDescent="0.2">
      <c r="V53"/>
      <c r="W53"/>
      <c r="X53"/>
      <c r="Y53"/>
      <c r="Z53"/>
      <c r="AA53"/>
      <c r="AB53"/>
      <c r="AC53"/>
      <c r="AD53"/>
      <c r="AE53"/>
      <c r="AF53"/>
      <c r="AG53"/>
      <c r="AH53"/>
      <c r="AI53"/>
      <c r="AJ53"/>
      <c r="AK53"/>
      <c r="AL53"/>
      <c r="AM53"/>
      <c r="AN53"/>
      <c r="AO53"/>
      <c r="AP53"/>
      <c r="AQ53"/>
      <c r="AR53"/>
    </row>
    <row r="54" spans="22:44" x14ac:dyDescent="0.2">
      <c r="V54"/>
      <c r="W54"/>
      <c r="X54"/>
      <c r="Y54"/>
      <c r="Z54"/>
      <c r="AA54"/>
      <c r="AB54"/>
      <c r="AC54"/>
      <c r="AD54"/>
      <c r="AE54"/>
      <c r="AF54"/>
      <c r="AG54"/>
      <c r="AH54"/>
      <c r="AI54"/>
      <c r="AJ54"/>
      <c r="AK54"/>
      <c r="AL54"/>
      <c r="AM54"/>
      <c r="AN54"/>
      <c r="AO54"/>
      <c r="AP54"/>
      <c r="AQ54"/>
      <c r="AR54"/>
    </row>
    <row r="55" spans="22:44" x14ac:dyDescent="0.2">
      <c r="V55"/>
      <c r="W55"/>
      <c r="X55"/>
      <c r="Y55"/>
      <c r="Z55"/>
      <c r="AA55"/>
      <c r="AB55"/>
      <c r="AC55"/>
      <c r="AD55"/>
      <c r="AE55"/>
      <c r="AF55"/>
      <c r="AG55"/>
      <c r="AH55"/>
      <c r="AI55"/>
      <c r="AJ55"/>
      <c r="AK55"/>
      <c r="AL55"/>
      <c r="AM55"/>
      <c r="AN55"/>
      <c r="AO55"/>
      <c r="AP55"/>
      <c r="AQ55"/>
      <c r="AR55"/>
    </row>
    <row r="56" spans="22:44" customFormat="1" x14ac:dyDescent="0.2"/>
    <row r="57" spans="22:44" x14ac:dyDescent="0.2">
      <c r="V57"/>
      <c r="W57"/>
      <c r="X57"/>
      <c r="Y57"/>
      <c r="Z57"/>
      <c r="AA57"/>
      <c r="AB57"/>
      <c r="AC57"/>
      <c r="AD57"/>
      <c r="AE57"/>
      <c r="AF57"/>
      <c r="AG57"/>
      <c r="AH57"/>
      <c r="AI57"/>
      <c r="AJ57"/>
      <c r="AK57"/>
      <c r="AL57"/>
      <c r="AM57"/>
      <c r="AN57"/>
      <c r="AO57"/>
      <c r="AP57"/>
      <c r="AQ57"/>
      <c r="AR57"/>
    </row>
    <row r="58" spans="22:44" customFormat="1" x14ac:dyDescent="0.2"/>
    <row r="59" spans="22:44" x14ac:dyDescent="0.2">
      <c r="V59"/>
      <c r="W59"/>
      <c r="X59"/>
      <c r="Y59"/>
      <c r="Z59"/>
      <c r="AA59"/>
      <c r="AB59"/>
      <c r="AC59"/>
      <c r="AD59"/>
      <c r="AE59"/>
      <c r="AF59"/>
      <c r="AG59"/>
      <c r="AH59"/>
      <c r="AI59"/>
      <c r="AJ59"/>
      <c r="AK59"/>
      <c r="AL59"/>
      <c r="AM59"/>
      <c r="AN59"/>
      <c r="AO59"/>
      <c r="AP59"/>
      <c r="AQ59"/>
      <c r="AR59"/>
    </row>
    <row r="60" spans="22:44" x14ac:dyDescent="0.2">
      <c r="V60"/>
      <c r="W60"/>
      <c r="X60"/>
      <c r="Y60"/>
      <c r="Z60"/>
      <c r="AA60"/>
      <c r="AB60"/>
      <c r="AC60"/>
      <c r="AD60"/>
      <c r="AE60"/>
      <c r="AF60"/>
      <c r="AG60"/>
      <c r="AH60"/>
      <c r="AI60"/>
      <c r="AJ60"/>
      <c r="AK60"/>
      <c r="AL60"/>
      <c r="AM60"/>
      <c r="AN60"/>
      <c r="AO60"/>
      <c r="AP60"/>
      <c r="AQ60"/>
      <c r="AR60"/>
    </row>
    <row r="61" spans="22:44" x14ac:dyDescent="0.2">
      <c r="V61"/>
      <c r="W61"/>
      <c r="X61"/>
      <c r="Y61"/>
      <c r="Z61"/>
      <c r="AA61"/>
      <c r="AB61"/>
      <c r="AC61"/>
      <c r="AD61"/>
      <c r="AE61"/>
      <c r="AF61"/>
      <c r="AG61"/>
      <c r="AH61"/>
      <c r="AI61"/>
      <c r="AJ61"/>
      <c r="AK61"/>
      <c r="AL61"/>
      <c r="AM61"/>
      <c r="AN61"/>
      <c r="AO61"/>
      <c r="AP61"/>
      <c r="AQ61"/>
      <c r="AR61"/>
    </row>
    <row r="62" spans="22:44" x14ac:dyDescent="0.2">
      <c r="V62"/>
      <c r="W62"/>
      <c r="X62"/>
      <c r="Y62"/>
      <c r="Z62"/>
      <c r="AA62"/>
      <c r="AB62"/>
      <c r="AC62"/>
      <c r="AD62"/>
      <c r="AE62"/>
      <c r="AF62"/>
      <c r="AG62"/>
      <c r="AH62"/>
      <c r="AI62"/>
      <c r="AJ62"/>
      <c r="AK62"/>
      <c r="AL62"/>
      <c r="AM62"/>
      <c r="AN62"/>
      <c r="AO62"/>
      <c r="AP62"/>
      <c r="AQ62"/>
      <c r="AR62"/>
    </row>
    <row r="63" spans="22:44" x14ac:dyDescent="0.2">
      <c r="V63"/>
      <c r="W63"/>
      <c r="X63"/>
      <c r="Y63"/>
      <c r="Z63"/>
      <c r="AA63"/>
      <c r="AB63"/>
      <c r="AC63"/>
      <c r="AD63"/>
      <c r="AE63"/>
      <c r="AF63"/>
      <c r="AG63"/>
      <c r="AH63"/>
      <c r="AI63"/>
      <c r="AJ63"/>
      <c r="AK63"/>
      <c r="AL63"/>
      <c r="AM63"/>
      <c r="AN63"/>
      <c r="AO63"/>
      <c r="AP63"/>
      <c r="AQ63"/>
      <c r="AR63"/>
    </row>
    <row r="64" spans="22:44" x14ac:dyDescent="0.2">
      <c r="V64"/>
      <c r="W64"/>
      <c r="X64"/>
      <c r="Y64"/>
      <c r="Z64"/>
      <c r="AA64"/>
      <c r="AB64"/>
      <c r="AC64"/>
      <c r="AD64"/>
      <c r="AE64"/>
      <c r="AF64"/>
      <c r="AG64"/>
      <c r="AH64"/>
      <c r="AI64"/>
      <c r="AJ64"/>
      <c r="AK64"/>
      <c r="AL64"/>
      <c r="AM64"/>
      <c r="AN64"/>
      <c r="AO64"/>
      <c r="AP64"/>
      <c r="AQ64"/>
      <c r="AR64"/>
    </row>
    <row r="65" spans="22:44" x14ac:dyDescent="0.2">
      <c r="V65"/>
      <c r="W65"/>
      <c r="X65"/>
      <c r="Y65"/>
      <c r="Z65"/>
      <c r="AA65"/>
      <c r="AB65"/>
      <c r="AC65"/>
      <c r="AD65"/>
      <c r="AE65"/>
      <c r="AF65"/>
      <c r="AG65"/>
      <c r="AH65"/>
      <c r="AI65"/>
      <c r="AJ65"/>
      <c r="AK65"/>
      <c r="AL65"/>
      <c r="AM65"/>
      <c r="AN65"/>
      <c r="AO65"/>
      <c r="AP65"/>
      <c r="AQ65"/>
      <c r="AR65"/>
    </row>
    <row r="66" spans="22:44" x14ac:dyDescent="0.2">
      <c r="V66"/>
      <c r="W66"/>
      <c r="X66"/>
      <c r="Y66"/>
      <c r="Z66"/>
      <c r="AA66"/>
      <c r="AB66"/>
      <c r="AC66"/>
      <c r="AD66"/>
      <c r="AE66"/>
      <c r="AF66"/>
      <c r="AG66"/>
      <c r="AH66"/>
      <c r="AI66"/>
      <c r="AJ66"/>
      <c r="AK66"/>
      <c r="AL66"/>
      <c r="AM66"/>
      <c r="AN66"/>
      <c r="AO66"/>
      <c r="AP66"/>
      <c r="AQ66"/>
      <c r="AR66"/>
    </row>
    <row r="67" spans="22:44" x14ac:dyDescent="0.2">
      <c r="V67"/>
      <c r="W67"/>
      <c r="X67"/>
      <c r="Y67"/>
      <c r="Z67"/>
      <c r="AA67"/>
      <c r="AB67"/>
      <c r="AC67"/>
      <c r="AD67"/>
      <c r="AE67"/>
      <c r="AF67"/>
      <c r="AG67"/>
      <c r="AH67"/>
      <c r="AI67"/>
      <c r="AJ67"/>
      <c r="AK67"/>
      <c r="AL67"/>
      <c r="AM67"/>
      <c r="AN67"/>
      <c r="AO67"/>
      <c r="AP67"/>
      <c r="AQ67"/>
      <c r="AR67"/>
    </row>
    <row r="68" spans="22:44" x14ac:dyDescent="0.2">
      <c r="V68"/>
      <c r="W68"/>
      <c r="X68"/>
      <c r="Y68"/>
      <c r="Z68"/>
      <c r="AA68"/>
      <c r="AB68"/>
      <c r="AC68"/>
      <c r="AD68"/>
      <c r="AE68"/>
      <c r="AF68"/>
      <c r="AG68"/>
      <c r="AH68"/>
      <c r="AI68"/>
      <c r="AJ68"/>
      <c r="AK68"/>
      <c r="AL68"/>
      <c r="AM68"/>
      <c r="AN68"/>
      <c r="AO68"/>
      <c r="AP68"/>
      <c r="AQ68"/>
      <c r="AR68"/>
    </row>
    <row r="69" spans="22:44" x14ac:dyDescent="0.2">
      <c r="V69"/>
      <c r="W69"/>
      <c r="X69"/>
      <c r="Y69"/>
      <c r="Z69"/>
      <c r="AA69"/>
      <c r="AB69"/>
      <c r="AC69"/>
      <c r="AD69"/>
      <c r="AE69"/>
      <c r="AF69"/>
      <c r="AG69"/>
      <c r="AH69"/>
      <c r="AI69"/>
      <c r="AJ69"/>
      <c r="AK69"/>
      <c r="AL69"/>
      <c r="AM69"/>
      <c r="AN69"/>
      <c r="AO69"/>
      <c r="AP69"/>
      <c r="AQ69"/>
      <c r="AR69"/>
    </row>
    <row r="70" spans="22:44" x14ac:dyDescent="0.2">
      <c r="V70"/>
      <c r="W70"/>
      <c r="X70"/>
      <c r="Y70"/>
      <c r="Z70"/>
      <c r="AA70"/>
      <c r="AB70"/>
      <c r="AC70"/>
      <c r="AD70"/>
      <c r="AE70"/>
      <c r="AF70"/>
      <c r="AG70"/>
      <c r="AH70"/>
      <c r="AI70"/>
      <c r="AJ70"/>
      <c r="AK70"/>
      <c r="AL70"/>
      <c r="AM70"/>
      <c r="AN70"/>
      <c r="AO70"/>
      <c r="AP70"/>
      <c r="AQ70"/>
      <c r="AR70"/>
    </row>
    <row r="71" spans="22:44" x14ac:dyDescent="0.2">
      <c r="V71"/>
      <c r="W71"/>
      <c r="X71"/>
      <c r="Y71"/>
      <c r="Z71"/>
      <c r="AA71"/>
      <c r="AB71"/>
      <c r="AC71"/>
      <c r="AD71"/>
      <c r="AE71"/>
      <c r="AF71"/>
      <c r="AG71"/>
      <c r="AH71"/>
      <c r="AI71"/>
      <c r="AJ71"/>
      <c r="AK71"/>
      <c r="AL71"/>
      <c r="AM71"/>
      <c r="AN71"/>
      <c r="AO71"/>
      <c r="AP71"/>
      <c r="AQ71"/>
      <c r="AR71"/>
    </row>
    <row r="72" spans="22:44" x14ac:dyDescent="0.2">
      <c r="V72"/>
      <c r="W72"/>
      <c r="X72"/>
      <c r="Y72"/>
      <c r="Z72"/>
      <c r="AA72"/>
      <c r="AB72"/>
      <c r="AC72"/>
      <c r="AD72"/>
      <c r="AE72"/>
      <c r="AF72"/>
      <c r="AG72"/>
      <c r="AH72"/>
      <c r="AI72"/>
      <c r="AJ72"/>
      <c r="AK72"/>
      <c r="AL72"/>
      <c r="AM72"/>
      <c r="AN72"/>
      <c r="AO72"/>
      <c r="AP72"/>
      <c r="AQ72"/>
      <c r="AR72"/>
    </row>
    <row r="73" spans="22:44" x14ac:dyDescent="0.2">
      <c r="V73"/>
      <c r="W73"/>
      <c r="X73"/>
      <c r="Y73"/>
      <c r="Z73"/>
      <c r="AA73"/>
      <c r="AB73"/>
      <c r="AC73"/>
      <c r="AD73"/>
      <c r="AE73"/>
      <c r="AF73"/>
      <c r="AG73"/>
      <c r="AH73"/>
      <c r="AI73"/>
      <c r="AJ73"/>
      <c r="AK73"/>
      <c r="AL73"/>
      <c r="AM73"/>
      <c r="AN73"/>
      <c r="AO73"/>
      <c r="AP73"/>
      <c r="AQ73"/>
      <c r="AR73"/>
    </row>
    <row r="74" spans="22:44" x14ac:dyDescent="0.2">
      <c r="V74"/>
      <c r="W74"/>
      <c r="X74"/>
      <c r="Y74"/>
      <c r="Z74"/>
      <c r="AA74"/>
      <c r="AB74"/>
      <c r="AC74"/>
      <c r="AD74"/>
      <c r="AE74"/>
      <c r="AF74"/>
      <c r="AG74"/>
      <c r="AH74"/>
      <c r="AI74"/>
      <c r="AJ74"/>
      <c r="AK74"/>
      <c r="AL74"/>
      <c r="AM74"/>
      <c r="AN74"/>
      <c r="AO74"/>
      <c r="AP74"/>
      <c r="AQ74"/>
      <c r="AR74"/>
    </row>
    <row r="75" spans="22:44" x14ac:dyDescent="0.2">
      <c r="V75"/>
      <c r="W75"/>
      <c r="X75"/>
      <c r="Y75"/>
      <c r="Z75"/>
      <c r="AA75"/>
      <c r="AB75"/>
      <c r="AC75"/>
      <c r="AD75"/>
      <c r="AE75"/>
      <c r="AF75"/>
      <c r="AG75"/>
      <c r="AH75"/>
      <c r="AI75"/>
      <c r="AJ75"/>
      <c r="AK75"/>
      <c r="AL75"/>
      <c r="AM75"/>
      <c r="AN75"/>
      <c r="AO75"/>
      <c r="AP75"/>
      <c r="AQ75"/>
      <c r="AR75"/>
    </row>
    <row r="76" spans="22:44" x14ac:dyDescent="0.2">
      <c r="X76"/>
      <c r="Y76"/>
      <c r="Z76"/>
      <c r="AA76"/>
      <c r="AB76"/>
      <c r="AC76"/>
      <c r="AD76"/>
      <c r="AE76"/>
      <c r="AF76"/>
      <c r="AG76"/>
      <c r="AH76"/>
      <c r="AI76"/>
      <c r="AJ76"/>
      <c r="AK76"/>
      <c r="AL76"/>
      <c r="AM76"/>
      <c r="AN76"/>
      <c r="AO76"/>
      <c r="AP76"/>
      <c r="AQ76"/>
      <c r="AR76"/>
    </row>
    <row r="77" spans="22:44" x14ac:dyDescent="0.2">
      <c r="X77" s="253"/>
    </row>
    <row r="78" spans="22:44" x14ac:dyDescent="0.2">
      <c r="X78" s="253"/>
    </row>
    <row r="79" spans="22:44" x14ac:dyDescent="0.2">
      <c r="X79" s="253"/>
    </row>
    <row r="80" spans="22:44" x14ac:dyDescent="0.2">
      <c r="X80" s="253"/>
    </row>
    <row r="81" spans="24:24" x14ac:dyDescent="0.2">
      <c r="X81" s="253"/>
    </row>
    <row r="82" spans="24:24" x14ac:dyDescent="0.2">
      <c r="X82" s="253"/>
    </row>
    <row r="83" spans="24:24" x14ac:dyDescent="0.2">
      <c r="X83" s="253"/>
    </row>
    <row r="84" spans="24:24" x14ac:dyDescent="0.2">
      <c r="X84" s="253"/>
    </row>
    <row r="85" spans="24:24" x14ac:dyDescent="0.2">
      <c r="X85" s="253"/>
    </row>
    <row r="86" spans="24:24" x14ac:dyDescent="0.2">
      <c r="X86" s="253"/>
    </row>
    <row r="87" spans="24:24" x14ac:dyDescent="0.2">
      <c r="X87" s="253"/>
    </row>
    <row r="88" spans="24:24" x14ac:dyDescent="0.2">
      <c r="X88" s="253"/>
    </row>
    <row r="89" spans="24:24" x14ac:dyDescent="0.2">
      <c r="X89" s="253"/>
    </row>
    <row r="90" spans="24:24" x14ac:dyDescent="0.2">
      <c r="X90" s="253"/>
    </row>
    <row r="91" spans="24:24" x14ac:dyDescent="0.2">
      <c r="X91" s="253"/>
    </row>
    <row r="92" spans="24:24" x14ac:dyDescent="0.2">
      <c r="X92" s="253"/>
    </row>
    <row r="93" spans="24:24" x14ac:dyDescent="0.2">
      <c r="X93" s="253"/>
    </row>
    <row r="94" spans="24:24" x14ac:dyDescent="0.2">
      <c r="X94" s="253"/>
    </row>
    <row r="95" spans="24:24" x14ac:dyDescent="0.2">
      <c r="X95" s="253"/>
    </row>
    <row r="96" spans="24:24" x14ac:dyDescent="0.2">
      <c r="X96" s="253"/>
    </row>
    <row r="97" spans="24:24" x14ac:dyDescent="0.2">
      <c r="X97" s="253"/>
    </row>
    <row r="98" spans="24:24" x14ac:dyDescent="0.2">
      <c r="X98" s="253"/>
    </row>
    <row r="99" spans="24:24" x14ac:dyDescent="0.2">
      <c r="X99" s="253"/>
    </row>
    <row r="100" spans="24:24" x14ac:dyDescent="0.2">
      <c r="X100" s="253"/>
    </row>
    <row r="101" spans="24:24" x14ac:dyDescent="0.2">
      <c r="X101" s="253"/>
    </row>
    <row r="102" spans="24:24" x14ac:dyDescent="0.2">
      <c r="X102" s="253"/>
    </row>
    <row r="103" spans="24:24" x14ac:dyDescent="0.2">
      <c r="X103" s="253"/>
    </row>
    <row r="104" spans="24:24" x14ac:dyDescent="0.2">
      <c r="X104" s="253"/>
    </row>
    <row r="105" spans="24:24" x14ac:dyDescent="0.2">
      <c r="X105" s="253"/>
    </row>
    <row r="106" spans="24:24" x14ac:dyDescent="0.2">
      <c r="X106" s="253"/>
    </row>
    <row r="107" spans="24:24" x14ac:dyDescent="0.2">
      <c r="X107" s="253"/>
    </row>
    <row r="108" spans="24:24" x14ac:dyDescent="0.2">
      <c r="X108" s="253"/>
    </row>
    <row r="109" spans="24:24" x14ac:dyDescent="0.2">
      <c r="X109" s="253"/>
    </row>
    <row r="110" spans="24:24" x14ac:dyDescent="0.2">
      <c r="X110" s="253"/>
    </row>
    <row r="111" spans="24:24" x14ac:dyDescent="0.2">
      <c r="X111" s="253"/>
    </row>
    <row r="112" spans="24:24" x14ac:dyDescent="0.2">
      <c r="X112" s="253"/>
    </row>
    <row r="113" spans="24:24" x14ac:dyDescent="0.2">
      <c r="X113" s="253"/>
    </row>
    <row r="114" spans="24:24" x14ac:dyDescent="0.2">
      <c r="X114" s="253"/>
    </row>
    <row r="115" spans="24:24" x14ac:dyDescent="0.2">
      <c r="X115" s="253"/>
    </row>
    <row r="116" spans="24:24" x14ac:dyDescent="0.2">
      <c r="X116" s="253"/>
    </row>
    <row r="117" spans="24:24" x14ac:dyDescent="0.2">
      <c r="X117" s="253"/>
    </row>
    <row r="118" spans="24:24" x14ac:dyDescent="0.2">
      <c r="X118" s="253"/>
    </row>
    <row r="119" spans="24:24" x14ac:dyDescent="0.2">
      <c r="X119" s="253"/>
    </row>
    <row r="120" spans="24:24" x14ac:dyDescent="0.2">
      <c r="X120" s="253"/>
    </row>
    <row r="121" spans="24:24" x14ac:dyDescent="0.2">
      <c r="X121" s="253"/>
    </row>
    <row r="122" spans="24:24" x14ac:dyDescent="0.2">
      <c r="X122" s="253"/>
    </row>
    <row r="123" spans="24:24" x14ac:dyDescent="0.2">
      <c r="X123" s="253"/>
    </row>
    <row r="124" spans="24:24" x14ac:dyDescent="0.2">
      <c r="X124" s="253"/>
    </row>
    <row r="125" spans="24:24" x14ac:dyDescent="0.2">
      <c r="X125" s="253"/>
    </row>
    <row r="126" spans="24:24" x14ac:dyDescent="0.2">
      <c r="X126" s="253"/>
    </row>
    <row r="127" spans="24:24" x14ac:dyDescent="0.2">
      <c r="X127" s="253"/>
    </row>
    <row r="128" spans="24:24" x14ac:dyDescent="0.2">
      <c r="X128" s="253"/>
    </row>
    <row r="129" spans="24:24" x14ac:dyDescent="0.2">
      <c r="X129" s="253"/>
    </row>
    <row r="130" spans="24:24" x14ac:dyDescent="0.2">
      <c r="X130" s="253"/>
    </row>
    <row r="131" spans="24:24" x14ac:dyDescent="0.2">
      <c r="X131" s="253"/>
    </row>
    <row r="132" spans="24:24" x14ac:dyDescent="0.2">
      <c r="X132" s="253"/>
    </row>
    <row r="133" spans="24:24" x14ac:dyDescent="0.2">
      <c r="X133" s="253"/>
    </row>
    <row r="134" spans="24:24" x14ac:dyDescent="0.2">
      <c r="X134" s="253"/>
    </row>
    <row r="135" spans="24:24" x14ac:dyDescent="0.2">
      <c r="X135" s="253"/>
    </row>
    <row r="136" spans="24:24" x14ac:dyDescent="0.2">
      <c r="X136" s="253"/>
    </row>
    <row r="137" spans="24:24" x14ac:dyDescent="0.2">
      <c r="X137" s="253"/>
    </row>
    <row r="138" spans="24:24" x14ac:dyDescent="0.2">
      <c r="X138" s="253"/>
    </row>
    <row r="139" spans="24:24" x14ac:dyDescent="0.2">
      <c r="X139" s="253"/>
    </row>
    <row r="140" spans="24:24" x14ac:dyDescent="0.2">
      <c r="X140" s="253"/>
    </row>
    <row r="141" spans="24:24" x14ac:dyDescent="0.2">
      <c r="X141" s="253"/>
    </row>
    <row r="142" spans="24:24" x14ac:dyDescent="0.2">
      <c r="X142" s="253"/>
    </row>
    <row r="143" spans="24:24" x14ac:dyDescent="0.2">
      <c r="X143" s="253"/>
    </row>
    <row r="144" spans="24:24" x14ac:dyDescent="0.2">
      <c r="X144" s="253"/>
    </row>
    <row r="145" spans="24:24" x14ac:dyDescent="0.2">
      <c r="X145" s="253"/>
    </row>
    <row r="146" spans="24:24" x14ac:dyDescent="0.2">
      <c r="X146" s="253"/>
    </row>
    <row r="147" spans="24:24" x14ac:dyDescent="0.2">
      <c r="X147" s="253"/>
    </row>
    <row r="148" spans="24:24" x14ac:dyDescent="0.2">
      <c r="X148" s="253"/>
    </row>
    <row r="149" spans="24:24" x14ac:dyDescent="0.2">
      <c r="X149" s="253"/>
    </row>
    <row r="150" spans="24:24" x14ac:dyDescent="0.2">
      <c r="X150" s="253"/>
    </row>
    <row r="151" spans="24:24" x14ac:dyDescent="0.2">
      <c r="X151" s="253"/>
    </row>
    <row r="152" spans="24:24" x14ac:dyDescent="0.2">
      <c r="X152" s="253"/>
    </row>
    <row r="153" spans="24:24" x14ac:dyDescent="0.2">
      <c r="X153" s="253"/>
    </row>
    <row r="154" spans="24:24" x14ac:dyDescent="0.2">
      <c r="X154" s="253"/>
    </row>
    <row r="155" spans="24:24" x14ac:dyDescent="0.2">
      <c r="X155" s="253"/>
    </row>
    <row r="156" spans="24:24" x14ac:dyDescent="0.2">
      <c r="X156" s="253"/>
    </row>
    <row r="157" spans="24:24" x14ac:dyDescent="0.2">
      <c r="X157" s="253"/>
    </row>
    <row r="158" spans="24:24" x14ac:dyDescent="0.2">
      <c r="X158" s="253"/>
    </row>
    <row r="159" spans="24:24" x14ac:dyDescent="0.2">
      <c r="X159" s="253"/>
    </row>
    <row r="160" spans="24:24" x14ac:dyDescent="0.2">
      <c r="X160" s="253"/>
    </row>
    <row r="161" spans="24:24" x14ac:dyDescent="0.2">
      <c r="X161" s="253"/>
    </row>
    <row r="162" spans="24:24" x14ac:dyDescent="0.2">
      <c r="X162" s="253"/>
    </row>
    <row r="163" spans="24:24" x14ac:dyDescent="0.2">
      <c r="X163" s="253"/>
    </row>
    <row r="164" spans="24:24" x14ac:dyDescent="0.2">
      <c r="X164" s="253"/>
    </row>
    <row r="165" spans="24:24" x14ac:dyDescent="0.2">
      <c r="X165" s="253"/>
    </row>
    <row r="166" spans="24:24" x14ac:dyDescent="0.2">
      <c r="X166" s="253"/>
    </row>
    <row r="167" spans="24:24" x14ac:dyDescent="0.2">
      <c r="X167" s="253"/>
    </row>
    <row r="168" spans="24:24" x14ac:dyDescent="0.2">
      <c r="X168" s="253"/>
    </row>
    <row r="169" spans="24:24" x14ac:dyDescent="0.2">
      <c r="X169" s="253"/>
    </row>
    <row r="170" spans="24:24" x14ac:dyDescent="0.2">
      <c r="X170" s="253"/>
    </row>
    <row r="171" spans="24:24" x14ac:dyDescent="0.2">
      <c r="X171" s="253"/>
    </row>
    <row r="172" spans="24:24" x14ac:dyDescent="0.2">
      <c r="X172" s="253"/>
    </row>
    <row r="173" spans="24:24" x14ac:dyDescent="0.2">
      <c r="X173" s="253"/>
    </row>
    <row r="174" spans="24:24" x14ac:dyDescent="0.2">
      <c r="X174" s="253"/>
    </row>
    <row r="175" spans="24:24" x14ac:dyDescent="0.2">
      <c r="X175" s="253"/>
    </row>
    <row r="176" spans="24:24" x14ac:dyDescent="0.2">
      <c r="X176" s="253"/>
    </row>
    <row r="177" spans="24:24" x14ac:dyDescent="0.2">
      <c r="X177" s="253"/>
    </row>
    <row r="178" spans="24:24" x14ac:dyDescent="0.2">
      <c r="X178" s="253"/>
    </row>
    <row r="179" spans="24:24" x14ac:dyDescent="0.2">
      <c r="X179" s="253"/>
    </row>
    <row r="180" spans="24:24" x14ac:dyDescent="0.2">
      <c r="X180" s="253"/>
    </row>
    <row r="181" spans="24:24" x14ac:dyDescent="0.2">
      <c r="X181" s="253"/>
    </row>
    <row r="182" spans="24:24" x14ac:dyDescent="0.2">
      <c r="X182" s="253"/>
    </row>
  </sheetData>
  <sheetProtection algorithmName="SHA-512" hashValue="qqFDBTG5yPj0KJdzigD1/7djqgurkmObIQJKfHj4A/zo3p16CdwjIY88BfJXm8QwtzhvrMtUlyMdgs/H2mt5Kg==" saltValue="RivsM0ttKYopSDp0KO46RA==" spinCount="100000" sheet="1" scenarios="1" formatCells="0" formatColumns="0" formatRows="0" sort="0" autoFilter="0" pivotTables="0"/>
  <hyperlinks>
    <hyperlink ref="A2" location="'Table of Contents'!A1" display="Back to Table of Contents" xr:uid="{00000000-0004-0000-65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3">
    <tabColor rgb="FFD9B3FF"/>
    <pageSetUpPr fitToPage="1"/>
  </sheetPr>
  <dimension ref="A1:S47"/>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7" style="1" customWidth="1"/>
    <col min="2" max="2" width="23.85546875" style="1" customWidth="1"/>
    <col min="3" max="3" width="12" style="1" customWidth="1"/>
    <col min="4" max="4" width="9.140625" style="1"/>
    <col min="5" max="5" width="11" style="1" customWidth="1"/>
    <col min="6" max="6" width="11.5703125" style="1" customWidth="1"/>
    <col min="7" max="7" width="18.5703125" style="1" customWidth="1"/>
    <col min="8" max="8" width="12" style="1" customWidth="1"/>
    <col min="9" max="9" width="17" style="1" customWidth="1"/>
    <col min="10" max="16384" width="9.140625" style="1"/>
  </cols>
  <sheetData>
    <row r="1" spans="1:18" ht="18.75" customHeight="1" x14ac:dyDescent="0.2">
      <c r="A1" s="298" t="s">
        <v>1131</v>
      </c>
    </row>
    <row r="2" spans="1:18" ht="17.25" customHeight="1" x14ac:dyDescent="0.2">
      <c r="A2" s="106" t="s">
        <v>578</v>
      </c>
    </row>
    <row r="3" spans="1:18" s="39" customFormat="1" ht="27.75" customHeight="1" x14ac:dyDescent="0.2">
      <c r="A3" s="129" t="s">
        <v>1026</v>
      </c>
      <c r="B3" s="197"/>
      <c r="C3" s="197"/>
      <c r="D3" s="197"/>
      <c r="E3" s="197"/>
      <c r="F3"/>
      <c r="G3" s="197"/>
      <c r="H3" s="197"/>
      <c r="J3" s="75"/>
      <c r="K3" s="75"/>
    </row>
    <row r="4" spans="1:18" s="39" customFormat="1" ht="15" customHeight="1" x14ac:dyDescent="0.25">
      <c r="A4" s="351" t="s">
        <v>579</v>
      </c>
      <c r="B4" s="1043" t="s">
        <v>1346</v>
      </c>
      <c r="D4" s="340"/>
      <c r="E4" s="340"/>
      <c r="F4" s="340"/>
      <c r="G4" s="340"/>
      <c r="H4" s="340"/>
      <c r="J4" s="75"/>
      <c r="K4" s="75"/>
    </row>
    <row r="5" spans="1:18" s="39" customFormat="1" ht="15" customHeight="1" x14ac:dyDescent="0.25">
      <c r="A5" s="351" t="s">
        <v>580</v>
      </c>
      <c r="B5" s="351" t="s">
        <v>581</v>
      </c>
      <c r="C5" s="340"/>
      <c r="D5" s="340"/>
      <c r="E5" s="340"/>
      <c r="F5" s="340"/>
      <c r="G5" s="340"/>
      <c r="H5" s="340"/>
      <c r="J5" s="75"/>
      <c r="K5" s="75"/>
    </row>
    <row r="6" spans="1:18" s="39" customFormat="1" ht="15" customHeight="1" x14ac:dyDescent="0.25">
      <c r="A6" s="351" t="s">
        <v>582</v>
      </c>
      <c r="B6" s="351" t="s">
        <v>585</v>
      </c>
      <c r="C6" s="340"/>
      <c r="D6" s="340"/>
      <c r="E6" s="340"/>
      <c r="F6" s="340"/>
      <c r="G6" s="340"/>
      <c r="H6" s="340"/>
      <c r="J6" s="75"/>
      <c r="K6" s="75"/>
    </row>
    <row r="7" spans="1:18" ht="15" customHeight="1" x14ac:dyDescent="0.2">
      <c r="G7" s="61" t="s">
        <v>57</v>
      </c>
    </row>
    <row r="8" spans="1:18" ht="38.25" x14ac:dyDescent="0.2">
      <c r="A8" s="2" t="s">
        <v>586</v>
      </c>
      <c r="B8" s="2" t="s">
        <v>22</v>
      </c>
      <c r="C8" s="336" t="s">
        <v>63</v>
      </c>
      <c r="D8" s="345" t="s">
        <v>64</v>
      </c>
      <c r="E8" s="345" t="s">
        <v>516</v>
      </c>
      <c r="F8" s="233" t="s">
        <v>517</v>
      </c>
      <c r="G8" s="215" t="s">
        <v>260</v>
      </c>
      <c r="J8"/>
      <c r="K8"/>
      <c r="L8"/>
      <c r="M8"/>
      <c r="N8"/>
      <c r="O8"/>
      <c r="P8"/>
      <c r="Q8"/>
      <c r="R8"/>
    </row>
    <row r="9" spans="1:18" ht="18.75" customHeight="1" x14ac:dyDescent="0.2">
      <c r="A9" s="414" t="s">
        <v>587</v>
      </c>
      <c r="B9" s="400" t="s">
        <v>23</v>
      </c>
      <c r="C9" s="475">
        <f>T_06b!C5/T_06b!$B5*100000</f>
        <v>25.320876626211472</v>
      </c>
      <c r="D9" s="475">
        <f>T_06b!D5/T_06b!$B5*100000</f>
        <v>34.052213393870602</v>
      </c>
      <c r="E9" s="475">
        <f>T_06b!E5/T_06b!$B5*100000</f>
        <v>58.936523181699116</v>
      </c>
      <c r="F9" s="475">
        <f>SUM(T_06b!F5:V5)/T_06b!$B5*100000</f>
        <v>130.53348467650397</v>
      </c>
      <c r="G9" s="476">
        <f>SUM(T_06b!C5:V5)/T_06b!$B5*100000</f>
        <v>248.84309787828514</v>
      </c>
      <c r="H9"/>
      <c r="J9"/>
      <c r="K9"/>
      <c r="L9"/>
      <c r="M9"/>
      <c r="N9"/>
      <c r="O9"/>
      <c r="P9"/>
      <c r="Q9"/>
      <c r="R9"/>
    </row>
    <row r="10" spans="1:18" ht="13.5" customHeight="1" x14ac:dyDescent="0.2">
      <c r="A10" s="1" t="s">
        <v>588</v>
      </c>
      <c r="B10" s="117" t="s">
        <v>24</v>
      </c>
      <c r="C10" s="467">
        <f>T_06b!C6/T_06b!$B6*100000</f>
        <v>57.136283457320346</v>
      </c>
      <c r="D10" s="467">
        <f>T_06b!D6/T_06b!$B6*100000</f>
        <v>16.872459544443593</v>
      </c>
      <c r="E10" s="467">
        <f>T_06b!E6/T_06b!$B6*100000</f>
        <v>34.511849068180076</v>
      </c>
      <c r="F10" s="467">
        <f>SUM(T_06b!F6:V6)/T_06b!$B6*100000</f>
        <v>66.722908198481477</v>
      </c>
      <c r="G10" s="468">
        <f>SUM(T_06b!C6:V6)/T_06b!$B6*100000</f>
        <v>175.24350026842549</v>
      </c>
      <c r="J10"/>
      <c r="K10"/>
      <c r="L10"/>
      <c r="M10"/>
      <c r="N10"/>
      <c r="O10"/>
      <c r="P10"/>
      <c r="Q10"/>
      <c r="R10"/>
    </row>
    <row r="11" spans="1:18" ht="13.5" customHeight="1" x14ac:dyDescent="0.2">
      <c r="A11" s="1" t="s">
        <v>589</v>
      </c>
      <c r="B11" s="117" t="s">
        <v>25</v>
      </c>
      <c r="C11" s="467">
        <f>T_06b!C7/T_06b!$B7*100000</f>
        <v>42.307028147124846</v>
      </c>
      <c r="D11" s="467">
        <f>T_06b!D7/T_06b!$B7*100000</f>
        <v>17.268174753928509</v>
      </c>
      <c r="E11" s="467">
        <f>T_06b!E7/T_06b!$B7*100000</f>
        <v>94.974961146606802</v>
      </c>
      <c r="F11" s="467">
        <f>SUM(T_06b!F7:V7)/T_06b!$B7*100000</f>
        <v>96.701778621999651</v>
      </c>
      <c r="G11" s="468">
        <f>SUM(T_06b!C7:V7)/T_06b!$B7*100000</f>
        <v>251.25194266965983</v>
      </c>
      <c r="J11"/>
      <c r="K11"/>
      <c r="L11"/>
      <c r="M11"/>
      <c r="N11"/>
      <c r="O11"/>
      <c r="P11"/>
      <c r="Q11"/>
      <c r="R11"/>
    </row>
    <row r="12" spans="1:18" ht="13.5" customHeight="1" x14ac:dyDescent="0.2">
      <c r="A12" s="1" t="s">
        <v>590</v>
      </c>
      <c r="B12" s="117" t="s">
        <v>26</v>
      </c>
      <c r="C12" s="467">
        <f>T_06b!C8/T_06b!$B8*100000</f>
        <v>32.775371649303523</v>
      </c>
      <c r="D12" s="467">
        <f>T_06b!D8/T_06b!$B8*100000</f>
        <v>19.899332787077139</v>
      </c>
      <c r="E12" s="467">
        <f>T_06b!E8/T_06b!$B8*100000</f>
        <v>43.310312536579659</v>
      </c>
      <c r="F12" s="467">
        <f>SUM(T_06b!F8:V8)/T_06b!$B8*100000</f>
        <v>155.68301533419174</v>
      </c>
      <c r="G12" s="468">
        <f>SUM(T_06b!C8:V8)/T_06b!$B8*100000</f>
        <v>251.66803230715203</v>
      </c>
      <c r="J12"/>
      <c r="K12"/>
      <c r="L12"/>
      <c r="M12"/>
      <c r="N12"/>
      <c r="O12"/>
      <c r="P12"/>
      <c r="Q12"/>
      <c r="R12"/>
    </row>
    <row r="13" spans="1:18" ht="13.5" customHeight="1" x14ac:dyDescent="0.2">
      <c r="A13" s="1" t="s">
        <v>591</v>
      </c>
      <c r="B13" s="117" t="s">
        <v>619</v>
      </c>
      <c r="C13" s="467">
        <f>T_06b!C9/T_06b!$B9*100000</f>
        <v>15.351957848451539</v>
      </c>
      <c r="D13" s="467">
        <f>T_06b!D9/T_06b!$B9*100000</f>
        <v>36.010765323528297</v>
      </c>
      <c r="E13" s="467">
        <f>T_06b!E9/T_06b!$B9*100000</f>
        <v>88.889731245972484</v>
      </c>
      <c r="F13" s="467">
        <f>SUM(T_06b!F9:V9)/T_06b!$B9*100000</f>
        <v>86.236306432659873</v>
      </c>
      <c r="G13" s="468">
        <f>SUM(T_06b!C9:V9)/T_06b!$B9*100000</f>
        <v>226.48876085061218</v>
      </c>
      <c r="J13"/>
      <c r="K13"/>
      <c r="L13"/>
      <c r="M13"/>
      <c r="N13"/>
      <c r="O13"/>
      <c r="P13"/>
      <c r="Q13"/>
      <c r="R13"/>
    </row>
    <row r="14" spans="1:18" ht="13.5" customHeight="1" x14ac:dyDescent="0.2">
      <c r="A14" s="1" t="s">
        <v>592</v>
      </c>
      <c r="B14" s="117" t="s">
        <v>27</v>
      </c>
      <c r="C14" s="467">
        <f>T_06b!C10/T_06b!$B10*100000</f>
        <v>21.446675765256387</v>
      </c>
      <c r="D14" s="467">
        <f>T_06b!D10/T_06b!$B10*100000</f>
        <v>29.245466952622348</v>
      </c>
      <c r="E14" s="467">
        <f>T_06b!E10/T_06b!$B10*100000</f>
        <v>87.736400857867025</v>
      </c>
      <c r="F14" s="467">
        <f>SUM(T_06b!F10:V10)/T_06b!$B10*100000</f>
        <v>81.887307467342566</v>
      </c>
      <c r="G14" s="468">
        <f>SUM(T_06b!C10:V10)/T_06b!$B10*100000</f>
        <v>220.31585104308832</v>
      </c>
      <c r="J14"/>
      <c r="K14"/>
      <c r="L14"/>
      <c r="M14"/>
      <c r="N14"/>
      <c r="O14"/>
      <c r="P14"/>
      <c r="Q14"/>
      <c r="R14"/>
    </row>
    <row r="15" spans="1:18" ht="13.5" customHeight="1" x14ac:dyDescent="0.2">
      <c r="A15" s="1" t="s">
        <v>593</v>
      </c>
      <c r="B15" s="117" t="s">
        <v>28</v>
      </c>
      <c r="C15" s="467">
        <f>T_06b!C11/T_06b!$B11*100000</f>
        <v>34.392069593364354</v>
      </c>
      <c r="D15" s="467">
        <f>T_06b!D11/T_06b!$B11*100000</f>
        <v>9.4409602805313906</v>
      </c>
      <c r="E15" s="467">
        <f>T_06b!E11/T_06b!$B11*100000</f>
        <v>45.181738485400231</v>
      </c>
      <c r="F15" s="467">
        <f>SUM(T_06b!F11:V11)/T_06b!$B11*100000</f>
        <v>107.22233461460651</v>
      </c>
      <c r="G15" s="468">
        <f>SUM(T_06b!C11:V11)/T_06b!$B11*100000</f>
        <v>196.23710297390247</v>
      </c>
      <c r="J15"/>
      <c r="K15"/>
      <c r="L15"/>
      <c r="M15"/>
      <c r="N15"/>
      <c r="O15"/>
      <c r="P15"/>
      <c r="Q15"/>
      <c r="R15"/>
    </row>
    <row r="16" spans="1:18" ht="13.5" customHeight="1" x14ac:dyDescent="0.2">
      <c r="A16" s="1" t="s">
        <v>594</v>
      </c>
      <c r="B16" s="117" t="s">
        <v>29</v>
      </c>
      <c r="C16" s="467">
        <f>T_06b!C12/T_06b!$B12*100000</f>
        <v>20.830533530439457</v>
      </c>
      <c r="D16" s="467">
        <f>T_06b!D12/T_06b!$B12*100000</f>
        <v>36.957398199166775</v>
      </c>
      <c r="E16" s="467">
        <f>T_06b!E12/T_06b!$B12*100000</f>
        <v>98.105093401424526</v>
      </c>
      <c r="F16" s="467">
        <f>SUM(T_06b!F12:V12)/T_06b!$B12*100000</f>
        <v>152.53326165837927</v>
      </c>
      <c r="G16" s="468">
        <f>SUM(T_06b!C12:V12)/T_06b!$B12*100000</f>
        <v>308.42628678941003</v>
      </c>
      <c r="J16"/>
      <c r="K16"/>
      <c r="L16"/>
      <c r="M16"/>
      <c r="N16"/>
      <c r="O16"/>
      <c r="P16"/>
      <c r="Q16"/>
      <c r="R16"/>
    </row>
    <row r="17" spans="1:18" ht="13.5" customHeight="1" x14ac:dyDescent="0.2">
      <c r="A17" s="1" t="s">
        <v>595</v>
      </c>
      <c r="B17" s="117" t="s">
        <v>30</v>
      </c>
      <c r="C17" s="467">
        <f>T_06b!C13/T_06b!$B13*100000</f>
        <v>36.184210526315795</v>
      </c>
      <c r="D17" s="467">
        <f>T_06b!D13/T_06b!$B13*100000</f>
        <v>23.848684210526315</v>
      </c>
      <c r="E17" s="467">
        <f>T_06b!E13/T_06b!$B13*100000</f>
        <v>46.05263157894737</v>
      </c>
      <c r="F17" s="467">
        <f>SUM(T_06b!F13:V13)/T_06b!$B13*100000</f>
        <v>93.75</v>
      </c>
      <c r="G17" s="468">
        <f>SUM(T_06b!C13:V13)/T_06b!$B13*100000</f>
        <v>199.83552631578945</v>
      </c>
      <c r="J17"/>
      <c r="K17"/>
      <c r="L17"/>
      <c r="M17"/>
      <c r="N17"/>
      <c r="O17"/>
      <c r="P17"/>
      <c r="Q17"/>
      <c r="R17"/>
    </row>
    <row r="18" spans="1:18" ht="13.5" customHeight="1" x14ac:dyDescent="0.2">
      <c r="A18" s="1" t="s">
        <v>596</v>
      </c>
      <c r="B18" s="117" t="s">
        <v>31</v>
      </c>
      <c r="C18" s="467">
        <f>T_06b!C14/T_06b!$B14*100000</f>
        <v>11.954022988505747</v>
      </c>
      <c r="D18" s="467">
        <f>T_06b!D14/T_06b!$B14*100000</f>
        <v>11.954022988505747</v>
      </c>
      <c r="E18" s="467">
        <f>T_06b!E14/T_06b!$B14*100000</f>
        <v>37.701149425287355</v>
      </c>
      <c r="F18" s="467">
        <f>SUM(T_06b!F14:V14)/T_06b!$B14*100000</f>
        <v>85.517241379310349</v>
      </c>
      <c r="G18" s="468">
        <f>SUM(T_06b!C14:V14)/T_06b!$B14*100000</f>
        <v>147.12643678160919</v>
      </c>
      <c r="J18"/>
      <c r="K18"/>
      <c r="L18"/>
      <c r="M18"/>
      <c r="N18"/>
      <c r="O18"/>
      <c r="P18"/>
      <c r="Q18"/>
      <c r="R18"/>
    </row>
    <row r="19" spans="1:18" ht="13.5" customHeight="1" x14ac:dyDescent="0.2">
      <c r="A19" s="1" t="s">
        <v>597</v>
      </c>
      <c r="B19" s="117" t="s">
        <v>32</v>
      </c>
      <c r="C19" s="467">
        <f>T_06b!C15/T_06b!$B15*100000</f>
        <v>23.169601482854496</v>
      </c>
      <c r="D19" s="467">
        <f>T_06b!D15/T_06b!$B15*100000</f>
        <v>13.901760889712696</v>
      </c>
      <c r="E19" s="467">
        <f>T_06b!E15/T_06b!$B15*100000</f>
        <v>54.680259499536611</v>
      </c>
      <c r="F19" s="467">
        <f>SUM(T_06b!F15:V15)/T_06b!$B15*100000</f>
        <v>80.630213160333653</v>
      </c>
      <c r="G19" s="468">
        <f>SUM(T_06b!C15:V15)/T_06b!$B15*100000</f>
        <v>172.38183503243744</v>
      </c>
      <c r="J19"/>
      <c r="K19"/>
      <c r="L19"/>
      <c r="M19"/>
      <c r="N19"/>
      <c r="O19"/>
      <c r="P19"/>
      <c r="Q19"/>
      <c r="R19"/>
    </row>
    <row r="20" spans="1:18" ht="13.5" customHeight="1" x14ac:dyDescent="0.2">
      <c r="A20" s="1" t="s">
        <v>598</v>
      </c>
      <c r="B20" s="117" t="s">
        <v>33</v>
      </c>
      <c r="C20" s="467">
        <f>T_06b!C16/T_06b!$B16*100000</f>
        <v>11.45117634811576</v>
      </c>
      <c r="D20" s="467">
        <f>T_06b!D16/T_06b!$B16*100000</f>
        <v>13.533208411409536</v>
      </c>
      <c r="E20" s="467">
        <f>T_06b!E16/T_06b!$B16*100000</f>
        <v>33.312513012700393</v>
      </c>
      <c r="F20" s="467">
        <f>SUM(T_06b!F16:V16)/T_06b!$B16*100000</f>
        <v>60.378929835519472</v>
      </c>
      <c r="G20" s="468">
        <f>SUM(T_06b!C16:V16)/T_06b!$B16*100000</f>
        <v>118.67582760774516</v>
      </c>
      <c r="J20"/>
      <c r="K20"/>
      <c r="L20"/>
      <c r="M20"/>
      <c r="N20"/>
      <c r="O20"/>
      <c r="P20"/>
      <c r="Q20"/>
      <c r="R20"/>
    </row>
    <row r="21" spans="1:18" ht="13.5" customHeight="1" x14ac:dyDescent="0.2">
      <c r="A21" s="1" t="s">
        <v>599</v>
      </c>
      <c r="B21" s="117" t="s">
        <v>34</v>
      </c>
      <c r="C21" s="467">
        <f>T_06b!C17/T_06b!$B17*100000</f>
        <v>33.00946686596911</v>
      </c>
      <c r="D21" s="467">
        <f>T_06b!D17/T_06b!$B17*100000</f>
        <v>26.781265570503241</v>
      </c>
      <c r="E21" s="467">
        <f>T_06b!E17/T_06b!$B17*100000</f>
        <v>62.282012954658697</v>
      </c>
      <c r="F21" s="467">
        <f>SUM(T_06b!F17:V17)/T_06b!$B17*100000</f>
        <v>92.800199302441456</v>
      </c>
      <c r="G21" s="468">
        <f>SUM(T_06b!C17:V17)/T_06b!$B17*100000</f>
        <v>214.87294469357249</v>
      </c>
      <c r="J21"/>
      <c r="K21"/>
      <c r="L21"/>
      <c r="M21"/>
      <c r="N21"/>
      <c r="O21"/>
      <c r="P21"/>
      <c r="Q21"/>
      <c r="R21"/>
    </row>
    <row r="22" spans="1:18" ht="13.5" customHeight="1" x14ac:dyDescent="0.2">
      <c r="A22" s="1" t="s">
        <v>600</v>
      </c>
      <c r="B22" s="117" t="s">
        <v>35</v>
      </c>
      <c r="C22" s="467">
        <f>T_06b!C18/T_06b!$B18*100000</f>
        <v>26.728677197765482</v>
      </c>
      <c r="D22" s="467">
        <f>T_06b!D18/T_06b!$B18*100000</f>
        <v>38.75658193675995</v>
      </c>
      <c r="E22" s="467">
        <f>T_06b!E18/T_06b!$B18*100000</f>
        <v>79.651458049341144</v>
      </c>
      <c r="F22" s="467">
        <f>SUM(T_06b!F18:V18)/T_06b!$B18*100000</f>
        <v>81.789752225162374</v>
      </c>
      <c r="G22" s="468">
        <f>SUM(T_06b!C18:V18)/T_06b!$B18*100000</f>
        <v>226.92646940902895</v>
      </c>
      <c r="J22"/>
      <c r="K22"/>
      <c r="L22"/>
      <c r="M22"/>
      <c r="N22"/>
      <c r="O22"/>
      <c r="P22"/>
      <c r="Q22"/>
      <c r="R22"/>
    </row>
    <row r="23" spans="1:18" ht="13.5" customHeight="1" x14ac:dyDescent="0.2">
      <c r="A23" s="1" t="s">
        <v>601</v>
      </c>
      <c r="B23" s="117" t="s">
        <v>36</v>
      </c>
      <c r="C23" s="467">
        <f>T_06b!C19/T_06b!$B19*100000</f>
        <v>23.755584922283052</v>
      </c>
      <c r="D23" s="467">
        <f>T_06b!D19/T_06b!$B19*100000</f>
        <v>51.758857214775659</v>
      </c>
      <c r="E23" s="467">
        <f>T_06b!E19/T_06b!$B19*100000</f>
        <v>99.74199232269838</v>
      </c>
      <c r="F23" s="467">
        <f>SUM(T_06b!F19:V19)/T_06b!$B19*100000</f>
        <v>152.44478006418728</v>
      </c>
      <c r="G23" s="468">
        <f>SUM(T_06b!C19:V19)/T_06b!$B19*100000</f>
        <v>327.70121452394437</v>
      </c>
      <c r="J23"/>
      <c r="K23"/>
      <c r="L23"/>
      <c r="M23"/>
      <c r="N23"/>
      <c r="O23"/>
      <c r="P23"/>
      <c r="Q23"/>
      <c r="R23"/>
    </row>
    <row r="24" spans="1:18" ht="13.5" customHeight="1" x14ac:dyDescent="0.2">
      <c r="A24" s="1" t="s">
        <v>602</v>
      </c>
      <c r="B24" s="117" t="s">
        <v>37</v>
      </c>
      <c r="C24" s="467">
        <f>T_06b!C20/T_06b!$B20*100000</f>
        <v>59.4656585821688</v>
      </c>
      <c r="D24" s="467">
        <f>T_06b!D20/T_06b!$B20*100000</f>
        <v>17.41494287049229</v>
      </c>
      <c r="E24" s="467">
        <f>T_06b!E20/T_06b!$B20*100000</f>
        <v>47.572526865735036</v>
      </c>
      <c r="F24" s="467">
        <f>SUM(T_06b!F20:V20)/T_06b!$B20*100000</f>
        <v>95.145053731470071</v>
      </c>
      <c r="G24" s="468">
        <f>SUM(T_06b!C20:V20)/T_06b!$B20*100000</f>
        <v>219.59818204986621</v>
      </c>
      <c r="J24"/>
      <c r="K24"/>
      <c r="L24"/>
      <c r="M24"/>
      <c r="N24"/>
      <c r="O24"/>
      <c r="P24"/>
      <c r="Q24"/>
      <c r="R24"/>
    </row>
    <row r="25" spans="1:18" ht="13.5" customHeight="1" x14ac:dyDescent="0.2">
      <c r="A25" s="1" t="s">
        <v>603</v>
      </c>
      <c r="B25" s="117" t="s">
        <v>38</v>
      </c>
      <c r="C25" s="467">
        <f>T_06b!C21/T_06b!$B21*100000</f>
        <v>33.739942901635089</v>
      </c>
      <c r="D25" s="467">
        <f>T_06b!D21/T_06b!$B21*100000</f>
        <v>29.846872566831042</v>
      </c>
      <c r="E25" s="467">
        <f>T_06b!E21/T_06b!$B21*100000</f>
        <v>93.43368803529718</v>
      </c>
      <c r="F25" s="467">
        <f>SUM(T_06b!F21:V21)/T_06b!$B21*100000</f>
        <v>123.28056060212822</v>
      </c>
      <c r="G25" s="468">
        <f>SUM(T_06b!C21:V21)/T_06b!$B21*100000</f>
        <v>280.3010641058915</v>
      </c>
      <c r="J25"/>
      <c r="K25"/>
      <c r="L25"/>
      <c r="M25"/>
      <c r="N25"/>
      <c r="O25"/>
      <c r="P25"/>
      <c r="Q25"/>
      <c r="R25"/>
    </row>
    <row r="26" spans="1:18" ht="13.5" customHeight="1" x14ac:dyDescent="0.2">
      <c r="A26" s="1" t="s">
        <v>604</v>
      </c>
      <c r="B26" s="117" t="s">
        <v>39</v>
      </c>
      <c r="C26" s="467">
        <f>T_06b!C22/T_06b!$B22*100000</f>
        <v>22.544283413848632</v>
      </c>
      <c r="D26" s="467">
        <f>T_06b!D22/T_06b!$B22*100000</f>
        <v>21.470746108427267</v>
      </c>
      <c r="E26" s="467">
        <f>T_06b!E22/T_06b!$B22*100000</f>
        <v>48.309178743961354</v>
      </c>
      <c r="F26" s="467">
        <f>SUM(T_06b!F22:V22)/T_06b!$B22*100000</f>
        <v>73.000536768652708</v>
      </c>
      <c r="G26" s="468">
        <f>SUM(T_06b!C22:V22)/T_06b!$B22*100000</f>
        <v>165.32474503488996</v>
      </c>
      <c r="J26"/>
      <c r="K26"/>
      <c r="L26"/>
      <c r="M26"/>
      <c r="N26"/>
      <c r="O26"/>
      <c r="P26"/>
      <c r="Q26"/>
      <c r="R26"/>
    </row>
    <row r="27" spans="1:18" ht="13.5" customHeight="1" x14ac:dyDescent="0.2">
      <c r="A27" s="1" t="s">
        <v>605</v>
      </c>
      <c r="B27" s="117" t="s">
        <v>40</v>
      </c>
      <c r="C27" s="467">
        <f>T_06b!C23/T_06b!$B23*100000</f>
        <v>30.299864173022677</v>
      </c>
      <c r="D27" s="467">
        <f>T_06b!D23/T_06b!$B23*100000</f>
        <v>9.4034061226622079</v>
      </c>
      <c r="E27" s="467">
        <f>T_06b!E23/T_06b!$B23*100000</f>
        <v>48.061853515829064</v>
      </c>
      <c r="F27" s="467">
        <f>SUM(T_06b!F23:V23)/T_06b!$B23*100000</f>
        <v>70.003134468707557</v>
      </c>
      <c r="G27" s="468">
        <f>SUM(T_06b!C23:V23)/T_06b!$B23*100000</f>
        <v>157.76825828022152</v>
      </c>
      <c r="J27"/>
      <c r="K27"/>
      <c r="L27"/>
      <c r="M27"/>
      <c r="N27"/>
      <c r="O27"/>
      <c r="P27"/>
      <c r="Q27"/>
      <c r="R27"/>
    </row>
    <row r="28" spans="1:18" ht="13.5" customHeight="1" x14ac:dyDescent="0.2">
      <c r="A28" s="1" t="s">
        <v>606</v>
      </c>
      <c r="B28" s="117" t="s">
        <v>295</v>
      </c>
      <c r="C28" s="467">
        <f>T_06b!C24/T_06b!$B24*100000</f>
        <v>60.377358490566039</v>
      </c>
      <c r="D28" s="467">
        <f>T_06b!D24/T_06b!$B24*100000</f>
        <v>22.641509433962263</v>
      </c>
      <c r="E28" s="467">
        <f>T_06b!E24/T_06b!$B24*100000</f>
        <v>15.09433962264151</v>
      </c>
      <c r="F28" s="467">
        <f>SUM(T_06b!F24:V24)/T_06b!$B24*100000</f>
        <v>83.018867924528294</v>
      </c>
      <c r="G28" s="468">
        <f>SUM(T_06b!C24:V24)/T_06b!$B24*100000</f>
        <v>181.1320754716981</v>
      </c>
      <c r="J28"/>
      <c r="K28"/>
      <c r="L28"/>
      <c r="M28"/>
      <c r="N28"/>
      <c r="O28"/>
      <c r="P28"/>
      <c r="Q28"/>
      <c r="R28"/>
    </row>
    <row r="29" spans="1:18" ht="13.5" customHeight="1" x14ac:dyDescent="0.2">
      <c r="A29" s="1" t="s">
        <v>607</v>
      </c>
      <c r="B29" s="117" t="s">
        <v>41</v>
      </c>
      <c r="C29" s="467">
        <f>T_06b!C25/T_06b!$B25*100000</f>
        <v>26.070763500931097</v>
      </c>
      <c r="D29" s="467">
        <f>T_06b!D25/T_06b!$B25*100000</f>
        <v>41.713221601489757</v>
      </c>
      <c r="E29" s="467">
        <f>T_06b!E25/T_06b!$B25*100000</f>
        <v>104.28305400372439</v>
      </c>
      <c r="F29" s="467">
        <f>SUM(T_06b!F25:V25)/T_06b!$B25*100000</f>
        <v>143.01675977653633</v>
      </c>
      <c r="G29" s="468">
        <f>SUM(T_06b!C25:V25)/T_06b!$B25*100000</f>
        <v>315.08379888268155</v>
      </c>
      <c r="J29"/>
      <c r="K29"/>
      <c r="L29"/>
      <c r="M29"/>
      <c r="N29"/>
      <c r="O29"/>
      <c r="P29"/>
      <c r="Q29"/>
      <c r="R29"/>
    </row>
    <row r="30" spans="1:18" ht="13.5" customHeight="1" x14ac:dyDescent="0.2">
      <c r="A30" s="1" t="s">
        <v>608</v>
      </c>
      <c r="B30" s="117" t="s">
        <v>42</v>
      </c>
      <c r="C30" s="467">
        <f>T_06b!C26/T_06b!$B26*100000</f>
        <v>21.398839186257842</v>
      </c>
      <c r="D30" s="467">
        <f>T_06b!D26/T_06b!$B26*100000</f>
        <v>16.415547868910124</v>
      </c>
      <c r="E30" s="467">
        <f>T_06b!E26/T_06b!$B26*100000</f>
        <v>56.575013191065253</v>
      </c>
      <c r="F30" s="467">
        <f>SUM(T_06b!F26:V26)/T_06b!$B26*100000</f>
        <v>100.5452306970745</v>
      </c>
      <c r="G30" s="468">
        <f>SUM(T_06b!C26:V26)/T_06b!$B26*100000</f>
        <v>194.93463094330772</v>
      </c>
      <c r="J30"/>
      <c r="K30"/>
      <c r="L30"/>
      <c r="M30"/>
      <c r="N30"/>
      <c r="O30"/>
      <c r="P30"/>
      <c r="Q30"/>
      <c r="R30"/>
    </row>
    <row r="31" spans="1:18" ht="13.5" customHeight="1" x14ac:dyDescent="0.2">
      <c r="A31" s="1" t="s">
        <v>609</v>
      </c>
      <c r="B31" s="117" t="s">
        <v>43</v>
      </c>
      <c r="C31" s="467">
        <f>T_06b!C27/T_06b!$B27*100000</f>
        <v>53.571428571428577</v>
      </c>
      <c r="D31" s="467">
        <f>T_06b!D27/T_06b!$B27*100000</f>
        <v>8.9285714285714288</v>
      </c>
      <c r="E31" s="467">
        <f>T_06b!E27/T_06b!$B27*100000</f>
        <v>17.857142857142858</v>
      </c>
      <c r="F31" s="467">
        <f>SUM(T_06b!F27:V27)/T_06b!$B27*100000</f>
        <v>84.821428571428569</v>
      </c>
      <c r="G31" s="468">
        <f>SUM(T_06b!C27:V27)/T_06b!$B27*100000</f>
        <v>165.17857142857144</v>
      </c>
      <c r="J31"/>
      <c r="K31"/>
      <c r="L31"/>
      <c r="M31"/>
      <c r="N31"/>
      <c r="O31"/>
      <c r="P31"/>
      <c r="Q31"/>
      <c r="R31"/>
    </row>
    <row r="32" spans="1:18" ht="13.5" customHeight="1" x14ac:dyDescent="0.2">
      <c r="A32" s="1" t="s">
        <v>610</v>
      </c>
      <c r="B32" s="117" t="s">
        <v>44</v>
      </c>
      <c r="C32" s="467">
        <f>T_06b!C28/T_06b!$B28*100000</f>
        <v>38.838786123362517</v>
      </c>
      <c r="D32" s="467">
        <f>T_06b!D28/T_06b!$B28*100000</f>
        <v>57.92903692976104</v>
      </c>
      <c r="E32" s="467">
        <f>T_06b!E28/T_06b!$B28*100000</f>
        <v>42.788493186755311</v>
      </c>
      <c r="F32" s="467">
        <f>SUM(T_06b!F28:V28)/T_06b!$B28*100000</f>
        <v>105.32552169047463</v>
      </c>
      <c r="G32" s="468">
        <f>SUM(T_06b!C28:V28)/T_06b!$B28*100000</f>
        <v>244.8818379303535</v>
      </c>
      <c r="J32"/>
      <c r="K32"/>
      <c r="L32"/>
      <c r="M32"/>
      <c r="N32"/>
      <c r="O32"/>
      <c r="P32"/>
      <c r="Q32"/>
      <c r="R32"/>
    </row>
    <row r="33" spans="1:19" ht="13.5" customHeight="1" x14ac:dyDescent="0.2">
      <c r="A33" s="1" t="s">
        <v>611</v>
      </c>
      <c r="B33" s="117" t="s">
        <v>45</v>
      </c>
      <c r="C33" s="467">
        <f>T_06b!C29/T_06b!$B29*100000</f>
        <v>27.314789007191038</v>
      </c>
      <c r="D33" s="467">
        <f>T_06b!D29/T_06b!$B29*100000</f>
        <v>37.348793132281621</v>
      </c>
      <c r="E33" s="467">
        <f>T_06b!E29/T_06b!$B29*100000</f>
        <v>64.663582139472652</v>
      </c>
      <c r="F33" s="467">
        <f>SUM(T_06b!F29:V29)/T_06b!$B29*100000</f>
        <v>125.98249623724845</v>
      </c>
      <c r="G33" s="468">
        <f>SUM(T_06b!C29:V29)/T_06b!$B29*100000</f>
        <v>255.30966051619379</v>
      </c>
      <c r="J33"/>
      <c r="K33"/>
      <c r="L33"/>
      <c r="M33"/>
      <c r="N33"/>
      <c r="O33"/>
      <c r="P33"/>
      <c r="Q33"/>
      <c r="R33"/>
    </row>
    <row r="34" spans="1:19" ht="13.5" customHeight="1" x14ac:dyDescent="0.2">
      <c r="A34" s="1" t="s">
        <v>612</v>
      </c>
      <c r="B34" s="117" t="s">
        <v>46</v>
      </c>
      <c r="C34" s="467">
        <f>T_06b!C30/T_06b!$B30*100000</f>
        <v>45.123221103783408</v>
      </c>
      <c r="D34" s="467">
        <f>T_06b!D30/T_06b!$B30*100000</f>
        <v>25.164873307879208</v>
      </c>
      <c r="E34" s="467">
        <f>T_06b!E30/T_06b!$B30*100000</f>
        <v>65.08156889968761</v>
      </c>
      <c r="F34" s="467">
        <f>SUM(T_06b!F30:V30)/T_06b!$B30*100000</f>
        <v>116.27906976744185</v>
      </c>
      <c r="G34" s="468">
        <f>SUM(T_06b!C30:V30)/T_06b!$B30*100000</f>
        <v>251.64873307879208</v>
      </c>
      <c r="J34"/>
      <c r="K34"/>
      <c r="L34"/>
      <c r="M34"/>
      <c r="N34"/>
      <c r="O34"/>
      <c r="P34"/>
      <c r="Q34"/>
      <c r="R34"/>
    </row>
    <row r="35" spans="1:19" ht="13.5" customHeight="1" x14ac:dyDescent="0.2">
      <c r="A35" s="1" t="s">
        <v>613</v>
      </c>
      <c r="B35" s="117" t="s">
        <v>47</v>
      </c>
      <c r="C35" s="467">
        <f>T_06b!C31/T_06b!$B31*100000</f>
        <v>17.490161783996502</v>
      </c>
      <c r="D35" s="467">
        <f>T_06b!D31/T_06b!$B31*100000</f>
        <v>13.117621337997376</v>
      </c>
      <c r="E35" s="467">
        <f>T_06b!E31/T_06b!$B31*100000</f>
        <v>17.490161783996502</v>
      </c>
      <c r="F35" s="467">
        <f>SUM(T_06b!F31:V31)/T_06b!$B31*100000</f>
        <v>74.333187581985129</v>
      </c>
      <c r="G35" s="468">
        <f>SUM(T_06b!C31:V31)/T_06b!$B31*100000</f>
        <v>122.4311324879755</v>
      </c>
      <c r="J35"/>
      <c r="K35"/>
      <c r="L35"/>
      <c r="M35"/>
      <c r="N35"/>
      <c r="O35"/>
      <c r="P35"/>
      <c r="Q35"/>
      <c r="R35"/>
    </row>
    <row r="36" spans="1:19" ht="13.5" customHeight="1" x14ac:dyDescent="0.2">
      <c r="A36" s="1" t="s">
        <v>614</v>
      </c>
      <c r="B36" s="117" t="s">
        <v>48</v>
      </c>
      <c r="C36" s="467">
        <f>T_06b!C32/T_06b!$B32*100000</f>
        <v>20.510076689851971</v>
      </c>
      <c r="D36" s="467">
        <f>T_06b!D32/T_06b!$B32*100000</f>
        <v>15.159621901194935</v>
      </c>
      <c r="E36" s="467">
        <f>T_06b!E32/T_06b!$B32*100000</f>
        <v>73.122882111646163</v>
      </c>
      <c r="F36" s="467">
        <f>SUM(T_06b!F32:V32)/T_06b!$B32*100000</f>
        <v>115.03477795612626</v>
      </c>
      <c r="G36" s="468">
        <f>SUM(T_06b!C32:V32)/T_06b!$B32*100000</f>
        <v>223.82735865881932</v>
      </c>
      <c r="J36"/>
      <c r="K36"/>
      <c r="L36"/>
      <c r="M36"/>
      <c r="N36"/>
      <c r="O36"/>
      <c r="P36"/>
      <c r="Q36"/>
      <c r="R36"/>
    </row>
    <row r="37" spans="1:19" ht="13.5" customHeight="1" x14ac:dyDescent="0.2">
      <c r="A37" s="1" t="s">
        <v>615</v>
      </c>
      <c r="B37" s="117" t="s">
        <v>49</v>
      </c>
      <c r="C37" s="467">
        <f>T_06b!C33/T_06b!$B33*100000</f>
        <v>24.000997444049624</v>
      </c>
      <c r="D37" s="467">
        <f>T_06b!D33/T_06b!$B33*100000</f>
        <v>24.312698709556763</v>
      </c>
      <c r="E37" s="467">
        <f>T_06b!E33/T_06b!$B33*100000</f>
        <v>59.846642977370486</v>
      </c>
      <c r="F37" s="467">
        <f>SUM(T_06b!F33:V33)/T_06b!$B33*100000</f>
        <v>94.757184714169938</v>
      </c>
      <c r="G37" s="468">
        <f>SUM(T_06b!C33:V33)/T_06b!$B33*100000</f>
        <v>202.9175238451468</v>
      </c>
      <c r="J37"/>
      <c r="K37"/>
      <c r="L37"/>
      <c r="M37"/>
      <c r="N37"/>
      <c r="O37"/>
      <c r="P37"/>
      <c r="Q37"/>
      <c r="R37"/>
    </row>
    <row r="38" spans="1:19" ht="13.5" customHeight="1" x14ac:dyDescent="0.2">
      <c r="A38" s="1" t="s">
        <v>616</v>
      </c>
      <c r="B38" s="117" t="s">
        <v>50</v>
      </c>
      <c r="C38" s="467">
        <f>T_06b!C34/T_06b!$B34*100000</f>
        <v>46.768707482993193</v>
      </c>
      <c r="D38" s="467">
        <f>T_06b!D34/T_06b!$B34*100000</f>
        <v>23.384353741496597</v>
      </c>
      <c r="E38" s="467">
        <f>T_06b!E34/T_06b!$B34*100000</f>
        <v>43.579931972789112</v>
      </c>
      <c r="F38" s="467">
        <f>SUM(T_06b!F34:V34)/T_06b!$B34*100000</f>
        <v>94.600340136054427</v>
      </c>
      <c r="G38" s="468">
        <f>SUM(T_06b!C34:V34)/T_06b!$B34*100000</f>
        <v>208.33333333333334</v>
      </c>
      <c r="J38"/>
      <c r="K38"/>
      <c r="L38"/>
      <c r="M38"/>
      <c r="N38"/>
      <c r="O38"/>
      <c r="P38"/>
      <c r="Q38"/>
      <c r="R38"/>
    </row>
    <row r="39" spans="1:19" ht="13.5" customHeight="1" x14ac:dyDescent="0.2">
      <c r="A39" s="1" t="s">
        <v>617</v>
      </c>
      <c r="B39" s="117" t="s">
        <v>51</v>
      </c>
      <c r="C39" s="467">
        <f>T_06b!C35/T_06b!$B35*100000</f>
        <v>20.375820692777904</v>
      </c>
      <c r="D39" s="467">
        <f>T_06b!D35/T_06b!$B35*100000</f>
        <v>36.223681231605163</v>
      </c>
      <c r="E39" s="467">
        <f>T_06b!E35/T_06b!$B35*100000</f>
        <v>67.919402309259681</v>
      </c>
      <c r="F39" s="467">
        <f>SUM(T_06b!F35:V35)/T_06b!$B35*100000</f>
        <v>132.44283450305636</v>
      </c>
      <c r="G39" s="468">
        <f>SUM(T_06b!C35:V35)/T_06b!$B35*100000</f>
        <v>256.96173873669909</v>
      </c>
      <c r="J39"/>
      <c r="K39"/>
      <c r="L39"/>
      <c r="M39"/>
      <c r="N39"/>
      <c r="O39"/>
      <c r="P39"/>
      <c r="Q39"/>
      <c r="R39"/>
    </row>
    <row r="40" spans="1:19" ht="13.5" customHeight="1" x14ac:dyDescent="0.2">
      <c r="A40" s="1" t="s">
        <v>618</v>
      </c>
      <c r="B40" s="117" t="s">
        <v>52</v>
      </c>
      <c r="C40" s="467">
        <f>T_06b!C36/T_06b!$B36*100000</f>
        <v>34.272658035034269</v>
      </c>
      <c r="D40" s="467">
        <f>T_06b!D36/T_06b!$B36*100000</f>
        <v>26.112501360026112</v>
      </c>
      <c r="E40" s="467">
        <f>T_06b!E36/T_06b!$B36*100000</f>
        <v>89.761723425089755</v>
      </c>
      <c r="F40" s="467">
        <f>SUM(T_06b!F36:V36)/T_06b!$B36*100000</f>
        <v>88.129692090088128</v>
      </c>
      <c r="G40" s="468">
        <f>SUM(T_06b!C36:V36)/T_06b!$B36*100000</f>
        <v>238.27657491023828</v>
      </c>
      <c r="J40"/>
      <c r="K40"/>
      <c r="L40"/>
      <c r="M40"/>
      <c r="N40"/>
      <c r="O40"/>
      <c r="P40"/>
      <c r="Q40"/>
      <c r="R40"/>
    </row>
    <row r="41" spans="1:19" ht="13.5" customHeight="1" x14ac:dyDescent="0.2">
      <c r="B41" s="117" t="str">
        <f>IF(T_06!$A$37 = "Z_Not Known", "Not Known","")</f>
        <v/>
      </c>
      <c r="C41" s="467"/>
      <c r="D41" s="467"/>
      <c r="E41" s="467"/>
      <c r="F41" s="467"/>
      <c r="G41" s="468"/>
      <c r="J41"/>
      <c r="K41"/>
      <c r="L41"/>
      <c r="M41"/>
      <c r="N41"/>
      <c r="O41"/>
      <c r="P41"/>
      <c r="Q41"/>
      <c r="R41"/>
    </row>
    <row r="42" spans="1:19" s="39" customFormat="1" ht="30" customHeight="1" thickBot="1" x14ac:dyDescent="0.25">
      <c r="A42" s="359" t="s">
        <v>620</v>
      </c>
      <c r="B42" s="360" t="s">
        <v>143</v>
      </c>
      <c r="C42" s="477">
        <f>GETPIVOTDATA("Sum of 01:RTC",T_06b!$A$4)/(GETPIVOTDATA("Sum of pop",T_06b!$A$4))*100000</f>
        <v>29.198682766190998</v>
      </c>
      <c r="D42" s="477">
        <f>GETPIVOTDATA("Sum of 03:Flooding",T_06b!$A$4)/GETPIVOTDATA("Sum of pop",T_06b!$A$4)*100000</f>
        <v>29.582875960482987</v>
      </c>
      <c r="E42" s="477">
        <f>GETPIVOTDATA("Sum of 14:Effecting entry/exit",T_06b!$A$4)/GETPIVOTDATA("Sum of pop",T_06b!$A$4)*100000</f>
        <v>68.331503841931948</v>
      </c>
      <c r="F42" s="477">
        <f>(GETPIVOTDATA("Sum of 02:Other Transport incident",T_06b!$A$4)+GETPIVOTDATA("Sum of 04:Rescue or evacuation from water",T_06b!$A$4)+GETPIVOTDATA("Sum of 05:Other rescue/release of persons",T_06b!$A$4)+GETPIVOTDATA("Sum of 07:Lift Release",T_06b!$A$4)+GETPIVOTDATA("Sum of 08:Medical Incident - First responder/Co-responder",T_06b!$A$4)+GETPIVOTDATA("Sum of 09:Suicide/attempts",T_06b!$A$4)+GETPIVOTDATA("Sum of 06:Evacuation (no fire)",T_06b!$A$4)+GETPIVOTDATA("Sum of 11:Spills and Leaks (not RTC)",T_06b!$A$4)+GETPIVOTDATA("Sum of 12:Removal of objects",T_06b!$A$4)+GETPIVOTDATA("Sum of 13:Animal assistance incidents",T_06b!$A$4)+GETPIVOTDATA("Sum of 15:Making Safe (not RTC)",T_06b!$A$4)+GETPIVOTDATA("Sum of 16:No action (not false alarm)",T_06b!$A$4)+GETPIVOTDATA("Sum of 17:Water provision",T_06b!$A$4)+GETPIVOTDATA("Sum of 18:Stand By",T_06b!$A$4)+GETPIVOTDATA("Sum of 19:Assist other agencies",T_06b!$A$4)+GETPIVOTDATA("Sum of 20:Advice Only",T_06b!$A$4)+GETPIVOTDATA("Sum of 10:Hazardous Materials incident",T_06b!$A$4))/GETPIVOTDATA("Sum of pop",T_06b!$A$4)*100000</f>
        <v>105.10428100987926</v>
      </c>
      <c r="G42" s="477">
        <f>(GETPIVOTDATA("Sum of 10:Hazardous Materials incident",T_06b!$A$4)+GETPIVOTDATA("Sum of 20:Advice Only",T_06b!$A$4)+GETPIVOTDATA("Sum of 19:Assist other agencies",T_06b!$A$4)+GETPIVOTDATA("Sum of 18:Stand By",T_06b!$A$4)+GETPIVOTDATA("Sum of 17:Water provision",T_06b!$A$4)+GETPIVOTDATA("Sum of 16:No action (not false alarm)",T_06b!$A$4)+GETPIVOTDATA("Sum of 15:Making Safe (not RTC)",T_06b!$A$4)+GETPIVOTDATA("Sum of 13:Animal assistance incidents",T_06b!$A$4)+GETPIVOTDATA("Sum of 12:Removal of objects",T_06b!$A$4)+GETPIVOTDATA("Sum of 11:Spills and Leaks (not RTC)",T_06b!$A$4)+GETPIVOTDATA("Sum of 06:Evacuation (no fire)",T_06b!$A$4)+GETPIVOTDATA("Sum of 09:Suicide/attempts",T_06b!$A$4)+GETPIVOTDATA("Sum of 08:Medical Incident - First responder/Co-responder",T_06b!$A$4)+GETPIVOTDATA("Sum of 07:Lift Release",T_06b!$A$4)+GETPIVOTDATA("Sum of 05:Other rescue/release of persons",T_06b!$A$4)+GETPIVOTDATA("Sum of 04:Rescue or evacuation from water",T_06b!$A$4)+GETPIVOTDATA("Sum of 02:Other Transport incident",T_06b!$A$4)+GETPIVOTDATA("Sum of 14:Effecting entry/exit",T_06b!$A$4)+GETPIVOTDATA("Sum of 03:Flooding",T_06b!$A$4)+GETPIVOTDATA("Sum of 01:RTC",T_06b!$A$4))/GETPIVOTDATA("Sum of pop",T_06b!$A$4)*100000</f>
        <v>232.21734357848516</v>
      </c>
      <c r="J42"/>
      <c r="K42"/>
      <c r="L42"/>
      <c r="M42"/>
      <c r="N42"/>
      <c r="O42"/>
      <c r="P42"/>
      <c r="Q42"/>
      <c r="R42"/>
    </row>
    <row r="43" spans="1:19" x14ac:dyDescent="0.2">
      <c r="K43"/>
      <c r="L43"/>
      <c r="M43"/>
      <c r="N43"/>
      <c r="O43"/>
      <c r="P43"/>
      <c r="Q43"/>
      <c r="R43"/>
      <c r="S43"/>
    </row>
    <row r="44" spans="1:19" x14ac:dyDescent="0.2">
      <c r="A44" s="1116" t="s">
        <v>146</v>
      </c>
      <c r="B44" s="2"/>
    </row>
    <row r="45" spans="1:19" x14ac:dyDescent="0.2">
      <c r="A45" t="s">
        <v>1557</v>
      </c>
    </row>
    <row r="46" spans="1:19" x14ac:dyDescent="0.2">
      <c r="B46" s="91"/>
    </row>
    <row r="47" spans="1:19" x14ac:dyDescent="0.2">
      <c r="B47" s="18"/>
    </row>
  </sheetData>
  <sheetProtection algorithmName="SHA-512" hashValue="TUtTRhdt+mDRPv8xfrfm9iO1SYa28Ava5deeZUoQCw8S1cng3Xh9lllVRmp5UVc1gaouEOjAzaTgJ31EG0vHvA==" saltValue="gP7Op5mEny9g88alpOBijA==" spinCount="100000" sheet="1" scenarios="1" formatCells="0" formatColumns="0" formatRows="0" sort="0" autoFilter="0" pivotTables="0"/>
  <hyperlinks>
    <hyperlink ref="A2" location="'Table of Contents'!A1" display="Back to Table of Contents" xr:uid="{00000000-0004-0000-6600-000000000000}"/>
  </hyperlinks>
  <pageMargins left="0.70866141732283472" right="0.70866141732283472" top="0.74803149606299213" bottom="0.74803149606299213" header="0.31496062992125984" footer="0.31496062992125984"/>
  <pageSetup paperSize="9" scale="77" orientation="portrait" r:id="rId1"/>
  <headerFooter>
    <oddFooter>&amp;L&amp;P&amp;C&amp;A</oddFooter>
  </headerFooter>
  <drawing r:id="rId2"/>
  <extLst>
    <ext xmlns:x14="http://schemas.microsoft.com/office/spreadsheetml/2009/9/main" uri="{A8765BA9-456A-4dab-B4F3-ACF838C121DE}">
      <x14:slicerList>
        <x14:slicer r:id="rId3"/>
      </x14:slicerList>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4">
    <tabColor rgb="FFD9B3FF"/>
    <pageSetUpPr fitToPage="1"/>
  </sheetPr>
  <dimension ref="A1:L48"/>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9" customWidth="1"/>
    <col min="2" max="2" width="11.28515625" customWidth="1"/>
    <col min="3" max="3" width="9.7109375" customWidth="1"/>
    <col min="4" max="4" width="11.28515625" customWidth="1"/>
    <col min="5" max="5" width="10.5703125" customWidth="1"/>
    <col min="6" max="6" width="13.5703125" customWidth="1"/>
    <col min="7" max="7" width="9.7109375" customWidth="1"/>
    <col min="8" max="8" width="10.5703125" customWidth="1"/>
    <col min="10" max="10" width="9" bestFit="1" customWidth="1"/>
    <col min="11" max="11" width="14.28515625" customWidth="1"/>
  </cols>
  <sheetData>
    <row r="1" spans="1:12" ht="16.5" customHeight="1" x14ac:dyDescent="0.2">
      <c r="A1" s="298" t="s">
        <v>1131</v>
      </c>
    </row>
    <row r="2" spans="1:12" ht="16.5" customHeight="1" x14ac:dyDescent="0.2">
      <c r="A2" s="106" t="s">
        <v>578</v>
      </c>
    </row>
    <row r="3" spans="1:12" ht="38.25" customHeight="1" x14ac:dyDescent="0.2">
      <c r="A3" s="120" t="s">
        <v>1027</v>
      </c>
      <c r="B3" s="120"/>
      <c r="C3" s="120"/>
      <c r="D3" s="120"/>
      <c r="E3" s="120"/>
      <c r="F3" s="120"/>
      <c r="G3" s="120"/>
      <c r="H3" s="120"/>
      <c r="I3" s="120"/>
      <c r="J3" s="120"/>
      <c r="K3" s="120"/>
      <c r="L3" s="120"/>
    </row>
    <row r="4" spans="1:12" ht="15" customHeight="1" x14ac:dyDescent="0.25">
      <c r="A4" s="351" t="s">
        <v>579</v>
      </c>
      <c r="B4" s="1043" t="s">
        <v>1347</v>
      </c>
    </row>
    <row r="5" spans="1:12" ht="15" customHeight="1" x14ac:dyDescent="0.25">
      <c r="A5" s="351" t="s">
        <v>580</v>
      </c>
      <c r="B5" s="351" t="s">
        <v>581</v>
      </c>
      <c r="C5" s="129"/>
      <c r="D5" s="129"/>
      <c r="E5" s="129"/>
      <c r="F5" s="129"/>
      <c r="G5" s="129"/>
      <c r="H5" s="129"/>
      <c r="I5" s="129"/>
      <c r="J5" s="129"/>
      <c r="K5" s="129"/>
      <c r="L5" s="129"/>
    </row>
    <row r="6" spans="1:12" ht="15" customHeight="1" x14ac:dyDescent="0.25">
      <c r="A6" s="351" t="s">
        <v>582</v>
      </c>
      <c r="B6" s="351" t="s">
        <v>585</v>
      </c>
      <c r="C6" s="129"/>
      <c r="D6" s="129"/>
      <c r="E6" s="129"/>
      <c r="F6" s="129"/>
      <c r="G6" s="129"/>
      <c r="H6" s="129"/>
      <c r="I6" s="129"/>
      <c r="J6" s="129"/>
      <c r="K6" s="129"/>
      <c r="L6" s="129"/>
    </row>
    <row r="7" spans="1:12" ht="15" x14ac:dyDescent="0.25">
      <c r="A7" s="1"/>
      <c r="B7" s="1"/>
      <c r="C7" s="1"/>
      <c r="D7" s="1"/>
      <c r="E7" s="1"/>
      <c r="F7" s="1"/>
      <c r="G7" s="3"/>
      <c r="H7" s="1"/>
      <c r="I7" s="1"/>
      <c r="J7" s="83" t="s">
        <v>0</v>
      </c>
      <c r="K7" s="14"/>
    </row>
    <row r="8" spans="1:12" ht="52.5" customHeight="1" x14ac:dyDescent="0.2">
      <c r="A8" s="1153" t="s">
        <v>4</v>
      </c>
      <c r="B8" s="255" t="s">
        <v>514</v>
      </c>
      <c r="C8" s="1157" t="s">
        <v>515</v>
      </c>
      <c r="D8" s="256" t="s">
        <v>153</v>
      </c>
      <c r="E8" s="256" t="s">
        <v>316</v>
      </c>
      <c r="F8" s="256" t="s">
        <v>317</v>
      </c>
      <c r="G8" s="256" t="s">
        <v>154</v>
      </c>
      <c r="H8" s="256" t="s">
        <v>155</v>
      </c>
      <c r="I8" s="256" t="s">
        <v>70</v>
      </c>
      <c r="J8" s="257" t="s">
        <v>72</v>
      </c>
      <c r="K8" s="337" t="s">
        <v>156</v>
      </c>
    </row>
    <row r="9" spans="1:12" ht="18.75" customHeight="1" x14ac:dyDescent="0.2">
      <c r="A9" s="29" t="str">
        <f>T06c!A5</f>
        <v>2009-10</v>
      </c>
      <c r="B9" s="4">
        <f>T06c!D5</f>
        <v>800</v>
      </c>
      <c r="C9" s="478">
        <f>T06c!E5</f>
        <v>2</v>
      </c>
      <c r="D9" s="4">
        <f>T06c!F5</f>
        <v>1574</v>
      </c>
      <c r="E9" s="478">
        <f>T06c!G5</f>
        <v>2</v>
      </c>
      <c r="F9" s="478">
        <f>T06c!H5</f>
        <v>3</v>
      </c>
      <c r="G9" s="4">
        <f>T06c!I5</f>
        <v>272</v>
      </c>
      <c r="H9" s="4">
        <f>T06c!J5</f>
        <v>124</v>
      </c>
      <c r="I9" s="4">
        <f>T06c!K5</f>
        <v>21</v>
      </c>
      <c r="J9" s="4">
        <f>T06c!L5</f>
        <v>147</v>
      </c>
      <c r="K9" s="13">
        <f>SUM(B9:J9)</f>
        <v>2945</v>
      </c>
    </row>
    <row r="10" spans="1:12" ht="13.5" customHeight="1" x14ac:dyDescent="0.2">
      <c r="A10" s="29" t="str">
        <f>T06c!A6</f>
        <v>2010-11</v>
      </c>
      <c r="B10" s="4">
        <f>T06c!D6</f>
        <v>729</v>
      </c>
      <c r="C10" s="478">
        <f>T06c!E6</f>
        <v>3</v>
      </c>
      <c r="D10" s="4">
        <f>T06c!F6</f>
        <v>1211</v>
      </c>
      <c r="E10" s="478">
        <f>T06c!G6</f>
        <v>3</v>
      </c>
      <c r="F10" s="478">
        <f>T06c!H6</f>
        <v>2</v>
      </c>
      <c r="G10" s="4">
        <f>T06c!I6</f>
        <v>197</v>
      </c>
      <c r="H10" s="4">
        <f>T06c!J6</f>
        <v>109</v>
      </c>
      <c r="I10" s="4">
        <f>T06c!K6</f>
        <v>21</v>
      </c>
      <c r="J10" s="4">
        <f>T06c!L6</f>
        <v>146</v>
      </c>
      <c r="K10" s="13">
        <f t="shared" ref="K10:K16" si="0">SUM(B10:J10)</f>
        <v>2421</v>
      </c>
    </row>
    <row r="11" spans="1:12" ht="13.5" customHeight="1" x14ac:dyDescent="0.2">
      <c r="A11" s="29" t="str">
        <f>T06c!A7</f>
        <v>2011-12</v>
      </c>
      <c r="B11" s="4">
        <f>T06c!D7</f>
        <v>635</v>
      </c>
      <c r="C11" s="478">
        <f>T06c!E7</f>
        <v>1</v>
      </c>
      <c r="D11" s="4">
        <f>T06c!F7</f>
        <v>1135</v>
      </c>
      <c r="E11" s="478">
        <f>T06c!G7</f>
        <v>6</v>
      </c>
      <c r="F11" s="478">
        <f>T06c!H7</f>
        <v>0</v>
      </c>
      <c r="G11" s="4">
        <f>T06c!I7</f>
        <v>194</v>
      </c>
      <c r="H11" s="4">
        <f>T06c!J7</f>
        <v>109</v>
      </c>
      <c r="I11" s="4">
        <f>T06c!K7</f>
        <v>16</v>
      </c>
      <c r="J11" s="4">
        <f>T06c!L7</f>
        <v>127</v>
      </c>
      <c r="K11" s="13">
        <f t="shared" si="0"/>
        <v>2223</v>
      </c>
    </row>
    <row r="12" spans="1:12" ht="13.5" customHeight="1" x14ac:dyDescent="0.2">
      <c r="A12" s="29" t="str">
        <f>T06c!A8</f>
        <v>2012-13</v>
      </c>
      <c r="B12" s="4">
        <f>T06c!D8</f>
        <v>547</v>
      </c>
      <c r="C12" s="4">
        <f>T06c!E8</f>
        <v>120</v>
      </c>
      <c r="D12" s="4">
        <f>T06c!F8</f>
        <v>910</v>
      </c>
      <c r="E12" s="4">
        <f>T06c!G8</f>
        <v>296</v>
      </c>
      <c r="F12" s="4">
        <f>T06c!H8</f>
        <v>54</v>
      </c>
      <c r="G12" s="4">
        <f>T06c!I8</f>
        <v>166</v>
      </c>
      <c r="H12" s="4">
        <f>T06c!J8</f>
        <v>77</v>
      </c>
      <c r="I12" s="4">
        <f>T06c!K8</f>
        <v>31</v>
      </c>
      <c r="J12" s="4">
        <f>T06c!L8</f>
        <v>63</v>
      </c>
      <c r="K12" s="13">
        <f t="shared" si="0"/>
        <v>2264</v>
      </c>
    </row>
    <row r="13" spans="1:12" ht="13.5" customHeight="1" x14ac:dyDescent="0.2">
      <c r="A13" s="29" t="str">
        <f>T06c!A9</f>
        <v>2013-14</v>
      </c>
      <c r="B13" s="4">
        <f>T06c!D9</f>
        <v>532</v>
      </c>
      <c r="C13" s="4">
        <f>T06c!E9</f>
        <v>101</v>
      </c>
      <c r="D13" s="4">
        <f>T06c!F9</f>
        <v>840</v>
      </c>
      <c r="E13" s="4">
        <f>T06c!G9</f>
        <v>315</v>
      </c>
      <c r="F13" s="4">
        <f>T06c!H9</f>
        <v>31</v>
      </c>
      <c r="G13" s="4">
        <f>T06c!I9</f>
        <v>167</v>
      </c>
      <c r="H13" s="4">
        <f>T06c!J9</f>
        <v>66</v>
      </c>
      <c r="I13" s="4">
        <f>T06c!K9</f>
        <v>19</v>
      </c>
      <c r="J13" s="4">
        <f>T06c!L9</f>
        <v>66</v>
      </c>
      <c r="K13" s="13">
        <f t="shared" si="0"/>
        <v>2137</v>
      </c>
    </row>
    <row r="14" spans="1:12" ht="13.5" customHeight="1" x14ac:dyDescent="0.2">
      <c r="A14" s="29" t="str">
        <f>T06c!A10</f>
        <v>2014-15</v>
      </c>
      <c r="B14" s="4">
        <f>T06c!D10</f>
        <v>492</v>
      </c>
      <c r="C14" s="4">
        <f>T06c!E10</f>
        <v>103</v>
      </c>
      <c r="D14" s="4">
        <f>T06c!F10</f>
        <v>959</v>
      </c>
      <c r="E14" s="4">
        <f>T06c!G10</f>
        <v>335</v>
      </c>
      <c r="F14" s="4">
        <f>T06c!H10</f>
        <v>59</v>
      </c>
      <c r="G14" s="4">
        <f>T06c!I10</f>
        <v>173</v>
      </c>
      <c r="H14" s="4">
        <f>T06c!J10</f>
        <v>70</v>
      </c>
      <c r="I14" s="4">
        <f>T06c!K10</f>
        <v>32</v>
      </c>
      <c r="J14" s="4">
        <f>T06c!L10</f>
        <v>70</v>
      </c>
      <c r="K14" s="13">
        <f t="shared" si="0"/>
        <v>2293</v>
      </c>
    </row>
    <row r="15" spans="1:12" ht="13.5" customHeight="1" x14ac:dyDescent="0.2">
      <c r="A15" s="29" t="str">
        <f>T06c!A11</f>
        <v>2015-16</v>
      </c>
      <c r="B15" s="4">
        <f>T06c!D11</f>
        <v>566</v>
      </c>
      <c r="C15" s="4">
        <f>T06c!E11</f>
        <v>101</v>
      </c>
      <c r="D15" s="4">
        <f>T06c!F11</f>
        <v>979</v>
      </c>
      <c r="E15" s="4">
        <f>T06c!G11</f>
        <v>374</v>
      </c>
      <c r="F15" s="4">
        <f>T06c!H11</f>
        <v>72</v>
      </c>
      <c r="G15" s="4">
        <f>T06c!I11</f>
        <v>181</v>
      </c>
      <c r="H15" s="4">
        <f>T06c!J11</f>
        <v>60</v>
      </c>
      <c r="I15" s="4">
        <f>T06c!K11</f>
        <v>34</v>
      </c>
      <c r="J15" s="4">
        <f>T06c!L11</f>
        <v>78</v>
      </c>
      <c r="K15" s="13">
        <f t="shared" si="0"/>
        <v>2445</v>
      </c>
    </row>
    <row r="16" spans="1:12" ht="13.5" customHeight="1" x14ac:dyDescent="0.2">
      <c r="A16" s="29" t="str">
        <f>T06c!A12</f>
        <v>2016-17</v>
      </c>
      <c r="B16" s="4">
        <f>T06c!D12</f>
        <v>527</v>
      </c>
      <c r="C16" s="4">
        <f>T06c!E12</f>
        <v>91</v>
      </c>
      <c r="D16" s="4">
        <f>T06c!F12</f>
        <v>1034</v>
      </c>
      <c r="E16" s="4">
        <f>T06c!G12</f>
        <v>381</v>
      </c>
      <c r="F16" s="4">
        <f>T06c!H12</f>
        <v>79</v>
      </c>
      <c r="G16" s="4">
        <f>T06c!I12</f>
        <v>200</v>
      </c>
      <c r="H16" s="4">
        <f>T06c!J12</f>
        <v>40</v>
      </c>
      <c r="I16" s="4">
        <f>T06c!K12</f>
        <v>33</v>
      </c>
      <c r="J16" s="4">
        <f>T06c!L12</f>
        <v>77</v>
      </c>
      <c r="K16" s="13">
        <f t="shared" si="0"/>
        <v>2462</v>
      </c>
    </row>
    <row r="17" spans="1:11" ht="13.5" customHeight="1" x14ac:dyDescent="0.2">
      <c r="A17" s="29" t="str">
        <f>T06c!A13</f>
        <v>2017-18</v>
      </c>
      <c r="B17" s="4">
        <f>T06c!D13</f>
        <v>546</v>
      </c>
      <c r="C17" s="4">
        <f>T06c!E13</f>
        <v>112</v>
      </c>
      <c r="D17" s="4">
        <f>T06c!F13</f>
        <v>1010</v>
      </c>
      <c r="E17" s="4">
        <f>T06c!G13</f>
        <v>373</v>
      </c>
      <c r="F17" s="4">
        <f>T06c!H13</f>
        <v>84</v>
      </c>
      <c r="G17" s="4">
        <f>T06c!I13</f>
        <v>245</v>
      </c>
      <c r="H17" s="4">
        <f>T06c!J13</f>
        <v>52</v>
      </c>
      <c r="I17" s="4">
        <f>T06c!K13</f>
        <v>36</v>
      </c>
      <c r="J17" s="4">
        <f>T06c!L13</f>
        <v>75</v>
      </c>
      <c r="K17" s="13">
        <f t="shared" ref="K17:K20" si="1">SUM(B17:J17)</f>
        <v>2533</v>
      </c>
    </row>
    <row r="18" spans="1:11" x14ac:dyDescent="0.2">
      <c r="A18" s="29" t="str">
        <f>T06c!A14</f>
        <v>2018-19</v>
      </c>
      <c r="B18" s="4">
        <f>T06c!D14</f>
        <v>529</v>
      </c>
      <c r="C18" s="4">
        <f>T06c!E14</f>
        <v>79</v>
      </c>
      <c r="D18" s="4">
        <f>T06c!F14</f>
        <v>948</v>
      </c>
      <c r="E18" s="4">
        <f>T06c!G14</f>
        <v>371</v>
      </c>
      <c r="F18" s="4">
        <f>T06c!H14</f>
        <v>75</v>
      </c>
      <c r="G18" s="4">
        <f>T06c!I14</f>
        <v>198</v>
      </c>
      <c r="H18" s="4">
        <f>T06c!J14</f>
        <v>19</v>
      </c>
      <c r="I18" s="4">
        <f>T06c!K14</f>
        <v>41</v>
      </c>
      <c r="J18" s="4">
        <f>T06c!L14</f>
        <v>53</v>
      </c>
      <c r="K18" s="13">
        <f t="shared" si="1"/>
        <v>2313</v>
      </c>
    </row>
    <row r="19" spans="1:11" x14ac:dyDescent="0.2">
      <c r="A19" s="29" t="str">
        <f>T06c!A15</f>
        <v>2019-20</v>
      </c>
      <c r="B19" s="4">
        <f>T06c!D15</f>
        <v>575</v>
      </c>
      <c r="C19" s="4">
        <f>T06c!E15</f>
        <v>68</v>
      </c>
      <c r="D19" s="4">
        <f>T06c!F15</f>
        <v>889</v>
      </c>
      <c r="E19" s="4">
        <f>T06c!G15</f>
        <v>417</v>
      </c>
      <c r="F19" s="4">
        <f>T06c!H15</f>
        <v>79</v>
      </c>
      <c r="G19" s="4">
        <f>T06c!I15</f>
        <v>210</v>
      </c>
      <c r="H19" s="4">
        <f>T06c!J15</f>
        <v>18</v>
      </c>
      <c r="I19" s="4">
        <f>T06c!K15</f>
        <v>53</v>
      </c>
      <c r="J19" s="4">
        <f>T06c!L15</f>
        <v>63</v>
      </c>
      <c r="K19" s="13">
        <f t="shared" si="1"/>
        <v>2372</v>
      </c>
    </row>
    <row r="20" spans="1:11" ht="13.5" thickBot="1" x14ac:dyDescent="0.25">
      <c r="A20" s="380" t="str">
        <f>T06c!A16</f>
        <v>2020-21</v>
      </c>
      <c r="B20" s="349">
        <f>T06c!D16</f>
        <v>351</v>
      </c>
      <c r="C20" s="349">
        <f>T06c!E16</f>
        <v>49</v>
      </c>
      <c r="D20" s="349">
        <f>T06c!F16</f>
        <v>656</v>
      </c>
      <c r="E20" s="349">
        <f>T06c!G16</f>
        <v>260</v>
      </c>
      <c r="F20" s="349">
        <f>T06c!H16</f>
        <v>47</v>
      </c>
      <c r="G20" s="349">
        <f>T06c!I16</f>
        <v>146</v>
      </c>
      <c r="H20" s="349">
        <f>T06c!J16</f>
        <v>15</v>
      </c>
      <c r="I20" s="349">
        <f>T06c!K16</f>
        <v>31</v>
      </c>
      <c r="J20" s="349">
        <f>T06c!L16</f>
        <v>41</v>
      </c>
      <c r="K20" s="350">
        <f t="shared" si="1"/>
        <v>1596</v>
      </c>
    </row>
    <row r="21" spans="1:11" x14ac:dyDescent="0.2">
      <c r="A21" s="50"/>
      <c r="B21" s="50"/>
      <c r="C21" s="1"/>
      <c r="D21" s="1"/>
      <c r="E21" s="1"/>
      <c r="F21" s="1"/>
      <c r="G21" s="1"/>
      <c r="H21" s="1"/>
      <c r="I21" s="1"/>
      <c r="J21" s="14"/>
      <c r="K21" s="14"/>
    </row>
    <row r="22" spans="1:11" x14ac:dyDescent="0.2">
      <c r="A22" s="2" t="s">
        <v>146</v>
      </c>
      <c r="B22" s="50"/>
      <c r="C22" s="1"/>
      <c r="D22" s="1"/>
      <c r="E22" s="1"/>
      <c r="F22" s="1"/>
      <c r="G22" s="1"/>
      <c r="H22" s="1"/>
      <c r="I22" s="1"/>
      <c r="J22" s="14"/>
      <c r="K22" s="14"/>
    </row>
    <row r="23" spans="1:11" ht="25.5" customHeight="1" x14ac:dyDescent="0.2">
      <c r="A23" s="1004"/>
      <c r="B23" s="1364" t="s">
        <v>1222</v>
      </c>
      <c r="C23" s="1364"/>
      <c r="D23" s="1364"/>
      <c r="E23" s="1364"/>
      <c r="F23" s="1364"/>
      <c r="G23" s="1364"/>
      <c r="H23" s="1364"/>
      <c r="I23" s="1364"/>
      <c r="J23" s="1364"/>
      <c r="K23" s="1364"/>
    </row>
    <row r="24" spans="1:11" ht="15" customHeight="1" x14ac:dyDescent="0.2">
      <c r="B24" s="954"/>
      <c r="C24" s="954"/>
      <c r="D24" s="954"/>
      <c r="E24" s="954"/>
      <c r="F24" s="954"/>
      <c r="G24" s="954"/>
      <c r="H24" s="954"/>
      <c r="I24" s="954"/>
      <c r="J24" s="954"/>
      <c r="K24" s="954"/>
    </row>
    <row r="25" spans="1:11" ht="15.75" customHeight="1" x14ac:dyDescent="0.2">
      <c r="A25" s="1005"/>
      <c r="B25" s="1006"/>
      <c r="C25" s="1006"/>
      <c r="D25" s="1006"/>
      <c r="E25" s="1006"/>
      <c r="F25" s="1006"/>
      <c r="G25" s="1006"/>
      <c r="H25" s="1006"/>
      <c r="I25" s="1006"/>
      <c r="J25" s="1006"/>
      <c r="K25" s="1006"/>
    </row>
    <row r="26" spans="1:11" ht="38.25" customHeight="1" x14ac:dyDescent="0.2">
      <c r="A26" s="120" t="s">
        <v>1028</v>
      </c>
      <c r="B26" s="120"/>
      <c r="C26" s="120"/>
      <c r="D26" s="120"/>
      <c r="E26" s="120"/>
      <c r="F26" s="120"/>
      <c r="G26" s="120"/>
      <c r="H26" s="120"/>
      <c r="I26" s="120"/>
      <c r="J26" s="120"/>
      <c r="K26" s="14"/>
    </row>
    <row r="27" spans="1:11" ht="15" customHeight="1" x14ac:dyDescent="0.25">
      <c r="A27" s="351" t="s">
        <v>579</v>
      </c>
      <c r="B27" s="1043" t="s">
        <v>1348</v>
      </c>
      <c r="C27" s="120"/>
      <c r="D27" s="120"/>
      <c r="E27" s="120"/>
      <c r="F27" s="120"/>
      <c r="G27" s="120"/>
      <c r="H27" s="120"/>
      <c r="I27" s="120"/>
      <c r="J27" s="120"/>
      <c r="K27" s="14"/>
    </row>
    <row r="28" spans="1:11" ht="15" customHeight="1" x14ac:dyDescent="0.25">
      <c r="A28" s="351" t="s">
        <v>580</v>
      </c>
      <c r="B28" s="351" t="s">
        <v>581</v>
      </c>
      <c r="C28" s="120"/>
      <c r="D28" s="120"/>
      <c r="E28" s="120"/>
      <c r="F28" s="120"/>
      <c r="G28" s="120"/>
      <c r="H28" s="120"/>
      <c r="I28" s="120"/>
      <c r="J28" s="120"/>
      <c r="K28" s="14"/>
    </row>
    <row r="29" spans="1:11" ht="15" customHeight="1" x14ac:dyDescent="0.25">
      <c r="A29" s="351" t="s">
        <v>582</v>
      </c>
      <c r="B29" s="351" t="s">
        <v>585</v>
      </c>
      <c r="C29" s="120"/>
      <c r="D29" s="120"/>
      <c r="E29" s="120"/>
      <c r="F29" s="120"/>
      <c r="G29" s="120"/>
      <c r="H29" s="120"/>
      <c r="I29" s="120"/>
      <c r="J29" s="120"/>
      <c r="K29" s="14"/>
    </row>
    <row r="30" spans="1:11" ht="15" x14ac:dyDescent="0.25">
      <c r="A30" s="1"/>
      <c r="B30" s="1"/>
      <c r="C30" s="1"/>
      <c r="D30" s="1"/>
      <c r="E30" s="1"/>
      <c r="F30" s="1"/>
      <c r="G30" s="1"/>
      <c r="H30" s="83" t="s">
        <v>0</v>
      </c>
      <c r="I30" s="1"/>
      <c r="J30" s="1"/>
      <c r="K30" s="1"/>
    </row>
    <row r="31" spans="1:11" ht="38.25" x14ac:dyDescent="0.2">
      <c r="A31" s="37" t="s">
        <v>4</v>
      </c>
      <c r="B31" s="255" t="s">
        <v>151</v>
      </c>
      <c r="C31" s="256" t="s">
        <v>157</v>
      </c>
      <c r="D31" s="256" t="s">
        <v>154</v>
      </c>
      <c r="E31" s="256" t="s">
        <v>70</v>
      </c>
      <c r="F31" s="1158" t="s">
        <v>315</v>
      </c>
      <c r="G31" s="257" t="s">
        <v>72</v>
      </c>
      <c r="H31" s="257" t="s">
        <v>152</v>
      </c>
      <c r="I31" s="1"/>
    </row>
    <row r="32" spans="1:11" ht="18.75" customHeight="1" x14ac:dyDescent="0.2">
      <c r="A32" s="29" t="str">
        <f>T06d!A5</f>
        <v>2009-10</v>
      </c>
      <c r="B32" s="4">
        <f>T06d!C5</f>
        <v>30</v>
      </c>
      <c r="C32" s="4">
        <f>T06d!D5</f>
        <v>403</v>
      </c>
      <c r="D32" s="4">
        <f>T06d!E5</f>
        <v>154</v>
      </c>
      <c r="E32" s="4">
        <f>T06d!F5</f>
        <v>436</v>
      </c>
      <c r="F32" s="478">
        <f>T06d!G5</f>
        <v>0</v>
      </c>
      <c r="G32" s="4">
        <f>T06d!H5</f>
        <v>1015</v>
      </c>
      <c r="H32" s="13">
        <f>T06d!$B5</f>
        <v>2038</v>
      </c>
      <c r="I32" s="4"/>
    </row>
    <row r="33" spans="1:11" ht="13.5" customHeight="1" x14ac:dyDescent="0.2">
      <c r="A33" s="29" t="str">
        <f>T06d!A6</f>
        <v>2010-11</v>
      </c>
      <c r="B33" s="4">
        <f>T06d!C6</f>
        <v>22</v>
      </c>
      <c r="C33" s="4">
        <f>T06d!D6</f>
        <v>283</v>
      </c>
      <c r="D33" s="4">
        <f>T06d!E6</f>
        <v>141</v>
      </c>
      <c r="E33" s="4">
        <f>T06d!F6</f>
        <v>539</v>
      </c>
      <c r="F33" s="478">
        <f>T06d!G6</f>
        <v>1</v>
      </c>
      <c r="G33" s="4">
        <f>T06d!H6</f>
        <v>1489</v>
      </c>
      <c r="H33" s="13">
        <f>T06d!$B6</f>
        <v>2475</v>
      </c>
      <c r="I33" s="4"/>
    </row>
    <row r="34" spans="1:11" ht="13.5" customHeight="1" x14ac:dyDescent="0.2">
      <c r="A34" s="29" t="str">
        <f>T06d!A7</f>
        <v>2011-12</v>
      </c>
      <c r="B34" s="4">
        <f>T06d!C7</f>
        <v>10</v>
      </c>
      <c r="C34" s="4">
        <f>T06d!D7</f>
        <v>249</v>
      </c>
      <c r="D34" s="4">
        <f>T06d!E7</f>
        <v>71</v>
      </c>
      <c r="E34" s="4">
        <f>T06d!F7</f>
        <v>324</v>
      </c>
      <c r="F34" s="478">
        <f>T06d!G7</f>
        <v>5</v>
      </c>
      <c r="G34" s="4">
        <f>T06d!H7</f>
        <v>477</v>
      </c>
      <c r="H34" s="13">
        <f>T06d!$B7</f>
        <v>1136</v>
      </c>
      <c r="I34" s="4"/>
    </row>
    <row r="35" spans="1:11" ht="13.5" customHeight="1" x14ac:dyDescent="0.2">
      <c r="A35" s="29" t="str">
        <f>T06d!A8</f>
        <v>2012-13</v>
      </c>
      <c r="B35" s="4">
        <f>T06d!C8</f>
        <v>24</v>
      </c>
      <c r="C35" s="4">
        <f>T06d!D8</f>
        <v>328</v>
      </c>
      <c r="D35" s="4">
        <f>T06d!E8</f>
        <v>75</v>
      </c>
      <c r="E35" s="4">
        <f>T06d!F8</f>
        <v>353</v>
      </c>
      <c r="F35" s="4">
        <f>T06d!G8</f>
        <v>160</v>
      </c>
      <c r="G35" s="4">
        <f>T06d!H8</f>
        <v>417</v>
      </c>
      <c r="H35" s="13">
        <f>T06d!$B8</f>
        <v>1357</v>
      </c>
      <c r="I35" s="4"/>
      <c r="J35" s="1"/>
    </row>
    <row r="36" spans="1:11" ht="13.5" customHeight="1" x14ac:dyDescent="0.2">
      <c r="A36" s="29" t="str">
        <f>T06d!A9</f>
        <v>2013-14</v>
      </c>
      <c r="B36" s="4">
        <f>T06d!C9</f>
        <v>10</v>
      </c>
      <c r="C36" s="4">
        <f>T06d!D9</f>
        <v>165</v>
      </c>
      <c r="D36" s="4">
        <f>T06d!E9</f>
        <v>44</v>
      </c>
      <c r="E36" s="4">
        <f>T06d!F9</f>
        <v>283</v>
      </c>
      <c r="F36" s="4">
        <f>T06d!G9</f>
        <v>215</v>
      </c>
      <c r="G36" s="4">
        <f>T06d!H9</f>
        <v>349</v>
      </c>
      <c r="H36" s="13">
        <f>T06d!$B9</f>
        <v>1066</v>
      </c>
      <c r="I36" s="4"/>
      <c r="J36" s="1"/>
      <c r="K36" s="1"/>
    </row>
    <row r="37" spans="1:11" ht="13.5" customHeight="1" x14ac:dyDescent="0.2">
      <c r="A37" s="29" t="str">
        <f>T06d!A10</f>
        <v>2014-15</v>
      </c>
      <c r="B37" s="4">
        <f>T06d!C10</f>
        <v>20</v>
      </c>
      <c r="C37" s="4">
        <f>T06d!D10</f>
        <v>206</v>
      </c>
      <c r="D37" s="4">
        <f>T06d!E10</f>
        <v>59</v>
      </c>
      <c r="E37" s="4">
        <f>T06d!F10</f>
        <v>275</v>
      </c>
      <c r="F37" s="4">
        <f>T06d!G10</f>
        <v>299</v>
      </c>
      <c r="G37" s="4">
        <f>T06d!H10</f>
        <v>392</v>
      </c>
      <c r="H37" s="13">
        <f>T06d!$B10</f>
        <v>1251</v>
      </c>
      <c r="I37" s="4"/>
      <c r="J37" s="1"/>
      <c r="K37" s="1"/>
    </row>
    <row r="38" spans="1:11" ht="13.5" customHeight="1" x14ac:dyDescent="0.2">
      <c r="A38" s="29" t="str">
        <f>T06d!A11</f>
        <v>2015-16</v>
      </c>
      <c r="B38" s="4">
        <f>T06d!C11</f>
        <v>52</v>
      </c>
      <c r="C38" s="4">
        <f>T06d!D11</f>
        <v>360</v>
      </c>
      <c r="D38" s="4">
        <f>T06d!E11</f>
        <v>88</v>
      </c>
      <c r="E38" s="4">
        <f>T06d!F11</f>
        <v>321</v>
      </c>
      <c r="F38" s="4">
        <f>T06d!G11</f>
        <v>308</v>
      </c>
      <c r="G38" s="4">
        <f>T06d!H11</f>
        <v>359</v>
      </c>
      <c r="H38" s="13">
        <f>T06d!$B11</f>
        <v>1488</v>
      </c>
      <c r="I38" s="4"/>
      <c r="J38" s="1"/>
      <c r="K38" s="1"/>
    </row>
    <row r="39" spans="1:11" ht="13.5" customHeight="1" x14ac:dyDescent="0.2">
      <c r="A39" s="29" t="str">
        <f>T06d!A12</f>
        <v>2016-17</v>
      </c>
      <c r="B39" s="4">
        <f>T06d!C12</f>
        <v>3</v>
      </c>
      <c r="C39" s="4">
        <f>T06d!D12</f>
        <v>94</v>
      </c>
      <c r="D39" s="4">
        <f>T06d!E12</f>
        <v>38</v>
      </c>
      <c r="E39" s="4">
        <f>T06d!F12</f>
        <v>232</v>
      </c>
      <c r="F39" s="4">
        <f>T06d!G12</f>
        <v>316</v>
      </c>
      <c r="G39" s="4">
        <f>T06d!H12</f>
        <v>322</v>
      </c>
      <c r="H39" s="13">
        <f>T06d!$B12</f>
        <v>1005</v>
      </c>
      <c r="I39" s="4"/>
      <c r="J39" s="1"/>
      <c r="K39" s="1"/>
    </row>
    <row r="40" spans="1:11" ht="13.5" customHeight="1" x14ac:dyDescent="0.2">
      <c r="A40" s="29" t="str">
        <f>T06d!A13</f>
        <v>2017-18</v>
      </c>
      <c r="B40" s="4">
        <f>T06d!C13</f>
        <v>13</v>
      </c>
      <c r="C40" s="4">
        <f>T06d!D13</f>
        <v>98</v>
      </c>
      <c r="D40" s="4">
        <f>T06d!E13</f>
        <v>46</v>
      </c>
      <c r="E40" s="4">
        <f>T06d!F13</f>
        <v>251</v>
      </c>
      <c r="F40" s="4">
        <f>T06d!G13</f>
        <v>458</v>
      </c>
      <c r="G40" s="4">
        <f>T06d!H13</f>
        <v>436</v>
      </c>
      <c r="H40" s="13">
        <f>T06d!$B13</f>
        <v>1302</v>
      </c>
      <c r="I40" s="4"/>
      <c r="J40" s="1"/>
      <c r="K40" s="1"/>
    </row>
    <row r="41" spans="1:11" ht="13.5" customHeight="1" x14ac:dyDescent="0.2">
      <c r="A41" s="29" t="str">
        <f>T06d!A14</f>
        <v>2018-19</v>
      </c>
      <c r="B41" s="4">
        <f>T06d!C14</f>
        <v>6</v>
      </c>
      <c r="C41" s="4">
        <f>T06d!D14</f>
        <v>64</v>
      </c>
      <c r="D41" s="4">
        <f>T06d!E14</f>
        <v>31</v>
      </c>
      <c r="E41" s="4">
        <f>T06d!F14</f>
        <v>308</v>
      </c>
      <c r="F41" s="4">
        <f>T06d!G14</f>
        <v>392</v>
      </c>
      <c r="G41" s="4">
        <f>T06d!H14</f>
        <v>355</v>
      </c>
      <c r="H41" s="13">
        <f>T06d!$B14</f>
        <v>1156</v>
      </c>
      <c r="I41" s="4"/>
      <c r="J41" s="1"/>
      <c r="K41" s="1"/>
    </row>
    <row r="42" spans="1:11" ht="13.5" customHeight="1" x14ac:dyDescent="0.2">
      <c r="A42" s="29" t="str">
        <f>T06d!A15</f>
        <v>2019-20</v>
      </c>
      <c r="B42" s="4">
        <f>T06d!C15</f>
        <v>28</v>
      </c>
      <c r="C42" s="4">
        <f>T06d!D15</f>
        <v>252</v>
      </c>
      <c r="D42" s="4">
        <f>T06d!E15</f>
        <v>58</v>
      </c>
      <c r="E42" s="4">
        <f>T06d!F15</f>
        <v>411</v>
      </c>
      <c r="F42" s="4">
        <f>T06d!G15</f>
        <v>480</v>
      </c>
      <c r="G42" s="4">
        <f>T06d!H15</f>
        <v>398</v>
      </c>
      <c r="H42" s="13">
        <f>T06d!$B15</f>
        <v>1627</v>
      </c>
      <c r="I42" s="4"/>
      <c r="J42" s="1"/>
      <c r="K42" s="1"/>
    </row>
    <row r="43" spans="1:11" ht="13.5" thickBot="1" x14ac:dyDescent="0.25">
      <c r="A43" s="380" t="str">
        <f>T06d!A16</f>
        <v>2020-21</v>
      </c>
      <c r="B43" s="349">
        <f>T06d!C16</f>
        <v>30</v>
      </c>
      <c r="C43" s="349">
        <f>T06d!D16</f>
        <v>169</v>
      </c>
      <c r="D43" s="349">
        <f>T06d!E16</f>
        <v>61</v>
      </c>
      <c r="E43" s="349">
        <f>T06d!F16</f>
        <v>503</v>
      </c>
      <c r="F43" s="349">
        <f>T06d!G16</f>
        <v>439</v>
      </c>
      <c r="G43" s="349">
        <f>T06d!H16</f>
        <v>415</v>
      </c>
      <c r="H43" s="350">
        <f>T06d!$B16</f>
        <v>1617</v>
      </c>
      <c r="I43" s="1"/>
      <c r="J43" s="1"/>
      <c r="K43" s="1"/>
    </row>
    <row r="44" spans="1:11" x14ac:dyDescent="0.2">
      <c r="A44" s="1"/>
      <c r="B44" s="1"/>
      <c r="C44" s="1"/>
      <c r="D44" s="1"/>
      <c r="E44" s="1"/>
      <c r="F44" s="1"/>
      <c r="G44" s="1"/>
      <c r="H44" s="1"/>
      <c r="I44" s="1"/>
      <c r="J44" s="1"/>
      <c r="K44" s="1"/>
    </row>
    <row r="45" spans="1:11" x14ac:dyDescent="0.2">
      <c r="A45" s="2" t="s">
        <v>146</v>
      </c>
      <c r="B45" s="1"/>
      <c r="C45" s="1"/>
      <c r="D45" s="1"/>
      <c r="E45" s="1"/>
      <c r="F45" s="1"/>
      <c r="G45" s="1"/>
      <c r="H45" s="1"/>
      <c r="I45" s="1"/>
      <c r="J45" s="1"/>
      <c r="K45" s="1"/>
    </row>
    <row r="46" spans="1:11" ht="30" customHeight="1" x14ac:dyDescent="0.2">
      <c r="A46" s="1356" t="s">
        <v>1557</v>
      </c>
      <c r="B46" s="1356"/>
      <c r="C46" s="1356"/>
      <c r="D46" s="1356"/>
      <c r="E46" s="1356"/>
      <c r="F46" s="1356"/>
      <c r="G46" s="1356"/>
      <c r="H46" s="1356"/>
      <c r="I46" s="1"/>
      <c r="J46" s="1"/>
      <c r="K46" s="1"/>
    </row>
    <row r="47" spans="1:11" ht="29.25" customHeight="1" x14ac:dyDescent="0.2">
      <c r="A47" s="1004"/>
      <c r="B47" s="1364" t="s">
        <v>1222</v>
      </c>
      <c r="C47" s="1364"/>
      <c r="D47" s="1364"/>
      <c r="E47" s="1364"/>
      <c r="F47" s="1364"/>
      <c r="G47" s="1364"/>
      <c r="H47" s="1364"/>
      <c r="I47" s="1364"/>
      <c r="J47" s="1364"/>
      <c r="K47" s="1364"/>
    </row>
    <row r="48" spans="1:11" x14ac:dyDescent="0.2">
      <c r="A48" s="1360"/>
      <c r="B48" s="1360"/>
    </row>
  </sheetData>
  <sheetProtection algorithmName="SHA-512" hashValue="tjZe4DmyZ1Kzco+E4k6p9MYaI9+q+iSzaJSSp95fs1n9ewESiMlAn17OqNX6nNg9PALY4+ItbwNRcUGdjLcxWA==" saltValue="xpEXwsKvXbCygrqtFtDr3g==" spinCount="100000" sheet="1" scenarios="1" formatCells="0" formatColumns="0" formatRows="0" sort="0" autoFilter="0" pivotTables="0"/>
  <mergeCells count="4">
    <mergeCell ref="A48:B48"/>
    <mergeCell ref="A46:H46"/>
    <mergeCell ref="B23:K23"/>
    <mergeCell ref="B47:K47"/>
  </mergeCells>
  <hyperlinks>
    <hyperlink ref="A2" location="'Table of Contents'!A1" display="Back to Table of Contents" xr:uid="{00000000-0004-0000-6700-000000000000}"/>
  </hyperlinks>
  <pageMargins left="0.7" right="0.7" top="0.75" bottom="0.75" header="0.3" footer="0.3"/>
  <pageSetup paperSize="9" scale="68" orientation="portrait" r:id="rId1"/>
  <colBreaks count="1" manualBreakCount="1">
    <brk id="11" max="1048575" man="1"/>
  </col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D9B3FF"/>
  </sheetPr>
  <dimension ref="A1:H21"/>
  <sheetViews>
    <sheetView showGridLines="0" zoomScaleNormal="100" workbookViewId="0">
      <selection sqref="A1:C1"/>
    </sheetView>
  </sheetViews>
  <sheetFormatPr defaultColWidth="9.140625" defaultRowHeight="12.75" x14ac:dyDescent="0.2"/>
  <cols>
    <col min="1" max="1" width="16.28515625" customWidth="1"/>
    <col min="8" max="8" width="4.85546875" customWidth="1"/>
    <col min="14" max="14" width="4.7109375" customWidth="1"/>
  </cols>
  <sheetData>
    <row r="1" spans="1:8" ht="15.75" x14ac:dyDescent="0.2">
      <c r="A1" s="1271" t="s">
        <v>1249</v>
      </c>
      <c r="B1" s="1271"/>
      <c r="C1" s="1271"/>
    </row>
    <row r="2" spans="1:8" ht="15.75" x14ac:dyDescent="0.2">
      <c r="A2" s="106" t="s">
        <v>578</v>
      </c>
      <c r="B2" s="1031"/>
      <c r="C2" s="1031"/>
    </row>
    <row r="3" spans="1:8" ht="31.5" customHeight="1" x14ac:dyDescent="0.2">
      <c r="A3" s="1272" t="s">
        <v>276</v>
      </c>
      <c r="B3" s="1272"/>
      <c r="C3" s="1272"/>
      <c r="D3" s="1272"/>
      <c r="E3" s="1272"/>
      <c r="F3" s="1272"/>
      <c r="G3" s="1272"/>
      <c r="H3" s="1272"/>
    </row>
    <row r="4" spans="1:8" ht="15" x14ac:dyDescent="0.25">
      <c r="A4" s="1032" t="s">
        <v>1246</v>
      </c>
    </row>
    <row r="5" spans="1:8" ht="15" x14ac:dyDescent="0.25">
      <c r="A5" s="1043" t="s">
        <v>1349</v>
      </c>
    </row>
    <row r="6" spans="1:8" ht="38.25" customHeight="1" x14ac:dyDescent="0.35">
      <c r="A6" s="230"/>
    </row>
    <row r="8" spans="1:8" x14ac:dyDescent="0.2">
      <c r="A8" s="106"/>
    </row>
    <row r="15" spans="1:8" x14ac:dyDescent="0.2">
      <c r="B15" s="241"/>
      <c r="C15" s="191"/>
      <c r="D15" s="191"/>
      <c r="E15" s="191"/>
    </row>
    <row r="16" spans="1:8" x14ac:dyDescent="0.2">
      <c r="B16" s="241"/>
      <c r="C16" s="191"/>
      <c r="D16" s="191"/>
      <c r="E16" s="191"/>
    </row>
    <row r="17" spans="2:5" x14ac:dyDescent="0.2">
      <c r="B17" s="241"/>
      <c r="C17" s="191"/>
      <c r="D17" s="191"/>
      <c r="E17" s="191"/>
    </row>
    <row r="18" spans="2:5" x14ac:dyDescent="0.2">
      <c r="B18" s="241"/>
      <c r="C18" s="191"/>
      <c r="D18" s="191"/>
      <c r="E18" s="191"/>
    </row>
    <row r="19" spans="2:5" x14ac:dyDescent="0.2">
      <c r="B19" s="241"/>
      <c r="C19" s="191"/>
      <c r="D19" s="191"/>
      <c r="E19" s="191"/>
    </row>
    <row r="20" spans="2:5" x14ac:dyDescent="0.2">
      <c r="B20" s="241"/>
      <c r="C20" s="191"/>
      <c r="D20" s="191"/>
      <c r="E20" s="191"/>
    </row>
    <row r="21" spans="2:5" x14ac:dyDescent="0.2">
      <c r="B21" s="241"/>
      <c r="C21" s="191"/>
      <c r="D21" s="191"/>
      <c r="E21" s="191"/>
    </row>
  </sheetData>
  <sheetProtection algorithmName="SHA-512" hashValue="0gHc57DBXNisFclIXibAoTKQnXqib9w8xbMNxjGK8r+hNJsFXet5vn9msf2UglYPCTz7pfBFD8WzSwANFBl2wQ==" saltValue="ZQMej1+lDlmZUpd9mfQLdw=="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6800-000000000000}"/>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D9B3FF"/>
  </sheetPr>
  <dimension ref="A1:H5"/>
  <sheetViews>
    <sheetView showGridLines="0" workbookViewId="0">
      <selection sqref="A1:C1"/>
    </sheetView>
  </sheetViews>
  <sheetFormatPr defaultColWidth="9.140625" defaultRowHeight="12.75" x14ac:dyDescent="0.2"/>
  <sheetData>
    <row r="1" spans="1:8" ht="17.25" customHeight="1" x14ac:dyDescent="0.2">
      <c r="A1" s="1271" t="s">
        <v>1249</v>
      </c>
      <c r="B1" s="1271"/>
      <c r="C1" s="1271"/>
    </row>
    <row r="2" spans="1:8" ht="17.25" customHeight="1" x14ac:dyDescent="0.2">
      <c r="A2" s="106" t="s">
        <v>578</v>
      </c>
      <c r="B2" s="1031"/>
      <c r="C2" s="1031"/>
    </row>
    <row r="3" spans="1:8" ht="33.75" customHeight="1" x14ac:dyDescent="0.2">
      <c r="A3" s="120" t="s">
        <v>1613</v>
      </c>
      <c r="B3" s="120"/>
      <c r="C3" s="120"/>
      <c r="D3" s="120"/>
      <c r="E3" s="120"/>
      <c r="F3" s="120"/>
      <c r="G3" s="120"/>
      <c r="H3" s="120"/>
    </row>
    <row r="4" spans="1:8" ht="15" x14ac:dyDescent="0.25">
      <c r="A4" s="1032" t="s">
        <v>1246</v>
      </c>
    </row>
    <row r="5" spans="1:8" ht="15" x14ac:dyDescent="0.25">
      <c r="A5" s="1043" t="s">
        <v>1350</v>
      </c>
    </row>
  </sheetData>
  <sheetProtection algorithmName="SHA-512" hashValue="fmN7gVSzpDNNCqpdoEGHpzsZ/efQtQYPYasJ4c1Za+M4OWpid8sOIRnqYtXU5d3Z4ICViCn8mqgXpSm3K5NjwA==" saltValue="mvEonwAPZ8mHykl4THcQ7A==" spinCount="100000" sheet="1" scenarios="1" formatCells="0" formatColumns="0" formatRows="0" sort="0" autoFilter="0" pivotTables="0"/>
  <mergeCells count="1">
    <mergeCell ref="A1:C1"/>
  </mergeCells>
  <hyperlinks>
    <hyperlink ref="A2" location="'Table of Contents'!A1" display="Back to Table of Contents" xr:uid="{00000000-0004-0000-6900-000000000000}"/>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D9B3FF"/>
  </sheetPr>
  <dimension ref="A1:H5"/>
  <sheetViews>
    <sheetView showGridLines="0" workbookViewId="0">
      <selection sqref="A1:C1"/>
    </sheetView>
  </sheetViews>
  <sheetFormatPr defaultColWidth="9.140625" defaultRowHeight="12.75" x14ac:dyDescent="0.2"/>
  <sheetData>
    <row r="1" spans="1:8" ht="17.25" customHeight="1" x14ac:dyDescent="0.2">
      <c r="A1" s="1271" t="s">
        <v>1249</v>
      </c>
      <c r="B1" s="1271"/>
      <c r="C1" s="1271"/>
    </row>
    <row r="2" spans="1:8" ht="17.25" customHeight="1" x14ac:dyDescent="0.2">
      <c r="A2" s="106" t="s">
        <v>578</v>
      </c>
      <c r="B2" s="1031"/>
      <c r="C2" s="1031"/>
    </row>
    <row r="3" spans="1:8" ht="34.5" customHeight="1" x14ac:dyDescent="0.2">
      <c r="A3" s="120" t="s">
        <v>1614</v>
      </c>
      <c r="B3" s="120"/>
      <c r="C3" s="120"/>
      <c r="D3" s="120"/>
      <c r="E3" s="120"/>
      <c r="F3" s="120"/>
      <c r="G3" s="120"/>
      <c r="H3" s="120"/>
    </row>
    <row r="4" spans="1:8" ht="15" x14ac:dyDescent="0.25">
      <c r="A4" s="1032" t="s">
        <v>1246</v>
      </c>
    </row>
    <row r="5" spans="1:8" ht="15" x14ac:dyDescent="0.25">
      <c r="A5" s="1043" t="s">
        <v>1351</v>
      </c>
    </row>
  </sheetData>
  <sheetProtection algorithmName="SHA-512" hashValue="ZeocWmsbWtY6uCBSb9ctV7n9AQ2jEu5mYnbeT9wy8WrNu+qNom8sznzMPtim8o4opwpTCpImN+4fw66jstia6A==" saltValue="bHIjjcUz6EM6Vo3Bp6kzrA==" spinCount="100000" sheet="1" scenarios="1" formatCells="0" formatColumns="0" formatRows="0" sort="0" autoFilter="0" pivotTables="0"/>
  <mergeCells count="1">
    <mergeCell ref="A1:C1"/>
  </mergeCells>
  <hyperlinks>
    <hyperlink ref="A2" location="'Table of Contents'!A1" display="Back to Table of Contents" xr:uid="{00000000-0004-0000-6A00-000000000000}"/>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D9B3FF"/>
  </sheetPr>
  <dimension ref="A1:H5"/>
  <sheetViews>
    <sheetView showGridLines="0" workbookViewId="0">
      <selection sqref="A1:C1"/>
    </sheetView>
  </sheetViews>
  <sheetFormatPr defaultColWidth="9.140625" defaultRowHeight="12.75" x14ac:dyDescent="0.2"/>
  <sheetData>
    <row r="1" spans="1:8" ht="17.25" customHeight="1" x14ac:dyDescent="0.2">
      <c r="A1" s="1271" t="s">
        <v>1249</v>
      </c>
      <c r="B1" s="1271"/>
      <c r="C1" s="1271"/>
    </row>
    <row r="2" spans="1:8" ht="17.25" customHeight="1" x14ac:dyDescent="0.2">
      <c r="A2" s="106" t="s">
        <v>578</v>
      </c>
      <c r="B2" s="1031"/>
      <c r="C2" s="1031"/>
    </row>
    <row r="3" spans="1:8" ht="32.25" customHeight="1" x14ac:dyDescent="0.2">
      <c r="A3" s="120" t="s">
        <v>1615</v>
      </c>
      <c r="B3" s="120"/>
      <c r="C3" s="120"/>
      <c r="D3" s="120"/>
      <c r="E3" s="120"/>
      <c r="F3" s="120"/>
      <c r="G3" s="120"/>
      <c r="H3" s="120"/>
    </row>
    <row r="4" spans="1:8" ht="15" x14ac:dyDescent="0.25">
      <c r="A4" s="1032" t="s">
        <v>1246</v>
      </c>
    </row>
    <row r="5" spans="1:8" ht="15" x14ac:dyDescent="0.25">
      <c r="A5" s="1043" t="s">
        <v>1352</v>
      </c>
    </row>
  </sheetData>
  <sheetProtection algorithmName="SHA-512" hashValue="uzFtWKiZTAFLCqac2lj/dQ532YgQzR60jTtbKJzzPKpkL5Dthz5q0H+4wapCr5SyCqUWY2m2Szfjfxpa+MqH2A==" saltValue="EeTU9sK+QS6UXFaFjcLWqg==" spinCount="100000" sheet="1" scenarios="1" formatCells="0" formatColumns="0" formatRows="0" sort="0" autoFilter="0" pivotTables="0"/>
  <mergeCells count="1">
    <mergeCell ref="A1:C1"/>
  </mergeCells>
  <hyperlinks>
    <hyperlink ref="A2" location="'Table of Contents'!A1" display="Back to Table of Contents" xr:uid="{00000000-0004-0000-6B00-000000000000}"/>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5">
    <tabColor theme="9" tint="0.39997558519241921"/>
    <pageSetUpPr fitToPage="1"/>
  </sheetPr>
  <dimension ref="A1:X57"/>
  <sheetViews>
    <sheetView showGridLines="0" zoomScaleNormal="100" workbookViewId="0">
      <pane ySplit="2" topLeftCell="A3" activePane="bottomLeft" state="frozen"/>
      <selection activeCell="V31" sqref="V31"/>
      <selection pane="bottomLeft"/>
    </sheetView>
  </sheetViews>
  <sheetFormatPr defaultColWidth="9.140625" defaultRowHeight="12.75" x14ac:dyDescent="0.2"/>
  <cols>
    <col min="1" max="1" width="45.42578125" style="1" customWidth="1"/>
    <col min="2" max="11" width="10.28515625" style="1" customWidth="1"/>
    <col min="12" max="12" width="10.140625" style="1" customWidth="1"/>
    <col min="13" max="13" width="8.5703125" style="1" customWidth="1"/>
    <col min="14" max="20" width="9.7109375" style="1" customWidth="1"/>
    <col min="21" max="16384" width="9.140625" style="1"/>
  </cols>
  <sheetData>
    <row r="1" spans="1:23" ht="17.25" customHeight="1" x14ac:dyDescent="0.2">
      <c r="A1" s="298" t="s">
        <v>1132</v>
      </c>
      <c r="B1" s="298"/>
    </row>
    <row r="2" spans="1:23" ht="17.25" customHeight="1" x14ac:dyDescent="0.2">
      <c r="A2" s="106" t="s">
        <v>578</v>
      </c>
      <c r="B2" s="106"/>
    </row>
    <row r="3" spans="1:23" ht="38.25" customHeight="1" x14ac:dyDescent="0.25">
      <c r="A3" s="120" t="s">
        <v>1023</v>
      </c>
      <c r="B3" s="120"/>
      <c r="C3" s="120"/>
      <c r="D3" s="120"/>
      <c r="E3" s="120"/>
      <c r="F3" s="120"/>
      <c r="G3" s="120"/>
      <c r="H3" s="120"/>
      <c r="I3" s="120"/>
      <c r="J3" s="83"/>
      <c r="K3" s="83"/>
      <c r="L3" s="83"/>
      <c r="M3" s="120"/>
      <c r="N3" s="120"/>
      <c r="O3" s="120"/>
      <c r="P3" s="120"/>
      <c r="Q3" s="120"/>
      <c r="R3" s="120"/>
      <c r="S3" s="120"/>
      <c r="T3" s="129"/>
      <c r="U3" s="83"/>
      <c r="V3" s="83"/>
    </row>
    <row r="4" spans="1:23" ht="15" customHeight="1" x14ac:dyDescent="0.25">
      <c r="A4" s="351" t="s">
        <v>579</v>
      </c>
      <c r="B4" s="1043" t="s">
        <v>1353</v>
      </c>
      <c r="E4" s="129"/>
      <c r="F4" s="120"/>
      <c r="G4" s="120"/>
      <c r="H4" s="120"/>
      <c r="I4" s="120"/>
      <c r="J4" s="83"/>
      <c r="K4" s="83"/>
      <c r="L4" s="83"/>
      <c r="M4" s="120"/>
      <c r="N4" s="120"/>
      <c r="O4" s="120"/>
      <c r="P4" s="120"/>
      <c r="Q4" s="120"/>
      <c r="R4" s="120"/>
      <c r="S4" s="120"/>
      <c r="T4" s="129"/>
      <c r="U4" s="83"/>
      <c r="V4" s="83"/>
    </row>
    <row r="5" spans="1:23" ht="15" customHeight="1" x14ac:dyDescent="0.25">
      <c r="A5" s="351" t="s">
        <v>580</v>
      </c>
      <c r="B5" s="351" t="s">
        <v>581</v>
      </c>
      <c r="D5" s="129"/>
      <c r="E5" s="129"/>
      <c r="F5" s="120"/>
      <c r="G5" s="120"/>
      <c r="H5" s="120"/>
      <c r="I5" s="120"/>
      <c r="J5" s="83"/>
      <c r="K5" s="83"/>
      <c r="L5" s="83"/>
      <c r="M5" s="120"/>
      <c r="N5" s="120"/>
      <c r="O5" s="120"/>
      <c r="P5" s="120"/>
      <c r="Q5" s="120"/>
      <c r="R5" s="120"/>
      <c r="S5" s="120"/>
      <c r="T5" s="129"/>
      <c r="U5" s="83"/>
      <c r="V5" s="83"/>
    </row>
    <row r="6" spans="1:23" ht="15" customHeight="1" x14ac:dyDescent="0.25">
      <c r="A6" s="351" t="s">
        <v>582</v>
      </c>
      <c r="B6" s="351" t="s">
        <v>585</v>
      </c>
      <c r="D6" s="129"/>
      <c r="E6" s="129"/>
      <c r="F6" s="120"/>
      <c r="G6" s="120"/>
      <c r="H6" s="120"/>
      <c r="I6" s="120"/>
      <c r="J6" s="83"/>
      <c r="K6" s="83"/>
      <c r="L6" s="83"/>
      <c r="M6" s="120"/>
      <c r="N6" s="120"/>
      <c r="O6" s="120"/>
      <c r="P6" s="120"/>
      <c r="Q6" s="120"/>
      <c r="R6" s="120"/>
      <c r="S6" s="120"/>
      <c r="T6" s="129"/>
      <c r="U6" s="83"/>
      <c r="V6" s="83"/>
    </row>
    <row r="7" spans="1:23" x14ac:dyDescent="0.2">
      <c r="H7" s="58"/>
      <c r="I7" s="58"/>
      <c r="J7" s="58"/>
      <c r="K7" s="58"/>
      <c r="L7" s="58"/>
      <c r="M7" s="58"/>
      <c r="N7" s="58"/>
      <c r="O7" s="58"/>
      <c r="P7" s="58"/>
      <c r="Q7" s="58"/>
      <c r="R7" s="58"/>
      <c r="S7" s="58"/>
      <c r="T7" s="58"/>
      <c r="U7" s="58"/>
      <c r="V7" s="58"/>
    </row>
    <row r="8" spans="1:23" x14ac:dyDescent="0.2">
      <c r="A8" s="18"/>
      <c r="B8" s="1304" t="s">
        <v>59</v>
      </c>
      <c r="C8" s="1305"/>
      <c r="D8" s="1305"/>
      <c r="E8" s="1305"/>
      <c r="F8" s="1305"/>
      <c r="G8" s="1305"/>
      <c r="H8" s="1305"/>
      <c r="I8" s="1305"/>
      <c r="J8" s="1305"/>
      <c r="K8" s="1305"/>
      <c r="L8" s="1305"/>
      <c r="M8" s="1306"/>
    </row>
    <row r="9" spans="1:23" x14ac:dyDescent="0.2">
      <c r="A9" s="153" t="s">
        <v>258</v>
      </c>
      <c r="B9" s="1081" t="s">
        <v>19</v>
      </c>
      <c r="C9" s="1082" t="s">
        <v>20</v>
      </c>
      <c r="D9" s="1082" t="s">
        <v>13</v>
      </c>
      <c r="E9" s="1082" t="s">
        <v>15</v>
      </c>
      <c r="F9" s="1082" t="s">
        <v>17</v>
      </c>
      <c r="G9" s="1082" t="s">
        <v>133</v>
      </c>
      <c r="H9" s="1082" t="s">
        <v>144</v>
      </c>
      <c r="I9" s="1082" t="s">
        <v>282</v>
      </c>
      <c r="J9" s="1079" t="s">
        <v>311</v>
      </c>
      <c r="K9" s="1079" t="s">
        <v>621</v>
      </c>
      <c r="L9" s="1079" t="s">
        <v>1419</v>
      </c>
      <c r="M9" s="1079" t="s">
        <v>1572</v>
      </c>
    </row>
    <row r="10" spans="1:23" ht="18.75" customHeight="1" x14ac:dyDescent="0.2">
      <c r="A10" s="446" t="s">
        <v>71</v>
      </c>
      <c r="B10" s="1141">
        <f>IF('T07'!D5= 0, "-", 'T07'!D5)</f>
        <v>117</v>
      </c>
      <c r="C10" s="1141">
        <f>IF('T07'!E5= 0, "-", 'T07'!E5)</f>
        <v>123</v>
      </c>
      <c r="D10" s="1141">
        <f>IF('T07'!F5= 0, "-", 'T07'!F5)</f>
        <v>98</v>
      </c>
      <c r="E10" s="1141">
        <f>IF('T07'!G5= 0, "-", 'T07'!G5)</f>
        <v>90</v>
      </c>
      <c r="F10" s="1141">
        <f>IF('T07'!H5= 0, "-", 'T07'!H5)</f>
        <v>110</v>
      </c>
      <c r="G10" s="1141">
        <f>IF('T07'!I5= 0, "-", 'T07'!I5)</f>
        <v>105</v>
      </c>
      <c r="H10" s="1141">
        <f>IF('T07'!J5= 0, "-", 'T07'!J5)</f>
        <v>105</v>
      </c>
      <c r="I10" s="1141">
        <f>IF('T07'!K5= 0, "-", 'T07'!K5)</f>
        <v>96</v>
      </c>
      <c r="J10" s="1141">
        <f>IF('T07'!L5= 0, "-", 'T07'!L5)</f>
        <v>81</v>
      </c>
      <c r="K10" s="1141">
        <f>IF('T07'!M5= 0, "-", 'T07'!M5)</f>
        <v>83</v>
      </c>
      <c r="L10" s="1141">
        <f>IF('T07'!N5= 0, "-", 'T07'!N5)</f>
        <v>82</v>
      </c>
      <c r="M10" s="1141">
        <f>IF('T07'!O5= 0, "-", 'T07'!O5)</f>
        <v>60</v>
      </c>
      <c r="W10"/>
    </row>
    <row r="11" spans="1:23" ht="13.5" customHeight="1" x14ac:dyDescent="0.2">
      <c r="A11" s="2" t="s">
        <v>518</v>
      </c>
      <c r="B11" s="1141">
        <f>IF('T07'!D6= 0, "-", 'T07'!D6)</f>
        <v>3</v>
      </c>
      <c r="C11" s="1141">
        <f>IF('T07'!E6= 0, "-", 'T07'!E6)</f>
        <v>2</v>
      </c>
      <c r="D11" s="1141">
        <f>IF('T07'!F6= 0, "-", 'T07'!F6)</f>
        <v>3</v>
      </c>
      <c r="E11" s="1141">
        <f>IF('T07'!G6= 0, "-", 'T07'!G6)</f>
        <v>7</v>
      </c>
      <c r="F11" s="1141">
        <f>IF('T07'!H6= 0, "-", 'T07'!H6)</f>
        <v>1</v>
      </c>
      <c r="G11" s="1141">
        <f>IF('T07'!I6= 0, "-", 'T07'!I6)</f>
        <v>2</v>
      </c>
      <c r="H11" s="1141">
        <f>IF('T07'!J6= 0, "-", 'T07'!J6)</f>
        <v>1</v>
      </c>
      <c r="I11" s="1141">
        <f>IF('T07'!K6= 0, "-", 'T07'!K6)</f>
        <v>3</v>
      </c>
      <c r="J11" s="1141">
        <f>IF('T07'!L6= 0, "-", 'T07'!L6)</f>
        <v>3</v>
      </c>
      <c r="K11" s="1141">
        <f>IF('T07'!M6= 0, "-", 'T07'!M6)</f>
        <v>5</v>
      </c>
      <c r="L11" s="1141" t="str">
        <f>IF('T07'!N6= 0, "-", 'T07'!N6)</f>
        <v>-</v>
      </c>
      <c r="M11" s="1141">
        <f>IF('T07'!O6= 0, "-", 'T07'!O6)</f>
        <v>3</v>
      </c>
      <c r="W11"/>
    </row>
    <row r="12" spans="1:23" ht="13.5" customHeight="1" x14ac:dyDescent="0.2">
      <c r="A12" s="2" t="s">
        <v>64</v>
      </c>
      <c r="B12" s="1141" t="str">
        <f>IF('T07'!D7= 0, "-", 'T07'!D7)</f>
        <v>-</v>
      </c>
      <c r="C12" s="1141" t="str">
        <f>IF('T07'!E7= 0, "-", 'T07'!E7)</f>
        <v>-</v>
      </c>
      <c r="D12" s="1141" t="str">
        <f>IF('T07'!F7= 0, "-", 'T07'!F7)</f>
        <v>-</v>
      </c>
      <c r="E12" s="1141" t="str">
        <f>IF('T07'!G7= 0, "-", 'T07'!G7)</f>
        <v>-</v>
      </c>
      <c r="F12" s="1141" t="str">
        <f>IF('T07'!H7= 0, "-", 'T07'!H7)</f>
        <v>-</v>
      </c>
      <c r="G12" s="1141" t="str">
        <f>IF('T07'!I7= 0, "-", 'T07'!I7)</f>
        <v>-</v>
      </c>
      <c r="H12" s="1141" t="str">
        <f>IF('T07'!J7= 0, "-", 'T07'!J7)</f>
        <v>-</v>
      </c>
      <c r="I12" s="1141" t="str">
        <f>IF('T07'!K7= 0, "-", 'T07'!K7)</f>
        <v>-</v>
      </c>
      <c r="J12" s="1141" t="str">
        <f>IF('T07'!L7= 0, "-", 'T07'!L7)</f>
        <v>-</v>
      </c>
      <c r="K12" s="1141" t="str">
        <f>IF('T07'!M7= 0, "-", 'T07'!M7)</f>
        <v>-</v>
      </c>
      <c r="L12" s="1141">
        <f>IF('T07'!N7= 0, "-", 'T07'!N7)</f>
        <v>2</v>
      </c>
      <c r="M12" s="1141" t="str">
        <f>IF('T07'!O7= 0, "-", 'T07'!O7)</f>
        <v>-</v>
      </c>
      <c r="W12"/>
    </row>
    <row r="13" spans="1:23" ht="13.5" customHeight="1" x14ac:dyDescent="0.2">
      <c r="A13" s="2" t="s">
        <v>519</v>
      </c>
      <c r="B13" s="1141">
        <f>IF('T07'!D8= 0, "-", 'T07'!D8)</f>
        <v>21</v>
      </c>
      <c r="C13" s="1141">
        <f>IF('T07'!E8= 0, "-", 'T07'!E8)</f>
        <v>16</v>
      </c>
      <c r="D13" s="1141">
        <f>IF('T07'!F8= 0, "-", 'T07'!F8)</f>
        <v>17</v>
      </c>
      <c r="E13" s="1141">
        <f>IF('T07'!G8= 0, "-", 'T07'!G8)</f>
        <v>23</v>
      </c>
      <c r="F13" s="1141">
        <f>IF('T07'!H8= 0, "-", 'T07'!H8)</f>
        <v>18</v>
      </c>
      <c r="G13" s="1141">
        <f>IF('T07'!I8= 0, "-", 'T07'!I8)</f>
        <v>14</v>
      </c>
      <c r="H13" s="1141">
        <f>IF('T07'!J8= 0, "-", 'T07'!J8)</f>
        <v>14</v>
      </c>
      <c r="I13" s="1141">
        <f>IF('T07'!K8= 0, "-", 'T07'!K8)</f>
        <v>24</v>
      </c>
      <c r="J13" s="1141">
        <f>IF('T07'!L8= 0, "-", 'T07'!L8)</f>
        <v>24</v>
      </c>
      <c r="K13" s="1141">
        <f>IF('T07'!M8= 0, "-", 'T07'!M8)</f>
        <v>36</v>
      </c>
      <c r="L13" s="1141">
        <f>IF('T07'!N8= 0, "-", 'T07'!N8)</f>
        <v>31</v>
      </c>
      <c r="M13" s="1141">
        <f>IF('T07'!O8= 0, "-", 'T07'!O8)</f>
        <v>30</v>
      </c>
      <c r="W13"/>
    </row>
    <row r="14" spans="1:23" ht="13.5" customHeight="1" x14ac:dyDescent="0.2">
      <c r="A14" s="2" t="s">
        <v>520</v>
      </c>
      <c r="B14" s="1141">
        <f>IF('T07'!D9= 0, "-", 'T07'!D9)</f>
        <v>19</v>
      </c>
      <c r="C14" s="1141">
        <f>IF('T07'!E9= 0, "-", 'T07'!E9)</f>
        <v>8</v>
      </c>
      <c r="D14" s="1141">
        <f>IF('T07'!F9= 0, "-", 'T07'!F9)</f>
        <v>6</v>
      </c>
      <c r="E14" s="1141">
        <f>IF('T07'!G9= 0, "-", 'T07'!G9)</f>
        <v>8</v>
      </c>
      <c r="F14" s="1141">
        <f>IF('T07'!H9= 0, "-", 'T07'!H9)</f>
        <v>23</v>
      </c>
      <c r="G14" s="1141">
        <f>IF('T07'!I9= 0, "-", 'T07'!I9)</f>
        <v>10</v>
      </c>
      <c r="H14" s="1141">
        <f>IF('T07'!J9= 0, "-", 'T07'!J9)</f>
        <v>7</v>
      </c>
      <c r="I14" s="1141">
        <f>IF('T07'!K9= 0, "-", 'T07'!K9)</f>
        <v>12</v>
      </c>
      <c r="J14" s="1141">
        <f>IF('T07'!L9= 0, "-", 'T07'!L9)</f>
        <v>10</v>
      </c>
      <c r="K14" s="1141">
        <f>IF('T07'!M9= 0, "-", 'T07'!M9)</f>
        <v>9</v>
      </c>
      <c r="L14" s="1141">
        <f>IF('T07'!N9= 0, "-", 'T07'!N9)</f>
        <v>7</v>
      </c>
      <c r="M14" s="1141">
        <f>IF('T07'!O9= 0, "-", 'T07'!O9)</f>
        <v>8</v>
      </c>
      <c r="W14"/>
    </row>
    <row r="15" spans="1:23" ht="13.5" customHeight="1" x14ac:dyDescent="0.2">
      <c r="A15" s="2" t="s">
        <v>65</v>
      </c>
      <c r="B15" s="1141" t="str">
        <f>IF('T07'!D10= 0, "-", 'T07'!D10)</f>
        <v>-</v>
      </c>
      <c r="C15" s="1141" t="str">
        <f>IF('T07'!E10= 0, "-", 'T07'!E10)</f>
        <v>-</v>
      </c>
      <c r="D15" s="1141" t="str">
        <f>IF('T07'!F10= 0, "-", 'T07'!F10)</f>
        <v>-</v>
      </c>
      <c r="E15" s="1141" t="str">
        <f>IF('T07'!G10= 0, "-", 'T07'!G10)</f>
        <v>-</v>
      </c>
      <c r="F15" s="1141" t="str">
        <f>IF('T07'!H10= 0, "-", 'T07'!H10)</f>
        <v>-</v>
      </c>
      <c r="G15" s="1141">
        <f>IF('T07'!I10= 0, "-", 'T07'!I10)</f>
        <v>2</v>
      </c>
      <c r="H15" s="1141" t="str">
        <f>IF('T07'!J10= 0, "-", 'T07'!J10)</f>
        <v>-</v>
      </c>
      <c r="I15" s="1141" t="str">
        <f>IF('T07'!K10= 0, "-", 'T07'!K10)</f>
        <v>-</v>
      </c>
      <c r="J15" s="1141" t="str">
        <f>IF('T07'!L10= 0, "-", 'T07'!L10)</f>
        <v>-</v>
      </c>
      <c r="K15" s="1141" t="str">
        <f>IF('T07'!M10= 0, "-", 'T07'!M10)</f>
        <v>-</v>
      </c>
      <c r="L15" s="1141" t="str">
        <f>IF('T07'!N10= 0, "-", 'T07'!N10)</f>
        <v>-</v>
      </c>
      <c r="M15" s="1141" t="str">
        <f>IF('T07'!O10= 0, "-", 'T07'!O10)</f>
        <v>-</v>
      </c>
      <c r="W15"/>
    </row>
    <row r="16" spans="1:23" ht="13.5" customHeight="1" x14ac:dyDescent="0.2">
      <c r="A16" s="2" t="s">
        <v>66</v>
      </c>
      <c r="B16" s="1141" t="str">
        <f>IF('T07'!D11= 0, "-", 'T07'!D11)</f>
        <v>-</v>
      </c>
      <c r="C16" s="1141" t="str">
        <f>IF('T07'!E11= 0, "-", 'T07'!E11)</f>
        <v>-</v>
      </c>
      <c r="D16" s="1141" t="str">
        <f>IF('T07'!F11= 0, "-", 'T07'!F11)</f>
        <v>-</v>
      </c>
      <c r="E16" s="1141" t="str">
        <f>IF('T07'!G11= 0, "-", 'T07'!G11)</f>
        <v>-</v>
      </c>
      <c r="F16" s="1141" t="str">
        <f>IF('T07'!H11= 0, "-", 'T07'!H11)</f>
        <v>-</v>
      </c>
      <c r="G16" s="1141" t="str">
        <f>IF('T07'!I11= 0, "-", 'T07'!I11)</f>
        <v>-</v>
      </c>
      <c r="H16" s="1141" t="str">
        <f>IF('T07'!J11= 0, "-", 'T07'!J11)</f>
        <v>-</v>
      </c>
      <c r="I16" s="1141" t="str">
        <f>IF('T07'!K11= 0, "-", 'T07'!K11)</f>
        <v>-</v>
      </c>
      <c r="J16" s="1141" t="str">
        <f>IF('T07'!L11= 0, "-", 'T07'!L11)</f>
        <v>-</v>
      </c>
      <c r="K16" s="1141" t="str">
        <f>IF('T07'!M11= 0, "-", 'T07'!M11)</f>
        <v>-</v>
      </c>
      <c r="L16" s="1141" t="str">
        <f>IF('T07'!N11= 0, "-", 'T07'!N11)</f>
        <v>-</v>
      </c>
      <c r="M16" s="1141" t="str">
        <f>IF('T07'!O11= 0, "-", 'T07'!O11)</f>
        <v>-</v>
      </c>
      <c r="W16"/>
    </row>
    <row r="17" spans="1:24" ht="13.5" customHeight="1" x14ac:dyDescent="0.2">
      <c r="A17" s="2" t="s">
        <v>529</v>
      </c>
      <c r="B17" s="1141">
        <f>IF('T07'!D12= 0, "-", 'T07'!D12)</f>
        <v>15</v>
      </c>
      <c r="C17" s="1141">
        <f>IF('T07'!E12= 0, "-", 'T07'!E12)</f>
        <v>15</v>
      </c>
      <c r="D17" s="1141">
        <f>IF('T07'!F12= 0, "-", 'T07'!F12)</f>
        <v>15</v>
      </c>
      <c r="E17" s="1141">
        <f>IF('T07'!G12= 0, "-", 'T07'!G12)</f>
        <v>7</v>
      </c>
      <c r="F17" s="1141">
        <f>IF('T07'!H12= 0, "-", 'T07'!H12)</f>
        <v>7</v>
      </c>
      <c r="G17" s="1141">
        <f>IF('T07'!I12= 0, "-", 'T07'!I12)</f>
        <v>20</v>
      </c>
      <c r="H17" s="1141">
        <f>IF('T07'!J12= 0, "-", 'T07'!J12)</f>
        <v>79</v>
      </c>
      <c r="I17" s="1141">
        <f>IF('T07'!K12= 0, "-", 'T07'!K12)</f>
        <v>130</v>
      </c>
      <c r="J17" s="1141">
        <f>IF('T07'!L12= 0, "-", 'T07'!L12)</f>
        <v>59</v>
      </c>
      <c r="K17" s="1141">
        <f>IF('T07'!M12= 0, "-", 'T07'!M12)</f>
        <v>23</v>
      </c>
      <c r="L17" s="1141">
        <f>IF('T07'!N12= 0, "-", 'T07'!N12)</f>
        <v>28</v>
      </c>
      <c r="M17" s="1141">
        <f>IF('T07'!O12= 0, "-", 'T07'!O12)</f>
        <v>15</v>
      </c>
      <c r="W17"/>
    </row>
    <row r="18" spans="1:24" ht="13.5" customHeight="1" x14ac:dyDescent="0.2">
      <c r="A18" s="2" t="s">
        <v>522</v>
      </c>
      <c r="B18" s="1141">
        <f>IF('T07'!D13= 0, "-", 'T07'!D13)</f>
        <v>19</v>
      </c>
      <c r="C18" s="1141">
        <f>IF('T07'!E13= 0, "-", 'T07'!E13)</f>
        <v>34</v>
      </c>
      <c r="D18" s="1141">
        <f>IF('T07'!F13= 0, "-", 'T07'!F13)</f>
        <v>37</v>
      </c>
      <c r="E18" s="1141">
        <f>IF('T07'!G13= 0, "-", 'T07'!G13)</f>
        <v>22</v>
      </c>
      <c r="F18" s="1141">
        <f>IF('T07'!H13= 0, "-", 'T07'!H13)</f>
        <v>12</v>
      </c>
      <c r="G18" s="1141">
        <f>IF('T07'!I13= 0, "-", 'T07'!I13)</f>
        <v>30</v>
      </c>
      <c r="H18" s="1141">
        <f>IF('T07'!J13= 0, "-", 'T07'!J13)</f>
        <v>33</v>
      </c>
      <c r="I18" s="1141">
        <f>IF('T07'!K13= 0, "-", 'T07'!K13)</f>
        <v>37</v>
      </c>
      <c r="J18" s="1141">
        <f>IF('T07'!L13= 0, "-", 'T07'!L13)</f>
        <v>27</v>
      </c>
      <c r="K18" s="1141">
        <f>IF('T07'!M13= 0, "-", 'T07'!M13)</f>
        <v>33</v>
      </c>
      <c r="L18" s="1141">
        <f>IF('T07'!N13= 0, "-", 'T07'!N13)</f>
        <v>51</v>
      </c>
      <c r="M18" s="1141">
        <f>IF('T07'!O13= 0, "-", 'T07'!O13)</f>
        <v>34</v>
      </c>
      <c r="N18" s="228"/>
      <c r="W18"/>
    </row>
    <row r="19" spans="1:24" ht="13.5" customHeight="1" x14ac:dyDescent="0.2">
      <c r="A19" s="469" t="s">
        <v>523</v>
      </c>
      <c r="B19" s="1141" t="str">
        <f>IF('T07'!D14= 0, "-", 'T07'!D14)</f>
        <v>-</v>
      </c>
      <c r="C19" s="1141" t="str">
        <f>IF('T07'!E14= 0, "-", 'T07'!E14)</f>
        <v>-</v>
      </c>
      <c r="D19" s="1141">
        <f>IF('T07'!F14= 0, "-", 'T07'!F14)</f>
        <v>1</v>
      </c>
      <c r="E19" s="1141">
        <f>IF('T07'!G14= 0, "-", 'T07'!G14)</f>
        <v>1</v>
      </c>
      <c r="F19" s="1141">
        <f>IF('T07'!H14= 0, "-", 'T07'!H14)</f>
        <v>1</v>
      </c>
      <c r="G19" s="1141">
        <f>IF('T07'!I14= 0, "-", 'T07'!I14)</f>
        <v>2</v>
      </c>
      <c r="H19" s="1141">
        <f>IF('T07'!J14= 0, "-", 'T07'!J14)</f>
        <v>7</v>
      </c>
      <c r="I19" s="1141" t="str">
        <f>IF('T07'!K14= 0, "-", 'T07'!K14)</f>
        <v>-</v>
      </c>
      <c r="J19" s="1141">
        <f>IF('T07'!L14= 0, "-", 'T07'!L14)</f>
        <v>1</v>
      </c>
      <c r="K19" s="1141">
        <f>IF('T07'!M14= 0, "-", 'T07'!M14)</f>
        <v>5</v>
      </c>
      <c r="L19" s="1141">
        <f>IF('T07'!N14= 0, "-", 'T07'!N14)</f>
        <v>1</v>
      </c>
      <c r="M19" s="1141">
        <f>IF('T07'!O14= 0, "-", 'T07'!O14)</f>
        <v>1</v>
      </c>
      <c r="W19"/>
    </row>
    <row r="20" spans="1:24" ht="13.5" customHeight="1" x14ac:dyDescent="0.2">
      <c r="A20" s="2" t="s">
        <v>67</v>
      </c>
      <c r="B20" s="1141" t="str">
        <f>IF('T07'!D15= 0, "-", 'T07'!D15)</f>
        <v>-</v>
      </c>
      <c r="C20" s="1141" t="str">
        <f>IF('T07'!E15= 0, "-", 'T07'!E15)</f>
        <v>-</v>
      </c>
      <c r="D20" s="1141" t="str">
        <f>IF('T07'!F15= 0, "-", 'T07'!F15)</f>
        <v>-</v>
      </c>
      <c r="E20" s="1141" t="str">
        <f>IF('T07'!G15= 0, "-", 'T07'!G15)</f>
        <v>-</v>
      </c>
      <c r="F20" s="1141" t="str">
        <f>IF('T07'!H15= 0, "-", 'T07'!H15)</f>
        <v>-</v>
      </c>
      <c r="G20" s="1141" t="str">
        <f>IF('T07'!I15= 0, "-", 'T07'!I15)</f>
        <v>-</v>
      </c>
      <c r="H20" s="1141" t="str">
        <f>IF('T07'!J15= 0, "-", 'T07'!J15)</f>
        <v>-</v>
      </c>
      <c r="I20" s="1141" t="str">
        <f>IF('T07'!K15= 0, "-", 'T07'!K15)</f>
        <v>-</v>
      </c>
      <c r="J20" s="1141" t="str">
        <f>IF('T07'!L15= 0, "-", 'T07'!L15)</f>
        <v>-</v>
      </c>
      <c r="K20" s="1141" t="str">
        <f>IF('T07'!M15= 0, "-", 'T07'!M15)</f>
        <v>-</v>
      </c>
      <c r="L20" s="1141" t="str">
        <f>IF('T07'!N15= 0, "-", 'T07'!N15)</f>
        <v>-</v>
      </c>
      <c r="M20" s="1141" t="str">
        <f>IF('T07'!O15= 0, "-", 'T07'!O15)</f>
        <v>-</v>
      </c>
      <c r="W20"/>
    </row>
    <row r="21" spans="1:24" ht="13.5" customHeight="1" x14ac:dyDescent="0.2">
      <c r="A21" s="2" t="s">
        <v>530</v>
      </c>
      <c r="B21" s="1141" t="str">
        <f>IF('T07'!D16= 0, "-", 'T07'!D16)</f>
        <v>-</v>
      </c>
      <c r="C21" s="1141" t="str">
        <f>IF('T07'!E16= 0, "-", 'T07'!E16)</f>
        <v>-</v>
      </c>
      <c r="D21" s="1141" t="str">
        <f>IF('T07'!F16= 0, "-", 'T07'!F16)</f>
        <v>-</v>
      </c>
      <c r="E21" s="1141" t="str">
        <f>IF('T07'!G16= 0, "-", 'T07'!G16)</f>
        <v>-</v>
      </c>
      <c r="F21" s="1141" t="str">
        <f>IF('T07'!H16= 0, "-", 'T07'!H16)</f>
        <v>-</v>
      </c>
      <c r="G21" s="1141">
        <f>IF('T07'!I16= 0, "-", 'T07'!I16)</f>
        <v>1</v>
      </c>
      <c r="H21" s="1141" t="str">
        <f>IF('T07'!J16= 0, "-", 'T07'!J16)</f>
        <v>-</v>
      </c>
      <c r="I21" s="1141">
        <f>IF('T07'!K16= 0, "-", 'T07'!K16)</f>
        <v>1</v>
      </c>
      <c r="J21" s="1141">
        <f>IF('T07'!L16= 0, "-", 'T07'!L16)</f>
        <v>1</v>
      </c>
      <c r="K21" s="1141" t="str">
        <f>IF('T07'!M16= 0, "-", 'T07'!M16)</f>
        <v>-</v>
      </c>
      <c r="L21" s="1141">
        <f>IF('T07'!N16= 0, "-", 'T07'!N16)</f>
        <v>4</v>
      </c>
      <c r="M21" s="1141">
        <f>IF('T07'!O16= 0, "-", 'T07'!O16)</f>
        <v>1</v>
      </c>
      <c r="W21"/>
    </row>
    <row r="22" spans="1:24" ht="13.5" customHeight="1" x14ac:dyDescent="0.2">
      <c r="A22" s="2" t="s">
        <v>525</v>
      </c>
      <c r="B22" s="1141" t="str">
        <f>IF('T07'!D17= 0, "-", 'T07'!D17)</f>
        <v>-</v>
      </c>
      <c r="C22" s="1141" t="str">
        <f>IF('T07'!E17= 0, "-", 'T07'!E17)</f>
        <v>-</v>
      </c>
      <c r="D22" s="1141" t="str">
        <f>IF('T07'!F17= 0, "-", 'T07'!F17)</f>
        <v>-</v>
      </c>
      <c r="E22" s="1141" t="str">
        <f>IF('T07'!G17= 0, "-", 'T07'!G17)</f>
        <v>-</v>
      </c>
      <c r="F22" s="1141" t="str">
        <f>IF('T07'!H17= 0, "-", 'T07'!H17)</f>
        <v>-</v>
      </c>
      <c r="G22" s="1141" t="str">
        <f>IF('T07'!I17= 0, "-", 'T07'!I17)</f>
        <v>-</v>
      </c>
      <c r="H22" s="1141" t="str">
        <f>IF('T07'!J17= 0, "-", 'T07'!J17)</f>
        <v>-</v>
      </c>
      <c r="I22" s="1141" t="str">
        <f>IF('T07'!K17= 0, "-", 'T07'!K17)</f>
        <v>-</v>
      </c>
      <c r="J22" s="1141" t="str">
        <f>IF('T07'!L17= 0, "-", 'T07'!L17)</f>
        <v>-</v>
      </c>
      <c r="K22" s="1141" t="str">
        <f>IF('T07'!M17= 0, "-", 'T07'!M17)</f>
        <v>-</v>
      </c>
      <c r="L22" s="1141" t="str">
        <f>IF('T07'!N17= 0, "-", 'T07'!N17)</f>
        <v>-</v>
      </c>
      <c r="M22" s="1141" t="str">
        <f>IF('T07'!O17= 0, "-", 'T07'!O17)</f>
        <v>-</v>
      </c>
      <c r="W22"/>
    </row>
    <row r="23" spans="1:24" ht="13.5" customHeight="1" x14ac:dyDescent="0.2">
      <c r="A23" s="29" t="s">
        <v>516</v>
      </c>
      <c r="B23" s="1141">
        <f>IF('T07'!D18= 0, "-", 'T07'!D18)</f>
        <v>10</v>
      </c>
      <c r="C23" s="1141">
        <f>IF('T07'!E18= 0, "-", 'T07'!E18)</f>
        <v>6</v>
      </c>
      <c r="D23" s="1141">
        <f>IF('T07'!F18= 0, "-", 'T07'!F18)</f>
        <v>5</v>
      </c>
      <c r="E23" s="1141">
        <f>IF('T07'!G18= 0, "-", 'T07'!G18)</f>
        <v>5</v>
      </c>
      <c r="F23" s="1141">
        <f>IF('T07'!H18= 0, "-", 'T07'!H18)</f>
        <v>18</v>
      </c>
      <c r="G23" s="1141">
        <f>IF('T07'!I18= 0, "-", 'T07'!I18)</f>
        <v>33</v>
      </c>
      <c r="H23" s="1141">
        <f>IF('T07'!J18= 0, "-", 'T07'!J18)</f>
        <v>76</v>
      </c>
      <c r="I23" s="1141">
        <f>IF('T07'!K18= 0, "-", 'T07'!K18)</f>
        <v>115</v>
      </c>
      <c r="J23" s="1141">
        <f>IF('T07'!L18= 0, "-", 'T07'!L18)</f>
        <v>128</v>
      </c>
      <c r="K23" s="1141">
        <f>IF('T07'!M18= 0, "-", 'T07'!M18)</f>
        <v>133</v>
      </c>
      <c r="L23" s="1141">
        <f>IF('T07'!N18= 0, "-", 'T07'!N18)</f>
        <v>150</v>
      </c>
      <c r="M23" s="1141">
        <f>IF('T07'!O18= 0, "-", 'T07'!O18)</f>
        <v>125</v>
      </c>
    </row>
    <row r="24" spans="1:24" ht="13.5" customHeight="1" x14ac:dyDescent="0.2">
      <c r="A24" s="2" t="s">
        <v>68</v>
      </c>
      <c r="B24" s="1141">
        <f>IF('T07'!D19= 0, "-", 'T07'!D19)</f>
        <v>2</v>
      </c>
      <c r="C24" s="1141">
        <f>IF('T07'!E19= 0, "-", 'T07'!E19)</f>
        <v>4</v>
      </c>
      <c r="D24" s="1141">
        <f>IF('T07'!F19= 0, "-", 'T07'!F19)</f>
        <v>4</v>
      </c>
      <c r="E24" s="1141">
        <f>IF('T07'!G19= 0, "-", 'T07'!G19)</f>
        <v>4</v>
      </c>
      <c r="F24" s="1141">
        <f>IF('T07'!H19= 0, "-", 'T07'!H19)</f>
        <v>6</v>
      </c>
      <c r="G24" s="1141">
        <f>IF('T07'!I19= 0, "-", 'T07'!I19)</f>
        <v>6</v>
      </c>
      <c r="H24" s="1141">
        <f>IF('T07'!J19= 0, "-", 'T07'!J19)</f>
        <v>2</v>
      </c>
      <c r="I24" s="1141" t="str">
        <f>IF('T07'!K19= 0, "-", 'T07'!K19)</f>
        <v>-</v>
      </c>
      <c r="J24" s="1141">
        <f>IF('T07'!L19= 0, "-", 'T07'!L19)</f>
        <v>1</v>
      </c>
      <c r="K24" s="1141">
        <f>IF('T07'!M19= 0, "-", 'T07'!M19)</f>
        <v>2</v>
      </c>
      <c r="L24" s="1141" t="str">
        <f>IF('T07'!N19= 0, "-", 'T07'!N19)</f>
        <v>-</v>
      </c>
      <c r="M24" s="1141">
        <f>IF('T07'!O19= 0, "-", 'T07'!O19)</f>
        <v>2</v>
      </c>
    </row>
    <row r="25" spans="1:24" ht="13.5" customHeight="1" x14ac:dyDescent="0.2">
      <c r="A25" s="2" t="s">
        <v>526</v>
      </c>
      <c r="B25" s="1141">
        <f>IF('T07'!D20= 0, "-", 'T07'!D20)</f>
        <v>2</v>
      </c>
      <c r="C25" s="1141">
        <f>IF('T07'!E20= 0, "-", 'T07'!E20)</f>
        <v>4</v>
      </c>
      <c r="D25" s="1141">
        <f>IF('T07'!F20= 0, "-", 'T07'!F20)</f>
        <v>2</v>
      </c>
      <c r="E25" s="1141">
        <f>IF('T07'!G20= 0, "-", 'T07'!G20)</f>
        <v>3</v>
      </c>
      <c r="F25" s="1141">
        <f>IF('T07'!H20= 0, "-", 'T07'!H20)</f>
        <v>1</v>
      </c>
      <c r="G25" s="1141">
        <f>IF('T07'!I20= 0, "-", 'T07'!I20)</f>
        <v>7</v>
      </c>
      <c r="H25" s="1141">
        <f>IF('T07'!J20= 0, "-", 'T07'!J20)</f>
        <v>10</v>
      </c>
      <c r="I25" s="1141">
        <f>IF('T07'!K20= 0, "-", 'T07'!K20)</f>
        <v>8</v>
      </c>
      <c r="J25" s="1141">
        <f>IF('T07'!L20= 0, "-", 'T07'!L20)</f>
        <v>6</v>
      </c>
      <c r="K25" s="1141">
        <f>IF('T07'!M20= 0, "-", 'T07'!M20)</f>
        <v>8</v>
      </c>
      <c r="L25" s="1141">
        <f>IF('T07'!N20= 0, "-", 'T07'!N20)</f>
        <v>8</v>
      </c>
      <c r="M25" s="1141">
        <f>IF('T07'!O20= 0, "-", 'T07'!O20)</f>
        <v>2</v>
      </c>
    </row>
    <row r="26" spans="1:24" ht="13.5" customHeight="1" x14ac:dyDescent="0.2">
      <c r="A26" s="2" t="s">
        <v>527</v>
      </c>
      <c r="B26" s="1141" t="str">
        <f>IF('T07'!D21= 0, "-", 'T07'!D21)</f>
        <v>-</v>
      </c>
      <c r="C26" s="1141" t="str">
        <f>IF('T07'!E21= 0, "-", 'T07'!E21)</f>
        <v>-</v>
      </c>
      <c r="D26" s="1141" t="str">
        <f>IF('T07'!F21= 0, "-", 'T07'!F21)</f>
        <v>-</v>
      </c>
      <c r="E26" s="1141" t="str">
        <f>IF('T07'!G21= 0, "-", 'T07'!G21)</f>
        <v>-</v>
      </c>
      <c r="F26" s="1141" t="str">
        <f>IF('T07'!H21= 0, "-", 'T07'!H21)</f>
        <v>-</v>
      </c>
      <c r="G26" s="1141" t="str">
        <f>IF('T07'!I21= 0, "-", 'T07'!I21)</f>
        <v>-</v>
      </c>
      <c r="H26" s="1141" t="str">
        <f>IF('T07'!J21= 0, "-", 'T07'!J21)</f>
        <v>-</v>
      </c>
      <c r="I26" s="1141" t="str">
        <f>IF('T07'!K21= 0, "-", 'T07'!K21)</f>
        <v>-</v>
      </c>
      <c r="J26" s="1141" t="str">
        <f>IF('T07'!L21= 0, "-", 'T07'!L21)</f>
        <v>-</v>
      </c>
      <c r="K26" s="1141" t="str">
        <f>IF('T07'!M21= 0, "-", 'T07'!M21)</f>
        <v>-</v>
      </c>
      <c r="L26" s="1141" t="str">
        <f>IF('T07'!N21= 0, "-", 'T07'!N21)</f>
        <v>-</v>
      </c>
      <c r="M26" s="1141" t="str">
        <f>IF('T07'!O21= 0, "-", 'T07'!O21)</f>
        <v>-</v>
      </c>
    </row>
    <row r="27" spans="1:24" ht="13.5" customHeight="1" x14ac:dyDescent="0.2">
      <c r="A27" s="2" t="s">
        <v>69</v>
      </c>
      <c r="B27" s="1141" t="str">
        <f>IF('T07'!D22= 0, "-", 'T07'!D22)</f>
        <v>-</v>
      </c>
      <c r="C27" s="1141" t="str">
        <f>IF('T07'!E22= 0, "-", 'T07'!E22)</f>
        <v>-</v>
      </c>
      <c r="D27" s="1141" t="str">
        <f>IF('T07'!F22= 0, "-", 'T07'!F22)</f>
        <v>-</v>
      </c>
      <c r="E27" s="1141" t="str">
        <f>IF('T07'!G22= 0, "-", 'T07'!G22)</f>
        <v>-</v>
      </c>
      <c r="F27" s="1141" t="str">
        <f>IF('T07'!H22= 0, "-", 'T07'!H22)</f>
        <v>-</v>
      </c>
      <c r="G27" s="1141">
        <f>IF('T07'!I22= 0, "-", 'T07'!I22)</f>
        <v>1</v>
      </c>
      <c r="H27" s="1141">
        <f>IF('T07'!J22= 0, "-", 'T07'!J22)</f>
        <v>1</v>
      </c>
      <c r="I27" s="1141">
        <f>IF('T07'!K22= 0, "-", 'T07'!K22)</f>
        <v>1</v>
      </c>
      <c r="J27" s="1141" t="str">
        <f>IF('T07'!L22= 0, "-", 'T07'!L22)</f>
        <v>-</v>
      </c>
      <c r="K27" s="1141" t="str">
        <f>IF('T07'!M22= 0, "-", 'T07'!M22)</f>
        <v>-</v>
      </c>
      <c r="L27" s="1141" t="str">
        <f>IF('T07'!N22= 0, "-", 'T07'!N22)</f>
        <v>-</v>
      </c>
      <c r="M27" s="1141" t="str">
        <f>IF('T07'!O22= 0, "-", 'T07'!O22)</f>
        <v>-</v>
      </c>
    </row>
    <row r="28" spans="1:24" ht="13.5" customHeight="1" x14ac:dyDescent="0.2">
      <c r="A28" s="2" t="s">
        <v>528</v>
      </c>
      <c r="B28" s="1141">
        <f>IF('T07'!D23= 0, "-", 'T07'!D23)</f>
        <v>36</v>
      </c>
      <c r="C28" s="1141">
        <f>IF('T07'!E23= 0, "-", 'T07'!E23)</f>
        <v>28</v>
      </c>
      <c r="D28" s="1141">
        <f>IF('T07'!F23= 0, "-", 'T07'!F23)</f>
        <v>27</v>
      </c>
      <c r="E28" s="1141">
        <f>IF('T07'!G23= 0, "-", 'T07'!G23)</f>
        <v>24</v>
      </c>
      <c r="F28" s="1141">
        <f>IF('T07'!H23= 0, "-", 'T07'!H23)</f>
        <v>29</v>
      </c>
      <c r="G28" s="1141">
        <f>IF('T07'!I23= 0, "-", 'T07'!I23)</f>
        <v>43</v>
      </c>
      <c r="H28" s="1141">
        <f>IF('T07'!J23= 0, "-", 'T07'!J23)</f>
        <v>76</v>
      </c>
      <c r="I28" s="1141">
        <f>IF('T07'!K23= 0, "-", 'T07'!K23)</f>
        <v>76</v>
      </c>
      <c r="J28" s="1141">
        <f>IF('T07'!L23= 0, "-", 'T07'!L23)</f>
        <v>72</v>
      </c>
      <c r="K28" s="1141">
        <f>IF('T07'!M23= 0, "-", 'T07'!M23)</f>
        <v>54</v>
      </c>
      <c r="L28" s="1141">
        <f>IF('T07'!N23= 0, "-", 'T07'!N23)</f>
        <v>74</v>
      </c>
      <c r="M28" s="1141">
        <f>IF('T07'!O23= 0, "-", 'T07'!O23)</f>
        <v>42</v>
      </c>
    </row>
    <row r="29" spans="1:24" ht="13.5" customHeight="1" x14ac:dyDescent="0.2">
      <c r="A29" s="2" t="s">
        <v>70</v>
      </c>
      <c r="B29" s="1141" t="str">
        <f>IF('T07'!D24= 0, "-", 'T07'!D24)</f>
        <v>-</v>
      </c>
      <c r="C29" s="1141" t="str">
        <f>IF('T07'!E24= 0, "-", 'T07'!E24)</f>
        <v>-</v>
      </c>
      <c r="D29" s="1141" t="str">
        <f>IF('T07'!F24= 0, "-", 'T07'!F24)</f>
        <v>-</v>
      </c>
      <c r="E29" s="1141" t="str">
        <f>IF('T07'!G24= 0, "-", 'T07'!G24)</f>
        <v>-</v>
      </c>
      <c r="F29" s="1141" t="str">
        <f>IF('T07'!H24= 0, "-", 'T07'!H24)</f>
        <v>-</v>
      </c>
      <c r="G29" s="1141" t="str">
        <f>IF('T07'!I24= 0, "-", 'T07'!I24)</f>
        <v>-</v>
      </c>
      <c r="H29" s="1141" t="str">
        <f>IF('T07'!J24= 0, "-", 'T07'!J24)</f>
        <v>-</v>
      </c>
      <c r="I29" s="1141">
        <f>IF('T07'!K24= 0, "-", 'T07'!K24)</f>
        <v>2</v>
      </c>
      <c r="J29" s="1141" t="str">
        <f>IF('T07'!L24= 0, "-", 'T07'!L24)</f>
        <v>-</v>
      </c>
      <c r="K29" s="1141" t="str">
        <f>IF('T07'!M24= 0, "-", 'T07'!M24)</f>
        <v>-</v>
      </c>
      <c r="L29" s="1141" t="str">
        <f>IF('T07'!N24= 0, "-", 'T07'!N24)</f>
        <v>-</v>
      </c>
      <c r="M29" s="1141" t="str">
        <f>IF('T07'!O24= 0, "-", 'T07'!O24)</f>
        <v>-</v>
      </c>
    </row>
    <row r="30" spans="1:24" ht="13.5" customHeight="1" x14ac:dyDescent="0.2">
      <c r="C30" s="8"/>
      <c r="D30" s="8"/>
      <c r="E30" s="8"/>
      <c r="F30" s="8"/>
      <c r="G30" s="8"/>
      <c r="H30" s="8"/>
      <c r="I30" s="8"/>
      <c r="J30" s="8"/>
      <c r="K30" s="8"/>
      <c r="L30" s="8"/>
    </row>
    <row r="31" spans="1:24" ht="30" customHeight="1" thickBot="1" x14ac:dyDescent="0.25">
      <c r="A31" s="479" t="s">
        <v>11</v>
      </c>
      <c r="B31" s="480">
        <f>SUM(B10:B30)</f>
        <v>244</v>
      </c>
      <c r="C31" s="480">
        <f>SUM(C10:C30)</f>
        <v>240</v>
      </c>
      <c r="D31" s="480">
        <f t="shared" ref="D31:K31" si="0">SUM(D10:D30)</f>
        <v>215</v>
      </c>
      <c r="E31" s="480">
        <f t="shared" si="0"/>
        <v>194</v>
      </c>
      <c r="F31" s="480">
        <f t="shared" si="0"/>
        <v>226</v>
      </c>
      <c r="G31" s="480">
        <f t="shared" si="0"/>
        <v>276</v>
      </c>
      <c r="H31" s="480">
        <f t="shared" si="0"/>
        <v>411</v>
      </c>
      <c r="I31" s="480">
        <f t="shared" si="0"/>
        <v>505</v>
      </c>
      <c r="J31" s="480">
        <f t="shared" si="0"/>
        <v>413</v>
      </c>
      <c r="K31" s="480">
        <f t="shared" si="0"/>
        <v>391</v>
      </c>
      <c r="L31" s="480">
        <f t="shared" ref="L31:M31" si="1">SUM(L10:L30)</f>
        <v>438</v>
      </c>
      <c r="M31" s="480">
        <f t="shared" si="1"/>
        <v>323</v>
      </c>
      <c r="W31" s="68"/>
      <c r="X31" s="26"/>
    </row>
    <row r="34" spans="1:22" x14ac:dyDescent="0.2">
      <c r="A34" s="2"/>
      <c r="B34" s="1304" t="s">
        <v>73</v>
      </c>
      <c r="C34" s="1305"/>
      <c r="D34" s="1305"/>
      <c r="E34" s="1305"/>
      <c r="F34" s="1305"/>
      <c r="G34" s="1305"/>
      <c r="H34" s="1305"/>
      <c r="I34" s="1305"/>
      <c r="J34" s="1305"/>
      <c r="K34" s="1305"/>
      <c r="L34" s="1305"/>
      <c r="M34" s="1306"/>
      <c r="N34" s="4"/>
      <c r="O34" s="4"/>
      <c r="P34" s="4"/>
      <c r="Q34" s="4"/>
      <c r="R34" s="4"/>
      <c r="S34" s="4"/>
      <c r="T34" s="4"/>
      <c r="U34" s="4"/>
      <c r="V34" s="4"/>
    </row>
    <row r="35" spans="1:22" x14ac:dyDescent="0.2">
      <c r="A35" s="153" t="s">
        <v>258</v>
      </c>
      <c r="B35" s="1085" t="s">
        <v>19</v>
      </c>
      <c r="C35" s="1082" t="s">
        <v>20</v>
      </c>
      <c r="D35" s="1082" t="s">
        <v>13</v>
      </c>
      <c r="E35" s="1082" t="s">
        <v>15</v>
      </c>
      <c r="F35" s="1082" t="s">
        <v>17</v>
      </c>
      <c r="G35" s="1082" t="s">
        <v>133</v>
      </c>
      <c r="H35" s="1082" t="s">
        <v>144</v>
      </c>
      <c r="I35" s="1082" t="s">
        <v>282</v>
      </c>
      <c r="J35" s="1079" t="s">
        <v>311</v>
      </c>
      <c r="K35" s="1079" t="s">
        <v>621</v>
      </c>
      <c r="L35" s="1079" t="s">
        <v>1419</v>
      </c>
      <c r="M35" s="1079" t="s">
        <v>1572</v>
      </c>
    </row>
    <row r="36" spans="1:22" x14ac:dyDescent="0.2">
      <c r="A36" s="446" t="s">
        <v>71</v>
      </c>
      <c r="B36" s="228">
        <f>'T07'!R5</f>
        <v>2204</v>
      </c>
      <c r="C36" s="228">
        <f>'T07'!S5</f>
        <v>1880</v>
      </c>
      <c r="D36" s="228">
        <f>'T07'!T5</f>
        <v>1772</v>
      </c>
      <c r="E36" s="228">
        <f>'T07'!U5</f>
        <v>1796</v>
      </c>
      <c r="F36" s="228">
        <f>'T07'!V5</f>
        <v>1881</v>
      </c>
      <c r="G36" s="228">
        <f>'T07'!W5</f>
        <v>1846</v>
      </c>
      <c r="H36" s="228">
        <f>'T07'!X5</f>
        <v>2046</v>
      </c>
      <c r="I36" s="228">
        <f>'T07'!Y5</f>
        <v>2059</v>
      </c>
      <c r="J36" s="228">
        <f>'T07'!Z5</f>
        <v>2063</v>
      </c>
      <c r="K36" s="228">
        <f>'T07'!AA5</f>
        <v>1814</v>
      </c>
      <c r="L36" s="228">
        <f>'T07'!AB5</f>
        <v>1642</v>
      </c>
      <c r="M36" s="228">
        <f>'T07'!AC5</f>
        <v>895</v>
      </c>
    </row>
    <row r="37" spans="1:22" x14ac:dyDescent="0.2">
      <c r="A37" s="2" t="s">
        <v>518</v>
      </c>
      <c r="B37" s="228">
        <f>'T07'!R6</f>
        <v>28</v>
      </c>
      <c r="C37" s="228">
        <f>'T07'!S6</f>
        <v>29</v>
      </c>
      <c r="D37" s="228">
        <f>'T07'!T6</f>
        <v>27</v>
      </c>
      <c r="E37" s="228">
        <f>'T07'!U6</f>
        <v>16</v>
      </c>
      <c r="F37" s="228">
        <f>'T07'!V6</f>
        <v>19</v>
      </c>
      <c r="G37" s="228">
        <f>'T07'!W6</f>
        <v>22</v>
      </c>
      <c r="H37" s="228">
        <f>'T07'!X6</f>
        <v>21</v>
      </c>
      <c r="I37" s="228">
        <f>'T07'!Y6</f>
        <v>22</v>
      </c>
      <c r="J37" s="228">
        <f>'T07'!Z6</f>
        <v>10</v>
      </c>
      <c r="K37" s="228">
        <f>'T07'!AA6</f>
        <v>16</v>
      </c>
      <c r="L37" s="228">
        <f>'T07'!AB6</f>
        <v>16</v>
      </c>
      <c r="M37" s="228">
        <f>'T07'!AC6</f>
        <v>19</v>
      </c>
    </row>
    <row r="38" spans="1:22" x14ac:dyDescent="0.2">
      <c r="A38" s="2" t="s">
        <v>64</v>
      </c>
      <c r="B38" s="228">
        <f>'T07'!R7</f>
        <v>2</v>
      </c>
      <c r="C38" s="228">
        <f>'T07'!S7</f>
        <v>3</v>
      </c>
      <c r="D38" s="228">
        <f>'T07'!T7</f>
        <v>3</v>
      </c>
      <c r="E38" s="228">
        <f>'T07'!U7</f>
        <v>2</v>
      </c>
      <c r="F38" s="228">
        <f>'T07'!V7</f>
        <v>6</v>
      </c>
      <c r="G38" s="228">
        <f>'T07'!W7</f>
        <v>6</v>
      </c>
      <c r="H38" s="228">
        <f>'T07'!X7</f>
        <v>5</v>
      </c>
      <c r="I38" s="228">
        <f>'T07'!Y7</f>
        <v>2</v>
      </c>
      <c r="J38" s="228">
        <f>'T07'!Z7</f>
        <v>6</v>
      </c>
      <c r="K38" s="228">
        <f>'T07'!AA7</f>
        <v>4</v>
      </c>
      <c r="L38" s="228">
        <f>'T07'!AB7</f>
        <v>4</v>
      </c>
      <c r="M38" s="228">
        <f>'T07'!AC7</f>
        <v>2</v>
      </c>
    </row>
    <row r="39" spans="1:22" x14ac:dyDescent="0.2">
      <c r="A39" s="2" t="s">
        <v>519</v>
      </c>
      <c r="B39" s="228">
        <f>'T07'!R8</f>
        <v>53</v>
      </c>
      <c r="C39" s="228">
        <f>'T07'!S8</f>
        <v>33</v>
      </c>
      <c r="D39" s="228">
        <f>'T07'!T8</f>
        <v>31</v>
      </c>
      <c r="E39" s="228">
        <f>'T07'!U8</f>
        <v>41</v>
      </c>
      <c r="F39" s="228">
        <f>'T07'!V8</f>
        <v>45</v>
      </c>
      <c r="G39" s="228">
        <f>'T07'!W8</f>
        <v>34</v>
      </c>
      <c r="H39" s="228">
        <f>'T07'!X8</f>
        <v>54</v>
      </c>
      <c r="I39" s="228">
        <f>'T07'!Y8</f>
        <v>46</v>
      </c>
      <c r="J39" s="228">
        <f>'T07'!Z8</f>
        <v>58</v>
      </c>
      <c r="K39" s="228">
        <f>'T07'!AA8</f>
        <v>54</v>
      </c>
      <c r="L39" s="228">
        <f>'T07'!AB8</f>
        <v>52</v>
      </c>
      <c r="M39" s="228">
        <f>'T07'!AC8</f>
        <v>39</v>
      </c>
    </row>
    <row r="40" spans="1:22" x14ac:dyDescent="0.2">
      <c r="A40" s="2" t="s">
        <v>520</v>
      </c>
      <c r="B40" s="228">
        <f>'T07'!R9</f>
        <v>141</v>
      </c>
      <c r="C40" s="228">
        <f>'T07'!S9</f>
        <v>141</v>
      </c>
      <c r="D40" s="228">
        <f>'T07'!T9</f>
        <v>150</v>
      </c>
      <c r="E40" s="228">
        <f>'T07'!U9</f>
        <v>142</v>
      </c>
      <c r="F40" s="228">
        <f>'T07'!V9</f>
        <v>119</v>
      </c>
      <c r="G40" s="228">
        <f>'T07'!W9</f>
        <v>129</v>
      </c>
      <c r="H40" s="228">
        <f>'T07'!X9</f>
        <v>129</v>
      </c>
      <c r="I40" s="228">
        <f>'T07'!Y9</f>
        <v>124</v>
      </c>
      <c r="J40" s="228">
        <f>'T07'!Z9</f>
        <v>150</v>
      </c>
      <c r="K40" s="228">
        <f>'T07'!AA9</f>
        <v>126</v>
      </c>
      <c r="L40" s="228">
        <f>'T07'!AB9</f>
        <v>125</v>
      </c>
      <c r="M40" s="228">
        <f>'T07'!AC9</f>
        <v>99</v>
      </c>
    </row>
    <row r="41" spans="1:22" x14ac:dyDescent="0.2">
      <c r="A41" s="2" t="s">
        <v>65</v>
      </c>
      <c r="B41" s="228">
        <f>'T07'!R10</f>
        <v>4</v>
      </c>
      <c r="C41" s="228">
        <f>'T07'!S10</f>
        <v>7</v>
      </c>
      <c r="D41" s="228">
        <f>'T07'!T10</f>
        <v>6</v>
      </c>
      <c r="E41" s="228">
        <f>'T07'!U10</f>
        <v>14</v>
      </c>
      <c r="F41" s="228">
        <f>'T07'!V10</f>
        <v>22</v>
      </c>
      <c r="G41" s="228">
        <f>'T07'!W10</f>
        <v>7</v>
      </c>
      <c r="H41" s="228">
        <f>'T07'!X10</f>
        <v>12</v>
      </c>
      <c r="I41" s="228">
        <f>'T07'!Y10</f>
        <v>30</v>
      </c>
      <c r="J41" s="228">
        <f>'T07'!Z10</f>
        <v>56</v>
      </c>
      <c r="K41" s="228">
        <f>'T07'!AA10</f>
        <v>21</v>
      </c>
      <c r="L41" s="228">
        <f>'T07'!AB10</f>
        <v>8</v>
      </c>
      <c r="M41" s="228">
        <f>'T07'!AC10</f>
        <v>12</v>
      </c>
    </row>
    <row r="42" spans="1:22" x14ac:dyDescent="0.2">
      <c r="A42" s="2" t="s">
        <v>66</v>
      </c>
      <c r="B42" s="228">
        <f>'T07'!R11</f>
        <v>7</v>
      </c>
      <c r="C42" s="228">
        <f>'T07'!S11</f>
        <v>8</v>
      </c>
      <c r="D42" s="228">
        <f>'T07'!T11</f>
        <v>13</v>
      </c>
      <c r="E42" s="228">
        <f>'T07'!U11</f>
        <v>7</v>
      </c>
      <c r="F42" s="228">
        <f>'T07'!V11</f>
        <v>10</v>
      </c>
      <c r="G42" s="228">
        <f>'T07'!W11</f>
        <v>7</v>
      </c>
      <c r="H42" s="228">
        <f>'T07'!X11</f>
        <v>9</v>
      </c>
      <c r="I42" s="228">
        <f>'T07'!Y11</f>
        <v>5</v>
      </c>
      <c r="J42" s="228">
        <f>'T07'!Z11</f>
        <v>10</v>
      </c>
      <c r="K42" s="228">
        <f>'T07'!AA11</f>
        <v>13</v>
      </c>
      <c r="L42" s="228">
        <f>'T07'!AB11</f>
        <v>7</v>
      </c>
      <c r="M42" s="228">
        <f>'T07'!AC11</f>
        <v>1</v>
      </c>
    </row>
    <row r="43" spans="1:22" x14ac:dyDescent="0.2">
      <c r="A43" s="2" t="s">
        <v>529</v>
      </c>
      <c r="B43" s="228">
        <f>'T07'!R12</f>
        <v>200</v>
      </c>
      <c r="C43" s="228">
        <f>'T07'!S12</f>
        <v>220</v>
      </c>
      <c r="D43" s="228">
        <f>'T07'!T12</f>
        <v>183</v>
      </c>
      <c r="E43" s="228">
        <f>'T07'!U12</f>
        <v>144</v>
      </c>
      <c r="F43" s="228">
        <f>'T07'!V12</f>
        <v>158</v>
      </c>
      <c r="G43" s="228">
        <f>'T07'!W12</f>
        <v>182</v>
      </c>
      <c r="H43" s="228">
        <f>'T07'!X12</f>
        <v>264</v>
      </c>
      <c r="I43" s="228">
        <f>'T07'!Y12</f>
        <v>270</v>
      </c>
      <c r="J43" s="228">
        <f>'T07'!Z12</f>
        <v>279</v>
      </c>
      <c r="K43" s="228">
        <f>'T07'!AA12</f>
        <v>274</v>
      </c>
      <c r="L43" s="228">
        <f>'T07'!AB12</f>
        <v>284</v>
      </c>
      <c r="M43" s="228">
        <f>'T07'!AC12</f>
        <v>121</v>
      </c>
    </row>
    <row r="44" spans="1:22" x14ac:dyDescent="0.2">
      <c r="A44" s="2" t="s">
        <v>522</v>
      </c>
      <c r="B44" s="228">
        <f>'T07'!R13</f>
        <v>20</v>
      </c>
      <c r="C44" s="228">
        <f>'T07'!S13</f>
        <v>13</v>
      </c>
      <c r="D44" s="228">
        <f>'T07'!T13</f>
        <v>18</v>
      </c>
      <c r="E44" s="228">
        <f>'T07'!U13</f>
        <v>11</v>
      </c>
      <c r="F44" s="228">
        <f>'T07'!V13</f>
        <v>13</v>
      </c>
      <c r="G44" s="228">
        <f>'T07'!W13</f>
        <v>19</v>
      </c>
      <c r="H44" s="228">
        <f>'T07'!X13</f>
        <v>20</v>
      </c>
      <c r="I44" s="228">
        <f>'T07'!Y13</f>
        <v>37</v>
      </c>
      <c r="J44" s="228">
        <f>'T07'!Z13</f>
        <v>33</v>
      </c>
      <c r="K44" s="228">
        <f>'T07'!AA13</f>
        <v>44</v>
      </c>
      <c r="L44" s="228">
        <f>'T07'!AB13</f>
        <v>27</v>
      </c>
      <c r="M44" s="228">
        <f>'T07'!AC13</f>
        <v>17</v>
      </c>
    </row>
    <row r="45" spans="1:22" x14ac:dyDescent="0.2">
      <c r="A45" s="469" t="s">
        <v>523</v>
      </c>
      <c r="B45" s="228">
        <f>'T07'!R14</f>
        <v>23</v>
      </c>
      <c r="C45" s="228">
        <f>'T07'!S14</f>
        <v>28</v>
      </c>
      <c r="D45" s="228">
        <f>'T07'!T14</f>
        <v>68</v>
      </c>
      <c r="E45" s="228">
        <f>'T07'!U14</f>
        <v>35</v>
      </c>
      <c r="F45" s="228">
        <f>'T07'!V14</f>
        <v>44</v>
      </c>
      <c r="G45" s="228">
        <f>'T07'!W14</f>
        <v>32</v>
      </c>
      <c r="H45" s="228">
        <f>'T07'!X14</f>
        <v>23</v>
      </c>
      <c r="I45" s="228">
        <f>'T07'!Y14</f>
        <v>37</v>
      </c>
      <c r="J45" s="228">
        <f>'T07'!Z14</f>
        <v>53</v>
      </c>
      <c r="K45" s="228">
        <f>'T07'!AA14</f>
        <v>96</v>
      </c>
      <c r="L45" s="228">
        <f>'T07'!AB14</f>
        <v>53</v>
      </c>
      <c r="M45" s="228">
        <f>'T07'!AC14</f>
        <v>19</v>
      </c>
    </row>
    <row r="46" spans="1:22" x14ac:dyDescent="0.2">
      <c r="A46" s="2" t="s">
        <v>67</v>
      </c>
      <c r="B46" s="228">
        <f>'T07'!R15</f>
        <v>4</v>
      </c>
      <c r="C46" s="228">
        <f>'T07'!S15</f>
        <v>8</v>
      </c>
      <c r="D46" s="228">
        <f>'T07'!T15</f>
        <v>3</v>
      </c>
      <c r="E46" s="228">
        <f>'T07'!U15</f>
        <v>8</v>
      </c>
      <c r="F46" s="228">
        <f>'T07'!V15</f>
        <v>4</v>
      </c>
      <c r="G46" s="228">
        <f>'T07'!W15</f>
        <v>1</v>
      </c>
      <c r="H46" s="228">
        <f>'T07'!X15</f>
        <v>5</v>
      </c>
      <c r="I46" s="228">
        <f>'T07'!Y15</f>
        <v>4</v>
      </c>
      <c r="J46" s="228">
        <f>'T07'!Z15</f>
        <v>5</v>
      </c>
      <c r="K46" s="228">
        <f>'T07'!AA15</f>
        <v>7</v>
      </c>
      <c r="L46" s="228">
        <f>'T07'!AB15</f>
        <v>10</v>
      </c>
      <c r="M46" s="228">
        <f>'T07'!AC15</f>
        <v>2</v>
      </c>
    </row>
    <row r="47" spans="1:22" x14ac:dyDescent="0.2">
      <c r="A47" s="2" t="s">
        <v>530</v>
      </c>
      <c r="B47" s="228">
        <f>'T07'!R16</f>
        <v>26</v>
      </c>
      <c r="C47" s="228">
        <f>'T07'!S16</f>
        <v>22</v>
      </c>
      <c r="D47" s="228">
        <f>'T07'!T16</f>
        <v>19</v>
      </c>
      <c r="E47" s="228">
        <f>'T07'!U16</f>
        <v>30</v>
      </c>
      <c r="F47" s="228">
        <f>'T07'!V16</f>
        <v>32</v>
      </c>
      <c r="G47" s="228">
        <f>'T07'!W16</f>
        <v>43</v>
      </c>
      <c r="H47" s="228">
        <f>'T07'!X16</f>
        <v>41</v>
      </c>
      <c r="I47" s="228">
        <f>'T07'!Y16</f>
        <v>32</v>
      </c>
      <c r="J47" s="228">
        <f>'T07'!Z16</f>
        <v>29</v>
      </c>
      <c r="K47" s="228">
        <f>'T07'!AA16</f>
        <v>35</v>
      </c>
      <c r="L47" s="228">
        <f>'T07'!AB16</f>
        <v>34</v>
      </c>
      <c r="M47" s="228">
        <f>'T07'!AC16</f>
        <v>32</v>
      </c>
    </row>
    <row r="48" spans="1:22" x14ac:dyDescent="0.2">
      <c r="A48" s="2" t="s">
        <v>525</v>
      </c>
      <c r="B48" s="228">
        <f>'T07'!R17</f>
        <v>3</v>
      </c>
      <c r="C48" s="228">
        <f>'T07'!S17</f>
        <v>3</v>
      </c>
      <c r="D48" s="228">
        <f>'T07'!T17</f>
        <v>1</v>
      </c>
      <c r="E48" s="228">
        <f>'T07'!U17</f>
        <v>1</v>
      </c>
      <c r="F48" s="228">
        <f>'T07'!V17</f>
        <v>0</v>
      </c>
      <c r="G48" s="228">
        <f>'T07'!W17</f>
        <v>0</v>
      </c>
      <c r="H48" s="228">
        <f>'T07'!X17</f>
        <v>2</v>
      </c>
      <c r="I48" s="228">
        <f>'T07'!Y17</f>
        <v>2</v>
      </c>
      <c r="J48" s="228">
        <f>'T07'!Z17</f>
        <v>4</v>
      </c>
      <c r="K48" s="228">
        <f>'T07'!AA17</f>
        <v>1</v>
      </c>
      <c r="L48" s="228">
        <f>'T07'!AB17</f>
        <v>0</v>
      </c>
      <c r="M48" s="228">
        <f>'T07'!AC17</f>
        <v>2</v>
      </c>
    </row>
    <row r="49" spans="1:13" x14ac:dyDescent="0.2">
      <c r="A49" s="29" t="s">
        <v>516</v>
      </c>
      <c r="B49" s="228">
        <f>'T07'!R18</f>
        <v>38</v>
      </c>
      <c r="C49" s="228">
        <f>'T07'!S18</f>
        <v>37</v>
      </c>
      <c r="D49" s="228">
        <f>'T07'!T18</f>
        <v>37</v>
      </c>
      <c r="E49" s="228">
        <f>'T07'!U18</f>
        <v>73</v>
      </c>
      <c r="F49" s="228">
        <f>'T07'!V18</f>
        <v>117</v>
      </c>
      <c r="G49" s="228">
        <f>'T07'!W18</f>
        <v>280</v>
      </c>
      <c r="H49" s="228">
        <f>'T07'!X18</f>
        <v>441</v>
      </c>
      <c r="I49" s="228">
        <f>'T07'!Y18</f>
        <v>545</v>
      </c>
      <c r="J49" s="228">
        <f>'T07'!Z18</f>
        <v>633</v>
      </c>
      <c r="K49" s="228">
        <f>'T07'!AA18</f>
        <v>605</v>
      </c>
      <c r="L49" s="228">
        <f>'T07'!AB18</f>
        <v>624</v>
      </c>
      <c r="M49" s="228">
        <f>'T07'!AC18</f>
        <v>414</v>
      </c>
    </row>
    <row r="50" spans="1:13" x14ac:dyDescent="0.2">
      <c r="A50" s="2" t="s">
        <v>68</v>
      </c>
      <c r="B50" s="228">
        <f>'T07'!R19</f>
        <v>6</v>
      </c>
      <c r="C50" s="228">
        <f>'T07'!S19</f>
        <v>8</v>
      </c>
      <c r="D50" s="228">
        <f>'T07'!T19</f>
        <v>7</v>
      </c>
      <c r="E50" s="228">
        <f>'T07'!U19</f>
        <v>8</v>
      </c>
      <c r="F50" s="228">
        <f>'T07'!V19</f>
        <v>10</v>
      </c>
      <c r="G50" s="228">
        <f>'T07'!W19</f>
        <v>3</v>
      </c>
      <c r="H50" s="228">
        <f>'T07'!X19</f>
        <v>11</v>
      </c>
      <c r="I50" s="228">
        <f>'T07'!Y19</f>
        <v>10</v>
      </c>
      <c r="J50" s="228">
        <f>'T07'!Z19</f>
        <v>16</v>
      </c>
      <c r="K50" s="228">
        <f>'T07'!AA19</f>
        <v>19</v>
      </c>
      <c r="L50" s="228">
        <f>'T07'!AB19</f>
        <v>18</v>
      </c>
      <c r="M50" s="228">
        <f>'T07'!AC19</f>
        <v>7</v>
      </c>
    </row>
    <row r="51" spans="1:13" x14ac:dyDescent="0.2">
      <c r="A51" s="2" t="s">
        <v>526</v>
      </c>
      <c r="B51" s="228">
        <f>'T07'!R20</f>
        <v>30</v>
      </c>
      <c r="C51" s="228">
        <f>'T07'!S20</f>
        <v>14</v>
      </c>
      <c r="D51" s="228">
        <f>'T07'!T20</f>
        <v>19</v>
      </c>
      <c r="E51" s="228">
        <f>'T07'!U20</f>
        <v>31</v>
      </c>
      <c r="F51" s="228">
        <f>'T07'!V20</f>
        <v>26</v>
      </c>
      <c r="G51" s="228">
        <f>'T07'!W20</f>
        <v>28</v>
      </c>
      <c r="H51" s="228">
        <f>'T07'!X20</f>
        <v>24</v>
      </c>
      <c r="I51" s="228">
        <f>'T07'!Y20</f>
        <v>28</v>
      </c>
      <c r="J51" s="228">
        <f>'T07'!Z20</f>
        <v>36</v>
      </c>
      <c r="K51" s="228">
        <f>'T07'!AA20</f>
        <v>30</v>
      </c>
      <c r="L51" s="228">
        <f>'T07'!AB20</f>
        <v>37</v>
      </c>
      <c r="M51" s="228">
        <f>'T07'!AC20</f>
        <v>22</v>
      </c>
    </row>
    <row r="52" spans="1:13" x14ac:dyDescent="0.2">
      <c r="A52" s="2" t="s">
        <v>527</v>
      </c>
      <c r="B52" s="228">
        <f>'T07'!R21</f>
        <v>0</v>
      </c>
      <c r="C52" s="228">
        <f>'T07'!S21</f>
        <v>0</v>
      </c>
      <c r="D52" s="228">
        <f>'T07'!T21</f>
        <v>0</v>
      </c>
      <c r="E52" s="228">
        <f>'T07'!U21</f>
        <v>0</v>
      </c>
      <c r="F52" s="228">
        <f>'T07'!V21</f>
        <v>0</v>
      </c>
      <c r="G52" s="228">
        <f>'T07'!W21</f>
        <v>0</v>
      </c>
      <c r="H52" s="228">
        <f>'T07'!X21</f>
        <v>0</v>
      </c>
      <c r="I52" s="228">
        <f>'T07'!Y21</f>
        <v>0</v>
      </c>
      <c r="J52" s="228">
        <f>'T07'!Z21</f>
        <v>0</v>
      </c>
      <c r="K52" s="228">
        <f>'T07'!AA21</f>
        <v>0</v>
      </c>
      <c r="L52" s="228">
        <f>'T07'!AB21</f>
        <v>0</v>
      </c>
      <c r="M52" s="228">
        <f>'T07'!AC21</f>
        <v>0</v>
      </c>
    </row>
    <row r="53" spans="1:13" x14ac:dyDescent="0.2">
      <c r="A53" s="2" t="s">
        <v>69</v>
      </c>
      <c r="B53" s="228">
        <f>'T07'!R22</f>
        <v>3</v>
      </c>
      <c r="C53" s="228">
        <f>'T07'!S22</f>
        <v>1</v>
      </c>
      <c r="D53" s="228">
        <f>'T07'!T22</f>
        <v>1</v>
      </c>
      <c r="E53" s="228">
        <f>'T07'!U22</f>
        <v>0</v>
      </c>
      <c r="F53" s="228">
        <f>'T07'!V22</f>
        <v>0</v>
      </c>
      <c r="G53" s="228">
        <f>'T07'!W22</f>
        <v>6</v>
      </c>
      <c r="H53" s="228">
        <f>'T07'!X22</f>
        <v>0</v>
      </c>
      <c r="I53" s="228">
        <f>'T07'!Y22</f>
        <v>0</v>
      </c>
      <c r="J53" s="228">
        <f>'T07'!Z22</f>
        <v>1</v>
      </c>
      <c r="K53" s="228">
        <f>'T07'!AA22</f>
        <v>1</v>
      </c>
      <c r="L53" s="228">
        <f>'T07'!AB22</f>
        <v>0</v>
      </c>
      <c r="M53" s="228">
        <f>'T07'!AC22</f>
        <v>0</v>
      </c>
    </row>
    <row r="54" spans="1:13" x14ac:dyDescent="0.2">
      <c r="A54" s="2" t="s">
        <v>528</v>
      </c>
      <c r="B54" s="228">
        <f>'T07'!R23</f>
        <v>166</v>
      </c>
      <c r="C54" s="228">
        <f>'T07'!S23</f>
        <v>133</v>
      </c>
      <c r="D54" s="228">
        <f>'T07'!T23</f>
        <v>111</v>
      </c>
      <c r="E54" s="228">
        <f>'T07'!U23</f>
        <v>104</v>
      </c>
      <c r="F54" s="228">
        <f>'T07'!V23</f>
        <v>157</v>
      </c>
      <c r="G54" s="228">
        <f>'T07'!W23</f>
        <v>162</v>
      </c>
      <c r="H54" s="228">
        <f>'T07'!X23</f>
        <v>266</v>
      </c>
      <c r="I54" s="228">
        <f>'T07'!Y23</f>
        <v>333</v>
      </c>
      <c r="J54" s="228">
        <f>'T07'!Z23</f>
        <v>330</v>
      </c>
      <c r="K54" s="228">
        <f>'T07'!AA23</f>
        <v>322</v>
      </c>
      <c r="L54" s="228">
        <f>'T07'!AB23</f>
        <v>266</v>
      </c>
      <c r="M54" s="228">
        <f>'T07'!AC23</f>
        <v>161</v>
      </c>
    </row>
    <row r="55" spans="1:13" x14ac:dyDescent="0.2">
      <c r="A55" s="2" t="s">
        <v>70</v>
      </c>
      <c r="B55" s="228">
        <f>'T07'!R24</f>
        <v>0</v>
      </c>
      <c r="C55" s="228">
        <f>'T07'!S24</f>
        <v>0</v>
      </c>
      <c r="D55" s="228">
        <f>'T07'!T24</f>
        <v>1</v>
      </c>
      <c r="E55" s="228">
        <f>'T07'!U24</f>
        <v>3</v>
      </c>
      <c r="F55" s="228">
        <f>'T07'!V24</f>
        <v>5</v>
      </c>
      <c r="G55" s="228">
        <f>'T07'!W24</f>
        <v>1</v>
      </c>
      <c r="H55" s="228">
        <f>'T07'!X24</f>
        <v>0</v>
      </c>
      <c r="I55" s="228">
        <f>'T07'!Y24</f>
        <v>7</v>
      </c>
      <c r="J55" s="228">
        <f>'T07'!Z24</f>
        <v>6</v>
      </c>
      <c r="K55" s="228">
        <f>'T07'!AA24</f>
        <v>2</v>
      </c>
      <c r="L55" s="228">
        <f>'T07'!AB24</f>
        <v>4</v>
      </c>
      <c r="M55" s="228">
        <f>'T07'!AC24</f>
        <v>0</v>
      </c>
    </row>
    <row r="56" spans="1:13" x14ac:dyDescent="0.2">
      <c r="C56" s="7"/>
      <c r="D56" s="7"/>
      <c r="E56" s="7"/>
      <c r="F56" s="7"/>
      <c r="G56" s="7"/>
      <c r="J56" s="470"/>
      <c r="K56" s="470"/>
      <c r="L56" s="228"/>
    </row>
    <row r="57" spans="1:13" ht="15.75" thickBot="1" x14ac:dyDescent="0.25">
      <c r="A57" s="479" t="s">
        <v>11</v>
      </c>
      <c r="B57" s="480">
        <f t="shared" ref="B57:K57" si="2">SUM(B36:B56)</f>
        <v>2958</v>
      </c>
      <c r="C57" s="480">
        <f t="shared" si="2"/>
        <v>2588</v>
      </c>
      <c r="D57" s="480">
        <f t="shared" si="2"/>
        <v>2470</v>
      </c>
      <c r="E57" s="480">
        <f t="shared" si="2"/>
        <v>2466</v>
      </c>
      <c r="F57" s="480">
        <f t="shared" si="2"/>
        <v>2668</v>
      </c>
      <c r="G57" s="480">
        <f t="shared" si="2"/>
        <v>2808</v>
      </c>
      <c r="H57" s="480">
        <f t="shared" si="2"/>
        <v>3373</v>
      </c>
      <c r="I57" s="480">
        <f t="shared" si="2"/>
        <v>3593</v>
      </c>
      <c r="J57" s="480">
        <f t="shared" si="2"/>
        <v>3778</v>
      </c>
      <c r="K57" s="480">
        <f t="shared" si="2"/>
        <v>3484</v>
      </c>
      <c r="L57" s="480">
        <f>SUM(L36:L56)</f>
        <v>3211</v>
      </c>
      <c r="M57" s="480">
        <f>SUM(M36:M56)</f>
        <v>1864</v>
      </c>
    </row>
  </sheetData>
  <sheetProtection algorithmName="SHA-512" hashValue="fZ43bOi7Ktth+dv7FzjLruD1rm6hklmMocqbQSBKERzoEzLeCQrhMxkZd9XGmHR6WRj4DSIobj7lpXPjZsOoMA==" saltValue="xW7FCWcdD226aso9y/6J2Q==" spinCount="100000" sheet="1" scenarios="1" formatCells="0" formatColumns="0" formatRows="0" sort="0" autoFilter="0" pivotTables="0"/>
  <mergeCells count="2">
    <mergeCell ref="B8:M8"/>
    <mergeCell ref="B34:M34"/>
  </mergeCells>
  <hyperlinks>
    <hyperlink ref="A2" location="'Table of Contents'!A1" display="Back to Table of Contents" xr:uid="{00000000-0004-0000-6C00-000000000000}"/>
  </hyperlinks>
  <pageMargins left="0.70866141732283472" right="0.70866141732283472" top="0.74803149606299213" bottom="0.74803149606299213" header="0.31496062992125984" footer="0.31496062992125984"/>
  <pageSetup paperSize="9" scale="62" orientation="landscape" r:id="rId1"/>
  <headerFooter>
    <oddFooter>&amp;L&amp;P&amp;C&amp;A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O35"/>
  <sheetViews>
    <sheetView showGridLines="0" workbookViewId="0">
      <selection sqref="A1:C1"/>
    </sheetView>
  </sheetViews>
  <sheetFormatPr defaultColWidth="9.140625" defaultRowHeight="12.75" x14ac:dyDescent="0.2"/>
  <cols>
    <col min="1" max="1" width="10.42578125" customWidth="1"/>
  </cols>
  <sheetData>
    <row r="1" spans="1:15" ht="17.25" customHeight="1" x14ac:dyDescent="0.35">
      <c r="A1" s="1271" t="s">
        <v>1247</v>
      </c>
      <c r="B1" s="1271"/>
      <c r="C1" s="1271"/>
      <c r="O1" s="230"/>
    </row>
    <row r="2" spans="1:15" ht="17.25" customHeight="1" x14ac:dyDescent="0.2">
      <c r="A2" s="106" t="s">
        <v>578</v>
      </c>
      <c r="B2" s="1031"/>
      <c r="C2" s="1031"/>
    </row>
    <row r="3" spans="1:15" ht="30.75" customHeight="1" x14ac:dyDescent="0.2">
      <c r="A3" s="1272" t="s">
        <v>1263</v>
      </c>
      <c r="B3" s="1272"/>
      <c r="C3" s="1272"/>
      <c r="D3" s="1272"/>
      <c r="E3" s="1272"/>
      <c r="F3" s="1272"/>
      <c r="G3" s="1272"/>
      <c r="H3" s="1272"/>
    </row>
    <row r="4" spans="1:15" ht="15" x14ac:dyDescent="0.25">
      <c r="A4" s="1032" t="s">
        <v>1246</v>
      </c>
    </row>
    <row r="5" spans="1:15" ht="15" x14ac:dyDescent="0.25">
      <c r="A5" s="1043" t="s">
        <v>1298</v>
      </c>
    </row>
    <row r="31" spans="1:1" ht="15.75" x14ac:dyDescent="0.25">
      <c r="A31" s="1217" t="s">
        <v>1616</v>
      </c>
    </row>
    <row r="33" spans="1:1" ht="15" x14ac:dyDescent="0.25">
      <c r="A33" s="1032" t="s">
        <v>1246</v>
      </c>
    </row>
    <row r="34" spans="1:1" x14ac:dyDescent="0.2">
      <c r="A34" t="s">
        <v>1617</v>
      </c>
    </row>
    <row r="35" spans="1:1" x14ac:dyDescent="0.2">
      <c r="A35" s="1219"/>
    </row>
  </sheetData>
  <sheetProtection algorithmName="SHA-512" hashValue="5/7lYJYQS91NxUwKCW3/jHqLRPsggMWI9yYE0jUk7s5Z1G8FQAZ86pN4YoEa86WE1go5dyV4U+aqJ18PprfkWA==" saltValue="pbJ1Omr63DQHuBWs093RNw=="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A00-000000000000}"/>
  </hyperlink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9" tint="0.39997558519241921"/>
  </sheetPr>
  <dimension ref="A1:H21"/>
  <sheetViews>
    <sheetView showGridLines="0" workbookViewId="0">
      <selection sqref="A1:C1"/>
    </sheetView>
  </sheetViews>
  <sheetFormatPr defaultColWidth="9.140625" defaultRowHeight="12.75" x14ac:dyDescent="0.2"/>
  <cols>
    <col min="1" max="1" width="16.28515625" customWidth="1"/>
    <col min="8" max="8" width="3.5703125" customWidth="1"/>
    <col min="14" max="14" width="4.140625" customWidth="1"/>
  </cols>
  <sheetData>
    <row r="1" spans="1:8" ht="15.75" x14ac:dyDescent="0.2">
      <c r="A1" s="1271" t="s">
        <v>1251</v>
      </c>
      <c r="B1" s="1271"/>
      <c r="C1" s="1271"/>
    </row>
    <row r="2" spans="1:8" ht="15.75" x14ac:dyDescent="0.2">
      <c r="A2" s="106" t="s">
        <v>578</v>
      </c>
      <c r="B2" s="1031"/>
      <c r="C2" s="1031"/>
    </row>
    <row r="3" spans="1:8" ht="33" customHeight="1" x14ac:dyDescent="0.2">
      <c r="A3" s="1272" t="s">
        <v>1252</v>
      </c>
      <c r="B3" s="1272"/>
      <c r="C3" s="1272"/>
      <c r="D3" s="1272"/>
      <c r="E3" s="1272"/>
      <c r="F3" s="1272"/>
      <c r="G3" s="1272"/>
      <c r="H3" s="1272"/>
    </row>
    <row r="4" spans="1:8" ht="15" x14ac:dyDescent="0.25">
      <c r="A4" s="1032" t="s">
        <v>1246</v>
      </c>
    </row>
    <row r="5" spans="1:8" ht="15" x14ac:dyDescent="0.25">
      <c r="A5" s="1043" t="s">
        <v>1355</v>
      </c>
    </row>
    <row r="6" spans="1:8" ht="38.25" customHeight="1" x14ac:dyDescent="0.35">
      <c r="A6" s="230"/>
    </row>
    <row r="8" spans="1:8" x14ac:dyDescent="0.2">
      <c r="A8" s="106"/>
    </row>
    <row r="15" spans="1:8" x14ac:dyDescent="0.2">
      <c r="B15" s="241"/>
      <c r="C15" s="191"/>
      <c r="D15" s="191"/>
      <c r="E15" s="191"/>
    </row>
    <row r="16" spans="1:8" x14ac:dyDescent="0.2">
      <c r="B16" s="241"/>
      <c r="C16" s="191"/>
      <c r="D16" s="191"/>
      <c r="E16" s="191"/>
    </row>
    <row r="17" spans="2:5" x14ac:dyDescent="0.2">
      <c r="B17" s="241"/>
      <c r="C17" s="191"/>
      <c r="D17" s="191"/>
      <c r="E17" s="191"/>
    </row>
    <row r="18" spans="2:5" x14ac:dyDescent="0.2">
      <c r="B18" s="241"/>
      <c r="C18" s="191"/>
      <c r="D18" s="191"/>
      <c r="E18" s="191"/>
    </row>
    <row r="19" spans="2:5" x14ac:dyDescent="0.2">
      <c r="B19" s="241"/>
      <c r="C19" s="191"/>
      <c r="D19" s="191"/>
      <c r="E19" s="191"/>
    </row>
    <row r="20" spans="2:5" x14ac:dyDescent="0.2">
      <c r="B20" s="241"/>
      <c r="C20" s="191"/>
      <c r="D20" s="191"/>
      <c r="E20" s="191"/>
    </row>
    <row r="21" spans="2:5" x14ac:dyDescent="0.2">
      <c r="B21" s="241"/>
      <c r="C21" s="191"/>
      <c r="D21" s="191"/>
      <c r="E21" s="191"/>
    </row>
  </sheetData>
  <sheetProtection algorithmName="SHA-512" hashValue="Btk+sPgKP8EU7M++7BSPWSQIxXx4/zzrQ+iAl1OQxxwD5x2DSVN2f1mMA4KYQTZINvgs0wVcAvCZ9/2YrONR2g==" saltValue="H/Z844iKhYQGMSXjyXKDYQ=="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6D00-000000000000}"/>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9" tint="0.39997558519241921"/>
  </sheetPr>
  <dimension ref="A1:H21"/>
  <sheetViews>
    <sheetView showGridLines="0" workbookViewId="0">
      <selection sqref="A1:C1"/>
    </sheetView>
  </sheetViews>
  <sheetFormatPr defaultColWidth="9.140625" defaultRowHeight="12.75" x14ac:dyDescent="0.2"/>
  <cols>
    <col min="1" max="1" width="16.28515625" customWidth="1"/>
    <col min="8" max="8" width="3.42578125" customWidth="1"/>
    <col min="14" max="14" width="3.42578125" customWidth="1"/>
  </cols>
  <sheetData>
    <row r="1" spans="1:8" ht="15.75" x14ac:dyDescent="0.2">
      <c r="A1" s="1271" t="s">
        <v>1251</v>
      </c>
      <c r="B1" s="1271"/>
      <c r="C1" s="1271"/>
    </row>
    <row r="2" spans="1:8" ht="15.75" x14ac:dyDescent="0.2">
      <c r="A2" s="106" t="s">
        <v>578</v>
      </c>
      <c r="B2" s="1031"/>
      <c r="C2" s="1031"/>
    </row>
    <row r="3" spans="1:8" ht="33" customHeight="1" x14ac:dyDescent="0.2">
      <c r="A3" s="1272" t="s">
        <v>1253</v>
      </c>
      <c r="B3" s="1272"/>
      <c r="C3" s="1272"/>
      <c r="D3" s="1272"/>
      <c r="E3" s="1272"/>
      <c r="F3" s="1272"/>
      <c r="G3" s="1272"/>
      <c r="H3" s="1272"/>
    </row>
    <row r="4" spans="1:8" ht="15" x14ac:dyDescent="0.25">
      <c r="A4" s="1032" t="s">
        <v>1246</v>
      </c>
    </row>
    <row r="5" spans="1:8" ht="15" x14ac:dyDescent="0.25">
      <c r="A5" s="1043" t="s">
        <v>1356</v>
      </c>
    </row>
    <row r="6" spans="1:8" ht="38.25" customHeight="1" x14ac:dyDescent="0.35">
      <c r="A6" s="230"/>
    </row>
    <row r="8" spans="1:8" x14ac:dyDescent="0.2">
      <c r="A8" s="106"/>
    </row>
    <row r="15" spans="1:8" x14ac:dyDescent="0.2">
      <c r="B15" s="241"/>
      <c r="C15" s="191"/>
      <c r="D15" s="191"/>
      <c r="E15" s="191"/>
    </row>
    <row r="16" spans="1:8" x14ac:dyDescent="0.2">
      <c r="B16" s="241"/>
      <c r="C16" s="191"/>
      <c r="D16" s="191"/>
      <c r="E16" s="191"/>
    </row>
    <row r="17" spans="2:5" x14ac:dyDescent="0.2">
      <c r="B17" s="241"/>
      <c r="C17" s="191"/>
      <c r="D17" s="191"/>
      <c r="E17" s="191"/>
    </row>
    <row r="18" spans="2:5" x14ac:dyDescent="0.2">
      <c r="B18" s="241"/>
      <c r="C18" s="191"/>
      <c r="D18" s="191"/>
      <c r="E18" s="191"/>
    </row>
    <row r="19" spans="2:5" x14ac:dyDescent="0.2">
      <c r="B19" s="241"/>
      <c r="C19" s="191"/>
      <c r="D19" s="191"/>
      <c r="E19" s="191"/>
    </row>
    <row r="20" spans="2:5" x14ac:dyDescent="0.2">
      <c r="B20" s="241"/>
      <c r="C20" s="191"/>
      <c r="D20" s="191"/>
      <c r="E20" s="191"/>
    </row>
    <row r="21" spans="2:5" x14ac:dyDescent="0.2">
      <c r="B21" s="241"/>
      <c r="C21" s="191"/>
      <c r="D21" s="191"/>
      <c r="E21" s="191"/>
    </row>
  </sheetData>
  <sheetProtection algorithmName="SHA-512" hashValue="fd4VATCi/Xw72efZuCXIc084f45ASe50WhVHVOeZWsrggGi+t7X4xeWlfLRoYVguu+Lwn1HleMN95LN/dlxnCQ==" saltValue="OpYdJ2MnhKDCnkx9fzG7Rg=="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6E00-000000000000}"/>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BF8F00"/>
    <pageSetUpPr fitToPage="1"/>
  </sheetPr>
  <dimension ref="A1:AC99"/>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22.28515625" style="1" customWidth="1"/>
    <col min="2" max="2" width="9.85546875" style="1" customWidth="1"/>
    <col min="3" max="5" width="9.140625" style="1"/>
    <col min="6" max="6" width="10.42578125" style="1" customWidth="1"/>
    <col min="7" max="7" width="5" style="1" customWidth="1"/>
    <col min="8" max="8" width="10.140625" style="1" customWidth="1"/>
    <col min="9" max="11" width="9.140625" style="1"/>
    <col min="12" max="12" width="10" style="1" customWidth="1"/>
    <col min="13" max="13" width="5.140625" style="1" customWidth="1"/>
    <col min="14" max="14" width="9.85546875" style="1" customWidth="1"/>
    <col min="15" max="17" width="9.140625" style="1"/>
    <col min="18" max="18" width="10" style="1" customWidth="1"/>
    <col min="19" max="20" width="9.140625" style="1"/>
    <col min="28" max="16384" width="9.140625" style="1"/>
  </cols>
  <sheetData>
    <row r="1" spans="1:27" ht="15.75" x14ac:dyDescent="0.2">
      <c r="A1" s="298" t="s">
        <v>1133</v>
      </c>
    </row>
    <row r="2" spans="1:27" ht="15.75" customHeight="1" x14ac:dyDescent="0.2">
      <c r="A2" s="106" t="s">
        <v>578</v>
      </c>
    </row>
    <row r="3" spans="1:27" ht="33" customHeight="1" x14ac:dyDescent="0.2">
      <c r="A3" s="120" t="s">
        <v>1038</v>
      </c>
      <c r="B3" s="120"/>
      <c r="C3" s="120"/>
      <c r="D3" s="120"/>
      <c r="E3" s="120"/>
      <c r="F3" s="120"/>
      <c r="G3" s="120"/>
      <c r="H3" s="120"/>
      <c r="I3" s="120"/>
      <c r="J3" s="120"/>
      <c r="K3" s="120"/>
      <c r="L3" s="120"/>
      <c r="M3" s="120"/>
      <c r="N3" s="120"/>
      <c r="O3" s="120"/>
    </row>
    <row r="4" spans="1:27" ht="15" customHeight="1" x14ac:dyDescent="0.25">
      <c r="A4" s="351" t="s">
        <v>579</v>
      </c>
      <c r="B4" s="1043" t="s">
        <v>1358</v>
      </c>
    </row>
    <row r="5" spans="1:27" ht="15" customHeight="1" x14ac:dyDescent="0.25">
      <c r="A5" s="351" t="s">
        <v>580</v>
      </c>
      <c r="B5" s="351" t="s">
        <v>581</v>
      </c>
      <c r="C5" s="129"/>
      <c r="D5" s="129"/>
      <c r="E5" s="129"/>
      <c r="F5" s="129"/>
      <c r="G5" s="129"/>
      <c r="H5" s="129"/>
      <c r="I5" s="129"/>
      <c r="J5" s="129"/>
      <c r="K5" s="129"/>
      <c r="L5" s="129"/>
      <c r="M5" s="129"/>
      <c r="N5" s="129"/>
      <c r="O5" s="129"/>
    </row>
    <row r="6" spans="1:27" ht="15" customHeight="1" x14ac:dyDescent="0.25">
      <c r="A6" s="351" t="s">
        <v>582</v>
      </c>
      <c r="B6" s="351" t="s">
        <v>585</v>
      </c>
      <c r="C6" s="129"/>
      <c r="D6" s="129"/>
      <c r="E6" s="129"/>
      <c r="F6" s="129"/>
      <c r="G6" s="129"/>
      <c r="H6" s="129"/>
      <c r="I6" s="129"/>
      <c r="J6" s="129"/>
      <c r="K6" s="129"/>
      <c r="L6" s="129"/>
      <c r="M6" s="129"/>
      <c r="N6" s="129"/>
      <c r="O6" s="129"/>
    </row>
    <row r="7" spans="1:27" ht="15" customHeight="1" x14ac:dyDescent="0.25">
      <c r="F7" s="83"/>
      <c r="L7" s="83"/>
      <c r="R7" s="83" t="s">
        <v>0</v>
      </c>
      <c r="U7" s="1"/>
    </row>
    <row r="8" spans="1:27" s="39" customFormat="1" ht="27" customHeight="1" x14ac:dyDescent="0.2">
      <c r="A8" s="231"/>
      <c r="B8" s="1276" t="s">
        <v>259</v>
      </c>
      <c r="C8" s="1276"/>
      <c r="D8" s="1276"/>
      <c r="E8" s="1276"/>
      <c r="F8" s="1277" t="s">
        <v>54</v>
      </c>
      <c r="H8" s="1275" t="s">
        <v>622</v>
      </c>
      <c r="I8" s="1276"/>
      <c r="J8" s="1276"/>
      <c r="K8" s="1276"/>
      <c r="L8" s="1277" t="s">
        <v>55</v>
      </c>
      <c r="N8" s="1311" t="s">
        <v>623</v>
      </c>
      <c r="O8" s="1366"/>
      <c r="P8" s="1366"/>
      <c r="Q8" s="1367"/>
      <c r="R8" s="1277" t="s">
        <v>55</v>
      </c>
      <c r="V8"/>
      <c r="W8"/>
      <c r="X8"/>
      <c r="Y8"/>
      <c r="Z8"/>
      <c r="AA8"/>
    </row>
    <row r="9" spans="1:27" s="39" customFormat="1" ht="25.5" customHeight="1" x14ac:dyDescent="0.2">
      <c r="A9" s="1153" t="s">
        <v>4</v>
      </c>
      <c r="B9" s="336" t="s">
        <v>5</v>
      </c>
      <c r="C9" s="345" t="s">
        <v>6</v>
      </c>
      <c r="D9" s="345" t="s">
        <v>7</v>
      </c>
      <c r="E9" s="233" t="s">
        <v>8</v>
      </c>
      <c r="F9" s="1365"/>
      <c r="H9" s="336" t="s">
        <v>5</v>
      </c>
      <c r="I9" s="345" t="s">
        <v>6</v>
      </c>
      <c r="J9" s="345" t="s">
        <v>7</v>
      </c>
      <c r="K9" s="233" t="s">
        <v>8</v>
      </c>
      <c r="L9" s="1365"/>
      <c r="N9" s="336" t="s">
        <v>5</v>
      </c>
      <c r="O9" s="345" t="s">
        <v>6</v>
      </c>
      <c r="P9" s="345" t="s">
        <v>7</v>
      </c>
      <c r="Q9" s="233" t="s">
        <v>8</v>
      </c>
      <c r="R9" s="1365"/>
      <c r="V9"/>
      <c r="W9"/>
      <c r="X9"/>
      <c r="Y9"/>
      <c r="Z9"/>
      <c r="AA9"/>
    </row>
    <row r="10" spans="1:27" ht="18.75" customHeight="1" x14ac:dyDescent="0.2">
      <c r="A10" s="29" t="str">
        <f>'T02'!B5</f>
        <v>2009-10</v>
      </c>
      <c r="B10" s="184">
        <f>T__02!F4</f>
        <v>53</v>
      </c>
      <c r="C10" s="184">
        <f>T__02!G4</f>
        <v>4</v>
      </c>
      <c r="D10" s="184">
        <f>T__02!H4</f>
        <v>4</v>
      </c>
      <c r="E10" s="184">
        <f>T__02!I4</f>
        <v>1</v>
      </c>
      <c r="F10" s="379">
        <f t="shared" ref="F10:F17" si="0">SUM(B10:E10)</f>
        <v>62</v>
      </c>
      <c r="G10" s="184"/>
      <c r="H10" s="150">
        <f>T__02!J4</f>
        <v>1032</v>
      </c>
      <c r="I10" s="150">
        <f>T__02!K4</f>
        <v>95</v>
      </c>
      <c r="J10" s="150">
        <f>T__02!L4</f>
        <v>66</v>
      </c>
      <c r="K10" s="150">
        <f>T__02!M4</f>
        <v>30</v>
      </c>
      <c r="L10" s="379">
        <f>SUM(H10:K10)</f>
        <v>1223</v>
      </c>
      <c r="M10" s="103"/>
      <c r="N10" s="150">
        <f>T__02!B4</f>
        <v>787</v>
      </c>
      <c r="O10" s="150">
        <f>T__02!C4</f>
        <v>84</v>
      </c>
      <c r="P10" s="150">
        <f>T__02!D4</f>
        <v>59</v>
      </c>
      <c r="Q10" s="150">
        <f>T__02!E4</f>
        <v>26</v>
      </c>
      <c r="R10" s="379">
        <f t="shared" ref="R10:R17" si="1">SUM(N10:Q10)</f>
        <v>956</v>
      </c>
      <c r="S10" s="4"/>
    </row>
    <row r="11" spans="1:27" ht="13.5" customHeight="1" x14ac:dyDescent="0.2">
      <c r="A11" s="29" t="str">
        <f>'T02'!B6</f>
        <v>2010-11</v>
      </c>
      <c r="B11" s="68">
        <f>T__02!F5</f>
        <v>45</v>
      </c>
      <c r="C11" s="68">
        <f>T__02!G5</f>
        <v>3</v>
      </c>
      <c r="D11" s="68">
        <f>T__02!H5</f>
        <v>3</v>
      </c>
      <c r="E11" s="68">
        <f>T__02!I5</f>
        <v>1</v>
      </c>
      <c r="F11" s="377">
        <f t="shared" si="0"/>
        <v>52</v>
      </c>
      <c r="G11" s="68"/>
      <c r="H11" s="33">
        <f>T__02!J5</f>
        <v>1142</v>
      </c>
      <c r="I11" s="33">
        <f>T__02!K5</f>
        <v>109</v>
      </c>
      <c r="J11" s="33">
        <f>T__02!L5</f>
        <v>43</v>
      </c>
      <c r="K11" s="33">
        <f>T__02!M5</f>
        <v>38</v>
      </c>
      <c r="L11" s="377">
        <f t="shared" ref="L11:L17" si="2">SUM(H11:K11)</f>
        <v>1332</v>
      </c>
      <c r="M11" s="4"/>
      <c r="N11" s="33">
        <f>T__02!B5</f>
        <v>934</v>
      </c>
      <c r="O11" s="33">
        <f>T__02!C5</f>
        <v>89</v>
      </c>
      <c r="P11" s="33">
        <f>T__02!D5</f>
        <v>37</v>
      </c>
      <c r="Q11" s="33">
        <f>T__02!E5</f>
        <v>34</v>
      </c>
      <c r="R11" s="377">
        <f t="shared" si="1"/>
        <v>1094</v>
      </c>
      <c r="S11" s="4"/>
    </row>
    <row r="12" spans="1:27" ht="13.5" customHeight="1" x14ac:dyDescent="0.2">
      <c r="A12" s="29" t="str">
        <f>'T02'!B7</f>
        <v>2011-12</v>
      </c>
      <c r="B12" s="68">
        <f>T__02!F6</f>
        <v>51</v>
      </c>
      <c r="C12" s="68">
        <f>T__02!G6</f>
        <v>4</v>
      </c>
      <c r="D12" s="68">
        <f>T__02!H6</f>
        <v>3</v>
      </c>
      <c r="E12" s="68">
        <f>T__02!I6</f>
        <v>1</v>
      </c>
      <c r="F12" s="377">
        <f t="shared" si="0"/>
        <v>59</v>
      </c>
      <c r="G12" s="68"/>
      <c r="H12" s="33">
        <f>T__02!J6</f>
        <v>1219</v>
      </c>
      <c r="I12" s="33">
        <f>T__02!K6</f>
        <v>99</v>
      </c>
      <c r="J12" s="33">
        <f>T__02!L6</f>
        <v>58</v>
      </c>
      <c r="K12" s="33">
        <f>T__02!M6</f>
        <v>38</v>
      </c>
      <c r="L12" s="377">
        <f t="shared" si="2"/>
        <v>1414</v>
      </c>
      <c r="M12" s="4"/>
      <c r="N12" s="33">
        <f>T__02!B6</f>
        <v>955</v>
      </c>
      <c r="O12" s="33">
        <f>T__02!C6</f>
        <v>85</v>
      </c>
      <c r="P12" s="33">
        <f>T__02!D6</f>
        <v>43</v>
      </c>
      <c r="Q12" s="33">
        <f>T__02!E6</f>
        <v>34</v>
      </c>
      <c r="R12" s="377">
        <f t="shared" si="1"/>
        <v>1117</v>
      </c>
      <c r="S12" s="4"/>
    </row>
    <row r="13" spans="1:27" ht="13.5" customHeight="1" x14ac:dyDescent="0.2">
      <c r="A13" s="29" t="str">
        <f>'T02'!B8</f>
        <v>2012-13</v>
      </c>
      <c r="B13" s="68">
        <f>T__02!F7</f>
        <v>40</v>
      </c>
      <c r="C13" s="68">
        <f>T__02!G7</f>
        <v>2</v>
      </c>
      <c r="D13" s="68">
        <f>T__02!H7</f>
        <v>2</v>
      </c>
      <c r="E13" s="68">
        <f>T__02!I7</f>
        <v>2</v>
      </c>
      <c r="F13" s="377">
        <f t="shared" si="0"/>
        <v>46</v>
      </c>
      <c r="G13" s="68"/>
      <c r="H13" s="33">
        <f>T__02!J7</f>
        <v>1166</v>
      </c>
      <c r="I13" s="33">
        <f>T__02!K7</f>
        <v>92</v>
      </c>
      <c r="J13" s="33">
        <f>T__02!L7</f>
        <v>35</v>
      </c>
      <c r="K13" s="33">
        <f>T__02!M7</f>
        <v>26</v>
      </c>
      <c r="L13" s="377">
        <f t="shared" si="2"/>
        <v>1319</v>
      </c>
      <c r="M13" s="4"/>
      <c r="N13" s="33">
        <f>T__02!B7</f>
        <v>923</v>
      </c>
      <c r="O13" s="33">
        <f>T__02!C7</f>
        <v>78</v>
      </c>
      <c r="P13" s="33">
        <f>T__02!D7</f>
        <v>32</v>
      </c>
      <c r="Q13" s="33">
        <f>T__02!E7</f>
        <v>24</v>
      </c>
      <c r="R13" s="377">
        <f t="shared" si="1"/>
        <v>1057</v>
      </c>
      <c r="S13" s="4"/>
    </row>
    <row r="14" spans="1:27" ht="13.5" customHeight="1" x14ac:dyDescent="0.2">
      <c r="A14" s="29" t="str">
        <f>'T02'!B9</f>
        <v>2013-14</v>
      </c>
      <c r="B14" s="68">
        <f>T__02!F8</f>
        <v>29</v>
      </c>
      <c r="C14" s="68">
        <f>T__02!G8</f>
        <v>1</v>
      </c>
      <c r="D14" s="68">
        <f>T__02!H8</f>
        <v>1</v>
      </c>
      <c r="E14" s="68">
        <f>T__02!I8</f>
        <v>0</v>
      </c>
      <c r="F14" s="377">
        <f t="shared" si="0"/>
        <v>31</v>
      </c>
      <c r="G14" s="68"/>
      <c r="H14" s="33">
        <f>T__02!J8</f>
        <v>1140</v>
      </c>
      <c r="I14" s="33">
        <f>T__02!K8</f>
        <v>86</v>
      </c>
      <c r="J14" s="33">
        <f>T__02!L8</f>
        <v>50</v>
      </c>
      <c r="K14" s="33">
        <f>T__02!M8</f>
        <v>34</v>
      </c>
      <c r="L14" s="377">
        <f t="shared" si="2"/>
        <v>1310</v>
      </c>
      <c r="M14" s="4"/>
      <c r="N14" s="33">
        <f>T__02!B8</f>
        <v>942</v>
      </c>
      <c r="O14" s="33">
        <f>T__02!C8</f>
        <v>76</v>
      </c>
      <c r="P14" s="33">
        <f>T__02!D8</f>
        <v>46</v>
      </c>
      <c r="Q14" s="33">
        <f>T__02!E8</f>
        <v>25</v>
      </c>
      <c r="R14" s="377">
        <f t="shared" si="1"/>
        <v>1089</v>
      </c>
      <c r="S14" s="4"/>
    </row>
    <row r="15" spans="1:27" ht="13.5" customHeight="1" x14ac:dyDescent="0.2">
      <c r="A15" s="29" t="str">
        <f>'T02'!B10</f>
        <v>2014-15</v>
      </c>
      <c r="B15" s="68">
        <f>T__02!F9</f>
        <v>31</v>
      </c>
      <c r="C15" s="68">
        <f>T__02!G9</f>
        <v>3</v>
      </c>
      <c r="D15" s="68">
        <f>T__02!H9</f>
        <v>1</v>
      </c>
      <c r="E15" s="68">
        <f>T__02!I9</f>
        <v>5</v>
      </c>
      <c r="F15" s="377">
        <f t="shared" si="0"/>
        <v>40</v>
      </c>
      <c r="G15" s="68"/>
      <c r="H15" s="33">
        <f>T__02!J9</f>
        <v>947</v>
      </c>
      <c r="I15" s="33">
        <f>T__02!K9</f>
        <v>91</v>
      </c>
      <c r="J15" s="33">
        <f>T__02!L9</f>
        <v>40</v>
      </c>
      <c r="K15" s="33">
        <f>T__02!M9</f>
        <v>21</v>
      </c>
      <c r="L15" s="377">
        <f t="shared" si="2"/>
        <v>1099</v>
      </c>
      <c r="M15" s="4"/>
      <c r="N15" s="33">
        <f>T__02!B9</f>
        <v>762</v>
      </c>
      <c r="O15" s="33">
        <f>T__02!C9</f>
        <v>78</v>
      </c>
      <c r="P15" s="33">
        <f>T__02!D9</f>
        <v>30</v>
      </c>
      <c r="Q15" s="33">
        <f>T__02!E9</f>
        <v>16</v>
      </c>
      <c r="R15" s="377">
        <f t="shared" si="1"/>
        <v>886</v>
      </c>
      <c r="S15" s="4"/>
    </row>
    <row r="16" spans="1:27" ht="13.5" customHeight="1" x14ac:dyDescent="0.2">
      <c r="A16" s="29" t="str">
        <f>'T02'!B11</f>
        <v>2015-16</v>
      </c>
      <c r="B16" s="68">
        <f>T__02!F10</f>
        <v>39</v>
      </c>
      <c r="C16" s="68">
        <f>T__02!G10</f>
        <v>3</v>
      </c>
      <c r="D16" s="68">
        <f>T__02!H10</f>
        <v>3</v>
      </c>
      <c r="E16" s="68">
        <f>T__02!I10</f>
        <v>0</v>
      </c>
      <c r="F16" s="377">
        <f t="shared" si="0"/>
        <v>45</v>
      </c>
      <c r="G16" s="68"/>
      <c r="H16" s="33">
        <f>T__02!J10</f>
        <v>1063</v>
      </c>
      <c r="I16" s="33">
        <f>T__02!K10</f>
        <v>117</v>
      </c>
      <c r="J16" s="33">
        <f>T__02!L10</f>
        <v>61</v>
      </c>
      <c r="K16" s="33">
        <f>T__02!M10</f>
        <v>35</v>
      </c>
      <c r="L16" s="377">
        <f t="shared" si="2"/>
        <v>1276</v>
      </c>
      <c r="M16" s="4"/>
      <c r="N16" s="33">
        <f>T__02!B10</f>
        <v>829</v>
      </c>
      <c r="O16" s="33">
        <f>T__02!C10</f>
        <v>103</v>
      </c>
      <c r="P16" s="33">
        <f>T__02!D10</f>
        <v>56</v>
      </c>
      <c r="Q16" s="33">
        <f>T__02!E10</f>
        <v>29</v>
      </c>
      <c r="R16" s="377">
        <f t="shared" si="1"/>
        <v>1017</v>
      </c>
      <c r="S16" s="4"/>
    </row>
    <row r="17" spans="1:19" ht="13.5" customHeight="1" x14ac:dyDescent="0.2">
      <c r="A17" s="29" t="str">
        <f>'T02'!B12</f>
        <v>2016-17</v>
      </c>
      <c r="B17" s="68">
        <f>T__02!F11</f>
        <v>36</v>
      </c>
      <c r="C17" s="68">
        <f>T__02!G11</f>
        <v>3</v>
      </c>
      <c r="D17" s="68">
        <f>T__02!H11</f>
        <v>5</v>
      </c>
      <c r="E17" s="68">
        <f>T__02!I11</f>
        <v>0</v>
      </c>
      <c r="F17" s="377">
        <f t="shared" si="0"/>
        <v>44</v>
      </c>
      <c r="G17" s="68"/>
      <c r="H17" s="33">
        <f>T__02!J11</f>
        <v>1115</v>
      </c>
      <c r="I17" s="33">
        <f>T__02!K11</f>
        <v>72</v>
      </c>
      <c r="J17" s="33">
        <f>T__02!L11</f>
        <v>48</v>
      </c>
      <c r="K17" s="33">
        <f>T__02!M11</f>
        <v>31</v>
      </c>
      <c r="L17" s="377">
        <f t="shared" si="2"/>
        <v>1266</v>
      </c>
      <c r="M17" s="4"/>
      <c r="N17" s="33">
        <f>T__02!B11</f>
        <v>814</v>
      </c>
      <c r="O17" s="33">
        <f>T__02!C11</f>
        <v>56</v>
      </c>
      <c r="P17" s="33">
        <f>T__02!D11</f>
        <v>40</v>
      </c>
      <c r="Q17" s="33">
        <f>T__02!E11</f>
        <v>26</v>
      </c>
      <c r="R17" s="377">
        <f t="shared" si="1"/>
        <v>936</v>
      </c>
      <c r="S17" s="4"/>
    </row>
    <row r="18" spans="1:19" ht="13.5" customHeight="1" x14ac:dyDescent="0.2">
      <c r="A18" s="29" t="str">
        <f>'T02'!B13</f>
        <v>2017-18</v>
      </c>
      <c r="B18" s="68">
        <f>T__02!F12</f>
        <v>37</v>
      </c>
      <c r="C18" s="68">
        <f>T__02!G12</f>
        <v>3</v>
      </c>
      <c r="D18" s="68">
        <f>T__02!H12</f>
        <v>3</v>
      </c>
      <c r="E18" s="68">
        <f>T__02!I12</f>
        <v>1</v>
      </c>
      <c r="F18" s="377">
        <f t="shared" ref="F18:F20" si="3">SUM(B18:E18)</f>
        <v>44</v>
      </c>
      <c r="G18" s="68"/>
      <c r="H18" s="33">
        <f>T__02!J12</f>
        <v>921</v>
      </c>
      <c r="I18" s="33">
        <f>T__02!K12</f>
        <v>119</v>
      </c>
      <c r="J18" s="33">
        <f>T__02!L12</f>
        <v>51</v>
      </c>
      <c r="K18" s="33">
        <f>T__02!M12</f>
        <v>25</v>
      </c>
      <c r="L18" s="377">
        <f t="shared" ref="L18:L20" si="4">SUM(H18:K18)</f>
        <v>1116</v>
      </c>
      <c r="M18" s="4"/>
      <c r="N18" s="33">
        <f>T__02!B12</f>
        <v>737</v>
      </c>
      <c r="O18" s="33">
        <f>T__02!C12</f>
        <v>90</v>
      </c>
      <c r="P18" s="33">
        <f>T__02!D12</f>
        <v>35</v>
      </c>
      <c r="Q18" s="33">
        <f>T__02!E12</f>
        <v>19</v>
      </c>
      <c r="R18" s="377">
        <f t="shared" ref="R18:R20" si="5">SUM(N18:Q18)</f>
        <v>881</v>
      </c>
      <c r="S18" s="4"/>
    </row>
    <row r="19" spans="1:19" ht="13.5" customHeight="1" x14ac:dyDescent="0.2">
      <c r="A19" s="29" t="str">
        <f>'T02'!B14</f>
        <v>2018-19</v>
      </c>
      <c r="B19" s="68">
        <f>T__02!F13</f>
        <v>40</v>
      </c>
      <c r="C19" s="68">
        <f>T__02!G13</f>
        <v>1</v>
      </c>
      <c r="D19" s="68">
        <f>T__02!H13</f>
        <v>1</v>
      </c>
      <c r="E19" s="68">
        <f>T__02!I13</f>
        <v>2</v>
      </c>
      <c r="F19" s="377">
        <f t="shared" si="3"/>
        <v>44</v>
      </c>
      <c r="H19" s="33">
        <f>T__02!J13</f>
        <v>1016</v>
      </c>
      <c r="I19" s="33">
        <f>T__02!K13</f>
        <v>109</v>
      </c>
      <c r="J19" s="33">
        <f>T__02!L13</f>
        <v>34</v>
      </c>
      <c r="K19" s="33">
        <f>T__02!M13</f>
        <v>38</v>
      </c>
      <c r="L19" s="377">
        <f t="shared" si="4"/>
        <v>1197</v>
      </c>
      <c r="M19" s="4"/>
      <c r="N19" s="33">
        <f>T__02!B13</f>
        <v>793</v>
      </c>
      <c r="O19" s="33">
        <f>T__02!C13</f>
        <v>90</v>
      </c>
      <c r="P19" s="33">
        <f>T__02!D13</f>
        <v>31</v>
      </c>
      <c r="Q19" s="33">
        <f>T__02!E13</f>
        <v>35</v>
      </c>
      <c r="R19" s="377">
        <f t="shared" si="5"/>
        <v>949</v>
      </c>
      <c r="S19" s="4"/>
    </row>
    <row r="20" spans="1:19" ht="13.5" customHeight="1" x14ac:dyDescent="0.2">
      <c r="A20" s="29" t="str">
        <f>'T02'!B15</f>
        <v>2019-20</v>
      </c>
      <c r="B20" s="68">
        <f>T__02!F14</f>
        <v>21</v>
      </c>
      <c r="C20" s="68">
        <f>T__02!G14</f>
        <v>3</v>
      </c>
      <c r="D20" s="68">
        <f>T__02!H14</f>
        <v>3</v>
      </c>
      <c r="E20" s="68">
        <f>T__02!I14</f>
        <v>0</v>
      </c>
      <c r="F20" s="377">
        <f t="shared" si="3"/>
        <v>27</v>
      </c>
      <c r="G20" s="68"/>
      <c r="H20" s="33">
        <f>T__02!J14</f>
        <v>877</v>
      </c>
      <c r="I20" s="33">
        <f>T__02!K14</f>
        <v>91</v>
      </c>
      <c r="J20" s="33">
        <f>T__02!L14</f>
        <v>29</v>
      </c>
      <c r="K20" s="33">
        <f>T__02!M14</f>
        <v>30</v>
      </c>
      <c r="L20" s="377">
        <f t="shared" si="4"/>
        <v>1027</v>
      </c>
      <c r="M20" s="4"/>
      <c r="N20" s="33">
        <f>T__02!B14</f>
        <v>671</v>
      </c>
      <c r="O20" s="33">
        <f>T__02!C14</f>
        <v>85</v>
      </c>
      <c r="P20" s="33">
        <f>T__02!D14</f>
        <v>25</v>
      </c>
      <c r="Q20" s="33">
        <f>T__02!E14</f>
        <v>27</v>
      </c>
      <c r="R20" s="377">
        <f t="shared" si="5"/>
        <v>808</v>
      </c>
      <c r="S20" s="4"/>
    </row>
    <row r="21" spans="1:19" ht="13.5" customHeight="1" thickBot="1" x14ac:dyDescent="0.25">
      <c r="A21" s="380" t="str">
        <f>'T02'!B16</f>
        <v>2020-21</v>
      </c>
      <c r="B21" s="381">
        <f>T__02!F15</f>
        <v>44</v>
      </c>
      <c r="C21" s="381">
        <f>T__02!G15</f>
        <v>2</v>
      </c>
      <c r="D21" s="381">
        <f>T__02!H15</f>
        <v>5</v>
      </c>
      <c r="E21" s="381">
        <f>T__02!I15</f>
        <v>2</v>
      </c>
      <c r="F21" s="382">
        <f t="shared" ref="F21" si="6">SUM(B21:E21)</f>
        <v>53</v>
      </c>
      <c r="G21" s="381"/>
      <c r="H21" s="383">
        <f>T__02!J15</f>
        <v>876</v>
      </c>
      <c r="I21" s="383">
        <f>T__02!K15</f>
        <v>74</v>
      </c>
      <c r="J21" s="383">
        <f>T__02!L15</f>
        <v>22</v>
      </c>
      <c r="K21" s="383">
        <f>T__02!M15</f>
        <v>45</v>
      </c>
      <c r="L21" s="382">
        <f t="shared" ref="L21" si="7">SUM(H21:K21)</f>
        <v>1017</v>
      </c>
      <c r="M21" s="349"/>
      <c r="N21" s="383">
        <f>T__02!B15</f>
        <v>584</v>
      </c>
      <c r="O21" s="383">
        <f>T__02!C15</f>
        <v>54</v>
      </c>
      <c r="P21" s="383">
        <f>T__02!D15</f>
        <v>15</v>
      </c>
      <c r="Q21" s="383">
        <f>T__02!E15</f>
        <v>40</v>
      </c>
      <c r="R21" s="382">
        <f t="shared" ref="R21" si="8">SUM(N21:Q21)</f>
        <v>693</v>
      </c>
      <c r="S21" s="4"/>
    </row>
    <row r="22" spans="1:19" ht="13.5" customHeight="1" x14ac:dyDescent="0.2">
      <c r="A22" s="29"/>
      <c r="B22" s="68"/>
      <c r="C22" s="68"/>
      <c r="D22" s="68"/>
      <c r="E22" s="68"/>
      <c r="F22" s="1220"/>
      <c r="G22" s="68"/>
      <c r="H22" s="33"/>
      <c r="I22" s="33"/>
      <c r="J22" s="33"/>
      <c r="K22" s="33"/>
      <c r="L22" s="377"/>
      <c r="M22" s="4"/>
      <c r="N22" s="33"/>
      <c r="O22" s="33"/>
      <c r="P22" s="33"/>
      <c r="Q22" s="33"/>
      <c r="R22" s="377"/>
      <c r="S22" s="4"/>
    </row>
    <row r="23" spans="1:19" x14ac:dyDescent="0.2">
      <c r="A23" s="2" t="s">
        <v>146</v>
      </c>
      <c r="M23" s="9"/>
    </row>
    <row r="24" spans="1:19" ht="30" customHeight="1" x14ac:dyDescent="0.25">
      <c r="A24" s="1368" t="s">
        <v>626</v>
      </c>
      <c r="B24" s="1368"/>
      <c r="C24" s="1368"/>
      <c r="D24" s="1368"/>
      <c r="E24" s="1368"/>
      <c r="F24" s="1368"/>
      <c r="G24" s="1368"/>
      <c r="H24" s="1368"/>
      <c r="I24" s="1368"/>
      <c r="J24" s="1368"/>
      <c r="K24" s="1368"/>
      <c r="L24" s="1368"/>
      <c r="M24" s="1368"/>
      <c r="N24" s="1368"/>
      <c r="O24" s="1368"/>
      <c r="P24" s="1368"/>
      <c r="Q24" s="1368"/>
      <c r="R24" s="1368"/>
    </row>
    <row r="25" spans="1:19" ht="15" customHeight="1" x14ac:dyDescent="0.25">
      <c r="A25" s="1000" t="s">
        <v>1220</v>
      </c>
      <c r="F25" s="278"/>
      <c r="G25" s="278"/>
      <c r="H25" s="278"/>
      <c r="I25" s="278"/>
      <c r="J25" s="278"/>
      <c r="K25" s="278"/>
      <c r="L25" s="278"/>
      <c r="M25" s="278"/>
      <c r="N25" s="278"/>
      <c r="O25" s="278"/>
      <c r="P25" s="278"/>
      <c r="Q25" s="278"/>
      <c r="R25" s="278"/>
    </row>
    <row r="26" spans="1:19" ht="15" customHeight="1" x14ac:dyDescent="0.25">
      <c r="B26" s="297"/>
      <c r="D26" s="297"/>
      <c r="F26" s="278"/>
      <c r="G26" s="278"/>
      <c r="H26" s="278"/>
      <c r="I26" s="278"/>
      <c r="J26" s="278"/>
      <c r="K26" s="278"/>
      <c r="L26" s="278"/>
      <c r="M26" s="278"/>
      <c r="N26" s="278"/>
      <c r="O26" s="278"/>
      <c r="P26" s="278"/>
      <c r="Q26" s="278"/>
      <c r="R26" s="278"/>
    </row>
    <row r="27" spans="1:19" ht="15" customHeight="1" x14ac:dyDescent="0.25">
      <c r="B27" s="297"/>
      <c r="D27" s="297"/>
      <c r="F27" s="278"/>
      <c r="G27" s="278"/>
      <c r="H27" s="278"/>
      <c r="I27" s="278"/>
      <c r="J27" s="278"/>
      <c r="K27" s="278"/>
      <c r="L27" s="278"/>
      <c r="M27" s="278"/>
      <c r="N27" s="278"/>
      <c r="O27" s="278"/>
      <c r="P27" s="278"/>
      <c r="Q27" s="278"/>
      <c r="R27" s="278"/>
    </row>
    <row r="28" spans="1:19" ht="15" customHeight="1" x14ac:dyDescent="0.25">
      <c r="A28" s="352"/>
      <c r="D28" s="297"/>
      <c r="F28" s="278"/>
      <c r="G28" s="278"/>
      <c r="H28" s="278"/>
      <c r="I28" s="278"/>
      <c r="J28" s="278"/>
      <c r="K28" s="278"/>
      <c r="L28" s="278"/>
      <c r="M28" s="278"/>
      <c r="N28" s="278"/>
      <c r="O28" s="278"/>
      <c r="P28" s="278"/>
      <c r="Q28" s="278"/>
      <c r="R28" s="278"/>
    </row>
    <row r="29" spans="1:19" ht="38.25" customHeight="1" x14ac:dyDescent="0.2">
      <c r="A29" s="1361" t="s">
        <v>1039</v>
      </c>
      <c r="B29" s="1361"/>
      <c r="C29" s="1361"/>
      <c r="D29" s="1361"/>
      <c r="E29" s="1361"/>
      <c r="F29" s="1361"/>
      <c r="G29" s="1361"/>
      <c r="H29" s="1361"/>
      <c r="I29" s="1361"/>
      <c r="J29" s="1361"/>
      <c r="K29" s="1361"/>
      <c r="L29" s="1361"/>
      <c r="M29" s="1361"/>
    </row>
    <row r="30" spans="1:19" ht="15" customHeight="1" x14ac:dyDescent="0.25">
      <c r="A30" s="351" t="s">
        <v>579</v>
      </c>
      <c r="B30" s="1043" t="s">
        <v>1359</v>
      </c>
    </row>
    <row r="31" spans="1:19" ht="15" customHeight="1" x14ac:dyDescent="0.25">
      <c r="A31" s="351" t="s">
        <v>580</v>
      </c>
      <c r="B31" s="351" t="s">
        <v>581</v>
      </c>
      <c r="C31" s="129"/>
      <c r="D31" s="129"/>
      <c r="E31" s="129"/>
      <c r="F31" s="129"/>
      <c r="G31" s="129"/>
      <c r="H31" s="129"/>
      <c r="I31" s="129"/>
      <c r="J31" s="129"/>
      <c r="K31" s="129"/>
      <c r="L31" s="129"/>
      <c r="M31" s="129"/>
    </row>
    <row r="32" spans="1:19" ht="15" customHeight="1" x14ac:dyDescent="0.25">
      <c r="A32" s="351" t="s">
        <v>582</v>
      </c>
      <c r="B32" s="351" t="s">
        <v>585</v>
      </c>
      <c r="C32" s="129"/>
      <c r="D32" s="129"/>
      <c r="E32" s="129"/>
      <c r="F32" s="129"/>
      <c r="G32" s="129"/>
      <c r="H32" s="129"/>
      <c r="I32" s="129"/>
      <c r="J32" s="129"/>
      <c r="K32" s="129"/>
      <c r="L32" s="129"/>
      <c r="M32" s="129"/>
    </row>
    <row r="33" spans="1:29" ht="15" customHeight="1" x14ac:dyDescent="0.2">
      <c r="F33" s="60"/>
      <c r="L33" s="60"/>
      <c r="R33" s="60" t="s">
        <v>57</v>
      </c>
    </row>
    <row r="34" spans="1:29" s="39" customFormat="1" ht="27.75" customHeight="1" x14ac:dyDescent="0.2">
      <c r="A34" s="1"/>
      <c r="B34" s="1275" t="s">
        <v>259</v>
      </c>
      <c r="C34" s="1276"/>
      <c r="D34" s="1276"/>
      <c r="E34" s="1276"/>
      <c r="F34" s="1277" t="s">
        <v>54</v>
      </c>
      <c r="H34" s="1275" t="s">
        <v>56</v>
      </c>
      <c r="I34" s="1276"/>
      <c r="J34" s="1276"/>
      <c r="K34" s="1276"/>
      <c r="L34" s="1277" t="s">
        <v>55</v>
      </c>
      <c r="N34" s="1311" t="s">
        <v>254</v>
      </c>
      <c r="O34" s="1366"/>
      <c r="P34" s="1366"/>
      <c r="Q34" s="1367"/>
      <c r="R34" s="1277" t="s">
        <v>55</v>
      </c>
      <c r="U34"/>
      <c r="V34"/>
      <c r="W34"/>
      <c r="X34"/>
      <c r="Y34"/>
      <c r="Z34"/>
      <c r="AA34"/>
    </row>
    <row r="35" spans="1:29" s="39" customFormat="1" ht="26.25" customHeight="1" x14ac:dyDescent="0.2">
      <c r="A35" s="153" t="s">
        <v>4</v>
      </c>
      <c r="B35" s="336" t="s">
        <v>5</v>
      </c>
      <c r="C35" s="345" t="s">
        <v>6</v>
      </c>
      <c r="D35" s="345" t="s">
        <v>7</v>
      </c>
      <c r="E35" s="233" t="s">
        <v>8</v>
      </c>
      <c r="F35" s="1365"/>
      <c r="H35" s="336" t="s">
        <v>5</v>
      </c>
      <c r="I35" s="345" t="s">
        <v>6</v>
      </c>
      <c r="J35" s="345" t="s">
        <v>7</v>
      </c>
      <c r="K35" s="233" t="s">
        <v>8</v>
      </c>
      <c r="L35" s="1282"/>
      <c r="M35" s="187"/>
      <c r="N35" s="336" t="s">
        <v>5</v>
      </c>
      <c r="O35" s="345" t="s">
        <v>6</v>
      </c>
      <c r="P35" s="345" t="s">
        <v>7</v>
      </c>
      <c r="Q35" s="233" t="s">
        <v>8</v>
      </c>
      <c r="R35" s="1365"/>
      <c r="U35"/>
      <c r="V35"/>
      <c r="W35"/>
      <c r="X35"/>
      <c r="Y35"/>
      <c r="Z35"/>
      <c r="AA35"/>
    </row>
    <row r="36" spans="1:29" ht="18.75" customHeight="1" x14ac:dyDescent="0.2">
      <c r="A36" s="378" t="str">
        <f t="shared" ref="A36:A43" si="9">A10</f>
        <v>2009-10</v>
      </c>
      <c r="B36" s="171">
        <f>B10/Fires!B10*1000</f>
        <v>8.0792682926829276</v>
      </c>
      <c r="C36" s="171">
        <f>C10/Fires!C10*1000</f>
        <v>1.3315579227696406</v>
      </c>
      <c r="D36" s="171">
        <f>D10/Fires!D10*1000</f>
        <v>1.340033500837521</v>
      </c>
      <c r="E36" s="171">
        <f>E10/Fires!E10*1000</f>
        <v>0.693000693000693</v>
      </c>
      <c r="F36" s="387">
        <f>F10/Fires!F10*1000</f>
        <v>4.4311034877072615</v>
      </c>
      <c r="G36" s="388"/>
      <c r="H36" s="216">
        <f>H10/Fires!B10*1000</f>
        <v>157.3170731707317</v>
      </c>
      <c r="I36" s="216">
        <f>I10/Fires!C10*1000</f>
        <v>31.62450066577896</v>
      </c>
      <c r="J36" s="216">
        <f>J10/Fires!D10*1000</f>
        <v>22.110552763819097</v>
      </c>
      <c r="K36" s="216">
        <f>K10/Fires!E10*1000</f>
        <v>20.79002079002079</v>
      </c>
      <c r="L36" s="387">
        <f>L10/Fires!F10*1000</f>
        <v>87.407089765580324</v>
      </c>
      <c r="M36" s="388"/>
      <c r="N36" s="217">
        <f>N10/Fires!B10*1000</f>
        <v>119.96951219512195</v>
      </c>
      <c r="O36" s="217">
        <f>O10/Fires!C10*1000</f>
        <v>27.962716378162451</v>
      </c>
      <c r="P36" s="217">
        <f>P10/Fires!D10*1000</f>
        <v>19.765494137353432</v>
      </c>
      <c r="Q36" s="217">
        <f>Q10/Fires!E10*1000</f>
        <v>18.018018018018019</v>
      </c>
      <c r="R36" s="389">
        <f>R10/Fires!F10*1000</f>
        <v>68.324757004002279</v>
      </c>
      <c r="T36"/>
      <c r="AB36"/>
      <c r="AC36"/>
    </row>
    <row r="37" spans="1:29" ht="13.5" customHeight="1" x14ac:dyDescent="0.2">
      <c r="A37" s="29" t="str">
        <f t="shared" si="9"/>
        <v>2010-11</v>
      </c>
      <c r="B37" s="88">
        <f>B11/Fires!B11*1000</f>
        <v>7.1508024789448585</v>
      </c>
      <c r="C37" s="88">
        <f>C11/Fires!C11*1000</f>
        <v>1.0733452593917709</v>
      </c>
      <c r="D37" s="88">
        <f>D11/Fires!D11*1000</f>
        <v>1.1177347242921014</v>
      </c>
      <c r="E37" s="88">
        <f>E11/Fires!E11*1000</f>
        <v>0.7288629737609329</v>
      </c>
      <c r="F37" s="384">
        <f>F11/Fires!F11*1000</f>
        <v>3.9561777236762024</v>
      </c>
      <c r="G37" s="385"/>
      <c r="H37" s="10">
        <f>H11/Fires!B11*1000</f>
        <v>181.4714762434451</v>
      </c>
      <c r="I37" s="10">
        <f>I11/Fires!C11*1000</f>
        <v>38.998211091234346</v>
      </c>
      <c r="J37" s="10">
        <f>J11/Fires!D11*1000</f>
        <v>16.02086438152012</v>
      </c>
      <c r="K37" s="10">
        <f>K11/Fires!E11*1000</f>
        <v>27.696793002915452</v>
      </c>
      <c r="L37" s="384">
        <f>L11/Fires!F11*1000</f>
        <v>101.33901399878272</v>
      </c>
      <c r="M37" s="385"/>
      <c r="N37" s="89">
        <f>N11/Fires!B11*1000</f>
        <v>148.4188781185444</v>
      </c>
      <c r="O37" s="89">
        <f>O11/Fires!C11*1000</f>
        <v>31.842576028622538</v>
      </c>
      <c r="P37" s="89">
        <f>P11/Fires!D11*1000</f>
        <v>13.785394932935917</v>
      </c>
      <c r="Q37" s="89">
        <f>Q11/Fires!E11*1000</f>
        <v>24.781341107871722</v>
      </c>
      <c r="R37" s="160">
        <f>R11/Fires!F11*1000</f>
        <v>83.231892878880089</v>
      </c>
      <c r="T37"/>
      <c r="AB37"/>
      <c r="AC37"/>
    </row>
    <row r="38" spans="1:29" ht="13.5" customHeight="1" x14ac:dyDescent="0.2">
      <c r="A38" s="29" t="str">
        <f t="shared" si="9"/>
        <v>2011-12</v>
      </c>
      <c r="B38" s="88">
        <f>B12/Fires!B12*1000</f>
        <v>8.2832548318986525</v>
      </c>
      <c r="C38" s="88">
        <f>C12/Fires!C12*1000</f>
        <v>1.4722119985277879</v>
      </c>
      <c r="D38" s="88">
        <f>D12/Fires!D12*1000</f>
        <v>1.2701100762066044</v>
      </c>
      <c r="E38" s="88">
        <f>E12/Fires!E12*1000</f>
        <v>0.85106382978723405</v>
      </c>
      <c r="F38" s="386">
        <f>F12/Fires!F12*1000</f>
        <v>4.7538473934413021</v>
      </c>
      <c r="G38" s="385"/>
      <c r="H38" s="10">
        <f>H12/Fires!B12*1000</f>
        <v>197.98603215851875</v>
      </c>
      <c r="I38" s="10">
        <f>I12/Fires!C12*1000</f>
        <v>36.43724696356275</v>
      </c>
      <c r="J38" s="10">
        <f>J12/Fires!D12*1000</f>
        <v>24.555461473327686</v>
      </c>
      <c r="K38" s="10">
        <f>K12/Fires!E12*1000</f>
        <v>32.340425531914896</v>
      </c>
      <c r="L38" s="384">
        <f>L12/Fires!F12*1000</f>
        <v>113.93119007332206</v>
      </c>
      <c r="M38" s="385"/>
      <c r="N38" s="89">
        <f>N12/Fires!B12*1000</f>
        <v>155.10800714633748</v>
      </c>
      <c r="O38" s="89">
        <f>O12/Fires!C12*1000</f>
        <v>31.284504968715495</v>
      </c>
      <c r="P38" s="89">
        <f>P12/Fires!D12*1000</f>
        <v>18.204911092294665</v>
      </c>
      <c r="Q38" s="89">
        <f>Q12/Fires!E12*1000</f>
        <v>28.936170212765958</v>
      </c>
      <c r="R38" s="160">
        <f>R12/Fires!F12*1000</f>
        <v>90.000805736846345</v>
      </c>
      <c r="T38"/>
      <c r="AB38"/>
      <c r="AC38"/>
    </row>
    <row r="39" spans="1:29" ht="13.5" customHeight="1" x14ac:dyDescent="0.2">
      <c r="A39" s="29" t="str">
        <f t="shared" si="9"/>
        <v>2012-13</v>
      </c>
      <c r="B39" s="88">
        <f>B13/Fires!B13*1000</f>
        <v>6.8622405215302793</v>
      </c>
      <c r="C39" s="88">
        <f>C13/Fires!C13*1000</f>
        <v>0.83056478405315615</v>
      </c>
      <c r="D39" s="88">
        <f>D13/Fires!D13*1000</f>
        <v>0.98328416912487715</v>
      </c>
      <c r="E39" s="88">
        <f>E13/Fires!E13*1000</f>
        <v>2.4539877300613497</v>
      </c>
      <c r="F39" s="384">
        <f>F13/Fires!F13*1000</f>
        <v>4.1493775933609962</v>
      </c>
      <c r="G39" s="385"/>
      <c r="H39" s="10">
        <f>H13/Fires!B13*1000</f>
        <v>200.03431120260765</v>
      </c>
      <c r="I39" s="10">
        <f>I13/Fires!C13*1000</f>
        <v>38.205980066445186</v>
      </c>
      <c r="J39" s="10">
        <f>J13/Fires!D13*1000</f>
        <v>17.207472959685351</v>
      </c>
      <c r="K39" s="10">
        <f>K13/Fires!E13*1000</f>
        <v>31.90184049079755</v>
      </c>
      <c r="L39" s="384">
        <f>L13/Fires!F13*1000</f>
        <v>118.9788922965903</v>
      </c>
      <c r="M39" s="385"/>
      <c r="N39" s="89">
        <f>N13/Fires!B13*1000</f>
        <v>158.34620003431121</v>
      </c>
      <c r="O39" s="89">
        <f>O13/Fires!C13*1000</f>
        <v>32.392026578073086</v>
      </c>
      <c r="P39" s="89">
        <f>P13/Fires!D13*1000</f>
        <v>15.732546705998034</v>
      </c>
      <c r="Q39" s="89">
        <f>Q13/Fires!E13*1000</f>
        <v>29.447852760736197</v>
      </c>
      <c r="R39" s="160">
        <f>R13/Fires!F13*1000</f>
        <v>95.345480786577667</v>
      </c>
      <c r="T39"/>
      <c r="AB39"/>
      <c r="AC39"/>
    </row>
    <row r="40" spans="1:29" ht="13.5" customHeight="1" x14ac:dyDescent="0.2">
      <c r="A40" s="29" t="str">
        <f t="shared" si="9"/>
        <v>2013-14</v>
      </c>
      <c r="B40" s="88">
        <f>B14/Fires!B14*1000</f>
        <v>5.4480556077399962</v>
      </c>
      <c r="C40" s="88">
        <f>C14/Fires!C14*1000</f>
        <v>0.42625745950554134</v>
      </c>
      <c r="D40" s="88">
        <f>D14/Fires!D14*1000</f>
        <v>0.51599587203302366</v>
      </c>
      <c r="E40" s="88">
        <f>E14/Fires!E14*1000</f>
        <v>0</v>
      </c>
      <c r="F40" s="384">
        <f>F14/Fires!F14*1000</f>
        <v>2.946487976428096</v>
      </c>
      <c r="G40" s="90"/>
      <c r="H40" s="10">
        <f>H14/Fires!B14*1000</f>
        <v>214.164944580124</v>
      </c>
      <c r="I40" s="10">
        <f>I14/Fires!C14*1000</f>
        <v>36.658141517476551</v>
      </c>
      <c r="J40" s="10">
        <f>J14/Fires!D14*1000</f>
        <v>25.799793601651185</v>
      </c>
      <c r="K40" s="10">
        <f>K14/Fires!E14*1000</f>
        <v>37.199124726477024</v>
      </c>
      <c r="L40" s="384">
        <f>L14/Fires!F14*1000</f>
        <v>124.51287900389697</v>
      </c>
      <c r="M40" s="90"/>
      <c r="N40" s="89">
        <f>N14/Fires!B14*1000</f>
        <v>176.96787525831297</v>
      </c>
      <c r="O40" s="89">
        <f>O14/Fires!C14*1000</f>
        <v>32.395566922421139</v>
      </c>
      <c r="P40" s="89">
        <f>P14/Fires!D14*1000</f>
        <v>23.735810113519094</v>
      </c>
      <c r="Q40" s="89">
        <f>Q14/Fires!E14*1000</f>
        <v>27.352297592997811</v>
      </c>
      <c r="R40" s="160">
        <f>R14/Fires!F14*1000</f>
        <v>103.50727117194184</v>
      </c>
      <c r="T40"/>
      <c r="AB40"/>
      <c r="AC40"/>
    </row>
    <row r="41" spans="1:29" ht="13.5" customHeight="1" x14ac:dyDescent="0.2">
      <c r="A41" s="29" t="str">
        <f t="shared" si="9"/>
        <v>2014-15</v>
      </c>
      <c r="B41" s="88">
        <f>B15/Fires!B15*1000</f>
        <v>5.561535701471116</v>
      </c>
      <c r="C41" s="88">
        <f>C15/Fires!C15*1000</f>
        <v>1.2908777969018934</v>
      </c>
      <c r="D41" s="88">
        <f>D15/Fires!D15*1000</f>
        <v>0.5271481286241434</v>
      </c>
      <c r="E41" s="88">
        <f>E15/Fires!E15*1000</f>
        <v>5.9665871121718377</v>
      </c>
      <c r="F41" s="384">
        <f>F15/Fires!F15*1000</f>
        <v>3.7618734129596541</v>
      </c>
      <c r="G41" s="90"/>
      <c r="H41" s="10">
        <f>H15/Fires!B15*1000</f>
        <v>169.89594546106926</v>
      </c>
      <c r="I41" s="10">
        <f>I15/Fires!C15*1000</f>
        <v>39.156626506024097</v>
      </c>
      <c r="J41" s="10">
        <f>J15/Fires!D15*1000</f>
        <v>21.085925144965735</v>
      </c>
      <c r="K41" s="10">
        <f>K15/Fires!E15*1000</f>
        <v>25.05966587112172</v>
      </c>
      <c r="L41" s="384">
        <f>L15/Fires!F15*1000</f>
        <v>103.35747202106649</v>
      </c>
      <c r="M41" s="90"/>
      <c r="N41" s="89">
        <f>N15/Fires!B15*1000</f>
        <v>136.70613562970937</v>
      </c>
      <c r="O41" s="89">
        <f>O15/Fires!C15*1000</f>
        <v>33.56282271944923</v>
      </c>
      <c r="P41" s="89">
        <f>P15/Fires!D15*1000</f>
        <v>15.814443858724301</v>
      </c>
      <c r="Q41" s="89">
        <f>Q15/Fires!E15*1000</f>
        <v>19.093078758949883</v>
      </c>
      <c r="R41" s="160">
        <f>R15/Fires!F15*1000</f>
        <v>83.32549609705633</v>
      </c>
      <c r="T41"/>
      <c r="AB41"/>
      <c r="AC41"/>
    </row>
    <row r="42" spans="1:29" ht="13.5" customHeight="1" x14ac:dyDescent="0.2">
      <c r="A42" s="29" t="str">
        <f t="shared" si="9"/>
        <v>2015-16</v>
      </c>
      <c r="B42" s="88">
        <f>B16/Fires!B16*1000</f>
        <v>6.8746694870438922</v>
      </c>
      <c r="C42" s="88">
        <f>C16/Fires!C16*1000</f>
        <v>1.2028869286287089</v>
      </c>
      <c r="D42" s="88">
        <f>D16/Fires!D16*1000</f>
        <v>1.5267175572519083</v>
      </c>
      <c r="E42" s="88">
        <f>E16/Fires!E16*1000</f>
        <v>0</v>
      </c>
      <c r="F42" s="384">
        <f>F16/Fires!F16*1000</f>
        <v>4.0886789024168637</v>
      </c>
      <c r="G42" s="90"/>
      <c r="H42" s="10">
        <f>H16/Fires!B16*1000</f>
        <v>187.37881191609378</v>
      </c>
      <c r="I42" s="10">
        <f>I16/Fires!C16*1000</f>
        <v>46.912590216519646</v>
      </c>
      <c r="J42" s="10">
        <f>J16/Fires!D16*1000</f>
        <v>31.043256997455472</v>
      </c>
      <c r="K42" s="10">
        <f>K16/Fires!E16*1000</f>
        <v>40.045766590389022</v>
      </c>
      <c r="L42" s="384">
        <f>L16/Fires!F16*1000</f>
        <v>115.93676176630927</v>
      </c>
      <c r="M42" s="90"/>
      <c r="N42" s="89">
        <f>N16/Fires!B16*1000</f>
        <v>146.13079499383042</v>
      </c>
      <c r="O42" s="89">
        <f>O16/Fires!C16*1000</f>
        <v>41.299117882919006</v>
      </c>
      <c r="P42" s="89">
        <f>P16/Fires!D16*1000</f>
        <v>28.498727735368959</v>
      </c>
      <c r="Q42" s="89">
        <f>Q16/Fires!E16*1000</f>
        <v>33.180778032036613</v>
      </c>
      <c r="R42" s="160">
        <f>R16/Fires!F16*1000</f>
        <v>92.404143194621113</v>
      </c>
      <c r="T42"/>
      <c r="AB42"/>
      <c r="AC42"/>
    </row>
    <row r="43" spans="1:29" ht="13.5" customHeight="1" x14ac:dyDescent="0.2">
      <c r="A43" s="29" t="str">
        <f t="shared" si="9"/>
        <v>2016-17</v>
      </c>
      <c r="B43" s="88">
        <f>B17/Fires!B17*1000</f>
        <v>6.4981949458483754</v>
      </c>
      <c r="C43" s="88">
        <f>C17/Fires!C17*1000</f>
        <v>1.3175230566534915</v>
      </c>
      <c r="D43" s="88">
        <f>D17/Fires!D17*1000</f>
        <v>2.3584905660377355</v>
      </c>
      <c r="E43" s="88">
        <f>E17/Fires!E17*1000</f>
        <v>0</v>
      </c>
      <c r="F43" s="384">
        <f>F17/Fires!F17*1000</f>
        <v>4.0389205067009364</v>
      </c>
      <c r="G43" s="90"/>
      <c r="H43" s="10">
        <f>H17/Fires!B17*1000</f>
        <v>201.26353790613717</v>
      </c>
      <c r="I43" s="10">
        <f>I17/Fires!C17*1000</f>
        <v>31.620553359683793</v>
      </c>
      <c r="J43" s="10">
        <f>J17/Fires!D17*1000</f>
        <v>22.641509433962263</v>
      </c>
      <c r="K43" s="10">
        <f>K17/Fires!E17*1000</f>
        <v>32.392894461859981</v>
      </c>
      <c r="L43" s="384">
        <f>L17/Fires!F17*1000</f>
        <v>116.21075821553148</v>
      </c>
      <c r="M43" s="90"/>
      <c r="N43" s="89">
        <f>N17/Fires!B17*1000</f>
        <v>146.93140794223828</v>
      </c>
      <c r="O43" s="89">
        <f>O17/Fires!C17*1000</f>
        <v>24.593763724198507</v>
      </c>
      <c r="P43" s="89">
        <f>P17/Fires!D17*1000</f>
        <v>18.867924528301884</v>
      </c>
      <c r="Q43" s="89">
        <f>Q17/Fires!E17*1000</f>
        <v>27.168234064785786</v>
      </c>
      <c r="R43" s="160">
        <f>R17/Fires!F17*1000</f>
        <v>85.918854415274453</v>
      </c>
      <c r="T43"/>
      <c r="AB43"/>
      <c r="AC43"/>
    </row>
    <row r="44" spans="1:29" ht="13.5" customHeight="1" x14ac:dyDescent="0.2">
      <c r="A44" s="29" t="str">
        <f t="shared" ref="A44:A47" si="10">A18</f>
        <v>2017-18</v>
      </c>
      <c r="B44" s="88">
        <f>B18/Fires!B18*1000</f>
        <v>6.9666729429485965</v>
      </c>
      <c r="C44" s="88">
        <f>C18/Fires!C18*1000</f>
        <v>1.3117621337997378</v>
      </c>
      <c r="D44" s="88">
        <f>D18/Fires!D18*1000</f>
        <v>1.4880952380952379</v>
      </c>
      <c r="E44" s="88">
        <f>E18/Fires!E18*1000</f>
        <v>0.94517958412098302</v>
      </c>
      <c r="F44" s="384">
        <f>F18/Fires!F18*1000</f>
        <v>4.1229385307346327</v>
      </c>
      <c r="G44" s="90"/>
      <c r="H44" s="10">
        <f>H18/Fires!B18*1000</f>
        <v>173.41366974204482</v>
      </c>
      <c r="I44" s="10">
        <f>I18/Fires!C18*1000</f>
        <v>52.033231307389592</v>
      </c>
      <c r="J44" s="10">
        <f>J18/Fires!D18*1000</f>
        <v>25.297619047619047</v>
      </c>
      <c r="K44" s="10">
        <f>K18/Fires!E18*1000</f>
        <v>23.629489603024574</v>
      </c>
      <c r="L44" s="384">
        <f>L18/Fires!F18*1000</f>
        <v>104.57271364317842</v>
      </c>
      <c r="M44" s="90"/>
      <c r="N44" s="89">
        <f>N18/Fires!B18*1000</f>
        <v>138.76859348521936</v>
      </c>
      <c r="O44" s="89">
        <f>O18/Fires!C18*1000</f>
        <v>39.352864013992125</v>
      </c>
      <c r="P44" s="89">
        <f>P18/Fires!D18*1000</f>
        <v>17.361111111111111</v>
      </c>
      <c r="Q44" s="89">
        <f>Q18/Fires!E18*1000</f>
        <v>17.958412098298677</v>
      </c>
      <c r="R44" s="160">
        <f>R18/Fires!F18*1000</f>
        <v>82.552473763118442</v>
      </c>
      <c r="T44"/>
      <c r="AB44"/>
      <c r="AC44"/>
    </row>
    <row r="45" spans="1:29" ht="13.5" customHeight="1" x14ac:dyDescent="0.2">
      <c r="A45" s="29" t="str">
        <f t="shared" si="10"/>
        <v>2018-19</v>
      </c>
      <c r="B45" s="88">
        <f>B19/Fires!B19*1000</f>
        <v>7.7745383867832842</v>
      </c>
      <c r="C45" s="88">
        <f>C19/Fires!C19*1000</f>
        <v>0.44404973357015987</v>
      </c>
      <c r="D45" s="88">
        <f>D19/Fires!D19*1000</f>
        <v>0.51229508196721318</v>
      </c>
      <c r="E45" s="88">
        <f>E19/Fires!E19*1000</f>
        <v>1.779359430604982</v>
      </c>
      <c r="F45" s="384">
        <f>F19/Fires!F19*1000</f>
        <v>4.2012794805690827</v>
      </c>
      <c r="G45" s="90"/>
      <c r="H45" s="10">
        <f>H19/Fires!B19*1000</f>
        <v>197.47327502429542</v>
      </c>
      <c r="I45" s="10">
        <f>I19/Fires!C19*1000</f>
        <v>48.401420959147423</v>
      </c>
      <c r="J45" s="10">
        <f>J19/Fires!D19*1000</f>
        <v>17.418032786885245</v>
      </c>
      <c r="K45" s="10">
        <f>K19/Fires!E19*1000</f>
        <v>33.807829181494661</v>
      </c>
      <c r="L45" s="384">
        <f>L19/Fires!F19*1000</f>
        <v>114.29389859639072</v>
      </c>
      <c r="M45" s="90"/>
      <c r="N45" s="89">
        <f>N19/Fires!B19*1000</f>
        <v>154.13022351797861</v>
      </c>
      <c r="O45" s="89">
        <f>O19/Fires!C19*1000</f>
        <v>39.96447602131439</v>
      </c>
      <c r="P45" s="89">
        <f>P19/Fires!D19*1000</f>
        <v>15.881147540983607</v>
      </c>
      <c r="Q45" s="89">
        <f>Q19/Fires!E19*1000</f>
        <v>31.138790035587188</v>
      </c>
      <c r="R45" s="160">
        <f>R19/Fires!F19*1000</f>
        <v>90.613959705910432</v>
      </c>
      <c r="T45"/>
      <c r="AB45"/>
      <c r="AC45"/>
    </row>
    <row r="46" spans="1:29" ht="13.5" customHeight="1" x14ac:dyDescent="0.2">
      <c r="A46" s="29" t="str">
        <f t="shared" si="10"/>
        <v>2019-20</v>
      </c>
      <c r="B46" s="88">
        <f>B20/Fires!B20*1000</f>
        <v>4.294478527607362</v>
      </c>
      <c r="C46" s="88">
        <f>C20/Fires!C20*1000</f>
        <v>1.5151515151515151</v>
      </c>
      <c r="D46" s="88">
        <f>D20/Fires!D20*1000</f>
        <v>1.4292520247737017</v>
      </c>
      <c r="E46" s="88">
        <f>E20/Fires!E20*1000</f>
        <v>0</v>
      </c>
      <c r="F46" s="384">
        <f>F20/Fires!F20*1000</f>
        <v>2.7405602923264314</v>
      </c>
      <c r="G46" s="90"/>
      <c r="H46" s="10">
        <f>H20/Fires!B20*1000</f>
        <v>179.34560327198366</v>
      </c>
      <c r="I46" s="10">
        <f>I20/Fires!C20*1000</f>
        <v>45.959595959595958</v>
      </c>
      <c r="J46" s="10">
        <f>J20/Fires!D20*1000</f>
        <v>13.816102906145783</v>
      </c>
      <c r="K46" s="10">
        <f>K20/Fires!E20*1000</f>
        <v>33.975084937712339</v>
      </c>
      <c r="L46" s="384">
        <f>L20/Fires!F20*1000</f>
        <v>104.24279334145352</v>
      </c>
      <c r="M46" s="90"/>
      <c r="N46" s="89">
        <f>N20/Fires!B20*1000</f>
        <v>137.21881390593046</v>
      </c>
      <c r="O46" s="89">
        <f>O20/Fires!C20*1000</f>
        <v>42.929292929292927</v>
      </c>
      <c r="P46" s="89">
        <f>P20/Fires!D20*1000</f>
        <v>11.910433539780849</v>
      </c>
      <c r="Q46" s="89">
        <f>Q20/Fires!E20*1000</f>
        <v>30.577576443941108</v>
      </c>
      <c r="R46" s="160">
        <f>R20/Fires!F20*1000</f>
        <v>82.01380430369467</v>
      </c>
      <c r="T46"/>
      <c r="AB46"/>
      <c r="AC46"/>
    </row>
    <row r="47" spans="1:29" ht="13.5" thickBot="1" x14ac:dyDescent="0.25">
      <c r="A47" s="380" t="str">
        <f t="shared" si="10"/>
        <v>2020-21</v>
      </c>
      <c r="B47" s="390">
        <f>B21/Fires!B21*1000</f>
        <v>9.4400343273975533</v>
      </c>
      <c r="C47" s="390">
        <f>C21/Fires!C21*1000</f>
        <v>1.1641443538998835</v>
      </c>
      <c r="D47" s="390">
        <f>D21/Fires!D21*1000</f>
        <v>2.7533039647577096</v>
      </c>
      <c r="E47" s="390">
        <f>E21/Fires!E21*1000</f>
        <v>1.638001638001638</v>
      </c>
      <c r="F47" s="391">
        <f>F21/Fires!F21*1000</f>
        <v>5.6287170773152084</v>
      </c>
      <c r="G47" s="392"/>
      <c r="H47" s="393">
        <f>H21/Fires!B21*1000</f>
        <v>187.94250160909675</v>
      </c>
      <c r="I47" s="393">
        <f>I21/Fires!C21*1000</f>
        <v>43.073341094295692</v>
      </c>
      <c r="J47" s="393">
        <f>J21/Fires!D21*1000</f>
        <v>12.114537444933921</v>
      </c>
      <c r="K47" s="393">
        <f>K21/Fires!E21*1000</f>
        <v>36.855036855036857</v>
      </c>
      <c r="L47" s="391">
        <f>L21/Fires!F21*1000</f>
        <v>108.00764655904842</v>
      </c>
      <c r="M47" s="392"/>
      <c r="N47" s="394">
        <f>N21/Fires!B21*1000</f>
        <v>125.29500107273117</v>
      </c>
      <c r="O47" s="394">
        <f>O21/Fires!C21*1000</f>
        <v>31.431897555296857</v>
      </c>
      <c r="P47" s="394">
        <f>P21/Fires!D21*1000</f>
        <v>8.2599118942731273</v>
      </c>
      <c r="Q47" s="394">
        <f>Q21/Fires!E21*1000</f>
        <v>32.760032760032757</v>
      </c>
      <c r="R47" s="395">
        <f>R21/Fires!F21*1000</f>
        <v>73.598130841121488</v>
      </c>
      <c r="T47"/>
      <c r="AB47"/>
      <c r="AC47"/>
    </row>
    <row r="48" spans="1:29" x14ac:dyDescent="0.2">
      <c r="A48" s="31"/>
      <c r="T48"/>
      <c r="AB48"/>
      <c r="AC48"/>
    </row>
    <row r="49" spans="1:29" x14ac:dyDescent="0.2">
      <c r="A49" s="2" t="s">
        <v>146</v>
      </c>
      <c r="T49"/>
      <c r="AB49"/>
      <c r="AC49"/>
    </row>
    <row r="50" spans="1:29" s="28" customFormat="1" ht="30" customHeight="1" x14ac:dyDescent="0.25">
      <c r="A50" s="1368" t="s">
        <v>626</v>
      </c>
      <c r="B50" s="1368"/>
      <c r="C50" s="1368"/>
      <c r="D50" s="1368"/>
      <c r="E50" s="1368"/>
      <c r="F50" s="1368"/>
      <c r="G50" s="1368"/>
      <c r="H50" s="1368"/>
      <c r="I50" s="1368"/>
      <c r="J50" s="1368"/>
      <c r="K50" s="1368"/>
      <c r="L50" s="1368"/>
      <c r="M50" s="1368"/>
      <c r="N50" s="1368"/>
      <c r="O50" s="1368"/>
      <c r="P50" s="1368"/>
      <c r="Q50" s="1368"/>
      <c r="R50" s="1368"/>
      <c r="U50" s="248"/>
      <c r="V50" s="248"/>
      <c r="W50" s="248"/>
      <c r="X50" s="248"/>
      <c r="Y50" s="248"/>
      <c r="Z50" s="248"/>
      <c r="AA50" s="248"/>
    </row>
    <row r="51" spans="1:29" ht="25.5" customHeight="1" x14ac:dyDescent="0.2">
      <c r="A51" s="1364"/>
      <c r="B51" s="1364"/>
      <c r="C51" s="1364"/>
      <c r="D51" s="1364"/>
      <c r="E51" s="1364"/>
      <c r="F51" s="1364"/>
      <c r="G51" s="1364"/>
      <c r="H51" s="1364"/>
      <c r="I51" s="1364"/>
      <c r="J51" s="1364"/>
      <c r="K51" s="1364"/>
      <c r="L51" s="1364"/>
      <c r="M51" s="1364"/>
      <c r="N51" s="1364"/>
      <c r="O51" s="1364"/>
      <c r="P51" s="1364"/>
      <c r="Q51" s="1364"/>
      <c r="R51" s="1364"/>
    </row>
    <row r="52" spans="1:29" s="39" customFormat="1" ht="38.25" customHeight="1" x14ac:dyDescent="0.2">
      <c r="U52"/>
      <c r="V52"/>
      <c r="W52"/>
      <c r="X52"/>
      <c r="Y52"/>
      <c r="Z52"/>
      <c r="AA52"/>
    </row>
    <row r="54" spans="1:29" ht="26.25" customHeight="1" x14ac:dyDescent="0.2"/>
    <row r="55" spans="1:29" ht="26.25" customHeight="1" x14ac:dyDescent="0.2"/>
    <row r="56" spans="1:29" ht="18.75" customHeight="1" x14ac:dyDescent="0.2"/>
    <row r="57" spans="1:29" ht="13.5" customHeight="1" x14ac:dyDescent="0.2"/>
    <row r="58" spans="1:29" ht="13.5" customHeight="1" x14ac:dyDescent="0.2"/>
    <row r="59" spans="1:29" ht="13.5" customHeight="1" x14ac:dyDescent="0.2"/>
    <row r="60" spans="1:29" ht="13.5" customHeight="1" x14ac:dyDescent="0.2"/>
    <row r="61" spans="1:29" ht="13.5" customHeight="1" x14ac:dyDescent="0.2"/>
    <row r="62" spans="1:29" ht="13.5" customHeight="1" x14ac:dyDescent="0.2"/>
    <row r="63" spans="1:29" ht="13.5" customHeight="1" x14ac:dyDescent="0.2"/>
    <row r="64" spans="1:29"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9" ht="30" customHeight="1" x14ac:dyDescent="0.2"/>
    <row r="97" spans="1:27" x14ac:dyDescent="0.2">
      <c r="B97" s="43"/>
      <c r="C97" s="43"/>
      <c r="D97" s="43"/>
      <c r="E97" s="52"/>
      <c r="F97" s="21"/>
      <c r="G97" s="4"/>
      <c r="H97" s="43"/>
      <c r="I97" s="43"/>
      <c r="J97" s="43"/>
      <c r="K97" s="52"/>
      <c r="L97" s="21"/>
      <c r="N97" s="43"/>
      <c r="O97" s="43"/>
      <c r="P97" s="43"/>
      <c r="Q97" s="52"/>
      <c r="R97" s="21"/>
    </row>
    <row r="98" spans="1:27" x14ac:dyDescent="0.2">
      <c r="B98" s="43"/>
      <c r="C98" s="43"/>
      <c r="D98" s="43"/>
      <c r="E98" s="52"/>
      <c r="F98" s="21"/>
      <c r="G98" s="4"/>
      <c r="H98" s="43"/>
      <c r="I98" s="43"/>
      <c r="J98" s="43"/>
      <c r="K98" s="52"/>
      <c r="L98" s="21"/>
      <c r="N98" s="43"/>
      <c r="O98" s="43"/>
      <c r="P98" s="43"/>
      <c r="Q98" s="52"/>
      <c r="R98" s="21"/>
    </row>
    <row r="99" spans="1:27" s="39" customFormat="1" ht="24.75" customHeight="1" x14ac:dyDescent="0.2">
      <c r="A99" s="1"/>
      <c r="B99" s="44"/>
      <c r="C99" s="44"/>
      <c r="D99" s="44"/>
      <c r="E99" s="44"/>
      <c r="F99" s="44"/>
      <c r="G99" s="64"/>
      <c r="H99" s="44"/>
      <c r="I99" s="44"/>
      <c r="J99" s="44"/>
      <c r="K99" s="44"/>
      <c r="L99" s="44"/>
      <c r="M99" s="64"/>
      <c r="N99" s="44"/>
      <c r="O99" s="44"/>
      <c r="P99" s="44"/>
      <c r="Q99" s="44"/>
      <c r="R99" s="44"/>
      <c r="U99"/>
      <c r="V99"/>
      <c r="W99"/>
      <c r="X99"/>
      <c r="Y99"/>
      <c r="Z99"/>
      <c r="AA99"/>
    </row>
  </sheetData>
  <sheetProtection algorithmName="SHA-512" hashValue="inwqfIuZ2hyGR04GjuQ/H4e6N/v4Kgt7xJpjbCx7T+4euhRF+I25yLUTsw+k6tuKHowSsNMFsfg63eZQ5YFGxg==" saltValue="oamMMy8ulgwtAWk8KgIjgQ==" spinCount="100000" sheet="1" scenarios="1" formatCells="0" formatColumns="0" formatRows="0" sort="0" autoFilter="0" pivotTables="0"/>
  <mergeCells count="16">
    <mergeCell ref="H8:K8"/>
    <mergeCell ref="L8:L9"/>
    <mergeCell ref="N8:Q8"/>
    <mergeCell ref="A50:R50"/>
    <mergeCell ref="A51:R51"/>
    <mergeCell ref="R8:R9"/>
    <mergeCell ref="A29:M29"/>
    <mergeCell ref="B34:E34"/>
    <mergeCell ref="F34:F35"/>
    <mergeCell ref="H34:K34"/>
    <mergeCell ref="L34:L35"/>
    <mergeCell ref="N34:Q34"/>
    <mergeCell ref="R34:R35"/>
    <mergeCell ref="A24:R24"/>
    <mergeCell ref="B8:E8"/>
    <mergeCell ref="F8:F9"/>
  </mergeCells>
  <hyperlinks>
    <hyperlink ref="A2" location="'Table of Contents'!A1" display="Back to Table of Contents" xr:uid="{00000000-0004-0000-6F00-000000000000}"/>
  </hyperlinks>
  <pageMargins left="0.70866141732283472" right="0.70866141732283472" top="0.74803149606299213" bottom="0.74803149606299213" header="0.31496062992125984" footer="0.31496062992125984"/>
  <pageSetup paperSize="9" scale="72" fitToHeight="0" orientation="landscape" r:id="rId1"/>
  <headerFooter>
    <oddFooter>&amp;L&amp;P&amp;C&amp;A</oddFooter>
  </headerFooter>
  <rowBreaks count="1" manualBreakCount="1">
    <brk id="51" max="18"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BF8F00"/>
  </sheetPr>
  <dimension ref="A1:T50"/>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8.7109375" customWidth="1"/>
    <col min="2" max="2" width="26.28515625" customWidth="1"/>
    <col min="3" max="3" width="10.7109375" customWidth="1"/>
    <col min="7" max="7" width="11.85546875" customWidth="1"/>
    <col min="9" max="9" width="11" customWidth="1"/>
    <col min="13" max="13" width="10.42578125" customWidth="1"/>
    <col min="15" max="15" width="10.42578125" customWidth="1"/>
    <col min="19" max="19" width="10.28515625" customWidth="1"/>
  </cols>
  <sheetData>
    <row r="1" spans="1:20" ht="17.25" customHeight="1" x14ac:dyDescent="0.2">
      <c r="A1" s="298" t="s">
        <v>1133</v>
      </c>
    </row>
    <row r="2" spans="1:20" ht="17.25" customHeight="1" x14ac:dyDescent="0.2">
      <c r="A2" s="106" t="s">
        <v>578</v>
      </c>
    </row>
    <row r="3" spans="1:20" ht="30" customHeight="1" x14ac:dyDescent="0.2">
      <c r="A3" s="120" t="s">
        <v>1090</v>
      </c>
      <c r="B3" s="120"/>
      <c r="D3" s="120"/>
      <c r="E3" s="120"/>
      <c r="F3" s="120"/>
      <c r="G3" s="120"/>
      <c r="H3" s="120"/>
      <c r="I3" s="120"/>
      <c r="J3" s="120"/>
      <c r="K3" s="120"/>
      <c r="L3" s="120"/>
      <c r="M3" s="120"/>
      <c r="N3" s="120"/>
      <c r="O3" s="120"/>
      <c r="P3" s="120"/>
      <c r="Q3" s="120"/>
      <c r="R3" s="120"/>
      <c r="S3" s="120"/>
      <c r="T3" s="39"/>
    </row>
    <row r="4" spans="1:20" ht="15" customHeight="1" x14ac:dyDescent="0.25">
      <c r="A4" s="351" t="s">
        <v>579</v>
      </c>
      <c r="B4" s="1043" t="s">
        <v>1360</v>
      </c>
      <c r="D4" s="120"/>
      <c r="E4" s="120"/>
      <c r="F4" s="120"/>
      <c r="G4" s="120"/>
      <c r="H4" s="120"/>
      <c r="I4" s="120"/>
      <c r="J4" s="120"/>
      <c r="K4" s="120"/>
      <c r="L4" s="120"/>
      <c r="M4" s="120"/>
      <c r="N4" s="120"/>
      <c r="O4" s="120"/>
      <c r="P4" s="120"/>
      <c r="Q4" s="120"/>
      <c r="R4" s="120"/>
      <c r="S4" s="120"/>
      <c r="T4" s="39"/>
    </row>
    <row r="5" spans="1:20" ht="15" customHeight="1" x14ac:dyDescent="0.25">
      <c r="A5" s="351" t="s">
        <v>580</v>
      </c>
      <c r="B5" s="351" t="s">
        <v>581</v>
      </c>
      <c r="D5" s="120"/>
      <c r="E5" s="120"/>
      <c r="F5" s="120"/>
      <c r="G5" s="120"/>
      <c r="H5" s="120"/>
      <c r="I5" s="120"/>
      <c r="J5" s="120"/>
      <c r="K5" s="120"/>
      <c r="L5" s="120"/>
      <c r="M5" s="120"/>
      <c r="N5" s="120"/>
      <c r="O5" s="120"/>
      <c r="P5" s="120"/>
      <c r="Q5" s="120"/>
      <c r="R5" s="120"/>
      <c r="S5" s="120"/>
      <c r="T5" s="39"/>
    </row>
    <row r="6" spans="1:20" ht="15" customHeight="1" x14ac:dyDescent="0.25">
      <c r="A6" s="351" t="s">
        <v>582</v>
      </c>
      <c r="B6" s="351" t="s">
        <v>585</v>
      </c>
      <c r="D6" s="120"/>
      <c r="E6" s="120"/>
      <c r="F6" s="120"/>
      <c r="G6" s="120"/>
      <c r="H6" s="120"/>
      <c r="I6" s="120"/>
      <c r="J6" s="120"/>
      <c r="K6" s="120"/>
      <c r="L6" s="120"/>
      <c r="M6" s="120"/>
      <c r="N6" s="120"/>
      <c r="O6" s="120"/>
      <c r="P6" s="120"/>
      <c r="Q6" s="120"/>
      <c r="R6" s="120"/>
      <c r="S6" s="120"/>
      <c r="T6" s="39"/>
    </row>
    <row r="7" spans="1:20" ht="13.5" customHeight="1" x14ac:dyDescent="0.25">
      <c r="B7" s="1"/>
      <c r="C7" s="1"/>
      <c r="D7" s="1"/>
      <c r="E7" s="1"/>
      <c r="F7" s="1"/>
      <c r="G7" s="83"/>
      <c r="H7" s="1"/>
      <c r="I7" s="1"/>
      <c r="J7" s="1"/>
      <c r="K7" s="1"/>
      <c r="L7" s="1"/>
      <c r="M7" s="83"/>
      <c r="N7" s="1"/>
      <c r="O7" s="1"/>
      <c r="P7" s="1"/>
      <c r="Q7" s="1"/>
      <c r="R7" s="1"/>
      <c r="S7" s="83" t="s">
        <v>0</v>
      </c>
      <c r="T7" s="1"/>
    </row>
    <row r="8" spans="1:20" ht="29.45" customHeight="1" x14ac:dyDescent="0.2">
      <c r="B8" s="1"/>
      <c r="C8" s="1275" t="s">
        <v>259</v>
      </c>
      <c r="D8" s="1276"/>
      <c r="E8" s="1276"/>
      <c r="F8" s="1276"/>
      <c r="G8" s="1277" t="s">
        <v>54</v>
      </c>
      <c r="H8" s="39"/>
      <c r="I8" s="1275" t="s">
        <v>56</v>
      </c>
      <c r="J8" s="1276"/>
      <c r="K8" s="1276"/>
      <c r="L8" s="1276"/>
      <c r="M8" s="1277" t="s">
        <v>55</v>
      </c>
      <c r="N8" s="39"/>
      <c r="O8" s="1311" t="s">
        <v>254</v>
      </c>
      <c r="P8" s="1366"/>
      <c r="Q8" s="1366"/>
      <c r="R8" s="1367"/>
      <c r="S8" s="1277" t="s">
        <v>55</v>
      </c>
      <c r="T8" s="1"/>
    </row>
    <row r="9" spans="1:20" ht="38.25" x14ac:dyDescent="0.2">
      <c r="A9" s="363" t="s">
        <v>586</v>
      </c>
      <c r="B9" s="398" t="s">
        <v>22</v>
      </c>
      <c r="C9" s="336" t="s">
        <v>5</v>
      </c>
      <c r="D9" s="345" t="s">
        <v>6</v>
      </c>
      <c r="E9" s="345" t="s">
        <v>7</v>
      </c>
      <c r="F9" s="233" t="s">
        <v>8</v>
      </c>
      <c r="G9" s="1365"/>
      <c r="H9" s="39"/>
      <c r="I9" s="336" t="s">
        <v>5</v>
      </c>
      <c r="J9" s="345" t="s">
        <v>6</v>
      </c>
      <c r="K9" s="345" t="s">
        <v>7</v>
      </c>
      <c r="L9" s="233" t="s">
        <v>8</v>
      </c>
      <c r="M9" s="1365"/>
      <c r="N9" s="39"/>
      <c r="O9" s="336" t="s">
        <v>5</v>
      </c>
      <c r="P9" s="345" t="s">
        <v>6</v>
      </c>
      <c r="Q9" s="345" t="s">
        <v>7</v>
      </c>
      <c r="R9" s="233" t="s">
        <v>8</v>
      </c>
      <c r="S9" s="1365"/>
      <c r="T9" s="1"/>
    </row>
    <row r="10" spans="1:20" x14ac:dyDescent="0.2">
      <c r="A10" s="1" t="s">
        <v>587</v>
      </c>
      <c r="B10" s="400" t="s">
        <v>23</v>
      </c>
      <c r="C10" s="396">
        <f>GETPIVOTDATA("Sum of 1:Dwelling",T_02!$A$4,"VICTIM_TYPE_DESCRIPTION","Fatality","PubLANAME",B10)</f>
        <v>3</v>
      </c>
      <c r="D10" s="396">
        <f>GETPIVOTDATA("Sum of 2:Other Buildings",T_02!$A$4,"VICTIM_TYPE_DESCRIPTION","Fatality","PubLANAME",B10)</f>
        <v>0</v>
      </c>
      <c r="E10" s="396">
        <f>GETPIVOTDATA("Sum of 3:Road Vehicle",T_02!$A$4,"VICTIM_TYPE_DESCRIPTION","Fatality","PubLANAME",B10)</f>
        <v>0</v>
      </c>
      <c r="F10" s="396">
        <f>GETPIVOTDATA("Sum of 4:Others",T_02!$A$4,"VICTIM_TYPE_DESCRIPTION","Fatality","PubLANAME",B10)</f>
        <v>0</v>
      </c>
      <c r="G10" s="401">
        <f t="shared" ref="G10:G41" si="0">SUM(C10:F10)</f>
        <v>3</v>
      </c>
      <c r="H10" s="402"/>
      <c r="I10" s="396">
        <f>GETPIVOTDATA("Sum of 1:Dwelling",T_02!$A$4,"VICTIM_TYPE_DESCRIPTION","Injured (incl. rescue with injury)","PubLANAME",B10)</f>
        <v>35</v>
      </c>
      <c r="J10" s="396">
        <f>GETPIVOTDATA("Sum of 2:Other Buildings",T_02!$A$4,"VICTIM_TYPE_DESCRIPTION","Injured (incl. rescue with injury)","PubLANAME",B10)</f>
        <v>1</v>
      </c>
      <c r="K10" s="396">
        <f>GETPIVOTDATA("Sum of 3:Road Vehicle",T_02!$A$4,"VICTIM_TYPE_DESCRIPTION","Injured (incl. rescue with injury)","PubLANAME",B10)</f>
        <v>0</v>
      </c>
      <c r="L10" s="396">
        <f>GETPIVOTDATA("Sum of 4:Others",T_02!$A$4,"VICTIM_TYPE_DESCRIPTION","Injured (incl. rescue with injury)","PubLANAME",B10)</f>
        <v>0</v>
      </c>
      <c r="M10" s="401">
        <f t="shared" ref="M10:M41" si="1">SUM(I10:L10)</f>
        <v>36</v>
      </c>
      <c r="N10" s="403"/>
      <c r="O10" s="396">
        <f>GETPIVOTDATA("Sum of 1:Dwelling",T_02!$A$4,"VICTIM_TYPE_DESCRIPTION","Exprecautionary","PubLANAME",B10)</f>
        <v>33</v>
      </c>
      <c r="P10" s="396">
        <f>GETPIVOTDATA("Sum of 2:Other Buildings",T_02!$A$4,"VICTIM_TYPE_DESCRIPTION","Exprecautionary","PubLANAME",B10)</f>
        <v>1</v>
      </c>
      <c r="Q10" s="396">
        <f>GETPIVOTDATA("Sum of 3:Road Vehicle",T_02!$A$4,"VICTIM_TYPE_DESCRIPTION","Exprecautionary","PubLANAME",B10)</f>
        <v>0</v>
      </c>
      <c r="R10" s="396">
        <f>GETPIVOTDATA("Sum of 4:Others",T_02!$A$4,"VICTIM_TYPE_DESCRIPTION","Exprecautionary","PubLANAME",B10)</f>
        <v>0</v>
      </c>
      <c r="S10" s="401">
        <f t="shared" ref="S10:S41" si="2">SUM(O10:R10)</f>
        <v>34</v>
      </c>
      <c r="T10" s="404"/>
    </row>
    <row r="11" spans="1:20" x14ac:dyDescent="0.2">
      <c r="A11" s="1" t="s">
        <v>588</v>
      </c>
      <c r="B11" s="117" t="s">
        <v>24</v>
      </c>
      <c r="C11" s="397">
        <f>GETPIVOTDATA("Sum of 1:Dwelling",T_02!$A$4,"VICTIM_TYPE_DESCRIPTION","Fatality","PubLANAME",B11)</f>
        <v>1</v>
      </c>
      <c r="D11" s="397">
        <f>GETPIVOTDATA("Sum of 2:Other Buildings",T_02!$A$4,"VICTIM_TYPE_DESCRIPTION","Fatality","PubLANAME",B11)</f>
        <v>0</v>
      </c>
      <c r="E11" s="397">
        <f>GETPIVOTDATA("Sum of 3:Road Vehicle",T_02!$A$4,"VICTIM_TYPE_DESCRIPTION","Fatality","PubLANAME",B11)</f>
        <v>0</v>
      </c>
      <c r="F11" s="397">
        <f>GETPIVOTDATA("Sum of 4:Others",T_02!$A$4,"VICTIM_TYPE_DESCRIPTION","Fatality","PubLANAME",B11)</f>
        <v>0</v>
      </c>
      <c r="G11" s="399">
        <f t="shared" si="0"/>
        <v>1</v>
      </c>
      <c r="H11" s="209"/>
      <c r="I11" s="397">
        <f>GETPIVOTDATA("Sum of 1:Dwelling",T_02!$A$4,"VICTIM_TYPE_DESCRIPTION","Injured (incl. rescue with injury)","PubLANAME",B11)</f>
        <v>16</v>
      </c>
      <c r="J11" s="397">
        <f>GETPIVOTDATA("Sum of 2:Other Buildings",T_02!$A$4,"VICTIM_TYPE_DESCRIPTION","Injured (incl. rescue with injury)","PubLANAME",B11)</f>
        <v>3</v>
      </c>
      <c r="K11" s="397">
        <f>GETPIVOTDATA("Sum of 3:Road Vehicle",T_02!$A$4,"VICTIM_TYPE_DESCRIPTION","Injured (incl. rescue with injury)","PubLANAME",B11)</f>
        <v>1</v>
      </c>
      <c r="L11" s="397">
        <f>GETPIVOTDATA("Sum of 4:Others",T_02!$A$4,"VICTIM_TYPE_DESCRIPTION","Injured (incl. rescue with injury)","PubLANAME",B11)</f>
        <v>6</v>
      </c>
      <c r="M11" s="399">
        <f t="shared" si="1"/>
        <v>26</v>
      </c>
      <c r="N11" s="65"/>
      <c r="O11" s="397">
        <f>GETPIVOTDATA("Sum of 1:Dwelling",T_02!$A$4,"VICTIM_TYPE_DESCRIPTION","Exprecautionary","PubLANAME",B11)</f>
        <v>15</v>
      </c>
      <c r="P11" s="397">
        <f>GETPIVOTDATA("Sum of 2:Other Buildings",T_02!$A$4,"VICTIM_TYPE_DESCRIPTION","Exprecautionary","PubLANAME",B11)</f>
        <v>3</v>
      </c>
      <c r="Q11" s="397">
        <f>GETPIVOTDATA("Sum of 3:Road Vehicle",T_02!$A$4,"VICTIM_TYPE_DESCRIPTION","Exprecautionary","PubLANAME",B11)</f>
        <v>1</v>
      </c>
      <c r="R11" s="397">
        <f>GETPIVOTDATA("Sum of 4:Others",T_02!$A$4,"VICTIM_TYPE_DESCRIPTION","Exprecautionary","PubLANAME",B11)</f>
        <v>6</v>
      </c>
      <c r="S11" s="399">
        <f t="shared" si="2"/>
        <v>25</v>
      </c>
    </row>
    <row r="12" spans="1:20" x14ac:dyDescent="0.2">
      <c r="A12" s="1" t="s">
        <v>589</v>
      </c>
      <c r="B12" s="117" t="s">
        <v>25</v>
      </c>
      <c r="C12" s="397">
        <f>GETPIVOTDATA("Sum of 1:Dwelling",T_02!$A$4,"VICTIM_TYPE_DESCRIPTION","Fatality","PubLANAME",B12)</f>
        <v>0</v>
      </c>
      <c r="D12" s="397">
        <f>GETPIVOTDATA("Sum of 2:Other Buildings",T_02!$A$4,"VICTIM_TYPE_DESCRIPTION","Fatality","PubLANAME",B12)</f>
        <v>0</v>
      </c>
      <c r="E12" s="397">
        <f>GETPIVOTDATA("Sum of 3:Road Vehicle",T_02!$A$4,"VICTIM_TYPE_DESCRIPTION","Fatality","PubLANAME",B12)</f>
        <v>0</v>
      </c>
      <c r="F12" s="397">
        <f>GETPIVOTDATA("Sum of 4:Others",T_02!$A$4,"VICTIM_TYPE_DESCRIPTION","Fatality","PubLANAME",B12)</f>
        <v>0</v>
      </c>
      <c r="G12" s="399">
        <f t="shared" si="0"/>
        <v>0</v>
      </c>
      <c r="H12" s="209"/>
      <c r="I12" s="397">
        <f>GETPIVOTDATA("Sum of 1:Dwelling",T_02!$A$4,"VICTIM_TYPE_DESCRIPTION","Injured (incl. rescue with injury)","PubLANAME",B12)</f>
        <v>19</v>
      </c>
      <c r="J12" s="397">
        <f>GETPIVOTDATA("Sum of 2:Other Buildings",T_02!$A$4,"VICTIM_TYPE_DESCRIPTION","Injured (incl. rescue with injury)","PubLANAME",B12)</f>
        <v>0</v>
      </c>
      <c r="K12" s="397">
        <f>GETPIVOTDATA("Sum of 3:Road Vehicle",T_02!$A$4,"VICTIM_TYPE_DESCRIPTION","Injured (incl. rescue with injury)","PubLANAME",B12)</f>
        <v>0</v>
      </c>
      <c r="L12" s="397">
        <f>GETPIVOTDATA("Sum of 4:Others",T_02!$A$4,"VICTIM_TYPE_DESCRIPTION","Injured (incl. rescue with injury)","PubLANAME",B12)</f>
        <v>1</v>
      </c>
      <c r="M12" s="399">
        <f t="shared" si="1"/>
        <v>20</v>
      </c>
      <c r="N12" s="65"/>
      <c r="O12" s="397">
        <f>GETPIVOTDATA("Sum of 1:Dwelling",T_02!$A$4,"VICTIM_TYPE_DESCRIPTION","Exprecautionary","PubLANAME",B12)</f>
        <v>10</v>
      </c>
      <c r="P12" s="397">
        <f>GETPIVOTDATA("Sum of 2:Other Buildings",T_02!$A$4,"VICTIM_TYPE_DESCRIPTION","Exprecautionary","PubLANAME",B12)</f>
        <v>0</v>
      </c>
      <c r="Q12" s="397">
        <f>GETPIVOTDATA("Sum of 3:Road Vehicle",T_02!$A$4,"VICTIM_TYPE_DESCRIPTION","Exprecautionary","PubLANAME",B12)</f>
        <v>0</v>
      </c>
      <c r="R12" s="397">
        <f>GETPIVOTDATA("Sum of 4:Others",T_02!$A$4,"VICTIM_TYPE_DESCRIPTION","Exprecautionary","PubLANAME",B12)</f>
        <v>1</v>
      </c>
      <c r="S12" s="399">
        <f t="shared" si="2"/>
        <v>11</v>
      </c>
    </row>
    <row r="13" spans="1:20" x14ac:dyDescent="0.2">
      <c r="A13" s="1" t="s">
        <v>590</v>
      </c>
      <c r="B13" s="117" t="s">
        <v>26</v>
      </c>
      <c r="C13" s="397">
        <f>GETPIVOTDATA("Sum of 1:Dwelling",T_02!$A$4,"VICTIM_TYPE_DESCRIPTION","Fatality","PubLANAME",B13)</f>
        <v>1</v>
      </c>
      <c r="D13" s="397">
        <f>GETPIVOTDATA("Sum of 2:Other Buildings",T_02!$A$4,"VICTIM_TYPE_DESCRIPTION","Fatality","PubLANAME",B13)</f>
        <v>0</v>
      </c>
      <c r="E13" s="397">
        <f>GETPIVOTDATA("Sum of 3:Road Vehicle",T_02!$A$4,"VICTIM_TYPE_DESCRIPTION","Fatality","PubLANAME",B13)</f>
        <v>0</v>
      </c>
      <c r="F13" s="397">
        <f>GETPIVOTDATA("Sum of 4:Others",T_02!$A$4,"VICTIM_TYPE_DESCRIPTION","Fatality","PubLANAME",B13)</f>
        <v>0</v>
      </c>
      <c r="G13" s="399">
        <f t="shared" si="0"/>
        <v>1</v>
      </c>
      <c r="H13" s="209"/>
      <c r="I13" s="397">
        <f>GETPIVOTDATA("Sum of 1:Dwelling",T_02!$A$4,"VICTIM_TYPE_DESCRIPTION","Injured (incl. rescue with injury)","PubLANAME",B13)</f>
        <v>7</v>
      </c>
      <c r="J13" s="397">
        <f>GETPIVOTDATA("Sum of 2:Other Buildings",T_02!$A$4,"VICTIM_TYPE_DESCRIPTION","Injured (incl. rescue with injury)","PubLANAME",B13)</f>
        <v>3</v>
      </c>
      <c r="K13" s="397">
        <f>GETPIVOTDATA("Sum of 3:Road Vehicle",T_02!$A$4,"VICTIM_TYPE_DESCRIPTION","Injured (incl. rescue with injury)","PubLANAME",B13)</f>
        <v>0</v>
      </c>
      <c r="L13" s="397">
        <f>GETPIVOTDATA("Sum of 4:Others",T_02!$A$4,"VICTIM_TYPE_DESCRIPTION","Injured (incl. rescue with injury)","PubLANAME",B13)</f>
        <v>0</v>
      </c>
      <c r="M13" s="399">
        <f t="shared" si="1"/>
        <v>10</v>
      </c>
      <c r="N13" s="65"/>
      <c r="O13" s="397">
        <f>GETPIVOTDATA("Sum of 1:Dwelling",T_02!$A$4,"VICTIM_TYPE_DESCRIPTION","Exprecautionary","PubLANAME",B13)</f>
        <v>4</v>
      </c>
      <c r="P13" s="397">
        <f>GETPIVOTDATA("Sum of 2:Other Buildings",T_02!$A$4,"VICTIM_TYPE_DESCRIPTION","Exprecautionary","PubLANAME",B13)</f>
        <v>3</v>
      </c>
      <c r="Q13" s="397">
        <f>GETPIVOTDATA("Sum of 3:Road Vehicle",T_02!$A$4,"VICTIM_TYPE_DESCRIPTION","Exprecautionary","PubLANAME",B13)</f>
        <v>0</v>
      </c>
      <c r="R13" s="397">
        <f>GETPIVOTDATA("Sum of 4:Others",T_02!$A$4,"VICTIM_TYPE_DESCRIPTION","Exprecautionary","PubLANAME",B13)</f>
        <v>0</v>
      </c>
      <c r="S13" s="399">
        <f t="shared" si="2"/>
        <v>7</v>
      </c>
    </row>
    <row r="14" spans="1:20" x14ac:dyDescent="0.2">
      <c r="A14" s="1" t="s">
        <v>591</v>
      </c>
      <c r="B14" s="117" t="s">
        <v>619</v>
      </c>
      <c r="C14" s="397">
        <f>GETPIVOTDATA("Sum of 1:Dwelling",T_02!$A$4,"VICTIM_TYPE_DESCRIPTION","Fatality","PubLANAME",B14)</f>
        <v>2</v>
      </c>
      <c r="D14" s="397">
        <f>GETPIVOTDATA("Sum of 2:Other Buildings",T_02!$A$4,"VICTIM_TYPE_DESCRIPTION","Fatality","PubLANAME",B14)</f>
        <v>0</v>
      </c>
      <c r="E14" s="397">
        <f>GETPIVOTDATA("Sum of 3:Road Vehicle",T_02!$A$4,"VICTIM_TYPE_DESCRIPTION","Fatality","PubLANAME",B14)</f>
        <v>0</v>
      </c>
      <c r="F14" s="397">
        <f>GETPIVOTDATA("Sum of 4:Others",T_02!$A$4,"VICTIM_TYPE_DESCRIPTION","Fatality","PubLANAME",B14)</f>
        <v>0</v>
      </c>
      <c r="G14" s="399">
        <f t="shared" si="0"/>
        <v>2</v>
      </c>
      <c r="H14" s="209"/>
      <c r="I14" s="397">
        <f>GETPIVOTDATA("Sum of 1:Dwelling",T_02!$A$4,"VICTIM_TYPE_DESCRIPTION","Injured (incl. rescue with injury)","PubLANAME",B14)</f>
        <v>61</v>
      </c>
      <c r="J14" s="397">
        <f>GETPIVOTDATA("Sum of 2:Other Buildings",T_02!$A$4,"VICTIM_TYPE_DESCRIPTION","Injured (incl. rescue with injury)","PubLANAME",B14)</f>
        <v>8</v>
      </c>
      <c r="K14" s="397">
        <f>GETPIVOTDATA("Sum of 3:Road Vehicle",T_02!$A$4,"VICTIM_TYPE_DESCRIPTION","Injured (incl. rescue with injury)","PubLANAME",B14)</f>
        <v>0</v>
      </c>
      <c r="L14" s="397">
        <f>GETPIVOTDATA("Sum of 4:Others",T_02!$A$4,"VICTIM_TYPE_DESCRIPTION","Injured (incl. rescue with injury)","PubLANAME",B14)</f>
        <v>2</v>
      </c>
      <c r="M14" s="399">
        <f t="shared" si="1"/>
        <v>71</v>
      </c>
      <c r="N14" s="65"/>
      <c r="O14" s="397">
        <f>GETPIVOTDATA("Sum of 1:Dwelling",T_02!$A$4,"VICTIM_TYPE_DESCRIPTION","Exprecautionary","PubLANAME",B14)</f>
        <v>41</v>
      </c>
      <c r="P14" s="397">
        <f>GETPIVOTDATA("Sum of 2:Other Buildings",T_02!$A$4,"VICTIM_TYPE_DESCRIPTION","Exprecautionary","PubLANAME",B14)</f>
        <v>5</v>
      </c>
      <c r="Q14" s="397">
        <f>GETPIVOTDATA("Sum of 3:Road Vehicle",T_02!$A$4,"VICTIM_TYPE_DESCRIPTION","Exprecautionary","PubLANAME",B14)</f>
        <v>0</v>
      </c>
      <c r="R14" s="397">
        <f>GETPIVOTDATA("Sum of 4:Others",T_02!$A$4,"VICTIM_TYPE_DESCRIPTION","Exprecautionary","PubLANAME",B14)</f>
        <v>1</v>
      </c>
      <c r="S14" s="399">
        <f t="shared" si="2"/>
        <v>47</v>
      </c>
    </row>
    <row r="15" spans="1:20" x14ac:dyDescent="0.2">
      <c r="A15" s="1" t="s">
        <v>592</v>
      </c>
      <c r="B15" s="117" t="s">
        <v>27</v>
      </c>
      <c r="C15" s="397">
        <f>GETPIVOTDATA("Sum of 1:Dwelling",T_02!$A$4,"VICTIM_TYPE_DESCRIPTION","Fatality","PubLANAME",B15)</f>
        <v>2</v>
      </c>
      <c r="D15" s="397">
        <f>GETPIVOTDATA("Sum of 2:Other Buildings",T_02!$A$4,"VICTIM_TYPE_DESCRIPTION","Fatality","PubLANAME",B15)</f>
        <v>0</v>
      </c>
      <c r="E15" s="397">
        <f>GETPIVOTDATA("Sum of 3:Road Vehicle",T_02!$A$4,"VICTIM_TYPE_DESCRIPTION","Fatality","PubLANAME",B15)</f>
        <v>0</v>
      </c>
      <c r="F15" s="397">
        <f>GETPIVOTDATA("Sum of 4:Others",T_02!$A$4,"VICTIM_TYPE_DESCRIPTION","Fatality","PubLANAME",B15)</f>
        <v>0</v>
      </c>
      <c r="G15" s="399">
        <f t="shared" si="0"/>
        <v>2</v>
      </c>
      <c r="H15" s="209"/>
      <c r="I15" s="397">
        <f>GETPIVOTDATA("Sum of 1:Dwelling",T_02!$A$4,"VICTIM_TYPE_DESCRIPTION","Injured (incl. rescue with injury)","PubLANAME",B15)</f>
        <v>20</v>
      </c>
      <c r="J15" s="397">
        <f>GETPIVOTDATA("Sum of 2:Other Buildings",T_02!$A$4,"VICTIM_TYPE_DESCRIPTION","Injured (incl. rescue with injury)","PubLANAME",B15)</f>
        <v>1</v>
      </c>
      <c r="K15" s="397">
        <f>GETPIVOTDATA("Sum of 3:Road Vehicle",T_02!$A$4,"VICTIM_TYPE_DESCRIPTION","Injured (incl. rescue with injury)","PubLANAME",B15)</f>
        <v>0</v>
      </c>
      <c r="L15" s="397">
        <f>GETPIVOTDATA("Sum of 4:Others",T_02!$A$4,"VICTIM_TYPE_DESCRIPTION","Injured (incl. rescue with injury)","PubLANAME",B15)</f>
        <v>0</v>
      </c>
      <c r="M15" s="399">
        <f t="shared" si="1"/>
        <v>21</v>
      </c>
      <c r="N15" s="65"/>
      <c r="O15" s="397">
        <f>GETPIVOTDATA("Sum of 1:Dwelling",T_02!$A$4,"VICTIM_TYPE_DESCRIPTION","Exprecautionary","PubLANAME",B15)</f>
        <v>9</v>
      </c>
      <c r="P15" s="397">
        <f>GETPIVOTDATA("Sum of 2:Other Buildings",T_02!$A$4,"VICTIM_TYPE_DESCRIPTION","Exprecautionary","PubLANAME",B15)</f>
        <v>1</v>
      </c>
      <c r="Q15" s="397">
        <f>GETPIVOTDATA("Sum of 3:Road Vehicle",T_02!$A$4,"VICTIM_TYPE_DESCRIPTION","Exprecautionary","PubLANAME",B15)</f>
        <v>0</v>
      </c>
      <c r="R15" s="397">
        <f>GETPIVOTDATA("Sum of 4:Others",T_02!$A$4,"VICTIM_TYPE_DESCRIPTION","Exprecautionary","PubLANAME",B15)</f>
        <v>0</v>
      </c>
      <c r="S15" s="399">
        <f t="shared" si="2"/>
        <v>10</v>
      </c>
    </row>
    <row r="16" spans="1:20" x14ac:dyDescent="0.2">
      <c r="A16" s="1" t="s">
        <v>593</v>
      </c>
      <c r="B16" s="117" t="s">
        <v>28</v>
      </c>
      <c r="C16" s="397">
        <f>GETPIVOTDATA("Sum of 1:Dwelling",T_02!$A$4,"VICTIM_TYPE_DESCRIPTION","Fatality","PubLANAME",B16)</f>
        <v>2</v>
      </c>
      <c r="D16" s="397">
        <f>GETPIVOTDATA("Sum of 2:Other Buildings",T_02!$A$4,"VICTIM_TYPE_DESCRIPTION","Fatality","PubLANAME",B16)</f>
        <v>0</v>
      </c>
      <c r="E16" s="397">
        <f>GETPIVOTDATA("Sum of 3:Road Vehicle",T_02!$A$4,"VICTIM_TYPE_DESCRIPTION","Fatality","PubLANAME",B16)</f>
        <v>0</v>
      </c>
      <c r="F16" s="397">
        <f>GETPIVOTDATA("Sum of 4:Others",T_02!$A$4,"VICTIM_TYPE_DESCRIPTION","Fatality","PubLANAME",B16)</f>
        <v>0</v>
      </c>
      <c r="G16" s="399">
        <f t="shared" si="0"/>
        <v>2</v>
      </c>
      <c r="H16" s="209"/>
      <c r="I16" s="397">
        <f>GETPIVOTDATA("Sum of 1:Dwelling",T_02!$A$4,"VICTIM_TYPE_DESCRIPTION","Injured (incl. rescue with injury)","PubLANAME",B16)</f>
        <v>4</v>
      </c>
      <c r="J16" s="397">
        <f>GETPIVOTDATA("Sum of 2:Other Buildings",T_02!$A$4,"VICTIM_TYPE_DESCRIPTION","Injured (incl. rescue with injury)","PubLANAME",B16)</f>
        <v>0</v>
      </c>
      <c r="K16" s="397">
        <f>GETPIVOTDATA("Sum of 3:Road Vehicle",T_02!$A$4,"VICTIM_TYPE_DESCRIPTION","Injured (incl. rescue with injury)","PubLANAME",B16)</f>
        <v>0</v>
      </c>
      <c r="L16" s="397">
        <f>GETPIVOTDATA("Sum of 4:Others",T_02!$A$4,"VICTIM_TYPE_DESCRIPTION","Injured (incl. rescue with injury)","PubLANAME",B16)</f>
        <v>1</v>
      </c>
      <c r="M16" s="399">
        <f t="shared" si="1"/>
        <v>5</v>
      </c>
      <c r="N16" s="65"/>
      <c r="O16" s="397">
        <f>GETPIVOTDATA("Sum of 1:Dwelling",T_02!$A$4,"VICTIM_TYPE_DESCRIPTION","Exprecautionary","PubLANAME",B16)</f>
        <v>4</v>
      </c>
      <c r="P16" s="397">
        <f>GETPIVOTDATA("Sum of 2:Other Buildings",T_02!$A$4,"VICTIM_TYPE_DESCRIPTION","Exprecautionary","PubLANAME",B16)</f>
        <v>0</v>
      </c>
      <c r="Q16" s="397">
        <f>GETPIVOTDATA("Sum of 3:Road Vehicle",T_02!$A$4,"VICTIM_TYPE_DESCRIPTION","Exprecautionary","PubLANAME",B16)</f>
        <v>0</v>
      </c>
      <c r="R16" s="397">
        <f>GETPIVOTDATA("Sum of 4:Others",T_02!$A$4,"VICTIM_TYPE_DESCRIPTION","Exprecautionary","PubLANAME",B16)</f>
        <v>1</v>
      </c>
      <c r="S16" s="399">
        <f t="shared" si="2"/>
        <v>5</v>
      </c>
    </row>
    <row r="17" spans="1:19" x14ac:dyDescent="0.2">
      <c r="A17" s="1" t="s">
        <v>594</v>
      </c>
      <c r="B17" s="117" t="s">
        <v>29</v>
      </c>
      <c r="C17" s="397">
        <f>GETPIVOTDATA("Sum of 1:Dwelling",T_02!$A$4,"VICTIM_TYPE_DESCRIPTION","Fatality","PubLANAME",B17)</f>
        <v>3</v>
      </c>
      <c r="D17" s="397">
        <f>GETPIVOTDATA("Sum of 2:Other Buildings",T_02!$A$4,"VICTIM_TYPE_DESCRIPTION","Fatality","PubLANAME",B17)</f>
        <v>0</v>
      </c>
      <c r="E17" s="397">
        <f>GETPIVOTDATA("Sum of 3:Road Vehicle",T_02!$A$4,"VICTIM_TYPE_DESCRIPTION","Fatality","PubLANAME",B17)</f>
        <v>0</v>
      </c>
      <c r="F17" s="397">
        <f>GETPIVOTDATA("Sum of 4:Others",T_02!$A$4,"VICTIM_TYPE_DESCRIPTION","Fatality","PubLANAME",B17)</f>
        <v>0</v>
      </c>
      <c r="G17" s="399">
        <f t="shared" si="0"/>
        <v>3</v>
      </c>
      <c r="H17" s="209"/>
      <c r="I17" s="397">
        <f>GETPIVOTDATA("Sum of 1:Dwelling",T_02!$A$4,"VICTIM_TYPE_DESCRIPTION","Injured (incl. rescue with injury)","PubLANAME",B17)</f>
        <v>32</v>
      </c>
      <c r="J17" s="397">
        <f>GETPIVOTDATA("Sum of 2:Other Buildings",T_02!$A$4,"VICTIM_TYPE_DESCRIPTION","Injured (incl. rescue with injury)","PubLANAME",B17)</f>
        <v>0</v>
      </c>
      <c r="K17" s="397">
        <f>GETPIVOTDATA("Sum of 3:Road Vehicle",T_02!$A$4,"VICTIM_TYPE_DESCRIPTION","Injured (incl. rescue with injury)","PubLANAME",B17)</f>
        <v>0</v>
      </c>
      <c r="L17" s="397">
        <f>GETPIVOTDATA("Sum of 4:Others",T_02!$A$4,"VICTIM_TYPE_DESCRIPTION","Injured (incl. rescue with injury)","PubLANAME",B17)</f>
        <v>1</v>
      </c>
      <c r="M17" s="399">
        <f t="shared" si="1"/>
        <v>33</v>
      </c>
      <c r="N17" s="65"/>
      <c r="O17" s="397">
        <f>GETPIVOTDATA("Sum of 1:Dwelling",T_02!$A$4,"VICTIM_TYPE_DESCRIPTION","Exprecautionary","PubLANAME",B17)</f>
        <v>21</v>
      </c>
      <c r="P17" s="397">
        <f>GETPIVOTDATA("Sum of 2:Other Buildings",T_02!$A$4,"VICTIM_TYPE_DESCRIPTION","Exprecautionary","PubLANAME",B17)</f>
        <v>0</v>
      </c>
      <c r="Q17" s="397">
        <f>GETPIVOTDATA("Sum of 3:Road Vehicle",T_02!$A$4,"VICTIM_TYPE_DESCRIPTION","Exprecautionary","PubLANAME",B17)</f>
        <v>0</v>
      </c>
      <c r="R17" s="397">
        <f>GETPIVOTDATA("Sum of 4:Others",T_02!$A$4,"VICTIM_TYPE_DESCRIPTION","Exprecautionary","PubLANAME",B17)</f>
        <v>1</v>
      </c>
      <c r="S17" s="399">
        <f t="shared" si="2"/>
        <v>22</v>
      </c>
    </row>
    <row r="18" spans="1:19" x14ac:dyDescent="0.2">
      <c r="A18" s="1" t="s">
        <v>595</v>
      </c>
      <c r="B18" s="117" t="s">
        <v>30</v>
      </c>
      <c r="C18" s="397">
        <f>GETPIVOTDATA("Sum of 1:Dwelling",T_02!$A$4,"VICTIM_TYPE_DESCRIPTION","Fatality","PubLANAME",B18)</f>
        <v>1</v>
      </c>
      <c r="D18" s="397">
        <f>GETPIVOTDATA("Sum of 2:Other Buildings",T_02!$A$4,"VICTIM_TYPE_DESCRIPTION","Fatality","PubLANAME",B18)</f>
        <v>0</v>
      </c>
      <c r="E18" s="397">
        <f>GETPIVOTDATA("Sum of 3:Road Vehicle",T_02!$A$4,"VICTIM_TYPE_DESCRIPTION","Fatality","PubLANAME",B18)</f>
        <v>1</v>
      </c>
      <c r="F18" s="397">
        <f>GETPIVOTDATA("Sum of 4:Others",T_02!$A$4,"VICTIM_TYPE_DESCRIPTION","Fatality","PubLANAME",B18)</f>
        <v>0</v>
      </c>
      <c r="G18" s="399">
        <f t="shared" si="0"/>
        <v>2</v>
      </c>
      <c r="H18" s="209"/>
      <c r="I18" s="397">
        <f>GETPIVOTDATA("Sum of 1:Dwelling",T_02!$A$4,"VICTIM_TYPE_DESCRIPTION","Injured (incl. rescue with injury)","PubLANAME",B18)</f>
        <v>20</v>
      </c>
      <c r="J18" s="397">
        <f>GETPIVOTDATA("Sum of 2:Other Buildings",T_02!$A$4,"VICTIM_TYPE_DESCRIPTION","Injured (incl. rescue with injury)","PubLANAME",B18)</f>
        <v>3</v>
      </c>
      <c r="K18" s="397">
        <f>GETPIVOTDATA("Sum of 3:Road Vehicle",T_02!$A$4,"VICTIM_TYPE_DESCRIPTION","Injured (incl. rescue with injury)","PubLANAME",B18)</f>
        <v>1</v>
      </c>
      <c r="L18" s="397">
        <f>GETPIVOTDATA("Sum of 4:Others",T_02!$A$4,"VICTIM_TYPE_DESCRIPTION","Injured (incl. rescue with injury)","PubLANAME",B18)</f>
        <v>1</v>
      </c>
      <c r="M18" s="399">
        <f t="shared" si="1"/>
        <v>25</v>
      </c>
      <c r="N18" s="65"/>
      <c r="O18" s="397">
        <f>GETPIVOTDATA("Sum of 1:Dwelling",T_02!$A$4,"VICTIM_TYPE_DESCRIPTION","Exprecautionary","PubLANAME",B18)</f>
        <v>12</v>
      </c>
      <c r="P18" s="397">
        <f>GETPIVOTDATA("Sum of 2:Other Buildings",T_02!$A$4,"VICTIM_TYPE_DESCRIPTION","Exprecautionary","PubLANAME",B18)</f>
        <v>3</v>
      </c>
      <c r="Q18" s="397">
        <f>GETPIVOTDATA("Sum of 3:Road Vehicle",T_02!$A$4,"VICTIM_TYPE_DESCRIPTION","Exprecautionary","PubLANAME",B18)</f>
        <v>1</v>
      </c>
      <c r="R18" s="397">
        <f>GETPIVOTDATA("Sum of 4:Others",T_02!$A$4,"VICTIM_TYPE_DESCRIPTION","Exprecautionary","PubLANAME",B18)</f>
        <v>1</v>
      </c>
      <c r="S18" s="399">
        <f t="shared" si="2"/>
        <v>17</v>
      </c>
    </row>
    <row r="19" spans="1:19" x14ac:dyDescent="0.2">
      <c r="A19" s="1" t="s">
        <v>596</v>
      </c>
      <c r="B19" s="117" t="s">
        <v>31</v>
      </c>
      <c r="C19" s="397">
        <f>GETPIVOTDATA("Sum of 1:Dwelling",T_02!$A$4,"VICTIM_TYPE_DESCRIPTION","Fatality","PubLANAME",B19)</f>
        <v>1</v>
      </c>
      <c r="D19" s="397">
        <f>GETPIVOTDATA("Sum of 2:Other Buildings",T_02!$A$4,"VICTIM_TYPE_DESCRIPTION","Fatality","PubLANAME",B19)</f>
        <v>0</v>
      </c>
      <c r="E19" s="397">
        <f>GETPIVOTDATA("Sum of 3:Road Vehicle",T_02!$A$4,"VICTIM_TYPE_DESCRIPTION","Fatality","PubLANAME",B19)</f>
        <v>0</v>
      </c>
      <c r="F19" s="397">
        <f>GETPIVOTDATA("Sum of 4:Others",T_02!$A$4,"VICTIM_TYPE_DESCRIPTION","Fatality","PubLANAME",B19)</f>
        <v>0</v>
      </c>
      <c r="G19" s="399">
        <f t="shared" si="0"/>
        <v>1</v>
      </c>
      <c r="H19" s="209"/>
      <c r="I19" s="397">
        <f>GETPIVOTDATA("Sum of 1:Dwelling",T_02!$A$4,"VICTIM_TYPE_DESCRIPTION","Injured (incl. rescue with injury)","PubLANAME",B19)</f>
        <v>9</v>
      </c>
      <c r="J19" s="397">
        <f>GETPIVOTDATA("Sum of 2:Other Buildings",T_02!$A$4,"VICTIM_TYPE_DESCRIPTION","Injured (incl. rescue with injury)","PubLANAME",B19)</f>
        <v>0</v>
      </c>
      <c r="K19" s="397">
        <f>GETPIVOTDATA("Sum of 3:Road Vehicle",T_02!$A$4,"VICTIM_TYPE_DESCRIPTION","Injured (incl. rescue with injury)","PubLANAME",B19)</f>
        <v>0</v>
      </c>
      <c r="L19" s="397">
        <f>GETPIVOTDATA("Sum of 4:Others",T_02!$A$4,"VICTIM_TYPE_DESCRIPTION","Injured (incl. rescue with injury)","PubLANAME",B19)</f>
        <v>0</v>
      </c>
      <c r="M19" s="399">
        <f t="shared" si="1"/>
        <v>9</v>
      </c>
      <c r="N19" s="65"/>
      <c r="O19" s="397">
        <f>GETPIVOTDATA("Sum of 1:Dwelling",T_02!$A$4,"VICTIM_TYPE_DESCRIPTION","Exprecautionary","PubLANAME",B19)</f>
        <v>9</v>
      </c>
      <c r="P19" s="397">
        <f>GETPIVOTDATA("Sum of 2:Other Buildings",T_02!$A$4,"VICTIM_TYPE_DESCRIPTION","Exprecautionary","PubLANAME",B19)</f>
        <v>0</v>
      </c>
      <c r="Q19" s="397">
        <f>GETPIVOTDATA("Sum of 3:Road Vehicle",T_02!$A$4,"VICTIM_TYPE_DESCRIPTION","Exprecautionary","PubLANAME",B19)</f>
        <v>0</v>
      </c>
      <c r="R19" s="397">
        <f>GETPIVOTDATA("Sum of 4:Others",T_02!$A$4,"VICTIM_TYPE_DESCRIPTION","Exprecautionary","PubLANAME",B19)</f>
        <v>0</v>
      </c>
      <c r="S19" s="399">
        <f t="shared" si="2"/>
        <v>9</v>
      </c>
    </row>
    <row r="20" spans="1:19" x14ac:dyDescent="0.2">
      <c r="A20" s="1" t="s">
        <v>597</v>
      </c>
      <c r="B20" s="117" t="s">
        <v>32</v>
      </c>
      <c r="C20" s="397">
        <f>GETPIVOTDATA("Sum of 1:Dwelling",T_02!$A$4,"VICTIM_TYPE_DESCRIPTION","Fatality","PubLANAME",B20)</f>
        <v>1</v>
      </c>
      <c r="D20" s="397">
        <f>GETPIVOTDATA("Sum of 2:Other Buildings",T_02!$A$4,"VICTIM_TYPE_DESCRIPTION","Fatality","PubLANAME",B20)</f>
        <v>0</v>
      </c>
      <c r="E20" s="397">
        <f>GETPIVOTDATA("Sum of 3:Road Vehicle",T_02!$A$4,"VICTIM_TYPE_DESCRIPTION","Fatality","PubLANAME",B20)</f>
        <v>0</v>
      </c>
      <c r="F20" s="397">
        <f>GETPIVOTDATA("Sum of 4:Others",T_02!$A$4,"VICTIM_TYPE_DESCRIPTION","Fatality","PubLANAME",B20)</f>
        <v>0</v>
      </c>
      <c r="G20" s="399">
        <f t="shared" si="0"/>
        <v>1</v>
      </c>
      <c r="H20" s="209"/>
      <c r="I20" s="397">
        <f>GETPIVOTDATA("Sum of 1:Dwelling",T_02!$A$4,"VICTIM_TYPE_DESCRIPTION","Injured (incl. rescue with injury)","PubLANAME",B20)</f>
        <v>4</v>
      </c>
      <c r="J20" s="397">
        <f>GETPIVOTDATA("Sum of 2:Other Buildings",T_02!$A$4,"VICTIM_TYPE_DESCRIPTION","Injured (incl. rescue with injury)","PubLANAME",B20)</f>
        <v>0</v>
      </c>
      <c r="K20" s="397">
        <f>GETPIVOTDATA("Sum of 3:Road Vehicle",T_02!$A$4,"VICTIM_TYPE_DESCRIPTION","Injured (incl. rescue with injury)","PubLANAME",B20)</f>
        <v>1</v>
      </c>
      <c r="L20" s="397">
        <f>GETPIVOTDATA("Sum of 4:Others",T_02!$A$4,"VICTIM_TYPE_DESCRIPTION","Injured (incl. rescue with injury)","PubLANAME",B20)</f>
        <v>2</v>
      </c>
      <c r="M20" s="399">
        <f t="shared" si="1"/>
        <v>7</v>
      </c>
      <c r="N20" s="65"/>
      <c r="O20" s="397">
        <f>GETPIVOTDATA("Sum of 1:Dwelling",T_02!$A$4,"VICTIM_TYPE_DESCRIPTION","Exprecautionary","PubLANAME",B20)</f>
        <v>4</v>
      </c>
      <c r="P20" s="397">
        <f>GETPIVOTDATA("Sum of 2:Other Buildings",T_02!$A$4,"VICTIM_TYPE_DESCRIPTION","Exprecautionary","PubLANAME",B20)</f>
        <v>0</v>
      </c>
      <c r="Q20" s="397">
        <f>GETPIVOTDATA("Sum of 3:Road Vehicle",T_02!$A$4,"VICTIM_TYPE_DESCRIPTION","Exprecautionary","PubLANAME",B20)</f>
        <v>1</v>
      </c>
      <c r="R20" s="397">
        <f>GETPIVOTDATA("Sum of 4:Others",T_02!$A$4,"VICTIM_TYPE_DESCRIPTION","Exprecautionary","PubLANAME",B20)</f>
        <v>2</v>
      </c>
      <c r="S20" s="399">
        <f t="shared" si="2"/>
        <v>7</v>
      </c>
    </row>
    <row r="21" spans="1:19" x14ac:dyDescent="0.2">
      <c r="A21" s="1" t="s">
        <v>598</v>
      </c>
      <c r="B21" s="117" t="s">
        <v>33</v>
      </c>
      <c r="C21" s="397">
        <f>GETPIVOTDATA("Sum of 1:Dwelling",T_02!$A$4,"VICTIM_TYPE_DESCRIPTION","Fatality","PubLANAME",B21)</f>
        <v>1</v>
      </c>
      <c r="D21" s="397">
        <f>GETPIVOTDATA("Sum of 2:Other Buildings",T_02!$A$4,"VICTIM_TYPE_DESCRIPTION","Fatality","PubLANAME",B21)</f>
        <v>0</v>
      </c>
      <c r="E21" s="397">
        <f>GETPIVOTDATA("Sum of 3:Road Vehicle",T_02!$A$4,"VICTIM_TYPE_DESCRIPTION","Fatality","PubLANAME",B21)</f>
        <v>0</v>
      </c>
      <c r="F21" s="397">
        <f>GETPIVOTDATA("Sum of 4:Others",T_02!$A$4,"VICTIM_TYPE_DESCRIPTION","Fatality","PubLANAME",B21)</f>
        <v>0</v>
      </c>
      <c r="G21" s="399">
        <f t="shared" si="0"/>
        <v>1</v>
      </c>
      <c r="H21" s="209"/>
      <c r="I21" s="397">
        <f>GETPIVOTDATA("Sum of 1:Dwelling",T_02!$A$4,"VICTIM_TYPE_DESCRIPTION","Injured (incl. rescue with injury)","PubLANAME",B21)</f>
        <v>6</v>
      </c>
      <c r="J21" s="397">
        <f>GETPIVOTDATA("Sum of 2:Other Buildings",T_02!$A$4,"VICTIM_TYPE_DESCRIPTION","Injured (incl. rescue with injury)","PubLANAME",B21)</f>
        <v>0</v>
      </c>
      <c r="K21" s="397">
        <f>GETPIVOTDATA("Sum of 3:Road Vehicle",T_02!$A$4,"VICTIM_TYPE_DESCRIPTION","Injured (incl. rescue with injury)","PubLANAME",B21)</f>
        <v>0</v>
      </c>
      <c r="L21" s="397">
        <f>GETPIVOTDATA("Sum of 4:Others",T_02!$A$4,"VICTIM_TYPE_DESCRIPTION","Injured (incl. rescue with injury)","PubLANAME",B21)</f>
        <v>0</v>
      </c>
      <c r="M21" s="399">
        <f t="shared" si="1"/>
        <v>6</v>
      </c>
      <c r="N21" s="65"/>
      <c r="O21" s="397">
        <f>GETPIVOTDATA("Sum of 1:Dwelling",T_02!$A$4,"VICTIM_TYPE_DESCRIPTION","Exprecautionary","PubLANAME",B21)</f>
        <v>6</v>
      </c>
      <c r="P21" s="397">
        <f>GETPIVOTDATA("Sum of 2:Other Buildings",T_02!$A$4,"VICTIM_TYPE_DESCRIPTION","Exprecautionary","PubLANAME",B21)</f>
        <v>0</v>
      </c>
      <c r="Q21" s="397">
        <f>GETPIVOTDATA("Sum of 3:Road Vehicle",T_02!$A$4,"VICTIM_TYPE_DESCRIPTION","Exprecautionary","PubLANAME",B21)</f>
        <v>0</v>
      </c>
      <c r="R21" s="397">
        <f>GETPIVOTDATA("Sum of 4:Others",T_02!$A$4,"VICTIM_TYPE_DESCRIPTION","Exprecautionary","PubLANAME",B21)</f>
        <v>0</v>
      </c>
      <c r="S21" s="399">
        <f t="shared" si="2"/>
        <v>6</v>
      </c>
    </row>
    <row r="22" spans="1:19" x14ac:dyDescent="0.2">
      <c r="A22" s="1" t="s">
        <v>599</v>
      </c>
      <c r="B22" s="117" t="s">
        <v>34</v>
      </c>
      <c r="C22" s="397">
        <f>GETPIVOTDATA("Sum of 1:Dwelling",T_02!$A$4,"VICTIM_TYPE_DESCRIPTION","Fatality","PubLANAME",B22)</f>
        <v>0</v>
      </c>
      <c r="D22" s="397">
        <f>GETPIVOTDATA("Sum of 2:Other Buildings",T_02!$A$4,"VICTIM_TYPE_DESCRIPTION","Fatality","PubLANAME",B22)</f>
        <v>0</v>
      </c>
      <c r="E22" s="397">
        <f>GETPIVOTDATA("Sum of 3:Road Vehicle",T_02!$A$4,"VICTIM_TYPE_DESCRIPTION","Fatality","PubLANAME",B22)</f>
        <v>0</v>
      </c>
      <c r="F22" s="397">
        <f>GETPIVOTDATA("Sum of 4:Others",T_02!$A$4,"VICTIM_TYPE_DESCRIPTION","Fatality","PubLANAME",B22)</f>
        <v>0</v>
      </c>
      <c r="G22" s="399">
        <f t="shared" si="0"/>
        <v>0</v>
      </c>
      <c r="H22" s="209"/>
      <c r="I22" s="397">
        <f>GETPIVOTDATA("Sum of 1:Dwelling",T_02!$A$4,"VICTIM_TYPE_DESCRIPTION","Injured (incl. rescue with injury)","PubLANAME",B22)</f>
        <v>30</v>
      </c>
      <c r="J22" s="397">
        <f>GETPIVOTDATA("Sum of 2:Other Buildings",T_02!$A$4,"VICTIM_TYPE_DESCRIPTION","Injured (incl. rescue with injury)","PubLANAME",B22)</f>
        <v>3</v>
      </c>
      <c r="K22" s="397">
        <f>GETPIVOTDATA("Sum of 3:Road Vehicle",T_02!$A$4,"VICTIM_TYPE_DESCRIPTION","Injured (incl. rescue with injury)","PubLANAME",B22)</f>
        <v>0</v>
      </c>
      <c r="L22" s="397">
        <f>GETPIVOTDATA("Sum of 4:Others",T_02!$A$4,"VICTIM_TYPE_DESCRIPTION","Injured (incl. rescue with injury)","PubLANAME",B22)</f>
        <v>2</v>
      </c>
      <c r="M22" s="399">
        <f t="shared" si="1"/>
        <v>35</v>
      </c>
      <c r="N22" s="65"/>
      <c r="O22" s="397">
        <f>GETPIVOTDATA("Sum of 1:Dwelling",T_02!$A$4,"VICTIM_TYPE_DESCRIPTION","Exprecautionary","PubLANAME",B22)</f>
        <v>20</v>
      </c>
      <c r="P22" s="397">
        <f>GETPIVOTDATA("Sum of 2:Other Buildings",T_02!$A$4,"VICTIM_TYPE_DESCRIPTION","Exprecautionary","PubLANAME",B22)</f>
        <v>3</v>
      </c>
      <c r="Q22" s="397">
        <f>GETPIVOTDATA("Sum of 3:Road Vehicle",T_02!$A$4,"VICTIM_TYPE_DESCRIPTION","Exprecautionary","PubLANAME",B22)</f>
        <v>0</v>
      </c>
      <c r="R22" s="397">
        <f>GETPIVOTDATA("Sum of 4:Others",T_02!$A$4,"VICTIM_TYPE_DESCRIPTION","Exprecautionary","PubLANAME",B22)</f>
        <v>2</v>
      </c>
      <c r="S22" s="399">
        <f t="shared" si="2"/>
        <v>25</v>
      </c>
    </row>
    <row r="23" spans="1:19" x14ac:dyDescent="0.2">
      <c r="A23" s="1" t="s">
        <v>600</v>
      </c>
      <c r="B23" s="117" t="s">
        <v>35</v>
      </c>
      <c r="C23" s="397">
        <f>GETPIVOTDATA("Sum of 1:Dwelling",T_02!$A$4,"VICTIM_TYPE_DESCRIPTION","Fatality","PubLANAME",B23)</f>
        <v>2</v>
      </c>
      <c r="D23" s="397">
        <f>GETPIVOTDATA("Sum of 2:Other Buildings",T_02!$A$4,"VICTIM_TYPE_DESCRIPTION","Fatality","PubLANAME",B23)</f>
        <v>0</v>
      </c>
      <c r="E23" s="397">
        <f>GETPIVOTDATA("Sum of 3:Road Vehicle",T_02!$A$4,"VICTIM_TYPE_DESCRIPTION","Fatality","PubLANAME",B23)</f>
        <v>0</v>
      </c>
      <c r="F23" s="397">
        <f>GETPIVOTDATA("Sum of 4:Others",T_02!$A$4,"VICTIM_TYPE_DESCRIPTION","Fatality","PubLANAME",B23)</f>
        <v>0</v>
      </c>
      <c r="G23" s="399">
        <f t="shared" si="0"/>
        <v>2</v>
      </c>
      <c r="H23" s="209"/>
      <c r="I23" s="397">
        <f>GETPIVOTDATA("Sum of 1:Dwelling",T_02!$A$4,"VICTIM_TYPE_DESCRIPTION","Injured (incl. rescue with injury)","PubLANAME",B23)</f>
        <v>45</v>
      </c>
      <c r="J23" s="397">
        <f>GETPIVOTDATA("Sum of 2:Other Buildings",T_02!$A$4,"VICTIM_TYPE_DESCRIPTION","Injured (incl. rescue with injury)","PubLANAME",B23)</f>
        <v>3</v>
      </c>
      <c r="K23" s="397">
        <f>GETPIVOTDATA("Sum of 3:Road Vehicle",T_02!$A$4,"VICTIM_TYPE_DESCRIPTION","Injured (incl. rescue with injury)","PubLANAME",B23)</f>
        <v>1</v>
      </c>
      <c r="L23" s="397">
        <f>GETPIVOTDATA("Sum of 4:Others",T_02!$A$4,"VICTIM_TYPE_DESCRIPTION","Injured (incl. rescue with injury)","PubLANAME",B23)</f>
        <v>0</v>
      </c>
      <c r="M23" s="399">
        <f t="shared" si="1"/>
        <v>49</v>
      </c>
      <c r="N23" s="65"/>
      <c r="O23" s="397">
        <f>GETPIVOTDATA("Sum of 1:Dwelling",T_02!$A$4,"VICTIM_TYPE_DESCRIPTION","Exprecautionary","PubLANAME",B23)</f>
        <v>24</v>
      </c>
      <c r="P23" s="397">
        <f>GETPIVOTDATA("Sum of 2:Other Buildings",T_02!$A$4,"VICTIM_TYPE_DESCRIPTION","Exprecautionary","PubLANAME",B23)</f>
        <v>3</v>
      </c>
      <c r="Q23" s="397">
        <f>GETPIVOTDATA("Sum of 3:Road Vehicle",T_02!$A$4,"VICTIM_TYPE_DESCRIPTION","Exprecautionary","PubLANAME",B23)</f>
        <v>1</v>
      </c>
      <c r="R23" s="397">
        <f>GETPIVOTDATA("Sum of 4:Others",T_02!$A$4,"VICTIM_TYPE_DESCRIPTION","Exprecautionary","PubLANAME",B23)</f>
        <v>0</v>
      </c>
      <c r="S23" s="399">
        <f t="shared" si="2"/>
        <v>28</v>
      </c>
    </row>
    <row r="24" spans="1:19" x14ac:dyDescent="0.2">
      <c r="A24" s="1" t="s">
        <v>601</v>
      </c>
      <c r="B24" s="117" t="s">
        <v>36</v>
      </c>
      <c r="C24" s="397">
        <f>GETPIVOTDATA("Sum of 1:Dwelling",T_02!$A$4,"VICTIM_TYPE_DESCRIPTION","Fatality","PubLANAME",B24)</f>
        <v>7</v>
      </c>
      <c r="D24" s="397">
        <f>GETPIVOTDATA("Sum of 2:Other Buildings",T_02!$A$4,"VICTIM_TYPE_DESCRIPTION","Fatality","PubLANAME",B24)</f>
        <v>1</v>
      </c>
      <c r="E24" s="397">
        <f>GETPIVOTDATA("Sum of 3:Road Vehicle",T_02!$A$4,"VICTIM_TYPE_DESCRIPTION","Fatality","PubLANAME",B24)</f>
        <v>2</v>
      </c>
      <c r="F24" s="397">
        <f>GETPIVOTDATA("Sum of 4:Others",T_02!$A$4,"VICTIM_TYPE_DESCRIPTION","Fatality","PubLANAME",B24)</f>
        <v>0</v>
      </c>
      <c r="G24" s="399">
        <f t="shared" si="0"/>
        <v>10</v>
      </c>
      <c r="H24" s="209"/>
      <c r="I24" s="397">
        <f>GETPIVOTDATA("Sum of 1:Dwelling",T_02!$A$4,"VICTIM_TYPE_DESCRIPTION","Injured (incl. rescue with injury)","PubLANAME",B24)</f>
        <v>166</v>
      </c>
      <c r="J24" s="397">
        <f>GETPIVOTDATA("Sum of 2:Other Buildings",T_02!$A$4,"VICTIM_TYPE_DESCRIPTION","Injured (incl. rescue with injury)","PubLANAME",B24)</f>
        <v>21</v>
      </c>
      <c r="K24" s="397">
        <f>GETPIVOTDATA("Sum of 3:Road Vehicle",T_02!$A$4,"VICTIM_TYPE_DESCRIPTION","Injured (incl. rescue with injury)","PubLANAME",B24)</f>
        <v>2</v>
      </c>
      <c r="L24" s="397">
        <f>GETPIVOTDATA("Sum of 4:Others",T_02!$A$4,"VICTIM_TYPE_DESCRIPTION","Injured (incl. rescue with injury)","PubLANAME",B24)</f>
        <v>5</v>
      </c>
      <c r="M24" s="399">
        <f t="shared" si="1"/>
        <v>194</v>
      </c>
      <c r="N24" s="65"/>
      <c r="O24" s="397">
        <f>GETPIVOTDATA("Sum of 1:Dwelling",T_02!$A$4,"VICTIM_TYPE_DESCRIPTION","Exprecautionary","PubLANAME",B24)</f>
        <v>95</v>
      </c>
      <c r="P24" s="397">
        <f>GETPIVOTDATA("Sum of 2:Other Buildings",T_02!$A$4,"VICTIM_TYPE_DESCRIPTION","Exprecautionary","PubLANAME",B24)</f>
        <v>11</v>
      </c>
      <c r="Q24" s="397">
        <f>GETPIVOTDATA("Sum of 3:Road Vehicle",T_02!$A$4,"VICTIM_TYPE_DESCRIPTION","Exprecautionary","PubLANAME",B24)</f>
        <v>2</v>
      </c>
      <c r="R24" s="397">
        <f>GETPIVOTDATA("Sum of 4:Others",T_02!$A$4,"VICTIM_TYPE_DESCRIPTION","Exprecautionary","PubLANAME",B24)</f>
        <v>4</v>
      </c>
      <c r="S24" s="399">
        <f t="shared" si="2"/>
        <v>112</v>
      </c>
    </row>
    <row r="25" spans="1:19" x14ac:dyDescent="0.2">
      <c r="A25" s="1" t="s">
        <v>602</v>
      </c>
      <c r="B25" s="117" t="s">
        <v>37</v>
      </c>
      <c r="C25" s="397">
        <f>GETPIVOTDATA("Sum of 1:Dwelling",T_02!$A$4,"VICTIM_TYPE_DESCRIPTION","Fatality","PubLANAME",B25)</f>
        <v>0</v>
      </c>
      <c r="D25" s="397">
        <f>GETPIVOTDATA("Sum of 2:Other Buildings",T_02!$A$4,"VICTIM_TYPE_DESCRIPTION","Fatality","PubLANAME",B25)</f>
        <v>1</v>
      </c>
      <c r="E25" s="397">
        <f>GETPIVOTDATA("Sum of 3:Road Vehicle",T_02!$A$4,"VICTIM_TYPE_DESCRIPTION","Fatality","PubLANAME",B25)</f>
        <v>0</v>
      </c>
      <c r="F25" s="397">
        <f>GETPIVOTDATA("Sum of 4:Others",T_02!$A$4,"VICTIM_TYPE_DESCRIPTION","Fatality","PubLANAME",B25)</f>
        <v>0</v>
      </c>
      <c r="G25" s="399">
        <f t="shared" si="0"/>
        <v>1</v>
      </c>
      <c r="H25" s="209"/>
      <c r="I25" s="397">
        <f>GETPIVOTDATA("Sum of 1:Dwelling",T_02!$A$4,"VICTIM_TYPE_DESCRIPTION","Injured (incl. rescue with injury)","PubLANAME",B25)</f>
        <v>18</v>
      </c>
      <c r="J25" s="397">
        <f>GETPIVOTDATA("Sum of 2:Other Buildings",T_02!$A$4,"VICTIM_TYPE_DESCRIPTION","Injured (incl. rescue with injury)","PubLANAME",B25)</f>
        <v>4</v>
      </c>
      <c r="K25" s="397">
        <f>GETPIVOTDATA("Sum of 3:Road Vehicle",T_02!$A$4,"VICTIM_TYPE_DESCRIPTION","Injured (incl. rescue with injury)","PubLANAME",B25)</f>
        <v>0</v>
      </c>
      <c r="L25" s="397">
        <f>GETPIVOTDATA("Sum of 4:Others",T_02!$A$4,"VICTIM_TYPE_DESCRIPTION","Injured (incl. rescue with injury)","PubLANAME",B25)</f>
        <v>4</v>
      </c>
      <c r="M25" s="399">
        <f t="shared" si="1"/>
        <v>26</v>
      </c>
      <c r="N25" s="65"/>
      <c r="O25" s="397">
        <f>GETPIVOTDATA("Sum of 1:Dwelling",T_02!$A$4,"VICTIM_TYPE_DESCRIPTION","Exprecautionary","PubLANAME",B25)</f>
        <v>14</v>
      </c>
      <c r="P25" s="397">
        <f>GETPIVOTDATA("Sum of 2:Other Buildings",T_02!$A$4,"VICTIM_TYPE_DESCRIPTION","Exprecautionary","PubLANAME",B25)</f>
        <v>4</v>
      </c>
      <c r="Q25" s="397">
        <f>GETPIVOTDATA("Sum of 3:Road Vehicle",T_02!$A$4,"VICTIM_TYPE_DESCRIPTION","Exprecautionary","PubLANAME",B25)</f>
        <v>0</v>
      </c>
      <c r="R25" s="397">
        <f>GETPIVOTDATA("Sum of 4:Others",T_02!$A$4,"VICTIM_TYPE_DESCRIPTION","Exprecautionary","PubLANAME",B25)</f>
        <v>4</v>
      </c>
      <c r="S25" s="399">
        <f t="shared" si="2"/>
        <v>22</v>
      </c>
    </row>
    <row r="26" spans="1:19" x14ac:dyDescent="0.2">
      <c r="A26" s="1" t="s">
        <v>603</v>
      </c>
      <c r="B26" s="117" t="s">
        <v>38</v>
      </c>
      <c r="C26" s="397">
        <f>GETPIVOTDATA("Sum of 1:Dwelling",T_02!$A$4,"VICTIM_TYPE_DESCRIPTION","Fatality","PubLANAME",B26)</f>
        <v>2</v>
      </c>
      <c r="D26" s="397">
        <f>GETPIVOTDATA("Sum of 2:Other Buildings",T_02!$A$4,"VICTIM_TYPE_DESCRIPTION","Fatality","PubLANAME",B26)</f>
        <v>0</v>
      </c>
      <c r="E26" s="397">
        <f>GETPIVOTDATA("Sum of 3:Road Vehicle",T_02!$A$4,"VICTIM_TYPE_DESCRIPTION","Fatality","PubLANAME",B26)</f>
        <v>0</v>
      </c>
      <c r="F26" s="397">
        <f>GETPIVOTDATA("Sum of 4:Others",T_02!$A$4,"VICTIM_TYPE_DESCRIPTION","Fatality","PubLANAME",B26)</f>
        <v>0</v>
      </c>
      <c r="G26" s="399">
        <f t="shared" si="0"/>
        <v>2</v>
      </c>
      <c r="H26" s="209"/>
      <c r="I26" s="397">
        <f>GETPIVOTDATA("Sum of 1:Dwelling",T_02!$A$4,"VICTIM_TYPE_DESCRIPTION","Injured (incl. rescue with injury)","PubLANAME",B26)</f>
        <v>33</v>
      </c>
      <c r="J26" s="397">
        <f>GETPIVOTDATA("Sum of 2:Other Buildings",T_02!$A$4,"VICTIM_TYPE_DESCRIPTION","Injured (incl. rescue with injury)","PubLANAME",B26)</f>
        <v>1</v>
      </c>
      <c r="K26" s="397">
        <f>GETPIVOTDATA("Sum of 3:Road Vehicle",T_02!$A$4,"VICTIM_TYPE_DESCRIPTION","Injured (incl. rescue with injury)","PubLANAME",B26)</f>
        <v>0</v>
      </c>
      <c r="L26" s="397">
        <f>GETPIVOTDATA("Sum of 4:Others",T_02!$A$4,"VICTIM_TYPE_DESCRIPTION","Injured (incl. rescue with injury)","PubLANAME",B26)</f>
        <v>0</v>
      </c>
      <c r="M26" s="399">
        <f t="shared" si="1"/>
        <v>34</v>
      </c>
      <c r="N26" s="65"/>
      <c r="O26" s="397">
        <f>GETPIVOTDATA("Sum of 1:Dwelling",T_02!$A$4,"VICTIM_TYPE_DESCRIPTION","Exprecautionary","PubLANAME",B26)</f>
        <v>27</v>
      </c>
      <c r="P26" s="397">
        <f>GETPIVOTDATA("Sum of 2:Other Buildings",T_02!$A$4,"VICTIM_TYPE_DESCRIPTION","Exprecautionary","PubLANAME",B26)</f>
        <v>1</v>
      </c>
      <c r="Q26" s="397">
        <f>GETPIVOTDATA("Sum of 3:Road Vehicle",T_02!$A$4,"VICTIM_TYPE_DESCRIPTION","Exprecautionary","PubLANAME",B26)</f>
        <v>0</v>
      </c>
      <c r="R26" s="397">
        <f>GETPIVOTDATA("Sum of 4:Others",T_02!$A$4,"VICTIM_TYPE_DESCRIPTION","Exprecautionary","PubLANAME",B26)</f>
        <v>0</v>
      </c>
      <c r="S26" s="399">
        <f t="shared" si="2"/>
        <v>28</v>
      </c>
    </row>
    <row r="27" spans="1:19" x14ac:dyDescent="0.2">
      <c r="A27" s="1" t="s">
        <v>604</v>
      </c>
      <c r="B27" s="117" t="s">
        <v>39</v>
      </c>
      <c r="C27" s="397">
        <f>GETPIVOTDATA("Sum of 1:Dwelling",T_02!$A$4,"VICTIM_TYPE_DESCRIPTION","Fatality","PubLANAME",B27)</f>
        <v>1</v>
      </c>
      <c r="D27" s="397">
        <f>GETPIVOTDATA("Sum of 2:Other Buildings",T_02!$A$4,"VICTIM_TYPE_DESCRIPTION","Fatality","PubLANAME",B27)</f>
        <v>0</v>
      </c>
      <c r="E27" s="397">
        <f>GETPIVOTDATA("Sum of 3:Road Vehicle",T_02!$A$4,"VICTIM_TYPE_DESCRIPTION","Fatality","PubLANAME",B27)</f>
        <v>1</v>
      </c>
      <c r="F27" s="397">
        <f>GETPIVOTDATA("Sum of 4:Others",T_02!$A$4,"VICTIM_TYPE_DESCRIPTION","Fatality","PubLANAME",B27)</f>
        <v>0</v>
      </c>
      <c r="G27" s="399">
        <f t="shared" si="0"/>
        <v>2</v>
      </c>
      <c r="H27" s="209"/>
      <c r="I27" s="397">
        <f>GETPIVOTDATA("Sum of 1:Dwelling",T_02!$A$4,"VICTIM_TYPE_DESCRIPTION","Injured (incl. rescue with injury)","PubLANAME",B27)</f>
        <v>13</v>
      </c>
      <c r="J27" s="397">
        <f>GETPIVOTDATA("Sum of 2:Other Buildings",T_02!$A$4,"VICTIM_TYPE_DESCRIPTION","Injured (incl. rescue with injury)","PubLANAME",B27)</f>
        <v>1</v>
      </c>
      <c r="K27" s="397">
        <f>GETPIVOTDATA("Sum of 3:Road Vehicle",T_02!$A$4,"VICTIM_TYPE_DESCRIPTION","Injured (incl. rescue with injury)","PubLANAME",B27)</f>
        <v>0</v>
      </c>
      <c r="L27" s="397">
        <f>GETPIVOTDATA("Sum of 4:Others",T_02!$A$4,"VICTIM_TYPE_DESCRIPTION","Injured (incl. rescue with injury)","PubLANAME",B27)</f>
        <v>0</v>
      </c>
      <c r="M27" s="399">
        <f t="shared" si="1"/>
        <v>14</v>
      </c>
      <c r="N27" s="65"/>
      <c r="O27" s="397">
        <f>GETPIVOTDATA("Sum of 1:Dwelling",T_02!$A$4,"VICTIM_TYPE_DESCRIPTION","Exprecautionary","PubLANAME",B27)</f>
        <v>8</v>
      </c>
      <c r="P27" s="397">
        <f>GETPIVOTDATA("Sum of 2:Other Buildings",T_02!$A$4,"VICTIM_TYPE_DESCRIPTION","Exprecautionary","PubLANAME",B27)</f>
        <v>1</v>
      </c>
      <c r="Q27" s="397">
        <f>GETPIVOTDATA("Sum of 3:Road Vehicle",T_02!$A$4,"VICTIM_TYPE_DESCRIPTION","Exprecautionary","PubLANAME",B27)</f>
        <v>0</v>
      </c>
      <c r="R27" s="397">
        <f>GETPIVOTDATA("Sum of 4:Others",T_02!$A$4,"VICTIM_TYPE_DESCRIPTION","Exprecautionary","PubLANAME",B27)</f>
        <v>0</v>
      </c>
      <c r="S27" s="399">
        <f t="shared" si="2"/>
        <v>9</v>
      </c>
    </row>
    <row r="28" spans="1:19" x14ac:dyDescent="0.2">
      <c r="A28" s="1" t="s">
        <v>605</v>
      </c>
      <c r="B28" s="117" t="s">
        <v>40</v>
      </c>
      <c r="C28" s="397">
        <f>GETPIVOTDATA("Sum of 1:Dwelling",T_02!$A$4,"VICTIM_TYPE_DESCRIPTION","Fatality","PubLANAME",B28)</f>
        <v>1</v>
      </c>
      <c r="D28" s="397">
        <f>GETPIVOTDATA("Sum of 2:Other Buildings",T_02!$A$4,"VICTIM_TYPE_DESCRIPTION","Fatality","PubLANAME",B28)</f>
        <v>0</v>
      </c>
      <c r="E28" s="397">
        <f>GETPIVOTDATA("Sum of 3:Road Vehicle",T_02!$A$4,"VICTIM_TYPE_DESCRIPTION","Fatality","PubLANAME",B28)</f>
        <v>0</v>
      </c>
      <c r="F28" s="397">
        <f>GETPIVOTDATA("Sum of 4:Others",T_02!$A$4,"VICTIM_TYPE_DESCRIPTION","Fatality","PubLANAME",B28)</f>
        <v>0</v>
      </c>
      <c r="G28" s="399">
        <f t="shared" si="0"/>
        <v>1</v>
      </c>
      <c r="H28" s="209"/>
      <c r="I28" s="397">
        <f>GETPIVOTDATA("Sum of 1:Dwelling",T_02!$A$4,"VICTIM_TYPE_DESCRIPTION","Injured (incl. rescue with injury)","PubLANAME",B28)</f>
        <v>7</v>
      </c>
      <c r="J28" s="397">
        <f>GETPIVOTDATA("Sum of 2:Other Buildings",T_02!$A$4,"VICTIM_TYPE_DESCRIPTION","Injured (incl. rescue with injury)","PubLANAME",B28)</f>
        <v>3</v>
      </c>
      <c r="K28" s="397">
        <f>GETPIVOTDATA("Sum of 3:Road Vehicle",T_02!$A$4,"VICTIM_TYPE_DESCRIPTION","Injured (incl. rescue with injury)","PubLANAME",B28)</f>
        <v>1</v>
      </c>
      <c r="L28" s="397">
        <f>GETPIVOTDATA("Sum of 4:Others",T_02!$A$4,"VICTIM_TYPE_DESCRIPTION","Injured (incl. rescue with injury)","PubLANAME",B28)</f>
        <v>0</v>
      </c>
      <c r="M28" s="399">
        <f t="shared" si="1"/>
        <v>11</v>
      </c>
      <c r="N28" s="65"/>
      <c r="O28" s="397">
        <f>GETPIVOTDATA("Sum of 1:Dwelling",T_02!$A$4,"VICTIM_TYPE_DESCRIPTION","Exprecautionary","PubLANAME",B28)</f>
        <v>7</v>
      </c>
      <c r="P28" s="397">
        <f>GETPIVOTDATA("Sum of 2:Other Buildings",T_02!$A$4,"VICTIM_TYPE_DESCRIPTION","Exprecautionary","PubLANAME",B28)</f>
        <v>3</v>
      </c>
      <c r="Q28" s="397">
        <f>GETPIVOTDATA("Sum of 3:Road Vehicle",T_02!$A$4,"VICTIM_TYPE_DESCRIPTION","Exprecautionary","PubLANAME",B28)</f>
        <v>1</v>
      </c>
      <c r="R28" s="397">
        <f>GETPIVOTDATA("Sum of 4:Others",T_02!$A$4,"VICTIM_TYPE_DESCRIPTION","Exprecautionary","PubLANAME",B28)</f>
        <v>0</v>
      </c>
      <c r="S28" s="399">
        <f t="shared" si="2"/>
        <v>11</v>
      </c>
    </row>
    <row r="29" spans="1:19" x14ac:dyDescent="0.2">
      <c r="A29" s="1" t="s">
        <v>606</v>
      </c>
      <c r="B29" s="117" t="s">
        <v>295</v>
      </c>
      <c r="C29" s="397">
        <f>GETPIVOTDATA("Sum of 1:Dwelling",T_02!$A$4,"VICTIM_TYPE_DESCRIPTION","Fatality","PubLANAME",B29)</f>
        <v>0</v>
      </c>
      <c r="D29" s="397">
        <f>GETPIVOTDATA("Sum of 2:Other Buildings",T_02!$A$4,"VICTIM_TYPE_DESCRIPTION","Fatality","PubLANAME",B29)</f>
        <v>0</v>
      </c>
      <c r="E29" s="397">
        <f>GETPIVOTDATA("Sum of 3:Road Vehicle",T_02!$A$4,"VICTIM_TYPE_DESCRIPTION","Fatality","PubLANAME",B29)</f>
        <v>0</v>
      </c>
      <c r="F29" s="397">
        <f>GETPIVOTDATA("Sum of 4:Others",T_02!$A$4,"VICTIM_TYPE_DESCRIPTION","Fatality","PubLANAME",B29)</f>
        <v>0</v>
      </c>
      <c r="G29" s="399">
        <f t="shared" si="0"/>
        <v>0</v>
      </c>
      <c r="H29" s="209"/>
      <c r="I29" s="397">
        <f>GETPIVOTDATA("Sum of 1:Dwelling",T_02!$A$4,"VICTIM_TYPE_DESCRIPTION","Injured (incl. rescue with injury)","PubLANAME",B29)</f>
        <v>4</v>
      </c>
      <c r="J29" s="397">
        <f>GETPIVOTDATA("Sum of 2:Other Buildings",T_02!$A$4,"VICTIM_TYPE_DESCRIPTION","Injured (incl. rescue with injury)","PubLANAME",B29)</f>
        <v>0</v>
      </c>
      <c r="K29" s="397">
        <f>GETPIVOTDATA("Sum of 3:Road Vehicle",T_02!$A$4,"VICTIM_TYPE_DESCRIPTION","Injured (incl. rescue with injury)","PubLANAME",B29)</f>
        <v>0</v>
      </c>
      <c r="L29" s="397">
        <f>GETPIVOTDATA("Sum of 4:Others",T_02!$A$4,"VICTIM_TYPE_DESCRIPTION","Injured (incl. rescue with injury)","PubLANAME",B29)</f>
        <v>0</v>
      </c>
      <c r="M29" s="399">
        <f t="shared" si="1"/>
        <v>4</v>
      </c>
      <c r="N29" s="65"/>
      <c r="O29" s="397">
        <f>GETPIVOTDATA("Sum of 1:Dwelling",T_02!$A$4,"VICTIM_TYPE_DESCRIPTION","Exprecautionary","PubLANAME",B29)</f>
        <v>3</v>
      </c>
      <c r="P29" s="397">
        <f>GETPIVOTDATA("Sum of 2:Other Buildings",T_02!$A$4,"VICTIM_TYPE_DESCRIPTION","Exprecautionary","PubLANAME",B29)</f>
        <v>0</v>
      </c>
      <c r="Q29" s="397">
        <f>GETPIVOTDATA("Sum of 3:Road Vehicle",T_02!$A$4,"VICTIM_TYPE_DESCRIPTION","Exprecautionary","PubLANAME",B29)</f>
        <v>0</v>
      </c>
      <c r="R29" s="397">
        <f>GETPIVOTDATA("Sum of 4:Others",T_02!$A$4,"VICTIM_TYPE_DESCRIPTION","Exprecautionary","PubLANAME",B29)</f>
        <v>0</v>
      </c>
      <c r="S29" s="399">
        <f t="shared" si="2"/>
        <v>3</v>
      </c>
    </row>
    <row r="30" spans="1:19" x14ac:dyDescent="0.2">
      <c r="A30" s="1" t="s">
        <v>607</v>
      </c>
      <c r="B30" s="117" t="s">
        <v>41</v>
      </c>
      <c r="C30" s="397">
        <f>GETPIVOTDATA("Sum of 1:Dwelling",T_02!$A$4,"VICTIM_TYPE_DESCRIPTION","Fatality","PubLANAME",B30)</f>
        <v>0</v>
      </c>
      <c r="D30" s="397">
        <f>GETPIVOTDATA("Sum of 2:Other Buildings",T_02!$A$4,"VICTIM_TYPE_DESCRIPTION","Fatality","PubLANAME",B30)</f>
        <v>0</v>
      </c>
      <c r="E30" s="397">
        <f>GETPIVOTDATA("Sum of 3:Road Vehicle",T_02!$A$4,"VICTIM_TYPE_DESCRIPTION","Fatality","PubLANAME",B30)</f>
        <v>0</v>
      </c>
      <c r="F30" s="397">
        <f>GETPIVOTDATA("Sum of 4:Others",T_02!$A$4,"VICTIM_TYPE_DESCRIPTION","Fatality","PubLANAME",B30)</f>
        <v>1</v>
      </c>
      <c r="G30" s="399">
        <f t="shared" si="0"/>
        <v>1</v>
      </c>
      <c r="H30" s="209"/>
      <c r="I30" s="397">
        <f>GETPIVOTDATA("Sum of 1:Dwelling",T_02!$A$4,"VICTIM_TYPE_DESCRIPTION","Injured (incl. rescue with injury)","PubLANAME",B30)</f>
        <v>39</v>
      </c>
      <c r="J30" s="397">
        <f>GETPIVOTDATA("Sum of 2:Other Buildings",T_02!$A$4,"VICTIM_TYPE_DESCRIPTION","Injured (incl. rescue with injury)","PubLANAME",B30)</f>
        <v>1</v>
      </c>
      <c r="K30" s="397">
        <f>GETPIVOTDATA("Sum of 3:Road Vehicle",T_02!$A$4,"VICTIM_TYPE_DESCRIPTION","Injured (incl. rescue with injury)","PubLANAME",B30)</f>
        <v>1</v>
      </c>
      <c r="L30" s="397">
        <f>GETPIVOTDATA("Sum of 4:Others",T_02!$A$4,"VICTIM_TYPE_DESCRIPTION","Injured (incl. rescue with injury)","PubLANAME",B30)</f>
        <v>0</v>
      </c>
      <c r="M30" s="399">
        <f t="shared" si="1"/>
        <v>41</v>
      </c>
      <c r="N30" s="65"/>
      <c r="O30" s="397">
        <f>GETPIVOTDATA("Sum of 1:Dwelling",T_02!$A$4,"VICTIM_TYPE_DESCRIPTION","Exprecautionary","PubLANAME",B30)</f>
        <v>28</v>
      </c>
      <c r="P30" s="397">
        <f>GETPIVOTDATA("Sum of 2:Other Buildings",T_02!$A$4,"VICTIM_TYPE_DESCRIPTION","Exprecautionary","PubLANAME",B30)</f>
        <v>0</v>
      </c>
      <c r="Q30" s="397">
        <f>GETPIVOTDATA("Sum of 3:Road Vehicle",T_02!$A$4,"VICTIM_TYPE_DESCRIPTION","Exprecautionary","PubLANAME",B30)</f>
        <v>0</v>
      </c>
      <c r="R30" s="397">
        <f>GETPIVOTDATA("Sum of 4:Others",T_02!$A$4,"VICTIM_TYPE_DESCRIPTION","Exprecautionary","PubLANAME",B30)</f>
        <v>0</v>
      </c>
      <c r="S30" s="399">
        <f t="shared" si="2"/>
        <v>28</v>
      </c>
    </row>
    <row r="31" spans="1:19" x14ac:dyDescent="0.2">
      <c r="A31" s="1" t="s">
        <v>608</v>
      </c>
      <c r="B31" s="117" t="s">
        <v>42</v>
      </c>
      <c r="C31" s="397">
        <f>GETPIVOTDATA("Sum of 1:Dwelling",T_02!$A$4,"VICTIM_TYPE_DESCRIPTION","Fatality","PubLANAME",B31)</f>
        <v>2</v>
      </c>
      <c r="D31" s="397">
        <f>GETPIVOTDATA("Sum of 2:Other Buildings",T_02!$A$4,"VICTIM_TYPE_DESCRIPTION","Fatality","PubLANAME",B31)</f>
        <v>0</v>
      </c>
      <c r="E31" s="397">
        <f>GETPIVOTDATA("Sum of 3:Road Vehicle",T_02!$A$4,"VICTIM_TYPE_DESCRIPTION","Fatality","PubLANAME",B31)</f>
        <v>0</v>
      </c>
      <c r="F31" s="397">
        <f>GETPIVOTDATA("Sum of 4:Others",T_02!$A$4,"VICTIM_TYPE_DESCRIPTION","Fatality","PubLANAME",B31)</f>
        <v>0</v>
      </c>
      <c r="G31" s="399">
        <f t="shared" si="0"/>
        <v>2</v>
      </c>
      <c r="H31" s="209"/>
      <c r="I31" s="397">
        <f>GETPIVOTDATA("Sum of 1:Dwelling",T_02!$A$4,"VICTIM_TYPE_DESCRIPTION","Injured (incl. rescue with injury)","PubLANAME",B31)</f>
        <v>75</v>
      </c>
      <c r="J31" s="397">
        <f>GETPIVOTDATA("Sum of 2:Other Buildings",T_02!$A$4,"VICTIM_TYPE_DESCRIPTION","Injured (incl. rescue with injury)","PubLANAME",B31)</f>
        <v>6</v>
      </c>
      <c r="K31" s="397">
        <f>GETPIVOTDATA("Sum of 3:Road Vehicle",T_02!$A$4,"VICTIM_TYPE_DESCRIPTION","Injured (incl. rescue with injury)","PubLANAME",B31)</f>
        <v>5</v>
      </c>
      <c r="L31" s="397">
        <f>GETPIVOTDATA("Sum of 4:Others",T_02!$A$4,"VICTIM_TYPE_DESCRIPTION","Injured (incl. rescue with injury)","PubLANAME",B31)</f>
        <v>4</v>
      </c>
      <c r="M31" s="399">
        <f t="shared" si="1"/>
        <v>90</v>
      </c>
      <c r="N31" s="65"/>
      <c r="O31" s="397">
        <f>GETPIVOTDATA("Sum of 1:Dwelling",T_02!$A$4,"VICTIM_TYPE_DESCRIPTION","Exprecautionary","PubLANAME",B31)</f>
        <v>47</v>
      </c>
      <c r="P31" s="397">
        <f>GETPIVOTDATA("Sum of 2:Other Buildings",T_02!$A$4,"VICTIM_TYPE_DESCRIPTION","Exprecautionary","PubLANAME",B31)</f>
        <v>2</v>
      </c>
      <c r="Q31" s="397">
        <f>GETPIVOTDATA("Sum of 3:Road Vehicle",T_02!$A$4,"VICTIM_TYPE_DESCRIPTION","Exprecautionary","PubLANAME",B31)</f>
        <v>2</v>
      </c>
      <c r="R31" s="397">
        <f>GETPIVOTDATA("Sum of 4:Others",T_02!$A$4,"VICTIM_TYPE_DESCRIPTION","Exprecautionary","PubLANAME",B31)</f>
        <v>3</v>
      </c>
      <c r="S31" s="399">
        <f t="shared" si="2"/>
        <v>54</v>
      </c>
    </row>
    <row r="32" spans="1:19" x14ac:dyDescent="0.2">
      <c r="A32" s="1" t="s">
        <v>609</v>
      </c>
      <c r="B32" s="117" t="s">
        <v>43</v>
      </c>
      <c r="C32" s="397">
        <f>IFERROR((GETPIVOTDATA("Sum of 1:Dwelling",T_02!$A$4,"VICTIM_TYPE_DESCRIPTION","Fatality","PubLANAME",B32)),0)</f>
        <v>0</v>
      </c>
      <c r="D32" s="397">
        <f>IFERROR(GETPIVOTDATA("Sum of 2:Other Buildings",T_02!$A$4,"VICTIM_TYPE_DESCRIPTION","Fatality","PubLANAME",B32),0)</f>
        <v>0</v>
      </c>
      <c r="E32" s="397">
        <f>IFERROR(GETPIVOTDATA("Sum of 3:Road Vehicle",T_02!$A$4,"VICTIM_TYPE_DESCRIPTION","Fatality","PubLANAME",B32),0)</f>
        <v>0</v>
      </c>
      <c r="F32" s="397">
        <f>IFERROR(GETPIVOTDATA("Sum of 4:Others",T_02!$A$4,"VICTIM_TYPE_DESCRIPTION","Fatality","PubLANAME",B32),0)</f>
        <v>0</v>
      </c>
      <c r="G32" s="399">
        <f t="shared" si="0"/>
        <v>0</v>
      </c>
      <c r="H32" s="209"/>
      <c r="I32" s="397">
        <f>IFERROR(GETPIVOTDATA("Sum of 1:Dwelling",T_02!$A$4,"VICTIM_TYPE_DESCRIPTION","Injured (incl. rescue with injury)","PubLANAME",B32),0)</f>
        <v>1</v>
      </c>
      <c r="J32" s="397">
        <f>IFERROR(GETPIVOTDATA("Sum of 2:Other Buildings",T_02!$A$4,"VICTIM_TYPE_DESCRIPTION","Injured (incl. rescue with injury)","PubLANAME",B32),0)</f>
        <v>0</v>
      </c>
      <c r="K32" s="397">
        <f>IFERROR(GETPIVOTDATA("Sum of 3:Road Vehicle",T_02!$A$4,"VICTIM_TYPE_DESCRIPTION","Injured (incl. rescue with injury)","PubLANAME",B32),0)</f>
        <v>0</v>
      </c>
      <c r="L32" s="397">
        <f>IFERROR(GETPIVOTDATA("Sum of 4:Others",T_02!$A$4,"VICTIM_TYPE_DESCRIPTION","Injured (incl. rescue with injury)","PubLANAME",B32),0)</f>
        <v>0</v>
      </c>
      <c r="M32" s="399">
        <f t="shared" si="1"/>
        <v>1</v>
      </c>
      <c r="N32" s="65"/>
      <c r="O32" s="397">
        <f>IFERROR(GETPIVOTDATA("Sum of 1:Dwelling",T_02!$A$4,"VICTIM_TYPE_DESCRIPTION","Exprecautionary","PubLANAME",B32),0)</f>
        <v>1</v>
      </c>
      <c r="P32" s="397">
        <f>IFERROR(GETPIVOTDATA("Sum of 2:Other Buildings",T_02!$A$4,"VICTIM_TYPE_DESCRIPTION","Exprecautionary","PubLANAME",B32),0)</f>
        <v>0</v>
      </c>
      <c r="Q32" s="397">
        <f>IFERROR(GETPIVOTDATA("Sum of 3:Road Vehicle",T_02!$A$4,"VICTIM_TYPE_DESCRIPTION","Exprecautionary","PubLANAME",B32),0)</f>
        <v>0</v>
      </c>
      <c r="R32" s="397">
        <f>IFERROR(GETPIVOTDATA("Sum of 4:Others",T_02!$A$4,"VICTIM_TYPE_DESCRIPTION","Exprecautionary","PubLANAME",B32),0)</f>
        <v>0</v>
      </c>
      <c r="S32" s="399">
        <f t="shared" si="2"/>
        <v>1</v>
      </c>
    </row>
    <row r="33" spans="1:20" x14ac:dyDescent="0.2">
      <c r="A33" s="1" t="s">
        <v>610</v>
      </c>
      <c r="B33" s="117" t="s">
        <v>44</v>
      </c>
      <c r="C33" s="397">
        <f>GETPIVOTDATA("Sum of 1:Dwelling",T_02!$A$4,"VICTIM_TYPE_DESCRIPTION","Fatality","PubLANAME",B33)</f>
        <v>0</v>
      </c>
      <c r="D33" s="397">
        <f>GETPIVOTDATA("Sum of 2:Other Buildings",T_02!$A$4,"VICTIM_TYPE_DESCRIPTION","Fatality","PubLANAME",B33)</f>
        <v>0</v>
      </c>
      <c r="E33" s="397">
        <f>GETPIVOTDATA("Sum of 3:Road Vehicle",T_02!$A$4,"VICTIM_TYPE_DESCRIPTION","Fatality","PubLANAME",B33)</f>
        <v>0</v>
      </c>
      <c r="F33" s="397">
        <f>GETPIVOTDATA("Sum of 4:Others",T_02!$A$4,"VICTIM_TYPE_DESCRIPTION","Fatality","PubLANAME",B33)</f>
        <v>0</v>
      </c>
      <c r="G33" s="399">
        <f t="shared" si="0"/>
        <v>0</v>
      </c>
      <c r="H33" s="209"/>
      <c r="I33" s="397">
        <f>GETPIVOTDATA("Sum of 1:Dwelling",T_02!$A$4,"VICTIM_TYPE_DESCRIPTION","Injured (incl. rescue with injury)","PubLANAME",B33)</f>
        <v>25</v>
      </c>
      <c r="J33" s="397">
        <f>GETPIVOTDATA("Sum of 2:Other Buildings",T_02!$A$4,"VICTIM_TYPE_DESCRIPTION","Injured (incl. rescue with injury)","PubLANAME",B33)</f>
        <v>0</v>
      </c>
      <c r="K33" s="397">
        <f>GETPIVOTDATA("Sum of 3:Road Vehicle",T_02!$A$4,"VICTIM_TYPE_DESCRIPTION","Injured (incl. rescue with injury)","PubLANAME",B33)</f>
        <v>2</v>
      </c>
      <c r="L33" s="397">
        <f>GETPIVOTDATA("Sum of 4:Others",T_02!$A$4,"VICTIM_TYPE_DESCRIPTION","Injured (incl. rescue with injury)","PubLANAME",B33)</f>
        <v>3</v>
      </c>
      <c r="M33" s="399">
        <f t="shared" si="1"/>
        <v>30</v>
      </c>
      <c r="N33" s="65"/>
      <c r="O33" s="397">
        <f>GETPIVOTDATA("Sum of 1:Dwelling",T_02!$A$4,"VICTIM_TYPE_DESCRIPTION","Exprecautionary","PubLANAME",B33)</f>
        <v>20</v>
      </c>
      <c r="P33" s="397">
        <f>GETPIVOTDATA("Sum of 2:Other Buildings",T_02!$A$4,"VICTIM_TYPE_DESCRIPTION","Exprecautionary","PubLANAME",B33)</f>
        <v>0</v>
      </c>
      <c r="Q33" s="397">
        <f>GETPIVOTDATA("Sum of 3:Road Vehicle",T_02!$A$4,"VICTIM_TYPE_DESCRIPTION","Exprecautionary","PubLANAME",B33)</f>
        <v>2</v>
      </c>
      <c r="R33" s="397">
        <f>GETPIVOTDATA("Sum of 4:Others",T_02!$A$4,"VICTIM_TYPE_DESCRIPTION","Exprecautionary","PubLANAME",B33)</f>
        <v>3</v>
      </c>
      <c r="S33" s="399">
        <f t="shared" si="2"/>
        <v>25</v>
      </c>
    </row>
    <row r="34" spans="1:20" x14ac:dyDescent="0.2">
      <c r="A34" s="1" t="s">
        <v>611</v>
      </c>
      <c r="B34" s="117" t="s">
        <v>45</v>
      </c>
      <c r="C34" s="397">
        <f>GETPIVOTDATA("Sum of 1:Dwelling",T_02!$A$4,"VICTIM_TYPE_DESCRIPTION","Fatality","PubLANAME",B34)</f>
        <v>3</v>
      </c>
      <c r="D34" s="397">
        <f>GETPIVOTDATA("Sum of 2:Other Buildings",T_02!$A$4,"VICTIM_TYPE_DESCRIPTION","Fatality","PubLANAME",B34)</f>
        <v>0</v>
      </c>
      <c r="E34" s="397">
        <f>GETPIVOTDATA("Sum of 3:Road Vehicle",T_02!$A$4,"VICTIM_TYPE_DESCRIPTION","Fatality","PubLANAME",B34)</f>
        <v>0</v>
      </c>
      <c r="F34" s="397">
        <f>GETPIVOTDATA("Sum of 4:Others",T_02!$A$4,"VICTIM_TYPE_DESCRIPTION","Fatality","PubLANAME",B34)</f>
        <v>0</v>
      </c>
      <c r="G34" s="399">
        <f t="shared" si="0"/>
        <v>3</v>
      </c>
      <c r="H34" s="209"/>
      <c r="I34" s="397">
        <f>GETPIVOTDATA("Sum of 1:Dwelling",T_02!$A$4,"VICTIM_TYPE_DESCRIPTION","Injured (incl. rescue with injury)","PubLANAME",B34)</f>
        <v>37</v>
      </c>
      <c r="J34" s="397">
        <f>GETPIVOTDATA("Sum of 2:Other Buildings",T_02!$A$4,"VICTIM_TYPE_DESCRIPTION","Injured (incl. rescue with injury)","PubLANAME",B34)</f>
        <v>5</v>
      </c>
      <c r="K34" s="397">
        <f>GETPIVOTDATA("Sum of 3:Road Vehicle",T_02!$A$4,"VICTIM_TYPE_DESCRIPTION","Injured (incl. rescue with injury)","PubLANAME",B34)</f>
        <v>0</v>
      </c>
      <c r="L34" s="397">
        <f>GETPIVOTDATA("Sum of 4:Others",T_02!$A$4,"VICTIM_TYPE_DESCRIPTION","Injured (incl. rescue with injury)","PubLANAME",B34)</f>
        <v>2</v>
      </c>
      <c r="M34" s="399">
        <f t="shared" si="1"/>
        <v>44</v>
      </c>
      <c r="N34" s="65"/>
      <c r="O34" s="397">
        <f>GETPIVOTDATA("Sum of 1:Dwelling",T_02!$A$4,"VICTIM_TYPE_DESCRIPTION","Exprecautionary","PubLANAME",B34)</f>
        <v>27</v>
      </c>
      <c r="P34" s="397">
        <f>GETPIVOTDATA("Sum of 2:Other Buildings",T_02!$A$4,"VICTIM_TYPE_DESCRIPTION","Exprecautionary","PubLANAME",B34)</f>
        <v>4</v>
      </c>
      <c r="Q34" s="397">
        <f>GETPIVOTDATA("Sum of 3:Road Vehicle",T_02!$A$4,"VICTIM_TYPE_DESCRIPTION","Exprecautionary","PubLANAME",B34)</f>
        <v>0</v>
      </c>
      <c r="R34" s="397">
        <f>GETPIVOTDATA("Sum of 4:Others",T_02!$A$4,"VICTIM_TYPE_DESCRIPTION","Exprecautionary","PubLANAME",B34)</f>
        <v>2</v>
      </c>
      <c r="S34" s="399">
        <f t="shared" si="2"/>
        <v>33</v>
      </c>
    </row>
    <row r="35" spans="1:20" x14ac:dyDescent="0.2">
      <c r="A35" s="1" t="s">
        <v>612</v>
      </c>
      <c r="B35" s="117" t="s">
        <v>46</v>
      </c>
      <c r="C35" s="397">
        <f>GETPIVOTDATA("Sum of 1:Dwelling",T_02!$A$4,"VICTIM_TYPE_DESCRIPTION","Fatality","PubLANAME",B35)</f>
        <v>1</v>
      </c>
      <c r="D35" s="397">
        <f>GETPIVOTDATA("Sum of 2:Other Buildings",T_02!$A$4,"VICTIM_TYPE_DESCRIPTION","Fatality","PubLANAME",B35)</f>
        <v>0</v>
      </c>
      <c r="E35" s="397">
        <f>GETPIVOTDATA("Sum of 3:Road Vehicle",T_02!$A$4,"VICTIM_TYPE_DESCRIPTION","Fatality","PubLANAME",B35)</f>
        <v>0</v>
      </c>
      <c r="F35" s="397">
        <f>GETPIVOTDATA("Sum of 4:Others",T_02!$A$4,"VICTIM_TYPE_DESCRIPTION","Fatality","PubLANAME",B35)</f>
        <v>1</v>
      </c>
      <c r="G35" s="399">
        <f t="shared" si="0"/>
        <v>2</v>
      </c>
      <c r="H35" s="209"/>
      <c r="I35" s="397">
        <f>GETPIVOTDATA("Sum of 1:Dwelling",T_02!$A$4,"VICTIM_TYPE_DESCRIPTION","Injured (incl. rescue with injury)","PubLANAME",B35)</f>
        <v>12</v>
      </c>
      <c r="J35" s="397">
        <f>GETPIVOTDATA("Sum of 2:Other Buildings",T_02!$A$4,"VICTIM_TYPE_DESCRIPTION","Injured (incl. rescue with injury)","PubLANAME",B35)</f>
        <v>1</v>
      </c>
      <c r="K35" s="397">
        <f>GETPIVOTDATA("Sum of 3:Road Vehicle",T_02!$A$4,"VICTIM_TYPE_DESCRIPTION","Injured (incl. rescue with injury)","PubLANAME",B35)</f>
        <v>0</v>
      </c>
      <c r="L35" s="397">
        <f>GETPIVOTDATA("Sum of 4:Others",T_02!$A$4,"VICTIM_TYPE_DESCRIPTION","Injured (incl. rescue with injury)","PubLANAME",B35)</f>
        <v>2</v>
      </c>
      <c r="M35" s="399">
        <f t="shared" si="1"/>
        <v>15</v>
      </c>
      <c r="N35" s="65"/>
      <c r="O35" s="397">
        <f>GETPIVOTDATA("Sum of 1:Dwelling",T_02!$A$4,"VICTIM_TYPE_DESCRIPTION","Exprecautionary","PubLANAME",B35)</f>
        <v>10</v>
      </c>
      <c r="P35" s="397">
        <f>GETPIVOTDATA("Sum of 2:Other Buildings",T_02!$A$4,"VICTIM_TYPE_DESCRIPTION","Exprecautionary","PubLANAME",B35)</f>
        <v>1</v>
      </c>
      <c r="Q35" s="397">
        <f>GETPIVOTDATA("Sum of 3:Road Vehicle",T_02!$A$4,"VICTIM_TYPE_DESCRIPTION","Exprecautionary","PubLANAME",B35)</f>
        <v>0</v>
      </c>
      <c r="R35" s="397">
        <f>GETPIVOTDATA("Sum of 4:Others",T_02!$A$4,"VICTIM_TYPE_DESCRIPTION","Exprecautionary","PubLANAME",B35)</f>
        <v>2</v>
      </c>
      <c r="S35" s="399">
        <f t="shared" si="2"/>
        <v>13</v>
      </c>
    </row>
    <row r="36" spans="1:20" x14ac:dyDescent="0.2">
      <c r="A36" s="1" t="s">
        <v>613</v>
      </c>
      <c r="B36" s="117" t="s">
        <v>47</v>
      </c>
      <c r="C36" s="397">
        <f>GETPIVOTDATA("Sum of 1:Dwelling",T_02!$A$4,"VICTIM_TYPE_DESCRIPTION","Fatality","PubLANAME",B36)</f>
        <v>0</v>
      </c>
      <c r="D36" s="397">
        <f>GETPIVOTDATA("Sum of 2:Other Buildings",T_02!$A$4,"VICTIM_TYPE_DESCRIPTION","Fatality","PubLANAME",B36)</f>
        <v>0</v>
      </c>
      <c r="E36" s="397">
        <f>GETPIVOTDATA("Sum of 3:Road Vehicle",T_02!$A$4,"VICTIM_TYPE_DESCRIPTION","Fatality","PubLANAME",B36)</f>
        <v>1</v>
      </c>
      <c r="F36" s="397">
        <f>GETPIVOTDATA("Sum of 4:Others",T_02!$A$4,"VICTIM_TYPE_DESCRIPTION","Fatality","PubLANAME",B36)</f>
        <v>0</v>
      </c>
      <c r="G36" s="399">
        <f t="shared" si="0"/>
        <v>1</v>
      </c>
      <c r="H36" s="209"/>
      <c r="I36" s="397">
        <f>GETPIVOTDATA("Sum of 1:Dwelling",T_02!$A$4,"VICTIM_TYPE_DESCRIPTION","Injured (incl. rescue with injury)","PubLANAME",B36)</f>
        <v>2</v>
      </c>
      <c r="J36" s="397">
        <f>GETPIVOTDATA("Sum of 2:Other Buildings",T_02!$A$4,"VICTIM_TYPE_DESCRIPTION","Injured (incl. rescue with injury)","PubLANAME",B36)</f>
        <v>0</v>
      </c>
      <c r="K36" s="397">
        <f>GETPIVOTDATA("Sum of 3:Road Vehicle",T_02!$A$4,"VICTIM_TYPE_DESCRIPTION","Injured (incl. rescue with injury)","PubLANAME",B36)</f>
        <v>1</v>
      </c>
      <c r="L36" s="397">
        <f>GETPIVOTDATA("Sum of 4:Others",T_02!$A$4,"VICTIM_TYPE_DESCRIPTION","Injured (incl. rescue with injury)","PubLANAME",B36)</f>
        <v>0</v>
      </c>
      <c r="M36" s="399">
        <f t="shared" si="1"/>
        <v>3</v>
      </c>
      <c r="N36" s="65"/>
      <c r="O36" s="397">
        <f>GETPIVOTDATA("Sum of 1:Dwelling",T_02!$A$4,"VICTIM_TYPE_DESCRIPTION","Exprecautionary","PubLANAME",B36)</f>
        <v>1</v>
      </c>
      <c r="P36" s="397">
        <f>GETPIVOTDATA("Sum of 2:Other Buildings",T_02!$A$4,"VICTIM_TYPE_DESCRIPTION","Exprecautionary","PubLANAME",B36)</f>
        <v>0</v>
      </c>
      <c r="Q36" s="397">
        <f>GETPIVOTDATA("Sum of 3:Road Vehicle",T_02!$A$4,"VICTIM_TYPE_DESCRIPTION","Exprecautionary","PubLANAME",B36)</f>
        <v>1</v>
      </c>
      <c r="R36" s="397">
        <f>GETPIVOTDATA("Sum of 4:Others",T_02!$A$4,"VICTIM_TYPE_DESCRIPTION","Exprecautionary","PubLANAME",B36)</f>
        <v>0</v>
      </c>
      <c r="S36" s="399">
        <f t="shared" si="2"/>
        <v>2</v>
      </c>
    </row>
    <row r="37" spans="1:20" x14ac:dyDescent="0.2">
      <c r="A37" s="1" t="s">
        <v>614</v>
      </c>
      <c r="B37" s="117" t="s">
        <v>48</v>
      </c>
      <c r="C37" s="397">
        <f>GETPIVOTDATA("Sum of 1:Dwelling",T_02!$A$4,"VICTIM_TYPE_DESCRIPTION","Fatality","PubLANAME",B37)</f>
        <v>1</v>
      </c>
      <c r="D37" s="397">
        <f>GETPIVOTDATA("Sum of 2:Other Buildings",T_02!$A$4,"VICTIM_TYPE_DESCRIPTION","Fatality","PubLANAME",B37)</f>
        <v>0</v>
      </c>
      <c r="E37" s="397">
        <f>GETPIVOTDATA("Sum of 3:Road Vehicle",T_02!$A$4,"VICTIM_TYPE_DESCRIPTION","Fatality","PubLANAME",B37)</f>
        <v>0</v>
      </c>
      <c r="F37" s="397">
        <f>GETPIVOTDATA("Sum of 4:Others",T_02!$A$4,"VICTIM_TYPE_DESCRIPTION","Fatality","PubLANAME",B37)</f>
        <v>0</v>
      </c>
      <c r="G37" s="399">
        <f t="shared" si="0"/>
        <v>1</v>
      </c>
      <c r="H37" s="209"/>
      <c r="I37" s="397">
        <f>GETPIVOTDATA("Sum of 1:Dwelling",T_02!$A$4,"VICTIM_TYPE_DESCRIPTION","Injured (incl. rescue with injury)","PubLANAME",B37)</f>
        <v>20</v>
      </c>
      <c r="J37" s="397">
        <f>GETPIVOTDATA("Sum of 2:Other Buildings",T_02!$A$4,"VICTIM_TYPE_DESCRIPTION","Injured (incl. rescue with injury)","PubLANAME",B37)</f>
        <v>1</v>
      </c>
      <c r="K37" s="397">
        <f>GETPIVOTDATA("Sum of 3:Road Vehicle",T_02!$A$4,"VICTIM_TYPE_DESCRIPTION","Injured (incl. rescue with injury)","PubLANAME",B37)</f>
        <v>3</v>
      </c>
      <c r="L37" s="397">
        <f>GETPIVOTDATA("Sum of 4:Others",T_02!$A$4,"VICTIM_TYPE_DESCRIPTION","Injured (incl. rescue with injury)","PubLANAME",B37)</f>
        <v>0</v>
      </c>
      <c r="M37" s="399">
        <f t="shared" si="1"/>
        <v>24</v>
      </c>
      <c r="N37" s="65"/>
      <c r="O37" s="397">
        <f>GETPIVOTDATA("Sum of 1:Dwelling",T_02!$A$4,"VICTIM_TYPE_DESCRIPTION","Exprecautionary","PubLANAME",B37)</f>
        <v>10</v>
      </c>
      <c r="P37" s="397">
        <f>GETPIVOTDATA("Sum of 2:Other Buildings",T_02!$A$4,"VICTIM_TYPE_DESCRIPTION","Exprecautionary","PubLANAME",B37)</f>
        <v>1</v>
      </c>
      <c r="Q37" s="397">
        <f>GETPIVOTDATA("Sum of 3:Road Vehicle",T_02!$A$4,"VICTIM_TYPE_DESCRIPTION","Exprecautionary","PubLANAME",B37)</f>
        <v>1</v>
      </c>
      <c r="R37" s="397">
        <f>GETPIVOTDATA("Sum of 4:Others",T_02!$A$4,"VICTIM_TYPE_DESCRIPTION","Exprecautionary","PubLANAME",B37)</f>
        <v>0</v>
      </c>
      <c r="S37" s="399">
        <f t="shared" si="2"/>
        <v>12</v>
      </c>
    </row>
    <row r="38" spans="1:20" x14ac:dyDescent="0.2">
      <c r="A38" s="1" t="s">
        <v>615</v>
      </c>
      <c r="B38" s="117" t="s">
        <v>49</v>
      </c>
      <c r="C38" s="397">
        <f>GETPIVOTDATA("Sum of 1:Dwelling",T_02!$A$4,"VICTIM_TYPE_DESCRIPTION","Fatality","PubLANAME",B38)</f>
        <v>2</v>
      </c>
      <c r="D38" s="397">
        <f>GETPIVOTDATA("Sum of 2:Other Buildings",T_02!$A$4,"VICTIM_TYPE_DESCRIPTION","Fatality","PubLANAME",B38)</f>
        <v>0</v>
      </c>
      <c r="E38" s="397">
        <f>GETPIVOTDATA("Sum of 3:Road Vehicle",T_02!$A$4,"VICTIM_TYPE_DESCRIPTION","Fatality","PubLANAME",B38)</f>
        <v>0</v>
      </c>
      <c r="F38" s="397">
        <f>GETPIVOTDATA("Sum of 4:Others",T_02!$A$4,"VICTIM_TYPE_DESCRIPTION","Fatality","PubLANAME",B38)</f>
        <v>0</v>
      </c>
      <c r="G38" s="399">
        <f t="shared" si="0"/>
        <v>2</v>
      </c>
      <c r="H38" s="209"/>
      <c r="I38" s="397">
        <f>GETPIVOTDATA("Sum of 1:Dwelling",T_02!$A$4,"VICTIM_TYPE_DESCRIPTION","Injured (incl. rescue with injury)","PubLANAME",B38)</f>
        <v>59</v>
      </c>
      <c r="J38" s="397">
        <f>GETPIVOTDATA("Sum of 2:Other Buildings",T_02!$A$4,"VICTIM_TYPE_DESCRIPTION","Injured (incl. rescue with injury)","PubLANAME",B38)</f>
        <v>5</v>
      </c>
      <c r="K38" s="397">
        <f>GETPIVOTDATA("Sum of 3:Road Vehicle",T_02!$A$4,"VICTIM_TYPE_DESCRIPTION","Injured (incl. rescue with injury)","PubLANAME",B38)</f>
        <v>2</v>
      </c>
      <c r="L38" s="397">
        <f>GETPIVOTDATA("Sum of 4:Others",T_02!$A$4,"VICTIM_TYPE_DESCRIPTION","Injured (incl. rescue with injury)","PubLANAME",B38)</f>
        <v>2</v>
      </c>
      <c r="M38" s="399">
        <f t="shared" si="1"/>
        <v>68</v>
      </c>
      <c r="N38" s="65"/>
      <c r="O38" s="397">
        <f>GETPIVOTDATA("Sum of 1:Dwelling",T_02!$A$4,"VICTIM_TYPE_DESCRIPTION","Exprecautionary","PubLANAME",B38)</f>
        <v>36</v>
      </c>
      <c r="P38" s="397">
        <f>GETPIVOTDATA("Sum of 2:Other Buildings",T_02!$A$4,"VICTIM_TYPE_DESCRIPTION","Exprecautionary","PubLANAME",B38)</f>
        <v>4</v>
      </c>
      <c r="Q38" s="397">
        <f>GETPIVOTDATA("Sum of 3:Road Vehicle",T_02!$A$4,"VICTIM_TYPE_DESCRIPTION","Exprecautionary","PubLANAME",B38)</f>
        <v>1</v>
      </c>
      <c r="R38" s="397">
        <f>GETPIVOTDATA("Sum of 4:Others",T_02!$A$4,"VICTIM_TYPE_DESCRIPTION","Exprecautionary","PubLANAME",B38)</f>
        <v>2</v>
      </c>
      <c r="S38" s="399">
        <f t="shared" si="2"/>
        <v>43</v>
      </c>
    </row>
    <row r="39" spans="1:20" x14ac:dyDescent="0.2">
      <c r="A39" s="1" t="s">
        <v>616</v>
      </c>
      <c r="B39" s="117" t="s">
        <v>50</v>
      </c>
      <c r="C39" s="397">
        <f>GETPIVOTDATA("Sum of 1:Dwelling",T_02!$A$4,"VICTIM_TYPE_DESCRIPTION","Fatality","PubLANAME",B39)</f>
        <v>0</v>
      </c>
      <c r="D39" s="397">
        <f>GETPIVOTDATA("Sum of 2:Other Buildings",T_02!$A$4,"VICTIM_TYPE_DESCRIPTION","Fatality","PubLANAME",B39)</f>
        <v>0</v>
      </c>
      <c r="E39" s="397">
        <f>GETPIVOTDATA("Sum of 3:Road Vehicle",T_02!$A$4,"VICTIM_TYPE_DESCRIPTION","Fatality","PubLANAME",B39)</f>
        <v>0</v>
      </c>
      <c r="F39" s="397">
        <f>GETPIVOTDATA("Sum of 4:Others",T_02!$A$4,"VICTIM_TYPE_DESCRIPTION","Fatality","PubLANAME",B39)</f>
        <v>0</v>
      </c>
      <c r="G39" s="399">
        <f t="shared" si="0"/>
        <v>0</v>
      </c>
      <c r="H39" s="209"/>
      <c r="I39" s="397">
        <f>GETPIVOTDATA("Sum of 1:Dwelling",T_02!$A$4,"VICTIM_TYPE_DESCRIPTION","Injured (incl. rescue with injury)","PubLANAME",B39)</f>
        <v>9</v>
      </c>
      <c r="J39" s="397">
        <f>GETPIVOTDATA("Sum of 2:Other Buildings",T_02!$A$4,"VICTIM_TYPE_DESCRIPTION","Injured (incl. rescue with injury)","PubLANAME",B39)</f>
        <v>0</v>
      </c>
      <c r="K39" s="397">
        <f>GETPIVOTDATA("Sum of 3:Road Vehicle",T_02!$A$4,"VICTIM_TYPE_DESCRIPTION","Injured (incl. rescue with injury)","PubLANAME",B39)</f>
        <v>0</v>
      </c>
      <c r="L39" s="397">
        <f>GETPIVOTDATA("Sum of 4:Others",T_02!$A$4,"VICTIM_TYPE_DESCRIPTION","Injured (incl. rescue with injury)","PubLANAME",B39)</f>
        <v>2</v>
      </c>
      <c r="M39" s="399">
        <f t="shared" si="1"/>
        <v>11</v>
      </c>
      <c r="N39" s="65"/>
      <c r="O39" s="397">
        <f>GETPIVOTDATA("Sum of 1:Dwelling",T_02!$A$4,"VICTIM_TYPE_DESCRIPTION","Exprecautionary","PubLANAME",B39)</f>
        <v>8</v>
      </c>
      <c r="P39" s="397">
        <f>GETPIVOTDATA("Sum of 2:Other Buildings",T_02!$A$4,"VICTIM_TYPE_DESCRIPTION","Exprecautionary","PubLANAME",B39)</f>
        <v>0</v>
      </c>
      <c r="Q39" s="397">
        <f>GETPIVOTDATA("Sum of 3:Road Vehicle",T_02!$A$4,"VICTIM_TYPE_DESCRIPTION","Exprecautionary","PubLANAME",B39)</f>
        <v>0</v>
      </c>
      <c r="R39" s="397">
        <f>GETPIVOTDATA("Sum of 4:Others",T_02!$A$4,"VICTIM_TYPE_DESCRIPTION","Exprecautionary","PubLANAME",B39)</f>
        <v>0</v>
      </c>
      <c r="S39" s="399">
        <f t="shared" si="2"/>
        <v>8</v>
      </c>
    </row>
    <row r="40" spans="1:20" x14ac:dyDescent="0.2">
      <c r="A40" s="1" t="s">
        <v>617</v>
      </c>
      <c r="B40" s="117" t="s">
        <v>51</v>
      </c>
      <c r="C40" s="397">
        <f>GETPIVOTDATA("Sum of 1:Dwelling",T_02!$A$4,"VICTIM_TYPE_DESCRIPTION","Fatality","PubLANAME",B40)</f>
        <v>2</v>
      </c>
      <c r="D40" s="397">
        <f>GETPIVOTDATA("Sum of 2:Other Buildings",T_02!$A$4,"VICTIM_TYPE_DESCRIPTION","Fatality","PubLANAME",B40)</f>
        <v>0</v>
      </c>
      <c r="E40" s="397">
        <f>GETPIVOTDATA("Sum of 3:Road Vehicle",T_02!$A$4,"VICTIM_TYPE_DESCRIPTION","Fatality","PubLANAME",B40)</f>
        <v>0</v>
      </c>
      <c r="F40" s="397">
        <f>GETPIVOTDATA("Sum of 4:Others",T_02!$A$4,"VICTIM_TYPE_DESCRIPTION","Fatality","PubLANAME",B40)</f>
        <v>0</v>
      </c>
      <c r="G40" s="399">
        <f t="shared" si="0"/>
        <v>2</v>
      </c>
      <c r="H40" s="209"/>
      <c r="I40" s="397">
        <f>GETPIVOTDATA("Sum of 1:Dwelling",T_02!$A$4,"VICTIM_TYPE_DESCRIPTION","Injured (incl. rescue with injury)","PubLANAME",B40)</f>
        <v>21</v>
      </c>
      <c r="J40" s="397">
        <f>GETPIVOTDATA("Sum of 2:Other Buildings",T_02!$A$4,"VICTIM_TYPE_DESCRIPTION","Injured (incl. rescue with injury)","PubLANAME",B40)</f>
        <v>0</v>
      </c>
      <c r="K40" s="397">
        <f>GETPIVOTDATA("Sum of 3:Road Vehicle",T_02!$A$4,"VICTIM_TYPE_DESCRIPTION","Injured (incl. rescue with injury)","PubLANAME",B40)</f>
        <v>0</v>
      </c>
      <c r="L40" s="397">
        <f>GETPIVOTDATA("Sum of 4:Others",T_02!$A$4,"VICTIM_TYPE_DESCRIPTION","Injured (incl. rescue with injury)","PubLANAME",B40)</f>
        <v>2</v>
      </c>
      <c r="M40" s="399">
        <f t="shared" si="1"/>
        <v>23</v>
      </c>
      <c r="N40" s="65"/>
      <c r="O40" s="397">
        <f>GETPIVOTDATA("Sum of 1:Dwelling",T_02!$A$4,"VICTIM_TYPE_DESCRIPTION","Exprecautionary","PubLANAME",B40)</f>
        <v>13</v>
      </c>
      <c r="P40" s="397">
        <f>GETPIVOTDATA("Sum of 2:Other Buildings",T_02!$A$4,"VICTIM_TYPE_DESCRIPTION","Exprecautionary","PubLANAME",B40)</f>
        <v>0</v>
      </c>
      <c r="Q40" s="397">
        <f>GETPIVOTDATA("Sum of 3:Road Vehicle",T_02!$A$4,"VICTIM_TYPE_DESCRIPTION","Exprecautionary","PubLANAME",B40)</f>
        <v>0</v>
      </c>
      <c r="R40" s="397">
        <f>GETPIVOTDATA("Sum of 4:Others",T_02!$A$4,"VICTIM_TYPE_DESCRIPTION","Exprecautionary","PubLANAME",B40)</f>
        <v>2</v>
      </c>
      <c r="S40" s="399">
        <f t="shared" si="2"/>
        <v>15</v>
      </c>
    </row>
    <row r="41" spans="1:20" x14ac:dyDescent="0.2">
      <c r="A41" s="1" t="s">
        <v>618</v>
      </c>
      <c r="B41" s="117" t="s">
        <v>52</v>
      </c>
      <c r="C41" s="397">
        <f>GETPIVOTDATA("Sum of 1:Dwelling",T_02!$A$4,"VICTIM_TYPE_DESCRIPTION","Fatality","PubLANAME",B41)</f>
        <v>2</v>
      </c>
      <c r="D41" s="397">
        <f>GETPIVOTDATA("Sum of 2:Other Buildings",T_02!$A$4,"VICTIM_TYPE_DESCRIPTION","Fatality","PubLANAME",B41)</f>
        <v>0</v>
      </c>
      <c r="E41" s="397">
        <f>GETPIVOTDATA("Sum of 3:Road Vehicle",T_02!$A$4,"VICTIM_TYPE_DESCRIPTION","Fatality","PubLANAME",B41)</f>
        <v>0</v>
      </c>
      <c r="F41" s="397">
        <f>GETPIVOTDATA("Sum of 4:Others",T_02!$A$4,"VICTIM_TYPE_DESCRIPTION","Fatality","PubLANAME",B41)</f>
        <v>0</v>
      </c>
      <c r="G41" s="399">
        <f t="shared" si="0"/>
        <v>2</v>
      </c>
      <c r="H41" s="209"/>
      <c r="I41" s="397">
        <f>GETPIVOTDATA("Sum of 1:Dwelling",T_02!$A$4,"VICTIM_TYPE_DESCRIPTION","Injured (incl. rescue with injury)","PubLANAME",B41)</f>
        <v>27</v>
      </c>
      <c r="J41" s="397">
        <f>GETPIVOTDATA("Sum of 2:Other Buildings",T_02!$A$4,"VICTIM_TYPE_DESCRIPTION","Injured (incl. rescue with injury)","PubLANAME",B41)</f>
        <v>0</v>
      </c>
      <c r="K41" s="397">
        <f>GETPIVOTDATA("Sum of 3:Road Vehicle",T_02!$A$4,"VICTIM_TYPE_DESCRIPTION","Injured (incl. rescue with injury)","PubLANAME",B41)</f>
        <v>1</v>
      </c>
      <c r="L41" s="397">
        <f>GETPIVOTDATA("Sum of 4:Others",T_02!$A$4,"VICTIM_TYPE_DESCRIPTION","Injured (incl. rescue with injury)","PubLANAME",B41)</f>
        <v>3</v>
      </c>
      <c r="M41" s="399">
        <f t="shared" si="1"/>
        <v>31</v>
      </c>
      <c r="N41" s="65"/>
      <c r="O41" s="397">
        <f>GETPIVOTDATA("Sum of 1:Dwelling",T_02!$A$4,"VICTIM_TYPE_DESCRIPTION","Exprecautionary","PubLANAME",B41)</f>
        <v>17</v>
      </c>
      <c r="P41" s="397">
        <f>GETPIVOTDATA("Sum of 2:Other Buildings",T_02!$A$4,"VICTIM_TYPE_DESCRIPTION","Exprecautionary","PubLANAME",B41)</f>
        <v>0</v>
      </c>
      <c r="Q41" s="397">
        <f>GETPIVOTDATA("Sum of 3:Road Vehicle",T_02!$A$4,"VICTIM_TYPE_DESCRIPTION","Exprecautionary","PubLANAME",B41)</f>
        <v>1</v>
      </c>
      <c r="R41" s="397">
        <f>GETPIVOTDATA("Sum of 4:Others",T_02!$A$4,"VICTIM_TYPE_DESCRIPTION","Exprecautionary","PubLANAME",B41)</f>
        <v>3</v>
      </c>
      <c r="S41" s="399">
        <f t="shared" si="2"/>
        <v>21</v>
      </c>
    </row>
    <row r="42" spans="1:20" x14ac:dyDescent="0.2">
      <c r="A42" s="1"/>
      <c r="B42" s="358" t="str">
        <f>IF(T_02!A39 = "Z_Not Known","Not Known","")</f>
        <v/>
      </c>
      <c r="C42" s="1117"/>
      <c r="D42" s="1117"/>
      <c r="E42" s="1117"/>
      <c r="F42" s="1117"/>
      <c r="G42" s="410"/>
      <c r="H42" s="411"/>
      <c r="I42" s="1117"/>
      <c r="J42" s="1117"/>
      <c r="K42" s="1117"/>
      <c r="L42" s="1117"/>
      <c r="M42" s="410"/>
      <c r="N42" s="412"/>
      <c r="O42" s="1117"/>
      <c r="P42" s="1117"/>
      <c r="Q42" s="1117"/>
      <c r="R42" s="1117"/>
      <c r="S42" s="410"/>
    </row>
    <row r="43" spans="1:20" ht="15.75" thickBot="1" x14ac:dyDescent="0.25">
      <c r="A43" s="359" t="s">
        <v>620</v>
      </c>
      <c r="B43" s="405" t="s">
        <v>143</v>
      </c>
      <c r="C43" s="406">
        <f>SUM(C10:C42)</f>
        <v>44</v>
      </c>
      <c r="D43" s="406">
        <f>SUM(D10:D42)</f>
        <v>2</v>
      </c>
      <c r="E43" s="406">
        <f>SUM(E10:E42)</f>
        <v>5</v>
      </c>
      <c r="F43" s="406">
        <f>SUM(F10:F42)</f>
        <v>2</v>
      </c>
      <c r="G43" s="406">
        <f>SUM(G10:G42)</f>
        <v>53</v>
      </c>
      <c r="H43" s="407"/>
      <c r="I43" s="406">
        <f>SUM(I10:I42)</f>
        <v>876</v>
      </c>
      <c r="J43" s="406">
        <f>SUM(J10:J42)</f>
        <v>74</v>
      </c>
      <c r="K43" s="406">
        <f>SUM(K10:K42)</f>
        <v>22</v>
      </c>
      <c r="L43" s="406">
        <f>SUM(L10:L42)</f>
        <v>45</v>
      </c>
      <c r="M43" s="406">
        <f>SUM(M10:M42)</f>
        <v>1017</v>
      </c>
      <c r="N43" s="408"/>
      <c r="O43" s="406">
        <f>SUM(O10:O42)</f>
        <v>584</v>
      </c>
      <c r="P43" s="406">
        <f>SUM(P10:P42)</f>
        <v>54</v>
      </c>
      <c r="Q43" s="406">
        <f>SUM(Q10:Q42)</f>
        <v>15</v>
      </c>
      <c r="R43" s="406">
        <f>SUM(R10:R42)</f>
        <v>40</v>
      </c>
      <c r="S43" s="406">
        <f>SUM(S10:S42)</f>
        <v>693</v>
      </c>
      <c r="T43" s="409"/>
    </row>
    <row r="44" spans="1:20" x14ac:dyDescent="0.2">
      <c r="B44" s="1"/>
      <c r="C44" s="43"/>
      <c r="D44" s="43"/>
      <c r="E44" s="43"/>
      <c r="F44" s="52"/>
      <c r="G44" s="21"/>
      <c r="H44" s="4"/>
      <c r="I44" s="43"/>
      <c r="J44" s="43"/>
      <c r="K44" s="43"/>
      <c r="L44" s="52"/>
      <c r="M44" s="21"/>
      <c r="N44" s="1"/>
      <c r="O44" s="43"/>
      <c r="P44" s="43"/>
      <c r="Q44" s="43"/>
      <c r="R44" s="52"/>
      <c r="S44" s="21"/>
      <c r="T44" s="1"/>
    </row>
    <row r="45" spans="1:20" x14ac:dyDescent="0.2">
      <c r="A45" s="2" t="s">
        <v>146</v>
      </c>
      <c r="B45" s="1"/>
      <c r="C45" s="1"/>
      <c r="D45" s="1"/>
      <c r="E45" s="1"/>
      <c r="F45" s="1"/>
      <c r="G45" s="1"/>
      <c r="H45" s="1"/>
      <c r="I45" s="1"/>
      <c r="J45" s="1"/>
      <c r="K45" s="1"/>
      <c r="L45" s="1"/>
      <c r="M45" s="1"/>
      <c r="N45" s="1"/>
      <c r="O45" s="1"/>
      <c r="P45" s="1"/>
      <c r="Q45" s="1"/>
      <c r="R45" s="1"/>
      <c r="S45" s="21"/>
      <c r="T45" s="1"/>
    </row>
    <row r="46" spans="1:20" ht="15" x14ac:dyDescent="0.25">
      <c r="A46" s="1368" t="s">
        <v>626</v>
      </c>
      <c r="B46" s="1368"/>
      <c r="C46" s="1368"/>
      <c r="D46" s="1368"/>
      <c r="E46" s="1368"/>
      <c r="F46" s="1368"/>
      <c r="G46" s="1368"/>
      <c r="H46" s="1368"/>
      <c r="I46" s="1368"/>
      <c r="J46" s="1368"/>
      <c r="K46" s="1368"/>
      <c r="L46" s="1368"/>
      <c r="M46" s="1368"/>
      <c r="N46" s="1368"/>
      <c r="O46" s="1368"/>
      <c r="P46" s="1368"/>
      <c r="Q46" s="1368"/>
      <c r="R46" s="1368"/>
      <c r="S46" s="21"/>
      <c r="T46" s="1"/>
    </row>
    <row r="47" spans="1:20" x14ac:dyDescent="0.2">
      <c r="B47" s="1"/>
      <c r="C47" s="1"/>
      <c r="D47" s="1"/>
      <c r="E47" s="1"/>
      <c r="F47" s="1"/>
      <c r="G47" s="1"/>
      <c r="H47" s="1"/>
      <c r="I47" s="1"/>
      <c r="J47" s="1"/>
      <c r="K47" s="1"/>
      <c r="L47" s="1"/>
      <c r="M47" s="1"/>
      <c r="N47" s="1"/>
      <c r="O47" s="1"/>
      <c r="P47" s="1"/>
      <c r="Q47" s="43"/>
      <c r="R47" s="52"/>
      <c r="S47" s="21"/>
      <c r="T47" s="1"/>
    </row>
    <row r="48" spans="1:20" x14ac:dyDescent="0.2">
      <c r="B48" s="18"/>
      <c r="C48" s="43"/>
      <c r="D48" s="43"/>
      <c r="E48" s="43"/>
      <c r="F48" s="52"/>
      <c r="G48" s="21"/>
      <c r="H48" s="4"/>
      <c r="I48" s="43"/>
      <c r="J48" s="43"/>
      <c r="K48" s="43"/>
      <c r="L48" s="52"/>
      <c r="M48" s="21"/>
      <c r="N48" s="1"/>
      <c r="O48" s="43"/>
      <c r="P48" s="43"/>
      <c r="Q48" s="43"/>
      <c r="R48" s="52"/>
      <c r="S48" s="21"/>
      <c r="T48" s="1"/>
    </row>
    <row r="49" spans="2:20" x14ac:dyDescent="0.2">
      <c r="B49" s="1"/>
      <c r="C49" s="43"/>
      <c r="D49" s="43"/>
      <c r="E49" s="43"/>
      <c r="F49" s="52"/>
      <c r="G49" s="21"/>
      <c r="H49" s="4"/>
      <c r="I49" s="43"/>
      <c r="J49" s="43"/>
      <c r="K49" s="43"/>
      <c r="L49" s="52"/>
      <c r="M49" s="21"/>
      <c r="N49" s="1"/>
      <c r="O49" s="43"/>
      <c r="P49" s="43"/>
      <c r="Q49" s="43"/>
      <c r="R49" s="52"/>
      <c r="S49" s="21"/>
      <c r="T49" s="1"/>
    </row>
    <row r="50" spans="2:20" x14ac:dyDescent="0.2">
      <c r="B50" s="1"/>
      <c r="C50" s="43"/>
      <c r="D50" s="43"/>
      <c r="E50" s="43"/>
      <c r="F50" s="52"/>
      <c r="G50" s="21"/>
      <c r="H50" s="4"/>
      <c r="I50" s="43"/>
      <c r="J50" s="43"/>
      <c r="K50" s="43"/>
      <c r="L50" s="52"/>
      <c r="M50" s="21"/>
      <c r="N50" s="1"/>
      <c r="O50" s="43"/>
      <c r="P50" s="43"/>
      <c r="Q50" s="43"/>
      <c r="R50" s="52"/>
      <c r="S50" s="21"/>
      <c r="T50" s="1"/>
    </row>
  </sheetData>
  <sheetProtection algorithmName="SHA-512" hashValue="3jVMOQPTfrJz66pSqkDhuHTen6tbn9lkSjpLa1WPWlnsvJmTsNHwkJx4Lhaif9AXAFqle0MGNCX1jkXqF3gYjw==" saltValue="oup8YnhtOZh66z2WlWq3Bw==" spinCount="100000" sheet="1" scenarios="1" formatCells="0" formatColumns="0" formatRows="0" sort="0" autoFilter="0" pivotTables="0"/>
  <mergeCells count="7">
    <mergeCell ref="A46:R46"/>
    <mergeCell ref="S8:S9"/>
    <mergeCell ref="C8:F8"/>
    <mergeCell ref="G8:G9"/>
    <mergeCell ref="I8:L8"/>
    <mergeCell ref="M8:M9"/>
    <mergeCell ref="O8:R8"/>
  </mergeCells>
  <hyperlinks>
    <hyperlink ref="A2" location="'Table of Contents'!A1" display="Back to Table of Contents" xr:uid="{00000000-0004-0000-7000-000000000000}"/>
  </hyperlinks>
  <pageMargins left="0.7" right="0.7" top="0.75" bottom="0.75" header="0.3" footer="0.3"/>
  <ignoredErrors>
    <ignoredError sqref="C32:F32 I32:L32 O32:R32" formula="1"/>
  </ignoredErrors>
  <drawing r:id="rId1"/>
  <extLst>
    <ext xmlns:x14="http://schemas.microsoft.com/office/spreadsheetml/2009/9/main" uri="{A8765BA9-456A-4dab-B4F3-ACF838C121DE}">
      <x14:slicerList>
        <x14:slicer r:id="rId2"/>
      </x14:slicerList>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BF8F00"/>
  </sheetPr>
  <dimension ref="A1:AG86"/>
  <sheetViews>
    <sheetView showGridLines="0" zoomScaleNormal="100" workbookViewId="0">
      <pane ySplit="2" topLeftCell="A3" activePane="bottomLeft" state="frozen"/>
      <selection pane="bottomLeft"/>
    </sheetView>
  </sheetViews>
  <sheetFormatPr defaultRowHeight="12.75" x14ac:dyDescent="0.2"/>
  <cols>
    <col min="1" max="1" width="18.140625" style="1" customWidth="1"/>
    <col min="2" max="13" width="14" style="1" customWidth="1"/>
    <col min="14" max="14" width="11.5703125" style="1" customWidth="1"/>
    <col min="15" max="15" width="8.42578125" style="1" customWidth="1"/>
    <col min="16" max="16" width="11.5703125" style="1" customWidth="1"/>
    <col min="17" max="241" width="9.140625" style="1"/>
    <col min="242" max="242" width="20" style="1" customWidth="1"/>
    <col min="243" max="243" width="11.7109375" style="1" customWidth="1"/>
    <col min="244" max="244" width="11.140625" style="1" customWidth="1"/>
    <col min="245" max="245" width="11.42578125" style="1" customWidth="1"/>
    <col min="246" max="246" width="12.140625" style="1" customWidth="1"/>
    <col min="247" max="247" width="9.140625" style="1"/>
    <col min="248" max="248" width="13.140625" style="1" customWidth="1"/>
    <col min="249" max="249" width="9.140625" style="1"/>
    <col min="250" max="250" width="12.28515625" style="1" customWidth="1"/>
    <col min="251" max="251" width="14.28515625" style="1" customWidth="1"/>
    <col min="252" max="252" width="10.140625" style="1" customWidth="1"/>
    <col min="253" max="253" width="9.140625" style="1"/>
    <col min="254" max="254" width="12.42578125" style="1" customWidth="1"/>
    <col min="255" max="255" width="9.140625" style="1"/>
    <col min="256" max="256" width="11.28515625" style="1" customWidth="1"/>
    <col min="257" max="257" width="10.140625" style="1" customWidth="1"/>
    <col min="258" max="497" width="9.140625" style="1"/>
    <col min="498" max="498" width="20" style="1" customWidth="1"/>
    <col min="499" max="499" width="11.7109375" style="1" customWidth="1"/>
    <col min="500" max="500" width="11.140625" style="1" customWidth="1"/>
    <col min="501" max="501" width="11.42578125" style="1" customWidth="1"/>
    <col min="502" max="502" width="12.140625" style="1" customWidth="1"/>
    <col min="503" max="503" width="9.140625" style="1"/>
    <col min="504" max="504" width="13.140625" style="1" customWidth="1"/>
    <col min="505" max="505" width="9.140625" style="1"/>
    <col min="506" max="506" width="12.28515625" style="1" customWidth="1"/>
    <col min="507" max="507" width="14.28515625" style="1" customWidth="1"/>
    <col min="508" max="508" width="10.140625" style="1" customWidth="1"/>
    <col min="509" max="509" width="9.140625" style="1"/>
    <col min="510" max="510" width="12.42578125" style="1" customWidth="1"/>
    <col min="511" max="511" width="9.140625" style="1"/>
    <col min="512" max="512" width="11.28515625" style="1" customWidth="1"/>
    <col min="513" max="513" width="10.140625" style="1" customWidth="1"/>
    <col min="514" max="753" width="9.140625" style="1"/>
    <col min="754" max="754" width="20" style="1" customWidth="1"/>
    <col min="755" max="755" width="11.7109375" style="1" customWidth="1"/>
    <col min="756" max="756" width="11.140625" style="1" customWidth="1"/>
    <col min="757" max="757" width="11.42578125" style="1" customWidth="1"/>
    <col min="758" max="758" width="12.140625" style="1" customWidth="1"/>
    <col min="759" max="759" width="9.140625" style="1"/>
    <col min="760" max="760" width="13.140625" style="1" customWidth="1"/>
    <col min="761" max="761" width="9.140625" style="1"/>
    <col min="762" max="762" width="12.28515625" style="1" customWidth="1"/>
    <col min="763" max="763" width="14.28515625" style="1" customWidth="1"/>
    <col min="764" max="764" width="10.140625" style="1" customWidth="1"/>
    <col min="765" max="765" width="9.140625" style="1"/>
    <col min="766" max="766" width="12.42578125" style="1" customWidth="1"/>
    <col min="767" max="767" width="9.140625" style="1"/>
    <col min="768" max="768" width="11.28515625" style="1" customWidth="1"/>
    <col min="769" max="769" width="10.140625" style="1" customWidth="1"/>
    <col min="770" max="1009" width="9.140625" style="1"/>
    <col min="1010" max="1010" width="20" style="1" customWidth="1"/>
    <col min="1011" max="1011" width="11.7109375" style="1" customWidth="1"/>
    <col min="1012" max="1012" width="11.140625" style="1" customWidth="1"/>
    <col min="1013" max="1013" width="11.42578125" style="1" customWidth="1"/>
    <col min="1014" max="1014" width="12.140625" style="1" customWidth="1"/>
    <col min="1015" max="1015" width="9.140625" style="1"/>
    <col min="1016" max="1016" width="13.140625" style="1" customWidth="1"/>
    <col min="1017" max="1017" width="9.140625" style="1"/>
    <col min="1018" max="1018" width="12.28515625" style="1" customWidth="1"/>
    <col min="1019" max="1019" width="14.28515625" style="1" customWidth="1"/>
    <col min="1020" max="1020" width="10.140625" style="1" customWidth="1"/>
    <col min="1021" max="1021" width="9.140625" style="1"/>
    <col min="1022" max="1022" width="12.42578125" style="1" customWidth="1"/>
    <col min="1023" max="1023" width="9.140625" style="1"/>
    <col min="1024" max="1024" width="11.28515625" style="1" customWidth="1"/>
    <col min="1025" max="1025" width="10.140625" style="1" customWidth="1"/>
    <col min="1026" max="1265" width="9.140625" style="1"/>
    <col min="1266" max="1266" width="20" style="1" customWidth="1"/>
    <col min="1267" max="1267" width="11.7109375" style="1" customWidth="1"/>
    <col min="1268" max="1268" width="11.140625" style="1" customWidth="1"/>
    <col min="1269" max="1269" width="11.42578125" style="1" customWidth="1"/>
    <col min="1270" max="1270" width="12.140625" style="1" customWidth="1"/>
    <col min="1271" max="1271" width="9.140625" style="1"/>
    <col min="1272" max="1272" width="13.140625" style="1" customWidth="1"/>
    <col min="1273" max="1273" width="9.140625" style="1"/>
    <col min="1274" max="1274" width="12.28515625" style="1" customWidth="1"/>
    <col min="1275" max="1275" width="14.28515625" style="1" customWidth="1"/>
    <col min="1276" max="1276" width="10.140625" style="1" customWidth="1"/>
    <col min="1277" max="1277" width="9.140625" style="1"/>
    <col min="1278" max="1278" width="12.42578125" style="1" customWidth="1"/>
    <col min="1279" max="1279" width="9.140625" style="1"/>
    <col min="1280" max="1280" width="11.28515625" style="1" customWidth="1"/>
    <col min="1281" max="1281" width="10.140625" style="1" customWidth="1"/>
    <col min="1282" max="1521" width="9.140625" style="1"/>
    <col min="1522" max="1522" width="20" style="1" customWidth="1"/>
    <col min="1523" max="1523" width="11.7109375" style="1" customWidth="1"/>
    <col min="1524" max="1524" width="11.140625" style="1" customWidth="1"/>
    <col min="1525" max="1525" width="11.42578125" style="1" customWidth="1"/>
    <col min="1526" max="1526" width="12.140625" style="1" customWidth="1"/>
    <col min="1527" max="1527" width="9.140625" style="1"/>
    <col min="1528" max="1528" width="13.140625" style="1" customWidth="1"/>
    <col min="1529" max="1529" width="9.140625" style="1"/>
    <col min="1530" max="1530" width="12.28515625" style="1" customWidth="1"/>
    <col min="1531" max="1531" width="14.28515625" style="1" customWidth="1"/>
    <col min="1532" max="1532" width="10.140625" style="1" customWidth="1"/>
    <col min="1533" max="1533" width="9.140625" style="1"/>
    <col min="1534" max="1534" width="12.42578125" style="1" customWidth="1"/>
    <col min="1535" max="1535" width="9.140625" style="1"/>
    <col min="1536" max="1536" width="11.28515625" style="1" customWidth="1"/>
    <col min="1537" max="1537" width="10.140625" style="1" customWidth="1"/>
    <col min="1538" max="1777" width="9.140625" style="1"/>
    <col min="1778" max="1778" width="20" style="1" customWidth="1"/>
    <col min="1779" max="1779" width="11.7109375" style="1" customWidth="1"/>
    <col min="1780" max="1780" width="11.140625" style="1" customWidth="1"/>
    <col min="1781" max="1781" width="11.42578125" style="1" customWidth="1"/>
    <col min="1782" max="1782" width="12.140625" style="1" customWidth="1"/>
    <col min="1783" max="1783" width="9.140625" style="1"/>
    <col min="1784" max="1784" width="13.140625" style="1" customWidth="1"/>
    <col min="1785" max="1785" width="9.140625" style="1"/>
    <col min="1786" max="1786" width="12.28515625" style="1" customWidth="1"/>
    <col min="1787" max="1787" width="14.28515625" style="1" customWidth="1"/>
    <col min="1788" max="1788" width="10.140625" style="1" customWidth="1"/>
    <col min="1789" max="1789" width="9.140625" style="1"/>
    <col min="1790" max="1790" width="12.42578125" style="1" customWidth="1"/>
    <col min="1791" max="1791" width="9.140625" style="1"/>
    <col min="1792" max="1792" width="11.28515625" style="1" customWidth="1"/>
    <col min="1793" max="1793" width="10.140625" style="1" customWidth="1"/>
    <col min="1794" max="2033" width="9.140625" style="1"/>
    <col min="2034" max="2034" width="20" style="1" customWidth="1"/>
    <col min="2035" max="2035" width="11.7109375" style="1" customWidth="1"/>
    <col min="2036" max="2036" width="11.140625" style="1" customWidth="1"/>
    <col min="2037" max="2037" width="11.42578125" style="1" customWidth="1"/>
    <col min="2038" max="2038" width="12.140625" style="1" customWidth="1"/>
    <col min="2039" max="2039" width="9.140625" style="1"/>
    <col min="2040" max="2040" width="13.140625" style="1" customWidth="1"/>
    <col min="2041" max="2041" width="9.140625" style="1"/>
    <col min="2042" max="2042" width="12.28515625" style="1" customWidth="1"/>
    <col min="2043" max="2043" width="14.28515625" style="1" customWidth="1"/>
    <col min="2044" max="2044" width="10.140625" style="1" customWidth="1"/>
    <col min="2045" max="2045" width="9.140625" style="1"/>
    <col min="2046" max="2046" width="12.42578125" style="1" customWidth="1"/>
    <col min="2047" max="2047" width="9.140625" style="1"/>
    <col min="2048" max="2048" width="11.28515625" style="1" customWidth="1"/>
    <col min="2049" max="2049" width="10.140625" style="1" customWidth="1"/>
    <col min="2050" max="2289" width="9.140625" style="1"/>
    <col min="2290" max="2290" width="20" style="1" customWidth="1"/>
    <col min="2291" max="2291" width="11.7109375" style="1" customWidth="1"/>
    <col min="2292" max="2292" width="11.140625" style="1" customWidth="1"/>
    <col min="2293" max="2293" width="11.42578125" style="1" customWidth="1"/>
    <col min="2294" max="2294" width="12.140625" style="1" customWidth="1"/>
    <col min="2295" max="2295" width="9.140625" style="1"/>
    <col min="2296" max="2296" width="13.140625" style="1" customWidth="1"/>
    <col min="2297" max="2297" width="9.140625" style="1"/>
    <col min="2298" max="2298" width="12.28515625" style="1" customWidth="1"/>
    <col min="2299" max="2299" width="14.28515625" style="1" customWidth="1"/>
    <col min="2300" max="2300" width="10.140625" style="1" customWidth="1"/>
    <col min="2301" max="2301" width="9.140625" style="1"/>
    <col min="2302" max="2302" width="12.42578125" style="1" customWidth="1"/>
    <col min="2303" max="2303" width="9.140625" style="1"/>
    <col min="2304" max="2304" width="11.28515625" style="1" customWidth="1"/>
    <col min="2305" max="2305" width="10.140625" style="1" customWidth="1"/>
    <col min="2306" max="2545" width="9.140625" style="1"/>
    <col min="2546" max="2546" width="20" style="1" customWidth="1"/>
    <col min="2547" max="2547" width="11.7109375" style="1" customWidth="1"/>
    <col min="2548" max="2548" width="11.140625" style="1" customWidth="1"/>
    <col min="2549" max="2549" width="11.42578125" style="1" customWidth="1"/>
    <col min="2550" max="2550" width="12.140625" style="1" customWidth="1"/>
    <col min="2551" max="2551" width="9.140625" style="1"/>
    <col min="2552" max="2552" width="13.140625" style="1" customWidth="1"/>
    <col min="2553" max="2553" width="9.140625" style="1"/>
    <col min="2554" max="2554" width="12.28515625" style="1" customWidth="1"/>
    <col min="2555" max="2555" width="14.28515625" style="1" customWidth="1"/>
    <col min="2556" max="2556" width="10.140625" style="1" customWidth="1"/>
    <col min="2557" max="2557" width="9.140625" style="1"/>
    <col min="2558" max="2558" width="12.42578125" style="1" customWidth="1"/>
    <col min="2559" max="2559" width="9.140625" style="1"/>
    <col min="2560" max="2560" width="11.28515625" style="1" customWidth="1"/>
    <col min="2561" max="2561" width="10.140625" style="1" customWidth="1"/>
    <col min="2562" max="2801" width="9.140625" style="1"/>
    <col min="2802" max="2802" width="20" style="1" customWidth="1"/>
    <col min="2803" max="2803" width="11.7109375" style="1" customWidth="1"/>
    <col min="2804" max="2804" width="11.140625" style="1" customWidth="1"/>
    <col min="2805" max="2805" width="11.42578125" style="1" customWidth="1"/>
    <col min="2806" max="2806" width="12.140625" style="1" customWidth="1"/>
    <col min="2807" max="2807" width="9.140625" style="1"/>
    <col min="2808" max="2808" width="13.140625" style="1" customWidth="1"/>
    <col min="2809" max="2809" width="9.140625" style="1"/>
    <col min="2810" max="2810" width="12.28515625" style="1" customWidth="1"/>
    <col min="2811" max="2811" width="14.28515625" style="1" customWidth="1"/>
    <col min="2812" max="2812" width="10.140625" style="1" customWidth="1"/>
    <col min="2813" max="2813" width="9.140625" style="1"/>
    <col min="2814" max="2814" width="12.42578125" style="1" customWidth="1"/>
    <col min="2815" max="2815" width="9.140625" style="1"/>
    <col min="2816" max="2816" width="11.28515625" style="1" customWidth="1"/>
    <col min="2817" max="2817" width="10.140625" style="1" customWidth="1"/>
    <col min="2818" max="3057" width="9.140625" style="1"/>
    <col min="3058" max="3058" width="20" style="1" customWidth="1"/>
    <col min="3059" max="3059" width="11.7109375" style="1" customWidth="1"/>
    <col min="3060" max="3060" width="11.140625" style="1" customWidth="1"/>
    <col min="3061" max="3061" width="11.42578125" style="1" customWidth="1"/>
    <col min="3062" max="3062" width="12.140625" style="1" customWidth="1"/>
    <col min="3063" max="3063" width="9.140625" style="1"/>
    <col min="3064" max="3064" width="13.140625" style="1" customWidth="1"/>
    <col min="3065" max="3065" width="9.140625" style="1"/>
    <col min="3066" max="3066" width="12.28515625" style="1" customWidth="1"/>
    <col min="3067" max="3067" width="14.28515625" style="1" customWidth="1"/>
    <col min="3068" max="3068" width="10.140625" style="1" customWidth="1"/>
    <col min="3069" max="3069" width="9.140625" style="1"/>
    <col min="3070" max="3070" width="12.42578125" style="1" customWidth="1"/>
    <col min="3071" max="3071" width="9.140625" style="1"/>
    <col min="3072" max="3072" width="11.28515625" style="1" customWidth="1"/>
    <col min="3073" max="3073" width="10.140625" style="1" customWidth="1"/>
    <col min="3074" max="3313" width="9.140625" style="1"/>
    <col min="3314" max="3314" width="20" style="1" customWidth="1"/>
    <col min="3315" max="3315" width="11.7109375" style="1" customWidth="1"/>
    <col min="3316" max="3316" width="11.140625" style="1" customWidth="1"/>
    <col min="3317" max="3317" width="11.42578125" style="1" customWidth="1"/>
    <col min="3318" max="3318" width="12.140625" style="1" customWidth="1"/>
    <col min="3319" max="3319" width="9.140625" style="1"/>
    <col min="3320" max="3320" width="13.140625" style="1" customWidth="1"/>
    <col min="3321" max="3321" width="9.140625" style="1"/>
    <col min="3322" max="3322" width="12.28515625" style="1" customWidth="1"/>
    <col min="3323" max="3323" width="14.28515625" style="1" customWidth="1"/>
    <col min="3324" max="3324" width="10.140625" style="1" customWidth="1"/>
    <col min="3325" max="3325" width="9.140625" style="1"/>
    <col min="3326" max="3326" width="12.42578125" style="1" customWidth="1"/>
    <col min="3327" max="3327" width="9.140625" style="1"/>
    <col min="3328" max="3328" width="11.28515625" style="1" customWidth="1"/>
    <col min="3329" max="3329" width="10.140625" style="1" customWidth="1"/>
    <col min="3330" max="3569" width="9.140625" style="1"/>
    <col min="3570" max="3570" width="20" style="1" customWidth="1"/>
    <col min="3571" max="3571" width="11.7109375" style="1" customWidth="1"/>
    <col min="3572" max="3572" width="11.140625" style="1" customWidth="1"/>
    <col min="3573" max="3573" width="11.42578125" style="1" customWidth="1"/>
    <col min="3574" max="3574" width="12.140625" style="1" customWidth="1"/>
    <col min="3575" max="3575" width="9.140625" style="1"/>
    <col min="3576" max="3576" width="13.140625" style="1" customWidth="1"/>
    <col min="3577" max="3577" width="9.140625" style="1"/>
    <col min="3578" max="3578" width="12.28515625" style="1" customWidth="1"/>
    <col min="3579" max="3579" width="14.28515625" style="1" customWidth="1"/>
    <col min="3580" max="3580" width="10.140625" style="1" customWidth="1"/>
    <col min="3581" max="3581" width="9.140625" style="1"/>
    <col min="3582" max="3582" width="12.42578125" style="1" customWidth="1"/>
    <col min="3583" max="3583" width="9.140625" style="1"/>
    <col min="3584" max="3584" width="11.28515625" style="1" customWidth="1"/>
    <col min="3585" max="3585" width="10.140625" style="1" customWidth="1"/>
    <col min="3586" max="3825" width="9.140625" style="1"/>
    <col min="3826" max="3826" width="20" style="1" customWidth="1"/>
    <col min="3827" max="3827" width="11.7109375" style="1" customWidth="1"/>
    <col min="3828" max="3828" width="11.140625" style="1" customWidth="1"/>
    <col min="3829" max="3829" width="11.42578125" style="1" customWidth="1"/>
    <col min="3830" max="3830" width="12.140625" style="1" customWidth="1"/>
    <col min="3831" max="3831" width="9.140625" style="1"/>
    <col min="3832" max="3832" width="13.140625" style="1" customWidth="1"/>
    <col min="3833" max="3833" width="9.140625" style="1"/>
    <col min="3834" max="3834" width="12.28515625" style="1" customWidth="1"/>
    <col min="3835" max="3835" width="14.28515625" style="1" customWidth="1"/>
    <col min="3836" max="3836" width="10.140625" style="1" customWidth="1"/>
    <col min="3837" max="3837" width="9.140625" style="1"/>
    <col min="3838" max="3838" width="12.42578125" style="1" customWidth="1"/>
    <col min="3839" max="3839" width="9.140625" style="1"/>
    <col min="3840" max="3840" width="11.28515625" style="1" customWidth="1"/>
    <col min="3841" max="3841" width="10.140625" style="1" customWidth="1"/>
    <col min="3842" max="4081" width="9.140625" style="1"/>
    <col min="4082" max="4082" width="20" style="1" customWidth="1"/>
    <col min="4083" max="4083" width="11.7109375" style="1" customWidth="1"/>
    <col min="4084" max="4084" width="11.140625" style="1" customWidth="1"/>
    <col min="4085" max="4085" width="11.42578125" style="1" customWidth="1"/>
    <col min="4086" max="4086" width="12.140625" style="1" customWidth="1"/>
    <col min="4087" max="4087" width="9.140625" style="1"/>
    <col min="4088" max="4088" width="13.140625" style="1" customWidth="1"/>
    <col min="4089" max="4089" width="9.140625" style="1"/>
    <col min="4090" max="4090" width="12.28515625" style="1" customWidth="1"/>
    <col min="4091" max="4091" width="14.28515625" style="1" customWidth="1"/>
    <col min="4092" max="4092" width="10.140625" style="1" customWidth="1"/>
    <col min="4093" max="4093" width="9.140625" style="1"/>
    <col min="4094" max="4094" width="12.42578125" style="1" customWidth="1"/>
    <col min="4095" max="4095" width="9.140625" style="1"/>
    <col min="4096" max="4096" width="11.28515625" style="1" customWidth="1"/>
    <col min="4097" max="4097" width="10.140625" style="1" customWidth="1"/>
    <col min="4098" max="4337" width="9.140625" style="1"/>
    <col min="4338" max="4338" width="20" style="1" customWidth="1"/>
    <col min="4339" max="4339" width="11.7109375" style="1" customWidth="1"/>
    <col min="4340" max="4340" width="11.140625" style="1" customWidth="1"/>
    <col min="4341" max="4341" width="11.42578125" style="1" customWidth="1"/>
    <col min="4342" max="4342" width="12.140625" style="1" customWidth="1"/>
    <col min="4343" max="4343" width="9.140625" style="1"/>
    <col min="4344" max="4344" width="13.140625" style="1" customWidth="1"/>
    <col min="4345" max="4345" width="9.140625" style="1"/>
    <col min="4346" max="4346" width="12.28515625" style="1" customWidth="1"/>
    <col min="4347" max="4347" width="14.28515625" style="1" customWidth="1"/>
    <col min="4348" max="4348" width="10.140625" style="1" customWidth="1"/>
    <col min="4349" max="4349" width="9.140625" style="1"/>
    <col min="4350" max="4350" width="12.42578125" style="1" customWidth="1"/>
    <col min="4351" max="4351" width="9.140625" style="1"/>
    <col min="4352" max="4352" width="11.28515625" style="1" customWidth="1"/>
    <col min="4353" max="4353" width="10.140625" style="1" customWidth="1"/>
    <col min="4354" max="4593" width="9.140625" style="1"/>
    <col min="4594" max="4594" width="20" style="1" customWidth="1"/>
    <col min="4595" max="4595" width="11.7109375" style="1" customWidth="1"/>
    <col min="4596" max="4596" width="11.140625" style="1" customWidth="1"/>
    <col min="4597" max="4597" width="11.42578125" style="1" customWidth="1"/>
    <col min="4598" max="4598" width="12.140625" style="1" customWidth="1"/>
    <col min="4599" max="4599" width="9.140625" style="1"/>
    <col min="4600" max="4600" width="13.140625" style="1" customWidth="1"/>
    <col min="4601" max="4601" width="9.140625" style="1"/>
    <col min="4602" max="4602" width="12.28515625" style="1" customWidth="1"/>
    <col min="4603" max="4603" width="14.28515625" style="1" customWidth="1"/>
    <col min="4604" max="4604" width="10.140625" style="1" customWidth="1"/>
    <col min="4605" max="4605" width="9.140625" style="1"/>
    <col min="4606" max="4606" width="12.42578125" style="1" customWidth="1"/>
    <col min="4607" max="4607" width="9.140625" style="1"/>
    <col min="4608" max="4608" width="11.28515625" style="1" customWidth="1"/>
    <col min="4609" max="4609" width="10.140625" style="1" customWidth="1"/>
    <col min="4610" max="4849" width="9.140625" style="1"/>
    <col min="4850" max="4850" width="20" style="1" customWidth="1"/>
    <col min="4851" max="4851" width="11.7109375" style="1" customWidth="1"/>
    <col min="4852" max="4852" width="11.140625" style="1" customWidth="1"/>
    <col min="4853" max="4853" width="11.42578125" style="1" customWidth="1"/>
    <col min="4854" max="4854" width="12.140625" style="1" customWidth="1"/>
    <col min="4855" max="4855" width="9.140625" style="1"/>
    <col min="4856" max="4856" width="13.140625" style="1" customWidth="1"/>
    <col min="4857" max="4857" width="9.140625" style="1"/>
    <col min="4858" max="4858" width="12.28515625" style="1" customWidth="1"/>
    <col min="4859" max="4859" width="14.28515625" style="1" customWidth="1"/>
    <col min="4860" max="4860" width="10.140625" style="1" customWidth="1"/>
    <col min="4861" max="4861" width="9.140625" style="1"/>
    <col min="4862" max="4862" width="12.42578125" style="1" customWidth="1"/>
    <col min="4863" max="4863" width="9.140625" style="1"/>
    <col min="4864" max="4864" width="11.28515625" style="1" customWidth="1"/>
    <col min="4865" max="4865" width="10.140625" style="1" customWidth="1"/>
    <col min="4866" max="5105" width="9.140625" style="1"/>
    <col min="5106" max="5106" width="20" style="1" customWidth="1"/>
    <col min="5107" max="5107" width="11.7109375" style="1" customWidth="1"/>
    <col min="5108" max="5108" width="11.140625" style="1" customWidth="1"/>
    <col min="5109" max="5109" width="11.42578125" style="1" customWidth="1"/>
    <col min="5110" max="5110" width="12.140625" style="1" customWidth="1"/>
    <col min="5111" max="5111" width="9.140625" style="1"/>
    <col min="5112" max="5112" width="13.140625" style="1" customWidth="1"/>
    <col min="5113" max="5113" width="9.140625" style="1"/>
    <col min="5114" max="5114" width="12.28515625" style="1" customWidth="1"/>
    <col min="5115" max="5115" width="14.28515625" style="1" customWidth="1"/>
    <col min="5116" max="5116" width="10.140625" style="1" customWidth="1"/>
    <col min="5117" max="5117" width="9.140625" style="1"/>
    <col min="5118" max="5118" width="12.42578125" style="1" customWidth="1"/>
    <col min="5119" max="5119" width="9.140625" style="1"/>
    <col min="5120" max="5120" width="11.28515625" style="1" customWidth="1"/>
    <col min="5121" max="5121" width="10.140625" style="1" customWidth="1"/>
    <col min="5122" max="5361" width="9.140625" style="1"/>
    <col min="5362" max="5362" width="20" style="1" customWidth="1"/>
    <col min="5363" max="5363" width="11.7109375" style="1" customWidth="1"/>
    <col min="5364" max="5364" width="11.140625" style="1" customWidth="1"/>
    <col min="5365" max="5365" width="11.42578125" style="1" customWidth="1"/>
    <col min="5366" max="5366" width="12.140625" style="1" customWidth="1"/>
    <col min="5367" max="5367" width="9.140625" style="1"/>
    <col min="5368" max="5368" width="13.140625" style="1" customWidth="1"/>
    <col min="5369" max="5369" width="9.140625" style="1"/>
    <col min="5370" max="5370" width="12.28515625" style="1" customWidth="1"/>
    <col min="5371" max="5371" width="14.28515625" style="1" customWidth="1"/>
    <col min="5372" max="5372" width="10.140625" style="1" customWidth="1"/>
    <col min="5373" max="5373" width="9.140625" style="1"/>
    <col min="5374" max="5374" width="12.42578125" style="1" customWidth="1"/>
    <col min="5375" max="5375" width="9.140625" style="1"/>
    <col min="5376" max="5376" width="11.28515625" style="1" customWidth="1"/>
    <col min="5377" max="5377" width="10.140625" style="1" customWidth="1"/>
    <col min="5378" max="5617" width="9.140625" style="1"/>
    <col min="5618" max="5618" width="20" style="1" customWidth="1"/>
    <col min="5619" max="5619" width="11.7109375" style="1" customWidth="1"/>
    <col min="5620" max="5620" width="11.140625" style="1" customWidth="1"/>
    <col min="5621" max="5621" width="11.42578125" style="1" customWidth="1"/>
    <col min="5622" max="5622" width="12.140625" style="1" customWidth="1"/>
    <col min="5623" max="5623" width="9.140625" style="1"/>
    <col min="5624" max="5624" width="13.140625" style="1" customWidth="1"/>
    <col min="5625" max="5625" width="9.140625" style="1"/>
    <col min="5626" max="5626" width="12.28515625" style="1" customWidth="1"/>
    <col min="5627" max="5627" width="14.28515625" style="1" customWidth="1"/>
    <col min="5628" max="5628" width="10.140625" style="1" customWidth="1"/>
    <col min="5629" max="5629" width="9.140625" style="1"/>
    <col min="5630" max="5630" width="12.42578125" style="1" customWidth="1"/>
    <col min="5631" max="5631" width="9.140625" style="1"/>
    <col min="5632" max="5632" width="11.28515625" style="1" customWidth="1"/>
    <col min="5633" max="5633" width="10.140625" style="1" customWidth="1"/>
    <col min="5634" max="5873" width="9.140625" style="1"/>
    <col min="5874" max="5874" width="20" style="1" customWidth="1"/>
    <col min="5875" max="5875" width="11.7109375" style="1" customWidth="1"/>
    <col min="5876" max="5876" width="11.140625" style="1" customWidth="1"/>
    <col min="5877" max="5877" width="11.42578125" style="1" customWidth="1"/>
    <col min="5878" max="5878" width="12.140625" style="1" customWidth="1"/>
    <col min="5879" max="5879" width="9.140625" style="1"/>
    <col min="5880" max="5880" width="13.140625" style="1" customWidth="1"/>
    <col min="5881" max="5881" width="9.140625" style="1"/>
    <col min="5882" max="5882" width="12.28515625" style="1" customWidth="1"/>
    <col min="5883" max="5883" width="14.28515625" style="1" customWidth="1"/>
    <col min="5884" max="5884" width="10.140625" style="1" customWidth="1"/>
    <col min="5885" max="5885" width="9.140625" style="1"/>
    <col min="5886" max="5886" width="12.42578125" style="1" customWidth="1"/>
    <col min="5887" max="5887" width="9.140625" style="1"/>
    <col min="5888" max="5888" width="11.28515625" style="1" customWidth="1"/>
    <col min="5889" max="5889" width="10.140625" style="1" customWidth="1"/>
    <col min="5890" max="6129" width="9.140625" style="1"/>
    <col min="6130" max="6130" width="20" style="1" customWidth="1"/>
    <col min="6131" max="6131" width="11.7109375" style="1" customWidth="1"/>
    <col min="6132" max="6132" width="11.140625" style="1" customWidth="1"/>
    <col min="6133" max="6133" width="11.42578125" style="1" customWidth="1"/>
    <col min="6134" max="6134" width="12.140625" style="1" customWidth="1"/>
    <col min="6135" max="6135" width="9.140625" style="1"/>
    <col min="6136" max="6136" width="13.140625" style="1" customWidth="1"/>
    <col min="6137" max="6137" width="9.140625" style="1"/>
    <col min="6138" max="6138" width="12.28515625" style="1" customWidth="1"/>
    <col min="6139" max="6139" width="14.28515625" style="1" customWidth="1"/>
    <col min="6140" max="6140" width="10.140625" style="1" customWidth="1"/>
    <col min="6141" max="6141" width="9.140625" style="1"/>
    <col min="6142" max="6142" width="12.42578125" style="1" customWidth="1"/>
    <col min="6143" max="6143" width="9.140625" style="1"/>
    <col min="6144" max="6144" width="11.28515625" style="1" customWidth="1"/>
    <col min="6145" max="6145" width="10.140625" style="1" customWidth="1"/>
    <col min="6146" max="6385" width="9.140625" style="1"/>
    <col min="6386" max="6386" width="20" style="1" customWidth="1"/>
    <col min="6387" max="6387" width="11.7109375" style="1" customWidth="1"/>
    <col min="6388" max="6388" width="11.140625" style="1" customWidth="1"/>
    <col min="6389" max="6389" width="11.42578125" style="1" customWidth="1"/>
    <col min="6390" max="6390" width="12.140625" style="1" customWidth="1"/>
    <col min="6391" max="6391" width="9.140625" style="1"/>
    <col min="6392" max="6392" width="13.140625" style="1" customWidth="1"/>
    <col min="6393" max="6393" width="9.140625" style="1"/>
    <col min="6394" max="6394" width="12.28515625" style="1" customWidth="1"/>
    <col min="6395" max="6395" width="14.28515625" style="1" customWidth="1"/>
    <col min="6396" max="6396" width="10.140625" style="1" customWidth="1"/>
    <col min="6397" max="6397" width="9.140625" style="1"/>
    <col min="6398" max="6398" width="12.42578125" style="1" customWidth="1"/>
    <col min="6399" max="6399" width="9.140625" style="1"/>
    <col min="6400" max="6400" width="11.28515625" style="1" customWidth="1"/>
    <col min="6401" max="6401" width="10.140625" style="1" customWidth="1"/>
    <col min="6402" max="6641" width="9.140625" style="1"/>
    <col min="6642" max="6642" width="20" style="1" customWidth="1"/>
    <col min="6643" max="6643" width="11.7109375" style="1" customWidth="1"/>
    <col min="6644" max="6644" width="11.140625" style="1" customWidth="1"/>
    <col min="6645" max="6645" width="11.42578125" style="1" customWidth="1"/>
    <col min="6646" max="6646" width="12.140625" style="1" customWidth="1"/>
    <col min="6647" max="6647" width="9.140625" style="1"/>
    <col min="6648" max="6648" width="13.140625" style="1" customWidth="1"/>
    <col min="6649" max="6649" width="9.140625" style="1"/>
    <col min="6650" max="6650" width="12.28515625" style="1" customWidth="1"/>
    <col min="6651" max="6651" width="14.28515625" style="1" customWidth="1"/>
    <col min="6652" max="6652" width="10.140625" style="1" customWidth="1"/>
    <col min="6653" max="6653" width="9.140625" style="1"/>
    <col min="6654" max="6654" width="12.42578125" style="1" customWidth="1"/>
    <col min="6655" max="6655" width="9.140625" style="1"/>
    <col min="6656" max="6656" width="11.28515625" style="1" customWidth="1"/>
    <col min="6657" max="6657" width="10.140625" style="1" customWidth="1"/>
    <col min="6658" max="6897" width="9.140625" style="1"/>
    <col min="6898" max="6898" width="20" style="1" customWidth="1"/>
    <col min="6899" max="6899" width="11.7109375" style="1" customWidth="1"/>
    <col min="6900" max="6900" width="11.140625" style="1" customWidth="1"/>
    <col min="6901" max="6901" width="11.42578125" style="1" customWidth="1"/>
    <col min="6902" max="6902" width="12.140625" style="1" customWidth="1"/>
    <col min="6903" max="6903" width="9.140625" style="1"/>
    <col min="6904" max="6904" width="13.140625" style="1" customWidth="1"/>
    <col min="6905" max="6905" width="9.140625" style="1"/>
    <col min="6906" max="6906" width="12.28515625" style="1" customWidth="1"/>
    <col min="6907" max="6907" width="14.28515625" style="1" customWidth="1"/>
    <col min="6908" max="6908" width="10.140625" style="1" customWidth="1"/>
    <col min="6909" max="6909" width="9.140625" style="1"/>
    <col min="6910" max="6910" width="12.42578125" style="1" customWidth="1"/>
    <col min="6911" max="6911" width="9.140625" style="1"/>
    <col min="6912" max="6912" width="11.28515625" style="1" customWidth="1"/>
    <col min="6913" max="6913" width="10.140625" style="1" customWidth="1"/>
    <col min="6914" max="7153" width="9.140625" style="1"/>
    <col min="7154" max="7154" width="20" style="1" customWidth="1"/>
    <col min="7155" max="7155" width="11.7109375" style="1" customWidth="1"/>
    <col min="7156" max="7156" width="11.140625" style="1" customWidth="1"/>
    <col min="7157" max="7157" width="11.42578125" style="1" customWidth="1"/>
    <col min="7158" max="7158" width="12.140625" style="1" customWidth="1"/>
    <col min="7159" max="7159" width="9.140625" style="1"/>
    <col min="7160" max="7160" width="13.140625" style="1" customWidth="1"/>
    <col min="7161" max="7161" width="9.140625" style="1"/>
    <col min="7162" max="7162" width="12.28515625" style="1" customWidth="1"/>
    <col min="7163" max="7163" width="14.28515625" style="1" customWidth="1"/>
    <col min="7164" max="7164" width="10.140625" style="1" customWidth="1"/>
    <col min="7165" max="7165" width="9.140625" style="1"/>
    <col min="7166" max="7166" width="12.42578125" style="1" customWidth="1"/>
    <col min="7167" max="7167" width="9.140625" style="1"/>
    <col min="7168" max="7168" width="11.28515625" style="1" customWidth="1"/>
    <col min="7169" max="7169" width="10.140625" style="1" customWidth="1"/>
    <col min="7170" max="7409" width="9.140625" style="1"/>
    <col min="7410" max="7410" width="20" style="1" customWidth="1"/>
    <col min="7411" max="7411" width="11.7109375" style="1" customWidth="1"/>
    <col min="7412" max="7412" width="11.140625" style="1" customWidth="1"/>
    <col min="7413" max="7413" width="11.42578125" style="1" customWidth="1"/>
    <col min="7414" max="7414" width="12.140625" style="1" customWidth="1"/>
    <col min="7415" max="7415" width="9.140625" style="1"/>
    <col min="7416" max="7416" width="13.140625" style="1" customWidth="1"/>
    <col min="7417" max="7417" width="9.140625" style="1"/>
    <col min="7418" max="7418" width="12.28515625" style="1" customWidth="1"/>
    <col min="7419" max="7419" width="14.28515625" style="1" customWidth="1"/>
    <col min="7420" max="7420" width="10.140625" style="1" customWidth="1"/>
    <col min="7421" max="7421" width="9.140625" style="1"/>
    <col min="7422" max="7422" width="12.42578125" style="1" customWidth="1"/>
    <col min="7423" max="7423" width="9.140625" style="1"/>
    <col min="7424" max="7424" width="11.28515625" style="1" customWidth="1"/>
    <col min="7425" max="7425" width="10.140625" style="1" customWidth="1"/>
    <col min="7426" max="7665" width="9.140625" style="1"/>
    <col min="7666" max="7666" width="20" style="1" customWidth="1"/>
    <col min="7667" max="7667" width="11.7109375" style="1" customWidth="1"/>
    <col min="7668" max="7668" width="11.140625" style="1" customWidth="1"/>
    <col min="7669" max="7669" width="11.42578125" style="1" customWidth="1"/>
    <col min="7670" max="7670" width="12.140625" style="1" customWidth="1"/>
    <col min="7671" max="7671" width="9.140625" style="1"/>
    <col min="7672" max="7672" width="13.140625" style="1" customWidth="1"/>
    <col min="7673" max="7673" width="9.140625" style="1"/>
    <col min="7674" max="7674" width="12.28515625" style="1" customWidth="1"/>
    <col min="7675" max="7675" width="14.28515625" style="1" customWidth="1"/>
    <col min="7676" max="7676" width="10.140625" style="1" customWidth="1"/>
    <col min="7677" max="7677" width="9.140625" style="1"/>
    <col min="7678" max="7678" width="12.42578125" style="1" customWidth="1"/>
    <col min="7679" max="7679" width="9.140625" style="1"/>
    <col min="7680" max="7680" width="11.28515625" style="1" customWidth="1"/>
    <col min="7681" max="7681" width="10.140625" style="1" customWidth="1"/>
    <col min="7682" max="7921" width="9.140625" style="1"/>
    <col min="7922" max="7922" width="20" style="1" customWidth="1"/>
    <col min="7923" max="7923" width="11.7109375" style="1" customWidth="1"/>
    <col min="7924" max="7924" width="11.140625" style="1" customWidth="1"/>
    <col min="7925" max="7925" width="11.42578125" style="1" customWidth="1"/>
    <col min="7926" max="7926" width="12.140625" style="1" customWidth="1"/>
    <col min="7927" max="7927" width="9.140625" style="1"/>
    <col min="7928" max="7928" width="13.140625" style="1" customWidth="1"/>
    <col min="7929" max="7929" width="9.140625" style="1"/>
    <col min="7930" max="7930" width="12.28515625" style="1" customWidth="1"/>
    <col min="7931" max="7931" width="14.28515625" style="1" customWidth="1"/>
    <col min="7932" max="7932" width="10.140625" style="1" customWidth="1"/>
    <col min="7933" max="7933" width="9.140625" style="1"/>
    <col min="7934" max="7934" width="12.42578125" style="1" customWidth="1"/>
    <col min="7935" max="7935" width="9.140625" style="1"/>
    <col min="7936" max="7936" width="11.28515625" style="1" customWidth="1"/>
    <col min="7937" max="7937" width="10.140625" style="1" customWidth="1"/>
    <col min="7938" max="8177" width="9.140625" style="1"/>
    <col min="8178" max="8178" width="20" style="1" customWidth="1"/>
    <col min="8179" max="8179" width="11.7109375" style="1" customWidth="1"/>
    <col min="8180" max="8180" width="11.140625" style="1" customWidth="1"/>
    <col min="8181" max="8181" width="11.42578125" style="1" customWidth="1"/>
    <col min="8182" max="8182" width="12.140625" style="1" customWidth="1"/>
    <col min="8183" max="8183" width="9.140625" style="1"/>
    <col min="8184" max="8184" width="13.140625" style="1" customWidth="1"/>
    <col min="8185" max="8185" width="9.140625" style="1"/>
    <col min="8186" max="8186" width="12.28515625" style="1" customWidth="1"/>
    <col min="8187" max="8187" width="14.28515625" style="1" customWidth="1"/>
    <col min="8188" max="8188" width="10.140625" style="1" customWidth="1"/>
    <col min="8189" max="8189" width="9.140625" style="1"/>
    <col min="8190" max="8190" width="12.42578125" style="1" customWidth="1"/>
    <col min="8191" max="8191" width="9.140625" style="1"/>
    <col min="8192" max="8192" width="11.28515625" style="1" customWidth="1"/>
    <col min="8193" max="8193" width="10.140625" style="1" customWidth="1"/>
    <col min="8194" max="8433" width="9.140625" style="1"/>
    <col min="8434" max="8434" width="20" style="1" customWidth="1"/>
    <col min="8435" max="8435" width="11.7109375" style="1" customWidth="1"/>
    <col min="8436" max="8436" width="11.140625" style="1" customWidth="1"/>
    <col min="8437" max="8437" width="11.42578125" style="1" customWidth="1"/>
    <col min="8438" max="8438" width="12.140625" style="1" customWidth="1"/>
    <col min="8439" max="8439" width="9.140625" style="1"/>
    <col min="8440" max="8440" width="13.140625" style="1" customWidth="1"/>
    <col min="8441" max="8441" width="9.140625" style="1"/>
    <col min="8442" max="8442" width="12.28515625" style="1" customWidth="1"/>
    <col min="8443" max="8443" width="14.28515625" style="1" customWidth="1"/>
    <col min="8444" max="8444" width="10.140625" style="1" customWidth="1"/>
    <col min="8445" max="8445" width="9.140625" style="1"/>
    <col min="8446" max="8446" width="12.42578125" style="1" customWidth="1"/>
    <col min="8447" max="8447" width="9.140625" style="1"/>
    <col min="8448" max="8448" width="11.28515625" style="1" customWidth="1"/>
    <col min="8449" max="8449" width="10.140625" style="1" customWidth="1"/>
    <col min="8450" max="8689" width="9.140625" style="1"/>
    <col min="8690" max="8690" width="20" style="1" customWidth="1"/>
    <col min="8691" max="8691" width="11.7109375" style="1" customWidth="1"/>
    <col min="8692" max="8692" width="11.140625" style="1" customWidth="1"/>
    <col min="8693" max="8693" width="11.42578125" style="1" customWidth="1"/>
    <col min="8694" max="8694" width="12.140625" style="1" customWidth="1"/>
    <col min="8695" max="8695" width="9.140625" style="1"/>
    <col min="8696" max="8696" width="13.140625" style="1" customWidth="1"/>
    <col min="8697" max="8697" width="9.140625" style="1"/>
    <col min="8698" max="8698" width="12.28515625" style="1" customWidth="1"/>
    <col min="8699" max="8699" width="14.28515625" style="1" customWidth="1"/>
    <col min="8700" max="8700" width="10.140625" style="1" customWidth="1"/>
    <col min="8701" max="8701" width="9.140625" style="1"/>
    <col min="8702" max="8702" width="12.42578125" style="1" customWidth="1"/>
    <col min="8703" max="8703" width="9.140625" style="1"/>
    <col min="8704" max="8704" width="11.28515625" style="1" customWidth="1"/>
    <col min="8705" max="8705" width="10.140625" style="1" customWidth="1"/>
    <col min="8706" max="8945" width="9.140625" style="1"/>
    <col min="8946" max="8946" width="20" style="1" customWidth="1"/>
    <col min="8947" max="8947" width="11.7109375" style="1" customWidth="1"/>
    <col min="8948" max="8948" width="11.140625" style="1" customWidth="1"/>
    <col min="8949" max="8949" width="11.42578125" style="1" customWidth="1"/>
    <col min="8950" max="8950" width="12.140625" style="1" customWidth="1"/>
    <col min="8951" max="8951" width="9.140625" style="1"/>
    <col min="8952" max="8952" width="13.140625" style="1" customWidth="1"/>
    <col min="8953" max="8953" width="9.140625" style="1"/>
    <col min="8954" max="8954" width="12.28515625" style="1" customWidth="1"/>
    <col min="8955" max="8955" width="14.28515625" style="1" customWidth="1"/>
    <col min="8956" max="8956" width="10.140625" style="1" customWidth="1"/>
    <col min="8957" max="8957" width="9.140625" style="1"/>
    <col min="8958" max="8958" width="12.42578125" style="1" customWidth="1"/>
    <col min="8959" max="8959" width="9.140625" style="1"/>
    <col min="8960" max="8960" width="11.28515625" style="1" customWidth="1"/>
    <col min="8961" max="8961" width="10.140625" style="1" customWidth="1"/>
    <col min="8962" max="9201" width="9.140625" style="1"/>
    <col min="9202" max="9202" width="20" style="1" customWidth="1"/>
    <col min="9203" max="9203" width="11.7109375" style="1" customWidth="1"/>
    <col min="9204" max="9204" width="11.140625" style="1" customWidth="1"/>
    <col min="9205" max="9205" width="11.42578125" style="1" customWidth="1"/>
    <col min="9206" max="9206" width="12.140625" style="1" customWidth="1"/>
    <col min="9207" max="9207" width="9.140625" style="1"/>
    <col min="9208" max="9208" width="13.140625" style="1" customWidth="1"/>
    <col min="9209" max="9209" width="9.140625" style="1"/>
    <col min="9210" max="9210" width="12.28515625" style="1" customWidth="1"/>
    <col min="9211" max="9211" width="14.28515625" style="1" customWidth="1"/>
    <col min="9212" max="9212" width="10.140625" style="1" customWidth="1"/>
    <col min="9213" max="9213" width="9.140625" style="1"/>
    <col min="9214" max="9214" width="12.42578125" style="1" customWidth="1"/>
    <col min="9215" max="9215" width="9.140625" style="1"/>
    <col min="9216" max="9216" width="11.28515625" style="1" customWidth="1"/>
    <col min="9217" max="9217" width="10.140625" style="1" customWidth="1"/>
    <col min="9218" max="9457" width="9.140625" style="1"/>
    <col min="9458" max="9458" width="20" style="1" customWidth="1"/>
    <col min="9459" max="9459" width="11.7109375" style="1" customWidth="1"/>
    <col min="9460" max="9460" width="11.140625" style="1" customWidth="1"/>
    <col min="9461" max="9461" width="11.42578125" style="1" customWidth="1"/>
    <col min="9462" max="9462" width="12.140625" style="1" customWidth="1"/>
    <col min="9463" max="9463" width="9.140625" style="1"/>
    <col min="9464" max="9464" width="13.140625" style="1" customWidth="1"/>
    <col min="9465" max="9465" width="9.140625" style="1"/>
    <col min="9466" max="9466" width="12.28515625" style="1" customWidth="1"/>
    <col min="9467" max="9467" width="14.28515625" style="1" customWidth="1"/>
    <col min="9468" max="9468" width="10.140625" style="1" customWidth="1"/>
    <col min="9469" max="9469" width="9.140625" style="1"/>
    <col min="9470" max="9470" width="12.42578125" style="1" customWidth="1"/>
    <col min="9471" max="9471" width="9.140625" style="1"/>
    <col min="9472" max="9472" width="11.28515625" style="1" customWidth="1"/>
    <col min="9473" max="9473" width="10.140625" style="1" customWidth="1"/>
    <col min="9474" max="9713" width="9.140625" style="1"/>
    <col min="9714" max="9714" width="20" style="1" customWidth="1"/>
    <col min="9715" max="9715" width="11.7109375" style="1" customWidth="1"/>
    <col min="9716" max="9716" width="11.140625" style="1" customWidth="1"/>
    <col min="9717" max="9717" width="11.42578125" style="1" customWidth="1"/>
    <col min="9718" max="9718" width="12.140625" style="1" customWidth="1"/>
    <col min="9719" max="9719" width="9.140625" style="1"/>
    <col min="9720" max="9720" width="13.140625" style="1" customWidth="1"/>
    <col min="9721" max="9721" width="9.140625" style="1"/>
    <col min="9722" max="9722" width="12.28515625" style="1" customWidth="1"/>
    <col min="9723" max="9723" width="14.28515625" style="1" customWidth="1"/>
    <col min="9724" max="9724" width="10.140625" style="1" customWidth="1"/>
    <col min="9725" max="9725" width="9.140625" style="1"/>
    <col min="9726" max="9726" width="12.42578125" style="1" customWidth="1"/>
    <col min="9727" max="9727" width="9.140625" style="1"/>
    <col min="9728" max="9728" width="11.28515625" style="1" customWidth="1"/>
    <col min="9729" max="9729" width="10.140625" style="1" customWidth="1"/>
    <col min="9730" max="9969" width="9.140625" style="1"/>
    <col min="9970" max="9970" width="20" style="1" customWidth="1"/>
    <col min="9971" max="9971" width="11.7109375" style="1" customWidth="1"/>
    <col min="9972" max="9972" width="11.140625" style="1" customWidth="1"/>
    <col min="9973" max="9973" width="11.42578125" style="1" customWidth="1"/>
    <col min="9974" max="9974" width="12.140625" style="1" customWidth="1"/>
    <col min="9975" max="9975" width="9.140625" style="1"/>
    <col min="9976" max="9976" width="13.140625" style="1" customWidth="1"/>
    <col min="9977" max="9977" width="9.140625" style="1"/>
    <col min="9978" max="9978" width="12.28515625" style="1" customWidth="1"/>
    <col min="9979" max="9979" width="14.28515625" style="1" customWidth="1"/>
    <col min="9980" max="9980" width="10.140625" style="1" customWidth="1"/>
    <col min="9981" max="9981" width="9.140625" style="1"/>
    <col min="9982" max="9982" width="12.42578125" style="1" customWidth="1"/>
    <col min="9983" max="9983" width="9.140625" style="1"/>
    <col min="9984" max="9984" width="11.28515625" style="1" customWidth="1"/>
    <col min="9985" max="9985" width="10.140625" style="1" customWidth="1"/>
    <col min="9986" max="10225" width="9.140625" style="1"/>
    <col min="10226" max="10226" width="20" style="1" customWidth="1"/>
    <col min="10227" max="10227" width="11.7109375" style="1" customWidth="1"/>
    <col min="10228" max="10228" width="11.140625" style="1" customWidth="1"/>
    <col min="10229" max="10229" width="11.42578125" style="1" customWidth="1"/>
    <col min="10230" max="10230" width="12.140625" style="1" customWidth="1"/>
    <col min="10231" max="10231" width="9.140625" style="1"/>
    <col min="10232" max="10232" width="13.140625" style="1" customWidth="1"/>
    <col min="10233" max="10233" width="9.140625" style="1"/>
    <col min="10234" max="10234" width="12.28515625" style="1" customWidth="1"/>
    <col min="10235" max="10235" width="14.28515625" style="1" customWidth="1"/>
    <col min="10236" max="10236" width="10.140625" style="1" customWidth="1"/>
    <col min="10237" max="10237" width="9.140625" style="1"/>
    <col min="10238" max="10238" width="12.42578125" style="1" customWidth="1"/>
    <col min="10239" max="10239" width="9.140625" style="1"/>
    <col min="10240" max="10240" width="11.28515625" style="1" customWidth="1"/>
    <col min="10241" max="10241" width="10.140625" style="1" customWidth="1"/>
    <col min="10242" max="10481" width="9.140625" style="1"/>
    <col min="10482" max="10482" width="20" style="1" customWidth="1"/>
    <col min="10483" max="10483" width="11.7109375" style="1" customWidth="1"/>
    <col min="10484" max="10484" width="11.140625" style="1" customWidth="1"/>
    <col min="10485" max="10485" width="11.42578125" style="1" customWidth="1"/>
    <col min="10486" max="10486" width="12.140625" style="1" customWidth="1"/>
    <col min="10487" max="10487" width="9.140625" style="1"/>
    <col min="10488" max="10488" width="13.140625" style="1" customWidth="1"/>
    <col min="10489" max="10489" width="9.140625" style="1"/>
    <col min="10490" max="10490" width="12.28515625" style="1" customWidth="1"/>
    <col min="10491" max="10491" width="14.28515625" style="1" customWidth="1"/>
    <col min="10492" max="10492" width="10.140625" style="1" customWidth="1"/>
    <col min="10493" max="10493" width="9.140625" style="1"/>
    <col min="10494" max="10494" width="12.42578125" style="1" customWidth="1"/>
    <col min="10495" max="10495" width="9.140625" style="1"/>
    <col min="10496" max="10496" width="11.28515625" style="1" customWidth="1"/>
    <col min="10497" max="10497" width="10.140625" style="1" customWidth="1"/>
    <col min="10498" max="10737" width="9.140625" style="1"/>
    <col min="10738" max="10738" width="20" style="1" customWidth="1"/>
    <col min="10739" max="10739" width="11.7109375" style="1" customWidth="1"/>
    <col min="10740" max="10740" width="11.140625" style="1" customWidth="1"/>
    <col min="10741" max="10741" width="11.42578125" style="1" customWidth="1"/>
    <col min="10742" max="10742" width="12.140625" style="1" customWidth="1"/>
    <col min="10743" max="10743" width="9.140625" style="1"/>
    <col min="10744" max="10744" width="13.140625" style="1" customWidth="1"/>
    <col min="10745" max="10745" width="9.140625" style="1"/>
    <col min="10746" max="10746" width="12.28515625" style="1" customWidth="1"/>
    <col min="10747" max="10747" width="14.28515625" style="1" customWidth="1"/>
    <col min="10748" max="10748" width="10.140625" style="1" customWidth="1"/>
    <col min="10749" max="10749" width="9.140625" style="1"/>
    <col min="10750" max="10750" width="12.42578125" style="1" customWidth="1"/>
    <col min="10751" max="10751" width="9.140625" style="1"/>
    <col min="10752" max="10752" width="11.28515625" style="1" customWidth="1"/>
    <col min="10753" max="10753" width="10.140625" style="1" customWidth="1"/>
    <col min="10754" max="10993" width="9.140625" style="1"/>
    <col min="10994" max="10994" width="20" style="1" customWidth="1"/>
    <col min="10995" max="10995" width="11.7109375" style="1" customWidth="1"/>
    <col min="10996" max="10996" width="11.140625" style="1" customWidth="1"/>
    <col min="10997" max="10997" width="11.42578125" style="1" customWidth="1"/>
    <col min="10998" max="10998" width="12.140625" style="1" customWidth="1"/>
    <col min="10999" max="10999" width="9.140625" style="1"/>
    <col min="11000" max="11000" width="13.140625" style="1" customWidth="1"/>
    <col min="11001" max="11001" width="9.140625" style="1"/>
    <col min="11002" max="11002" width="12.28515625" style="1" customWidth="1"/>
    <col min="11003" max="11003" width="14.28515625" style="1" customWidth="1"/>
    <col min="11004" max="11004" width="10.140625" style="1" customWidth="1"/>
    <col min="11005" max="11005" width="9.140625" style="1"/>
    <col min="11006" max="11006" width="12.42578125" style="1" customWidth="1"/>
    <col min="11007" max="11007" width="9.140625" style="1"/>
    <col min="11008" max="11008" width="11.28515625" style="1" customWidth="1"/>
    <col min="11009" max="11009" width="10.140625" style="1" customWidth="1"/>
    <col min="11010" max="11249" width="9.140625" style="1"/>
    <col min="11250" max="11250" width="20" style="1" customWidth="1"/>
    <col min="11251" max="11251" width="11.7109375" style="1" customWidth="1"/>
    <col min="11252" max="11252" width="11.140625" style="1" customWidth="1"/>
    <col min="11253" max="11253" width="11.42578125" style="1" customWidth="1"/>
    <col min="11254" max="11254" width="12.140625" style="1" customWidth="1"/>
    <col min="11255" max="11255" width="9.140625" style="1"/>
    <col min="11256" max="11256" width="13.140625" style="1" customWidth="1"/>
    <col min="11257" max="11257" width="9.140625" style="1"/>
    <col min="11258" max="11258" width="12.28515625" style="1" customWidth="1"/>
    <col min="11259" max="11259" width="14.28515625" style="1" customWidth="1"/>
    <col min="11260" max="11260" width="10.140625" style="1" customWidth="1"/>
    <col min="11261" max="11261" width="9.140625" style="1"/>
    <col min="11262" max="11262" width="12.42578125" style="1" customWidth="1"/>
    <col min="11263" max="11263" width="9.140625" style="1"/>
    <col min="11264" max="11264" width="11.28515625" style="1" customWidth="1"/>
    <col min="11265" max="11265" width="10.140625" style="1" customWidth="1"/>
    <col min="11266" max="11505" width="9.140625" style="1"/>
    <col min="11506" max="11506" width="20" style="1" customWidth="1"/>
    <col min="11507" max="11507" width="11.7109375" style="1" customWidth="1"/>
    <col min="11508" max="11508" width="11.140625" style="1" customWidth="1"/>
    <col min="11509" max="11509" width="11.42578125" style="1" customWidth="1"/>
    <col min="11510" max="11510" width="12.140625" style="1" customWidth="1"/>
    <col min="11511" max="11511" width="9.140625" style="1"/>
    <col min="11512" max="11512" width="13.140625" style="1" customWidth="1"/>
    <col min="11513" max="11513" width="9.140625" style="1"/>
    <col min="11514" max="11514" width="12.28515625" style="1" customWidth="1"/>
    <col min="11515" max="11515" width="14.28515625" style="1" customWidth="1"/>
    <col min="11516" max="11516" width="10.140625" style="1" customWidth="1"/>
    <col min="11517" max="11517" width="9.140625" style="1"/>
    <col min="11518" max="11518" width="12.42578125" style="1" customWidth="1"/>
    <col min="11519" max="11519" width="9.140625" style="1"/>
    <col min="11520" max="11520" width="11.28515625" style="1" customWidth="1"/>
    <col min="11521" max="11521" width="10.140625" style="1" customWidth="1"/>
    <col min="11522" max="11761" width="9.140625" style="1"/>
    <col min="11762" max="11762" width="20" style="1" customWidth="1"/>
    <col min="11763" max="11763" width="11.7109375" style="1" customWidth="1"/>
    <col min="11764" max="11764" width="11.140625" style="1" customWidth="1"/>
    <col min="11765" max="11765" width="11.42578125" style="1" customWidth="1"/>
    <col min="11766" max="11766" width="12.140625" style="1" customWidth="1"/>
    <col min="11767" max="11767" width="9.140625" style="1"/>
    <col min="11768" max="11768" width="13.140625" style="1" customWidth="1"/>
    <col min="11769" max="11769" width="9.140625" style="1"/>
    <col min="11770" max="11770" width="12.28515625" style="1" customWidth="1"/>
    <col min="11771" max="11771" width="14.28515625" style="1" customWidth="1"/>
    <col min="11772" max="11772" width="10.140625" style="1" customWidth="1"/>
    <col min="11773" max="11773" width="9.140625" style="1"/>
    <col min="11774" max="11774" width="12.42578125" style="1" customWidth="1"/>
    <col min="11775" max="11775" width="9.140625" style="1"/>
    <col min="11776" max="11776" width="11.28515625" style="1" customWidth="1"/>
    <col min="11777" max="11777" width="10.140625" style="1" customWidth="1"/>
    <col min="11778" max="12017" width="9.140625" style="1"/>
    <col min="12018" max="12018" width="20" style="1" customWidth="1"/>
    <col min="12019" max="12019" width="11.7109375" style="1" customWidth="1"/>
    <col min="12020" max="12020" width="11.140625" style="1" customWidth="1"/>
    <col min="12021" max="12021" width="11.42578125" style="1" customWidth="1"/>
    <col min="12022" max="12022" width="12.140625" style="1" customWidth="1"/>
    <col min="12023" max="12023" width="9.140625" style="1"/>
    <col min="12024" max="12024" width="13.140625" style="1" customWidth="1"/>
    <col min="12025" max="12025" width="9.140625" style="1"/>
    <col min="12026" max="12026" width="12.28515625" style="1" customWidth="1"/>
    <col min="12027" max="12027" width="14.28515625" style="1" customWidth="1"/>
    <col min="12028" max="12028" width="10.140625" style="1" customWidth="1"/>
    <col min="12029" max="12029" width="9.140625" style="1"/>
    <col min="12030" max="12030" width="12.42578125" style="1" customWidth="1"/>
    <col min="12031" max="12031" width="9.140625" style="1"/>
    <col min="12032" max="12032" width="11.28515625" style="1" customWidth="1"/>
    <col min="12033" max="12033" width="10.140625" style="1" customWidth="1"/>
    <col min="12034" max="12273" width="9.140625" style="1"/>
    <col min="12274" max="12274" width="20" style="1" customWidth="1"/>
    <col min="12275" max="12275" width="11.7109375" style="1" customWidth="1"/>
    <col min="12276" max="12276" width="11.140625" style="1" customWidth="1"/>
    <col min="12277" max="12277" width="11.42578125" style="1" customWidth="1"/>
    <col min="12278" max="12278" width="12.140625" style="1" customWidth="1"/>
    <col min="12279" max="12279" width="9.140625" style="1"/>
    <col min="12280" max="12280" width="13.140625" style="1" customWidth="1"/>
    <col min="12281" max="12281" width="9.140625" style="1"/>
    <col min="12282" max="12282" width="12.28515625" style="1" customWidth="1"/>
    <col min="12283" max="12283" width="14.28515625" style="1" customWidth="1"/>
    <col min="12284" max="12284" width="10.140625" style="1" customWidth="1"/>
    <col min="12285" max="12285" width="9.140625" style="1"/>
    <col min="12286" max="12286" width="12.42578125" style="1" customWidth="1"/>
    <col min="12287" max="12287" width="9.140625" style="1"/>
    <col min="12288" max="12288" width="11.28515625" style="1" customWidth="1"/>
    <col min="12289" max="12289" width="10.140625" style="1" customWidth="1"/>
    <col min="12290" max="12529" width="9.140625" style="1"/>
    <col min="12530" max="12530" width="20" style="1" customWidth="1"/>
    <col min="12531" max="12531" width="11.7109375" style="1" customWidth="1"/>
    <col min="12532" max="12532" width="11.140625" style="1" customWidth="1"/>
    <col min="12533" max="12533" width="11.42578125" style="1" customWidth="1"/>
    <col min="12534" max="12534" width="12.140625" style="1" customWidth="1"/>
    <col min="12535" max="12535" width="9.140625" style="1"/>
    <col min="12536" max="12536" width="13.140625" style="1" customWidth="1"/>
    <col min="12537" max="12537" width="9.140625" style="1"/>
    <col min="12538" max="12538" width="12.28515625" style="1" customWidth="1"/>
    <col min="12539" max="12539" width="14.28515625" style="1" customWidth="1"/>
    <col min="12540" max="12540" width="10.140625" style="1" customWidth="1"/>
    <col min="12541" max="12541" width="9.140625" style="1"/>
    <col min="12542" max="12542" width="12.42578125" style="1" customWidth="1"/>
    <col min="12543" max="12543" width="9.140625" style="1"/>
    <col min="12544" max="12544" width="11.28515625" style="1" customWidth="1"/>
    <col min="12545" max="12545" width="10.140625" style="1" customWidth="1"/>
    <col min="12546" max="12785" width="9.140625" style="1"/>
    <col min="12786" max="12786" width="20" style="1" customWidth="1"/>
    <col min="12787" max="12787" width="11.7109375" style="1" customWidth="1"/>
    <col min="12788" max="12788" width="11.140625" style="1" customWidth="1"/>
    <col min="12789" max="12789" width="11.42578125" style="1" customWidth="1"/>
    <col min="12790" max="12790" width="12.140625" style="1" customWidth="1"/>
    <col min="12791" max="12791" width="9.140625" style="1"/>
    <col min="12792" max="12792" width="13.140625" style="1" customWidth="1"/>
    <col min="12793" max="12793" width="9.140625" style="1"/>
    <col min="12794" max="12794" width="12.28515625" style="1" customWidth="1"/>
    <col min="12795" max="12795" width="14.28515625" style="1" customWidth="1"/>
    <col min="12796" max="12796" width="10.140625" style="1" customWidth="1"/>
    <col min="12797" max="12797" width="9.140625" style="1"/>
    <col min="12798" max="12798" width="12.42578125" style="1" customWidth="1"/>
    <col min="12799" max="12799" width="9.140625" style="1"/>
    <col min="12800" max="12800" width="11.28515625" style="1" customWidth="1"/>
    <col min="12801" max="12801" width="10.140625" style="1" customWidth="1"/>
    <col min="12802" max="13041" width="9.140625" style="1"/>
    <col min="13042" max="13042" width="20" style="1" customWidth="1"/>
    <col min="13043" max="13043" width="11.7109375" style="1" customWidth="1"/>
    <col min="13044" max="13044" width="11.140625" style="1" customWidth="1"/>
    <col min="13045" max="13045" width="11.42578125" style="1" customWidth="1"/>
    <col min="13046" max="13046" width="12.140625" style="1" customWidth="1"/>
    <col min="13047" max="13047" width="9.140625" style="1"/>
    <col min="13048" max="13048" width="13.140625" style="1" customWidth="1"/>
    <col min="13049" max="13049" width="9.140625" style="1"/>
    <col min="13050" max="13050" width="12.28515625" style="1" customWidth="1"/>
    <col min="13051" max="13051" width="14.28515625" style="1" customWidth="1"/>
    <col min="13052" max="13052" width="10.140625" style="1" customWidth="1"/>
    <col min="13053" max="13053" width="9.140625" style="1"/>
    <col min="13054" max="13054" width="12.42578125" style="1" customWidth="1"/>
    <col min="13055" max="13055" width="9.140625" style="1"/>
    <col min="13056" max="13056" width="11.28515625" style="1" customWidth="1"/>
    <col min="13057" max="13057" width="10.140625" style="1" customWidth="1"/>
    <col min="13058" max="13297" width="9.140625" style="1"/>
    <col min="13298" max="13298" width="20" style="1" customWidth="1"/>
    <col min="13299" max="13299" width="11.7109375" style="1" customWidth="1"/>
    <col min="13300" max="13300" width="11.140625" style="1" customWidth="1"/>
    <col min="13301" max="13301" width="11.42578125" style="1" customWidth="1"/>
    <col min="13302" max="13302" width="12.140625" style="1" customWidth="1"/>
    <col min="13303" max="13303" width="9.140625" style="1"/>
    <col min="13304" max="13304" width="13.140625" style="1" customWidth="1"/>
    <col min="13305" max="13305" width="9.140625" style="1"/>
    <col min="13306" max="13306" width="12.28515625" style="1" customWidth="1"/>
    <col min="13307" max="13307" width="14.28515625" style="1" customWidth="1"/>
    <col min="13308" max="13308" width="10.140625" style="1" customWidth="1"/>
    <col min="13309" max="13309" width="9.140625" style="1"/>
    <col min="13310" max="13310" width="12.42578125" style="1" customWidth="1"/>
    <col min="13311" max="13311" width="9.140625" style="1"/>
    <col min="13312" max="13312" width="11.28515625" style="1" customWidth="1"/>
    <col min="13313" max="13313" width="10.140625" style="1" customWidth="1"/>
    <col min="13314" max="13553" width="9.140625" style="1"/>
    <col min="13554" max="13554" width="20" style="1" customWidth="1"/>
    <col min="13555" max="13555" width="11.7109375" style="1" customWidth="1"/>
    <col min="13556" max="13556" width="11.140625" style="1" customWidth="1"/>
    <col min="13557" max="13557" width="11.42578125" style="1" customWidth="1"/>
    <col min="13558" max="13558" width="12.140625" style="1" customWidth="1"/>
    <col min="13559" max="13559" width="9.140625" style="1"/>
    <col min="13560" max="13560" width="13.140625" style="1" customWidth="1"/>
    <col min="13561" max="13561" width="9.140625" style="1"/>
    <col min="13562" max="13562" width="12.28515625" style="1" customWidth="1"/>
    <col min="13563" max="13563" width="14.28515625" style="1" customWidth="1"/>
    <col min="13564" max="13564" width="10.140625" style="1" customWidth="1"/>
    <col min="13565" max="13565" width="9.140625" style="1"/>
    <col min="13566" max="13566" width="12.42578125" style="1" customWidth="1"/>
    <col min="13567" max="13567" width="9.140625" style="1"/>
    <col min="13568" max="13568" width="11.28515625" style="1" customWidth="1"/>
    <col min="13569" max="13569" width="10.140625" style="1" customWidth="1"/>
    <col min="13570" max="13809" width="9.140625" style="1"/>
    <col min="13810" max="13810" width="20" style="1" customWidth="1"/>
    <col min="13811" max="13811" width="11.7109375" style="1" customWidth="1"/>
    <col min="13812" max="13812" width="11.140625" style="1" customWidth="1"/>
    <col min="13813" max="13813" width="11.42578125" style="1" customWidth="1"/>
    <col min="13814" max="13814" width="12.140625" style="1" customWidth="1"/>
    <col min="13815" max="13815" width="9.140625" style="1"/>
    <col min="13816" max="13816" width="13.140625" style="1" customWidth="1"/>
    <col min="13817" max="13817" width="9.140625" style="1"/>
    <col min="13818" max="13818" width="12.28515625" style="1" customWidth="1"/>
    <col min="13819" max="13819" width="14.28515625" style="1" customWidth="1"/>
    <col min="13820" max="13820" width="10.140625" style="1" customWidth="1"/>
    <col min="13821" max="13821" width="9.140625" style="1"/>
    <col min="13822" max="13822" width="12.42578125" style="1" customWidth="1"/>
    <col min="13823" max="13823" width="9.140625" style="1"/>
    <col min="13824" max="13824" width="11.28515625" style="1" customWidth="1"/>
    <col min="13825" max="13825" width="10.140625" style="1" customWidth="1"/>
    <col min="13826" max="14065" width="9.140625" style="1"/>
    <col min="14066" max="14066" width="20" style="1" customWidth="1"/>
    <col min="14067" max="14067" width="11.7109375" style="1" customWidth="1"/>
    <col min="14068" max="14068" width="11.140625" style="1" customWidth="1"/>
    <col min="14069" max="14069" width="11.42578125" style="1" customWidth="1"/>
    <col min="14070" max="14070" width="12.140625" style="1" customWidth="1"/>
    <col min="14071" max="14071" width="9.140625" style="1"/>
    <col min="14072" max="14072" width="13.140625" style="1" customWidth="1"/>
    <col min="14073" max="14073" width="9.140625" style="1"/>
    <col min="14074" max="14074" width="12.28515625" style="1" customWidth="1"/>
    <col min="14075" max="14075" width="14.28515625" style="1" customWidth="1"/>
    <col min="14076" max="14076" width="10.140625" style="1" customWidth="1"/>
    <col min="14077" max="14077" width="9.140625" style="1"/>
    <col min="14078" max="14078" width="12.42578125" style="1" customWidth="1"/>
    <col min="14079" max="14079" width="9.140625" style="1"/>
    <col min="14080" max="14080" width="11.28515625" style="1" customWidth="1"/>
    <col min="14081" max="14081" width="10.140625" style="1" customWidth="1"/>
    <col min="14082" max="14321" width="9.140625" style="1"/>
    <col min="14322" max="14322" width="20" style="1" customWidth="1"/>
    <col min="14323" max="14323" width="11.7109375" style="1" customWidth="1"/>
    <col min="14324" max="14324" width="11.140625" style="1" customWidth="1"/>
    <col min="14325" max="14325" width="11.42578125" style="1" customWidth="1"/>
    <col min="14326" max="14326" width="12.140625" style="1" customWidth="1"/>
    <col min="14327" max="14327" width="9.140625" style="1"/>
    <col min="14328" max="14328" width="13.140625" style="1" customWidth="1"/>
    <col min="14329" max="14329" width="9.140625" style="1"/>
    <col min="14330" max="14330" width="12.28515625" style="1" customWidth="1"/>
    <col min="14331" max="14331" width="14.28515625" style="1" customWidth="1"/>
    <col min="14332" max="14332" width="10.140625" style="1" customWidth="1"/>
    <col min="14333" max="14333" width="9.140625" style="1"/>
    <col min="14334" max="14334" width="12.42578125" style="1" customWidth="1"/>
    <col min="14335" max="14335" width="9.140625" style="1"/>
    <col min="14336" max="14336" width="11.28515625" style="1" customWidth="1"/>
    <col min="14337" max="14337" width="10.140625" style="1" customWidth="1"/>
    <col min="14338" max="14577" width="9.140625" style="1"/>
    <col min="14578" max="14578" width="20" style="1" customWidth="1"/>
    <col min="14579" max="14579" width="11.7109375" style="1" customWidth="1"/>
    <col min="14580" max="14580" width="11.140625" style="1" customWidth="1"/>
    <col min="14581" max="14581" width="11.42578125" style="1" customWidth="1"/>
    <col min="14582" max="14582" width="12.140625" style="1" customWidth="1"/>
    <col min="14583" max="14583" width="9.140625" style="1"/>
    <col min="14584" max="14584" width="13.140625" style="1" customWidth="1"/>
    <col min="14585" max="14585" width="9.140625" style="1"/>
    <col min="14586" max="14586" width="12.28515625" style="1" customWidth="1"/>
    <col min="14587" max="14587" width="14.28515625" style="1" customWidth="1"/>
    <col min="14588" max="14588" width="10.140625" style="1" customWidth="1"/>
    <col min="14589" max="14589" width="9.140625" style="1"/>
    <col min="14590" max="14590" width="12.42578125" style="1" customWidth="1"/>
    <col min="14591" max="14591" width="9.140625" style="1"/>
    <col min="14592" max="14592" width="11.28515625" style="1" customWidth="1"/>
    <col min="14593" max="14593" width="10.140625" style="1" customWidth="1"/>
    <col min="14594" max="14833" width="9.140625" style="1"/>
    <col min="14834" max="14834" width="20" style="1" customWidth="1"/>
    <col min="14835" max="14835" width="11.7109375" style="1" customWidth="1"/>
    <col min="14836" max="14836" width="11.140625" style="1" customWidth="1"/>
    <col min="14837" max="14837" width="11.42578125" style="1" customWidth="1"/>
    <col min="14838" max="14838" width="12.140625" style="1" customWidth="1"/>
    <col min="14839" max="14839" width="9.140625" style="1"/>
    <col min="14840" max="14840" width="13.140625" style="1" customWidth="1"/>
    <col min="14841" max="14841" width="9.140625" style="1"/>
    <col min="14842" max="14842" width="12.28515625" style="1" customWidth="1"/>
    <col min="14843" max="14843" width="14.28515625" style="1" customWidth="1"/>
    <col min="14844" max="14844" width="10.140625" style="1" customWidth="1"/>
    <col min="14845" max="14845" width="9.140625" style="1"/>
    <col min="14846" max="14846" width="12.42578125" style="1" customWidth="1"/>
    <col min="14847" max="14847" width="9.140625" style="1"/>
    <col min="14848" max="14848" width="11.28515625" style="1" customWidth="1"/>
    <col min="14849" max="14849" width="10.140625" style="1" customWidth="1"/>
    <col min="14850" max="15089" width="9.140625" style="1"/>
    <col min="15090" max="15090" width="20" style="1" customWidth="1"/>
    <col min="15091" max="15091" width="11.7109375" style="1" customWidth="1"/>
    <col min="15092" max="15092" width="11.140625" style="1" customWidth="1"/>
    <col min="15093" max="15093" width="11.42578125" style="1" customWidth="1"/>
    <col min="15094" max="15094" width="12.140625" style="1" customWidth="1"/>
    <col min="15095" max="15095" width="9.140625" style="1"/>
    <col min="15096" max="15096" width="13.140625" style="1" customWidth="1"/>
    <col min="15097" max="15097" width="9.140625" style="1"/>
    <col min="15098" max="15098" width="12.28515625" style="1" customWidth="1"/>
    <col min="15099" max="15099" width="14.28515625" style="1" customWidth="1"/>
    <col min="15100" max="15100" width="10.140625" style="1" customWidth="1"/>
    <col min="15101" max="15101" width="9.140625" style="1"/>
    <col min="15102" max="15102" width="12.42578125" style="1" customWidth="1"/>
    <col min="15103" max="15103" width="9.140625" style="1"/>
    <col min="15104" max="15104" width="11.28515625" style="1" customWidth="1"/>
    <col min="15105" max="15105" width="10.140625" style="1" customWidth="1"/>
    <col min="15106" max="15345" width="9.140625" style="1"/>
    <col min="15346" max="15346" width="20" style="1" customWidth="1"/>
    <col min="15347" max="15347" width="11.7109375" style="1" customWidth="1"/>
    <col min="15348" max="15348" width="11.140625" style="1" customWidth="1"/>
    <col min="15349" max="15349" width="11.42578125" style="1" customWidth="1"/>
    <col min="15350" max="15350" width="12.140625" style="1" customWidth="1"/>
    <col min="15351" max="15351" width="9.140625" style="1"/>
    <col min="15352" max="15352" width="13.140625" style="1" customWidth="1"/>
    <col min="15353" max="15353" width="9.140625" style="1"/>
    <col min="15354" max="15354" width="12.28515625" style="1" customWidth="1"/>
    <col min="15355" max="15355" width="14.28515625" style="1" customWidth="1"/>
    <col min="15356" max="15356" width="10.140625" style="1" customWidth="1"/>
    <col min="15357" max="15357" width="9.140625" style="1"/>
    <col min="15358" max="15358" width="12.42578125" style="1" customWidth="1"/>
    <col min="15359" max="15359" width="9.140625" style="1"/>
    <col min="15360" max="15360" width="11.28515625" style="1" customWidth="1"/>
    <col min="15361" max="15361" width="10.140625" style="1" customWidth="1"/>
    <col min="15362" max="15601" width="9.140625" style="1"/>
    <col min="15602" max="15602" width="20" style="1" customWidth="1"/>
    <col min="15603" max="15603" width="11.7109375" style="1" customWidth="1"/>
    <col min="15604" max="15604" width="11.140625" style="1" customWidth="1"/>
    <col min="15605" max="15605" width="11.42578125" style="1" customWidth="1"/>
    <col min="15606" max="15606" width="12.140625" style="1" customWidth="1"/>
    <col min="15607" max="15607" width="9.140625" style="1"/>
    <col min="15608" max="15608" width="13.140625" style="1" customWidth="1"/>
    <col min="15609" max="15609" width="9.140625" style="1"/>
    <col min="15610" max="15610" width="12.28515625" style="1" customWidth="1"/>
    <col min="15611" max="15611" width="14.28515625" style="1" customWidth="1"/>
    <col min="15612" max="15612" width="10.140625" style="1" customWidth="1"/>
    <col min="15613" max="15613" width="9.140625" style="1"/>
    <col min="15614" max="15614" width="12.42578125" style="1" customWidth="1"/>
    <col min="15615" max="15615" width="9.140625" style="1"/>
    <col min="15616" max="15616" width="11.28515625" style="1" customWidth="1"/>
    <col min="15617" max="15617" width="10.140625" style="1" customWidth="1"/>
    <col min="15618" max="15857" width="9.140625" style="1"/>
    <col min="15858" max="15858" width="20" style="1" customWidth="1"/>
    <col min="15859" max="15859" width="11.7109375" style="1" customWidth="1"/>
    <col min="15860" max="15860" width="11.140625" style="1" customWidth="1"/>
    <col min="15861" max="15861" width="11.42578125" style="1" customWidth="1"/>
    <col min="15862" max="15862" width="12.140625" style="1" customWidth="1"/>
    <col min="15863" max="15863" width="9.140625" style="1"/>
    <col min="15864" max="15864" width="13.140625" style="1" customWidth="1"/>
    <col min="15865" max="15865" width="9.140625" style="1"/>
    <col min="15866" max="15866" width="12.28515625" style="1" customWidth="1"/>
    <col min="15867" max="15867" width="14.28515625" style="1" customWidth="1"/>
    <col min="15868" max="15868" width="10.140625" style="1" customWidth="1"/>
    <col min="15869" max="15869" width="9.140625" style="1"/>
    <col min="15870" max="15870" width="12.42578125" style="1" customWidth="1"/>
    <col min="15871" max="15871" width="9.140625" style="1"/>
    <col min="15872" max="15872" width="11.28515625" style="1" customWidth="1"/>
    <col min="15873" max="15873" width="10.140625" style="1" customWidth="1"/>
    <col min="15874" max="16113" width="9.140625" style="1"/>
    <col min="16114" max="16114" width="20" style="1" customWidth="1"/>
    <col min="16115" max="16115" width="11.7109375" style="1" customWidth="1"/>
    <col min="16116" max="16116" width="11.140625" style="1" customWidth="1"/>
    <col min="16117" max="16117" width="11.42578125" style="1" customWidth="1"/>
    <col min="16118" max="16118" width="12.140625" style="1" customWidth="1"/>
    <col min="16119" max="16119" width="9.140625" style="1"/>
    <col min="16120" max="16120" width="13.140625" style="1" customWidth="1"/>
    <col min="16121" max="16121" width="9.140625" style="1"/>
    <col min="16122" max="16122" width="12.28515625" style="1" customWidth="1"/>
    <col min="16123" max="16123" width="14.28515625" style="1" customWidth="1"/>
    <col min="16124" max="16124" width="10.140625" style="1" customWidth="1"/>
    <col min="16125" max="16125" width="9.140625" style="1"/>
    <col min="16126" max="16126" width="12.42578125" style="1" customWidth="1"/>
    <col min="16127" max="16127" width="9.140625" style="1"/>
    <col min="16128" max="16128" width="11.28515625" style="1" customWidth="1"/>
    <col min="16129" max="16129" width="10.140625" style="1" customWidth="1"/>
    <col min="16130" max="16384" width="9.140625" style="1"/>
  </cols>
  <sheetData>
    <row r="1" spans="1:33" ht="27.75" customHeight="1" x14ac:dyDescent="0.2">
      <c r="A1" s="298" t="s">
        <v>1129</v>
      </c>
    </row>
    <row r="2" spans="1:33" ht="15" customHeight="1" x14ac:dyDescent="0.2">
      <c r="A2" s="106" t="s">
        <v>578</v>
      </c>
    </row>
    <row r="3" spans="1:33" ht="38.25" customHeight="1" x14ac:dyDescent="0.2">
      <c r="A3" s="120" t="s">
        <v>1485</v>
      </c>
      <c r="B3" s="120"/>
      <c r="C3" s="120"/>
      <c r="D3"/>
      <c r="E3"/>
      <c r="F3"/>
      <c r="G3" s="120"/>
      <c r="H3" s="120"/>
      <c r="I3" s="120"/>
      <c r="J3" s="120"/>
    </row>
    <row r="4" spans="1:33" ht="15.75" customHeight="1" x14ac:dyDescent="0.25">
      <c r="A4" s="351" t="s">
        <v>579</v>
      </c>
      <c r="B4" s="1109" t="s">
        <v>1483</v>
      </c>
      <c r="D4"/>
      <c r="E4"/>
      <c r="F4"/>
      <c r="G4" s="129"/>
      <c r="H4" s="129"/>
      <c r="I4" s="373"/>
      <c r="J4" s="129"/>
      <c r="O4"/>
      <c r="P4"/>
      <c r="S4"/>
      <c r="T4"/>
      <c r="U4"/>
    </row>
    <row r="5" spans="1:33" ht="15.75" customHeight="1" x14ac:dyDescent="0.25">
      <c r="A5" s="351" t="s">
        <v>580</v>
      </c>
      <c r="B5" s="351" t="s">
        <v>581</v>
      </c>
      <c r="C5" s="129"/>
      <c r="D5"/>
      <c r="E5"/>
      <c r="F5"/>
      <c r="G5" s="129"/>
      <c r="H5" s="129"/>
      <c r="I5" s="129"/>
      <c r="J5" s="129"/>
      <c r="O5"/>
      <c r="P5"/>
      <c r="S5"/>
      <c r="T5"/>
      <c r="U5"/>
    </row>
    <row r="6" spans="1:33" ht="15.75" customHeight="1" x14ac:dyDescent="0.25">
      <c r="A6" s="351" t="s">
        <v>582</v>
      </c>
      <c r="B6" s="351" t="s">
        <v>585</v>
      </c>
      <c r="C6" s="129"/>
      <c r="D6" s="129"/>
      <c r="E6" s="129"/>
      <c r="F6" s="129"/>
      <c r="G6" s="129"/>
      <c r="H6" s="129"/>
      <c r="I6" s="129"/>
      <c r="J6" s="129"/>
      <c r="O6"/>
      <c r="P6"/>
      <c r="S6"/>
      <c r="T6"/>
      <c r="U6"/>
    </row>
    <row r="7" spans="1:33" ht="15" x14ac:dyDescent="0.25">
      <c r="I7" s="83"/>
      <c r="O7"/>
      <c r="P7"/>
      <c r="S7"/>
      <c r="T7"/>
      <c r="U7"/>
    </row>
    <row r="8" spans="1:33" ht="15.75" x14ac:dyDescent="0.2">
      <c r="A8" s="1100" t="str">
        <f>T_buildcas!B2</f>
        <v>Fatal</v>
      </c>
      <c r="B8" s="1095" t="s">
        <v>1446</v>
      </c>
      <c r="C8" s="1094"/>
      <c r="D8" s="1094"/>
      <c r="E8" s="1094"/>
      <c r="F8" s="1094"/>
      <c r="G8" s="1094"/>
      <c r="H8" s="1094"/>
      <c r="I8" s="1094"/>
      <c r="J8" s="100"/>
      <c r="K8" s="100"/>
      <c r="L8" s="100"/>
      <c r="M8" s="100"/>
      <c r="N8" s="100"/>
      <c r="O8"/>
      <c r="P8"/>
      <c r="S8"/>
      <c r="T8"/>
      <c r="U8"/>
    </row>
    <row r="9" spans="1:33" s="28" customFormat="1" ht="52.5" customHeight="1" x14ac:dyDescent="0.2">
      <c r="A9" s="1152"/>
      <c r="B9" s="1090" t="s">
        <v>1461</v>
      </c>
      <c r="C9" s="1091" t="s">
        <v>1460</v>
      </c>
      <c r="D9" s="1091" t="s">
        <v>1447</v>
      </c>
      <c r="E9" s="1091" t="s">
        <v>1448</v>
      </c>
      <c r="F9" s="1091" t="s">
        <v>1449</v>
      </c>
      <c r="G9" s="1091" t="s">
        <v>1450</v>
      </c>
      <c r="H9" s="1091" t="s">
        <v>1462</v>
      </c>
      <c r="I9" s="1092" t="s">
        <v>72</v>
      </c>
      <c r="J9" s="1092" t="s">
        <v>1465</v>
      </c>
      <c r="K9"/>
      <c r="L9"/>
      <c r="M9"/>
      <c r="N9"/>
      <c r="O9"/>
      <c r="P9"/>
      <c r="R9"/>
      <c r="S9"/>
      <c r="T9"/>
      <c r="U9"/>
      <c r="V9"/>
      <c r="W9"/>
      <c r="X9"/>
      <c r="Y9"/>
      <c r="Z9"/>
      <c r="AA9"/>
      <c r="AB9"/>
      <c r="AC9"/>
      <c r="AD9"/>
      <c r="AE9"/>
      <c r="AF9"/>
      <c r="AG9"/>
    </row>
    <row r="10" spans="1:33" ht="13.5" customHeight="1" x14ac:dyDescent="0.2">
      <c r="A10" s="274" t="str">
        <f>'T08'!A5</f>
        <v>2009-10</v>
      </c>
      <c r="B10" s="397">
        <f>T_buildcas!B6</f>
        <v>18</v>
      </c>
      <c r="C10" s="397">
        <f>T_buildcas!C6</f>
        <v>28</v>
      </c>
      <c r="D10" s="397">
        <f>T_buildcas!D6</f>
        <v>4</v>
      </c>
      <c r="E10" s="397">
        <f>T_buildcas!E6</f>
        <v>0</v>
      </c>
      <c r="F10" s="397">
        <f>T_buildcas!F6</f>
        <v>0</v>
      </c>
      <c r="G10" s="397">
        <f>T_buildcas!G6</f>
        <v>0</v>
      </c>
      <c r="H10" s="397">
        <f>T_buildcas!H6</f>
        <v>3</v>
      </c>
      <c r="I10" s="397">
        <f>T_buildcas!I6</f>
        <v>0</v>
      </c>
      <c r="J10" s="353">
        <f>SUM(B10:I10)</f>
        <v>53</v>
      </c>
      <c r="K10"/>
      <c r="L10"/>
      <c r="M10"/>
      <c r="N10"/>
      <c r="O10"/>
      <c r="P10"/>
      <c r="Q10" s="191"/>
      <c r="R10" s="191"/>
      <c r="S10"/>
      <c r="T10"/>
      <c r="U10"/>
      <c r="V10"/>
      <c r="W10"/>
      <c r="X10"/>
      <c r="Y10"/>
      <c r="Z10"/>
      <c r="AA10"/>
      <c r="AB10"/>
      <c r="AC10"/>
      <c r="AD10"/>
      <c r="AE10"/>
      <c r="AF10"/>
      <c r="AG10"/>
    </row>
    <row r="11" spans="1:33" ht="13.5" customHeight="1" x14ac:dyDescent="0.2">
      <c r="A11" s="274" t="str">
        <f>'T08'!A6</f>
        <v>2010-11</v>
      </c>
      <c r="B11" s="397">
        <f>T_buildcas!B7</f>
        <v>17</v>
      </c>
      <c r="C11" s="397">
        <f>T_buildcas!C7</f>
        <v>21</v>
      </c>
      <c r="D11" s="397">
        <f>T_buildcas!D7</f>
        <v>4</v>
      </c>
      <c r="E11" s="397">
        <f>T_buildcas!E7</f>
        <v>1</v>
      </c>
      <c r="F11" s="397">
        <f>T_buildcas!F7</f>
        <v>0</v>
      </c>
      <c r="G11" s="397">
        <f>T_buildcas!G7</f>
        <v>1</v>
      </c>
      <c r="H11" s="397">
        <f>T_buildcas!H7</f>
        <v>1</v>
      </c>
      <c r="I11" s="397">
        <f>T_buildcas!I7</f>
        <v>0</v>
      </c>
      <c r="J11" s="353">
        <f t="shared" ref="J11:J20" si="0">SUM(B11:I11)</f>
        <v>45</v>
      </c>
      <c r="K11"/>
      <c r="L11"/>
      <c r="M11"/>
      <c r="N11"/>
      <c r="O11"/>
      <c r="P11"/>
      <c r="Q11" s="191"/>
      <c r="R11" s="191"/>
      <c r="S11"/>
      <c r="T11"/>
      <c r="U11"/>
    </row>
    <row r="12" spans="1:33" ht="13.5" customHeight="1" x14ac:dyDescent="0.2">
      <c r="A12" s="274" t="str">
        <f>'T08'!A7</f>
        <v>2011-12</v>
      </c>
      <c r="B12" s="397">
        <f>T_buildcas!B8</f>
        <v>21</v>
      </c>
      <c r="C12" s="397">
        <f>T_buildcas!C8</f>
        <v>25</v>
      </c>
      <c r="D12" s="397">
        <f>T_buildcas!D8</f>
        <v>3</v>
      </c>
      <c r="E12" s="397">
        <f>T_buildcas!E8</f>
        <v>0</v>
      </c>
      <c r="F12" s="397">
        <f>T_buildcas!F8</f>
        <v>0</v>
      </c>
      <c r="G12" s="397">
        <f>T_buildcas!G8</f>
        <v>1</v>
      </c>
      <c r="H12" s="397">
        <f>T_buildcas!H8</f>
        <v>1</v>
      </c>
      <c r="I12" s="397">
        <f>T_buildcas!I8</f>
        <v>0</v>
      </c>
      <c r="J12" s="353">
        <f t="shared" si="0"/>
        <v>51</v>
      </c>
      <c r="K12"/>
      <c r="L12"/>
      <c r="M12"/>
      <c r="N12"/>
      <c r="O12"/>
      <c r="P12"/>
      <c r="Q12" s="191"/>
      <c r="R12" s="191"/>
      <c r="S12"/>
      <c r="T12"/>
      <c r="U12"/>
    </row>
    <row r="13" spans="1:33" ht="13.5" customHeight="1" x14ac:dyDescent="0.2">
      <c r="A13" s="274" t="str">
        <f>'T08'!A8</f>
        <v>2012-13</v>
      </c>
      <c r="B13" s="397">
        <f>T_buildcas!B9</f>
        <v>19</v>
      </c>
      <c r="C13" s="397">
        <f>T_buildcas!C9</f>
        <v>14</v>
      </c>
      <c r="D13" s="397">
        <f>T_buildcas!D9</f>
        <v>6</v>
      </c>
      <c r="E13" s="397">
        <f>T_buildcas!E9</f>
        <v>0</v>
      </c>
      <c r="F13" s="397">
        <f>T_buildcas!F9</f>
        <v>0</v>
      </c>
      <c r="G13" s="397">
        <f>T_buildcas!G9</f>
        <v>1</v>
      </c>
      <c r="H13" s="397">
        <f>T_buildcas!H9</f>
        <v>0</v>
      </c>
      <c r="I13" s="397">
        <f>T_buildcas!I9</f>
        <v>0</v>
      </c>
      <c r="J13" s="353">
        <f t="shared" si="0"/>
        <v>40</v>
      </c>
      <c r="K13"/>
      <c r="L13"/>
      <c r="M13"/>
      <c r="N13"/>
      <c r="O13"/>
      <c r="P13"/>
      <c r="Q13" s="191"/>
      <c r="R13" s="191"/>
      <c r="S13"/>
      <c r="T13"/>
      <c r="U13"/>
    </row>
    <row r="14" spans="1:33" ht="13.5" customHeight="1" x14ac:dyDescent="0.2">
      <c r="A14" s="274" t="str">
        <f>'T08'!A9</f>
        <v>2013-14</v>
      </c>
      <c r="B14" s="397">
        <f>T_buildcas!B10</f>
        <v>14</v>
      </c>
      <c r="C14" s="397">
        <f>T_buildcas!C10</f>
        <v>11</v>
      </c>
      <c r="D14" s="397">
        <f>T_buildcas!D10</f>
        <v>2</v>
      </c>
      <c r="E14" s="397">
        <f>T_buildcas!E10</f>
        <v>0</v>
      </c>
      <c r="F14" s="397">
        <f>T_buildcas!F10</f>
        <v>0</v>
      </c>
      <c r="G14" s="397">
        <f>T_buildcas!G10</f>
        <v>2</v>
      </c>
      <c r="H14" s="397">
        <f>T_buildcas!H10</f>
        <v>0</v>
      </c>
      <c r="I14" s="397">
        <f>T_buildcas!I10</f>
        <v>0</v>
      </c>
      <c r="J14" s="353">
        <f t="shared" si="0"/>
        <v>29</v>
      </c>
      <c r="K14"/>
      <c r="L14"/>
      <c r="M14"/>
      <c r="N14"/>
      <c r="O14"/>
      <c r="P14"/>
      <c r="Q14" s="191"/>
      <c r="R14" s="191"/>
      <c r="S14"/>
      <c r="T14"/>
      <c r="U14"/>
    </row>
    <row r="15" spans="1:33" ht="13.5" customHeight="1" x14ac:dyDescent="0.2">
      <c r="A15" s="274" t="str">
        <f>'T08'!A10</f>
        <v>2014-15</v>
      </c>
      <c r="B15" s="397">
        <f>T_buildcas!B11</f>
        <v>16</v>
      </c>
      <c r="C15" s="397">
        <f>T_buildcas!C11</f>
        <v>11</v>
      </c>
      <c r="D15" s="397">
        <f>T_buildcas!D11</f>
        <v>0</v>
      </c>
      <c r="E15" s="397">
        <f>T_buildcas!E11</f>
        <v>0</v>
      </c>
      <c r="F15" s="397">
        <f>T_buildcas!F11</f>
        <v>0</v>
      </c>
      <c r="G15" s="397">
        <f>T_buildcas!G11</f>
        <v>2</v>
      </c>
      <c r="H15" s="397">
        <f>T_buildcas!H11</f>
        <v>1</v>
      </c>
      <c r="I15" s="397">
        <f>T_buildcas!I11</f>
        <v>1</v>
      </c>
      <c r="J15" s="353">
        <f t="shared" si="0"/>
        <v>31</v>
      </c>
      <c r="K15"/>
      <c r="L15" s="191"/>
      <c r="M15"/>
      <c r="N15"/>
      <c r="O15"/>
      <c r="P15"/>
      <c r="Q15" s="191"/>
      <c r="R15" s="191"/>
      <c r="S15"/>
      <c r="T15"/>
      <c r="U15"/>
    </row>
    <row r="16" spans="1:33" customFormat="1" ht="13.5" customHeight="1" x14ac:dyDescent="0.2">
      <c r="A16" s="274" t="str">
        <f>'T08'!A11</f>
        <v>2015-16</v>
      </c>
      <c r="B16" s="397">
        <f>T_buildcas!B12</f>
        <v>21</v>
      </c>
      <c r="C16" s="397">
        <f>T_buildcas!C12</f>
        <v>12</v>
      </c>
      <c r="D16" s="397">
        <f>T_buildcas!D12</f>
        <v>6</v>
      </c>
      <c r="E16" s="397">
        <f>T_buildcas!E12</f>
        <v>0</v>
      </c>
      <c r="F16" s="397">
        <f>T_buildcas!F12</f>
        <v>0</v>
      </c>
      <c r="G16" s="397">
        <f>T_buildcas!G12</f>
        <v>0</v>
      </c>
      <c r="H16" s="397">
        <f>T_buildcas!H12</f>
        <v>0</v>
      </c>
      <c r="I16" s="397">
        <f>T_buildcas!I12</f>
        <v>0</v>
      </c>
      <c r="J16" s="353">
        <f t="shared" si="0"/>
        <v>39</v>
      </c>
      <c r="Q16" s="191"/>
      <c r="R16" s="191"/>
    </row>
    <row r="17" spans="1:27" customFormat="1" ht="13.5" customHeight="1" x14ac:dyDescent="0.2">
      <c r="A17" s="274" t="str">
        <f>'T08'!A12</f>
        <v>2016-17</v>
      </c>
      <c r="B17" s="397">
        <f>T_buildcas!B13</f>
        <v>18</v>
      </c>
      <c r="C17" s="397">
        <f>T_buildcas!C13</f>
        <v>11</v>
      </c>
      <c r="D17" s="397">
        <f>T_buildcas!D13</f>
        <v>4</v>
      </c>
      <c r="E17" s="397">
        <f>T_buildcas!E13</f>
        <v>0</v>
      </c>
      <c r="F17" s="397">
        <f>T_buildcas!F13</f>
        <v>0</v>
      </c>
      <c r="G17" s="397">
        <f>T_buildcas!G13</f>
        <v>2</v>
      </c>
      <c r="H17" s="397">
        <f>T_buildcas!H13</f>
        <v>1</v>
      </c>
      <c r="I17" s="397">
        <f>T_buildcas!I13</f>
        <v>0</v>
      </c>
      <c r="J17" s="353">
        <f t="shared" si="0"/>
        <v>36</v>
      </c>
      <c r="Q17" s="191"/>
      <c r="R17" s="191"/>
    </row>
    <row r="18" spans="1:27" customFormat="1" ht="13.5" customHeight="1" x14ac:dyDescent="0.2">
      <c r="A18" s="274" t="str">
        <f>'T08'!A13</f>
        <v>2017-18</v>
      </c>
      <c r="B18" s="397">
        <f>T_buildcas!B14</f>
        <v>19</v>
      </c>
      <c r="C18" s="397">
        <f>T_buildcas!C14</f>
        <v>11</v>
      </c>
      <c r="D18" s="397">
        <f>T_buildcas!D14</f>
        <v>4</v>
      </c>
      <c r="E18" s="397">
        <f>T_buildcas!E14</f>
        <v>0</v>
      </c>
      <c r="F18" s="397">
        <f>T_buildcas!F14</f>
        <v>0</v>
      </c>
      <c r="G18" s="397">
        <f>T_buildcas!G14</f>
        <v>2</v>
      </c>
      <c r="H18" s="397">
        <f>T_buildcas!H14</f>
        <v>0</v>
      </c>
      <c r="I18" s="397">
        <f>T_buildcas!I14</f>
        <v>1</v>
      </c>
      <c r="J18" s="353">
        <f t="shared" si="0"/>
        <v>37</v>
      </c>
      <c r="Q18" s="191"/>
      <c r="R18" s="191"/>
    </row>
    <row r="19" spans="1:27" customFormat="1" ht="13.5" customHeight="1" x14ac:dyDescent="0.2">
      <c r="A19" s="274" t="str">
        <f>'T08'!A14</f>
        <v>2018-19</v>
      </c>
      <c r="B19" s="397">
        <f>T_buildcas!B15</f>
        <v>24</v>
      </c>
      <c r="C19" s="397">
        <f>T_buildcas!C15</f>
        <v>11</v>
      </c>
      <c r="D19" s="397">
        <f>T_buildcas!D15</f>
        <v>0</v>
      </c>
      <c r="E19" s="397">
        <f>T_buildcas!E15</f>
        <v>0</v>
      </c>
      <c r="F19" s="397">
        <f>T_buildcas!F15</f>
        <v>0</v>
      </c>
      <c r="G19" s="397">
        <f>T_buildcas!G15</f>
        <v>0</v>
      </c>
      <c r="H19" s="397">
        <f>T_buildcas!H15</f>
        <v>5</v>
      </c>
      <c r="I19" s="397">
        <f>T_buildcas!I15</f>
        <v>0</v>
      </c>
      <c r="J19" s="353">
        <f t="shared" si="0"/>
        <v>40</v>
      </c>
      <c r="Q19" s="191"/>
      <c r="R19" s="191"/>
    </row>
    <row r="20" spans="1:27" customFormat="1" ht="13.5" customHeight="1" x14ac:dyDescent="0.2">
      <c r="A20" s="274" t="str">
        <f>'T08'!A15</f>
        <v>2019-20</v>
      </c>
      <c r="B20" s="397">
        <f>T_buildcas!B16</f>
        <v>8</v>
      </c>
      <c r="C20" s="397">
        <f>T_buildcas!C16</f>
        <v>6</v>
      </c>
      <c r="D20" s="397">
        <f>T_buildcas!D16</f>
        <v>3</v>
      </c>
      <c r="E20" s="397">
        <f>T_buildcas!E16</f>
        <v>0</v>
      </c>
      <c r="F20" s="397">
        <f>T_buildcas!F16</f>
        <v>0</v>
      </c>
      <c r="G20" s="397">
        <f>T_buildcas!G16</f>
        <v>4</v>
      </c>
      <c r="H20" s="397">
        <f>T_buildcas!H16</f>
        <v>0</v>
      </c>
      <c r="I20" s="397">
        <f>T_buildcas!I16</f>
        <v>0</v>
      </c>
      <c r="J20" s="353">
        <f t="shared" si="0"/>
        <v>21</v>
      </c>
      <c r="Q20" s="191"/>
      <c r="R20" s="191"/>
    </row>
    <row r="21" spans="1:27" ht="15.75" thickBot="1" x14ac:dyDescent="0.25">
      <c r="A21" s="491" t="str">
        <f>'T08'!A16</f>
        <v>2020-21</v>
      </c>
      <c r="B21" s="1101">
        <f>T_buildcas!B17</f>
        <v>24</v>
      </c>
      <c r="C21" s="1101">
        <f>T_buildcas!C17</f>
        <v>14</v>
      </c>
      <c r="D21" s="1101">
        <f>T_buildcas!D17</f>
        <v>3</v>
      </c>
      <c r="E21" s="1101">
        <f>T_buildcas!E17</f>
        <v>0</v>
      </c>
      <c r="F21" s="1101">
        <f>T_buildcas!F17</f>
        <v>0</v>
      </c>
      <c r="G21" s="1101">
        <f>T_buildcas!G17</f>
        <v>2</v>
      </c>
      <c r="H21" s="1101">
        <f>T_buildcas!H17</f>
        <v>1</v>
      </c>
      <c r="I21" s="1101">
        <f>T_buildcas!I17</f>
        <v>0</v>
      </c>
      <c r="J21" s="712">
        <f t="shared" ref="J21" si="1">SUM(B21:I21)</f>
        <v>44</v>
      </c>
      <c r="K21" s="601"/>
      <c r="L21" s="601"/>
      <c r="M21" s="601"/>
      <c r="N21" s="601"/>
      <c r="O21" s="601"/>
      <c r="P21" s="601"/>
      <c r="Q21" s="601"/>
      <c r="R21" s="191"/>
    </row>
    <row r="22" spans="1:27" ht="15" customHeight="1" x14ac:dyDescent="0.2">
      <c r="A22"/>
      <c r="J22"/>
      <c r="K22"/>
      <c r="L22"/>
      <c r="M22"/>
      <c r="N22"/>
      <c r="O22"/>
      <c r="P22"/>
      <c r="Q22"/>
      <c r="R22"/>
      <c r="S22"/>
      <c r="T22"/>
      <c r="U22"/>
      <c r="V22"/>
      <c r="W22"/>
      <c r="X22"/>
      <c r="Y22"/>
      <c r="Z22"/>
      <c r="AA22"/>
    </row>
    <row r="23" spans="1:27" ht="18.75" customHeight="1" x14ac:dyDescent="0.2">
      <c r="A23" s="1100" t="str">
        <f>T_buildcas!B2</f>
        <v>Fatal</v>
      </c>
      <c r="B23" s="1095" t="s">
        <v>1463</v>
      </c>
      <c r="C23" s="1094"/>
      <c r="D23" s="1094"/>
      <c r="E23" s="1094"/>
      <c r="F23" s="1094"/>
      <c r="G23" s="1094"/>
      <c r="H23" s="1094"/>
      <c r="I23" s="1094"/>
      <c r="J23" s="1097"/>
      <c r="K23" s="1097"/>
      <c r="L23" s="1097"/>
      <c r="M23"/>
      <c r="N23"/>
      <c r="O23"/>
      <c r="P23"/>
      <c r="Q23"/>
      <c r="R23"/>
      <c r="S23"/>
      <c r="T23"/>
      <c r="U23"/>
      <c r="V23"/>
      <c r="W23"/>
      <c r="X23"/>
      <c r="Y23"/>
      <c r="Z23"/>
      <c r="AA23"/>
    </row>
    <row r="24" spans="1:27" ht="51.75" customHeight="1" x14ac:dyDescent="0.2">
      <c r="A24" s="1093"/>
      <c r="B24" s="1090" t="s">
        <v>1459</v>
      </c>
      <c r="C24" s="1091" t="s">
        <v>1451</v>
      </c>
      <c r="D24" s="1091" t="s">
        <v>1452</v>
      </c>
      <c r="E24" s="1091" t="s">
        <v>1458</v>
      </c>
      <c r="F24" s="1091" t="s">
        <v>1453</v>
      </c>
      <c r="G24" s="1091" t="s">
        <v>1454</v>
      </c>
      <c r="H24" s="1091" t="s">
        <v>1457</v>
      </c>
      <c r="I24" s="1091" t="s">
        <v>1455</v>
      </c>
      <c r="J24" s="1091" t="s">
        <v>1456</v>
      </c>
      <c r="K24" s="1091" t="s">
        <v>72</v>
      </c>
      <c r="L24" s="186" t="s">
        <v>1466</v>
      </c>
      <c r="M24"/>
      <c r="O24"/>
      <c r="P24"/>
      <c r="Q24"/>
      <c r="R24"/>
      <c r="S24"/>
      <c r="T24"/>
      <c r="U24"/>
      <c r="V24"/>
      <c r="W24"/>
      <c r="X24"/>
      <c r="Y24"/>
      <c r="Z24"/>
      <c r="AA24"/>
    </row>
    <row r="25" spans="1:27" ht="13.5" customHeight="1" x14ac:dyDescent="0.2">
      <c r="A25" s="488" t="str">
        <f t="shared" ref="A25:A36" si="2">A10</f>
        <v>2009-10</v>
      </c>
      <c r="B25" s="396">
        <f>T_buildcas!V6</f>
        <v>0</v>
      </c>
      <c r="C25" s="396">
        <f>T_buildcas!W6</f>
        <v>0</v>
      </c>
      <c r="D25" s="396">
        <f>T_buildcas!X6</f>
        <v>0</v>
      </c>
      <c r="E25" s="396">
        <f>T_buildcas!Y6</f>
        <v>2</v>
      </c>
      <c r="F25" s="396">
        <f>T_buildcas!Z6</f>
        <v>0</v>
      </c>
      <c r="G25" s="396">
        <f>T_buildcas!AA6</f>
        <v>0</v>
      </c>
      <c r="H25" s="396">
        <f>T_buildcas!AB6</f>
        <v>0</v>
      </c>
      <c r="I25" s="396">
        <f>T_buildcas!AC6</f>
        <v>0</v>
      </c>
      <c r="J25" s="396">
        <f>T_buildcas!AD6</f>
        <v>0</v>
      </c>
      <c r="K25" s="396">
        <f>T_buildcas!AE6</f>
        <v>0</v>
      </c>
      <c r="L25" s="1178">
        <f>SUM(B25:K25)</f>
        <v>2</v>
      </c>
      <c r="M25"/>
      <c r="O25"/>
      <c r="P25"/>
      <c r="Q25"/>
      <c r="R25"/>
      <c r="S25"/>
      <c r="T25"/>
      <c r="U25"/>
      <c r="V25"/>
      <c r="W25"/>
      <c r="X25"/>
      <c r="Y25"/>
      <c r="Z25"/>
      <c r="AA25"/>
    </row>
    <row r="26" spans="1:27" ht="13.5" customHeight="1" x14ac:dyDescent="0.2">
      <c r="A26" s="274" t="str">
        <f t="shared" si="2"/>
        <v>2010-11</v>
      </c>
      <c r="B26" s="397">
        <f>T_buildcas!V7</f>
        <v>0</v>
      </c>
      <c r="C26" s="397">
        <f>T_buildcas!W7</f>
        <v>0</v>
      </c>
      <c r="D26" s="397">
        <f>T_buildcas!X7</f>
        <v>0</v>
      </c>
      <c r="E26" s="397">
        <f>T_buildcas!Y7</f>
        <v>0</v>
      </c>
      <c r="F26" s="397">
        <f>T_buildcas!Z7</f>
        <v>1</v>
      </c>
      <c r="G26" s="397">
        <f>T_buildcas!AA7</f>
        <v>0</v>
      </c>
      <c r="H26" s="397">
        <f>T_buildcas!AB7</f>
        <v>0</v>
      </c>
      <c r="I26" s="397">
        <f>T_buildcas!AC7</f>
        <v>1</v>
      </c>
      <c r="J26" s="397">
        <f>T_buildcas!AD7</f>
        <v>0</v>
      </c>
      <c r="K26" s="397">
        <f>T_buildcas!AE7</f>
        <v>0</v>
      </c>
      <c r="L26" s="1179">
        <f t="shared" ref="L26:L34" si="3">SUM(B26:K26)</f>
        <v>2</v>
      </c>
      <c r="M26"/>
      <c r="O26"/>
      <c r="P26"/>
      <c r="Q26"/>
      <c r="R26"/>
      <c r="S26"/>
      <c r="T26"/>
      <c r="U26"/>
      <c r="V26"/>
      <c r="W26"/>
      <c r="X26"/>
      <c r="Y26"/>
      <c r="Z26"/>
      <c r="AA26"/>
    </row>
    <row r="27" spans="1:27" ht="13.5" customHeight="1" x14ac:dyDescent="0.2">
      <c r="A27" s="274" t="str">
        <f t="shared" si="2"/>
        <v>2011-12</v>
      </c>
      <c r="B27" s="397">
        <f>T_buildcas!V8</f>
        <v>0</v>
      </c>
      <c r="C27" s="397">
        <f>T_buildcas!W8</f>
        <v>0</v>
      </c>
      <c r="D27" s="397">
        <f>T_buildcas!X8</f>
        <v>0</v>
      </c>
      <c r="E27" s="397">
        <f>T_buildcas!Y8</f>
        <v>0</v>
      </c>
      <c r="F27" s="397">
        <f>T_buildcas!Z8</f>
        <v>0</v>
      </c>
      <c r="G27" s="397">
        <f>T_buildcas!AA8</f>
        <v>0</v>
      </c>
      <c r="H27" s="397">
        <f>T_buildcas!AB8</f>
        <v>0</v>
      </c>
      <c r="I27" s="397">
        <f>T_buildcas!AC8</f>
        <v>0</v>
      </c>
      <c r="J27" s="397">
        <f>T_buildcas!AD8</f>
        <v>0</v>
      </c>
      <c r="K27" s="397">
        <f>T_buildcas!AE8</f>
        <v>0</v>
      </c>
      <c r="L27" s="1179">
        <f t="shared" si="3"/>
        <v>0</v>
      </c>
      <c r="M27"/>
      <c r="O27"/>
      <c r="P27"/>
      <c r="Q27"/>
      <c r="R27"/>
      <c r="S27"/>
      <c r="T27"/>
      <c r="U27"/>
      <c r="V27"/>
      <c r="W27"/>
      <c r="X27"/>
      <c r="Y27"/>
      <c r="Z27"/>
      <c r="AA27"/>
    </row>
    <row r="28" spans="1:27" ht="13.5" customHeight="1" x14ac:dyDescent="0.2">
      <c r="A28" s="274" t="str">
        <f t="shared" si="2"/>
        <v>2012-13</v>
      </c>
      <c r="B28" s="397">
        <f>T_buildcas!V9</f>
        <v>0</v>
      </c>
      <c r="C28" s="397">
        <f>T_buildcas!W9</f>
        <v>0</v>
      </c>
      <c r="D28" s="397">
        <f>T_buildcas!X9</f>
        <v>0</v>
      </c>
      <c r="E28" s="397">
        <f>T_buildcas!Y9</f>
        <v>0</v>
      </c>
      <c r="F28" s="397">
        <f>T_buildcas!Z9</f>
        <v>1</v>
      </c>
      <c r="G28" s="397">
        <f>T_buildcas!AA9</f>
        <v>0</v>
      </c>
      <c r="H28" s="397">
        <f>T_buildcas!AB9</f>
        <v>0</v>
      </c>
      <c r="I28" s="397">
        <f>T_buildcas!AC9</f>
        <v>1</v>
      </c>
      <c r="J28" s="397">
        <f>T_buildcas!AD9</f>
        <v>0</v>
      </c>
      <c r="K28" s="397">
        <f>T_buildcas!AE9</f>
        <v>0</v>
      </c>
      <c r="L28" s="1179">
        <f t="shared" si="3"/>
        <v>2</v>
      </c>
      <c r="M28"/>
      <c r="O28"/>
      <c r="P28"/>
      <c r="Q28"/>
      <c r="R28"/>
      <c r="S28"/>
      <c r="T28"/>
      <c r="U28"/>
      <c r="V28"/>
      <c r="W28"/>
      <c r="X28"/>
      <c r="Y28"/>
      <c r="Z28"/>
      <c r="AA28"/>
    </row>
    <row r="29" spans="1:27" ht="13.5" customHeight="1" x14ac:dyDescent="0.2">
      <c r="A29" s="274" t="str">
        <f t="shared" si="2"/>
        <v>2013-14</v>
      </c>
      <c r="B29" s="397">
        <f>T_buildcas!V10</f>
        <v>0</v>
      </c>
      <c r="C29" s="397">
        <f>T_buildcas!W10</f>
        <v>0</v>
      </c>
      <c r="D29" s="397">
        <f>T_buildcas!X10</f>
        <v>0</v>
      </c>
      <c r="E29" s="397">
        <f>T_buildcas!Y10</f>
        <v>0</v>
      </c>
      <c r="F29" s="397">
        <f>T_buildcas!Z10</f>
        <v>0</v>
      </c>
      <c r="G29" s="397">
        <f>T_buildcas!AA10</f>
        <v>0</v>
      </c>
      <c r="H29" s="397">
        <f>T_buildcas!AB10</f>
        <v>0</v>
      </c>
      <c r="I29" s="397">
        <f>T_buildcas!AC10</f>
        <v>0</v>
      </c>
      <c r="J29" s="397">
        <f>T_buildcas!AD10</f>
        <v>0</v>
      </c>
      <c r="K29" s="397">
        <f>T_buildcas!AE10</f>
        <v>0</v>
      </c>
      <c r="L29" s="1179">
        <f t="shared" si="3"/>
        <v>0</v>
      </c>
      <c r="M29"/>
      <c r="O29"/>
      <c r="P29"/>
      <c r="Q29"/>
      <c r="R29"/>
      <c r="S29"/>
      <c r="T29"/>
      <c r="U29"/>
      <c r="V29"/>
      <c r="W29"/>
      <c r="X29"/>
      <c r="Y29"/>
      <c r="Z29"/>
      <c r="AA29"/>
    </row>
    <row r="30" spans="1:27" ht="13.5" customHeight="1" x14ac:dyDescent="0.2">
      <c r="A30" s="274" t="str">
        <f t="shared" si="2"/>
        <v>2014-15</v>
      </c>
      <c r="B30" s="397">
        <f>T_buildcas!V11</f>
        <v>0</v>
      </c>
      <c r="C30" s="397">
        <f>T_buildcas!W11</f>
        <v>0</v>
      </c>
      <c r="D30" s="397">
        <f>T_buildcas!X11</f>
        <v>0</v>
      </c>
      <c r="E30" s="397">
        <f>T_buildcas!Y11</f>
        <v>0</v>
      </c>
      <c r="F30" s="397">
        <f>T_buildcas!Z11</f>
        <v>1</v>
      </c>
      <c r="G30" s="397">
        <f>T_buildcas!AA11</f>
        <v>0</v>
      </c>
      <c r="H30" s="397">
        <f>T_buildcas!AB11</f>
        <v>0</v>
      </c>
      <c r="I30" s="397">
        <f>T_buildcas!AC11</f>
        <v>0</v>
      </c>
      <c r="J30" s="397">
        <f>T_buildcas!AD11</f>
        <v>0</v>
      </c>
      <c r="K30" s="397">
        <f>T_buildcas!AE11</f>
        <v>0</v>
      </c>
      <c r="L30" s="1179">
        <f t="shared" si="3"/>
        <v>1</v>
      </c>
      <c r="M30"/>
      <c r="O30"/>
      <c r="P30"/>
      <c r="Q30"/>
      <c r="R30"/>
      <c r="S30"/>
      <c r="T30"/>
      <c r="U30"/>
      <c r="V30"/>
      <c r="W30"/>
      <c r="X30"/>
      <c r="Y30"/>
      <c r="Z30"/>
      <c r="AA30"/>
    </row>
    <row r="31" spans="1:27" ht="13.5" customHeight="1" x14ac:dyDescent="0.2">
      <c r="A31" s="274" t="str">
        <f t="shared" si="2"/>
        <v>2015-16</v>
      </c>
      <c r="B31" s="397">
        <f>T_buildcas!V12</f>
        <v>1</v>
      </c>
      <c r="C31" s="397">
        <f>T_buildcas!W12</f>
        <v>0</v>
      </c>
      <c r="D31" s="397">
        <f>T_buildcas!X12</f>
        <v>1</v>
      </c>
      <c r="E31" s="397">
        <f>T_buildcas!Y12</f>
        <v>0</v>
      </c>
      <c r="F31" s="397">
        <f>T_buildcas!Z12</f>
        <v>0</v>
      </c>
      <c r="G31" s="397">
        <f>T_buildcas!AA12</f>
        <v>0</v>
      </c>
      <c r="H31" s="397">
        <f>T_buildcas!AB12</f>
        <v>0</v>
      </c>
      <c r="I31" s="397">
        <f>T_buildcas!AC12</f>
        <v>0</v>
      </c>
      <c r="J31" s="397">
        <f>T_buildcas!AD12</f>
        <v>0</v>
      </c>
      <c r="K31" s="397">
        <f>T_buildcas!AE12</f>
        <v>0</v>
      </c>
      <c r="L31" s="1179">
        <f t="shared" si="3"/>
        <v>2</v>
      </c>
      <c r="M31"/>
      <c r="O31"/>
      <c r="P31"/>
      <c r="Q31"/>
      <c r="R31"/>
      <c r="S31"/>
      <c r="T31"/>
      <c r="U31"/>
      <c r="V31"/>
      <c r="W31"/>
      <c r="X31"/>
      <c r="Y31"/>
      <c r="Z31"/>
      <c r="AA31"/>
    </row>
    <row r="32" spans="1:27" ht="13.5" customHeight="1" x14ac:dyDescent="0.2">
      <c r="A32" s="274" t="str">
        <f t="shared" si="2"/>
        <v>2016-17</v>
      </c>
      <c r="B32" s="397">
        <f>T_buildcas!V13</f>
        <v>0</v>
      </c>
      <c r="C32" s="397">
        <f>T_buildcas!W13</f>
        <v>0</v>
      </c>
      <c r="D32" s="397">
        <f>T_buildcas!X13</f>
        <v>0</v>
      </c>
      <c r="E32" s="397">
        <f>T_buildcas!Y13</f>
        <v>1</v>
      </c>
      <c r="F32" s="397">
        <f>T_buildcas!Z13</f>
        <v>2</v>
      </c>
      <c r="G32" s="397">
        <f>T_buildcas!AA13</f>
        <v>0</v>
      </c>
      <c r="H32" s="397">
        <f>T_buildcas!AB13</f>
        <v>0</v>
      </c>
      <c r="I32" s="397">
        <f>T_buildcas!AC13</f>
        <v>0</v>
      </c>
      <c r="J32" s="397">
        <f>T_buildcas!AD13</f>
        <v>0</v>
      </c>
      <c r="K32" s="397">
        <f>T_buildcas!AE13</f>
        <v>0</v>
      </c>
      <c r="L32" s="1179">
        <f t="shared" si="3"/>
        <v>3</v>
      </c>
      <c r="M32"/>
      <c r="O32"/>
      <c r="P32"/>
      <c r="Q32"/>
      <c r="R32"/>
      <c r="S32"/>
      <c r="T32"/>
      <c r="U32"/>
      <c r="V32"/>
      <c r="W32"/>
      <c r="X32"/>
      <c r="Y32"/>
      <c r="Z32"/>
      <c r="AA32"/>
    </row>
    <row r="33" spans="1:27" ht="13.5" customHeight="1" x14ac:dyDescent="0.2">
      <c r="A33" s="274" t="str">
        <f t="shared" si="2"/>
        <v>2017-18</v>
      </c>
      <c r="B33" s="397">
        <f>T_buildcas!V14</f>
        <v>2</v>
      </c>
      <c r="C33" s="397">
        <f>T_buildcas!W14</f>
        <v>0</v>
      </c>
      <c r="D33" s="397">
        <f>T_buildcas!X14</f>
        <v>0</v>
      </c>
      <c r="E33" s="397">
        <f>T_buildcas!Y14</f>
        <v>0</v>
      </c>
      <c r="F33" s="397">
        <f>T_buildcas!Z14</f>
        <v>0</v>
      </c>
      <c r="G33" s="397">
        <f>T_buildcas!AA14</f>
        <v>0</v>
      </c>
      <c r="H33" s="397">
        <f>T_buildcas!AB14</f>
        <v>0</v>
      </c>
      <c r="I33" s="397">
        <f>T_buildcas!AC14</f>
        <v>0</v>
      </c>
      <c r="J33" s="397">
        <f>T_buildcas!AD14</f>
        <v>0</v>
      </c>
      <c r="K33" s="397">
        <f>T_buildcas!AE14</f>
        <v>1</v>
      </c>
      <c r="L33" s="1179">
        <f t="shared" si="3"/>
        <v>3</v>
      </c>
      <c r="M33"/>
      <c r="O33"/>
      <c r="P33"/>
      <c r="Q33"/>
      <c r="R33"/>
      <c r="S33"/>
      <c r="T33"/>
      <c r="U33"/>
      <c r="V33"/>
      <c r="W33"/>
      <c r="X33"/>
      <c r="Y33"/>
      <c r="Z33"/>
      <c r="AA33"/>
    </row>
    <row r="34" spans="1:27" ht="13.5" customHeight="1" x14ac:dyDescent="0.2">
      <c r="A34" s="274" t="str">
        <f t="shared" si="2"/>
        <v>2018-19</v>
      </c>
      <c r="B34" s="397">
        <f>T_buildcas!V15</f>
        <v>0</v>
      </c>
      <c r="C34" s="397">
        <f>T_buildcas!W15</f>
        <v>0</v>
      </c>
      <c r="D34" s="397">
        <f>T_buildcas!X15</f>
        <v>0</v>
      </c>
      <c r="E34" s="397">
        <f>T_buildcas!Y15</f>
        <v>1</v>
      </c>
      <c r="F34" s="397">
        <f>T_buildcas!Z15</f>
        <v>0</v>
      </c>
      <c r="G34" s="397">
        <f>T_buildcas!AA15</f>
        <v>0</v>
      </c>
      <c r="H34" s="397">
        <f>T_buildcas!AB15</f>
        <v>0</v>
      </c>
      <c r="I34" s="397">
        <f>T_buildcas!AC15</f>
        <v>0</v>
      </c>
      <c r="J34" s="397">
        <f>T_buildcas!AD15</f>
        <v>0</v>
      </c>
      <c r="K34" s="397">
        <f>T_buildcas!AE15</f>
        <v>0</v>
      </c>
      <c r="L34" s="1179">
        <f t="shared" si="3"/>
        <v>1</v>
      </c>
      <c r="M34"/>
      <c r="O34"/>
      <c r="P34"/>
      <c r="Q34"/>
      <c r="R34"/>
      <c r="S34"/>
      <c r="T34"/>
      <c r="U34"/>
      <c r="V34"/>
      <c r="W34"/>
      <c r="X34"/>
      <c r="Y34"/>
      <c r="Z34"/>
      <c r="AA34"/>
    </row>
    <row r="35" spans="1:27" ht="13.5" customHeight="1" x14ac:dyDescent="0.2">
      <c r="A35" s="274" t="str">
        <f t="shared" si="2"/>
        <v>2019-20</v>
      </c>
      <c r="B35" s="397">
        <f>T_buildcas!V16</f>
        <v>0</v>
      </c>
      <c r="C35" s="397">
        <f>T_buildcas!W16</f>
        <v>0</v>
      </c>
      <c r="D35" s="397">
        <f>T_buildcas!X16</f>
        <v>0</v>
      </c>
      <c r="E35" s="397">
        <f>T_buildcas!Y16</f>
        <v>0</v>
      </c>
      <c r="F35" s="397">
        <f>T_buildcas!Z16</f>
        <v>0</v>
      </c>
      <c r="G35" s="397">
        <f>T_buildcas!AA16</f>
        <v>0</v>
      </c>
      <c r="H35" s="397">
        <f>T_buildcas!AB16</f>
        <v>0</v>
      </c>
      <c r="I35" s="397">
        <f>T_buildcas!AC16</f>
        <v>1</v>
      </c>
      <c r="J35" s="397">
        <f>T_buildcas!AD16</f>
        <v>0</v>
      </c>
      <c r="K35" s="397">
        <f>T_buildcas!AE16</f>
        <v>0</v>
      </c>
      <c r="L35" s="1179">
        <f>SUM(B35:K35)</f>
        <v>1</v>
      </c>
      <c r="M35"/>
      <c r="O35"/>
      <c r="P35"/>
      <c r="Q35"/>
      <c r="R35"/>
      <c r="S35"/>
      <c r="T35"/>
      <c r="U35"/>
      <c r="V35"/>
      <c r="W35"/>
      <c r="X35"/>
      <c r="Y35"/>
      <c r="Z35"/>
      <c r="AA35"/>
    </row>
    <row r="36" spans="1:27" ht="13.5" customHeight="1" thickBot="1" x14ac:dyDescent="0.25">
      <c r="A36" s="491" t="str">
        <f t="shared" si="2"/>
        <v>2020-21</v>
      </c>
      <c r="B36" s="1101">
        <f>T_buildcas!V17</f>
        <v>0</v>
      </c>
      <c r="C36" s="1101">
        <f>T_buildcas!W17</f>
        <v>0</v>
      </c>
      <c r="D36" s="1101">
        <f>T_buildcas!X17</f>
        <v>0</v>
      </c>
      <c r="E36" s="1101">
        <f>T_buildcas!Y17</f>
        <v>0</v>
      </c>
      <c r="F36" s="1101">
        <f>T_buildcas!Z17</f>
        <v>1</v>
      </c>
      <c r="G36" s="1101">
        <f>T_buildcas!AA17</f>
        <v>0</v>
      </c>
      <c r="H36" s="1101">
        <f>T_buildcas!AB17</f>
        <v>0</v>
      </c>
      <c r="I36" s="1101">
        <f>T_buildcas!AC17</f>
        <v>0</v>
      </c>
      <c r="J36" s="1101">
        <f>T_buildcas!AD17</f>
        <v>0</v>
      </c>
      <c r="K36" s="1101">
        <f>T_buildcas!AE17</f>
        <v>0</v>
      </c>
      <c r="L36" s="1180">
        <f>SUM(B36:K36)</f>
        <v>1</v>
      </c>
      <c r="M36"/>
      <c r="O36"/>
      <c r="P36"/>
      <c r="Q36"/>
      <c r="R36"/>
      <c r="S36"/>
      <c r="T36"/>
      <c r="U36"/>
      <c r="V36"/>
      <c r="W36"/>
      <c r="X36"/>
      <c r="Y36"/>
      <c r="Z36"/>
      <c r="AA36"/>
    </row>
    <row r="37" spans="1:27" ht="13.5" customHeight="1" x14ac:dyDescent="0.2">
      <c r="B37" s="1298"/>
      <c r="C37" s="1298"/>
      <c r="D37" s="1298"/>
      <c r="E37" s="1298"/>
      <c r="F37" s="1298"/>
      <c r="G37" s="1298"/>
      <c r="H37" s="1298"/>
      <c r="I37" s="1298"/>
      <c r="Q37"/>
    </row>
    <row r="38" spans="1:27" ht="13.5" customHeight="1" x14ac:dyDescent="0.2">
      <c r="Q38"/>
    </row>
    <row r="39" spans="1:27" ht="18.75" customHeight="1" x14ac:dyDescent="0.2">
      <c r="A39" s="1100" t="str">
        <f>T_buildcas!B2</f>
        <v>Fatal</v>
      </c>
      <c r="B39" s="1095" t="s">
        <v>1464</v>
      </c>
      <c r="C39" s="1094"/>
      <c r="D39" s="1094"/>
      <c r="E39" s="1094"/>
      <c r="F39" s="1094"/>
      <c r="G39" s="1094"/>
      <c r="H39" s="1094"/>
      <c r="I39" s="1094"/>
      <c r="J39" s="1094"/>
      <c r="K39" s="1094"/>
      <c r="L39" s="1094"/>
      <c r="M39" s="1094"/>
      <c r="Q39"/>
    </row>
    <row r="40" spans="1:27" ht="53.25" customHeight="1" x14ac:dyDescent="0.2">
      <c r="A40" s="1093"/>
      <c r="B40" s="255" t="s">
        <v>75</v>
      </c>
      <c r="C40" s="256" t="s">
        <v>76</v>
      </c>
      <c r="D40" s="256" t="s">
        <v>77</v>
      </c>
      <c r="E40" s="256" t="s">
        <v>531</v>
      </c>
      <c r="F40" s="256" t="s">
        <v>532</v>
      </c>
      <c r="G40" s="256" t="s">
        <v>533</v>
      </c>
      <c r="H40" s="256" t="s">
        <v>78</v>
      </c>
      <c r="I40" s="256" t="s">
        <v>79</v>
      </c>
      <c r="J40" s="256" t="s">
        <v>80</v>
      </c>
      <c r="K40" s="256" t="s">
        <v>81</v>
      </c>
      <c r="L40" s="256" t="s">
        <v>534</v>
      </c>
      <c r="M40" s="257" t="s">
        <v>8</v>
      </c>
      <c r="N40" s="1092" t="s">
        <v>1467</v>
      </c>
      <c r="Q40"/>
    </row>
    <row r="41" spans="1:27" ht="13.5" customHeight="1" x14ac:dyDescent="0.2">
      <c r="A41" s="488" t="str">
        <f t="shared" ref="A41:A50" si="4">A25</f>
        <v>2009-10</v>
      </c>
      <c r="B41" s="396">
        <f>T_buildcas!J6</f>
        <v>0</v>
      </c>
      <c r="C41" s="396">
        <f>T_buildcas!K6</f>
        <v>1</v>
      </c>
      <c r="D41" s="396">
        <f>T_buildcas!L6</f>
        <v>0</v>
      </c>
      <c r="E41" s="396">
        <f>T_buildcas!M6</f>
        <v>0</v>
      </c>
      <c r="F41" s="396">
        <f>T_buildcas!N6</f>
        <v>0</v>
      </c>
      <c r="G41" s="396">
        <f>T_buildcas!O6</f>
        <v>0</v>
      </c>
      <c r="H41" s="396">
        <f>T_buildcas!P6</f>
        <v>0</v>
      </c>
      <c r="I41" s="396">
        <f>T_buildcas!Q6</f>
        <v>1</v>
      </c>
      <c r="J41" s="396">
        <f>T_buildcas!R6</f>
        <v>0</v>
      </c>
      <c r="K41" s="396">
        <f>T_buildcas!S6</f>
        <v>0</v>
      </c>
      <c r="L41" s="396">
        <f>T_buildcas!T6</f>
        <v>0</v>
      </c>
      <c r="M41" s="396">
        <f>T_buildcas!U6</f>
        <v>0</v>
      </c>
      <c r="N41" s="1178">
        <f>SUM(B41:M41)</f>
        <v>2</v>
      </c>
      <c r="Q41"/>
    </row>
    <row r="42" spans="1:27" ht="13.5" customHeight="1" x14ac:dyDescent="0.2">
      <c r="A42" s="274" t="str">
        <f t="shared" si="4"/>
        <v>2010-11</v>
      </c>
      <c r="B42" s="397">
        <f>T_buildcas!J7</f>
        <v>1</v>
      </c>
      <c r="C42" s="397">
        <f>T_buildcas!K7</f>
        <v>0</v>
      </c>
      <c r="D42" s="397">
        <f>T_buildcas!L7</f>
        <v>0</v>
      </c>
      <c r="E42" s="397">
        <f>T_buildcas!M7</f>
        <v>0</v>
      </c>
      <c r="F42" s="397">
        <f>T_buildcas!N7</f>
        <v>0</v>
      </c>
      <c r="G42" s="397">
        <f>T_buildcas!O7</f>
        <v>0</v>
      </c>
      <c r="H42" s="397">
        <f>T_buildcas!P7</f>
        <v>0</v>
      </c>
      <c r="I42" s="397">
        <f>T_buildcas!Q7</f>
        <v>0</v>
      </c>
      <c r="J42" s="397">
        <f>T_buildcas!R7</f>
        <v>0</v>
      </c>
      <c r="K42" s="397">
        <f>T_buildcas!S7</f>
        <v>0</v>
      </c>
      <c r="L42" s="397">
        <f>T_buildcas!T7</f>
        <v>0</v>
      </c>
      <c r="M42" s="397">
        <f>T_buildcas!U7</f>
        <v>0</v>
      </c>
      <c r="N42" s="1179">
        <f>SUM(B42:M42)</f>
        <v>1</v>
      </c>
      <c r="Q42"/>
    </row>
    <row r="43" spans="1:27" ht="13.5" customHeight="1" x14ac:dyDescent="0.2">
      <c r="A43" s="274" t="str">
        <f t="shared" si="4"/>
        <v>2011-12</v>
      </c>
      <c r="B43" s="397">
        <f>T_buildcas!J8</f>
        <v>1</v>
      </c>
      <c r="C43" s="397">
        <f>T_buildcas!K8</f>
        <v>0</v>
      </c>
      <c r="D43" s="397">
        <f>T_buildcas!L8</f>
        <v>1</v>
      </c>
      <c r="E43" s="397">
        <f>T_buildcas!M8</f>
        <v>0</v>
      </c>
      <c r="F43" s="397">
        <f>T_buildcas!N8</f>
        <v>0</v>
      </c>
      <c r="G43" s="397">
        <f>T_buildcas!O8</f>
        <v>0</v>
      </c>
      <c r="H43" s="397">
        <f>T_buildcas!P8</f>
        <v>0</v>
      </c>
      <c r="I43" s="397">
        <f>T_buildcas!Q8</f>
        <v>0</v>
      </c>
      <c r="J43" s="397">
        <f>T_buildcas!R8</f>
        <v>1</v>
      </c>
      <c r="K43" s="397">
        <f>T_buildcas!S8</f>
        <v>0</v>
      </c>
      <c r="L43" s="397">
        <f>T_buildcas!T8</f>
        <v>0</v>
      </c>
      <c r="M43" s="397">
        <f>T_buildcas!U8</f>
        <v>1</v>
      </c>
      <c r="N43" s="1179">
        <f t="shared" ref="N43:N51" si="5">SUM(B43:M43)</f>
        <v>4</v>
      </c>
      <c r="Q43"/>
    </row>
    <row r="44" spans="1:27" ht="13.5" customHeight="1" x14ac:dyDescent="0.2">
      <c r="A44" s="274" t="str">
        <f t="shared" si="4"/>
        <v>2012-13</v>
      </c>
      <c r="B44" s="397">
        <f>T_buildcas!J9</f>
        <v>0</v>
      </c>
      <c r="C44" s="397">
        <f>T_buildcas!K9</f>
        <v>0</v>
      </c>
      <c r="D44" s="397">
        <f>T_buildcas!L9</f>
        <v>0</v>
      </c>
      <c r="E44" s="397">
        <f>T_buildcas!M9</f>
        <v>0</v>
      </c>
      <c r="F44" s="397">
        <f>T_buildcas!N9</f>
        <v>0</v>
      </c>
      <c r="G44" s="397">
        <f>T_buildcas!O9</f>
        <v>0</v>
      </c>
      <c r="H44" s="397">
        <f>T_buildcas!P9</f>
        <v>0</v>
      </c>
      <c r="I44" s="397">
        <f>T_buildcas!Q9</f>
        <v>0</v>
      </c>
      <c r="J44" s="397">
        <f>T_buildcas!R9</f>
        <v>0</v>
      </c>
      <c r="K44" s="397">
        <f>T_buildcas!S9</f>
        <v>0</v>
      </c>
      <c r="L44" s="397">
        <f>T_buildcas!T9</f>
        <v>0</v>
      </c>
      <c r="M44" s="397">
        <f>T_buildcas!U9</f>
        <v>0</v>
      </c>
      <c r="N44" s="1179">
        <f t="shared" si="5"/>
        <v>0</v>
      </c>
      <c r="Q44"/>
    </row>
    <row r="45" spans="1:27" ht="13.5" customHeight="1" x14ac:dyDescent="0.2">
      <c r="A45" s="274" t="str">
        <f t="shared" si="4"/>
        <v>2013-14</v>
      </c>
      <c r="B45" s="397">
        <f>T_buildcas!J10</f>
        <v>0</v>
      </c>
      <c r="C45" s="397">
        <f>T_buildcas!K10</f>
        <v>0</v>
      </c>
      <c r="D45" s="397">
        <f>T_buildcas!L10</f>
        <v>0</v>
      </c>
      <c r="E45" s="397">
        <f>T_buildcas!M10</f>
        <v>0</v>
      </c>
      <c r="F45" s="397">
        <f>T_buildcas!N10</f>
        <v>0</v>
      </c>
      <c r="G45" s="397">
        <f>T_buildcas!O10</f>
        <v>0</v>
      </c>
      <c r="H45" s="397">
        <f>T_buildcas!P10</f>
        <v>0</v>
      </c>
      <c r="I45" s="397">
        <f>T_buildcas!Q10</f>
        <v>0</v>
      </c>
      <c r="J45" s="397">
        <f>T_buildcas!R10</f>
        <v>1</v>
      </c>
      <c r="K45" s="397">
        <f>T_buildcas!S10</f>
        <v>0</v>
      </c>
      <c r="L45" s="397">
        <f>T_buildcas!T10</f>
        <v>0</v>
      </c>
      <c r="M45" s="397">
        <f>T_buildcas!U10</f>
        <v>0</v>
      </c>
      <c r="N45" s="1179">
        <f t="shared" si="5"/>
        <v>1</v>
      </c>
      <c r="Q45"/>
    </row>
    <row r="46" spans="1:27" ht="13.5" customHeight="1" x14ac:dyDescent="0.2">
      <c r="A46" s="274" t="str">
        <f t="shared" si="4"/>
        <v>2014-15</v>
      </c>
      <c r="B46" s="397">
        <f>T_buildcas!J11</f>
        <v>0</v>
      </c>
      <c r="C46" s="397">
        <f>T_buildcas!K11</f>
        <v>0</v>
      </c>
      <c r="D46" s="397">
        <f>T_buildcas!L11</f>
        <v>0</v>
      </c>
      <c r="E46" s="397">
        <f>T_buildcas!M11</f>
        <v>0</v>
      </c>
      <c r="F46" s="397">
        <f>T_buildcas!N11</f>
        <v>0</v>
      </c>
      <c r="G46" s="397">
        <f>T_buildcas!O11</f>
        <v>1</v>
      </c>
      <c r="H46" s="397">
        <f>T_buildcas!P11</f>
        <v>0</v>
      </c>
      <c r="I46" s="397">
        <f>T_buildcas!Q11</f>
        <v>1</v>
      </c>
      <c r="J46" s="397">
        <f>T_buildcas!R11</f>
        <v>0</v>
      </c>
      <c r="K46" s="397">
        <f>T_buildcas!S11</f>
        <v>0</v>
      </c>
      <c r="L46" s="397">
        <f>T_buildcas!T11</f>
        <v>0</v>
      </c>
      <c r="M46" s="397">
        <f>T_buildcas!U11</f>
        <v>0</v>
      </c>
      <c r="N46" s="1179">
        <f t="shared" si="5"/>
        <v>2</v>
      </c>
      <c r="Q46"/>
    </row>
    <row r="47" spans="1:27" ht="13.5" customHeight="1" x14ac:dyDescent="0.2">
      <c r="A47" s="274" t="str">
        <f t="shared" si="4"/>
        <v>2015-16</v>
      </c>
      <c r="B47" s="397">
        <f>T_buildcas!J12</f>
        <v>0</v>
      </c>
      <c r="C47" s="397">
        <f>T_buildcas!K12</f>
        <v>0</v>
      </c>
      <c r="D47" s="397">
        <f>T_buildcas!L12</f>
        <v>0</v>
      </c>
      <c r="E47" s="397">
        <f>T_buildcas!M12</f>
        <v>0</v>
      </c>
      <c r="F47" s="397">
        <f>T_buildcas!N12</f>
        <v>0</v>
      </c>
      <c r="G47" s="397">
        <f>T_buildcas!O12</f>
        <v>0</v>
      </c>
      <c r="H47" s="397">
        <f>T_buildcas!P12</f>
        <v>0</v>
      </c>
      <c r="I47" s="397">
        <f>T_buildcas!Q12</f>
        <v>0</v>
      </c>
      <c r="J47" s="397">
        <f>T_buildcas!R12</f>
        <v>0</v>
      </c>
      <c r="K47" s="397">
        <f>T_buildcas!S12</f>
        <v>0</v>
      </c>
      <c r="L47" s="397">
        <f>T_buildcas!T12</f>
        <v>0</v>
      </c>
      <c r="M47" s="397">
        <f>T_buildcas!U12</f>
        <v>1</v>
      </c>
      <c r="N47" s="1179">
        <f t="shared" si="5"/>
        <v>1</v>
      </c>
      <c r="Q47"/>
    </row>
    <row r="48" spans="1:27" ht="13.5" customHeight="1" x14ac:dyDescent="0.2">
      <c r="A48" s="274" t="str">
        <f t="shared" si="4"/>
        <v>2016-17</v>
      </c>
      <c r="B48" s="397">
        <f>T_buildcas!J13</f>
        <v>0</v>
      </c>
      <c r="C48" s="397">
        <f>T_buildcas!K13</f>
        <v>0</v>
      </c>
      <c r="D48" s="397">
        <f>T_buildcas!L13</f>
        <v>0</v>
      </c>
      <c r="E48" s="397">
        <f>T_buildcas!M13</f>
        <v>0</v>
      </c>
      <c r="F48" s="397">
        <f>T_buildcas!N13</f>
        <v>0</v>
      </c>
      <c r="G48" s="397">
        <f>T_buildcas!O13</f>
        <v>0</v>
      </c>
      <c r="H48" s="397">
        <f>T_buildcas!P13</f>
        <v>0</v>
      </c>
      <c r="I48" s="397">
        <f>T_buildcas!Q13</f>
        <v>0</v>
      </c>
      <c r="J48" s="397">
        <f>T_buildcas!R13</f>
        <v>0</v>
      </c>
      <c r="K48" s="397">
        <f>T_buildcas!S13</f>
        <v>0</v>
      </c>
      <c r="L48" s="397">
        <f>T_buildcas!T13</f>
        <v>0</v>
      </c>
      <c r="M48" s="397">
        <f>T_buildcas!U13</f>
        <v>0</v>
      </c>
      <c r="N48" s="1179">
        <f t="shared" si="5"/>
        <v>0</v>
      </c>
      <c r="Q48"/>
    </row>
    <row r="49" spans="1:17" ht="13.5" customHeight="1" x14ac:dyDescent="0.2">
      <c r="A49" s="274" t="str">
        <f t="shared" si="4"/>
        <v>2017-18</v>
      </c>
      <c r="B49" s="397">
        <f>T_buildcas!J14</f>
        <v>0</v>
      </c>
      <c r="C49" s="397">
        <f>T_buildcas!K14</f>
        <v>0</v>
      </c>
      <c r="D49" s="397">
        <f>T_buildcas!L14</f>
        <v>0</v>
      </c>
      <c r="E49" s="397">
        <f>T_buildcas!M14</f>
        <v>0</v>
      </c>
      <c r="F49" s="397">
        <f>T_buildcas!N14</f>
        <v>0</v>
      </c>
      <c r="G49" s="397">
        <f>T_buildcas!O14</f>
        <v>0</v>
      </c>
      <c r="H49" s="397">
        <f>T_buildcas!P14</f>
        <v>0</v>
      </c>
      <c r="I49" s="397">
        <f>T_buildcas!Q14</f>
        <v>0</v>
      </c>
      <c r="J49" s="397">
        <f>T_buildcas!R14</f>
        <v>0</v>
      </c>
      <c r="K49" s="397">
        <f>T_buildcas!S14</f>
        <v>0</v>
      </c>
      <c r="L49" s="397">
        <f>T_buildcas!T14</f>
        <v>0</v>
      </c>
      <c r="M49" s="397">
        <f>T_buildcas!U14</f>
        <v>0</v>
      </c>
      <c r="N49" s="1179">
        <f t="shared" si="5"/>
        <v>0</v>
      </c>
      <c r="Q49"/>
    </row>
    <row r="50" spans="1:17" ht="13.5" customHeight="1" x14ac:dyDescent="0.2">
      <c r="A50" s="274" t="str">
        <f t="shared" si="4"/>
        <v>2018-19</v>
      </c>
      <c r="B50" s="397">
        <f>T_buildcas!J15</f>
        <v>0</v>
      </c>
      <c r="C50" s="397">
        <f>T_buildcas!K15</f>
        <v>0</v>
      </c>
      <c r="D50" s="397">
        <f>T_buildcas!L15</f>
        <v>0</v>
      </c>
      <c r="E50" s="397">
        <f>T_buildcas!M15</f>
        <v>0</v>
      </c>
      <c r="F50" s="397">
        <f>T_buildcas!N15</f>
        <v>0</v>
      </c>
      <c r="G50" s="397">
        <f>T_buildcas!O15</f>
        <v>0</v>
      </c>
      <c r="H50" s="397">
        <f>T_buildcas!P15</f>
        <v>0</v>
      </c>
      <c r="I50" s="397">
        <f>T_buildcas!Q15</f>
        <v>0</v>
      </c>
      <c r="J50" s="397">
        <f>T_buildcas!R15</f>
        <v>0</v>
      </c>
      <c r="K50" s="397">
        <f>T_buildcas!S15</f>
        <v>0</v>
      </c>
      <c r="L50" s="397">
        <f>T_buildcas!T15</f>
        <v>0</v>
      </c>
      <c r="M50" s="397">
        <f>T_buildcas!U15</f>
        <v>0</v>
      </c>
      <c r="N50" s="1179">
        <f t="shared" si="5"/>
        <v>0</v>
      </c>
      <c r="Q50"/>
    </row>
    <row r="51" spans="1:17" ht="13.5" customHeight="1" x14ac:dyDescent="0.2">
      <c r="A51" s="274" t="str">
        <f>A35</f>
        <v>2019-20</v>
      </c>
      <c r="B51" s="397">
        <f>T_buildcas!J16</f>
        <v>0</v>
      </c>
      <c r="C51" s="397">
        <f>T_buildcas!K16</f>
        <v>0</v>
      </c>
      <c r="D51" s="397">
        <f>T_buildcas!L16</f>
        <v>0</v>
      </c>
      <c r="E51" s="397">
        <f>T_buildcas!M16</f>
        <v>0</v>
      </c>
      <c r="F51" s="397">
        <f>T_buildcas!N16</f>
        <v>1</v>
      </c>
      <c r="G51" s="397">
        <f>T_buildcas!O16</f>
        <v>0</v>
      </c>
      <c r="H51" s="397">
        <f>T_buildcas!P16</f>
        <v>0</v>
      </c>
      <c r="I51" s="397">
        <f>T_buildcas!Q16</f>
        <v>0</v>
      </c>
      <c r="J51" s="397">
        <f>T_buildcas!R16</f>
        <v>1</v>
      </c>
      <c r="K51" s="397">
        <f>T_buildcas!S16</f>
        <v>0</v>
      </c>
      <c r="L51" s="397">
        <f>T_buildcas!T16</f>
        <v>0</v>
      </c>
      <c r="M51" s="397">
        <f>T_buildcas!U16</f>
        <v>0</v>
      </c>
      <c r="N51" s="1179">
        <f t="shared" si="5"/>
        <v>2</v>
      </c>
      <c r="Q51"/>
    </row>
    <row r="52" spans="1:17" ht="14.25" customHeight="1" thickBot="1" x14ac:dyDescent="0.25">
      <c r="A52" s="491" t="str">
        <f>A36</f>
        <v>2020-21</v>
      </c>
      <c r="B52" s="1101">
        <f>T_buildcas!J17</f>
        <v>1</v>
      </c>
      <c r="C52" s="1101">
        <f>T_buildcas!K17</f>
        <v>0</v>
      </c>
      <c r="D52" s="1101">
        <f>T_buildcas!L17</f>
        <v>0</v>
      </c>
      <c r="E52" s="1101">
        <f>T_buildcas!M17</f>
        <v>0</v>
      </c>
      <c r="F52" s="1101">
        <f>T_buildcas!N17</f>
        <v>0</v>
      </c>
      <c r="G52" s="1101">
        <f>T_buildcas!O17</f>
        <v>0</v>
      </c>
      <c r="H52" s="1101">
        <f>T_buildcas!P17</f>
        <v>0</v>
      </c>
      <c r="I52" s="1101">
        <f>T_buildcas!Q17</f>
        <v>0</v>
      </c>
      <c r="J52" s="1101">
        <f>T_buildcas!R17</f>
        <v>0</v>
      </c>
      <c r="K52" s="1101">
        <f>T_buildcas!S17</f>
        <v>0</v>
      </c>
      <c r="L52" s="1101">
        <f>T_buildcas!T17</f>
        <v>0</v>
      </c>
      <c r="M52" s="1101">
        <f>T_buildcas!U17</f>
        <v>0</v>
      </c>
      <c r="N52" s="1180">
        <f t="shared" ref="N52" si="6">SUM(B52:M52)</f>
        <v>1</v>
      </c>
      <c r="Q52"/>
    </row>
    <row r="54" spans="1:17" x14ac:dyDescent="0.2">
      <c r="A54" s="5" t="s">
        <v>146</v>
      </c>
    </row>
    <row r="55" spans="1:17" ht="15" x14ac:dyDescent="0.25">
      <c r="A55" s="966" t="s">
        <v>1225</v>
      </c>
    </row>
    <row r="56" spans="1:17" ht="15" x14ac:dyDescent="0.25">
      <c r="A56" s="966" t="s">
        <v>1523</v>
      </c>
    </row>
    <row r="57" spans="1:17" x14ac:dyDescent="0.2">
      <c r="A57"/>
      <c r="B57"/>
      <c r="C57"/>
      <c r="D57"/>
      <c r="E57"/>
      <c r="F57"/>
      <c r="G57"/>
      <c r="H57"/>
      <c r="I57"/>
      <c r="J57"/>
      <c r="K57"/>
      <c r="L57"/>
      <c r="M57"/>
      <c r="N57"/>
      <c r="O57"/>
      <c r="P57"/>
    </row>
    <row r="58" spans="1:17" x14ac:dyDescent="0.2">
      <c r="A58"/>
      <c r="B58"/>
      <c r="C58"/>
      <c r="D58"/>
      <c r="E58"/>
      <c r="F58"/>
      <c r="G58"/>
      <c r="H58"/>
      <c r="I58"/>
      <c r="J58"/>
      <c r="K58"/>
      <c r="L58"/>
      <c r="M58"/>
      <c r="N58"/>
      <c r="O58"/>
      <c r="P58"/>
    </row>
    <row r="59" spans="1:17" x14ac:dyDescent="0.2">
      <c r="A59"/>
      <c r="B59"/>
      <c r="C59"/>
      <c r="D59"/>
      <c r="E59"/>
      <c r="F59"/>
      <c r="G59"/>
      <c r="H59"/>
      <c r="I59"/>
      <c r="J59"/>
      <c r="K59"/>
      <c r="L59"/>
      <c r="M59"/>
      <c r="N59"/>
      <c r="O59"/>
      <c r="P59"/>
    </row>
    <row r="60" spans="1:17" x14ac:dyDescent="0.2">
      <c r="A60"/>
      <c r="B60"/>
      <c r="C60"/>
      <c r="D60"/>
      <c r="E60"/>
      <c r="F60"/>
      <c r="G60"/>
      <c r="H60"/>
      <c r="I60"/>
      <c r="J60"/>
      <c r="K60"/>
      <c r="L60"/>
      <c r="M60"/>
      <c r="N60"/>
      <c r="O60"/>
      <c r="P60"/>
    </row>
    <row r="61" spans="1:17" x14ac:dyDescent="0.2">
      <c r="A61"/>
      <c r="B61"/>
      <c r="C61"/>
      <c r="D61"/>
      <c r="E61"/>
      <c r="F61"/>
      <c r="G61"/>
      <c r="H61"/>
      <c r="I61"/>
      <c r="J61"/>
      <c r="K61"/>
      <c r="L61"/>
      <c r="M61"/>
      <c r="N61"/>
      <c r="O61"/>
      <c r="P61"/>
    </row>
    <row r="62" spans="1:17" x14ac:dyDescent="0.2">
      <c r="A62"/>
      <c r="B62"/>
      <c r="C62"/>
      <c r="D62"/>
      <c r="E62"/>
      <c r="F62"/>
      <c r="G62"/>
      <c r="H62"/>
      <c r="I62"/>
      <c r="J62"/>
      <c r="K62"/>
      <c r="L62"/>
      <c r="M62"/>
      <c r="N62"/>
      <c r="O62"/>
      <c r="P62"/>
    </row>
    <row r="63" spans="1:17" x14ac:dyDescent="0.2">
      <c r="A63"/>
      <c r="B63"/>
      <c r="C63"/>
      <c r="D63"/>
      <c r="E63"/>
      <c r="F63"/>
      <c r="G63"/>
      <c r="H63"/>
      <c r="I63"/>
      <c r="J63"/>
      <c r="K63"/>
      <c r="L63"/>
      <c r="M63"/>
      <c r="N63"/>
      <c r="O63"/>
      <c r="P63"/>
    </row>
    <row r="64" spans="1:17" x14ac:dyDescent="0.2">
      <c r="A64"/>
      <c r="B64"/>
      <c r="C64"/>
      <c r="D64"/>
      <c r="E64"/>
      <c r="F64"/>
      <c r="G64"/>
      <c r="H64"/>
      <c r="I64"/>
      <c r="J64"/>
      <c r="K64"/>
      <c r="L64"/>
      <c r="M64"/>
      <c r="N64"/>
      <c r="O64"/>
      <c r="P64"/>
    </row>
    <row r="65" spans="1:16" x14ac:dyDescent="0.2">
      <c r="A65"/>
      <c r="B65"/>
      <c r="C65"/>
      <c r="D65"/>
      <c r="E65"/>
      <c r="F65"/>
      <c r="G65"/>
      <c r="H65"/>
      <c r="I65"/>
      <c r="J65"/>
      <c r="K65"/>
      <c r="L65"/>
      <c r="M65"/>
      <c r="N65"/>
      <c r="O65"/>
      <c r="P65"/>
    </row>
    <row r="66" spans="1:16" x14ac:dyDescent="0.2">
      <c r="A66"/>
      <c r="B66"/>
      <c r="C66"/>
      <c r="D66"/>
      <c r="E66"/>
      <c r="F66"/>
      <c r="G66"/>
      <c r="H66"/>
      <c r="I66"/>
      <c r="J66"/>
      <c r="K66"/>
      <c r="L66"/>
      <c r="M66"/>
      <c r="N66"/>
      <c r="O66"/>
      <c r="P66"/>
    </row>
    <row r="67" spans="1:16" x14ac:dyDescent="0.2">
      <c r="A67"/>
      <c r="B67"/>
      <c r="C67"/>
      <c r="D67"/>
      <c r="E67"/>
      <c r="F67"/>
      <c r="G67"/>
      <c r="H67"/>
      <c r="I67"/>
      <c r="J67"/>
      <c r="K67"/>
      <c r="L67"/>
      <c r="M67"/>
      <c r="N67"/>
      <c r="O67"/>
      <c r="P67"/>
    </row>
    <row r="68" spans="1:16" x14ac:dyDescent="0.2">
      <c r="A68"/>
      <c r="B68"/>
      <c r="C68"/>
      <c r="D68"/>
      <c r="E68"/>
      <c r="F68"/>
      <c r="G68"/>
      <c r="H68"/>
      <c r="I68"/>
      <c r="J68"/>
      <c r="K68"/>
      <c r="L68"/>
      <c r="M68"/>
      <c r="N68"/>
      <c r="O68"/>
      <c r="P68"/>
    </row>
    <row r="69" spans="1:16" x14ac:dyDescent="0.2">
      <c r="A69"/>
      <c r="B69"/>
      <c r="C69"/>
      <c r="D69"/>
      <c r="E69"/>
      <c r="F69"/>
      <c r="G69"/>
      <c r="H69"/>
      <c r="I69"/>
      <c r="J69"/>
      <c r="K69"/>
      <c r="L69"/>
      <c r="M69"/>
      <c r="N69"/>
      <c r="O69"/>
      <c r="P69"/>
    </row>
    <row r="70" spans="1:16" x14ac:dyDescent="0.2">
      <c r="A70"/>
      <c r="B70"/>
      <c r="C70"/>
      <c r="D70"/>
      <c r="E70"/>
      <c r="F70"/>
      <c r="G70"/>
      <c r="H70"/>
      <c r="I70"/>
      <c r="J70"/>
      <c r="K70"/>
      <c r="L70"/>
      <c r="M70"/>
      <c r="N70"/>
      <c r="O70"/>
      <c r="P70"/>
    </row>
    <row r="71" spans="1:16" x14ac:dyDescent="0.2">
      <c r="A71"/>
      <c r="B71"/>
      <c r="C71"/>
      <c r="D71"/>
      <c r="E71"/>
      <c r="F71"/>
      <c r="G71"/>
      <c r="H71"/>
      <c r="I71"/>
      <c r="J71"/>
      <c r="K71"/>
      <c r="L71"/>
      <c r="M71"/>
      <c r="N71"/>
      <c r="O71"/>
      <c r="P71"/>
    </row>
    <row r="72" spans="1:16" x14ac:dyDescent="0.2">
      <c r="A72"/>
      <c r="B72"/>
      <c r="C72"/>
      <c r="D72"/>
      <c r="E72"/>
      <c r="F72"/>
      <c r="G72"/>
      <c r="H72"/>
      <c r="I72"/>
      <c r="J72"/>
      <c r="K72"/>
      <c r="L72"/>
      <c r="M72"/>
      <c r="N72"/>
      <c r="O72"/>
      <c r="P72"/>
    </row>
    <row r="73" spans="1:16" x14ac:dyDescent="0.2">
      <c r="A73"/>
      <c r="B73"/>
      <c r="C73"/>
      <c r="D73"/>
      <c r="E73"/>
      <c r="F73"/>
      <c r="G73"/>
      <c r="H73"/>
      <c r="I73"/>
      <c r="J73"/>
      <c r="K73"/>
      <c r="L73"/>
      <c r="M73"/>
      <c r="N73"/>
      <c r="O73"/>
      <c r="P73"/>
    </row>
    <row r="74" spans="1:16" x14ac:dyDescent="0.2">
      <c r="A74"/>
      <c r="B74"/>
      <c r="C74"/>
      <c r="D74"/>
      <c r="E74"/>
      <c r="F74"/>
      <c r="G74"/>
      <c r="H74"/>
      <c r="I74"/>
      <c r="J74"/>
      <c r="K74"/>
      <c r="L74"/>
      <c r="M74"/>
      <c r="N74"/>
      <c r="O74"/>
      <c r="P74"/>
    </row>
    <row r="75" spans="1:16" x14ac:dyDescent="0.2">
      <c r="A75"/>
      <c r="B75"/>
      <c r="C75"/>
      <c r="D75"/>
      <c r="E75"/>
      <c r="F75"/>
      <c r="G75"/>
      <c r="H75"/>
      <c r="I75"/>
      <c r="J75"/>
      <c r="K75"/>
      <c r="L75"/>
      <c r="M75"/>
      <c r="N75"/>
      <c r="O75"/>
      <c r="P75"/>
    </row>
    <row r="76" spans="1:16" x14ac:dyDescent="0.2">
      <c r="A76"/>
      <c r="B76"/>
      <c r="C76"/>
      <c r="D76"/>
      <c r="E76"/>
      <c r="F76"/>
      <c r="G76"/>
      <c r="H76"/>
      <c r="I76"/>
      <c r="J76"/>
      <c r="K76"/>
      <c r="L76"/>
      <c r="M76"/>
      <c r="N76"/>
      <c r="O76"/>
      <c r="P76"/>
    </row>
    <row r="77" spans="1:16" x14ac:dyDescent="0.2">
      <c r="A77"/>
      <c r="B77"/>
      <c r="C77"/>
      <c r="D77"/>
      <c r="E77"/>
      <c r="F77"/>
      <c r="G77"/>
      <c r="H77"/>
      <c r="I77"/>
      <c r="J77"/>
      <c r="K77"/>
      <c r="L77"/>
      <c r="M77"/>
      <c r="N77"/>
      <c r="O77"/>
      <c r="P77"/>
    </row>
    <row r="78" spans="1:16" x14ac:dyDescent="0.2">
      <c r="A78"/>
      <c r="B78"/>
      <c r="C78"/>
      <c r="D78"/>
      <c r="E78"/>
      <c r="F78"/>
      <c r="G78"/>
      <c r="H78"/>
      <c r="I78"/>
      <c r="J78"/>
      <c r="K78"/>
      <c r="L78"/>
      <c r="M78"/>
      <c r="N78"/>
      <c r="O78"/>
      <c r="P78"/>
    </row>
    <row r="79" spans="1:16" x14ac:dyDescent="0.2">
      <c r="A79"/>
      <c r="B79"/>
      <c r="C79"/>
      <c r="D79"/>
      <c r="E79"/>
      <c r="F79"/>
      <c r="G79"/>
      <c r="H79"/>
      <c r="I79"/>
      <c r="J79"/>
      <c r="K79"/>
      <c r="L79"/>
      <c r="M79"/>
      <c r="N79"/>
      <c r="O79"/>
      <c r="P79"/>
    </row>
    <row r="80" spans="1:16" x14ac:dyDescent="0.2">
      <c r="A80"/>
      <c r="B80"/>
      <c r="C80"/>
      <c r="D80"/>
      <c r="E80"/>
      <c r="F80"/>
      <c r="G80"/>
      <c r="H80"/>
      <c r="I80"/>
      <c r="J80"/>
      <c r="K80"/>
      <c r="L80"/>
      <c r="M80"/>
      <c r="N80"/>
      <c r="O80"/>
      <c r="P80"/>
    </row>
    <row r="81" spans="1:16" x14ac:dyDescent="0.2">
      <c r="A81"/>
      <c r="B81"/>
      <c r="C81"/>
      <c r="D81"/>
      <c r="E81"/>
      <c r="F81"/>
      <c r="G81"/>
      <c r="H81"/>
      <c r="I81"/>
      <c r="J81"/>
      <c r="K81"/>
      <c r="L81"/>
      <c r="M81"/>
      <c r="N81"/>
      <c r="O81"/>
      <c r="P81"/>
    </row>
    <row r="82" spans="1:16" x14ac:dyDescent="0.2">
      <c r="A82"/>
      <c r="B82"/>
      <c r="C82"/>
      <c r="D82"/>
      <c r="E82"/>
      <c r="F82"/>
      <c r="G82"/>
      <c r="H82"/>
      <c r="I82"/>
      <c r="J82"/>
      <c r="K82"/>
      <c r="L82"/>
      <c r="M82"/>
      <c r="N82"/>
      <c r="O82"/>
      <c r="P82"/>
    </row>
    <row r="83" spans="1:16" x14ac:dyDescent="0.2">
      <c r="A83"/>
      <c r="B83"/>
      <c r="C83"/>
      <c r="D83"/>
      <c r="E83"/>
      <c r="F83"/>
      <c r="G83"/>
      <c r="H83"/>
      <c r="I83"/>
      <c r="J83"/>
      <c r="K83"/>
      <c r="L83"/>
      <c r="M83"/>
      <c r="N83"/>
      <c r="O83"/>
      <c r="P83"/>
    </row>
    <row r="84" spans="1:16" x14ac:dyDescent="0.2">
      <c r="A84"/>
      <c r="B84"/>
      <c r="C84"/>
      <c r="D84"/>
      <c r="E84"/>
      <c r="F84"/>
      <c r="G84"/>
      <c r="H84"/>
      <c r="I84"/>
      <c r="J84"/>
      <c r="K84"/>
      <c r="L84"/>
      <c r="M84"/>
      <c r="N84"/>
      <c r="O84"/>
      <c r="P84"/>
    </row>
    <row r="85" spans="1:16" x14ac:dyDescent="0.2">
      <c r="A85"/>
      <c r="B85"/>
      <c r="C85"/>
      <c r="D85"/>
      <c r="E85"/>
      <c r="F85"/>
      <c r="G85"/>
      <c r="H85"/>
      <c r="I85"/>
      <c r="J85"/>
      <c r="K85"/>
      <c r="L85"/>
      <c r="M85"/>
      <c r="N85"/>
      <c r="O85"/>
      <c r="P85"/>
    </row>
    <row r="86" spans="1:16" x14ac:dyDescent="0.2">
      <c r="A86"/>
      <c r="B86"/>
      <c r="C86"/>
      <c r="D86"/>
      <c r="E86"/>
      <c r="F86"/>
      <c r="G86"/>
      <c r="H86"/>
      <c r="I86"/>
      <c r="J86"/>
      <c r="K86"/>
      <c r="L86"/>
      <c r="M86"/>
      <c r="N86"/>
      <c r="O86"/>
      <c r="P86"/>
    </row>
  </sheetData>
  <sheetProtection algorithmName="SHA-512" hashValue="+aS2W/huddYXtQ1pgRbdC9mDTg2r2KlRbEuoosLbTs868VGVY0ER/lMAP9Uyko94ScSd/19rQkIWqLPsK5qc/g==" saltValue="XUK6E3HRO+jEbU4lT1SXUg==" spinCount="100000" sheet="1" scenarios="1" formatCells="0" formatColumns="0" formatRows="0" sort="0" autoFilter="0" pivotTables="0"/>
  <mergeCells count="1">
    <mergeCell ref="B37:I37"/>
  </mergeCells>
  <hyperlinks>
    <hyperlink ref="A2" location="'Table of Contents'!A1" display="Back to Table of Contents" xr:uid="{00000000-0004-0000-71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AF18"/>
  <sheetViews>
    <sheetView workbookViewId="0">
      <selection activeCell="B13" sqref="B13"/>
    </sheetView>
  </sheetViews>
  <sheetFormatPr defaultRowHeight="12.75" x14ac:dyDescent="0.2"/>
  <cols>
    <col min="1" max="1" width="21.140625" bestFit="1" customWidth="1"/>
    <col min="2" max="2" width="26.140625" bestFit="1" customWidth="1"/>
    <col min="3" max="3" width="24.7109375" bestFit="1" customWidth="1"/>
    <col min="4" max="4" width="20" bestFit="1" customWidth="1"/>
    <col min="5" max="5" width="15.5703125" bestFit="1" customWidth="1"/>
    <col min="6" max="6" width="26.85546875" bestFit="1" customWidth="1"/>
    <col min="7" max="7" width="42.140625" bestFit="1" customWidth="1"/>
    <col min="8" max="8" width="30.42578125" bestFit="1" customWidth="1"/>
    <col min="9" max="9" width="16.28515625" bestFit="1" customWidth="1"/>
    <col min="10" max="10" width="41.85546875" bestFit="1" customWidth="1"/>
    <col min="11" max="11" width="38" bestFit="1" customWidth="1"/>
    <col min="12" max="12" width="26" bestFit="1" customWidth="1"/>
    <col min="13" max="13" width="44.140625" bestFit="1" customWidth="1"/>
    <col min="14" max="14" width="38.5703125" bestFit="1" customWidth="1"/>
    <col min="15" max="15" width="47" bestFit="1" customWidth="1"/>
    <col min="16" max="16" width="46.85546875" bestFit="1" customWidth="1"/>
    <col min="17" max="17" width="31.28515625" bestFit="1" customWidth="1"/>
    <col min="18" max="18" width="22.7109375" bestFit="1" customWidth="1"/>
    <col min="19" max="19" width="26.5703125" bestFit="1" customWidth="1"/>
    <col min="20" max="20" width="41.42578125" bestFit="1" customWidth="1"/>
    <col min="21" max="21" width="23.85546875" bestFit="1" customWidth="1"/>
    <col min="22" max="22" width="29.140625" bestFit="1" customWidth="1"/>
    <col min="23" max="23" width="24.7109375" bestFit="1" customWidth="1"/>
    <col min="24" max="24" width="35.42578125" bestFit="1" customWidth="1"/>
    <col min="25" max="25" width="34.85546875" bestFit="1" customWidth="1"/>
    <col min="26" max="26" width="34.42578125" bestFit="1" customWidth="1"/>
    <col min="27" max="27" width="40.7109375" bestFit="1" customWidth="1"/>
    <col min="28" max="28" width="49.7109375" bestFit="1" customWidth="1"/>
    <col min="29" max="29" width="53.5703125" bestFit="1" customWidth="1"/>
    <col min="30" max="30" width="40" bestFit="1" customWidth="1"/>
    <col min="31" max="31" width="24.140625" bestFit="1" customWidth="1"/>
    <col min="32" max="32" width="11.140625" bestFit="1" customWidth="1"/>
    <col min="34" max="34" width="6" bestFit="1" customWidth="1"/>
    <col min="36" max="36" width="6" bestFit="1" customWidth="1"/>
    <col min="38" max="38" width="6" bestFit="1" customWidth="1"/>
    <col min="40" max="40" width="6" bestFit="1" customWidth="1"/>
    <col min="42" max="42" width="11.7109375" bestFit="1" customWidth="1"/>
  </cols>
  <sheetData>
    <row r="2" spans="1:32" x14ac:dyDescent="0.2">
      <c r="A2" s="234" t="s">
        <v>1486</v>
      </c>
      <c r="B2" t="s">
        <v>97</v>
      </c>
    </row>
    <row r="4" spans="1:32" x14ac:dyDescent="0.2">
      <c r="A4" s="234" t="s">
        <v>374</v>
      </c>
      <c r="B4" s="234" t="s">
        <v>336</v>
      </c>
    </row>
    <row r="5" spans="1:32" x14ac:dyDescent="0.2">
      <c r="A5" s="234" t="s">
        <v>326</v>
      </c>
      <c r="B5" t="s">
        <v>1487</v>
      </c>
      <c r="C5" t="s">
        <v>1488</v>
      </c>
      <c r="D5" t="s">
        <v>1489</v>
      </c>
      <c r="E5" t="s">
        <v>1490</v>
      </c>
      <c r="F5" t="s">
        <v>1491</v>
      </c>
      <c r="G5" t="s">
        <v>1492</v>
      </c>
      <c r="H5" t="s">
        <v>1493</v>
      </c>
      <c r="I5" t="s">
        <v>1494</v>
      </c>
      <c r="J5" t="s">
        <v>1495</v>
      </c>
      <c r="K5" t="s">
        <v>1496</v>
      </c>
      <c r="L5" t="s">
        <v>1497</v>
      </c>
      <c r="M5" t="s">
        <v>1498</v>
      </c>
      <c r="N5" t="s">
        <v>1499</v>
      </c>
      <c r="O5" t="s">
        <v>1500</v>
      </c>
      <c r="P5" t="s">
        <v>1501</v>
      </c>
      <c r="Q5" t="s">
        <v>1502</v>
      </c>
      <c r="R5" t="s">
        <v>1503</v>
      </c>
      <c r="S5" t="s">
        <v>1504</v>
      </c>
      <c r="T5" t="s">
        <v>1505</v>
      </c>
      <c r="U5" t="s">
        <v>1506</v>
      </c>
      <c r="V5" t="s">
        <v>1507</v>
      </c>
      <c r="W5" t="s">
        <v>1508</v>
      </c>
      <c r="X5" t="s">
        <v>1509</v>
      </c>
      <c r="Y5" t="s">
        <v>1510</v>
      </c>
      <c r="Z5" t="s">
        <v>1511</v>
      </c>
      <c r="AA5" t="s">
        <v>1512</v>
      </c>
      <c r="AB5" t="s">
        <v>1513</v>
      </c>
      <c r="AC5" t="s">
        <v>1514</v>
      </c>
      <c r="AD5" t="s">
        <v>1515</v>
      </c>
      <c r="AE5" t="s">
        <v>1516</v>
      </c>
      <c r="AF5" t="s">
        <v>333</v>
      </c>
    </row>
    <row r="6" spans="1:32" x14ac:dyDescent="0.2">
      <c r="A6" s="235" t="s">
        <v>19</v>
      </c>
      <c r="B6">
        <v>18</v>
      </c>
      <c r="C6">
        <v>28</v>
      </c>
      <c r="D6">
        <v>4</v>
      </c>
      <c r="H6">
        <v>3</v>
      </c>
      <c r="K6">
        <v>1</v>
      </c>
      <c r="Q6">
        <v>1</v>
      </c>
      <c r="Y6">
        <v>2</v>
      </c>
      <c r="AF6">
        <v>57</v>
      </c>
    </row>
    <row r="7" spans="1:32" x14ac:dyDescent="0.2">
      <c r="A7" s="235" t="s">
        <v>20</v>
      </c>
      <c r="B7">
        <v>17</v>
      </c>
      <c r="C7">
        <v>21</v>
      </c>
      <c r="D7">
        <v>4</v>
      </c>
      <c r="E7">
        <v>1</v>
      </c>
      <c r="G7">
        <v>1</v>
      </c>
      <c r="H7">
        <v>1</v>
      </c>
      <c r="J7">
        <v>1</v>
      </c>
      <c r="Z7">
        <v>1</v>
      </c>
      <c r="AC7">
        <v>1</v>
      </c>
      <c r="AF7">
        <v>48</v>
      </c>
    </row>
    <row r="8" spans="1:32" x14ac:dyDescent="0.2">
      <c r="A8" s="235" t="s">
        <v>13</v>
      </c>
      <c r="B8">
        <v>21</v>
      </c>
      <c r="C8">
        <v>25</v>
      </c>
      <c r="D8">
        <v>3</v>
      </c>
      <c r="G8">
        <v>1</v>
      </c>
      <c r="H8">
        <v>1</v>
      </c>
      <c r="J8">
        <v>1</v>
      </c>
      <c r="L8">
        <v>1</v>
      </c>
      <c r="R8">
        <v>1</v>
      </c>
      <c r="U8">
        <v>1</v>
      </c>
      <c r="AF8">
        <v>55</v>
      </c>
    </row>
    <row r="9" spans="1:32" x14ac:dyDescent="0.2">
      <c r="A9" s="235" t="s">
        <v>15</v>
      </c>
      <c r="B9">
        <v>19</v>
      </c>
      <c r="C9">
        <v>14</v>
      </c>
      <c r="D9">
        <v>6</v>
      </c>
      <c r="G9">
        <v>1</v>
      </c>
      <c r="Z9">
        <v>1</v>
      </c>
      <c r="AC9">
        <v>1</v>
      </c>
      <c r="AF9">
        <v>42</v>
      </c>
    </row>
    <row r="10" spans="1:32" x14ac:dyDescent="0.2">
      <c r="A10" s="235" t="s">
        <v>17</v>
      </c>
      <c r="B10">
        <v>14</v>
      </c>
      <c r="C10">
        <v>11</v>
      </c>
      <c r="D10">
        <v>2</v>
      </c>
      <c r="G10">
        <v>2</v>
      </c>
      <c r="R10">
        <v>1</v>
      </c>
      <c r="AF10">
        <v>30</v>
      </c>
    </row>
    <row r="11" spans="1:32" x14ac:dyDescent="0.2">
      <c r="A11" s="235" t="s">
        <v>133</v>
      </c>
      <c r="B11">
        <v>16</v>
      </c>
      <c r="C11">
        <v>11</v>
      </c>
      <c r="G11">
        <v>2</v>
      </c>
      <c r="H11">
        <v>1</v>
      </c>
      <c r="I11">
        <v>1</v>
      </c>
      <c r="O11">
        <v>1</v>
      </c>
      <c r="Q11">
        <v>1</v>
      </c>
      <c r="Z11">
        <v>1</v>
      </c>
      <c r="AF11">
        <v>34</v>
      </c>
    </row>
    <row r="12" spans="1:32" x14ac:dyDescent="0.2">
      <c r="A12" s="235" t="s">
        <v>144</v>
      </c>
      <c r="B12">
        <v>21</v>
      </c>
      <c r="C12">
        <v>12</v>
      </c>
      <c r="D12">
        <v>6</v>
      </c>
      <c r="U12">
        <v>1</v>
      </c>
      <c r="V12">
        <v>1</v>
      </c>
      <c r="X12">
        <v>1</v>
      </c>
      <c r="AF12">
        <v>42</v>
      </c>
    </row>
    <row r="13" spans="1:32" x14ac:dyDescent="0.2">
      <c r="A13" s="235" t="s">
        <v>282</v>
      </c>
      <c r="B13">
        <v>18</v>
      </c>
      <c r="C13">
        <v>11</v>
      </c>
      <c r="D13">
        <v>4</v>
      </c>
      <c r="G13">
        <v>2</v>
      </c>
      <c r="H13">
        <v>1</v>
      </c>
      <c r="Y13">
        <v>1</v>
      </c>
      <c r="Z13">
        <v>2</v>
      </c>
      <c r="AF13">
        <v>39</v>
      </c>
    </row>
    <row r="14" spans="1:32" x14ac:dyDescent="0.2">
      <c r="A14" s="235" t="s">
        <v>311</v>
      </c>
      <c r="B14">
        <v>19</v>
      </c>
      <c r="C14">
        <v>11</v>
      </c>
      <c r="D14">
        <v>4</v>
      </c>
      <c r="G14">
        <v>2</v>
      </c>
      <c r="I14">
        <v>1</v>
      </c>
      <c r="V14">
        <v>2</v>
      </c>
      <c r="AE14">
        <v>1</v>
      </c>
      <c r="AF14">
        <v>40</v>
      </c>
    </row>
    <row r="15" spans="1:32" x14ac:dyDescent="0.2">
      <c r="A15" s="235" t="s">
        <v>621</v>
      </c>
      <c r="B15">
        <v>24</v>
      </c>
      <c r="C15">
        <v>11</v>
      </c>
      <c r="H15">
        <v>5</v>
      </c>
      <c r="Y15">
        <v>1</v>
      </c>
      <c r="AF15">
        <v>41</v>
      </c>
    </row>
    <row r="16" spans="1:32" x14ac:dyDescent="0.2">
      <c r="A16" s="235" t="s">
        <v>1419</v>
      </c>
      <c r="B16">
        <v>8</v>
      </c>
      <c r="C16">
        <v>6</v>
      </c>
      <c r="D16">
        <v>3</v>
      </c>
      <c r="G16">
        <v>4</v>
      </c>
      <c r="N16">
        <v>1</v>
      </c>
      <c r="R16">
        <v>1</v>
      </c>
      <c r="AC16">
        <v>1</v>
      </c>
      <c r="AF16">
        <v>24</v>
      </c>
    </row>
    <row r="17" spans="1:32" x14ac:dyDescent="0.2">
      <c r="A17" s="235" t="s">
        <v>1572</v>
      </c>
      <c r="B17">
        <v>24</v>
      </c>
      <c r="C17">
        <v>14</v>
      </c>
      <c r="D17">
        <v>3</v>
      </c>
      <c r="G17">
        <v>2</v>
      </c>
      <c r="H17">
        <v>1</v>
      </c>
      <c r="J17">
        <v>1</v>
      </c>
      <c r="Z17">
        <v>1</v>
      </c>
      <c r="AF17">
        <v>46</v>
      </c>
    </row>
    <row r="18" spans="1:32" x14ac:dyDescent="0.2">
      <c r="A18" s="235" t="s">
        <v>333</v>
      </c>
      <c r="B18">
        <v>219</v>
      </c>
      <c r="C18">
        <v>175</v>
      </c>
      <c r="D18">
        <v>39</v>
      </c>
      <c r="E18">
        <v>1</v>
      </c>
      <c r="G18">
        <v>17</v>
      </c>
      <c r="H18">
        <v>13</v>
      </c>
      <c r="I18">
        <v>2</v>
      </c>
      <c r="J18">
        <v>3</v>
      </c>
      <c r="K18">
        <v>1</v>
      </c>
      <c r="L18">
        <v>1</v>
      </c>
      <c r="N18">
        <v>1</v>
      </c>
      <c r="O18">
        <v>1</v>
      </c>
      <c r="Q18">
        <v>2</v>
      </c>
      <c r="R18">
        <v>3</v>
      </c>
      <c r="U18">
        <v>2</v>
      </c>
      <c r="V18">
        <v>3</v>
      </c>
      <c r="X18">
        <v>1</v>
      </c>
      <c r="Y18">
        <v>4</v>
      </c>
      <c r="Z18">
        <v>6</v>
      </c>
      <c r="AC18">
        <v>3</v>
      </c>
      <c r="AE18">
        <v>1</v>
      </c>
      <c r="AF18">
        <v>498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BF8F00"/>
  </sheetPr>
  <dimension ref="A1:Y129"/>
  <sheetViews>
    <sheetView showGridLines="0" workbookViewId="0">
      <pane ySplit="2" topLeftCell="A3" activePane="bottomLeft" state="frozen"/>
      <selection pane="bottomLeft"/>
    </sheetView>
  </sheetViews>
  <sheetFormatPr defaultRowHeight="12.75" x14ac:dyDescent="0.2"/>
  <cols>
    <col min="1" max="1" width="18.140625" style="1" customWidth="1"/>
    <col min="2" max="8" width="15.140625" style="1" customWidth="1"/>
    <col min="9" max="9" width="8.5703125" style="1" customWidth="1"/>
    <col min="10" max="10" width="9.140625" style="1" customWidth="1"/>
    <col min="11" max="233" width="9.140625" style="1"/>
    <col min="234" max="234" width="20" style="1" customWidth="1"/>
    <col min="235" max="235" width="11.7109375" style="1" customWidth="1"/>
    <col min="236" max="236" width="11.140625" style="1" customWidth="1"/>
    <col min="237" max="237" width="11.42578125" style="1" customWidth="1"/>
    <col min="238" max="238" width="12.140625" style="1" customWidth="1"/>
    <col min="239" max="239" width="9.140625" style="1"/>
    <col min="240" max="240" width="13.140625" style="1" customWidth="1"/>
    <col min="241" max="241" width="9.140625" style="1"/>
    <col min="242" max="242" width="12.28515625" style="1" customWidth="1"/>
    <col min="243" max="243" width="14.28515625" style="1" customWidth="1"/>
    <col min="244" max="244" width="10.140625" style="1" customWidth="1"/>
    <col min="245" max="245" width="9.140625" style="1"/>
    <col min="246" max="246" width="12.42578125" style="1" customWidth="1"/>
    <col min="247" max="247" width="9.140625" style="1"/>
    <col min="248" max="248" width="11.28515625" style="1" customWidth="1"/>
    <col min="249" max="249" width="10.140625" style="1" customWidth="1"/>
    <col min="250" max="489" width="9.140625" style="1"/>
    <col min="490" max="490" width="20" style="1" customWidth="1"/>
    <col min="491" max="491" width="11.7109375" style="1" customWidth="1"/>
    <col min="492" max="492" width="11.140625" style="1" customWidth="1"/>
    <col min="493" max="493" width="11.42578125" style="1" customWidth="1"/>
    <col min="494" max="494" width="12.140625" style="1" customWidth="1"/>
    <col min="495" max="495" width="9.140625" style="1"/>
    <col min="496" max="496" width="13.140625" style="1" customWidth="1"/>
    <col min="497" max="497" width="9.140625" style="1"/>
    <col min="498" max="498" width="12.28515625" style="1" customWidth="1"/>
    <col min="499" max="499" width="14.28515625" style="1" customWidth="1"/>
    <col min="500" max="500" width="10.140625" style="1" customWidth="1"/>
    <col min="501" max="501" width="9.140625" style="1"/>
    <col min="502" max="502" width="12.42578125" style="1" customWidth="1"/>
    <col min="503" max="503" width="9.140625" style="1"/>
    <col min="504" max="504" width="11.28515625" style="1" customWidth="1"/>
    <col min="505" max="505" width="10.140625" style="1" customWidth="1"/>
    <col min="506" max="745" width="9.140625" style="1"/>
    <col min="746" max="746" width="20" style="1" customWidth="1"/>
    <col min="747" max="747" width="11.7109375" style="1" customWidth="1"/>
    <col min="748" max="748" width="11.140625" style="1" customWidth="1"/>
    <col min="749" max="749" width="11.42578125" style="1" customWidth="1"/>
    <col min="750" max="750" width="12.140625" style="1" customWidth="1"/>
    <col min="751" max="751" width="9.140625" style="1"/>
    <col min="752" max="752" width="13.140625" style="1" customWidth="1"/>
    <col min="753" max="753" width="9.140625" style="1"/>
    <col min="754" max="754" width="12.28515625" style="1" customWidth="1"/>
    <col min="755" max="755" width="14.28515625" style="1" customWidth="1"/>
    <col min="756" max="756" width="10.140625" style="1" customWidth="1"/>
    <col min="757" max="757" width="9.140625" style="1"/>
    <col min="758" max="758" width="12.42578125" style="1" customWidth="1"/>
    <col min="759" max="759" width="9.140625" style="1"/>
    <col min="760" max="760" width="11.28515625" style="1" customWidth="1"/>
    <col min="761" max="761" width="10.140625" style="1" customWidth="1"/>
    <col min="762" max="1001" width="9.140625" style="1"/>
    <col min="1002" max="1002" width="20" style="1" customWidth="1"/>
    <col min="1003" max="1003" width="11.7109375" style="1" customWidth="1"/>
    <col min="1004" max="1004" width="11.140625" style="1" customWidth="1"/>
    <col min="1005" max="1005" width="11.42578125" style="1" customWidth="1"/>
    <col min="1006" max="1006" width="12.140625" style="1" customWidth="1"/>
    <col min="1007" max="1007" width="9.140625" style="1"/>
    <col min="1008" max="1008" width="13.140625" style="1" customWidth="1"/>
    <col min="1009" max="1009" width="9.140625" style="1"/>
    <col min="1010" max="1010" width="12.28515625" style="1" customWidth="1"/>
    <col min="1011" max="1011" width="14.28515625" style="1" customWidth="1"/>
    <col min="1012" max="1012" width="10.140625" style="1" customWidth="1"/>
    <col min="1013" max="1013" width="9.140625" style="1"/>
    <col min="1014" max="1014" width="12.42578125" style="1" customWidth="1"/>
    <col min="1015" max="1015" width="9.140625" style="1"/>
    <col min="1016" max="1016" width="11.28515625" style="1" customWidth="1"/>
    <col min="1017" max="1017" width="10.140625" style="1" customWidth="1"/>
    <col min="1018" max="1257" width="9.140625" style="1"/>
    <col min="1258" max="1258" width="20" style="1" customWidth="1"/>
    <col min="1259" max="1259" width="11.7109375" style="1" customWidth="1"/>
    <col min="1260" max="1260" width="11.140625" style="1" customWidth="1"/>
    <col min="1261" max="1261" width="11.42578125" style="1" customWidth="1"/>
    <col min="1262" max="1262" width="12.140625" style="1" customWidth="1"/>
    <col min="1263" max="1263" width="9.140625" style="1"/>
    <col min="1264" max="1264" width="13.140625" style="1" customWidth="1"/>
    <col min="1265" max="1265" width="9.140625" style="1"/>
    <col min="1266" max="1266" width="12.28515625" style="1" customWidth="1"/>
    <col min="1267" max="1267" width="14.28515625" style="1" customWidth="1"/>
    <col min="1268" max="1268" width="10.140625" style="1" customWidth="1"/>
    <col min="1269" max="1269" width="9.140625" style="1"/>
    <col min="1270" max="1270" width="12.42578125" style="1" customWidth="1"/>
    <col min="1271" max="1271" width="9.140625" style="1"/>
    <col min="1272" max="1272" width="11.28515625" style="1" customWidth="1"/>
    <col min="1273" max="1273" width="10.140625" style="1" customWidth="1"/>
    <col min="1274" max="1513" width="9.140625" style="1"/>
    <col min="1514" max="1514" width="20" style="1" customWidth="1"/>
    <col min="1515" max="1515" width="11.7109375" style="1" customWidth="1"/>
    <col min="1516" max="1516" width="11.140625" style="1" customWidth="1"/>
    <col min="1517" max="1517" width="11.42578125" style="1" customWidth="1"/>
    <col min="1518" max="1518" width="12.140625" style="1" customWidth="1"/>
    <col min="1519" max="1519" width="9.140625" style="1"/>
    <col min="1520" max="1520" width="13.140625" style="1" customWidth="1"/>
    <col min="1521" max="1521" width="9.140625" style="1"/>
    <col min="1522" max="1522" width="12.28515625" style="1" customWidth="1"/>
    <col min="1523" max="1523" width="14.28515625" style="1" customWidth="1"/>
    <col min="1524" max="1524" width="10.140625" style="1" customWidth="1"/>
    <col min="1525" max="1525" width="9.140625" style="1"/>
    <col min="1526" max="1526" width="12.42578125" style="1" customWidth="1"/>
    <col min="1527" max="1527" width="9.140625" style="1"/>
    <col min="1528" max="1528" width="11.28515625" style="1" customWidth="1"/>
    <col min="1529" max="1529" width="10.140625" style="1" customWidth="1"/>
    <col min="1530" max="1769" width="9.140625" style="1"/>
    <col min="1770" max="1770" width="20" style="1" customWidth="1"/>
    <col min="1771" max="1771" width="11.7109375" style="1" customWidth="1"/>
    <col min="1772" max="1772" width="11.140625" style="1" customWidth="1"/>
    <col min="1773" max="1773" width="11.42578125" style="1" customWidth="1"/>
    <col min="1774" max="1774" width="12.140625" style="1" customWidth="1"/>
    <col min="1775" max="1775" width="9.140625" style="1"/>
    <col min="1776" max="1776" width="13.140625" style="1" customWidth="1"/>
    <col min="1777" max="1777" width="9.140625" style="1"/>
    <col min="1778" max="1778" width="12.28515625" style="1" customWidth="1"/>
    <col min="1779" max="1779" width="14.28515625" style="1" customWidth="1"/>
    <col min="1780" max="1780" width="10.140625" style="1" customWidth="1"/>
    <col min="1781" max="1781" width="9.140625" style="1"/>
    <col min="1782" max="1782" width="12.42578125" style="1" customWidth="1"/>
    <col min="1783" max="1783" width="9.140625" style="1"/>
    <col min="1784" max="1784" width="11.28515625" style="1" customWidth="1"/>
    <col min="1785" max="1785" width="10.140625" style="1" customWidth="1"/>
    <col min="1786" max="2025" width="9.140625" style="1"/>
    <col min="2026" max="2026" width="20" style="1" customWidth="1"/>
    <col min="2027" max="2027" width="11.7109375" style="1" customWidth="1"/>
    <col min="2028" max="2028" width="11.140625" style="1" customWidth="1"/>
    <col min="2029" max="2029" width="11.42578125" style="1" customWidth="1"/>
    <col min="2030" max="2030" width="12.140625" style="1" customWidth="1"/>
    <col min="2031" max="2031" width="9.140625" style="1"/>
    <col min="2032" max="2032" width="13.140625" style="1" customWidth="1"/>
    <col min="2033" max="2033" width="9.140625" style="1"/>
    <col min="2034" max="2034" width="12.28515625" style="1" customWidth="1"/>
    <col min="2035" max="2035" width="14.28515625" style="1" customWidth="1"/>
    <col min="2036" max="2036" width="10.140625" style="1" customWidth="1"/>
    <col min="2037" max="2037" width="9.140625" style="1"/>
    <col min="2038" max="2038" width="12.42578125" style="1" customWidth="1"/>
    <col min="2039" max="2039" width="9.140625" style="1"/>
    <col min="2040" max="2040" width="11.28515625" style="1" customWidth="1"/>
    <col min="2041" max="2041" width="10.140625" style="1" customWidth="1"/>
    <col min="2042" max="2281" width="9.140625" style="1"/>
    <col min="2282" max="2282" width="20" style="1" customWidth="1"/>
    <col min="2283" max="2283" width="11.7109375" style="1" customWidth="1"/>
    <col min="2284" max="2284" width="11.140625" style="1" customWidth="1"/>
    <col min="2285" max="2285" width="11.42578125" style="1" customWidth="1"/>
    <col min="2286" max="2286" width="12.140625" style="1" customWidth="1"/>
    <col min="2287" max="2287" width="9.140625" style="1"/>
    <col min="2288" max="2288" width="13.140625" style="1" customWidth="1"/>
    <col min="2289" max="2289" width="9.140625" style="1"/>
    <col min="2290" max="2290" width="12.28515625" style="1" customWidth="1"/>
    <col min="2291" max="2291" width="14.28515625" style="1" customWidth="1"/>
    <col min="2292" max="2292" width="10.140625" style="1" customWidth="1"/>
    <col min="2293" max="2293" width="9.140625" style="1"/>
    <col min="2294" max="2294" width="12.42578125" style="1" customWidth="1"/>
    <col min="2295" max="2295" width="9.140625" style="1"/>
    <col min="2296" max="2296" width="11.28515625" style="1" customWidth="1"/>
    <col min="2297" max="2297" width="10.140625" style="1" customWidth="1"/>
    <col min="2298" max="2537" width="9.140625" style="1"/>
    <col min="2538" max="2538" width="20" style="1" customWidth="1"/>
    <col min="2539" max="2539" width="11.7109375" style="1" customWidth="1"/>
    <col min="2540" max="2540" width="11.140625" style="1" customWidth="1"/>
    <col min="2541" max="2541" width="11.42578125" style="1" customWidth="1"/>
    <col min="2542" max="2542" width="12.140625" style="1" customWidth="1"/>
    <col min="2543" max="2543" width="9.140625" style="1"/>
    <col min="2544" max="2544" width="13.140625" style="1" customWidth="1"/>
    <col min="2545" max="2545" width="9.140625" style="1"/>
    <col min="2546" max="2546" width="12.28515625" style="1" customWidth="1"/>
    <col min="2547" max="2547" width="14.28515625" style="1" customWidth="1"/>
    <col min="2548" max="2548" width="10.140625" style="1" customWidth="1"/>
    <col min="2549" max="2549" width="9.140625" style="1"/>
    <col min="2550" max="2550" width="12.42578125" style="1" customWidth="1"/>
    <col min="2551" max="2551" width="9.140625" style="1"/>
    <col min="2552" max="2552" width="11.28515625" style="1" customWidth="1"/>
    <col min="2553" max="2553" width="10.140625" style="1" customWidth="1"/>
    <col min="2554" max="2793" width="9.140625" style="1"/>
    <col min="2794" max="2794" width="20" style="1" customWidth="1"/>
    <col min="2795" max="2795" width="11.7109375" style="1" customWidth="1"/>
    <col min="2796" max="2796" width="11.140625" style="1" customWidth="1"/>
    <col min="2797" max="2797" width="11.42578125" style="1" customWidth="1"/>
    <col min="2798" max="2798" width="12.140625" style="1" customWidth="1"/>
    <col min="2799" max="2799" width="9.140625" style="1"/>
    <col min="2800" max="2800" width="13.140625" style="1" customWidth="1"/>
    <col min="2801" max="2801" width="9.140625" style="1"/>
    <col min="2802" max="2802" width="12.28515625" style="1" customWidth="1"/>
    <col min="2803" max="2803" width="14.28515625" style="1" customWidth="1"/>
    <col min="2804" max="2804" width="10.140625" style="1" customWidth="1"/>
    <col min="2805" max="2805" width="9.140625" style="1"/>
    <col min="2806" max="2806" width="12.42578125" style="1" customWidth="1"/>
    <col min="2807" max="2807" width="9.140625" style="1"/>
    <col min="2808" max="2808" width="11.28515625" style="1" customWidth="1"/>
    <col min="2809" max="2809" width="10.140625" style="1" customWidth="1"/>
    <col min="2810" max="3049" width="9.140625" style="1"/>
    <col min="3050" max="3050" width="20" style="1" customWidth="1"/>
    <col min="3051" max="3051" width="11.7109375" style="1" customWidth="1"/>
    <col min="3052" max="3052" width="11.140625" style="1" customWidth="1"/>
    <col min="3053" max="3053" width="11.42578125" style="1" customWidth="1"/>
    <col min="3054" max="3054" width="12.140625" style="1" customWidth="1"/>
    <col min="3055" max="3055" width="9.140625" style="1"/>
    <col min="3056" max="3056" width="13.140625" style="1" customWidth="1"/>
    <col min="3057" max="3057" width="9.140625" style="1"/>
    <col min="3058" max="3058" width="12.28515625" style="1" customWidth="1"/>
    <col min="3059" max="3059" width="14.28515625" style="1" customWidth="1"/>
    <col min="3060" max="3060" width="10.140625" style="1" customWidth="1"/>
    <col min="3061" max="3061" width="9.140625" style="1"/>
    <col min="3062" max="3062" width="12.42578125" style="1" customWidth="1"/>
    <col min="3063" max="3063" width="9.140625" style="1"/>
    <col min="3064" max="3064" width="11.28515625" style="1" customWidth="1"/>
    <col min="3065" max="3065" width="10.140625" style="1" customWidth="1"/>
    <col min="3066" max="3305" width="9.140625" style="1"/>
    <col min="3306" max="3306" width="20" style="1" customWidth="1"/>
    <col min="3307" max="3307" width="11.7109375" style="1" customWidth="1"/>
    <col min="3308" max="3308" width="11.140625" style="1" customWidth="1"/>
    <col min="3309" max="3309" width="11.42578125" style="1" customWidth="1"/>
    <col min="3310" max="3310" width="12.140625" style="1" customWidth="1"/>
    <col min="3311" max="3311" width="9.140625" style="1"/>
    <col min="3312" max="3312" width="13.140625" style="1" customWidth="1"/>
    <col min="3313" max="3313" width="9.140625" style="1"/>
    <col min="3314" max="3314" width="12.28515625" style="1" customWidth="1"/>
    <col min="3315" max="3315" width="14.28515625" style="1" customWidth="1"/>
    <col min="3316" max="3316" width="10.140625" style="1" customWidth="1"/>
    <col min="3317" max="3317" width="9.140625" style="1"/>
    <col min="3318" max="3318" width="12.42578125" style="1" customWidth="1"/>
    <col min="3319" max="3319" width="9.140625" style="1"/>
    <col min="3320" max="3320" width="11.28515625" style="1" customWidth="1"/>
    <col min="3321" max="3321" width="10.140625" style="1" customWidth="1"/>
    <col min="3322" max="3561" width="9.140625" style="1"/>
    <col min="3562" max="3562" width="20" style="1" customWidth="1"/>
    <col min="3563" max="3563" width="11.7109375" style="1" customWidth="1"/>
    <col min="3564" max="3564" width="11.140625" style="1" customWidth="1"/>
    <col min="3565" max="3565" width="11.42578125" style="1" customWidth="1"/>
    <col min="3566" max="3566" width="12.140625" style="1" customWidth="1"/>
    <col min="3567" max="3567" width="9.140625" style="1"/>
    <col min="3568" max="3568" width="13.140625" style="1" customWidth="1"/>
    <col min="3569" max="3569" width="9.140625" style="1"/>
    <col min="3570" max="3570" width="12.28515625" style="1" customWidth="1"/>
    <col min="3571" max="3571" width="14.28515625" style="1" customWidth="1"/>
    <col min="3572" max="3572" width="10.140625" style="1" customWidth="1"/>
    <col min="3573" max="3573" width="9.140625" style="1"/>
    <col min="3574" max="3574" width="12.42578125" style="1" customWidth="1"/>
    <col min="3575" max="3575" width="9.140625" style="1"/>
    <col min="3576" max="3576" width="11.28515625" style="1" customWidth="1"/>
    <col min="3577" max="3577" width="10.140625" style="1" customWidth="1"/>
    <col min="3578" max="3817" width="9.140625" style="1"/>
    <col min="3818" max="3818" width="20" style="1" customWidth="1"/>
    <col min="3819" max="3819" width="11.7109375" style="1" customWidth="1"/>
    <col min="3820" max="3820" width="11.140625" style="1" customWidth="1"/>
    <col min="3821" max="3821" width="11.42578125" style="1" customWidth="1"/>
    <col min="3822" max="3822" width="12.140625" style="1" customWidth="1"/>
    <col min="3823" max="3823" width="9.140625" style="1"/>
    <col min="3824" max="3824" width="13.140625" style="1" customWidth="1"/>
    <col min="3825" max="3825" width="9.140625" style="1"/>
    <col min="3826" max="3826" width="12.28515625" style="1" customWidth="1"/>
    <col min="3827" max="3827" width="14.28515625" style="1" customWidth="1"/>
    <col min="3828" max="3828" width="10.140625" style="1" customWidth="1"/>
    <col min="3829" max="3829" width="9.140625" style="1"/>
    <col min="3830" max="3830" width="12.42578125" style="1" customWidth="1"/>
    <col min="3831" max="3831" width="9.140625" style="1"/>
    <col min="3832" max="3832" width="11.28515625" style="1" customWidth="1"/>
    <col min="3833" max="3833" width="10.140625" style="1" customWidth="1"/>
    <col min="3834" max="4073" width="9.140625" style="1"/>
    <col min="4074" max="4074" width="20" style="1" customWidth="1"/>
    <col min="4075" max="4075" width="11.7109375" style="1" customWidth="1"/>
    <col min="4076" max="4076" width="11.140625" style="1" customWidth="1"/>
    <col min="4077" max="4077" width="11.42578125" style="1" customWidth="1"/>
    <col min="4078" max="4078" width="12.140625" style="1" customWidth="1"/>
    <col min="4079" max="4079" width="9.140625" style="1"/>
    <col min="4080" max="4080" width="13.140625" style="1" customWidth="1"/>
    <col min="4081" max="4081" width="9.140625" style="1"/>
    <col min="4082" max="4082" width="12.28515625" style="1" customWidth="1"/>
    <col min="4083" max="4083" width="14.28515625" style="1" customWidth="1"/>
    <col min="4084" max="4084" width="10.140625" style="1" customWidth="1"/>
    <col min="4085" max="4085" width="9.140625" style="1"/>
    <col min="4086" max="4086" width="12.42578125" style="1" customWidth="1"/>
    <col min="4087" max="4087" width="9.140625" style="1"/>
    <col min="4088" max="4088" width="11.28515625" style="1" customWidth="1"/>
    <col min="4089" max="4089" width="10.140625" style="1" customWidth="1"/>
    <col min="4090" max="4329" width="9.140625" style="1"/>
    <col min="4330" max="4330" width="20" style="1" customWidth="1"/>
    <col min="4331" max="4331" width="11.7109375" style="1" customWidth="1"/>
    <col min="4332" max="4332" width="11.140625" style="1" customWidth="1"/>
    <col min="4333" max="4333" width="11.42578125" style="1" customWidth="1"/>
    <col min="4334" max="4334" width="12.140625" style="1" customWidth="1"/>
    <col min="4335" max="4335" width="9.140625" style="1"/>
    <col min="4336" max="4336" width="13.140625" style="1" customWidth="1"/>
    <col min="4337" max="4337" width="9.140625" style="1"/>
    <col min="4338" max="4338" width="12.28515625" style="1" customWidth="1"/>
    <col min="4339" max="4339" width="14.28515625" style="1" customWidth="1"/>
    <col min="4340" max="4340" width="10.140625" style="1" customWidth="1"/>
    <col min="4341" max="4341" width="9.140625" style="1"/>
    <col min="4342" max="4342" width="12.42578125" style="1" customWidth="1"/>
    <col min="4343" max="4343" width="9.140625" style="1"/>
    <col min="4344" max="4344" width="11.28515625" style="1" customWidth="1"/>
    <col min="4345" max="4345" width="10.140625" style="1" customWidth="1"/>
    <col min="4346" max="4585" width="9.140625" style="1"/>
    <col min="4586" max="4586" width="20" style="1" customWidth="1"/>
    <col min="4587" max="4587" width="11.7109375" style="1" customWidth="1"/>
    <col min="4588" max="4588" width="11.140625" style="1" customWidth="1"/>
    <col min="4589" max="4589" width="11.42578125" style="1" customWidth="1"/>
    <col min="4590" max="4590" width="12.140625" style="1" customWidth="1"/>
    <col min="4591" max="4591" width="9.140625" style="1"/>
    <col min="4592" max="4592" width="13.140625" style="1" customWidth="1"/>
    <col min="4593" max="4593" width="9.140625" style="1"/>
    <col min="4594" max="4594" width="12.28515625" style="1" customWidth="1"/>
    <col min="4595" max="4595" width="14.28515625" style="1" customWidth="1"/>
    <col min="4596" max="4596" width="10.140625" style="1" customWidth="1"/>
    <col min="4597" max="4597" width="9.140625" style="1"/>
    <col min="4598" max="4598" width="12.42578125" style="1" customWidth="1"/>
    <col min="4599" max="4599" width="9.140625" style="1"/>
    <col min="4600" max="4600" width="11.28515625" style="1" customWidth="1"/>
    <col min="4601" max="4601" width="10.140625" style="1" customWidth="1"/>
    <col min="4602" max="4841" width="9.140625" style="1"/>
    <col min="4842" max="4842" width="20" style="1" customWidth="1"/>
    <col min="4843" max="4843" width="11.7109375" style="1" customWidth="1"/>
    <col min="4844" max="4844" width="11.140625" style="1" customWidth="1"/>
    <col min="4845" max="4845" width="11.42578125" style="1" customWidth="1"/>
    <col min="4846" max="4846" width="12.140625" style="1" customWidth="1"/>
    <col min="4847" max="4847" width="9.140625" style="1"/>
    <col min="4848" max="4848" width="13.140625" style="1" customWidth="1"/>
    <col min="4849" max="4849" width="9.140625" style="1"/>
    <col min="4850" max="4850" width="12.28515625" style="1" customWidth="1"/>
    <col min="4851" max="4851" width="14.28515625" style="1" customWidth="1"/>
    <col min="4852" max="4852" width="10.140625" style="1" customWidth="1"/>
    <col min="4853" max="4853" width="9.140625" style="1"/>
    <col min="4854" max="4854" width="12.42578125" style="1" customWidth="1"/>
    <col min="4855" max="4855" width="9.140625" style="1"/>
    <col min="4856" max="4856" width="11.28515625" style="1" customWidth="1"/>
    <col min="4857" max="4857" width="10.140625" style="1" customWidth="1"/>
    <col min="4858" max="5097" width="9.140625" style="1"/>
    <col min="5098" max="5098" width="20" style="1" customWidth="1"/>
    <col min="5099" max="5099" width="11.7109375" style="1" customWidth="1"/>
    <col min="5100" max="5100" width="11.140625" style="1" customWidth="1"/>
    <col min="5101" max="5101" width="11.42578125" style="1" customWidth="1"/>
    <col min="5102" max="5102" width="12.140625" style="1" customWidth="1"/>
    <col min="5103" max="5103" width="9.140625" style="1"/>
    <col min="5104" max="5104" width="13.140625" style="1" customWidth="1"/>
    <col min="5105" max="5105" width="9.140625" style="1"/>
    <col min="5106" max="5106" width="12.28515625" style="1" customWidth="1"/>
    <col min="5107" max="5107" width="14.28515625" style="1" customWidth="1"/>
    <col min="5108" max="5108" width="10.140625" style="1" customWidth="1"/>
    <col min="5109" max="5109" width="9.140625" style="1"/>
    <col min="5110" max="5110" width="12.42578125" style="1" customWidth="1"/>
    <col min="5111" max="5111" width="9.140625" style="1"/>
    <col min="5112" max="5112" width="11.28515625" style="1" customWidth="1"/>
    <col min="5113" max="5113" width="10.140625" style="1" customWidth="1"/>
    <col min="5114" max="5353" width="9.140625" style="1"/>
    <col min="5354" max="5354" width="20" style="1" customWidth="1"/>
    <col min="5355" max="5355" width="11.7109375" style="1" customWidth="1"/>
    <col min="5356" max="5356" width="11.140625" style="1" customWidth="1"/>
    <col min="5357" max="5357" width="11.42578125" style="1" customWidth="1"/>
    <col min="5358" max="5358" width="12.140625" style="1" customWidth="1"/>
    <col min="5359" max="5359" width="9.140625" style="1"/>
    <col min="5360" max="5360" width="13.140625" style="1" customWidth="1"/>
    <col min="5361" max="5361" width="9.140625" style="1"/>
    <col min="5362" max="5362" width="12.28515625" style="1" customWidth="1"/>
    <col min="5363" max="5363" width="14.28515625" style="1" customWidth="1"/>
    <col min="5364" max="5364" width="10.140625" style="1" customWidth="1"/>
    <col min="5365" max="5365" width="9.140625" style="1"/>
    <col min="5366" max="5366" width="12.42578125" style="1" customWidth="1"/>
    <col min="5367" max="5367" width="9.140625" style="1"/>
    <col min="5368" max="5368" width="11.28515625" style="1" customWidth="1"/>
    <col min="5369" max="5369" width="10.140625" style="1" customWidth="1"/>
    <col min="5370" max="5609" width="9.140625" style="1"/>
    <col min="5610" max="5610" width="20" style="1" customWidth="1"/>
    <col min="5611" max="5611" width="11.7109375" style="1" customWidth="1"/>
    <col min="5612" max="5612" width="11.140625" style="1" customWidth="1"/>
    <col min="5613" max="5613" width="11.42578125" style="1" customWidth="1"/>
    <col min="5614" max="5614" width="12.140625" style="1" customWidth="1"/>
    <col min="5615" max="5615" width="9.140625" style="1"/>
    <col min="5616" max="5616" width="13.140625" style="1" customWidth="1"/>
    <col min="5617" max="5617" width="9.140625" style="1"/>
    <col min="5618" max="5618" width="12.28515625" style="1" customWidth="1"/>
    <col min="5619" max="5619" width="14.28515625" style="1" customWidth="1"/>
    <col min="5620" max="5620" width="10.140625" style="1" customWidth="1"/>
    <col min="5621" max="5621" width="9.140625" style="1"/>
    <col min="5622" max="5622" width="12.42578125" style="1" customWidth="1"/>
    <col min="5623" max="5623" width="9.140625" style="1"/>
    <col min="5624" max="5624" width="11.28515625" style="1" customWidth="1"/>
    <col min="5625" max="5625" width="10.140625" style="1" customWidth="1"/>
    <col min="5626" max="5865" width="9.140625" style="1"/>
    <col min="5866" max="5866" width="20" style="1" customWidth="1"/>
    <col min="5867" max="5867" width="11.7109375" style="1" customWidth="1"/>
    <col min="5868" max="5868" width="11.140625" style="1" customWidth="1"/>
    <col min="5869" max="5869" width="11.42578125" style="1" customWidth="1"/>
    <col min="5870" max="5870" width="12.140625" style="1" customWidth="1"/>
    <col min="5871" max="5871" width="9.140625" style="1"/>
    <col min="5872" max="5872" width="13.140625" style="1" customWidth="1"/>
    <col min="5873" max="5873" width="9.140625" style="1"/>
    <col min="5874" max="5874" width="12.28515625" style="1" customWidth="1"/>
    <col min="5875" max="5875" width="14.28515625" style="1" customWidth="1"/>
    <col min="5876" max="5876" width="10.140625" style="1" customWidth="1"/>
    <col min="5877" max="5877" width="9.140625" style="1"/>
    <col min="5878" max="5878" width="12.42578125" style="1" customWidth="1"/>
    <col min="5879" max="5879" width="9.140625" style="1"/>
    <col min="5880" max="5880" width="11.28515625" style="1" customWidth="1"/>
    <col min="5881" max="5881" width="10.140625" style="1" customWidth="1"/>
    <col min="5882" max="6121" width="9.140625" style="1"/>
    <col min="6122" max="6122" width="20" style="1" customWidth="1"/>
    <col min="6123" max="6123" width="11.7109375" style="1" customWidth="1"/>
    <col min="6124" max="6124" width="11.140625" style="1" customWidth="1"/>
    <col min="6125" max="6125" width="11.42578125" style="1" customWidth="1"/>
    <col min="6126" max="6126" width="12.140625" style="1" customWidth="1"/>
    <col min="6127" max="6127" width="9.140625" style="1"/>
    <col min="6128" max="6128" width="13.140625" style="1" customWidth="1"/>
    <col min="6129" max="6129" width="9.140625" style="1"/>
    <col min="6130" max="6130" width="12.28515625" style="1" customWidth="1"/>
    <col min="6131" max="6131" width="14.28515625" style="1" customWidth="1"/>
    <col min="6132" max="6132" width="10.140625" style="1" customWidth="1"/>
    <col min="6133" max="6133" width="9.140625" style="1"/>
    <col min="6134" max="6134" width="12.42578125" style="1" customWidth="1"/>
    <col min="6135" max="6135" width="9.140625" style="1"/>
    <col min="6136" max="6136" width="11.28515625" style="1" customWidth="1"/>
    <col min="6137" max="6137" width="10.140625" style="1" customWidth="1"/>
    <col min="6138" max="6377" width="9.140625" style="1"/>
    <col min="6378" max="6378" width="20" style="1" customWidth="1"/>
    <col min="6379" max="6379" width="11.7109375" style="1" customWidth="1"/>
    <col min="6380" max="6380" width="11.140625" style="1" customWidth="1"/>
    <col min="6381" max="6381" width="11.42578125" style="1" customWidth="1"/>
    <col min="6382" max="6382" width="12.140625" style="1" customWidth="1"/>
    <col min="6383" max="6383" width="9.140625" style="1"/>
    <col min="6384" max="6384" width="13.140625" style="1" customWidth="1"/>
    <col min="6385" max="6385" width="9.140625" style="1"/>
    <col min="6386" max="6386" width="12.28515625" style="1" customWidth="1"/>
    <col min="6387" max="6387" width="14.28515625" style="1" customWidth="1"/>
    <col min="6388" max="6388" width="10.140625" style="1" customWidth="1"/>
    <col min="6389" max="6389" width="9.140625" style="1"/>
    <col min="6390" max="6390" width="12.42578125" style="1" customWidth="1"/>
    <col min="6391" max="6391" width="9.140625" style="1"/>
    <col min="6392" max="6392" width="11.28515625" style="1" customWidth="1"/>
    <col min="6393" max="6393" width="10.140625" style="1" customWidth="1"/>
    <col min="6394" max="6633" width="9.140625" style="1"/>
    <col min="6634" max="6634" width="20" style="1" customWidth="1"/>
    <col min="6635" max="6635" width="11.7109375" style="1" customWidth="1"/>
    <col min="6636" max="6636" width="11.140625" style="1" customWidth="1"/>
    <col min="6637" max="6637" width="11.42578125" style="1" customWidth="1"/>
    <col min="6638" max="6638" width="12.140625" style="1" customWidth="1"/>
    <col min="6639" max="6639" width="9.140625" style="1"/>
    <col min="6640" max="6640" width="13.140625" style="1" customWidth="1"/>
    <col min="6641" max="6641" width="9.140625" style="1"/>
    <col min="6642" max="6642" width="12.28515625" style="1" customWidth="1"/>
    <col min="6643" max="6643" width="14.28515625" style="1" customWidth="1"/>
    <col min="6644" max="6644" width="10.140625" style="1" customWidth="1"/>
    <col min="6645" max="6645" width="9.140625" style="1"/>
    <col min="6646" max="6646" width="12.42578125" style="1" customWidth="1"/>
    <col min="6647" max="6647" width="9.140625" style="1"/>
    <col min="6648" max="6648" width="11.28515625" style="1" customWidth="1"/>
    <col min="6649" max="6649" width="10.140625" style="1" customWidth="1"/>
    <col min="6650" max="6889" width="9.140625" style="1"/>
    <col min="6890" max="6890" width="20" style="1" customWidth="1"/>
    <col min="6891" max="6891" width="11.7109375" style="1" customWidth="1"/>
    <col min="6892" max="6892" width="11.140625" style="1" customWidth="1"/>
    <col min="6893" max="6893" width="11.42578125" style="1" customWidth="1"/>
    <col min="6894" max="6894" width="12.140625" style="1" customWidth="1"/>
    <col min="6895" max="6895" width="9.140625" style="1"/>
    <col min="6896" max="6896" width="13.140625" style="1" customWidth="1"/>
    <col min="6897" max="6897" width="9.140625" style="1"/>
    <col min="6898" max="6898" width="12.28515625" style="1" customWidth="1"/>
    <col min="6899" max="6899" width="14.28515625" style="1" customWidth="1"/>
    <col min="6900" max="6900" width="10.140625" style="1" customWidth="1"/>
    <col min="6901" max="6901" width="9.140625" style="1"/>
    <col min="6902" max="6902" width="12.42578125" style="1" customWidth="1"/>
    <col min="6903" max="6903" width="9.140625" style="1"/>
    <col min="6904" max="6904" width="11.28515625" style="1" customWidth="1"/>
    <col min="6905" max="6905" width="10.140625" style="1" customWidth="1"/>
    <col min="6906" max="7145" width="9.140625" style="1"/>
    <col min="7146" max="7146" width="20" style="1" customWidth="1"/>
    <col min="7147" max="7147" width="11.7109375" style="1" customWidth="1"/>
    <col min="7148" max="7148" width="11.140625" style="1" customWidth="1"/>
    <col min="7149" max="7149" width="11.42578125" style="1" customWidth="1"/>
    <col min="7150" max="7150" width="12.140625" style="1" customWidth="1"/>
    <col min="7151" max="7151" width="9.140625" style="1"/>
    <col min="7152" max="7152" width="13.140625" style="1" customWidth="1"/>
    <col min="7153" max="7153" width="9.140625" style="1"/>
    <col min="7154" max="7154" width="12.28515625" style="1" customWidth="1"/>
    <col min="7155" max="7155" width="14.28515625" style="1" customWidth="1"/>
    <col min="7156" max="7156" width="10.140625" style="1" customWidth="1"/>
    <col min="7157" max="7157" width="9.140625" style="1"/>
    <col min="7158" max="7158" width="12.42578125" style="1" customWidth="1"/>
    <col min="7159" max="7159" width="9.140625" style="1"/>
    <col min="7160" max="7160" width="11.28515625" style="1" customWidth="1"/>
    <col min="7161" max="7161" width="10.140625" style="1" customWidth="1"/>
    <col min="7162" max="7401" width="9.140625" style="1"/>
    <col min="7402" max="7402" width="20" style="1" customWidth="1"/>
    <col min="7403" max="7403" width="11.7109375" style="1" customWidth="1"/>
    <col min="7404" max="7404" width="11.140625" style="1" customWidth="1"/>
    <col min="7405" max="7405" width="11.42578125" style="1" customWidth="1"/>
    <col min="7406" max="7406" width="12.140625" style="1" customWidth="1"/>
    <col min="7407" max="7407" width="9.140625" style="1"/>
    <col min="7408" max="7408" width="13.140625" style="1" customWidth="1"/>
    <col min="7409" max="7409" width="9.140625" style="1"/>
    <col min="7410" max="7410" width="12.28515625" style="1" customWidth="1"/>
    <col min="7411" max="7411" width="14.28515625" style="1" customWidth="1"/>
    <col min="7412" max="7412" width="10.140625" style="1" customWidth="1"/>
    <col min="7413" max="7413" width="9.140625" style="1"/>
    <col min="7414" max="7414" width="12.42578125" style="1" customWidth="1"/>
    <col min="7415" max="7415" width="9.140625" style="1"/>
    <col min="7416" max="7416" width="11.28515625" style="1" customWidth="1"/>
    <col min="7417" max="7417" width="10.140625" style="1" customWidth="1"/>
    <col min="7418" max="7657" width="9.140625" style="1"/>
    <col min="7658" max="7658" width="20" style="1" customWidth="1"/>
    <col min="7659" max="7659" width="11.7109375" style="1" customWidth="1"/>
    <col min="7660" max="7660" width="11.140625" style="1" customWidth="1"/>
    <col min="7661" max="7661" width="11.42578125" style="1" customWidth="1"/>
    <col min="7662" max="7662" width="12.140625" style="1" customWidth="1"/>
    <col min="7663" max="7663" width="9.140625" style="1"/>
    <col min="7664" max="7664" width="13.140625" style="1" customWidth="1"/>
    <col min="7665" max="7665" width="9.140625" style="1"/>
    <col min="7666" max="7666" width="12.28515625" style="1" customWidth="1"/>
    <col min="7667" max="7667" width="14.28515625" style="1" customWidth="1"/>
    <col min="7668" max="7668" width="10.140625" style="1" customWidth="1"/>
    <col min="7669" max="7669" width="9.140625" style="1"/>
    <col min="7670" max="7670" width="12.42578125" style="1" customWidth="1"/>
    <col min="7671" max="7671" width="9.140625" style="1"/>
    <col min="7672" max="7672" width="11.28515625" style="1" customWidth="1"/>
    <col min="7673" max="7673" width="10.140625" style="1" customWidth="1"/>
    <col min="7674" max="7913" width="9.140625" style="1"/>
    <col min="7914" max="7914" width="20" style="1" customWidth="1"/>
    <col min="7915" max="7915" width="11.7109375" style="1" customWidth="1"/>
    <col min="7916" max="7916" width="11.140625" style="1" customWidth="1"/>
    <col min="7917" max="7917" width="11.42578125" style="1" customWidth="1"/>
    <col min="7918" max="7918" width="12.140625" style="1" customWidth="1"/>
    <col min="7919" max="7919" width="9.140625" style="1"/>
    <col min="7920" max="7920" width="13.140625" style="1" customWidth="1"/>
    <col min="7921" max="7921" width="9.140625" style="1"/>
    <col min="7922" max="7922" width="12.28515625" style="1" customWidth="1"/>
    <col min="7923" max="7923" width="14.28515625" style="1" customWidth="1"/>
    <col min="7924" max="7924" width="10.140625" style="1" customWidth="1"/>
    <col min="7925" max="7925" width="9.140625" style="1"/>
    <col min="7926" max="7926" width="12.42578125" style="1" customWidth="1"/>
    <col min="7927" max="7927" width="9.140625" style="1"/>
    <col min="7928" max="7928" width="11.28515625" style="1" customWidth="1"/>
    <col min="7929" max="7929" width="10.140625" style="1" customWidth="1"/>
    <col min="7930" max="8169" width="9.140625" style="1"/>
    <col min="8170" max="8170" width="20" style="1" customWidth="1"/>
    <col min="8171" max="8171" width="11.7109375" style="1" customWidth="1"/>
    <col min="8172" max="8172" width="11.140625" style="1" customWidth="1"/>
    <col min="8173" max="8173" width="11.42578125" style="1" customWidth="1"/>
    <col min="8174" max="8174" width="12.140625" style="1" customWidth="1"/>
    <col min="8175" max="8175" width="9.140625" style="1"/>
    <col min="8176" max="8176" width="13.140625" style="1" customWidth="1"/>
    <col min="8177" max="8177" width="9.140625" style="1"/>
    <col min="8178" max="8178" width="12.28515625" style="1" customWidth="1"/>
    <col min="8179" max="8179" width="14.28515625" style="1" customWidth="1"/>
    <col min="8180" max="8180" width="10.140625" style="1" customWidth="1"/>
    <col min="8181" max="8181" width="9.140625" style="1"/>
    <col min="8182" max="8182" width="12.42578125" style="1" customWidth="1"/>
    <col min="8183" max="8183" width="9.140625" style="1"/>
    <col min="8184" max="8184" width="11.28515625" style="1" customWidth="1"/>
    <col min="8185" max="8185" width="10.140625" style="1" customWidth="1"/>
    <col min="8186" max="8425" width="9.140625" style="1"/>
    <col min="8426" max="8426" width="20" style="1" customWidth="1"/>
    <col min="8427" max="8427" width="11.7109375" style="1" customWidth="1"/>
    <col min="8428" max="8428" width="11.140625" style="1" customWidth="1"/>
    <col min="8429" max="8429" width="11.42578125" style="1" customWidth="1"/>
    <col min="8430" max="8430" width="12.140625" style="1" customWidth="1"/>
    <col min="8431" max="8431" width="9.140625" style="1"/>
    <col min="8432" max="8432" width="13.140625" style="1" customWidth="1"/>
    <col min="8433" max="8433" width="9.140625" style="1"/>
    <col min="8434" max="8434" width="12.28515625" style="1" customWidth="1"/>
    <col min="8435" max="8435" width="14.28515625" style="1" customWidth="1"/>
    <col min="8436" max="8436" width="10.140625" style="1" customWidth="1"/>
    <col min="8437" max="8437" width="9.140625" style="1"/>
    <col min="8438" max="8438" width="12.42578125" style="1" customWidth="1"/>
    <col min="8439" max="8439" width="9.140625" style="1"/>
    <col min="8440" max="8440" width="11.28515625" style="1" customWidth="1"/>
    <col min="8441" max="8441" width="10.140625" style="1" customWidth="1"/>
    <col min="8442" max="8681" width="9.140625" style="1"/>
    <col min="8682" max="8682" width="20" style="1" customWidth="1"/>
    <col min="8683" max="8683" width="11.7109375" style="1" customWidth="1"/>
    <col min="8684" max="8684" width="11.140625" style="1" customWidth="1"/>
    <col min="8685" max="8685" width="11.42578125" style="1" customWidth="1"/>
    <col min="8686" max="8686" width="12.140625" style="1" customWidth="1"/>
    <col min="8687" max="8687" width="9.140625" style="1"/>
    <col min="8688" max="8688" width="13.140625" style="1" customWidth="1"/>
    <col min="8689" max="8689" width="9.140625" style="1"/>
    <col min="8690" max="8690" width="12.28515625" style="1" customWidth="1"/>
    <col min="8691" max="8691" width="14.28515625" style="1" customWidth="1"/>
    <col min="8692" max="8692" width="10.140625" style="1" customWidth="1"/>
    <col min="8693" max="8693" width="9.140625" style="1"/>
    <col min="8694" max="8694" width="12.42578125" style="1" customWidth="1"/>
    <col min="8695" max="8695" width="9.140625" style="1"/>
    <col min="8696" max="8696" width="11.28515625" style="1" customWidth="1"/>
    <col min="8697" max="8697" width="10.140625" style="1" customWidth="1"/>
    <col min="8698" max="8937" width="9.140625" style="1"/>
    <col min="8938" max="8938" width="20" style="1" customWidth="1"/>
    <col min="8939" max="8939" width="11.7109375" style="1" customWidth="1"/>
    <col min="8940" max="8940" width="11.140625" style="1" customWidth="1"/>
    <col min="8941" max="8941" width="11.42578125" style="1" customWidth="1"/>
    <col min="8942" max="8942" width="12.140625" style="1" customWidth="1"/>
    <col min="8943" max="8943" width="9.140625" style="1"/>
    <col min="8944" max="8944" width="13.140625" style="1" customWidth="1"/>
    <col min="8945" max="8945" width="9.140625" style="1"/>
    <col min="8946" max="8946" width="12.28515625" style="1" customWidth="1"/>
    <col min="8947" max="8947" width="14.28515625" style="1" customWidth="1"/>
    <col min="8948" max="8948" width="10.140625" style="1" customWidth="1"/>
    <col min="8949" max="8949" width="9.140625" style="1"/>
    <col min="8950" max="8950" width="12.42578125" style="1" customWidth="1"/>
    <col min="8951" max="8951" width="9.140625" style="1"/>
    <col min="8952" max="8952" width="11.28515625" style="1" customWidth="1"/>
    <col min="8953" max="8953" width="10.140625" style="1" customWidth="1"/>
    <col min="8954" max="9193" width="9.140625" style="1"/>
    <col min="9194" max="9194" width="20" style="1" customWidth="1"/>
    <col min="9195" max="9195" width="11.7109375" style="1" customWidth="1"/>
    <col min="9196" max="9196" width="11.140625" style="1" customWidth="1"/>
    <col min="9197" max="9197" width="11.42578125" style="1" customWidth="1"/>
    <col min="9198" max="9198" width="12.140625" style="1" customWidth="1"/>
    <col min="9199" max="9199" width="9.140625" style="1"/>
    <col min="9200" max="9200" width="13.140625" style="1" customWidth="1"/>
    <col min="9201" max="9201" width="9.140625" style="1"/>
    <col min="9202" max="9202" width="12.28515625" style="1" customWidth="1"/>
    <col min="9203" max="9203" width="14.28515625" style="1" customWidth="1"/>
    <col min="9204" max="9204" width="10.140625" style="1" customWidth="1"/>
    <col min="9205" max="9205" width="9.140625" style="1"/>
    <col min="9206" max="9206" width="12.42578125" style="1" customWidth="1"/>
    <col min="9207" max="9207" width="9.140625" style="1"/>
    <col min="9208" max="9208" width="11.28515625" style="1" customWidth="1"/>
    <col min="9209" max="9209" width="10.140625" style="1" customWidth="1"/>
    <col min="9210" max="9449" width="9.140625" style="1"/>
    <col min="9450" max="9450" width="20" style="1" customWidth="1"/>
    <col min="9451" max="9451" width="11.7109375" style="1" customWidth="1"/>
    <col min="9452" max="9452" width="11.140625" style="1" customWidth="1"/>
    <col min="9453" max="9453" width="11.42578125" style="1" customWidth="1"/>
    <col min="9454" max="9454" width="12.140625" style="1" customWidth="1"/>
    <col min="9455" max="9455" width="9.140625" style="1"/>
    <col min="9456" max="9456" width="13.140625" style="1" customWidth="1"/>
    <col min="9457" max="9457" width="9.140625" style="1"/>
    <col min="9458" max="9458" width="12.28515625" style="1" customWidth="1"/>
    <col min="9459" max="9459" width="14.28515625" style="1" customWidth="1"/>
    <col min="9460" max="9460" width="10.140625" style="1" customWidth="1"/>
    <col min="9461" max="9461" width="9.140625" style="1"/>
    <col min="9462" max="9462" width="12.42578125" style="1" customWidth="1"/>
    <col min="9463" max="9463" width="9.140625" style="1"/>
    <col min="9464" max="9464" width="11.28515625" style="1" customWidth="1"/>
    <col min="9465" max="9465" width="10.140625" style="1" customWidth="1"/>
    <col min="9466" max="9705" width="9.140625" style="1"/>
    <col min="9706" max="9706" width="20" style="1" customWidth="1"/>
    <col min="9707" max="9707" width="11.7109375" style="1" customWidth="1"/>
    <col min="9708" max="9708" width="11.140625" style="1" customWidth="1"/>
    <col min="9709" max="9709" width="11.42578125" style="1" customWidth="1"/>
    <col min="9710" max="9710" width="12.140625" style="1" customWidth="1"/>
    <col min="9711" max="9711" width="9.140625" style="1"/>
    <col min="9712" max="9712" width="13.140625" style="1" customWidth="1"/>
    <col min="9713" max="9713" width="9.140625" style="1"/>
    <col min="9714" max="9714" width="12.28515625" style="1" customWidth="1"/>
    <col min="9715" max="9715" width="14.28515625" style="1" customWidth="1"/>
    <col min="9716" max="9716" width="10.140625" style="1" customWidth="1"/>
    <col min="9717" max="9717" width="9.140625" style="1"/>
    <col min="9718" max="9718" width="12.42578125" style="1" customWidth="1"/>
    <col min="9719" max="9719" width="9.140625" style="1"/>
    <col min="9720" max="9720" width="11.28515625" style="1" customWidth="1"/>
    <col min="9721" max="9721" width="10.140625" style="1" customWidth="1"/>
    <col min="9722" max="9961" width="9.140625" style="1"/>
    <col min="9962" max="9962" width="20" style="1" customWidth="1"/>
    <col min="9963" max="9963" width="11.7109375" style="1" customWidth="1"/>
    <col min="9964" max="9964" width="11.140625" style="1" customWidth="1"/>
    <col min="9965" max="9965" width="11.42578125" style="1" customWidth="1"/>
    <col min="9966" max="9966" width="12.140625" style="1" customWidth="1"/>
    <col min="9967" max="9967" width="9.140625" style="1"/>
    <col min="9968" max="9968" width="13.140625" style="1" customWidth="1"/>
    <col min="9969" max="9969" width="9.140625" style="1"/>
    <col min="9970" max="9970" width="12.28515625" style="1" customWidth="1"/>
    <col min="9971" max="9971" width="14.28515625" style="1" customWidth="1"/>
    <col min="9972" max="9972" width="10.140625" style="1" customWidth="1"/>
    <col min="9973" max="9973" width="9.140625" style="1"/>
    <col min="9974" max="9974" width="12.42578125" style="1" customWidth="1"/>
    <col min="9975" max="9975" width="9.140625" style="1"/>
    <col min="9976" max="9976" width="11.28515625" style="1" customWidth="1"/>
    <col min="9977" max="9977" width="10.140625" style="1" customWidth="1"/>
    <col min="9978" max="10217" width="9.140625" style="1"/>
    <col min="10218" max="10218" width="20" style="1" customWidth="1"/>
    <col min="10219" max="10219" width="11.7109375" style="1" customWidth="1"/>
    <col min="10220" max="10220" width="11.140625" style="1" customWidth="1"/>
    <col min="10221" max="10221" width="11.42578125" style="1" customWidth="1"/>
    <col min="10222" max="10222" width="12.140625" style="1" customWidth="1"/>
    <col min="10223" max="10223" width="9.140625" style="1"/>
    <col min="10224" max="10224" width="13.140625" style="1" customWidth="1"/>
    <col min="10225" max="10225" width="9.140625" style="1"/>
    <col min="10226" max="10226" width="12.28515625" style="1" customWidth="1"/>
    <col min="10227" max="10227" width="14.28515625" style="1" customWidth="1"/>
    <col min="10228" max="10228" width="10.140625" style="1" customWidth="1"/>
    <col min="10229" max="10229" width="9.140625" style="1"/>
    <col min="10230" max="10230" width="12.42578125" style="1" customWidth="1"/>
    <col min="10231" max="10231" width="9.140625" style="1"/>
    <col min="10232" max="10232" width="11.28515625" style="1" customWidth="1"/>
    <col min="10233" max="10233" width="10.140625" style="1" customWidth="1"/>
    <col min="10234" max="10473" width="9.140625" style="1"/>
    <col min="10474" max="10474" width="20" style="1" customWidth="1"/>
    <col min="10475" max="10475" width="11.7109375" style="1" customWidth="1"/>
    <col min="10476" max="10476" width="11.140625" style="1" customWidth="1"/>
    <col min="10477" max="10477" width="11.42578125" style="1" customWidth="1"/>
    <col min="10478" max="10478" width="12.140625" style="1" customWidth="1"/>
    <col min="10479" max="10479" width="9.140625" style="1"/>
    <col min="10480" max="10480" width="13.140625" style="1" customWidth="1"/>
    <col min="10481" max="10481" width="9.140625" style="1"/>
    <col min="10482" max="10482" width="12.28515625" style="1" customWidth="1"/>
    <col min="10483" max="10483" width="14.28515625" style="1" customWidth="1"/>
    <col min="10484" max="10484" width="10.140625" style="1" customWidth="1"/>
    <col min="10485" max="10485" width="9.140625" style="1"/>
    <col min="10486" max="10486" width="12.42578125" style="1" customWidth="1"/>
    <col min="10487" max="10487" width="9.140625" style="1"/>
    <col min="10488" max="10488" width="11.28515625" style="1" customWidth="1"/>
    <col min="10489" max="10489" width="10.140625" style="1" customWidth="1"/>
    <col min="10490" max="10729" width="9.140625" style="1"/>
    <col min="10730" max="10730" width="20" style="1" customWidth="1"/>
    <col min="10731" max="10731" width="11.7109375" style="1" customWidth="1"/>
    <col min="10732" max="10732" width="11.140625" style="1" customWidth="1"/>
    <col min="10733" max="10733" width="11.42578125" style="1" customWidth="1"/>
    <col min="10734" max="10734" width="12.140625" style="1" customWidth="1"/>
    <col min="10735" max="10735" width="9.140625" style="1"/>
    <col min="10736" max="10736" width="13.140625" style="1" customWidth="1"/>
    <col min="10737" max="10737" width="9.140625" style="1"/>
    <col min="10738" max="10738" width="12.28515625" style="1" customWidth="1"/>
    <col min="10739" max="10739" width="14.28515625" style="1" customWidth="1"/>
    <col min="10740" max="10740" width="10.140625" style="1" customWidth="1"/>
    <col min="10741" max="10741" width="9.140625" style="1"/>
    <col min="10742" max="10742" width="12.42578125" style="1" customWidth="1"/>
    <col min="10743" max="10743" width="9.140625" style="1"/>
    <col min="10744" max="10744" width="11.28515625" style="1" customWidth="1"/>
    <col min="10745" max="10745" width="10.140625" style="1" customWidth="1"/>
    <col min="10746" max="10985" width="9.140625" style="1"/>
    <col min="10986" max="10986" width="20" style="1" customWidth="1"/>
    <col min="10987" max="10987" width="11.7109375" style="1" customWidth="1"/>
    <col min="10988" max="10988" width="11.140625" style="1" customWidth="1"/>
    <col min="10989" max="10989" width="11.42578125" style="1" customWidth="1"/>
    <col min="10990" max="10990" width="12.140625" style="1" customWidth="1"/>
    <col min="10991" max="10991" width="9.140625" style="1"/>
    <col min="10992" max="10992" width="13.140625" style="1" customWidth="1"/>
    <col min="10993" max="10993" width="9.140625" style="1"/>
    <col min="10994" max="10994" width="12.28515625" style="1" customWidth="1"/>
    <col min="10995" max="10995" width="14.28515625" style="1" customWidth="1"/>
    <col min="10996" max="10996" width="10.140625" style="1" customWidth="1"/>
    <col min="10997" max="10997" width="9.140625" style="1"/>
    <col min="10998" max="10998" width="12.42578125" style="1" customWidth="1"/>
    <col min="10999" max="10999" width="9.140625" style="1"/>
    <col min="11000" max="11000" width="11.28515625" style="1" customWidth="1"/>
    <col min="11001" max="11001" width="10.140625" style="1" customWidth="1"/>
    <col min="11002" max="11241" width="9.140625" style="1"/>
    <col min="11242" max="11242" width="20" style="1" customWidth="1"/>
    <col min="11243" max="11243" width="11.7109375" style="1" customWidth="1"/>
    <col min="11244" max="11244" width="11.140625" style="1" customWidth="1"/>
    <col min="11245" max="11245" width="11.42578125" style="1" customWidth="1"/>
    <col min="11246" max="11246" width="12.140625" style="1" customWidth="1"/>
    <col min="11247" max="11247" width="9.140625" style="1"/>
    <col min="11248" max="11248" width="13.140625" style="1" customWidth="1"/>
    <col min="11249" max="11249" width="9.140625" style="1"/>
    <col min="11250" max="11250" width="12.28515625" style="1" customWidth="1"/>
    <col min="11251" max="11251" width="14.28515625" style="1" customWidth="1"/>
    <col min="11252" max="11252" width="10.140625" style="1" customWidth="1"/>
    <col min="11253" max="11253" width="9.140625" style="1"/>
    <col min="11254" max="11254" width="12.42578125" style="1" customWidth="1"/>
    <col min="11255" max="11255" width="9.140625" style="1"/>
    <col min="11256" max="11256" width="11.28515625" style="1" customWidth="1"/>
    <col min="11257" max="11257" width="10.140625" style="1" customWidth="1"/>
    <col min="11258" max="11497" width="9.140625" style="1"/>
    <col min="11498" max="11498" width="20" style="1" customWidth="1"/>
    <col min="11499" max="11499" width="11.7109375" style="1" customWidth="1"/>
    <col min="11500" max="11500" width="11.140625" style="1" customWidth="1"/>
    <col min="11501" max="11501" width="11.42578125" style="1" customWidth="1"/>
    <col min="11502" max="11502" width="12.140625" style="1" customWidth="1"/>
    <col min="11503" max="11503" width="9.140625" style="1"/>
    <col min="11504" max="11504" width="13.140625" style="1" customWidth="1"/>
    <col min="11505" max="11505" width="9.140625" style="1"/>
    <col min="11506" max="11506" width="12.28515625" style="1" customWidth="1"/>
    <col min="11507" max="11507" width="14.28515625" style="1" customWidth="1"/>
    <col min="11508" max="11508" width="10.140625" style="1" customWidth="1"/>
    <col min="11509" max="11509" width="9.140625" style="1"/>
    <col min="11510" max="11510" width="12.42578125" style="1" customWidth="1"/>
    <col min="11511" max="11511" width="9.140625" style="1"/>
    <col min="11512" max="11512" width="11.28515625" style="1" customWidth="1"/>
    <col min="11513" max="11513" width="10.140625" style="1" customWidth="1"/>
    <col min="11514" max="11753" width="9.140625" style="1"/>
    <col min="11754" max="11754" width="20" style="1" customWidth="1"/>
    <col min="11755" max="11755" width="11.7109375" style="1" customWidth="1"/>
    <col min="11756" max="11756" width="11.140625" style="1" customWidth="1"/>
    <col min="11757" max="11757" width="11.42578125" style="1" customWidth="1"/>
    <col min="11758" max="11758" width="12.140625" style="1" customWidth="1"/>
    <col min="11759" max="11759" width="9.140625" style="1"/>
    <col min="11760" max="11760" width="13.140625" style="1" customWidth="1"/>
    <col min="11761" max="11761" width="9.140625" style="1"/>
    <col min="11762" max="11762" width="12.28515625" style="1" customWidth="1"/>
    <col min="11763" max="11763" width="14.28515625" style="1" customWidth="1"/>
    <col min="11764" max="11764" width="10.140625" style="1" customWidth="1"/>
    <col min="11765" max="11765" width="9.140625" style="1"/>
    <col min="11766" max="11766" width="12.42578125" style="1" customWidth="1"/>
    <col min="11767" max="11767" width="9.140625" style="1"/>
    <col min="11768" max="11768" width="11.28515625" style="1" customWidth="1"/>
    <col min="11769" max="11769" width="10.140625" style="1" customWidth="1"/>
    <col min="11770" max="12009" width="9.140625" style="1"/>
    <col min="12010" max="12010" width="20" style="1" customWidth="1"/>
    <col min="12011" max="12011" width="11.7109375" style="1" customWidth="1"/>
    <col min="12012" max="12012" width="11.140625" style="1" customWidth="1"/>
    <col min="12013" max="12013" width="11.42578125" style="1" customWidth="1"/>
    <col min="12014" max="12014" width="12.140625" style="1" customWidth="1"/>
    <col min="12015" max="12015" width="9.140625" style="1"/>
    <col min="12016" max="12016" width="13.140625" style="1" customWidth="1"/>
    <col min="12017" max="12017" width="9.140625" style="1"/>
    <col min="12018" max="12018" width="12.28515625" style="1" customWidth="1"/>
    <col min="12019" max="12019" width="14.28515625" style="1" customWidth="1"/>
    <col min="12020" max="12020" width="10.140625" style="1" customWidth="1"/>
    <col min="12021" max="12021" width="9.140625" style="1"/>
    <col min="12022" max="12022" width="12.42578125" style="1" customWidth="1"/>
    <col min="12023" max="12023" width="9.140625" style="1"/>
    <col min="12024" max="12024" width="11.28515625" style="1" customWidth="1"/>
    <col min="12025" max="12025" width="10.140625" style="1" customWidth="1"/>
    <col min="12026" max="12265" width="9.140625" style="1"/>
    <col min="12266" max="12266" width="20" style="1" customWidth="1"/>
    <col min="12267" max="12267" width="11.7109375" style="1" customWidth="1"/>
    <col min="12268" max="12268" width="11.140625" style="1" customWidth="1"/>
    <col min="12269" max="12269" width="11.42578125" style="1" customWidth="1"/>
    <col min="12270" max="12270" width="12.140625" style="1" customWidth="1"/>
    <col min="12271" max="12271" width="9.140625" style="1"/>
    <col min="12272" max="12272" width="13.140625" style="1" customWidth="1"/>
    <col min="12273" max="12273" width="9.140625" style="1"/>
    <col min="12274" max="12274" width="12.28515625" style="1" customWidth="1"/>
    <col min="12275" max="12275" width="14.28515625" style="1" customWidth="1"/>
    <col min="12276" max="12276" width="10.140625" style="1" customWidth="1"/>
    <col min="12277" max="12277" width="9.140625" style="1"/>
    <col min="12278" max="12278" width="12.42578125" style="1" customWidth="1"/>
    <col min="12279" max="12279" width="9.140625" style="1"/>
    <col min="12280" max="12280" width="11.28515625" style="1" customWidth="1"/>
    <col min="12281" max="12281" width="10.140625" style="1" customWidth="1"/>
    <col min="12282" max="12521" width="9.140625" style="1"/>
    <col min="12522" max="12522" width="20" style="1" customWidth="1"/>
    <col min="12523" max="12523" width="11.7109375" style="1" customWidth="1"/>
    <col min="12524" max="12524" width="11.140625" style="1" customWidth="1"/>
    <col min="12525" max="12525" width="11.42578125" style="1" customWidth="1"/>
    <col min="12526" max="12526" width="12.140625" style="1" customWidth="1"/>
    <col min="12527" max="12527" width="9.140625" style="1"/>
    <col min="12528" max="12528" width="13.140625" style="1" customWidth="1"/>
    <col min="12529" max="12529" width="9.140625" style="1"/>
    <col min="12530" max="12530" width="12.28515625" style="1" customWidth="1"/>
    <col min="12531" max="12531" width="14.28515625" style="1" customWidth="1"/>
    <col min="12532" max="12532" width="10.140625" style="1" customWidth="1"/>
    <col min="12533" max="12533" width="9.140625" style="1"/>
    <col min="12534" max="12534" width="12.42578125" style="1" customWidth="1"/>
    <col min="12535" max="12535" width="9.140625" style="1"/>
    <col min="12536" max="12536" width="11.28515625" style="1" customWidth="1"/>
    <col min="12537" max="12537" width="10.140625" style="1" customWidth="1"/>
    <col min="12538" max="12777" width="9.140625" style="1"/>
    <col min="12778" max="12778" width="20" style="1" customWidth="1"/>
    <col min="12779" max="12779" width="11.7109375" style="1" customWidth="1"/>
    <col min="12780" max="12780" width="11.140625" style="1" customWidth="1"/>
    <col min="12781" max="12781" width="11.42578125" style="1" customWidth="1"/>
    <col min="12782" max="12782" width="12.140625" style="1" customWidth="1"/>
    <col min="12783" max="12783" width="9.140625" style="1"/>
    <col min="12784" max="12784" width="13.140625" style="1" customWidth="1"/>
    <col min="12785" max="12785" width="9.140625" style="1"/>
    <col min="12786" max="12786" width="12.28515625" style="1" customWidth="1"/>
    <col min="12787" max="12787" width="14.28515625" style="1" customWidth="1"/>
    <col min="12788" max="12788" width="10.140625" style="1" customWidth="1"/>
    <col min="12789" max="12789" width="9.140625" style="1"/>
    <col min="12790" max="12790" width="12.42578125" style="1" customWidth="1"/>
    <col min="12791" max="12791" width="9.140625" style="1"/>
    <col min="12792" max="12792" width="11.28515625" style="1" customWidth="1"/>
    <col min="12793" max="12793" width="10.140625" style="1" customWidth="1"/>
    <col min="12794" max="13033" width="9.140625" style="1"/>
    <col min="13034" max="13034" width="20" style="1" customWidth="1"/>
    <col min="13035" max="13035" width="11.7109375" style="1" customWidth="1"/>
    <col min="13036" max="13036" width="11.140625" style="1" customWidth="1"/>
    <col min="13037" max="13037" width="11.42578125" style="1" customWidth="1"/>
    <col min="13038" max="13038" width="12.140625" style="1" customWidth="1"/>
    <col min="13039" max="13039" width="9.140625" style="1"/>
    <col min="13040" max="13040" width="13.140625" style="1" customWidth="1"/>
    <col min="13041" max="13041" width="9.140625" style="1"/>
    <col min="13042" max="13042" width="12.28515625" style="1" customWidth="1"/>
    <col min="13043" max="13043" width="14.28515625" style="1" customWidth="1"/>
    <col min="13044" max="13044" width="10.140625" style="1" customWidth="1"/>
    <col min="13045" max="13045" width="9.140625" style="1"/>
    <col min="13046" max="13046" width="12.42578125" style="1" customWidth="1"/>
    <col min="13047" max="13047" width="9.140625" style="1"/>
    <col min="13048" max="13048" width="11.28515625" style="1" customWidth="1"/>
    <col min="13049" max="13049" width="10.140625" style="1" customWidth="1"/>
    <col min="13050" max="13289" width="9.140625" style="1"/>
    <col min="13290" max="13290" width="20" style="1" customWidth="1"/>
    <col min="13291" max="13291" width="11.7109375" style="1" customWidth="1"/>
    <col min="13292" max="13292" width="11.140625" style="1" customWidth="1"/>
    <col min="13293" max="13293" width="11.42578125" style="1" customWidth="1"/>
    <col min="13294" max="13294" width="12.140625" style="1" customWidth="1"/>
    <col min="13295" max="13295" width="9.140625" style="1"/>
    <col min="13296" max="13296" width="13.140625" style="1" customWidth="1"/>
    <col min="13297" max="13297" width="9.140625" style="1"/>
    <col min="13298" max="13298" width="12.28515625" style="1" customWidth="1"/>
    <col min="13299" max="13299" width="14.28515625" style="1" customWidth="1"/>
    <col min="13300" max="13300" width="10.140625" style="1" customWidth="1"/>
    <col min="13301" max="13301" width="9.140625" style="1"/>
    <col min="13302" max="13302" width="12.42578125" style="1" customWidth="1"/>
    <col min="13303" max="13303" width="9.140625" style="1"/>
    <col min="13304" max="13304" width="11.28515625" style="1" customWidth="1"/>
    <col min="13305" max="13305" width="10.140625" style="1" customWidth="1"/>
    <col min="13306" max="13545" width="9.140625" style="1"/>
    <col min="13546" max="13546" width="20" style="1" customWidth="1"/>
    <col min="13547" max="13547" width="11.7109375" style="1" customWidth="1"/>
    <col min="13548" max="13548" width="11.140625" style="1" customWidth="1"/>
    <col min="13549" max="13549" width="11.42578125" style="1" customWidth="1"/>
    <col min="13550" max="13550" width="12.140625" style="1" customWidth="1"/>
    <col min="13551" max="13551" width="9.140625" style="1"/>
    <col min="13552" max="13552" width="13.140625" style="1" customWidth="1"/>
    <col min="13553" max="13553" width="9.140625" style="1"/>
    <col min="13554" max="13554" width="12.28515625" style="1" customWidth="1"/>
    <col min="13555" max="13555" width="14.28515625" style="1" customWidth="1"/>
    <col min="13556" max="13556" width="10.140625" style="1" customWidth="1"/>
    <col min="13557" max="13557" width="9.140625" style="1"/>
    <col min="13558" max="13558" width="12.42578125" style="1" customWidth="1"/>
    <col min="13559" max="13559" width="9.140625" style="1"/>
    <col min="13560" max="13560" width="11.28515625" style="1" customWidth="1"/>
    <col min="13561" max="13561" width="10.140625" style="1" customWidth="1"/>
    <col min="13562" max="13801" width="9.140625" style="1"/>
    <col min="13802" max="13802" width="20" style="1" customWidth="1"/>
    <col min="13803" max="13803" width="11.7109375" style="1" customWidth="1"/>
    <col min="13804" max="13804" width="11.140625" style="1" customWidth="1"/>
    <col min="13805" max="13805" width="11.42578125" style="1" customWidth="1"/>
    <col min="13806" max="13806" width="12.140625" style="1" customWidth="1"/>
    <col min="13807" max="13807" width="9.140625" style="1"/>
    <col min="13808" max="13808" width="13.140625" style="1" customWidth="1"/>
    <col min="13809" max="13809" width="9.140625" style="1"/>
    <col min="13810" max="13810" width="12.28515625" style="1" customWidth="1"/>
    <col min="13811" max="13811" width="14.28515625" style="1" customWidth="1"/>
    <col min="13812" max="13812" width="10.140625" style="1" customWidth="1"/>
    <col min="13813" max="13813" width="9.140625" style="1"/>
    <col min="13814" max="13814" width="12.42578125" style="1" customWidth="1"/>
    <col min="13815" max="13815" width="9.140625" style="1"/>
    <col min="13816" max="13816" width="11.28515625" style="1" customWidth="1"/>
    <col min="13817" max="13817" width="10.140625" style="1" customWidth="1"/>
    <col min="13818" max="14057" width="9.140625" style="1"/>
    <col min="14058" max="14058" width="20" style="1" customWidth="1"/>
    <col min="14059" max="14059" width="11.7109375" style="1" customWidth="1"/>
    <col min="14060" max="14060" width="11.140625" style="1" customWidth="1"/>
    <col min="14061" max="14061" width="11.42578125" style="1" customWidth="1"/>
    <col min="14062" max="14062" width="12.140625" style="1" customWidth="1"/>
    <col min="14063" max="14063" width="9.140625" style="1"/>
    <col min="14064" max="14064" width="13.140625" style="1" customWidth="1"/>
    <col min="14065" max="14065" width="9.140625" style="1"/>
    <col min="14066" max="14066" width="12.28515625" style="1" customWidth="1"/>
    <col min="14067" max="14067" width="14.28515625" style="1" customWidth="1"/>
    <col min="14068" max="14068" width="10.140625" style="1" customWidth="1"/>
    <col min="14069" max="14069" width="9.140625" style="1"/>
    <col min="14070" max="14070" width="12.42578125" style="1" customWidth="1"/>
    <col min="14071" max="14071" width="9.140625" style="1"/>
    <col min="14072" max="14072" width="11.28515625" style="1" customWidth="1"/>
    <col min="14073" max="14073" width="10.140625" style="1" customWidth="1"/>
    <col min="14074" max="14313" width="9.140625" style="1"/>
    <col min="14314" max="14314" width="20" style="1" customWidth="1"/>
    <col min="14315" max="14315" width="11.7109375" style="1" customWidth="1"/>
    <col min="14316" max="14316" width="11.140625" style="1" customWidth="1"/>
    <col min="14317" max="14317" width="11.42578125" style="1" customWidth="1"/>
    <col min="14318" max="14318" width="12.140625" style="1" customWidth="1"/>
    <col min="14319" max="14319" width="9.140625" style="1"/>
    <col min="14320" max="14320" width="13.140625" style="1" customWidth="1"/>
    <col min="14321" max="14321" width="9.140625" style="1"/>
    <col min="14322" max="14322" width="12.28515625" style="1" customWidth="1"/>
    <col min="14323" max="14323" width="14.28515625" style="1" customWidth="1"/>
    <col min="14324" max="14324" width="10.140625" style="1" customWidth="1"/>
    <col min="14325" max="14325" width="9.140625" style="1"/>
    <col min="14326" max="14326" width="12.42578125" style="1" customWidth="1"/>
    <col min="14327" max="14327" width="9.140625" style="1"/>
    <col min="14328" max="14328" width="11.28515625" style="1" customWidth="1"/>
    <col min="14329" max="14329" width="10.140625" style="1" customWidth="1"/>
    <col min="14330" max="14569" width="9.140625" style="1"/>
    <col min="14570" max="14570" width="20" style="1" customWidth="1"/>
    <col min="14571" max="14571" width="11.7109375" style="1" customWidth="1"/>
    <col min="14572" max="14572" width="11.140625" style="1" customWidth="1"/>
    <col min="14573" max="14573" width="11.42578125" style="1" customWidth="1"/>
    <col min="14574" max="14574" width="12.140625" style="1" customWidth="1"/>
    <col min="14575" max="14575" width="9.140625" style="1"/>
    <col min="14576" max="14576" width="13.140625" style="1" customWidth="1"/>
    <col min="14577" max="14577" width="9.140625" style="1"/>
    <col min="14578" max="14578" width="12.28515625" style="1" customWidth="1"/>
    <col min="14579" max="14579" width="14.28515625" style="1" customWidth="1"/>
    <col min="14580" max="14580" width="10.140625" style="1" customWidth="1"/>
    <col min="14581" max="14581" width="9.140625" style="1"/>
    <col min="14582" max="14582" width="12.42578125" style="1" customWidth="1"/>
    <col min="14583" max="14583" width="9.140625" style="1"/>
    <col min="14584" max="14584" width="11.28515625" style="1" customWidth="1"/>
    <col min="14585" max="14585" width="10.140625" style="1" customWidth="1"/>
    <col min="14586" max="14825" width="9.140625" style="1"/>
    <col min="14826" max="14826" width="20" style="1" customWidth="1"/>
    <col min="14827" max="14827" width="11.7109375" style="1" customWidth="1"/>
    <col min="14828" max="14828" width="11.140625" style="1" customWidth="1"/>
    <col min="14829" max="14829" width="11.42578125" style="1" customWidth="1"/>
    <col min="14830" max="14830" width="12.140625" style="1" customWidth="1"/>
    <col min="14831" max="14831" width="9.140625" style="1"/>
    <col min="14832" max="14832" width="13.140625" style="1" customWidth="1"/>
    <col min="14833" max="14833" width="9.140625" style="1"/>
    <col min="14834" max="14834" width="12.28515625" style="1" customWidth="1"/>
    <col min="14835" max="14835" width="14.28515625" style="1" customWidth="1"/>
    <col min="14836" max="14836" width="10.140625" style="1" customWidth="1"/>
    <col min="14837" max="14837" width="9.140625" style="1"/>
    <col min="14838" max="14838" width="12.42578125" style="1" customWidth="1"/>
    <col min="14839" max="14839" width="9.140625" style="1"/>
    <col min="14840" max="14840" width="11.28515625" style="1" customWidth="1"/>
    <col min="14841" max="14841" width="10.140625" style="1" customWidth="1"/>
    <col min="14842" max="15081" width="9.140625" style="1"/>
    <col min="15082" max="15082" width="20" style="1" customWidth="1"/>
    <col min="15083" max="15083" width="11.7109375" style="1" customWidth="1"/>
    <col min="15084" max="15084" width="11.140625" style="1" customWidth="1"/>
    <col min="15085" max="15085" width="11.42578125" style="1" customWidth="1"/>
    <col min="15086" max="15086" width="12.140625" style="1" customWidth="1"/>
    <col min="15087" max="15087" width="9.140625" style="1"/>
    <col min="15088" max="15088" width="13.140625" style="1" customWidth="1"/>
    <col min="15089" max="15089" width="9.140625" style="1"/>
    <col min="15090" max="15090" width="12.28515625" style="1" customWidth="1"/>
    <col min="15091" max="15091" width="14.28515625" style="1" customWidth="1"/>
    <col min="15092" max="15092" width="10.140625" style="1" customWidth="1"/>
    <col min="15093" max="15093" width="9.140625" style="1"/>
    <col min="15094" max="15094" width="12.42578125" style="1" customWidth="1"/>
    <col min="15095" max="15095" width="9.140625" style="1"/>
    <col min="15096" max="15096" width="11.28515625" style="1" customWidth="1"/>
    <col min="15097" max="15097" width="10.140625" style="1" customWidth="1"/>
    <col min="15098" max="15337" width="9.140625" style="1"/>
    <col min="15338" max="15338" width="20" style="1" customWidth="1"/>
    <col min="15339" max="15339" width="11.7109375" style="1" customWidth="1"/>
    <col min="15340" max="15340" width="11.140625" style="1" customWidth="1"/>
    <col min="15341" max="15341" width="11.42578125" style="1" customWidth="1"/>
    <col min="15342" max="15342" width="12.140625" style="1" customWidth="1"/>
    <col min="15343" max="15343" width="9.140625" style="1"/>
    <col min="15344" max="15344" width="13.140625" style="1" customWidth="1"/>
    <col min="15345" max="15345" width="9.140625" style="1"/>
    <col min="15346" max="15346" width="12.28515625" style="1" customWidth="1"/>
    <col min="15347" max="15347" width="14.28515625" style="1" customWidth="1"/>
    <col min="15348" max="15348" width="10.140625" style="1" customWidth="1"/>
    <col min="15349" max="15349" width="9.140625" style="1"/>
    <col min="15350" max="15350" width="12.42578125" style="1" customWidth="1"/>
    <col min="15351" max="15351" width="9.140625" style="1"/>
    <col min="15352" max="15352" width="11.28515625" style="1" customWidth="1"/>
    <col min="15353" max="15353" width="10.140625" style="1" customWidth="1"/>
    <col min="15354" max="15593" width="9.140625" style="1"/>
    <col min="15594" max="15594" width="20" style="1" customWidth="1"/>
    <col min="15595" max="15595" width="11.7109375" style="1" customWidth="1"/>
    <col min="15596" max="15596" width="11.140625" style="1" customWidth="1"/>
    <col min="15597" max="15597" width="11.42578125" style="1" customWidth="1"/>
    <col min="15598" max="15598" width="12.140625" style="1" customWidth="1"/>
    <col min="15599" max="15599" width="9.140625" style="1"/>
    <col min="15600" max="15600" width="13.140625" style="1" customWidth="1"/>
    <col min="15601" max="15601" width="9.140625" style="1"/>
    <col min="15602" max="15602" width="12.28515625" style="1" customWidth="1"/>
    <col min="15603" max="15603" width="14.28515625" style="1" customWidth="1"/>
    <col min="15604" max="15604" width="10.140625" style="1" customWidth="1"/>
    <col min="15605" max="15605" width="9.140625" style="1"/>
    <col min="15606" max="15606" width="12.42578125" style="1" customWidth="1"/>
    <col min="15607" max="15607" width="9.140625" style="1"/>
    <col min="15608" max="15608" width="11.28515625" style="1" customWidth="1"/>
    <col min="15609" max="15609" width="10.140625" style="1" customWidth="1"/>
    <col min="15610" max="15849" width="9.140625" style="1"/>
    <col min="15850" max="15850" width="20" style="1" customWidth="1"/>
    <col min="15851" max="15851" width="11.7109375" style="1" customWidth="1"/>
    <col min="15852" max="15852" width="11.140625" style="1" customWidth="1"/>
    <col min="15853" max="15853" width="11.42578125" style="1" customWidth="1"/>
    <col min="15854" max="15854" width="12.140625" style="1" customWidth="1"/>
    <col min="15855" max="15855" width="9.140625" style="1"/>
    <col min="15856" max="15856" width="13.140625" style="1" customWidth="1"/>
    <col min="15857" max="15857" width="9.140625" style="1"/>
    <col min="15858" max="15858" width="12.28515625" style="1" customWidth="1"/>
    <col min="15859" max="15859" width="14.28515625" style="1" customWidth="1"/>
    <col min="15860" max="15860" width="10.140625" style="1" customWidth="1"/>
    <col min="15861" max="15861" width="9.140625" style="1"/>
    <col min="15862" max="15862" width="12.42578125" style="1" customWidth="1"/>
    <col min="15863" max="15863" width="9.140625" style="1"/>
    <col min="15864" max="15864" width="11.28515625" style="1" customWidth="1"/>
    <col min="15865" max="15865" width="10.140625" style="1" customWidth="1"/>
    <col min="15866" max="16105" width="9.140625" style="1"/>
    <col min="16106" max="16106" width="20" style="1" customWidth="1"/>
    <col min="16107" max="16107" width="11.7109375" style="1" customWidth="1"/>
    <col min="16108" max="16108" width="11.140625" style="1" customWidth="1"/>
    <col min="16109" max="16109" width="11.42578125" style="1" customWidth="1"/>
    <col min="16110" max="16110" width="12.140625" style="1" customWidth="1"/>
    <col min="16111" max="16111" width="9.140625" style="1"/>
    <col min="16112" max="16112" width="13.140625" style="1" customWidth="1"/>
    <col min="16113" max="16113" width="9.140625" style="1"/>
    <col min="16114" max="16114" width="12.28515625" style="1" customWidth="1"/>
    <col min="16115" max="16115" width="14.28515625" style="1" customWidth="1"/>
    <col min="16116" max="16116" width="10.140625" style="1" customWidth="1"/>
    <col min="16117" max="16117" width="9.140625" style="1"/>
    <col min="16118" max="16118" width="12.42578125" style="1" customWidth="1"/>
    <col min="16119" max="16119" width="9.140625" style="1"/>
    <col min="16120" max="16120" width="11.28515625" style="1" customWidth="1"/>
    <col min="16121" max="16121" width="10.140625" style="1" customWidth="1"/>
    <col min="16122" max="16384" width="9.140625" style="1"/>
  </cols>
  <sheetData>
    <row r="1" spans="1:25" ht="15.75" customHeight="1" x14ac:dyDescent="0.2">
      <c r="A1" s="298" t="s">
        <v>1129</v>
      </c>
    </row>
    <row r="2" spans="1:25" ht="15.75" customHeight="1" x14ac:dyDescent="0.2">
      <c r="A2" s="106" t="s">
        <v>578</v>
      </c>
    </row>
    <row r="3" spans="1:25" ht="38.25" customHeight="1" x14ac:dyDescent="0.2">
      <c r="A3" s="120" t="s">
        <v>1517</v>
      </c>
      <c r="B3" s="120"/>
      <c r="C3" s="120"/>
      <c r="D3"/>
      <c r="E3" s="120"/>
      <c r="F3" s="120"/>
      <c r="G3" s="120"/>
      <c r="H3" s="120"/>
      <c r="I3" s="120"/>
      <c r="K3"/>
      <c r="L3"/>
      <c r="M3"/>
      <c r="N3"/>
      <c r="O3"/>
    </row>
    <row r="4" spans="1:25" ht="15.75" customHeight="1" x14ac:dyDescent="0.25">
      <c r="A4" s="1099" t="s">
        <v>1484</v>
      </c>
      <c r="B4" s="120"/>
      <c r="C4" s="120"/>
      <c r="D4"/>
      <c r="E4" s="120"/>
      <c r="F4" s="120"/>
      <c r="G4" s="120"/>
      <c r="H4" s="120"/>
      <c r="I4" s="120"/>
      <c r="K4"/>
      <c r="L4"/>
      <c r="M4"/>
      <c r="N4"/>
      <c r="O4"/>
    </row>
    <row r="5" spans="1:25" ht="15.75" customHeight="1" x14ac:dyDescent="0.25">
      <c r="A5" s="351" t="s">
        <v>579</v>
      </c>
      <c r="B5" s="1098" t="s">
        <v>1482</v>
      </c>
      <c r="D5" s="129"/>
      <c r="E5" s="129"/>
      <c r="F5" s="129"/>
      <c r="G5" s="129"/>
      <c r="H5" s="129"/>
      <c r="I5" s="373"/>
      <c r="K5"/>
      <c r="L5"/>
      <c r="M5"/>
      <c r="N5"/>
      <c r="O5"/>
    </row>
    <row r="6" spans="1:25" ht="15.75" customHeight="1" x14ac:dyDescent="0.25">
      <c r="A6" s="351" t="s">
        <v>580</v>
      </c>
      <c r="B6" s="351" t="s">
        <v>581</v>
      </c>
      <c r="C6" s="129"/>
      <c r="D6" s="129"/>
      <c r="E6" s="129"/>
      <c r="F6" s="129"/>
      <c r="G6" s="129"/>
      <c r="H6" s="129"/>
      <c r="I6" s="129"/>
      <c r="K6"/>
      <c r="L6"/>
      <c r="M6"/>
      <c r="N6"/>
      <c r="O6"/>
    </row>
    <row r="7" spans="1:25" ht="15.75" customHeight="1" x14ac:dyDescent="0.25">
      <c r="A7" s="351" t="s">
        <v>582</v>
      </c>
      <c r="B7" s="351" t="s">
        <v>585</v>
      </c>
      <c r="C7" s="129"/>
      <c r="D7" s="129"/>
      <c r="E7" s="129"/>
      <c r="F7" s="129"/>
      <c r="G7" s="129"/>
      <c r="H7" s="129"/>
      <c r="I7" s="129"/>
      <c r="K7"/>
      <c r="L7"/>
      <c r="M7"/>
      <c r="N7"/>
      <c r="O7"/>
    </row>
    <row r="8" spans="1:25" ht="15.75" customHeight="1" x14ac:dyDescent="0.25">
      <c r="A8" s="351"/>
      <c r="B8" s="351"/>
      <c r="C8" s="129"/>
      <c r="D8" s="129"/>
      <c r="E8" s="129"/>
      <c r="F8" s="129"/>
      <c r="G8" s="129"/>
      <c r="H8" s="129"/>
      <c r="I8" s="129"/>
      <c r="K8"/>
      <c r="L8"/>
      <c r="M8"/>
      <c r="N8"/>
      <c r="O8"/>
    </row>
    <row r="9" spans="1:25" ht="15.75" customHeight="1" x14ac:dyDescent="0.25">
      <c r="A9" s="351"/>
      <c r="B9" s="351"/>
      <c r="C9" s="129" t="s">
        <v>59</v>
      </c>
      <c r="D9" s="129"/>
      <c r="E9" s="129"/>
      <c r="F9" s="129"/>
      <c r="G9" s="129"/>
      <c r="H9" s="129"/>
      <c r="I9" s="129"/>
      <c r="K9"/>
      <c r="L9"/>
      <c r="M9"/>
      <c r="N9"/>
      <c r="O9"/>
    </row>
    <row r="10" spans="1:25" x14ac:dyDescent="0.2">
      <c r="K10"/>
      <c r="L10"/>
      <c r="M10"/>
      <c r="N10"/>
      <c r="O10"/>
    </row>
    <row r="11" spans="1:25" ht="17.25" customHeight="1" x14ac:dyDescent="0.2">
      <c r="A11" s="1369" t="s">
        <v>4</v>
      </c>
      <c r="B11" s="1304" t="s">
        <v>1477</v>
      </c>
      <c r="C11" s="1305"/>
      <c r="D11" s="1306"/>
      <c r="E11" s="1288" t="s">
        <v>1478</v>
      </c>
      <c r="F11" s="1290"/>
      <c r="G11" s="1307" t="s">
        <v>1448</v>
      </c>
      <c r="H11" s="1308"/>
      <c r="I11" s="100"/>
      <c r="K11"/>
      <c r="L11"/>
      <c r="M11"/>
      <c r="N11"/>
      <c r="O11"/>
    </row>
    <row r="12" spans="1:25" s="28" customFormat="1" ht="52.5" customHeight="1" x14ac:dyDescent="0.2">
      <c r="A12" s="1370"/>
      <c r="B12" s="337" t="s">
        <v>1471</v>
      </c>
      <c r="C12" s="337" t="s">
        <v>1472</v>
      </c>
      <c r="D12" s="337" t="s">
        <v>1473</v>
      </c>
      <c r="E12" s="337" t="s">
        <v>1474</v>
      </c>
      <c r="F12" s="337" t="s">
        <v>1475</v>
      </c>
      <c r="G12" s="337" t="s">
        <v>1474</v>
      </c>
      <c r="H12" s="337" t="s">
        <v>1475</v>
      </c>
      <c r="I12" s="145"/>
      <c r="J12"/>
      <c r="K12"/>
      <c r="L12"/>
      <c r="M12"/>
      <c r="N12"/>
      <c r="O12"/>
      <c r="P12"/>
      <c r="Q12"/>
      <c r="R12"/>
      <c r="S12"/>
      <c r="T12"/>
      <c r="U12"/>
      <c r="V12"/>
      <c r="W12"/>
      <c r="X12"/>
      <c r="Y12"/>
    </row>
    <row r="13" spans="1:25" ht="13.5" customHeight="1" x14ac:dyDescent="0.2">
      <c r="A13" s="1189" t="str">
        <f>MultiAllFatal!A5</f>
        <v>2009-10</v>
      </c>
      <c r="B13" s="396">
        <f>MultiAllFatal!H5</f>
        <v>16</v>
      </c>
      <c r="C13" s="396">
        <f>MultiAllFatal!G5</f>
        <v>6</v>
      </c>
      <c r="D13" s="396">
        <f>MultiAllFatal!F5</f>
        <v>4</v>
      </c>
      <c r="E13" s="396">
        <f>MultiAllFatal!C5</f>
        <v>2</v>
      </c>
      <c r="F13" s="396">
        <f>MultiAllFatal!B5</f>
        <v>0</v>
      </c>
      <c r="G13" s="396">
        <f>MultiAllFatal!E5</f>
        <v>0</v>
      </c>
      <c r="H13" s="396">
        <f>MultiAllFatal!D5</f>
        <v>0</v>
      </c>
      <c r="I13" s="486"/>
      <c r="J13" s="191"/>
      <c r="K13"/>
      <c r="L13"/>
      <c r="M13"/>
      <c r="N13"/>
      <c r="O13"/>
      <c r="P13"/>
      <c r="Q13"/>
      <c r="R13"/>
      <c r="S13"/>
      <c r="T13"/>
      <c r="U13"/>
      <c r="V13"/>
      <c r="W13"/>
      <c r="X13"/>
      <c r="Y13"/>
    </row>
    <row r="14" spans="1:25" ht="13.5" customHeight="1" x14ac:dyDescent="0.2">
      <c r="A14" s="1190" t="str">
        <f>MultiAllFatal!A6</f>
        <v>2010-11</v>
      </c>
      <c r="B14" s="397">
        <f>MultiAllFatal!H6</f>
        <v>9</v>
      </c>
      <c r="C14" s="397">
        <f>MultiAllFatal!G6</f>
        <v>7</v>
      </c>
      <c r="D14" s="397">
        <f>MultiAllFatal!F6</f>
        <v>5</v>
      </c>
      <c r="E14" s="397">
        <f>MultiAllFatal!C6</f>
        <v>0</v>
      </c>
      <c r="F14" s="397">
        <f>MultiAllFatal!B6</f>
        <v>0</v>
      </c>
      <c r="G14" s="397">
        <f>MultiAllFatal!E6</f>
        <v>1</v>
      </c>
      <c r="H14" s="397">
        <f>MultiAllFatal!D6</f>
        <v>0</v>
      </c>
      <c r="I14" s="486"/>
      <c r="J14" s="191"/>
      <c r="K14"/>
      <c r="L14"/>
      <c r="M14"/>
      <c r="N14"/>
      <c r="O14"/>
    </row>
    <row r="15" spans="1:25" ht="13.5" customHeight="1" x14ac:dyDescent="0.2">
      <c r="A15" s="1190" t="str">
        <f>MultiAllFatal!A7</f>
        <v>2011-12</v>
      </c>
      <c r="B15" s="397">
        <f>MultiAllFatal!H7</f>
        <v>20</v>
      </c>
      <c r="C15" s="397">
        <f>MultiAllFatal!G7</f>
        <v>4</v>
      </c>
      <c r="D15" s="397">
        <f>MultiAllFatal!F7</f>
        <v>0</v>
      </c>
      <c r="E15" s="397">
        <f>MultiAllFatal!C7</f>
        <v>1</v>
      </c>
      <c r="F15" s="397">
        <f>MultiAllFatal!B7</f>
        <v>0</v>
      </c>
      <c r="G15" s="397">
        <f>MultiAllFatal!E7</f>
        <v>0</v>
      </c>
      <c r="H15" s="397">
        <f>MultiAllFatal!D7</f>
        <v>0</v>
      </c>
      <c r="I15" s="486"/>
      <c r="J15" s="191"/>
      <c r="K15"/>
      <c r="L15"/>
      <c r="M15"/>
      <c r="N15"/>
      <c r="O15"/>
    </row>
    <row r="16" spans="1:25" ht="13.5" customHeight="1" x14ac:dyDescent="0.2">
      <c r="A16" s="1190" t="str">
        <f>MultiAllFatal!A8</f>
        <v>2012-13</v>
      </c>
      <c r="B16" s="397">
        <f>MultiAllFatal!H8</f>
        <v>6</v>
      </c>
      <c r="C16" s="397">
        <f>MultiAllFatal!G8</f>
        <v>4</v>
      </c>
      <c r="D16" s="397">
        <f>MultiAllFatal!F8</f>
        <v>2</v>
      </c>
      <c r="E16" s="397">
        <f>MultiAllFatal!C8</f>
        <v>2</v>
      </c>
      <c r="F16" s="397">
        <f>MultiAllFatal!B8</f>
        <v>0</v>
      </c>
      <c r="G16" s="397">
        <f>MultiAllFatal!E8</f>
        <v>0</v>
      </c>
      <c r="H16" s="397">
        <f>MultiAllFatal!D8</f>
        <v>0</v>
      </c>
      <c r="I16" s="486"/>
      <c r="J16" s="191"/>
      <c r="K16"/>
      <c r="L16"/>
      <c r="M16"/>
      <c r="N16"/>
      <c r="O16"/>
    </row>
    <row r="17" spans="1:15" ht="13.5" customHeight="1" x14ac:dyDescent="0.2">
      <c r="A17" s="1190" t="str">
        <f>MultiAllFatal!A9</f>
        <v>2013-14</v>
      </c>
      <c r="B17" s="397">
        <f>MultiAllFatal!H9</f>
        <v>5</v>
      </c>
      <c r="C17" s="397">
        <f>MultiAllFatal!G9</f>
        <v>2</v>
      </c>
      <c r="D17" s="397">
        <f>MultiAllFatal!F9</f>
        <v>4</v>
      </c>
      <c r="E17" s="397">
        <f>MultiAllFatal!C9</f>
        <v>0</v>
      </c>
      <c r="F17" s="397">
        <f>MultiAllFatal!B9</f>
        <v>0</v>
      </c>
      <c r="G17" s="397">
        <f>MultiAllFatal!E9</f>
        <v>0</v>
      </c>
      <c r="H17" s="397">
        <f>MultiAllFatal!D9</f>
        <v>0</v>
      </c>
      <c r="I17" s="486"/>
      <c r="J17" s="191"/>
      <c r="K17"/>
      <c r="L17"/>
      <c r="M17"/>
      <c r="N17"/>
      <c r="O17"/>
    </row>
    <row r="18" spans="1:15" ht="13.5" customHeight="1" x14ac:dyDescent="0.2">
      <c r="A18" s="1190" t="str">
        <f>MultiAllFatal!A10</f>
        <v>2014-15</v>
      </c>
      <c r="B18" s="397">
        <f>MultiAllFatal!H10</f>
        <v>7</v>
      </c>
      <c r="C18" s="397">
        <f>MultiAllFatal!G10</f>
        <v>2</v>
      </c>
      <c r="D18" s="397">
        <f>MultiAllFatal!F10</f>
        <v>0</v>
      </c>
      <c r="E18" s="397">
        <f>MultiAllFatal!C10</f>
        <v>0</v>
      </c>
      <c r="F18" s="397">
        <f>MultiAllFatal!B10</f>
        <v>2</v>
      </c>
      <c r="G18" s="397">
        <f>MultiAllFatal!E10</f>
        <v>0</v>
      </c>
      <c r="H18" s="397">
        <f>MultiAllFatal!D10</f>
        <v>0</v>
      </c>
      <c r="I18" s="486"/>
      <c r="J18" s="191"/>
      <c r="K18"/>
      <c r="L18"/>
      <c r="M18"/>
      <c r="N18"/>
      <c r="O18"/>
    </row>
    <row r="19" spans="1:15" customFormat="1" ht="13.5" customHeight="1" x14ac:dyDescent="0.2">
      <c r="A19" s="1190" t="str">
        <f>MultiAllFatal!A11</f>
        <v>2015-16</v>
      </c>
      <c r="B19" s="397">
        <f>MultiAllFatal!H11</f>
        <v>8</v>
      </c>
      <c r="C19" s="397">
        <f>MultiAllFatal!G11</f>
        <v>4</v>
      </c>
      <c r="D19" s="397">
        <f>MultiAllFatal!F11</f>
        <v>0</v>
      </c>
      <c r="E19" s="397">
        <f>MultiAllFatal!C11</f>
        <v>0</v>
      </c>
      <c r="F19" s="397">
        <f>MultiAllFatal!B11</f>
        <v>0</v>
      </c>
      <c r="G19" s="397">
        <f>MultiAllFatal!E11</f>
        <v>0</v>
      </c>
      <c r="H19" s="397">
        <f>MultiAllFatal!D11</f>
        <v>0</v>
      </c>
      <c r="I19" s="486"/>
      <c r="J19" s="191"/>
    </row>
    <row r="20" spans="1:15" customFormat="1" ht="13.5" customHeight="1" x14ac:dyDescent="0.2">
      <c r="A20" s="1190" t="str">
        <f>MultiAllFatal!A12</f>
        <v>2016-17</v>
      </c>
      <c r="B20" s="397">
        <f>MultiAllFatal!H12</f>
        <v>9</v>
      </c>
      <c r="C20" s="397">
        <f>MultiAllFatal!G12</f>
        <v>1</v>
      </c>
      <c r="D20" s="397">
        <f>MultiAllFatal!F12</f>
        <v>0</v>
      </c>
      <c r="E20" s="397">
        <f>MultiAllFatal!C12</f>
        <v>0</v>
      </c>
      <c r="F20" s="397">
        <f>MultiAllFatal!B12</f>
        <v>1</v>
      </c>
      <c r="G20" s="397">
        <f>MultiAllFatal!E12</f>
        <v>0</v>
      </c>
      <c r="H20" s="397">
        <f>MultiAllFatal!D12</f>
        <v>0</v>
      </c>
      <c r="J20" s="191"/>
    </row>
    <row r="21" spans="1:15" customFormat="1" ht="13.5" customHeight="1" x14ac:dyDescent="0.2">
      <c r="A21" s="1190" t="str">
        <f>MultiAllFatal!A13</f>
        <v>2017-18</v>
      </c>
      <c r="B21" s="397">
        <f>MultiAllFatal!H13</f>
        <v>5</v>
      </c>
      <c r="C21" s="397">
        <f>MultiAllFatal!G13</f>
        <v>1</v>
      </c>
      <c r="D21" s="397">
        <f>MultiAllFatal!F13</f>
        <v>4</v>
      </c>
      <c r="E21" s="397">
        <f>MultiAllFatal!C13</f>
        <v>1</v>
      </c>
      <c r="F21" s="397">
        <f>MultiAllFatal!B13</f>
        <v>0</v>
      </c>
      <c r="G21" s="397">
        <f>MultiAllFatal!E13</f>
        <v>0</v>
      </c>
      <c r="H21" s="397">
        <f>MultiAllFatal!D13</f>
        <v>0</v>
      </c>
      <c r="J21" s="191"/>
    </row>
    <row r="22" spans="1:15" customFormat="1" ht="13.5" customHeight="1" x14ac:dyDescent="0.2">
      <c r="A22" s="1190" t="str">
        <f>MultiAllFatal!A14</f>
        <v>2018-19</v>
      </c>
      <c r="B22" s="397">
        <f>MultiAllFatal!H14</f>
        <v>7</v>
      </c>
      <c r="C22" s="397">
        <f>MultiAllFatal!G14</f>
        <v>2</v>
      </c>
      <c r="D22" s="397">
        <f>MultiAllFatal!F14</f>
        <v>1</v>
      </c>
      <c r="E22" s="397">
        <f>MultiAllFatal!C14</f>
        <v>0</v>
      </c>
      <c r="F22" s="397">
        <f>MultiAllFatal!B14</f>
        <v>1</v>
      </c>
      <c r="G22" s="397">
        <f>MultiAllFatal!E14</f>
        <v>0</v>
      </c>
      <c r="H22" s="397">
        <f>MultiAllFatal!D14</f>
        <v>0</v>
      </c>
      <c r="J22" s="191"/>
    </row>
    <row r="23" spans="1:15" customFormat="1" ht="13.5" customHeight="1" x14ac:dyDescent="0.2">
      <c r="A23" s="1190" t="str">
        <f>MultiAllFatal!A15</f>
        <v>2019-20</v>
      </c>
      <c r="B23" s="397">
        <f>MultiAllFatal!H15</f>
        <v>5</v>
      </c>
      <c r="C23" s="397">
        <f>MultiAllFatal!G15</f>
        <v>0</v>
      </c>
      <c r="D23" s="397">
        <f>MultiAllFatal!F15</f>
        <v>1</v>
      </c>
      <c r="E23" s="397">
        <f>MultiAllFatal!C15</f>
        <v>0</v>
      </c>
      <c r="F23" s="397">
        <f>MultiAllFatal!B15</f>
        <v>0</v>
      </c>
      <c r="G23" s="397">
        <f>MultiAllFatal!E15</f>
        <v>0</v>
      </c>
      <c r="H23" s="397">
        <f>MultiAllFatal!D15</f>
        <v>0</v>
      </c>
      <c r="J23" s="191"/>
    </row>
    <row r="24" spans="1:15" ht="13.5" thickBot="1" x14ac:dyDescent="0.25">
      <c r="A24" s="1191" t="str">
        <f>MultiAllFatal!A16</f>
        <v>2020-21</v>
      </c>
      <c r="B24" s="1101">
        <f>MultiAllFatal!H16</f>
        <v>10</v>
      </c>
      <c r="C24" s="1101">
        <f>MultiAllFatal!G16</f>
        <v>1</v>
      </c>
      <c r="D24" s="1101">
        <f>MultiAllFatal!F16</f>
        <v>1</v>
      </c>
      <c r="E24" s="1101">
        <f>MultiAllFatal!C16</f>
        <v>1</v>
      </c>
      <c r="F24" s="1101">
        <f>MultiAllFatal!B16</f>
        <v>1</v>
      </c>
      <c r="G24" s="1101">
        <f>MultiAllFatal!E16</f>
        <v>0</v>
      </c>
      <c r="H24" s="1101">
        <f>MultiAllFatal!D16</f>
        <v>0</v>
      </c>
      <c r="I24"/>
      <c r="J24" s="191"/>
      <c r="K24"/>
      <c r="L24"/>
      <c r="M24"/>
      <c r="N24"/>
      <c r="O24"/>
    </row>
    <row r="25" spans="1:15" ht="15" x14ac:dyDescent="0.2">
      <c r="A25" s="274"/>
      <c r="B25" s="601"/>
      <c r="C25" s="601"/>
      <c r="D25" s="601"/>
      <c r="E25" s="601"/>
      <c r="F25" s="601"/>
      <c r="G25" s="601"/>
      <c r="H25" s="601"/>
      <c r="I25"/>
      <c r="J25" s="191"/>
      <c r="K25"/>
      <c r="L25"/>
      <c r="M25"/>
      <c r="N25"/>
      <c r="O25"/>
    </row>
    <row r="26" spans="1:15" ht="15.75" x14ac:dyDescent="0.25">
      <c r="A26" s="274"/>
      <c r="B26" s="351"/>
      <c r="C26" s="129" t="s">
        <v>73</v>
      </c>
      <c r="D26" s="129"/>
      <c r="E26" s="129"/>
      <c r="F26" s="129"/>
      <c r="G26" s="129"/>
      <c r="H26" s="129"/>
      <c r="I26"/>
      <c r="J26" s="191"/>
      <c r="K26"/>
      <c r="L26"/>
      <c r="M26"/>
      <c r="N26"/>
      <c r="O26"/>
    </row>
    <row r="27" spans="1:15" x14ac:dyDescent="0.2">
      <c r="A27" s="274"/>
      <c r="I27"/>
      <c r="J27" s="191"/>
      <c r="K27"/>
      <c r="L27"/>
      <c r="M27"/>
      <c r="N27"/>
      <c r="O27"/>
    </row>
    <row r="28" spans="1:15" x14ac:dyDescent="0.2">
      <c r="A28" s="1369" t="s">
        <v>4</v>
      </c>
      <c r="B28" s="1304" t="s">
        <v>1477</v>
      </c>
      <c r="C28" s="1305"/>
      <c r="D28" s="1306"/>
      <c r="E28" s="1288" t="s">
        <v>1478</v>
      </c>
      <c r="F28" s="1290"/>
      <c r="G28" s="1307" t="s">
        <v>1448</v>
      </c>
      <c r="H28" s="1308"/>
      <c r="I28"/>
      <c r="J28" s="191"/>
      <c r="K28"/>
      <c r="L28"/>
      <c r="M28"/>
      <c r="N28"/>
      <c r="O28"/>
    </row>
    <row r="29" spans="1:15" ht="25.5" x14ac:dyDescent="0.2">
      <c r="A29" s="1370"/>
      <c r="B29" s="337" t="s">
        <v>1471</v>
      </c>
      <c r="C29" s="337" t="s">
        <v>1472</v>
      </c>
      <c r="D29" s="337" t="s">
        <v>1473</v>
      </c>
      <c r="E29" s="337" t="s">
        <v>1474</v>
      </c>
      <c r="F29" s="337" t="s">
        <v>1475</v>
      </c>
      <c r="G29" s="337" t="s">
        <v>1474</v>
      </c>
      <c r="H29" s="337" t="s">
        <v>1475</v>
      </c>
      <c r="I29"/>
      <c r="J29" s="191"/>
      <c r="K29"/>
      <c r="L29"/>
      <c r="M29"/>
      <c r="N29"/>
      <c r="O29"/>
    </row>
    <row r="30" spans="1:15" x14ac:dyDescent="0.2">
      <c r="A30" s="1189" t="str">
        <f>MultiAllNonFatal!A5</f>
        <v>2009-10</v>
      </c>
      <c r="B30" s="396">
        <f>MultiAllNonFatal!H5</f>
        <v>348</v>
      </c>
      <c r="C30" s="396">
        <f>MultiAllNonFatal!G5</f>
        <v>113</v>
      </c>
      <c r="D30" s="396">
        <f>MultiAllNonFatal!F5</f>
        <v>65</v>
      </c>
      <c r="E30" s="396">
        <f>MultiAllNonFatal!C5</f>
        <v>12</v>
      </c>
      <c r="F30" s="396">
        <f>MultiAllNonFatal!B5</f>
        <v>4</v>
      </c>
      <c r="G30" s="396">
        <f>MultiAllNonFatal!E5</f>
        <v>0</v>
      </c>
      <c r="H30" s="396">
        <f>MultiAllNonFatal!D5</f>
        <v>2</v>
      </c>
      <c r="I30"/>
      <c r="J30" s="191"/>
      <c r="K30"/>
      <c r="L30"/>
      <c r="M30"/>
      <c r="N30"/>
      <c r="O30"/>
    </row>
    <row r="31" spans="1:15" x14ac:dyDescent="0.2">
      <c r="A31" s="1190" t="str">
        <f>MultiAllNonFatal!A6</f>
        <v>2010-11</v>
      </c>
      <c r="B31" s="397">
        <f>MultiAllNonFatal!H6</f>
        <v>305</v>
      </c>
      <c r="C31" s="397">
        <f>MultiAllNonFatal!G6</f>
        <v>144</v>
      </c>
      <c r="D31" s="397">
        <f>MultiAllNonFatal!F6</f>
        <v>64</v>
      </c>
      <c r="E31" s="397">
        <f>MultiAllNonFatal!C6</f>
        <v>21</v>
      </c>
      <c r="F31" s="397">
        <f>MultiAllNonFatal!B6</f>
        <v>21</v>
      </c>
      <c r="G31" s="397">
        <f>MultiAllNonFatal!E6</f>
        <v>2</v>
      </c>
      <c r="H31" s="397">
        <f>MultiAllNonFatal!D6</f>
        <v>2</v>
      </c>
      <c r="I31"/>
      <c r="J31" s="191"/>
      <c r="K31"/>
      <c r="L31"/>
      <c r="M31"/>
      <c r="N31"/>
      <c r="O31"/>
    </row>
    <row r="32" spans="1:15" x14ac:dyDescent="0.2">
      <c r="A32" s="1190" t="str">
        <f>MultiAllNonFatal!A7</f>
        <v>2011-12</v>
      </c>
      <c r="B32" s="397">
        <f>MultiAllNonFatal!H7</f>
        <v>350</v>
      </c>
      <c r="C32" s="397">
        <f>MultiAllNonFatal!G7</f>
        <v>133</v>
      </c>
      <c r="D32" s="397">
        <f>MultiAllNonFatal!F7</f>
        <v>72</v>
      </c>
      <c r="E32" s="397">
        <f>MultiAllNonFatal!C7</f>
        <v>13</v>
      </c>
      <c r="F32" s="397">
        <f>MultiAllNonFatal!B7</f>
        <v>20</v>
      </c>
      <c r="G32" s="397">
        <f>MultiAllNonFatal!E7</f>
        <v>4</v>
      </c>
      <c r="H32" s="397">
        <f>MultiAllNonFatal!D7</f>
        <v>2</v>
      </c>
      <c r="I32"/>
      <c r="J32" s="191"/>
      <c r="K32"/>
      <c r="L32"/>
      <c r="M32"/>
      <c r="N32"/>
      <c r="O32"/>
    </row>
    <row r="33" spans="1:15" x14ac:dyDescent="0.2">
      <c r="A33" s="1190" t="str">
        <f>MultiAllNonFatal!A8</f>
        <v>2012-13</v>
      </c>
      <c r="B33" s="397">
        <f>MultiAllNonFatal!H8</f>
        <v>282</v>
      </c>
      <c r="C33" s="397">
        <f>MultiAllNonFatal!G8</f>
        <v>118</v>
      </c>
      <c r="D33" s="397">
        <f>MultiAllNonFatal!F8</f>
        <v>72</v>
      </c>
      <c r="E33" s="397">
        <f>MultiAllNonFatal!C8</f>
        <v>28</v>
      </c>
      <c r="F33" s="397">
        <f>MultiAllNonFatal!B8</f>
        <v>18</v>
      </c>
      <c r="G33" s="397">
        <f>MultiAllNonFatal!E8</f>
        <v>1</v>
      </c>
      <c r="H33" s="397">
        <f>MultiAllNonFatal!D8</f>
        <v>5</v>
      </c>
      <c r="I33"/>
      <c r="J33" s="191"/>
      <c r="K33"/>
      <c r="L33"/>
      <c r="M33"/>
      <c r="N33"/>
      <c r="O33"/>
    </row>
    <row r="34" spans="1:15" x14ac:dyDescent="0.2">
      <c r="A34" s="1190" t="str">
        <f>MultiAllNonFatal!A9</f>
        <v>2013-14</v>
      </c>
      <c r="B34" s="397">
        <f>MultiAllNonFatal!H9</f>
        <v>244</v>
      </c>
      <c r="C34" s="397">
        <f>MultiAllNonFatal!G9</f>
        <v>143</v>
      </c>
      <c r="D34" s="397">
        <f>MultiAllNonFatal!F9</f>
        <v>60</v>
      </c>
      <c r="E34" s="397">
        <f>MultiAllNonFatal!C9</f>
        <v>23</v>
      </c>
      <c r="F34" s="397">
        <f>MultiAllNonFatal!B9</f>
        <v>24</v>
      </c>
      <c r="G34" s="397">
        <f>MultiAllNonFatal!E9</f>
        <v>0</v>
      </c>
      <c r="H34" s="397">
        <f>MultiAllNonFatal!D9</f>
        <v>3</v>
      </c>
      <c r="I34"/>
      <c r="J34" s="191"/>
      <c r="K34"/>
      <c r="L34"/>
      <c r="M34"/>
      <c r="N34"/>
      <c r="O34"/>
    </row>
    <row r="35" spans="1:15" x14ac:dyDescent="0.2">
      <c r="A35" s="1190" t="str">
        <f>MultiAllNonFatal!A10</f>
        <v>2014-15</v>
      </c>
      <c r="B35" s="397">
        <f>MultiAllNonFatal!H10</f>
        <v>232</v>
      </c>
      <c r="C35" s="397">
        <f>MultiAllNonFatal!G10</f>
        <v>114</v>
      </c>
      <c r="D35" s="397">
        <f>MultiAllNonFatal!F10</f>
        <v>43</v>
      </c>
      <c r="E35" s="397">
        <f>MultiAllNonFatal!C10</f>
        <v>11</v>
      </c>
      <c r="F35" s="397">
        <f>MultiAllNonFatal!B10</f>
        <v>16</v>
      </c>
      <c r="G35" s="397">
        <f>MultiAllNonFatal!E10</f>
        <v>3</v>
      </c>
      <c r="H35" s="397">
        <f>MultiAllNonFatal!D10</f>
        <v>6</v>
      </c>
      <c r="I35"/>
      <c r="J35" s="191"/>
      <c r="K35"/>
      <c r="L35"/>
      <c r="M35"/>
      <c r="N35"/>
      <c r="O35"/>
    </row>
    <row r="36" spans="1:15" x14ac:dyDescent="0.2">
      <c r="A36" s="1190" t="str">
        <f>MultiAllNonFatal!A11</f>
        <v>2015-16</v>
      </c>
      <c r="B36" s="397">
        <f>MultiAllNonFatal!H11</f>
        <v>254</v>
      </c>
      <c r="C36" s="397">
        <f>MultiAllNonFatal!G11</f>
        <v>110</v>
      </c>
      <c r="D36" s="397">
        <f>MultiAllNonFatal!F11</f>
        <v>64</v>
      </c>
      <c r="E36" s="397">
        <f>MultiAllNonFatal!C11</f>
        <v>9</v>
      </c>
      <c r="F36" s="397">
        <f>MultiAllNonFatal!B11</f>
        <v>19</v>
      </c>
      <c r="G36" s="397">
        <f>MultiAllNonFatal!E11</f>
        <v>1</v>
      </c>
      <c r="H36" s="397">
        <f>MultiAllNonFatal!D11</f>
        <v>1</v>
      </c>
      <c r="I36"/>
      <c r="J36" s="191"/>
      <c r="K36"/>
      <c r="L36"/>
      <c r="M36"/>
      <c r="N36"/>
      <c r="O36"/>
    </row>
    <row r="37" spans="1:15" x14ac:dyDescent="0.2">
      <c r="A37" s="1190" t="str">
        <f>MultiAllNonFatal!A12</f>
        <v>2016-17</v>
      </c>
      <c r="B37" s="397">
        <f>MultiAllNonFatal!H12</f>
        <v>272</v>
      </c>
      <c r="C37" s="397">
        <f>MultiAllNonFatal!G12</f>
        <v>156</v>
      </c>
      <c r="D37" s="397">
        <f>MultiAllNonFatal!F12</f>
        <v>45</v>
      </c>
      <c r="E37" s="397">
        <f>MultiAllNonFatal!C12</f>
        <v>13</v>
      </c>
      <c r="F37" s="397">
        <f>MultiAllNonFatal!B12</f>
        <v>22</v>
      </c>
      <c r="G37" s="397">
        <f>MultiAllNonFatal!E12</f>
        <v>3</v>
      </c>
      <c r="H37" s="397">
        <f>MultiAllNonFatal!D12</f>
        <v>6</v>
      </c>
      <c r="I37"/>
      <c r="J37" s="191"/>
      <c r="K37"/>
      <c r="L37"/>
      <c r="M37"/>
      <c r="N37"/>
      <c r="O37"/>
    </row>
    <row r="38" spans="1:15" x14ac:dyDescent="0.2">
      <c r="A38" s="1190" t="str">
        <f>MultiAllNonFatal!A13</f>
        <v>2017-18</v>
      </c>
      <c r="B38" s="397">
        <f>MultiAllNonFatal!H13</f>
        <v>231</v>
      </c>
      <c r="C38" s="397">
        <f>MultiAllNonFatal!G13</f>
        <v>87</v>
      </c>
      <c r="D38" s="397">
        <f>MultiAllNonFatal!F13</f>
        <v>57</v>
      </c>
      <c r="E38" s="397">
        <f>MultiAllNonFatal!C13</f>
        <v>20</v>
      </c>
      <c r="F38" s="397">
        <f>MultiAllNonFatal!B13</f>
        <v>17</v>
      </c>
      <c r="G38" s="397">
        <f>MultiAllNonFatal!E13</f>
        <v>4</v>
      </c>
      <c r="H38" s="397">
        <f>MultiAllNonFatal!D13</f>
        <v>1</v>
      </c>
      <c r="I38"/>
      <c r="J38" s="191"/>
      <c r="K38"/>
      <c r="L38"/>
      <c r="M38"/>
      <c r="N38"/>
      <c r="O38"/>
    </row>
    <row r="39" spans="1:15" x14ac:dyDescent="0.2">
      <c r="A39" s="1190" t="str">
        <f>MultiAllNonFatal!A14</f>
        <v>2018-19</v>
      </c>
      <c r="B39" s="397">
        <f>MultiAllNonFatal!H14</f>
        <v>265</v>
      </c>
      <c r="C39" s="397">
        <f>MultiAllNonFatal!G14</f>
        <v>83</v>
      </c>
      <c r="D39" s="397">
        <f>MultiAllNonFatal!F14</f>
        <v>67</v>
      </c>
      <c r="E39" s="397">
        <f>MultiAllNonFatal!C14</f>
        <v>14</v>
      </c>
      <c r="F39" s="397">
        <f>MultiAllNonFatal!B14</f>
        <v>25</v>
      </c>
      <c r="G39" s="397">
        <f>MultiAllNonFatal!E14</f>
        <v>0</v>
      </c>
      <c r="H39" s="397">
        <f>MultiAllNonFatal!D14</f>
        <v>3</v>
      </c>
      <c r="I39"/>
      <c r="J39" s="191"/>
      <c r="K39"/>
      <c r="L39"/>
      <c r="M39"/>
      <c r="N39"/>
      <c r="O39"/>
    </row>
    <row r="40" spans="1:15" x14ac:dyDescent="0.2">
      <c r="A40" s="1190" t="str">
        <f>MultiAllNonFatal!A15</f>
        <v>2019-20</v>
      </c>
      <c r="B40" s="397">
        <f>MultiAllNonFatal!H15</f>
        <v>221</v>
      </c>
      <c r="C40" s="397">
        <f>MultiAllNonFatal!G15</f>
        <v>84</v>
      </c>
      <c r="D40" s="397">
        <f>MultiAllNonFatal!F15</f>
        <v>39</v>
      </c>
      <c r="E40" s="397">
        <f>MultiAllNonFatal!C15</f>
        <v>12</v>
      </c>
      <c r="F40" s="397">
        <f>MultiAllNonFatal!B15</f>
        <v>30</v>
      </c>
      <c r="G40" s="397">
        <f>MultiAllNonFatal!E15</f>
        <v>1</v>
      </c>
      <c r="H40" s="397">
        <f>MultiAllNonFatal!D15</f>
        <v>1</v>
      </c>
      <c r="I40"/>
      <c r="J40" s="191"/>
      <c r="K40"/>
      <c r="L40"/>
      <c r="M40"/>
      <c r="N40"/>
      <c r="O40"/>
    </row>
    <row r="41" spans="1:15" ht="13.5" thickBot="1" x14ac:dyDescent="0.25">
      <c r="A41" s="1191" t="str">
        <f>MultiAllNonFatal!A16</f>
        <v>2020-21</v>
      </c>
      <c r="B41" s="1101">
        <f>MultiAllNonFatal!H16</f>
        <v>207</v>
      </c>
      <c r="C41" s="1101">
        <f>MultiAllNonFatal!G16</f>
        <v>72</v>
      </c>
      <c r="D41" s="1101">
        <f>MultiAllNonFatal!F16</f>
        <v>43</v>
      </c>
      <c r="E41" s="1101">
        <f>MultiAllNonFatal!C16</f>
        <v>12</v>
      </c>
      <c r="F41" s="1101">
        <f>MultiAllNonFatal!B16</f>
        <v>18</v>
      </c>
      <c r="G41" s="1101">
        <f>MultiAllNonFatal!E16</f>
        <v>0</v>
      </c>
      <c r="H41" s="1101">
        <f>MultiAllNonFatal!D16</f>
        <v>2</v>
      </c>
      <c r="I41"/>
      <c r="J41" s="191"/>
      <c r="K41"/>
      <c r="L41"/>
      <c r="M41"/>
      <c r="N41"/>
      <c r="O41"/>
    </row>
    <row r="42" spans="1:15" ht="15" x14ac:dyDescent="0.2">
      <c r="A42" s="274"/>
      <c r="B42" s="601"/>
      <c r="C42" s="601"/>
      <c r="D42" s="601"/>
      <c r="E42" s="601"/>
      <c r="F42" s="601"/>
      <c r="G42" s="601"/>
      <c r="H42" s="601"/>
      <c r="I42"/>
      <c r="J42" s="191"/>
      <c r="K42"/>
      <c r="L42"/>
      <c r="M42"/>
      <c r="N42"/>
      <c r="O42"/>
    </row>
    <row r="43" spans="1:15" ht="15.75" x14ac:dyDescent="0.2">
      <c r="A43" s="274"/>
      <c r="B43" s="129" t="s">
        <v>59</v>
      </c>
      <c r="C43" s="601"/>
      <c r="D43" s="601"/>
      <c r="E43" s="601"/>
      <c r="F43" s="129" t="s">
        <v>73</v>
      </c>
      <c r="G43" s="601"/>
      <c r="H43" s="601"/>
      <c r="I43"/>
      <c r="J43" s="191"/>
      <c r="K43"/>
      <c r="L43"/>
      <c r="M43"/>
      <c r="N43"/>
      <c r="O43"/>
    </row>
    <row r="44" spans="1:15" ht="20.25" customHeight="1" x14ac:dyDescent="0.2">
      <c r="A44"/>
      <c r="B44" s="1302" t="s">
        <v>1476</v>
      </c>
      <c r="C44" s="1302"/>
      <c r="D44" s="1302"/>
      <c r="E44"/>
      <c r="F44" s="1302" t="s">
        <v>1476</v>
      </c>
      <c r="G44" s="1302"/>
      <c r="H44" s="1302"/>
      <c r="I44"/>
      <c r="K44"/>
      <c r="L44"/>
      <c r="M44"/>
      <c r="N44"/>
      <c r="O44"/>
    </row>
    <row r="45" spans="1:15" ht="32.25" customHeight="1" x14ac:dyDescent="0.2">
      <c r="A45" s="1096" t="s">
        <v>4</v>
      </c>
      <c r="B45" s="1088" t="s">
        <v>1470</v>
      </c>
      <c r="C45" s="1088" t="s">
        <v>1469</v>
      </c>
      <c r="D45" s="1089" t="s">
        <v>1448</v>
      </c>
      <c r="E45"/>
      <c r="F45" s="1088" t="s">
        <v>1470</v>
      </c>
      <c r="G45" s="1088" t="s">
        <v>1469</v>
      </c>
      <c r="H45" s="1089" t="s">
        <v>1448</v>
      </c>
      <c r="I45"/>
      <c r="K45"/>
      <c r="L45"/>
      <c r="M45"/>
      <c r="N45"/>
      <c r="O45"/>
    </row>
    <row r="46" spans="1:15" ht="15.75" customHeight="1" x14ac:dyDescent="0.2">
      <c r="A46" s="488" t="s">
        <v>19</v>
      </c>
      <c r="B46" s="397">
        <f>MultiOverSixFatal!D5</f>
        <v>5</v>
      </c>
      <c r="C46" s="397">
        <f>MultiOverSixFatal!B5</f>
        <v>0</v>
      </c>
      <c r="D46" s="397">
        <f>MultiOverSixFatal!C5</f>
        <v>0</v>
      </c>
      <c r="E46" s="397"/>
      <c r="F46" s="397">
        <f>MultiOverSixNonFatal!D5</f>
        <v>67</v>
      </c>
      <c r="G46" s="397">
        <f>MultiOverSixNonFatal!B5</f>
        <v>0</v>
      </c>
      <c r="H46" s="397">
        <f>MultiOverSixNonFatal!C5</f>
        <v>0</v>
      </c>
      <c r="I46"/>
      <c r="K46"/>
      <c r="L46"/>
      <c r="M46"/>
      <c r="N46"/>
      <c r="O46"/>
    </row>
    <row r="47" spans="1:15" ht="15.75" customHeight="1" x14ac:dyDescent="0.2">
      <c r="A47" s="274" t="s">
        <v>20</v>
      </c>
      <c r="B47" s="397">
        <f>MultiOverSixFatal!D6</f>
        <v>10</v>
      </c>
      <c r="C47" s="397">
        <f>MultiOverSixFatal!B6</f>
        <v>0</v>
      </c>
      <c r="D47" s="397">
        <f>MultiOverSixFatal!C6</f>
        <v>0</v>
      </c>
      <c r="E47" s="397"/>
      <c r="F47" s="397">
        <f>MultiOverSixNonFatal!D6</f>
        <v>77</v>
      </c>
      <c r="G47" s="397">
        <f>MultiOverSixNonFatal!B6</f>
        <v>0</v>
      </c>
      <c r="H47" s="397">
        <f>MultiOverSixNonFatal!C6</f>
        <v>0</v>
      </c>
      <c r="I47"/>
      <c r="K47"/>
      <c r="L47"/>
      <c r="M47"/>
      <c r="N47"/>
      <c r="O47"/>
    </row>
    <row r="48" spans="1:15" ht="15.75" customHeight="1" x14ac:dyDescent="0.2">
      <c r="A48" s="274" t="s">
        <v>13</v>
      </c>
      <c r="B48" s="397">
        <f>MultiOverSixFatal!D7</f>
        <v>1</v>
      </c>
      <c r="C48" s="397">
        <f>MultiOverSixFatal!B7</f>
        <v>0</v>
      </c>
      <c r="D48" s="397">
        <f>MultiOverSixFatal!C7</f>
        <v>0</v>
      </c>
      <c r="E48" s="397"/>
      <c r="F48" s="397">
        <f>MultiOverSixNonFatal!D7</f>
        <v>81</v>
      </c>
      <c r="G48" s="397">
        <f>MultiOverSixNonFatal!B7</f>
        <v>0</v>
      </c>
      <c r="H48" s="397">
        <f>MultiOverSixNonFatal!C7</f>
        <v>0</v>
      </c>
      <c r="I48"/>
      <c r="K48"/>
      <c r="L48"/>
      <c r="M48"/>
      <c r="N48"/>
      <c r="O48"/>
    </row>
    <row r="49" spans="1:15" ht="15.75" customHeight="1" x14ac:dyDescent="0.2">
      <c r="A49" s="274" t="s">
        <v>15</v>
      </c>
      <c r="B49" s="397">
        <f>MultiOverSixFatal!D8</f>
        <v>2</v>
      </c>
      <c r="C49" s="397">
        <f>MultiOverSixFatal!B8</f>
        <v>0</v>
      </c>
      <c r="D49" s="397">
        <f>MultiOverSixFatal!C8</f>
        <v>0</v>
      </c>
      <c r="E49" s="397"/>
      <c r="F49" s="397">
        <f>MultiOverSixNonFatal!D8</f>
        <v>87</v>
      </c>
      <c r="G49" s="397">
        <f>MultiOverSixNonFatal!B8</f>
        <v>0</v>
      </c>
      <c r="H49" s="397">
        <f>MultiOverSixNonFatal!C8</f>
        <v>0</v>
      </c>
      <c r="I49"/>
      <c r="K49"/>
      <c r="L49"/>
      <c r="M49"/>
      <c r="N49"/>
      <c r="O49"/>
    </row>
    <row r="50" spans="1:15" ht="15.75" customHeight="1" x14ac:dyDescent="0.2">
      <c r="A50" s="274" t="s">
        <v>17</v>
      </c>
      <c r="B50" s="397">
        <f>MultiOverSixFatal!D9</f>
        <v>4</v>
      </c>
      <c r="C50" s="397">
        <f>MultiOverSixFatal!B9</f>
        <v>0</v>
      </c>
      <c r="D50" s="397">
        <f>MultiOverSixFatal!C9</f>
        <v>0</v>
      </c>
      <c r="E50" s="397"/>
      <c r="F50" s="397">
        <f>MultiOverSixNonFatal!D9</f>
        <v>69</v>
      </c>
      <c r="G50" s="397">
        <f>MultiOverSixNonFatal!B9</f>
        <v>1</v>
      </c>
      <c r="H50" s="397">
        <f>MultiOverSixNonFatal!C9</f>
        <v>0</v>
      </c>
      <c r="I50"/>
      <c r="K50"/>
      <c r="L50"/>
      <c r="M50"/>
      <c r="N50"/>
      <c r="O50"/>
    </row>
    <row r="51" spans="1:15" ht="15.75" customHeight="1" x14ac:dyDescent="0.2">
      <c r="A51" s="274" t="s">
        <v>133</v>
      </c>
      <c r="B51" s="397">
        <f>MultiOverSixFatal!D10</f>
        <v>1</v>
      </c>
      <c r="C51" s="397">
        <f>MultiOverSixFatal!B10</f>
        <v>0</v>
      </c>
      <c r="D51" s="397">
        <f>MultiOverSixFatal!C10</f>
        <v>0</v>
      </c>
      <c r="E51" s="397"/>
      <c r="F51" s="397">
        <f>MultiOverSixNonFatal!D10</f>
        <v>47</v>
      </c>
      <c r="G51" s="397">
        <f>MultiOverSixNonFatal!B10</f>
        <v>1</v>
      </c>
      <c r="H51" s="397">
        <f>MultiOverSixNonFatal!C10</f>
        <v>0</v>
      </c>
      <c r="I51"/>
      <c r="K51"/>
      <c r="L51"/>
      <c r="M51"/>
      <c r="N51"/>
      <c r="O51"/>
    </row>
    <row r="52" spans="1:15" ht="15.75" customHeight="1" x14ac:dyDescent="0.2">
      <c r="A52" s="274" t="s">
        <v>144</v>
      </c>
      <c r="B52" s="397">
        <f>MultiOverSixFatal!D11</f>
        <v>2</v>
      </c>
      <c r="C52" s="397">
        <f>MultiOverSixFatal!B11</f>
        <v>0</v>
      </c>
      <c r="D52" s="397">
        <f>MultiOverSixFatal!C11</f>
        <v>0</v>
      </c>
      <c r="E52" s="397"/>
      <c r="F52" s="397">
        <f>MultiOverSixNonFatal!D11</f>
        <v>71</v>
      </c>
      <c r="G52" s="397">
        <f>MultiOverSixNonFatal!B11</f>
        <v>0</v>
      </c>
      <c r="H52" s="397">
        <f>MultiOverSixNonFatal!C11</f>
        <v>0</v>
      </c>
      <c r="I52"/>
      <c r="K52"/>
      <c r="L52"/>
      <c r="M52"/>
      <c r="N52"/>
      <c r="O52"/>
    </row>
    <row r="53" spans="1:15" ht="15.75" customHeight="1" x14ac:dyDescent="0.2">
      <c r="A53" s="274" t="s">
        <v>282</v>
      </c>
      <c r="B53" s="397">
        <f>MultiOverSixFatal!D12</f>
        <v>0</v>
      </c>
      <c r="C53" s="397">
        <f>MultiOverSixFatal!B12</f>
        <v>0</v>
      </c>
      <c r="D53" s="397">
        <f>MultiOverSixFatal!C12</f>
        <v>0</v>
      </c>
      <c r="E53" s="397"/>
      <c r="F53" s="397">
        <f>MultiOverSixNonFatal!D12</f>
        <v>62</v>
      </c>
      <c r="G53" s="397">
        <f>MultiOverSixNonFatal!B12</f>
        <v>0</v>
      </c>
      <c r="H53" s="397">
        <f>MultiOverSixNonFatal!C12</f>
        <v>0</v>
      </c>
      <c r="I53"/>
      <c r="K53"/>
      <c r="L53"/>
      <c r="M53"/>
      <c r="N53"/>
      <c r="O53"/>
    </row>
    <row r="54" spans="1:15" ht="15.75" customHeight="1" x14ac:dyDescent="0.2">
      <c r="A54" s="274" t="s">
        <v>311</v>
      </c>
      <c r="B54" s="397">
        <f>MultiOverSixFatal!D13</f>
        <v>4</v>
      </c>
      <c r="C54" s="397">
        <f>MultiOverSixFatal!B13</f>
        <v>0</v>
      </c>
      <c r="D54" s="397">
        <f>MultiOverSixFatal!C13</f>
        <v>0</v>
      </c>
      <c r="E54" s="397"/>
      <c r="F54" s="397">
        <f>MultiOverSixNonFatal!D13</f>
        <v>63</v>
      </c>
      <c r="G54" s="397">
        <f>MultiOverSixNonFatal!B13</f>
        <v>3</v>
      </c>
      <c r="H54" s="397">
        <f>MultiOverSixNonFatal!C13</f>
        <v>0</v>
      </c>
      <c r="I54"/>
      <c r="K54"/>
      <c r="L54"/>
      <c r="M54"/>
      <c r="N54"/>
      <c r="O54"/>
    </row>
    <row r="55" spans="1:15" ht="15.75" customHeight="1" x14ac:dyDescent="0.2">
      <c r="A55" s="274" t="s">
        <v>621</v>
      </c>
      <c r="B55" s="397">
        <f>MultiOverSixFatal!D14</f>
        <v>1</v>
      </c>
      <c r="C55" s="397">
        <f>MultiOverSixFatal!B14</f>
        <v>0</v>
      </c>
      <c r="D55" s="397">
        <f>MultiOverSixFatal!C14</f>
        <v>0</v>
      </c>
      <c r="E55" s="397"/>
      <c r="F55" s="397">
        <f>MultiOverSixNonFatal!D14</f>
        <v>71</v>
      </c>
      <c r="G55" s="397">
        <f>MultiOverSixNonFatal!B14</f>
        <v>0</v>
      </c>
      <c r="H55" s="397">
        <f>MultiOverSixNonFatal!C14</f>
        <v>0</v>
      </c>
      <c r="I55"/>
      <c r="K55"/>
      <c r="L55"/>
      <c r="M55"/>
      <c r="N55"/>
      <c r="O55"/>
    </row>
    <row r="56" spans="1:15" ht="15.75" customHeight="1" x14ac:dyDescent="0.2">
      <c r="A56" s="274" t="s">
        <v>1419</v>
      </c>
      <c r="B56" s="397">
        <f>MultiOverSixFatal!D15</f>
        <v>1</v>
      </c>
      <c r="C56" s="397">
        <f>MultiOverSixFatal!B15</f>
        <v>0</v>
      </c>
      <c r="D56" s="397">
        <f>MultiOverSixFatal!C15</f>
        <v>0</v>
      </c>
      <c r="E56" s="397"/>
      <c r="F56" s="397">
        <f>MultiOverSixNonFatal!D15</f>
        <v>48</v>
      </c>
      <c r="G56" s="397">
        <f>MultiOverSixNonFatal!B15</f>
        <v>1</v>
      </c>
      <c r="H56" s="397">
        <f>MultiOverSixNonFatal!C15</f>
        <v>0</v>
      </c>
      <c r="I56"/>
      <c r="K56"/>
      <c r="L56"/>
      <c r="M56"/>
      <c r="N56"/>
      <c r="O56"/>
    </row>
    <row r="57" spans="1:15" ht="15.75" customHeight="1" thickBot="1" x14ac:dyDescent="0.25">
      <c r="A57" s="491" t="s">
        <v>1572</v>
      </c>
      <c r="B57" s="1101">
        <f>MultiOverSixFatal!D16</f>
        <v>1</v>
      </c>
      <c r="C57" s="1101">
        <f>MultiOverSixFatal!B16</f>
        <v>0</v>
      </c>
      <c r="D57" s="1101">
        <f>MultiOverSixFatal!C16</f>
        <v>0</v>
      </c>
      <c r="E57" s="622"/>
      <c r="F57" s="1101">
        <f>MultiOverSixNonFatal!D16</f>
        <v>45</v>
      </c>
      <c r="G57" s="1101">
        <f>MultiOverSixNonFatal!B16</f>
        <v>0</v>
      </c>
      <c r="H57" s="1101">
        <f>MultiOverSixNonFatal!C16</f>
        <v>0</v>
      </c>
      <c r="I57" s="622"/>
      <c r="K57"/>
      <c r="L57"/>
      <c r="M57"/>
      <c r="N57"/>
      <c r="O57"/>
    </row>
    <row r="58" spans="1:15" ht="15.75" customHeight="1" x14ac:dyDescent="0.2">
      <c r="A58" s="621"/>
      <c r="B58" s="622"/>
      <c r="C58" s="622"/>
      <c r="D58" s="622"/>
      <c r="E58" s="622"/>
      <c r="F58" s="622"/>
      <c r="G58" s="622"/>
      <c r="H58" s="622"/>
      <c r="I58" s="622"/>
      <c r="K58"/>
      <c r="L58"/>
      <c r="M58"/>
      <c r="N58"/>
      <c r="O58"/>
    </row>
    <row r="59" spans="1:15" ht="15" customHeight="1" x14ac:dyDescent="0.2">
      <c r="A59" s="5" t="s">
        <v>146</v>
      </c>
      <c r="K59"/>
      <c r="L59"/>
      <c r="M59"/>
      <c r="N59"/>
      <c r="O59"/>
    </row>
    <row r="60" spans="1:15" ht="18.75" customHeight="1" x14ac:dyDescent="0.25">
      <c r="A60" s="1111" t="s">
        <v>1554</v>
      </c>
      <c r="B60"/>
      <c r="C60"/>
      <c r="D60"/>
      <c r="E60"/>
      <c r="F60"/>
      <c r="G60"/>
      <c r="H60"/>
      <c r="I60"/>
      <c r="K60"/>
      <c r="L60"/>
      <c r="M60"/>
      <c r="N60"/>
      <c r="O60"/>
    </row>
    <row r="61" spans="1:15" ht="50.25" customHeight="1" x14ac:dyDescent="0.25">
      <c r="A61" s="1301" t="s">
        <v>1556</v>
      </c>
      <c r="B61" s="1301"/>
      <c r="C61" s="1301"/>
      <c r="D61" s="1301"/>
      <c r="E61" s="1301"/>
      <c r="F61" s="1301"/>
      <c r="G61" s="1301"/>
      <c r="H61" s="1301"/>
      <c r="I61" s="1301"/>
    </row>
    <row r="62" spans="1:15" ht="13.5" customHeight="1" x14ac:dyDescent="0.2"/>
    <row r="63" spans="1:15" ht="13.5" customHeight="1" x14ac:dyDescent="0.2"/>
    <row r="64" spans="1:15"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4.25" customHeight="1" x14ac:dyDescent="0.2"/>
    <row r="92" ht="30" customHeight="1" x14ac:dyDescent="0.2"/>
    <row r="100" spans="1:9" x14ac:dyDescent="0.2">
      <c r="A100"/>
      <c r="B100"/>
      <c r="C100"/>
      <c r="D100"/>
      <c r="E100"/>
      <c r="F100"/>
      <c r="G100"/>
      <c r="H100"/>
      <c r="I100"/>
    </row>
    <row r="101" spans="1:9" x14ac:dyDescent="0.2">
      <c r="A101"/>
      <c r="B101"/>
      <c r="C101"/>
      <c r="D101"/>
      <c r="E101"/>
      <c r="F101"/>
      <c r="G101"/>
      <c r="H101"/>
      <c r="I101"/>
    </row>
    <row r="102" spans="1:9" x14ac:dyDescent="0.2">
      <c r="A102"/>
      <c r="B102"/>
      <c r="C102"/>
      <c r="D102"/>
      <c r="E102"/>
      <c r="F102"/>
      <c r="G102"/>
      <c r="H102"/>
      <c r="I102"/>
    </row>
    <row r="103" spans="1:9" x14ac:dyDescent="0.2">
      <c r="A103"/>
      <c r="B103"/>
      <c r="C103"/>
      <c r="D103"/>
      <c r="E103"/>
      <c r="F103"/>
      <c r="G103"/>
      <c r="H103"/>
      <c r="I103"/>
    </row>
    <row r="104" spans="1:9" x14ac:dyDescent="0.2">
      <c r="A104"/>
      <c r="B104"/>
      <c r="C104"/>
      <c r="D104"/>
      <c r="E104"/>
      <c r="F104"/>
      <c r="G104"/>
      <c r="H104"/>
      <c r="I104"/>
    </row>
    <row r="105" spans="1:9" x14ac:dyDescent="0.2">
      <c r="A105"/>
      <c r="B105"/>
      <c r="C105"/>
      <c r="D105"/>
      <c r="E105"/>
      <c r="F105"/>
      <c r="G105"/>
      <c r="H105"/>
      <c r="I105"/>
    </row>
    <row r="106" spans="1:9" x14ac:dyDescent="0.2">
      <c r="A106"/>
      <c r="B106"/>
      <c r="C106"/>
      <c r="D106"/>
      <c r="E106"/>
      <c r="F106"/>
      <c r="G106"/>
      <c r="H106"/>
      <c r="I106"/>
    </row>
    <row r="107" spans="1:9" x14ac:dyDescent="0.2">
      <c r="A107"/>
      <c r="B107"/>
      <c r="C107"/>
      <c r="D107"/>
      <c r="E107"/>
      <c r="F107"/>
      <c r="G107"/>
      <c r="H107"/>
      <c r="I107"/>
    </row>
    <row r="108" spans="1:9" x14ac:dyDescent="0.2">
      <c r="A108"/>
      <c r="B108"/>
      <c r="C108"/>
      <c r="D108"/>
      <c r="E108"/>
      <c r="F108"/>
      <c r="G108"/>
      <c r="H108"/>
      <c r="I108"/>
    </row>
    <row r="109" spans="1:9" x14ac:dyDescent="0.2">
      <c r="A109"/>
      <c r="B109"/>
      <c r="C109"/>
      <c r="D109"/>
      <c r="E109"/>
      <c r="F109"/>
      <c r="G109"/>
      <c r="H109"/>
      <c r="I109"/>
    </row>
    <row r="110" spans="1:9" x14ac:dyDescent="0.2">
      <c r="A110"/>
      <c r="B110"/>
      <c r="C110"/>
      <c r="D110"/>
      <c r="E110"/>
      <c r="F110"/>
      <c r="G110"/>
      <c r="H110"/>
      <c r="I110"/>
    </row>
    <row r="111" spans="1:9" x14ac:dyDescent="0.2">
      <c r="A111"/>
      <c r="B111"/>
      <c r="C111"/>
      <c r="D111"/>
      <c r="E111"/>
      <c r="F111"/>
      <c r="G111"/>
      <c r="H111"/>
      <c r="I111"/>
    </row>
    <row r="112" spans="1:9" x14ac:dyDescent="0.2">
      <c r="A112"/>
      <c r="B112"/>
      <c r="C112"/>
      <c r="D112"/>
      <c r="E112"/>
      <c r="F112"/>
      <c r="G112"/>
      <c r="H112"/>
      <c r="I112"/>
    </row>
    <row r="113" spans="1:9" x14ac:dyDescent="0.2">
      <c r="A113"/>
      <c r="B113"/>
      <c r="C113"/>
      <c r="D113"/>
      <c r="E113"/>
      <c r="F113"/>
      <c r="G113"/>
      <c r="H113"/>
      <c r="I113"/>
    </row>
    <row r="114" spans="1:9" x14ac:dyDescent="0.2">
      <c r="A114"/>
      <c r="B114"/>
      <c r="C114"/>
      <c r="D114"/>
      <c r="E114"/>
      <c r="F114"/>
      <c r="G114"/>
      <c r="H114"/>
      <c r="I114"/>
    </row>
    <row r="115" spans="1:9" x14ac:dyDescent="0.2">
      <c r="A115"/>
      <c r="B115"/>
      <c r="C115"/>
      <c r="D115"/>
      <c r="E115"/>
      <c r="F115"/>
      <c r="G115"/>
      <c r="H115"/>
      <c r="I115"/>
    </row>
    <row r="116" spans="1:9" x14ac:dyDescent="0.2">
      <c r="A116"/>
      <c r="B116"/>
      <c r="C116"/>
      <c r="D116"/>
      <c r="E116"/>
      <c r="F116"/>
      <c r="G116"/>
      <c r="H116"/>
      <c r="I116"/>
    </row>
    <row r="117" spans="1:9" x14ac:dyDescent="0.2">
      <c r="A117"/>
      <c r="B117"/>
      <c r="C117"/>
      <c r="D117"/>
      <c r="E117"/>
      <c r="F117"/>
      <c r="G117"/>
      <c r="H117"/>
      <c r="I117"/>
    </row>
    <row r="118" spans="1:9" x14ac:dyDescent="0.2">
      <c r="A118"/>
      <c r="B118"/>
      <c r="C118"/>
      <c r="D118"/>
      <c r="E118"/>
      <c r="F118"/>
      <c r="G118"/>
      <c r="H118"/>
      <c r="I118"/>
    </row>
    <row r="119" spans="1:9" x14ac:dyDescent="0.2">
      <c r="A119"/>
      <c r="B119"/>
      <c r="C119"/>
      <c r="D119"/>
      <c r="E119"/>
      <c r="F119"/>
      <c r="G119"/>
      <c r="H119"/>
      <c r="I119"/>
    </row>
    <row r="120" spans="1:9" x14ac:dyDescent="0.2">
      <c r="A120"/>
      <c r="B120"/>
      <c r="C120"/>
      <c r="D120"/>
      <c r="E120"/>
      <c r="F120"/>
      <c r="G120"/>
      <c r="H120"/>
      <c r="I120"/>
    </row>
    <row r="121" spans="1:9" x14ac:dyDescent="0.2">
      <c r="A121"/>
      <c r="B121"/>
      <c r="C121"/>
      <c r="D121"/>
      <c r="E121"/>
      <c r="F121"/>
      <c r="G121"/>
      <c r="H121"/>
      <c r="I121"/>
    </row>
    <row r="122" spans="1:9" x14ac:dyDescent="0.2">
      <c r="A122"/>
      <c r="B122"/>
      <c r="C122"/>
      <c r="D122"/>
      <c r="E122"/>
      <c r="F122"/>
      <c r="G122"/>
      <c r="H122"/>
      <c r="I122"/>
    </row>
    <row r="123" spans="1:9" x14ac:dyDescent="0.2">
      <c r="A123"/>
      <c r="B123"/>
      <c r="C123"/>
      <c r="D123"/>
      <c r="E123"/>
      <c r="F123"/>
      <c r="G123"/>
      <c r="H123"/>
      <c r="I123"/>
    </row>
    <row r="124" spans="1:9" x14ac:dyDescent="0.2">
      <c r="A124"/>
      <c r="B124"/>
      <c r="C124"/>
      <c r="D124"/>
      <c r="E124"/>
      <c r="F124"/>
      <c r="G124"/>
      <c r="H124"/>
      <c r="I124"/>
    </row>
    <row r="125" spans="1:9" x14ac:dyDescent="0.2">
      <c r="A125"/>
      <c r="B125"/>
      <c r="C125"/>
      <c r="D125"/>
      <c r="E125"/>
      <c r="F125"/>
      <c r="G125"/>
      <c r="H125"/>
      <c r="I125"/>
    </row>
    <row r="126" spans="1:9" x14ac:dyDescent="0.2">
      <c r="A126"/>
      <c r="B126"/>
      <c r="C126"/>
      <c r="D126"/>
      <c r="E126"/>
      <c r="F126"/>
      <c r="G126"/>
      <c r="H126"/>
      <c r="I126"/>
    </row>
    <row r="127" spans="1:9" x14ac:dyDescent="0.2">
      <c r="A127"/>
      <c r="B127"/>
      <c r="C127"/>
      <c r="D127"/>
      <c r="E127"/>
      <c r="F127"/>
      <c r="G127"/>
      <c r="H127"/>
      <c r="I127"/>
    </row>
    <row r="128" spans="1:9" x14ac:dyDescent="0.2">
      <c r="A128"/>
      <c r="B128"/>
      <c r="C128"/>
      <c r="D128"/>
      <c r="E128"/>
      <c r="F128"/>
      <c r="G128"/>
      <c r="H128"/>
      <c r="I128"/>
    </row>
    <row r="129" spans="1:9" x14ac:dyDescent="0.2">
      <c r="A129"/>
      <c r="B129"/>
      <c r="C129"/>
      <c r="D129"/>
      <c r="E129"/>
      <c r="F129"/>
      <c r="G129"/>
      <c r="H129"/>
      <c r="I129"/>
    </row>
  </sheetData>
  <sheetProtection algorithmName="SHA-512" hashValue="86RZ9PoFmHOOTEJlmgfr1nYYuAlGa69w4vZg/y57uw4Wbnkr9XU9Ed9oZ6X28dUbSJM+uqDh4if10Ub5pbLoaw==" saltValue="5wnRk1NzuWh4m5v5DbiisA==" spinCount="100000" sheet="1" scenarios="1" formatCells="0" formatColumns="0" formatRows="0" sort="0" autoFilter="0" pivotTables="0"/>
  <mergeCells count="11">
    <mergeCell ref="A61:I61"/>
    <mergeCell ref="E28:F28"/>
    <mergeCell ref="G28:H28"/>
    <mergeCell ref="F44:H44"/>
    <mergeCell ref="A28:A29"/>
    <mergeCell ref="A11:A12"/>
    <mergeCell ref="B11:D11"/>
    <mergeCell ref="E11:F11"/>
    <mergeCell ref="G11:H11"/>
    <mergeCell ref="B44:D44"/>
    <mergeCell ref="B28:D28"/>
  </mergeCells>
  <hyperlinks>
    <hyperlink ref="A2" location="'Table of Contents'!A1" display="Back to Table of Contents" xr:uid="{00000000-0004-0000-7300-000000000000}"/>
  </hyperlink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22">
    <tabColor rgb="FFBF8F00"/>
    <pageSetUpPr fitToPage="1"/>
  </sheetPr>
  <dimension ref="A1:AB48"/>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9.140625" style="1" customWidth="1"/>
    <col min="2" max="2" width="9.140625" style="1"/>
    <col min="3" max="3" width="11.140625" style="1" customWidth="1"/>
    <col min="4" max="4" width="11" style="1" customWidth="1"/>
    <col min="5" max="5" width="2.85546875" style="1" customWidth="1"/>
    <col min="6" max="6" width="10.5703125" style="1" customWidth="1"/>
    <col min="7" max="7" width="11.85546875" style="12" customWidth="1"/>
    <col min="8" max="8" width="13" style="1" customWidth="1"/>
    <col min="9" max="9" width="3.7109375" style="1" customWidth="1"/>
    <col min="10" max="10" width="9.140625" style="1"/>
    <col min="11" max="11" width="12.28515625" style="12" customWidth="1"/>
    <col min="12" max="12" width="12.42578125" style="1" customWidth="1"/>
    <col min="13" max="13" width="4.28515625" style="1" customWidth="1"/>
    <col min="14" max="14" width="9.140625" style="1"/>
    <col min="15" max="15" width="11.85546875" style="12" customWidth="1"/>
    <col min="16" max="16" width="11.140625" style="1" customWidth="1"/>
    <col min="17" max="17" width="3.28515625" style="1" customWidth="1"/>
    <col min="18" max="18" width="9.140625" style="1"/>
    <col min="19" max="19" width="11.85546875" style="1" customWidth="1"/>
    <col min="20" max="20" width="11.42578125" style="1" customWidth="1"/>
    <col min="21" max="21" width="9.140625" style="1"/>
    <col min="22" max="22" width="9.42578125" style="1" customWidth="1"/>
    <col min="23" max="23" width="10.42578125" style="1" customWidth="1"/>
    <col min="24" max="24" width="10.7109375" style="1" customWidth="1"/>
    <col min="25" max="25" width="13.5703125" style="1" customWidth="1"/>
    <col min="26" max="26" width="15" style="1" customWidth="1"/>
    <col min="27" max="225" width="9.140625" style="1"/>
    <col min="226" max="226" width="11.140625" style="1" customWidth="1"/>
    <col min="227" max="227" width="11" style="1" customWidth="1"/>
    <col min="228" max="228" width="2.85546875" style="1" customWidth="1"/>
    <col min="229" max="229" width="9.140625" style="1"/>
    <col min="230" max="230" width="11.85546875" style="1" customWidth="1"/>
    <col min="231" max="231" width="11.28515625" style="1" customWidth="1"/>
    <col min="232" max="232" width="2.85546875" style="1" customWidth="1"/>
    <col min="233" max="233" width="9.140625" style="1"/>
    <col min="234" max="234" width="11.85546875" style="1" customWidth="1"/>
    <col min="235" max="235" width="11" style="1" customWidth="1"/>
    <col min="236" max="236" width="2.85546875" style="1" customWidth="1"/>
    <col min="237" max="237" width="9.140625" style="1"/>
    <col min="238" max="238" width="11.85546875" style="1" customWidth="1"/>
    <col min="239" max="239" width="11.140625" style="1" customWidth="1"/>
    <col min="240" max="240" width="3.28515625" style="1" customWidth="1"/>
    <col min="241" max="241" width="9.140625" style="1"/>
    <col min="242" max="242" width="11.85546875" style="1" customWidth="1"/>
    <col min="243" max="243" width="11.42578125" style="1" customWidth="1"/>
    <col min="244" max="481" width="9.140625" style="1"/>
    <col min="482" max="482" width="11.140625" style="1" customWidth="1"/>
    <col min="483" max="483" width="11" style="1" customWidth="1"/>
    <col min="484" max="484" width="2.85546875" style="1" customWidth="1"/>
    <col min="485" max="485" width="9.140625" style="1"/>
    <col min="486" max="486" width="11.85546875" style="1" customWidth="1"/>
    <col min="487" max="487" width="11.28515625" style="1" customWidth="1"/>
    <col min="488" max="488" width="2.85546875" style="1" customWidth="1"/>
    <col min="489" max="489" width="9.140625" style="1"/>
    <col min="490" max="490" width="11.85546875" style="1" customWidth="1"/>
    <col min="491" max="491" width="11" style="1" customWidth="1"/>
    <col min="492" max="492" width="2.85546875" style="1" customWidth="1"/>
    <col min="493" max="493" width="9.140625" style="1"/>
    <col min="494" max="494" width="11.85546875" style="1" customWidth="1"/>
    <col min="495" max="495" width="11.140625" style="1" customWidth="1"/>
    <col min="496" max="496" width="3.28515625" style="1" customWidth="1"/>
    <col min="497" max="497" width="9.140625" style="1"/>
    <col min="498" max="498" width="11.85546875" style="1" customWidth="1"/>
    <col min="499" max="499" width="11.42578125" style="1" customWidth="1"/>
    <col min="500" max="737" width="9.140625" style="1"/>
    <col min="738" max="738" width="11.140625" style="1" customWidth="1"/>
    <col min="739" max="739" width="11" style="1" customWidth="1"/>
    <col min="740" max="740" width="2.85546875" style="1" customWidth="1"/>
    <col min="741" max="741" width="9.140625" style="1"/>
    <col min="742" max="742" width="11.85546875" style="1" customWidth="1"/>
    <col min="743" max="743" width="11.28515625" style="1" customWidth="1"/>
    <col min="744" max="744" width="2.85546875" style="1" customWidth="1"/>
    <col min="745" max="745" width="9.140625" style="1"/>
    <col min="746" max="746" width="11.85546875" style="1" customWidth="1"/>
    <col min="747" max="747" width="11" style="1" customWidth="1"/>
    <col min="748" max="748" width="2.85546875" style="1" customWidth="1"/>
    <col min="749" max="749" width="9.140625" style="1"/>
    <col min="750" max="750" width="11.85546875" style="1" customWidth="1"/>
    <col min="751" max="751" width="11.140625" style="1" customWidth="1"/>
    <col min="752" max="752" width="3.28515625" style="1" customWidth="1"/>
    <col min="753" max="753" width="9.140625" style="1"/>
    <col min="754" max="754" width="11.85546875" style="1" customWidth="1"/>
    <col min="755" max="755" width="11.42578125" style="1" customWidth="1"/>
    <col min="756" max="993" width="9.140625" style="1"/>
    <col min="994" max="994" width="11.140625" style="1" customWidth="1"/>
    <col min="995" max="995" width="11" style="1" customWidth="1"/>
    <col min="996" max="996" width="2.85546875" style="1" customWidth="1"/>
    <col min="997" max="997" width="9.140625" style="1"/>
    <col min="998" max="998" width="11.85546875" style="1" customWidth="1"/>
    <col min="999" max="999" width="11.28515625" style="1" customWidth="1"/>
    <col min="1000" max="1000" width="2.85546875" style="1" customWidth="1"/>
    <col min="1001" max="1001" width="9.140625" style="1"/>
    <col min="1002" max="1002" width="11.85546875" style="1" customWidth="1"/>
    <col min="1003" max="1003" width="11" style="1" customWidth="1"/>
    <col min="1004" max="1004" width="2.85546875" style="1" customWidth="1"/>
    <col min="1005" max="1005" width="9.140625" style="1"/>
    <col min="1006" max="1006" width="11.85546875" style="1" customWidth="1"/>
    <col min="1007" max="1007" width="11.140625" style="1" customWidth="1"/>
    <col min="1008" max="1008" width="3.28515625" style="1" customWidth="1"/>
    <col min="1009" max="1009" width="9.140625" style="1"/>
    <col min="1010" max="1010" width="11.85546875" style="1" customWidth="1"/>
    <col min="1011" max="1011" width="11.42578125" style="1" customWidth="1"/>
    <col min="1012" max="1249" width="9.140625" style="1"/>
    <col min="1250" max="1250" width="11.140625" style="1" customWidth="1"/>
    <col min="1251" max="1251" width="11" style="1" customWidth="1"/>
    <col min="1252" max="1252" width="2.85546875" style="1" customWidth="1"/>
    <col min="1253" max="1253" width="9.140625" style="1"/>
    <col min="1254" max="1254" width="11.85546875" style="1" customWidth="1"/>
    <col min="1255" max="1255" width="11.28515625" style="1" customWidth="1"/>
    <col min="1256" max="1256" width="2.85546875" style="1" customWidth="1"/>
    <col min="1257" max="1257" width="9.140625" style="1"/>
    <col min="1258" max="1258" width="11.85546875" style="1" customWidth="1"/>
    <col min="1259" max="1259" width="11" style="1" customWidth="1"/>
    <col min="1260" max="1260" width="2.85546875" style="1" customWidth="1"/>
    <col min="1261" max="1261" width="9.140625" style="1"/>
    <col min="1262" max="1262" width="11.85546875" style="1" customWidth="1"/>
    <col min="1263" max="1263" width="11.140625" style="1" customWidth="1"/>
    <col min="1264" max="1264" width="3.28515625" style="1" customWidth="1"/>
    <col min="1265" max="1265" width="9.140625" style="1"/>
    <col min="1266" max="1266" width="11.85546875" style="1" customWidth="1"/>
    <col min="1267" max="1267" width="11.42578125" style="1" customWidth="1"/>
    <col min="1268" max="1505" width="9.140625" style="1"/>
    <col min="1506" max="1506" width="11.140625" style="1" customWidth="1"/>
    <col min="1507" max="1507" width="11" style="1" customWidth="1"/>
    <col min="1508" max="1508" width="2.85546875" style="1" customWidth="1"/>
    <col min="1509" max="1509" width="9.140625" style="1"/>
    <col min="1510" max="1510" width="11.85546875" style="1" customWidth="1"/>
    <col min="1511" max="1511" width="11.28515625" style="1" customWidth="1"/>
    <col min="1512" max="1512" width="2.85546875" style="1" customWidth="1"/>
    <col min="1513" max="1513" width="9.140625" style="1"/>
    <col min="1514" max="1514" width="11.85546875" style="1" customWidth="1"/>
    <col min="1515" max="1515" width="11" style="1" customWidth="1"/>
    <col min="1516" max="1516" width="2.85546875" style="1" customWidth="1"/>
    <col min="1517" max="1517" width="9.140625" style="1"/>
    <col min="1518" max="1518" width="11.85546875" style="1" customWidth="1"/>
    <col min="1519" max="1519" width="11.140625" style="1" customWidth="1"/>
    <col min="1520" max="1520" width="3.28515625" style="1" customWidth="1"/>
    <col min="1521" max="1521" width="9.140625" style="1"/>
    <col min="1522" max="1522" width="11.85546875" style="1" customWidth="1"/>
    <col min="1523" max="1523" width="11.42578125" style="1" customWidth="1"/>
    <col min="1524" max="1761" width="9.140625" style="1"/>
    <col min="1762" max="1762" width="11.140625" style="1" customWidth="1"/>
    <col min="1763" max="1763" width="11" style="1" customWidth="1"/>
    <col min="1764" max="1764" width="2.85546875" style="1" customWidth="1"/>
    <col min="1765" max="1765" width="9.140625" style="1"/>
    <col min="1766" max="1766" width="11.85546875" style="1" customWidth="1"/>
    <col min="1767" max="1767" width="11.28515625" style="1" customWidth="1"/>
    <col min="1768" max="1768" width="2.85546875" style="1" customWidth="1"/>
    <col min="1769" max="1769" width="9.140625" style="1"/>
    <col min="1770" max="1770" width="11.85546875" style="1" customWidth="1"/>
    <col min="1771" max="1771" width="11" style="1" customWidth="1"/>
    <col min="1772" max="1772" width="2.85546875" style="1" customWidth="1"/>
    <col min="1773" max="1773" width="9.140625" style="1"/>
    <col min="1774" max="1774" width="11.85546875" style="1" customWidth="1"/>
    <col min="1775" max="1775" width="11.140625" style="1" customWidth="1"/>
    <col min="1776" max="1776" width="3.28515625" style="1" customWidth="1"/>
    <col min="1777" max="1777" width="9.140625" style="1"/>
    <col min="1778" max="1778" width="11.85546875" style="1" customWidth="1"/>
    <col min="1779" max="1779" width="11.42578125" style="1" customWidth="1"/>
    <col min="1780" max="2017" width="9.140625" style="1"/>
    <col min="2018" max="2018" width="11.140625" style="1" customWidth="1"/>
    <col min="2019" max="2019" width="11" style="1" customWidth="1"/>
    <col min="2020" max="2020" width="2.85546875" style="1" customWidth="1"/>
    <col min="2021" max="2021" width="9.140625" style="1"/>
    <col min="2022" max="2022" width="11.85546875" style="1" customWidth="1"/>
    <col min="2023" max="2023" width="11.28515625" style="1" customWidth="1"/>
    <col min="2024" max="2024" width="2.85546875" style="1" customWidth="1"/>
    <col min="2025" max="2025" width="9.140625" style="1"/>
    <col min="2026" max="2026" width="11.85546875" style="1" customWidth="1"/>
    <col min="2027" max="2027" width="11" style="1" customWidth="1"/>
    <col min="2028" max="2028" width="2.85546875" style="1" customWidth="1"/>
    <col min="2029" max="2029" width="9.140625" style="1"/>
    <col min="2030" max="2030" width="11.85546875" style="1" customWidth="1"/>
    <col min="2031" max="2031" width="11.140625" style="1" customWidth="1"/>
    <col min="2032" max="2032" width="3.28515625" style="1" customWidth="1"/>
    <col min="2033" max="2033" width="9.140625" style="1"/>
    <col min="2034" max="2034" width="11.85546875" style="1" customWidth="1"/>
    <col min="2035" max="2035" width="11.42578125" style="1" customWidth="1"/>
    <col min="2036" max="2273" width="9.140625" style="1"/>
    <col min="2274" max="2274" width="11.140625" style="1" customWidth="1"/>
    <col min="2275" max="2275" width="11" style="1" customWidth="1"/>
    <col min="2276" max="2276" width="2.85546875" style="1" customWidth="1"/>
    <col min="2277" max="2277" width="9.140625" style="1"/>
    <col min="2278" max="2278" width="11.85546875" style="1" customWidth="1"/>
    <col min="2279" max="2279" width="11.28515625" style="1" customWidth="1"/>
    <col min="2280" max="2280" width="2.85546875" style="1" customWidth="1"/>
    <col min="2281" max="2281" width="9.140625" style="1"/>
    <col min="2282" max="2282" width="11.85546875" style="1" customWidth="1"/>
    <col min="2283" max="2283" width="11" style="1" customWidth="1"/>
    <col min="2284" max="2284" width="2.85546875" style="1" customWidth="1"/>
    <col min="2285" max="2285" width="9.140625" style="1"/>
    <col min="2286" max="2286" width="11.85546875" style="1" customWidth="1"/>
    <col min="2287" max="2287" width="11.140625" style="1" customWidth="1"/>
    <col min="2288" max="2288" width="3.28515625" style="1" customWidth="1"/>
    <col min="2289" max="2289" width="9.140625" style="1"/>
    <col min="2290" max="2290" width="11.85546875" style="1" customWidth="1"/>
    <col min="2291" max="2291" width="11.42578125" style="1" customWidth="1"/>
    <col min="2292" max="2529" width="9.140625" style="1"/>
    <col min="2530" max="2530" width="11.140625" style="1" customWidth="1"/>
    <col min="2531" max="2531" width="11" style="1" customWidth="1"/>
    <col min="2532" max="2532" width="2.85546875" style="1" customWidth="1"/>
    <col min="2533" max="2533" width="9.140625" style="1"/>
    <col min="2534" max="2534" width="11.85546875" style="1" customWidth="1"/>
    <col min="2535" max="2535" width="11.28515625" style="1" customWidth="1"/>
    <col min="2536" max="2536" width="2.85546875" style="1" customWidth="1"/>
    <col min="2537" max="2537" width="9.140625" style="1"/>
    <col min="2538" max="2538" width="11.85546875" style="1" customWidth="1"/>
    <col min="2539" max="2539" width="11" style="1" customWidth="1"/>
    <col min="2540" max="2540" width="2.85546875" style="1" customWidth="1"/>
    <col min="2541" max="2541" width="9.140625" style="1"/>
    <col min="2542" max="2542" width="11.85546875" style="1" customWidth="1"/>
    <col min="2543" max="2543" width="11.140625" style="1" customWidth="1"/>
    <col min="2544" max="2544" width="3.28515625" style="1" customWidth="1"/>
    <col min="2545" max="2545" width="9.140625" style="1"/>
    <col min="2546" max="2546" width="11.85546875" style="1" customWidth="1"/>
    <col min="2547" max="2547" width="11.42578125" style="1" customWidth="1"/>
    <col min="2548" max="2785" width="9.140625" style="1"/>
    <col min="2786" max="2786" width="11.140625" style="1" customWidth="1"/>
    <col min="2787" max="2787" width="11" style="1" customWidth="1"/>
    <col min="2788" max="2788" width="2.85546875" style="1" customWidth="1"/>
    <col min="2789" max="2789" width="9.140625" style="1"/>
    <col min="2790" max="2790" width="11.85546875" style="1" customWidth="1"/>
    <col min="2791" max="2791" width="11.28515625" style="1" customWidth="1"/>
    <col min="2792" max="2792" width="2.85546875" style="1" customWidth="1"/>
    <col min="2793" max="2793" width="9.140625" style="1"/>
    <col min="2794" max="2794" width="11.85546875" style="1" customWidth="1"/>
    <col min="2795" max="2795" width="11" style="1" customWidth="1"/>
    <col min="2796" max="2796" width="2.85546875" style="1" customWidth="1"/>
    <col min="2797" max="2797" width="9.140625" style="1"/>
    <col min="2798" max="2798" width="11.85546875" style="1" customWidth="1"/>
    <col min="2799" max="2799" width="11.140625" style="1" customWidth="1"/>
    <col min="2800" max="2800" width="3.28515625" style="1" customWidth="1"/>
    <col min="2801" max="2801" width="9.140625" style="1"/>
    <col min="2802" max="2802" width="11.85546875" style="1" customWidth="1"/>
    <col min="2803" max="2803" width="11.42578125" style="1" customWidth="1"/>
    <col min="2804" max="3041" width="9.140625" style="1"/>
    <col min="3042" max="3042" width="11.140625" style="1" customWidth="1"/>
    <col min="3043" max="3043" width="11" style="1" customWidth="1"/>
    <col min="3044" max="3044" width="2.85546875" style="1" customWidth="1"/>
    <col min="3045" max="3045" width="9.140625" style="1"/>
    <col min="3046" max="3046" width="11.85546875" style="1" customWidth="1"/>
    <col min="3047" max="3047" width="11.28515625" style="1" customWidth="1"/>
    <col min="3048" max="3048" width="2.85546875" style="1" customWidth="1"/>
    <col min="3049" max="3049" width="9.140625" style="1"/>
    <col min="3050" max="3050" width="11.85546875" style="1" customWidth="1"/>
    <col min="3051" max="3051" width="11" style="1" customWidth="1"/>
    <col min="3052" max="3052" width="2.85546875" style="1" customWidth="1"/>
    <col min="3053" max="3053" width="9.140625" style="1"/>
    <col min="3054" max="3054" width="11.85546875" style="1" customWidth="1"/>
    <col min="3055" max="3055" width="11.140625" style="1" customWidth="1"/>
    <col min="3056" max="3056" width="3.28515625" style="1" customWidth="1"/>
    <col min="3057" max="3057" width="9.140625" style="1"/>
    <col min="3058" max="3058" width="11.85546875" style="1" customWidth="1"/>
    <col min="3059" max="3059" width="11.42578125" style="1" customWidth="1"/>
    <col min="3060" max="3297" width="9.140625" style="1"/>
    <col min="3298" max="3298" width="11.140625" style="1" customWidth="1"/>
    <col min="3299" max="3299" width="11" style="1" customWidth="1"/>
    <col min="3300" max="3300" width="2.85546875" style="1" customWidth="1"/>
    <col min="3301" max="3301" width="9.140625" style="1"/>
    <col min="3302" max="3302" width="11.85546875" style="1" customWidth="1"/>
    <col min="3303" max="3303" width="11.28515625" style="1" customWidth="1"/>
    <col min="3304" max="3304" width="2.85546875" style="1" customWidth="1"/>
    <col min="3305" max="3305" width="9.140625" style="1"/>
    <col min="3306" max="3306" width="11.85546875" style="1" customWidth="1"/>
    <col min="3307" max="3307" width="11" style="1" customWidth="1"/>
    <col min="3308" max="3308" width="2.85546875" style="1" customWidth="1"/>
    <col min="3309" max="3309" width="9.140625" style="1"/>
    <col min="3310" max="3310" width="11.85546875" style="1" customWidth="1"/>
    <col min="3311" max="3311" width="11.140625" style="1" customWidth="1"/>
    <col min="3312" max="3312" width="3.28515625" style="1" customWidth="1"/>
    <col min="3313" max="3313" width="9.140625" style="1"/>
    <col min="3314" max="3314" width="11.85546875" style="1" customWidth="1"/>
    <col min="3315" max="3315" width="11.42578125" style="1" customWidth="1"/>
    <col min="3316" max="3553" width="9.140625" style="1"/>
    <col min="3554" max="3554" width="11.140625" style="1" customWidth="1"/>
    <col min="3555" max="3555" width="11" style="1" customWidth="1"/>
    <col min="3556" max="3556" width="2.85546875" style="1" customWidth="1"/>
    <col min="3557" max="3557" width="9.140625" style="1"/>
    <col min="3558" max="3558" width="11.85546875" style="1" customWidth="1"/>
    <col min="3559" max="3559" width="11.28515625" style="1" customWidth="1"/>
    <col min="3560" max="3560" width="2.85546875" style="1" customWidth="1"/>
    <col min="3561" max="3561" width="9.140625" style="1"/>
    <col min="3562" max="3562" width="11.85546875" style="1" customWidth="1"/>
    <col min="3563" max="3563" width="11" style="1" customWidth="1"/>
    <col min="3564" max="3564" width="2.85546875" style="1" customWidth="1"/>
    <col min="3565" max="3565" width="9.140625" style="1"/>
    <col min="3566" max="3566" width="11.85546875" style="1" customWidth="1"/>
    <col min="3567" max="3567" width="11.140625" style="1" customWidth="1"/>
    <col min="3568" max="3568" width="3.28515625" style="1" customWidth="1"/>
    <col min="3569" max="3569" width="9.140625" style="1"/>
    <col min="3570" max="3570" width="11.85546875" style="1" customWidth="1"/>
    <col min="3571" max="3571" width="11.42578125" style="1" customWidth="1"/>
    <col min="3572" max="3809" width="9.140625" style="1"/>
    <col min="3810" max="3810" width="11.140625" style="1" customWidth="1"/>
    <col min="3811" max="3811" width="11" style="1" customWidth="1"/>
    <col min="3812" max="3812" width="2.85546875" style="1" customWidth="1"/>
    <col min="3813" max="3813" width="9.140625" style="1"/>
    <col min="3814" max="3814" width="11.85546875" style="1" customWidth="1"/>
    <col min="3815" max="3815" width="11.28515625" style="1" customWidth="1"/>
    <col min="3816" max="3816" width="2.85546875" style="1" customWidth="1"/>
    <col min="3817" max="3817" width="9.140625" style="1"/>
    <col min="3818" max="3818" width="11.85546875" style="1" customWidth="1"/>
    <col min="3819" max="3819" width="11" style="1" customWidth="1"/>
    <col min="3820" max="3820" width="2.85546875" style="1" customWidth="1"/>
    <col min="3821" max="3821" width="9.140625" style="1"/>
    <col min="3822" max="3822" width="11.85546875" style="1" customWidth="1"/>
    <col min="3823" max="3823" width="11.140625" style="1" customWidth="1"/>
    <col min="3824" max="3824" width="3.28515625" style="1" customWidth="1"/>
    <col min="3825" max="3825" width="9.140625" style="1"/>
    <col min="3826" max="3826" width="11.85546875" style="1" customWidth="1"/>
    <col min="3827" max="3827" width="11.42578125" style="1" customWidth="1"/>
    <col min="3828" max="4065" width="9.140625" style="1"/>
    <col min="4066" max="4066" width="11.140625" style="1" customWidth="1"/>
    <col min="4067" max="4067" width="11" style="1" customWidth="1"/>
    <col min="4068" max="4068" width="2.85546875" style="1" customWidth="1"/>
    <col min="4069" max="4069" width="9.140625" style="1"/>
    <col min="4070" max="4070" width="11.85546875" style="1" customWidth="1"/>
    <col min="4071" max="4071" width="11.28515625" style="1" customWidth="1"/>
    <col min="4072" max="4072" width="2.85546875" style="1" customWidth="1"/>
    <col min="4073" max="4073" width="9.140625" style="1"/>
    <col min="4074" max="4074" width="11.85546875" style="1" customWidth="1"/>
    <col min="4075" max="4075" width="11" style="1" customWidth="1"/>
    <col min="4076" max="4076" width="2.85546875" style="1" customWidth="1"/>
    <col min="4077" max="4077" width="9.140625" style="1"/>
    <col min="4078" max="4078" width="11.85546875" style="1" customWidth="1"/>
    <col min="4079" max="4079" width="11.140625" style="1" customWidth="1"/>
    <col min="4080" max="4080" width="3.28515625" style="1" customWidth="1"/>
    <col min="4081" max="4081" width="9.140625" style="1"/>
    <col min="4082" max="4082" width="11.85546875" style="1" customWidth="1"/>
    <col min="4083" max="4083" width="11.42578125" style="1" customWidth="1"/>
    <col min="4084" max="4321" width="9.140625" style="1"/>
    <col min="4322" max="4322" width="11.140625" style="1" customWidth="1"/>
    <col min="4323" max="4323" width="11" style="1" customWidth="1"/>
    <col min="4324" max="4324" width="2.85546875" style="1" customWidth="1"/>
    <col min="4325" max="4325" width="9.140625" style="1"/>
    <col min="4326" max="4326" width="11.85546875" style="1" customWidth="1"/>
    <col min="4327" max="4327" width="11.28515625" style="1" customWidth="1"/>
    <col min="4328" max="4328" width="2.85546875" style="1" customWidth="1"/>
    <col min="4329" max="4329" width="9.140625" style="1"/>
    <col min="4330" max="4330" width="11.85546875" style="1" customWidth="1"/>
    <col min="4331" max="4331" width="11" style="1" customWidth="1"/>
    <col min="4332" max="4332" width="2.85546875" style="1" customWidth="1"/>
    <col min="4333" max="4333" width="9.140625" style="1"/>
    <col min="4334" max="4334" width="11.85546875" style="1" customWidth="1"/>
    <col min="4335" max="4335" width="11.140625" style="1" customWidth="1"/>
    <col min="4336" max="4336" width="3.28515625" style="1" customWidth="1"/>
    <col min="4337" max="4337" width="9.140625" style="1"/>
    <col min="4338" max="4338" width="11.85546875" style="1" customWidth="1"/>
    <col min="4339" max="4339" width="11.42578125" style="1" customWidth="1"/>
    <col min="4340" max="4577" width="9.140625" style="1"/>
    <col min="4578" max="4578" width="11.140625" style="1" customWidth="1"/>
    <col min="4579" max="4579" width="11" style="1" customWidth="1"/>
    <col min="4580" max="4580" width="2.85546875" style="1" customWidth="1"/>
    <col min="4581" max="4581" width="9.140625" style="1"/>
    <col min="4582" max="4582" width="11.85546875" style="1" customWidth="1"/>
    <col min="4583" max="4583" width="11.28515625" style="1" customWidth="1"/>
    <col min="4584" max="4584" width="2.85546875" style="1" customWidth="1"/>
    <col min="4585" max="4585" width="9.140625" style="1"/>
    <col min="4586" max="4586" width="11.85546875" style="1" customWidth="1"/>
    <col min="4587" max="4587" width="11" style="1" customWidth="1"/>
    <col min="4588" max="4588" width="2.85546875" style="1" customWidth="1"/>
    <col min="4589" max="4589" width="9.140625" style="1"/>
    <col min="4590" max="4590" width="11.85546875" style="1" customWidth="1"/>
    <col min="4591" max="4591" width="11.140625" style="1" customWidth="1"/>
    <col min="4592" max="4592" width="3.28515625" style="1" customWidth="1"/>
    <col min="4593" max="4593" width="9.140625" style="1"/>
    <col min="4594" max="4594" width="11.85546875" style="1" customWidth="1"/>
    <col min="4595" max="4595" width="11.42578125" style="1" customWidth="1"/>
    <col min="4596" max="4833" width="9.140625" style="1"/>
    <col min="4834" max="4834" width="11.140625" style="1" customWidth="1"/>
    <col min="4835" max="4835" width="11" style="1" customWidth="1"/>
    <col min="4836" max="4836" width="2.85546875" style="1" customWidth="1"/>
    <col min="4837" max="4837" width="9.140625" style="1"/>
    <col min="4838" max="4838" width="11.85546875" style="1" customWidth="1"/>
    <col min="4839" max="4839" width="11.28515625" style="1" customWidth="1"/>
    <col min="4840" max="4840" width="2.85546875" style="1" customWidth="1"/>
    <col min="4841" max="4841" width="9.140625" style="1"/>
    <col min="4842" max="4842" width="11.85546875" style="1" customWidth="1"/>
    <col min="4843" max="4843" width="11" style="1" customWidth="1"/>
    <col min="4844" max="4844" width="2.85546875" style="1" customWidth="1"/>
    <col min="4845" max="4845" width="9.140625" style="1"/>
    <col min="4846" max="4846" width="11.85546875" style="1" customWidth="1"/>
    <col min="4847" max="4847" width="11.140625" style="1" customWidth="1"/>
    <col min="4848" max="4848" width="3.28515625" style="1" customWidth="1"/>
    <col min="4849" max="4849" width="9.140625" style="1"/>
    <col min="4850" max="4850" width="11.85546875" style="1" customWidth="1"/>
    <col min="4851" max="4851" width="11.42578125" style="1" customWidth="1"/>
    <col min="4852" max="5089" width="9.140625" style="1"/>
    <col min="5090" max="5090" width="11.140625" style="1" customWidth="1"/>
    <col min="5091" max="5091" width="11" style="1" customWidth="1"/>
    <col min="5092" max="5092" width="2.85546875" style="1" customWidth="1"/>
    <col min="5093" max="5093" width="9.140625" style="1"/>
    <col min="5094" max="5094" width="11.85546875" style="1" customWidth="1"/>
    <col min="5095" max="5095" width="11.28515625" style="1" customWidth="1"/>
    <col min="5096" max="5096" width="2.85546875" style="1" customWidth="1"/>
    <col min="5097" max="5097" width="9.140625" style="1"/>
    <col min="5098" max="5098" width="11.85546875" style="1" customWidth="1"/>
    <col min="5099" max="5099" width="11" style="1" customWidth="1"/>
    <col min="5100" max="5100" width="2.85546875" style="1" customWidth="1"/>
    <col min="5101" max="5101" width="9.140625" style="1"/>
    <col min="5102" max="5102" width="11.85546875" style="1" customWidth="1"/>
    <col min="5103" max="5103" width="11.140625" style="1" customWidth="1"/>
    <col min="5104" max="5104" width="3.28515625" style="1" customWidth="1"/>
    <col min="5105" max="5105" width="9.140625" style="1"/>
    <col min="5106" max="5106" width="11.85546875" style="1" customWidth="1"/>
    <col min="5107" max="5107" width="11.42578125" style="1" customWidth="1"/>
    <col min="5108" max="5345" width="9.140625" style="1"/>
    <col min="5346" max="5346" width="11.140625" style="1" customWidth="1"/>
    <col min="5347" max="5347" width="11" style="1" customWidth="1"/>
    <col min="5348" max="5348" width="2.85546875" style="1" customWidth="1"/>
    <col min="5349" max="5349" width="9.140625" style="1"/>
    <col min="5350" max="5350" width="11.85546875" style="1" customWidth="1"/>
    <col min="5351" max="5351" width="11.28515625" style="1" customWidth="1"/>
    <col min="5352" max="5352" width="2.85546875" style="1" customWidth="1"/>
    <col min="5353" max="5353" width="9.140625" style="1"/>
    <col min="5354" max="5354" width="11.85546875" style="1" customWidth="1"/>
    <col min="5355" max="5355" width="11" style="1" customWidth="1"/>
    <col min="5356" max="5356" width="2.85546875" style="1" customWidth="1"/>
    <col min="5357" max="5357" width="9.140625" style="1"/>
    <col min="5358" max="5358" width="11.85546875" style="1" customWidth="1"/>
    <col min="5359" max="5359" width="11.140625" style="1" customWidth="1"/>
    <col min="5360" max="5360" width="3.28515625" style="1" customWidth="1"/>
    <col min="5361" max="5361" width="9.140625" style="1"/>
    <col min="5362" max="5362" width="11.85546875" style="1" customWidth="1"/>
    <col min="5363" max="5363" width="11.42578125" style="1" customWidth="1"/>
    <col min="5364" max="5601" width="9.140625" style="1"/>
    <col min="5602" max="5602" width="11.140625" style="1" customWidth="1"/>
    <col min="5603" max="5603" width="11" style="1" customWidth="1"/>
    <col min="5604" max="5604" width="2.85546875" style="1" customWidth="1"/>
    <col min="5605" max="5605" width="9.140625" style="1"/>
    <col min="5606" max="5606" width="11.85546875" style="1" customWidth="1"/>
    <col min="5607" max="5607" width="11.28515625" style="1" customWidth="1"/>
    <col min="5608" max="5608" width="2.85546875" style="1" customWidth="1"/>
    <col min="5609" max="5609" width="9.140625" style="1"/>
    <col min="5610" max="5610" width="11.85546875" style="1" customWidth="1"/>
    <col min="5611" max="5611" width="11" style="1" customWidth="1"/>
    <col min="5612" max="5612" width="2.85546875" style="1" customWidth="1"/>
    <col min="5613" max="5613" width="9.140625" style="1"/>
    <col min="5614" max="5614" width="11.85546875" style="1" customWidth="1"/>
    <col min="5615" max="5615" width="11.140625" style="1" customWidth="1"/>
    <col min="5616" max="5616" width="3.28515625" style="1" customWidth="1"/>
    <col min="5617" max="5617" width="9.140625" style="1"/>
    <col min="5618" max="5618" width="11.85546875" style="1" customWidth="1"/>
    <col min="5619" max="5619" width="11.42578125" style="1" customWidth="1"/>
    <col min="5620" max="5857" width="9.140625" style="1"/>
    <col min="5858" max="5858" width="11.140625" style="1" customWidth="1"/>
    <col min="5859" max="5859" width="11" style="1" customWidth="1"/>
    <col min="5860" max="5860" width="2.85546875" style="1" customWidth="1"/>
    <col min="5861" max="5861" width="9.140625" style="1"/>
    <col min="5862" max="5862" width="11.85546875" style="1" customWidth="1"/>
    <col min="5863" max="5863" width="11.28515625" style="1" customWidth="1"/>
    <col min="5864" max="5864" width="2.85546875" style="1" customWidth="1"/>
    <col min="5865" max="5865" width="9.140625" style="1"/>
    <col min="5866" max="5866" width="11.85546875" style="1" customWidth="1"/>
    <col min="5867" max="5867" width="11" style="1" customWidth="1"/>
    <col min="5868" max="5868" width="2.85546875" style="1" customWidth="1"/>
    <col min="5869" max="5869" width="9.140625" style="1"/>
    <col min="5870" max="5870" width="11.85546875" style="1" customWidth="1"/>
    <col min="5871" max="5871" width="11.140625" style="1" customWidth="1"/>
    <col min="5872" max="5872" width="3.28515625" style="1" customWidth="1"/>
    <col min="5873" max="5873" width="9.140625" style="1"/>
    <col min="5874" max="5874" width="11.85546875" style="1" customWidth="1"/>
    <col min="5875" max="5875" width="11.42578125" style="1" customWidth="1"/>
    <col min="5876" max="6113" width="9.140625" style="1"/>
    <col min="6114" max="6114" width="11.140625" style="1" customWidth="1"/>
    <col min="6115" max="6115" width="11" style="1" customWidth="1"/>
    <col min="6116" max="6116" width="2.85546875" style="1" customWidth="1"/>
    <col min="6117" max="6117" width="9.140625" style="1"/>
    <col min="6118" max="6118" width="11.85546875" style="1" customWidth="1"/>
    <col min="6119" max="6119" width="11.28515625" style="1" customWidth="1"/>
    <col min="6120" max="6120" width="2.85546875" style="1" customWidth="1"/>
    <col min="6121" max="6121" width="9.140625" style="1"/>
    <col min="6122" max="6122" width="11.85546875" style="1" customWidth="1"/>
    <col min="6123" max="6123" width="11" style="1" customWidth="1"/>
    <col min="6124" max="6124" width="2.85546875" style="1" customWidth="1"/>
    <col min="6125" max="6125" width="9.140625" style="1"/>
    <col min="6126" max="6126" width="11.85546875" style="1" customWidth="1"/>
    <col min="6127" max="6127" width="11.140625" style="1" customWidth="1"/>
    <col min="6128" max="6128" width="3.28515625" style="1" customWidth="1"/>
    <col min="6129" max="6129" width="9.140625" style="1"/>
    <col min="6130" max="6130" width="11.85546875" style="1" customWidth="1"/>
    <col min="6131" max="6131" width="11.42578125" style="1" customWidth="1"/>
    <col min="6132" max="6369" width="9.140625" style="1"/>
    <col min="6370" max="6370" width="11.140625" style="1" customWidth="1"/>
    <col min="6371" max="6371" width="11" style="1" customWidth="1"/>
    <col min="6372" max="6372" width="2.85546875" style="1" customWidth="1"/>
    <col min="6373" max="6373" width="9.140625" style="1"/>
    <col min="6374" max="6374" width="11.85546875" style="1" customWidth="1"/>
    <col min="6375" max="6375" width="11.28515625" style="1" customWidth="1"/>
    <col min="6376" max="6376" width="2.85546875" style="1" customWidth="1"/>
    <col min="6377" max="6377" width="9.140625" style="1"/>
    <col min="6378" max="6378" width="11.85546875" style="1" customWidth="1"/>
    <col min="6379" max="6379" width="11" style="1" customWidth="1"/>
    <col min="6380" max="6380" width="2.85546875" style="1" customWidth="1"/>
    <col min="6381" max="6381" width="9.140625" style="1"/>
    <col min="6382" max="6382" width="11.85546875" style="1" customWidth="1"/>
    <col min="6383" max="6383" width="11.140625" style="1" customWidth="1"/>
    <col min="6384" max="6384" width="3.28515625" style="1" customWidth="1"/>
    <col min="6385" max="6385" width="9.140625" style="1"/>
    <col min="6386" max="6386" width="11.85546875" style="1" customWidth="1"/>
    <col min="6387" max="6387" width="11.42578125" style="1" customWidth="1"/>
    <col min="6388" max="6625" width="9.140625" style="1"/>
    <col min="6626" max="6626" width="11.140625" style="1" customWidth="1"/>
    <col min="6627" max="6627" width="11" style="1" customWidth="1"/>
    <col min="6628" max="6628" width="2.85546875" style="1" customWidth="1"/>
    <col min="6629" max="6629" width="9.140625" style="1"/>
    <col min="6630" max="6630" width="11.85546875" style="1" customWidth="1"/>
    <col min="6631" max="6631" width="11.28515625" style="1" customWidth="1"/>
    <col min="6632" max="6632" width="2.85546875" style="1" customWidth="1"/>
    <col min="6633" max="6633" width="9.140625" style="1"/>
    <col min="6634" max="6634" width="11.85546875" style="1" customWidth="1"/>
    <col min="6635" max="6635" width="11" style="1" customWidth="1"/>
    <col min="6636" max="6636" width="2.85546875" style="1" customWidth="1"/>
    <col min="6637" max="6637" width="9.140625" style="1"/>
    <col min="6638" max="6638" width="11.85546875" style="1" customWidth="1"/>
    <col min="6639" max="6639" width="11.140625" style="1" customWidth="1"/>
    <col min="6640" max="6640" width="3.28515625" style="1" customWidth="1"/>
    <col min="6641" max="6641" width="9.140625" style="1"/>
    <col min="6642" max="6642" width="11.85546875" style="1" customWidth="1"/>
    <col min="6643" max="6643" width="11.42578125" style="1" customWidth="1"/>
    <col min="6644" max="6881" width="9.140625" style="1"/>
    <col min="6882" max="6882" width="11.140625" style="1" customWidth="1"/>
    <col min="6883" max="6883" width="11" style="1" customWidth="1"/>
    <col min="6884" max="6884" width="2.85546875" style="1" customWidth="1"/>
    <col min="6885" max="6885" width="9.140625" style="1"/>
    <col min="6886" max="6886" width="11.85546875" style="1" customWidth="1"/>
    <col min="6887" max="6887" width="11.28515625" style="1" customWidth="1"/>
    <col min="6888" max="6888" width="2.85546875" style="1" customWidth="1"/>
    <col min="6889" max="6889" width="9.140625" style="1"/>
    <col min="6890" max="6890" width="11.85546875" style="1" customWidth="1"/>
    <col min="6891" max="6891" width="11" style="1" customWidth="1"/>
    <col min="6892" max="6892" width="2.85546875" style="1" customWidth="1"/>
    <col min="6893" max="6893" width="9.140625" style="1"/>
    <col min="6894" max="6894" width="11.85546875" style="1" customWidth="1"/>
    <col min="6895" max="6895" width="11.140625" style="1" customWidth="1"/>
    <col min="6896" max="6896" width="3.28515625" style="1" customWidth="1"/>
    <col min="6897" max="6897" width="9.140625" style="1"/>
    <col min="6898" max="6898" width="11.85546875" style="1" customWidth="1"/>
    <col min="6899" max="6899" width="11.42578125" style="1" customWidth="1"/>
    <col min="6900" max="7137" width="9.140625" style="1"/>
    <col min="7138" max="7138" width="11.140625" style="1" customWidth="1"/>
    <col min="7139" max="7139" width="11" style="1" customWidth="1"/>
    <col min="7140" max="7140" width="2.85546875" style="1" customWidth="1"/>
    <col min="7141" max="7141" width="9.140625" style="1"/>
    <col min="7142" max="7142" width="11.85546875" style="1" customWidth="1"/>
    <col min="7143" max="7143" width="11.28515625" style="1" customWidth="1"/>
    <col min="7144" max="7144" width="2.85546875" style="1" customWidth="1"/>
    <col min="7145" max="7145" width="9.140625" style="1"/>
    <col min="7146" max="7146" width="11.85546875" style="1" customWidth="1"/>
    <col min="7147" max="7147" width="11" style="1" customWidth="1"/>
    <col min="7148" max="7148" width="2.85546875" style="1" customWidth="1"/>
    <col min="7149" max="7149" width="9.140625" style="1"/>
    <col min="7150" max="7150" width="11.85546875" style="1" customWidth="1"/>
    <col min="7151" max="7151" width="11.140625" style="1" customWidth="1"/>
    <col min="7152" max="7152" width="3.28515625" style="1" customWidth="1"/>
    <col min="7153" max="7153" width="9.140625" style="1"/>
    <col min="7154" max="7154" width="11.85546875" style="1" customWidth="1"/>
    <col min="7155" max="7155" width="11.42578125" style="1" customWidth="1"/>
    <col min="7156" max="7393" width="9.140625" style="1"/>
    <col min="7394" max="7394" width="11.140625" style="1" customWidth="1"/>
    <col min="7395" max="7395" width="11" style="1" customWidth="1"/>
    <col min="7396" max="7396" width="2.85546875" style="1" customWidth="1"/>
    <col min="7397" max="7397" width="9.140625" style="1"/>
    <col min="7398" max="7398" width="11.85546875" style="1" customWidth="1"/>
    <col min="7399" max="7399" width="11.28515625" style="1" customWidth="1"/>
    <col min="7400" max="7400" width="2.85546875" style="1" customWidth="1"/>
    <col min="7401" max="7401" width="9.140625" style="1"/>
    <col min="7402" max="7402" width="11.85546875" style="1" customWidth="1"/>
    <col min="7403" max="7403" width="11" style="1" customWidth="1"/>
    <col min="7404" max="7404" width="2.85546875" style="1" customWidth="1"/>
    <col min="7405" max="7405" width="9.140625" style="1"/>
    <col min="7406" max="7406" width="11.85546875" style="1" customWidth="1"/>
    <col min="7407" max="7407" width="11.140625" style="1" customWidth="1"/>
    <col min="7408" max="7408" width="3.28515625" style="1" customWidth="1"/>
    <col min="7409" max="7409" width="9.140625" style="1"/>
    <col min="7410" max="7410" width="11.85546875" style="1" customWidth="1"/>
    <col min="7411" max="7411" width="11.42578125" style="1" customWidth="1"/>
    <col min="7412" max="7649" width="9.140625" style="1"/>
    <col min="7650" max="7650" width="11.140625" style="1" customWidth="1"/>
    <col min="7651" max="7651" width="11" style="1" customWidth="1"/>
    <col min="7652" max="7652" width="2.85546875" style="1" customWidth="1"/>
    <col min="7653" max="7653" width="9.140625" style="1"/>
    <col min="7654" max="7654" width="11.85546875" style="1" customWidth="1"/>
    <col min="7655" max="7655" width="11.28515625" style="1" customWidth="1"/>
    <col min="7656" max="7656" width="2.85546875" style="1" customWidth="1"/>
    <col min="7657" max="7657" width="9.140625" style="1"/>
    <col min="7658" max="7658" width="11.85546875" style="1" customWidth="1"/>
    <col min="7659" max="7659" width="11" style="1" customWidth="1"/>
    <col min="7660" max="7660" width="2.85546875" style="1" customWidth="1"/>
    <col min="7661" max="7661" width="9.140625" style="1"/>
    <col min="7662" max="7662" width="11.85546875" style="1" customWidth="1"/>
    <col min="7663" max="7663" width="11.140625" style="1" customWidth="1"/>
    <col min="7664" max="7664" width="3.28515625" style="1" customWidth="1"/>
    <col min="7665" max="7665" width="9.140625" style="1"/>
    <col min="7666" max="7666" width="11.85546875" style="1" customWidth="1"/>
    <col min="7667" max="7667" width="11.42578125" style="1" customWidth="1"/>
    <col min="7668" max="7905" width="9.140625" style="1"/>
    <col min="7906" max="7906" width="11.140625" style="1" customWidth="1"/>
    <col min="7907" max="7907" width="11" style="1" customWidth="1"/>
    <col min="7908" max="7908" width="2.85546875" style="1" customWidth="1"/>
    <col min="7909" max="7909" width="9.140625" style="1"/>
    <col min="7910" max="7910" width="11.85546875" style="1" customWidth="1"/>
    <col min="7911" max="7911" width="11.28515625" style="1" customWidth="1"/>
    <col min="7912" max="7912" width="2.85546875" style="1" customWidth="1"/>
    <col min="7913" max="7913" width="9.140625" style="1"/>
    <col min="7914" max="7914" width="11.85546875" style="1" customWidth="1"/>
    <col min="7915" max="7915" width="11" style="1" customWidth="1"/>
    <col min="7916" max="7916" width="2.85546875" style="1" customWidth="1"/>
    <col min="7917" max="7917" width="9.140625" style="1"/>
    <col min="7918" max="7918" width="11.85546875" style="1" customWidth="1"/>
    <col min="7919" max="7919" width="11.140625" style="1" customWidth="1"/>
    <col min="7920" max="7920" width="3.28515625" style="1" customWidth="1"/>
    <col min="7921" max="7921" width="9.140625" style="1"/>
    <col min="7922" max="7922" width="11.85546875" style="1" customWidth="1"/>
    <col min="7923" max="7923" width="11.42578125" style="1" customWidth="1"/>
    <col min="7924" max="8161" width="9.140625" style="1"/>
    <col min="8162" max="8162" width="11.140625" style="1" customWidth="1"/>
    <col min="8163" max="8163" width="11" style="1" customWidth="1"/>
    <col min="8164" max="8164" width="2.85546875" style="1" customWidth="1"/>
    <col min="8165" max="8165" width="9.140625" style="1"/>
    <col min="8166" max="8166" width="11.85546875" style="1" customWidth="1"/>
    <col min="8167" max="8167" width="11.28515625" style="1" customWidth="1"/>
    <col min="8168" max="8168" width="2.85546875" style="1" customWidth="1"/>
    <col min="8169" max="8169" width="9.140625" style="1"/>
    <col min="8170" max="8170" width="11.85546875" style="1" customWidth="1"/>
    <col min="8171" max="8171" width="11" style="1" customWidth="1"/>
    <col min="8172" max="8172" width="2.85546875" style="1" customWidth="1"/>
    <col min="8173" max="8173" width="9.140625" style="1"/>
    <col min="8174" max="8174" width="11.85546875" style="1" customWidth="1"/>
    <col min="8175" max="8175" width="11.140625" style="1" customWidth="1"/>
    <col min="8176" max="8176" width="3.28515625" style="1" customWidth="1"/>
    <col min="8177" max="8177" width="9.140625" style="1"/>
    <col min="8178" max="8178" width="11.85546875" style="1" customWidth="1"/>
    <col min="8179" max="8179" width="11.42578125" style="1" customWidth="1"/>
    <col min="8180" max="8417" width="9.140625" style="1"/>
    <col min="8418" max="8418" width="11.140625" style="1" customWidth="1"/>
    <col min="8419" max="8419" width="11" style="1" customWidth="1"/>
    <col min="8420" max="8420" width="2.85546875" style="1" customWidth="1"/>
    <col min="8421" max="8421" width="9.140625" style="1"/>
    <col min="8422" max="8422" width="11.85546875" style="1" customWidth="1"/>
    <col min="8423" max="8423" width="11.28515625" style="1" customWidth="1"/>
    <col min="8424" max="8424" width="2.85546875" style="1" customWidth="1"/>
    <col min="8425" max="8425" width="9.140625" style="1"/>
    <col min="8426" max="8426" width="11.85546875" style="1" customWidth="1"/>
    <col min="8427" max="8427" width="11" style="1" customWidth="1"/>
    <col min="8428" max="8428" width="2.85546875" style="1" customWidth="1"/>
    <col min="8429" max="8429" width="9.140625" style="1"/>
    <col min="8430" max="8430" width="11.85546875" style="1" customWidth="1"/>
    <col min="8431" max="8431" width="11.140625" style="1" customWidth="1"/>
    <col min="8432" max="8432" width="3.28515625" style="1" customWidth="1"/>
    <col min="8433" max="8433" width="9.140625" style="1"/>
    <col min="8434" max="8434" width="11.85546875" style="1" customWidth="1"/>
    <col min="8435" max="8435" width="11.42578125" style="1" customWidth="1"/>
    <col min="8436" max="8673" width="9.140625" style="1"/>
    <col min="8674" max="8674" width="11.140625" style="1" customWidth="1"/>
    <col min="8675" max="8675" width="11" style="1" customWidth="1"/>
    <col min="8676" max="8676" width="2.85546875" style="1" customWidth="1"/>
    <col min="8677" max="8677" width="9.140625" style="1"/>
    <col min="8678" max="8678" width="11.85546875" style="1" customWidth="1"/>
    <col min="8679" max="8679" width="11.28515625" style="1" customWidth="1"/>
    <col min="8680" max="8680" width="2.85546875" style="1" customWidth="1"/>
    <col min="8681" max="8681" width="9.140625" style="1"/>
    <col min="8682" max="8682" width="11.85546875" style="1" customWidth="1"/>
    <col min="8683" max="8683" width="11" style="1" customWidth="1"/>
    <col min="8684" max="8684" width="2.85546875" style="1" customWidth="1"/>
    <col min="8685" max="8685" width="9.140625" style="1"/>
    <col min="8686" max="8686" width="11.85546875" style="1" customWidth="1"/>
    <col min="8687" max="8687" width="11.140625" style="1" customWidth="1"/>
    <col min="8688" max="8688" width="3.28515625" style="1" customWidth="1"/>
    <col min="8689" max="8689" width="9.140625" style="1"/>
    <col min="8690" max="8690" width="11.85546875" style="1" customWidth="1"/>
    <col min="8691" max="8691" width="11.42578125" style="1" customWidth="1"/>
    <col min="8692" max="8929" width="9.140625" style="1"/>
    <col min="8930" max="8930" width="11.140625" style="1" customWidth="1"/>
    <col min="8931" max="8931" width="11" style="1" customWidth="1"/>
    <col min="8932" max="8932" width="2.85546875" style="1" customWidth="1"/>
    <col min="8933" max="8933" width="9.140625" style="1"/>
    <col min="8934" max="8934" width="11.85546875" style="1" customWidth="1"/>
    <col min="8935" max="8935" width="11.28515625" style="1" customWidth="1"/>
    <col min="8936" max="8936" width="2.85546875" style="1" customWidth="1"/>
    <col min="8937" max="8937" width="9.140625" style="1"/>
    <col min="8938" max="8938" width="11.85546875" style="1" customWidth="1"/>
    <col min="8939" max="8939" width="11" style="1" customWidth="1"/>
    <col min="8940" max="8940" width="2.85546875" style="1" customWidth="1"/>
    <col min="8941" max="8941" width="9.140625" style="1"/>
    <col min="8942" max="8942" width="11.85546875" style="1" customWidth="1"/>
    <col min="8943" max="8943" width="11.140625" style="1" customWidth="1"/>
    <col min="8944" max="8944" width="3.28515625" style="1" customWidth="1"/>
    <col min="8945" max="8945" width="9.140625" style="1"/>
    <col min="8946" max="8946" width="11.85546875" style="1" customWidth="1"/>
    <col min="8947" max="8947" width="11.42578125" style="1" customWidth="1"/>
    <col min="8948" max="9185" width="9.140625" style="1"/>
    <col min="9186" max="9186" width="11.140625" style="1" customWidth="1"/>
    <col min="9187" max="9187" width="11" style="1" customWidth="1"/>
    <col min="9188" max="9188" width="2.85546875" style="1" customWidth="1"/>
    <col min="9189" max="9189" width="9.140625" style="1"/>
    <col min="9190" max="9190" width="11.85546875" style="1" customWidth="1"/>
    <col min="9191" max="9191" width="11.28515625" style="1" customWidth="1"/>
    <col min="9192" max="9192" width="2.85546875" style="1" customWidth="1"/>
    <col min="9193" max="9193" width="9.140625" style="1"/>
    <col min="9194" max="9194" width="11.85546875" style="1" customWidth="1"/>
    <col min="9195" max="9195" width="11" style="1" customWidth="1"/>
    <col min="9196" max="9196" width="2.85546875" style="1" customWidth="1"/>
    <col min="9197" max="9197" width="9.140625" style="1"/>
    <col min="9198" max="9198" width="11.85546875" style="1" customWidth="1"/>
    <col min="9199" max="9199" width="11.140625" style="1" customWidth="1"/>
    <col min="9200" max="9200" width="3.28515625" style="1" customWidth="1"/>
    <col min="9201" max="9201" width="9.140625" style="1"/>
    <col min="9202" max="9202" width="11.85546875" style="1" customWidth="1"/>
    <col min="9203" max="9203" width="11.42578125" style="1" customWidth="1"/>
    <col min="9204" max="9441" width="9.140625" style="1"/>
    <col min="9442" max="9442" width="11.140625" style="1" customWidth="1"/>
    <col min="9443" max="9443" width="11" style="1" customWidth="1"/>
    <col min="9444" max="9444" width="2.85546875" style="1" customWidth="1"/>
    <col min="9445" max="9445" width="9.140625" style="1"/>
    <col min="9446" max="9446" width="11.85546875" style="1" customWidth="1"/>
    <col min="9447" max="9447" width="11.28515625" style="1" customWidth="1"/>
    <col min="9448" max="9448" width="2.85546875" style="1" customWidth="1"/>
    <col min="9449" max="9449" width="9.140625" style="1"/>
    <col min="9450" max="9450" width="11.85546875" style="1" customWidth="1"/>
    <col min="9451" max="9451" width="11" style="1" customWidth="1"/>
    <col min="9452" max="9452" width="2.85546875" style="1" customWidth="1"/>
    <col min="9453" max="9453" width="9.140625" style="1"/>
    <col min="9454" max="9454" width="11.85546875" style="1" customWidth="1"/>
    <col min="9455" max="9455" width="11.140625" style="1" customWidth="1"/>
    <col min="9456" max="9456" width="3.28515625" style="1" customWidth="1"/>
    <col min="9457" max="9457" width="9.140625" style="1"/>
    <col min="9458" max="9458" width="11.85546875" style="1" customWidth="1"/>
    <col min="9459" max="9459" width="11.42578125" style="1" customWidth="1"/>
    <col min="9460" max="9697" width="9.140625" style="1"/>
    <col min="9698" max="9698" width="11.140625" style="1" customWidth="1"/>
    <col min="9699" max="9699" width="11" style="1" customWidth="1"/>
    <col min="9700" max="9700" width="2.85546875" style="1" customWidth="1"/>
    <col min="9701" max="9701" width="9.140625" style="1"/>
    <col min="9702" max="9702" width="11.85546875" style="1" customWidth="1"/>
    <col min="9703" max="9703" width="11.28515625" style="1" customWidth="1"/>
    <col min="9704" max="9704" width="2.85546875" style="1" customWidth="1"/>
    <col min="9705" max="9705" width="9.140625" style="1"/>
    <col min="9706" max="9706" width="11.85546875" style="1" customWidth="1"/>
    <col min="9707" max="9707" width="11" style="1" customWidth="1"/>
    <col min="9708" max="9708" width="2.85546875" style="1" customWidth="1"/>
    <col min="9709" max="9709" width="9.140625" style="1"/>
    <col min="9710" max="9710" width="11.85546875" style="1" customWidth="1"/>
    <col min="9711" max="9711" width="11.140625" style="1" customWidth="1"/>
    <col min="9712" max="9712" width="3.28515625" style="1" customWidth="1"/>
    <col min="9713" max="9713" width="9.140625" style="1"/>
    <col min="9714" max="9714" width="11.85546875" style="1" customWidth="1"/>
    <col min="9715" max="9715" width="11.42578125" style="1" customWidth="1"/>
    <col min="9716" max="9953" width="9.140625" style="1"/>
    <col min="9954" max="9954" width="11.140625" style="1" customWidth="1"/>
    <col min="9955" max="9955" width="11" style="1" customWidth="1"/>
    <col min="9956" max="9956" width="2.85546875" style="1" customWidth="1"/>
    <col min="9957" max="9957" width="9.140625" style="1"/>
    <col min="9958" max="9958" width="11.85546875" style="1" customWidth="1"/>
    <col min="9959" max="9959" width="11.28515625" style="1" customWidth="1"/>
    <col min="9960" max="9960" width="2.85546875" style="1" customWidth="1"/>
    <col min="9961" max="9961" width="9.140625" style="1"/>
    <col min="9962" max="9962" width="11.85546875" style="1" customWidth="1"/>
    <col min="9963" max="9963" width="11" style="1" customWidth="1"/>
    <col min="9964" max="9964" width="2.85546875" style="1" customWidth="1"/>
    <col min="9965" max="9965" width="9.140625" style="1"/>
    <col min="9966" max="9966" width="11.85546875" style="1" customWidth="1"/>
    <col min="9967" max="9967" width="11.140625" style="1" customWidth="1"/>
    <col min="9968" max="9968" width="3.28515625" style="1" customWidth="1"/>
    <col min="9969" max="9969" width="9.140625" style="1"/>
    <col min="9970" max="9970" width="11.85546875" style="1" customWidth="1"/>
    <col min="9971" max="9971" width="11.42578125" style="1" customWidth="1"/>
    <col min="9972" max="10209" width="9.140625" style="1"/>
    <col min="10210" max="10210" width="11.140625" style="1" customWidth="1"/>
    <col min="10211" max="10211" width="11" style="1" customWidth="1"/>
    <col min="10212" max="10212" width="2.85546875" style="1" customWidth="1"/>
    <col min="10213" max="10213" width="9.140625" style="1"/>
    <col min="10214" max="10214" width="11.85546875" style="1" customWidth="1"/>
    <col min="10215" max="10215" width="11.28515625" style="1" customWidth="1"/>
    <col min="10216" max="10216" width="2.85546875" style="1" customWidth="1"/>
    <col min="10217" max="10217" width="9.140625" style="1"/>
    <col min="10218" max="10218" width="11.85546875" style="1" customWidth="1"/>
    <col min="10219" max="10219" width="11" style="1" customWidth="1"/>
    <col min="10220" max="10220" width="2.85546875" style="1" customWidth="1"/>
    <col min="10221" max="10221" width="9.140625" style="1"/>
    <col min="10222" max="10222" width="11.85546875" style="1" customWidth="1"/>
    <col min="10223" max="10223" width="11.140625" style="1" customWidth="1"/>
    <col min="10224" max="10224" width="3.28515625" style="1" customWidth="1"/>
    <col min="10225" max="10225" width="9.140625" style="1"/>
    <col min="10226" max="10226" width="11.85546875" style="1" customWidth="1"/>
    <col min="10227" max="10227" width="11.42578125" style="1" customWidth="1"/>
    <col min="10228" max="10465" width="9.140625" style="1"/>
    <col min="10466" max="10466" width="11.140625" style="1" customWidth="1"/>
    <col min="10467" max="10467" width="11" style="1" customWidth="1"/>
    <col min="10468" max="10468" width="2.85546875" style="1" customWidth="1"/>
    <col min="10469" max="10469" width="9.140625" style="1"/>
    <col min="10470" max="10470" width="11.85546875" style="1" customWidth="1"/>
    <col min="10471" max="10471" width="11.28515625" style="1" customWidth="1"/>
    <col min="10472" max="10472" width="2.85546875" style="1" customWidth="1"/>
    <col min="10473" max="10473" width="9.140625" style="1"/>
    <col min="10474" max="10474" width="11.85546875" style="1" customWidth="1"/>
    <col min="10475" max="10475" width="11" style="1" customWidth="1"/>
    <col min="10476" max="10476" width="2.85546875" style="1" customWidth="1"/>
    <col min="10477" max="10477" width="9.140625" style="1"/>
    <col min="10478" max="10478" width="11.85546875" style="1" customWidth="1"/>
    <col min="10479" max="10479" width="11.140625" style="1" customWidth="1"/>
    <col min="10480" max="10480" width="3.28515625" style="1" customWidth="1"/>
    <col min="10481" max="10481" width="9.140625" style="1"/>
    <col min="10482" max="10482" width="11.85546875" style="1" customWidth="1"/>
    <col min="10483" max="10483" width="11.42578125" style="1" customWidth="1"/>
    <col min="10484" max="10721" width="9.140625" style="1"/>
    <col min="10722" max="10722" width="11.140625" style="1" customWidth="1"/>
    <col min="10723" max="10723" width="11" style="1" customWidth="1"/>
    <col min="10724" max="10724" width="2.85546875" style="1" customWidth="1"/>
    <col min="10725" max="10725" width="9.140625" style="1"/>
    <col min="10726" max="10726" width="11.85546875" style="1" customWidth="1"/>
    <col min="10727" max="10727" width="11.28515625" style="1" customWidth="1"/>
    <col min="10728" max="10728" width="2.85546875" style="1" customWidth="1"/>
    <col min="10729" max="10729" width="9.140625" style="1"/>
    <col min="10730" max="10730" width="11.85546875" style="1" customWidth="1"/>
    <col min="10731" max="10731" width="11" style="1" customWidth="1"/>
    <col min="10732" max="10732" width="2.85546875" style="1" customWidth="1"/>
    <col min="10733" max="10733" width="9.140625" style="1"/>
    <col min="10734" max="10734" width="11.85546875" style="1" customWidth="1"/>
    <col min="10735" max="10735" width="11.140625" style="1" customWidth="1"/>
    <col min="10736" max="10736" width="3.28515625" style="1" customWidth="1"/>
    <col min="10737" max="10737" width="9.140625" style="1"/>
    <col min="10738" max="10738" width="11.85546875" style="1" customWidth="1"/>
    <col min="10739" max="10739" width="11.42578125" style="1" customWidth="1"/>
    <col min="10740" max="10977" width="9.140625" style="1"/>
    <col min="10978" max="10978" width="11.140625" style="1" customWidth="1"/>
    <col min="10979" max="10979" width="11" style="1" customWidth="1"/>
    <col min="10980" max="10980" width="2.85546875" style="1" customWidth="1"/>
    <col min="10981" max="10981" width="9.140625" style="1"/>
    <col min="10982" max="10982" width="11.85546875" style="1" customWidth="1"/>
    <col min="10983" max="10983" width="11.28515625" style="1" customWidth="1"/>
    <col min="10984" max="10984" width="2.85546875" style="1" customWidth="1"/>
    <col min="10985" max="10985" width="9.140625" style="1"/>
    <col min="10986" max="10986" width="11.85546875" style="1" customWidth="1"/>
    <col min="10987" max="10987" width="11" style="1" customWidth="1"/>
    <col min="10988" max="10988" width="2.85546875" style="1" customWidth="1"/>
    <col min="10989" max="10989" width="9.140625" style="1"/>
    <col min="10990" max="10990" width="11.85546875" style="1" customWidth="1"/>
    <col min="10991" max="10991" width="11.140625" style="1" customWidth="1"/>
    <col min="10992" max="10992" width="3.28515625" style="1" customWidth="1"/>
    <col min="10993" max="10993" width="9.140625" style="1"/>
    <col min="10994" max="10994" width="11.85546875" style="1" customWidth="1"/>
    <col min="10995" max="10995" width="11.42578125" style="1" customWidth="1"/>
    <col min="10996" max="11233" width="9.140625" style="1"/>
    <col min="11234" max="11234" width="11.140625" style="1" customWidth="1"/>
    <col min="11235" max="11235" width="11" style="1" customWidth="1"/>
    <col min="11236" max="11236" width="2.85546875" style="1" customWidth="1"/>
    <col min="11237" max="11237" width="9.140625" style="1"/>
    <col min="11238" max="11238" width="11.85546875" style="1" customWidth="1"/>
    <col min="11239" max="11239" width="11.28515625" style="1" customWidth="1"/>
    <col min="11240" max="11240" width="2.85546875" style="1" customWidth="1"/>
    <col min="11241" max="11241" width="9.140625" style="1"/>
    <col min="11242" max="11242" width="11.85546875" style="1" customWidth="1"/>
    <col min="11243" max="11243" width="11" style="1" customWidth="1"/>
    <col min="11244" max="11244" width="2.85546875" style="1" customWidth="1"/>
    <col min="11245" max="11245" width="9.140625" style="1"/>
    <col min="11246" max="11246" width="11.85546875" style="1" customWidth="1"/>
    <col min="11247" max="11247" width="11.140625" style="1" customWidth="1"/>
    <col min="11248" max="11248" width="3.28515625" style="1" customWidth="1"/>
    <col min="11249" max="11249" width="9.140625" style="1"/>
    <col min="11250" max="11250" width="11.85546875" style="1" customWidth="1"/>
    <col min="11251" max="11251" width="11.42578125" style="1" customWidth="1"/>
    <col min="11252" max="11489" width="9.140625" style="1"/>
    <col min="11490" max="11490" width="11.140625" style="1" customWidth="1"/>
    <col min="11491" max="11491" width="11" style="1" customWidth="1"/>
    <col min="11492" max="11492" width="2.85546875" style="1" customWidth="1"/>
    <col min="11493" max="11493" width="9.140625" style="1"/>
    <col min="11494" max="11494" width="11.85546875" style="1" customWidth="1"/>
    <col min="11495" max="11495" width="11.28515625" style="1" customWidth="1"/>
    <col min="11496" max="11496" width="2.85546875" style="1" customWidth="1"/>
    <col min="11497" max="11497" width="9.140625" style="1"/>
    <col min="11498" max="11498" width="11.85546875" style="1" customWidth="1"/>
    <col min="11499" max="11499" width="11" style="1" customWidth="1"/>
    <col min="11500" max="11500" width="2.85546875" style="1" customWidth="1"/>
    <col min="11501" max="11501" width="9.140625" style="1"/>
    <col min="11502" max="11502" width="11.85546875" style="1" customWidth="1"/>
    <col min="11503" max="11503" width="11.140625" style="1" customWidth="1"/>
    <col min="11504" max="11504" width="3.28515625" style="1" customWidth="1"/>
    <col min="11505" max="11505" width="9.140625" style="1"/>
    <col min="11506" max="11506" width="11.85546875" style="1" customWidth="1"/>
    <col min="11507" max="11507" width="11.42578125" style="1" customWidth="1"/>
    <col min="11508" max="11745" width="9.140625" style="1"/>
    <col min="11746" max="11746" width="11.140625" style="1" customWidth="1"/>
    <col min="11747" max="11747" width="11" style="1" customWidth="1"/>
    <col min="11748" max="11748" width="2.85546875" style="1" customWidth="1"/>
    <col min="11749" max="11749" width="9.140625" style="1"/>
    <col min="11750" max="11750" width="11.85546875" style="1" customWidth="1"/>
    <col min="11751" max="11751" width="11.28515625" style="1" customWidth="1"/>
    <col min="11752" max="11752" width="2.85546875" style="1" customWidth="1"/>
    <col min="11753" max="11753" width="9.140625" style="1"/>
    <col min="11754" max="11754" width="11.85546875" style="1" customWidth="1"/>
    <col min="11755" max="11755" width="11" style="1" customWidth="1"/>
    <col min="11756" max="11756" width="2.85546875" style="1" customWidth="1"/>
    <col min="11757" max="11757" width="9.140625" style="1"/>
    <col min="11758" max="11758" width="11.85546875" style="1" customWidth="1"/>
    <col min="11759" max="11759" width="11.140625" style="1" customWidth="1"/>
    <col min="11760" max="11760" width="3.28515625" style="1" customWidth="1"/>
    <col min="11761" max="11761" width="9.140625" style="1"/>
    <col min="11762" max="11762" width="11.85546875" style="1" customWidth="1"/>
    <col min="11763" max="11763" width="11.42578125" style="1" customWidth="1"/>
    <col min="11764" max="12001" width="9.140625" style="1"/>
    <col min="12002" max="12002" width="11.140625" style="1" customWidth="1"/>
    <col min="12003" max="12003" width="11" style="1" customWidth="1"/>
    <col min="12004" max="12004" width="2.85546875" style="1" customWidth="1"/>
    <col min="12005" max="12005" width="9.140625" style="1"/>
    <col min="12006" max="12006" width="11.85546875" style="1" customWidth="1"/>
    <col min="12007" max="12007" width="11.28515625" style="1" customWidth="1"/>
    <col min="12008" max="12008" width="2.85546875" style="1" customWidth="1"/>
    <col min="12009" max="12009" width="9.140625" style="1"/>
    <col min="12010" max="12010" width="11.85546875" style="1" customWidth="1"/>
    <col min="12011" max="12011" width="11" style="1" customWidth="1"/>
    <col min="12012" max="12012" width="2.85546875" style="1" customWidth="1"/>
    <col min="12013" max="12013" width="9.140625" style="1"/>
    <col min="12014" max="12014" width="11.85546875" style="1" customWidth="1"/>
    <col min="12015" max="12015" width="11.140625" style="1" customWidth="1"/>
    <col min="12016" max="12016" width="3.28515625" style="1" customWidth="1"/>
    <col min="12017" max="12017" width="9.140625" style="1"/>
    <col min="12018" max="12018" width="11.85546875" style="1" customWidth="1"/>
    <col min="12019" max="12019" width="11.42578125" style="1" customWidth="1"/>
    <col min="12020" max="12257" width="9.140625" style="1"/>
    <col min="12258" max="12258" width="11.140625" style="1" customWidth="1"/>
    <col min="12259" max="12259" width="11" style="1" customWidth="1"/>
    <col min="12260" max="12260" width="2.85546875" style="1" customWidth="1"/>
    <col min="12261" max="12261" width="9.140625" style="1"/>
    <col min="12262" max="12262" width="11.85546875" style="1" customWidth="1"/>
    <col min="12263" max="12263" width="11.28515625" style="1" customWidth="1"/>
    <col min="12264" max="12264" width="2.85546875" style="1" customWidth="1"/>
    <col min="12265" max="12265" width="9.140625" style="1"/>
    <col min="12266" max="12266" width="11.85546875" style="1" customWidth="1"/>
    <col min="12267" max="12267" width="11" style="1" customWidth="1"/>
    <col min="12268" max="12268" width="2.85546875" style="1" customWidth="1"/>
    <col min="12269" max="12269" width="9.140625" style="1"/>
    <col min="12270" max="12270" width="11.85546875" style="1" customWidth="1"/>
    <col min="12271" max="12271" width="11.140625" style="1" customWidth="1"/>
    <col min="12272" max="12272" width="3.28515625" style="1" customWidth="1"/>
    <col min="12273" max="12273" width="9.140625" style="1"/>
    <col min="12274" max="12274" width="11.85546875" style="1" customWidth="1"/>
    <col min="12275" max="12275" width="11.42578125" style="1" customWidth="1"/>
    <col min="12276" max="12513" width="9.140625" style="1"/>
    <col min="12514" max="12514" width="11.140625" style="1" customWidth="1"/>
    <col min="12515" max="12515" width="11" style="1" customWidth="1"/>
    <col min="12516" max="12516" width="2.85546875" style="1" customWidth="1"/>
    <col min="12517" max="12517" width="9.140625" style="1"/>
    <col min="12518" max="12518" width="11.85546875" style="1" customWidth="1"/>
    <col min="12519" max="12519" width="11.28515625" style="1" customWidth="1"/>
    <col min="12520" max="12520" width="2.85546875" style="1" customWidth="1"/>
    <col min="12521" max="12521" width="9.140625" style="1"/>
    <col min="12522" max="12522" width="11.85546875" style="1" customWidth="1"/>
    <col min="12523" max="12523" width="11" style="1" customWidth="1"/>
    <col min="12524" max="12524" width="2.85546875" style="1" customWidth="1"/>
    <col min="12525" max="12525" width="9.140625" style="1"/>
    <col min="12526" max="12526" width="11.85546875" style="1" customWidth="1"/>
    <col min="12527" max="12527" width="11.140625" style="1" customWidth="1"/>
    <col min="12528" max="12528" width="3.28515625" style="1" customWidth="1"/>
    <col min="12529" max="12529" width="9.140625" style="1"/>
    <col min="12530" max="12530" width="11.85546875" style="1" customWidth="1"/>
    <col min="12531" max="12531" width="11.42578125" style="1" customWidth="1"/>
    <col min="12532" max="12769" width="9.140625" style="1"/>
    <col min="12770" max="12770" width="11.140625" style="1" customWidth="1"/>
    <col min="12771" max="12771" width="11" style="1" customWidth="1"/>
    <col min="12772" max="12772" width="2.85546875" style="1" customWidth="1"/>
    <col min="12773" max="12773" width="9.140625" style="1"/>
    <col min="12774" max="12774" width="11.85546875" style="1" customWidth="1"/>
    <col min="12775" max="12775" width="11.28515625" style="1" customWidth="1"/>
    <col min="12776" max="12776" width="2.85546875" style="1" customWidth="1"/>
    <col min="12777" max="12777" width="9.140625" style="1"/>
    <col min="12778" max="12778" width="11.85546875" style="1" customWidth="1"/>
    <col min="12779" max="12779" width="11" style="1" customWidth="1"/>
    <col min="12780" max="12780" width="2.85546875" style="1" customWidth="1"/>
    <col min="12781" max="12781" width="9.140625" style="1"/>
    <col min="12782" max="12782" width="11.85546875" style="1" customWidth="1"/>
    <col min="12783" max="12783" width="11.140625" style="1" customWidth="1"/>
    <col min="12784" max="12784" width="3.28515625" style="1" customWidth="1"/>
    <col min="12785" max="12785" width="9.140625" style="1"/>
    <col min="12786" max="12786" width="11.85546875" style="1" customWidth="1"/>
    <col min="12787" max="12787" width="11.42578125" style="1" customWidth="1"/>
    <col min="12788" max="13025" width="9.140625" style="1"/>
    <col min="13026" max="13026" width="11.140625" style="1" customWidth="1"/>
    <col min="13027" max="13027" width="11" style="1" customWidth="1"/>
    <col min="13028" max="13028" width="2.85546875" style="1" customWidth="1"/>
    <col min="13029" max="13029" width="9.140625" style="1"/>
    <col min="13030" max="13030" width="11.85546875" style="1" customWidth="1"/>
    <col min="13031" max="13031" width="11.28515625" style="1" customWidth="1"/>
    <col min="13032" max="13032" width="2.85546875" style="1" customWidth="1"/>
    <col min="13033" max="13033" width="9.140625" style="1"/>
    <col min="13034" max="13034" width="11.85546875" style="1" customWidth="1"/>
    <col min="13035" max="13035" width="11" style="1" customWidth="1"/>
    <col min="13036" max="13036" width="2.85546875" style="1" customWidth="1"/>
    <col min="13037" max="13037" width="9.140625" style="1"/>
    <col min="13038" max="13038" width="11.85546875" style="1" customWidth="1"/>
    <col min="13039" max="13039" width="11.140625" style="1" customWidth="1"/>
    <col min="13040" max="13040" width="3.28515625" style="1" customWidth="1"/>
    <col min="13041" max="13041" width="9.140625" style="1"/>
    <col min="13042" max="13042" width="11.85546875" style="1" customWidth="1"/>
    <col min="13043" max="13043" width="11.42578125" style="1" customWidth="1"/>
    <col min="13044" max="13281" width="9.140625" style="1"/>
    <col min="13282" max="13282" width="11.140625" style="1" customWidth="1"/>
    <col min="13283" max="13283" width="11" style="1" customWidth="1"/>
    <col min="13284" max="13284" width="2.85546875" style="1" customWidth="1"/>
    <col min="13285" max="13285" width="9.140625" style="1"/>
    <col min="13286" max="13286" width="11.85546875" style="1" customWidth="1"/>
    <col min="13287" max="13287" width="11.28515625" style="1" customWidth="1"/>
    <col min="13288" max="13288" width="2.85546875" style="1" customWidth="1"/>
    <col min="13289" max="13289" width="9.140625" style="1"/>
    <col min="13290" max="13290" width="11.85546875" style="1" customWidth="1"/>
    <col min="13291" max="13291" width="11" style="1" customWidth="1"/>
    <col min="13292" max="13292" width="2.85546875" style="1" customWidth="1"/>
    <col min="13293" max="13293" width="9.140625" style="1"/>
    <col min="13294" max="13294" width="11.85546875" style="1" customWidth="1"/>
    <col min="13295" max="13295" width="11.140625" style="1" customWidth="1"/>
    <col min="13296" max="13296" width="3.28515625" style="1" customWidth="1"/>
    <col min="13297" max="13297" width="9.140625" style="1"/>
    <col min="13298" max="13298" width="11.85546875" style="1" customWidth="1"/>
    <col min="13299" max="13299" width="11.42578125" style="1" customWidth="1"/>
    <col min="13300" max="13537" width="9.140625" style="1"/>
    <col min="13538" max="13538" width="11.140625" style="1" customWidth="1"/>
    <col min="13539" max="13539" width="11" style="1" customWidth="1"/>
    <col min="13540" max="13540" width="2.85546875" style="1" customWidth="1"/>
    <col min="13541" max="13541" width="9.140625" style="1"/>
    <col min="13542" max="13542" width="11.85546875" style="1" customWidth="1"/>
    <col min="13543" max="13543" width="11.28515625" style="1" customWidth="1"/>
    <col min="13544" max="13544" width="2.85546875" style="1" customWidth="1"/>
    <col min="13545" max="13545" width="9.140625" style="1"/>
    <col min="13546" max="13546" width="11.85546875" style="1" customWidth="1"/>
    <col min="13547" max="13547" width="11" style="1" customWidth="1"/>
    <col min="13548" max="13548" width="2.85546875" style="1" customWidth="1"/>
    <col min="13549" max="13549" width="9.140625" style="1"/>
    <col min="13550" max="13550" width="11.85546875" style="1" customWidth="1"/>
    <col min="13551" max="13551" width="11.140625" style="1" customWidth="1"/>
    <col min="13552" max="13552" width="3.28515625" style="1" customWidth="1"/>
    <col min="13553" max="13553" width="9.140625" style="1"/>
    <col min="13554" max="13554" width="11.85546875" style="1" customWidth="1"/>
    <col min="13555" max="13555" width="11.42578125" style="1" customWidth="1"/>
    <col min="13556" max="13793" width="9.140625" style="1"/>
    <col min="13794" max="13794" width="11.140625" style="1" customWidth="1"/>
    <col min="13795" max="13795" width="11" style="1" customWidth="1"/>
    <col min="13796" max="13796" width="2.85546875" style="1" customWidth="1"/>
    <col min="13797" max="13797" width="9.140625" style="1"/>
    <col min="13798" max="13798" width="11.85546875" style="1" customWidth="1"/>
    <col min="13799" max="13799" width="11.28515625" style="1" customWidth="1"/>
    <col min="13800" max="13800" width="2.85546875" style="1" customWidth="1"/>
    <col min="13801" max="13801" width="9.140625" style="1"/>
    <col min="13802" max="13802" width="11.85546875" style="1" customWidth="1"/>
    <col min="13803" max="13803" width="11" style="1" customWidth="1"/>
    <col min="13804" max="13804" width="2.85546875" style="1" customWidth="1"/>
    <col min="13805" max="13805" width="9.140625" style="1"/>
    <col min="13806" max="13806" width="11.85546875" style="1" customWidth="1"/>
    <col min="13807" max="13807" width="11.140625" style="1" customWidth="1"/>
    <col min="13808" max="13808" width="3.28515625" style="1" customWidth="1"/>
    <col min="13809" max="13809" width="9.140625" style="1"/>
    <col min="13810" max="13810" width="11.85546875" style="1" customWidth="1"/>
    <col min="13811" max="13811" width="11.42578125" style="1" customWidth="1"/>
    <col min="13812" max="14049" width="9.140625" style="1"/>
    <col min="14050" max="14050" width="11.140625" style="1" customWidth="1"/>
    <col min="14051" max="14051" width="11" style="1" customWidth="1"/>
    <col min="14052" max="14052" width="2.85546875" style="1" customWidth="1"/>
    <col min="14053" max="14053" width="9.140625" style="1"/>
    <col min="14054" max="14054" width="11.85546875" style="1" customWidth="1"/>
    <col min="14055" max="14055" width="11.28515625" style="1" customWidth="1"/>
    <col min="14056" max="14056" width="2.85546875" style="1" customWidth="1"/>
    <col min="14057" max="14057" width="9.140625" style="1"/>
    <col min="14058" max="14058" width="11.85546875" style="1" customWidth="1"/>
    <col min="14059" max="14059" width="11" style="1" customWidth="1"/>
    <col min="14060" max="14060" width="2.85546875" style="1" customWidth="1"/>
    <col min="14061" max="14061" width="9.140625" style="1"/>
    <col min="14062" max="14062" width="11.85546875" style="1" customWidth="1"/>
    <col min="14063" max="14063" width="11.140625" style="1" customWidth="1"/>
    <col min="14064" max="14064" width="3.28515625" style="1" customWidth="1"/>
    <col min="14065" max="14065" width="9.140625" style="1"/>
    <col min="14066" max="14066" width="11.85546875" style="1" customWidth="1"/>
    <col min="14067" max="14067" width="11.42578125" style="1" customWidth="1"/>
    <col min="14068" max="14305" width="9.140625" style="1"/>
    <col min="14306" max="14306" width="11.140625" style="1" customWidth="1"/>
    <col min="14307" max="14307" width="11" style="1" customWidth="1"/>
    <col min="14308" max="14308" width="2.85546875" style="1" customWidth="1"/>
    <col min="14309" max="14309" width="9.140625" style="1"/>
    <col min="14310" max="14310" width="11.85546875" style="1" customWidth="1"/>
    <col min="14311" max="14311" width="11.28515625" style="1" customWidth="1"/>
    <col min="14312" max="14312" width="2.85546875" style="1" customWidth="1"/>
    <col min="14313" max="14313" width="9.140625" style="1"/>
    <col min="14314" max="14314" width="11.85546875" style="1" customWidth="1"/>
    <col min="14315" max="14315" width="11" style="1" customWidth="1"/>
    <col min="14316" max="14316" width="2.85546875" style="1" customWidth="1"/>
    <col min="14317" max="14317" width="9.140625" style="1"/>
    <col min="14318" max="14318" width="11.85546875" style="1" customWidth="1"/>
    <col min="14319" max="14319" width="11.140625" style="1" customWidth="1"/>
    <col min="14320" max="14320" width="3.28515625" style="1" customWidth="1"/>
    <col min="14321" max="14321" width="9.140625" style="1"/>
    <col min="14322" max="14322" width="11.85546875" style="1" customWidth="1"/>
    <col min="14323" max="14323" width="11.42578125" style="1" customWidth="1"/>
    <col min="14324" max="14561" width="9.140625" style="1"/>
    <col min="14562" max="14562" width="11.140625" style="1" customWidth="1"/>
    <col min="14563" max="14563" width="11" style="1" customWidth="1"/>
    <col min="14564" max="14564" width="2.85546875" style="1" customWidth="1"/>
    <col min="14565" max="14565" width="9.140625" style="1"/>
    <col min="14566" max="14566" width="11.85546875" style="1" customWidth="1"/>
    <col min="14567" max="14567" width="11.28515625" style="1" customWidth="1"/>
    <col min="14568" max="14568" width="2.85546875" style="1" customWidth="1"/>
    <col min="14569" max="14569" width="9.140625" style="1"/>
    <col min="14570" max="14570" width="11.85546875" style="1" customWidth="1"/>
    <col min="14571" max="14571" width="11" style="1" customWidth="1"/>
    <col min="14572" max="14572" width="2.85546875" style="1" customWidth="1"/>
    <col min="14573" max="14573" width="9.140625" style="1"/>
    <col min="14574" max="14574" width="11.85546875" style="1" customWidth="1"/>
    <col min="14575" max="14575" width="11.140625" style="1" customWidth="1"/>
    <col min="14576" max="14576" width="3.28515625" style="1" customWidth="1"/>
    <col min="14577" max="14577" width="9.140625" style="1"/>
    <col min="14578" max="14578" width="11.85546875" style="1" customWidth="1"/>
    <col min="14579" max="14579" width="11.42578125" style="1" customWidth="1"/>
    <col min="14580" max="14817" width="9.140625" style="1"/>
    <col min="14818" max="14818" width="11.140625" style="1" customWidth="1"/>
    <col min="14819" max="14819" width="11" style="1" customWidth="1"/>
    <col min="14820" max="14820" width="2.85546875" style="1" customWidth="1"/>
    <col min="14821" max="14821" width="9.140625" style="1"/>
    <col min="14822" max="14822" width="11.85546875" style="1" customWidth="1"/>
    <col min="14823" max="14823" width="11.28515625" style="1" customWidth="1"/>
    <col min="14824" max="14824" width="2.85546875" style="1" customWidth="1"/>
    <col min="14825" max="14825" width="9.140625" style="1"/>
    <col min="14826" max="14826" width="11.85546875" style="1" customWidth="1"/>
    <col min="14827" max="14827" width="11" style="1" customWidth="1"/>
    <col min="14828" max="14828" width="2.85546875" style="1" customWidth="1"/>
    <col min="14829" max="14829" width="9.140625" style="1"/>
    <col min="14830" max="14830" width="11.85546875" style="1" customWidth="1"/>
    <col min="14831" max="14831" width="11.140625" style="1" customWidth="1"/>
    <col min="14832" max="14832" width="3.28515625" style="1" customWidth="1"/>
    <col min="14833" max="14833" width="9.140625" style="1"/>
    <col min="14834" max="14834" width="11.85546875" style="1" customWidth="1"/>
    <col min="14835" max="14835" width="11.42578125" style="1" customWidth="1"/>
    <col min="14836" max="15073" width="9.140625" style="1"/>
    <col min="15074" max="15074" width="11.140625" style="1" customWidth="1"/>
    <col min="15075" max="15075" width="11" style="1" customWidth="1"/>
    <col min="15076" max="15076" width="2.85546875" style="1" customWidth="1"/>
    <col min="15077" max="15077" width="9.140625" style="1"/>
    <col min="15078" max="15078" width="11.85546875" style="1" customWidth="1"/>
    <col min="15079" max="15079" width="11.28515625" style="1" customWidth="1"/>
    <col min="15080" max="15080" width="2.85546875" style="1" customWidth="1"/>
    <col min="15081" max="15081" width="9.140625" style="1"/>
    <col min="15082" max="15082" width="11.85546875" style="1" customWidth="1"/>
    <col min="15083" max="15083" width="11" style="1" customWidth="1"/>
    <col min="15084" max="15084" width="2.85546875" style="1" customWidth="1"/>
    <col min="15085" max="15085" width="9.140625" style="1"/>
    <col min="15086" max="15086" width="11.85546875" style="1" customWidth="1"/>
    <col min="15087" max="15087" width="11.140625" style="1" customWidth="1"/>
    <col min="15088" max="15088" width="3.28515625" style="1" customWidth="1"/>
    <col min="15089" max="15089" width="9.140625" style="1"/>
    <col min="15090" max="15090" width="11.85546875" style="1" customWidth="1"/>
    <col min="15091" max="15091" width="11.42578125" style="1" customWidth="1"/>
    <col min="15092" max="15329" width="9.140625" style="1"/>
    <col min="15330" max="15330" width="11.140625" style="1" customWidth="1"/>
    <col min="15331" max="15331" width="11" style="1" customWidth="1"/>
    <col min="15332" max="15332" width="2.85546875" style="1" customWidth="1"/>
    <col min="15333" max="15333" width="9.140625" style="1"/>
    <col min="15334" max="15334" width="11.85546875" style="1" customWidth="1"/>
    <col min="15335" max="15335" width="11.28515625" style="1" customWidth="1"/>
    <col min="15336" max="15336" width="2.85546875" style="1" customWidth="1"/>
    <col min="15337" max="15337" width="9.140625" style="1"/>
    <col min="15338" max="15338" width="11.85546875" style="1" customWidth="1"/>
    <col min="15339" max="15339" width="11" style="1" customWidth="1"/>
    <col min="15340" max="15340" width="2.85546875" style="1" customWidth="1"/>
    <col min="15341" max="15341" width="9.140625" style="1"/>
    <col min="15342" max="15342" width="11.85546875" style="1" customWidth="1"/>
    <col min="15343" max="15343" width="11.140625" style="1" customWidth="1"/>
    <col min="15344" max="15344" width="3.28515625" style="1" customWidth="1"/>
    <col min="15345" max="15345" width="9.140625" style="1"/>
    <col min="15346" max="15346" width="11.85546875" style="1" customWidth="1"/>
    <col min="15347" max="15347" width="11.42578125" style="1" customWidth="1"/>
    <col min="15348" max="15585" width="9.140625" style="1"/>
    <col min="15586" max="15586" width="11.140625" style="1" customWidth="1"/>
    <col min="15587" max="15587" width="11" style="1" customWidth="1"/>
    <col min="15588" max="15588" width="2.85546875" style="1" customWidth="1"/>
    <col min="15589" max="15589" width="9.140625" style="1"/>
    <col min="15590" max="15590" width="11.85546875" style="1" customWidth="1"/>
    <col min="15591" max="15591" width="11.28515625" style="1" customWidth="1"/>
    <col min="15592" max="15592" width="2.85546875" style="1" customWidth="1"/>
    <col min="15593" max="15593" width="9.140625" style="1"/>
    <col min="15594" max="15594" width="11.85546875" style="1" customWidth="1"/>
    <col min="15595" max="15595" width="11" style="1" customWidth="1"/>
    <col min="15596" max="15596" width="2.85546875" style="1" customWidth="1"/>
    <col min="15597" max="15597" width="9.140625" style="1"/>
    <col min="15598" max="15598" width="11.85546875" style="1" customWidth="1"/>
    <col min="15599" max="15599" width="11.140625" style="1" customWidth="1"/>
    <col min="15600" max="15600" width="3.28515625" style="1" customWidth="1"/>
    <col min="15601" max="15601" width="9.140625" style="1"/>
    <col min="15602" max="15602" width="11.85546875" style="1" customWidth="1"/>
    <col min="15603" max="15603" width="11.42578125" style="1" customWidth="1"/>
    <col min="15604" max="15841" width="9.140625" style="1"/>
    <col min="15842" max="15842" width="11.140625" style="1" customWidth="1"/>
    <col min="15843" max="15843" width="11" style="1" customWidth="1"/>
    <col min="15844" max="15844" width="2.85546875" style="1" customWidth="1"/>
    <col min="15845" max="15845" width="9.140625" style="1"/>
    <col min="15846" max="15846" width="11.85546875" style="1" customWidth="1"/>
    <col min="15847" max="15847" width="11.28515625" style="1" customWidth="1"/>
    <col min="15848" max="15848" width="2.85546875" style="1" customWidth="1"/>
    <col min="15849" max="15849" width="9.140625" style="1"/>
    <col min="15850" max="15850" width="11.85546875" style="1" customWidth="1"/>
    <col min="15851" max="15851" width="11" style="1" customWidth="1"/>
    <col min="15852" max="15852" width="2.85546875" style="1" customWidth="1"/>
    <col min="15853" max="15853" width="9.140625" style="1"/>
    <col min="15854" max="15854" width="11.85546875" style="1" customWidth="1"/>
    <col min="15855" max="15855" width="11.140625" style="1" customWidth="1"/>
    <col min="15856" max="15856" width="3.28515625" style="1" customWidth="1"/>
    <col min="15857" max="15857" width="9.140625" style="1"/>
    <col min="15858" max="15858" width="11.85546875" style="1" customWidth="1"/>
    <col min="15859" max="15859" width="11.42578125" style="1" customWidth="1"/>
    <col min="15860" max="16097" width="9.140625" style="1"/>
    <col min="16098" max="16098" width="11.140625" style="1" customWidth="1"/>
    <col min="16099" max="16099" width="11" style="1" customWidth="1"/>
    <col min="16100" max="16100" width="2.85546875" style="1" customWidth="1"/>
    <col min="16101" max="16101" width="9.140625" style="1"/>
    <col min="16102" max="16102" width="11.85546875" style="1" customWidth="1"/>
    <col min="16103" max="16103" width="11.28515625" style="1" customWidth="1"/>
    <col min="16104" max="16104" width="2.85546875" style="1" customWidth="1"/>
    <col min="16105" max="16105" width="9.140625" style="1"/>
    <col min="16106" max="16106" width="11.85546875" style="1" customWidth="1"/>
    <col min="16107" max="16107" width="11" style="1" customWidth="1"/>
    <col min="16108" max="16108" width="2.85546875" style="1" customWidth="1"/>
    <col min="16109" max="16109" width="9.140625" style="1"/>
    <col min="16110" max="16110" width="11.85546875" style="1" customWidth="1"/>
    <col min="16111" max="16111" width="11.140625" style="1" customWidth="1"/>
    <col min="16112" max="16112" width="3.28515625" style="1" customWidth="1"/>
    <col min="16113" max="16113" width="9.140625" style="1"/>
    <col min="16114" max="16114" width="11.85546875" style="1" customWidth="1"/>
    <col min="16115" max="16115" width="11.42578125" style="1" customWidth="1"/>
    <col min="16116" max="16384" width="9.140625" style="1"/>
  </cols>
  <sheetData>
    <row r="1" spans="1:28" ht="15.75" x14ac:dyDescent="0.2">
      <c r="A1" s="298" t="s">
        <v>1133</v>
      </c>
    </row>
    <row r="2" spans="1:28" ht="15.75" customHeight="1" x14ac:dyDescent="0.2">
      <c r="A2" s="106" t="s">
        <v>578</v>
      </c>
    </row>
    <row r="3" spans="1:28" ht="38.25" customHeight="1" x14ac:dyDescent="0.2">
      <c r="A3" s="120" t="s">
        <v>1049</v>
      </c>
      <c r="B3" s="120"/>
      <c r="C3" s="120"/>
      <c r="D3" s="120"/>
      <c r="E3" s="120"/>
      <c r="F3" s="120"/>
      <c r="G3" s="120"/>
      <c r="H3" s="120"/>
      <c r="I3" s="120"/>
      <c r="J3"/>
      <c r="K3" s="120"/>
      <c r="L3" s="120"/>
      <c r="M3" s="120"/>
      <c r="N3" s="120"/>
      <c r="O3" s="120"/>
      <c r="P3" s="120"/>
    </row>
    <row r="4" spans="1:28" ht="15" customHeight="1" x14ac:dyDescent="0.25">
      <c r="A4" s="351" t="s">
        <v>579</v>
      </c>
      <c r="B4" s="1043" t="s">
        <v>1362</v>
      </c>
      <c r="D4" s="129"/>
      <c r="E4" s="129"/>
      <c r="F4" s="129"/>
      <c r="G4" s="129"/>
      <c r="H4" s="129"/>
      <c r="I4" s="129"/>
      <c r="J4" s="129"/>
      <c r="K4" s="129"/>
      <c r="L4" s="129"/>
      <c r="M4" s="129"/>
      <c r="N4" s="129"/>
      <c r="O4" s="129"/>
      <c r="P4" s="129"/>
    </row>
    <row r="5" spans="1:28" ht="15" customHeight="1" x14ac:dyDescent="0.25">
      <c r="A5" s="351" t="s">
        <v>580</v>
      </c>
      <c r="B5" s="351" t="s">
        <v>581</v>
      </c>
      <c r="C5" s="129"/>
      <c r="D5" s="129"/>
      <c r="E5" s="129"/>
      <c r="F5" s="129"/>
      <c r="G5" s="129"/>
      <c r="H5" s="129"/>
      <c r="I5" s="129"/>
      <c r="J5" s="129"/>
      <c r="K5" s="129"/>
      <c r="L5" s="129"/>
      <c r="M5" s="129"/>
      <c r="N5" s="129"/>
      <c r="O5" s="129"/>
      <c r="P5" s="129"/>
    </row>
    <row r="6" spans="1:28" ht="15" customHeight="1" x14ac:dyDescent="0.25">
      <c r="A6" s="351" t="s">
        <v>582</v>
      </c>
      <c r="B6" s="351" t="s">
        <v>585</v>
      </c>
      <c r="C6" s="129"/>
      <c r="D6" s="129"/>
      <c r="E6" s="129"/>
      <c r="F6" s="129"/>
      <c r="G6" s="129"/>
      <c r="H6" s="129"/>
      <c r="I6" s="129"/>
      <c r="J6" s="129"/>
      <c r="K6" s="129"/>
      <c r="L6" s="129"/>
      <c r="M6" s="129"/>
      <c r="N6" s="129"/>
      <c r="O6" s="129"/>
      <c r="P6" s="129"/>
    </row>
    <row r="7" spans="1:28" ht="15" x14ac:dyDescent="0.25">
      <c r="T7" s="83" t="s">
        <v>0</v>
      </c>
    </row>
    <row r="8" spans="1:28" s="2" customFormat="1" x14ac:dyDescent="0.2">
      <c r="A8" s="18"/>
      <c r="B8" s="1316" t="s">
        <v>98</v>
      </c>
      <c r="C8" s="1316"/>
      <c r="D8" s="1316"/>
      <c r="F8" s="1316" t="s">
        <v>99</v>
      </c>
      <c r="G8" s="1316"/>
      <c r="H8" s="1316"/>
      <c r="J8" s="1316" t="s">
        <v>100</v>
      </c>
      <c r="K8" s="1316"/>
      <c r="L8" s="1316"/>
      <c r="N8" s="1316" t="s">
        <v>101</v>
      </c>
      <c r="O8" s="1316"/>
      <c r="P8" s="1316"/>
      <c r="R8" s="1316" t="s">
        <v>102</v>
      </c>
      <c r="S8" s="1316"/>
      <c r="T8" s="1316"/>
      <c r="V8"/>
      <c r="W8"/>
      <c r="X8"/>
      <c r="Y8"/>
      <c r="Z8"/>
      <c r="AA8"/>
      <c r="AB8"/>
    </row>
    <row r="9" spans="1:28" ht="25.5" x14ac:dyDescent="0.2">
      <c r="A9" s="2" t="s">
        <v>4</v>
      </c>
      <c r="B9" s="77" t="s">
        <v>103</v>
      </c>
      <c r="C9" s="77" t="s">
        <v>59</v>
      </c>
      <c r="D9" s="77" t="s">
        <v>111</v>
      </c>
      <c r="F9" s="77" t="s">
        <v>103</v>
      </c>
      <c r="G9" s="77" t="s">
        <v>59</v>
      </c>
      <c r="H9" s="77" t="s">
        <v>111</v>
      </c>
      <c r="J9" s="77" t="s">
        <v>103</v>
      </c>
      <c r="K9" s="77" t="s">
        <v>59</v>
      </c>
      <c r="L9" s="77" t="s">
        <v>111</v>
      </c>
      <c r="N9" s="77" t="s">
        <v>103</v>
      </c>
      <c r="O9" s="77" t="s">
        <v>59</v>
      </c>
      <c r="P9" s="77" t="s">
        <v>111</v>
      </c>
      <c r="R9" s="77" t="s">
        <v>103</v>
      </c>
      <c r="S9" s="77" t="s">
        <v>59</v>
      </c>
      <c r="T9" s="77" t="s">
        <v>111</v>
      </c>
      <c r="V9"/>
      <c r="W9"/>
      <c r="X9"/>
      <c r="Y9"/>
      <c r="Z9"/>
      <c r="AA9"/>
      <c r="AB9"/>
    </row>
    <row r="10" spans="1:28" ht="18.75" customHeight="1" x14ac:dyDescent="0.2">
      <c r="A10" s="446" t="s">
        <v>16</v>
      </c>
      <c r="B10" s="34">
        <v>5479</v>
      </c>
      <c r="C10" s="34">
        <v>54</v>
      </c>
      <c r="D10" s="34"/>
      <c r="E10" s="34"/>
      <c r="F10" s="34">
        <v>1763</v>
      </c>
      <c r="G10" s="630">
        <v>2</v>
      </c>
      <c r="H10" s="34"/>
      <c r="I10" s="34"/>
      <c r="J10" s="34">
        <v>1276</v>
      </c>
      <c r="K10" s="34">
        <v>3</v>
      </c>
      <c r="L10" s="34"/>
      <c r="M10" s="34"/>
      <c r="N10" s="630">
        <v>393</v>
      </c>
      <c r="O10" s="630">
        <v>2</v>
      </c>
      <c r="P10" s="630"/>
      <c r="Q10" s="34"/>
      <c r="R10" s="347">
        <f t="shared" ref="R10:S12" si="0">N10+J10+F10+B10</f>
        <v>8911</v>
      </c>
      <c r="S10" s="347">
        <f t="shared" si="0"/>
        <v>61</v>
      </c>
      <c r="T10" s="347"/>
      <c r="U10" s="4"/>
      <c r="V10"/>
      <c r="W10"/>
      <c r="X10"/>
      <c r="Y10"/>
      <c r="Z10"/>
      <c r="AA10"/>
      <c r="AB10"/>
    </row>
    <row r="11" spans="1:28" ht="13.5" customHeight="1" thickBot="1" x14ac:dyDescent="0.25">
      <c r="A11" s="2" t="s">
        <v>18</v>
      </c>
      <c r="B11" s="7">
        <v>5397</v>
      </c>
      <c r="C11" s="7">
        <v>49</v>
      </c>
      <c r="D11" s="634"/>
      <c r="E11" s="7"/>
      <c r="F11" s="7">
        <v>1655</v>
      </c>
      <c r="G11" s="7">
        <v>2</v>
      </c>
      <c r="H11" s="634"/>
      <c r="I11" s="7"/>
      <c r="J11" s="7">
        <v>1254</v>
      </c>
      <c r="K11" s="7">
        <v>0</v>
      </c>
      <c r="L11" s="634"/>
      <c r="M11" s="7"/>
      <c r="N11" s="11">
        <v>296</v>
      </c>
      <c r="O11" s="11">
        <v>5</v>
      </c>
      <c r="P11" s="634"/>
      <c r="Q11" s="7"/>
      <c r="R11" s="13">
        <f t="shared" si="0"/>
        <v>8602</v>
      </c>
      <c r="S11" s="13">
        <f t="shared" si="0"/>
        <v>56</v>
      </c>
      <c r="T11" s="634"/>
      <c r="U11" s="4"/>
      <c r="V11"/>
      <c r="W11"/>
      <c r="X11"/>
      <c r="Y11"/>
      <c r="Z11"/>
      <c r="AA11"/>
      <c r="AB11"/>
    </row>
    <row r="12" spans="1:28" ht="13.5" customHeight="1" x14ac:dyDescent="0.2">
      <c r="A12" s="29" t="str">
        <f>T_11_1!A4</f>
        <v>2009-10</v>
      </c>
      <c r="B12" s="7">
        <f>T_11_1!B4</f>
        <v>5367</v>
      </c>
      <c r="C12" s="7">
        <f>T_11_1!B25</f>
        <v>48</v>
      </c>
      <c r="D12" s="7">
        <f>T_11_1!B46</f>
        <v>892</v>
      </c>
      <c r="E12" s="7"/>
      <c r="F12" s="7">
        <f>T_11_1!C4</f>
        <v>2031</v>
      </c>
      <c r="G12" s="7">
        <f>T_11_1!C25</f>
        <v>4</v>
      </c>
      <c r="H12" s="7">
        <f>T_11_1!C46</f>
        <v>74</v>
      </c>
      <c r="I12" s="7"/>
      <c r="J12" s="7">
        <f>T_11_1!D4</f>
        <v>1507</v>
      </c>
      <c r="K12" s="7">
        <f>T_11_1!D25</f>
        <v>2</v>
      </c>
      <c r="L12" s="7">
        <f>T_11_1!D46</f>
        <v>57</v>
      </c>
      <c r="M12" s="7"/>
      <c r="N12" s="11">
        <f>T_11_1!E4</f>
        <v>472</v>
      </c>
      <c r="O12" s="11">
        <f>T_11_1!E25</f>
        <v>1</v>
      </c>
      <c r="P12" s="11">
        <f>T_11_1!E46</f>
        <v>19</v>
      </c>
      <c r="Q12" s="7"/>
      <c r="R12" s="13">
        <f t="shared" si="0"/>
        <v>9377</v>
      </c>
      <c r="S12" s="13">
        <f t="shared" si="0"/>
        <v>55</v>
      </c>
      <c r="T12" s="13">
        <f>P12+L12+H12+D12</f>
        <v>1042</v>
      </c>
      <c r="U12" s="4"/>
      <c r="V12"/>
      <c r="W12"/>
      <c r="X12"/>
      <c r="Y12"/>
      <c r="Z12"/>
      <c r="AA12"/>
      <c r="AB12"/>
    </row>
    <row r="13" spans="1:28" ht="13.5" customHeight="1" x14ac:dyDescent="0.2">
      <c r="A13" s="29" t="str">
        <f>T_11_1!A5</f>
        <v>2010-11</v>
      </c>
      <c r="B13" s="7">
        <f>T_11_1!B5</f>
        <v>5209</v>
      </c>
      <c r="C13" s="7">
        <f>T_11_1!B26</f>
        <v>43</v>
      </c>
      <c r="D13" s="7">
        <f>T_11_1!B47</f>
        <v>975</v>
      </c>
      <c r="E13" s="7"/>
      <c r="F13" s="7">
        <f>T_11_1!C5</f>
        <v>1980</v>
      </c>
      <c r="G13" s="7">
        <f>T_11_1!C26</f>
        <v>2</v>
      </c>
      <c r="H13" s="7">
        <f>T_11_1!C47</f>
        <v>70</v>
      </c>
      <c r="I13" s="7"/>
      <c r="J13" s="7">
        <f>T_11_1!D5</f>
        <v>1433</v>
      </c>
      <c r="K13" s="7">
        <f>T_11_1!D26</f>
        <v>2</v>
      </c>
      <c r="L13" s="7">
        <f>T_11_1!D47</f>
        <v>38</v>
      </c>
      <c r="M13" s="7"/>
      <c r="N13" s="11">
        <f>T_11_1!E5</f>
        <v>438</v>
      </c>
      <c r="O13" s="11">
        <f>T_11_1!E26</f>
        <v>1</v>
      </c>
      <c r="P13" s="11">
        <f>T_11_1!E47</f>
        <v>18</v>
      </c>
      <c r="Q13" s="7"/>
      <c r="R13" s="13">
        <f t="shared" ref="R13:R19" si="1">N13+J13+F13+B13</f>
        <v>9060</v>
      </c>
      <c r="S13" s="13">
        <f t="shared" ref="S13:S19" si="2">O13+K13+G13+C13</f>
        <v>48</v>
      </c>
      <c r="T13" s="13">
        <f t="shared" ref="T13:T19" si="3">P13+L13+H13+D13</f>
        <v>1101</v>
      </c>
      <c r="U13" s="4"/>
      <c r="V13"/>
      <c r="W13"/>
      <c r="X13"/>
      <c r="Y13"/>
      <c r="Z13"/>
      <c r="AA13"/>
      <c r="AB13"/>
    </row>
    <row r="14" spans="1:28" ht="13.5" customHeight="1" x14ac:dyDescent="0.2">
      <c r="A14" s="29" t="str">
        <f>T_11_1!A6</f>
        <v>2011-12</v>
      </c>
      <c r="B14" s="7">
        <f>T_11_1!B6</f>
        <v>5117</v>
      </c>
      <c r="C14" s="7">
        <f>T_11_1!B27</f>
        <v>44</v>
      </c>
      <c r="D14" s="7">
        <f>T_11_1!B48</f>
        <v>982</v>
      </c>
      <c r="E14" s="7"/>
      <c r="F14" s="7">
        <f>T_11_1!C6</f>
        <v>1854</v>
      </c>
      <c r="G14" s="7">
        <f>T_11_1!C27</f>
        <v>4</v>
      </c>
      <c r="H14" s="7">
        <f>T_11_1!C48</f>
        <v>82</v>
      </c>
      <c r="I14" s="7"/>
      <c r="J14" s="7">
        <f>T_11_1!D6</f>
        <v>1247</v>
      </c>
      <c r="K14" s="7">
        <f>T_11_1!D27</f>
        <v>2</v>
      </c>
      <c r="L14" s="7">
        <f>T_11_1!D48</f>
        <v>53</v>
      </c>
      <c r="M14" s="7"/>
      <c r="N14" s="11">
        <f>T_11_1!E6</f>
        <v>413</v>
      </c>
      <c r="O14" s="11">
        <f>T_11_1!E27</f>
        <v>1</v>
      </c>
      <c r="P14" s="11">
        <f>T_11_1!E48</f>
        <v>16</v>
      </c>
      <c r="Q14" s="7"/>
      <c r="R14" s="13">
        <f t="shared" si="1"/>
        <v>8631</v>
      </c>
      <c r="S14" s="13">
        <f t="shared" si="2"/>
        <v>51</v>
      </c>
      <c r="T14" s="13">
        <f t="shared" si="3"/>
        <v>1133</v>
      </c>
      <c r="U14" s="4"/>
      <c r="V14"/>
      <c r="W14"/>
      <c r="X14"/>
      <c r="Y14"/>
      <c r="Z14"/>
      <c r="AA14"/>
      <c r="AB14"/>
    </row>
    <row r="15" spans="1:28" ht="13.5" customHeight="1" x14ac:dyDescent="0.2">
      <c r="A15" s="29" t="str">
        <f>T_11_1!A7</f>
        <v>2012-13</v>
      </c>
      <c r="B15" s="7">
        <f>T_11_1!B7</f>
        <v>4997</v>
      </c>
      <c r="C15" s="7">
        <f>T_11_1!B28</f>
        <v>36</v>
      </c>
      <c r="D15" s="7">
        <f>T_11_1!B49</f>
        <v>1014</v>
      </c>
      <c r="E15" s="7"/>
      <c r="F15" s="7">
        <f>T_11_1!C7</f>
        <v>1719</v>
      </c>
      <c r="G15" s="7">
        <f>T_11_1!C28</f>
        <v>2</v>
      </c>
      <c r="H15" s="7">
        <f>T_11_1!C49</f>
        <v>62</v>
      </c>
      <c r="I15" s="7"/>
      <c r="J15" s="7">
        <f>T_11_1!D7</f>
        <v>1220</v>
      </c>
      <c r="K15" s="7">
        <f>T_11_1!D28</f>
        <v>0</v>
      </c>
      <c r="L15" s="7">
        <f>T_11_1!D49</f>
        <v>34</v>
      </c>
      <c r="M15" s="7"/>
      <c r="N15" s="11">
        <f>T_11_1!E7</f>
        <v>317</v>
      </c>
      <c r="O15" s="11">
        <f>T_11_1!E28</f>
        <v>1</v>
      </c>
      <c r="P15" s="11">
        <f>T_11_1!E49</f>
        <v>15</v>
      </c>
      <c r="Q15" s="7"/>
      <c r="R15" s="13">
        <f t="shared" si="1"/>
        <v>8253</v>
      </c>
      <c r="S15" s="13">
        <f t="shared" si="2"/>
        <v>39</v>
      </c>
      <c r="T15" s="13">
        <f t="shared" si="3"/>
        <v>1125</v>
      </c>
      <c r="U15" s="4"/>
      <c r="V15"/>
      <c r="W15"/>
      <c r="X15"/>
      <c r="Y15"/>
      <c r="Z15"/>
      <c r="AA15"/>
      <c r="AB15"/>
    </row>
    <row r="16" spans="1:28" ht="13.5" customHeight="1" x14ac:dyDescent="0.2">
      <c r="A16" s="29" t="str">
        <f>T_11_1!A8</f>
        <v>2013-14</v>
      </c>
      <c r="B16" s="7">
        <f>T_11_1!B8</f>
        <v>4673</v>
      </c>
      <c r="C16" s="7">
        <f>T_11_1!B29</f>
        <v>25</v>
      </c>
      <c r="D16" s="7">
        <f>T_11_1!B50</f>
        <v>986</v>
      </c>
      <c r="E16" s="7"/>
      <c r="F16" s="7">
        <f>T_11_1!C8</f>
        <v>1711</v>
      </c>
      <c r="G16" s="7">
        <f>T_11_1!C29</f>
        <v>0</v>
      </c>
      <c r="H16" s="7">
        <f>T_11_1!C50</f>
        <v>62</v>
      </c>
      <c r="I16" s="7"/>
      <c r="J16" s="7">
        <f>T_11_1!D8</f>
        <v>1169</v>
      </c>
      <c r="K16" s="7">
        <f>T_11_1!D29</f>
        <v>1</v>
      </c>
      <c r="L16" s="7">
        <f>T_11_1!D50</f>
        <v>48</v>
      </c>
      <c r="M16" s="7"/>
      <c r="N16" s="11">
        <f>T_11_1!E8</f>
        <v>388</v>
      </c>
      <c r="O16" s="11">
        <f>T_11_1!E29</f>
        <v>0</v>
      </c>
      <c r="P16" s="11">
        <f>T_11_1!E50</f>
        <v>22</v>
      </c>
      <c r="Q16" s="7"/>
      <c r="R16" s="13">
        <f t="shared" si="1"/>
        <v>7941</v>
      </c>
      <c r="S16" s="13">
        <f t="shared" si="2"/>
        <v>26</v>
      </c>
      <c r="T16" s="13">
        <f t="shared" si="3"/>
        <v>1118</v>
      </c>
      <c r="U16" s="4"/>
      <c r="V16"/>
      <c r="W16"/>
      <c r="X16"/>
      <c r="Y16"/>
      <c r="Z16"/>
      <c r="AA16"/>
      <c r="AB16"/>
    </row>
    <row r="17" spans="1:24" ht="13.5" customHeight="1" x14ac:dyDescent="0.2">
      <c r="A17" s="29" t="str">
        <f>T_11_1!A9</f>
        <v>2014-15</v>
      </c>
      <c r="B17" s="7">
        <f>T_11_1!B9</f>
        <v>4953</v>
      </c>
      <c r="C17" s="7">
        <f>T_11_1!B30</f>
        <v>27</v>
      </c>
      <c r="D17" s="7">
        <f>T_11_1!B51</f>
        <v>826</v>
      </c>
      <c r="E17" s="7"/>
      <c r="F17" s="7">
        <f>T_11_1!C9</f>
        <v>1759</v>
      </c>
      <c r="G17" s="7">
        <f>T_11_1!C30</f>
        <v>2</v>
      </c>
      <c r="H17" s="7">
        <f>T_11_1!C51</f>
        <v>66</v>
      </c>
      <c r="I17" s="7"/>
      <c r="J17" s="7">
        <f>T_11_1!D9</f>
        <v>1148</v>
      </c>
      <c r="K17" s="7">
        <f>T_11_1!D30</f>
        <v>0</v>
      </c>
      <c r="L17" s="7">
        <f>T_11_1!D51</f>
        <v>35</v>
      </c>
      <c r="M17" s="7"/>
      <c r="N17" s="11">
        <f>T_11_1!E9</f>
        <v>360</v>
      </c>
      <c r="O17" s="11">
        <f>T_11_1!E30</f>
        <v>3</v>
      </c>
      <c r="P17" s="11">
        <f>T_11_1!E51</f>
        <v>13</v>
      </c>
      <c r="Q17" s="7"/>
      <c r="R17" s="13">
        <f t="shared" si="1"/>
        <v>8220</v>
      </c>
      <c r="S17" s="13">
        <f t="shared" si="2"/>
        <v>32</v>
      </c>
      <c r="T17" s="13">
        <f t="shared" si="3"/>
        <v>940</v>
      </c>
      <c r="U17" s="4"/>
      <c r="V17" s="4"/>
      <c r="W17" s="4"/>
      <c r="X17" s="4"/>
    </row>
    <row r="18" spans="1:24" ht="13.5" customHeight="1" x14ac:dyDescent="0.2">
      <c r="A18" s="29" t="str">
        <f>T_11_1!A10</f>
        <v>2015-16</v>
      </c>
      <c r="B18" s="7">
        <f>T_11_1!B10</f>
        <v>5068</v>
      </c>
      <c r="C18" s="7">
        <f>T_11_1!B31</f>
        <v>33</v>
      </c>
      <c r="D18" s="7">
        <f>T_11_1!B52</f>
        <v>925</v>
      </c>
      <c r="E18" s="7"/>
      <c r="F18" s="7">
        <f>T_11_1!C10</f>
        <v>1850</v>
      </c>
      <c r="G18" s="7">
        <f>T_11_1!C31</f>
        <v>2</v>
      </c>
      <c r="H18" s="7">
        <f>T_11_1!C52</f>
        <v>94</v>
      </c>
      <c r="I18" s="7"/>
      <c r="J18" s="7">
        <f>T_11_1!D10</f>
        <v>1165</v>
      </c>
      <c r="K18" s="7">
        <f>T_11_1!D31</f>
        <v>2</v>
      </c>
      <c r="L18" s="7">
        <f>T_11_1!D52</f>
        <v>57</v>
      </c>
      <c r="M18" s="7"/>
      <c r="N18" s="11">
        <f>T_11_1!E10</f>
        <v>336</v>
      </c>
      <c r="O18" s="11">
        <f>T_11_1!E31</f>
        <v>0</v>
      </c>
      <c r="P18" s="11">
        <f>T_11_1!E52</f>
        <v>17</v>
      </c>
      <c r="Q18" s="7"/>
      <c r="R18" s="13">
        <f t="shared" si="1"/>
        <v>8419</v>
      </c>
      <c r="S18" s="13">
        <f t="shared" si="2"/>
        <v>37</v>
      </c>
      <c r="T18" s="13">
        <f t="shared" si="3"/>
        <v>1093</v>
      </c>
      <c r="U18" s="4"/>
    </row>
    <row r="19" spans="1:24" ht="13.5" customHeight="1" x14ac:dyDescent="0.2">
      <c r="A19" s="29" t="str">
        <f>T_11_1!A11</f>
        <v>2016-17</v>
      </c>
      <c r="B19" s="7">
        <f>T_11_1!B11</f>
        <v>4922</v>
      </c>
      <c r="C19" s="7">
        <f>T_11_1!B32</f>
        <v>31</v>
      </c>
      <c r="D19" s="7">
        <f>T_11_1!B53</f>
        <v>940</v>
      </c>
      <c r="E19" s="33"/>
      <c r="F19" s="7">
        <f>T_11_1!C11</f>
        <v>1720</v>
      </c>
      <c r="G19" s="7">
        <f>T_11_1!C32</f>
        <v>3</v>
      </c>
      <c r="H19" s="7">
        <f>T_11_1!C53</f>
        <v>55</v>
      </c>
      <c r="I19" s="7"/>
      <c r="J19" s="7">
        <f>T_11_1!D11</f>
        <v>1211</v>
      </c>
      <c r="K19" s="7">
        <f>T_11_1!D32</f>
        <v>1</v>
      </c>
      <c r="L19" s="7">
        <f>T_11_1!D53</f>
        <v>38</v>
      </c>
      <c r="M19" s="7"/>
      <c r="N19" s="11">
        <f>T_11_1!E11</f>
        <v>346</v>
      </c>
      <c r="O19" s="11">
        <f>T_11_1!E32</f>
        <v>0</v>
      </c>
      <c r="P19" s="11">
        <f>T_11_1!E53</f>
        <v>20</v>
      </c>
      <c r="Q19" s="7"/>
      <c r="R19" s="13">
        <f t="shared" si="1"/>
        <v>8199</v>
      </c>
      <c r="S19" s="13">
        <f t="shared" si="2"/>
        <v>35</v>
      </c>
      <c r="T19" s="13">
        <f t="shared" si="3"/>
        <v>1053</v>
      </c>
      <c r="U19" s="4"/>
    </row>
    <row r="20" spans="1:24" ht="13.5" customHeight="1" x14ac:dyDescent="0.2">
      <c r="A20" s="29" t="str">
        <f>T_11_1!A12</f>
        <v>2017-18</v>
      </c>
      <c r="B20" s="7">
        <f>T_11_1!B12</f>
        <v>4751</v>
      </c>
      <c r="C20" s="7">
        <f>T_11_1!B33</f>
        <v>34</v>
      </c>
      <c r="D20" s="7">
        <f>T_11_1!B54</f>
        <v>797</v>
      </c>
      <c r="E20" s="33"/>
      <c r="F20" s="7">
        <f>T_11_1!C12</f>
        <v>1639</v>
      </c>
      <c r="G20" s="7">
        <f>T_11_1!C33</f>
        <v>3</v>
      </c>
      <c r="H20" s="7">
        <f>T_11_1!C54</f>
        <v>74</v>
      </c>
      <c r="I20" s="7"/>
      <c r="J20" s="7">
        <f>T_11_1!D12</f>
        <v>1153</v>
      </c>
      <c r="K20" s="7">
        <f>T_11_1!D33</f>
        <v>3</v>
      </c>
      <c r="L20" s="7">
        <f>T_11_1!D54</f>
        <v>48</v>
      </c>
      <c r="M20" s="7"/>
      <c r="N20" s="11">
        <f>T_11_1!E12</f>
        <v>398</v>
      </c>
      <c r="O20" s="11">
        <f>T_11_1!E33</f>
        <v>1</v>
      </c>
      <c r="P20" s="11">
        <f>T_11_1!E54</f>
        <v>16</v>
      </c>
      <c r="Q20" s="7"/>
      <c r="R20" s="13">
        <f t="shared" ref="R20:R22" si="4">N20+J20+F20+B20</f>
        <v>7941</v>
      </c>
      <c r="S20" s="13">
        <f t="shared" ref="S20:S22" si="5">O20+K20+G20+C20</f>
        <v>41</v>
      </c>
      <c r="T20" s="13">
        <f t="shared" ref="T20:T22" si="6">P20+L20+H20+D20</f>
        <v>935</v>
      </c>
      <c r="U20" s="4"/>
    </row>
    <row r="21" spans="1:24" ht="13.5" customHeight="1" x14ac:dyDescent="0.2">
      <c r="A21" s="29" t="str">
        <f>T_11_1!A13</f>
        <v>2018-19</v>
      </c>
      <c r="B21" s="7">
        <f>T_11_1!B13</f>
        <v>4635</v>
      </c>
      <c r="C21" s="7">
        <f>T_11_1!B34</f>
        <v>36</v>
      </c>
      <c r="D21" s="7">
        <f>T_11_1!B55</f>
        <v>886</v>
      </c>
      <c r="E21" s="33"/>
      <c r="F21" s="7">
        <f>T_11_1!C13</f>
        <v>1703</v>
      </c>
      <c r="G21" s="7">
        <f>T_11_1!C34</f>
        <v>1</v>
      </c>
      <c r="H21" s="7">
        <f>T_11_1!C55</f>
        <v>75</v>
      </c>
      <c r="I21" s="33"/>
      <c r="J21" s="7">
        <f>T_11_1!D13</f>
        <v>1165</v>
      </c>
      <c r="K21" s="7">
        <f>T_11_1!D34</f>
        <v>0</v>
      </c>
      <c r="L21" s="7">
        <f>T_11_1!D55</f>
        <v>26</v>
      </c>
      <c r="M21" s="33"/>
      <c r="N21" s="11">
        <f>T_11_1!E13</f>
        <v>466</v>
      </c>
      <c r="O21" s="11">
        <f>T_11_1!E34</f>
        <v>1</v>
      </c>
      <c r="P21" s="11">
        <f>T_11_1!E55</f>
        <v>21</v>
      </c>
      <c r="Q21" s="33"/>
      <c r="R21" s="13">
        <f t="shared" si="4"/>
        <v>7969</v>
      </c>
      <c r="S21" s="13">
        <f t="shared" si="5"/>
        <v>38</v>
      </c>
      <c r="T21" s="13">
        <f t="shared" si="6"/>
        <v>1008</v>
      </c>
      <c r="U21" s="4"/>
    </row>
    <row r="22" spans="1:24" s="14" customFormat="1" x14ac:dyDescent="0.2">
      <c r="A22" s="29" t="str">
        <f>T_11_1!A14</f>
        <v>2019-20</v>
      </c>
      <c r="B22" s="7">
        <f>T_11_1!B14</f>
        <v>4365</v>
      </c>
      <c r="C22" s="7">
        <f>T_11_1!B35</f>
        <v>21</v>
      </c>
      <c r="D22" s="7">
        <f>T_11_1!B56</f>
        <v>743</v>
      </c>
      <c r="F22" s="7">
        <f>T_11_1!C14</f>
        <v>1506</v>
      </c>
      <c r="G22" s="7">
        <f>T_11_1!C35</f>
        <v>2</v>
      </c>
      <c r="H22" s="7">
        <f>T_11_1!C56</f>
        <v>71</v>
      </c>
      <c r="J22" s="7">
        <f>T_11_1!D14</f>
        <v>1207</v>
      </c>
      <c r="K22" s="7">
        <f>T_11_1!D35</f>
        <v>2</v>
      </c>
      <c r="L22" s="7">
        <f>T_11_1!D56</f>
        <v>27</v>
      </c>
      <c r="N22" s="11">
        <f>T_11_1!E14</f>
        <v>331</v>
      </c>
      <c r="O22" s="11">
        <f>T_11_1!E35</f>
        <v>0</v>
      </c>
      <c r="P22" s="11">
        <f>T_11_1!E56</f>
        <v>19</v>
      </c>
      <c r="R22" s="13">
        <f t="shared" si="4"/>
        <v>7409</v>
      </c>
      <c r="S22" s="13">
        <f t="shared" si="5"/>
        <v>25</v>
      </c>
      <c r="T22" s="13">
        <f t="shared" si="6"/>
        <v>860</v>
      </c>
    </row>
    <row r="23" spans="1:24" s="14" customFormat="1" ht="13.5" thickBot="1" x14ac:dyDescent="0.25">
      <c r="A23" s="380" t="str">
        <f>T_11_1!A15</f>
        <v>2020-21</v>
      </c>
      <c r="B23" s="631">
        <f>T_11_1!B15</f>
        <v>4141</v>
      </c>
      <c r="C23" s="631">
        <f>T_11_1!B36</f>
        <v>36</v>
      </c>
      <c r="D23" s="631">
        <f>T_11_1!B57</f>
        <v>751</v>
      </c>
      <c r="E23" s="632"/>
      <c r="F23" s="631">
        <f>T_11_1!C15</f>
        <v>1335</v>
      </c>
      <c r="G23" s="631">
        <f>T_11_1!C36</f>
        <v>2</v>
      </c>
      <c r="H23" s="631">
        <f>T_11_1!C57</f>
        <v>61</v>
      </c>
      <c r="I23" s="632"/>
      <c r="J23" s="631">
        <f>T_11_1!D15</f>
        <v>1055</v>
      </c>
      <c r="K23" s="631">
        <f>T_11_1!D36</f>
        <v>4</v>
      </c>
      <c r="L23" s="631">
        <f>T_11_1!D57</f>
        <v>18</v>
      </c>
      <c r="M23" s="632"/>
      <c r="N23" s="633">
        <f>T_11_1!E15</f>
        <v>480</v>
      </c>
      <c r="O23" s="633">
        <f>T_11_1!E36</f>
        <v>1</v>
      </c>
      <c r="P23" s="633">
        <f>T_11_1!E57</f>
        <v>31</v>
      </c>
      <c r="Q23" s="632"/>
      <c r="R23" s="350">
        <f t="shared" ref="R23" si="7">N23+J23+F23+B23</f>
        <v>7011</v>
      </c>
      <c r="S23" s="350">
        <f t="shared" ref="S23" si="8">O23+K23+G23+C23</f>
        <v>43</v>
      </c>
      <c r="T23" s="350">
        <f t="shared" ref="T23" si="9">P23+L23+H23+D23</f>
        <v>861</v>
      </c>
    </row>
    <row r="24" spans="1:24" s="14" customFormat="1" x14ac:dyDescent="0.2">
      <c r="A24" s="29"/>
      <c r="B24" s="7"/>
      <c r="C24" s="7"/>
      <c r="D24" s="7"/>
      <c r="F24" s="7"/>
      <c r="G24" s="7"/>
      <c r="H24" s="7"/>
      <c r="J24" s="7"/>
      <c r="K24" s="7"/>
      <c r="L24" s="7"/>
      <c r="N24" s="11"/>
      <c r="O24" s="11"/>
      <c r="P24" s="11"/>
      <c r="R24" s="13"/>
      <c r="S24" s="13"/>
      <c r="T24" s="13"/>
    </row>
    <row r="25" spans="1:24" ht="15" x14ac:dyDescent="0.25">
      <c r="T25" s="80" t="s">
        <v>0</v>
      </c>
    </row>
    <row r="26" spans="1:24" s="2" customFormat="1" x14ac:dyDescent="0.2">
      <c r="B26" s="1316" t="s">
        <v>134</v>
      </c>
      <c r="C26" s="1316"/>
      <c r="D26" s="1316"/>
      <c r="F26" s="1316" t="s">
        <v>104</v>
      </c>
      <c r="G26" s="1316"/>
      <c r="H26" s="1316"/>
      <c r="J26" s="1316" t="s">
        <v>105</v>
      </c>
      <c r="K26" s="1316"/>
      <c r="L26" s="1316"/>
      <c r="N26" s="1316" t="s">
        <v>106</v>
      </c>
      <c r="O26" s="1316"/>
      <c r="P26" s="1316"/>
      <c r="R26" s="1316" t="s">
        <v>107</v>
      </c>
      <c r="S26" s="1316"/>
      <c r="T26" s="1316"/>
    </row>
    <row r="27" spans="1:24" ht="25.5" x14ac:dyDescent="0.2">
      <c r="A27" s="2" t="s">
        <v>4</v>
      </c>
      <c r="B27" s="77" t="s">
        <v>103</v>
      </c>
      <c r="C27" s="77" t="s">
        <v>59</v>
      </c>
      <c r="D27" s="77" t="s">
        <v>111</v>
      </c>
      <c r="F27" s="77" t="s">
        <v>103</v>
      </c>
      <c r="G27" s="77" t="s">
        <v>59</v>
      </c>
      <c r="H27" s="77" t="s">
        <v>111</v>
      </c>
      <c r="J27" s="77" t="s">
        <v>103</v>
      </c>
      <c r="K27" s="77" t="s">
        <v>59</v>
      </c>
      <c r="L27" s="77" t="s">
        <v>111</v>
      </c>
      <c r="N27" s="77" t="s">
        <v>103</v>
      </c>
      <c r="O27" s="77" t="s">
        <v>59</v>
      </c>
      <c r="P27" s="77" t="s">
        <v>111</v>
      </c>
      <c r="R27" s="77" t="s">
        <v>103</v>
      </c>
      <c r="S27" s="77" t="s">
        <v>59</v>
      </c>
      <c r="T27" s="77" t="s">
        <v>111</v>
      </c>
    </row>
    <row r="28" spans="1:24" ht="18.75" customHeight="1" x14ac:dyDescent="0.2">
      <c r="A28" s="446" t="s">
        <v>16</v>
      </c>
      <c r="B28" s="34">
        <v>1187</v>
      </c>
      <c r="C28" s="34">
        <v>4</v>
      </c>
      <c r="D28" s="34"/>
      <c r="E28" s="34"/>
      <c r="F28" s="34">
        <v>1159</v>
      </c>
      <c r="G28" s="630">
        <v>2</v>
      </c>
      <c r="H28" s="34"/>
      <c r="I28" s="34"/>
      <c r="J28" s="34">
        <v>1787</v>
      </c>
      <c r="K28" s="34">
        <v>3</v>
      </c>
      <c r="L28" s="34"/>
      <c r="M28" s="34"/>
      <c r="N28" s="630">
        <v>573</v>
      </c>
      <c r="O28" s="630">
        <v>2</v>
      </c>
      <c r="P28" s="630"/>
      <c r="Q28" s="34"/>
      <c r="R28" s="347">
        <f t="shared" ref="R28:R37" si="10">N28+J28+F28+B28</f>
        <v>4706</v>
      </c>
      <c r="S28" s="347">
        <f t="shared" ref="S28:S37" si="11">O28+K28+G28+C28</f>
        <v>11</v>
      </c>
      <c r="T28" s="347"/>
      <c r="U28" s="4"/>
    </row>
    <row r="29" spans="1:24" ht="13.5" customHeight="1" thickBot="1" x14ac:dyDescent="0.25">
      <c r="A29" s="2" t="s">
        <v>18</v>
      </c>
      <c r="B29" s="7">
        <v>1308</v>
      </c>
      <c r="C29" s="7">
        <v>5</v>
      </c>
      <c r="D29" s="634"/>
      <c r="E29" s="7"/>
      <c r="F29" s="7">
        <v>975</v>
      </c>
      <c r="G29" s="7">
        <v>0</v>
      </c>
      <c r="H29" s="634"/>
      <c r="I29" s="7"/>
      <c r="J29" s="7">
        <v>1677</v>
      </c>
      <c r="K29" s="7">
        <v>3</v>
      </c>
      <c r="L29" s="634"/>
      <c r="M29" s="7"/>
      <c r="N29" s="11">
        <v>612</v>
      </c>
      <c r="O29" s="11">
        <v>0</v>
      </c>
      <c r="P29" s="634"/>
      <c r="Q29" s="7"/>
      <c r="R29" s="13">
        <f t="shared" si="10"/>
        <v>4572</v>
      </c>
      <c r="S29" s="13">
        <f t="shared" si="11"/>
        <v>8</v>
      </c>
      <c r="T29" s="634"/>
      <c r="U29" s="4"/>
    </row>
    <row r="30" spans="1:24" ht="13.5" customHeight="1" x14ac:dyDescent="0.2">
      <c r="A30" s="29" t="str">
        <f>T_11_1!A25</f>
        <v>2009-10</v>
      </c>
      <c r="B30" s="7">
        <f>T_11_1!G4</f>
        <v>1193</v>
      </c>
      <c r="C30" s="7">
        <f>T_11_1!G25</f>
        <v>5</v>
      </c>
      <c r="D30" s="7">
        <f>T_11_1!G46</f>
        <v>140</v>
      </c>
      <c r="E30" s="7"/>
      <c r="F30" s="7">
        <f>T_11_1!H4</f>
        <v>973</v>
      </c>
      <c r="G30" s="7">
        <f>T_11_1!H25</f>
        <v>0</v>
      </c>
      <c r="H30" s="7">
        <f>T_11_1!H46</f>
        <v>21</v>
      </c>
      <c r="I30" s="7"/>
      <c r="J30" s="7">
        <f>T_11_1!I4</f>
        <v>1478</v>
      </c>
      <c r="K30" s="7">
        <f>T_11_1!I25</f>
        <v>2</v>
      </c>
      <c r="L30" s="7">
        <f>T_11_1!I46</f>
        <v>9</v>
      </c>
      <c r="M30" s="7"/>
      <c r="N30" s="11">
        <f>T_11_1!J4</f>
        <v>971</v>
      </c>
      <c r="O30" s="11">
        <f>T_11_1!J25</f>
        <v>0</v>
      </c>
      <c r="P30" s="11">
        <f>T_11_1!J46</f>
        <v>11</v>
      </c>
      <c r="Q30" s="7"/>
      <c r="R30" s="13">
        <f t="shared" si="10"/>
        <v>4615</v>
      </c>
      <c r="S30" s="13">
        <f t="shared" si="11"/>
        <v>7</v>
      </c>
      <c r="T30" s="13">
        <f t="shared" ref="T30:T37" si="12">P30+L30+H30+D30</f>
        <v>181</v>
      </c>
    </row>
    <row r="31" spans="1:24" ht="13.5" customHeight="1" x14ac:dyDescent="0.2">
      <c r="A31" s="29" t="str">
        <f>T_11_1!A26</f>
        <v>2010-11</v>
      </c>
      <c r="B31" s="7">
        <f>T_11_1!G5</f>
        <v>1084</v>
      </c>
      <c r="C31" s="7">
        <f>T_11_1!G26</f>
        <v>2</v>
      </c>
      <c r="D31" s="7">
        <f>T_11_1!G47</f>
        <v>167</v>
      </c>
      <c r="E31" s="7"/>
      <c r="F31" s="7">
        <f>T_11_1!H5</f>
        <v>815</v>
      </c>
      <c r="G31" s="7">
        <f>T_11_1!H26</f>
        <v>1</v>
      </c>
      <c r="H31" s="7">
        <f>T_11_1!H47</f>
        <v>39</v>
      </c>
      <c r="I31" s="7"/>
      <c r="J31" s="7">
        <f>T_11_1!I5</f>
        <v>1251</v>
      </c>
      <c r="K31" s="7">
        <f>T_11_1!I26</f>
        <v>1</v>
      </c>
      <c r="L31" s="7">
        <f>T_11_1!I47</f>
        <v>5</v>
      </c>
      <c r="M31" s="7"/>
      <c r="N31" s="11">
        <f>T_11_1!J5</f>
        <v>934</v>
      </c>
      <c r="O31" s="11">
        <f>T_11_1!J26</f>
        <v>0</v>
      </c>
      <c r="P31" s="11">
        <f>T_11_1!J47</f>
        <v>20</v>
      </c>
      <c r="Q31" s="7"/>
      <c r="R31" s="13">
        <f t="shared" si="10"/>
        <v>4084</v>
      </c>
      <c r="S31" s="13">
        <f t="shared" si="11"/>
        <v>4</v>
      </c>
      <c r="T31" s="13">
        <f t="shared" si="12"/>
        <v>231</v>
      </c>
    </row>
    <row r="32" spans="1:24" ht="13.5" customHeight="1" x14ac:dyDescent="0.2">
      <c r="A32" s="29" t="str">
        <f>T_11_1!A27</f>
        <v>2011-12</v>
      </c>
      <c r="B32" s="7">
        <f>T_11_1!G6</f>
        <v>1040</v>
      </c>
      <c r="C32" s="7">
        <f>T_11_1!G27</f>
        <v>7</v>
      </c>
      <c r="D32" s="7">
        <f>T_11_1!G48</f>
        <v>237</v>
      </c>
      <c r="E32" s="7"/>
      <c r="F32" s="7">
        <f>T_11_1!H6</f>
        <v>863</v>
      </c>
      <c r="G32" s="7">
        <f>T_11_1!H27</f>
        <v>0</v>
      </c>
      <c r="H32" s="7">
        <f>T_11_1!H48</f>
        <v>17</v>
      </c>
      <c r="I32" s="7"/>
      <c r="J32" s="7">
        <f>T_11_1!I6</f>
        <v>1115</v>
      </c>
      <c r="K32" s="7">
        <f>T_11_1!I27</f>
        <v>1</v>
      </c>
      <c r="L32" s="7">
        <f>T_11_1!I48</f>
        <v>5</v>
      </c>
      <c r="M32" s="7"/>
      <c r="N32" s="11">
        <f>T_11_1!J6</f>
        <v>762</v>
      </c>
      <c r="O32" s="11">
        <f>T_11_1!J27</f>
        <v>0</v>
      </c>
      <c r="P32" s="11">
        <f>T_11_1!J48</f>
        <v>22</v>
      </c>
      <c r="Q32" s="7"/>
      <c r="R32" s="13">
        <f t="shared" si="10"/>
        <v>3780</v>
      </c>
      <c r="S32" s="13">
        <f t="shared" si="11"/>
        <v>8</v>
      </c>
      <c r="T32" s="13">
        <f t="shared" si="12"/>
        <v>281</v>
      </c>
    </row>
    <row r="33" spans="1:20" ht="13.5" customHeight="1" x14ac:dyDescent="0.2">
      <c r="A33" s="29" t="str">
        <f>T_11_1!A28</f>
        <v>2012-13</v>
      </c>
      <c r="B33" s="7">
        <f>T_11_1!G7</f>
        <v>832</v>
      </c>
      <c r="C33" s="7">
        <f>T_11_1!G28</f>
        <v>4</v>
      </c>
      <c r="D33" s="7">
        <f>T_11_1!G49</f>
        <v>152</v>
      </c>
      <c r="E33" s="7"/>
      <c r="F33" s="7">
        <f>T_11_1!H7</f>
        <v>689</v>
      </c>
      <c r="G33" s="7">
        <f>T_11_1!H28</f>
        <v>0</v>
      </c>
      <c r="H33" s="7">
        <f>T_11_1!H49</f>
        <v>30</v>
      </c>
      <c r="I33" s="7"/>
      <c r="J33" s="7">
        <f>T_11_1!I7</f>
        <v>814</v>
      </c>
      <c r="K33" s="7">
        <f>T_11_1!I28</f>
        <v>2</v>
      </c>
      <c r="L33" s="7">
        <f>T_11_1!I49</f>
        <v>1</v>
      </c>
      <c r="M33" s="7"/>
      <c r="N33" s="11">
        <f>T_11_1!J7</f>
        <v>498</v>
      </c>
      <c r="O33" s="11">
        <f>T_11_1!J28</f>
        <v>1</v>
      </c>
      <c r="P33" s="11">
        <f>T_11_1!J49</f>
        <v>11</v>
      </c>
      <c r="Q33" s="7"/>
      <c r="R33" s="13">
        <f t="shared" si="10"/>
        <v>2833</v>
      </c>
      <c r="S33" s="13">
        <f t="shared" si="11"/>
        <v>7</v>
      </c>
      <c r="T33" s="13">
        <f t="shared" si="12"/>
        <v>194</v>
      </c>
    </row>
    <row r="34" spans="1:20" ht="13.5" customHeight="1" x14ac:dyDescent="0.2">
      <c r="A34" s="29" t="str">
        <f>T_11_1!A29</f>
        <v>2013-14</v>
      </c>
      <c r="B34" s="7">
        <f>T_11_1!G8</f>
        <v>650</v>
      </c>
      <c r="C34" s="7">
        <f>T_11_1!G29</f>
        <v>4</v>
      </c>
      <c r="D34" s="7">
        <f>T_11_1!G50</f>
        <v>154</v>
      </c>
      <c r="E34" s="7"/>
      <c r="F34" s="7">
        <f>T_11_1!H8</f>
        <v>635</v>
      </c>
      <c r="G34" s="7">
        <f>T_11_1!H29</f>
        <v>1</v>
      </c>
      <c r="H34" s="7">
        <f>T_11_1!H50</f>
        <v>24</v>
      </c>
      <c r="I34" s="7"/>
      <c r="J34" s="7">
        <f>T_11_1!I8</f>
        <v>769</v>
      </c>
      <c r="K34" s="7">
        <f>T_11_1!I29</f>
        <v>0</v>
      </c>
      <c r="L34" s="7">
        <f>T_11_1!I50</f>
        <v>2</v>
      </c>
      <c r="M34" s="7"/>
      <c r="N34" s="11">
        <f>T_11_1!J8</f>
        <v>526</v>
      </c>
      <c r="O34" s="11">
        <f>T_11_1!J29</f>
        <v>0</v>
      </c>
      <c r="P34" s="11">
        <f>T_11_1!J50</f>
        <v>12</v>
      </c>
      <c r="Q34" s="7"/>
      <c r="R34" s="13">
        <f t="shared" si="10"/>
        <v>2580</v>
      </c>
      <c r="S34" s="13">
        <f t="shared" si="11"/>
        <v>5</v>
      </c>
      <c r="T34" s="13">
        <f t="shared" si="12"/>
        <v>192</v>
      </c>
    </row>
    <row r="35" spans="1:20" ht="13.5" customHeight="1" x14ac:dyDescent="0.2">
      <c r="A35" s="29" t="str">
        <f>T_11_1!A30</f>
        <v>2014-15</v>
      </c>
      <c r="B35" s="7">
        <f>T_11_1!G9</f>
        <v>621</v>
      </c>
      <c r="C35" s="7">
        <f>T_11_1!G30</f>
        <v>4</v>
      </c>
      <c r="D35" s="7">
        <f>T_11_1!G51</f>
        <v>121</v>
      </c>
      <c r="E35" s="7"/>
      <c r="F35" s="7">
        <f>T_11_1!H9</f>
        <v>565</v>
      </c>
      <c r="G35" s="7">
        <f>T_11_1!H30</f>
        <v>1</v>
      </c>
      <c r="H35" s="7">
        <f>T_11_1!H51</f>
        <v>25</v>
      </c>
      <c r="I35" s="7"/>
      <c r="J35" s="7">
        <f>T_11_1!I9</f>
        <v>749</v>
      </c>
      <c r="K35" s="7">
        <f>T_11_1!I30</f>
        <v>1</v>
      </c>
      <c r="L35" s="7">
        <f>T_11_1!I51</f>
        <v>5</v>
      </c>
      <c r="M35" s="7"/>
      <c r="N35" s="11">
        <f>T_11_1!J9</f>
        <v>478</v>
      </c>
      <c r="O35" s="11">
        <f>T_11_1!J30</f>
        <v>2</v>
      </c>
      <c r="P35" s="11">
        <f>T_11_1!J51</f>
        <v>8</v>
      </c>
      <c r="Q35" s="7"/>
      <c r="R35" s="13">
        <f t="shared" si="10"/>
        <v>2413</v>
      </c>
      <c r="S35" s="13">
        <f t="shared" si="11"/>
        <v>8</v>
      </c>
      <c r="T35" s="13">
        <f t="shared" si="12"/>
        <v>159</v>
      </c>
    </row>
    <row r="36" spans="1:20" ht="13.5" customHeight="1" x14ac:dyDescent="0.2">
      <c r="A36" s="29" t="str">
        <f>T_11_1!A31</f>
        <v>2015-16</v>
      </c>
      <c r="B36" s="7">
        <f>T_11_1!G10</f>
        <v>605</v>
      </c>
      <c r="C36" s="7">
        <f>T_11_1!G31</f>
        <v>6</v>
      </c>
      <c r="D36" s="7">
        <f>T_11_1!G52</f>
        <v>138</v>
      </c>
      <c r="E36" s="7"/>
      <c r="F36" s="7">
        <f>T_11_1!H10</f>
        <v>644</v>
      </c>
      <c r="G36" s="7">
        <f>T_11_1!H31</f>
        <v>1</v>
      </c>
      <c r="H36" s="7">
        <f>T_11_1!H52</f>
        <v>23</v>
      </c>
      <c r="I36" s="7"/>
      <c r="J36" s="7">
        <f>T_11_1!I10</f>
        <v>800</v>
      </c>
      <c r="K36" s="7">
        <f>T_11_1!I31</f>
        <v>1</v>
      </c>
      <c r="L36" s="7">
        <f>T_11_1!I52</f>
        <v>4</v>
      </c>
      <c r="M36" s="7"/>
      <c r="N36" s="11">
        <f>T_11_1!J10</f>
        <v>538</v>
      </c>
      <c r="O36" s="11">
        <f>T_11_1!J31</f>
        <v>0</v>
      </c>
      <c r="P36" s="11">
        <f>T_11_1!J52</f>
        <v>18</v>
      </c>
      <c r="Q36" s="7"/>
      <c r="R36" s="13">
        <f t="shared" si="10"/>
        <v>2587</v>
      </c>
      <c r="S36" s="13">
        <f t="shared" si="11"/>
        <v>8</v>
      </c>
      <c r="T36" s="13">
        <f t="shared" si="12"/>
        <v>183</v>
      </c>
    </row>
    <row r="37" spans="1:20" ht="13.5" customHeight="1" x14ac:dyDescent="0.2">
      <c r="A37" s="29" t="str">
        <f>T_11_1!A32</f>
        <v>2016-17</v>
      </c>
      <c r="B37" s="7">
        <f>T_11_1!G11</f>
        <v>618</v>
      </c>
      <c r="C37" s="7">
        <f>T_11_1!G32</f>
        <v>5</v>
      </c>
      <c r="D37" s="7">
        <f>T_11_1!G53</f>
        <v>175</v>
      </c>
      <c r="E37" s="33"/>
      <c r="F37" s="7">
        <f>T_11_1!H11</f>
        <v>557</v>
      </c>
      <c r="G37" s="7">
        <f>T_11_1!H32</f>
        <v>0</v>
      </c>
      <c r="H37" s="7">
        <f>T_11_1!H53</f>
        <v>17</v>
      </c>
      <c r="I37" s="7"/>
      <c r="J37" s="7">
        <f>T_11_1!I11</f>
        <v>909</v>
      </c>
      <c r="K37" s="7">
        <f>T_11_1!I32</f>
        <v>4</v>
      </c>
      <c r="L37" s="7">
        <f>T_11_1!I53</f>
        <v>10</v>
      </c>
      <c r="M37" s="7"/>
      <c r="N37" s="11">
        <f>T_11_1!J11</f>
        <v>611</v>
      </c>
      <c r="O37" s="11">
        <f>T_11_1!J32</f>
        <v>0</v>
      </c>
      <c r="P37" s="11">
        <f>T_11_1!J53</f>
        <v>11</v>
      </c>
      <c r="Q37" s="7"/>
      <c r="R37" s="13">
        <f t="shared" si="10"/>
        <v>2695</v>
      </c>
      <c r="S37" s="13">
        <f t="shared" si="11"/>
        <v>9</v>
      </c>
      <c r="T37" s="13">
        <f t="shared" si="12"/>
        <v>213</v>
      </c>
    </row>
    <row r="38" spans="1:20" ht="13.5" customHeight="1" x14ac:dyDescent="0.2">
      <c r="A38" s="29" t="str">
        <f>T_11_1!A33</f>
        <v>2017-18</v>
      </c>
      <c r="B38" s="7">
        <f>T_11_1!G12</f>
        <v>560</v>
      </c>
      <c r="C38" s="7">
        <f>T_11_1!G33</f>
        <v>3</v>
      </c>
      <c r="D38" s="7">
        <f>T_11_1!G54</f>
        <v>124</v>
      </c>
      <c r="E38" s="33"/>
      <c r="F38" s="7">
        <f>T_11_1!H12</f>
        <v>648</v>
      </c>
      <c r="G38" s="7">
        <f>T_11_1!H33</f>
        <v>0</v>
      </c>
      <c r="H38" s="7">
        <f>T_11_1!H54</f>
        <v>45</v>
      </c>
      <c r="I38" s="7"/>
      <c r="J38" s="7">
        <f>T_11_1!I12</f>
        <v>863</v>
      </c>
      <c r="K38" s="7">
        <f>T_11_1!I33</f>
        <v>0</v>
      </c>
      <c r="L38" s="7">
        <f>T_11_1!I54</f>
        <v>3</v>
      </c>
      <c r="M38" s="7"/>
      <c r="N38" s="11">
        <f>T_11_1!J12</f>
        <v>660</v>
      </c>
      <c r="O38" s="11">
        <f>T_11_1!J33</f>
        <v>0</v>
      </c>
      <c r="P38" s="11">
        <f>T_11_1!J54</f>
        <v>9</v>
      </c>
      <c r="Q38" s="7"/>
      <c r="R38" s="13">
        <f t="shared" ref="R38:R40" si="13">N38+J38+F38+B38</f>
        <v>2731</v>
      </c>
      <c r="S38" s="13">
        <f t="shared" ref="S38:S40" si="14">O38+K38+G38+C38</f>
        <v>3</v>
      </c>
      <c r="T38" s="13">
        <f t="shared" ref="T38:T40" si="15">P38+L38+H38+D38</f>
        <v>181</v>
      </c>
    </row>
    <row r="39" spans="1:20" ht="13.5" customHeight="1" x14ac:dyDescent="0.2">
      <c r="A39" s="29" t="str">
        <f>T_11_1!A34</f>
        <v>2018-19</v>
      </c>
      <c r="B39" s="7">
        <f>T_11_1!G13</f>
        <v>510</v>
      </c>
      <c r="C39" s="7">
        <f>T_11_1!G34</f>
        <v>4</v>
      </c>
      <c r="D39" s="7">
        <f>T_11_1!G55</f>
        <v>130</v>
      </c>
      <c r="E39" s="33"/>
      <c r="F39" s="7">
        <f>T_11_1!H13</f>
        <v>549</v>
      </c>
      <c r="G39" s="7">
        <f>T_11_1!H34</f>
        <v>0</v>
      </c>
      <c r="H39" s="7">
        <f>T_11_1!H55</f>
        <v>34</v>
      </c>
      <c r="I39" s="33"/>
      <c r="J39" s="7">
        <f>T_11_1!I13</f>
        <v>787</v>
      </c>
      <c r="K39" s="7">
        <f>T_11_1!I34</f>
        <v>1</v>
      </c>
      <c r="L39" s="7">
        <f>T_11_1!I55</f>
        <v>8</v>
      </c>
      <c r="M39" s="33"/>
      <c r="N39" s="11">
        <f>T_11_1!J13</f>
        <v>658</v>
      </c>
      <c r="O39" s="11">
        <f>T_11_1!J34</f>
        <v>1</v>
      </c>
      <c r="P39" s="11">
        <f>T_11_1!J55</f>
        <v>17</v>
      </c>
      <c r="Q39" s="33"/>
      <c r="R39" s="13">
        <f t="shared" si="13"/>
        <v>2504</v>
      </c>
      <c r="S39" s="13">
        <f t="shared" si="14"/>
        <v>6</v>
      </c>
      <c r="T39" s="13">
        <f t="shared" si="15"/>
        <v>189</v>
      </c>
    </row>
    <row r="40" spans="1:20" x14ac:dyDescent="0.2">
      <c r="A40" s="29" t="str">
        <f>T_11_1!A35</f>
        <v>2019-20</v>
      </c>
      <c r="B40" s="7">
        <f>T_11_1!G14</f>
        <v>525</v>
      </c>
      <c r="C40" s="7">
        <f>T_11_1!G35</f>
        <v>0</v>
      </c>
      <c r="D40" s="7">
        <f>T_11_1!G56</f>
        <v>134</v>
      </c>
      <c r="E40" s="14"/>
      <c r="F40" s="7">
        <f>T_11_1!H14</f>
        <v>474</v>
      </c>
      <c r="G40" s="7">
        <f>T_11_1!H35</f>
        <v>1</v>
      </c>
      <c r="H40" s="7">
        <f>T_11_1!H56</f>
        <v>20</v>
      </c>
      <c r="I40" s="14"/>
      <c r="J40" s="7">
        <f>T_11_1!I14</f>
        <v>892</v>
      </c>
      <c r="K40" s="7">
        <f>T_11_1!I35</f>
        <v>1</v>
      </c>
      <c r="L40" s="7">
        <f>T_11_1!I56</f>
        <v>2</v>
      </c>
      <c r="M40" s="14"/>
      <c r="N40" s="11">
        <f>T_11_1!J14</f>
        <v>552</v>
      </c>
      <c r="O40" s="11">
        <f>T_11_1!J35</f>
        <v>0</v>
      </c>
      <c r="P40" s="11">
        <f>T_11_1!J56</f>
        <v>11</v>
      </c>
      <c r="Q40" s="14"/>
      <c r="R40" s="13">
        <f t="shared" si="13"/>
        <v>2443</v>
      </c>
      <c r="S40" s="13">
        <f t="shared" si="14"/>
        <v>2</v>
      </c>
      <c r="T40" s="13">
        <f t="shared" si="15"/>
        <v>167</v>
      </c>
    </row>
    <row r="41" spans="1:20" ht="13.5" thickBot="1" x14ac:dyDescent="0.25">
      <c r="A41" s="380" t="str">
        <f>T_11_1!A36</f>
        <v>2020-21</v>
      </c>
      <c r="B41" s="631">
        <f>T_11_1!G15</f>
        <v>520</v>
      </c>
      <c r="C41" s="631">
        <f>T_11_1!G36</f>
        <v>8</v>
      </c>
      <c r="D41" s="631">
        <f>T_11_1!G57</f>
        <v>125</v>
      </c>
      <c r="E41" s="632"/>
      <c r="F41" s="631">
        <f>T_11_1!H15</f>
        <v>383</v>
      </c>
      <c r="G41" s="631">
        <f>T_11_1!H36</f>
        <v>0</v>
      </c>
      <c r="H41" s="631">
        <f>T_11_1!H57</f>
        <v>13</v>
      </c>
      <c r="I41" s="632"/>
      <c r="J41" s="631">
        <f>T_11_1!I15</f>
        <v>761</v>
      </c>
      <c r="K41" s="631">
        <f>T_11_1!I36</f>
        <v>1</v>
      </c>
      <c r="L41" s="631">
        <f>T_11_1!I57</f>
        <v>4</v>
      </c>
      <c r="M41" s="632"/>
      <c r="N41" s="633">
        <f>T_11_1!J15</f>
        <v>741</v>
      </c>
      <c r="O41" s="633">
        <f>T_11_1!J36</f>
        <v>1</v>
      </c>
      <c r="P41" s="633">
        <f>T_11_1!J57</f>
        <v>14</v>
      </c>
      <c r="Q41" s="632"/>
      <c r="R41" s="350">
        <f t="shared" ref="R41" si="16">N41+J41+F41+B41</f>
        <v>2405</v>
      </c>
      <c r="S41" s="350">
        <f t="shared" ref="S41" si="17">O41+K41+G41+C41</f>
        <v>10</v>
      </c>
      <c r="T41" s="350">
        <f t="shared" ref="T41" si="18">P41+L41+H41+D41</f>
        <v>156</v>
      </c>
    </row>
    <row r="42" spans="1:20" x14ac:dyDescent="0.2">
      <c r="A42" s="2"/>
      <c r="B42" s="11"/>
    </row>
    <row r="43" spans="1:20" x14ac:dyDescent="0.2">
      <c r="A43" s="5" t="s">
        <v>146</v>
      </c>
      <c r="N43" s="16"/>
      <c r="R43" s="4"/>
    </row>
    <row r="44" spans="1:20" ht="15" customHeight="1" x14ac:dyDescent="0.25">
      <c r="A44" s="1111" t="s">
        <v>535</v>
      </c>
      <c r="B44" s="1111"/>
      <c r="C44" s="1111"/>
      <c r="D44" s="1111"/>
      <c r="E44" s="1111"/>
      <c r="F44" s="1111"/>
      <c r="G44" s="1111"/>
      <c r="H44" s="1111"/>
      <c r="I44" s="1111"/>
      <c r="J44" s="1111"/>
      <c r="K44" s="1111"/>
    </row>
    <row r="45" spans="1:20" ht="15" customHeight="1" x14ac:dyDescent="0.25">
      <c r="A45" s="1111" t="s">
        <v>626</v>
      </c>
      <c r="B45" s="1111"/>
      <c r="C45" s="1111"/>
      <c r="D45" s="1111"/>
      <c r="E45" s="1111"/>
      <c r="F45" s="1111"/>
      <c r="G45" s="1111"/>
      <c r="H45" s="1111"/>
      <c r="I45" s="1111"/>
      <c r="J45" s="1111"/>
      <c r="K45" s="1111"/>
      <c r="L45" s="31"/>
      <c r="M45" s="31"/>
      <c r="N45" s="31"/>
      <c r="O45" s="31"/>
      <c r="P45" s="31"/>
      <c r="Q45" s="31"/>
      <c r="R45" s="31"/>
    </row>
    <row r="46" spans="1:20" ht="15" customHeight="1" x14ac:dyDescent="0.2">
      <c r="A46" s="1364"/>
      <c r="B46" s="1364"/>
      <c r="C46" s="1364"/>
      <c r="D46" s="1364"/>
      <c r="E46" s="1364"/>
      <c r="F46" s="1364"/>
      <c r="G46" s="1364"/>
      <c r="H46" s="1364"/>
      <c r="I46" s="1364"/>
      <c r="J46" s="1364"/>
      <c r="K46" s="1364"/>
      <c r="L46" s="1364"/>
      <c r="M46" s="1364"/>
      <c r="N46" s="1364"/>
      <c r="O46" s="1364"/>
      <c r="P46" s="1364"/>
      <c r="Q46" s="1364"/>
      <c r="R46" s="1364"/>
      <c r="S46" s="1364"/>
      <c r="T46" s="1364"/>
    </row>
    <row r="48" spans="1:20" x14ac:dyDescent="0.2">
      <c r="A48" s="18"/>
    </row>
  </sheetData>
  <sheetProtection algorithmName="SHA-512" hashValue="nxhvfJA9ZwQaBfw9yFdE/Ydz4E217pSOuKevOYX5sdc2F47p8jb/qva0Qgu+vzQTZdWENcSD3Wub2kv3avHdOw==" saltValue="BpZxHDqUqBAGv/CacRzDYQ==" spinCount="100000" sheet="1" scenarios="1" formatCells="0" formatColumns="0" formatRows="0" sort="0" autoFilter="0" pivotTables="0"/>
  <mergeCells count="11">
    <mergeCell ref="A46:T46"/>
    <mergeCell ref="B8:D8"/>
    <mergeCell ref="F8:H8"/>
    <mergeCell ref="J8:L8"/>
    <mergeCell ref="N8:P8"/>
    <mergeCell ref="R8:T8"/>
    <mergeCell ref="B26:D26"/>
    <mergeCell ref="F26:H26"/>
    <mergeCell ref="J26:L26"/>
    <mergeCell ref="N26:P26"/>
    <mergeCell ref="R26:T26"/>
  </mergeCells>
  <hyperlinks>
    <hyperlink ref="A2" location="'Table of Contents'!A1" display="Back to Table of Contents" xr:uid="{00000000-0004-0000-7400-000000000000}"/>
  </hyperlinks>
  <pageMargins left="0.70866141732283472" right="0.70866141732283472" top="0.74803149606299213" bottom="0.74803149606299213" header="0.31496062992125984" footer="0.31496062992125984"/>
  <pageSetup paperSize="9" scale="67" orientation="landscape" r:id="rId1"/>
  <headerFooter>
    <oddFooter>&amp;L&amp;P&amp;C&amp;A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24">
    <tabColor rgb="FFBF8F00"/>
    <pageSetUpPr fitToPage="1"/>
  </sheetPr>
  <dimension ref="A1:T93"/>
  <sheetViews>
    <sheetView showGridLines="0" zoomScaleNormal="100" zoomScaleSheetLayoutView="100" workbookViewId="0">
      <pane ySplit="2" topLeftCell="A3" activePane="bottomLeft" state="frozen"/>
      <selection activeCellId="1" sqref="A1 A1"/>
      <selection pane="bottomLeft"/>
    </sheetView>
  </sheetViews>
  <sheetFormatPr defaultRowHeight="12.75" x14ac:dyDescent="0.2"/>
  <cols>
    <col min="1" max="1" width="17" style="1" customWidth="1"/>
    <col min="2" max="2" width="26.5703125" style="1" customWidth="1"/>
    <col min="3" max="3" width="10.28515625" style="1" customWidth="1"/>
    <col min="4" max="4" width="12.140625" style="1" customWidth="1"/>
    <col min="5" max="5" width="11.42578125" style="1" customWidth="1"/>
    <col min="6" max="6" width="2.85546875" style="1" customWidth="1"/>
    <col min="7" max="7" width="9.140625" style="1"/>
    <col min="8" max="8" width="12.140625" style="1" customWidth="1"/>
    <col min="9" max="9" width="12" style="1" customWidth="1"/>
    <col min="10" max="10" width="2.85546875" style="1" customWidth="1"/>
    <col min="11" max="11" width="9.140625" style="1"/>
    <col min="12" max="12" width="12.140625" style="1" customWidth="1"/>
    <col min="13" max="13" width="12.5703125" style="1" customWidth="1"/>
    <col min="14" max="19" width="9.140625" style="1"/>
    <col min="20" max="20" width="14.28515625" style="1" customWidth="1"/>
    <col min="21" max="246" width="9.140625" style="1"/>
    <col min="247" max="247" width="26.5703125" style="1" customWidth="1"/>
    <col min="248" max="248" width="9.140625" style="1"/>
    <col min="249" max="249" width="12.140625" style="1" customWidth="1"/>
    <col min="250" max="250" width="10.5703125" style="1" customWidth="1"/>
    <col min="251" max="251" width="2.85546875" style="1" customWidth="1"/>
    <col min="252" max="252" width="9.140625" style="1"/>
    <col min="253" max="253" width="12.140625" style="1" customWidth="1"/>
    <col min="254" max="254" width="10.5703125" style="1" customWidth="1"/>
    <col min="255" max="255" width="2.85546875" style="1" customWidth="1"/>
    <col min="256" max="256" width="9.140625" style="1"/>
    <col min="257" max="257" width="12.140625" style="1" customWidth="1"/>
    <col min="258" max="258" width="10.5703125" style="1" customWidth="1"/>
    <col min="259" max="502" width="9.140625" style="1"/>
    <col min="503" max="503" width="26.5703125" style="1" customWidth="1"/>
    <col min="504" max="504" width="9.140625" style="1"/>
    <col min="505" max="505" width="12.140625" style="1" customWidth="1"/>
    <col min="506" max="506" width="10.5703125" style="1" customWidth="1"/>
    <col min="507" max="507" width="2.85546875" style="1" customWidth="1"/>
    <col min="508" max="508" width="9.140625" style="1"/>
    <col min="509" max="509" width="12.140625" style="1" customWidth="1"/>
    <col min="510" max="510" width="10.5703125" style="1" customWidth="1"/>
    <col min="511" max="511" width="2.85546875" style="1" customWidth="1"/>
    <col min="512" max="512" width="9.140625" style="1"/>
    <col min="513" max="513" width="12.140625" style="1" customWidth="1"/>
    <col min="514" max="514" width="10.5703125" style="1" customWidth="1"/>
    <col min="515" max="758" width="9.140625" style="1"/>
    <col min="759" max="759" width="26.5703125" style="1" customWidth="1"/>
    <col min="760" max="760" width="9.140625" style="1"/>
    <col min="761" max="761" width="12.140625" style="1" customWidth="1"/>
    <col min="762" max="762" width="10.5703125" style="1" customWidth="1"/>
    <col min="763" max="763" width="2.85546875" style="1" customWidth="1"/>
    <col min="764" max="764" width="9.140625" style="1"/>
    <col min="765" max="765" width="12.140625" style="1" customWidth="1"/>
    <col min="766" max="766" width="10.5703125" style="1" customWidth="1"/>
    <col min="767" max="767" width="2.85546875" style="1" customWidth="1"/>
    <col min="768" max="768" width="9.140625" style="1"/>
    <col min="769" max="769" width="12.140625" style="1" customWidth="1"/>
    <col min="770" max="770" width="10.5703125" style="1" customWidth="1"/>
    <col min="771" max="1014" width="9.140625" style="1"/>
    <col min="1015" max="1015" width="26.5703125" style="1" customWidth="1"/>
    <col min="1016" max="1016" width="9.140625" style="1"/>
    <col min="1017" max="1017" width="12.140625" style="1" customWidth="1"/>
    <col min="1018" max="1018" width="10.5703125" style="1" customWidth="1"/>
    <col min="1019" max="1019" width="2.85546875" style="1" customWidth="1"/>
    <col min="1020" max="1020" width="9.140625" style="1"/>
    <col min="1021" max="1021" width="12.140625" style="1" customWidth="1"/>
    <col min="1022" max="1022" width="10.5703125" style="1" customWidth="1"/>
    <col min="1023" max="1023" width="2.85546875" style="1" customWidth="1"/>
    <col min="1024" max="1024" width="9.140625" style="1"/>
    <col min="1025" max="1025" width="12.140625" style="1" customWidth="1"/>
    <col min="1026" max="1026" width="10.5703125" style="1" customWidth="1"/>
    <col min="1027" max="1270" width="9.140625" style="1"/>
    <col min="1271" max="1271" width="26.5703125" style="1" customWidth="1"/>
    <col min="1272" max="1272" width="9.140625" style="1"/>
    <col min="1273" max="1273" width="12.140625" style="1" customWidth="1"/>
    <col min="1274" max="1274" width="10.5703125" style="1" customWidth="1"/>
    <col min="1275" max="1275" width="2.85546875" style="1" customWidth="1"/>
    <col min="1276" max="1276" width="9.140625" style="1"/>
    <col min="1277" max="1277" width="12.140625" style="1" customWidth="1"/>
    <col min="1278" max="1278" width="10.5703125" style="1" customWidth="1"/>
    <col min="1279" max="1279" width="2.85546875" style="1" customWidth="1"/>
    <col min="1280" max="1280" width="9.140625" style="1"/>
    <col min="1281" max="1281" width="12.140625" style="1" customWidth="1"/>
    <col min="1282" max="1282" width="10.5703125" style="1" customWidth="1"/>
    <col min="1283" max="1526" width="9.140625" style="1"/>
    <col min="1527" max="1527" width="26.5703125" style="1" customWidth="1"/>
    <col min="1528" max="1528" width="9.140625" style="1"/>
    <col min="1529" max="1529" width="12.140625" style="1" customWidth="1"/>
    <col min="1530" max="1530" width="10.5703125" style="1" customWidth="1"/>
    <col min="1531" max="1531" width="2.85546875" style="1" customWidth="1"/>
    <col min="1532" max="1532" width="9.140625" style="1"/>
    <col min="1533" max="1533" width="12.140625" style="1" customWidth="1"/>
    <col min="1534" max="1534" width="10.5703125" style="1" customWidth="1"/>
    <col min="1535" max="1535" width="2.85546875" style="1" customWidth="1"/>
    <col min="1536" max="1536" width="9.140625" style="1"/>
    <col min="1537" max="1537" width="12.140625" style="1" customWidth="1"/>
    <col min="1538" max="1538" width="10.5703125" style="1" customWidth="1"/>
    <col min="1539" max="1782" width="9.140625" style="1"/>
    <col min="1783" max="1783" width="26.5703125" style="1" customWidth="1"/>
    <col min="1784" max="1784" width="9.140625" style="1"/>
    <col min="1785" max="1785" width="12.140625" style="1" customWidth="1"/>
    <col min="1786" max="1786" width="10.5703125" style="1" customWidth="1"/>
    <col min="1787" max="1787" width="2.85546875" style="1" customWidth="1"/>
    <col min="1788" max="1788" width="9.140625" style="1"/>
    <col min="1789" max="1789" width="12.140625" style="1" customWidth="1"/>
    <col min="1790" max="1790" width="10.5703125" style="1" customWidth="1"/>
    <col min="1791" max="1791" width="2.85546875" style="1" customWidth="1"/>
    <col min="1792" max="1792" width="9.140625" style="1"/>
    <col min="1793" max="1793" width="12.140625" style="1" customWidth="1"/>
    <col min="1794" max="1794" width="10.5703125" style="1" customWidth="1"/>
    <col min="1795" max="2038" width="9.140625" style="1"/>
    <col min="2039" max="2039" width="26.5703125" style="1" customWidth="1"/>
    <col min="2040" max="2040" width="9.140625" style="1"/>
    <col min="2041" max="2041" width="12.140625" style="1" customWidth="1"/>
    <col min="2042" max="2042" width="10.5703125" style="1" customWidth="1"/>
    <col min="2043" max="2043" width="2.85546875" style="1" customWidth="1"/>
    <col min="2044" max="2044" width="9.140625" style="1"/>
    <col min="2045" max="2045" width="12.140625" style="1" customWidth="1"/>
    <col min="2046" max="2046" width="10.5703125" style="1" customWidth="1"/>
    <col min="2047" max="2047" width="2.85546875" style="1" customWidth="1"/>
    <col min="2048" max="2048" width="9.140625" style="1"/>
    <col min="2049" max="2049" width="12.140625" style="1" customWidth="1"/>
    <col min="2050" max="2050" width="10.5703125" style="1" customWidth="1"/>
    <col min="2051" max="2294" width="9.140625" style="1"/>
    <col min="2295" max="2295" width="26.5703125" style="1" customWidth="1"/>
    <col min="2296" max="2296" width="9.140625" style="1"/>
    <col min="2297" max="2297" width="12.140625" style="1" customWidth="1"/>
    <col min="2298" max="2298" width="10.5703125" style="1" customWidth="1"/>
    <col min="2299" max="2299" width="2.85546875" style="1" customWidth="1"/>
    <col min="2300" max="2300" width="9.140625" style="1"/>
    <col min="2301" max="2301" width="12.140625" style="1" customWidth="1"/>
    <col min="2302" max="2302" width="10.5703125" style="1" customWidth="1"/>
    <col min="2303" max="2303" width="2.85546875" style="1" customWidth="1"/>
    <col min="2304" max="2304" width="9.140625" style="1"/>
    <col min="2305" max="2305" width="12.140625" style="1" customWidth="1"/>
    <col min="2306" max="2306" width="10.5703125" style="1" customWidth="1"/>
    <col min="2307" max="2550" width="9.140625" style="1"/>
    <col min="2551" max="2551" width="26.5703125" style="1" customWidth="1"/>
    <col min="2552" max="2552" width="9.140625" style="1"/>
    <col min="2553" max="2553" width="12.140625" style="1" customWidth="1"/>
    <col min="2554" max="2554" width="10.5703125" style="1" customWidth="1"/>
    <col min="2555" max="2555" width="2.85546875" style="1" customWidth="1"/>
    <col min="2556" max="2556" width="9.140625" style="1"/>
    <col min="2557" max="2557" width="12.140625" style="1" customWidth="1"/>
    <col min="2558" max="2558" width="10.5703125" style="1" customWidth="1"/>
    <col min="2559" max="2559" width="2.85546875" style="1" customWidth="1"/>
    <col min="2560" max="2560" width="9.140625" style="1"/>
    <col min="2561" max="2561" width="12.140625" style="1" customWidth="1"/>
    <col min="2562" max="2562" width="10.5703125" style="1" customWidth="1"/>
    <col min="2563" max="2806" width="9.140625" style="1"/>
    <col min="2807" max="2807" width="26.5703125" style="1" customWidth="1"/>
    <col min="2808" max="2808" width="9.140625" style="1"/>
    <col min="2809" max="2809" width="12.140625" style="1" customWidth="1"/>
    <col min="2810" max="2810" width="10.5703125" style="1" customWidth="1"/>
    <col min="2811" max="2811" width="2.85546875" style="1" customWidth="1"/>
    <col min="2812" max="2812" width="9.140625" style="1"/>
    <col min="2813" max="2813" width="12.140625" style="1" customWidth="1"/>
    <col min="2814" max="2814" width="10.5703125" style="1" customWidth="1"/>
    <col min="2815" max="2815" width="2.85546875" style="1" customWidth="1"/>
    <col min="2816" max="2816" width="9.140625" style="1"/>
    <col min="2817" max="2817" width="12.140625" style="1" customWidth="1"/>
    <col min="2818" max="2818" width="10.5703125" style="1" customWidth="1"/>
    <col min="2819" max="3062" width="9.140625" style="1"/>
    <col min="3063" max="3063" width="26.5703125" style="1" customWidth="1"/>
    <col min="3064" max="3064" width="9.140625" style="1"/>
    <col min="3065" max="3065" width="12.140625" style="1" customWidth="1"/>
    <col min="3066" max="3066" width="10.5703125" style="1" customWidth="1"/>
    <col min="3067" max="3067" width="2.85546875" style="1" customWidth="1"/>
    <col min="3068" max="3068" width="9.140625" style="1"/>
    <col min="3069" max="3069" width="12.140625" style="1" customWidth="1"/>
    <col min="3070" max="3070" width="10.5703125" style="1" customWidth="1"/>
    <col min="3071" max="3071" width="2.85546875" style="1" customWidth="1"/>
    <col min="3072" max="3072" width="9.140625" style="1"/>
    <col min="3073" max="3073" width="12.140625" style="1" customWidth="1"/>
    <col min="3074" max="3074" width="10.5703125" style="1" customWidth="1"/>
    <col min="3075" max="3318" width="9.140625" style="1"/>
    <col min="3319" max="3319" width="26.5703125" style="1" customWidth="1"/>
    <col min="3320" max="3320" width="9.140625" style="1"/>
    <col min="3321" max="3321" width="12.140625" style="1" customWidth="1"/>
    <col min="3322" max="3322" width="10.5703125" style="1" customWidth="1"/>
    <col min="3323" max="3323" width="2.85546875" style="1" customWidth="1"/>
    <col min="3324" max="3324" width="9.140625" style="1"/>
    <col min="3325" max="3325" width="12.140625" style="1" customWidth="1"/>
    <col min="3326" max="3326" width="10.5703125" style="1" customWidth="1"/>
    <col min="3327" max="3327" width="2.85546875" style="1" customWidth="1"/>
    <col min="3328" max="3328" width="9.140625" style="1"/>
    <col min="3329" max="3329" width="12.140625" style="1" customWidth="1"/>
    <col min="3330" max="3330" width="10.5703125" style="1" customWidth="1"/>
    <col min="3331" max="3574" width="9.140625" style="1"/>
    <col min="3575" max="3575" width="26.5703125" style="1" customWidth="1"/>
    <col min="3576" max="3576" width="9.140625" style="1"/>
    <col min="3577" max="3577" width="12.140625" style="1" customWidth="1"/>
    <col min="3578" max="3578" width="10.5703125" style="1" customWidth="1"/>
    <col min="3579" max="3579" width="2.85546875" style="1" customWidth="1"/>
    <col min="3580" max="3580" width="9.140625" style="1"/>
    <col min="3581" max="3581" width="12.140625" style="1" customWidth="1"/>
    <col min="3582" max="3582" width="10.5703125" style="1" customWidth="1"/>
    <col min="3583" max="3583" width="2.85546875" style="1" customWidth="1"/>
    <col min="3584" max="3584" width="9.140625" style="1"/>
    <col min="3585" max="3585" width="12.140625" style="1" customWidth="1"/>
    <col min="3586" max="3586" width="10.5703125" style="1" customWidth="1"/>
    <col min="3587" max="3830" width="9.140625" style="1"/>
    <col min="3831" max="3831" width="26.5703125" style="1" customWidth="1"/>
    <col min="3832" max="3832" width="9.140625" style="1"/>
    <col min="3833" max="3833" width="12.140625" style="1" customWidth="1"/>
    <col min="3834" max="3834" width="10.5703125" style="1" customWidth="1"/>
    <col min="3835" max="3835" width="2.85546875" style="1" customWidth="1"/>
    <col min="3836" max="3836" width="9.140625" style="1"/>
    <col min="3837" max="3837" width="12.140625" style="1" customWidth="1"/>
    <col min="3838" max="3838" width="10.5703125" style="1" customWidth="1"/>
    <col min="3839" max="3839" width="2.85546875" style="1" customWidth="1"/>
    <col min="3840" max="3840" width="9.140625" style="1"/>
    <col min="3841" max="3841" width="12.140625" style="1" customWidth="1"/>
    <col min="3842" max="3842" width="10.5703125" style="1" customWidth="1"/>
    <col min="3843" max="4086" width="9.140625" style="1"/>
    <col min="4087" max="4087" width="26.5703125" style="1" customWidth="1"/>
    <col min="4088" max="4088" width="9.140625" style="1"/>
    <col min="4089" max="4089" width="12.140625" style="1" customWidth="1"/>
    <col min="4090" max="4090" width="10.5703125" style="1" customWidth="1"/>
    <col min="4091" max="4091" width="2.85546875" style="1" customWidth="1"/>
    <col min="4092" max="4092" width="9.140625" style="1"/>
    <col min="4093" max="4093" width="12.140625" style="1" customWidth="1"/>
    <col min="4094" max="4094" width="10.5703125" style="1" customWidth="1"/>
    <col min="4095" max="4095" width="2.85546875" style="1" customWidth="1"/>
    <col min="4096" max="4096" width="9.140625" style="1"/>
    <col min="4097" max="4097" width="12.140625" style="1" customWidth="1"/>
    <col min="4098" max="4098" width="10.5703125" style="1" customWidth="1"/>
    <col min="4099" max="4342" width="9.140625" style="1"/>
    <col min="4343" max="4343" width="26.5703125" style="1" customWidth="1"/>
    <col min="4344" max="4344" width="9.140625" style="1"/>
    <col min="4345" max="4345" width="12.140625" style="1" customWidth="1"/>
    <col min="4346" max="4346" width="10.5703125" style="1" customWidth="1"/>
    <col min="4347" max="4347" width="2.85546875" style="1" customWidth="1"/>
    <col min="4348" max="4348" width="9.140625" style="1"/>
    <col min="4349" max="4349" width="12.140625" style="1" customWidth="1"/>
    <col min="4350" max="4350" width="10.5703125" style="1" customWidth="1"/>
    <col min="4351" max="4351" width="2.85546875" style="1" customWidth="1"/>
    <col min="4352" max="4352" width="9.140625" style="1"/>
    <col min="4353" max="4353" width="12.140625" style="1" customWidth="1"/>
    <col min="4354" max="4354" width="10.5703125" style="1" customWidth="1"/>
    <col min="4355" max="4598" width="9.140625" style="1"/>
    <col min="4599" max="4599" width="26.5703125" style="1" customWidth="1"/>
    <col min="4600" max="4600" width="9.140625" style="1"/>
    <col min="4601" max="4601" width="12.140625" style="1" customWidth="1"/>
    <col min="4602" max="4602" width="10.5703125" style="1" customWidth="1"/>
    <col min="4603" max="4603" width="2.85546875" style="1" customWidth="1"/>
    <col min="4604" max="4604" width="9.140625" style="1"/>
    <col min="4605" max="4605" width="12.140625" style="1" customWidth="1"/>
    <col min="4606" max="4606" width="10.5703125" style="1" customWidth="1"/>
    <col min="4607" max="4607" width="2.85546875" style="1" customWidth="1"/>
    <col min="4608" max="4608" width="9.140625" style="1"/>
    <col min="4609" max="4609" width="12.140625" style="1" customWidth="1"/>
    <col min="4610" max="4610" width="10.5703125" style="1" customWidth="1"/>
    <col min="4611" max="4854" width="9.140625" style="1"/>
    <col min="4855" max="4855" width="26.5703125" style="1" customWidth="1"/>
    <col min="4856" max="4856" width="9.140625" style="1"/>
    <col min="4857" max="4857" width="12.140625" style="1" customWidth="1"/>
    <col min="4858" max="4858" width="10.5703125" style="1" customWidth="1"/>
    <col min="4859" max="4859" width="2.85546875" style="1" customWidth="1"/>
    <col min="4860" max="4860" width="9.140625" style="1"/>
    <col min="4861" max="4861" width="12.140625" style="1" customWidth="1"/>
    <col min="4862" max="4862" width="10.5703125" style="1" customWidth="1"/>
    <col min="4863" max="4863" width="2.85546875" style="1" customWidth="1"/>
    <col min="4864" max="4864" width="9.140625" style="1"/>
    <col min="4865" max="4865" width="12.140625" style="1" customWidth="1"/>
    <col min="4866" max="4866" width="10.5703125" style="1" customWidth="1"/>
    <col min="4867" max="5110" width="9.140625" style="1"/>
    <col min="5111" max="5111" width="26.5703125" style="1" customWidth="1"/>
    <col min="5112" max="5112" width="9.140625" style="1"/>
    <col min="5113" max="5113" width="12.140625" style="1" customWidth="1"/>
    <col min="5114" max="5114" width="10.5703125" style="1" customWidth="1"/>
    <col min="5115" max="5115" width="2.85546875" style="1" customWidth="1"/>
    <col min="5116" max="5116" width="9.140625" style="1"/>
    <col min="5117" max="5117" width="12.140625" style="1" customWidth="1"/>
    <col min="5118" max="5118" width="10.5703125" style="1" customWidth="1"/>
    <col min="5119" max="5119" width="2.85546875" style="1" customWidth="1"/>
    <col min="5120" max="5120" width="9.140625" style="1"/>
    <col min="5121" max="5121" width="12.140625" style="1" customWidth="1"/>
    <col min="5122" max="5122" width="10.5703125" style="1" customWidth="1"/>
    <col min="5123" max="5366" width="9.140625" style="1"/>
    <col min="5367" max="5367" width="26.5703125" style="1" customWidth="1"/>
    <col min="5368" max="5368" width="9.140625" style="1"/>
    <col min="5369" max="5369" width="12.140625" style="1" customWidth="1"/>
    <col min="5370" max="5370" width="10.5703125" style="1" customWidth="1"/>
    <col min="5371" max="5371" width="2.85546875" style="1" customWidth="1"/>
    <col min="5372" max="5372" width="9.140625" style="1"/>
    <col min="5373" max="5373" width="12.140625" style="1" customWidth="1"/>
    <col min="5374" max="5374" width="10.5703125" style="1" customWidth="1"/>
    <col min="5375" max="5375" width="2.85546875" style="1" customWidth="1"/>
    <col min="5376" max="5376" width="9.140625" style="1"/>
    <col min="5377" max="5377" width="12.140625" style="1" customWidth="1"/>
    <col min="5378" max="5378" width="10.5703125" style="1" customWidth="1"/>
    <col min="5379" max="5622" width="9.140625" style="1"/>
    <col min="5623" max="5623" width="26.5703125" style="1" customWidth="1"/>
    <col min="5624" max="5624" width="9.140625" style="1"/>
    <col min="5625" max="5625" width="12.140625" style="1" customWidth="1"/>
    <col min="5626" max="5626" width="10.5703125" style="1" customWidth="1"/>
    <col min="5627" max="5627" width="2.85546875" style="1" customWidth="1"/>
    <col min="5628" max="5628" width="9.140625" style="1"/>
    <col min="5629" max="5629" width="12.140625" style="1" customWidth="1"/>
    <col min="5630" max="5630" width="10.5703125" style="1" customWidth="1"/>
    <col min="5631" max="5631" width="2.85546875" style="1" customWidth="1"/>
    <col min="5632" max="5632" width="9.140625" style="1"/>
    <col min="5633" max="5633" width="12.140625" style="1" customWidth="1"/>
    <col min="5634" max="5634" width="10.5703125" style="1" customWidth="1"/>
    <col min="5635" max="5878" width="9.140625" style="1"/>
    <col min="5879" max="5879" width="26.5703125" style="1" customWidth="1"/>
    <col min="5880" max="5880" width="9.140625" style="1"/>
    <col min="5881" max="5881" width="12.140625" style="1" customWidth="1"/>
    <col min="5882" max="5882" width="10.5703125" style="1" customWidth="1"/>
    <col min="5883" max="5883" width="2.85546875" style="1" customWidth="1"/>
    <col min="5884" max="5884" width="9.140625" style="1"/>
    <col min="5885" max="5885" width="12.140625" style="1" customWidth="1"/>
    <col min="5886" max="5886" width="10.5703125" style="1" customWidth="1"/>
    <col min="5887" max="5887" width="2.85546875" style="1" customWidth="1"/>
    <col min="5888" max="5888" width="9.140625" style="1"/>
    <col min="5889" max="5889" width="12.140625" style="1" customWidth="1"/>
    <col min="5890" max="5890" width="10.5703125" style="1" customWidth="1"/>
    <col min="5891" max="6134" width="9.140625" style="1"/>
    <col min="6135" max="6135" width="26.5703125" style="1" customWidth="1"/>
    <col min="6136" max="6136" width="9.140625" style="1"/>
    <col min="6137" max="6137" width="12.140625" style="1" customWidth="1"/>
    <col min="6138" max="6138" width="10.5703125" style="1" customWidth="1"/>
    <col min="6139" max="6139" width="2.85546875" style="1" customWidth="1"/>
    <col min="6140" max="6140" width="9.140625" style="1"/>
    <col min="6141" max="6141" width="12.140625" style="1" customWidth="1"/>
    <col min="6142" max="6142" width="10.5703125" style="1" customWidth="1"/>
    <col min="6143" max="6143" width="2.85546875" style="1" customWidth="1"/>
    <col min="6144" max="6144" width="9.140625" style="1"/>
    <col min="6145" max="6145" width="12.140625" style="1" customWidth="1"/>
    <col min="6146" max="6146" width="10.5703125" style="1" customWidth="1"/>
    <col min="6147" max="6390" width="9.140625" style="1"/>
    <col min="6391" max="6391" width="26.5703125" style="1" customWidth="1"/>
    <col min="6392" max="6392" width="9.140625" style="1"/>
    <col min="6393" max="6393" width="12.140625" style="1" customWidth="1"/>
    <col min="6394" max="6394" width="10.5703125" style="1" customWidth="1"/>
    <col min="6395" max="6395" width="2.85546875" style="1" customWidth="1"/>
    <col min="6396" max="6396" width="9.140625" style="1"/>
    <col min="6397" max="6397" width="12.140625" style="1" customWidth="1"/>
    <col min="6398" max="6398" width="10.5703125" style="1" customWidth="1"/>
    <col min="6399" max="6399" width="2.85546875" style="1" customWidth="1"/>
    <col min="6400" max="6400" width="9.140625" style="1"/>
    <col min="6401" max="6401" width="12.140625" style="1" customWidth="1"/>
    <col min="6402" max="6402" width="10.5703125" style="1" customWidth="1"/>
    <col min="6403" max="6646" width="9.140625" style="1"/>
    <col min="6647" max="6647" width="26.5703125" style="1" customWidth="1"/>
    <col min="6648" max="6648" width="9.140625" style="1"/>
    <col min="6649" max="6649" width="12.140625" style="1" customWidth="1"/>
    <col min="6650" max="6650" width="10.5703125" style="1" customWidth="1"/>
    <col min="6651" max="6651" width="2.85546875" style="1" customWidth="1"/>
    <col min="6652" max="6652" width="9.140625" style="1"/>
    <col min="6653" max="6653" width="12.140625" style="1" customWidth="1"/>
    <col min="6654" max="6654" width="10.5703125" style="1" customWidth="1"/>
    <col min="6655" max="6655" width="2.85546875" style="1" customWidth="1"/>
    <col min="6656" max="6656" width="9.140625" style="1"/>
    <col min="6657" max="6657" width="12.140625" style="1" customWidth="1"/>
    <col min="6658" max="6658" width="10.5703125" style="1" customWidth="1"/>
    <col min="6659" max="6902" width="9.140625" style="1"/>
    <col min="6903" max="6903" width="26.5703125" style="1" customWidth="1"/>
    <col min="6904" max="6904" width="9.140625" style="1"/>
    <col min="6905" max="6905" width="12.140625" style="1" customWidth="1"/>
    <col min="6906" max="6906" width="10.5703125" style="1" customWidth="1"/>
    <col min="6907" max="6907" width="2.85546875" style="1" customWidth="1"/>
    <col min="6908" max="6908" width="9.140625" style="1"/>
    <col min="6909" max="6909" width="12.140625" style="1" customWidth="1"/>
    <col min="6910" max="6910" width="10.5703125" style="1" customWidth="1"/>
    <col min="6911" max="6911" width="2.85546875" style="1" customWidth="1"/>
    <col min="6912" max="6912" width="9.140625" style="1"/>
    <col min="6913" max="6913" width="12.140625" style="1" customWidth="1"/>
    <col min="6914" max="6914" width="10.5703125" style="1" customWidth="1"/>
    <col min="6915" max="7158" width="9.140625" style="1"/>
    <col min="7159" max="7159" width="26.5703125" style="1" customWidth="1"/>
    <col min="7160" max="7160" width="9.140625" style="1"/>
    <col min="7161" max="7161" width="12.140625" style="1" customWidth="1"/>
    <col min="7162" max="7162" width="10.5703125" style="1" customWidth="1"/>
    <col min="7163" max="7163" width="2.85546875" style="1" customWidth="1"/>
    <col min="7164" max="7164" width="9.140625" style="1"/>
    <col min="7165" max="7165" width="12.140625" style="1" customWidth="1"/>
    <col min="7166" max="7166" width="10.5703125" style="1" customWidth="1"/>
    <col min="7167" max="7167" width="2.85546875" style="1" customWidth="1"/>
    <col min="7168" max="7168" width="9.140625" style="1"/>
    <col min="7169" max="7169" width="12.140625" style="1" customWidth="1"/>
    <col min="7170" max="7170" width="10.5703125" style="1" customWidth="1"/>
    <col min="7171" max="7414" width="9.140625" style="1"/>
    <col min="7415" max="7415" width="26.5703125" style="1" customWidth="1"/>
    <col min="7416" max="7416" width="9.140625" style="1"/>
    <col min="7417" max="7417" width="12.140625" style="1" customWidth="1"/>
    <col min="7418" max="7418" width="10.5703125" style="1" customWidth="1"/>
    <col min="7419" max="7419" width="2.85546875" style="1" customWidth="1"/>
    <col min="7420" max="7420" width="9.140625" style="1"/>
    <col min="7421" max="7421" width="12.140625" style="1" customWidth="1"/>
    <col min="7422" max="7422" width="10.5703125" style="1" customWidth="1"/>
    <col min="7423" max="7423" width="2.85546875" style="1" customWidth="1"/>
    <col min="7424" max="7424" width="9.140625" style="1"/>
    <col min="7425" max="7425" width="12.140625" style="1" customWidth="1"/>
    <col min="7426" max="7426" width="10.5703125" style="1" customWidth="1"/>
    <col min="7427" max="7670" width="9.140625" style="1"/>
    <col min="7671" max="7671" width="26.5703125" style="1" customWidth="1"/>
    <col min="7672" max="7672" width="9.140625" style="1"/>
    <col min="7673" max="7673" width="12.140625" style="1" customWidth="1"/>
    <col min="7674" max="7674" width="10.5703125" style="1" customWidth="1"/>
    <col min="7675" max="7675" width="2.85546875" style="1" customWidth="1"/>
    <col min="7676" max="7676" width="9.140625" style="1"/>
    <col min="7677" max="7677" width="12.140625" style="1" customWidth="1"/>
    <col min="7678" max="7678" width="10.5703125" style="1" customWidth="1"/>
    <col min="7679" max="7679" width="2.85546875" style="1" customWidth="1"/>
    <col min="7680" max="7680" width="9.140625" style="1"/>
    <col min="7681" max="7681" width="12.140625" style="1" customWidth="1"/>
    <col min="7682" max="7682" width="10.5703125" style="1" customWidth="1"/>
    <col min="7683" max="7926" width="9.140625" style="1"/>
    <col min="7927" max="7927" width="26.5703125" style="1" customWidth="1"/>
    <col min="7928" max="7928" width="9.140625" style="1"/>
    <col min="7929" max="7929" width="12.140625" style="1" customWidth="1"/>
    <col min="7930" max="7930" width="10.5703125" style="1" customWidth="1"/>
    <col min="7931" max="7931" width="2.85546875" style="1" customWidth="1"/>
    <col min="7932" max="7932" width="9.140625" style="1"/>
    <col min="7933" max="7933" width="12.140625" style="1" customWidth="1"/>
    <col min="7934" max="7934" width="10.5703125" style="1" customWidth="1"/>
    <col min="7935" max="7935" width="2.85546875" style="1" customWidth="1"/>
    <col min="7936" max="7936" width="9.140625" style="1"/>
    <col min="7937" max="7937" width="12.140625" style="1" customWidth="1"/>
    <col min="7938" max="7938" width="10.5703125" style="1" customWidth="1"/>
    <col min="7939" max="8182" width="9.140625" style="1"/>
    <col min="8183" max="8183" width="26.5703125" style="1" customWidth="1"/>
    <col min="8184" max="8184" width="9.140625" style="1"/>
    <col min="8185" max="8185" width="12.140625" style="1" customWidth="1"/>
    <col min="8186" max="8186" width="10.5703125" style="1" customWidth="1"/>
    <col min="8187" max="8187" width="2.85546875" style="1" customWidth="1"/>
    <col min="8188" max="8188" width="9.140625" style="1"/>
    <col min="8189" max="8189" width="12.140625" style="1" customWidth="1"/>
    <col min="8190" max="8190" width="10.5703125" style="1" customWidth="1"/>
    <col min="8191" max="8191" width="2.85546875" style="1" customWidth="1"/>
    <col min="8192" max="8192" width="9.140625" style="1"/>
    <col min="8193" max="8193" width="12.140625" style="1" customWidth="1"/>
    <col min="8194" max="8194" width="10.5703125" style="1" customWidth="1"/>
    <col min="8195" max="8438" width="9.140625" style="1"/>
    <col min="8439" max="8439" width="26.5703125" style="1" customWidth="1"/>
    <col min="8440" max="8440" width="9.140625" style="1"/>
    <col min="8441" max="8441" width="12.140625" style="1" customWidth="1"/>
    <col min="8442" max="8442" width="10.5703125" style="1" customWidth="1"/>
    <col min="8443" max="8443" width="2.85546875" style="1" customWidth="1"/>
    <col min="8444" max="8444" width="9.140625" style="1"/>
    <col min="8445" max="8445" width="12.140625" style="1" customWidth="1"/>
    <col min="8446" max="8446" width="10.5703125" style="1" customWidth="1"/>
    <col min="8447" max="8447" width="2.85546875" style="1" customWidth="1"/>
    <col min="8448" max="8448" width="9.140625" style="1"/>
    <col min="8449" max="8449" width="12.140625" style="1" customWidth="1"/>
    <col min="8450" max="8450" width="10.5703125" style="1" customWidth="1"/>
    <col min="8451" max="8694" width="9.140625" style="1"/>
    <col min="8695" max="8695" width="26.5703125" style="1" customWidth="1"/>
    <col min="8696" max="8696" width="9.140625" style="1"/>
    <col min="8697" max="8697" width="12.140625" style="1" customWidth="1"/>
    <col min="8698" max="8698" width="10.5703125" style="1" customWidth="1"/>
    <col min="8699" max="8699" width="2.85546875" style="1" customWidth="1"/>
    <col min="8700" max="8700" width="9.140625" style="1"/>
    <col min="8701" max="8701" width="12.140625" style="1" customWidth="1"/>
    <col min="8702" max="8702" width="10.5703125" style="1" customWidth="1"/>
    <col min="8703" max="8703" width="2.85546875" style="1" customWidth="1"/>
    <col min="8704" max="8704" width="9.140625" style="1"/>
    <col min="8705" max="8705" width="12.140625" style="1" customWidth="1"/>
    <col min="8706" max="8706" width="10.5703125" style="1" customWidth="1"/>
    <col min="8707" max="8950" width="9.140625" style="1"/>
    <col min="8951" max="8951" width="26.5703125" style="1" customWidth="1"/>
    <col min="8952" max="8952" width="9.140625" style="1"/>
    <col min="8953" max="8953" width="12.140625" style="1" customWidth="1"/>
    <col min="8954" max="8954" width="10.5703125" style="1" customWidth="1"/>
    <col min="8955" max="8955" width="2.85546875" style="1" customWidth="1"/>
    <col min="8956" max="8956" width="9.140625" style="1"/>
    <col min="8957" max="8957" width="12.140625" style="1" customWidth="1"/>
    <col min="8958" max="8958" width="10.5703125" style="1" customWidth="1"/>
    <col min="8959" max="8959" width="2.85546875" style="1" customWidth="1"/>
    <col min="8960" max="8960" width="9.140625" style="1"/>
    <col min="8961" max="8961" width="12.140625" style="1" customWidth="1"/>
    <col min="8962" max="8962" width="10.5703125" style="1" customWidth="1"/>
    <col min="8963" max="9206" width="9.140625" style="1"/>
    <col min="9207" max="9207" width="26.5703125" style="1" customWidth="1"/>
    <col min="9208" max="9208" width="9.140625" style="1"/>
    <col min="9209" max="9209" width="12.140625" style="1" customWidth="1"/>
    <col min="9210" max="9210" width="10.5703125" style="1" customWidth="1"/>
    <col min="9211" max="9211" width="2.85546875" style="1" customWidth="1"/>
    <col min="9212" max="9212" width="9.140625" style="1"/>
    <col min="9213" max="9213" width="12.140625" style="1" customWidth="1"/>
    <col min="9214" max="9214" width="10.5703125" style="1" customWidth="1"/>
    <col min="9215" max="9215" width="2.85546875" style="1" customWidth="1"/>
    <col min="9216" max="9216" width="9.140625" style="1"/>
    <col min="9217" max="9217" width="12.140625" style="1" customWidth="1"/>
    <col min="9218" max="9218" width="10.5703125" style="1" customWidth="1"/>
    <col min="9219" max="9462" width="9.140625" style="1"/>
    <col min="9463" max="9463" width="26.5703125" style="1" customWidth="1"/>
    <col min="9464" max="9464" width="9.140625" style="1"/>
    <col min="9465" max="9465" width="12.140625" style="1" customWidth="1"/>
    <col min="9466" max="9466" width="10.5703125" style="1" customWidth="1"/>
    <col min="9467" max="9467" width="2.85546875" style="1" customWidth="1"/>
    <col min="9468" max="9468" width="9.140625" style="1"/>
    <col min="9469" max="9469" width="12.140625" style="1" customWidth="1"/>
    <col min="9470" max="9470" width="10.5703125" style="1" customWidth="1"/>
    <col min="9471" max="9471" width="2.85546875" style="1" customWidth="1"/>
    <col min="9472" max="9472" width="9.140625" style="1"/>
    <col min="9473" max="9473" width="12.140625" style="1" customWidth="1"/>
    <col min="9474" max="9474" width="10.5703125" style="1" customWidth="1"/>
    <col min="9475" max="9718" width="9.140625" style="1"/>
    <col min="9719" max="9719" width="26.5703125" style="1" customWidth="1"/>
    <col min="9720" max="9720" width="9.140625" style="1"/>
    <col min="9721" max="9721" width="12.140625" style="1" customWidth="1"/>
    <col min="9722" max="9722" width="10.5703125" style="1" customWidth="1"/>
    <col min="9723" max="9723" width="2.85546875" style="1" customWidth="1"/>
    <col min="9724" max="9724" width="9.140625" style="1"/>
    <col min="9725" max="9725" width="12.140625" style="1" customWidth="1"/>
    <col min="9726" max="9726" width="10.5703125" style="1" customWidth="1"/>
    <col min="9727" max="9727" width="2.85546875" style="1" customWidth="1"/>
    <col min="9728" max="9728" width="9.140625" style="1"/>
    <col min="9729" max="9729" width="12.140625" style="1" customWidth="1"/>
    <col min="9730" max="9730" width="10.5703125" style="1" customWidth="1"/>
    <col min="9731" max="9974" width="9.140625" style="1"/>
    <col min="9975" max="9975" width="26.5703125" style="1" customWidth="1"/>
    <col min="9976" max="9976" width="9.140625" style="1"/>
    <col min="9977" max="9977" width="12.140625" style="1" customWidth="1"/>
    <col min="9978" max="9978" width="10.5703125" style="1" customWidth="1"/>
    <col min="9979" max="9979" width="2.85546875" style="1" customWidth="1"/>
    <col min="9980" max="9980" width="9.140625" style="1"/>
    <col min="9981" max="9981" width="12.140625" style="1" customWidth="1"/>
    <col min="9982" max="9982" width="10.5703125" style="1" customWidth="1"/>
    <col min="9983" max="9983" width="2.85546875" style="1" customWidth="1"/>
    <col min="9984" max="9984" width="9.140625" style="1"/>
    <col min="9985" max="9985" width="12.140625" style="1" customWidth="1"/>
    <col min="9986" max="9986" width="10.5703125" style="1" customWidth="1"/>
    <col min="9987" max="10230" width="9.140625" style="1"/>
    <col min="10231" max="10231" width="26.5703125" style="1" customWidth="1"/>
    <col min="10232" max="10232" width="9.140625" style="1"/>
    <col min="10233" max="10233" width="12.140625" style="1" customWidth="1"/>
    <col min="10234" max="10234" width="10.5703125" style="1" customWidth="1"/>
    <col min="10235" max="10235" width="2.85546875" style="1" customWidth="1"/>
    <col min="10236" max="10236" width="9.140625" style="1"/>
    <col min="10237" max="10237" width="12.140625" style="1" customWidth="1"/>
    <col min="10238" max="10238" width="10.5703125" style="1" customWidth="1"/>
    <col min="10239" max="10239" width="2.85546875" style="1" customWidth="1"/>
    <col min="10240" max="10240" width="9.140625" style="1"/>
    <col min="10241" max="10241" width="12.140625" style="1" customWidth="1"/>
    <col min="10242" max="10242" width="10.5703125" style="1" customWidth="1"/>
    <col min="10243" max="10486" width="9.140625" style="1"/>
    <col min="10487" max="10487" width="26.5703125" style="1" customWidth="1"/>
    <col min="10488" max="10488" width="9.140625" style="1"/>
    <col min="10489" max="10489" width="12.140625" style="1" customWidth="1"/>
    <col min="10490" max="10490" width="10.5703125" style="1" customWidth="1"/>
    <col min="10491" max="10491" width="2.85546875" style="1" customWidth="1"/>
    <col min="10492" max="10492" width="9.140625" style="1"/>
    <col min="10493" max="10493" width="12.140625" style="1" customWidth="1"/>
    <col min="10494" max="10494" width="10.5703125" style="1" customWidth="1"/>
    <col min="10495" max="10495" width="2.85546875" style="1" customWidth="1"/>
    <col min="10496" max="10496" width="9.140625" style="1"/>
    <col min="10497" max="10497" width="12.140625" style="1" customWidth="1"/>
    <col min="10498" max="10498" width="10.5703125" style="1" customWidth="1"/>
    <col min="10499" max="10742" width="9.140625" style="1"/>
    <col min="10743" max="10743" width="26.5703125" style="1" customWidth="1"/>
    <col min="10744" max="10744" width="9.140625" style="1"/>
    <col min="10745" max="10745" width="12.140625" style="1" customWidth="1"/>
    <col min="10746" max="10746" width="10.5703125" style="1" customWidth="1"/>
    <col min="10747" max="10747" width="2.85546875" style="1" customWidth="1"/>
    <col min="10748" max="10748" width="9.140625" style="1"/>
    <col min="10749" max="10749" width="12.140625" style="1" customWidth="1"/>
    <col min="10750" max="10750" width="10.5703125" style="1" customWidth="1"/>
    <col min="10751" max="10751" width="2.85546875" style="1" customWidth="1"/>
    <col min="10752" max="10752" width="9.140625" style="1"/>
    <col min="10753" max="10753" width="12.140625" style="1" customWidth="1"/>
    <col min="10754" max="10754" width="10.5703125" style="1" customWidth="1"/>
    <col min="10755" max="10998" width="9.140625" style="1"/>
    <col min="10999" max="10999" width="26.5703125" style="1" customWidth="1"/>
    <col min="11000" max="11000" width="9.140625" style="1"/>
    <col min="11001" max="11001" width="12.140625" style="1" customWidth="1"/>
    <col min="11002" max="11002" width="10.5703125" style="1" customWidth="1"/>
    <col min="11003" max="11003" width="2.85546875" style="1" customWidth="1"/>
    <col min="11004" max="11004" width="9.140625" style="1"/>
    <col min="11005" max="11005" width="12.140625" style="1" customWidth="1"/>
    <col min="11006" max="11006" width="10.5703125" style="1" customWidth="1"/>
    <col min="11007" max="11007" width="2.85546875" style="1" customWidth="1"/>
    <col min="11008" max="11008" width="9.140625" style="1"/>
    <col min="11009" max="11009" width="12.140625" style="1" customWidth="1"/>
    <col min="11010" max="11010" width="10.5703125" style="1" customWidth="1"/>
    <col min="11011" max="11254" width="9.140625" style="1"/>
    <col min="11255" max="11255" width="26.5703125" style="1" customWidth="1"/>
    <col min="11256" max="11256" width="9.140625" style="1"/>
    <col min="11257" max="11257" width="12.140625" style="1" customWidth="1"/>
    <col min="11258" max="11258" width="10.5703125" style="1" customWidth="1"/>
    <col min="11259" max="11259" width="2.85546875" style="1" customWidth="1"/>
    <col min="11260" max="11260" width="9.140625" style="1"/>
    <col min="11261" max="11261" width="12.140625" style="1" customWidth="1"/>
    <col min="11262" max="11262" width="10.5703125" style="1" customWidth="1"/>
    <col min="11263" max="11263" width="2.85546875" style="1" customWidth="1"/>
    <col min="11264" max="11264" width="9.140625" style="1"/>
    <col min="11265" max="11265" width="12.140625" style="1" customWidth="1"/>
    <col min="11266" max="11266" width="10.5703125" style="1" customWidth="1"/>
    <col min="11267" max="11510" width="9.140625" style="1"/>
    <col min="11511" max="11511" width="26.5703125" style="1" customWidth="1"/>
    <col min="11512" max="11512" width="9.140625" style="1"/>
    <col min="11513" max="11513" width="12.140625" style="1" customWidth="1"/>
    <col min="11514" max="11514" width="10.5703125" style="1" customWidth="1"/>
    <col min="11515" max="11515" width="2.85546875" style="1" customWidth="1"/>
    <col min="11516" max="11516" width="9.140625" style="1"/>
    <col min="11517" max="11517" width="12.140625" style="1" customWidth="1"/>
    <col min="11518" max="11518" width="10.5703125" style="1" customWidth="1"/>
    <col min="11519" max="11519" width="2.85546875" style="1" customWidth="1"/>
    <col min="11520" max="11520" width="9.140625" style="1"/>
    <col min="11521" max="11521" width="12.140625" style="1" customWidth="1"/>
    <col min="11522" max="11522" width="10.5703125" style="1" customWidth="1"/>
    <col min="11523" max="11766" width="9.140625" style="1"/>
    <col min="11767" max="11767" width="26.5703125" style="1" customWidth="1"/>
    <col min="11768" max="11768" width="9.140625" style="1"/>
    <col min="11769" max="11769" width="12.140625" style="1" customWidth="1"/>
    <col min="11770" max="11770" width="10.5703125" style="1" customWidth="1"/>
    <col min="11771" max="11771" width="2.85546875" style="1" customWidth="1"/>
    <col min="11772" max="11772" width="9.140625" style="1"/>
    <col min="11773" max="11773" width="12.140625" style="1" customWidth="1"/>
    <col min="11774" max="11774" width="10.5703125" style="1" customWidth="1"/>
    <col min="11775" max="11775" width="2.85546875" style="1" customWidth="1"/>
    <col min="11776" max="11776" width="9.140625" style="1"/>
    <col min="11777" max="11777" width="12.140625" style="1" customWidth="1"/>
    <col min="11778" max="11778" width="10.5703125" style="1" customWidth="1"/>
    <col min="11779" max="12022" width="9.140625" style="1"/>
    <col min="12023" max="12023" width="26.5703125" style="1" customWidth="1"/>
    <col min="12024" max="12024" width="9.140625" style="1"/>
    <col min="12025" max="12025" width="12.140625" style="1" customWidth="1"/>
    <col min="12026" max="12026" width="10.5703125" style="1" customWidth="1"/>
    <col min="12027" max="12027" width="2.85546875" style="1" customWidth="1"/>
    <col min="12028" max="12028" width="9.140625" style="1"/>
    <col min="12029" max="12029" width="12.140625" style="1" customWidth="1"/>
    <col min="12030" max="12030" width="10.5703125" style="1" customWidth="1"/>
    <col min="12031" max="12031" width="2.85546875" style="1" customWidth="1"/>
    <col min="12032" max="12032" width="9.140625" style="1"/>
    <col min="12033" max="12033" width="12.140625" style="1" customWidth="1"/>
    <col min="12034" max="12034" width="10.5703125" style="1" customWidth="1"/>
    <col min="12035" max="12278" width="9.140625" style="1"/>
    <col min="12279" max="12279" width="26.5703125" style="1" customWidth="1"/>
    <col min="12280" max="12280" width="9.140625" style="1"/>
    <col min="12281" max="12281" width="12.140625" style="1" customWidth="1"/>
    <col min="12282" max="12282" width="10.5703125" style="1" customWidth="1"/>
    <col min="12283" max="12283" width="2.85546875" style="1" customWidth="1"/>
    <col min="12284" max="12284" width="9.140625" style="1"/>
    <col min="12285" max="12285" width="12.140625" style="1" customWidth="1"/>
    <col min="12286" max="12286" width="10.5703125" style="1" customWidth="1"/>
    <col min="12287" max="12287" width="2.85546875" style="1" customWidth="1"/>
    <col min="12288" max="12288" width="9.140625" style="1"/>
    <col min="12289" max="12289" width="12.140625" style="1" customWidth="1"/>
    <col min="12290" max="12290" width="10.5703125" style="1" customWidth="1"/>
    <col min="12291" max="12534" width="9.140625" style="1"/>
    <col min="12535" max="12535" width="26.5703125" style="1" customWidth="1"/>
    <col min="12536" max="12536" width="9.140625" style="1"/>
    <col min="12537" max="12537" width="12.140625" style="1" customWidth="1"/>
    <col min="12538" max="12538" width="10.5703125" style="1" customWidth="1"/>
    <col min="12539" max="12539" width="2.85546875" style="1" customWidth="1"/>
    <col min="12540" max="12540" width="9.140625" style="1"/>
    <col min="12541" max="12541" width="12.140625" style="1" customWidth="1"/>
    <col min="12542" max="12542" width="10.5703125" style="1" customWidth="1"/>
    <col min="12543" max="12543" width="2.85546875" style="1" customWidth="1"/>
    <col min="12544" max="12544" width="9.140625" style="1"/>
    <col min="12545" max="12545" width="12.140625" style="1" customWidth="1"/>
    <col min="12546" max="12546" width="10.5703125" style="1" customWidth="1"/>
    <col min="12547" max="12790" width="9.140625" style="1"/>
    <col min="12791" max="12791" width="26.5703125" style="1" customWidth="1"/>
    <col min="12792" max="12792" width="9.140625" style="1"/>
    <col min="12793" max="12793" width="12.140625" style="1" customWidth="1"/>
    <col min="12794" max="12794" width="10.5703125" style="1" customWidth="1"/>
    <col min="12795" max="12795" width="2.85546875" style="1" customWidth="1"/>
    <col min="12796" max="12796" width="9.140625" style="1"/>
    <col min="12797" max="12797" width="12.140625" style="1" customWidth="1"/>
    <col min="12798" max="12798" width="10.5703125" style="1" customWidth="1"/>
    <col min="12799" max="12799" width="2.85546875" style="1" customWidth="1"/>
    <col min="12800" max="12800" width="9.140625" style="1"/>
    <col min="12801" max="12801" width="12.140625" style="1" customWidth="1"/>
    <col min="12802" max="12802" width="10.5703125" style="1" customWidth="1"/>
    <col min="12803" max="13046" width="9.140625" style="1"/>
    <col min="13047" max="13047" width="26.5703125" style="1" customWidth="1"/>
    <col min="13048" max="13048" width="9.140625" style="1"/>
    <col min="13049" max="13049" width="12.140625" style="1" customWidth="1"/>
    <col min="13050" max="13050" width="10.5703125" style="1" customWidth="1"/>
    <col min="13051" max="13051" width="2.85546875" style="1" customWidth="1"/>
    <col min="13052" max="13052" width="9.140625" style="1"/>
    <col min="13053" max="13053" width="12.140625" style="1" customWidth="1"/>
    <col min="13054" max="13054" width="10.5703125" style="1" customWidth="1"/>
    <col min="13055" max="13055" width="2.85546875" style="1" customWidth="1"/>
    <col min="13056" max="13056" width="9.140625" style="1"/>
    <col min="13057" max="13057" width="12.140625" style="1" customWidth="1"/>
    <col min="13058" max="13058" width="10.5703125" style="1" customWidth="1"/>
    <col min="13059" max="13302" width="9.140625" style="1"/>
    <col min="13303" max="13303" width="26.5703125" style="1" customWidth="1"/>
    <col min="13304" max="13304" width="9.140625" style="1"/>
    <col min="13305" max="13305" width="12.140625" style="1" customWidth="1"/>
    <col min="13306" max="13306" width="10.5703125" style="1" customWidth="1"/>
    <col min="13307" max="13307" width="2.85546875" style="1" customWidth="1"/>
    <col min="13308" max="13308" width="9.140625" style="1"/>
    <col min="13309" max="13309" width="12.140625" style="1" customWidth="1"/>
    <col min="13310" max="13310" width="10.5703125" style="1" customWidth="1"/>
    <col min="13311" max="13311" width="2.85546875" style="1" customWidth="1"/>
    <col min="13312" max="13312" width="9.140625" style="1"/>
    <col min="13313" max="13313" width="12.140625" style="1" customWidth="1"/>
    <col min="13314" max="13314" width="10.5703125" style="1" customWidth="1"/>
    <col min="13315" max="13558" width="9.140625" style="1"/>
    <col min="13559" max="13559" width="26.5703125" style="1" customWidth="1"/>
    <col min="13560" max="13560" width="9.140625" style="1"/>
    <col min="13561" max="13561" width="12.140625" style="1" customWidth="1"/>
    <col min="13562" max="13562" width="10.5703125" style="1" customWidth="1"/>
    <col min="13563" max="13563" width="2.85546875" style="1" customWidth="1"/>
    <col min="13564" max="13564" width="9.140625" style="1"/>
    <col min="13565" max="13565" width="12.140625" style="1" customWidth="1"/>
    <col min="13566" max="13566" width="10.5703125" style="1" customWidth="1"/>
    <col min="13567" max="13567" width="2.85546875" style="1" customWidth="1"/>
    <col min="13568" max="13568" width="9.140625" style="1"/>
    <col min="13569" max="13569" width="12.140625" style="1" customWidth="1"/>
    <col min="13570" max="13570" width="10.5703125" style="1" customWidth="1"/>
    <col min="13571" max="13814" width="9.140625" style="1"/>
    <col min="13815" max="13815" width="26.5703125" style="1" customWidth="1"/>
    <col min="13816" max="13816" width="9.140625" style="1"/>
    <col min="13817" max="13817" width="12.140625" style="1" customWidth="1"/>
    <col min="13818" max="13818" width="10.5703125" style="1" customWidth="1"/>
    <col min="13819" max="13819" width="2.85546875" style="1" customWidth="1"/>
    <col min="13820" max="13820" width="9.140625" style="1"/>
    <col min="13821" max="13821" width="12.140625" style="1" customWidth="1"/>
    <col min="13822" max="13822" width="10.5703125" style="1" customWidth="1"/>
    <col min="13823" max="13823" width="2.85546875" style="1" customWidth="1"/>
    <col min="13824" max="13824" width="9.140625" style="1"/>
    <col min="13825" max="13825" width="12.140625" style="1" customWidth="1"/>
    <col min="13826" max="13826" width="10.5703125" style="1" customWidth="1"/>
    <col min="13827" max="14070" width="9.140625" style="1"/>
    <col min="14071" max="14071" width="26.5703125" style="1" customWidth="1"/>
    <col min="14072" max="14072" width="9.140625" style="1"/>
    <col min="14073" max="14073" width="12.140625" style="1" customWidth="1"/>
    <col min="14074" max="14074" width="10.5703125" style="1" customWidth="1"/>
    <col min="14075" max="14075" width="2.85546875" style="1" customWidth="1"/>
    <col min="14076" max="14076" width="9.140625" style="1"/>
    <col min="14077" max="14077" width="12.140625" style="1" customWidth="1"/>
    <col min="14078" max="14078" width="10.5703125" style="1" customWidth="1"/>
    <col min="14079" max="14079" width="2.85546875" style="1" customWidth="1"/>
    <col min="14080" max="14080" width="9.140625" style="1"/>
    <col min="14081" max="14081" width="12.140625" style="1" customWidth="1"/>
    <col min="14082" max="14082" width="10.5703125" style="1" customWidth="1"/>
    <col min="14083" max="14326" width="9.140625" style="1"/>
    <col min="14327" max="14327" width="26.5703125" style="1" customWidth="1"/>
    <col min="14328" max="14328" width="9.140625" style="1"/>
    <col min="14329" max="14329" width="12.140625" style="1" customWidth="1"/>
    <col min="14330" max="14330" width="10.5703125" style="1" customWidth="1"/>
    <col min="14331" max="14331" width="2.85546875" style="1" customWidth="1"/>
    <col min="14332" max="14332" width="9.140625" style="1"/>
    <col min="14333" max="14333" width="12.140625" style="1" customWidth="1"/>
    <col min="14334" max="14334" width="10.5703125" style="1" customWidth="1"/>
    <col min="14335" max="14335" width="2.85546875" style="1" customWidth="1"/>
    <col min="14336" max="14336" width="9.140625" style="1"/>
    <col min="14337" max="14337" width="12.140625" style="1" customWidth="1"/>
    <col min="14338" max="14338" width="10.5703125" style="1" customWidth="1"/>
    <col min="14339" max="14582" width="9.140625" style="1"/>
    <col min="14583" max="14583" width="26.5703125" style="1" customWidth="1"/>
    <col min="14584" max="14584" width="9.140625" style="1"/>
    <col min="14585" max="14585" width="12.140625" style="1" customWidth="1"/>
    <col min="14586" max="14586" width="10.5703125" style="1" customWidth="1"/>
    <col min="14587" max="14587" width="2.85546875" style="1" customWidth="1"/>
    <col min="14588" max="14588" width="9.140625" style="1"/>
    <col min="14589" max="14589" width="12.140625" style="1" customWidth="1"/>
    <col min="14590" max="14590" width="10.5703125" style="1" customWidth="1"/>
    <col min="14591" max="14591" width="2.85546875" style="1" customWidth="1"/>
    <col min="14592" max="14592" width="9.140625" style="1"/>
    <col min="14593" max="14593" width="12.140625" style="1" customWidth="1"/>
    <col min="14594" max="14594" width="10.5703125" style="1" customWidth="1"/>
    <col min="14595" max="14838" width="9.140625" style="1"/>
    <col min="14839" max="14839" width="26.5703125" style="1" customWidth="1"/>
    <col min="14840" max="14840" width="9.140625" style="1"/>
    <col min="14841" max="14841" width="12.140625" style="1" customWidth="1"/>
    <col min="14842" max="14842" width="10.5703125" style="1" customWidth="1"/>
    <col min="14843" max="14843" width="2.85546875" style="1" customWidth="1"/>
    <col min="14844" max="14844" width="9.140625" style="1"/>
    <col min="14845" max="14845" width="12.140625" style="1" customWidth="1"/>
    <col min="14846" max="14846" width="10.5703125" style="1" customWidth="1"/>
    <col min="14847" max="14847" width="2.85546875" style="1" customWidth="1"/>
    <col min="14848" max="14848" width="9.140625" style="1"/>
    <col min="14849" max="14849" width="12.140625" style="1" customWidth="1"/>
    <col min="14850" max="14850" width="10.5703125" style="1" customWidth="1"/>
    <col min="14851" max="15094" width="9.140625" style="1"/>
    <col min="15095" max="15095" width="26.5703125" style="1" customWidth="1"/>
    <col min="15096" max="15096" width="9.140625" style="1"/>
    <col min="15097" max="15097" width="12.140625" style="1" customWidth="1"/>
    <col min="15098" max="15098" width="10.5703125" style="1" customWidth="1"/>
    <col min="15099" max="15099" width="2.85546875" style="1" customWidth="1"/>
    <col min="15100" max="15100" width="9.140625" style="1"/>
    <col min="15101" max="15101" width="12.140625" style="1" customWidth="1"/>
    <col min="15102" max="15102" width="10.5703125" style="1" customWidth="1"/>
    <col min="15103" max="15103" width="2.85546875" style="1" customWidth="1"/>
    <col min="15104" max="15104" width="9.140625" style="1"/>
    <col min="15105" max="15105" width="12.140625" style="1" customWidth="1"/>
    <col min="15106" max="15106" width="10.5703125" style="1" customWidth="1"/>
    <col min="15107" max="15350" width="9.140625" style="1"/>
    <col min="15351" max="15351" width="26.5703125" style="1" customWidth="1"/>
    <col min="15352" max="15352" width="9.140625" style="1"/>
    <col min="15353" max="15353" width="12.140625" style="1" customWidth="1"/>
    <col min="15354" max="15354" width="10.5703125" style="1" customWidth="1"/>
    <col min="15355" max="15355" width="2.85546875" style="1" customWidth="1"/>
    <col min="15356" max="15356" width="9.140625" style="1"/>
    <col min="15357" max="15357" width="12.140625" style="1" customWidth="1"/>
    <col min="15358" max="15358" width="10.5703125" style="1" customWidth="1"/>
    <col min="15359" max="15359" width="2.85546875" style="1" customWidth="1"/>
    <col min="15360" max="15360" width="9.140625" style="1"/>
    <col min="15361" max="15361" width="12.140625" style="1" customWidth="1"/>
    <col min="15362" max="15362" width="10.5703125" style="1" customWidth="1"/>
    <col min="15363" max="15606" width="9.140625" style="1"/>
    <col min="15607" max="15607" width="26.5703125" style="1" customWidth="1"/>
    <col min="15608" max="15608" width="9.140625" style="1"/>
    <col min="15609" max="15609" width="12.140625" style="1" customWidth="1"/>
    <col min="15610" max="15610" width="10.5703125" style="1" customWidth="1"/>
    <col min="15611" max="15611" width="2.85546875" style="1" customWidth="1"/>
    <col min="15612" max="15612" width="9.140625" style="1"/>
    <col min="15613" max="15613" width="12.140625" style="1" customWidth="1"/>
    <col min="15614" max="15614" width="10.5703125" style="1" customWidth="1"/>
    <col min="15615" max="15615" width="2.85546875" style="1" customWidth="1"/>
    <col min="15616" max="15616" width="9.140625" style="1"/>
    <col min="15617" max="15617" width="12.140625" style="1" customWidth="1"/>
    <col min="15618" max="15618" width="10.5703125" style="1" customWidth="1"/>
    <col min="15619" max="15862" width="9.140625" style="1"/>
    <col min="15863" max="15863" width="26.5703125" style="1" customWidth="1"/>
    <col min="15864" max="15864" width="9.140625" style="1"/>
    <col min="15865" max="15865" width="12.140625" style="1" customWidth="1"/>
    <col min="15866" max="15866" width="10.5703125" style="1" customWidth="1"/>
    <col min="15867" max="15867" width="2.85546875" style="1" customWidth="1"/>
    <col min="15868" max="15868" width="9.140625" style="1"/>
    <col min="15869" max="15869" width="12.140625" style="1" customWidth="1"/>
    <col min="15870" max="15870" width="10.5703125" style="1" customWidth="1"/>
    <col min="15871" max="15871" width="2.85546875" style="1" customWidth="1"/>
    <col min="15872" max="15872" width="9.140625" style="1"/>
    <col min="15873" max="15873" width="12.140625" style="1" customWidth="1"/>
    <col min="15874" max="15874" width="10.5703125" style="1" customWidth="1"/>
    <col min="15875" max="16118" width="9.140625" style="1"/>
    <col min="16119" max="16119" width="26.5703125" style="1" customWidth="1"/>
    <col min="16120" max="16120" width="9.140625" style="1"/>
    <col min="16121" max="16121" width="12.140625" style="1" customWidth="1"/>
    <col min="16122" max="16122" width="10.5703125" style="1" customWidth="1"/>
    <col min="16123" max="16123" width="2.85546875" style="1" customWidth="1"/>
    <col min="16124" max="16124" width="9.140625" style="1"/>
    <col min="16125" max="16125" width="12.140625" style="1" customWidth="1"/>
    <col min="16126" max="16126" width="10.5703125" style="1" customWidth="1"/>
    <col min="16127" max="16127" width="2.85546875" style="1" customWidth="1"/>
    <col min="16128" max="16128" width="9.140625" style="1"/>
    <col min="16129" max="16129" width="12.140625" style="1" customWidth="1"/>
    <col min="16130" max="16130" width="10.5703125" style="1" customWidth="1"/>
    <col min="16131" max="16384" width="9.140625" style="1"/>
  </cols>
  <sheetData>
    <row r="1" spans="1:20" ht="15.75" x14ac:dyDescent="0.2">
      <c r="A1" s="298" t="s">
        <v>1133</v>
      </c>
    </row>
    <row r="2" spans="1:20" ht="17.25" customHeight="1" x14ac:dyDescent="0.2">
      <c r="A2" s="106" t="s">
        <v>578</v>
      </c>
    </row>
    <row r="3" spans="1:20" ht="38.25" customHeight="1" x14ac:dyDescent="0.2">
      <c r="A3" s="120" t="s">
        <v>1041</v>
      </c>
      <c r="B3" s="120"/>
      <c r="D3" s="120"/>
      <c r="E3"/>
      <c r="F3" s="120"/>
      <c r="G3" s="120"/>
      <c r="H3" s="120"/>
      <c r="I3" s="120"/>
      <c r="J3" s="120"/>
      <c r="K3" s="120"/>
      <c r="L3" s="120"/>
      <c r="M3" s="120"/>
    </row>
    <row r="4" spans="1:20" ht="15" customHeight="1" x14ac:dyDescent="0.25">
      <c r="A4" s="351" t="s">
        <v>579</v>
      </c>
      <c r="B4" s="1043" t="s">
        <v>1361</v>
      </c>
      <c r="D4" s="120"/>
      <c r="E4" s="120"/>
      <c r="F4" s="120"/>
      <c r="G4" s="120"/>
      <c r="H4" s="120"/>
      <c r="I4" s="120"/>
      <c r="J4" s="120"/>
      <c r="K4" s="120"/>
      <c r="L4" s="120"/>
      <c r="M4" s="120"/>
    </row>
    <row r="5" spans="1:20" ht="15" customHeight="1" x14ac:dyDescent="0.25">
      <c r="A5" s="351" t="s">
        <v>580</v>
      </c>
      <c r="B5" s="351" t="s">
        <v>581</v>
      </c>
      <c r="D5" s="120"/>
      <c r="E5" s="120"/>
      <c r="F5" s="120"/>
      <c r="G5" s="120"/>
      <c r="H5" s="120"/>
      <c r="I5" s="120"/>
      <c r="J5" s="120"/>
      <c r="K5" s="120"/>
      <c r="L5" s="120"/>
      <c r="M5" s="120"/>
    </row>
    <row r="6" spans="1:20" ht="15" customHeight="1" x14ac:dyDescent="0.25">
      <c r="A6" s="351" t="s">
        <v>582</v>
      </c>
      <c r="B6" s="351" t="s">
        <v>585</v>
      </c>
      <c r="D6" s="120"/>
      <c r="E6" s="120"/>
      <c r="F6" s="120"/>
      <c r="G6" s="120"/>
      <c r="H6" s="120"/>
      <c r="I6" s="120"/>
      <c r="J6" s="120"/>
      <c r="K6" s="120"/>
      <c r="L6" s="120"/>
      <c r="M6" s="120"/>
    </row>
    <row r="7" spans="1:20" ht="15" x14ac:dyDescent="0.25">
      <c r="E7" s="83"/>
      <c r="I7" s="83"/>
      <c r="M7" s="83" t="s">
        <v>0</v>
      </c>
    </row>
    <row r="8" spans="1:20" x14ac:dyDescent="0.2">
      <c r="B8" s="18"/>
      <c r="C8" s="1371" t="s">
        <v>108</v>
      </c>
      <c r="D8" s="1372"/>
      <c r="E8" s="1373"/>
      <c r="G8" s="1371" t="s">
        <v>109</v>
      </c>
      <c r="H8" s="1372"/>
      <c r="I8" s="1373"/>
      <c r="K8" s="1371" t="s">
        <v>110</v>
      </c>
      <c r="L8" s="1372"/>
      <c r="M8" s="1373"/>
    </row>
    <row r="9" spans="1:20" ht="25.5" x14ac:dyDescent="0.2">
      <c r="A9" s="2" t="s">
        <v>586</v>
      </c>
      <c r="B9" s="2" t="s">
        <v>22</v>
      </c>
      <c r="C9" s="255" t="s">
        <v>103</v>
      </c>
      <c r="D9" s="256" t="s">
        <v>59</v>
      </c>
      <c r="E9" s="257" t="s">
        <v>111</v>
      </c>
      <c r="F9" s="105"/>
      <c r="G9" s="255" t="s">
        <v>103</v>
      </c>
      <c r="H9" s="256" t="s">
        <v>59</v>
      </c>
      <c r="I9" s="257" t="s">
        <v>111</v>
      </c>
      <c r="J9" s="39"/>
      <c r="K9" s="255" t="s">
        <v>103</v>
      </c>
      <c r="L9" s="256" t="s">
        <v>59</v>
      </c>
      <c r="M9" s="257" t="s">
        <v>111</v>
      </c>
      <c r="P9"/>
      <c r="S9"/>
      <c r="T9"/>
    </row>
    <row r="10" spans="1:20" ht="18.75" customHeight="1" x14ac:dyDescent="0.2">
      <c r="A10" s="414" t="s">
        <v>587</v>
      </c>
      <c r="B10" s="400" t="s">
        <v>23</v>
      </c>
      <c r="C10" s="639">
        <f>T_12!B7</f>
        <v>330</v>
      </c>
      <c r="D10" s="639">
        <f>T_12!C7</f>
        <v>3</v>
      </c>
      <c r="E10" s="639">
        <f>T_12!D7</f>
        <v>26</v>
      </c>
      <c r="F10" s="240"/>
      <c r="G10" s="639">
        <f>T_12!E7</f>
        <v>97</v>
      </c>
      <c r="H10" s="639">
        <f>T_12!F7</f>
        <v>0</v>
      </c>
      <c r="I10" s="639">
        <f>T_12!G7</f>
        <v>10</v>
      </c>
      <c r="J10" s="240"/>
      <c r="K10" s="640">
        <f t="shared" ref="K10:K41" si="0">C10+G10</f>
        <v>427</v>
      </c>
      <c r="L10" s="640">
        <f>D10+H10</f>
        <v>3</v>
      </c>
      <c r="M10" s="640">
        <f>E10+I10</f>
        <v>36</v>
      </c>
      <c r="P10"/>
      <c r="S10"/>
      <c r="T10"/>
    </row>
    <row r="11" spans="1:20" ht="13.5" customHeight="1" x14ac:dyDescent="0.2">
      <c r="A11" s="1" t="s">
        <v>588</v>
      </c>
      <c r="B11" s="117" t="s">
        <v>24</v>
      </c>
      <c r="C11" s="555">
        <f>T_12!B8</f>
        <v>330</v>
      </c>
      <c r="D11" s="555">
        <f>T_12!C8</f>
        <v>1</v>
      </c>
      <c r="E11" s="555">
        <f>T_12!D8</f>
        <v>23</v>
      </c>
      <c r="F11" s="193"/>
      <c r="G11" s="555">
        <f>T_12!E8</f>
        <v>76</v>
      </c>
      <c r="H11" s="557">
        <f>T_12!F8</f>
        <v>0</v>
      </c>
      <c r="I11" s="555">
        <f>T_12!G8</f>
        <v>3</v>
      </c>
      <c r="J11" s="193"/>
      <c r="K11" s="556">
        <f t="shared" si="0"/>
        <v>406</v>
      </c>
      <c r="L11" s="556">
        <f t="shared" ref="L11:L41" si="1">D11+H11</f>
        <v>1</v>
      </c>
      <c r="M11" s="556">
        <f t="shared" ref="M11:M41" si="2">E11+I11</f>
        <v>26</v>
      </c>
      <c r="P11"/>
      <c r="S11"/>
      <c r="T11"/>
    </row>
    <row r="12" spans="1:20" ht="13.5" customHeight="1" x14ac:dyDescent="0.2">
      <c r="A12" s="1" t="s">
        <v>589</v>
      </c>
      <c r="B12" s="117" t="s">
        <v>25</v>
      </c>
      <c r="C12" s="555">
        <f>T_12!B9</f>
        <v>130</v>
      </c>
      <c r="D12" s="555">
        <f>T_12!C9</f>
        <v>0</v>
      </c>
      <c r="E12" s="555">
        <f>T_12!D9</f>
        <v>20</v>
      </c>
      <c r="F12" s="193"/>
      <c r="G12" s="555">
        <f>T_12!E9</f>
        <v>42</v>
      </c>
      <c r="H12" s="557">
        <f>T_12!F9</f>
        <v>0</v>
      </c>
      <c r="I12" s="555">
        <f>T_12!G9</f>
        <v>0</v>
      </c>
      <c r="J12" s="193"/>
      <c r="K12" s="556">
        <f t="shared" si="0"/>
        <v>172</v>
      </c>
      <c r="L12" s="556">
        <f t="shared" si="1"/>
        <v>0</v>
      </c>
      <c r="M12" s="556">
        <f t="shared" si="2"/>
        <v>20</v>
      </c>
      <c r="P12"/>
      <c r="S12"/>
      <c r="T12"/>
    </row>
    <row r="13" spans="1:20" ht="13.5" customHeight="1" x14ac:dyDescent="0.2">
      <c r="A13" s="1" t="s">
        <v>590</v>
      </c>
      <c r="B13" s="117" t="s">
        <v>26</v>
      </c>
      <c r="C13" s="555">
        <f>T_12!B10</f>
        <v>145</v>
      </c>
      <c r="D13" s="555">
        <f>T_12!C10</f>
        <v>1</v>
      </c>
      <c r="E13" s="555">
        <f>T_12!D10</f>
        <v>10</v>
      </c>
      <c r="F13" s="193"/>
      <c r="G13" s="555">
        <f>T_12!E10</f>
        <v>13</v>
      </c>
      <c r="H13" s="557">
        <f>T_12!F10</f>
        <v>0</v>
      </c>
      <c r="I13" s="555">
        <f>T_12!G10</f>
        <v>0</v>
      </c>
      <c r="J13" s="193"/>
      <c r="K13" s="556">
        <f t="shared" si="0"/>
        <v>158</v>
      </c>
      <c r="L13" s="556">
        <f t="shared" si="1"/>
        <v>1</v>
      </c>
      <c r="M13" s="556">
        <f t="shared" si="2"/>
        <v>10</v>
      </c>
      <c r="P13"/>
      <c r="S13"/>
      <c r="T13"/>
    </row>
    <row r="14" spans="1:20" ht="13.5" customHeight="1" x14ac:dyDescent="0.2">
      <c r="A14" s="1" t="s">
        <v>591</v>
      </c>
      <c r="B14" s="117" t="s">
        <v>619</v>
      </c>
      <c r="C14" s="555">
        <f>T_12!B11</f>
        <v>579</v>
      </c>
      <c r="D14" s="555">
        <f>T_12!C11</f>
        <v>2</v>
      </c>
      <c r="E14" s="555">
        <f>T_12!D11</f>
        <v>60</v>
      </c>
      <c r="F14" s="193"/>
      <c r="G14" s="555">
        <f>T_12!E11</f>
        <v>237</v>
      </c>
      <c r="H14" s="557">
        <f>T_12!F11</f>
        <v>0</v>
      </c>
      <c r="I14" s="555">
        <f>T_12!G11</f>
        <v>11</v>
      </c>
      <c r="J14" s="193"/>
      <c r="K14" s="556">
        <f t="shared" si="0"/>
        <v>816</v>
      </c>
      <c r="L14" s="556">
        <f t="shared" si="1"/>
        <v>2</v>
      </c>
      <c r="M14" s="556">
        <f t="shared" si="2"/>
        <v>71</v>
      </c>
      <c r="P14"/>
      <c r="S14"/>
      <c r="T14"/>
    </row>
    <row r="15" spans="1:20" ht="13.5" customHeight="1" x14ac:dyDescent="0.2">
      <c r="A15" s="1" t="s">
        <v>592</v>
      </c>
      <c r="B15" s="117" t="s">
        <v>27</v>
      </c>
      <c r="C15" s="555">
        <f>T_12!B12</f>
        <v>73</v>
      </c>
      <c r="D15" s="555">
        <f>T_12!C12</f>
        <v>2</v>
      </c>
      <c r="E15" s="555">
        <f>T_12!D12</f>
        <v>19</v>
      </c>
      <c r="F15" s="193"/>
      <c r="G15" s="555">
        <f>T_12!E12</f>
        <v>14</v>
      </c>
      <c r="H15" s="557">
        <f>T_12!F12</f>
        <v>0</v>
      </c>
      <c r="I15" s="555">
        <f>T_12!G12</f>
        <v>2</v>
      </c>
      <c r="J15" s="193"/>
      <c r="K15" s="556">
        <f t="shared" si="0"/>
        <v>87</v>
      </c>
      <c r="L15" s="556">
        <f t="shared" si="1"/>
        <v>2</v>
      </c>
      <c r="M15" s="556">
        <f t="shared" si="2"/>
        <v>21</v>
      </c>
      <c r="P15"/>
      <c r="S15"/>
      <c r="T15"/>
    </row>
    <row r="16" spans="1:20" ht="13.5" customHeight="1" x14ac:dyDescent="0.2">
      <c r="A16" s="1" t="s">
        <v>593</v>
      </c>
      <c r="B16" s="117" t="s">
        <v>28</v>
      </c>
      <c r="C16" s="555">
        <f>T_12!B13</f>
        <v>164</v>
      </c>
      <c r="D16" s="555">
        <f>T_12!C13</f>
        <v>1</v>
      </c>
      <c r="E16" s="555">
        <f>T_12!D13</f>
        <v>5</v>
      </c>
      <c r="F16" s="193"/>
      <c r="G16" s="555">
        <f>T_12!E13</f>
        <v>29</v>
      </c>
      <c r="H16" s="557">
        <f>T_12!F13</f>
        <v>1</v>
      </c>
      <c r="I16" s="555">
        <f>T_12!G13</f>
        <v>0</v>
      </c>
      <c r="J16" s="193"/>
      <c r="K16" s="556">
        <f t="shared" si="0"/>
        <v>193</v>
      </c>
      <c r="L16" s="556">
        <f t="shared" si="1"/>
        <v>2</v>
      </c>
      <c r="M16" s="556">
        <f t="shared" si="2"/>
        <v>5</v>
      </c>
      <c r="P16"/>
      <c r="S16"/>
      <c r="T16"/>
    </row>
    <row r="17" spans="1:20" ht="13.5" customHeight="1" x14ac:dyDescent="0.2">
      <c r="A17" s="1" t="s">
        <v>594</v>
      </c>
      <c r="B17" s="117" t="s">
        <v>29</v>
      </c>
      <c r="C17" s="555">
        <f>T_12!B14</f>
        <v>261</v>
      </c>
      <c r="D17" s="555">
        <f>T_12!C14</f>
        <v>3</v>
      </c>
      <c r="E17" s="555">
        <f>T_12!D14</f>
        <v>32</v>
      </c>
      <c r="F17" s="193"/>
      <c r="G17" s="555">
        <f>T_12!E14</f>
        <v>72</v>
      </c>
      <c r="H17" s="557">
        <f>T_12!F14</f>
        <v>0</v>
      </c>
      <c r="I17" s="555">
        <f>T_12!G14</f>
        <v>1</v>
      </c>
      <c r="J17" s="193"/>
      <c r="K17" s="556">
        <f t="shared" si="0"/>
        <v>333</v>
      </c>
      <c r="L17" s="556">
        <f t="shared" si="1"/>
        <v>3</v>
      </c>
      <c r="M17" s="556">
        <f t="shared" si="2"/>
        <v>33</v>
      </c>
      <c r="P17"/>
      <c r="S17"/>
      <c r="T17"/>
    </row>
    <row r="18" spans="1:20" ht="13.5" customHeight="1" x14ac:dyDescent="0.2">
      <c r="A18" s="1" t="s">
        <v>595</v>
      </c>
      <c r="B18" s="117" t="s">
        <v>30</v>
      </c>
      <c r="C18" s="555">
        <f>T_12!B15</f>
        <v>155</v>
      </c>
      <c r="D18" s="555">
        <f>T_12!C15</f>
        <v>2</v>
      </c>
      <c r="E18" s="555">
        <f>T_12!D15</f>
        <v>22</v>
      </c>
      <c r="F18" s="193"/>
      <c r="G18" s="555">
        <f>T_12!E15</f>
        <v>65</v>
      </c>
      <c r="H18" s="557">
        <f>T_12!F15</f>
        <v>0</v>
      </c>
      <c r="I18" s="555">
        <f>T_12!G15</f>
        <v>3</v>
      </c>
      <c r="J18" s="193"/>
      <c r="K18" s="556">
        <f t="shared" si="0"/>
        <v>220</v>
      </c>
      <c r="L18" s="556">
        <f t="shared" si="1"/>
        <v>2</v>
      </c>
      <c r="M18" s="556">
        <f t="shared" si="2"/>
        <v>25</v>
      </c>
      <c r="P18"/>
      <c r="S18"/>
      <c r="T18"/>
    </row>
    <row r="19" spans="1:20" ht="13.5" customHeight="1" x14ac:dyDescent="0.2">
      <c r="A19" s="1" t="s">
        <v>596</v>
      </c>
      <c r="B19" s="117" t="s">
        <v>31</v>
      </c>
      <c r="C19" s="555">
        <f>T_12!B16</f>
        <v>96</v>
      </c>
      <c r="D19" s="555">
        <f>T_12!C16</f>
        <v>1</v>
      </c>
      <c r="E19" s="555">
        <f>T_12!D16</f>
        <v>7</v>
      </c>
      <c r="F19" s="193"/>
      <c r="G19" s="555">
        <f>T_12!E16</f>
        <v>34</v>
      </c>
      <c r="H19" s="555">
        <f>T_12!F16</f>
        <v>0</v>
      </c>
      <c r="I19" s="555">
        <f>T_12!G16</f>
        <v>2</v>
      </c>
      <c r="J19" s="193"/>
      <c r="K19" s="556">
        <f t="shared" si="0"/>
        <v>130</v>
      </c>
      <c r="L19" s="556">
        <f t="shared" si="1"/>
        <v>1</v>
      </c>
      <c r="M19" s="556">
        <f t="shared" si="2"/>
        <v>9</v>
      </c>
      <c r="P19"/>
      <c r="S19"/>
      <c r="T19"/>
    </row>
    <row r="20" spans="1:20" ht="13.5" customHeight="1" x14ac:dyDescent="0.2">
      <c r="A20" s="1" t="s">
        <v>597</v>
      </c>
      <c r="B20" s="117" t="s">
        <v>32</v>
      </c>
      <c r="C20" s="555">
        <f>T_12!B17</f>
        <v>108</v>
      </c>
      <c r="D20" s="555">
        <f>T_12!C17</f>
        <v>1</v>
      </c>
      <c r="E20" s="555">
        <f>T_12!D17</f>
        <v>7</v>
      </c>
      <c r="F20" s="193"/>
      <c r="G20" s="555">
        <f>T_12!E17</f>
        <v>31</v>
      </c>
      <c r="H20" s="555">
        <f>T_12!F17</f>
        <v>0</v>
      </c>
      <c r="I20" s="555">
        <f>T_12!G17</f>
        <v>0</v>
      </c>
      <c r="J20" s="193"/>
      <c r="K20" s="556">
        <f t="shared" si="0"/>
        <v>139</v>
      </c>
      <c r="L20" s="556">
        <f t="shared" si="1"/>
        <v>1</v>
      </c>
      <c r="M20" s="556">
        <f t="shared" si="2"/>
        <v>7</v>
      </c>
      <c r="P20"/>
      <c r="S20"/>
      <c r="T20"/>
    </row>
    <row r="21" spans="1:20" ht="13.5" customHeight="1" x14ac:dyDescent="0.2">
      <c r="A21" s="1" t="s">
        <v>598</v>
      </c>
      <c r="B21" s="117" t="s">
        <v>33</v>
      </c>
      <c r="C21" s="555">
        <f>T_12!B18</f>
        <v>65</v>
      </c>
      <c r="D21" s="555">
        <f>T_12!C18</f>
        <v>0</v>
      </c>
      <c r="E21" s="555">
        <f>T_12!D18</f>
        <v>5</v>
      </c>
      <c r="F21" s="193"/>
      <c r="G21" s="555">
        <f>T_12!E18</f>
        <v>33</v>
      </c>
      <c r="H21" s="555">
        <f>T_12!F18</f>
        <v>1</v>
      </c>
      <c r="I21" s="555">
        <f>T_12!G18</f>
        <v>1</v>
      </c>
      <c r="J21" s="193"/>
      <c r="K21" s="556">
        <f t="shared" si="0"/>
        <v>98</v>
      </c>
      <c r="L21" s="556">
        <f t="shared" si="1"/>
        <v>1</v>
      </c>
      <c r="M21" s="556">
        <f t="shared" si="2"/>
        <v>6</v>
      </c>
      <c r="P21"/>
      <c r="S21"/>
      <c r="T21"/>
    </row>
    <row r="22" spans="1:20" ht="13.5" customHeight="1" x14ac:dyDescent="0.2">
      <c r="A22" s="1" t="s">
        <v>599</v>
      </c>
      <c r="B22" s="117" t="s">
        <v>34</v>
      </c>
      <c r="C22" s="555">
        <f>T_12!B19</f>
        <v>203</v>
      </c>
      <c r="D22" s="555">
        <f>T_12!C19</f>
        <v>0</v>
      </c>
      <c r="E22" s="555">
        <f>T_12!D19</f>
        <v>34</v>
      </c>
      <c r="F22" s="193"/>
      <c r="G22" s="555">
        <f>T_12!E19</f>
        <v>81</v>
      </c>
      <c r="H22" s="555">
        <f>T_12!F19</f>
        <v>0</v>
      </c>
      <c r="I22" s="555">
        <f>T_12!G19</f>
        <v>1</v>
      </c>
      <c r="J22" s="193"/>
      <c r="K22" s="556">
        <f t="shared" si="0"/>
        <v>284</v>
      </c>
      <c r="L22" s="556">
        <f t="shared" si="1"/>
        <v>0</v>
      </c>
      <c r="M22" s="556">
        <f t="shared" si="2"/>
        <v>35</v>
      </c>
      <c r="P22"/>
      <c r="S22"/>
      <c r="T22"/>
    </row>
    <row r="23" spans="1:20" ht="13.5" customHeight="1" x14ac:dyDescent="0.2">
      <c r="A23" s="1" t="s">
        <v>600</v>
      </c>
      <c r="B23" s="117" t="s">
        <v>35</v>
      </c>
      <c r="C23" s="555">
        <f>T_12!B20</f>
        <v>419</v>
      </c>
      <c r="D23" s="555">
        <f>T_12!C20</f>
        <v>2</v>
      </c>
      <c r="E23" s="555">
        <f>T_12!D20</f>
        <v>47</v>
      </c>
      <c r="F23" s="193"/>
      <c r="G23" s="555">
        <f>T_12!E20</f>
        <v>165</v>
      </c>
      <c r="H23" s="555">
        <f>T_12!F20</f>
        <v>0</v>
      </c>
      <c r="I23" s="555">
        <f>T_12!G20</f>
        <v>2</v>
      </c>
      <c r="J23" s="193"/>
      <c r="K23" s="556">
        <f t="shared" si="0"/>
        <v>584</v>
      </c>
      <c r="L23" s="556">
        <f t="shared" si="1"/>
        <v>2</v>
      </c>
      <c r="M23" s="556">
        <f t="shared" si="2"/>
        <v>49</v>
      </c>
      <c r="P23"/>
      <c r="S23"/>
      <c r="T23"/>
    </row>
    <row r="24" spans="1:20" ht="13.5" customHeight="1" x14ac:dyDescent="0.2">
      <c r="A24" s="1" t="s">
        <v>601</v>
      </c>
      <c r="B24" s="117" t="s">
        <v>36</v>
      </c>
      <c r="C24" s="555">
        <f>T_12!B21</f>
        <v>991</v>
      </c>
      <c r="D24" s="555">
        <f>T_12!C21</f>
        <v>9</v>
      </c>
      <c r="E24" s="555">
        <f>T_12!D21</f>
        <v>157</v>
      </c>
      <c r="F24" s="193"/>
      <c r="G24" s="555">
        <f>T_12!E21</f>
        <v>419</v>
      </c>
      <c r="H24" s="555">
        <f>T_12!F21</f>
        <v>1</v>
      </c>
      <c r="I24" s="555">
        <f>T_12!G21</f>
        <v>37</v>
      </c>
      <c r="J24" s="193"/>
      <c r="K24" s="556">
        <f t="shared" si="0"/>
        <v>1410</v>
      </c>
      <c r="L24" s="556">
        <f t="shared" si="1"/>
        <v>10</v>
      </c>
      <c r="M24" s="556">
        <f t="shared" si="2"/>
        <v>194</v>
      </c>
      <c r="P24"/>
      <c r="S24"/>
      <c r="T24"/>
    </row>
    <row r="25" spans="1:20" ht="13.5" customHeight="1" x14ac:dyDescent="0.2">
      <c r="A25" s="1" t="s">
        <v>602</v>
      </c>
      <c r="B25" s="117" t="s">
        <v>37</v>
      </c>
      <c r="C25" s="555">
        <f>T_12!B22</f>
        <v>337</v>
      </c>
      <c r="D25" s="555">
        <f>T_12!C22</f>
        <v>1</v>
      </c>
      <c r="E25" s="555">
        <f>T_12!D22</f>
        <v>24</v>
      </c>
      <c r="F25" s="193"/>
      <c r="G25" s="555">
        <f>T_12!E22</f>
        <v>43</v>
      </c>
      <c r="H25" s="555">
        <f>T_12!F22</f>
        <v>0</v>
      </c>
      <c r="I25" s="555">
        <f>T_12!G22</f>
        <v>2</v>
      </c>
      <c r="J25" s="193"/>
      <c r="K25" s="556">
        <f t="shared" si="0"/>
        <v>380</v>
      </c>
      <c r="L25" s="556">
        <f t="shared" si="1"/>
        <v>1</v>
      </c>
      <c r="M25" s="556">
        <f t="shared" si="2"/>
        <v>26</v>
      </c>
      <c r="P25"/>
      <c r="S25"/>
      <c r="T25"/>
    </row>
    <row r="26" spans="1:20" ht="13.5" customHeight="1" x14ac:dyDescent="0.2">
      <c r="A26" s="1" t="s">
        <v>603</v>
      </c>
      <c r="B26" s="117" t="s">
        <v>38</v>
      </c>
      <c r="C26" s="555">
        <f>T_12!B23</f>
        <v>111</v>
      </c>
      <c r="D26" s="555">
        <f>T_12!C23</f>
        <v>1</v>
      </c>
      <c r="E26" s="555">
        <f>T_12!D23</f>
        <v>24</v>
      </c>
      <c r="F26" s="193"/>
      <c r="G26" s="555">
        <f>T_12!E23</f>
        <v>55</v>
      </c>
      <c r="H26" s="555">
        <f>T_12!F23</f>
        <v>1</v>
      </c>
      <c r="I26" s="555">
        <f>T_12!G23</f>
        <v>10</v>
      </c>
      <c r="J26" s="193"/>
      <c r="K26" s="556">
        <f t="shared" si="0"/>
        <v>166</v>
      </c>
      <c r="L26" s="556">
        <f t="shared" si="1"/>
        <v>2</v>
      </c>
      <c r="M26" s="556">
        <f t="shared" si="2"/>
        <v>34</v>
      </c>
      <c r="P26"/>
      <c r="S26"/>
      <c r="T26"/>
    </row>
    <row r="27" spans="1:20" ht="13.5" customHeight="1" x14ac:dyDescent="0.2">
      <c r="A27" s="1" t="s">
        <v>604</v>
      </c>
      <c r="B27" s="117" t="s">
        <v>39</v>
      </c>
      <c r="C27" s="555">
        <f>T_12!B24</f>
        <v>118</v>
      </c>
      <c r="D27" s="555">
        <f>T_12!C24</f>
        <v>2</v>
      </c>
      <c r="E27" s="555">
        <f>T_12!D24</f>
        <v>11</v>
      </c>
      <c r="F27" s="193"/>
      <c r="G27" s="555">
        <f>T_12!E24</f>
        <v>40</v>
      </c>
      <c r="H27" s="555">
        <f>T_12!F24</f>
        <v>0</v>
      </c>
      <c r="I27" s="555">
        <f>T_12!G24</f>
        <v>3</v>
      </c>
      <c r="J27" s="193"/>
      <c r="K27" s="556">
        <f t="shared" si="0"/>
        <v>158</v>
      </c>
      <c r="L27" s="556">
        <f t="shared" si="1"/>
        <v>2</v>
      </c>
      <c r="M27" s="556">
        <f t="shared" si="2"/>
        <v>14</v>
      </c>
      <c r="P27"/>
      <c r="S27"/>
      <c r="T27"/>
    </row>
    <row r="28" spans="1:20" ht="13.5" customHeight="1" x14ac:dyDescent="0.2">
      <c r="A28" s="1" t="s">
        <v>605</v>
      </c>
      <c r="B28" s="117" t="s">
        <v>40</v>
      </c>
      <c r="C28" s="555">
        <f>T_12!B25</f>
        <v>113</v>
      </c>
      <c r="D28" s="555">
        <f>T_12!C25</f>
        <v>1</v>
      </c>
      <c r="E28" s="555">
        <f>T_12!D25</f>
        <v>10</v>
      </c>
      <c r="F28" s="193"/>
      <c r="G28" s="555">
        <f>T_12!E25</f>
        <v>30</v>
      </c>
      <c r="H28" s="555">
        <f>T_12!F25</f>
        <v>0</v>
      </c>
      <c r="I28" s="555">
        <f>T_12!G25</f>
        <v>1</v>
      </c>
      <c r="J28" s="193"/>
      <c r="K28" s="556">
        <f t="shared" si="0"/>
        <v>143</v>
      </c>
      <c r="L28" s="556">
        <f t="shared" si="1"/>
        <v>1</v>
      </c>
      <c r="M28" s="556">
        <f t="shared" si="2"/>
        <v>11</v>
      </c>
      <c r="P28"/>
      <c r="S28"/>
      <c r="T28"/>
    </row>
    <row r="29" spans="1:20" ht="13.5" customHeight="1" x14ac:dyDescent="0.2">
      <c r="A29" s="1" t="s">
        <v>606</v>
      </c>
      <c r="B29" s="117" t="s">
        <v>295</v>
      </c>
      <c r="C29" s="555">
        <f>T_12!B26</f>
        <v>39</v>
      </c>
      <c r="D29" s="555">
        <f>T_12!C26</f>
        <v>0</v>
      </c>
      <c r="E29" s="555">
        <f>T_12!D26</f>
        <v>4</v>
      </c>
      <c r="F29" s="193"/>
      <c r="G29" s="555">
        <f>T_12!E26</f>
        <v>2</v>
      </c>
      <c r="H29" s="555">
        <f>T_12!F26</f>
        <v>0</v>
      </c>
      <c r="I29" s="555">
        <f>T_12!G26</f>
        <v>0</v>
      </c>
      <c r="J29" s="193"/>
      <c r="K29" s="556">
        <f t="shared" si="0"/>
        <v>41</v>
      </c>
      <c r="L29" s="556">
        <f t="shared" si="1"/>
        <v>0</v>
      </c>
      <c r="M29" s="556">
        <f t="shared" si="2"/>
        <v>4</v>
      </c>
      <c r="P29"/>
      <c r="S29"/>
      <c r="T29"/>
    </row>
    <row r="30" spans="1:20" ht="13.5" customHeight="1" x14ac:dyDescent="0.2">
      <c r="A30" s="1" t="s">
        <v>607</v>
      </c>
      <c r="B30" s="117" t="s">
        <v>41</v>
      </c>
      <c r="C30" s="555">
        <f>T_12!B27</f>
        <v>193</v>
      </c>
      <c r="D30" s="555">
        <f>T_12!C27</f>
        <v>0</v>
      </c>
      <c r="E30" s="555">
        <f>T_12!D27</f>
        <v>34</v>
      </c>
      <c r="F30" s="193"/>
      <c r="G30" s="555">
        <f>T_12!E27</f>
        <v>46</v>
      </c>
      <c r="H30" s="555">
        <f>T_12!F27</f>
        <v>1</v>
      </c>
      <c r="I30" s="555">
        <f>T_12!G27</f>
        <v>7</v>
      </c>
      <c r="J30" s="193"/>
      <c r="K30" s="556">
        <f t="shared" si="0"/>
        <v>239</v>
      </c>
      <c r="L30" s="556">
        <f t="shared" si="1"/>
        <v>1</v>
      </c>
      <c r="M30" s="556">
        <f t="shared" si="2"/>
        <v>41</v>
      </c>
      <c r="P30"/>
      <c r="S30"/>
      <c r="T30"/>
    </row>
    <row r="31" spans="1:20" ht="13.5" customHeight="1" x14ac:dyDescent="0.2">
      <c r="A31" s="1" t="s">
        <v>608</v>
      </c>
      <c r="B31" s="117" t="s">
        <v>42</v>
      </c>
      <c r="C31" s="555">
        <f>T_12!B28</f>
        <v>472</v>
      </c>
      <c r="D31" s="555">
        <f>T_12!C28</f>
        <v>1</v>
      </c>
      <c r="E31" s="555">
        <f>T_12!D28</f>
        <v>70</v>
      </c>
      <c r="F31" s="193"/>
      <c r="G31" s="555">
        <f>T_12!E28</f>
        <v>211</v>
      </c>
      <c r="H31" s="555">
        <f>T_12!F28</f>
        <v>1</v>
      </c>
      <c r="I31" s="555">
        <f>T_12!G28</f>
        <v>20</v>
      </c>
      <c r="J31" s="193"/>
      <c r="K31" s="556">
        <f t="shared" si="0"/>
        <v>683</v>
      </c>
      <c r="L31" s="556">
        <f t="shared" si="1"/>
        <v>2</v>
      </c>
      <c r="M31" s="556">
        <f t="shared" si="2"/>
        <v>90</v>
      </c>
      <c r="P31"/>
      <c r="S31"/>
      <c r="T31"/>
    </row>
    <row r="32" spans="1:20" ht="13.5" customHeight="1" x14ac:dyDescent="0.2">
      <c r="A32" s="1" t="s">
        <v>609</v>
      </c>
      <c r="B32" s="117" t="s">
        <v>43</v>
      </c>
      <c r="C32" s="555">
        <f>T_12!B29</f>
        <v>17</v>
      </c>
      <c r="D32" s="555">
        <f>T_12!C29</f>
        <v>0</v>
      </c>
      <c r="E32" s="555">
        <f>T_12!D29</f>
        <v>1</v>
      </c>
      <c r="F32" s="193"/>
      <c r="G32" s="555">
        <f>T_12!E29</f>
        <v>0</v>
      </c>
      <c r="H32" s="555">
        <f>T_12!F29</f>
        <v>0</v>
      </c>
      <c r="I32" s="555">
        <f>T_12!G29</f>
        <v>0</v>
      </c>
      <c r="J32" s="193"/>
      <c r="K32" s="556">
        <f t="shared" si="0"/>
        <v>17</v>
      </c>
      <c r="L32" s="556">
        <f t="shared" si="1"/>
        <v>0</v>
      </c>
      <c r="M32" s="556">
        <f t="shared" si="2"/>
        <v>1</v>
      </c>
    </row>
    <row r="33" spans="1:13" ht="13.5" customHeight="1" x14ac:dyDescent="0.2">
      <c r="A33" s="1" t="s">
        <v>610</v>
      </c>
      <c r="B33" s="117" t="s">
        <v>44</v>
      </c>
      <c r="C33" s="555">
        <f>T_12!B30</f>
        <v>201</v>
      </c>
      <c r="D33" s="555">
        <f>T_12!C30</f>
        <v>0</v>
      </c>
      <c r="E33" s="555">
        <f>T_12!D30</f>
        <v>27</v>
      </c>
      <c r="F33" s="193"/>
      <c r="G33" s="555">
        <f>T_12!E30</f>
        <v>26</v>
      </c>
      <c r="H33" s="555">
        <f>T_12!F30</f>
        <v>0</v>
      </c>
      <c r="I33" s="555">
        <f>T_12!G30</f>
        <v>3</v>
      </c>
      <c r="J33" s="193"/>
      <c r="K33" s="556">
        <f t="shared" si="0"/>
        <v>227</v>
      </c>
      <c r="L33" s="556">
        <f t="shared" si="1"/>
        <v>0</v>
      </c>
      <c r="M33" s="556">
        <f t="shared" si="2"/>
        <v>30</v>
      </c>
    </row>
    <row r="34" spans="1:13" ht="13.5" customHeight="1" x14ac:dyDescent="0.2">
      <c r="A34" s="1" t="s">
        <v>611</v>
      </c>
      <c r="B34" s="117" t="s">
        <v>45</v>
      </c>
      <c r="C34" s="555">
        <f>T_12!B31</f>
        <v>217</v>
      </c>
      <c r="D34" s="555">
        <f>T_12!C31</f>
        <v>0</v>
      </c>
      <c r="E34" s="555">
        <f>T_12!D31</f>
        <v>37</v>
      </c>
      <c r="F34" s="560"/>
      <c r="G34" s="555">
        <f>T_12!E31</f>
        <v>115</v>
      </c>
      <c r="H34" s="558">
        <f>T_12!F31</f>
        <v>3</v>
      </c>
      <c r="I34" s="555">
        <f>T_12!G31</f>
        <v>7</v>
      </c>
      <c r="J34" s="560"/>
      <c r="K34" s="556">
        <f t="shared" si="0"/>
        <v>332</v>
      </c>
      <c r="L34" s="556">
        <f t="shared" si="1"/>
        <v>3</v>
      </c>
      <c r="M34" s="556">
        <f t="shared" si="2"/>
        <v>44</v>
      </c>
    </row>
    <row r="35" spans="1:13" ht="13.5" customHeight="1" x14ac:dyDescent="0.2">
      <c r="A35" s="1" t="s">
        <v>612</v>
      </c>
      <c r="B35" s="117" t="s">
        <v>46</v>
      </c>
      <c r="C35" s="555">
        <f>T_12!B32</f>
        <v>155</v>
      </c>
      <c r="D35" s="558">
        <f>T_12!C32</f>
        <v>2</v>
      </c>
      <c r="E35" s="558">
        <f>T_12!D32</f>
        <v>15</v>
      </c>
      <c r="F35" s="560"/>
      <c r="G35" s="555">
        <f>T_12!E32</f>
        <v>32</v>
      </c>
      <c r="H35" s="558">
        <f>T_12!F32</f>
        <v>0</v>
      </c>
      <c r="I35" s="555">
        <f>T_12!G32</f>
        <v>0</v>
      </c>
      <c r="J35" s="560"/>
      <c r="K35" s="556">
        <f t="shared" si="0"/>
        <v>187</v>
      </c>
      <c r="L35" s="556">
        <f t="shared" si="1"/>
        <v>2</v>
      </c>
      <c r="M35" s="556">
        <f t="shared" si="2"/>
        <v>15</v>
      </c>
    </row>
    <row r="36" spans="1:13" ht="13.5" customHeight="1" x14ac:dyDescent="0.2">
      <c r="A36" s="1" t="s">
        <v>613</v>
      </c>
      <c r="B36" s="117" t="s">
        <v>47</v>
      </c>
      <c r="C36" s="555">
        <f>T_12!B33</f>
        <v>51</v>
      </c>
      <c r="D36" s="555">
        <f>T_12!C33</f>
        <v>1</v>
      </c>
      <c r="E36" s="555">
        <f>T_12!D33</f>
        <v>3</v>
      </c>
      <c r="F36" s="560"/>
      <c r="G36" s="555">
        <f>T_12!E33</f>
        <v>2</v>
      </c>
      <c r="H36" s="558">
        <f>T_12!F33</f>
        <v>0</v>
      </c>
      <c r="I36" s="555">
        <f>T_12!G33</f>
        <v>0</v>
      </c>
      <c r="J36" s="560"/>
      <c r="K36" s="556">
        <f t="shared" si="0"/>
        <v>53</v>
      </c>
      <c r="L36" s="556">
        <f t="shared" si="1"/>
        <v>1</v>
      </c>
      <c r="M36" s="556">
        <f t="shared" si="2"/>
        <v>3</v>
      </c>
    </row>
    <row r="37" spans="1:13" ht="13.5" customHeight="1" x14ac:dyDescent="0.2">
      <c r="A37" s="1" t="s">
        <v>614</v>
      </c>
      <c r="B37" s="117" t="s">
        <v>48</v>
      </c>
      <c r="C37" s="555">
        <f>T_12!B34</f>
        <v>128</v>
      </c>
      <c r="D37" s="555">
        <f>T_12!C34</f>
        <v>1</v>
      </c>
      <c r="E37" s="555">
        <f>T_12!D34</f>
        <v>20</v>
      </c>
      <c r="F37" s="560"/>
      <c r="G37" s="555">
        <f>T_12!E34</f>
        <v>31</v>
      </c>
      <c r="H37" s="558">
        <f>T_12!F34</f>
        <v>0</v>
      </c>
      <c r="I37" s="555">
        <f>T_12!G34</f>
        <v>4</v>
      </c>
      <c r="J37" s="560"/>
      <c r="K37" s="556">
        <f t="shared" si="0"/>
        <v>159</v>
      </c>
      <c r="L37" s="556">
        <f t="shared" si="1"/>
        <v>1</v>
      </c>
      <c r="M37" s="556">
        <f t="shared" si="2"/>
        <v>24</v>
      </c>
    </row>
    <row r="38" spans="1:13" ht="13.5" customHeight="1" x14ac:dyDescent="0.2">
      <c r="A38" s="1" t="s">
        <v>615</v>
      </c>
      <c r="B38" s="117" t="s">
        <v>49</v>
      </c>
      <c r="C38" s="555">
        <f>T_12!B35</f>
        <v>368</v>
      </c>
      <c r="D38" s="558">
        <f>T_12!C35</f>
        <v>2</v>
      </c>
      <c r="E38" s="558">
        <f>T_12!D35</f>
        <v>54</v>
      </c>
      <c r="F38" s="560"/>
      <c r="G38" s="555">
        <f>T_12!E35</f>
        <v>148</v>
      </c>
      <c r="H38" s="558">
        <f>T_12!F35</f>
        <v>0</v>
      </c>
      <c r="I38" s="555">
        <f>T_12!G35</f>
        <v>14</v>
      </c>
      <c r="J38" s="560"/>
      <c r="K38" s="556">
        <f t="shared" si="0"/>
        <v>516</v>
      </c>
      <c r="L38" s="556">
        <f t="shared" si="1"/>
        <v>2</v>
      </c>
      <c r="M38" s="556">
        <f t="shared" si="2"/>
        <v>68</v>
      </c>
    </row>
    <row r="39" spans="1:13" ht="13.5" customHeight="1" x14ac:dyDescent="0.2">
      <c r="A39" s="1" t="s">
        <v>616</v>
      </c>
      <c r="B39" s="117" t="s">
        <v>50</v>
      </c>
      <c r="C39" s="555">
        <f>T_12!B36</f>
        <v>117</v>
      </c>
      <c r="D39" s="555">
        <f>T_12!C36</f>
        <v>0</v>
      </c>
      <c r="E39" s="555">
        <f>T_12!D36</f>
        <v>8</v>
      </c>
      <c r="F39" s="560"/>
      <c r="G39" s="555">
        <f>T_12!E36</f>
        <v>46</v>
      </c>
      <c r="H39" s="558">
        <f>T_12!F36</f>
        <v>0</v>
      </c>
      <c r="I39" s="555">
        <f>T_12!G36</f>
        <v>3</v>
      </c>
      <c r="J39" s="560"/>
      <c r="K39" s="556">
        <f t="shared" si="0"/>
        <v>163</v>
      </c>
      <c r="L39" s="556">
        <f t="shared" si="1"/>
        <v>0</v>
      </c>
      <c r="M39" s="556">
        <f t="shared" si="2"/>
        <v>11</v>
      </c>
    </row>
    <row r="40" spans="1:13" ht="13.5" customHeight="1" x14ac:dyDescent="0.2">
      <c r="A40" s="1" t="s">
        <v>617</v>
      </c>
      <c r="B40" s="117" t="s">
        <v>51</v>
      </c>
      <c r="C40" s="555">
        <f>T_12!B37</f>
        <v>138</v>
      </c>
      <c r="D40" s="555">
        <f>T_12!C37</f>
        <v>1</v>
      </c>
      <c r="E40" s="555">
        <f>T_12!D37</f>
        <v>20</v>
      </c>
      <c r="F40" s="560"/>
      <c r="G40" s="555">
        <f>T_12!E37</f>
        <v>62</v>
      </c>
      <c r="H40" s="555">
        <f>T_12!F37</f>
        <v>1</v>
      </c>
      <c r="I40" s="555">
        <f>T_12!G37</f>
        <v>3</v>
      </c>
      <c r="J40" s="560"/>
      <c r="K40" s="556">
        <f t="shared" si="0"/>
        <v>200</v>
      </c>
      <c r="L40" s="556">
        <f t="shared" si="1"/>
        <v>2</v>
      </c>
      <c r="M40" s="556">
        <f t="shared" si="2"/>
        <v>23</v>
      </c>
    </row>
    <row r="41" spans="1:13" ht="13.5" customHeight="1" x14ac:dyDescent="0.2">
      <c r="A41" s="1" t="s">
        <v>618</v>
      </c>
      <c r="B41" s="117" t="s">
        <v>52</v>
      </c>
      <c r="C41" s="555">
        <f>T_12!B38</f>
        <v>187</v>
      </c>
      <c r="D41" s="555">
        <f>T_12!C38</f>
        <v>2</v>
      </c>
      <c r="E41" s="555">
        <f>T_12!D38</f>
        <v>25</v>
      </c>
      <c r="F41" s="560"/>
      <c r="G41" s="555">
        <f>T_12!E38</f>
        <v>108</v>
      </c>
      <c r="H41" s="558">
        <f>T_12!F38</f>
        <v>0</v>
      </c>
      <c r="I41" s="555">
        <f>T_12!G38</f>
        <v>6</v>
      </c>
      <c r="J41" s="560"/>
      <c r="K41" s="556">
        <f t="shared" si="0"/>
        <v>295</v>
      </c>
      <c r="L41" s="556">
        <f t="shared" si="1"/>
        <v>2</v>
      </c>
      <c r="M41" s="556">
        <f t="shared" si="2"/>
        <v>31</v>
      </c>
    </row>
    <row r="42" spans="1:13" ht="13.5" customHeight="1" x14ac:dyDescent="0.2">
      <c r="A42" s="63"/>
      <c r="B42" s="358" t="str">
        <f>IF(T_09b!$A$37 = "Z_Not Known", "Not Known","")</f>
        <v/>
      </c>
      <c r="C42" s="643"/>
      <c r="D42" s="643"/>
      <c r="E42" s="643"/>
      <c r="F42" s="644"/>
      <c r="G42" s="643"/>
      <c r="H42" s="643"/>
      <c r="I42" s="643"/>
      <c r="J42" s="644"/>
      <c r="K42" s="643"/>
      <c r="L42" s="643"/>
      <c r="M42" s="643"/>
    </row>
    <row r="43" spans="1:13" s="2" customFormat="1" ht="30" customHeight="1" thickBot="1" x14ac:dyDescent="0.25">
      <c r="A43" s="522" t="s">
        <v>620</v>
      </c>
      <c r="B43" s="405" t="s">
        <v>143</v>
      </c>
      <c r="C43" s="641">
        <f>SUM(C10:C41)</f>
        <v>7011</v>
      </c>
      <c r="D43" s="641">
        <f>SUM(D10:D41)</f>
        <v>43</v>
      </c>
      <c r="E43" s="641">
        <f>SUM(E10:E41)</f>
        <v>861</v>
      </c>
      <c r="F43" s="642"/>
      <c r="G43" s="641">
        <f>SUM(G10:G41)</f>
        <v>2405</v>
      </c>
      <c r="H43" s="641">
        <f>SUM(H10:H41)</f>
        <v>10</v>
      </c>
      <c r="I43" s="641">
        <f>SUM(I10:I41)</f>
        <v>156</v>
      </c>
      <c r="J43" s="642"/>
      <c r="K43" s="641">
        <f>SUM(K10:K41)</f>
        <v>9416</v>
      </c>
      <c r="L43" s="641">
        <f>SUM(L10:L41)</f>
        <v>53</v>
      </c>
      <c r="M43" s="641">
        <f>SUM(M10:M41)</f>
        <v>1017</v>
      </c>
    </row>
    <row r="44" spans="1:13" s="2" customFormat="1" ht="13.5" customHeight="1" x14ac:dyDescent="0.2">
      <c r="B44" s="82"/>
      <c r="C44" s="81"/>
      <c r="D44" s="81"/>
      <c r="E44" s="81"/>
      <c r="F44" s="51"/>
      <c r="G44" s="81"/>
      <c r="H44" s="81"/>
      <c r="I44" s="81"/>
      <c r="J44" s="81"/>
      <c r="K44" s="81"/>
      <c r="L44" s="81"/>
      <c r="M44" s="81"/>
    </row>
    <row r="45" spans="1:13" s="2" customFormat="1" x14ac:dyDescent="0.2">
      <c r="A45" s="2" t="s">
        <v>1231</v>
      </c>
      <c r="B45" s="5"/>
      <c r="C45" s="21"/>
      <c r="D45" s="21"/>
      <c r="E45" s="21"/>
      <c r="F45" s="3"/>
      <c r="G45" s="21"/>
      <c r="H45" s="21"/>
      <c r="I45" s="21"/>
      <c r="J45" s="21"/>
      <c r="K45" s="21"/>
      <c r="L45" s="21"/>
      <c r="M45" s="21"/>
    </row>
    <row r="46" spans="1:13" s="19" customFormat="1" ht="14.25" customHeight="1" x14ac:dyDescent="0.2">
      <c r="A46" s="1374" t="s">
        <v>1232</v>
      </c>
      <c r="B46" s="1374"/>
      <c r="C46" s="1374"/>
      <c r="D46" s="1374"/>
      <c r="E46" s="1374"/>
      <c r="F46" s="1374"/>
      <c r="G46" s="1374"/>
      <c r="H46" s="1374"/>
      <c r="I46" s="1374"/>
      <c r="J46" s="1374"/>
      <c r="K46" s="1374"/>
      <c r="L46" s="1374"/>
      <c r="M46" s="1374"/>
    </row>
    <row r="47" spans="1:13" s="19" customFormat="1" ht="14.25" customHeight="1" x14ac:dyDescent="0.2">
      <c r="A47" s="1030"/>
      <c r="B47" s="1030"/>
      <c r="C47" s="1030"/>
      <c r="D47" s="1030"/>
      <c r="E47" s="1030"/>
      <c r="F47" s="1030"/>
      <c r="G47" s="1030"/>
      <c r="H47" s="1030"/>
      <c r="I47" s="1030"/>
      <c r="J47" s="1030"/>
      <c r="K47" s="1030"/>
      <c r="L47" s="1030"/>
      <c r="M47" s="1030"/>
    </row>
    <row r="48" spans="1:13" s="19" customFormat="1" x14ac:dyDescent="0.2">
      <c r="B48" s="91"/>
      <c r="C48" s="20"/>
      <c r="D48" s="20"/>
      <c r="E48" s="20"/>
      <c r="G48" s="20"/>
      <c r="H48" s="20"/>
      <c r="I48" s="20"/>
      <c r="J48" s="20"/>
      <c r="K48" s="20"/>
      <c r="L48" s="20"/>
      <c r="M48" s="20"/>
    </row>
    <row r="49" spans="1:13" ht="38.25" customHeight="1" x14ac:dyDescent="0.2">
      <c r="A49" s="120" t="s">
        <v>1119</v>
      </c>
      <c r="B49"/>
      <c r="C49"/>
      <c r="D49"/>
      <c r="E49"/>
      <c r="F49"/>
      <c r="G49"/>
      <c r="H49"/>
      <c r="I49"/>
      <c r="J49"/>
      <c r="K49" s="75"/>
      <c r="L49" s="75"/>
      <c r="M49" s="75"/>
    </row>
    <row r="50" spans="1:13" ht="15" customHeight="1" x14ac:dyDescent="0.25">
      <c r="A50" s="351" t="s">
        <v>579</v>
      </c>
      <c r="B50" s="1043" t="s">
        <v>1363</v>
      </c>
      <c r="C50"/>
      <c r="D50"/>
      <c r="E50"/>
      <c r="F50"/>
      <c r="G50"/>
      <c r="H50"/>
      <c r="I50"/>
      <c r="J50"/>
      <c r="K50" s="75"/>
      <c r="L50" s="75"/>
      <c r="M50" s="75"/>
    </row>
    <row r="51" spans="1:13" ht="15" customHeight="1" x14ac:dyDescent="0.25">
      <c r="A51" s="351" t="s">
        <v>580</v>
      </c>
      <c r="B51" s="351" t="s">
        <v>581</v>
      </c>
      <c r="C51"/>
      <c r="D51"/>
      <c r="E51"/>
      <c r="F51"/>
      <c r="G51"/>
      <c r="H51"/>
      <c r="I51"/>
      <c r="J51"/>
      <c r="K51" s="75"/>
      <c r="L51" s="75"/>
      <c r="M51" s="75"/>
    </row>
    <row r="52" spans="1:13" ht="15" customHeight="1" x14ac:dyDescent="0.25">
      <c r="A52" s="351" t="s">
        <v>582</v>
      </c>
      <c r="B52" s="351" t="s">
        <v>585</v>
      </c>
      <c r="C52"/>
      <c r="D52"/>
      <c r="E52"/>
      <c r="F52"/>
      <c r="G52"/>
      <c r="H52"/>
      <c r="I52"/>
      <c r="J52"/>
      <c r="K52" s="75"/>
      <c r="L52" s="75"/>
      <c r="M52" s="75"/>
    </row>
    <row r="53" spans="1:13" ht="15" customHeight="1" x14ac:dyDescent="0.2">
      <c r="E53" s="61" t="s">
        <v>57</v>
      </c>
    </row>
    <row r="54" spans="1:13" ht="38.25" x14ac:dyDescent="0.2">
      <c r="A54" s="2" t="s">
        <v>586</v>
      </c>
      <c r="B54" s="2" t="s">
        <v>22</v>
      </c>
      <c r="C54" s="336" t="s">
        <v>108</v>
      </c>
      <c r="D54" s="336" t="s">
        <v>109</v>
      </c>
      <c r="E54" s="215" t="s">
        <v>129</v>
      </c>
      <c r="H54"/>
    </row>
    <row r="55" spans="1:13" ht="18.75" customHeight="1" x14ac:dyDescent="0.2">
      <c r="A55" s="414" t="s">
        <v>587</v>
      </c>
      <c r="B55" s="400" t="s">
        <v>23</v>
      </c>
      <c r="C55" s="475">
        <f>IFERROR(E10/C10*1000, 0)</f>
        <v>78.787878787878782</v>
      </c>
      <c r="D55" s="645">
        <f>IFERROR(I10/G10*1000,0)</f>
        <v>103.09278350515463</v>
      </c>
      <c r="E55" s="476">
        <f>M10/K10*1000</f>
        <v>84.30913348946136</v>
      </c>
      <c r="F55"/>
      <c r="G55"/>
      <c r="H55"/>
    </row>
    <row r="56" spans="1:13" ht="13.5" customHeight="1" x14ac:dyDescent="0.2">
      <c r="A56" s="1" t="s">
        <v>588</v>
      </c>
      <c r="B56" s="117" t="s">
        <v>24</v>
      </c>
      <c r="C56" s="467">
        <f t="shared" ref="C56:C86" si="3">IFERROR(E11/C11*1000, 0)</f>
        <v>69.696969696969703</v>
      </c>
      <c r="D56" s="559">
        <f t="shared" ref="D56:D86" si="4">IFERROR(I11/G11*1000,0)</f>
        <v>39.473684210526315</v>
      </c>
      <c r="E56" s="468">
        <f>M11/K11*1000</f>
        <v>64.039408866995075</v>
      </c>
      <c r="F56"/>
      <c r="G56"/>
      <c r="H56"/>
    </row>
    <row r="57" spans="1:13" ht="13.5" customHeight="1" x14ac:dyDescent="0.2">
      <c r="A57" s="1" t="s">
        <v>589</v>
      </c>
      <c r="B57" s="117" t="s">
        <v>25</v>
      </c>
      <c r="C57" s="467">
        <f t="shared" si="3"/>
        <v>153.84615384615387</v>
      </c>
      <c r="D57" s="559">
        <f t="shared" si="4"/>
        <v>0</v>
      </c>
      <c r="E57" s="468">
        <f t="shared" ref="E57:E86" si="5">M12/K12*1000</f>
        <v>116.27906976744185</v>
      </c>
      <c r="F57"/>
      <c r="G57"/>
      <c r="H57"/>
    </row>
    <row r="58" spans="1:13" ht="13.5" customHeight="1" x14ac:dyDescent="0.2">
      <c r="A58" s="1" t="s">
        <v>590</v>
      </c>
      <c r="B58" s="117" t="s">
        <v>26</v>
      </c>
      <c r="C58" s="467">
        <f t="shared" si="3"/>
        <v>68.965517241379303</v>
      </c>
      <c r="D58" s="559">
        <f t="shared" si="4"/>
        <v>0</v>
      </c>
      <c r="E58" s="468">
        <f t="shared" si="5"/>
        <v>63.291139240506332</v>
      </c>
      <c r="F58"/>
      <c r="G58"/>
      <c r="H58"/>
    </row>
    <row r="59" spans="1:13" ht="13.5" customHeight="1" x14ac:dyDescent="0.2">
      <c r="A59" s="1" t="s">
        <v>591</v>
      </c>
      <c r="B59" s="117" t="s">
        <v>619</v>
      </c>
      <c r="C59" s="467">
        <f t="shared" si="3"/>
        <v>103.62694300518135</v>
      </c>
      <c r="D59" s="559">
        <f t="shared" si="4"/>
        <v>46.413502109704645</v>
      </c>
      <c r="E59" s="468">
        <f t="shared" si="5"/>
        <v>87.009803921568619</v>
      </c>
      <c r="F59"/>
      <c r="G59"/>
      <c r="H59"/>
    </row>
    <row r="60" spans="1:13" ht="13.5" customHeight="1" x14ac:dyDescent="0.2">
      <c r="A60" s="1" t="s">
        <v>592</v>
      </c>
      <c r="B60" s="117" t="s">
        <v>27</v>
      </c>
      <c r="C60" s="467">
        <f t="shared" si="3"/>
        <v>260.27397260273972</v>
      </c>
      <c r="D60" s="559">
        <f t="shared" si="4"/>
        <v>142.85714285714286</v>
      </c>
      <c r="E60" s="468">
        <f t="shared" si="5"/>
        <v>241.37931034482759</v>
      </c>
      <c r="F60"/>
      <c r="G60"/>
      <c r="H60"/>
    </row>
    <row r="61" spans="1:13" ht="13.5" customHeight="1" x14ac:dyDescent="0.2">
      <c r="A61" s="1" t="s">
        <v>593</v>
      </c>
      <c r="B61" s="117" t="s">
        <v>28</v>
      </c>
      <c r="C61" s="467">
        <f t="shared" si="3"/>
        <v>30.487804878048781</v>
      </c>
      <c r="D61" s="559">
        <f t="shared" si="4"/>
        <v>0</v>
      </c>
      <c r="E61" s="468">
        <f t="shared" si="5"/>
        <v>25.906735751295336</v>
      </c>
      <c r="F61"/>
      <c r="G61"/>
      <c r="H61"/>
    </row>
    <row r="62" spans="1:13" ht="13.5" customHeight="1" x14ac:dyDescent="0.2">
      <c r="A62" s="1" t="s">
        <v>594</v>
      </c>
      <c r="B62" s="117" t="s">
        <v>29</v>
      </c>
      <c r="C62" s="467">
        <f t="shared" si="3"/>
        <v>122.60536398467433</v>
      </c>
      <c r="D62" s="559">
        <f t="shared" si="4"/>
        <v>13.888888888888888</v>
      </c>
      <c r="E62" s="468">
        <f t="shared" si="5"/>
        <v>99.099099099099107</v>
      </c>
      <c r="F62"/>
      <c r="G62"/>
      <c r="H62"/>
    </row>
    <row r="63" spans="1:13" ht="13.5" customHeight="1" x14ac:dyDescent="0.2">
      <c r="A63" s="1" t="s">
        <v>595</v>
      </c>
      <c r="B63" s="117" t="s">
        <v>30</v>
      </c>
      <c r="C63" s="467">
        <f t="shared" si="3"/>
        <v>141.93548387096774</v>
      </c>
      <c r="D63" s="559">
        <f t="shared" si="4"/>
        <v>46.153846153846153</v>
      </c>
      <c r="E63" s="468">
        <f t="shared" si="5"/>
        <v>113.63636363636363</v>
      </c>
      <c r="F63"/>
      <c r="G63"/>
      <c r="H63"/>
    </row>
    <row r="64" spans="1:13" ht="13.5" customHeight="1" x14ac:dyDescent="0.2">
      <c r="A64" s="1" t="s">
        <v>596</v>
      </c>
      <c r="B64" s="117" t="s">
        <v>31</v>
      </c>
      <c r="C64" s="467">
        <f t="shared" si="3"/>
        <v>72.916666666666671</v>
      </c>
      <c r="D64" s="559">
        <f t="shared" si="4"/>
        <v>58.823529411764703</v>
      </c>
      <c r="E64" s="468">
        <f t="shared" si="5"/>
        <v>69.230769230769241</v>
      </c>
      <c r="F64"/>
      <c r="G64"/>
      <c r="H64"/>
    </row>
    <row r="65" spans="1:8" ht="13.5" customHeight="1" x14ac:dyDescent="0.2">
      <c r="A65" s="1" t="s">
        <v>597</v>
      </c>
      <c r="B65" s="117" t="s">
        <v>32</v>
      </c>
      <c r="C65" s="467">
        <f t="shared" si="3"/>
        <v>64.81481481481481</v>
      </c>
      <c r="D65" s="559">
        <f t="shared" si="4"/>
        <v>0</v>
      </c>
      <c r="E65" s="468">
        <f t="shared" si="5"/>
        <v>50.359712230215827</v>
      </c>
      <c r="F65"/>
      <c r="G65"/>
      <c r="H65"/>
    </row>
    <row r="66" spans="1:8" ht="13.5" customHeight="1" x14ac:dyDescent="0.2">
      <c r="A66" s="1" t="s">
        <v>598</v>
      </c>
      <c r="B66" s="117" t="s">
        <v>33</v>
      </c>
      <c r="C66" s="467">
        <f t="shared" si="3"/>
        <v>76.923076923076934</v>
      </c>
      <c r="D66" s="559">
        <f t="shared" si="4"/>
        <v>30.303030303030305</v>
      </c>
      <c r="E66" s="468">
        <f t="shared" si="5"/>
        <v>61.224489795918366</v>
      </c>
      <c r="F66"/>
      <c r="G66"/>
      <c r="H66"/>
    </row>
    <row r="67" spans="1:8" ht="13.5" customHeight="1" x14ac:dyDescent="0.2">
      <c r="A67" s="1" t="s">
        <v>599</v>
      </c>
      <c r="B67" s="117" t="s">
        <v>34</v>
      </c>
      <c r="C67" s="467">
        <f t="shared" si="3"/>
        <v>167.48768472906403</v>
      </c>
      <c r="D67" s="559">
        <f t="shared" si="4"/>
        <v>12.345679012345679</v>
      </c>
      <c r="E67" s="468">
        <f t="shared" si="5"/>
        <v>123.23943661971832</v>
      </c>
      <c r="F67"/>
      <c r="G67"/>
      <c r="H67"/>
    </row>
    <row r="68" spans="1:8" ht="13.5" customHeight="1" x14ac:dyDescent="0.2">
      <c r="A68" s="1" t="s">
        <v>600</v>
      </c>
      <c r="B68" s="117" t="s">
        <v>35</v>
      </c>
      <c r="C68" s="467">
        <f t="shared" si="3"/>
        <v>112.17183770883055</v>
      </c>
      <c r="D68" s="559">
        <f t="shared" si="4"/>
        <v>12.121212121212121</v>
      </c>
      <c r="E68" s="468">
        <f t="shared" si="5"/>
        <v>83.904109589041099</v>
      </c>
      <c r="F68"/>
      <c r="G68"/>
      <c r="H68"/>
    </row>
    <row r="69" spans="1:8" ht="13.5" customHeight="1" x14ac:dyDescent="0.2">
      <c r="A69" s="1" t="s">
        <v>601</v>
      </c>
      <c r="B69" s="117" t="s">
        <v>36</v>
      </c>
      <c r="C69" s="467">
        <f t="shared" si="3"/>
        <v>158.42583249243188</v>
      </c>
      <c r="D69" s="559">
        <f t="shared" si="4"/>
        <v>88.305489260143204</v>
      </c>
      <c r="E69" s="468">
        <f t="shared" si="5"/>
        <v>137.58865248226951</v>
      </c>
      <c r="F69"/>
      <c r="G69"/>
      <c r="H69"/>
    </row>
    <row r="70" spans="1:8" ht="13.5" customHeight="1" x14ac:dyDescent="0.2">
      <c r="A70" s="1" t="s">
        <v>602</v>
      </c>
      <c r="B70" s="117" t="s">
        <v>37</v>
      </c>
      <c r="C70" s="467">
        <f t="shared" si="3"/>
        <v>71.2166172106825</v>
      </c>
      <c r="D70" s="559">
        <f t="shared" si="4"/>
        <v>46.511627906976742</v>
      </c>
      <c r="E70" s="468">
        <f t="shared" si="5"/>
        <v>68.421052631578945</v>
      </c>
      <c r="F70"/>
      <c r="G70"/>
      <c r="H70"/>
    </row>
    <row r="71" spans="1:8" ht="13.5" customHeight="1" x14ac:dyDescent="0.2">
      <c r="A71" s="1" t="s">
        <v>603</v>
      </c>
      <c r="B71" s="117" t="s">
        <v>38</v>
      </c>
      <c r="C71" s="467">
        <f t="shared" si="3"/>
        <v>216.21621621621622</v>
      </c>
      <c r="D71" s="559">
        <f t="shared" si="4"/>
        <v>181.81818181818181</v>
      </c>
      <c r="E71" s="468">
        <f t="shared" si="5"/>
        <v>204.81927710843374</v>
      </c>
      <c r="F71"/>
      <c r="G71"/>
      <c r="H71"/>
    </row>
    <row r="72" spans="1:8" ht="13.5" customHeight="1" x14ac:dyDescent="0.2">
      <c r="A72" s="1" t="s">
        <v>604</v>
      </c>
      <c r="B72" s="117" t="s">
        <v>39</v>
      </c>
      <c r="C72" s="467">
        <f t="shared" si="3"/>
        <v>93.220338983050851</v>
      </c>
      <c r="D72" s="559">
        <f t="shared" si="4"/>
        <v>75</v>
      </c>
      <c r="E72" s="468">
        <f t="shared" si="5"/>
        <v>88.607594936708864</v>
      </c>
      <c r="F72"/>
      <c r="G72"/>
      <c r="H72"/>
    </row>
    <row r="73" spans="1:8" ht="13.5" customHeight="1" x14ac:dyDescent="0.2">
      <c r="A73" s="1" t="s">
        <v>605</v>
      </c>
      <c r="B73" s="117" t="s">
        <v>40</v>
      </c>
      <c r="C73" s="467">
        <f t="shared" si="3"/>
        <v>88.495575221238937</v>
      </c>
      <c r="D73" s="559">
        <f t="shared" si="4"/>
        <v>33.333333333333336</v>
      </c>
      <c r="E73" s="468">
        <f t="shared" si="5"/>
        <v>76.923076923076934</v>
      </c>
      <c r="F73"/>
      <c r="G73"/>
      <c r="H73"/>
    </row>
    <row r="74" spans="1:8" ht="13.5" customHeight="1" x14ac:dyDescent="0.2">
      <c r="A74" s="1" t="s">
        <v>606</v>
      </c>
      <c r="B74" s="117" t="s">
        <v>295</v>
      </c>
      <c r="C74" s="467">
        <f t="shared" si="3"/>
        <v>102.56410256410255</v>
      </c>
      <c r="D74" s="559">
        <f t="shared" si="4"/>
        <v>0</v>
      </c>
      <c r="E74" s="468">
        <f t="shared" si="5"/>
        <v>97.560975609756099</v>
      </c>
      <c r="F74"/>
      <c r="G74"/>
      <c r="H74"/>
    </row>
    <row r="75" spans="1:8" ht="13.5" customHeight="1" x14ac:dyDescent="0.2">
      <c r="A75" s="1" t="s">
        <v>607</v>
      </c>
      <c r="B75" s="117" t="s">
        <v>41</v>
      </c>
      <c r="C75" s="467">
        <f t="shared" si="3"/>
        <v>176.16580310880829</v>
      </c>
      <c r="D75" s="559">
        <f t="shared" si="4"/>
        <v>152.17391304347828</v>
      </c>
      <c r="E75" s="468">
        <f t="shared" si="5"/>
        <v>171.54811715481171</v>
      </c>
      <c r="F75"/>
      <c r="G75"/>
      <c r="H75"/>
    </row>
    <row r="76" spans="1:8" ht="13.5" customHeight="1" x14ac:dyDescent="0.2">
      <c r="A76" s="1" t="s">
        <v>608</v>
      </c>
      <c r="B76" s="117" t="s">
        <v>42</v>
      </c>
      <c r="C76" s="467">
        <f t="shared" si="3"/>
        <v>148.30508474576271</v>
      </c>
      <c r="D76" s="559">
        <f t="shared" si="4"/>
        <v>94.786729857819893</v>
      </c>
      <c r="E76" s="468">
        <f>M31/K31*1000</f>
        <v>131.77159590043925</v>
      </c>
      <c r="F76"/>
      <c r="G76"/>
      <c r="H76"/>
    </row>
    <row r="77" spans="1:8" ht="13.5" customHeight="1" x14ac:dyDescent="0.2">
      <c r="A77" s="1" t="s">
        <v>609</v>
      </c>
      <c r="B77" s="117" t="s">
        <v>43</v>
      </c>
      <c r="C77" s="467">
        <f t="shared" si="3"/>
        <v>58.823529411764703</v>
      </c>
      <c r="D77" s="559">
        <f t="shared" si="4"/>
        <v>0</v>
      </c>
      <c r="E77" s="468">
        <f t="shared" si="5"/>
        <v>58.823529411764703</v>
      </c>
      <c r="F77"/>
      <c r="G77"/>
      <c r="H77"/>
    </row>
    <row r="78" spans="1:8" ht="13.5" customHeight="1" x14ac:dyDescent="0.2">
      <c r="A78" s="1" t="s">
        <v>610</v>
      </c>
      <c r="B78" s="117" t="s">
        <v>44</v>
      </c>
      <c r="C78" s="467">
        <f t="shared" si="3"/>
        <v>134.32835820895522</v>
      </c>
      <c r="D78" s="559">
        <f t="shared" si="4"/>
        <v>115.38461538461539</v>
      </c>
      <c r="E78" s="468">
        <f t="shared" si="5"/>
        <v>132.15859030837004</v>
      </c>
      <c r="F78"/>
      <c r="G78"/>
      <c r="H78"/>
    </row>
    <row r="79" spans="1:8" ht="13.5" customHeight="1" x14ac:dyDescent="0.2">
      <c r="A79" s="1" t="s">
        <v>611</v>
      </c>
      <c r="B79" s="117" t="s">
        <v>45</v>
      </c>
      <c r="C79" s="467">
        <f t="shared" si="3"/>
        <v>170.50691244239633</v>
      </c>
      <c r="D79" s="559">
        <f t="shared" si="4"/>
        <v>60.869565217391305</v>
      </c>
      <c r="E79" s="468">
        <f t="shared" si="5"/>
        <v>132.53012048192772</v>
      </c>
      <c r="F79"/>
      <c r="G79"/>
      <c r="H79"/>
    </row>
    <row r="80" spans="1:8" ht="13.5" customHeight="1" x14ac:dyDescent="0.2">
      <c r="A80" s="1" t="s">
        <v>612</v>
      </c>
      <c r="B80" s="117" t="s">
        <v>46</v>
      </c>
      <c r="C80" s="467">
        <f t="shared" si="3"/>
        <v>96.774193548387089</v>
      </c>
      <c r="D80" s="559">
        <f t="shared" si="4"/>
        <v>0</v>
      </c>
      <c r="E80" s="468">
        <f t="shared" si="5"/>
        <v>80.213903743315512</v>
      </c>
      <c r="F80"/>
      <c r="G80"/>
      <c r="H80"/>
    </row>
    <row r="81" spans="1:12" ht="13.5" customHeight="1" x14ac:dyDescent="0.2">
      <c r="A81" s="1" t="s">
        <v>613</v>
      </c>
      <c r="B81" s="117" t="s">
        <v>47</v>
      </c>
      <c r="C81" s="467">
        <f t="shared" si="3"/>
        <v>58.823529411764703</v>
      </c>
      <c r="D81" s="559">
        <f t="shared" si="4"/>
        <v>0</v>
      </c>
      <c r="E81" s="468">
        <f t="shared" si="5"/>
        <v>56.60377358490566</v>
      </c>
      <c r="F81"/>
      <c r="G81"/>
      <c r="H81"/>
    </row>
    <row r="82" spans="1:12" ht="13.5" customHeight="1" x14ac:dyDescent="0.2">
      <c r="A82" s="1" t="s">
        <v>614</v>
      </c>
      <c r="B82" s="117" t="s">
        <v>48</v>
      </c>
      <c r="C82" s="467">
        <f t="shared" si="3"/>
        <v>156.25</v>
      </c>
      <c r="D82" s="559">
        <f t="shared" si="4"/>
        <v>129.03225806451613</v>
      </c>
      <c r="E82" s="468">
        <f t="shared" si="5"/>
        <v>150.94339622641508</v>
      </c>
      <c r="F82"/>
      <c r="G82"/>
      <c r="H82"/>
    </row>
    <row r="83" spans="1:12" ht="13.5" customHeight="1" x14ac:dyDescent="0.2">
      <c r="A83" s="1" t="s">
        <v>615</v>
      </c>
      <c r="B83" s="117" t="s">
        <v>49</v>
      </c>
      <c r="C83" s="467">
        <f t="shared" si="3"/>
        <v>146.73913043478262</v>
      </c>
      <c r="D83" s="559">
        <f t="shared" si="4"/>
        <v>94.594594594594597</v>
      </c>
      <c r="E83" s="468">
        <f t="shared" si="5"/>
        <v>131.78294573643413</v>
      </c>
      <c r="F83"/>
      <c r="G83"/>
      <c r="H83"/>
    </row>
    <row r="84" spans="1:12" ht="13.5" customHeight="1" x14ac:dyDescent="0.2">
      <c r="A84" s="1" t="s">
        <v>616</v>
      </c>
      <c r="B84" s="117" t="s">
        <v>50</v>
      </c>
      <c r="C84" s="467">
        <f t="shared" si="3"/>
        <v>68.376068376068389</v>
      </c>
      <c r="D84" s="559">
        <f t="shared" si="4"/>
        <v>65.217391304347828</v>
      </c>
      <c r="E84" s="468">
        <f t="shared" si="5"/>
        <v>67.484662576687114</v>
      </c>
      <c r="F84"/>
      <c r="G84"/>
      <c r="H84"/>
    </row>
    <row r="85" spans="1:12" ht="13.5" customHeight="1" x14ac:dyDescent="0.2">
      <c r="A85" s="1" t="s">
        <v>617</v>
      </c>
      <c r="B85" s="117" t="s">
        <v>51</v>
      </c>
      <c r="C85" s="467">
        <f t="shared" si="3"/>
        <v>144.92753623188406</v>
      </c>
      <c r="D85" s="559">
        <f t="shared" si="4"/>
        <v>48.387096774193544</v>
      </c>
      <c r="E85" s="468">
        <f t="shared" si="5"/>
        <v>115</v>
      </c>
      <c r="F85"/>
      <c r="G85"/>
      <c r="H85"/>
    </row>
    <row r="86" spans="1:12" ht="13.5" customHeight="1" x14ac:dyDescent="0.2">
      <c r="A86" s="1" t="s">
        <v>618</v>
      </c>
      <c r="B86" s="117" t="s">
        <v>52</v>
      </c>
      <c r="C86" s="467">
        <f t="shared" si="3"/>
        <v>133.68983957219251</v>
      </c>
      <c r="D86" s="559">
        <f t="shared" si="4"/>
        <v>55.55555555555555</v>
      </c>
      <c r="E86" s="468">
        <f t="shared" si="5"/>
        <v>105.08474576271186</v>
      </c>
      <c r="F86"/>
      <c r="G86"/>
      <c r="H86"/>
    </row>
    <row r="87" spans="1:12" ht="13.5" customHeight="1" x14ac:dyDescent="0.2">
      <c r="A87" s="63"/>
      <c r="B87" s="358" t="str">
        <f>IF(T_09b!$A$37 = "Z_Not Known", "Not Known","")</f>
        <v/>
      </c>
      <c r="C87" s="648"/>
      <c r="D87" s="649"/>
      <c r="E87" s="650"/>
      <c r="F87"/>
      <c r="G87"/>
      <c r="H87"/>
    </row>
    <row r="88" spans="1:12" ht="30" customHeight="1" thickBot="1" x14ac:dyDescent="0.25">
      <c r="A88" s="522" t="s">
        <v>620</v>
      </c>
      <c r="B88" s="405" t="s">
        <v>143</v>
      </c>
      <c r="C88" s="646">
        <f>E43/C43*1000</f>
        <v>122.80701754385964</v>
      </c>
      <c r="D88" s="647">
        <f>I43/G43*1000</f>
        <v>64.86486486486487</v>
      </c>
      <c r="E88" s="646">
        <f>M43/K43*1000</f>
        <v>108.00764655904842</v>
      </c>
      <c r="H88"/>
    </row>
    <row r="90" spans="1:12" x14ac:dyDescent="0.2">
      <c r="B90" s="5"/>
    </row>
    <row r="91" spans="1:12" x14ac:dyDescent="0.2">
      <c r="B91" s="1328"/>
      <c r="C91" s="1328"/>
      <c r="D91" s="1328"/>
      <c r="E91" s="1328"/>
      <c r="F91" s="1328"/>
      <c r="G91" s="1328"/>
      <c r="H91" s="1328"/>
      <c r="I91" s="1328"/>
      <c r="J91" s="1328"/>
      <c r="K91" s="1328"/>
      <c r="L91" s="1328"/>
    </row>
    <row r="92" spans="1:12" x14ac:dyDescent="0.2">
      <c r="B92" s="8"/>
    </row>
    <row r="93" spans="1:12" x14ac:dyDescent="0.2">
      <c r="B93" s="18"/>
    </row>
  </sheetData>
  <sheetProtection algorithmName="SHA-512" hashValue="BXLcG3wsxbvMi+CFakZRJffPnZtFfTJ8NMl/Ht0d2HWLByadQ+0GsuhtsN0S2U9Bi6Q3Rbem2XmEhvbN366PSQ==" saltValue="lsWCXeBuh6b/nPqQdKNEbQ==" spinCount="100000" sheet="1" scenarios="1" formatCells="0" formatColumns="0" formatRows="0" sort="0" autoFilter="0" pivotTables="0"/>
  <mergeCells count="5">
    <mergeCell ref="B91:L91"/>
    <mergeCell ref="C8:E8"/>
    <mergeCell ref="G8:I8"/>
    <mergeCell ref="K8:M8"/>
    <mergeCell ref="A46:M46"/>
  </mergeCells>
  <hyperlinks>
    <hyperlink ref="A2" location="'Table of Contents'!A1" display="Back to Table of Contents" xr:uid="{00000000-0004-0000-7500-000000000000}"/>
  </hyperlinks>
  <pageMargins left="0.70866141732283472" right="0.70866141732283472" top="0.74803149606299213" bottom="0.74803149606299213" header="0.31496062992125984" footer="0.31496062992125984"/>
  <pageSetup paperSize="9" scale="58" orientation="portrait" r:id="rId1"/>
  <headerFooter>
    <oddFooter>&amp;L&amp;P&amp;C&amp;A</oddFooter>
  </headerFooter>
  <rowBreaks count="1" manualBreakCount="1">
    <brk id="48" min="1" max="14" man="1"/>
  </rowBreaks>
  <drawing r:id="rId2"/>
  <extLst>
    <ext xmlns:x14="http://schemas.microsoft.com/office/spreadsheetml/2009/9/main" uri="{A8765BA9-456A-4dab-B4F3-ACF838C121DE}">
      <x14:slicerList>
        <x14:slicer r:id="rId3"/>
      </x14:slicerList>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BF8F00"/>
  </sheetPr>
  <dimension ref="A1:I34"/>
  <sheetViews>
    <sheetView showGridLines="0" workbookViewId="0">
      <pane ySplit="2" topLeftCell="A3" activePane="bottomLeft" state="frozen"/>
      <selection activeCellId="1" sqref="A1 A1"/>
      <selection pane="bottomLeft"/>
    </sheetView>
  </sheetViews>
  <sheetFormatPr defaultRowHeight="12.75" x14ac:dyDescent="0.2"/>
  <cols>
    <col min="1" max="1" width="18.85546875" customWidth="1"/>
    <col min="2" max="2" width="14.5703125" customWidth="1"/>
    <col min="3" max="3" width="14.28515625" customWidth="1"/>
    <col min="4" max="8" width="11.28515625" customWidth="1"/>
  </cols>
  <sheetData>
    <row r="1" spans="1:9" ht="15.75" x14ac:dyDescent="0.2">
      <c r="A1" s="298" t="s">
        <v>1133</v>
      </c>
    </row>
    <row r="2" spans="1:9" ht="15.75" customHeight="1" x14ac:dyDescent="0.2">
      <c r="A2" s="106" t="s">
        <v>578</v>
      </c>
    </row>
    <row r="3" spans="1:9" ht="39" customHeight="1" x14ac:dyDescent="0.2">
      <c r="A3" s="120" t="s">
        <v>1040</v>
      </c>
      <c r="B3" s="120"/>
      <c r="C3" s="120"/>
      <c r="D3" s="120"/>
      <c r="E3" s="120"/>
      <c r="F3" s="120"/>
      <c r="H3" s="120"/>
      <c r="I3" s="120"/>
    </row>
    <row r="4" spans="1:9" ht="15.75" x14ac:dyDescent="0.25">
      <c r="A4" s="351" t="s">
        <v>579</v>
      </c>
      <c r="B4" s="1043" t="s">
        <v>1364</v>
      </c>
      <c r="D4" s="197"/>
      <c r="E4" s="197"/>
      <c r="F4" s="197"/>
      <c r="G4" s="197"/>
      <c r="H4" s="197"/>
      <c r="I4" s="197"/>
    </row>
    <row r="5" spans="1:9" ht="15.75" x14ac:dyDescent="0.25">
      <c r="A5" s="351" t="s">
        <v>580</v>
      </c>
      <c r="B5" s="351" t="s">
        <v>581</v>
      </c>
      <c r="C5" s="197"/>
      <c r="D5" s="197"/>
      <c r="E5" s="197"/>
      <c r="F5" s="197"/>
      <c r="G5" s="197"/>
      <c r="H5" s="197"/>
      <c r="I5" s="197"/>
    </row>
    <row r="6" spans="1:9" ht="15.75" x14ac:dyDescent="0.25">
      <c r="A6" s="351" t="s">
        <v>582</v>
      </c>
      <c r="B6" s="351" t="s">
        <v>585</v>
      </c>
      <c r="C6" s="197"/>
      <c r="D6" s="197"/>
      <c r="E6" s="197"/>
      <c r="F6" s="197"/>
      <c r="G6" s="197"/>
      <c r="H6" s="197"/>
      <c r="I6" s="197"/>
    </row>
    <row r="7" spans="1:9" ht="15" x14ac:dyDescent="0.25">
      <c r="A7" s="1"/>
      <c r="B7" s="1"/>
      <c r="C7" s="80" t="s">
        <v>0</v>
      </c>
      <c r="D7" s="1"/>
      <c r="E7" s="1"/>
      <c r="F7" s="1"/>
      <c r="G7" s="1"/>
      <c r="H7" s="60" t="s">
        <v>57</v>
      </c>
      <c r="I7" s="1"/>
    </row>
    <row r="8" spans="1:9" x14ac:dyDescent="0.2">
      <c r="A8" s="1317" t="s">
        <v>4</v>
      </c>
      <c r="B8" s="1375" t="s">
        <v>58</v>
      </c>
      <c r="C8" s="1375" t="s">
        <v>128</v>
      </c>
      <c r="D8" s="1"/>
      <c r="E8" s="1348" t="s">
        <v>73</v>
      </c>
      <c r="F8" s="1348"/>
      <c r="G8" s="1348"/>
      <c r="H8" s="1348"/>
      <c r="I8" s="1"/>
    </row>
    <row r="9" spans="1:9" x14ac:dyDescent="0.2">
      <c r="A9" s="1317"/>
      <c r="B9" s="1375"/>
      <c r="C9" s="1375"/>
      <c r="D9" s="2"/>
      <c r="E9" s="1316" t="s">
        <v>61</v>
      </c>
      <c r="F9" s="1376"/>
      <c r="G9" s="1316" t="s">
        <v>116</v>
      </c>
      <c r="H9" s="1316"/>
      <c r="I9" s="1"/>
    </row>
    <row r="10" spans="1:9" ht="25.5" x14ac:dyDescent="0.2">
      <c r="A10" s="1317"/>
      <c r="B10" s="1375"/>
      <c r="C10" s="1375"/>
      <c r="D10" s="77"/>
      <c r="E10" s="338" t="s">
        <v>0</v>
      </c>
      <c r="F10" s="942" t="s">
        <v>60</v>
      </c>
      <c r="G10" s="145" t="s">
        <v>0</v>
      </c>
      <c r="H10" s="145" t="s">
        <v>60</v>
      </c>
      <c r="I10" s="1"/>
    </row>
    <row r="11" spans="1:9" x14ac:dyDescent="0.2">
      <c r="A11" s="347" t="str">
        <f>'Casualties Motive'!A12</f>
        <v>2009-10</v>
      </c>
      <c r="B11" s="347">
        <f>'Casualties Motive'!B12</f>
        <v>5367</v>
      </c>
      <c r="C11" s="347">
        <f>'Casualties Motive'!B30</f>
        <v>1193</v>
      </c>
      <c r="D11" s="404"/>
      <c r="E11" s="103">
        <f>'Casualties Motive'!D12</f>
        <v>892</v>
      </c>
      <c r="F11" s="635">
        <f>E11/B11*1000</f>
        <v>166.20085708962176</v>
      </c>
      <c r="G11" s="103">
        <f>'Casualties Motive'!D30</f>
        <v>140</v>
      </c>
      <c r="H11" s="636">
        <f>G11/C11*1000</f>
        <v>117.35121542330259</v>
      </c>
      <c r="I11" s="1"/>
    </row>
    <row r="12" spans="1:9" x14ac:dyDescent="0.2">
      <c r="A12" s="13" t="str">
        <f>'Casualties Motive'!A13</f>
        <v>2010-11</v>
      </c>
      <c r="B12" s="13">
        <f>'Casualties Motive'!B13</f>
        <v>5209</v>
      </c>
      <c r="C12" s="13">
        <f>'Casualties Motive'!B31</f>
        <v>1084</v>
      </c>
      <c r="D12" s="4"/>
      <c r="E12" s="4">
        <f>'Casualties Motive'!D13</f>
        <v>975</v>
      </c>
      <c r="F12" s="576">
        <f t="shared" ref="F12:F17" si="0">E12/B12*1000</f>
        <v>187.17604146669225</v>
      </c>
      <c r="G12" s="4">
        <f>'Casualties Motive'!D31</f>
        <v>167</v>
      </c>
      <c r="H12" s="23">
        <f t="shared" ref="H12:H17" si="1">G12/C12*1000</f>
        <v>154.05904059040589</v>
      </c>
      <c r="I12" s="1"/>
    </row>
    <row r="13" spans="1:9" x14ac:dyDescent="0.2">
      <c r="A13" s="13" t="str">
        <f>'Casualties Motive'!A14</f>
        <v>2011-12</v>
      </c>
      <c r="B13" s="13">
        <f>'Casualties Motive'!B14</f>
        <v>5117</v>
      </c>
      <c r="C13" s="13">
        <f>'Casualties Motive'!B32</f>
        <v>1040</v>
      </c>
      <c r="D13" s="4"/>
      <c r="E13" s="4">
        <f>'Casualties Motive'!D14</f>
        <v>982</v>
      </c>
      <c r="F13" s="576">
        <f t="shared" si="0"/>
        <v>191.90932186828218</v>
      </c>
      <c r="G13" s="4">
        <f>'Casualties Motive'!D32</f>
        <v>237</v>
      </c>
      <c r="H13" s="23">
        <f t="shared" si="1"/>
        <v>227.88461538461539</v>
      </c>
      <c r="I13" s="1"/>
    </row>
    <row r="14" spans="1:9" x14ac:dyDescent="0.2">
      <c r="A14" s="13" t="str">
        <f>'Casualties Motive'!A15</f>
        <v>2012-13</v>
      </c>
      <c r="B14" s="13">
        <f>'Casualties Motive'!B15</f>
        <v>4997</v>
      </c>
      <c r="C14" s="13">
        <f>'Casualties Motive'!B33</f>
        <v>832</v>
      </c>
      <c r="D14" s="4"/>
      <c r="E14" s="4">
        <f>'Casualties Motive'!D15</f>
        <v>1014</v>
      </c>
      <c r="F14" s="576">
        <f t="shared" si="0"/>
        <v>202.9217530518311</v>
      </c>
      <c r="G14" s="4">
        <f>'Casualties Motive'!D33</f>
        <v>152</v>
      </c>
      <c r="H14" s="23">
        <f t="shared" si="1"/>
        <v>182.69230769230768</v>
      </c>
      <c r="I14" s="1"/>
    </row>
    <row r="15" spans="1:9" x14ac:dyDescent="0.2">
      <c r="A15" s="13" t="str">
        <f>'Casualties Motive'!A16</f>
        <v>2013-14</v>
      </c>
      <c r="B15" s="13">
        <f>'Casualties Motive'!B16</f>
        <v>4673</v>
      </c>
      <c r="C15" s="13">
        <f>'Casualties Motive'!B34</f>
        <v>650</v>
      </c>
      <c r="D15" s="4"/>
      <c r="E15" s="4">
        <f>'Casualties Motive'!D16</f>
        <v>986</v>
      </c>
      <c r="F15" s="576">
        <f t="shared" si="0"/>
        <v>210.99935801412369</v>
      </c>
      <c r="G15" s="4">
        <f>'Casualties Motive'!D34</f>
        <v>154</v>
      </c>
      <c r="H15" s="23">
        <f t="shared" si="1"/>
        <v>236.92307692307693</v>
      </c>
      <c r="I15" s="1"/>
    </row>
    <row r="16" spans="1:9" x14ac:dyDescent="0.2">
      <c r="A16" s="13" t="str">
        <f>'Casualties Motive'!A17</f>
        <v>2014-15</v>
      </c>
      <c r="B16" s="13">
        <f>'Casualties Motive'!B17</f>
        <v>4953</v>
      </c>
      <c r="C16" s="13">
        <f>'Casualties Motive'!B35</f>
        <v>621</v>
      </c>
      <c r="D16" s="4"/>
      <c r="E16" s="4">
        <f>'Casualties Motive'!D17</f>
        <v>826</v>
      </c>
      <c r="F16" s="576">
        <f t="shared" si="0"/>
        <v>166.76761558651324</v>
      </c>
      <c r="G16" s="4">
        <f>'Casualties Motive'!D35</f>
        <v>121</v>
      </c>
      <c r="H16" s="23">
        <f t="shared" si="1"/>
        <v>194.84702093397746</v>
      </c>
      <c r="I16" s="1"/>
    </row>
    <row r="17" spans="1:9" x14ac:dyDescent="0.2">
      <c r="A17" s="13" t="str">
        <f>'Casualties Motive'!A18</f>
        <v>2015-16</v>
      </c>
      <c r="B17" s="13">
        <f>'Casualties Motive'!B18</f>
        <v>5068</v>
      </c>
      <c r="C17" s="13">
        <f>'Casualties Motive'!B36</f>
        <v>605</v>
      </c>
      <c r="D17" s="4"/>
      <c r="E17" s="4">
        <f>'Casualties Motive'!D18</f>
        <v>925</v>
      </c>
      <c r="F17" s="576">
        <f t="shared" si="0"/>
        <v>182.51775848460932</v>
      </c>
      <c r="G17" s="4">
        <f>'Casualties Motive'!D36</f>
        <v>138</v>
      </c>
      <c r="H17" s="23">
        <f t="shared" si="1"/>
        <v>228.099173553719</v>
      </c>
      <c r="I17" s="1"/>
    </row>
    <row r="18" spans="1:9" x14ac:dyDescent="0.2">
      <c r="A18" s="13" t="str">
        <f>'Casualties Motive'!A19</f>
        <v>2016-17</v>
      </c>
      <c r="B18" s="13">
        <f>'Casualties Motive'!B19</f>
        <v>4922</v>
      </c>
      <c r="C18" s="13">
        <f>'Casualties Motive'!B37</f>
        <v>618</v>
      </c>
      <c r="D18" s="4"/>
      <c r="E18" s="4">
        <f>'Casualties Motive'!D19</f>
        <v>940</v>
      </c>
      <c r="F18" s="576">
        <f t="shared" ref="F18:F21" si="2">E18/B18*1000</f>
        <v>190.97927671678181</v>
      </c>
      <c r="G18" s="4">
        <f>'Casualties Motive'!D37</f>
        <v>175</v>
      </c>
      <c r="H18" s="23">
        <f t="shared" ref="H18:H21" si="3">G18/C18*1000</f>
        <v>283.17152103559874</v>
      </c>
      <c r="I18" s="1"/>
    </row>
    <row r="19" spans="1:9" x14ac:dyDescent="0.2">
      <c r="A19" s="13" t="str">
        <f>'Casualties Motive'!A20</f>
        <v>2017-18</v>
      </c>
      <c r="B19" s="13">
        <f>'Casualties Motive'!B20</f>
        <v>4751</v>
      </c>
      <c r="C19" s="13">
        <f>'Casualties Motive'!B38</f>
        <v>560</v>
      </c>
      <c r="D19" s="4"/>
      <c r="E19" s="4">
        <f>'Casualties Motive'!D20</f>
        <v>797</v>
      </c>
      <c r="F19" s="576">
        <f t="shared" si="2"/>
        <v>167.75415701957482</v>
      </c>
      <c r="G19" s="4">
        <f>'Casualties Motive'!D38</f>
        <v>124</v>
      </c>
      <c r="H19" s="23">
        <f t="shared" si="3"/>
        <v>221.42857142857142</v>
      </c>
      <c r="I19" s="1"/>
    </row>
    <row r="20" spans="1:9" x14ac:dyDescent="0.2">
      <c r="A20" s="13" t="str">
        <f>'Casualties Motive'!A21</f>
        <v>2018-19</v>
      </c>
      <c r="B20" s="13">
        <f>'Casualties Motive'!B21</f>
        <v>4635</v>
      </c>
      <c r="C20" s="13">
        <f>'Casualties Motive'!B39</f>
        <v>510</v>
      </c>
      <c r="D20" s="4"/>
      <c r="E20" s="4">
        <f>'Casualties Motive'!D21</f>
        <v>886</v>
      </c>
      <c r="F20" s="576">
        <f t="shared" si="2"/>
        <v>191.15426105717367</v>
      </c>
      <c r="G20" s="4">
        <f>'Casualties Motive'!D39</f>
        <v>130</v>
      </c>
      <c r="H20" s="23">
        <f t="shared" si="3"/>
        <v>254.9019607843137</v>
      </c>
      <c r="I20" s="1"/>
    </row>
    <row r="21" spans="1:9" x14ac:dyDescent="0.2">
      <c r="A21" s="13" t="str">
        <f>'Casualties Motive'!A22</f>
        <v>2019-20</v>
      </c>
      <c r="B21" s="13">
        <f>'Casualties Motive'!B22</f>
        <v>4365</v>
      </c>
      <c r="C21" s="13">
        <f>'Casualties Motive'!B40</f>
        <v>525</v>
      </c>
      <c r="D21" s="1"/>
      <c r="E21" s="4">
        <f>'Casualties Motive'!D22</f>
        <v>743</v>
      </c>
      <c r="F21" s="576">
        <f t="shared" si="2"/>
        <v>170.2176403207331</v>
      </c>
      <c r="G21" s="4">
        <f>'Casualties Motive'!D40</f>
        <v>134</v>
      </c>
      <c r="H21" s="23">
        <f t="shared" si="3"/>
        <v>255.23809523809527</v>
      </c>
      <c r="I21" s="1"/>
    </row>
    <row r="22" spans="1:9" ht="13.5" thickBot="1" x14ac:dyDescent="0.25">
      <c r="A22" s="350" t="str">
        <f>'Casualties Motive'!A23</f>
        <v>2020-21</v>
      </c>
      <c r="B22" s="350">
        <f>'Casualties Motive'!B23</f>
        <v>4141</v>
      </c>
      <c r="C22" s="350">
        <f>'Casualties Motive'!B41</f>
        <v>520</v>
      </c>
      <c r="D22" s="409"/>
      <c r="E22" s="349">
        <f>'Casualties Motive'!D23</f>
        <v>751</v>
      </c>
      <c r="F22" s="637">
        <f t="shared" ref="F22" si="4">E22/B22*1000</f>
        <v>181.35716010625453</v>
      </c>
      <c r="G22" s="349">
        <f>'Casualties Motive'!D41</f>
        <v>125</v>
      </c>
      <c r="H22" s="638">
        <f t="shared" ref="H22" si="5">G22/C22*1000</f>
        <v>240.38461538461539</v>
      </c>
      <c r="I22" s="1"/>
    </row>
    <row r="24" spans="1:9" ht="33" customHeight="1" x14ac:dyDescent="0.2"/>
    <row r="25" spans="1:9" x14ac:dyDescent="0.2">
      <c r="A25" s="1"/>
      <c r="B25" s="1"/>
      <c r="C25" s="1"/>
      <c r="D25" s="1"/>
      <c r="E25" s="1"/>
      <c r="F25" s="1"/>
      <c r="G25" s="1"/>
      <c r="H25" s="1"/>
      <c r="I25" s="1"/>
    </row>
    <row r="26" spans="1:9" x14ac:dyDescent="0.2">
      <c r="A26" s="18"/>
      <c r="B26" s="1"/>
      <c r="C26" s="1"/>
      <c r="D26" s="1"/>
      <c r="E26" s="1"/>
      <c r="F26" s="1"/>
      <c r="G26" s="1"/>
      <c r="H26" s="1"/>
      <c r="I26" s="1"/>
    </row>
    <row r="27" spans="1:9" x14ac:dyDescent="0.2">
      <c r="A27" s="1"/>
      <c r="B27" s="1"/>
      <c r="C27" s="1"/>
      <c r="D27" s="1"/>
      <c r="E27" s="1"/>
      <c r="F27" s="1"/>
      <c r="G27" s="1"/>
      <c r="H27" s="1"/>
      <c r="I27" s="1"/>
    </row>
    <row r="28" spans="1:9" x14ac:dyDescent="0.2">
      <c r="A28" s="1"/>
      <c r="B28" s="1"/>
      <c r="C28" s="1"/>
      <c r="D28" s="1"/>
      <c r="E28" s="1"/>
      <c r="F28" s="1"/>
      <c r="G28" s="1"/>
      <c r="H28" s="1"/>
      <c r="I28" s="1"/>
    </row>
    <row r="29" spans="1:9" x14ac:dyDescent="0.2">
      <c r="A29" s="1"/>
      <c r="B29" s="1"/>
      <c r="C29" s="1"/>
      <c r="D29" s="1"/>
      <c r="E29" s="1"/>
      <c r="F29" s="1"/>
      <c r="G29" s="1"/>
      <c r="H29" s="1"/>
      <c r="I29" s="1"/>
    </row>
    <row r="30" spans="1:9" x14ac:dyDescent="0.2">
      <c r="A30" s="1"/>
      <c r="B30" s="1"/>
      <c r="C30" s="1"/>
      <c r="D30" s="1"/>
      <c r="E30" s="1"/>
      <c r="F30" s="1"/>
      <c r="G30" s="1"/>
      <c r="H30" s="1"/>
      <c r="I30" s="1"/>
    </row>
    <row r="31" spans="1:9" x14ac:dyDescent="0.2">
      <c r="A31" s="1"/>
      <c r="B31" s="1"/>
      <c r="C31" s="1"/>
      <c r="D31" s="1"/>
      <c r="E31" s="1"/>
      <c r="F31" s="1"/>
      <c r="G31" s="1"/>
      <c r="H31" s="1"/>
      <c r="I31" s="1"/>
    </row>
    <row r="32" spans="1:9" x14ac:dyDescent="0.2">
      <c r="A32" s="1"/>
      <c r="B32" s="1"/>
      <c r="C32" s="1"/>
      <c r="D32" s="1"/>
      <c r="E32" s="1"/>
      <c r="F32" s="1"/>
      <c r="G32" s="1"/>
      <c r="H32" s="1"/>
      <c r="I32" s="1"/>
    </row>
    <row r="33" spans="1:9" x14ac:dyDescent="0.2">
      <c r="A33" s="1"/>
      <c r="B33" s="1"/>
      <c r="C33" s="1"/>
      <c r="D33" s="1"/>
      <c r="E33" s="1"/>
      <c r="F33" s="1"/>
      <c r="G33" s="1"/>
      <c r="H33" s="1"/>
      <c r="I33" s="1"/>
    </row>
    <row r="34" spans="1:9" x14ac:dyDescent="0.2">
      <c r="A34" s="1"/>
      <c r="B34" s="1"/>
      <c r="C34" s="1"/>
      <c r="D34" s="1"/>
      <c r="E34" s="1"/>
      <c r="F34" s="1"/>
      <c r="G34" s="1"/>
      <c r="H34" s="1"/>
      <c r="I34" s="1"/>
    </row>
  </sheetData>
  <sheetProtection algorithmName="SHA-512" hashValue="z13PkZg93jdLiNHd1h48mKuOfDSgMozvNtKN60sTdQWSrUF4/ICNcWR/Ymo4Ai85N42CRXtJD+xFDG0zHAQu0A==" saltValue="Wh2M2J919s5tCTDlb52p9g==" spinCount="100000" sheet="1" scenarios="1" formatCells="0" formatColumns="0" formatRows="0" sort="0" autoFilter="0" pivotTables="0"/>
  <mergeCells count="6">
    <mergeCell ref="A8:A10"/>
    <mergeCell ref="B8:B10"/>
    <mergeCell ref="C8:C10"/>
    <mergeCell ref="E8:H8"/>
    <mergeCell ref="E9:F9"/>
    <mergeCell ref="G9:H9"/>
  </mergeCells>
  <hyperlinks>
    <hyperlink ref="A2" location="'Table of Contents'!A1" display="Back to Table of Contents" xr:uid="{00000000-0004-0000-76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O5"/>
  <sheetViews>
    <sheetView showGridLines="0" zoomScaleNormal="100" workbookViewId="0">
      <selection sqref="A1:C1"/>
    </sheetView>
  </sheetViews>
  <sheetFormatPr defaultRowHeight="12.75" x14ac:dyDescent="0.2"/>
  <sheetData>
    <row r="1" spans="1:15" ht="17.25" customHeight="1" x14ac:dyDescent="0.35">
      <c r="A1" s="1271" t="s">
        <v>1247</v>
      </c>
      <c r="B1" s="1271"/>
      <c r="C1" s="1271"/>
      <c r="O1" s="230"/>
    </row>
    <row r="2" spans="1:15" ht="17.25" customHeight="1" x14ac:dyDescent="0.2">
      <c r="A2" s="106" t="s">
        <v>578</v>
      </c>
      <c r="B2" s="1031"/>
      <c r="C2" s="1031"/>
    </row>
    <row r="3" spans="1:15" ht="30.75" customHeight="1" x14ac:dyDescent="0.2">
      <c r="A3" s="1272" t="s">
        <v>1264</v>
      </c>
      <c r="B3" s="1272"/>
      <c r="C3" s="1272"/>
      <c r="D3" s="1272"/>
      <c r="E3" s="1272"/>
      <c r="F3" s="1272"/>
      <c r="G3" s="1272"/>
      <c r="H3" s="1272"/>
    </row>
    <row r="4" spans="1:15" ht="15" x14ac:dyDescent="0.25">
      <c r="A4" s="1032" t="s">
        <v>1246</v>
      </c>
    </row>
    <row r="5" spans="1:15" ht="15" x14ac:dyDescent="0.25">
      <c r="A5" s="1043" t="s">
        <v>1297</v>
      </c>
    </row>
  </sheetData>
  <sheetProtection algorithmName="SHA-512" hashValue="Xt+OxWl/t7V63vDUcQWxR6W9HyKQQGMUn1HhwmreWpfBD+CJcp7oGWI+WN8RICm9y6CrmQtn8gSBrbMiaJZlIw==" saltValue="Hfg/XnVADdc5226tsvFlV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B00-000000000000}"/>
  </hyperlinks>
  <pageMargins left="0.25" right="0.25"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7">
    <tabColor rgb="FFBF8F00"/>
    <pageSetUpPr fitToPage="1"/>
  </sheetPr>
  <dimension ref="A1:J31"/>
  <sheetViews>
    <sheetView showGridLines="0" zoomScaleNormal="100" zoomScaleSheetLayoutView="80" workbookViewId="0">
      <pane ySplit="2" topLeftCell="A3" activePane="bottomLeft" state="frozen"/>
      <selection activeCellId="1" sqref="A1 A1"/>
      <selection pane="bottomLeft"/>
    </sheetView>
  </sheetViews>
  <sheetFormatPr defaultColWidth="9.140625" defaultRowHeight="12.75" x14ac:dyDescent="0.2"/>
  <cols>
    <col min="1" max="1" width="17.85546875" style="1" customWidth="1"/>
    <col min="2" max="2" width="16" style="1" customWidth="1"/>
    <col min="3" max="3" width="3.85546875" style="1" customWidth="1"/>
    <col min="4" max="4" width="13.140625" style="1" customWidth="1"/>
    <col min="5" max="5" width="12.28515625" style="1" customWidth="1"/>
    <col min="6" max="6" width="3.85546875" style="1" customWidth="1"/>
    <col min="7" max="7" width="12.42578125" style="1" customWidth="1"/>
    <col min="8" max="8" width="10.28515625" style="1" customWidth="1"/>
    <col min="9" max="9" width="13.7109375" style="1" customWidth="1"/>
    <col min="10" max="10" width="9.140625" style="1"/>
    <col min="11" max="11" width="25.7109375" style="1" customWidth="1"/>
    <col min="12" max="14" width="9.140625" style="1"/>
    <col min="15" max="15" width="26.85546875" style="1" customWidth="1"/>
    <col min="16" max="16384" width="9.140625" style="1"/>
  </cols>
  <sheetData>
    <row r="1" spans="1:10" ht="15.75" x14ac:dyDescent="0.2">
      <c r="A1" s="298" t="s">
        <v>1133</v>
      </c>
    </row>
    <row r="2" spans="1:10" ht="15.75" customHeight="1" x14ac:dyDescent="0.2">
      <c r="A2" s="106" t="s">
        <v>578</v>
      </c>
    </row>
    <row r="3" spans="1:10" ht="38.25" customHeight="1" x14ac:dyDescent="0.2">
      <c r="A3" s="120" t="s">
        <v>301</v>
      </c>
      <c r="C3" s="120"/>
      <c r="D3" s="120"/>
      <c r="E3" s="120"/>
      <c r="F3" s="120"/>
      <c r="G3" s="120"/>
      <c r="H3" s="120"/>
      <c r="I3" s="120"/>
    </row>
    <row r="4" spans="1:10" ht="15" customHeight="1" x14ac:dyDescent="0.25">
      <c r="A4" s="351" t="s">
        <v>579</v>
      </c>
      <c r="B4" s="1043" t="s">
        <v>1365</v>
      </c>
      <c r="E4" s="129"/>
      <c r="F4" s="129"/>
      <c r="G4" s="129"/>
      <c r="H4" s="129"/>
      <c r="I4" s="129"/>
      <c r="J4" s="129"/>
    </row>
    <row r="5" spans="1:10" ht="15" customHeight="1" x14ac:dyDescent="0.25">
      <c r="A5" s="351" t="s">
        <v>580</v>
      </c>
      <c r="B5" s="351" t="s">
        <v>581</v>
      </c>
      <c r="D5" s="129"/>
      <c r="E5" s="129"/>
      <c r="F5" s="129"/>
      <c r="G5" s="129"/>
      <c r="H5" s="129"/>
      <c r="I5" s="120"/>
    </row>
    <row r="6" spans="1:10" ht="15" customHeight="1" x14ac:dyDescent="0.25">
      <c r="A6" s="351" t="s">
        <v>582</v>
      </c>
      <c r="B6" s="351" t="s">
        <v>585</v>
      </c>
      <c r="D6" s="129"/>
      <c r="E6" s="129"/>
      <c r="F6" s="129"/>
      <c r="G6" s="129"/>
      <c r="H6" s="129"/>
      <c r="I6" s="120"/>
    </row>
    <row r="7" spans="1:10" ht="15" x14ac:dyDescent="0.25">
      <c r="B7" s="83" t="s">
        <v>0</v>
      </c>
      <c r="C7" s="2"/>
      <c r="D7" s="283"/>
      <c r="E7" s="283"/>
      <c r="F7" s="2"/>
      <c r="G7" s="66"/>
      <c r="H7" s="67"/>
    </row>
    <row r="8" spans="1:10" ht="14.25" customHeight="1" x14ac:dyDescent="0.2">
      <c r="A8" s="1314" t="s">
        <v>4</v>
      </c>
      <c r="B8" s="169" t="s">
        <v>58</v>
      </c>
      <c r="C8" s="100"/>
      <c r="D8" s="1288" t="s">
        <v>59</v>
      </c>
      <c r="E8" s="1290"/>
      <c r="F8" s="100"/>
      <c r="G8" s="1288" t="s">
        <v>111</v>
      </c>
      <c r="H8" s="1290"/>
      <c r="I8"/>
    </row>
    <row r="9" spans="1:10" ht="25.5" x14ac:dyDescent="0.2">
      <c r="A9" s="1377"/>
      <c r="B9" s="589"/>
      <c r="C9" s="338"/>
      <c r="D9" s="255" t="s">
        <v>0</v>
      </c>
      <c r="E9" s="257" t="s">
        <v>60</v>
      </c>
      <c r="F9" s="338"/>
      <c r="G9" s="255" t="s">
        <v>0</v>
      </c>
      <c r="H9" s="257" t="s">
        <v>60</v>
      </c>
    </row>
    <row r="10" spans="1:10" ht="18.75" customHeight="1" x14ac:dyDescent="0.2">
      <c r="A10" s="29" t="str">
        <f>'T03'!A5</f>
        <v>2009-10</v>
      </c>
      <c r="B10" s="1193">
        <f>'T03'!B5</f>
        <v>5367</v>
      </c>
      <c r="D10" s="31">
        <f>'T03'!F5</f>
        <v>48</v>
      </c>
      <c r="E10" s="10">
        <f>D10/B10*1000</f>
        <v>8.9435438792621582</v>
      </c>
      <c r="G10" s="4">
        <f>'T03'!J5</f>
        <v>892</v>
      </c>
      <c r="H10" s="89">
        <f>G10/B10*1000</f>
        <v>166.20085708962176</v>
      </c>
    </row>
    <row r="11" spans="1:10" ht="13.5" customHeight="1" x14ac:dyDescent="0.2">
      <c r="A11" s="29" t="str">
        <f>'T03'!A6</f>
        <v>2010-11</v>
      </c>
      <c r="B11" s="1193">
        <f>'T03'!B6</f>
        <v>5209</v>
      </c>
      <c r="D11" s="31">
        <f>'T03'!F6</f>
        <v>43</v>
      </c>
      <c r="E11" s="10">
        <f t="shared" ref="E11:E17" si="0">D11/B11*1000</f>
        <v>8.2549433672489929</v>
      </c>
      <c r="G11" s="4">
        <f>'T03'!J6</f>
        <v>975</v>
      </c>
      <c r="H11" s="89">
        <f t="shared" ref="H11:H17" si="1">G11/B11*1000</f>
        <v>187.17604146669225</v>
      </c>
    </row>
    <row r="12" spans="1:10" ht="13.5" customHeight="1" x14ac:dyDescent="0.2">
      <c r="A12" s="29" t="str">
        <f>'T03'!A7</f>
        <v>2011-12</v>
      </c>
      <c r="B12" s="1193">
        <f>'T03'!B7</f>
        <v>5117</v>
      </c>
      <c r="D12" s="31">
        <f>'T03'!F7</f>
        <v>44</v>
      </c>
      <c r="E12" s="10">
        <f t="shared" si="0"/>
        <v>8.5987883525503221</v>
      </c>
      <c r="G12" s="4">
        <f>'T03'!J7</f>
        <v>982</v>
      </c>
      <c r="H12" s="10">
        <f t="shared" si="1"/>
        <v>191.90932186828218</v>
      </c>
    </row>
    <row r="13" spans="1:10" ht="13.5" customHeight="1" x14ac:dyDescent="0.2">
      <c r="A13" s="29" t="str">
        <f>'T03'!A8</f>
        <v>2012-13</v>
      </c>
      <c r="B13" s="1193">
        <f>'T03'!B8</f>
        <v>4997</v>
      </c>
      <c r="D13" s="31">
        <f>'T03'!F8</f>
        <v>36</v>
      </c>
      <c r="E13" s="10">
        <f t="shared" si="0"/>
        <v>7.2043225935561335</v>
      </c>
      <c r="G13" s="4">
        <f>'T03'!J8</f>
        <v>1014</v>
      </c>
      <c r="H13" s="89">
        <f t="shared" si="1"/>
        <v>202.9217530518311</v>
      </c>
    </row>
    <row r="14" spans="1:10" ht="13.5" customHeight="1" x14ac:dyDescent="0.2">
      <c r="A14" s="29" t="str">
        <f>'T03'!A9</f>
        <v>2013-14</v>
      </c>
      <c r="B14" s="1193">
        <f>'T03'!B9</f>
        <v>4673</v>
      </c>
      <c r="D14" s="31">
        <f>'T03'!F9</f>
        <v>25</v>
      </c>
      <c r="E14" s="10">
        <f t="shared" si="0"/>
        <v>5.3498823025893429</v>
      </c>
      <c r="G14" s="4">
        <f>'T03'!J9</f>
        <v>986</v>
      </c>
      <c r="H14" s="89">
        <f t="shared" si="1"/>
        <v>210.99935801412369</v>
      </c>
    </row>
    <row r="15" spans="1:10" ht="13.5" customHeight="1" x14ac:dyDescent="0.2">
      <c r="A15" s="29" t="str">
        <f>'T03'!A10</f>
        <v>2014-15</v>
      </c>
      <c r="B15" s="1193">
        <f>'T03'!B10</f>
        <v>4953</v>
      </c>
      <c r="D15" s="31">
        <f>'T03'!F10</f>
        <v>27</v>
      </c>
      <c r="E15" s="10">
        <f t="shared" si="0"/>
        <v>5.4512416717141132</v>
      </c>
      <c r="G15" s="4">
        <f>'T03'!J10</f>
        <v>826</v>
      </c>
      <c r="H15" s="89">
        <f t="shared" si="1"/>
        <v>166.76761558651324</v>
      </c>
    </row>
    <row r="16" spans="1:10" ht="13.5" customHeight="1" x14ac:dyDescent="0.2">
      <c r="A16" s="29" t="str">
        <f>'T03'!A11</f>
        <v>2015-16</v>
      </c>
      <c r="B16" s="1193">
        <f>'T03'!B11</f>
        <v>5068</v>
      </c>
      <c r="D16" s="31">
        <f>'T03'!F11</f>
        <v>33</v>
      </c>
      <c r="E16" s="10">
        <f t="shared" si="0"/>
        <v>6.5114443567482239</v>
      </c>
      <c r="G16" s="4">
        <f>'T03'!J11</f>
        <v>925</v>
      </c>
      <c r="H16" s="89">
        <f t="shared" si="1"/>
        <v>182.51775848460932</v>
      </c>
    </row>
    <row r="17" spans="1:8" ht="13.5" customHeight="1" x14ac:dyDescent="0.2">
      <c r="A17" s="29" t="str">
        <f>'T03'!A12</f>
        <v>2016-17</v>
      </c>
      <c r="B17" s="1193">
        <f>'T03'!B12</f>
        <v>4922</v>
      </c>
      <c r="D17" s="31">
        <f>'T03'!F12</f>
        <v>31</v>
      </c>
      <c r="E17" s="10">
        <f t="shared" si="0"/>
        <v>6.2982527427874846</v>
      </c>
      <c r="G17" s="4">
        <f>'T03'!J12</f>
        <v>940</v>
      </c>
      <c r="H17" s="89">
        <f t="shared" si="1"/>
        <v>190.97927671678181</v>
      </c>
    </row>
    <row r="18" spans="1:8" ht="13.5" customHeight="1" x14ac:dyDescent="0.2">
      <c r="A18" s="29" t="str">
        <f>'T03'!A13</f>
        <v>2017-18</v>
      </c>
      <c r="B18" s="1193">
        <f>'T03'!B13</f>
        <v>4751</v>
      </c>
      <c r="D18" s="31">
        <f>'T03'!F13</f>
        <v>34</v>
      </c>
      <c r="E18" s="10">
        <f t="shared" ref="E18:E21" si="2">D18/B18*1000</f>
        <v>7.156388128814986</v>
      </c>
      <c r="G18" s="4">
        <f>'T03'!J13</f>
        <v>797</v>
      </c>
      <c r="H18" s="89">
        <f t="shared" ref="H18:H21" si="3">G18/B18*1000</f>
        <v>167.75415701957482</v>
      </c>
    </row>
    <row r="19" spans="1:8" ht="13.5" customHeight="1" x14ac:dyDescent="0.2">
      <c r="A19" s="29" t="str">
        <f>'T03'!A14</f>
        <v>2018-19</v>
      </c>
      <c r="B19" s="1193">
        <f>'T03'!B14</f>
        <v>4635</v>
      </c>
      <c r="D19" s="31">
        <f>'T03'!F14</f>
        <v>36</v>
      </c>
      <c r="E19" s="10">
        <f t="shared" si="2"/>
        <v>7.766990291262136</v>
      </c>
      <c r="G19" s="4">
        <f>'T03'!J14</f>
        <v>886</v>
      </c>
      <c r="H19" s="89">
        <f t="shared" si="3"/>
        <v>191.15426105717367</v>
      </c>
    </row>
    <row r="20" spans="1:8" ht="13.5" customHeight="1" x14ac:dyDescent="0.2">
      <c r="A20" s="29" t="str">
        <f>'T03'!A15</f>
        <v>2019-20</v>
      </c>
      <c r="B20" s="1193">
        <f>'T03'!B15</f>
        <v>4365</v>
      </c>
      <c r="D20" s="31">
        <f>'T03'!F15</f>
        <v>21</v>
      </c>
      <c r="E20" s="10">
        <f t="shared" si="2"/>
        <v>4.8109965635738838</v>
      </c>
      <c r="G20" s="4">
        <f>'T03'!J15</f>
        <v>743</v>
      </c>
      <c r="H20" s="89">
        <f t="shared" si="3"/>
        <v>170.2176403207331</v>
      </c>
    </row>
    <row r="21" spans="1:8" ht="13.5" customHeight="1" thickBot="1" x14ac:dyDescent="0.25">
      <c r="A21" s="380" t="str">
        <f>'T03'!A16</f>
        <v>2020-21</v>
      </c>
      <c r="B21" s="1194">
        <f>'T03'!B16</f>
        <v>4141</v>
      </c>
      <c r="C21" s="409"/>
      <c r="D21" s="416">
        <f>'T03'!F16</f>
        <v>36</v>
      </c>
      <c r="E21" s="393">
        <f t="shared" si="2"/>
        <v>8.6935522820574747</v>
      </c>
      <c r="F21" s="409"/>
      <c r="G21" s="349">
        <f>'T03'!J16</f>
        <v>751</v>
      </c>
      <c r="H21" s="394">
        <f t="shared" si="3"/>
        <v>181.35716010625453</v>
      </c>
    </row>
    <row r="22" spans="1:8" x14ac:dyDescent="0.2">
      <c r="A22" s="21"/>
      <c r="B22" s="21"/>
      <c r="C22" s="33"/>
      <c r="D22" s="36"/>
      <c r="F22" s="4"/>
      <c r="G22" s="32"/>
    </row>
    <row r="23" spans="1:8" x14ac:dyDescent="0.2">
      <c r="C23"/>
    </row>
    <row r="24" spans="1:8" x14ac:dyDescent="0.2">
      <c r="C24"/>
    </row>
    <row r="25" spans="1:8" x14ac:dyDescent="0.2">
      <c r="C25"/>
    </row>
    <row r="26" spans="1:8" x14ac:dyDescent="0.2">
      <c r="C26"/>
    </row>
    <row r="27" spans="1:8" x14ac:dyDescent="0.2">
      <c r="C27"/>
    </row>
    <row r="28" spans="1:8" x14ac:dyDescent="0.2">
      <c r="C28"/>
    </row>
    <row r="29" spans="1:8" x14ac:dyDescent="0.2">
      <c r="C29"/>
    </row>
    <row r="30" spans="1:8" x14ac:dyDescent="0.2">
      <c r="C30"/>
    </row>
    <row r="31" spans="1:8" x14ac:dyDescent="0.2">
      <c r="C31"/>
    </row>
  </sheetData>
  <sheetProtection algorithmName="SHA-512" hashValue="tKKLSu1manovt3bfd+rISA7dgJcC6S2xVHx6tRs+YEeKJ+FnS9BOsMoUbtTprhCij45lmCOTwZ7QaM0vhSjgiQ==" saltValue="lSt/hl/VgL4jVk8rkJyR8A==" spinCount="100000" sheet="1" scenarios="1" formatCells="0" formatColumns="0" formatRows="0" sort="0" autoFilter="0" pivotTables="0"/>
  <sortState xmlns:xlrd2="http://schemas.microsoft.com/office/spreadsheetml/2017/richdata2" ref="O27:P58">
    <sortCondition descending="1" ref="P27:P58"/>
  </sortState>
  <mergeCells count="3">
    <mergeCell ref="D8:E8"/>
    <mergeCell ref="G8:H8"/>
    <mergeCell ref="A8:A9"/>
  </mergeCells>
  <hyperlinks>
    <hyperlink ref="A2" location="'Table of Contents'!A1" display="Back to Table of Contents" xr:uid="{00000000-0004-0000-7700-000000000000}"/>
  </hyperlinks>
  <pageMargins left="0.70866141732283472" right="0.70866141732283472" top="0.74803149606299213" bottom="0.74803149606299213" header="0.31496062992125984" footer="0.31496062992125984"/>
  <pageSetup paperSize="9" scale="82" orientation="portrait" r:id="rId1"/>
  <headerFooter>
    <oddFooter>&amp;L&amp;P&amp;C&amp;A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BF8F00"/>
  </sheetPr>
  <dimension ref="A1:R60"/>
  <sheetViews>
    <sheetView showGridLines="0" workbookViewId="0">
      <pane ySplit="2" topLeftCell="A3" activePane="bottomLeft" state="frozen"/>
      <selection activeCellId="1" sqref="A1 A1"/>
      <selection pane="bottomLeft"/>
    </sheetView>
  </sheetViews>
  <sheetFormatPr defaultColWidth="9.140625" defaultRowHeight="12.75" x14ac:dyDescent="0.2"/>
  <cols>
    <col min="1" max="1" width="21.42578125" style="1" customWidth="1"/>
    <col min="2" max="2" width="22.42578125" style="1" customWidth="1"/>
    <col min="3" max="3" width="16" style="1" customWidth="1"/>
    <col min="4" max="4" width="3.85546875" style="1" customWidth="1"/>
    <col min="5" max="5" width="13.140625" style="1" customWidth="1"/>
    <col min="6" max="6" width="12.28515625" style="1" customWidth="1"/>
    <col min="7" max="7" width="3.85546875" style="1" customWidth="1"/>
    <col min="8" max="8" width="12.42578125" style="1" customWidth="1"/>
    <col min="9" max="9" width="10.28515625" style="1" customWidth="1"/>
    <col min="10" max="10" width="13.7109375" style="1" customWidth="1"/>
    <col min="11" max="11" width="9.140625" style="1"/>
    <col min="12" max="12" width="25.7109375" style="1" customWidth="1"/>
    <col min="13" max="15" width="9.140625" style="1"/>
    <col min="16" max="16" width="26.85546875" style="1" customWidth="1"/>
    <col min="17" max="16384" width="9.140625" style="1"/>
  </cols>
  <sheetData>
    <row r="1" spans="1:17" ht="18.75" customHeight="1" x14ac:dyDescent="0.2">
      <c r="A1" s="298" t="s">
        <v>1133</v>
      </c>
    </row>
    <row r="2" spans="1:17" ht="18.75" customHeight="1" x14ac:dyDescent="0.2">
      <c r="A2" s="106" t="s">
        <v>578</v>
      </c>
    </row>
    <row r="3" spans="1:17" ht="38.25" customHeight="1" x14ac:dyDescent="0.2">
      <c r="A3" s="120" t="s">
        <v>1017</v>
      </c>
      <c r="B3" s="120"/>
      <c r="C3" s="120"/>
      <c r="D3" s="120"/>
      <c r="E3" s="120"/>
      <c r="F3" s="120"/>
      <c r="G3" s="120"/>
      <c r="H3" s="120"/>
    </row>
    <row r="4" spans="1:17" ht="15" customHeight="1" x14ac:dyDescent="0.25">
      <c r="A4" s="351" t="s">
        <v>579</v>
      </c>
      <c r="B4" s="1043" t="s">
        <v>1366</v>
      </c>
    </row>
    <row r="5" spans="1:17" ht="15" customHeight="1" x14ac:dyDescent="0.25">
      <c r="A5" s="351" t="s">
        <v>580</v>
      </c>
      <c r="B5" s="351" t="s">
        <v>581</v>
      </c>
      <c r="C5" s="129"/>
      <c r="D5" s="129"/>
      <c r="E5" s="129"/>
      <c r="F5" s="129"/>
      <c r="G5" s="120"/>
      <c r="H5" s="120"/>
    </row>
    <row r="6" spans="1:17" ht="15" customHeight="1" x14ac:dyDescent="0.25">
      <c r="A6" s="351" t="s">
        <v>582</v>
      </c>
      <c r="B6" s="351" t="s">
        <v>585</v>
      </c>
      <c r="C6" s="129"/>
      <c r="D6" s="129"/>
      <c r="E6" s="129"/>
      <c r="F6" s="129"/>
      <c r="G6" s="120"/>
      <c r="H6" s="120"/>
    </row>
    <row r="7" spans="1:17" ht="15" x14ac:dyDescent="0.25">
      <c r="C7" s="80" t="s">
        <v>0</v>
      </c>
      <c r="E7" s="2"/>
      <c r="H7" s="2"/>
      <c r="I7" s="60"/>
    </row>
    <row r="8" spans="1:17" ht="14.25" customHeight="1" x14ac:dyDescent="0.2">
      <c r="B8"/>
      <c r="C8" s="169" t="s">
        <v>58</v>
      </c>
      <c r="D8" s="100"/>
      <c r="E8" s="1288" t="s">
        <v>59</v>
      </c>
      <c r="F8" s="1290"/>
      <c r="G8" s="100"/>
      <c r="H8" s="1288" t="s">
        <v>111</v>
      </c>
      <c r="I8" s="1290"/>
    </row>
    <row r="9" spans="1:17" ht="25.5" x14ac:dyDescent="0.2">
      <c r="A9" s="363" t="s">
        <v>586</v>
      </c>
      <c r="B9" s="398" t="s">
        <v>22</v>
      </c>
      <c r="C9" s="589"/>
      <c r="D9" s="338"/>
      <c r="E9" s="337" t="s">
        <v>0</v>
      </c>
      <c r="F9" s="337" t="s">
        <v>60</v>
      </c>
      <c r="G9" s="338"/>
      <c r="H9" s="341" t="s">
        <v>0</v>
      </c>
      <c r="I9" s="341" t="s">
        <v>60</v>
      </c>
      <c r="J9"/>
      <c r="L9"/>
      <c r="M9"/>
      <c r="N9"/>
      <c r="O9"/>
      <c r="P9"/>
      <c r="Q9"/>
    </row>
    <row r="10" spans="1:17" ht="18.75" customHeight="1" x14ac:dyDescent="0.2">
      <c r="A10" s="1" t="s">
        <v>587</v>
      </c>
      <c r="B10" s="400" t="s">
        <v>23</v>
      </c>
      <c r="C10" s="417">
        <f>T_03!B5</f>
        <v>222</v>
      </c>
      <c r="D10"/>
      <c r="E10" s="418">
        <f>T_03!C5</f>
        <v>3</v>
      </c>
      <c r="F10" s="419">
        <f>E10/C10*1000</f>
        <v>13.513513513513514</v>
      </c>
      <c r="G10" s="65"/>
      <c r="H10" s="420">
        <f>T_03!D5</f>
        <v>25</v>
      </c>
      <c r="I10" s="419">
        <f>H10/C10*1000</f>
        <v>112.61261261261261</v>
      </c>
      <c r="J10"/>
      <c r="K10"/>
      <c r="L10"/>
      <c r="M10"/>
      <c r="N10"/>
      <c r="O10"/>
      <c r="P10"/>
      <c r="Q10"/>
    </row>
    <row r="11" spans="1:17" ht="13.5" customHeight="1" x14ac:dyDescent="0.2">
      <c r="A11" s="1" t="s">
        <v>588</v>
      </c>
      <c r="B11" s="117" t="s">
        <v>24</v>
      </c>
      <c r="C11" s="417">
        <f>T_03!B6</f>
        <v>164</v>
      </c>
      <c r="D11"/>
      <c r="E11" s="418">
        <f>T_03!C6</f>
        <v>1</v>
      </c>
      <c r="F11" s="419">
        <f t="shared" ref="F11:F40" si="0">E11/C11*1000</f>
        <v>6.0975609756097562</v>
      </c>
      <c r="G11" s="65"/>
      <c r="H11" s="420">
        <f>T_03!D6</f>
        <v>15</v>
      </c>
      <c r="I11" s="419">
        <f t="shared" ref="I11:I41" si="1">H11/C11*1000</f>
        <v>91.463414634146346</v>
      </c>
      <c r="J11"/>
      <c r="K11"/>
      <c r="L11"/>
      <c r="M11"/>
      <c r="N11"/>
      <c r="O11"/>
      <c r="P11"/>
      <c r="Q11"/>
    </row>
    <row r="12" spans="1:17" ht="13.5" customHeight="1" x14ac:dyDescent="0.2">
      <c r="A12" s="1" t="s">
        <v>589</v>
      </c>
      <c r="B12" s="117" t="s">
        <v>25</v>
      </c>
      <c r="C12" s="417">
        <f>T_03!B7</f>
        <v>74</v>
      </c>
      <c r="D12"/>
      <c r="E12" s="418">
        <f>T_03!C7</f>
        <v>0</v>
      </c>
      <c r="F12" s="419">
        <f t="shared" si="0"/>
        <v>0</v>
      </c>
      <c r="G12" s="65"/>
      <c r="H12" s="420">
        <f>T_03!D7</f>
        <v>19</v>
      </c>
      <c r="I12" s="419">
        <f t="shared" si="1"/>
        <v>256.75675675675672</v>
      </c>
      <c r="J12"/>
      <c r="K12"/>
      <c r="L12"/>
      <c r="M12"/>
      <c r="N12"/>
      <c r="O12"/>
      <c r="P12"/>
      <c r="Q12"/>
    </row>
    <row r="13" spans="1:17" ht="13.5" customHeight="1" x14ac:dyDescent="0.2">
      <c r="A13" s="1" t="s">
        <v>590</v>
      </c>
      <c r="B13" s="117" t="s">
        <v>26</v>
      </c>
      <c r="C13" s="417">
        <f>T_03!B8</f>
        <v>84</v>
      </c>
      <c r="D13"/>
      <c r="E13" s="418">
        <f>T_03!C8</f>
        <v>1</v>
      </c>
      <c r="F13" s="419">
        <f t="shared" si="0"/>
        <v>11.904761904761903</v>
      </c>
      <c r="G13" s="65"/>
      <c r="H13" s="420">
        <f>T_03!D8</f>
        <v>7</v>
      </c>
      <c r="I13" s="419">
        <f t="shared" si="1"/>
        <v>83.333333333333329</v>
      </c>
      <c r="J13"/>
      <c r="K13"/>
      <c r="L13"/>
      <c r="M13"/>
      <c r="N13"/>
      <c r="O13"/>
      <c r="P13"/>
      <c r="Q13"/>
    </row>
    <row r="14" spans="1:17" ht="13.5" customHeight="1" x14ac:dyDescent="0.2">
      <c r="A14" s="1" t="s">
        <v>591</v>
      </c>
      <c r="B14" s="117" t="s">
        <v>619</v>
      </c>
      <c r="C14" s="417">
        <f>T_03!B9</f>
        <v>369</v>
      </c>
      <c r="D14"/>
      <c r="E14" s="418">
        <f>T_03!C9</f>
        <v>2</v>
      </c>
      <c r="F14" s="419">
        <f t="shared" si="0"/>
        <v>5.4200542005420056</v>
      </c>
      <c r="G14" s="65"/>
      <c r="H14" s="420">
        <f>T_03!D9</f>
        <v>52</v>
      </c>
      <c r="I14" s="419">
        <f t="shared" si="1"/>
        <v>140.92140921409214</v>
      </c>
      <c r="J14"/>
      <c r="K14"/>
      <c r="L14"/>
      <c r="M14"/>
      <c r="N14"/>
      <c r="O14"/>
      <c r="P14"/>
      <c r="Q14"/>
    </row>
    <row r="15" spans="1:17" ht="13.5" customHeight="1" x14ac:dyDescent="0.2">
      <c r="A15" s="1" t="s">
        <v>592</v>
      </c>
      <c r="B15" s="117" t="s">
        <v>27</v>
      </c>
      <c r="C15" s="417">
        <f>T_03!B10</f>
        <v>54</v>
      </c>
      <c r="D15"/>
      <c r="E15" s="418">
        <f>T_03!C10</f>
        <v>2</v>
      </c>
      <c r="F15" s="419">
        <f t="shared" si="0"/>
        <v>37.037037037037038</v>
      </c>
      <c r="G15" s="65"/>
      <c r="H15" s="420">
        <f>T_03!D10</f>
        <v>19</v>
      </c>
      <c r="I15" s="419">
        <f t="shared" si="1"/>
        <v>351.85185185185185</v>
      </c>
      <c r="J15"/>
      <c r="K15"/>
      <c r="L15"/>
      <c r="M15"/>
      <c r="N15"/>
      <c r="O15"/>
      <c r="P15"/>
      <c r="Q15"/>
    </row>
    <row r="16" spans="1:17" ht="13.5" customHeight="1" x14ac:dyDescent="0.2">
      <c r="A16" s="1" t="s">
        <v>593</v>
      </c>
      <c r="B16" s="117" t="s">
        <v>28</v>
      </c>
      <c r="C16" s="417">
        <f>T_03!B11</f>
        <v>69</v>
      </c>
      <c r="D16"/>
      <c r="E16" s="418">
        <f>T_03!C11</f>
        <v>1</v>
      </c>
      <c r="F16" s="419">
        <f t="shared" si="0"/>
        <v>14.492753623188406</v>
      </c>
      <c r="G16" s="65"/>
      <c r="H16" s="420">
        <f>T_03!D11</f>
        <v>4</v>
      </c>
      <c r="I16" s="419">
        <f t="shared" si="1"/>
        <v>57.971014492753625</v>
      </c>
      <c r="J16"/>
      <c r="K16"/>
      <c r="L16"/>
      <c r="M16"/>
      <c r="N16"/>
      <c r="O16"/>
      <c r="P16"/>
      <c r="Q16"/>
    </row>
    <row r="17" spans="1:17" ht="13.5" customHeight="1" x14ac:dyDescent="0.2">
      <c r="A17" s="1" t="s">
        <v>594</v>
      </c>
      <c r="B17" s="117" t="s">
        <v>29</v>
      </c>
      <c r="C17" s="417">
        <f>T_03!B12</f>
        <v>186</v>
      </c>
      <c r="D17"/>
      <c r="E17" s="418">
        <f>T_03!C12</f>
        <v>3</v>
      </c>
      <c r="F17" s="419">
        <f t="shared" si="0"/>
        <v>16.129032258064516</v>
      </c>
      <c r="G17" s="65"/>
      <c r="H17" s="420">
        <f>T_03!D12</f>
        <v>31</v>
      </c>
      <c r="I17" s="419">
        <f t="shared" si="1"/>
        <v>166.66666666666666</v>
      </c>
      <c r="J17"/>
      <c r="K17"/>
      <c r="L17"/>
      <c r="M17"/>
      <c r="N17"/>
      <c r="O17"/>
      <c r="P17"/>
      <c r="Q17"/>
    </row>
    <row r="18" spans="1:17" ht="13.5" customHeight="1" x14ac:dyDescent="0.2">
      <c r="A18" s="1" t="s">
        <v>595</v>
      </c>
      <c r="B18" s="117" t="s">
        <v>30</v>
      </c>
      <c r="C18" s="417">
        <f>T_03!B13</f>
        <v>95</v>
      </c>
      <c r="D18"/>
      <c r="E18" s="418">
        <f>T_03!C13</f>
        <v>1</v>
      </c>
      <c r="F18" s="419">
        <f t="shared" si="0"/>
        <v>10.526315789473683</v>
      </c>
      <c r="G18" s="65"/>
      <c r="H18" s="420">
        <f>T_03!D13</f>
        <v>18</v>
      </c>
      <c r="I18" s="419">
        <f t="shared" si="1"/>
        <v>189.47368421052633</v>
      </c>
      <c r="J18"/>
      <c r="K18"/>
      <c r="L18"/>
      <c r="M18"/>
      <c r="N18"/>
      <c r="O18"/>
      <c r="P18"/>
      <c r="Q18"/>
    </row>
    <row r="19" spans="1:17" ht="13.5" customHeight="1" x14ac:dyDescent="0.2">
      <c r="A19" s="1" t="s">
        <v>596</v>
      </c>
      <c r="B19" s="117" t="s">
        <v>31</v>
      </c>
      <c r="C19" s="417">
        <f>T_03!B14</f>
        <v>65</v>
      </c>
      <c r="D19"/>
      <c r="E19" s="418">
        <f>T_03!C14</f>
        <v>1</v>
      </c>
      <c r="F19" s="419">
        <f t="shared" si="0"/>
        <v>15.384615384615385</v>
      </c>
      <c r="G19" s="65"/>
      <c r="H19" s="420">
        <f>T_03!D14</f>
        <v>7</v>
      </c>
      <c r="I19" s="419">
        <f t="shared" si="1"/>
        <v>107.69230769230769</v>
      </c>
      <c r="J19"/>
      <c r="K19"/>
      <c r="L19"/>
      <c r="M19"/>
      <c r="N19"/>
      <c r="O19"/>
      <c r="P19"/>
      <c r="Q19"/>
    </row>
    <row r="20" spans="1:17" ht="13.5" customHeight="1" x14ac:dyDescent="0.2">
      <c r="A20" s="1" t="s">
        <v>597</v>
      </c>
      <c r="B20" s="117" t="s">
        <v>32</v>
      </c>
      <c r="C20" s="417">
        <f>T_03!B15</f>
        <v>46</v>
      </c>
      <c r="D20"/>
      <c r="E20" s="418">
        <f>T_03!C15</f>
        <v>1</v>
      </c>
      <c r="F20" s="419">
        <f t="shared" si="0"/>
        <v>21.739130434782609</v>
      </c>
      <c r="G20" s="65"/>
      <c r="H20" s="420">
        <f>T_03!D15</f>
        <v>4</v>
      </c>
      <c r="I20" s="419">
        <f t="shared" si="1"/>
        <v>86.956521739130437</v>
      </c>
      <c r="J20"/>
      <c r="K20"/>
      <c r="L20"/>
      <c r="M20"/>
      <c r="N20"/>
      <c r="O20"/>
      <c r="P20"/>
      <c r="Q20"/>
    </row>
    <row r="21" spans="1:17" ht="13.5" customHeight="1" x14ac:dyDescent="0.2">
      <c r="A21" s="1" t="s">
        <v>598</v>
      </c>
      <c r="B21" s="117" t="s">
        <v>33</v>
      </c>
      <c r="C21" s="417">
        <f>T_03!B16</f>
        <v>49</v>
      </c>
      <c r="D21"/>
      <c r="E21" s="418">
        <f>T_03!C16</f>
        <v>0</v>
      </c>
      <c r="F21" s="419">
        <f t="shared" si="0"/>
        <v>0</v>
      </c>
      <c r="G21" s="65"/>
      <c r="H21" s="420">
        <f>T_03!D16</f>
        <v>5</v>
      </c>
      <c r="I21" s="419">
        <f t="shared" si="1"/>
        <v>102.04081632653062</v>
      </c>
      <c r="J21"/>
      <c r="K21"/>
      <c r="L21"/>
      <c r="M21"/>
      <c r="N21"/>
      <c r="O21"/>
      <c r="P21"/>
      <c r="Q21"/>
    </row>
    <row r="22" spans="1:17" ht="13.5" customHeight="1" x14ac:dyDescent="0.2">
      <c r="A22" s="1" t="s">
        <v>599</v>
      </c>
      <c r="B22" s="117" t="s">
        <v>34</v>
      </c>
      <c r="C22" s="417">
        <f>T_03!B17</f>
        <v>99</v>
      </c>
      <c r="D22"/>
      <c r="E22" s="418">
        <f>T_03!C17</f>
        <v>0</v>
      </c>
      <c r="F22" s="419">
        <f t="shared" si="0"/>
        <v>0</v>
      </c>
      <c r="G22" s="65"/>
      <c r="H22" s="420">
        <f>T_03!D17</f>
        <v>30</v>
      </c>
      <c r="I22" s="419">
        <f t="shared" si="1"/>
        <v>303.03030303030306</v>
      </c>
      <c r="J22"/>
      <c r="K22"/>
      <c r="L22"/>
      <c r="M22"/>
      <c r="N22"/>
      <c r="O22"/>
      <c r="P22"/>
      <c r="Q22"/>
    </row>
    <row r="23" spans="1:17" ht="13.5" customHeight="1" x14ac:dyDescent="0.2">
      <c r="A23" s="1" t="s">
        <v>600</v>
      </c>
      <c r="B23" s="117" t="s">
        <v>35</v>
      </c>
      <c r="C23" s="417">
        <f>T_03!B18</f>
        <v>227</v>
      </c>
      <c r="D23"/>
      <c r="E23" s="418">
        <f>T_03!C18</f>
        <v>2</v>
      </c>
      <c r="F23" s="419">
        <f>E23/C23*1000</f>
        <v>8.8105726872246706</v>
      </c>
      <c r="G23" s="65"/>
      <c r="H23" s="420">
        <f>T_03!D18</f>
        <v>43</v>
      </c>
      <c r="I23" s="419">
        <f t="shared" si="1"/>
        <v>189.42731277533039</v>
      </c>
      <c r="J23"/>
      <c r="K23"/>
      <c r="L23"/>
      <c r="M23"/>
      <c r="N23"/>
      <c r="O23"/>
      <c r="P23"/>
      <c r="Q23"/>
    </row>
    <row r="24" spans="1:17" ht="13.5" customHeight="1" x14ac:dyDescent="0.2">
      <c r="A24" s="1" t="s">
        <v>601</v>
      </c>
      <c r="B24" s="117" t="s">
        <v>36</v>
      </c>
      <c r="C24" s="417">
        <f>T_03!B19</f>
        <v>685</v>
      </c>
      <c r="D24"/>
      <c r="E24" s="418">
        <f>T_03!C19</f>
        <v>7</v>
      </c>
      <c r="F24" s="419">
        <f t="shared" si="0"/>
        <v>10.218978102189782</v>
      </c>
      <c r="G24" s="65"/>
      <c r="H24" s="420">
        <f>T_03!D19</f>
        <v>135</v>
      </c>
      <c r="I24" s="419">
        <f t="shared" si="1"/>
        <v>197.08029197080293</v>
      </c>
      <c r="J24"/>
      <c r="K24"/>
      <c r="L24"/>
      <c r="M24"/>
      <c r="N24"/>
      <c r="O24"/>
      <c r="P24"/>
      <c r="Q24"/>
    </row>
    <row r="25" spans="1:17" ht="13.5" customHeight="1" x14ac:dyDescent="0.2">
      <c r="A25" s="1" t="s">
        <v>602</v>
      </c>
      <c r="B25" s="117" t="s">
        <v>37</v>
      </c>
      <c r="C25" s="417">
        <f>T_03!B20</f>
        <v>126</v>
      </c>
      <c r="D25"/>
      <c r="E25" s="418">
        <f>T_03!C20</f>
        <v>0</v>
      </c>
      <c r="F25" s="419">
        <f t="shared" si="0"/>
        <v>0</v>
      </c>
      <c r="G25" s="65"/>
      <c r="H25" s="420">
        <f>T_03!D20</f>
        <v>17</v>
      </c>
      <c r="I25" s="419">
        <f t="shared" si="1"/>
        <v>134.92063492063491</v>
      </c>
      <c r="J25"/>
      <c r="K25"/>
      <c r="L25"/>
      <c r="M25"/>
      <c r="N25"/>
      <c r="O25"/>
      <c r="P25"/>
      <c r="Q25"/>
    </row>
    <row r="26" spans="1:17" ht="13.5" customHeight="1" x14ac:dyDescent="0.2">
      <c r="A26" s="1" t="s">
        <v>603</v>
      </c>
      <c r="B26" s="117" t="s">
        <v>38</v>
      </c>
      <c r="C26" s="417">
        <f>T_03!B21</f>
        <v>88</v>
      </c>
      <c r="D26"/>
      <c r="E26" s="418">
        <f>T_03!C21</f>
        <v>1</v>
      </c>
      <c r="F26" s="419">
        <f t="shared" si="0"/>
        <v>11.363636363636363</v>
      </c>
      <c r="G26" s="65"/>
      <c r="H26" s="420">
        <f>T_03!D21</f>
        <v>24</v>
      </c>
      <c r="I26" s="419">
        <f t="shared" si="1"/>
        <v>272.72727272727269</v>
      </c>
      <c r="J26"/>
      <c r="K26"/>
      <c r="L26"/>
      <c r="M26"/>
      <c r="N26"/>
      <c r="O26"/>
      <c r="P26"/>
      <c r="Q26"/>
    </row>
    <row r="27" spans="1:17" ht="13.5" customHeight="1" x14ac:dyDescent="0.2">
      <c r="A27" s="1" t="s">
        <v>604</v>
      </c>
      <c r="B27" s="117" t="s">
        <v>39</v>
      </c>
      <c r="C27" s="417">
        <f>T_03!B22</f>
        <v>57</v>
      </c>
      <c r="D27"/>
      <c r="E27" s="418">
        <f>T_03!C22</f>
        <v>1</v>
      </c>
      <c r="F27" s="419">
        <f t="shared" si="0"/>
        <v>17.543859649122805</v>
      </c>
      <c r="G27" s="65"/>
      <c r="H27" s="420">
        <f>T_03!D22</f>
        <v>10</v>
      </c>
      <c r="I27" s="419">
        <f t="shared" si="1"/>
        <v>175.43859649122805</v>
      </c>
      <c r="J27"/>
      <c r="K27"/>
      <c r="L27"/>
      <c r="M27"/>
      <c r="N27"/>
      <c r="O27"/>
      <c r="P27"/>
      <c r="Q27"/>
    </row>
    <row r="28" spans="1:17" ht="13.5" customHeight="1" x14ac:dyDescent="0.2">
      <c r="A28" s="1" t="s">
        <v>605</v>
      </c>
      <c r="B28" s="117" t="s">
        <v>40</v>
      </c>
      <c r="C28" s="417">
        <f>T_03!B23</f>
        <v>50</v>
      </c>
      <c r="D28"/>
      <c r="E28" s="418">
        <f>T_03!C23</f>
        <v>1</v>
      </c>
      <c r="F28" s="419">
        <f t="shared" si="0"/>
        <v>20</v>
      </c>
      <c r="G28" s="65"/>
      <c r="H28" s="420">
        <f>T_03!D23</f>
        <v>7</v>
      </c>
      <c r="I28" s="419">
        <f t="shared" si="1"/>
        <v>140</v>
      </c>
      <c r="J28"/>
      <c r="K28"/>
      <c r="L28"/>
      <c r="M28"/>
      <c r="N28"/>
      <c r="O28"/>
      <c r="P28"/>
      <c r="Q28"/>
    </row>
    <row r="29" spans="1:17" ht="13.5" customHeight="1" x14ac:dyDescent="0.2">
      <c r="A29" s="1" t="s">
        <v>606</v>
      </c>
      <c r="B29" s="117" t="s">
        <v>295</v>
      </c>
      <c r="C29" s="417">
        <f>T_03!B24</f>
        <v>21</v>
      </c>
      <c r="D29"/>
      <c r="E29" s="418">
        <f>T_03!C24</f>
        <v>0</v>
      </c>
      <c r="F29" s="419">
        <f t="shared" si="0"/>
        <v>0</v>
      </c>
      <c r="G29" s="65"/>
      <c r="H29" s="420">
        <f>T_03!D24</f>
        <v>4</v>
      </c>
      <c r="I29" s="419">
        <f t="shared" si="1"/>
        <v>190.47619047619045</v>
      </c>
      <c r="J29"/>
      <c r="K29"/>
      <c r="L29"/>
      <c r="M29"/>
      <c r="N29"/>
      <c r="O29"/>
      <c r="P29"/>
      <c r="Q29"/>
    </row>
    <row r="30" spans="1:17" ht="13.5" customHeight="1" x14ac:dyDescent="0.2">
      <c r="A30" s="1" t="s">
        <v>607</v>
      </c>
      <c r="B30" s="117" t="s">
        <v>41</v>
      </c>
      <c r="C30" s="417">
        <f>T_03!B25</f>
        <v>136</v>
      </c>
      <c r="D30"/>
      <c r="E30" s="418">
        <f>T_03!C25</f>
        <v>0</v>
      </c>
      <c r="F30" s="419">
        <f t="shared" si="0"/>
        <v>0</v>
      </c>
      <c r="G30" s="65"/>
      <c r="H30" s="420">
        <f>T_03!D25</f>
        <v>32</v>
      </c>
      <c r="I30" s="419">
        <f t="shared" si="1"/>
        <v>235.29411764705881</v>
      </c>
      <c r="J30"/>
      <c r="K30"/>
      <c r="L30"/>
      <c r="M30"/>
      <c r="N30"/>
      <c r="O30"/>
      <c r="P30"/>
      <c r="Q30"/>
    </row>
    <row r="31" spans="1:17" ht="13.5" customHeight="1" x14ac:dyDescent="0.2">
      <c r="A31" s="1" t="s">
        <v>608</v>
      </c>
      <c r="B31" s="117" t="s">
        <v>42</v>
      </c>
      <c r="C31" s="417">
        <f>T_03!B26</f>
        <v>279</v>
      </c>
      <c r="D31"/>
      <c r="E31" s="418">
        <f>T_03!C26</f>
        <v>1</v>
      </c>
      <c r="F31" s="419">
        <f t="shared" si="0"/>
        <v>3.5842293906810037</v>
      </c>
      <c r="G31" s="65"/>
      <c r="H31" s="420">
        <f>T_03!D26</f>
        <v>64</v>
      </c>
      <c r="I31" s="419">
        <f t="shared" si="1"/>
        <v>229.39068100358423</v>
      </c>
      <c r="J31"/>
      <c r="K31"/>
      <c r="L31"/>
      <c r="M31"/>
      <c r="N31"/>
      <c r="O31"/>
      <c r="P31"/>
      <c r="Q31"/>
    </row>
    <row r="32" spans="1:17" ht="13.5" customHeight="1" x14ac:dyDescent="0.2">
      <c r="A32" s="1" t="s">
        <v>609</v>
      </c>
      <c r="B32" s="117" t="s">
        <v>43</v>
      </c>
      <c r="C32" s="417">
        <f>T_03!B27</f>
        <v>4</v>
      </c>
      <c r="D32"/>
      <c r="E32" s="418">
        <f>T_03!C27</f>
        <v>0</v>
      </c>
      <c r="F32" s="419">
        <f t="shared" si="0"/>
        <v>0</v>
      </c>
      <c r="G32" s="65"/>
      <c r="H32" s="420">
        <f>T_03!D27</f>
        <v>1</v>
      </c>
      <c r="I32" s="419">
        <f t="shared" si="1"/>
        <v>250</v>
      </c>
      <c r="J32"/>
      <c r="K32"/>
      <c r="L32"/>
      <c r="M32"/>
      <c r="N32"/>
      <c r="O32"/>
      <c r="P32"/>
      <c r="Q32"/>
    </row>
    <row r="33" spans="1:18" ht="13.5" customHeight="1" x14ac:dyDescent="0.2">
      <c r="A33" s="1" t="s">
        <v>610</v>
      </c>
      <c r="B33" s="117" t="s">
        <v>44</v>
      </c>
      <c r="C33" s="417">
        <f>T_03!B28</f>
        <v>97</v>
      </c>
      <c r="D33"/>
      <c r="E33" s="418">
        <f>T_03!C28</f>
        <v>0</v>
      </c>
      <c r="F33" s="419">
        <f t="shared" si="0"/>
        <v>0</v>
      </c>
      <c r="G33" s="65"/>
      <c r="H33" s="420">
        <f>T_03!D28</f>
        <v>23</v>
      </c>
      <c r="I33" s="419">
        <f t="shared" si="1"/>
        <v>237.11340206185565</v>
      </c>
      <c r="J33"/>
      <c r="K33"/>
      <c r="L33"/>
      <c r="M33"/>
      <c r="N33"/>
      <c r="O33"/>
      <c r="P33"/>
      <c r="Q33"/>
    </row>
    <row r="34" spans="1:18" ht="13.5" customHeight="1" x14ac:dyDescent="0.2">
      <c r="A34" s="1" t="s">
        <v>611</v>
      </c>
      <c r="B34" s="117" t="s">
        <v>45</v>
      </c>
      <c r="C34" s="417">
        <f>T_03!B29</f>
        <v>151</v>
      </c>
      <c r="D34"/>
      <c r="E34" s="418">
        <f>T_03!C29</f>
        <v>0</v>
      </c>
      <c r="F34" s="419">
        <f t="shared" si="0"/>
        <v>0</v>
      </c>
      <c r="G34" s="65"/>
      <c r="H34" s="420">
        <f>T_03!D29</f>
        <v>31</v>
      </c>
      <c r="I34" s="419">
        <f t="shared" si="1"/>
        <v>205.2980132450331</v>
      </c>
      <c r="J34"/>
      <c r="K34"/>
      <c r="L34"/>
      <c r="M34"/>
      <c r="N34"/>
      <c r="O34"/>
      <c r="P34"/>
      <c r="Q34"/>
    </row>
    <row r="35" spans="1:18" ht="13.5" customHeight="1" x14ac:dyDescent="0.2">
      <c r="A35" s="1" t="s">
        <v>612</v>
      </c>
      <c r="B35" s="117" t="s">
        <v>46</v>
      </c>
      <c r="C35" s="417">
        <f>T_03!B30</f>
        <v>77</v>
      </c>
      <c r="D35"/>
      <c r="E35" s="418">
        <f>T_03!C30</f>
        <v>1</v>
      </c>
      <c r="F35" s="419">
        <f t="shared" si="0"/>
        <v>12.987012987012989</v>
      </c>
      <c r="G35" s="65"/>
      <c r="H35" s="420">
        <f>T_03!D30</f>
        <v>12</v>
      </c>
      <c r="I35" s="419">
        <f t="shared" si="1"/>
        <v>155.84415584415584</v>
      </c>
      <c r="J35"/>
      <c r="K35"/>
      <c r="L35"/>
      <c r="M35"/>
      <c r="N35"/>
      <c r="O35"/>
      <c r="P35"/>
      <c r="Q35"/>
    </row>
    <row r="36" spans="1:18" ht="13.5" customHeight="1" x14ac:dyDescent="0.2">
      <c r="A36" s="1" t="s">
        <v>613</v>
      </c>
      <c r="B36" s="117" t="s">
        <v>47</v>
      </c>
      <c r="C36" s="417">
        <f>T_03!B31</f>
        <v>24</v>
      </c>
      <c r="D36"/>
      <c r="E36" s="418">
        <f>T_03!C31</f>
        <v>0</v>
      </c>
      <c r="F36" s="419">
        <f t="shared" si="0"/>
        <v>0</v>
      </c>
      <c r="G36" s="65"/>
      <c r="H36" s="420">
        <f>T_03!D31</f>
        <v>2</v>
      </c>
      <c r="I36" s="419">
        <f t="shared" si="1"/>
        <v>83.333333333333329</v>
      </c>
      <c r="J36"/>
      <c r="K36"/>
      <c r="L36"/>
      <c r="M36"/>
      <c r="N36"/>
      <c r="O36"/>
      <c r="P36"/>
      <c r="Q36"/>
    </row>
    <row r="37" spans="1:18" ht="13.5" customHeight="1" x14ac:dyDescent="0.2">
      <c r="A37" s="1" t="s">
        <v>614</v>
      </c>
      <c r="B37" s="117" t="s">
        <v>48</v>
      </c>
      <c r="C37" s="417">
        <f>T_03!B32</f>
        <v>73</v>
      </c>
      <c r="D37"/>
      <c r="E37" s="418">
        <f>T_03!C32</f>
        <v>1</v>
      </c>
      <c r="F37" s="419">
        <f t="shared" si="0"/>
        <v>13.698630136986301</v>
      </c>
      <c r="G37" s="65"/>
      <c r="H37" s="420">
        <f>T_03!D32</f>
        <v>16</v>
      </c>
      <c r="I37" s="419">
        <f t="shared" si="1"/>
        <v>219.17808219178082</v>
      </c>
      <c r="J37"/>
      <c r="K37"/>
      <c r="L37"/>
      <c r="M37"/>
      <c r="N37"/>
      <c r="O37"/>
      <c r="P37"/>
      <c r="Q37"/>
    </row>
    <row r="38" spans="1:18" ht="13.5" customHeight="1" x14ac:dyDescent="0.2">
      <c r="A38" s="1" t="s">
        <v>615</v>
      </c>
      <c r="B38" s="117" t="s">
        <v>49</v>
      </c>
      <c r="C38" s="417">
        <f>T_03!B33</f>
        <v>221</v>
      </c>
      <c r="D38"/>
      <c r="E38" s="418">
        <f>T_03!C33</f>
        <v>2</v>
      </c>
      <c r="F38" s="939">
        <f t="shared" si="0"/>
        <v>9.0497737556561102</v>
      </c>
      <c r="G38" s="65"/>
      <c r="H38" s="420">
        <f>T_03!D33</f>
        <v>46</v>
      </c>
      <c r="I38" s="419">
        <f t="shared" si="1"/>
        <v>208.1447963800905</v>
      </c>
      <c r="J38"/>
      <c r="K38"/>
      <c r="L38"/>
      <c r="M38"/>
      <c r="N38"/>
      <c r="O38"/>
      <c r="P38"/>
      <c r="Q38"/>
    </row>
    <row r="39" spans="1:18" ht="13.5" customHeight="1" x14ac:dyDescent="0.2">
      <c r="A39" s="1" t="s">
        <v>616</v>
      </c>
      <c r="B39" s="117" t="s">
        <v>50</v>
      </c>
      <c r="C39" s="417">
        <f>T_03!B34</f>
        <v>48</v>
      </c>
      <c r="D39"/>
      <c r="E39" s="418">
        <f>T_03!C34</f>
        <v>0</v>
      </c>
      <c r="F39" s="419">
        <f t="shared" si="0"/>
        <v>0</v>
      </c>
      <c r="G39" s="65"/>
      <c r="H39" s="420">
        <f>T_03!D34</f>
        <v>7</v>
      </c>
      <c r="I39" s="419">
        <f t="shared" si="1"/>
        <v>145.83333333333334</v>
      </c>
      <c r="J39"/>
      <c r="K39"/>
      <c r="L39"/>
      <c r="M39"/>
      <c r="N39"/>
      <c r="O39"/>
      <c r="P39"/>
      <c r="Q39"/>
    </row>
    <row r="40" spans="1:18" ht="13.5" customHeight="1" x14ac:dyDescent="0.2">
      <c r="A40" s="1" t="s">
        <v>617</v>
      </c>
      <c r="B40" s="117" t="s">
        <v>51</v>
      </c>
      <c r="C40" s="417">
        <f>T_03!B35</f>
        <v>102</v>
      </c>
      <c r="D40"/>
      <c r="E40" s="418">
        <f>T_03!C35</f>
        <v>1</v>
      </c>
      <c r="F40" s="939">
        <f t="shared" si="0"/>
        <v>9.8039215686274517</v>
      </c>
      <c r="G40" s="65"/>
      <c r="H40" s="420">
        <f>T_03!D35</f>
        <v>18</v>
      </c>
      <c r="I40" s="419">
        <f t="shared" si="1"/>
        <v>176.47058823529412</v>
      </c>
      <c r="J40"/>
      <c r="K40"/>
      <c r="L40"/>
      <c r="M40"/>
      <c r="N40"/>
      <c r="O40"/>
      <c r="P40"/>
      <c r="Q40"/>
    </row>
    <row r="41" spans="1:18" ht="13.5" customHeight="1" x14ac:dyDescent="0.2">
      <c r="A41" s="1" t="s">
        <v>618</v>
      </c>
      <c r="B41" s="117" t="s">
        <v>52</v>
      </c>
      <c r="C41" s="417">
        <f>T_03!B36</f>
        <v>99</v>
      </c>
      <c r="D41"/>
      <c r="E41" s="421">
        <f>T_03!C36</f>
        <v>2</v>
      </c>
      <c r="F41" s="419">
        <f>E41/C41*1000</f>
        <v>20.202020202020204</v>
      </c>
      <c r="G41" s="65"/>
      <c r="H41" s="420">
        <f>T_03!D36</f>
        <v>23</v>
      </c>
      <c r="I41" s="419">
        <f t="shared" si="1"/>
        <v>232.32323232323233</v>
      </c>
      <c r="J41"/>
      <c r="K41"/>
      <c r="L41"/>
      <c r="M41"/>
      <c r="N41"/>
      <c r="O41"/>
      <c r="P41"/>
      <c r="Q41"/>
      <c r="R41"/>
    </row>
    <row r="42" spans="1:18" x14ac:dyDescent="0.2">
      <c r="B42" s="117" t="str">
        <f>IF(T_01!A60 = "Z_Not Known",T_01!A60,"")</f>
        <v/>
      </c>
      <c r="C42" s="117"/>
      <c r="D42"/>
      <c r="E42" s="422"/>
      <c r="F42" s="419"/>
      <c r="G42" s="65"/>
      <c r="H42" s="65"/>
      <c r="I42" s="419"/>
      <c r="J42"/>
      <c r="K42"/>
      <c r="M42"/>
      <c r="N42"/>
      <c r="O42"/>
      <c r="P42"/>
      <c r="Q42"/>
      <c r="R42"/>
    </row>
    <row r="43" spans="1:18" ht="30" customHeight="1" thickBot="1" x14ac:dyDescent="0.25">
      <c r="A43" s="359" t="s">
        <v>620</v>
      </c>
      <c r="B43" s="360" t="s">
        <v>143</v>
      </c>
      <c r="C43" s="423">
        <f>SUM(C10:C42)</f>
        <v>4141</v>
      </c>
      <c r="D43" s="424"/>
      <c r="E43" s="425">
        <f>SUM(E10:E42)</f>
        <v>36</v>
      </c>
      <c r="F43" s="426">
        <f>E43/C43*1000</f>
        <v>8.6935522820574747</v>
      </c>
      <c r="G43" s="424"/>
      <c r="H43" s="423">
        <f>SUM(H10:H42)</f>
        <v>751</v>
      </c>
      <c r="I43" s="426">
        <f>H43/C43*1000</f>
        <v>181.35716010625453</v>
      </c>
      <c r="J43"/>
      <c r="M43"/>
      <c r="N43"/>
      <c r="O43"/>
      <c r="P43"/>
      <c r="Q43"/>
      <c r="R43"/>
    </row>
    <row r="44" spans="1:18" s="39" customFormat="1" ht="15.75" customHeight="1" x14ac:dyDescent="0.2">
      <c r="A44"/>
      <c r="B44"/>
      <c r="C44"/>
      <c r="D44" s="12"/>
      <c r="E44"/>
      <c r="F44"/>
      <c r="G44"/>
      <c r="H44"/>
      <c r="J44"/>
    </row>
    <row r="45" spans="1:18" x14ac:dyDescent="0.2">
      <c r="D45"/>
      <c r="J45"/>
    </row>
    <row r="46" spans="1:18" x14ac:dyDescent="0.2">
      <c r="D46"/>
      <c r="J46"/>
    </row>
    <row r="47" spans="1:18" x14ac:dyDescent="0.2">
      <c r="D47"/>
      <c r="J47"/>
    </row>
    <row r="48" spans="1:18" x14ac:dyDescent="0.2">
      <c r="D48"/>
    </row>
    <row r="49" spans="4:4" x14ac:dyDescent="0.2">
      <c r="D49"/>
    </row>
    <row r="50" spans="4:4" x14ac:dyDescent="0.2">
      <c r="D50"/>
    </row>
    <row r="51" spans="4:4" x14ac:dyDescent="0.2">
      <c r="D51"/>
    </row>
    <row r="52" spans="4:4" x14ac:dyDescent="0.2">
      <c r="D52"/>
    </row>
    <row r="53" spans="4:4" x14ac:dyDescent="0.2">
      <c r="D53"/>
    </row>
    <row r="54" spans="4:4" x14ac:dyDescent="0.2">
      <c r="D54"/>
    </row>
    <row r="55" spans="4:4" x14ac:dyDescent="0.2">
      <c r="D55"/>
    </row>
    <row r="56" spans="4:4" x14ac:dyDescent="0.2">
      <c r="D56"/>
    </row>
    <row r="57" spans="4:4" x14ac:dyDescent="0.2">
      <c r="D57"/>
    </row>
    <row r="58" spans="4:4" x14ac:dyDescent="0.2">
      <c r="D58"/>
    </row>
    <row r="59" spans="4:4" x14ac:dyDescent="0.2">
      <c r="D59"/>
    </row>
    <row r="60" spans="4:4" x14ac:dyDescent="0.2">
      <c r="D60"/>
    </row>
  </sheetData>
  <sheetProtection algorithmName="SHA-512" hashValue="LgdeAz7ko8FXuj4Mkbjm35zJoNCH5HVf2kltnVCk4RGtPsXhAAajKnx5QMY8JQH73PItBzgudvt4UdhWr+jKTw==" saltValue="T29DsASK71iBUJT+qi+4Dg==" spinCount="100000" sheet="1" scenarios="1" formatCells="0" formatColumns="0" formatRows="0" sort="0" autoFilter="0" pivotTables="0"/>
  <mergeCells count="2">
    <mergeCell ref="E8:F8"/>
    <mergeCell ref="H8:I8"/>
  </mergeCells>
  <hyperlinks>
    <hyperlink ref="A2" location="'Table of Contents'!A1" display="Back to Table of Contents" xr:uid="{00000000-0004-0000-78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43">
    <tabColor rgb="FFBF8F00"/>
    <pageSetUpPr fitToPage="1"/>
  </sheetPr>
  <dimension ref="A1:K52"/>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8.28515625" customWidth="1"/>
    <col min="2" max="2" width="12.28515625" customWidth="1"/>
    <col min="3" max="3" width="11.85546875" customWidth="1"/>
    <col min="4" max="4" width="12.85546875" customWidth="1"/>
    <col min="5" max="5" width="12.5703125" customWidth="1"/>
    <col min="6" max="6" width="5.85546875" customWidth="1"/>
    <col min="7" max="7" width="12.7109375" customWidth="1"/>
    <col min="8" max="9" width="11.140625" customWidth="1"/>
    <col min="10" max="10" width="14.140625" customWidth="1"/>
  </cols>
  <sheetData>
    <row r="1" spans="1:11" ht="15.75" x14ac:dyDescent="0.2">
      <c r="A1" s="298" t="s">
        <v>1133</v>
      </c>
    </row>
    <row r="2" spans="1:11" ht="15.75" customHeight="1" x14ac:dyDescent="0.2">
      <c r="A2" s="106" t="s">
        <v>578</v>
      </c>
    </row>
    <row r="3" spans="1:11" ht="38.25" customHeight="1" x14ac:dyDescent="0.2">
      <c r="A3" s="541" t="s">
        <v>1076</v>
      </c>
      <c r="B3" s="540"/>
      <c r="C3" s="540"/>
      <c r="D3" s="540"/>
      <c r="E3" s="540"/>
      <c r="F3" s="540"/>
      <c r="G3" s="540"/>
      <c r="H3" s="540"/>
      <c r="I3" s="540"/>
      <c r="J3" s="540"/>
      <c r="K3" s="1"/>
    </row>
    <row r="4" spans="1:11" ht="15.75" customHeight="1" x14ac:dyDescent="0.25">
      <c r="A4" s="351" t="s">
        <v>579</v>
      </c>
      <c r="B4" s="1043" t="s">
        <v>1367</v>
      </c>
      <c r="E4" s="374"/>
      <c r="F4" s="374"/>
      <c r="G4" s="374"/>
      <c r="H4" s="374"/>
      <c r="I4" s="374"/>
      <c r="J4" s="374"/>
      <c r="K4" s="1"/>
    </row>
    <row r="5" spans="1:11" ht="15.75" customHeight="1" x14ac:dyDescent="0.25">
      <c r="A5" s="351" t="s">
        <v>580</v>
      </c>
      <c r="B5" s="351" t="s">
        <v>581</v>
      </c>
      <c r="C5" s="374"/>
      <c r="D5" s="374"/>
      <c r="E5" s="374"/>
      <c r="F5" s="374"/>
      <c r="G5" s="374"/>
      <c r="H5" s="374"/>
      <c r="I5" s="374"/>
      <c r="J5" s="374"/>
      <c r="K5" s="1"/>
    </row>
    <row r="6" spans="1:11" ht="15.75" customHeight="1" x14ac:dyDescent="0.25">
      <c r="A6" s="351" t="s">
        <v>582</v>
      </c>
      <c r="B6" s="351" t="s">
        <v>585</v>
      </c>
      <c r="C6" s="374"/>
      <c r="D6" s="374"/>
      <c r="E6" s="374"/>
      <c r="F6" s="374"/>
      <c r="G6" s="374"/>
      <c r="H6" s="374"/>
      <c r="I6" s="374"/>
      <c r="J6" s="374"/>
      <c r="K6" s="1"/>
    </row>
    <row r="7" spans="1:11" ht="15" x14ac:dyDescent="0.25">
      <c r="A7" s="1"/>
      <c r="B7" s="2"/>
      <c r="C7" s="1"/>
      <c r="D7" s="3"/>
      <c r="E7" s="83" t="s">
        <v>0</v>
      </c>
      <c r="F7" s="2"/>
      <c r="G7" s="2"/>
      <c r="H7" s="3"/>
      <c r="I7" s="1"/>
      <c r="J7" s="83" t="s">
        <v>0</v>
      </c>
      <c r="K7" s="1"/>
    </row>
    <row r="8" spans="1:11" x14ac:dyDescent="0.2">
      <c r="A8" s="246"/>
      <c r="B8" s="1378" t="s">
        <v>59</v>
      </c>
      <c r="C8" s="1378"/>
      <c r="D8" s="1378"/>
      <c r="E8" s="1378"/>
      <c r="F8" s="247"/>
      <c r="G8" s="1378" t="s">
        <v>73</v>
      </c>
      <c r="H8" s="1378"/>
      <c r="I8" s="1378"/>
      <c r="J8" s="1378"/>
      <c r="K8" s="248"/>
    </row>
    <row r="9" spans="1:11" ht="24" customHeight="1" x14ac:dyDescent="0.2">
      <c r="A9" s="246"/>
      <c r="B9" s="1379" t="s">
        <v>502</v>
      </c>
      <c r="C9" s="1379"/>
      <c r="D9" s="1379"/>
      <c r="E9" s="1379"/>
      <c r="F9" s="247"/>
      <c r="G9" s="1320" t="s">
        <v>502</v>
      </c>
      <c r="H9" s="1320"/>
      <c r="I9" s="1320"/>
      <c r="J9" s="1320"/>
      <c r="K9" s="248"/>
    </row>
    <row r="10" spans="1:11" ht="18" customHeight="1" x14ac:dyDescent="0.2">
      <c r="A10" s="2" t="s">
        <v>4</v>
      </c>
      <c r="B10" s="77" t="s">
        <v>209</v>
      </c>
      <c r="C10" s="77" t="s">
        <v>210</v>
      </c>
      <c r="D10" s="77" t="s">
        <v>183</v>
      </c>
      <c r="E10" s="77" t="s">
        <v>11</v>
      </c>
      <c r="F10" s="77"/>
      <c r="G10" s="77" t="s">
        <v>209</v>
      </c>
      <c r="H10" s="77" t="s">
        <v>210</v>
      </c>
      <c r="I10" s="77" t="s">
        <v>183</v>
      </c>
      <c r="J10" s="77" t="s">
        <v>11</v>
      </c>
      <c r="K10" s="1"/>
    </row>
    <row r="11" spans="1:11" ht="18.75" customHeight="1" x14ac:dyDescent="0.2">
      <c r="A11" s="378" t="str">
        <f>Sheet3!A4</f>
        <v>2009-10</v>
      </c>
      <c r="B11" s="103">
        <f>Sheet3!B4</f>
        <v>19</v>
      </c>
      <c r="C11" s="103">
        <f>Sheet3!C4</f>
        <v>4</v>
      </c>
      <c r="D11" s="103">
        <f>Sheet3!D4</f>
        <v>25</v>
      </c>
      <c r="E11" s="347">
        <f>SUM(B11:D11)</f>
        <v>48</v>
      </c>
      <c r="F11" s="103"/>
      <c r="G11" s="103">
        <f>Sheet3!F4</f>
        <v>310</v>
      </c>
      <c r="H11" s="103">
        <f>Sheet3!G4</f>
        <v>446</v>
      </c>
      <c r="I11" s="150">
        <f>Sheet3!H4</f>
        <v>136</v>
      </c>
      <c r="J11" s="347">
        <f>SUM(G11:I11)</f>
        <v>892</v>
      </c>
      <c r="K11" s="1"/>
    </row>
    <row r="12" spans="1:11" ht="13.5" customHeight="1" x14ac:dyDescent="0.2">
      <c r="A12" s="29" t="str">
        <f>Sheet3!A5</f>
        <v>2010-11</v>
      </c>
      <c r="B12" s="4">
        <f>Sheet3!B5</f>
        <v>11</v>
      </c>
      <c r="C12" s="4">
        <f>Sheet3!C5</f>
        <v>12</v>
      </c>
      <c r="D12" s="33">
        <f>Sheet3!D5</f>
        <v>20</v>
      </c>
      <c r="E12" s="13">
        <f t="shared" ref="E12:E18" si="0">SUM(B12:D12)</f>
        <v>43</v>
      </c>
      <c r="F12" s="4"/>
      <c r="G12" s="4">
        <f>Sheet3!F5</f>
        <v>265</v>
      </c>
      <c r="H12" s="4">
        <f>Sheet3!G5</f>
        <v>538</v>
      </c>
      <c r="I12" s="33">
        <f>Sheet3!H5</f>
        <v>172</v>
      </c>
      <c r="J12" s="13">
        <f t="shared" ref="J12:J18" si="1">SUM(G12:I12)</f>
        <v>975</v>
      </c>
      <c r="K12" s="1"/>
    </row>
    <row r="13" spans="1:11" ht="13.5" customHeight="1" x14ac:dyDescent="0.2">
      <c r="A13" s="29" t="str">
        <f>Sheet3!A6</f>
        <v>2011-12</v>
      </c>
      <c r="B13" s="4">
        <f>Sheet3!B6</f>
        <v>14</v>
      </c>
      <c r="C13" s="4">
        <f>Sheet3!C6</f>
        <v>13</v>
      </c>
      <c r="D13" s="33">
        <f>Sheet3!D6</f>
        <v>17</v>
      </c>
      <c r="E13" s="13">
        <f t="shared" si="0"/>
        <v>44</v>
      </c>
      <c r="F13" s="4"/>
      <c r="G13" s="4">
        <f>Sheet3!F6</f>
        <v>300</v>
      </c>
      <c r="H13" s="4">
        <f>Sheet3!G6</f>
        <v>513</v>
      </c>
      <c r="I13" s="33">
        <f>Sheet3!H6</f>
        <v>169</v>
      </c>
      <c r="J13" s="13">
        <f t="shared" si="1"/>
        <v>982</v>
      </c>
      <c r="K13" s="1"/>
    </row>
    <row r="14" spans="1:11" ht="13.5" customHeight="1" x14ac:dyDescent="0.2">
      <c r="A14" s="29" t="str">
        <f>Sheet3!A7</f>
        <v>2012-13</v>
      </c>
      <c r="B14" s="4">
        <f>Sheet3!B7</f>
        <v>12</v>
      </c>
      <c r="C14" s="4">
        <f>Sheet3!C7</f>
        <v>10</v>
      </c>
      <c r="D14" s="33">
        <f>Sheet3!D7</f>
        <v>14</v>
      </c>
      <c r="E14" s="13">
        <f t="shared" si="0"/>
        <v>36</v>
      </c>
      <c r="F14" s="4"/>
      <c r="G14" s="4">
        <f>Sheet3!F7</f>
        <v>277</v>
      </c>
      <c r="H14" s="4">
        <f>Sheet3!G7</f>
        <v>608</v>
      </c>
      <c r="I14" s="33">
        <f>Sheet3!H7</f>
        <v>129</v>
      </c>
      <c r="J14" s="13">
        <f t="shared" si="1"/>
        <v>1014</v>
      </c>
      <c r="K14" s="1"/>
    </row>
    <row r="15" spans="1:11" ht="13.5" customHeight="1" x14ac:dyDescent="0.2">
      <c r="A15" s="29" t="str">
        <f>Sheet3!A8</f>
        <v>2013-14</v>
      </c>
      <c r="B15" s="4">
        <f>Sheet3!B8</f>
        <v>6</v>
      </c>
      <c r="C15" s="4">
        <f>Sheet3!C8</f>
        <v>6</v>
      </c>
      <c r="D15" s="33">
        <f>Sheet3!D8</f>
        <v>13</v>
      </c>
      <c r="E15" s="13">
        <f t="shared" si="0"/>
        <v>25</v>
      </c>
      <c r="F15" s="4"/>
      <c r="G15" s="4">
        <f>Sheet3!F8</f>
        <v>341</v>
      </c>
      <c r="H15" s="4">
        <f>Sheet3!G8</f>
        <v>510</v>
      </c>
      <c r="I15" s="33">
        <f>Sheet3!H8</f>
        <v>135</v>
      </c>
      <c r="J15" s="13">
        <f t="shared" si="1"/>
        <v>986</v>
      </c>
      <c r="K15" s="1"/>
    </row>
    <row r="16" spans="1:11" ht="13.5" customHeight="1" x14ac:dyDescent="0.2">
      <c r="A16" s="29" t="str">
        <f>Sheet3!A9</f>
        <v>2014-15</v>
      </c>
      <c r="B16" s="4">
        <f>Sheet3!B9</f>
        <v>4</v>
      </c>
      <c r="C16" s="4">
        <f>Sheet3!C9</f>
        <v>11</v>
      </c>
      <c r="D16" s="33">
        <f>Sheet3!D9</f>
        <v>12</v>
      </c>
      <c r="E16" s="13">
        <f t="shared" si="0"/>
        <v>27</v>
      </c>
      <c r="F16" s="4"/>
      <c r="G16" s="4">
        <f>Sheet3!F9</f>
        <v>219</v>
      </c>
      <c r="H16" s="4">
        <f>Sheet3!G9</f>
        <v>460</v>
      </c>
      <c r="I16" s="33">
        <f>Sheet3!H9</f>
        <v>147</v>
      </c>
      <c r="J16" s="13">
        <f t="shared" si="1"/>
        <v>826</v>
      </c>
      <c r="K16" s="1"/>
    </row>
    <row r="17" spans="1:11" ht="13.5" customHeight="1" x14ac:dyDescent="0.2">
      <c r="A17" s="29" t="str">
        <f>Sheet3!A10</f>
        <v>2015-16</v>
      </c>
      <c r="B17" s="4">
        <f>Sheet3!B10</f>
        <v>12</v>
      </c>
      <c r="C17" s="4">
        <f>Sheet3!C10</f>
        <v>9</v>
      </c>
      <c r="D17" s="33">
        <f>Sheet3!D10</f>
        <v>12</v>
      </c>
      <c r="E17" s="13">
        <f t="shared" si="0"/>
        <v>33</v>
      </c>
      <c r="F17" s="4"/>
      <c r="G17" s="4">
        <f>Sheet3!F10</f>
        <v>280</v>
      </c>
      <c r="H17" s="4">
        <f>Sheet3!G10</f>
        <v>509</v>
      </c>
      <c r="I17" s="33">
        <f>Sheet3!H10</f>
        <v>136</v>
      </c>
      <c r="J17" s="13">
        <f t="shared" si="1"/>
        <v>925</v>
      </c>
      <c r="K17" s="1"/>
    </row>
    <row r="18" spans="1:11" ht="13.5" customHeight="1" x14ac:dyDescent="0.2">
      <c r="A18" s="29" t="str">
        <f>Sheet3!A11</f>
        <v>2016-17</v>
      </c>
      <c r="B18" s="4">
        <f>Sheet3!B11</f>
        <v>9</v>
      </c>
      <c r="C18" s="4">
        <f>Sheet3!C11</f>
        <v>4</v>
      </c>
      <c r="D18" s="33">
        <f>Sheet3!D11</f>
        <v>18</v>
      </c>
      <c r="E18" s="13">
        <f t="shared" si="0"/>
        <v>31</v>
      </c>
      <c r="F18" s="4"/>
      <c r="G18" s="4">
        <f>Sheet3!F11</f>
        <v>271</v>
      </c>
      <c r="H18" s="4">
        <f>Sheet3!G11</f>
        <v>518</v>
      </c>
      <c r="I18" s="33">
        <f>Sheet3!H11</f>
        <v>151</v>
      </c>
      <c r="J18" s="13">
        <f t="shared" si="1"/>
        <v>940</v>
      </c>
      <c r="K18" s="1"/>
    </row>
    <row r="19" spans="1:11" ht="13.5" customHeight="1" x14ac:dyDescent="0.2">
      <c r="A19" s="29" t="str">
        <f>Sheet3!A12</f>
        <v>2017-18</v>
      </c>
      <c r="B19" s="4">
        <f>Sheet3!B12</f>
        <v>10</v>
      </c>
      <c r="C19" s="4">
        <f>Sheet3!C12</f>
        <v>9</v>
      </c>
      <c r="D19" s="33">
        <f>Sheet3!D12</f>
        <v>15</v>
      </c>
      <c r="E19" s="13">
        <f t="shared" ref="E19:E21" si="2">SUM(B19:D19)</f>
        <v>34</v>
      </c>
      <c r="F19" s="4"/>
      <c r="G19" s="4">
        <f>Sheet3!F12</f>
        <v>255</v>
      </c>
      <c r="H19" s="4">
        <f>Sheet3!G12</f>
        <v>417</v>
      </c>
      <c r="I19" s="33">
        <f>Sheet3!H12</f>
        <v>125</v>
      </c>
      <c r="J19" s="13">
        <f t="shared" ref="J19:J21" si="3">SUM(G19:I19)</f>
        <v>797</v>
      </c>
      <c r="K19" s="1"/>
    </row>
    <row r="20" spans="1:11" ht="13.5" customHeight="1" x14ac:dyDescent="0.2">
      <c r="A20" s="29" t="str">
        <f>Sheet3!A13</f>
        <v>2018-19</v>
      </c>
      <c r="B20" s="4">
        <f>Sheet3!B13</f>
        <v>8</v>
      </c>
      <c r="C20" s="4">
        <f>Sheet3!C13</f>
        <v>11</v>
      </c>
      <c r="D20" s="33">
        <f>Sheet3!D13</f>
        <v>17</v>
      </c>
      <c r="E20" s="13">
        <f t="shared" si="2"/>
        <v>36</v>
      </c>
      <c r="F20" s="4"/>
      <c r="G20" s="4">
        <f>Sheet3!F13</f>
        <v>244</v>
      </c>
      <c r="H20" s="4">
        <f>Sheet3!G13</f>
        <v>472</v>
      </c>
      <c r="I20" s="33">
        <f>Sheet3!H13</f>
        <v>170</v>
      </c>
      <c r="J20" s="13">
        <f t="shared" si="3"/>
        <v>886</v>
      </c>
      <c r="K20" s="1"/>
    </row>
    <row r="21" spans="1:11" ht="13.5" customHeight="1" x14ac:dyDescent="0.2">
      <c r="A21" s="346" t="str">
        <f>Sheet3!A14</f>
        <v>2019-20</v>
      </c>
      <c r="B21" s="4">
        <f>Sheet3!B14</f>
        <v>6</v>
      </c>
      <c r="C21" s="4">
        <f>Sheet3!C14</f>
        <v>5</v>
      </c>
      <c r="D21" s="33">
        <f>Sheet3!D14</f>
        <v>10</v>
      </c>
      <c r="E21" s="13">
        <f t="shared" si="2"/>
        <v>21</v>
      </c>
      <c r="F21" s="4"/>
      <c r="G21" s="4">
        <f>Sheet3!F14</f>
        <v>254</v>
      </c>
      <c r="H21" s="4">
        <f>Sheet3!G14</f>
        <v>375</v>
      </c>
      <c r="I21" s="33">
        <f>Sheet3!H14</f>
        <v>114</v>
      </c>
      <c r="J21" s="13">
        <f t="shared" si="3"/>
        <v>743</v>
      </c>
      <c r="K21" s="1"/>
    </row>
    <row r="22" spans="1:11" ht="13.5" thickBot="1" x14ac:dyDescent="0.25">
      <c r="A22" s="348" t="str">
        <f>Sheet3!A15</f>
        <v>2020-21</v>
      </c>
      <c r="B22" s="349">
        <f>Sheet3!B15</f>
        <v>8</v>
      </c>
      <c r="C22" s="349">
        <f>Sheet3!C15</f>
        <v>12</v>
      </c>
      <c r="D22" s="383">
        <f>Sheet3!D15</f>
        <v>16</v>
      </c>
      <c r="E22" s="350">
        <f t="shared" ref="E22" si="4">SUM(B22:D22)</f>
        <v>36</v>
      </c>
      <c r="F22" s="349"/>
      <c r="G22" s="349">
        <f>Sheet3!F15</f>
        <v>216</v>
      </c>
      <c r="H22" s="349">
        <f>Sheet3!G15</f>
        <v>392</v>
      </c>
      <c r="I22" s="383">
        <f>Sheet3!H15</f>
        <v>143</v>
      </c>
      <c r="J22" s="350">
        <f t="shared" ref="J22" si="5">SUM(G22:I22)</f>
        <v>751</v>
      </c>
      <c r="K22" s="1"/>
    </row>
    <row r="23" spans="1:11" x14ac:dyDescent="0.2">
      <c r="A23" s="1"/>
      <c r="B23" s="1"/>
      <c r="C23" s="1"/>
      <c r="D23" s="1"/>
      <c r="E23" s="1"/>
      <c r="F23" s="1"/>
      <c r="G23" s="1"/>
      <c r="H23" s="1"/>
      <c r="I23" s="1"/>
      <c r="J23" s="1"/>
      <c r="K23" s="1"/>
    </row>
    <row r="24" spans="1:11" x14ac:dyDescent="0.2">
      <c r="B24" s="1"/>
      <c r="C24" s="1"/>
      <c r="D24" s="1"/>
      <c r="E24" s="1"/>
      <c r="F24" s="1"/>
      <c r="G24" s="1"/>
      <c r="H24" s="1"/>
      <c r="I24" s="1"/>
      <c r="J24" s="1"/>
      <c r="K24" s="1"/>
    </row>
    <row r="25" spans="1:11" x14ac:dyDescent="0.2">
      <c r="I25" s="1"/>
      <c r="J25" s="1"/>
      <c r="K25" s="1"/>
    </row>
    <row r="26" spans="1:11" ht="29.25" customHeight="1" x14ac:dyDescent="0.2">
      <c r="A26" s="541" t="s">
        <v>1077</v>
      </c>
      <c r="B26" s="540"/>
      <c r="I26" s="1"/>
      <c r="J26" s="1"/>
      <c r="K26" s="1"/>
    </row>
    <row r="27" spans="1:11" ht="15" x14ac:dyDescent="0.25">
      <c r="A27" s="351" t="s">
        <v>579</v>
      </c>
      <c r="B27" s="1043" t="s">
        <v>1368</v>
      </c>
      <c r="I27" s="1"/>
      <c r="J27" s="1"/>
      <c r="K27" s="1"/>
    </row>
    <row r="28" spans="1:11" ht="15" x14ac:dyDescent="0.25">
      <c r="A28" s="351" t="s">
        <v>580</v>
      </c>
      <c r="B28" s="351" t="s">
        <v>581</v>
      </c>
      <c r="I28" s="1"/>
      <c r="J28" s="1"/>
      <c r="K28" s="1"/>
    </row>
    <row r="29" spans="1:11" ht="15" x14ac:dyDescent="0.25">
      <c r="A29" s="351" t="s">
        <v>582</v>
      </c>
      <c r="B29" s="351" t="s">
        <v>585</v>
      </c>
      <c r="I29" s="1"/>
      <c r="J29" s="1"/>
      <c r="K29" s="1"/>
    </row>
    <row r="30" spans="1:11" ht="14.25" x14ac:dyDescent="0.2">
      <c r="A30" s="1"/>
      <c r="B30" s="1"/>
      <c r="C30" s="1"/>
      <c r="D30" s="5"/>
      <c r="E30" s="61" t="s">
        <v>504</v>
      </c>
      <c r="F30" s="5"/>
      <c r="G30" s="5"/>
      <c r="H30" s="5"/>
      <c r="I30" s="5"/>
      <c r="J30" s="61" t="s">
        <v>504</v>
      </c>
      <c r="K30" s="1"/>
    </row>
    <row r="31" spans="1:11" x14ac:dyDescent="0.2">
      <c r="A31" s="246"/>
      <c r="B31" s="1378" t="s">
        <v>59</v>
      </c>
      <c r="C31" s="1378"/>
      <c r="D31" s="1378"/>
      <c r="E31" s="1378"/>
      <c r="F31" s="247"/>
      <c r="G31" s="1378" t="s">
        <v>73</v>
      </c>
      <c r="H31" s="1378"/>
      <c r="I31" s="1378"/>
      <c r="J31" s="1378"/>
      <c r="K31" s="248"/>
    </row>
    <row r="32" spans="1:11" ht="21.75" customHeight="1" x14ac:dyDescent="0.2">
      <c r="A32" s="246"/>
      <c r="B32" s="1320" t="s">
        <v>502</v>
      </c>
      <c r="C32" s="1320"/>
      <c r="D32" s="1320"/>
      <c r="E32" s="1320"/>
      <c r="F32" s="247"/>
      <c r="G32" s="1320" t="s">
        <v>502</v>
      </c>
      <c r="H32" s="1320"/>
      <c r="I32" s="1320"/>
      <c r="J32" s="1320"/>
      <c r="K32" s="248"/>
    </row>
    <row r="33" spans="1:11" ht="19.5" customHeight="1" x14ac:dyDescent="0.2">
      <c r="A33" s="2" t="s">
        <v>4</v>
      </c>
      <c r="B33" s="77" t="s">
        <v>212</v>
      </c>
      <c r="C33" s="77" t="s">
        <v>210</v>
      </c>
      <c r="D33" s="77" t="s">
        <v>183</v>
      </c>
      <c r="E33" s="77" t="s">
        <v>11</v>
      </c>
      <c r="F33" s="2"/>
      <c r="G33" s="77" t="s">
        <v>209</v>
      </c>
      <c r="H33" s="77" t="s">
        <v>210</v>
      </c>
      <c r="I33" s="77" t="s">
        <v>183</v>
      </c>
      <c r="J33" s="77" t="s">
        <v>11</v>
      </c>
      <c r="K33" s="1"/>
    </row>
    <row r="34" spans="1:11" ht="18.75" customHeight="1" x14ac:dyDescent="0.2">
      <c r="A34" s="446" t="str">
        <f>Sheet3!A4</f>
        <v>2009-10</v>
      </c>
      <c r="B34" s="219">
        <f>B11/'ADF AlcoholDrugs'!B10*1000</f>
        <v>21.252796420581657</v>
      </c>
      <c r="C34" s="219">
        <f>C11/'ADF AlcoholDrugs'!C10*1000</f>
        <v>1.084010840108401</v>
      </c>
      <c r="D34" s="219">
        <f>D11/'ADF AlcoholDrugs'!D10*1000</f>
        <v>31.928480204342275</v>
      </c>
      <c r="E34" s="868">
        <f>E11/'ADF AlcoholDrugs'!E10*1000</f>
        <v>8.9435438792621582</v>
      </c>
      <c r="F34" s="635"/>
      <c r="G34" s="219">
        <f>G11/'ADF AlcoholDrugs'!B10*1000</f>
        <v>346.75615212527964</v>
      </c>
      <c r="H34" s="219">
        <f>H11/'ADF AlcoholDrugs'!C10*1000</f>
        <v>120.86720867208672</v>
      </c>
      <c r="I34" s="219">
        <f>I11/'ADF AlcoholDrugs'!D10*1000</f>
        <v>173.69093231162196</v>
      </c>
      <c r="J34" s="868">
        <f>J11/'ADF AlcoholDrugs'!E10*1000</f>
        <v>166.20085708962176</v>
      </c>
      <c r="K34" s="1"/>
    </row>
    <row r="35" spans="1:11" ht="13.5" customHeight="1" x14ac:dyDescent="0.2">
      <c r="A35" s="29" t="str">
        <f>Sheet3!A5</f>
        <v>2010-11</v>
      </c>
      <c r="B35" s="87">
        <f>B12/'ADF AlcoholDrugs'!B11*1000</f>
        <v>13.142174432497013</v>
      </c>
      <c r="C35" s="87">
        <f>C12/'ADF AlcoholDrugs'!C11*1000</f>
        <v>3.251151449471688</v>
      </c>
      <c r="D35" s="87">
        <f>D12/'ADF AlcoholDrugs'!D11*1000</f>
        <v>29.368575624082233</v>
      </c>
      <c r="E35" s="867">
        <f>E12/'ADF AlcoholDrugs'!E11*1000</f>
        <v>8.2549433672489929</v>
      </c>
      <c r="F35" s="576"/>
      <c r="G35" s="87">
        <f>G12/'ADF AlcoholDrugs'!B11*1000</f>
        <v>316.60692951015534</v>
      </c>
      <c r="H35" s="87">
        <f>H12/'ADF AlcoholDrugs'!C11*1000</f>
        <v>145.75995665131398</v>
      </c>
      <c r="I35" s="87">
        <f>I12/'ADF AlcoholDrugs'!D11*1000</f>
        <v>252.56975036710722</v>
      </c>
      <c r="J35" s="867">
        <f>J12/'ADF AlcoholDrugs'!E11*1000</f>
        <v>187.17604146669225</v>
      </c>
      <c r="K35" s="1"/>
    </row>
    <row r="36" spans="1:11" ht="13.5" customHeight="1" x14ac:dyDescent="0.2">
      <c r="A36" s="29" t="str">
        <f>Sheet3!A6</f>
        <v>2011-12</v>
      </c>
      <c r="B36" s="87">
        <f>B13/'ADF AlcoholDrugs'!B12*1000</f>
        <v>16.147635524798154</v>
      </c>
      <c r="C36" s="87">
        <f>C13/'ADF AlcoholDrugs'!C12*1000</f>
        <v>3.6588798198705321</v>
      </c>
      <c r="D36" s="87">
        <f>D13/'ADF AlcoholDrugs'!D12*1000</f>
        <v>24.390243902439025</v>
      </c>
      <c r="E36" s="867">
        <f>E13/'ADF AlcoholDrugs'!E12*1000</f>
        <v>8.5987883525503221</v>
      </c>
      <c r="F36" s="576"/>
      <c r="G36" s="87">
        <f>G13/'ADF AlcoholDrugs'!B12*1000</f>
        <v>346.02076124567469</v>
      </c>
      <c r="H36" s="87">
        <f>H13/'ADF AlcoholDrugs'!C12*1000</f>
        <v>144.38502673796791</v>
      </c>
      <c r="I36" s="87">
        <f>I13/'ADF AlcoholDrugs'!D12*1000</f>
        <v>242.46771879483501</v>
      </c>
      <c r="J36" s="867">
        <f>J13/'ADF AlcoholDrugs'!E12*1000</f>
        <v>191.90932186828218</v>
      </c>
      <c r="K36" s="1"/>
    </row>
    <row r="37" spans="1:11" ht="13.5" customHeight="1" x14ac:dyDescent="0.2">
      <c r="A37" s="29" t="str">
        <f>Sheet3!A7</f>
        <v>2012-13</v>
      </c>
      <c r="B37" s="87">
        <f>B14/'ADF AlcoholDrugs'!B13*1000</f>
        <v>15.444015444015445</v>
      </c>
      <c r="C37" s="87">
        <f>C14/'ADF AlcoholDrugs'!C13*1000</f>
        <v>2.7940765576976809</v>
      </c>
      <c r="D37" s="87">
        <f>D14/'ADF AlcoholDrugs'!D13*1000</f>
        <v>21.8408736349454</v>
      </c>
      <c r="E37" s="867">
        <f>E14/'ADF AlcoholDrugs'!E13*1000</f>
        <v>7.2043225935561335</v>
      </c>
      <c r="F37" s="576"/>
      <c r="G37" s="87">
        <f>G14/'ADF AlcoholDrugs'!B13*1000</f>
        <v>356.49935649935651</v>
      </c>
      <c r="H37" s="87">
        <f>H14/'ADF AlcoholDrugs'!C13*1000</f>
        <v>169.879854708019</v>
      </c>
      <c r="I37" s="87">
        <f>I14/'ADF AlcoholDrugs'!D13*1000</f>
        <v>201.24804992199688</v>
      </c>
      <c r="J37" s="867">
        <f>J14/'ADF AlcoholDrugs'!E13*1000</f>
        <v>202.9217530518311</v>
      </c>
      <c r="K37" s="1"/>
    </row>
    <row r="38" spans="1:11" ht="13.5" customHeight="1" x14ac:dyDescent="0.2">
      <c r="A38" s="29" t="str">
        <f>Sheet3!A8</f>
        <v>2013-14</v>
      </c>
      <c r="B38" s="87">
        <f>B15/'ADF AlcoholDrugs'!B14*1000</f>
        <v>8.3682008368200833</v>
      </c>
      <c r="C38" s="87">
        <f>C15/'ADF AlcoholDrugs'!C14*1000</f>
        <v>1.784651992861392</v>
      </c>
      <c r="D38" s="87">
        <f>D15/'ADF AlcoholDrugs'!D14*1000</f>
        <v>21.885521885521886</v>
      </c>
      <c r="E38" s="867">
        <f>E15/'ADF AlcoholDrugs'!E14*1000</f>
        <v>5.3498823025893429</v>
      </c>
      <c r="F38" s="576"/>
      <c r="G38" s="87">
        <f>G15/'ADF AlcoholDrugs'!B14*1000</f>
        <v>475.59274755927476</v>
      </c>
      <c r="H38" s="87">
        <f>H15/'ADF AlcoholDrugs'!C14*1000</f>
        <v>151.69541939321832</v>
      </c>
      <c r="I38" s="87">
        <f>I15/'ADF AlcoholDrugs'!D14*1000</f>
        <v>227.27272727272725</v>
      </c>
      <c r="J38" s="867">
        <f>J15/'ADF AlcoholDrugs'!E14*1000</f>
        <v>210.99935801412369</v>
      </c>
      <c r="K38" s="1"/>
    </row>
    <row r="39" spans="1:11" ht="13.5" customHeight="1" x14ac:dyDescent="0.2">
      <c r="A39" s="29" t="str">
        <f>Sheet3!A9</f>
        <v>2014-15</v>
      </c>
      <c r="B39" s="87">
        <f>B16/'ADF AlcoholDrugs'!B15*1000</f>
        <v>5.6737588652482271</v>
      </c>
      <c r="C39" s="87">
        <f>C16/'ADF AlcoholDrugs'!C15*1000</f>
        <v>3.026134800550206</v>
      </c>
      <c r="D39" s="87">
        <f>D16/'ADF AlcoholDrugs'!D15*1000</f>
        <v>19.57585644371941</v>
      </c>
      <c r="E39" s="867">
        <f>E16/'ADF AlcoholDrugs'!E15*1000</f>
        <v>5.4512416717141132</v>
      </c>
      <c r="F39" s="576"/>
      <c r="G39" s="87">
        <f>G16/'ADF AlcoholDrugs'!B15*1000</f>
        <v>310.63829787234044</v>
      </c>
      <c r="H39" s="87">
        <f>H16/'ADF AlcoholDrugs'!C15*1000</f>
        <v>126.54745529573592</v>
      </c>
      <c r="I39" s="87">
        <f>I16/'ADF AlcoholDrugs'!D15*1000</f>
        <v>239.8042414355628</v>
      </c>
      <c r="J39" s="867">
        <f>J16/'ADF AlcoholDrugs'!E15*1000</f>
        <v>166.76761558651324</v>
      </c>
      <c r="K39" s="1"/>
    </row>
    <row r="40" spans="1:11" ht="13.5" customHeight="1" x14ac:dyDescent="0.2">
      <c r="A40" s="29" t="str">
        <f>Sheet3!A10</f>
        <v>2015-16</v>
      </c>
      <c r="B40" s="87">
        <f>B17/'ADF AlcoholDrugs'!B16*1000</f>
        <v>16.551724137931036</v>
      </c>
      <c r="C40" s="87">
        <f>C17/'ADF AlcoholDrugs'!C16*1000</f>
        <v>2.398081534772182</v>
      </c>
      <c r="D40" s="87">
        <f>D17/'ADF AlcoholDrugs'!D16*1000</f>
        <v>20.338983050847457</v>
      </c>
      <c r="E40" s="867">
        <f>E17/'ADF AlcoholDrugs'!E16*1000</f>
        <v>6.5114443567482239</v>
      </c>
      <c r="F40" s="576"/>
      <c r="G40" s="87">
        <f>G17/'ADF AlcoholDrugs'!B16*1000</f>
        <v>386.20689655172413</v>
      </c>
      <c r="H40" s="87">
        <f>H17/'ADF AlcoholDrugs'!C16*1000</f>
        <v>135.62483346656009</v>
      </c>
      <c r="I40" s="87">
        <f>I17/'ADF AlcoholDrugs'!D16*1000</f>
        <v>230.5084745762712</v>
      </c>
      <c r="J40" s="867">
        <f>J17/'ADF AlcoholDrugs'!E16*1000</f>
        <v>182.51775848460932</v>
      </c>
      <c r="K40" s="1"/>
    </row>
    <row r="41" spans="1:11" ht="13.5" customHeight="1" x14ac:dyDescent="0.2">
      <c r="A41" s="29" t="str">
        <f>Sheet3!A11</f>
        <v>2016-17</v>
      </c>
      <c r="B41" s="87">
        <f>B18/'ADF AlcoholDrugs'!B17*1000</f>
        <v>12.78409090909091</v>
      </c>
      <c r="C41" s="87">
        <f>C18/'ADF AlcoholDrugs'!C17*1000</f>
        <v>1.1049723756906078</v>
      </c>
      <c r="D41" s="87">
        <f>D18/'ADF AlcoholDrugs'!D17*1000</f>
        <v>30.100334448160535</v>
      </c>
      <c r="E41" s="867">
        <f>E18/'ADF AlcoholDrugs'!E17*1000</f>
        <v>6.2982527427874846</v>
      </c>
      <c r="F41" s="576"/>
      <c r="G41" s="87">
        <f>G18/'ADF AlcoholDrugs'!B17*1000</f>
        <v>384.94318181818181</v>
      </c>
      <c r="H41" s="87">
        <f>H18/'ADF AlcoholDrugs'!C17*1000</f>
        <v>143.09392265193372</v>
      </c>
      <c r="I41" s="87">
        <f>I18/'ADF AlcoholDrugs'!D17*1000</f>
        <v>252.50836120401337</v>
      </c>
      <c r="J41" s="867">
        <f>J18/'ADF AlcoholDrugs'!E17*1000</f>
        <v>190.97927671678181</v>
      </c>
      <c r="K41" s="1"/>
    </row>
    <row r="42" spans="1:11" ht="13.5" customHeight="1" x14ac:dyDescent="0.2">
      <c r="A42" s="29" t="str">
        <f>Sheet3!A12</f>
        <v>2017-18</v>
      </c>
      <c r="B42" s="87">
        <f>B19/'ADF AlcoholDrugs'!B18*1000</f>
        <v>13.986013986013987</v>
      </c>
      <c r="C42" s="87">
        <f>C19/'ADF AlcoholDrugs'!C18*1000</f>
        <v>2.630809704764689</v>
      </c>
      <c r="D42" s="87">
        <f>D19/'ADF AlcoholDrugs'!D18*1000</f>
        <v>24.390243902439025</v>
      </c>
      <c r="E42" s="867">
        <f>E19/'ADF AlcoholDrugs'!E18*1000</f>
        <v>7.156388128814986</v>
      </c>
      <c r="F42" s="576"/>
      <c r="G42" s="87">
        <f>G19/'ADF AlcoholDrugs'!B18*1000</f>
        <v>356.6433566433567</v>
      </c>
      <c r="H42" s="87">
        <f>H19/'ADF AlcoholDrugs'!C18*1000</f>
        <v>121.89418298743057</v>
      </c>
      <c r="I42" s="87">
        <f>I19/'ADF AlcoholDrugs'!D18*1000</f>
        <v>203.2520325203252</v>
      </c>
      <c r="J42" s="867">
        <f>J19/'ADF AlcoholDrugs'!E18*1000</f>
        <v>167.75415701957482</v>
      </c>
      <c r="K42" s="1"/>
    </row>
    <row r="43" spans="1:11" ht="13.5" customHeight="1" x14ac:dyDescent="0.2">
      <c r="A43" s="29" t="str">
        <f>Sheet3!A13</f>
        <v>2018-19</v>
      </c>
      <c r="B43" s="87">
        <f>B20/'ADF AlcoholDrugs'!B19*1000</f>
        <v>11.494252873563218</v>
      </c>
      <c r="C43" s="87">
        <f>C20/'ADF AlcoholDrugs'!C19*1000</f>
        <v>3.3292978208232444</v>
      </c>
      <c r="D43" s="87">
        <f>D20/'ADF AlcoholDrugs'!D19*1000</f>
        <v>26.771653543307085</v>
      </c>
      <c r="E43" s="867">
        <f>E20/'ADF AlcoholDrugs'!E19*1000</f>
        <v>7.766990291262136</v>
      </c>
      <c r="F43" s="576"/>
      <c r="G43" s="87">
        <f>G20/'ADF AlcoholDrugs'!B19*1000</f>
        <v>350.5747126436782</v>
      </c>
      <c r="H43" s="87">
        <f>H20/'ADF AlcoholDrugs'!C19*1000</f>
        <v>142.85714285714286</v>
      </c>
      <c r="I43" s="87">
        <f>I20/'ADF AlcoholDrugs'!D19*1000</f>
        <v>267.71653543307087</v>
      </c>
      <c r="J43" s="867">
        <f>J20/'ADF AlcoholDrugs'!E19*1000</f>
        <v>191.15426105717367</v>
      </c>
      <c r="K43" s="1"/>
    </row>
    <row r="44" spans="1:11" ht="13.5" customHeight="1" x14ac:dyDescent="0.2">
      <c r="A44" s="346" t="str">
        <f>Sheet3!A14</f>
        <v>2019-20</v>
      </c>
      <c r="B44" s="87">
        <f>B21/'ADF AlcoholDrugs'!B20*1000</f>
        <v>8.720930232558139</v>
      </c>
      <c r="C44" s="87">
        <f>C21/'ADF AlcoholDrugs'!C20*1000</f>
        <v>1.6160310277957335</v>
      </c>
      <c r="D44" s="87">
        <f>D21/'ADF AlcoholDrugs'!D20*1000</f>
        <v>17.152658662092627</v>
      </c>
      <c r="E44" s="867">
        <f>E21/'ADF AlcoholDrugs'!E20*1000</f>
        <v>4.8109965635738838</v>
      </c>
      <c r="F44" s="576"/>
      <c r="G44" s="87">
        <f>G21/'ADF AlcoholDrugs'!B20*1000</f>
        <v>369.18604651162792</v>
      </c>
      <c r="H44" s="87">
        <f>H21/'ADF AlcoholDrugs'!C20*1000</f>
        <v>121.20232708468002</v>
      </c>
      <c r="I44" s="87">
        <f>I21/'ADF AlcoholDrugs'!D20*1000</f>
        <v>195.5403087478559</v>
      </c>
      <c r="J44" s="867">
        <f>J21/'ADF AlcoholDrugs'!E20*1000</f>
        <v>170.2176403207331</v>
      </c>
      <c r="K44" s="1"/>
    </row>
    <row r="45" spans="1:11" ht="13.5" thickBot="1" x14ac:dyDescent="0.25">
      <c r="A45" s="348" t="str">
        <f>Sheet3!A15</f>
        <v>2020-21</v>
      </c>
      <c r="B45" s="869">
        <f>B22/'ADF AlcoholDrugs'!B21*1000</f>
        <v>12.030075187969926</v>
      </c>
      <c r="C45" s="869">
        <f>C22/'ADF AlcoholDrugs'!C21*1000</f>
        <v>4.1407867494824018</v>
      </c>
      <c r="D45" s="869">
        <f>D22/'ADF AlcoholDrugs'!D21*1000</f>
        <v>27.681660899653981</v>
      </c>
      <c r="E45" s="870">
        <f>E22/'ADF AlcoholDrugs'!E21*1000</f>
        <v>8.6935522820574747</v>
      </c>
      <c r="F45" s="637"/>
      <c r="G45" s="869">
        <f>G22/'ADF AlcoholDrugs'!B21*1000</f>
        <v>324.81203007518798</v>
      </c>
      <c r="H45" s="869">
        <f>H22/'ADF AlcoholDrugs'!C21*1000</f>
        <v>135.26570048309179</v>
      </c>
      <c r="I45" s="869">
        <f>I22/'ADF AlcoholDrugs'!D21*1000</f>
        <v>247.40484429065742</v>
      </c>
      <c r="J45" s="870">
        <f>J22/'ADF AlcoholDrugs'!E21*1000</f>
        <v>181.35716010625453</v>
      </c>
      <c r="K45" s="1"/>
    </row>
    <row r="46" spans="1:11" x14ac:dyDescent="0.2">
      <c r="A46" s="1"/>
      <c r="I46" s="1"/>
      <c r="J46" s="1"/>
      <c r="K46" s="1"/>
    </row>
    <row r="47" spans="1:11" ht="13.5" thickBot="1" x14ac:dyDescent="0.25">
      <c r="A47" s="788" t="s">
        <v>829</v>
      </c>
      <c r="B47" s="787">
        <f>SUM(B13:B22)/SUM('ADF AlcoholDrugs'!B12:B21)*1000</f>
        <v>12.260641961702714</v>
      </c>
      <c r="C47" s="787">
        <f>SUM(C13:C22)/SUM('ADF AlcoholDrugs'!C12:C21)*1000</f>
        <v>2.6301177708290715</v>
      </c>
      <c r="D47" s="786"/>
      <c r="E47" s="787">
        <f>SUM(E13:E22)/SUM('ADF AlcoholDrugs'!E12:E21)*1000</f>
        <v>6.7825794800722354</v>
      </c>
      <c r="F47" s="786"/>
      <c r="G47" s="787">
        <f>SUM(G13:G22)/SUM('ADF AlcoholDrugs'!B12:B21)*1000</f>
        <v>366.02837856454056</v>
      </c>
      <c r="H47" s="787">
        <f>SUM(H13:H22)/SUM('ADF AlcoholDrugs'!C12:C21)*1000</f>
        <v>139.51313597708875</v>
      </c>
      <c r="I47" s="786"/>
      <c r="J47" s="1086">
        <f>SUM(J13:J22)/SUM('ADF AlcoholDrugs'!E12:E21)*1000</f>
        <v>185.83847801436312</v>
      </c>
    </row>
    <row r="50" spans="1:1" x14ac:dyDescent="0.2">
      <c r="A50" s="117" t="s">
        <v>146</v>
      </c>
    </row>
    <row r="51" spans="1:1" ht="15" x14ac:dyDescent="0.25">
      <c r="A51" s="966" t="s">
        <v>1233</v>
      </c>
    </row>
    <row r="52" spans="1:1" x14ac:dyDescent="0.2">
      <c r="A52" s="741" t="s">
        <v>1414</v>
      </c>
    </row>
  </sheetData>
  <sheetProtection algorithmName="SHA-512" hashValue="elJZKPzrXsK3/dKxn45CVBrfrBgqmV8P4L+cp4RvlqI0SsVWoLlNatFQn4lyxk+D+J83YwC8ygEre8RDhnUJKQ==" saltValue="+U8KFVxlCDgSkK0zINGZrw==" spinCount="100000" sheet="1" scenarios="1" formatCells="0" formatColumns="0" formatRows="0" sort="0" autoFilter="0" pivotTables="0"/>
  <mergeCells count="8">
    <mergeCell ref="B32:E32"/>
    <mergeCell ref="G32:J32"/>
    <mergeCell ref="B8:E8"/>
    <mergeCell ref="G8:J8"/>
    <mergeCell ref="B31:E31"/>
    <mergeCell ref="G31:J31"/>
    <mergeCell ref="B9:E9"/>
    <mergeCell ref="G9:J9"/>
  </mergeCells>
  <hyperlinks>
    <hyperlink ref="A2" location="'Table of Contents'!A1" display="Back to Table of Contents" xr:uid="{00000000-0004-0000-7900-000000000000}"/>
    <hyperlink ref="A52" location="'ADF AlcoholDrugs'!A3" display="Fire Incidents &gt; Accidental Dwelling Fires &gt; Impairment by Alcohol/Drugs" xr:uid="{00000000-0004-0000-7900-000001000000}"/>
  </hyperlinks>
  <pageMargins left="0.7" right="0.7" top="0.75" bottom="0.75" header="0.3" footer="0.3"/>
  <pageSetup paperSize="9" scale="6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30">
    <tabColor rgb="FFBF8F00"/>
  </sheetPr>
  <dimension ref="A1:I68"/>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8" customWidth="1"/>
    <col min="2" max="2" width="19.42578125" customWidth="1"/>
    <col min="3" max="3" width="15.42578125" customWidth="1"/>
    <col min="4" max="5" width="15.7109375" customWidth="1"/>
    <col min="6" max="6" width="14.5703125" customWidth="1"/>
    <col min="9" max="9" width="13.28515625" customWidth="1"/>
    <col min="10" max="10" width="14" customWidth="1"/>
    <col min="11" max="11" width="17.5703125" customWidth="1"/>
  </cols>
  <sheetData>
    <row r="1" spans="1:9" ht="15.75" x14ac:dyDescent="0.2">
      <c r="A1" s="298" t="s">
        <v>1133</v>
      </c>
    </row>
    <row r="2" spans="1:9" ht="15.75" customHeight="1" x14ac:dyDescent="0.2">
      <c r="A2" s="106" t="s">
        <v>578</v>
      </c>
    </row>
    <row r="3" spans="1:9" ht="38.25" customHeight="1" x14ac:dyDescent="0.2">
      <c r="A3" s="120" t="s">
        <v>1046</v>
      </c>
      <c r="B3" s="120"/>
      <c r="C3" s="120"/>
      <c r="D3" s="120"/>
      <c r="E3" s="120"/>
      <c r="F3" s="120"/>
      <c r="G3" s="120"/>
      <c r="H3" s="120"/>
      <c r="I3" s="120"/>
    </row>
    <row r="4" spans="1:9" ht="15" customHeight="1" x14ac:dyDescent="0.25">
      <c r="A4" s="351" t="s">
        <v>579</v>
      </c>
      <c r="B4" s="1043" t="s">
        <v>1369</v>
      </c>
      <c r="D4" s="129"/>
      <c r="E4" s="129"/>
      <c r="F4" s="129"/>
      <c r="G4" s="129"/>
      <c r="H4" s="120"/>
      <c r="I4" s="120"/>
    </row>
    <row r="5" spans="1:9" ht="15" customHeight="1" x14ac:dyDescent="0.25">
      <c r="A5" s="351" t="s">
        <v>580</v>
      </c>
      <c r="B5" s="351" t="s">
        <v>581</v>
      </c>
      <c r="C5" s="129"/>
      <c r="D5" s="129"/>
      <c r="E5" s="129"/>
      <c r="F5" s="129"/>
      <c r="G5" s="129"/>
      <c r="H5" s="120"/>
      <c r="I5" s="120"/>
    </row>
    <row r="6" spans="1:9" ht="15" customHeight="1" x14ac:dyDescent="0.25">
      <c r="A6" s="351" t="s">
        <v>582</v>
      </c>
      <c r="B6" s="351" t="s">
        <v>585</v>
      </c>
      <c r="C6" s="129"/>
      <c r="D6" s="129"/>
      <c r="E6" s="129"/>
      <c r="F6" s="129"/>
      <c r="G6" s="129"/>
      <c r="H6" s="120"/>
      <c r="I6" s="120"/>
    </row>
    <row r="7" spans="1:9" ht="15" x14ac:dyDescent="0.25">
      <c r="A7" s="2"/>
      <c r="B7" s="1"/>
      <c r="C7" s="1"/>
      <c r="D7" s="1"/>
      <c r="E7" s="1"/>
      <c r="F7" s="80" t="s">
        <v>0</v>
      </c>
      <c r="G7" s="1"/>
      <c r="H7" s="1"/>
    </row>
    <row r="8" spans="1:9" ht="15" customHeight="1" x14ac:dyDescent="0.2">
      <c r="A8" s="1313" t="s">
        <v>4</v>
      </c>
      <c r="B8" s="1288" t="s">
        <v>171</v>
      </c>
      <c r="C8" s="1289"/>
      <c r="D8" s="1289"/>
      <c r="E8" s="1289"/>
      <c r="F8" s="1380" t="s">
        <v>172</v>
      </c>
      <c r="G8" s="1"/>
      <c r="H8" s="1"/>
    </row>
    <row r="9" spans="1:9" ht="26.25" customHeight="1" x14ac:dyDescent="0.2">
      <c r="A9" s="1377"/>
      <c r="B9" s="1136" t="s">
        <v>166</v>
      </c>
      <c r="C9" s="1137" t="s">
        <v>167</v>
      </c>
      <c r="D9" s="256" t="s">
        <v>173</v>
      </c>
      <c r="E9" s="256" t="s">
        <v>174</v>
      </c>
      <c r="F9" s="1381"/>
      <c r="G9" s="1"/>
    </row>
    <row r="10" spans="1:9" ht="18.75" customHeight="1" x14ac:dyDescent="0.2">
      <c r="A10" s="346" t="str">
        <f>T14e!A5</f>
        <v>2009-10</v>
      </c>
      <c r="B10" s="43">
        <f>T14e!B5</f>
        <v>267</v>
      </c>
      <c r="C10" s="43">
        <f>T14e!C5</f>
        <v>414</v>
      </c>
      <c r="D10" s="43">
        <f>T14e!D5</f>
        <v>449</v>
      </c>
      <c r="E10" s="43">
        <f>T14e!E5</f>
        <v>93</v>
      </c>
      <c r="F10" s="685">
        <f>SUM(B10:E10)</f>
        <v>1223</v>
      </c>
      <c r="G10" s="68"/>
    </row>
    <row r="11" spans="1:9" ht="13.5" customHeight="1" x14ac:dyDescent="0.2">
      <c r="A11" s="346" t="str">
        <f>T14e!A6</f>
        <v>2010-11</v>
      </c>
      <c r="B11" s="43">
        <f>T14e!B6</f>
        <v>238</v>
      </c>
      <c r="C11" s="43">
        <f>T14e!C6</f>
        <v>448</v>
      </c>
      <c r="D11" s="43">
        <f>T14e!D6</f>
        <v>543</v>
      </c>
      <c r="E11" s="43">
        <f>T14e!E6</f>
        <v>103</v>
      </c>
      <c r="F11" s="685">
        <f t="shared" ref="F11:F17" si="0">SUM(B11:E11)</f>
        <v>1332</v>
      </c>
      <c r="G11" s="68"/>
    </row>
    <row r="12" spans="1:9" ht="13.5" customHeight="1" x14ac:dyDescent="0.2">
      <c r="A12" s="346" t="str">
        <f>T14e!A7</f>
        <v>2011-12</v>
      </c>
      <c r="B12" s="43">
        <f>T14e!B7</f>
        <v>297</v>
      </c>
      <c r="C12" s="43">
        <f>T14e!C7</f>
        <v>522</v>
      </c>
      <c r="D12" s="43">
        <f>T14e!D7</f>
        <v>513</v>
      </c>
      <c r="E12" s="43">
        <f>T14e!E7</f>
        <v>82</v>
      </c>
      <c r="F12" s="685">
        <f t="shared" si="0"/>
        <v>1414</v>
      </c>
      <c r="G12" s="68"/>
    </row>
    <row r="13" spans="1:9" ht="13.5" customHeight="1" x14ac:dyDescent="0.2">
      <c r="A13" s="346" t="str">
        <f>T14e!A8</f>
        <v>2012-13</v>
      </c>
      <c r="B13" s="43">
        <f>T14e!B8</f>
        <v>262</v>
      </c>
      <c r="C13" s="43">
        <f>T14e!C8</f>
        <v>558</v>
      </c>
      <c r="D13" s="43">
        <f>T14e!D8</f>
        <v>442</v>
      </c>
      <c r="E13" s="43">
        <f>T14e!E8</f>
        <v>57</v>
      </c>
      <c r="F13" s="685">
        <f t="shared" si="0"/>
        <v>1319</v>
      </c>
      <c r="G13" s="68"/>
    </row>
    <row r="14" spans="1:9" ht="13.5" customHeight="1" x14ac:dyDescent="0.2">
      <c r="A14" s="346" t="str">
        <f>T14e!A9</f>
        <v>2013-14</v>
      </c>
      <c r="B14" s="43">
        <f>T14e!B9</f>
        <v>221</v>
      </c>
      <c r="C14" s="43">
        <f>T14e!C9</f>
        <v>570</v>
      </c>
      <c r="D14" s="43">
        <f>T14e!D9</f>
        <v>443</v>
      </c>
      <c r="E14" s="43">
        <f>T14e!E9</f>
        <v>76</v>
      </c>
      <c r="F14" s="685">
        <f t="shared" si="0"/>
        <v>1310</v>
      </c>
      <c r="G14" s="68"/>
    </row>
    <row r="15" spans="1:9" ht="13.5" customHeight="1" x14ac:dyDescent="0.2">
      <c r="A15" s="346" t="str">
        <f>T14e!A10</f>
        <v>2014-15</v>
      </c>
      <c r="B15" s="43">
        <f>T14e!B10</f>
        <v>213</v>
      </c>
      <c r="C15" s="43">
        <f>T14e!C10</f>
        <v>441</v>
      </c>
      <c r="D15" s="43">
        <f>T14e!D10</f>
        <v>383</v>
      </c>
      <c r="E15" s="43">
        <f>T14e!E10</f>
        <v>62</v>
      </c>
      <c r="F15" s="685">
        <f t="shared" si="0"/>
        <v>1099</v>
      </c>
      <c r="G15" s="68"/>
      <c r="H15" s="1"/>
    </row>
    <row r="16" spans="1:9" ht="13.5" customHeight="1" x14ac:dyDescent="0.2">
      <c r="A16" s="346" t="str">
        <f>T14e!A11</f>
        <v>2015-16</v>
      </c>
      <c r="B16" s="43">
        <f>T14e!B11</f>
        <v>259</v>
      </c>
      <c r="C16" s="43">
        <f>T14e!C11</f>
        <v>516</v>
      </c>
      <c r="D16" s="43">
        <f>T14e!D11</f>
        <v>431</v>
      </c>
      <c r="E16" s="43">
        <f>T14e!E11</f>
        <v>70</v>
      </c>
      <c r="F16" s="685">
        <f t="shared" si="0"/>
        <v>1276</v>
      </c>
      <c r="G16" s="68"/>
      <c r="H16" s="1"/>
    </row>
    <row r="17" spans="1:8" ht="13.5" customHeight="1" x14ac:dyDescent="0.2">
      <c r="A17" s="346" t="str">
        <f>T14e!A12</f>
        <v>2016-17</v>
      </c>
      <c r="B17" s="43">
        <f>T14e!B12</f>
        <v>330</v>
      </c>
      <c r="C17" s="43">
        <f>T14e!C12</f>
        <v>487</v>
      </c>
      <c r="D17" s="43">
        <f>T14e!D12</f>
        <v>384</v>
      </c>
      <c r="E17" s="43">
        <f>T14e!E12</f>
        <v>65</v>
      </c>
      <c r="F17" s="685">
        <f t="shared" si="0"/>
        <v>1266</v>
      </c>
      <c r="G17" s="68"/>
      <c r="H17" s="1"/>
    </row>
    <row r="18" spans="1:8" ht="13.5" customHeight="1" x14ac:dyDescent="0.2">
      <c r="A18" s="346" t="str">
        <f>T14e!A13</f>
        <v>2017-18</v>
      </c>
      <c r="B18" s="43">
        <f>T14e!B13</f>
        <v>235</v>
      </c>
      <c r="C18" s="43">
        <f>T14e!C13</f>
        <v>462</v>
      </c>
      <c r="D18" s="43">
        <f>T14e!D13</f>
        <v>356</v>
      </c>
      <c r="E18" s="43">
        <f>T14e!E13</f>
        <v>63</v>
      </c>
      <c r="F18" s="685">
        <f t="shared" ref="F18:F21" si="1">SUM(B18:E18)</f>
        <v>1116</v>
      </c>
      <c r="G18" s="68"/>
      <c r="H18" s="1"/>
    </row>
    <row r="19" spans="1:8" ht="13.5" customHeight="1" x14ac:dyDescent="0.2">
      <c r="A19" s="346" t="str">
        <f>T14e!A14</f>
        <v>2018-19</v>
      </c>
      <c r="B19" s="43">
        <f>T14e!B14</f>
        <v>248</v>
      </c>
      <c r="C19" s="43">
        <f>T14e!C14</f>
        <v>523</v>
      </c>
      <c r="D19" s="43">
        <f>T14e!D14</f>
        <v>373</v>
      </c>
      <c r="E19" s="43">
        <f>T14e!E14</f>
        <v>53</v>
      </c>
      <c r="F19" s="685">
        <f t="shared" si="1"/>
        <v>1197</v>
      </c>
      <c r="G19" s="68"/>
      <c r="H19" s="1"/>
    </row>
    <row r="20" spans="1:8" ht="13.5" customHeight="1" x14ac:dyDescent="0.2">
      <c r="A20" s="346" t="str">
        <f>T14e!A15</f>
        <v>2019-20</v>
      </c>
      <c r="B20" s="43">
        <f>T14e!B15</f>
        <v>219</v>
      </c>
      <c r="C20" s="43">
        <f>T14e!C15</f>
        <v>441</v>
      </c>
      <c r="D20" s="43">
        <f>T14e!D15</f>
        <v>314</v>
      </c>
      <c r="E20" s="43">
        <f>T14e!E15</f>
        <v>53</v>
      </c>
      <c r="F20" s="685">
        <f t="shared" si="1"/>
        <v>1027</v>
      </c>
      <c r="G20" s="68"/>
      <c r="H20" s="1"/>
    </row>
    <row r="21" spans="1:8" ht="13.5" thickBot="1" x14ac:dyDescent="0.25">
      <c r="A21" s="348" t="str">
        <f>T14e!A16</f>
        <v>2020-21</v>
      </c>
      <c r="B21" s="1135">
        <f>T14e!B16</f>
        <v>324</v>
      </c>
      <c r="C21" s="1135">
        <f>T14e!C16</f>
        <v>343</v>
      </c>
      <c r="D21" s="1135">
        <f>T14e!D16</f>
        <v>299</v>
      </c>
      <c r="E21" s="1135">
        <f>T14e!E16</f>
        <v>51</v>
      </c>
      <c r="F21" s="701">
        <f t="shared" si="1"/>
        <v>1017</v>
      </c>
      <c r="G21" s="68"/>
      <c r="H21" s="1"/>
    </row>
    <row r="22" spans="1:8" x14ac:dyDescent="0.2">
      <c r="A22" s="1"/>
      <c r="B22" s="1"/>
      <c r="C22" s="1"/>
      <c r="D22" s="1"/>
      <c r="E22" s="1"/>
      <c r="F22" s="1"/>
      <c r="G22" s="1"/>
      <c r="H22" s="1"/>
    </row>
    <row r="23" spans="1:8" x14ac:dyDescent="0.2">
      <c r="A23" s="5"/>
      <c r="B23" s="1"/>
      <c r="C23" s="1"/>
      <c r="D23" s="1"/>
      <c r="E23" s="1"/>
      <c r="F23" s="1"/>
      <c r="G23" s="1"/>
      <c r="H23" s="1"/>
    </row>
    <row r="24" spans="1:8" ht="38.25" customHeight="1" x14ac:dyDescent="0.2">
      <c r="A24" s="237" t="s">
        <v>1047</v>
      </c>
      <c r="B24" s="237"/>
      <c r="C24" s="237"/>
      <c r="D24" s="237"/>
      <c r="E24" s="237"/>
      <c r="F24" s="237"/>
      <c r="G24" s="237"/>
      <c r="H24" s="1"/>
    </row>
    <row r="25" spans="1:8" ht="15" customHeight="1" x14ac:dyDescent="0.25">
      <c r="A25" s="351" t="s">
        <v>579</v>
      </c>
      <c r="B25" s="1043" t="s">
        <v>1370</v>
      </c>
      <c r="D25" s="373"/>
      <c r="E25" s="373"/>
      <c r="F25" s="373"/>
      <c r="G25" s="373"/>
      <c r="H25" s="1"/>
    </row>
    <row r="26" spans="1:8" ht="15" customHeight="1" x14ac:dyDescent="0.25">
      <c r="A26" s="351" t="s">
        <v>580</v>
      </c>
      <c r="B26" s="351" t="s">
        <v>581</v>
      </c>
      <c r="C26" s="373"/>
      <c r="D26" s="373"/>
      <c r="E26" s="373"/>
      <c r="F26" s="373"/>
      <c r="G26" s="373"/>
      <c r="H26" s="1"/>
    </row>
    <row r="27" spans="1:8" ht="15" customHeight="1" x14ac:dyDescent="0.25">
      <c r="A27" s="351" t="s">
        <v>582</v>
      </c>
      <c r="B27" s="351" t="s">
        <v>585</v>
      </c>
      <c r="C27" s="373"/>
      <c r="D27" s="373"/>
      <c r="E27" s="373"/>
      <c r="F27" s="373"/>
      <c r="G27" s="373"/>
      <c r="H27" s="1"/>
    </row>
    <row r="28" spans="1:8" ht="15" x14ac:dyDescent="0.25">
      <c r="A28" s="2"/>
      <c r="B28" s="1"/>
      <c r="C28" s="1"/>
      <c r="D28" s="1"/>
      <c r="E28" s="1"/>
      <c r="F28" s="80" t="s">
        <v>0</v>
      </c>
      <c r="G28" s="1"/>
      <c r="H28" s="1"/>
    </row>
    <row r="29" spans="1:8" x14ac:dyDescent="0.2">
      <c r="A29" s="1313" t="s">
        <v>4</v>
      </c>
      <c r="B29" s="1288" t="s">
        <v>171</v>
      </c>
      <c r="C29" s="1289"/>
      <c r="D29" s="1289"/>
      <c r="E29" s="1289"/>
      <c r="F29" s="1380" t="s">
        <v>172</v>
      </c>
      <c r="G29" s="1"/>
      <c r="H29" s="1"/>
    </row>
    <row r="30" spans="1:8" ht="26.25" customHeight="1" x14ac:dyDescent="0.2">
      <c r="A30" s="1377"/>
      <c r="B30" s="1136" t="s">
        <v>166</v>
      </c>
      <c r="C30" s="1137" t="s">
        <v>167</v>
      </c>
      <c r="D30" s="256" t="s">
        <v>173</v>
      </c>
      <c r="E30" s="256" t="s">
        <v>174</v>
      </c>
      <c r="F30" s="1381"/>
      <c r="G30" s="1"/>
      <c r="H30" s="1"/>
    </row>
    <row r="31" spans="1:8" ht="18.75" customHeight="1" x14ac:dyDescent="0.2">
      <c r="A31" s="567" t="str">
        <f>T14f!A5</f>
        <v>2009-10</v>
      </c>
      <c r="B31" s="70">
        <f>T14f!C5</f>
        <v>245</v>
      </c>
      <c r="C31" s="70">
        <f>T14f!D5</f>
        <v>360</v>
      </c>
      <c r="D31" s="70">
        <f>T14f!E5</f>
        <v>368</v>
      </c>
      <c r="E31" s="70">
        <f>T14f!F5</f>
        <v>59</v>
      </c>
      <c r="F31" s="686">
        <f>SUM(B31:E31)</f>
        <v>1032</v>
      </c>
      <c r="G31" s="68"/>
      <c r="H31" s="9"/>
    </row>
    <row r="32" spans="1:8" ht="13.5" customHeight="1" x14ac:dyDescent="0.2">
      <c r="A32" s="567" t="str">
        <f>T14f!A6</f>
        <v>2010-11</v>
      </c>
      <c r="B32" s="70">
        <f>T14f!C6</f>
        <v>208</v>
      </c>
      <c r="C32" s="70">
        <f>T14f!D6</f>
        <v>391</v>
      </c>
      <c r="D32" s="70">
        <f>T14f!E6</f>
        <v>461</v>
      </c>
      <c r="E32" s="70">
        <f>T14f!F6</f>
        <v>82</v>
      </c>
      <c r="F32" s="686">
        <f t="shared" ref="F32:F38" si="2">SUM(B32:E32)</f>
        <v>1142</v>
      </c>
      <c r="G32" s="68"/>
      <c r="H32" s="9"/>
    </row>
    <row r="33" spans="1:8" ht="13.5" customHeight="1" x14ac:dyDescent="0.2">
      <c r="A33" s="567" t="str">
        <f>T14f!A7</f>
        <v>2011-12</v>
      </c>
      <c r="B33" s="70">
        <f>T14f!C7</f>
        <v>264</v>
      </c>
      <c r="C33" s="70">
        <f>T14f!D7</f>
        <v>458</v>
      </c>
      <c r="D33" s="70">
        <f>T14f!E7</f>
        <v>435</v>
      </c>
      <c r="E33" s="70">
        <f>T14f!F7</f>
        <v>62</v>
      </c>
      <c r="F33" s="686">
        <f t="shared" si="2"/>
        <v>1219</v>
      </c>
      <c r="G33" s="68"/>
      <c r="H33" s="9"/>
    </row>
    <row r="34" spans="1:8" ht="13.5" customHeight="1" x14ac:dyDescent="0.2">
      <c r="A34" s="567" t="str">
        <f>T14f!A8</f>
        <v>2012-13</v>
      </c>
      <c r="B34" s="70">
        <f>T14f!C8</f>
        <v>243</v>
      </c>
      <c r="C34" s="70">
        <f>T14f!D8</f>
        <v>506</v>
      </c>
      <c r="D34" s="70">
        <f>T14f!E8</f>
        <v>374</v>
      </c>
      <c r="E34" s="70">
        <f>T14f!F8</f>
        <v>43</v>
      </c>
      <c r="F34" s="686">
        <f t="shared" si="2"/>
        <v>1166</v>
      </c>
      <c r="G34" s="68"/>
    </row>
    <row r="35" spans="1:8" ht="13.5" customHeight="1" x14ac:dyDescent="0.2">
      <c r="A35" s="567" t="str">
        <f>T14f!A9</f>
        <v>2013-14</v>
      </c>
      <c r="B35" s="70">
        <f>T14f!C9</f>
        <v>198</v>
      </c>
      <c r="C35" s="70">
        <f>T14f!D9</f>
        <v>521</v>
      </c>
      <c r="D35" s="70">
        <f>T14f!E9</f>
        <v>374</v>
      </c>
      <c r="E35" s="70">
        <f>T14f!F9</f>
        <v>47</v>
      </c>
      <c r="F35" s="686">
        <f t="shared" si="2"/>
        <v>1140</v>
      </c>
      <c r="G35" s="68"/>
    </row>
    <row r="36" spans="1:8" ht="13.5" customHeight="1" x14ac:dyDescent="0.2">
      <c r="A36" s="567" t="str">
        <f>T14f!A10</f>
        <v>2014-15</v>
      </c>
      <c r="B36" s="70">
        <f>T14f!C10</f>
        <v>185</v>
      </c>
      <c r="C36" s="70">
        <f>T14f!D10</f>
        <v>384</v>
      </c>
      <c r="D36" s="70">
        <f>T14f!E10</f>
        <v>334</v>
      </c>
      <c r="E36" s="70">
        <f>T14f!F10</f>
        <v>44</v>
      </c>
      <c r="F36" s="686">
        <f t="shared" si="2"/>
        <v>947</v>
      </c>
      <c r="G36" s="68"/>
    </row>
    <row r="37" spans="1:8" ht="13.5" customHeight="1" x14ac:dyDescent="0.2">
      <c r="A37" s="567" t="str">
        <f>T14f!A11</f>
        <v>2015-16</v>
      </c>
      <c r="B37" s="70">
        <f>T14f!C11</f>
        <v>234</v>
      </c>
      <c r="C37" s="70">
        <f>T14f!D11</f>
        <v>451</v>
      </c>
      <c r="D37" s="70">
        <f>T14f!E11</f>
        <v>330</v>
      </c>
      <c r="E37" s="70">
        <f>T14f!F11</f>
        <v>48</v>
      </c>
      <c r="F37" s="686">
        <f t="shared" si="2"/>
        <v>1063</v>
      </c>
      <c r="G37" s="68"/>
    </row>
    <row r="38" spans="1:8" ht="13.5" customHeight="1" x14ac:dyDescent="0.2">
      <c r="A38" s="567" t="str">
        <f>T14f!A12</f>
        <v>2016-17</v>
      </c>
      <c r="B38" s="70">
        <f>T14f!C12</f>
        <v>301</v>
      </c>
      <c r="C38" s="70">
        <f>T14f!D12</f>
        <v>440</v>
      </c>
      <c r="D38" s="70">
        <f>T14f!E12</f>
        <v>321</v>
      </c>
      <c r="E38" s="70">
        <f>T14f!F12</f>
        <v>53</v>
      </c>
      <c r="F38" s="686">
        <f t="shared" si="2"/>
        <v>1115</v>
      </c>
      <c r="G38" s="68"/>
    </row>
    <row r="39" spans="1:8" ht="13.5" customHeight="1" x14ac:dyDescent="0.2">
      <c r="A39" s="567" t="str">
        <f>T14f!A13</f>
        <v>2017-18</v>
      </c>
      <c r="B39" s="70">
        <f>T14f!C13</f>
        <v>184</v>
      </c>
      <c r="C39" s="70">
        <f>T14f!D13</f>
        <v>392</v>
      </c>
      <c r="D39" s="70">
        <f>T14f!E13</f>
        <v>304</v>
      </c>
      <c r="E39" s="70">
        <f>T14f!F13</f>
        <v>41</v>
      </c>
      <c r="F39" s="686">
        <f t="shared" ref="F39:F42" si="3">SUM(B39:E39)</f>
        <v>921</v>
      </c>
      <c r="G39" s="68"/>
    </row>
    <row r="40" spans="1:8" ht="13.5" customHeight="1" x14ac:dyDescent="0.2">
      <c r="A40" s="567" t="str">
        <f>T14f!A14</f>
        <v>2018-19</v>
      </c>
      <c r="B40" s="70">
        <f>T14f!C14</f>
        <v>223</v>
      </c>
      <c r="C40" s="70">
        <f>T14f!D14</f>
        <v>448</v>
      </c>
      <c r="D40" s="70">
        <f>T14f!E14</f>
        <v>303</v>
      </c>
      <c r="E40" s="70">
        <f>T14f!F14</f>
        <v>42</v>
      </c>
      <c r="F40" s="686">
        <f t="shared" si="3"/>
        <v>1016</v>
      </c>
      <c r="G40" s="68"/>
    </row>
    <row r="41" spans="1:8" ht="13.5" customHeight="1" x14ac:dyDescent="0.2">
      <c r="A41" s="567" t="str">
        <f>T14f!A15</f>
        <v>2019-20</v>
      </c>
      <c r="B41" s="70">
        <f>T14f!C15</f>
        <v>206</v>
      </c>
      <c r="C41" s="70">
        <f>T14f!D15</f>
        <v>375</v>
      </c>
      <c r="D41" s="70">
        <f>T14f!E15</f>
        <v>257</v>
      </c>
      <c r="E41" s="70">
        <f>T14f!F15</f>
        <v>39</v>
      </c>
      <c r="F41" s="686">
        <f t="shared" si="3"/>
        <v>877</v>
      </c>
      <c r="G41" s="68"/>
    </row>
    <row r="42" spans="1:8" ht="13.5" thickBot="1" x14ac:dyDescent="0.25">
      <c r="A42" s="697" t="str">
        <f>T14f!A16</f>
        <v>2020-21</v>
      </c>
      <c r="B42" s="698">
        <f>T14f!C16</f>
        <v>292</v>
      </c>
      <c r="C42" s="698">
        <f>T14f!D16</f>
        <v>303</v>
      </c>
      <c r="D42" s="698">
        <f>T14f!E16</f>
        <v>245</v>
      </c>
      <c r="E42" s="698">
        <f>T14f!F16</f>
        <v>36</v>
      </c>
      <c r="F42" s="699">
        <f t="shared" si="3"/>
        <v>876</v>
      </c>
      <c r="G42" s="1"/>
      <c r="H42" s="1"/>
    </row>
    <row r="43" spans="1:8" x14ac:dyDescent="0.2">
      <c r="A43" s="1"/>
      <c r="B43" s="1"/>
      <c r="C43" s="1"/>
      <c r="D43" s="1"/>
      <c r="E43" s="1"/>
      <c r="F43" s="1"/>
      <c r="G43" s="1"/>
      <c r="H43" s="1"/>
    </row>
    <row r="44" spans="1:8" x14ac:dyDescent="0.2">
      <c r="A44" s="84"/>
      <c r="B44" s="1"/>
      <c r="C44" s="1"/>
      <c r="D44" s="1"/>
      <c r="E44" s="1"/>
      <c r="F44" s="1"/>
      <c r="G44" s="1"/>
      <c r="H44" s="1"/>
    </row>
    <row r="45" spans="1:8" s="135" customFormat="1" ht="38.25" customHeight="1" x14ac:dyDescent="0.2">
      <c r="A45" s="237" t="s">
        <v>1048</v>
      </c>
      <c r="B45" s="237"/>
      <c r="C45" s="237"/>
      <c r="D45" s="237"/>
      <c r="E45" s="237"/>
      <c r="F45" s="237"/>
      <c r="G45" s="237"/>
      <c r="H45" s="237"/>
    </row>
    <row r="46" spans="1:8" s="135" customFormat="1" ht="15" customHeight="1" x14ac:dyDescent="0.25">
      <c r="A46" s="351" t="s">
        <v>579</v>
      </c>
      <c r="B46" s="1043" t="s">
        <v>1371</v>
      </c>
      <c r="C46" s="237"/>
      <c r="D46" s="373"/>
      <c r="E46" s="373"/>
      <c r="F46" s="373"/>
      <c r="G46" s="373"/>
      <c r="H46" s="373"/>
    </row>
    <row r="47" spans="1:8" s="135" customFormat="1" ht="15" customHeight="1" x14ac:dyDescent="0.25">
      <c r="A47" s="351" t="s">
        <v>580</v>
      </c>
      <c r="B47" s="351" t="s">
        <v>581</v>
      </c>
      <c r="C47" s="373"/>
      <c r="D47" s="373"/>
      <c r="E47" s="373"/>
      <c r="F47" s="373"/>
      <c r="G47" s="373"/>
      <c r="H47" s="373"/>
    </row>
    <row r="48" spans="1:8" s="135" customFormat="1" ht="15" customHeight="1" x14ac:dyDescent="0.25">
      <c r="A48" s="351" t="s">
        <v>582</v>
      </c>
      <c r="B48" s="351" t="s">
        <v>585</v>
      </c>
      <c r="C48" s="373"/>
      <c r="D48" s="373"/>
      <c r="E48" s="373"/>
      <c r="F48" s="373"/>
      <c r="G48" s="373"/>
      <c r="H48" s="373"/>
    </row>
    <row r="49" spans="1:8" ht="14.25" x14ac:dyDescent="0.2">
      <c r="A49" s="2"/>
      <c r="B49" s="1"/>
      <c r="C49" s="1"/>
      <c r="D49" s="1"/>
      <c r="E49" s="1"/>
      <c r="F49" s="61" t="s">
        <v>57</v>
      </c>
      <c r="G49" s="1"/>
      <c r="H49" s="1"/>
    </row>
    <row r="50" spans="1:8" x14ac:dyDescent="0.2">
      <c r="A50" s="1313" t="s">
        <v>4</v>
      </c>
      <c r="B50" s="1288" t="s">
        <v>165</v>
      </c>
      <c r="C50" s="1289"/>
      <c r="D50" s="1289"/>
      <c r="E50" s="1289"/>
      <c r="F50" s="1380" t="s">
        <v>172</v>
      </c>
      <c r="G50" s="1"/>
      <c r="H50" s="1"/>
    </row>
    <row r="51" spans="1:8" ht="26.25" customHeight="1" x14ac:dyDescent="0.2">
      <c r="A51" s="1314"/>
      <c r="B51" s="683" t="s">
        <v>166</v>
      </c>
      <c r="C51" s="684" t="s">
        <v>167</v>
      </c>
      <c r="D51" s="345" t="s">
        <v>173</v>
      </c>
      <c r="E51" s="345" t="s">
        <v>174</v>
      </c>
      <c r="F51" s="1384"/>
      <c r="G51" s="1"/>
    </row>
    <row r="52" spans="1:8" ht="18.75" customHeight="1" x14ac:dyDescent="0.2">
      <c r="A52" s="690" t="str">
        <f t="shared" ref="A52:A59" si="4">A31</f>
        <v>2009-10</v>
      </c>
      <c r="B52" s="691">
        <f>B31/(Fires!$B10)*1000</f>
        <v>37.347560975609753</v>
      </c>
      <c r="C52" s="691">
        <f>C31/(Fires!$B10)*1000</f>
        <v>54.878048780487802</v>
      </c>
      <c r="D52" s="691">
        <f>D31/(Fires!$B10)*1000</f>
        <v>56.09756097560976</v>
      </c>
      <c r="E52" s="692">
        <f>E31/(Fires!$B10)*1000</f>
        <v>8.9939024390243887</v>
      </c>
      <c r="F52" s="693">
        <f>F31/(Fires!$B10)*1000</f>
        <v>157.3170731707317</v>
      </c>
      <c r="G52" s="68"/>
    </row>
    <row r="53" spans="1:8" ht="13.5" customHeight="1" x14ac:dyDescent="0.2">
      <c r="A53" s="567" t="str">
        <f t="shared" si="4"/>
        <v>2010-11</v>
      </c>
      <c r="B53" s="687">
        <f>B32/(Fires!$B11)*1000</f>
        <v>33.052598124900683</v>
      </c>
      <c r="C53" s="687">
        <f>C32/(Fires!$B11)*1000</f>
        <v>62.13252820594311</v>
      </c>
      <c r="D53" s="687">
        <f>D32/(Fires!$B11)*1000</f>
        <v>73.255998728746235</v>
      </c>
      <c r="E53" s="688">
        <f>E32/(Fires!$B11)*1000</f>
        <v>13.030351183855078</v>
      </c>
      <c r="F53" s="689">
        <f>F32/(Fires!$B11)*1000</f>
        <v>181.4714762434451</v>
      </c>
      <c r="G53" s="68"/>
    </row>
    <row r="54" spans="1:8" ht="13.5" customHeight="1" x14ac:dyDescent="0.2">
      <c r="A54" s="138" t="str">
        <f t="shared" si="4"/>
        <v>2011-12</v>
      </c>
      <c r="B54" s="687">
        <f>B33/(Fires!$B12)*1000</f>
        <v>42.878025012181254</v>
      </c>
      <c r="C54" s="687">
        <f>C33/(Fires!$B12)*1000</f>
        <v>74.386876725678093</v>
      </c>
      <c r="D54" s="687">
        <f>D33/(Fires!$B12)*1000</f>
        <v>70.651291213253216</v>
      </c>
      <c r="E54" s="688">
        <f>E33/(Fires!$B12)*1000</f>
        <v>10.069839207406204</v>
      </c>
      <c r="F54" s="689">
        <f>F33/(Fires!$B12)*1000</f>
        <v>197.98603215851875</v>
      </c>
      <c r="G54" s="68"/>
    </row>
    <row r="55" spans="1:8" ht="13.5" customHeight="1" x14ac:dyDescent="0.2">
      <c r="A55" s="138" t="str">
        <f t="shared" si="4"/>
        <v>2012-13</v>
      </c>
      <c r="B55" s="687">
        <f>B34/(Fires!$B13)*1000</f>
        <v>41.688111168296444</v>
      </c>
      <c r="C55" s="687">
        <f>C34/(Fires!$B13)*1000</f>
        <v>86.80734259735803</v>
      </c>
      <c r="D55" s="687">
        <f>D34/(Fires!$B13)*1000</f>
        <v>64.161948876308116</v>
      </c>
      <c r="E55" s="688">
        <f>E34/(Fires!$B13)*1000</f>
        <v>7.3769085606450506</v>
      </c>
      <c r="F55" s="689">
        <f>F34/(Fires!$B13)*1000</f>
        <v>200.03431120260765</v>
      </c>
      <c r="G55" s="68"/>
    </row>
    <row r="56" spans="1:8" ht="13.5" customHeight="1" x14ac:dyDescent="0.2">
      <c r="A56" s="2" t="str">
        <f t="shared" si="4"/>
        <v>2013-14</v>
      </c>
      <c r="B56" s="687">
        <f>B35/(Fires!$B14)*1000</f>
        <v>37.197069321811007</v>
      </c>
      <c r="C56" s="687">
        <f>C35/(Fires!$B14)*1000</f>
        <v>97.877136952846143</v>
      </c>
      <c r="D56" s="687">
        <f>D35/(Fires!$B14)*1000</f>
        <v>70.261130941198573</v>
      </c>
      <c r="E56" s="688">
        <f>E35/(Fires!$B14)*1000</f>
        <v>8.82960736426827</v>
      </c>
      <c r="F56" s="689">
        <f>F35/(Fires!$B14)*1000</f>
        <v>214.164944580124</v>
      </c>
      <c r="G56" s="68"/>
    </row>
    <row r="57" spans="1:8" ht="13.5" customHeight="1" x14ac:dyDescent="0.2">
      <c r="A57" s="2" t="str">
        <f t="shared" si="4"/>
        <v>2014-15</v>
      </c>
      <c r="B57" s="687">
        <f>B36/(Fires!$B15)*1000</f>
        <v>33.189809831359881</v>
      </c>
      <c r="C57" s="687">
        <f>C36/(Fires!$B15)*1000</f>
        <v>68.891280947255112</v>
      </c>
      <c r="D57" s="687">
        <f>D36/(Fires!$B15)*1000</f>
        <v>59.921062073914598</v>
      </c>
      <c r="E57" s="688">
        <f>E36/(Fires!$B15)*1000</f>
        <v>7.8937926085396475</v>
      </c>
      <c r="F57" s="689">
        <f>F36/(Fires!$B15)*1000</f>
        <v>169.89594546106926</v>
      </c>
      <c r="G57" s="68"/>
    </row>
    <row r="58" spans="1:8" ht="13.5" customHeight="1" x14ac:dyDescent="0.2">
      <c r="A58" s="2" t="str">
        <f t="shared" si="4"/>
        <v>2015-16</v>
      </c>
      <c r="B58" s="687">
        <f>B37/(Fires!$B16)*1000</f>
        <v>41.248016922263353</v>
      </c>
      <c r="C58" s="687">
        <f>C37/(Fires!$B16)*1000</f>
        <v>79.499383042481924</v>
      </c>
      <c r="D58" s="687">
        <f>D37/(Fires!$B16)*1000</f>
        <v>58.17028027498678</v>
      </c>
      <c r="E58" s="688">
        <f>E37/(Fires!$B16)*1000</f>
        <v>8.4611316763617133</v>
      </c>
      <c r="F58" s="689">
        <f>F37/(Fires!$B16)*1000</f>
        <v>187.37881191609378</v>
      </c>
      <c r="G58" s="68"/>
    </row>
    <row r="59" spans="1:8" ht="13.5" customHeight="1" x14ac:dyDescent="0.2">
      <c r="A59" s="2" t="str">
        <f t="shared" si="4"/>
        <v>2016-17</v>
      </c>
      <c r="B59" s="687">
        <f>B38/(Fires!$B17)*1000</f>
        <v>54.332129963898922</v>
      </c>
      <c r="C59" s="687">
        <f>C38/(Fires!$B17)*1000</f>
        <v>79.42238267148015</v>
      </c>
      <c r="D59" s="687">
        <f>D38/(Fires!$B17)*1000</f>
        <v>57.942238267148014</v>
      </c>
      <c r="E59" s="688">
        <f>E38/(Fires!$B17)*1000</f>
        <v>9.5667870036101093</v>
      </c>
      <c r="F59" s="689">
        <f>F38/(Fires!$B17)*1000</f>
        <v>201.26353790613717</v>
      </c>
      <c r="G59" s="68"/>
    </row>
    <row r="60" spans="1:8" ht="13.5" customHeight="1" x14ac:dyDescent="0.2">
      <c r="A60" s="2" t="str">
        <f t="shared" ref="A60:A63" si="5">A39</f>
        <v>2017-18</v>
      </c>
      <c r="B60" s="687">
        <f>B39/(Fires!$B18)*1000</f>
        <v>34.645076256825455</v>
      </c>
      <c r="C60" s="687">
        <f>C39/(Fires!$B18)*1000</f>
        <v>73.809075503671622</v>
      </c>
      <c r="D60" s="687">
        <f>D39/(Fires!$B18)*1000</f>
        <v>57.239691206929017</v>
      </c>
      <c r="E60" s="688">
        <f>E39/(Fires!$B18)*1000</f>
        <v>7.7198267746187152</v>
      </c>
      <c r="F60" s="689">
        <f>F39/(Fires!$B18)*1000</f>
        <v>173.41366974204482</v>
      </c>
      <c r="G60" s="68"/>
    </row>
    <row r="61" spans="1:8" ht="13.5" customHeight="1" x14ac:dyDescent="0.2">
      <c r="A61" s="2" t="str">
        <f t="shared" si="5"/>
        <v>2018-19</v>
      </c>
      <c r="B61" s="687">
        <f>B40/(Fires!$B19)*1000</f>
        <v>43.343051506316819</v>
      </c>
      <c r="C61" s="687">
        <f>C40/(Fires!$B19)*1000</f>
        <v>87.074829931972786</v>
      </c>
      <c r="D61" s="687">
        <f>D40/(Fires!$B19)*1000</f>
        <v>58.89212827988338</v>
      </c>
      <c r="E61" s="688">
        <f>E40/(Fires!$B19)*1000</f>
        <v>8.1632653061224492</v>
      </c>
      <c r="F61" s="689">
        <f>F40/(Fires!$B19)*1000</f>
        <v>197.47327502429542</v>
      </c>
      <c r="G61" s="68"/>
    </row>
    <row r="62" spans="1:8" ht="13.5" customHeight="1" x14ac:dyDescent="0.2">
      <c r="A62" s="2" t="str">
        <f t="shared" si="5"/>
        <v>2019-20</v>
      </c>
      <c r="B62" s="687">
        <f>B41/(Fires!$B20)*1000</f>
        <v>42.126789366053174</v>
      </c>
      <c r="C62" s="687">
        <f>C41/(Fires!$B20)*1000</f>
        <v>76.687116564417181</v>
      </c>
      <c r="D62" s="687">
        <f>D41/(Fires!$B20)*1000</f>
        <v>52.556237218813905</v>
      </c>
      <c r="E62" s="688">
        <f>E41/(Fires!$B20)*1000</f>
        <v>7.9754601226993875</v>
      </c>
      <c r="F62" s="689">
        <f>F41/(Fires!$B20)*1000</f>
        <v>179.34560327198366</v>
      </c>
      <c r="G62" s="68"/>
    </row>
    <row r="63" spans="1:8" ht="13.5" thickBot="1" x14ac:dyDescent="0.25">
      <c r="A63" s="447" t="str">
        <f t="shared" si="5"/>
        <v>2020-21</v>
      </c>
      <c r="B63" s="694">
        <f>B42/(Fires!$B21)*1000</f>
        <v>62.647500536365584</v>
      </c>
      <c r="C63" s="694">
        <f>C42/(Fires!$B21)*1000</f>
        <v>65.007509118214969</v>
      </c>
      <c r="D63" s="694">
        <f>D42/(Fires!$B21)*1000</f>
        <v>52.563827504827294</v>
      </c>
      <c r="E63" s="695">
        <f>E42/(Fires!$B21)*1000</f>
        <v>7.7236644496889086</v>
      </c>
      <c r="F63" s="696">
        <f>F42/(Fires!$B21)*1000</f>
        <v>187.94250160909675</v>
      </c>
      <c r="G63" s="1"/>
      <c r="H63" s="1"/>
    </row>
    <row r="64" spans="1:8" x14ac:dyDescent="0.2">
      <c r="A64" s="5"/>
      <c r="B64" s="86"/>
      <c r="C64" s="86"/>
      <c r="D64" s="86"/>
      <c r="E64" s="86"/>
      <c r="F64" s="86"/>
      <c r="G64" s="86"/>
      <c r="H64" s="1"/>
    </row>
    <row r="65" spans="1:8" x14ac:dyDescent="0.2">
      <c r="A65" s="1"/>
      <c r="B65" s="86"/>
      <c r="C65" s="86"/>
      <c r="D65" s="86"/>
      <c r="E65" s="86"/>
      <c r="F65" s="86"/>
      <c r="G65" s="86"/>
      <c r="H65" s="50"/>
    </row>
    <row r="66" spans="1:8" x14ac:dyDescent="0.2">
      <c r="A66" s="1"/>
      <c r="B66" s="86"/>
      <c r="C66" s="86"/>
      <c r="D66" s="86"/>
      <c r="E66" s="86"/>
      <c r="F66" s="86"/>
      <c r="G66" s="86"/>
      <c r="H66" s="1"/>
    </row>
    <row r="67" spans="1:8" x14ac:dyDescent="0.2">
      <c r="A67" s="1382"/>
      <c r="B67" s="1383"/>
      <c r="C67" s="1383"/>
      <c r="D67" s="1383"/>
      <c r="E67" s="1383"/>
      <c r="F67" s="1383"/>
      <c r="G67" s="1383"/>
    </row>
    <row r="68" spans="1:8" x14ac:dyDescent="0.2">
      <c r="A68" s="106"/>
    </row>
  </sheetData>
  <sheetProtection algorithmName="SHA-512" hashValue="FhTWT9n3uejn+5oC5AMlPI8zyqVXNNOSiHah2oMGqChILQ3CADtUTevLHUGmtpXteONCTd+dsRRdmbOoLmBLcg==" saltValue="KhqmW8zLg+XYhcVwkWx2LA==" spinCount="100000" sheet="1" scenarios="1" formatCells="0" formatColumns="0" formatRows="0" sort="0" autoFilter="0" pivotTables="0"/>
  <mergeCells count="10">
    <mergeCell ref="A8:A9"/>
    <mergeCell ref="F8:F9"/>
    <mergeCell ref="B8:E8"/>
    <mergeCell ref="A67:G67"/>
    <mergeCell ref="A29:A30"/>
    <mergeCell ref="B29:E29"/>
    <mergeCell ref="F29:F30"/>
    <mergeCell ref="A50:A51"/>
    <mergeCell ref="F50:F51"/>
    <mergeCell ref="B50:E50"/>
  </mergeCells>
  <hyperlinks>
    <hyperlink ref="A2" location="'Table of Contents'!A1" display="Back to Table of Contents" xr:uid="{00000000-0004-0000-7A00-000000000000}"/>
  </hyperlinks>
  <pageMargins left="0.7" right="0.7" top="0.75" bottom="0.75" header="0.3" footer="0.3"/>
  <pageSetup paperSize="9" scale="6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28">
    <tabColor rgb="FFBF8F00"/>
    <pageSetUpPr fitToPage="1"/>
  </sheetPr>
  <dimension ref="A1:P45"/>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7.42578125" customWidth="1"/>
    <col min="2" max="2" width="17.85546875" customWidth="1"/>
    <col min="3" max="3" width="14.7109375" customWidth="1"/>
    <col min="4" max="4" width="15" customWidth="1"/>
    <col min="5" max="5" width="11" customWidth="1"/>
    <col min="6" max="6" width="16.28515625" customWidth="1"/>
    <col min="7" max="7" width="13.42578125" customWidth="1"/>
    <col min="8" max="8" width="15" customWidth="1"/>
    <col min="9" max="9" width="11.5703125" customWidth="1"/>
    <col min="10" max="10" width="12" customWidth="1"/>
  </cols>
  <sheetData>
    <row r="1" spans="1:12" ht="15.75" x14ac:dyDescent="0.2">
      <c r="A1" s="298" t="s">
        <v>1133</v>
      </c>
    </row>
    <row r="2" spans="1:12" ht="15.75" customHeight="1" x14ac:dyDescent="0.2">
      <c r="A2" s="106" t="s">
        <v>578</v>
      </c>
    </row>
    <row r="3" spans="1:12" ht="38.25" customHeight="1" x14ac:dyDescent="0.2">
      <c r="A3" s="237" t="s">
        <v>1050</v>
      </c>
      <c r="B3" s="237"/>
      <c r="C3" s="237"/>
      <c r="D3" s="237"/>
      <c r="E3" s="237"/>
      <c r="F3" s="237"/>
      <c r="G3" s="237"/>
      <c r="H3" s="237"/>
      <c r="I3" s="120"/>
      <c r="J3" s="120"/>
      <c r="K3" s="120"/>
      <c r="L3" s="120"/>
    </row>
    <row r="4" spans="1:12" ht="15" customHeight="1" x14ac:dyDescent="0.25">
      <c r="A4" s="351" t="s">
        <v>579</v>
      </c>
      <c r="B4" s="1043" t="s">
        <v>1372</v>
      </c>
      <c r="E4" s="373"/>
      <c r="F4" s="373"/>
      <c r="G4" s="373"/>
      <c r="H4" s="373"/>
      <c r="I4" s="120"/>
      <c r="J4" s="120"/>
      <c r="K4" s="120"/>
      <c r="L4" s="120"/>
    </row>
    <row r="5" spans="1:12" ht="15" customHeight="1" x14ac:dyDescent="0.25">
      <c r="A5" s="351" t="s">
        <v>580</v>
      </c>
      <c r="B5" s="351" t="s">
        <v>581</v>
      </c>
      <c r="C5" s="373"/>
      <c r="D5" s="373"/>
      <c r="E5" s="373"/>
      <c r="F5" s="373"/>
      <c r="G5" s="373"/>
      <c r="H5" s="373"/>
      <c r="I5" s="120"/>
      <c r="J5" s="120"/>
      <c r="K5" s="120"/>
      <c r="L5" s="120"/>
    </row>
    <row r="6" spans="1:12" ht="15" customHeight="1" x14ac:dyDescent="0.25">
      <c r="A6" s="351" t="s">
        <v>582</v>
      </c>
      <c r="B6" s="351" t="s">
        <v>585</v>
      </c>
      <c r="C6" s="373"/>
      <c r="D6" s="373"/>
      <c r="E6" s="373"/>
      <c r="F6" s="373"/>
      <c r="G6" s="373"/>
      <c r="H6" s="373"/>
      <c r="I6" s="120"/>
      <c r="J6" s="120"/>
      <c r="K6" s="120"/>
      <c r="L6" s="120"/>
    </row>
    <row r="7" spans="1:12" ht="15" customHeight="1" x14ac:dyDescent="0.25">
      <c r="A7" s="351"/>
      <c r="B7" s="232"/>
      <c r="C7" s="373"/>
      <c r="D7" s="373"/>
      <c r="E7" s="373"/>
      <c r="F7" s="373"/>
      <c r="G7" s="373"/>
      <c r="H7" s="373"/>
      <c r="I7" s="120"/>
      <c r="J7" s="120"/>
      <c r="K7" s="120"/>
      <c r="L7" s="120"/>
    </row>
    <row r="8" spans="1:12" ht="15" customHeight="1" x14ac:dyDescent="0.25">
      <c r="A8" s="351"/>
      <c r="C8" s="708"/>
      <c r="D8" s="708"/>
      <c r="E8" s="708" t="s">
        <v>59</v>
      </c>
      <c r="F8" s="708"/>
      <c r="G8" s="708"/>
      <c r="H8" s="708"/>
      <c r="I8" s="120"/>
      <c r="J8" s="120"/>
      <c r="K8" s="120"/>
      <c r="L8" s="120"/>
    </row>
    <row r="9" spans="1:12" ht="15" x14ac:dyDescent="0.25">
      <c r="A9" s="1"/>
      <c r="B9" s="1"/>
      <c r="C9" s="1"/>
      <c r="D9" s="1"/>
      <c r="E9" s="1"/>
      <c r="F9" s="1"/>
      <c r="G9" s="80" t="s">
        <v>0</v>
      </c>
      <c r="I9" s="1"/>
      <c r="J9" s="1"/>
      <c r="K9" s="1"/>
    </row>
    <row r="10" spans="1:12" ht="16.5" customHeight="1" x14ac:dyDescent="0.25">
      <c r="A10" s="1388" t="s">
        <v>4</v>
      </c>
      <c r="B10" s="1389" t="s">
        <v>498</v>
      </c>
      <c r="C10" s="1390"/>
      <c r="D10" s="1390"/>
      <c r="E10" s="1391"/>
      <c r="F10" s="1013" t="s">
        <v>163</v>
      </c>
      <c r="G10" s="1386" t="s">
        <v>54</v>
      </c>
      <c r="I10" s="1"/>
      <c r="J10" s="83"/>
      <c r="K10" s="1"/>
    </row>
    <row r="11" spans="1:12" ht="27" customHeight="1" x14ac:dyDescent="0.2">
      <c r="A11" s="1388"/>
      <c r="B11" s="1012" t="s">
        <v>158</v>
      </c>
      <c r="C11" s="978" t="s">
        <v>159</v>
      </c>
      <c r="D11" s="978" t="s">
        <v>160</v>
      </c>
      <c r="E11" s="979" t="s">
        <v>11</v>
      </c>
      <c r="F11" s="981" t="s">
        <v>11</v>
      </c>
      <c r="G11" s="1387"/>
      <c r="I11" s="77"/>
      <c r="K11" s="1"/>
    </row>
    <row r="12" spans="1:12" ht="15" customHeight="1" x14ac:dyDescent="0.2">
      <c r="A12" s="378" t="s">
        <v>16</v>
      </c>
      <c r="B12" s="68">
        <v>22</v>
      </c>
      <c r="C12" s="68">
        <v>49</v>
      </c>
      <c r="D12" s="126">
        <v>0</v>
      </c>
      <c r="E12" s="377">
        <f>SUM(B12:D12)</f>
        <v>71</v>
      </c>
      <c r="F12" s="707">
        <v>0</v>
      </c>
      <c r="G12" s="377">
        <f t="shared" ref="G12:G21" si="0">SUM(E12+F12)</f>
        <v>71</v>
      </c>
      <c r="I12" s="124"/>
      <c r="K12" s="1"/>
    </row>
    <row r="13" spans="1:12" ht="15" customHeight="1" x14ac:dyDescent="0.2">
      <c r="A13" s="2" t="s">
        <v>18</v>
      </c>
      <c r="B13" s="68">
        <v>29</v>
      </c>
      <c r="C13" s="68">
        <v>35</v>
      </c>
      <c r="D13" s="126">
        <v>0</v>
      </c>
      <c r="E13" s="377">
        <f>SUM(B13:D13)</f>
        <v>64</v>
      </c>
      <c r="F13" s="707">
        <v>0</v>
      </c>
      <c r="G13" s="377">
        <f t="shared" si="0"/>
        <v>64</v>
      </c>
      <c r="I13" s="124"/>
      <c r="K13" s="1"/>
    </row>
    <row r="14" spans="1:12" ht="15" customHeight="1" x14ac:dyDescent="0.2">
      <c r="A14" s="2" t="str">
        <f>T_14_1!A4</f>
        <v>2009-10</v>
      </c>
      <c r="B14" s="68">
        <f>GETPIVOTDATA("Sum of Female",T_14_1!$A$1,"Who","Non FRS personnel","Year","2009-10")</f>
        <v>24</v>
      </c>
      <c r="C14" s="68">
        <f>GETPIVOTDATA("Sum of Male",T_14_1!$A$1,"Who","Non FRS personnel","Year","2009-10")</f>
        <v>37</v>
      </c>
      <c r="D14" s="130" t="str">
        <f>IFERROR(GETPIVOTDATA("Sum of Unknown",T_14_1!$A$1,"Who","Non FRS personnel","Year","2009-10"), "-")</f>
        <v>-</v>
      </c>
      <c r="E14" s="377">
        <f>SUM(B14:D14)</f>
        <v>61</v>
      </c>
      <c r="F14" s="707">
        <f>GETPIVOTDATA("Sum of Total_Fatal",T_14_1!$A$1,"Who","FRS personnel","Year","2009-10")</f>
        <v>1</v>
      </c>
      <c r="G14" s="377">
        <f t="shared" si="0"/>
        <v>62</v>
      </c>
      <c r="I14" s="124"/>
      <c r="K14" s="1"/>
    </row>
    <row r="15" spans="1:12" ht="15" customHeight="1" x14ac:dyDescent="0.2">
      <c r="A15" s="29" t="str">
        <f>T_14_1!A5</f>
        <v>2010-11</v>
      </c>
      <c r="B15" s="68">
        <f>GETPIVOTDATA("Sum of Female",T_14_1!$A$1,"Who","Non FRS personnel","Year","2010-11")</f>
        <v>17</v>
      </c>
      <c r="C15" s="68">
        <f>GETPIVOTDATA("Sum of Male",T_14_1!$A$1,"Who","Non FRS personnel","Year","2010-11")</f>
        <v>35</v>
      </c>
      <c r="D15" s="130" t="str">
        <f>IFERROR(GETPIVOTDATA("Sum of Unknown",T_14_1!$A$1,"Who","Non FRS personnel","Year","2010-11"), "-")</f>
        <v>-</v>
      </c>
      <c r="E15" s="377">
        <f t="shared" ref="E15:E21" si="1">SUM(B15:D15)</f>
        <v>52</v>
      </c>
      <c r="F15" s="707">
        <f>GETPIVOTDATA("Sum of Total_Fatal",T_14_1!$A$1,"Who","FRS personnel","Year","2010-11")</f>
        <v>0</v>
      </c>
      <c r="G15" s="377">
        <f t="shared" si="0"/>
        <v>52</v>
      </c>
      <c r="I15" s="12"/>
      <c r="K15" s="1"/>
    </row>
    <row r="16" spans="1:12" ht="15" customHeight="1" x14ac:dyDescent="0.2">
      <c r="A16" s="29" t="str">
        <f>T_14_1!A6</f>
        <v>2011-12</v>
      </c>
      <c r="B16" s="68">
        <f>GETPIVOTDATA("Sum of Female",T_14_1!$A$1,"Who","Non FRS personnel","Year","2011-12")</f>
        <v>21</v>
      </c>
      <c r="C16" s="68">
        <f>GETPIVOTDATA("Sum of Male",T_14_1!$A$1,"Who","Non FRS personnel","Year","2011-12")</f>
        <v>38</v>
      </c>
      <c r="D16" s="130" t="str">
        <f>IFERROR(GETPIVOTDATA("Sum of Unknown",T_14_1!$A$1,"Who","Non FRS personnel","Year","2011-12"), "-")</f>
        <v>-</v>
      </c>
      <c r="E16" s="377">
        <f t="shared" si="1"/>
        <v>59</v>
      </c>
      <c r="F16" s="707">
        <f>GETPIVOTDATA("Sum of Total_Fatal",T_14_1!$A$1,"Who","FRS personnel","Year","2011-12")</f>
        <v>0</v>
      </c>
      <c r="G16" s="377">
        <f t="shared" si="0"/>
        <v>59</v>
      </c>
      <c r="I16" s="124"/>
      <c r="K16" s="1"/>
    </row>
    <row r="17" spans="1:12" ht="15" customHeight="1" x14ac:dyDescent="0.2">
      <c r="A17" s="29" t="str">
        <f>T_14_1!A7</f>
        <v>2012-13</v>
      </c>
      <c r="B17" s="68">
        <f>GETPIVOTDATA("Sum of Female",T_14_1!$A$1,"Who","Non FRS personnel","Year","2012-13")</f>
        <v>23</v>
      </c>
      <c r="C17" s="68">
        <f>GETPIVOTDATA("Sum of Male",T_14_1!$A$1,"Who","Non FRS personnel","Year","2012-13")</f>
        <v>23</v>
      </c>
      <c r="D17" s="130" t="str">
        <f>IFERROR(GETPIVOTDATA("Sum of Unknown",T_14_1!$A$1,"Who","Non FRS personnel","Year","2012-13"), "-")</f>
        <v>-</v>
      </c>
      <c r="E17" s="377">
        <f t="shared" si="1"/>
        <v>46</v>
      </c>
      <c r="F17" s="707">
        <f>GETPIVOTDATA("Sum of Total_Fatal",T_14_1!$A$1,"Who","FRS personnel","Year","2012-13")</f>
        <v>0</v>
      </c>
      <c r="G17" s="377">
        <f t="shared" si="0"/>
        <v>46</v>
      </c>
      <c r="I17" s="124"/>
      <c r="K17" s="1"/>
    </row>
    <row r="18" spans="1:12" ht="15" customHeight="1" x14ac:dyDescent="0.2">
      <c r="A18" s="29" t="str">
        <f>T_14_1!A8</f>
        <v>2013-14</v>
      </c>
      <c r="B18" s="68">
        <f>GETPIVOTDATA("Sum of Female",T_14_1!$A$1,"Who","Non FRS personnel","Year","2013-14")</f>
        <v>18</v>
      </c>
      <c r="C18" s="68">
        <f>GETPIVOTDATA("Sum of Male",T_14_1!$A$1,"Who","Non FRS personnel","Year","2013-14")</f>
        <v>13</v>
      </c>
      <c r="D18" s="130" t="str">
        <f>IFERROR(GETPIVOTDATA("Sum of Unknown",T_14_1!$A$1,"Who","Non FRS personnel","Year","2013-14"), "-")</f>
        <v>-</v>
      </c>
      <c r="E18" s="377">
        <f t="shared" si="1"/>
        <v>31</v>
      </c>
      <c r="F18" s="707">
        <f>GETPIVOTDATA("Sum of Total_Fatal",T_14_1!$A$1,"Who","FRS personnel","Year","2013-14")</f>
        <v>0</v>
      </c>
      <c r="G18" s="377">
        <f t="shared" si="0"/>
        <v>31</v>
      </c>
      <c r="I18" s="12"/>
      <c r="K18" s="1"/>
    </row>
    <row r="19" spans="1:12" ht="15" customHeight="1" x14ac:dyDescent="0.2">
      <c r="A19" s="29" t="str">
        <f>T_14_1!A9</f>
        <v>2014-15</v>
      </c>
      <c r="B19" s="68">
        <f>GETPIVOTDATA("Sum of Female",T_14_1!$A$1,"Who","Non FRS personnel","Year","2014-15")</f>
        <v>16</v>
      </c>
      <c r="C19" s="68">
        <f>GETPIVOTDATA("Sum of Male",T_14_1!$A$1,"Who","Non FRS personnel","Year","2014-15")</f>
        <v>24</v>
      </c>
      <c r="D19" s="130" t="str">
        <f>IFERROR(GETPIVOTDATA("Sum of Unknown",T_14_1!$A$1,"Who","Non FRS personnel","Year","2014-15"), "-")</f>
        <v>-</v>
      </c>
      <c r="E19" s="377">
        <f t="shared" si="1"/>
        <v>40</v>
      </c>
      <c r="F19" s="707">
        <f>GETPIVOTDATA("Sum of Total_Fatal",T_14_1!$A$1,"Who","FRS personnel","Year","2014-15")</f>
        <v>0</v>
      </c>
      <c r="G19" s="377">
        <f t="shared" si="0"/>
        <v>40</v>
      </c>
      <c r="I19" s="12"/>
      <c r="K19" s="1"/>
    </row>
    <row r="20" spans="1:12" ht="15" customHeight="1" x14ac:dyDescent="0.2">
      <c r="A20" s="29" t="str">
        <f>T_14_1!A10</f>
        <v>2015-16</v>
      </c>
      <c r="B20" s="68">
        <f>GETPIVOTDATA("Sum of Female",T_14_1!$A$1,"Who","Non FRS personnel","Year","2015-16")</f>
        <v>20</v>
      </c>
      <c r="C20" s="68">
        <f>GETPIVOTDATA("Sum of Male",T_14_1!$A$1,"Who","Non FRS personnel","Year","2015-16")</f>
        <v>25</v>
      </c>
      <c r="D20" s="130" t="str">
        <f>IFERROR(GETPIVOTDATA("Sum of Unknown",T_14_1!$A$1,"Who","Non FRS personnel","Year","2015-16"), "-")</f>
        <v>-</v>
      </c>
      <c r="E20" s="377">
        <f t="shared" si="1"/>
        <v>45</v>
      </c>
      <c r="F20" s="707">
        <f>GETPIVOTDATA("Sum of Total_Fatal",T_14_1!$A$1,"Who","FRS personnel","Year","2015-16")</f>
        <v>0</v>
      </c>
      <c r="G20" s="377">
        <f t="shared" si="0"/>
        <v>45</v>
      </c>
      <c r="I20" s="12"/>
      <c r="K20" s="1"/>
    </row>
    <row r="21" spans="1:12" ht="15" customHeight="1" x14ac:dyDescent="0.2">
      <c r="A21" s="29" t="str">
        <f>T_14_1!A11</f>
        <v>2016-17</v>
      </c>
      <c r="B21" s="68">
        <f>GETPIVOTDATA("Sum of Female",T_14_1!$A$1,"Who","Non FRS personnel","Year","2016-17")</f>
        <v>16</v>
      </c>
      <c r="C21" s="68">
        <f>GETPIVOTDATA("Sum of Male",T_14_1!$A$1,"Who","Non FRS personnel","Year","2016-17")</f>
        <v>28</v>
      </c>
      <c r="D21" s="130" t="str">
        <f>IFERROR(GETPIVOTDATA("Sum of Unknown",T_14_1!$A$1,"Who","Non FRS personnel","Year","2016-17"), "-")</f>
        <v>-</v>
      </c>
      <c r="E21" s="377">
        <f t="shared" si="1"/>
        <v>44</v>
      </c>
      <c r="F21" s="707">
        <f>GETPIVOTDATA("Sum of Total_Fatal",T_14_1!$A$1,"Who","FRS personnel","Year","2016-17")</f>
        <v>0</v>
      </c>
      <c r="G21" s="377">
        <f t="shared" si="0"/>
        <v>44</v>
      </c>
      <c r="I21" s="12"/>
      <c r="K21" s="1"/>
    </row>
    <row r="22" spans="1:12" ht="15" customHeight="1" x14ac:dyDescent="0.2">
      <c r="A22" s="29" t="str">
        <f>T_14_1!A12</f>
        <v>2017-18</v>
      </c>
      <c r="B22" s="68">
        <f>GETPIVOTDATA("Sum of Female",T_14_1!$A$1,"Who","Non FRS personnel","Year","2017-18")</f>
        <v>18</v>
      </c>
      <c r="C22" s="68">
        <f>GETPIVOTDATA("Sum of Male",T_14_1!$A$1,"Who","Non FRS personnel","Year","2017-18")</f>
        <v>26</v>
      </c>
      <c r="D22" s="130" t="str">
        <f>IFERROR(GETPIVOTDATA("Sum of Unknown",T_14_1!$A$1,"Who","Non FRS personnel","Year","2017-18"), "-")</f>
        <v>-</v>
      </c>
      <c r="E22" s="377">
        <f t="shared" ref="E22:E24" si="2">SUM(B22:D22)</f>
        <v>44</v>
      </c>
      <c r="F22" s="707">
        <f>GETPIVOTDATA("Sum of Total_Fatal",T_14_1!$A$1,"Who","FRS personnel","Year","2017-18")</f>
        <v>0</v>
      </c>
      <c r="G22" s="377">
        <f t="shared" ref="G22:G24" si="3">SUM(E22+F22)</f>
        <v>44</v>
      </c>
      <c r="I22" s="12"/>
      <c r="K22" s="1"/>
    </row>
    <row r="23" spans="1:12" ht="15" customHeight="1" x14ac:dyDescent="0.2">
      <c r="A23" s="29" t="str">
        <f>T_14_1!A13</f>
        <v>2018-19</v>
      </c>
      <c r="B23" s="68">
        <f>GETPIVOTDATA("Sum of Female",T_14_1!$A$1,"Who","Non FRS personnel","Year","2018-19")</f>
        <v>15</v>
      </c>
      <c r="C23" s="68">
        <f>GETPIVOTDATA("Sum of Male",T_14_1!$A$1,"Who","Non FRS personnel","Year","2018-19")</f>
        <v>29</v>
      </c>
      <c r="D23" s="130" t="str">
        <f>IFERROR(GETPIVOTDATA("Sum of Unknown",T_14_1!$A$1,"Who","Non FRS personnel","Year","2018-19"), "-")</f>
        <v>-</v>
      </c>
      <c r="E23" s="377">
        <f t="shared" si="2"/>
        <v>44</v>
      </c>
      <c r="F23" s="707">
        <f>GETPIVOTDATA("Sum of Total_Fatal",T_14_1!$A$1,"Who","FRS personnel","Year","2018-19")</f>
        <v>0</v>
      </c>
      <c r="G23" s="377">
        <f t="shared" si="3"/>
        <v>44</v>
      </c>
      <c r="I23" s="12"/>
      <c r="K23" s="1"/>
    </row>
    <row r="24" spans="1:12" ht="15" customHeight="1" x14ac:dyDescent="0.2">
      <c r="A24" s="29" t="str">
        <f>T_14_1!A14</f>
        <v>2019-20</v>
      </c>
      <c r="B24" s="68">
        <f>GETPIVOTDATA("Sum of Female",T_14_1!$A$1,"Who","Non FRS personnel","Year","2019-20")</f>
        <v>7</v>
      </c>
      <c r="C24" s="68">
        <f>GETPIVOTDATA("Sum of Male",T_14_1!$A$1,"Who","Non FRS personnel","Year","2019-20")</f>
        <v>20</v>
      </c>
      <c r="D24" s="130" t="str">
        <f>IFERROR(GETPIVOTDATA("Sum of Unknown",T_14_1!$A$1,"Who","Non FRS personnel","Year","2019-20"), "-")</f>
        <v>-</v>
      </c>
      <c r="E24" s="377">
        <f t="shared" si="2"/>
        <v>27</v>
      </c>
      <c r="F24" s="707">
        <f>GETPIVOTDATA("Sum of Total_Fatal",T_14_1!$A$1,"Who","FRS personnel","Year","2019-20")</f>
        <v>0</v>
      </c>
      <c r="G24" s="377">
        <f t="shared" si="3"/>
        <v>27</v>
      </c>
      <c r="I24" s="12"/>
      <c r="K24" s="1"/>
    </row>
    <row r="25" spans="1:12" ht="13.5" thickBot="1" x14ac:dyDescent="0.25">
      <c r="A25" s="380" t="str">
        <f>T_14_1!A15</f>
        <v>2020-21</v>
      </c>
      <c r="B25" s="381">
        <f>GETPIVOTDATA("Sum of Female",T_14_1!$A$1,"Who","Non FRS personnel","Year","2020-21")</f>
        <v>13</v>
      </c>
      <c r="C25" s="381">
        <f>GETPIVOTDATA("Sum of Male",T_14_1!$A$1,"Who","Non FRS personnel","Year","2020-21")</f>
        <v>40</v>
      </c>
      <c r="D25" s="1221" t="str">
        <f>IFERROR(GETPIVOTDATA("Sum of Unknown",T_14_1!$A$1,"Who","Non FRS personnel","Year","2020-21"), "-")</f>
        <v>-</v>
      </c>
      <c r="E25" s="382">
        <f t="shared" ref="E25" si="4">SUM(B25:D25)</f>
        <v>53</v>
      </c>
      <c r="F25" s="1231">
        <f>GETPIVOTDATA("Sum of Total_Fatal",T_14_1!$A$1,"Who","FRS personnel","Year","2020-21")</f>
        <v>0</v>
      </c>
      <c r="G25" s="382">
        <f t="shared" ref="G25" si="5">SUM(E25+F25)</f>
        <v>53</v>
      </c>
      <c r="H25" s="1"/>
      <c r="I25" s="1"/>
      <c r="J25" s="1"/>
      <c r="K25" s="1"/>
    </row>
    <row r="26" spans="1:12" x14ac:dyDescent="0.2">
      <c r="A26" s="2"/>
      <c r="B26" s="1"/>
      <c r="C26" s="606"/>
      <c r="D26" s="1"/>
      <c r="E26" s="1"/>
      <c r="F26" s="1"/>
      <c r="G26" s="1"/>
      <c r="H26" s="1"/>
      <c r="I26" s="1"/>
      <c r="J26" s="1"/>
      <c r="K26" s="1"/>
    </row>
    <row r="27" spans="1:12" ht="15" x14ac:dyDescent="0.25">
      <c r="A27" s="31"/>
      <c r="B27" s="1385" t="s">
        <v>73</v>
      </c>
      <c r="C27" s="1385"/>
      <c r="D27" s="1385"/>
      <c r="E27" s="1385"/>
      <c r="F27" s="1385"/>
      <c r="G27" s="1385"/>
      <c r="H27" s="1385"/>
      <c r="I27" s="577"/>
      <c r="J27" s="577"/>
      <c r="K27" s="1"/>
    </row>
    <row r="28" spans="1:12" ht="15" x14ac:dyDescent="0.25">
      <c r="A28" s="2"/>
      <c r="B28" s="1"/>
      <c r="C28" s="1"/>
      <c r="D28" s="1"/>
      <c r="E28" s="1"/>
      <c r="F28" s="1"/>
      <c r="G28" s="1"/>
      <c r="H28" s="1"/>
      <c r="I28" s="1"/>
      <c r="J28" s="80" t="s">
        <v>0</v>
      </c>
      <c r="K28" s="1"/>
    </row>
    <row r="29" spans="1:12" ht="16.5" customHeight="1" x14ac:dyDescent="0.2">
      <c r="A29" s="1388" t="s">
        <v>4</v>
      </c>
      <c r="B29" s="1389" t="s">
        <v>498</v>
      </c>
      <c r="C29" s="1390"/>
      <c r="D29" s="1390"/>
      <c r="E29" s="1391"/>
      <c r="F29" s="1268" t="s">
        <v>163</v>
      </c>
      <c r="G29" s="1269"/>
      <c r="H29" s="1269"/>
      <c r="I29" s="1270"/>
      <c r="J29" s="1386" t="s">
        <v>318</v>
      </c>
      <c r="K29" s="1"/>
    </row>
    <row r="30" spans="1:12" ht="25.5" x14ac:dyDescent="0.2">
      <c r="A30" s="1388"/>
      <c r="B30" s="1012" t="s">
        <v>158</v>
      </c>
      <c r="C30" s="978" t="s">
        <v>159</v>
      </c>
      <c r="D30" s="978" t="s">
        <v>160</v>
      </c>
      <c r="E30" s="979" t="s">
        <v>11</v>
      </c>
      <c r="F30" s="1012" t="s">
        <v>158</v>
      </c>
      <c r="G30" s="978" t="s">
        <v>159</v>
      </c>
      <c r="H30" s="978" t="s">
        <v>161</v>
      </c>
      <c r="I30" s="979" t="s">
        <v>11</v>
      </c>
      <c r="J30" s="1387"/>
      <c r="K30" s="1"/>
    </row>
    <row r="31" spans="1:12" ht="15" customHeight="1" x14ac:dyDescent="0.2">
      <c r="A31" s="446" t="str">
        <f>T_14_1!A23</f>
        <v>2009-10</v>
      </c>
      <c r="B31" s="4">
        <f>T_14_1!G23</f>
        <v>523</v>
      </c>
      <c r="C31" s="4">
        <f>T_14_1!H23</f>
        <v>672</v>
      </c>
      <c r="D31" s="4">
        <f>(T_14_1!I23+T_14_1!J23)</f>
        <v>10</v>
      </c>
      <c r="E31" s="47">
        <f>SUM(B31:D31)</f>
        <v>1205</v>
      </c>
      <c r="F31" s="193">
        <f>T_14_1!B23</f>
        <v>0</v>
      </c>
      <c r="G31" s="193">
        <f>T_14_1!C23</f>
        <v>18</v>
      </c>
      <c r="H31" s="193">
        <f>(T_14_1!D23+T_14_1!E23)</f>
        <v>0</v>
      </c>
      <c r="I31" s="123">
        <f>SUM(F31:H31)</f>
        <v>18</v>
      </c>
      <c r="J31" s="47">
        <f t="shared" ref="J31:J38" si="6">I31+E31</f>
        <v>1223</v>
      </c>
      <c r="K31" s="4"/>
      <c r="L31" s="191"/>
    </row>
    <row r="32" spans="1:12" ht="15" customHeight="1" x14ac:dyDescent="0.2">
      <c r="A32" s="2" t="str">
        <f>T_14_1!A24</f>
        <v>2010-11</v>
      </c>
      <c r="B32" s="4">
        <f>T_14_1!G24</f>
        <v>570</v>
      </c>
      <c r="C32" s="4">
        <f>T_14_1!H24</f>
        <v>729</v>
      </c>
      <c r="D32" s="4">
        <f>(T_14_1!I24+T_14_1!J24)</f>
        <v>5</v>
      </c>
      <c r="E32" s="47">
        <f t="shared" ref="E32:E38" si="7">SUM(B32:D32)</f>
        <v>1304</v>
      </c>
      <c r="F32" s="193">
        <f>T_14_1!B24</f>
        <v>0</v>
      </c>
      <c r="G32" s="193">
        <f>T_14_1!C24</f>
        <v>28</v>
      </c>
      <c r="H32" s="193">
        <f>(T_14_1!D24+T_14_1!E24)</f>
        <v>0</v>
      </c>
      <c r="I32" s="123">
        <f t="shared" ref="I32:I38" si="8">SUM(F32:H32)</f>
        <v>28</v>
      </c>
      <c r="J32" s="47">
        <f t="shared" si="6"/>
        <v>1332</v>
      </c>
      <c r="K32" s="4"/>
      <c r="L32" s="191"/>
    </row>
    <row r="33" spans="1:16" ht="15" customHeight="1" x14ac:dyDescent="0.2">
      <c r="A33" s="2" t="str">
        <f>T_14_1!A25</f>
        <v>2011-12</v>
      </c>
      <c r="B33" s="4">
        <f>T_14_1!G25</f>
        <v>649</v>
      </c>
      <c r="C33" s="4">
        <f>T_14_1!H25</f>
        <v>714</v>
      </c>
      <c r="D33" s="4">
        <f>(T_14_1!I25+T_14_1!J25)</f>
        <v>23</v>
      </c>
      <c r="E33" s="47">
        <f t="shared" si="7"/>
        <v>1386</v>
      </c>
      <c r="F33" s="193">
        <f>T_14_1!B25</f>
        <v>0</v>
      </c>
      <c r="G33" s="193">
        <f>T_14_1!C25</f>
        <v>28</v>
      </c>
      <c r="H33" s="193">
        <f>(T_14_1!D25+T_14_1!E25)</f>
        <v>0</v>
      </c>
      <c r="I33" s="123">
        <f t="shared" si="8"/>
        <v>28</v>
      </c>
      <c r="J33" s="47">
        <f t="shared" si="6"/>
        <v>1414</v>
      </c>
      <c r="K33" s="4"/>
      <c r="L33" s="191"/>
    </row>
    <row r="34" spans="1:16" ht="15" customHeight="1" x14ac:dyDescent="0.2">
      <c r="A34" s="2" t="str">
        <f>T_14_1!A26</f>
        <v>2012-13</v>
      </c>
      <c r="B34" s="4">
        <f>T_14_1!G26</f>
        <v>597</v>
      </c>
      <c r="C34" s="4">
        <f>T_14_1!H26</f>
        <v>697</v>
      </c>
      <c r="D34" s="4">
        <f>(T_14_1!I26+T_14_1!J26)</f>
        <v>7</v>
      </c>
      <c r="E34" s="47">
        <f t="shared" si="7"/>
        <v>1301</v>
      </c>
      <c r="F34" s="193">
        <f>T_14_1!B26</f>
        <v>0</v>
      </c>
      <c r="G34" s="193">
        <f>T_14_1!C26</f>
        <v>18</v>
      </c>
      <c r="H34" s="193">
        <f>(T_14_1!D26+T_14_1!E26)</f>
        <v>0</v>
      </c>
      <c r="I34" s="123">
        <f t="shared" si="8"/>
        <v>18</v>
      </c>
      <c r="J34" s="47">
        <f t="shared" si="6"/>
        <v>1319</v>
      </c>
      <c r="K34" s="4"/>
      <c r="L34" s="191"/>
    </row>
    <row r="35" spans="1:16" ht="15" customHeight="1" x14ac:dyDescent="0.2">
      <c r="A35" s="2" t="str">
        <f>T_14_1!A27</f>
        <v>2013-14</v>
      </c>
      <c r="B35" s="4">
        <f>T_14_1!G27</f>
        <v>574</v>
      </c>
      <c r="C35" s="4">
        <f>T_14_1!H27</f>
        <v>706</v>
      </c>
      <c r="D35" s="4">
        <f>(T_14_1!I27+T_14_1!J27)</f>
        <v>15</v>
      </c>
      <c r="E35" s="47">
        <f t="shared" si="7"/>
        <v>1295</v>
      </c>
      <c r="F35" s="193">
        <f>T_14_1!B27</f>
        <v>1</v>
      </c>
      <c r="G35" s="578">
        <f>T_14_1!C27</f>
        <v>14</v>
      </c>
      <c r="H35" s="193">
        <f>(T_14_1!D27+T_14_1!E27)</f>
        <v>0</v>
      </c>
      <c r="I35" s="123">
        <f t="shared" si="8"/>
        <v>15</v>
      </c>
      <c r="J35" s="47">
        <f t="shared" si="6"/>
        <v>1310</v>
      </c>
      <c r="K35" s="4"/>
      <c r="L35" s="191"/>
    </row>
    <row r="36" spans="1:16" ht="15" customHeight="1" x14ac:dyDescent="0.2">
      <c r="A36" s="2" t="str">
        <f>T_14_1!A28</f>
        <v>2014-15</v>
      </c>
      <c r="B36" s="4">
        <f>T_14_1!G28</f>
        <v>463</v>
      </c>
      <c r="C36" s="4">
        <f>T_14_1!H28</f>
        <v>617</v>
      </c>
      <c r="D36" s="4">
        <f>(T_14_1!I28+T_14_1!J28)</f>
        <v>7</v>
      </c>
      <c r="E36" s="47">
        <f t="shared" si="7"/>
        <v>1087</v>
      </c>
      <c r="F36" s="193">
        <f>T_14_1!B28</f>
        <v>0</v>
      </c>
      <c r="G36" s="578">
        <f>T_14_1!C28</f>
        <v>12</v>
      </c>
      <c r="H36" s="193">
        <f>(T_14_1!D28+T_14_1!E28)</f>
        <v>0</v>
      </c>
      <c r="I36" s="123">
        <f t="shared" si="8"/>
        <v>12</v>
      </c>
      <c r="J36" s="47">
        <f t="shared" si="6"/>
        <v>1099</v>
      </c>
      <c r="K36" s="4"/>
      <c r="L36" s="191"/>
    </row>
    <row r="37" spans="1:16" ht="15" customHeight="1" x14ac:dyDescent="0.2">
      <c r="A37" s="2" t="str">
        <f>T_14_1!A29</f>
        <v>2015-16</v>
      </c>
      <c r="B37" s="4">
        <f>T_14_1!G29</f>
        <v>551</v>
      </c>
      <c r="C37" s="4">
        <f>T_14_1!H29</f>
        <v>710</v>
      </c>
      <c r="D37" s="4">
        <f>(T_14_1!I29+T_14_1!J29)</f>
        <v>5</v>
      </c>
      <c r="E37" s="47">
        <f t="shared" si="7"/>
        <v>1266</v>
      </c>
      <c r="F37" s="193">
        <f>T_14_1!B29</f>
        <v>2</v>
      </c>
      <c r="G37" s="578">
        <f>T_14_1!C29</f>
        <v>8</v>
      </c>
      <c r="H37" s="193">
        <f>(T_14_1!D29+T_14_1!E29)</f>
        <v>0</v>
      </c>
      <c r="I37" s="123">
        <f t="shared" si="8"/>
        <v>10</v>
      </c>
      <c r="J37" s="47">
        <f t="shared" si="6"/>
        <v>1276</v>
      </c>
      <c r="K37" s="1"/>
      <c r="L37" s="191"/>
    </row>
    <row r="38" spans="1:16" ht="15" customHeight="1" x14ac:dyDescent="0.2">
      <c r="A38" s="2" t="str">
        <f>T_14_1!A30</f>
        <v>2016-17</v>
      </c>
      <c r="B38" s="4">
        <f>T_14_1!G30</f>
        <v>548</v>
      </c>
      <c r="C38" s="4">
        <f>T_14_1!H30</f>
        <v>695</v>
      </c>
      <c r="D38" s="4">
        <f>(T_14_1!I30+T_14_1!J30)</f>
        <v>5</v>
      </c>
      <c r="E38" s="47">
        <f t="shared" si="7"/>
        <v>1248</v>
      </c>
      <c r="F38" s="193">
        <f>T_14_1!B30</f>
        <v>0</v>
      </c>
      <c r="G38" s="578">
        <f>T_14_1!C30</f>
        <v>17</v>
      </c>
      <c r="H38" s="193">
        <f>(T_14_1!D30+T_14_1!E30)</f>
        <v>1</v>
      </c>
      <c r="I38" s="123">
        <f t="shared" si="8"/>
        <v>18</v>
      </c>
      <c r="J38" s="47">
        <f t="shared" si="6"/>
        <v>1266</v>
      </c>
      <c r="K38" s="1"/>
      <c r="L38" s="191"/>
    </row>
    <row r="39" spans="1:16" ht="15" customHeight="1" x14ac:dyDescent="0.2">
      <c r="A39" s="2" t="str">
        <f>T_14_1!A31</f>
        <v>2017-18</v>
      </c>
      <c r="B39" s="4">
        <f>T_14_1!G31</f>
        <v>478</v>
      </c>
      <c r="C39" s="4">
        <f>T_14_1!H31</f>
        <v>599</v>
      </c>
      <c r="D39" s="4">
        <f>(T_14_1!I31+T_14_1!J31)</f>
        <v>11</v>
      </c>
      <c r="E39" s="47">
        <f t="shared" ref="E39:E41" si="9">SUM(B39:D39)</f>
        <v>1088</v>
      </c>
      <c r="F39" s="193">
        <f>T_14_1!B31</f>
        <v>1</v>
      </c>
      <c r="G39" s="578">
        <f>T_14_1!C31</f>
        <v>23</v>
      </c>
      <c r="H39" s="193">
        <f>(T_14_1!D31+T_14_1!E31)</f>
        <v>4</v>
      </c>
      <c r="I39" s="123">
        <f t="shared" ref="I39:I41" si="10">SUM(F39:H39)</f>
        <v>28</v>
      </c>
      <c r="J39" s="47">
        <f t="shared" ref="J39:J41" si="11">I39+E39</f>
        <v>1116</v>
      </c>
      <c r="K39" s="1"/>
      <c r="L39" s="191"/>
    </row>
    <row r="40" spans="1:16" ht="15" customHeight="1" x14ac:dyDescent="0.2">
      <c r="A40" s="2" t="str">
        <f>T_14_1!A32</f>
        <v>2018-19</v>
      </c>
      <c r="B40" s="4">
        <f>T_14_1!G32</f>
        <v>512</v>
      </c>
      <c r="C40" s="4">
        <f>T_14_1!H32</f>
        <v>647</v>
      </c>
      <c r="D40" s="4">
        <f>(T_14_1!I32+T_14_1!J32)</f>
        <v>17</v>
      </c>
      <c r="E40" s="47">
        <f t="shared" si="9"/>
        <v>1176</v>
      </c>
      <c r="F40" s="193">
        <f>T_14_1!B32</f>
        <v>0</v>
      </c>
      <c r="G40" s="578">
        <f>T_14_1!C32</f>
        <v>20</v>
      </c>
      <c r="H40" s="193">
        <f>(T_14_1!D32+T_14_1!E32)</f>
        <v>1</v>
      </c>
      <c r="I40" s="123">
        <f t="shared" si="10"/>
        <v>21</v>
      </c>
      <c r="J40" s="47">
        <f t="shared" si="11"/>
        <v>1197</v>
      </c>
      <c r="K40" s="1"/>
      <c r="L40" s="191"/>
    </row>
    <row r="41" spans="1:16" ht="15" customHeight="1" x14ac:dyDescent="0.2">
      <c r="A41" s="2" t="str">
        <f>T_14_1!A33</f>
        <v>2019-20</v>
      </c>
      <c r="B41" s="4">
        <f>T_14_1!G33</f>
        <v>437</v>
      </c>
      <c r="C41" s="4">
        <f>T_14_1!H33</f>
        <v>555</v>
      </c>
      <c r="D41" s="4">
        <f>(T_14_1!I33+T_14_1!J33)</f>
        <v>22</v>
      </c>
      <c r="E41" s="47">
        <f t="shared" si="9"/>
        <v>1014</v>
      </c>
      <c r="F41" s="193">
        <f>T_14_1!B33</f>
        <v>0</v>
      </c>
      <c r="G41" s="578">
        <f>T_14_1!C33</f>
        <v>12</v>
      </c>
      <c r="H41" s="193">
        <f>(T_14_1!D33+T_14_1!E33)</f>
        <v>1</v>
      </c>
      <c r="I41" s="123">
        <f t="shared" si="10"/>
        <v>13</v>
      </c>
      <c r="J41" s="47">
        <f t="shared" si="11"/>
        <v>1027</v>
      </c>
      <c r="K41" s="1"/>
    </row>
    <row r="42" spans="1:16" ht="13.5" thickBot="1" x14ac:dyDescent="0.25">
      <c r="A42" s="447" t="str">
        <f>T_14_1!A34</f>
        <v>2020-21</v>
      </c>
      <c r="B42" s="349">
        <f>T_14_1!G34</f>
        <v>422</v>
      </c>
      <c r="C42" s="349">
        <f>T_14_1!H34</f>
        <v>554</v>
      </c>
      <c r="D42" s="349">
        <f>(T_14_1!I34+T_14_1!J34)</f>
        <v>33</v>
      </c>
      <c r="E42" s="703">
        <f t="shared" ref="E42" si="12">SUM(B42:D42)</f>
        <v>1009</v>
      </c>
      <c r="F42" s="704">
        <f>T_14_1!B34</f>
        <v>0</v>
      </c>
      <c r="G42" s="705">
        <f>T_14_1!C34</f>
        <v>5</v>
      </c>
      <c r="H42" s="704">
        <f>(T_14_1!D34+T_14_1!E34)</f>
        <v>3</v>
      </c>
      <c r="I42" s="706">
        <f t="shared" ref="I42" si="13">SUM(F42:H42)</f>
        <v>8</v>
      </c>
      <c r="J42" s="703">
        <f t="shared" ref="J42" si="14">I42+E42</f>
        <v>1017</v>
      </c>
      <c r="K42" s="1"/>
    </row>
    <row r="43" spans="1:16" ht="25.5" customHeight="1" x14ac:dyDescent="0.2">
      <c r="A43" s="1374"/>
      <c r="B43" s="1374"/>
      <c r="C43" s="1374"/>
      <c r="D43" s="1374"/>
      <c r="E43" s="1374"/>
      <c r="F43" s="1374"/>
      <c r="G43" s="1374"/>
      <c r="H43" s="1374"/>
      <c r="I43" s="1374"/>
      <c r="J43" s="1374"/>
      <c r="K43" s="31"/>
      <c r="L43" s="31"/>
      <c r="M43" s="31"/>
      <c r="N43" s="31"/>
      <c r="O43" s="31"/>
      <c r="P43" s="31"/>
    </row>
    <row r="44" spans="1:16" x14ac:dyDescent="0.2">
      <c r="C44" s="125"/>
      <c r="D44" s="125"/>
      <c r="E44" s="125"/>
      <c r="F44" s="125"/>
      <c r="G44" s="125"/>
      <c r="H44" s="125"/>
      <c r="I44" s="125"/>
      <c r="J44" s="125"/>
      <c r="K44" s="1"/>
    </row>
    <row r="45" spans="1:16" x14ac:dyDescent="0.2">
      <c r="A45" s="1360"/>
      <c r="B45" s="1360"/>
    </row>
  </sheetData>
  <sheetProtection algorithmName="SHA-512" hashValue="A5J4c/wF3L85q1o1VmrmQpdWMQXHN2xEUMo3fwdjMVTPCGpmUZOBNmzs2ZESUxhe1zjiB4rlHpUsF7lo8uvoQQ==" saltValue="KtcpAhtDueF4k283hjPFcA==" spinCount="100000" sheet="1" scenarios="1" formatCells="0" formatColumns="0" formatRows="0" sort="0" autoFilter="0" pivotTables="0"/>
  <mergeCells count="10">
    <mergeCell ref="B27:H27"/>
    <mergeCell ref="A45:B45"/>
    <mergeCell ref="A43:J43"/>
    <mergeCell ref="G10:G11"/>
    <mergeCell ref="A10:A11"/>
    <mergeCell ref="A29:A30"/>
    <mergeCell ref="J29:J30"/>
    <mergeCell ref="B10:E10"/>
    <mergeCell ref="B29:E29"/>
    <mergeCell ref="F29:I29"/>
  </mergeCells>
  <hyperlinks>
    <hyperlink ref="A2" location="'Table of Contents'!A1" display="Back to Table of Contents" xr:uid="{00000000-0004-0000-7B00-000000000000}"/>
  </hyperlinks>
  <pageMargins left="0.7" right="0.7" top="0.75" bottom="0.75" header="0.3" footer="0.3"/>
  <pageSetup paperSize="9" scale="58"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31">
    <tabColor rgb="FFBF8F00"/>
    <pageSetUpPr fitToPage="1"/>
  </sheetPr>
  <dimension ref="A1:Q25"/>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7.140625" customWidth="1"/>
    <col min="2" max="2" width="13" customWidth="1"/>
    <col min="3" max="3" width="13.140625" customWidth="1"/>
    <col min="4" max="4" width="14.7109375" customWidth="1"/>
    <col min="6" max="6" width="13.5703125" customWidth="1"/>
    <col min="7" max="7" width="12.85546875" customWidth="1"/>
    <col min="8" max="8" width="12.5703125" customWidth="1"/>
    <col min="10" max="12" width="12.42578125" customWidth="1"/>
  </cols>
  <sheetData>
    <row r="1" spans="1:17" ht="15.75" customHeight="1" x14ac:dyDescent="0.2">
      <c r="A1" s="298" t="s">
        <v>1133</v>
      </c>
      <c r="K1" s="75"/>
      <c r="L1" s="75"/>
    </row>
    <row r="2" spans="1:17" ht="15.75" customHeight="1" x14ac:dyDescent="0.2">
      <c r="A2" s="106" t="s">
        <v>578</v>
      </c>
      <c r="K2" s="1"/>
    </row>
    <row r="3" spans="1:17" ht="38.25" customHeight="1" x14ac:dyDescent="0.2">
      <c r="A3" s="120" t="s">
        <v>1053</v>
      </c>
      <c r="B3" s="120"/>
      <c r="C3" s="120"/>
      <c r="D3" s="120"/>
      <c r="E3" s="120"/>
      <c r="F3" s="120"/>
      <c r="G3" s="120"/>
      <c r="H3" s="120"/>
      <c r="I3" s="120"/>
      <c r="J3" s="120"/>
      <c r="O3" s="69"/>
      <c r="Q3" s="124"/>
    </row>
    <row r="4" spans="1:17" ht="15" customHeight="1" x14ac:dyDescent="0.25">
      <c r="A4" s="351" t="s">
        <v>579</v>
      </c>
      <c r="B4" s="1043" t="s">
        <v>1373</v>
      </c>
      <c r="E4" s="129"/>
      <c r="F4" s="129"/>
      <c r="G4" s="129"/>
      <c r="H4" s="129"/>
      <c r="I4" s="129"/>
      <c r="J4" s="129"/>
      <c r="O4" s="69"/>
      <c r="Q4" s="124"/>
    </row>
    <row r="5" spans="1:17" ht="15" customHeight="1" x14ac:dyDescent="0.25">
      <c r="A5" s="351" t="s">
        <v>580</v>
      </c>
      <c r="B5" s="351" t="s">
        <v>581</v>
      </c>
      <c r="C5" s="197"/>
      <c r="D5" s="197"/>
      <c r="E5" s="197"/>
      <c r="F5" s="197"/>
      <c r="G5" s="197"/>
      <c r="H5" s="197"/>
      <c r="I5" s="197"/>
      <c r="J5" s="197"/>
      <c r="O5" s="69"/>
      <c r="Q5" s="124"/>
    </row>
    <row r="6" spans="1:17" ht="15" customHeight="1" x14ac:dyDescent="0.25">
      <c r="A6" s="351" t="s">
        <v>582</v>
      </c>
      <c r="B6" s="351" t="s">
        <v>585</v>
      </c>
      <c r="C6" s="197"/>
      <c r="D6" s="197"/>
      <c r="E6" s="197"/>
      <c r="F6" s="197"/>
      <c r="G6" s="197"/>
      <c r="H6" s="197"/>
      <c r="I6" s="197"/>
      <c r="J6" s="197"/>
      <c r="O6" s="69"/>
      <c r="Q6" s="124"/>
    </row>
    <row r="7" spans="1:17" ht="13.5" customHeight="1" x14ac:dyDescent="0.25">
      <c r="A7" s="1"/>
      <c r="B7" s="1"/>
      <c r="C7" s="1"/>
      <c r="E7" s="3"/>
      <c r="F7" s="1"/>
      <c r="G7" s="1"/>
      <c r="H7" s="60" t="s">
        <v>57</v>
      </c>
      <c r="I7" s="1"/>
      <c r="J7" s="3"/>
      <c r="K7" s="3"/>
      <c r="L7" s="83" t="s">
        <v>0</v>
      </c>
      <c r="O7" s="69"/>
      <c r="Q7" s="124"/>
    </row>
    <row r="8" spans="1:17" ht="28.5" customHeight="1" x14ac:dyDescent="0.2">
      <c r="A8" s="18"/>
      <c r="B8" s="1311" t="s">
        <v>667</v>
      </c>
      <c r="C8" s="1366"/>
      <c r="D8" s="1367"/>
      <c r="E8" s="136"/>
      <c r="F8" s="1393" t="s">
        <v>668</v>
      </c>
      <c r="G8" s="1394"/>
      <c r="H8" s="1395"/>
      <c r="I8" s="1"/>
      <c r="J8" s="1288" t="s">
        <v>255</v>
      </c>
      <c r="K8" s="1289"/>
      <c r="L8" s="1290"/>
    </row>
    <row r="9" spans="1:17" ht="13.5" customHeight="1" x14ac:dyDescent="0.2">
      <c r="A9" s="6" t="s">
        <v>4</v>
      </c>
      <c r="B9" s="169" t="s">
        <v>158</v>
      </c>
      <c r="C9" s="169" t="s">
        <v>159</v>
      </c>
      <c r="D9" s="169" t="s">
        <v>11</v>
      </c>
      <c r="E9" s="77"/>
      <c r="F9" s="169" t="s">
        <v>158</v>
      </c>
      <c r="G9" s="169" t="s">
        <v>159</v>
      </c>
      <c r="H9" s="169" t="s">
        <v>11</v>
      </c>
      <c r="I9" s="137"/>
      <c r="J9" s="169" t="s">
        <v>158</v>
      </c>
      <c r="K9" s="169" t="s">
        <v>159</v>
      </c>
      <c r="L9" s="169" t="s">
        <v>11</v>
      </c>
    </row>
    <row r="10" spans="1:17" ht="13.5" customHeight="1" x14ac:dyDescent="0.2">
      <c r="A10" s="446" t="str">
        <f>'Casualty Gender'!A14</f>
        <v>2009-10</v>
      </c>
      <c r="B10" s="171">
        <f>'Casualty Gender'!B14/J10*1000000</f>
        <v>8.8891160551880777</v>
      </c>
      <c r="C10" s="171">
        <f>'Casualty Gender'!C14/K10*1000000</f>
        <v>14.613133099180914</v>
      </c>
      <c r="D10" s="711">
        <f>'Casualty Gender'!E14/'Casualty Gender Rate'!L10*1000000</f>
        <v>11.659244251610314</v>
      </c>
      <c r="E10" s="414"/>
      <c r="F10" s="171">
        <f>'Casualty Gender'!B31/'Casualty Gender Rate'!J10*1000000</f>
        <v>193.7086540359735</v>
      </c>
      <c r="G10" s="171">
        <f>'Casualty Gender'!C31/'Casualty Gender Rate'!K10*1000000</f>
        <v>265.40609304458309</v>
      </c>
      <c r="H10" s="1174">
        <f>'Casualty Gender'!E31/'Casualty Gender Rate'!L10*1000000</f>
        <v>230.31785775722014</v>
      </c>
      <c r="I10" s="710"/>
      <c r="J10" s="713">
        <f>PopulationScotland!B9</f>
        <v>2699931</v>
      </c>
      <c r="K10" s="354">
        <f>PopulationScotland!C9</f>
        <v>2531969</v>
      </c>
      <c r="L10" s="714">
        <f>SUM(J10:K10)</f>
        <v>5231900</v>
      </c>
    </row>
    <row r="11" spans="1:17" ht="13.5" customHeight="1" x14ac:dyDescent="0.2">
      <c r="A11" s="2" t="str">
        <f>'Casualty Gender'!A15</f>
        <v>2010-11</v>
      </c>
      <c r="B11" s="88">
        <f>'Casualty Gender'!B15/J11*1000000</f>
        <v>6.2638587875674938</v>
      </c>
      <c r="C11" s="88">
        <f>'Casualty Gender'!C15/K11*1000000</f>
        <v>13.735088599170087</v>
      </c>
      <c r="D11" s="384">
        <f>'Casualty Gender'!E15/'Casualty Gender Rate'!L11*1000000</f>
        <v>9.8817984873246925</v>
      </c>
      <c r="E11" s="1"/>
      <c r="F11" s="88">
        <f>'Casualty Gender'!B32/'Casualty Gender Rate'!J11*1000000</f>
        <v>210.02350052432183</v>
      </c>
      <c r="G11" s="88">
        <f>'Casualty Gender'!C32/'Casualty Gender Rate'!K11*1000000</f>
        <v>286.08227396557123</v>
      </c>
      <c r="H11" s="1175">
        <f>'Casualty Gender'!E32/'Casualty Gender Rate'!L11*1000000</f>
        <v>247.80510052829618</v>
      </c>
      <c r="I11" s="710"/>
      <c r="J11" s="588">
        <f>PopulationScotland!B10</f>
        <v>2713982</v>
      </c>
      <c r="K11" s="191">
        <f>PopulationScotland!C10</f>
        <v>2548218</v>
      </c>
      <c r="L11" s="715">
        <f t="shared" ref="L11:L15" si="0">SUM(J11:K11)</f>
        <v>5262200</v>
      </c>
    </row>
    <row r="12" spans="1:17" ht="13.5" customHeight="1" x14ac:dyDescent="0.2">
      <c r="A12" s="2" t="str">
        <f>'Casualty Gender'!A16</f>
        <v>2011-12</v>
      </c>
      <c r="B12" s="88">
        <f>'Casualty Gender'!B16/J12*1000000</f>
        <v>7.6934349355216876</v>
      </c>
      <c r="C12" s="88">
        <f>'Casualty Gender'!C16/K12*1000000</f>
        <v>14.78426642804342</v>
      </c>
      <c r="D12" s="384">
        <f>'Casualty Gender'!E16/'Casualty Gender Rate'!L12*1000000</f>
        <v>11.132285514821033</v>
      </c>
      <c r="E12" s="1"/>
      <c r="F12" s="88">
        <f>'Casualty Gender'!B33/'Casualty Gender Rate'!J12*1000000</f>
        <v>237.76377491207504</v>
      </c>
      <c r="G12" s="88">
        <f>'Casualty Gender'!C33/'Casualty Gender Rate'!K12*1000000</f>
        <v>277.78858499007902</v>
      </c>
      <c r="H12" s="1175">
        <f>'Casualty Gender'!E33/'Casualty Gender Rate'!L12*1000000</f>
        <v>261.51436819562633</v>
      </c>
      <c r="I12" s="50"/>
      <c r="J12" s="588">
        <f>PopulationScotland!B11</f>
        <v>2729600</v>
      </c>
      <c r="K12" s="191">
        <f>PopulationScotland!C11</f>
        <v>2570300</v>
      </c>
      <c r="L12" s="715">
        <f t="shared" si="0"/>
        <v>5299900</v>
      </c>
    </row>
    <row r="13" spans="1:17" ht="13.5" customHeight="1" x14ac:dyDescent="0.2">
      <c r="A13" s="29" t="str">
        <f>'Casualty Gender'!A17</f>
        <v>2012-13</v>
      </c>
      <c r="B13" s="88">
        <f>'Casualty Gender'!B17/J13*1000000</f>
        <v>8.4054803732033285</v>
      </c>
      <c r="C13" s="88">
        <f>'Casualty Gender'!C17/K13*1000000</f>
        <v>8.9241024486961109</v>
      </c>
      <c r="D13" s="384">
        <f>'Casualty Gender'!E17/'Casualty Gender Rate'!L13*1000000</f>
        <v>8.6570310147545921</v>
      </c>
      <c r="E13" s="1"/>
      <c r="F13" s="88">
        <f>'Casualty Gender'!B34/'Casualty Gender Rate'!J13*1000000</f>
        <v>218.17703403488642</v>
      </c>
      <c r="G13" s="88">
        <f>'Casualty Gender'!C34/'Casualty Gender Rate'!K13*1000000</f>
        <v>270.4391046409213</v>
      </c>
      <c r="H13" s="1175">
        <f>'Casualty Gender'!E34/'Casualty Gender Rate'!L13*1000000</f>
        <v>244.8434206564288</v>
      </c>
      <c r="I13" s="239"/>
      <c r="J13" s="588">
        <f>PopulationScotland!B12</f>
        <v>2736310</v>
      </c>
      <c r="K13" s="191">
        <f>PopulationScotland!C12</f>
        <v>2577290</v>
      </c>
      <c r="L13" s="715">
        <f t="shared" si="0"/>
        <v>5313600</v>
      </c>
    </row>
    <row r="14" spans="1:17" ht="13.5" customHeight="1" x14ac:dyDescent="0.2">
      <c r="A14" s="29" t="str">
        <f>'Casualty Gender'!A18</f>
        <v>2013-14</v>
      </c>
      <c r="B14" s="88">
        <f>'Casualty Gender'!B18/J14*1000000</f>
        <v>6.566898453860242</v>
      </c>
      <c r="C14" s="88">
        <f>'Casualty Gender'!C18/K14*1000000</f>
        <v>5.025747289962422</v>
      </c>
      <c r="D14" s="384">
        <f>'Casualty Gender'!E18/'Casualty Gender Rate'!L14*1000000</f>
        <v>5.8186459447791732</v>
      </c>
      <c r="E14" s="1"/>
      <c r="F14" s="88">
        <f>'Casualty Gender'!B35/'Casualty Gender Rate'!J14*1000000</f>
        <v>209.41109513976548</v>
      </c>
      <c r="G14" s="88">
        <f>'Casualty Gender'!C35/'Casualty Gender Rate'!K14*1000000</f>
        <v>272.93673743949773</v>
      </c>
      <c r="H14" s="1175">
        <f>'Casualty Gender'!E35/'Casualty Gender Rate'!L14*1000000</f>
        <v>243.06924188674287</v>
      </c>
      <c r="I14" s="239"/>
      <c r="J14" s="588">
        <f>PopulationScotland!B13</f>
        <v>2741020</v>
      </c>
      <c r="K14" s="191">
        <f>PopulationScotland!C13</f>
        <v>2586680</v>
      </c>
      <c r="L14" s="715">
        <f t="shared" si="0"/>
        <v>5327700</v>
      </c>
    </row>
    <row r="15" spans="1:17" ht="13.5" customHeight="1" x14ac:dyDescent="0.2">
      <c r="A15" s="29" t="str">
        <f>'Casualty Gender'!A19</f>
        <v>2014-15</v>
      </c>
      <c r="B15" s="88">
        <f>'Casualty Gender'!B19/J15*1000000</f>
        <v>5.815918897010981</v>
      </c>
      <c r="C15" s="88">
        <f>'Casualty Gender'!C19/K15*1000000</f>
        <v>9.2431052211990608</v>
      </c>
      <c r="D15" s="384">
        <f>'Casualty Gender'!E19/'Casualty Gender Rate'!L15*1000000</f>
        <v>7.4799910240107712</v>
      </c>
      <c r="E15" s="1"/>
      <c r="F15" s="88">
        <f>'Casualty Gender'!B36/'Casualty Gender Rate'!J15*1000000</f>
        <v>168.29815308225528</v>
      </c>
      <c r="G15" s="88">
        <f>'Casualty Gender'!C36/'Casualty Gender Rate'!K15*1000000</f>
        <v>237.62483006165922</v>
      </c>
      <c r="H15" s="1175">
        <f>'Casualty Gender'!E36/'Casualty Gender Rate'!L15*1000000</f>
        <v>203.2687560774927</v>
      </c>
      <c r="I15" s="239"/>
      <c r="J15" s="588">
        <f>PopulationScotland!B14</f>
        <v>2751070</v>
      </c>
      <c r="K15" s="191">
        <f>PopulationScotland!C14</f>
        <v>2596530</v>
      </c>
      <c r="L15" s="715">
        <f t="shared" si="0"/>
        <v>5347600</v>
      </c>
    </row>
    <row r="16" spans="1:17" ht="13.5" customHeight="1" x14ac:dyDescent="0.2">
      <c r="A16" s="29" t="str">
        <f>'Casualty Gender'!A20</f>
        <v>2015-16</v>
      </c>
      <c r="B16" s="88">
        <f>'Casualty Gender'!B20/J16*1000000</f>
        <v>7.2397377622187769</v>
      </c>
      <c r="C16" s="88">
        <f>'Casualty Gender'!C20/K16*1000000</f>
        <v>9.5768231685570662</v>
      </c>
      <c r="D16" s="384">
        <f>'Casualty Gender'!E20/'Casualty Gender Rate'!L16*1000000</f>
        <v>8.3752093802345069</v>
      </c>
      <c r="E16" s="1"/>
      <c r="F16" s="88">
        <f>'Casualty Gender'!B37/'Casualty Gender Rate'!J16*1000000</f>
        <v>199.45477534912729</v>
      </c>
      <c r="G16" s="88">
        <f>'Casualty Gender'!C37/'Casualty Gender Rate'!K16*1000000</f>
        <v>271.98177798702073</v>
      </c>
      <c r="H16" s="1175">
        <f>'Casualty Gender'!E37/'Casualty Gender Rate'!L16*1000000</f>
        <v>235.62255723059744</v>
      </c>
      <c r="I16" s="239"/>
      <c r="J16" s="588">
        <f>PopulationScotland!B15</f>
        <v>2762531</v>
      </c>
      <c r="K16" s="191">
        <f>PopulationScotland!C15</f>
        <v>2610469</v>
      </c>
      <c r="L16" s="715">
        <f t="shared" ref="L16:L20" si="1">SUM(J16:K16)</f>
        <v>5373000</v>
      </c>
    </row>
    <row r="17" spans="1:15" ht="13.5" customHeight="1" x14ac:dyDescent="0.2">
      <c r="A17" s="29" t="str">
        <f>'Casualty Gender'!A21</f>
        <v>2016-17</v>
      </c>
      <c r="B17" s="88">
        <f>'Casualty Gender'!B21/J17*1000000</f>
        <v>5.7612045526478681</v>
      </c>
      <c r="C17" s="88">
        <f>'Casualty Gender'!C21/K17*1000000</f>
        <v>10.656505435008066</v>
      </c>
      <c r="D17" s="384">
        <f>'Casualty Gender'!E21/'Casualty Gender Rate'!L17*1000000</f>
        <v>8.1410624086443288</v>
      </c>
      <c r="E17" s="1"/>
      <c r="F17" s="88">
        <f>'Casualty Gender'!B38/'Casualty Gender Rate'!J17*1000000</f>
        <v>197.32125592818949</v>
      </c>
      <c r="G17" s="88">
        <f>'Casualty Gender'!C38/'Casualty Gender Rate'!K17*1000000</f>
        <v>264.50968847609312</v>
      </c>
      <c r="H17" s="1175">
        <f>'Casualty Gender'!E38/'Casualty Gender Rate'!L17*1000000</f>
        <v>230.9101337724573</v>
      </c>
      <c r="I17" s="239"/>
      <c r="J17" s="588">
        <f>PopulationScotland!B16</f>
        <v>2777197</v>
      </c>
      <c r="K17" s="191">
        <f>PopulationScotland!C16</f>
        <v>2627503</v>
      </c>
      <c r="L17" s="715">
        <f t="shared" si="1"/>
        <v>5404700</v>
      </c>
    </row>
    <row r="18" spans="1:15" ht="13.5" customHeight="1" x14ac:dyDescent="0.2">
      <c r="A18" s="29" t="str">
        <f>'Casualty Gender'!A22</f>
        <v>2017-18</v>
      </c>
      <c r="B18" s="88">
        <f>'Casualty Gender'!B22/J18*1000000</f>
        <v>6.4643562578559886</v>
      </c>
      <c r="C18" s="88">
        <f>'Casualty Gender'!C22/K18*1000000</f>
        <v>9.8473658296405713</v>
      </c>
      <c r="D18" s="384">
        <f>'Casualty Gender'!E22/'Casualty Gender Rate'!L18*1000000</f>
        <v>8.1108980976257197</v>
      </c>
      <c r="E18" s="1"/>
      <c r="F18" s="88">
        <f>'Casualty Gender'!B39/'Casualty Gender Rate'!J18*1000000</f>
        <v>171.66457173639793</v>
      </c>
      <c r="G18" s="88">
        <f>'Casualty Gender'!C39/'Casualty Gender Rate'!K18*1000000</f>
        <v>226.8681589213347</v>
      </c>
      <c r="H18" s="1175">
        <f>'Casualty Gender'!E39/'Casualty Gender Rate'!L18*1000000</f>
        <v>200.56038932310869</v>
      </c>
      <c r="I18" s="239"/>
      <c r="J18" s="588">
        <f>PopulationScotland!B17</f>
        <v>2784500</v>
      </c>
      <c r="K18" s="191">
        <f>PopulationScotland!C17</f>
        <v>2640300</v>
      </c>
      <c r="L18" s="715">
        <f t="shared" si="1"/>
        <v>5424800</v>
      </c>
    </row>
    <row r="19" spans="1:15" ht="13.5" customHeight="1" x14ac:dyDescent="0.2">
      <c r="A19" s="29" t="str">
        <f>'Casualty Gender'!A23</f>
        <v>2018-19</v>
      </c>
      <c r="B19" s="88">
        <f>'Casualty Gender'!B23/J19*1000000</f>
        <v>5.3775988590886259</v>
      </c>
      <c r="C19" s="88">
        <f>'Casualty Gender'!C23/K19*1000000</f>
        <v>10.948556508331663</v>
      </c>
      <c r="D19" s="384">
        <f>'Casualty Gender'!E23/'Casualty Gender Rate'!L19*1000000</f>
        <v>8.0910612162336104</v>
      </c>
      <c r="E19" s="1"/>
      <c r="F19" s="88">
        <f>'Casualty Gender'!B40/'Casualty Gender Rate'!J19*1000000</f>
        <v>183.5553743902251</v>
      </c>
      <c r="G19" s="88">
        <f>'Casualty Gender'!C40/'Casualty Gender Rate'!K19*1000000</f>
        <v>244.26607106519262</v>
      </c>
      <c r="H19" s="1175">
        <f>'Casualty Gender'!E40/'Casualty Gender Rate'!L19*1000000</f>
        <v>216.25199977933468</v>
      </c>
      <c r="I19" s="239"/>
      <c r="J19" s="588">
        <f>PopulationScotland!B18</f>
        <v>2789349</v>
      </c>
      <c r="K19" s="191">
        <f>PopulationScotland!C18</f>
        <v>2648751</v>
      </c>
      <c r="L19" s="715">
        <f t="shared" si="1"/>
        <v>5438100</v>
      </c>
      <c r="O19" s="93"/>
    </row>
    <row r="20" spans="1:15" x14ac:dyDescent="0.2">
      <c r="A20" s="29" t="str">
        <f>'Casualty Gender'!A24</f>
        <v>2019-20</v>
      </c>
      <c r="B20" s="88">
        <f>'Casualty Gender'!B24/J20*1000000</f>
        <v>2.4997348495534584</v>
      </c>
      <c r="C20" s="88">
        <f>'Casualty Gender'!C24/K20*1000000</f>
        <v>7.5103182384698783</v>
      </c>
      <c r="D20" s="384">
        <f>'Casualty Gender'!E24/'Casualty Gender Rate'!L20*1000000</f>
        <v>4.9420679808906707</v>
      </c>
      <c r="E20" s="1"/>
      <c r="F20" s="88">
        <f>'Casualty Gender'!B41/'Casualty Gender Rate'!J20*1000000</f>
        <v>156.05487560783729</v>
      </c>
      <c r="G20" s="88">
        <f>'Casualty Gender'!C41/'Casualty Gender Rate'!K20*1000000</f>
        <v>208.41133111753911</v>
      </c>
      <c r="H20" s="1175">
        <f>'Casualty Gender'!E41/'Casualty Gender Rate'!L20*1000000</f>
        <v>185.60210861567185</v>
      </c>
      <c r="I20" s="239"/>
      <c r="J20" s="588">
        <f>PopulationScotland!B19</f>
        <v>2800297</v>
      </c>
      <c r="K20" s="191">
        <f>PopulationScotland!C19</f>
        <v>2663003</v>
      </c>
      <c r="L20" s="715">
        <f t="shared" si="1"/>
        <v>5463300</v>
      </c>
    </row>
    <row r="21" spans="1:15" ht="13.5" thickBot="1" x14ac:dyDescent="0.25">
      <c r="A21" s="380" t="str">
        <f>'Casualty Gender'!A25</f>
        <v>2020-21</v>
      </c>
      <c r="B21" s="390">
        <f>'Casualty Gender'!B25/J21*1000000</f>
        <v>4.6415508778243835</v>
      </c>
      <c r="C21" s="390">
        <f>'Casualty Gender'!C25/K21*1000000</f>
        <v>15.008186965989948</v>
      </c>
      <c r="D21" s="391">
        <f>'Casualty Gender'!E25/'Casualty Gender Rate'!L21*1000000</f>
        <v>9.6963044273691903</v>
      </c>
      <c r="E21" s="409"/>
      <c r="F21" s="390">
        <f>'Casualty Gender'!B42/'Casualty Gender Rate'!J21*1000000</f>
        <v>150.67188234168384</v>
      </c>
      <c r="G21" s="390">
        <f>'Casualty Gender'!C42/'Casualty Gender Rate'!K21*1000000</f>
        <v>207.86338947896078</v>
      </c>
      <c r="H21" s="1176">
        <f>'Casualty Gender'!E42/'Casualty Gender Rate'!L21*1000000</f>
        <v>184.59568240029273</v>
      </c>
      <c r="J21" s="1162">
        <f>PopulationScotland!B20</f>
        <v>2800788</v>
      </c>
      <c r="K21" s="492">
        <f>PopulationScotland!C20</f>
        <v>2665212</v>
      </c>
      <c r="L21" s="716">
        <f t="shared" ref="L21" si="2">SUM(J21:K21)</f>
        <v>5466000</v>
      </c>
    </row>
    <row r="22" spans="1:15" x14ac:dyDescent="0.2">
      <c r="A22" s="1"/>
      <c r="B22" s="92"/>
      <c r="C22" s="607"/>
      <c r="D22" s="4"/>
      <c r="E22" s="1"/>
      <c r="F22" s="92"/>
      <c r="G22" s="607"/>
      <c r="H22" s="1"/>
      <c r="I22" s="1"/>
      <c r="J22" s="1"/>
      <c r="K22" s="1"/>
    </row>
    <row r="23" spans="1:15" x14ac:dyDescent="0.2">
      <c r="A23" s="2" t="s">
        <v>146</v>
      </c>
      <c r="B23" s="1"/>
      <c r="C23" s="92"/>
      <c r="D23" s="1"/>
      <c r="E23" s="1"/>
      <c r="F23" s="1"/>
      <c r="G23" s="1"/>
      <c r="H23" s="1"/>
      <c r="I23" s="1"/>
      <c r="J23" s="1"/>
      <c r="K23" s="1"/>
    </row>
    <row r="24" spans="1:15" ht="15" customHeight="1" x14ac:dyDescent="0.2">
      <c r="A24" s="1392" t="s">
        <v>1234</v>
      </c>
      <c r="B24" s="1392"/>
      <c r="C24" s="1392"/>
      <c r="D24" s="1392"/>
      <c r="E24" s="1392"/>
      <c r="F24" s="1392"/>
      <c r="G24" s="1392"/>
      <c r="H24" s="1392"/>
      <c r="I24" s="1392"/>
      <c r="J24" s="277"/>
    </row>
    <row r="25" spans="1:15" ht="15" customHeight="1" x14ac:dyDescent="0.2">
      <c r="A25" s="106" t="s">
        <v>1093</v>
      </c>
    </row>
  </sheetData>
  <sheetProtection algorithmName="SHA-512" hashValue="nlncvIud4ZuidgBoYet1mzjTZs68GMeGgt4tudT/vJpaOnwOKme39my6AwVvX9iPLYL3SJDzTS6E3i4zmJXQRQ==" saltValue="ZWOV2+Jh3xKfxbcdEyMalw==" spinCount="100000" sheet="1" scenarios="1" formatCells="0" formatColumns="0" formatRows="0" sort="0" autoFilter="0" pivotTables="0"/>
  <mergeCells count="4">
    <mergeCell ref="B8:D8"/>
    <mergeCell ref="J8:L8"/>
    <mergeCell ref="A24:I24"/>
    <mergeCell ref="F8:H8"/>
  </mergeCells>
  <hyperlinks>
    <hyperlink ref="A2" location="'Table of Contents'!A1" display="Back to Table of Contents" xr:uid="{00000000-0004-0000-7C00-000000000000}"/>
    <hyperlink ref="A25" r:id="rId1" xr:uid="{00000000-0004-0000-7C00-000001000000}"/>
  </hyperlinks>
  <pageMargins left="0.7" right="0.7" top="0.75" bottom="0.75" header="0.3" footer="0.3"/>
  <pageSetup paperSize="9" scale="74" fitToHeight="0" orientation="portrait" r:id="rId2"/>
  <colBreaks count="1" manualBreakCount="1">
    <brk id="13"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BF8F00"/>
  </sheetPr>
  <dimension ref="A1:M16"/>
  <sheetViews>
    <sheetView showGridLines="0" workbookViewId="0">
      <pane ySplit="2" topLeftCell="A3" activePane="bottomLeft" state="frozen"/>
      <selection activeCellId="1" sqref="A1 A1"/>
      <selection pane="bottomLeft"/>
    </sheetView>
  </sheetViews>
  <sheetFormatPr defaultColWidth="9.140625" defaultRowHeight="12.75" x14ac:dyDescent="0.2"/>
  <cols>
    <col min="1" max="1" width="36.28515625" customWidth="1"/>
    <col min="2" max="5" width="13.140625" customWidth="1"/>
    <col min="6" max="6" width="5.7109375" customWidth="1"/>
    <col min="7" max="7" width="16.140625" customWidth="1"/>
    <col min="8" max="8" width="13.85546875" customWidth="1"/>
    <col min="9" max="9" width="12.42578125" customWidth="1"/>
    <col min="10" max="10" width="11.7109375" customWidth="1"/>
    <col min="11" max="11" width="5.7109375" customWidth="1"/>
    <col min="12" max="12" width="11.140625" customWidth="1"/>
    <col min="13" max="13" width="8" customWidth="1"/>
    <col min="14" max="14" width="10.28515625" customWidth="1"/>
    <col min="15" max="15" width="9" customWidth="1"/>
    <col min="16" max="16" width="13.28515625" customWidth="1"/>
    <col min="17" max="17" width="13.5703125" customWidth="1"/>
    <col min="18" max="18" width="12.85546875" customWidth="1"/>
  </cols>
  <sheetData>
    <row r="1" spans="1:13" ht="18" customHeight="1" x14ac:dyDescent="0.2">
      <c r="A1" s="298" t="s">
        <v>1133</v>
      </c>
    </row>
    <row r="2" spans="1:13" ht="18" customHeight="1" x14ac:dyDescent="0.2">
      <c r="A2" s="106" t="s">
        <v>578</v>
      </c>
    </row>
    <row r="3" spans="1:13" ht="38.25" customHeight="1" x14ac:dyDescent="0.2">
      <c r="A3" s="120" t="s">
        <v>1051</v>
      </c>
      <c r="B3" s="120"/>
      <c r="C3" s="120"/>
      <c r="D3" s="120"/>
      <c r="E3" s="120"/>
      <c r="F3" s="120"/>
      <c r="G3" s="120"/>
      <c r="H3" s="120"/>
      <c r="I3" s="4"/>
      <c r="J3" s="1"/>
      <c r="K3" s="1"/>
      <c r="L3" s="1"/>
    </row>
    <row r="4" spans="1:13" ht="15.75" customHeight="1" x14ac:dyDescent="0.25">
      <c r="A4" s="351" t="s">
        <v>579</v>
      </c>
      <c r="B4" s="1043" t="s">
        <v>1374</v>
      </c>
      <c r="D4" s="120"/>
      <c r="E4" s="120"/>
      <c r="F4" s="120"/>
      <c r="G4" s="120"/>
      <c r="H4" s="120"/>
      <c r="I4" s="4"/>
      <c r="J4" s="1"/>
      <c r="K4" s="1"/>
      <c r="L4" s="1"/>
    </row>
    <row r="5" spans="1:13" ht="15.75" customHeight="1" x14ac:dyDescent="0.25">
      <c r="A5" s="351" t="s">
        <v>580</v>
      </c>
      <c r="B5" s="351" t="s">
        <v>581</v>
      </c>
      <c r="C5" s="120"/>
      <c r="D5" s="120"/>
      <c r="E5" s="120"/>
      <c r="F5" s="120"/>
      <c r="G5" s="120"/>
      <c r="H5" s="120"/>
      <c r="I5" s="4"/>
      <c r="J5" s="1"/>
      <c r="K5" s="1"/>
      <c r="L5" s="1"/>
    </row>
    <row r="6" spans="1:13" ht="15.75" customHeight="1" x14ac:dyDescent="0.25">
      <c r="A6" s="351" t="s">
        <v>582</v>
      </c>
      <c r="B6" s="351" t="s">
        <v>585</v>
      </c>
      <c r="C6" s="120"/>
      <c r="D6" s="120"/>
      <c r="E6" s="120"/>
      <c r="F6" s="120"/>
      <c r="G6" s="120"/>
      <c r="H6" s="120"/>
      <c r="I6" s="4"/>
      <c r="J6" s="1"/>
      <c r="K6" s="1"/>
      <c r="L6" s="1"/>
    </row>
    <row r="7" spans="1:13" ht="15" x14ac:dyDescent="0.25">
      <c r="A7" s="1"/>
      <c r="B7" s="4"/>
      <c r="C7" s="4"/>
      <c r="D7" s="4"/>
      <c r="E7" s="4"/>
      <c r="F7" s="4"/>
      <c r="G7" s="4"/>
      <c r="H7" s="4"/>
      <c r="I7" s="922"/>
      <c r="J7" s="80"/>
      <c r="K7" s="1"/>
      <c r="L7" s="80" t="s">
        <v>0</v>
      </c>
    </row>
    <row r="8" spans="1:13" x14ac:dyDescent="0.2">
      <c r="A8" s="2"/>
      <c r="B8" s="1396" t="s">
        <v>498</v>
      </c>
      <c r="C8" s="1396"/>
      <c r="D8" s="1396"/>
      <c r="E8" s="1396"/>
      <c r="F8" s="1087"/>
      <c r="G8" s="1397" t="s">
        <v>163</v>
      </c>
      <c r="H8" s="1397"/>
      <c r="I8" s="1397"/>
      <c r="J8" s="1397"/>
      <c r="K8" s="39"/>
      <c r="L8" s="1282" t="s">
        <v>55</v>
      </c>
    </row>
    <row r="9" spans="1:13" ht="26.25" customHeight="1" x14ac:dyDescent="0.2">
      <c r="A9" s="29" t="s">
        <v>171</v>
      </c>
      <c r="B9" s="1080" t="s">
        <v>158</v>
      </c>
      <c r="C9" s="194" t="s">
        <v>159</v>
      </c>
      <c r="D9" s="145" t="s">
        <v>160</v>
      </c>
      <c r="E9" s="952" t="s">
        <v>11</v>
      </c>
      <c r="F9" s="39"/>
      <c r="G9" s="285" t="s">
        <v>158</v>
      </c>
      <c r="H9" s="285" t="s">
        <v>159</v>
      </c>
      <c r="I9" s="898" t="s">
        <v>161</v>
      </c>
      <c r="J9" s="953" t="s">
        <v>11</v>
      </c>
      <c r="K9" s="39"/>
      <c r="L9" s="1282"/>
    </row>
    <row r="10" spans="1:13" ht="18.75" customHeight="1" x14ac:dyDescent="0.2">
      <c r="A10" s="690" t="s">
        <v>555</v>
      </c>
      <c r="B10" s="131">
        <f>T_14!B41</f>
        <v>135</v>
      </c>
      <c r="C10" s="131">
        <f>T_14!C41</f>
        <v>169</v>
      </c>
      <c r="D10" s="133">
        <f>SUM(T_14!D41:E41)</f>
        <v>18</v>
      </c>
      <c r="E10" s="700">
        <f>SUM(B10:D10)</f>
        <v>322</v>
      </c>
      <c r="F10" s="901"/>
      <c r="G10" s="131">
        <f>T_14!F41</f>
        <v>0</v>
      </c>
      <c r="H10" s="131">
        <f>T_14!G41</f>
        <v>0</v>
      </c>
      <c r="I10" s="133">
        <f>SUM(T_14!H41:I41)</f>
        <v>2</v>
      </c>
      <c r="J10" s="943">
        <f>SUM(G10:I10)</f>
        <v>2</v>
      </c>
      <c r="K10" s="901"/>
      <c r="L10" s="413">
        <f>J10+E10</f>
        <v>324</v>
      </c>
    </row>
    <row r="11" spans="1:13" ht="13.5" customHeight="1" x14ac:dyDescent="0.2">
      <c r="A11" s="567" t="s">
        <v>556</v>
      </c>
      <c r="B11" s="130">
        <f>T_14!B42</f>
        <v>165</v>
      </c>
      <c r="C11" s="127">
        <f>T_14!C42</f>
        <v>166</v>
      </c>
      <c r="D11" s="134">
        <f>SUM(T_14!D42:E42)</f>
        <v>12</v>
      </c>
      <c r="E11" s="685">
        <f>SUM(B11:D11)</f>
        <v>343</v>
      </c>
      <c r="F11" s="12"/>
      <c r="G11" s="130">
        <f>T_14!F42</f>
        <v>0</v>
      </c>
      <c r="H11" s="130">
        <f>T_14!G42</f>
        <v>0</v>
      </c>
      <c r="I11" s="130">
        <f>SUM(T_14!H42:I42)</f>
        <v>0</v>
      </c>
      <c r="J11" s="899">
        <f>SUM(G11:I11)</f>
        <v>0</v>
      </c>
      <c r="K11" s="12"/>
      <c r="L11" s="21">
        <f>J11+E11</f>
        <v>343</v>
      </c>
    </row>
    <row r="12" spans="1:13" ht="13.5" customHeight="1" x14ac:dyDescent="0.2">
      <c r="A12" s="138" t="s">
        <v>557</v>
      </c>
      <c r="B12" s="130">
        <f>T_14!B43</f>
        <v>106</v>
      </c>
      <c r="C12" s="127">
        <f>T_14!C43</f>
        <v>184</v>
      </c>
      <c r="D12" s="134">
        <f>SUM(T_14!D43:E43)</f>
        <v>3</v>
      </c>
      <c r="E12" s="685">
        <f>SUM(B12:D12)</f>
        <v>293</v>
      </c>
      <c r="F12" s="12"/>
      <c r="G12" s="130">
        <f>T_14!F43</f>
        <v>0</v>
      </c>
      <c r="H12" s="130">
        <f>T_14!G43</f>
        <v>5</v>
      </c>
      <c r="I12" s="130">
        <f>SUM(T_14!H43:I43)</f>
        <v>1</v>
      </c>
      <c r="J12" s="899">
        <f>SUM(G12:I12)</f>
        <v>6</v>
      </c>
      <c r="K12" s="12"/>
      <c r="L12" s="21">
        <f>J12+E12</f>
        <v>299</v>
      </c>
    </row>
    <row r="13" spans="1:13" ht="13.5" customHeight="1" x14ac:dyDescent="0.2">
      <c r="A13" s="138" t="s">
        <v>558</v>
      </c>
      <c r="B13" s="130">
        <f>T_14!B44</f>
        <v>16</v>
      </c>
      <c r="C13" s="127">
        <f>T_14!C44</f>
        <v>35</v>
      </c>
      <c r="D13" s="134">
        <f>SUM(T_14!D44:E44)</f>
        <v>0</v>
      </c>
      <c r="E13" s="685">
        <f>SUM(B13:D13)</f>
        <v>51</v>
      </c>
      <c r="F13" s="12"/>
      <c r="G13" s="130">
        <f>T_14!F44</f>
        <v>0</v>
      </c>
      <c r="H13" s="130">
        <f>T_14!G44</f>
        <v>0</v>
      </c>
      <c r="I13" s="130">
        <f>SUM(T_14!H44:I44)</f>
        <v>0</v>
      </c>
      <c r="J13" s="899">
        <f>SUM(G13:I13)</f>
        <v>0</v>
      </c>
      <c r="K13" s="12"/>
      <c r="L13" s="21">
        <f>J13+E13</f>
        <v>51</v>
      </c>
    </row>
    <row r="14" spans="1:13" x14ac:dyDescent="0.2">
      <c r="A14" s="138"/>
      <c r="B14" s="15"/>
      <c r="C14" s="15"/>
      <c r="D14" s="15"/>
      <c r="E14" s="15"/>
      <c r="F14" s="12"/>
      <c r="G14" s="130"/>
      <c r="H14" s="130"/>
      <c r="I14" s="130"/>
      <c r="J14" s="899"/>
      <c r="K14" s="12"/>
      <c r="L14" s="21"/>
    </row>
    <row r="15" spans="1:13" ht="30" customHeight="1" thickBot="1" x14ac:dyDescent="0.25">
      <c r="A15" s="479" t="s">
        <v>11</v>
      </c>
      <c r="B15" s="865">
        <f>SUM(B10:B13)</f>
        <v>422</v>
      </c>
      <c r="C15" s="865">
        <f>SUM(C10:C13)</f>
        <v>554</v>
      </c>
      <c r="D15" s="865">
        <f>SUM(D10:D13)</f>
        <v>33</v>
      </c>
      <c r="E15" s="865">
        <f>SUM(E10:E13)</f>
        <v>1009</v>
      </c>
      <c r="F15" s="910"/>
      <c r="G15" s="471">
        <f>SUM(G10:G13)</f>
        <v>0</v>
      </c>
      <c r="H15" s="471">
        <f>SUM(H10:H13)</f>
        <v>5</v>
      </c>
      <c r="I15" s="471">
        <f>SUM(I10:I13)</f>
        <v>3</v>
      </c>
      <c r="J15" s="471">
        <f>SUM(J10:J13)</f>
        <v>8</v>
      </c>
      <c r="K15" s="910"/>
      <c r="L15" s="865">
        <f>SUM(L10:L13)</f>
        <v>1017</v>
      </c>
    </row>
    <row r="16" spans="1:13" x14ac:dyDescent="0.2">
      <c r="A16" s="2"/>
      <c r="B16" s="13"/>
      <c r="C16" s="13"/>
      <c r="D16" s="13"/>
      <c r="E16" s="13"/>
      <c r="F16" s="2"/>
      <c r="G16" s="2"/>
      <c r="H16" s="2"/>
      <c r="I16" s="2"/>
      <c r="J16" s="2"/>
      <c r="K16" s="2"/>
      <c r="L16" s="2"/>
      <c r="M16" s="2"/>
    </row>
  </sheetData>
  <sheetProtection algorithmName="SHA-512" hashValue="b7iDvdbiSanFksb5sMhpAtmAwqNapuuRvJM2Lj3djWkmD/7a6nsUqmItFT0OQewJWaIlnN2NSX3pHvdHyEDlVQ==" saltValue="C8JbRA2z7QhRN3zrYq4gig==" spinCount="100000" sheet="1" scenarios="1" formatCells="0" formatColumns="0" formatRows="0" sort="0" autoFilter="0" pivotTables="0"/>
  <mergeCells count="3">
    <mergeCell ref="B8:E8"/>
    <mergeCell ref="G8:J8"/>
    <mergeCell ref="L8:L9"/>
  </mergeCells>
  <hyperlinks>
    <hyperlink ref="A2" location="'Table of Contents'!A1" display="Back to Table of Contents" xr:uid="{00000000-0004-0000-7D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BF8F00"/>
  </sheetPr>
  <dimension ref="A1:L23"/>
  <sheetViews>
    <sheetView showGridLines="0" workbookViewId="0">
      <pane ySplit="2" topLeftCell="A3" activePane="bottomLeft" state="frozen"/>
      <selection activeCellId="1" sqref="A1 A1"/>
      <selection pane="bottomLeft"/>
    </sheetView>
  </sheetViews>
  <sheetFormatPr defaultColWidth="9.140625" defaultRowHeight="12.75" x14ac:dyDescent="0.2"/>
  <cols>
    <col min="1" max="1" width="36.7109375" customWidth="1"/>
    <col min="2" max="2" width="17.28515625" customWidth="1"/>
    <col min="3" max="3" width="20" customWidth="1"/>
    <col min="4" max="4" width="19.5703125" customWidth="1"/>
    <col min="5" max="5" width="12.85546875" customWidth="1"/>
    <col min="6" max="6" width="16.140625" customWidth="1"/>
  </cols>
  <sheetData>
    <row r="1" spans="1:12" ht="18.75" customHeight="1" x14ac:dyDescent="0.2">
      <c r="A1" s="298" t="s">
        <v>1133</v>
      </c>
    </row>
    <row r="2" spans="1:12" ht="18.75" customHeight="1" x14ac:dyDescent="0.2">
      <c r="A2" s="106" t="s">
        <v>578</v>
      </c>
    </row>
    <row r="3" spans="1:12" ht="38.25" customHeight="1" x14ac:dyDescent="0.2">
      <c r="A3" s="120" t="s">
        <v>1052</v>
      </c>
      <c r="B3" s="120"/>
      <c r="C3" s="120"/>
      <c r="D3" s="120"/>
      <c r="E3" s="120"/>
      <c r="F3" s="120"/>
      <c r="G3" s="75"/>
      <c r="H3" s="75"/>
      <c r="I3" s="75"/>
      <c r="J3" s="75"/>
      <c r="K3" s="75"/>
      <c r="L3" s="75"/>
    </row>
    <row r="4" spans="1:12" ht="15.75" customHeight="1" x14ac:dyDescent="0.25">
      <c r="A4" s="351" t="s">
        <v>579</v>
      </c>
      <c r="B4" s="1043" t="s">
        <v>1375</v>
      </c>
      <c r="D4" s="120"/>
      <c r="E4" s="120"/>
      <c r="F4" s="120"/>
      <c r="G4" s="75"/>
      <c r="H4" s="75"/>
      <c r="I4" s="75"/>
      <c r="J4" s="75"/>
      <c r="K4" s="75"/>
      <c r="L4" s="75"/>
    </row>
    <row r="5" spans="1:12" ht="15.75" customHeight="1" x14ac:dyDescent="0.25">
      <c r="A5" s="351" t="s">
        <v>580</v>
      </c>
      <c r="B5" s="351" t="s">
        <v>581</v>
      </c>
      <c r="C5" s="120"/>
      <c r="D5" s="120"/>
      <c r="E5" s="120"/>
      <c r="F5" s="120"/>
      <c r="G5" s="75"/>
      <c r="H5" s="75"/>
      <c r="I5" s="75"/>
      <c r="J5" s="75"/>
      <c r="K5" s="75"/>
      <c r="L5" s="75"/>
    </row>
    <row r="6" spans="1:12" ht="15.75" customHeight="1" x14ac:dyDescent="0.25">
      <c r="A6" s="351" t="s">
        <v>582</v>
      </c>
      <c r="B6" s="351" t="s">
        <v>585</v>
      </c>
      <c r="C6" s="120"/>
      <c r="D6" s="120"/>
      <c r="E6" s="120"/>
      <c r="F6" s="120"/>
      <c r="G6" s="75"/>
      <c r="H6" s="75"/>
      <c r="I6" s="75"/>
      <c r="J6" s="75"/>
      <c r="K6" s="75"/>
      <c r="L6" s="75"/>
    </row>
    <row r="7" spans="1:12" ht="23.25" customHeight="1" x14ac:dyDescent="0.2">
      <c r="A7" s="1"/>
      <c r="B7" s="4"/>
      <c r="C7" s="4"/>
      <c r="D7" s="60" t="s">
        <v>57</v>
      </c>
      <c r="E7" s="4"/>
    </row>
    <row r="8" spans="1:12" ht="13.5" customHeight="1" x14ac:dyDescent="0.2">
      <c r="A8" s="2"/>
      <c r="B8" s="1375" t="s">
        <v>263</v>
      </c>
      <c r="C8" s="1375"/>
      <c r="D8" s="1375"/>
      <c r="E8" s="136"/>
    </row>
    <row r="9" spans="1:12" ht="25.5" customHeight="1" x14ac:dyDescent="0.2">
      <c r="A9" s="29" t="s">
        <v>165</v>
      </c>
      <c r="B9" s="283" t="s">
        <v>158</v>
      </c>
      <c r="C9" s="283" t="s">
        <v>159</v>
      </c>
      <c r="D9" s="283" t="s">
        <v>11</v>
      </c>
      <c r="E9" s="4"/>
    </row>
    <row r="10" spans="1:12" ht="18.75" customHeight="1" x14ac:dyDescent="0.2">
      <c r="A10" s="690" t="s">
        <v>555</v>
      </c>
      <c r="B10" s="944">
        <f>GETPIVOTDATA("Sum of Non FRS personnelFemale",T_15!$A$40,"Treatment","1Precautionary check recommended")/B18*1000000</f>
        <v>48.200720654330141</v>
      </c>
      <c r="C10" s="944">
        <f>GETPIVOTDATA("Sum of Non FRS personnelMale",T_15!$A$40,"Treatment","1Precautionary check recommended")/C18*1000000</f>
        <v>63.409589931307529</v>
      </c>
      <c r="D10" s="945">
        <f>(GETPIVOTDATA("Sum of Non FRS personnelFemale",T_15!$A$40,"Treatment","1Precautionary check recommended")+GETPIVOTDATA("Sum of Non FRS personnelNot known",T_15!$A$40,"Treatment","1Precautionary check recommended")+GETPIVOTDATA("Sum of Non FRS personnelNot specified",T_15!$A$40,"Treatment","1Precautionary check recommended")+GETPIVOTDATA("Sum of Non FRS personnelMale",T_15!$A$40,"Treatment","1Precautionary check recommended"))/D18*1000000</f>
        <v>58.909623124771315</v>
      </c>
      <c r="E10" s="1"/>
    </row>
    <row r="11" spans="1:12" ht="13.5" customHeight="1" x14ac:dyDescent="0.2">
      <c r="A11" s="567" t="s">
        <v>556</v>
      </c>
      <c r="B11" s="923">
        <f>GETPIVOTDATA("Sum of Non FRS personnelFemale",T_15!$A$40,"Treatment","2First aid given at scene")/B18*1000000</f>
        <v>58.911991910847945</v>
      </c>
      <c r="C11" s="923">
        <f>GETPIVOTDATA("Sum of Non FRS personnelMale",T_15!$A$40,"Treatment","2First aid given at scene")/C18*1000000</f>
        <v>62.283975908858281</v>
      </c>
      <c r="D11" s="924">
        <f>(GETPIVOTDATA("Sum of Non FRS personnelFemale",T_15!$A$40,"Treatment","2First aid given at scene")+GETPIVOTDATA("Sum of Non FRS personnelMale",T_15!$A$40,"Treatment","2First aid given at scene")+GETPIVOTDATA("Sum of Non FRS personnelNot known",T_15!$A$40,"Treatment","2First aid given at scene")+GETPIVOTDATA("Sum of Non FRS personnelNot specified",T_15!$A$40,"Treatment","2First aid given at scene"))/D18*1000000</f>
        <v>62.751555067691186</v>
      </c>
      <c r="E11" s="1"/>
    </row>
    <row r="12" spans="1:12" ht="13.5" customHeight="1" x14ac:dyDescent="0.2">
      <c r="A12" s="138" t="s">
        <v>557</v>
      </c>
      <c r="B12" s="923">
        <f>GETPIVOTDATA("Sum of Non FRS personnelFemale",T_15!$A$40,"Treatment","3Victim went to hospital, injuries appear to be Slight")/B18*1000000</f>
        <v>37.846491773029591</v>
      </c>
      <c r="C12" s="923">
        <f>GETPIVOTDATA("Sum of Non FRS personnelMale",T_15!$A$40,"Treatment","3Victim went to hospital, injuries appear to be Slight")/C18*1000000</f>
        <v>69.037660043553757</v>
      </c>
      <c r="D12" s="924">
        <f>(GETPIVOTDATA("Sum of Non FRS personnelFemale",T_15!$A$40,"Treatment","3Victim went to hospital, injuries appear to be Slight")+GETPIVOTDATA("Sum of Non FRS personnelMale",T_15!$A$40,"Treatment","3Victim went to hospital, injuries appear to be Slight")+GETPIVOTDATA("Sum of Non FRS personnelNot known",T_15!$A$40,"Treatment","3Victim went to hospital, injuries appear to be Slight")+GETPIVOTDATA("Sum of Non FRS personnelNot specified",T_15!$A$40,"Treatment","3Victim went to hospital, injuries appear to be Slight"))/D18*1000000</f>
        <v>53.604098060739112</v>
      </c>
      <c r="E12" s="1"/>
      <c r="F12" s="1183"/>
    </row>
    <row r="13" spans="1:12" ht="13.5" customHeight="1" x14ac:dyDescent="0.2">
      <c r="A13" s="138" t="s">
        <v>558</v>
      </c>
      <c r="B13" s="923">
        <f>GETPIVOTDATA("Sum of Non FRS personnelFemale",T_15!$A$40,"Treatment","4Victim went to hospital, injuries appear to be Serious")/B18*1000000</f>
        <v>5.7126780034761646</v>
      </c>
      <c r="C13" s="923">
        <f>GETPIVOTDATA("Sum of Non FRS personnelMale",T_15!$A$40,"Treatment","4Victim went to hospital, injuries appear to be Serious")/C18*1000000</f>
        <v>13.132163595241204</v>
      </c>
      <c r="D13" s="924">
        <f>(GETPIVOTDATA("Sum of Non FRS personnelFemale",T_15!$A$40,"Treatment","4Victim went to hospital, injuries appear to be Serious")+GETPIVOTDATA("Sum of Non FRS personnelMale",T_15!$A$40,"Treatment","4Victim went to hospital, injuries appear to be Serious")+GETPIVOTDATA("Sum of Non FRS personnelNot known",T_15!$A$40,"Treatment","4Victim went to hospital, injuries appear to be Serious")+GETPIVOTDATA("Sum of Non FRS personnelNot specified",T_15!$A$40,"Treatment","4Victim went to hospital, injuries appear to be Serious"))/D18*1000000</f>
        <v>9.330406147091109</v>
      </c>
      <c r="E13" s="1"/>
    </row>
    <row r="14" spans="1:12" ht="13.5" customHeight="1" x14ac:dyDescent="0.2">
      <c r="A14" s="138"/>
      <c r="B14" s="923"/>
      <c r="C14" s="923"/>
      <c r="D14" s="924"/>
      <c r="E14" s="1"/>
    </row>
    <row r="15" spans="1:12" ht="30" customHeight="1" thickBot="1" x14ac:dyDescent="0.25">
      <c r="A15" s="873" t="s">
        <v>11</v>
      </c>
      <c r="B15" s="946">
        <f>GETPIVOTDATA("Sum of Non FRS personnelFemale",T_15!$A$40)/B18*1000000</f>
        <v>150.67188234168384</v>
      </c>
      <c r="C15" s="946">
        <f>GETPIVOTDATA("Sum of Non FRS personnelMale",T_15!$A$40)/C18*1000000</f>
        <v>207.86338947896078</v>
      </c>
      <c r="D15" s="946">
        <f>(GETPIVOTDATA("Sum of Non FRS personnelFemale",T_15!$A$40)+GETPIVOTDATA("Sum of Non FRS personnelMale",T_15!$A$40)+GETPIVOTDATA("Sum of Non FRS personnelNot known",T_15!$A$40)+GETPIVOTDATA("Sum of Non FRS personnelNot specified",T_15!$A$40))/D18*1000000</f>
        <v>184.59568240029273</v>
      </c>
      <c r="E15" s="1"/>
      <c r="F15" s="1183"/>
    </row>
    <row r="16" spans="1:12" x14ac:dyDescent="0.2">
      <c r="A16" s="2"/>
      <c r="B16" s="132"/>
      <c r="C16" s="132"/>
      <c r="D16" s="132"/>
      <c r="E16" s="1"/>
      <c r="F16" s="1"/>
      <c r="G16" s="1"/>
      <c r="H16" s="1"/>
      <c r="I16" s="1"/>
      <c r="J16" s="1"/>
    </row>
    <row r="17" spans="1:11" ht="15" x14ac:dyDescent="0.2">
      <c r="A17" s="177"/>
      <c r="B17" s="920" t="s">
        <v>158</v>
      </c>
      <c r="C17" s="920" t="s">
        <v>159</v>
      </c>
      <c r="D17" s="921" t="s">
        <v>11</v>
      </c>
      <c r="E17" s="1"/>
      <c r="F17" s="1"/>
      <c r="G17" s="1"/>
      <c r="H17" s="1"/>
      <c r="I17" s="1"/>
      <c r="J17" s="1"/>
    </row>
    <row r="18" spans="1:11" ht="22.5" customHeight="1" thickBot="1" x14ac:dyDescent="0.25">
      <c r="A18" s="873" t="s">
        <v>255</v>
      </c>
      <c r="B18" s="947">
        <f>GETPIVOTDATA("Sum of Females",T_15!$A$40,"Treatment","1Precautionary check recommended")</f>
        <v>2800788</v>
      </c>
      <c r="C18" s="947">
        <f>GETPIVOTDATA("Sum of Males",T_15!$A$40,"Treatment","1Precautionary check recommended")</f>
        <v>2665212</v>
      </c>
      <c r="D18" s="947">
        <f>C18+B18</f>
        <v>5466000</v>
      </c>
      <c r="E18" s="1"/>
      <c r="F18" s="1"/>
      <c r="G18" s="1"/>
      <c r="H18" s="1"/>
      <c r="I18" s="1"/>
      <c r="J18" s="1"/>
    </row>
    <row r="19" spans="1:11" ht="13.5" customHeight="1" x14ac:dyDescent="0.2">
      <c r="A19" s="1"/>
      <c r="B19" s="1"/>
      <c r="C19" s="1"/>
      <c r="D19" s="1"/>
      <c r="E19" s="1"/>
      <c r="F19" s="1"/>
      <c r="G19" s="1"/>
      <c r="H19" s="1"/>
      <c r="I19" s="1"/>
      <c r="J19" s="1"/>
    </row>
    <row r="20" spans="1:11" x14ac:dyDescent="0.2">
      <c r="A20" s="138"/>
      <c r="B20" s="86"/>
      <c r="C20" s="86"/>
      <c r="D20" s="86"/>
      <c r="E20" s="86"/>
      <c r="F20" s="86"/>
      <c r="G20" s="86"/>
      <c r="H20" s="86"/>
      <c r="I20" s="86"/>
      <c r="J20" s="1"/>
    </row>
    <row r="21" spans="1:11" x14ac:dyDescent="0.2">
      <c r="A21" s="2" t="s">
        <v>146</v>
      </c>
      <c r="B21" s="1"/>
      <c r="C21" s="92"/>
      <c r="D21" s="1"/>
      <c r="E21" s="1"/>
      <c r="F21" s="1"/>
      <c r="G21" s="1"/>
      <c r="H21" s="1"/>
      <c r="I21" s="1"/>
      <c r="J21" s="31"/>
      <c r="K21" s="31"/>
    </row>
    <row r="22" spans="1:11" ht="15.75" x14ac:dyDescent="0.25">
      <c r="A22" s="1398" t="s">
        <v>1234</v>
      </c>
      <c r="B22" s="1398"/>
      <c r="C22" s="1398"/>
      <c r="D22" s="1398"/>
      <c r="E22" s="1398"/>
      <c r="F22" s="1398"/>
      <c r="G22" s="1398"/>
      <c r="H22" s="1398"/>
      <c r="I22" s="1398"/>
      <c r="J22" s="1"/>
    </row>
    <row r="23" spans="1:11" x14ac:dyDescent="0.2">
      <c r="A23" s="106" t="s">
        <v>1093</v>
      </c>
    </row>
  </sheetData>
  <sheetProtection algorithmName="SHA-512" hashValue="O1LAu8jw7L65SPvu/Pq+J9h+h2SODoQwzbVQpMm8l15Ro1pILyaNsAfvI/uhSRrKpLs71ZWTY9dNEusGaSALSg==" saltValue="uJK2zh74fKWK7fUHleRIGw==" spinCount="100000" sheet="1" scenarios="1" formatCells="0" formatColumns="0" formatRows="0" sort="0" autoFilter="0" pivotTables="0"/>
  <mergeCells count="2">
    <mergeCell ref="B8:D8"/>
    <mergeCell ref="A22:I22"/>
  </mergeCells>
  <hyperlinks>
    <hyperlink ref="A2" location="'Table of Contents'!A1" display="Back to Table of Contents" xr:uid="{00000000-0004-0000-7E00-000000000000}"/>
    <hyperlink ref="A23" r:id="rId1" xr:uid="{00000000-0004-0000-7E00-000001000000}"/>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29">
    <tabColor rgb="FFBF8F00"/>
    <pageSetUpPr fitToPage="1"/>
  </sheetPr>
  <dimension ref="A1:M48"/>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36.28515625" customWidth="1"/>
    <col min="2" max="5" width="13.140625" customWidth="1"/>
    <col min="6" max="6" width="18" customWidth="1"/>
    <col min="7" max="7" width="16.42578125" customWidth="1"/>
    <col min="8" max="8" width="13.85546875" customWidth="1"/>
    <col min="9" max="9" width="12.42578125" customWidth="1"/>
    <col min="10" max="10" width="11.7109375" customWidth="1"/>
    <col min="11" max="11" width="5.7109375" customWidth="1"/>
    <col min="12" max="12" width="11.140625" customWidth="1"/>
    <col min="13" max="13" width="8" customWidth="1"/>
    <col min="14" max="14" width="10.28515625" customWidth="1"/>
    <col min="15" max="15" width="9" customWidth="1"/>
    <col min="16" max="16" width="13.28515625" customWidth="1"/>
    <col min="17" max="17" width="13.5703125" customWidth="1"/>
    <col min="18" max="18" width="12.85546875" customWidth="1"/>
  </cols>
  <sheetData>
    <row r="1" spans="1:13" ht="15.75" x14ac:dyDescent="0.2">
      <c r="A1" s="298" t="s">
        <v>1133</v>
      </c>
    </row>
    <row r="2" spans="1:13" ht="17.25" customHeight="1" x14ac:dyDescent="0.2">
      <c r="A2" s="106" t="s">
        <v>578</v>
      </c>
    </row>
    <row r="3" spans="1:13" ht="38.25" customHeight="1" x14ac:dyDescent="0.2">
      <c r="A3" s="237" t="s">
        <v>1056</v>
      </c>
      <c r="B3" s="237"/>
      <c r="C3" s="237"/>
      <c r="F3" s="237"/>
      <c r="G3" s="237"/>
      <c r="H3" s="237"/>
      <c r="I3" s="237"/>
      <c r="J3" s="237"/>
      <c r="K3" s="237"/>
      <c r="L3" s="120"/>
      <c r="M3" s="120"/>
    </row>
    <row r="4" spans="1:13" ht="16.5" customHeight="1" x14ac:dyDescent="0.25">
      <c r="A4" s="351" t="s">
        <v>579</v>
      </c>
      <c r="B4" s="1043" t="s">
        <v>1382</v>
      </c>
      <c r="F4" s="237"/>
      <c r="G4" s="237"/>
      <c r="H4" s="237"/>
      <c r="I4" s="237"/>
      <c r="J4" s="237"/>
      <c r="K4" s="237"/>
      <c r="L4" s="120"/>
      <c r="M4" s="120"/>
    </row>
    <row r="5" spans="1:13" ht="16.5" customHeight="1" x14ac:dyDescent="0.25">
      <c r="A5" s="351" t="s">
        <v>580</v>
      </c>
      <c r="B5" s="351" t="s">
        <v>581</v>
      </c>
      <c r="C5" s="373"/>
      <c r="D5" s="373"/>
      <c r="F5" s="237"/>
      <c r="G5" s="237"/>
      <c r="H5" s="237"/>
      <c r="I5" s="237"/>
      <c r="J5" s="237"/>
      <c r="K5" s="237"/>
      <c r="L5" s="120"/>
      <c r="M5" s="120"/>
    </row>
    <row r="6" spans="1:13" ht="16.5" customHeight="1" x14ac:dyDescent="0.25">
      <c r="A6" s="351" t="s">
        <v>582</v>
      </c>
      <c r="B6" s="351" t="s">
        <v>585</v>
      </c>
      <c r="C6" s="373"/>
      <c r="D6" s="373"/>
      <c r="F6" s="237"/>
      <c r="G6" s="237"/>
      <c r="H6" s="237"/>
      <c r="I6" s="237"/>
      <c r="J6" s="237"/>
      <c r="K6" s="237"/>
      <c r="L6" s="120"/>
      <c r="M6" s="120"/>
    </row>
    <row r="7" spans="1:13" ht="16.5" customHeight="1" x14ac:dyDescent="0.25">
      <c r="A7" s="351"/>
      <c r="B7" s="351"/>
      <c r="C7" s="373"/>
      <c r="D7" s="373"/>
      <c r="F7" s="237"/>
      <c r="G7" s="237"/>
      <c r="H7" s="237"/>
      <c r="I7" s="237"/>
      <c r="J7" s="237"/>
      <c r="K7" s="237"/>
      <c r="L7" s="120"/>
      <c r="M7" s="120"/>
    </row>
    <row r="8" spans="1:13" ht="16.5" customHeight="1" x14ac:dyDescent="0.25">
      <c r="A8" s="351"/>
      <c r="B8" s="1399" t="s">
        <v>59</v>
      </c>
      <c r="C8" s="1399"/>
      <c r="D8" s="1399"/>
      <c r="E8" s="1399"/>
      <c r="F8" s="1399"/>
      <c r="G8" s="1399"/>
      <c r="H8" s="1018"/>
      <c r="I8" s="1018"/>
      <c r="J8" s="237"/>
      <c r="K8" s="237"/>
      <c r="L8" s="120"/>
      <c r="M8" s="120"/>
    </row>
    <row r="9" spans="1:13" ht="15" x14ac:dyDescent="0.25">
      <c r="A9" s="1"/>
      <c r="B9" s="1"/>
      <c r="C9" s="1"/>
      <c r="D9" s="1"/>
      <c r="E9" s="1"/>
      <c r="F9" s="1"/>
      <c r="G9" s="80" t="s">
        <v>0</v>
      </c>
      <c r="H9" s="1"/>
      <c r="J9" s="1"/>
      <c r="K9" s="1"/>
      <c r="L9" s="80"/>
    </row>
    <row r="10" spans="1:13" ht="15" customHeight="1" x14ac:dyDescent="0.2">
      <c r="A10" s="1317" t="s">
        <v>298</v>
      </c>
      <c r="B10" s="1389" t="s">
        <v>498</v>
      </c>
      <c r="C10" s="1390"/>
      <c r="D10" s="1390"/>
      <c r="E10" s="1391"/>
      <c r="F10" s="1017" t="s">
        <v>163</v>
      </c>
      <c r="G10" s="1386" t="s">
        <v>54</v>
      </c>
      <c r="H10" s="39"/>
    </row>
    <row r="11" spans="1:13" ht="30" customHeight="1" x14ac:dyDescent="0.2">
      <c r="A11" s="1317"/>
      <c r="B11" s="1014" t="s">
        <v>158</v>
      </c>
      <c r="C11" s="1015" t="s">
        <v>159</v>
      </c>
      <c r="D11" s="978" t="s">
        <v>160</v>
      </c>
      <c r="E11" s="1016" t="s">
        <v>11</v>
      </c>
      <c r="F11" s="981" t="s">
        <v>11</v>
      </c>
      <c r="G11" s="1387"/>
    </row>
    <row r="12" spans="1:13" ht="18.75" customHeight="1" x14ac:dyDescent="0.2">
      <c r="A12" s="891" t="s">
        <v>162</v>
      </c>
      <c r="B12" s="130">
        <f>IFERROR(GETPIVOTDATA("Sum of Female",T_14!$A$4,"Who","Non FRS personnel","Pub_fataldescription","Burns"), 0)</f>
        <v>2</v>
      </c>
      <c r="C12" s="130">
        <f>IFERROR(GETPIVOTDATA("Sum of Male",T_14!$A$4,"Who","Non FRS personnel","Pub_fataldescription","Burns"),0)</f>
        <v>15</v>
      </c>
      <c r="D12" s="130" t="str">
        <f>IFERROR(GETPIVOTDATA("Sum of Not Known",T_14!$A$4,"Who","Non FRS personnel","Pub_fataldescription","Burns"), "-")</f>
        <v>-</v>
      </c>
      <c r="E12" s="21">
        <f t="shared" ref="E12:E17" si="0">SUM(B12:D12)</f>
        <v>17</v>
      </c>
      <c r="F12" s="130">
        <f>IFERROR(GETPIVOTDATA("Sum of Total_Fatal",T_14!$A$4,"Who","FRS personnel","Pub_fataldescription","Burns"),0)</f>
        <v>0</v>
      </c>
      <c r="G12" s="21">
        <f t="shared" ref="G12:G17" si="1">F12+E12</f>
        <v>17</v>
      </c>
      <c r="J12" s="605"/>
      <c r="K12" s="191"/>
      <c r="L12" s="191"/>
    </row>
    <row r="13" spans="1:13" ht="13.5" customHeight="1" x14ac:dyDescent="0.2">
      <c r="A13" s="817" t="s">
        <v>548</v>
      </c>
      <c r="B13" s="130">
        <f>IFERROR(GETPIVOTDATA("Sum of Female",T_14!$A$4,"Who","Non FRS personnel","Pub_fataldescription","Combination of burns and overcome by gas/smoke"),0)</f>
        <v>3</v>
      </c>
      <c r="C13" s="130">
        <f>IFERROR(GETPIVOTDATA("Sum of Male",T_14!$A$4,"Who","Non FRS personnel","Pub_fataldescription","Combination of burns and overcome by gas/smoke"),0)</f>
        <v>5</v>
      </c>
      <c r="D13" s="130" t="str">
        <f>IFERROR(GETPIVOTDATA("Sum of Not Known",T_14!$A$4,"Who","Non FRS personnel","Pub_fataldescription","Burns"), "-")</f>
        <v>-</v>
      </c>
      <c r="E13" s="21">
        <f t="shared" si="0"/>
        <v>8</v>
      </c>
      <c r="F13" s="130">
        <f>IFERROR(GETPIVOTDATA("Sum of Total_Fatal",T_14!$A$4,"Who","FRS personnel","Pub_fataldescription","Combination of burns and overcome by gas/smoke"),0)</f>
        <v>0</v>
      </c>
      <c r="G13" s="21">
        <f t="shared" si="1"/>
        <v>8</v>
      </c>
      <c r="J13" s="605"/>
      <c r="K13" s="191"/>
      <c r="L13" s="191"/>
    </row>
    <row r="14" spans="1:13" ht="13.5" customHeight="1" x14ac:dyDescent="0.2">
      <c r="A14" s="13" t="s">
        <v>549</v>
      </c>
      <c r="B14" s="130">
        <f>IFERROR(GETPIVOTDATA("Sum of Female",T_14!$A$4,"Who","Non FRS personnel","Pub_fataldescription","Overcome by gas, smoke or toxic fumes"),0)</f>
        <v>7</v>
      </c>
      <c r="C14" s="130">
        <f>IFERROR(GETPIVOTDATA("Sum of Male",T_14!$A$4,"Who","Non FRS personnel","Pub_fataldescription","Overcome by gas, smoke or toxic fumes"),0)</f>
        <v>13</v>
      </c>
      <c r="D14" s="130" t="str">
        <f>IFERROR(GETPIVOTDATA("Sum of Not Known",T_14!$A$4,"Who","Non FRS personnel","Pub_fataldescription","Burns"), "-")</f>
        <v>-</v>
      </c>
      <c r="E14" s="21">
        <f t="shared" si="0"/>
        <v>20</v>
      </c>
      <c r="F14" s="130">
        <f>IFERROR(GETPIVOTDATA("Sum of Total_Fatal",T_14!$A$4,"Who","FRS personnel","Pub_fataldescription","Overcome by gas, smoke or toxic fumes"),0)</f>
        <v>0</v>
      </c>
      <c r="G14" s="21">
        <f t="shared" si="1"/>
        <v>20</v>
      </c>
      <c r="J14" s="605"/>
      <c r="K14" s="191"/>
      <c r="L14" s="191"/>
    </row>
    <row r="15" spans="1:13" ht="13.5" customHeight="1" x14ac:dyDescent="0.2">
      <c r="A15" s="890" t="s">
        <v>550</v>
      </c>
      <c r="B15" s="130">
        <f>IFERROR(GETPIVOTDATA("Sum of Female",T_14!$A$4,"Who","Non FRS personnel","Pub_fataldescription","Physical injuries"),0)</f>
        <v>0</v>
      </c>
      <c r="C15" s="130">
        <f>IFERROR(GETPIVOTDATA("Sum of Male",T_14!$A$4,"Who","Non FRS personnel","Pub_fataldescription","Physical injuries"),0)</f>
        <v>0</v>
      </c>
      <c r="D15" s="130" t="str">
        <f>IFERROR(GETPIVOTDATA("Sum of Not Known",T_14!$A$4,"Who","Non FRS personnel","Pub_fataldescription","Burns"), "-")</f>
        <v>-</v>
      </c>
      <c r="E15" s="21">
        <f t="shared" si="0"/>
        <v>0</v>
      </c>
      <c r="F15" s="130">
        <f>IFERROR(GETPIVOTDATA("Sum of Total_Fatal",T_14!$A$4,"Who","FRS personnel","Pub_fataldescription","Physical injuries"),0)</f>
        <v>0</v>
      </c>
      <c r="G15" s="21">
        <f t="shared" si="1"/>
        <v>0</v>
      </c>
      <c r="J15" s="605"/>
      <c r="K15" s="191"/>
      <c r="L15" s="191"/>
    </row>
    <row r="16" spans="1:13" ht="13.5" customHeight="1" x14ac:dyDescent="0.2">
      <c r="A16" s="885" t="s">
        <v>551</v>
      </c>
      <c r="B16" s="130">
        <f>IFERROR(GETPIVOTDATA("Sum of Female",T_14!$A$4,"Who","Non FRS personnel","Pub_fataldescription","Other specified"),0)</f>
        <v>0</v>
      </c>
      <c r="C16" s="130">
        <f>IFERROR(GETPIVOTDATA("Sum of Male",T_14!$A$4,"Who","Non FRS personnel","Pub_fataldescription","Other specified"),)</f>
        <v>0</v>
      </c>
      <c r="D16" s="130" t="str">
        <f>IFERROR(GETPIVOTDATA("Sum of Not Known",T_14!$A$4,"Who","Non FRS personnel","Pub_fataldescription","Burns"), "-")</f>
        <v>-</v>
      </c>
      <c r="E16" s="21">
        <f t="shared" si="0"/>
        <v>0</v>
      </c>
      <c r="F16" s="130">
        <f>IFERROR(GETPIVOTDATA("Sum of Total_Fatal",T_14!$A$4,"Who","FRS personnel","Pub_fataldescription","Other specified"),0)</f>
        <v>0</v>
      </c>
      <c r="G16" s="21">
        <f t="shared" si="1"/>
        <v>0</v>
      </c>
      <c r="J16" s="605"/>
      <c r="K16" s="191"/>
      <c r="L16" s="191"/>
    </row>
    <row r="17" spans="1:12" ht="13.5" customHeight="1" x14ac:dyDescent="0.2">
      <c r="A17" s="311" t="s">
        <v>552</v>
      </c>
      <c r="B17" s="130">
        <f>GETPIVOTDATA("Sum of Female",T_14!$A$4,"Who","Non FRS personnel","Pub_fataldescription","Unspecified")</f>
        <v>1</v>
      </c>
      <c r="C17" s="130">
        <f>IFERROR(GETPIVOTDATA("Sum of Male",T_14!$A$4,"Who","Non FRS personnel","Pub_fataldescription","Unspecified"),0)</f>
        <v>7</v>
      </c>
      <c r="D17" s="130" t="str">
        <f>IFERROR(GETPIVOTDATA("Sum of Not Known",T_14!$A$4,"Who","Non FRS personnel","Pub_fataldescription","Burns"), "-")</f>
        <v>-</v>
      </c>
      <c r="E17" s="21">
        <f t="shared" si="0"/>
        <v>8</v>
      </c>
      <c r="F17" s="130">
        <f>IFERROR(GETPIVOTDATA("Sum of Total_Fatal",T_14!$A$4,"Who","FRS personnel","Pub_fataldescription","Unspecified"),0)</f>
        <v>0</v>
      </c>
      <c r="G17" s="21">
        <f t="shared" si="1"/>
        <v>8</v>
      </c>
      <c r="J17" s="605"/>
      <c r="K17" s="191"/>
      <c r="L17" s="191"/>
    </row>
    <row r="18" spans="1:12" x14ac:dyDescent="0.2">
      <c r="A18" s="890"/>
      <c r="B18" s="4"/>
      <c r="C18" s="4"/>
      <c r="D18" s="15"/>
      <c r="E18" s="13"/>
      <c r="F18" s="130"/>
      <c r="G18" s="13"/>
      <c r="J18" s="191"/>
      <c r="K18" s="191"/>
      <c r="L18" s="191"/>
    </row>
    <row r="19" spans="1:12" ht="30" customHeight="1" thickBot="1" x14ac:dyDescent="0.25">
      <c r="A19" s="948" t="s">
        <v>11</v>
      </c>
      <c r="B19" s="423">
        <f>SUM(B12:B17)</f>
        <v>13</v>
      </c>
      <c r="C19" s="423">
        <f>SUM(C12:C17)</f>
        <v>40</v>
      </c>
      <c r="D19" s="423">
        <f>SUM(D12:D17)</f>
        <v>0</v>
      </c>
      <c r="E19" s="423">
        <f>SUM(E12:E17)</f>
        <v>53</v>
      </c>
      <c r="F19" s="423">
        <f>SUM(F12:F18)</f>
        <v>0</v>
      </c>
      <c r="G19" s="423">
        <f>SUM(G12:G18)</f>
        <v>53</v>
      </c>
      <c r="J19" s="191"/>
      <c r="K19" s="191"/>
      <c r="L19" s="191"/>
    </row>
    <row r="20" spans="1:12" x14ac:dyDescent="0.2">
      <c r="A20" s="4"/>
      <c r="B20" s="4"/>
      <c r="C20" s="4"/>
      <c r="D20" s="4"/>
      <c r="E20" s="4"/>
      <c r="F20" s="4"/>
      <c r="G20" s="4"/>
      <c r="J20" s="4"/>
      <c r="K20" s="4"/>
      <c r="L20" s="4"/>
    </row>
    <row r="21" spans="1:12" x14ac:dyDescent="0.2">
      <c r="A21" s="123" t="s">
        <v>146</v>
      </c>
      <c r="I21" s="4"/>
      <c r="J21" s="4"/>
      <c r="K21" s="4"/>
      <c r="L21" s="4"/>
    </row>
    <row r="22" spans="1:12" ht="30" customHeight="1" x14ac:dyDescent="0.25">
      <c r="A22" s="1407" t="s">
        <v>431</v>
      </c>
      <c r="B22" s="1407"/>
      <c r="C22" s="1407"/>
      <c r="D22" s="1407"/>
      <c r="E22" s="1407"/>
      <c r="F22" s="1407"/>
      <c r="G22" s="1407"/>
      <c r="H22" s="1407"/>
      <c r="I22" s="4"/>
      <c r="J22" s="4"/>
      <c r="K22" s="4"/>
      <c r="L22" s="4"/>
    </row>
    <row r="23" spans="1:12" ht="30" customHeight="1" x14ac:dyDescent="0.25">
      <c r="A23" s="1408" t="s">
        <v>554</v>
      </c>
      <c r="B23" s="1408"/>
      <c r="C23" s="1408"/>
      <c r="D23" s="1408"/>
      <c r="E23" s="1408"/>
      <c r="F23" s="1408"/>
      <c r="G23" s="1408"/>
      <c r="H23" s="1408"/>
      <c r="I23" s="4"/>
      <c r="J23" s="4"/>
      <c r="K23" s="4"/>
      <c r="L23" s="4"/>
    </row>
    <row r="24" spans="1:12" ht="15" customHeight="1" x14ac:dyDescent="0.2">
      <c r="A24" s="955"/>
      <c r="B24" s="955"/>
      <c r="C24" s="955"/>
      <c r="D24" s="955"/>
      <c r="E24" s="955"/>
      <c r="F24" s="955"/>
      <c r="G24" s="955"/>
      <c r="H24" s="955"/>
      <c r="I24" s="4"/>
      <c r="J24" s="4"/>
      <c r="K24" s="4"/>
      <c r="L24" s="4"/>
    </row>
    <row r="25" spans="1:12" ht="15" customHeight="1" x14ac:dyDescent="0.2">
      <c r="A25" s="955"/>
      <c r="B25" s="955"/>
      <c r="C25" s="955"/>
      <c r="D25" s="955"/>
      <c r="E25" s="955"/>
      <c r="F25" s="955"/>
      <c r="G25" s="955"/>
      <c r="H25" s="955"/>
      <c r="I25" s="4"/>
      <c r="J25" s="4"/>
      <c r="K25" s="4"/>
      <c r="L25" s="4"/>
    </row>
    <row r="26" spans="1:12" ht="15" customHeight="1" x14ac:dyDescent="0.2">
      <c r="C26" s="4"/>
      <c r="D26" s="4"/>
      <c r="E26" s="4"/>
      <c r="F26" s="4"/>
      <c r="G26" s="4"/>
      <c r="H26" s="4"/>
      <c r="I26" s="4"/>
      <c r="J26" s="4"/>
      <c r="K26" s="4"/>
      <c r="L26" s="4"/>
    </row>
    <row r="27" spans="1:12" ht="38.25" customHeight="1" x14ac:dyDescent="0.2">
      <c r="A27" s="237" t="s">
        <v>1057</v>
      </c>
      <c r="B27" s="237"/>
      <c r="C27" s="4"/>
      <c r="D27" s="4"/>
      <c r="E27" s="4"/>
      <c r="F27" s="4"/>
      <c r="G27" s="4"/>
      <c r="H27" s="4"/>
      <c r="I27" s="4"/>
      <c r="J27" s="4"/>
      <c r="K27" s="4"/>
      <c r="L27" s="4"/>
    </row>
    <row r="28" spans="1:12" ht="15" x14ac:dyDescent="0.25">
      <c r="A28" s="351" t="s">
        <v>579</v>
      </c>
      <c r="B28" s="1043" t="s">
        <v>1383</v>
      </c>
      <c r="C28" s="4"/>
      <c r="D28" s="4"/>
      <c r="E28" s="4"/>
      <c r="F28" s="4"/>
      <c r="G28" s="4"/>
      <c r="H28" s="4"/>
      <c r="I28" s="4"/>
      <c r="J28" s="4"/>
      <c r="K28" s="4"/>
      <c r="L28" s="4"/>
    </row>
    <row r="29" spans="1:12" ht="15" x14ac:dyDescent="0.25">
      <c r="A29" s="351" t="s">
        <v>580</v>
      </c>
      <c r="B29" s="351" t="s">
        <v>581</v>
      </c>
      <c r="C29" s="4"/>
      <c r="D29" s="4"/>
      <c r="E29" s="4"/>
      <c r="F29" s="4"/>
      <c r="G29" s="4"/>
      <c r="H29" s="4"/>
      <c r="I29" s="4"/>
      <c r="J29" s="4"/>
      <c r="K29" s="4"/>
      <c r="L29" s="4"/>
    </row>
    <row r="30" spans="1:12" ht="15" x14ac:dyDescent="0.25">
      <c r="A30" s="351" t="s">
        <v>582</v>
      </c>
      <c r="B30" s="351" t="s">
        <v>585</v>
      </c>
      <c r="C30" s="227"/>
      <c r="D30" s="227"/>
      <c r="E30" s="227"/>
      <c r="F30" s="227"/>
      <c r="G30" s="227"/>
      <c r="H30" s="227"/>
      <c r="I30" s="227"/>
      <c r="J30" s="227"/>
      <c r="K30" s="166"/>
      <c r="L30" s="166"/>
    </row>
    <row r="31" spans="1:12" ht="15" x14ac:dyDescent="0.25">
      <c r="A31" s="276"/>
      <c r="B31" s="1399" t="s">
        <v>73</v>
      </c>
      <c r="C31" s="1399"/>
      <c r="D31" s="1399"/>
      <c r="E31" s="1399"/>
      <c r="F31" s="1399"/>
      <c r="G31" s="1399"/>
      <c r="H31" s="1399"/>
      <c r="I31" s="1399"/>
      <c r="J31" s="227"/>
      <c r="K31" s="166"/>
      <c r="L31" s="166"/>
    </row>
    <row r="32" spans="1:12" ht="15" x14ac:dyDescent="0.25">
      <c r="A32" s="4"/>
      <c r="B32" s="4"/>
      <c r="C32" s="4"/>
      <c r="D32" s="4"/>
      <c r="E32" s="4"/>
      <c r="F32" s="4"/>
      <c r="G32" s="4"/>
      <c r="H32" s="4"/>
      <c r="I32" s="4"/>
      <c r="J32" s="4"/>
      <c r="K32" s="4"/>
      <c r="L32" s="922"/>
    </row>
    <row r="33" spans="1:12" ht="14.25" customHeight="1" x14ac:dyDescent="0.2">
      <c r="A33" s="1406" t="s">
        <v>170</v>
      </c>
      <c r="B33" s="1400" t="s">
        <v>498</v>
      </c>
      <c r="C33" s="1401"/>
      <c r="D33" s="1401"/>
      <c r="E33" s="1402"/>
      <c r="F33" s="1400" t="s">
        <v>163</v>
      </c>
      <c r="G33" s="1401"/>
      <c r="H33" s="1401"/>
      <c r="I33" s="1402"/>
      <c r="J33" s="1404" t="s">
        <v>55</v>
      </c>
    </row>
    <row r="34" spans="1:12" ht="26.25" customHeight="1" x14ac:dyDescent="0.2">
      <c r="A34" s="1406"/>
      <c r="B34" s="1019" t="s">
        <v>158</v>
      </c>
      <c r="C34" s="1020" t="s">
        <v>159</v>
      </c>
      <c r="D34" s="1021" t="s">
        <v>160</v>
      </c>
      <c r="E34" s="1022" t="s">
        <v>11</v>
      </c>
      <c r="F34" s="1023" t="s">
        <v>158</v>
      </c>
      <c r="G34" s="1024" t="s">
        <v>159</v>
      </c>
      <c r="H34" s="1025" t="s">
        <v>169</v>
      </c>
      <c r="I34" s="1026" t="s">
        <v>11</v>
      </c>
      <c r="J34" s="1405"/>
    </row>
    <row r="35" spans="1:12" ht="18.75" customHeight="1" x14ac:dyDescent="0.2">
      <c r="A35" s="891" t="s">
        <v>162</v>
      </c>
      <c r="B35" s="130">
        <f>GETPIVOTDATA("Sum of Female",T_14!$A$22,"who","Non FRS personnel","Pub_injury_withchecks","1Burns")</f>
        <v>44</v>
      </c>
      <c r="C35" s="130">
        <f>GETPIVOTDATA("Sum of Male",T_14!$A$22,"who","Non FRS personnel","Pub_injury_withchecks","1Burns")</f>
        <v>93</v>
      </c>
      <c r="D35" s="130">
        <f>SUM(T_14!I25:J25)</f>
        <v>4</v>
      </c>
      <c r="E35" s="13">
        <f>SUM(B35:D35)</f>
        <v>141</v>
      </c>
      <c r="F35" s="130">
        <f>GETPIVOTDATA("Sum of Female",T_14!$A$22,"who","FRS personnel","Pub_injury_withchecks","1Burns")</f>
        <v>0</v>
      </c>
      <c r="G35" s="130">
        <f>GETPIVOTDATA("Sum of Male",T_14!$A$22,"who","FRS personnel","Pub_injury_withchecks","1Burns")</f>
        <v>0</v>
      </c>
      <c r="H35" s="130">
        <f>SUM(T_14!D25:E25)</f>
        <v>1</v>
      </c>
      <c r="I35" s="42">
        <f>SUM(F35:H35)</f>
        <v>1</v>
      </c>
      <c r="J35" s="13">
        <f t="shared" ref="J35:J41" si="2">I35+E35</f>
        <v>142</v>
      </c>
    </row>
    <row r="36" spans="1:12" ht="13.5" customHeight="1" x14ac:dyDescent="0.2">
      <c r="A36" s="817" t="s">
        <v>548</v>
      </c>
      <c r="B36" s="130">
        <f>GETPIVOTDATA("Sum of Female",T_14!$A$22,"who","Non FRS personnel","Pub_injury_withchecks","2Combination of burns and overcome by gas/smoke")</f>
        <v>8</v>
      </c>
      <c r="C36" s="130">
        <f>GETPIVOTDATA("Sum of Male",T_14!$A$22,"who","Non FRS personnel","Pub_injury_withchecks","2Combination of burns and overcome by gas/smoke")</f>
        <v>12</v>
      </c>
      <c r="D36" s="130">
        <f>SUM(T_14!I26:J26)</f>
        <v>0</v>
      </c>
      <c r="E36" s="13">
        <f t="shared" ref="E36:E41" si="3">SUM(B36:D36)</f>
        <v>20</v>
      </c>
      <c r="F36" s="130">
        <f>GETPIVOTDATA("Sum of Female",T_14!$A$22,"who","FRS personnel","Pub_injury_withchecks","2Combination of burns and overcome by gas/smoke")</f>
        <v>0</v>
      </c>
      <c r="G36" s="130">
        <f>GETPIVOTDATA("Sum of Male",T_14!$A$22,"who","FRS personnel","Pub_injury_withchecks","2Combination of burns and overcome by gas/smoke")</f>
        <v>0</v>
      </c>
      <c r="H36" s="130">
        <f>SUM(T_14!D26:E26)</f>
        <v>0</v>
      </c>
      <c r="I36" s="42">
        <f t="shared" ref="I36:I41" si="4">SUM(F36:H36)</f>
        <v>0</v>
      </c>
      <c r="J36" s="13">
        <f t="shared" si="2"/>
        <v>20</v>
      </c>
    </row>
    <row r="37" spans="1:12" ht="13.5" customHeight="1" x14ac:dyDescent="0.2">
      <c r="A37" s="13" t="s">
        <v>549</v>
      </c>
      <c r="B37" s="130">
        <f>GETPIVOTDATA("Sum of Female",T_14!$A$22,"who","Non FRS personnel","Pub_injury_withchecks","3Overcome by gas, smoke or toxic fumes")</f>
        <v>217</v>
      </c>
      <c r="C37" s="130">
        <f>GETPIVOTDATA("Sum of Male",T_14!$A$22,"who","Non FRS personnel","Pub_injury_withchecks","3Overcome by gas, smoke or toxic fumes")</f>
        <v>267</v>
      </c>
      <c r="D37" s="130">
        <f>SUM(T_14!I27:J27)</f>
        <v>26</v>
      </c>
      <c r="E37" s="13">
        <f t="shared" si="3"/>
        <v>510</v>
      </c>
      <c r="F37" s="130">
        <f>GETPIVOTDATA("Sum of Female",T_14!$A$22,"who","FRS personnel","Pub_injury_withchecks","3Overcome by gas, smoke or toxic fumes")</f>
        <v>0</v>
      </c>
      <c r="G37" s="130">
        <f>GETPIVOTDATA("Sum of Male",T_14!$A$22,"who","FRS personnel","Pub_injury_withchecks","3Overcome by gas, smoke or toxic fumes")</f>
        <v>0</v>
      </c>
      <c r="H37" s="130">
        <f>SUM(T_14!D27:E27)</f>
        <v>0</v>
      </c>
      <c r="I37" s="42">
        <f t="shared" si="4"/>
        <v>0</v>
      </c>
      <c r="J37" s="13">
        <f t="shared" si="2"/>
        <v>510</v>
      </c>
    </row>
    <row r="38" spans="1:12" ht="13.5" customHeight="1" x14ac:dyDescent="0.2">
      <c r="A38" s="890" t="s">
        <v>550</v>
      </c>
      <c r="B38" s="130">
        <f>GETPIVOTDATA("Sum of Female",T_14!$A$22,"who","Non FRS personnel","Pub_injury_withchecks","4Physical injuries")</f>
        <v>10</v>
      </c>
      <c r="C38" s="130">
        <f>GETPIVOTDATA("Sum of Male",T_14!$A$22,"who","Non FRS personnel","Pub_injury_withchecks","4Physical injuries")</f>
        <v>23</v>
      </c>
      <c r="D38" s="130">
        <f>SUM(T_14!I28:J28)</f>
        <v>0</v>
      </c>
      <c r="E38" s="13">
        <f t="shared" si="3"/>
        <v>33</v>
      </c>
      <c r="F38" s="130">
        <f>GETPIVOTDATA("Sum of Female",T_14!$A$22,"who","FRS personnel","Pub_injury_withchecks","4Physical injuries")</f>
        <v>0</v>
      </c>
      <c r="G38" s="130">
        <f>GETPIVOTDATA("Sum of Male",T_14!$A$22,"who","FRS personnel","Pub_injury_withchecks","4Physical injuries")</f>
        <v>3</v>
      </c>
      <c r="H38" s="130">
        <f>SUM(T_14!D28:E28)</f>
        <v>1</v>
      </c>
      <c r="I38" s="42">
        <f t="shared" si="4"/>
        <v>4</v>
      </c>
      <c r="J38" s="13">
        <f t="shared" si="2"/>
        <v>37</v>
      </c>
    </row>
    <row r="39" spans="1:12" ht="13.5" customHeight="1" x14ac:dyDescent="0.2">
      <c r="A39" s="13" t="s">
        <v>553</v>
      </c>
      <c r="B39" s="130">
        <f>GETPIVOTDATA("Sum of Female",T_14!$A$22,"who","Non FRS personnel","Pub_injury_withchecks","5Shock")</f>
        <v>11</v>
      </c>
      <c r="C39" s="130">
        <f>GETPIVOTDATA("Sum of Male",T_14!$A$22,"who","Non FRS personnel","Pub_injury_withchecks","5Shock")</f>
        <v>3</v>
      </c>
      <c r="D39" s="130">
        <f>SUM(T_14!I29:J29)</f>
        <v>0</v>
      </c>
      <c r="E39" s="13">
        <f t="shared" si="3"/>
        <v>14</v>
      </c>
      <c r="F39" s="130">
        <f>GETPIVOTDATA("Sum of Female",T_14!$A$22,"who","FRS personnel","Pub_injury_withchecks","5Shock")</f>
        <v>0</v>
      </c>
      <c r="G39" s="130">
        <f>GETPIVOTDATA("Sum of Male",T_14!$A$22,"who","FRS personnel","Pub_injury_withchecks","5Shock")</f>
        <v>0</v>
      </c>
      <c r="H39" s="130">
        <f>SUM(T_14!D29:E29)</f>
        <v>0</v>
      </c>
      <c r="I39" s="42">
        <f t="shared" si="4"/>
        <v>0</v>
      </c>
      <c r="J39" s="13">
        <f t="shared" si="2"/>
        <v>14</v>
      </c>
    </row>
    <row r="40" spans="1:12" ht="13.5" customHeight="1" x14ac:dyDescent="0.2">
      <c r="A40" s="13" t="s">
        <v>551</v>
      </c>
      <c r="B40" s="130">
        <f>GETPIVOTDATA("Sum of Female",T_14!$A$22,"who","Non FRS personnel","Pub_injury_withchecks","6Other specified")</f>
        <v>71</v>
      </c>
      <c r="C40" s="130">
        <f>GETPIVOTDATA("Sum of Male",T_14!$A$22,"who","Non FRS personnel","Pub_injury_withchecks","6Other specified")</f>
        <v>81</v>
      </c>
      <c r="D40" s="130">
        <f>SUM(T_14!I30:J30)</f>
        <v>1</v>
      </c>
      <c r="E40" s="13">
        <f t="shared" si="3"/>
        <v>153</v>
      </c>
      <c r="F40" s="130">
        <f>GETPIVOTDATA("Sum of Female",T_14!$A$22,"who","FRS personnel","Pub_injury_withchecks","6Other specified")</f>
        <v>0</v>
      </c>
      <c r="G40" s="130">
        <f>GETPIVOTDATA("Sum of Male",T_14!$A$22,"who","FRS personnel","Pub_injury_withchecks","6Other specified")</f>
        <v>2</v>
      </c>
      <c r="H40" s="130">
        <f>SUM(T_14!D30:E30)</f>
        <v>1</v>
      </c>
      <c r="I40" s="42">
        <f t="shared" si="4"/>
        <v>3</v>
      </c>
      <c r="J40" s="13">
        <f t="shared" si="2"/>
        <v>156</v>
      </c>
    </row>
    <row r="41" spans="1:12" ht="13.5" customHeight="1" x14ac:dyDescent="0.2">
      <c r="A41" s="311" t="s">
        <v>552</v>
      </c>
      <c r="B41" s="130">
        <f>GETPIVOTDATA("Sum of Female",T_14!$A$22,"who","Non FRS personnel","Pub_injury_withchecks","8Other/Not known")</f>
        <v>61</v>
      </c>
      <c r="C41" s="130">
        <f>GETPIVOTDATA("Sum of Male",T_14!$A$22,"who","Non FRS personnel","Pub_injury_withchecks","8Other/Not known")</f>
        <v>75</v>
      </c>
      <c r="D41" s="130">
        <f>SUM(T_14!I31:J31)</f>
        <v>2</v>
      </c>
      <c r="E41" s="13">
        <f t="shared" si="3"/>
        <v>138</v>
      </c>
      <c r="F41" s="130">
        <f>GETPIVOTDATA("Sum of Female",T_14!$A$22,"who","FRS personnel","Pub_injury_withchecks","8Other/Not known")</f>
        <v>0</v>
      </c>
      <c r="G41" s="130">
        <f>GETPIVOTDATA("Sum of Male",T_14!$A$22,"who","FRS personnel","Pub_injury_withchecks","8Other/Not known")</f>
        <v>0</v>
      </c>
      <c r="H41" s="130">
        <f>SUM(T_14!D31:E31)</f>
        <v>0</v>
      </c>
      <c r="I41" s="42">
        <f t="shared" si="4"/>
        <v>0</v>
      </c>
      <c r="J41" s="13">
        <f t="shared" si="2"/>
        <v>138</v>
      </c>
    </row>
    <row r="42" spans="1:12" x14ac:dyDescent="0.2">
      <c r="A42" s="890"/>
      <c r="B42" s="4"/>
      <c r="C42" s="4"/>
      <c r="D42" s="4"/>
      <c r="E42" s="13"/>
      <c r="F42" s="4"/>
      <c r="G42" s="4"/>
      <c r="H42" s="4"/>
      <c r="I42" s="52"/>
      <c r="J42" s="13"/>
    </row>
    <row r="43" spans="1:12" ht="30" customHeight="1" thickBot="1" x14ac:dyDescent="0.25">
      <c r="A43" s="948" t="s">
        <v>11</v>
      </c>
      <c r="B43" s="423">
        <f t="shared" ref="B43:J43" si="5">SUM(B35:B41)</f>
        <v>422</v>
      </c>
      <c r="C43" s="423">
        <f>SUM(C35:C41)</f>
        <v>554</v>
      </c>
      <c r="D43" s="423">
        <f t="shared" si="5"/>
        <v>33</v>
      </c>
      <c r="E43" s="423">
        <f t="shared" si="5"/>
        <v>1009</v>
      </c>
      <c r="F43" s="362">
        <f t="shared" si="5"/>
        <v>0</v>
      </c>
      <c r="G43" s="362">
        <f t="shared" si="5"/>
        <v>5</v>
      </c>
      <c r="H43" s="362">
        <f t="shared" si="5"/>
        <v>3</v>
      </c>
      <c r="I43" s="362">
        <f t="shared" si="5"/>
        <v>8</v>
      </c>
      <c r="J43" s="423">
        <f t="shared" si="5"/>
        <v>1017</v>
      </c>
    </row>
    <row r="44" spans="1:12" x14ac:dyDescent="0.2">
      <c r="A44" s="1"/>
      <c r="B44" s="1"/>
      <c r="C44" s="1"/>
      <c r="D44" s="1"/>
      <c r="E44" s="1"/>
      <c r="F44" s="606"/>
      <c r="G44" s="1"/>
      <c r="H44" s="1"/>
      <c r="I44" s="1"/>
      <c r="J44" s="1"/>
      <c r="K44" s="1"/>
      <c r="L44" s="1"/>
    </row>
    <row r="45" spans="1:12" x14ac:dyDescent="0.2">
      <c r="A45" s="5" t="s">
        <v>146</v>
      </c>
      <c r="B45" s="1"/>
      <c r="C45" s="1"/>
      <c r="D45" s="1"/>
      <c r="E45" s="1"/>
      <c r="F45" s="1"/>
      <c r="G45" s="1"/>
      <c r="H45" s="1"/>
      <c r="I45" s="1"/>
      <c r="J45" s="1"/>
      <c r="K45" s="1"/>
      <c r="L45" s="1"/>
    </row>
    <row r="46" spans="1:12" ht="15.75" customHeight="1" x14ac:dyDescent="0.25">
      <c r="A46" s="1118" t="s">
        <v>431</v>
      </c>
      <c r="B46" s="1118"/>
      <c r="C46" s="1118"/>
      <c r="D46" s="1118"/>
      <c r="E46" s="1118"/>
      <c r="F46" s="1118"/>
      <c r="G46" s="1118"/>
      <c r="H46" s="1118"/>
      <c r="I46" s="1118"/>
      <c r="J46" s="1118"/>
      <c r="K46" s="1118"/>
      <c r="L46" s="1118"/>
    </row>
    <row r="47" spans="1:12" ht="30" customHeight="1" x14ac:dyDescent="0.25">
      <c r="A47" s="1403" t="s">
        <v>559</v>
      </c>
      <c r="B47" s="1403"/>
      <c r="C47" s="1403"/>
      <c r="D47" s="1403"/>
      <c r="E47" s="1403"/>
      <c r="F47" s="1403"/>
      <c r="G47" s="1403"/>
      <c r="H47" s="1403"/>
      <c r="I47" s="1403"/>
      <c r="J47" s="1403"/>
      <c r="K47" s="1403"/>
      <c r="L47" s="1403"/>
    </row>
    <row r="48" spans="1:12" ht="12.75" customHeight="1" x14ac:dyDescent="0.2">
      <c r="A48" s="276"/>
      <c r="B48" s="258"/>
      <c r="C48" s="258"/>
      <c r="D48" s="258"/>
      <c r="E48" s="258"/>
      <c r="F48" s="258"/>
      <c r="G48" s="258"/>
      <c r="H48" s="258"/>
      <c r="I48" s="258"/>
      <c r="J48" s="258"/>
      <c r="K48" s="258"/>
      <c r="L48" s="258"/>
    </row>
  </sheetData>
  <sheetProtection algorithmName="SHA-512" hashValue="MFM48pQCpVWYSbvdNkVssc1NRLoObgTLQipmMAGxE7Jze29iTahog3aPnHVu8KbmXmrP7WMbyH/YD6nB8Um5kg==" saltValue="aXmig5jjsAK7eQARtLXdjg==" spinCount="100000" sheet="1" scenarios="1" formatCells="0" formatColumns="0" formatRows="0" sort="0" autoFilter="0" pivotTables="0"/>
  <mergeCells count="12">
    <mergeCell ref="B8:G8"/>
    <mergeCell ref="F33:I33"/>
    <mergeCell ref="A47:L47"/>
    <mergeCell ref="G10:G11"/>
    <mergeCell ref="J33:J34"/>
    <mergeCell ref="A10:A11"/>
    <mergeCell ref="A33:A34"/>
    <mergeCell ref="B31:I31"/>
    <mergeCell ref="B10:E10"/>
    <mergeCell ref="B33:E33"/>
    <mergeCell ref="A22:H22"/>
    <mergeCell ref="A23:H23"/>
  </mergeCells>
  <hyperlinks>
    <hyperlink ref="A2" location="'Table of Contents'!A1" display="Back to Table of Contents" xr:uid="{00000000-0004-0000-7F00-000000000000}"/>
  </hyperlinks>
  <pageMargins left="0.7" right="0.7" top="0.75" bottom="0.75" header="0.3" footer="0.3"/>
  <pageSetup paperSize="9" scale="51" fitToHeight="0" orientation="portrait" r:id="rId1"/>
  <drawing r:id="rId2"/>
  <extLst>
    <ext xmlns:x14="http://schemas.microsoft.com/office/spreadsheetml/2009/9/main" uri="{A8765BA9-456A-4dab-B4F3-ACF838C121DE}">
      <x14:slicerList>
        <x14:slicer r:id="rId3"/>
      </x14:slicerList>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32">
    <tabColor rgb="FFBF8F00"/>
    <pageSetUpPr fitToPage="1"/>
  </sheetPr>
  <dimension ref="A1:L69"/>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36.7109375" customWidth="1"/>
    <col min="2" max="2" width="17.28515625" customWidth="1"/>
    <col min="3" max="3" width="20" customWidth="1"/>
    <col min="4" max="4" width="19.5703125" customWidth="1"/>
    <col min="5" max="5" width="12.85546875" customWidth="1"/>
    <col min="6" max="6" width="16.140625" customWidth="1"/>
  </cols>
  <sheetData>
    <row r="1" spans="1:12" ht="15.75" x14ac:dyDescent="0.2">
      <c r="A1" s="298" t="s">
        <v>1133</v>
      </c>
    </row>
    <row r="2" spans="1:12" ht="15.75" customHeight="1" x14ac:dyDescent="0.2">
      <c r="A2" s="106" t="s">
        <v>578</v>
      </c>
    </row>
    <row r="3" spans="1:12" ht="38.25" customHeight="1" x14ac:dyDescent="0.2">
      <c r="A3" s="237" t="s">
        <v>1054</v>
      </c>
      <c r="B3" s="120"/>
      <c r="C3" s="120"/>
      <c r="D3" s="120"/>
      <c r="E3" s="120"/>
      <c r="F3" s="120"/>
      <c r="G3" s="75"/>
      <c r="H3" s="75"/>
      <c r="I3" s="75"/>
      <c r="J3" s="75"/>
      <c r="K3" s="75"/>
      <c r="L3" s="75"/>
    </row>
    <row r="4" spans="1:12" ht="15.75" customHeight="1" x14ac:dyDescent="0.25">
      <c r="A4" s="351" t="s">
        <v>579</v>
      </c>
      <c r="B4" s="1043" t="s">
        <v>1384</v>
      </c>
      <c r="D4" s="197"/>
      <c r="E4" s="197"/>
      <c r="F4" s="197"/>
      <c r="G4" s="75"/>
      <c r="H4" s="75"/>
      <c r="I4" s="75"/>
      <c r="J4" s="75"/>
      <c r="K4" s="75"/>
      <c r="L4" s="75"/>
    </row>
    <row r="5" spans="1:12" ht="15.75" customHeight="1" x14ac:dyDescent="0.25">
      <c r="A5" s="351" t="s">
        <v>580</v>
      </c>
      <c r="B5" s="351" t="s">
        <v>581</v>
      </c>
      <c r="C5" s="197"/>
      <c r="D5" s="197"/>
      <c r="E5" s="197"/>
      <c r="F5" s="197"/>
      <c r="G5" s="75"/>
      <c r="H5" s="75"/>
      <c r="I5" s="75"/>
      <c r="J5" s="75"/>
      <c r="K5" s="75"/>
      <c r="L5" s="75"/>
    </row>
    <row r="6" spans="1:12" ht="15.75" customHeight="1" x14ac:dyDescent="0.25">
      <c r="A6" s="351" t="s">
        <v>582</v>
      </c>
      <c r="B6" s="351" t="s">
        <v>585</v>
      </c>
      <c r="C6" s="197"/>
      <c r="D6" s="197"/>
      <c r="E6" s="197"/>
      <c r="F6" s="197"/>
      <c r="G6" s="75"/>
      <c r="H6" s="75"/>
      <c r="I6" s="75"/>
      <c r="J6" s="75"/>
      <c r="K6" s="75"/>
      <c r="L6" s="75"/>
    </row>
    <row r="7" spans="1:12" ht="26.25" customHeight="1" x14ac:dyDescent="0.2">
      <c r="A7" s="1"/>
      <c r="B7" s="1"/>
      <c r="C7" s="1"/>
      <c r="D7" s="60" t="s">
        <v>57</v>
      </c>
      <c r="E7" s="1"/>
      <c r="F7" s="1"/>
      <c r="G7" s="1"/>
      <c r="H7" s="1"/>
      <c r="I7" s="1"/>
      <c r="J7" s="1"/>
    </row>
    <row r="8" spans="1:12" ht="15" customHeight="1" x14ac:dyDescent="0.2">
      <c r="A8" s="62"/>
      <c r="B8" s="1375" t="s">
        <v>499</v>
      </c>
      <c r="C8" s="1375"/>
      <c r="D8" s="1375"/>
      <c r="E8" s="136"/>
    </row>
    <row r="9" spans="1:12" ht="21" customHeight="1" x14ac:dyDescent="0.2">
      <c r="A9" s="29" t="s">
        <v>298</v>
      </c>
      <c r="B9" s="283" t="s">
        <v>158</v>
      </c>
      <c r="C9" s="283" t="s">
        <v>159</v>
      </c>
      <c r="D9" s="283" t="s">
        <v>11</v>
      </c>
      <c r="E9" s="1"/>
    </row>
    <row r="10" spans="1:12" ht="18.75" customHeight="1" x14ac:dyDescent="0.2">
      <c r="A10" s="891" t="s">
        <v>162</v>
      </c>
      <c r="B10" s="949">
        <f>GETPIVOTDATA("Sum of Female",T_15!$A$4,"Pub_fataldescription","Burns")/B20*1000000</f>
        <v>0.71408475043452058</v>
      </c>
      <c r="C10" s="949">
        <f>GETPIVOTDATA("Sum of Male",T_15!$A$4,"Pub_fataldescription","Burns")/C20*1000000</f>
        <v>5.6280701122462302</v>
      </c>
      <c r="D10" s="387">
        <f>(GETPIVOTDATA("Sum of Total_Fatal",T_15!$A$4,"Pub_fataldescription","Burns"))/D20*1000000</f>
        <v>3.1101353823637026</v>
      </c>
      <c r="E10" s="1"/>
    </row>
    <row r="11" spans="1:12" ht="13.5" customHeight="1" x14ac:dyDescent="0.2">
      <c r="A11" s="817" t="s">
        <v>548</v>
      </c>
      <c r="B11" s="918">
        <f>GETPIVOTDATA("Sum of Female",T_15!$A$4,"Pub_fataldescription","Combination of burns and overcome by gas/smoke")/B20*1000000</f>
        <v>1.0711271256517809</v>
      </c>
      <c r="C11" s="918">
        <f>GETPIVOTDATA("Sum of Male",T_15!$A$4,"Pub_fataldescription","Combination of burns and overcome by gas/smoke")/C20*1000000</f>
        <v>1.8760233707487435</v>
      </c>
      <c r="D11" s="384">
        <f>(GETPIVOTDATA("Sum of Total_Fatal",T_15!$A$4,"Pub_fataldescription","Combination of burns and overcome by gas/smoke"))/D20*1000000</f>
        <v>1.4635931211123308</v>
      </c>
      <c r="E11" s="1"/>
      <c r="F11" s="31"/>
    </row>
    <row r="12" spans="1:12" ht="13.5" customHeight="1" x14ac:dyDescent="0.2">
      <c r="A12" s="13" t="s">
        <v>549</v>
      </c>
      <c r="B12" s="918">
        <f>GETPIVOTDATA("Sum of Female",T_15!$A$4,"Pub_fataldescription","Overcome by gas, smoke or toxic fumes")/B20*1000000</f>
        <v>2.4992966265208221</v>
      </c>
      <c r="C12" s="918">
        <f>GETPIVOTDATA("Sum of Male",T_15!$A$4,"Pub_fataldescription","Overcome by gas, smoke or toxic fumes")/C20*1000000</f>
        <v>4.8776607639467331</v>
      </c>
      <c r="D12" s="384">
        <f>IFERROR((GETPIVOTDATA("Sum of Total_Fatal",T_15!$A$4,"Pub_fataldescription","Overcome by gas, smoke or toxic fumes"))/D20*1000000,0)</f>
        <v>3.6589828027808267</v>
      </c>
      <c r="E12" s="1"/>
      <c r="F12" s="2"/>
    </row>
    <row r="13" spans="1:12" ht="13.5" customHeight="1" x14ac:dyDescent="0.2">
      <c r="A13" s="890" t="s">
        <v>550</v>
      </c>
      <c r="B13" s="918">
        <f>IFERROR(GETPIVOTDATA("Sum of Female",T_15!$A$4,"Pub_fataldescription","Physical injuries")/B20*1000000,0)</f>
        <v>0</v>
      </c>
      <c r="C13" s="918">
        <f>IFERROR(GETPIVOTDATA("Sum of Male",T_15!$A$4,"Pub_fataldescription","Physical injuries")/C20*1000000,0)</f>
        <v>0</v>
      </c>
      <c r="D13" s="384">
        <f>IFERROR((GETPIVOTDATA("Sum of Total_Fatal",T_15!$A$4,"Pub_fataldescription","Physical injuries"))/D21*1000000,0)</f>
        <v>0</v>
      </c>
      <c r="E13" s="1"/>
      <c r="F13" s="2"/>
    </row>
    <row r="14" spans="1:12" ht="13.5" customHeight="1" x14ac:dyDescent="0.2">
      <c r="A14" s="885" t="s">
        <v>551</v>
      </c>
      <c r="B14" s="918">
        <f>IFERROR(GETPIVOTDATA("Sum of Female",T_15!$A$4,"Pub_fataldescription","Other specified")/B20*1000000,0)</f>
        <v>0</v>
      </c>
      <c r="C14" s="918">
        <f>IFERROR(GETPIVOTDATA("Sum of Male",T_15!$A$4,"Pub_fataldescription","Other specified")/C20*1000000,0)</f>
        <v>0</v>
      </c>
      <c r="D14" s="384">
        <f>IFERROR((GETPIVOTDATA("Sum of Total_Fatal",T_15!$A$4,"Pub_fataldescription","Other specified"))/D20*1000000,0)</f>
        <v>0</v>
      </c>
      <c r="E14" s="1"/>
      <c r="F14" s="2"/>
    </row>
    <row r="15" spans="1:12" ht="13.5" customHeight="1" x14ac:dyDescent="0.2">
      <c r="A15" s="311" t="s">
        <v>552</v>
      </c>
      <c r="B15" s="45">
        <f>GETPIVOTDATA("Sum of Female",T_15!$A$4,"Pub_fataldescription","Unspecified")/B20*1000000</f>
        <v>0.35704237521726029</v>
      </c>
      <c r="C15" s="45">
        <f>GETPIVOTDATA("Sum of Male",T_15!$A$4,"Pub_fataldescription","Unspecified")/C20*1000000</f>
        <v>2.6264327190482408</v>
      </c>
      <c r="D15" s="919">
        <f>(GETPIVOTDATA("Sum of Total_Fatal",T_15!$A$4,"Pub_fataldescription","Unspecified"))/D20*1000000</f>
        <v>1.4635931211123308</v>
      </c>
      <c r="E15" s="1"/>
      <c r="F15" s="2"/>
    </row>
    <row r="16" spans="1:12" x14ac:dyDescent="0.2">
      <c r="A16" s="138"/>
      <c r="B16" s="918"/>
      <c r="C16" s="918"/>
      <c r="D16" s="384"/>
      <c r="E16" s="1"/>
      <c r="F16" s="31"/>
    </row>
    <row r="17" spans="1:12" ht="30" customHeight="1" thickBot="1" x14ac:dyDescent="0.25">
      <c r="A17" s="908" t="s">
        <v>11</v>
      </c>
      <c r="B17" s="950">
        <f>GETPIVOTDATA("Sum of Female",T_15!$A$4)/B20*1000000</f>
        <v>4.6415508778243835</v>
      </c>
      <c r="C17" s="950">
        <f>GETPIVOTDATA("Sum of Male",T_15!$A$4)/C20*1000000</f>
        <v>15.008186965989948</v>
      </c>
      <c r="D17" s="951">
        <f>GETPIVOTDATA("Sum of Total_Fatal",T_15!$A$4)/D20*1000000</f>
        <v>9.6963044273691903</v>
      </c>
      <c r="E17" s="1"/>
      <c r="F17" s="31"/>
    </row>
    <row r="18" spans="1:12" ht="13.5" customHeight="1" x14ac:dyDescent="0.2">
      <c r="A18" s="177"/>
      <c r="B18" s="178"/>
      <c r="C18" s="178"/>
      <c r="D18" s="179"/>
      <c r="E18" s="1"/>
    </row>
    <row r="19" spans="1:12" ht="13.5" customHeight="1" x14ac:dyDescent="0.2">
      <c r="A19" s="177"/>
      <c r="B19" s="920" t="s">
        <v>158</v>
      </c>
      <c r="C19" s="920" t="s">
        <v>159</v>
      </c>
      <c r="D19" s="921" t="s">
        <v>11</v>
      </c>
      <c r="E19" s="1"/>
    </row>
    <row r="20" spans="1:12" ht="22.5" customHeight="1" thickBot="1" x14ac:dyDescent="0.25">
      <c r="A20" s="873" t="s">
        <v>255</v>
      </c>
      <c r="B20" s="947">
        <f>GETPIVOTDATA("Sum of Females",T_15!$A$4,"Pub_fataldescription","Burns")</f>
        <v>2800788</v>
      </c>
      <c r="C20" s="947">
        <f>GETPIVOTDATA("Sum of Males",T_15!$A$4,"Pub_fataldescription","Burns")</f>
        <v>2665212</v>
      </c>
      <c r="D20" s="947">
        <f>B20+C20</f>
        <v>5466000</v>
      </c>
      <c r="E20" s="1"/>
    </row>
    <row r="21" spans="1:12" x14ac:dyDescent="0.2">
      <c r="A21" s="1"/>
      <c r="B21" s="1"/>
      <c r="C21" s="1"/>
      <c r="D21" s="1"/>
      <c r="E21" s="1"/>
      <c r="F21" s="1"/>
      <c r="G21" s="1"/>
      <c r="H21" s="1"/>
      <c r="I21" s="1"/>
      <c r="J21" s="1"/>
    </row>
    <row r="22" spans="1:12" x14ac:dyDescent="0.2">
      <c r="A22" s="123" t="s">
        <v>146</v>
      </c>
    </row>
    <row r="23" spans="1:12" ht="28.5" customHeight="1" x14ac:dyDescent="0.25">
      <c r="A23" s="1410" t="s">
        <v>431</v>
      </c>
      <c r="B23" s="1410"/>
      <c r="C23" s="1410"/>
      <c r="D23" s="1410"/>
      <c r="E23" s="1410"/>
      <c r="F23" s="1410"/>
      <c r="G23" s="1410"/>
      <c r="H23" s="1410"/>
    </row>
    <row r="24" spans="1:12" ht="29.25" customHeight="1" x14ac:dyDescent="0.25">
      <c r="A24" s="1409" t="s">
        <v>554</v>
      </c>
      <c r="B24" s="1409"/>
      <c r="C24" s="1409"/>
      <c r="D24" s="1409"/>
      <c r="E24" s="1409"/>
      <c r="F24" s="1409"/>
      <c r="G24" s="1409"/>
      <c r="H24" s="1409"/>
    </row>
    <row r="25" spans="1:12" ht="15.75" customHeight="1" x14ac:dyDescent="0.2">
      <c r="A25" s="1027" t="s">
        <v>1234</v>
      </c>
      <c r="B25" s="1027"/>
      <c r="C25" s="1027"/>
      <c r="D25" s="1027"/>
      <c r="E25" s="1027"/>
      <c r="F25" s="1027"/>
      <c r="G25" s="1027"/>
      <c r="H25" s="1027"/>
      <c r="I25" s="1027"/>
    </row>
    <row r="26" spans="1:12" ht="15.75" customHeight="1" x14ac:dyDescent="0.2">
      <c r="A26" s="106" t="s">
        <v>1093</v>
      </c>
    </row>
    <row r="27" spans="1:12" ht="12.75" customHeight="1" x14ac:dyDescent="0.2"/>
    <row r="28" spans="1:12" ht="12.75" customHeight="1" x14ac:dyDescent="0.2"/>
    <row r="29" spans="1:12" ht="38.25" customHeight="1" x14ac:dyDescent="0.2">
      <c r="A29" s="237" t="s">
        <v>1055</v>
      </c>
      <c r="B29" s="120"/>
      <c r="C29" s="120"/>
      <c r="D29" s="120"/>
      <c r="E29" s="120"/>
      <c r="F29" s="120"/>
      <c r="I29" s="75"/>
      <c r="J29" s="75"/>
      <c r="K29" s="75"/>
      <c r="L29" s="75"/>
    </row>
    <row r="30" spans="1:12" ht="15.75" customHeight="1" x14ac:dyDescent="0.25">
      <c r="A30" s="351" t="s">
        <v>579</v>
      </c>
      <c r="B30" s="1043" t="s">
        <v>1385</v>
      </c>
      <c r="D30" s="197"/>
      <c r="E30" s="197"/>
      <c r="F30" s="197"/>
      <c r="I30" s="75"/>
      <c r="J30" s="75"/>
      <c r="K30" s="75"/>
      <c r="L30" s="75"/>
    </row>
    <row r="31" spans="1:12" ht="15.75" customHeight="1" x14ac:dyDescent="0.25">
      <c r="A31" s="351" t="s">
        <v>580</v>
      </c>
      <c r="B31" s="351" t="s">
        <v>581</v>
      </c>
      <c r="C31" s="197"/>
      <c r="D31" s="197"/>
      <c r="E31" s="197"/>
      <c r="F31" s="197"/>
      <c r="I31" s="75"/>
      <c r="J31" s="75"/>
      <c r="K31" s="75"/>
      <c r="L31" s="75"/>
    </row>
    <row r="32" spans="1:12" ht="15.75" customHeight="1" x14ac:dyDescent="0.25">
      <c r="A32" s="351" t="s">
        <v>582</v>
      </c>
      <c r="B32" s="351" t="s">
        <v>585</v>
      </c>
      <c r="C32" s="197"/>
      <c r="D32" s="197"/>
      <c r="E32" s="197"/>
      <c r="F32" s="197"/>
      <c r="I32" s="75"/>
      <c r="J32" s="75"/>
      <c r="K32" s="75"/>
      <c r="L32" s="75"/>
    </row>
    <row r="33" spans="1:11" ht="33.75" customHeight="1" x14ac:dyDescent="0.2">
      <c r="A33" s="1"/>
      <c r="B33" s="1"/>
      <c r="C33" s="1"/>
      <c r="D33" s="60" t="s">
        <v>57</v>
      </c>
      <c r="E33" s="1"/>
      <c r="I33" s="1"/>
      <c r="J33" s="1"/>
    </row>
    <row r="34" spans="1:11" ht="13.5" customHeight="1" x14ac:dyDescent="0.2">
      <c r="A34" s="2"/>
      <c r="B34" s="1375" t="s">
        <v>500</v>
      </c>
      <c r="C34" s="1375"/>
      <c r="D34" s="1375"/>
      <c r="E34" s="136"/>
    </row>
    <row r="35" spans="1:11" ht="20.25" customHeight="1" x14ac:dyDescent="0.2">
      <c r="A35" s="29" t="s">
        <v>170</v>
      </c>
      <c r="B35" s="283" t="s">
        <v>158</v>
      </c>
      <c r="C35" s="283" t="s">
        <v>159</v>
      </c>
      <c r="D35" s="283" t="s">
        <v>11</v>
      </c>
      <c r="E35" s="1"/>
    </row>
    <row r="36" spans="1:11" ht="18.75" customHeight="1" x14ac:dyDescent="0.2">
      <c r="A36" s="891" t="s">
        <v>162</v>
      </c>
      <c r="B36" s="949">
        <f>GETPIVOTDATA("Sum of Female",T_15!$A$20,"Pub_injury_withchecks","1Burns")/B47*1000000</f>
        <v>15.70986450955945</v>
      </c>
      <c r="C36" s="949">
        <f>GETPIVOTDATA("Sum of Male",T_15!$A$20,"Pub_injury_withchecks","1Burns")/C47*1000000</f>
        <v>34.894034695926628</v>
      </c>
      <c r="D36" s="387">
        <f>(GETPIVOTDATA("Sum of Total_Nonfatal",T_15!$A$20,"Pub_injury_withchecks","1Burns"))/D47*1000000</f>
        <v>25.795828759604831</v>
      </c>
      <c r="E36" s="1"/>
      <c r="K36" s="100"/>
    </row>
    <row r="37" spans="1:11" ht="14.25" customHeight="1" x14ac:dyDescent="0.2">
      <c r="A37" s="817" t="s">
        <v>548</v>
      </c>
      <c r="B37" s="918">
        <f>GETPIVOTDATA("Sum of Female",T_15!$A$20,"Pub_injury_withchecks","2Combination of burns and overcome by gas/smoke")/B47*1000000</f>
        <v>2.8563390017380823</v>
      </c>
      <c r="C37" s="918">
        <f>GETPIVOTDATA("Sum of Male",T_15!$A$20,"Pub_injury_withchecks","2Combination of burns and overcome by gas/smoke")/C47*1000000</f>
        <v>4.5024560897969845</v>
      </c>
      <c r="D37" s="384">
        <f>(GETPIVOTDATA("Sum of Total_Nonfatal",T_15!$A$20,"Pub_injury_withchecks","2Combination of burns and overcome by gas/smoke"))/D47*1000000</f>
        <v>3.6589828027808267</v>
      </c>
      <c r="E37" s="1"/>
      <c r="K37" s="39"/>
    </row>
    <row r="38" spans="1:11" ht="13.5" customHeight="1" x14ac:dyDescent="0.2">
      <c r="A38" s="13" t="s">
        <v>549</v>
      </c>
      <c r="B38" s="918">
        <f>GETPIVOTDATA("Sum of Female",T_15!$A$20,"Pub_injury_withchecks","3Overcome by gas, smoke or toxic fumes")/B47*1000000</f>
        <v>77.47819542214549</v>
      </c>
      <c r="C38" s="918">
        <f>GETPIVOTDATA("Sum of Male",T_15!$A$20,"Pub_injury_withchecks","3Overcome by gas, smoke or toxic fumes")/C47*1000000</f>
        <v>100.1796479979829</v>
      </c>
      <c r="D38" s="384">
        <f>(GETPIVOTDATA("Sum of Total_Nonfatal",T_15!$A$20,"Pub_injury_withchecks","3Overcome by gas, smoke or toxic fumes"))/D47*1000000</f>
        <v>93.30406147091108</v>
      </c>
      <c r="E38" s="1"/>
      <c r="K38" s="68"/>
    </row>
    <row r="39" spans="1:11" ht="13.5" customHeight="1" x14ac:dyDescent="0.2">
      <c r="A39" s="890" t="s">
        <v>550</v>
      </c>
      <c r="B39" s="918">
        <f>GETPIVOTDATA("Sum of Female",T_15!$A$20,"Pub_injury_withchecks","4Physical injuries")/B47*1000000</f>
        <v>3.5704237521726028</v>
      </c>
      <c r="C39" s="918">
        <f>GETPIVOTDATA("Sum of Male",T_15!$A$20,"Pub_injury_withchecks","4Physical injuries")/C47*1000000</f>
        <v>8.6297075054442196</v>
      </c>
      <c r="D39" s="384">
        <f>(GETPIVOTDATA("Sum of Total_Nonfatal",T_15!$A$20,"Pub_injury_withchecks","4Physical injuries"))/D47*1000000</f>
        <v>6.0373216245883645</v>
      </c>
      <c r="E39" s="1"/>
      <c r="K39" s="68"/>
    </row>
    <row r="40" spans="1:11" ht="13.5" customHeight="1" x14ac:dyDescent="0.2">
      <c r="A40" s="13" t="s">
        <v>553</v>
      </c>
      <c r="B40" s="918">
        <f>GETPIVOTDATA("Sum of Female",T_15!$A$20,"Pub_injury_withchecks","5Shock")/B47*1000000</f>
        <v>3.9274661273898626</v>
      </c>
      <c r="C40" s="918">
        <f>GETPIVOTDATA("Sum of Male",T_15!$A$20,"Pub_injury_withchecks","5Shock")/C47*1000000</f>
        <v>1.1256140224492461</v>
      </c>
      <c r="D40" s="384">
        <f>(GETPIVOTDATA("Sum of Total_Nonfatal",T_15!$A$20,"Pub_injury_withchecks","5Shock"))/D47*1000000</f>
        <v>2.5612879619465789</v>
      </c>
      <c r="E40" s="1"/>
    </row>
    <row r="41" spans="1:11" ht="13.5" customHeight="1" x14ac:dyDescent="0.2">
      <c r="A41" s="13" t="s">
        <v>551</v>
      </c>
      <c r="B41" s="918">
        <f>GETPIVOTDATA("Sum of Female",T_15!$A$20,"Pub_injury_withchecks","6Other specified")/B47*1000000</f>
        <v>25.350008640425479</v>
      </c>
      <c r="C41" s="918">
        <f>GETPIVOTDATA("Sum of Male",T_15!$A$20,"Pub_injury_withchecks","6Other specified")/C47*1000000</f>
        <v>30.391578606129645</v>
      </c>
      <c r="D41" s="384">
        <f>(GETPIVOTDATA("Sum of Total_Nonfatal",T_15!$A$20,"Pub_injury_withchecks","6Other specified"))/D47*1000000</f>
        <v>27.991218441273325</v>
      </c>
      <c r="E41" s="1"/>
      <c r="K41" s="68"/>
    </row>
    <row r="42" spans="1:11" ht="13.5" customHeight="1" x14ac:dyDescent="0.2">
      <c r="A42" s="311" t="s">
        <v>552</v>
      </c>
      <c r="B42" s="918">
        <f>GETPIVOTDATA("Sum of Female",T_15!$A$20,"Pub_injury_withchecks","8Other/Not known")/B47*1000000</f>
        <v>21.779584888252877</v>
      </c>
      <c r="C42" s="918">
        <f>GETPIVOTDATA("Sum of Male",T_15!$A$20,"Pub_injury_withchecks","8Other/Not known")/C47*1000000</f>
        <v>28.140350561231152</v>
      </c>
      <c r="D42" s="384">
        <f>(GETPIVOTDATA("Sum of Total_Nonfatal",T_15!$A$20,"Pub_injury_withchecks","8Other/Not known"))/D47*1000000</f>
        <v>25.246981339187705</v>
      </c>
      <c r="E42" s="1"/>
      <c r="K42" s="68"/>
    </row>
    <row r="43" spans="1:11" x14ac:dyDescent="0.2">
      <c r="A43" s="138"/>
      <c r="B43" s="918"/>
      <c r="C43" s="918"/>
      <c r="D43" s="384"/>
      <c r="E43" s="1"/>
      <c r="K43" s="4"/>
    </row>
    <row r="44" spans="1:11" ht="30" customHeight="1" thickBot="1" x14ac:dyDescent="0.25">
      <c r="A44" s="908" t="s">
        <v>11</v>
      </c>
      <c r="B44" s="950">
        <f>GETPIVOTDATA("Sum of Female",T_15!$A$20)/B47*1000000</f>
        <v>150.67188234168384</v>
      </c>
      <c r="C44" s="950">
        <f>GETPIVOTDATA("Sum of Male",T_15!$A$20)/C47*1000000</f>
        <v>207.86338947896078</v>
      </c>
      <c r="D44" s="951">
        <f>GETPIVOTDATA("Sum of Total_Nonfatal",T_15!$A$20)/D47*1000000</f>
        <v>184.59568240029273</v>
      </c>
      <c r="E44" s="1"/>
      <c r="K44" s="128"/>
    </row>
    <row r="45" spans="1:11" ht="13.5" customHeight="1" x14ac:dyDescent="0.2">
      <c r="A45" s="177"/>
      <c r="B45" s="178"/>
      <c r="C45" s="178"/>
      <c r="D45" s="179"/>
      <c r="E45" s="1"/>
    </row>
    <row r="46" spans="1:11" ht="13.5" customHeight="1" x14ac:dyDescent="0.2">
      <c r="A46" s="177"/>
      <c r="B46" s="920" t="s">
        <v>158</v>
      </c>
      <c r="C46" s="920" t="s">
        <v>159</v>
      </c>
      <c r="D46" s="921" t="s">
        <v>11</v>
      </c>
      <c r="E46" s="1"/>
    </row>
    <row r="47" spans="1:11" ht="22.5" customHeight="1" thickBot="1" x14ac:dyDescent="0.25">
      <c r="A47" s="873" t="s">
        <v>255</v>
      </c>
      <c r="B47" s="947">
        <f>GETPIVOTDATA("Sum of Females",T_15!$A$20,"Pub_injury_withchecks","1Burns")</f>
        <v>2800788</v>
      </c>
      <c r="C47" s="947">
        <f>GETPIVOTDATA("Sum of Males",T_15!$A$20,"Pub_injury_withchecks","1Burns")</f>
        <v>2665212</v>
      </c>
      <c r="D47" s="947">
        <f>B47+C47</f>
        <v>5466000</v>
      </c>
      <c r="E47" s="1"/>
    </row>
    <row r="48" spans="1:11" ht="13.5" customHeight="1" x14ac:dyDescent="0.2">
      <c r="A48" s="177"/>
      <c r="B48" s="178"/>
      <c r="C48" s="178"/>
      <c r="D48" s="179"/>
      <c r="E48" s="1"/>
    </row>
    <row r="49" spans="1:12" ht="13.5" customHeight="1" x14ac:dyDescent="0.2">
      <c r="A49" s="5" t="s">
        <v>146</v>
      </c>
      <c r="B49" s="1"/>
      <c r="C49" s="1"/>
      <c r="D49" s="1"/>
      <c r="E49" s="1"/>
      <c r="F49" s="1"/>
      <c r="G49" s="1"/>
      <c r="H49" s="1"/>
      <c r="I49" s="1"/>
      <c r="J49" s="1"/>
      <c r="K49" s="1"/>
      <c r="L49" s="1"/>
    </row>
    <row r="50" spans="1:12" ht="30.75" customHeight="1" x14ac:dyDescent="0.25">
      <c r="A50" s="1410" t="s">
        <v>431</v>
      </c>
      <c r="B50" s="1410"/>
      <c r="C50" s="1410"/>
      <c r="D50" s="1410"/>
      <c r="E50" s="1410"/>
      <c r="F50" s="1410"/>
      <c r="G50" s="1410"/>
      <c r="H50" s="1410"/>
      <c r="I50" s="1"/>
      <c r="J50" s="1"/>
      <c r="K50" s="1"/>
      <c r="L50" s="1"/>
    </row>
    <row r="51" spans="1:12" ht="30" customHeight="1" x14ac:dyDescent="0.25">
      <c r="A51" s="1409" t="s">
        <v>559</v>
      </c>
      <c r="B51" s="1409"/>
      <c r="C51" s="1409"/>
      <c r="D51" s="1409"/>
      <c r="E51" s="1409"/>
      <c r="F51" s="1409"/>
      <c r="G51" s="1409"/>
      <c r="H51" s="1409"/>
      <c r="I51" s="278"/>
      <c r="J51" s="278"/>
      <c r="K51" s="278"/>
      <c r="L51" s="278"/>
    </row>
    <row r="52" spans="1:12" ht="17.25" customHeight="1" x14ac:dyDescent="0.25">
      <c r="A52" s="1398" t="s">
        <v>1234</v>
      </c>
      <c r="B52" s="1398"/>
      <c r="C52" s="1398"/>
      <c r="D52" s="1398"/>
      <c r="E52" s="1398"/>
      <c r="F52" s="1398"/>
      <c r="G52" s="1398"/>
      <c r="H52" s="1398"/>
      <c r="I52" s="1398"/>
      <c r="J52" s="1"/>
    </row>
    <row r="53" spans="1:12" ht="17.25" customHeight="1" x14ac:dyDescent="0.2">
      <c r="A53" s="106" t="s">
        <v>1093</v>
      </c>
    </row>
    <row r="54" spans="1:12" ht="15.75" customHeight="1" x14ac:dyDescent="0.2"/>
    <row r="55" spans="1:12" ht="15.75" customHeight="1" x14ac:dyDescent="0.2"/>
    <row r="56" spans="1:12" ht="15.75" customHeight="1" x14ac:dyDescent="0.2"/>
    <row r="57" spans="1:12" ht="23.25" customHeight="1" x14ac:dyDescent="0.2"/>
    <row r="58" spans="1:12" ht="13.5" customHeight="1" x14ac:dyDescent="0.2"/>
    <row r="59" spans="1:12" ht="12.75" customHeight="1" x14ac:dyDescent="0.2"/>
    <row r="60" spans="1:12" ht="18.75" customHeight="1" x14ac:dyDescent="0.2"/>
    <row r="61" spans="1:12" ht="13.5" customHeight="1" x14ac:dyDescent="0.2"/>
    <row r="62" spans="1:12" ht="13.5" customHeight="1" x14ac:dyDescent="0.2"/>
    <row r="63" spans="1:12" ht="13.5" customHeight="1" x14ac:dyDescent="0.2"/>
    <row r="64" spans="1:12" ht="13.5" customHeight="1" x14ac:dyDescent="0.2"/>
    <row r="65" ht="30" customHeight="1" x14ac:dyDescent="0.2"/>
    <row r="68" ht="22.5" customHeight="1" x14ac:dyDescent="0.2"/>
    <row r="69" ht="13.5" customHeight="1" x14ac:dyDescent="0.2"/>
  </sheetData>
  <sheetProtection algorithmName="SHA-512" hashValue="34uYX8VI/yIEEh9AQ2+Z8vQ0Shr8mC/W18WuHc9yTI9iIAaR/gRJSAtFhEcupsup7oTf0s0uI0fwSvx+6xIMlQ==" saltValue="Ii64q63DCxcvqYI5H2Z3lg==" spinCount="100000" sheet="1" scenarios="1" formatCells="0" formatColumns="0" formatRows="0" sort="0" autoFilter="0" pivotTables="0"/>
  <mergeCells count="7">
    <mergeCell ref="A52:I52"/>
    <mergeCell ref="A51:H51"/>
    <mergeCell ref="B8:D8"/>
    <mergeCell ref="B34:D34"/>
    <mergeCell ref="A23:H23"/>
    <mergeCell ref="A24:H24"/>
    <mergeCell ref="A50:H50"/>
  </mergeCells>
  <hyperlinks>
    <hyperlink ref="A2" location="'Table of Contents'!A1" display="Back to Table of Contents" xr:uid="{00000000-0004-0000-8000-000000000000}"/>
    <hyperlink ref="A53" r:id="rId1" xr:uid="{00000000-0004-0000-8000-000001000000}"/>
    <hyperlink ref="A26" r:id="rId2" xr:uid="{00000000-0004-0000-8000-000002000000}"/>
  </hyperlinks>
  <pageMargins left="0.7" right="0.7" top="0.75" bottom="0.75" header="0.3" footer="0.3"/>
  <pageSetup paperSize="9" scale="63" orientation="portrait" r:id="rId3"/>
  <drawing r:id="rId4"/>
  <extLst>
    <ext xmlns:x14="http://schemas.microsoft.com/office/spreadsheetml/2009/9/main" uri="{A8765BA9-456A-4dab-B4F3-ACF838C121DE}">
      <x14:slicerList>
        <x14:slicer r:id="rId5"/>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4F81BD"/>
  </sheetPr>
  <dimension ref="A1:H21"/>
  <sheetViews>
    <sheetView showGridLines="0" workbookViewId="0">
      <selection sqref="A1:C1"/>
    </sheetView>
  </sheetViews>
  <sheetFormatPr defaultColWidth="9.140625" defaultRowHeight="12.75" x14ac:dyDescent="0.2"/>
  <cols>
    <col min="1" max="1" width="16.28515625" customWidth="1"/>
  </cols>
  <sheetData>
    <row r="1" spans="1:8" ht="15.75" x14ac:dyDescent="0.2">
      <c r="A1" s="1271" t="s">
        <v>1251</v>
      </c>
      <c r="B1" s="1271"/>
      <c r="C1" s="1271"/>
    </row>
    <row r="2" spans="1:8" ht="15.75" x14ac:dyDescent="0.2">
      <c r="A2" s="106" t="s">
        <v>578</v>
      </c>
      <c r="B2" s="1031"/>
      <c r="C2" s="1031"/>
    </row>
    <row r="3" spans="1:8" ht="32.25" customHeight="1" x14ac:dyDescent="0.2">
      <c r="A3" s="1272" t="s">
        <v>1162</v>
      </c>
      <c r="B3" s="1272"/>
      <c r="C3" s="1272"/>
      <c r="D3" s="1272"/>
      <c r="E3" s="1272"/>
      <c r="F3" s="1272"/>
      <c r="G3" s="1272"/>
      <c r="H3" s="1272"/>
    </row>
    <row r="4" spans="1:8" ht="15" x14ac:dyDescent="0.25">
      <c r="A4" s="1032" t="s">
        <v>1246</v>
      </c>
    </row>
    <row r="5" spans="1:8" ht="15" x14ac:dyDescent="0.25">
      <c r="A5" s="1043" t="s">
        <v>1357</v>
      </c>
    </row>
    <row r="6" spans="1:8" ht="38.25" customHeight="1" x14ac:dyDescent="0.35">
      <c r="A6" s="230"/>
    </row>
    <row r="8" spans="1:8" x14ac:dyDescent="0.2">
      <c r="A8" s="106"/>
    </row>
    <row r="15" spans="1:8" x14ac:dyDescent="0.2">
      <c r="B15" s="241"/>
      <c r="C15" s="191"/>
      <c r="D15" s="191"/>
      <c r="E15" s="191"/>
    </row>
    <row r="16" spans="1:8" x14ac:dyDescent="0.2">
      <c r="B16" s="241"/>
      <c r="C16" s="191"/>
      <c r="D16" s="191"/>
      <c r="E16" s="191"/>
    </row>
    <row r="17" spans="2:5" x14ac:dyDescent="0.2">
      <c r="B17" s="241"/>
      <c r="C17" s="191"/>
      <c r="D17" s="191"/>
      <c r="E17" s="191"/>
    </row>
    <row r="18" spans="2:5" x14ac:dyDescent="0.2">
      <c r="B18" s="241"/>
      <c r="C18" s="191"/>
      <c r="D18" s="191"/>
      <c r="E18" s="191"/>
    </row>
    <row r="19" spans="2:5" x14ac:dyDescent="0.2">
      <c r="B19" s="241"/>
      <c r="C19" s="191"/>
      <c r="D19" s="191"/>
      <c r="E19" s="191"/>
    </row>
    <row r="20" spans="2:5" x14ac:dyDescent="0.2">
      <c r="B20" s="241"/>
      <c r="C20" s="191"/>
      <c r="D20" s="191"/>
      <c r="E20" s="191"/>
    </row>
    <row r="21" spans="2:5" x14ac:dyDescent="0.2">
      <c r="B21" s="241"/>
      <c r="C21" s="191"/>
      <c r="D21" s="191"/>
      <c r="E21" s="191"/>
    </row>
  </sheetData>
  <sheetProtection algorithmName="SHA-512" hashValue="IjGSuB1MOfXVjvL8kah5DBQ6FYJoE6Fa5s5rh//Oo7Doj70dosNkmGIMe2xIXgZnMepgDKvSGgTZTIpFMXNdDA==" saltValue="6EDd915+9W9s7gLyFyM4ww=="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C00-000000000000}"/>
  </hyperlink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BF8F00"/>
  </sheetPr>
  <dimension ref="A1:U40"/>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7.7109375" customWidth="1"/>
    <col min="12" max="12" width="11.42578125" customWidth="1"/>
    <col min="14" max="14" width="16" customWidth="1"/>
    <col min="15" max="15" width="18.85546875" customWidth="1"/>
    <col min="16" max="16" width="12.7109375" customWidth="1"/>
    <col min="17" max="17" width="12.5703125" customWidth="1"/>
    <col min="18" max="18" width="12.7109375" customWidth="1"/>
    <col min="19" max="19" width="10" customWidth="1"/>
    <col min="20" max="20" width="10.85546875" customWidth="1"/>
    <col min="28" max="28" width="10.140625" customWidth="1"/>
    <col min="30" max="30" width="17.42578125" customWidth="1"/>
  </cols>
  <sheetData>
    <row r="1" spans="1:21" ht="15.75" x14ac:dyDescent="0.2">
      <c r="A1" s="298" t="s">
        <v>1133</v>
      </c>
    </row>
    <row r="2" spans="1:21" ht="16.5" customHeight="1" x14ac:dyDescent="0.2">
      <c r="A2" s="106" t="s">
        <v>578</v>
      </c>
    </row>
    <row r="3" spans="1:21" ht="38.25" customHeight="1" x14ac:dyDescent="0.2">
      <c r="A3" s="237" t="s">
        <v>1058</v>
      </c>
      <c r="B3" s="237"/>
      <c r="C3" s="237"/>
      <c r="D3" s="237"/>
      <c r="E3" s="237"/>
      <c r="F3" s="237"/>
      <c r="G3" s="237"/>
      <c r="H3" s="237"/>
      <c r="I3" s="237"/>
      <c r="J3" s="237"/>
      <c r="K3" s="237"/>
      <c r="L3" s="237"/>
      <c r="M3" s="237"/>
      <c r="N3" s="237"/>
      <c r="O3" s="237"/>
      <c r="P3" s="237"/>
      <c r="Q3" s="237"/>
      <c r="R3" s="237"/>
      <c r="S3" s="237"/>
      <c r="T3" s="237"/>
      <c r="U3" s="120"/>
    </row>
    <row r="4" spans="1:21" ht="16.5" customHeight="1" x14ac:dyDescent="0.25">
      <c r="A4" s="351" t="s">
        <v>579</v>
      </c>
      <c r="B4" s="1043" t="s">
        <v>1376</v>
      </c>
      <c r="D4" s="237"/>
      <c r="E4" s="237"/>
      <c r="F4" s="120"/>
      <c r="G4" s="120"/>
      <c r="H4" s="120"/>
      <c r="I4" s="120"/>
      <c r="J4" s="120"/>
      <c r="K4" s="373"/>
      <c r="L4" s="373"/>
      <c r="M4" s="373"/>
      <c r="N4" s="373"/>
      <c r="O4" s="373"/>
      <c r="P4" s="373"/>
      <c r="Q4" s="373"/>
      <c r="R4" s="373"/>
      <c r="S4" s="373"/>
      <c r="T4" s="373"/>
      <c r="U4" s="120"/>
    </row>
    <row r="5" spans="1:21" ht="16.5" customHeight="1" x14ac:dyDescent="0.25">
      <c r="A5" s="351" t="s">
        <v>580</v>
      </c>
      <c r="B5" s="351" t="s">
        <v>581</v>
      </c>
      <c r="C5" s="351"/>
      <c r="D5" s="373"/>
      <c r="E5" s="373"/>
      <c r="F5" s="373"/>
      <c r="G5" s="373"/>
      <c r="H5" s="373"/>
      <c r="I5" s="373"/>
      <c r="J5" s="373"/>
      <c r="K5" s="373"/>
      <c r="L5" s="373"/>
      <c r="M5" s="373"/>
      <c r="N5" s="373"/>
      <c r="O5" s="373"/>
      <c r="P5" s="373"/>
      <c r="Q5" s="373"/>
      <c r="R5" s="373"/>
      <c r="S5" s="373"/>
      <c r="T5" s="373"/>
      <c r="U5" s="120"/>
    </row>
    <row r="6" spans="1:21" ht="16.5" customHeight="1" x14ac:dyDescent="0.25">
      <c r="A6" s="351" t="s">
        <v>582</v>
      </c>
      <c r="B6" s="351" t="s">
        <v>585</v>
      </c>
      <c r="C6" s="351"/>
      <c r="D6" s="373"/>
      <c r="E6" s="373"/>
      <c r="F6" s="373"/>
      <c r="G6" s="373"/>
      <c r="H6" s="373"/>
      <c r="I6" s="373"/>
      <c r="J6" s="373"/>
      <c r="K6" s="373"/>
      <c r="L6" s="373"/>
      <c r="M6" s="373"/>
      <c r="N6" s="373"/>
      <c r="O6" s="373"/>
      <c r="P6" s="373"/>
      <c r="Q6" s="373"/>
      <c r="R6" s="373"/>
      <c r="S6" s="373"/>
      <c r="T6" s="373"/>
      <c r="U6" s="120"/>
    </row>
    <row r="7" spans="1:21" ht="16.5" customHeight="1" x14ac:dyDescent="0.25">
      <c r="A7" s="351"/>
      <c r="B7" s="1412" t="s">
        <v>59</v>
      </c>
      <c r="C7" s="1412"/>
      <c r="D7" s="1412"/>
      <c r="E7" s="1412"/>
      <c r="F7" s="1412"/>
      <c r="G7" s="1412"/>
      <c r="H7" s="1412"/>
      <c r="I7" s="1412"/>
      <c r="J7" s="1412"/>
      <c r="K7" s="1412"/>
      <c r="L7" s="1412"/>
      <c r="M7" s="1412"/>
      <c r="N7" s="1412"/>
      <c r="O7" s="373"/>
      <c r="P7" s="373"/>
      <c r="Q7" s="373"/>
      <c r="R7" s="373"/>
      <c r="S7" s="373"/>
      <c r="T7" s="373"/>
      <c r="U7" s="120"/>
    </row>
    <row r="8" spans="1:21" ht="15" x14ac:dyDescent="0.25">
      <c r="A8" s="31"/>
      <c r="B8" s="31"/>
      <c r="C8" s="31"/>
      <c r="D8" s="31"/>
      <c r="E8" s="31"/>
      <c r="F8" s="31"/>
      <c r="G8" s="31"/>
      <c r="H8" s="31"/>
      <c r="I8" s="31"/>
      <c r="J8" s="31"/>
      <c r="K8" s="31"/>
      <c r="L8" s="31"/>
      <c r="M8" s="31"/>
      <c r="N8" s="31"/>
      <c r="O8" s="83"/>
      <c r="P8" s="31"/>
      <c r="Q8" s="31"/>
      <c r="R8" s="31"/>
      <c r="S8" s="31"/>
      <c r="U8" s="1"/>
    </row>
    <row r="9" spans="1:21" ht="13.5" customHeight="1" x14ac:dyDescent="0.2">
      <c r="A9" s="1317" t="s">
        <v>4</v>
      </c>
      <c r="B9" s="1282" t="s">
        <v>164</v>
      </c>
      <c r="C9" s="1282"/>
      <c r="D9" s="1298"/>
      <c r="E9" s="1298"/>
      <c r="F9" s="1298"/>
      <c r="G9" s="1298"/>
      <c r="H9" s="1298"/>
      <c r="I9" s="1298"/>
      <c r="J9" s="1298"/>
      <c r="K9" s="1298"/>
      <c r="L9" s="1298"/>
      <c r="M9" s="1298"/>
      <c r="N9" s="100" t="s">
        <v>163</v>
      </c>
      <c r="O9" s="194" t="s">
        <v>1097</v>
      </c>
      <c r="P9" s="2"/>
      <c r="Q9" s="2"/>
      <c r="R9" s="2"/>
      <c r="S9" s="31"/>
      <c r="U9" s="1"/>
    </row>
    <row r="10" spans="1:21" ht="25.5" x14ac:dyDescent="0.2">
      <c r="A10" s="1413"/>
      <c r="B10" s="338" t="s">
        <v>830</v>
      </c>
      <c r="C10" s="1145" t="s">
        <v>831</v>
      </c>
      <c r="D10" s="338" t="s">
        <v>176</v>
      </c>
      <c r="E10" s="1145" t="s">
        <v>832</v>
      </c>
      <c r="F10" s="338" t="s">
        <v>833</v>
      </c>
      <c r="G10" s="338" t="s">
        <v>834</v>
      </c>
      <c r="H10" s="338" t="s">
        <v>835</v>
      </c>
      <c r="I10" s="338" t="s">
        <v>836</v>
      </c>
      <c r="J10" s="338" t="s">
        <v>837</v>
      </c>
      <c r="K10" s="338" t="s">
        <v>838</v>
      </c>
      <c r="L10" s="338" t="s">
        <v>169</v>
      </c>
      <c r="M10" s="942" t="s">
        <v>11</v>
      </c>
      <c r="N10" s="613" t="s">
        <v>11</v>
      </c>
      <c r="O10" s="145" t="s">
        <v>11</v>
      </c>
      <c r="P10" s="1"/>
    </row>
    <row r="11" spans="1:21" ht="13.5" customHeight="1" x14ac:dyDescent="0.2">
      <c r="A11" s="29" t="str">
        <f>'T16'!B6</f>
        <v>2009-10</v>
      </c>
      <c r="B11" s="155">
        <f>T16_new!M5</f>
        <v>0</v>
      </c>
      <c r="C11" s="155">
        <f>T16_new!H5</f>
        <v>2</v>
      </c>
      <c r="D11" s="155">
        <f>T16_new!D5</f>
        <v>4</v>
      </c>
      <c r="E11" s="155">
        <f>T16_new!E5</f>
        <v>2</v>
      </c>
      <c r="F11" s="155">
        <f>T16_new!F5</f>
        <v>11</v>
      </c>
      <c r="G11" s="155">
        <f>T16_new!G5</f>
        <v>14</v>
      </c>
      <c r="H11" s="155">
        <f>T16_new!I5</f>
        <v>15</v>
      </c>
      <c r="I11" s="155">
        <f>T16_new!J5</f>
        <v>7</v>
      </c>
      <c r="J11" s="155">
        <f>T16_new!K5</f>
        <v>6</v>
      </c>
      <c r="K11" s="155">
        <f>T16_new!L5</f>
        <v>0</v>
      </c>
      <c r="L11" s="155">
        <f>T16_new!N5</f>
        <v>0</v>
      </c>
      <c r="M11" s="721">
        <f>T16_new!C5</f>
        <v>61</v>
      </c>
      <c r="N11" s="723">
        <v>1</v>
      </c>
      <c r="O11" s="379">
        <f t="shared" ref="O11:O18" si="0">N11+M11</f>
        <v>62</v>
      </c>
      <c r="P11" s="1"/>
    </row>
    <row r="12" spans="1:21" ht="13.5" customHeight="1" x14ac:dyDescent="0.2">
      <c r="A12" s="29" t="str">
        <f>'T16'!B7</f>
        <v>2010-11</v>
      </c>
      <c r="B12" s="155">
        <f>T16_new!M6</f>
        <v>0</v>
      </c>
      <c r="C12" s="155">
        <f>T16_new!H6</f>
        <v>0</v>
      </c>
      <c r="D12" s="155">
        <f>T16_new!D6</f>
        <v>6</v>
      </c>
      <c r="E12" s="155">
        <f>T16_new!E6</f>
        <v>6</v>
      </c>
      <c r="F12" s="155">
        <f>T16_new!F6</f>
        <v>8</v>
      </c>
      <c r="G12" s="155">
        <f>T16_new!G6</f>
        <v>9</v>
      </c>
      <c r="H12" s="155">
        <f>T16_new!I6</f>
        <v>5</v>
      </c>
      <c r="I12" s="155">
        <f>T16_new!J6</f>
        <v>12</v>
      </c>
      <c r="J12" s="155">
        <f>T16_new!K6</f>
        <v>5</v>
      </c>
      <c r="K12" s="155">
        <f>T16_new!L6</f>
        <v>1</v>
      </c>
      <c r="L12" s="155">
        <f>T16_new!N6</f>
        <v>0</v>
      </c>
      <c r="M12" s="721">
        <f>T16_new!C6</f>
        <v>52</v>
      </c>
      <c r="N12" s="144">
        <f>IFERROR(GETPIVOTDATA("Total_Fatal",T_1616a_old!$M$9,"Year",A12),0)</f>
        <v>0</v>
      </c>
      <c r="O12" s="377">
        <f t="shared" si="0"/>
        <v>52</v>
      </c>
      <c r="P12" s="1"/>
    </row>
    <row r="13" spans="1:21" ht="13.5" customHeight="1" x14ac:dyDescent="0.2">
      <c r="A13" s="29" t="str">
        <f>'T16'!B8</f>
        <v>2011-12</v>
      </c>
      <c r="B13" s="155">
        <f>T16_new!M7</f>
        <v>0</v>
      </c>
      <c r="C13" s="155">
        <f>T16_new!H7</f>
        <v>3</v>
      </c>
      <c r="D13" s="155">
        <f>T16_new!D7</f>
        <v>3</v>
      </c>
      <c r="E13" s="155">
        <f>T16_new!E7</f>
        <v>5</v>
      </c>
      <c r="F13" s="155">
        <f>T16_new!F7</f>
        <v>12</v>
      </c>
      <c r="G13" s="155">
        <f>T16_new!G7</f>
        <v>6</v>
      </c>
      <c r="H13" s="155">
        <f>T16_new!I7</f>
        <v>12</v>
      </c>
      <c r="I13" s="155">
        <f>T16_new!J7</f>
        <v>7</v>
      </c>
      <c r="J13" s="155">
        <f>T16_new!K7</f>
        <v>8</v>
      </c>
      <c r="K13" s="155">
        <f>T16_new!L7</f>
        <v>3</v>
      </c>
      <c r="L13" s="155">
        <f>T16_new!N7</f>
        <v>0</v>
      </c>
      <c r="M13" s="721">
        <f>T16_new!C7</f>
        <v>59</v>
      </c>
      <c r="N13" s="144">
        <f>IFERROR(GETPIVOTDATA("Total_Fatal",T_1616a_old!$M$9,"Year",A13),0)</f>
        <v>0</v>
      </c>
      <c r="O13" s="377">
        <f t="shared" si="0"/>
        <v>59</v>
      </c>
      <c r="P13" s="1"/>
    </row>
    <row r="14" spans="1:21" ht="13.5" customHeight="1" x14ac:dyDescent="0.2">
      <c r="A14" s="29" t="str">
        <f>'T16'!B9</f>
        <v>2012-13</v>
      </c>
      <c r="B14" s="155">
        <f>T16_new!M8</f>
        <v>0</v>
      </c>
      <c r="C14" s="155">
        <f>T16_new!H8</f>
        <v>0</v>
      </c>
      <c r="D14" s="155">
        <f>T16_new!D8</f>
        <v>1</v>
      </c>
      <c r="E14" s="155">
        <f>T16_new!E8</f>
        <v>4</v>
      </c>
      <c r="F14" s="155">
        <f>T16_new!F8</f>
        <v>9</v>
      </c>
      <c r="G14" s="155">
        <f>T16_new!G8</f>
        <v>6</v>
      </c>
      <c r="H14" s="155">
        <f>T16_new!I8</f>
        <v>5</v>
      </c>
      <c r="I14" s="155">
        <f>T16_new!J8</f>
        <v>9</v>
      </c>
      <c r="J14" s="155">
        <f>T16_new!K8</f>
        <v>9</v>
      </c>
      <c r="K14" s="155">
        <f>T16_new!L8</f>
        <v>3</v>
      </c>
      <c r="L14" s="155">
        <f>T16_new!N8</f>
        <v>0</v>
      </c>
      <c r="M14" s="721">
        <f>T16_new!C8</f>
        <v>46</v>
      </c>
      <c r="N14" s="144">
        <f>IFERROR(GETPIVOTDATA("Total_Fatal",T_1616a_old!$M$9,"Year",A14),0)</f>
        <v>0</v>
      </c>
      <c r="O14" s="377">
        <f t="shared" si="0"/>
        <v>46</v>
      </c>
      <c r="P14" s="1"/>
    </row>
    <row r="15" spans="1:21" ht="13.5" customHeight="1" x14ac:dyDescent="0.2">
      <c r="A15" s="29" t="str">
        <f>'T16'!B10</f>
        <v>2013-14</v>
      </c>
      <c r="B15" s="155">
        <f>T16_new!M9</f>
        <v>0</v>
      </c>
      <c r="C15" s="155">
        <f>T16_new!H9</f>
        <v>0</v>
      </c>
      <c r="D15" s="155">
        <f>T16_new!D9</f>
        <v>0</v>
      </c>
      <c r="E15" s="155">
        <f>T16_new!E9</f>
        <v>3</v>
      </c>
      <c r="F15" s="155">
        <f>T16_new!F9</f>
        <v>6</v>
      </c>
      <c r="G15" s="155">
        <f>T16_new!G9</f>
        <v>6</v>
      </c>
      <c r="H15" s="155">
        <f>T16_new!I9</f>
        <v>3</v>
      </c>
      <c r="I15" s="155">
        <f>T16_new!J9</f>
        <v>4</v>
      </c>
      <c r="J15" s="155">
        <f>T16_new!K9</f>
        <v>8</v>
      </c>
      <c r="K15" s="155">
        <f>T16_new!L9</f>
        <v>1</v>
      </c>
      <c r="L15" s="155">
        <f>T16_new!N9</f>
        <v>0</v>
      </c>
      <c r="M15" s="721">
        <f>T16_new!C9</f>
        <v>31</v>
      </c>
      <c r="N15" s="144">
        <f>IFERROR(GETPIVOTDATA("Total_Fatal",T_1616a_old!$M$9,"Year",A15),0)</f>
        <v>0</v>
      </c>
      <c r="O15" s="377">
        <f t="shared" si="0"/>
        <v>31</v>
      </c>
      <c r="P15" s="1"/>
    </row>
    <row r="16" spans="1:21" ht="13.5" customHeight="1" x14ac:dyDescent="0.2">
      <c r="A16" s="29" t="str">
        <f>'T16'!B11</f>
        <v>2014-15</v>
      </c>
      <c r="B16" s="155">
        <f>T16_new!M10</f>
        <v>0</v>
      </c>
      <c r="C16" s="155">
        <f>T16_new!H10</f>
        <v>1</v>
      </c>
      <c r="D16" s="155">
        <f>T16_new!D10</f>
        <v>2</v>
      </c>
      <c r="E16" s="155">
        <f>T16_new!E10</f>
        <v>5</v>
      </c>
      <c r="F16" s="155">
        <f>T16_new!F10</f>
        <v>4</v>
      </c>
      <c r="G16" s="155">
        <f>T16_new!G10</f>
        <v>5</v>
      </c>
      <c r="H16" s="155">
        <f>T16_new!I10</f>
        <v>5</v>
      </c>
      <c r="I16" s="155">
        <f>T16_new!J10</f>
        <v>7</v>
      </c>
      <c r="J16" s="155">
        <f>T16_new!K10</f>
        <v>7</v>
      </c>
      <c r="K16" s="155">
        <f>T16_new!L10</f>
        <v>4</v>
      </c>
      <c r="L16" s="155">
        <f>T16_new!N10</f>
        <v>0</v>
      </c>
      <c r="M16" s="721">
        <f>T16_new!C10</f>
        <v>40</v>
      </c>
      <c r="N16" s="144">
        <f>IFERROR(GETPIVOTDATA("Total_Fatal",T_1616a_old!$M$9,"Year",A16),0)</f>
        <v>0</v>
      </c>
      <c r="O16" s="377">
        <f t="shared" si="0"/>
        <v>40</v>
      </c>
      <c r="P16" s="1"/>
    </row>
    <row r="17" spans="1:21" x14ac:dyDescent="0.2">
      <c r="A17" s="29" t="str">
        <f>'T16'!B12</f>
        <v>2015-16</v>
      </c>
      <c r="B17" s="155">
        <f>T16_new!M11</f>
        <v>0</v>
      </c>
      <c r="C17" s="155">
        <f>T16_new!H11</f>
        <v>0</v>
      </c>
      <c r="D17" s="155">
        <f>T16_new!D11</f>
        <v>3</v>
      </c>
      <c r="E17" s="155">
        <f>T16_new!E11</f>
        <v>3</v>
      </c>
      <c r="F17" s="155">
        <f>T16_new!F11</f>
        <v>6</v>
      </c>
      <c r="G17" s="155">
        <f>T16_new!G11</f>
        <v>10</v>
      </c>
      <c r="H17" s="155">
        <f>T16_new!I11</f>
        <v>9</v>
      </c>
      <c r="I17" s="155">
        <f>T16_new!J11</f>
        <v>6</v>
      </c>
      <c r="J17" s="155">
        <f>T16_new!K11</f>
        <v>4</v>
      </c>
      <c r="K17" s="155">
        <f>T16_new!L11</f>
        <v>4</v>
      </c>
      <c r="L17" s="155">
        <f>T16_new!N11</f>
        <v>0</v>
      </c>
      <c r="M17" s="721">
        <f>T16_new!C11</f>
        <v>45</v>
      </c>
      <c r="N17" s="144">
        <f>IFERROR(GETPIVOTDATA("Total_Fatal",T_1616a_old!$M$9,"Year",A17),0)</f>
        <v>0</v>
      </c>
      <c r="O17" s="377">
        <f t="shared" si="0"/>
        <v>45</v>
      </c>
      <c r="P17" s="1"/>
    </row>
    <row r="18" spans="1:21" x14ac:dyDescent="0.2">
      <c r="A18" s="29" t="str">
        <f>'T16'!B13</f>
        <v>2016-17</v>
      </c>
      <c r="B18" s="155">
        <f>T16_new!M12</f>
        <v>0</v>
      </c>
      <c r="C18" s="155">
        <f>T16_new!H12</f>
        <v>0</v>
      </c>
      <c r="D18" s="155">
        <f>T16_new!D12</f>
        <v>4</v>
      </c>
      <c r="E18" s="155">
        <f>T16_new!E12</f>
        <v>4</v>
      </c>
      <c r="F18" s="155">
        <f>T16_new!F12</f>
        <v>10</v>
      </c>
      <c r="G18" s="155">
        <f>T16_new!G12</f>
        <v>8</v>
      </c>
      <c r="H18" s="155">
        <f>T16_new!I12</f>
        <v>8</v>
      </c>
      <c r="I18" s="155">
        <f>T16_new!J12</f>
        <v>3</v>
      </c>
      <c r="J18" s="155">
        <f>T16_new!K12</f>
        <v>6</v>
      </c>
      <c r="K18" s="155">
        <f>T16_new!L12</f>
        <v>1</v>
      </c>
      <c r="L18" s="155">
        <f>T16_new!N12</f>
        <v>0</v>
      </c>
      <c r="M18" s="721">
        <f>T16_new!C12</f>
        <v>44</v>
      </c>
      <c r="N18" s="144">
        <f>IFERROR(GETPIVOTDATA("Total_Fatal",T_1616a_old!$M$9,"Year",A18),0)</f>
        <v>0</v>
      </c>
      <c r="O18" s="377">
        <f t="shared" si="0"/>
        <v>44</v>
      </c>
      <c r="P18" s="1"/>
    </row>
    <row r="19" spans="1:21" x14ac:dyDescent="0.2">
      <c r="A19" s="29" t="str">
        <f>'T16'!B14</f>
        <v>2017-18</v>
      </c>
      <c r="B19" s="155">
        <f>T16_new!M13</f>
        <v>0</v>
      </c>
      <c r="C19" s="155">
        <f>T16_new!H13</f>
        <v>0</v>
      </c>
      <c r="D19" s="155">
        <f>T16_new!D13</f>
        <v>3</v>
      </c>
      <c r="E19" s="155">
        <f>T16_new!E13</f>
        <v>4</v>
      </c>
      <c r="F19" s="155">
        <f>T16_new!F13</f>
        <v>7</v>
      </c>
      <c r="G19" s="155">
        <f>T16_new!G13</f>
        <v>7</v>
      </c>
      <c r="H19" s="155">
        <f>T16_new!I13</f>
        <v>11</v>
      </c>
      <c r="I19" s="155">
        <f>T16_new!J13</f>
        <v>7</v>
      </c>
      <c r="J19" s="155">
        <f>T16_new!K13</f>
        <v>4</v>
      </c>
      <c r="K19" s="155">
        <f>T16_new!L13</f>
        <v>1</v>
      </c>
      <c r="L19" s="155">
        <f>T16_new!N13</f>
        <v>0</v>
      </c>
      <c r="M19" s="721">
        <f>T16_new!C13</f>
        <v>44</v>
      </c>
      <c r="N19" s="144">
        <f>IFERROR(GETPIVOTDATA("Total_Fatal",T_1616a_old!$M$9,"Year",A19),0)</f>
        <v>0</v>
      </c>
      <c r="O19" s="377">
        <f t="shared" ref="O19:O21" si="1">N19+M19</f>
        <v>44</v>
      </c>
      <c r="P19" s="1"/>
    </row>
    <row r="20" spans="1:21" x14ac:dyDescent="0.2">
      <c r="A20" s="29" t="str">
        <f>'T16'!B15</f>
        <v>2018-19</v>
      </c>
      <c r="B20" s="155">
        <f>T16_new!M14</f>
        <v>0</v>
      </c>
      <c r="C20" s="155">
        <f>T16_new!H14</f>
        <v>0</v>
      </c>
      <c r="D20" s="155">
        <f>T16_new!D14</f>
        <v>2</v>
      </c>
      <c r="E20" s="155">
        <f>T16_new!E14</f>
        <v>2</v>
      </c>
      <c r="F20" s="155">
        <f>T16_new!F14</f>
        <v>5</v>
      </c>
      <c r="G20" s="155">
        <f>T16_new!G14</f>
        <v>9</v>
      </c>
      <c r="H20" s="155">
        <f>T16_new!I14</f>
        <v>15</v>
      </c>
      <c r="I20" s="155">
        <f>T16_new!J14</f>
        <v>8</v>
      </c>
      <c r="J20" s="155">
        <f>T16_new!K14</f>
        <v>2</v>
      </c>
      <c r="K20" s="155">
        <f>T16_new!L14</f>
        <v>1</v>
      </c>
      <c r="L20" s="155">
        <f>T16_new!N14</f>
        <v>0</v>
      </c>
      <c r="M20" s="721">
        <f>T16_new!C14</f>
        <v>44</v>
      </c>
      <c r="N20" s="144">
        <f>IFERROR(GETPIVOTDATA("Total_Fatal",T_1616a_old!$M$9,"Year",A20),0)</f>
        <v>0</v>
      </c>
      <c r="O20" s="377">
        <f t="shared" si="1"/>
        <v>44</v>
      </c>
      <c r="P20" s="1"/>
    </row>
    <row r="21" spans="1:21" x14ac:dyDescent="0.2">
      <c r="A21" s="29" t="str">
        <f>'T16'!B16</f>
        <v>2019-20</v>
      </c>
      <c r="B21" s="155">
        <f>T16_new!M15</f>
        <v>0</v>
      </c>
      <c r="C21" s="155">
        <f>T16_new!H15</f>
        <v>0</v>
      </c>
      <c r="D21" s="155">
        <f>T16_new!D15</f>
        <v>0</v>
      </c>
      <c r="E21" s="155">
        <f>T16_new!E15</f>
        <v>2</v>
      </c>
      <c r="F21" s="155">
        <f>T16_new!F15</f>
        <v>3</v>
      </c>
      <c r="G21" s="155">
        <f>T16_new!G15</f>
        <v>8</v>
      </c>
      <c r="H21" s="155">
        <f>T16_new!I15</f>
        <v>4</v>
      </c>
      <c r="I21" s="155">
        <f>T16_new!J15</f>
        <v>5</v>
      </c>
      <c r="J21" s="155">
        <f>T16_new!K15</f>
        <v>5</v>
      </c>
      <c r="K21" s="155">
        <f>T16_new!L15</f>
        <v>0</v>
      </c>
      <c r="L21" s="155">
        <f>T16_new!N15</f>
        <v>0</v>
      </c>
      <c r="M21" s="721">
        <f>T16_new!C15</f>
        <v>27</v>
      </c>
      <c r="N21" s="144">
        <f>IFERROR(GETPIVOTDATA("Total_Fatal",T_1616a_old!$M$9,"Year",A21),0)</f>
        <v>0</v>
      </c>
      <c r="O21" s="1144">
        <f t="shared" si="1"/>
        <v>27</v>
      </c>
      <c r="P21" s="1"/>
      <c r="Q21" s="1"/>
      <c r="R21" s="1"/>
      <c r="S21" s="1"/>
      <c r="U21" s="1"/>
    </row>
    <row r="22" spans="1:21" ht="13.5" thickBot="1" x14ac:dyDescent="0.25">
      <c r="A22" s="380" t="str">
        <f>'T16'!B17</f>
        <v>2020-21</v>
      </c>
      <c r="B22" s="720">
        <f>T16_new!M16</f>
        <v>0</v>
      </c>
      <c r="C22" s="720">
        <f>T16_new!H16</f>
        <v>3</v>
      </c>
      <c r="D22" s="720">
        <f>T16_new!D16</f>
        <v>2</v>
      </c>
      <c r="E22" s="720">
        <f>T16_new!E16</f>
        <v>1</v>
      </c>
      <c r="F22" s="720">
        <f>T16_new!F16</f>
        <v>6</v>
      </c>
      <c r="G22" s="720">
        <f>T16_new!G16</f>
        <v>13</v>
      </c>
      <c r="H22" s="720">
        <f>T16_new!I16</f>
        <v>11</v>
      </c>
      <c r="I22" s="720">
        <f>T16_new!J16</f>
        <v>10</v>
      </c>
      <c r="J22" s="720">
        <f>T16_new!K16</f>
        <v>4</v>
      </c>
      <c r="K22" s="720">
        <f>T16_new!L16</f>
        <v>3</v>
      </c>
      <c r="L22" s="720">
        <f>T16_new!N16</f>
        <v>0</v>
      </c>
      <c r="M22" s="722">
        <f>T16_new!C16</f>
        <v>53</v>
      </c>
      <c r="N22" s="1143">
        <f>IFERROR(GETPIVOTDATA("Total_Fatal",T_1616a_old!$M$9,"Year",A22),0)</f>
        <v>0</v>
      </c>
      <c r="O22" s="382">
        <f t="shared" ref="O22" si="2">N22+M22</f>
        <v>53</v>
      </c>
      <c r="P22" s="1"/>
      <c r="Q22" s="1"/>
      <c r="R22" s="1"/>
      <c r="S22" s="1"/>
      <c r="U22" s="1"/>
    </row>
    <row r="23" spans="1:21" x14ac:dyDescent="0.2">
      <c r="A23" s="1"/>
      <c r="B23" s="1"/>
      <c r="C23" s="1"/>
      <c r="D23" s="1"/>
      <c r="E23" s="1"/>
      <c r="F23" s="1"/>
      <c r="G23" s="1"/>
      <c r="H23" s="1"/>
      <c r="I23" s="1"/>
      <c r="J23" s="1"/>
      <c r="K23" s="68"/>
      <c r="L23" s="1"/>
      <c r="M23" s="1"/>
      <c r="N23" s="1"/>
      <c r="O23" s="1"/>
      <c r="P23" s="1"/>
      <c r="Q23" s="1"/>
      <c r="R23" s="1"/>
      <c r="S23" s="1"/>
      <c r="U23" s="1"/>
    </row>
    <row r="24" spans="1:21" ht="15" x14ac:dyDescent="0.25">
      <c r="A24" s="1"/>
      <c r="B24" s="1385" t="s">
        <v>73</v>
      </c>
      <c r="C24" s="1385"/>
      <c r="D24" s="1385"/>
      <c r="E24" s="1385"/>
      <c r="F24" s="1385"/>
      <c r="G24" s="1385"/>
      <c r="H24" s="1385"/>
      <c r="I24" s="1385"/>
      <c r="J24" s="1385"/>
      <c r="K24" s="1385"/>
      <c r="L24" s="1385"/>
      <c r="M24" s="1385"/>
      <c r="N24" s="1385"/>
      <c r="O24" s="5"/>
      <c r="P24" s="5"/>
      <c r="Q24" s="5"/>
      <c r="R24" s="5"/>
      <c r="S24" s="1"/>
      <c r="U24" s="1"/>
    </row>
    <row r="25" spans="1:21" ht="15" x14ac:dyDescent="0.25">
      <c r="A25" s="1"/>
      <c r="B25" s="1"/>
      <c r="C25" s="1"/>
      <c r="D25" s="1"/>
      <c r="E25" s="1"/>
      <c r="F25" s="1"/>
      <c r="G25" s="1"/>
      <c r="H25" s="1"/>
      <c r="I25" s="1"/>
      <c r="J25" s="1"/>
      <c r="K25" s="1"/>
      <c r="L25" s="1"/>
      <c r="M25" s="1"/>
      <c r="N25" s="1"/>
      <c r="O25" s="80"/>
      <c r="P25" s="1"/>
      <c r="Q25" s="1"/>
      <c r="R25" s="1"/>
      <c r="S25" s="1"/>
      <c r="U25" s="1"/>
    </row>
    <row r="26" spans="1:21" x14ac:dyDescent="0.2">
      <c r="A26" s="1388" t="s">
        <v>4</v>
      </c>
      <c r="B26" s="1282" t="s">
        <v>164</v>
      </c>
      <c r="C26" s="1282"/>
      <c r="D26" s="1298"/>
      <c r="E26" s="1298"/>
      <c r="F26" s="1298"/>
      <c r="G26" s="1298"/>
      <c r="H26" s="1298"/>
      <c r="I26" s="1298"/>
      <c r="J26" s="1298"/>
      <c r="K26" s="1298"/>
      <c r="L26" s="1298"/>
      <c r="M26" s="1298"/>
      <c r="N26" s="2" t="s">
        <v>163</v>
      </c>
      <c r="O26" s="100" t="s">
        <v>1098</v>
      </c>
      <c r="S26" s="39"/>
      <c r="U26" s="1"/>
    </row>
    <row r="27" spans="1:21" ht="26.25" thickBot="1" x14ac:dyDescent="0.25">
      <c r="A27" s="1411"/>
      <c r="B27" s="1146" t="s">
        <v>830</v>
      </c>
      <c r="C27" s="1147" t="s">
        <v>831</v>
      </c>
      <c r="D27" s="1146" t="s">
        <v>176</v>
      </c>
      <c r="E27" s="1147" t="s">
        <v>832</v>
      </c>
      <c r="F27" s="1146" t="s">
        <v>833</v>
      </c>
      <c r="G27" s="1146" t="s">
        <v>834</v>
      </c>
      <c r="H27" s="1146" t="s">
        <v>835</v>
      </c>
      <c r="I27" s="1146" t="s">
        <v>836</v>
      </c>
      <c r="J27" s="1146" t="s">
        <v>837</v>
      </c>
      <c r="K27" s="1146" t="s">
        <v>838</v>
      </c>
      <c r="L27" s="1146" t="s">
        <v>169</v>
      </c>
      <c r="M27" s="1148" t="s">
        <v>11</v>
      </c>
      <c r="N27" s="1148" t="s">
        <v>11</v>
      </c>
      <c r="O27" s="1146" t="s">
        <v>11</v>
      </c>
      <c r="S27" s="39"/>
      <c r="U27" s="1"/>
    </row>
    <row r="28" spans="1:21" ht="18.75" customHeight="1" x14ac:dyDescent="0.2">
      <c r="A28" s="2" t="str">
        <f>T16a!B17</f>
        <v>2009-10</v>
      </c>
      <c r="B28" s="193">
        <f>T16a_new!D5</f>
        <v>39</v>
      </c>
      <c r="C28" s="193">
        <f>T16a_new!I5</f>
        <v>67</v>
      </c>
      <c r="D28" s="193">
        <f>T16a_new!E5</f>
        <v>238</v>
      </c>
      <c r="E28" s="193">
        <f>T16a_new!F5</f>
        <v>202</v>
      </c>
      <c r="F28" s="193">
        <f>T16a_new!G5</f>
        <v>206</v>
      </c>
      <c r="G28" s="193">
        <f>T16a_new!H5</f>
        <v>144</v>
      </c>
      <c r="H28" s="193">
        <f>T16a_new!J5</f>
        <v>119</v>
      </c>
      <c r="I28" s="193">
        <f>T16a_new!K5</f>
        <v>99</v>
      </c>
      <c r="J28" s="193">
        <f>T16a_new!L5</f>
        <v>66</v>
      </c>
      <c r="K28" s="193">
        <f>T16a_new!M5</f>
        <v>24</v>
      </c>
      <c r="L28" s="193">
        <f>T16a_new!N5</f>
        <v>1</v>
      </c>
      <c r="M28" s="353">
        <f>SUM(B28:L28)</f>
        <v>1205</v>
      </c>
      <c r="N28" s="1149">
        <f>GETPIVOTDATA("Total_Nonfatal",T_1616a_old!$M$27,"Year",A28)</f>
        <v>18</v>
      </c>
      <c r="O28" s="353">
        <f t="shared" ref="O28" si="3">N28+M28</f>
        <v>1223</v>
      </c>
      <c r="S28" s="191"/>
      <c r="U28" s="1"/>
    </row>
    <row r="29" spans="1:21" ht="13.5" customHeight="1" x14ac:dyDescent="0.2">
      <c r="A29" s="2" t="str">
        <f>T16a!B18</f>
        <v>2010-11</v>
      </c>
      <c r="B29" s="193">
        <f>T16a_new!D6</f>
        <v>32</v>
      </c>
      <c r="C29" s="193">
        <f>T16a_new!I6</f>
        <v>81</v>
      </c>
      <c r="D29" s="193">
        <f>T16a_new!E6</f>
        <v>283</v>
      </c>
      <c r="E29" s="193">
        <f>T16a_new!F6</f>
        <v>203</v>
      </c>
      <c r="F29" s="193">
        <f>T16a_new!G6</f>
        <v>212</v>
      </c>
      <c r="G29" s="193">
        <f>T16a_new!H6</f>
        <v>168</v>
      </c>
      <c r="H29" s="193">
        <f>T16a_new!J6</f>
        <v>116</v>
      </c>
      <c r="I29" s="193">
        <f>T16a_new!K6</f>
        <v>98</v>
      </c>
      <c r="J29" s="193">
        <f>T16a_new!L6</f>
        <v>81</v>
      </c>
      <c r="K29" s="193">
        <f>T16a_new!M6</f>
        <v>28</v>
      </c>
      <c r="L29" s="193">
        <f>T16a_new!N6</f>
        <v>2</v>
      </c>
      <c r="M29" s="353">
        <f t="shared" ref="M29:M39" si="4">SUM(B29:L29)</f>
        <v>1304</v>
      </c>
      <c r="N29" s="1150">
        <f>GETPIVOTDATA("Total_Nonfatal",T_1616a_old!$M$27,"Year",A29)</f>
        <v>28</v>
      </c>
      <c r="O29" s="353">
        <f t="shared" ref="O29:O39" si="5">N29+M29</f>
        <v>1332</v>
      </c>
      <c r="S29" s="191"/>
      <c r="U29" s="1"/>
    </row>
    <row r="30" spans="1:21" ht="13.5" customHeight="1" x14ac:dyDescent="0.2">
      <c r="A30" s="2" t="str">
        <f>T16a!B19</f>
        <v>2011-12</v>
      </c>
      <c r="B30" s="193">
        <f>T16a_new!D7</f>
        <v>43</v>
      </c>
      <c r="C30" s="193">
        <f>T16a_new!I7</f>
        <v>76</v>
      </c>
      <c r="D30" s="193">
        <f>T16a_new!E7</f>
        <v>268</v>
      </c>
      <c r="E30" s="193">
        <f>T16a_new!F7</f>
        <v>241</v>
      </c>
      <c r="F30" s="193">
        <f>T16a_new!G7</f>
        <v>225</v>
      </c>
      <c r="G30" s="193">
        <f>T16a_new!H7</f>
        <v>178</v>
      </c>
      <c r="H30" s="193">
        <f>T16a_new!J7</f>
        <v>129</v>
      </c>
      <c r="I30" s="193">
        <f>T16a_new!K7</f>
        <v>96</v>
      </c>
      <c r="J30" s="193">
        <f>T16a_new!L7</f>
        <v>93</v>
      </c>
      <c r="K30" s="193">
        <f>T16a_new!M7</f>
        <v>32</v>
      </c>
      <c r="L30" s="193">
        <f>T16a_new!N7</f>
        <v>5</v>
      </c>
      <c r="M30" s="353">
        <f t="shared" si="4"/>
        <v>1386</v>
      </c>
      <c r="N30" s="1150">
        <f>GETPIVOTDATA("Total_Nonfatal",T_1616a_old!$M$27,"Year",A30)</f>
        <v>28</v>
      </c>
      <c r="O30" s="353">
        <f t="shared" si="5"/>
        <v>1414</v>
      </c>
      <c r="S30" s="191"/>
      <c r="U30" s="1"/>
    </row>
    <row r="31" spans="1:21" ht="13.5" customHeight="1" x14ac:dyDescent="0.2">
      <c r="A31" s="2" t="str">
        <f>T16a!B20</f>
        <v>2012-13</v>
      </c>
      <c r="B31" s="193">
        <f>T16a_new!D8</f>
        <v>42</v>
      </c>
      <c r="C31" s="193">
        <f>T16a_new!I8</f>
        <v>47</v>
      </c>
      <c r="D31" s="193">
        <f>T16a_new!E8</f>
        <v>252</v>
      </c>
      <c r="E31" s="193">
        <f>T16a_new!F8</f>
        <v>159</v>
      </c>
      <c r="F31" s="193">
        <f>T16a_new!G8</f>
        <v>191</v>
      </c>
      <c r="G31" s="193">
        <f>T16a_new!H8</f>
        <v>164</v>
      </c>
      <c r="H31" s="193">
        <f>T16a_new!J8</f>
        <v>142</v>
      </c>
      <c r="I31" s="193">
        <f>T16a_new!K8</f>
        <v>129</v>
      </c>
      <c r="J31" s="193">
        <f>T16a_new!L8</f>
        <v>83</v>
      </c>
      <c r="K31" s="193">
        <f>T16a_new!M8</f>
        <v>35</v>
      </c>
      <c r="L31" s="193">
        <f>T16a_new!N8</f>
        <v>57</v>
      </c>
      <c r="M31" s="353">
        <f t="shared" si="4"/>
        <v>1301</v>
      </c>
      <c r="N31" s="1150">
        <f>GETPIVOTDATA("Total_Nonfatal",T_1616a_old!$M$27,"Year",A31)</f>
        <v>18</v>
      </c>
      <c r="O31" s="353">
        <f t="shared" si="5"/>
        <v>1319</v>
      </c>
      <c r="S31" s="191"/>
      <c r="U31" s="1"/>
    </row>
    <row r="32" spans="1:21" ht="13.5" customHeight="1" x14ac:dyDescent="0.2">
      <c r="A32" s="2" t="str">
        <f>T16a!B21</f>
        <v>2013-14</v>
      </c>
      <c r="B32" s="193">
        <f>T16a_new!D9</f>
        <v>30</v>
      </c>
      <c r="C32" s="193">
        <f>T16a_new!I9</f>
        <v>60</v>
      </c>
      <c r="D32" s="193">
        <f>T16a_new!E9</f>
        <v>227</v>
      </c>
      <c r="E32" s="193">
        <f>T16a_new!F9</f>
        <v>184</v>
      </c>
      <c r="F32" s="193">
        <f>T16a_new!G9</f>
        <v>219</v>
      </c>
      <c r="G32" s="193">
        <f>T16a_new!H9</f>
        <v>169</v>
      </c>
      <c r="H32" s="193">
        <f>T16a_new!J9</f>
        <v>132</v>
      </c>
      <c r="I32" s="193">
        <f>T16a_new!K9</f>
        <v>88</v>
      </c>
      <c r="J32" s="193">
        <f>T16a_new!L9</f>
        <v>97</v>
      </c>
      <c r="K32" s="193">
        <f>T16a_new!M9</f>
        <v>22</v>
      </c>
      <c r="L32" s="193">
        <f>T16a_new!N9</f>
        <v>67</v>
      </c>
      <c r="M32" s="353">
        <f t="shared" si="4"/>
        <v>1295</v>
      </c>
      <c r="N32" s="1150">
        <f>GETPIVOTDATA("Total_Nonfatal",T_1616a_old!$M$27,"Year",A32)</f>
        <v>15</v>
      </c>
      <c r="O32" s="353">
        <f t="shared" si="5"/>
        <v>1310</v>
      </c>
      <c r="S32" s="191"/>
      <c r="U32" s="1"/>
    </row>
    <row r="33" spans="1:21" ht="13.5" customHeight="1" x14ac:dyDescent="0.2">
      <c r="A33" s="2" t="str">
        <f>T16a!B22</f>
        <v>2014-15</v>
      </c>
      <c r="B33" s="193">
        <f>T16a_new!D10</f>
        <v>41</v>
      </c>
      <c r="C33" s="193">
        <f>T16a_new!I10</f>
        <v>47</v>
      </c>
      <c r="D33" s="193">
        <f>T16a_new!E10</f>
        <v>186</v>
      </c>
      <c r="E33" s="193">
        <f>T16a_new!F10</f>
        <v>149</v>
      </c>
      <c r="F33" s="193">
        <f>T16a_new!G10</f>
        <v>165</v>
      </c>
      <c r="G33" s="193">
        <f>T16a_new!H10</f>
        <v>118</v>
      </c>
      <c r="H33" s="193">
        <f>T16a_new!J10</f>
        <v>118</v>
      </c>
      <c r="I33" s="193">
        <f>T16a_new!K10</f>
        <v>88</v>
      </c>
      <c r="J33" s="193">
        <f>T16a_new!L10</f>
        <v>77</v>
      </c>
      <c r="K33" s="193">
        <f>T16a_new!M10</f>
        <v>31</v>
      </c>
      <c r="L33" s="193">
        <f>T16a_new!N10</f>
        <v>67</v>
      </c>
      <c r="M33" s="353">
        <f t="shared" si="4"/>
        <v>1087</v>
      </c>
      <c r="N33" s="1150">
        <f>GETPIVOTDATA("Total_Nonfatal",T_1616a_old!$M$27,"Year",A33)</f>
        <v>12</v>
      </c>
      <c r="O33" s="353">
        <f t="shared" si="5"/>
        <v>1099</v>
      </c>
      <c r="S33" s="191"/>
      <c r="U33" s="1"/>
    </row>
    <row r="34" spans="1:21" ht="13.5" customHeight="1" x14ac:dyDescent="0.2">
      <c r="A34" s="2" t="str">
        <f>T16a!B23</f>
        <v>2015-16</v>
      </c>
      <c r="B34" s="193">
        <f>T16a_new!D11</f>
        <v>31</v>
      </c>
      <c r="C34" s="193">
        <f>T16a_new!I11</f>
        <v>46</v>
      </c>
      <c r="D34" s="193">
        <f>T16a_new!E11</f>
        <v>204</v>
      </c>
      <c r="E34" s="193">
        <f>T16a_new!F11</f>
        <v>187</v>
      </c>
      <c r="F34" s="193">
        <f>T16a_new!G11</f>
        <v>176</v>
      </c>
      <c r="G34" s="193">
        <f>T16a_new!H11</f>
        <v>179</v>
      </c>
      <c r="H34" s="193">
        <f>T16a_new!J11</f>
        <v>139</v>
      </c>
      <c r="I34" s="193">
        <f>T16a_new!K11</f>
        <v>118</v>
      </c>
      <c r="J34" s="193">
        <f>T16a_new!L11</f>
        <v>95</v>
      </c>
      <c r="K34" s="193">
        <f>T16a_new!M11</f>
        <v>29</v>
      </c>
      <c r="L34" s="193">
        <f>T16a_new!N11</f>
        <v>62</v>
      </c>
      <c r="M34" s="353">
        <f t="shared" si="4"/>
        <v>1266</v>
      </c>
      <c r="N34" s="1150">
        <f>GETPIVOTDATA("Total_Nonfatal",T_1616a_old!$M$27,"Year",A34)</f>
        <v>10</v>
      </c>
      <c r="O34" s="353">
        <f t="shared" si="5"/>
        <v>1276</v>
      </c>
      <c r="S34" s="191"/>
      <c r="U34" s="1"/>
    </row>
    <row r="35" spans="1:21" ht="13.5" customHeight="1" x14ac:dyDescent="0.2">
      <c r="A35" s="2" t="str">
        <f>T16a!B24</f>
        <v>2016-17</v>
      </c>
      <c r="B35" s="193">
        <f>T16a_new!D12</f>
        <v>28</v>
      </c>
      <c r="C35" s="193">
        <f>T16a_new!I12</f>
        <v>50</v>
      </c>
      <c r="D35" s="193">
        <f>T16a_new!E12</f>
        <v>201</v>
      </c>
      <c r="E35" s="193">
        <f>T16a_new!F12</f>
        <v>205</v>
      </c>
      <c r="F35" s="193">
        <f>T16a_new!G12</f>
        <v>196</v>
      </c>
      <c r="G35" s="193">
        <f>T16a_new!H12</f>
        <v>173</v>
      </c>
      <c r="H35" s="193">
        <f>T16a_new!J12</f>
        <v>114</v>
      </c>
      <c r="I35" s="193">
        <f>T16a_new!K12</f>
        <v>92</v>
      </c>
      <c r="J35" s="193">
        <f>T16a_new!L12</f>
        <v>82</v>
      </c>
      <c r="K35" s="193">
        <f>T16a_new!M12</f>
        <v>46</v>
      </c>
      <c r="L35" s="193">
        <f>T16a_new!N12</f>
        <v>61</v>
      </c>
      <c r="M35" s="353">
        <f t="shared" si="4"/>
        <v>1248</v>
      </c>
      <c r="N35" s="1150">
        <f>GETPIVOTDATA("Total_Nonfatal",T_1616a_old!$M$27,"Year",A35)</f>
        <v>18</v>
      </c>
      <c r="O35" s="353">
        <f t="shared" si="5"/>
        <v>1266</v>
      </c>
      <c r="S35" s="191"/>
      <c r="U35" s="1"/>
    </row>
    <row r="36" spans="1:21" ht="13.5" customHeight="1" x14ac:dyDescent="0.2">
      <c r="A36" s="2" t="str">
        <f>T16a!B25</f>
        <v>2017-18</v>
      </c>
      <c r="B36" s="193">
        <f>T16a_new!D13</f>
        <v>35</v>
      </c>
      <c r="C36" s="193">
        <f>T16a_new!I13</f>
        <v>52</v>
      </c>
      <c r="D36" s="193">
        <f>T16a_new!E13</f>
        <v>183</v>
      </c>
      <c r="E36" s="193">
        <f>T16a_new!F13</f>
        <v>165</v>
      </c>
      <c r="F36" s="193">
        <f>T16a_new!G13</f>
        <v>161</v>
      </c>
      <c r="G36" s="193">
        <f>T16a_new!H13</f>
        <v>150</v>
      </c>
      <c r="H36" s="193">
        <f>T16a_new!J13</f>
        <v>93</v>
      </c>
      <c r="I36" s="193">
        <f>T16a_new!K13</f>
        <v>82</v>
      </c>
      <c r="J36" s="193">
        <f>T16a_new!L13</f>
        <v>78</v>
      </c>
      <c r="K36" s="193">
        <f>T16a_new!M13</f>
        <v>16</v>
      </c>
      <c r="L36" s="193">
        <f>T16a_new!N13</f>
        <v>73</v>
      </c>
      <c r="M36" s="353">
        <f t="shared" si="4"/>
        <v>1088</v>
      </c>
      <c r="N36" s="1150">
        <f>GETPIVOTDATA("Total_Nonfatal",T_1616a_old!$M$27,"Year",A36)</f>
        <v>28</v>
      </c>
      <c r="O36" s="353">
        <f t="shared" si="5"/>
        <v>1116</v>
      </c>
      <c r="S36" s="191"/>
      <c r="U36" s="1"/>
    </row>
    <row r="37" spans="1:21" ht="13.5" customHeight="1" x14ac:dyDescent="0.2">
      <c r="A37" s="2" t="str">
        <f>T16a!B26</f>
        <v>2018-19</v>
      </c>
      <c r="B37" s="193">
        <f>T16a_new!D14</f>
        <v>30</v>
      </c>
      <c r="C37" s="193">
        <f>T16a_new!I14</f>
        <v>53</v>
      </c>
      <c r="D37" s="193">
        <f>T16a_new!E14</f>
        <v>181</v>
      </c>
      <c r="E37" s="193">
        <f>T16a_new!F14</f>
        <v>181</v>
      </c>
      <c r="F37" s="193">
        <f>T16a_new!G14</f>
        <v>178</v>
      </c>
      <c r="G37" s="193">
        <f>T16a_new!H14</f>
        <v>156</v>
      </c>
      <c r="H37" s="193">
        <f>T16a_new!J14</f>
        <v>126</v>
      </c>
      <c r="I37" s="193">
        <f>T16a_new!K14</f>
        <v>73</v>
      </c>
      <c r="J37" s="193">
        <f>T16a_new!L14</f>
        <v>81</v>
      </c>
      <c r="K37" s="193">
        <f>T16a_new!M14</f>
        <v>23</v>
      </c>
      <c r="L37" s="193">
        <f>T16a_new!N14</f>
        <v>94</v>
      </c>
      <c r="M37" s="353">
        <f t="shared" si="4"/>
        <v>1176</v>
      </c>
      <c r="N37" s="1150">
        <f>GETPIVOTDATA("Total_Nonfatal",T_1616a_old!$M$27,"Year",A37)</f>
        <v>21</v>
      </c>
      <c r="O37" s="353">
        <f t="shared" si="5"/>
        <v>1197</v>
      </c>
      <c r="S37" s="191"/>
      <c r="U37" s="1"/>
    </row>
    <row r="38" spans="1:21" ht="13.5" customHeight="1" x14ac:dyDescent="0.2">
      <c r="A38" s="2" t="str">
        <f>T16a!B27</f>
        <v>2019-20</v>
      </c>
      <c r="B38" s="193">
        <f>T16a_new!D15</f>
        <v>31</v>
      </c>
      <c r="C38" s="193">
        <f>T16a_new!I15</f>
        <v>45</v>
      </c>
      <c r="D38" s="193">
        <f>T16a_new!E15</f>
        <v>133</v>
      </c>
      <c r="E38" s="193">
        <f>T16a_new!F15</f>
        <v>155</v>
      </c>
      <c r="F38" s="193">
        <f>T16a_new!G15</f>
        <v>157</v>
      </c>
      <c r="G38" s="193">
        <f>T16a_new!H15</f>
        <v>135</v>
      </c>
      <c r="H38" s="193">
        <f>T16a_new!J15</f>
        <v>91</v>
      </c>
      <c r="I38" s="193">
        <f>T16a_new!K15</f>
        <v>87</v>
      </c>
      <c r="J38" s="193">
        <f>T16a_new!L15</f>
        <v>65</v>
      </c>
      <c r="K38" s="193">
        <f>T16a_new!M15</f>
        <v>25</v>
      </c>
      <c r="L38" s="193">
        <f>T16a_new!N15</f>
        <v>90</v>
      </c>
      <c r="M38" s="353">
        <f t="shared" si="4"/>
        <v>1014</v>
      </c>
      <c r="N38" s="1150">
        <f>GETPIVOTDATA("Total_Nonfatal",T_1616a_old!$M$27,"Year",A38)</f>
        <v>13</v>
      </c>
      <c r="O38" s="353">
        <f t="shared" si="5"/>
        <v>1027</v>
      </c>
      <c r="S38" s="191"/>
      <c r="U38" s="1"/>
    </row>
    <row r="39" spans="1:21" ht="13.5" customHeight="1" thickBot="1" x14ac:dyDescent="0.25">
      <c r="A39" s="447" t="str">
        <f>T16a!B28</f>
        <v>2020-21</v>
      </c>
      <c r="B39" s="704">
        <f>T16a_new!D16</f>
        <v>15</v>
      </c>
      <c r="C39" s="704">
        <f>T16a_new!I16</f>
        <v>30</v>
      </c>
      <c r="D39" s="704">
        <f>T16a_new!E16</f>
        <v>126</v>
      </c>
      <c r="E39" s="704">
        <f>T16a_new!F16</f>
        <v>147</v>
      </c>
      <c r="F39" s="704">
        <f>T16a_new!G16</f>
        <v>170</v>
      </c>
      <c r="G39" s="704">
        <f>T16a_new!H16</f>
        <v>135</v>
      </c>
      <c r="H39" s="704">
        <f>T16a_new!J16</f>
        <v>87</v>
      </c>
      <c r="I39" s="704">
        <f>T16a_new!K16</f>
        <v>71</v>
      </c>
      <c r="J39" s="704">
        <f>T16a_new!L16</f>
        <v>68</v>
      </c>
      <c r="K39" s="704">
        <f>T16a_new!M16</f>
        <v>24</v>
      </c>
      <c r="L39" s="704">
        <f>T16a_new!N16</f>
        <v>136</v>
      </c>
      <c r="M39" s="716">
        <f t="shared" si="4"/>
        <v>1009</v>
      </c>
      <c r="N39" s="1151">
        <f>GETPIVOTDATA("Total_Nonfatal",T_1616a_old!$M$27,"Year",A39)</f>
        <v>8</v>
      </c>
      <c r="O39" s="712">
        <f t="shared" si="5"/>
        <v>1017</v>
      </c>
      <c r="S39" s="191"/>
      <c r="U39" s="1"/>
    </row>
    <row r="40" spans="1:21" x14ac:dyDescent="0.2">
      <c r="M40" s="353"/>
      <c r="N40" s="579"/>
    </row>
  </sheetData>
  <sheetProtection algorithmName="SHA-512" hashValue="WdwbGm6YzJbB73M+26Paf9/2Yb/6jjtt5W8sW7b+TgDZWeiE4WQi+8fxQtUziGHkorwCxzonMWrNDRD7gB+ouw==" saltValue="vv+su4KJ9mKOZZfMNS5F9Q==" spinCount="100000" sheet="1" scenarios="1" formatCells="0" formatColumns="0" formatRows="0" sort="0" autoFilter="0" pivotTables="0"/>
  <mergeCells count="6">
    <mergeCell ref="A26:A27"/>
    <mergeCell ref="B26:M26"/>
    <mergeCell ref="B7:N7"/>
    <mergeCell ref="A9:A10"/>
    <mergeCell ref="B9:M9"/>
    <mergeCell ref="B24:N24"/>
  </mergeCells>
  <hyperlinks>
    <hyperlink ref="A2" location="'Table of Contents'!A1" display="Back to Table of Contents"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rgb="FFBF8F00"/>
  </sheetPr>
  <dimension ref="A1:Y50"/>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8.5703125" customWidth="1"/>
    <col min="2" max="3" width="10.42578125" customWidth="1"/>
    <col min="4" max="6" width="11.140625" customWidth="1"/>
    <col min="7" max="11" width="10.140625" customWidth="1"/>
    <col min="12" max="12" width="10.7109375" customWidth="1"/>
    <col min="13" max="13" width="9" customWidth="1"/>
    <col min="14" max="14" width="10.7109375" customWidth="1"/>
    <col min="15" max="15" width="10.42578125" customWidth="1"/>
    <col min="16" max="16" width="11.42578125" customWidth="1"/>
    <col min="17" max="17" width="12.140625" customWidth="1"/>
    <col min="18" max="18" width="13.42578125" customWidth="1"/>
    <col min="19" max="19" width="10.5703125" customWidth="1"/>
    <col min="20" max="25" width="10.28515625" customWidth="1"/>
  </cols>
  <sheetData>
    <row r="1" spans="1:25" ht="15.75" x14ac:dyDescent="0.2">
      <c r="A1" s="298" t="s">
        <v>1133</v>
      </c>
    </row>
    <row r="2" spans="1:25" ht="15.75" customHeight="1" x14ac:dyDescent="0.2">
      <c r="A2" s="106" t="s">
        <v>578</v>
      </c>
    </row>
    <row r="3" spans="1:25" ht="38.25" customHeight="1" x14ac:dyDescent="0.2">
      <c r="A3" s="120" t="s">
        <v>1062</v>
      </c>
      <c r="B3" s="120"/>
      <c r="C3" s="120"/>
      <c r="D3" s="120"/>
      <c r="E3" s="120"/>
      <c r="F3" s="120"/>
      <c r="G3" s="120"/>
      <c r="H3" s="120"/>
      <c r="I3" s="120"/>
      <c r="J3" s="120"/>
      <c r="K3" s="120"/>
      <c r="L3" s="120"/>
      <c r="M3" s="120"/>
      <c r="N3" s="120"/>
      <c r="O3" s="120"/>
      <c r="P3" s="120"/>
      <c r="Q3" s="120"/>
      <c r="R3" s="120"/>
      <c r="S3" s="120"/>
    </row>
    <row r="4" spans="1:25" ht="15.75" customHeight="1" x14ac:dyDescent="0.25">
      <c r="A4" s="351" t="s">
        <v>579</v>
      </c>
      <c r="B4" s="1043" t="s">
        <v>1377</v>
      </c>
      <c r="D4" s="120"/>
      <c r="E4" s="120"/>
      <c r="F4" s="120"/>
      <c r="G4" s="120"/>
      <c r="H4" s="120"/>
      <c r="I4" s="120"/>
      <c r="J4" s="120"/>
      <c r="K4" s="120"/>
      <c r="L4" s="197"/>
      <c r="M4" s="197"/>
      <c r="N4" s="197"/>
      <c r="O4" s="197"/>
      <c r="P4" s="197"/>
      <c r="Q4" s="197"/>
      <c r="R4" s="197"/>
      <c r="S4" s="197"/>
    </row>
    <row r="5" spans="1:25" ht="15.75" customHeight="1" x14ac:dyDescent="0.25">
      <c r="A5" s="351" t="s">
        <v>580</v>
      </c>
      <c r="B5" s="351" t="s">
        <v>581</v>
      </c>
      <c r="C5" s="351"/>
      <c r="D5" s="197"/>
      <c r="E5" s="197"/>
      <c r="F5" s="197"/>
      <c r="G5" s="197"/>
      <c r="H5" s="197"/>
      <c r="I5" s="197"/>
      <c r="J5" s="197"/>
      <c r="K5" s="197"/>
      <c r="L5" s="197"/>
      <c r="M5" s="197"/>
      <c r="N5" s="197"/>
      <c r="O5" s="197"/>
      <c r="P5" s="197"/>
      <c r="Q5" s="197"/>
      <c r="R5" s="197"/>
      <c r="S5" s="197"/>
    </row>
    <row r="6" spans="1:25" ht="15.75" customHeight="1" x14ac:dyDescent="0.25">
      <c r="A6" s="351" t="s">
        <v>582</v>
      </c>
      <c r="B6" s="351" t="s">
        <v>585</v>
      </c>
      <c r="C6" s="351"/>
      <c r="D6" s="197"/>
      <c r="E6" s="197"/>
      <c r="F6" s="197"/>
      <c r="G6" s="197"/>
      <c r="H6" s="197"/>
      <c r="I6" s="197"/>
      <c r="J6" s="197"/>
      <c r="K6" s="197"/>
      <c r="L6" s="197"/>
      <c r="M6" s="197"/>
      <c r="N6" s="197"/>
      <c r="O6" s="197"/>
      <c r="P6" s="197"/>
      <c r="Q6" s="197"/>
      <c r="R6" s="197"/>
      <c r="S6" s="197"/>
    </row>
    <row r="7" spans="1:25" ht="15.75" customHeight="1" x14ac:dyDescent="0.25">
      <c r="A7" s="351"/>
      <c r="B7" s="351"/>
      <c r="C7" s="351"/>
      <c r="D7" s="197"/>
      <c r="E7" s="197"/>
      <c r="F7" s="197"/>
      <c r="G7" s="197"/>
      <c r="H7" s="197"/>
      <c r="I7" s="197"/>
      <c r="J7" s="197"/>
      <c r="K7" s="197"/>
      <c r="L7" s="197"/>
      <c r="M7" s="197"/>
      <c r="N7" s="197"/>
      <c r="O7" s="197"/>
      <c r="P7" s="197"/>
      <c r="Q7" s="197"/>
      <c r="R7" s="197"/>
      <c r="S7" s="197"/>
    </row>
    <row r="8" spans="1:25" ht="15.75" customHeight="1" x14ac:dyDescent="0.25">
      <c r="A8" s="351"/>
      <c r="B8" s="1415" t="s">
        <v>1063</v>
      </c>
      <c r="C8" s="1415"/>
      <c r="D8" s="1415"/>
      <c r="E8" s="1415"/>
      <c r="F8" s="1415"/>
      <c r="G8" s="1415"/>
      <c r="H8" s="1415"/>
      <c r="I8" s="1415"/>
      <c r="J8" s="1415"/>
      <c r="K8" s="1415"/>
      <c r="L8" s="735"/>
      <c r="M8" s="197"/>
      <c r="R8" s="1414" t="s">
        <v>179</v>
      </c>
      <c r="S8" s="1414"/>
      <c r="T8" s="1414"/>
      <c r="U8" s="1414"/>
    </row>
    <row r="9" spans="1:25" ht="15" x14ac:dyDescent="0.25">
      <c r="A9" s="1"/>
      <c r="B9" s="1"/>
      <c r="C9" s="1"/>
      <c r="D9" s="1"/>
      <c r="E9" s="1"/>
      <c r="F9" s="1"/>
      <c r="G9" s="1"/>
      <c r="H9" s="1"/>
      <c r="I9" s="1"/>
      <c r="J9" s="1"/>
      <c r="K9" s="1"/>
      <c r="L9" s="60" t="s">
        <v>57</v>
      </c>
      <c r="M9" s="1"/>
      <c r="N9" s="1"/>
      <c r="O9" s="1"/>
      <c r="P9" s="1"/>
      <c r="Q9" s="1"/>
      <c r="R9" s="1"/>
      <c r="S9" s="83"/>
    </row>
    <row r="10" spans="1:25" ht="20.25" customHeight="1" x14ac:dyDescent="0.2">
      <c r="A10" s="29"/>
      <c r="B10" s="77" t="s">
        <v>830</v>
      </c>
      <c r="C10" s="733" t="s">
        <v>831</v>
      </c>
      <c r="D10" s="77" t="s">
        <v>176</v>
      </c>
      <c r="E10" s="733" t="s">
        <v>832</v>
      </c>
      <c r="F10" s="77" t="s">
        <v>833</v>
      </c>
      <c r="G10" s="77" t="s">
        <v>834</v>
      </c>
      <c r="H10" s="77" t="s">
        <v>835</v>
      </c>
      <c r="I10" s="77" t="s">
        <v>836</v>
      </c>
      <c r="J10" s="77" t="s">
        <v>837</v>
      </c>
      <c r="K10" s="77" t="s">
        <v>838</v>
      </c>
      <c r="L10" s="77" t="s">
        <v>11</v>
      </c>
      <c r="M10" s="1"/>
      <c r="N10" s="734" t="s">
        <v>4</v>
      </c>
      <c r="O10" s="77" t="s">
        <v>830</v>
      </c>
      <c r="P10" s="733" t="s">
        <v>831</v>
      </c>
      <c r="Q10" s="77" t="s">
        <v>176</v>
      </c>
      <c r="R10" s="733" t="s">
        <v>832</v>
      </c>
      <c r="S10" s="77" t="s">
        <v>833</v>
      </c>
      <c r="T10" s="77" t="s">
        <v>834</v>
      </c>
      <c r="U10" s="77" t="s">
        <v>835</v>
      </c>
      <c r="V10" s="77" t="s">
        <v>836</v>
      </c>
      <c r="W10" s="77" t="s">
        <v>837</v>
      </c>
      <c r="X10" s="77" t="s">
        <v>838</v>
      </c>
      <c r="Y10" s="77" t="s">
        <v>11</v>
      </c>
    </row>
    <row r="11" spans="1:25" ht="13.5" customHeight="1" x14ac:dyDescent="0.2">
      <c r="A11" s="446" t="str">
        <f>'Casualty Age'!A11</f>
        <v>2009-10</v>
      </c>
      <c r="B11" s="724">
        <f>'Casualty Age'!B11/O11*1000000</f>
        <v>0</v>
      </c>
      <c r="C11" s="724">
        <f>'Casualty Age'!C11/P11*1000000</f>
        <v>2.2373466858183542</v>
      </c>
      <c r="D11" s="724">
        <f>'Casualty Age'!D11/Q11*1000000</f>
        <v>5.9972352745384372</v>
      </c>
      <c r="E11" s="724">
        <f>'Casualty Age'!E11/R11*1000000</f>
        <v>2.4825199563572991</v>
      </c>
      <c r="F11" s="724">
        <f>'Casualty Age'!F11/S11*1000000</f>
        <v>16.0074274463351</v>
      </c>
      <c r="G11" s="724">
        <f>'Casualty Age'!G11/T11*1000000</f>
        <v>20.091761947063947</v>
      </c>
      <c r="H11" s="724">
        <f>'Casualty Age'!H11/U11*1000000</f>
        <v>25.98216930327947</v>
      </c>
      <c r="I11" s="724">
        <f>'Casualty Age'!I11/V11*1000000</f>
        <v>17.746768820448334</v>
      </c>
      <c r="J11" s="724">
        <f>'Casualty Age'!J11/W11*1000000</f>
        <v>31.078743175625974</v>
      </c>
      <c r="K11" s="724">
        <f>'Casualty Age'!K11/X11*1000000</f>
        <v>0</v>
      </c>
      <c r="L11" s="171">
        <f>('Casualty Age'!M11)/Y11*1000000</f>
        <v>11.659244251610314</v>
      </c>
      <c r="M11" s="1"/>
      <c r="N11" s="731" t="str">
        <f>Tref!A58</f>
        <v>2009-10</v>
      </c>
      <c r="O11" s="344">
        <f>Tref!C58</f>
        <v>287506</v>
      </c>
      <c r="P11" s="344">
        <f>Tref!D58</f>
        <v>893916</v>
      </c>
      <c r="Q11" s="344">
        <f>Tref!E58</f>
        <v>666974</v>
      </c>
      <c r="R11" s="344">
        <f>Tref!F58</f>
        <v>805633</v>
      </c>
      <c r="S11" s="344">
        <f>Tref!G58</f>
        <v>687181</v>
      </c>
      <c r="T11" s="344">
        <f>Tref!H58</f>
        <v>696803</v>
      </c>
      <c r="U11" s="344">
        <f>Tref!I58</f>
        <v>577319</v>
      </c>
      <c r="V11" s="344">
        <f>Tref!J58</f>
        <v>394438</v>
      </c>
      <c r="W11" s="344">
        <f>Tref!K58</f>
        <v>193058</v>
      </c>
      <c r="X11" s="344">
        <f>Tref!L58</f>
        <v>29072</v>
      </c>
      <c r="Y11" s="714">
        <f>SUM(O11:X11)</f>
        <v>5231900</v>
      </c>
    </row>
    <row r="12" spans="1:25" ht="13.5" customHeight="1" x14ac:dyDescent="0.2">
      <c r="A12" s="2" t="str">
        <f>'Casualty Age'!A12</f>
        <v>2010-11</v>
      </c>
      <c r="B12" s="180">
        <f>'Casualty Age'!B12/O12*1000000</f>
        <v>0</v>
      </c>
      <c r="C12" s="180">
        <f>'Casualty Age'!C12/P12*1000000</f>
        <v>0</v>
      </c>
      <c r="D12" s="180">
        <f>'Casualty Age'!D12/Q12*1000000</f>
        <v>9.0575471256628983</v>
      </c>
      <c r="E12" s="180">
        <f>'Casualty Age'!E12/R12*1000000</f>
        <v>7.4516573727939983</v>
      </c>
      <c r="F12" s="180">
        <f>'Casualty Age'!F12/S12*1000000</f>
        <v>11.48807968132067</v>
      </c>
      <c r="G12" s="180">
        <f>'Casualty Age'!G12/T12*1000000</f>
        <v>13.040152077151335</v>
      </c>
      <c r="H12" s="180">
        <f>'Casualty Age'!H12/U12*1000000</f>
        <v>8.4991084435242747</v>
      </c>
      <c r="I12" s="180">
        <f>'Casualty Age'!I12/V12*1000000</f>
        <v>30.136215694941132</v>
      </c>
      <c r="J12" s="180">
        <f>'Casualty Age'!J12/W12*1000000</f>
        <v>25.691486355251595</v>
      </c>
      <c r="K12" s="180">
        <f>'Casualty Age'!K12/X12*1000000</f>
        <v>30.835646006783847</v>
      </c>
      <c r="L12" s="88">
        <f>('Casualty Age'!M12)/Y12*1000000</f>
        <v>9.8817984873246925</v>
      </c>
      <c r="M12" s="1"/>
      <c r="N12" s="102" t="str">
        <f>Tref!A59</f>
        <v>2010-11</v>
      </c>
      <c r="O12" s="310">
        <f>Tref!C59</f>
        <v>290920</v>
      </c>
      <c r="P12" s="310">
        <f>Tref!D59</f>
        <v>903573</v>
      </c>
      <c r="Q12" s="310">
        <f>Tref!E59</f>
        <v>662431</v>
      </c>
      <c r="R12" s="310">
        <f>Tref!F59</f>
        <v>805190</v>
      </c>
      <c r="S12" s="310">
        <f>Tref!G59</f>
        <v>696374</v>
      </c>
      <c r="T12" s="310">
        <f>Tref!H59</f>
        <v>690176</v>
      </c>
      <c r="U12" s="310">
        <f>Tref!I59</f>
        <v>588297</v>
      </c>
      <c r="V12" s="310">
        <f>Tref!J59</f>
        <v>398192</v>
      </c>
      <c r="W12" s="310">
        <f>Tref!K59</f>
        <v>194617</v>
      </c>
      <c r="X12" s="310">
        <f>Tref!L59</f>
        <v>32430</v>
      </c>
      <c r="Y12" s="715">
        <f t="shared" ref="Y12:Y18" si="0">SUM(O12:X12)</f>
        <v>5262200</v>
      </c>
    </row>
    <row r="13" spans="1:25" ht="13.5" customHeight="1" x14ac:dyDescent="0.2">
      <c r="A13" s="2" t="str">
        <f>'Casualty Age'!A13</f>
        <v>2011-12</v>
      </c>
      <c r="B13" s="180">
        <f>'Casualty Age'!B13/O13*1000000</f>
        <v>0</v>
      </c>
      <c r="C13" s="180">
        <f>'Casualty Age'!C13/P13*1000000</f>
        <v>3.2771233847878118</v>
      </c>
      <c r="D13" s="180">
        <f>'Casualty Age'!D13/Q13*1000000</f>
        <v>4.5462329156355556</v>
      </c>
      <c r="E13" s="180">
        <f>'Casualty Age'!E13/R13*1000000</f>
        <v>6.215558039016301</v>
      </c>
      <c r="F13" s="180">
        <f>'Casualty Age'!F13/S13*1000000</f>
        <v>16.919495629835275</v>
      </c>
      <c r="G13" s="180">
        <f>'Casualty Age'!G13/T13*1000000</f>
        <v>8.7656631443310271</v>
      </c>
      <c r="H13" s="180">
        <f>'Casualty Age'!H13/U13*1000000</f>
        <v>19.970842569848021</v>
      </c>
      <c r="I13" s="180">
        <f>'Casualty Age'!I13/V13*1000000</f>
        <v>17.521419935871602</v>
      </c>
      <c r="J13" s="180">
        <f>'Casualty Age'!J13/W13*1000000</f>
        <v>40.553350467123906</v>
      </c>
      <c r="K13" s="180">
        <f>'Casualty Age'!K13/X13*1000000</f>
        <v>85.302396997355615</v>
      </c>
      <c r="L13" s="88">
        <f>('Casualty Age'!M13)/Y13*1000000</f>
        <v>11.132285514821033</v>
      </c>
      <c r="M13" s="1"/>
      <c r="N13" s="102" t="str">
        <f>Tref!A60</f>
        <v>2011-12</v>
      </c>
      <c r="O13" s="310">
        <f>Tref!C60</f>
        <v>293586</v>
      </c>
      <c r="P13" s="310">
        <f>Tref!D60</f>
        <v>915437</v>
      </c>
      <c r="Q13" s="310">
        <f>Tref!E60</f>
        <v>659887</v>
      </c>
      <c r="R13" s="310">
        <f>Tref!F60</f>
        <v>804433</v>
      </c>
      <c r="S13" s="310">
        <f>Tref!G60</f>
        <v>709241</v>
      </c>
      <c r="T13" s="310">
        <f>Tref!H60</f>
        <v>684489</v>
      </c>
      <c r="U13" s="310">
        <f>Tref!I60</f>
        <v>600876</v>
      </c>
      <c r="V13" s="310">
        <f>Tref!J60</f>
        <v>399511</v>
      </c>
      <c r="W13" s="310">
        <f>Tref!K60</f>
        <v>197271</v>
      </c>
      <c r="X13" s="310">
        <f>Tref!L60</f>
        <v>35169</v>
      </c>
      <c r="Y13" s="715">
        <f t="shared" si="0"/>
        <v>5299900</v>
      </c>
    </row>
    <row r="14" spans="1:25" ht="13.5" customHeight="1" x14ac:dyDescent="0.2">
      <c r="A14" s="2" t="str">
        <f>'Casualty Age'!A14</f>
        <v>2012-13</v>
      </c>
      <c r="B14" s="180">
        <f>'Casualty Age'!B14/O14*1000000</f>
        <v>0</v>
      </c>
      <c r="C14" s="180">
        <f>'Casualty Age'!C14/P14*1000000</f>
        <v>0</v>
      </c>
      <c r="D14" s="180">
        <f>'Casualty Age'!D14/Q14*1000000</f>
        <v>1.5268900608618379</v>
      </c>
      <c r="E14" s="180">
        <f>'Casualty Age'!E14/R14*1000000</f>
        <v>5.0267864885005977</v>
      </c>
      <c r="F14" s="180">
        <f>'Casualty Age'!F14/S14*1000000</f>
        <v>12.430887717316088</v>
      </c>
      <c r="G14" s="180">
        <f>'Casualty Age'!G14/T14*1000000</f>
        <v>8.8200921699631767</v>
      </c>
      <c r="H14" s="180">
        <f>'Casualty Age'!H14/U14*1000000</f>
        <v>8.2187097283223309</v>
      </c>
      <c r="I14" s="180">
        <f>'Casualty Age'!I14/V14*1000000</f>
        <v>22.380154273863461</v>
      </c>
      <c r="J14" s="180">
        <f>'Casualty Age'!J14/W14*1000000</f>
        <v>44.787483391308243</v>
      </c>
      <c r="K14" s="180">
        <f>'Casualty Age'!K14/X14*1000000</f>
        <v>81.289798130334631</v>
      </c>
      <c r="L14" s="88">
        <f>('Casualty Age'!M14)/Y14*1000000</f>
        <v>8.6570310147545921</v>
      </c>
      <c r="M14" s="1"/>
      <c r="N14" s="102" t="str">
        <f>Tref!A61</f>
        <v>2012-13</v>
      </c>
      <c r="O14" s="310">
        <f>Tref!C61</f>
        <v>295790</v>
      </c>
      <c r="P14" s="310">
        <f>Tref!D61</f>
        <v>914515</v>
      </c>
      <c r="Q14" s="310">
        <f>Tref!E61</f>
        <v>654926</v>
      </c>
      <c r="R14" s="310">
        <f>Tref!F61</f>
        <v>795737</v>
      </c>
      <c r="S14" s="310">
        <f>Tref!G61</f>
        <v>724003</v>
      </c>
      <c r="T14" s="310">
        <f>Tref!H61</f>
        <v>680265</v>
      </c>
      <c r="U14" s="310">
        <f>Tref!I61</f>
        <v>608368</v>
      </c>
      <c r="V14" s="310">
        <f>Tref!J61</f>
        <v>402142</v>
      </c>
      <c r="W14" s="310">
        <f>Tref!K61</f>
        <v>200949</v>
      </c>
      <c r="X14" s="310">
        <f>Tref!L61</f>
        <v>36905</v>
      </c>
      <c r="Y14" s="715">
        <f t="shared" si="0"/>
        <v>5313600</v>
      </c>
    </row>
    <row r="15" spans="1:25" ht="13.5" customHeight="1" x14ac:dyDescent="0.2">
      <c r="A15" s="2" t="str">
        <f>'Casualty Age'!A15</f>
        <v>2013-14</v>
      </c>
      <c r="B15" s="180">
        <f>'Casualty Age'!B15/O15*1000000</f>
        <v>0</v>
      </c>
      <c r="C15" s="180">
        <f>'Casualty Age'!C15/P15*1000000</f>
        <v>0</v>
      </c>
      <c r="D15" s="180">
        <f>'Casualty Age'!D15/Q15*1000000</f>
        <v>0</v>
      </c>
      <c r="E15" s="180">
        <f>'Casualty Age'!E15/R15*1000000</f>
        <v>3.8358609525977085</v>
      </c>
      <c r="F15" s="180">
        <f>'Casualty Age'!F15/S15*1000000</f>
        <v>8.1206402312758339</v>
      </c>
      <c r="G15" s="180">
        <f>'Casualty Age'!G15/T15*1000000</f>
        <v>8.8326608243522333</v>
      </c>
      <c r="H15" s="180">
        <f>'Casualty Age'!H15/U15*1000000</f>
        <v>4.8805009346159292</v>
      </c>
      <c r="I15" s="180">
        <f>'Casualty Age'!I15/V15*1000000</f>
        <v>9.7928086509671619</v>
      </c>
      <c r="J15" s="180">
        <f>'Casualty Age'!J15/W15*1000000</f>
        <v>39.338522740124802</v>
      </c>
      <c r="K15" s="180">
        <f>'Casualty Age'!K15/X15*1000000</f>
        <v>26.532236667551075</v>
      </c>
      <c r="L15" s="88">
        <f>('Casualty Age'!M15)/Y15*1000000</f>
        <v>5.8186459447791732</v>
      </c>
      <c r="M15" s="1"/>
      <c r="N15" s="102" t="str">
        <f>Tref!A62</f>
        <v>2013-14</v>
      </c>
      <c r="O15" s="310">
        <f>Tref!C62</f>
        <v>294043</v>
      </c>
      <c r="P15" s="310">
        <f>Tref!D62</f>
        <v>914383</v>
      </c>
      <c r="Q15" s="310">
        <f>Tref!E62</f>
        <v>654819</v>
      </c>
      <c r="R15" s="310">
        <f>Tref!F62</f>
        <v>782093</v>
      </c>
      <c r="S15" s="310">
        <f>Tref!G62</f>
        <v>738858</v>
      </c>
      <c r="T15" s="310">
        <f>Tref!H62</f>
        <v>679297</v>
      </c>
      <c r="U15" s="310">
        <f>Tref!I62</f>
        <v>614691</v>
      </c>
      <c r="V15" s="310">
        <f>Tref!J62</f>
        <v>408463</v>
      </c>
      <c r="W15" s="310">
        <f>Tref!K62</f>
        <v>203363</v>
      </c>
      <c r="X15" s="310">
        <f>Tref!L62</f>
        <v>37690</v>
      </c>
      <c r="Y15" s="715">
        <f t="shared" si="0"/>
        <v>5327700</v>
      </c>
    </row>
    <row r="16" spans="1:25" ht="13.5" customHeight="1" x14ac:dyDescent="0.2">
      <c r="A16" s="2" t="str">
        <f>'Casualty Age'!A16</f>
        <v>2014-15</v>
      </c>
      <c r="B16" s="180">
        <f>'Casualty Age'!B16/O16*1000000</f>
        <v>0</v>
      </c>
      <c r="C16" s="180">
        <f>'Casualty Age'!C16/P16*1000000</f>
        <v>1.0917364286244557</v>
      </c>
      <c r="D16" s="180">
        <f>'Casualty Age'!D16/Q16*1000000</f>
        <v>3.0365647949787364</v>
      </c>
      <c r="E16" s="180">
        <f>'Casualty Age'!E16/R16*1000000</f>
        <v>6.5396577927870192</v>
      </c>
      <c r="F16" s="180">
        <f>'Casualty Age'!F16/S16*1000000</f>
        <v>5.3100540563502934</v>
      </c>
      <c r="G16" s="180">
        <f>'Casualty Age'!G16/T16*1000000</f>
        <v>7.363575045138715</v>
      </c>
      <c r="H16" s="180">
        <f>'Casualty Age'!H16/U16*1000000</f>
        <v>8.0465152956209245</v>
      </c>
      <c r="I16" s="180">
        <f>'Casualty Age'!I16/V16*1000000</f>
        <v>16.824941292972703</v>
      </c>
      <c r="J16" s="180">
        <f>'Casualty Age'!J16/W16*1000000</f>
        <v>33.772048322976566</v>
      </c>
      <c r="K16" s="180">
        <f>'Casualty Age'!K16/X16*1000000</f>
        <v>101.13268608414241</v>
      </c>
      <c r="L16" s="88">
        <f>('Casualty Age'!M16)/Y16*1000000</f>
        <v>7.4799910240107712</v>
      </c>
      <c r="N16" s="102" t="str">
        <f>Tref!A63</f>
        <v>2014-15</v>
      </c>
      <c r="O16" s="310">
        <f>Tref!C63</f>
        <v>291857</v>
      </c>
      <c r="P16" s="310">
        <f>Tref!D63</f>
        <v>915972</v>
      </c>
      <c r="Q16" s="310">
        <f>Tref!E63</f>
        <v>658639</v>
      </c>
      <c r="R16" s="310">
        <f>Tref!F63</f>
        <v>764566</v>
      </c>
      <c r="S16" s="310">
        <f>Tref!G63</f>
        <v>753288</v>
      </c>
      <c r="T16" s="310">
        <f>Tref!H63</f>
        <v>679018</v>
      </c>
      <c r="U16" s="310">
        <f>Tref!I63</f>
        <v>621387</v>
      </c>
      <c r="V16" s="310">
        <f>Tref!J63</f>
        <v>416049</v>
      </c>
      <c r="W16" s="310">
        <f>Tref!K63</f>
        <v>207272</v>
      </c>
      <c r="X16" s="310">
        <f>Tref!L63</f>
        <v>39552</v>
      </c>
      <c r="Y16" s="715">
        <f t="shared" si="0"/>
        <v>5347600</v>
      </c>
    </row>
    <row r="17" spans="1:25" ht="13.5" customHeight="1" x14ac:dyDescent="0.2">
      <c r="A17" s="2" t="str">
        <f>'Casualty Age'!A17</f>
        <v>2015-16</v>
      </c>
      <c r="B17" s="180">
        <f>'Casualty Age'!B17/O17*1000000</f>
        <v>0</v>
      </c>
      <c r="C17" s="180">
        <f>'Casualty Age'!C17/P17*1000000</f>
        <v>0</v>
      </c>
      <c r="D17" s="180">
        <f>'Casualty Age'!D17/Q17*1000000</f>
        <v>4.4907692238603554</v>
      </c>
      <c r="E17" s="180">
        <f>'Casualty Age'!E17/R17*1000000</f>
        <v>4.0233731155526176</v>
      </c>
      <c r="F17" s="180">
        <f>'Casualty Age'!F17/S17*1000000</f>
        <v>7.8113506736639016</v>
      </c>
      <c r="G17" s="180">
        <f>'Casualty Age'!G17/T17*1000000</f>
        <v>14.709170285122557</v>
      </c>
      <c r="H17" s="180">
        <f>'Casualty Age'!H17/U17*1000000</f>
        <v>14.286780124866459</v>
      </c>
      <c r="I17" s="180">
        <f>'Casualty Age'!I17/V17*1000000</f>
        <v>14.289286607366128</v>
      </c>
      <c r="J17" s="180">
        <f>'Casualty Age'!J17/W17*1000000</f>
        <v>19.01565463768047</v>
      </c>
      <c r="K17" s="180">
        <f>'Casualty Age'!K17/X17*1000000</f>
        <v>100.51514009297651</v>
      </c>
      <c r="L17" s="88">
        <f>('Casualty Age'!M17)/Y17*1000000</f>
        <v>8.3752093802345069</v>
      </c>
      <c r="M17" s="1"/>
      <c r="N17" s="102" t="str">
        <f>Tref!A64</f>
        <v>2015-16</v>
      </c>
      <c r="O17" s="310">
        <f>Tref!C64</f>
        <v>291174</v>
      </c>
      <c r="P17" s="310">
        <f>Tref!D64</f>
        <v>920189</v>
      </c>
      <c r="Q17" s="310">
        <f>Tref!E64</f>
        <v>668037</v>
      </c>
      <c r="R17" s="310">
        <f>Tref!F64</f>
        <v>745643</v>
      </c>
      <c r="S17" s="310">
        <f>Tref!G64</f>
        <v>768113</v>
      </c>
      <c r="T17" s="310">
        <f>Tref!H64</f>
        <v>679848</v>
      </c>
      <c r="U17" s="310">
        <f>Tref!I64</f>
        <v>629953</v>
      </c>
      <c r="V17" s="310">
        <f>Tref!J64</f>
        <v>419895</v>
      </c>
      <c r="W17" s="310">
        <f>Tref!K64</f>
        <v>210353</v>
      </c>
      <c r="X17" s="310">
        <f>Tref!L64</f>
        <v>39795</v>
      </c>
      <c r="Y17" s="715">
        <f t="shared" si="0"/>
        <v>5373000</v>
      </c>
    </row>
    <row r="18" spans="1:25" ht="13.5" customHeight="1" x14ac:dyDescent="0.2">
      <c r="A18" s="2" t="str">
        <f>'Casualty Age'!A18</f>
        <v>2016-17</v>
      </c>
      <c r="B18" s="180">
        <f>'Casualty Age'!B18/O18*1000000</f>
        <v>0</v>
      </c>
      <c r="C18" s="180">
        <f>'Casualty Age'!C18/P18*1000000</f>
        <v>0</v>
      </c>
      <c r="D18" s="180">
        <f>'Casualty Age'!D18/Q18*1000000</f>
        <v>5.8852436343733538</v>
      </c>
      <c r="E18" s="180">
        <f>'Casualty Age'!E18/R18*1000000</f>
        <v>5.4802853584586151</v>
      </c>
      <c r="F18" s="180">
        <f>'Casualty Age'!F18/S18*1000000</f>
        <v>12.861537828355061</v>
      </c>
      <c r="G18" s="180">
        <f>'Casualty Age'!G18/T18*1000000</f>
        <v>11.669598653328315</v>
      </c>
      <c r="H18" s="180">
        <f>'Casualty Age'!H18/U18*1000000</f>
        <v>12.518072967847329</v>
      </c>
      <c r="I18" s="180">
        <f>'Casualty Age'!I18/V18*1000000</f>
        <v>7.0444859286393573</v>
      </c>
      <c r="J18" s="180">
        <f>'Casualty Age'!J18/W18*1000000</f>
        <v>27.98559674620795</v>
      </c>
      <c r="K18" s="180">
        <f>'Casualty Age'!K18/X18*1000000</f>
        <v>24.350451700879052</v>
      </c>
      <c r="L18" s="88">
        <f>('Casualty Age'!M18)/Y18*1000000</f>
        <v>8.1410624086443288</v>
      </c>
      <c r="M18" s="1"/>
      <c r="N18" s="102" t="str">
        <f>Tref!A65</f>
        <v>2016-17</v>
      </c>
      <c r="O18" s="310">
        <f>Tref!C65</f>
        <v>287238</v>
      </c>
      <c r="P18" s="310">
        <f>Tref!D65</f>
        <v>924449</v>
      </c>
      <c r="Q18" s="310">
        <f>Tref!E65</f>
        <v>679666</v>
      </c>
      <c r="R18" s="310">
        <f>Tref!F65</f>
        <v>729889</v>
      </c>
      <c r="S18" s="310">
        <f>Tref!G65</f>
        <v>777512</v>
      </c>
      <c r="T18" s="310">
        <f>Tref!H65</f>
        <v>685542</v>
      </c>
      <c r="U18" s="310">
        <f>Tref!I65</f>
        <v>639076</v>
      </c>
      <c r="V18" s="310">
        <f>Tref!J65</f>
        <v>425865</v>
      </c>
      <c r="W18" s="310">
        <f>Tref!K65</f>
        <v>214396</v>
      </c>
      <c r="X18" s="310">
        <f>Tref!L65</f>
        <v>41067</v>
      </c>
      <c r="Y18" s="715">
        <f t="shared" si="0"/>
        <v>5404700</v>
      </c>
    </row>
    <row r="19" spans="1:25" ht="13.5" customHeight="1" x14ac:dyDescent="0.2">
      <c r="A19" s="2" t="str">
        <f>'Casualty Age'!A19</f>
        <v>2017-18</v>
      </c>
      <c r="B19" s="180">
        <f>'Casualty Age'!B19/O19*1000000</f>
        <v>0</v>
      </c>
      <c r="C19" s="180">
        <f>'Casualty Age'!C19/P19*1000000</f>
        <v>0</v>
      </c>
      <c r="D19" s="180">
        <f>'Casualty Age'!D19/Q19*1000000</f>
        <v>4.3219383028900804</v>
      </c>
      <c r="E19" s="180">
        <f>'Casualty Age'!E19/R19*1000000</f>
        <v>5.6329856372948708</v>
      </c>
      <c r="F19" s="180">
        <f>'Casualty Age'!F19/S19*1000000</f>
        <v>8.9065889672810101</v>
      </c>
      <c r="G19" s="180">
        <f>'Casualty Age'!G19/T19*1000000</f>
        <v>10.131272343073828</v>
      </c>
      <c r="H19" s="180">
        <f>'Casualty Age'!H19/U19*1000000</f>
        <v>17.348050788784327</v>
      </c>
      <c r="I19" s="180">
        <f>'Casualty Age'!I19/V19*1000000</f>
        <v>15.632257833994354</v>
      </c>
      <c r="J19" s="180">
        <f>'Casualty Age'!J19/W19*1000000</f>
        <v>18.349970640046976</v>
      </c>
      <c r="K19" s="180">
        <f>'Casualty Age'!K19/X19*1000000</f>
        <v>23.966446974236071</v>
      </c>
      <c r="L19" s="88">
        <f>('Casualty Age'!M19)/Y19*1000000</f>
        <v>8.1108980976257197</v>
      </c>
      <c r="M19" s="1"/>
      <c r="N19" s="102" t="str">
        <f>Tref!A66</f>
        <v>2017-18</v>
      </c>
      <c r="O19" s="310">
        <f>Tref!C66</f>
        <v>282106</v>
      </c>
      <c r="P19" s="310">
        <f>Tref!D66</f>
        <v>920015</v>
      </c>
      <c r="Q19" s="310">
        <f>Tref!E66</f>
        <v>694133</v>
      </c>
      <c r="R19" s="310">
        <f>Tref!F66</f>
        <v>710103</v>
      </c>
      <c r="S19" s="310">
        <f>Tref!G66</f>
        <v>785935</v>
      </c>
      <c r="T19" s="310">
        <f>Tref!H66</f>
        <v>690930</v>
      </c>
      <c r="U19" s="310">
        <f>Tref!I66</f>
        <v>634077</v>
      </c>
      <c r="V19" s="310">
        <f>Tref!J66</f>
        <v>447792</v>
      </c>
      <c r="W19" s="310">
        <f>Tref!K66</f>
        <v>217984</v>
      </c>
      <c r="X19" s="310">
        <f>Tref!L66</f>
        <v>41725</v>
      </c>
      <c r="Y19" s="715">
        <f t="shared" ref="Y19:Y22" si="1">SUM(O19:X19)</f>
        <v>5424800</v>
      </c>
    </row>
    <row r="20" spans="1:25" ht="13.5" customHeight="1" x14ac:dyDescent="0.2">
      <c r="A20" s="2" t="str">
        <f>'Casualty Age'!A20</f>
        <v>2018-19</v>
      </c>
      <c r="B20" s="180">
        <f>'Casualty Age'!B20/O20*1000000</f>
        <v>0</v>
      </c>
      <c r="C20" s="180">
        <f>'Casualty Age'!C20/P20*1000000</f>
        <v>0</v>
      </c>
      <c r="D20" s="180">
        <f>'Casualty Age'!D20/Q20*1000000</f>
        <v>2.819860275923328</v>
      </c>
      <c r="E20" s="180">
        <f>'Casualty Age'!E20/R20*1000000</f>
        <v>2.8909713519193883</v>
      </c>
      <c r="F20" s="180">
        <f>'Casualty Age'!F20/S20*1000000</f>
        <v>6.3183407531714915</v>
      </c>
      <c r="G20" s="180">
        <f>'Casualty Age'!G20/T20*1000000</f>
        <v>12.928991107727228</v>
      </c>
      <c r="H20" s="180">
        <f>'Casualty Age'!H20/U20*1000000</f>
        <v>23.558272958714912</v>
      </c>
      <c r="I20" s="180">
        <f>'Casualty Age'!I20/V20*1000000</f>
        <v>17.313506482826082</v>
      </c>
      <c r="J20" s="180">
        <f>'Casualty Age'!J20/W20*1000000</f>
        <v>9.0209149914075795</v>
      </c>
      <c r="K20" s="180">
        <f>'Casualty Age'!K20/X20*1000000</f>
        <v>23.850979082691346</v>
      </c>
      <c r="L20" s="88">
        <f>('Casualty Age'!M20)/Y20*1000000</f>
        <v>8.0910612162336104</v>
      </c>
      <c r="M20" s="1"/>
      <c r="N20" s="102" t="str">
        <f>Tref!A67</f>
        <v>2018-19</v>
      </c>
      <c r="O20" s="310">
        <f>Tref!C67</f>
        <v>276862</v>
      </c>
      <c r="P20" s="310">
        <f>Tref!D67</f>
        <v>910297</v>
      </c>
      <c r="Q20" s="310">
        <f>Tref!E67</f>
        <v>709255</v>
      </c>
      <c r="R20" s="310">
        <f>Tref!F67</f>
        <v>691809</v>
      </c>
      <c r="S20" s="310">
        <f>Tref!G67</f>
        <v>791347</v>
      </c>
      <c r="T20" s="310">
        <f>Tref!H67</f>
        <v>696110</v>
      </c>
      <c r="U20" s="310">
        <f>Tref!I67</f>
        <v>636719</v>
      </c>
      <c r="V20" s="310">
        <f>Tref!J67</f>
        <v>462067</v>
      </c>
      <c r="W20" s="310">
        <f>Tref!K67</f>
        <v>221707</v>
      </c>
      <c r="X20" s="310">
        <f>Tref!L67</f>
        <v>41927</v>
      </c>
      <c r="Y20" s="715">
        <f t="shared" si="1"/>
        <v>5438100</v>
      </c>
    </row>
    <row r="21" spans="1:25" ht="13.5" customHeight="1" x14ac:dyDescent="0.2">
      <c r="A21" s="2" t="str">
        <f>'Casualty Age'!A21</f>
        <v>2019-20</v>
      </c>
      <c r="B21" s="180">
        <f>'Casualty Age'!B21/O21*1000000</f>
        <v>0</v>
      </c>
      <c r="C21" s="180">
        <f>'Casualty Age'!C21/P21*1000000</f>
        <v>0</v>
      </c>
      <c r="D21" s="180">
        <f>'Casualty Age'!D21/Q21*1000000</f>
        <v>0</v>
      </c>
      <c r="E21" s="180">
        <f>'Casualty Age'!E21/R21*1000000</f>
        <v>2.9373320213250307</v>
      </c>
      <c r="F21" s="180">
        <f>'Casualty Age'!F21/S21*1000000</f>
        <v>3.7773242190696954</v>
      </c>
      <c r="G21" s="180">
        <f>'Casualty Age'!G21/T21*1000000</f>
        <v>11.367931633259158</v>
      </c>
      <c r="H21" s="180">
        <f>'Casualty Age'!H21/U21*1000000</f>
        <v>6.2098590827727644</v>
      </c>
      <c r="I21" s="180">
        <f>'Casualty Age'!I21/V21*1000000</f>
        <v>10.530594536306332</v>
      </c>
      <c r="J21" s="180">
        <f>'Casualty Age'!J21/W21*1000000</f>
        <v>22.100815078060077</v>
      </c>
      <c r="K21" s="180">
        <f>'Casualty Age'!K21/X21*1000000</f>
        <v>0</v>
      </c>
      <c r="L21" s="88">
        <f>('Casualty Age'!M21)/Y21*1000000</f>
        <v>4.9420679808906707</v>
      </c>
      <c r="M21" s="1"/>
      <c r="N21" s="102" t="str">
        <f>Tref!A68</f>
        <v>2019-20</v>
      </c>
      <c r="O21" s="310">
        <f>Tref!C68</f>
        <v>271715</v>
      </c>
      <c r="P21" s="310">
        <f>Tref!D68</f>
        <v>901925</v>
      </c>
      <c r="Q21" s="310">
        <f>Tref!E68</f>
        <v>721985</v>
      </c>
      <c r="R21" s="310">
        <f>Tref!F68</f>
        <v>680890</v>
      </c>
      <c r="S21" s="310">
        <f>Tref!G68</f>
        <v>794213</v>
      </c>
      <c r="T21" s="310">
        <f>Tref!H68</f>
        <v>703734</v>
      </c>
      <c r="U21" s="310">
        <f>Tref!I68</f>
        <v>644137</v>
      </c>
      <c r="V21" s="310">
        <f>Tref!J68</f>
        <v>474807</v>
      </c>
      <c r="W21" s="310">
        <f>Tref!K68</f>
        <v>226236</v>
      </c>
      <c r="X21" s="310">
        <f>Tref!L68</f>
        <v>43658</v>
      </c>
      <c r="Y21" s="715">
        <f t="shared" si="1"/>
        <v>5463300</v>
      </c>
    </row>
    <row r="22" spans="1:25" ht="13.5" customHeight="1" thickBot="1" x14ac:dyDescent="0.25">
      <c r="A22" s="447" t="str">
        <f>'Casualty Age'!A22</f>
        <v>2020-21</v>
      </c>
      <c r="B22" s="725">
        <f>'Casualty Age'!B22/O22*1000000</f>
        <v>0</v>
      </c>
      <c r="C22" s="725">
        <f>'Casualty Age'!C22/P22*1000000</f>
        <v>3.3776328648181257</v>
      </c>
      <c r="D22" s="725">
        <f>'Casualty Age'!D22/Q22*1000000</f>
        <v>2.7407209466450149</v>
      </c>
      <c r="E22" s="725">
        <f>'Casualty Age'!E22/R22*1000000</f>
        <v>1.4830414213468981</v>
      </c>
      <c r="F22" s="725">
        <f>'Casualty Age'!F22/S22*1000000</f>
        <v>7.5713887315021511</v>
      </c>
      <c r="G22" s="725">
        <f>'Casualty Age'!G22/T22*1000000</f>
        <v>18.339124264495315</v>
      </c>
      <c r="H22" s="725">
        <f>'Casualty Age'!H22/U22*1000000</f>
        <v>16.845277656117439</v>
      </c>
      <c r="I22" s="725">
        <f>'Casualty Age'!I22/V22*1000000</f>
        <v>20.659449632261797</v>
      </c>
      <c r="J22" s="725">
        <f>'Casualty Age'!J22/W22*1000000</f>
        <v>17.554792897330795</v>
      </c>
      <c r="K22" s="725">
        <f>'Casualty Age'!K22/X22*1000000</f>
        <v>68.572995954193246</v>
      </c>
      <c r="L22" s="390">
        <f>('Casualty Age'!M22)/Y22*1000000</f>
        <v>9.6963044273691903</v>
      </c>
      <c r="M22" s="1"/>
      <c r="N22" s="732" t="str">
        <f>Tref!A69</f>
        <v>2020-21</v>
      </c>
      <c r="O22" s="730">
        <f>Tref!C69</f>
        <v>263806</v>
      </c>
      <c r="P22" s="730">
        <f>Tref!D69</f>
        <v>888196</v>
      </c>
      <c r="Q22" s="730">
        <f>Tref!E69</f>
        <v>729735</v>
      </c>
      <c r="R22" s="730">
        <f>Tref!F69</f>
        <v>674290</v>
      </c>
      <c r="S22" s="730">
        <f>Tref!G69</f>
        <v>792457</v>
      </c>
      <c r="T22" s="730">
        <f>Tref!H69</f>
        <v>708867</v>
      </c>
      <c r="U22" s="730">
        <f>Tref!I69</f>
        <v>653002</v>
      </c>
      <c r="V22" s="730">
        <f>Tref!J69</f>
        <v>484040</v>
      </c>
      <c r="W22" s="730">
        <f>Tref!K69</f>
        <v>227858</v>
      </c>
      <c r="X22" s="730">
        <f>Tref!L69</f>
        <v>43749</v>
      </c>
      <c r="Y22" s="716">
        <f t="shared" si="1"/>
        <v>5466000</v>
      </c>
    </row>
    <row r="23" spans="1:25" ht="13.5" customHeight="1" x14ac:dyDescent="0.2">
      <c r="A23" s="29"/>
      <c r="B23" s="180"/>
      <c r="C23" s="180"/>
      <c r="D23" s="180"/>
      <c r="E23" s="180"/>
      <c r="F23" s="180"/>
      <c r="G23" s="180"/>
      <c r="H23" s="180"/>
      <c r="I23" s="180"/>
      <c r="J23" s="180"/>
      <c r="K23" s="180"/>
      <c r="L23" s="88"/>
      <c r="M23" s="1"/>
      <c r="N23" s="180"/>
      <c r="O23" s="180"/>
      <c r="P23" s="180"/>
      <c r="Q23" s="180"/>
      <c r="R23" s="580"/>
      <c r="T23" s="274"/>
      <c r="U23" s="310"/>
      <c r="V23" s="310"/>
      <c r="W23" s="310"/>
      <c r="X23" s="310"/>
      <c r="Y23" s="311"/>
    </row>
    <row r="24" spans="1:25" ht="13.5" customHeight="1" thickBot="1" x14ac:dyDescent="0.25">
      <c r="A24" s="726" t="s">
        <v>829</v>
      </c>
      <c r="B24" s="727">
        <f>SUM('Casualty Age'!B11:B21)/SUM('Casualty Age Rate'!O11:O21)*1000000</f>
        <v>0</v>
      </c>
      <c r="C24" s="727">
        <f>SUM('Casualty Age'!C11:C21)/SUM('Casualty Age Rate'!P11:P21)*1000000</f>
        <v>0.59792692754949317</v>
      </c>
      <c r="D24" s="727">
        <f>SUM('Casualty Age'!D11:D21)/SUM('Casualty Age Rate'!Q11:Q21)*1000000</f>
        <v>3.7681246797094023</v>
      </c>
      <c r="E24" s="727">
        <f>SUM('Casualty Age'!E11:E21)/SUM('Casualty Age Rate'!R11:R21)*1000000</f>
        <v>4.8100129076696376</v>
      </c>
      <c r="F24" s="727">
        <f>SUM('Casualty Age'!F11:F21)/SUM('Casualty Age Rate'!S11:S21)*1000000</f>
        <v>9.8467493266829269</v>
      </c>
      <c r="G24" s="727">
        <f>SUM('Casualty Age'!G11:G21)/SUM('Casualty Age Rate'!T11:T21)*1000000</f>
        <v>11.63065481115253</v>
      </c>
      <c r="H24" s="727">
        <f>SUM('Casualty Age'!H11:H21)/SUM('Casualty Age Rate'!U11:U21)*1000000</f>
        <v>13.539566439535534</v>
      </c>
      <c r="I24" s="727">
        <f>SUM('Casualty Age'!I11:I21)/SUM('Casualty Age Rate'!V11:V21)*1000000</f>
        <v>16.131734757285145</v>
      </c>
      <c r="J24" s="727">
        <f>SUM('Casualty Age'!J11:J21)/SUM('Casualty Age Rate'!W11:W21)*1000000</f>
        <v>27.981738417964976</v>
      </c>
      <c r="K24" s="727">
        <f>SUM('Casualty Age'!K11:K21)/SUM('Casualty Age Rate'!X11:X21)*1000000</f>
        <v>45.347144323253538</v>
      </c>
      <c r="L24" s="728">
        <f>SUM('Casualty Age'!M12:M22)/SUM('Casualty Age Rate'!Y12:Y22)*1000000</f>
        <v>8.203528701356035</v>
      </c>
      <c r="M24" s="1"/>
      <c r="N24" s="180"/>
      <c r="O24" s="180"/>
      <c r="P24" s="180"/>
      <c r="Q24" s="180"/>
      <c r="R24" s="580"/>
      <c r="T24" s="274"/>
      <c r="U24" s="310"/>
      <c r="V24" s="310"/>
      <c r="W24" s="310"/>
      <c r="X24" s="310"/>
      <c r="Y24" s="311"/>
    </row>
    <row r="25" spans="1:25" x14ac:dyDescent="0.2">
      <c r="A25" s="1"/>
      <c r="B25" s="1"/>
      <c r="C25" s="1"/>
      <c r="D25" s="1"/>
      <c r="E25" s="1"/>
      <c r="F25" s="1"/>
      <c r="G25" s="1"/>
      <c r="H25" s="1"/>
      <c r="I25" s="1"/>
      <c r="J25" s="1"/>
      <c r="K25" s="1"/>
      <c r="L25" s="1"/>
      <c r="M25" s="1"/>
      <c r="N25" s="1"/>
      <c r="O25" s="4"/>
      <c r="P25" s="4"/>
      <c r="Q25" s="4"/>
      <c r="R25" s="4"/>
      <c r="S25" s="4"/>
    </row>
    <row r="26" spans="1:25" ht="15.75" customHeight="1" x14ac:dyDescent="0.2">
      <c r="A26" s="1"/>
      <c r="B26" s="1415" t="s">
        <v>1064</v>
      </c>
      <c r="C26" s="1415"/>
      <c r="D26" s="1415"/>
      <c r="E26" s="1415"/>
      <c r="F26" s="1415"/>
      <c r="G26" s="1415"/>
      <c r="H26" s="1415"/>
      <c r="I26" s="1415"/>
      <c r="J26" s="1415"/>
      <c r="K26" s="1415"/>
      <c r="L26" s="1"/>
      <c r="M26" s="1"/>
      <c r="N26" s="1"/>
      <c r="O26" s="4"/>
      <c r="P26" s="4"/>
      <c r="Q26" s="4"/>
      <c r="R26" s="4"/>
      <c r="S26" s="4"/>
    </row>
    <row r="27" spans="1:25" ht="14.25" x14ac:dyDescent="0.2">
      <c r="A27" s="1"/>
      <c r="B27" s="1"/>
      <c r="C27" s="1"/>
      <c r="D27" s="1"/>
      <c r="E27" s="1"/>
      <c r="F27" s="1"/>
      <c r="G27" s="1"/>
      <c r="H27" s="1"/>
      <c r="I27" s="1"/>
      <c r="J27" s="1"/>
      <c r="K27" s="1"/>
      <c r="L27" s="60" t="s">
        <v>57</v>
      </c>
      <c r="M27" s="1"/>
      <c r="N27" s="1"/>
      <c r="O27" s="4"/>
      <c r="P27" s="4"/>
      <c r="Q27" s="4"/>
      <c r="R27" s="4"/>
      <c r="S27" s="4"/>
    </row>
    <row r="28" spans="1:25" ht="20.25" customHeight="1" x14ac:dyDescent="0.2">
      <c r="A28" s="29"/>
      <c r="B28" s="145" t="s">
        <v>830</v>
      </c>
      <c r="C28" s="719" t="s">
        <v>831</v>
      </c>
      <c r="D28" s="145" t="s">
        <v>176</v>
      </c>
      <c r="E28" s="719" t="s">
        <v>832</v>
      </c>
      <c r="F28" s="145" t="s">
        <v>833</v>
      </c>
      <c r="G28" s="145" t="s">
        <v>834</v>
      </c>
      <c r="H28" s="145" t="s">
        <v>835</v>
      </c>
      <c r="I28" s="145" t="s">
        <v>836</v>
      </c>
      <c r="J28" s="145" t="s">
        <v>837</v>
      </c>
      <c r="K28" s="145" t="s">
        <v>838</v>
      </c>
      <c r="L28" s="145" t="s">
        <v>11</v>
      </c>
      <c r="M28" s="1"/>
      <c r="N28" s="1"/>
      <c r="O28" s="4"/>
      <c r="P28" s="4"/>
      <c r="Q28" s="4"/>
      <c r="R28" s="4"/>
      <c r="S28" s="4"/>
    </row>
    <row r="29" spans="1:25" ht="14.25" customHeight="1" x14ac:dyDescent="0.2">
      <c r="A29" s="446" t="str">
        <f t="shared" ref="A29:A35" si="2">A11</f>
        <v>2009-10</v>
      </c>
      <c r="B29" s="724">
        <f>'Casualty Age'!B28/O11*1000000</f>
        <v>135.64934297023368</v>
      </c>
      <c r="C29" s="724">
        <f>'Casualty Age'!C28/P11*1000000</f>
        <v>74.951113974914861</v>
      </c>
      <c r="D29" s="724">
        <f>'Casualty Age'!D28/Q11*1000000</f>
        <v>356.83549883503701</v>
      </c>
      <c r="E29" s="724">
        <f>'Casualty Age'!E28/R11*1000000</f>
        <v>250.73451559208721</v>
      </c>
      <c r="F29" s="724">
        <f>'Casualty Age'!F28/S11*1000000</f>
        <v>299.77545944954824</v>
      </c>
      <c r="G29" s="724">
        <f>'Casualty Age'!G28/T11*1000000</f>
        <v>206.65812288408631</v>
      </c>
      <c r="H29" s="724">
        <f>'Casualty Age'!H28/U11*1000000</f>
        <v>206.12520980601712</v>
      </c>
      <c r="I29" s="724">
        <f>'Casualty Age'!I28/V11*1000000</f>
        <v>250.99001617491214</v>
      </c>
      <c r="J29" s="724">
        <f>'Casualty Age'!J28/W11*1000000</f>
        <v>341.86617493188572</v>
      </c>
      <c r="K29" s="724">
        <f>'Casualty Age'!K28/X11*1000000</f>
        <v>825.53659878921292</v>
      </c>
      <c r="L29" s="171">
        <f>('Casualty Age'!M28)/Y11*1000000</f>
        <v>230.31785775722014</v>
      </c>
      <c r="M29" s="1"/>
      <c r="N29" s="1"/>
      <c r="O29" s="4"/>
      <c r="P29" s="4"/>
      <c r="Q29" s="4"/>
      <c r="R29" s="4"/>
      <c r="S29" s="4"/>
    </row>
    <row r="30" spans="1:25" x14ac:dyDescent="0.2">
      <c r="A30" s="2" t="str">
        <f t="shared" si="2"/>
        <v>2010-11</v>
      </c>
      <c r="B30" s="180">
        <f>'Casualty Age'!B29/O12*1000000</f>
        <v>109.9958751546817</v>
      </c>
      <c r="C30" s="180">
        <f>'Casualty Age'!C29/P12*1000000</f>
        <v>89.644112871898571</v>
      </c>
      <c r="D30" s="180">
        <f>'Casualty Age'!D29/Q12*1000000</f>
        <v>427.21430609376677</v>
      </c>
      <c r="E30" s="180">
        <f>'Casualty Age'!E29/R12*1000000</f>
        <v>252.1144077795303</v>
      </c>
      <c r="F30" s="180">
        <f>'Casualty Age'!F29/S12*1000000</f>
        <v>304.43411155499774</v>
      </c>
      <c r="G30" s="180">
        <f>'Casualty Age'!G29/T12*1000000</f>
        <v>243.41617210682492</v>
      </c>
      <c r="H30" s="180">
        <f>'Casualty Age'!H29/U12*1000000</f>
        <v>197.17931588976319</v>
      </c>
      <c r="I30" s="180">
        <f>'Casualty Age'!I29/V12*1000000</f>
        <v>246.11242817535259</v>
      </c>
      <c r="J30" s="180">
        <f>'Casualty Age'!J29/W12*1000000</f>
        <v>416.20207895507588</v>
      </c>
      <c r="K30" s="180">
        <f>'Casualty Age'!K29/X12*1000000</f>
        <v>863.39808818994754</v>
      </c>
      <c r="L30" s="88">
        <f>('Casualty Age'!M29)/Y12*1000000</f>
        <v>247.80510052829618</v>
      </c>
      <c r="M30" s="1"/>
      <c r="N30" s="1"/>
      <c r="O30" s="4"/>
      <c r="P30" s="4"/>
      <c r="Q30" s="4"/>
      <c r="R30" s="4"/>
      <c r="S30" s="4"/>
    </row>
    <row r="31" spans="1:25" x14ac:dyDescent="0.2">
      <c r="A31" s="2" t="str">
        <f t="shared" si="2"/>
        <v>2011-12</v>
      </c>
      <c r="B31" s="180">
        <f>'Casualty Age'!B30/O13*1000000</f>
        <v>146.4647496815243</v>
      </c>
      <c r="C31" s="180">
        <f>'Casualty Age'!C30/P13*1000000</f>
        <v>83.020459081291222</v>
      </c>
      <c r="D31" s="180">
        <f>'Casualty Age'!D30/Q13*1000000</f>
        <v>406.13014046344301</v>
      </c>
      <c r="E31" s="180">
        <f>'Casualty Age'!E30/R13*1000000</f>
        <v>299.58989748058571</v>
      </c>
      <c r="F31" s="180">
        <f>'Casualty Age'!F30/S13*1000000</f>
        <v>317.24054305941138</v>
      </c>
      <c r="G31" s="180">
        <f>'Casualty Age'!G30/T13*1000000</f>
        <v>260.04800661515378</v>
      </c>
      <c r="H31" s="180">
        <f>'Casualty Age'!H30/U13*1000000</f>
        <v>214.68655762586624</v>
      </c>
      <c r="I31" s="180">
        <f>'Casualty Age'!I30/V13*1000000</f>
        <v>240.29375912052484</v>
      </c>
      <c r="J31" s="180">
        <f>'Casualty Age'!J30/W13*1000000</f>
        <v>471.43269918031541</v>
      </c>
      <c r="K31" s="180">
        <f>'Casualty Age'!K30/X13*1000000</f>
        <v>909.89223463845997</v>
      </c>
      <c r="L31" s="88">
        <f>('Casualty Age'!M30)/Y13*1000000</f>
        <v>261.51436819562633</v>
      </c>
      <c r="M31" s="1"/>
      <c r="N31" s="1"/>
      <c r="O31" s="4"/>
      <c r="P31" s="4"/>
      <c r="Q31" s="4"/>
      <c r="R31" s="4"/>
      <c r="S31" s="4"/>
    </row>
    <row r="32" spans="1:25" x14ac:dyDescent="0.2">
      <c r="A32" s="2" t="str">
        <f t="shared" si="2"/>
        <v>2012-13</v>
      </c>
      <c r="B32" s="180">
        <f>'Casualty Age'!B31/O14*1000000</f>
        <v>141.99262990635251</v>
      </c>
      <c r="C32" s="180">
        <f>'Casualty Age'!C31/P14*1000000</f>
        <v>51.393361508559181</v>
      </c>
      <c r="D32" s="180">
        <f>'Casualty Age'!D31/Q14*1000000</f>
        <v>384.77629533718311</v>
      </c>
      <c r="E32" s="180">
        <f>'Casualty Age'!E31/R14*1000000</f>
        <v>199.81476291789875</v>
      </c>
      <c r="F32" s="180">
        <f>'Casualty Age'!F31/S14*1000000</f>
        <v>263.8110615563748</v>
      </c>
      <c r="G32" s="180">
        <f>'Casualty Age'!G31/T14*1000000</f>
        <v>241.08251931232681</v>
      </c>
      <c r="H32" s="180">
        <f>'Casualty Age'!H31/U14*1000000</f>
        <v>233.41135628435418</v>
      </c>
      <c r="I32" s="180">
        <f>'Casualty Age'!I31/V14*1000000</f>
        <v>320.78221125870959</v>
      </c>
      <c r="J32" s="180">
        <f>'Casualty Age'!J31/W14*1000000</f>
        <v>413.04012460873156</v>
      </c>
      <c r="K32" s="180">
        <f>'Casualty Age'!K31/X14*1000000</f>
        <v>948.38097818723747</v>
      </c>
      <c r="L32" s="88">
        <f>('Casualty Age'!M31)/Y14*1000000</f>
        <v>244.8434206564288</v>
      </c>
      <c r="M32" s="1"/>
      <c r="N32" s="1"/>
      <c r="O32" s="4"/>
      <c r="P32" s="4"/>
      <c r="Q32" s="4"/>
      <c r="R32" s="4"/>
      <c r="S32" s="4"/>
    </row>
    <row r="33" spans="1:19" x14ac:dyDescent="0.2">
      <c r="A33" s="2" t="str">
        <f t="shared" si="2"/>
        <v>2013-14</v>
      </c>
      <c r="B33" s="180">
        <f>'Casualty Age'!B32/O15*1000000</f>
        <v>102.02589417194083</v>
      </c>
      <c r="C33" s="180">
        <f>'Casualty Age'!C32/P15*1000000</f>
        <v>65.618017832789974</v>
      </c>
      <c r="D33" s="180">
        <f>'Casualty Age'!D32/Q15*1000000</f>
        <v>346.66068027958875</v>
      </c>
      <c r="E33" s="180">
        <f>'Casualty Age'!E32/R15*1000000</f>
        <v>235.26613842599281</v>
      </c>
      <c r="F33" s="180">
        <f>'Casualty Age'!F32/S15*1000000</f>
        <v>296.40336844156792</v>
      </c>
      <c r="G33" s="180">
        <f>'Casualty Age'!G32/T15*1000000</f>
        <v>248.78661321925458</v>
      </c>
      <c r="H33" s="180">
        <f>'Casualty Age'!H32/U15*1000000</f>
        <v>214.74204112310088</v>
      </c>
      <c r="I33" s="180">
        <f>'Casualty Age'!I32/V15*1000000</f>
        <v>215.44179032127758</v>
      </c>
      <c r="J33" s="180">
        <f>'Casualty Age'!J32/W15*1000000</f>
        <v>476.97958822401324</v>
      </c>
      <c r="K33" s="180">
        <f>'Casualty Age'!K32/X15*1000000</f>
        <v>583.70920668612371</v>
      </c>
      <c r="L33" s="88">
        <f>('Casualty Age'!M32)/Y15*1000000</f>
        <v>243.06924188674287</v>
      </c>
      <c r="M33" s="1"/>
      <c r="N33" s="1"/>
      <c r="O33" s="4"/>
      <c r="P33" s="4"/>
      <c r="Q33" s="4"/>
      <c r="R33" s="4"/>
      <c r="S33" s="4"/>
    </row>
    <row r="34" spans="1:19" x14ac:dyDescent="0.2">
      <c r="A34" s="2" t="str">
        <f t="shared" si="2"/>
        <v>2014-15</v>
      </c>
      <c r="B34" s="180">
        <f>'Casualty Age'!B33/O16*1000000</f>
        <v>140.47975549669871</v>
      </c>
      <c r="C34" s="180">
        <f>'Casualty Age'!C33/P16*1000000</f>
        <v>51.311612145349422</v>
      </c>
      <c r="D34" s="180">
        <f>'Casualty Age'!D33/Q16*1000000</f>
        <v>282.40052593302249</v>
      </c>
      <c r="E34" s="180">
        <f>'Casualty Age'!E33/R16*1000000</f>
        <v>194.88180222505318</v>
      </c>
      <c r="F34" s="180">
        <f>'Casualty Age'!F33/S16*1000000</f>
        <v>219.03972982444961</v>
      </c>
      <c r="G34" s="180">
        <f>'Casualty Age'!G33/T16*1000000</f>
        <v>173.78037106527367</v>
      </c>
      <c r="H34" s="180">
        <f>'Casualty Age'!H33/U16*1000000</f>
        <v>189.89776097665384</v>
      </c>
      <c r="I34" s="180">
        <f>'Casualty Age'!I33/V16*1000000</f>
        <v>211.51354768308542</v>
      </c>
      <c r="J34" s="180">
        <f>'Casualty Age'!J33/W16*1000000</f>
        <v>371.49253155274226</v>
      </c>
      <c r="K34" s="180">
        <f>'Casualty Age'!K33/X16*1000000</f>
        <v>783.77831715210357</v>
      </c>
      <c r="L34" s="88">
        <f>('Casualty Age'!M33)/Y16*1000000</f>
        <v>203.2687560774927</v>
      </c>
      <c r="M34" s="1"/>
      <c r="N34" s="1"/>
      <c r="O34" s="4"/>
      <c r="P34" s="4"/>
      <c r="Q34" s="4"/>
      <c r="R34" s="4"/>
      <c r="S34" s="4"/>
    </row>
    <row r="35" spans="1:19" x14ac:dyDescent="0.2">
      <c r="A35" s="2" t="str">
        <f t="shared" si="2"/>
        <v>2015-16</v>
      </c>
      <c r="B35" s="180">
        <f>'Casualty Age'!B34/O17*1000000</f>
        <v>106.46554980870545</v>
      </c>
      <c r="C35" s="180">
        <f>'Casualty Age'!C34/P17*1000000</f>
        <v>49.989730370608648</v>
      </c>
      <c r="D35" s="180">
        <f>'Casualty Age'!D34/Q17*1000000</f>
        <v>305.37230722250416</v>
      </c>
      <c r="E35" s="180">
        <f>'Casualty Age'!E34/R17*1000000</f>
        <v>250.79025753611313</v>
      </c>
      <c r="F35" s="180">
        <f>'Casualty Age'!F34/S17*1000000</f>
        <v>229.1329530941411</v>
      </c>
      <c r="G35" s="180">
        <f>'Casualty Age'!G34/T17*1000000</f>
        <v>263.29414810369377</v>
      </c>
      <c r="H35" s="180">
        <f>'Casualty Age'!H34/U17*1000000</f>
        <v>220.65138192849307</v>
      </c>
      <c r="I35" s="180">
        <f>'Casualty Age'!I34/V17*1000000</f>
        <v>281.02263661153387</v>
      </c>
      <c r="J35" s="180">
        <f>'Casualty Age'!J34/W17*1000000</f>
        <v>451.62179764491123</v>
      </c>
      <c r="K35" s="180">
        <f>'Casualty Age'!K34/X17*1000000</f>
        <v>728.73476567407965</v>
      </c>
      <c r="L35" s="88">
        <f>('Casualty Age'!M34)/Y17*1000000</f>
        <v>235.62255723059744</v>
      </c>
      <c r="M35" s="1"/>
      <c r="N35" s="1"/>
      <c r="O35" s="4"/>
      <c r="P35" s="4"/>
      <c r="Q35" s="4"/>
      <c r="R35" s="4"/>
      <c r="S35" s="4"/>
    </row>
    <row r="36" spans="1:19" x14ac:dyDescent="0.2">
      <c r="A36" s="2" t="str">
        <f t="shared" ref="A36:A40" si="3">A18</f>
        <v>2016-17</v>
      </c>
      <c r="B36" s="180">
        <f>'Casualty Age'!B35/O18*1000000</f>
        <v>97.480138421796568</v>
      </c>
      <c r="C36" s="180">
        <f>'Casualty Age'!C35/P18*1000000</f>
        <v>54.086271930631113</v>
      </c>
      <c r="D36" s="180">
        <f>'Casualty Age'!D35/Q18*1000000</f>
        <v>295.73349262726106</v>
      </c>
      <c r="E36" s="180">
        <f>'Casualty Age'!E35/R18*1000000</f>
        <v>280.86462462100405</v>
      </c>
      <c r="F36" s="180">
        <f>'Casualty Age'!F35/S18*1000000</f>
        <v>252.0861414357592</v>
      </c>
      <c r="G36" s="180">
        <f>'Casualty Age'!G35/T18*1000000</f>
        <v>252.35507087822484</v>
      </c>
      <c r="H36" s="180">
        <f>'Casualty Age'!H35/U18*1000000</f>
        <v>178.38253979182446</v>
      </c>
      <c r="I36" s="180">
        <f>'Casualty Age'!I35/V18*1000000</f>
        <v>216.03090181160698</v>
      </c>
      <c r="J36" s="180">
        <f>'Casualty Age'!J35/W18*1000000</f>
        <v>382.46982219817534</v>
      </c>
      <c r="K36" s="180">
        <f>'Casualty Age'!K35/X18*1000000</f>
        <v>1120.1207782404363</v>
      </c>
      <c r="L36" s="88">
        <f>('Casualty Age'!M35)/Y18*1000000</f>
        <v>230.9101337724573</v>
      </c>
      <c r="M36" s="1"/>
      <c r="N36" s="1"/>
      <c r="O36" s="4"/>
      <c r="P36" s="4"/>
      <c r="Q36" s="4"/>
      <c r="R36" s="4"/>
      <c r="S36" s="4"/>
    </row>
    <row r="37" spans="1:19" x14ac:dyDescent="0.2">
      <c r="A37" s="2" t="str">
        <f t="shared" si="3"/>
        <v>2017-18</v>
      </c>
      <c r="B37" s="180">
        <f>'Casualty Age'!B36/O19*1000000</f>
        <v>124.06684012392506</v>
      </c>
      <c r="C37" s="180">
        <f>'Casualty Age'!C36/P19*1000000</f>
        <v>56.520817595365294</v>
      </c>
      <c r="D37" s="180">
        <f>'Casualty Age'!D36/Q19*1000000</f>
        <v>263.63823647629488</v>
      </c>
      <c r="E37" s="180">
        <f>'Casualty Age'!E36/R19*1000000</f>
        <v>232.36065753841345</v>
      </c>
      <c r="F37" s="180">
        <f>'Casualty Age'!F36/S19*1000000</f>
        <v>204.8515462474632</v>
      </c>
      <c r="G37" s="180">
        <f>'Casualty Age'!G36/T19*1000000</f>
        <v>217.09869306586774</v>
      </c>
      <c r="H37" s="180">
        <f>'Casualty Age'!H36/U19*1000000</f>
        <v>146.66988394154023</v>
      </c>
      <c r="I37" s="180">
        <f>'Casualty Age'!I36/V19*1000000</f>
        <v>183.12073462679101</v>
      </c>
      <c r="J37" s="180">
        <f>'Casualty Age'!J36/W19*1000000</f>
        <v>357.82442748091603</v>
      </c>
      <c r="K37" s="180">
        <f>'Casualty Age'!K36/X19*1000000</f>
        <v>383.46315158777713</v>
      </c>
      <c r="L37" s="88">
        <f>('Casualty Age'!M36)/Y19*1000000</f>
        <v>200.56038932310869</v>
      </c>
      <c r="M37" s="1"/>
      <c r="N37" s="1"/>
      <c r="O37" s="4"/>
      <c r="P37" s="4"/>
      <c r="Q37" s="4"/>
      <c r="R37" s="4"/>
      <c r="S37" s="4"/>
    </row>
    <row r="38" spans="1:19" x14ac:dyDescent="0.2">
      <c r="A38" s="2" t="str">
        <f t="shared" si="3"/>
        <v>2018-19</v>
      </c>
      <c r="B38" s="180">
        <f>'Casualty Age'!B37/O20*1000000</f>
        <v>108.35723212286265</v>
      </c>
      <c r="C38" s="180">
        <f>'Casualty Age'!C37/P20*1000000</f>
        <v>58.222755869787548</v>
      </c>
      <c r="D38" s="180">
        <f>'Casualty Age'!D37/Q20*1000000</f>
        <v>255.1973549710612</v>
      </c>
      <c r="E38" s="180">
        <f>'Casualty Age'!E37/R20*1000000</f>
        <v>261.63290734870463</v>
      </c>
      <c r="F38" s="180">
        <f>'Casualty Age'!F37/S20*1000000</f>
        <v>224.93293081290508</v>
      </c>
      <c r="G38" s="180">
        <f>'Casualty Age'!G37/T20*1000000</f>
        <v>224.10251253393861</v>
      </c>
      <c r="H38" s="180">
        <f>'Casualty Age'!H37/U20*1000000</f>
        <v>197.88949285320527</v>
      </c>
      <c r="I38" s="180">
        <f>'Casualty Age'!I37/V20*1000000</f>
        <v>157.98574665578801</v>
      </c>
      <c r="J38" s="180">
        <f>'Casualty Age'!J37/W20*1000000</f>
        <v>365.34705715200693</v>
      </c>
      <c r="K38" s="180">
        <f>'Casualty Age'!K37/X20*1000000</f>
        <v>548.57251890190093</v>
      </c>
      <c r="L38" s="88">
        <f>('Casualty Age'!M37)/Y20*1000000</f>
        <v>216.25199977933468</v>
      </c>
      <c r="M38" s="1"/>
      <c r="N38" s="1"/>
      <c r="O38" s="4"/>
      <c r="P38" s="4"/>
      <c r="Q38" s="4"/>
      <c r="R38" s="4"/>
      <c r="S38" s="4"/>
    </row>
    <row r="39" spans="1:19" x14ac:dyDescent="0.2">
      <c r="A39" s="2" t="str">
        <f t="shared" si="3"/>
        <v>2019-20</v>
      </c>
      <c r="B39" s="180">
        <f>'Casualty Age'!B38/O21*1000000</f>
        <v>114.09013120365088</v>
      </c>
      <c r="C39" s="180">
        <f>'Casualty Age'!C38/P21*1000000</f>
        <v>49.893283809629402</v>
      </c>
      <c r="D39" s="180">
        <f>'Casualty Age'!D38/Q21*1000000</f>
        <v>184.21435348379813</v>
      </c>
      <c r="E39" s="180">
        <f>'Casualty Age'!E38/R21*1000000</f>
        <v>227.64323165268988</v>
      </c>
      <c r="F39" s="180">
        <f>'Casualty Age'!F38/S21*1000000</f>
        <v>197.6799674646474</v>
      </c>
      <c r="G39" s="180">
        <f>'Casualty Age'!G38/T21*1000000</f>
        <v>191.83384631124827</v>
      </c>
      <c r="H39" s="180">
        <f>'Casualty Age'!H38/U21*1000000</f>
        <v>141.27429413308039</v>
      </c>
      <c r="I39" s="180">
        <f>'Casualty Age'!I38/V21*1000000</f>
        <v>183.23234493173015</v>
      </c>
      <c r="J39" s="180">
        <f>'Casualty Age'!J38/W21*1000000</f>
        <v>287.31059601478103</v>
      </c>
      <c r="K39" s="180">
        <f>'Casualty Age'!K38/X21*1000000</f>
        <v>572.63273626826697</v>
      </c>
      <c r="L39" s="88">
        <f>('Casualty Age'!M38)/Y21*1000000</f>
        <v>185.60210861567185</v>
      </c>
      <c r="M39" s="1"/>
      <c r="N39" s="1"/>
      <c r="O39" s="4"/>
      <c r="P39" s="4"/>
      <c r="Q39" s="4"/>
      <c r="R39" s="4"/>
      <c r="S39" s="4"/>
    </row>
    <row r="40" spans="1:19" ht="13.5" thickBot="1" x14ac:dyDescent="0.25">
      <c r="A40" s="447" t="str">
        <f t="shared" si="3"/>
        <v>2020-21</v>
      </c>
      <c r="B40" s="725">
        <f>'Casualty Age'!B39/O22*1000000</f>
        <v>56.859965277514533</v>
      </c>
      <c r="C40" s="725">
        <f>'Casualty Age'!C39/P22*1000000</f>
        <v>33.776328648181256</v>
      </c>
      <c r="D40" s="725">
        <f>'Casualty Age'!D39/Q22*1000000</f>
        <v>172.66541963863594</v>
      </c>
      <c r="E40" s="725">
        <f>'Casualty Age'!E39/R22*1000000</f>
        <v>218.00708893799404</v>
      </c>
      <c r="F40" s="725">
        <f>'Casualty Age'!F39/S22*1000000</f>
        <v>214.52268072589428</v>
      </c>
      <c r="G40" s="725">
        <f>'Casualty Age'!G39/T22*1000000</f>
        <v>190.44475197745135</v>
      </c>
      <c r="H40" s="725">
        <f>'Casualty Age'!H39/U22*1000000</f>
        <v>133.23083237111064</v>
      </c>
      <c r="I40" s="725">
        <f>'Casualty Age'!I39/V22*1000000</f>
        <v>146.68209238905877</v>
      </c>
      <c r="J40" s="725">
        <f>'Casualty Age'!J39/W22*1000000</f>
        <v>298.43147925462353</v>
      </c>
      <c r="K40" s="725">
        <f>'Casualty Age'!K39/X22*1000000</f>
        <v>548.58396763354597</v>
      </c>
      <c r="L40" s="390">
        <f>('Casualty Age'!M39)/Y22*1000000</f>
        <v>184.59568240029273</v>
      </c>
      <c r="M40" s="1"/>
      <c r="N40" s="1"/>
      <c r="O40" s="4"/>
      <c r="P40" s="4"/>
      <c r="Q40" s="4"/>
      <c r="R40" s="4"/>
      <c r="S40" s="4"/>
    </row>
    <row r="41" spans="1:19" x14ac:dyDescent="0.2">
      <c r="A41" s="2"/>
      <c r="G41" s="1"/>
      <c r="H41" s="1"/>
      <c r="I41" s="1"/>
      <c r="J41" s="1"/>
      <c r="K41" s="1"/>
      <c r="L41" s="1"/>
      <c r="M41" s="1"/>
      <c r="N41" s="1"/>
      <c r="O41" s="4"/>
      <c r="P41" s="4"/>
      <c r="Q41" s="4"/>
      <c r="R41" s="4"/>
      <c r="S41" s="4"/>
    </row>
    <row r="42" spans="1:19" ht="13.5" thickBot="1" x14ac:dyDescent="0.25">
      <c r="A42" s="729" t="str">
        <f>A24</f>
        <v>10 Year Average</v>
      </c>
      <c r="B42" s="727">
        <f>SUM('Casualty Age'!B30:B39)/SUM('Casualty Age Rate'!O13:O22)*1000000</f>
        <v>114.45917862548571</v>
      </c>
      <c r="C42" s="727">
        <f>SUM('Casualty Age'!C30:C39)/SUM('Casualty Age Rate'!P13:P22)*1000000</f>
        <v>55.449757807293025</v>
      </c>
      <c r="D42" s="727">
        <f>SUM('Casualty Age'!D30:D39)/SUM('Casualty Age Rate'!Q13:Q22)*1000000</f>
        <v>287.0701888807659</v>
      </c>
      <c r="E42" s="727">
        <f>SUM('Casualty Age'!E30:E39)/SUM('Casualty Age Rate'!R13:R22)*1000000</f>
        <v>240.2617104546909</v>
      </c>
      <c r="F42" s="727">
        <f>SUM('Casualty Age'!F30:F39)/SUM('Casualty Age Rate'!S13:S22)*1000000</f>
        <v>240.7345048118741</v>
      </c>
      <c r="G42" s="727">
        <f>SUM('Casualty Age'!G30:G39)/SUM('Casualty Age Rate'!T13:T22)*1000000</f>
        <v>226.04201448875597</v>
      </c>
      <c r="H42" s="727">
        <f>SUM('Casualty Age'!H30:H39)/SUM('Casualty Age Rate'!U13:U22)*1000000</f>
        <v>186.39711722770977</v>
      </c>
      <c r="I42" s="727">
        <f>SUM('Casualty Age'!I30:I39)/SUM('Casualty Age Rate'!V13:V22)*1000000</f>
        <v>212.87227594329028</v>
      </c>
      <c r="J42" s="727">
        <f>SUM('Casualty Age'!J30:J39)/SUM('Casualty Age Rate'!W13:W22)*1000000</f>
        <v>384.97895777406012</v>
      </c>
      <c r="K42" s="727">
        <f>SUM('Casualty Age'!K30:K39)/SUM('Casualty Age Rate'!X13:X22)*1000000</f>
        <v>705.31880160603328</v>
      </c>
      <c r="L42" s="727">
        <f>SUM('Casualty Age'!M30:M39)/SUM('Casualty Age Rate'!Y13:Y22)*1000000</f>
        <v>220.39150592197731</v>
      </c>
      <c r="M42" s="1"/>
      <c r="N42" s="1"/>
      <c r="O42" s="4"/>
      <c r="P42" s="4"/>
      <c r="Q42" s="4"/>
      <c r="R42" s="4"/>
      <c r="S42" s="4"/>
    </row>
    <row r="43" spans="1:19" x14ac:dyDescent="0.2">
      <c r="A43" s="1"/>
      <c r="B43" s="1"/>
      <c r="C43" s="1"/>
      <c r="D43" s="1"/>
      <c r="E43" s="1"/>
      <c r="F43" s="1"/>
      <c r="G43" s="1"/>
      <c r="H43" s="1"/>
      <c r="I43" s="1"/>
      <c r="J43" s="1"/>
      <c r="K43" s="1"/>
      <c r="L43" s="1"/>
      <c r="M43" s="1"/>
      <c r="N43" s="1"/>
      <c r="O43" s="4"/>
      <c r="P43" s="4"/>
      <c r="Q43" s="4"/>
      <c r="R43" s="4"/>
      <c r="S43" s="4"/>
    </row>
    <row r="44" spans="1:19" x14ac:dyDescent="0.2">
      <c r="A44" s="1"/>
      <c r="B44" s="1"/>
      <c r="C44" s="1"/>
      <c r="D44" s="1"/>
      <c r="E44" s="1"/>
      <c r="F44" s="1"/>
      <c r="G44" s="1"/>
      <c r="H44" s="1"/>
      <c r="I44" s="1"/>
      <c r="J44" s="1"/>
      <c r="K44" s="1"/>
      <c r="L44" s="1"/>
      <c r="M44" s="1"/>
      <c r="N44" s="1"/>
      <c r="O44" s="4"/>
      <c r="P44" s="4"/>
      <c r="Q44" s="4"/>
      <c r="R44" s="4"/>
      <c r="S44" s="4"/>
    </row>
    <row r="45" spans="1:19" x14ac:dyDescent="0.2">
      <c r="A45" s="2" t="s">
        <v>146</v>
      </c>
      <c r="B45" s="1"/>
      <c r="C45" s="92"/>
      <c r="D45" s="1"/>
      <c r="E45" s="1"/>
      <c r="F45" s="1"/>
      <c r="G45" s="1"/>
      <c r="H45" s="1"/>
      <c r="I45" s="1"/>
      <c r="J45" s="1"/>
      <c r="K45" s="1"/>
      <c r="L45" s="1"/>
      <c r="M45" s="1"/>
      <c r="N45" s="1"/>
      <c r="O45" s="4"/>
      <c r="P45" s="4"/>
      <c r="Q45" s="4"/>
      <c r="R45" s="4"/>
      <c r="S45" s="4"/>
    </row>
    <row r="46" spans="1:19" x14ac:dyDescent="0.2">
      <c r="A46" s="1392" t="s">
        <v>1234</v>
      </c>
      <c r="B46" s="1392"/>
      <c r="C46" s="1392"/>
      <c r="D46" s="1392"/>
      <c r="E46" s="1392"/>
      <c r="F46" s="1392"/>
      <c r="G46" s="1392"/>
      <c r="H46" s="1392"/>
      <c r="I46" s="1392"/>
      <c r="J46" s="1"/>
      <c r="K46" s="1"/>
      <c r="L46" s="1"/>
      <c r="M46" s="1"/>
      <c r="N46" s="1"/>
      <c r="O46" s="4"/>
      <c r="P46" s="4"/>
      <c r="Q46" s="4"/>
      <c r="R46" s="4"/>
      <c r="S46" s="4"/>
    </row>
    <row r="47" spans="1:19" x14ac:dyDescent="0.2">
      <c r="A47" s="106" t="s">
        <v>1093</v>
      </c>
      <c r="J47" s="1"/>
      <c r="K47" s="1"/>
      <c r="L47" s="1"/>
      <c r="M47" s="1"/>
      <c r="N47" s="1"/>
      <c r="O47" s="4"/>
      <c r="P47" s="4"/>
      <c r="Q47" s="4"/>
      <c r="R47" s="4"/>
      <c r="S47" s="4"/>
    </row>
    <row r="48" spans="1:19" x14ac:dyDescent="0.2">
      <c r="A48" s="1"/>
      <c r="B48" s="1"/>
      <c r="C48" s="1"/>
      <c r="D48" s="1"/>
      <c r="E48" s="1"/>
      <c r="F48" s="1"/>
      <c r="G48" s="1"/>
      <c r="H48" s="1"/>
      <c r="I48" s="1"/>
      <c r="J48" s="1"/>
      <c r="K48" s="1"/>
      <c r="L48" s="1"/>
      <c r="M48" s="1"/>
      <c r="N48" s="1"/>
      <c r="O48" s="4"/>
      <c r="P48" s="4"/>
      <c r="Q48" s="4"/>
      <c r="R48" s="4"/>
      <c r="S48" s="4"/>
    </row>
    <row r="49" spans="1:19" x14ac:dyDescent="0.2">
      <c r="A49" s="1"/>
      <c r="B49" s="1"/>
      <c r="C49" s="1"/>
      <c r="D49" s="1"/>
      <c r="E49" s="1"/>
      <c r="F49" s="1"/>
      <c r="G49" s="1"/>
      <c r="H49" s="1"/>
      <c r="I49" s="1"/>
      <c r="J49" s="1"/>
      <c r="K49" s="1"/>
      <c r="L49" s="1"/>
      <c r="M49" s="1"/>
      <c r="N49" s="1"/>
      <c r="O49" s="4"/>
      <c r="P49" s="4"/>
      <c r="Q49" s="4"/>
      <c r="R49" s="4"/>
      <c r="S49" s="4"/>
    </row>
    <row r="50" spans="1:19" x14ac:dyDescent="0.2">
      <c r="A50" s="1"/>
      <c r="B50" s="1"/>
      <c r="C50" s="1"/>
      <c r="D50" s="1"/>
      <c r="E50" s="1"/>
      <c r="F50" s="1"/>
      <c r="G50" s="1"/>
      <c r="H50" s="1"/>
      <c r="I50" s="1"/>
      <c r="J50" s="1"/>
      <c r="K50" s="1"/>
      <c r="L50" s="1"/>
      <c r="M50" s="1"/>
      <c r="N50" s="1"/>
      <c r="O50" s="4"/>
      <c r="P50" s="4"/>
      <c r="Q50" s="4"/>
      <c r="R50" s="4"/>
      <c r="S50" s="4"/>
    </row>
  </sheetData>
  <sheetProtection algorithmName="SHA-512" hashValue="Y707Rx4AhoPXgWmOTAPb0uZ7NhDSWcfDdyTS8HpMbKOT1XNgYEGTLCoQa1lQbFgsYrQ/LuIU9Sus57NyXAUL2A==" saltValue="5tEY1aR1qNOhgALqkWEOtA==" spinCount="100000" sheet="1" scenarios="1" formatCells="0" formatColumns="0" formatRows="0" sort="0" autoFilter="0" pivotTables="0"/>
  <mergeCells count="4">
    <mergeCell ref="R8:U8"/>
    <mergeCell ref="B8:K8"/>
    <mergeCell ref="B26:K26"/>
    <mergeCell ref="A46:I46"/>
  </mergeCells>
  <hyperlinks>
    <hyperlink ref="A2" location="'Table of Contents'!A1" display="Back to Table of Contents" xr:uid="{00000000-0004-0000-8200-000000000000}"/>
    <hyperlink ref="A47" r:id="rId1" xr:uid="{00000000-0004-0000-8200-000001000000}"/>
  </hyperlinks>
  <pageMargins left="0.7" right="0.7" top="0.75" bottom="0.75" header="0.3" footer="0.3"/>
  <pageSetup paperSize="9" orientation="portrait"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2:K45"/>
  <sheetViews>
    <sheetView topLeftCell="E19" workbookViewId="0">
      <selection activeCell="G43" sqref="G43"/>
    </sheetView>
  </sheetViews>
  <sheetFormatPr defaultRowHeight="12.75" x14ac:dyDescent="0.2"/>
  <cols>
    <col min="1" max="1" width="44.42578125" bestFit="1" customWidth="1"/>
    <col min="2" max="2" width="32.5703125" bestFit="1" customWidth="1"/>
    <col min="3" max="3" width="28.140625" bestFit="1" customWidth="1"/>
    <col min="4" max="5" width="29.140625" bestFit="1" customWidth="1"/>
    <col min="6" max="6" width="27.5703125" bestFit="1" customWidth="1"/>
    <col min="7" max="8" width="25" bestFit="1" customWidth="1"/>
    <col min="9" max="9" width="23.42578125" bestFit="1" customWidth="1"/>
    <col min="10" max="10" width="28.42578125" bestFit="1" customWidth="1"/>
    <col min="11" max="11" width="15.5703125" bestFit="1" customWidth="1"/>
    <col min="12" max="12" width="18" bestFit="1" customWidth="1"/>
    <col min="13" max="13" width="16.42578125" bestFit="1" customWidth="1"/>
    <col min="14" max="14" width="18" bestFit="1" customWidth="1"/>
    <col min="15" max="15" width="16.42578125" bestFit="1" customWidth="1"/>
    <col min="16" max="16" width="22" bestFit="1" customWidth="1"/>
  </cols>
  <sheetData>
    <row r="2" spans="1:9" x14ac:dyDescent="0.2">
      <c r="A2" s="234" t="s">
        <v>4</v>
      </c>
      <c r="B2" t="s">
        <v>1572</v>
      </c>
    </row>
    <row r="4" spans="1:9" x14ac:dyDescent="0.2">
      <c r="B4" s="234" t="s">
        <v>336</v>
      </c>
    </row>
    <row r="5" spans="1:9" x14ac:dyDescent="0.2">
      <c r="B5" t="s">
        <v>414</v>
      </c>
      <c r="F5" t="s">
        <v>670</v>
      </c>
      <c r="G5" t="s">
        <v>446</v>
      </c>
      <c r="H5" t="s">
        <v>447</v>
      </c>
      <c r="I5" t="s">
        <v>449</v>
      </c>
    </row>
    <row r="6" spans="1:9" x14ac:dyDescent="0.2">
      <c r="A6" s="234" t="s">
        <v>326</v>
      </c>
      <c r="B6" t="s">
        <v>453</v>
      </c>
      <c r="C6" t="s">
        <v>445</v>
      </c>
      <c r="D6" t="s">
        <v>448</v>
      </c>
      <c r="E6" t="s">
        <v>450</v>
      </c>
    </row>
    <row r="7" spans="1:9" x14ac:dyDescent="0.2">
      <c r="A7" s="235" t="s">
        <v>162</v>
      </c>
      <c r="C7">
        <v>2</v>
      </c>
      <c r="D7">
        <v>8</v>
      </c>
      <c r="E7">
        <v>7</v>
      </c>
      <c r="G7">
        <v>2</v>
      </c>
      <c r="H7">
        <v>8</v>
      </c>
      <c r="I7">
        <v>7</v>
      </c>
    </row>
    <row r="8" spans="1:9" x14ac:dyDescent="0.2">
      <c r="A8" s="235" t="s">
        <v>417</v>
      </c>
      <c r="D8">
        <v>4</v>
      </c>
      <c r="E8">
        <v>4</v>
      </c>
      <c r="H8">
        <v>4</v>
      </c>
      <c r="I8">
        <v>4</v>
      </c>
    </row>
    <row r="9" spans="1:9" x14ac:dyDescent="0.2">
      <c r="A9" s="235" t="s">
        <v>418</v>
      </c>
      <c r="B9">
        <v>3</v>
      </c>
      <c r="D9">
        <v>5</v>
      </c>
      <c r="E9">
        <v>12</v>
      </c>
      <c r="F9">
        <v>3</v>
      </c>
      <c r="H9">
        <v>5</v>
      </c>
      <c r="I9">
        <v>12</v>
      </c>
    </row>
    <row r="10" spans="1:9" x14ac:dyDescent="0.2">
      <c r="A10" s="235" t="s">
        <v>201</v>
      </c>
      <c r="D10">
        <v>3</v>
      </c>
      <c r="E10">
        <v>5</v>
      </c>
      <c r="H10">
        <v>3</v>
      </c>
      <c r="I10">
        <v>5</v>
      </c>
    </row>
    <row r="11" spans="1:9" x14ac:dyDescent="0.2">
      <c r="A11" s="235" t="s">
        <v>333</v>
      </c>
      <c r="B11">
        <v>3</v>
      </c>
      <c r="C11">
        <v>2</v>
      </c>
      <c r="D11">
        <v>20</v>
      </c>
      <c r="E11">
        <v>28</v>
      </c>
      <c r="F11">
        <v>3</v>
      </c>
      <c r="G11">
        <v>2</v>
      </c>
      <c r="H11">
        <v>20</v>
      </c>
      <c r="I11">
        <v>28</v>
      </c>
    </row>
    <row r="18" spans="1:11" x14ac:dyDescent="0.2">
      <c r="A18" s="234" t="s">
        <v>4</v>
      </c>
      <c r="B18" t="s">
        <v>1572</v>
      </c>
    </row>
    <row r="20" spans="1:11" x14ac:dyDescent="0.2">
      <c r="B20" s="234" t="s">
        <v>336</v>
      </c>
    </row>
    <row r="21" spans="1:11" x14ac:dyDescent="0.2">
      <c r="B21" t="s">
        <v>421</v>
      </c>
      <c r="G21" t="s">
        <v>414</v>
      </c>
    </row>
    <row r="22" spans="1:11" x14ac:dyDescent="0.2">
      <c r="A22" s="234" t="s">
        <v>326</v>
      </c>
      <c r="B22" t="s">
        <v>453</v>
      </c>
      <c r="C22" t="s">
        <v>445</v>
      </c>
      <c r="D22" t="s">
        <v>448</v>
      </c>
      <c r="E22" t="s">
        <v>450</v>
      </c>
      <c r="F22" t="s">
        <v>452</v>
      </c>
      <c r="G22" t="s">
        <v>453</v>
      </c>
      <c r="H22" t="s">
        <v>445</v>
      </c>
      <c r="I22" t="s">
        <v>448</v>
      </c>
      <c r="J22" t="s">
        <v>450</v>
      </c>
      <c r="K22" t="s">
        <v>452</v>
      </c>
    </row>
    <row r="23" spans="1:11" x14ac:dyDescent="0.2">
      <c r="A23" s="235" t="s">
        <v>424</v>
      </c>
      <c r="B23">
        <v>1</v>
      </c>
      <c r="G23">
        <v>9</v>
      </c>
      <c r="H23">
        <v>22</v>
      </c>
      <c r="I23">
        <v>61</v>
      </c>
      <c r="J23">
        <v>42</v>
      </c>
      <c r="K23">
        <v>7</v>
      </c>
    </row>
    <row r="24" spans="1:11" x14ac:dyDescent="0.2">
      <c r="A24" s="235" t="s">
        <v>425</v>
      </c>
      <c r="G24">
        <v>2</v>
      </c>
      <c r="H24">
        <v>1</v>
      </c>
      <c r="I24">
        <v>11</v>
      </c>
      <c r="J24">
        <v>4</v>
      </c>
      <c r="K24">
        <v>2</v>
      </c>
    </row>
    <row r="25" spans="1:11" x14ac:dyDescent="0.2">
      <c r="A25" s="235" t="s">
        <v>426</v>
      </c>
      <c r="G25">
        <v>61</v>
      </c>
      <c r="H25">
        <v>62</v>
      </c>
      <c r="I25">
        <v>235</v>
      </c>
      <c r="J25">
        <v>111</v>
      </c>
      <c r="K25">
        <v>41</v>
      </c>
    </row>
    <row r="26" spans="1:11" x14ac:dyDescent="0.2">
      <c r="A26" s="235" t="s">
        <v>427</v>
      </c>
      <c r="D26">
        <v>3</v>
      </c>
      <c r="F26">
        <v>1</v>
      </c>
      <c r="G26">
        <v>4</v>
      </c>
      <c r="H26">
        <v>4</v>
      </c>
      <c r="I26">
        <v>12</v>
      </c>
      <c r="J26">
        <v>12</v>
      </c>
      <c r="K26">
        <v>1</v>
      </c>
    </row>
    <row r="27" spans="1:11" x14ac:dyDescent="0.2">
      <c r="A27" s="235" t="s">
        <v>428</v>
      </c>
      <c r="H27">
        <v>3</v>
      </c>
      <c r="I27">
        <v>5</v>
      </c>
      <c r="J27">
        <v>5</v>
      </c>
      <c r="K27">
        <v>1</v>
      </c>
    </row>
    <row r="28" spans="1:11" x14ac:dyDescent="0.2">
      <c r="A28" s="235" t="s">
        <v>429</v>
      </c>
      <c r="B28">
        <v>1</v>
      </c>
      <c r="D28">
        <v>2</v>
      </c>
      <c r="G28">
        <v>13</v>
      </c>
      <c r="H28">
        <v>16</v>
      </c>
      <c r="I28">
        <v>68</v>
      </c>
      <c r="J28">
        <v>52</v>
      </c>
      <c r="K28">
        <v>4</v>
      </c>
    </row>
    <row r="29" spans="1:11" x14ac:dyDescent="0.2">
      <c r="A29" s="235" t="s">
        <v>430</v>
      </c>
      <c r="G29">
        <v>27</v>
      </c>
      <c r="H29">
        <v>18</v>
      </c>
      <c r="I29">
        <v>60</v>
      </c>
      <c r="J29">
        <v>24</v>
      </c>
      <c r="K29">
        <v>9</v>
      </c>
    </row>
    <row r="30" spans="1:11" x14ac:dyDescent="0.2">
      <c r="A30" s="235" t="s">
        <v>333</v>
      </c>
      <c r="B30">
        <v>2</v>
      </c>
      <c r="D30">
        <v>5</v>
      </c>
      <c r="F30">
        <v>1</v>
      </c>
      <c r="G30">
        <v>116</v>
      </c>
      <c r="H30">
        <v>126</v>
      </c>
      <c r="I30">
        <v>452</v>
      </c>
      <c r="J30">
        <v>250</v>
      </c>
      <c r="K30">
        <v>65</v>
      </c>
    </row>
    <row r="38" spans="1:10" x14ac:dyDescent="0.2">
      <c r="A38" s="234" t="s">
        <v>4</v>
      </c>
      <c r="B38" t="s">
        <v>1572</v>
      </c>
    </row>
    <row r="40" spans="1:10" x14ac:dyDescent="0.2">
      <c r="A40" s="234" t="s">
        <v>326</v>
      </c>
      <c r="B40" t="s">
        <v>458</v>
      </c>
      <c r="C40" t="s">
        <v>454</v>
      </c>
      <c r="D40" t="s">
        <v>455</v>
      </c>
      <c r="E40" t="s">
        <v>456</v>
      </c>
      <c r="F40" t="s">
        <v>457</v>
      </c>
      <c r="G40" t="s">
        <v>459</v>
      </c>
      <c r="H40" t="s">
        <v>460</v>
      </c>
      <c r="I40" t="s">
        <v>461</v>
      </c>
      <c r="J40" t="s">
        <v>462</v>
      </c>
    </row>
    <row r="41" spans="1:10" x14ac:dyDescent="0.2">
      <c r="A41" s="235" t="s">
        <v>432</v>
      </c>
      <c r="B41">
        <v>22</v>
      </c>
      <c r="C41">
        <v>57</v>
      </c>
      <c r="D41">
        <v>39</v>
      </c>
      <c r="E41">
        <v>140</v>
      </c>
      <c r="F41">
        <v>64</v>
      </c>
      <c r="J41">
        <v>2</v>
      </c>
    </row>
    <row r="42" spans="1:10" x14ac:dyDescent="0.2">
      <c r="A42" s="235" t="s">
        <v>433</v>
      </c>
      <c r="B42">
        <v>27</v>
      </c>
      <c r="C42">
        <v>30</v>
      </c>
      <c r="D42">
        <v>37</v>
      </c>
      <c r="E42">
        <v>153</v>
      </c>
      <c r="F42">
        <v>96</v>
      </c>
    </row>
    <row r="43" spans="1:10" x14ac:dyDescent="0.2">
      <c r="A43" s="235" t="s">
        <v>434</v>
      </c>
      <c r="B43">
        <v>11</v>
      </c>
      <c r="C43">
        <v>28</v>
      </c>
      <c r="D43">
        <v>44</v>
      </c>
      <c r="E43">
        <v>134</v>
      </c>
      <c r="F43">
        <v>76</v>
      </c>
      <c r="H43">
        <v>5</v>
      </c>
      <c r="J43">
        <v>1</v>
      </c>
    </row>
    <row r="44" spans="1:10" x14ac:dyDescent="0.2">
      <c r="A44" s="235" t="s">
        <v>435</v>
      </c>
      <c r="B44">
        <v>5</v>
      </c>
      <c r="C44">
        <v>1</v>
      </c>
      <c r="D44">
        <v>6</v>
      </c>
      <c r="E44">
        <v>25</v>
      </c>
      <c r="F44">
        <v>14</v>
      </c>
    </row>
    <row r="45" spans="1:10" x14ac:dyDescent="0.2">
      <c r="A45" s="235" t="s">
        <v>333</v>
      </c>
      <c r="B45">
        <v>65</v>
      </c>
      <c r="C45">
        <v>116</v>
      </c>
      <c r="D45">
        <v>126</v>
      </c>
      <c r="E45">
        <v>452</v>
      </c>
      <c r="F45">
        <v>250</v>
      </c>
      <c r="H45">
        <v>5</v>
      </c>
      <c r="J45">
        <v>3</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34">
    <tabColor rgb="FFBF8F00"/>
    <pageSetUpPr fitToPage="1"/>
  </sheetPr>
  <dimension ref="A1:X45"/>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35.85546875" customWidth="1"/>
    <col min="2" max="2" width="14.85546875" customWidth="1"/>
    <col min="3" max="3" width="12" customWidth="1"/>
    <col min="4" max="4" width="11.5703125" customWidth="1"/>
    <col min="5" max="5" width="11.42578125" customWidth="1"/>
    <col min="6" max="6" width="13.7109375" customWidth="1"/>
    <col min="7" max="7" width="11.42578125" customWidth="1"/>
    <col min="8" max="8" width="14.85546875" customWidth="1"/>
    <col min="9" max="13" width="12.28515625" customWidth="1"/>
    <col min="14" max="14" width="13.7109375" customWidth="1"/>
    <col min="15" max="15" width="4.140625" customWidth="1"/>
  </cols>
  <sheetData>
    <row r="1" spans="1:15" ht="15.75" x14ac:dyDescent="0.2">
      <c r="A1" s="298" t="s">
        <v>1133</v>
      </c>
    </row>
    <row r="2" spans="1:15" ht="15.75" customHeight="1" x14ac:dyDescent="0.2">
      <c r="A2" s="106" t="s">
        <v>578</v>
      </c>
    </row>
    <row r="3" spans="1:15" ht="38.25" customHeight="1" x14ac:dyDescent="0.2">
      <c r="A3" s="237" t="s">
        <v>1060</v>
      </c>
      <c r="B3" s="237"/>
      <c r="C3" s="237"/>
      <c r="D3" s="237"/>
      <c r="E3" s="237"/>
      <c r="F3" s="237"/>
      <c r="G3" s="237"/>
      <c r="H3" s="237"/>
      <c r="I3" s="237"/>
      <c r="J3" s="237"/>
      <c r="K3" s="129"/>
      <c r="L3" s="129"/>
      <c r="M3" s="129"/>
      <c r="N3" s="129"/>
      <c r="O3" s="129"/>
    </row>
    <row r="4" spans="1:15" ht="15.75" customHeight="1" x14ac:dyDescent="0.25">
      <c r="A4" s="351" t="s">
        <v>579</v>
      </c>
      <c r="B4" s="1043" t="s">
        <v>1378</v>
      </c>
      <c r="E4" s="237"/>
      <c r="F4" s="237"/>
      <c r="G4" s="237"/>
      <c r="H4" s="237"/>
      <c r="I4" s="237"/>
      <c r="J4" s="237"/>
      <c r="K4" s="129"/>
      <c r="L4" s="129"/>
      <c r="M4" s="129"/>
      <c r="N4" s="129"/>
      <c r="O4" s="129"/>
    </row>
    <row r="5" spans="1:15" ht="15.75" customHeight="1" x14ac:dyDescent="0.25">
      <c r="A5" s="351" t="s">
        <v>580</v>
      </c>
      <c r="B5" s="351" t="s">
        <v>581</v>
      </c>
      <c r="C5" s="237"/>
      <c r="D5" s="237"/>
      <c r="E5" s="237"/>
      <c r="F5" s="237"/>
      <c r="G5" s="237"/>
      <c r="H5" s="237"/>
      <c r="I5" s="237"/>
      <c r="J5" s="237"/>
      <c r="K5" s="129"/>
      <c r="L5" s="129"/>
      <c r="M5" s="129"/>
      <c r="N5" s="129"/>
      <c r="O5" s="129"/>
    </row>
    <row r="6" spans="1:15" ht="15.75" customHeight="1" x14ac:dyDescent="0.25">
      <c r="A6" s="351" t="s">
        <v>582</v>
      </c>
      <c r="B6" s="351" t="s">
        <v>585</v>
      </c>
      <c r="C6" s="237"/>
      <c r="D6" s="237"/>
      <c r="E6" s="237"/>
      <c r="F6" s="237"/>
      <c r="G6" s="237"/>
      <c r="H6" s="237"/>
      <c r="I6" s="237"/>
      <c r="J6" s="237"/>
      <c r="K6" s="129"/>
      <c r="L6" s="129"/>
      <c r="M6" s="129"/>
      <c r="N6" s="129"/>
      <c r="O6" s="129"/>
    </row>
    <row r="7" spans="1:15" ht="13.5" customHeight="1" x14ac:dyDescent="0.2">
      <c r="A7" s="129"/>
      <c r="B7" s="129"/>
      <c r="C7" s="129"/>
      <c r="D7" s="129"/>
      <c r="E7" s="129"/>
      <c r="F7" s="129"/>
      <c r="G7" s="129"/>
      <c r="H7" s="129"/>
      <c r="I7" s="129"/>
      <c r="J7" s="143" t="s">
        <v>0</v>
      </c>
      <c r="K7" s="129"/>
      <c r="L7" s="129"/>
      <c r="M7" s="129"/>
      <c r="N7" s="129"/>
      <c r="O7" s="129"/>
    </row>
    <row r="8" spans="1:15" x14ac:dyDescent="0.2">
      <c r="A8" s="1317" t="s">
        <v>298</v>
      </c>
      <c r="B8" s="1282" t="s">
        <v>498</v>
      </c>
      <c r="C8" s="1298"/>
      <c r="D8" s="1298"/>
      <c r="E8" s="1298"/>
      <c r="F8" s="1298"/>
      <c r="G8" s="1298"/>
      <c r="H8" s="917" t="s">
        <v>163</v>
      </c>
      <c r="I8" s="41"/>
      <c r="J8" s="1282" t="s">
        <v>54</v>
      </c>
      <c r="K8" s="145"/>
      <c r="L8" s="145"/>
      <c r="M8" s="145"/>
      <c r="N8" s="145"/>
      <c r="O8" s="1"/>
    </row>
    <row r="9" spans="1:15" ht="26.25" customHeight="1" x14ac:dyDescent="0.2">
      <c r="A9" s="1317"/>
      <c r="B9" s="194" t="s">
        <v>175</v>
      </c>
      <c r="C9" s="194" t="s">
        <v>176</v>
      </c>
      <c r="D9" s="194" t="s">
        <v>177</v>
      </c>
      <c r="E9" s="194" t="s">
        <v>178</v>
      </c>
      <c r="F9" s="145" t="s">
        <v>161</v>
      </c>
      <c r="G9" s="903" t="s">
        <v>11</v>
      </c>
      <c r="H9" s="613" t="s">
        <v>11</v>
      </c>
      <c r="I9" s="39"/>
      <c r="J9" s="1282"/>
      <c r="K9" s="145"/>
      <c r="L9" s="145"/>
      <c r="M9" s="145"/>
      <c r="N9" s="145"/>
      <c r="O9" s="1"/>
    </row>
    <row r="10" spans="1:15" ht="18.75" customHeight="1" x14ac:dyDescent="0.2">
      <c r="A10" s="891" t="s">
        <v>162</v>
      </c>
      <c r="B10" s="218">
        <f>IFERROR(GETPIVOTDATA("Sum of 0-16",T_16!$A$4,"Who","Non FRS personnel","Pub_fataldescription","Burns"),0)</f>
        <v>0</v>
      </c>
      <c r="C10" s="218">
        <f>GETPIVOTDATA("Sum of 17-29",T_16!$A$4,"Who","Non FRS personnel","Pub_fataldescription","Burns")</f>
        <v>2</v>
      </c>
      <c r="D10" s="131">
        <f>GETPIVOTDATA("Sum of 30-59",T_16!$A$4,"Who","Non FRS personnel","Pub_fataldescription","Burns")</f>
        <v>8</v>
      </c>
      <c r="E10" s="131">
        <f>GETPIVOTDATA("Sum of 60+",T_16!$A$4,"Who","Non FRS personnel","Pub_fataldescription","Burns")</f>
        <v>7</v>
      </c>
      <c r="F10" s="218">
        <f>IFERROR(GETPIVOTDATA("Sum of Unknown",T_16!$A$4,"Who","Non FRS personnel","Pub_fataldescription","Burns"),0)</f>
        <v>0</v>
      </c>
      <c r="G10" s="723">
        <f t="shared" ref="G10:G15" si="0">SUM(B10:F10)</f>
        <v>17</v>
      </c>
      <c r="H10" s="911">
        <f>IFERROR(GETPIVOTDATA("Sum of 0-16",T_16!$A$4,"Who","FRS personnel","Pub_fataldescription","Burns")+GETPIVOTDATA("Sum of 17-29",T_16!$A$4,"Who","FRS personnel","Pub_fataldescription","Burns")+GETPIVOTDATA("Sum of 30-59",T_16!$A$4,"Who","FRS personnel","Pub_fataldescription","Burns")+GETPIVOTDATA("Sum of 60+",T_16!$A$4,"Who","FRS personnel","Pub_fataldescription","Burns"),0)</f>
        <v>0</v>
      </c>
      <c r="I10" s="901"/>
      <c r="J10" s="900">
        <f t="shared" ref="J10:J15" si="1">G10+H10</f>
        <v>17</v>
      </c>
      <c r="K10" s="3"/>
      <c r="L10" s="3"/>
      <c r="M10" s="3"/>
      <c r="N10" s="3"/>
      <c r="O10" s="1"/>
    </row>
    <row r="11" spans="1:15" ht="13.5" customHeight="1" x14ac:dyDescent="0.2">
      <c r="A11" s="817" t="s">
        <v>548</v>
      </c>
      <c r="B11" s="126">
        <f>IFERROR(GETPIVOTDATA("Sum of 0-16",T_16!$A$4,"Who","Non FRS personnel","Pub_fataldescription","Combination of burns and overcome by gas/smoke"),0)</f>
        <v>0</v>
      </c>
      <c r="C11" s="126">
        <f>GETPIVOTDATA("Sum of 17-29",T_16!$A$4,"Who","Non FRS personnel","Pub_fataldescription","Combination of burns and overcome by gas/smoke")</f>
        <v>0</v>
      </c>
      <c r="D11" s="130">
        <f>GETPIVOTDATA("Sum of 30-59",T_16!$A$4,"Who","Non FRS personnel","Pub_fataldescription","Combination of burns and overcome by gas/smoke")</f>
        <v>4</v>
      </c>
      <c r="E11" s="130">
        <f>GETPIVOTDATA("Sum of 60+",T_16!$A$4,"Who","Non FRS personnel","Pub_fataldescription","Combination of burns and overcome by gas/smoke")</f>
        <v>4</v>
      </c>
      <c r="F11" s="126">
        <f>IFERROR(GETPIVOTDATA("Sum of Unknown",T_16!$A$4,"Who","Non FRS personnel","Pub_fataldescription","Combination of burns and overcome by gas/smoke"),0)</f>
        <v>0</v>
      </c>
      <c r="G11" s="144">
        <f t="shared" si="0"/>
        <v>8</v>
      </c>
      <c r="H11" s="912">
        <f>IFERROR(GETPIVOTDATA("Sum of 0-16",T_16!$A$4,"Who","FRS personnel","Pub_fataldescription","Combination of burns and overcome by gas/smoke")+GETPIVOTDATA("Sum of 17-29",T_16!$A$4,"Who","FRS personnel","Pub_fataldescription","Combination of burns and overcome by gas/smoke")+GETPIVOTDATA("Sum of 30-59",T_16!$A$4,"Who","FRS personnel","Pub_fataldescription","Combination of burns and overcome by gas/smoke")+GETPIVOTDATA("Sum of 60+",T_16!$A$4,"Who","FRS personnel","Pub_fataldescription","Combination of burns and overcome by gas/smoke"),0)</f>
        <v>0</v>
      </c>
      <c r="I11" s="12"/>
      <c r="J11" s="146">
        <f t="shared" si="1"/>
        <v>8</v>
      </c>
      <c r="K11" s="3"/>
      <c r="L11" s="3"/>
      <c r="M11" s="3"/>
      <c r="N11" s="3"/>
      <c r="O11" s="1"/>
    </row>
    <row r="12" spans="1:15" ht="13.5" customHeight="1" x14ac:dyDescent="0.2">
      <c r="A12" s="13" t="s">
        <v>549</v>
      </c>
      <c r="B12" s="126">
        <f>IFERROR(GETPIVOTDATA("Sum of 0-16",T_16!$A$4,"Who","Non FRS personnel","Pub_fataldescription","Overcome by gas, smoke or toxic fumes"),0)</f>
        <v>3</v>
      </c>
      <c r="C12" s="127">
        <f>GETPIVOTDATA("Sum of 17-29",T_16!$A$4,"Who","Non FRS personnel","Pub_fataldescription","Overcome by gas, smoke or toxic fumes")</f>
        <v>0</v>
      </c>
      <c r="D12" s="127">
        <f>GETPIVOTDATA("Sum of 30-59",T_16!$A$4,"Who","Non FRS personnel","Pub_fataldescription","Overcome by gas, smoke or toxic fumes")</f>
        <v>5</v>
      </c>
      <c r="E12" s="127">
        <f>GETPIVOTDATA("Sum of 60+",T_16!$A$4,"Who","Non FRS personnel","Pub_fataldescription","Overcome by gas, smoke or toxic fumes")</f>
        <v>12</v>
      </c>
      <c r="F12" s="126">
        <f>IFERROR(GETPIVOTDATA("Sum of Unknown",T_16!$A$4,"Who","Non FRS personnel","Pub_fataldescription","Overcome by gas, smoke or toxic fumes"),0)</f>
        <v>0</v>
      </c>
      <c r="G12" s="144">
        <f t="shared" si="0"/>
        <v>20</v>
      </c>
      <c r="H12" s="912">
        <f>IFERROR(GETPIVOTDATA("Sum of 0-16",T_16!$A$4,"Who","FRS personnel","Pub_fataldescription","Overcome by gas, smoke or toxic fumes")+GETPIVOTDATA("Sum of 17-29",T_16!$A$4,"Who","FRS personnel","Pub_fataldescription","Overcome by gas, smoke or toxic fumes")+GETPIVOTDATA("Sum of 30-59",T_16!$A$4,"Who","FRS personnel","Pub_fataldescription","Overcome by gas, smoke or toxic fumes")+GETPIVOTDATA("Sum of 60+",T_16!$A$4,"Who","FRS personnel","Pub_fataldescription","Overcome by gas, smoke or toxic fumes"),0)</f>
        <v>0</v>
      </c>
      <c r="I12" s="12"/>
      <c r="J12" s="146">
        <f t="shared" si="1"/>
        <v>20</v>
      </c>
      <c r="K12" s="3"/>
      <c r="L12" s="3"/>
      <c r="M12" s="3"/>
      <c r="N12" s="3"/>
      <c r="O12" s="1"/>
    </row>
    <row r="13" spans="1:15" ht="13.5" customHeight="1" x14ac:dyDescent="0.2">
      <c r="A13" s="890" t="s">
        <v>550</v>
      </c>
      <c r="B13" s="126">
        <f>IFERROR(GETPIVOTDATA("Sum of 0-16",T_16!$A$4,"Who","Non FRS personnel","Pub_fataldescription","Physical injuries"),0)</f>
        <v>0</v>
      </c>
      <c r="C13" s="127">
        <f>IFERROR(GETPIVOTDATA("Sum of 17-29",T_16!$A$4,"Who","Non FRS personnel","Pub_fataldescription","Physical injuries"),0)</f>
        <v>0</v>
      </c>
      <c r="D13" s="127">
        <f>IFERROR(GETPIVOTDATA("Sum of 30-59",T_16!$A$4,"Who","Non FRS personnel","Pub_fataldescription","Physical injuries"),0)</f>
        <v>0</v>
      </c>
      <c r="E13" s="127">
        <f>IFERROR(GETPIVOTDATA("Sum of 60+",T_16!$A$4,"Who","Non FRS personnel","Pub_fataldescription","Physical injuries"),0)</f>
        <v>0</v>
      </c>
      <c r="F13" s="126">
        <f>IFERROR(GETPIVOTDATA("Sum of Unknown",T_16!$A$4,"Who","Non FRS personnel","Pub_fataldescription","Physical injuries"),0)</f>
        <v>0</v>
      </c>
      <c r="G13" s="144">
        <f t="shared" si="0"/>
        <v>0</v>
      </c>
      <c r="H13" s="912">
        <f>IFERROR(GETPIVOTDATA("Sum of 0-16",T_16!$A$4,"Who","FRS personnel","Pub_fataldescription","Physical injuries")+GETPIVOTDATA("Sum of 17-29",T_16!$A$4,"Who","FRS personnel","Pub_fataldescription","Physical injuries")+GETPIVOTDATA("Sum of 30-59",T_16!$A$4,"Who","FRS personnel","Pub_fataldescription","Physical injuries")+GETPIVOTDATA("Sum of 60+",T_16!$A$4,"Who","FRS personnel","Pub_fataldescription","Physical injuries"),0)</f>
        <v>0</v>
      </c>
      <c r="I13" s="12"/>
      <c r="J13" s="146">
        <f t="shared" si="1"/>
        <v>0</v>
      </c>
      <c r="K13" s="3"/>
      <c r="L13" s="3"/>
      <c r="M13" s="3"/>
      <c r="N13" s="3"/>
      <c r="O13" s="1"/>
    </row>
    <row r="14" spans="1:15" ht="13.5" customHeight="1" x14ac:dyDescent="0.2">
      <c r="A14" s="885" t="s">
        <v>551</v>
      </c>
      <c r="B14" s="126">
        <f>IFERROR(GETPIVOTDATA("Sum of 0-16",T_16!$A$4,"Who","Non FRS personnel","Pub_fataldescription","Other specified"),0)</f>
        <v>0</v>
      </c>
      <c r="C14" s="127">
        <f>IFERROR(GETPIVOTDATA("Sum of 17-29",T_16!$A$4,"Who","Non FRS personnel","Pub_fataldescription","Other specified"),0)</f>
        <v>0</v>
      </c>
      <c r="D14" s="127">
        <f>IFERROR(GETPIVOTDATA("Sum of 30-59",T_16!$A$4,"Who","Non FRS personnel","Pub_fataldescription","Other specified"),0)</f>
        <v>0</v>
      </c>
      <c r="E14" s="127">
        <f>IFERROR(GETPIVOTDATA("Sum of 60+",T_16!$A$4,"Who","Non FRS personnel","Pub_fataldescription","Other specified"),0)</f>
        <v>0</v>
      </c>
      <c r="F14" s="126">
        <f>IFERROR(GETPIVOTDATA("Sum of Unknown",T_16!$A$4,"Who","Non FRS personnel","Pub_fataldescription","Other specified"),0)</f>
        <v>0</v>
      </c>
      <c r="G14" s="144">
        <f t="shared" si="0"/>
        <v>0</v>
      </c>
      <c r="H14" s="912">
        <f>IFERROR(GETPIVOTDATA("Sum of 0-16",T_16!$A$4,"Who","FRS personnel","Pub_fataldescription","Other specified")+GETPIVOTDATA("Sum of 17-29",T_16!$A$4,"Who","FRS personnel","Pub_fataldescription","Other specified")+GETPIVOTDATA("Sum of 30-59",T_16!$A$4,"Who","FRS personnel","Pub_fataldescription","Other specified")+GETPIVOTDATA("Sum of 60+",T_16!$A$4,"Who","FRS personnel","Pub_fataldescription","Other specified"),0)</f>
        <v>0</v>
      </c>
      <c r="I14" s="12"/>
      <c r="J14" s="146">
        <f t="shared" si="1"/>
        <v>0</v>
      </c>
      <c r="K14" s="3"/>
      <c r="L14" s="3"/>
      <c r="M14" s="3"/>
      <c r="N14" s="3"/>
      <c r="O14" s="1"/>
    </row>
    <row r="15" spans="1:15" ht="13.5" customHeight="1" x14ac:dyDescent="0.2">
      <c r="A15" s="311" t="s">
        <v>552</v>
      </c>
      <c r="B15" s="126">
        <f>IFERROR(GETPIVOTDATA("Sum of 0-16",T_16!$A$4,"Who","Non FRS personnel","Pub_fataldescription","Unspecified"),0)</f>
        <v>0</v>
      </c>
      <c r="C15" s="126">
        <f>GETPIVOTDATA("Sum of 17-29",T_16!$A$4,"Who","Non FRS personnel","Pub_fataldescription","Unspecified")</f>
        <v>0</v>
      </c>
      <c r="D15" s="126">
        <f>GETPIVOTDATA("Sum of 30-59",T_16!$A$4,"Who","Non FRS personnel","Pub_fataldescription","Unspecified")</f>
        <v>3</v>
      </c>
      <c r="E15" s="126">
        <f>GETPIVOTDATA("Sum of 60+",T_16!$A$4,"Who","Non FRS personnel","Pub_fataldescription","Unspecified")</f>
        <v>5</v>
      </c>
      <c r="F15" s="126">
        <f>IFERROR(GETPIVOTDATA("Sum of Unknown",T_16!$A$4,"Who","Non FRS personnel","Pub_fataldescription","Unspecified"),0)</f>
        <v>0</v>
      </c>
      <c r="G15" s="144">
        <f t="shared" si="0"/>
        <v>8</v>
      </c>
      <c r="H15" s="912">
        <f>IFERROR(GETPIVOTDATA("Sum of 0-16",T_16!$A$4,"Who","FRS personnel","Pub_fataldescription","Unspecified")+GETPIVOTDATA("Sum of 17-29",T_16!$A$4,"Who","FRS personnel","Pub_fataldescription","Unspecified")+GETPIVOTDATA("Sum of 30-59",T_16!$A$4,"Who","FRS personnel","Pub_fataldescription","Unspecified")+GETPIVOTDATA("Sum of 60+",T_16!$A$4,"Who","FRS personnel","Pub_fataldescription","Unspecified"),0)</f>
        <v>0</v>
      </c>
      <c r="I15" s="12"/>
      <c r="J15" s="146">
        <f t="shared" si="1"/>
        <v>8</v>
      </c>
      <c r="K15" s="3"/>
      <c r="L15" s="3"/>
      <c r="M15" s="3"/>
      <c r="N15" s="3"/>
      <c r="O15" s="1"/>
    </row>
    <row r="16" spans="1:15" x14ac:dyDescent="0.2">
      <c r="A16" s="138"/>
      <c r="B16" s="126"/>
      <c r="C16" s="130"/>
      <c r="D16" s="130"/>
      <c r="E16" s="130"/>
      <c r="F16" s="130"/>
      <c r="G16" s="144"/>
      <c r="H16" s="913"/>
      <c r="I16" s="12"/>
      <c r="J16" s="146"/>
      <c r="K16" s="3"/>
      <c r="L16" s="3"/>
      <c r="M16" s="3"/>
      <c r="N16" s="3"/>
      <c r="O16" s="1"/>
    </row>
    <row r="17" spans="1:15" ht="30" customHeight="1" thickBot="1" x14ac:dyDescent="0.25">
      <c r="A17" s="908" t="s">
        <v>11</v>
      </c>
      <c r="B17" s="909">
        <f t="shared" ref="B17:G17" si="2">SUM(B10:B16)</f>
        <v>3</v>
      </c>
      <c r="C17" s="909">
        <f t="shared" si="2"/>
        <v>2</v>
      </c>
      <c r="D17" s="909">
        <f t="shared" si="2"/>
        <v>20</v>
      </c>
      <c r="E17" s="909">
        <f t="shared" si="2"/>
        <v>28</v>
      </c>
      <c r="F17" s="909">
        <f t="shared" si="2"/>
        <v>0</v>
      </c>
      <c r="G17" s="1188">
        <f t="shared" si="2"/>
        <v>53</v>
      </c>
      <c r="H17" s="914">
        <f>SUM(H10:H15)</f>
        <v>0</v>
      </c>
      <c r="I17" s="902"/>
      <c r="J17" s="471">
        <f>SUM(J10:J16)</f>
        <v>53</v>
      </c>
      <c r="K17" s="51"/>
      <c r="L17" s="51"/>
      <c r="M17" s="51"/>
      <c r="N17" s="51"/>
      <c r="O17" s="1"/>
    </row>
    <row r="18" spans="1:15" x14ac:dyDescent="0.2">
      <c r="A18" s="1"/>
      <c r="B18" s="1"/>
      <c r="C18" s="1"/>
      <c r="D18" s="1"/>
      <c r="E18" s="1"/>
      <c r="F18" s="1"/>
      <c r="G18" s="1"/>
      <c r="H18" s="1"/>
      <c r="I18" s="1"/>
      <c r="J18" s="1"/>
      <c r="K18" s="1"/>
      <c r="L18" s="1"/>
      <c r="M18" s="1"/>
      <c r="N18" s="1"/>
      <c r="O18" s="1"/>
    </row>
    <row r="19" spans="1:15" x14ac:dyDescent="0.2">
      <c r="A19" s="123" t="s">
        <v>146</v>
      </c>
      <c r="K19" s="86" t="s">
        <v>669</v>
      </c>
      <c r="L19" s="86"/>
      <c r="M19" s="86"/>
      <c r="N19" s="149"/>
      <c r="O19" s="1"/>
    </row>
    <row r="20" spans="1:15" ht="15.75" customHeight="1" x14ac:dyDescent="0.25">
      <c r="A20" s="1407" t="s">
        <v>431</v>
      </c>
      <c r="B20" s="1407"/>
      <c r="C20" s="1407"/>
      <c r="D20" s="1407"/>
      <c r="E20" s="1407"/>
      <c r="F20" s="1407"/>
      <c r="G20" s="1407"/>
      <c r="H20" s="1407"/>
      <c r="I20" s="1407"/>
      <c r="J20" s="1407"/>
      <c r="K20" s="1407"/>
      <c r="L20" s="1407"/>
      <c r="M20" s="125"/>
      <c r="N20" s="149"/>
      <c r="O20" s="1"/>
    </row>
    <row r="21" spans="1:15" ht="15" customHeight="1" x14ac:dyDescent="0.25">
      <c r="A21" s="1408" t="s">
        <v>554</v>
      </c>
      <c r="B21" s="1408"/>
      <c r="C21" s="1408"/>
      <c r="D21" s="1408"/>
      <c r="E21" s="1408"/>
      <c r="F21" s="1408"/>
      <c r="G21" s="1408"/>
      <c r="H21" s="1408"/>
      <c r="I21" s="1408"/>
      <c r="J21" s="1408"/>
      <c r="K21" s="1408"/>
      <c r="L21" s="1408"/>
      <c r="M21" s="172"/>
      <c r="N21" s="149"/>
      <c r="O21" s="1"/>
    </row>
    <row r="22" spans="1:15" x14ac:dyDescent="0.2">
      <c r="A22" s="172"/>
      <c r="B22" s="172"/>
      <c r="C22" s="172"/>
      <c r="D22" s="86"/>
      <c r="E22" s="86"/>
      <c r="F22" s="86"/>
      <c r="G22" s="86"/>
      <c r="H22" s="86"/>
      <c r="I22" s="86"/>
      <c r="J22" s="86"/>
      <c r="K22" s="86"/>
      <c r="L22" s="86"/>
      <c r="M22" s="86"/>
      <c r="N22" s="149"/>
      <c r="O22" s="1"/>
    </row>
    <row r="23" spans="1:15" x14ac:dyDescent="0.2">
      <c r="A23" s="172"/>
      <c r="B23" s="172"/>
      <c r="C23" s="172"/>
      <c r="D23" s="86"/>
      <c r="E23" s="86"/>
      <c r="F23" s="86"/>
      <c r="G23" s="86"/>
      <c r="H23" s="86"/>
      <c r="I23" s="86"/>
      <c r="J23" s="86"/>
      <c r="K23" s="86"/>
      <c r="L23" s="86"/>
      <c r="M23" s="86"/>
      <c r="N23" s="149"/>
      <c r="O23" s="1"/>
    </row>
    <row r="24" spans="1:15" ht="38.25" customHeight="1" x14ac:dyDescent="0.2">
      <c r="A24" s="120" t="s">
        <v>1059</v>
      </c>
      <c r="B24" s="120"/>
      <c r="C24" s="120"/>
      <c r="D24" s="120"/>
      <c r="E24" s="120"/>
      <c r="F24" s="120"/>
      <c r="G24" s="120"/>
      <c r="H24" s="120"/>
      <c r="I24" s="120"/>
      <c r="J24" s="120"/>
      <c r="K24" s="1"/>
      <c r="L24" s="1"/>
      <c r="M24" s="1"/>
      <c r="N24" s="1"/>
      <c r="O24" s="1"/>
    </row>
    <row r="25" spans="1:15" ht="15" customHeight="1" x14ac:dyDescent="0.25">
      <c r="A25" s="351" t="s">
        <v>579</v>
      </c>
      <c r="B25" s="1043" t="s">
        <v>1380</v>
      </c>
      <c r="C25" s="120"/>
      <c r="D25" s="120"/>
      <c r="E25" s="120"/>
      <c r="F25" s="120"/>
      <c r="G25" s="120"/>
      <c r="H25" s="120"/>
      <c r="I25" s="120"/>
      <c r="J25" s="120"/>
      <c r="K25" s="1"/>
      <c r="L25" s="1"/>
      <c r="M25" s="1"/>
      <c r="N25" s="1"/>
      <c r="O25" s="1"/>
    </row>
    <row r="26" spans="1:15" ht="15" customHeight="1" x14ac:dyDescent="0.25">
      <c r="A26" s="351" t="s">
        <v>580</v>
      </c>
      <c r="B26" s="351" t="s">
        <v>581</v>
      </c>
      <c r="C26" s="120"/>
      <c r="D26" s="120"/>
      <c r="E26" s="120"/>
      <c r="F26" s="120"/>
      <c r="G26" s="120"/>
      <c r="H26" s="120"/>
      <c r="I26" s="120"/>
      <c r="J26" s="120"/>
      <c r="K26" s="1"/>
      <c r="L26" s="1"/>
      <c r="M26" s="1"/>
      <c r="N26" s="1"/>
      <c r="O26" s="1"/>
    </row>
    <row r="27" spans="1:15" ht="15" customHeight="1" x14ac:dyDescent="0.25">
      <c r="A27" s="351" t="s">
        <v>582</v>
      </c>
      <c r="B27" s="351" t="s">
        <v>585</v>
      </c>
      <c r="C27" s="120"/>
      <c r="D27" s="120"/>
      <c r="E27" s="120"/>
      <c r="F27" s="120"/>
      <c r="G27" s="120"/>
      <c r="H27" s="120"/>
      <c r="I27" s="120"/>
      <c r="J27" s="120"/>
      <c r="K27" s="1"/>
      <c r="L27" s="1"/>
      <c r="M27" s="1"/>
      <c r="N27" s="1"/>
      <c r="O27" s="1"/>
    </row>
    <row r="28" spans="1:15" ht="15" x14ac:dyDescent="0.25">
      <c r="A28" s="2"/>
      <c r="B28" s="1"/>
      <c r="C28" s="1"/>
      <c r="D28" s="1"/>
      <c r="E28" s="1"/>
      <c r="F28" s="2"/>
      <c r="G28" s="1"/>
      <c r="H28" s="1"/>
      <c r="I28" s="1"/>
      <c r="J28" s="80"/>
      <c r="K28" s="80"/>
      <c r="L28" s="80"/>
      <c r="M28" s="80"/>
      <c r="N28" s="80" t="s">
        <v>0</v>
      </c>
      <c r="O28" s="1"/>
    </row>
    <row r="29" spans="1:15" x14ac:dyDescent="0.2">
      <c r="A29" s="1317" t="s">
        <v>170</v>
      </c>
      <c r="B29" s="1282" t="s">
        <v>498</v>
      </c>
      <c r="C29" s="1298"/>
      <c r="D29" s="1298"/>
      <c r="E29" s="1298"/>
      <c r="F29" s="1298"/>
      <c r="G29" s="1298"/>
      <c r="H29" s="1418" t="s">
        <v>163</v>
      </c>
      <c r="I29" s="1418"/>
      <c r="J29" s="1418"/>
      <c r="K29" s="1418"/>
      <c r="L29" s="1418"/>
      <c r="M29" s="1418"/>
      <c r="N29" s="1282" t="s">
        <v>55</v>
      </c>
      <c r="O29" s="77"/>
    </row>
    <row r="30" spans="1:15" ht="25.5" x14ac:dyDescent="0.2">
      <c r="A30" s="1317"/>
      <c r="B30" s="194" t="s">
        <v>175</v>
      </c>
      <c r="C30" s="194" t="s">
        <v>176</v>
      </c>
      <c r="D30" s="194" t="s">
        <v>177</v>
      </c>
      <c r="E30" s="194" t="s">
        <v>178</v>
      </c>
      <c r="F30" s="145" t="s">
        <v>169</v>
      </c>
      <c r="G30" s="903" t="s">
        <v>11</v>
      </c>
      <c r="H30" s="194" t="s">
        <v>175</v>
      </c>
      <c r="I30" s="194" t="s">
        <v>176</v>
      </c>
      <c r="J30" s="194" t="s">
        <v>177</v>
      </c>
      <c r="K30" s="194" t="s">
        <v>178</v>
      </c>
      <c r="L30" s="898" t="s">
        <v>169</v>
      </c>
      <c r="M30" s="613" t="s">
        <v>11</v>
      </c>
      <c r="N30" s="1282"/>
      <c r="O30" s="77"/>
    </row>
    <row r="31" spans="1:15" ht="18.75" customHeight="1" x14ac:dyDescent="0.2">
      <c r="A31" s="891" t="s">
        <v>162</v>
      </c>
      <c r="B31" s="131">
        <f>GETPIVOTDATA("Sum of 0-16",T_16!$A$20,"who","Non FRS personnel","Pub_injury_withchecks","1Burns")</f>
        <v>9</v>
      </c>
      <c r="C31" s="131">
        <f>GETPIVOTDATA("Sum of 17-29",T_16!$A$20,"who","Non FRS personnel","Pub_injury_withchecks","1Burns")</f>
        <v>22</v>
      </c>
      <c r="D31" s="131">
        <f>GETPIVOTDATA("Sum of 30-59",T_16!$A$20,"who","Non FRS personnel","Pub_injury_withchecks","1Burns")</f>
        <v>61</v>
      </c>
      <c r="E31" s="131">
        <f>GETPIVOTDATA("Sum of 60+",T_16!$A$20,"who","Non FRS personnel","Pub_injury_withchecks","1Burns")</f>
        <v>42</v>
      </c>
      <c r="F31" s="131">
        <f>GETPIVOTDATA("Sum of Unknown",T_16!$A$20,"who","Non FRS personnel","Pub_injury_withchecks","1Burns")</f>
        <v>7</v>
      </c>
      <c r="G31" s="723">
        <f>SUM(B31:F31)</f>
        <v>141</v>
      </c>
      <c r="H31" s="142">
        <f>GETPIVOTDATA("Sum of 0-16",T_16!$A$20,"who","FRS personnel","Pub_injury_withchecks","1Burns")</f>
        <v>1</v>
      </c>
      <c r="I31" s="142">
        <f>GETPIVOTDATA("Sum of 17-29",T_16!$A$20,"who","FRS personnel","Pub_injury_withchecks","1Burns")</f>
        <v>0</v>
      </c>
      <c r="J31" s="142">
        <f>GETPIVOTDATA("Sum of 30-59",T_16!$A$20,"who","FRS personnel","Pub_injury_withchecks","1Burns")</f>
        <v>0</v>
      </c>
      <c r="K31" s="142">
        <f>GETPIVOTDATA("Sum of 60+",T_16!$A$20,"who","FRS personnel","Pub_injury_withchecks","1Burns")</f>
        <v>0</v>
      </c>
      <c r="L31" s="142">
        <f>GETPIVOTDATA("Sum of Unknown",T_16!$A$20,"who","FRS personnel","Pub_injury_withchecks","1Burns")</f>
        <v>0</v>
      </c>
      <c r="M31" s="915">
        <f t="shared" ref="M31:M37" si="3">SUM(H31:L31)</f>
        <v>1</v>
      </c>
      <c r="N31" s="413">
        <f t="shared" ref="N31:N37" si="4">G31+M31</f>
        <v>142</v>
      </c>
      <c r="O31" s="21"/>
    </row>
    <row r="32" spans="1:15" ht="13.5" customHeight="1" x14ac:dyDescent="0.2">
      <c r="A32" s="817" t="s">
        <v>548</v>
      </c>
      <c r="B32" s="130">
        <f>GETPIVOTDATA("Sum of 0-16",T_16!$A$20,"who","Non FRS personnel","Pub_injury_withchecks","2Combination of burns and overcome by gas/smoke")</f>
        <v>2</v>
      </c>
      <c r="C32" s="130">
        <f>GETPIVOTDATA("Sum of 17-29",T_16!$A$20,"who","Non FRS personnel","Pub_injury_withchecks","2Combination of burns and overcome by gas/smoke")</f>
        <v>1</v>
      </c>
      <c r="D32" s="130">
        <f>GETPIVOTDATA("Sum of 30-59",T_16!$A$20,"who","Non FRS personnel","Pub_injury_withchecks","2Combination of burns and overcome by gas/smoke")</f>
        <v>11</v>
      </c>
      <c r="E32" s="130">
        <f>GETPIVOTDATA("Sum of 60+",T_16!$A$20,"who","Non FRS personnel","Pub_injury_withchecks","2Combination of burns and overcome by gas/smoke")</f>
        <v>4</v>
      </c>
      <c r="F32" s="130">
        <f>GETPIVOTDATA("Sum of Unknown",T_16!$A$20,"who","Non FRS personnel","Pub_injury_withchecks","2Combination of burns and overcome by gas/smoke")</f>
        <v>2</v>
      </c>
      <c r="G32" s="144">
        <f t="shared" ref="G32:G37" si="5">SUM(B32:F32)</f>
        <v>20</v>
      </c>
      <c r="H32" s="70">
        <f>GETPIVOTDATA("Sum of 0-16",T_16!$A$20,"who","FRS personnel","Pub_injury_withchecks","2Combination of burns and overcome by gas/smoke")</f>
        <v>0</v>
      </c>
      <c r="I32" s="70">
        <f>GETPIVOTDATA("Sum of 17-29",T_16!$A$20,"who","FRS personnel","Pub_injury_withchecks","2Combination of burns and overcome by gas/smoke")</f>
        <v>0</v>
      </c>
      <c r="J32" s="70">
        <f>GETPIVOTDATA("Sum of 30-59",T_16!$A$20,"who","FRS personnel","Pub_injury_withchecks","2Combination of burns and overcome by gas/smoke")</f>
        <v>0</v>
      </c>
      <c r="K32" s="70">
        <f>GETPIVOTDATA("Sum of 60+",T_16!$A$20,"who","FRS personnel","Pub_injury_withchecks","2Combination of burns and overcome by gas/smoke")</f>
        <v>0</v>
      </c>
      <c r="L32" s="70">
        <f>GETPIVOTDATA("Sum of Unknown",T_16!$A$20,"who","FRS personnel","Pub_injury_withchecks","2Combination of burns and overcome by gas/smoke")</f>
        <v>0</v>
      </c>
      <c r="M32" s="916">
        <f t="shared" si="3"/>
        <v>0</v>
      </c>
      <c r="N32" s="21">
        <f t="shared" si="4"/>
        <v>20</v>
      </c>
      <c r="O32" s="21"/>
    </row>
    <row r="33" spans="1:24" ht="13.5" customHeight="1" x14ac:dyDescent="0.2">
      <c r="A33" s="13" t="s">
        <v>549</v>
      </c>
      <c r="B33" s="130">
        <f>GETPIVOTDATA("Sum of 0-16",T_16!$A$20,"who","Non FRS personnel","Pub_injury_withchecks","3Overcome by gas, smoke or toxic fumes")</f>
        <v>61</v>
      </c>
      <c r="C33" s="130">
        <f>GETPIVOTDATA("Sum of 17-29",T_16!$A$20,"who","Non FRS personnel","Pub_injury_withchecks","3Overcome by gas, smoke or toxic fumes")</f>
        <v>62</v>
      </c>
      <c r="D33" s="130">
        <f>GETPIVOTDATA("Sum of 30-59",T_16!$A$20,"who","Non FRS personnel","Pub_injury_withchecks","3Overcome by gas, smoke or toxic fumes")</f>
        <v>235</v>
      </c>
      <c r="E33" s="130">
        <f>GETPIVOTDATA("Sum of 60+",T_16!$A$20,"who","Non FRS personnel","Pub_injury_withchecks","3Overcome by gas, smoke or toxic fumes")</f>
        <v>111</v>
      </c>
      <c r="F33" s="130">
        <f>GETPIVOTDATA("Sum of Unknown",T_16!$A$20,"who","Non FRS personnel","Pub_injury_withchecks","3Overcome by gas, smoke or toxic fumes")</f>
        <v>41</v>
      </c>
      <c r="G33" s="144">
        <f t="shared" si="5"/>
        <v>510</v>
      </c>
      <c r="H33" s="70">
        <f>GETPIVOTDATA("Sum of 0-16",T_16!$A$20,"who","FRS personnel","Pub_injury_withchecks","3Overcome by gas, smoke or toxic fumes")</f>
        <v>0</v>
      </c>
      <c r="I33" s="70">
        <f>GETPIVOTDATA("Sum of 17-29",T_16!$A$20,"who","FRS personnel","Pub_injury_withchecks","3Overcome by gas, smoke or toxic fumes")</f>
        <v>0</v>
      </c>
      <c r="J33" s="70">
        <f>GETPIVOTDATA("Sum of 30-59",T_16!$A$20,"who","FRS personnel","Pub_injury_withchecks","3Overcome by gas, smoke or toxic fumes")</f>
        <v>0</v>
      </c>
      <c r="K33" s="70">
        <f>GETPIVOTDATA("Sum of 60+",T_16!$A$20,"who","FRS personnel","Pub_injury_withchecks","3Overcome by gas, smoke or toxic fumes")</f>
        <v>0</v>
      </c>
      <c r="L33" s="70">
        <f>GETPIVOTDATA("Sum of Unknown",T_16!$A$20,"who","FRS personnel","Pub_injury_withchecks","3Overcome by gas, smoke or toxic fumes")</f>
        <v>0</v>
      </c>
      <c r="M33" s="916">
        <f t="shared" si="3"/>
        <v>0</v>
      </c>
      <c r="N33" s="21">
        <f t="shared" si="4"/>
        <v>510</v>
      </c>
      <c r="O33" s="21"/>
    </row>
    <row r="34" spans="1:24" ht="13.5" customHeight="1" x14ac:dyDescent="0.2">
      <c r="A34" s="890" t="s">
        <v>550</v>
      </c>
      <c r="B34" s="130">
        <f>GETPIVOTDATA("Sum of 0-16",T_16!$A$20,"who","Non FRS personnel","Pub_injury_withchecks","4Physical injuries")</f>
        <v>4</v>
      </c>
      <c r="C34" s="130">
        <f>GETPIVOTDATA("Sum of 17-29",T_16!$A$20,"who","Non FRS personnel","Pub_injury_withchecks","4Physical injuries")</f>
        <v>4</v>
      </c>
      <c r="D34" s="130">
        <f>GETPIVOTDATA("Sum of 30-59",T_16!$A$20,"who","Non FRS personnel","Pub_injury_withchecks","4Physical injuries")</f>
        <v>12</v>
      </c>
      <c r="E34" s="130">
        <f>GETPIVOTDATA("Sum of 60+",T_16!$A$20,"who","Non FRS personnel","Pub_injury_withchecks","4Physical injuries")</f>
        <v>12</v>
      </c>
      <c r="F34" s="130">
        <f>GETPIVOTDATA("Sum of Unknown",T_16!$A$20,"who","Non FRS personnel","Pub_injury_withchecks","4Physical injuries")</f>
        <v>1</v>
      </c>
      <c r="G34" s="144">
        <f t="shared" si="5"/>
        <v>33</v>
      </c>
      <c r="H34" s="70">
        <f>GETPIVOTDATA("Sum of 0-16",T_16!$A$20,"who","FRS personnel","Pub_injury_withchecks","4Physical injuries")</f>
        <v>0</v>
      </c>
      <c r="I34" s="70">
        <f>GETPIVOTDATA("Sum of 17-29",T_16!$A$20,"who","FRS personnel","Pub_injury_withchecks","4Physical injuries")</f>
        <v>0</v>
      </c>
      <c r="J34" s="70">
        <f>GETPIVOTDATA("Sum of 30-59",T_16!$A$20,"who","FRS personnel","Pub_injury_withchecks","4Physical injuries")</f>
        <v>3</v>
      </c>
      <c r="K34" s="70">
        <f>GETPIVOTDATA("Sum of 60+",T_16!$A$20,"who","FRS personnel","Pub_injury_withchecks","4Physical injuries")</f>
        <v>0</v>
      </c>
      <c r="L34" s="70">
        <f>GETPIVOTDATA("Sum of Unknown",T_16!$A$20,"who","FRS personnel","Pub_injury_withchecks","4Physical injuries")</f>
        <v>1</v>
      </c>
      <c r="M34" s="916">
        <f t="shared" si="3"/>
        <v>4</v>
      </c>
      <c r="N34" s="21">
        <f t="shared" si="4"/>
        <v>37</v>
      </c>
      <c r="O34" s="21"/>
    </row>
    <row r="35" spans="1:24" ht="13.5" customHeight="1" x14ac:dyDescent="0.2">
      <c r="A35" s="13" t="s">
        <v>553</v>
      </c>
      <c r="B35" s="130">
        <f>GETPIVOTDATA("Sum of 0-16",T_16!$A$20,"who","Non FRS personnel","Pub_injury_withchecks","5Shock")</f>
        <v>0</v>
      </c>
      <c r="C35" s="130">
        <f>GETPIVOTDATA("Sum of 17-29",T_16!$A$20,"who","Non FRS personnel","Pub_injury_withchecks","5Shock")</f>
        <v>3</v>
      </c>
      <c r="D35" s="130">
        <f>GETPIVOTDATA("Sum of 30-59",T_16!$A$20,"who","Non FRS personnel","Pub_injury_withchecks","5Shock")</f>
        <v>5</v>
      </c>
      <c r="E35" s="130">
        <f>GETPIVOTDATA("Sum of 60+",T_16!$A$20,"who","Non FRS personnel","Pub_injury_withchecks","5Shock")</f>
        <v>5</v>
      </c>
      <c r="F35" s="130">
        <f>GETPIVOTDATA("Sum of Unknown",T_16!$A$20,"who","Non FRS personnel","Pub_injury_withchecks","5Shock")</f>
        <v>1</v>
      </c>
      <c r="G35" s="144">
        <f t="shared" si="5"/>
        <v>14</v>
      </c>
      <c r="H35" s="70">
        <f>GETPIVOTDATA("Sum of 0-16",T_16!$A$20,"who","FRS personnel","Pub_injury_withchecks","5Shock")</f>
        <v>0</v>
      </c>
      <c r="I35" s="70">
        <f>GETPIVOTDATA("Sum of 17-29",T_16!$A$20,"who","FRS personnel","Pub_injury_withchecks","5Shock")</f>
        <v>0</v>
      </c>
      <c r="J35" s="70">
        <f>GETPIVOTDATA("Sum of 30-59",T_16!$A$20,"who","FRS personnel","Pub_injury_withchecks","5Shock")</f>
        <v>0</v>
      </c>
      <c r="K35" s="70">
        <f>GETPIVOTDATA("Sum of 60+",T_16!$A$20,"who","FRS personnel","Pub_injury_withchecks","5Shock")</f>
        <v>0</v>
      </c>
      <c r="L35" s="70">
        <f>GETPIVOTDATA("Sum of Unknown",T_16!$A$20,"who","FRS personnel","Pub_injury_withchecks","5Shock")</f>
        <v>0</v>
      </c>
      <c r="M35" s="916">
        <f t="shared" si="3"/>
        <v>0</v>
      </c>
      <c r="N35" s="21">
        <f t="shared" si="4"/>
        <v>14</v>
      </c>
      <c r="O35" s="21"/>
    </row>
    <row r="36" spans="1:24" ht="13.5" customHeight="1" x14ac:dyDescent="0.2">
      <c r="A36" s="13" t="s">
        <v>551</v>
      </c>
      <c r="B36" s="130">
        <f>GETPIVOTDATA("Sum of 0-16",T_16!$A$20,"who","Non FRS personnel","Pub_injury_withchecks","6Other specified")</f>
        <v>13</v>
      </c>
      <c r="C36" s="130">
        <f>GETPIVOTDATA("Sum of 17-29",T_16!$A$20,"who","Non FRS personnel","Pub_injury_withchecks","6Other specified")</f>
        <v>16</v>
      </c>
      <c r="D36" s="130">
        <f>GETPIVOTDATA("Sum of 30-59",T_16!$A$20,"who","Non FRS personnel","Pub_injury_withchecks","6Other specified")</f>
        <v>68</v>
      </c>
      <c r="E36" s="130">
        <f>GETPIVOTDATA("Sum of 60+",T_16!$A$20,"who","Non FRS personnel","Pub_injury_withchecks","6Other specified")</f>
        <v>52</v>
      </c>
      <c r="F36" s="130">
        <f>GETPIVOTDATA("Sum of Unknown",T_16!$A$20,"who","Non FRS personnel","Pub_injury_withchecks","6Other specified")</f>
        <v>4</v>
      </c>
      <c r="G36" s="144">
        <f t="shared" si="5"/>
        <v>153</v>
      </c>
      <c r="H36" s="70">
        <f>GETPIVOTDATA("Sum of 0-16",T_16!$A$20,"who","FRS personnel","Pub_injury_withchecks","6Other specified")</f>
        <v>1</v>
      </c>
      <c r="I36" s="70">
        <f>GETPIVOTDATA("Sum of 17-29",T_16!$A$20,"who","FRS personnel","Pub_injury_withchecks","6Other specified")</f>
        <v>0</v>
      </c>
      <c r="J36" s="70">
        <f>GETPIVOTDATA("Sum of 30-59",T_16!$A$20,"who","FRS personnel","Pub_injury_withchecks","6Other specified")</f>
        <v>2</v>
      </c>
      <c r="K36" s="70">
        <f>GETPIVOTDATA("Sum of 60+",T_16!$A$20,"who","FRS personnel","Pub_injury_withchecks","6Other specified")</f>
        <v>0</v>
      </c>
      <c r="L36" s="70">
        <f>GETPIVOTDATA("Sum of Unknown",T_16!$A$20,"who","FRS personnel","Pub_injury_withchecks","6Other specified")</f>
        <v>0</v>
      </c>
      <c r="M36" s="916">
        <f t="shared" si="3"/>
        <v>3</v>
      </c>
      <c r="N36" s="21">
        <f t="shared" si="4"/>
        <v>156</v>
      </c>
      <c r="O36" s="21"/>
    </row>
    <row r="37" spans="1:24" ht="13.5" customHeight="1" x14ac:dyDescent="0.2">
      <c r="A37" s="311" t="s">
        <v>552</v>
      </c>
      <c r="B37" s="130">
        <f>GETPIVOTDATA("Sum of 0-16",T_16!$A$20,"who","Non FRS personnel","Pub_injury_withchecks","8Other/Not known")</f>
        <v>27</v>
      </c>
      <c r="C37" s="130">
        <f>GETPIVOTDATA("Sum of 17-29",T_16!$A$20,"who","Non FRS personnel","Pub_injury_withchecks","8Other/Not known")</f>
        <v>18</v>
      </c>
      <c r="D37" s="130">
        <f>GETPIVOTDATA("Sum of 30-59",T_16!$A$20,"who","Non FRS personnel","Pub_injury_withchecks","8Other/Not known")</f>
        <v>60</v>
      </c>
      <c r="E37" s="130">
        <f>GETPIVOTDATA("Sum of 60+",T_16!$A$20,"who","Non FRS personnel","Pub_injury_withchecks","8Other/Not known")</f>
        <v>24</v>
      </c>
      <c r="F37" s="130">
        <f>GETPIVOTDATA("Sum of Unknown",T_16!$A$20,"who","Non FRS personnel","Pub_injury_withchecks","8Other/Not known")</f>
        <v>9</v>
      </c>
      <c r="G37" s="144">
        <f t="shared" si="5"/>
        <v>138</v>
      </c>
      <c r="H37" s="70">
        <f>GETPIVOTDATA("Sum of 0-16",T_16!$A$20,"who","FRS personnel","Pub_injury_withchecks","8Other/Not known")</f>
        <v>0</v>
      </c>
      <c r="I37" s="70">
        <f>GETPIVOTDATA("Sum of 17-29",T_16!$A$20,"who","FRS personnel","Pub_injury_withchecks","8Other/Not known")</f>
        <v>0</v>
      </c>
      <c r="J37" s="70">
        <f>GETPIVOTDATA("Sum of 30-59",T_16!$A$20,"who","FRS personnel","Pub_injury_withchecks","8Other/Not known")</f>
        <v>0</v>
      </c>
      <c r="K37" s="70">
        <f>GETPIVOTDATA("Sum of 60+",T_16!$A$20,"who","FRS personnel","Pub_injury_withchecks","8Other/Not known")</f>
        <v>0</v>
      </c>
      <c r="L37" s="70">
        <f>GETPIVOTDATA("Sum of Unknown",T_16!$A$20,"who","FRS personnel","Pub_injury_withchecks","8Other/Not known")</f>
        <v>0</v>
      </c>
      <c r="M37" s="916">
        <f t="shared" si="3"/>
        <v>0</v>
      </c>
      <c r="N37" s="21">
        <f t="shared" si="4"/>
        <v>138</v>
      </c>
      <c r="O37" s="21"/>
    </row>
    <row r="38" spans="1:24" x14ac:dyDescent="0.2">
      <c r="A38" s="138"/>
      <c r="B38" s="130"/>
      <c r="C38" s="130"/>
      <c r="D38" s="130"/>
      <c r="E38" s="130"/>
      <c r="F38" s="130"/>
      <c r="G38" s="144"/>
      <c r="H38" s="146"/>
      <c r="I38" s="146"/>
      <c r="J38" s="146"/>
      <c r="K38" s="146"/>
      <c r="L38" s="130"/>
      <c r="M38" s="907"/>
      <c r="N38" s="3"/>
      <c r="O38" s="3"/>
    </row>
    <row r="39" spans="1:24" ht="30" customHeight="1" thickBot="1" x14ac:dyDescent="0.25">
      <c r="A39" s="479" t="s">
        <v>11</v>
      </c>
      <c r="B39" s="471">
        <f t="shared" ref="B39:G39" si="6">SUM(B31:B37)</f>
        <v>116</v>
      </c>
      <c r="C39" s="471">
        <f t="shared" si="6"/>
        <v>126</v>
      </c>
      <c r="D39" s="471">
        <f t="shared" si="6"/>
        <v>452</v>
      </c>
      <c r="E39" s="471">
        <f t="shared" si="6"/>
        <v>250</v>
      </c>
      <c r="F39" s="471">
        <f t="shared" si="6"/>
        <v>65</v>
      </c>
      <c r="G39" s="904">
        <f t="shared" si="6"/>
        <v>1009</v>
      </c>
      <c r="H39" s="471">
        <f t="shared" ref="H39:M39" si="7">SUM(H31:H37)</f>
        <v>2</v>
      </c>
      <c r="I39" s="471">
        <f t="shared" si="7"/>
        <v>0</v>
      </c>
      <c r="J39" s="471">
        <f t="shared" si="7"/>
        <v>5</v>
      </c>
      <c r="K39" s="471">
        <f t="shared" si="7"/>
        <v>0</v>
      </c>
      <c r="L39" s="471">
        <f t="shared" si="7"/>
        <v>1</v>
      </c>
      <c r="M39" s="904">
        <f t="shared" si="7"/>
        <v>8</v>
      </c>
      <c r="N39" s="865">
        <f>SUM(N31:N37)</f>
        <v>1017</v>
      </c>
      <c r="O39" s="51"/>
    </row>
    <row r="40" spans="1:24" x14ac:dyDescent="0.2">
      <c r="D40" s="1"/>
      <c r="E40" s="1"/>
      <c r="F40" s="1"/>
      <c r="G40" s="1"/>
      <c r="H40" s="1"/>
      <c r="I40" s="1"/>
      <c r="J40" s="1"/>
      <c r="K40" s="1"/>
      <c r="L40" s="1"/>
      <c r="M40" s="1"/>
      <c r="N40" s="1"/>
      <c r="O40" s="1"/>
    </row>
    <row r="41" spans="1:24" x14ac:dyDescent="0.2">
      <c r="A41" s="5" t="s">
        <v>146</v>
      </c>
      <c r="B41" s="1"/>
      <c r="C41" s="1"/>
      <c r="D41" s="1"/>
      <c r="E41" s="1"/>
      <c r="F41" s="1"/>
      <c r="G41" s="1"/>
      <c r="O41" s="1"/>
    </row>
    <row r="42" spans="1:24" ht="15.75" customHeight="1" x14ac:dyDescent="0.25">
      <c r="A42" s="1416" t="s">
        <v>431</v>
      </c>
      <c r="B42" s="1416"/>
      <c r="C42" s="1416"/>
      <c r="D42" s="1416"/>
      <c r="E42" s="1416"/>
      <c r="F42" s="1416"/>
      <c r="G42" s="1416"/>
      <c r="H42" s="1416"/>
      <c r="I42" s="1416"/>
      <c r="J42" s="1416"/>
      <c r="K42" s="1416"/>
      <c r="L42" s="1416"/>
      <c r="M42" s="1416"/>
      <c r="N42" s="1416"/>
      <c r="O42" s="1"/>
    </row>
    <row r="43" spans="1:24" ht="15.75" customHeight="1" x14ac:dyDescent="0.25">
      <c r="A43" s="1368" t="s">
        <v>513</v>
      </c>
      <c r="B43" s="1368"/>
      <c r="C43" s="1368"/>
      <c r="D43" s="1368"/>
      <c r="E43" s="1368"/>
      <c r="F43" s="1368"/>
      <c r="G43" s="1368"/>
      <c r="H43" s="1368"/>
      <c r="I43" s="1368"/>
      <c r="J43" s="1368"/>
      <c r="K43" s="1368"/>
      <c r="L43" s="1368"/>
      <c r="M43" s="1368"/>
      <c r="N43" s="1368"/>
      <c r="O43" s="1"/>
      <c r="P43" s="147"/>
      <c r="Q43" s="147"/>
      <c r="R43" s="147"/>
      <c r="S43" s="148"/>
      <c r="T43" s="148"/>
      <c r="U43" s="148"/>
      <c r="V43" s="148"/>
      <c r="W43" s="148"/>
      <c r="X43" s="148"/>
    </row>
    <row r="44" spans="1:24" ht="30" customHeight="1" x14ac:dyDescent="0.25">
      <c r="A44" s="1417" t="s">
        <v>559</v>
      </c>
      <c r="B44" s="1417"/>
      <c r="C44" s="1417"/>
      <c r="D44" s="1417"/>
      <c r="E44" s="1417"/>
      <c r="F44" s="1417"/>
      <c r="G44" s="1417"/>
      <c r="H44" s="1417"/>
      <c r="I44" s="1417"/>
      <c r="J44" s="1417"/>
      <c r="K44" s="1417"/>
      <c r="L44" s="1417"/>
      <c r="M44" s="1417"/>
      <c r="N44" s="1417"/>
      <c r="O44" s="1"/>
    </row>
    <row r="45" spans="1:24" ht="12.75" customHeight="1" x14ac:dyDescent="0.2">
      <c r="O45" s="1"/>
    </row>
  </sheetData>
  <sheetProtection algorithmName="SHA-512" hashValue="3fg5eLm3l0hpYa1Y8+CI3D7C3T/s8Mql3J+6k6hasPtRdPgU1KNf4ySR9ZXefQDtxwe3ls9/oyrsGNBM4c2RhA==" saltValue="GMVNShSzK7Wv7Waa4Zj4lA==" spinCount="100000" sheet="1" scenarios="1" formatCells="0" formatColumns="0" formatRows="0" sort="0" autoFilter="0" pivotTables="0"/>
  <mergeCells count="12">
    <mergeCell ref="A8:A9"/>
    <mergeCell ref="J8:J9"/>
    <mergeCell ref="B8:G8"/>
    <mergeCell ref="A42:N42"/>
    <mergeCell ref="A44:N44"/>
    <mergeCell ref="A20:L20"/>
    <mergeCell ref="A21:L21"/>
    <mergeCell ref="A29:A30"/>
    <mergeCell ref="N29:N30"/>
    <mergeCell ref="B29:G29"/>
    <mergeCell ref="A43:N43"/>
    <mergeCell ref="H29:M29"/>
  </mergeCells>
  <hyperlinks>
    <hyperlink ref="A2" location="'Table of Contents'!A1" display="Back to Table of Contents" xr:uid="{00000000-0004-0000-8400-000000000000}"/>
  </hyperlinks>
  <pageMargins left="0.7" right="0.7" top="0.75" bottom="0.75" header="0.3" footer="0.3"/>
  <pageSetup paperSize="9" scale="56" orientation="landscape" r:id="rId1"/>
  <drawing r:id="rId2"/>
  <extLst>
    <ext xmlns:x14="http://schemas.microsoft.com/office/spreadsheetml/2009/9/main" uri="{A8765BA9-456A-4dab-B4F3-ACF838C121DE}">
      <x14:slicerList>
        <x14:slicer r:id="rId3"/>
      </x14:slicerList>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36">
    <tabColor rgb="FFBF8F00"/>
    <pageSetUpPr fitToPage="1"/>
  </sheetPr>
  <dimension ref="A1:P55"/>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35.7109375" customWidth="1"/>
    <col min="2" max="2" width="11.85546875" customWidth="1"/>
    <col min="3" max="3" width="12.5703125" customWidth="1"/>
    <col min="4" max="4" width="11.140625" customWidth="1"/>
    <col min="5" max="5" width="12.140625" customWidth="1"/>
    <col min="6" max="6" width="12.28515625" customWidth="1"/>
    <col min="7" max="7" width="3.5703125" customWidth="1"/>
    <col min="8" max="8" width="16.140625" customWidth="1"/>
  </cols>
  <sheetData>
    <row r="1" spans="1:12" ht="15.75" x14ac:dyDescent="0.2">
      <c r="A1" s="298" t="s">
        <v>1133</v>
      </c>
      <c r="B1" s="117"/>
    </row>
    <row r="2" spans="1:12" ht="15.75" customHeight="1" x14ac:dyDescent="0.2">
      <c r="A2" s="741" t="s">
        <v>578</v>
      </c>
      <c r="B2" s="117"/>
    </row>
    <row r="3" spans="1:12" ht="38.25" customHeight="1" x14ac:dyDescent="0.25">
      <c r="A3" s="120" t="s">
        <v>1065</v>
      </c>
      <c r="B3" s="120"/>
      <c r="C3" s="120"/>
      <c r="D3" s="120"/>
      <c r="E3" s="120"/>
      <c r="F3" s="120"/>
      <c r="G3" s="120"/>
      <c r="H3" s="120"/>
      <c r="I3" s="140"/>
      <c r="J3" s="140"/>
      <c r="K3" s="140"/>
      <c r="L3" s="140"/>
    </row>
    <row r="4" spans="1:12" ht="15.75" customHeight="1" x14ac:dyDescent="0.25">
      <c r="A4" s="351" t="s">
        <v>579</v>
      </c>
      <c r="B4" s="1043" t="s">
        <v>1379</v>
      </c>
      <c r="E4" s="197"/>
      <c r="F4" s="197"/>
      <c r="G4" s="197"/>
      <c r="H4" s="197"/>
      <c r="I4" s="140"/>
      <c r="J4" s="140"/>
      <c r="K4" s="140"/>
      <c r="L4" s="140"/>
    </row>
    <row r="5" spans="1:12" ht="15.75" customHeight="1" x14ac:dyDescent="0.25">
      <c r="A5" s="351" t="s">
        <v>580</v>
      </c>
      <c r="B5" s="351" t="s">
        <v>581</v>
      </c>
      <c r="C5" s="197"/>
      <c r="D5" s="197"/>
      <c r="E5" s="197"/>
      <c r="F5" s="197"/>
      <c r="G5" s="197"/>
      <c r="H5" s="197"/>
      <c r="I5" s="140"/>
      <c r="J5" s="140"/>
      <c r="K5" s="140"/>
      <c r="L5" s="140"/>
    </row>
    <row r="6" spans="1:12" ht="15.75" customHeight="1" x14ac:dyDescent="0.25">
      <c r="A6" s="351" t="s">
        <v>582</v>
      </c>
      <c r="B6" s="351" t="s">
        <v>585</v>
      </c>
      <c r="C6" s="197"/>
      <c r="D6" s="197"/>
      <c r="E6" s="197"/>
      <c r="F6" s="197"/>
      <c r="G6" s="197"/>
      <c r="I6" s="140"/>
      <c r="J6" s="140"/>
      <c r="K6" s="140"/>
      <c r="L6" s="140"/>
    </row>
    <row r="7" spans="1:12" ht="36" customHeight="1" x14ac:dyDescent="0.2">
      <c r="A7" s="1"/>
      <c r="B7" s="1"/>
      <c r="C7" s="1"/>
      <c r="D7" s="1"/>
      <c r="E7" s="1"/>
      <c r="F7" s="60" t="s">
        <v>57</v>
      </c>
      <c r="G7" s="1"/>
    </row>
    <row r="8" spans="1:12" ht="12.75" customHeight="1" x14ac:dyDescent="0.2">
      <c r="A8" s="1317" t="s">
        <v>298</v>
      </c>
      <c r="B8" s="1375" t="s">
        <v>499</v>
      </c>
      <c r="C8" s="1375"/>
      <c r="D8" s="1375"/>
      <c r="E8" s="1375"/>
      <c r="F8" s="1375"/>
      <c r="G8" s="1"/>
    </row>
    <row r="9" spans="1:12" x14ac:dyDescent="0.2">
      <c r="A9" s="1317"/>
      <c r="B9" s="3" t="s">
        <v>175</v>
      </c>
      <c r="C9" s="3" t="s">
        <v>176</v>
      </c>
      <c r="D9" s="3" t="s">
        <v>177</v>
      </c>
      <c r="E9" s="3" t="s">
        <v>178</v>
      </c>
      <c r="F9" s="283" t="s">
        <v>11</v>
      </c>
      <c r="G9" s="1"/>
    </row>
    <row r="10" spans="1:12" ht="18.75" customHeight="1" x14ac:dyDescent="0.2">
      <c r="A10" s="893" t="s">
        <v>162</v>
      </c>
      <c r="B10" s="736">
        <f>GETPIVOTDATA("Sum of a."&amp;B9,T_17_2!$A$4,"Pub_fataldescription","Burns")/'Type of Injury Age Rate'!B$20*1000000</f>
        <v>0</v>
      </c>
      <c r="C10" s="736">
        <f>GETPIVOTDATA("Sum of a."&amp;C9,T_17_2!$A$4,"Pub_fataldescription","Burns")/'Type of Injury Age Rate'!C$20*1000000</f>
        <v>2.2517552432120835</v>
      </c>
      <c r="D10" s="736">
        <f>GETPIVOTDATA("Sum of a."&amp;D9,T_17_2!$A$4,"Pub_fataldescription","Burns")/'Type of Injury Age Rate'!D$20*1000000</f>
        <v>3.6421878258050828</v>
      </c>
      <c r="E10" s="736">
        <f>GETPIVOTDATA("Sum of a."&amp;E9,T_17_2!$A$4,"Pub_fataldescription","Burns")/'Type of Injury Age Rate'!E$20*1000000</f>
        <v>4.9693003722005979</v>
      </c>
      <c r="F10" s="736">
        <f>GETPIVOTDATA("Sum of Total_Fatal",T_17_2!$A$4,"Pub_fataldescription","Burns")/'Type of Injury Age Rate'!F$20*1000000</f>
        <v>3.1101353823637026</v>
      </c>
    </row>
    <row r="11" spans="1:12" ht="13.5" customHeight="1" x14ac:dyDescent="0.2">
      <c r="A11" s="886" t="s">
        <v>548</v>
      </c>
      <c r="B11" s="737">
        <f>GETPIVOTDATA("Sum of a."&amp;B9,T_17_2!$A$4,"Pub_fataldescription","Combination of burns and overcome by gas/smoke")/'Type of Injury Age Rate'!B$20*1000000</f>
        <v>0</v>
      </c>
      <c r="C11" s="737">
        <f>GETPIVOTDATA("Sum of a."&amp;C9,T_17_2!$A$4,"Pub_fataldescription","Combination of burns and overcome by gas/smoke")/'Type of Injury Age Rate'!C$20*1000000</f>
        <v>0</v>
      </c>
      <c r="D11" s="737">
        <f>GETPIVOTDATA("Sum of a."&amp;D9,T_17_2!$A$4,"Pub_fataldescription","Combination of burns and overcome by gas/smoke")/'Type of Injury Age Rate'!D$20*1000000</f>
        <v>1.8210939129025414</v>
      </c>
      <c r="E11" s="737">
        <f>GETPIVOTDATA("Sum of a."&amp;E9,T_17_2!$A$4,"Pub_fataldescription","Combination of burns and overcome by gas/smoke")/'Type of Injury Age Rate'!E$20*1000000</f>
        <v>2.8396002126860558</v>
      </c>
      <c r="F11" s="737">
        <f>GETPIVOTDATA("Sum of Total_Fatal",T_17_2!$A$4,"Pub_fataldescription","Combination of burns and overcome by gas/smoke")/'Type of Injury Age Rate'!F$20*1000000</f>
        <v>1.4635931211123308</v>
      </c>
    </row>
    <row r="12" spans="1:12" ht="13.5" customHeight="1" x14ac:dyDescent="0.2">
      <c r="A12" s="311" t="s">
        <v>549</v>
      </c>
      <c r="B12" s="737">
        <f>GETPIVOTDATA("Sum of a."&amp;B9,T_17_2!$A$4,"Pub_fataldescription","Overcome by gas, smoke or toxic fumes")/'Type of Injury Age Rate'!B$20*1000000</f>
        <v>3.0842842352979885</v>
      </c>
      <c r="C12" s="737">
        <f>GETPIVOTDATA("Sum of a."&amp;C9,T_17_2!$A$4,"Pub_fataldescription","Overcome by gas, smoke or toxic fumes")/'Type of Injury Age Rate'!C$20*1000000</f>
        <v>0</v>
      </c>
      <c r="D12" s="737">
        <f>GETPIVOTDATA("Sum of a."&amp;D9,T_17_2!$A$4,"Pub_fataldescription","Overcome by gas, smoke or toxic fumes")/'Type of Injury Age Rate'!D$20*1000000</f>
        <v>2.2763673911281765</v>
      </c>
      <c r="E12" s="737">
        <f>GETPIVOTDATA("Sum of a."&amp;E9,T_17_2!$A$4,"Pub_fataldescription","Overcome by gas, smoke or toxic fumes")/'Type of Injury Age Rate'!E$20*1000000</f>
        <v>8.5188006380581687</v>
      </c>
      <c r="F12" s="737">
        <f>GETPIVOTDATA("Sum of Total_Fatal",T_17_2!$A$4,"Pub_fataldescription","Overcome by gas, smoke or toxic fumes")/'Type of Injury Age Rate'!F$20*1000000</f>
        <v>3.6589828027808267</v>
      </c>
    </row>
    <row r="13" spans="1:12" ht="13.5" customHeight="1" x14ac:dyDescent="0.2">
      <c r="A13" s="885" t="s">
        <v>550</v>
      </c>
      <c r="B13" s="737">
        <f>IFERROR(GETPIVOTDATA("Sum of a."&amp;B9,T_17_2!$A$4,"Pub_fataldescription","Physical injuries")/'Type of Injury Age Rate'!B$20*1000000,0)</f>
        <v>0</v>
      </c>
      <c r="C13" s="737">
        <f>IFERROR(GETPIVOTDATA("Sum of a."&amp;C9,T_17_2!$A$4,"Pub_fataldescription","Physical injuries")/'Type of Injury Age Rate'!C$20*1000000,0)</f>
        <v>0</v>
      </c>
      <c r="D13" s="737">
        <f>IFERROR(GETPIVOTDATA("Sum of a."&amp;D9,T_17_2!$A$4,"Pub_fataldescription","Physical injuries")/'Type of Injury Age Rate'!D$20*1000000,0)</f>
        <v>0</v>
      </c>
      <c r="E13" s="737">
        <f>IFERROR(GETPIVOTDATA("Sum of a."&amp;E9,T_17_2!$A$4,"Pub_fataldescription","Physical injuries")/'Type of Injury Age Rate'!E$20*1000000,0)</f>
        <v>0</v>
      </c>
      <c r="F13" s="737">
        <f>IFERROR(GETPIVOTDATA("Sum of Total_Fatal",T_17_2!$A$4,"Pub_fataldescription","Physical injuries")/'Type of Injury Age Rate'!F$20*1000000,0)</f>
        <v>0</v>
      </c>
    </row>
    <row r="14" spans="1:12" ht="13.5" customHeight="1" x14ac:dyDescent="0.2">
      <c r="A14" s="885" t="s">
        <v>551</v>
      </c>
      <c r="B14" s="737">
        <f>IFERROR(GETPIVOTDATA("Sum of a."&amp;B9,T_17_2!$A$4,"Pub_fataldescription","Other specified")/'Type of Injury Age Rate'!B$20*1000000,0)</f>
        <v>0</v>
      </c>
      <c r="C14" s="737">
        <f>IFERROR(GETPIVOTDATA("Sum of a."&amp;C9,T_17_2!$A$4,"Pub_fataldescription","Other specified")/'Type of Injury Age Rate'!C$20*1000000,0)</f>
        <v>0</v>
      </c>
      <c r="D14" s="737">
        <f>IFERROR(GETPIVOTDATA("Sum of a."&amp;D9,T_17_2!$A$4,"Pub_fataldescription","Other specified")/'Type of Injury Age Rate'!D$20*1000000,0)</f>
        <v>0</v>
      </c>
      <c r="E14" s="737">
        <f>IFERROR(GETPIVOTDATA("Sum of a."&amp;E9,T_17_2!$A$4,"Pub_fataldescription","Other specified")/'Type of Injury Age Rate'!E$20*1000000,0)</f>
        <v>0</v>
      </c>
      <c r="F14" s="737">
        <f>IFERROR(GETPIVOTDATA("Sum of Total_Fatal",T_17_2!$A$4,"Pub_fataldescription","Other specified")/'Type of Injury Age Rate'!F$20*1000000,0)</f>
        <v>0</v>
      </c>
    </row>
    <row r="15" spans="1:12" ht="13.5" customHeight="1" x14ac:dyDescent="0.2">
      <c r="A15" s="311" t="s">
        <v>552</v>
      </c>
      <c r="B15" s="737">
        <f>GETPIVOTDATA("Sum of a."&amp;B9,T_17_2!$A$4,"Pub_fataldescription","Unspecified")/'Type of Injury Age Rate'!B$20*1000000</f>
        <v>0</v>
      </c>
      <c r="C15" s="737">
        <f>GETPIVOTDATA("Sum of a."&amp;C9,T_17_2!$A$4,"Pub_fataldescription","Unspecified")/'Type of Injury Age Rate'!C$20*1000000</f>
        <v>0</v>
      </c>
      <c r="D15" s="737">
        <f>GETPIVOTDATA("Sum of a."&amp;D9,T_17_2!$A$4,"Pub_fataldescription","Unspecified")/'Type of Injury Age Rate'!D$20*1000000</f>
        <v>1.3658204346769061</v>
      </c>
      <c r="E15" s="737">
        <f>GETPIVOTDATA("Sum of a."&amp;E9,T_17_2!$A$4,"Pub_fataldescription","Unspecified")/'Type of Injury Age Rate'!E$20*1000000</f>
        <v>3.5495002658575703</v>
      </c>
      <c r="F15" s="737">
        <f>GETPIVOTDATA("Sum of Total_Fatal",T_17_2!$A$4,"Pub_fataldescription","Unspecified")/'Type of Injury Age Rate'!F$20*1000000</f>
        <v>1.4635931211123308</v>
      </c>
    </row>
    <row r="16" spans="1:12" x14ac:dyDescent="0.2">
      <c r="A16" s="734"/>
      <c r="B16" s="737"/>
      <c r="C16" s="737"/>
      <c r="D16" s="737"/>
      <c r="E16" s="737"/>
      <c r="F16" s="887"/>
    </row>
    <row r="17" spans="1:13" ht="30" customHeight="1" thickBot="1" x14ac:dyDescent="0.25">
      <c r="A17" s="894" t="s">
        <v>11</v>
      </c>
      <c r="B17" s="895">
        <f>GETPIVOTDATA("Sum of a.0-16",T_17_2!$A$4)/'Type of Injury Age Rate'!B20*1000000</f>
        <v>3.0842842352979885</v>
      </c>
      <c r="C17" s="895">
        <f>GETPIVOTDATA("Sum of a.17-29",T_17_2!$A$4)/'Type of Injury Age Rate'!C20*1000000</f>
        <v>2.2517552432120835</v>
      </c>
      <c r="D17" s="895">
        <f>GETPIVOTDATA("Sum of a.30-59",T_17_2!$A$4)/'Type of Injury Age Rate'!D20*1000000</f>
        <v>9.1054695645127062</v>
      </c>
      <c r="E17" s="895">
        <f>GETPIVOTDATA("Sum of a.60+",T_17_2!$A$4)/'Type of Injury Age Rate'!E20*1000000</f>
        <v>19.877201488802392</v>
      </c>
      <c r="F17" s="896">
        <f>GETPIVOTDATA("Sum of Total_Fatal",T_17_2!$A$4)/'Type of Injury Age Rate'!F20*1000000</f>
        <v>9.6963044273691903</v>
      </c>
    </row>
    <row r="18" spans="1:13" ht="33" customHeight="1" x14ac:dyDescent="0.2">
      <c r="A18" s="738"/>
      <c r="B18" s="739"/>
      <c r="C18" s="739"/>
      <c r="D18" s="739"/>
      <c r="E18" s="739"/>
      <c r="F18" s="740"/>
    </row>
    <row r="19" spans="1:13" ht="13.5" customHeight="1" x14ac:dyDescent="0.2">
      <c r="B19" s="226" t="s">
        <v>175</v>
      </c>
      <c r="C19" s="226" t="s">
        <v>176</v>
      </c>
      <c r="D19" s="226" t="s">
        <v>177</v>
      </c>
      <c r="E19" s="226" t="s">
        <v>178</v>
      </c>
      <c r="F19" s="888" t="s">
        <v>11</v>
      </c>
    </row>
    <row r="20" spans="1:13" ht="22.5" customHeight="1" thickBot="1" x14ac:dyDescent="0.25">
      <c r="A20" s="892" t="s">
        <v>255</v>
      </c>
      <c r="B20" s="462">
        <f>GETPIVOTDATA("Average of b.0-16",T_17_2!$A$4)</f>
        <v>972673</v>
      </c>
      <c r="C20" s="462">
        <f>GETPIVOTDATA("Average of b.17-29",T_17_2!$A$4)</f>
        <v>888196</v>
      </c>
      <c r="D20" s="462">
        <f>GETPIVOTDATA("Average of b.30-59",T_17_2!$A$4)</f>
        <v>2196482</v>
      </c>
      <c r="E20" s="462">
        <f>GETPIVOTDATA("Average of b.60+",T_17_2!$A$4)</f>
        <v>1408649</v>
      </c>
      <c r="F20" s="462">
        <f>GETPIVOTDATA("Average of Total",T_17_2!$A$4)</f>
        <v>5466000</v>
      </c>
    </row>
    <row r="21" spans="1:13" ht="13.5" customHeight="1" x14ac:dyDescent="0.2">
      <c r="A21" s="738"/>
      <c r="B21" s="739"/>
      <c r="C21" s="739"/>
      <c r="D21" s="739"/>
      <c r="E21" s="739"/>
      <c r="F21" s="740"/>
    </row>
    <row r="22" spans="1:13" ht="12.75" customHeight="1" x14ac:dyDescent="0.2">
      <c r="A22" s="353" t="s">
        <v>146</v>
      </c>
      <c r="L22" s="86"/>
      <c r="M22" s="86"/>
    </row>
    <row r="23" spans="1:13" ht="31.5" customHeight="1" x14ac:dyDescent="0.25">
      <c r="A23" s="1419" t="s">
        <v>431</v>
      </c>
      <c r="B23" s="1419"/>
      <c r="C23" s="1419"/>
      <c r="D23" s="1419"/>
      <c r="E23" s="1419"/>
      <c r="F23" s="1419"/>
      <c r="G23" s="1419"/>
      <c r="H23" s="1419"/>
      <c r="I23" s="161"/>
      <c r="J23" s="161"/>
      <c r="K23" s="161"/>
      <c r="L23" s="161"/>
      <c r="M23" s="161"/>
    </row>
    <row r="24" spans="1:13" ht="45" customHeight="1" x14ac:dyDescent="0.25">
      <c r="A24" s="1417" t="s">
        <v>568</v>
      </c>
      <c r="B24" s="1417"/>
      <c r="C24" s="1417"/>
      <c r="D24" s="1417"/>
      <c r="E24" s="1417"/>
      <c r="F24" s="1417"/>
      <c r="G24" s="1417"/>
      <c r="H24" s="1417"/>
      <c r="I24" s="279"/>
      <c r="J24" s="279"/>
      <c r="K24" s="279"/>
      <c r="L24" s="279"/>
      <c r="M24" s="279"/>
    </row>
    <row r="25" spans="1:13" ht="17.25" customHeight="1" x14ac:dyDescent="0.25">
      <c r="A25" s="1119" t="s">
        <v>1234</v>
      </c>
      <c r="B25" s="1120"/>
      <c r="C25" s="1120"/>
      <c r="D25" s="1120"/>
      <c r="E25" s="1120"/>
      <c r="F25" s="1120"/>
      <c r="G25" s="1120"/>
      <c r="H25" s="1120"/>
      <c r="I25" s="279"/>
      <c r="J25" s="279"/>
      <c r="K25" s="279"/>
      <c r="L25" s="279"/>
      <c r="M25" s="279"/>
    </row>
    <row r="26" spans="1:13" ht="17.25" customHeight="1" x14ac:dyDescent="0.2">
      <c r="A26" s="106" t="s">
        <v>1093</v>
      </c>
      <c r="B26" s="954"/>
      <c r="C26" s="954"/>
      <c r="D26" s="954"/>
      <c r="E26" s="954"/>
      <c r="F26" s="954"/>
      <c r="G26" s="954"/>
      <c r="H26" s="954"/>
      <c r="I26" s="279"/>
      <c r="J26" s="279"/>
      <c r="K26" s="279"/>
      <c r="L26" s="279"/>
      <c r="M26" s="279"/>
    </row>
    <row r="27" spans="1:13" ht="17.25" customHeight="1" x14ac:dyDescent="0.2">
      <c r="A27" s="106"/>
      <c r="B27" s="954"/>
      <c r="C27" s="954"/>
      <c r="D27" s="954"/>
      <c r="E27" s="954"/>
      <c r="F27" s="954"/>
      <c r="G27" s="954"/>
      <c r="H27" s="954"/>
      <c r="I27" s="279"/>
      <c r="J27" s="279"/>
      <c r="K27" s="279"/>
      <c r="L27" s="279"/>
      <c r="M27" s="279"/>
    </row>
    <row r="29" spans="1:13" ht="38.25" customHeight="1" x14ac:dyDescent="0.2">
      <c r="A29" s="120" t="s">
        <v>1066</v>
      </c>
      <c r="B29" s="120"/>
      <c r="C29" s="120"/>
      <c r="D29" s="120"/>
      <c r="E29" s="120"/>
      <c r="F29" s="120"/>
      <c r="G29" s="120"/>
      <c r="H29" s="75"/>
    </row>
    <row r="30" spans="1:13" ht="15.75" customHeight="1" x14ac:dyDescent="0.25">
      <c r="A30" s="351" t="s">
        <v>579</v>
      </c>
      <c r="B30" s="1043" t="s">
        <v>1381</v>
      </c>
      <c r="C30" s="75"/>
      <c r="D30" s="75"/>
      <c r="E30" s="75"/>
      <c r="F30" s="75"/>
      <c r="G30" s="75"/>
      <c r="H30" s="75"/>
    </row>
    <row r="31" spans="1:13" ht="15.75" customHeight="1" x14ac:dyDescent="0.25">
      <c r="A31" s="351" t="s">
        <v>580</v>
      </c>
      <c r="B31" s="351" t="s">
        <v>581</v>
      </c>
      <c r="C31" s="75"/>
      <c r="D31" s="75"/>
      <c r="E31" s="75"/>
      <c r="F31" s="75"/>
      <c r="G31" s="75"/>
      <c r="H31" s="75"/>
    </row>
    <row r="32" spans="1:13" ht="15.75" customHeight="1" x14ac:dyDescent="0.25">
      <c r="A32" s="351" t="s">
        <v>582</v>
      </c>
      <c r="B32" s="351" t="s">
        <v>585</v>
      </c>
      <c r="C32" s="75"/>
      <c r="D32" s="75"/>
      <c r="E32" s="75"/>
      <c r="F32" s="75"/>
      <c r="G32" s="75"/>
      <c r="H32" s="75"/>
    </row>
    <row r="33" spans="1:7" ht="23.25" customHeight="1" x14ac:dyDescent="0.2">
      <c r="A33" s="138"/>
      <c r="B33" s="30"/>
      <c r="C33" s="30"/>
      <c r="D33" s="30"/>
      <c r="E33" s="30"/>
      <c r="F33" s="60" t="s">
        <v>57</v>
      </c>
      <c r="G33" s="889"/>
    </row>
    <row r="34" spans="1:7" ht="12.75" customHeight="1" x14ac:dyDescent="0.2">
      <c r="A34" s="1317" t="s">
        <v>170</v>
      </c>
      <c r="B34" s="1375" t="s">
        <v>501</v>
      </c>
      <c r="C34" s="1375"/>
      <c r="D34" s="1375"/>
      <c r="E34" s="1375"/>
      <c r="F34" s="1375"/>
      <c r="G34" s="1"/>
    </row>
    <row r="35" spans="1:7" x14ac:dyDescent="0.2">
      <c r="A35" s="1317"/>
      <c r="B35" s="3" t="s">
        <v>175</v>
      </c>
      <c r="C35" s="3" t="s">
        <v>176</v>
      </c>
      <c r="D35" s="3" t="s">
        <v>177</v>
      </c>
      <c r="E35" s="3" t="s">
        <v>178</v>
      </c>
      <c r="F35" s="283" t="s">
        <v>11</v>
      </c>
      <c r="G35" s="1"/>
    </row>
    <row r="36" spans="1:7" ht="18.75" customHeight="1" x14ac:dyDescent="0.2">
      <c r="A36" s="891" t="s">
        <v>162</v>
      </c>
      <c r="B36" s="219">
        <f>GETPIVOTDATA("Sum of a."&amp;B35,T_17_2!$A$20,"Pub_injury_withchecks","1Burns")/'Type of Injury Age Rate'!B47*1000000</f>
        <v>9.2528527058939645</v>
      </c>
      <c r="C36" s="219">
        <f>GETPIVOTDATA("Sum of a."&amp;C35,T_17_2!$A$20,"Pub_injury_withchecks","1Burns")/'Type of Injury Age Rate'!C47*1000000</f>
        <v>24.769307675332922</v>
      </c>
      <c r="D36" s="219">
        <f>GETPIVOTDATA("Sum of a."&amp;D35,T_17_2!$A$20,"Pub_injury_withchecks","1Burns")/'Type of Injury Age Rate'!D47*1000000</f>
        <v>27.771682171763757</v>
      </c>
      <c r="E36" s="219">
        <f>GETPIVOTDATA("Sum of a."&amp;E35,T_17_2!$A$20,"Pub_injury_withchecks","1Burns")/'Type of Injury Age Rate'!E47*1000000</f>
        <v>29.815802233203588</v>
      </c>
      <c r="F36" s="389">
        <f>GETPIVOTDATA("Sum of Total_Nonfatal",T_17_2!$A$20,"Pub_injury_withchecks","1Burns")/'Type of Injury Age Rate'!F47*1000000</f>
        <v>25.795828759604831</v>
      </c>
      <c r="G36" s="1"/>
    </row>
    <row r="37" spans="1:7" ht="13.5" customHeight="1" x14ac:dyDescent="0.2">
      <c r="A37" s="817" t="s">
        <v>548</v>
      </c>
      <c r="B37" s="87">
        <f>GETPIVOTDATA("Sum of a."&amp;B35,T_17_2!$A$20,"Pub_injury_withchecks","2Combination of burns and overcome by gas/smoke")/'Type of Injury Age Rate'!B47*1000000</f>
        <v>2.0561894901986584</v>
      </c>
      <c r="C37" s="87">
        <f>GETPIVOTDATA("Sum of a."&amp;C35,T_17_2!$A$20,"Pub_injury_withchecks","2Combination of burns and overcome by gas/smoke")/'Type of Injury Age Rate'!C47*1000000</f>
        <v>1.1258776216060418</v>
      </c>
      <c r="D37" s="87">
        <f>GETPIVOTDATA("Sum of a."&amp;D35,T_17_2!$A$20,"Pub_injury_withchecks","2Combination of burns and overcome by gas/smoke")/'Type of Injury Age Rate'!D47*1000000</f>
        <v>5.0080082604819891</v>
      </c>
      <c r="E37" s="87">
        <f>GETPIVOTDATA("Sum of a."&amp;E35,T_17_2!$A$20,"Pub_injury_withchecks","2Combination of burns and overcome by gas/smoke")/'Type of Injury Age Rate'!E47*1000000</f>
        <v>2.8396002126860558</v>
      </c>
      <c r="F37" s="160">
        <f>GETPIVOTDATA("Sum of Total_Nonfatal",T_17_2!$A$20,"Pub_injury_withchecks","2Combination of burns and overcome by gas/smoke")/'Type of Injury Age Rate'!F47*1000000</f>
        <v>3.6589828027808267</v>
      </c>
      <c r="G37" s="1"/>
    </row>
    <row r="38" spans="1:7" ht="13.5" customHeight="1" x14ac:dyDescent="0.2">
      <c r="A38" s="13" t="s">
        <v>549</v>
      </c>
      <c r="B38" s="87">
        <f>GETPIVOTDATA("Sum of a."&amp;B35,T_17_2!$A$20,"Pub_injury_withchecks","3Overcome by gas, smoke or toxic fumes")/'Type of Injury Age Rate'!B47*1000000</f>
        <v>62.713779451059096</v>
      </c>
      <c r="C38" s="87">
        <f>GETPIVOTDATA("Sum of a."&amp;C35,T_17_2!$A$20,"Pub_injury_withchecks","3Overcome by gas, smoke or toxic fumes")/'Type of Injury Age Rate'!C47*1000000</f>
        <v>69.804412539574599</v>
      </c>
      <c r="D38" s="87">
        <f>GETPIVOTDATA("Sum of a."&amp;D35,T_17_2!$A$20,"Pub_injury_withchecks","3Overcome by gas, smoke or toxic fumes")/'Type of Injury Age Rate'!D47*1000000</f>
        <v>106.98926738302431</v>
      </c>
      <c r="E38" s="87">
        <f>GETPIVOTDATA("Sum of a."&amp;E35,T_17_2!$A$20,"Pub_injury_withchecks","3Overcome by gas, smoke or toxic fumes")/'Type of Injury Age Rate'!E47*1000000</f>
        <v>78.798905902038044</v>
      </c>
      <c r="F38" s="160">
        <f>GETPIVOTDATA("Sum of Total_Nonfatal",T_17_2!$A$20,"Pub_injury_withchecks","3Overcome by gas, smoke or toxic fumes")/'Type of Injury Age Rate'!F47*1000000</f>
        <v>93.30406147091108</v>
      </c>
      <c r="G38" s="1"/>
    </row>
    <row r="39" spans="1:7" ht="13.5" customHeight="1" x14ac:dyDescent="0.2">
      <c r="A39" s="890" t="s">
        <v>550</v>
      </c>
      <c r="B39" s="87">
        <f>GETPIVOTDATA("Sum of a."&amp;B35,T_17_2!$A$20,"Pub_injury_withchecks","4Physical injuries")/'Type of Injury Age Rate'!B47*1000000</f>
        <v>4.1123789803973168</v>
      </c>
      <c r="C39" s="87">
        <f>GETPIVOTDATA("Sum of a."&amp;C35,T_17_2!$A$20,"Pub_injury_withchecks","4Physical injuries")/'Type of Injury Age Rate'!C47*1000000</f>
        <v>4.5035104864241671</v>
      </c>
      <c r="D39" s="87">
        <f>GETPIVOTDATA("Sum of a."&amp;D35,T_17_2!$A$20,"Pub_injury_withchecks","4Physical injuries")/'Type of Injury Age Rate'!D47*1000000</f>
        <v>5.4632817387076242</v>
      </c>
      <c r="E39" s="87">
        <f>GETPIVOTDATA("Sum of a."&amp;E35,T_17_2!$A$20,"Pub_injury_withchecks","4Physical injuries")/'Type of Injury Age Rate'!E47*1000000</f>
        <v>8.5188006380581687</v>
      </c>
      <c r="F39" s="160">
        <f>GETPIVOTDATA("Sum of Total_Nonfatal",T_17_2!$A$20,"Pub_injury_withchecks","4Physical injuries")/'Type of Injury Age Rate'!F47*1000000</f>
        <v>6.0373216245883645</v>
      </c>
      <c r="G39" s="1"/>
    </row>
    <row r="40" spans="1:7" ht="13.5" customHeight="1" x14ac:dyDescent="0.2">
      <c r="A40" s="13" t="s">
        <v>553</v>
      </c>
      <c r="B40" s="87">
        <f>GETPIVOTDATA("Sum of a."&amp;B35,T_17_2!$A$20,"Pub_injury_withchecks","5Shock")/'Type of Injury Age Rate'!B47*1000000</f>
        <v>0</v>
      </c>
      <c r="C40" s="87">
        <f>GETPIVOTDATA("Sum of a."&amp;C35,T_17_2!$A$20,"Pub_injury_withchecks","5Shock")/'Type of Injury Age Rate'!C47*1000000</f>
        <v>3.3776328648181257</v>
      </c>
      <c r="D40" s="87">
        <f>GETPIVOTDATA("Sum of a."&amp;D35,T_17_2!$A$20,"Pub_injury_withchecks","5Shock")/'Type of Injury Age Rate'!D47*1000000</f>
        <v>2.2763673911281765</v>
      </c>
      <c r="E40" s="87">
        <f>GETPIVOTDATA("Sum of a."&amp;E35,T_17_2!$A$20,"Pub_injury_withchecks","5Shock")/'Type of Injury Age Rate'!E47*1000000</f>
        <v>3.5495002658575703</v>
      </c>
      <c r="F40" s="160">
        <f>GETPIVOTDATA("Sum of Total_Nonfatal",T_17_2!$A$20,"Pub_injury_withchecks","5Shock")/'Type of Injury Age Rate'!F47*1000000</f>
        <v>2.5612879619465789</v>
      </c>
      <c r="G40" s="1"/>
    </row>
    <row r="41" spans="1:7" ht="13.5" customHeight="1" x14ac:dyDescent="0.2">
      <c r="A41" s="13" t="s">
        <v>551</v>
      </c>
      <c r="B41" s="87">
        <f>GETPIVOTDATA("Sum of a."&amp;B35,T_17_2!$A$20,"Pub_injury_withchecks","6Other specified")/'Type of Injury Age Rate'!B47*1000000</f>
        <v>13.365231686291281</v>
      </c>
      <c r="C41" s="87">
        <f>GETPIVOTDATA("Sum of a."&amp;C35,T_17_2!$A$20,"Pub_injury_withchecks","6Other specified")/'Type of Injury Age Rate'!C47*1000000</f>
        <v>18.014041945696668</v>
      </c>
      <c r="D41" s="87">
        <f>GETPIVOTDATA("Sum of a."&amp;D35,T_17_2!$A$20,"Pub_injury_withchecks","6Other specified")/'Type of Injury Age Rate'!D47*1000000</f>
        <v>30.958596519343203</v>
      </c>
      <c r="E41" s="87">
        <f>GETPIVOTDATA("Sum of a."&amp;E35,T_17_2!$A$20,"Pub_injury_withchecks","6Other specified")/'Type of Injury Age Rate'!E47*1000000</f>
        <v>36.914802764918726</v>
      </c>
      <c r="F41" s="160">
        <f>GETPIVOTDATA("Sum of Total_Nonfatal",T_17_2!$A$20,"Pub_injury_withchecks","6Other specified")/'Type of Injury Age Rate'!F47*1000000</f>
        <v>27.991218441273325</v>
      </c>
      <c r="G41" s="1"/>
    </row>
    <row r="42" spans="1:7" ht="13.5" customHeight="1" x14ac:dyDescent="0.2">
      <c r="A42" s="311" t="s">
        <v>552</v>
      </c>
      <c r="B42" s="87">
        <f>GETPIVOTDATA("Sum of a."&amp;B35,T_17_2!$A$20,"Pub_injury_withchecks","8Other/Not known")/'Type of Injury Age Rate'!B47*1000000</f>
        <v>27.758558117681893</v>
      </c>
      <c r="C42" s="87">
        <f>GETPIVOTDATA("Sum of a."&amp;C35,T_17_2!$A$20,"Pub_injury_withchecks","8Other/Not known")/'Type of Injury Age Rate'!C47*1000000</f>
        <v>20.265797188908753</v>
      </c>
      <c r="D42" s="87">
        <f>GETPIVOTDATA("Sum of a."&amp;D35,T_17_2!$A$20,"Pub_injury_withchecks","8Other/Not known")/'Type of Injury Age Rate'!D47*1000000</f>
        <v>27.316408693538122</v>
      </c>
      <c r="E42" s="87">
        <f>GETPIVOTDATA("Sum of a."&amp;E35,T_17_2!$A$20,"Pub_injury_withchecks","8Other/Not known")/'Type of Injury Age Rate'!E47*1000000</f>
        <v>17.037601276116337</v>
      </c>
      <c r="F42" s="160">
        <f>GETPIVOTDATA("Sum of Total_Nonfatal",T_17_2!$A$20,"Pub_injury_withchecks","8Other/Not known")/'Type of Injury Age Rate'!F47*1000000</f>
        <v>25.246981339187705</v>
      </c>
      <c r="G42" s="1"/>
    </row>
    <row r="43" spans="1:7" x14ac:dyDescent="0.2">
      <c r="A43" s="138"/>
      <c r="B43" s="87"/>
      <c r="C43" s="87"/>
      <c r="D43" s="87"/>
      <c r="E43" s="87"/>
      <c r="F43" s="160"/>
      <c r="G43" s="1"/>
    </row>
    <row r="44" spans="1:7" ht="25.5" customHeight="1" thickBot="1" x14ac:dyDescent="0.25">
      <c r="A44" s="479" t="s">
        <v>11</v>
      </c>
      <c r="B44" s="368">
        <f>GETPIVOTDATA("Sum of a.0-16",T_17_2!$A$20)/'Type of Injury Age Rate'!B47*1000000</f>
        <v>119.25899043152221</v>
      </c>
      <c r="C44" s="368">
        <f>GETPIVOTDATA("Sum of a.17-29",T_17_2!$A$20)/'Type of Injury Age Rate'!C47*1000000</f>
        <v>141.8605803223613</v>
      </c>
      <c r="D44" s="368">
        <f>GETPIVOTDATA("Sum of a.30-59",T_17_2!$A$20)/'Type of Injury Age Rate'!D47*1000000</f>
        <v>205.78361215798719</v>
      </c>
      <c r="E44" s="368">
        <f>GETPIVOTDATA("Sum of a.60+",T_17_2!$A$20)/'Type of Injury Age Rate'!E47*1000000</f>
        <v>177.47501329287851</v>
      </c>
      <c r="F44" s="897">
        <f>GETPIVOTDATA("Sum of Total_Nonfatal",T_17_2!$A$20)/'Type of Injury Age Rate'!F47*1000000</f>
        <v>184.59568240029273</v>
      </c>
      <c r="G44" s="2"/>
    </row>
    <row r="45" spans="1:7" ht="25.5" customHeight="1" x14ac:dyDescent="0.2">
      <c r="A45" s="1"/>
      <c r="B45" s="1"/>
      <c r="C45" s="1"/>
      <c r="D45" s="1"/>
      <c r="E45" s="1"/>
      <c r="F45" s="1"/>
      <c r="G45" s="1"/>
    </row>
    <row r="46" spans="1:7" x14ac:dyDescent="0.2">
      <c r="A46" s="1"/>
      <c r="B46" s="47" t="s">
        <v>175</v>
      </c>
      <c r="C46" s="47" t="s">
        <v>176</v>
      </c>
      <c r="D46" s="47" t="s">
        <v>177</v>
      </c>
      <c r="E46" s="47" t="s">
        <v>178</v>
      </c>
      <c r="F46" s="872" t="s">
        <v>11</v>
      </c>
      <c r="G46" s="1"/>
    </row>
    <row r="47" spans="1:7" ht="22.5" customHeight="1" thickBot="1" x14ac:dyDescent="0.25">
      <c r="A47" s="729" t="s">
        <v>255</v>
      </c>
      <c r="B47" s="865">
        <f>GETPIVOTDATA("Average of b.0-16",T_17_2!$A$20)</f>
        <v>972673</v>
      </c>
      <c r="C47" s="865">
        <f>GETPIVOTDATA("Average of b.17-29",T_17_2!$A$20)</f>
        <v>888196</v>
      </c>
      <c r="D47" s="865">
        <f>GETPIVOTDATA("Average of b.30-59",T_17_2!$A$20)</f>
        <v>2196482</v>
      </c>
      <c r="E47" s="865">
        <f>GETPIVOTDATA("Average of b.60+",T_17_2!$A$20)</f>
        <v>1408649</v>
      </c>
      <c r="F47" s="865">
        <f>GETPIVOTDATA("Average of Total",T_17_2!$A$20)</f>
        <v>5466000</v>
      </c>
      <c r="G47" s="1"/>
    </row>
    <row r="48" spans="1:7" x14ac:dyDescent="0.2">
      <c r="A48" s="1"/>
      <c r="B48" s="1"/>
      <c r="C48" s="1"/>
      <c r="D48" s="1"/>
      <c r="E48" s="1"/>
      <c r="F48" s="1"/>
      <c r="G48" s="1"/>
    </row>
    <row r="49" spans="1:16" x14ac:dyDescent="0.2">
      <c r="A49" s="5" t="s">
        <v>146</v>
      </c>
      <c r="B49" s="1"/>
      <c r="C49" s="1"/>
      <c r="D49" s="1"/>
      <c r="E49" s="1"/>
      <c r="F49" s="1"/>
      <c r="G49" s="1"/>
      <c r="H49" s="1"/>
    </row>
    <row r="50" spans="1:16" ht="30" customHeight="1" x14ac:dyDescent="0.25">
      <c r="A50" s="1416" t="s">
        <v>431</v>
      </c>
      <c r="B50" s="1416"/>
      <c r="C50" s="1416"/>
      <c r="D50" s="1416"/>
      <c r="E50" s="1416"/>
      <c r="F50" s="1416"/>
      <c r="G50" s="1416"/>
      <c r="H50" s="1416"/>
      <c r="I50" s="28"/>
      <c r="J50" s="28"/>
      <c r="K50" s="28"/>
      <c r="L50" s="28"/>
      <c r="M50" s="28"/>
      <c r="N50" s="28"/>
      <c r="O50" s="28"/>
      <c r="P50" s="28"/>
    </row>
    <row r="51" spans="1:16" ht="45.75" customHeight="1" x14ac:dyDescent="0.25">
      <c r="A51" s="1417" t="s">
        <v>568</v>
      </c>
      <c r="B51" s="1417"/>
      <c r="C51" s="1417"/>
      <c r="D51" s="1417"/>
      <c r="E51" s="1417"/>
      <c r="F51" s="1417"/>
      <c r="G51" s="1417"/>
      <c r="H51" s="1417"/>
      <c r="I51" s="278"/>
      <c r="J51" s="278"/>
      <c r="K51" s="278"/>
      <c r="L51" s="278"/>
      <c r="M51" s="278"/>
      <c r="N51" s="278"/>
      <c r="O51" s="278"/>
      <c r="P51" s="278"/>
    </row>
    <row r="52" spans="1:16" ht="14.25" customHeight="1" x14ac:dyDescent="0.25">
      <c r="A52" s="1119" t="s">
        <v>1234</v>
      </c>
      <c r="B52" s="1109"/>
      <c r="C52" s="1109"/>
      <c r="D52" s="1109"/>
      <c r="E52" s="1109"/>
      <c r="F52" s="1109"/>
      <c r="G52" s="1109"/>
      <c r="H52" s="1109"/>
    </row>
    <row r="53" spans="1:16" ht="15" customHeight="1" x14ac:dyDescent="0.2">
      <c r="A53" s="106" t="s">
        <v>1093</v>
      </c>
      <c r="B53" s="31"/>
      <c r="C53" s="31"/>
      <c r="D53" s="31"/>
      <c r="E53" s="31"/>
      <c r="F53" s="31"/>
      <c r="G53" s="31"/>
      <c r="H53" s="31"/>
      <c r="I53" s="31"/>
      <c r="J53" s="31"/>
      <c r="K53" s="31"/>
    </row>
    <row r="55" spans="1:16" x14ac:dyDescent="0.2">
      <c r="A55" s="106"/>
    </row>
  </sheetData>
  <sheetProtection algorithmName="SHA-512" hashValue="SCmnU4VDVF3wcxEEcf5ikT8fCuggHdKk+b7COYrtKj5BeOspQsmVJ+J02w1DmQVUxYCWKAcu/xRtM/sSGxvYTg==" saltValue="x0Ls92nPrcggcAXO6KxtAA==" spinCount="100000" sheet="1" scenarios="1" formatCells="0" formatColumns="0" formatRows="0" sort="0" autoFilter="0" pivotTables="0"/>
  <mergeCells count="8">
    <mergeCell ref="A50:H50"/>
    <mergeCell ref="A51:H51"/>
    <mergeCell ref="B8:F8"/>
    <mergeCell ref="B34:F34"/>
    <mergeCell ref="A8:A9"/>
    <mergeCell ref="A34:A35"/>
    <mergeCell ref="A23:H23"/>
    <mergeCell ref="A24:H24"/>
  </mergeCells>
  <hyperlinks>
    <hyperlink ref="A2" location="'Table of Contents'!A1" display="Back to Table of Contents" xr:uid="{00000000-0004-0000-8500-000000000000}"/>
    <hyperlink ref="A53" r:id="rId1" xr:uid="{00000000-0004-0000-8500-000001000000}"/>
    <hyperlink ref="A26" r:id="rId2" xr:uid="{00000000-0004-0000-8500-000002000000}"/>
  </hyperlinks>
  <pageMargins left="0.7" right="0.7" top="0.75" bottom="0.75" header="0.3" footer="0.3"/>
  <pageSetup paperSize="9" scale="70" fitToWidth="0" orientation="portrait" r:id="rId3"/>
  <colBreaks count="1" manualBreakCount="1">
    <brk id="8" max="1048575" man="1"/>
  </colBreaks>
  <drawing r:id="rId4"/>
  <extLst>
    <ext xmlns:x14="http://schemas.microsoft.com/office/spreadsheetml/2009/9/main" uri="{A8765BA9-456A-4dab-B4F3-ACF838C121DE}">
      <x14:slicerList>
        <x14:slicer r:id="rId5"/>
      </x14:slicerList>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BF8F00"/>
  </sheetPr>
  <dimension ref="A1:Q20"/>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35.85546875" customWidth="1"/>
    <col min="2" max="2" width="14.85546875" customWidth="1"/>
    <col min="3" max="3" width="12" customWidth="1"/>
    <col min="4" max="4" width="11.5703125" customWidth="1"/>
    <col min="5" max="5" width="11.42578125" customWidth="1"/>
    <col min="6" max="6" width="13.7109375" customWidth="1"/>
    <col min="7" max="7" width="11.42578125" customWidth="1"/>
    <col min="8" max="8" width="4.5703125" customWidth="1"/>
    <col min="9" max="9" width="16.42578125" customWidth="1"/>
    <col min="10" max="10" width="13.7109375" customWidth="1"/>
    <col min="11" max="11" width="14.28515625" customWidth="1"/>
    <col min="12" max="12" width="12" customWidth="1"/>
    <col min="13" max="13" width="14.28515625" customWidth="1"/>
    <col min="14" max="14" width="10.85546875" customWidth="1"/>
    <col min="15" max="15" width="4.42578125" customWidth="1"/>
    <col min="16" max="16" width="16.5703125" customWidth="1"/>
    <col min="17" max="17" width="4.140625" customWidth="1"/>
  </cols>
  <sheetData>
    <row r="1" spans="1:17" ht="18.75" customHeight="1" x14ac:dyDescent="0.2">
      <c r="A1" s="298" t="s">
        <v>1133</v>
      </c>
    </row>
    <row r="2" spans="1:17" ht="18.75" customHeight="1" x14ac:dyDescent="0.2">
      <c r="A2" s="106" t="s">
        <v>578</v>
      </c>
    </row>
    <row r="3" spans="1:17" ht="38.25" customHeight="1" x14ac:dyDescent="0.2">
      <c r="A3" s="120" t="s">
        <v>1061</v>
      </c>
      <c r="B3" s="120"/>
      <c r="C3" s="120"/>
      <c r="D3" s="120"/>
      <c r="E3" s="120"/>
      <c r="F3" s="120"/>
      <c r="G3" s="120"/>
      <c r="H3" s="120"/>
      <c r="I3" s="120"/>
      <c r="J3" s="120"/>
      <c r="K3" s="120"/>
      <c r="L3" s="120"/>
      <c r="M3" s="120"/>
      <c r="N3" s="120"/>
      <c r="O3" s="120"/>
      <c r="P3" s="120"/>
      <c r="Q3" s="1"/>
    </row>
    <row r="4" spans="1:17" ht="15" customHeight="1" x14ac:dyDescent="0.25">
      <c r="A4" s="351" t="s">
        <v>579</v>
      </c>
      <c r="B4" s="1043" t="s">
        <v>1386</v>
      </c>
      <c r="D4" s="120"/>
      <c r="E4" s="120"/>
      <c r="F4" s="120"/>
      <c r="G4" s="120"/>
      <c r="H4" s="120"/>
      <c r="I4" s="120"/>
      <c r="J4" s="120"/>
      <c r="K4" s="120"/>
      <c r="L4" s="120"/>
      <c r="M4" s="120"/>
      <c r="N4" s="120"/>
      <c r="O4" s="120"/>
      <c r="P4" s="120"/>
      <c r="Q4" s="1"/>
    </row>
    <row r="5" spans="1:17" ht="15" customHeight="1" x14ac:dyDescent="0.25">
      <c r="A5" s="351" t="s">
        <v>580</v>
      </c>
      <c r="B5" s="351" t="s">
        <v>581</v>
      </c>
      <c r="C5" s="120"/>
      <c r="D5" s="120"/>
      <c r="E5" s="120"/>
      <c r="F5" s="120"/>
      <c r="G5" s="120"/>
      <c r="H5" s="120"/>
      <c r="I5" s="120"/>
      <c r="J5" s="120"/>
      <c r="K5" s="120"/>
      <c r="L5" s="120"/>
      <c r="M5" s="120"/>
      <c r="N5" s="120"/>
      <c r="O5" s="120"/>
      <c r="P5" s="120"/>
      <c r="Q5" s="1"/>
    </row>
    <row r="6" spans="1:17" ht="15" customHeight="1" x14ac:dyDescent="0.25">
      <c r="A6" s="351" t="s">
        <v>582</v>
      </c>
      <c r="B6" s="351" t="s">
        <v>585</v>
      </c>
      <c r="C6" s="120"/>
      <c r="D6" s="120"/>
      <c r="E6" s="120"/>
      <c r="F6" s="120"/>
      <c r="G6" s="120"/>
      <c r="H6" s="120"/>
      <c r="I6" s="120"/>
      <c r="J6" s="120"/>
      <c r="K6" s="120"/>
      <c r="L6" s="120"/>
      <c r="M6" s="120"/>
      <c r="N6" s="120"/>
      <c r="O6" s="120"/>
      <c r="P6" s="120"/>
      <c r="Q6" s="1"/>
    </row>
    <row r="7" spans="1:17" ht="15" x14ac:dyDescent="0.25">
      <c r="A7" s="1"/>
      <c r="B7" s="1"/>
      <c r="C7" s="1"/>
      <c r="D7" s="1"/>
      <c r="E7" s="1"/>
      <c r="F7" s="1"/>
      <c r="G7" s="1"/>
      <c r="H7" s="1"/>
      <c r="I7" s="1"/>
      <c r="J7" s="1"/>
      <c r="K7" s="80"/>
      <c r="L7" s="80"/>
      <c r="M7" s="80"/>
      <c r="N7" s="80"/>
      <c r="O7" s="80"/>
      <c r="P7" s="80" t="s">
        <v>0</v>
      </c>
      <c r="Q7" s="1"/>
    </row>
    <row r="8" spans="1:17" x14ac:dyDescent="0.2">
      <c r="A8" s="1317" t="s">
        <v>165</v>
      </c>
      <c r="B8" s="1282" t="s">
        <v>498</v>
      </c>
      <c r="C8" s="1298"/>
      <c r="D8" s="1298"/>
      <c r="E8" s="1298"/>
      <c r="F8" s="1298"/>
      <c r="G8" s="1298"/>
      <c r="H8" s="194"/>
      <c r="I8" s="1418" t="s">
        <v>163</v>
      </c>
      <c r="J8" s="1418"/>
      <c r="K8" s="1418"/>
      <c r="L8" s="1418"/>
      <c r="M8" s="1418"/>
      <c r="N8" s="1418"/>
      <c r="O8" s="39"/>
      <c r="P8" s="1282" t="s">
        <v>55</v>
      </c>
      <c r="Q8" s="77"/>
    </row>
    <row r="9" spans="1:17" ht="26.25" customHeight="1" x14ac:dyDescent="0.2">
      <c r="A9" s="1317"/>
      <c r="B9" s="194" t="s">
        <v>175</v>
      </c>
      <c r="C9" s="194" t="s">
        <v>176</v>
      </c>
      <c r="D9" s="194" t="s">
        <v>177</v>
      </c>
      <c r="E9" s="194" t="s">
        <v>178</v>
      </c>
      <c r="F9" s="338" t="s">
        <v>169</v>
      </c>
      <c r="G9" s="903" t="s">
        <v>11</v>
      </c>
      <c r="H9" s="194"/>
      <c r="I9" s="194" t="s">
        <v>175</v>
      </c>
      <c r="J9" s="194" t="s">
        <v>176</v>
      </c>
      <c r="K9" s="194" t="s">
        <v>177</v>
      </c>
      <c r="L9" s="194" t="s">
        <v>178</v>
      </c>
      <c r="M9" s="898" t="s">
        <v>169</v>
      </c>
      <c r="N9" s="613" t="s">
        <v>11</v>
      </c>
      <c r="O9" s="39"/>
      <c r="P9" s="1282"/>
      <c r="Q9" s="77"/>
    </row>
    <row r="10" spans="1:17" ht="18.75" customHeight="1" x14ac:dyDescent="0.2">
      <c r="A10" s="690" t="s">
        <v>555</v>
      </c>
      <c r="B10" s="131">
        <f>GETPIVOTDATA("Sum of Non FRS personnel0-16",T_16!$A$40,"Treatment","1Precautionary check recommended")</f>
        <v>57</v>
      </c>
      <c r="C10" s="131">
        <f>GETPIVOTDATA("Sum of Non FRS personnel17-29",T_16!$A$40,"Treatment","1Precautionary check recommended")</f>
        <v>39</v>
      </c>
      <c r="D10" s="131">
        <f>GETPIVOTDATA("Sum of Non FRS personnel30-59",T_16!$A$40,"Treatment","1Precautionary check recommended")</f>
        <v>140</v>
      </c>
      <c r="E10" s="131">
        <f>GETPIVOTDATA("Sum of Non FRS personnel60+",T_16!$A$40,"Treatment","1Precautionary check recommended")</f>
        <v>64</v>
      </c>
      <c r="F10" s="130">
        <f>IFERROR(GETPIVOTDATA("Sum of Non FRS personnelUnknown",T_16!$A$40,"Treatment","1Precautionary check recommended"),0)</f>
        <v>22</v>
      </c>
      <c r="G10" s="723">
        <f>SUM(B10:F10)</f>
        <v>322</v>
      </c>
      <c r="H10" s="142"/>
      <c r="I10" s="142">
        <f>IFERROR(GETPIVOTDATA("Sum of FRS personnel0-16",T_16!$A$40,"Treatment","1Precautionary check recommended"),0)</f>
        <v>0</v>
      </c>
      <c r="J10" s="142">
        <f>GETPIVOTDATA("Sum of FRS personnel17-29",T_16!$A$40,"Treatment","1Precautionary check recommended")</f>
        <v>0</v>
      </c>
      <c r="K10" s="142">
        <f>GETPIVOTDATA("Sum of FRS personnel30-59",T_16!$A$40,"Treatment","1Precautionary check recommended")</f>
        <v>0</v>
      </c>
      <c r="L10" s="142">
        <f>GETPIVOTDATA("Sum of FRS personnel60+",T_16!$A$40,"Treatment","1Precautionary check recommended")</f>
        <v>0</v>
      </c>
      <c r="M10" s="142">
        <f>GETPIVOTDATA("Sum of FRS personnelUnknown",T_16!$A$40,"Treatment","1Precautionary check recommended")</f>
        <v>2</v>
      </c>
      <c r="N10" s="905">
        <f>SUM(I10:M10)</f>
        <v>2</v>
      </c>
      <c r="O10" s="901"/>
      <c r="P10" s="413">
        <f>G10+N10</f>
        <v>324</v>
      </c>
      <c r="Q10" s="21"/>
    </row>
    <row r="11" spans="1:17" ht="13.5" customHeight="1" x14ac:dyDescent="0.2">
      <c r="A11" s="567" t="s">
        <v>556</v>
      </c>
      <c r="B11" s="130">
        <f>GETPIVOTDATA("Sum of Non FRS personnel0-16",T_16!$A$40,"Treatment","2First aid given at scene")</f>
        <v>30</v>
      </c>
      <c r="C11" s="130">
        <f>GETPIVOTDATA("Sum of Non FRS personnel17-29",T_16!$A$40,"Treatment","2First aid given at scene")</f>
        <v>37</v>
      </c>
      <c r="D11" s="130">
        <f>GETPIVOTDATA("Sum of Non FRS personnel30-59",T_16!$A$40,"Treatment","2First aid given at scene")</f>
        <v>153</v>
      </c>
      <c r="E11" s="130">
        <f>GETPIVOTDATA("Sum of Non FRS personnel60+",T_16!$A$40,"Treatment","2First aid given at scene")</f>
        <v>96</v>
      </c>
      <c r="F11" s="130">
        <f>IFERROR(GETPIVOTDATA("Sum of Non FRS personnelUnknown",T_16!$A$40,"Treatment","2First aid given at scene"),0)</f>
        <v>27</v>
      </c>
      <c r="G11" s="144">
        <f>SUM(B11:F11)</f>
        <v>343</v>
      </c>
      <c r="H11" s="70"/>
      <c r="I11" s="70">
        <f>IFERROR(GETPIVOTDATA("Sum of FRS personnel0-16",T_16!$A$40,"Treatment","2First aid given at scene"),0)</f>
        <v>0</v>
      </c>
      <c r="J11" s="70">
        <f>GETPIVOTDATA("Sum of FRS personnel17-29",T_16!$A$40,"Treatment","2First aid given at scene")</f>
        <v>0</v>
      </c>
      <c r="K11" s="70">
        <f>GETPIVOTDATA("Sum of FRS personnel30-59",T_16!$A$40,"Treatment","2First aid given at scene")</f>
        <v>0</v>
      </c>
      <c r="L11" s="70">
        <f>GETPIVOTDATA("Sum of FRS personnel60+",T_16!$A$40,"Treatment","2First aid given at scene")</f>
        <v>0</v>
      </c>
      <c r="M11" s="70">
        <f>GETPIVOTDATA("Sum of FRS personnelUnknown",T_16!$A$40,"Treatment","2First aid given at scene")</f>
        <v>0</v>
      </c>
      <c r="N11" s="906">
        <f>SUM(I11:M11)</f>
        <v>0</v>
      </c>
      <c r="O11" s="12"/>
      <c r="P11" s="21">
        <f>G11+N11</f>
        <v>343</v>
      </c>
      <c r="Q11" s="21"/>
    </row>
    <row r="12" spans="1:17" ht="13.5" customHeight="1" x14ac:dyDescent="0.2">
      <c r="A12" s="138" t="s">
        <v>557</v>
      </c>
      <c r="B12" s="130">
        <f>GETPIVOTDATA("Sum of Non FRS personnel0-16",T_16!$A$40,"Treatment","3Victim went to hospital, injuries appear to be Slight")</f>
        <v>28</v>
      </c>
      <c r="C12" s="130">
        <f>GETPIVOTDATA("Sum of Non FRS personnel17-29",T_16!$A$40,"Treatment","3Victim went to hospital, injuries appear to be Slight")</f>
        <v>44</v>
      </c>
      <c r="D12" s="130">
        <f>GETPIVOTDATA("Sum of Non FRS personnel30-59",T_16!$A$40,"Treatment","3Victim went to hospital, injuries appear to be Slight")</f>
        <v>134</v>
      </c>
      <c r="E12" s="130">
        <f>GETPIVOTDATA("Sum of Non FRS personnel60+",T_16!$A$40,"Treatment","3Victim went to hospital, injuries appear to be Slight")</f>
        <v>76</v>
      </c>
      <c r="F12" s="130">
        <f>IFERROR(GETPIVOTDATA("Sum of Non FRS personnelUnknown",T_16!$A$40,"Treatment","3Victim went to hospital, injuries appear to be Slight"),0)</f>
        <v>11</v>
      </c>
      <c r="G12" s="144">
        <f>SUM(B12:F12)</f>
        <v>293</v>
      </c>
      <c r="H12" s="70"/>
      <c r="I12" s="70">
        <f>IFERROR(GETPIVOTDATA("Sum of FRS personnel0-16",T_16!$A$40,"Treatment","3Victim went to hospital, injuries appear to be Slight"),0)</f>
        <v>0</v>
      </c>
      <c r="J12" s="70">
        <f>GETPIVOTDATA("Sum of FRS personnel17-29",T_16!$A$40,"Treatment","3Victim went to hospital, injuries appear to be Slight")</f>
        <v>0</v>
      </c>
      <c r="K12" s="70">
        <f>GETPIVOTDATA("Sum of FRS personnel30-59",T_16!$A$40,"Treatment","3Victim went to hospital, injuries appear to be Slight")</f>
        <v>5</v>
      </c>
      <c r="L12" s="70">
        <f>GETPIVOTDATA("Sum of FRS personnel60+",T_16!$A$40,"Treatment","3Victim went to hospital, injuries appear to be Slight")</f>
        <v>0</v>
      </c>
      <c r="M12" s="70">
        <f>GETPIVOTDATA("Sum of FRS personnelUnknown",T_16!$A$40,"Treatment","3Victim went to hospital, injuries appear to be Slight")</f>
        <v>1</v>
      </c>
      <c r="N12" s="906">
        <f>SUM(I12:M12)</f>
        <v>6</v>
      </c>
      <c r="O12" s="12"/>
      <c r="P12" s="21">
        <f>G12+N12</f>
        <v>299</v>
      </c>
      <c r="Q12" s="21"/>
    </row>
    <row r="13" spans="1:17" ht="13.5" customHeight="1" x14ac:dyDescent="0.2">
      <c r="A13" s="138" t="s">
        <v>558</v>
      </c>
      <c r="B13" s="126">
        <f>GETPIVOTDATA("Sum of Non FRS personnel0-16",T_16!$A$40,"Treatment","4Victim went to hospital, injuries appear to be Serious")</f>
        <v>1</v>
      </c>
      <c r="C13" s="126">
        <f>GETPIVOTDATA("Sum of Non FRS personnel17-29",T_16!$A$40,"Treatment","4Victim went to hospital, injuries appear to be Serious")</f>
        <v>6</v>
      </c>
      <c r="D13" s="126">
        <f>GETPIVOTDATA("Sum of Non FRS personnel30-59",T_16!$A$40,"Treatment","4Victim went to hospital, injuries appear to be Serious")</f>
        <v>25</v>
      </c>
      <c r="E13" s="126">
        <f>GETPIVOTDATA("Sum of Non FRS personnel60+",T_16!$A$40,"Treatment","4Victim went to hospital, injuries appear to be Serious")</f>
        <v>14</v>
      </c>
      <c r="F13" s="130">
        <f>IFERROR(GETPIVOTDATA("Sum of Non FRS personnelUnknown",T_16!$A$40,"Treatment","4Victim went to hospital, injuries appear to be Serious"),0)</f>
        <v>5</v>
      </c>
      <c r="G13" s="144">
        <f>SUM(B13:F13)</f>
        <v>51</v>
      </c>
      <c r="H13" s="70"/>
      <c r="I13" s="70">
        <f>IFERROR(GETPIVOTDATA("Sum of FRS personnel0-16",T_16!$A$40,"Treatment","4Victim went to hospital, injuries appear to be Serious"),0)</f>
        <v>0</v>
      </c>
      <c r="J13" s="70">
        <f>GETPIVOTDATA("Sum of FRS personnel17-29",T_16!$A$40,"Treatment","4Victim went to hospital, injuries appear to be Serious")</f>
        <v>0</v>
      </c>
      <c r="K13" s="70">
        <f>GETPIVOTDATA("Sum of FRS personnel30-59",T_16!$A$40,"Treatment","4Victim went to hospital, injuries appear to be Serious")</f>
        <v>0</v>
      </c>
      <c r="L13" s="70">
        <f>GETPIVOTDATA("Sum of FRS personnel60+",T_16!$A$40,"Treatment","4Victim went to hospital, injuries appear to be Serious")</f>
        <v>0</v>
      </c>
      <c r="M13" s="70">
        <f>GETPIVOTDATA("Sum of FRS personnelUnknown",T_16!$A$40,"Treatment","4Victim went to hospital, injuries appear to be Serious")</f>
        <v>0</v>
      </c>
      <c r="N13" s="906">
        <f>SUM(I13:M13)</f>
        <v>0</v>
      </c>
      <c r="O13" s="12"/>
      <c r="P13" s="21">
        <f>G13+N13</f>
        <v>51</v>
      </c>
      <c r="Q13" s="21"/>
    </row>
    <row r="14" spans="1:17" ht="13.5" customHeight="1" x14ac:dyDescent="0.2">
      <c r="A14" s="138"/>
      <c r="B14" s="130"/>
      <c r="C14" s="130"/>
      <c r="D14" s="130"/>
      <c r="E14" s="130"/>
      <c r="F14" s="130"/>
      <c r="G14" s="144"/>
      <c r="H14" s="146"/>
      <c r="I14" s="146"/>
      <c r="J14" s="146"/>
      <c r="K14" s="146"/>
      <c r="L14" s="146"/>
      <c r="M14" s="130"/>
      <c r="N14" s="907"/>
      <c r="O14" s="12"/>
      <c r="P14" s="3"/>
      <c r="Q14" s="3"/>
    </row>
    <row r="15" spans="1:17" ht="30" customHeight="1" thickBot="1" x14ac:dyDescent="0.25">
      <c r="A15" s="479" t="s">
        <v>11</v>
      </c>
      <c r="B15" s="471">
        <f t="shared" ref="B15:G15" si="0">SUM(B10:B13)</f>
        <v>116</v>
      </c>
      <c r="C15" s="471">
        <f t="shared" si="0"/>
        <v>126</v>
      </c>
      <c r="D15" s="471">
        <f t="shared" si="0"/>
        <v>452</v>
      </c>
      <c r="E15" s="471">
        <f t="shared" si="0"/>
        <v>250</v>
      </c>
      <c r="F15" s="471">
        <f t="shared" si="0"/>
        <v>65</v>
      </c>
      <c r="G15" s="904">
        <f t="shared" si="0"/>
        <v>1009</v>
      </c>
      <c r="H15" s="471"/>
      <c r="I15" s="471">
        <f t="shared" ref="I15:N15" si="1">SUM(I10:I13)</f>
        <v>0</v>
      </c>
      <c r="J15" s="471">
        <f t="shared" si="1"/>
        <v>0</v>
      </c>
      <c r="K15" s="471">
        <f t="shared" si="1"/>
        <v>5</v>
      </c>
      <c r="L15" s="471">
        <f t="shared" si="1"/>
        <v>0</v>
      </c>
      <c r="M15" s="471">
        <f t="shared" si="1"/>
        <v>3</v>
      </c>
      <c r="N15" s="904">
        <f t="shared" si="1"/>
        <v>8</v>
      </c>
      <c r="O15" s="902"/>
      <c r="P15" s="865">
        <f>SUM(P10:P13)</f>
        <v>1017</v>
      </c>
      <c r="Q15" s="51"/>
    </row>
    <row r="16" spans="1:17" x14ac:dyDescent="0.2">
      <c r="A16" s="138"/>
      <c r="B16" s="20"/>
      <c r="C16" s="20"/>
      <c r="D16" s="20"/>
      <c r="E16" s="20"/>
      <c r="F16" s="20"/>
      <c r="G16" s="20"/>
      <c r="H16" s="20"/>
      <c r="I16" s="20"/>
      <c r="J16" s="20"/>
      <c r="K16" s="20"/>
      <c r="L16" s="20"/>
      <c r="M16" s="20"/>
      <c r="N16" s="20"/>
      <c r="O16" s="20"/>
      <c r="P16" s="20"/>
      <c r="Q16" s="20"/>
    </row>
    <row r="17" spans="1:17" x14ac:dyDescent="0.2">
      <c r="A17" s="138"/>
      <c r="B17" s="86"/>
      <c r="C17" s="86"/>
      <c r="D17" s="86"/>
      <c r="E17" s="86"/>
      <c r="F17" s="86"/>
      <c r="G17" s="86"/>
      <c r="H17" s="86"/>
      <c r="I17" s="86"/>
      <c r="J17" s="1"/>
      <c r="L17" s="86"/>
      <c r="M17" s="86"/>
      <c r="N17" s="86"/>
      <c r="O17" s="86"/>
      <c r="P17" s="149"/>
      <c r="Q17" s="1"/>
    </row>
    <row r="18" spans="1:17" x14ac:dyDescent="0.2">
      <c r="A18" s="1328"/>
      <c r="B18" s="1328"/>
      <c r="C18" s="1328"/>
      <c r="D18" s="1328"/>
      <c r="E18" s="1328"/>
      <c r="F18" s="1328"/>
      <c r="G18" s="1328"/>
      <c r="H18" s="1328"/>
      <c r="I18" s="1328"/>
      <c r="J18" s="1328"/>
      <c r="K18" s="1328"/>
      <c r="L18" s="86"/>
      <c r="M18" s="86"/>
      <c r="N18" s="86"/>
      <c r="O18" s="86"/>
      <c r="P18" s="149"/>
      <c r="Q18" s="1"/>
    </row>
    <row r="19" spans="1:17" x14ac:dyDescent="0.2">
      <c r="A19" s="1"/>
      <c r="B19" s="1"/>
      <c r="C19" s="1"/>
      <c r="D19" s="1"/>
      <c r="E19" s="1"/>
      <c r="F19" s="1"/>
      <c r="G19" s="1"/>
      <c r="H19" s="1"/>
      <c r="I19" s="1"/>
      <c r="J19" s="1"/>
      <c r="K19" s="1"/>
      <c r="L19" s="1"/>
      <c r="M19" s="1"/>
      <c r="N19" s="1"/>
      <c r="O19" s="1"/>
      <c r="P19" s="1"/>
      <c r="Q19" s="1"/>
    </row>
    <row r="20" spans="1:17" x14ac:dyDescent="0.2">
      <c r="A20" s="106"/>
    </row>
  </sheetData>
  <sheetProtection algorithmName="SHA-512" hashValue="sT4TI8qj1UbmAkPoWFDWCSm1rZHzrOr9NBTo6C3xI1W6dS0dfkeyXYwSoh4F0gH4mxxtUl/h/wEbT/AnEtlggQ==" saltValue="Yp9TLuqeWdWlNJjupG7EBw==" spinCount="100000" sheet="1" scenarios="1" formatCells="0" formatColumns="0" formatRows="0" sort="0" autoFilter="0" pivotTables="0"/>
  <mergeCells count="5">
    <mergeCell ref="A18:K18"/>
    <mergeCell ref="A8:A9"/>
    <mergeCell ref="B8:G8"/>
    <mergeCell ref="I8:N8"/>
    <mergeCell ref="P8:P9"/>
  </mergeCells>
  <hyperlinks>
    <hyperlink ref="A2" location="'Table of Contents'!A1" display="Back to Table of Contents" xr:uid="{00000000-0004-0000-86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BF8F00"/>
  </sheetPr>
  <dimension ref="A1:K24"/>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35.7109375" customWidth="1"/>
    <col min="2" max="2" width="11.85546875" customWidth="1"/>
    <col min="3" max="3" width="12.5703125" customWidth="1"/>
    <col min="4" max="4" width="11.140625" customWidth="1"/>
    <col min="5" max="5" width="12.140625" customWidth="1"/>
    <col min="6" max="6" width="12.28515625" customWidth="1"/>
    <col min="7" max="7" width="3.5703125" customWidth="1"/>
    <col min="8" max="8" width="16.140625" customWidth="1"/>
  </cols>
  <sheetData>
    <row r="1" spans="1:8" ht="18" customHeight="1" x14ac:dyDescent="0.2">
      <c r="A1" s="298" t="s">
        <v>1133</v>
      </c>
    </row>
    <row r="2" spans="1:8" ht="18" customHeight="1" x14ac:dyDescent="0.2">
      <c r="A2" s="106" t="s">
        <v>578</v>
      </c>
    </row>
    <row r="3" spans="1:8" ht="38.25" customHeight="1" x14ac:dyDescent="0.2">
      <c r="A3" s="120" t="s">
        <v>1067</v>
      </c>
      <c r="B3" s="120"/>
      <c r="C3" s="120"/>
      <c r="D3" s="120"/>
      <c r="E3" s="120"/>
      <c r="F3" s="120"/>
      <c r="G3" s="75"/>
      <c r="H3" s="75"/>
    </row>
    <row r="4" spans="1:8" ht="17.25" customHeight="1" x14ac:dyDescent="0.25">
      <c r="A4" s="351" t="s">
        <v>579</v>
      </c>
      <c r="B4" s="1043" t="s">
        <v>1387</v>
      </c>
      <c r="D4" s="75"/>
      <c r="E4" s="75"/>
      <c r="F4" s="75"/>
      <c r="G4" s="75"/>
      <c r="H4" s="75"/>
    </row>
    <row r="5" spans="1:8" ht="17.25" customHeight="1" x14ac:dyDescent="0.25">
      <c r="A5" s="351" t="s">
        <v>580</v>
      </c>
      <c r="B5" s="351" t="s">
        <v>581</v>
      </c>
      <c r="C5" s="75"/>
      <c r="D5" s="75"/>
      <c r="E5" s="75"/>
      <c r="F5" s="75"/>
      <c r="G5" s="75"/>
      <c r="H5" s="75"/>
    </row>
    <row r="6" spans="1:8" ht="17.25" customHeight="1" x14ac:dyDescent="0.25">
      <c r="A6" s="351" t="s">
        <v>582</v>
      </c>
      <c r="B6" s="351" t="s">
        <v>585</v>
      </c>
      <c r="C6" s="75"/>
      <c r="D6" s="75"/>
      <c r="E6" s="75"/>
      <c r="F6" s="75"/>
      <c r="G6" s="75"/>
      <c r="H6" s="75"/>
    </row>
    <row r="7" spans="1:8" ht="29.25" customHeight="1" x14ac:dyDescent="0.2">
      <c r="A7" s="1"/>
      <c r="B7" s="1"/>
      <c r="C7" s="1"/>
      <c r="D7" s="1"/>
      <c r="E7" s="1"/>
      <c r="F7" s="60" t="s">
        <v>57</v>
      </c>
      <c r="G7" s="1"/>
    </row>
    <row r="8" spans="1:8" ht="12.75" customHeight="1" x14ac:dyDescent="0.2">
      <c r="A8" s="1317" t="s">
        <v>165</v>
      </c>
      <c r="B8" s="1375" t="s">
        <v>668</v>
      </c>
      <c r="C8" s="1375"/>
      <c r="D8" s="1375"/>
      <c r="E8" s="1375"/>
      <c r="F8" s="1375"/>
      <c r="G8" s="1"/>
    </row>
    <row r="9" spans="1:8" ht="12.75" customHeight="1" x14ac:dyDescent="0.2">
      <c r="A9" s="1317"/>
      <c r="B9" s="3" t="s">
        <v>175</v>
      </c>
      <c r="C9" s="3" t="s">
        <v>176</v>
      </c>
      <c r="D9" s="3" t="s">
        <v>177</v>
      </c>
      <c r="E9" s="3" t="s">
        <v>178</v>
      </c>
      <c r="F9" s="283" t="s">
        <v>11</v>
      </c>
      <c r="G9" s="1"/>
    </row>
    <row r="10" spans="1:8" ht="18.75" customHeight="1" x14ac:dyDescent="0.2">
      <c r="A10" s="690" t="s">
        <v>555</v>
      </c>
      <c r="B10" s="219">
        <f>T_17_2!B41/B$18*1000000</f>
        <v>58.60140047066178</v>
      </c>
      <c r="C10" s="219">
        <f>T_17_2!C41/C$18*1000000</f>
        <v>43.909227242635637</v>
      </c>
      <c r="D10" s="219">
        <f>T_17_2!D41/D$18*1000000</f>
        <v>63.738286951588947</v>
      </c>
      <c r="E10" s="219">
        <f>T_17_2!E41/E$18*1000000</f>
        <v>45.433603402976892</v>
      </c>
      <c r="F10" s="389">
        <f>SUM(T_17_2!B41:F41)/F18*1000000</f>
        <v>58.909623124771315</v>
      </c>
      <c r="G10" s="1"/>
    </row>
    <row r="11" spans="1:8" ht="13.5" customHeight="1" x14ac:dyDescent="0.2">
      <c r="A11" s="567" t="s">
        <v>556</v>
      </c>
      <c r="B11" s="87">
        <f>T_17_2!B42/B$18*1000000</f>
        <v>30.842842352979883</v>
      </c>
      <c r="C11" s="87">
        <f>T_17_2!C42/C$18*1000000</f>
        <v>41.657471999423549</v>
      </c>
      <c r="D11" s="87">
        <f>T_17_2!D42/D$18*1000000</f>
        <v>69.656842168522218</v>
      </c>
      <c r="E11" s="87">
        <f>T_17_2!E42/E$18*1000000</f>
        <v>68.150405104465349</v>
      </c>
      <c r="F11" s="160">
        <f>SUM(T_17_2!B42:F42)/F18*1000000</f>
        <v>62.751555067691186</v>
      </c>
      <c r="G11" s="1"/>
    </row>
    <row r="12" spans="1:8" ht="13.5" customHeight="1" x14ac:dyDescent="0.2">
      <c r="A12" s="138" t="s">
        <v>557</v>
      </c>
      <c r="B12" s="87">
        <f>T_17_2!B43/B$18*1000000</f>
        <v>28.786652862781224</v>
      </c>
      <c r="C12" s="87">
        <f>T_17_2!C43/C$18*1000000</f>
        <v>49.538615350665843</v>
      </c>
      <c r="D12" s="87">
        <f>T_17_2!D43/D$18*1000000</f>
        <v>61.006646082235143</v>
      </c>
      <c r="E12" s="87">
        <f>T_17_2!E43/E$18*1000000</f>
        <v>53.952404041035059</v>
      </c>
      <c r="F12" s="160">
        <f>SUM(T_17_2!B43:F43)/F18*1000000</f>
        <v>53.604098060739112</v>
      </c>
      <c r="G12" s="1"/>
    </row>
    <row r="13" spans="1:8" ht="13.5" customHeight="1" x14ac:dyDescent="0.2">
      <c r="A13" s="138" t="s">
        <v>558</v>
      </c>
      <c r="B13" s="87">
        <f>T_17_2!B44/B$18*1000000</f>
        <v>1.0280947450993292</v>
      </c>
      <c r="C13" s="87">
        <f>T_17_2!C44/C$18*1000000</f>
        <v>6.7552657296362515</v>
      </c>
      <c r="D13" s="87">
        <f>T_17_2!D44/D$18*1000000</f>
        <v>11.381836955640884</v>
      </c>
      <c r="E13" s="87">
        <f>T_17_2!E44/E$18*1000000</f>
        <v>9.9386007444011959</v>
      </c>
      <c r="F13" s="160">
        <f>SUM(T_17_2!B44:F44)/F18*1000000</f>
        <v>9.330406147091109</v>
      </c>
      <c r="G13" s="1"/>
    </row>
    <row r="14" spans="1:8" ht="13.5" customHeight="1" x14ac:dyDescent="0.2">
      <c r="A14" s="138"/>
      <c r="B14" s="87"/>
      <c r="C14" s="87"/>
      <c r="D14" s="87"/>
      <c r="E14" s="87"/>
      <c r="F14" s="160"/>
      <c r="G14" s="1"/>
    </row>
    <row r="15" spans="1:8" ht="30" customHeight="1" thickBot="1" x14ac:dyDescent="0.25">
      <c r="A15" s="873" t="s">
        <v>11</v>
      </c>
      <c r="B15" s="368">
        <f>(GETPIVOTDATA("Sum of Non FRS personnel0-16",T_17_2!$A$40)/B18)*1000000</f>
        <v>119.25899043152221</v>
      </c>
      <c r="C15" s="368">
        <f>GETPIVOTDATA("Sum of Non FRS personnel17-29",T_17_2!$A$40)/'Treatment Age Rate'!C18*1000000</f>
        <v>141.8605803223613</v>
      </c>
      <c r="D15" s="368">
        <f>GETPIVOTDATA("Sum of Non FRS personnel30-59",T_17_2!$A$40)/'Treatment Age Rate'!D18*1000000</f>
        <v>205.78361215798719</v>
      </c>
      <c r="E15" s="368">
        <f>GETPIVOTDATA("Sum of Non FRS personnel60+",T_17_2!$A$40)/'Treatment Age Rate'!E18*1000000</f>
        <v>177.47501329287851</v>
      </c>
      <c r="F15" s="368">
        <f>SUM(T_17_2!B45:F45)/'Treatment Age Rate'!F18*1000000</f>
        <v>184.59568240029273</v>
      </c>
      <c r="G15" s="2"/>
    </row>
    <row r="16" spans="1:8" x14ac:dyDescent="0.2">
      <c r="A16" s="1"/>
      <c r="B16" s="4"/>
      <c r="C16" s="4"/>
      <c r="D16" s="4"/>
      <c r="E16" s="4"/>
      <c r="F16" s="13"/>
      <c r="G16" s="1"/>
    </row>
    <row r="17" spans="1:11" x14ac:dyDescent="0.2">
      <c r="A17" s="1"/>
      <c r="B17" s="47" t="s">
        <v>175</v>
      </c>
      <c r="C17" s="47" t="s">
        <v>176</v>
      </c>
      <c r="D17" s="47" t="s">
        <v>177</v>
      </c>
      <c r="E17" s="47" t="s">
        <v>178</v>
      </c>
      <c r="F17" s="872" t="s">
        <v>11</v>
      </c>
      <c r="G17" s="1"/>
    </row>
    <row r="18" spans="1:11" ht="22.5" customHeight="1" thickBot="1" x14ac:dyDescent="0.25">
      <c r="A18" s="729" t="s">
        <v>255</v>
      </c>
      <c r="B18" s="865">
        <f>GETPIVOTDATA("Average of 0-16",T_17_2!$A$40)</f>
        <v>972673</v>
      </c>
      <c r="C18" s="865">
        <f>GETPIVOTDATA("Average of 17-29",T_17_2!$A$40)</f>
        <v>888196</v>
      </c>
      <c r="D18" s="865">
        <f>GETPIVOTDATA("Average of 30-59",T_17_2!$A$40)</f>
        <v>2196482</v>
      </c>
      <c r="E18" s="865">
        <f>GETPIVOTDATA("Average of 60+",T_17_2!$A$40)</f>
        <v>1408649</v>
      </c>
      <c r="F18" s="865">
        <f>GETPIVOTDATA("Average of Total",T_17_2!$A$40)</f>
        <v>5466000</v>
      </c>
      <c r="G18" s="1"/>
    </row>
    <row r="19" spans="1:11" x14ac:dyDescent="0.2">
      <c r="A19" s="1"/>
      <c r="B19" s="1"/>
      <c r="C19" s="1"/>
      <c r="D19" s="1"/>
      <c r="E19" s="1"/>
      <c r="F19" s="1"/>
      <c r="G19" s="1"/>
    </row>
    <row r="20" spans="1:11" x14ac:dyDescent="0.2">
      <c r="A20" s="1"/>
      <c r="B20" s="1"/>
      <c r="C20" s="1"/>
      <c r="D20" s="1"/>
      <c r="E20" s="1"/>
      <c r="F20" s="1"/>
      <c r="G20" s="1"/>
    </row>
    <row r="21" spans="1:11" x14ac:dyDescent="0.2">
      <c r="A21" s="138" t="s">
        <v>1231</v>
      </c>
      <c r="B21" s="86"/>
      <c r="C21" s="86"/>
      <c r="D21" s="86"/>
      <c r="E21" s="86"/>
      <c r="F21" s="86"/>
      <c r="G21" s="86"/>
      <c r="H21" s="86"/>
      <c r="I21" s="86"/>
      <c r="J21" s="1"/>
    </row>
    <row r="22" spans="1:11" ht="15" x14ac:dyDescent="0.25">
      <c r="A22" s="1119" t="s">
        <v>1234</v>
      </c>
      <c r="B22" s="31"/>
      <c r="C22" s="31"/>
      <c r="D22" s="31"/>
      <c r="E22" s="31"/>
      <c r="F22" s="31"/>
      <c r="G22" s="31"/>
      <c r="H22" s="31"/>
      <c r="I22" s="31"/>
      <c r="J22" s="31"/>
      <c r="K22" s="31"/>
    </row>
    <row r="23" spans="1:11" x14ac:dyDescent="0.2">
      <c r="A23" s="106" t="s">
        <v>1093</v>
      </c>
    </row>
    <row r="24" spans="1:11" x14ac:dyDescent="0.2">
      <c r="A24" s="106"/>
    </row>
  </sheetData>
  <sheetProtection algorithmName="SHA-512" hashValue="WYi2rLovBaOzU+ZDk9Qz/300Zk9fhBjQv0xU8cvVfxUJRV/TsUomRvWKYvVKe/Q1k1HfFhu9vk9YiISM+LzVIQ==" saltValue="ktoxTeCvtKrZX7tLOoTWaQ==" spinCount="100000" sheet="1" scenarios="1" formatCells="0" formatColumns="0" formatRows="0" sort="0" autoFilter="0" pivotTables="0"/>
  <mergeCells count="2">
    <mergeCell ref="A8:A9"/>
    <mergeCell ref="B8:F8"/>
  </mergeCells>
  <hyperlinks>
    <hyperlink ref="A2" location="'Table of Contents'!A1" display="Back to Table of Contents" xr:uid="{00000000-0004-0000-8700-000000000000}"/>
    <hyperlink ref="A23" r:id="rId1" xr:uid="{00000000-0004-0000-8700-000001000000}"/>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37">
    <tabColor rgb="FFBF8F00"/>
    <pageSetUpPr fitToPage="1"/>
  </sheetPr>
  <dimension ref="A1:M65"/>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7" customWidth="1"/>
    <col min="2" max="13" width="9.85546875" customWidth="1"/>
  </cols>
  <sheetData>
    <row r="1" spans="1:10" ht="15.75" x14ac:dyDescent="0.2">
      <c r="A1" s="298" t="s">
        <v>1133</v>
      </c>
    </row>
    <row r="2" spans="1:10" ht="15.75" customHeight="1" x14ac:dyDescent="0.2">
      <c r="A2" s="106" t="s">
        <v>578</v>
      </c>
    </row>
    <row r="3" spans="1:10" ht="32.25" customHeight="1" x14ac:dyDescent="0.2">
      <c r="A3" s="120" t="s">
        <v>1068</v>
      </c>
      <c r="B3" s="120"/>
      <c r="C3" s="120"/>
      <c r="D3" s="120"/>
      <c r="E3" s="120"/>
      <c r="F3" s="120"/>
      <c r="G3" s="120"/>
      <c r="H3" s="120"/>
      <c r="I3" s="120"/>
    </row>
    <row r="4" spans="1:10" ht="16.5" customHeight="1" x14ac:dyDescent="0.25">
      <c r="A4" s="351" t="s">
        <v>579</v>
      </c>
      <c r="B4" s="1043" t="s">
        <v>1388</v>
      </c>
      <c r="D4" s="129"/>
      <c r="E4" s="129"/>
      <c r="F4" s="129"/>
      <c r="G4" s="129"/>
      <c r="H4" s="129"/>
      <c r="I4" s="120"/>
    </row>
    <row r="5" spans="1:10" ht="16.5" customHeight="1" x14ac:dyDescent="0.25">
      <c r="A5" s="351" t="s">
        <v>580</v>
      </c>
      <c r="B5" s="351" t="s">
        <v>581</v>
      </c>
      <c r="C5" s="129"/>
      <c r="D5" s="129"/>
      <c r="E5" s="129"/>
      <c r="F5" s="129"/>
      <c r="G5" s="129"/>
      <c r="H5" s="129"/>
      <c r="I5" s="120"/>
    </row>
    <row r="6" spans="1:10" ht="16.5" customHeight="1" x14ac:dyDescent="0.25">
      <c r="A6" s="351" t="s">
        <v>582</v>
      </c>
      <c r="B6" s="351" t="s">
        <v>585</v>
      </c>
      <c r="C6" s="129"/>
      <c r="D6" s="129"/>
      <c r="E6" s="129"/>
      <c r="F6" s="129"/>
      <c r="G6" s="129"/>
      <c r="H6" s="129"/>
      <c r="I6" s="120"/>
    </row>
    <row r="7" spans="1:10" ht="15" x14ac:dyDescent="0.25">
      <c r="A7" s="1"/>
      <c r="B7" s="1"/>
      <c r="C7" s="1"/>
      <c r="D7" s="1"/>
      <c r="E7" s="1"/>
      <c r="F7" s="1"/>
      <c r="G7" s="1"/>
      <c r="H7" s="80"/>
      <c r="I7" s="1"/>
    </row>
    <row r="8" spans="1:10" ht="15" customHeight="1" x14ac:dyDescent="0.2">
      <c r="A8" s="1318" t="s">
        <v>4</v>
      </c>
      <c r="B8" s="1421" t="s">
        <v>180</v>
      </c>
      <c r="C8" s="1421"/>
      <c r="D8" s="105"/>
      <c r="E8" s="1421" t="s">
        <v>181</v>
      </c>
      <c r="F8" s="1421"/>
      <c r="G8" s="105"/>
      <c r="H8" s="1420" t="s">
        <v>262</v>
      </c>
      <c r="I8" s="2"/>
    </row>
    <row r="9" spans="1:10" ht="38.25" x14ac:dyDescent="0.2">
      <c r="A9" s="1318"/>
      <c r="B9" s="755" t="s">
        <v>11</v>
      </c>
      <c r="C9" s="755" t="s">
        <v>182</v>
      </c>
      <c r="D9" s="874"/>
      <c r="E9" s="755" t="s">
        <v>11</v>
      </c>
      <c r="F9" s="755" t="s">
        <v>182</v>
      </c>
      <c r="G9" s="874"/>
      <c r="H9" s="1420"/>
      <c r="I9" s="1154"/>
      <c r="J9" s="884" t="s">
        <v>1116</v>
      </c>
    </row>
    <row r="10" spans="1:10" ht="18.75" customHeight="1" x14ac:dyDescent="0.2">
      <c r="A10" s="488" t="str">
        <f>T_18!A3</f>
        <v>2009-10</v>
      </c>
      <c r="B10" s="354">
        <f>'Casualties Fire'!F10</f>
        <v>62</v>
      </c>
      <c r="C10" s="879">
        <f>T_18!B3</f>
        <v>28</v>
      </c>
      <c r="D10" s="880"/>
      <c r="E10" s="344">
        <f>'Casualties Fire'!L10</f>
        <v>1223</v>
      </c>
      <c r="F10" s="880">
        <f>T_18!C3</f>
        <v>414</v>
      </c>
      <c r="G10" s="880"/>
      <c r="H10" s="880">
        <f>T_18!D3</f>
        <v>533</v>
      </c>
      <c r="I10" s="90"/>
      <c r="J10" s="400">
        <f>H10+F10+C10</f>
        <v>975</v>
      </c>
    </row>
    <row r="11" spans="1:10" ht="13.5" customHeight="1" x14ac:dyDescent="0.2">
      <c r="A11" s="274" t="str">
        <f>T_18!A4</f>
        <v>2010-11</v>
      </c>
      <c r="B11" s="191">
        <f>'Casualties Fire'!F11</f>
        <v>52</v>
      </c>
      <c r="C11" s="875">
        <f>T_18!B4</f>
        <v>22</v>
      </c>
      <c r="D11" s="56"/>
      <c r="E11" s="310">
        <f>'Casualties Fire'!L11</f>
        <v>1332</v>
      </c>
      <c r="F11" s="56">
        <f>T_18!C4</f>
        <v>462</v>
      </c>
      <c r="G11" s="56"/>
      <c r="H11" s="56">
        <f>T_18!D4</f>
        <v>470</v>
      </c>
      <c r="I11" s="90"/>
      <c r="J11" s="117">
        <f t="shared" ref="J11:J17" si="0">H11+F11+C11</f>
        <v>954</v>
      </c>
    </row>
    <row r="12" spans="1:10" ht="13.5" customHeight="1" x14ac:dyDescent="0.2">
      <c r="A12" s="274" t="str">
        <f>T_18!A5</f>
        <v>2011-12</v>
      </c>
      <c r="B12" s="191">
        <f>'Casualties Fire'!F12</f>
        <v>59</v>
      </c>
      <c r="C12" s="875">
        <f>T_18!B5</f>
        <v>26</v>
      </c>
      <c r="E12" s="310">
        <f>'Casualties Fire'!L12</f>
        <v>1414</v>
      </c>
      <c r="F12" s="56">
        <f>T_18!C5</f>
        <v>434</v>
      </c>
      <c r="H12" s="56">
        <f>T_18!D5</f>
        <v>412</v>
      </c>
      <c r="I12" s="90"/>
      <c r="J12" s="117">
        <f t="shared" si="0"/>
        <v>872</v>
      </c>
    </row>
    <row r="13" spans="1:10" ht="13.5" customHeight="1" x14ac:dyDescent="0.2">
      <c r="A13" s="274" t="str">
        <f>T_18!A6</f>
        <v>2012-13</v>
      </c>
      <c r="B13" s="191">
        <f>'Casualties Fire'!F13</f>
        <v>46</v>
      </c>
      <c r="C13" s="875">
        <f>T_18!B6</f>
        <v>22</v>
      </c>
      <c r="E13" s="310">
        <f>'Casualties Fire'!L13</f>
        <v>1319</v>
      </c>
      <c r="F13" s="56">
        <f>T_18!C6</f>
        <v>390</v>
      </c>
      <c r="H13" s="56">
        <f>T_18!D6</f>
        <v>415</v>
      </c>
      <c r="I13" s="90"/>
      <c r="J13" s="117">
        <f t="shared" si="0"/>
        <v>827</v>
      </c>
    </row>
    <row r="14" spans="1:10" ht="13.5" customHeight="1" x14ac:dyDescent="0.2">
      <c r="A14" s="274" t="str">
        <f>T_18!A7</f>
        <v>2013-14</v>
      </c>
      <c r="B14" s="191">
        <f>'Casualties Fire'!F14</f>
        <v>31</v>
      </c>
      <c r="C14" s="876">
        <f>T_18!B7</f>
        <v>13</v>
      </c>
      <c r="E14" s="310">
        <f>'Casualties Fire'!L14</f>
        <v>1310</v>
      </c>
      <c r="F14" s="877">
        <f>T_18!C7</f>
        <v>439</v>
      </c>
      <c r="H14" s="56">
        <f>T_18!D7</f>
        <v>274</v>
      </c>
      <c r="I14" s="31"/>
      <c r="J14" s="117">
        <f t="shared" si="0"/>
        <v>726</v>
      </c>
    </row>
    <row r="15" spans="1:10" ht="13.5" customHeight="1" x14ac:dyDescent="0.2">
      <c r="A15" s="878" t="str">
        <f>T_18!A8</f>
        <v>2014-15</v>
      </c>
      <c r="B15" s="191">
        <f>'Casualties Fire'!F15</f>
        <v>40</v>
      </c>
      <c r="C15" s="876">
        <f>T_18!B8</f>
        <v>13</v>
      </c>
      <c r="E15" s="310">
        <f>'Casualties Fire'!L15</f>
        <v>1099</v>
      </c>
      <c r="F15" s="877">
        <f>T_18!C8</f>
        <v>355</v>
      </c>
      <c r="H15" s="56">
        <f>T_18!D8</f>
        <v>264</v>
      </c>
      <c r="I15" s="31"/>
      <c r="J15" s="117">
        <f t="shared" si="0"/>
        <v>632</v>
      </c>
    </row>
    <row r="16" spans="1:10" ht="13.5" customHeight="1" x14ac:dyDescent="0.2">
      <c r="A16" s="878" t="str">
        <f>T_18!A9</f>
        <v>2015-16</v>
      </c>
      <c r="B16" s="191">
        <f>'Casualties Fire'!F16</f>
        <v>45</v>
      </c>
      <c r="C16" s="876">
        <f>T_18!B9</f>
        <v>28</v>
      </c>
      <c r="E16" s="310">
        <f>'Casualties Fire'!L16</f>
        <v>1276</v>
      </c>
      <c r="F16" s="877">
        <f>T_18!C9</f>
        <v>403</v>
      </c>
      <c r="H16" s="56">
        <f>T_18!D9</f>
        <v>272</v>
      </c>
      <c r="I16" s="31"/>
      <c r="J16" s="117">
        <f t="shared" si="0"/>
        <v>703</v>
      </c>
    </row>
    <row r="17" spans="1:13" ht="13.5" customHeight="1" x14ac:dyDescent="0.2">
      <c r="A17" s="878" t="str">
        <f>T_18!A10</f>
        <v>2016-17</v>
      </c>
      <c r="B17" s="191">
        <f>'Casualties Fire'!F17</f>
        <v>44</v>
      </c>
      <c r="C17" s="876">
        <f>T_18!B10</f>
        <v>19</v>
      </c>
      <c r="E17" s="310">
        <f>'Casualties Fire'!L17</f>
        <v>1266</v>
      </c>
      <c r="F17" s="877">
        <f>T_18!C10</f>
        <v>447</v>
      </c>
      <c r="H17" s="56">
        <f>T_18!D10</f>
        <v>189</v>
      </c>
      <c r="I17" s="31"/>
      <c r="J17" s="117">
        <f t="shared" si="0"/>
        <v>655</v>
      </c>
    </row>
    <row r="18" spans="1:13" ht="13.5" customHeight="1" x14ac:dyDescent="0.2">
      <c r="A18" s="878" t="str">
        <f>T_18!A11</f>
        <v>2017-18</v>
      </c>
      <c r="B18" s="191">
        <f>'Casualties Fire'!F18</f>
        <v>44</v>
      </c>
      <c r="C18" s="876">
        <f>T_18!B11</f>
        <v>22</v>
      </c>
      <c r="E18" s="310">
        <f>'Casualties Fire'!L18</f>
        <v>1116</v>
      </c>
      <c r="F18" s="877">
        <f>T_18!C11</f>
        <v>416</v>
      </c>
      <c r="H18" s="56">
        <f>T_18!D11</f>
        <v>257</v>
      </c>
      <c r="I18" s="31"/>
      <c r="J18" s="117">
        <f t="shared" ref="J18:J20" si="1">H18+F18+C18</f>
        <v>695</v>
      </c>
    </row>
    <row r="19" spans="1:13" ht="13.5" customHeight="1" x14ac:dyDescent="0.2">
      <c r="A19" s="878" t="str">
        <f>T_18!A12</f>
        <v>2018-19</v>
      </c>
      <c r="B19" s="191">
        <f>'Casualties Fire'!F19</f>
        <v>44</v>
      </c>
      <c r="C19" s="876">
        <f>T_18!B12</f>
        <v>14</v>
      </c>
      <c r="E19" s="310">
        <f>'Casualties Fire'!L19</f>
        <v>1197</v>
      </c>
      <c r="F19" s="877">
        <f>T_18!C12</f>
        <v>373</v>
      </c>
      <c r="H19" s="56">
        <f>T_18!D12</f>
        <v>220</v>
      </c>
      <c r="I19" s="31"/>
      <c r="J19" s="117">
        <f t="shared" si="1"/>
        <v>607</v>
      </c>
    </row>
    <row r="20" spans="1:13" ht="13.5" customHeight="1" x14ac:dyDescent="0.2">
      <c r="A20" s="117" t="str">
        <f>T_18!A13</f>
        <v>2019-20</v>
      </c>
      <c r="B20" s="191">
        <f>'Casualties Fire'!F20</f>
        <v>27</v>
      </c>
      <c r="C20" s="876">
        <f>T_18!B13</f>
        <v>12</v>
      </c>
      <c r="E20" s="310">
        <f>'Casualties Fire'!L20</f>
        <v>1027</v>
      </c>
      <c r="F20" s="877">
        <f>T_18!C13</f>
        <v>344</v>
      </c>
      <c r="H20" s="56">
        <f>T_18!D13</f>
        <v>199</v>
      </c>
      <c r="I20" s="31"/>
      <c r="J20" s="117">
        <f t="shared" si="1"/>
        <v>555</v>
      </c>
    </row>
    <row r="21" spans="1:13" ht="13.5" thickBot="1" x14ac:dyDescent="0.25">
      <c r="A21" s="842" t="str">
        <f>T_18!A14</f>
        <v>2020-21</v>
      </c>
      <c r="B21" s="492">
        <f>'Casualties Fire'!F21</f>
        <v>53</v>
      </c>
      <c r="C21" s="881">
        <f>T_18!B14</f>
        <v>22</v>
      </c>
      <c r="D21" s="510"/>
      <c r="E21" s="730">
        <f>'Casualties Fire'!L21</f>
        <v>1017</v>
      </c>
      <c r="F21" s="882">
        <f>T_18!C14</f>
        <v>288</v>
      </c>
      <c r="G21" s="510"/>
      <c r="H21" s="883">
        <f>T_18!D14</f>
        <v>214</v>
      </c>
      <c r="I21" s="416"/>
      <c r="J21" s="842">
        <f t="shared" ref="J21" si="2">H21+F21+C21</f>
        <v>524</v>
      </c>
    </row>
    <row r="22" spans="1:13" x14ac:dyDescent="0.2">
      <c r="A22" s="1"/>
      <c r="B22" s="1"/>
      <c r="C22" s="1"/>
      <c r="D22" s="1"/>
      <c r="E22" s="1"/>
      <c r="F22" s="1"/>
      <c r="G22" s="1"/>
      <c r="H22" s="1"/>
      <c r="I22" s="1"/>
    </row>
    <row r="23" spans="1:13" x14ac:dyDescent="0.2">
      <c r="A23" s="1"/>
      <c r="B23" s="1"/>
      <c r="C23" s="1"/>
      <c r="D23" s="1"/>
      <c r="E23" s="1"/>
      <c r="F23" s="1"/>
      <c r="G23" s="1"/>
      <c r="H23" s="1"/>
      <c r="I23" s="1"/>
    </row>
    <row r="24" spans="1:13" ht="38.25" customHeight="1" x14ac:dyDescent="0.2">
      <c r="A24" s="120" t="s">
        <v>1069</v>
      </c>
      <c r="B24" s="120"/>
      <c r="C24" s="120"/>
      <c r="E24" s="120"/>
      <c r="F24" s="120"/>
      <c r="G24" s="120"/>
      <c r="H24" s="120"/>
      <c r="I24" s="1"/>
    </row>
    <row r="25" spans="1:13" ht="15.75" customHeight="1" x14ac:dyDescent="0.25">
      <c r="A25" s="351" t="s">
        <v>579</v>
      </c>
      <c r="B25" s="1043" t="s">
        <v>1389</v>
      </c>
      <c r="D25" s="129"/>
      <c r="E25" s="129"/>
      <c r="F25" s="129"/>
      <c r="G25" s="129"/>
      <c r="H25" s="129"/>
      <c r="I25" s="1"/>
    </row>
    <row r="26" spans="1:13" ht="15.75" customHeight="1" x14ac:dyDescent="0.25">
      <c r="A26" s="351" t="s">
        <v>580</v>
      </c>
      <c r="B26" s="351" t="s">
        <v>581</v>
      </c>
      <c r="C26" s="129"/>
      <c r="D26" s="129"/>
      <c r="E26" s="129"/>
      <c r="F26" s="129"/>
      <c r="G26" s="129"/>
      <c r="H26" s="129"/>
      <c r="I26" s="1"/>
    </row>
    <row r="27" spans="1:13" ht="15.75" customHeight="1" x14ac:dyDescent="0.25">
      <c r="A27" s="351" t="s">
        <v>582</v>
      </c>
      <c r="B27" s="351" t="s">
        <v>585</v>
      </c>
      <c r="C27" s="129"/>
      <c r="D27" s="129"/>
      <c r="E27" s="129"/>
      <c r="F27" s="129"/>
      <c r="G27" s="129"/>
      <c r="H27" s="129"/>
      <c r="I27" s="1"/>
    </row>
    <row r="28" spans="1:13" ht="15" x14ac:dyDescent="0.25">
      <c r="A28" s="1"/>
      <c r="B28" s="1"/>
      <c r="C28" s="1"/>
      <c r="D28" s="1"/>
      <c r="E28" s="1"/>
      <c r="F28" s="1"/>
      <c r="H28" s="1"/>
      <c r="I28" s="1"/>
      <c r="M28" s="83" t="s">
        <v>0</v>
      </c>
    </row>
    <row r="29" spans="1:13" x14ac:dyDescent="0.2">
      <c r="A29" s="5" t="s">
        <v>4</v>
      </c>
      <c r="B29" s="77" t="s">
        <v>830</v>
      </c>
      <c r="C29" s="1159" t="s">
        <v>831</v>
      </c>
      <c r="D29" s="77" t="s">
        <v>176</v>
      </c>
      <c r="E29" s="733" t="s">
        <v>832</v>
      </c>
      <c r="F29" s="77" t="s">
        <v>833</v>
      </c>
      <c r="G29" s="77" t="s">
        <v>834</v>
      </c>
      <c r="H29" s="77" t="s">
        <v>835</v>
      </c>
      <c r="I29" s="77" t="s">
        <v>836</v>
      </c>
      <c r="J29" s="77" t="s">
        <v>837</v>
      </c>
      <c r="K29" s="77" t="s">
        <v>838</v>
      </c>
      <c r="L29" s="77" t="s">
        <v>168</v>
      </c>
      <c r="M29" s="77" t="s">
        <v>11</v>
      </c>
    </row>
    <row r="30" spans="1:13" ht="18.75" customHeight="1" x14ac:dyDescent="0.2">
      <c r="A30" s="378" t="str">
        <f>T18a!A5</f>
        <v>2009-10</v>
      </c>
      <c r="B30" s="103">
        <f>T18a!C5</f>
        <v>38</v>
      </c>
      <c r="C30" s="4">
        <f>T18a!H5</f>
        <v>43</v>
      </c>
      <c r="D30" s="103">
        <f>T18a!D5</f>
        <v>207</v>
      </c>
      <c r="E30" s="103">
        <f>T18a!E5</f>
        <v>165</v>
      </c>
      <c r="F30" s="103">
        <f>T18a!F5</f>
        <v>148</v>
      </c>
      <c r="G30" s="103">
        <f>T18a!G5</f>
        <v>127</v>
      </c>
      <c r="H30" s="404">
        <f>T18a!I5</f>
        <v>95</v>
      </c>
      <c r="I30" s="404">
        <f>T18a!J5</f>
        <v>74</v>
      </c>
      <c r="J30" s="404">
        <f>T18a!K5</f>
        <v>50</v>
      </c>
      <c r="K30" s="404">
        <f>T18a!L5</f>
        <v>12</v>
      </c>
      <c r="L30" s="404">
        <f>T18a!M5</f>
        <v>16</v>
      </c>
      <c r="M30" s="355">
        <f>SUM(B30:L30)</f>
        <v>975</v>
      </c>
    </row>
    <row r="31" spans="1:13" ht="13.5" customHeight="1" x14ac:dyDescent="0.2">
      <c r="A31" s="29" t="str">
        <f>T18a!A6</f>
        <v>2010-11</v>
      </c>
      <c r="B31" s="4">
        <f>T18a!C6</f>
        <v>38</v>
      </c>
      <c r="C31" s="4">
        <f>T18a!H6</f>
        <v>49</v>
      </c>
      <c r="D31" s="4">
        <f>T18a!D6</f>
        <v>202</v>
      </c>
      <c r="E31" s="4">
        <f>T18a!E6</f>
        <v>159</v>
      </c>
      <c r="F31" s="4">
        <f>T18a!F6</f>
        <v>157</v>
      </c>
      <c r="G31" s="4">
        <f>T18a!G6</f>
        <v>122</v>
      </c>
      <c r="H31">
        <f>T18a!I6</f>
        <v>77</v>
      </c>
      <c r="I31">
        <f>T18a!J6</f>
        <v>77</v>
      </c>
      <c r="J31">
        <f>T18a!K6</f>
        <v>56</v>
      </c>
      <c r="K31">
        <f>T18a!L6</f>
        <v>17</v>
      </c>
      <c r="L31">
        <f>T18a!M6</f>
        <v>0</v>
      </c>
      <c r="M31" s="353">
        <f t="shared" ref="M31:M37" si="3">SUM(B31:L31)</f>
        <v>954</v>
      </c>
    </row>
    <row r="32" spans="1:13" ht="13.5" customHeight="1" x14ac:dyDescent="0.2">
      <c r="A32" s="29" t="str">
        <f>T18a!A7</f>
        <v>2011-12</v>
      </c>
      <c r="B32" s="4">
        <f>T18a!C7</f>
        <v>33</v>
      </c>
      <c r="C32" s="4">
        <f>T18a!H7</f>
        <v>39</v>
      </c>
      <c r="D32" s="4">
        <f>T18a!D7</f>
        <v>176</v>
      </c>
      <c r="E32" s="4">
        <f>T18a!E7</f>
        <v>130</v>
      </c>
      <c r="F32" s="4">
        <f>T18a!F7</f>
        <v>148</v>
      </c>
      <c r="G32" s="4">
        <f>T18a!G7</f>
        <v>111</v>
      </c>
      <c r="H32">
        <f>T18a!I7</f>
        <v>87</v>
      </c>
      <c r="I32">
        <f>T18a!J7</f>
        <v>58</v>
      </c>
      <c r="J32">
        <f>T18a!K7</f>
        <v>76</v>
      </c>
      <c r="K32">
        <f>T18a!L7</f>
        <v>14</v>
      </c>
      <c r="L32">
        <f>T18a!M7</f>
        <v>0</v>
      </c>
      <c r="M32" s="353">
        <f t="shared" si="3"/>
        <v>872</v>
      </c>
    </row>
    <row r="33" spans="1:13" ht="13.5" customHeight="1" x14ac:dyDescent="0.2">
      <c r="A33" s="29" t="str">
        <f>T18a!A8</f>
        <v>2012-13</v>
      </c>
      <c r="B33" s="4">
        <f>T18a!C8</f>
        <v>38</v>
      </c>
      <c r="C33" s="4">
        <f>T18a!H8</f>
        <v>23</v>
      </c>
      <c r="D33" s="4">
        <f>T18a!D8</f>
        <v>154</v>
      </c>
      <c r="E33" s="4">
        <f>T18a!E8</f>
        <v>107</v>
      </c>
      <c r="F33" s="4">
        <f>T18a!F8</f>
        <v>106</v>
      </c>
      <c r="G33" s="4">
        <f>T18a!G8</f>
        <v>100</v>
      </c>
      <c r="H33">
        <f>T18a!I8</f>
        <v>91</v>
      </c>
      <c r="I33">
        <f>T18a!J8</f>
        <v>76</v>
      </c>
      <c r="J33">
        <f>T18a!K8</f>
        <v>64</v>
      </c>
      <c r="K33">
        <f>T18a!L8</f>
        <v>30</v>
      </c>
      <c r="L33">
        <f>T18a!M8</f>
        <v>38</v>
      </c>
      <c r="M33" s="353">
        <f t="shared" si="3"/>
        <v>827</v>
      </c>
    </row>
    <row r="34" spans="1:13" ht="13.5" customHeight="1" x14ac:dyDescent="0.2">
      <c r="A34" s="29" t="str">
        <f>T18a!A9</f>
        <v>2013-14</v>
      </c>
      <c r="B34" s="4">
        <f>T18a!C9</f>
        <v>22</v>
      </c>
      <c r="C34" s="4">
        <f>T18a!H9</f>
        <v>23</v>
      </c>
      <c r="D34" s="4">
        <f>T18a!D9</f>
        <v>129</v>
      </c>
      <c r="E34" s="4">
        <f>T18a!E9</f>
        <v>123</v>
      </c>
      <c r="F34" s="4">
        <f>T18a!F9</f>
        <v>114</v>
      </c>
      <c r="G34" s="4">
        <f>T18a!G9</f>
        <v>92</v>
      </c>
      <c r="H34">
        <f>T18a!I9</f>
        <v>73</v>
      </c>
      <c r="I34">
        <f>T18a!J9</f>
        <v>47</v>
      </c>
      <c r="J34">
        <f>T18a!K9</f>
        <v>49</v>
      </c>
      <c r="K34">
        <f>T18a!L9</f>
        <v>17</v>
      </c>
      <c r="L34">
        <f>T18a!M9</f>
        <v>37</v>
      </c>
      <c r="M34" s="353">
        <f t="shared" si="3"/>
        <v>726</v>
      </c>
    </row>
    <row r="35" spans="1:13" ht="13.5" customHeight="1" x14ac:dyDescent="0.2">
      <c r="A35" s="29" t="str">
        <f>T18a!A10</f>
        <v>2014-15</v>
      </c>
      <c r="B35" s="4">
        <f>T18a!C10</f>
        <v>26</v>
      </c>
      <c r="C35" s="4">
        <f>T18a!H10</f>
        <v>16</v>
      </c>
      <c r="D35" s="4">
        <f>T18a!D10</f>
        <v>105</v>
      </c>
      <c r="E35" s="4">
        <f>T18a!E10</f>
        <v>82</v>
      </c>
      <c r="F35" s="4">
        <f>T18a!F10</f>
        <v>95</v>
      </c>
      <c r="G35" s="4">
        <f>T18a!G10</f>
        <v>68</v>
      </c>
      <c r="H35">
        <f>T18a!I10</f>
        <v>64</v>
      </c>
      <c r="I35">
        <f>T18a!J10</f>
        <v>48</v>
      </c>
      <c r="J35">
        <f>T18a!K10</f>
        <v>52</v>
      </c>
      <c r="K35">
        <f>T18a!L10</f>
        <v>25</v>
      </c>
      <c r="L35">
        <f>T18a!M10</f>
        <v>51</v>
      </c>
      <c r="M35" s="353">
        <f t="shared" si="3"/>
        <v>632</v>
      </c>
    </row>
    <row r="36" spans="1:13" ht="13.5" customHeight="1" x14ac:dyDescent="0.2">
      <c r="A36" s="29" t="str">
        <f>T18a!A11</f>
        <v>2015-16</v>
      </c>
      <c r="B36" s="4">
        <f>T18a!C11</f>
        <v>23</v>
      </c>
      <c r="C36" s="4">
        <f>T18a!H11</f>
        <v>20</v>
      </c>
      <c r="D36" s="4">
        <f>T18a!D11</f>
        <v>100</v>
      </c>
      <c r="E36" s="4">
        <f>T18a!E11</f>
        <v>105</v>
      </c>
      <c r="F36" s="4">
        <f>T18a!F11</f>
        <v>99</v>
      </c>
      <c r="G36" s="4">
        <f>T18a!G11</f>
        <v>97</v>
      </c>
      <c r="H36">
        <f>T18a!I11</f>
        <v>68</v>
      </c>
      <c r="I36">
        <f>T18a!J11</f>
        <v>61</v>
      </c>
      <c r="J36">
        <f>T18a!K11</f>
        <v>48</v>
      </c>
      <c r="K36">
        <f>T18a!L11</f>
        <v>20</v>
      </c>
      <c r="L36">
        <f>T18a!M11</f>
        <v>62</v>
      </c>
      <c r="M36" s="353">
        <f t="shared" si="3"/>
        <v>703</v>
      </c>
    </row>
    <row r="37" spans="1:13" ht="13.5" customHeight="1" x14ac:dyDescent="0.2">
      <c r="A37" s="29" t="str">
        <f>T18a!A12</f>
        <v>2016-17</v>
      </c>
      <c r="B37" s="4">
        <f>T18a!C12</f>
        <v>20</v>
      </c>
      <c r="C37" s="4">
        <f>T18a!H12</f>
        <v>29</v>
      </c>
      <c r="D37" s="4">
        <f>T18a!D12</f>
        <v>97</v>
      </c>
      <c r="E37" s="4">
        <f>T18a!E12</f>
        <v>103</v>
      </c>
      <c r="F37" s="4">
        <f>T18a!F12</f>
        <v>109</v>
      </c>
      <c r="G37" s="4">
        <f>T18a!G12</f>
        <v>91</v>
      </c>
      <c r="H37">
        <f>T18a!I12</f>
        <v>52</v>
      </c>
      <c r="I37">
        <f>T18a!J12</f>
        <v>46</v>
      </c>
      <c r="J37">
        <f>T18a!K12</f>
        <v>41</v>
      </c>
      <c r="K37">
        <f>T18a!L12</f>
        <v>29</v>
      </c>
      <c r="L37">
        <f>T18a!M12</f>
        <v>38</v>
      </c>
      <c r="M37" s="353">
        <f t="shared" si="3"/>
        <v>655</v>
      </c>
    </row>
    <row r="38" spans="1:13" ht="13.5" customHeight="1" x14ac:dyDescent="0.2">
      <c r="A38" s="29" t="str">
        <f>T18a!A13</f>
        <v>2017-18</v>
      </c>
      <c r="B38" s="4">
        <f>T18a!C13</f>
        <v>25</v>
      </c>
      <c r="C38" s="4">
        <f>T18a!H13</f>
        <v>48</v>
      </c>
      <c r="D38" s="4">
        <f>T18a!D13</f>
        <v>105</v>
      </c>
      <c r="E38" s="4">
        <f>T18a!E13</f>
        <v>117</v>
      </c>
      <c r="F38" s="4">
        <f>T18a!F13</f>
        <v>106</v>
      </c>
      <c r="G38" s="4">
        <f>T18a!G13</f>
        <v>92</v>
      </c>
      <c r="H38">
        <f>T18a!I13</f>
        <v>65</v>
      </c>
      <c r="I38">
        <f>T18a!J13</f>
        <v>47</v>
      </c>
      <c r="J38">
        <f>T18a!K13</f>
        <v>48</v>
      </c>
      <c r="K38">
        <f>T18a!L13</f>
        <v>13</v>
      </c>
      <c r="L38">
        <f>T18a!M13</f>
        <v>29</v>
      </c>
      <c r="M38" s="353">
        <f t="shared" ref="M38:M41" si="4">SUM(B38:L38)</f>
        <v>695</v>
      </c>
    </row>
    <row r="39" spans="1:13" ht="13.5" customHeight="1" x14ac:dyDescent="0.2">
      <c r="A39" s="29" t="str">
        <f>T18a!A14</f>
        <v>2018-19</v>
      </c>
      <c r="B39" s="4">
        <f>T18a!C14</f>
        <v>15</v>
      </c>
      <c r="C39" s="4">
        <f>T18a!H14</f>
        <v>29</v>
      </c>
      <c r="D39" s="4">
        <f>T18a!D14</f>
        <v>95</v>
      </c>
      <c r="E39" s="4">
        <f>T18a!E14</f>
        <v>105</v>
      </c>
      <c r="F39" s="4">
        <f>T18a!F14</f>
        <v>95</v>
      </c>
      <c r="G39" s="4">
        <f>T18a!G14</f>
        <v>75</v>
      </c>
      <c r="H39">
        <f>T18a!I14</f>
        <v>67</v>
      </c>
      <c r="I39">
        <f>T18a!J14</f>
        <v>31</v>
      </c>
      <c r="J39">
        <f>T18a!K14</f>
        <v>50</v>
      </c>
      <c r="K39">
        <f>T18a!L14</f>
        <v>13</v>
      </c>
      <c r="L39">
        <f>T18a!M14</f>
        <v>32</v>
      </c>
      <c r="M39" s="353">
        <f t="shared" si="4"/>
        <v>607</v>
      </c>
    </row>
    <row r="40" spans="1:13" ht="13.5" customHeight="1" x14ac:dyDescent="0.2">
      <c r="A40" s="29" t="str">
        <f>T18a!A15</f>
        <v>2019-20</v>
      </c>
      <c r="B40" s="4">
        <f>T18a!C15</f>
        <v>20</v>
      </c>
      <c r="C40" s="4">
        <f>T18a!H15</f>
        <v>22</v>
      </c>
      <c r="D40" s="4">
        <f>T18a!D15</f>
        <v>63</v>
      </c>
      <c r="E40" s="4">
        <f>T18a!E15</f>
        <v>102</v>
      </c>
      <c r="F40" s="4">
        <f>T18a!F15</f>
        <v>84</v>
      </c>
      <c r="G40" s="4">
        <f>T18a!G15</f>
        <v>86</v>
      </c>
      <c r="H40">
        <f>T18a!I15</f>
        <v>50</v>
      </c>
      <c r="I40">
        <f>T18a!J15</f>
        <v>36</v>
      </c>
      <c r="J40">
        <f>T18a!K15</f>
        <v>35</v>
      </c>
      <c r="K40">
        <f>T18a!L15</f>
        <v>15</v>
      </c>
      <c r="L40">
        <f>T18a!M15</f>
        <v>42</v>
      </c>
      <c r="M40" s="353">
        <f t="shared" si="4"/>
        <v>555</v>
      </c>
    </row>
    <row r="41" spans="1:13" ht="13.5" thickBot="1" x14ac:dyDescent="0.25">
      <c r="A41" s="380" t="str">
        <f>T18a!A16</f>
        <v>2020-21</v>
      </c>
      <c r="B41" s="349">
        <f>T18a!C16</f>
        <v>14</v>
      </c>
      <c r="C41" s="349">
        <f>T18a!H16</f>
        <v>31</v>
      </c>
      <c r="D41" s="349">
        <f>T18a!D16</f>
        <v>75</v>
      </c>
      <c r="E41" s="349">
        <f>T18a!E16</f>
        <v>76</v>
      </c>
      <c r="F41" s="349">
        <f>T18a!F16</f>
        <v>97</v>
      </c>
      <c r="G41" s="349">
        <f>T18a!G16</f>
        <v>68</v>
      </c>
      <c r="H41" s="510">
        <f>T18a!I16</f>
        <v>42</v>
      </c>
      <c r="I41" s="510">
        <f>T18a!J16</f>
        <v>38</v>
      </c>
      <c r="J41" s="510">
        <f>T18a!K16</f>
        <v>28</v>
      </c>
      <c r="K41" s="510">
        <f>T18a!L16</f>
        <v>18</v>
      </c>
      <c r="L41" s="510">
        <f>T18a!M16</f>
        <v>37</v>
      </c>
      <c r="M41" s="712">
        <f t="shared" si="4"/>
        <v>524</v>
      </c>
    </row>
    <row r="42" spans="1:13" ht="13.5" customHeight="1" x14ac:dyDescent="0.2">
      <c r="A42" s="86"/>
      <c r="B42" s="1"/>
      <c r="C42" s="1"/>
      <c r="D42" s="1"/>
      <c r="E42" s="1"/>
      <c r="F42" s="1"/>
      <c r="G42" s="1"/>
      <c r="H42" s="1"/>
      <c r="I42" s="1"/>
    </row>
    <row r="43" spans="1:13" ht="13.5" customHeight="1" x14ac:dyDescent="0.2">
      <c r="A43" s="86"/>
      <c r="B43" s="1"/>
      <c r="C43" s="1"/>
      <c r="D43" s="1"/>
      <c r="E43" s="1"/>
      <c r="F43" s="1"/>
      <c r="G43" s="1"/>
      <c r="H43" s="1"/>
      <c r="I43" s="1"/>
    </row>
    <row r="44" spans="1:13" ht="38.25" customHeight="1" x14ac:dyDescent="0.2">
      <c r="A44" s="237" t="s">
        <v>1070</v>
      </c>
      <c r="B44" s="237"/>
      <c r="C44" s="237"/>
      <c r="D44" s="237"/>
      <c r="E44" s="237"/>
      <c r="F44" s="237"/>
      <c r="H44" s="237"/>
      <c r="I44" s="1"/>
    </row>
    <row r="45" spans="1:13" ht="15.75" customHeight="1" x14ac:dyDescent="0.25">
      <c r="A45" s="351" t="s">
        <v>579</v>
      </c>
      <c r="B45" s="1043" t="s">
        <v>1390</v>
      </c>
      <c r="D45" s="371"/>
      <c r="E45" s="371"/>
      <c r="F45" s="371"/>
      <c r="G45" s="371"/>
      <c r="H45" s="371"/>
      <c r="I45" s="1"/>
    </row>
    <row r="46" spans="1:13" ht="15.75" customHeight="1" x14ac:dyDescent="0.25">
      <c r="A46" s="351" t="s">
        <v>580</v>
      </c>
      <c r="B46" s="351" t="s">
        <v>581</v>
      </c>
      <c r="C46" s="371"/>
      <c r="D46" s="371"/>
      <c r="E46" s="371"/>
      <c r="F46" s="371"/>
      <c r="G46" s="371"/>
      <c r="H46" s="371"/>
      <c r="I46" s="1"/>
    </row>
    <row r="47" spans="1:13" ht="15.75" customHeight="1" x14ac:dyDescent="0.25">
      <c r="A47" s="351" t="s">
        <v>582</v>
      </c>
      <c r="B47" s="351" t="s">
        <v>585</v>
      </c>
      <c r="C47" s="371"/>
      <c r="D47" s="371"/>
      <c r="E47" s="371"/>
      <c r="F47" s="371"/>
      <c r="G47" s="371"/>
      <c r="H47" s="371"/>
      <c r="I47" s="1"/>
    </row>
    <row r="48" spans="1:13" ht="15" x14ac:dyDescent="0.25">
      <c r="A48" s="1"/>
      <c r="B48" s="1"/>
      <c r="C48" s="1"/>
      <c r="D48" s="1"/>
      <c r="E48" s="1"/>
      <c r="G48" s="1"/>
      <c r="H48" s="1"/>
      <c r="I48" s="1"/>
      <c r="L48" s="83" t="s">
        <v>57</v>
      </c>
    </row>
    <row r="49" spans="1:13" x14ac:dyDescent="0.2">
      <c r="A49" s="432" t="s">
        <v>4</v>
      </c>
      <c r="B49" s="77" t="s">
        <v>830</v>
      </c>
      <c r="C49" s="733" t="s">
        <v>831</v>
      </c>
      <c r="D49" s="77" t="s">
        <v>176</v>
      </c>
      <c r="E49" s="733" t="s">
        <v>832</v>
      </c>
      <c r="F49" s="77" t="s">
        <v>833</v>
      </c>
      <c r="G49" s="77" t="s">
        <v>834</v>
      </c>
      <c r="H49" s="77" t="s">
        <v>835</v>
      </c>
      <c r="I49" s="77" t="s">
        <v>836</v>
      </c>
      <c r="J49" s="77" t="s">
        <v>837</v>
      </c>
      <c r="K49" s="77" t="s">
        <v>838</v>
      </c>
      <c r="L49" s="77" t="s">
        <v>11</v>
      </c>
    </row>
    <row r="50" spans="1:13" ht="18.75" customHeight="1" x14ac:dyDescent="0.2">
      <c r="A50" s="346" t="str">
        <f>T18a!A5</f>
        <v>2009-10</v>
      </c>
      <c r="B50" s="219">
        <f>B30/PopulationScotland!B24*1000000</f>
        <v>132.17115468894562</v>
      </c>
      <c r="C50" s="219">
        <f>C30/PopulationScotland!C24*1000000</f>
        <v>48.102953745094624</v>
      </c>
      <c r="D50" s="219">
        <f>D30/PopulationScotland!D24*1000000</f>
        <v>310.35692545736413</v>
      </c>
      <c r="E50" s="219">
        <f>E30/PopulationScotland!E24*1000000</f>
        <v>204.80789639947719</v>
      </c>
      <c r="F50" s="219">
        <f>F30/PopulationScotland!F24*1000000</f>
        <v>215.37266018705407</v>
      </c>
      <c r="G50" s="219">
        <f>G30/PopulationScotland!G24*1000000</f>
        <v>182.26098337693722</v>
      </c>
      <c r="H50" s="219">
        <f>H30/PopulationScotland!H24*1000000</f>
        <v>164.55373892076997</v>
      </c>
      <c r="I50" s="219">
        <f>I30/PopulationScotland!I24*1000000</f>
        <v>187.60869895902525</v>
      </c>
      <c r="J50" s="219">
        <f>J30/PopulationScotland!J24*1000000</f>
        <v>258.98952646354985</v>
      </c>
      <c r="K50" s="219">
        <f>K30/PopulationScotland!K24*1000000</f>
        <v>412.76829939460646</v>
      </c>
      <c r="L50" s="868">
        <f>M30/PopulationScotland!L24*1000000</f>
        <v>186.35677287409925</v>
      </c>
    </row>
    <row r="51" spans="1:13" ht="13.5" customHeight="1" x14ac:dyDescent="0.2">
      <c r="A51" s="346" t="str">
        <f>T18a!A6</f>
        <v>2010-11</v>
      </c>
      <c r="B51" s="87">
        <f>B31/PopulationScotland!B25*1000000</f>
        <v>130.62010174618453</v>
      </c>
      <c r="C51" s="87">
        <f>C31/PopulationScotland!C25*1000000</f>
        <v>54.229154700284312</v>
      </c>
      <c r="D51" s="87">
        <f>D31/PopulationScotland!D25*1000000</f>
        <v>304.93741989731762</v>
      </c>
      <c r="E51" s="87">
        <f>E31/PopulationScotland!E25*1000000</f>
        <v>197.46892037904098</v>
      </c>
      <c r="F51" s="87">
        <f>F31/PopulationScotland!F25*1000000</f>
        <v>225.45356374591813</v>
      </c>
      <c r="G51" s="87">
        <f>G31/PopulationScotland!G25*1000000</f>
        <v>176.76650593471811</v>
      </c>
      <c r="H51" s="87">
        <f>H31/PopulationScotland!H25*1000000</f>
        <v>130.88627003027383</v>
      </c>
      <c r="I51" s="87">
        <f>I31/PopulationScotland!I25*1000000</f>
        <v>193.37405070920562</v>
      </c>
      <c r="J51" s="87">
        <f>J31/PopulationScotland!J25*1000000</f>
        <v>287.7446471788179</v>
      </c>
      <c r="K51" s="87">
        <f>K31/PopulationScotland!K25*1000000</f>
        <v>524.20598211532524</v>
      </c>
      <c r="L51" s="867">
        <f>M31/PopulationScotland!L25*1000000</f>
        <v>181.29299532514918</v>
      </c>
    </row>
    <row r="52" spans="1:13" ht="13.5" customHeight="1" x14ac:dyDescent="0.2">
      <c r="A52" s="346" t="str">
        <f>T18a!A7</f>
        <v>2011-12</v>
      </c>
      <c r="B52" s="87">
        <f>B32/PopulationScotland!B26*1000000</f>
        <v>112.40317998814658</v>
      </c>
      <c r="C52" s="87">
        <f>C32/PopulationScotland!C26*1000000</f>
        <v>42.602604002241549</v>
      </c>
      <c r="D52" s="87">
        <f>D32/PopulationScotland!D26*1000000</f>
        <v>266.71233105061924</v>
      </c>
      <c r="E52" s="87">
        <f>E32/PopulationScotland!E26*1000000</f>
        <v>161.60450901442383</v>
      </c>
      <c r="F52" s="87">
        <f>F32/PopulationScotland!F26*1000000</f>
        <v>208.67377943463507</v>
      </c>
      <c r="G52" s="87">
        <f>G32/PopulationScotland!G26*1000000</f>
        <v>162.16476817012398</v>
      </c>
      <c r="H52" s="87">
        <f>H32/PopulationScotland!H26*1000000</f>
        <v>144.78860863139815</v>
      </c>
      <c r="I52" s="87">
        <f>I32/PopulationScotland!I26*1000000</f>
        <v>145.17747946865043</v>
      </c>
      <c r="J52" s="87">
        <f>J32/PopulationScotland!J26*1000000</f>
        <v>385.25682943767714</v>
      </c>
      <c r="K52" s="87">
        <f>K32/PopulationScotland!K26*1000000</f>
        <v>398.07785265432625</v>
      </c>
      <c r="L52" s="867">
        <f>M32/PopulationScotland!L26*1000000</f>
        <v>164.53140625294819</v>
      </c>
    </row>
    <row r="53" spans="1:13" ht="13.5" customHeight="1" x14ac:dyDescent="0.2">
      <c r="A53" s="346" t="str">
        <f>T18a!A8</f>
        <v>2012-13</v>
      </c>
      <c r="B53" s="87">
        <f>B33/PopulationScotland!B27*1000000</f>
        <v>128.46952229622366</v>
      </c>
      <c r="C53" s="87">
        <f>C33/PopulationScotland!C27*1000000</f>
        <v>25.149942865890665</v>
      </c>
      <c r="D53" s="87">
        <f>D33/PopulationScotland!D27*1000000</f>
        <v>235.14106937272302</v>
      </c>
      <c r="E53" s="87">
        <f>E33/PopulationScotland!E27*1000000</f>
        <v>134.46653856739098</v>
      </c>
      <c r="F53" s="87">
        <f>F33/PopulationScotland!F27*1000000</f>
        <v>146.40823311505613</v>
      </c>
      <c r="G53" s="87">
        <f>G33/PopulationScotland!G27*1000000</f>
        <v>147.00153616605294</v>
      </c>
      <c r="H53" s="87">
        <f>H33/PopulationScotland!H27*1000000</f>
        <v>149.58051705546643</v>
      </c>
      <c r="I53" s="87">
        <f>I33/PopulationScotland!I27*1000000</f>
        <v>188.9879694237359</v>
      </c>
      <c r="J53" s="87">
        <f>J33/PopulationScotland!J27*1000000</f>
        <v>318.48877078263644</v>
      </c>
      <c r="K53" s="87">
        <f>K33/PopulationScotland!K27*1000000</f>
        <v>812.89798130334646</v>
      </c>
      <c r="L53" s="867">
        <f>M33/PopulationScotland!L27*1000000</f>
        <v>155.63836193917493</v>
      </c>
    </row>
    <row r="54" spans="1:13" ht="13.5" customHeight="1" x14ac:dyDescent="0.2">
      <c r="A54" s="346" t="str">
        <f>T18a!A9</f>
        <v>2013-14</v>
      </c>
      <c r="B54" s="87">
        <f>B34/PopulationScotland!B28*1000000</f>
        <v>74.818989059423288</v>
      </c>
      <c r="C54" s="87">
        <f>C34/PopulationScotland!C28*1000000</f>
        <v>25.15357350256949</v>
      </c>
      <c r="D54" s="87">
        <f>D34/PopulationScotland!D28*1000000</f>
        <v>197.00100333069139</v>
      </c>
      <c r="E54" s="87">
        <f>E34/PopulationScotland!E28*1000000</f>
        <v>157.27029905650605</v>
      </c>
      <c r="F54" s="87">
        <f>F34/PopulationScotland!F28*1000000</f>
        <v>154.29216439424084</v>
      </c>
      <c r="G54" s="87">
        <f>G34/PopulationScotland!G28*1000000</f>
        <v>135.43413264006762</v>
      </c>
      <c r="H54" s="87">
        <f>H34/PopulationScotland!H28*1000000</f>
        <v>118.75885607565426</v>
      </c>
      <c r="I54" s="87">
        <f>I34/PopulationScotland!I28*1000000</f>
        <v>115.06550164886416</v>
      </c>
      <c r="J54" s="87">
        <f>J34/PopulationScotland!J28*1000000</f>
        <v>240.9484517832644</v>
      </c>
      <c r="K54" s="87">
        <f>K34/PopulationScotland!K28*1000000</f>
        <v>451.0480233483683</v>
      </c>
      <c r="L54" s="867">
        <f>M34/PopulationScotland!L28*1000000</f>
        <v>136.26893406160258</v>
      </c>
    </row>
    <row r="55" spans="1:13" ht="13.5" customHeight="1" x14ac:dyDescent="0.2">
      <c r="A55" s="346" t="str">
        <f>T18a!A10</f>
        <v>2014-15</v>
      </c>
      <c r="B55" s="87">
        <f>B35/PopulationScotland!B29*1000000</f>
        <v>89.08472299790651</v>
      </c>
      <c r="C55" s="87">
        <f>C35/PopulationScotland!C29*1000000</f>
        <v>17.467782857991292</v>
      </c>
      <c r="D55" s="87">
        <f>D35/PopulationScotland!D29*1000000</f>
        <v>159.41965173638366</v>
      </c>
      <c r="E55" s="87">
        <f>E35/PopulationScotland!E29*1000000</f>
        <v>107.25038780170711</v>
      </c>
      <c r="F55" s="87">
        <f>F35/PopulationScotland!F29*1000000</f>
        <v>126.11378383831946</v>
      </c>
      <c r="G55" s="87">
        <f>G35/PopulationScotland!G29*1000000</f>
        <v>100.14462061388653</v>
      </c>
      <c r="H55" s="87">
        <f>H35/PopulationScotland!H29*1000000</f>
        <v>102.99539578394786</v>
      </c>
      <c r="I55" s="87">
        <f>I35/PopulationScotland!I29*1000000</f>
        <v>115.37102600895568</v>
      </c>
      <c r="J55" s="87">
        <f>J35/PopulationScotland!J29*1000000</f>
        <v>250.87807325639739</v>
      </c>
      <c r="K55" s="87">
        <f>K35/PopulationScotland!K29*1000000</f>
        <v>632.07928802588992</v>
      </c>
      <c r="L55" s="867">
        <f>M35/PopulationScotland!L29*1000000</f>
        <v>118.18385817937018</v>
      </c>
    </row>
    <row r="56" spans="1:13" ht="13.5" customHeight="1" x14ac:dyDescent="0.2">
      <c r="A56" s="346" t="str">
        <f>T18a!A11</f>
        <v>2015-16</v>
      </c>
      <c r="B56" s="87">
        <f>B36/PopulationScotland!B30*1000000</f>
        <v>78.990569212910486</v>
      </c>
      <c r="C56" s="87">
        <f>C36/PopulationScotland!C30*1000000</f>
        <v>21.734665378525499</v>
      </c>
      <c r="D56" s="87">
        <f>D36/PopulationScotland!D30*1000000</f>
        <v>149.69230746201185</v>
      </c>
      <c r="E56" s="87">
        <f>E36/PopulationScotland!E30*1000000</f>
        <v>140.8180590443416</v>
      </c>
      <c r="F56" s="87">
        <f>F36/PopulationScotland!F30*1000000</f>
        <v>128.88728611545434</v>
      </c>
      <c r="G56" s="87">
        <f>G36/PopulationScotland!G30*1000000</f>
        <v>142.67895176568882</v>
      </c>
      <c r="H56" s="87">
        <f>H36/PopulationScotland!H30*1000000</f>
        <v>107.94456094343546</v>
      </c>
      <c r="I56" s="87">
        <f>I36/PopulationScotland!I30*1000000</f>
        <v>145.27441384155563</v>
      </c>
      <c r="J56" s="87">
        <f>J36/PopulationScotland!J30*1000000</f>
        <v>228.18785565216564</v>
      </c>
      <c r="K56" s="87">
        <f>K36/PopulationScotland!K30*1000000</f>
        <v>502.57570046488252</v>
      </c>
      <c r="L56" s="867">
        <f>M36/PopulationScotland!L30*1000000</f>
        <v>130.83938209566352</v>
      </c>
    </row>
    <row r="57" spans="1:13" ht="13.5" customHeight="1" x14ac:dyDescent="0.2">
      <c r="A57" s="346" t="str">
        <f>T18a!A12</f>
        <v>2016-17</v>
      </c>
      <c r="B57" s="87">
        <f>B37/PopulationScotland!B31*1000000</f>
        <v>69.628670301283265</v>
      </c>
      <c r="C57" s="87">
        <f>C37/PopulationScotland!C31*1000000</f>
        <v>31.370037719766046</v>
      </c>
      <c r="D57" s="87">
        <f>D37/PopulationScotland!D31*1000000</f>
        <v>142.71715813355382</v>
      </c>
      <c r="E57" s="87">
        <f>E37/PopulationScotland!E31*1000000</f>
        <v>141.11734798030935</v>
      </c>
      <c r="F57" s="87">
        <f>F37/PopulationScotland!F31*1000000</f>
        <v>140.19076232907017</v>
      </c>
      <c r="G57" s="87">
        <f>G37/PopulationScotland!G31*1000000</f>
        <v>132.74168468160957</v>
      </c>
      <c r="H57" s="87">
        <f>H37/PopulationScotland!H31*1000000</f>
        <v>81.367474291007639</v>
      </c>
      <c r="I57" s="87">
        <f>I37/PopulationScotland!I31*1000000</f>
        <v>108.01545090580349</v>
      </c>
      <c r="J57" s="87">
        <f>J37/PopulationScotland!J31*1000000</f>
        <v>191.23491109908767</v>
      </c>
      <c r="K57" s="87">
        <f>K37/PopulationScotland!K31*1000000</f>
        <v>706.16309932549245</v>
      </c>
      <c r="L57" s="867">
        <f>M37/PopulationScotland!L31*1000000</f>
        <v>121.19081540140988</v>
      </c>
    </row>
    <row r="58" spans="1:13" ht="13.5" customHeight="1" x14ac:dyDescent="0.2">
      <c r="A58" s="346" t="str">
        <f>T18a!A13</f>
        <v>2017-18</v>
      </c>
      <c r="B58" s="87">
        <f>B38/PopulationScotland!B32*1000000</f>
        <v>88.619171517089327</v>
      </c>
      <c r="C58" s="87">
        <f>C38/PopulationScotland!C32*1000000</f>
        <v>52.173062395721814</v>
      </c>
      <c r="D58" s="87">
        <f>D38/PopulationScotland!D32*1000000</f>
        <v>151.26784060115281</v>
      </c>
      <c r="E58" s="87">
        <f>E38/PopulationScotland!E32*1000000</f>
        <v>164.76482989087498</v>
      </c>
      <c r="F58" s="87">
        <f>F38/PopulationScotland!F32*1000000</f>
        <v>134.87120436168385</v>
      </c>
      <c r="G58" s="87">
        <f>G38/PopulationScotland!G32*1000000</f>
        <v>133.1538650803989</v>
      </c>
      <c r="H58" s="87">
        <f>H38/PopulationScotland!H32*1000000</f>
        <v>102.51120920645285</v>
      </c>
      <c r="I58" s="87">
        <f>I38/PopulationScotland!I32*1000000</f>
        <v>104.95944545681924</v>
      </c>
      <c r="J58" s="87">
        <f>J38/PopulationScotland!J32*1000000</f>
        <v>220.19964768056371</v>
      </c>
      <c r="K58" s="87">
        <f>K38/PopulationScotland!K32*1000000</f>
        <v>311.5638106650689</v>
      </c>
      <c r="L58" s="867">
        <f>M38/PopulationScotland!L32*1000000</f>
        <v>128.11532222386077</v>
      </c>
    </row>
    <row r="59" spans="1:13" ht="13.5" customHeight="1" x14ac:dyDescent="0.2">
      <c r="A59" s="346" t="str">
        <f>T18a!A14</f>
        <v>2018-19</v>
      </c>
      <c r="B59" s="87">
        <f>B39/PopulationScotland!B33*1000000</f>
        <v>54.178616061431327</v>
      </c>
      <c r="C59" s="87">
        <f>C39/PopulationScotland!C33*1000000</f>
        <v>31.857734343846015</v>
      </c>
      <c r="D59" s="87">
        <f>D39/PopulationScotland!D33*1000000</f>
        <v>133.94336310635808</v>
      </c>
      <c r="E59" s="87">
        <f>E39/PopulationScotland!E33*1000000</f>
        <v>151.7759959757679</v>
      </c>
      <c r="F59" s="87">
        <f>F39/PopulationScotland!F33*1000000</f>
        <v>120.04847431025833</v>
      </c>
      <c r="G59" s="87">
        <f>G39/PopulationScotland!G33*1000000</f>
        <v>107.74159256439356</v>
      </c>
      <c r="H59" s="87">
        <f>H39/PopulationScotland!H33*1000000</f>
        <v>105.2269525489266</v>
      </c>
      <c r="I59" s="87">
        <f>I39/PopulationScotland!I33*1000000</f>
        <v>67.089837620951073</v>
      </c>
      <c r="J59" s="87">
        <f>J39/PopulationScotland!J33*1000000</f>
        <v>225.52287478518946</v>
      </c>
      <c r="K59" s="87">
        <f>K39/PopulationScotland!K33*1000000</f>
        <v>310.06272807498743</v>
      </c>
      <c r="L59" s="867">
        <f>M39/PopulationScotland!L33*1000000</f>
        <v>111.61986723304096</v>
      </c>
    </row>
    <row r="60" spans="1:13" ht="13.5" customHeight="1" x14ac:dyDescent="0.2">
      <c r="A60" s="346" t="str">
        <f>T18a!A15</f>
        <v>2019-20</v>
      </c>
      <c r="B60" s="87">
        <f>B40/PopulationScotland!B34*1000000</f>
        <v>73.606536260419929</v>
      </c>
      <c r="C60" s="87">
        <f>C40/PopulationScotland!C34*1000000</f>
        <v>24.392272084707709</v>
      </c>
      <c r="D60" s="87">
        <f>D40/PopulationScotland!D34*1000000</f>
        <v>87.25943059758859</v>
      </c>
      <c r="E60" s="87">
        <f>E40/PopulationScotland!E34*1000000</f>
        <v>149.80393308757655</v>
      </c>
      <c r="F60" s="87">
        <f>F40/PopulationScotland!F34*1000000</f>
        <v>105.76507813395148</v>
      </c>
      <c r="G60" s="87">
        <f>G40/PopulationScotland!G34*1000000</f>
        <v>122.20526505753594</v>
      </c>
      <c r="H60" s="87">
        <f>H40/PopulationScotland!H34*1000000</f>
        <v>77.623238534659549</v>
      </c>
      <c r="I60" s="87">
        <f>I40/PopulationScotland!I34*1000000</f>
        <v>75.820280661405576</v>
      </c>
      <c r="J60" s="87">
        <f>J40/PopulationScotland!J34*1000000</f>
        <v>154.70570554642055</v>
      </c>
      <c r="K60" s="87">
        <f>K40/PopulationScotland!K34*1000000</f>
        <v>343.57964176096016</v>
      </c>
      <c r="L60" s="867">
        <f>M40/PopulationScotland!L34*1000000</f>
        <v>101.58695294053045</v>
      </c>
    </row>
    <row r="61" spans="1:13" ht="13.5" thickBot="1" x14ac:dyDescent="0.25">
      <c r="A61" s="348" t="str">
        <f>T18a!A16</f>
        <v>2020-21</v>
      </c>
      <c r="B61" s="869">
        <f>B41/PopulationScotland!B35*1000000</f>
        <v>53.069300925680238</v>
      </c>
      <c r="C61" s="869">
        <f>C41/PopulationScotland!C35*1000000</f>
        <v>34.9022062697873</v>
      </c>
      <c r="D61" s="869">
        <f>D41/PopulationScotland!D35*1000000</f>
        <v>102.77703549918806</v>
      </c>
      <c r="E61" s="869">
        <f>E41/PopulationScotland!E35*1000000</f>
        <v>112.71114802236426</v>
      </c>
      <c r="F61" s="869">
        <f>F41/PopulationScotland!F35*1000000</f>
        <v>122.40411782595145</v>
      </c>
      <c r="G61" s="869">
        <f>G41/PopulationScotland!G35*1000000</f>
        <v>95.927726921975491</v>
      </c>
      <c r="H61" s="869">
        <f>H41/PopulationScotland!H35*1000000</f>
        <v>64.318332868812035</v>
      </c>
      <c r="I61" s="869">
        <f>I41/PopulationScotland!I35*1000000</f>
        <v>78.505908602594829</v>
      </c>
      <c r="J61" s="869">
        <f>J41/PopulationScotland!J35*1000000</f>
        <v>122.88355028131556</v>
      </c>
      <c r="K61" s="869">
        <f>K41/PopulationScotland!K35*1000000</f>
        <v>411.43797572515945</v>
      </c>
      <c r="L61" s="870">
        <f>M41/PopulationScotland!L35*1000000</f>
        <v>95.86534943285767</v>
      </c>
    </row>
    <row r="62" spans="1:13" ht="25.5" customHeight="1" x14ac:dyDescent="0.2">
      <c r="A62" s="138" t="s">
        <v>1231</v>
      </c>
      <c r="B62" s="280"/>
      <c r="C62" s="280"/>
      <c r="D62" s="280"/>
      <c r="E62" s="280"/>
      <c r="F62" s="280"/>
      <c r="G62" s="280"/>
      <c r="H62" s="280"/>
      <c r="I62" s="280"/>
      <c r="J62" s="280"/>
      <c r="K62" s="280"/>
      <c r="L62" s="280"/>
      <c r="M62" s="280"/>
    </row>
    <row r="63" spans="1:13" ht="15" x14ac:dyDescent="0.25">
      <c r="A63" s="1119" t="s">
        <v>1234</v>
      </c>
    </row>
    <row r="64" spans="1:13" x14ac:dyDescent="0.2">
      <c r="A64" s="106" t="s">
        <v>1093</v>
      </c>
    </row>
    <row r="65" spans="1:1" ht="15" x14ac:dyDescent="0.25">
      <c r="A65" s="1109" t="s">
        <v>1230</v>
      </c>
    </row>
  </sheetData>
  <sheetProtection algorithmName="SHA-512" hashValue="WEvk8nAXS9YcK6XhnYoh+hwvxfLCISd3mP06rN7nMrKYsY2dLnjlpAv4IsEJZRwsxdHsHR5ii620hhR40XhF9w==" saltValue="DSWzCc4pItg3U/L1WVCCfg==" spinCount="100000" sheet="1" scenarios="1" formatCells="0" formatColumns="0" formatRows="0" sort="0" autoFilter="0" pivotTables="0"/>
  <mergeCells count="4">
    <mergeCell ref="A8:A9"/>
    <mergeCell ref="H8:H9"/>
    <mergeCell ref="B8:C8"/>
    <mergeCell ref="E8:F8"/>
  </mergeCells>
  <hyperlinks>
    <hyperlink ref="A2" location="'Table of Contents'!A1" display="Back to Table of Contents" xr:uid="{00000000-0004-0000-8800-000000000000}"/>
    <hyperlink ref="A64" r:id="rId1" xr:uid="{00000000-0004-0000-8800-000001000000}"/>
  </hyperlinks>
  <pageMargins left="0.7" right="0.7" top="0.75" bottom="0.75" header="0.3" footer="0.3"/>
  <pageSetup paperSize="9" scale="84" orientation="portrait" r:id="rId2"/>
  <colBreaks count="1" manualBreakCount="1">
    <brk id="8"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47">
    <tabColor rgb="FFBF8F00"/>
    <pageSetUpPr fitToPage="1"/>
  </sheetPr>
  <dimension ref="A1:AB95"/>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7" customWidth="1"/>
    <col min="26" max="26" width="11.85546875" customWidth="1"/>
    <col min="27" max="27" width="15.5703125" customWidth="1"/>
  </cols>
  <sheetData>
    <row r="1" spans="1:28" ht="15.75" x14ac:dyDescent="0.2">
      <c r="A1" s="298" t="s">
        <v>1133</v>
      </c>
    </row>
    <row r="2" spans="1:28" ht="15.75" customHeight="1" x14ac:dyDescent="0.2">
      <c r="A2" s="106" t="s">
        <v>578</v>
      </c>
    </row>
    <row r="3" spans="1:28" ht="37.5" customHeight="1" x14ac:dyDescent="0.2">
      <c r="A3" s="120" t="s">
        <v>1082</v>
      </c>
      <c r="B3" s="120"/>
      <c r="C3" s="120"/>
      <c r="D3" s="120"/>
      <c r="E3" s="120"/>
      <c r="F3" s="120"/>
      <c r="G3" s="120"/>
      <c r="H3" s="120"/>
      <c r="I3" s="120"/>
      <c r="J3" s="120"/>
      <c r="K3" s="120"/>
      <c r="L3" s="120"/>
      <c r="M3" s="1"/>
      <c r="N3" s="1"/>
      <c r="O3" s="1"/>
      <c r="P3" s="1"/>
      <c r="Q3" s="1"/>
      <c r="R3" s="1"/>
      <c r="S3" s="1"/>
      <c r="T3" s="1"/>
      <c r="U3" s="1"/>
      <c r="V3" s="1"/>
      <c r="W3" s="1"/>
      <c r="X3" s="1"/>
      <c r="Y3" s="1"/>
      <c r="Z3" s="1"/>
      <c r="AA3" s="1"/>
      <c r="AB3" s="1"/>
    </row>
    <row r="4" spans="1:28" ht="15.75" customHeight="1" x14ac:dyDescent="0.25">
      <c r="A4" s="351" t="s">
        <v>579</v>
      </c>
      <c r="B4" s="1043" t="s">
        <v>1391</v>
      </c>
      <c r="D4" s="129"/>
      <c r="E4" s="129"/>
      <c r="F4" s="129"/>
      <c r="G4" s="129"/>
      <c r="H4" s="129"/>
      <c r="I4" s="129"/>
      <c r="J4" s="129"/>
      <c r="K4" s="129"/>
      <c r="L4" s="129"/>
      <c r="M4" s="1"/>
      <c r="N4" s="1"/>
      <c r="O4" s="1"/>
      <c r="P4" s="1"/>
      <c r="Q4" s="1"/>
      <c r="R4" s="1"/>
      <c r="S4" s="1"/>
      <c r="T4" s="1"/>
      <c r="U4" s="1"/>
      <c r="V4" s="1"/>
      <c r="W4" s="1"/>
      <c r="X4" s="1"/>
      <c r="Y4" s="1"/>
      <c r="Z4" s="1"/>
      <c r="AA4" s="1"/>
      <c r="AB4" s="1"/>
    </row>
    <row r="5" spans="1:28" ht="15.75" customHeight="1" x14ac:dyDescent="0.25">
      <c r="A5" s="351" t="s">
        <v>580</v>
      </c>
      <c r="B5" s="351" t="s">
        <v>581</v>
      </c>
      <c r="C5" s="129"/>
      <c r="D5" s="129"/>
      <c r="E5" s="129"/>
      <c r="F5" s="129"/>
      <c r="G5" s="129"/>
      <c r="H5" s="129"/>
      <c r="I5" s="129"/>
      <c r="J5" s="129"/>
      <c r="K5" s="129"/>
      <c r="L5" s="129"/>
      <c r="M5" s="1"/>
      <c r="N5" s="1"/>
      <c r="O5" s="1"/>
      <c r="P5" s="1"/>
      <c r="Q5" s="1"/>
      <c r="R5" s="1"/>
      <c r="S5" s="1"/>
      <c r="T5" s="1"/>
      <c r="U5" s="1"/>
      <c r="V5" s="1"/>
      <c r="W5" s="1"/>
      <c r="X5" s="1"/>
      <c r="Y5" s="1"/>
      <c r="Z5" s="1"/>
      <c r="AA5" s="1"/>
      <c r="AB5" s="1"/>
    </row>
    <row r="6" spans="1:28" ht="15.75" customHeight="1" x14ac:dyDescent="0.25">
      <c r="A6" s="351" t="s">
        <v>582</v>
      </c>
      <c r="B6" s="351" t="s">
        <v>585</v>
      </c>
      <c r="C6" s="129"/>
      <c r="D6" s="129"/>
      <c r="E6" s="129"/>
      <c r="F6" s="129"/>
      <c r="G6" s="129"/>
      <c r="H6" s="129"/>
      <c r="I6" s="129"/>
      <c r="J6" s="129"/>
      <c r="K6" s="129"/>
      <c r="L6" s="129"/>
      <c r="M6" s="1"/>
      <c r="N6" s="1"/>
      <c r="O6" s="1"/>
      <c r="P6" s="1"/>
      <c r="Q6" s="1"/>
      <c r="R6" s="1"/>
      <c r="S6" s="1"/>
      <c r="T6" s="1"/>
      <c r="U6" s="1"/>
      <c r="V6" s="1"/>
      <c r="W6" s="1"/>
      <c r="X6" s="1"/>
      <c r="Y6" s="1"/>
      <c r="Z6" s="1"/>
      <c r="AA6" s="1"/>
      <c r="AB6" s="1"/>
    </row>
    <row r="7" spans="1:28" ht="15" x14ac:dyDescent="0.25">
      <c r="A7" s="239"/>
      <c r="B7" s="1"/>
      <c r="C7" s="1"/>
      <c r="D7" s="1"/>
      <c r="E7" s="1"/>
      <c r="F7" s="1"/>
      <c r="G7" s="1"/>
      <c r="H7" s="1"/>
      <c r="I7" s="1"/>
      <c r="J7" s="1"/>
      <c r="K7" s="1"/>
      <c r="L7" s="1"/>
      <c r="M7" s="1"/>
      <c r="N7" s="1"/>
      <c r="O7" s="1"/>
      <c r="P7" s="1"/>
      <c r="Q7" s="1"/>
      <c r="R7" s="1"/>
      <c r="S7" s="1"/>
      <c r="T7" s="1"/>
      <c r="U7" s="1"/>
      <c r="V7" s="1"/>
      <c r="W7" s="1"/>
      <c r="X7" s="1"/>
      <c r="Y7" s="1"/>
      <c r="Z7" s="1"/>
      <c r="AA7" s="83" t="s">
        <v>0</v>
      </c>
      <c r="AB7" s="1"/>
    </row>
    <row r="8" spans="1:28" ht="18.75" customHeight="1" x14ac:dyDescent="0.2">
      <c r="A8" s="1357" t="s">
        <v>4</v>
      </c>
      <c r="B8" s="1298" t="s">
        <v>274</v>
      </c>
      <c r="C8" s="1298"/>
      <c r="D8" s="1298"/>
      <c r="E8" s="1298"/>
      <c r="F8" s="1298"/>
      <c r="G8" s="1298"/>
      <c r="H8" s="1298"/>
      <c r="I8" s="1298"/>
      <c r="J8" s="1298"/>
      <c r="K8" s="1298"/>
      <c r="L8" s="1298"/>
      <c r="M8" s="1298"/>
      <c r="N8" s="1298"/>
      <c r="O8" s="1298"/>
      <c r="P8" s="1298"/>
      <c r="Q8" s="1298"/>
      <c r="R8" s="1298"/>
      <c r="S8" s="1298"/>
      <c r="T8" s="1298"/>
      <c r="U8" s="1298"/>
      <c r="V8" s="1298"/>
      <c r="W8" s="1298"/>
      <c r="X8" s="1298"/>
      <c r="Y8" s="1298"/>
      <c r="Z8" s="1298"/>
      <c r="AA8" s="1358" t="s">
        <v>273</v>
      </c>
      <c r="AB8" s="1"/>
    </row>
    <row r="9" spans="1:28" ht="18.75" customHeight="1" x14ac:dyDescent="0.2">
      <c r="A9" s="1424"/>
      <c r="B9" s="1160" t="s">
        <v>251</v>
      </c>
      <c r="C9" s="1160" t="s">
        <v>225</v>
      </c>
      <c r="D9" s="1160" t="s">
        <v>226</v>
      </c>
      <c r="E9" s="1160" t="s">
        <v>227</v>
      </c>
      <c r="F9" s="1160" t="s">
        <v>228</v>
      </c>
      <c r="G9" s="1160" t="s">
        <v>229</v>
      </c>
      <c r="H9" s="1160" t="s">
        <v>230</v>
      </c>
      <c r="I9" s="1160" t="s">
        <v>231</v>
      </c>
      <c r="J9" s="1160" t="s">
        <v>232</v>
      </c>
      <c r="K9" s="1160" t="s">
        <v>233</v>
      </c>
      <c r="L9" s="1160" t="s">
        <v>234</v>
      </c>
      <c r="M9" s="1160" t="s">
        <v>235</v>
      </c>
      <c r="N9" s="1160" t="s">
        <v>257</v>
      </c>
      <c r="O9" s="1160" t="s">
        <v>236</v>
      </c>
      <c r="P9" s="1160" t="s">
        <v>237</v>
      </c>
      <c r="Q9" s="1160" t="s">
        <v>238</v>
      </c>
      <c r="R9" s="1160" t="s">
        <v>239</v>
      </c>
      <c r="S9" s="1160" t="s">
        <v>240</v>
      </c>
      <c r="T9" s="1160" t="s">
        <v>241</v>
      </c>
      <c r="U9" s="1160" t="s">
        <v>242</v>
      </c>
      <c r="V9" s="1160" t="s">
        <v>243</v>
      </c>
      <c r="W9" s="1160" t="s">
        <v>244</v>
      </c>
      <c r="X9" s="1160" t="s">
        <v>245</v>
      </c>
      <c r="Y9" s="1160" t="s">
        <v>246</v>
      </c>
      <c r="Z9" s="1160" t="s">
        <v>201</v>
      </c>
      <c r="AA9" s="1422"/>
      <c r="AB9" s="27"/>
    </row>
    <row r="10" spans="1:28" ht="18.75" customHeight="1" x14ac:dyDescent="0.2">
      <c r="A10" s="346" t="s">
        <v>16</v>
      </c>
      <c r="B10" s="130">
        <v>2</v>
      </c>
      <c r="C10" s="198">
        <v>5</v>
      </c>
      <c r="D10" s="198">
        <v>4</v>
      </c>
      <c r="E10" s="198">
        <v>1</v>
      </c>
      <c r="F10" s="198">
        <v>3</v>
      </c>
      <c r="G10" s="198">
        <v>1</v>
      </c>
      <c r="H10" s="198">
        <v>1</v>
      </c>
      <c r="I10" s="198">
        <v>5</v>
      </c>
      <c r="J10" s="198">
        <v>2</v>
      </c>
      <c r="K10" s="198">
        <v>3</v>
      </c>
      <c r="L10" s="198">
        <v>2</v>
      </c>
      <c r="M10" s="198">
        <v>0</v>
      </c>
      <c r="N10" s="198">
        <v>1</v>
      </c>
      <c r="O10" s="199">
        <v>5</v>
      </c>
      <c r="P10" s="198">
        <v>1</v>
      </c>
      <c r="Q10" s="198">
        <v>3</v>
      </c>
      <c r="R10" s="198">
        <v>3</v>
      </c>
      <c r="S10" s="198">
        <v>2</v>
      </c>
      <c r="T10" s="198">
        <v>5</v>
      </c>
      <c r="U10" s="198">
        <v>1</v>
      </c>
      <c r="V10" s="198">
        <v>4</v>
      </c>
      <c r="W10" s="198">
        <v>0</v>
      </c>
      <c r="X10" s="198">
        <v>1</v>
      </c>
      <c r="Y10" s="198">
        <v>3</v>
      </c>
      <c r="Z10" s="126"/>
      <c r="AA10" s="585">
        <f>SUM(B10:Z10)</f>
        <v>58</v>
      </c>
      <c r="AB10" s="4"/>
    </row>
    <row r="11" spans="1:28" ht="13.5" customHeight="1" x14ac:dyDescent="0.2">
      <c r="A11" s="346" t="s">
        <v>18</v>
      </c>
      <c r="B11" s="130">
        <v>1</v>
      </c>
      <c r="C11" s="198">
        <v>0</v>
      </c>
      <c r="D11" s="198">
        <v>3</v>
      </c>
      <c r="E11" s="199">
        <v>3</v>
      </c>
      <c r="F11" s="198">
        <v>5</v>
      </c>
      <c r="G11" s="198">
        <v>3</v>
      </c>
      <c r="H11" s="198">
        <v>1</v>
      </c>
      <c r="I11" s="198">
        <v>5</v>
      </c>
      <c r="J11" s="198">
        <v>2</v>
      </c>
      <c r="K11" s="198">
        <v>0</v>
      </c>
      <c r="L11" s="199">
        <v>1</v>
      </c>
      <c r="M11" s="199">
        <v>1</v>
      </c>
      <c r="N11" s="198">
        <v>3</v>
      </c>
      <c r="O11" s="198">
        <v>1</v>
      </c>
      <c r="P11" s="198">
        <v>2</v>
      </c>
      <c r="Q11" s="198">
        <v>3</v>
      </c>
      <c r="R11" s="198">
        <v>4</v>
      </c>
      <c r="S11" s="198">
        <v>1</v>
      </c>
      <c r="T11" s="198">
        <v>2</v>
      </c>
      <c r="U11" s="198">
        <v>4</v>
      </c>
      <c r="V11" s="198">
        <v>4</v>
      </c>
      <c r="W11" s="198">
        <v>3</v>
      </c>
      <c r="X11" s="199">
        <v>2</v>
      </c>
      <c r="Y11" s="198">
        <v>0</v>
      </c>
      <c r="Z11" s="126"/>
      <c r="AA11" s="585">
        <f>SUM(B11:Z11)</f>
        <v>54</v>
      </c>
      <c r="AB11" s="4"/>
    </row>
    <row r="12" spans="1:28" ht="13.5" customHeight="1" x14ac:dyDescent="0.2">
      <c r="A12" s="346" t="str">
        <f>Sheet7!A4</f>
        <v>2009-10</v>
      </c>
      <c r="B12" s="130">
        <f>Sheet7!B4</f>
        <v>4</v>
      </c>
      <c r="C12" s="198">
        <f>Sheet7!C4</f>
        <v>4</v>
      </c>
      <c r="D12" s="198">
        <f>Sheet7!D4</f>
        <v>7</v>
      </c>
      <c r="E12" s="198">
        <f>Sheet7!E4</f>
        <v>3</v>
      </c>
      <c r="F12" s="198">
        <f>Sheet7!F4</f>
        <v>3</v>
      </c>
      <c r="G12" s="198">
        <f>Sheet7!G4</f>
        <v>1</v>
      </c>
      <c r="H12" s="198">
        <f>Sheet7!H4</f>
        <v>1</v>
      </c>
      <c r="I12" s="198">
        <f>Sheet7!I4</f>
        <v>0</v>
      </c>
      <c r="J12" s="198">
        <f>Sheet7!J4</f>
        <v>2</v>
      </c>
      <c r="K12" s="198">
        <f>Sheet7!K4</f>
        <v>0</v>
      </c>
      <c r="L12" s="198">
        <f>Sheet7!L4</f>
        <v>0</v>
      </c>
      <c r="M12" s="198">
        <f>Sheet7!M4</f>
        <v>3</v>
      </c>
      <c r="N12" s="198">
        <f>Sheet7!N4</f>
        <v>0</v>
      </c>
      <c r="O12" s="198">
        <f>Sheet7!O4</f>
        <v>2</v>
      </c>
      <c r="P12" s="199">
        <f>Sheet7!P4</f>
        <v>0</v>
      </c>
      <c r="Q12" s="198">
        <f>Sheet7!Q4</f>
        <v>0</v>
      </c>
      <c r="R12" s="199">
        <f>Sheet7!R4</f>
        <v>4</v>
      </c>
      <c r="S12" s="198">
        <f>Sheet7!S4</f>
        <v>2</v>
      </c>
      <c r="T12" s="198">
        <f>Sheet7!T4</f>
        <v>8</v>
      </c>
      <c r="U12" s="198">
        <f>Sheet7!U4</f>
        <v>3</v>
      </c>
      <c r="V12" s="199">
        <f>Sheet7!V4</f>
        <v>0</v>
      </c>
      <c r="W12" s="198">
        <f>Sheet7!W4</f>
        <v>0</v>
      </c>
      <c r="X12" s="198">
        <f>Sheet7!X4</f>
        <v>5</v>
      </c>
      <c r="Y12" s="198">
        <f>Sheet7!Y4</f>
        <v>1</v>
      </c>
      <c r="Z12" s="126"/>
      <c r="AA12" s="585">
        <f>SUM(B12:Z12)</f>
        <v>53</v>
      </c>
      <c r="AB12" s="4"/>
    </row>
    <row r="13" spans="1:28" ht="13.5" customHeight="1" x14ac:dyDescent="0.2">
      <c r="A13" s="2" t="str">
        <f>Sheet7!A5</f>
        <v>2010-11</v>
      </c>
      <c r="B13" s="130">
        <f>Sheet7!B5</f>
        <v>1</v>
      </c>
      <c r="C13" s="198">
        <f>Sheet7!C5</f>
        <v>5</v>
      </c>
      <c r="D13" s="198">
        <f>Sheet7!D5</f>
        <v>2</v>
      </c>
      <c r="E13" s="198">
        <f>Sheet7!E5</f>
        <v>5</v>
      </c>
      <c r="F13" s="198">
        <f>Sheet7!F5</f>
        <v>2</v>
      </c>
      <c r="G13" s="198">
        <f>Sheet7!G5</f>
        <v>3</v>
      </c>
      <c r="H13" s="198">
        <f>Sheet7!H5</f>
        <v>3</v>
      </c>
      <c r="I13" s="198">
        <f>Sheet7!I5</f>
        <v>2</v>
      </c>
      <c r="J13" s="198">
        <f>Sheet7!J5</f>
        <v>1</v>
      </c>
      <c r="K13" s="198">
        <f>Sheet7!K5</f>
        <v>0</v>
      </c>
      <c r="L13" s="198">
        <f>Sheet7!L5</f>
        <v>2</v>
      </c>
      <c r="M13" s="199">
        <f>Sheet7!M5</f>
        <v>1</v>
      </c>
      <c r="N13" s="198">
        <f>Sheet7!N5</f>
        <v>1</v>
      </c>
      <c r="O13" s="198">
        <f>Sheet7!O5</f>
        <v>2</v>
      </c>
      <c r="P13" s="198">
        <f>Sheet7!P5</f>
        <v>2</v>
      </c>
      <c r="Q13" s="198">
        <f>Sheet7!Q5</f>
        <v>1</v>
      </c>
      <c r="R13" s="198">
        <f>Sheet7!R5</f>
        <v>1</v>
      </c>
      <c r="S13" s="198">
        <f>Sheet7!S5</f>
        <v>3</v>
      </c>
      <c r="T13" s="198">
        <f>Sheet7!T5</f>
        <v>0</v>
      </c>
      <c r="U13" s="198">
        <f>Sheet7!U5</f>
        <v>0</v>
      </c>
      <c r="V13" s="198">
        <f>Sheet7!V5</f>
        <v>1</v>
      </c>
      <c r="W13" s="198">
        <f>Sheet7!W5</f>
        <v>1</v>
      </c>
      <c r="X13" s="198">
        <f>Sheet7!X5</f>
        <v>1</v>
      </c>
      <c r="Y13" s="199">
        <f>Sheet7!Y5</f>
        <v>5</v>
      </c>
      <c r="Z13" s="126"/>
      <c r="AA13" s="585">
        <f t="shared" ref="AA13:AA19" si="0">SUM(B13:Z13)</f>
        <v>45</v>
      </c>
      <c r="AB13" s="4"/>
    </row>
    <row r="14" spans="1:28" ht="13.5" customHeight="1" x14ac:dyDescent="0.2">
      <c r="A14" s="29" t="str">
        <f>Sheet7!A6</f>
        <v>2011-12</v>
      </c>
      <c r="B14" s="130">
        <f>Sheet7!B6</f>
        <v>1</v>
      </c>
      <c r="C14" s="198">
        <f>Sheet7!C6</f>
        <v>2</v>
      </c>
      <c r="D14" s="198">
        <f>Sheet7!D6</f>
        <v>4</v>
      </c>
      <c r="E14" s="198">
        <f>Sheet7!E6</f>
        <v>3</v>
      </c>
      <c r="F14" s="198">
        <f>Sheet7!F6</f>
        <v>2</v>
      </c>
      <c r="G14" s="198">
        <f>Sheet7!G6</f>
        <v>3</v>
      </c>
      <c r="H14" s="198">
        <f>Sheet7!H6</f>
        <v>1</v>
      </c>
      <c r="I14" s="198">
        <f>Sheet7!I6</f>
        <v>2</v>
      </c>
      <c r="J14" s="198">
        <f>Sheet7!J6</f>
        <v>2</v>
      </c>
      <c r="K14" s="198">
        <f>Sheet7!K6</f>
        <v>0</v>
      </c>
      <c r="L14" s="198">
        <f>Sheet7!L6</f>
        <v>3</v>
      </c>
      <c r="M14" s="199">
        <f>Sheet7!M6</f>
        <v>3</v>
      </c>
      <c r="N14" s="198">
        <f>Sheet7!N6</f>
        <v>4</v>
      </c>
      <c r="O14" s="198">
        <f>Sheet7!O6</f>
        <v>1</v>
      </c>
      <c r="P14" s="198">
        <f>Sheet7!P6</f>
        <v>1</v>
      </c>
      <c r="Q14" s="198">
        <f>Sheet7!Q6</f>
        <v>2</v>
      </c>
      <c r="R14" s="198">
        <f>Sheet7!R6</f>
        <v>4</v>
      </c>
      <c r="S14" s="198">
        <f>Sheet7!S6</f>
        <v>2</v>
      </c>
      <c r="T14" s="198">
        <f>Sheet7!T6</f>
        <v>0</v>
      </c>
      <c r="U14" s="198">
        <f>Sheet7!U6</f>
        <v>1</v>
      </c>
      <c r="V14" s="198">
        <f>Sheet7!V6</f>
        <v>1</v>
      </c>
      <c r="W14" s="198">
        <f>Sheet7!W6</f>
        <v>3</v>
      </c>
      <c r="X14" s="198">
        <f>Sheet7!X6</f>
        <v>5</v>
      </c>
      <c r="Y14" s="199">
        <f>Sheet7!Y6</f>
        <v>1</v>
      </c>
      <c r="Z14" s="126"/>
      <c r="AA14" s="585">
        <f t="shared" si="0"/>
        <v>51</v>
      </c>
      <c r="AB14" s="4"/>
    </row>
    <row r="15" spans="1:28" ht="13.5" customHeight="1" x14ac:dyDescent="0.2">
      <c r="A15" s="29" t="str">
        <f>Sheet7!A7</f>
        <v>2012-13</v>
      </c>
      <c r="B15" s="130">
        <f>Sheet7!B7</f>
        <v>1</v>
      </c>
      <c r="C15" s="198">
        <f>Sheet7!C7</f>
        <v>1</v>
      </c>
      <c r="D15" s="198">
        <f>Sheet7!D7</f>
        <v>3</v>
      </c>
      <c r="E15" s="198">
        <f>Sheet7!E7</f>
        <v>2</v>
      </c>
      <c r="F15" s="198">
        <f>Sheet7!F7</f>
        <v>1</v>
      </c>
      <c r="G15" s="198">
        <f>Sheet7!G7</f>
        <v>5</v>
      </c>
      <c r="H15" s="198">
        <f>Sheet7!H7</f>
        <v>1</v>
      </c>
      <c r="I15" s="198">
        <f>Sheet7!I7</f>
        <v>3</v>
      </c>
      <c r="J15" s="198">
        <f>Sheet7!J7</f>
        <v>2</v>
      </c>
      <c r="K15" s="198">
        <f>Sheet7!K7</f>
        <v>2</v>
      </c>
      <c r="L15" s="198">
        <f>Sheet7!L7</f>
        <v>4</v>
      </c>
      <c r="M15" s="199">
        <f>Sheet7!M7</f>
        <v>1</v>
      </c>
      <c r="N15" s="198">
        <f>Sheet7!N7</f>
        <v>1</v>
      </c>
      <c r="O15" s="198">
        <f>Sheet7!O7</f>
        <v>0</v>
      </c>
      <c r="P15" s="198">
        <f>Sheet7!P7</f>
        <v>1</v>
      </c>
      <c r="Q15" s="198">
        <f>Sheet7!Q7</f>
        <v>3</v>
      </c>
      <c r="R15" s="198">
        <f>Sheet7!R7</f>
        <v>1</v>
      </c>
      <c r="S15" s="198">
        <f>Sheet7!S7</f>
        <v>0</v>
      </c>
      <c r="T15" s="198">
        <f>Sheet7!T7</f>
        <v>2</v>
      </c>
      <c r="U15" s="198">
        <f>Sheet7!U7</f>
        <v>0</v>
      </c>
      <c r="V15" s="198">
        <f>Sheet7!V7</f>
        <v>0</v>
      </c>
      <c r="W15" s="198">
        <f>Sheet7!W7</f>
        <v>2</v>
      </c>
      <c r="X15" s="198">
        <f>Sheet7!X7</f>
        <v>2</v>
      </c>
      <c r="Y15" s="199">
        <f>Sheet7!Y7</f>
        <v>2</v>
      </c>
      <c r="Z15" s="199"/>
      <c r="AA15" s="585">
        <f t="shared" si="0"/>
        <v>40</v>
      </c>
      <c r="AB15" s="4"/>
    </row>
    <row r="16" spans="1:28" ht="13.5" customHeight="1" x14ac:dyDescent="0.2">
      <c r="A16" s="29" t="str">
        <f>Sheet7!A8</f>
        <v>2013-14</v>
      </c>
      <c r="B16" s="130">
        <f>Sheet7!B8</f>
        <v>1</v>
      </c>
      <c r="C16" s="198">
        <f>Sheet7!C8</f>
        <v>0</v>
      </c>
      <c r="D16" s="198">
        <f>Sheet7!D8</f>
        <v>1</v>
      </c>
      <c r="E16" s="198">
        <f>Sheet7!E8</f>
        <v>2</v>
      </c>
      <c r="F16" s="198">
        <f>Sheet7!F8</f>
        <v>1</v>
      </c>
      <c r="G16" s="198">
        <f>Sheet7!G8</f>
        <v>2</v>
      </c>
      <c r="H16" s="198">
        <f>Sheet7!H8</f>
        <v>1</v>
      </c>
      <c r="I16" s="199">
        <f>Sheet7!I8</f>
        <v>2</v>
      </c>
      <c r="J16" s="198">
        <f>Sheet7!J8</f>
        <v>2</v>
      </c>
      <c r="K16" s="198">
        <f>Sheet7!K8</f>
        <v>1</v>
      </c>
      <c r="L16" s="199">
        <f>Sheet7!L8</f>
        <v>0</v>
      </c>
      <c r="M16" s="199">
        <f>Sheet7!M8</f>
        <v>0</v>
      </c>
      <c r="N16" s="199">
        <f>Sheet7!N8</f>
        <v>1</v>
      </c>
      <c r="O16" s="198">
        <f>Sheet7!O8</f>
        <v>2</v>
      </c>
      <c r="P16" s="199">
        <f>Sheet7!P8</f>
        <v>1</v>
      </c>
      <c r="Q16" s="199">
        <f>Sheet7!Q8</f>
        <v>0</v>
      </c>
      <c r="R16" s="198">
        <f>Sheet7!R8</f>
        <v>1</v>
      </c>
      <c r="S16" s="198">
        <f>Sheet7!S8</f>
        <v>1</v>
      </c>
      <c r="T16" s="198">
        <f>Sheet7!T8</f>
        <v>1</v>
      </c>
      <c r="U16" s="198">
        <f>Sheet7!U8</f>
        <v>1</v>
      </c>
      <c r="V16" s="199">
        <f>Sheet7!V8</f>
        <v>5</v>
      </c>
      <c r="W16" s="199">
        <f>Sheet7!W8</f>
        <v>2</v>
      </c>
      <c r="X16" s="198">
        <f>Sheet7!X8</f>
        <v>0</v>
      </c>
      <c r="Y16" s="199">
        <f>Sheet7!Y8</f>
        <v>1</v>
      </c>
      <c r="Z16" s="199"/>
      <c r="AA16" s="585">
        <f t="shared" si="0"/>
        <v>29</v>
      </c>
      <c r="AB16" s="4"/>
    </row>
    <row r="17" spans="1:28" s="1" customFormat="1" ht="13.5" customHeight="1" x14ac:dyDescent="0.2">
      <c r="A17" s="29" t="str">
        <f>Sheet7!A9</f>
        <v>2014-15</v>
      </c>
      <c r="B17" s="126">
        <f>Sheet7!B9</f>
        <v>2</v>
      </c>
      <c r="C17" s="199">
        <f>Sheet7!C9</f>
        <v>0</v>
      </c>
      <c r="D17" s="198">
        <f>Sheet7!D9</f>
        <v>0</v>
      </c>
      <c r="E17" s="198">
        <f>Sheet7!E9</f>
        <v>1</v>
      </c>
      <c r="F17" s="198">
        <f>Sheet7!F9</f>
        <v>1</v>
      </c>
      <c r="G17" s="198">
        <f>Sheet7!G9</f>
        <v>0</v>
      </c>
      <c r="H17" s="198">
        <f>Sheet7!H9</f>
        <v>0</v>
      </c>
      <c r="I17" s="199">
        <f>Sheet7!I9</f>
        <v>2</v>
      </c>
      <c r="J17" s="198">
        <f>Sheet7!J9</f>
        <v>1</v>
      </c>
      <c r="K17" s="199">
        <f>Sheet7!K9</f>
        <v>2</v>
      </c>
      <c r="L17" s="199">
        <f>Sheet7!L9</f>
        <v>2</v>
      </c>
      <c r="M17" s="198">
        <f>Sheet7!M9</f>
        <v>1</v>
      </c>
      <c r="N17" s="199">
        <f>Sheet7!N9</f>
        <v>1</v>
      </c>
      <c r="O17" s="198">
        <f>Sheet7!O9</f>
        <v>2</v>
      </c>
      <c r="P17" s="199">
        <f>Sheet7!P9</f>
        <v>0</v>
      </c>
      <c r="Q17" s="199">
        <f>Sheet7!Q9</f>
        <v>4</v>
      </c>
      <c r="R17" s="198">
        <f>Sheet7!R9</f>
        <v>1</v>
      </c>
      <c r="S17" s="198">
        <f>Sheet7!S9</f>
        <v>0</v>
      </c>
      <c r="T17" s="198">
        <f>Sheet7!T9</f>
        <v>4</v>
      </c>
      <c r="U17" s="199">
        <f>Sheet7!U9</f>
        <v>4</v>
      </c>
      <c r="V17" s="199">
        <f>Sheet7!V9</f>
        <v>0</v>
      </c>
      <c r="W17" s="199">
        <f>Sheet7!W9</f>
        <v>2</v>
      </c>
      <c r="X17" s="198">
        <f>Sheet7!X9</f>
        <v>1</v>
      </c>
      <c r="Y17" s="199">
        <f>Sheet7!Y9</f>
        <v>0</v>
      </c>
      <c r="Z17" s="199"/>
      <c r="AA17" s="585">
        <f t="shared" si="0"/>
        <v>31</v>
      </c>
      <c r="AB17" s="4"/>
    </row>
    <row r="18" spans="1:28" ht="13.5" customHeight="1" x14ac:dyDescent="0.2">
      <c r="A18" s="29" t="str">
        <f>Sheet7!A10</f>
        <v>2015-16</v>
      </c>
      <c r="B18" s="126">
        <f>Sheet7!B10</f>
        <v>1</v>
      </c>
      <c r="C18" s="199">
        <f>Sheet7!C10</f>
        <v>2</v>
      </c>
      <c r="D18" s="198">
        <f>Sheet7!D10</f>
        <v>1</v>
      </c>
      <c r="E18" s="198">
        <f>Sheet7!E10</f>
        <v>1</v>
      </c>
      <c r="F18" s="198">
        <f>Sheet7!F10</f>
        <v>1</v>
      </c>
      <c r="G18" s="198">
        <f>Sheet7!G10</f>
        <v>1</v>
      </c>
      <c r="H18" s="198">
        <f>Sheet7!H10</f>
        <v>3</v>
      </c>
      <c r="I18" s="199">
        <f>Sheet7!I10</f>
        <v>1</v>
      </c>
      <c r="J18" s="198">
        <f>Sheet7!J10</f>
        <v>1</v>
      </c>
      <c r="K18" s="199">
        <f>Sheet7!K10</f>
        <v>0</v>
      </c>
      <c r="L18" s="199">
        <f>Sheet7!L10</f>
        <v>1</v>
      </c>
      <c r="M18" s="198">
        <f>Sheet7!M10</f>
        <v>4</v>
      </c>
      <c r="N18" s="199">
        <f>Sheet7!N10</f>
        <v>0</v>
      </c>
      <c r="O18" s="198">
        <f>Sheet7!O10</f>
        <v>1</v>
      </c>
      <c r="P18" s="199">
        <f>Sheet7!P10</f>
        <v>4</v>
      </c>
      <c r="Q18" s="199">
        <f>Sheet7!Q10</f>
        <v>3</v>
      </c>
      <c r="R18" s="198">
        <f>Sheet7!R10</f>
        <v>3</v>
      </c>
      <c r="S18" s="198">
        <f>Sheet7!S10</f>
        <v>1</v>
      </c>
      <c r="T18" s="198">
        <f>Sheet7!T10</f>
        <v>5</v>
      </c>
      <c r="U18" s="199">
        <f>Sheet7!U10</f>
        <v>2</v>
      </c>
      <c r="V18" s="199">
        <f>Sheet7!V10</f>
        <v>1</v>
      </c>
      <c r="W18" s="199">
        <f>Sheet7!W10</f>
        <v>1</v>
      </c>
      <c r="X18" s="198">
        <f>Sheet7!X10</f>
        <v>0</v>
      </c>
      <c r="Y18" s="199">
        <f>Sheet7!Y10</f>
        <v>1</v>
      </c>
      <c r="Z18" s="199"/>
      <c r="AA18" s="585">
        <f t="shared" si="0"/>
        <v>39</v>
      </c>
      <c r="AB18" s="4"/>
    </row>
    <row r="19" spans="1:28" ht="13.5" customHeight="1" x14ac:dyDescent="0.2">
      <c r="A19" s="29" t="str">
        <f>Sheet7!A11</f>
        <v>2016-17</v>
      </c>
      <c r="B19" s="126">
        <f>Sheet7!B11</f>
        <v>0</v>
      </c>
      <c r="C19" s="199">
        <f>Sheet7!C11</f>
        <v>3</v>
      </c>
      <c r="D19" s="198">
        <f>Sheet7!D11</f>
        <v>2</v>
      </c>
      <c r="E19" s="198">
        <f>Sheet7!E11</f>
        <v>1</v>
      </c>
      <c r="F19" s="198">
        <f>Sheet7!F11</f>
        <v>0</v>
      </c>
      <c r="G19" s="198">
        <f>Sheet7!G11</f>
        <v>3</v>
      </c>
      <c r="H19" s="198">
        <f>Sheet7!H11</f>
        <v>2</v>
      </c>
      <c r="I19" s="199">
        <f>Sheet7!I11</f>
        <v>5</v>
      </c>
      <c r="J19" s="198">
        <f>Sheet7!J11</f>
        <v>0</v>
      </c>
      <c r="K19" s="199">
        <f>Sheet7!K11</f>
        <v>3</v>
      </c>
      <c r="L19" s="199">
        <f>Sheet7!L11</f>
        <v>2</v>
      </c>
      <c r="M19" s="198">
        <f>Sheet7!M11</f>
        <v>1</v>
      </c>
      <c r="N19" s="199">
        <f>Sheet7!N11</f>
        <v>1</v>
      </c>
      <c r="O19" s="198">
        <f>Sheet7!O11</f>
        <v>1</v>
      </c>
      <c r="P19" s="199">
        <f>Sheet7!P11</f>
        <v>0</v>
      </c>
      <c r="Q19" s="199">
        <f>Sheet7!Q11</f>
        <v>0</v>
      </c>
      <c r="R19" s="198">
        <f>Sheet7!R11</f>
        <v>3</v>
      </c>
      <c r="S19" s="198">
        <f>Sheet7!S11</f>
        <v>2</v>
      </c>
      <c r="T19" s="198">
        <f>Sheet7!T11</f>
        <v>1</v>
      </c>
      <c r="U19" s="199">
        <f>Sheet7!U11</f>
        <v>3</v>
      </c>
      <c r="V19" s="199">
        <f>Sheet7!V11</f>
        <v>1</v>
      </c>
      <c r="W19" s="199">
        <f>Sheet7!W11</f>
        <v>0</v>
      </c>
      <c r="X19" s="198">
        <f>Sheet7!X11</f>
        <v>0</v>
      </c>
      <c r="Y19" s="199">
        <f>Sheet7!Y11</f>
        <v>2</v>
      </c>
      <c r="Z19" s="199"/>
      <c r="AA19" s="585">
        <f t="shared" si="0"/>
        <v>36</v>
      </c>
      <c r="AB19" s="4"/>
    </row>
    <row r="20" spans="1:28" ht="13.5" customHeight="1" x14ac:dyDescent="0.2">
      <c r="A20" s="29" t="str">
        <f>Sheet7!A12</f>
        <v>2017-18</v>
      </c>
      <c r="B20" s="126">
        <f>Sheet7!B12</f>
        <v>4</v>
      </c>
      <c r="C20" s="199">
        <f>Sheet7!C12</f>
        <v>1</v>
      </c>
      <c r="D20" s="198">
        <f>Sheet7!D12</f>
        <v>3</v>
      </c>
      <c r="E20" s="198">
        <f>Sheet7!E12</f>
        <v>1</v>
      </c>
      <c r="F20" s="198">
        <f>Sheet7!F12</f>
        <v>0</v>
      </c>
      <c r="G20" s="198">
        <f>Sheet7!G12</f>
        <v>0</v>
      </c>
      <c r="H20" s="198">
        <f>Sheet7!H12</f>
        <v>0</v>
      </c>
      <c r="I20" s="199">
        <f>Sheet7!I12</f>
        <v>1</v>
      </c>
      <c r="J20" s="198">
        <f>Sheet7!J12</f>
        <v>4</v>
      </c>
      <c r="K20" s="199">
        <f>Sheet7!K12</f>
        <v>1</v>
      </c>
      <c r="L20" s="199">
        <f>Sheet7!L12</f>
        <v>0</v>
      </c>
      <c r="M20" s="198">
        <f>Sheet7!M12</f>
        <v>0</v>
      </c>
      <c r="N20" s="199">
        <f>Sheet7!N12</f>
        <v>3</v>
      </c>
      <c r="O20" s="198">
        <f>Sheet7!O12</f>
        <v>2</v>
      </c>
      <c r="P20" s="199">
        <f>Sheet7!P12</f>
        <v>2</v>
      </c>
      <c r="Q20" s="199">
        <f>Sheet7!Q12</f>
        <v>0</v>
      </c>
      <c r="R20" s="198">
        <f>Sheet7!R12</f>
        <v>3</v>
      </c>
      <c r="S20" s="198">
        <f>Sheet7!S12</f>
        <v>3</v>
      </c>
      <c r="T20" s="198">
        <f>Sheet7!T12</f>
        <v>0</v>
      </c>
      <c r="U20" s="199">
        <f>Sheet7!U12</f>
        <v>4</v>
      </c>
      <c r="V20" s="199">
        <f>Sheet7!V12</f>
        <v>1</v>
      </c>
      <c r="W20" s="199">
        <f>Sheet7!W12</f>
        <v>2</v>
      </c>
      <c r="X20" s="198">
        <f>Sheet7!X12</f>
        <v>1</v>
      </c>
      <c r="Y20" s="199">
        <f>Sheet7!Y12</f>
        <v>1</v>
      </c>
      <c r="Z20" s="199"/>
      <c r="AA20" s="585">
        <f t="shared" ref="AA20:AA22" si="1">SUM(B20:Z20)</f>
        <v>37</v>
      </c>
      <c r="AB20" s="4"/>
    </row>
    <row r="21" spans="1:28" ht="13.5" customHeight="1" x14ac:dyDescent="0.2">
      <c r="A21" s="29" t="str">
        <f>Sheet7!A13</f>
        <v>2018-19</v>
      </c>
      <c r="B21" s="126">
        <f>Sheet7!B13</f>
        <v>0</v>
      </c>
      <c r="C21" s="199">
        <f>Sheet7!C13</f>
        <v>0</v>
      </c>
      <c r="D21" s="198">
        <f>Sheet7!D13</f>
        <v>3</v>
      </c>
      <c r="E21" s="198">
        <f>Sheet7!E13</f>
        <v>2</v>
      </c>
      <c r="F21" s="198">
        <f>Sheet7!F13</f>
        <v>3</v>
      </c>
      <c r="G21" s="198">
        <f>Sheet7!G13</f>
        <v>3</v>
      </c>
      <c r="H21" s="198">
        <f>Sheet7!H13</f>
        <v>1</v>
      </c>
      <c r="I21" s="199">
        <f>Sheet7!I13</f>
        <v>4</v>
      </c>
      <c r="J21" s="198">
        <f>Sheet7!J13</f>
        <v>0</v>
      </c>
      <c r="K21" s="199">
        <f>Sheet7!K13</f>
        <v>0</v>
      </c>
      <c r="L21" s="199">
        <f>Sheet7!L13</f>
        <v>0</v>
      </c>
      <c r="M21" s="198">
        <f>Sheet7!M13</f>
        <v>0</v>
      </c>
      <c r="N21" s="199">
        <f>Sheet7!N13</f>
        <v>3</v>
      </c>
      <c r="O21" s="198">
        <f>Sheet7!O13</f>
        <v>2</v>
      </c>
      <c r="P21" s="199">
        <f>Sheet7!P13</f>
        <v>0</v>
      </c>
      <c r="Q21" s="199">
        <f>Sheet7!Q13</f>
        <v>4</v>
      </c>
      <c r="R21" s="198">
        <f>Sheet7!R13</f>
        <v>3</v>
      </c>
      <c r="S21" s="198">
        <f>Sheet7!S13</f>
        <v>0</v>
      </c>
      <c r="T21" s="198">
        <f>Sheet7!T13</f>
        <v>1</v>
      </c>
      <c r="U21" s="199">
        <f>Sheet7!U13</f>
        <v>1</v>
      </c>
      <c r="V21" s="199">
        <f>Sheet7!V13</f>
        <v>2</v>
      </c>
      <c r="W21" s="199">
        <f>Sheet7!W13</f>
        <v>3</v>
      </c>
      <c r="X21" s="198">
        <f>Sheet7!X13</f>
        <v>3</v>
      </c>
      <c r="Y21" s="199">
        <f>Sheet7!Y13</f>
        <v>2</v>
      </c>
      <c r="Z21" s="199"/>
      <c r="AA21" s="585">
        <f t="shared" si="1"/>
        <v>40</v>
      </c>
      <c r="AB21" s="4"/>
    </row>
    <row r="22" spans="1:28" ht="13.5" customHeight="1" x14ac:dyDescent="0.2">
      <c r="A22" s="29" t="str">
        <f>Sheet7!A14</f>
        <v>2019-20</v>
      </c>
      <c r="B22" s="126">
        <f>Sheet7!B14</f>
        <v>1</v>
      </c>
      <c r="C22" s="199">
        <f>Sheet7!C14</f>
        <v>3</v>
      </c>
      <c r="D22" s="198">
        <f>Sheet7!D14</f>
        <v>1</v>
      </c>
      <c r="E22" s="198">
        <f>Sheet7!E14</f>
        <v>0</v>
      </c>
      <c r="F22" s="198">
        <f>Sheet7!F14</f>
        <v>1</v>
      </c>
      <c r="G22" s="198">
        <f>Sheet7!G14</f>
        <v>1</v>
      </c>
      <c r="H22" s="198">
        <f>Sheet7!H14</f>
        <v>0</v>
      </c>
      <c r="I22" s="199">
        <f>Sheet7!I14</f>
        <v>0</v>
      </c>
      <c r="J22" s="198">
        <f>Sheet7!J14</f>
        <v>1</v>
      </c>
      <c r="K22" s="199">
        <f>Sheet7!K14</f>
        <v>2</v>
      </c>
      <c r="L22" s="199">
        <f>Sheet7!L14</f>
        <v>0</v>
      </c>
      <c r="M22" s="198">
        <f>Sheet7!M14</f>
        <v>0</v>
      </c>
      <c r="N22" s="199">
        <f>Sheet7!N14</f>
        <v>1</v>
      </c>
      <c r="O22" s="198">
        <f>Sheet7!O14</f>
        <v>1</v>
      </c>
      <c r="P22" s="199">
        <f>Sheet7!P14</f>
        <v>2</v>
      </c>
      <c r="Q22" s="199">
        <f>Sheet7!Q14</f>
        <v>0</v>
      </c>
      <c r="R22" s="198">
        <f>Sheet7!R14</f>
        <v>2</v>
      </c>
      <c r="S22" s="198">
        <f>Sheet7!S14</f>
        <v>0</v>
      </c>
      <c r="T22" s="198">
        <f>Sheet7!T14</f>
        <v>2</v>
      </c>
      <c r="U22" s="199">
        <f>Sheet7!U14</f>
        <v>1</v>
      </c>
      <c r="V22" s="199">
        <f>Sheet7!V14</f>
        <v>0</v>
      </c>
      <c r="W22" s="199">
        <f>Sheet7!W14</f>
        <v>0</v>
      </c>
      <c r="X22" s="198">
        <f>Sheet7!X14</f>
        <v>1</v>
      </c>
      <c r="Y22" s="199">
        <f>Sheet7!Y14</f>
        <v>1</v>
      </c>
      <c r="Z22" s="199"/>
      <c r="AA22" s="585">
        <f t="shared" si="1"/>
        <v>21</v>
      </c>
      <c r="AB22" s="4"/>
    </row>
    <row r="23" spans="1:28" ht="13.5" customHeight="1" thickBot="1" x14ac:dyDescent="0.25">
      <c r="A23" s="380" t="str">
        <f>Sheet7!A15</f>
        <v>2020-21</v>
      </c>
      <c r="B23" s="702">
        <f>Sheet7!B15</f>
        <v>4</v>
      </c>
      <c r="C23" s="823">
        <f>Sheet7!C15</f>
        <v>0</v>
      </c>
      <c r="D23" s="827">
        <f>Sheet7!D15</f>
        <v>1</v>
      </c>
      <c r="E23" s="827">
        <f>Sheet7!E15</f>
        <v>4</v>
      </c>
      <c r="F23" s="827">
        <f>Sheet7!F15</f>
        <v>1</v>
      </c>
      <c r="G23" s="827">
        <f>Sheet7!G15</f>
        <v>1</v>
      </c>
      <c r="H23" s="827">
        <f>Sheet7!H15</f>
        <v>1</v>
      </c>
      <c r="I23" s="823">
        <f>Sheet7!I15</f>
        <v>1</v>
      </c>
      <c r="J23" s="827">
        <f>Sheet7!J15</f>
        <v>1</v>
      </c>
      <c r="K23" s="823">
        <f>Sheet7!K15</f>
        <v>0</v>
      </c>
      <c r="L23" s="823">
        <f>Sheet7!L15</f>
        <v>1</v>
      </c>
      <c r="M23" s="827">
        <f>Sheet7!M15</f>
        <v>2</v>
      </c>
      <c r="N23" s="823">
        <f>Sheet7!N15</f>
        <v>3</v>
      </c>
      <c r="O23" s="827">
        <f>Sheet7!O15</f>
        <v>2</v>
      </c>
      <c r="P23" s="823">
        <f>Sheet7!P15</f>
        <v>1</v>
      </c>
      <c r="Q23" s="823">
        <f>Sheet7!Q15</f>
        <v>3</v>
      </c>
      <c r="R23" s="827">
        <f>Sheet7!R15</f>
        <v>1</v>
      </c>
      <c r="S23" s="827">
        <f>Sheet7!S15</f>
        <v>2</v>
      </c>
      <c r="T23" s="827">
        <f>Sheet7!T15</f>
        <v>2</v>
      </c>
      <c r="U23" s="823">
        <f>Sheet7!U15</f>
        <v>0</v>
      </c>
      <c r="V23" s="823">
        <f>Sheet7!V15</f>
        <v>3</v>
      </c>
      <c r="W23" s="823">
        <f>Sheet7!W15</f>
        <v>5</v>
      </c>
      <c r="X23" s="827">
        <f>Sheet7!X15</f>
        <v>2</v>
      </c>
      <c r="Y23" s="823">
        <f>Sheet7!Y15</f>
        <v>3</v>
      </c>
      <c r="Z23" s="823"/>
      <c r="AA23" s="828">
        <f t="shared" ref="AA23" si="2">SUM(B23:Z23)</f>
        <v>44</v>
      </c>
      <c r="AB23" s="4"/>
    </row>
    <row r="24" spans="1:28" ht="13.5" customHeight="1" x14ac:dyDescent="0.2">
      <c r="A24" s="29"/>
      <c r="B24" s="126"/>
      <c r="C24" s="199"/>
      <c r="D24" s="198"/>
      <c r="E24" s="198"/>
      <c r="F24" s="198"/>
      <c r="G24" s="198"/>
      <c r="H24" s="198"/>
      <c r="I24" s="199"/>
      <c r="J24" s="198"/>
      <c r="K24" s="199"/>
      <c r="L24" s="199"/>
      <c r="M24" s="198"/>
      <c r="N24" s="199"/>
      <c r="O24" s="198"/>
      <c r="P24" s="199"/>
      <c r="Q24" s="199"/>
      <c r="R24" s="198"/>
      <c r="S24" s="198"/>
      <c r="T24" s="198"/>
      <c r="U24" s="199"/>
      <c r="V24" s="199"/>
      <c r="W24" s="199"/>
      <c r="X24" s="198"/>
      <c r="Y24" s="199"/>
      <c r="Z24" s="199"/>
      <c r="AA24" s="585"/>
      <c r="AB24" s="4"/>
    </row>
    <row r="25" spans="1:28" ht="13.5" customHeight="1" thickBot="1" x14ac:dyDescent="0.25">
      <c r="A25" s="726" t="s">
        <v>814</v>
      </c>
      <c r="B25" s="829">
        <f>AVERAGE(B10:B23)</f>
        <v>1.6428571428571428</v>
      </c>
      <c r="C25" s="829">
        <f t="shared" ref="C25:AA25" si="3">AVERAGE(C10:C23)</f>
        <v>1.8571428571428572</v>
      </c>
      <c r="D25" s="829">
        <f t="shared" si="3"/>
        <v>2.5</v>
      </c>
      <c r="E25" s="829">
        <f t="shared" si="3"/>
        <v>2.0714285714285716</v>
      </c>
      <c r="F25" s="829">
        <f t="shared" si="3"/>
        <v>1.7142857142857142</v>
      </c>
      <c r="G25" s="829">
        <f t="shared" si="3"/>
        <v>1.9285714285714286</v>
      </c>
      <c r="H25" s="829">
        <f t="shared" si="3"/>
        <v>1.1428571428571428</v>
      </c>
      <c r="I25" s="829">
        <f t="shared" si="3"/>
        <v>2.3571428571428572</v>
      </c>
      <c r="J25" s="829">
        <f t="shared" si="3"/>
        <v>1.5</v>
      </c>
      <c r="K25" s="829">
        <f t="shared" si="3"/>
        <v>1</v>
      </c>
      <c r="L25" s="829">
        <f t="shared" si="3"/>
        <v>1.2857142857142858</v>
      </c>
      <c r="M25" s="829">
        <f t="shared" si="3"/>
        <v>1.2142857142857142</v>
      </c>
      <c r="N25" s="829">
        <f t="shared" si="3"/>
        <v>1.6428571428571428</v>
      </c>
      <c r="O25" s="829">
        <f t="shared" si="3"/>
        <v>1.7142857142857142</v>
      </c>
      <c r="P25" s="829">
        <f t="shared" si="3"/>
        <v>1.2142857142857142</v>
      </c>
      <c r="Q25" s="829">
        <f t="shared" si="3"/>
        <v>1.8571428571428572</v>
      </c>
      <c r="R25" s="829">
        <f t="shared" si="3"/>
        <v>2.4285714285714284</v>
      </c>
      <c r="S25" s="829">
        <f t="shared" si="3"/>
        <v>1.3571428571428572</v>
      </c>
      <c r="T25" s="829">
        <f t="shared" si="3"/>
        <v>2.3571428571428572</v>
      </c>
      <c r="U25" s="829">
        <f t="shared" si="3"/>
        <v>1.7857142857142858</v>
      </c>
      <c r="V25" s="829">
        <f t="shared" si="3"/>
        <v>1.6428571428571428</v>
      </c>
      <c r="W25" s="829">
        <f t="shared" si="3"/>
        <v>1.7142857142857142</v>
      </c>
      <c r="X25" s="829">
        <f t="shared" si="3"/>
        <v>1.7142857142857142</v>
      </c>
      <c r="Y25" s="829">
        <f t="shared" si="3"/>
        <v>1.6428571428571428</v>
      </c>
      <c r="Z25" s="829"/>
      <c r="AA25" s="829">
        <f t="shared" si="3"/>
        <v>41.285714285714285</v>
      </c>
      <c r="AB25" s="4"/>
    </row>
    <row r="26" spans="1:28" x14ac:dyDescent="0.2">
      <c r="A26" s="239"/>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ht="14.25" x14ac:dyDescent="0.2">
      <c r="AA27" s="60" t="s">
        <v>57</v>
      </c>
      <c r="AB27" s="1"/>
    </row>
    <row r="28" spans="1:28" ht="18.75" customHeight="1" x14ac:dyDescent="0.2">
      <c r="A28" s="1357" t="s">
        <v>4</v>
      </c>
      <c r="B28" s="1298" t="s">
        <v>323</v>
      </c>
      <c r="C28" s="1298"/>
      <c r="D28" s="1298"/>
      <c r="E28" s="1298"/>
      <c r="F28" s="1298"/>
      <c r="G28" s="1298"/>
      <c r="H28" s="1298"/>
      <c r="I28" s="1298"/>
      <c r="J28" s="1298"/>
      <c r="K28" s="1298"/>
      <c r="L28" s="1298"/>
      <c r="M28" s="1298"/>
      <c r="N28" s="1298"/>
      <c r="O28" s="1298"/>
      <c r="P28" s="1298"/>
      <c r="Q28" s="1298"/>
      <c r="R28" s="1298"/>
      <c r="S28" s="1298"/>
      <c r="T28" s="1298"/>
      <c r="U28" s="1298"/>
      <c r="V28" s="1298"/>
      <c r="W28" s="1298"/>
      <c r="X28" s="1298"/>
      <c r="Y28" s="1298"/>
      <c r="Z28" s="1298"/>
      <c r="AA28" s="1358" t="s">
        <v>324</v>
      </c>
      <c r="AB28" s="1"/>
    </row>
    <row r="29" spans="1:28" ht="18.75" customHeight="1" x14ac:dyDescent="0.2">
      <c r="A29" s="1357"/>
      <c r="B29" s="201" t="s">
        <v>251</v>
      </c>
      <c r="C29" s="201" t="s">
        <v>225</v>
      </c>
      <c r="D29" s="201" t="s">
        <v>226</v>
      </c>
      <c r="E29" s="201" t="s">
        <v>227</v>
      </c>
      <c r="F29" s="201" t="s">
        <v>228</v>
      </c>
      <c r="G29" s="201" t="s">
        <v>229</v>
      </c>
      <c r="H29" s="201" t="s">
        <v>230</v>
      </c>
      <c r="I29" s="201" t="s">
        <v>231</v>
      </c>
      <c r="J29" s="201" t="s">
        <v>232</v>
      </c>
      <c r="K29" s="201" t="s">
        <v>233</v>
      </c>
      <c r="L29" s="201" t="s">
        <v>234</v>
      </c>
      <c r="M29" s="201" t="s">
        <v>235</v>
      </c>
      <c r="N29" s="201" t="s">
        <v>257</v>
      </c>
      <c r="O29" s="201" t="s">
        <v>236</v>
      </c>
      <c r="P29" s="201" t="s">
        <v>237</v>
      </c>
      <c r="Q29" s="201" t="s">
        <v>238</v>
      </c>
      <c r="R29" s="201" t="s">
        <v>239</v>
      </c>
      <c r="S29" s="201" t="s">
        <v>240</v>
      </c>
      <c r="T29" s="201" t="s">
        <v>241</v>
      </c>
      <c r="U29" s="201" t="s">
        <v>242</v>
      </c>
      <c r="V29" s="201" t="s">
        <v>243</v>
      </c>
      <c r="W29" s="201" t="s">
        <v>244</v>
      </c>
      <c r="X29" s="201" t="s">
        <v>245</v>
      </c>
      <c r="Y29" s="201" t="s">
        <v>246</v>
      </c>
      <c r="Z29" s="201" t="s">
        <v>201</v>
      </c>
      <c r="AA29" s="1358"/>
      <c r="AB29" s="1"/>
    </row>
    <row r="30" spans="1:28" ht="18.75" customHeight="1" x14ac:dyDescent="0.2">
      <c r="A30" s="826" t="s">
        <v>16</v>
      </c>
      <c r="B30" s="202">
        <f>B10/'Time of Call'!B27*1000</f>
        <v>7.6628352490421454</v>
      </c>
      <c r="C30" s="202">
        <f>C10/'Time of Call'!C27*1000</f>
        <v>24.875621890547265</v>
      </c>
      <c r="D30" s="202">
        <f>D10/'Time of Call'!D27*1000</f>
        <v>22.099447513812155</v>
      </c>
      <c r="E30" s="202">
        <f>E10/'Time of Call'!E27*1000</f>
        <v>6.8965517241379306</v>
      </c>
      <c r="F30" s="202">
        <f>F10/'Time of Call'!F27*1000</f>
        <v>20.833333333333332</v>
      </c>
      <c r="G30" s="202">
        <f>G10/'Time of Call'!G27*1000</f>
        <v>8.9285714285714288</v>
      </c>
      <c r="H30" s="202">
        <f>H10/'Time of Call'!H27*1000</f>
        <v>9.0090090090090094</v>
      </c>
      <c r="I30" s="202">
        <f>I10/'Time of Call'!I27*1000</f>
        <v>43.859649122807014</v>
      </c>
      <c r="J30" s="202">
        <f>J10/'Time of Call'!J27*1000</f>
        <v>15.384615384615385</v>
      </c>
      <c r="K30" s="202">
        <f>K10/'Time of Call'!K27*1000</f>
        <v>15.544041450777202</v>
      </c>
      <c r="L30" s="202">
        <f>L10/'Time of Call'!L27*1000</f>
        <v>9.4339622641509422</v>
      </c>
      <c r="M30" s="202">
        <f>M10/'Time of Call'!M27*1000</f>
        <v>0</v>
      </c>
      <c r="N30" s="202">
        <f>N10/'Time of Call'!N27*1000</f>
        <v>3.3444816053511706</v>
      </c>
      <c r="O30" s="202">
        <f>O10/'Time of Call'!O27*1000</f>
        <v>18.115942028985508</v>
      </c>
      <c r="P30" s="202">
        <f>P10/'Time of Call'!P27*1000</f>
        <v>3.3444816053511706</v>
      </c>
      <c r="Q30" s="202">
        <f>Q10/'Time of Call'!Q27*1000</f>
        <v>9.375</v>
      </c>
      <c r="R30" s="202">
        <f>R10/'Time of Call'!R27*1000</f>
        <v>6.1349693251533743</v>
      </c>
      <c r="S30" s="202">
        <f>S10/'Time of Call'!S27*1000</f>
        <v>3.6363636363636362</v>
      </c>
      <c r="T30" s="202">
        <f>T10/'Time of Call'!T27*1000</f>
        <v>9.8425196850393704</v>
      </c>
      <c r="U30" s="202">
        <f>U10/'Time of Call'!U27*1000</f>
        <v>2.0533880903490762</v>
      </c>
      <c r="V30" s="202">
        <f>V10/'Time of Call'!V27*1000</f>
        <v>9.8765432098765427</v>
      </c>
      <c r="W30" s="202">
        <f>W10/'Time of Call'!W27*1000</f>
        <v>0</v>
      </c>
      <c r="X30" s="202">
        <f>X10/'Time of Call'!X27*1000</f>
        <v>3.2051282051282048</v>
      </c>
      <c r="Y30" s="202">
        <f>Y10/'Time of Call'!Y27*1000</f>
        <v>10.830324909747292</v>
      </c>
      <c r="Z30" s="202"/>
      <c r="AA30" s="830">
        <f>AA10/'Time of Call'!AA27*1000</f>
        <v>8.6995650217489136</v>
      </c>
      <c r="AB30" s="1"/>
    </row>
    <row r="31" spans="1:28" ht="13.5" customHeight="1" x14ac:dyDescent="0.2">
      <c r="A31" s="346" t="s">
        <v>18</v>
      </c>
      <c r="B31" s="203">
        <f>B11/'Time of Call'!B28*1000</f>
        <v>3.8461538461538463</v>
      </c>
      <c r="C31" s="203">
        <f>C11/'Time of Call'!C28*1000</f>
        <v>0</v>
      </c>
      <c r="D31" s="203">
        <f>D11/'Time of Call'!D28*1000</f>
        <v>14.285714285714285</v>
      </c>
      <c r="E31" s="203">
        <f>E11/'Time of Call'!E28*1000</f>
        <v>23.255813953488371</v>
      </c>
      <c r="F31" s="203">
        <f>F11/'Time of Call'!F28*1000</f>
        <v>40</v>
      </c>
      <c r="G31" s="203">
        <f>G11/'Time of Call'!G28*1000</f>
        <v>32.967032967032971</v>
      </c>
      <c r="H31" s="203">
        <f>H11/'Time of Call'!H28*1000</f>
        <v>8.4033613445378155</v>
      </c>
      <c r="I31" s="203">
        <f>I11/'Time of Call'!I28*1000</f>
        <v>45.454545454545453</v>
      </c>
      <c r="J31" s="203">
        <f>J11/'Time of Call'!J28*1000</f>
        <v>13.793103448275861</v>
      </c>
      <c r="K31" s="203">
        <f>K11/'Time of Call'!K28*1000</f>
        <v>0</v>
      </c>
      <c r="L31" s="203">
        <f>L11/'Time of Call'!L28*1000</f>
        <v>5</v>
      </c>
      <c r="M31" s="203">
        <f>M11/'Time of Call'!M28*1000</f>
        <v>3.6900369003690034</v>
      </c>
      <c r="N31" s="203">
        <f>N11/'Time of Call'!N28*1000</f>
        <v>10.135135135135135</v>
      </c>
      <c r="O31" s="203">
        <f>O11/'Time of Call'!O28*1000</f>
        <v>3.3222591362126246</v>
      </c>
      <c r="P31" s="203">
        <f>P11/'Time of Call'!P28*1000</f>
        <v>6.7114093959731544</v>
      </c>
      <c r="Q31" s="203">
        <f>Q11/'Time of Call'!Q28*1000</f>
        <v>8.1743869209809255</v>
      </c>
      <c r="R31" s="203">
        <f>R11/'Time of Call'!R28*1000</f>
        <v>10.362694300518134</v>
      </c>
      <c r="S31" s="203">
        <f>S11/'Time of Call'!S28*1000</f>
        <v>1.8832391713747645</v>
      </c>
      <c r="T31" s="203">
        <f>T11/'Time of Call'!T28*1000</f>
        <v>3.8986354775828458</v>
      </c>
      <c r="U31" s="203">
        <f>U11/'Time of Call'!U28*1000</f>
        <v>7.6628352490421454</v>
      </c>
      <c r="V31" s="203">
        <f>V11/'Time of Call'!V28*1000</f>
        <v>10.025062656641603</v>
      </c>
      <c r="W31" s="203">
        <f>W11/'Time of Call'!W28*1000</f>
        <v>8.8235294117647065</v>
      </c>
      <c r="X31" s="203">
        <f>X11/'Time of Call'!X28*1000</f>
        <v>5.7471264367816088</v>
      </c>
      <c r="Y31" s="203">
        <f>Y11/'Time of Call'!Y28*1000</f>
        <v>0</v>
      </c>
      <c r="Z31" s="203"/>
      <c r="AA31" s="586">
        <f>AA11/'Time of Call'!AA28*1000</f>
        <v>8.0560942861405351</v>
      </c>
      <c r="AB31" s="1"/>
    </row>
    <row r="32" spans="1:28" ht="13.5" customHeight="1" x14ac:dyDescent="0.2">
      <c r="A32" s="346" t="str">
        <f>Sheet7!A4</f>
        <v>2009-10</v>
      </c>
      <c r="B32" s="203">
        <f>B12/'Time of Call'!B29*1000</f>
        <v>16.528925619834713</v>
      </c>
      <c r="C32" s="203">
        <f>C12/'Time of Call'!C29*1000</f>
        <v>18.867924528301884</v>
      </c>
      <c r="D32" s="203">
        <f>D12/'Time of Call'!D29*1000</f>
        <v>34.482758620689651</v>
      </c>
      <c r="E32" s="203">
        <f>E12/'Time of Call'!E29*1000</f>
        <v>17.142857142857142</v>
      </c>
      <c r="F32" s="203">
        <f>F12/'Time of Call'!F29*1000</f>
        <v>22.388059701492537</v>
      </c>
      <c r="G32" s="203">
        <f>G12/'Time of Call'!G29*1000</f>
        <v>10.989010989010989</v>
      </c>
      <c r="H32" s="203">
        <f>H12/'Time of Call'!H29*1000</f>
        <v>11.904761904761903</v>
      </c>
      <c r="I32" s="203">
        <f>I12/'Time of Call'!I29*1000</f>
        <v>0</v>
      </c>
      <c r="J32" s="203">
        <f>J12/'Time of Call'!J29*1000</f>
        <v>18.518518518518519</v>
      </c>
      <c r="K32" s="203">
        <f>K12/'Time of Call'!K29*1000</f>
        <v>0</v>
      </c>
      <c r="L32" s="203">
        <f>L12/'Time of Call'!L29*1000</f>
        <v>0</v>
      </c>
      <c r="M32" s="203">
        <f>M12/'Time of Call'!M29*1000</f>
        <v>11.904761904761903</v>
      </c>
      <c r="N32" s="203">
        <f>N12/'Time of Call'!N29*1000</f>
        <v>0</v>
      </c>
      <c r="O32" s="203">
        <f>O12/'Time of Call'!O29*1000</f>
        <v>6.25</v>
      </c>
      <c r="P32" s="203">
        <f>P12/'Time of Call'!P29*1000</f>
        <v>0</v>
      </c>
      <c r="Q32" s="203">
        <f>Q12/'Time of Call'!Q29*1000</f>
        <v>0</v>
      </c>
      <c r="R32" s="203">
        <f>R12/'Time of Call'!R29*1000</f>
        <v>9.5693779904306222</v>
      </c>
      <c r="S32" s="203">
        <f>S12/'Time of Call'!S29*1000</f>
        <v>4.0404040404040407</v>
      </c>
      <c r="T32" s="203">
        <f>T12/'Time of Call'!T29*1000</f>
        <v>15.122873345935728</v>
      </c>
      <c r="U32" s="203">
        <f>U12/'Time of Call'!U29*1000</f>
        <v>6.3829787234042552</v>
      </c>
      <c r="V32" s="203">
        <f>V12/'Time of Call'!V29*1000</f>
        <v>0</v>
      </c>
      <c r="W32" s="203">
        <f>W12/'Time of Call'!W29*1000</f>
        <v>0</v>
      </c>
      <c r="X32" s="203">
        <f>X12/'Time of Call'!X29*1000</f>
        <v>13.550135501355014</v>
      </c>
      <c r="Y32" s="203">
        <f>Y12/'Time of Call'!Y29*1000</f>
        <v>3.4602076124567476</v>
      </c>
      <c r="Z32" s="203"/>
      <c r="AA32" s="586">
        <f>AA12/'Time of Call'!AA29*1000</f>
        <v>8.0792682926829276</v>
      </c>
      <c r="AB32" s="1"/>
    </row>
    <row r="33" spans="1:28" ht="13.5" customHeight="1" x14ac:dyDescent="0.2">
      <c r="A33" s="2" t="str">
        <f>Sheet7!A5</f>
        <v>2010-11</v>
      </c>
      <c r="B33" s="203">
        <f>B13/'Time of Call'!B30*1000</f>
        <v>4.3478260869565215</v>
      </c>
      <c r="C33" s="203">
        <f>C13/'Time of Call'!C30*1000</f>
        <v>19.920318725099602</v>
      </c>
      <c r="D33" s="203">
        <f>D13/'Time of Call'!D30*1000</f>
        <v>11.049723756906078</v>
      </c>
      <c r="E33" s="203">
        <f>E13/'Time of Call'!E30*1000</f>
        <v>31.645569620253166</v>
      </c>
      <c r="F33" s="203">
        <f>F13/'Time of Call'!F30*1000</f>
        <v>17.094017094017097</v>
      </c>
      <c r="G33" s="203">
        <f>G13/'Time of Call'!G30*1000</f>
        <v>23.809523809523807</v>
      </c>
      <c r="H33" s="203">
        <f>H13/'Time of Call'!H30*1000</f>
        <v>37.037037037037038</v>
      </c>
      <c r="I33" s="203">
        <f>I13/'Time of Call'!I30*1000</f>
        <v>19.801980198019802</v>
      </c>
      <c r="J33" s="203">
        <f>J13/'Time of Call'!J30*1000</f>
        <v>9.2592592592592595</v>
      </c>
      <c r="K33" s="203">
        <f>K13/'Time of Call'!K30*1000</f>
        <v>0</v>
      </c>
      <c r="L33" s="203">
        <f>L13/'Time of Call'!L30*1000</f>
        <v>10.810810810810811</v>
      </c>
      <c r="M33" s="203">
        <f>M13/'Time of Call'!M30*1000</f>
        <v>4.3859649122807012</v>
      </c>
      <c r="N33" s="203">
        <f>N13/'Time of Call'!N30*1000</f>
        <v>3.4364261168384878</v>
      </c>
      <c r="O33" s="203">
        <f>O13/'Time of Call'!O30*1000</f>
        <v>7.0671378091872787</v>
      </c>
      <c r="P33" s="203">
        <f>P13/'Time of Call'!P30*1000</f>
        <v>6.1919504643962853</v>
      </c>
      <c r="Q33" s="203">
        <f>Q13/'Time of Call'!Q30*1000</f>
        <v>3.2362459546925568</v>
      </c>
      <c r="R33" s="203">
        <f>R13/'Time of Call'!R30*1000</f>
        <v>2.3529411764705879</v>
      </c>
      <c r="S33" s="203">
        <f>S13/'Time of Call'!S30*1000</f>
        <v>6.1475409836065573</v>
      </c>
      <c r="T33" s="203">
        <f>T13/'Time of Call'!T30*1000</f>
        <v>0</v>
      </c>
      <c r="U33" s="203">
        <f>U13/'Time of Call'!U30*1000</f>
        <v>0</v>
      </c>
      <c r="V33" s="203">
        <f>V13/'Time of Call'!V30*1000</f>
        <v>2.5706940874035986</v>
      </c>
      <c r="W33" s="203">
        <f>W13/'Time of Call'!W30*1000</f>
        <v>2.8653295128939829</v>
      </c>
      <c r="X33" s="203">
        <f>X13/'Time of Call'!X30*1000</f>
        <v>3.1446540880503147</v>
      </c>
      <c r="Y33" s="203">
        <f>Y13/'Time of Call'!Y30*1000</f>
        <v>18.050541516245488</v>
      </c>
      <c r="Z33" s="203"/>
      <c r="AA33" s="586">
        <f>AA13/'Time of Call'!AA30*1000</f>
        <v>7.1508024789448585</v>
      </c>
      <c r="AB33" s="1"/>
    </row>
    <row r="34" spans="1:28" ht="13.5" customHeight="1" x14ac:dyDescent="0.2">
      <c r="A34" s="29" t="str">
        <f>Sheet7!A6</f>
        <v>2011-12</v>
      </c>
      <c r="B34" s="203">
        <f>B14/'Time of Call'!B31*1000</f>
        <v>4.0650406504065044</v>
      </c>
      <c r="C34" s="203">
        <f>C14/'Time of Call'!C31*1000</f>
        <v>9.8522167487684733</v>
      </c>
      <c r="D34" s="203">
        <f>D14/'Time of Call'!D31*1000</f>
        <v>22.471910112359549</v>
      </c>
      <c r="E34" s="203">
        <f>E14/'Time of Call'!E31*1000</f>
        <v>19.480519480519479</v>
      </c>
      <c r="F34" s="203">
        <f>F14/'Time of Call'!F31*1000</f>
        <v>14.598540145985401</v>
      </c>
      <c r="G34" s="203">
        <f>G14/'Time of Call'!G31*1000</f>
        <v>29.702970297029701</v>
      </c>
      <c r="H34" s="203">
        <f>H14/'Time of Call'!H31*1000</f>
        <v>11.627906976744185</v>
      </c>
      <c r="I34" s="203">
        <f>I14/'Time of Call'!I31*1000</f>
        <v>21.505376344086024</v>
      </c>
      <c r="J34" s="203">
        <f>J14/'Time of Call'!J31*1000</f>
        <v>15.748031496062993</v>
      </c>
      <c r="K34" s="203">
        <f>K14/'Time of Call'!K31*1000</f>
        <v>0</v>
      </c>
      <c r="L34" s="203">
        <f>L14/'Time of Call'!L31*1000</f>
        <v>15.075376884422109</v>
      </c>
      <c r="M34" s="203">
        <f>M14/'Time of Call'!M31*1000</f>
        <v>12.658227848101266</v>
      </c>
      <c r="N34" s="203">
        <f>N14/'Time of Call'!N31*1000</f>
        <v>15.810276679841897</v>
      </c>
      <c r="O34" s="203">
        <f>O14/'Time of Call'!O31*1000</f>
        <v>3.4246575342465753</v>
      </c>
      <c r="P34" s="203">
        <f>P14/'Time of Call'!P31*1000</f>
        <v>3.7174721189591078</v>
      </c>
      <c r="Q34" s="203">
        <f>Q14/'Time of Call'!Q31*1000</f>
        <v>6.0790273556231007</v>
      </c>
      <c r="R34" s="203">
        <f>R14/'Time of Call'!R31*1000</f>
        <v>9.5465393794749414</v>
      </c>
      <c r="S34" s="203">
        <f>S14/'Time of Call'!S31*1000</f>
        <v>4.1753653444676404</v>
      </c>
      <c r="T34" s="203">
        <f>T14/'Time of Call'!T31*1000</f>
        <v>0</v>
      </c>
      <c r="U34" s="203">
        <f>U14/'Time of Call'!U31*1000</f>
        <v>2.2075055187637971</v>
      </c>
      <c r="V34" s="203">
        <f>V14/'Time of Call'!V31*1000</f>
        <v>2.3640661938534278</v>
      </c>
      <c r="W34" s="203">
        <f>W14/'Time of Call'!W31*1000</f>
        <v>8.7719298245614024</v>
      </c>
      <c r="X34" s="203">
        <f>X14/'Time of Call'!X31*1000</f>
        <v>17.857142857142858</v>
      </c>
      <c r="Y34" s="203">
        <f>Y14/'Time of Call'!Y31*1000</f>
        <v>3.8759689922480618</v>
      </c>
      <c r="Z34" s="203"/>
      <c r="AA34" s="586">
        <f>AA14/'Time of Call'!AA31*1000</f>
        <v>8.2832548318986525</v>
      </c>
      <c r="AB34" s="1"/>
    </row>
    <row r="35" spans="1:28" ht="13.5" customHeight="1" x14ac:dyDescent="0.2">
      <c r="A35" s="29" t="str">
        <f>Sheet7!A7</f>
        <v>2012-13</v>
      </c>
      <c r="B35" s="203">
        <f>B15/'Time of Call'!B32*1000</f>
        <v>4.5871559633027523</v>
      </c>
      <c r="C35" s="203">
        <f>C15/'Time of Call'!C32*1000</f>
        <v>5.4644808743169397</v>
      </c>
      <c r="D35" s="203">
        <f>D15/'Time of Call'!D32*1000</f>
        <v>18.75</v>
      </c>
      <c r="E35" s="203">
        <f>E15/'Time of Call'!E32*1000</f>
        <v>16.129032258064516</v>
      </c>
      <c r="F35" s="203">
        <f>F15/'Time of Call'!F32*1000</f>
        <v>10.309278350515465</v>
      </c>
      <c r="G35" s="203">
        <f>G15/'Time of Call'!G32*1000</f>
        <v>48.07692307692308</v>
      </c>
      <c r="H35" s="203">
        <f>H15/'Time of Call'!H32*1000</f>
        <v>12.820512820512819</v>
      </c>
      <c r="I35" s="203">
        <f>I15/'Time of Call'!I32*1000</f>
        <v>29.411764705882351</v>
      </c>
      <c r="J35" s="203">
        <f>J15/'Time of Call'!J32*1000</f>
        <v>16</v>
      </c>
      <c r="K35" s="203">
        <f>K15/'Time of Call'!K32*1000</f>
        <v>12.121212121212121</v>
      </c>
      <c r="L35" s="203">
        <f>L15/'Time of Call'!L32*1000</f>
        <v>21.978021978021978</v>
      </c>
      <c r="M35" s="203">
        <f>M15/'Time of Call'!M32*1000</f>
        <v>4.9019607843137258</v>
      </c>
      <c r="N35" s="203">
        <f>N15/'Time of Call'!N32*1000</f>
        <v>4.4843049327354256</v>
      </c>
      <c r="O35" s="203">
        <f>O15/'Time of Call'!O32*1000</f>
        <v>0</v>
      </c>
      <c r="P35" s="203">
        <f>P15/'Time of Call'!P32*1000</f>
        <v>3.5714285714285712</v>
      </c>
      <c r="Q35" s="203">
        <f>Q15/'Time of Call'!Q32*1000</f>
        <v>9.2307692307692317</v>
      </c>
      <c r="R35" s="203">
        <f>R15/'Time of Call'!R32*1000</f>
        <v>2.6178010471204192</v>
      </c>
      <c r="S35" s="203">
        <f>S15/'Time of Call'!S32*1000</f>
        <v>0</v>
      </c>
      <c r="T35" s="203">
        <f>T15/'Time of Call'!T32*1000</f>
        <v>4.2372881355932206</v>
      </c>
      <c r="U35" s="203">
        <f>U15/'Time of Call'!U32*1000</f>
        <v>0</v>
      </c>
      <c r="V35" s="203">
        <f>V15/'Time of Call'!V32*1000</f>
        <v>0</v>
      </c>
      <c r="W35" s="203">
        <f>W15/'Time of Call'!W32*1000</f>
        <v>6.430868167202572</v>
      </c>
      <c r="X35" s="203">
        <f>X15/'Time of Call'!X32*1000</f>
        <v>6.8965517241379306</v>
      </c>
      <c r="Y35" s="203">
        <f>Y15/'Time of Call'!Y32*1000</f>
        <v>8</v>
      </c>
      <c r="Z35" s="203"/>
      <c r="AA35" s="586">
        <f>AA15/'Time of Call'!AA32*1000</f>
        <v>6.8622405215302793</v>
      </c>
      <c r="AB35" s="1"/>
    </row>
    <row r="36" spans="1:28" ht="13.5" customHeight="1" x14ac:dyDescent="0.2">
      <c r="A36" s="29" t="str">
        <f>Sheet7!A8</f>
        <v>2013-14</v>
      </c>
      <c r="B36" s="203">
        <f>B16/'Time of Call'!B33*1000</f>
        <v>6.0975609756097562</v>
      </c>
      <c r="C36" s="203">
        <f>C16/'Time of Call'!C33*1000</f>
        <v>0</v>
      </c>
      <c r="D36" s="203">
        <f>D16/'Time of Call'!D33*1000</f>
        <v>7.4074074074074074</v>
      </c>
      <c r="E36" s="203">
        <f>E16/'Time of Call'!E33*1000</f>
        <v>17.094017094017097</v>
      </c>
      <c r="F36" s="203">
        <f>F16/'Time of Call'!F33*1000</f>
        <v>9.3457943925233646</v>
      </c>
      <c r="G36" s="203">
        <f>G16/'Time of Call'!G33*1000</f>
        <v>25.316455696202532</v>
      </c>
      <c r="H36" s="203">
        <f>H16/'Time of Call'!H33*1000</f>
        <v>12.195121951219512</v>
      </c>
      <c r="I36" s="203">
        <f>I16/'Time of Call'!I33*1000</f>
        <v>19.417475728155338</v>
      </c>
      <c r="J36" s="203">
        <f>J16/'Time of Call'!J33*1000</f>
        <v>19.607843137254903</v>
      </c>
      <c r="K36" s="203">
        <f>K16/'Time of Call'!K33*1000</f>
        <v>7.1942446043165473</v>
      </c>
      <c r="L36" s="203">
        <f>L16/'Time of Call'!L33*1000</f>
        <v>0</v>
      </c>
      <c r="M36" s="203">
        <f>M16/'Time of Call'!M33*1000</f>
        <v>0</v>
      </c>
      <c r="N36" s="203">
        <f>N16/'Time of Call'!N33*1000</f>
        <v>3.9682539682539679</v>
      </c>
      <c r="O36" s="203">
        <f>O16/'Time of Call'!O33*1000</f>
        <v>7.4906367041198498</v>
      </c>
      <c r="P36" s="203">
        <f>P16/'Time of Call'!P33*1000</f>
        <v>3.8022813688212929</v>
      </c>
      <c r="Q36" s="203">
        <f>Q16/'Time of Call'!Q33*1000</f>
        <v>0</v>
      </c>
      <c r="R36" s="203">
        <f>R16/'Time of Call'!R33*1000</f>
        <v>2.9498525073746311</v>
      </c>
      <c r="S36" s="203">
        <f>S16/'Time of Call'!S33*1000</f>
        <v>2.2026431718061676</v>
      </c>
      <c r="T36" s="203">
        <f>T16/'Time of Call'!T33*1000</f>
        <v>2.3640661938534278</v>
      </c>
      <c r="U36" s="203">
        <f>U16/'Time of Call'!U33*1000</f>
        <v>2.7397260273972601</v>
      </c>
      <c r="V36" s="203">
        <f>V16/'Time of Call'!V33*1000</f>
        <v>14.245014245014245</v>
      </c>
      <c r="W36" s="203">
        <f>W16/'Time of Call'!W33*1000</f>
        <v>6.9444444444444438</v>
      </c>
      <c r="X36" s="203">
        <f>X16/'Time of Call'!X33*1000</f>
        <v>0</v>
      </c>
      <c r="Y36" s="203">
        <f>Y16/'Time of Call'!Y33*1000</f>
        <v>4.9261083743842367</v>
      </c>
      <c r="Z36" s="203"/>
      <c r="AA36" s="586">
        <f>AA16/'Time of Call'!AA33*1000</f>
        <v>5.4480556077399962</v>
      </c>
      <c r="AB36" s="1"/>
    </row>
    <row r="37" spans="1:28" s="1" customFormat="1" ht="13.5" customHeight="1" x14ac:dyDescent="0.2">
      <c r="A37" s="29" t="str">
        <f>Sheet7!A9</f>
        <v>2014-15</v>
      </c>
      <c r="B37" s="203">
        <f>B17/'Time of Call'!B34*1000</f>
        <v>10.050251256281408</v>
      </c>
      <c r="C37" s="203">
        <f>C17/'Time of Call'!C34*1000</f>
        <v>0</v>
      </c>
      <c r="D37" s="203">
        <f>D17/'Time of Call'!D34*1000</f>
        <v>0</v>
      </c>
      <c r="E37" s="203">
        <f>E17/'Time of Call'!E34*1000</f>
        <v>8.9285714285714288</v>
      </c>
      <c r="F37" s="203">
        <f>F17/'Time of Call'!F34*1000</f>
        <v>8.8495575221238933</v>
      </c>
      <c r="G37" s="203">
        <f>G17/'Time of Call'!G34*1000</f>
        <v>0</v>
      </c>
      <c r="H37" s="203">
        <f>H17/'Time of Call'!H34*1000</f>
        <v>0</v>
      </c>
      <c r="I37" s="203">
        <f>I17/'Time of Call'!I34*1000</f>
        <v>21.739130434782609</v>
      </c>
      <c r="J37" s="203">
        <f>J17/'Time of Call'!J34*1000</f>
        <v>8.064516129032258</v>
      </c>
      <c r="K37" s="203">
        <f>K17/'Time of Call'!K34*1000</f>
        <v>13.071895424836601</v>
      </c>
      <c r="L37" s="203">
        <f>L17/'Time of Call'!L34*1000</f>
        <v>9.8039215686274517</v>
      </c>
      <c r="M37" s="203">
        <f>M17/'Time of Call'!M34*1000</f>
        <v>4.5248868778280551</v>
      </c>
      <c r="N37" s="203">
        <f>N17/'Time of Call'!N34*1000</f>
        <v>3.6101083032490977</v>
      </c>
      <c r="O37" s="203">
        <f>O17/'Time of Call'!O34*1000</f>
        <v>6.6006600660066006</v>
      </c>
      <c r="P37" s="203">
        <f>P17/'Time of Call'!P34*1000</f>
        <v>0</v>
      </c>
      <c r="Q37" s="203">
        <f>Q17/'Time of Call'!Q34*1000</f>
        <v>12.5</v>
      </c>
      <c r="R37" s="203">
        <f>R17/'Time of Call'!R34*1000</f>
        <v>2.8011204481792715</v>
      </c>
      <c r="S37" s="203">
        <f>S17/'Time of Call'!S34*1000</f>
        <v>0</v>
      </c>
      <c r="T37" s="203">
        <f>T17/'Time of Call'!T34*1000</f>
        <v>9.3676814988290396</v>
      </c>
      <c r="U37" s="203">
        <f>U17/'Time of Call'!U34*1000</f>
        <v>9.6385542168674707</v>
      </c>
      <c r="V37" s="203">
        <f>V17/'Time of Call'!V34*1000</f>
        <v>0</v>
      </c>
      <c r="W37" s="203">
        <f>W17/'Time of Call'!W34*1000</f>
        <v>6.7796610169491522</v>
      </c>
      <c r="X37" s="203">
        <f>X17/'Time of Call'!X34*1000</f>
        <v>4.2016806722689077</v>
      </c>
      <c r="Y37" s="203">
        <f>Y17/'Time of Call'!Y34*1000</f>
        <v>0</v>
      </c>
      <c r="Z37" s="203"/>
      <c r="AA37" s="586">
        <f>AA17/'Time of Call'!AA34*1000</f>
        <v>5.561535701471116</v>
      </c>
    </row>
    <row r="38" spans="1:28" ht="13.5" customHeight="1" x14ac:dyDescent="0.2">
      <c r="A38" s="29" t="str">
        <f>Sheet7!A10</f>
        <v>2015-16</v>
      </c>
      <c r="B38" s="203">
        <f>B18/'Time of Call'!B35*1000</f>
        <v>5.8823529411764701</v>
      </c>
      <c r="C38" s="203">
        <f>C18/'Time of Call'!C35*1000</f>
        <v>11.428571428571429</v>
      </c>
      <c r="D38" s="203">
        <f>D18/'Time of Call'!D35*1000</f>
        <v>7.8740157480314963</v>
      </c>
      <c r="E38" s="203">
        <f>E18/'Time of Call'!E35*1000</f>
        <v>9.0909090909090899</v>
      </c>
      <c r="F38" s="203">
        <f>F18/'Time of Call'!F35*1000</f>
        <v>10.638297872340425</v>
      </c>
      <c r="G38" s="203">
        <f>G18/'Time of Call'!G35*1000</f>
        <v>12.820512820512819</v>
      </c>
      <c r="H38" s="203">
        <f>H18/'Time of Call'!H35*1000</f>
        <v>39.473684210526315</v>
      </c>
      <c r="I38" s="203">
        <f>I18/'Time of Call'!I35*1000</f>
        <v>10.989010989010989</v>
      </c>
      <c r="J38" s="203">
        <f>J18/'Time of Call'!J35*1000</f>
        <v>8.064516129032258</v>
      </c>
      <c r="K38" s="203">
        <f>K18/'Time of Call'!K35*1000</f>
        <v>0</v>
      </c>
      <c r="L38" s="203">
        <f>L18/'Time of Call'!L35*1000</f>
        <v>5.1546391752577323</v>
      </c>
      <c r="M38" s="203">
        <f>M18/'Time of Call'!M35*1000</f>
        <v>16.393442622950822</v>
      </c>
      <c r="N38" s="203">
        <f>N18/'Time of Call'!N35*1000</f>
        <v>0</v>
      </c>
      <c r="O38" s="203">
        <f>O18/'Time of Call'!O35*1000</f>
        <v>3.1152647975077881</v>
      </c>
      <c r="P38" s="203">
        <f>P18/'Time of Call'!P35*1000</f>
        <v>12.738853503184714</v>
      </c>
      <c r="Q38" s="203">
        <f>Q18/'Time of Call'!Q35*1000</f>
        <v>9.3457943925233646</v>
      </c>
      <c r="R38" s="203">
        <f>R18/'Time of Call'!R35*1000</f>
        <v>7.4812967581047376</v>
      </c>
      <c r="S38" s="203">
        <f>S18/'Time of Call'!S35*1000</f>
        <v>2.0533880903490762</v>
      </c>
      <c r="T38" s="203">
        <f>T18/'Time of Call'!T35*1000</f>
        <v>11.655011655011656</v>
      </c>
      <c r="U38" s="203">
        <f>U18/'Time of Call'!U35*1000</f>
        <v>5.3619302949061662</v>
      </c>
      <c r="V38" s="203">
        <f>V18/'Time of Call'!V35*1000</f>
        <v>3.0395136778115504</v>
      </c>
      <c r="W38" s="203">
        <f>W18/'Time of Call'!W35*1000</f>
        <v>3.0120481927710845</v>
      </c>
      <c r="X38" s="203">
        <f>X18/'Time of Call'!X35*1000</f>
        <v>0</v>
      </c>
      <c r="Y38" s="203">
        <f>Y18/'Time of Call'!Y35*1000</f>
        <v>4.2553191489361701</v>
      </c>
      <c r="Z38" s="203"/>
      <c r="AA38" s="586">
        <f>AA18/'Time of Call'!AA35*1000</f>
        <v>6.8746694870438922</v>
      </c>
      <c r="AB38" s="1"/>
    </row>
    <row r="39" spans="1:28" ht="13.5" customHeight="1" x14ac:dyDescent="0.2">
      <c r="A39" s="29" t="str">
        <f>Sheet7!A11</f>
        <v>2016-17</v>
      </c>
      <c r="B39" s="203">
        <f>B19/'Time of Call'!B36*1000</f>
        <v>0</v>
      </c>
      <c r="C39" s="203">
        <f>C19/'Time of Call'!C36*1000</f>
        <v>17.964071856287426</v>
      </c>
      <c r="D39" s="203">
        <f>D19/'Time of Call'!D36*1000</f>
        <v>15.037593984962406</v>
      </c>
      <c r="E39" s="203">
        <f>E19/'Time of Call'!E36*1000</f>
        <v>9.6153846153846168</v>
      </c>
      <c r="F39" s="203">
        <f>F19/'Time of Call'!F36*1000</f>
        <v>0</v>
      </c>
      <c r="G39" s="203">
        <f>G19/'Time of Call'!G36*1000</f>
        <v>38.961038961038959</v>
      </c>
      <c r="H39" s="203">
        <f>H19/'Time of Call'!H36*1000</f>
        <v>24.390243902439025</v>
      </c>
      <c r="I39" s="203">
        <f>I19/'Time of Call'!I36*1000</f>
        <v>45.871559633027523</v>
      </c>
      <c r="J39" s="203">
        <f>J19/'Time of Call'!J36*1000</f>
        <v>0</v>
      </c>
      <c r="K39" s="203">
        <f>K19/'Time of Call'!K36*1000</f>
        <v>19.230769230769234</v>
      </c>
      <c r="L39" s="203">
        <f>L19/'Time of Call'!L36*1000</f>
        <v>10.309278350515465</v>
      </c>
      <c r="M39" s="203">
        <f>M19/'Time of Call'!M36*1000</f>
        <v>4.1493775933609962</v>
      </c>
      <c r="N39" s="203">
        <f>N19/'Time of Call'!N36*1000</f>
        <v>4.1152263374485596</v>
      </c>
      <c r="O39" s="203">
        <f>O19/'Time of Call'!O36*1000</f>
        <v>3.8910505836575875</v>
      </c>
      <c r="P39" s="203">
        <f>P19/'Time of Call'!P36*1000</f>
        <v>0</v>
      </c>
      <c r="Q39" s="203">
        <f>Q19/'Time of Call'!Q36*1000</f>
        <v>0</v>
      </c>
      <c r="R39" s="203">
        <f>R19/'Time of Call'!R36*1000</f>
        <v>7.8947368421052637</v>
      </c>
      <c r="S39" s="203">
        <f>S19/'Time of Call'!S36*1000</f>
        <v>4.2462845010615711</v>
      </c>
      <c r="T39" s="203">
        <f>T19/'Time of Call'!T36*1000</f>
        <v>2.3255813953488373</v>
      </c>
      <c r="U39" s="203">
        <f>U19/'Time of Call'!U36*1000</f>
        <v>7.3529411764705879</v>
      </c>
      <c r="V39" s="203">
        <f>V19/'Time of Call'!V36*1000</f>
        <v>3.0120481927710845</v>
      </c>
      <c r="W39" s="203">
        <f>W19/'Time of Call'!W36*1000</f>
        <v>0</v>
      </c>
      <c r="X39" s="203">
        <f>X19/'Time of Call'!X36*1000</f>
        <v>0</v>
      </c>
      <c r="Y39" s="203">
        <f>Y19/'Time of Call'!Y36*1000</f>
        <v>8.5470085470085486</v>
      </c>
      <c r="Z39" s="203"/>
      <c r="AA39" s="586">
        <f>AA19/'Time of Call'!AA36*1000</f>
        <v>6.4981949458483754</v>
      </c>
      <c r="AB39" s="1"/>
    </row>
    <row r="40" spans="1:28" ht="13.5" customHeight="1" x14ac:dyDescent="0.2">
      <c r="A40" s="29" t="str">
        <f>Sheet7!A12</f>
        <v>2017-18</v>
      </c>
      <c r="B40" s="203">
        <f>B20/'Time of Call'!B37*1000</f>
        <v>21.276595744680851</v>
      </c>
      <c r="C40" s="203">
        <f>C20/'Time of Call'!C37*1000</f>
        <v>6.9444444444444438</v>
      </c>
      <c r="D40" s="203">
        <f>D20/'Time of Call'!D37*1000</f>
        <v>22.727272727272727</v>
      </c>
      <c r="E40" s="203">
        <f>E20/'Time of Call'!E37*1000</f>
        <v>10.204081632653061</v>
      </c>
      <c r="F40" s="203">
        <f>F20/'Time of Call'!F37*1000</f>
        <v>0</v>
      </c>
      <c r="G40" s="203">
        <f>G20/'Time of Call'!G37*1000</f>
        <v>0</v>
      </c>
      <c r="H40" s="203">
        <f>H20/'Time of Call'!H37*1000</f>
        <v>0</v>
      </c>
      <c r="I40" s="203">
        <f>I20/'Time of Call'!I37*1000</f>
        <v>10.101010101010102</v>
      </c>
      <c r="J40" s="203">
        <f>J20/'Time of Call'!J37*1000</f>
        <v>29.411764705882351</v>
      </c>
      <c r="K40" s="203">
        <f>K20/'Time of Call'!K37*1000</f>
        <v>6.9444444444444438</v>
      </c>
      <c r="L40" s="203">
        <f>L20/'Time of Call'!L37*1000</f>
        <v>0</v>
      </c>
      <c r="M40" s="203">
        <f>M20/'Time of Call'!M37*1000</f>
        <v>0</v>
      </c>
      <c r="N40" s="203">
        <f>N20/'Time of Call'!N37*1000</f>
        <v>12.448132780082986</v>
      </c>
      <c r="O40" s="203">
        <f>O20/'Time of Call'!O37*1000</f>
        <v>7.7519379844961236</v>
      </c>
      <c r="P40" s="203">
        <f>P20/'Time of Call'!P37*1000</f>
        <v>7.0921985815602833</v>
      </c>
      <c r="Q40" s="203">
        <f>Q20/'Time of Call'!Q37*1000</f>
        <v>0</v>
      </c>
      <c r="R40" s="203">
        <f>R20/'Time of Call'!R37*1000</f>
        <v>8.6206896551724128</v>
      </c>
      <c r="S40" s="203">
        <f>S20/'Time of Call'!S37*1000</f>
        <v>6.5217391304347823</v>
      </c>
      <c r="T40" s="203">
        <f>T20/'Time of Call'!T37*1000</f>
        <v>0</v>
      </c>
      <c r="U40" s="203">
        <f>U20/'Time of Call'!U37*1000</f>
        <v>11.494252873563218</v>
      </c>
      <c r="V40" s="203">
        <f>V20/'Time of Call'!V37*1000</f>
        <v>2.8490028490028489</v>
      </c>
      <c r="W40" s="203">
        <f>W20/'Time of Call'!W37*1000</f>
        <v>6.5359477124183005</v>
      </c>
      <c r="X40" s="203">
        <f>X20/'Time of Call'!X37*1000</f>
        <v>4.032258064516129</v>
      </c>
      <c r="Y40" s="203">
        <f>Y20/'Time of Call'!Y37*1000</f>
        <v>4.9019607843137258</v>
      </c>
      <c r="Z40" s="203"/>
      <c r="AA40" s="586">
        <f>AA20/'Time of Call'!AA37*1000</f>
        <v>6.9666729429485965</v>
      </c>
      <c r="AB40" s="1"/>
    </row>
    <row r="41" spans="1:28" ht="13.5" customHeight="1" x14ac:dyDescent="0.2">
      <c r="A41" s="29" t="str">
        <f>Sheet7!A13</f>
        <v>2018-19</v>
      </c>
      <c r="B41" s="203">
        <f>B21/'Time of Call'!B38*1000</f>
        <v>0</v>
      </c>
      <c r="C41" s="203">
        <f>C21/'Time of Call'!C38*1000</f>
        <v>0</v>
      </c>
      <c r="D41" s="203">
        <f>D21/'Time of Call'!D38*1000</f>
        <v>25.862068965517242</v>
      </c>
      <c r="E41" s="203">
        <f>E21/'Time of Call'!E38*1000</f>
        <v>16.806722689075631</v>
      </c>
      <c r="F41" s="203">
        <f>F21/'Time of Call'!F38*1000</f>
        <v>35.714285714285715</v>
      </c>
      <c r="G41" s="203">
        <f>G21/'Time of Call'!G38*1000</f>
        <v>34.883720930232556</v>
      </c>
      <c r="H41" s="203">
        <f>H21/'Time of Call'!H38*1000</f>
        <v>15.873015873015872</v>
      </c>
      <c r="I41" s="203">
        <f>I21/'Time of Call'!I38*1000</f>
        <v>38.461538461538467</v>
      </c>
      <c r="J41" s="203">
        <f>J21/'Time of Call'!J38*1000</f>
        <v>0</v>
      </c>
      <c r="K41" s="203">
        <f>K21/'Time of Call'!K38*1000</f>
        <v>0</v>
      </c>
      <c r="L41" s="203">
        <f>L21/'Time of Call'!L38*1000</f>
        <v>0</v>
      </c>
      <c r="M41" s="203">
        <f>M21/'Time of Call'!M38*1000</f>
        <v>0</v>
      </c>
      <c r="N41" s="203">
        <f>N21/'Time of Call'!N38*1000</f>
        <v>12</v>
      </c>
      <c r="O41" s="203">
        <f>O21/'Time of Call'!O38*1000</f>
        <v>7.5471698113207548</v>
      </c>
      <c r="P41" s="203">
        <f>P21/'Time of Call'!P38*1000</f>
        <v>0</v>
      </c>
      <c r="Q41" s="203">
        <f>Q21/'Time of Call'!Q38*1000</f>
        <v>13.559322033898304</v>
      </c>
      <c r="R41" s="203">
        <f>R21/'Time of Call'!R38*1000</f>
        <v>8.720930232558139</v>
      </c>
      <c r="S41" s="203">
        <f>S21/'Time of Call'!S38*1000</f>
        <v>0</v>
      </c>
      <c r="T41" s="203">
        <f>T21/'Time of Call'!T38*1000</f>
        <v>2.5062656641604009</v>
      </c>
      <c r="U41" s="203">
        <f>U21/'Time of Call'!U38*1000</f>
        <v>2.7777777777777777</v>
      </c>
      <c r="V41" s="203">
        <f>V21/'Time of Call'!V38*1000</f>
        <v>6.1538461538461542</v>
      </c>
      <c r="W41" s="203">
        <f>W21/'Time of Call'!W38*1000</f>
        <v>10.273972602739725</v>
      </c>
      <c r="X41" s="203">
        <f>X21/'Time of Call'!X38*1000</f>
        <v>13.953488372093023</v>
      </c>
      <c r="Y41" s="203">
        <f>Y21/'Time of Call'!Y38*1000</f>
        <v>8.8105726872246706</v>
      </c>
      <c r="Z41" s="203"/>
      <c r="AA41" s="586">
        <f>AA21/'Time of Call'!AA38*1000</f>
        <v>7.7745383867832842</v>
      </c>
      <c r="AB41" s="1"/>
    </row>
    <row r="42" spans="1:28" ht="13.5" customHeight="1" x14ac:dyDescent="0.2">
      <c r="A42" s="29" t="str">
        <f>Sheet7!A14</f>
        <v>2019-20</v>
      </c>
      <c r="B42" s="203">
        <f>B22/'Time of Call'!B39*1000</f>
        <v>6.369426751592357</v>
      </c>
      <c r="C42" s="203">
        <f>C22/'Time of Call'!C39*1000</f>
        <v>19.736842105263158</v>
      </c>
      <c r="D42" s="203">
        <f>D22/'Time of Call'!D39*1000</f>
        <v>8.9285714285714288</v>
      </c>
      <c r="E42" s="203">
        <f>E22/'Time of Call'!E39*1000</f>
        <v>0</v>
      </c>
      <c r="F42" s="203">
        <f>F22/'Time of Call'!F39*1000</f>
        <v>10.989010989010989</v>
      </c>
      <c r="G42" s="203">
        <f>G22/'Time of Call'!G39*1000</f>
        <v>19.230769230769234</v>
      </c>
      <c r="H42" s="203">
        <f>H22/'Time of Call'!H39*1000</f>
        <v>0</v>
      </c>
      <c r="I42" s="203">
        <f>I22/'Time of Call'!I39*1000</f>
        <v>0</v>
      </c>
      <c r="J42" s="203">
        <f>J22/'Time of Call'!J39*1000</f>
        <v>9.2592592592592595</v>
      </c>
      <c r="K42" s="203">
        <f>K22/'Time of Call'!K39*1000</f>
        <v>14.285714285714285</v>
      </c>
      <c r="L42" s="203">
        <f>L22/'Time of Call'!L39*1000</f>
        <v>0</v>
      </c>
      <c r="M42" s="203">
        <f>M22/'Time of Call'!M39*1000</f>
        <v>0</v>
      </c>
      <c r="N42" s="203">
        <f>N22/'Time of Call'!N39*1000</f>
        <v>4.545454545454545</v>
      </c>
      <c r="O42" s="203">
        <f>O22/'Time of Call'!O39*1000</f>
        <v>4.329004329004329</v>
      </c>
      <c r="P42" s="203">
        <f>P22/'Time of Call'!P39*1000</f>
        <v>7.4074074074074074</v>
      </c>
      <c r="Q42" s="203">
        <f>Q22/'Time of Call'!Q39*1000</f>
        <v>0</v>
      </c>
      <c r="R42" s="203">
        <f>R22/'Time of Call'!R39*1000</f>
        <v>6.0606060606060606</v>
      </c>
      <c r="S42" s="203">
        <f>S22/'Time of Call'!S39*1000</f>
        <v>0</v>
      </c>
      <c r="T42" s="203">
        <f>T22/'Time of Call'!T39*1000</f>
        <v>4.7281323877068555</v>
      </c>
      <c r="U42" s="203">
        <f>U22/'Time of Call'!U39*1000</f>
        <v>3.1746031746031744</v>
      </c>
      <c r="V42" s="203">
        <f>V22/'Time of Call'!V39*1000</f>
        <v>0</v>
      </c>
      <c r="W42" s="203">
        <f>W22/'Time of Call'!W39*1000</f>
        <v>0</v>
      </c>
      <c r="X42" s="203">
        <f>X22/'Time of Call'!X39*1000</f>
        <v>3.8910505836575875</v>
      </c>
      <c r="Y42" s="203">
        <f>Y22/'Time of Call'!Y39*1000</f>
        <v>5.0761421319796947</v>
      </c>
      <c r="Z42" s="203"/>
      <c r="AA42" s="586">
        <f>AA22/'Time of Call'!AA39*1000</f>
        <v>4.294478527607362</v>
      </c>
      <c r="AB42" s="1"/>
    </row>
    <row r="43" spans="1:28" ht="13.5" customHeight="1" thickBot="1" x14ac:dyDescent="0.25">
      <c r="A43" s="380" t="str">
        <f>Sheet7!A15</f>
        <v>2020-21</v>
      </c>
      <c r="B43" s="831">
        <f>B23/'Time of Call'!B40*1000</f>
        <v>25.477707006369428</v>
      </c>
      <c r="C43" s="831">
        <f>C23/'Time of Call'!C40*1000</f>
        <v>0</v>
      </c>
      <c r="D43" s="831">
        <f>D23/'Time of Call'!D40*1000</f>
        <v>9.2592592592592595</v>
      </c>
      <c r="E43" s="831">
        <f>E23/'Time of Call'!E40*1000</f>
        <v>39.215686274509807</v>
      </c>
      <c r="F43" s="831">
        <f>F23/'Time of Call'!F40*1000</f>
        <v>11.494252873563218</v>
      </c>
      <c r="G43" s="831">
        <f>G23/'Time of Call'!G40*1000</f>
        <v>17.857142857142858</v>
      </c>
      <c r="H43" s="831">
        <f>H23/'Time of Call'!H40*1000</f>
        <v>17.241379310344826</v>
      </c>
      <c r="I43" s="831">
        <f>I23/'Time of Call'!I40*1000</f>
        <v>16.129032258064516</v>
      </c>
      <c r="J43" s="831">
        <f>J23/'Time of Call'!J40*1000</f>
        <v>10.416666666666666</v>
      </c>
      <c r="K43" s="831">
        <f>K23/'Time of Call'!K40*1000</f>
        <v>0</v>
      </c>
      <c r="L43" s="831">
        <f>L23/'Time of Call'!L40*1000</f>
        <v>6.5359477124183005</v>
      </c>
      <c r="M43" s="831">
        <f>M23/'Time of Call'!M40*1000</f>
        <v>10.309278350515465</v>
      </c>
      <c r="N43" s="831">
        <f>N23/'Time of Call'!N40*1000</f>
        <v>12.820512820512819</v>
      </c>
      <c r="O43" s="831">
        <f>O23/'Time of Call'!O40*1000</f>
        <v>8.3333333333333339</v>
      </c>
      <c r="P43" s="831">
        <f>P23/'Time of Call'!P40*1000</f>
        <v>4.5248868778280551</v>
      </c>
      <c r="Q43" s="831">
        <f>Q23/'Time of Call'!Q40*1000</f>
        <v>11.450381679389313</v>
      </c>
      <c r="R43" s="831">
        <f>R23/'Time of Call'!R40*1000</f>
        <v>2.9411764705882351</v>
      </c>
      <c r="S43" s="831">
        <f>S23/'Time of Call'!S40*1000</f>
        <v>5.7471264367816088</v>
      </c>
      <c r="T43" s="831">
        <f>T23/'Time of Call'!T40*1000</f>
        <v>5.1413881748071972</v>
      </c>
      <c r="U43" s="831">
        <f>U23/'Time of Call'!U40*1000</f>
        <v>0</v>
      </c>
      <c r="V43" s="831">
        <f>V23/'Time of Call'!V40*1000</f>
        <v>10.452961672473869</v>
      </c>
      <c r="W43" s="831">
        <f>W23/'Time of Call'!W40*1000</f>
        <v>18.450184501845019</v>
      </c>
      <c r="X43" s="831">
        <f>X23/'Time of Call'!X40*1000</f>
        <v>9.3023255813953494</v>
      </c>
      <c r="Y43" s="831">
        <f>Y23/'Time of Call'!Y40*1000</f>
        <v>15.384615384615385</v>
      </c>
      <c r="Z43" s="831"/>
      <c r="AA43" s="832">
        <f>AA23/'Time of Call'!AA40*1000</f>
        <v>9.4400343273975533</v>
      </c>
      <c r="AB43" s="1"/>
    </row>
    <row r="44" spans="1:28" ht="13.5" customHeight="1" x14ac:dyDescent="0.2">
      <c r="A44" s="29"/>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586"/>
      <c r="AB44" s="1"/>
    </row>
    <row r="45" spans="1:28" ht="13.5" customHeight="1" thickBot="1" x14ac:dyDescent="0.25">
      <c r="A45" s="726" t="s">
        <v>814</v>
      </c>
      <c r="B45" s="829">
        <f>(SUM(B10:B23)/SUM('Time of Call'!B27:B40))*1000</f>
        <v>8.0251221214235873</v>
      </c>
      <c r="C45" s="829">
        <f>(SUM(C10:C23)/SUM('Time of Call'!C27:C40))*1000</f>
        <v>10.200078462142017</v>
      </c>
      <c r="D45" s="829">
        <f>(SUM(D10:D23)/SUM('Time of Call'!D27:D40))*1000</f>
        <v>16.682554814108673</v>
      </c>
      <c r="E45" s="829">
        <f>(SUM(E10:E23)/SUM('Time of Call'!E27:E40))*1000</f>
        <v>16.533637400228049</v>
      </c>
      <c r="F45" s="829">
        <f>(SUM(F10:F23)/SUM('Time of Call'!F27:F40))*1000</f>
        <v>15.915119363395226</v>
      </c>
      <c r="G45" s="829">
        <f>(SUM(G10:G23)/SUM('Time of Call'!G27:G40))*1000</f>
        <v>22.369511184755591</v>
      </c>
      <c r="H45" s="829">
        <f>(SUM(H10:H23)/SUM('Time of Call'!H27:H40))*1000</f>
        <v>13.973799126637555</v>
      </c>
      <c r="I45" s="829">
        <f>(SUM(I10:I23)/SUM('Time of Call'!I27:I40))*1000</f>
        <v>24.03495994173343</v>
      </c>
      <c r="J45" s="829">
        <f>(SUM(J10:J23)/SUM('Time of Call'!J27:J40))*1000</f>
        <v>12.627781118460614</v>
      </c>
      <c r="K45" s="829">
        <f>(SUM(K10:K23)/SUM('Time of Call'!K27:K40))*1000</f>
        <v>6.430868167202572</v>
      </c>
      <c r="L45" s="829">
        <f>(SUM(L10:L23)/SUM('Time of Call'!L27:L40))*1000</f>
        <v>7.0532915360501569</v>
      </c>
      <c r="M45" s="829">
        <f>(SUM(M10:M23)/SUM('Time of Call'!M27:M40))*1000</f>
        <v>5.4417413572343154</v>
      </c>
      <c r="N45" s="829">
        <f>(SUM(N10:N23)/SUM('Time of Call'!N27:N40))*1000</f>
        <v>6.3729564976447772</v>
      </c>
      <c r="O45" s="829">
        <f>(SUM(O10:O23)/SUM('Time of Call'!O27:O40))*1000</f>
        <v>6.1855670103092777</v>
      </c>
      <c r="P45" s="829">
        <f>(SUM(P10:P23)/SUM('Time of Call'!P27:P40))*1000</f>
        <v>4.3027081751455336</v>
      </c>
      <c r="Q45" s="829">
        <f>(SUM(Q10:Q23)/SUM('Time of Call'!Q27:Q40))*1000</f>
        <v>6.0465116279069768</v>
      </c>
      <c r="R45" s="829">
        <f>(SUM(R10:R23)/SUM('Time of Call'!R27:R40))*1000</f>
        <v>6.3456513624486748</v>
      </c>
      <c r="S45" s="829">
        <f>(SUM(S10:S23)/SUM('Time of Call'!S27:S40))*1000</f>
        <v>2.943454686289698</v>
      </c>
      <c r="T45" s="829">
        <f>(SUM(T10:T23)/SUM('Time of Call'!T27:T40))*1000</f>
        <v>5.2665177146504947</v>
      </c>
      <c r="U45" s="829">
        <f>(SUM(U10:U23)/SUM('Time of Call'!U27:U40))*1000</f>
        <v>4.3836577240049097</v>
      </c>
      <c r="V45" s="829">
        <f>(SUM(V10:V23)/SUM('Time of Call'!V27:V40))*1000</f>
        <v>4.5248868778280551</v>
      </c>
      <c r="W45" s="829">
        <f>(SUM(W10:W23)/SUM('Time of Call'!W27:W40))*1000</f>
        <v>5.3643272239606619</v>
      </c>
      <c r="X45" s="829">
        <f>(SUM(X10:X23)/SUM('Time of Call'!X27:X40))*1000</f>
        <v>6.1696658097686381</v>
      </c>
      <c r="Y45" s="829">
        <f>(SUM(Y10:Y23)/SUM('Time of Call'!Y27:Y40))*1000</f>
        <v>6.8862275449101791</v>
      </c>
      <c r="Z45" s="829"/>
      <c r="AA45" s="829">
        <f>(SUM(AA10:AA23)/SUM('Time of Call'!AA27:AA40))*1000</f>
        <v>7.1956776137240741</v>
      </c>
      <c r="AB45" s="1"/>
    </row>
    <row r="46" spans="1:28" x14ac:dyDescent="0.2">
      <c r="A46" s="239"/>
      <c r="B46" s="253"/>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00"/>
      <c r="AA46" s="1"/>
      <c r="AB46" s="1"/>
    </row>
    <row r="47" spans="1:28" ht="15" x14ac:dyDescent="0.25">
      <c r="A47" s="239"/>
      <c r="B47" s="1"/>
      <c r="C47" s="1"/>
      <c r="D47" s="1"/>
      <c r="E47" s="1"/>
      <c r="F47" s="1"/>
      <c r="G47" s="1"/>
      <c r="H47" s="1"/>
      <c r="I47" s="1"/>
      <c r="J47" s="1"/>
      <c r="K47" s="1"/>
      <c r="L47" s="1"/>
      <c r="M47" s="1"/>
      <c r="N47" s="1"/>
      <c r="O47" s="1"/>
      <c r="P47" s="1"/>
      <c r="Q47" s="1"/>
      <c r="R47" s="1"/>
      <c r="S47" s="1"/>
      <c r="T47" s="1"/>
      <c r="U47" s="1"/>
      <c r="V47" s="1"/>
      <c r="W47" s="1"/>
      <c r="X47" s="1"/>
      <c r="Y47" s="1"/>
      <c r="Z47" s="1"/>
      <c r="AA47" s="83" t="s">
        <v>0</v>
      </c>
      <c r="AB47" s="1"/>
    </row>
    <row r="48" spans="1:28" ht="18.75" customHeight="1" x14ac:dyDescent="0.2">
      <c r="A48" s="1357" t="s">
        <v>4</v>
      </c>
      <c r="B48" s="1298" t="s">
        <v>815</v>
      </c>
      <c r="C48" s="1298"/>
      <c r="D48" s="1298"/>
      <c r="E48" s="1298"/>
      <c r="F48" s="1298"/>
      <c r="G48" s="1298"/>
      <c r="H48" s="1298"/>
      <c r="I48" s="1298"/>
      <c r="J48" s="1298"/>
      <c r="K48" s="1298"/>
      <c r="L48" s="1298"/>
      <c r="M48" s="1298"/>
      <c r="N48" s="1298"/>
      <c r="O48" s="1298"/>
      <c r="P48" s="1298"/>
      <c r="Q48" s="1298"/>
      <c r="R48" s="1298"/>
      <c r="S48" s="1298"/>
      <c r="T48" s="1298"/>
      <c r="U48" s="1298"/>
      <c r="V48" s="1298"/>
      <c r="W48" s="1298"/>
      <c r="X48" s="1298"/>
      <c r="Y48" s="1298"/>
      <c r="Z48" s="1298"/>
      <c r="AA48" s="1358" t="s">
        <v>275</v>
      </c>
      <c r="AB48" s="1"/>
    </row>
    <row r="49" spans="1:28" ht="18.75" customHeight="1" x14ac:dyDescent="0.2">
      <c r="A49" s="1357"/>
      <c r="B49" s="201" t="s">
        <v>251</v>
      </c>
      <c r="C49" s="201" t="s">
        <v>225</v>
      </c>
      <c r="D49" s="201" t="s">
        <v>226</v>
      </c>
      <c r="E49" s="201" t="s">
        <v>227</v>
      </c>
      <c r="F49" s="201" t="s">
        <v>228</v>
      </c>
      <c r="G49" s="201" t="s">
        <v>229</v>
      </c>
      <c r="H49" s="201" t="s">
        <v>230</v>
      </c>
      <c r="I49" s="201" t="s">
        <v>231</v>
      </c>
      <c r="J49" s="201" t="s">
        <v>232</v>
      </c>
      <c r="K49" s="201" t="s">
        <v>233</v>
      </c>
      <c r="L49" s="201" t="s">
        <v>234</v>
      </c>
      <c r="M49" s="201" t="s">
        <v>235</v>
      </c>
      <c r="N49" s="201" t="s">
        <v>257</v>
      </c>
      <c r="O49" s="201" t="s">
        <v>236</v>
      </c>
      <c r="P49" s="201" t="s">
        <v>237</v>
      </c>
      <c r="Q49" s="201" t="s">
        <v>238</v>
      </c>
      <c r="R49" s="201" t="s">
        <v>239</v>
      </c>
      <c r="S49" s="201" t="s">
        <v>240</v>
      </c>
      <c r="T49" s="201" t="s">
        <v>241</v>
      </c>
      <c r="U49" s="201" t="s">
        <v>242</v>
      </c>
      <c r="V49" s="201" t="s">
        <v>243</v>
      </c>
      <c r="W49" s="201" t="s">
        <v>244</v>
      </c>
      <c r="X49" s="201" t="s">
        <v>245</v>
      </c>
      <c r="Y49" s="201" t="s">
        <v>246</v>
      </c>
      <c r="Z49" s="201" t="s">
        <v>201</v>
      </c>
      <c r="AA49" s="1358"/>
      <c r="AB49" s="1"/>
    </row>
    <row r="50" spans="1:28" ht="13.5" customHeight="1" x14ac:dyDescent="0.2">
      <c r="A50" s="826" t="str">
        <f>Sheet7!A4</f>
        <v>2009-10</v>
      </c>
      <c r="B50" s="103">
        <f>Sheet7!Z4</f>
        <v>47</v>
      </c>
      <c r="C50" s="167">
        <f>Sheet7!AA4</f>
        <v>28</v>
      </c>
      <c r="D50" s="167">
        <f>Sheet7!AB4</f>
        <v>43</v>
      </c>
      <c r="E50" s="167">
        <f>Sheet7!AC4</f>
        <v>43</v>
      </c>
      <c r="F50" s="167">
        <f>Sheet7!AD4</f>
        <v>24</v>
      </c>
      <c r="G50" s="167">
        <f>Sheet7!AE4</f>
        <v>26</v>
      </c>
      <c r="H50" s="167">
        <f>Sheet7!AF4</f>
        <v>24</v>
      </c>
      <c r="I50" s="167">
        <f>Sheet7!AG4</f>
        <v>19</v>
      </c>
      <c r="J50" s="167">
        <f>Sheet7!AH4</f>
        <v>24</v>
      </c>
      <c r="K50" s="167">
        <f>Sheet7!AI4</f>
        <v>32</v>
      </c>
      <c r="L50" s="167">
        <f>Sheet7!AJ4</f>
        <v>23</v>
      </c>
      <c r="M50" s="167">
        <f>Sheet7!AK4</f>
        <v>25</v>
      </c>
      <c r="N50" s="167">
        <f>Sheet7!AL4</f>
        <v>39</v>
      </c>
      <c r="O50" s="167">
        <f>Sheet7!AM4</f>
        <v>26</v>
      </c>
      <c r="P50" s="167">
        <f>Sheet7!AN4</f>
        <v>34</v>
      </c>
      <c r="Q50" s="167">
        <f>Sheet7!AO4</f>
        <v>34</v>
      </c>
      <c r="R50" s="167">
        <f>Sheet7!AP4</f>
        <v>55</v>
      </c>
      <c r="S50" s="167">
        <f>Sheet7!AQ4</f>
        <v>75</v>
      </c>
      <c r="T50" s="167">
        <f>Sheet7!AR4</f>
        <v>80</v>
      </c>
      <c r="U50" s="167">
        <f>Sheet7!AS4</f>
        <v>71</v>
      </c>
      <c r="V50" s="167">
        <f>Sheet7!AT4</f>
        <v>64</v>
      </c>
      <c r="W50" s="167">
        <f>Sheet7!AU4</f>
        <v>71</v>
      </c>
      <c r="X50" s="167">
        <f>Sheet7!AV4</f>
        <v>58</v>
      </c>
      <c r="Y50" s="167">
        <f>Sheet7!AW4</f>
        <v>67</v>
      </c>
      <c r="Z50" s="218"/>
      <c r="AA50" s="709">
        <f>SUM(B50:Z50)</f>
        <v>1032</v>
      </c>
      <c r="AB50" s="4"/>
    </row>
    <row r="51" spans="1:28" ht="13.5" customHeight="1" x14ac:dyDescent="0.2">
      <c r="A51" s="2" t="str">
        <f>Sheet7!A5</f>
        <v>2010-11</v>
      </c>
      <c r="B51" s="4">
        <f>Sheet7!Z5</f>
        <v>62</v>
      </c>
      <c r="C51" s="161">
        <f>Sheet7!AA5</f>
        <v>62</v>
      </c>
      <c r="D51" s="161">
        <f>Sheet7!AB5</f>
        <v>52</v>
      </c>
      <c r="E51" s="161">
        <f>Sheet7!AC5</f>
        <v>29</v>
      </c>
      <c r="F51" s="161">
        <f>Sheet7!AD5</f>
        <v>32</v>
      </c>
      <c r="G51" s="161">
        <f>Sheet7!AE5</f>
        <v>28</v>
      </c>
      <c r="H51" s="161">
        <f>Sheet7!AF5</f>
        <v>23</v>
      </c>
      <c r="I51" s="161">
        <f>Sheet7!AG5</f>
        <v>27</v>
      </c>
      <c r="J51" s="161">
        <f>Sheet7!AH5</f>
        <v>19</v>
      </c>
      <c r="K51" s="161">
        <f>Sheet7!AI5</f>
        <v>27</v>
      </c>
      <c r="L51" s="161">
        <f>Sheet7!AJ5</f>
        <v>30</v>
      </c>
      <c r="M51" s="161">
        <f>Sheet7!AK5</f>
        <v>40</v>
      </c>
      <c r="N51" s="161">
        <f>Sheet7!AL5</f>
        <v>48</v>
      </c>
      <c r="O51" s="161">
        <f>Sheet7!AM5</f>
        <v>29</v>
      </c>
      <c r="P51" s="161">
        <f>Sheet7!AN5</f>
        <v>35</v>
      </c>
      <c r="Q51" s="161">
        <f>Sheet7!AO5</f>
        <v>30</v>
      </c>
      <c r="R51" s="161">
        <f>Sheet7!AP5</f>
        <v>55</v>
      </c>
      <c r="S51" s="161">
        <f>Sheet7!AQ5</f>
        <v>67</v>
      </c>
      <c r="T51" s="161">
        <f>Sheet7!AR5</f>
        <v>90</v>
      </c>
      <c r="U51" s="161">
        <f>Sheet7!AS5</f>
        <v>93</v>
      </c>
      <c r="V51" s="161">
        <f>Sheet7!AT5</f>
        <v>63</v>
      </c>
      <c r="W51" s="161">
        <f>Sheet7!AU5</f>
        <v>78</v>
      </c>
      <c r="X51" s="161">
        <f>Sheet7!AV5</f>
        <v>55</v>
      </c>
      <c r="Y51" s="161">
        <f>Sheet7!AW5</f>
        <v>68</v>
      </c>
      <c r="Z51" s="126"/>
      <c r="AA51" s="585">
        <f t="shared" ref="AA51:AA60" si="4">SUM(B51:Z51)</f>
        <v>1142</v>
      </c>
      <c r="AB51" s="4"/>
    </row>
    <row r="52" spans="1:28" ht="13.5" customHeight="1" x14ac:dyDescent="0.2">
      <c r="A52" s="29" t="str">
        <f>Sheet7!A6</f>
        <v>2011-12</v>
      </c>
      <c r="B52" s="15">
        <f>Sheet7!Z6</f>
        <v>59</v>
      </c>
      <c r="C52" s="163">
        <f>Sheet7!AA6</f>
        <v>40</v>
      </c>
      <c r="D52" s="163">
        <f>Sheet7!AB6</f>
        <v>68</v>
      </c>
      <c r="E52" s="163">
        <f>Sheet7!AC6</f>
        <v>40</v>
      </c>
      <c r="F52" s="163">
        <f>Sheet7!AD6</f>
        <v>66</v>
      </c>
      <c r="G52" s="163">
        <f>Sheet7!AE6</f>
        <v>28</v>
      </c>
      <c r="H52" s="163">
        <f>Sheet7!AF6</f>
        <v>15</v>
      </c>
      <c r="I52" s="163">
        <f>Sheet7!AG6</f>
        <v>27</v>
      </c>
      <c r="J52" s="163">
        <f>Sheet7!AH6</f>
        <v>16</v>
      </c>
      <c r="K52" s="163">
        <f>Sheet7!AI6</f>
        <v>28</v>
      </c>
      <c r="L52" s="163">
        <f>Sheet7!AJ6</f>
        <v>15</v>
      </c>
      <c r="M52" s="163">
        <f>Sheet7!AK6</f>
        <v>22</v>
      </c>
      <c r="N52" s="163">
        <f>Sheet7!AL6</f>
        <v>34</v>
      </c>
      <c r="O52" s="163">
        <f>Sheet7!AM6</f>
        <v>39</v>
      </c>
      <c r="P52" s="163">
        <f>Sheet7!AN6</f>
        <v>29</v>
      </c>
      <c r="Q52" s="163">
        <f>Sheet7!AO6</f>
        <v>45</v>
      </c>
      <c r="R52" s="163">
        <f>Sheet7!AP6</f>
        <v>72</v>
      </c>
      <c r="S52" s="163">
        <f>Sheet7!AQ6</f>
        <v>66</v>
      </c>
      <c r="T52" s="163">
        <f>Sheet7!AR6</f>
        <v>106</v>
      </c>
      <c r="U52" s="163">
        <f>Sheet7!AS6</f>
        <v>81</v>
      </c>
      <c r="V52" s="163">
        <f>Sheet7!AT6</f>
        <v>94</v>
      </c>
      <c r="W52" s="163">
        <f>Sheet7!AU6</f>
        <v>86</v>
      </c>
      <c r="X52" s="163">
        <f>Sheet7!AV6</f>
        <v>74</v>
      </c>
      <c r="Y52" s="163">
        <f>Sheet7!AW6</f>
        <v>69</v>
      </c>
      <c r="Z52" s="126"/>
      <c r="AA52" s="585">
        <f t="shared" si="4"/>
        <v>1219</v>
      </c>
      <c r="AB52" s="4"/>
    </row>
    <row r="53" spans="1:28" ht="13.5" customHeight="1" x14ac:dyDescent="0.2">
      <c r="A53" s="29" t="str">
        <f>Sheet7!A7</f>
        <v>2012-13</v>
      </c>
      <c r="B53" s="15">
        <f>Sheet7!Z7</f>
        <v>65</v>
      </c>
      <c r="C53" s="163">
        <f>Sheet7!AA7</f>
        <v>52</v>
      </c>
      <c r="D53" s="163">
        <f>Sheet7!AB7</f>
        <v>30</v>
      </c>
      <c r="E53" s="163">
        <f>Sheet7!AC7</f>
        <v>45</v>
      </c>
      <c r="F53" s="163">
        <f>Sheet7!AD7</f>
        <v>22</v>
      </c>
      <c r="G53" s="163">
        <f>Sheet7!AE7</f>
        <v>34</v>
      </c>
      <c r="H53" s="163">
        <f>Sheet7!AF7</f>
        <v>11</v>
      </c>
      <c r="I53" s="163">
        <f>Sheet7!AG7</f>
        <v>25</v>
      </c>
      <c r="J53" s="163">
        <f>Sheet7!AH7</f>
        <v>22</v>
      </c>
      <c r="K53" s="163">
        <f>Sheet7!AI7</f>
        <v>33</v>
      </c>
      <c r="L53" s="163">
        <f>Sheet7!AJ7</f>
        <v>31</v>
      </c>
      <c r="M53" s="163">
        <f>Sheet7!AK7</f>
        <v>24</v>
      </c>
      <c r="N53" s="163">
        <f>Sheet7!AL7</f>
        <v>30</v>
      </c>
      <c r="O53" s="163">
        <f>Sheet7!AM7</f>
        <v>42</v>
      </c>
      <c r="P53" s="163">
        <f>Sheet7!AN7</f>
        <v>46</v>
      </c>
      <c r="Q53" s="163">
        <f>Sheet7!AO7</f>
        <v>51</v>
      </c>
      <c r="R53" s="163">
        <f>Sheet7!AP7</f>
        <v>59</v>
      </c>
      <c r="S53" s="163">
        <f>Sheet7!AQ7</f>
        <v>91</v>
      </c>
      <c r="T53" s="163">
        <f>Sheet7!AR7</f>
        <v>88</v>
      </c>
      <c r="U53" s="163">
        <f>Sheet7!AS7</f>
        <v>79</v>
      </c>
      <c r="V53" s="163">
        <f>Sheet7!AT7</f>
        <v>94</v>
      </c>
      <c r="W53" s="163">
        <f>Sheet7!AU7</f>
        <v>62</v>
      </c>
      <c r="X53" s="163">
        <f>Sheet7!AV7</f>
        <v>70</v>
      </c>
      <c r="Y53" s="163">
        <f>Sheet7!AW7</f>
        <v>60</v>
      </c>
      <c r="Z53" s="199"/>
      <c r="AA53" s="585">
        <f t="shared" si="4"/>
        <v>1166</v>
      </c>
      <c r="AB53" s="4"/>
    </row>
    <row r="54" spans="1:28" ht="13.5" customHeight="1" x14ac:dyDescent="0.2">
      <c r="A54" s="29" t="str">
        <f>Sheet7!A8</f>
        <v>2013-14</v>
      </c>
      <c r="B54" s="15">
        <f>Sheet7!Z8</f>
        <v>50</v>
      </c>
      <c r="C54" s="163">
        <f>Sheet7!AA8</f>
        <v>54</v>
      </c>
      <c r="D54" s="163">
        <f>Sheet7!AB8</f>
        <v>57</v>
      </c>
      <c r="E54" s="163">
        <f>Sheet7!AC8</f>
        <v>60</v>
      </c>
      <c r="F54" s="163">
        <f>Sheet7!AD8</f>
        <v>39</v>
      </c>
      <c r="G54" s="163">
        <f>Sheet7!AE8</f>
        <v>19</v>
      </c>
      <c r="H54" s="163">
        <f>Sheet7!AF8</f>
        <v>20</v>
      </c>
      <c r="I54" s="163">
        <f>Sheet7!AG8</f>
        <v>16</v>
      </c>
      <c r="J54" s="163">
        <f>Sheet7!AH8</f>
        <v>19</v>
      </c>
      <c r="K54" s="163">
        <f>Sheet7!AI8</f>
        <v>19</v>
      </c>
      <c r="L54" s="163">
        <f>Sheet7!AJ8</f>
        <v>33</v>
      </c>
      <c r="M54" s="163">
        <f>Sheet7!AK8</f>
        <v>39</v>
      </c>
      <c r="N54" s="163">
        <f>Sheet7!AL8</f>
        <v>42</v>
      </c>
      <c r="O54" s="163">
        <f>Sheet7!AM8</f>
        <v>36</v>
      </c>
      <c r="P54" s="163">
        <f>Sheet7!AN8</f>
        <v>40</v>
      </c>
      <c r="Q54" s="163">
        <f>Sheet7!AO8</f>
        <v>40</v>
      </c>
      <c r="R54" s="163">
        <f>Sheet7!AP8</f>
        <v>57</v>
      </c>
      <c r="S54" s="163">
        <f>Sheet7!AQ8</f>
        <v>85</v>
      </c>
      <c r="T54" s="163">
        <f>Sheet7!AR8</f>
        <v>81</v>
      </c>
      <c r="U54" s="163">
        <f>Sheet7!AS8</f>
        <v>84</v>
      </c>
      <c r="V54" s="163">
        <f>Sheet7!AT8</f>
        <v>70</v>
      </c>
      <c r="W54" s="163">
        <f>Sheet7!AU8</f>
        <v>79</v>
      </c>
      <c r="X54" s="163">
        <f>Sheet7!AV8</f>
        <v>70</v>
      </c>
      <c r="Y54" s="163">
        <f>Sheet7!AW8</f>
        <v>31</v>
      </c>
      <c r="Z54" s="199"/>
      <c r="AA54" s="585">
        <f t="shared" si="4"/>
        <v>1140</v>
      </c>
      <c r="AB54" s="4"/>
    </row>
    <row r="55" spans="1:28" ht="13.5" customHeight="1" x14ac:dyDescent="0.2">
      <c r="A55" s="29" t="str">
        <f>Sheet7!A9</f>
        <v>2014-15</v>
      </c>
      <c r="B55" s="15">
        <f>Sheet7!Z9</f>
        <v>40</v>
      </c>
      <c r="C55" s="163">
        <f>Sheet7!AA9</f>
        <v>29</v>
      </c>
      <c r="D55" s="163">
        <f>Sheet7!AB9</f>
        <v>38</v>
      </c>
      <c r="E55" s="163">
        <f>Sheet7!AC9</f>
        <v>30</v>
      </c>
      <c r="F55" s="163">
        <f>Sheet7!AD9</f>
        <v>20</v>
      </c>
      <c r="G55" s="163">
        <f>Sheet7!AE9</f>
        <v>30</v>
      </c>
      <c r="H55" s="163">
        <f>Sheet7!AF9</f>
        <v>18</v>
      </c>
      <c r="I55" s="163">
        <f>Sheet7!AG9</f>
        <v>10</v>
      </c>
      <c r="J55" s="163">
        <f>Sheet7!AH9</f>
        <v>26</v>
      </c>
      <c r="K55" s="163">
        <f>Sheet7!AI9</f>
        <v>24</v>
      </c>
      <c r="L55" s="163">
        <f>Sheet7!AJ9</f>
        <v>31</v>
      </c>
      <c r="M55" s="163">
        <f>Sheet7!AK9</f>
        <v>29</v>
      </c>
      <c r="N55" s="163">
        <f>Sheet7!AL9</f>
        <v>18</v>
      </c>
      <c r="O55" s="163">
        <f>Sheet7!AM9</f>
        <v>28</v>
      </c>
      <c r="P55" s="163">
        <f>Sheet7!AN9</f>
        <v>40</v>
      </c>
      <c r="Q55" s="163">
        <f>Sheet7!AO9</f>
        <v>33</v>
      </c>
      <c r="R55" s="163">
        <f>Sheet7!AP9</f>
        <v>40</v>
      </c>
      <c r="S55" s="163">
        <f>Sheet7!AQ9</f>
        <v>75</v>
      </c>
      <c r="T55" s="163">
        <f>Sheet7!AR9</f>
        <v>60</v>
      </c>
      <c r="U55" s="163">
        <f>Sheet7!AS9</f>
        <v>84</v>
      </c>
      <c r="V55" s="163">
        <f>Sheet7!AT9</f>
        <v>73</v>
      </c>
      <c r="W55" s="163">
        <f>Sheet7!AU9</f>
        <v>68</v>
      </c>
      <c r="X55" s="163">
        <f>Sheet7!AV9</f>
        <v>50</v>
      </c>
      <c r="Y55" s="163">
        <f>Sheet7!AW9</f>
        <v>53</v>
      </c>
      <c r="Z55" s="199"/>
      <c r="AA55" s="585">
        <f t="shared" si="4"/>
        <v>947</v>
      </c>
      <c r="AB55" s="4"/>
    </row>
    <row r="56" spans="1:28" ht="13.5" customHeight="1" x14ac:dyDescent="0.2">
      <c r="A56" s="825" t="str">
        <f>Sheet7!A10</f>
        <v>2015-16</v>
      </c>
      <c r="B56" s="15">
        <f>Sheet7!Z10</f>
        <v>34</v>
      </c>
      <c r="C56" s="163">
        <f>Sheet7!AA10</f>
        <v>38</v>
      </c>
      <c r="D56" s="163">
        <f>Sheet7!AB10</f>
        <v>42</v>
      </c>
      <c r="E56" s="163">
        <f>Sheet7!AC10</f>
        <v>43</v>
      </c>
      <c r="F56" s="163">
        <f>Sheet7!AD10</f>
        <v>27</v>
      </c>
      <c r="G56" s="163">
        <f>Sheet7!AE10</f>
        <v>18</v>
      </c>
      <c r="H56" s="163">
        <f>Sheet7!AF10</f>
        <v>25</v>
      </c>
      <c r="I56" s="163">
        <f>Sheet7!AG10</f>
        <v>15</v>
      </c>
      <c r="J56" s="163">
        <f>Sheet7!AH10</f>
        <v>32</v>
      </c>
      <c r="K56" s="163">
        <f>Sheet7!AI10</f>
        <v>19</v>
      </c>
      <c r="L56" s="163">
        <f>Sheet7!AJ10</f>
        <v>22</v>
      </c>
      <c r="M56" s="163">
        <f>Sheet7!AK10</f>
        <v>28</v>
      </c>
      <c r="N56" s="163">
        <f>Sheet7!AL10</f>
        <v>28</v>
      </c>
      <c r="O56" s="163">
        <f>Sheet7!AM10</f>
        <v>39</v>
      </c>
      <c r="P56" s="163">
        <f>Sheet7!AN10</f>
        <v>54</v>
      </c>
      <c r="Q56" s="163">
        <f>Sheet7!AO10</f>
        <v>55</v>
      </c>
      <c r="R56" s="163">
        <f>Sheet7!AP10</f>
        <v>63</v>
      </c>
      <c r="S56" s="163">
        <f>Sheet7!AQ10</f>
        <v>75</v>
      </c>
      <c r="T56" s="163">
        <f>Sheet7!AR10</f>
        <v>79</v>
      </c>
      <c r="U56" s="163">
        <f>Sheet7!AS10</f>
        <v>71</v>
      </c>
      <c r="V56" s="163">
        <f>Sheet7!AT10</f>
        <v>70</v>
      </c>
      <c r="W56" s="163">
        <f>Sheet7!AU10</f>
        <v>68</v>
      </c>
      <c r="X56" s="163">
        <f>Sheet7!AV10</f>
        <v>51</v>
      </c>
      <c r="Y56" s="163">
        <f>Sheet7!AW10</f>
        <v>67</v>
      </c>
      <c r="Z56" s="199"/>
      <c r="AA56" s="585">
        <f t="shared" si="4"/>
        <v>1063</v>
      </c>
      <c r="AB56" s="4"/>
    </row>
    <row r="57" spans="1:28" ht="13.5" customHeight="1" x14ac:dyDescent="0.2">
      <c r="A57" s="825" t="str">
        <f>Sheet7!A11</f>
        <v>2016-17</v>
      </c>
      <c r="B57" s="15">
        <f>Sheet7!Z11</f>
        <v>52</v>
      </c>
      <c r="C57" s="163">
        <f>Sheet7!AA11</f>
        <v>61</v>
      </c>
      <c r="D57" s="163">
        <f>Sheet7!AB11</f>
        <v>45</v>
      </c>
      <c r="E57" s="163">
        <f>Sheet7!AC11</f>
        <v>37</v>
      </c>
      <c r="F57" s="163">
        <f>Sheet7!AD11</f>
        <v>42</v>
      </c>
      <c r="G57" s="163">
        <f>Sheet7!AE11</f>
        <v>24</v>
      </c>
      <c r="H57" s="163">
        <f>Sheet7!AF11</f>
        <v>32</v>
      </c>
      <c r="I57" s="163">
        <f>Sheet7!AG11</f>
        <v>26</v>
      </c>
      <c r="J57" s="163">
        <f>Sheet7!AH11</f>
        <v>30</v>
      </c>
      <c r="K57" s="163">
        <f>Sheet7!AI11</f>
        <v>30</v>
      </c>
      <c r="L57" s="163">
        <f>Sheet7!AJ11</f>
        <v>27</v>
      </c>
      <c r="M57" s="163">
        <f>Sheet7!AK11</f>
        <v>50</v>
      </c>
      <c r="N57" s="163">
        <f>Sheet7!AL11</f>
        <v>22</v>
      </c>
      <c r="O57" s="163">
        <f>Sheet7!AM11</f>
        <v>35</v>
      </c>
      <c r="P57" s="163">
        <f>Sheet7!AN11</f>
        <v>43</v>
      </c>
      <c r="Q57" s="163">
        <f>Sheet7!AO11</f>
        <v>37</v>
      </c>
      <c r="R57" s="163">
        <f>Sheet7!AP11</f>
        <v>73</v>
      </c>
      <c r="S57" s="163">
        <f>Sheet7!AQ11</f>
        <v>72</v>
      </c>
      <c r="T57" s="163">
        <f>Sheet7!AR11</f>
        <v>53</v>
      </c>
      <c r="U57" s="163">
        <f>Sheet7!AS11</f>
        <v>78</v>
      </c>
      <c r="V57" s="163">
        <f>Sheet7!AT11</f>
        <v>61</v>
      </c>
      <c r="W57" s="163">
        <f>Sheet7!AU11</f>
        <v>60</v>
      </c>
      <c r="X57" s="163">
        <f>Sheet7!AV11</f>
        <v>65</v>
      </c>
      <c r="Y57" s="163">
        <f>Sheet7!AW11</f>
        <v>60</v>
      </c>
      <c r="Z57" s="199"/>
      <c r="AA57" s="585">
        <f t="shared" si="4"/>
        <v>1115</v>
      </c>
      <c r="AB57" s="4"/>
    </row>
    <row r="58" spans="1:28" ht="13.5" customHeight="1" x14ac:dyDescent="0.2">
      <c r="A58" s="825" t="str">
        <f>Sheet7!A12</f>
        <v>2017-18</v>
      </c>
      <c r="B58" s="15">
        <f>Sheet7!Z12</f>
        <v>51</v>
      </c>
      <c r="C58" s="163">
        <f>Sheet7!AA12</f>
        <v>31</v>
      </c>
      <c r="D58" s="163">
        <f>Sheet7!AB12</f>
        <v>30</v>
      </c>
      <c r="E58" s="163">
        <f>Sheet7!AC12</f>
        <v>30</v>
      </c>
      <c r="F58" s="163">
        <f>Sheet7!AD12</f>
        <v>26</v>
      </c>
      <c r="G58" s="163">
        <f>Sheet7!AE12</f>
        <v>25</v>
      </c>
      <c r="H58" s="163">
        <f>Sheet7!AF12</f>
        <v>14</v>
      </c>
      <c r="I58" s="163">
        <f>Sheet7!AG12</f>
        <v>16</v>
      </c>
      <c r="J58" s="163">
        <f>Sheet7!AH12</f>
        <v>28</v>
      </c>
      <c r="K58" s="163">
        <f>Sheet7!AI12</f>
        <v>16</v>
      </c>
      <c r="L58" s="163">
        <f>Sheet7!AJ12</f>
        <v>26</v>
      </c>
      <c r="M58" s="163">
        <f>Sheet7!AK12</f>
        <v>33</v>
      </c>
      <c r="N58" s="163">
        <f>Sheet7!AL12</f>
        <v>27</v>
      </c>
      <c r="O58" s="163">
        <f>Sheet7!AM12</f>
        <v>37</v>
      </c>
      <c r="P58" s="163">
        <f>Sheet7!AN12</f>
        <v>37</v>
      </c>
      <c r="Q58" s="163">
        <f>Sheet7!AO12</f>
        <v>43</v>
      </c>
      <c r="R58" s="163">
        <f>Sheet7!AP12</f>
        <v>55</v>
      </c>
      <c r="S58" s="163">
        <f>Sheet7!AQ12</f>
        <v>78</v>
      </c>
      <c r="T58" s="163">
        <f>Sheet7!AR12</f>
        <v>64</v>
      </c>
      <c r="U58" s="163">
        <f>Sheet7!AS12</f>
        <v>48</v>
      </c>
      <c r="V58" s="163">
        <f>Sheet7!AT12</f>
        <v>57</v>
      </c>
      <c r="W58" s="163">
        <f>Sheet7!AU12</f>
        <v>52</v>
      </c>
      <c r="X58" s="163">
        <f>Sheet7!AV12</f>
        <v>52</v>
      </c>
      <c r="Y58" s="163">
        <f>Sheet7!AW12</f>
        <v>45</v>
      </c>
      <c r="Z58" s="199"/>
      <c r="AA58" s="585">
        <f t="shared" si="4"/>
        <v>921</v>
      </c>
      <c r="AB58" s="4"/>
    </row>
    <row r="59" spans="1:28" ht="13.5" customHeight="1" x14ac:dyDescent="0.2">
      <c r="A59" s="825" t="str">
        <f>Sheet7!A13</f>
        <v>2018-19</v>
      </c>
      <c r="B59" s="15">
        <f>Sheet7!Z13</f>
        <v>47</v>
      </c>
      <c r="C59" s="163">
        <f>Sheet7!AA13</f>
        <v>60</v>
      </c>
      <c r="D59" s="163">
        <f>Sheet7!AB13</f>
        <v>36</v>
      </c>
      <c r="E59" s="163">
        <f>Sheet7!AC13</f>
        <v>52</v>
      </c>
      <c r="F59" s="163">
        <f>Sheet7!AD13</f>
        <v>26</v>
      </c>
      <c r="G59" s="163">
        <f>Sheet7!AE13</f>
        <v>20</v>
      </c>
      <c r="H59" s="163">
        <f>Sheet7!AF13</f>
        <v>19</v>
      </c>
      <c r="I59" s="163">
        <f>Sheet7!AG13</f>
        <v>24</v>
      </c>
      <c r="J59" s="163">
        <f>Sheet7!AH13</f>
        <v>20</v>
      </c>
      <c r="K59" s="163">
        <f>Sheet7!AI13</f>
        <v>27</v>
      </c>
      <c r="L59" s="163">
        <f>Sheet7!AJ13</f>
        <v>15</v>
      </c>
      <c r="M59" s="163">
        <f>Sheet7!AK13</f>
        <v>24</v>
      </c>
      <c r="N59" s="163">
        <f>Sheet7!AL13</f>
        <v>34</v>
      </c>
      <c r="O59" s="163">
        <f>Sheet7!AM13</f>
        <v>37</v>
      </c>
      <c r="P59" s="163">
        <f>Sheet7!AN13</f>
        <v>32</v>
      </c>
      <c r="Q59" s="163">
        <f>Sheet7!AO13</f>
        <v>40</v>
      </c>
      <c r="R59" s="163">
        <f>Sheet7!AP13</f>
        <v>77</v>
      </c>
      <c r="S59" s="163">
        <f>Sheet7!AQ13</f>
        <v>63</v>
      </c>
      <c r="T59" s="163">
        <f>Sheet7!AR13</f>
        <v>77</v>
      </c>
      <c r="U59" s="163">
        <f>Sheet7!AS13</f>
        <v>70</v>
      </c>
      <c r="V59" s="163">
        <f>Sheet7!AT13</f>
        <v>57</v>
      </c>
      <c r="W59" s="163">
        <f>Sheet7!AU13</f>
        <v>50</v>
      </c>
      <c r="X59" s="163">
        <f>Sheet7!AV13</f>
        <v>50</v>
      </c>
      <c r="Y59" s="163">
        <f>Sheet7!AW13</f>
        <v>59</v>
      </c>
      <c r="Z59" s="199"/>
      <c r="AA59" s="585">
        <f t="shared" si="4"/>
        <v>1016</v>
      </c>
      <c r="AB59" s="4"/>
    </row>
    <row r="60" spans="1:28" ht="13.5" customHeight="1" x14ac:dyDescent="0.2">
      <c r="A60" s="5" t="str">
        <f>Sheet7!A14</f>
        <v>2019-20</v>
      </c>
      <c r="B60" s="15">
        <f>Sheet7!Z14</f>
        <v>36</v>
      </c>
      <c r="C60" s="163">
        <f>Sheet7!AA14</f>
        <v>44</v>
      </c>
      <c r="D60" s="163">
        <f>Sheet7!AB14</f>
        <v>39</v>
      </c>
      <c r="E60" s="163">
        <f>Sheet7!AC14</f>
        <v>26</v>
      </c>
      <c r="F60" s="163">
        <f>Sheet7!AD14</f>
        <v>31</v>
      </c>
      <c r="G60" s="163">
        <f>Sheet7!AE14</f>
        <v>11</v>
      </c>
      <c r="H60" s="163">
        <f>Sheet7!AF14</f>
        <v>24</v>
      </c>
      <c r="I60" s="163">
        <f>Sheet7!AG14</f>
        <v>16</v>
      </c>
      <c r="J60" s="163">
        <f>Sheet7!AH14</f>
        <v>24</v>
      </c>
      <c r="K60" s="163">
        <f>Sheet7!AI14</f>
        <v>37</v>
      </c>
      <c r="L60" s="163">
        <f>Sheet7!AJ14</f>
        <v>22</v>
      </c>
      <c r="M60" s="163">
        <f>Sheet7!AK14</f>
        <v>22</v>
      </c>
      <c r="N60" s="163">
        <f>Sheet7!AL14</f>
        <v>22</v>
      </c>
      <c r="O60" s="163">
        <f>Sheet7!AM14</f>
        <v>19</v>
      </c>
      <c r="P60" s="163">
        <f>Sheet7!AN14</f>
        <v>35</v>
      </c>
      <c r="Q60" s="163">
        <f>Sheet7!AO14</f>
        <v>29</v>
      </c>
      <c r="R60" s="163">
        <f>Sheet7!AP14</f>
        <v>55</v>
      </c>
      <c r="S60" s="163">
        <f>Sheet7!AQ14</f>
        <v>55</v>
      </c>
      <c r="T60" s="163">
        <f>Sheet7!AR14</f>
        <v>71</v>
      </c>
      <c r="U60" s="163">
        <f>Sheet7!AS14</f>
        <v>55</v>
      </c>
      <c r="V60" s="163">
        <f>Sheet7!AT14</f>
        <v>57</v>
      </c>
      <c r="W60" s="163">
        <f>Sheet7!AU14</f>
        <v>45</v>
      </c>
      <c r="X60" s="163">
        <f>Sheet7!AV14</f>
        <v>58</v>
      </c>
      <c r="Y60" s="163">
        <f>Sheet7!AW14</f>
        <v>44</v>
      </c>
      <c r="Z60" s="199"/>
      <c r="AA60" s="585">
        <f t="shared" si="4"/>
        <v>877</v>
      </c>
      <c r="AB60" s="4"/>
    </row>
    <row r="61" spans="1:28" ht="13.5" customHeight="1" thickBot="1" x14ac:dyDescent="0.25">
      <c r="A61" s="833" t="str">
        <f>Sheet7!A15</f>
        <v>2020-21</v>
      </c>
      <c r="B61" s="790">
        <f>Sheet7!Z15</f>
        <v>24</v>
      </c>
      <c r="C61" s="834">
        <f>Sheet7!AA15</f>
        <v>25</v>
      </c>
      <c r="D61" s="834">
        <f>Sheet7!AB15</f>
        <v>32</v>
      </c>
      <c r="E61" s="834">
        <f>Sheet7!AC15</f>
        <v>31</v>
      </c>
      <c r="F61" s="834">
        <f>Sheet7!AD15</f>
        <v>27</v>
      </c>
      <c r="G61" s="834">
        <f>Sheet7!AE15</f>
        <v>11</v>
      </c>
      <c r="H61" s="834">
        <f>Sheet7!AF15</f>
        <v>15</v>
      </c>
      <c r="I61" s="834">
        <f>Sheet7!AG15</f>
        <v>13</v>
      </c>
      <c r="J61" s="834">
        <f>Sheet7!AH15</f>
        <v>9</v>
      </c>
      <c r="K61" s="834">
        <f>Sheet7!AI15</f>
        <v>22</v>
      </c>
      <c r="L61" s="834">
        <f>Sheet7!AJ15</f>
        <v>20</v>
      </c>
      <c r="M61" s="834">
        <f>Sheet7!AK15</f>
        <v>36</v>
      </c>
      <c r="N61" s="834">
        <f>Sheet7!AL15</f>
        <v>40</v>
      </c>
      <c r="O61" s="834">
        <f>Sheet7!AM15</f>
        <v>44</v>
      </c>
      <c r="P61" s="834">
        <f>Sheet7!AN15</f>
        <v>37</v>
      </c>
      <c r="Q61" s="834">
        <f>Sheet7!AO15</f>
        <v>38</v>
      </c>
      <c r="R61" s="834">
        <f>Sheet7!AP15</f>
        <v>50</v>
      </c>
      <c r="S61" s="834">
        <f>Sheet7!AQ15</f>
        <v>72</v>
      </c>
      <c r="T61" s="834">
        <f>Sheet7!AR15</f>
        <v>50</v>
      </c>
      <c r="U61" s="834">
        <f>Sheet7!AS15</f>
        <v>54</v>
      </c>
      <c r="V61" s="834">
        <f>Sheet7!AT15</f>
        <v>69</v>
      </c>
      <c r="W61" s="834">
        <f>Sheet7!AU15</f>
        <v>57</v>
      </c>
      <c r="X61" s="834">
        <f>Sheet7!AV15</f>
        <v>47</v>
      </c>
      <c r="Y61" s="834">
        <f>Sheet7!AW15</f>
        <v>53</v>
      </c>
      <c r="Z61" s="823"/>
      <c r="AA61" s="828">
        <f t="shared" ref="AA61" si="5">SUM(B61:Z61)</f>
        <v>876</v>
      </c>
      <c r="AB61" s="4"/>
    </row>
    <row r="62" spans="1:28" ht="13.5" customHeight="1" x14ac:dyDescent="0.2">
      <c r="A62" s="5"/>
      <c r="B62" s="15"/>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99"/>
      <c r="AA62" s="585"/>
      <c r="AB62" s="4"/>
    </row>
    <row r="63" spans="1:28" ht="13.5" customHeight="1" thickBot="1" x14ac:dyDescent="0.25">
      <c r="A63" s="726" t="s">
        <v>814</v>
      </c>
      <c r="B63" s="829">
        <f>AVERAGE(B50:B61)</f>
        <v>47.25</v>
      </c>
      <c r="C63" s="829">
        <f t="shared" ref="C63:AA63" si="6">AVERAGE(C50:C61)</f>
        <v>43.666666666666664</v>
      </c>
      <c r="D63" s="829">
        <f t="shared" si="6"/>
        <v>42.666666666666664</v>
      </c>
      <c r="E63" s="829">
        <f t="shared" si="6"/>
        <v>38.833333333333336</v>
      </c>
      <c r="F63" s="829">
        <f t="shared" si="6"/>
        <v>31.833333333333332</v>
      </c>
      <c r="G63" s="829">
        <f t="shared" si="6"/>
        <v>22.833333333333332</v>
      </c>
      <c r="H63" s="829">
        <f t="shared" si="6"/>
        <v>20</v>
      </c>
      <c r="I63" s="829">
        <f t="shared" si="6"/>
        <v>19.5</v>
      </c>
      <c r="J63" s="829">
        <f t="shared" si="6"/>
        <v>22.416666666666668</v>
      </c>
      <c r="K63" s="829">
        <f t="shared" si="6"/>
        <v>26.166666666666668</v>
      </c>
      <c r="L63" s="829">
        <f t="shared" si="6"/>
        <v>24.583333333333332</v>
      </c>
      <c r="M63" s="829">
        <f t="shared" si="6"/>
        <v>31</v>
      </c>
      <c r="N63" s="829">
        <f t="shared" si="6"/>
        <v>32</v>
      </c>
      <c r="O63" s="829">
        <f t="shared" si="6"/>
        <v>34.25</v>
      </c>
      <c r="P63" s="829">
        <f t="shared" si="6"/>
        <v>38.5</v>
      </c>
      <c r="Q63" s="829">
        <f t="shared" si="6"/>
        <v>39.583333333333336</v>
      </c>
      <c r="R63" s="829">
        <f t="shared" si="6"/>
        <v>59.25</v>
      </c>
      <c r="S63" s="829">
        <f t="shared" si="6"/>
        <v>72.833333333333329</v>
      </c>
      <c r="T63" s="829">
        <f t="shared" si="6"/>
        <v>74.916666666666671</v>
      </c>
      <c r="U63" s="829">
        <f t="shared" si="6"/>
        <v>72.333333333333329</v>
      </c>
      <c r="V63" s="829">
        <f t="shared" si="6"/>
        <v>69.083333333333329</v>
      </c>
      <c r="W63" s="829">
        <f t="shared" si="6"/>
        <v>64.666666666666671</v>
      </c>
      <c r="X63" s="829">
        <f t="shared" si="6"/>
        <v>58.333333333333336</v>
      </c>
      <c r="Y63" s="829">
        <f t="shared" si="6"/>
        <v>56.333333333333336</v>
      </c>
      <c r="Z63" s="829"/>
      <c r="AA63" s="829">
        <f t="shared" si="6"/>
        <v>1042.8333333333333</v>
      </c>
      <c r="AB63" s="4"/>
    </row>
    <row r="64" spans="1:28" x14ac:dyDescent="0.2">
      <c r="A64" s="29"/>
      <c r="B64" s="15"/>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2"/>
      <c r="AA64" s="201"/>
      <c r="AB64" s="4"/>
    </row>
    <row r="65" spans="1:28" ht="14.25" x14ac:dyDescent="0.2">
      <c r="A65" s="239"/>
      <c r="B65" s="1"/>
      <c r="C65" s="1"/>
      <c r="D65" s="1"/>
      <c r="E65" s="1"/>
      <c r="F65" s="1"/>
      <c r="G65" s="1"/>
      <c r="H65" s="1"/>
      <c r="I65" s="1"/>
      <c r="J65" s="1"/>
      <c r="K65" s="1"/>
      <c r="L65" s="1"/>
      <c r="M65" s="1"/>
      <c r="N65" s="1"/>
      <c r="O65" s="1"/>
      <c r="P65" s="1"/>
      <c r="Q65" s="1"/>
      <c r="R65" s="1"/>
      <c r="S65" s="1"/>
      <c r="T65" s="1"/>
      <c r="U65" s="1"/>
      <c r="V65" s="1"/>
      <c r="W65" s="1"/>
      <c r="X65" s="1"/>
      <c r="Y65" s="1"/>
      <c r="Z65" s="1"/>
      <c r="AA65" s="60" t="s">
        <v>57</v>
      </c>
      <c r="AB65" s="1"/>
    </row>
    <row r="66" spans="1:28" ht="18.75" customHeight="1" x14ac:dyDescent="0.2">
      <c r="A66" s="1317" t="s">
        <v>4</v>
      </c>
      <c r="B66" s="1423" t="s">
        <v>816</v>
      </c>
      <c r="C66" s="1423"/>
      <c r="D66" s="1423"/>
      <c r="E66" s="1423"/>
      <c r="F66" s="1423"/>
      <c r="G66" s="1423"/>
      <c r="H66" s="1423"/>
      <c r="I66" s="1423"/>
      <c r="J66" s="1423"/>
      <c r="K66" s="1423"/>
      <c r="L66" s="1423"/>
      <c r="M66" s="1423"/>
      <c r="N66" s="1423"/>
      <c r="O66" s="1423"/>
      <c r="P66" s="1423"/>
      <c r="Q66" s="1423"/>
      <c r="R66" s="1423"/>
      <c r="S66" s="1423"/>
      <c r="T66" s="1423"/>
      <c r="U66" s="1423"/>
      <c r="V66" s="1423"/>
      <c r="W66" s="1423"/>
      <c r="X66" s="1423"/>
      <c r="Y66" s="1423"/>
      <c r="Z66" s="1423"/>
      <c r="AA66" s="1359" t="s">
        <v>325</v>
      </c>
    </row>
    <row r="67" spans="1:28" ht="18.75" customHeight="1" x14ac:dyDescent="0.2">
      <c r="A67" s="1317"/>
      <c r="B67" s="201" t="s">
        <v>251</v>
      </c>
      <c r="C67" s="201" t="s">
        <v>225</v>
      </c>
      <c r="D67" s="201" t="s">
        <v>226</v>
      </c>
      <c r="E67" s="201" t="s">
        <v>227</v>
      </c>
      <c r="F67" s="201" t="s">
        <v>228</v>
      </c>
      <c r="G67" s="201" t="s">
        <v>229</v>
      </c>
      <c r="H67" s="201" t="s">
        <v>230</v>
      </c>
      <c r="I67" s="201" t="s">
        <v>231</v>
      </c>
      <c r="J67" s="201" t="s">
        <v>232</v>
      </c>
      <c r="K67" s="201" t="s">
        <v>233</v>
      </c>
      <c r="L67" s="201" t="s">
        <v>234</v>
      </c>
      <c r="M67" s="201" t="s">
        <v>235</v>
      </c>
      <c r="N67" s="201" t="s">
        <v>257</v>
      </c>
      <c r="O67" s="201" t="s">
        <v>236</v>
      </c>
      <c r="P67" s="201" t="s">
        <v>237</v>
      </c>
      <c r="Q67" s="201" t="s">
        <v>238</v>
      </c>
      <c r="R67" s="201" t="s">
        <v>239</v>
      </c>
      <c r="S67" s="201" t="s">
        <v>240</v>
      </c>
      <c r="T67" s="201" t="s">
        <v>241</v>
      </c>
      <c r="U67" s="201" t="s">
        <v>242</v>
      </c>
      <c r="V67" s="201" t="s">
        <v>243</v>
      </c>
      <c r="W67" s="201" t="s">
        <v>244</v>
      </c>
      <c r="X67" s="201" t="s">
        <v>245</v>
      </c>
      <c r="Y67" s="201" t="s">
        <v>246</v>
      </c>
      <c r="Z67" s="201" t="s">
        <v>201</v>
      </c>
      <c r="AA67" s="1359"/>
    </row>
    <row r="68" spans="1:28" ht="13.5" customHeight="1" x14ac:dyDescent="0.2">
      <c r="A68" s="826" t="str">
        <f>Sheet7!A4</f>
        <v>2009-10</v>
      </c>
      <c r="B68" s="835">
        <f>B50/'Time of Call'!B29*1000</f>
        <v>194.21487603305783</v>
      </c>
      <c r="C68" s="835">
        <f>C50/'Time of Call'!C29*1000</f>
        <v>132.0754716981132</v>
      </c>
      <c r="D68" s="835">
        <f>D50/'Time of Call'!D29*1000</f>
        <v>211.82266009852216</v>
      </c>
      <c r="E68" s="835">
        <f>E50/'Time of Call'!E29*1000</f>
        <v>245.71428571428572</v>
      </c>
      <c r="F68" s="835">
        <f>F50/'Time of Call'!F29*1000</f>
        <v>179.1044776119403</v>
      </c>
      <c r="G68" s="835">
        <f>G50/'Time of Call'!G29*1000</f>
        <v>285.71428571428572</v>
      </c>
      <c r="H68" s="835">
        <f>H50/'Time of Call'!H29*1000</f>
        <v>285.71428571428572</v>
      </c>
      <c r="I68" s="835">
        <f>I50/'Time of Call'!I29*1000</f>
        <v>180.95238095238093</v>
      </c>
      <c r="J68" s="835">
        <f>J50/'Time of Call'!J29*1000</f>
        <v>222.2222222222222</v>
      </c>
      <c r="K68" s="835">
        <f>K50/'Time of Call'!K29*1000</f>
        <v>213.33333333333334</v>
      </c>
      <c r="L68" s="835">
        <f>L50/'Time of Call'!L29*1000</f>
        <v>134.50292397660817</v>
      </c>
      <c r="M68" s="835">
        <f>M50/'Time of Call'!M29*1000</f>
        <v>99.206349206349202</v>
      </c>
      <c r="N68" s="835">
        <f>N50/'Time of Call'!N29*1000</f>
        <v>130.87248322147653</v>
      </c>
      <c r="O68" s="835">
        <f>O50/'Time of Call'!O29*1000</f>
        <v>81.25</v>
      </c>
      <c r="P68" s="835">
        <f>P50/'Time of Call'!P29*1000</f>
        <v>109.32475884244373</v>
      </c>
      <c r="Q68" s="835">
        <f>Q50/'Time of Call'!Q29*1000</f>
        <v>103.65853658536585</v>
      </c>
      <c r="R68" s="835">
        <f>R50/'Time of Call'!R29*1000</f>
        <v>131.57894736842104</v>
      </c>
      <c r="S68" s="835">
        <f>S50/'Time of Call'!S29*1000</f>
        <v>151.51515151515153</v>
      </c>
      <c r="T68" s="835">
        <f>T50/'Time of Call'!T29*1000</f>
        <v>151.22873345935727</v>
      </c>
      <c r="U68" s="835">
        <f>U50/'Time of Call'!U29*1000</f>
        <v>151.06382978723403</v>
      </c>
      <c r="V68" s="835">
        <f>V50/'Time of Call'!V29*1000</f>
        <v>153.47721822541965</v>
      </c>
      <c r="W68" s="835">
        <f>W50/'Time of Call'!W29*1000</f>
        <v>182.51928020565552</v>
      </c>
      <c r="X68" s="835">
        <f>X50/'Time of Call'!X29*1000</f>
        <v>157.18157181571814</v>
      </c>
      <c r="Y68" s="835">
        <f>Y50/'Time of Call'!Y29*1000</f>
        <v>231.83391003460207</v>
      </c>
      <c r="Z68" s="835"/>
      <c r="AA68" s="836">
        <f>AA50/'Time of Call'!AA29*1000</f>
        <v>157.3170731707317</v>
      </c>
      <c r="AB68" s="1"/>
    </row>
    <row r="69" spans="1:28" ht="13.5" customHeight="1" x14ac:dyDescent="0.2">
      <c r="A69" s="2" t="str">
        <f>Sheet7!A5</f>
        <v>2010-11</v>
      </c>
      <c r="B69" s="204">
        <f>B51/'Time of Call'!B30*1000</f>
        <v>269.56521739130437</v>
      </c>
      <c r="C69" s="204">
        <f>C51/'Time of Call'!C30*1000</f>
        <v>247.01195219123505</v>
      </c>
      <c r="D69" s="204">
        <f>D51/'Time of Call'!D30*1000</f>
        <v>287.29281767955803</v>
      </c>
      <c r="E69" s="204">
        <f>E51/'Time of Call'!E30*1000</f>
        <v>183.54430379746836</v>
      </c>
      <c r="F69" s="204">
        <f>F51/'Time of Call'!F30*1000</f>
        <v>273.50427350427356</v>
      </c>
      <c r="G69" s="204">
        <f>G51/'Time of Call'!G30*1000</f>
        <v>222.2222222222222</v>
      </c>
      <c r="H69" s="204">
        <f>H51/'Time of Call'!H30*1000</f>
        <v>283.95061728395058</v>
      </c>
      <c r="I69" s="204">
        <f>I51/'Time of Call'!I30*1000</f>
        <v>267.32673267326732</v>
      </c>
      <c r="J69" s="204">
        <f>J51/'Time of Call'!J30*1000</f>
        <v>175.92592592592592</v>
      </c>
      <c r="K69" s="204">
        <f>K51/'Time of Call'!K30*1000</f>
        <v>175.32467532467533</v>
      </c>
      <c r="L69" s="204">
        <f>L51/'Time of Call'!L30*1000</f>
        <v>162.16216216216216</v>
      </c>
      <c r="M69" s="204">
        <f>M51/'Time of Call'!M30*1000</f>
        <v>175.43859649122805</v>
      </c>
      <c r="N69" s="204">
        <f>N51/'Time of Call'!N30*1000</f>
        <v>164.94845360824743</v>
      </c>
      <c r="O69" s="204">
        <f>O51/'Time of Call'!O30*1000</f>
        <v>102.47349823321555</v>
      </c>
      <c r="P69" s="204">
        <f>P51/'Time of Call'!P30*1000</f>
        <v>108.35913312693499</v>
      </c>
      <c r="Q69" s="204">
        <f>Q51/'Time of Call'!Q30*1000</f>
        <v>97.087378640776691</v>
      </c>
      <c r="R69" s="204">
        <f>R51/'Time of Call'!R30*1000</f>
        <v>129.41176470588238</v>
      </c>
      <c r="S69" s="204">
        <f>S51/'Time of Call'!S30*1000</f>
        <v>137.29508196721312</v>
      </c>
      <c r="T69" s="204">
        <f>T51/'Time of Call'!T30*1000</f>
        <v>190.27484143763212</v>
      </c>
      <c r="U69" s="204">
        <f>U51/'Time of Call'!U30*1000</f>
        <v>207.58928571428572</v>
      </c>
      <c r="V69" s="204">
        <f>V51/'Time of Call'!V30*1000</f>
        <v>161.95372750642673</v>
      </c>
      <c r="W69" s="204">
        <f>W51/'Time of Call'!W30*1000</f>
        <v>223.49570200573066</v>
      </c>
      <c r="X69" s="204">
        <f>X51/'Time of Call'!X30*1000</f>
        <v>172.95597484276729</v>
      </c>
      <c r="Y69" s="204">
        <f>Y51/'Time of Call'!Y30*1000</f>
        <v>245.48736462093862</v>
      </c>
      <c r="Z69" s="204"/>
      <c r="AA69" s="587">
        <f>AA51/'Time of Call'!AA30*1000</f>
        <v>181.4714762434451</v>
      </c>
      <c r="AB69" s="1"/>
    </row>
    <row r="70" spans="1:28" ht="13.5" customHeight="1" x14ac:dyDescent="0.2">
      <c r="A70" s="29" t="str">
        <f>Sheet7!A6</f>
        <v>2011-12</v>
      </c>
      <c r="B70" s="204">
        <f>B52/'Time of Call'!B31*1000</f>
        <v>239.83739837398375</v>
      </c>
      <c r="C70" s="204">
        <f>C52/'Time of Call'!C31*1000</f>
        <v>197.04433497536948</v>
      </c>
      <c r="D70" s="204">
        <f>D52/'Time of Call'!D31*1000</f>
        <v>382.02247191011236</v>
      </c>
      <c r="E70" s="204">
        <f>E52/'Time of Call'!E31*1000</f>
        <v>259.74025974025972</v>
      </c>
      <c r="F70" s="204">
        <f>F52/'Time of Call'!F31*1000</f>
        <v>481.7518248175183</v>
      </c>
      <c r="G70" s="204">
        <f>G52/'Time of Call'!G31*1000</f>
        <v>277.22772277227727</v>
      </c>
      <c r="H70" s="204">
        <f>H52/'Time of Call'!H31*1000</f>
        <v>174.41860465116281</v>
      </c>
      <c r="I70" s="204">
        <f>I52/'Time of Call'!I31*1000</f>
        <v>290.32258064516134</v>
      </c>
      <c r="J70" s="204">
        <f>J52/'Time of Call'!J31*1000</f>
        <v>125.98425196850394</v>
      </c>
      <c r="K70" s="204">
        <f>K52/'Time of Call'!K31*1000</f>
        <v>185.43046357615896</v>
      </c>
      <c r="L70" s="204">
        <f>L52/'Time of Call'!L31*1000</f>
        <v>75.37688442211055</v>
      </c>
      <c r="M70" s="204">
        <f>M52/'Time of Call'!M31*1000</f>
        <v>92.827004219409289</v>
      </c>
      <c r="N70" s="204">
        <f>N52/'Time of Call'!N31*1000</f>
        <v>134.38735177865613</v>
      </c>
      <c r="O70" s="204">
        <f>O52/'Time of Call'!O31*1000</f>
        <v>133.56164383561645</v>
      </c>
      <c r="P70" s="204">
        <f>P52/'Time of Call'!P31*1000</f>
        <v>107.80669144981412</v>
      </c>
      <c r="Q70" s="204">
        <f>Q52/'Time of Call'!Q31*1000</f>
        <v>136.77811550151975</v>
      </c>
      <c r="R70" s="204">
        <f>R52/'Time of Call'!R31*1000</f>
        <v>171.83770883054891</v>
      </c>
      <c r="S70" s="204">
        <f>S52/'Time of Call'!S31*1000</f>
        <v>137.78705636743217</v>
      </c>
      <c r="T70" s="204">
        <f>T52/'Time of Call'!T31*1000</f>
        <v>236.60714285714286</v>
      </c>
      <c r="U70" s="204">
        <f>U52/'Time of Call'!U31*1000</f>
        <v>178.80794701986756</v>
      </c>
      <c r="V70" s="204">
        <f>V52/'Time of Call'!V31*1000</f>
        <v>222.2222222222222</v>
      </c>
      <c r="W70" s="204">
        <f>W52/'Time of Call'!W31*1000</f>
        <v>251.46198830409355</v>
      </c>
      <c r="X70" s="204">
        <f>X52/'Time of Call'!X31*1000</f>
        <v>264.28571428571428</v>
      </c>
      <c r="Y70" s="204">
        <f>Y52/'Time of Call'!Y31*1000</f>
        <v>267.44186046511624</v>
      </c>
      <c r="Z70" s="204"/>
      <c r="AA70" s="587">
        <f>AA52/'Time of Call'!AA31*1000</f>
        <v>197.98603215851875</v>
      </c>
      <c r="AB70" s="1"/>
    </row>
    <row r="71" spans="1:28" ht="13.5" customHeight="1" x14ac:dyDescent="0.2">
      <c r="A71" s="29" t="str">
        <f>Sheet7!A7</f>
        <v>2012-13</v>
      </c>
      <c r="B71" s="204">
        <f>B53/'Time of Call'!B32*1000</f>
        <v>298.16513761467888</v>
      </c>
      <c r="C71" s="204">
        <f>C53/'Time of Call'!C32*1000</f>
        <v>284.15300546448088</v>
      </c>
      <c r="D71" s="204">
        <f>D53/'Time of Call'!D32*1000</f>
        <v>187.5</v>
      </c>
      <c r="E71" s="204">
        <f>E53/'Time of Call'!E32*1000</f>
        <v>362.90322580645164</v>
      </c>
      <c r="F71" s="204">
        <f>F53/'Time of Call'!F32*1000</f>
        <v>226.8041237113402</v>
      </c>
      <c r="G71" s="204">
        <f>G53/'Time of Call'!G32*1000</f>
        <v>326.92307692307691</v>
      </c>
      <c r="H71" s="204">
        <f>H53/'Time of Call'!H32*1000</f>
        <v>141.02564102564102</v>
      </c>
      <c r="I71" s="204">
        <f>I53/'Time of Call'!I32*1000</f>
        <v>245.09803921568627</v>
      </c>
      <c r="J71" s="204">
        <f>J53/'Time of Call'!J32*1000</f>
        <v>176</v>
      </c>
      <c r="K71" s="204">
        <f>K53/'Time of Call'!K32*1000</f>
        <v>200</v>
      </c>
      <c r="L71" s="204">
        <f>L53/'Time of Call'!L32*1000</f>
        <v>170.32967032967034</v>
      </c>
      <c r="M71" s="204">
        <f>M53/'Time of Call'!M32*1000</f>
        <v>117.64705882352941</v>
      </c>
      <c r="N71" s="204">
        <f>N53/'Time of Call'!N32*1000</f>
        <v>134.52914798206277</v>
      </c>
      <c r="O71" s="204">
        <f>O53/'Time of Call'!O32*1000</f>
        <v>157.89473684210526</v>
      </c>
      <c r="P71" s="204">
        <f>P53/'Time of Call'!P32*1000</f>
        <v>164.28571428571428</v>
      </c>
      <c r="Q71" s="204">
        <f>Q53/'Time of Call'!Q32*1000</f>
        <v>156.92307692307691</v>
      </c>
      <c r="R71" s="204">
        <f>R53/'Time of Call'!R32*1000</f>
        <v>154.45026178010471</v>
      </c>
      <c r="S71" s="204">
        <f>S53/'Time of Call'!S32*1000</f>
        <v>186.8583162217659</v>
      </c>
      <c r="T71" s="204">
        <f>T53/'Time of Call'!T32*1000</f>
        <v>186.4406779661017</v>
      </c>
      <c r="U71" s="204">
        <f>U53/'Time of Call'!U32*1000</f>
        <v>192.6829268292683</v>
      </c>
      <c r="V71" s="204">
        <f>V53/'Time of Call'!V32*1000</f>
        <v>240.40920716112532</v>
      </c>
      <c r="W71" s="204">
        <f>W53/'Time of Call'!W32*1000</f>
        <v>199.35691318327974</v>
      </c>
      <c r="X71" s="204">
        <f>X53/'Time of Call'!X32*1000</f>
        <v>241.37931034482759</v>
      </c>
      <c r="Y71" s="204">
        <f>Y53/'Time of Call'!Y32*1000</f>
        <v>240</v>
      </c>
      <c r="Z71" s="204"/>
      <c r="AA71" s="587">
        <f>AA53/'Time of Call'!AA32*1000</f>
        <v>200.03431120260765</v>
      </c>
      <c r="AB71" s="1"/>
    </row>
    <row r="72" spans="1:28" ht="13.5" customHeight="1" x14ac:dyDescent="0.2">
      <c r="A72" s="29" t="str">
        <f>Sheet7!A8</f>
        <v>2013-14</v>
      </c>
      <c r="B72" s="204">
        <f>B54/'Time of Call'!B33*1000</f>
        <v>304.8780487804878</v>
      </c>
      <c r="C72" s="204">
        <f>C54/'Time of Call'!C33*1000</f>
        <v>362.41610738255031</v>
      </c>
      <c r="D72" s="204">
        <f>D54/'Time of Call'!D33*1000</f>
        <v>422.22222222222223</v>
      </c>
      <c r="E72" s="204">
        <f>E54/'Time of Call'!E33*1000</f>
        <v>512.82051282051282</v>
      </c>
      <c r="F72" s="204">
        <f>F54/'Time of Call'!F33*1000</f>
        <v>364.48598130841123</v>
      </c>
      <c r="G72" s="204">
        <f>G54/'Time of Call'!G33*1000</f>
        <v>240.50632911392407</v>
      </c>
      <c r="H72" s="204">
        <f>H54/'Time of Call'!H33*1000</f>
        <v>243.90243902439025</v>
      </c>
      <c r="I72" s="204">
        <f>I54/'Time of Call'!I33*1000</f>
        <v>155.33980582524271</v>
      </c>
      <c r="J72" s="204">
        <f>J54/'Time of Call'!J33*1000</f>
        <v>186.27450980392157</v>
      </c>
      <c r="K72" s="204">
        <f>K54/'Time of Call'!K33*1000</f>
        <v>136.69064748201441</v>
      </c>
      <c r="L72" s="204">
        <f>L54/'Time of Call'!L33*1000</f>
        <v>192.98245614035088</v>
      </c>
      <c r="M72" s="204">
        <f>M54/'Time of Call'!M33*1000</f>
        <v>195.97989949748742</v>
      </c>
      <c r="N72" s="204">
        <f>N54/'Time of Call'!N33*1000</f>
        <v>166.66666666666666</v>
      </c>
      <c r="O72" s="204">
        <f>O54/'Time of Call'!O33*1000</f>
        <v>134.83146067415731</v>
      </c>
      <c r="P72" s="204">
        <f>P54/'Time of Call'!P33*1000</f>
        <v>152.09125475285171</v>
      </c>
      <c r="Q72" s="204">
        <f>Q54/'Time of Call'!Q33*1000</f>
        <v>134.2281879194631</v>
      </c>
      <c r="R72" s="204">
        <f>R54/'Time of Call'!R33*1000</f>
        <v>168.14159292035399</v>
      </c>
      <c r="S72" s="204">
        <f>S54/'Time of Call'!S33*1000</f>
        <v>187.22466960352423</v>
      </c>
      <c r="T72" s="204">
        <f>T54/'Time of Call'!T33*1000</f>
        <v>191.48936170212767</v>
      </c>
      <c r="U72" s="204">
        <f>U54/'Time of Call'!U33*1000</f>
        <v>230.13698630136986</v>
      </c>
      <c r="V72" s="204">
        <f>V54/'Time of Call'!V33*1000</f>
        <v>199.43019943019942</v>
      </c>
      <c r="W72" s="204">
        <f>W54/'Time of Call'!W33*1000</f>
        <v>274.3055555555556</v>
      </c>
      <c r="X72" s="204">
        <f>X54/'Time of Call'!X33*1000</f>
        <v>256.41025641025641</v>
      </c>
      <c r="Y72" s="204">
        <f>Y54/'Time of Call'!Y33*1000</f>
        <v>152.70935960591135</v>
      </c>
      <c r="Z72" s="204"/>
      <c r="AA72" s="587">
        <f>AA54/'Time of Call'!AA33*1000</f>
        <v>214.164944580124</v>
      </c>
      <c r="AB72" s="1"/>
    </row>
    <row r="73" spans="1:28" ht="13.5" customHeight="1" x14ac:dyDescent="0.2">
      <c r="A73" s="29" t="str">
        <f>Sheet7!A9</f>
        <v>2014-15</v>
      </c>
      <c r="B73" s="204">
        <f>B55/'Time of Call'!B34*1000</f>
        <v>201.00502512562815</v>
      </c>
      <c r="C73" s="204">
        <f>C55/'Time of Call'!C34*1000</f>
        <v>182.38993710691824</v>
      </c>
      <c r="D73" s="204">
        <f>D55/'Time of Call'!D34*1000</f>
        <v>311.47540983606558</v>
      </c>
      <c r="E73" s="204">
        <f>E55/'Time of Call'!E34*1000</f>
        <v>267.85714285714283</v>
      </c>
      <c r="F73" s="204">
        <f>F55/'Time of Call'!F34*1000</f>
        <v>176.99115044247787</v>
      </c>
      <c r="G73" s="204">
        <f>G55/'Time of Call'!G34*1000</f>
        <v>348.83720930232562</v>
      </c>
      <c r="H73" s="204">
        <f>H55/'Time of Call'!H34*1000</f>
        <v>206.89655172413794</v>
      </c>
      <c r="I73" s="204">
        <f>I55/'Time of Call'!I34*1000</f>
        <v>108.69565217391305</v>
      </c>
      <c r="J73" s="204">
        <f>J55/'Time of Call'!J34*1000</f>
        <v>209.67741935483872</v>
      </c>
      <c r="K73" s="204">
        <f>K55/'Time of Call'!K34*1000</f>
        <v>156.86274509803923</v>
      </c>
      <c r="L73" s="204">
        <f>L55/'Time of Call'!L34*1000</f>
        <v>151.96078431372547</v>
      </c>
      <c r="M73" s="204">
        <f>M55/'Time of Call'!M34*1000</f>
        <v>131.22171945701359</v>
      </c>
      <c r="N73" s="204">
        <f>N55/'Time of Call'!N34*1000</f>
        <v>64.981949458483754</v>
      </c>
      <c r="O73" s="204">
        <f>O55/'Time of Call'!O34*1000</f>
        <v>92.409240924092401</v>
      </c>
      <c r="P73" s="204">
        <f>P55/'Time of Call'!P34*1000</f>
        <v>135.13513513513513</v>
      </c>
      <c r="Q73" s="204">
        <f>Q55/'Time of Call'!Q34*1000</f>
        <v>103.125</v>
      </c>
      <c r="R73" s="204">
        <f>R55/'Time of Call'!R34*1000</f>
        <v>112.04481792717087</v>
      </c>
      <c r="S73" s="204">
        <f>S55/'Time of Call'!S34*1000</f>
        <v>172.81105990783411</v>
      </c>
      <c r="T73" s="204">
        <f>T55/'Time of Call'!T34*1000</f>
        <v>140.51522248243558</v>
      </c>
      <c r="U73" s="204">
        <f>U55/'Time of Call'!U34*1000</f>
        <v>202.40963855421688</v>
      </c>
      <c r="V73" s="204">
        <f>V55/'Time of Call'!V34*1000</f>
        <v>223.92638036809817</v>
      </c>
      <c r="W73" s="204">
        <f>W55/'Time of Call'!W34*1000</f>
        <v>230.5084745762712</v>
      </c>
      <c r="X73" s="204">
        <f>X55/'Time of Call'!X34*1000</f>
        <v>210.08403361344537</v>
      </c>
      <c r="Y73" s="204">
        <f>Y55/'Time of Call'!Y34*1000</f>
        <v>247.66355140186917</v>
      </c>
      <c r="Z73" s="204"/>
      <c r="AA73" s="587">
        <f>AA55/'Time of Call'!AA34*1000</f>
        <v>169.89594546106926</v>
      </c>
      <c r="AB73" s="1"/>
    </row>
    <row r="74" spans="1:28" ht="13.5" customHeight="1" x14ac:dyDescent="0.2">
      <c r="A74" s="825" t="str">
        <f>Sheet7!A10</f>
        <v>2015-16</v>
      </c>
      <c r="B74" s="204">
        <f>B56/'Time of Call'!B35*1000</f>
        <v>200</v>
      </c>
      <c r="C74" s="204">
        <f>C56/'Time of Call'!C35*1000</f>
        <v>217.14285714285714</v>
      </c>
      <c r="D74" s="204">
        <f>D56/'Time of Call'!D35*1000</f>
        <v>330.70866141732284</v>
      </c>
      <c r="E74" s="204">
        <f>E56/'Time of Call'!E35*1000</f>
        <v>390.90909090909093</v>
      </c>
      <c r="F74" s="204">
        <f>F56/'Time of Call'!F35*1000</f>
        <v>287.2340425531915</v>
      </c>
      <c r="G74" s="204">
        <f>G56/'Time of Call'!G35*1000</f>
        <v>230.76923076923077</v>
      </c>
      <c r="H74" s="204">
        <f>H56/'Time of Call'!H35*1000</f>
        <v>328.94736842105266</v>
      </c>
      <c r="I74" s="204">
        <f>I56/'Time of Call'!I35*1000</f>
        <v>164.83516483516485</v>
      </c>
      <c r="J74" s="204">
        <f>J56/'Time of Call'!J35*1000</f>
        <v>258.06451612903226</v>
      </c>
      <c r="K74" s="204">
        <f>K56/'Time of Call'!K35*1000</f>
        <v>123.37662337662337</v>
      </c>
      <c r="L74" s="204">
        <f>L56/'Time of Call'!L35*1000</f>
        <v>113.4020618556701</v>
      </c>
      <c r="M74" s="204">
        <f>M56/'Time of Call'!M35*1000</f>
        <v>114.75409836065575</v>
      </c>
      <c r="N74" s="204">
        <f>N56/'Time of Call'!N35*1000</f>
        <v>120.68965517241379</v>
      </c>
      <c r="O74" s="204">
        <f>O56/'Time of Call'!O35*1000</f>
        <v>121.49532710280374</v>
      </c>
      <c r="P74" s="204">
        <f>P56/'Time of Call'!P35*1000</f>
        <v>171.97452229299361</v>
      </c>
      <c r="Q74" s="204">
        <f>Q56/'Time of Call'!Q35*1000</f>
        <v>171.33956386292834</v>
      </c>
      <c r="R74" s="204">
        <f>R56/'Time of Call'!R35*1000</f>
        <v>157.10723192019952</v>
      </c>
      <c r="S74" s="204">
        <f>S56/'Time of Call'!S35*1000</f>
        <v>154.00410677618069</v>
      </c>
      <c r="T74" s="204">
        <f>T56/'Time of Call'!T35*1000</f>
        <v>184.14918414918415</v>
      </c>
      <c r="U74" s="204">
        <f>U56/'Time of Call'!U35*1000</f>
        <v>190.34852546916889</v>
      </c>
      <c r="V74" s="204">
        <f>V56/'Time of Call'!V35*1000</f>
        <v>212.7659574468085</v>
      </c>
      <c r="W74" s="204">
        <f>W56/'Time of Call'!W35*1000</f>
        <v>204.81927710843374</v>
      </c>
      <c r="X74" s="204">
        <f>X56/'Time of Call'!X35*1000</f>
        <v>194.6564885496183</v>
      </c>
      <c r="Y74" s="204">
        <f>Y56/'Time of Call'!Y35*1000</f>
        <v>285.10638297872345</v>
      </c>
      <c r="Z74" s="204"/>
      <c r="AA74" s="587">
        <f>AA56/'Time of Call'!AA35*1000</f>
        <v>187.37881191609378</v>
      </c>
      <c r="AB74" s="1"/>
    </row>
    <row r="75" spans="1:28" ht="13.5" customHeight="1" x14ac:dyDescent="0.2">
      <c r="A75" s="825" t="str">
        <f>Sheet7!A11</f>
        <v>2016-17</v>
      </c>
      <c r="B75" s="204">
        <f>B57/'Time of Call'!B36*1000</f>
        <v>258.70646766169153</v>
      </c>
      <c r="C75" s="204">
        <f>C57/'Time of Call'!C36*1000</f>
        <v>365.26946107784431</v>
      </c>
      <c r="D75" s="204">
        <f>D57/'Time of Call'!D36*1000</f>
        <v>338.3458646616541</v>
      </c>
      <c r="E75" s="204">
        <f>E57/'Time of Call'!E36*1000</f>
        <v>355.76923076923077</v>
      </c>
      <c r="F75" s="204">
        <f>F57/'Time of Call'!F36*1000</f>
        <v>531.64556962025313</v>
      </c>
      <c r="G75" s="204">
        <f>G57/'Time of Call'!G36*1000</f>
        <v>311.68831168831167</v>
      </c>
      <c r="H75" s="204">
        <f>H57/'Time of Call'!H36*1000</f>
        <v>390.2439024390244</v>
      </c>
      <c r="I75" s="204">
        <f>I57/'Time of Call'!I36*1000</f>
        <v>238.53211009174314</v>
      </c>
      <c r="J75" s="204">
        <f>J57/'Time of Call'!J36*1000</f>
        <v>222.2222222222222</v>
      </c>
      <c r="K75" s="204">
        <f>K57/'Time of Call'!K36*1000</f>
        <v>192.30769230769232</v>
      </c>
      <c r="L75" s="204">
        <f>L57/'Time of Call'!L36*1000</f>
        <v>139.17525773195877</v>
      </c>
      <c r="M75" s="204">
        <f>M57/'Time of Call'!M36*1000</f>
        <v>207.46887966804979</v>
      </c>
      <c r="N75" s="204">
        <f>N57/'Time of Call'!N36*1000</f>
        <v>90.534979423868322</v>
      </c>
      <c r="O75" s="204">
        <f>O57/'Time of Call'!O36*1000</f>
        <v>136.18677042801556</v>
      </c>
      <c r="P75" s="204">
        <f>P57/'Time of Call'!P36*1000</f>
        <v>151.40845070422534</v>
      </c>
      <c r="Q75" s="204">
        <f>Q57/'Time of Call'!Q36*1000</f>
        <v>145.66929133858267</v>
      </c>
      <c r="R75" s="204">
        <f>R57/'Time of Call'!R36*1000</f>
        <v>192.10526315789471</v>
      </c>
      <c r="S75" s="204">
        <f>S57/'Time of Call'!S36*1000</f>
        <v>152.86624203821654</v>
      </c>
      <c r="T75" s="204">
        <f>T57/'Time of Call'!T36*1000</f>
        <v>123.25581395348837</v>
      </c>
      <c r="U75" s="204">
        <f>U57/'Time of Call'!U36*1000</f>
        <v>191.17647058823528</v>
      </c>
      <c r="V75" s="204">
        <f>V57/'Time of Call'!V36*1000</f>
        <v>183.73493975903617</v>
      </c>
      <c r="W75" s="204">
        <f>W57/'Time of Call'!W36*1000</f>
        <v>197.36842105263159</v>
      </c>
      <c r="X75" s="204">
        <f>X57/'Time of Call'!X36*1000</f>
        <v>245.28301886792454</v>
      </c>
      <c r="Y75" s="204">
        <f>Y57/'Time of Call'!Y36*1000</f>
        <v>256.41025641025641</v>
      </c>
      <c r="Z75" s="204"/>
      <c r="AA75" s="587">
        <f>AA57/'Time of Call'!AA36*1000</f>
        <v>201.26353790613717</v>
      </c>
      <c r="AB75" s="1"/>
    </row>
    <row r="76" spans="1:28" ht="13.5" customHeight="1" x14ac:dyDescent="0.2">
      <c r="A76" s="825" t="str">
        <f>Sheet7!A12</f>
        <v>2017-18</v>
      </c>
      <c r="B76" s="204">
        <f>B58/'Time of Call'!B37*1000</f>
        <v>271.27659574468083</v>
      </c>
      <c r="C76" s="204">
        <f>C58/'Time of Call'!C37*1000</f>
        <v>215.2777777777778</v>
      </c>
      <c r="D76" s="204">
        <f>D58/'Time of Call'!D37*1000</f>
        <v>227.27272727272725</v>
      </c>
      <c r="E76" s="204">
        <f>E58/'Time of Call'!E37*1000</f>
        <v>306.12244897959187</v>
      </c>
      <c r="F76" s="204">
        <f>F58/'Time of Call'!F37*1000</f>
        <v>262.62626262626264</v>
      </c>
      <c r="G76" s="204">
        <f>G58/'Time of Call'!G37*1000</f>
        <v>367.64705882352945</v>
      </c>
      <c r="H76" s="204">
        <f>H58/'Time of Call'!H37*1000</f>
        <v>218.75</v>
      </c>
      <c r="I76" s="204">
        <f>I58/'Time of Call'!I37*1000</f>
        <v>161.61616161616163</v>
      </c>
      <c r="J76" s="204">
        <f>J58/'Time of Call'!J37*1000</f>
        <v>205.88235294117646</v>
      </c>
      <c r="K76" s="204">
        <f>K58/'Time of Call'!K37*1000</f>
        <v>111.1111111111111</v>
      </c>
      <c r="L76" s="204">
        <f>L58/'Time of Call'!L37*1000</f>
        <v>147.72727272727275</v>
      </c>
      <c r="M76" s="204">
        <f>M58/'Time of Call'!M37*1000</f>
        <v>157.89473684210526</v>
      </c>
      <c r="N76" s="204">
        <f>N58/'Time of Call'!N37*1000</f>
        <v>112.03319502074689</v>
      </c>
      <c r="O76" s="204">
        <f>O58/'Time of Call'!O37*1000</f>
        <v>143.41085271317829</v>
      </c>
      <c r="P76" s="204">
        <f>P58/'Time of Call'!P37*1000</f>
        <v>131.20567375886523</v>
      </c>
      <c r="Q76" s="204">
        <f>Q58/'Time of Call'!Q37*1000</f>
        <v>140.98360655737704</v>
      </c>
      <c r="R76" s="204">
        <f>R58/'Time of Call'!R37*1000</f>
        <v>158.04597701149424</v>
      </c>
      <c r="S76" s="204">
        <f>S58/'Time of Call'!S37*1000</f>
        <v>169.56521739130434</v>
      </c>
      <c r="T76" s="204">
        <f>T58/'Time of Call'!T37*1000</f>
        <v>158.80893300248138</v>
      </c>
      <c r="U76" s="204">
        <f>U58/'Time of Call'!U37*1000</f>
        <v>137.93103448275861</v>
      </c>
      <c r="V76" s="204">
        <f>V58/'Time of Call'!V37*1000</f>
        <v>162.39316239316241</v>
      </c>
      <c r="W76" s="204">
        <f>W58/'Time of Call'!W37*1000</f>
        <v>169.93464052287581</v>
      </c>
      <c r="X76" s="204">
        <f>X58/'Time of Call'!X37*1000</f>
        <v>209.67741935483872</v>
      </c>
      <c r="Y76" s="204">
        <f>Y58/'Time of Call'!Y37*1000</f>
        <v>220.58823529411765</v>
      </c>
      <c r="Z76" s="204"/>
      <c r="AA76" s="587">
        <f>AA58/'Time of Call'!AA37*1000</f>
        <v>173.41366974204482</v>
      </c>
      <c r="AB76" s="1"/>
    </row>
    <row r="77" spans="1:28" ht="13.5" customHeight="1" x14ac:dyDescent="0.2">
      <c r="A77" s="825" t="str">
        <f>Sheet7!A13</f>
        <v>2018-19</v>
      </c>
      <c r="B77" s="204">
        <f>B59/'Time of Call'!B38*1000</f>
        <v>271.67630057803467</v>
      </c>
      <c r="C77" s="204">
        <f>C59/'Time of Call'!C38*1000</f>
        <v>382.16560509554142</v>
      </c>
      <c r="D77" s="204">
        <f>D59/'Time of Call'!D38*1000</f>
        <v>310.34482758620692</v>
      </c>
      <c r="E77" s="204">
        <f>E59/'Time of Call'!E38*1000</f>
        <v>436.97478991596637</v>
      </c>
      <c r="F77" s="204">
        <f>F59/'Time of Call'!F38*1000</f>
        <v>309.52380952380952</v>
      </c>
      <c r="G77" s="204">
        <f>G59/'Time of Call'!G38*1000</f>
        <v>232.55813953488371</v>
      </c>
      <c r="H77" s="204">
        <f>H59/'Time of Call'!H38*1000</f>
        <v>301.58730158730157</v>
      </c>
      <c r="I77" s="204">
        <f>I59/'Time of Call'!I38*1000</f>
        <v>230.76923076923077</v>
      </c>
      <c r="J77" s="204">
        <f>J59/'Time of Call'!J38*1000</f>
        <v>210.52631578947367</v>
      </c>
      <c r="K77" s="204">
        <f>K59/'Time of Call'!K38*1000</f>
        <v>173.07692307692307</v>
      </c>
      <c r="L77" s="204">
        <f>L59/'Time of Call'!L38*1000</f>
        <v>103.44827586206897</v>
      </c>
      <c r="M77" s="204">
        <f>M59/'Time of Call'!M38*1000</f>
        <v>115.94202898550725</v>
      </c>
      <c r="N77" s="204">
        <f>N59/'Time of Call'!N38*1000</f>
        <v>136</v>
      </c>
      <c r="O77" s="204">
        <f>O59/'Time of Call'!O38*1000</f>
        <v>139.62264150943395</v>
      </c>
      <c r="P77" s="204">
        <f>P59/'Time of Call'!P38*1000</f>
        <v>132.78008298755188</v>
      </c>
      <c r="Q77" s="204">
        <f>Q59/'Time of Call'!Q38*1000</f>
        <v>135.59322033898306</v>
      </c>
      <c r="R77" s="204">
        <f>R59/'Time of Call'!R38*1000</f>
        <v>223.83720930232559</v>
      </c>
      <c r="S77" s="204">
        <f>S59/'Time of Call'!S38*1000</f>
        <v>147.54098360655738</v>
      </c>
      <c r="T77" s="204">
        <f>T59/'Time of Call'!T38*1000</f>
        <v>192.98245614035088</v>
      </c>
      <c r="U77" s="204">
        <f>U59/'Time of Call'!U38*1000</f>
        <v>194.44444444444446</v>
      </c>
      <c r="V77" s="204">
        <f>V59/'Time of Call'!V38*1000</f>
        <v>175.38461538461539</v>
      </c>
      <c r="W77" s="204">
        <f>W59/'Time of Call'!W38*1000</f>
        <v>171.23287671232876</v>
      </c>
      <c r="X77" s="204">
        <f>X59/'Time of Call'!X38*1000</f>
        <v>232.55813953488371</v>
      </c>
      <c r="Y77" s="204">
        <f>Y59/'Time of Call'!Y38*1000</f>
        <v>259.91189427312776</v>
      </c>
      <c r="Z77" s="204"/>
      <c r="AA77" s="587">
        <f>AA59/'Time of Call'!AA38*1000</f>
        <v>197.47327502429542</v>
      </c>
      <c r="AB77" s="1"/>
    </row>
    <row r="78" spans="1:28" ht="13.5" customHeight="1" x14ac:dyDescent="0.2">
      <c r="A78" s="5" t="str">
        <f>Sheet7!A14</f>
        <v>2019-20</v>
      </c>
      <c r="B78" s="204">
        <f>B60/'Time of Call'!B39*1000</f>
        <v>229.29936305732485</v>
      </c>
      <c r="C78" s="204">
        <f>C60/'Time of Call'!C39*1000</f>
        <v>289.4736842105263</v>
      </c>
      <c r="D78" s="204">
        <f>D60/'Time of Call'!D39*1000</f>
        <v>348.21428571428572</v>
      </c>
      <c r="E78" s="204">
        <f>E60/'Time of Call'!E39*1000</f>
        <v>242.99065420560748</v>
      </c>
      <c r="F78" s="204">
        <f>F60/'Time of Call'!F39*1000</f>
        <v>340.65934065934067</v>
      </c>
      <c r="G78" s="204">
        <f>G60/'Time of Call'!G39*1000</f>
        <v>211.53846153846155</v>
      </c>
      <c r="H78" s="204">
        <f>H60/'Time of Call'!H39*1000</f>
        <v>324.32432432432432</v>
      </c>
      <c r="I78" s="204">
        <f>I60/'Time of Call'!I39*1000</f>
        <v>181.81818181818181</v>
      </c>
      <c r="J78" s="204">
        <f>J60/'Time of Call'!J39*1000</f>
        <v>222.2222222222222</v>
      </c>
      <c r="K78" s="204">
        <f>K60/'Time of Call'!K39*1000</f>
        <v>264.28571428571428</v>
      </c>
      <c r="L78" s="204">
        <f>L60/'Time of Call'!L39*1000</f>
        <v>132.53012048192772</v>
      </c>
      <c r="M78" s="204">
        <f>M60/'Time of Call'!M39*1000</f>
        <v>121.54696132596685</v>
      </c>
      <c r="N78" s="204">
        <f>N60/'Time of Call'!N39*1000</f>
        <v>100</v>
      </c>
      <c r="O78" s="204">
        <f>O60/'Time of Call'!O39*1000</f>
        <v>82.251082251082252</v>
      </c>
      <c r="P78" s="204">
        <f>P60/'Time of Call'!P39*1000</f>
        <v>129.62962962962962</v>
      </c>
      <c r="Q78" s="204">
        <f>Q60/'Time of Call'!Q39*1000</f>
        <v>108.61423220973784</v>
      </c>
      <c r="R78" s="204">
        <f>R60/'Time of Call'!R39*1000</f>
        <v>166.66666666666666</v>
      </c>
      <c r="S78" s="204">
        <f>S60/'Time of Call'!S39*1000</f>
        <v>159.88372093023256</v>
      </c>
      <c r="T78" s="204">
        <f>T60/'Time of Call'!T39*1000</f>
        <v>167.84869976359337</v>
      </c>
      <c r="U78" s="204">
        <f>U60/'Time of Call'!U39*1000</f>
        <v>174.60317460317458</v>
      </c>
      <c r="V78" s="204">
        <f>V60/'Time of Call'!V39*1000</f>
        <v>159.21787709497207</v>
      </c>
      <c r="W78" s="204">
        <f>W60/'Time of Call'!W39*1000</f>
        <v>180</v>
      </c>
      <c r="X78" s="204">
        <f>X60/'Time of Call'!X39*1000</f>
        <v>225.68093385214007</v>
      </c>
      <c r="Y78" s="204">
        <f>Y60/'Time of Call'!Y39*1000</f>
        <v>223.35025380710661</v>
      </c>
      <c r="Z78" s="204"/>
      <c r="AA78" s="587">
        <f>AA60/'Time of Call'!AA39*1000</f>
        <v>179.34560327198366</v>
      </c>
      <c r="AB78" s="1"/>
    </row>
    <row r="79" spans="1:28" ht="13.5" customHeight="1" thickBot="1" x14ac:dyDescent="0.25">
      <c r="A79" s="833" t="str">
        <f>Sheet7!A15</f>
        <v>2020-21</v>
      </c>
      <c r="B79" s="837">
        <f>B61/'Time of Call'!B40*1000</f>
        <v>152.86624203821654</v>
      </c>
      <c r="C79" s="837">
        <f>C61/'Time of Call'!C40*1000</f>
        <v>187.96992481203006</v>
      </c>
      <c r="D79" s="837">
        <f>D61/'Time of Call'!D40*1000</f>
        <v>296.2962962962963</v>
      </c>
      <c r="E79" s="837">
        <f>E61/'Time of Call'!E40*1000</f>
        <v>303.92156862745094</v>
      </c>
      <c r="F79" s="837">
        <f>F61/'Time of Call'!F40*1000</f>
        <v>310.34482758620692</v>
      </c>
      <c r="G79" s="837">
        <f>G61/'Time of Call'!G40*1000</f>
        <v>196.42857142857142</v>
      </c>
      <c r="H79" s="837">
        <f>H61/'Time of Call'!H40*1000</f>
        <v>258.62068965517244</v>
      </c>
      <c r="I79" s="837">
        <f>I61/'Time of Call'!I40*1000</f>
        <v>209.67741935483872</v>
      </c>
      <c r="J79" s="837">
        <f>J61/'Time of Call'!J40*1000</f>
        <v>93.75</v>
      </c>
      <c r="K79" s="837">
        <f>K61/'Time of Call'!K40*1000</f>
        <v>177.41935483870969</v>
      </c>
      <c r="L79" s="837">
        <f>L61/'Time of Call'!L40*1000</f>
        <v>130.71895424836603</v>
      </c>
      <c r="M79" s="837">
        <f>M61/'Time of Call'!M40*1000</f>
        <v>185.56701030927834</v>
      </c>
      <c r="N79" s="837">
        <f>N61/'Time of Call'!N40*1000</f>
        <v>170.94017094017093</v>
      </c>
      <c r="O79" s="837">
        <f>O61/'Time of Call'!O40*1000</f>
        <v>183.33333333333331</v>
      </c>
      <c r="P79" s="837">
        <f>P61/'Time of Call'!P40*1000</f>
        <v>167.42081447963801</v>
      </c>
      <c r="Q79" s="837">
        <f>Q61/'Time of Call'!Q40*1000</f>
        <v>145.03816793893128</v>
      </c>
      <c r="R79" s="837">
        <f>R61/'Time of Call'!R40*1000</f>
        <v>147.05882352941177</v>
      </c>
      <c r="S79" s="837">
        <f>S61/'Time of Call'!S40*1000</f>
        <v>206.89655172413794</v>
      </c>
      <c r="T79" s="837">
        <f>T61/'Time of Call'!T40*1000</f>
        <v>128.53470437017995</v>
      </c>
      <c r="U79" s="837">
        <f>U61/'Time of Call'!U40*1000</f>
        <v>164.13373860182369</v>
      </c>
      <c r="V79" s="837">
        <f>V61/'Time of Call'!V40*1000</f>
        <v>240.41811846689896</v>
      </c>
      <c r="W79" s="837">
        <f>W61/'Time of Call'!W40*1000</f>
        <v>210.33210332103323</v>
      </c>
      <c r="X79" s="837">
        <f>X61/'Time of Call'!X40*1000</f>
        <v>218.6046511627907</v>
      </c>
      <c r="Y79" s="837">
        <f>Y61/'Time of Call'!Y40*1000</f>
        <v>271.79487179487177</v>
      </c>
      <c r="Z79" s="837"/>
      <c r="AA79" s="838">
        <f>AA61/'Time of Call'!AA40*1000</f>
        <v>187.94250160909675</v>
      </c>
      <c r="AB79" s="1"/>
    </row>
    <row r="80" spans="1:28" ht="13.5" customHeight="1" x14ac:dyDescent="0.2">
      <c r="A80" s="5"/>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587"/>
      <c r="AB80" s="1"/>
    </row>
    <row r="81" spans="1:28" ht="13.5" customHeight="1" thickBot="1" x14ac:dyDescent="0.25">
      <c r="A81" s="726" t="s">
        <v>814</v>
      </c>
      <c r="B81" s="829">
        <f>(SUM(B50:B61)/SUM('Time of Call'!B29:B40))*1000</f>
        <v>241.79104477611941</v>
      </c>
      <c r="C81" s="829">
        <f>(SUM(C50:C61)/SUM('Time of Call'!C29:C40))*1000</f>
        <v>251.3189448441247</v>
      </c>
      <c r="D81" s="829">
        <f>(SUM(D50:D61)/SUM('Time of Call'!D29:D40))*1000</f>
        <v>299.94141769185705</v>
      </c>
      <c r="E81" s="829">
        <f>(SUM(E50:E61)/SUM('Time of Call'!E29:E40))*1000</f>
        <v>314.86486486486484</v>
      </c>
      <c r="F81" s="829">
        <f>(SUM(F50:F61)/SUM('Time of Call'!F29:F40))*1000</f>
        <v>308.31315577078288</v>
      </c>
      <c r="G81" s="829">
        <f>(SUM(G50:G61)/SUM('Time of Call'!G29:G40))*1000</f>
        <v>272.90836653386452</v>
      </c>
      <c r="H81" s="829">
        <f>(SUM(H50:H61)/SUM('Time of Call'!H29:H40))*1000</f>
        <v>262.29508196721315</v>
      </c>
      <c r="I81" s="829">
        <f>(SUM(I50:I61)/SUM('Time of Call'!I29:I40))*1000</f>
        <v>203.65535248041775</v>
      </c>
      <c r="J81" s="829">
        <f>(SUM(J50:J61)/SUM('Time of Call'!J29:J40))*1000</f>
        <v>193.80403458213257</v>
      </c>
      <c r="K81" s="829">
        <f>(SUM(K50:K61)/SUM('Time of Call'!K29:K40))*1000</f>
        <v>175.81187010078386</v>
      </c>
      <c r="L81" s="829">
        <f>(SUM(L50:L61)/SUM('Time of Call'!L29:L40))*1000</f>
        <v>137.8504672897196</v>
      </c>
      <c r="M81" s="829">
        <f>(SUM(M50:M61)/SUM('Time of Call'!M29:M40))*1000</f>
        <v>142.14749713412303</v>
      </c>
      <c r="N81" s="829">
        <f>(SUM(N50:N61)/SUM('Time of Call'!N29:N40))*1000</f>
        <v>127.40544127405443</v>
      </c>
      <c r="O81" s="829">
        <f>(SUM(O50:O61)/SUM('Time of Call'!O29:O40))*1000</f>
        <v>124.43233424159855</v>
      </c>
      <c r="P81" s="829">
        <f>(SUM(P50:P61)/SUM('Time of Call'!P29:P40))*1000</f>
        <v>137.74597495527726</v>
      </c>
      <c r="Q81" s="829">
        <f>(SUM(Q50:Q61)/SUM('Time of Call'!Q29:Q40))*1000</f>
        <v>131.46969277608636</v>
      </c>
      <c r="R81" s="829">
        <f>(SUM(R50:R61)/SUM('Time of Call'!R29:R40))*1000</f>
        <v>158.59915235333483</v>
      </c>
      <c r="S81" s="829">
        <f>(SUM(S50:S61)/SUM('Time of Call'!S29:S40))*1000</f>
        <v>162.63490882024561</v>
      </c>
      <c r="T81" s="829">
        <f>(SUM(T50:T61)/SUM('Time of Call'!T29:T40))*1000</f>
        <v>171.40133460438514</v>
      </c>
      <c r="U81" s="829">
        <f>(SUM(U50:U61)/SUM('Time of Call'!U29:U40))*1000</f>
        <v>184.91691521090752</v>
      </c>
      <c r="V81" s="829">
        <f>(SUM(V50:V61)/SUM('Time of Call'!V29:V40))*1000</f>
        <v>193.73685440523485</v>
      </c>
      <c r="W81" s="829">
        <f>(SUM(W50:W61)/SUM('Time of Call'!W29:W40))*1000</f>
        <v>208.09868597479218</v>
      </c>
      <c r="X81" s="829">
        <f>(SUM(X50:X61)/SUM('Time of Call'!X29:X40))*1000</f>
        <v>216.71826625386998</v>
      </c>
      <c r="Y81" s="829">
        <f>(SUM(Y50:Y61)/SUM('Time of Call'!Y29:Y40))*1000</f>
        <v>242.90334171757098</v>
      </c>
      <c r="Z81" s="829"/>
      <c r="AA81" s="829">
        <f>(SUM(AA50:AA61)/SUM('Time of Call'!AA29:AA40))*1000</f>
        <v>186.89885895214766</v>
      </c>
      <c r="AB81" s="1"/>
    </row>
    <row r="82" spans="1:28" x14ac:dyDescent="0.2">
      <c r="A82" s="239"/>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x14ac:dyDescent="0.2">
      <c r="A83" s="273" t="s">
        <v>146</v>
      </c>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75" customHeight="1" x14ac:dyDescent="0.25">
      <c r="A84" s="1121" t="s">
        <v>463</v>
      </c>
      <c r="B84" s="239"/>
      <c r="C84" s="172"/>
      <c r="D84" s="172"/>
      <c r="E84" s="172"/>
      <c r="F84" s="172"/>
      <c r="G84" s="172"/>
      <c r="H84" s="172"/>
      <c r="I84" s="172"/>
      <c r="J84" s="172"/>
      <c r="K84" s="172"/>
      <c r="L84" s="1"/>
      <c r="M84" s="1"/>
      <c r="N84" s="1"/>
      <c r="O84" s="1"/>
      <c r="P84" s="1"/>
      <c r="Q84" s="1"/>
      <c r="R84" s="1"/>
      <c r="S84" s="1"/>
      <c r="T84" s="1"/>
      <c r="U84" s="1"/>
      <c r="V84" s="1"/>
      <c r="W84" s="1"/>
      <c r="X84" s="1"/>
      <c r="Y84" s="1"/>
      <c r="Z84" s="1"/>
      <c r="AA84" s="1"/>
      <c r="AB84" s="1"/>
    </row>
    <row r="85" spans="1:28" ht="15" x14ac:dyDescent="0.25">
      <c r="A85" s="1122" t="s">
        <v>565</v>
      </c>
    </row>
    <row r="86" spans="1:28" x14ac:dyDescent="0.2">
      <c r="A86" s="1"/>
    </row>
    <row r="87" spans="1:28" x14ac:dyDescent="0.2">
      <c r="A87" s="213"/>
    </row>
    <row r="88" spans="1:28" x14ac:dyDescent="0.2">
      <c r="A88" s="17"/>
    </row>
    <row r="89" spans="1:28" x14ac:dyDescent="0.2">
      <c r="A89" s="17"/>
    </row>
    <row r="90" spans="1:28" x14ac:dyDescent="0.2">
      <c r="A90" s="17"/>
    </row>
    <row r="91" spans="1:28" x14ac:dyDescent="0.2">
      <c r="A91" s="17"/>
    </row>
    <row r="92" spans="1:28" x14ac:dyDescent="0.2">
      <c r="A92" s="17"/>
    </row>
    <row r="93" spans="1:28" x14ac:dyDescent="0.2">
      <c r="A93" s="17"/>
    </row>
    <row r="94" spans="1:28" x14ac:dyDescent="0.2">
      <c r="A94" s="33"/>
    </row>
    <row r="95" spans="1:28" x14ac:dyDescent="0.2">
      <c r="A95" s="33"/>
    </row>
  </sheetData>
  <sheetProtection algorithmName="SHA-512" hashValue="lV+8rdfGTiSazbDolNFE1jtjSGBauMIDMuyrt+h/RNGD4+NrkYoOY/vUFMVXPcMtSh4o5hXwyA1mqSuHyZyyJw==" saltValue="wBx6ImARPxyalAM2M66JXA==" spinCount="100000" sheet="1" scenarios="1" formatCells="0" formatColumns="0" formatRows="0" sort="0" autoFilter="0" pivotTables="0"/>
  <mergeCells count="12">
    <mergeCell ref="AA8:AA9"/>
    <mergeCell ref="AA28:AA29"/>
    <mergeCell ref="A48:A49"/>
    <mergeCell ref="A28:A29"/>
    <mergeCell ref="A66:A67"/>
    <mergeCell ref="AA48:AA49"/>
    <mergeCell ref="AA66:AA67"/>
    <mergeCell ref="B8:Z8"/>
    <mergeCell ref="B48:Z48"/>
    <mergeCell ref="B28:Z28"/>
    <mergeCell ref="B66:Z66"/>
    <mergeCell ref="A8:A9"/>
  </mergeCells>
  <hyperlinks>
    <hyperlink ref="A2" location="'Table of Contents'!A1" display="Back to Table of Contents" xr:uid="{00000000-0004-0000-8900-000000000000}"/>
  </hyperlinks>
  <pageMargins left="0.7" right="0.7" top="0.75" bottom="0.75" header="0.3" footer="0.3"/>
  <pageSetup paperSize="9" scale="49"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BF8F00"/>
  </sheetPr>
  <dimension ref="A1:H5"/>
  <sheetViews>
    <sheetView showGridLines="0" zoomScaleNormal="100" workbookViewId="0">
      <selection sqref="A1:C1"/>
    </sheetView>
  </sheetViews>
  <sheetFormatPr defaultColWidth="9.140625" defaultRowHeight="12.75" x14ac:dyDescent="0.2"/>
  <sheetData>
    <row r="1" spans="1:8" ht="17.25" customHeight="1" x14ac:dyDescent="0.2">
      <c r="A1" s="1271" t="s">
        <v>1254</v>
      </c>
      <c r="B1" s="1271"/>
      <c r="C1" s="1271"/>
    </row>
    <row r="2" spans="1:8" ht="18" customHeight="1" x14ac:dyDescent="0.2">
      <c r="A2" s="106" t="s">
        <v>578</v>
      </c>
      <c r="B2" s="1031"/>
      <c r="C2" s="1031"/>
    </row>
    <row r="3" spans="1:8" ht="32.25" customHeight="1" x14ac:dyDescent="0.2">
      <c r="A3" s="1272" t="s">
        <v>1271</v>
      </c>
      <c r="B3" s="1272"/>
      <c r="C3" s="1272"/>
      <c r="D3" s="1272"/>
      <c r="E3" s="1272"/>
      <c r="F3" s="1272"/>
      <c r="G3" s="1272"/>
      <c r="H3" s="1272"/>
    </row>
    <row r="4" spans="1:8" ht="15" x14ac:dyDescent="0.25">
      <c r="A4" s="1032" t="s">
        <v>1246</v>
      </c>
    </row>
    <row r="5" spans="1:8" ht="15" x14ac:dyDescent="0.25">
      <c r="A5" s="1043" t="s">
        <v>1392</v>
      </c>
    </row>
  </sheetData>
  <sheetProtection algorithmName="SHA-512" hashValue="JjrazEOLKXAJytw6HiYLA1jJPCoXtDvJOavb1qO7JNdQs/4uaQKqvrFaRyB2wpvP9O8hTFYliu1SoD2kohktuw==" saltValue="ynJRl1fe3cBgPUeVCxUmp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8A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AFF0"/>
    <pageSetUpPr fitToPage="1"/>
  </sheetPr>
  <dimension ref="A1:O133"/>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9.5703125" style="1" customWidth="1"/>
    <col min="2" max="2" width="10.140625" style="1" customWidth="1"/>
    <col min="3" max="3" width="9.140625" style="1" customWidth="1"/>
    <col min="4" max="5" width="9.140625" style="1"/>
    <col min="6" max="7" width="11.140625" style="1" customWidth="1"/>
    <col min="8" max="8" width="11.28515625" style="1" customWidth="1"/>
    <col min="9" max="9" width="13.140625" style="1" customWidth="1"/>
    <col min="10" max="10" width="8.85546875" style="1" customWidth="1"/>
    <col min="11" max="11" width="12.85546875" style="1" customWidth="1"/>
    <col min="12" max="16384" width="9.140625" style="1"/>
  </cols>
  <sheetData>
    <row r="1" spans="1:11" ht="15.75" customHeight="1" x14ac:dyDescent="0.2">
      <c r="A1" s="298" t="s">
        <v>1129</v>
      </c>
    </row>
    <row r="2" spans="1:11" ht="15.75" customHeight="1" x14ac:dyDescent="0.2">
      <c r="A2" s="106" t="s">
        <v>578</v>
      </c>
    </row>
    <row r="3" spans="1:11" ht="38.25" customHeight="1" x14ac:dyDescent="0.2">
      <c r="A3" s="129" t="s">
        <v>300</v>
      </c>
      <c r="B3" s="129"/>
      <c r="C3" s="129"/>
      <c r="D3" s="129"/>
      <c r="E3" s="129"/>
      <c r="F3" s="129"/>
      <c r="G3" s="129"/>
      <c r="H3" s="129"/>
      <c r="I3" s="129"/>
    </row>
    <row r="4" spans="1:11" ht="15" customHeight="1" x14ac:dyDescent="0.25">
      <c r="A4" s="351" t="s">
        <v>579</v>
      </c>
      <c r="B4" s="1043" t="s">
        <v>1301</v>
      </c>
      <c r="D4" s="129"/>
      <c r="E4" s="129"/>
      <c r="F4" s="129"/>
      <c r="G4" s="129"/>
      <c r="H4" s="129"/>
      <c r="I4" s="129"/>
    </row>
    <row r="5" spans="1:11" ht="15" customHeight="1" x14ac:dyDescent="0.25">
      <c r="A5" s="351" t="s">
        <v>580</v>
      </c>
      <c r="B5" s="351" t="s">
        <v>581</v>
      </c>
      <c r="C5" s="129"/>
      <c r="D5" s="129"/>
      <c r="E5" s="129"/>
      <c r="F5" s="129"/>
      <c r="G5" s="129"/>
      <c r="H5" s="129"/>
      <c r="I5" s="129"/>
    </row>
    <row r="6" spans="1:11" ht="15" customHeight="1" x14ac:dyDescent="0.25">
      <c r="A6" s="351" t="s">
        <v>582</v>
      </c>
      <c r="B6" s="351" t="s">
        <v>585</v>
      </c>
      <c r="C6" s="129"/>
      <c r="D6" s="129"/>
      <c r="E6" s="129"/>
      <c r="F6" s="129"/>
      <c r="G6" s="129"/>
      <c r="H6" s="129"/>
      <c r="I6" s="129"/>
    </row>
    <row r="7" spans="1:11" ht="15" customHeight="1" x14ac:dyDescent="0.25">
      <c r="I7" s="83" t="s">
        <v>0</v>
      </c>
    </row>
    <row r="8" spans="1:11" ht="13.5" customHeight="1" x14ac:dyDescent="0.2">
      <c r="A8" s="62"/>
      <c r="B8" s="1275" t="s">
        <v>21</v>
      </c>
      <c r="C8" s="1276"/>
      <c r="D8" s="1276"/>
      <c r="E8" s="1276"/>
      <c r="F8" s="1277" t="s">
        <v>1</v>
      </c>
      <c r="G8" s="1279" t="s">
        <v>2</v>
      </c>
      <c r="H8" s="1281" t="s">
        <v>3</v>
      </c>
      <c r="I8" s="1274" t="s">
        <v>147</v>
      </c>
    </row>
    <row r="9" spans="1:11" ht="26.25" customHeight="1" x14ac:dyDescent="0.2">
      <c r="A9" s="37" t="s">
        <v>4</v>
      </c>
      <c r="B9" s="255" t="s">
        <v>5</v>
      </c>
      <c r="C9" s="256" t="s">
        <v>6</v>
      </c>
      <c r="D9" s="256" t="s">
        <v>7</v>
      </c>
      <c r="E9" s="257" t="s">
        <v>8</v>
      </c>
      <c r="F9" s="1278"/>
      <c r="G9" s="1280"/>
      <c r="H9" s="1278"/>
      <c r="I9" s="1274"/>
      <c r="J9"/>
    </row>
    <row r="10" spans="1:11" ht="13.5" customHeight="1" x14ac:dyDescent="0.2">
      <c r="A10" s="346" t="str">
        <f>'T01'!A5</f>
        <v>2009-10</v>
      </c>
      <c r="B10" s="21">
        <f>'T01'!C5</f>
        <v>6560</v>
      </c>
      <c r="C10" s="21">
        <f>'T01'!D5</f>
        <v>3004</v>
      </c>
      <c r="D10" s="21">
        <f>'T01'!E5</f>
        <v>2985</v>
      </c>
      <c r="E10" s="21">
        <f>'T01'!F5</f>
        <v>1443</v>
      </c>
      <c r="F10" s="13">
        <f t="shared" ref="F10:F17" si="0">SUM(B10:E10)</f>
        <v>13992</v>
      </c>
      <c r="G10" s="4">
        <f>'T01'!G5</f>
        <v>23005</v>
      </c>
      <c r="H10" s="4">
        <f>'T01'!H5</f>
        <v>1740</v>
      </c>
      <c r="I10" s="123">
        <f>'T01'!I5</f>
        <v>38737</v>
      </c>
      <c r="J10"/>
      <c r="K10" s="33"/>
    </row>
    <row r="11" spans="1:11" ht="13.5" customHeight="1" x14ac:dyDescent="0.2">
      <c r="A11" s="346" t="str">
        <f>'T01'!A6</f>
        <v>2010-11</v>
      </c>
      <c r="B11" s="21">
        <f>'T01'!C6</f>
        <v>6293</v>
      </c>
      <c r="C11" s="21">
        <f>'T01'!D6</f>
        <v>2795</v>
      </c>
      <c r="D11" s="21">
        <f>'T01'!E6</f>
        <v>2684</v>
      </c>
      <c r="E11" s="21">
        <f>'T01'!F6</f>
        <v>1372</v>
      </c>
      <c r="F11" s="13">
        <f t="shared" si="0"/>
        <v>13144</v>
      </c>
      <c r="G11" s="4">
        <f>'T01'!G6</f>
        <v>24217</v>
      </c>
      <c r="H11" s="4">
        <f>'T01'!H6</f>
        <v>1574</v>
      </c>
      <c r="I11" s="123">
        <f>'T01'!I6</f>
        <v>38935</v>
      </c>
      <c r="J11"/>
      <c r="K11" s="33"/>
    </row>
    <row r="12" spans="1:11" ht="13.5" customHeight="1" x14ac:dyDescent="0.2">
      <c r="A12" s="346" t="str">
        <f>'T01'!A7</f>
        <v>2011-12</v>
      </c>
      <c r="B12" s="21">
        <f>'T01'!C7</f>
        <v>6157</v>
      </c>
      <c r="C12" s="21">
        <f>'T01'!D7</f>
        <v>2717</v>
      </c>
      <c r="D12" s="21">
        <f>'T01'!E7</f>
        <v>2362</v>
      </c>
      <c r="E12" s="21">
        <f>'T01'!F7</f>
        <v>1175</v>
      </c>
      <c r="F12" s="13">
        <f t="shared" si="0"/>
        <v>12411</v>
      </c>
      <c r="G12" s="4">
        <f>'T01'!G7</f>
        <v>18683</v>
      </c>
      <c r="H12" s="4">
        <f>'T01'!H7</f>
        <v>1245</v>
      </c>
      <c r="I12" s="123">
        <f>'T01'!I7</f>
        <v>32339</v>
      </c>
      <c r="J12"/>
      <c r="K12" s="33"/>
    </row>
    <row r="13" spans="1:11" ht="13.5" customHeight="1" x14ac:dyDescent="0.2">
      <c r="A13" s="346" t="str">
        <f>'T01'!A8</f>
        <v>2012-13</v>
      </c>
      <c r="B13" s="21">
        <f>'T01'!C8</f>
        <v>5829</v>
      </c>
      <c r="C13" s="21">
        <f>'T01'!D8</f>
        <v>2408</v>
      </c>
      <c r="D13" s="21">
        <f>'T01'!E8</f>
        <v>2034</v>
      </c>
      <c r="E13" s="21">
        <f>'T01'!F8</f>
        <v>815</v>
      </c>
      <c r="F13" s="13">
        <f t="shared" si="0"/>
        <v>11086</v>
      </c>
      <c r="G13" s="4">
        <f>'T01'!G8</f>
        <v>14273</v>
      </c>
      <c r="H13" s="4">
        <f>'T01'!H8</f>
        <v>1381</v>
      </c>
      <c r="I13" s="123">
        <f>'T01'!I8</f>
        <v>26740</v>
      </c>
      <c r="J13"/>
      <c r="K13" s="33"/>
    </row>
    <row r="14" spans="1:11" ht="13.5" customHeight="1" x14ac:dyDescent="0.2">
      <c r="A14" s="346" t="str">
        <f>'T01'!A9</f>
        <v>2013-14</v>
      </c>
      <c r="B14" s="21">
        <f>'T01'!C9</f>
        <v>5323</v>
      </c>
      <c r="C14" s="21">
        <f>'T01'!D9</f>
        <v>2346</v>
      </c>
      <c r="D14" s="21">
        <f>'T01'!E9</f>
        <v>1938</v>
      </c>
      <c r="E14" s="21">
        <f>'T01'!F9</f>
        <v>914</v>
      </c>
      <c r="F14" s="13">
        <f t="shared" si="0"/>
        <v>10521</v>
      </c>
      <c r="G14" s="4">
        <f>'T01'!G9</f>
        <v>16361</v>
      </c>
      <c r="H14" s="4">
        <f>'T01'!H9</f>
        <v>1107</v>
      </c>
      <c r="I14" s="123">
        <f>'T01'!I9</f>
        <v>27989</v>
      </c>
      <c r="J14"/>
      <c r="K14" s="33"/>
    </row>
    <row r="15" spans="1:11" ht="13.5" customHeight="1" x14ac:dyDescent="0.2">
      <c r="A15" s="346" t="str">
        <f>'T01'!A10</f>
        <v>2014-15</v>
      </c>
      <c r="B15" s="21">
        <f>'T01'!C10</f>
        <v>5574</v>
      </c>
      <c r="C15" s="21">
        <f>'T01'!D10</f>
        <v>2324</v>
      </c>
      <c r="D15" s="21">
        <f>'T01'!E10</f>
        <v>1897</v>
      </c>
      <c r="E15" s="21">
        <f>'T01'!F10</f>
        <v>838</v>
      </c>
      <c r="F15" s="13">
        <f t="shared" si="0"/>
        <v>10633</v>
      </c>
      <c r="G15" s="4">
        <f>'T01'!G10</f>
        <v>13406</v>
      </c>
      <c r="H15" s="4">
        <f>'T01'!H10</f>
        <v>985</v>
      </c>
      <c r="I15" s="123">
        <f>'T01'!I10</f>
        <v>25024</v>
      </c>
      <c r="J15"/>
      <c r="K15" s="33"/>
    </row>
    <row r="16" spans="1:11" s="31" customFormat="1" ht="13.5" customHeight="1" x14ac:dyDescent="0.2">
      <c r="A16" s="346" t="str">
        <f>'T01'!A11</f>
        <v>2015-16</v>
      </c>
      <c r="B16" s="21">
        <f>'T01'!C11</f>
        <v>5673</v>
      </c>
      <c r="C16" s="21">
        <f>'T01'!D11</f>
        <v>2494</v>
      </c>
      <c r="D16" s="21">
        <f>'T01'!E11</f>
        <v>1965</v>
      </c>
      <c r="E16" s="21">
        <f>'T01'!F11</f>
        <v>874</v>
      </c>
      <c r="F16" s="13">
        <f t="shared" si="0"/>
        <v>11006</v>
      </c>
      <c r="G16" s="4">
        <f>'T01'!G11</f>
        <v>14732</v>
      </c>
      <c r="H16" s="4">
        <f>'T01'!H11</f>
        <v>890</v>
      </c>
      <c r="I16" s="123">
        <f>'T01'!I11</f>
        <v>26628</v>
      </c>
      <c r="J16"/>
      <c r="K16" s="33"/>
    </row>
    <row r="17" spans="1:11" s="31" customFormat="1" ht="13.5" customHeight="1" x14ac:dyDescent="0.2">
      <c r="A17" s="346" t="str">
        <f>'T01'!A12</f>
        <v>2016-17</v>
      </c>
      <c r="B17" s="21">
        <f>'T01'!C12</f>
        <v>5540</v>
      </c>
      <c r="C17" s="21">
        <f>'T01'!D12</f>
        <v>2277</v>
      </c>
      <c r="D17" s="21">
        <f>'T01'!E12</f>
        <v>2120</v>
      </c>
      <c r="E17" s="21">
        <f>'T01'!F12</f>
        <v>957</v>
      </c>
      <c r="F17" s="13">
        <f t="shared" si="0"/>
        <v>10894</v>
      </c>
      <c r="G17" s="4">
        <f>'T01'!G12</f>
        <v>15660</v>
      </c>
      <c r="H17" s="4">
        <f>'T01'!H12</f>
        <v>750</v>
      </c>
      <c r="I17" s="123">
        <f>'T01'!I12</f>
        <v>27304</v>
      </c>
      <c r="J17"/>
      <c r="K17" s="33"/>
    </row>
    <row r="18" spans="1:11" s="31" customFormat="1" ht="13.5" customHeight="1" x14ac:dyDescent="0.2">
      <c r="A18" s="346" t="str">
        <f>'T01'!A13</f>
        <v>2017-18</v>
      </c>
      <c r="B18" s="21">
        <f>'T01'!C13</f>
        <v>5311</v>
      </c>
      <c r="C18" s="21">
        <f>'T01'!D13</f>
        <v>2287</v>
      </c>
      <c r="D18" s="21">
        <f>'T01'!E13</f>
        <v>2016</v>
      </c>
      <c r="E18" s="21">
        <f>'T01'!F13</f>
        <v>1058</v>
      </c>
      <c r="F18" s="13">
        <f t="shared" ref="F18:F21" si="1">SUM(B18:E18)</f>
        <v>10672</v>
      </c>
      <c r="G18" s="4">
        <f>'T01'!G13</f>
        <v>14728</v>
      </c>
      <c r="H18" s="4">
        <f>'T01'!H13</f>
        <v>774</v>
      </c>
      <c r="I18" s="123">
        <f>'T01'!I13</f>
        <v>26174</v>
      </c>
      <c r="J18"/>
      <c r="K18" s="33"/>
    </row>
    <row r="19" spans="1:11" s="31" customFormat="1" ht="13.5" customHeight="1" x14ac:dyDescent="0.2">
      <c r="A19" s="346" t="str">
        <f>'T01'!A14</f>
        <v>2018-19</v>
      </c>
      <c r="B19" s="21">
        <f>'T01'!C14</f>
        <v>5145</v>
      </c>
      <c r="C19" s="21">
        <f>'T01'!D14</f>
        <v>2252</v>
      </c>
      <c r="D19" s="21">
        <f>'T01'!E14</f>
        <v>1952</v>
      </c>
      <c r="E19" s="21">
        <f>'T01'!F14</f>
        <v>1124</v>
      </c>
      <c r="F19" s="13">
        <f t="shared" si="1"/>
        <v>10473</v>
      </c>
      <c r="G19" s="4">
        <f>'T01'!G14</f>
        <v>15697</v>
      </c>
      <c r="H19" s="4">
        <f>'T01'!H14</f>
        <v>644</v>
      </c>
      <c r="I19" s="123">
        <f>'T01'!I14</f>
        <v>26814</v>
      </c>
      <c r="J19"/>
      <c r="K19" s="33"/>
    </row>
    <row r="20" spans="1:11" s="31" customFormat="1" ht="13.5" customHeight="1" x14ac:dyDescent="0.2">
      <c r="A20" s="346" t="str">
        <f>'T01'!A15</f>
        <v>2019-20</v>
      </c>
      <c r="B20" s="21">
        <f>'T01'!C15</f>
        <v>4890</v>
      </c>
      <c r="C20" s="21">
        <f>'T01'!D15</f>
        <v>1980</v>
      </c>
      <c r="D20" s="21">
        <f>'T01'!E15</f>
        <v>2099</v>
      </c>
      <c r="E20" s="21">
        <f>'T01'!F15</f>
        <v>883</v>
      </c>
      <c r="F20" s="13">
        <f t="shared" si="1"/>
        <v>9852</v>
      </c>
      <c r="G20" s="4">
        <f>'T01'!G15</f>
        <v>14090</v>
      </c>
      <c r="H20" s="4">
        <f>'T01'!H15</f>
        <v>556</v>
      </c>
      <c r="I20" s="123">
        <f>'T01'!I15</f>
        <v>24498</v>
      </c>
      <c r="J20"/>
      <c r="K20" s="33"/>
    </row>
    <row r="21" spans="1:11" ht="13.5" thickBot="1" x14ac:dyDescent="0.25">
      <c r="A21" s="348" t="str">
        <f>'T01'!A16</f>
        <v>2020-21</v>
      </c>
      <c r="B21" s="415">
        <f>'T01'!C16</f>
        <v>4661</v>
      </c>
      <c r="C21" s="415">
        <f>'T01'!D16</f>
        <v>1718</v>
      </c>
      <c r="D21" s="415">
        <f>'T01'!E16</f>
        <v>1816</v>
      </c>
      <c r="E21" s="415">
        <f>'T01'!F16</f>
        <v>1221</v>
      </c>
      <c r="F21" s="350">
        <f t="shared" si="1"/>
        <v>9416</v>
      </c>
      <c r="G21" s="349">
        <f>'T01'!G16</f>
        <v>15130</v>
      </c>
      <c r="H21" s="349">
        <f>'T01'!H16</f>
        <v>601</v>
      </c>
      <c r="I21" s="706">
        <f>'T01'!I16</f>
        <v>25147</v>
      </c>
      <c r="J21"/>
    </row>
    <row r="22" spans="1:11" x14ac:dyDescent="0.2">
      <c r="G22" s="31"/>
      <c r="J22"/>
    </row>
    <row r="23" spans="1:11" x14ac:dyDescent="0.2">
      <c r="A23" s="1273" t="str">
        <f>"One Year Change " &amp; A20 &amp; " to " &amp; A21</f>
        <v>One Year Change 2019-20 to 2020-21</v>
      </c>
      <c r="B23" s="1273"/>
      <c r="C23" s="1273"/>
      <c r="D23" s="615"/>
      <c r="E23" s="615"/>
      <c r="F23" s="615"/>
      <c r="G23" s="615"/>
      <c r="H23" s="616"/>
      <c r="I23" s="615"/>
      <c r="J23"/>
    </row>
    <row r="24" spans="1:11" x14ac:dyDescent="0.2">
      <c r="A24" s="617" t="s">
        <v>0</v>
      </c>
      <c r="B24" s="618">
        <f>B21-B20</f>
        <v>-229</v>
      </c>
      <c r="C24" s="618">
        <f t="shared" ref="C24:I24" si="2">C21-C20</f>
        <v>-262</v>
      </c>
      <c r="D24" s="618">
        <f t="shared" si="2"/>
        <v>-283</v>
      </c>
      <c r="E24" s="618">
        <f t="shared" si="2"/>
        <v>338</v>
      </c>
      <c r="F24" s="1126">
        <f t="shared" si="2"/>
        <v>-436</v>
      </c>
      <c r="G24" s="618">
        <f t="shared" si="2"/>
        <v>1040</v>
      </c>
      <c r="H24" s="618">
        <f t="shared" si="2"/>
        <v>45</v>
      </c>
      <c r="I24" s="1126">
        <f t="shared" si="2"/>
        <v>649</v>
      </c>
      <c r="J24"/>
    </row>
    <row r="25" spans="1:11" ht="13.5" thickBot="1" x14ac:dyDescent="0.25">
      <c r="A25" s="619" t="s">
        <v>62</v>
      </c>
      <c r="B25" s="620">
        <f>B24/B20</f>
        <v>-4.6830265848670755E-2</v>
      </c>
      <c r="C25" s="620">
        <f t="shared" ref="C25:I25" si="3">C24/C20</f>
        <v>-0.13232323232323231</v>
      </c>
      <c r="D25" s="620">
        <f t="shared" si="3"/>
        <v>-0.13482610767031919</v>
      </c>
      <c r="E25" s="620">
        <f t="shared" si="3"/>
        <v>0.38278595696489243</v>
      </c>
      <c r="F25" s="1127">
        <f t="shared" si="3"/>
        <v>-4.4254973609419407E-2</v>
      </c>
      <c r="G25" s="620">
        <f t="shared" si="3"/>
        <v>7.3811213626685593E-2</v>
      </c>
      <c r="H25" s="620">
        <f t="shared" si="3"/>
        <v>8.0935251798561147E-2</v>
      </c>
      <c r="I25" s="1127">
        <f t="shared" si="3"/>
        <v>2.6491958527226713E-2</v>
      </c>
      <c r="J25"/>
    </row>
    <row r="26" spans="1:11" x14ac:dyDescent="0.2">
      <c r="A26" s="621"/>
      <c r="B26" s="622"/>
      <c r="C26" s="622"/>
      <c r="D26" s="622"/>
      <c r="E26" s="622"/>
      <c r="F26" s="622"/>
      <c r="G26" s="622"/>
      <c r="H26" s="622"/>
      <c r="I26" s="622"/>
      <c r="J26"/>
    </row>
    <row r="27" spans="1:11" x14ac:dyDescent="0.2">
      <c r="A27" s="1273" t="str">
        <f>"Five Year Change " &amp; A16 &amp; " to " &amp; A21</f>
        <v>Five Year Change 2015-16 to 2020-21</v>
      </c>
      <c r="B27" s="1273"/>
      <c r="C27" s="1273"/>
      <c r="D27" s="1084"/>
      <c r="E27" s="615"/>
      <c r="F27" s="615"/>
      <c r="G27" s="615"/>
      <c r="H27" s="615"/>
      <c r="I27" s="616"/>
      <c r="J27"/>
    </row>
    <row r="28" spans="1:11" x14ac:dyDescent="0.2">
      <c r="A28" s="617" t="s">
        <v>0</v>
      </c>
      <c r="B28" s="618">
        <f>B21-B16</f>
        <v>-1012</v>
      </c>
      <c r="C28" s="618">
        <f t="shared" ref="C28:I28" si="4">C21-C16</f>
        <v>-776</v>
      </c>
      <c r="D28" s="618">
        <f t="shared" si="4"/>
        <v>-149</v>
      </c>
      <c r="E28" s="618">
        <f t="shared" si="4"/>
        <v>347</v>
      </c>
      <c r="F28" s="1126">
        <f t="shared" si="4"/>
        <v>-1590</v>
      </c>
      <c r="G28" s="618">
        <f t="shared" si="4"/>
        <v>398</v>
      </c>
      <c r="H28" s="618">
        <f t="shared" si="4"/>
        <v>-289</v>
      </c>
      <c r="I28" s="1126">
        <f t="shared" si="4"/>
        <v>-1481</v>
      </c>
      <c r="J28"/>
    </row>
    <row r="29" spans="1:11" ht="13.5" thickBot="1" x14ac:dyDescent="0.25">
      <c r="A29" s="619" t="s">
        <v>62</v>
      </c>
      <c r="B29" s="620">
        <f>B28/B16</f>
        <v>-0.17838885950995945</v>
      </c>
      <c r="C29" s="620">
        <f t="shared" ref="C29:I29" si="5">C28/C16</f>
        <v>-0.3111467522052927</v>
      </c>
      <c r="D29" s="620">
        <f t="shared" si="5"/>
        <v>-7.5826972010178115E-2</v>
      </c>
      <c r="E29" s="620">
        <f t="shared" si="5"/>
        <v>0.39702517162471396</v>
      </c>
      <c r="F29" s="1127">
        <f t="shared" si="5"/>
        <v>-0.14446665455206251</v>
      </c>
      <c r="G29" s="620">
        <f t="shared" si="5"/>
        <v>2.7016019549280477E-2</v>
      </c>
      <c r="H29" s="620">
        <f t="shared" si="5"/>
        <v>-0.32471910112359553</v>
      </c>
      <c r="I29" s="1127">
        <f t="shared" si="5"/>
        <v>-5.5618146312152623E-2</v>
      </c>
      <c r="J29"/>
    </row>
    <row r="30" spans="1:11" x14ac:dyDescent="0.2">
      <c r="A30" s="621"/>
      <c r="B30" s="622"/>
      <c r="C30" s="622"/>
      <c r="D30" s="622"/>
      <c r="E30" s="622"/>
      <c r="F30" s="622"/>
      <c r="G30" s="622"/>
      <c r="H30" s="622"/>
      <c r="I30" s="622"/>
      <c r="J30"/>
    </row>
    <row r="31" spans="1:11" x14ac:dyDescent="0.2">
      <c r="A31" s="5" t="s">
        <v>146</v>
      </c>
    </row>
    <row r="32" spans="1:11" ht="15" x14ac:dyDescent="0.25">
      <c r="A32" s="1000" t="s">
        <v>1225</v>
      </c>
      <c r="D32" s="297"/>
    </row>
    <row r="34" spans="1:15" x14ac:dyDescent="0.2">
      <c r="A34"/>
      <c r="B34"/>
      <c r="C34"/>
      <c r="D34"/>
      <c r="E34"/>
      <c r="F34"/>
      <c r="G34"/>
      <c r="H34"/>
      <c r="I34"/>
      <c r="J34"/>
      <c r="K34"/>
      <c r="L34"/>
      <c r="M34"/>
      <c r="N34"/>
      <c r="O34"/>
    </row>
    <row r="35" spans="1:15" ht="30" customHeight="1" x14ac:dyDescent="0.2">
      <c r="A35"/>
      <c r="B35"/>
      <c r="C35"/>
      <c r="D35"/>
      <c r="E35"/>
      <c r="F35"/>
      <c r="G35"/>
      <c r="H35"/>
      <c r="I35"/>
      <c r="J35"/>
      <c r="K35"/>
      <c r="L35"/>
      <c r="M35"/>
      <c r="N35"/>
      <c r="O35"/>
    </row>
    <row r="36" spans="1:15" ht="15" customHeight="1" x14ac:dyDescent="0.2">
      <c r="A36"/>
      <c r="B36"/>
      <c r="C36"/>
      <c r="D36"/>
      <c r="E36"/>
      <c r="F36"/>
      <c r="G36"/>
      <c r="H36"/>
      <c r="I36"/>
      <c r="J36"/>
      <c r="K36"/>
      <c r="L36"/>
      <c r="M36"/>
      <c r="N36"/>
      <c r="O36"/>
    </row>
    <row r="37" spans="1:15" ht="15" customHeight="1" x14ac:dyDescent="0.2">
      <c r="A37"/>
      <c r="B37"/>
      <c r="C37"/>
      <c r="D37"/>
      <c r="E37"/>
      <c r="F37"/>
      <c r="G37"/>
      <c r="H37"/>
      <c r="I37"/>
      <c r="J37"/>
      <c r="K37"/>
      <c r="L37"/>
      <c r="M37"/>
      <c r="N37"/>
      <c r="O37"/>
    </row>
    <row r="38" spans="1:15" ht="15" customHeight="1" x14ac:dyDescent="0.2">
      <c r="A38"/>
      <c r="B38"/>
      <c r="C38"/>
      <c r="D38"/>
      <c r="E38"/>
      <c r="F38"/>
      <c r="G38"/>
      <c r="H38"/>
      <c r="I38"/>
      <c r="J38"/>
      <c r="K38"/>
      <c r="L38"/>
      <c r="M38"/>
      <c r="N38"/>
      <c r="O38"/>
    </row>
    <row r="39" spans="1:15" ht="15" customHeight="1" x14ac:dyDescent="0.2">
      <c r="A39"/>
      <c r="B39"/>
      <c r="C39"/>
      <c r="D39"/>
      <c r="E39"/>
      <c r="F39"/>
      <c r="G39"/>
      <c r="H39"/>
      <c r="I39"/>
      <c r="J39"/>
      <c r="K39"/>
      <c r="L39"/>
      <c r="M39"/>
      <c r="N39"/>
      <c r="O39"/>
    </row>
    <row r="40" spans="1:15" x14ac:dyDescent="0.2">
      <c r="A40"/>
      <c r="B40"/>
      <c r="C40"/>
      <c r="D40"/>
      <c r="E40"/>
      <c r="F40"/>
      <c r="G40"/>
      <c r="H40"/>
      <c r="I40"/>
      <c r="J40"/>
      <c r="K40"/>
      <c r="L40"/>
      <c r="M40"/>
      <c r="N40"/>
      <c r="O40"/>
    </row>
    <row r="41" spans="1:15" ht="13.5" customHeight="1" x14ac:dyDescent="0.2">
      <c r="A41"/>
      <c r="B41"/>
      <c r="C41"/>
      <c r="D41"/>
      <c r="E41"/>
      <c r="F41"/>
      <c r="G41"/>
      <c r="H41"/>
      <c r="I41"/>
      <c r="J41"/>
      <c r="K41"/>
      <c r="L41"/>
      <c r="M41"/>
      <c r="N41"/>
      <c r="O41"/>
    </row>
    <row r="42" spans="1:15" ht="26.25" customHeight="1" x14ac:dyDescent="0.2">
      <c r="A42"/>
      <c r="B42"/>
      <c r="C42"/>
      <c r="D42"/>
      <c r="E42"/>
      <c r="F42"/>
      <c r="G42"/>
      <c r="H42"/>
      <c r="I42"/>
      <c r="J42"/>
      <c r="K42"/>
      <c r="L42"/>
      <c r="M42"/>
      <c r="N42"/>
      <c r="O42"/>
    </row>
    <row r="43" spans="1:15" ht="18.75" customHeight="1" x14ac:dyDescent="0.2">
      <c r="A43"/>
      <c r="B43"/>
      <c r="C43"/>
      <c r="D43"/>
      <c r="E43"/>
      <c r="F43"/>
      <c r="G43"/>
      <c r="H43"/>
      <c r="I43"/>
      <c r="J43"/>
      <c r="K43"/>
      <c r="L43"/>
      <c r="M43"/>
      <c r="N43"/>
      <c r="O43"/>
    </row>
    <row r="44" spans="1:15" ht="13.5" customHeight="1" x14ac:dyDescent="0.2">
      <c r="A44"/>
      <c r="B44"/>
      <c r="C44"/>
      <c r="D44"/>
      <c r="E44"/>
      <c r="F44"/>
      <c r="G44"/>
      <c r="H44"/>
      <c r="I44"/>
      <c r="J44"/>
      <c r="K44"/>
      <c r="L44"/>
      <c r="M44"/>
      <c r="N44"/>
      <c r="O44"/>
    </row>
    <row r="45" spans="1:15" ht="13.5" customHeight="1" x14ac:dyDescent="0.2">
      <c r="A45"/>
      <c r="B45"/>
      <c r="C45"/>
      <c r="D45"/>
      <c r="E45"/>
      <c r="F45"/>
      <c r="G45"/>
      <c r="H45"/>
      <c r="I45"/>
      <c r="J45"/>
      <c r="K45"/>
      <c r="L45"/>
      <c r="M45"/>
      <c r="N45"/>
      <c r="O45"/>
    </row>
    <row r="46" spans="1:15" ht="13.5" customHeight="1" x14ac:dyDescent="0.2">
      <c r="A46"/>
      <c r="B46"/>
      <c r="C46"/>
      <c r="D46"/>
      <c r="E46"/>
      <c r="F46"/>
      <c r="G46"/>
      <c r="H46"/>
      <c r="I46"/>
      <c r="J46"/>
      <c r="K46"/>
      <c r="L46"/>
      <c r="M46"/>
      <c r="N46"/>
      <c r="O46"/>
    </row>
    <row r="47" spans="1:15" ht="13.5" customHeight="1" x14ac:dyDescent="0.2">
      <c r="A47"/>
      <c r="B47"/>
      <c r="C47"/>
      <c r="D47"/>
      <c r="E47"/>
      <c r="F47"/>
      <c r="G47"/>
      <c r="H47"/>
      <c r="I47"/>
      <c r="J47"/>
      <c r="K47"/>
      <c r="L47"/>
      <c r="M47"/>
      <c r="N47"/>
      <c r="O47"/>
    </row>
    <row r="48" spans="1:15" ht="13.5" customHeight="1" x14ac:dyDescent="0.2">
      <c r="A48"/>
      <c r="B48"/>
      <c r="C48"/>
      <c r="D48"/>
      <c r="E48"/>
      <c r="F48"/>
      <c r="G48"/>
      <c r="H48"/>
      <c r="I48"/>
      <c r="J48"/>
      <c r="K48"/>
      <c r="L48"/>
      <c r="M48"/>
      <c r="N48"/>
      <c r="O48"/>
    </row>
    <row r="49" spans="1:15" ht="13.5" customHeight="1" x14ac:dyDescent="0.2">
      <c r="A49"/>
      <c r="B49"/>
      <c r="C49"/>
      <c r="D49"/>
      <c r="E49"/>
      <c r="F49"/>
      <c r="G49"/>
      <c r="H49"/>
      <c r="I49"/>
      <c r="J49"/>
      <c r="K49"/>
      <c r="L49"/>
      <c r="M49"/>
      <c r="N49"/>
      <c r="O49"/>
    </row>
    <row r="50" spans="1:15" ht="13.5" customHeight="1" x14ac:dyDescent="0.2">
      <c r="A50"/>
      <c r="B50"/>
      <c r="C50"/>
      <c r="D50"/>
      <c r="E50"/>
      <c r="F50"/>
      <c r="G50"/>
      <c r="H50"/>
      <c r="I50"/>
      <c r="J50"/>
      <c r="K50"/>
      <c r="L50"/>
      <c r="M50"/>
      <c r="N50"/>
      <c r="O50"/>
    </row>
    <row r="51" spans="1:15" ht="13.5" customHeight="1" x14ac:dyDescent="0.2">
      <c r="A51"/>
      <c r="B51"/>
      <c r="C51"/>
      <c r="D51"/>
      <c r="E51"/>
      <c r="F51"/>
      <c r="G51"/>
      <c r="H51"/>
      <c r="I51"/>
      <c r="J51"/>
      <c r="K51"/>
      <c r="L51"/>
      <c r="M51"/>
      <c r="N51"/>
      <c r="O51"/>
    </row>
    <row r="52" spans="1:15" ht="13.5" customHeight="1" x14ac:dyDescent="0.2">
      <c r="A52"/>
      <c r="B52"/>
      <c r="C52"/>
      <c r="D52"/>
      <c r="E52"/>
      <c r="F52"/>
      <c r="G52"/>
      <c r="H52"/>
      <c r="I52"/>
      <c r="J52"/>
      <c r="K52"/>
      <c r="L52"/>
      <c r="M52"/>
      <c r="N52"/>
      <c r="O52"/>
    </row>
    <row r="53" spans="1:15" ht="13.5" customHeight="1" x14ac:dyDescent="0.2">
      <c r="A53"/>
      <c r="B53"/>
      <c r="C53"/>
      <c r="D53"/>
      <c r="E53"/>
      <c r="F53"/>
      <c r="G53"/>
      <c r="H53"/>
      <c r="I53"/>
      <c r="J53"/>
      <c r="K53"/>
      <c r="L53"/>
      <c r="M53"/>
      <c r="N53"/>
      <c r="O53"/>
    </row>
    <row r="54" spans="1:15" ht="13.5" customHeight="1" x14ac:dyDescent="0.2">
      <c r="A54"/>
      <c r="B54"/>
      <c r="C54"/>
      <c r="D54"/>
      <c r="E54"/>
      <c r="F54"/>
      <c r="G54"/>
      <c r="H54"/>
      <c r="I54"/>
      <c r="J54"/>
      <c r="K54"/>
      <c r="L54"/>
      <c r="M54"/>
      <c r="N54"/>
      <c r="O54"/>
    </row>
    <row r="55" spans="1:15" ht="13.5" customHeight="1" x14ac:dyDescent="0.2">
      <c r="A55"/>
      <c r="B55"/>
      <c r="C55"/>
      <c r="D55"/>
      <c r="E55"/>
      <c r="F55"/>
      <c r="G55"/>
      <c r="H55"/>
      <c r="I55"/>
      <c r="J55"/>
      <c r="K55"/>
      <c r="L55"/>
      <c r="M55"/>
      <c r="N55"/>
      <c r="O55"/>
    </row>
    <row r="56" spans="1:15" ht="13.5" customHeight="1" x14ac:dyDescent="0.2">
      <c r="A56"/>
      <c r="B56"/>
      <c r="C56"/>
      <c r="D56"/>
      <c r="E56"/>
      <c r="F56"/>
      <c r="G56"/>
      <c r="H56"/>
      <c r="I56"/>
      <c r="J56"/>
      <c r="K56"/>
      <c r="L56"/>
      <c r="M56"/>
      <c r="N56"/>
      <c r="O56"/>
    </row>
    <row r="57" spans="1:15" ht="13.5" customHeight="1" x14ac:dyDescent="0.2">
      <c r="A57"/>
      <c r="B57"/>
      <c r="C57"/>
      <c r="D57"/>
      <c r="E57"/>
      <c r="F57"/>
      <c r="G57"/>
      <c r="H57"/>
      <c r="I57"/>
      <c r="J57"/>
      <c r="K57"/>
      <c r="L57"/>
      <c r="M57"/>
      <c r="N57"/>
      <c r="O57"/>
    </row>
    <row r="58" spans="1:15" ht="13.5" customHeight="1" x14ac:dyDescent="0.2">
      <c r="A58"/>
      <c r="B58"/>
      <c r="C58"/>
      <c r="D58"/>
      <c r="E58"/>
      <c r="F58"/>
      <c r="G58"/>
      <c r="H58"/>
      <c r="I58"/>
      <c r="J58"/>
      <c r="K58"/>
      <c r="L58"/>
      <c r="M58"/>
      <c r="N58"/>
      <c r="O58"/>
    </row>
    <row r="59" spans="1:15" ht="13.5" customHeight="1" x14ac:dyDescent="0.2">
      <c r="A59"/>
      <c r="B59"/>
      <c r="C59"/>
      <c r="D59"/>
      <c r="E59"/>
      <c r="F59"/>
      <c r="G59"/>
      <c r="H59"/>
      <c r="I59"/>
      <c r="J59"/>
      <c r="K59"/>
      <c r="L59"/>
      <c r="M59"/>
      <c r="N59"/>
      <c r="O59"/>
    </row>
    <row r="60" spans="1:15" ht="13.5" customHeight="1" x14ac:dyDescent="0.2">
      <c r="A60"/>
      <c r="B60"/>
      <c r="C60"/>
      <c r="D60"/>
      <c r="E60"/>
      <c r="F60"/>
      <c r="G60"/>
      <c r="H60"/>
      <c r="I60"/>
      <c r="J60"/>
      <c r="K60"/>
      <c r="L60"/>
      <c r="M60"/>
      <c r="N60"/>
      <c r="O60"/>
    </row>
    <row r="61" spans="1:15" ht="13.5" customHeight="1" x14ac:dyDescent="0.2">
      <c r="A61"/>
      <c r="B61"/>
      <c r="C61"/>
      <c r="D61"/>
      <c r="E61"/>
      <c r="F61"/>
      <c r="G61"/>
      <c r="H61"/>
      <c r="I61"/>
      <c r="J61"/>
      <c r="K61"/>
      <c r="L61"/>
      <c r="M61"/>
      <c r="N61"/>
      <c r="O61"/>
    </row>
    <row r="62" spans="1:15" ht="13.5" customHeight="1" x14ac:dyDescent="0.2">
      <c r="A62"/>
      <c r="B62"/>
      <c r="C62"/>
      <c r="D62"/>
      <c r="E62"/>
      <c r="F62"/>
      <c r="G62"/>
      <c r="H62"/>
      <c r="I62"/>
      <c r="J62"/>
      <c r="K62"/>
      <c r="L62"/>
      <c r="M62"/>
      <c r="N62"/>
      <c r="O62"/>
    </row>
    <row r="63" spans="1:15" ht="13.5" customHeight="1" x14ac:dyDescent="0.2">
      <c r="A63"/>
      <c r="B63"/>
      <c r="C63"/>
      <c r="D63"/>
      <c r="E63"/>
      <c r="F63"/>
      <c r="G63"/>
      <c r="H63"/>
      <c r="I63"/>
      <c r="J63"/>
      <c r="K63"/>
      <c r="L63"/>
      <c r="M63"/>
      <c r="N63"/>
      <c r="O63"/>
    </row>
    <row r="64" spans="1:15" ht="13.5" customHeight="1" x14ac:dyDescent="0.2">
      <c r="A64"/>
      <c r="B64"/>
      <c r="C64"/>
      <c r="D64"/>
      <c r="E64"/>
      <c r="F64"/>
      <c r="G64"/>
      <c r="H64"/>
      <c r="I64"/>
      <c r="J64"/>
      <c r="K64"/>
      <c r="L64"/>
      <c r="M64"/>
      <c r="N64"/>
      <c r="O64"/>
    </row>
    <row r="65" spans="1:15" ht="13.5" customHeight="1" x14ac:dyDescent="0.2">
      <c r="A65"/>
      <c r="B65"/>
      <c r="C65"/>
      <c r="D65"/>
      <c r="E65"/>
      <c r="F65"/>
      <c r="G65"/>
      <c r="H65"/>
      <c r="I65"/>
      <c r="J65"/>
      <c r="K65"/>
      <c r="L65"/>
      <c r="M65"/>
      <c r="N65"/>
      <c r="O65"/>
    </row>
    <row r="66" spans="1:15" ht="13.5" customHeight="1" x14ac:dyDescent="0.2">
      <c r="A66"/>
      <c r="B66"/>
      <c r="C66"/>
      <c r="D66"/>
      <c r="E66"/>
      <c r="F66"/>
      <c r="G66"/>
      <c r="H66"/>
      <c r="I66"/>
      <c r="J66"/>
      <c r="K66"/>
      <c r="L66"/>
      <c r="M66"/>
      <c r="N66"/>
      <c r="O66"/>
    </row>
    <row r="67" spans="1:15" ht="13.5" customHeight="1" x14ac:dyDescent="0.2">
      <c r="A67"/>
      <c r="B67"/>
      <c r="C67"/>
      <c r="D67"/>
      <c r="E67"/>
      <c r="F67"/>
      <c r="G67"/>
      <c r="H67"/>
      <c r="I67"/>
      <c r="J67"/>
      <c r="K67"/>
      <c r="L67"/>
      <c r="M67"/>
      <c r="N67"/>
      <c r="O67"/>
    </row>
    <row r="68" spans="1:15" ht="13.5" customHeight="1" x14ac:dyDescent="0.2">
      <c r="A68"/>
      <c r="B68"/>
      <c r="C68"/>
      <c r="D68"/>
      <c r="E68"/>
      <c r="F68"/>
      <c r="G68"/>
      <c r="H68"/>
      <c r="I68"/>
      <c r="J68"/>
      <c r="K68"/>
      <c r="L68"/>
      <c r="M68"/>
      <c r="N68"/>
      <c r="O68"/>
    </row>
    <row r="69" spans="1:15" ht="13.5" customHeight="1" x14ac:dyDescent="0.2">
      <c r="A69"/>
      <c r="B69"/>
      <c r="C69"/>
      <c r="D69"/>
      <c r="E69"/>
      <c r="F69"/>
      <c r="G69"/>
      <c r="H69"/>
      <c r="I69"/>
      <c r="J69"/>
      <c r="K69"/>
      <c r="L69"/>
      <c r="M69"/>
      <c r="N69"/>
      <c r="O69"/>
    </row>
    <row r="70" spans="1:15" ht="13.5" customHeight="1" x14ac:dyDescent="0.2">
      <c r="A70"/>
      <c r="B70"/>
      <c r="C70"/>
      <c r="D70"/>
      <c r="E70"/>
      <c r="F70"/>
      <c r="G70"/>
      <c r="H70"/>
      <c r="I70"/>
      <c r="J70"/>
      <c r="K70"/>
      <c r="L70"/>
      <c r="M70"/>
      <c r="N70"/>
      <c r="O70"/>
    </row>
    <row r="71" spans="1:15" ht="13.5" customHeight="1" x14ac:dyDescent="0.2">
      <c r="A71"/>
      <c r="B71"/>
      <c r="C71"/>
      <c r="D71"/>
      <c r="E71"/>
      <c r="F71"/>
      <c r="G71"/>
      <c r="H71"/>
      <c r="I71"/>
      <c r="J71"/>
      <c r="K71"/>
      <c r="L71"/>
      <c r="M71"/>
      <c r="N71"/>
      <c r="O71"/>
    </row>
    <row r="72" spans="1:15" ht="13.5" customHeight="1" x14ac:dyDescent="0.2">
      <c r="A72"/>
      <c r="B72"/>
      <c r="C72"/>
      <c r="D72"/>
      <c r="E72"/>
      <c r="F72"/>
      <c r="G72"/>
      <c r="H72"/>
      <c r="I72"/>
      <c r="J72"/>
      <c r="K72"/>
      <c r="L72"/>
      <c r="M72"/>
      <c r="N72"/>
      <c r="O72"/>
    </row>
    <row r="73" spans="1:15" ht="13.5" customHeight="1" x14ac:dyDescent="0.2">
      <c r="A73"/>
      <c r="B73"/>
      <c r="C73"/>
      <c r="D73"/>
      <c r="E73"/>
      <c r="F73"/>
      <c r="G73"/>
      <c r="H73"/>
      <c r="I73"/>
      <c r="J73"/>
      <c r="K73"/>
      <c r="L73"/>
      <c r="M73"/>
      <c r="N73"/>
      <c r="O73"/>
    </row>
    <row r="74" spans="1:15" ht="13.5" customHeight="1" x14ac:dyDescent="0.2">
      <c r="A74"/>
      <c r="B74"/>
      <c r="C74"/>
      <c r="D74"/>
      <c r="E74"/>
      <c r="F74"/>
      <c r="G74"/>
      <c r="H74"/>
      <c r="I74"/>
      <c r="J74"/>
      <c r="K74"/>
      <c r="L74"/>
      <c r="M74"/>
      <c r="N74"/>
      <c r="O74"/>
    </row>
    <row r="75" spans="1:15" x14ac:dyDescent="0.2">
      <c r="A75"/>
      <c r="B75"/>
      <c r="C75"/>
      <c r="D75"/>
      <c r="E75"/>
      <c r="F75"/>
      <c r="G75"/>
      <c r="H75"/>
      <c r="I75"/>
      <c r="J75"/>
      <c r="K75"/>
      <c r="L75"/>
      <c r="M75"/>
      <c r="N75"/>
      <c r="O75"/>
    </row>
    <row r="76" spans="1:15" s="39" customFormat="1" ht="30" customHeight="1" x14ac:dyDescent="0.2">
      <c r="A76"/>
      <c r="B76"/>
      <c r="C76"/>
      <c r="D76"/>
      <c r="E76"/>
      <c r="F76"/>
      <c r="G76"/>
      <c r="H76"/>
      <c r="I76"/>
      <c r="J76"/>
      <c r="K76"/>
      <c r="L76"/>
      <c r="M76"/>
      <c r="N76"/>
      <c r="O76"/>
    </row>
    <row r="77" spans="1:15" s="39" customFormat="1" ht="13.5" customHeight="1" x14ac:dyDescent="0.2">
      <c r="A77"/>
      <c r="B77"/>
      <c r="C77"/>
      <c r="D77"/>
      <c r="E77"/>
      <c r="F77"/>
      <c r="G77"/>
      <c r="H77"/>
      <c r="I77"/>
      <c r="J77"/>
      <c r="K77"/>
      <c r="L77"/>
      <c r="M77"/>
      <c r="N77"/>
      <c r="O77"/>
    </row>
    <row r="78" spans="1:15" x14ac:dyDescent="0.2">
      <c r="A78"/>
      <c r="B78"/>
      <c r="C78"/>
      <c r="D78"/>
      <c r="E78"/>
      <c r="F78"/>
      <c r="G78"/>
      <c r="H78"/>
      <c r="I78"/>
      <c r="J78"/>
      <c r="K78"/>
      <c r="L78"/>
      <c r="M78"/>
      <c r="N78"/>
      <c r="O78"/>
    </row>
    <row r="79" spans="1:15" x14ac:dyDescent="0.2">
      <c r="A79"/>
      <c r="B79"/>
      <c r="C79"/>
      <c r="D79"/>
      <c r="E79"/>
      <c r="F79"/>
      <c r="G79"/>
      <c r="H79"/>
      <c r="I79"/>
      <c r="J79"/>
      <c r="K79"/>
      <c r="L79"/>
      <c r="M79"/>
      <c r="N79"/>
      <c r="O79"/>
    </row>
    <row r="80" spans="1:15" x14ac:dyDescent="0.2">
      <c r="A80"/>
      <c r="B80"/>
      <c r="C80"/>
      <c r="D80"/>
      <c r="E80"/>
      <c r="F80"/>
      <c r="G80"/>
      <c r="H80"/>
      <c r="I80"/>
      <c r="J80"/>
      <c r="K80"/>
      <c r="L80"/>
      <c r="M80"/>
      <c r="N80"/>
      <c r="O80"/>
    </row>
    <row r="81" spans="1:15" s="39" customFormat="1" ht="30" customHeight="1" x14ac:dyDescent="0.2">
      <c r="A81"/>
      <c r="B81"/>
      <c r="C81"/>
      <c r="D81"/>
      <c r="E81"/>
      <c r="F81"/>
      <c r="G81"/>
      <c r="H81"/>
      <c r="I81"/>
      <c r="J81"/>
      <c r="K81"/>
      <c r="L81"/>
      <c r="M81"/>
      <c r="N81"/>
      <c r="O81"/>
    </row>
    <row r="82" spans="1:15" x14ac:dyDescent="0.2">
      <c r="A82"/>
      <c r="B82"/>
      <c r="C82"/>
      <c r="D82"/>
      <c r="E82"/>
      <c r="F82"/>
      <c r="G82"/>
      <c r="H82"/>
      <c r="I82"/>
      <c r="J82"/>
      <c r="K82"/>
      <c r="L82"/>
      <c r="M82"/>
      <c r="N82"/>
      <c r="O82"/>
    </row>
    <row r="83" spans="1:15" ht="13.5" customHeight="1" x14ac:dyDescent="0.2">
      <c r="A83"/>
      <c r="B83"/>
      <c r="C83"/>
      <c r="D83"/>
      <c r="E83"/>
      <c r="F83"/>
      <c r="G83"/>
      <c r="H83"/>
      <c r="I83"/>
      <c r="J83"/>
      <c r="K83"/>
      <c r="L83"/>
      <c r="M83"/>
      <c r="N83"/>
      <c r="O83"/>
    </row>
    <row r="84" spans="1:15" ht="26.25" customHeight="1" x14ac:dyDescent="0.2">
      <c r="A84"/>
      <c r="B84"/>
      <c r="C84"/>
      <c r="D84"/>
      <c r="E84"/>
      <c r="F84"/>
      <c r="G84"/>
      <c r="H84"/>
      <c r="I84"/>
      <c r="J84"/>
      <c r="K84"/>
      <c r="L84"/>
      <c r="M84"/>
      <c r="N84"/>
      <c r="O84"/>
    </row>
    <row r="85" spans="1:15" ht="18.75" customHeight="1" x14ac:dyDescent="0.2">
      <c r="A85"/>
      <c r="B85"/>
      <c r="C85"/>
      <c r="D85"/>
      <c r="E85"/>
      <c r="F85"/>
      <c r="G85"/>
      <c r="H85"/>
      <c r="I85"/>
      <c r="J85"/>
      <c r="K85"/>
      <c r="L85"/>
      <c r="M85"/>
      <c r="N85"/>
      <c r="O85"/>
    </row>
    <row r="86" spans="1:15" ht="13.5" customHeight="1" x14ac:dyDescent="0.2">
      <c r="A86"/>
      <c r="B86"/>
      <c r="C86"/>
      <c r="D86"/>
      <c r="E86"/>
      <c r="F86"/>
      <c r="G86"/>
      <c r="H86"/>
      <c r="I86"/>
      <c r="J86"/>
      <c r="K86"/>
      <c r="L86"/>
      <c r="M86"/>
      <c r="N86"/>
      <c r="O86"/>
    </row>
    <row r="87" spans="1:15" ht="13.5" customHeight="1" x14ac:dyDescent="0.2">
      <c r="A87"/>
      <c r="B87"/>
      <c r="C87"/>
      <c r="D87"/>
      <c r="E87"/>
      <c r="F87"/>
      <c r="G87"/>
      <c r="H87"/>
      <c r="I87"/>
      <c r="J87"/>
      <c r="K87"/>
      <c r="L87"/>
      <c r="M87"/>
      <c r="N87"/>
      <c r="O87"/>
    </row>
    <row r="88" spans="1:15" ht="13.5" customHeight="1" x14ac:dyDescent="0.2">
      <c r="A88"/>
      <c r="B88"/>
      <c r="C88"/>
      <c r="D88"/>
      <c r="E88"/>
      <c r="F88"/>
      <c r="G88"/>
      <c r="H88"/>
      <c r="I88"/>
      <c r="J88"/>
      <c r="K88"/>
      <c r="L88"/>
      <c r="M88"/>
      <c r="N88"/>
      <c r="O88"/>
    </row>
    <row r="89" spans="1:15" ht="13.5" customHeight="1" x14ac:dyDescent="0.2">
      <c r="A89"/>
      <c r="B89"/>
      <c r="C89"/>
      <c r="D89"/>
      <c r="E89"/>
      <c r="F89"/>
      <c r="G89"/>
      <c r="H89"/>
      <c r="I89"/>
      <c r="J89"/>
      <c r="K89"/>
      <c r="L89"/>
      <c r="M89"/>
      <c r="N89"/>
      <c r="O89"/>
    </row>
    <row r="90" spans="1:15" ht="13.5" customHeight="1" x14ac:dyDescent="0.2">
      <c r="A90"/>
      <c r="B90"/>
      <c r="C90"/>
      <c r="D90"/>
      <c r="E90"/>
      <c r="F90"/>
      <c r="G90"/>
      <c r="H90"/>
      <c r="I90"/>
      <c r="J90"/>
      <c r="K90"/>
      <c r="L90"/>
      <c r="M90"/>
      <c r="N90"/>
      <c r="O90"/>
    </row>
    <row r="91" spans="1:15" ht="13.5" customHeight="1" x14ac:dyDescent="0.2">
      <c r="A91"/>
      <c r="B91"/>
      <c r="C91"/>
      <c r="D91"/>
      <c r="E91"/>
      <c r="F91"/>
      <c r="G91"/>
      <c r="H91"/>
      <c r="I91"/>
      <c r="J91"/>
      <c r="K91"/>
      <c r="L91"/>
      <c r="M91"/>
      <c r="N91"/>
      <c r="O91"/>
    </row>
    <row r="92" spans="1:15" ht="13.5" customHeight="1" x14ac:dyDescent="0.2">
      <c r="A92"/>
      <c r="B92"/>
      <c r="C92"/>
      <c r="D92"/>
      <c r="E92"/>
      <c r="F92"/>
      <c r="G92"/>
      <c r="H92"/>
      <c r="I92"/>
      <c r="J92"/>
      <c r="K92"/>
      <c r="L92"/>
      <c r="M92"/>
      <c r="N92"/>
      <c r="O92"/>
    </row>
    <row r="93" spans="1:15" ht="13.5" customHeight="1" x14ac:dyDescent="0.2">
      <c r="A93"/>
      <c r="B93"/>
      <c r="C93"/>
      <c r="D93"/>
      <c r="E93"/>
      <c r="F93"/>
      <c r="G93"/>
      <c r="H93"/>
      <c r="I93"/>
      <c r="J93"/>
      <c r="K93"/>
      <c r="L93"/>
      <c r="M93"/>
      <c r="N93"/>
      <c r="O93"/>
    </row>
    <row r="94" spans="1:15" ht="13.5" customHeight="1" x14ac:dyDescent="0.2">
      <c r="A94"/>
      <c r="B94"/>
      <c r="C94"/>
      <c r="D94"/>
      <c r="E94"/>
      <c r="F94"/>
      <c r="G94"/>
      <c r="H94"/>
      <c r="I94"/>
      <c r="J94"/>
      <c r="K94"/>
      <c r="L94"/>
      <c r="M94"/>
      <c r="N94"/>
      <c r="O94"/>
    </row>
    <row r="95" spans="1:15" ht="13.5" customHeight="1" x14ac:dyDescent="0.2">
      <c r="A95"/>
      <c r="B95"/>
      <c r="C95"/>
      <c r="D95"/>
      <c r="E95"/>
      <c r="F95"/>
      <c r="G95"/>
      <c r="H95"/>
      <c r="I95"/>
      <c r="J95"/>
      <c r="K95"/>
      <c r="L95"/>
      <c r="M95"/>
      <c r="N95"/>
      <c r="O95"/>
    </row>
    <row r="96" spans="1:15" ht="13.5" customHeight="1" x14ac:dyDescent="0.2">
      <c r="A96"/>
      <c r="B96"/>
      <c r="C96"/>
      <c r="D96"/>
      <c r="E96"/>
      <c r="F96"/>
      <c r="G96"/>
      <c r="H96"/>
      <c r="I96"/>
      <c r="J96"/>
      <c r="K96"/>
      <c r="L96"/>
      <c r="M96"/>
      <c r="N96"/>
      <c r="O96"/>
    </row>
    <row r="97" spans="1:15" ht="13.5" customHeight="1" x14ac:dyDescent="0.2">
      <c r="A97"/>
      <c r="B97"/>
      <c r="C97"/>
      <c r="D97"/>
      <c r="E97"/>
      <c r="F97"/>
      <c r="G97"/>
      <c r="H97"/>
      <c r="I97"/>
      <c r="J97"/>
      <c r="K97"/>
      <c r="L97"/>
      <c r="M97"/>
      <c r="N97"/>
      <c r="O97"/>
    </row>
    <row r="98" spans="1:15" ht="13.5" customHeight="1" x14ac:dyDescent="0.2">
      <c r="A98"/>
      <c r="B98"/>
      <c r="C98"/>
      <c r="D98"/>
      <c r="E98"/>
      <c r="F98"/>
      <c r="G98"/>
      <c r="H98"/>
      <c r="I98"/>
      <c r="J98"/>
      <c r="K98"/>
      <c r="L98"/>
      <c r="M98"/>
      <c r="N98"/>
      <c r="O98"/>
    </row>
    <row r="99" spans="1:15" ht="13.5" customHeight="1" x14ac:dyDescent="0.2">
      <c r="A99"/>
      <c r="B99"/>
      <c r="C99"/>
      <c r="D99"/>
      <c r="E99"/>
      <c r="F99"/>
      <c r="G99"/>
      <c r="H99"/>
      <c r="I99"/>
      <c r="J99"/>
      <c r="K99"/>
      <c r="L99"/>
      <c r="M99"/>
      <c r="N99"/>
      <c r="O99"/>
    </row>
    <row r="100" spans="1:15" ht="13.5" customHeight="1" x14ac:dyDescent="0.2">
      <c r="A100"/>
      <c r="B100"/>
      <c r="C100"/>
      <c r="D100"/>
      <c r="E100"/>
      <c r="F100"/>
      <c r="G100"/>
      <c r="H100"/>
      <c r="I100"/>
      <c r="J100"/>
      <c r="K100"/>
      <c r="L100"/>
      <c r="M100"/>
      <c r="N100"/>
      <c r="O100"/>
    </row>
    <row r="101" spans="1:15" ht="13.5" customHeight="1" x14ac:dyDescent="0.2">
      <c r="A101"/>
      <c r="B101"/>
      <c r="C101"/>
      <c r="D101"/>
      <c r="E101"/>
      <c r="F101"/>
      <c r="G101"/>
      <c r="H101"/>
      <c r="I101"/>
      <c r="J101"/>
      <c r="K101"/>
      <c r="L101"/>
      <c r="M101"/>
      <c r="N101"/>
      <c r="O101"/>
    </row>
    <row r="102" spans="1:15" ht="13.5" customHeight="1" x14ac:dyDescent="0.2">
      <c r="A102"/>
      <c r="B102"/>
      <c r="C102"/>
      <c r="D102"/>
      <c r="E102"/>
      <c r="F102"/>
      <c r="G102"/>
      <c r="H102"/>
      <c r="I102"/>
      <c r="J102"/>
      <c r="K102"/>
      <c r="L102"/>
      <c r="M102"/>
      <c r="N102"/>
      <c r="O102"/>
    </row>
    <row r="103" spans="1:15" ht="13.5" customHeight="1" x14ac:dyDescent="0.2">
      <c r="A103"/>
      <c r="B103"/>
      <c r="C103"/>
      <c r="D103"/>
      <c r="E103"/>
      <c r="F103"/>
      <c r="G103"/>
      <c r="H103"/>
      <c r="I103"/>
      <c r="J103"/>
      <c r="K103"/>
      <c r="L103"/>
      <c r="M103"/>
      <c r="N103"/>
      <c r="O103"/>
    </row>
    <row r="104" spans="1:15" ht="13.5" customHeight="1" x14ac:dyDescent="0.2">
      <c r="A104"/>
      <c r="B104"/>
      <c r="C104"/>
      <c r="D104"/>
      <c r="E104"/>
      <c r="F104"/>
      <c r="G104"/>
      <c r="H104"/>
      <c r="I104"/>
      <c r="J104"/>
      <c r="K104"/>
      <c r="L104"/>
      <c r="M104"/>
      <c r="N104"/>
      <c r="O104"/>
    </row>
    <row r="105" spans="1:15" ht="13.5" customHeight="1" x14ac:dyDescent="0.2">
      <c r="A105"/>
      <c r="B105"/>
      <c r="C105"/>
      <c r="D105"/>
      <c r="E105"/>
      <c r="F105"/>
      <c r="G105"/>
      <c r="H105"/>
      <c r="I105"/>
      <c r="J105"/>
      <c r="K105"/>
      <c r="L105"/>
      <c r="M105"/>
      <c r="N105"/>
      <c r="O105"/>
    </row>
    <row r="106" spans="1:15" ht="13.5" customHeight="1" x14ac:dyDescent="0.2">
      <c r="A106"/>
      <c r="B106"/>
      <c r="C106"/>
      <c r="D106"/>
      <c r="E106"/>
      <c r="F106"/>
      <c r="G106"/>
      <c r="H106"/>
      <c r="I106"/>
      <c r="J106"/>
      <c r="K106"/>
      <c r="L106"/>
      <c r="M106"/>
      <c r="N106"/>
      <c r="O106"/>
    </row>
    <row r="107" spans="1:15" ht="13.5" customHeight="1" x14ac:dyDescent="0.2">
      <c r="A107"/>
      <c r="B107"/>
      <c r="C107"/>
      <c r="D107"/>
      <c r="E107"/>
      <c r="F107"/>
      <c r="G107"/>
      <c r="H107"/>
      <c r="I107"/>
      <c r="J107"/>
      <c r="K107"/>
      <c r="L107"/>
      <c r="M107"/>
      <c r="N107"/>
      <c r="O107"/>
    </row>
    <row r="108" spans="1:15" ht="13.5" customHeight="1" x14ac:dyDescent="0.2">
      <c r="A108"/>
      <c r="B108"/>
      <c r="C108"/>
      <c r="D108"/>
      <c r="E108"/>
      <c r="F108"/>
      <c r="G108"/>
      <c r="H108"/>
      <c r="I108"/>
      <c r="J108"/>
      <c r="K108"/>
      <c r="L108"/>
      <c r="M108"/>
      <c r="N108"/>
      <c r="O108"/>
    </row>
    <row r="109" spans="1:15" ht="13.5" customHeight="1" x14ac:dyDescent="0.2">
      <c r="A109"/>
      <c r="B109"/>
      <c r="C109"/>
      <c r="D109"/>
      <c r="E109"/>
      <c r="F109"/>
      <c r="G109"/>
      <c r="H109"/>
      <c r="I109"/>
      <c r="J109"/>
      <c r="K109"/>
      <c r="L109"/>
      <c r="M109"/>
      <c r="N109"/>
      <c r="O109"/>
    </row>
    <row r="110" spans="1:15" ht="13.5" customHeight="1" x14ac:dyDescent="0.2">
      <c r="A110"/>
      <c r="B110"/>
      <c r="C110"/>
      <c r="D110"/>
      <c r="E110"/>
      <c r="F110"/>
      <c r="G110"/>
      <c r="H110"/>
      <c r="I110"/>
      <c r="J110"/>
      <c r="K110"/>
      <c r="L110"/>
      <c r="M110"/>
      <c r="N110"/>
      <c r="O110"/>
    </row>
    <row r="111" spans="1:15" ht="13.5" customHeight="1" x14ac:dyDescent="0.2">
      <c r="A111"/>
      <c r="B111"/>
      <c r="C111"/>
      <c r="D111"/>
      <c r="E111"/>
      <c r="F111"/>
      <c r="G111"/>
      <c r="H111"/>
      <c r="I111"/>
      <c r="J111"/>
      <c r="K111"/>
      <c r="L111"/>
      <c r="M111"/>
      <c r="N111"/>
      <c r="O111"/>
    </row>
    <row r="112" spans="1:15" ht="13.5" customHeight="1" x14ac:dyDescent="0.2">
      <c r="A112"/>
      <c r="B112"/>
      <c r="C112"/>
      <c r="D112"/>
      <c r="E112"/>
      <c r="F112"/>
      <c r="G112"/>
      <c r="H112"/>
      <c r="I112"/>
      <c r="J112"/>
      <c r="K112"/>
      <c r="L112"/>
      <c r="M112"/>
      <c r="N112"/>
      <c r="O112"/>
    </row>
    <row r="113" spans="1:15" ht="13.5" customHeight="1" x14ac:dyDescent="0.2">
      <c r="A113"/>
      <c r="B113"/>
      <c r="C113"/>
      <c r="D113"/>
      <c r="E113"/>
      <c r="F113"/>
      <c r="G113"/>
      <c r="H113"/>
      <c r="I113"/>
      <c r="J113"/>
      <c r="K113"/>
      <c r="L113"/>
      <c r="M113"/>
      <c r="N113"/>
      <c r="O113"/>
    </row>
    <row r="114" spans="1:15" ht="13.5" customHeight="1" x14ac:dyDescent="0.2">
      <c r="A114"/>
      <c r="B114"/>
      <c r="C114"/>
      <c r="D114"/>
      <c r="E114"/>
      <c r="F114"/>
      <c r="G114"/>
      <c r="H114"/>
      <c r="I114"/>
      <c r="J114"/>
      <c r="K114"/>
      <c r="L114"/>
      <c r="M114"/>
      <c r="N114"/>
      <c r="O114"/>
    </row>
    <row r="115" spans="1:15" ht="13.5" customHeight="1" x14ac:dyDescent="0.2">
      <c r="A115"/>
      <c r="B115"/>
      <c r="C115"/>
      <c r="D115"/>
      <c r="E115"/>
      <c r="F115"/>
      <c r="G115"/>
      <c r="H115"/>
      <c r="I115"/>
      <c r="J115"/>
      <c r="K115"/>
      <c r="L115"/>
      <c r="M115"/>
      <c r="N115"/>
      <c r="O115"/>
    </row>
    <row r="116" spans="1:15" ht="13.5" customHeight="1" x14ac:dyDescent="0.2">
      <c r="A116"/>
      <c r="B116"/>
      <c r="C116"/>
      <c r="D116"/>
      <c r="E116"/>
      <c r="F116"/>
      <c r="G116"/>
      <c r="H116"/>
      <c r="I116"/>
      <c r="J116"/>
      <c r="K116"/>
      <c r="L116"/>
      <c r="M116"/>
      <c r="N116"/>
      <c r="O116"/>
    </row>
    <row r="117" spans="1:15" x14ac:dyDescent="0.2">
      <c r="A117"/>
      <c r="B117"/>
      <c r="C117"/>
      <c r="D117"/>
      <c r="E117"/>
      <c r="F117"/>
      <c r="G117"/>
      <c r="H117"/>
      <c r="I117"/>
      <c r="J117"/>
      <c r="K117"/>
      <c r="L117"/>
      <c r="M117"/>
      <c r="N117"/>
      <c r="O117"/>
    </row>
    <row r="118" spans="1:15" ht="30" customHeight="1" x14ac:dyDescent="0.2">
      <c r="A118"/>
      <c r="B118"/>
      <c r="C118"/>
      <c r="D118"/>
      <c r="E118"/>
      <c r="F118"/>
      <c r="G118"/>
      <c r="H118"/>
      <c r="I118"/>
      <c r="J118"/>
      <c r="K118"/>
      <c r="L118"/>
      <c r="M118"/>
      <c r="N118"/>
      <c r="O118"/>
    </row>
    <row r="119" spans="1:15" ht="13.5" customHeight="1" x14ac:dyDescent="0.2">
      <c r="A119"/>
      <c r="B119"/>
      <c r="C119"/>
      <c r="D119"/>
      <c r="E119"/>
      <c r="F119"/>
      <c r="G119"/>
      <c r="H119"/>
      <c r="I119"/>
      <c r="J119"/>
      <c r="K119"/>
      <c r="L119"/>
      <c r="M119"/>
      <c r="N119"/>
      <c r="O119"/>
    </row>
    <row r="120" spans="1:15" x14ac:dyDescent="0.2">
      <c r="A120"/>
      <c r="B120"/>
      <c r="C120"/>
      <c r="D120"/>
      <c r="E120"/>
      <c r="F120"/>
      <c r="G120"/>
      <c r="H120"/>
      <c r="I120"/>
      <c r="J120"/>
      <c r="K120"/>
      <c r="L120"/>
      <c r="M120"/>
      <c r="N120"/>
      <c r="O120"/>
    </row>
    <row r="121" spans="1:15" x14ac:dyDescent="0.2">
      <c r="A121"/>
      <c r="B121"/>
      <c r="C121"/>
      <c r="D121"/>
      <c r="E121"/>
      <c r="F121"/>
      <c r="G121"/>
      <c r="H121"/>
      <c r="I121"/>
      <c r="J121"/>
      <c r="K121"/>
      <c r="L121"/>
      <c r="M121"/>
      <c r="N121"/>
      <c r="O121"/>
    </row>
    <row r="122" spans="1:15" s="86" customFormat="1" x14ac:dyDescent="0.2">
      <c r="A122"/>
      <c r="B122"/>
      <c r="C122"/>
      <c r="D122"/>
      <c r="E122"/>
      <c r="F122"/>
      <c r="G122"/>
      <c r="H122"/>
      <c r="I122"/>
      <c r="J122"/>
      <c r="K122"/>
      <c r="L122"/>
      <c r="M122"/>
      <c r="N122"/>
      <c r="O122"/>
    </row>
    <row r="123" spans="1:15" s="86" customFormat="1" x14ac:dyDescent="0.2">
      <c r="A123"/>
      <c r="B123"/>
      <c r="C123"/>
      <c r="D123"/>
      <c r="E123"/>
      <c r="F123"/>
      <c r="G123"/>
      <c r="H123"/>
      <c r="I123"/>
      <c r="J123"/>
      <c r="K123"/>
      <c r="L123"/>
      <c r="M123"/>
      <c r="N123"/>
      <c r="O123"/>
    </row>
    <row r="124" spans="1:15" x14ac:dyDescent="0.2">
      <c r="A124"/>
      <c r="B124"/>
      <c r="C124"/>
      <c r="D124"/>
      <c r="E124"/>
      <c r="F124"/>
      <c r="G124"/>
      <c r="H124"/>
      <c r="I124"/>
      <c r="J124"/>
      <c r="K124"/>
      <c r="L124"/>
      <c r="M124"/>
      <c r="N124"/>
      <c r="O124"/>
    </row>
    <row r="125" spans="1:15" x14ac:dyDescent="0.2">
      <c r="A125"/>
      <c r="B125"/>
      <c r="C125"/>
      <c r="D125"/>
      <c r="E125"/>
      <c r="F125"/>
      <c r="G125"/>
      <c r="H125"/>
      <c r="I125"/>
      <c r="J125"/>
      <c r="K125"/>
      <c r="L125"/>
      <c r="M125"/>
      <c r="N125"/>
      <c r="O125"/>
    </row>
    <row r="126" spans="1:15" x14ac:dyDescent="0.2">
      <c r="A126"/>
      <c r="B126"/>
      <c r="C126"/>
      <c r="D126"/>
      <c r="E126"/>
      <c r="F126"/>
      <c r="G126"/>
      <c r="H126"/>
      <c r="I126"/>
      <c r="J126"/>
      <c r="K126"/>
      <c r="L126"/>
      <c r="M126"/>
      <c r="N126"/>
      <c r="O126"/>
    </row>
    <row r="127" spans="1:15" x14ac:dyDescent="0.2">
      <c r="A127"/>
      <c r="B127"/>
      <c r="C127"/>
      <c r="D127"/>
      <c r="E127"/>
      <c r="F127"/>
      <c r="G127"/>
      <c r="H127"/>
      <c r="I127"/>
      <c r="J127"/>
      <c r="K127"/>
      <c r="L127"/>
      <c r="M127"/>
      <c r="N127"/>
      <c r="O127"/>
    </row>
    <row r="128" spans="1:15" x14ac:dyDescent="0.2">
      <c r="A128"/>
      <c r="B128"/>
      <c r="C128"/>
      <c r="D128"/>
      <c r="E128"/>
      <c r="F128"/>
      <c r="G128"/>
      <c r="H128"/>
      <c r="I128"/>
      <c r="J128"/>
      <c r="K128"/>
      <c r="L128"/>
      <c r="M128"/>
      <c r="N128"/>
      <c r="O128"/>
    </row>
    <row r="129" spans="1:15" x14ac:dyDescent="0.2">
      <c r="A129"/>
      <c r="B129"/>
      <c r="C129"/>
      <c r="D129"/>
      <c r="E129"/>
      <c r="F129"/>
      <c r="G129"/>
      <c r="H129"/>
      <c r="I129"/>
      <c r="J129"/>
      <c r="K129"/>
      <c r="L129"/>
      <c r="M129"/>
      <c r="N129"/>
      <c r="O129"/>
    </row>
    <row r="130" spans="1:15" x14ac:dyDescent="0.2">
      <c r="A130"/>
      <c r="B130"/>
      <c r="C130"/>
      <c r="D130"/>
      <c r="E130"/>
      <c r="F130"/>
      <c r="G130"/>
      <c r="H130"/>
      <c r="I130"/>
      <c r="J130"/>
      <c r="K130"/>
      <c r="L130"/>
      <c r="M130"/>
      <c r="N130"/>
      <c r="O130"/>
    </row>
    <row r="131" spans="1:15" x14ac:dyDescent="0.2">
      <c r="A131"/>
      <c r="B131"/>
      <c r="C131"/>
      <c r="D131"/>
      <c r="E131"/>
      <c r="F131"/>
      <c r="G131"/>
      <c r="H131"/>
      <c r="I131"/>
      <c r="J131"/>
      <c r="K131"/>
      <c r="L131"/>
      <c r="M131"/>
      <c r="N131"/>
      <c r="O131"/>
    </row>
    <row r="132" spans="1:15" x14ac:dyDescent="0.2">
      <c r="A132"/>
      <c r="B132"/>
      <c r="C132"/>
      <c r="D132"/>
      <c r="E132"/>
      <c r="F132"/>
      <c r="G132"/>
      <c r="H132"/>
      <c r="I132"/>
      <c r="J132"/>
      <c r="K132"/>
      <c r="L132"/>
      <c r="M132"/>
      <c r="N132"/>
      <c r="O132"/>
    </row>
    <row r="133" spans="1:15" x14ac:dyDescent="0.2">
      <c r="A133"/>
      <c r="B133"/>
      <c r="C133"/>
      <c r="D133"/>
      <c r="E133"/>
      <c r="F133"/>
      <c r="G133"/>
      <c r="H133"/>
      <c r="I133"/>
      <c r="J133"/>
      <c r="K133"/>
      <c r="L133"/>
      <c r="M133"/>
      <c r="N133"/>
      <c r="O133"/>
    </row>
  </sheetData>
  <sheetProtection algorithmName="SHA-512" hashValue="/q6tyaQygqb0I589tSn4fZs99AMo8lSNDQYpM03UdaNJa67Wzin1wjY1DkS8wov4kL/S7lwYtyk6N5TQ7IXftQ==" saltValue="i8LSDP0Diep5i/8BG9BXHA==" spinCount="100000" sheet="1" scenarios="1" formatCells="0" formatColumns="0" formatRows="0" sort="0" autoFilter="0" pivotTables="0"/>
  <mergeCells count="7">
    <mergeCell ref="A27:C27"/>
    <mergeCell ref="I8:I9"/>
    <mergeCell ref="A23:C23"/>
    <mergeCell ref="B8:E8"/>
    <mergeCell ref="F8:F9"/>
    <mergeCell ref="G8:G9"/>
    <mergeCell ref="H8:H9"/>
  </mergeCells>
  <hyperlinks>
    <hyperlink ref="A2" location="'Table of Contents'!A1" display="Back to Table of Contents" xr:uid="{00000000-0004-0000-0D00-000000000000}"/>
  </hyperlinks>
  <pageMargins left="0.70866141732283472" right="0.70866141732283472" top="0.74803149606299213" bottom="0.74803149606299213" header="0.31496062992125984" footer="0.31496062992125984"/>
  <pageSetup paperSize="9" scale="56" orientation="portrait" r:id="rId1"/>
  <headerFooter>
    <oddFooter>&amp;L&amp;P&amp;C&amp;A</oddFooter>
  </headerFooter>
  <rowBreaks count="1" manualBreakCount="1">
    <brk id="80" max="16383" man="1"/>
  </rowBreaks>
  <drawing r:id="rId2"/>
  <extLst>
    <ext xmlns:x14="http://schemas.microsoft.com/office/spreadsheetml/2009/9/main" uri="{A8765BA9-456A-4dab-B4F3-ACF838C121DE}">
      <x14:slicerList>
        <x14:slicer r:id="rId3"/>
      </x14:slicerList>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BF8F00"/>
  </sheetPr>
  <dimension ref="A1:H5"/>
  <sheetViews>
    <sheetView showGridLines="0" workbookViewId="0">
      <selection sqref="A1:C1"/>
    </sheetView>
  </sheetViews>
  <sheetFormatPr defaultColWidth="9.140625" defaultRowHeight="12.75" x14ac:dyDescent="0.2"/>
  <sheetData>
    <row r="1" spans="1:8" ht="17.25" customHeight="1" x14ac:dyDescent="0.2">
      <c r="A1" s="1271" t="s">
        <v>1254</v>
      </c>
      <c r="B1" s="1271"/>
      <c r="C1" s="1271"/>
    </row>
    <row r="2" spans="1:8" ht="17.25" customHeight="1" x14ac:dyDescent="0.2">
      <c r="A2" s="106" t="s">
        <v>578</v>
      </c>
      <c r="B2" s="1031"/>
      <c r="C2" s="1031"/>
    </row>
    <row r="3" spans="1:8" ht="33.75" customHeight="1" x14ac:dyDescent="0.2">
      <c r="A3" s="1272" t="s">
        <v>1255</v>
      </c>
      <c r="B3" s="1272"/>
      <c r="C3" s="1272"/>
      <c r="D3" s="1272"/>
      <c r="E3" s="1272"/>
      <c r="F3" s="1272"/>
      <c r="G3" s="1272"/>
      <c r="H3" s="1272"/>
    </row>
    <row r="4" spans="1:8" ht="15" x14ac:dyDescent="0.25">
      <c r="A4" s="1032" t="s">
        <v>1246</v>
      </c>
    </row>
    <row r="5" spans="1:8" ht="15" x14ac:dyDescent="0.25">
      <c r="A5" s="1043" t="s">
        <v>1393</v>
      </c>
    </row>
  </sheetData>
  <sheetProtection algorithmName="SHA-512" hashValue="Gky2Y94w2jQ21S+kzOa+t54wZN6DI3qrA/tGS67luV6StYbVeQxukVrc2VlPLHHlhQ467XADUHBziIoBDcXVAg==" saltValue="/IauBQrLJ8lEYSKjU+HtGw=="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8B00-000000000000}"/>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BF8F00"/>
  </sheetPr>
  <dimension ref="A1:H5"/>
  <sheetViews>
    <sheetView showGridLines="0" workbookViewId="0">
      <selection sqref="A1:C1"/>
    </sheetView>
  </sheetViews>
  <sheetFormatPr defaultColWidth="9.140625" defaultRowHeight="12.75" x14ac:dyDescent="0.2"/>
  <sheetData>
    <row r="1" spans="1:8" ht="17.25" customHeight="1" x14ac:dyDescent="0.2">
      <c r="A1" s="1271" t="s">
        <v>1254</v>
      </c>
      <c r="B1" s="1271"/>
      <c r="C1" s="1271"/>
    </row>
    <row r="2" spans="1:8" ht="17.25" customHeight="1" x14ac:dyDescent="0.2">
      <c r="A2" s="106" t="s">
        <v>578</v>
      </c>
      <c r="B2" s="1031"/>
      <c r="C2" s="1031"/>
    </row>
    <row r="3" spans="1:8" ht="33" customHeight="1" x14ac:dyDescent="0.2">
      <c r="A3" s="1272" t="s">
        <v>1256</v>
      </c>
      <c r="B3" s="1272"/>
      <c r="C3" s="1272"/>
      <c r="D3" s="1272"/>
      <c r="E3" s="1272"/>
      <c r="F3" s="1272"/>
      <c r="G3" s="1272"/>
      <c r="H3" s="1272"/>
    </row>
    <row r="4" spans="1:8" ht="15" x14ac:dyDescent="0.25">
      <c r="A4" s="1032" t="s">
        <v>1246</v>
      </c>
    </row>
    <row r="5" spans="1:8" ht="15" x14ac:dyDescent="0.25">
      <c r="A5" s="1043" t="s">
        <v>1394</v>
      </c>
    </row>
  </sheetData>
  <sheetProtection algorithmName="SHA-512" hashValue="gtoX/bEfS9+9MT93aCbyWhsS2MGRwZytHZwUaGdR75q3DQTyfy3dw5SQr6ztvAsVpYgalgKF2zEjp3bUsCQNpA==" saltValue="8jDNiHr6W8MJev1aaV6vbw=="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8C00-000000000000}"/>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8497B0"/>
  </sheetPr>
  <dimension ref="A1:I83"/>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6.85546875" customWidth="1"/>
    <col min="2" max="6" width="14.28515625" customWidth="1"/>
    <col min="7" max="8" width="13.85546875" customWidth="1"/>
    <col min="9" max="9" width="13.5703125" customWidth="1"/>
  </cols>
  <sheetData>
    <row r="1" spans="1:9" ht="15.75" x14ac:dyDescent="0.2">
      <c r="A1" s="298" t="s">
        <v>1137</v>
      </c>
    </row>
    <row r="2" spans="1:9" ht="17.25" customHeight="1" x14ac:dyDescent="0.2">
      <c r="A2" s="106" t="s">
        <v>578</v>
      </c>
    </row>
    <row r="3" spans="1:9" ht="30" customHeight="1" x14ac:dyDescent="0.2">
      <c r="A3" s="120" t="s">
        <v>1083</v>
      </c>
      <c r="B3" s="120"/>
      <c r="C3" s="120"/>
      <c r="D3" s="120"/>
      <c r="E3" s="120"/>
      <c r="F3" s="120"/>
    </row>
    <row r="4" spans="1:9" ht="15.75" x14ac:dyDescent="0.25">
      <c r="A4" s="351" t="s">
        <v>579</v>
      </c>
      <c r="B4" s="1043" t="s">
        <v>1395</v>
      </c>
      <c r="C4" s="120"/>
      <c r="D4" s="197"/>
      <c r="E4" s="197"/>
      <c r="F4" s="197"/>
    </row>
    <row r="5" spans="1:9" ht="15.75" x14ac:dyDescent="0.25">
      <c r="A5" s="351" t="s">
        <v>580</v>
      </c>
      <c r="B5" s="351" t="s">
        <v>581</v>
      </c>
      <c r="C5" s="197"/>
      <c r="D5" s="197"/>
      <c r="E5" s="197"/>
      <c r="F5" s="197"/>
    </row>
    <row r="6" spans="1:9" ht="15.75" x14ac:dyDescent="0.25">
      <c r="A6" s="351" t="s">
        <v>582</v>
      </c>
      <c r="B6" s="351" t="s">
        <v>585</v>
      </c>
      <c r="C6" s="197"/>
      <c r="D6" s="197"/>
      <c r="E6" s="197"/>
      <c r="F6" s="197"/>
    </row>
    <row r="7" spans="1:9" x14ac:dyDescent="0.2">
      <c r="A7" s="29"/>
      <c r="B7" s="57"/>
      <c r="C7" s="57"/>
      <c r="D7" s="57"/>
      <c r="E7" s="57"/>
      <c r="F7" s="57"/>
      <c r="G7" s="57"/>
      <c r="H7" s="57"/>
      <c r="I7" s="3"/>
    </row>
    <row r="8" spans="1:9" x14ac:dyDescent="0.2">
      <c r="A8" s="29"/>
      <c r="B8" s="57"/>
      <c r="C8" s="57"/>
      <c r="D8" s="57"/>
      <c r="E8" s="57"/>
      <c r="F8" s="57"/>
      <c r="G8" s="57"/>
      <c r="H8" s="57"/>
      <c r="I8" s="3"/>
    </row>
    <row r="9" spans="1:9" ht="15" x14ac:dyDescent="0.25">
      <c r="B9" s="708" t="s">
        <v>651</v>
      </c>
    </row>
    <row r="10" spans="1:9" ht="30.75" customHeight="1" x14ac:dyDescent="0.25">
      <c r="A10" s="136" t="s">
        <v>4</v>
      </c>
      <c r="B10" s="840" t="s">
        <v>1004</v>
      </c>
      <c r="C10" s="840">
        <v>2</v>
      </c>
      <c r="D10" s="840">
        <v>3</v>
      </c>
      <c r="E10" s="840">
        <v>4</v>
      </c>
      <c r="F10" s="840" t="s">
        <v>1005</v>
      </c>
      <c r="G10" s="841" t="s">
        <v>168</v>
      </c>
      <c r="H10" s="841" t="s">
        <v>11</v>
      </c>
    </row>
    <row r="11" spans="1:9" x14ac:dyDescent="0.2">
      <c r="A11" s="400" t="str">
        <f>T_simd!A6</f>
        <v>2012-13</v>
      </c>
      <c r="B11" s="354">
        <f>T_simd!B6</f>
        <v>2305</v>
      </c>
      <c r="C11" s="354">
        <f>T_simd!C6</f>
        <v>1337</v>
      </c>
      <c r="D11" s="354">
        <f>T_simd!D6</f>
        <v>934</v>
      </c>
      <c r="E11" s="354">
        <f>T_simd!E6</f>
        <v>693</v>
      </c>
      <c r="F11" s="354">
        <f>T_simd!F6</f>
        <v>559</v>
      </c>
      <c r="G11" s="354">
        <f>T_simd!G6</f>
        <v>1</v>
      </c>
      <c r="H11" s="355">
        <f>SUM(B11:G11)</f>
        <v>5829</v>
      </c>
    </row>
    <row r="12" spans="1:9" x14ac:dyDescent="0.2">
      <c r="A12" s="117" t="str">
        <f>T_simd!A7</f>
        <v>2013-14</v>
      </c>
      <c r="B12" s="191">
        <f>T_simd!B7</f>
        <v>2109</v>
      </c>
      <c r="C12" s="191">
        <f>T_simd!C7</f>
        <v>1204</v>
      </c>
      <c r="D12" s="191">
        <f>T_simd!D7</f>
        <v>824</v>
      </c>
      <c r="E12" s="191">
        <f>T_simd!E7</f>
        <v>650</v>
      </c>
      <c r="F12" s="191">
        <f>T_simd!F7</f>
        <v>536</v>
      </c>
      <c r="G12" s="191">
        <f>T_simd!G7</f>
        <v>0</v>
      </c>
      <c r="H12" s="353">
        <f t="shared" ref="H12:H16" si="0">SUM(B12:G12)</f>
        <v>5323</v>
      </c>
    </row>
    <row r="13" spans="1:9" x14ac:dyDescent="0.2">
      <c r="A13" s="117" t="str">
        <f>T_simd!A8</f>
        <v>2014-15</v>
      </c>
      <c r="B13" s="191">
        <f>T_simd!B8</f>
        <v>2138</v>
      </c>
      <c r="C13" s="191">
        <f>T_simd!C8</f>
        <v>1263</v>
      </c>
      <c r="D13" s="191">
        <f>T_simd!D8</f>
        <v>954</v>
      </c>
      <c r="E13" s="191">
        <f>T_simd!E8</f>
        <v>681</v>
      </c>
      <c r="F13" s="191">
        <f>T_simd!F8</f>
        <v>537</v>
      </c>
      <c r="G13" s="191">
        <f>T_simd!G8</f>
        <v>1</v>
      </c>
      <c r="H13" s="353">
        <f t="shared" si="0"/>
        <v>5574</v>
      </c>
    </row>
    <row r="14" spans="1:9" x14ac:dyDescent="0.2">
      <c r="A14" s="117" t="str">
        <f>T_simd!A9</f>
        <v>2015-16</v>
      </c>
      <c r="B14" s="191">
        <f>T_simd!B9</f>
        <v>2230</v>
      </c>
      <c r="C14" s="191">
        <f>T_simd!C9</f>
        <v>1298</v>
      </c>
      <c r="D14" s="191">
        <f>T_simd!D9</f>
        <v>945</v>
      </c>
      <c r="E14" s="191">
        <f>T_simd!E9</f>
        <v>737</v>
      </c>
      <c r="F14" s="191">
        <f>T_simd!F9</f>
        <v>463</v>
      </c>
      <c r="G14" s="191">
        <f>T_simd!G9</f>
        <v>0</v>
      </c>
      <c r="H14" s="353">
        <f t="shared" si="0"/>
        <v>5673</v>
      </c>
    </row>
    <row r="15" spans="1:9" x14ac:dyDescent="0.2">
      <c r="A15" s="117" t="str">
        <f>T_simd!A10</f>
        <v>2016-17</v>
      </c>
      <c r="B15" s="191">
        <f>T_simd!B10</f>
        <v>2141</v>
      </c>
      <c r="C15" s="191">
        <f>T_simd!C10</f>
        <v>1337</v>
      </c>
      <c r="D15" s="191">
        <f>T_simd!D10</f>
        <v>882</v>
      </c>
      <c r="E15" s="191">
        <f>T_simd!E10</f>
        <v>646</v>
      </c>
      <c r="F15" s="191">
        <f>T_simd!F10</f>
        <v>534</v>
      </c>
      <c r="G15" s="191">
        <f>T_simd!G10</f>
        <v>0</v>
      </c>
      <c r="H15" s="353">
        <f t="shared" si="0"/>
        <v>5540</v>
      </c>
    </row>
    <row r="16" spans="1:9" x14ac:dyDescent="0.2">
      <c r="A16" s="117" t="str">
        <f>T_simd!A11</f>
        <v>2017-18</v>
      </c>
      <c r="B16" s="191">
        <f>T_simd!B11</f>
        <v>2128</v>
      </c>
      <c r="C16" s="191">
        <f>T_simd!C11</f>
        <v>1218</v>
      </c>
      <c r="D16" s="191">
        <f>T_simd!D11</f>
        <v>805</v>
      </c>
      <c r="E16" s="191">
        <f>T_simd!E11</f>
        <v>641</v>
      </c>
      <c r="F16" s="191">
        <f>T_simd!F11</f>
        <v>519</v>
      </c>
      <c r="G16" s="191">
        <f>T_simd!G11</f>
        <v>0</v>
      </c>
      <c r="H16" s="353">
        <f t="shared" si="0"/>
        <v>5311</v>
      </c>
    </row>
    <row r="17" spans="1:8" x14ac:dyDescent="0.2">
      <c r="A17" s="117" t="str">
        <f>T_simd!A12</f>
        <v>2018-19</v>
      </c>
      <c r="B17" s="191">
        <f>T_simd!B12</f>
        <v>2027</v>
      </c>
      <c r="C17" s="191">
        <f>T_simd!C12</f>
        <v>1198</v>
      </c>
      <c r="D17" s="191">
        <f>T_simd!D12</f>
        <v>824</v>
      </c>
      <c r="E17" s="191">
        <f>T_simd!E12</f>
        <v>624</v>
      </c>
      <c r="F17" s="191">
        <f>T_simd!F12</f>
        <v>472</v>
      </c>
      <c r="G17" s="191">
        <f>T_simd!G12</f>
        <v>0</v>
      </c>
      <c r="H17" s="353">
        <f t="shared" ref="H17:H18" si="1">SUM(B17:G17)</f>
        <v>5145</v>
      </c>
    </row>
    <row r="18" spans="1:8" x14ac:dyDescent="0.2">
      <c r="A18" s="117" t="str">
        <f>T_simd!A13</f>
        <v>2019-20</v>
      </c>
      <c r="B18" s="191">
        <f>T_simd!B13</f>
        <v>1837</v>
      </c>
      <c r="C18" s="191">
        <f>T_simd!C13</f>
        <v>1141</v>
      </c>
      <c r="D18" s="191">
        <f>T_simd!D13</f>
        <v>819</v>
      </c>
      <c r="E18" s="191">
        <f>T_simd!E13</f>
        <v>622</v>
      </c>
      <c r="F18" s="191">
        <f>T_simd!F13</f>
        <v>470</v>
      </c>
      <c r="G18" s="191">
        <f>T_simd!G13</f>
        <v>1</v>
      </c>
      <c r="H18" s="353">
        <f t="shared" si="1"/>
        <v>4890</v>
      </c>
    </row>
    <row r="19" spans="1:8" ht="13.5" thickBot="1" x14ac:dyDescent="0.25">
      <c r="A19" s="842" t="str">
        <f>T_simd!A14</f>
        <v>2020-21</v>
      </c>
      <c r="B19" s="492">
        <f>T_simd!B14</f>
        <v>1853</v>
      </c>
      <c r="C19" s="492">
        <f>T_simd!C14</f>
        <v>1110</v>
      </c>
      <c r="D19" s="492">
        <f>T_simd!D14</f>
        <v>715</v>
      </c>
      <c r="E19" s="492">
        <f>T_simd!E14</f>
        <v>555</v>
      </c>
      <c r="F19" s="492">
        <f>T_simd!F14</f>
        <v>427</v>
      </c>
      <c r="G19" s="492">
        <f>T_simd!G14</f>
        <v>1</v>
      </c>
      <c r="H19" s="712">
        <f t="shared" ref="H19" si="2">SUM(B19:G19)</f>
        <v>4661</v>
      </c>
    </row>
    <row r="21" spans="1:8" ht="15" x14ac:dyDescent="0.25">
      <c r="B21" s="708" t="s">
        <v>6</v>
      </c>
    </row>
    <row r="22" spans="1:8" ht="28.5" customHeight="1" x14ac:dyDescent="0.25">
      <c r="A22" s="136" t="s">
        <v>4</v>
      </c>
      <c r="B22" s="840" t="s">
        <v>1004</v>
      </c>
      <c r="C22" s="840">
        <v>2</v>
      </c>
      <c r="D22" s="840">
        <v>3</v>
      </c>
      <c r="E22" s="840">
        <v>4</v>
      </c>
      <c r="F22" s="840" t="s">
        <v>1005</v>
      </c>
      <c r="G22" s="841" t="s">
        <v>168</v>
      </c>
      <c r="H22" s="841" t="s">
        <v>11</v>
      </c>
    </row>
    <row r="23" spans="1:8" x14ac:dyDescent="0.2">
      <c r="A23" s="400" t="str">
        <f t="shared" ref="A23:A28" si="3">A11</f>
        <v>2012-13</v>
      </c>
      <c r="B23" s="354">
        <f>T_simd!I6</f>
        <v>549</v>
      </c>
      <c r="C23" s="354">
        <f>T_simd!J6</f>
        <v>611</v>
      </c>
      <c r="D23" s="354">
        <f>T_simd!K6</f>
        <v>500</v>
      </c>
      <c r="E23" s="354">
        <f>T_simd!L6</f>
        <v>473</v>
      </c>
      <c r="F23" s="354">
        <f>T_simd!M6</f>
        <v>275</v>
      </c>
      <c r="G23" s="354">
        <f>T_simd!N6</f>
        <v>0</v>
      </c>
      <c r="H23" s="355">
        <f>SUM(B23:G23)</f>
        <v>2408</v>
      </c>
    </row>
    <row r="24" spans="1:8" x14ac:dyDescent="0.2">
      <c r="A24" s="117" t="str">
        <f t="shared" si="3"/>
        <v>2013-14</v>
      </c>
      <c r="B24" s="191">
        <f>T_simd!I7</f>
        <v>502</v>
      </c>
      <c r="C24" s="191">
        <f>T_simd!J7</f>
        <v>574</v>
      </c>
      <c r="D24" s="191">
        <f>T_simd!K7</f>
        <v>514</v>
      </c>
      <c r="E24" s="191">
        <f>T_simd!L7</f>
        <v>469</v>
      </c>
      <c r="F24" s="191">
        <f>T_simd!M7</f>
        <v>287</v>
      </c>
      <c r="G24" s="191">
        <f>T_simd!N7</f>
        <v>0</v>
      </c>
      <c r="H24" s="353">
        <f t="shared" ref="H24:H28" si="4">SUM(B24:G24)</f>
        <v>2346</v>
      </c>
    </row>
    <row r="25" spans="1:8" x14ac:dyDescent="0.2">
      <c r="A25" s="117" t="str">
        <f t="shared" si="3"/>
        <v>2014-15</v>
      </c>
      <c r="B25" s="191">
        <f>T_simd!I8</f>
        <v>543</v>
      </c>
      <c r="C25" s="191">
        <f>T_simd!J8</f>
        <v>518</v>
      </c>
      <c r="D25" s="191">
        <f>T_simd!K8</f>
        <v>544</v>
      </c>
      <c r="E25" s="191">
        <f>T_simd!L8</f>
        <v>459</v>
      </c>
      <c r="F25" s="191">
        <f>T_simd!M8</f>
        <v>260</v>
      </c>
      <c r="G25" s="191">
        <f>T_simd!N8</f>
        <v>0</v>
      </c>
      <c r="H25" s="353">
        <f t="shared" si="4"/>
        <v>2324</v>
      </c>
    </row>
    <row r="26" spans="1:8" x14ac:dyDescent="0.2">
      <c r="A26" s="117" t="str">
        <f t="shared" si="3"/>
        <v>2015-16</v>
      </c>
      <c r="B26" s="191">
        <f>T_simd!I9</f>
        <v>592</v>
      </c>
      <c r="C26" s="191">
        <f>T_simd!J9</f>
        <v>522</v>
      </c>
      <c r="D26" s="191">
        <f>T_simd!K9</f>
        <v>537</v>
      </c>
      <c r="E26" s="191">
        <f>T_simd!L9</f>
        <v>542</v>
      </c>
      <c r="F26" s="191">
        <f>T_simd!M9</f>
        <v>299</v>
      </c>
      <c r="G26" s="191">
        <f>T_simd!N9</f>
        <v>2</v>
      </c>
      <c r="H26" s="353">
        <f t="shared" si="4"/>
        <v>2494</v>
      </c>
    </row>
    <row r="27" spans="1:8" x14ac:dyDescent="0.2">
      <c r="A27" s="117" t="str">
        <f t="shared" si="3"/>
        <v>2016-17</v>
      </c>
      <c r="B27" s="191">
        <f>T_simd!I10</f>
        <v>536</v>
      </c>
      <c r="C27" s="191">
        <f>T_simd!J10</f>
        <v>523</v>
      </c>
      <c r="D27" s="191">
        <f>T_simd!K10</f>
        <v>506</v>
      </c>
      <c r="E27" s="191">
        <f>T_simd!L10</f>
        <v>465</v>
      </c>
      <c r="F27" s="191">
        <f>T_simd!M10</f>
        <v>247</v>
      </c>
      <c r="G27" s="191">
        <f>T_simd!N10</f>
        <v>0</v>
      </c>
      <c r="H27" s="353">
        <f t="shared" si="4"/>
        <v>2277</v>
      </c>
    </row>
    <row r="28" spans="1:8" x14ac:dyDescent="0.2">
      <c r="A28" s="117" t="str">
        <f t="shared" si="3"/>
        <v>2017-18</v>
      </c>
      <c r="B28" s="191">
        <f>T_simd!I11</f>
        <v>492</v>
      </c>
      <c r="C28" s="191">
        <f>T_simd!J11</f>
        <v>524</v>
      </c>
      <c r="D28" s="191">
        <f>T_simd!K11</f>
        <v>511</v>
      </c>
      <c r="E28" s="191">
        <f>T_simd!L11</f>
        <v>490</v>
      </c>
      <c r="F28" s="191">
        <f>T_simd!M11</f>
        <v>269</v>
      </c>
      <c r="G28" s="191">
        <f>T_simd!N11</f>
        <v>1</v>
      </c>
      <c r="H28" s="353">
        <f t="shared" si="4"/>
        <v>2287</v>
      </c>
    </row>
    <row r="29" spans="1:8" x14ac:dyDescent="0.2">
      <c r="A29" s="117" t="str">
        <f t="shared" ref="A29:A31" si="5">A17</f>
        <v>2018-19</v>
      </c>
      <c r="B29" s="191">
        <f>T_simd!I12</f>
        <v>480</v>
      </c>
      <c r="C29" s="191">
        <f>T_simd!J12</f>
        <v>508</v>
      </c>
      <c r="D29" s="191">
        <f>T_simd!K12</f>
        <v>527</v>
      </c>
      <c r="E29" s="191">
        <f>T_simd!L12</f>
        <v>464</v>
      </c>
      <c r="F29" s="191">
        <f>T_simd!M12</f>
        <v>273</v>
      </c>
      <c r="G29" s="191">
        <f>T_simd!N12</f>
        <v>0</v>
      </c>
      <c r="H29" s="353">
        <f t="shared" ref="H29:H30" si="6">SUM(B29:G29)</f>
        <v>2252</v>
      </c>
    </row>
    <row r="30" spans="1:8" x14ac:dyDescent="0.2">
      <c r="A30" s="117" t="str">
        <f t="shared" si="5"/>
        <v>2019-20</v>
      </c>
      <c r="B30" s="191">
        <f>T_simd!I13</f>
        <v>471</v>
      </c>
      <c r="C30" s="191">
        <f>T_simd!J13</f>
        <v>433</v>
      </c>
      <c r="D30" s="191">
        <f>T_simd!K13</f>
        <v>419</v>
      </c>
      <c r="E30" s="191">
        <f>T_simd!L13</f>
        <v>431</v>
      </c>
      <c r="F30" s="191">
        <f>T_simd!M13</f>
        <v>225</v>
      </c>
      <c r="G30" s="191">
        <f>T_simd!N13</f>
        <v>1</v>
      </c>
      <c r="H30" s="353">
        <f t="shared" si="6"/>
        <v>1980</v>
      </c>
    </row>
    <row r="31" spans="1:8" ht="13.5" thickBot="1" x14ac:dyDescent="0.25">
      <c r="A31" s="842" t="str">
        <f t="shared" si="5"/>
        <v>2020-21</v>
      </c>
      <c r="B31" s="492">
        <f>T_simd!I14</f>
        <v>376</v>
      </c>
      <c r="C31" s="492">
        <f>T_simd!J14</f>
        <v>395</v>
      </c>
      <c r="D31" s="492">
        <f>T_simd!K14</f>
        <v>378</v>
      </c>
      <c r="E31" s="492">
        <f>T_simd!L14</f>
        <v>379</v>
      </c>
      <c r="F31" s="492">
        <f>T_simd!M14</f>
        <v>189</v>
      </c>
      <c r="G31" s="492">
        <f>T_simd!N14</f>
        <v>1</v>
      </c>
      <c r="H31" s="712">
        <f t="shared" ref="H31" si="7">SUM(B31:G31)</f>
        <v>1718</v>
      </c>
    </row>
    <row r="33" spans="1:8" ht="15" x14ac:dyDescent="0.25">
      <c r="B33" s="708" t="s">
        <v>10</v>
      </c>
    </row>
    <row r="34" spans="1:8" ht="30" x14ac:dyDescent="0.25">
      <c r="A34" s="136" t="s">
        <v>4</v>
      </c>
      <c r="B34" s="840" t="s">
        <v>1004</v>
      </c>
      <c r="C34" s="840">
        <v>2</v>
      </c>
      <c r="D34" s="840">
        <v>3</v>
      </c>
      <c r="E34" s="840">
        <v>4</v>
      </c>
      <c r="F34" s="840" t="s">
        <v>1005</v>
      </c>
      <c r="G34" s="841" t="s">
        <v>168</v>
      </c>
      <c r="H34" s="841" t="s">
        <v>11</v>
      </c>
    </row>
    <row r="35" spans="1:8" x14ac:dyDescent="0.2">
      <c r="A35" s="400" t="str">
        <f t="shared" ref="A35:A43" si="8">A23</f>
        <v>2012-13</v>
      </c>
      <c r="B35" s="354">
        <f>T_simd!P6</f>
        <v>514</v>
      </c>
      <c r="C35" s="354">
        <f>T_simd!Q6</f>
        <v>431</v>
      </c>
      <c r="D35" s="354">
        <f>T_simd!R6</f>
        <v>448</v>
      </c>
      <c r="E35" s="354">
        <f>T_simd!S6</f>
        <v>465</v>
      </c>
      <c r="F35" s="354">
        <f>T_simd!T6</f>
        <v>172</v>
      </c>
      <c r="G35" s="354">
        <f>T_simd!U6</f>
        <v>4</v>
      </c>
      <c r="H35" s="355">
        <f>SUM(B35:G35)</f>
        <v>2034</v>
      </c>
    </row>
    <row r="36" spans="1:8" x14ac:dyDescent="0.2">
      <c r="A36" s="117" t="str">
        <f t="shared" si="8"/>
        <v>2013-14</v>
      </c>
      <c r="B36" s="191">
        <f>T_simd!P7</f>
        <v>498</v>
      </c>
      <c r="C36" s="191">
        <f>T_simd!Q7</f>
        <v>398</v>
      </c>
      <c r="D36" s="191">
        <f>T_simd!R7</f>
        <v>399</v>
      </c>
      <c r="E36" s="191">
        <f>T_simd!S7</f>
        <v>414</v>
      </c>
      <c r="F36" s="191">
        <f>T_simd!T7</f>
        <v>226</v>
      </c>
      <c r="G36" s="191">
        <f>T_simd!U7</f>
        <v>3</v>
      </c>
      <c r="H36" s="353">
        <f t="shared" ref="H36:H40" si="9">SUM(B36:G36)</f>
        <v>1938</v>
      </c>
    </row>
    <row r="37" spans="1:8" x14ac:dyDescent="0.2">
      <c r="A37" s="117" t="str">
        <f t="shared" si="8"/>
        <v>2014-15</v>
      </c>
      <c r="B37" s="191">
        <f>T_simd!P8</f>
        <v>530</v>
      </c>
      <c r="C37" s="191">
        <f>T_simd!Q8</f>
        <v>377</v>
      </c>
      <c r="D37" s="191">
        <f>T_simd!R8</f>
        <v>402</v>
      </c>
      <c r="E37" s="191">
        <f>T_simd!S8</f>
        <v>411</v>
      </c>
      <c r="F37" s="191">
        <f>T_simd!T8</f>
        <v>176</v>
      </c>
      <c r="G37" s="191">
        <f>T_simd!U8</f>
        <v>1</v>
      </c>
      <c r="H37" s="353">
        <f t="shared" si="9"/>
        <v>1897</v>
      </c>
    </row>
    <row r="38" spans="1:8" x14ac:dyDescent="0.2">
      <c r="A38" s="117" t="str">
        <f t="shared" si="8"/>
        <v>2015-16</v>
      </c>
      <c r="B38" s="191">
        <f>T_simd!P9</f>
        <v>517</v>
      </c>
      <c r="C38" s="191">
        <f>T_simd!Q9</f>
        <v>392</v>
      </c>
      <c r="D38" s="191">
        <f>T_simd!R9</f>
        <v>409</v>
      </c>
      <c r="E38" s="191">
        <f>T_simd!S9</f>
        <v>425</v>
      </c>
      <c r="F38" s="191">
        <f>T_simd!T9</f>
        <v>221</v>
      </c>
      <c r="G38" s="191">
        <f>T_simd!U9</f>
        <v>1</v>
      </c>
      <c r="H38" s="353">
        <f t="shared" si="9"/>
        <v>1965</v>
      </c>
    </row>
    <row r="39" spans="1:8" x14ac:dyDescent="0.2">
      <c r="A39" s="117" t="str">
        <f t="shared" si="8"/>
        <v>2016-17</v>
      </c>
      <c r="B39" s="191">
        <f>T_simd!P10</f>
        <v>547</v>
      </c>
      <c r="C39" s="191">
        <f>T_simd!Q10</f>
        <v>423</v>
      </c>
      <c r="D39" s="191">
        <f>T_simd!R10</f>
        <v>481</v>
      </c>
      <c r="E39" s="191">
        <f>T_simd!S10</f>
        <v>455</v>
      </c>
      <c r="F39" s="191">
        <f>T_simd!T10</f>
        <v>213</v>
      </c>
      <c r="G39" s="191">
        <f>T_simd!U10</f>
        <v>1</v>
      </c>
      <c r="H39" s="353">
        <f t="shared" si="9"/>
        <v>2120</v>
      </c>
    </row>
    <row r="40" spans="1:8" x14ac:dyDescent="0.2">
      <c r="A40" s="117" t="str">
        <f t="shared" si="8"/>
        <v>2017-18</v>
      </c>
      <c r="B40" s="191">
        <f>T_simd!P11</f>
        <v>569</v>
      </c>
      <c r="C40" s="191">
        <f>T_simd!Q11</f>
        <v>398</v>
      </c>
      <c r="D40" s="191">
        <f>T_simd!R11</f>
        <v>419</v>
      </c>
      <c r="E40" s="191">
        <f>T_simd!S11</f>
        <v>423</v>
      </c>
      <c r="F40" s="191">
        <f>T_simd!T11</f>
        <v>205</v>
      </c>
      <c r="G40" s="191">
        <f>T_simd!U11</f>
        <v>2</v>
      </c>
      <c r="H40" s="353">
        <f t="shared" si="9"/>
        <v>2016</v>
      </c>
    </row>
    <row r="41" spans="1:8" x14ac:dyDescent="0.2">
      <c r="A41" s="117" t="str">
        <f t="shared" si="8"/>
        <v>2018-19</v>
      </c>
      <c r="B41" s="191">
        <f>T_simd!P12</f>
        <v>534</v>
      </c>
      <c r="C41" s="191">
        <f>T_simd!Q12</f>
        <v>381</v>
      </c>
      <c r="D41" s="191">
        <f>T_simd!R12</f>
        <v>415</v>
      </c>
      <c r="E41" s="191">
        <f>T_simd!S12</f>
        <v>433</v>
      </c>
      <c r="F41" s="191">
        <f>T_simd!T12</f>
        <v>184</v>
      </c>
      <c r="G41" s="191">
        <f>T_simd!U12</f>
        <v>5</v>
      </c>
      <c r="H41" s="353">
        <f t="shared" ref="H41:H42" si="10">SUM(B41:G41)</f>
        <v>1952</v>
      </c>
    </row>
    <row r="42" spans="1:8" x14ac:dyDescent="0.2">
      <c r="A42" s="117" t="str">
        <f t="shared" si="8"/>
        <v>2019-20</v>
      </c>
      <c r="B42" s="191">
        <f>T_simd!P13</f>
        <v>558</v>
      </c>
      <c r="C42" s="191">
        <f>T_simd!Q13</f>
        <v>450</v>
      </c>
      <c r="D42" s="191">
        <f>T_simd!R13</f>
        <v>419</v>
      </c>
      <c r="E42" s="191">
        <f>T_simd!S13</f>
        <v>460</v>
      </c>
      <c r="F42" s="191">
        <f>T_simd!T13</f>
        <v>210</v>
      </c>
      <c r="G42" s="191">
        <f>T_simd!U13</f>
        <v>2</v>
      </c>
      <c r="H42" s="353">
        <f t="shared" si="10"/>
        <v>2099</v>
      </c>
    </row>
    <row r="43" spans="1:8" ht="13.5" thickBot="1" x14ac:dyDescent="0.25">
      <c r="A43" s="842" t="str">
        <f t="shared" si="8"/>
        <v>2020-21</v>
      </c>
      <c r="B43" s="492">
        <f>T_simd!P14</f>
        <v>533</v>
      </c>
      <c r="C43" s="492">
        <f>T_simd!Q14</f>
        <v>381</v>
      </c>
      <c r="D43" s="492">
        <f>T_simd!R14</f>
        <v>361</v>
      </c>
      <c r="E43" s="492">
        <f>T_simd!S14</f>
        <v>362</v>
      </c>
      <c r="F43" s="492">
        <f>T_simd!T14</f>
        <v>178</v>
      </c>
      <c r="G43" s="492">
        <f>T_simd!U14</f>
        <v>1</v>
      </c>
      <c r="H43" s="712">
        <f t="shared" ref="H43" si="11">SUM(B43:G43)</f>
        <v>1816</v>
      </c>
    </row>
    <row r="45" spans="1:8" ht="15" x14ac:dyDescent="0.25">
      <c r="B45" s="708" t="s">
        <v>865</v>
      </c>
    </row>
    <row r="46" spans="1:8" ht="30" x14ac:dyDescent="0.25">
      <c r="A46" s="136" t="s">
        <v>4</v>
      </c>
      <c r="B46" s="840" t="s">
        <v>1004</v>
      </c>
      <c r="C46" s="840">
        <v>2</v>
      </c>
      <c r="D46" s="840">
        <v>3</v>
      </c>
      <c r="E46" s="840">
        <v>4</v>
      </c>
      <c r="F46" s="840" t="s">
        <v>1005</v>
      </c>
      <c r="G46" s="841" t="s">
        <v>168</v>
      </c>
      <c r="H46" s="841" t="s">
        <v>11</v>
      </c>
    </row>
    <row r="47" spans="1:8" x14ac:dyDescent="0.2">
      <c r="A47" s="400" t="str">
        <f t="shared" ref="A47:A55" si="12">A35</f>
        <v>2012-13</v>
      </c>
      <c r="B47" s="354">
        <f>T_simd!W6</f>
        <v>204</v>
      </c>
      <c r="C47" s="354">
        <f>T_simd!X6</f>
        <v>161</v>
      </c>
      <c r="D47" s="354">
        <f>T_simd!Y6</f>
        <v>171</v>
      </c>
      <c r="E47" s="354">
        <f>T_simd!Z6</f>
        <v>196</v>
      </c>
      <c r="F47" s="354">
        <f>T_simd!AA6</f>
        <v>78</v>
      </c>
      <c r="G47" s="354">
        <f>T_simd!AB6</f>
        <v>5</v>
      </c>
      <c r="H47" s="355">
        <f>SUM(B47:G47)</f>
        <v>815</v>
      </c>
    </row>
    <row r="48" spans="1:8" x14ac:dyDescent="0.2">
      <c r="A48" s="117" t="str">
        <f t="shared" si="12"/>
        <v>2013-14</v>
      </c>
      <c r="B48" s="191">
        <f>T_simd!W7</f>
        <v>185</v>
      </c>
      <c r="C48" s="191">
        <f>T_simd!X7</f>
        <v>183</v>
      </c>
      <c r="D48" s="191">
        <f>T_simd!Y7</f>
        <v>199</v>
      </c>
      <c r="E48" s="191">
        <f>T_simd!Z7</f>
        <v>224</v>
      </c>
      <c r="F48" s="191">
        <f>T_simd!AA7</f>
        <v>117</v>
      </c>
      <c r="G48" s="191">
        <f>T_simd!AB7</f>
        <v>6</v>
      </c>
      <c r="H48" s="353">
        <f t="shared" ref="H48:H52" si="13">SUM(B48:G48)</f>
        <v>914</v>
      </c>
    </row>
    <row r="49" spans="1:8" x14ac:dyDescent="0.2">
      <c r="A49" s="117" t="str">
        <f t="shared" si="12"/>
        <v>2014-15</v>
      </c>
      <c r="B49" s="191">
        <f>T_simd!W8</f>
        <v>180</v>
      </c>
      <c r="C49" s="191">
        <f>T_simd!X8</f>
        <v>166</v>
      </c>
      <c r="D49" s="191">
        <f>T_simd!Y8</f>
        <v>178</v>
      </c>
      <c r="E49" s="191">
        <f>T_simd!Z8</f>
        <v>211</v>
      </c>
      <c r="F49" s="191">
        <f>T_simd!AA8</f>
        <v>100</v>
      </c>
      <c r="G49" s="191">
        <f>T_simd!AB8</f>
        <v>3</v>
      </c>
      <c r="H49" s="353">
        <f t="shared" si="13"/>
        <v>838</v>
      </c>
    </row>
    <row r="50" spans="1:8" x14ac:dyDescent="0.2">
      <c r="A50" s="117" t="str">
        <f t="shared" si="12"/>
        <v>2015-16</v>
      </c>
      <c r="B50" s="191">
        <f>T_simd!W9</f>
        <v>163</v>
      </c>
      <c r="C50" s="191">
        <f>T_simd!X9</f>
        <v>195</v>
      </c>
      <c r="D50" s="191">
        <f>T_simd!Y9</f>
        <v>184</v>
      </c>
      <c r="E50" s="191">
        <f>T_simd!Z9</f>
        <v>212</v>
      </c>
      <c r="F50" s="191">
        <f>T_simd!AA9</f>
        <v>109</v>
      </c>
      <c r="G50" s="191">
        <f>T_simd!AB9</f>
        <v>11</v>
      </c>
      <c r="H50" s="353">
        <f t="shared" si="13"/>
        <v>874</v>
      </c>
    </row>
    <row r="51" spans="1:8" x14ac:dyDescent="0.2">
      <c r="A51" s="117" t="str">
        <f t="shared" si="12"/>
        <v>2016-17</v>
      </c>
      <c r="B51" s="191">
        <f>T_simd!W10</f>
        <v>189</v>
      </c>
      <c r="C51" s="191">
        <f>T_simd!X10</f>
        <v>202</v>
      </c>
      <c r="D51" s="191">
        <f>T_simd!Y10</f>
        <v>197</v>
      </c>
      <c r="E51" s="191">
        <f>T_simd!Z10</f>
        <v>225</v>
      </c>
      <c r="F51" s="191">
        <f>T_simd!AA10</f>
        <v>139</v>
      </c>
      <c r="G51" s="191">
        <f>T_simd!AB10</f>
        <v>5</v>
      </c>
      <c r="H51" s="353">
        <f t="shared" si="13"/>
        <v>957</v>
      </c>
    </row>
    <row r="52" spans="1:8" x14ac:dyDescent="0.2">
      <c r="A52" s="117" t="str">
        <f t="shared" si="12"/>
        <v>2017-18</v>
      </c>
      <c r="B52" s="191">
        <f>T_simd!W11</f>
        <v>186</v>
      </c>
      <c r="C52" s="191">
        <f>T_simd!X11</f>
        <v>230</v>
      </c>
      <c r="D52" s="191">
        <f>T_simd!Y11</f>
        <v>228</v>
      </c>
      <c r="E52" s="191">
        <f>T_simd!Z11</f>
        <v>252</v>
      </c>
      <c r="F52" s="191">
        <f>T_simd!AA11</f>
        <v>152</v>
      </c>
      <c r="G52" s="191">
        <f>T_simd!AB11</f>
        <v>10</v>
      </c>
      <c r="H52" s="353">
        <f t="shared" si="13"/>
        <v>1058</v>
      </c>
    </row>
    <row r="53" spans="1:8" x14ac:dyDescent="0.2">
      <c r="A53" s="117" t="str">
        <f t="shared" si="12"/>
        <v>2018-19</v>
      </c>
      <c r="B53" s="191">
        <f>T_simd!W12</f>
        <v>219</v>
      </c>
      <c r="C53" s="191">
        <f>T_simd!X12</f>
        <v>203</v>
      </c>
      <c r="D53" s="191">
        <f>T_simd!Y12</f>
        <v>265</v>
      </c>
      <c r="E53" s="191">
        <f>T_simd!Z12</f>
        <v>290</v>
      </c>
      <c r="F53" s="191">
        <f>T_simd!AA12</f>
        <v>142</v>
      </c>
      <c r="G53" s="191">
        <f>T_simd!AB12</f>
        <v>5</v>
      </c>
      <c r="H53" s="353">
        <f t="shared" ref="H53:H54" si="14">SUM(B53:G53)</f>
        <v>1124</v>
      </c>
    </row>
    <row r="54" spans="1:8" x14ac:dyDescent="0.2">
      <c r="A54" s="117" t="str">
        <f t="shared" si="12"/>
        <v>2019-20</v>
      </c>
      <c r="B54" s="191">
        <f>T_simd!W13</f>
        <v>182</v>
      </c>
      <c r="C54" s="191">
        <f>T_simd!X13</f>
        <v>161</v>
      </c>
      <c r="D54" s="191">
        <f>T_simd!Y13</f>
        <v>195</v>
      </c>
      <c r="E54" s="191">
        <f>T_simd!Z13</f>
        <v>228</v>
      </c>
      <c r="F54" s="191">
        <f>T_simd!AA13</f>
        <v>110</v>
      </c>
      <c r="G54" s="191">
        <f>T_simd!AB13</f>
        <v>7</v>
      </c>
      <c r="H54" s="353">
        <f t="shared" si="14"/>
        <v>883</v>
      </c>
    </row>
    <row r="55" spans="1:8" ht="13.5" thickBot="1" x14ac:dyDescent="0.25">
      <c r="A55" s="842" t="str">
        <f t="shared" si="12"/>
        <v>2020-21</v>
      </c>
      <c r="B55" s="492">
        <f>T_simd!W14</f>
        <v>214</v>
      </c>
      <c r="C55" s="492">
        <f>T_simd!X14</f>
        <v>222</v>
      </c>
      <c r="D55" s="492">
        <f>T_simd!Y14</f>
        <v>271</v>
      </c>
      <c r="E55" s="492">
        <f>T_simd!Z14</f>
        <v>316</v>
      </c>
      <c r="F55" s="492">
        <f>T_simd!AA14</f>
        <v>189</v>
      </c>
      <c r="G55" s="492">
        <f>T_simd!AB14</f>
        <v>9</v>
      </c>
      <c r="H55" s="712">
        <f t="shared" ref="H55" si="15">SUM(B55:G55)</f>
        <v>1221</v>
      </c>
    </row>
    <row r="57" spans="1:8" ht="15" x14ac:dyDescent="0.25">
      <c r="B57" s="708" t="s">
        <v>2</v>
      </c>
    </row>
    <row r="58" spans="1:8" ht="30" x14ac:dyDescent="0.25">
      <c r="A58" s="136" t="s">
        <v>4</v>
      </c>
      <c r="B58" s="840" t="s">
        <v>1004</v>
      </c>
      <c r="C58" s="840">
        <v>2</v>
      </c>
      <c r="D58" s="840">
        <v>3</v>
      </c>
      <c r="E58" s="840">
        <v>4</v>
      </c>
      <c r="F58" s="840" t="s">
        <v>1005</v>
      </c>
      <c r="G58" s="841" t="s">
        <v>168</v>
      </c>
      <c r="H58" s="841" t="s">
        <v>11</v>
      </c>
    </row>
    <row r="59" spans="1:8" x14ac:dyDescent="0.2">
      <c r="A59" s="400" t="str">
        <f t="shared" ref="A59:A67" si="16">A47</f>
        <v>2012-13</v>
      </c>
      <c r="B59" s="354">
        <f>T_simd!AY6</f>
        <v>5839</v>
      </c>
      <c r="C59" s="354">
        <f>T_simd!AZ6</f>
        <v>3069</v>
      </c>
      <c r="D59" s="354">
        <f>T_simd!BA6</f>
        <v>2431</v>
      </c>
      <c r="E59" s="354">
        <f>T_simd!BB6</f>
        <v>1908</v>
      </c>
      <c r="F59" s="354">
        <f>T_simd!BC6</f>
        <v>994</v>
      </c>
      <c r="G59" s="354">
        <f>T_simd!BD6</f>
        <v>32</v>
      </c>
      <c r="H59" s="355">
        <f>SUM(B59:G59)</f>
        <v>14273</v>
      </c>
    </row>
    <row r="60" spans="1:8" x14ac:dyDescent="0.2">
      <c r="A60" s="117" t="str">
        <f t="shared" si="16"/>
        <v>2013-14</v>
      </c>
      <c r="B60" s="191">
        <f>T_simd!AY7</f>
        <v>6234</v>
      </c>
      <c r="C60" s="191">
        <f>T_simd!AZ7</f>
        <v>3500</v>
      </c>
      <c r="D60" s="191">
        <f>T_simd!BA7</f>
        <v>2762</v>
      </c>
      <c r="E60" s="191">
        <f>T_simd!BB7</f>
        <v>2551</v>
      </c>
      <c r="F60" s="191">
        <f>T_simd!BC7</f>
        <v>1277</v>
      </c>
      <c r="G60" s="191">
        <f>T_simd!BD7</f>
        <v>37</v>
      </c>
      <c r="H60" s="353">
        <f t="shared" ref="H60:H64" si="17">SUM(B60:G60)</f>
        <v>16361</v>
      </c>
    </row>
    <row r="61" spans="1:8" x14ac:dyDescent="0.2">
      <c r="A61" s="117" t="str">
        <f t="shared" si="16"/>
        <v>2014-15</v>
      </c>
      <c r="B61" s="191">
        <f>T_simd!AY8</f>
        <v>5461</v>
      </c>
      <c r="C61" s="191">
        <f>T_simd!AZ8</f>
        <v>2781</v>
      </c>
      <c r="D61" s="191">
        <f>T_simd!BA8</f>
        <v>2093</v>
      </c>
      <c r="E61" s="191">
        <f>T_simd!BB8</f>
        <v>2006</v>
      </c>
      <c r="F61" s="191">
        <f>T_simd!BC8</f>
        <v>1048</v>
      </c>
      <c r="G61" s="191">
        <f>T_simd!BD8</f>
        <v>17</v>
      </c>
      <c r="H61" s="353">
        <f t="shared" si="17"/>
        <v>13406</v>
      </c>
    </row>
    <row r="62" spans="1:8" x14ac:dyDescent="0.2">
      <c r="A62" s="117" t="str">
        <f t="shared" si="16"/>
        <v>2015-16</v>
      </c>
      <c r="B62" s="191">
        <f>T_simd!AY9</f>
        <v>5436</v>
      </c>
      <c r="C62" s="191">
        <f>T_simd!AZ9</f>
        <v>3305</v>
      </c>
      <c r="D62" s="191">
        <f>T_simd!BA9</f>
        <v>2336</v>
      </c>
      <c r="E62" s="191">
        <f>T_simd!BB9</f>
        <v>2409</v>
      </c>
      <c r="F62" s="191">
        <f>T_simd!BC9</f>
        <v>1220</v>
      </c>
      <c r="G62" s="191">
        <f>T_simd!BD9</f>
        <v>26</v>
      </c>
      <c r="H62" s="353">
        <f t="shared" si="17"/>
        <v>14732</v>
      </c>
    </row>
    <row r="63" spans="1:8" x14ac:dyDescent="0.2">
      <c r="A63" s="117" t="str">
        <f t="shared" si="16"/>
        <v>2016-17</v>
      </c>
      <c r="B63" s="191">
        <f>T_simd!AY10</f>
        <v>5843</v>
      </c>
      <c r="C63" s="191">
        <f>T_simd!AZ10</f>
        <v>3333</v>
      </c>
      <c r="D63" s="191">
        <f>T_simd!BA10</f>
        <v>2609</v>
      </c>
      <c r="E63" s="191">
        <f>T_simd!BB10</f>
        <v>2516</v>
      </c>
      <c r="F63" s="191">
        <f>T_simd!BC10</f>
        <v>1328</v>
      </c>
      <c r="G63" s="191">
        <f>T_simd!BD10</f>
        <v>31</v>
      </c>
      <c r="H63" s="353">
        <f t="shared" si="17"/>
        <v>15660</v>
      </c>
    </row>
    <row r="64" spans="1:8" x14ac:dyDescent="0.2">
      <c r="A64" s="117" t="str">
        <f t="shared" si="16"/>
        <v>2017-18</v>
      </c>
      <c r="B64" s="191">
        <f>T_simd!AY11</f>
        <v>5042</v>
      </c>
      <c r="C64" s="191">
        <f>T_simd!AZ11</f>
        <v>3248</v>
      </c>
      <c r="D64" s="191">
        <f>T_simd!BA11</f>
        <v>2634</v>
      </c>
      <c r="E64" s="191">
        <f>T_simd!BB11</f>
        <v>2499</v>
      </c>
      <c r="F64" s="191">
        <f>T_simd!BC11</f>
        <v>1272</v>
      </c>
      <c r="G64" s="191">
        <f>T_simd!BD11</f>
        <v>33</v>
      </c>
      <c r="H64" s="353">
        <f t="shared" si="17"/>
        <v>14728</v>
      </c>
    </row>
    <row r="65" spans="1:8" x14ac:dyDescent="0.2">
      <c r="A65" s="117" t="str">
        <f t="shared" si="16"/>
        <v>2018-19</v>
      </c>
      <c r="B65" s="191">
        <f>T_simd!AY12</f>
        <v>5344</v>
      </c>
      <c r="C65" s="191">
        <f>T_simd!AZ12</f>
        <v>3283</v>
      </c>
      <c r="D65" s="191">
        <f>T_simd!BA12</f>
        <v>2710</v>
      </c>
      <c r="E65" s="191">
        <f>T_simd!BB12</f>
        <v>2732</v>
      </c>
      <c r="F65" s="191">
        <f>T_simd!BC12</f>
        <v>1576</v>
      </c>
      <c r="G65" s="191">
        <f>T_simd!BD12</f>
        <v>52</v>
      </c>
      <c r="H65" s="353">
        <f t="shared" ref="H65:H66" si="18">SUM(B65:G65)</f>
        <v>15697</v>
      </c>
    </row>
    <row r="66" spans="1:8" x14ac:dyDescent="0.2">
      <c r="A66" s="117" t="str">
        <f t="shared" si="16"/>
        <v>2019-20</v>
      </c>
      <c r="B66" s="191">
        <f>T_simd!AY13</f>
        <v>5283</v>
      </c>
      <c r="C66" s="191">
        <f>T_simd!AZ13</f>
        <v>2961</v>
      </c>
      <c r="D66" s="191">
        <f>T_simd!BA13</f>
        <v>2381</v>
      </c>
      <c r="E66" s="191">
        <f>T_simd!BB13</f>
        <v>2229</v>
      </c>
      <c r="F66" s="191">
        <f>T_simd!BC13</f>
        <v>1212</v>
      </c>
      <c r="G66" s="191">
        <f>T_simd!BD13</f>
        <v>24</v>
      </c>
      <c r="H66" s="353">
        <f t="shared" si="18"/>
        <v>14090</v>
      </c>
    </row>
    <row r="67" spans="1:8" ht="13.5" thickBot="1" x14ac:dyDescent="0.25">
      <c r="A67" s="842" t="str">
        <f t="shared" si="16"/>
        <v>2020-21</v>
      </c>
      <c r="B67" s="492">
        <f>T_simd!AY14</f>
        <v>5572</v>
      </c>
      <c r="C67" s="492">
        <f>T_simd!AZ14</f>
        <v>3197</v>
      </c>
      <c r="D67" s="492">
        <f>T_simd!BA14</f>
        <v>2509</v>
      </c>
      <c r="E67" s="492">
        <f>T_simd!BB14</f>
        <v>2428</v>
      </c>
      <c r="F67" s="492">
        <f>T_simd!BC14</f>
        <v>1385</v>
      </c>
      <c r="G67" s="492">
        <f>T_simd!BD14</f>
        <v>39</v>
      </c>
      <c r="H67" s="712">
        <f t="shared" ref="H67" si="19">SUM(B67:G67)</f>
        <v>15130</v>
      </c>
    </row>
    <row r="69" spans="1:8" ht="15" x14ac:dyDescent="0.25">
      <c r="B69" s="708" t="s">
        <v>114</v>
      </c>
    </row>
    <row r="70" spans="1:8" ht="30" x14ac:dyDescent="0.25">
      <c r="A70" s="136" t="s">
        <v>4</v>
      </c>
      <c r="B70" s="840" t="s">
        <v>1004</v>
      </c>
      <c r="C70" s="840">
        <v>2</v>
      </c>
      <c r="D70" s="840">
        <v>3</v>
      </c>
      <c r="E70" s="840">
        <v>4</v>
      </c>
      <c r="F70" s="840" t="s">
        <v>1005</v>
      </c>
      <c r="G70" s="841" t="s">
        <v>168</v>
      </c>
      <c r="H70" s="841" t="s">
        <v>11</v>
      </c>
    </row>
    <row r="71" spans="1:8" x14ac:dyDescent="0.2">
      <c r="A71" s="400" t="str">
        <f t="shared" ref="A71:A79" si="20">A59</f>
        <v>2012-13</v>
      </c>
      <c r="B71" s="354">
        <f>T_simd!AD6+T_simd!AK6+T_simd!AR6</f>
        <v>11812</v>
      </c>
      <c r="C71" s="354">
        <f>T_simd!AE6+T_simd!AL6+T_simd!AS6</f>
        <v>10613</v>
      </c>
      <c r="D71" s="354">
        <f>T_simd!AF6+T_simd!AM6+T_simd!AT6</f>
        <v>10119</v>
      </c>
      <c r="E71" s="354">
        <f>T_simd!AG6+T_simd!AN6+T_simd!AU6</f>
        <v>8779</v>
      </c>
      <c r="F71" s="354">
        <f>T_simd!AH6+T_simd!AO6+T_simd!AV6</f>
        <v>5945</v>
      </c>
      <c r="G71" s="354">
        <f>T_simd!AI6+T_simd!AP6+T_simd!AW6</f>
        <v>20</v>
      </c>
      <c r="H71" s="355">
        <f>SUM(B71:G71)</f>
        <v>47288</v>
      </c>
    </row>
    <row r="72" spans="1:8" x14ac:dyDescent="0.2">
      <c r="A72" s="117" t="str">
        <f t="shared" si="20"/>
        <v>2013-14</v>
      </c>
      <c r="B72" s="191">
        <f>T_simd!AD7+T_simd!AK7+T_simd!AR7</f>
        <v>11592</v>
      </c>
      <c r="C72" s="191">
        <f>T_simd!AE7+T_simd!AL7+T_simd!AS7</f>
        <v>10882</v>
      </c>
      <c r="D72" s="191">
        <f>T_simd!AF7+T_simd!AM7+T_simd!AT7</f>
        <v>9963</v>
      </c>
      <c r="E72" s="191">
        <f>T_simd!AG7+T_simd!AN7+T_simd!AU7</f>
        <v>8636</v>
      </c>
      <c r="F72" s="191">
        <f>T_simd!AH7+T_simd!AO7+T_simd!AV7</f>
        <v>6115</v>
      </c>
      <c r="G72" s="191">
        <f>T_simd!AI7+T_simd!AP7+T_simd!AW7</f>
        <v>7</v>
      </c>
      <c r="H72" s="353">
        <f t="shared" ref="H72:H76" si="21">SUM(B72:G72)</f>
        <v>47195</v>
      </c>
    </row>
    <row r="73" spans="1:8" x14ac:dyDescent="0.2">
      <c r="A73" s="117" t="str">
        <f t="shared" si="20"/>
        <v>2014-15</v>
      </c>
      <c r="B73" s="191">
        <f>T_simd!AD8+T_simd!AK8+T_simd!AR8</f>
        <v>11802</v>
      </c>
      <c r="C73" s="191">
        <f>T_simd!AE8+T_simd!AL8+T_simd!AS8</f>
        <v>11025</v>
      </c>
      <c r="D73" s="191">
        <f>T_simd!AF8+T_simd!AM8+T_simd!AT8</f>
        <v>10603</v>
      </c>
      <c r="E73" s="191">
        <f>T_simd!AG8+T_simd!AN8+T_simd!AU8</f>
        <v>8940</v>
      </c>
      <c r="F73" s="191">
        <f>T_simd!AH8+T_simd!AO8+T_simd!AV8</f>
        <v>6274</v>
      </c>
      <c r="G73" s="191">
        <f>T_simd!AI8+T_simd!AP8+T_simd!AW8</f>
        <v>5</v>
      </c>
      <c r="H73" s="353">
        <f t="shared" si="21"/>
        <v>48649</v>
      </c>
    </row>
    <row r="74" spans="1:8" x14ac:dyDescent="0.2">
      <c r="A74" s="117" t="str">
        <f t="shared" si="20"/>
        <v>2015-16</v>
      </c>
      <c r="B74" s="191">
        <f>T_simd!AD9+T_simd!AK9+T_simd!AR9</f>
        <v>11772</v>
      </c>
      <c r="C74" s="191">
        <f>T_simd!AE9+T_simd!AL9+T_simd!AS9</f>
        <v>10934</v>
      </c>
      <c r="D74" s="191">
        <f>T_simd!AF9+T_simd!AM9+T_simd!AT9</f>
        <v>10806</v>
      </c>
      <c r="E74" s="191">
        <f>T_simd!AG9+T_simd!AN9+T_simd!AU9</f>
        <v>9060</v>
      </c>
      <c r="F74" s="191">
        <f>T_simd!AH9+T_simd!AO9+T_simd!AV9</f>
        <v>6253</v>
      </c>
      <c r="G74" s="191">
        <f>T_simd!AI9+T_simd!AP9+T_simd!AW9</f>
        <v>21</v>
      </c>
      <c r="H74" s="353">
        <f t="shared" si="21"/>
        <v>48846</v>
      </c>
    </row>
    <row r="75" spans="1:8" x14ac:dyDescent="0.2">
      <c r="A75" s="117" t="str">
        <f t="shared" si="20"/>
        <v>2016-17</v>
      </c>
      <c r="B75" s="191">
        <f>T_simd!AD10+T_simd!AK10+T_simd!AR10</f>
        <v>12514</v>
      </c>
      <c r="C75" s="191">
        <f>T_simd!AE10+T_simd!AL10+T_simd!AS10</f>
        <v>11726</v>
      </c>
      <c r="D75" s="191">
        <f>T_simd!AF10+T_simd!AM10+T_simd!AT10</f>
        <v>10862</v>
      </c>
      <c r="E75" s="191">
        <f>T_simd!AG10+T_simd!AN10+T_simd!AU10</f>
        <v>9319</v>
      </c>
      <c r="F75" s="191">
        <f>T_simd!AH10+T_simd!AO10+T_simd!AV10</f>
        <v>6420</v>
      </c>
      <c r="G75" s="191">
        <f>T_simd!AI10+T_simd!AP10+T_simd!AW10</f>
        <v>27</v>
      </c>
      <c r="H75" s="353">
        <f t="shared" si="21"/>
        <v>50868</v>
      </c>
    </row>
    <row r="76" spans="1:8" x14ac:dyDescent="0.2">
      <c r="A76" s="117" t="str">
        <f t="shared" si="20"/>
        <v>2017-18</v>
      </c>
      <c r="B76" s="191">
        <f>T_simd!AD11+T_simd!AK11+T_simd!AR11</f>
        <v>12804</v>
      </c>
      <c r="C76" s="191">
        <f>T_simd!AE11+T_simd!AL11+T_simd!AS11</f>
        <v>11921</v>
      </c>
      <c r="D76" s="191">
        <f>T_simd!AF11+T_simd!AM11+T_simd!AT11</f>
        <v>10931</v>
      </c>
      <c r="E76" s="191">
        <f>T_simd!AG11+T_simd!AN11+T_simd!AU11</f>
        <v>9658</v>
      </c>
      <c r="F76" s="191">
        <f>T_simd!AH11+T_simd!AO11+T_simd!AV11</f>
        <v>6547</v>
      </c>
      <c r="G76" s="191">
        <f>T_simd!AI11+T_simd!AP11+T_simd!AW11</f>
        <v>23</v>
      </c>
      <c r="H76" s="353">
        <f t="shared" si="21"/>
        <v>51884</v>
      </c>
    </row>
    <row r="77" spans="1:8" x14ac:dyDescent="0.2">
      <c r="A77" s="117" t="str">
        <f t="shared" si="20"/>
        <v>2018-19</v>
      </c>
      <c r="B77" s="191">
        <f>T_simd!AD12+T_simd!AK12+T_simd!AR12</f>
        <v>13077</v>
      </c>
      <c r="C77" s="191">
        <f>T_simd!AE12+T_simd!AL12+T_simd!AS12</f>
        <v>11727</v>
      </c>
      <c r="D77" s="191">
        <f>T_simd!AF12+T_simd!AM12+T_simd!AT12</f>
        <v>11082</v>
      </c>
      <c r="E77" s="191">
        <f>T_simd!AG12+T_simd!AN12+T_simd!AU12</f>
        <v>9722</v>
      </c>
      <c r="F77" s="191">
        <f>T_simd!AH12+T_simd!AO12+T_simd!AV12</f>
        <v>6502</v>
      </c>
      <c r="G77" s="191">
        <f>T_simd!AI12+T_simd!AP12+T_simd!AW12</f>
        <v>48</v>
      </c>
      <c r="H77" s="353">
        <f t="shared" ref="H77:H78" si="22">SUM(B77:G77)</f>
        <v>52158</v>
      </c>
    </row>
    <row r="78" spans="1:8" x14ac:dyDescent="0.2">
      <c r="A78" s="117" t="str">
        <f t="shared" si="20"/>
        <v>2019-20</v>
      </c>
      <c r="B78" s="191">
        <f>T_simd!AD13+T_simd!AK13+T_simd!AR13</f>
        <v>13103</v>
      </c>
      <c r="C78" s="191">
        <f>T_simd!AE13+T_simd!AL13+T_simd!AS13</f>
        <v>11833</v>
      </c>
      <c r="D78" s="191">
        <f>T_simd!AF13+T_simd!AM13+T_simd!AT13</f>
        <v>11207</v>
      </c>
      <c r="E78" s="191">
        <f>T_simd!AG13+T_simd!AN13+T_simd!AU13</f>
        <v>9813</v>
      </c>
      <c r="F78" s="191">
        <f>T_simd!AH13+T_simd!AO13+T_simd!AV13</f>
        <v>6310</v>
      </c>
      <c r="G78" s="191">
        <f>T_simd!AI13+T_simd!AP13+T_simd!AW13</f>
        <v>36</v>
      </c>
      <c r="H78" s="353">
        <f t="shared" si="22"/>
        <v>52302</v>
      </c>
    </row>
    <row r="79" spans="1:8" ht="13.5" thickBot="1" x14ac:dyDescent="0.25">
      <c r="A79" s="842" t="str">
        <f t="shared" si="20"/>
        <v>2020-21</v>
      </c>
      <c r="B79" s="492">
        <f>T_simd!AD14+T_simd!AK14+T_simd!AR14</f>
        <v>11954</v>
      </c>
      <c r="C79" s="492">
        <f>T_simd!AE14+T_simd!AL14+T_simd!AS14</f>
        <v>10780</v>
      </c>
      <c r="D79" s="492">
        <f>T_simd!AF14+T_simd!AM14+T_simd!AT14</f>
        <v>9710</v>
      </c>
      <c r="E79" s="492">
        <f>T_simd!AG14+T_simd!AN14+T_simd!AU14</f>
        <v>8715</v>
      </c>
      <c r="F79" s="492">
        <f>T_simd!AH14+T_simd!AO14+T_simd!AV14</f>
        <v>5639</v>
      </c>
      <c r="G79" s="492">
        <f>T_simd!AI14+T_simd!AP14+T_simd!AW14</f>
        <v>22</v>
      </c>
      <c r="H79" s="712">
        <f t="shared" ref="H79" si="23">SUM(B79:G79)</f>
        <v>46820</v>
      </c>
    </row>
    <row r="81" spans="1:1" x14ac:dyDescent="0.2">
      <c r="A81" s="117" t="s">
        <v>1231</v>
      </c>
    </row>
    <row r="82" spans="1:1" ht="15" x14ac:dyDescent="0.25">
      <c r="A82" s="1109" t="s">
        <v>1558</v>
      </c>
    </row>
    <row r="83" spans="1:1" ht="15" x14ac:dyDescent="0.25">
      <c r="A83" s="1109" t="s">
        <v>1235</v>
      </c>
    </row>
  </sheetData>
  <sheetProtection algorithmName="SHA-512" hashValue="aCCEpjfhVs7sIxgOKBYBklGU8iTDbT+Zb/lcS+Qu4JZrSGlUP7fQh1NQnOb2dkAQUSBEJS/8TWYhuzdZhSmFow==" saltValue="eknbygeGCf5UkEgfBlBGZw==" spinCount="100000" sheet="1" scenarios="1" formatCells="0" formatColumns="0" formatRows="0" sort="0" autoFilter="0" pivotTables="0"/>
  <hyperlinks>
    <hyperlink ref="A2" location="'Table of Contents'!A1" display="Back to Table of Contents" xr:uid="{00000000-0004-0000-8D00-000000000000}"/>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8497B0"/>
  </sheetPr>
  <dimension ref="A1:N49"/>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6.85546875" customWidth="1"/>
    <col min="2" max="7" width="14" customWidth="1"/>
    <col min="8" max="8" width="13.5703125" customWidth="1"/>
    <col min="9" max="14" width="14.7109375" customWidth="1"/>
  </cols>
  <sheetData>
    <row r="1" spans="1:14" ht="15.75" x14ac:dyDescent="0.2">
      <c r="A1" s="298" t="s">
        <v>1137</v>
      </c>
    </row>
    <row r="2" spans="1:14" ht="15.75" customHeight="1" x14ac:dyDescent="0.2">
      <c r="A2" s="106" t="s">
        <v>578</v>
      </c>
    </row>
    <row r="3" spans="1:14" ht="30" customHeight="1" x14ac:dyDescent="0.2">
      <c r="A3" s="120" t="s">
        <v>1084</v>
      </c>
      <c r="B3" s="120"/>
      <c r="C3" s="120"/>
      <c r="D3" s="120"/>
      <c r="E3" s="120"/>
      <c r="F3" s="120"/>
    </row>
    <row r="4" spans="1:14" ht="15.75" x14ac:dyDescent="0.25">
      <c r="A4" s="351" t="s">
        <v>579</v>
      </c>
      <c r="B4" s="1102" t="s">
        <v>1396</v>
      </c>
      <c r="D4" s="197"/>
      <c r="E4" s="197"/>
      <c r="F4" s="197"/>
    </row>
    <row r="5" spans="1:14" ht="15.75" x14ac:dyDescent="0.25">
      <c r="A5" s="351" t="s">
        <v>580</v>
      </c>
      <c r="B5" s="351" t="s">
        <v>581</v>
      </c>
      <c r="C5" s="197"/>
      <c r="D5" s="197"/>
      <c r="E5" s="197"/>
      <c r="F5" s="197"/>
    </row>
    <row r="6" spans="1:14" ht="15.75" x14ac:dyDescent="0.25">
      <c r="A6" s="351" t="s">
        <v>582</v>
      </c>
      <c r="B6" s="351" t="s">
        <v>585</v>
      </c>
      <c r="C6" s="197"/>
      <c r="D6" s="197"/>
      <c r="E6" s="197"/>
      <c r="F6" s="197"/>
    </row>
    <row r="7" spans="1:14" x14ac:dyDescent="0.2">
      <c r="A7" s="29"/>
      <c r="B7" s="57"/>
      <c r="C7" s="57"/>
      <c r="D7" s="57"/>
      <c r="E7" s="57"/>
      <c r="F7" s="57"/>
      <c r="G7" s="57"/>
      <c r="H7" s="3"/>
    </row>
    <row r="8" spans="1:14" x14ac:dyDescent="0.2">
      <c r="A8" s="29"/>
      <c r="B8" s="57"/>
      <c r="C8" s="57"/>
      <c r="D8" s="57"/>
      <c r="E8" s="57"/>
      <c r="F8" s="57"/>
      <c r="G8" s="57"/>
      <c r="H8" s="3"/>
    </row>
    <row r="9" spans="1:14" ht="15" x14ac:dyDescent="0.25">
      <c r="B9" s="708" t="s">
        <v>651</v>
      </c>
      <c r="G9" s="753" t="s">
        <v>57</v>
      </c>
      <c r="I9" s="708" t="s">
        <v>1108</v>
      </c>
    </row>
    <row r="10" spans="1:14" ht="39" customHeight="1" x14ac:dyDescent="0.25">
      <c r="A10" s="136" t="s">
        <v>4</v>
      </c>
      <c r="B10" s="840" t="s">
        <v>1004</v>
      </c>
      <c r="C10" s="840">
        <v>2</v>
      </c>
      <c r="D10" s="840">
        <v>3</v>
      </c>
      <c r="E10" s="840">
        <v>4</v>
      </c>
      <c r="F10" s="840" t="s">
        <v>1005</v>
      </c>
      <c r="G10" s="841" t="s">
        <v>11</v>
      </c>
      <c r="I10" s="840" t="s">
        <v>1004</v>
      </c>
      <c r="J10" s="840">
        <v>2</v>
      </c>
      <c r="K10" s="840">
        <v>3</v>
      </c>
      <c r="L10" s="840">
        <v>4</v>
      </c>
      <c r="M10" s="840" t="s">
        <v>1005</v>
      </c>
      <c r="N10" s="841" t="s">
        <v>11</v>
      </c>
    </row>
    <row r="11" spans="1:14" x14ac:dyDescent="0.2">
      <c r="A11" s="400" t="str">
        <f>T_simd!A6</f>
        <v>2012-13</v>
      </c>
      <c r="B11" s="354">
        <f>T_simd!B6/(T_simd!B42)*1000000</f>
        <v>2187.6936773279954</v>
      </c>
      <c r="C11" s="354">
        <f>T_simd!C6/(T_simd!C42)*1000000</f>
        <v>1270.0264264287086</v>
      </c>
      <c r="D11" s="354">
        <f>T_simd!D6/(T_simd!D42)*1000000</f>
        <v>879.98394547491341</v>
      </c>
      <c r="E11" s="354">
        <f>T_simd!E6/(T_simd!E42)*1000000</f>
        <v>653.76741728851607</v>
      </c>
      <c r="F11" s="354">
        <f>T_simd!F6/(T_simd!F42)*1000000</f>
        <v>514.80312234079781</v>
      </c>
      <c r="G11" s="355">
        <f>T_simd!H6/(T_simd!H42)*1000000</f>
        <v>1096.9963866305329</v>
      </c>
      <c r="I11" s="354">
        <f>T_simd!B42</f>
        <v>1053621</v>
      </c>
      <c r="J11" s="354">
        <f>T_simd!C42</f>
        <v>1052734</v>
      </c>
      <c r="K11" s="354">
        <f>T_simd!D42</f>
        <v>1061383</v>
      </c>
      <c r="L11" s="354">
        <f>T_simd!E42</f>
        <v>1060010</v>
      </c>
      <c r="M11" s="354">
        <f>T_simd!F42</f>
        <v>1085852</v>
      </c>
      <c r="N11" s="354">
        <f>T_simd!H42</f>
        <v>5313600</v>
      </c>
    </row>
    <row r="12" spans="1:14" x14ac:dyDescent="0.2">
      <c r="A12" s="117" t="str">
        <f>T_simd!A7</f>
        <v>2013-14</v>
      </c>
      <c r="B12" s="191">
        <f>T_simd!B7/(T_simd!B43)*1000000</f>
        <v>2004.2917883908835</v>
      </c>
      <c r="C12" s="191">
        <f>T_simd!C7/(T_simd!C43)*1000000</f>
        <v>1144.8066284684123</v>
      </c>
      <c r="D12" s="191">
        <f>T_simd!D7/(T_simd!D43)*1000000</f>
        <v>775.74771629851602</v>
      </c>
      <c r="E12" s="191">
        <f>T_simd!E7/(T_simd!E43)*1000000</f>
        <v>609.20118728625232</v>
      </c>
      <c r="F12" s="191">
        <f>T_simd!F7/(T_simd!F43)*1000000</f>
        <v>489.68554148623218</v>
      </c>
      <c r="G12" s="353">
        <f>T_simd!H7/(T_simd!H43)*1000000</f>
        <v>999.117818195469</v>
      </c>
      <c r="I12" s="191">
        <f>T_simd!B43</f>
        <v>1052242</v>
      </c>
      <c r="J12" s="191">
        <f>T_simd!C43</f>
        <v>1051706</v>
      </c>
      <c r="K12" s="191">
        <f>T_simd!D43</f>
        <v>1062201</v>
      </c>
      <c r="L12" s="191">
        <f>T_simd!E43</f>
        <v>1066971</v>
      </c>
      <c r="M12" s="191">
        <f>T_simd!F43</f>
        <v>1094580</v>
      </c>
      <c r="N12" s="191">
        <f>T_simd!H43</f>
        <v>5327700</v>
      </c>
    </row>
    <row r="13" spans="1:14" x14ac:dyDescent="0.2">
      <c r="A13" s="117" t="str">
        <f>T_simd!A8</f>
        <v>2014-15</v>
      </c>
      <c r="B13" s="191">
        <f>T_simd!B8/(T_simd!B44)*1000000</f>
        <v>2032.5280542108885</v>
      </c>
      <c r="C13" s="191">
        <f>T_simd!C8/(T_simd!C44)*1000000</f>
        <v>1200.0353454591061</v>
      </c>
      <c r="D13" s="191">
        <f>T_simd!D8/(T_simd!D44)*1000000</f>
        <v>897.01109134468913</v>
      </c>
      <c r="E13" s="191">
        <f>T_simd!E8/(T_simd!E44)*1000000</f>
        <v>632.34544446642019</v>
      </c>
      <c r="F13" s="191">
        <f>T_simd!F8/(T_simd!F44)*1000000</f>
        <v>486.95822496925905</v>
      </c>
      <c r="G13" s="353">
        <f>T_simd!H8/(T_simd!H44)*1000000</f>
        <v>1042.3367491959009</v>
      </c>
      <c r="I13" s="191">
        <f>T_simd!B44</f>
        <v>1051892</v>
      </c>
      <c r="J13" s="191">
        <f>T_simd!C44</f>
        <v>1052469</v>
      </c>
      <c r="K13" s="191">
        <f>T_simd!D44</f>
        <v>1063532</v>
      </c>
      <c r="L13" s="191">
        <f>T_simd!E44</f>
        <v>1076943</v>
      </c>
      <c r="M13" s="191">
        <f>T_simd!F44</f>
        <v>1102764</v>
      </c>
      <c r="N13" s="191">
        <f>T_simd!H44</f>
        <v>5347600</v>
      </c>
    </row>
    <row r="14" spans="1:14" x14ac:dyDescent="0.2">
      <c r="A14" s="117" t="str">
        <f>T_simd!A9</f>
        <v>2015-16</v>
      </c>
      <c r="B14" s="191">
        <f>T_simd!B9/(T_simd!B45)*1000000</f>
        <v>2115.4123441424899</v>
      </c>
      <c r="C14" s="191">
        <f>T_simd!C9/(T_simd!C45)*1000000</f>
        <v>1229.863123245929</v>
      </c>
      <c r="D14" s="191">
        <f>T_simd!D9/(T_simd!D45)*1000000</f>
        <v>886.50070497913202</v>
      </c>
      <c r="E14" s="191">
        <f>T_simd!E9/(T_simd!E45)*1000000</f>
        <v>677.71984514515339</v>
      </c>
      <c r="F14" s="191">
        <f>T_simd!F9/(T_simd!F45)*1000000</f>
        <v>417.12801505624924</v>
      </c>
      <c r="G14" s="353">
        <f>T_simd!H9/(T_simd!H45)*1000000</f>
        <v>1055.8347292015633</v>
      </c>
      <c r="I14" s="191">
        <f>T_simd!B45</f>
        <v>1054168</v>
      </c>
      <c r="J14" s="191">
        <f>T_simd!C45</f>
        <v>1055402</v>
      </c>
      <c r="K14" s="191">
        <f>T_simd!D45</f>
        <v>1065989</v>
      </c>
      <c r="L14" s="191">
        <f>T_simd!E45</f>
        <v>1087470</v>
      </c>
      <c r="M14" s="191">
        <f>T_simd!F45</f>
        <v>1109971</v>
      </c>
      <c r="N14" s="191">
        <f>T_simd!H45</f>
        <v>5373000</v>
      </c>
    </row>
    <row r="15" spans="1:14" x14ac:dyDescent="0.2">
      <c r="A15" s="117" t="str">
        <f>T_simd!A10</f>
        <v>2016-17</v>
      </c>
      <c r="B15" s="191">
        <f>T_simd!B10/(T_simd!B46)*1000000</f>
        <v>2022.2666577249925</v>
      </c>
      <c r="C15" s="191">
        <f>T_simd!C10/(T_simd!C46)*1000000</f>
        <v>1263.7899140679574</v>
      </c>
      <c r="D15" s="191">
        <f>T_simd!D10/(T_simd!D46)*1000000</f>
        <v>823.74553921243569</v>
      </c>
      <c r="E15" s="191">
        <f>T_simd!E10/(T_simd!E46)*1000000</f>
        <v>587.69586829790171</v>
      </c>
      <c r="F15" s="191">
        <f>T_simd!F10/(T_simd!F46)*1000000</f>
        <v>477.58268038360444</v>
      </c>
      <c r="G15" s="353">
        <f>T_simd!H10/(T_simd!H46)*1000000</f>
        <v>1025.0337669065814</v>
      </c>
      <c r="I15" s="191">
        <f>T_simd!B46</f>
        <v>1058713</v>
      </c>
      <c r="J15" s="191">
        <f>T_simd!C46</f>
        <v>1057929</v>
      </c>
      <c r="K15" s="191">
        <f>T_simd!D46</f>
        <v>1070719</v>
      </c>
      <c r="L15" s="191">
        <f>T_simd!E46</f>
        <v>1099208</v>
      </c>
      <c r="M15" s="191">
        <f>T_simd!F46</f>
        <v>1118131</v>
      </c>
      <c r="N15" s="191">
        <f>T_simd!H46</f>
        <v>5404700</v>
      </c>
    </row>
    <row r="16" spans="1:14" x14ac:dyDescent="0.2">
      <c r="A16" s="117" t="str">
        <f>T_simd!A11</f>
        <v>2017-18</v>
      </c>
      <c r="B16" s="191">
        <f>T_simd!B11/(T_simd!B47)*1000000</f>
        <v>2008.8965418280959</v>
      </c>
      <c r="C16" s="191">
        <f>T_simd!C11/(T_simd!C47)*1000000</f>
        <v>1150.0287035078709</v>
      </c>
      <c r="D16" s="191">
        <f>T_simd!D11/(T_simd!D47)*1000000</f>
        <v>750.49248155699695</v>
      </c>
      <c r="E16" s="191">
        <f>T_simd!E11/(T_simd!E47)*1000000</f>
        <v>577.20655440104235</v>
      </c>
      <c r="F16" s="191">
        <f>T_simd!F11/(T_simd!F47)*1000000</f>
        <v>462.04879021560498</v>
      </c>
      <c r="G16" s="353">
        <f>T_simd!H11/(T_simd!H47)*1000000</f>
        <v>979.02226810204991</v>
      </c>
      <c r="I16" s="191">
        <f>T_simd!B47</f>
        <v>1059288</v>
      </c>
      <c r="J16" s="191">
        <f>T_simd!C47</f>
        <v>1059104</v>
      </c>
      <c r="K16" s="191">
        <f>T_simd!D47</f>
        <v>1072629</v>
      </c>
      <c r="L16" s="191">
        <f>T_simd!E47</f>
        <v>1110521</v>
      </c>
      <c r="M16" s="191">
        <f>T_simd!F47</f>
        <v>1123258</v>
      </c>
      <c r="N16" s="191">
        <f>T_simd!H47</f>
        <v>5424800</v>
      </c>
    </row>
    <row r="17" spans="1:14" x14ac:dyDescent="0.2">
      <c r="A17" s="117" t="str">
        <f>T_simd!A12</f>
        <v>2018-19</v>
      </c>
      <c r="B17" s="191">
        <f>T_simd!B12/(T_simd!B48)*1000000</f>
        <v>1913.7445948752809</v>
      </c>
      <c r="C17" s="191">
        <f>T_simd!C12/(T_simd!C48)*1000000</f>
        <v>1132.2010063168877</v>
      </c>
      <c r="D17" s="191">
        <f>T_simd!D12/(T_simd!D48)*1000000</f>
        <v>766.50734972642022</v>
      </c>
      <c r="E17" s="191">
        <f>T_simd!E12/(T_simd!E48)*1000000</f>
        <v>557.04736330914704</v>
      </c>
      <c r="F17" s="191">
        <f>T_simd!F12/(T_simd!F48)*1000000</f>
        <v>419.32967663640738</v>
      </c>
      <c r="G17" s="353">
        <f>T_simd!H12/(T_simd!H48)*1000000</f>
        <v>946.1024990345893</v>
      </c>
      <c r="I17" s="191">
        <f>T_simd!B48</f>
        <v>1059180</v>
      </c>
      <c r="J17" s="191">
        <f>T_simd!C48</f>
        <v>1058116</v>
      </c>
      <c r="K17" s="191">
        <f>T_simd!D48</f>
        <v>1075006</v>
      </c>
      <c r="L17" s="191">
        <f>T_simd!E48</f>
        <v>1120192</v>
      </c>
      <c r="M17" s="191">
        <f>T_simd!F48</f>
        <v>1125606</v>
      </c>
      <c r="N17" s="191">
        <f>T_simd!H48</f>
        <v>5438100</v>
      </c>
    </row>
    <row r="18" spans="1:14" x14ac:dyDescent="0.2">
      <c r="A18" s="117" t="str">
        <f>T_simd!A13</f>
        <v>2019-20</v>
      </c>
      <c r="B18" s="191">
        <f>T_simd!B13/(T_simd!B49)*1000000</f>
        <v>1731.4850335410424</v>
      </c>
      <c r="C18" s="191">
        <f>T_simd!C13/(T_simd!C49)*1000000</f>
        <v>1075.4776025426891</v>
      </c>
      <c r="D18" s="191">
        <f>T_simd!D13/(T_simd!D49)*1000000</f>
        <v>759.60074123676736</v>
      </c>
      <c r="E18" s="191">
        <f>T_simd!E13/(T_simd!E49)*1000000</f>
        <v>549.2637481510917</v>
      </c>
      <c r="F18" s="191">
        <f>T_simd!F13/(T_simd!F49)*1000000</f>
        <v>415.6298029561006</v>
      </c>
      <c r="G18" s="353">
        <f>T_simd!H13/(T_simd!H49)*1000000</f>
        <v>895.06342320575482</v>
      </c>
      <c r="H18" s="191"/>
      <c r="I18" s="191">
        <f>T_simd!B49</f>
        <v>1060939</v>
      </c>
      <c r="J18" s="191">
        <f>T_simd!C49</f>
        <v>1060924</v>
      </c>
      <c r="K18" s="191">
        <f>T_simd!D49</f>
        <v>1078198</v>
      </c>
      <c r="L18" s="191">
        <f>T_simd!E49</f>
        <v>1132425</v>
      </c>
      <c r="M18" s="191">
        <f>T_simd!F49</f>
        <v>1130814</v>
      </c>
      <c r="N18" s="191">
        <f>T_simd!H49</f>
        <v>5463300</v>
      </c>
    </row>
    <row r="19" spans="1:14" ht="13.5" thickBot="1" x14ac:dyDescent="0.25">
      <c r="A19" s="842" t="str">
        <f>T_simd!A14</f>
        <v>2020-21</v>
      </c>
      <c r="B19" s="492">
        <f>T_simd!B14/(T_simd!B50)*1000000</f>
        <v>1751.8035635447125</v>
      </c>
      <c r="C19" s="492">
        <f>T_simd!C14/(T_simd!C50)*1000000</f>
        <v>1049.2197491514082</v>
      </c>
      <c r="D19" s="492">
        <f>T_simd!D14/(T_simd!D50)*1000000</f>
        <v>663.51828016061779</v>
      </c>
      <c r="E19" s="492">
        <f>T_simd!E14/(T_simd!E50)*1000000</f>
        <v>486.65086001290723</v>
      </c>
      <c r="F19" s="492">
        <f>T_simd!F14/(T_simd!F50)*1000000</f>
        <v>377.11953099401467</v>
      </c>
      <c r="G19" s="712">
        <f>T_simd!H14/(T_simd!H50)*1000000</f>
        <v>852.72594218807171</v>
      </c>
      <c r="H19" s="191"/>
      <c r="I19" s="492">
        <f>T_simd!B50</f>
        <v>1057767</v>
      </c>
      <c r="J19" s="492">
        <f>T_simd!C50</f>
        <v>1057929</v>
      </c>
      <c r="K19" s="492">
        <f>T_simd!D50</f>
        <v>1077589</v>
      </c>
      <c r="L19" s="492">
        <f>T_simd!E50</f>
        <v>1140448</v>
      </c>
      <c r="M19" s="492">
        <f>T_simd!F50</f>
        <v>1132267</v>
      </c>
      <c r="N19" s="492">
        <f>T_simd!H50</f>
        <v>5466000</v>
      </c>
    </row>
    <row r="20" spans="1:14" x14ac:dyDescent="0.2">
      <c r="B20" s="1108"/>
    </row>
    <row r="21" spans="1:14" ht="15" x14ac:dyDescent="0.25">
      <c r="B21" s="708" t="s">
        <v>2</v>
      </c>
      <c r="G21" s="753" t="s">
        <v>57</v>
      </c>
    </row>
    <row r="22" spans="1:14" ht="34.5" customHeight="1" x14ac:dyDescent="0.25">
      <c r="A22" s="136" t="s">
        <v>4</v>
      </c>
      <c r="B22" s="840" t="s">
        <v>1004</v>
      </c>
      <c r="C22" s="840">
        <v>2</v>
      </c>
      <c r="D22" s="840">
        <v>3</v>
      </c>
      <c r="E22" s="840">
        <v>4</v>
      </c>
      <c r="F22" s="840" t="s">
        <v>1005</v>
      </c>
      <c r="G22" s="845" t="s">
        <v>11</v>
      </c>
    </row>
    <row r="23" spans="1:14" x14ac:dyDescent="0.2">
      <c r="A23" s="400" t="str">
        <f t="shared" ref="A23:A31" si="0">A11</f>
        <v>2012-13</v>
      </c>
      <c r="B23" s="354">
        <f>T_simd!AY6/(T_simd!B42)*1000000</f>
        <v>5541.8409466022413</v>
      </c>
      <c r="C23" s="354">
        <f>T_simd!AZ6/(T_simd!C42)*1000000</f>
        <v>2915.266344584672</v>
      </c>
      <c r="D23" s="354">
        <f>T_simd!BA6/(T_simd!D42)*1000000</f>
        <v>2290.4078923442339</v>
      </c>
      <c r="E23" s="354">
        <f>T_simd!BB6/(T_simd!E42)*1000000</f>
        <v>1799.9830190281225</v>
      </c>
      <c r="F23" s="354">
        <f>T_simd!BC6/(T_simd!F42)*1000000</f>
        <v>915.41020323211637</v>
      </c>
      <c r="G23" s="355">
        <f>T_simd!BE6/(T_simd!H42)*1000000</f>
        <v>2686.1261668172237</v>
      </c>
    </row>
    <row r="24" spans="1:14" x14ac:dyDescent="0.2">
      <c r="A24" s="117" t="str">
        <f t="shared" si="0"/>
        <v>2013-14</v>
      </c>
      <c r="B24" s="191">
        <f>T_simd!AY7/(T_simd!B43)*1000000</f>
        <v>5924.4926547315163</v>
      </c>
      <c r="C24" s="191">
        <f>T_simd!AZ7/(T_simd!C43)*1000000</f>
        <v>3327.9262455477101</v>
      </c>
      <c r="D24" s="191">
        <f>T_simd!BA7/(T_simd!D43)*1000000</f>
        <v>2600.2611558452686</v>
      </c>
      <c r="E24" s="191">
        <f>T_simd!BB7/(T_simd!E43)*1000000</f>
        <v>2390.8803519495841</v>
      </c>
      <c r="F24" s="191">
        <f>T_simd!BC7/(T_simd!F43)*1000000</f>
        <v>1166.6575307423852</v>
      </c>
      <c r="G24" s="353">
        <f>T_simd!BE7/(T_simd!H43)*1000000</f>
        <v>3070.9311710494212</v>
      </c>
    </row>
    <row r="25" spans="1:14" x14ac:dyDescent="0.2">
      <c r="A25" s="117" t="str">
        <f t="shared" si="0"/>
        <v>2014-15</v>
      </c>
      <c r="B25" s="191">
        <f>T_simd!AY8/(T_simd!B44)*1000000</f>
        <v>5191.5976164853428</v>
      </c>
      <c r="C25" s="191">
        <f>T_simd!AZ8/(T_simd!C44)*1000000</f>
        <v>2642.358112210431</v>
      </c>
      <c r="D25" s="191">
        <f>T_simd!BA8/(T_simd!D44)*1000000</f>
        <v>1967.9708744071643</v>
      </c>
      <c r="E25" s="191">
        <f>T_simd!BB8/(T_simd!E44)*1000000</f>
        <v>1862.6798261375022</v>
      </c>
      <c r="F25" s="191">
        <f>T_simd!BC8/(T_simd!F44)*1000000</f>
        <v>950.33932917650566</v>
      </c>
      <c r="G25" s="353">
        <f>T_simd!BE8/(T_simd!H44)*1000000</f>
        <v>2506.91899169721</v>
      </c>
    </row>
    <row r="26" spans="1:14" x14ac:dyDescent="0.2">
      <c r="A26" s="117" t="str">
        <f t="shared" si="0"/>
        <v>2015-16</v>
      </c>
      <c r="B26" s="191">
        <f>T_simd!AY9/(T_simd!B45)*1000000</f>
        <v>5156.6733196226787</v>
      </c>
      <c r="C26" s="191">
        <f>T_simd!AZ9/(T_simd!C45)*1000000</f>
        <v>3131.5081836115528</v>
      </c>
      <c r="D26" s="191">
        <f>T_simd!BA9/(T_simd!D45)*1000000</f>
        <v>2191.3922188690503</v>
      </c>
      <c r="E26" s="191">
        <f>T_simd!BB9/(T_simd!E45)*1000000</f>
        <v>2215.2335236834119</v>
      </c>
      <c r="F26" s="191">
        <f>T_simd!BC9/(T_simd!F45)*1000000</f>
        <v>1099.1278150510238</v>
      </c>
      <c r="G26" s="353">
        <f>T_simd!BE9/(T_simd!H45)*1000000</f>
        <v>2741.8574353247723</v>
      </c>
    </row>
    <row r="27" spans="1:14" x14ac:dyDescent="0.2">
      <c r="A27" s="117" t="str">
        <f t="shared" si="0"/>
        <v>2016-17</v>
      </c>
      <c r="B27" s="191">
        <f>T_simd!AY10/(T_simd!B46)*1000000</f>
        <v>5518.9650075138397</v>
      </c>
      <c r="C27" s="191">
        <f>T_simd!AZ10/(T_simd!C46)*1000000</f>
        <v>3150.4949765059846</v>
      </c>
      <c r="D27" s="191">
        <f>T_simd!BA10/(T_simd!D46)*1000000</f>
        <v>2436.6803988721599</v>
      </c>
      <c r="E27" s="191">
        <f>T_simd!BB10/(T_simd!E46)*1000000</f>
        <v>2288.9207502128802</v>
      </c>
      <c r="F27" s="191">
        <f>T_simd!BC10/(T_simd!F46)*1000000</f>
        <v>1187.6962538378775</v>
      </c>
      <c r="G27" s="353">
        <f>T_simd!BE10/(T_simd!H46)*1000000</f>
        <v>2897.4781208947766</v>
      </c>
    </row>
    <row r="28" spans="1:14" x14ac:dyDescent="0.2">
      <c r="A28" s="117" t="str">
        <f t="shared" si="0"/>
        <v>2017-18</v>
      </c>
      <c r="B28" s="191">
        <f>T_simd!AY11/(T_simd!B47)*1000000</f>
        <v>4759.8009228840501</v>
      </c>
      <c r="C28" s="191">
        <f>T_simd!AZ11/(T_simd!C47)*1000000</f>
        <v>3066.7432093543225</v>
      </c>
      <c r="D28" s="191">
        <f>T_simd!BA11/(T_simd!D47)*1000000</f>
        <v>2455.6486912063724</v>
      </c>
      <c r="E28" s="191">
        <f>T_simd!BB11/(T_simd!E47)*1000000</f>
        <v>2250.2951317444695</v>
      </c>
      <c r="F28" s="191">
        <f>T_simd!BC11/(T_simd!F47)*1000000</f>
        <v>1132.4201563665692</v>
      </c>
      <c r="G28" s="353">
        <f>T_simd!BE11/(T_simd!H47)*1000000</f>
        <v>2714.9387995870816</v>
      </c>
    </row>
    <row r="29" spans="1:14" x14ac:dyDescent="0.2">
      <c r="A29" s="117" t="str">
        <f t="shared" si="0"/>
        <v>2018-19</v>
      </c>
      <c r="B29" s="191">
        <f>T_simd!AY12/(T_simd!B48)*1000000</f>
        <v>5045.4124889065124</v>
      </c>
      <c r="C29" s="191">
        <f>T_simd!AZ12/(T_simd!C48)*1000000</f>
        <v>3102.6843937715716</v>
      </c>
      <c r="D29" s="191">
        <f>T_simd!BA12/(T_simd!D48)*1000000</f>
        <v>2520.9161623283962</v>
      </c>
      <c r="E29" s="191">
        <f>T_simd!BB12/(T_simd!E48)*1000000</f>
        <v>2438.8676226932525</v>
      </c>
      <c r="F29" s="191">
        <f>T_simd!BC12/(T_simd!F48)*1000000</f>
        <v>1400.1346830063094</v>
      </c>
      <c r="G29" s="353">
        <f>T_simd!BE12/(T_simd!H48)*1000000</f>
        <v>2886.4860888913408</v>
      </c>
    </row>
    <row r="30" spans="1:14" x14ac:dyDescent="0.2">
      <c r="A30" s="117" t="str">
        <f t="shared" si="0"/>
        <v>2019-20</v>
      </c>
      <c r="B30" s="191">
        <f>T_simd!AY13/(T_simd!B49)*1000000</f>
        <v>4979.5511334770426</v>
      </c>
      <c r="C30" s="191">
        <f>T_simd!AZ13/(T_simd!C49)*1000000</f>
        <v>2790.9633489298008</v>
      </c>
      <c r="D30" s="191">
        <f>T_simd!BA13/(T_simd!D49)*1000000</f>
        <v>2208.314242838514</v>
      </c>
      <c r="E30" s="191">
        <f>T_simd!BB13/(T_simd!E49)*1000000</f>
        <v>1968.342274322803</v>
      </c>
      <c r="F30" s="191">
        <f>T_simd!BC13/(T_simd!F49)*1000000</f>
        <v>1071.7943003889234</v>
      </c>
      <c r="G30" s="353">
        <f>T_simd!BE13/(T_simd!H49)*1000000</f>
        <v>2579.0273278055388</v>
      </c>
      <c r="H30" s="191"/>
    </row>
    <row r="31" spans="1:14" ht="13.5" thickBot="1" x14ac:dyDescent="0.25">
      <c r="A31" s="842" t="str">
        <f t="shared" si="0"/>
        <v>2020-21</v>
      </c>
      <c r="B31" s="492">
        <f>T_simd!AY14/(T_simd!B50)*1000000</f>
        <v>5267.7007318246833</v>
      </c>
      <c r="C31" s="492">
        <f>T_simd!AZ14/(T_simd!C50)*1000000</f>
        <v>3021.9419261595062</v>
      </c>
      <c r="D31" s="492">
        <f>T_simd!BA14/(T_simd!D50)*1000000</f>
        <v>2328.345964927259</v>
      </c>
      <c r="E31" s="492">
        <f>T_simd!BB14/(T_simd!E50)*1000000</f>
        <v>2128.9879065069167</v>
      </c>
      <c r="F31" s="492">
        <f>T_simd!BC14/(T_simd!F50)*1000000</f>
        <v>1223.2097199688767</v>
      </c>
      <c r="G31" s="712">
        <f>T_simd!BE14/(T_simd!H50)*1000000</f>
        <v>2768.0204903036956</v>
      </c>
      <c r="H31" s="191"/>
    </row>
    <row r="33" spans="1:7" ht="15" x14ac:dyDescent="0.25">
      <c r="B33" s="708" t="s">
        <v>114</v>
      </c>
      <c r="G33" s="753" t="s">
        <v>57</v>
      </c>
    </row>
    <row r="34" spans="1:7" ht="44.25" customHeight="1" x14ac:dyDescent="0.25">
      <c r="A34" s="136" t="s">
        <v>4</v>
      </c>
      <c r="B34" s="840" t="s">
        <v>1004</v>
      </c>
      <c r="C34" s="840">
        <v>2</v>
      </c>
      <c r="D34" s="840">
        <v>3</v>
      </c>
      <c r="E34" s="840">
        <v>4</v>
      </c>
      <c r="F34" s="840" t="s">
        <v>1005</v>
      </c>
      <c r="G34" s="841" t="s">
        <v>11</v>
      </c>
    </row>
    <row r="35" spans="1:7" x14ac:dyDescent="0.2">
      <c r="A35" s="400" t="str">
        <f t="shared" ref="A35:A40" si="1">A23</f>
        <v>2012-13</v>
      </c>
      <c r="B35" s="354">
        <f>(T_simd!AD6+T_simd!AK6+T_simd!AR6)/(T_simd!B42)*1000000</f>
        <v>11210.862349934179</v>
      </c>
      <c r="C35" s="354">
        <f>(T_simd!AE6+T_simd!AL6+T_simd!AS6)/(T_simd!C42)*1000000</f>
        <v>10081.369082788246</v>
      </c>
      <c r="D35" s="354">
        <f>(T_simd!AF6+T_simd!AM6+T_simd!AT6)/(T_simd!D42)*1000000</f>
        <v>9533.7875206216795</v>
      </c>
      <c r="E35" s="354">
        <f>(T_simd!AG6+T_simd!AN6+T_simd!AU6)/(T_simd!E42)*1000000</f>
        <v>8281.9973396477399</v>
      </c>
      <c r="F35" s="354">
        <f>(T_simd!AH6+T_simd!AO6+T_simd!AV6)/(T_simd!F42)*1000000</f>
        <v>5474.9634388480199</v>
      </c>
      <c r="G35" s="355">
        <f>(T_simd!AJ6+T_simd!AQ6+T_simd!AX6)/(T_simd!H42)*1000000</f>
        <v>8899.4278831677202</v>
      </c>
    </row>
    <row r="36" spans="1:7" x14ac:dyDescent="0.2">
      <c r="A36" s="117" t="str">
        <f t="shared" si="1"/>
        <v>2013-14</v>
      </c>
      <c r="B36" s="191">
        <f>(T_simd!AD7+T_simd!AK7+T_simd!AR7)/(T_simd!B43)*1000000</f>
        <v>11016.477198211058</v>
      </c>
      <c r="C36" s="191">
        <f>(T_simd!AE7+T_simd!AL7+T_simd!AS7)/(T_simd!C43)*1000000</f>
        <v>10346.998115442908</v>
      </c>
      <c r="D36" s="191">
        <f>(T_simd!AF7+T_simd!AM7+T_simd!AT7)/(T_simd!D43)*1000000</f>
        <v>9379.5807008278098</v>
      </c>
      <c r="E36" s="191">
        <f>(T_simd!AG7+T_simd!AN7+T_simd!AU7)/(T_simd!E43)*1000000</f>
        <v>8093.9406975447309</v>
      </c>
      <c r="F36" s="191">
        <f>(T_simd!AH7+T_simd!AO7+T_simd!AV7)/(T_simd!F43)*1000000</f>
        <v>5586.6176981125182</v>
      </c>
      <c r="G36" s="353">
        <f>(T_simd!AJ7+T_simd!AQ7+T_simd!AX7)/(T_simd!H43)*1000000</f>
        <v>8858.4192052855833</v>
      </c>
    </row>
    <row r="37" spans="1:7" x14ac:dyDescent="0.2">
      <c r="A37" s="117" t="str">
        <f t="shared" si="1"/>
        <v>2014-15</v>
      </c>
      <c r="B37" s="191">
        <f>(T_simd!AD8+T_simd!AK8+T_simd!AR8)/(T_simd!B44)*1000000</f>
        <v>11219.783019549535</v>
      </c>
      <c r="C37" s="191">
        <f>(T_simd!AE8+T_simd!AL8+T_simd!AS8)/(T_simd!C44)*1000000</f>
        <v>10475.367920575332</v>
      </c>
      <c r="D37" s="191">
        <f>(T_simd!AF8+T_simd!AM8+T_simd!AT8)/(T_simd!D44)*1000000</f>
        <v>9969.6106934253039</v>
      </c>
      <c r="E37" s="191">
        <f>(T_simd!AG8+T_simd!AN8+T_simd!AU8)/(T_simd!E44)*1000000</f>
        <v>8301.2749978411102</v>
      </c>
      <c r="F37" s="191">
        <f>(T_simd!AH8+T_simd!AO8+T_simd!AV8)/(T_simd!F44)*1000000</f>
        <v>5689.3406023410271</v>
      </c>
      <c r="G37" s="353">
        <f>(T_simd!AJ8+T_simd!AQ8+T_simd!AX8)/(T_simd!H44)*1000000</f>
        <v>9097.3520831775004</v>
      </c>
    </row>
    <row r="38" spans="1:7" x14ac:dyDescent="0.2">
      <c r="A38" s="117" t="str">
        <f t="shared" si="1"/>
        <v>2015-16</v>
      </c>
      <c r="B38" s="191">
        <f>(T_simd!AD9+T_simd!AK9+T_simd!AR9)/(T_simd!B45)*1000000</f>
        <v>11167.10050011004</v>
      </c>
      <c r="C38" s="191">
        <f>(T_simd!AE9+T_simd!AL9+T_simd!AS9)/(T_simd!C45)*1000000</f>
        <v>10360.033428020792</v>
      </c>
      <c r="D38" s="191">
        <f>(T_simd!AF9+T_simd!AM9+T_simd!AT9)/(T_simd!D45)*1000000</f>
        <v>10137.065204237566</v>
      </c>
      <c r="E38" s="191">
        <f>(T_simd!AG9+T_simd!AN9+T_simd!AU9)/(T_simd!E45)*1000000</f>
        <v>8331.264310739607</v>
      </c>
      <c r="F38" s="191">
        <f>(T_simd!AH9+T_simd!AO9+T_simd!AV9)/(T_simd!F45)*1000000</f>
        <v>5633.4805143557805</v>
      </c>
      <c r="G38" s="353">
        <f>(T_simd!AJ9+T_simd!AQ9+T_simd!AX9)/(T_simd!H45)*1000000</f>
        <v>9091.0106085985481</v>
      </c>
    </row>
    <row r="39" spans="1:7" x14ac:dyDescent="0.2">
      <c r="A39" s="117" t="str">
        <f t="shared" si="1"/>
        <v>2016-17</v>
      </c>
      <c r="B39" s="191">
        <f>(T_simd!AD10+T_simd!AK10+T_simd!AR10)/(T_simd!B46)*1000000</f>
        <v>11820.011655661167</v>
      </c>
      <c r="C39" s="191">
        <f>(T_simd!AE10+T_simd!AL10+T_simd!AS10)/(T_simd!C46)*1000000</f>
        <v>11083.919620314786</v>
      </c>
      <c r="D39" s="191">
        <f>(T_simd!AF10+T_simd!AM10+T_simd!AT10)/(T_simd!D46)*1000000</f>
        <v>10144.585087217094</v>
      </c>
      <c r="E39" s="191">
        <f>(T_simd!AG10+T_simd!AN10+T_simd!AU10)/(T_simd!E46)*1000000</f>
        <v>8477.9222858640023</v>
      </c>
      <c r="F39" s="191">
        <f>(T_simd!AH10+T_simd!AO10+T_simd!AV10)/(T_simd!F46)*1000000</f>
        <v>5741.7243596680537</v>
      </c>
      <c r="G39" s="353">
        <f>(T_simd!AJ10+T_simd!AQ10+T_simd!AX10)/(T_simd!H46)*1000000</f>
        <v>9411.8082409754461</v>
      </c>
    </row>
    <row r="40" spans="1:7" x14ac:dyDescent="0.2">
      <c r="A40" s="117" t="str">
        <f t="shared" si="1"/>
        <v>2017-18</v>
      </c>
      <c r="B40" s="191">
        <f>(T_simd!AD11+T_simd!AK11+T_simd!AR11)/(T_simd!B47)*1000000</f>
        <v>12087.364342841607</v>
      </c>
      <c r="C40" s="191">
        <f>(T_simd!AE11+T_simd!AL11+T_simd!AS11)/(T_simd!C47)*1000000</f>
        <v>11255.740701574159</v>
      </c>
      <c r="D40" s="191">
        <f>(T_simd!AF11+T_simd!AM11+T_simd!AT11)/(T_simd!D47)*1000000</f>
        <v>10190.848839626749</v>
      </c>
      <c r="E40" s="191">
        <f>(T_simd!AG11+T_simd!AN11+T_simd!AU11)/(T_simd!E47)*1000000</f>
        <v>8696.8188805074387</v>
      </c>
      <c r="F40" s="191">
        <f>(T_simd!AH11+T_simd!AO11+T_simd!AV11)/(T_simd!F47)*1000000</f>
        <v>5828.5807890974284</v>
      </c>
      <c r="G40" s="353">
        <f>(T_simd!AJ11+T_simd!AQ11+T_simd!AX11)/(T_simd!H47)*1000000</f>
        <v>9564.2235658457448</v>
      </c>
    </row>
    <row r="41" spans="1:7" x14ac:dyDescent="0.2">
      <c r="A41" s="117" t="str">
        <f t="shared" ref="A41:A43" si="2">A29</f>
        <v>2018-19</v>
      </c>
      <c r="B41" s="191">
        <f>(T_simd!AD12+T_simd!AK12+T_simd!AR12)/(T_simd!B48)*1000000</f>
        <v>12346.343397722767</v>
      </c>
      <c r="C41" s="191">
        <f>(T_simd!AE12+T_simd!AL12+T_simd!AS12)/(T_simd!C48)*1000000</f>
        <v>11082.905843971739</v>
      </c>
      <c r="D41" s="191">
        <f>(T_simd!AF12+T_simd!AM12+T_simd!AT12)/(T_simd!D48)*1000000</f>
        <v>10308.779671927412</v>
      </c>
      <c r="E41" s="191">
        <f>(T_simd!AG12+T_simd!AN12+T_simd!AU12)/(T_simd!E48)*1000000</f>
        <v>8678.8693366851403</v>
      </c>
      <c r="F41" s="191">
        <f>(T_simd!AH12+T_simd!AO12+T_simd!AV12)/(T_simd!F48)*1000000</f>
        <v>5776.4439777328835</v>
      </c>
      <c r="G41" s="353">
        <f>(T_simd!AJ12+T_simd!AQ12+T_simd!AX12)/(T_simd!H48)*1000000</f>
        <v>9591.2175208252884</v>
      </c>
    </row>
    <row r="42" spans="1:7" x14ac:dyDescent="0.2">
      <c r="A42" s="117" t="str">
        <f t="shared" si="2"/>
        <v>2019-20</v>
      </c>
      <c r="B42" s="191">
        <f>(T_simd!AD13+T_simd!AK13+T_simd!AR13)/(T_simd!B49)*1000000</f>
        <v>12350.380182083984</v>
      </c>
      <c r="C42" s="191">
        <f>(T_simd!AE13+T_simd!AL13+T_simd!AS13)/(T_simd!C49)*1000000</f>
        <v>11153.485075274008</v>
      </c>
      <c r="D42" s="191">
        <f>(T_simd!AF13+T_simd!AM13+T_simd!AT13)/(T_simd!D49)*1000000</f>
        <v>10394.194758291149</v>
      </c>
      <c r="E42" s="191">
        <f>(T_simd!AG13+T_simd!AN13+T_simd!AU13)/(T_simd!E49)*1000000</f>
        <v>8665.4745347373992</v>
      </c>
      <c r="F42" s="191">
        <f>(T_simd!AH13+T_simd!AO13+T_simd!AV13)/(T_simd!F49)*1000000</f>
        <v>5580.0511843680742</v>
      </c>
      <c r="G42" s="353">
        <f>(T_simd!AJ13+T_simd!AQ13+T_simd!AX13)/(T_simd!H49)*1000000</f>
        <v>9573.3347976497716</v>
      </c>
    </row>
    <row r="43" spans="1:7" ht="13.5" customHeight="1" thickBot="1" x14ac:dyDescent="0.25">
      <c r="A43" s="842" t="str">
        <f t="shared" si="2"/>
        <v>2020-21</v>
      </c>
      <c r="B43" s="492">
        <f>(T_simd!AD14+T_simd!AK14+T_simd!AR14)/(T_simd!B50)*1000000</f>
        <v>11301.165568598755</v>
      </c>
      <c r="C43" s="492">
        <f>(T_simd!AE14+T_simd!AL14+T_simd!AS14)/(T_simd!C50)*1000000</f>
        <v>10189.719725992954</v>
      </c>
      <c r="D43" s="492">
        <f>(T_simd!AF14+T_simd!AM14+T_simd!AT14)/(T_simd!D50)*1000000</f>
        <v>9010.856643859579</v>
      </c>
      <c r="E43" s="492">
        <f>(T_simd!AG14+T_simd!AN14+T_simd!AU14)/(T_simd!E50)*1000000</f>
        <v>7641.7337747972724</v>
      </c>
      <c r="F43" s="492">
        <f>(T_simd!AH14+T_simd!AO14+T_simd!AV14)/(T_simd!F50)*1000000</f>
        <v>4980.2740872956647</v>
      </c>
      <c r="G43" s="712">
        <f>(T_simd!AJ14+T_simd!AQ14+T_simd!AX14)/(T_simd!H50)*1000000</f>
        <v>8565.6787413099173</v>
      </c>
    </row>
    <row r="44" spans="1:7" ht="13.5" customHeight="1" x14ac:dyDescent="0.2"/>
    <row r="45" spans="1:7" x14ac:dyDescent="0.2">
      <c r="A45" s="117" t="s">
        <v>1231</v>
      </c>
    </row>
    <row r="46" spans="1:7" ht="15" x14ac:dyDescent="0.25">
      <c r="A46" s="1109" t="s">
        <v>1559</v>
      </c>
    </row>
    <row r="47" spans="1:7" ht="15" x14ac:dyDescent="0.25">
      <c r="A47" s="1109" t="s">
        <v>1520</v>
      </c>
    </row>
    <row r="48" spans="1:7" ht="15" x14ac:dyDescent="0.25">
      <c r="A48" s="1109" t="s">
        <v>1239</v>
      </c>
    </row>
    <row r="49" spans="1:1" x14ac:dyDescent="0.2">
      <c r="A49" s="629" t="s">
        <v>1238</v>
      </c>
    </row>
  </sheetData>
  <sheetProtection algorithmName="SHA-512" hashValue="ik53nFsOiuAWp9FvshyUNoUlD7BgTHmCeMgfPI69l9h1Ti/FseF6UmCKV2LtAkJQlckNXq6n+8rZp0tZ9jg6+g==" saltValue="qDFk7+YeuOmgkp0HzMID6A==" spinCount="100000" sheet="1" scenarios="1" formatCells="0" formatColumns="0" formatRows="0" sort="0" autoFilter="0" pivotTables="0"/>
  <hyperlinks>
    <hyperlink ref="A2" location="'Table of Contents'!A1" display="Back to Table of Contents" xr:uid="{00000000-0004-0000-8E00-000000000000}"/>
    <hyperlink ref="A49" r:id="rId1" xr:uid="{00000000-0004-0000-8E00-000001000000}"/>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8497B0"/>
  </sheetPr>
  <dimension ref="A1:P65"/>
  <sheetViews>
    <sheetView showGridLines="0" workbookViewId="0">
      <pane ySplit="2" topLeftCell="A3" activePane="bottomLeft" state="frozen"/>
      <selection activeCellId="1" sqref="A1 A1"/>
      <selection pane="bottomLeft"/>
    </sheetView>
  </sheetViews>
  <sheetFormatPr defaultColWidth="9.140625" defaultRowHeight="12.75" x14ac:dyDescent="0.2"/>
  <cols>
    <col min="1" max="1" width="16.85546875" customWidth="1"/>
    <col min="2" max="8" width="9.28515625" customWidth="1"/>
    <col min="9" max="9" width="10.7109375" customWidth="1"/>
    <col min="10" max="15" width="9.28515625" customWidth="1"/>
    <col min="16" max="16" width="8.7109375" customWidth="1"/>
  </cols>
  <sheetData>
    <row r="1" spans="1:16" ht="15.75" x14ac:dyDescent="0.2">
      <c r="A1" s="298" t="s">
        <v>1137</v>
      </c>
    </row>
    <row r="2" spans="1:16" ht="17.25" customHeight="1" x14ac:dyDescent="0.2">
      <c r="A2" s="106" t="s">
        <v>578</v>
      </c>
    </row>
    <row r="3" spans="1:16" ht="30.75" customHeight="1" x14ac:dyDescent="0.2">
      <c r="A3" s="120" t="s">
        <v>1085</v>
      </c>
      <c r="B3" s="120"/>
      <c r="C3" s="120"/>
      <c r="D3" s="120"/>
      <c r="E3" s="120"/>
      <c r="F3" s="120"/>
    </row>
    <row r="4" spans="1:16" ht="15.75" x14ac:dyDescent="0.25">
      <c r="A4" s="351" t="s">
        <v>579</v>
      </c>
      <c r="B4" s="1043" t="s">
        <v>1397</v>
      </c>
      <c r="D4" s="197"/>
      <c r="E4" s="197"/>
      <c r="F4" s="197"/>
    </row>
    <row r="5" spans="1:16" ht="15.75" x14ac:dyDescent="0.25">
      <c r="A5" s="351" t="s">
        <v>580</v>
      </c>
      <c r="B5" s="351" t="s">
        <v>581</v>
      </c>
      <c r="C5" s="197"/>
      <c r="D5" s="197"/>
      <c r="E5" s="197"/>
      <c r="F5" s="197"/>
    </row>
    <row r="6" spans="1:16" ht="15.75" x14ac:dyDescent="0.25">
      <c r="A6" s="351" t="s">
        <v>582</v>
      </c>
      <c r="B6" s="351" t="s">
        <v>585</v>
      </c>
      <c r="C6" s="197"/>
      <c r="D6" s="197"/>
    </row>
    <row r="7" spans="1:16" x14ac:dyDescent="0.2">
      <c r="A7" s="29"/>
      <c r="C7" s="57"/>
      <c r="D7" s="57"/>
      <c r="E7" s="57"/>
      <c r="F7" s="57"/>
      <c r="G7" s="57"/>
      <c r="H7" s="57"/>
      <c r="I7" s="3"/>
    </row>
    <row r="8" spans="1:16" ht="15.75" x14ac:dyDescent="0.25">
      <c r="A8" s="196"/>
      <c r="B8" s="1425" t="s">
        <v>59</v>
      </c>
      <c r="C8" s="1425"/>
      <c r="D8" s="1425"/>
      <c r="E8" s="1425"/>
      <c r="F8" s="1425"/>
      <c r="G8" s="1425"/>
      <c r="H8" s="1425"/>
      <c r="I8" s="66"/>
      <c r="J8" s="1425"/>
      <c r="K8" s="1425"/>
      <c r="L8" s="1425"/>
      <c r="M8" s="1425"/>
      <c r="N8" s="1425"/>
      <c r="O8" s="1425"/>
      <c r="P8" s="1425"/>
    </row>
    <row r="9" spans="1:16" ht="15.75" x14ac:dyDescent="0.25">
      <c r="B9" s="846"/>
      <c r="C9" s="846"/>
      <c r="D9" s="846"/>
      <c r="E9" s="846"/>
      <c r="F9" s="846"/>
      <c r="G9" s="846"/>
      <c r="H9" s="846"/>
      <c r="I9" s="3"/>
      <c r="J9" s="846"/>
      <c r="K9" s="846"/>
      <c r="L9" s="846"/>
      <c r="M9" s="846"/>
      <c r="N9" s="846"/>
      <c r="O9" s="846"/>
      <c r="P9" s="846"/>
    </row>
    <row r="10" spans="1:16" ht="15" x14ac:dyDescent="0.25">
      <c r="B10" s="708" t="s">
        <v>11</v>
      </c>
      <c r="H10" s="753"/>
      <c r="J10" s="708" t="s">
        <v>651</v>
      </c>
      <c r="P10" s="753"/>
    </row>
    <row r="11" spans="1:16" ht="45" x14ac:dyDescent="0.25">
      <c r="A11" s="136" t="s">
        <v>4</v>
      </c>
      <c r="B11" s="840" t="s">
        <v>1004</v>
      </c>
      <c r="C11" s="840">
        <v>2</v>
      </c>
      <c r="D11" s="840">
        <v>3</v>
      </c>
      <c r="E11" s="840">
        <v>4</v>
      </c>
      <c r="F11" s="840" t="s">
        <v>1005</v>
      </c>
      <c r="G11" s="845" t="s">
        <v>168</v>
      </c>
      <c r="H11" s="841" t="s">
        <v>11</v>
      </c>
      <c r="J11" s="840" t="s">
        <v>1004</v>
      </c>
      <c r="K11" s="840">
        <v>2</v>
      </c>
      <c r="L11" s="840">
        <v>3</v>
      </c>
      <c r="M11" s="840">
        <v>4</v>
      </c>
      <c r="N11" s="840" t="s">
        <v>1005</v>
      </c>
      <c r="O11" s="845" t="s">
        <v>168</v>
      </c>
      <c r="P11" s="841" t="s">
        <v>11</v>
      </c>
    </row>
    <row r="12" spans="1:16" x14ac:dyDescent="0.2">
      <c r="A12" s="400" t="str">
        <f>T_simd!A6</f>
        <v>2012-13</v>
      </c>
      <c r="B12" s="404">
        <f>T_simdcas!I4</f>
        <v>15</v>
      </c>
      <c r="C12" s="404">
        <f>T_simdcas!J4</f>
        <v>8</v>
      </c>
      <c r="D12" s="404">
        <f>T_simdcas!K4</f>
        <v>10</v>
      </c>
      <c r="E12" s="404">
        <f>T_simdcas!L4</f>
        <v>8</v>
      </c>
      <c r="F12" s="404">
        <f>T_simdcas!M4</f>
        <v>5</v>
      </c>
      <c r="G12" s="404">
        <f>SUM(B12:F12)-H12</f>
        <v>0</v>
      </c>
      <c r="H12" s="400">
        <f>T_simdcas!N4</f>
        <v>46</v>
      </c>
      <c r="J12" s="404">
        <f>T_simdcas!AB18</f>
        <v>14</v>
      </c>
      <c r="K12" s="404">
        <f>T_simdcas!AC18</f>
        <v>6</v>
      </c>
      <c r="L12" s="404">
        <f>T_simdcas!AD18</f>
        <v>10</v>
      </c>
      <c r="M12" s="404">
        <f>T_simdcas!AE18</f>
        <v>6</v>
      </c>
      <c r="N12" s="404">
        <f>T_simdcas!AF18</f>
        <v>4</v>
      </c>
      <c r="O12" s="404">
        <f>SUM(J12:N12)-P12</f>
        <v>0</v>
      </c>
      <c r="P12" s="400">
        <f>T_simdcas!AG18</f>
        <v>40</v>
      </c>
    </row>
    <row r="13" spans="1:16" x14ac:dyDescent="0.2">
      <c r="A13" s="117" t="str">
        <f>T_simd!A7</f>
        <v>2013-14</v>
      </c>
      <c r="B13">
        <f>T_simdcas!I5</f>
        <v>16</v>
      </c>
      <c r="C13">
        <f>T_simdcas!J5</f>
        <v>5</v>
      </c>
      <c r="D13">
        <f>T_simdcas!K5</f>
        <v>4</v>
      </c>
      <c r="E13">
        <f>T_simdcas!L5</f>
        <v>3</v>
      </c>
      <c r="F13">
        <f>T_simdcas!M5</f>
        <v>3</v>
      </c>
      <c r="G13">
        <f t="shared" ref="G13:G19" si="0">SUM(B13:F13)-H13</f>
        <v>0</v>
      </c>
      <c r="H13" s="117">
        <f>T_simdcas!N5</f>
        <v>31</v>
      </c>
      <c r="J13">
        <f>T_simdcas!AB19</f>
        <v>16</v>
      </c>
      <c r="K13">
        <f>T_simdcas!AC19</f>
        <v>5</v>
      </c>
      <c r="L13">
        <f>T_simdcas!AD19</f>
        <v>3</v>
      </c>
      <c r="M13">
        <f>T_simdcas!AE19</f>
        <v>3</v>
      </c>
      <c r="N13">
        <f>T_simdcas!AF19</f>
        <v>2</v>
      </c>
      <c r="O13">
        <f t="shared" ref="O13:O19" si="1">SUM(J13:N13)-P13</f>
        <v>0</v>
      </c>
      <c r="P13" s="117">
        <f>T_simdcas!AG19</f>
        <v>29</v>
      </c>
    </row>
    <row r="14" spans="1:16" x14ac:dyDescent="0.2">
      <c r="A14" s="117" t="str">
        <f>T_simd!A8</f>
        <v>2014-15</v>
      </c>
      <c r="B14">
        <f>T_simdcas!I6</f>
        <v>12</v>
      </c>
      <c r="C14">
        <f>T_simdcas!J6</f>
        <v>9</v>
      </c>
      <c r="D14">
        <f>T_simdcas!K6</f>
        <v>10</v>
      </c>
      <c r="E14">
        <f>T_simdcas!L6</f>
        <v>6</v>
      </c>
      <c r="F14">
        <f>T_simdcas!M6</f>
        <v>3</v>
      </c>
      <c r="G14">
        <f t="shared" si="0"/>
        <v>0</v>
      </c>
      <c r="H14" s="117">
        <f>T_simdcas!N6</f>
        <v>40</v>
      </c>
      <c r="J14">
        <f>T_simdcas!AB20</f>
        <v>10</v>
      </c>
      <c r="K14">
        <f>T_simdcas!AC20</f>
        <v>5</v>
      </c>
      <c r="L14">
        <f>T_simdcas!AD20</f>
        <v>9</v>
      </c>
      <c r="M14">
        <f>T_simdcas!AE20</f>
        <v>4</v>
      </c>
      <c r="N14">
        <f>T_simdcas!AF20</f>
        <v>3</v>
      </c>
      <c r="O14">
        <f t="shared" si="1"/>
        <v>0</v>
      </c>
      <c r="P14" s="117">
        <f>T_simdcas!AG20</f>
        <v>31</v>
      </c>
    </row>
    <row r="15" spans="1:16" x14ac:dyDescent="0.2">
      <c r="A15" s="117" t="str">
        <f>T_simd!A9</f>
        <v>2015-16</v>
      </c>
      <c r="B15">
        <f>T_simdcas!I7</f>
        <v>15</v>
      </c>
      <c r="C15">
        <f>T_simdcas!J7</f>
        <v>9</v>
      </c>
      <c r="D15">
        <f>T_simdcas!K7</f>
        <v>9</v>
      </c>
      <c r="E15">
        <f>T_simdcas!L7</f>
        <v>9</v>
      </c>
      <c r="F15">
        <f>T_simdcas!M7</f>
        <v>3</v>
      </c>
      <c r="G15">
        <f t="shared" si="0"/>
        <v>0</v>
      </c>
      <c r="H15" s="117">
        <f>T_simdcas!N7</f>
        <v>45</v>
      </c>
      <c r="J15">
        <f>T_simdcas!AB21</f>
        <v>15</v>
      </c>
      <c r="K15">
        <f>T_simdcas!AC21</f>
        <v>9</v>
      </c>
      <c r="L15">
        <f>T_simdcas!AD21</f>
        <v>6</v>
      </c>
      <c r="M15">
        <f>T_simdcas!AE21</f>
        <v>7</v>
      </c>
      <c r="N15">
        <f>T_simdcas!AF21</f>
        <v>2</v>
      </c>
      <c r="O15">
        <f t="shared" si="1"/>
        <v>0</v>
      </c>
      <c r="P15" s="117">
        <f>T_simdcas!AG21</f>
        <v>39</v>
      </c>
    </row>
    <row r="16" spans="1:16" x14ac:dyDescent="0.2">
      <c r="A16" s="117" t="str">
        <f>T_simd!A10</f>
        <v>2016-17</v>
      </c>
      <c r="B16">
        <f>T_simdcas!I8</f>
        <v>15</v>
      </c>
      <c r="C16">
        <f>T_simdcas!J8</f>
        <v>6</v>
      </c>
      <c r="D16">
        <f>T_simdcas!K8</f>
        <v>8</v>
      </c>
      <c r="E16">
        <f>T_simdcas!L8</f>
        <v>8</v>
      </c>
      <c r="F16">
        <f>T_simdcas!M8</f>
        <v>7</v>
      </c>
      <c r="G16">
        <f t="shared" si="0"/>
        <v>0</v>
      </c>
      <c r="H16" s="117">
        <f>T_simdcas!N8</f>
        <v>44</v>
      </c>
      <c r="J16">
        <f>T_simdcas!AB22</f>
        <v>13</v>
      </c>
      <c r="K16">
        <f>T_simdcas!AC22</f>
        <v>5</v>
      </c>
      <c r="L16">
        <f>T_simdcas!AD22</f>
        <v>7</v>
      </c>
      <c r="M16">
        <f>T_simdcas!AE22</f>
        <v>4</v>
      </c>
      <c r="N16">
        <f>T_simdcas!AF22</f>
        <v>7</v>
      </c>
      <c r="O16">
        <f t="shared" si="1"/>
        <v>0</v>
      </c>
      <c r="P16" s="117">
        <f>T_simdcas!AG22</f>
        <v>36</v>
      </c>
    </row>
    <row r="17" spans="1:16" x14ac:dyDescent="0.2">
      <c r="A17" s="117" t="str">
        <f>T_simd!A11</f>
        <v>2017-18</v>
      </c>
      <c r="B17">
        <f>T_simdcas!I9</f>
        <v>16</v>
      </c>
      <c r="C17">
        <f>T_simdcas!J9</f>
        <v>6</v>
      </c>
      <c r="D17">
        <f>T_simdcas!K9</f>
        <v>14</v>
      </c>
      <c r="E17">
        <f>T_simdcas!L9</f>
        <v>5</v>
      </c>
      <c r="F17">
        <f>T_simdcas!M9</f>
        <v>3</v>
      </c>
      <c r="G17">
        <f t="shared" si="0"/>
        <v>0</v>
      </c>
      <c r="H17" s="117">
        <f>T_simdcas!N9</f>
        <v>44</v>
      </c>
      <c r="J17">
        <f>T_simdcas!AB23</f>
        <v>14</v>
      </c>
      <c r="K17">
        <f>T_simdcas!AC23</f>
        <v>5</v>
      </c>
      <c r="L17">
        <f>T_simdcas!AD23</f>
        <v>10</v>
      </c>
      <c r="M17">
        <f>T_simdcas!AE23</f>
        <v>5</v>
      </c>
      <c r="N17">
        <f>T_simdcas!AF23</f>
        <v>3</v>
      </c>
      <c r="O17">
        <f t="shared" si="1"/>
        <v>0</v>
      </c>
      <c r="P17" s="117">
        <f>T_simdcas!AG23</f>
        <v>37</v>
      </c>
    </row>
    <row r="18" spans="1:16" x14ac:dyDescent="0.2">
      <c r="A18" s="117" t="str">
        <f>T_simd!A12</f>
        <v>2018-19</v>
      </c>
      <c r="B18">
        <f>T_simdcas!I10</f>
        <v>14</v>
      </c>
      <c r="C18">
        <f>T_simdcas!J10</f>
        <v>11</v>
      </c>
      <c r="D18">
        <f>T_simdcas!K10</f>
        <v>10</v>
      </c>
      <c r="E18">
        <f>T_simdcas!L10</f>
        <v>7</v>
      </c>
      <c r="F18">
        <f>T_simdcas!M10</f>
        <v>2</v>
      </c>
      <c r="G18">
        <f t="shared" si="0"/>
        <v>0</v>
      </c>
      <c r="H18" s="117">
        <f>T_simdcas!N10</f>
        <v>44</v>
      </c>
      <c r="J18">
        <f>T_simdcas!AB24</f>
        <v>13</v>
      </c>
      <c r="K18">
        <f>T_simdcas!AC24</f>
        <v>9</v>
      </c>
      <c r="L18">
        <f>T_simdcas!AD24</f>
        <v>10</v>
      </c>
      <c r="M18">
        <f>T_simdcas!AE24</f>
        <v>6</v>
      </c>
      <c r="N18">
        <f>T_simdcas!AF24</f>
        <v>2</v>
      </c>
      <c r="O18">
        <f t="shared" si="1"/>
        <v>0</v>
      </c>
      <c r="P18" s="117">
        <f>T_simdcas!AG24</f>
        <v>40</v>
      </c>
    </row>
    <row r="19" spans="1:16" x14ac:dyDescent="0.2">
      <c r="A19" s="117" t="str">
        <f>T_simd!A13</f>
        <v>2019-20</v>
      </c>
      <c r="B19">
        <f>T_simdcas!I11</f>
        <v>13</v>
      </c>
      <c r="C19">
        <f>T_simdcas!J11</f>
        <v>7</v>
      </c>
      <c r="D19">
        <f>T_simdcas!K11</f>
        <v>2</v>
      </c>
      <c r="E19">
        <f>T_simdcas!L11</f>
        <v>4</v>
      </c>
      <c r="F19">
        <f>T_simdcas!M11</f>
        <v>1</v>
      </c>
      <c r="G19">
        <f t="shared" si="0"/>
        <v>0</v>
      </c>
      <c r="H19" s="117">
        <f>T_simdcas!N11</f>
        <v>27</v>
      </c>
      <c r="J19">
        <f>T_simdcas!AB25</f>
        <v>11</v>
      </c>
      <c r="K19">
        <f>T_simdcas!AC25</f>
        <v>5</v>
      </c>
      <c r="L19">
        <f>T_simdcas!AD25</f>
        <v>2</v>
      </c>
      <c r="M19">
        <f>T_simdcas!AE25</f>
        <v>3</v>
      </c>
      <c r="N19">
        <f>T_simdcas!AF25</f>
        <v>0</v>
      </c>
      <c r="O19">
        <f t="shared" si="1"/>
        <v>0</v>
      </c>
      <c r="P19" s="117">
        <f>T_simdcas!AG25</f>
        <v>21</v>
      </c>
    </row>
    <row r="20" spans="1:16" ht="13.5" thickBot="1" x14ac:dyDescent="0.25">
      <c r="A20" s="842" t="str">
        <f>T_simd!A14</f>
        <v>2020-21</v>
      </c>
      <c r="B20" s="510">
        <f>T_simdcas!I12</f>
        <v>19</v>
      </c>
      <c r="C20" s="510">
        <f>T_simdcas!J12</f>
        <v>17</v>
      </c>
      <c r="D20" s="510">
        <f>T_simdcas!K12</f>
        <v>11</v>
      </c>
      <c r="E20" s="510">
        <f>T_simdcas!L12</f>
        <v>3</v>
      </c>
      <c r="F20" s="510">
        <f>T_simdcas!M12</f>
        <v>3</v>
      </c>
      <c r="G20" s="510">
        <f t="shared" ref="G20" si="2">SUM(B20:F20)-H20</f>
        <v>0</v>
      </c>
      <c r="H20" s="842">
        <f>T_simdcas!N12</f>
        <v>53</v>
      </c>
      <c r="J20" s="510">
        <f>T_simdcas!AB26</f>
        <v>17</v>
      </c>
      <c r="K20" s="510">
        <f>T_simdcas!AC26</f>
        <v>14</v>
      </c>
      <c r="L20" s="510">
        <f>T_simdcas!AD26</f>
        <v>8</v>
      </c>
      <c r="M20" s="510">
        <f>T_simdcas!AE26</f>
        <v>2</v>
      </c>
      <c r="N20" s="510">
        <f>T_simdcas!AF26</f>
        <v>3</v>
      </c>
      <c r="O20" s="510">
        <f t="shared" ref="O20" si="3">SUM(J20:N20)-P20</f>
        <v>0</v>
      </c>
      <c r="P20" s="842">
        <f>T_simdcas!AG26</f>
        <v>44</v>
      </c>
    </row>
    <row r="25" spans="1:16" ht="15.75" x14ac:dyDescent="0.25">
      <c r="A25" s="196"/>
      <c r="B25" s="1425" t="s">
        <v>1110</v>
      </c>
      <c r="C25" s="1425"/>
      <c r="D25" s="1425"/>
      <c r="E25" s="1425"/>
      <c r="F25" s="1425"/>
      <c r="G25" s="1425"/>
      <c r="H25" s="1425"/>
      <c r="I25" s="196"/>
      <c r="J25" s="196"/>
      <c r="K25" s="196"/>
      <c r="L25" s="196"/>
      <c r="M25" s="196"/>
      <c r="N25" s="196"/>
      <c r="O25" s="196"/>
      <c r="P25" s="196"/>
    </row>
    <row r="26" spans="1:16" ht="15.75" x14ac:dyDescent="0.25">
      <c r="B26" s="846"/>
      <c r="C26" s="846"/>
      <c r="D26" s="846"/>
      <c r="E26" s="846"/>
      <c r="F26" s="846"/>
      <c r="G26" s="846"/>
      <c r="H26" s="846"/>
    </row>
    <row r="27" spans="1:16" ht="15" x14ac:dyDescent="0.25">
      <c r="B27" s="708" t="s">
        <v>11</v>
      </c>
      <c r="H27" s="753"/>
      <c r="J27" s="708" t="s">
        <v>651</v>
      </c>
      <c r="P27" s="753"/>
    </row>
    <row r="28" spans="1:16" ht="45" x14ac:dyDescent="0.25">
      <c r="A28" s="136" t="s">
        <v>4</v>
      </c>
      <c r="B28" s="840" t="s">
        <v>1004</v>
      </c>
      <c r="C28" s="840">
        <v>2</v>
      </c>
      <c r="D28" s="840">
        <v>3</v>
      </c>
      <c r="E28" s="840">
        <v>4</v>
      </c>
      <c r="F28" s="840" t="s">
        <v>1005</v>
      </c>
      <c r="G28" s="845" t="s">
        <v>168</v>
      </c>
      <c r="H28" s="841" t="s">
        <v>11</v>
      </c>
      <c r="J28" s="840" t="s">
        <v>1004</v>
      </c>
      <c r="K28" s="840">
        <v>2</v>
      </c>
      <c r="L28" s="840">
        <v>3</v>
      </c>
      <c r="M28" s="840">
        <v>4</v>
      </c>
      <c r="N28" s="840" t="s">
        <v>1005</v>
      </c>
      <c r="O28" s="845" t="s">
        <v>168</v>
      </c>
      <c r="P28" s="841" t="s">
        <v>11</v>
      </c>
    </row>
    <row r="29" spans="1:16" x14ac:dyDescent="0.2">
      <c r="A29" s="400" t="str">
        <f t="shared" ref="A29:A34" si="4">A12</f>
        <v>2012-13</v>
      </c>
      <c r="B29" s="404">
        <f>T_simdcas!B4</f>
        <v>357</v>
      </c>
      <c r="C29" s="404">
        <f>T_simdcas!C4</f>
        <v>248</v>
      </c>
      <c r="D29" s="404">
        <f>T_simdcas!D4</f>
        <v>195</v>
      </c>
      <c r="E29" s="404">
        <f>T_simdcas!E4</f>
        <v>161</v>
      </c>
      <c r="F29" s="404">
        <f>T_simdcas!F4</f>
        <v>96</v>
      </c>
      <c r="G29" s="404">
        <f>T_simdcas!G4</f>
        <v>0</v>
      </c>
      <c r="H29" s="355">
        <f>SUM(B29:G29)</f>
        <v>1057</v>
      </c>
      <c r="J29" s="404">
        <f>T_simdcas!B18</f>
        <v>337</v>
      </c>
      <c r="K29" s="404">
        <f>T_simdcas!C18</f>
        <v>205</v>
      </c>
      <c r="L29" s="404">
        <f>T_simdcas!D18</f>
        <v>162</v>
      </c>
      <c r="M29" s="404">
        <f>T_simdcas!E18</f>
        <v>131</v>
      </c>
      <c r="N29" s="404">
        <f>T_simdcas!F18</f>
        <v>88</v>
      </c>
      <c r="O29" s="404">
        <f>SUM(J29:N29)-P29</f>
        <v>0</v>
      </c>
      <c r="P29" s="400">
        <f>T_simdcas!G18</f>
        <v>923</v>
      </c>
    </row>
    <row r="30" spans="1:16" x14ac:dyDescent="0.2">
      <c r="A30" s="117" t="str">
        <f t="shared" si="4"/>
        <v>2013-14</v>
      </c>
      <c r="B30">
        <f>T_simdcas!B5</f>
        <v>400</v>
      </c>
      <c r="C30">
        <f>T_simdcas!C5</f>
        <v>243</v>
      </c>
      <c r="D30">
        <f>T_simdcas!D5</f>
        <v>197</v>
      </c>
      <c r="E30">
        <f>T_simdcas!E5</f>
        <v>147</v>
      </c>
      <c r="F30">
        <f>T_simdcas!F5</f>
        <v>102</v>
      </c>
      <c r="G30">
        <f>T_simdcas!G5</f>
        <v>0</v>
      </c>
      <c r="H30" s="353">
        <f t="shared" ref="H30:H34" si="5">SUM(B30:G30)</f>
        <v>1089</v>
      </c>
      <c r="J30">
        <f>T_simdcas!B19</f>
        <v>383</v>
      </c>
      <c r="K30">
        <f>T_simdcas!C19</f>
        <v>212</v>
      </c>
      <c r="L30">
        <f>T_simdcas!D19</f>
        <v>161</v>
      </c>
      <c r="M30">
        <f>T_simdcas!E19</f>
        <v>109</v>
      </c>
      <c r="N30">
        <f>T_simdcas!F19</f>
        <v>77</v>
      </c>
      <c r="O30">
        <f t="shared" ref="O30:O36" si="6">SUM(J30:N30)-P30</f>
        <v>0</v>
      </c>
      <c r="P30" s="117">
        <f>T_simdcas!G19</f>
        <v>942</v>
      </c>
    </row>
    <row r="31" spans="1:16" x14ac:dyDescent="0.2">
      <c r="A31" s="117" t="str">
        <f t="shared" si="4"/>
        <v>2014-15</v>
      </c>
      <c r="B31">
        <f>T_simdcas!B6</f>
        <v>332</v>
      </c>
      <c r="C31">
        <f>T_simdcas!C6</f>
        <v>214</v>
      </c>
      <c r="D31">
        <f>T_simdcas!D6</f>
        <v>166</v>
      </c>
      <c r="E31">
        <f>T_simdcas!E6</f>
        <v>118</v>
      </c>
      <c r="F31">
        <f>T_simdcas!F6</f>
        <v>56</v>
      </c>
      <c r="G31">
        <f>T_simdcas!G6</f>
        <v>0</v>
      </c>
      <c r="H31" s="353">
        <f t="shared" si="5"/>
        <v>886</v>
      </c>
      <c r="J31">
        <f>T_simdcas!B20</f>
        <v>311</v>
      </c>
      <c r="K31">
        <f>T_simdcas!C20</f>
        <v>186</v>
      </c>
      <c r="L31">
        <f>T_simdcas!D20</f>
        <v>139</v>
      </c>
      <c r="M31">
        <f>T_simdcas!E20</f>
        <v>82</v>
      </c>
      <c r="N31">
        <f>T_simdcas!F20</f>
        <v>44</v>
      </c>
      <c r="O31">
        <f t="shared" si="6"/>
        <v>0</v>
      </c>
      <c r="P31" s="117">
        <f>T_simdcas!G20</f>
        <v>762</v>
      </c>
    </row>
    <row r="32" spans="1:16" x14ac:dyDescent="0.2">
      <c r="A32" s="117" t="str">
        <f t="shared" si="4"/>
        <v>2015-16</v>
      </c>
      <c r="B32">
        <f>T_simdcas!B7</f>
        <v>412</v>
      </c>
      <c r="C32">
        <f>T_simdcas!C7</f>
        <v>238</v>
      </c>
      <c r="D32">
        <f>T_simdcas!D7</f>
        <v>178</v>
      </c>
      <c r="E32">
        <f>T_simdcas!E7</f>
        <v>119</v>
      </c>
      <c r="F32">
        <f>T_simdcas!F7</f>
        <v>68</v>
      </c>
      <c r="G32">
        <f>T_simdcas!G7</f>
        <v>2</v>
      </c>
      <c r="H32" s="353">
        <f t="shared" si="5"/>
        <v>1017</v>
      </c>
      <c r="J32">
        <f>T_simdcas!B21</f>
        <v>381</v>
      </c>
      <c r="K32">
        <f>T_simdcas!C21</f>
        <v>202</v>
      </c>
      <c r="L32">
        <f>T_simdcas!D21</f>
        <v>121</v>
      </c>
      <c r="M32">
        <f>T_simdcas!E21</f>
        <v>75</v>
      </c>
      <c r="N32">
        <f>T_simdcas!F21</f>
        <v>50</v>
      </c>
      <c r="O32">
        <f t="shared" si="6"/>
        <v>0</v>
      </c>
      <c r="P32" s="117">
        <f>T_simdcas!G21</f>
        <v>829</v>
      </c>
    </row>
    <row r="33" spans="1:16" x14ac:dyDescent="0.2">
      <c r="A33" s="117" t="str">
        <f t="shared" si="4"/>
        <v>2016-17</v>
      </c>
      <c r="B33">
        <f>T_simdcas!B8</f>
        <v>370</v>
      </c>
      <c r="C33">
        <f>T_simdcas!C8</f>
        <v>236</v>
      </c>
      <c r="D33">
        <f>T_simdcas!D8</f>
        <v>140</v>
      </c>
      <c r="E33">
        <f>T_simdcas!E8</f>
        <v>109</v>
      </c>
      <c r="F33">
        <f>T_simdcas!F8</f>
        <v>81</v>
      </c>
      <c r="G33">
        <f>T_simdcas!G8</f>
        <v>0</v>
      </c>
      <c r="H33" s="353">
        <f t="shared" si="5"/>
        <v>936</v>
      </c>
      <c r="J33">
        <f>T_simdcas!B22</f>
        <v>348</v>
      </c>
      <c r="K33">
        <f>T_simdcas!C22</f>
        <v>204</v>
      </c>
      <c r="L33">
        <f>T_simdcas!D22</f>
        <v>112</v>
      </c>
      <c r="M33">
        <f>T_simdcas!E22</f>
        <v>81</v>
      </c>
      <c r="N33">
        <f>T_simdcas!F22</f>
        <v>69</v>
      </c>
      <c r="O33">
        <f t="shared" si="6"/>
        <v>0</v>
      </c>
      <c r="P33" s="117">
        <f>T_simdcas!G22</f>
        <v>814</v>
      </c>
    </row>
    <row r="34" spans="1:16" x14ac:dyDescent="0.2">
      <c r="A34" s="117" t="str">
        <f t="shared" si="4"/>
        <v>2017-18</v>
      </c>
      <c r="B34">
        <f>T_simdcas!B9</f>
        <v>342</v>
      </c>
      <c r="C34">
        <f>T_simdcas!C9</f>
        <v>212</v>
      </c>
      <c r="D34">
        <f>T_simdcas!D9</f>
        <v>141</v>
      </c>
      <c r="E34">
        <f>T_simdcas!E9</f>
        <v>111</v>
      </c>
      <c r="F34">
        <f>T_simdcas!F9</f>
        <v>74</v>
      </c>
      <c r="G34">
        <f>T_simdcas!G9</f>
        <v>1</v>
      </c>
      <c r="H34" s="353">
        <f t="shared" si="5"/>
        <v>881</v>
      </c>
      <c r="J34">
        <f>T_simdcas!B23</f>
        <v>314</v>
      </c>
      <c r="K34">
        <f>T_simdcas!C23</f>
        <v>181</v>
      </c>
      <c r="L34">
        <f>T_simdcas!D23</f>
        <v>109</v>
      </c>
      <c r="M34">
        <f>T_simdcas!E23</f>
        <v>75</v>
      </c>
      <c r="N34">
        <f>T_simdcas!F23</f>
        <v>58</v>
      </c>
      <c r="O34">
        <f t="shared" si="6"/>
        <v>0</v>
      </c>
      <c r="P34" s="117">
        <f>T_simdcas!G23</f>
        <v>737</v>
      </c>
    </row>
    <row r="35" spans="1:16" x14ac:dyDescent="0.2">
      <c r="A35" s="117" t="str">
        <f t="shared" ref="A35:A37" si="7">A18</f>
        <v>2018-19</v>
      </c>
      <c r="B35">
        <f>T_simdcas!B10</f>
        <v>404</v>
      </c>
      <c r="C35">
        <f>T_simdcas!C10</f>
        <v>217</v>
      </c>
      <c r="D35">
        <f>T_simdcas!D10</f>
        <v>164</v>
      </c>
      <c r="E35">
        <f>T_simdcas!E10</f>
        <v>90</v>
      </c>
      <c r="F35">
        <f>T_simdcas!F10</f>
        <v>74</v>
      </c>
      <c r="G35">
        <f>T_simdcas!G10</f>
        <v>0</v>
      </c>
      <c r="H35" s="353">
        <f t="shared" ref="H35:H36" si="8">SUM(B35:G35)</f>
        <v>949</v>
      </c>
      <c r="J35">
        <f>T_simdcas!B24</f>
        <v>374</v>
      </c>
      <c r="K35">
        <f>T_simdcas!C24</f>
        <v>182</v>
      </c>
      <c r="L35">
        <f>T_simdcas!D24</f>
        <v>120</v>
      </c>
      <c r="M35">
        <f>T_simdcas!E24</f>
        <v>60</v>
      </c>
      <c r="N35">
        <f>T_simdcas!F24</f>
        <v>57</v>
      </c>
      <c r="O35">
        <f t="shared" si="6"/>
        <v>0</v>
      </c>
      <c r="P35" s="117">
        <f>T_simdcas!G24</f>
        <v>793</v>
      </c>
    </row>
    <row r="36" spans="1:16" x14ac:dyDescent="0.2">
      <c r="A36" s="117" t="str">
        <f t="shared" si="7"/>
        <v>2019-20</v>
      </c>
      <c r="B36">
        <f>T_simdcas!B11</f>
        <v>312</v>
      </c>
      <c r="C36">
        <f>T_simdcas!C11</f>
        <v>182</v>
      </c>
      <c r="D36">
        <f>T_simdcas!D11</f>
        <v>133</v>
      </c>
      <c r="E36">
        <f>T_simdcas!E11</f>
        <v>108</v>
      </c>
      <c r="F36">
        <f>T_simdcas!F11</f>
        <v>73</v>
      </c>
      <c r="G36">
        <f>T_simdcas!G11</f>
        <v>0</v>
      </c>
      <c r="H36" s="353">
        <f t="shared" si="8"/>
        <v>808</v>
      </c>
      <c r="J36">
        <f>T_simdcas!B25</f>
        <v>288</v>
      </c>
      <c r="K36">
        <f>T_simdcas!C25</f>
        <v>148</v>
      </c>
      <c r="L36">
        <f>T_simdcas!D25</f>
        <v>98</v>
      </c>
      <c r="M36">
        <f>T_simdcas!E25</f>
        <v>75</v>
      </c>
      <c r="N36">
        <f>T_simdcas!F25</f>
        <v>62</v>
      </c>
      <c r="O36">
        <f t="shared" si="6"/>
        <v>0</v>
      </c>
      <c r="P36" s="117">
        <f>T_simdcas!G25</f>
        <v>671</v>
      </c>
    </row>
    <row r="37" spans="1:16" ht="13.5" thickBot="1" x14ac:dyDescent="0.25">
      <c r="A37" s="842" t="str">
        <f t="shared" si="7"/>
        <v>2020-21</v>
      </c>
      <c r="B37" s="510">
        <f>T_simdcas!B12</f>
        <v>303</v>
      </c>
      <c r="C37" s="510">
        <f>T_simdcas!C12</f>
        <v>169</v>
      </c>
      <c r="D37" s="510">
        <f>T_simdcas!D12</f>
        <v>101</v>
      </c>
      <c r="E37" s="510">
        <f>T_simdcas!E12</f>
        <v>82</v>
      </c>
      <c r="F37" s="510">
        <f>T_simdcas!F12</f>
        <v>38</v>
      </c>
      <c r="G37" s="510">
        <f>T_simdcas!G12</f>
        <v>0</v>
      </c>
      <c r="H37" s="712">
        <f t="shared" ref="H37" si="9">SUM(B37:G37)</f>
        <v>693</v>
      </c>
      <c r="J37" s="510">
        <f>T_simdcas!B26</f>
        <v>288</v>
      </c>
      <c r="K37" s="510">
        <f>T_simdcas!C26</f>
        <v>145</v>
      </c>
      <c r="L37" s="510">
        <f>T_simdcas!D26</f>
        <v>66</v>
      </c>
      <c r="M37" s="510">
        <f>T_simdcas!E26</f>
        <v>52</v>
      </c>
      <c r="N37" s="510">
        <f>T_simdcas!F26</f>
        <v>33</v>
      </c>
      <c r="O37" s="510">
        <f t="shared" ref="O37" si="10">SUM(J37:N37)-P37</f>
        <v>0</v>
      </c>
      <c r="P37" s="842">
        <f>T_simdcas!G26</f>
        <v>584</v>
      </c>
    </row>
    <row r="39" spans="1:16" ht="15" x14ac:dyDescent="0.25">
      <c r="B39" s="708" t="s">
        <v>6</v>
      </c>
      <c r="H39" s="753"/>
      <c r="J39" s="708" t="s">
        <v>10</v>
      </c>
      <c r="P39" s="753"/>
    </row>
    <row r="40" spans="1:16" ht="45" x14ac:dyDescent="0.25">
      <c r="A40" s="136" t="s">
        <v>4</v>
      </c>
      <c r="B40" s="840" t="s">
        <v>1004</v>
      </c>
      <c r="C40" s="840">
        <v>2</v>
      </c>
      <c r="D40" s="840">
        <v>3</v>
      </c>
      <c r="E40" s="840">
        <v>4</v>
      </c>
      <c r="F40" s="840" t="s">
        <v>1005</v>
      </c>
      <c r="G40" s="845" t="s">
        <v>168</v>
      </c>
      <c r="H40" s="841" t="s">
        <v>11</v>
      </c>
      <c r="J40" s="840" t="s">
        <v>1004</v>
      </c>
      <c r="K40" s="840">
        <v>2</v>
      </c>
      <c r="L40" s="840">
        <v>3</v>
      </c>
      <c r="M40" s="840">
        <v>4</v>
      </c>
      <c r="N40" s="840" t="s">
        <v>1005</v>
      </c>
      <c r="O40" s="845" t="s">
        <v>168</v>
      </c>
      <c r="P40" s="841" t="s">
        <v>11</v>
      </c>
    </row>
    <row r="41" spans="1:16" x14ac:dyDescent="0.2">
      <c r="A41" s="400" t="str">
        <f t="shared" ref="A41:A46" si="11">A29</f>
        <v>2012-13</v>
      </c>
      <c r="B41" s="404">
        <f>T_simdcas!H18</f>
        <v>14</v>
      </c>
      <c r="C41" s="404">
        <f>T_simdcas!I18</f>
        <v>26</v>
      </c>
      <c r="D41" s="404">
        <f>T_simdcas!J18</f>
        <v>18</v>
      </c>
      <c r="E41" s="404">
        <f>T_simdcas!K18</f>
        <v>16</v>
      </c>
      <c r="F41" s="404">
        <f>T_simdcas!L18</f>
        <v>4</v>
      </c>
      <c r="G41" s="404">
        <f>SUM(B41:F41)-H41</f>
        <v>0</v>
      </c>
      <c r="H41" s="400">
        <f>T_simdcas!M18</f>
        <v>78</v>
      </c>
      <c r="J41" s="404">
        <f>T_simdcas!N18</f>
        <v>2</v>
      </c>
      <c r="K41" s="404">
        <f>T_simdcas!O18</f>
        <v>8</v>
      </c>
      <c r="L41" s="404">
        <f>T_simdcas!P18</f>
        <v>10</v>
      </c>
      <c r="M41" s="404">
        <f>T_simdcas!Q18</f>
        <v>9</v>
      </c>
      <c r="N41" s="404">
        <f>T_simdcas!R18</f>
        <v>3</v>
      </c>
      <c r="O41" s="404">
        <f>SUM(J41:N41)-P41</f>
        <v>0</v>
      </c>
      <c r="P41" s="400">
        <f>T_simdcas!S18</f>
        <v>32</v>
      </c>
    </row>
    <row r="42" spans="1:16" x14ac:dyDescent="0.2">
      <c r="A42" s="117" t="str">
        <f t="shared" si="11"/>
        <v>2013-14</v>
      </c>
      <c r="B42">
        <f>T_simdcas!H19</f>
        <v>12</v>
      </c>
      <c r="C42">
        <f>T_simdcas!I19</f>
        <v>24</v>
      </c>
      <c r="D42">
        <f>T_simdcas!J19</f>
        <v>15</v>
      </c>
      <c r="E42">
        <f>T_simdcas!K19</f>
        <v>17</v>
      </c>
      <c r="F42">
        <f>T_simdcas!L19</f>
        <v>8</v>
      </c>
      <c r="G42">
        <f t="shared" ref="G42:G48" si="12">SUM(B42:F42)-H42</f>
        <v>0</v>
      </c>
      <c r="H42" s="117">
        <f>T_simdcas!M19</f>
        <v>76</v>
      </c>
      <c r="J42">
        <f>T_simdcas!N19</f>
        <v>2</v>
      </c>
      <c r="K42">
        <f>T_simdcas!O19</f>
        <v>4</v>
      </c>
      <c r="L42">
        <f>T_simdcas!P19</f>
        <v>10</v>
      </c>
      <c r="M42">
        <f>T_simdcas!Q19</f>
        <v>17</v>
      </c>
      <c r="N42">
        <f>T_simdcas!R19</f>
        <v>13</v>
      </c>
      <c r="O42">
        <f t="shared" ref="O42:O48" si="13">SUM(J42:N42)-P42</f>
        <v>0</v>
      </c>
      <c r="P42" s="117">
        <f>T_simdcas!S19</f>
        <v>46</v>
      </c>
    </row>
    <row r="43" spans="1:16" x14ac:dyDescent="0.2">
      <c r="A43" s="117" t="str">
        <f t="shared" si="11"/>
        <v>2014-15</v>
      </c>
      <c r="B43">
        <f>T_simdcas!H20</f>
        <v>12</v>
      </c>
      <c r="C43">
        <f>T_simdcas!I20</f>
        <v>20</v>
      </c>
      <c r="D43">
        <f>T_simdcas!J20</f>
        <v>18</v>
      </c>
      <c r="E43">
        <f>T_simdcas!K20</f>
        <v>19</v>
      </c>
      <c r="F43">
        <f>T_simdcas!L20</f>
        <v>9</v>
      </c>
      <c r="G43">
        <f t="shared" si="12"/>
        <v>0</v>
      </c>
      <c r="H43" s="117">
        <f>T_simdcas!M20</f>
        <v>78</v>
      </c>
      <c r="J43">
        <f>T_simdcas!N20</f>
        <v>5</v>
      </c>
      <c r="K43">
        <f>T_simdcas!O20</f>
        <v>5</v>
      </c>
      <c r="L43">
        <f>T_simdcas!P20</f>
        <v>7</v>
      </c>
      <c r="M43">
        <f>T_simdcas!Q20</f>
        <v>12</v>
      </c>
      <c r="N43">
        <f>T_simdcas!R20</f>
        <v>1</v>
      </c>
      <c r="O43">
        <f t="shared" si="13"/>
        <v>0</v>
      </c>
      <c r="P43" s="117">
        <f>T_simdcas!S20</f>
        <v>30</v>
      </c>
    </row>
    <row r="44" spans="1:16" x14ac:dyDescent="0.2">
      <c r="A44" s="117" t="str">
        <f t="shared" si="11"/>
        <v>2015-16</v>
      </c>
      <c r="B44">
        <f>T_simdcas!H21</f>
        <v>27</v>
      </c>
      <c r="C44">
        <f>T_simdcas!I21</f>
        <v>20</v>
      </c>
      <c r="D44">
        <f>T_simdcas!J21</f>
        <v>27</v>
      </c>
      <c r="E44">
        <f>T_simdcas!K21</f>
        <v>17</v>
      </c>
      <c r="F44">
        <f>T_simdcas!L21</f>
        <v>12</v>
      </c>
      <c r="G44">
        <f t="shared" si="12"/>
        <v>0</v>
      </c>
      <c r="H44" s="117">
        <f>T_simdcas!M21</f>
        <v>103</v>
      </c>
      <c r="J44">
        <f>T_simdcas!N21</f>
        <v>3</v>
      </c>
      <c r="K44">
        <f>T_simdcas!O21</f>
        <v>5</v>
      </c>
      <c r="L44">
        <f>T_simdcas!P21</f>
        <v>25</v>
      </c>
      <c r="M44">
        <f>T_simdcas!Q21</f>
        <v>21</v>
      </c>
      <c r="N44">
        <f>T_simdcas!R21</f>
        <v>2</v>
      </c>
      <c r="O44">
        <f t="shared" si="13"/>
        <v>0</v>
      </c>
      <c r="P44" s="117">
        <f>T_simdcas!S21</f>
        <v>56</v>
      </c>
    </row>
    <row r="45" spans="1:16" x14ac:dyDescent="0.2">
      <c r="A45" s="117" t="str">
        <f t="shared" si="11"/>
        <v>2016-17</v>
      </c>
      <c r="B45">
        <f>T_simdcas!H22</f>
        <v>13</v>
      </c>
      <c r="C45">
        <f>T_simdcas!I22</f>
        <v>17</v>
      </c>
      <c r="D45">
        <f>T_simdcas!J22</f>
        <v>12</v>
      </c>
      <c r="E45">
        <f>T_simdcas!K22</f>
        <v>9</v>
      </c>
      <c r="F45">
        <f>T_simdcas!L22</f>
        <v>5</v>
      </c>
      <c r="G45">
        <f t="shared" si="12"/>
        <v>0</v>
      </c>
      <c r="H45" s="117">
        <f>T_simdcas!M22</f>
        <v>56</v>
      </c>
      <c r="J45">
        <f>T_simdcas!N22</f>
        <v>4</v>
      </c>
      <c r="K45">
        <f>T_simdcas!O22</f>
        <v>8</v>
      </c>
      <c r="L45">
        <f>T_simdcas!P22</f>
        <v>8</v>
      </c>
      <c r="M45">
        <f>T_simdcas!Q22</f>
        <v>15</v>
      </c>
      <c r="N45">
        <f>T_simdcas!R22</f>
        <v>5</v>
      </c>
      <c r="O45">
        <f t="shared" si="13"/>
        <v>0</v>
      </c>
      <c r="P45" s="117">
        <f>T_simdcas!S22</f>
        <v>40</v>
      </c>
    </row>
    <row r="46" spans="1:16" x14ac:dyDescent="0.2">
      <c r="A46" s="117" t="str">
        <f t="shared" si="11"/>
        <v>2017-18</v>
      </c>
      <c r="B46">
        <f>T_simdcas!H23</f>
        <v>18</v>
      </c>
      <c r="C46">
        <f>T_simdcas!I23</f>
        <v>22</v>
      </c>
      <c r="D46">
        <f>T_simdcas!J23</f>
        <v>15</v>
      </c>
      <c r="E46">
        <f>T_simdcas!K23</f>
        <v>23</v>
      </c>
      <c r="F46">
        <f>T_simdcas!L23</f>
        <v>12</v>
      </c>
      <c r="G46">
        <f t="shared" si="12"/>
        <v>0</v>
      </c>
      <c r="H46" s="117">
        <f>T_simdcas!M23</f>
        <v>90</v>
      </c>
      <c r="J46">
        <f>T_simdcas!N23</f>
        <v>6</v>
      </c>
      <c r="K46">
        <f>T_simdcas!O23</f>
        <v>3</v>
      </c>
      <c r="L46">
        <f>T_simdcas!P23</f>
        <v>13</v>
      </c>
      <c r="M46">
        <f>T_simdcas!Q23</f>
        <v>10</v>
      </c>
      <c r="N46">
        <f>T_simdcas!R23</f>
        <v>3</v>
      </c>
      <c r="O46">
        <f t="shared" si="13"/>
        <v>0</v>
      </c>
      <c r="P46" s="117">
        <f>T_simdcas!S23</f>
        <v>35</v>
      </c>
    </row>
    <row r="47" spans="1:16" x14ac:dyDescent="0.2">
      <c r="A47" s="117" t="str">
        <f t="shared" ref="A47:A49" si="14">A35</f>
        <v>2018-19</v>
      </c>
      <c r="B47">
        <f>T_simdcas!H24</f>
        <v>19</v>
      </c>
      <c r="C47">
        <f>T_simdcas!I24</f>
        <v>18</v>
      </c>
      <c r="D47">
        <f>T_simdcas!J24</f>
        <v>28</v>
      </c>
      <c r="E47">
        <f>T_simdcas!K24</f>
        <v>15</v>
      </c>
      <c r="F47">
        <f>T_simdcas!L24</f>
        <v>10</v>
      </c>
      <c r="G47">
        <f t="shared" si="12"/>
        <v>0</v>
      </c>
      <c r="H47" s="117">
        <f>T_simdcas!M24</f>
        <v>90</v>
      </c>
      <c r="J47">
        <f>T_simdcas!N24</f>
        <v>1</v>
      </c>
      <c r="K47">
        <f>T_simdcas!O24</f>
        <v>10</v>
      </c>
      <c r="L47">
        <f>T_simdcas!P24</f>
        <v>6</v>
      </c>
      <c r="M47">
        <f>T_simdcas!Q24</f>
        <v>9</v>
      </c>
      <c r="N47">
        <f>T_simdcas!R24</f>
        <v>5</v>
      </c>
      <c r="O47">
        <f t="shared" si="13"/>
        <v>0</v>
      </c>
      <c r="P47" s="117">
        <f>T_simdcas!S24</f>
        <v>31</v>
      </c>
    </row>
    <row r="48" spans="1:16" x14ac:dyDescent="0.2">
      <c r="A48" s="117" t="str">
        <f t="shared" si="14"/>
        <v>2019-20</v>
      </c>
      <c r="B48">
        <f>T_simdcas!H25</f>
        <v>16</v>
      </c>
      <c r="C48">
        <f>T_simdcas!I25</f>
        <v>18</v>
      </c>
      <c r="D48">
        <f>T_simdcas!J25</f>
        <v>24</v>
      </c>
      <c r="E48">
        <f>T_simdcas!K25</f>
        <v>21</v>
      </c>
      <c r="F48">
        <f>T_simdcas!L25</f>
        <v>6</v>
      </c>
      <c r="G48">
        <f t="shared" si="12"/>
        <v>0</v>
      </c>
      <c r="H48" s="117">
        <f>T_simdcas!M25</f>
        <v>85</v>
      </c>
      <c r="J48">
        <f>T_simdcas!N25</f>
        <v>2</v>
      </c>
      <c r="K48">
        <f>T_simdcas!O25</f>
        <v>6</v>
      </c>
      <c r="L48">
        <f>T_simdcas!P25</f>
        <v>6</v>
      </c>
      <c r="M48">
        <f>T_simdcas!Q25</f>
        <v>7</v>
      </c>
      <c r="N48">
        <f>T_simdcas!R25</f>
        <v>4</v>
      </c>
      <c r="O48">
        <f t="shared" si="13"/>
        <v>0</v>
      </c>
      <c r="P48" s="117">
        <f>T_simdcas!S25</f>
        <v>25</v>
      </c>
    </row>
    <row r="49" spans="1:16" ht="13.5" thickBot="1" x14ac:dyDescent="0.25">
      <c r="A49" s="842" t="str">
        <f t="shared" si="14"/>
        <v>2020-21</v>
      </c>
      <c r="B49" s="510">
        <f>T_simdcas!H26</f>
        <v>5</v>
      </c>
      <c r="C49" s="510">
        <f>T_simdcas!I26</f>
        <v>14</v>
      </c>
      <c r="D49" s="510">
        <f>T_simdcas!J26</f>
        <v>17</v>
      </c>
      <c r="E49" s="510">
        <f>T_simdcas!K26</f>
        <v>16</v>
      </c>
      <c r="F49" s="510">
        <f>T_simdcas!L26</f>
        <v>2</v>
      </c>
      <c r="G49" s="510">
        <f t="shared" ref="G49" si="15">SUM(B49:F49)-H49</f>
        <v>0</v>
      </c>
      <c r="H49" s="842">
        <f>T_simdcas!M26</f>
        <v>54</v>
      </c>
      <c r="J49" s="510">
        <f>T_simdcas!N26</f>
        <v>2</v>
      </c>
      <c r="K49" s="510">
        <f>T_simdcas!O26</f>
        <v>2</v>
      </c>
      <c r="L49" s="510">
        <f>T_simdcas!P26</f>
        <v>5</v>
      </c>
      <c r="M49" s="510">
        <f>T_simdcas!Q26</f>
        <v>4</v>
      </c>
      <c r="N49" s="510">
        <f>T_simdcas!R26</f>
        <v>2</v>
      </c>
      <c r="O49" s="510">
        <f t="shared" ref="O49" si="16">SUM(J49:N49)-P49</f>
        <v>0</v>
      </c>
      <c r="P49" s="842">
        <f>T_simdcas!S26</f>
        <v>15</v>
      </c>
    </row>
    <row r="51" spans="1:16" ht="15" x14ac:dyDescent="0.25">
      <c r="B51" s="708" t="s">
        <v>865</v>
      </c>
      <c r="H51" s="753"/>
    </row>
    <row r="52" spans="1:16" ht="45" x14ac:dyDescent="0.25">
      <c r="A52" s="136" t="s">
        <v>4</v>
      </c>
      <c r="B52" s="840" t="s">
        <v>1004</v>
      </c>
      <c r="C52" s="840">
        <v>2</v>
      </c>
      <c r="D52" s="840">
        <v>3</v>
      </c>
      <c r="E52" s="840">
        <v>4</v>
      </c>
      <c r="F52" s="840" t="s">
        <v>1005</v>
      </c>
      <c r="G52" s="845" t="s">
        <v>168</v>
      </c>
      <c r="H52" s="845" t="s">
        <v>11</v>
      </c>
    </row>
    <row r="53" spans="1:16" x14ac:dyDescent="0.2">
      <c r="A53" s="400" t="str">
        <f t="shared" ref="A53:A58" si="17">A41</f>
        <v>2012-13</v>
      </c>
      <c r="B53" s="404">
        <f>T_simdcas!T18</f>
        <v>4</v>
      </c>
      <c r="C53" s="404">
        <f>T_simdcas!U18</f>
        <v>9</v>
      </c>
      <c r="D53" s="404">
        <f>T_simdcas!V18</f>
        <v>5</v>
      </c>
      <c r="E53" s="404">
        <f>T_simdcas!W18</f>
        <v>5</v>
      </c>
      <c r="F53" s="404">
        <f>T_simdcas!X18</f>
        <v>1</v>
      </c>
      <c r="G53" s="404">
        <f>T_simdcas!Y18</f>
        <v>0</v>
      </c>
      <c r="H53" s="400">
        <f t="shared" ref="H53:H58" si="18">SUM(B53:G53)</f>
        <v>24</v>
      </c>
    </row>
    <row r="54" spans="1:16" x14ac:dyDescent="0.2">
      <c r="A54" s="117" t="str">
        <f t="shared" si="17"/>
        <v>2013-14</v>
      </c>
      <c r="B54">
        <f>T_simdcas!T19</f>
        <v>3</v>
      </c>
      <c r="C54">
        <f>T_simdcas!U19</f>
        <v>3</v>
      </c>
      <c r="D54">
        <f>T_simdcas!V19</f>
        <v>11</v>
      </c>
      <c r="E54">
        <f>T_simdcas!W19</f>
        <v>4</v>
      </c>
      <c r="F54">
        <f>T_simdcas!X19</f>
        <v>4</v>
      </c>
      <c r="G54">
        <f>T_simdcas!Y19</f>
        <v>0</v>
      </c>
      <c r="H54" s="117">
        <f t="shared" si="18"/>
        <v>25</v>
      </c>
    </row>
    <row r="55" spans="1:16" x14ac:dyDescent="0.2">
      <c r="A55" s="117" t="str">
        <f t="shared" si="17"/>
        <v>2014-15</v>
      </c>
      <c r="B55">
        <f>T_simdcas!T20</f>
        <v>4</v>
      </c>
      <c r="C55">
        <f>T_simdcas!U20</f>
        <v>3</v>
      </c>
      <c r="D55">
        <f>T_simdcas!V20</f>
        <v>2</v>
      </c>
      <c r="E55">
        <f>T_simdcas!W20</f>
        <v>5</v>
      </c>
      <c r="F55">
        <f>T_simdcas!X20</f>
        <v>2</v>
      </c>
      <c r="G55">
        <f>T_simdcas!Y20</f>
        <v>0</v>
      </c>
      <c r="H55" s="117">
        <f t="shared" si="18"/>
        <v>16</v>
      </c>
    </row>
    <row r="56" spans="1:16" x14ac:dyDescent="0.2">
      <c r="A56" s="117" t="str">
        <f t="shared" si="17"/>
        <v>2015-16</v>
      </c>
      <c r="B56">
        <f>T_simdcas!T21</f>
        <v>1</v>
      </c>
      <c r="C56">
        <f>T_simdcas!U21</f>
        <v>11</v>
      </c>
      <c r="D56">
        <f>T_simdcas!V21</f>
        <v>5</v>
      </c>
      <c r="E56">
        <f>T_simdcas!W21</f>
        <v>6</v>
      </c>
      <c r="F56">
        <f>T_simdcas!X21</f>
        <v>4</v>
      </c>
      <c r="G56">
        <f>T_simdcas!Y21</f>
        <v>2</v>
      </c>
      <c r="H56" s="117">
        <f t="shared" si="18"/>
        <v>29</v>
      </c>
    </row>
    <row r="57" spans="1:16" x14ac:dyDescent="0.2">
      <c r="A57" s="117" t="str">
        <f t="shared" si="17"/>
        <v>2016-17</v>
      </c>
      <c r="B57">
        <f>T_simdcas!T22</f>
        <v>5</v>
      </c>
      <c r="C57">
        <f>T_simdcas!U22</f>
        <v>7</v>
      </c>
      <c r="D57">
        <f>T_simdcas!V22</f>
        <v>8</v>
      </c>
      <c r="E57">
        <f>T_simdcas!W22</f>
        <v>4</v>
      </c>
      <c r="F57">
        <f>T_simdcas!X22</f>
        <v>2</v>
      </c>
      <c r="G57">
        <f>T_simdcas!Y22</f>
        <v>0</v>
      </c>
      <c r="H57" s="117">
        <f t="shared" si="18"/>
        <v>26</v>
      </c>
    </row>
    <row r="58" spans="1:16" x14ac:dyDescent="0.2">
      <c r="A58" s="117" t="str">
        <f t="shared" si="17"/>
        <v>2017-18</v>
      </c>
      <c r="B58">
        <f>T_simdcas!T23</f>
        <v>4</v>
      </c>
      <c r="C58">
        <f>T_simdcas!U23</f>
        <v>6</v>
      </c>
      <c r="D58">
        <f>T_simdcas!V23</f>
        <v>4</v>
      </c>
      <c r="E58">
        <f>T_simdcas!W23</f>
        <v>3</v>
      </c>
      <c r="F58">
        <f>T_simdcas!X23</f>
        <v>1</v>
      </c>
      <c r="G58">
        <f>T_simdcas!Y23</f>
        <v>1</v>
      </c>
      <c r="H58" s="117">
        <f t="shared" si="18"/>
        <v>19</v>
      </c>
    </row>
    <row r="59" spans="1:16" x14ac:dyDescent="0.2">
      <c r="A59" s="117" t="str">
        <f t="shared" ref="A59:A61" si="19">A47</f>
        <v>2018-19</v>
      </c>
      <c r="B59">
        <f>T_simdcas!T24</f>
        <v>10</v>
      </c>
      <c r="C59">
        <f>T_simdcas!U24</f>
        <v>7</v>
      </c>
      <c r="D59">
        <f>T_simdcas!V24</f>
        <v>10</v>
      </c>
      <c r="E59">
        <f>T_simdcas!W24</f>
        <v>6</v>
      </c>
      <c r="F59">
        <f>T_simdcas!X24</f>
        <v>2</v>
      </c>
      <c r="G59">
        <f>T_simdcas!Y24</f>
        <v>0</v>
      </c>
      <c r="H59" s="117">
        <f t="shared" ref="H59:H60" si="20">SUM(B59:G59)</f>
        <v>35</v>
      </c>
    </row>
    <row r="60" spans="1:16" x14ac:dyDescent="0.2">
      <c r="A60" s="117" t="str">
        <f t="shared" si="19"/>
        <v>2019-20</v>
      </c>
      <c r="B60">
        <f>T_simdcas!T25</f>
        <v>6</v>
      </c>
      <c r="C60">
        <f>T_simdcas!U25</f>
        <v>10</v>
      </c>
      <c r="D60">
        <f>T_simdcas!V25</f>
        <v>5</v>
      </c>
      <c r="E60">
        <f>T_simdcas!W25</f>
        <v>5</v>
      </c>
      <c r="F60">
        <f>T_simdcas!X25</f>
        <v>1</v>
      </c>
      <c r="G60">
        <f>T_simdcas!Y25</f>
        <v>0</v>
      </c>
      <c r="H60" s="117">
        <f t="shared" si="20"/>
        <v>27</v>
      </c>
    </row>
    <row r="61" spans="1:16" ht="13.5" thickBot="1" x14ac:dyDescent="0.25">
      <c r="A61" s="842" t="str">
        <f t="shared" si="19"/>
        <v>2020-21</v>
      </c>
      <c r="B61" s="510">
        <f>T_simdcas!T26</f>
        <v>8</v>
      </c>
      <c r="C61" s="510">
        <f>T_simdcas!U26</f>
        <v>8</v>
      </c>
      <c r="D61" s="510">
        <f>T_simdcas!V26</f>
        <v>13</v>
      </c>
      <c r="E61" s="510">
        <f>T_simdcas!W26</f>
        <v>10</v>
      </c>
      <c r="F61" s="510">
        <f>T_simdcas!X26</f>
        <v>1</v>
      </c>
      <c r="G61" s="510">
        <f>T_simdcas!Y26</f>
        <v>0</v>
      </c>
      <c r="H61" s="842">
        <f t="shared" ref="H61" si="21">SUM(B61:G61)</f>
        <v>40</v>
      </c>
    </row>
    <row r="63" spans="1:16" x14ac:dyDescent="0.2">
      <c r="A63" s="117" t="s">
        <v>1231</v>
      </c>
    </row>
    <row r="64" spans="1:16" ht="15" x14ac:dyDescent="0.25">
      <c r="A64" s="1109" t="s">
        <v>1558</v>
      </c>
    </row>
    <row r="65" spans="1:1" ht="15" x14ac:dyDescent="0.25">
      <c r="A65" s="1109" t="s">
        <v>1235</v>
      </c>
    </row>
  </sheetData>
  <sheetProtection algorithmName="SHA-512" hashValue="pBViaj/WnSbUHAv+67DEMHvi1P3tSmM9hxFi1YYs2BBZ3i17qpvf3SXQw8yi+ImZtrv40EA0Sxx+N+XVo8t74Q==" saltValue="bqMuMG+VFE/F4YnJ0bSU/g==" spinCount="100000" sheet="1" scenarios="1" formatCells="0" formatColumns="0" formatRows="0" sort="0" autoFilter="0" pivotTables="0"/>
  <mergeCells count="3">
    <mergeCell ref="B8:H8"/>
    <mergeCell ref="J8:P8"/>
    <mergeCell ref="B25:H25"/>
  </mergeCells>
  <hyperlinks>
    <hyperlink ref="A2" location="'Table of Contents'!A1" display="Back to Table of Contents" xr:uid="{00000000-0004-0000-8F00-000000000000}"/>
  </hyperlinks>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8497B0"/>
  </sheetPr>
  <dimension ref="A1:U47"/>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6.85546875" customWidth="1"/>
    <col min="2" max="7" width="9.28515625" customWidth="1"/>
    <col min="8" max="8" width="6.85546875" customWidth="1"/>
    <col min="9" max="13" width="9.28515625" customWidth="1"/>
    <col min="15" max="15" width="7.42578125" customWidth="1"/>
    <col min="16" max="21" width="12" customWidth="1"/>
  </cols>
  <sheetData>
    <row r="1" spans="1:21" ht="15.75" x14ac:dyDescent="0.2">
      <c r="A1" s="298" t="s">
        <v>1137</v>
      </c>
    </row>
    <row r="2" spans="1:21" ht="18.75" customHeight="1" x14ac:dyDescent="0.2">
      <c r="A2" s="106" t="s">
        <v>578</v>
      </c>
    </row>
    <row r="3" spans="1:21" ht="33.75" customHeight="1" x14ac:dyDescent="0.2">
      <c r="A3" s="120" t="s">
        <v>1086</v>
      </c>
      <c r="B3" s="120"/>
      <c r="C3" s="120"/>
      <c r="D3" s="120"/>
      <c r="E3" s="120"/>
      <c r="F3" s="120"/>
    </row>
    <row r="4" spans="1:21" ht="15.75" x14ac:dyDescent="0.25">
      <c r="A4" s="351" t="s">
        <v>579</v>
      </c>
      <c r="B4" s="1102" t="s">
        <v>1398</v>
      </c>
      <c r="D4" s="197"/>
      <c r="E4" s="197"/>
      <c r="F4" s="197"/>
    </row>
    <row r="5" spans="1:21" ht="15.75" x14ac:dyDescent="0.25">
      <c r="A5" s="351" t="s">
        <v>580</v>
      </c>
      <c r="B5" s="351" t="s">
        <v>581</v>
      </c>
      <c r="C5" s="197"/>
      <c r="D5" s="197"/>
      <c r="E5" s="197"/>
      <c r="F5" s="197"/>
    </row>
    <row r="6" spans="1:21" ht="15.75" x14ac:dyDescent="0.25">
      <c r="A6" s="351" t="s">
        <v>582</v>
      </c>
      <c r="B6" s="351" t="s">
        <v>585</v>
      </c>
      <c r="C6" s="197"/>
      <c r="D6" s="197"/>
    </row>
    <row r="7" spans="1:21" x14ac:dyDescent="0.2">
      <c r="A7" s="29"/>
      <c r="C7" s="57"/>
      <c r="D7" s="57"/>
      <c r="E7" s="57"/>
      <c r="F7" s="57"/>
      <c r="G7" s="57"/>
      <c r="H7" s="3"/>
    </row>
    <row r="8" spans="1:21" ht="15.75" x14ac:dyDescent="0.25">
      <c r="A8" s="196"/>
      <c r="B8" s="1425" t="s">
        <v>59</v>
      </c>
      <c r="C8" s="1425"/>
      <c r="D8" s="1425"/>
      <c r="E8" s="1425"/>
      <c r="F8" s="1425"/>
      <c r="G8" s="1425"/>
      <c r="H8" s="66"/>
      <c r="I8" s="196"/>
      <c r="J8" s="196"/>
      <c r="K8" s="196"/>
      <c r="L8" s="196"/>
      <c r="M8" s="196"/>
      <c r="N8" s="196"/>
    </row>
    <row r="9" spans="1:21" ht="15.75" x14ac:dyDescent="0.25">
      <c r="B9" s="846"/>
      <c r="C9" s="846"/>
      <c r="D9" s="846"/>
      <c r="E9" s="846"/>
      <c r="F9" s="846"/>
      <c r="G9" s="846"/>
      <c r="H9" s="3"/>
    </row>
    <row r="10" spans="1:21" ht="15" x14ac:dyDescent="0.25">
      <c r="B10" s="708" t="s">
        <v>11</v>
      </c>
      <c r="I10" s="708" t="s">
        <v>651</v>
      </c>
      <c r="P10" s="708" t="s">
        <v>1108</v>
      </c>
    </row>
    <row r="11" spans="1:21" ht="45" x14ac:dyDescent="0.25">
      <c r="A11" s="590" t="s">
        <v>4</v>
      </c>
      <c r="B11" s="839" t="s">
        <v>1004</v>
      </c>
      <c r="C11" s="839">
        <v>2</v>
      </c>
      <c r="D11" s="839">
        <v>3</v>
      </c>
      <c r="E11" s="839">
        <v>4</v>
      </c>
      <c r="F11" s="839" t="s">
        <v>1005</v>
      </c>
      <c r="G11" s="856" t="s">
        <v>11</v>
      </c>
      <c r="I11" s="839" t="s">
        <v>1004</v>
      </c>
      <c r="J11" s="839">
        <v>2</v>
      </c>
      <c r="K11" s="839">
        <v>3</v>
      </c>
      <c r="L11" s="839">
        <v>4</v>
      </c>
      <c r="M11" s="839" t="s">
        <v>1005</v>
      </c>
      <c r="N11" s="856" t="s">
        <v>11</v>
      </c>
      <c r="P11" s="840" t="s">
        <v>1004</v>
      </c>
      <c r="Q11" s="840">
        <v>2</v>
      </c>
      <c r="R11" s="840">
        <v>3</v>
      </c>
      <c r="S11" s="840">
        <v>4</v>
      </c>
      <c r="T11" s="840" t="s">
        <v>1005</v>
      </c>
      <c r="U11" s="841" t="s">
        <v>11</v>
      </c>
    </row>
    <row r="12" spans="1:21" x14ac:dyDescent="0.2">
      <c r="A12" s="400" t="str">
        <f>T_simd!A6</f>
        <v>2012-13</v>
      </c>
      <c r="B12" s="847">
        <f>T_simdcas!I4/T_simd!B42*1000000</f>
        <v>14.236618290637715</v>
      </c>
      <c r="C12" s="847">
        <f>T_simdcas!J4/T_simd!C42*1000000</f>
        <v>7.5992605919444038</v>
      </c>
      <c r="D12" s="847">
        <f>T_simdcas!K4/T_simd!D42*1000000</f>
        <v>9.4216696517656686</v>
      </c>
      <c r="E12" s="847">
        <f>T_simdcas!L4/T_simd!E42*1000000</f>
        <v>7.5470986122772432</v>
      </c>
      <c r="F12" s="847">
        <f>T_simdcas!M4/T_simd!F42*1000000</f>
        <v>4.6046790907048107</v>
      </c>
      <c r="G12" s="848">
        <f>SUM(B12:F12)/T_simd!H42*1000000</f>
        <v>8.1694757296992329</v>
      </c>
      <c r="I12" s="847">
        <f>T_simdcas!AB18/T_simd!B42*1000000</f>
        <v>13.287510404595201</v>
      </c>
      <c r="J12" s="847">
        <f>T_simdcas!AC18/T_simd!C42*1000000</f>
        <v>5.6994454439583029</v>
      </c>
      <c r="K12" s="847">
        <f>T_simdcas!AD18/T_simd!D42*1000000</f>
        <v>9.4216696517656686</v>
      </c>
      <c r="L12" s="847">
        <f>T_simdcas!AE18/T_simd!E42*1000000</f>
        <v>5.6603239592079326</v>
      </c>
      <c r="M12" s="847">
        <f>T_simdcas!AF18/T_simd!F42*1000000</f>
        <v>3.6837432725638486</v>
      </c>
      <c r="N12" s="848">
        <f>'Deprivation Casualty'!P12/T_simd!H42*1000000</f>
        <v>7.5278530563083406</v>
      </c>
      <c r="P12" s="354">
        <f>T_simd!B42</f>
        <v>1053621</v>
      </c>
      <c r="Q12" s="354">
        <f>T_simd!C42</f>
        <v>1052734</v>
      </c>
      <c r="R12" s="354">
        <f>T_simd!D42</f>
        <v>1061383</v>
      </c>
      <c r="S12" s="354">
        <f>T_simd!E42</f>
        <v>1060010</v>
      </c>
      <c r="T12" s="354">
        <f>T_simd!F42</f>
        <v>1085852</v>
      </c>
      <c r="U12" s="354">
        <f>T_simd!H42</f>
        <v>5313600</v>
      </c>
    </row>
    <row r="13" spans="1:21" x14ac:dyDescent="0.2">
      <c r="A13" s="117" t="str">
        <f>T_simd!A7</f>
        <v>2013-14</v>
      </c>
      <c r="B13" s="92">
        <f>T_simdcas!I5/T_simd!B43*1000000</f>
        <v>15.205627602775786</v>
      </c>
      <c r="C13" s="92">
        <f>T_simdcas!J5/T_simd!C43*1000000</f>
        <v>4.7541803507824429</v>
      </c>
      <c r="D13" s="92">
        <f>T_simdcas!K5/T_simd!D43*1000000</f>
        <v>3.765765613099592</v>
      </c>
      <c r="E13" s="92">
        <f>T_simdcas!L5/T_simd!E43*1000000</f>
        <v>2.8116977874750111</v>
      </c>
      <c r="F13" s="92">
        <f>T_simdcas!M5/T_simd!F43*1000000</f>
        <v>2.7407772844378666</v>
      </c>
      <c r="G13" s="600">
        <f>SUM(B13:F13)/T_simd!H43*1000000</f>
        <v>5.4954386768344134</v>
      </c>
      <c r="I13" s="92">
        <f>T_simdcas!AB19/T_simd!B43*1000000</f>
        <v>15.205627602775786</v>
      </c>
      <c r="J13" s="92">
        <f>T_simdcas!AC19/T_simd!C43*1000000</f>
        <v>4.7541803507824429</v>
      </c>
      <c r="K13" s="92">
        <f>T_simdcas!AD19/T_simd!D43*1000000</f>
        <v>2.8243242098246939</v>
      </c>
      <c r="L13" s="92">
        <f>T_simdcas!AE19/T_simd!E43*1000000</f>
        <v>2.8116977874750111</v>
      </c>
      <c r="M13" s="92">
        <f>T_simdcas!AF19/T_simd!F43*1000000</f>
        <v>1.8271848562919111</v>
      </c>
      <c r="N13" s="600">
        <f>'Deprivation Casualty'!P13/T_simd!H43*1000000</f>
        <v>5.4432494322127747</v>
      </c>
      <c r="P13" s="191">
        <f>T_simd!B43</f>
        <v>1052242</v>
      </c>
      <c r="Q13" s="191">
        <f>T_simd!C43</f>
        <v>1051706</v>
      </c>
      <c r="R13" s="191">
        <f>T_simd!D43</f>
        <v>1062201</v>
      </c>
      <c r="S13" s="191">
        <f>T_simd!E43</f>
        <v>1066971</v>
      </c>
      <c r="T13" s="191">
        <f>T_simd!F43</f>
        <v>1094580</v>
      </c>
      <c r="U13" s="191">
        <f>T_simd!H43</f>
        <v>5327700</v>
      </c>
    </row>
    <row r="14" spans="1:21" x14ac:dyDescent="0.2">
      <c r="A14" s="117" t="str">
        <f>T_simd!A8</f>
        <v>2014-15</v>
      </c>
      <c r="B14" s="92">
        <f>T_simdcas!I6/T_simd!B44*1000000</f>
        <v>11.408015271529777</v>
      </c>
      <c r="C14" s="92">
        <f>T_simdcas!J6/T_simd!C44*1000000</f>
        <v>8.5513207514900671</v>
      </c>
      <c r="D14" s="92">
        <f>T_simdcas!K6/T_simd!D44*1000000</f>
        <v>9.4026319847451703</v>
      </c>
      <c r="E14" s="92">
        <f>T_simdcas!L6/T_simd!E44*1000000</f>
        <v>5.5713255019067862</v>
      </c>
      <c r="F14" s="92">
        <f>T_simdcas!M6/T_simd!F44*1000000</f>
        <v>2.7204370110014473</v>
      </c>
      <c r="G14" s="600">
        <f>SUM(B14:F14)/T_simd!H44*1000000</f>
        <v>7.0412391578789082</v>
      </c>
      <c r="I14" s="92">
        <f>T_simdcas!AB20/T_simd!B44*1000000</f>
        <v>9.5066793929414803</v>
      </c>
      <c r="J14" s="92">
        <f>T_simdcas!AC20/T_simd!C44*1000000</f>
        <v>4.7507337508278153</v>
      </c>
      <c r="K14" s="92">
        <f>T_simdcas!AD20/T_simd!D44*1000000</f>
        <v>8.4623687862706518</v>
      </c>
      <c r="L14" s="92">
        <f>T_simdcas!AE20/T_simd!E44*1000000</f>
        <v>3.7142170012711908</v>
      </c>
      <c r="M14" s="92">
        <f>T_simdcas!AF20/T_simd!F44*1000000</f>
        <v>2.7204370110014473</v>
      </c>
      <c r="N14" s="600">
        <f>'Deprivation Casualty'!P14/T_simd!H44*1000000</f>
        <v>5.7969930436083477</v>
      </c>
      <c r="P14" s="191">
        <f>T_simd!B44</f>
        <v>1051892</v>
      </c>
      <c r="Q14" s="191">
        <f>T_simd!C44</f>
        <v>1052469</v>
      </c>
      <c r="R14" s="191">
        <f>T_simd!D44</f>
        <v>1063532</v>
      </c>
      <c r="S14" s="191">
        <f>T_simd!E44</f>
        <v>1076943</v>
      </c>
      <c r="T14" s="191">
        <f>T_simd!F44</f>
        <v>1102764</v>
      </c>
      <c r="U14" s="191">
        <f>T_simd!H44</f>
        <v>5347600</v>
      </c>
    </row>
    <row r="15" spans="1:21" x14ac:dyDescent="0.2">
      <c r="A15" s="117" t="str">
        <f>T_simd!A9</f>
        <v>2015-16</v>
      </c>
      <c r="B15" s="92">
        <f>T_simdcas!I7/T_simd!B45*1000000</f>
        <v>14.229231014411365</v>
      </c>
      <c r="C15" s="92">
        <f>T_simdcas!J7/T_simd!C45*1000000</f>
        <v>8.5275563245095238</v>
      </c>
      <c r="D15" s="92">
        <f>T_simdcas!K7/T_simd!D45*1000000</f>
        <v>8.4428638569441148</v>
      </c>
      <c r="E15" s="92">
        <f>T_simdcas!L7/T_simd!E45*1000000</f>
        <v>8.276090374906893</v>
      </c>
      <c r="F15" s="92">
        <f>T_simdcas!M7/T_simd!F45*1000000</f>
        <v>2.7027733156992388</v>
      </c>
      <c r="G15" s="600">
        <f>SUM(B15:F15)/T_simd!H45*1000000</f>
        <v>7.8500865227007512</v>
      </c>
      <c r="I15" s="92">
        <f>T_simdcas!AB21/T_simd!B45*1000000</f>
        <v>14.229231014411365</v>
      </c>
      <c r="J15" s="92">
        <f>T_simdcas!AC21/T_simd!C45*1000000</f>
        <v>8.5275563245095238</v>
      </c>
      <c r="K15" s="92">
        <f>T_simdcas!AD21/T_simd!D45*1000000</f>
        <v>5.6285759046294093</v>
      </c>
      <c r="L15" s="92">
        <f>T_simdcas!AE21/T_simd!E45*1000000</f>
        <v>6.4369591804831403</v>
      </c>
      <c r="M15" s="92">
        <f>T_simdcas!AF21/T_simd!F45*1000000</f>
        <v>1.801848877132826</v>
      </c>
      <c r="N15" s="600">
        <f>'Deprivation Casualty'!P15/T_simd!H45*1000000</f>
        <v>7.2585147962032384</v>
      </c>
      <c r="P15" s="191">
        <f>T_simd!B45</f>
        <v>1054168</v>
      </c>
      <c r="Q15" s="191">
        <f>T_simd!C45</f>
        <v>1055402</v>
      </c>
      <c r="R15" s="191">
        <f>T_simd!D45</f>
        <v>1065989</v>
      </c>
      <c r="S15" s="191">
        <f>T_simd!E45</f>
        <v>1087470</v>
      </c>
      <c r="T15" s="191">
        <f>T_simd!F45</f>
        <v>1109971</v>
      </c>
      <c r="U15" s="191">
        <f>T_simd!H45</f>
        <v>5373000</v>
      </c>
    </row>
    <row r="16" spans="1:21" x14ac:dyDescent="0.2">
      <c r="A16" s="117" t="str">
        <f>T_simd!A10</f>
        <v>2016-17</v>
      </c>
      <c r="B16" s="92">
        <f>T_simdcas!I8/T_simd!B46*1000000</f>
        <v>14.168145663650112</v>
      </c>
      <c r="C16" s="92">
        <f>T_simdcas!J8/T_simd!C46*1000000</f>
        <v>5.6714581035211253</v>
      </c>
      <c r="D16" s="92">
        <f>T_simdcas!K8/T_simd!D46*1000000</f>
        <v>7.4716148681400067</v>
      </c>
      <c r="E16" s="92">
        <f>T_simdcas!L8/T_simd!E46*1000000</f>
        <v>7.2779674092619411</v>
      </c>
      <c r="F16" s="92">
        <f>T_simdcas!M8/T_simd!F46*1000000</f>
        <v>6.2604471211333914</v>
      </c>
      <c r="G16" s="600">
        <f>SUM(B16:F16)/T_simd!H46*1000000</f>
        <v>7.5581684766419173</v>
      </c>
      <c r="I16" s="92">
        <f>T_simdcas!AB22/T_simd!B46*1000000</f>
        <v>12.27905957516343</v>
      </c>
      <c r="J16" s="92">
        <f>T_simdcas!AC22/T_simd!C46*1000000</f>
        <v>4.7262150862676036</v>
      </c>
      <c r="K16" s="92">
        <f>T_simdcas!AD22/T_simd!D46*1000000</f>
        <v>6.5376630096225057</v>
      </c>
      <c r="L16" s="92">
        <f>T_simdcas!AE22/T_simd!E46*1000000</f>
        <v>3.6389837046309705</v>
      </c>
      <c r="M16" s="92">
        <f>T_simdcas!AF22/T_simd!F46*1000000</f>
        <v>6.2604471211333914</v>
      </c>
      <c r="N16" s="600">
        <f>'Deprivation Casualty'!P16/T_simd!H46*1000000</f>
        <v>6.6608692434362684</v>
      </c>
      <c r="P16" s="191">
        <f>T_simd!B46</f>
        <v>1058713</v>
      </c>
      <c r="Q16" s="191">
        <f>T_simd!C46</f>
        <v>1057929</v>
      </c>
      <c r="R16" s="191">
        <f>T_simd!D46</f>
        <v>1070719</v>
      </c>
      <c r="S16" s="191">
        <f>T_simd!E46</f>
        <v>1099208</v>
      </c>
      <c r="T16" s="191">
        <f>T_simd!F46</f>
        <v>1118131</v>
      </c>
      <c r="U16" s="191">
        <f>T_simd!H46</f>
        <v>5404700</v>
      </c>
    </row>
    <row r="17" spans="1:21" x14ac:dyDescent="0.2">
      <c r="A17" s="117" t="str">
        <f>T_simd!A11</f>
        <v>2017-18</v>
      </c>
      <c r="B17" s="92">
        <f>T_simdcas!I9/T_simd!B47*1000000</f>
        <v>15.104485276902976</v>
      </c>
      <c r="C17" s="92">
        <f>T_simdcas!J9/T_simd!C47*1000000</f>
        <v>5.6651660271323685</v>
      </c>
      <c r="D17" s="92">
        <f>T_simdcas!K9/T_simd!D47*1000000</f>
        <v>13.052043157512989</v>
      </c>
      <c r="E17" s="92">
        <f>T_simdcas!L9/T_simd!E47*1000000</f>
        <v>4.5023912199769294</v>
      </c>
      <c r="F17" s="92">
        <f>T_simdcas!M9/T_simd!F47*1000000</f>
        <v>2.6708022555815316</v>
      </c>
      <c r="G17" s="600">
        <f>SUM(B17:F17)/T_simd!H47*1000000</f>
        <v>7.5569399677604325</v>
      </c>
      <c r="I17" s="92">
        <f>T_simdcas!AB23/T_simd!B47*1000000</f>
        <v>13.216424617290103</v>
      </c>
      <c r="J17" s="92">
        <f>T_simdcas!AC23/T_simd!C47*1000000</f>
        <v>4.7209716892769737</v>
      </c>
      <c r="K17" s="92">
        <f>T_simdcas!AD23/T_simd!D47*1000000</f>
        <v>9.3228879696521343</v>
      </c>
      <c r="L17" s="92">
        <f>T_simdcas!AE23/T_simd!E47*1000000</f>
        <v>4.5023912199769294</v>
      </c>
      <c r="M17" s="92">
        <f>T_simdcas!AF23/T_simd!F47*1000000</f>
        <v>2.6708022555815316</v>
      </c>
      <c r="N17" s="600">
        <f>'Deprivation Casualty'!P17/T_simd!H47*1000000</f>
        <v>6.8205279457307189</v>
      </c>
      <c r="P17" s="191">
        <f>T_simd!B47</f>
        <v>1059288</v>
      </c>
      <c r="Q17" s="191">
        <f>T_simd!C47</f>
        <v>1059104</v>
      </c>
      <c r="R17" s="191">
        <f>T_simd!D47</f>
        <v>1072629</v>
      </c>
      <c r="S17" s="191">
        <f>T_simd!E47</f>
        <v>1110521</v>
      </c>
      <c r="T17" s="191">
        <f>T_simd!F47</f>
        <v>1123258</v>
      </c>
      <c r="U17" s="191">
        <f>T_simd!H47</f>
        <v>5424800</v>
      </c>
    </row>
    <row r="18" spans="1:21" x14ac:dyDescent="0.2">
      <c r="A18" s="117" t="str">
        <f>T_simd!A12</f>
        <v>2018-19</v>
      </c>
      <c r="B18" s="92">
        <f>T_simdcas!I10/T_simd!B48*1000000</f>
        <v>13.217772238901791</v>
      </c>
      <c r="C18" s="92">
        <f>T_simdcas!J10/T_simd!C48*1000000</f>
        <v>10.395835617266915</v>
      </c>
      <c r="D18" s="92">
        <f>T_simdcas!K10/T_simd!D48*1000000</f>
        <v>9.3022736617283996</v>
      </c>
      <c r="E18" s="92">
        <f>T_simdcas!L10/T_simd!E48*1000000</f>
        <v>6.2489287550705592</v>
      </c>
      <c r="F18" s="92">
        <f>T_simdcas!M10/T_simd!F48*1000000</f>
        <v>1.7768206637135908</v>
      </c>
      <c r="G18" s="600">
        <f>SUM(B18:F18)/T_simd!H48*1000000</f>
        <v>7.5286645954802704</v>
      </c>
      <c r="I18" s="92">
        <f>T_simdcas!AB24/T_simd!B48*1000000</f>
        <v>12.273645650408808</v>
      </c>
      <c r="J18" s="92">
        <f>T_simdcas!AC24/T_simd!C48*1000000</f>
        <v>8.5056836868547485</v>
      </c>
      <c r="K18" s="92">
        <f>T_simdcas!AD24/T_simd!D48*1000000</f>
        <v>9.3022736617283996</v>
      </c>
      <c r="L18" s="92">
        <f>T_simdcas!AE24/T_simd!E48*1000000</f>
        <v>5.3562246472033372</v>
      </c>
      <c r="M18" s="92">
        <f>T_simdcas!AF24/T_simd!F48*1000000</f>
        <v>1.7768206637135908</v>
      </c>
      <c r="N18" s="600">
        <f>'Deprivation Casualty'!P18/T_simd!H48*1000000</f>
        <v>7.3555101965760095</v>
      </c>
      <c r="P18" s="191">
        <f>T_simd!B48</f>
        <v>1059180</v>
      </c>
      <c r="Q18" s="191">
        <f>T_simd!C48</f>
        <v>1058116</v>
      </c>
      <c r="R18" s="191">
        <f>T_simd!D48</f>
        <v>1075006</v>
      </c>
      <c r="S18" s="191">
        <f>T_simd!E48</f>
        <v>1120192</v>
      </c>
      <c r="T18" s="191">
        <f>T_simd!F48</f>
        <v>1125606</v>
      </c>
      <c r="U18" s="191">
        <f>T_simd!H48</f>
        <v>5438100</v>
      </c>
    </row>
    <row r="19" spans="1:21" x14ac:dyDescent="0.2">
      <c r="A19" s="117" t="str">
        <f>T_simd!A13</f>
        <v>2019-20</v>
      </c>
      <c r="B19" s="92">
        <f>T_simdcas!I11/T_simd!B49*1000000</f>
        <v>12.253296372364481</v>
      </c>
      <c r="C19" s="92">
        <f>T_simdcas!J11/T_simd!C49*1000000</f>
        <v>6.5980221014888913</v>
      </c>
      <c r="D19" s="92">
        <f>T_simdcas!K11/T_simd!D49*1000000</f>
        <v>1.8549468650470506</v>
      </c>
      <c r="E19" s="92">
        <f>T_simdcas!L11/T_simd!E49*1000000</f>
        <v>3.5322427533832261</v>
      </c>
      <c r="F19" s="92">
        <f>T_simdcas!M11/T_simd!F49*1000000</f>
        <v>0.88431872969383118</v>
      </c>
      <c r="G19" s="600">
        <f>SUM(B19:F19)/T_simd!H49*1000000</f>
        <v>4.5984710380131935</v>
      </c>
      <c r="I19" s="92">
        <f>T_simdcas!AB25/T_simd!B49*1000000</f>
        <v>10.368173853539176</v>
      </c>
      <c r="J19" s="92">
        <f>T_simdcas!AC25/T_simd!C49*1000000</f>
        <v>4.7128729296349219</v>
      </c>
      <c r="K19" s="92">
        <f>T_simdcas!AD25/T_simd!D49*1000000</f>
        <v>1.8549468650470506</v>
      </c>
      <c r="L19" s="92">
        <f>T_simdcas!AE25/T_simd!E49*1000000</f>
        <v>2.64918206503742</v>
      </c>
      <c r="M19" s="92">
        <f>T_simdcas!AF25/T_simd!F49*1000000</f>
        <v>0</v>
      </c>
      <c r="N19" s="600">
        <f>'Deprivation Casualty'!P19/T_simd!H49*1000000</f>
        <v>3.8438306518038545</v>
      </c>
      <c r="P19" s="191">
        <f>T_simd!B49</f>
        <v>1060939</v>
      </c>
      <c r="Q19" s="191">
        <f>T_simd!C49</f>
        <v>1060924</v>
      </c>
      <c r="R19" s="191">
        <f>T_simd!D49</f>
        <v>1078198</v>
      </c>
      <c r="S19" s="191">
        <f>T_simd!E49</f>
        <v>1132425</v>
      </c>
      <c r="T19" s="191">
        <f>T_simd!F49</f>
        <v>1130814</v>
      </c>
      <c r="U19" s="191">
        <f>T_simd!H49</f>
        <v>5463300</v>
      </c>
    </row>
    <row r="20" spans="1:21" ht="13.5" thickBot="1" x14ac:dyDescent="0.25">
      <c r="A20" s="842" t="str">
        <f>T_simd!A14</f>
        <v>2020-21</v>
      </c>
      <c r="B20" s="849">
        <f>T_simdcas!I12/T_simd!B50*1000000</f>
        <v>17.96236789387455</v>
      </c>
      <c r="C20" s="849">
        <f>T_simdcas!J12/T_simd!C50*1000000</f>
        <v>16.069131293309855</v>
      </c>
      <c r="D20" s="849">
        <f>T_simdcas!K12/T_simd!D50*1000000</f>
        <v>10.207973540932581</v>
      </c>
      <c r="E20" s="849">
        <f>T_simdcas!L12/T_simd!E50*1000000</f>
        <v>2.630545189258958</v>
      </c>
      <c r="F20" s="849">
        <f>T_simdcas!M12/T_simd!F50*1000000</f>
        <v>2.649551740004787</v>
      </c>
      <c r="G20" s="850">
        <f>SUM(B20:F20)/T_simd!H50*1000000</f>
        <v>9.0595626888731697</v>
      </c>
      <c r="I20" s="849">
        <f>T_simdcas!AB26/T_simd!B50*1000000</f>
        <v>16.07159232609828</v>
      </c>
      <c r="J20" s="849">
        <f>T_simdcas!AC26/T_simd!C50*1000000</f>
        <v>13.233402241549292</v>
      </c>
      <c r="K20" s="849">
        <f>T_simdcas!AD26/T_simd!D50*1000000</f>
        <v>7.4239807570418783</v>
      </c>
      <c r="L20" s="849">
        <f>T_simdcas!AE26/T_simd!E50*1000000</f>
        <v>1.7536967928393052</v>
      </c>
      <c r="M20" s="849">
        <f>T_simdcas!AF26/T_simd!F50*1000000</f>
        <v>2.649551740004787</v>
      </c>
      <c r="N20" s="850">
        <f>'Deprivation Casualty'!P20/T_simd!H50*1000000</f>
        <v>8.0497621661178194</v>
      </c>
      <c r="P20" s="492">
        <f>T_simd!B50</f>
        <v>1057767</v>
      </c>
      <c r="Q20" s="492">
        <f>T_simd!C50</f>
        <v>1057929</v>
      </c>
      <c r="R20" s="492">
        <f>T_simd!D50</f>
        <v>1077589</v>
      </c>
      <c r="S20" s="492">
        <f>T_simd!E50</f>
        <v>1140448</v>
      </c>
      <c r="T20" s="492">
        <f>T_simd!F50</f>
        <v>1132267</v>
      </c>
      <c r="U20" s="492">
        <f>T_simd!H50</f>
        <v>5466000</v>
      </c>
    </row>
    <row r="21" spans="1:21" ht="19.5" customHeight="1" x14ac:dyDescent="0.2"/>
    <row r="22" spans="1:21" ht="13.5" thickBot="1" x14ac:dyDescent="0.25">
      <c r="A22" s="788" t="s">
        <v>1439</v>
      </c>
      <c r="B22" s="851">
        <f>SUM('Deprivation Casualty'!B13:B20)/SUM(T_simd!B43:B50)*1000000</f>
        <v>14.194146830642181</v>
      </c>
      <c r="C22" s="851">
        <f>SUM('Deprivation Casualty'!C13:C20)/SUM(T_simd!C43:C50)*1000000</f>
        <v>8.2805164534453386</v>
      </c>
      <c r="D22" s="851">
        <f>SUM('Deprivation Casualty'!D13:D20)/SUM(T_simd!D43:D50)*1000000</f>
        <v>7.9384879258517209</v>
      </c>
      <c r="E22" s="851">
        <f>SUM('Deprivation Casualty'!E13:E20)/SUM(T_simd!E43:E50)*1000000</f>
        <v>5.0938525350066524</v>
      </c>
      <c r="F22" s="851">
        <f>SUM('Deprivation Casualty'!F13:F20)/SUM(T_simd!F43:F50)*1000000</f>
        <v>2.7972369117564622</v>
      </c>
      <c r="G22" s="851">
        <f>SUM('Deprivation Casualty'!H13:H20)/SUM(T_simd!H43:H50)*1000000</f>
        <v>7.5846567942800593</v>
      </c>
    </row>
    <row r="27" spans="1:21" ht="15.75" x14ac:dyDescent="0.25">
      <c r="A27" s="196"/>
      <c r="B27" s="1425" t="s">
        <v>1110</v>
      </c>
      <c r="C27" s="1425"/>
      <c r="D27" s="1425"/>
      <c r="E27" s="1425"/>
      <c r="F27" s="1425"/>
      <c r="G27" s="1425"/>
      <c r="H27" s="196"/>
      <c r="I27" s="196"/>
      <c r="J27" s="196"/>
      <c r="K27" s="196"/>
      <c r="L27" s="196"/>
      <c r="M27" s="196"/>
      <c r="N27" s="196"/>
    </row>
    <row r="28" spans="1:21" ht="15.75" x14ac:dyDescent="0.25">
      <c r="B28" s="846"/>
      <c r="C28" s="846"/>
      <c r="D28" s="846"/>
      <c r="E28" s="846"/>
      <c r="F28" s="846"/>
      <c r="G28" s="846"/>
    </row>
    <row r="29" spans="1:21" ht="15" x14ac:dyDescent="0.25">
      <c r="B29" s="708" t="s">
        <v>11</v>
      </c>
      <c r="G29" s="753"/>
      <c r="I29" s="592" t="s">
        <v>651</v>
      </c>
      <c r="N29" s="753"/>
    </row>
    <row r="30" spans="1:21" ht="45" x14ac:dyDescent="0.25">
      <c r="A30" s="590" t="s">
        <v>4</v>
      </c>
      <c r="B30" s="839" t="s">
        <v>1004</v>
      </c>
      <c r="C30" s="839">
        <v>2</v>
      </c>
      <c r="D30" s="839">
        <v>3</v>
      </c>
      <c r="E30" s="839">
        <v>4</v>
      </c>
      <c r="F30" s="839" t="s">
        <v>1005</v>
      </c>
      <c r="G30" s="856" t="s">
        <v>11</v>
      </c>
      <c r="I30" s="839" t="s">
        <v>1004</v>
      </c>
      <c r="J30" s="839">
        <v>2</v>
      </c>
      <c r="K30" s="839">
        <v>3</v>
      </c>
      <c r="L30" s="839">
        <v>4</v>
      </c>
      <c r="M30" s="839" t="s">
        <v>1005</v>
      </c>
      <c r="N30" s="856" t="s">
        <v>11</v>
      </c>
    </row>
    <row r="31" spans="1:21" x14ac:dyDescent="0.2">
      <c r="A31" s="400" t="str">
        <f t="shared" ref="A31:A36" si="0">A12</f>
        <v>2012-13</v>
      </c>
      <c r="B31" s="843">
        <f>T_simdcas!B4/T_simd!B42*1000000</f>
        <v>338.8315153171776</v>
      </c>
      <c r="C31" s="843">
        <f>T_simdcas!C4/T_simd!C42*1000000</f>
        <v>235.57707835027651</v>
      </c>
      <c r="D31" s="843">
        <f>T_simdcas!D4/T_simd!D42*1000000</f>
        <v>183.7225582094305</v>
      </c>
      <c r="E31" s="843">
        <f>T_simdcas!E4/T_simd!E42*1000000</f>
        <v>151.88535957207952</v>
      </c>
      <c r="F31" s="843">
        <f>T_simdcas!F4/T_simd!F42*1000000</f>
        <v>88.409838541532366</v>
      </c>
      <c r="G31" s="852">
        <f>T_simdcas!H4/T_simd!H42*1000000</f>
        <v>198.92351701294791</v>
      </c>
      <c r="H31" s="594"/>
      <c r="I31" s="843">
        <f>T_simdcas!B18/T_simd!B42*1000000</f>
        <v>319.84935759632731</v>
      </c>
      <c r="J31" s="843">
        <f>T_simdcas!C18/T_simd!C42*1000000</f>
        <v>194.73105266857536</v>
      </c>
      <c r="K31" s="843">
        <f>T_simdcas!D18/T_simd!D42*1000000</f>
        <v>152.63104835860381</v>
      </c>
      <c r="L31" s="843">
        <f>T_simdcas!E18/T_simd!E42*1000000</f>
        <v>123.58373977603985</v>
      </c>
      <c r="M31" s="843">
        <f>T_simdcas!F18/T_simd!F42*1000000</f>
        <v>81.042351996404662</v>
      </c>
      <c r="N31" s="852">
        <f>'Deprivation Casualty'!P29/T_simd!H42*1000000</f>
        <v>173.70520927431497</v>
      </c>
    </row>
    <row r="32" spans="1:21" x14ac:dyDescent="0.2">
      <c r="A32" s="117" t="str">
        <f t="shared" si="0"/>
        <v>2013-14</v>
      </c>
      <c r="B32" s="594">
        <f>T_simdcas!B5/T_simd!B43*1000000</f>
        <v>380.14069006939468</v>
      </c>
      <c r="C32" s="594">
        <f>T_simdcas!C5/T_simd!C43*1000000</f>
        <v>231.05316504802673</v>
      </c>
      <c r="D32" s="594">
        <f>T_simdcas!D5/T_simd!D43*1000000</f>
        <v>185.46395644515493</v>
      </c>
      <c r="E32" s="594">
        <f>T_simdcas!E5/T_simd!E43*1000000</f>
        <v>137.77319158627554</v>
      </c>
      <c r="F32" s="594">
        <f>T_simdcas!F5/T_simd!F43*1000000</f>
        <v>93.186427670887454</v>
      </c>
      <c r="G32" s="853">
        <f>T_simdcas!H5/T_simd!H43*1000000</f>
        <v>204.40340109240384</v>
      </c>
      <c r="H32" s="594"/>
      <c r="I32" s="594">
        <f>T_simdcas!B19/T_simd!B43*1000000</f>
        <v>363.98471074144538</v>
      </c>
      <c r="J32" s="594">
        <f>T_simdcas!C19/T_simd!C43*1000000</f>
        <v>201.5772468731756</v>
      </c>
      <c r="K32" s="594">
        <f>T_simdcas!D19/T_simd!D43*1000000</f>
        <v>151.57206592725859</v>
      </c>
      <c r="L32" s="594">
        <f>T_simdcas!E19/T_simd!E43*1000000</f>
        <v>102.1583529449254</v>
      </c>
      <c r="M32" s="594">
        <f>T_simdcas!F19/T_simd!F43*1000000</f>
        <v>70.346616967238575</v>
      </c>
      <c r="N32" s="853">
        <f>'Deprivation Casualty'!P30/T_simd!H43*1000000</f>
        <v>176.8117574187736</v>
      </c>
    </row>
    <row r="33" spans="1:14" x14ac:dyDescent="0.2">
      <c r="A33" s="117" t="str">
        <f t="shared" si="0"/>
        <v>2014-15</v>
      </c>
      <c r="B33" s="594">
        <f>T_simdcas!B6/T_simd!B44*1000000</f>
        <v>315.62175584565716</v>
      </c>
      <c r="C33" s="594">
        <f>T_simdcas!C6/T_simd!C44*1000000</f>
        <v>203.33140453543049</v>
      </c>
      <c r="D33" s="594">
        <f>T_simdcas!D6/T_simd!D44*1000000</f>
        <v>156.08369094676982</v>
      </c>
      <c r="E33" s="594">
        <f>T_simdcas!E6/T_simd!E44*1000000</f>
        <v>109.56940153750013</v>
      </c>
      <c r="F33" s="594">
        <f>T_simdcas!F6/T_simd!F44*1000000</f>
        <v>50.781490872027014</v>
      </c>
      <c r="G33" s="853">
        <f>T_simdcas!H6/T_simd!H44*1000000</f>
        <v>165.68180118183858</v>
      </c>
      <c r="H33" s="594"/>
      <c r="I33" s="594">
        <f>T_simdcas!B20/T_simd!B44*1000000</f>
        <v>295.65772912048004</v>
      </c>
      <c r="J33" s="594">
        <f>T_simdcas!C20/T_simd!C44*1000000</f>
        <v>176.72729553079472</v>
      </c>
      <c r="K33" s="594">
        <f>T_simdcas!D20/T_simd!D44*1000000</f>
        <v>130.69658458795789</v>
      </c>
      <c r="L33" s="594">
        <f>T_simdcas!E20/T_simd!E44*1000000</f>
        <v>76.141448526059406</v>
      </c>
      <c r="M33" s="594">
        <f>T_simdcas!F20/T_simd!F44*1000000</f>
        <v>39.899742828021225</v>
      </c>
      <c r="N33" s="853">
        <f>'Deprivation Casualty'!P31/T_simd!H44*1000000</f>
        <v>142.4938290074052</v>
      </c>
    </row>
    <row r="34" spans="1:14" x14ac:dyDescent="0.2">
      <c r="A34" s="117" t="str">
        <f t="shared" si="0"/>
        <v>2015-16</v>
      </c>
      <c r="B34" s="594">
        <f>T_simdcas!B7/T_simd!B45*1000000</f>
        <v>390.82954519583217</v>
      </c>
      <c r="C34" s="594">
        <f>T_simdcas!C7/T_simd!C45*1000000</f>
        <v>225.50648947036294</v>
      </c>
      <c r="D34" s="594">
        <f>T_simdcas!D7/T_simd!D45*1000000</f>
        <v>166.98108517067249</v>
      </c>
      <c r="E34" s="594">
        <f>T_simdcas!E7/T_simd!E45*1000000</f>
        <v>109.42830606821337</v>
      </c>
      <c r="F34" s="594">
        <f>T_simdcas!F7/T_simd!F45*1000000</f>
        <v>61.262861822516086</v>
      </c>
      <c r="G34" s="853">
        <f>T_simdcas!H7/T_simd!H45*1000000</f>
        <v>189.27973199329983</v>
      </c>
      <c r="H34" s="594"/>
      <c r="I34" s="594">
        <f>T_simdcas!B21/T_simd!B45*1000000</f>
        <v>361.42246776604867</v>
      </c>
      <c r="J34" s="594">
        <f>T_simdcas!C21/T_simd!C45*1000000</f>
        <v>191.39626417232486</v>
      </c>
      <c r="K34" s="594">
        <f>T_simdcas!D21/T_simd!D45*1000000</f>
        <v>113.5096140766931</v>
      </c>
      <c r="L34" s="594">
        <f>T_simdcas!E21/T_simd!E45*1000000</f>
        <v>68.967419790890787</v>
      </c>
      <c r="M34" s="594">
        <f>T_simdcas!F21/T_simd!F45*1000000</f>
        <v>45.046221928320655</v>
      </c>
      <c r="N34" s="853">
        <f>'Deprivation Casualty'!P32/T_simd!H45*1000000</f>
        <v>154.28996836032013</v>
      </c>
    </row>
    <row r="35" spans="1:14" x14ac:dyDescent="0.2">
      <c r="A35" s="117" t="str">
        <f t="shared" si="0"/>
        <v>2016-17</v>
      </c>
      <c r="B35" s="594">
        <f>T_simdcas!B8/T_simd!B46*1000000</f>
        <v>349.48092637003606</v>
      </c>
      <c r="C35" s="594">
        <f>T_simdcas!C8/T_simd!C46*1000000</f>
        <v>223.07735207183092</v>
      </c>
      <c r="D35" s="594">
        <f>T_simdcas!D8/T_simd!D46*1000000</f>
        <v>130.75326019245014</v>
      </c>
      <c r="E35" s="594">
        <f>T_simdcas!E8/T_simd!E46*1000000</f>
        <v>99.162305951193957</v>
      </c>
      <c r="F35" s="594">
        <f>T_simdcas!F8/T_simd!F46*1000000</f>
        <v>72.442316687400677</v>
      </c>
      <c r="G35" s="853">
        <f>T_simdcas!H8/T_simd!H46*1000000</f>
        <v>173.18260032934299</v>
      </c>
      <c r="H35" s="594"/>
      <c r="I35" s="594">
        <f>T_simdcas!B22/T_simd!B46*1000000</f>
        <v>328.70097939668261</v>
      </c>
      <c r="J35" s="594">
        <f>T_simdcas!C22/T_simd!C46*1000000</f>
        <v>192.82957551971825</v>
      </c>
      <c r="K35" s="594">
        <f>T_simdcas!D22/T_simd!D46*1000000</f>
        <v>104.60260815396009</v>
      </c>
      <c r="L35" s="594">
        <f>T_simdcas!E22/T_simd!E46*1000000</f>
        <v>73.689420018777156</v>
      </c>
      <c r="M35" s="594">
        <f>T_simdcas!F22/T_simd!F46*1000000</f>
        <v>61.710121622600575</v>
      </c>
      <c r="N35" s="853">
        <f>'Deprivation Casualty'!P33/T_simd!H46*1000000</f>
        <v>150.60965455992007</v>
      </c>
    </row>
    <row r="36" spans="1:14" x14ac:dyDescent="0.2">
      <c r="A36" s="117" t="str">
        <f t="shared" si="0"/>
        <v>2017-18</v>
      </c>
      <c r="B36" s="594">
        <f>T_simdcas!B9/T_simd!B47*1000000</f>
        <v>322.8583727938011</v>
      </c>
      <c r="C36" s="594">
        <f>T_simdcas!C9/T_simd!C47*1000000</f>
        <v>200.16919962534371</v>
      </c>
      <c r="D36" s="594">
        <f>T_simdcas!D9/T_simd!D47*1000000</f>
        <v>131.45272037209509</v>
      </c>
      <c r="E36" s="594">
        <f>T_simdcas!E9/T_simd!E47*1000000</f>
        <v>99.953085083487849</v>
      </c>
      <c r="F36" s="594">
        <f>T_simdcas!F9/T_simd!F47*1000000</f>
        <v>65.879788971011109</v>
      </c>
      <c r="G36" s="853">
        <f>T_simdcas!H9/T_simd!H47*1000000</f>
        <v>162.40230054564225</v>
      </c>
      <c r="H36" s="594"/>
      <c r="I36" s="594">
        <f>T_simdcas!B23/T_simd!B47*1000000</f>
        <v>296.42552355922089</v>
      </c>
      <c r="J36" s="594">
        <f>T_simdcas!C23/T_simd!C47*1000000</f>
        <v>170.89917515182643</v>
      </c>
      <c r="K36" s="594">
        <f>T_simdcas!D23/T_simd!D47*1000000</f>
        <v>101.61947886920828</v>
      </c>
      <c r="L36" s="594">
        <f>T_simdcas!E23/T_simd!E47*1000000</f>
        <v>67.535868299653956</v>
      </c>
      <c r="M36" s="594">
        <f>T_simdcas!F23/T_simd!F47*1000000</f>
        <v>51.635510274576276</v>
      </c>
      <c r="N36" s="853">
        <f>'Deprivation Casualty'!P34/T_simd!H47*1000000</f>
        <v>135.8575431352308</v>
      </c>
    </row>
    <row r="37" spans="1:14" x14ac:dyDescent="0.2">
      <c r="A37" s="117" t="str">
        <f t="shared" ref="A37:A39" si="1">A18</f>
        <v>2018-19</v>
      </c>
      <c r="B37" s="594">
        <f>T_simdcas!B10/T_simd!B48*1000000</f>
        <v>381.42714175116595</v>
      </c>
      <c r="C37" s="594">
        <f>T_simdcas!C10/T_simd!C48*1000000</f>
        <v>205.08148444972005</v>
      </c>
      <c r="D37" s="594">
        <f>T_simdcas!D10/T_simd!D48*1000000</f>
        <v>152.55728805234574</v>
      </c>
      <c r="E37" s="594">
        <f>T_simdcas!E10/T_simd!E48*1000000</f>
        <v>80.343369708050048</v>
      </c>
      <c r="F37" s="594">
        <f>T_simdcas!F10/T_simd!F48*1000000</f>
        <v>65.742364557402851</v>
      </c>
      <c r="G37" s="853">
        <f>T_simdcas!H10/T_simd!H48*1000000</f>
        <v>174.50947941376583</v>
      </c>
      <c r="H37" s="594"/>
      <c r="I37" s="594">
        <f>T_simdcas!B24/T_simd!B48*1000000</f>
        <v>353.10334409637647</v>
      </c>
      <c r="J37" s="594">
        <f>T_simdcas!C24/T_simd!C48*1000000</f>
        <v>172.00382566750716</v>
      </c>
      <c r="K37" s="594">
        <f>T_simdcas!D24/T_simd!D48*1000000</f>
        <v>111.6272839407408</v>
      </c>
      <c r="L37" s="594">
        <f>T_simdcas!E24/T_simd!E48*1000000</f>
        <v>53.562246472033365</v>
      </c>
      <c r="M37" s="594">
        <f>T_simdcas!F24/T_simd!F48*1000000</f>
        <v>50.639388915837337</v>
      </c>
      <c r="N37" s="853">
        <f>'Deprivation Casualty'!P35/T_simd!H48*1000000</f>
        <v>145.82298964711939</v>
      </c>
    </row>
    <row r="38" spans="1:14" x14ac:dyDescent="0.2">
      <c r="A38" s="117" t="str">
        <f t="shared" si="1"/>
        <v>2019-20</v>
      </c>
      <c r="B38" s="594">
        <f>T_simdcas!B11/T_simd!B49*1000000</f>
        <v>294.07911293674755</v>
      </c>
      <c r="C38" s="594">
        <f>T_simdcas!C11/T_simd!C49*1000000</f>
        <v>171.54857463871116</v>
      </c>
      <c r="D38" s="594">
        <f>T_simdcas!D11/T_simd!D49*1000000</f>
        <v>123.35396652562888</v>
      </c>
      <c r="E38" s="594">
        <f>T_simdcas!E11/T_simd!E49*1000000</f>
        <v>95.370554341347102</v>
      </c>
      <c r="F38" s="594">
        <f>T_simdcas!F11/T_simd!F49*1000000</f>
        <v>64.555267267649668</v>
      </c>
      <c r="G38" s="853">
        <f>T_simdcas!H11/T_simd!H49*1000000</f>
        <v>147.8959603170245</v>
      </c>
      <c r="H38" s="594"/>
      <c r="I38" s="594">
        <f>T_simdcas!B25/T_simd!B49*1000000</f>
        <v>271.45764271084386</v>
      </c>
      <c r="J38" s="594">
        <f>T_simdcas!C25/T_simd!C49*1000000</f>
        <v>139.50103871719369</v>
      </c>
      <c r="K38" s="594">
        <f>T_simdcas!D25/T_simd!D49*1000000</f>
        <v>90.892396387305496</v>
      </c>
      <c r="L38" s="594">
        <f>T_simdcas!E25/T_simd!E49*1000000</f>
        <v>66.229551625935486</v>
      </c>
      <c r="M38" s="594">
        <f>T_simdcas!F25/T_simd!F49*1000000</f>
        <v>54.827761241017534</v>
      </c>
      <c r="N38" s="853">
        <f>'Deprivation Casualty'!P36/T_simd!H49*1000000</f>
        <v>122.81954130287555</v>
      </c>
    </row>
    <row r="39" spans="1:14" ht="13.5" thickBot="1" x14ac:dyDescent="0.25">
      <c r="A39" s="842" t="str">
        <f t="shared" si="1"/>
        <v>2020-21</v>
      </c>
      <c r="B39" s="844">
        <f>T_simdcas!B12/T_simd!B50*1000000</f>
        <v>286.45249851810462</v>
      </c>
      <c r="C39" s="844">
        <f>T_simdcas!C12/T_simd!C50*1000000</f>
        <v>159.746069915845</v>
      </c>
      <c r="D39" s="844">
        <f>T_simdcas!D12/T_simd!D50*1000000</f>
        <v>93.727757057653704</v>
      </c>
      <c r="E39" s="844">
        <f>T_simdcas!E12/T_simd!E50*1000000</f>
        <v>71.901568506411522</v>
      </c>
      <c r="F39" s="844">
        <f>T_simdcas!F12/T_simd!F50*1000000</f>
        <v>33.560988706727301</v>
      </c>
      <c r="G39" s="854">
        <f>T_simdcas!H12/T_simd!H50*1000000</f>
        <v>126.78375411635565</v>
      </c>
      <c r="H39" s="594"/>
      <c r="I39" s="844">
        <f>T_simdcas!B26/T_simd!B50*1000000</f>
        <v>272.27168175978261</v>
      </c>
      <c r="J39" s="844">
        <f>T_simdcas!C26/T_simd!C50*1000000</f>
        <v>137.06023750176053</v>
      </c>
      <c r="K39" s="844">
        <f>T_simdcas!D26/T_simd!D50*1000000</f>
        <v>61.247841245595488</v>
      </c>
      <c r="L39" s="844">
        <f>T_simdcas!E26/T_simd!E50*1000000</f>
        <v>45.596116613821941</v>
      </c>
      <c r="M39" s="844">
        <f>T_simdcas!F26/T_simd!F50*1000000</f>
        <v>29.145069140052655</v>
      </c>
      <c r="N39" s="854">
        <f>'Deprivation Casualty'!P37/T_simd!H50*1000000</f>
        <v>106.84229784120014</v>
      </c>
    </row>
    <row r="40" spans="1:14" ht="18" customHeight="1" x14ac:dyDescent="0.2">
      <c r="B40" s="594"/>
      <c r="C40" s="594"/>
      <c r="D40" s="594"/>
      <c r="E40" s="594"/>
      <c r="F40" s="594"/>
      <c r="G40" s="594"/>
      <c r="H40" s="594"/>
      <c r="I40" s="594"/>
      <c r="J40" s="594"/>
      <c r="K40" s="594"/>
      <c r="L40" s="594"/>
      <c r="M40" s="594"/>
      <c r="N40" s="594"/>
    </row>
    <row r="41" spans="1:14" ht="13.5" thickBot="1" x14ac:dyDescent="0.25">
      <c r="A41" s="788" t="s">
        <v>1439</v>
      </c>
      <c r="B41" s="855">
        <f>SUM('Deprivation Casualty'!B30:B37)/SUM(T_simd!B43:B50)*1000000</f>
        <v>340.06810115080225</v>
      </c>
      <c r="C41" s="855">
        <f>SUM('Deprivation Casualty'!C30:C37)/SUM(T_simd!C43:C50)*1000000</f>
        <v>202.39948074064253</v>
      </c>
      <c r="D41" s="855">
        <f>SUM('Deprivation Casualty'!D30:D37)/SUM(T_simd!D43:D50)*1000000</f>
        <v>142.42581278733968</v>
      </c>
      <c r="E41" s="855">
        <f>SUM('Deprivation Casualty'!E30:E37)/SUM(T_simd!E43:E50)*1000000</f>
        <v>100.06590313213069</v>
      </c>
      <c r="F41" s="855">
        <f>SUM('Deprivation Casualty'!F30:F37)/SUM(T_simd!F43:F50)*1000000</f>
        <v>63.3294436821663</v>
      </c>
      <c r="G41" s="855">
        <f>SUM('Deprivation Casualty'!H30:H37)/SUM(T_simd!H43:H50)*1000000</f>
        <v>167.85677948072851</v>
      </c>
      <c r="H41" s="594"/>
      <c r="I41" s="594"/>
      <c r="J41" s="594"/>
      <c r="K41" s="594"/>
      <c r="L41" s="594"/>
      <c r="M41" s="594"/>
      <c r="N41" s="594"/>
    </row>
    <row r="44" spans="1:14" x14ac:dyDescent="0.2">
      <c r="A44" s="117" t="s">
        <v>1231</v>
      </c>
    </row>
    <row r="45" spans="1:14" ht="15" x14ac:dyDescent="0.25">
      <c r="A45" s="1109" t="s">
        <v>1558</v>
      </c>
    </row>
    <row r="46" spans="1:14" ht="15" x14ac:dyDescent="0.25">
      <c r="A46" s="1109" t="s">
        <v>1239</v>
      </c>
    </row>
    <row r="47" spans="1:14" x14ac:dyDescent="0.2">
      <c r="A47" s="629" t="s">
        <v>1238</v>
      </c>
    </row>
  </sheetData>
  <sheetProtection algorithmName="SHA-512" hashValue="lt1Cz4IzCjX4kVSICrJe6+yhRbEHnJ3f9FJDZZy2UD4GfY0k6C37Tc+0STbMcabYVN6eX+mzXmNGh2RmvTpIxQ==" saltValue="Xu1vuokNoxaMYi7Y0vOAaQ==" spinCount="100000" sheet="1" scenarios="1" formatCells="0" formatColumns="0" formatRows="0" sort="0" autoFilter="0" pivotTables="0"/>
  <mergeCells count="2">
    <mergeCell ref="B8:G8"/>
    <mergeCell ref="B27:G27"/>
  </mergeCells>
  <hyperlinks>
    <hyperlink ref="A2" location="'Table of Contents'!A1" display="Back to Table of Contents" xr:uid="{00000000-0004-0000-9000-000000000000}"/>
    <hyperlink ref="A47" r:id="rId1" xr:uid="{00000000-0004-0000-9000-000001000000}"/>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8497B0"/>
  </sheetPr>
  <dimension ref="A1:J84"/>
  <sheetViews>
    <sheetView showGridLines="0" workbookViewId="0">
      <pane ySplit="2" topLeftCell="A3" activePane="bottomLeft" state="frozen"/>
      <selection activeCellId="1" sqref="A1 A1"/>
      <selection pane="bottomLeft"/>
    </sheetView>
  </sheetViews>
  <sheetFormatPr defaultColWidth="9.140625" defaultRowHeight="12.75" x14ac:dyDescent="0.2"/>
  <cols>
    <col min="1" max="1" width="16.85546875" customWidth="1"/>
    <col min="2" max="8" width="15" customWidth="1"/>
    <col min="9" max="9" width="10.5703125" customWidth="1"/>
    <col min="10" max="10" width="13.5703125" customWidth="1"/>
  </cols>
  <sheetData>
    <row r="1" spans="1:10" ht="15.75" x14ac:dyDescent="0.2">
      <c r="A1" s="298" t="s">
        <v>1137</v>
      </c>
    </row>
    <row r="2" spans="1:10" ht="17.25" customHeight="1" x14ac:dyDescent="0.2">
      <c r="A2" s="106" t="s">
        <v>578</v>
      </c>
    </row>
    <row r="3" spans="1:10" ht="33" customHeight="1" x14ac:dyDescent="0.2">
      <c r="A3" s="120" t="s">
        <v>867</v>
      </c>
      <c r="B3" s="120"/>
      <c r="C3" s="120"/>
      <c r="D3" s="120"/>
      <c r="E3" s="120"/>
      <c r="F3" s="120"/>
      <c r="G3" s="120"/>
    </row>
    <row r="4" spans="1:10" ht="15.75" x14ac:dyDescent="0.25">
      <c r="A4" s="351" t="s">
        <v>579</v>
      </c>
      <c r="B4" s="1043" t="s">
        <v>1399</v>
      </c>
      <c r="D4" s="197"/>
      <c r="E4" s="197"/>
      <c r="F4" s="197"/>
      <c r="G4" s="197"/>
    </row>
    <row r="5" spans="1:10" ht="15.75" x14ac:dyDescent="0.25">
      <c r="A5" s="351" t="s">
        <v>580</v>
      </c>
      <c r="B5" s="351" t="s">
        <v>581</v>
      </c>
      <c r="C5" s="197"/>
      <c r="D5" s="197"/>
      <c r="E5" s="197"/>
      <c r="F5" s="197"/>
      <c r="G5" s="197"/>
    </row>
    <row r="6" spans="1:10" ht="15.75" x14ac:dyDescent="0.25">
      <c r="A6" s="351" t="s">
        <v>582</v>
      </c>
      <c r="B6" s="351" t="s">
        <v>585</v>
      </c>
      <c r="C6" s="197"/>
      <c r="D6" s="197"/>
      <c r="E6" s="197"/>
      <c r="F6" s="197"/>
      <c r="G6" s="197"/>
    </row>
    <row r="7" spans="1:10" x14ac:dyDescent="0.2">
      <c r="A7" s="29"/>
      <c r="B7" s="57"/>
      <c r="C7" s="57"/>
      <c r="D7" s="57"/>
      <c r="E7" s="57"/>
      <c r="F7" s="57"/>
      <c r="G7" s="57"/>
      <c r="H7" s="57"/>
      <c r="I7" s="57"/>
      <c r="J7" s="3"/>
    </row>
    <row r="8" spans="1:10" x14ac:dyDescent="0.2">
      <c r="A8" s="29"/>
      <c r="B8" s="57"/>
      <c r="C8" s="57"/>
      <c r="D8" s="57"/>
      <c r="E8" s="57"/>
      <c r="F8" s="57"/>
      <c r="G8" s="57"/>
      <c r="H8" s="57"/>
      <c r="I8" s="57"/>
      <c r="J8" s="3"/>
    </row>
    <row r="9" spans="1:10" ht="15" x14ac:dyDescent="0.25">
      <c r="B9" s="708" t="s">
        <v>651</v>
      </c>
    </row>
    <row r="10" spans="1:10" ht="30" x14ac:dyDescent="0.25">
      <c r="A10" s="136" t="s">
        <v>4</v>
      </c>
      <c r="B10" s="840" t="s">
        <v>1006</v>
      </c>
      <c r="C10" s="840" t="s">
        <v>1007</v>
      </c>
      <c r="D10" s="840" t="s">
        <v>1008</v>
      </c>
      <c r="E10" s="840" t="s">
        <v>1009</v>
      </c>
      <c r="F10" s="840" t="s">
        <v>1010</v>
      </c>
      <c r="G10" s="840" t="s">
        <v>1011</v>
      </c>
      <c r="H10" s="845" t="s">
        <v>168</v>
      </c>
      <c r="I10" s="841" t="s">
        <v>11</v>
      </c>
    </row>
    <row r="11" spans="1:10" x14ac:dyDescent="0.2">
      <c r="A11" s="400" t="str">
        <f>T_ur!A6</f>
        <v>2012-13</v>
      </c>
      <c r="B11" s="354">
        <f>T_ur!B6</f>
        <v>2817</v>
      </c>
      <c r="C11" s="354">
        <f>T_ur!C6</f>
        <v>1945</v>
      </c>
      <c r="D11" s="354">
        <f>T_ur!D6</f>
        <v>356</v>
      </c>
      <c r="E11" s="354">
        <f>T_ur!E6</f>
        <v>143</v>
      </c>
      <c r="F11" s="354">
        <f>T_ur!F6</f>
        <v>373</v>
      </c>
      <c r="G11" s="354">
        <f>T_ur!G6</f>
        <v>194</v>
      </c>
      <c r="H11" s="354">
        <f>T_ur!H6</f>
        <v>1</v>
      </c>
      <c r="I11" s="355">
        <f>T_ur!I6</f>
        <v>5829</v>
      </c>
    </row>
    <row r="12" spans="1:10" x14ac:dyDescent="0.2">
      <c r="A12" s="117" t="str">
        <f>T_ur!A7</f>
        <v>2013-14</v>
      </c>
      <c r="B12" s="191">
        <f>T_ur!B7</f>
        <v>2519</v>
      </c>
      <c r="C12" s="191">
        <f>T_ur!C7</f>
        <v>1741</v>
      </c>
      <c r="D12" s="191">
        <f>T_ur!D7</f>
        <v>327</v>
      </c>
      <c r="E12" s="191">
        <f>T_ur!E7</f>
        <v>173</v>
      </c>
      <c r="F12" s="191">
        <f>T_ur!F7</f>
        <v>360</v>
      </c>
      <c r="G12" s="191">
        <f>T_ur!G7</f>
        <v>203</v>
      </c>
      <c r="H12" s="191">
        <f>T_ur!H7</f>
        <v>0</v>
      </c>
      <c r="I12" s="353">
        <f>T_ur!I7</f>
        <v>5323</v>
      </c>
    </row>
    <row r="13" spans="1:10" x14ac:dyDescent="0.2">
      <c r="A13" s="117" t="str">
        <f>T_ur!A8</f>
        <v>2014-15</v>
      </c>
      <c r="B13" s="191">
        <f>T_ur!B8</f>
        <v>2580</v>
      </c>
      <c r="C13" s="191">
        <f>T_ur!C8</f>
        <v>1919</v>
      </c>
      <c r="D13" s="191">
        <f>T_ur!D8</f>
        <v>300</v>
      </c>
      <c r="E13" s="191">
        <f>T_ur!E8</f>
        <v>175</v>
      </c>
      <c r="F13" s="191">
        <f>T_ur!F8</f>
        <v>364</v>
      </c>
      <c r="G13" s="191">
        <f>T_ur!G8</f>
        <v>235</v>
      </c>
      <c r="H13" s="191">
        <f>T_ur!H8</f>
        <v>1</v>
      </c>
      <c r="I13" s="353">
        <f>T_ur!I8</f>
        <v>5574</v>
      </c>
    </row>
    <row r="14" spans="1:10" x14ac:dyDescent="0.2">
      <c r="A14" s="117" t="str">
        <f>T_ur!A9</f>
        <v>2015-16</v>
      </c>
      <c r="B14" s="191">
        <f>T_ur!B9</f>
        <v>2641</v>
      </c>
      <c r="C14" s="191">
        <f>T_ur!C9</f>
        <v>1930</v>
      </c>
      <c r="D14" s="191">
        <f>T_ur!D9</f>
        <v>372</v>
      </c>
      <c r="E14" s="191">
        <f>T_ur!E9</f>
        <v>168</v>
      </c>
      <c r="F14" s="191">
        <f>T_ur!F9</f>
        <v>360</v>
      </c>
      <c r="G14" s="191">
        <f>T_ur!G9</f>
        <v>202</v>
      </c>
      <c r="H14" s="191">
        <f>T_ur!H9</f>
        <v>0</v>
      </c>
      <c r="I14" s="353">
        <f>T_ur!I9</f>
        <v>5673</v>
      </c>
    </row>
    <row r="15" spans="1:10" x14ac:dyDescent="0.2">
      <c r="A15" s="117" t="str">
        <f>T_ur!A10</f>
        <v>2016-17</v>
      </c>
      <c r="B15" s="191">
        <f>T_ur!B10</f>
        <v>2543</v>
      </c>
      <c r="C15" s="191">
        <f>T_ur!C10</f>
        <v>1894</v>
      </c>
      <c r="D15" s="191">
        <f>T_ur!D10</f>
        <v>360</v>
      </c>
      <c r="E15" s="191">
        <f>T_ur!E10</f>
        <v>183</v>
      </c>
      <c r="F15" s="191">
        <f>T_ur!F10</f>
        <v>379</v>
      </c>
      <c r="G15" s="191">
        <f>T_ur!G10</f>
        <v>181</v>
      </c>
      <c r="H15" s="191">
        <f>T_ur!H10</f>
        <v>0</v>
      </c>
      <c r="I15" s="353">
        <f>T_ur!I10</f>
        <v>5540</v>
      </c>
    </row>
    <row r="16" spans="1:10" x14ac:dyDescent="0.2">
      <c r="A16" s="117" t="str">
        <f>T_ur!A11</f>
        <v>2017-18</v>
      </c>
      <c r="B16" s="191">
        <f>T_ur!B11</f>
        <v>2415</v>
      </c>
      <c r="C16" s="191">
        <f>T_ur!C11</f>
        <v>1903</v>
      </c>
      <c r="D16" s="191">
        <f>T_ur!D11</f>
        <v>324</v>
      </c>
      <c r="E16" s="191">
        <f>T_ur!E11</f>
        <v>143</v>
      </c>
      <c r="F16" s="191">
        <f>T_ur!F11</f>
        <v>326</v>
      </c>
      <c r="G16" s="191">
        <f>T_ur!G11</f>
        <v>200</v>
      </c>
      <c r="H16" s="191">
        <f>T_ur!H11</f>
        <v>0</v>
      </c>
      <c r="I16" s="353">
        <f>T_ur!I11</f>
        <v>5311</v>
      </c>
    </row>
    <row r="17" spans="1:10" x14ac:dyDescent="0.2">
      <c r="A17" s="117" t="str">
        <f>T_ur!A12</f>
        <v>2018-19</v>
      </c>
      <c r="B17" s="191">
        <f>T_ur!B12</f>
        <v>2315</v>
      </c>
      <c r="C17" s="191">
        <f>T_ur!C12</f>
        <v>1775</v>
      </c>
      <c r="D17" s="191">
        <f>T_ur!D12</f>
        <v>334</v>
      </c>
      <c r="E17" s="191">
        <f>T_ur!E12</f>
        <v>166</v>
      </c>
      <c r="F17" s="191">
        <f>T_ur!F12</f>
        <v>337</v>
      </c>
      <c r="G17" s="191">
        <f>T_ur!G12</f>
        <v>218</v>
      </c>
      <c r="H17" s="191">
        <f>T_ur!H12</f>
        <v>0</v>
      </c>
      <c r="I17" s="353">
        <f>T_ur!I12</f>
        <v>5145</v>
      </c>
    </row>
    <row r="18" spans="1:10" x14ac:dyDescent="0.2">
      <c r="A18" s="117" t="str">
        <f>T_ur!A13</f>
        <v>2019-20</v>
      </c>
      <c r="B18" s="191">
        <f>T_ur!B13</f>
        <v>2215</v>
      </c>
      <c r="C18" s="191">
        <f>T_ur!C13</f>
        <v>1692</v>
      </c>
      <c r="D18" s="191">
        <f>T_ur!D13</f>
        <v>318</v>
      </c>
      <c r="E18" s="191">
        <f>T_ur!E13</f>
        <v>134</v>
      </c>
      <c r="F18" s="191">
        <f>T_ur!F13</f>
        <v>342</v>
      </c>
      <c r="G18" s="191">
        <f>T_ur!G13</f>
        <v>188</v>
      </c>
      <c r="H18" s="191">
        <f>T_ur!H13</f>
        <v>1</v>
      </c>
      <c r="I18" s="353">
        <f>T_ur!I13</f>
        <v>4890</v>
      </c>
      <c r="J18" s="191"/>
    </row>
    <row r="19" spans="1:10" ht="13.5" thickBot="1" x14ac:dyDescent="0.25">
      <c r="A19" s="842" t="str">
        <f>T_ur!A14</f>
        <v>2020-21</v>
      </c>
      <c r="B19" s="492">
        <f>T_ur!B14</f>
        <v>2049</v>
      </c>
      <c r="C19" s="492">
        <f>T_ur!C14</f>
        <v>1699</v>
      </c>
      <c r="D19" s="492">
        <f>T_ur!D14</f>
        <v>307</v>
      </c>
      <c r="E19" s="492">
        <f>T_ur!E14</f>
        <v>155</v>
      </c>
      <c r="F19" s="492">
        <f>T_ur!F14</f>
        <v>260</v>
      </c>
      <c r="G19" s="492">
        <f>T_ur!G14</f>
        <v>190</v>
      </c>
      <c r="H19" s="492">
        <f>T_ur!H14</f>
        <v>1</v>
      </c>
      <c r="I19" s="712">
        <f>T_ur!I14</f>
        <v>4661</v>
      </c>
      <c r="J19" s="191"/>
    </row>
    <row r="21" spans="1:10" ht="15" x14ac:dyDescent="0.25">
      <c r="B21" s="708" t="s">
        <v>6</v>
      </c>
    </row>
    <row r="22" spans="1:10" ht="30" x14ac:dyDescent="0.25">
      <c r="A22" s="136" t="s">
        <v>4</v>
      </c>
      <c r="B22" s="840" t="s">
        <v>1006</v>
      </c>
      <c r="C22" s="840" t="s">
        <v>1007</v>
      </c>
      <c r="D22" s="840" t="s">
        <v>1008</v>
      </c>
      <c r="E22" s="840" t="s">
        <v>1009</v>
      </c>
      <c r="F22" s="840" t="s">
        <v>1010</v>
      </c>
      <c r="G22" s="840" t="s">
        <v>1011</v>
      </c>
      <c r="H22" s="845" t="s">
        <v>168</v>
      </c>
      <c r="I22" s="841" t="s">
        <v>11</v>
      </c>
    </row>
    <row r="23" spans="1:10" x14ac:dyDescent="0.2">
      <c r="A23" s="400" t="str">
        <f t="shared" ref="A23:A28" si="0">A11</f>
        <v>2012-13</v>
      </c>
      <c r="B23" s="354">
        <f>T_ur!J6</f>
        <v>1032</v>
      </c>
      <c r="C23" s="354">
        <f>T_ur!K6</f>
        <v>789</v>
      </c>
      <c r="D23" s="354">
        <f>T_ur!L6</f>
        <v>126</v>
      </c>
      <c r="E23" s="354">
        <f>T_ur!M6</f>
        <v>81</v>
      </c>
      <c r="F23" s="354">
        <f>T_ur!N6</f>
        <v>226</v>
      </c>
      <c r="G23" s="354">
        <f>T_ur!O6</f>
        <v>154</v>
      </c>
      <c r="H23" s="354">
        <f>T_ur!P6</f>
        <v>0</v>
      </c>
      <c r="I23" s="355">
        <f>T_ur!Q6</f>
        <v>2408</v>
      </c>
    </row>
    <row r="24" spans="1:10" x14ac:dyDescent="0.2">
      <c r="A24" s="117" t="str">
        <f t="shared" si="0"/>
        <v>2013-14</v>
      </c>
      <c r="B24" s="191">
        <f>T_ur!J7</f>
        <v>1017</v>
      </c>
      <c r="C24" s="191">
        <f>T_ur!K7</f>
        <v>762</v>
      </c>
      <c r="D24" s="191">
        <f>T_ur!L7</f>
        <v>121</v>
      </c>
      <c r="E24" s="191">
        <f>T_ur!M7</f>
        <v>87</v>
      </c>
      <c r="F24" s="191">
        <f>T_ur!N7</f>
        <v>242</v>
      </c>
      <c r="G24" s="191">
        <f>T_ur!O7</f>
        <v>117</v>
      </c>
      <c r="H24" s="191">
        <f>T_ur!P7</f>
        <v>0</v>
      </c>
      <c r="I24" s="353">
        <f>T_ur!Q7</f>
        <v>2346</v>
      </c>
    </row>
    <row r="25" spans="1:10" x14ac:dyDescent="0.2">
      <c r="A25" s="117" t="str">
        <f t="shared" si="0"/>
        <v>2014-15</v>
      </c>
      <c r="B25" s="191">
        <f>T_ur!J8</f>
        <v>995</v>
      </c>
      <c r="C25" s="191">
        <f>T_ur!K8</f>
        <v>778</v>
      </c>
      <c r="D25" s="191">
        <f>T_ur!L8</f>
        <v>104</v>
      </c>
      <c r="E25" s="191">
        <f>T_ur!M8</f>
        <v>76</v>
      </c>
      <c r="F25" s="191">
        <f>T_ur!N8</f>
        <v>254</v>
      </c>
      <c r="G25" s="191">
        <f>T_ur!O8</f>
        <v>117</v>
      </c>
      <c r="H25" s="191">
        <f>T_ur!P8</f>
        <v>0</v>
      </c>
      <c r="I25" s="353">
        <f>T_ur!Q8</f>
        <v>2324</v>
      </c>
    </row>
    <row r="26" spans="1:10" x14ac:dyDescent="0.2">
      <c r="A26" s="117" t="str">
        <f t="shared" si="0"/>
        <v>2015-16</v>
      </c>
      <c r="B26" s="191">
        <f>T_ur!J9</f>
        <v>1067</v>
      </c>
      <c r="C26" s="191">
        <f>T_ur!K9</f>
        <v>861</v>
      </c>
      <c r="D26" s="191">
        <f>T_ur!L9</f>
        <v>129</v>
      </c>
      <c r="E26" s="191">
        <f>T_ur!M9</f>
        <v>76</v>
      </c>
      <c r="F26" s="191">
        <f>T_ur!N9</f>
        <v>224</v>
      </c>
      <c r="G26" s="191">
        <f>T_ur!O9</f>
        <v>135</v>
      </c>
      <c r="H26" s="191">
        <f>T_ur!P9</f>
        <v>2</v>
      </c>
      <c r="I26" s="353">
        <f>T_ur!Q9</f>
        <v>2494</v>
      </c>
    </row>
    <row r="27" spans="1:10" x14ac:dyDescent="0.2">
      <c r="A27" s="117" t="str">
        <f t="shared" si="0"/>
        <v>2016-17</v>
      </c>
      <c r="B27" s="191">
        <f>T_ur!J10</f>
        <v>980</v>
      </c>
      <c r="C27" s="191">
        <f>T_ur!K10</f>
        <v>746</v>
      </c>
      <c r="D27" s="191">
        <f>T_ur!L10</f>
        <v>128</v>
      </c>
      <c r="E27" s="191">
        <f>T_ur!M10</f>
        <v>75</v>
      </c>
      <c r="F27" s="191">
        <f>T_ur!N10</f>
        <v>233</v>
      </c>
      <c r="G27" s="191">
        <f>T_ur!O10</f>
        <v>115</v>
      </c>
      <c r="H27" s="191">
        <f>T_ur!P10</f>
        <v>0</v>
      </c>
      <c r="I27" s="353">
        <f>T_ur!Q10</f>
        <v>2277</v>
      </c>
    </row>
    <row r="28" spans="1:10" x14ac:dyDescent="0.2">
      <c r="A28" s="117" t="str">
        <f t="shared" si="0"/>
        <v>2017-18</v>
      </c>
      <c r="B28" s="191">
        <f>T_ur!J11</f>
        <v>885</v>
      </c>
      <c r="C28" s="191">
        <f>T_ur!K11</f>
        <v>810</v>
      </c>
      <c r="D28" s="191">
        <f>T_ur!L11</f>
        <v>145</v>
      </c>
      <c r="E28" s="191">
        <f>T_ur!M11</f>
        <v>59</v>
      </c>
      <c r="F28" s="191">
        <f>T_ur!N11</f>
        <v>265</v>
      </c>
      <c r="G28" s="191">
        <f>T_ur!O11</f>
        <v>122</v>
      </c>
      <c r="H28" s="191">
        <f>T_ur!P11</f>
        <v>1</v>
      </c>
      <c r="I28" s="353">
        <f>T_ur!Q11</f>
        <v>2287</v>
      </c>
    </row>
    <row r="29" spans="1:10" x14ac:dyDescent="0.2">
      <c r="A29" s="117" t="str">
        <f t="shared" ref="A29:A31" si="1">A17</f>
        <v>2018-19</v>
      </c>
      <c r="B29" s="191">
        <f>T_ur!J12</f>
        <v>907</v>
      </c>
      <c r="C29" s="191">
        <f>T_ur!K12</f>
        <v>747</v>
      </c>
      <c r="D29" s="191">
        <f>T_ur!L12</f>
        <v>140</v>
      </c>
      <c r="E29" s="191">
        <f>T_ur!M12</f>
        <v>66</v>
      </c>
      <c r="F29" s="191">
        <f>T_ur!N12</f>
        <v>234</v>
      </c>
      <c r="G29" s="191">
        <f>T_ur!O12</f>
        <v>158</v>
      </c>
      <c r="H29" s="191">
        <f>T_ur!P12</f>
        <v>0</v>
      </c>
      <c r="I29" s="353">
        <f>T_ur!Q12</f>
        <v>2252</v>
      </c>
    </row>
    <row r="30" spans="1:10" x14ac:dyDescent="0.2">
      <c r="A30" s="117" t="str">
        <f t="shared" si="1"/>
        <v>2019-20</v>
      </c>
      <c r="B30" s="191">
        <f>T_ur!J13</f>
        <v>815</v>
      </c>
      <c r="C30" s="191">
        <f>T_ur!K13</f>
        <v>664</v>
      </c>
      <c r="D30" s="191">
        <f>T_ur!L13</f>
        <v>113</v>
      </c>
      <c r="E30" s="191">
        <f>T_ur!M13</f>
        <v>61</v>
      </c>
      <c r="F30" s="191">
        <f>T_ur!N13</f>
        <v>204</v>
      </c>
      <c r="G30" s="191">
        <f>T_ur!O13</f>
        <v>122</v>
      </c>
      <c r="H30" s="191">
        <f>T_ur!P13</f>
        <v>1</v>
      </c>
      <c r="I30" s="353">
        <f>T_ur!Q13</f>
        <v>1980</v>
      </c>
    </row>
    <row r="31" spans="1:10" ht="13.5" thickBot="1" x14ac:dyDescent="0.25">
      <c r="A31" s="842" t="str">
        <f t="shared" si="1"/>
        <v>2020-21</v>
      </c>
      <c r="B31" s="492">
        <f>T_ur!J14</f>
        <v>617</v>
      </c>
      <c r="C31" s="492">
        <f>T_ur!K14</f>
        <v>584</v>
      </c>
      <c r="D31" s="492">
        <f>T_ur!L14</f>
        <v>99</v>
      </c>
      <c r="E31" s="492">
        <f>T_ur!M14</f>
        <v>63</v>
      </c>
      <c r="F31" s="492">
        <f>T_ur!N14</f>
        <v>219</v>
      </c>
      <c r="G31" s="492">
        <f>T_ur!O14</f>
        <v>135</v>
      </c>
      <c r="H31" s="492">
        <f>T_ur!P14</f>
        <v>1</v>
      </c>
      <c r="I31" s="712">
        <f>T_ur!Q14</f>
        <v>1718</v>
      </c>
    </row>
    <row r="33" spans="1:9" ht="15" x14ac:dyDescent="0.25">
      <c r="B33" s="708" t="s">
        <v>10</v>
      </c>
    </row>
    <row r="34" spans="1:9" ht="30" x14ac:dyDescent="0.25">
      <c r="A34" s="136" t="s">
        <v>4</v>
      </c>
      <c r="B34" s="840" t="s">
        <v>1006</v>
      </c>
      <c r="C34" s="840" t="s">
        <v>1007</v>
      </c>
      <c r="D34" s="840" t="s">
        <v>1008</v>
      </c>
      <c r="E34" s="840" t="s">
        <v>1009</v>
      </c>
      <c r="F34" s="840" t="s">
        <v>1010</v>
      </c>
      <c r="G34" s="840" t="s">
        <v>1011</v>
      </c>
      <c r="H34" s="845" t="s">
        <v>168</v>
      </c>
      <c r="I34" s="841" t="s">
        <v>11</v>
      </c>
    </row>
    <row r="35" spans="1:9" x14ac:dyDescent="0.2">
      <c r="A35" s="400" t="str">
        <f t="shared" ref="A35:A40" si="2">A23</f>
        <v>2012-13</v>
      </c>
      <c r="B35" s="354">
        <f>T_ur!R6</f>
        <v>678</v>
      </c>
      <c r="C35" s="354">
        <f>T_ur!S6</f>
        <v>634</v>
      </c>
      <c r="D35" s="354">
        <f>T_ur!T6</f>
        <v>148</v>
      </c>
      <c r="E35" s="354">
        <f>T_ur!U6</f>
        <v>36</v>
      </c>
      <c r="F35" s="354">
        <f>T_ur!V6</f>
        <v>383</v>
      </c>
      <c r="G35" s="354">
        <f>T_ur!W6</f>
        <v>151</v>
      </c>
      <c r="H35" s="354">
        <f>T_ur!X6</f>
        <v>4</v>
      </c>
      <c r="I35" s="355">
        <f>T_ur!Y6</f>
        <v>2034</v>
      </c>
    </row>
    <row r="36" spans="1:9" x14ac:dyDescent="0.2">
      <c r="A36" s="117" t="str">
        <f t="shared" si="2"/>
        <v>2013-14</v>
      </c>
      <c r="B36" s="191">
        <f>T_ur!R7</f>
        <v>737</v>
      </c>
      <c r="C36" s="191">
        <f>T_ur!S7</f>
        <v>546</v>
      </c>
      <c r="D36" s="191">
        <f>T_ur!T7</f>
        <v>112</v>
      </c>
      <c r="E36" s="191">
        <f>T_ur!U7</f>
        <v>44</v>
      </c>
      <c r="F36" s="191">
        <f>T_ur!V7</f>
        <v>363</v>
      </c>
      <c r="G36" s="191">
        <f>T_ur!W7</f>
        <v>133</v>
      </c>
      <c r="H36" s="191">
        <f>T_ur!X7</f>
        <v>3</v>
      </c>
      <c r="I36" s="353">
        <f>T_ur!Y7</f>
        <v>1938</v>
      </c>
    </row>
    <row r="37" spans="1:9" x14ac:dyDescent="0.2">
      <c r="A37" s="117" t="str">
        <f t="shared" si="2"/>
        <v>2014-15</v>
      </c>
      <c r="B37" s="191">
        <f>T_ur!R8</f>
        <v>692</v>
      </c>
      <c r="C37" s="191">
        <f>T_ur!S8</f>
        <v>564</v>
      </c>
      <c r="D37" s="191">
        <f>T_ur!T8</f>
        <v>98</v>
      </c>
      <c r="E37" s="191">
        <f>T_ur!U8</f>
        <v>35</v>
      </c>
      <c r="F37" s="191">
        <f>T_ur!V8</f>
        <v>364</v>
      </c>
      <c r="G37" s="191">
        <f>T_ur!W8</f>
        <v>143</v>
      </c>
      <c r="H37" s="191">
        <f>T_ur!X8</f>
        <v>1</v>
      </c>
      <c r="I37" s="353">
        <f>T_ur!Y8</f>
        <v>1897</v>
      </c>
    </row>
    <row r="38" spans="1:9" x14ac:dyDescent="0.2">
      <c r="A38" s="117" t="str">
        <f t="shared" si="2"/>
        <v>2015-16</v>
      </c>
      <c r="B38" s="191">
        <f>T_ur!R9</f>
        <v>725</v>
      </c>
      <c r="C38" s="191">
        <f>T_ur!S9</f>
        <v>579</v>
      </c>
      <c r="D38" s="191">
        <f>T_ur!T9</f>
        <v>108</v>
      </c>
      <c r="E38" s="191">
        <f>T_ur!U9</f>
        <v>33</v>
      </c>
      <c r="F38" s="191">
        <f>T_ur!V9</f>
        <v>380</v>
      </c>
      <c r="G38" s="191">
        <f>T_ur!W9</f>
        <v>139</v>
      </c>
      <c r="H38" s="191">
        <f>T_ur!X9</f>
        <v>1</v>
      </c>
      <c r="I38" s="353">
        <f>T_ur!Y9</f>
        <v>1965</v>
      </c>
    </row>
    <row r="39" spans="1:9" x14ac:dyDescent="0.2">
      <c r="A39" s="117" t="str">
        <f t="shared" si="2"/>
        <v>2016-17</v>
      </c>
      <c r="B39" s="191">
        <f>T_ur!R10</f>
        <v>795</v>
      </c>
      <c r="C39" s="191">
        <f>T_ur!S10</f>
        <v>604</v>
      </c>
      <c r="D39" s="191">
        <f>T_ur!T10</f>
        <v>132</v>
      </c>
      <c r="E39" s="191">
        <f>T_ur!U10</f>
        <v>29</v>
      </c>
      <c r="F39" s="191">
        <f>T_ur!V10</f>
        <v>414</v>
      </c>
      <c r="G39" s="191">
        <f>T_ur!W10</f>
        <v>145</v>
      </c>
      <c r="H39" s="191">
        <f>T_ur!X10</f>
        <v>1</v>
      </c>
      <c r="I39" s="353">
        <f>T_ur!Y10</f>
        <v>2120</v>
      </c>
    </row>
    <row r="40" spans="1:9" x14ac:dyDescent="0.2">
      <c r="A40" s="117" t="str">
        <f t="shared" si="2"/>
        <v>2017-18</v>
      </c>
      <c r="B40" s="191">
        <f>T_ur!R11</f>
        <v>726</v>
      </c>
      <c r="C40" s="191">
        <f>T_ur!S11</f>
        <v>636</v>
      </c>
      <c r="D40" s="191">
        <f>T_ur!T11</f>
        <v>120</v>
      </c>
      <c r="E40" s="191">
        <f>T_ur!U11</f>
        <v>39</v>
      </c>
      <c r="F40" s="191">
        <f>T_ur!V11</f>
        <v>368</v>
      </c>
      <c r="G40" s="191">
        <f>T_ur!W11</f>
        <v>125</v>
      </c>
      <c r="H40" s="191">
        <f>T_ur!X11</f>
        <v>2</v>
      </c>
      <c r="I40" s="353">
        <f>T_ur!Y11</f>
        <v>2016</v>
      </c>
    </row>
    <row r="41" spans="1:9" x14ac:dyDescent="0.2">
      <c r="A41" s="117" t="str">
        <f t="shared" ref="A41:A43" si="3">A29</f>
        <v>2018-19</v>
      </c>
      <c r="B41" s="191">
        <f>T_ur!R12</f>
        <v>681</v>
      </c>
      <c r="C41" s="191">
        <f>T_ur!S12</f>
        <v>597</v>
      </c>
      <c r="D41" s="191">
        <f>T_ur!T12</f>
        <v>114</v>
      </c>
      <c r="E41" s="191">
        <f>T_ur!U12</f>
        <v>35</v>
      </c>
      <c r="F41" s="191">
        <f>T_ur!V12</f>
        <v>367</v>
      </c>
      <c r="G41" s="191">
        <f>T_ur!W12</f>
        <v>153</v>
      </c>
      <c r="H41" s="191">
        <f>T_ur!X12</f>
        <v>5</v>
      </c>
      <c r="I41" s="353">
        <f>T_ur!Y12</f>
        <v>1952</v>
      </c>
    </row>
    <row r="42" spans="1:9" x14ac:dyDescent="0.2">
      <c r="A42" s="117" t="str">
        <f t="shared" si="3"/>
        <v>2019-20</v>
      </c>
      <c r="B42" s="191">
        <f>T_ur!R13</f>
        <v>751</v>
      </c>
      <c r="C42" s="191">
        <f>T_ur!S13</f>
        <v>599</v>
      </c>
      <c r="D42" s="191">
        <f>T_ur!T13</f>
        <v>146</v>
      </c>
      <c r="E42" s="191">
        <f>T_ur!U13</f>
        <v>37</v>
      </c>
      <c r="F42" s="191">
        <f>T_ur!V13</f>
        <v>420</v>
      </c>
      <c r="G42" s="191">
        <f>T_ur!W13</f>
        <v>144</v>
      </c>
      <c r="H42" s="191">
        <f>T_ur!X13</f>
        <v>2</v>
      </c>
      <c r="I42" s="353">
        <f>T_ur!Y13</f>
        <v>2099</v>
      </c>
    </row>
    <row r="43" spans="1:9" ht="13.5" thickBot="1" x14ac:dyDescent="0.25">
      <c r="A43" s="842" t="str">
        <f t="shared" si="3"/>
        <v>2020-21</v>
      </c>
      <c r="B43" s="492">
        <f>T_ur!R14</f>
        <v>617</v>
      </c>
      <c r="C43" s="492">
        <f>T_ur!S14</f>
        <v>567</v>
      </c>
      <c r="D43" s="492">
        <f>T_ur!T14</f>
        <v>123</v>
      </c>
      <c r="E43" s="492">
        <f>T_ur!U14</f>
        <v>27</v>
      </c>
      <c r="F43" s="492">
        <f>T_ur!V14</f>
        <v>356</v>
      </c>
      <c r="G43" s="492">
        <f>T_ur!W14</f>
        <v>125</v>
      </c>
      <c r="H43" s="492">
        <f>T_ur!X14</f>
        <v>1</v>
      </c>
      <c r="I43" s="712">
        <f>T_ur!Y14</f>
        <v>1816</v>
      </c>
    </row>
    <row r="45" spans="1:9" ht="15" x14ac:dyDescent="0.25">
      <c r="B45" s="708" t="s">
        <v>865</v>
      </c>
    </row>
    <row r="46" spans="1:9" ht="30" x14ac:dyDescent="0.25">
      <c r="A46" s="136" t="s">
        <v>4</v>
      </c>
      <c r="B46" s="840" t="s">
        <v>1006</v>
      </c>
      <c r="C46" s="840" t="s">
        <v>1007</v>
      </c>
      <c r="D46" s="840" t="s">
        <v>1008</v>
      </c>
      <c r="E46" s="840" t="s">
        <v>1009</v>
      </c>
      <c r="F46" s="840" t="s">
        <v>1010</v>
      </c>
      <c r="G46" s="840" t="s">
        <v>1011</v>
      </c>
      <c r="H46" s="845" t="s">
        <v>168</v>
      </c>
      <c r="I46" s="841" t="s">
        <v>11</v>
      </c>
    </row>
    <row r="47" spans="1:9" x14ac:dyDescent="0.2">
      <c r="A47" s="400" t="str">
        <f t="shared" ref="A47:A52" si="4">A35</f>
        <v>2012-13</v>
      </c>
      <c r="B47" s="354">
        <f>T_ur!Z6</f>
        <v>267</v>
      </c>
      <c r="C47" s="354">
        <f>T_ur!AA6</f>
        <v>251</v>
      </c>
      <c r="D47" s="354">
        <f>T_ur!AB6</f>
        <v>47</v>
      </c>
      <c r="E47" s="354">
        <f>T_ur!AC6</f>
        <v>22</v>
      </c>
      <c r="F47" s="354">
        <f>T_ur!AD6</f>
        <v>130</v>
      </c>
      <c r="G47" s="354">
        <f>T_ur!AE6</f>
        <v>93</v>
      </c>
      <c r="H47" s="354">
        <f>T_ur!AF6</f>
        <v>5</v>
      </c>
      <c r="I47" s="355">
        <f>T_ur!AG6</f>
        <v>815</v>
      </c>
    </row>
    <row r="48" spans="1:9" x14ac:dyDescent="0.2">
      <c r="A48" s="117" t="str">
        <f t="shared" si="4"/>
        <v>2013-14</v>
      </c>
      <c r="B48" s="191">
        <f>T_ur!Z7</f>
        <v>239</v>
      </c>
      <c r="C48" s="191">
        <f>T_ur!AA7</f>
        <v>302</v>
      </c>
      <c r="D48" s="191">
        <f>T_ur!AB7</f>
        <v>61</v>
      </c>
      <c r="E48" s="191">
        <f>T_ur!AC7</f>
        <v>22</v>
      </c>
      <c r="F48" s="191">
        <f>T_ur!AD7</f>
        <v>192</v>
      </c>
      <c r="G48" s="191">
        <f>T_ur!AE7</f>
        <v>92</v>
      </c>
      <c r="H48" s="191">
        <f>T_ur!AF7</f>
        <v>6</v>
      </c>
      <c r="I48" s="353">
        <f>T_ur!AG7</f>
        <v>914</v>
      </c>
    </row>
    <row r="49" spans="1:9" x14ac:dyDescent="0.2">
      <c r="A49" s="117" t="str">
        <f t="shared" si="4"/>
        <v>2014-15</v>
      </c>
      <c r="B49" s="191">
        <f>T_ur!Z8</f>
        <v>226</v>
      </c>
      <c r="C49" s="191">
        <f>T_ur!AA8</f>
        <v>285</v>
      </c>
      <c r="D49" s="191">
        <f>T_ur!AB8</f>
        <v>54</v>
      </c>
      <c r="E49" s="191">
        <f>T_ur!AC8</f>
        <v>16</v>
      </c>
      <c r="F49" s="191">
        <f>T_ur!AD8</f>
        <v>159</v>
      </c>
      <c r="G49" s="191">
        <f>T_ur!AE8</f>
        <v>95</v>
      </c>
      <c r="H49" s="191">
        <f>T_ur!AF8</f>
        <v>3</v>
      </c>
      <c r="I49" s="353">
        <f>T_ur!AG8</f>
        <v>838</v>
      </c>
    </row>
    <row r="50" spans="1:9" x14ac:dyDescent="0.2">
      <c r="A50" s="117" t="str">
        <f t="shared" si="4"/>
        <v>2015-16</v>
      </c>
      <c r="B50" s="191">
        <f>T_ur!Z9</f>
        <v>237</v>
      </c>
      <c r="C50" s="191">
        <f>T_ur!AA9</f>
        <v>266</v>
      </c>
      <c r="D50" s="191">
        <f>T_ur!AB9</f>
        <v>74</v>
      </c>
      <c r="E50" s="191">
        <f>T_ur!AC9</f>
        <v>17</v>
      </c>
      <c r="F50" s="191">
        <f>T_ur!AD9</f>
        <v>190</v>
      </c>
      <c r="G50" s="191">
        <f>T_ur!AE9</f>
        <v>79</v>
      </c>
      <c r="H50" s="191">
        <f>T_ur!AF9</f>
        <v>11</v>
      </c>
      <c r="I50" s="353">
        <f>T_ur!AG9</f>
        <v>874</v>
      </c>
    </row>
    <row r="51" spans="1:9" x14ac:dyDescent="0.2">
      <c r="A51" s="117" t="str">
        <f t="shared" si="4"/>
        <v>2016-17</v>
      </c>
      <c r="B51" s="191">
        <f>T_ur!Z10</f>
        <v>265</v>
      </c>
      <c r="C51" s="191">
        <f>T_ur!AA10</f>
        <v>341</v>
      </c>
      <c r="D51" s="191">
        <f>T_ur!AB10</f>
        <v>72</v>
      </c>
      <c r="E51" s="191">
        <f>T_ur!AC10</f>
        <v>17</v>
      </c>
      <c r="F51" s="191">
        <f>T_ur!AD10</f>
        <v>190</v>
      </c>
      <c r="G51" s="191">
        <f>T_ur!AE10</f>
        <v>67</v>
      </c>
      <c r="H51" s="191">
        <f>T_ur!AF10</f>
        <v>5</v>
      </c>
      <c r="I51" s="353">
        <f>T_ur!AG10</f>
        <v>957</v>
      </c>
    </row>
    <row r="52" spans="1:9" x14ac:dyDescent="0.2">
      <c r="A52" s="117" t="str">
        <f t="shared" si="4"/>
        <v>2017-18</v>
      </c>
      <c r="B52" s="191">
        <f>T_ur!Z11</f>
        <v>258</v>
      </c>
      <c r="C52" s="191">
        <f>T_ur!AA11</f>
        <v>361</v>
      </c>
      <c r="D52" s="191">
        <f>T_ur!AB11</f>
        <v>80</v>
      </c>
      <c r="E52" s="191">
        <f>T_ur!AC11</f>
        <v>13</v>
      </c>
      <c r="F52" s="191">
        <f>T_ur!AD11</f>
        <v>252</v>
      </c>
      <c r="G52" s="191">
        <f>T_ur!AE11</f>
        <v>84</v>
      </c>
      <c r="H52" s="191">
        <f>T_ur!AF11</f>
        <v>10</v>
      </c>
      <c r="I52" s="353">
        <f>T_ur!AG11</f>
        <v>1058</v>
      </c>
    </row>
    <row r="53" spans="1:9" x14ac:dyDescent="0.2">
      <c r="A53" s="117" t="str">
        <f t="shared" ref="A53:A55" si="5">A41</f>
        <v>2018-19</v>
      </c>
      <c r="B53" s="191">
        <f>T_ur!Z12</f>
        <v>267</v>
      </c>
      <c r="C53" s="191">
        <f>T_ur!AA12</f>
        <v>357</v>
      </c>
      <c r="D53" s="191">
        <f>T_ur!AB12</f>
        <v>90</v>
      </c>
      <c r="E53" s="191">
        <f>T_ur!AC12</f>
        <v>29</v>
      </c>
      <c r="F53" s="191">
        <f>T_ur!AD12</f>
        <v>268</v>
      </c>
      <c r="G53" s="191">
        <f>T_ur!AE12</f>
        <v>108</v>
      </c>
      <c r="H53" s="191">
        <f>T_ur!AF12</f>
        <v>5</v>
      </c>
      <c r="I53" s="353">
        <f>T_ur!AG12</f>
        <v>1124</v>
      </c>
    </row>
    <row r="54" spans="1:9" x14ac:dyDescent="0.2">
      <c r="A54" s="117" t="str">
        <f t="shared" si="5"/>
        <v>2019-20</v>
      </c>
      <c r="B54" s="191">
        <f>T_ur!Z13</f>
        <v>225</v>
      </c>
      <c r="C54" s="191">
        <f>T_ur!AA13</f>
        <v>277</v>
      </c>
      <c r="D54" s="191">
        <f>T_ur!AB13</f>
        <v>67</v>
      </c>
      <c r="E54" s="191">
        <f>T_ur!AC13</f>
        <v>24</v>
      </c>
      <c r="F54" s="191">
        <f>T_ur!AD13</f>
        <v>194</v>
      </c>
      <c r="G54" s="191">
        <f>T_ur!AE13</f>
        <v>89</v>
      </c>
      <c r="H54" s="191">
        <f>T_ur!AF13</f>
        <v>7</v>
      </c>
      <c r="I54" s="353">
        <f>T_ur!AG13</f>
        <v>883</v>
      </c>
    </row>
    <row r="55" spans="1:9" ht="13.5" thickBot="1" x14ac:dyDescent="0.25">
      <c r="A55" s="842" t="str">
        <f t="shared" si="5"/>
        <v>2020-21</v>
      </c>
      <c r="B55" s="492">
        <f>T_ur!Z14</f>
        <v>313</v>
      </c>
      <c r="C55" s="492">
        <f>T_ur!AA14</f>
        <v>385</v>
      </c>
      <c r="D55" s="492">
        <f>T_ur!AB14</f>
        <v>96</v>
      </c>
      <c r="E55" s="492">
        <f>T_ur!AC14</f>
        <v>38</v>
      </c>
      <c r="F55" s="492">
        <f>T_ur!AD14</f>
        <v>271</v>
      </c>
      <c r="G55" s="492">
        <f>T_ur!AE14</f>
        <v>109</v>
      </c>
      <c r="H55" s="492">
        <f>T_ur!AF14</f>
        <v>9</v>
      </c>
      <c r="I55" s="712">
        <f>T_ur!AG14</f>
        <v>1221</v>
      </c>
    </row>
    <row r="57" spans="1:9" ht="15" x14ac:dyDescent="0.25">
      <c r="B57" s="708" t="s">
        <v>2</v>
      </c>
    </row>
    <row r="58" spans="1:9" ht="30" x14ac:dyDescent="0.25">
      <c r="A58" s="136" t="s">
        <v>4</v>
      </c>
      <c r="B58" s="840" t="s">
        <v>1006</v>
      </c>
      <c r="C58" s="840" t="s">
        <v>1007</v>
      </c>
      <c r="D58" s="840" t="s">
        <v>1008</v>
      </c>
      <c r="E58" s="840" t="s">
        <v>1009</v>
      </c>
      <c r="F58" s="840" t="s">
        <v>1010</v>
      </c>
      <c r="G58" s="840" t="s">
        <v>1011</v>
      </c>
      <c r="H58" s="845" t="s">
        <v>168</v>
      </c>
      <c r="I58" s="841" t="s">
        <v>11</v>
      </c>
    </row>
    <row r="59" spans="1:9" x14ac:dyDescent="0.2">
      <c r="A59" s="400" t="str">
        <f t="shared" ref="A59:A67" si="6">A47</f>
        <v>2012-13</v>
      </c>
      <c r="B59" s="354">
        <f>T_ur!BF6</f>
        <v>5784</v>
      </c>
      <c r="C59" s="354">
        <f>T_ur!BG6</f>
        <v>5524</v>
      </c>
      <c r="D59" s="354">
        <f>T_ur!BH6</f>
        <v>819</v>
      </c>
      <c r="E59" s="354">
        <f>T_ur!BI6</f>
        <v>273</v>
      </c>
      <c r="F59" s="354">
        <f>T_ur!BJ6</f>
        <v>1096</v>
      </c>
      <c r="G59" s="354">
        <f>T_ur!BK6</f>
        <v>745</v>
      </c>
      <c r="H59" s="354">
        <f>T_ur!BL6</f>
        <v>32</v>
      </c>
      <c r="I59" s="355">
        <f>T_ur!BM6</f>
        <v>14273</v>
      </c>
    </row>
    <row r="60" spans="1:9" x14ac:dyDescent="0.2">
      <c r="A60" s="117" t="str">
        <f t="shared" si="6"/>
        <v>2013-14</v>
      </c>
      <c r="B60" s="191">
        <f>T_ur!BF7</f>
        <v>6542</v>
      </c>
      <c r="C60" s="191">
        <f>T_ur!BG7</f>
        <v>5924</v>
      </c>
      <c r="D60" s="191">
        <f>T_ur!BH7</f>
        <v>964</v>
      </c>
      <c r="E60" s="191">
        <f>T_ur!BI7</f>
        <v>250</v>
      </c>
      <c r="F60" s="191">
        <f>T_ur!BJ7</f>
        <v>1841</v>
      </c>
      <c r="G60" s="191">
        <f>T_ur!BK7</f>
        <v>803</v>
      </c>
      <c r="H60" s="191">
        <f>T_ur!BL7</f>
        <v>37</v>
      </c>
      <c r="I60" s="353">
        <f>T_ur!BM7</f>
        <v>16361</v>
      </c>
    </row>
    <row r="61" spans="1:9" x14ac:dyDescent="0.2">
      <c r="A61" s="117" t="str">
        <f t="shared" si="6"/>
        <v>2014-15</v>
      </c>
      <c r="B61" s="191">
        <f>T_ur!BF8</f>
        <v>5845</v>
      </c>
      <c r="C61" s="191">
        <f>T_ur!BG8</f>
        <v>4924</v>
      </c>
      <c r="D61" s="191">
        <f>T_ur!BH8</f>
        <v>747</v>
      </c>
      <c r="E61" s="191">
        <f>T_ur!BI8</f>
        <v>194</v>
      </c>
      <c r="F61" s="191">
        <f>T_ur!BJ8</f>
        <v>1253</v>
      </c>
      <c r="G61" s="191">
        <f>T_ur!BK8</f>
        <v>426</v>
      </c>
      <c r="H61" s="191">
        <f>T_ur!BL8</f>
        <v>17</v>
      </c>
      <c r="I61" s="353">
        <f>T_ur!BM8</f>
        <v>13406</v>
      </c>
    </row>
    <row r="62" spans="1:9" x14ac:dyDescent="0.2">
      <c r="A62" s="117" t="str">
        <f t="shared" si="6"/>
        <v>2015-16</v>
      </c>
      <c r="B62" s="191">
        <f>T_ur!BF9</f>
        <v>6390</v>
      </c>
      <c r="C62" s="191">
        <f>T_ur!BG9</f>
        <v>5328</v>
      </c>
      <c r="D62" s="191">
        <f>T_ur!BH9</f>
        <v>795</v>
      </c>
      <c r="E62" s="191">
        <f>T_ur!BI9</f>
        <v>200</v>
      </c>
      <c r="F62" s="191">
        <f>T_ur!BJ9</f>
        <v>1471</v>
      </c>
      <c r="G62" s="191">
        <f>T_ur!BK9</f>
        <v>522</v>
      </c>
      <c r="H62" s="191">
        <f>T_ur!BL9</f>
        <v>26</v>
      </c>
      <c r="I62" s="353">
        <f>T_ur!BM9</f>
        <v>14732</v>
      </c>
    </row>
    <row r="63" spans="1:9" x14ac:dyDescent="0.2">
      <c r="A63" s="117" t="str">
        <f t="shared" si="6"/>
        <v>2016-17</v>
      </c>
      <c r="B63" s="191">
        <f>T_ur!BF10</f>
        <v>6696</v>
      </c>
      <c r="C63" s="191">
        <f>T_ur!BG10</f>
        <v>5731</v>
      </c>
      <c r="D63" s="191">
        <f>T_ur!BH10</f>
        <v>916</v>
      </c>
      <c r="E63" s="191">
        <f>T_ur!BI10</f>
        <v>175</v>
      </c>
      <c r="F63" s="191">
        <f>T_ur!BJ10</f>
        <v>1517</v>
      </c>
      <c r="G63" s="191">
        <f>T_ur!BK10</f>
        <v>594</v>
      </c>
      <c r="H63" s="191">
        <f>T_ur!BL10</f>
        <v>31</v>
      </c>
      <c r="I63" s="353">
        <f>T_ur!BM10</f>
        <v>15660</v>
      </c>
    </row>
    <row r="64" spans="1:9" x14ac:dyDescent="0.2">
      <c r="A64" s="117" t="str">
        <f t="shared" si="6"/>
        <v>2017-18</v>
      </c>
      <c r="B64" s="191">
        <f>T_ur!BF11</f>
        <v>6070</v>
      </c>
      <c r="C64" s="191">
        <f>T_ur!BG11</f>
        <v>5329</v>
      </c>
      <c r="D64" s="191">
        <f>T_ur!BH11</f>
        <v>864</v>
      </c>
      <c r="E64" s="191">
        <f>T_ur!BI11</f>
        <v>215</v>
      </c>
      <c r="F64" s="191">
        <f>T_ur!BJ11</f>
        <v>1601</v>
      </c>
      <c r="G64" s="191">
        <f>T_ur!BK11</f>
        <v>616</v>
      </c>
      <c r="H64" s="191">
        <f>T_ur!BL11</f>
        <v>33</v>
      </c>
      <c r="I64" s="353">
        <f>T_ur!BM11</f>
        <v>14728</v>
      </c>
    </row>
    <row r="65" spans="1:9" x14ac:dyDescent="0.2">
      <c r="A65" s="117" t="str">
        <f t="shared" si="6"/>
        <v>2018-19</v>
      </c>
      <c r="B65" s="191">
        <f>T_ur!BF12</f>
        <v>6388</v>
      </c>
      <c r="C65" s="191">
        <f>T_ur!BG12</f>
        <v>5500</v>
      </c>
      <c r="D65" s="191">
        <f>T_ur!BH12</f>
        <v>882</v>
      </c>
      <c r="E65" s="191">
        <f>T_ur!BI12</f>
        <v>255</v>
      </c>
      <c r="F65" s="191">
        <f>T_ur!BJ12</f>
        <v>1896</v>
      </c>
      <c r="G65" s="191">
        <f>T_ur!BK12</f>
        <v>724</v>
      </c>
      <c r="H65" s="191">
        <f>T_ur!BL12</f>
        <v>52</v>
      </c>
      <c r="I65" s="353">
        <f>T_ur!BM12</f>
        <v>15697</v>
      </c>
    </row>
    <row r="66" spans="1:9" x14ac:dyDescent="0.2">
      <c r="A66" s="117" t="str">
        <f t="shared" si="6"/>
        <v>2019-20</v>
      </c>
      <c r="B66" s="191">
        <f>T_ur!BF13</f>
        <v>5835</v>
      </c>
      <c r="C66" s="191">
        <f>T_ur!BG13</f>
        <v>5179</v>
      </c>
      <c r="D66" s="191">
        <f>T_ur!BH13</f>
        <v>795</v>
      </c>
      <c r="E66" s="191">
        <f>T_ur!BI13</f>
        <v>230</v>
      </c>
      <c r="F66" s="191">
        <f>T_ur!BJ13</f>
        <v>1473</v>
      </c>
      <c r="G66" s="191">
        <f>T_ur!BK13</f>
        <v>554</v>
      </c>
      <c r="H66" s="191">
        <f>T_ur!BL13</f>
        <v>24</v>
      </c>
      <c r="I66" s="353">
        <f>T_ur!BM13</f>
        <v>14090</v>
      </c>
    </row>
    <row r="67" spans="1:9" ht="13.5" thickBot="1" x14ac:dyDescent="0.25">
      <c r="A67" s="842" t="str">
        <f t="shared" si="6"/>
        <v>2020-21</v>
      </c>
      <c r="B67" s="492">
        <f>T_ur!BF14</f>
        <v>5919</v>
      </c>
      <c r="C67" s="492">
        <f>T_ur!BG14</f>
        <v>5565</v>
      </c>
      <c r="D67" s="492">
        <f>T_ur!BH14</f>
        <v>944</v>
      </c>
      <c r="E67" s="492">
        <f>T_ur!BI14</f>
        <v>224</v>
      </c>
      <c r="F67" s="492">
        <f>T_ur!BJ14</f>
        <v>1748</v>
      </c>
      <c r="G67" s="492">
        <f>T_ur!BK14</f>
        <v>691</v>
      </c>
      <c r="H67" s="492">
        <f>T_ur!BL14</f>
        <v>39</v>
      </c>
      <c r="I67" s="712">
        <f>T_ur!BM14</f>
        <v>15130</v>
      </c>
    </row>
    <row r="69" spans="1:9" ht="15" x14ac:dyDescent="0.25">
      <c r="B69" s="708" t="s">
        <v>114</v>
      </c>
    </row>
    <row r="70" spans="1:9" ht="30" x14ac:dyDescent="0.25">
      <c r="A70" s="136" t="s">
        <v>4</v>
      </c>
      <c r="B70" s="840" t="s">
        <v>1006</v>
      </c>
      <c r="C70" s="840" t="s">
        <v>1007</v>
      </c>
      <c r="D70" s="840" t="s">
        <v>1008</v>
      </c>
      <c r="E70" s="840" t="s">
        <v>1009</v>
      </c>
      <c r="F70" s="840" t="s">
        <v>1010</v>
      </c>
      <c r="G70" s="840" t="s">
        <v>1011</v>
      </c>
      <c r="H70" s="845" t="s">
        <v>168</v>
      </c>
      <c r="I70" s="841" t="s">
        <v>11</v>
      </c>
    </row>
    <row r="71" spans="1:9" x14ac:dyDescent="0.2">
      <c r="A71" s="400" t="str">
        <f t="shared" ref="A71:A76" si="7">A59</f>
        <v>2012-13</v>
      </c>
      <c r="B71" s="354">
        <f>T_ur!AH6+T_ur!AP6+T_ur!AX6</f>
        <v>21947</v>
      </c>
      <c r="C71" s="354">
        <f>T_ur!AI6+T_ur!AQ6+T_ur!AY6</f>
        <v>15732</v>
      </c>
      <c r="D71" s="354">
        <f>T_ur!AJ6+T_ur!AR6+T_ur!AZ6</f>
        <v>2464</v>
      </c>
      <c r="E71" s="354">
        <f>T_ur!AK6+T_ur!AS6+T_ur!BA6</f>
        <v>1541</v>
      </c>
      <c r="F71" s="354">
        <f>T_ur!AL6+T_ur!AT6+T_ur!BB6</f>
        <v>3600</v>
      </c>
      <c r="G71" s="354">
        <f>T_ur!AM6+T_ur!AU6+T_ur!BC6</f>
        <v>1984</v>
      </c>
      <c r="H71" s="354">
        <f>T_ur!AN6+T_ur!AV6+T_ur!BD6</f>
        <v>20</v>
      </c>
      <c r="I71" s="355">
        <f>T_ur!AO6+T_ur!AW6+T_ur!BE6</f>
        <v>47288</v>
      </c>
    </row>
    <row r="72" spans="1:9" x14ac:dyDescent="0.2">
      <c r="A72" s="117" t="str">
        <f t="shared" si="7"/>
        <v>2013-14</v>
      </c>
      <c r="B72" s="191">
        <f>T_ur!AH7+T_ur!AP7+T_ur!AX7</f>
        <v>21691</v>
      </c>
      <c r="C72" s="191">
        <f>T_ur!AI7+T_ur!AQ7+T_ur!AY7</f>
        <v>15706</v>
      </c>
      <c r="D72" s="191">
        <f>T_ur!AJ7+T_ur!AR7+T_ur!AZ7</f>
        <v>2467</v>
      </c>
      <c r="E72" s="191">
        <f>T_ur!AK7+T_ur!AS7+T_ur!BA7</f>
        <v>1568</v>
      </c>
      <c r="F72" s="191">
        <f>T_ur!AL7+T_ur!AT7+T_ur!BB7</f>
        <v>3542</v>
      </c>
      <c r="G72" s="191">
        <f>T_ur!AM7+T_ur!AU7+T_ur!BC7</f>
        <v>2214</v>
      </c>
      <c r="H72" s="191">
        <f>T_ur!AN7+T_ur!AV7+T_ur!BD7</f>
        <v>7</v>
      </c>
      <c r="I72" s="353">
        <f>T_ur!AO7+T_ur!AW7+T_ur!BE7</f>
        <v>47195</v>
      </c>
    </row>
    <row r="73" spans="1:9" x14ac:dyDescent="0.2">
      <c r="A73" s="117" t="str">
        <f t="shared" si="7"/>
        <v>2014-15</v>
      </c>
      <c r="B73" s="191">
        <f>T_ur!AH8+T_ur!AP8+T_ur!AX8</f>
        <v>22099</v>
      </c>
      <c r="C73" s="191">
        <f>T_ur!AI8+T_ur!AQ8+T_ur!AY8</f>
        <v>16032</v>
      </c>
      <c r="D73" s="191">
        <f>T_ur!AJ8+T_ur!AR8+T_ur!AZ8</f>
        <v>2578</v>
      </c>
      <c r="E73" s="191">
        <f>T_ur!AK8+T_ur!AS8+T_ur!BA8</f>
        <v>1709</v>
      </c>
      <c r="F73" s="191">
        <f>T_ur!AL8+T_ur!AT8+T_ur!BB8</f>
        <v>3875</v>
      </c>
      <c r="G73" s="191">
        <f>T_ur!AM8+T_ur!AU8+T_ur!BC8</f>
        <v>2351</v>
      </c>
      <c r="H73" s="191">
        <f>T_ur!AN8+T_ur!AV8+T_ur!BD8</f>
        <v>5</v>
      </c>
      <c r="I73" s="353">
        <f>T_ur!AO8+T_ur!AW8+T_ur!BE8</f>
        <v>48649</v>
      </c>
    </row>
    <row r="74" spans="1:9" x14ac:dyDescent="0.2">
      <c r="A74" s="117" t="str">
        <f t="shared" si="7"/>
        <v>2015-16</v>
      </c>
      <c r="B74" s="191">
        <f>T_ur!AH9+T_ur!AP9+T_ur!AX9</f>
        <v>21876</v>
      </c>
      <c r="C74" s="191">
        <f>T_ur!AI9+T_ur!AQ9+T_ur!AY9</f>
        <v>16218</v>
      </c>
      <c r="D74" s="191">
        <f>T_ur!AJ9+T_ur!AR9+T_ur!AZ9</f>
        <v>2801</v>
      </c>
      <c r="E74" s="191">
        <f>T_ur!AK9+T_ur!AS9+T_ur!BA9</f>
        <v>1582</v>
      </c>
      <c r="F74" s="191">
        <f>T_ur!AL9+T_ur!AT9+T_ur!BB9</f>
        <v>4089</v>
      </c>
      <c r="G74" s="191">
        <f>T_ur!AM9+T_ur!AU9+T_ur!BC9</f>
        <v>2259</v>
      </c>
      <c r="H74" s="191">
        <f>T_ur!AN9+T_ur!AV9+T_ur!BD9</f>
        <v>21</v>
      </c>
      <c r="I74" s="353">
        <f>T_ur!AO9+T_ur!AW9+T_ur!BE9</f>
        <v>48846</v>
      </c>
    </row>
    <row r="75" spans="1:9" x14ac:dyDescent="0.2">
      <c r="A75" s="117" t="str">
        <f t="shared" si="7"/>
        <v>2016-17</v>
      </c>
      <c r="B75" s="191">
        <f>T_ur!AH10+T_ur!AP10+T_ur!AX10</f>
        <v>22444</v>
      </c>
      <c r="C75" s="191">
        <f>T_ur!AI10+T_ur!AQ10+T_ur!AY10</f>
        <v>17410</v>
      </c>
      <c r="D75" s="191">
        <f>T_ur!AJ10+T_ur!AR10+T_ur!AZ10</f>
        <v>3025</v>
      </c>
      <c r="E75" s="191">
        <f>T_ur!AK10+T_ur!AS10+T_ur!BA10</f>
        <v>1607</v>
      </c>
      <c r="F75" s="191">
        <f>T_ur!AL10+T_ur!AT10+T_ur!BB10</f>
        <v>4065</v>
      </c>
      <c r="G75" s="191">
        <f>T_ur!AM10+T_ur!AU10+T_ur!BC10</f>
        <v>2290</v>
      </c>
      <c r="H75" s="191">
        <f>T_ur!AN10+T_ur!AV10+T_ur!BD10</f>
        <v>27</v>
      </c>
      <c r="I75" s="353">
        <f>T_ur!AO10+T_ur!AW10+T_ur!BE10</f>
        <v>50868</v>
      </c>
    </row>
    <row r="76" spans="1:9" x14ac:dyDescent="0.2">
      <c r="A76" s="117" t="str">
        <f t="shared" si="7"/>
        <v>2017-18</v>
      </c>
      <c r="B76" s="191">
        <f>T_ur!AH11+T_ur!AP11+T_ur!AX11</f>
        <v>22622</v>
      </c>
      <c r="C76" s="191">
        <f>T_ur!AI11+T_ur!AQ11+T_ur!AY11</f>
        <v>17577</v>
      </c>
      <c r="D76" s="191">
        <f>T_ur!AJ11+T_ur!AR11+T_ur!AZ11</f>
        <v>3174</v>
      </c>
      <c r="E76" s="191">
        <f>T_ur!AK11+T_ur!AS11+T_ur!BA11</f>
        <v>1727</v>
      </c>
      <c r="F76" s="191">
        <f>T_ur!AL11+T_ur!AT11+T_ur!BB11</f>
        <v>4317</v>
      </c>
      <c r="G76" s="191">
        <f>T_ur!AM11+T_ur!AU11+T_ur!BC11</f>
        <v>2444</v>
      </c>
      <c r="H76" s="191">
        <f>T_ur!AN11+T_ur!AV11+T_ur!BD11</f>
        <v>23</v>
      </c>
      <c r="I76" s="353">
        <f>T_ur!AO11+T_ur!AW11+T_ur!BE11</f>
        <v>51884</v>
      </c>
    </row>
    <row r="77" spans="1:9" x14ac:dyDescent="0.2">
      <c r="A77" s="117" t="str">
        <f t="shared" ref="A77:A79" si="8">A65</f>
        <v>2018-19</v>
      </c>
      <c r="B77" s="191">
        <f>T_ur!AH12+T_ur!AP12+T_ur!AX12</f>
        <v>22696</v>
      </c>
      <c r="C77" s="191">
        <f>T_ur!AI12+T_ur!AQ12+T_ur!AY12</f>
        <v>17480</v>
      </c>
      <c r="D77" s="191">
        <f>T_ur!AJ12+T_ur!AR12+T_ur!AZ12</f>
        <v>3077</v>
      </c>
      <c r="E77" s="191">
        <f>T_ur!AK12+T_ur!AS12+T_ur!BA12</f>
        <v>1827</v>
      </c>
      <c r="F77" s="191">
        <f>T_ur!AL12+T_ur!AT12+T_ur!BB12</f>
        <v>4503</v>
      </c>
      <c r="G77" s="191">
        <f>T_ur!AM12+T_ur!AU12+T_ur!BC12</f>
        <v>2527</v>
      </c>
      <c r="H77" s="191">
        <f>T_ur!AN12+T_ur!AV12+T_ur!BD12</f>
        <v>48</v>
      </c>
      <c r="I77" s="353">
        <f>T_ur!AO12+T_ur!AW12+T_ur!BE12</f>
        <v>52158</v>
      </c>
    </row>
    <row r="78" spans="1:9" x14ac:dyDescent="0.2">
      <c r="A78" s="117" t="str">
        <f t="shared" si="8"/>
        <v>2019-20</v>
      </c>
      <c r="B78" s="191">
        <f>T_ur!AH13+T_ur!AP13+T_ur!AX13</f>
        <v>22820</v>
      </c>
      <c r="C78" s="191">
        <f>T_ur!AI13+T_ur!AQ13+T_ur!AY13</f>
        <v>17788</v>
      </c>
      <c r="D78" s="191">
        <f>T_ur!AJ13+T_ur!AR13+T_ur!AZ13</f>
        <v>3036</v>
      </c>
      <c r="E78" s="191">
        <f>T_ur!AK13+T_ur!AS13+T_ur!BA13</f>
        <v>1697</v>
      </c>
      <c r="F78" s="191">
        <f>T_ur!AL13+T_ur!AT13+T_ur!BB13</f>
        <v>4483</v>
      </c>
      <c r="G78" s="191">
        <f>T_ur!AM13+T_ur!AU13+T_ur!BC13</f>
        <v>2442</v>
      </c>
      <c r="H78" s="191">
        <f>T_ur!AN13+T_ur!AV13+T_ur!BD13</f>
        <v>36</v>
      </c>
      <c r="I78" s="353">
        <f>T_ur!AO13+T_ur!AW13+T_ur!BE13</f>
        <v>52302</v>
      </c>
    </row>
    <row r="79" spans="1:9" ht="13.5" thickBot="1" x14ac:dyDescent="0.25">
      <c r="A79" s="842" t="str">
        <f t="shared" si="8"/>
        <v>2020-21</v>
      </c>
      <c r="B79" s="492">
        <f>T_ur!AH14+T_ur!AP14+T_ur!AX14</f>
        <v>19396</v>
      </c>
      <c r="C79" s="492">
        <f>T_ur!AI14+T_ur!AQ14+T_ur!AY14</f>
        <v>16425</v>
      </c>
      <c r="D79" s="492">
        <f>T_ur!AJ14+T_ur!AR14+T_ur!AZ14</f>
        <v>3022</v>
      </c>
      <c r="E79" s="492">
        <f>T_ur!AK14+T_ur!AS14+T_ur!BA14</f>
        <v>1585</v>
      </c>
      <c r="F79" s="492">
        <f>T_ur!AL14+T_ur!AT14+T_ur!BB14</f>
        <v>4250</v>
      </c>
      <c r="G79" s="492">
        <f>T_ur!AM14+T_ur!AU14+T_ur!BC14</f>
        <v>2120</v>
      </c>
      <c r="H79" s="492">
        <f>T_ur!AN14+T_ur!AV14+T_ur!BD14</f>
        <v>22</v>
      </c>
      <c r="I79" s="712">
        <f>T_ur!AO14+T_ur!AW14+T_ur!BE14</f>
        <v>46820</v>
      </c>
    </row>
    <row r="81" spans="1:1" x14ac:dyDescent="0.2">
      <c r="A81" s="117" t="s">
        <v>1231</v>
      </c>
    </row>
    <row r="82" spans="1:1" ht="15" x14ac:dyDescent="0.25">
      <c r="A82" s="1109" t="s">
        <v>1236</v>
      </c>
    </row>
    <row r="83" spans="1:1" x14ac:dyDescent="0.2">
      <c r="A83" s="106" t="s">
        <v>1237</v>
      </c>
    </row>
    <row r="84" spans="1:1" ht="15" x14ac:dyDescent="0.25">
      <c r="A84" s="1109" t="s">
        <v>1235</v>
      </c>
    </row>
  </sheetData>
  <sheetProtection algorithmName="SHA-512" hashValue="+C9f0l2aqL9HqBZQOB7mVy6VSEEPWeYZ8LFusMXZoK8hNbOWvWqUMZ9ONiEF4BkM/euDdTUOiecBbbBA6I0csA==" saltValue="hQEdVg8GmCB/Zyvrtfkleg==" spinCount="100000" sheet="1" scenarios="1" formatCells="0" formatColumns="0" formatRows="0" sort="0" autoFilter="0" pivotTables="0"/>
  <hyperlinks>
    <hyperlink ref="A2" location="'Table of Contents'!A1" display="Back to Table of Contents" xr:uid="{00000000-0004-0000-9100-000000000000}"/>
    <hyperlink ref="A83" r:id="rId1" xr:uid="{00000000-0004-0000-9100-000001000000}"/>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rgb="FF8497B0"/>
  </sheetPr>
  <dimension ref="A1:Q85"/>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6.85546875" customWidth="1"/>
    <col min="2" max="7" width="14.7109375" customWidth="1"/>
    <col min="8" max="8" width="15" customWidth="1"/>
    <col min="9" max="9" width="10.5703125" customWidth="1"/>
    <col min="10" max="10" width="13.5703125" customWidth="1"/>
    <col min="11" max="17" width="13.7109375" customWidth="1"/>
  </cols>
  <sheetData>
    <row r="1" spans="1:17" ht="15.75" x14ac:dyDescent="0.2">
      <c r="A1" s="298" t="s">
        <v>1137</v>
      </c>
    </row>
    <row r="2" spans="1:17" ht="17.25" customHeight="1" x14ac:dyDescent="0.2">
      <c r="A2" s="106" t="s">
        <v>578</v>
      </c>
    </row>
    <row r="3" spans="1:17" ht="33" customHeight="1" x14ac:dyDescent="0.2">
      <c r="A3" s="120" t="s">
        <v>1087</v>
      </c>
      <c r="B3" s="120"/>
      <c r="C3" s="120"/>
      <c r="D3" s="120"/>
      <c r="E3" s="120"/>
      <c r="F3" s="120"/>
      <c r="G3" s="120"/>
    </row>
    <row r="4" spans="1:17" ht="15.75" x14ac:dyDescent="0.25">
      <c r="A4" s="351" t="s">
        <v>579</v>
      </c>
      <c r="B4" s="1043" t="s">
        <v>1400</v>
      </c>
      <c r="D4" s="197"/>
      <c r="E4" s="197"/>
      <c r="F4" s="197"/>
      <c r="G4" s="197"/>
    </row>
    <row r="5" spans="1:17" ht="15.75" x14ac:dyDescent="0.25">
      <c r="A5" s="351" t="s">
        <v>580</v>
      </c>
      <c r="B5" s="351" t="s">
        <v>581</v>
      </c>
      <c r="C5" s="197"/>
      <c r="D5" s="197"/>
      <c r="E5" s="197"/>
      <c r="F5" s="197"/>
      <c r="G5" s="197"/>
    </row>
    <row r="6" spans="1:17" ht="15.75" x14ac:dyDescent="0.25">
      <c r="A6" s="351" t="s">
        <v>582</v>
      </c>
      <c r="B6" s="351" t="s">
        <v>585</v>
      </c>
      <c r="C6" s="197"/>
      <c r="D6" s="197"/>
      <c r="E6" s="197"/>
      <c r="F6" s="197"/>
      <c r="G6" s="197"/>
    </row>
    <row r="7" spans="1:17" x14ac:dyDescent="0.2">
      <c r="A7" s="29"/>
      <c r="B7" s="57"/>
      <c r="C7" s="57"/>
      <c r="D7" s="57"/>
      <c r="E7" s="57"/>
      <c r="F7" s="57"/>
      <c r="G7" s="57"/>
      <c r="H7" s="57"/>
      <c r="I7" s="57"/>
      <c r="J7" s="3"/>
    </row>
    <row r="8" spans="1:17" ht="15" x14ac:dyDescent="0.25">
      <c r="A8" s="29"/>
      <c r="B8" s="57"/>
      <c r="C8" s="57"/>
      <c r="D8" s="57"/>
      <c r="E8" s="57"/>
      <c r="F8" s="57"/>
      <c r="G8" s="57"/>
      <c r="H8" s="753"/>
      <c r="I8" s="57"/>
      <c r="J8" s="3"/>
    </row>
    <row r="9" spans="1:17" ht="15" x14ac:dyDescent="0.25">
      <c r="B9" s="708" t="s">
        <v>651</v>
      </c>
      <c r="K9" s="708" t="s">
        <v>1108</v>
      </c>
    </row>
    <row r="10" spans="1:17" ht="30" x14ac:dyDescent="0.25">
      <c r="A10" s="136" t="s">
        <v>4</v>
      </c>
      <c r="B10" s="840" t="s">
        <v>1006</v>
      </c>
      <c r="C10" s="840" t="s">
        <v>1007</v>
      </c>
      <c r="D10" s="840" t="s">
        <v>1008</v>
      </c>
      <c r="E10" s="840" t="s">
        <v>1009</v>
      </c>
      <c r="F10" s="840" t="s">
        <v>1010</v>
      </c>
      <c r="G10" s="840" t="s">
        <v>1011</v>
      </c>
      <c r="H10" s="845" t="s">
        <v>11</v>
      </c>
      <c r="I10" s="841"/>
      <c r="K10" s="840" t="s">
        <v>1006</v>
      </c>
      <c r="L10" s="840" t="s">
        <v>1007</v>
      </c>
      <c r="M10" s="840" t="s">
        <v>1008</v>
      </c>
      <c r="N10" s="840" t="s">
        <v>1009</v>
      </c>
      <c r="O10" s="840" t="s">
        <v>1010</v>
      </c>
      <c r="P10" s="840" t="s">
        <v>1011</v>
      </c>
      <c r="Q10" s="845" t="s">
        <v>11</v>
      </c>
    </row>
    <row r="11" spans="1:17" x14ac:dyDescent="0.2">
      <c r="A11" s="400" t="str">
        <f>T_ur!A6</f>
        <v>2012-13</v>
      </c>
      <c r="B11" s="354">
        <f>T_ur!B6/T_ur!B22*1000000</f>
        <v>1548.0080318372004</v>
      </c>
      <c r="C11" s="354">
        <f>T_ur!C6/T_ur!C22*1000000</f>
        <v>999.22271261481433</v>
      </c>
      <c r="D11" s="354">
        <f>T_ur!D6/T_ur!D22*1000000</f>
        <v>771.24219821357769</v>
      </c>
      <c r="E11" s="354">
        <f>T_ur!E6/T_ur!E22*1000000</f>
        <v>739.01044950439791</v>
      </c>
      <c r="F11" s="354">
        <f>T_ur!F6/T_ur!F22*1000000</f>
        <v>646.88998534525376</v>
      </c>
      <c r="G11" s="354">
        <f>T_ur!G6/T_ur!G22*1000000</f>
        <v>614.6456757775743</v>
      </c>
      <c r="H11" s="355">
        <f>T_ur!I6/T_ur!I22*1000000</f>
        <v>1096.9963866305329</v>
      </c>
      <c r="I11" s="355"/>
      <c r="K11" s="354">
        <f>T_ur!B22</f>
        <v>1819758</v>
      </c>
      <c r="L11" s="354">
        <f>T_ur!C22</f>
        <v>1946513</v>
      </c>
      <c r="M11" s="354">
        <f>T_ur!D22</f>
        <v>461593</v>
      </c>
      <c r="N11" s="354">
        <f>T_ur!E22</f>
        <v>193502</v>
      </c>
      <c r="O11" s="354">
        <f>T_ur!F22</f>
        <v>576605</v>
      </c>
      <c r="P11" s="354">
        <f>T_ur!G22</f>
        <v>315629</v>
      </c>
      <c r="Q11" s="354">
        <f>T_ur!I22</f>
        <v>5313600</v>
      </c>
    </row>
    <row r="12" spans="1:17" x14ac:dyDescent="0.2">
      <c r="A12" s="117" t="str">
        <f>T_ur!A7</f>
        <v>2013-14</v>
      </c>
      <c r="B12" s="191">
        <f>T_ur!B7/T_ur!B23*1000000</f>
        <v>1377.9891533271409</v>
      </c>
      <c r="C12" s="191">
        <f>T_ur!C7/T_ur!C23*1000000</f>
        <v>893.62431643642537</v>
      </c>
      <c r="D12" s="191">
        <f>T_ur!D7/T_ur!D23*1000000</f>
        <v>706.20706336642638</v>
      </c>
      <c r="E12" s="191">
        <f>T_ur!E7/T_ur!E23*1000000</f>
        <v>895.99701679605971</v>
      </c>
      <c r="F12" s="191">
        <f>T_ur!F7/T_ur!F23*1000000</f>
        <v>620.51954722757034</v>
      </c>
      <c r="G12" s="191">
        <f>T_ur!G7/T_ur!G23*1000000</f>
        <v>644.13566829868853</v>
      </c>
      <c r="H12" s="353">
        <f>T_ur!I7/T_ur!I23*1000000</f>
        <v>999.117818195469</v>
      </c>
      <c r="I12" s="353"/>
      <c r="K12" s="191">
        <f>T_ur!B23</f>
        <v>1828026</v>
      </c>
      <c r="L12" s="191">
        <f>T_ur!C23</f>
        <v>1948246</v>
      </c>
      <c r="M12" s="191">
        <f>T_ur!D23</f>
        <v>463037</v>
      </c>
      <c r="N12" s="191">
        <f>T_ur!E23</f>
        <v>193081</v>
      </c>
      <c r="O12" s="191">
        <f>T_ur!F23</f>
        <v>580159</v>
      </c>
      <c r="P12" s="191">
        <f>T_ur!G23</f>
        <v>315151</v>
      </c>
      <c r="Q12" s="191">
        <f>T_ur!I23</f>
        <v>5327700</v>
      </c>
    </row>
    <row r="13" spans="1:17" x14ac:dyDescent="0.2">
      <c r="A13" s="117" t="str">
        <f>T_ur!A8</f>
        <v>2014-15</v>
      </c>
      <c r="B13" s="191">
        <f>T_ur!B8/T_ur!B24*1000000</f>
        <v>1402.6366306710963</v>
      </c>
      <c r="C13" s="191">
        <f>T_ur!C8/T_ur!C24*1000000</f>
        <v>983.41619003352014</v>
      </c>
      <c r="D13" s="191">
        <f>T_ur!D8/T_ur!D24*1000000</f>
        <v>647.66140261871089</v>
      </c>
      <c r="E13" s="191">
        <f>T_ur!E8/T_ur!E24*1000000</f>
        <v>909.56340956340966</v>
      </c>
      <c r="F13" s="191">
        <f>T_ur!F8/T_ur!F24*1000000</f>
        <v>621.62079082460389</v>
      </c>
      <c r="G13" s="191">
        <f>T_ur!G8/T_ur!G24*1000000</f>
        <v>744.43652490694535</v>
      </c>
      <c r="H13" s="353">
        <f>T_ur!I8/T_ur!I24*1000000</f>
        <v>1042.3367491959009</v>
      </c>
      <c r="I13" s="353"/>
      <c r="K13" s="191">
        <f>T_ur!B24</f>
        <v>1839393</v>
      </c>
      <c r="L13" s="191">
        <f>T_ur!C24</f>
        <v>1951361</v>
      </c>
      <c r="M13" s="191">
        <f>T_ur!D24</f>
        <v>463205</v>
      </c>
      <c r="N13" s="191">
        <f>T_ur!E24</f>
        <v>192400</v>
      </c>
      <c r="O13" s="191">
        <f>T_ur!F24</f>
        <v>585566</v>
      </c>
      <c r="P13" s="191">
        <f>T_ur!G24</f>
        <v>315675</v>
      </c>
      <c r="Q13" s="191">
        <f>T_ur!I24</f>
        <v>5347600</v>
      </c>
    </row>
    <row r="14" spans="1:17" x14ac:dyDescent="0.2">
      <c r="A14" s="117" t="str">
        <f>T_ur!A9</f>
        <v>2015-16</v>
      </c>
      <c r="B14" s="191">
        <f>T_ur!B9/T_ur!B25*1000000</f>
        <v>1424.2233372017274</v>
      </c>
      <c r="C14" s="191">
        <f>T_ur!C9/T_ur!C25*1000000</f>
        <v>986.59609522645951</v>
      </c>
      <c r="D14" s="191">
        <f>T_ur!D9/T_ur!D25*1000000</f>
        <v>802.99785867237688</v>
      </c>
      <c r="E14" s="191">
        <f>T_ur!E9/T_ur!E25*1000000</f>
        <v>873.78943755006094</v>
      </c>
      <c r="F14" s="191">
        <f>T_ur!F9/T_ur!F25*1000000</f>
        <v>608.64066869321471</v>
      </c>
      <c r="G14" s="191">
        <f>T_ur!G9/T_ur!G25*1000000</f>
        <v>640.40986231187958</v>
      </c>
      <c r="H14" s="353">
        <f>T_ur!I9/T_ur!I25*1000000</f>
        <v>1055.8347292015633</v>
      </c>
      <c r="I14" s="353"/>
      <c r="K14" s="191">
        <f>T_ur!B25</f>
        <v>1854344</v>
      </c>
      <c r="L14" s="191">
        <f>T_ur!C25</f>
        <v>1956221</v>
      </c>
      <c r="M14" s="191">
        <f>T_ur!D25</f>
        <v>463264</v>
      </c>
      <c r="N14" s="191">
        <f>T_ur!E25</f>
        <v>192266</v>
      </c>
      <c r="O14" s="191">
        <f>T_ur!F25</f>
        <v>591482</v>
      </c>
      <c r="P14" s="191">
        <f>T_ur!G25</f>
        <v>315423</v>
      </c>
      <c r="Q14" s="191">
        <f>T_ur!I25</f>
        <v>5373000</v>
      </c>
    </row>
    <row r="15" spans="1:17" x14ac:dyDescent="0.2">
      <c r="A15" s="117" t="str">
        <f>T_ur!A10</f>
        <v>2016-17</v>
      </c>
      <c r="B15" s="191">
        <f>T_ur!B10/T_ur!B26*1000000</f>
        <v>1357.9744553417042</v>
      </c>
      <c r="C15" s="191">
        <f>T_ur!C10/T_ur!C26*1000000</f>
        <v>966.09486500686069</v>
      </c>
      <c r="D15" s="191">
        <f>T_ur!D10/T_ur!D26*1000000</f>
        <v>772.80748077641397</v>
      </c>
      <c r="E15" s="191">
        <f>T_ur!E10/T_ur!E26*1000000</f>
        <v>952.25705736958491</v>
      </c>
      <c r="F15" s="191">
        <f>T_ur!F10/T_ur!F26*1000000</f>
        <v>633.69236994258313</v>
      </c>
      <c r="G15" s="191">
        <f>T_ur!G10/T_ur!G26*1000000</f>
        <v>573.69800663714705</v>
      </c>
      <c r="H15" s="353">
        <f>T_ur!I10/T_ur!I26*1000000</f>
        <v>1025.0337669065814</v>
      </c>
      <c r="I15" s="353"/>
      <c r="K15" s="191">
        <f>T_ur!B26</f>
        <v>1872642</v>
      </c>
      <c r="L15" s="191">
        <f>T_ur!C26</f>
        <v>1960470</v>
      </c>
      <c r="M15" s="191">
        <f>T_ur!D26</f>
        <v>465834</v>
      </c>
      <c r="N15" s="191">
        <f>T_ur!E26</f>
        <v>192175</v>
      </c>
      <c r="O15" s="191">
        <f>T_ur!F26</f>
        <v>598082</v>
      </c>
      <c r="P15" s="191">
        <f>T_ur!G26</f>
        <v>315497</v>
      </c>
      <c r="Q15" s="191">
        <f>T_ur!I26</f>
        <v>5404700</v>
      </c>
    </row>
    <row r="16" spans="1:17" x14ac:dyDescent="0.2">
      <c r="A16" s="117" t="str">
        <f>T_ur!A11</f>
        <v>2017-18</v>
      </c>
      <c r="B16" s="191">
        <f>T_ur!B11/T_ur!B27*1000000</f>
        <v>1281.4091149309897</v>
      </c>
      <c r="C16" s="191">
        <f>T_ur!C11/T_ur!C27*1000000</f>
        <v>970.07252349864325</v>
      </c>
      <c r="D16" s="191">
        <f>T_ur!D11/T_ur!D27*1000000</f>
        <v>693.61934427282358</v>
      </c>
      <c r="E16" s="191">
        <f>T_ur!E11/T_ur!E27*1000000</f>
        <v>746.74799083014364</v>
      </c>
      <c r="F16" s="191">
        <f>T_ur!F11/T_ur!F27*1000000</f>
        <v>540.02299238998273</v>
      </c>
      <c r="G16" s="191">
        <f>T_ur!G11/T_ur!G27*1000000</f>
        <v>632.59709574673343</v>
      </c>
      <c r="H16" s="353">
        <f>T_ur!I11/T_ur!I27*1000000</f>
        <v>979.02226810204991</v>
      </c>
      <c r="I16" s="353"/>
      <c r="K16" s="191">
        <f>T_ur!B27</f>
        <v>1884644</v>
      </c>
      <c r="L16" s="191">
        <f>T_ur!C27</f>
        <v>1961709</v>
      </c>
      <c r="M16" s="191">
        <f>T_ur!D27</f>
        <v>467115</v>
      </c>
      <c r="N16" s="191">
        <f>T_ur!E27</f>
        <v>191497</v>
      </c>
      <c r="O16" s="191">
        <f>T_ur!F27</f>
        <v>603678</v>
      </c>
      <c r="P16" s="191">
        <f>T_ur!G27</f>
        <v>316157</v>
      </c>
      <c r="Q16" s="191">
        <f>T_ur!I27</f>
        <v>5424800</v>
      </c>
    </row>
    <row r="17" spans="1:17" x14ac:dyDescent="0.2">
      <c r="A17" s="117" t="str">
        <f>T_ur!A12</f>
        <v>2018-19</v>
      </c>
      <c r="B17" s="191">
        <f>T_ur!B12/T_ur!B28*1000000</f>
        <v>1221.6532900468765</v>
      </c>
      <c r="C17" s="191">
        <f>T_ur!C12/T_ur!C28*1000000</f>
        <v>905.88724638346855</v>
      </c>
      <c r="D17" s="191">
        <f>T_ur!D12/T_ur!D28*1000000</f>
        <v>714.10703480951088</v>
      </c>
      <c r="E17" s="191">
        <f>T_ur!E12/T_ur!E28*1000000</f>
        <v>868.16905238824938</v>
      </c>
      <c r="F17" s="191">
        <f>T_ur!F12/T_ur!F28*1000000</f>
        <v>553.719863755338</v>
      </c>
      <c r="G17" s="191">
        <f>T_ur!G12/T_ur!G28*1000000</f>
        <v>689.46541129141929</v>
      </c>
      <c r="H17" s="353">
        <f>T_ur!I12/T_ur!I28*1000000</f>
        <v>946.1024990345893</v>
      </c>
      <c r="I17" s="353"/>
      <c r="K17" s="191">
        <f>T_ur!B28</f>
        <v>1894973</v>
      </c>
      <c r="L17" s="191">
        <f>T_ur!C28</f>
        <v>1959405</v>
      </c>
      <c r="M17" s="191">
        <f>T_ur!D28</f>
        <v>467717</v>
      </c>
      <c r="N17" s="191">
        <f>T_ur!E28</f>
        <v>191207</v>
      </c>
      <c r="O17" s="191">
        <f>T_ur!F28</f>
        <v>608611</v>
      </c>
      <c r="P17" s="191">
        <f>T_ur!G28</f>
        <v>316187</v>
      </c>
      <c r="Q17" s="191">
        <f>T_ur!I28</f>
        <v>5438100</v>
      </c>
    </row>
    <row r="18" spans="1:17" x14ac:dyDescent="0.2">
      <c r="A18" s="117" t="str">
        <f>T_ur!A13</f>
        <v>2019-20</v>
      </c>
      <c r="B18" s="191">
        <f>T_ur!B13/T_ur!B29*1000000</f>
        <v>1159.3180383606039</v>
      </c>
      <c r="C18" s="191">
        <f>T_ur!C13/T_ur!C29*1000000</f>
        <v>863.23491672997227</v>
      </c>
      <c r="D18" s="191">
        <f>T_ur!D13/T_ur!D29*1000000</f>
        <v>678.19021316072894</v>
      </c>
      <c r="E18" s="191">
        <f>T_ur!E13/T_ur!E29*1000000</f>
        <v>701.46784764537131</v>
      </c>
      <c r="F18" s="191">
        <f>T_ur!F13/T_ur!F29*1000000</f>
        <v>554.71213359803812</v>
      </c>
      <c r="G18" s="191">
        <f>T_ur!G13/T_ur!G29*1000000</f>
        <v>594.62434290847216</v>
      </c>
      <c r="H18" s="353">
        <f>T_ur!I13/T_ur!I29*1000000</f>
        <v>895.06342320575482</v>
      </c>
      <c r="I18" s="353"/>
      <c r="K18" s="191">
        <f>T_ur!B29</f>
        <v>1910606</v>
      </c>
      <c r="L18" s="191">
        <f>T_ur!C29</f>
        <v>1960069</v>
      </c>
      <c r="M18" s="191">
        <f>T_ur!D29</f>
        <v>468895</v>
      </c>
      <c r="N18" s="191">
        <f>T_ur!E29</f>
        <v>191028</v>
      </c>
      <c r="O18" s="191">
        <f>T_ur!F29</f>
        <v>616536</v>
      </c>
      <c r="P18" s="191">
        <f>T_ur!G29</f>
        <v>316166</v>
      </c>
      <c r="Q18" s="191">
        <f>T_ur!I29</f>
        <v>5463300</v>
      </c>
    </row>
    <row r="19" spans="1:17" ht="13.5" thickBot="1" x14ac:dyDescent="0.25">
      <c r="A19" s="842" t="str">
        <f>T_ur!A14</f>
        <v>2020-21</v>
      </c>
      <c r="B19" s="492">
        <f>T_ur!B14/T_ur!B30*1000000</f>
        <v>1070.2812818302907</v>
      </c>
      <c r="C19" s="492">
        <f>T_ur!C14/T_ur!C30*1000000</f>
        <v>869.24400840695557</v>
      </c>
      <c r="D19" s="492">
        <f>T_ur!D14/T_ur!D30*1000000</f>
        <v>655.09544762010432</v>
      </c>
      <c r="E19" s="492">
        <f>T_ur!E14/T_ur!E30*1000000</f>
        <v>815.80235477402277</v>
      </c>
      <c r="F19" s="492">
        <f>T_ur!F14/T_ur!F30*1000000</f>
        <v>417.16338524878176</v>
      </c>
      <c r="G19" s="492">
        <f>T_ur!G14/T_ur!G30*1000000</f>
        <v>603.00231679837498</v>
      </c>
      <c r="H19" s="712">
        <f>T_ur!I14/T_ur!I30*1000000</f>
        <v>852.72594218807171</v>
      </c>
      <c r="I19" s="712"/>
      <c r="K19" s="492">
        <f>T_ur!B30</f>
        <v>1914450</v>
      </c>
      <c r="L19" s="492">
        <f>T_ur!C30</f>
        <v>1954572</v>
      </c>
      <c r="M19" s="492">
        <f>T_ur!D30</f>
        <v>468634</v>
      </c>
      <c r="N19" s="492">
        <f>T_ur!E30</f>
        <v>189997</v>
      </c>
      <c r="O19" s="492">
        <f>T_ur!F30</f>
        <v>623257</v>
      </c>
      <c r="P19" s="492">
        <f>T_ur!G30</f>
        <v>315090</v>
      </c>
      <c r="Q19" s="492">
        <f>T_ur!I30</f>
        <v>5466000</v>
      </c>
    </row>
    <row r="21" spans="1:17" ht="15" x14ac:dyDescent="0.25">
      <c r="B21" s="708" t="s">
        <v>6</v>
      </c>
    </row>
    <row r="22" spans="1:17" ht="30" x14ac:dyDescent="0.25">
      <c r="A22" s="136" t="s">
        <v>4</v>
      </c>
      <c r="B22" s="840" t="s">
        <v>1006</v>
      </c>
      <c r="C22" s="840" t="s">
        <v>1007</v>
      </c>
      <c r="D22" s="840" t="s">
        <v>1008</v>
      </c>
      <c r="E22" s="840" t="s">
        <v>1009</v>
      </c>
      <c r="F22" s="840" t="s">
        <v>1010</v>
      </c>
      <c r="G22" s="840" t="s">
        <v>1011</v>
      </c>
      <c r="H22" s="845" t="s">
        <v>11</v>
      </c>
      <c r="I22" s="841"/>
    </row>
    <row r="23" spans="1:17" x14ac:dyDescent="0.2">
      <c r="A23" s="400" t="str">
        <f t="shared" ref="A23:A28" si="0">A11</f>
        <v>2012-13</v>
      </c>
      <c r="B23" s="354">
        <f>T_ur!J6/T_ur!B22*1000000</f>
        <v>567.10837375079552</v>
      </c>
      <c r="C23" s="354">
        <f>T_ur!K6/T_ur!C22*1000000</f>
        <v>405.34021606842595</v>
      </c>
      <c r="D23" s="354">
        <f>T_ur!L6/T_ur!D22*1000000</f>
        <v>272.96774431154716</v>
      </c>
      <c r="E23" s="354">
        <f>T_ur!M6/T_ur!E22*1000000</f>
        <v>418.60032454444911</v>
      </c>
      <c r="F23" s="354">
        <f>T_ur!N6/T_ur!F22*1000000</f>
        <v>391.94942811803577</v>
      </c>
      <c r="G23" s="354">
        <f>T_ur!O6/T_ur!G22*1000000</f>
        <v>487.91460860694042</v>
      </c>
      <c r="H23" s="355">
        <f>T_ur!Q6/T_ur!I22*1000000</f>
        <v>453.17675398976212</v>
      </c>
      <c r="I23" s="355"/>
    </row>
    <row r="24" spans="1:17" x14ac:dyDescent="0.2">
      <c r="A24" s="117" t="str">
        <f t="shared" si="0"/>
        <v>2013-14</v>
      </c>
      <c r="B24" s="191">
        <f>T_ur!J7/T_ur!B23*1000000</f>
        <v>556.33782014041378</v>
      </c>
      <c r="C24" s="191">
        <f>T_ur!K7/T_ur!C23*1000000</f>
        <v>391.12103912955553</v>
      </c>
      <c r="D24" s="191">
        <f>T_ur!L7/T_ur!D23*1000000</f>
        <v>261.31820999185811</v>
      </c>
      <c r="E24" s="191">
        <f>T_ur!M7/T_ur!E23*1000000</f>
        <v>450.58809515177569</v>
      </c>
      <c r="F24" s="191">
        <f>T_ur!N7/T_ur!F23*1000000</f>
        <v>417.12702896964453</v>
      </c>
      <c r="G24" s="191">
        <f>T_ur!O7/T_ur!G23*1000000</f>
        <v>371.25060685195353</v>
      </c>
      <c r="H24" s="353">
        <f>T_ur!Q7/T_ur!I23*1000000</f>
        <v>440.34010924038512</v>
      </c>
      <c r="I24" s="353"/>
    </row>
    <row r="25" spans="1:17" x14ac:dyDescent="0.2">
      <c r="A25" s="117" t="str">
        <f t="shared" si="0"/>
        <v>2014-15</v>
      </c>
      <c r="B25" s="191">
        <f>T_ur!J8/T_ur!B24*1000000</f>
        <v>540.93932074331042</v>
      </c>
      <c r="C25" s="191">
        <f>T_ur!K8/T_ur!C24*1000000</f>
        <v>398.69608954980652</v>
      </c>
      <c r="D25" s="191">
        <f>T_ur!L8/T_ur!D24*1000000</f>
        <v>224.52261957448644</v>
      </c>
      <c r="E25" s="191">
        <f>T_ur!M8/T_ur!E24*1000000</f>
        <v>395.01039501039497</v>
      </c>
      <c r="F25" s="191">
        <f>T_ur!N8/T_ur!F24*1000000</f>
        <v>433.76835403694884</v>
      </c>
      <c r="G25" s="191">
        <f>T_ur!O8/T_ur!G24*1000000</f>
        <v>370.63435495367065</v>
      </c>
      <c r="H25" s="353">
        <f>T_ur!Q8/T_ur!I24*1000000</f>
        <v>434.58747849502578</v>
      </c>
      <c r="I25" s="353"/>
    </row>
    <row r="26" spans="1:17" x14ac:dyDescent="0.2">
      <c r="A26" s="117" t="str">
        <f t="shared" si="0"/>
        <v>2015-16</v>
      </c>
      <c r="B26" s="191">
        <f>T_ur!J9/T_ur!B25*1000000</f>
        <v>575.40564210308332</v>
      </c>
      <c r="C26" s="191">
        <f>T_ur!K9/T_ur!C25*1000000</f>
        <v>440.13432020206307</v>
      </c>
      <c r="D26" s="191">
        <f>T_ur!L9/T_ur!D25*1000000</f>
        <v>278.45893486219518</v>
      </c>
      <c r="E26" s="191">
        <f>T_ur!M9/T_ur!E25*1000000</f>
        <v>395.2856979393132</v>
      </c>
      <c r="F26" s="191">
        <f>T_ur!N9/T_ur!F25*1000000</f>
        <v>378.70974940911134</v>
      </c>
      <c r="G26" s="191">
        <f>T_ur!O9/T_ur!G25*1000000</f>
        <v>427.99669015892943</v>
      </c>
      <c r="H26" s="353">
        <f>T_ur!Q9/T_ur!I25*1000000</f>
        <v>464.17271542899687</v>
      </c>
      <c r="I26" s="353"/>
    </row>
    <row r="27" spans="1:17" x14ac:dyDescent="0.2">
      <c r="A27" s="117" t="str">
        <f t="shared" si="0"/>
        <v>2016-17</v>
      </c>
      <c r="B27" s="191">
        <f>T_ur!J10/T_ur!B26*1000000</f>
        <v>523.32479993506502</v>
      </c>
      <c r="C27" s="191">
        <f>T_ur!K10/T_ur!C26*1000000</f>
        <v>380.5209975159018</v>
      </c>
      <c r="D27" s="191">
        <f>T_ur!L10/T_ur!D26*1000000</f>
        <v>274.77599316494712</v>
      </c>
      <c r="E27" s="191">
        <f>T_ur!M10/T_ur!E26*1000000</f>
        <v>390.26928580720693</v>
      </c>
      <c r="F27" s="191">
        <f>T_ur!N10/T_ur!F26*1000000</f>
        <v>389.57868653462236</v>
      </c>
      <c r="G27" s="191">
        <f>T_ur!O10/T_ur!G26*1000000</f>
        <v>364.50425836061828</v>
      </c>
      <c r="H27" s="353">
        <f>T_ur!Q10/T_ur!I26*1000000</f>
        <v>421.29997964734395</v>
      </c>
      <c r="I27" s="353"/>
    </row>
    <row r="28" spans="1:17" x14ac:dyDescent="0.2">
      <c r="A28" s="117" t="str">
        <f t="shared" si="0"/>
        <v>2017-18</v>
      </c>
      <c r="B28" s="191">
        <f>T_ur!J11/T_ur!B27*1000000</f>
        <v>469.58470671384094</v>
      </c>
      <c r="C28" s="191">
        <f>T_ur!K11/T_ur!C27*1000000</f>
        <v>412.905277999948</v>
      </c>
      <c r="D28" s="191">
        <f>T_ur!L11/T_ur!D27*1000000</f>
        <v>310.41606456654142</v>
      </c>
      <c r="E28" s="191">
        <f>T_ur!M11/T_ur!E27*1000000</f>
        <v>308.09882139145782</v>
      </c>
      <c r="F28" s="191">
        <f>T_ur!N11/T_ur!F27*1000000</f>
        <v>438.97574534768535</v>
      </c>
      <c r="G28" s="191">
        <f>T_ur!O11/T_ur!G27*1000000</f>
        <v>385.88422840550737</v>
      </c>
      <c r="H28" s="353">
        <f>T_ur!Q11/T_ur!I27*1000000</f>
        <v>421.58236248340955</v>
      </c>
      <c r="I28" s="353"/>
    </row>
    <row r="29" spans="1:17" x14ac:dyDescent="0.2">
      <c r="A29" s="117" t="str">
        <f t="shared" ref="A29:A31" si="1">A17</f>
        <v>2018-19</v>
      </c>
      <c r="B29" s="191">
        <f>T_ur!J12/T_ur!B28*1000000</f>
        <v>478.63478793629253</v>
      </c>
      <c r="C29" s="191">
        <f>T_ur!K12/T_ur!C28*1000000</f>
        <v>381.23818199912728</v>
      </c>
      <c r="D29" s="191">
        <f>T_ur!L12/T_ur!D28*1000000</f>
        <v>299.32630201596265</v>
      </c>
      <c r="E29" s="191">
        <f>T_ur!M12/T_ur!E28*1000000</f>
        <v>345.17564733508709</v>
      </c>
      <c r="F29" s="191">
        <f>T_ur!N12/T_ur!F28*1000000</f>
        <v>384.48204189539786</v>
      </c>
      <c r="G29" s="191">
        <f>T_ur!O12/T_ur!G28*1000000</f>
        <v>499.70428891763419</v>
      </c>
      <c r="H29" s="353">
        <f>T_ur!Q12/T_ur!I28*1000000</f>
        <v>414.11522406722935</v>
      </c>
      <c r="I29" s="353"/>
    </row>
    <row r="30" spans="1:17" x14ac:dyDescent="0.2">
      <c r="A30" s="117" t="str">
        <f t="shared" si="1"/>
        <v>2019-20</v>
      </c>
      <c r="B30" s="191">
        <f>T_ur!J13/T_ur!B29*1000000</f>
        <v>426.56623081891291</v>
      </c>
      <c r="C30" s="191">
        <f>T_ur!K13/T_ur!C29*1000000</f>
        <v>338.76358434320429</v>
      </c>
      <c r="D30" s="191">
        <f>T_ur!L13/T_ur!D29*1000000</f>
        <v>240.99211977095084</v>
      </c>
      <c r="E30" s="191">
        <f>T_ur!M13/T_ur!E29*1000000</f>
        <v>319.3249157191616</v>
      </c>
      <c r="F30" s="191">
        <f>T_ur!N13/T_ur!F29*1000000</f>
        <v>330.88092179532094</v>
      </c>
      <c r="G30" s="191">
        <f>T_ur!O13/T_ur!G29*1000000</f>
        <v>385.87324380230638</v>
      </c>
      <c r="H30" s="353">
        <f>T_ur!Q13/T_ur!I29*1000000</f>
        <v>362.41831859864919</v>
      </c>
      <c r="I30" s="353"/>
    </row>
    <row r="31" spans="1:17" ht="13.5" thickBot="1" x14ac:dyDescent="0.25">
      <c r="A31" s="842" t="str">
        <f t="shared" si="1"/>
        <v>2020-21</v>
      </c>
      <c r="B31" s="492">
        <f>T_ur!J14/T_ur!B30*1000000</f>
        <v>322.28577398208364</v>
      </c>
      <c r="C31" s="492">
        <f>T_ur!K14/T_ur!C30*1000000</f>
        <v>298.7866397349394</v>
      </c>
      <c r="D31" s="492">
        <f>T_ur!L14/T_ur!D30*1000000</f>
        <v>211.25227789703692</v>
      </c>
      <c r="E31" s="492">
        <f>T_ur!M14/T_ur!E30*1000000</f>
        <v>331.58418290815121</v>
      </c>
      <c r="F31" s="492">
        <f>T_ur!N14/T_ur!F30*1000000</f>
        <v>351.37992834416622</v>
      </c>
      <c r="G31" s="492">
        <f>T_ur!O14/T_ur!G30*1000000</f>
        <v>428.44901456726654</v>
      </c>
      <c r="H31" s="712">
        <f>T_ur!Q14/T_ur!I30*1000000</f>
        <v>314.30662275887306</v>
      </c>
      <c r="I31" s="712"/>
    </row>
    <row r="33" spans="1:9" ht="15" x14ac:dyDescent="0.25">
      <c r="B33" s="708" t="s">
        <v>10</v>
      </c>
    </row>
    <row r="34" spans="1:9" ht="30" x14ac:dyDescent="0.25">
      <c r="A34" s="136" t="s">
        <v>4</v>
      </c>
      <c r="B34" s="840" t="s">
        <v>1006</v>
      </c>
      <c r="C34" s="840" t="s">
        <v>1007</v>
      </c>
      <c r="D34" s="840" t="s">
        <v>1008</v>
      </c>
      <c r="E34" s="840" t="s">
        <v>1009</v>
      </c>
      <c r="F34" s="840" t="s">
        <v>1010</v>
      </c>
      <c r="G34" s="840" t="s">
        <v>1011</v>
      </c>
      <c r="H34" s="845" t="s">
        <v>11</v>
      </c>
      <c r="I34" s="841"/>
    </row>
    <row r="35" spans="1:9" x14ac:dyDescent="0.2">
      <c r="A35" s="400" t="str">
        <f t="shared" ref="A35:A40" si="2">A23</f>
        <v>2012-13</v>
      </c>
      <c r="B35" s="354">
        <f>T_ur!R6/T_ur!B22*1000000</f>
        <v>372.57701298744115</v>
      </c>
      <c r="C35" s="354">
        <f>T_ur!S6/T_ur!C22*1000000</f>
        <v>325.71064256955901</v>
      </c>
      <c r="D35" s="354">
        <f>T_ur!T6/T_ur!D22*1000000</f>
        <v>320.62877903261096</v>
      </c>
      <c r="E35" s="354">
        <f>T_ur!U6/T_ur!E22*1000000</f>
        <v>186.04458868642186</v>
      </c>
      <c r="F35" s="354">
        <f>T_ur!V6/T_ur!F22*1000000</f>
        <v>664.23288039472436</v>
      </c>
      <c r="G35" s="354">
        <f>T_ur!W6/T_ur!G22*1000000</f>
        <v>478.40977856914287</v>
      </c>
      <c r="H35" s="355">
        <f>T_ur!Y6/T_ur!I22*1000000</f>
        <v>382.79132791327913</v>
      </c>
      <c r="I35" s="355"/>
    </row>
    <row r="36" spans="1:9" x14ac:dyDescent="0.2">
      <c r="A36" s="117" t="str">
        <f t="shared" si="2"/>
        <v>2013-14</v>
      </c>
      <c r="B36" s="191">
        <f>T_ur!R7/T_ur!B23*1000000</f>
        <v>403.16713219615036</v>
      </c>
      <c r="C36" s="191">
        <f>T_ur!S7/T_ur!C23*1000000</f>
        <v>280.25208315582324</v>
      </c>
      <c r="D36" s="191">
        <f>T_ur!T7/T_ur!D23*1000000</f>
        <v>241.88131833957115</v>
      </c>
      <c r="E36" s="191">
        <f>T_ur!U7/T_ur!E23*1000000</f>
        <v>227.88363432963368</v>
      </c>
      <c r="F36" s="191">
        <f>T_ur!V7/T_ur!F23*1000000</f>
        <v>625.69054345446682</v>
      </c>
      <c r="G36" s="191">
        <f>T_ur!W7/T_ur!G23*1000000</f>
        <v>422.01992060948561</v>
      </c>
      <c r="H36" s="353">
        <f>T_ur!Y7/T_ur!I23*1000000</f>
        <v>363.75922067683996</v>
      </c>
      <c r="I36" s="353"/>
    </row>
    <row r="37" spans="1:9" x14ac:dyDescent="0.2">
      <c r="A37" s="117" t="str">
        <f t="shared" si="2"/>
        <v>2014-15</v>
      </c>
      <c r="B37" s="191">
        <f>T_ur!R8/T_ur!B24*1000000</f>
        <v>376.21106528077468</v>
      </c>
      <c r="C37" s="191">
        <f>T_ur!S8/T_ur!C24*1000000</f>
        <v>289.02904178160782</v>
      </c>
      <c r="D37" s="191">
        <f>T_ur!T8/T_ur!D24*1000000</f>
        <v>211.56939152211226</v>
      </c>
      <c r="E37" s="191">
        <f>T_ur!U8/T_ur!E24*1000000</f>
        <v>181.91268191268193</v>
      </c>
      <c r="F37" s="191">
        <f>T_ur!V8/T_ur!F24*1000000</f>
        <v>621.62079082460389</v>
      </c>
      <c r="G37" s="191">
        <f>T_ur!W8/T_ur!G24*1000000</f>
        <v>452.99754494337532</v>
      </c>
      <c r="H37" s="353">
        <f>T_ur!Y8/T_ur!I24*1000000</f>
        <v>354.73857431371084</v>
      </c>
      <c r="I37" s="353"/>
    </row>
    <row r="38" spans="1:9" x14ac:dyDescent="0.2">
      <c r="A38" s="117" t="str">
        <f t="shared" si="2"/>
        <v>2015-16</v>
      </c>
      <c r="B38" s="191">
        <f>T_ur!R9/T_ur!B25*1000000</f>
        <v>390.97384304098915</v>
      </c>
      <c r="C38" s="191">
        <f>T_ur!S9/T_ur!C25*1000000</f>
        <v>295.97882856793785</v>
      </c>
      <c r="D38" s="191">
        <f>T_ur!T9/T_ur!D25*1000000</f>
        <v>233.12841058230296</v>
      </c>
      <c r="E38" s="191">
        <f>T_ur!U9/T_ur!E25*1000000</f>
        <v>171.63721094733336</v>
      </c>
      <c r="F38" s="191">
        <f>T_ur!V9/T_ur!F25*1000000</f>
        <v>642.45403917617114</v>
      </c>
      <c r="G38" s="191">
        <f>T_ur!W9/T_ur!G25*1000000</f>
        <v>440.67807357104584</v>
      </c>
      <c r="H38" s="353">
        <f>T_ur!Y9/T_ur!I25*1000000</f>
        <v>365.71747627024007</v>
      </c>
      <c r="I38" s="353"/>
    </row>
    <row r="39" spans="1:9" x14ac:dyDescent="0.2">
      <c r="A39" s="117" t="str">
        <f t="shared" si="2"/>
        <v>2016-17</v>
      </c>
      <c r="B39" s="191">
        <f>T_ur!R10/T_ur!B26*1000000</f>
        <v>424.53389382487416</v>
      </c>
      <c r="C39" s="191">
        <f>T_ur!S10/T_ur!C26*1000000</f>
        <v>308.08938672869266</v>
      </c>
      <c r="D39" s="191">
        <f>T_ur!T10/T_ur!D26*1000000</f>
        <v>283.36274295135178</v>
      </c>
      <c r="E39" s="191">
        <f>T_ur!U10/T_ur!E26*1000000</f>
        <v>150.90412384545337</v>
      </c>
      <c r="F39" s="191">
        <f>T_ur!V10/T_ur!F26*1000000</f>
        <v>692.21277349928607</v>
      </c>
      <c r="G39" s="191">
        <f>T_ur!W10/T_ur!G26*1000000</f>
        <v>459.59232575904048</v>
      </c>
      <c r="H39" s="353">
        <f>T_ur!Y10/T_ur!I26*1000000</f>
        <v>392.25118878013581</v>
      </c>
      <c r="I39" s="353"/>
    </row>
    <row r="40" spans="1:9" x14ac:dyDescent="0.2">
      <c r="A40" s="117" t="str">
        <f t="shared" si="2"/>
        <v>2017-18</v>
      </c>
      <c r="B40" s="191">
        <f>T_ur!R11/T_ur!B27*1000000</f>
        <v>385.21864076186273</v>
      </c>
      <c r="C40" s="191">
        <f>T_ur!S11/T_ur!C27*1000000</f>
        <v>324.20710717032955</v>
      </c>
      <c r="D40" s="191">
        <f>T_ur!T11/T_ur!D27*1000000</f>
        <v>256.8960534343791</v>
      </c>
      <c r="E40" s="191">
        <f>T_ur!U11/T_ur!E27*1000000</f>
        <v>203.65854295367552</v>
      </c>
      <c r="F40" s="191">
        <f>T_ur!V11/T_ur!F27*1000000</f>
        <v>609.59650674697434</v>
      </c>
      <c r="G40" s="191">
        <f>T_ur!W11/T_ur!G27*1000000</f>
        <v>395.37318484170839</v>
      </c>
      <c r="H40" s="353">
        <f>T_ur!Y11/T_ur!I27*1000000</f>
        <v>371.62660374576024</v>
      </c>
      <c r="I40" s="353"/>
    </row>
    <row r="41" spans="1:9" x14ac:dyDescent="0.2">
      <c r="A41" s="117" t="str">
        <f t="shared" ref="A41:A43" si="3">A29</f>
        <v>2018-19</v>
      </c>
      <c r="B41" s="191">
        <f>T_ur!R12/T_ur!B28*1000000</f>
        <v>359.37187495547431</v>
      </c>
      <c r="C41" s="191">
        <f>T_ur!S12/T_ur!C28*1000000</f>
        <v>304.68433019207362</v>
      </c>
      <c r="D41" s="191">
        <f>T_ur!T12/T_ur!D28*1000000</f>
        <v>243.73713164156959</v>
      </c>
      <c r="E41" s="191">
        <f>T_ur!U12/T_ur!E28*1000000</f>
        <v>183.0476917686068</v>
      </c>
      <c r="F41" s="191">
        <f>T_ur!V12/T_ur!F28*1000000</f>
        <v>603.01243322910693</v>
      </c>
      <c r="G41" s="191">
        <f>T_ur!W12/T_ur!G28*1000000</f>
        <v>483.89086205315209</v>
      </c>
      <c r="H41" s="353">
        <f>T_ur!Y12/T_ur!I28*1000000</f>
        <v>358.9488975929093</v>
      </c>
      <c r="I41" s="353"/>
    </row>
    <row r="42" spans="1:9" x14ac:dyDescent="0.2">
      <c r="A42" s="117" t="str">
        <f t="shared" si="3"/>
        <v>2019-20</v>
      </c>
      <c r="B42" s="191">
        <f>T_ur!R13/T_ur!B29*1000000</f>
        <v>393.06900533129277</v>
      </c>
      <c r="C42" s="191">
        <f>T_ur!S13/T_ur!C29*1000000</f>
        <v>305.60148647828214</v>
      </c>
      <c r="D42" s="191">
        <f>T_ur!T13/T_ur!D29*1000000</f>
        <v>311.37034943857367</v>
      </c>
      <c r="E42" s="191">
        <f>T_ur!U13/T_ur!E29*1000000</f>
        <v>193.68888330506525</v>
      </c>
      <c r="F42" s="191">
        <f>T_ur!V13/T_ur!F29*1000000</f>
        <v>681.22542722566084</v>
      </c>
      <c r="G42" s="191">
        <f>T_ur!W13/T_ur!G29*1000000</f>
        <v>455.45694350436162</v>
      </c>
      <c r="H42" s="353">
        <f>T_ur!Y13/T_ur!I29*1000000</f>
        <v>384.20002562553765</v>
      </c>
      <c r="I42" s="353"/>
    </row>
    <row r="43" spans="1:9" ht="13.5" thickBot="1" x14ac:dyDescent="0.25">
      <c r="A43" s="842" t="str">
        <f t="shared" si="3"/>
        <v>2020-21</v>
      </c>
      <c r="B43" s="492">
        <f>T_ur!R14/T_ur!B30*1000000</f>
        <v>322.28577398208364</v>
      </c>
      <c r="C43" s="492">
        <f>T_ur!S14/T_ur!C30*1000000</f>
        <v>290.08908344128537</v>
      </c>
      <c r="D43" s="492">
        <f>T_ur!T14/T_ur!D30*1000000</f>
        <v>262.46495132662159</v>
      </c>
      <c r="E43" s="492">
        <f>T_ur!U14/T_ur!E30*1000000</f>
        <v>142.10750696063621</v>
      </c>
      <c r="F43" s="492">
        <f>T_ur!V14/T_ur!F30*1000000</f>
        <v>571.19294287910134</v>
      </c>
      <c r="G43" s="492">
        <f>T_ur!W14/T_ur!G30*1000000</f>
        <v>396.71205052524675</v>
      </c>
      <c r="H43" s="712">
        <f>T_ur!Y14/T_ur!I30*1000000</f>
        <v>332.23563849249905</v>
      </c>
      <c r="I43" s="712"/>
    </row>
    <row r="44" spans="1:9" x14ac:dyDescent="0.2">
      <c r="H44" s="117"/>
    </row>
    <row r="45" spans="1:9" ht="15" x14ac:dyDescent="0.25">
      <c r="B45" s="708" t="s">
        <v>865</v>
      </c>
      <c r="H45" s="117"/>
    </row>
    <row r="46" spans="1:9" ht="30" x14ac:dyDescent="0.25">
      <c r="A46" s="136" t="s">
        <v>4</v>
      </c>
      <c r="B46" s="840" t="s">
        <v>1006</v>
      </c>
      <c r="C46" s="840" t="s">
        <v>1007</v>
      </c>
      <c r="D46" s="840" t="s">
        <v>1008</v>
      </c>
      <c r="E46" s="840" t="s">
        <v>1009</v>
      </c>
      <c r="F46" s="840" t="s">
        <v>1010</v>
      </c>
      <c r="G46" s="840" t="s">
        <v>1011</v>
      </c>
      <c r="H46" s="845" t="s">
        <v>11</v>
      </c>
      <c r="I46" s="841"/>
    </row>
    <row r="47" spans="1:9" x14ac:dyDescent="0.2">
      <c r="A47" s="400" t="str">
        <f t="shared" ref="A47:A52" si="4">A35</f>
        <v>2012-13</v>
      </c>
      <c r="B47" s="354">
        <f>T_ur!Z6/T_ur!B22*1000000</f>
        <v>146.72280599947905</v>
      </c>
      <c r="C47" s="354">
        <f>T_ur!AA6/T_ur!C22*1000000</f>
        <v>128.94853514977811</v>
      </c>
      <c r="D47" s="354">
        <f>T_ur!AB6/T_ur!D22*1000000</f>
        <v>101.82130144954537</v>
      </c>
      <c r="E47" s="354">
        <f>T_ur!AC6/T_ur!E22*1000000</f>
        <v>113.6939153083689</v>
      </c>
      <c r="F47" s="354">
        <f>T_ur!AD6/T_ur!F22*1000000</f>
        <v>225.4576356431179</v>
      </c>
      <c r="G47" s="354">
        <f>T_ur!AE6/T_ur!G22*1000000</f>
        <v>294.64973117172377</v>
      </c>
      <c r="H47" s="355">
        <f>T_ur!AG6/T_ur!I22*1000000</f>
        <v>153.38000602228243</v>
      </c>
      <c r="I47" s="355"/>
    </row>
    <row r="48" spans="1:9" x14ac:dyDescent="0.2">
      <c r="A48" s="117" t="str">
        <f t="shared" si="4"/>
        <v>2013-14</v>
      </c>
      <c r="B48" s="191">
        <f>T_ur!Z7/T_ur!B23*1000000</f>
        <v>130.74212292385337</v>
      </c>
      <c r="C48" s="191">
        <f>T_ur!AA7/T_ur!C23*1000000</f>
        <v>155.01122548179234</v>
      </c>
      <c r="D48" s="191">
        <f>T_ur!AB7/T_ur!D23*1000000</f>
        <v>131.738932309945</v>
      </c>
      <c r="E48" s="191">
        <f>T_ur!AC7/T_ur!E23*1000000</f>
        <v>113.94181716481684</v>
      </c>
      <c r="F48" s="191">
        <f>T_ur!AD7/T_ur!F23*1000000</f>
        <v>330.94375852137085</v>
      </c>
      <c r="G48" s="191">
        <f>T_ur!AE7/T_ur!G23*1000000</f>
        <v>291.92355410580961</v>
      </c>
      <c r="H48" s="353">
        <f>T_ur!AG7/T_ur!I23*1000000</f>
        <v>171.55620624284398</v>
      </c>
      <c r="I48" s="353"/>
    </row>
    <row r="49" spans="1:9" x14ac:dyDescent="0.2">
      <c r="A49" s="117" t="str">
        <f t="shared" si="4"/>
        <v>2014-15</v>
      </c>
      <c r="B49" s="191">
        <f>T_ur!Z8/T_ur!B24*1000000</f>
        <v>122.86661958591775</v>
      </c>
      <c r="C49" s="191">
        <f>T_ur!AA8/T_ur!C24*1000000</f>
        <v>146.05190941091885</v>
      </c>
      <c r="D49" s="191">
        <f>T_ur!AB8/T_ur!D24*1000000</f>
        <v>116.57905247136797</v>
      </c>
      <c r="E49" s="191">
        <f>T_ur!AC8/T_ur!E24*1000000</f>
        <v>83.160083160083161</v>
      </c>
      <c r="F49" s="191">
        <f>T_ur!AD8/T_ur!F24*1000000</f>
        <v>271.53215862942858</v>
      </c>
      <c r="G49" s="191">
        <f>T_ur!AE8/T_ur!G24*1000000</f>
        <v>300.94242496238218</v>
      </c>
      <c r="H49" s="353">
        <f>T_ur!AG8/T_ur!I24*1000000</f>
        <v>156.70581195302566</v>
      </c>
      <c r="I49" s="353"/>
    </row>
    <row r="50" spans="1:9" x14ac:dyDescent="0.2">
      <c r="A50" s="117" t="str">
        <f t="shared" si="4"/>
        <v>2015-16</v>
      </c>
      <c r="B50" s="191">
        <f>T_ur!Z9/T_ur!B25*1000000</f>
        <v>127.80800110443369</v>
      </c>
      <c r="C50" s="191">
        <f>T_ur!AA9/T_ur!C25*1000000</f>
        <v>135.97645664779185</v>
      </c>
      <c r="D50" s="191">
        <f>T_ur!AB9/T_ur!D25*1000000</f>
        <v>159.73613317676313</v>
      </c>
      <c r="E50" s="191">
        <f>T_ur!AC9/T_ur!E25*1000000</f>
        <v>88.419169275899009</v>
      </c>
      <c r="F50" s="191">
        <f>T_ur!AD9/T_ur!F25*1000000</f>
        <v>321.22701958808557</v>
      </c>
      <c r="G50" s="191">
        <f>T_ur!AE9/T_ur!G25*1000000</f>
        <v>250.45732238929943</v>
      </c>
      <c r="H50" s="353">
        <f>T_ur!AG9/T_ur!I25*1000000</f>
        <v>162.66517774055464</v>
      </c>
      <c r="I50" s="353"/>
    </row>
    <row r="51" spans="1:9" x14ac:dyDescent="0.2">
      <c r="A51" s="117" t="str">
        <f t="shared" si="4"/>
        <v>2016-17</v>
      </c>
      <c r="B51" s="191">
        <f>T_ur!Z10/T_ur!B26*1000000</f>
        <v>141.51129794162472</v>
      </c>
      <c r="C51" s="191">
        <f>T_ur!AA10/T_ur!C26*1000000</f>
        <v>173.9378822425235</v>
      </c>
      <c r="D51" s="191">
        <f>T_ur!AB10/T_ur!D26*1000000</f>
        <v>154.56149615528278</v>
      </c>
      <c r="E51" s="191">
        <f>T_ur!AC10/T_ur!E26*1000000</f>
        <v>88.461038116300244</v>
      </c>
      <c r="F51" s="191">
        <f>T_ur!AD10/T_ur!F26*1000000</f>
        <v>317.68219073638733</v>
      </c>
      <c r="G51" s="191">
        <f>T_ur!AE10/T_ur!G26*1000000</f>
        <v>212.36335052314286</v>
      </c>
      <c r="H51" s="353">
        <f>T_ur!AG10/T_ur!I26*1000000</f>
        <v>177.06810738801411</v>
      </c>
      <c r="I51" s="353"/>
    </row>
    <row r="52" spans="1:9" x14ac:dyDescent="0.2">
      <c r="A52" s="117" t="str">
        <f t="shared" si="4"/>
        <v>2017-18</v>
      </c>
      <c r="B52" s="191">
        <f>T_ur!Z11/T_ur!B27*1000000</f>
        <v>136.89588060132311</v>
      </c>
      <c r="C52" s="191">
        <f>T_ur!AA11/T_ur!C27*1000000</f>
        <v>184.02321649133486</v>
      </c>
      <c r="D52" s="191">
        <f>T_ur!AB11/T_ur!D27*1000000</f>
        <v>171.26403562291941</v>
      </c>
      <c r="E52" s="191">
        <f>T_ur!AC11/T_ur!E27*1000000</f>
        <v>67.886180984558507</v>
      </c>
      <c r="F52" s="191">
        <f>T_ur!AD11/T_ur!F27*1000000</f>
        <v>417.44108614194988</v>
      </c>
      <c r="G52" s="191">
        <f>T_ur!AE11/T_ur!G27*1000000</f>
        <v>265.69078021362805</v>
      </c>
      <c r="H52" s="353">
        <f>T_ur!AG11/T_ur!I27*1000000</f>
        <v>195.03023152927298</v>
      </c>
      <c r="I52" s="353"/>
    </row>
    <row r="53" spans="1:9" x14ac:dyDescent="0.2">
      <c r="A53" s="117" t="str">
        <f t="shared" ref="A53:A55" si="5">A41</f>
        <v>2018-19</v>
      </c>
      <c r="B53" s="191">
        <f>T_ur!Z12/T_ur!B28*1000000</f>
        <v>140.89910515875422</v>
      </c>
      <c r="C53" s="191">
        <f>T_ur!AA12/T_ur!C28*1000000</f>
        <v>182.19816730078773</v>
      </c>
      <c r="D53" s="191">
        <f>T_ur!AB12/T_ur!D28*1000000</f>
        <v>192.424051295976</v>
      </c>
      <c r="E53" s="191">
        <f>T_ur!AC12/T_ur!E28*1000000</f>
        <v>151.66808746541705</v>
      </c>
      <c r="F53" s="191">
        <f>T_ur!AD12/T_ur!F28*1000000</f>
        <v>440.34695396566934</v>
      </c>
      <c r="G53" s="191">
        <f>T_ur!AE12/T_ur!G28*1000000</f>
        <v>341.57002027281322</v>
      </c>
      <c r="H53" s="353">
        <f>T_ur!AG12/T_ur!I28*1000000</f>
        <v>206.68983652378586</v>
      </c>
      <c r="I53" s="353"/>
    </row>
    <row r="54" spans="1:9" x14ac:dyDescent="0.2">
      <c r="A54" s="117" t="str">
        <f t="shared" si="5"/>
        <v>2019-20</v>
      </c>
      <c r="B54" s="191">
        <f>T_ur!Z13/T_ur!B29*1000000</f>
        <v>117.76368335491462</v>
      </c>
      <c r="C54" s="191">
        <f>T_ur!AA13/T_ur!C29*1000000</f>
        <v>141.32155551666804</v>
      </c>
      <c r="D54" s="191">
        <f>T_ur!AB13/T_ur!D29*1000000</f>
        <v>142.88913296153723</v>
      </c>
      <c r="E54" s="191">
        <f>T_ur!AC13/T_ur!E29*1000000</f>
        <v>125.63603241409635</v>
      </c>
      <c r="F54" s="191">
        <f>T_ur!AD13/T_ur!F29*1000000</f>
        <v>314.66126876613856</v>
      </c>
      <c r="G54" s="191">
        <f>T_ur!AE13/T_ur!G29*1000000</f>
        <v>281.49769424922351</v>
      </c>
      <c r="H54" s="353">
        <f>T_ur!AG13/T_ur!I29*1000000</f>
        <v>161.62392693060968</v>
      </c>
      <c r="I54" s="353"/>
    </row>
    <row r="55" spans="1:9" ht="13.5" thickBot="1" x14ac:dyDescent="0.25">
      <c r="A55" s="842" t="str">
        <f t="shared" si="5"/>
        <v>2020-21</v>
      </c>
      <c r="B55" s="492">
        <f>T_ur!Z14/T_ur!B30*1000000</f>
        <v>163.4934315338609</v>
      </c>
      <c r="C55" s="492">
        <f>T_ur!AA14/T_ur!C30*1000000</f>
        <v>196.9740690033419</v>
      </c>
      <c r="D55" s="492">
        <f>T_ur!AB14/T_ur!D30*1000000</f>
        <v>204.85069371833885</v>
      </c>
      <c r="E55" s="492">
        <f>T_ur!AC14/T_ur!E30*1000000</f>
        <v>200.00315794459914</v>
      </c>
      <c r="F55" s="492">
        <f>T_ur!AD14/T_ur!F30*1000000</f>
        <v>434.81260539392258</v>
      </c>
      <c r="G55" s="492">
        <f>T_ur!AE14/T_ur!G30*1000000</f>
        <v>345.93290805801519</v>
      </c>
      <c r="H55" s="712">
        <f>T_ur!AG14/T_ur!I30*1000000</f>
        <v>223.38090010976947</v>
      </c>
      <c r="I55" s="712"/>
    </row>
    <row r="56" spans="1:9" x14ac:dyDescent="0.2">
      <c r="H56" s="117"/>
    </row>
    <row r="57" spans="1:9" ht="15" x14ac:dyDescent="0.25">
      <c r="B57" s="708" t="s">
        <v>2</v>
      </c>
      <c r="H57" s="117"/>
    </row>
    <row r="58" spans="1:9" ht="30" x14ac:dyDescent="0.25">
      <c r="A58" s="136" t="s">
        <v>4</v>
      </c>
      <c r="B58" s="840" t="s">
        <v>1006</v>
      </c>
      <c r="C58" s="840" t="s">
        <v>1007</v>
      </c>
      <c r="D58" s="840" t="s">
        <v>1008</v>
      </c>
      <c r="E58" s="840" t="s">
        <v>1009</v>
      </c>
      <c r="F58" s="840" t="s">
        <v>1010</v>
      </c>
      <c r="G58" s="840" t="s">
        <v>1011</v>
      </c>
      <c r="H58" s="845" t="s">
        <v>11</v>
      </c>
      <c r="I58" s="841"/>
    </row>
    <row r="59" spans="1:9" x14ac:dyDescent="0.2">
      <c r="A59" s="400" t="str">
        <f t="shared" ref="A59:A67" si="6">A47</f>
        <v>2012-13</v>
      </c>
      <c r="B59" s="354">
        <f>T_ur!BF6/T_ur!B22*1000000</f>
        <v>3178.4446063707373</v>
      </c>
      <c r="C59" s="354">
        <f>T_ur!BG6/T_ur!C22*1000000</f>
        <v>2837.8952516628456</v>
      </c>
      <c r="D59" s="354">
        <f>T_ur!BH6/T_ur!D22*1000000</f>
        <v>1774.2903380250566</v>
      </c>
      <c r="E59" s="354">
        <f>T_ur!BI6/T_ur!E22*1000000</f>
        <v>1410.8381308720325</v>
      </c>
      <c r="F59" s="354">
        <f>T_ur!BJ6/T_ur!F22*1000000</f>
        <v>1900.7812974219785</v>
      </c>
      <c r="G59" s="354">
        <f>T_ur!BK6/T_ur!G22*1000000</f>
        <v>2360.3661260530562</v>
      </c>
      <c r="H59" s="355">
        <f>T_ur!BM6/T_ur!I22*1000000</f>
        <v>2686.1261668172237</v>
      </c>
      <c r="I59" s="355"/>
    </row>
    <row r="60" spans="1:9" x14ac:dyDescent="0.2">
      <c r="A60" s="117" t="str">
        <f t="shared" si="6"/>
        <v>2013-14</v>
      </c>
      <c r="B60" s="191">
        <f>T_ur!BF7/T_ur!B23*1000000</f>
        <v>3578.7237161834678</v>
      </c>
      <c r="C60" s="191">
        <f>T_ur!BG7/T_ur!C23*1000000</f>
        <v>3040.6837740203237</v>
      </c>
      <c r="D60" s="191">
        <f>T_ur!BH7/T_ur!D23*1000000</f>
        <v>2081.9070614227371</v>
      </c>
      <c r="E60" s="191">
        <f>T_ur!BI7/T_ur!E23*1000000</f>
        <v>1294.7933768729185</v>
      </c>
      <c r="F60" s="191">
        <f>T_ur!BJ7/T_ur!F23*1000000</f>
        <v>3173.268017905436</v>
      </c>
      <c r="G60" s="191">
        <f>T_ur!BK7/T_ur!G23*1000000</f>
        <v>2547.9849342061425</v>
      </c>
      <c r="H60" s="353">
        <f>T_ur!BM7/T_ur!I23*1000000</f>
        <v>3070.9311710494212</v>
      </c>
      <c r="I60" s="353"/>
    </row>
    <row r="61" spans="1:9" x14ac:dyDescent="0.2">
      <c r="A61" s="117" t="str">
        <f t="shared" si="6"/>
        <v>2014-15</v>
      </c>
      <c r="B61" s="191">
        <f>T_ur!BF8/T_ur!B24*1000000</f>
        <v>3177.6787233614568</v>
      </c>
      <c r="C61" s="191">
        <f>T_ur!BG8/T_ur!C24*1000000</f>
        <v>2523.3670243486472</v>
      </c>
      <c r="D61" s="191">
        <f>T_ur!BH8/T_ur!D24*1000000</f>
        <v>1612.6768925205902</v>
      </c>
      <c r="E61" s="191">
        <f>T_ur!BI8/T_ur!E24*1000000</f>
        <v>1008.3160083160083</v>
      </c>
      <c r="F61" s="191">
        <f>T_ur!BJ8/T_ur!F24*1000000</f>
        <v>2139.8100299539251</v>
      </c>
      <c r="G61" s="191">
        <f>T_ur!BK8/T_ur!G24*1000000</f>
        <v>1349.4891898313138</v>
      </c>
      <c r="H61" s="353">
        <f>T_ur!BM8/T_ur!I24*1000000</f>
        <v>2506.91899169721</v>
      </c>
      <c r="I61" s="353"/>
    </row>
    <row r="62" spans="1:9" x14ac:dyDescent="0.2">
      <c r="A62" s="117" t="str">
        <f t="shared" si="6"/>
        <v>2015-16</v>
      </c>
      <c r="B62" s="191">
        <f>T_ur!BF9/T_ur!B25*1000000</f>
        <v>3445.9625614233391</v>
      </c>
      <c r="C62" s="191">
        <f>T_ur!BG9/T_ur!C25*1000000</f>
        <v>2723.6186504490033</v>
      </c>
      <c r="D62" s="191">
        <f>T_ur!BH9/T_ur!D25*1000000</f>
        <v>1716.0841334530635</v>
      </c>
      <c r="E62" s="191">
        <f>T_ur!BI9/T_ur!E25*1000000</f>
        <v>1040.2255208929296</v>
      </c>
      <c r="F62" s="191">
        <f>T_ur!BJ9/T_ur!F25*1000000</f>
        <v>2486.9733990214409</v>
      </c>
      <c r="G62" s="191">
        <f>T_ur!BK9/T_ur!G25*1000000</f>
        <v>1654.9205352811937</v>
      </c>
      <c r="H62" s="353">
        <f>T_ur!BM9/T_ur!I25*1000000</f>
        <v>2741.8574353247723</v>
      </c>
      <c r="I62" s="353"/>
    </row>
    <row r="63" spans="1:9" x14ac:dyDescent="0.2">
      <c r="A63" s="117" t="str">
        <f t="shared" si="6"/>
        <v>2016-17</v>
      </c>
      <c r="B63" s="191">
        <f>T_ur!BF10/T_ur!B26*1000000</f>
        <v>3575.6967962910153</v>
      </c>
      <c r="C63" s="191">
        <f>T_ur!BG10/T_ur!C26*1000000</f>
        <v>2923.2786015598303</v>
      </c>
      <c r="D63" s="191">
        <f>T_ur!BH10/T_ur!D26*1000000</f>
        <v>1966.365701086653</v>
      </c>
      <c r="E63" s="191">
        <f>T_ur!BI10/T_ur!E26*1000000</f>
        <v>910.6283335501497</v>
      </c>
      <c r="F63" s="191">
        <f>T_ur!BJ10/T_ur!F26*1000000</f>
        <v>2536.4414913005239</v>
      </c>
      <c r="G63" s="191">
        <f>T_ur!BK10/T_ur!G26*1000000</f>
        <v>1882.7437344887589</v>
      </c>
      <c r="H63" s="353">
        <f>T_ur!BM10/T_ur!I26*1000000</f>
        <v>2897.4781208947766</v>
      </c>
      <c r="I63" s="353"/>
    </row>
    <row r="64" spans="1:9" x14ac:dyDescent="0.2">
      <c r="A64" s="117" t="str">
        <f t="shared" si="6"/>
        <v>2017-18</v>
      </c>
      <c r="B64" s="191">
        <f>T_ur!BF11/T_ur!B27*1000000</f>
        <v>3220.767423449734</v>
      </c>
      <c r="C64" s="191">
        <f>T_ur!BG11/T_ur!C27*1000000</f>
        <v>2716.5089215576822</v>
      </c>
      <c r="D64" s="191">
        <f>T_ur!BH11/T_ur!D27*1000000</f>
        <v>1849.6515847275296</v>
      </c>
      <c r="E64" s="191">
        <f>T_ur!BI11/T_ur!E27*1000000</f>
        <v>1122.7329932061598</v>
      </c>
      <c r="F64" s="191">
        <f>T_ur!BJ11/T_ur!F27*1000000</f>
        <v>2652.0761067986577</v>
      </c>
      <c r="G64" s="191">
        <f>T_ur!BK11/T_ur!G27*1000000</f>
        <v>1948.3990548999388</v>
      </c>
      <c r="H64" s="353">
        <f>T_ur!BM11/T_ur!I27*1000000</f>
        <v>2714.9387995870816</v>
      </c>
      <c r="I64" s="353"/>
    </row>
    <row r="65" spans="1:9" x14ac:dyDescent="0.2">
      <c r="A65" s="117" t="str">
        <f t="shared" si="6"/>
        <v>2018-19</v>
      </c>
      <c r="B65" s="191">
        <f>T_ur!BF12/T_ur!B28*1000000</f>
        <v>3371.0242837233036</v>
      </c>
      <c r="C65" s="191">
        <f>T_ur!BG12/T_ur!C28*1000000</f>
        <v>2806.9745662586342</v>
      </c>
      <c r="D65" s="191">
        <f>T_ur!BH12/T_ur!D28*1000000</f>
        <v>1885.7557027005646</v>
      </c>
      <c r="E65" s="191">
        <f>T_ur!BI12/T_ur!E28*1000000</f>
        <v>1333.6331828855637</v>
      </c>
      <c r="F65" s="191">
        <f>T_ur!BJ12/T_ur!F28*1000000</f>
        <v>3115.2903907421983</v>
      </c>
      <c r="G65" s="191">
        <f>T_ur!BK12/T_ur!G28*1000000</f>
        <v>2289.7842099770073</v>
      </c>
      <c r="H65" s="353">
        <f>T_ur!BM12/T_ur!I28*1000000</f>
        <v>2886.4860888913408</v>
      </c>
      <c r="I65" s="353"/>
    </row>
    <row r="66" spans="1:9" x14ac:dyDescent="0.2">
      <c r="A66" s="117" t="str">
        <f t="shared" si="6"/>
        <v>2019-20</v>
      </c>
      <c r="B66" s="191">
        <f>T_ur!BF13/T_ur!B29*1000000</f>
        <v>3054.0048550041192</v>
      </c>
      <c r="C66" s="191">
        <f>T_ur!BG13/T_ur!C29*1000000</f>
        <v>2642.2539206527936</v>
      </c>
      <c r="D66" s="191">
        <f>T_ur!BH13/T_ur!D29*1000000</f>
        <v>1695.4755329018224</v>
      </c>
      <c r="E66" s="191">
        <f>T_ur!BI13/T_ur!E29*1000000</f>
        <v>1204.0119773017568</v>
      </c>
      <c r="F66" s="191">
        <f>T_ur!BJ13/T_ur!F29*1000000</f>
        <v>2389.1548911985674</v>
      </c>
      <c r="G66" s="191">
        <f>T_ur!BK13/T_ur!G29*1000000</f>
        <v>1752.2440743153913</v>
      </c>
      <c r="H66" s="353">
        <f>T_ur!BM13/T_ur!I29*1000000</f>
        <v>2579.0273278055388</v>
      </c>
      <c r="I66" s="353"/>
    </row>
    <row r="67" spans="1:9" ht="13.5" thickBot="1" x14ac:dyDescent="0.25">
      <c r="A67" s="842" t="str">
        <f t="shared" si="6"/>
        <v>2020-21</v>
      </c>
      <c r="B67" s="492">
        <f>T_ur!BF14/T_ur!B30*1000000</f>
        <v>3091.7495886547049</v>
      </c>
      <c r="C67" s="492">
        <f>T_ur!BG14/T_ur!C30*1000000</f>
        <v>2847.1706337755786</v>
      </c>
      <c r="D67" s="492">
        <f>T_ur!BH14/T_ur!D30*1000000</f>
        <v>2014.3651548969985</v>
      </c>
      <c r="E67" s="492">
        <f>T_ur!BI14/T_ur!E30*1000000</f>
        <v>1178.9659836734265</v>
      </c>
      <c r="F67" s="492">
        <f>T_ur!BJ14/T_ur!F30*1000000</f>
        <v>2804.6215285187327</v>
      </c>
      <c r="G67" s="492">
        <f>T_ur!BK14/T_ur!G30*1000000</f>
        <v>2193.0242153035642</v>
      </c>
      <c r="H67" s="712">
        <f>T_ur!BM14/T_ur!I30*1000000</f>
        <v>2768.0204903036956</v>
      </c>
      <c r="I67" s="712"/>
    </row>
    <row r="68" spans="1:9" x14ac:dyDescent="0.2">
      <c r="H68" s="117"/>
    </row>
    <row r="69" spans="1:9" ht="15" x14ac:dyDescent="0.25">
      <c r="B69" s="708" t="s">
        <v>114</v>
      </c>
      <c r="H69" s="117"/>
    </row>
    <row r="70" spans="1:9" ht="30" x14ac:dyDescent="0.25">
      <c r="A70" s="136" t="s">
        <v>4</v>
      </c>
      <c r="B70" s="840" t="s">
        <v>1006</v>
      </c>
      <c r="C70" s="840" t="s">
        <v>1007</v>
      </c>
      <c r="D70" s="840" t="s">
        <v>1008</v>
      </c>
      <c r="E70" s="840" t="s">
        <v>1009</v>
      </c>
      <c r="F70" s="840" t="s">
        <v>1010</v>
      </c>
      <c r="G70" s="840" t="s">
        <v>1011</v>
      </c>
      <c r="H70" s="845" t="s">
        <v>11</v>
      </c>
      <c r="I70" s="841"/>
    </row>
    <row r="71" spans="1:9" x14ac:dyDescent="0.2">
      <c r="A71" s="400" t="str">
        <f t="shared" ref="A71:A76" si="7">A59</f>
        <v>2012-13</v>
      </c>
      <c r="B71" s="354">
        <f>(T_ur!AH6+T_ur!AP6+T_ur!AX6)/T_ur!B22*1000000</f>
        <v>12060.394843709988</v>
      </c>
      <c r="C71" s="354">
        <f>(T_ur!AI6+T_ur!AQ6+T_ur!AY6)/T_ur!C22*1000000</f>
        <v>8082.1448405430638</v>
      </c>
      <c r="D71" s="354">
        <f>(T_ur!AJ6+T_ur!AR6+T_ur!AZ6)/T_ur!D22*1000000</f>
        <v>5338.0358887591447</v>
      </c>
      <c r="E71" s="354">
        <f>(T_ur!AK6+T_ur!AS6+T_ur!BA6)/T_ur!E22*1000000</f>
        <v>7963.741976827112</v>
      </c>
      <c r="F71" s="354">
        <f>(T_ur!AL6+T_ur!AT6+T_ur!BB6)/T_ur!F22*1000000</f>
        <v>6243.4422178094192</v>
      </c>
      <c r="G71" s="354">
        <f>(T_ur!AM6+T_ur!AU6+T_ur!BC6)/T_ur!G22*1000000</f>
        <v>6285.8609316634411</v>
      </c>
      <c r="H71" s="355">
        <f>(T_ur!AO6+T_ur!AW6+T_ur!BE6)/T_ur!I22*1000000</f>
        <v>8899.4278831677202</v>
      </c>
      <c r="I71" s="355"/>
    </row>
    <row r="72" spans="1:9" x14ac:dyDescent="0.2">
      <c r="A72" s="117" t="str">
        <f t="shared" si="7"/>
        <v>2013-14</v>
      </c>
      <c r="B72" s="191">
        <f>(T_ur!AH7+T_ur!AP7+T_ur!AX7)/T_ur!B23*1000000</f>
        <v>11865.804972139345</v>
      </c>
      <c r="C72" s="191">
        <f>(T_ur!AI7+T_ur!AQ7+T_ur!AY7)/T_ur!C23*1000000</f>
        <v>8061.6102894603655</v>
      </c>
      <c r="D72" s="191">
        <f>(T_ur!AJ7+T_ur!AR7+T_ur!AZ7)/T_ur!D23*1000000</f>
        <v>5327.8679673546612</v>
      </c>
      <c r="E72" s="191">
        <f>(T_ur!AK7+T_ur!AS7+T_ur!BA7)/T_ur!E23*1000000</f>
        <v>8120.9440597469447</v>
      </c>
      <c r="F72" s="191">
        <f>(T_ur!AL7+T_ur!AT7+T_ur!BB7)/T_ur!F23*1000000</f>
        <v>6105.2228785557063</v>
      </c>
      <c r="G72" s="191">
        <f>(T_ur!AM7+T_ur!AU7+T_ur!BC7)/T_ur!G23*1000000</f>
        <v>7025.2037911985053</v>
      </c>
      <c r="H72" s="353">
        <f>(T_ur!AO7+T_ur!AW7+T_ur!BE7)/T_ur!I23*1000000</f>
        <v>8858.4192052855833</v>
      </c>
      <c r="I72" s="353"/>
    </row>
    <row r="73" spans="1:9" x14ac:dyDescent="0.2">
      <c r="A73" s="117" t="str">
        <f t="shared" si="7"/>
        <v>2014-15</v>
      </c>
      <c r="B73" s="191">
        <f>(T_ur!AH8+T_ur!AP8+T_ur!AX8)/T_ur!B24*1000000</f>
        <v>12014.289496589365</v>
      </c>
      <c r="C73" s="191">
        <f>(T_ur!AI8+T_ur!AQ8+T_ur!AY8)/T_ur!C24*1000000</f>
        <v>8215.8042514942135</v>
      </c>
      <c r="D73" s="191">
        <f>(T_ur!AJ8+T_ur!AR8+T_ur!AZ8)/T_ur!D24*1000000</f>
        <v>5565.5703198367892</v>
      </c>
      <c r="E73" s="191">
        <f>(T_ur!AK8+T_ur!AS8+T_ur!BA8)/T_ur!E24*1000000</f>
        <v>8882.536382536382</v>
      </c>
      <c r="F73" s="191">
        <f>(T_ur!AL8+T_ur!AT8+T_ur!BB8)/T_ur!F24*1000000</f>
        <v>6617.5290232014841</v>
      </c>
      <c r="G73" s="191">
        <f>(T_ur!AM8+T_ur!AU8+T_ur!BC8)/T_ur!G24*1000000</f>
        <v>7447.5330640690581</v>
      </c>
      <c r="H73" s="353">
        <f>(T_ur!AO8+T_ur!AW8+T_ur!BE8)/T_ur!I24*1000000</f>
        <v>9097.3520831775004</v>
      </c>
      <c r="I73" s="353"/>
    </row>
    <row r="74" spans="1:9" x14ac:dyDescent="0.2">
      <c r="A74" s="117" t="str">
        <f t="shared" si="7"/>
        <v>2015-16</v>
      </c>
      <c r="B74" s="191">
        <f>(T_ur!AH9+T_ur!AP9+T_ur!AX9)/T_ur!B25*1000000</f>
        <v>11797.163848778868</v>
      </c>
      <c r="C74" s="191">
        <f>(T_ur!AI9+T_ur!AQ9+T_ur!AY9)/T_ur!C25*1000000</f>
        <v>8290.4743380221353</v>
      </c>
      <c r="D74" s="191">
        <f>(T_ur!AJ9+T_ur!AR9+T_ur!AZ9)/T_ur!D25*1000000</f>
        <v>6046.2285003799125</v>
      </c>
      <c r="E74" s="191">
        <f>(T_ur!AK9+T_ur!AS9+T_ur!BA9)/T_ur!E25*1000000</f>
        <v>8228.1838702630739</v>
      </c>
      <c r="F74" s="191">
        <f>(T_ur!AL9+T_ur!AT9+T_ur!BB9)/T_ur!F25*1000000</f>
        <v>6913.1435952404299</v>
      </c>
      <c r="G74" s="191">
        <f>(T_ur!AM9+T_ur!AU9+T_ur!BC9)/T_ur!G25*1000000</f>
        <v>7161.8112819927528</v>
      </c>
      <c r="H74" s="353">
        <f>(T_ur!AO9+T_ur!AW9+T_ur!BE9)/T_ur!I25*1000000</f>
        <v>9091.0106085985481</v>
      </c>
      <c r="I74" s="353"/>
    </row>
    <row r="75" spans="1:9" x14ac:dyDescent="0.2">
      <c r="A75" s="117" t="str">
        <f t="shared" si="7"/>
        <v>2016-17</v>
      </c>
      <c r="B75" s="191">
        <f>(T_ur!AH10+T_ur!AP10+T_ur!AX10)/T_ur!B26*1000000</f>
        <v>11985.205928308775</v>
      </c>
      <c r="C75" s="191">
        <f>(T_ur!AI10+T_ur!AQ10+T_ur!AY10)/T_ur!C26*1000000</f>
        <v>8880.5235479247331</v>
      </c>
      <c r="D75" s="191">
        <f>(T_ur!AJ10+T_ur!AR10+T_ur!AZ10)/T_ur!D26*1000000</f>
        <v>6493.7295259684779</v>
      </c>
      <c r="E75" s="191">
        <f>(T_ur!AK10+T_ur!AS10+T_ur!BA10)/T_ur!E26*1000000</f>
        <v>8362.1698972290887</v>
      </c>
      <c r="F75" s="191">
        <f>(T_ur!AL10+T_ur!AT10+T_ur!BB10)/T_ur!F26*1000000</f>
        <v>6796.7268702284973</v>
      </c>
      <c r="G75" s="191">
        <f>(T_ur!AM10+T_ur!AU10+T_ur!BC10)/T_ur!G26*1000000</f>
        <v>7258.3891447462256</v>
      </c>
      <c r="H75" s="353">
        <f>(T_ur!AO10+T_ur!AW10+T_ur!BE10)/T_ur!I26*1000000</f>
        <v>9411.8082409754461</v>
      </c>
      <c r="I75" s="353"/>
    </row>
    <row r="76" spans="1:9" x14ac:dyDescent="0.2">
      <c r="A76" s="117" t="str">
        <f t="shared" si="7"/>
        <v>2017-18</v>
      </c>
      <c r="B76" s="191">
        <f>(T_ur!AH11+T_ur!AP11+T_ur!AX11)/T_ur!B27*1000000</f>
        <v>12003.327949469502</v>
      </c>
      <c r="C76" s="191">
        <f>(T_ur!AI11+T_ur!AQ11+T_ur!AY11)/T_ur!C27*1000000</f>
        <v>8960.0445325988712</v>
      </c>
      <c r="D76" s="191">
        <f>(T_ur!AJ11+T_ur!AR11+T_ur!AZ11)/T_ur!D27*1000000</f>
        <v>6794.9006133393277</v>
      </c>
      <c r="E76" s="191">
        <f>(T_ur!AK11+T_ur!AS11+T_ur!BA11)/T_ur!E27*1000000</f>
        <v>9018.4180431025034</v>
      </c>
      <c r="F76" s="191">
        <f>(T_ur!AL11+T_ur!AT11+T_ur!BB11)/T_ur!F27*1000000</f>
        <v>7151.1633685507841</v>
      </c>
      <c r="G76" s="191">
        <f>(T_ur!AM11+T_ur!AU11+T_ur!BC11)/T_ur!G27*1000000</f>
        <v>7730.3365100250821</v>
      </c>
      <c r="H76" s="353">
        <f>(T_ur!AO11+T_ur!AW11+T_ur!BE11)/T_ur!I27*1000000</f>
        <v>9564.2235658457448</v>
      </c>
      <c r="I76" s="353"/>
    </row>
    <row r="77" spans="1:9" x14ac:dyDescent="0.2">
      <c r="A77" s="117" t="str">
        <f t="shared" ref="A77:A79" si="8">A65</f>
        <v>2018-19</v>
      </c>
      <c r="B77" s="191">
        <f>(T_ur!AH12+T_ur!AP12+T_ur!AX12)/T_ur!B28*1000000</f>
        <v>11976.951650498449</v>
      </c>
      <c r="C77" s="191">
        <f>(T_ur!AI12+T_ur!AQ12+T_ur!AY12)/T_ur!C28*1000000</f>
        <v>8921.0755305819894</v>
      </c>
      <c r="D77" s="191">
        <f>(T_ur!AJ12+T_ur!AR12+T_ur!AZ12)/T_ur!D28*1000000</f>
        <v>6578.7645093079782</v>
      </c>
      <c r="E77" s="191">
        <f>(T_ur!AK12+T_ur!AS12+T_ur!BA12)/T_ur!E28*1000000</f>
        <v>9555.0895103212733</v>
      </c>
      <c r="F77" s="191">
        <f>(T_ur!AL12+T_ur!AT12+T_ur!BB12)/T_ur!F28*1000000</f>
        <v>7398.8146780127208</v>
      </c>
      <c r="G77" s="191">
        <f>(T_ur!AM12+T_ur!AU12+T_ur!BC12)/T_ur!G28*1000000</f>
        <v>7992.1059373092503</v>
      </c>
      <c r="H77" s="353">
        <f>(T_ur!AO12+T_ur!AW12+T_ur!BE12)/T_ur!I28*1000000</f>
        <v>9591.2175208252884</v>
      </c>
      <c r="I77" s="353"/>
    </row>
    <row r="78" spans="1:9" x14ac:dyDescent="0.2">
      <c r="A78" s="117" t="str">
        <f t="shared" si="8"/>
        <v>2019-20</v>
      </c>
      <c r="B78" s="191">
        <f>(T_ur!AH13+T_ur!AP13+T_ur!AX13)/T_ur!B29*1000000</f>
        <v>11943.854462929563</v>
      </c>
      <c r="C78" s="191">
        <f>(T_ur!AI13+T_ur!AQ13+T_ur!AY13)/T_ur!C29*1000000</f>
        <v>9075.1907203266819</v>
      </c>
      <c r="D78" s="191">
        <f>(T_ur!AJ13+T_ur!AR13+T_ur!AZ13)/T_ur!D29*1000000</f>
        <v>6474.7971294212994</v>
      </c>
      <c r="E78" s="191">
        <f>(T_ur!AK13+T_ur!AS13+T_ur!BA13)/T_ur!E29*1000000</f>
        <v>8883.5144586133974</v>
      </c>
      <c r="F78" s="191">
        <f>(T_ur!AL13+T_ur!AT13+T_ur!BB13)/T_ur!F29*1000000</f>
        <v>7271.2704529824696</v>
      </c>
      <c r="G78" s="191">
        <f>(T_ur!AM13+T_ur!AU13+T_ur!BC13)/T_ur!G29*1000000</f>
        <v>7723.7906669281329</v>
      </c>
      <c r="H78" s="353">
        <f>(T_ur!AO13+T_ur!AW13+T_ur!BE13)/T_ur!I29*1000000</f>
        <v>9573.3347976497716</v>
      </c>
      <c r="I78" s="353"/>
    </row>
    <row r="79" spans="1:9" ht="13.5" thickBot="1" x14ac:dyDescent="0.25">
      <c r="A79" s="842" t="str">
        <f t="shared" si="8"/>
        <v>2020-21</v>
      </c>
      <c r="B79" s="492">
        <f>(T_ur!AH14+T_ur!AP14+T_ur!AX14)/T_ur!B30*1000000</f>
        <v>10131.369322782</v>
      </c>
      <c r="C79" s="492">
        <f>(T_ur!AI14+T_ur!AQ14+T_ur!AY14)/T_ur!C30*1000000</f>
        <v>8403.374242545171</v>
      </c>
      <c r="D79" s="492">
        <f>(T_ur!AJ14+T_ur!AR14+T_ur!AZ14)/T_ur!D30*1000000</f>
        <v>6448.529129341875</v>
      </c>
      <c r="E79" s="492">
        <f>(T_ur!AK14+T_ur!AS14+T_ur!BA14)/T_ur!E30*1000000</f>
        <v>8342.2369826892009</v>
      </c>
      <c r="F79" s="492">
        <f>(T_ur!AL14+T_ur!AT14+T_ur!BB14)/T_ur!F30*1000000</f>
        <v>6819.0168742589331</v>
      </c>
      <c r="G79" s="492">
        <f>(T_ur!AM14+T_ur!AU14+T_ur!BC14)/T_ur!G30*1000000</f>
        <v>6728.2363769081849</v>
      </c>
      <c r="H79" s="712">
        <f>(T_ur!AO14+T_ur!AW14+T_ur!BE14)/T_ur!I30*1000000</f>
        <v>8565.6787413099173</v>
      </c>
      <c r="I79" s="712"/>
    </row>
    <row r="81" spans="1:1" x14ac:dyDescent="0.2">
      <c r="A81" s="117" t="s">
        <v>1231</v>
      </c>
    </row>
    <row r="82" spans="1:1" ht="15" x14ac:dyDescent="0.25">
      <c r="A82" s="1109" t="s">
        <v>1236</v>
      </c>
    </row>
    <row r="83" spans="1:1" x14ac:dyDescent="0.2">
      <c r="A83" s="106" t="s">
        <v>1237</v>
      </c>
    </row>
    <row r="84" spans="1:1" ht="15" x14ac:dyDescent="0.25">
      <c r="A84" s="1109" t="s">
        <v>1239</v>
      </c>
    </row>
    <row r="85" spans="1:1" x14ac:dyDescent="0.2">
      <c r="A85" s="629" t="s">
        <v>1238</v>
      </c>
    </row>
  </sheetData>
  <sheetProtection algorithmName="SHA-512" hashValue="ONEa1d/W0p1rkzoWXFT2KQF63pFUna0Rd/3fnJavrQk38EMCFAyumOKvE6J+aS+MEXQxKYpGex4va4guIxijIA==" saltValue="PE2/JPVOV56A5IcRbdsRTg==" spinCount="100000" sheet="1" scenarios="1" formatCells="0" formatColumns="0" formatRows="0" sort="0" autoFilter="0" pivotTables="0"/>
  <hyperlinks>
    <hyperlink ref="A2" location="'Table of Contents'!A1" display="Back to Table of Contents" xr:uid="{00000000-0004-0000-9200-000000000000}"/>
    <hyperlink ref="A83" r:id="rId1" xr:uid="{00000000-0004-0000-9200-000001000000}"/>
    <hyperlink ref="A85" r:id="rId2" xr:uid="{00000000-0004-0000-9200-000002000000}"/>
  </hyperlinks>
  <pageMargins left="0.7" right="0.7" top="0.75" bottom="0.75" header="0.3" footer="0.3"/>
  <pageSetup paperSize="9" orientation="portrait"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8497B0"/>
  </sheetPr>
  <dimension ref="A1:R64"/>
  <sheetViews>
    <sheetView showGridLines="0" workbookViewId="0">
      <pane ySplit="2" topLeftCell="A3" activePane="bottomLeft" state="frozen"/>
      <selection activeCellId="1" sqref="A1 A1"/>
      <selection pane="bottomLeft"/>
    </sheetView>
  </sheetViews>
  <sheetFormatPr defaultColWidth="9.140625" defaultRowHeight="12.75" x14ac:dyDescent="0.2"/>
  <cols>
    <col min="1" max="1" width="16.85546875" customWidth="1"/>
    <col min="2" max="8" width="13.7109375" customWidth="1"/>
    <col min="9" max="9" width="9.28515625" customWidth="1"/>
    <col min="10" max="10" width="10.7109375" customWidth="1"/>
    <col min="11" max="17" width="14.28515625" customWidth="1"/>
  </cols>
  <sheetData>
    <row r="1" spans="1:18" ht="15.75" x14ac:dyDescent="0.2">
      <c r="A1" s="298" t="s">
        <v>1137</v>
      </c>
    </row>
    <row r="2" spans="1:18" ht="18" customHeight="1" x14ac:dyDescent="0.2">
      <c r="A2" s="106" t="s">
        <v>578</v>
      </c>
    </row>
    <row r="3" spans="1:18" ht="33.75" customHeight="1" x14ac:dyDescent="0.2">
      <c r="A3" s="120" t="s">
        <v>1088</v>
      </c>
      <c r="B3" s="120"/>
      <c r="C3" s="120"/>
      <c r="D3" s="120"/>
      <c r="E3" s="120"/>
      <c r="F3" s="120"/>
      <c r="G3" s="120"/>
    </row>
    <row r="4" spans="1:18" ht="15.75" x14ac:dyDescent="0.25">
      <c r="A4" s="351" t="s">
        <v>579</v>
      </c>
      <c r="B4" s="1043" t="s">
        <v>1401</v>
      </c>
      <c r="D4" s="197"/>
      <c r="E4" s="197"/>
      <c r="F4" s="197"/>
      <c r="G4" s="197"/>
    </row>
    <row r="5" spans="1:18" ht="15.75" x14ac:dyDescent="0.25">
      <c r="A5" s="351" t="s">
        <v>580</v>
      </c>
      <c r="B5" s="351" t="s">
        <v>581</v>
      </c>
      <c r="C5" s="197"/>
      <c r="D5" s="197"/>
      <c r="E5" s="197"/>
      <c r="F5" s="197"/>
      <c r="G5" s="197"/>
    </row>
    <row r="6" spans="1:18" ht="15.75" x14ac:dyDescent="0.25">
      <c r="A6" s="351" t="s">
        <v>582</v>
      </c>
      <c r="B6" s="351" t="s">
        <v>585</v>
      </c>
      <c r="C6" s="197"/>
      <c r="D6" s="197"/>
    </row>
    <row r="7" spans="1:18" x14ac:dyDescent="0.2">
      <c r="A7" s="29"/>
      <c r="C7" s="57"/>
      <c r="D7" s="57"/>
      <c r="E7" s="57"/>
      <c r="F7" s="57"/>
      <c r="G7" s="57"/>
      <c r="H7" s="57"/>
      <c r="I7" s="57"/>
      <c r="J7" s="3"/>
    </row>
    <row r="8" spans="1:18" ht="15.75" x14ac:dyDescent="0.25">
      <c r="A8" s="196"/>
      <c r="B8" s="1425" t="s">
        <v>59</v>
      </c>
      <c r="C8" s="1425"/>
      <c r="D8" s="1425"/>
      <c r="E8" s="1425"/>
      <c r="F8" s="1425"/>
      <c r="G8" s="1425"/>
      <c r="H8" s="1425"/>
      <c r="I8" s="1425"/>
      <c r="J8" s="66"/>
      <c r="K8" s="196"/>
      <c r="L8" s="196"/>
      <c r="M8" s="196"/>
      <c r="N8" s="196"/>
      <c r="O8" s="196"/>
      <c r="P8" s="196"/>
      <c r="Q8" s="196"/>
      <c r="R8" s="196"/>
    </row>
    <row r="9" spans="1:18" ht="15.75" x14ac:dyDescent="0.25">
      <c r="B9" s="846"/>
      <c r="C9" s="846"/>
      <c r="D9" s="846"/>
      <c r="E9" s="846"/>
      <c r="F9" s="846"/>
      <c r="G9" s="846"/>
      <c r="H9" s="846"/>
      <c r="I9" s="846"/>
      <c r="J9" s="3"/>
    </row>
    <row r="10" spans="1:18" ht="12" customHeight="1" x14ac:dyDescent="0.25">
      <c r="B10" s="708" t="s">
        <v>11</v>
      </c>
      <c r="K10" s="708" t="s">
        <v>651</v>
      </c>
    </row>
    <row r="11" spans="1:18" ht="39" customHeight="1" x14ac:dyDescent="0.25">
      <c r="A11" s="590" t="s">
        <v>4</v>
      </c>
      <c r="B11" s="839" t="s">
        <v>1006</v>
      </c>
      <c r="C11" s="839" t="s">
        <v>1007</v>
      </c>
      <c r="D11" s="839" t="s">
        <v>1008</v>
      </c>
      <c r="E11" s="839" t="s">
        <v>1009</v>
      </c>
      <c r="F11" s="839" t="s">
        <v>1010</v>
      </c>
      <c r="G11" s="839" t="s">
        <v>1011</v>
      </c>
      <c r="H11" s="856" t="s">
        <v>168</v>
      </c>
      <c r="I11" s="593" t="s">
        <v>11</v>
      </c>
      <c r="K11" s="839" t="s">
        <v>1006</v>
      </c>
      <c r="L11" s="839" t="s">
        <v>1007</v>
      </c>
      <c r="M11" s="839" t="s">
        <v>1008</v>
      </c>
      <c r="N11" s="839" t="s">
        <v>1009</v>
      </c>
      <c r="O11" s="839" t="s">
        <v>1010</v>
      </c>
      <c r="P11" s="839" t="s">
        <v>1011</v>
      </c>
      <c r="Q11" s="856" t="s">
        <v>168</v>
      </c>
      <c r="R11" s="593" t="s">
        <v>11</v>
      </c>
    </row>
    <row r="12" spans="1:18" x14ac:dyDescent="0.2">
      <c r="A12" s="400" t="str">
        <f>T_simd!A6</f>
        <v>2012-13</v>
      </c>
      <c r="B12" s="404">
        <f>T_urcas!J4</f>
        <v>21</v>
      </c>
      <c r="C12" s="404">
        <f>T_urcas!K4</f>
        <v>14</v>
      </c>
      <c r="D12" s="404">
        <f>T_urcas!L4</f>
        <v>1</v>
      </c>
      <c r="E12" s="404">
        <f>T_urcas!M4</f>
        <v>1</v>
      </c>
      <c r="F12" s="404">
        <f>T_urcas!N4</f>
        <v>7</v>
      </c>
      <c r="G12" s="404">
        <f>T_urcas!O4</f>
        <v>2</v>
      </c>
      <c r="H12" s="404">
        <f>SUM(B12:G12)-I12</f>
        <v>0</v>
      </c>
      <c r="I12" s="400">
        <f>T_urcas!P4</f>
        <v>46</v>
      </c>
      <c r="K12" s="404">
        <f>T_urcas!I19</f>
        <v>18</v>
      </c>
      <c r="L12" s="404">
        <f>T_urcas!J19</f>
        <v>13</v>
      </c>
      <c r="M12" s="404">
        <f>T_urcas!K19</f>
        <v>1</v>
      </c>
      <c r="N12" s="404">
        <f>T_urcas!L19</f>
        <v>1</v>
      </c>
      <c r="O12" s="404">
        <f>T_urcas!M19</f>
        <v>5</v>
      </c>
      <c r="P12" s="404">
        <f>T_urcas!N19</f>
        <v>2</v>
      </c>
      <c r="Q12" s="404">
        <f>SUM(K12:P12)-R12</f>
        <v>0</v>
      </c>
      <c r="R12" s="400">
        <f>T_urcas!O19</f>
        <v>40</v>
      </c>
    </row>
    <row r="13" spans="1:18" x14ac:dyDescent="0.2">
      <c r="A13" s="117" t="str">
        <f>T_simd!A7</f>
        <v>2013-14</v>
      </c>
      <c r="B13">
        <f>T_urcas!J5</f>
        <v>10</v>
      </c>
      <c r="C13">
        <f>T_urcas!K5</f>
        <v>14</v>
      </c>
      <c r="D13">
        <f>T_urcas!L5</f>
        <v>1</v>
      </c>
      <c r="E13">
        <f>T_urcas!M5</f>
        <v>0</v>
      </c>
      <c r="F13">
        <f>T_urcas!N5</f>
        <v>6</v>
      </c>
      <c r="G13">
        <f>T_urcas!O5</f>
        <v>0</v>
      </c>
      <c r="H13">
        <f t="shared" ref="H13:H19" si="0">SUM(B13:G13)-I13</f>
        <v>0</v>
      </c>
      <c r="I13" s="117">
        <f>T_urcas!P5</f>
        <v>31</v>
      </c>
      <c r="K13">
        <f>T_urcas!I20</f>
        <v>10</v>
      </c>
      <c r="L13">
        <f>T_urcas!J20</f>
        <v>13</v>
      </c>
      <c r="M13">
        <f>T_urcas!K20</f>
        <v>1</v>
      </c>
      <c r="N13">
        <f>T_urcas!L20</f>
        <v>0</v>
      </c>
      <c r="O13">
        <f>T_urcas!M20</f>
        <v>5</v>
      </c>
      <c r="P13">
        <f>T_urcas!N20</f>
        <v>0</v>
      </c>
      <c r="Q13">
        <f t="shared" ref="Q13:Q19" si="1">SUM(K13:P13)-R13</f>
        <v>0</v>
      </c>
      <c r="R13" s="117">
        <f>T_urcas!O20</f>
        <v>29</v>
      </c>
    </row>
    <row r="14" spans="1:18" x14ac:dyDescent="0.2">
      <c r="A14" s="117" t="str">
        <f>T_simd!A8</f>
        <v>2014-15</v>
      </c>
      <c r="B14">
        <f>T_urcas!J6</f>
        <v>15</v>
      </c>
      <c r="C14">
        <f>T_urcas!K6</f>
        <v>10</v>
      </c>
      <c r="D14">
        <f>T_urcas!L6</f>
        <v>2</v>
      </c>
      <c r="E14">
        <f>T_urcas!M6</f>
        <v>1</v>
      </c>
      <c r="F14">
        <f>T_urcas!N6</f>
        <v>6</v>
      </c>
      <c r="G14">
        <f>T_urcas!O6</f>
        <v>6</v>
      </c>
      <c r="H14">
        <f t="shared" si="0"/>
        <v>0</v>
      </c>
      <c r="I14" s="117">
        <f>T_urcas!P6</f>
        <v>40</v>
      </c>
      <c r="K14">
        <f>T_urcas!I21</f>
        <v>10</v>
      </c>
      <c r="L14">
        <f>T_urcas!J21</f>
        <v>10</v>
      </c>
      <c r="M14">
        <f>T_urcas!K21</f>
        <v>1</v>
      </c>
      <c r="N14">
        <f>T_urcas!L21</f>
        <v>1</v>
      </c>
      <c r="O14">
        <f>T_urcas!M21</f>
        <v>4</v>
      </c>
      <c r="P14">
        <f>T_urcas!N21</f>
        <v>5</v>
      </c>
      <c r="Q14">
        <f t="shared" si="1"/>
        <v>0</v>
      </c>
      <c r="R14" s="117">
        <f>T_urcas!O21</f>
        <v>31</v>
      </c>
    </row>
    <row r="15" spans="1:18" x14ac:dyDescent="0.2">
      <c r="A15" s="117" t="str">
        <f>T_simd!A9</f>
        <v>2015-16</v>
      </c>
      <c r="B15">
        <f>T_urcas!J7</f>
        <v>14</v>
      </c>
      <c r="C15">
        <f>T_urcas!K7</f>
        <v>14</v>
      </c>
      <c r="D15">
        <f>T_urcas!L7</f>
        <v>1</v>
      </c>
      <c r="E15">
        <f>T_urcas!M7</f>
        <v>2</v>
      </c>
      <c r="F15">
        <f>T_urcas!N7</f>
        <v>6</v>
      </c>
      <c r="G15">
        <f>T_urcas!O7</f>
        <v>8</v>
      </c>
      <c r="H15">
        <f t="shared" si="0"/>
        <v>0</v>
      </c>
      <c r="I15" s="117">
        <f>T_urcas!P7</f>
        <v>45</v>
      </c>
      <c r="K15">
        <f>T_urcas!I22</f>
        <v>13</v>
      </c>
      <c r="L15">
        <f>T_urcas!J22</f>
        <v>14</v>
      </c>
      <c r="M15">
        <f>T_urcas!K22</f>
        <v>1</v>
      </c>
      <c r="N15">
        <f>T_urcas!L22</f>
        <v>2</v>
      </c>
      <c r="O15">
        <f>T_urcas!M22</f>
        <v>3</v>
      </c>
      <c r="P15">
        <f>T_urcas!N22</f>
        <v>6</v>
      </c>
      <c r="Q15">
        <f t="shared" si="1"/>
        <v>0</v>
      </c>
      <c r="R15" s="117">
        <f>T_urcas!O22</f>
        <v>39</v>
      </c>
    </row>
    <row r="16" spans="1:18" x14ac:dyDescent="0.2">
      <c r="A16" s="117" t="str">
        <f>T_simd!A10</f>
        <v>2016-17</v>
      </c>
      <c r="B16">
        <f>T_urcas!J8</f>
        <v>18</v>
      </c>
      <c r="C16">
        <f>T_urcas!K8</f>
        <v>11</v>
      </c>
      <c r="D16">
        <f>T_urcas!L8</f>
        <v>2</v>
      </c>
      <c r="E16">
        <f>T_urcas!M8</f>
        <v>0</v>
      </c>
      <c r="F16">
        <f>T_urcas!N8</f>
        <v>6</v>
      </c>
      <c r="G16">
        <f>T_urcas!O8</f>
        <v>7</v>
      </c>
      <c r="H16">
        <f t="shared" si="0"/>
        <v>0</v>
      </c>
      <c r="I16" s="117">
        <f>T_urcas!P8</f>
        <v>44</v>
      </c>
      <c r="K16">
        <f>T_urcas!I23</f>
        <v>15</v>
      </c>
      <c r="L16">
        <f>T_urcas!J23</f>
        <v>11</v>
      </c>
      <c r="M16">
        <f>T_urcas!K23</f>
        <v>1</v>
      </c>
      <c r="N16">
        <f>T_urcas!L23</f>
        <v>0</v>
      </c>
      <c r="O16">
        <f>T_urcas!M23</f>
        <v>3</v>
      </c>
      <c r="P16">
        <f>T_urcas!N23</f>
        <v>6</v>
      </c>
      <c r="Q16">
        <f t="shared" si="1"/>
        <v>0</v>
      </c>
      <c r="R16" s="117">
        <f>T_urcas!O23</f>
        <v>36</v>
      </c>
    </row>
    <row r="17" spans="1:18" x14ac:dyDescent="0.2">
      <c r="A17" s="117" t="str">
        <f>T_simd!A11</f>
        <v>2017-18</v>
      </c>
      <c r="B17">
        <f>T_urcas!J9</f>
        <v>12</v>
      </c>
      <c r="C17">
        <f>T_urcas!K9</f>
        <v>17</v>
      </c>
      <c r="D17">
        <f>T_urcas!L9</f>
        <v>3</v>
      </c>
      <c r="E17">
        <f>T_urcas!M9</f>
        <v>5</v>
      </c>
      <c r="F17">
        <f>T_urcas!N9</f>
        <v>5</v>
      </c>
      <c r="G17">
        <f>T_urcas!O9</f>
        <v>2</v>
      </c>
      <c r="H17">
        <f t="shared" si="0"/>
        <v>0</v>
      </c>
      <c r="I17" s="117">
        <f>T_urcas!P9</f>
        <v>44</v>
      </c>
      <c r="K17">
        <f>T_urcas!I24</f>
        <v>12</v>
      </c>
      <c r="L17">
        <f>T_urcas!J24</f>
        <v>12</v>
      </c>
      <c r="M17">
        <f>T_urcas!K24</f>
        <v>3</v>
      </c>
      <c r="N17">
        <f>T_urcas!L24</f>
        <v>4</v>
      </c>
      <c r="O17">
        <f>T_urcas!M24</f>
        <v>4</v>
      </c>
      <c r="P17">
        <f>T_urcas!N24</f>
        <v>2</v>
      </c>
      <c r="Q17">
        <f t="shared" si="1"/>
        <v>0</v>
      </c>
      <c r="R17" s="117">
        <f>T_urcas!O24</f>
        <v>37</v>
      </c>
    </row>
    <row r="18" spans="1:18" x14ac:dyDescent="0.2">
      <c r="A18" s="117" t="str">
        <f>T_simd!A12</f>
        <v>2018-19</v>
      </c>
      <c r="B18">
        <f>T_urcas!J10</f>
        <v>9</v>
      </c>
      <c r="C18">
        <f>T_urcas!K10</f>
        <v>16</v>
      </c>
      <c r="D18">
        <f>T_urcas!L10</f>
        <v>6</v>
      </c>
      <c r="E18">
        <f>T_urcas!M10</f>
        <v>4</v>
      </c>
      <c r="F18">
        <f>T_urcas!N10</f>
        <v>7</v>
      </c>
      <c r="G18">
        <f>T_urcas!O10</f>
        <v>2</v>
      </c>
      <c r="H18">
        <f t="shared" si="0"/>
        <v>0</v>
      </c>
      <c r="I18" s="117">
        <f>T_urcas!P10</f>
        <v>44</v>
      </c>
      <c r="K18">
        <f>T_urcas!I25</f>
        <v>6</v>
      </c>
      <c r="L18">
        <f>T_urcas!J25</f>
        <v>16</v>
      </c>
      <c r="M18">
        <f>T_urcas!K25</f>
        <v>6</v>
      </c>
      <c r="N18">
        <f>T_urcas!L25</f>
        <v>4</v>
      </c>
      <c r="O18">
        <f>T_urcas!M25</f>
        <v>6</v>
      </c>
      <c r="P18">
        <f>T_urcas!N25</f>
        <v>2</v>
      </c>
      <c r="Q18">
        <f t="shared" si="1"/>
        <v>0</v>
      </c>
      <c r="R18" s="117">
        <f>T_urcas!O25</f>
        <v>40</v>
      </c>
    </row>
    <row r="19" spans="1:18" x14ac:dyDescent="0.2">
      <c r="A19" s="117" t="str">
        <f>T_simd!A13</f>
        <v>2019-20</v>
      </c>
      <c r="B19">
        <f>T_urcas!J11</f>
        <v>4</v>
      </c>
      <c r="C19">
        <f>T_urcas!K11</f>
        <v>12</v>
      </c>
      <c r="D19">
        <f>T_urcas!L11</f>
        <v>2</v>
      </c>
      <c r="E19">
        <f>T_urcas!M11</f>
        <v>1</v>
      </c>
      <c r="F19">
        <f>T_urcas!N11</f>
        <v>5</v>
      </c>
      <c r="G19">
        <f>T_urcas!O11</f>
        <v>3</v>
      </c>
      <c r="H19">
        <f t="shared" si="0"/>
        <v>0</v>
      </c>
      <c r="I19" s="117">
        <f>T_urcas!P11</f>
        <v>27</v>
      </c>
      <c r="K19">
        <f>T_urcas!I26</f>
        <v>4</v>
      </c>
      <c r="L19">
        <f>T_urcas!J26</f>
        <v>9</v>
      </c>
      <c r="M19">
        <f>T_urcas!K26</f>
        <v>1</v>
      </c>
      <c r="N19">
        <f>T_urcas!L26</f>
        <v>1</v>
      </c>
      <c r="O19">
        <f>T_urcas!M26</f>
        <v>3</v>
      </c>
      <c r="P19">
        <f>T_urcas!N26</f>
        <v>3</v>
      </c>
      <c r="Q19">
        <f t="shared" si="1"/>
        <v>0</v>
      </c>
      <c r="R19" s="117">
        <f>T_urcas!O26</f>
        <v>21</v>
      </c>
    </row>
    <row r="20" spans="1:18" ht="13.5" thickBot="1" x14ac:dyDescent="0.25">
      <c r="A20" s="842" t="str">
        <f>T_simd!A14</f>
        <v>2020-21</v>
      </c>
      <c r="B20" s="510">
        <f>T_urcas!J12</f>
        <v>23</v>
      </c>
      <c r="C20" s="510">
        <f>T_urcas!K12</f>
        <v>15</v>
      </c>
      <c r="D20" s="510">
        <f>T_urcas!L12</f>
        <v>4</v>
      </c>
      <c r="E20" s="510">
        <f>T_urcas!M12</f>
        <v>0</v>
      </c>
      <c r="F20" s="510">
        <f>T_urcas!N12</f>
        <v>7</v>
      </c>
      <c r="G20" s="510">
        <f>T_urcas!O12</f>
        <v>4</v>
      </c>
      <c r="H20" s="510">
        <f t="shared" ref="H20" si="2">SUM(B20:G20)-I20</f>
        <v>0</v>
      </c>
      <c r="I20" s="842">
        <f>T_urcas!P12</f>
        <v>53</v>
      </c>
      <c r="K20" s="510">
        <f>T_urcas!I27</f>
        <v>20</v>
      </c>
      <c r="L20" s="510">
        <f>T_urcas!J27</f>
        <v>14</v>
      </c>
      <c r="M20" s="510">
        <f>T_urcas!K27</f>
        <v>4</v>
      </c>
      <c r="N20" s="510">
        <f>T_urcas!L27</f>
        <v>0</v>
      </c>
      <c r="O20" s="510">
        <f>T_urcas!M27</f>
        <v>4</v>
      </c>
      <c r="P20" s="510">
        <f>T_urcas!N27</f>
        <v>2</v>
      </c>
      <c r="Q20" s="510">
        <f t="shared" ref="Q20" si="3">SUM(K20:P20)-R20</f>
        <v>0</v>
      </c>
      <c r="R20" s="842">
        <f>T_urcas!O27</f>
        <v>44</v>
      </c>
    </row>
    <row r="21" spans="1:18" x14ac:dyDescent="0.2">
      <c r="R21" s="117"/>
    </row>
    <row r="23" spans="1:18" ht="15.75" x14ac:dyDescent="0.25">
      <c r="A23" s="196"/>
      <c r="B23" s="1425" t="s">
        <v>1110</v>
      </c>
      <c r="C23" s="1425"/>
      <c r="D23" s="1425"/>
      <c r="E23" s="1425"/>
      <c r="F23" s="1425"/>
      <c r="G23" s="1425"/>
      <c r="H23" s="1425"/>
      <c r="I23" s="1425"/>
      <c r="J23" s="196"/>
      <c r="K23" s="196"/>
      <c r="L23" s="196"/>
      <c r="M23" s="196"/>
      <c r="N23" s="196"/>
      <c r="O23" s="196"/>
      <c r="P23" s="196"/>
      <c r="Q23" s="196"/>
      <c r="R23" s="196"/>
    </row>
    <row r="24" spans="1:18" ht="15.75" x14ac:dyDescent="0.25">
      <c r="B24" s="846"/>
      <c r="C24" s="846"/>
      <c r="D24" s="846"/>
      <c r="E24" s="846"/>
      <c r="F24" s="846"/>
      <c r="G24" s="846"/>
      <c r="H24" s="846"/>
      <c r="I24" s="846"/>
    </row>
    <row r="25" spans="1:18" ht="15" x14ac:dyDescent="0.25">
      <c r="B25" s="708" t="s">
        <v>11</v>
      </c>
      <c r="K25" s="708" t="s">
        <v>651</v>
      </c>
    </row>
    <row r="26" spans="1:18" ht="39" customHeight="1" x14ac:dyDescent="0.25">
      <c r="A26" s="590" t="s">
        <v>4</v>
      </c>
      <c r="B26" s="839" t="s">
        <v>1006</v>
      </c>
      <c r="C26" s="839" t="s">
        <v>1007</v>
      </c>
      <c r="D26" s="839" t="s">
        <v>1008</v>
      </c>
      <c r="E26" s="839" t="s">
        <v>1009</v>
      </c>
      <c r="F26" s="839" t="s">
        <v>1010</v>
      </c>
      <c r="G26" s="839" t="s">
        <v>1011</v>
      </c>
      <c r="H26" s="856" t="s">
        <v>168</v>
      </c>
      <c r="I26" s="593" t="s">
        <v>11</v>
      </c>
      <c r="K26" s="839" t="s">
        <v>1006</v>
      </c>
      <c r="L26" s="839" t="s">
        <v>1007</v>
      </c>
      <c r="M26" s="839" t="s">
        <v>1008</v>
      </c>
      <c r="N26" s="839" t="s">
        <v>1009</v>
      </c>
      <c r="O26" s="839" t="s">
        <v>1010</v>
      </c>
      <c r="P26" s="839" t="s">
        <v>1011</v>
      </c>
      <c r="Q26" s="856" t="s">
        <v>168</v>
      </c>
      <c r="R26" s="593" t="s">
        <v>11</v>
      </c>
    </row>
    <row r="27" spans="1:18" x14ac:dyDescent="0.2">
      <c r="A27" s="400" t="str">
        <f t="shared" ref="A27:A32" si="4">A12</f>
        <v>2012-13</v>
      </c>
      <c r="B27" s="404">
        <f>T_urcas!B4</f>
        <v>468</v>
      </c>
      <c r="C27" s="404">
        <f>T_urcas!C4</f>
        <v>351</v>
      </c>
      <c r="D27" s="404">
        <f>T_urcas!D4</f>
        <v>73</v>
      </c>
      <c r="E27" s="404">
        <f>T_urcas!E4</f>
        <v>23</v>
      </c>
      <c r="F27" s="404">
        <f>T_urcas!F4</f>
        <v>87</v>
      </c>
      <c r="G27" s="404">
        <f>T_urcas!G4</f>
        <v>55</v>
      </c>
      <c r="H27" s="404">
        <f>T_urcas!H4</f>
        <v>0</v>
      </c>
      <c r="I27" s="355">
        <f>SUM(B27:H27)</f>
        <v>1057</v>
      </c>
      <c r="K27" s="404">
        <f>T_urcas!B19</f>
        <v>423</v>
      </c>
      <c r="L27" s="404">
        <f>T_urcas!C19</f>
        <v>317</v>
      </c>
      <c r="M27" s="404">
        <f>T_urcas!D19</f>
        <v>67</v>
      </c>
      <c r="N27" s="404">
        <f>T_urcas!E19</f>
        <v>17</v>
      </c>
      <c r="O27" s="404">
        <f>T_urcas!F19</f>
        <v>61</v>
      </c>
      <c r="P27" s="404">
        <f>T_urcas!G19</f>
        <v>38</v>
      </c>
      <c r="Q27" s="404">
        <f>SUM(K27:P27)-R27</f>
        <v>0</v>
      </c>
      <c r="R27" s="400">
        <f>T_urcas!H19</f>
        <v>923</v>
      </c>
    </row>
    <row r="28" spans="1:18" x14ac:dyDescent="0.2">
      <c r="A28" s="117" t="str">
        <f t="shared" si="4"/>
        <v>2013-14</v>
      </c>
      <c r="B28">
        <f>T_urcas!B5</f>
        <v>478</v>
      </c>
      <c r="C28">
        <f>T_urcas!C5</f>
        <v>349</v>
      </c>
      <c r="D28">
        <f>T_urcas!D5</f>
        <v>71</v>
      </c>
      <c r="E28">
        <f>T_urcas!E5</f>
        <v>41</v>
      </c>
      <c r="F28">
        <f>T_urcas!F5</f>
        <v>103</v>
      </c>
      <c r="G28">
        <f>T_urcas!G5</f>
        <v>47</v>
      </c>
      <c r="H28">
        <f>T_urcas!H5</f>
        <v>0</v>
      </c>
      <c r="I28" s="353">
        <f t="shared" ref="I28:I32" si="5">SUM(B28:H28)</f>
        <v>1089</v>
      </c>
      <c r="K28">
        <f>T_urcas!B20</f>
        <v>442</v>
      </c>
      <c r="L28">
        <f>T_urcas!C20</f>
        <v>299</v>
      </c>
      <c r="M28">
        <f>T_urcas!D20</f>
        <v>66</v>
      </c>
      <c r="N28">
        <f>T_urcas!E20</f>
        <v>39</v>
      </c>
      <c r="O28">
        <f>T_urcas!F20</f>
        <v>62</v>
      </c>
      <c r="P28">
        <f>T_urcas!G20</f>
        <v>34</v>
      </c>
      <c r="Q28">
        <f t="shared" ref="Q28:Q34" si="6">SUM(K28:P28)-R28</f>
        <v>0</v>
      </c>
      <c r="R28" s="117">
        <f>T_urcas!H20</f>
        <v>942</v>
      </c>
    </row>
    <row r="29" spans="1:18" x14ac:dyDescent="0.2">
      <c r="A29" s="117" t="str">
        <f t="shared" si="4"/>
        <v>2014-15</v>
      </c>
      <c r="B29">
        <f>T_urcas!B6</f>
        <v>358</v>
      </c>
      <c r="C29">
        <f>T_urcas!C6</f>
        <v>348</v>
      </c>
      <c r="D29">
        <f>T_urcas!D6</f>
        <v>39</v>
      </c>
      <c r="E29">
        <f>T_urcas!E6</f>
        <v>35</v>
      </c>
      <c r="F29">
        <f>T_urcas!F6</f>
        <v>64</v>
      </c>
      <c r="G29">
        <f>T_urcas!G6</f>
        <v>42</v>
      </c>
      <c r="H29">
        <f>T_urcas!H6</f>
        <v>0</v>
      </c>
      <c r="I29" s="353">
        <f t="shared" si="5"/>
        <v>886</v>
      </c>
      <c r="K29">
        <f>T_urcas!B21</f>
        <v>326</v>
      </c>
      <c r="L29">
        <f>T_urcas!C21</f>
        <v>301</v>
      </c>
      <c r="M29">
        <f>T_urcas!D21</f>
        <v>27</v>
      </c>
      <c r="N29">
        <f>T_urcas!E21</f>
        <v>34</v>
      </c>
      <c r="O29">
        <f>T_urcas!F21</f>
        <v>42</v>
      </c>
      <c r="P29">
        <f>T_urcas!G21</f>
        <v>32</v>
      </c>
      <c r="Q29">
        <f t="shared" si="6"/>
        <v>0</v>
      </c>
      <c r="R29" s="117">
        <f>T_urcas!H21</f>
        <v>762</v>
      </c>
    </row>
    <row r="30" spans="1:18" x14ac:dyDescent="0.2">
      <c r="A30" s="117" t="str">
        <f t="shared" si="4"/>
        <v>2015-16</v>
      </c>
      <c r="B30">
        <f>T_urcas!B7</f>
        <v>453</v>
      </c>
      <c r="C30">
        <f>T_urcas!C7</f>
        <v>355</v>
      </c>
      <c r="D30">
        <f>T_urcas!D7</f>
        <v>48</v>
      </c>
      <c r="E30">
        <f>T_urcas!E7</f>
        <v>19</v>
      </c>
      <c r="F30">
        <f>T_urcas!F7</f>
        <v>86</v>
      </c>
      <c r="G30">
        <f>T_urcas!G7</f>
        <v>54</v>
      </c>
      <c r="H30">
        <f>T_urcas!H7</f>
        <v>2</v>
      </c>
      <c r="I30" s="353">
        <f t="shared" si="5"/>
        <v>1017</v>
      </c>
      <c r="K30">
        <f>T_urcas!B22</f>
        <v>408</v>
      </c>
      <c r="L30">
        <f>T_urcas!C22</f>
        <v>298</v>
      </c>
      <c r="M30">
        <f>T_urcas!D22</f>
        <v>40</v>
      </c>
      <c r="N30">
        <f>T_urcas!E22</f>
        <v>17</v>
      </c>
      <c r="O30">
        <f>T_urcas!F22</f>
        <v>46</v>
      </c>
      <c r="P30">
        <f>T_urcas!G22</f>
        <v>20</v>
      </c>
      <c r="Q30">
        <f t="shared" si="6"/>
        <v>0</v>
      </c>
      <c r="R30" s="117">
        <f>T_urcas!H22</f>
        <v>829</v>
      </c>
    </row>
    <row r="31" spans="1:18" x14ac:dyDescent="0.2">
      <c r="A31" s="117" t="str">
        <f t="shared" si="4"/>
        <v>2016-17</v>
      </c>
      <c r="B31">
        <f>T_urcas!B8</f>
        <v>397</v>
      </c>
      <c r="C31">
        <f>T_urcas!C8</f>
        <v>360</v>
      </c>
      <c r="D31">
        <f>T_urcas!D8</f>
        <v>47</v>
      </c>
      <c r="E31">
        <f>T_urcas!E8</f>
        <v>25</v>
      </c>
      <c r="F31">
        <f>T_urcas!F8</f>
        <v>76</v>
      </c>
      <c r="G31">
        <f>T_urcas!G8</f>
        <v>31</v>
      </c>
      <c r="H31">
        <f>T_urcas!H8</f>
        <v>0</v>
      </c>
      <c r="I31" s="353">
        <f t="shared" si="5"/>
        <v>936</v>
      </c>
      <c r="K31">
        <f>T_urcas!B23</f>
        <v>361</v>
      </c>
      <c r="L31">
        <f>T_urcas!C23</f>
        <v>320</v>
      </c>
      <c r="M31">
        <f>T_urcas!D23</f>
        <v>43</v>
      </c>
      <c r="N31">
        <f>T_urcas!E23</f>
        <v>21</v>
      </c>
      <c r="O31">
        <f>T_urcas!F23</f>
        <v>47</v>
      </c>
      <c r="P31">
        <f>T_urcas!G23</f>
        <v>22</v>
      </c>
      <c r="Q31">
        <f t="shared" si="6"/>
        <v>0</v>
      </c>
      <c r="R31" s="117">
        <f>T_urcas!H23</f>
        <v>814</v>
      </c>
    </row>
    <row r="32" spans="1:18" x14ac:dyDescent="0.2">
      <c r="A32" s="117" t="str">
        <f t="shared" si="4"/>
        <v>2017-18</v>
      </c>
      <c r="B32">
        <f>T_urcas!B9</f>
        <v>367</v>
      </c>
      <c r="C32">
        <f>T_urcas!C9</f>
        <v>335</v>
      </c>
      <c r="D32">
        <f>T_urcas!D9</f>
        <v>51</v>
      </c>
      <c r="E32">
        <f>T_urcas!E9</f>
        <v>17</v>
      </c>
      <c r="F32">
        <f>T_urcas!F9</f>
        <v>73</v>
      </c>
      <c r="G32">
        <f>T_urcas!G9</f>
        <v>37</v>
      </c>
      <c r="H32">
        <f>T_urcas!H9</f>
        <v>1</v>
      </c>
      <c r="I32" s="353">
        <f t="shared" si="5"/>
        <v>881</v>
      </c>
      <c r="K32">
        <f>T_urcas!B24</f>
        <v>325</v>
      </c>
      <c r="L32">
        <f>T_urcas!C24</f>
        <v>283</v>
      </c>
      <c r="M32">
        <f>T_urcas!D24</f>
        <v>43</v>
      </c>
      <c r="N32">
        <f>T_urcas!E24</f>
        <v>16</v>
      </c>
      <c r="O32">
        <f>T_urcas!F24</f>
        <v>43</v>
      </c>
      <c r="P32">
        <f>T_urcas!G24</f>
        <v>27</v>
      </c>
      <c r="Q32">
        <f t="shared" si="6"/>
        <v>0</v>
      </c>
      <c r="R32" s="117">
        <f>T_urcas!H24</f>
        <v>737</v>
      </c>
    </row>
    <row r="33" spans="1:18" x14ac:dyDescent="0.2">
      <c r="A33" s="117" t="str">
        <f t="shared" ref="A33:A35" si="7">A18</f>
        <v>2018-19</v>
      </c>
      <c r="B33">
        <f>T_urcas!B10</f>
        <v>405</v>
      </c>
      <c r="C33">
        <f>T_urcas!C10</f>
        <v>361</v>
      </c>
      <c r="D33">
        <f>T_urcas!D10</f>
        <v>60</v>
      </c>
      <c r="E33">
        <f>T_urcas!E10</f>
        <v>28</v>
      </c>
      <c r="F33">
        <f>T_urcas!F10</f>
        <v>59</v>
      </c>
      <c r="G33">
        <f>T_urcas!G10</f>
        <v>36</v>
      </c>
      <c r="H33">
        <f>T_urcas!H10</f>
        <v>0</v>
      </c>
      <c r="I33" s="353">
        <f t="shared" ref="I33:I34" si="8">SUM(B33:H33)</f>
        <v>949</v>
      </c>
      <c r="K33">
        <f>T_urcas!B25</f>
        <v>350</v>
      </c>
      <c r="L33">
        <f>T_urcas!C25</f>
        <v>310</v>
      </c>
      <c r="M33">
        <f>T_urcas!D25</f>
        <v>49</v>
      </c>
      <c r="N33">
        <f>T_urcas!E25</f>
        <v>25</v>
      </c>
      <c r="O33">
        <f>T_urcas!F25</f>
        <v>34</v>
      </c>
      <c r="P33">
        <f>T_urcas!G25</f>
        <v>25</v>
      </c>
      <c r="Q33">
        <f t="shared" si="6"/>
        <v>0</v>
      </c>
      <c r="R33" s="117">
        <f>T_urcas!H25</f>
        <v>793</v>
      </c>
    </row>
    <row r="34" spans="1:18" x14ac:dyDescent="0.2">
      <c r="A34" s="117" t="str">
        <f t="shared" si="7"/>
        <v>2019-20</v>
      </c>
      <c r="B34">
        <f>T_urcas!B11</f>
        <v>333</v>
      </c>
      <c r="C34">
        <f>T_urcas!C11</f>
        <v>298</v>
      </c>
      <c r="D34">
        <f>T_urcas!D11</f>
        <v>51</v>
      </c>
      <c r="E34">
        <f>T_urcas!E11</f>
        <v>25</v>
      </c>
      <c r="F34">
        <f>T_urcas!F11</f>
        <v>68</v>
      </c>
      <c r="G34">
        <f>T_urcas!G11</f>
        <v>33</v>
      </c>
      <c r="H34">
        <f>T_urcas!H11</f>
        <v>0</v>
      </c>
      <c r="I34" s="353">
        <f t="shared" si="8"/>
        <v>808</v>
      </c>
      <c r="K34">
        <f>T_urcas!B26</f>
        <v>298</v>
      </c>
      <c r="L34">
        <f>T_urcas!C26</f>
        <v>252</v>
      </c>
      <c r="M34">
        <f>T_urcas!D26</f>
        <v>38</v>
      </c>
      <c r="N34">
        <f>T_urcas!E26</f>
        <v>21</v>
      </c>
      <c r="O34">
        <f>T_urcas!F26</f>
        <v>41</v>
      </c>
      <c r="P34">
        <f>T_urcas!G26</f>
        <v>21</v>
      </c>
      <c r="Q34">
        <f t="shared" si="6"/>
        <v>0</v>
      </c>
      <c r="R34" s="117">
        <f>T_urcas!H26</f>
        <v>671</v>
      </c>
    </row>
    <row r="35" spans="1:18" ht="13.5" thickBot="1" x14ac:dyDescent="0.25">
      <c r="A35" s="842" t="str">
        <f t="shared" si="7"/>
        <v>2020-21</v>
      </c>
      <c r="B35" s="510">
        <f>T_urcas!B12</f>
        <v>276</v>
      </c>
      <c r="C35" s="510">
        <f>T_urcas!C12</f>
        <v>277</v>
      </c>
      <c r="D35" s="510">
        <f>T_urcas!D12</f>
        <v>47</v>
      </c>
      <c r="E35" s="510">
        <f>T_urcas!E12</f>
        <v>25</v>
      </c>
      <c r="F35" s="510">
        <f>T_urcas!F12</f>
        <v>45</v>
      </c>
      <c r="G35" s="510">
        <f>T_urcas!G12</f>
        <v>23</v>
      </c>
      <c r="H35" s="510">
        <f>T_urcas!H12</f>
        <v>0</v>
      </c>
      <c r="I35" s="712">
        <f t="shared" ref="I35" si="9">SUM(B35:H35)</f>
        <v>693</v>
      </c>
      <c r="K35" s="510">
        <f>T_urcas!B27</f>
        <v>243</v>
      </c>
      <c r="L35" s="510">
        <f>T_urcas!C27</f>
        <v>249</v>
      </c>
      <c r="M35" s="510">
        <f>T_urcas!D27</f>
        <v>43</v>
      </c>
      <c r="N35" s="510">
        <f>T_urcas!E27</f>
        <v>19</v>
      </c>
      <c r="O35" s="510">
        <f>T_urcas!F27</f>
        <v>21</v>
      </c>
      <c r="P35" s="510">
        <f>T_urcas!G27</f>
        <v>9</v>
      </c>
      <c r="Q35" s="510">
        <f t="shared" ref="Q35" si="10">SUM(K35:P35)-R35</f>
        <v>0</v>
      </c>
      <c r="R35" s="842">
        <f>T_urcas!H27</f>
        <v>584</v>
      </c>
    </row>
    <row r="37" spans="1:18" ht="15" x14ac:dyDescent="0.25">
      <c r="B37" s="708" t="s">
        <v>6</v>
      </c>
      <c r="K37" s="708" t="s">
        <v>10</v>
      </c>
    </row>
    <row r="38" spans="1:18" ht="41.25" customHeight="1" x14ac:dyDescent="0.25">
      <c r="A38" s="857" t="s">
        <v>4</v>
      </c>
      <c r="B38" s="839" t="s">
        <v>1006</v>
      </c>
      <c r="C38" s="839" t="s">
        <v>1007</v>
      </c>
      <c r="D38" s="839" t="s">
        <v>1008</v>
      </c>
      <c r="E38" s="839" t="s">
        <v>1009</v>
      </c>
      <c r="F38" s="839" t="s">
        <v>1010</v>
      </c>
      <c r="G38" s="839" t="s">
        <v>1011</v>
      </c>
      <c r="H38" s="856" t="s">
        <v>168</v>
      </c>
      <c r="I38" s="593" t="s">
        <v>11</v>
      </c>
      <c r="K38" s="839" t="s">
        <v>1006</v>
      </c>
      <c r="L38" s="839" t="s">
        <v>1007</v>
      </c>
      <c r="M38" s="839" t="s">
        <v>1008</v>
      </c>
      <c r="N38" s="839" t="s">
        <v>1009</v>
      </c>
      <c r="O38" s="839" t="s">
        <v>1010</v>
      </c>
      <c r="P38" s="839" t="s">
        <v>1011</v>
      </c>
      <c r="Q38" s="856" t="s">
        <v>168</v>
      </c>
      <c r="R38" s="593" t="s">
        <v>11</v>
      </c>
    </row>
    <row r="39" spans="1:18" x14ac:dyDescent="0.2">
      <c r="A39" s="400" t="str">
        <f t="shared" ref="A39:A44" si="11">A27</f>
        <v>2012-13</v>
      </c>
      <c r="B39" s="404">
        <f>T_urcas!B36</f>
        <v>37</v>
      </c>
      <c r="C39" s="404">
        <f>T_urcas!C36</f>
        <v>23</v>
      </c>
      <c r="D39" s="404">
        <f>T_urcas!D36</f>
        <v>4</v>
      </c>
      <c r="E39" s="404">
        <f>T_urcas!E36</f>
        <v>3</v>
      </c>
      <c r="F39" s="404">
        <f>T_urcas!F36</f>
        <v>4</v>
      </c>
      <c r="G39" s="404">
        <f>T_urcas!G36</f>
        <v>7</v>
      </c>
      <c r="H39" s="404">
        <f>SUM(B39:G39)-I39</f>
        <v>0</v>
      </c>
      <c r="I39" s="400">
        <f>T_urcas!H36</f>
        <v>78</v>
      </c>
      <c r="K39" s="404">
        <f>T_urcas!B54</f>
        <v>3</v>
      </c>
      <c r="L39" s="404">
        <f>T_urcas!C54</f>
        <v>4</v>
      </c>
      <c r="M39" s="404">
        <f>T_urcas!D54</f>
        <v>1</v>
      </c>
      <c r="N39" s="404">
        <f>T_urcas!E54</f>
        <v>2</v>
      </c>
      <c r="O39" s="404">
        <f>T_urcas!F54</f>
        <v>19</v>
      </c>
      <c r="P39" s="404">
        <f>T_urcas!G54</f>
        <v>3</v>
      </c>
      <c r="Q39" s="404">
        <f>SUM(K39:P39)-R39</f>
        <v>0</v>
      </c>
      <c r="R39" s="400">
        <f>T_urcas!H54</f>
        <v>32</v>
      </c>
    </row>
    <row r="40" spans="1:18" x14ac:dyDescent="0.2">
      <c r="A40" s="117" t="str">
        <f t="shared" si="11"/>
        <v>2013-14</v>
      </c>
      <c r="B40">
        <f>T_urcas!B37</f>
        <v>28</v>
      </c>
      <c r="C40">
        <f>T_urcas!C37</f>
        <v>31</v>
      </c>
      <c r="D40">
        <f>T_urcas!D37</f>
        <v>1</v>
      </c>
      <c r="E40">
        <f>T_urcas!E37</f>
        <v>1</v>
      </c>
      <c r="F40">
        <f>T_urcas!F37</f>
        <v>11</v>
      </c>
      <c r="G40">
        <f>T_urcas!G37</f>
        <v>4</v>
      </c>
      <c r="H40">
        <f t="shared" ref="H40:H46" si="12">SUM(B40:G40)-I40</f>
        <v>0</v>
      </c>
      <c r="I40" s="117">
        <f>T_urcas!H37</f>
        <v>76</v>
      </c>
      <c r="K40">
        <f>T_urcas!B55</f>
        <v>5</v>
      </c>
      <c r="L40">
        <f>T_urcas!C55</f>
        <v>9</v>
      </c>
      <c r="M40">
        <f>T_urcas!D55</f>
        <v>3</v>
      </c>
      <c r="N40">
        <f>T_urcas!E55</f>
        <v>0</v>
      </c>
      <c r="O40">
        <f>T_urcas!F55</f>
        <v>25</v>
      </c>
      <c r="P40">
        <f>T_urcas!G55</f>
        <v>4</v>
      </c>
      <c r="Q40">
        <f t="shared" ref="Q40:Q46" si="13">SUM(K40:P40)-R40</f>
        <v>0</v>
      </c>
      <c r="R40" s="117">
        <f>T_urcas!H55</f>
        <v>46</v>
      </c>
    </row>
    <row r="41" spans="1:18" x14ac:dyDescent="0.2">
      <c r="A41" s="117" t="str">
        <f t="shared" si="11"/>
        <v>2014-15</v>
      </c>
      <c r="B41">
        <f>T_urcas!B38</f>
        <v>23</v>
      </c>
      <c r="C41">
        <f>T_urcas!C38</f>
        <v>34</v>
      </c>
      <c r="D41">
        <f>T_urcas!D38</f>
        <v>6</v>
      </c>
      <c r="E41">
        <f>T_urcas!E38</f>
        <v>1</v>
      </c>
      <c r="F41">
        <f>T_urcas!F38</f>
        <v>11</v>
      </c>
      <c r="G41">
        <f>T_urcas!G38</f>
        <v>3</v>
      </c>
      <c r="H41">
        <f t="shared" si="12"/>
        <v>0</v>
      </c>
      <c r="I41" s="117">
        <f>T_urcas!H38</f>
        <v>78</v>
      </c>
      <c r="K41">
        <f>T_urcas!B56</f>
        <v>6</v>
      </c>
      <c r="L41">
        <f>T_urcas!C56</f>
        <v>7</v>
      </c>
      <c r="M41">
        <f>T_urcas!D56</f>
        <v>2</v>
      </c>
      <c r="N41">
        <f>T_urcas!E56</f>
        <v>0</v>
      </c>
      <c r="O41">
        <f>T_urcas!F56</f>
        <v>10</v>
      </c>
      <c r="P41">
        <f>T_urcas!G56</f>
        <v>5</v>
      </c>
      <c r="Q41">
        <f t="shared" si="13"/>
        <v>0</v>
      </c>
      <c r="R41" s="117">
        <f>T_urcas!H56</f>
        <v>30</v>
      </c>
    </row>
    <row r="42" spans="1:18" x14ac:dyDescent="0.2">
      <c r="A42" s="117" t="str">
        <f t="shared" si="11"/>
        <v>2015-16</v>
      </c>
      <c r="B42">
        <f>T_urcas!B39</f>
        <v>35</v>
      </c>
      <c r="C42">
        <f>T_urcas!C39</f>
        <v>34</v>
      </c>
      <c r="D42">
        <f>T_urcas!D39</f>
        <v>7</v>
      </c>
      <c r="E42">
        <f>T_urcas!E39</f>
        <v>2</v>
      </c>
      <c r="F42">
        <f>T_urcas!F39</f>
        <v>16</v>
      </c>
      <c r="G42">
        <f>T_urcas!G39</f>
        <v>9</v>
      </c>
      <c r="H42">
        <f t="shared" si="12"/>
        <v>0</v>
      </c>
      <c r="I42" s="117">
        <f>T_urcas!H39</f>
        <v>103</v>
      </c>
      <c r="K42">
        <f>T_urcas!B57</f>
        <v>4</v>
      </c>
      <c r="L42">
        <f>T_urcas!C57</f>
        <v>10</v>
      </c>
      <c r="M42">
        <f>T_urcas!D57</f>
        <v>1</v>
      </c>
      <c r="N42">
        <f>T_urcas!E57</f>
        <v>0</v>
      </c>
      <c r="O42">
        <f>T_urcas!F57</f>
        <v>19</v>
      </c>
      <c r="P42">
        <f>T_urcas!G57</f>
        <v>22</v>
      </c>
      <c r="Q42">
        <f t="shared" si="13"/>
        <v>0</v>
      </c>
      <c r="R42" s="117">
        <f>T_urcas!H57</f>
        <v>56</v>
      </c>
    </row>
    <row r="43" spans="1:18" x14ac:dyDescent="0.2">
      <c r="A43" s="117" t="str">
        <f t="shared" si="11"/>
        <v>2016-17</v>
      </c>
      <c r="B43">
        <f>T_urcas!B40</f>
        <v>20</v>
      </c>
      <c r="C43">
        <f>T_urcas!C40</f>
        <v>21</v>
      </c>
      <c r="D43">
        <f>T_urcas!D40</f>
        <v>1</v>
      </c>
      <c r="E43">
        <f>T_urcas!E40</f>
        <v>4</v>
      </c>
      <c r="F43">
        <f>T_urcas!F40</f>
        <v>8</v>
      </c>
      <c r="G43">
        <f>T_urcas!G40</f>
        <v>2</v>
      </c>
      <c r="H43">
        <f t="shared" si="12"/>
        <v>0</v>
      </c>
      <c r="I43" s="117">
        <f>T_urcas!H40</f>
        <v>56</v>
      </c>
      <c r="K43">
        <f>T_urcas!B58</f>
        <v>9</v>
      </c>
      <c r="L43">
        <f>T_urcas!C58</f>
        <v>10</v>
      </c>
      <c r="M43">
        <f>T_urcas!D58</f>
        <v>2</v>
      </c>
      <c r="N43">
        <f>T_urcas!E58</f>
        <v>0</v>
      </c>
      <c r="O43">
        <f>T_urcas!F58</f>
        <v>17</v>
      </c>
      <c r="P43">
        <f>T_urcas!G58</f>
        <v>2</v>
      </c>
      <c r="Q43">
        <f t="shared" si="13"/>
        <v>0</v>
      </c>
      <c r="R43" s="117">
        <f>T_urcas!H58</f>
        <v>40</v>
      </c>
    </row>
    <row r="44" spans="1:18" x14ac:dyDescent="0.2">
      <c r="A44" s="117" t="str">
        <f t="shared" si="11"/>
        <v>2017-18</v>
      </c>
      <c r="B44">
        <f>T_urcas!B41</f>
        <v>29</v>
      </c>
      <c r="C44">
        <f>T_urcas!C41</f>
        <v>41</v>
      </c>
      <c r="D44">
        <f>T_urcas!D41</f>
        <v>5</v>
      </c>
      <c r="E44">
        <f>T_urcas!E41</f>
        <v>1</v>
      </c>
      <c r="F44">
        <f>T_urcas!F41</f>
        <v>11</v>
      </c>
      <c r="G44">
        <f>T_urcas!G41</f>
        <v>3</v>
      </c>
      <c r="H44">
        <f t="shared" si="12"/>
        <v>0</v>
      </c>
      <c r="I44" s="117">
        <f>T_urcas!H41</f>
        <v>90</v>
      </c>
      <c r="K44">
        <f>T_urcas!B59</f>
        <v>8</v>
      </c>
      <c r="L44">
        <f>T_urcas!C59</f>
        <v>4</v>
      </c>
      <c r="M44">
        <f>T_urcas!D59</f>
        <v>3</v>
      </c>
      <c r="N44">
        <f>T_urcas!E59</f>
        <v>0</v>
      </c>
      <c r="O44">
        <f>T_urcas!F59</f>
        <v>15</v>
      </c>
      <c r="P44">
        <f>T_urcas!G59</f>
        <v>5</v>
      </c>
      <c r="Q44">
        <f t="shared" si="13"/>
        <v>0</v>
      </c>
      <c r="R44" s="117">
        <f>T_urcas!H59</f>
        <v>35</v>
      </c>
    </row>
    <row r="45" spans="1:18" x14ac:dyDescent="0.2">
      <c r="A45" s="117" t="str">
        <f t="shared" ref="A45:A47" si="14">A33</f>
        <v>2018-19</v>
      </c>
      <c r="B45">
        <f>T_urcas!B42</f>
        <v>38</v>
      </c>
      <c r="C45">
        <f>T_urcas!C42</f>
        <v>33</v>
      </c>
      <c r="D45">
        <f>T_urcas!D42</f>
        <v>6</v>
      </c>
      <c r="E45">
        <f>T_urcas!E42</f>
        <v>1</v>
      </c>
      <c r="F45">
        <f>T_urcas!F42</f>
        <v>8</v>
      </c>
      <c r="G45">
        <f>T_urcas!G42</f>
        <v>4</v>
      </c>
      <c r="H45">
        <f t="shared" si="12"/>
        <v>0</v>
      </c>
      <c r="I45" s="117">
        <f>T_urcas!H42</f>
        <v>90</v>
      </c>
      <c r="K45">
        <f>T_urcas!B60</f>
        <v>5</v>
      </c>
      <c r="L45">
        <f>T_urcas!C60</f>
        <v>9</v>
      </c>
      <c r="M45">
        <f>T_urcas!D60</f>
        <v>1</v>
      </c>
      <c r="N45">
        <f>T_urcas!E60</f>
        <v>1</v>
      </c>
      <c r="O45">
        <f>T_urcas!F60</f>
        <v>12</v>
      </c>
      <c r="P45">
        <f>T_urcas!G60</f>
        <v>3</v>
      </c>
      <c r="Q45">
        <f t="shared" si="13"/>
        <v>0</v>
      </c>
      <c r="R45" s="117">
        <f>T_urcas!H60</f>
        <v>31</v>
      </c>
    </row>
    <row r="46" spans="1:18" x14ac:dyDescent="0.2">
      <c r="A46" s="117" t="str">
        <f t="shared" si="14"/>
        <v>2019-20</v>
      </c>
      <c r="B46">
        <f>T_urcas!B43</f>
        <v>28</v>
      </c>
      <c r="C46">
        <f>T_urcas!C43</f>
        <v>25</v>
      </c>
      <c r="D46">
        <f>T_urcas!D43</f>
        <v>6</v>
      </c>
      <c r="E46">
        <f>T_urcas!E43</f>
        <v>2</v>
      </c>
      <c r="F46">
        <f>T_urcas!F43</f>
        <v>17</v>
      </c>
      <c r="G46">
        <f>T_urcas!G43</f>
        <v>7</v>
      </c>
      <c r="H46">
        <f t="shared" si="12"/>
        <v>0</v>
      </c>
      <c r="I46" s="117">
        <f>T_urcas!H43</f>
        <v>85</v>
      </c>
      <c r="K46">
        <f>T_urcas!B61</f>
        <v>4</v>
      </c>
      <c r="L46">
        <f>T_urcas!C61</f>
        <v>7</v>
      </c>
      <c r="M46">
        <f>T_urcas!D61</f>
        <v>4</v>
      </c>
      <c r="N46">
        <f>T_urcas!E61</f>
        <v>2</v>
      </c>
      <c r="O46">
        <f>T_urcas!F61</f>
        <v>4</v>
      </c>
      <c r="P46">
        <f>T_urcas!G61</f>
        <v>4</v>
      </c>
      <c r="Q46">
        <f t="shared" si="13"/>
        <v>0</v>
      </c>
      <c r="R46" s="117">
        <f>T_urcas!H61</f>
        <v>25</v>
      </c>
    </row>
    <row r="47" spans="1:18" ht="13.5" thickBot="1" x14ac:dyDescent="0.25">
      <c r="A47" s="842" t="str">
        <f t="shared" si="14"/>
        <v>2020-21</v>
      </c>
      <c r="B47" s="510">
        <f>T_urcas!B44</f>
        <v>38</v>
      </c>
      <c r="C47" s="510">
        <f>T_urcas!C44</f>
        <v>12</v>
      </c>
      <c r="D47" s="510">
        <f>T_urcas!D44</f>
        <v>1</v>
      </c>
      <c r="E47" s="510">
        <f>T_urcas!E44</f>
        <v>8</v>
      </c>
      <c r="F47" s="510">
        <f>T_urcas!F44</f>
        <v>14</v>
      </c>
      <c r="G47" s="510">
        <f>T_urcas!G44</f>
        <v>11</v>
      </c>
      <c r="H47" s="510">
        <f t="shared" ref="H47" si="15">SUM(B47:G47)-I47</f>
        <v>0</v>
      </c>
      <c r="I47" s="842">
        <f>T_urcas!H44</f>
        <v>84</v>
      </c>
      <c r="K47" s="510">
        <f>T_urcas!B62</f>
        <v>2</v>
      </c>
      <c r="L47" s="510">
        <f>T_urcas!C62</f>
        <v>8</v>
      </c>
      <c r="M47" s="510">
        <f>T_urcas!D62</f>
        <v>2</v>
      </c>
      <c r="N47" s="510">
        <f>T_urcas!E62</f>
        <v>0</v>
      </c>
      <c r="O47" s="510">
        <f>T_urcas!F62</f>
        <v>8</v>
      </c>
      <c r="P47" s="510">
        <f>T_urcas!G62</f>
        <v>2</v>
      </c>
      <c r="Q47" s="510">
        <f t="shared" ref="Q47" si="16">SUM(K47:P47)-R47</f>
        <v>0</v>
      </c>
      <c r="R47" s="842">
        <f>T_urcas!H62</f>
        <v>22</v>
      </c>
    </row>
    <row r="49" spans="1:9" ht="15" x14ac:dyDescent="0.25">
      <c r="B49" s="708" t="s">
        <v>865</v>
      </c>
    </row>
    <row r="50" spans="1:9" ht="48" customHeight="1" x14ac:dyDescent="0.25">
      <c r="A50" s="857" t="s">
        <v>4</v>
      </c>
      <c r="B50" s="839" t="s">
        <v>1006</v>
      </c>
      <c r="C50" s="839" t="s">
        <v>1007</v>
      </c>
      <c r="D50" s="839" t="s">
        <v>1008</v>
      </c>
      <c r="E50" s="839" t="s">
        <v>1009</v>
      </c>
      <c r="F50" s="839" t="s">
        <v>1010</v>
      </c>
      <c r="G50" s="839" t="s">
        <v>1011</v>
      </c>
      <c r="H50" s="856" t="s">
        <v>168</v>
      </c>
      <c r="I50" s="593" t="s">
        <v>11</v>
      </c>
    </row>
    <row r="51" spans="1:9" x14ac:dyDescent="0.2">
      <c r="A51" s="400" t="str">
        <f t="shared" ref="A51:A56" si="17">A39</f>
        <v>2012-13</v>
      </c>
      <c r="B51" s="404">
        <f>T_urcas!B72</f>
        <v>5</v>
      </c>
      <c r="C51" s="404">
        <f>T_urcas!C72</f>
        <v>7</v>
      </c>
      <c r="D51" s="404">
        <f>T_urcas!D72</f>
        <v>1</v>
      </c>
      <c r="E51" s="404">
        <f>T_urcas!E72</f>
        <v>1</v>
      </c>
      <c r="F51" s="404">
        <f>T_urcas!F72</f>
        <v>3</v>
      </c>
      <c r="G51" s="404">
        <f>T_urcas!G72</f>
        <v>7</v>
      </c>
      <c r="H51" s="404">
        <f>T_urcas!H72</f>
        <v>0</v>
      </c>
      <c r="I51" s="400">
        <f>T_urcas!I72</f>
        <v>24</v>
      </c>
    </row>
    <row r="52" spans="1:9" x14ac:dyDescent="0.2">
      <c r="A52" s="117" t="str">
        <f t="shared" si="17"/>
        <v>2013-14</v>
      </c>
      <c r="B52">
        <f>T_urcas!B73</f>
        <v>3</v>
      </c>
      <c r="C52">
        <f>T_urcas!C73</f>
        <v>10</v>
      </c>
      <c r="D52">
        <f>T_urcas!D73</f>
        <v>1</v>
      </c>
      <c r="E52">
        <f>T_urcas!E73</f>
        <v>1</v>
      </c>
      <c r="F52">
        <f>T_urcas!F73</f>
        <v>5</v>
      </c>
      <c r="G52">
        <f>T_urcas!G73</f>
        <v>5</v>
      </c>
      <c r="H52">
        <f>T_urcas!H73</f>
        <v>0</v>
      </c>
      <c r="I52" s="117">
        <f>T_urcas!I73</f>
        <v>25</v>
      </c>
    </row>
    <row r="53" spans="1:9" x14ac:dyDescent="0.2">
      <c r="A53" s="117" t="str">
        <f t="shared" si="17"/>
        <v>2014-15</v>
      </c>
      <c r="B53">
        <f>T_urcas!B74</f>
        <v>3</v>
      </c>
      <c r="C53">
        <f>T_urcas!C74</f>
        <v>6</v>
      </c>
      <c r="D53">
        <f>T_urcas!D74</f>
        <v>4</v>
      </c>
      <c r="E53">
        <f>T_urcas!E74</f>
        <v>0</v>
      </c>
      <c r="F53">
        <f>T_urcas!F74</f>
        <v>1</v>
      </c>
      <c r="G53">
        <f>T_urcas!G74</f>
        <v>2</v>
      </c>
      <c r="H53">
        <f>T_urcas!H74</f>
        <v>0</v>
      </c>
      <c r="I53" s="117">
        <f>T_urcas!I74</f>
        <v>16</v>
      </c>
    </row>
    <row r="54" spans="1:9" x14ac:dyDescent="0.2">
      <c r="A54" s="117" t="str">
        <f t="shared" si="17"/>
        <v>2015-16</v>
      </c>
      <c r="B54">
        <f>T_urcas!B75</f>
        <v>6</v>
      </c>
      <c r="C54">
        <f>T_urcas!C75</f>
        <v>13</v>
      </c>
      <c r="D54">
        <f>T_urcas!D75</f>
        <v>0</v>
      </c>
      <c r="E54">
        <f>T_urcas!E75</f>
        <v>0</v>
      </c>
      <c r="F54">
        <f>T_urcas!F75</f>
        <v>5</v>
      </c>
      <c r="G54">
        <f>T_urcas!G75</f>
        <v>3</v>
      </c>
      <c r="H54">
        <f>T_urcas!H75</f>
        <v>2</v>
      </c>
      <c r="I54" s="117">
        <f>T_urcas!I75</f>
        <v>29</v>
      </c>
    </row>
    <row r="55" spans="1:9" x14ac:dyDescent="0.2">
      <c r="A55" s="117" t="str">
        <f t="shared" si="17"/>
        <v>2016-17</v>
      </c>
      <c r="B55">
        <f>T_urcas!B76</f>
        <v>7</v>
      </c>
      <c r="C55">
        <f>T_urcas!C76</f>
        <v>9</v>
      </c>
      <c r="D55">
        <f>T_urcas!D76</f>
        <v>1</v>
      </c>
      <c r="E55">
        <f>T_urcas!E76</f>
        <v>0</v>
      </c>
      <c r="F55">
        <f>T_urcas!F76</f>
        <v>4</v>
      </c>
      <c r="G55">
        <f>T_urcas!G76</f>
        <v>5</v>
      </c>
      <c r="H55">
        <f>T_urcas!H76</f>
        <v>0</v>
      </c>
      <c r="I55" s="117">
        <f>T_urcas!I76</f>
        <v>26</v>
      </c>
    </row>
    <row r="56" spans="1:9" x14ac:dyDescent="0.2">
      <c r="A56" s="117" t="str">
        <f t="shared" si="17"/>
        <v>2017-18</v>
      </c>
      <c r="B56">
        <f>T_urcas!B77</f>
        <v>5</v>
      </c>
      <c r="C56">
        <f>T_urcas!C77</f>
        <v>7</v>
      </c>
      <c r="D56">
        <f>T_urcas!D77</f>
        <v>0</v>
      </c>
      <c r="E56">
        <f>T_urcas!E77</f>
        <v>0</v>
      </c>
      <c r="F56">
        <f>T_urcas!F77</f>
        <v>4</v>
      </c>
      <c r="G56">
        <f>T_urcas!G77</f>
        <v>2</v>
      </c>
      <c r="H56">
        <f>T_urcas!H77</f>
        <v>1</v>
      </c>
      <c r="I56" s="117">
        <f>T_urcas!I77</f>
        <v>19</v>
      </c>
    </row>
    <row r="57" spans="1:9" x14ac:dyDescent="0.2">
      <c r="A57" s="117" t="str">
        <f t="shared" ref="A57:A59" si="18">A45</f>
        <v>2018-19</v>
      </c>
      <c r="B57">
        <f>T_urcas!B78</f>
        <v>12</v>
      </c>
      <c r="C57">
        <f>T_urcas!C78</f>
        <v>9</v>
      </c>
      <c r="D57">
        <f>T_urcas!D78</f>
        <v>4</v>
      </c>
      <c r="E57">
        <f>T_urcas!E78</f>
        <v>1</v>
      </c>
      <c r="F57">
        <f>T_urcas!F78</f>
        <v>5</v>
      </c>
      <c r="G57">
        <f>T_urcas!G78</f>
        <v>4</v>
      </c>
      <c r="H57">
        <f>T_urcas!H78</f>
        <v>0</v>
      </c>
      <c r="I57" s="117">
        <f>T_urcas!I78</f>
        <v>35</v>
      </c>
    </row>
    <row r="58" spans="1:9" x14ac:dyDescent="0.2">
      <c r="A58" s="117" t="str">
        <f t="shared" si="18"/>
        <v>2019-20</v>
      </c>
      <c r="B58">
        <f>T_urcas!B79</f>
        <v>3</v>
      </c>
      <c r="C58">
        <f>T_urcas!C79</f>
        <v>14</v>
      </c>
      <c r="D58">
        <f>T_urcas!D79</f>
        <v>3</v>
      </c>
      <c r="E58">
        <f>T_urcas!E79</f>
        <v>0</v>
      </c>
      <c r="F58">
        <f>T_urcas!F79</f>
        <v>6</v>
      </c>
      <c r="G58">
        <f>T_urcas!G79</f>
        <v>1</v>
      </c>
      <c r="H58">
        <f>T_urcas!H79</f>
        <v>0</v>
      </c>
      <c r="I58" s="117">
        <f>T_urcas!I79</f>
        <v>27</v>
      </c>
    </row>
    <row r="59" spans="1:9" ht="13.5" thickBot="1" x14ac:dyDescent="0.25">
      <c r="A59" s="842" t="str">
        <f t="shared" si="18"/>
        <v>2020-21</v>
      </c>
      <c r="B59" s="510">
        <f>T_urcas!B80</f>
        <v>13</v>
      </c>
      <c r="C59" s="510">
        <f>T_urcas!C80</f>
        <v>19</v>
      </c>
      <c r="D59" s="510">
        <f>T_urcas!D80</f>
        <v>4</v>
      </c>
      <c r="E59" s="510">
        <f>T_urcas!E80</f>
        <v>1</v>
      </c>
      <c r="F59" s="510">
        <f>T_urcas!F80</f>
        <v>17</v>
      </c>
      <c r="G59" s="510">
        <f>T_urcas!G80</f>
        <v>9</v>
      </c>
      <c r="H59" s="510">
        <f>T_urcas!H80</f>
        <v>0</v>
      </c>
      <c r="I59" s="842">
        <f>T_urcas!I80</f>
        <v>63</v>
      </c>
    </row>
    <row r="61" spans="1:9" x14ac:dyDescent="0.2">
      <c r="A61" s="117" t="s">
        <v>1231</v>
      </c>
    </row>
    <row r="62" spans="1:9" ht="15" x14ac:dyDescent="0.25">
      <c r="A62" s="1109" t="s">
        <v>1236</v>
      </c>
    </row>
    <row r="63" spans="1:9" x14ac:dyDescent="0.2">
      <c r="A63" s="106" t="s">
        <v>1237</v>
      </c>
    </row>
    <row r="64" spans="1:9" ht="15" x14ac:dyDescent="0.25">
      <c r="A64" s="1109" t="s">
        <v>1235</v>
      </c>
    </row>
  </sheetData>
  <sheetProtection algorithmName="SHA-512" hashValue="nc6EcCpf0KxYJFrbEqhJAavm7fhjTf3TZt4YqLqZ00uFKXGZQT02IDafzEm6ZL19SLF0eF02J8FyVMieCZZZxQ==" saltValue="W6LGLOOFuKycISI+8WnWUA==" spinCount="100000" sheet="1" scenarios="1" formatCells="0" formatColumns="0" formatRows="0" sort="0" autoFilter="0" pivotTables="0"/>
  <mergeCells count="2">
    <mergeCell ref="B8:I8"/>
    <mergeCell ref="B23:I23"/>
  </mergeCells>
  <hyperlinks>
    <hyperlink ref="A2" location="'Table of Contents'!A1" display="Back to Table of Contents" xr:uid="{00000000-0004-0000-9300-000000000000}"/>
    <hyperlink ref="A63" r:id="rId1" xr:uid="{00000000-0004-0000-9300-000001000000}"/>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8497B0"/>
  </sheetPr>
  <dimension ref="A1:P45"/>
  <sheetViews>
    <sheetView showGridLines="0" workbookViewId="0">
      <pane ySplit="2" topLeftCell="A6" activePane="bottomLeft" state="frozen"/>
      <selection activeCellId="1" sqref="A1 A1"/>
      <selection pane="bottomLeft"/>
    </sheetView>
  </sheetViews>
  <sheetFormatPr defaultColWidth="9.140625" defaultRowHeight="12.75" x14ac:dyDescent="0.2"/>
  <cols>
    <col min="1" max="1" width="16.85546875" customWidth="1"/>
    <col min="2" max="7" width="13.85546875" customWidth="1"/>
    <col min="8" max="8" width="9.28515625" customWidth="1"/>
    <col min="9" max="9" width="10.7109375" customWidth="1"/>
    <col min="10" max="15" width="14.28515625" customWidth="1"/>
  </cols>
  <sheetData>
    <row r="1" spans="1:16" ht="15.75" x14ac:dyDescent="0.2">
      <c r="A1" s="298" t="s">
        <v>1137</v>
      </c>
    </row>
    <row r="2" spans="1:16" ht="17.25" customHeight="1" x14ac:dyDescent="0.2">
      <c r="A2" s="106" t="s">
        <v>578</v>
      </c>
    </row>
    <row r="3" spans="1:16" ht="33" customHeight="1" x14ac:dyDescent="0.2">
      <c r="A3" s="120" t="s">
        <v>1089</v>
      </c>
      <c r="B3" s="120"/>
      <c r="C3" s="120"/>
      <c r="D3" s="120"/>
      <c r="E3" s="120"/>
      <c r="F3" s="120"/>
      <c r="G3" s="120"/>
    </row>
    <row r="4" spans="1:16" ht="15.75" x14ac:dyDescent="0.25">
      <c r="A4" s="351" t="s">
        <v>579</v>
      </c>
      <c r="B4" s="1043" t="s">
        <v>1402</v>
      </c>
      <c r="D4" s="197"/>
      <c r="E4" s="197"/>
      <c r="F4" s="197"/>
      <c r="G4" s="197"/>
    </row>
    <row r="5" spans="1:16" ht="15.75" x14ac:dyDescent="0.25">
      <c r="A5" s="351" t="s">
        <v>580</v>
      </c>
      <c r="B5" s="351" t="s">
        <v>581</v>
      </c>
      <c r="C5" s="197"/>
      <c r="D5" s="197"/>
      <c r="E5" s="197"/>
      <c r="F5" s="197"/>
      <c r="G5" s="197"/>
    </row>
    <row r="6" spans="1:16" ht="15.75" x14ac:dyDescent="0.25">
      <c r="A6" s="351" t="s">
        <v>582</v>
      </c>
      <c r="B6" s="351" t="s">
        <v>585</v>
      </c>
      <c r="C6" s="197"/>
      <c r="D6" s="197"/>
    </row>
    <row r="7" spans="1:16" x14ac:dyDescent="0.2">
      <c r="A7" s="29"/>
      <c r="C7" s="57"/>
      <c r="D7" s="57"/>
      <c r="E7" s="57"/>
      <c r="F7" s="57"/>
      <c r="G7" s="57"/>
      <c r="H7" s="57"/>
      <c r="I7" s="3"/>
    </row>
    <row r="8" spans="1:16" ht="15.75" x14ac:dyDescent="0.25">
      <c r="A8" s="196"/>
      <c r="B8" s="1425" t="s">
        <v>59</v>
      </c>
      <c r="C8" s="1425"/>
      <c r="D8" s="1425"/>
      <c r="E8" s="1425"/>
      <c r="F8" s="1425"/>
      <c r="G8" s="1425"/>
      <c r="H8" s="1425"/>
      <c r="I8" s="66"/>
      <c r="J8" s="196"/>
      <c r="K8" s="196"/>
      <c r="L8" s="196"/>
      <c r="M8" s="196"/>
      <c r="N8" s="196"/>
      <c r="O8" s="196"/>
      <c r="P8" s="196"/>
    </row>
    <row r="9" spans="1:16" ht="15.75" x14ac:dyDescent="0.25">
      <c r="B9" s="846"/>
      <c r="C9" s="846"/>
      <c r="D9" s="846"/>
      <c r="E9" s="846"/>
      <c r="F9" s="846"/>
      <c r="G9" s="846"/>
      <c r="H9" s="846"/>
      <c r="I9" s="3"/>
    </row>
    <row r="10" spans="1:16" ht="15" x14ac:dyDescent="0.25">
      <c r="B10" s="708" t="s">
        <v>11</v>
      </c>
      <c r="H10" s="753" t="s">
        <v>57</v>
      </c>
      <c r="J10" s="708" t="s">
        <v>651</v>
      </c>
      <c r="P10" s="753" t="s">
        <v>57</v>
      </c>
    </row>
    <row r="11" spans="1:16" ht="36" customHeight="1" x14ac:dyDescent="0.25">
      <c r="A11" s="590" t="s">
        <v>4</v>
      </c>
      <c r="B11" s="839" t="s">
        <v>1006</v>
      </c>
      <c r="C11" s="839" t="s">
        <v>1007</v>
      </c>
      <c r="D11" s="839" t="s">
        <v>1008</v>
      </c>
      <c r="E11" s="839" t="s">
        <v>1009</v>
      </c>
      <c r="F11" s="839" t="s">
        <v>1010</v>
      </c>
      <c r="G11" s="839" t="s">
        <v>1011</v>
      </c>
      <c r="H11" s="593" t="s">
        <v>11</v>
      </c>
      <c r="J11" s="839" t="s">
        <v>1006</v>
      </c>
      <c r="K11" s="839" t="s">
        <v>1007</v>
      </c>
      <c r="L11" s="839" t="s">
        <v>1008</v>
      </c>
      <c r="M11" s="839" t="s">
        <v>1009</v>
      </c>
      <c r="N11" s="839" t="s">
        <v>1010</v>
      </c>
      <c r="O11" s="839" t="s">
        <v>1011</v>
      </c>
      <c r="P11" s="593" t="s">
        <v>11</v>
      </c>
    </row>
    <row r="12" spans="1:16" x14ac:dyDescent="0.2">
      <c r="A12" s="400" t="str">
        <f>T_simd!A6</f>
        <v>2012-13</v>
      </c>
      <c r="B12" s="847">
        <f>T_urcas!J4/T_ur!B22*1000000</f>
        <v>11.539995977487116</v>
      </c>
      <c r="C12" s="847">
        <f>T_urcas!K4/T_ur!C22*1000000</f>
        <v>7.1923485740912083</v>
      </c>
      <c r="D12" s="847">
        <f>T_urcas!L4/T_ur!D22*1000000</f>
        <v>2.1664106691392635</v>
      </c>
      <c r="E12" s="847">
        <f>T_urcas!M4/T_ur!E22*1000000</f>
        <v>5.1679052412894952</v>
      </c>
      <c r="F12" s="847">
        <f>T_urcas!N4/T_ur!F22*1000000</f>
        <v>12.140026534629426</v>
      </c>
      <c r="G12" s="847">
        <f>T_urcas!O4/T_ur!G22*1000000</f>
        <v>6.3365533585316935</v>
      </c>
      <c r="H12" s="848">
        <f>'Rurality Casualty'!I12/T_ur!I22*1000000</f>
        <v>8.6570310147545921</v>
      </c>
      <c r="J12" s="847">
        <f>T_urcas!I19/T_ur!B22*1000000</f>
        <v>9.8914251235603849</v>
      </c>
      <c r="K12" s="847">
        <f>T_urcas!J19/T_ur!C22*1000000</f>
        <v>6.6786093902275505</v>
      </c>
      <c r="L12" s="847">
        <f>T_urcas!K19/T_ur!D22*1000000</f>
        <v>2.1664106691392635</v>
      </c>
      <c r="M12" s="847">
        <f>T_urcas!L19/T_ur!E22*1000000</f>
        <v>5.1679052412894952</v>
      </c>
      <c r="N12" s="847">
        <f>T_urcas!M19/T_ur!F22*1000000</f>
        <v>8.6714475247353047</v>
      </c>
      <c r="O12" s="847">
        <f>T_urcas!N19/T_ur!G22*1000000</f>
        <v>6.3365533585316935</v>
      </c>
      <c r="P12" s="848">
        <f>'Rurality Casualty'!R12/T_ur!I22*1000000</f>
        <v>7.5278530563083406</v>
      </c>
    </row>
    <row r="13" spans="1:16" x14ac:dyDescent="0.2">
      <c r="A13" s="117" t="str">
        <f>T_simd!A7</f>
        <v>2013-14</v>
      </c>
      <c r="B13" s="92">
        <f>T_urcas!J5/T_ur!B23*1000000</f>
        <v>5.4703817122951204</v>
      </c>
      <c r="C13" s="92">
        <f>T_urcas!K5/T_ur!C23*1000000</f>
        <v>7.1859508501493137</v>
      </c>
      <c r="D13" s="92">
        <f>T_urcas!L5/T_ur!D23*1000000</f>
        <v>2.1596546280318853</v>
      </c>
      <c r="E13" s="92">
        <f>T_urcas!M5/T_ur!E23*1000000</f>
        <v>0</v>
      </c>
      <c r="F13" s="92">
        <f>T_urcas!N5/T_ur!F23*1000000</f>
        <v>10.341992453792839</v>
      </c>
      <c r="G13" s="92">
        <f>T_urcas!O5/T_ur!G23*1000000</f>
        <v>0</v>
      </c>
      <c r="H13" s="600">
        <f>'Rurality Casualty'!I13/T_ur!I23*1000000</f>
        <v>5.8186459447791732</v>
      </c>
      <c r="J13" s="92">
        <f>T_urcas!I20/T_ur!B23*1000000</f>
        <v>5.4703817122951204</v>
      </c>
      <c r="K13" s="92">
        <f>T_urcas!J20/T_ur!C23*1000000</f>
        <v>6.67266864656722</v>
      </c>
      <c r="L13" s="92">
        <f>T_urcas!K20/T_ur!D23*1000000</f>
        <v>2.1596546280318853</v>
      </c>
      <c r="M13" s="92">
        <f>T_urcas!L20/T_ur!E23*1000000</f>
        <v>0</v>
      </c>
      <c r="N13" s="92">
        <f>T_urcas!M20/T_ur!F23*1000000</f>
        <v>8.6183270448273657</v>
      </c>
      <c r="O13" s="92">
        <f>T_urcas!N20/T_ur!G23*1000000</f>
        <v>0</v>
      </c>
      <c r="P13" s="600">
        <f>'Rurality Casualty'!R13/T_ur!I23*1000000</f>
        <v>5.4432494322127747</v>
      </c>
    </row>
    <row r="14" spans="1:16" x14ac:dyDescent="0.2">
      <c r="A14" s="117" t="str">
        <f>T_simd!A8</f>
        <v>2014-15</v>
      </c>
      <c r="B14" s="92">
        <f>T_urcas!J6/T_ur!B24*1000000</f>
        <v>8.154864131808699</v>
      </c>
      <c r="C14" s="92">
        <f>T_urcas!K6/T_ur!C24*1000000</f>
        <v>5.1246284003831173</v>
      </c>
      <c r="D14" s="92">
        <f>T_urcas!L6/T_ur!D24*1000000</f>
        <v>4.3177426841247399</v>
      </c>
      <c r="E14" s="92">
        <f>T_urcas!M6/T_ur!E24*1000000</f>
        <v>5.1975051975051976</v>
      </c>
      <c r="F14" s="92">
        <f>T_urcas!N6/T_ur!F24*1000000</f>
        <v>10.246496552053909</v>
      </c>
      <c r="G14" s="92">
        <f>T_urcas!O6/T_ur!G24*1000000</f>
        <v>19.006889997624139</v>
      </c>
      <c r="H14" s="600">
        <f>'Rurality Casualty'!I14/T_ur!I24*1000000</f>
        <v>7.4799910240107712</v>
      </c>
      <c r="J14" s="92">
        <f>T_urcas!I21/T_ur!B24*1000000</f>
        <v>5.4365760878724672</v>
      </c>
      <c r="K14" s="92">
        <f>T_urcas!J21/T_ur!C24*1000000</f>
        <v>5.1246284003831173</v>
      </c>
      <c r="L14" s="92">
        <f>T_urcas!K21/T_ur!D24*1000000</f>
        <v>2.15887134206237</v>
      </c>
      <c r="M14" s="92">
        <f>T_urcas!L21/T_ur!E24*1000000</f>
        <v>5.1975051975051976</v>
      </c>
      <c r="N14" s="92">
        <f>T_urcas!M21/T_ur!F24*1000000</f>
        <v>6.8309977013692738</v>
      </c>
      <c r="O14" s="92">
        <f>T_urcas!N21/T_ur!G24*1000000</f>
        <v>15.839074998020115</v>
      </c>
      <c r="P14" s="600">
        <f>'Rurality Casualty'!R14/T_ur!I24*1000000</f>
        <v>5.7969930436083477</v>
      </c>
    </row>
    <row r="15" spans="1:16" x14ac:dyDescent="0.2">
      <c r="A15" s="117" t="str">
        <f>T_simd!A9</f>
        <v>2015-16</v>
      </c>
      <c r="B15" s="92">
        <f>T_urcas!J7/T_ur!B25*1000000</f>
        <v>7.5498397276880667</v>
      </c>
      <c r="C15" s="92">
        <f>T_urcas!K7/T_ur!C25*1000000</f>
        <v>7.1566556130416759</v>
      </c>
      <c r="D15" s="92">
        <f>T_urcas!L7/T_ur!D25*1000000</f>
        <v>2.158596394280583</v>
      </c>
      <c r="E15" s="92">
        <f>T_urcas!M7/T_ur!E25*1000000</f>
        <v>10.402255208929297</v>
      </c>
      <c r="F15" s="92">
        <f>T_urcas!N7/T_ur!F25*1000000</f>
        <v>10.144011144886912</v>
      </c>
      <c r="G15" s="92">
        <f>T_urcas!O7/T_ur!G25*1000000</f>
        <v>25.362766824232853</v>
      </c>
      <c r="H15" s="600">
        <f>'Rurality Casualty'!I15/T_ur!I25*1000000</f>
        <v>8.3752093802345069</v>
      </c>
      <c r="J15" s="92">
        <f>T_urcas!I22/T_ur!B25*1000000</f>
        <v>7.0105654614246333</v>
      </c>
      <c r="K15" s="92">
        <f>T_urcas!J22/T_ur!C25*1000000</f>
        <v>7.1566556130416759</v>
      </c>
      <c r="L15" s="92">
        <f>T_urcas!K22/T_ur!D25*1000000</f>
        <v>2.158596394280583</v>
      </c>
      <c r="M15" s="92">
        <f>T_urcas!L22/T_ur!E25*1000000</f>
        <v>10.402255208929297</v>
      </c>
      <c r="N15" s="92">
        <f>T_urcas!M22/T_ur!F25*1000000</f>
        <v>5.0720055724434561</v>
      </c>
      <c r="O15" s="92">
        <f>T_urcas!N22/T_ur!G25*1000000</f>
        <v>19.022075118174641</v>
      </c>
      <c r="P15" s="600">
        <f>'Rurality Casualty'!R15/T_ur!I25*1000000</f>
        <v>7.2585147962032384</v>
      </c>
    </row>
    <row r="16" spans="1:16" x14ac:dyDescent="0.2">
      <c r="A16" s="117" t="str">
        <f>T_simd!A10</f>
        <v>2016-17</v>
      </c>
      <c r="B16" s="92">
        <f>T_urcas!J8/T_ur!B26*1000000</f>
        <v>9.612088162072622</v>
      </c>
      <c r="C16" s="92">
        <f>T_urcas!K8/T_ur!C26*1000000</f>
        <v>5.6108994271781762</v>
      </c>
      <c r="D16" s="92">
        <f>T_urcas!L8/T_ur!D26*1000000</f>
        <v>4.2933748932022988</v>
      </c>
      <c r="E16" s="92">
        <f>T_urcas!M8/T_ur!E26*1000000</f>
        <v>0</v>
      </c>
      <c r="F16" s="92">
        <f>T_urcas!N8/T_ur!F26*1000000</f>
        <v>10.032069181149074</v>
      </c>
      <c r="G16" s="92">
        <f>T_urcas!O8/T_ur!G26*1000000</f>
        <v>22.187215726298508</v>
      </c>
      <c r="H16" s="600">
        <f>'Rurality Casualty'!I16/T_ur!I26*1000000</f>
        <v>8.1410624086443288</v>
      </c>
      <c r="J16" s="92">
        <f>T_urcas!I23/T_ur!B26*1000000</f>
        <v>8.0100734683938519</v>
      </c>
      <c r="K16" s="92">
        <f>T_urcas!J23/T_ur!C26*1000000</f>
        <v>5.6108994271781762</v>
      </c>
      <c r="L16" s="92">
        <f>T_urcas!K23/T_ur!D26*1000000</f>
        <v>2.1466874466011494</v>
      </c>
      <c r="M16" s="92">
        <f>T_urcas!L23/T_ur!E26*1000000</f>
        <v>0</v>
      </c>
      <c r="N16" s="92">
        <f>T_urcas!M23/T_ur!F26*1000000</f>
        <v>5.0160345905745372</v>
      </c>
      <c r="O16" s="92">
        <f>T_urcas!N23/T_ur!G26*1000000</f>
        <v>19.017613479684435</v>
      </c>
      <c r="P16" s="600">
        <f>'Rurality Casualty'!R16/T_ur!I26*1000000</f>
        <v>6.6608692434362684</v>
      </c>
    </row>
    <row r="17" spans="1:16" x14ac:dyDescent="0.2">
      <c r="A17" s="117" t="str">
        <f>T_simd!A11</f>
        <v>2017-18</v>
      </c>
      <c r="B17" s="92">
        <f>T_urcas!J9/T_ur!B27*1000000</f>
        <v>6.3672502605266565</v>
      </c>
      <c r="C17" s="92">
        <f>T_urcas!K9/T_ur!C27*1000000</f>
        <v>8.6659132419742182</v>
      </c>
      <c r="D17" s="92">
        <f>T_urcas!L9/T_ur!D27*1000000</f>
        <v>6.4224013358594778</v>
      </c>
      <c r="E17" s="92">
        <f>T_urcas!M9/T_ur!E27*1000000</f>
        <v>26.110069609445581</v>
      </c>
      <c r="F17" s="92">
        <f>T_urcas!N9/T_ur!F27*1000000</f>
        <v>8.2825612329751959</v>
      </c>
      <c r="G17" s="92">
        <f>T_urcas!O9/T_ur!G27*1000000</f>
        <v>6.3259709574673337</v>
      </c>
      <c r="H17" s="600">
        <f>'Rurality Casualty'!I17/T_ur!I27*1000000</f>
        <v>8.1108980976257197</v>
      </c>
      <c r="J17" s="92">
        <f>T_urcas!I24/T_ur!B27*1000000</f>
        <v>6.3672502605266565</v>
      </c>
      <c r="K17" s="92">
        <f>T_urcas!J24/T_ur!C27*1000000</f>
        <v>6.11711522962886</v>
      </c>
      <c r="L17" s="92">
        <f>T_urcas!K24/T_ur!D27*1000000</f>
        <v>6.4224013358594778</v>
      </c>
      <c r="M17" s="92">
        <f>T_urcas!L24/T_ur!E27*1000000</f>
        <v>20.888055687556463</v>
      </c>
      <c r="N17" s="92">
        <f>T_urcas!M24/T_ur!F27*1000000</f>
        <v>6.6260489863801562</v>
      </c>
      <c r="O17" s="92">
        <f>T_urcas!N24/T_ur!G27*1000000</f>
        <v>6.3259709574673337</v>
      </c>
      <c r="P17" s="600">
        <f>'Rurality Casualty'!R17/T_ur!I27*1000000</f>
        <v>6.8205279457307189</v>
      </c>
    </row>
    <row r="18" spans="1:16" x14ac:dyDescent="0.2">
      <c r="A18" s="117" t="str">
        <f>T_simd!A12</f>
        <v>2018-19</v>
      </c>
      <c r="B18" s="92">
        <f>T_urcas!J10/T_ur!B28*1000000</f>
        <v>4.7494080390591318</v>
      </c>
      <c r="C18" s="92">
        <f>T_urcas!K10/T_ur!C28*1000000</f>
        <v>8.1657441927523919</v>
      </c>
      <c r="D18" s="92">
        <f>T_urcas!L10/T_ur!D28*1000000</f>
        <v>12.828270086398399</v>
      </c>
      <c r="E18" s="92">
        <f>T_urcas!M10/T_ur!E28*1000000</f>
        <v>20.91973620212649</v>
      </c>
      <c r="F18" s="92">
        <f>T_urcas!N10/T_ur!F28*1000000</f>
        <v>11.501599543879424</v>
      </c>
      <c r="G18" s="92">
        <f>T_urcas!O10/T_ur!G28*1000000</f>
        <v>6.3253707457928376</v>
      </c>
      <c r="H18" s="600">
        <f>'Rurality Casualty'!I18/T_ur!I28*1000000</f>
        <v>8.0910612162336104</v>
      </c>
      <c r="J18" s="92">
        <f>T_urcas!I25/T_ur!B28*1000000</f>
        <v>3.166272026039421</v>
      </c>
      <c r="K18" s="92">
        <f>T_urcas!J25/T_ur!C28*1000000</f>
        <v>8.1657441927523919</v>
      </c>
      <c r="L18" s="92">
        <f>T_urcas!K25/T_ur!D28*1000000</f>
        <v>12.828270086398399</v>
      </c>
      <c r="M18" s="92">
        <f>T_urcas!L25/T_ur!E28*1000000</f>
        <v>20.91973620212649</v>
      </c>
      <c r="N18" s="92">
        <f>T_urcas!M25/T_ur!F28*1000000</f>
        <v>9.8585138947537914</v>
      </c>
      <c r="O18" s="92">
        <f>T_urcas!N25/T_ur!G28*1000000</f>
        <v>6.3253707457928376</v>
      </c>
      <c r="P18" s="600">
        <f>'Rurality Casualty'!R18/T_ur!I28*1000000</f>
        <v>7.3555101965760095</v>
      </c>
    </row>
    <row r="19" spans="1:16" x14ac:dyDescent="0.2">
      <c r="A19" s="117" t="str">
        <f>T_simd!A13</f>
        <v>2019-20</v>
      </c>
      <c r="B19" s="92">
        <f>T_urcas!J11/T_ur!B29*1000000</f>
        <v>2.0935765929762602</v>
      </c>
      <c r="C19" s="92">
        <f>T_urcas!K11/T_ur!C29*1000000</f>
        <v>6.1222334519856183</v>
      </c>
      <c r="D19" s="92">
        <f>T_urcas!L11/T_ur!D29*1000000</f>
        <v>4.2653472525832008</v>
      </c>
      <c r="E19" s="92">
        <f>T_urcas!M11/T_ur!E29*1000000</f>
        <v>5.2348346839206812</v>
      </c>
      <c r="F19" s="92">
        <f>T_urcas!N11/T_ur!F29*1000000</f>
        <v>8.1098265145911999</v>
      </c>
      <c r="G19" s="92">
        <f>T_urcas!O11/T_ur!G29*1000000</f>
        <v>9.4886863230075331</v>
      </c>
      <c r="H19" s="600">
        <f>'Rurality Casualty'!I19/T_ur!I29*1000000</f>
        <v>4.9420679808906707</v>
      </c>
      <c r="J19" s="92">
        <f>T_urcas!I26/T_ur!B29*1000000</f>
        <v>2.0935765929762602</v>
      </c>
      <c r="K19" s="92">
        <f>T_urcas!J26/T_ur!C29*1000000</f>
        <v>4.5916750889892137</v>
      </c>
      <c r="L19" s="92">
        <f>T_urcas!K26/T_ur!D29*1000000</f>
        <v>2.1326736262916004</v>
      </c>
      <c r="M19" s="92">
        <f>T_urcas!L26/T_ur!E29*1000000</f>
        <v>5.2348346839206812</v>
      </c>
      <c r="N19" s="92">
        <f>T_urcas!M26/T_ur!F29*1000000</f>
        <v>4.8658959087547204</v>
      </c>
      <c r="O19" s="92">
        <f>T_urcas!N26/T_ur!G29*1000000</f>
        <v>9.4886863230075331</v>
      </c>
      <c r="P19" s="600">
        <f>'Rurality Casualty'!R19/T_ur!I29*1000000</f>
        <v>3.8438306518038545</v>
      </c>
    </row>
    <row r="20" spans="1:16" ht="13.5" thickBot="1" x14ac:dyDescent="0.25">
      <c r="A20" s="842" t="str">
        <f>T_simd!A14</f>
        <v>2020-21</v>
      </c>
      <c r="B20" s="849">
        <f>T_urcas!J12/T_ur!B30*1000000</f>
        <v>12.01389432996422</v>
      </c>
      <c r="C20" s="849">
        <f>T_urcas!K12/T_ur!C30*1000000</f>
        <v>7.6743143767535811</v>
      </c>
      <c r="D20" s="849">
        <f>T_urcas!L12/T_ur!D30*1000000</f>
        <v>8.5354455715974513</v>
      </c>
      <c r="E20" s="849">
        <f>T_urcas!M12/T_ur!E30*1000000</f>
        <v>0</v>
      </c>
      <c r="F20" s="849">
        <f>T_urcas!N12/T_ur!F30*1000000</f>
        <v>11.231321910544127</v>
      </c>
      <c r="G20" s="849">
        <f>T_urcas!O12/T_ur!G30*1000000</f>
        <v>12.694785616807897</v>
      </c>
      <c r="H20" s="850">
        <f>'Rurality Casualty'!I20/T_ur!I30*1000000</f>
        <v>9.6963044273691903</v>
      </c>
      <c r="J20" s="849">
        <f>T_urcas!I27/T_ur!B30*1000000</f>
        <v>10.446864634751494</v>
      </c>
      <c r="K20" s="849">
        <f>T_urcas!J27/T_ur!C30*1000000</f>
        <v>7.1626934183033422</v>
      </c>
      <c r="L20" s="849">
        <f>T_urcas!K27/T_ur!D30*1000000</f>
        <v>8.5354455715974513</v>
      </c>
      <c r="M20" s="849">
        <f>T_urcas!L27/T_ur!E30*1000000</f>
        <v>0</v>
      </c>
      <c r="N20" s="849">
        <f>T_urcas!M27/T_ur!F30*1000000</f>
        <v>6.4178982345966435</v>
      </c>
      <c r="O20" s="849">
        <f>T_urcas!N27/T_ur!G30*1000000</f>
        <v>6.3473928084039484</v>
      </c>
      <c r="P20" s="850">
        <f>'Rurality Casualty'!R20/T_ur!I30*1000000</f>
        <v>8.0497621661178194</v>
      </c>
    </row>
    <row r="21" spans="1:16" ht="19.5" customHeight="1" x14ac:dyDescent="0.2"/>
    <row r="22" spans="1:16" ht="13.5" thickBot="1" x14ac:dyDescent="0.25">
      <c r="A22" s="788" t="s">
        <v>1439</v>
      </c>
      <c r="B22" s="851">
        <f>SUM('Rurality Casualty'!B13:B20)/SUM(T_ur!B23:B30)*1000000</f>
        <v>7.0004302931153504</v>
      </c>
      <c r="C22" s="851">
        <f>SUM('Rurality Casualty'!C13:C20)/SUM(T_ur!C23:C30)*1000000</f>
        <v>6.963942685346133</v>
      </c>
      <c r="D22" s="851">
        <f>SUM('Rurality Casualty'!D13:D20)/SUM(T_ur!D23:D30)*1000000</f>
        <v>5.6334990386836283</v>
      </c>
      <c r="E22" s="851">
        <f>SUM('Rurality Casualty'!E13:E20)/SUM(T_ur!E23:E30)*1000000</f>
        <v>8.4765047589053832</v>
      </c>
      <c r="F22" s="851">
        <f>SUM('Rurality Casualty'!F13:F20)/SUM(T_ur!F23:F30)*1000000</f>
        <v>9.9846672952846784</v>
      </c>
      <c r="G22" s="851">
        <f>SUM('Rurality Casualty'!G13:G20)/SUM(T_ur!G23:G30)*1000000</f>
        <v>12.671530950610332</v>
      </c>
      <c r="H22" s="851">
        <f>SUM('Rurality Casualty'!I13:I20)/SUM(T_ur!I23:I30)*1000000</f>
        <v>7.5846567942800593</v>
      </c>
      <c r="J22" s="92"/>
      <c r="K22" s="92"/>
      <c r="L22" s="92"/>
      <c r="M22" s="92"/>
      <c r="N22" s="92"/>
      <c r="O22" s="92"/>
      <c r="P22" s="600"/>
    </row>
    <row r="24" spans="1:16" ht="36.75" customHeight="1" x14ac:dyDescent="0.25">
      <c r="A24" s="196"/>
      <c r="B24" s="1425" t="s">
        <v>1110</v>
      </c>
      <c r="C24" s="1425"/>
      <c r="D24" s="1425"/>
      <c r="E24" s="1425"/>
      <c r="F24" s="1425"/>
      <c r="G24" s="1425"/>
      <c r="H24" s="1425"/>
      <c r="I24" s="196"/>
      <c r="J24" s="196"/>
      <c r="K24" s="196"/>
      <c r="L24" s="196"/>
      <c r="M24" s="196"/>
      <c r="N24" s="196"/>
      <c r="O24" s="196"/>
      <c r="P24" s="196"/>
    </row>
    <row r="25" spans="1:16" ht="15.75" x14ac:dyDescent="0.25">
      <c r="B25" s="846"/>
      <c r="C25" s="846"/>
      <c r="D25" s="846"/>
      <c r="E25" s="846"/>
      <c r="F25" s="846"/>
      <c r="G25" s="846"/>
      <c r="H25" s="846"/>
    </row>
    <row r="26" spans="1:16" ht="15" x14ac:dyDescent="0.25">
      <c r="B26" s="708" t="s">
        <v>11</v>
      </c>
      <c r="H26" s="753" t="s">
        <v>57</v>
      </c>
      <c r="J26" s="708" t="s">
        <v>651</v>
      </c>
      <c r="P26" s="753" t="s">
        <v>57</v>
      </c>
    </row>
    <row r="27" spans="1:16" ht="39.75" customHeight="1" x14ac:dyDescent="0.25">
      <c r="A27" s="590" t="s">
        <v>4</v>
      </c>
      <c r="B27" s="839" t="s">
        <v>1006</v>
      </c>
      <c r="C27" s="839" t="s">
        <v>1007</v>
      </c>
      <c r="D27" s="839" t="s">
        <v>1008</v>
      </c>
      <c r="E27" s="839" t="s">
        <v>1009</v>
      </c>
      <c r="F27" s="839" t="s">
        <v>1010</v>
      </c>
      <c r="G27" s="839" t="s">
        <v>1011</v>
      </c>
      <c r="H27" s="593" t="s">
        <v>11</v>
      </c>
      <c r="J27" s="839" t="s">
        <v>1006</v>
      </c>
      <c r="K27" s="839" t="s">
        <v>1007</v>
      </c>
      <c r="L27" s="839" t="s">
        <v>1008</v>
      </c>
      <c r="M27" s="839" t="s">
        <v>1009</v>
      </c>
      <c r="N27" s="839" t="s">
        <v>1010</v>
      </c>
      <c r="O27" s="839" t="s">
        <v>1011</v>
      </c>
      <c r="P27" s="593" t="s">
        <v>11</v>
      </c>
    </row>
    <row r="28" spans="1:16" x14ac:dyDescent="0.2">
      <c r="A28" s="400" t="str">
        <f t="shared" ref="A28:A33" si="0">A12</f>
        <v>2012-13</v>
      </c>
      <c r="B28" s="847">
        <f>T_urcas!B4/T_ur!B22*1000000</f>
        <v>257.17705321257</v>
      </c>
      <c r="C28" s="847">
        <f>T_urcas!C4/T_ur!C22*1000000</f>
        <v>180.32245353614388</v>
      </c>
      <c r="D28" s="847">
        <f>T_urcas!D4/T_ur!D22*1000000</f>
        <v>158.14797884716623</v>
      </c>
      <c r="E28" s="847">
        <f>T_urcas!E4/T_ur!E22*1000000</f>
        <v>118.8618205496584</v>
      </c>
      <c r="F28" s="847">
        <f>T_urcas!F4/T_ur!F22*1000000</f>
        <v>150.88318693039429</v>
      </c>
      <c r="G28" s="847">
        <f>T_urcas!G4/T_ur!G22*1000000</f>
        <v>174.25521735962158</v>
      </c>
      <c r="H28" s="848">
        <f>'Rurality Casualty'!I27/T_ur!I22*1000000</f>
        <v>198.92351701294791</v>
      </c>
      <c r="J28" s="847">
        <f>T_urcas!B19/T_ur!B22*1000000</f>
        <v>232.44849040366907</v>
      </c>
      <c r="K28" s="847">
        <f>T_urcas!C19/T_ur!C22*1000000</f>
        <v>162.85532128477951</v>
      </c>
      <c r="L28" s="847">
        <f>T_urcas!D19/T_ur!D22*1000000</f>
        <v>145.14951483233065</v>
      </c>
      <c r="M28" s="847">
        <f>T_urcas!E19/T_ur!E22*1000000</f>
        <v>87.854389101921427</v>
      </c>
      <c r="N28" s="847">
        <f>T_urcas!F19/T_ur!F22*1000000</f>
        <v>105.79165980177071</v>
      </c>
      <c r="O28" s="847">
        <f>T_urcas!G19/T_ur!G22*1000000</f>
        <v>120.39451381210219</v>
      </c>
      <c r="P28" s="848">
        <f>'Rurality Casualty'!R27/T_ur!I22*1000000</f>
        <v>173.70520927431497</v>
      </c>
    </row>
    <row r="29" spans="1:16" x14ac:dyDescent="0.2">
      <c r="A29" s="117" t="str">
        <f t="shared" si="0"/>
        <v>2013-14</v>
      </c>
      <c r="B29" s="92">
        <f>T_urcas!B5/T_ur!B23*1000000</f>
        <v>261.48424584770675</v>
      </c>
      <c r="C29" s="92">
        <f>T_urcas!C5/T_ur!C23*1000000</f>
        <v>179.13548905015074</v>
      </c>
      <c r="D29" s="92">
        <f>T_urcas!D5/T_ur!D23*1000000</f>
        <v>153.33547859026385</v>
      </c>
      <c r="E29" s="92">
        <f>T_urcas!E5/T_ur!E23*1000000</f>
        <v>212.34611380715867</v>
      </c>
      <c r="F29" s="92">
        <f>T_urcas!F5/T_ur!F23*1000000</f>
        <v>177.53753712344374</v>
      </c>
      <c r="G29" s="92">
        <f>T_urcas!G5/T_ur!G23*1000000</f>
        <v>149.13485916275056</v>
      </c>
      <c r="H29" s="600">
        <f>'Rurality Casualty'!I28/T_ur!I23*1000000</f>
        <v>204.40340109240384</v>
      </c>
      <c r="J29" s="92">
        <f>T_urcas!B20/T_ur!B23*1000000</f>
        <v>241.79087168344435</v>
      </c>
      <c r="K29" s="92">
        <f>T_urcas!C20/T_ur!C23*1000000</f>
        <v>153.47137887104606</v>
      </c>
      <c r="L29" s="92">
        <f>T_urcas!D20/T_ur!D23*1000000</f>
        <v>142.53720545010441</v>
      </c>
      <c r="M29" s="92">
        <f>T_urcas!E20/T_ur!E23*1000000</f>
        <v>201.98776679217531</v>
      </c>
      <c r="N29" s="92">
        <f>T_urcas!F20/T_ur!F23*1000000</f>
        <v>106.86725535585934</v>
      </c>
      <c r="O29" s="92">
        <f>T_urcas!G20/T_ur!G23*1000000</f>
        <v>107.88479173475572</v>
      </c>
      <c r="P29" s="600">
        <f>'Rurality Casualty'!R28/T_ur!I23*1000000</f>
        <v>176.8117574187736</v>
      </c>
    </row>
    <row r="30" spans="1:16" x14ac:dyDescent="0.2">
      <c r="A30" s="117" t="str">
        <f t="shared" si="0"/>
        <v>2014-15</v>
      </c>
      <c r="B30" s="92">
        <f>T_urcas!B6/T_ur!B24*1000000</f>
        <v>194.6294239458343</v>
      </c>
      <c r="C30" s="92">
        <f>T_urcas!C6/T_ur!C24*1000000</f>
        <v>178.3370683333325</v>
      </c>
      <c r="D30" s="92">
        <f>T_urcas!D6/T_ur!D24*1000000</f>
        <v>84.195982340432423</v>
      </c>
      <c r="E30" s="92">
        <f>T_urcas!E6/T_ur!E24*1000000</f>
        <v>181.91268191268193</v>
      </c>
      <c r="F30" s="92">
        <f>T_urcas!F6/T_ur!F24*1000000</f>
        <v>109.29596322190838</v>
      </c>
      <c r="G30" s="92">
        <f>T_urcas!G6/T_ur!G24*1000000</f>
        <v>133.04822998336897</v>
      </c>
      <c r="H30" s="600">
        <f>'Rurality Casualty'!I29/T_ur!I24*1000000</f>
        <v>165.68180118183858</v>
      </c>
      <c r="J30" s="92">
        <f>T_urcas!B21/T_ur!B24*1000000</f>
        <v>177.2323804646424</v>
      </c>
      <c r="K30" s="92">
        <f>T_urcas!C21/T_ur!C24*1000000</f>
        <v>154.25131485153184</v>
      </c>
      <c r="L30" s="92">
        <f>T_urcas!D21/T_ur!D24*1000000</f>
        <v>58.289526235683986</v>
      </c>
      <c r="M30" s="92">
        <f>T_urcas!E21/T_ur!E24*1000000</f>
        <v>176.71517671517671</v>
      </c>
      <c r="N30" s="92">
        <f>T_urcas!F21/T_ur!F24*1000000</f>
        <v>71.725475864377373</v>
      </c>
      <c r="O30" s="92">
        <f>T_urcas!G21/T_ur!G24*1000000</f>
        <v>101.37007998732875</v>
      </c>
      <c r="P30" s="600">
        <f>'Rurality Casualty'!R29/T_ur!I24*1000000</f>
        <v>142.4938290074052</v>
      </c>
    </row>
    <row r="31" spans="1:16" x14ac:dyDescent="0.2">
      <c r="A31" s="117" t="str">
        <f t="shared" si="0"/>
        <v>2015-16</v>
      </c>
      <c r="B31" s="92">
        <f>T_urcas!B7/T_ur!B25*1000000</f>
        <v>244.29124261733529</v>
      </c>
      <c r="C31" s="92">
        <f>T_urcas!C7/T_ur!C25*1000000</f>
        <v>181.47233875927105</v>
      </c>
      <c r="D31" s="92">
        <f>T_urcas!D7/T_ur!D25*1000000</f>
        <v>103.61262692546798</v>
      </c>
      <c r="E31" s="92">
        <f>T_urcas!E7/T_ur!E25*1000000</f>
        <v>98.821424484828299</v>
      </c>
      <c r="F31" s="92">
        <f>T_urcas!F7/T_ur!F25*1000000</f>
        <v>145.39749307671241</v>
      </c>
      <c r="G31" s="92">
        <f>T_urcas!G7/T_ur!G25*1000000</f>
        <v>171.19867606357178</v>
      </c>
      <c r="H31" s="600">
        <f>'Rurality Casualty'!I30/T_ur!I25*1000000</f>
        <v>189.27973199329983</v>
      </c>
      <c r="J31" s="92">
        <f>T_urcas!B22/T_ur!B25*1000000</f>
        <v>220.0239006354808</v>
      </c>
      <c r="K31" s="92">
        <f>T_urcas!C22/T_ur!C25*1000000</f>
        <v>152.33452662045855</v>
      </c>
      <c r="L31" s="92">
        <f>T_urcas!D22/T_ur!D25*1000000</f>
        <v>86.343855771223318</v>
      </c>
      <c r="M31" s="92">
        <f>T_urcas!E22/T_ur!E25*1000000</f>
        <v>88.419169275899009</v>
      </c>
      <c r="N31" s="92">
        <f>T_urcas!F22/T_ur!F25*1000000</f>
        <v>77.770752110799648</v>
      </c>
      <c r="O31" s="92">
        <f>T_urcas!G22/T_ur!G25*1000000</f>
        <v>63.406917060582145</v>
      </c>
      <c r="P31" s="600">
        <f>'Rurality Casualty'!R30/T_ur!I25*1000000</f>
        <v>154.28996836032013</v>
      </c>
    </row>
    <row r="32" spans="1:16" x14ac:dyDescent="0.2">
      <c r="A32" s="117" t="str">
        <f t="shared" si="0"/>
        <v>2016-17</v>
      </c>
      <c r="B32" s="92">
        <f>T_urcas!B8/T_ur!B26*1000000</f>
        <v>211.99994446349061</v>
      </c>
      <c r="C32" s="92">
        <f>T_urcas!C8/T_ur!C26*1000000</f>
        <v>183.62943579855852</v>
      </c>
      <c r="D32" s="92">
        <f>T_urcas!D8/T_ur!D26*1000000</f>
        <v>100.89430999025403</v>
      </c>
      <c r="E32" s="92">
        <f>T_urcas!E8/T_ur!E26*1000000</f>
        <v>130.08976193573565</v>
      </c>
      <c r="F32" s="92">
        <f>T_urcas!F8/T_ur!F26*1000000</f>
        <v>127.07287629455492</v>
      </c>
      <c r="G32" s="92">
        <f>T_urcas!G8/T_ur!G26*1000000</f>
        <v>98.257669645036245</v>
      </c>
      <c r="H32" s="600">
        <f>'Rurality Casualty'!I31/T_ur!I26*1000000</f>
        <v>173.18260032934299</v>
      </c>
      <c r="J32" s="92">
        <f>T_urcas!B23/T_ur!B26*1000000</f>
        <v>192.77576813934539</v>
      </c>
      <c r="K32" s="92">
        <f>T_urcas!C23/T_ur!C26*1000000</f>
        <v>163.22616515427421</v>
      </c>
      <c r="L32" s="92">
        <f>T_urcas!D23/T_ur!D26*1000000</f>
        <v>92.307560203849434</v>
      </c>
      <c r="M32" s="92">
        <f>T_urcas!E23/T_ur!E26*1000000</f>
        <v>109.27540002601795</v>
      </c>
      <c r="N32" s="92">
        <f>T_urcas!F23/T_ur!F26*1000000</f>
        <v>78.584541919001083</v>
      </c>
      <c r="O32" s="92">
        <f>T_urcas!G23/T_ur!G26*1000000</f>
        <v>69.731249425509603</v>
      </c>
      <c r="P32" s="600">
        <f>'Rurality Casualty'!R31/T_ur!I26*1000000</f>
        <v>150.60965455992007</v>
      </c>
    </row>
    <row r="33" spans="1:16" x14ac:dyDescent="0.2">
      <c r="A33" s="117" t="str">
        <f t="shared" si="0"/>
        <v>2017-18</v>
      </c>
      <c r="B33" s="92">
        <f>T_urcas!B9/T_ur!B27*1000000</f>
        <v>194.73173713444027</v>
      </c>
      <c r="C33" s="92">
        <f>T_urcas!C9/T_ur!C27*1000000</f>
        <v>170.76946682713898</v>
      </c>
      <c r="D33" s="92">
        <f>T_urcas!D9/T_ur!D27*1000000</f>
        <v>109.18082270961112</v>
      </c>
      <c r="E33" s="92">
        <f>T_urcas!E9/T_ur!E27*1000000</f>
        <v>88.774236672114966</v>
      </c>
      <c r="F33" s="92">
        <f>T_urcas!F9/T_ur!F27*1000000</f>
        <v>120.92539400143785</v>
      </c>
      <c r="G33" s="92">
        <f>T_urcas!G9/T_ur!G27*1000000</f>
        <v>117.03046271314568</v>
      </c>
      <c r="H33" s="600">
        <f>'Rurality Casualty'!I32/T_ur!I27*1000000</f>
        <v>162.40230054564225</v>
      </c>
      <c r="J33" s="92">
        <f>T_urcas!B24/T_ur!B27*1000000</f>
        <v>172.44636122259695</v>
      </c>
      <c r="K33" s="92">
        <f>T_urcas!C24/T_ur!C27*1000000</f>
        <v>144.26196749874725</v>
      </c>
      <c r="L33" s="92">
        <f>T_urcas!D24/T_ur!D27*1000000</f>
        <v>92.05441914731918</v>
      </c>
      <c r="M33" s="92">
        <f>T_urcas!E24/T_ur!E27*1000000</f>
        <v>83.552222750225852</v>
      </c>
      <c r="N33" s="92">
        <f>T_urcas!F24/T_ur!F27*1000000</f>
        <v>71.23002660358668</v>
      </c>
      <c r="O33" s="92">
        <f>T_urcas!G24/T_ur!G27*1000000</f>
        <v>85.400607925809012</v>
      </c>
      <c r="P33" s="600">
        <f>'Rurality Casualty'!R32/T_ur!I27*1000000</f>
        <v>135.8575431352308</v>
      </c>
    </row>
    <row r="34" spans="1:16" x14ac:dyDescent="0.2">
      <c r="A34" s="117" t="str">
        <f t="shared" ref="A34:A36" si="1">A18</f>
        <v>2018-19</v>
      </c>
      <c r="B34" s="92">
        <f>T_urcas!B10/T_ur!B28*1000000</f>
        <v>213.72336175766094</v>
      </c>
      <c r="C34" s="92">
        <f>T_urcas!C10/T_ur!C28*1000000</f>
        <v>184.23960334897583</v>
      </c>
      <c r="D34" s="92">
        <f>T_urcas!D10/T_ur!D28*1000000</f>
        <v>128.28270086398399</v>
      </c>
      <c r="E34" s="92">
        <f>T_urcas!E10/T_ur!E28*1000000</f>
        <v>146.43815341488542</v>
      </c>
      <c r="F34" s="92">
        <f>T_urcas!F10/T_ur!F28*1000000</f>
        <v>96.942053298412276</v>
      </c>
      <c r="G34" s="92">
        <f>T_urcas!G10/T_ur!G28*1000000</f>
        <v>113.85667342427108</v>
      </c>
      <c r="H34" s="600">
        <f>'Rurality Casualty'!I33/T_ur!I28*1000000</f>
        <v>174.50947941376583</v>
      </c>
      <c r="J34" s="92">
        <f>T_urcas!B25/T_ur!B28*1000000</f>
        <v>184.69920151896622</v>
      </c>
      <c r="K34" s="92">
        <f>T_urcas!C25/T_ur!C28*1000000</f>
        <v>158.21129373457757</v>
      </c>
      <c r="L34" s="92">
        <f>T_urcas!D25/T_ur!D28*1000000</f>
        <v>104.76420570558693</v>
      </c>
      <c r="M34" s="92">
        <f>T_urcas!E25/T_ur!E28*1000000</f>
        <v>130.74835126329057</v>
      </c>
      <c r="N34" s="92">
        <f>T_urcas!F25/T_ur!F28*1000000</f>
        <v>55.864912070271487</v>
      </c>
      <c r="O34" s="92">
        <f>T_urcas!G25/T_ur!G28*1000000</f>
        <v>79.067134322410467</v>
      </c>
      <c r="P34" s="600">
        <f>'Rurality Casualty'!R33/T_ur!I28*1000000</f>
        <v>145.82298964711939</v>
      </c>
    </row>
    <row r="35" spans="1:16" x14ac:dyDescent="0.2">
      <c r="A35" s="117" t="str">
        <f t="shared" si="1"/>
        <v>2019-20</v>
      </c>
      <c r="B35" s="92">
        <f>T_urcas!B11/T_ur!B29*1000000</f>
        <v>174.29025136527363</v>
      </c>
      <c r="C35" s="92">
        <f>T_urcas!C11/T_ur!C29*1000000</f>
        <v>152.03546405764286</v>
      </c>
      <c r="D35" s="92">
        <f>T_urcas!D11/T_ur!D29*1000000</f>
        <v>108.76635494087162</v>
      </c>
      <c r="E35" s="92">
        <f>T_urcas!E11/T_ur!E29*1000000</f>
        <v>130.87086709801704</v>
      </c>
      <c r="F35" s="92">
        <f>T_urcas!F11/T_ur!F29*1000000</f>
        <v>110.29364059844032</v>
      </c>
      <c r="G35" s="92">
        <f>T_urcas!G11/T_ur!G29*1000000</f>
        <v>104.37554955308288</v>
      </c>
      <c r="H35" s="600">
        <f>'Rurality Casualty'!I34/T_ur!I29*1000000</f>
        <v>147.8959603170245</v>
      </c>
      <c r="J35" s="92">
        <f>T_urcas!B26/T_ur!B29*1000000</f>
        <v>155.97145617673138</v>
      </c>
      <c r="K35" s="92">
        <f>T_urcas!C26/T_ur!C29*1000000</f>
        <v>128.56690249169802</v>
      </c>
      <c r="L35" s="92">
        <f>T_urcas!D26/T_ur!D29*1000000</f>
        <v>81.041597799080805</v>
      </c>
      <c r="M35" s="92">
        <f>T_urcas!E26/T_ur!E29*1000000</f>
        <v>109.93152836233432</v>
      </c>
      <c r="N35" s="92">
        <f>T_urcas!F26/T_ur!F29*1000000</f>
        <v>66.50057741964784</v>
      </c>
      <c r="O35" s="92">
        <f>T_urcas!G26/T_ur!G29*1000000</f>
        <v>66.420804261052737</v>
      </c>
      <c r="P35" s="600">
        <f>'Rurality Casualty'!R34/T_ur!I29*1000000</f>
        <v>122.81954130287555</v>
      </c>
    </row>
    <row r="36" spans="1:16" ht="13.5" thickBot="1" x14ac:dyDescent="0.25">
      <c r="A36" s="842" t="str">
        <f t="shared" si="1"/>
        <v>2020-21</v>
      </c>
      <c r="B36" s="849">
        <f>T_urcas!B12/T_ur!B30*1000000</f>
        <v>144.16673195957063</v>
      </c>
      <c r="C36" s="849">
        <f>T_urcas!C12/T_ur!C30*1000000</f>
        <v>141.71900549071611</v>
      </c>
      <c r="D36" s="849">
        <f>T_urcas!D12/T_ur!D30*1000000</f>
        <v>100.29148546627006</v>
      </c>
      <c r="E36" s="849">
        <f>T_urcas!E12/T_ur!E30*1000000</f>
        <v>131.58102496355207</v>
      </c>
      <c r="F36" s="849">
        <f>T_urcas!F12/T_ur!F30*1000000</f>
        <v>72.201355139212239</v>
      </c>
      <c r="G36" s="849">
        <f>T_urcas!G12/T_ur!G30*1000000</f>
        <v>72.995017296645401</v>
      </c>
      <c r="H36" s="850">
        <f>'Rurality Casualty'!I35/T_ur!I30*1000000</f>
        <v>126.78375411635565</v>
      </c>
      <c r="J36" s="849">
        <f>T_urcas!B27/T_ur!B30*1000000</f>
        <v>126.92940531223066</v>
      </c>
      <c r="K36" s="849">
        <f>T_urcas!C27/T_ur!C30*1000000</f>
        <v>127.39361865410945</v>
      </c>
      <c r="L36" s="849">
        <f>T_urcas!D27/T_ur!D30*1000000</f>
        <v>91.756039894672597</v>
      </c>
      <c r="M36" s="849">
        <f>T_urcas!E27/T_ur!E30*1000000</f>
        <v>100.00157897229957</v>
      </c>
      <c r="N36" s="849">
        <f>T_urcas!F27/T_ur!F30*1000000</f>
        <v>33.693965731632375</v>
      </c>
      <c r="O36" s="849">
        <f>T_urcas!G27/T_ur!G30*1000000</f>
        <v>28.563267637817766</v>
      </c>
      <c r="P36" s="850">
        <f>'Rurality Casualty'!R35/T_ur!I30*1000000</f>
        <v>106.84229784120014</v>
      </c>
    </row>
    <row r="37" spans="1:16" ht="18" customHeight="1" x14ac:dyDescent="0.2"/>
    <row r="38" spans="1:16" ht="16.5" customHeight="1" thickBot="1" x14ac:dyDescent="0.25">
      <c r="A38" s="788" t="s">
        <v>1439</v>
      </c>
      <c r="B38" s="851">
        <f>SUM('Rurality Casualty'!B28:B35)/SUM(T_ur!B23:B30)*1000000</f>
        <v>204.47923532366457</v>
      </c>
      <c r="C38" s="851">
        <f>SUM('Rurality Casualty'!C28:C35)/SUM(T_ur!C23:C30)*1000000</f>
        <v>171.41521307140985</v>
      </c>
      <c r="D38" s="851">
        <f>SUM('Rurality Casualty'!D28:D35)/SUM(T_ur!D23:D30)*1000000</f>
        <v>111.06040961976296</v>
      </c>
      <c r="E38" s="851">
        <f>SUM('Rurality Casualty'!E28:E35)/SUM(T_ur!E23:E30)*1000000</f>
        <v>140.18834793574288</v>
      </c>
      <c r="F38" s="851">
        <f>SUM('Rurality Casualty'!F28:F35)/SUM(T_ur!F23:F30)*1000000</f>
        <v>119.39997973944594</v>
      </c>
      <c r="G38" s="851">
        <f>SUM('Rurality Casualty'!G28:G35)/SUM(T_ur!G23:G30)*1000000</f>
        <v>119.98355868859159</v>
      </c>
      <c r="H38" s="851">
        <f>SUM('Rurality Casualty'!I28:I35)/SUM(T_ur!I23:I30)*1000000</f>
        <v>167.85677948072851</v>
      </c>
      <c r="J38" s="92"/>
      <c r="K38" s="92"/>
      <c r="L38" s="92"/>
      <c r="M38" s="92"/>
      <c r="N38" s="92"/>
      <c r="O38" s="92"/>
      <c r="P38" s="600"/>
    </row>
    <row r="41" spans="1:16" x14ac:dyDescent="0.2">
      <c r="A41" s="117" t="s">
        <v>1231</v>
      </c>
    </row>
    <row r="42" spans="1:16" ht="15" x14ac:dyDescent="0.25">
      <c r="A42" s="1109" t="s">
        <v>1236</v>
      </c>
    </row>
    <row r="43" spans="1:16" x14ac:dyDescent="0.2">
      <c r="A43" s="106" t="s">
        <v>1237</v>
      </c>
    </row>
    <row r="44" spans="1:16" ht="15" x14ac:dyDescent="0.25">
      <c r="A44" s="1109" t="s">
        <v>1239</v>
      </c>
    </row>
    <row r="45" spans="1:16" x14ac:dyDescent="0.2">
      <c r="A45" s="629" t="s">
        <v>1238</v>
      </c>
    </row>
  </sheetData>
  <sheetProtection algorithmName="SHA-512" hashValue="QjH5gRbmRq9paObX1RZdUxPrA5OdlFBHR1KC5Yj8dYIT40w9Z3pl4Iaqf4HPm3An3CAy5dRH+fng2nTUYjlQaQ==" saltValue="Rm4i5qzPfbDHttTuPXG6+w==" spinCount="100000" sheet="1" scenarios="1" formatCells="0" formatColumns="0" formatRows="0" sort="0" autoFilter="0" pivotTables="0"/>
  <mergeCells count="2">
    <mergeCell ref="B8:H8"/>
    <mergeCell ref="B24:H24"/>
  </mergeCells>
  <hyperlinks>
    <hyperlink ref="A2" location="'Table of Contents'!A1" display="Back to Table of Contents" xr:uid="{00000000-0004-0000-9400-000000000000}"/>
    <hyperlink ref="A43" r:id="rId1" xr:uid="{00000000-0004-0000-9400-000001000000}"/>
    <hyperlink ref="A45" r:id="rId2" xr:uid="{00000000-0004-0000-9400-000002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I37"/>
  <sheetViews>
    <sheetView workbookViewId="0">
      <selection activeCell="C16" sqref="C16"/>
    </sheetView>
  </sheetViews>
  <sheetFormatPr defaultColWidth="9.140625" defaultRowHeight="12.75" x14ac:dyDescent="0.2"/>
  <cols>
    <col min="1" max="1" width="19.5703125" bestFit="1" customWidth="1"/>
    <col min="2" max="2" width="16.42578125" bestFit="1" customWidth="1"/>
    <col min="3" max="3" width="22.85546875" bestFit="1" customWidth="1"/>
    <col min="4" max="4" width="20.42578125" bestFit="1" customWidth="1"/>
    <col min="5" max="5" width="15.140625" bestFit="1" customWidth="1"/>
    <col min="6" max="6" width="19.5703125" bestFit="1" customWidth="1"/>
    <col min="7" max="7" width="22.28515625" bestFit="1" customWidth="1"/>
    <col min="8" max="8" width="20.42578125" bestFit="1" customWidth="1"/>
    <col min="9" max="9" width="10.7109375" bestFit="1" customWidth="1"/>
    <col min="10" max="12" width="6.5703125" customWidth="1"/>
    <col min="13" max="33" width="7.5703125" customWidth="1"/>
    <col min="34" max="34" width="24" bestFit="1" customWidth="1"/>
    <col min="35" max="44" width="6.5703125" customWidth="1"/>
    <col min="45" max="65" width="7.5703125" customWidth="1"/>
    <col min="66" max="66" width="22.140625" bestFit="1" customWidth="1"/>
    <col min="67" max="76" width="6.5703125" customWidth="1"/>
    <col min="77" max="97" width="7.5703125" customWidth="1"/>
    <col min="98" max="98" width="15.5703125" bestFit="1" customWidth="1"/>
    <col min="99" max="108" width="6.5703125" customWidth="1"/>
    <col min="109" max="129" width="7.5703125" customWidth="1"/>
    <col min="130" max="130" width="21" bestFit="1" customWidth="1"/>
    <col min="131" max="140" width="6.5703125" customWidth="1"/>
    <col min="141" max="161" width="7.5703125" customWidth="1"/>
    <col min="162" max="162" width="23.7109375" bestFit="1" customWidth="1"/>
    <col min="163" max="172" width="6.5703125" customWidth="1"/>
    <col min="173" max="193" width="7.5703125" customWidth="1"/>
    <col min="194" max="194" width="22" customWidth="1"/>
    <col min="195" max="204" width="6.5703125" customWidth="1"/>
    <col min="205" max="225" width="7.5703125" customWidth="1"/>
    <col min="226" max="226" width="23.140625" bestFit="1" customWidth="1"/>
    <col min="227" max="227" width="29.28515625" bestFit="1" customWidth="1"/>
    <col min="228" max="228" width="27.42578125" bestFit="1" customWidth="1"/>
    <col min="229" max="229" width="20.85546875" bestFit="1" customWidth="1"/>
    <col min="230" max="230" width="26.42578125" bestFit="1" customWidth="1"/>
    <col min="231" max="231" width="29" bestFit="1" customWidth="1"/>
    <col min="232" max="232" width="27.28515625" bestFit="1" customWidth="1"/>
  </cols>
  <sheetData>
    <row r="2" spans="1:9" x14ac:dyDescent="0.2">
      <c r="A2" s="234" t="s">
        <v>4</v>
      </c>
      <c r="B2" t="s">
        <v>1572</v>
      </c>
    </row>
    <row r="4" spans="1:9" x14ac:dyDescent="0.2">
      <c r="A4" s="234" t="s">
        <v>326</v>
      </c>
      <c r="B4" t="s">
        <v>328</v>
      </c>
      <c r="C4" t="s">
        <v>329</v>
      </c>
      <c r="D4" t="s">
        <v>330</v>
      </c>
      <c r="E4" t="s">
        <v>331</v>
      </c>
      <c r="F4" t="s">
        <v>327</v>
      </c>
      <c r="G4" t="s">
        <v>332</v>
      </c>
      <c r="H4" t="s">
        <v>334</v>
      </c>
      <c r="I4" t="s">
        <v>335</v>
      </c>
    </row>
    <row r="5" spans="1:9" x14ac:dyDescent="0.2">
      <c r="A5" s="235" t="s">
        <v>23</v>
      </c>
      <c r="B5">
        <v>243</v>
      </c>
      <c r="C5">
        <v>90</v>
      </c>
      <c r="D5">
        <v>37</v>
      </c>
      <c r="E5">
        <v>57</v>
      </c>
      <c r="F5">
        <v>427</v>
      </c>
      <c r="G5">
        <v>328</v>
      </c>
      <c r="H5">
        <v>2</v>
      </c>
      <c r="I5">
        <v>229060</v>
      </c>
    </row>
    <row r="6" spans="1:9" x14ac:dyDescent="0.2">
      <c r="A6" s="235" t="s">
        <v>24</v>
      </c>
      <c r="B6">
        <v>172</v>
      </c>
      <c r="C6">
        <v>91</v>
      </c>
      <c r="D6">
        <v>72</v>
      </c>
      <c r="E6">
        <v>71</v>
      </c>
      <c r="F6">
        <v>406</v>
      </c>
      <c r="G6">
        <v>295</v>
      </c>
      <c r="H6">
        <v>45</v>
      </c>
      <c r="I6">
        <v>260780</v>
      </c>
    </row>
    <row r="7" spans="1:9" x14ac:dyDescent="0.2">
      <c r="A7" s="235" t="s">
        <v>25</v>
      </c>
      <c r="B7">
        <v>80</v>
      </c>
      <c r="C7">
        <v>33</v>
      </c>
      <c r="D7">
        <v>26</v>
      </c>
      <c r="E7">
        <v>33</v>
      </c>
      <c r="F7">
        <v>172</v>
      </c>
      <c r="G7">
        <v>204</v>
      </c>
      <c r="H7">
        <v>21</v>
      </c>
      <c r="I7">
        <v>115820</v>
      </c>
    </row>
    <row r="8" spans="1:9" x14ac:dyDescent="0.2">
      <c r="A8" s="235" t="s">
        <v>26</v>
      </c>
      <c r="B8">
        <v>86</v>
      </c>
      <c r="C8">
        <v>32</v>
      </c>
      <c r="D8">
        <v>20</v>
      </c>
      <c r="E8">
        <v>20</v>
      </c>
      <c r="F8">
        <v>158</v>
      </c>
      <c r="G8">
        <v>133</v>
      </c>
      <c r="H8">
        <v>44</v>
      </c>
      <c r="I8">
        <v>85430</v>
      </c>
    </row>
    <row r="9" spans="1:9" x14ac:dyDescent="0.2">
      <c r="A9" s="235" t="s">
        <v>619</v>
      </c>
      <c r="B9">
        <v>422</v>
      </c>
      <c r="C9">
        <v>153</v>
      </c>
      <c r="D9">
        <v>135</v>
      </c>
      <c r="E9">
        <v>106</v>
      </c>
      <c r="F9">
        <v>816</v>
      </c>
      <c r="G9">
        <v>1466</v>
      </c>
      <c r="H9">
        <v>13</v>
      </c>
      <c r="I9">
        <v>527620</v>
      </c>
    </row>
    <row r="10" spans="1:9" x14ac:dyDescent="0.2">
      <c r="A10" s="235" t="s">
        <v>27</v>
      </c>
      <c r="B10">
        <v>55</v>
      </c>
      <c r="C10">
        <v>21</v>
      </c>
      <c r="D10">
        <v>3</v>
      </c>
      <c r="E10">
        <v>8</v>
      </c>
      <c r="F10">
        <v>87</v>
      </c>
      <c r="G10">
        <v>112</v>
      </c>
      <c r="H10">
        <v>3</v>
      </c>
      <c r="I10">
        <v>51290</v>
      </c>
    </row>
    <row r="11" spans="1:9" x14ac:dyDescent="0.2">
      <c r="A11" s="235" t="s">
        <v>28</v>
      </c>
      <c r="B11">
        <v>74</v>
      </c>
      <c r="C11">
        <v>45</v>
      </c>
      <c r="D11">
        <v>44</v>
      </c>
      <c r="E11">
        <v>30</v>
      </c>
      <c r="F11">
        <v>193</v>
      </c>
      <c r="G11">
        <v>205</v>
      </c>
      <c r="H11">
        <v>46</v>
      </c>
      <c r="I11">
        <v>148290</v>
      </c>
    </row>
    <row r="12" spans="1:9" x14ac:dyDescent="0.2">
      <c r="A12" s="235" t="s">
        <v>29</v>
      </c>
      <c r="B12">
        <v>209</v>
      </c>
      <c r="C12">
        <v>54</v>
      </c>
      <c r="D12">
        <v>32</v>
      </c>
      <c r="E12">
        <v>38</v>
      </c>
      <c r="F12">
        <v>333</v>
      </c>
      <c r="G12">
        <v>698</v>
      </c>
      <c r="H12">
        <v>4</v>
      </c>
      <c r="I12">
        <v>148820</v>
      </c>
    </row>
    <row r="13" spans="1:9" x14ac:dyDescent="0.2">
      <c r="A13" s="235" t="s">
        <v>30</v>
      </c>
      <c r="B13">
        <v>109</v>
      </c>
      <c r="C13">
        <v>31</v>
      </c>
      <c r="D13">
        <v>46</v>
      </c>
      <c r="E13">
        <v>34</v>
      </c>
      <c r="F13">
        <v>220</v>
      </c>
      <c r="G13">
        <v>584</v>
      </c>
      <c r="H13">
        <v>5</v>
      </c>
      <c r="I13">
        <v>121600</v>
      </c>
    </row>
    <row r="14" spans="1:9" x14ac:dyDescent="0.2">
      <c r="A14" s="235" t="s">
        <v>31</v>
      </c>
      <c r="B14">
        <v>74</v>
      </c>
      <c r="C14">
        <v>21</v>
      </c>
      <c r="D14">
        <v>27</v>
      </c>
      <c r="E14">
        <v>8</v>
      </c>
      <c r="F14">
        <v>130</v>
      </c>
      <c r="G14">
        <v>241</v>
      </c>
      <c r="H14">
        <v>5</v>
      </c>
      <c r="I14">
        <v>108750</v>
      </c>
    </row>
    <row r="15" spans="1:9" x14ac:dyDescent="0.2">
      <c r="A15" s="235" t="s">
        <v>32</v>
      </c>
      <c r="B15">
        <v>49</v>
      </c>
      <c r="C15">
        <v>27</v>
      </c>
      <c r="D15">
        <v>36</v>
      </c>
      <c r="E15">
        <v>27</v>
      </c>
      <c r="F15">
        <v>139</v>
      </c>
      <c r="G15">
        <v>195</v>
      </c>
      <c r="H15">
        <v>10</v>
      </c>
      <c r="I15">
        <v>107900</v>
      </c>
    </row>
    <row r="16" spans="1:9" x14ac:dyDescent="0.2">
      <c r="A16" s="235" t="s">
        <v>33</v>
      </c>
      <c r="B16">
        <v>53</v>
      </c>
      <c r="C16">
        <v>12</v>
      </c>
      <c r="D16">
        <v>24</v>
      </c>
      <c r="E16">
        <v>9</v>
      </c>
      <c r="F16">
        <v>98</v>
      </c>
      <c r="G16">
        <v>182</v>
      </c>
      <c r="H16">
        <v>6</v>
      </c>
      <c r="I16">
        <v>96060</v>
      </c>
    </row>
    <row r="17" spans="1:9" x14ac:dyDescent="0.2">
      <c r="A17" s="235" t="s">
        <v>34</v>
      </c>
      <c r="B17">
        <v>109</v>
      </c>
      <c r="C17">
        <v>58</v>
      </c>
      <c r="D17">
        <v>50</v>
      </c>
      <c r="E17">
        <v>67</v>
      </c>
      <c r="F17">
        <v>284</v>
      </c>
      <c r="G17">
        <v>423</v>
      </c>
      <c r="H17">
        <v>4</v>
      </c>
      <c r="I17">
        <v>160560</v>
      </c>
    </row>
    <row r="18" spans="1:9" x14ac:dyDescent="0.2">
      <c r="A18" s="235" t="s">
        <v>35</v>
      </c>
      <c r="B18">
        <v>247</v>
      </c>
      <c r="C18">
        <v>99</v>
      </c>
      <c r="D18">
        <v>109</v>
      </c>
      <c r="E18">
        <v>129</v>
      </c>
      <c r="F18">
        <v>584</v>
      </c>
      <c r="G18">
        <v>1019</v>
      </c>
      <c r="H18">
        <v>25</v>
      </c>
      <c r="I18">
        <v>374130</v>
      </c>
    </row>
    <row r="19" spans="1:9" x14ac:dyDescent="0.2">
      <c r="A19" s="235" t="s">
        <v>36</v>
      </c>
      <c r="B19">
        <v>795</v>
      </c>
      <c r="C19">
        <v>235</v>
      </c>
      <c r="D19">
        <v>298</v>
      </c>
      <c r="E19">
        <v>82</v>
      </c>
      <c r="F19">
        <v>1410</v>
      </c>
      <c r="G19">
        <v>2440</v>
      </c>
      <c r="H19">
        <v>2</v>
      </c>
      <c r="I19">
        <v>635640</v>
      </c>
    </row>
    <row r="20" spans="1:9" x14ac:dyDescent="0.2">
      <c r="A20" s="235" t="s">
        <v>37</v>
      </c>
      <c r="B20">
        <v>132</v>
      </c>
      <c r="C20">
        <v>106</v>
      </c>
      <c r="D20">
        <v>61</v>
      </c>
      <c r="E20">
        <v>81</v>
      </c>
      <c r="F20">
        <v>380</v>
      </c>
      <c r="G20">
        <v>396</v>
      </c>
      <c r="H20">
        <v>138</v>
      </c>
      <c r="I20">
        <v>235430</v>
      </c>
    </row>
    <row r="21" spans="1:9" x14ac:dyDescent="0.2">
      <c r="A21" s="235" t="s">
        <v>38</v>
      </c>
      <c r="B21">
        <v>110</v>
      </c>
      <c r="C21">
        <v>20</v>
      </c>
      <c r="D21">
        <v>29</v>
      </c>
      <c r="E21">
        <v>7</v>
      </c>
      <c r="F21">
        <v>166</v>
      </c>
      <c r="G21">
        <v>417</v>
      </c>
      <c r="H21">
        <v>3</v>
      </c>
      <c r="I21">
        <v>77060</v>
      </c>
    </row>
    <row r="22" spans="1:9" x14ac:dyDescent="0.2">
      <c r="A22" s="235" t="s">
        <v>39</v>
      </c>
      <c r="B22">
        <v>59</v>
      </c>
      <c r="C22">
        <v>35</v>
      </c>
      <c r="D22">
        <v>19</v>
      </c>
      <c r="E22">
        <v>45</v>
      </c>
      <c r="F22">
        <v>158</v>
      </c>
      <c r="G22">
        <v>203</v>
      </c>
      <c r="H22">
        <v>6</v>
      </c>
      <c r="I22">
        <v>93150</v>
      </c>
    </row>
    <row r="23" spans="1:9" x14ac:dyDescent="0.2">
      <c r="A23" s="235" t="s">
        <v>40</v>
      </c>
      <c r="B23">
        <v>51</v>
      </c>
      <c r="C23">
        <v>27</v>
      </c>
      <c r="D23">
        <v>23</v>
      </c>
      <c r="E23">
        <v>42</v>
      </c>
      <c r="F23">
        <v>143</v>
      </c>
      <c r="G23">
        <v>128</v>
      </c>
      <c r="H23">
        <v>20</v>
      </c>
      <c r="I23">
        <v>95710</v>
      </c>
    </row>
    <row r="24" spans="1:9" x14ac:dyDescent="0.2">
      <c r="A24" s="235" t="s">
        <v>295</v>
      </c>
      <c r="B24">
        <v>22</v>
      </c>
      <c r="C24">
        <v>6</v>
      </c>
      <c r="D24">
        <v>8</v>
      </c>
      <c r="E24">
        <v>5</v>
      </c>
      <c r="F24">
        <v>41</v>
      </c>
      <c r="G24">
        <v>76</v>
      </c>
      <c r="H24">
        <v>36</v>
      </c>
      <c r="I24">
        <v>26500</v>
      </c>
    </row>
    <row r="25" spans="1:9" x14ac:dyDescent="0.2">
      <c r="A25" s="235" t="s">
        <v>41</v>
      </c>
      <c r="B25">
        <v>153</v>
      </c>
      <c r="C25">
        <v>35</v>
      </c>
      <c r="D25">
        <v>35</v>
      </c>
      <c r="E25">
        <v>16</v>
      </c>
      <c r="F25">
        <v>239</v>
      </c>
      <c r="G25">
        <v>491</v>
      </c>
      <c r="H25">
        <v>12</v>
      </c>
      <c r="I25">
        <v>134250</v>
      </c>
    </row>
    <row r="26" spans="1:9" x14ac:dyDescent="0.2">
      <c r="A26" s="235" t="s">
        <v>42</v>
      </c>
      <c r="B26">
        <v>318</v>
      </c>
      <c r="C26">
        <v>106</v>
      </c>
      <c r="D26">
        <v>217</v>
      </c>
      <c r="E26">
        <v>42</v>
      </c>
      <c r="F26">
        <v>683</v>
      </c>
      <c r="G26">
        <v>1475</v>
      </c>
      <c r="H26">
        <v>6</v>
      </c>
      <c r="I26">
        <v>341140</v>
      </c>
    </row>
    <row r="27" spans="1:9" x14ac:dyDescent="0.2">
      <c r="A27" s="235" t="s">
        <v>43</v>
      </c>
      <c r="B27">
        <v>4</v>
      </c>
      <c r="C27">
        <v>2</v>
      </c>
      <c r="D27">
        <v>7</v>
      </c>
      <c r="E27">
        <v>4</v>
      </c>
      <c r="F27">
        <v>17</v>
      </c>
      <c r="G27">
        <v>14</v>
      </c>
      <c r="H27">
        <v>5</v>
      </c>
      <c r="I27">
        <v>22400</v>
      </c>
    </row>
    <row r="28" spans="1:9" x14ac:dyDescent="0.2">
      <c r="A28" s="235" t="s">
        <v>44</v>
      </c>
      <c r="B28">
        <v>104</v>
      </c>
      <c r="C28">
        <v>44</v>
      </c>
      <c r="D28">
        <v>52</v>
      </c>
      <c r="E28">
        <v>27</v>
      </c>
      <c r="F28">
        <v>227</v>
      </c>
      <c r="G28">
        <v>145</v>
      </c>
      <c r="H28">
        <v>41</v>
      </c>
      <c r="I28">
        <v>151910</v>
      </c>
    </row>
    <row r="29" spans="1:9" x14ac:dyDescent="0.2">
      <c r="A29" s="235" t="s">
        <v>45</v>
      </c>
      <c r="B29">
        <v>185</v>
      </c>
      <c r="C29">
        <v>62</v>
      </c>
      <c r="D29">
        <v>55</v>
      </c>
      <c r="E29">
        <v>30</v>
      </c>
      <c r="F29">
        <v>332</v>
      </c>
      <c r="G29">
        <v>503</v>
      </c>
      <c r="H29">
        <v>3</v>
      </c>
      <c r="I29">
        <v>179390</v>
      </c>
    </row>
    <row r="30" spans="1:9" x14ac:dyDescent="0.2">
      <c r="A30" s="235" t="s">
        <v>46</v>
      </c>
      <c r="B30">
        <v>85</v>
      </c>
      <c r="C30">
        <v>41</v>
      </c>
      <c r="D30">
        <v>33</v>
      </c>
      <c r="E30">
        <v>28</v>
      </c>
      <c r="F30">
        <v>187</v>
      </c>
      <c r="G30">
        <v>124</v>
      </c>
      <c r="H30">
        <v>44</v>
      </c>
      <c r="I30">
        <v>115240</v>
      </c>
    </row>
    <row r="31" spans="1:9" x14ac:dyDescent="0.2">
      <c r="A31" s="235" t="s">
        <v>47</v>
      </c>
      <c r="B31">
        <v>25</v>
      </c>
      <c r="C31">
        <v>9</v>
      </c>
      <c r="D31">
        <v>13</v>
      </c>
      <c r="E31">
        <v>6</v>
      </c>
      <c r="F31">
        <v>53</v>
      </c>
      <c r="G31">
        <v>15</v>
      </c>
      <c r="H31">
        <v>14</v>
      </c>
      <c r="I31">
        <v>22870</v>
      </c>
    </row>
    <row r="32" spans="1:9" x14ac:dyDescent="0.2">
      <c r="A32" s="235" t="s">
        <v>48</v>
      </c>
      <c r="B32">
        <v>90</v>
      </c>
      <c r="C32">
        <v>29</v>
      </c>
      <c r="D32">
        <v>26</v>
      </c>
      <c r="E32">
        <v>14</v>
      </c>
      <c r="F32">
        <v>159</v>
      </c>
      <c r="G32">
        <v>304</v>
      </c>
      <c r="H32">
        <v>9</v>
      </c>
      <c r="I32">
        <v>112140</v>
      </c>
    </row>
    <row r="33" spans="1:9" x14ac:dyDescent="0.2">
      <c r="A33" s="235" t="s">
        <v>49</v>
      </c>
      <c r="B33">
        <v>255</v>
      </c>
      <c r="C33">
        <v>71</v>
      </c>
      <c r="D33">
        <v>152</v>
      </c>
      <c r="E33">
        <v>38</v>
      </c>
      <c r="F33">
        <v>516</v>
      </c>
      <c r="G33">
        <v>1018</v>
      </c>
      <c r="H33">
        <v>9</v>
      </c>
      <c r="I33">
        <v>320820</v>
      </c>
    </row>
    <row r="34" spans="1:9" x14ac:dyDescent="0.2">
      <c r="A34" s="235" t="s">
        <v>50</v>
      </c>
      <c r="B34">
        <v>59</v>
      </c>
      <c r="C34">
        <v>38</v>
      </c>
      <c r="D34">
        <v>33</v>
      </c>
      <c r="E34">
        <v>33</v>
      </c>
      <c r="F34">
        <v>163</v>
      </c>
      <c r="G34">
        <v>196</v>
      </c>
      <c r="H34">
        <v>13</v>
      </c>
      <c r="I34">
        <v>94080</v>
      </c>
    </row>
    <row r="35" spans="1:9" x14ac:dyDescent="0.2">
      <c r="A35" s="235" t="s">
        <v>51</v>
      </c>
      <c r="B35">
        <v>117</v>
      </c>
      <c r="C35">
        <v>26</v>
      </c>
      <c r="D35">
        <v>32</v>
      </c>
      <c r="E35">
        <v>25</v>
      </c>
      <c r="F35">
        <v>200</v>
      </c>
      <c r="G35">
        <v>408</v>
      </c>
      <c r="H35">
        <v>3</v>
      </c>
      <c r="I35">
        <v>88340</v>
      </c>
    </row>
    <row r="36" spans="1:9" x14ac:dyDescent="0.2">
      <c r="A36" s="235" t="s">
        <v>52</v>
      </c>
      <c r="B36">
        <v>115</v>
      </c>
      <c r="C36">
        <v>59</v>
      </c>
      <c r="D36">
        <v>62</v>
      </c>
      <c r="E36">
        <v>59</v>
      </c>
      <c r="F36">
        <v>295</v>
      </c>
      <c r="G36">
        <v>692</v>
      </c>
      <c r="H36">
        <v>4</v>
      </c>
      <c r="I36">
        <v>183820</v>
      </c>
    </row>
    <row r="37" spans="1:9" x14ac:dyDescent="0.2">
      <c r="A37" s="235" t="s">
        <v>333</v>
      </c>
      <c r="B37">
        <v>4661</v>
      </c>
      <c r="C37">
        <v>1718</v>
      </c>
      <c r="D37">
        <v>1816</v>
      </c>
      <c r="E37">
        <v>1221</v>
      </c>
      <c r="F37">
        <v>9416</v>
      </c>
      <c r="G37">
        <v>15130</v>
      </c>
      <c r="H37">
        <v>601</v>
      </c>
      <c r="I37">
        <v>5466000</v>
      </c>
    </row>
  </sheetData>
  <pageMargins left="0.7" right="0.7" top="0.75" bottom="0.75" header="0.3" footer="0.3"/>
  <pageSetup paperSize="9" orientation="portrait"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rgb="FF8497B0"/>
  </sheetPr>
  <dimension ref="A1:H36"/>
  <sheetViews>
    <sheetView showGridLines="0" zoomScaleNormal="100" workbookViewId="0">
      <selection sqref="A1:C1"/>
    </sheetView>
  </sheetViews>
  <sheetFormatPr defaultColWidth="9.140625" defaultRowHeight="12.75" x14ac:dyDescent="0.2"/>
  <sheetData>
    <row r="1" spans="1:8" ht="17.25" customHeight="1" x14ac:dyDescent="0.2">
      <c r="A1" s="1426" t="s">
        <v>1257</v>
      </c>
      <c r="B1" s="1426"/>
      <c r="C1" s="1426"/>
    </row>
    <row r="2" spans="1:8" ht="17.25" customHeight="1" x14ac:dyDescent="0.2">
      <c r="A2" s="106" t="s">
        <v>578</v>
      </c>
      <c r="B2" s="1031"/>
      <c r="C2" s="1031"/>
    </row>
    <row r="3" spans="1:8" ht="33" customHeight="1" x14ac:dyDescent="0.2">
      <c r="A3" s="120" t="s">
        <v>1273</v>
      </c>
      <c r="B3" s="120"/>
      <c r="C3" s="120"/>
      <c r="D3" s="120"/>
      <c r="E3" s="120"/>
      <c r="F3" s="120"/>
      <c r="G3" s="120"/>
      <c r="H3" s="120"/>
    </row>
    <row r="4" spans="1:8" ht="15" x14ac:dyDescent="0.25">
      <c r="A4" s="1032" t="s">
        <v>1246</v>
      </c>
    </row>
    <row r="5" spans="1:8" ht="15" x14ac:dyDescent="0.25">
      <c r="A5" s="1043" t="s">
        <v>1404</v>
      </c>
    </row>
    <row r="8" spans="1:8" ht="15.75" x14ac:dyDescent="0.25">
      <c r="A8" s="1123" t="s">
        <v>1560</v>
      </c>
    </row>
    <row r="36" spans="1:1" ht="15.75" x14ac:dyDescent="0.25">
      <c r="A36" s="1123" t="s">
        <v>1561</v>
      </c>
    </row>
  </sheetData>
  <sheetProtection algorithmName="SHA-512" hashValue="Z95DEWIjwIepwbHA9DvIJYS6gC/yKmA0ovyZ1x3y/yIKjVYvPQY6YXY12U+OUFsCFNZA/sOblB939V6wtC2VzA==" saltValue="NOFveEoYiCzUJugwdEsmhQ==" spinCount="100000" sheet="1" scenarios="1" formatCells="0" formatColumns="0" formatRows="0" sort="0" autoFilter="0" pivotTables="0"/>
  <mergeCells count="1">
    <mergeCell ref="A1:C1"/>
  </mergeCells>
  <hyperlinks>
    <hyperlink ref="A2" location="'Table of Contents'!A1" display="Back to Table of Contents" xr:uid="{00000000-0004-0000-9500-000000000000}"/>
  </hyperlink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8497B0"/>
  </sheetPr>
  <dimension ref="A1:H39"/>
  <sheetViews>
    <sheetView showGridLines="0" workbookViewId="0">
      <pane ySplit="2" topLeftCell="A3" activePane="bottomLeft" state="frozen"/>
      <selection pane="bottomLeft" sqref="A1:C1"/>
    </sheetView>
  </sheetViews>
  <sheetFormatPr defaultColWidth="9.140625" defaultRowHeight="12.75" x14ac:dyDescent="0.2"/>
  <sheetData>
    <row r="1" spans="1:8" ht="17.25" customHeight="1" x14ac:dyDescent="0.2">
      <c r="A1" s="1426" t="s">
        <v>1257</v>
      </c>
      <c r="B1" s="1426"/>
      <c r="C1" s="1426"/>
    </row>
    <row r="2" spans="1:8" ht="17.25" customHeight="1" x14ac:dyDescent="0.2">
      <c r="A2" s="106" t="s">
        <v>578</v>
      </c>
      <c r="B2" s="1031"/>
      <c r="C2" s="1031"/>
    </row>
    <row r="3" spans="1:8" ht="33" customHeight="1" x14ac:dyDescent="0.2">
      <c r="A3" s="120" t="s">
        <v>1562</v>
      </c>
      <c r="B3" s="120"/>
      <c r="C3" s="120"/>
      <c r="D3" s="120"/>
      <c r="E3" s="120"/>
      <c r="F3" s="120"/>
      <c r="G3" s="120"/>
      <c r="H3" s="120"/>
    </row>
    <row r="4" spans="1:8" ht="15" x14ac:dyDescent="0.25">
      <c r="A4" s="1032" t="s">
        <v>1246</v>
      </c>
    </row>
    <row r="5" spans="1:8" ht="15" x14ac:dyDescent="0.25">
      <c r="A5" s="1109" t="s">
        <v>1565</v>
      </c>
    </row>
    <row r="8" spans="1:8" ht="15.75" x14ac:dyDescent="0.25">
      <c r="A8" s="1123" t="s">
        <v>1563</v>
      </c>
    </row>
    <row r="36" spans="1:1" ht="15.75" x14ac:dyDescent="0.25">
      <c r="A36" s="1123"/>
    </row>
    <row r="39" spans="1:1" ht="15.75" x14ac:dyDescent="0.25">
      <c r="A39" s="1123" t="s">
        <v>1564</v>
      </c>
    </row>
  </sheetData>
  <sheetProtection algorithmName="SHA-512" hashValue="wkIygVCLUumeivnD03KRNmc5aKbm7Ktg9kxXQs8dHhl9x0IF59lohyyJfLC2foNKd5YsR61MUEMLhU2N5n1FOg==" saltValue="3or5xJRYMmMJrXN6T08U5g==" spinCount="100000" sheet="1" scenarios="1" formatCells="0" formatColumns="0" formatRows="0" sort="0" autoFilter="0" pivotTables="0"/>
  <mergeCells count="1">
    <mergeCell ref="A1:C1"/>
  </mergeCells>
  <hyperlinks>
    <hyperlink ref="A2" location="'Table of Contents'!A1" display="Back to Table of Contents" xr:uid="{00000000-0004-0000-9600-000000000000}"/>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8497B0"/>
  </sheetPr>
  <dimension ref="A1:H39"/>
  <sheetViews>
    <sheetView showGridLines="0" workbookViewId="0">
      <selection sqref="A1:C1"/>
    </sheetView>
  </sheetViews>
  <sheetFormatPr defaultColWidth="9.140625" defaultRowHeight="12.75" x14ac:dyDescent="0.2"/>
  <sheetData>
    <row r="1" spans="1:8" ht="17.25" customHeight="1" x14ac:dyDescent="0.2">
      <c r="A1" s="1426" t="s">
        <v>1257</v>
      </c>
      <c r="B1" s="1426"/>
      <c r="C1" s="1426"/>
    </row>
    <row r="2" spans="1:8" ht="17.25" customHeight="1" x14ac:dyDescent="0.2">
      <c r="A2" s="106" t="s">
        <v>578</v>
      </c>
      <c r="B2" s="1031"/>
      <c r="C2" s="1031"/>
    </row>
    <row r="3" spans="1:8" ht="33" customHeight="1" x14ac:dyDescent="0.2">
      <c r="A3" s="120" t="s">
        <v>1566</v>
      </c>
      <c r="B3" s="120"/>
      <c r="C3" s="120"/>
      <c r="D3" s="120"/>
      <c r="E3" s="120"/>
      <c r="F3" s="120"/>
      <c r="G3" s="120"/>
      <c r="H3" s="120"/>
    </row>
    <row r="4" spans="1:8" ht="15" x14ac:dyDescent="0.25">
      <c r="A4" s="1032" t="s">
        <v>1246</v>
      </c>
    </row>
    <row r="5" spans="1:8" ht="15" x14ac:dyDescent="0.25">
      <c r="A5" s="1109" t="s">
        <v>1567</v>
      </c>
    </row>
    <row r="8" spans="1:8" ht="15.75" x14ac:dyDescent="0.25">
      <c r="A8" s="1123"/>
    </row>
    <row r="36" spans="1:1" ht="15.75" x14ac:dyDescent="0.25">
      <c r="A36" s="1123"/>
    </row>
    <row r="39" spans="1:1" ht="15.75" x14ac:dyDescent="0.25">
      <c r="A39" s="1123"/>
    </row>
  </sheetData>
  <sheetProtection algorithmName="SHA-512" hashValue="W4bW+BwxenwshzuwecVRMO7QomXtlBPZRliHOnSl0Qj9KwaaTUQxTJeRjqbrOEa3MN2QdytpPBqdh/Wh3ix7kA==" saltValue="PGgIGHhQpdu4SBx2bm9RDA==" spinCount="100000" sheet="1" scenarios="1" formatCells="0" formatColumns="0" formatRows="0" sort="0" autoFilter="0" pivotTables="0"/>
  <mergeCells count="1">
    <mergeCell ref="A1:C1"/>
  </mergeCells>
  <hyperlinks>
    <hyperlink ref="A2" location="'Table of Contents'!A1" display="Back to Table of Contents" xr:uid="{00000000-0004-0000-9700-000000000000}"/>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rgb="FF8497B0"/>
  </sheetPr>
  <dimension ref="A1:H35"/>
  <sheetViews>
    <sheetView showGridLines="0" workbookViewId="0">
      <selection sqref="A1:C1"/>
    </sheetView>
  </sheetViews>
  <sheetFormatPr defaultColWidth="9.140625" defaultRowHeight="12.75" x14ac:dyDescent="0.2"/>
  <sheetData>
    <row r="1" spans="1:8" ht="17.25" customHeight="1" x14ac:dyDescent="0.2">
      <c r="A1" s="1426" t="s">
        <v>1257</v>
      </c>
      <c r="B1" s="1426"/>
      <c r="C1" s="1426"/>
    </row>
    <row r="2" spans="1:8" ht="17.25" customHeight="1" x14ac:dyDescent="0.2">
      <c r="A2" s="106" t="s">
        <v>578</v>
      </c>
      <c r="B2" s="1031"/>
      <c r="C2" s="1031"/>
    </row>
    <row r="3" spans="1:8" ht="33.75" customHeight="1" x14ac:dyDescent="0.2">
      <c r="A3" s="1272" t="s">
        <v>1272</v>
      </c>
      <c r="B3" s="1272"/>
      <c r="C3" s="1272"/>
      <c r="D3" s="1272"/>
      <c r="E3" s="1272"/>
      <c r="F3" s="1272"/>
      <c r="G3" s="1272"/>
      <c r="H3" s="1272"/>
    </row>
    <row r="4" spans="1:8" ht="15" x14ac:dyDescent="0.25">
      <c r="A4" s="1032" t="s">
        <v>1246</v>
      </c>
    </row>
    <row r="5" spans="1:8" ht="15" x14ac:dyDescent="0.25">
      <c r="A5" s="1043" t="s">
        <v>1403</v>
      </c>
    </row>
    <row r="7" spans="1:8" ht="15.75" x14ac:dyDescent="0.25">
      <c r="A7" s="1123" t="s">
        <v>1560</v>
      </c>
    </row>
    <row r="35" spans="1:1" ht="15.75" x14ac:dyDescent="0.25">
      <c r="A35" s="1123" t="s">
        <v>1561</v>
      </c>
    </row>
  </sheetData>
  <sheetProtection algorithmName="SHA-512" hashValue="JtVmVZ2S7paSSeOdUi4cLgmkqwTN/lL7KPJ+6LhVHCw73E1XgJhBR2fEZGrkxnWbmpW4JAf+kD4jZMiXC+AZ6A==" saltValue="e4T2cDuaxi+bL7HNBRohDg=="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9800-000000000000}"/>
  </hyperlink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3:BF51"/>
  <sheetViews>
    <sheetView workbookViewId="0">
      <selection activeCell="E12" sqref="E12"/>
    </sheetView>
  </sheetViews>
  <sheetFormatPr defaultRowHeight="12.75" x14ac:dyDescent="0.2"/>
  <cols>
    <col min="1" max="1" width="13" bestFit="1" customWidth="1"/>
    <col min="2" max="2" width="15.85546875" bestFit="1" customWidth="1"/>
    <col min="3" max="6" width="7.85546875" bestFit="1" customWidth="1"/>
    <col min="7" max="7" width="6.7109375" bestFit="1" customWidth="1"/>
    <col min="8" max="8" width="14.5703125" bestFit="1" customWidth="1"/>
    <col min="9" max="9" width="17.5703125" bestFit="1" customWidth="1"/>
    <col min="10" max="13" width="4.85546875" bestFit="1" customWidth="1"/>
    <col min="14" max="14" width="6.7109375" bestFit="1" customWidth="1"/>
    <col min="15" max="15" width="21.140625" bestFit="1" customWidth="1"/>
    <col min="16" max="16" width="15.42578125" bestFit="1" customWidth="1"/>
    <col min="17" max="20" width="4.85546875" bestFit="1" customWidth="1"/>
    <col min="21" max="21" width="6.7109375" bestFit="1" customWidth="1"/>
    <col min="22" max="22" width="18.7109375" bestFit="1" customWidth="1"/>
    <col min="23" max="23" width="10" bestFit="1" customWidth="1"/>
    <col min="24" max="27" width="4.85546875" bestFit="1" customWidth="1"/>
    <col min="28" max="28" width="6.7109375" bestFit="1" customWidth="1"/>
    <col min="29" max="29" width="13.42578125" bestFit="1" customWidth="1"/>
    <col min="30" max="30" width="26.5703125" bestFit="1" customWidth="1"/>
    <col min="31" max="34" width="5.85546875" bestFit="1" customWidth="1"/>
    <col min="35" max="35" width="6.7109375" bestFit="1" customWidth="1"/>
    <col min="36" max="36" width="30.140625" bestFit="1" customWidth="1"/>
    <col min="37" max="37" width="22.85546875" bestFit="1" customWidth="1"/>
    <col min="38" max="40" width="5.85546875" bestFit="1" customWidth="1"/>
    <col min="41" max="41" width="4.85546875" bestFit="1" customWidth="1"/>
    <col min="42" max="42" width="6.7109375" bestFit="1" customWidth="1"/>
    <col min="43" max="43" width="26.140625" bestFit="1" customWidth="1"/>
    <col min="44" max="44" width="21.28515625" bestFit="1" customWidth="1"/>
    <col min="45" max="48" width="4.85546875" bestFit="1" customWidth="1"/>
    <col min="49" max="49" width="6.7109375" bestFit="1" customWidth="1"/>
    <col min="50" max="50" width="24.5703125" bestFit="1" customWidth="1"/>
    <col min="51" max="51" width="11.5703125" bestFit="1" customWidth="1"/>
    <col min="52" max="55" width="5.85546875" bestFit="1" customWidth="1"/>
    <col min="56" max="56" width="6.7109375" bestFit="1" customWidth="1"/>
    <col min="57" max="57" width="15" bestFit="1" customWidth="1"/>
    <col min="58" max="58" width="11.140625" bestFit="1" customWidth="1"/>
    <col min="59" max="59" width="11.42578125" customWidth="1"/>
    <col min="60" max="60" width="12.5703125" bestFit="1" customWidth="1"/>
    <col min="61" max="61" width="11.42578125" customWidth="1"/>
    <col min="62" max="62" width="12.5703125" bestFit="1" customWidth="1"/>
    <col min="63" max="63" width="11.42578125" customWidth="1"/>
    <col min="64" max="64" width="12.5703125" bestFit="1" customWidth="1"/>
    <col min="65" max="65" width="11.42578125" customWidth="1"/>
    <col min="66" max="66" width="12.5703125" bestFit="1" customWidth="1"/>
    <col min="67" max="67" width="11.42578125" customWidth="1"/>
    <col min="68" max="68" width="12.5703125" bestFit="1" customWidth="1"/>
    <col min="69" max="69" width="11.42578125" customWidth="1"/>
    <col min="70" max="70" width="39.5703125" bestFit="1" customWidth="1"/>
    <col min="71" max="71" width="38.42578125" customWidth="1"/>
    <col min="72" max="72" width="24.7109375" bestFit="1" customWidth="1"/>
    <col min="73" max="73" width="11.42578125" customWidth="1"/>
    <col min="74" max="74" width="12.5703125" bestFit="1" customWidth="1"/>
    <col min="75" max="75" width="11.42578125" customWidth="1"/>
    <col min="76" max="76" width="12.5703125" bestFit="1" customWidth="1"/>
    <col min="77" max="77" width="11.42578125" customWidth="1"/>
    <col min="78" max="78" width="12.5703125" bestFit="1" customWidth="1"/>
    <col min="79" max="79" width="11.42578125" customWidth="1"/>
    <col min="80" max="80" width="12.5703125" bestFit="1" customWidth="1"/>
    <col min="81" max="81" width="11.42578125" customWidth="1"/>
    <col min="82" max="82" width="12.5703125" bestFit="1" customWidth="1"/>
    <col min="83" max="83" width="11.42578125" customWidth="1"/>
    <col min="84" max="84" width="35.28515625" bestFit="1" customWidth="1"/>
    <col min="85" max="85" width="34.140625" customWidth="1"/>
    <col min="86" max="86" width="23.42578125" bestFit="1" customWidth="1"/>
    <col min="87" max="87" width="11.42578125" customWidth="1"/>
    <col min="88" max="88" width="12.5703125" bestFit="1" customWidth="1"/>
    <col min="89" max="89" width="11.42578125" customWidth="1"/>
    <col min="90" max="90" width="12.5703125" bestFit="1" customWidth="1"/>
    <col min="91" max="91" width="11.42578125" customWidth="1"/>
    <col min="92" max="92" width="12.5703125" bestFit="1" customWidth="1"/>
    <col min="93" max="93" width="11.42578125" customWidth="1"/>
    <col min="94" max="94" width="12.5703125" bestFit="1" customWidth="1"/>
    <col min="95" max="95" width="11.42578125" customWidth="1"/>
    <col min="96" max="96" width="12.5703125" bestFit="1" customWidth="1"/>
    <col min="97" max="97" width="11.42578125" customWidth="1"/>
    <col min="98" max="98" width="34" bestFit="1" customWidth="1"/>
    <col min="99" max="99" width="32.7109375" customWidth="1"/>
    <col min="100" max="100" width="12.7109375" bestFit="1" customWidth="1"/>
    <col min="101" max="101" width="11.42578125" customWidth="1"/>
    <col min="102" max="102" width="12.5703125" bestFit="1" customWidth="1"/>
    <col min="103" max="103" width="11.42578125" customWidth="1"/>
    <col min="104" max="104" width="12.5703125" bestFit="1" customWidth="1"/>
    <col min="105" max="105" width="11.42578125" customWidth="1"/>
    <col min="106" max="106" width="12.5703125" bestFit="1" customWidth="1"/>
    <col min="107" max="107" width="11.42578125" customWidth="1"/>
    <col min="108" max="108" width="12.5703125" bestFit="1" customWidth="1"/>
    <col min="109" max="109" width="11.42578125" customWidth="1"/>
    <col min="110" max="110" width="12.5703125" bestFit="1" customWidth="1"/>
    <col min="111" max="111" width="11.42578125" customWidth="1"/>
    <col min="112" max="112" width="23.28515625" bestFit="1" customWidth="1"/>
    <col min="113" max="113" width="22.140625" customWidth="1"/>
    <col min="114" max="114" width="18" bestFit="1" customWidth="1"/>
    <col min="115" max="115" width="16.7109375" customWidth="1"/>
  </cols>
  <sheetData>
    <row r="3" spans="1:58" x14ac:dyDescent="0.2">
      <c r="A3" s="234" t="s">
        <v>344</v>
      </c>
      <c r="B3" s="234" t="s">
        <v>336</v>
      </c>
    </row>
    <row r="4" spans="1:58" x14ac:dyDescent="0.2">
      <c r="B4" t="s">
        <v>828</v>
      </c>
      <c r="H4" t="s">
        <v>856</v>
      </c>
      <c r="I4" t="s">
        <v>850</v>
      </c>
      <c r="O4" t="s">
        <v>857</v>
      </c>
      <c r="P4" t="s">
        <v>851</v>
      </c>
      <c r="V4" t="s">
        <v>858</v>
      </c>
      <c r="W4" t="s">
        <v>852</v>
      </c>
      <c r="AC4" t="s">
        <v>859</v>
      </c>
      <c r="AD4" t="s">
        <v>853</v>
      </c>
      <c r="AJ4" t="s">
        <v>860</v>
      </c>
      <c r="AK4" t="s">
        <v>854</v>
      </c>
      <c r="AQ4" t="s">
        <v>861</v>
      </c>
      <c r="AR4" t="s">
        <v>855</v>
      </c>
      <c r="AX4" t="s">
        <v>862</v>
      </c>
      <c r="AY4" t="s">
        <v>308</v>
      </c>
      <c r="BE4" t="s">
        <v>849</v>
      </c>
      <c r="BF4" t="s">
        <v>333</v>
      </c>
    </row>
    <row r="5" spans="1:58" x14ac:dyDescent="0.2">
      <c r="A5" s="234" t="s">
        <v>326</v>
      </c>
      <c r="B5">
        <v>1</v>
      </c>
      <c r="C5">
        <v>2</v>
      </c>
      <c r="D5">
        <v>3</v>
      </c>
      <c r="E5">
        <v>4</v>
      </c>
      <c r="F5">
        <v>5</v>
      </c>
      <c r="G5" t="s">
        <v>848</v>
      </c>
      <c r="I5">
        <v>1</v>
      </c>
      <c r="J5">
        <v>2</v>
      </c>
      <c r="K5">
        <v>3</v>
      </c>
      <c r="L5">
        <v>4</v>
      </c>
      <c r="M5">
        <v>5</v>
      </c>
      <c r="N5" t="s">
        <v>848</v>
      </c>
      <c r="P5">
        <v>1</v>
      </c>
      <c r="Q5">
        <v>2</v>
      </c>
      <c r="R5">
        <v>3</v>
      </c>
      <c r="S5">
        <v>4</v>
      </c>
      <c r="T5">
        <v>5</v>
      </c>
      <c r="U5" t="s">
        <v>848</v>
      </c>
      <c r="W5">
        <v>1</v>
      </c>
      <c r="X5">
        <v>2</v>
      </c>
      <c r="Y5">
        <v>3</v>
      </c>
      <c r="Z5">
        <v>4</v>
      </c>
      <c r="AA5">
        <v>5</v>
      </c>
      <c r="AB5" t="s">
        <v>848</v>
      </c>
      <c r="AD5">
        <v>1</v>
      </c>
      <c r="AE5">
        <v>2</v>
      </c>
      <c r="AF5">
        <v>3</v>
      </c>
      <c r="AG5">
        <v>4</v>
      </c>
      <c r="AH5">
        <v>5</v>
      </c>
      <c r="AI5" t="s">
        <v>848</v>
      </c>
      <c r="AK5">
        <v>1</v>
      </c>
      <c r="AL5">
        <v>2</v>
      </c>
      <c r="AM5">
        <v>3</v>
      </c>
      <c r="AN5">
        <v>4</v>
      </c>
      <c r="AO5">
        <v>5</v>
      </c>
      <c r="AP5" t="s">
        <v>848</v>
      </c>
      <c r="AR5">
        <v>1</v>
      </c>
      <c r="AS5">
        <v>2</v>
      </c>
      <c r="AT5">
        <v>3</v>
      </c>
      <c r="AU5">
        <v>4</v>
      </c>
      <c r="AV5">
        <v>5</v>
      </c>
      <c r="AW5" t="s">
        <v>848</v>
      </c>
      <c r="AY5">
        <v>1</v>
      </c>
      <c r="AZ5">
        <v>2</v>
      </c>
      <c r="BA5">
        <v>3</v>
      </c>
      <c r="BB5">
        <v>4</v>
      </c>
      <c r="BC5">
        <v>5</v>
      </c>
      <c r="BD5" t="s">
        <v>848</v>
      </c>
    </row>
    <row r="6" spans="1:58" x14ac:dyDescent="0.2">
      <c r="A6" s="235" t="s">
        <v>15</v>
      </c>
      <c r="B6">
        <v>2305</v>
      </c>
      <c r="C6">
        <v>1337</v>
      </c>
      <c r="D6">
        <v>934</v>
      </c>
      <c r="E6">
        <v>693</v>
      </c>
      <c r="F6">
        <v>559</v>
      </c>
      <c r="G6">
        <v>1</v>
      </c>
      <c r="H6">
        <v>5829</v>
      </c>
      <c r="I6">
        <v>549</v>
      </c>
      <c r="J6">
        <v>611</v>
      </c>
      <c r="K6">
        <v>500</v>
      </c>
      <c r="L6">
        <v>473</v>
      </c>
      <c r="M6">
        <v>275</v>
      </c>
      <c r="O6">
        <v>2408</v>
      </c>
      <c r="P6">
        <v>514</v>
      </c>
      <c r="Q6">
        <v>431</v>
      </c>
      <c r="R6">
        <v>448</v>
      </c>
      <c r="S6">
        <v>465</v>
      </c>
      <c r="T6">
        <v>172</v>
      </c>
      <c r="U6">
        <v>4</v>
      </c>
      <c r="V6">
        <v>2034</v>
      </c>
      <c r="W6">
        <v>204</v>
      </c>
      <c r="X6">
        <v>161</v>
      </c>
      <c r="Y6">
        <v>171</v>
      </c>
      <c r="Z6">
        <v>196</v>
      </c>
      <c r="AA6">
        <v>78</v>
      </c>
      <c r="AB6">
        <v>5</v>
      </c>
      <c r="AC6">
        <v>815</v>
      </c>
      <c r="AD6">
        <v>8071</v>
      </c>
      <c r="AE6">
        <v>7803</v>
      </c>
      <c r="AF6">
        <v>7823</v>
      </c>
      <c r="AG6">
        <v>6801</v>
      </c>
      <c r="AH6">
        <v>4604</v>
      </c>
      <c r="AI6">
        <v>8</v>
      </c>
      <c r="AJ6">
        <v>35110</v>
      </c>
      <c r="AK6">
        <v>2847</v>
      </c>
      <c r="AL6">
        <v>2294</v>
      </c>
      <c r="AM6">
        <v>1899</v>
      </c>
      <c r="AN6">
        <v>1658</v>
      </c>
      <c r="AO6">
        <v>1162</v>
      </c>
      <c r="AP6">
        <v>11</v>
      </c>
      <c r="AQ6">
        <v>9871</v>
      </c>
      <c r="AR6">
        <v>894</v>
      </c>
      <c r="AS6">
        <v>516</v>
      </c>
      <c r="AT6">
        <v>397</v>
      </c>
      <c r="AU6">
        <v>320</v>
      </c>
      <c r="AV6">
        <v>179</v>
      </c>
      <c r="AW6">
        <v>1</v>
      </c>
      <c r="AX6">
        <v>2307</v>
      </c>
      <c r="AY6">
        <v>5839</v>
      </c>
      <c r="AZ6">
        <v>3069</v>
      </c>
      <c r="BA6">
        <v>2431</v>
      </c>
      <c r="BB6">
        <v>1908</v>
      </c>
      <c r="BC6">
        <v>994</v>
      </c>
      <c r="BD6">
        <v>32</v>
      </c>
      <c r="BE6">
        <v>14273</v>
      </c>
      <c r="BF6">
        <v>72647</v>
      </c>
    </row>
    <row r="7" spans="1:58" x14ac:dyDescent="0.2">
      <c r="A7" s="235" t="s">
        <v>17</v>
      </c>
      <c r="B7">
        <v>2109</v>
      </c>
      <c r="C7">
        <v>1204</v>
      </c>
      <c r="D7">
        <v>824</v>
      </c>
      <c r="E7">
        <v>650</v>
      </c>
      <c r="F7">
        <v>536</v>
      </c>
      <c r="H7">
        <v>5323</v>
      </c>
      <c r="I7">
        <v>502</v>
      </c>
      <c r="J7">
        <v>574</v>
      </c>
      <c r="K7">
        <v>514</v>
      </c>
      <c r="L7">
        <v>469</v>
      </c>
      <c r="M7">
        <v>287</v>
      </c>
      <c r="O7">
        <v>2346</v>
      </c>
      <c r="P7">
        <v>498</v>
      </c>
      <c r="Q7">
        <v>398</v>
      </c>
      <c r="R7">
        <v>399</v>
      </c>
      <c r="S7">
        <v>414</v>
      </c>
      <c r="T7">
        <v>226</v>
      </c>
      <c r="U7">
        <v>3</v>
      </c>
      <c r="V7">
        <v>1938</v>
      </c>
      <c r="W7">
        <v>185</v>
      </c>
      <c r="X7">
        <v>183</v>
      </c>
      <c r="Y7">
        <v>199</v>
      </c>
      <c r="Z7">
        <v>224</v>
      </c>
      <c r="AA7">
        <v>117</v>
      </c>
      <c r="AB7">
        <v>6</v>
      </c>
      <c r="AC7">
        <v>914</v>
      </c>
      <c r="AD7">
        <v>8034</v>
      </c>
      <c r="AE7">
        <v>8115</v>
      </c>
      <c r="AF7">
        <v>7632</v>
      </c>
      <c r="AG7">
        <v>6612</v>
      </c>
      <c r="AH7">
        <v>4818</v>
      </c>
      <c r="AI7">
        <v>2</v>
      </c>
      <c r="AJ7">
        <v>35213</v>
      </c>
      <c r="AK7">
        <v>2700</v>
      </c>
      <c r="AL7">
        <v>2224</v>
      </c>
      <c r="AM7">
        <v>1872</v>
      </c>
      <c r="AN7">
        <v>1694</v>
      </c>
      <c r="AO7">
        <v>1122</v>
      </c>
      <c r="AP7">
        <v>5</v>
      </c>
      <c r="AQ7">
        <v>9617</v>
      </c>
      <c r="AR7">
        <v>858</v>
      </c>
      <c r="AS7">
        <v>543</v>
      </c>
      <c r="AT7">
        <v>459</v>
      </c>
      <c r="AU7">
        <v>330</v>
      </c>
      <c r="AV7">
        <v>175</v>
      </c>
      <c r="AX7">
        <v>2365</v>
      </c>
      <c r="AY7">
        <v>6234</v>
      </c>
      <c r="AZ7">
        <v>3500</v>
      </c>
      <c r="BA7">
        <v>2762</v>
      </c>
      <c r="BB7">
        <v>2551</v>
      </c>
      <c r="BC7">
        <v>1277</v>
      </c>
      <c r="BD7">
        <v>37</v>
      </c>
      <c r="BE7">
        <v>16361</v>
      </c>
      <c r="BF7">
        <v>74077</v>
      </c>
    </row>
    <row r="8" spans="1:58" x14ac:dyDescent="0.2">
      <c r="A8" s="235" t="s">
        <v>133</v>
      </c>
      <c r="B8">
        <v>2138</v>
      </c>
      <c r="C8">
        <v>1263</v>
      </c>
      <c r="D8">
        <v>954</v>
      </c>
      <c r="E8">
        <v>681</v>
      </c>
      <c r="F8">
        <v>537</v>
      </c>
      <c r="G8">
        <v>1</v>
      </c>
      <c r="H8">
        <v>5574</v>
      </c>
      <c r="I8">
        <v>543</v>
      </c>
      <c r="J8">
        <v>518</v>
      </c>
      <c r="K8">
        <v>544</v>
      </c>
      <c r="L8">
        <v>459</v>
      </c>
      <c r="M8">
        <v>260</v>
      </c>
      <c r="O8">
        <v>2324</v>
      </c>
      <c r="P8">
        <v>530</v>
      </c>
      <c r="Q8">
        <v>377</v>
      </c>
      <c r="R8">
        <v>402</v>
      </c>
      <c r="S8">
        <v>411</v>
      </c>
      <c r="T8">
        <v>176</v>
      </c>
      <c r="U8">
        <v>1</v>
      </c>
      <c r="V8">
        <v>1897</v>
      </c>
      <c r="W8">
        <v>180</v>
      </c>
      <c r="X8">
        <v>166</v>
      </c>
      <c r="Y8">
        <v>178</v>
      </c>
      <c r="Z8">
        <v>211</v>
      </c>
      <c r="AA8">
        <v>100</v>
      </c>
      <c r="AB8">
        <v>3</v>
      </c>
      <c r="AC8">
        <v>838</v>
      </c>
      <c r="AD8">
        <v>8503</v>
      </c>
      <c r="AE8">
        <v>8379</v>
      </c>
      <c r="AF8">
        <v>8367</v>
      </c>
      <c r="AG8">
        <v>7047</v>
      </c>
      <c r="AH8">
        <v>5040</v>
      </c>
      <c r="AI8">
        <v>1</v>
      </c>
      <c r="AJ8">
        <v>37337</v>
      </c>
      <c r="AK8">
        <v>2543</v>
      </c>
      <c r="AL8">
        <v>2198</v>
      </c>
      <c r="AM8">
        <v>1826</v>
      </c>
      <c r="AN8">
        <v>1620</v>
      </c>
      <c r="AO8">
        <v>1066</v>
      </c>
      <c r="AP8">
        <v>3</v>
      </c>
      <c r="AQ8">
        <v>9256</v>
      </c>
      <c r="AR8">
        <v>756</v>
      </c>
      <c r="AS8">
        <v>448</v>
      </c>
      <c r="AT8">
        <v>410</v>
      </c>
      <c r="AU8">
        <v>273</v>
      </c>
      <c r="AV8">
        <v>168</v>
      </c>
      <c r="AW8">
        <v>1</v>
      </c>
      <c r="AX8">
        <v>2056</v>
      </c>
      <c r="AY8">
        <v>5461</v>
      </c>
      <c r="AZ8">
        <v>2781</v>
      </c>
      <c r="BA8">
        <v>2093</v>
      </c>
      <c r="BB8">
        <v>2006</v>
      </c>
      <c r="BC8">
        <v>1048</v>
      </c>
      <c r="BD8">
        <v>17</v>
      </c>
      <c r="BE8">
        <v>13406</v>
      </c>
      <c r="BF8">
        <v>72688</v>
      </c>
    </row>
    <row r="9" spans="1:58" x14ac:dyDescent="0.2">
      <c r="A9" s="235" t="s">
        <v>144</v>
      </c>
      <c r="B9">
        <v>2230</v>
      </c>
      <c r="C9">
        <v>1298</v>
      </c>
      <c r="D9">
        <v>945</v>
      </c>
      <c r="E9">
        <v>737</v>
      </c>
      <c r="F9">
        <v>463</v>
      </c>
      <c r="H9">
        <v>5673</v>
      </c>
      <c r="I9">
        <v>592</v>
      </c>
      <c r="J9">
        <v>522</v>
      </c>
      <c r="K9">
        <v>537</v>
      </c>
      <c r="L9">
        <v>542</v>
      </c>
      <c r="M9">
        <v>299</v>
      </c>
      <c r="N9">
        <v>2</v>
      </c>
      <c r="O9">
        <v>2494</v>
      </c>
      <c r="P9">
        <v>517</v>
      </c>
      <c r="Q9">
        <v>392</v>
      </c>
      <c r="R9">
        <v>409</v>
      </c>
      <c r="S9">
        <v>425</v>
      </c>
      <c r="T9">
        <v>221</v>
      </c>
      <c r="U9">
        <v>1</v>
      </c>
      <c r="V9">
        <v>1965</v>
      </c>
      <c r="W9">
        <v>163</v>
      </c>
      <c r="X9">
        <v>195</v>
      </c>
      <c r="Y9">
        <v>184</v>
      </c>
      <c r="Z9">
        <v>212</v>
      </c>
      <c r="AA9">
        <v>109</v>
      </c>
      <c r="AB9">
        <v>11</v>
      </c>
      <c r="AC9">
        <v>874</v>
      </c>
      <c r="AD9">
        <v>8520</v>
      </c>
      <c r="AE9">
        <v>8415</v>
      </c>
      <c r="AF9">
        <v>8540</v>
      </c>
      <c r="AG9">
        <v>7133</v>
      </c>
      <c r="AH9">
        <v>5002</v>
      </c>
      <c r="AI9">
        <v>11</v>
      </c>
      <c r="AJ9">
        <v>37621</v>
      </c>
      <c r="AK9">
        <v>2382</v>
      </c>
      <c r="AL9">
        <v>2039</v>
      </c>
      <c r="AM9">
        <v>1792</v>
      </c>
      <c r="AN9">
        <v>1591</v>
      </c>
      <c r="AO9">
        <v>1036</v>
      </c>
      <c r="AP9">
        <v>10</v>
      </c>
      <c r="AQ9">
        <v>8850</v>
      </c>
      <c r="AR9">
        <v>870</v>
      </c>
      <c r="AS9">
        <v>480</v>
      </c>
      <c r="AT9">
        <v>474</v>
      </c>
      <c r="AU9">
        <v>336</v>
      </c>
      <c r="AV9">
        <v>215</v>
      </c>
      <c r="AX9">
        <v>2375</v>
      </c>
      <c r="AY9">
        <v>5436</v>
      </c>
      <c r="AZ9">
        <v>3305</v>
      </c>
      <c r="BA9">
        <v>2336</v>
      </c>
      <c r="BB9">
        <v>2409</v>
      </c>
      <c r="BC9">
        <v>1220</v>
      </c>
      <c r="BD9">
        <v>26</v>
      </c>
      <c r="BE9">
        <v>14732</v>
      </c>
      <c r="BF9">
        <v>74584</v>
      </c>
    </row>
    <row r="10" spans="1:58" x14ac:dyDescent="0.2">
      <c r="A10" s="235" t="s">
        <v>282</v>
      </c>
      <c r="B10">
        <v>2141</v>
      </c>
      <c r="C10">
        <v>1337</v>
      </c>
      <c r="D10">
        <v>882</v>
      </c>
      <c r="E10">
        <v>646</v>
      </c>
      <c r="F10">
        <v>534</v>
      </c>
      <c r="H10">
        <v>5540</v>
      </c>
      <c r="I10">
        <v>536</v>
      </c>
      <c r="J10">
        <v>523</v>
      </c>
      <c r="K10">
        <v>506</v>
      </c>
      <c r="L10">
        <v>465</v>
      </c>
      <c r="M10">
        <v>247</v>
      </c>
      <c r="O10">
        <v>2277</v>
      </c>
      <c r="P10">
        <v>547</v>
      </c>
      <c r="Q10">
        <v>423</v>
      </c>
      <c r="R10">
        <v>481</v>
      </c>
      <c r="S10">
        <v>455</v>
      </c>
      <c r="T10">
        <v>213</v>
      </c>
      <c r="U10">
        <v>1</v>
      </c>
      <c r="V10">
        <v>2120</v>
      </c>
      <c r="W10">
        <v>189</v>
      </c>
      <c r="X10">
        <v>202</v>
      </c>
      <c r="Y10">
        <v>197</v>
      </c>
      <c r="Z10">
        <v>225</v>
      </c>
      <c r="AA10">
        <v>139</v>
      </c>
      <c r="AB10">
        <v>5</v>
      </c>
      <c r="AC10">
        <v>957</v>
      </c>
      <c r="AD10">
        <v>9211</v>
      </c>
      <c r="AE10">
        <v>9182</v>
      </c>
      <c r="AF10">
        <v>8634</v>
      </c>
      <c r="AG10">
        <v>7372</v>
      </c>
      <c r="AH10">
        <v>5218</v>
      </c>
      <c r="AI10">
        <v>13</v>
      </c>
      <c r="AJ10">
        <v>39630</v>
      </c>
      <c r="AK10">
        <v>2476</v>
      </c>
      <c r="AL10">
        <v>2039</v>
      </c>
      <c r="AM10">
        <v>1831</v>
      </c>
      <c r="AN10">
        <v>1637</v>
      </c>
      <c r="AO10">
        <v>961</v>
      </c>
      <c r="AP10">
        <v>13</v>
      </c>
      <c r="AQ10">
        <v>8957</v>
      </c>
      <c r="AR10">
        <v>827</v>
      </c>
      <c r="AS10">
        <v>505</v>
      </c>
      <c r="AT10">
        <v>397</v>
      </c>
      <c r="AU10">
        <v>310</v>
      </c>
      <c r="AV10">
        <v>241</v>
      </c>
      <c r="AW10">
        <v>1</v>
      </c>
      <c r="AX10">
        <v>2281</v>
      </c>
      <c r="AY10">
        <v>5843</v>
      </c>
      <c r="AZ10">
        <v>3333</v>
      </c>
      <c r="BA10">
        <v>2609</v>
      </c>
      <c r="BB10">
        <v>2516</v>
      </c>
      <c r="BC10">
        <v>1328</v>
      </c>
      <c r="BD10">
        <v>31</v>
      </c>
      <c r="BE10">
        <v>15660</v>
      </c>
      <c r="BF10">
        <v>77422</v>
      </c>
    </row>
    <row r="11" spans="1:58" x14ac:dyDescent="0.2">
      <c r="A11" s="235" t="s">
        <v>311</v>
      </c>
      <c r="B11">
        <v>2128</v>
      </c>
      <c r="C11">
        <v>1218</v>
      </c>
      <c r="D11">
        <v>805</v>
      </c>
      <c r="E11">
        <v>641</v>
      </c>
      <c r="F11">
        <v>519</v>
      </c>
      <c r="H11">
        <v>5311</v>
      </c>
      <c r="I11">
        <v>492</v>
      </c>
      <c r="J11">
        <v>524</v>
      </c>
      <c r="K11">
        <v>511</v>
      </c>
      <c r="L11">
        <v>490</v>
      </c>
      <c r="M11">
        <v>269</v>
      </c>
      <c r="N11">
        <v>1</v>
      </c>
      <c r="O11">
        <v>2287</v>
      </c>
      <c r="P11">
        <v>569</v>
      </c>
      <c r="Q11">
        <v>398</v>
      </c>
      <c r="R11">
        <v>419</v>
      </c>
      <c r="S11">
        <v>423</v>
      </c>
      <c r="T11">
        <v>205</v>
      </c>
      <c r="U11">
        <v>2</v>
      </c>
      <c r="V11">
        <v>2016</v>
      </c>
      <c r="W11">
        <v>186</v>
      </c>
      <c r="X11">
        <v>230</v>
      </c>
      <c r="Y11">
        <v>228</v>
      </c>
      <c r="Z11">
        <v>252</v>
      </c>
      <c r="AA11">
        <v>152</v>
      </c>
      <c r="AB11">
        <v>10</v>
      </c>
      <c r="AC11">
        <v>1058</v>
      </c>
      <c r="AD11">
        <v>9594</v>
      </c>
      <c r="AE11">
        <v>9329</v>
      </c>
      <c r="AF11">
        <v>8622</v>
      </c>
      <c r="AG11">
        <v>7658</v>
      </c>
      <c r="AH11">
        <v>5222</v>
      </c>
      <c r="AI11">
        <v>11</v>
      </c>
      <c r="AJ11">
        <v>40436</v>
      </c>
      <c r="AK11">
        <v>2413</v>
      </c>
      <c r="AL11">
        <v>2080</v>
      </c>
      <c r="AM11">
        <v>1877</v>
      </c>
      <c r="AN11">
        <v>1663</v>
      </c>
      <c r="AO11">
        <v>1068</v>
      </c>
      <c r="AP11">
        <v>10</v>
      </c>
      <c r="AQ11">
        <v>9111</v>
      </c>
      <c r="AR11">
        <v>797</v>
      </c>
      <c r="AS11">
        <v>512</v>
      </c>
      <c r="AT11">
        <v>432</v>
      </c>
      <c r="AU11">
        <v>337</v>
      </c>
      <c r="AV11">
        <v>257</v>
      </c>
      <c r="AW11">
        <v>2</v>
      </c>
      <c r="AX11">
        <v>2337</v>
      </c>
      <c r="AY11">
        <v>5042</v>
      </c>
      <c r="AZ11">
        <v>3248</v>
      </c>
      <c r="BA11">
        <v>2634</v>
      </c>
      <c r="BB11">
        <v>2499</v>
      </c>
      <c r="BC11">
        <v>1272</v>
      </c>
      <c r="BD11">
        <v>33</v>
      </c>
      <c r="BE11">
        <v>14728</v>
      </c>
      <c r="BF11">
        <v>77284</v>
      </c>
    </row>
    <row r="12" spans="1:58" x14ac:dyDescent="0.2">
      <c r="A12" s="235" t="s">
        <v>621</v>
      </c>
      <c r="B12">
        <v>2027</v>
      </c>
      <c r="C12">
        <v>1198</v>
      </c>
      <c r="D12">
        <v>824</v>
      </c>
      <c r="E12">
        <v>624</v>
      </c>
      <c r="F12">
        <v>472</v>
      </c>
      <c r="H12">
        <v>5145</v>
      </c>
      <c r="I12">
        <v>480</v>
      </c>
      <c r="J12">
        <v>508</v>
      </c>
      <c r="K12">
        <v>527</v>
      </c>
      <c r="L12">
        <v>464</v>
      </c>
      <c r="M12">
        <v>273</v>
      </c>
      <c r="O12">
        <v>2252</v>
      </c>
      <c r="P12">
        <v>534</v>
      </c>
      <c r="Q12">
        <v>381</v>
      </c>
      <c r="R12">
        <v>415</v>
      </c>
      <c r="S12">
        <v>433</v>
      </c>
      <c r="T12">
        <v>184</v>
      </c>
      <c r="U12">
        <v>5</v>
      </c>
      <c r="V12">
        <v>1952</v>
      </c>
      <c r="W12">
        <v>219</v>
      </c>
      <c r="X12">
        <v>203</v>
      </c>
      <c r="Y12">
        <v>265</v>
      </c>
      <c r="Z12">
        <v>290</v>
      </c>
      <c r="AA12">
        <v>142</v>
      </c>
      <c r="AB12">
        <v>5</v>
      </c>
      <c r="AC12">
        <v>1124</v>
      </c>
      <c r="AD12">
        <v>9770</v>
      </c>
      <c r="AE12">
        <v>9212</v>
      </c>
      <c r="AF12">
        <v>8769</v>
      </c>
      <c r="AG12">
        <v>7667</v>
      </c>
      <c r="AH12">
        <v>5196</v>
      </c>
      <c r="AI12">
        <v>27</v>
      </c>
      <c r="AJ12">
        <v>40641</v>
      </c>
      <c r="AK12">
        <v>2495</v>
      </c>
      <c r="AL12">
        <v>2005</v>
      </c>
      <c r="AM12">
        <v>1893</v>
      </c>
      <c r="AN12">
        <v>1716</v>
      </c>
      <c r="AO12">
        <v>1110</v>
      </c>
      <c r="AP12">
        <v>19</v>
      </c>
      <c r="AQ12">
        <v>9238</v>
      </c>
      <c r="AR12">
        <v>812</v>
      </c>
      <c r="AS12">
        <v>510</v>
      </c>
      <c r="AT12">
        <v>420</v>
      </c>
      <c r="AU12">
        <v>339</v>
      </c>
      <c r="AV12">
        <v>196</v>
      </c>
      <c r="AW12">
        <v>2</v>
      </c>
      <c r="AX12">
        <v>2279</v>
      </c>
      <c r="AY12">
        <v>5344</v>
      </c>
      <c r="AZ12">
        <v>3283</v>
      </c>
      <c r="BA12">
        <v>2710</v>
      </c>
      <c r="BB12">
        <v>2732</v>
      </c>
      <c r="BC12">
        <v>1576</v>
      </c>
      <c r="BD12">
        <v>52</v>
      </c>
      <c r="BE12">
        <v>15697</v>
      </c>
      <c r="BF12">
        <v>78328</v>
      </c>
    </row>
    <row r="13" spans="1:58" x14ac:dyDescent="0.2">
      <c r="A13" s="235" t="s">
        <v>1419</v>
      </c>
      <c r="B13">
        <v>1837</v>
      </c>
      <c r="C13">
        <v>1141</v>
      </c>
      <c r="D13">
        <v>819</v>
      </c>
      <c r="E13">
        <v>622</v>
      </c>
      <c r="F13">
        <v>470</v>
      </c>
      <c r="G13">
        <v>1</v>
      </c>
      <c r="H13">
        <v>4890</v>
      </c>
      <c r="I13">
        <v>471</v>
      </c>
      <c r="J13">
        <v>433</v>
      </c>
      <c r="K13">
        <v>419</v>
      </c>
      <c r="L13">
        <v>431</v>
      </c>
      <c r="M13">
        <v>225</v>
      </c>
      <c r="N13">
        <v>1</v>
      </c>
      <c r="O13">
        <v>1980</v>
      </c>
      <c r="P13">
        <v>558</v>
      </c>
      <c r="Q13">
        <v>450</v>
      </c>
      <c r="R13">
        <v>419</v>
      </c>
      <c r="S13">
        <v>460</v>
      </c>
      <c r="T13">
        <v>210</v>
      </c>
      <c r="U13">
        <v>2</v>
      </c>
      <c r="V13">
        <v>2099</v>
      </c>
      <c r="W13">
        <v>182</v>
      </c>
      <c r="X13">
        <v>161</v>
      </c>
      <c r="Y13">
        <v>195</v>
      </c>
      <c r="Z13">
        <v>228</v>
      </c>
      <c r="AA13">
        <v>110</v>
      </c>
      <c r="AB13">
        <v>7</v>
      </c>
      <c r="AC13">
        <v>883</v>
      </c>
      <c r="AD13">
        <v>10019</v>
      </c>
      <c r="AE13">
        <v>9344</v>
      </c>
      <c r="AF13">
        <v>9016</v>
      </c>
      <c r="AG13">
        <v>7955</v>
      </c>
      <c r="AH13">
        <v>5108</v>
      </c>
      <c r="AI13">
        <v>25</v>
      </c>
      <c r="AJ13">
        <v>41467</v>
      </c>
      <c r="AK13">
        <v>2382</v>
      </c>
      <c r="AL13">
        <v>1976</v>
      </c>
      <c r="AM13">
        <v>1757</v>
      </c>
      <c r="AN13">
        <v>1529</v>
      </c>
      <c r="AO13">
        <v>983</v>
      </c>
      <c r="AP13">
        <v>10</v>
      </c>
      <c r="AQ13">
        <v>8637</v>
      </c>
      <c r="AR13">
        <v>702</v>
      </c>
      <c r="AS13">
        <v>513</v>
      </c>
      <c r="AT13">
        <v>434</v>
      </c>
      <c r="AU13">
        <v>329</v>
      </c>
      <c r="AV13">
        <v>219</v>
      </c>
      <c r="AW13">
        <v>1</v>
      </c>
      <c r="AX13">
        <v>2198</v>
      </c>
      <c r="AY13">
        <v>5283</v>
      </c>
      <c r="AZ13">
        <v>2961</v>
      </c>
      <c r="BA13">
        <v>2381</v>
      </c>
      <c r="BB13">
        <v>2229</v>
      </c>
      <c r="BC13">
        <v>1212</v>
      </c>
      <c r="BD13">
        <v>24</v>
      </c>
      <c r="BE13">
        <v>14090</v>
      </c>
      <c r="BF13">
        <v>76244</v>
      </c>
    </row>
    <row r="14" spans="1:58" x14ac:dyDescent="0.2">
      <c r="A14" s="235" t="s">
        <v>1572</v>
      </c>
      <c r="B14">
        <v>1853</v>
      </c>
      <c r="C14">
        <v>1110</v>
      </c>
      <c r="D14">
        <v>715</v>
      </c>
      <c r="E14">
        <v>555</v>
      </c>
      <c r="F14">
        <v>427</v>
      </c>
      <c r="G14">
        <v>1</v>
      </c>
      <c r="H14">
        <v>4661</v>
      </c>
      <c r="I14">
        <v>376</v>
      </c>
      <c r="J14">
        <v>395</v>
      </c>
      <c r="K14">
        <v>378</v>
      </c>
      <c r="L14">
        <v>379</v>
      </c>
      <c r="M14">
        <v>189</v>
      </c>
      <c r="N14">
        <v>1</v>
      </c>
      <c r="O14">
        <v>1718</v>
      </c>
      <c r="P14">
        <v>533</v>
      </c>
      <c r="Q14">
        <v>381</v>
      </c>
      <c r="R14">
        <v>361</v>
      </c>
      <c r="S14">
        <v>362</v>
      </c>
      <c r="T14">
        <v>178</v>
      </c>
      <c r="U14">
        <v>1</v>
      </c>
      <c r="V14">
        <v>1816</v>
      </c>
      <c r="W14">
        <v>214</v>
      </c>
      <c r="X14">
        <v>222</v>
      </c>
      <c r="Y14">
        <v>271</v>
      </c>
      <c r="Z14">
        <v>316</v>
      </c>
      <c r="AA14">
        <v>189</v>
      </c>
      <c r="AB14">
        <v>9</v>
      </c>
      <c r="AC14">
        <v>1221</v>
      </c>
      <c r="AD14">
        <v>8842</v>
      </c>
      <c r="AE14">
        <v>8216</v>
      </c>
      <c r="AF14">
        <v>7570</v>
      </c>
      <c r="AG14">
        <v>6809</v>
      </c>
      <c r="AH14">
        <v>4363</v>
      </c>
      <c r="AI14">
        <v>9</v>
      </c>
      <c r="AJ14">
        <v>35809</v>
      </c>
      <c r="AK14">
        <v>2624</v>
      </c>
      <c r="AL14">
        <v>2249</v>
      </c>
      <c r="AM14">
        <v>1850</v>
      </c>
      <c r="AN14">
        <v>1655</v>
      </c>
      <c r="AO14">
        <v>1126</v>
      </c>
      <c r="AP14">
        <v>13</v>
      </c>
      <c r="AQ14">
        <v>9517</v>
      </c>
      <c r="AR14">
        <v>488</v>
      </c>
      <c r="AS14">
        <v>315</v>
      </c>
      <c r="AT14">
        <v>290</v>
      </c>
      <c r="AU14">
        <v>251</v>
      </c>
      <c r="AV14">
        <v>150</v>
      </c>
      <c r="AX14">
        <v>1494</v>
      </c>
      <c r="AY14">
        <v>5572</v>
      </c>
      <c r="AZ14">
        <v>3197</v>
      </c>
      <c r="BA14">
        <v>2509</v>
      </c>
      <c r="BB14">
        <v>2428</v>
      </c>
      <c r="BC14">
        <v>1385</v>
      </c>
      <c r="BD14">
        <v>39</v>
      </c>
      <c r="BE14">
        <v>15130</v>
      </c>
      <c r="BF14">
        <v>71366</v>
      </c>
    </row>
    <row r="15" spans="1:58" x14ac:dyDescent="0.2">
      <c r="A15" s="235" t="s">
        <v>333</v>
      </c>
      <c r="B15">
        <v>18768</v>
      </c>
      <c r="C15">
        <v>11106</v>
      </c>
      <c r="D15">
        <v>7702</v>
      </c>
      <c r="E15">
        <v>5849</v>
      </c>
      <c r="F15">
        <v>4517</v>
      </c>
      <c r="G15">
        <v>4</v>
      </c>
      <c r="H15">
        <v>47946</v>
      </c>
      <c r="I15">
        <v>4541</v>
      </c>
      <c r="J15">
        <v>4608</v>
      </c>
      <c r="K15">
        <v>4436</v>
      </c>
      <c r="L15">
        <v>4172</v>
      </c>
      <c r="M15">
        <v>2324</v>
      </c>
      <c r="N15">
        <v>5</v>
      </c>
      <c r="O15">
        <v>20086</v>
      </c>
      <c r="P15">
        <v>4800</v>
      </c>
      <c r="Q15">
        <v>3631</v>
      </c>
      <c r="R15">
        <v>3753</v>
      </c>
      <c r="S15">
        <v>3848</v>
      </c>
      <c r="T15">
        <v>1785</v>
      </c>
      <c r="U15">
        <v>20</v>
      </c>
      <c r="V15">
        <v>17837</v>
      </c>
      <c r="W15">
        <v>1722</v>
      </c>
      <c r="X15">
        <v>1723</v>
      </c>
      <c r="Y15">
        <v>1888</v>
      </c>
      <c r="Z15">
        <v>2154</v>
      </c>
      <c r="AA15">
        <v>1136</v>
      </c>
      <c r="AB15">
        <v>61</v>
      </c>
      <c r="AC15">
        <v>8684</v>
      </c>
      <c r="AD15">
        <v>80564</v>
      </c>
      <c r="AE15">
        <v>77995</v>
      </c>
      <c r="AF15">
        <v>74973</v>
      </c>
      <c r="AG15">
        <v>65054</v>
      </c>
      <c r="AH15">
        <v>44571</v>
      </c>
      <c r="AI15">
        <v>107</v>
      </c>
      <c r="AJ15">
        <v>343264</v>
      </c>
      <c r="AK15">
        <v>22862</v>
      </c>
      <c r="AL15">
        <v>19104</v>
      </c>
      <c r="AM15">
        <v>16597</v>
      </c>
      <c r="AN15">
        <v>14763</v>
      </c>
      <c r="AO15">
        <v>9634</v>
      </c>
      <c r="AP15">
        <v>94</v>
      </c>
      <c r="AQ15">
        <v>83054</v>
      </c>
      <c r="AR15">
        <v>7004</v>
      </c>
      <c r="AS15">
        <v>4342</v>
      </c>
      <c r="AT15">
        <v>3713</v>
      </c>
      <c r="AU15">
        <v>2825</v>
      </c>
      <c r="AV15">
        <v>1800</v>
      </c>
      <c r="AW15">
        <v>8</v>
      </c>
      <c r="AX15">
        <v>19692</v>
      </c>
      <c r="AY15">
        <v>50054</v>
      </c>
      <c r="AZ15">
        <v>28677</v>
      </c>
      <c r="BA15">
        <v>22465</v>
      </c>
      <c r="BB15">
        <v>21278</v>
      </c>
      <c r="BC15">
        <v>11312</v>
      </c>
      <c r="BD15">
        <v>291</v>
      </c>
      <c r="BE15">
        <v>134077</v>
      </c>
      <c r="BF15">
        <v>674640</v>
      </c>
    </row>
    <row r="16" spans="1:58" x14ac:dyDescent="0.2">
      <c r="A16" s="235" t="s">
        <v>866</v>
      </c>
    </row>
    <row r="18" spans="1:3" x14ac:dyDescent="0.2">
      <c r="A18" s="234" t="s">
        <v>464</v>
      </c>
      <c r="B18" t="s">
        <v>1572</v>
      </c>
    </row>
    <row r="20" spans="1:3" x14ac:dyDescent="0.2">
      <c r="A20" s="234" t="s">
        <v>326</v>
      </c>
      <c r="B20" t="s">
        <v>344</v>
      </c>
      <c r="C20" t="s">
        <v>863</v>
      </c>
    </row>
    <row r="21" spans="1:3" x14ac:dyDescent="0.2">
      <c r="A21" s="235" t="s">
        <v>828</v>
      </c>
      <c r="B21">
        <v>4661</v>
      </c>
      <c r="C21">
        <v>1093200</v>
      </c>
    </row>
    <row r="22" spans="1:3" x14ac:dyDescent="0.2">
      <c r="A22" s="235" t="s">
        <v>850</v>
      </c>
      <c r="B22">
        <v>1718</v>
      </c>
      <c r="C22">
        <v>1093200</v>
      </c>
    </row>
    <row r="23" spans="1:3" x14ac:dyDescent="0.2">
      <c r="A23" s="235" t="s">
        <v>851</v>
      </c>
      <c r="B23">
        <v>1816</v>
      </c>
      <c r="C23">
        <v>1093200</v>
      </c>
    </row>
    <row r="24" spans="1:3" x14ac:dyDescent="0.2">
      <c r="A24" s="235" t="s">
        <v>852</v>
      </c>
      <c r="B24">
        <v>1221</v>
      </c>
      <c r="C24">
        <v>1093200</v>
      </c>
    </row>
    <row r="25" spans="1:3" x14ac:dyDescent="0.2">
      <c r="A25" s="235" t="s">
        <v>853</v>
      </c>
      <c r="B25">
        <v>35809</v>
      </c>
      <c r="C25">
        <v>1093200</v>
      </c>
    </row>
    <row r="26" spans="1:3" x14ac:dyDescent="0.2">
      <c r="A26" s="235" t="s">
        <v>854</v>
      </c>
      <c r="B26">
        <v>9517</v>
      </c>
      <c r="C26">
        <v>1093200</v>
      </c>
    </row>
    <row r="27" spans="1:3" x14ac:dyDescent="0.2">
      <c r="A27" s="235" t="s">
        <v>855</v>
      </c>
      <c r="B27">
        <v>1494</v>
      </c>
      <c r="C27">
        <v>1093200</v>
      </c>
    </row>
    <row r="28" spans="1:3" x14ac:dyDescent="0.2">
      <c r="A28" s="235" t="s">
        <v>308</v>
      </c>
      <c r="B28">
        <v>15130</v>
      </c>
      <c r="C28">
        <v>1093200</v>
      </c>
    </row>
    <row r="29" spans="1:3" x14ac:dyDescent="0.2">
      <c r="A29" s="235" t="s">
        <v>333</v>
      </c>
      <c r="B29">
        <v>71366</v>
      </c>
      <c r="C29">
        <v>1093200</v>
      </c>
    </row>
    <row r="40" spans="1:8" x14ac:dyDescent="0.2">
      <c r="A40" s="234" t="s">
        <v>864</v>
      </c>
      <c r="B40" s="234" t="s">
        <v>336</v>
      </c>
    </row>
    <row r="41" spans="1:8" x14ac:dyDescent="0.2">
      <c r="A41" s="234" t="s">
        <v>326</v>
      </c>
      <c r="B41">
        <v>1</v>
      </c>
      <c r="C41">
        <v>2</v>
      </c>
      <c r="D41">
        <v>3</v>
      </c>
      <c r="E41">
        <v>4</v>
      </c>
      <c r="F41">
        <v>5</v>
      </c>
      <c r="G41" t="s">
        <v>848</v>
      </c>
    </row>
    <row r="42" spans="1:8" x14ac:dyDescent="0.2">
      <c r="A42" s="235" t="s">
        <v>15</v>
      </c>
      <c r="B42">
        <v>1053621</v>
      </c>
      <c r="C42">
        <v>1052734</v>
      </c>
      <c r="D42">
        <v>1061383</v>
      </c>
      <c r="E42">
        <v>1060010</v>
      </c>
      <c r="F42">
        <v>1085852</v>
      </c>
      <c r="H42">
        <f>SUM(B42:F42)</f>
        <v>5313600</v>
      </c>
    </row>
    <row r="43" spans="1:8" x14ac:dyDescent="0.2">
      <c r="A43" s="235" t="s">
        <v>17</v>
      </c>
      <c r="B43">
        <v>1052242</v>
      </c>
      <c r="C43">
        <v>1051706</v>
      </c>
      <c r="D43">
        <v>1062201</v>
      </c>
      <c r="E43">
        <v>1066971</v>
      </c>
      <c r="F43">
        <v>1094580</v>
      </c>
      <c r="H43">
        <f t="shared" ref="H43:H50" si="0">SUM(B43:F43)</f>
        <v>5327700</v>
      </c>
    </row>
    <row r="44" spans="1:8" x14ac:dyDescent="0.2">
      <c r="A44" s="235" t="s">
        <v>133</v>
      </c>
      <c r="B44">
        <v>1051892</v>
      </c>
      <c r="C44">
        <v>1052469</v>
      </c>
      <c r="D44">
        <v>1063532</v>
      </c>
      <c r="E44">
        <v>1076943</v>
      </c>
      <c r="F44">
        <v>1102764</v>
      </c>
      <c r="H44">
        <f t="shared" si="0"/>
        <v>5347600</v>
      </c>
    </row>
    <row r="45" spans="1:8" x14ac:dyDescent="0.2">
      <c r="A45" s="235" t="s">
        <v>144</v>
      </c>
      <c r="B45">
        <v>1054168</v>
      </c>
      <c r="C45">
        <v>1055402</v>
      </c>
      <c r="D45">
        <v>1065989</v>
      </c>
      <c r="E45">
        <v>1087470</v>
      </c>
      <c r="F45">
        <v>1109971</v>
      </c>
      <c r="H45">
        <f t="shared" si="0"/>
        <v>5373000</v>
      </c>
    </row>
    <row r="46" spans="1:8" x14ac:dyDescent="0.2">
      <c r="A46" s="235" t="s">
        <v>282</v>
      </c>
      <c r="B46">
        <v>1058713</v>
      </c>
      <c r="C46">
        <v>1057929</v>
      </c>
      <c r="D46">
        <v>1070719</v>
      </c>
      <c r="E46">
        <v>1099208</v>
      </c>
      <c r="F46">
        <v>1118131</v>
      </c>
      <c r="H46">
        <f t="shared" si="0"/>
        <v>5404700</v>
      </c>
    </row>
    <row r="47" spans="1:8" x14ac:dyDescent="0.2">
      <c r="A47" s="235" t="s">
        <v>311</v>
      </c>
      <c r="B47">
        <v>1059288</v>
      </c>
      <c r="C47">
        <v>1059104</v>
      </c>
      <c r="D47">
        <v>1072629</v>
      </c>
      <c r="E47">
        <v>1110521</v>
      </c>
      <c r="F47">
        <v>1123258</v>
      </c>
      <c r="H47">
        <f t="shared" si="0"/>
        <v>5424800</v>
      </c>
    </row>
    <row r="48" spans="1:8" x14ac:dyDescent="0.2">
      <c r="A48" s="235" t="s">
        <v>621</v>
      </c>
      <c r="B48">
        <v>1059180</v>
      </c>
      <c r="C48">
        <v>1058116</v>
      </c>
      <c r="D48">
        <v>1075006</v>
      </c>
      <c r="E48">
        <v>1120192</v>
      </c>
      <c r="F48">
        <v>1125606</v>
      </c>
      <c r="H48">
        <f t="shared" si="0"/>
        <v>5438100</v>
      </c>
    </row>
    <row r="49" spans="1:8" x14ac:dyDescent="0.2">
      <c r="A49" s="235" t="s">
        <v>1419</v>
      </c>
      <c r="B49">
        <v>1060939</v>
      </c>
      <c r="C49">
        <v>1060924</v>
      </c>
      <c r="D49">
        <v>1078198</v>
      </c>
      <c r="E49">
        <v>1132425</v>
      </c>
      <c r="F49">
        <v>1130814</v>
      </c>
      <c r="H49">
        <f t="shared" si="0"/>
        <v>5463300</v>
      </c>
    </row>
    <row r="50" spans="1:8" x14ac:dyDescent="0.2">
      <c r="A50" s="235" t="s">
        <v>1572</v>
      </c>
      <c r="B50">
        <v>1057767</v>
      </c>
      <c r="C50">
        <v>1057929</v>
      </c>
      <c r="D50">
        <v>1077589</v>
      </c>
      <c r="E50">
        <v>1140448</v>
      </c>
      <c r="F50">
        <v>1132267</v>
      </c>
      <c r="H50">
        <f t="shared" si="0"/>
        <v>5466000</v>
      </c>
    </row>
    <row r="51" spans="1:8" x14ac:dyDescent="0.2">
      <c r="A51" s="235" t="s">
        <v>333</v>
      </c>
      <c r="B51">
        <v>1060939</v>
      </c>
      <c r="C51">
        <v>1060924</v>
      </c>
      <c r="D51">
        <v>1078198</v>
      </c>
      <c r="E51">
        <v>1140448</v>
      </c>
      <c r="F51">
        <v>1132267</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CA27"/>
  <sheetViews>
    <sheetView zoomScale="115" zoomScaleNormal="115" workbookViewId="0">
      <selection activeCell="E12" sqref="E12"/>
    </sheetView>
  </sheetViews>
  <sheetFormatPr defaultRowHeight="12.75" x14ac:dyDescent="0.2"/>
  <cols>
    <col min="1" max="1" width="13.140625" bestFit="1" customWidth="1"/>
    <col min="2" max="2" width="17.28515625" bestFit="1" customWidth="1"/>
    <col min="3" max="5" width="5" bestFit="1" customWidth="1"/>
    <col min="6" max="6" width="4" bestFit="1" customWidth="1"/>
    <col min="7" max="7" width="7.140625" bestFit="1" customWidth="1"/>
    <col min="8" max="8" width="20.42578125" bestFit="1" customWidth="1"/>
    <col min="9" max="9" width="9.28515625" bestFit="1" customWidth="1"/>
    <col min="10" max="13" width="2.85546875" bestFit="1" customWidth="1"/>
    <col min="14" max="14" width="12.28515625" bestFit="1" customWidth="1"/>
    <col min="15" max="15" width="31.28515625" bestFit="1" customWidth="1"/>
    <col min="16" max="18" width="5" bestFit="1" customWidth="1"/>
    <col min="19" max="19" width="4" bestFit="1" customWidth="1"/>
    <col min="20" max="20" width="7.140625" bestFit="1" customWidth="1"/>
    <col min="21" max="21" width="34.42578125" bestFit="1" customWidth="1"/>
    <col min="22" max="22" width="11.28515625" bestFit="1" customWidth="1"/>
    <col min="23" max="24" width="2.85546875" bestFit="1" customWidth="1"/>
    <col min="25" max="25" width="7.140625" bestFit="1" customWidth="1"/>
    <col min="26" max="26" width="13.5703125" bestFit="1" customWidth="1"/>
    <col min="27" max="27" width="20.42578125" bestFit="1" customWidth="1"/>
    <col min="28" max="28" width="12.28515625" bestFit="1" customWidth="1"/>
    <col min="29" max="32" width="2.85546875" bestFit="1" customWidth="1"/>
    <col min="33" max="33" width="15.42578125" bestFit="1" customWidth="1"/>
    <col min="34" max="34" width="18.5703125" bestFit="1" customWidth="1"/>
    <col min="35" max="38" width="1.85546875" bestFit="1" customWidth="1"/>
    <col min="39" max="39" width="21.7109375" bestFit="1" customWidth="1"/>
    <col min="40" max="40" width="16.140625" bestFit="1" customWidth="1"/>
    <col min="41" max="44" width="1.85546875" bestFit="1" customWidth="1"/>
    <col min="45" max="45" width="19.140625" bestFit="1" customWidth="1"/>
    <col min="46" max="46" width="10.42578125" bestFit="1" customWidth="1"/>
    <col min="47" max="50" width="1.85546875" bestFit="1" customWidth="1"/>
    <col min="51" max="51" width="13.5703125" bestFit="1" customWidth="1"/>
    <col min="52" max="52" width="12.28515625" bestFit="1" customWidth="1"/>
    <col min="53" max="53" width="31.28515625" bestFit="1" customWidth="1"/>
    <col min="54" max="55" width="5" bestFit="1" customWidth="1"/>
    <col min="56" max="57" width="4" bestFit="1" customWidth="1"/>
    <col min="58" max="58" width="15.42578125" bestFit="1" customWidth="1"/>
    <col min="59" max="59" width="18.5703125" bestFit="1" customWidth="1"/>
    <col min="60" max="60" width="4" customWidth="1"/>
    <col min="61" max="62" width="4" bestFit="1" customWidth="1"/>
    <col min="63" max="63" width="2.85546875" bestFit="1" customWidth="1"/>
    <col min="64" max="64" width="21.7109375" bestFit="1" customWidth="1"/>
    <col min="65" max="65" width="16.140625" bestFit="1" customWidth="1"/>
    <col min="66" max="66" width="2.85546875" bestFit="1" customWidth="1"/>
    <col min="67" max="68" width="4" bestFit="1" customWidth="1"/>
    <col min="69" max="69" width="2.85546875" bestFit="1" customWidth="1"/>
    <col min="70" max="70" width="19.140625" bestFit="1" customWidth="1"/>
    <col min="71" max="71" width="10.42578125" bestFit="1" customWidth="1"/>
    <col min="72" max="75" width="2.85546875" bestFit="1" customWidth="1"/>
    <col min="76" max="76" width="7.140625" bestFit="1" customWidth="1"/>
    <col min="77" max="77" width="13.5703125" bestFit="1" customWidth="1"/>
    <col min="78" max="78" width="34.42578125" bestFit="1" customWidth="1"/>
    <col min="79" max="79" width="11.28515625" bestFit="1" customWidth="1"/>
  </cols>
  <sheetData>
    <row r="1" spans="1:79" x14ac:dyDescent="0.2">
      <c r="A1" s="234" t="s">
        <v>344</v>
      </c>
      <c r="B1" s="234" t="s">
        <v>336</v>
      </c>
    </row>
    <row r="2" spans="1:79" x14ac:dyDescent="0.2">
      <c r="B2" t="s">
        <v>341</v>
      </c>
      <c r="H2" t="s">
        <v>990</v>
      </c>
      <c r="I2" t="s">
        <v>342</v>
      </c>
      <c r="N2" t="s">
        <v>991</v>
      </c>
      <c r="O2" t="s">
        <v>343</v>
      </c>
      <c r="U2" t="s">
        <v>992</v>
      </c>
      <c r="V2" t="s">
        <v>333</v>
      </c>
    </row>
    <row r="3" spans="1:79" x14ac:dyDescent="0.2">
      <c r="A3" s="234" t="s">
        <v>326</v>
      </c>
      <c r="B3">
        <v>1</v>
      </c>
      <c r="C3">
        <v>2</v>
      </c>
      <c r="D3">
        <v>3</v>
      </c>
      <c r="E3">
        <v>4</v>
      </c>
      <c r="F3">
        <v>5</v>
      </c>
      <c r="G3" t="s">
        <v>848</v>
      </c>
      <c r="I3">
        <v>1</v>
      </c>
      <c r="J3">
        <v>2</v>
      </c>
      <c r="K3">
        <v>3</v>
      </c>
      <c r="L3">
        <v>4</v>
      </c>
      <c r="M3">
        <v>5</v>
      </c>
      <c r="O3">
        <v>1</v>
      </c>
      <c r="P3">
        <v>2</v>
      </c>
      <c r="Q3">
        <v>3</v>
      </c>
      <c r="R3">
        <v>4</v>
      </c>
      <c r="S3">
        <v>5</v>
      </c>
      <c r="T3" t="s">
        <v>848</v>
      </c>
    </row>
    <row r="4" spans="1:79" x14ac:dyDescent="0.2">
      <c r="A4" s="235" t="s">
        <v>15</v>
      </c>
      <c r="B4">
        <v>357</v>
      </c>
      <c r="C4">
        <v>248</v>
      </c>
      <c r="D4">
        <v>195</v>
      </c>
      <c r="E4">
        <v>161</v>
      </c>
      <c r="F4">
        <v>96</v>
      </c>
      <c r="H4">
        <v>1057</v>
      </c>
      <c r="I4">
        <v>15</v>
      </c>
      <c r="J4">
        <v>8</v>
      </c>
      <c r="K4">
        <v>10</v>
      </c>
      <c r="L4">
        <v>8</v>
      </c>
      <c r="M4">
        <v>5</v>
      </c>
      <c r="N4">
        <v>46</v>
      </c>
      <c r="O4">
        <v>475</v>
      </c>
      <c r="P4">
        <v>316</v>
      </c>
      <c r="Q4">
        <v>237</v>
      </c>
      <c r="R4">
        <v>186</v>
      </c>
      <c r="S4">
        <v>105</v>
      </c>
      <c r="U4">
        <v>1319</v>
      </c>
      <c r="V4">
        <v>2422</v>
      </c>
    </row>
    <row r="5" spans="1:79" x14ac:dyDescent="0.2">
      <c r="A5" s="235" t="s">
        <v>17</v>
      </c>
      <c r="B5">
        <v>400</v>
      </c>
      <c r="C5">
        <v>243</v>
      </c>
      <c r="D5">
        <v>197</v>
      </c>
      <c r="E5">
        <v>147</v>
      </c>
      <c r="F5">
        <v>102</v>
      </c>
      <c r="H5">
        <v>1089</v>
      </c>
      <c r="I5">
        <v>16</v>
      </c>
      <c r="J5">
        <v>5</v>
      </c>
      <c r="K5">
        <v>4</v>
      </c>
      <c r="L5">
        <v>3</v>
      </c>
      <c r="M5">
        <v>3</v>
      </c>
      <c r="N5">
        <v>31</v>
      </c>
      <c r="O5">
        <v>501</v>
      </c>
      <c r="P5">
        <v>304</v>
      </c>
      <c r="Q5">
        <v>222</v>
      </c>
      <c r="R5">
        <v>173</v>
      </c>
      <c r="S5">
        <v>110</v>
      </c>
      <c r="U5">
        <v>1310</v>
      </c>
      <c r="V5">
        <v>2430</v>
      </c>
    </row>
    <row r="6" spans="1:79" x14ac:dyDescent="0.2">
      <c r="A6" s="235" t="s">
        <v>133</v>
      </c>
      <c r="B6">
        <v>332</v>
      </c>
      <c r="C6">
        <v>214</v>
      </c>
      <c r="D6">
        <v>166</v>
      </c>
      <c r="E6">
        <v>118</v>
      </c>
      <c r="F6">
        <v>56</v>
      </c>
      <c r="H6">
        <v>886</v>
      </c>
      <c r="I6">
        <v>12</v>
      </c>
      <c r="J6">
        <v>9</v>
      </c>
      <c r="K6">
        <v>10</v>
      </c>
      <c r="L6">
        <v>6</v>
      </c>
      <c r="M6">
        <v>3</v>
      </c>
      <c r="N6">
        <v>40</v>
      </c>
      <c r="O6">
        <v>420</v>
      </c>
      <c r="P6">
        <v>263</v>
      </c>
      <c r="Q6">
        <v>200</v>
      </c>
      <c r="R6">
        <v>141</v>
      </c>
      <c r="S6">
        <v>74</v>
      </c>
      <c r="T6">
        <v>1</v>
      </c>
      <c r="U6">
        <v>1099</v>
      </c>
      <c r="V6">
        <v>2025</v>
      </c>
    </row>
    <row r="7" spans="1:79" x14ac:dyDescent="0.2">
      <c r="A7" s="235" t="s">
        <v>144</v>
      </c>
      <c r="B7">
        <v>412</v>
      </c>
      <c r="C7">
        <v>238</v>
      </c>
      <c r="D7">
        <v>178</v>
      </c>
      <c r="E7">
        <v>119</v>
      </c>
      <c r="F7">
        <v>68</v>
      </c>
      <c r="G7">
        <v>2</v>
      </c>
      <c r="H7">
        <v>1017</v>
      </c>
      <c r="I7">
        <v>15</v>
      </c>
      <c r="J7">
        <v>9</v>
      </c>
      <c r="K7">
        <v>9</v>
      </c>
      <c r="L7">
        <v>9</v>
      </c>
      <c r="M7">
        <v>3</v>
      </c>
      <c r="N7">
        <v>45</v>
      </c>
      <c r="O7">
        <v>531</v>
      </c>
      <c r="P7">
        <v>307</v>
      </c>
      <c r="Q7">
        <v>208</v>
      </c>
      <c r="R7">
        <v>148</v>
      </c>
      <c r="S7">
        <v>78</v>
      </c>
      <c r="T7">
        <v>4</v>
      </c>
      <c r="U7">
        <v>1276</v>
      </c>
      <c r="V7">
        <v>2338</v>
      </c>
    </row>
    <row r="8" spans="1:79" x14ac:dyDescent="0.2">
      <c r="A8" s="235" t="s">
        <v>282</v>
      </c>
      <c r="B8">
        <v>370</v>
      </c>
      <c r="C8">
        <v>236</v>
      </c>
      <c r="D8">
        <v>140</v>
      </c>
      <c r="E8">
        <v>109</v>
      </c>
      <c r="F8">
        <v>81</v>
      </c>
      <c r="H8">
        <v>936</v>
      </c>
      <c r="I8">
        <v>15</v>
      </c>
      <c r="J8">
        <v>6</v>
      </c>
      <c r="K8">
        <v>8</v>
      </c>
      <c r="L8">
        <v>8</v>
      </c>
      <c r="M8">
        <v>7</v>
      </c>
      <c r="N8">
        <v>44</v>
      </c>
      <c r="O8">
        <v>530</v>
      </c>
      <c r="P8">
        <v>309</v>
      </c>
      <c r="Q8">
        <v>198</v>
      </c>
      <c r="R8">
        <v>134</v>
      </c>
      <c r="S8">
        <v>95</v>
      </c>
      <c r="U8">
        <v>1266</v>
      </c>
      <c r="V8">
        <v>2246</v>
      </c>
    </row>
    <row r="9" spans="1:79" x14ac:dyDescent="0.2">
      <c r="A9" s="235" t="s">
        <v>311</v>
      </c>
      <c r="B9">
        <v>342</v>
      </c>
      <c r="C9">
        <v>212</v>
      </c>
      <c r="D9">
        <v>141</v>
      </c>
      <c r="E9">
        <v>111</v>
      </c>
      <c r="F9">
        <v>74</v>
      </c>
      <c r="G9">
        <v>1</v>
      </c>
      <c r="H9">
        <v>881</v>
      </c>
      <c r="I9">
        <v>16</v>
      </c>
      <c r="J9">
        <v>6</v>
      </c>
      <c r="K9">
        <v>14</v>
      </c>
      <c r="L9">
        <v>5</v>
      </c>
      <c r="M9">
        <v>3</v>
      </c>
      <c r="N9">
        <v>44</v>
      </c>
      <c r="O9">
        <v>459</v>
      </c>
      <c r="P9">
        <v>255</v>
      </c>
      <c r="Q9">
        <v>170</v>
      </c>
      <c r="R9">
        <v>146</v>
      </c>
      <c r="S9">
        <v>84</v>
      </c>
      <c r="T9">
        <v>2</v>
      </c>
      <c r="U9">
        <v>1116</v>
      </c>
      <c r="V9">
        <v>2041</v>
      </c>
    </row>
    <row r="10" spans="1:79" x14ac:dyDescent="0.2">
      <c r="A10" s="235" t="s">
        <v>621</v>
      </c>
      <c r="B10">
        <v>404</v>
      </c>
      <c r="C10">
        <v>217</v>
      </c>
      <c r="D10">
        <v>164</v>
      </c>
      <c r="E10">
        <v>90</v>
      </c>
      <c r="F10">
        <v>74</v>
      </c>
      <c r="H10">
        <v>949</v>
      </c>
      <c r="I10">
        <v>14</v>
      </c>
      <c r="J10">
        <v>11</v>
      </c>
      <c r="K10">
        <v>10</v>
      </c>
      <c r="L10">
        <v>7</v>
      </c>
      <c r="M10">
        <v>2</v>
      </c>
      <c r="N10">
        <v>44</v>
      </c>
      <c r="O10">
        <v>525</v>
      </c>
      <c r="P10">
        <v>277</v>
      </c>
      <c r="Q10">
        <v>197</v>
      </c>
      <c r="R10">
        <v>114</v>
      </c>
      <c r="S10">
        <v>84</v>
      </c>
      <c r="U10">
        <v>1197</v>
      </c>
      <c r="V10">
        <v>2190</v>
      </c>
    </row>
    <row r="11" spans="1:79" x14ac:dyDescent="0.2">
      <c r="A11" s="235" t="s">
        <v>1419</v>
      </c>
      <c r="B11">
        <v>312</v>
      </c>
      <c r="C11">
        <v>182</v>
      </c>
      <c r="D11">
        <v>133</v>
      </c>
      <c r="E11">
        <v>108</v>
      </c>
      <c r="F11">
        <v>73</v>
      </c>
      <c r="H11">
        <v>808</v>
      </c>
      <c r="I11">
        <v>13</v>
      </c>
      <c r="J11">
        <v>7</v>
      </c>
      <c r="K11">
        <v>2</v>
      </c>
      <c r="L11">
        <v>4</v>
      </c>
      <c r="M11">
        <v>1</v>
      </c>
      <c r="N11">
        <v>27</v>
      </c>
      <c r="O11">
        <v>403</v>
      </c>
      <c r="P11">
        <v>245</v>
      </c>
      <c r="Q11">
        <v>171</v>
      </c>
      <c r="R11">
        <v>123</v>
      </c>
      <c r="S11">
        <v>85</v>
      </c>
      <c r="U11">
        <v>1027</v>
      </c>
      <c r="V11">
        <v>1862</v>
      </c>
    </row>
    <row r="12" spans="1:79" x14ac:dyDescent="0.2">
      <c r="A12" s="235" t="s">
        <v>1572</v>
      </c>
      <c r="B12">
        <v>303</v>
      </c>
      <c r="C12">
        <v>169</v>
      </c>
      <c r="D12">
        <v>101</v>
      </c>
      <c r="E12">
        <v>82</v>
      </c>
      <c r="F12">
        <v>38</v>
      </c>
      <c r="H12">
        <v>693</v>
      </c>
      <c r="I12">
        <v>19</v>
      </c>
      <c r="J12">
        <v>17</v>
      </c>
      <c r="K12">
        <v>11</v>
      </c>
      <c r="L12">
        <v>3</v>
      </c>
      <c r="M12">
        <v>3</v>
      </c>
      <c r="N12">
        <v>53</v>
      </c>
      <c r="O12">
        <v>472</v>
      </c>
      <c r="P12">
        <v>235</v>
      </c>
      <c r="Q12">
        <v>147</v>
      </c>
      <c r="R12">
        <v>107</v>
      </c>
      <c r="S12">
        <v>56</v>
      </c>
      <c r="U12">
        <v>1017</v>
      </c>
      <c r="V12">
        <v>1763</v>
      </c>
    </row>
    <row r="13" spans="1:79" x14ac:dyDescent="0.2">
      <c r="A13" s="235" t="s">
        <v>333</v>
      </c>
      <c r="B13">
        <v>3232</v>
      </c>
      <c r="C13">
        <v>1959</v>
      </c>
      <c r="D13">
        <v>1415</v>
      </c>
      <c r="E13">
        <v>1045</v>
      </c>
      <c r="F13">
        <v>662</v>
      </c>
      <c r="G13">
        <v>3</v>
      </c>
      <c r="H13">
        <v>8316</v>
      </c>
      <c r="I13">
        <v>135</v>
      </c>
      <c r="J13">
        <v>78</v>
      </c>
      <c r="K13">
        <v>78</v>
      </c>
      <c r="L13">
        <v>53</v>
      </c>
      <c r="M13">
        <v>30</v>
      </c>
      <c r="N13">
        <v>374</v>
      </c>
      <c r="O13">
        <v>4316</v>
      </c>
      <c r="P13">
        <v>2511</v>
      </c>
      <c r="Q13">
        <v>1750</v>
      </c>
      <c r="R13">
        <v>1272</v>
      </c>
      <c r="S13">
        <v>771</v>
      </c>
      <c r="T13">
        <v>7</v>
      </c>
      <c r="U13">
        <v>10627</v>
      </c>
      <c r="V13">
        <v>19317</v>
      </c>
    </row>
    <row r="14" spans="1:79" x14ac:dyDescent="0.2">
      <c r="A14" s="234" t="s">
        <v>344</v>
      </c>
      <c r="B14" s="234" t="s">
        <v>336</v>
      </c>
    </row>
    <row r="15" spans="1:79" x14ac:dyDescent="0.2">
      <c r="B15" t="s">
        <v>341</v>
      </c>
      <c r="AA15" t="s">
        <v>990</v>
      </c>
      <c r="AB15" t="s">
        <v>342</v>
      </c>
      <c r="AZ15" t="s">
        <v>991</v>
      </c>
      <c r="BA15" t="s">
        <v>343</v>
      </c>
      <c r="BZ15" t="s">
        <v>992</v>
      </c>
      <c r="CA15" t="s">
        <v>333</v>
      </c>
    </row>
    <row r="16" spans="1:79" x14ac:dyDescent="0.2">
      <c r="B16" t="s">
        <v>828</v>
      </c>
      <c r="G16" t="s">
        <v>856</v>
      </c>
      <c r="H16" t="s">
        <v>850</v>
      </c>
      <c r="M16" t="s">
        <v>857</v>
      </c>
      <c r="N16" t="s">
        <v>851</v>
      </c>
      <c r="S16" t="s">
        <v>858</v>
      </c>
      <c r="T16" t="s">
        <v>852</v>
      </c>
      <c r="Z16" t="s">
        <v>859</v>
      </c>
      <c r="AB16" t="s">
        <v>828</v>
      </c>
      <c r="AG16" t="s">
        <v>856</v>
      </c>
      <c r="AH16" t="s">
        <v>850</v>
      </c>
      <c r="AM16" t="s">
        <v>857</v>
      </c>
      <c r="AN16" t="s">
        <v>851</v>
      </c>
      <c r="AS16" t="s">
        <v>858</v>
      </c>
      <c r="AT16" t="s">
        <v>852</v>
      </c>
      <c r="AY16" t="s">
        <v>859</v>
      </c>
      <c r="BA16" t="s">
        <v>828</v>
      </c>
      <c r="BF16" t="s">
        <v>856</v>
      </c>
      <c r="BG16" t="s">
        <v>850</v>
      </c>
      <c r="BL16" t="s">
        <v>857</v>
      </c>
      <c r="BM16" t="s">
        <v>851</v>
      </c>
      <c r="BR16" t="s">
        <v>858</v>
      </c>
      <c r="BS16" t="s">
        <v>852</v>
      </c>
      <c r="BY16" t="s">
        <v>859</v>
      </c>
    </row>
    <row r="17" spans="1:79" x14ac:dyDescent="0.2">
      <c r="A17" s="234" t="s">
        <v>326</v>
      </c>
      <c r="B17">
        <v>1</v>
      </c>
      <c r="C17">
        <v>2</v>
      </c>
      <c r="D17">
        <v>3</v>
      </c>
      <c r="E17">
        <v>4</v>
      </c>
      <c r="F17">
        <v>5</v>
      </c>
      <c r="H17">
        <v>1</v>
      </c>
      <c r="I17">
        <v>2</v>
      </c>
      <c r="J17">
        <v>3</v>
      </c>
      <c r="K17">
        <v>4</v>
      </c>
      <c r="L17">
        <v>5</v>
      </c>
      <c r="N17">
        <v>1</v>
      </c>
      <c r="O17">
        <v>2</v>
      </c>
      <c r="P17">
        <v>3</v>
      </c>
      <c r="Q17">
        <v>4</v>
      </c>
      <c r="R17">
        <v>5</v>
      </c>
      <c r="T17">
        <v>1</v>
      </c>
      <c r="U17">
        <v>2</v>
      </c>
      <c r="V17">
        <v>3</v>
      </c>
      <c r="W17">
        <v>4</v>
      </c>
      <c r="X17">
        <v>5</v>
      </c>
      <c r="Y17" t="s">
        <v>848</v>
      </c>
      <c r="AB17">
        <v>1</v>
      </c>
      <c r="AC17">
        <v>2</v>
      </c>
      <c r="AD17">
        <v>3</v>
      </c>
      <c r="AE17">
        <v>4</v>
      </c>
      <c r="AF17">
        <v>5</v>
      </c>
      <c r="AH17">
        <v>1</v>
      </c>
      <c r="AI17">
        <v>2</v>
      </c>
      <c r="AJ17">
        <v>3</v>
      </c>
      <c r="AK17">
        <v>4</v>
      </c>
      <c r="AL17">
        <v>5</v>
      </c>
      <c r="AN17">
        <v>1</v>
      </c>
      <c r="AO17">
        <v>2</v>
      </c>
      <c r="AP17">
        <v>3</v>
      </c>
      <c r="AQ17">
        <v>4</v>
      </c>
      <c r="AR17">
        <v>5</v>
      </c>
      <c r="AT17">
        <v>1</v>
      </c>
      <c r="AU17">
        <v>2</v>
      </c>
      <c r="AV17">
        <v>3</v>
      </c>
      <c r="AW17">
        <v>4</v>
      </c>
      <c r="AX17">
        <v>5</v>
      </c>
      <c r="BA17">
        <v>1</v>
      </c>
      <c r="BB17">
        <v>2</v>
      </c>
      <c r="BC17">
        <v>3</v>
      </c>
      <c r="BD17">
        <v>4</v>
      </c>
      <c r="BE17">
        <v>5</v>
      </c>
      <c r="BG17">
        <v>1</v>
      </c>
      <c r="BH17">
        <v>2</v>
      </c>
      <c r="BI17">
        <v>3</v>
      </c>
      <c r="BJ17">
        <v>4</v>
      </c>
      <c r="BK17">
        <v>5</v>
      </c>
      <c r="BM17">
        <v>1</v>
      </c>
      <c r="BN17">
        <v>2</v>
      </c>
      <c r="BO17">
        <v>3</v>
      </c>
      <c r="BP17">
        <v>4</v>
      </c>
      <c r="BQ17">
        <v>5</v>
      </c>
      <c r="BS17">
        <v>1</v>
      </c>
      <c r="BT17">
        <v>2</v>
      </c>
      <c r="BU17">
        <v>3</v>
      </c>
      <c r="BV17">
        <v>4</v>
      </c>
      <c r="BW17">
        <v>5</v>
      </c>
      <c r="BX17" t="s">
        <v>848</v>
      </c>
    </row>
    <row r="18" spans="1:79" x14ac:dyDescent="0.2">
      <c r="A18" s="235" t="s">
        <v>15</v>
      </c>
      <c r="B18">
        <v>337</v>
      </c>
      <c r="C18">
        <v>205</v>
      </c>
      <c r="D18">
        <v>162</v>
      </c>
      <c r="E18">
        <v>131</v>
      </c>
      <c r="F18">
        <v>88</v>
      </c>
      <c r="G18">
        <v>923</v>
      </c>
      <c r="H18">
        <v>14</v>
      </c>
      <c r="I18">
        <v>26</v>
      </c>
      <c r="J18">
        <v>18</v>
      </c>
      <c r="K18">
        <v>16</v>
      </c>
      <c r="L18">
        <v>4</v>
      </c>
      <c r="M18">
        <v>78</v>
      </c>
      <c r="N18">
        <v>2</v>
      </c>
      <c r="O18">
        <v>8</v>
      </c>
      <c r="P18">
        <v>10</v>
      </c>
      <c r="Q18">
        <v>9</v>
      </c>
      <c r="R18">
        <v>3</v>
      </c>
      <c r="S18">
        <v>32</v>
      </c>
      <c r="T18">
        <v>4</v>
      </c>
      <c r="U18">
        <v>9</v>
      </c>
      <c r="V18">
        <v>5</v>
      </c>
      <c r="W18">
        <v>5</v>
      </c>
      <c r="X18">
        <v>1</v>
      </c>
      <c r="Z18">
        <v>24</v>
      </c>
      <c r="AA18">
        <v>1057</v>
      </c>
      <c r="AB18">
        <v>14</v>
      </c>
      <c r="AC18">
        <v>6</v>
      </c>
      <c r="AD18">
        <v>10</v>
      </c>
      <c r="AE18">
        <v>6</v>
      </c>
      <c r="AF18">
        <v>4</v>
      </c>
      <c r="AG18">
        <v>40</v>
      </c>
      <c r="AH18">
        <v>1</v>
      </c>
      <c r="AI18">
        <v>1</v>
      </c>
      <c r="AM18">
        <v>2</v>
      </c>
      <c r="AQ18">
        <v>2</v>
      </c>
      <c r="AS18">
        <v>2</v>
      </c>
      <c r="AU18">
        <v>1</v>
      </c>
      <c r="AX18">
        <v>1</v>
      </c>
      <c r="AY18">
        <v>2</v>
      </c>
      <c r="AZ18">
        <v>46</v>
      </c>
      <c r="BA18">
        <v>449</v>
      </c>
      <c r="BB18">
        <v>266</v>
      </c>
      <c r="BC18">
        <v>204</v>
      </c>
      <c r="BD18">
        <v>152</v>
      </c>
      <c r="BE18">
        <v>95</v>
      </c>
      <c r="BF18">
        <v>1166</v>
      </c>
      <c r="BG18">
        <v>19</v>
      </c>
      <c r="BH18">
        <v>29</v>
      </c>
      <c r="BI18">
        <v>18</v>
      </c>
      <c r="BJ18">
        <v>20</v>
      </c>
      <c r="BK18">
        <v>6</v>
      </c>
      <c r="BL18">
        <v>92</v>
      </c>
      <c r="BM18">
        <v>2</v>
      </c>
      <c r="BN18">
        <v>11</v>
      </c>
      <c r="BO18">
        <v>10</v>
      </c>
      <c r="BP18">
        <v>9</v>
      </c>
      <c r="BQ18">
        <v>3</v>
      </c>
      <c r="BR18">
        <v>35</v>
      </c>
      <c r="BS18">
        <v>5</v>
      </c>
      <c r="BT18">
        <v>10</v>
      </c>
      <c r="BU18">
        <v>5</v>
      </c>
      <c r="BV18">
        <v>5</v>
      </c>
      <c r="BW18">
        <v>1</v>
      </c>
      <c r="BY18">
        <v>26</v>
      </c>
      <c r="BZ18">
        <v>1319</v>
      </c>
      <c r="CA18">
        <v>2422</v>
      </c>
    </row>
    <row r="19" spans="1:79" x14ac:dyDescent="0.2">
      <c r="A19" s="235" t="s">
        <v>17</v>
      </c>
      <c r="B19">
        <v>383</v>
      </c>
      <c r="C19">
        <v>212</v>
      </c>
      <c r="D19">
        <v>161</v>
      </c>
      <c r="E19">
        <v>109</v>
      </c>
      <c r="F19">
        <v>77</v>
      </c>
      <c r="G19">
        <v>942</v>
      </c>
      <c r="H19">
        <v>12</v>
      </c>
      <c r="I19">
        <v>24</v>
      </c>
      <c r="J19">
        <v>15</v>
      </c>
      <c r="K19">
        <v>17</v>
      </c>
      <c r="L19">
        <v>8</v>
      </c>
      <c r="M19">
        <v>76</v>
      </c>
      <c r="N19">
        <v>2</v>
      </c>
      <c r="O19">
        <v>4</v>
      </c>
      <c r="P19">
        <v>10</v>
      </c>
      <c r="Q19">
        <v>17</v>
      </c>
      <c r="R19">
        <v>13</v>
      </c>
      <c r="S19">
        <v>46</v>
      </c>
      <c r="T19">
        <v>3</v>
      </c>
      <c r="U19">
        <v>3</v>
      </c>
      <c r="V19">
        <v>11</v>
      </c>
      <c r="W19">
        <v>4</v>
      </c>
      <c r="X19">
        <v>4</v>
      </c>
      <c r="Z19">
        <v>25</v>
      </c>
      <c r="AA19">
        <v>1089</v>
      </c>
      <c r="AB19">
        <v>16</v>
      </c>
      <c r="AC19">
        <v>5</v>
      </c>
      <c r="AD19">
        <v>3</v>
      </c>
      <c r="AE19">
        <v>3</v>
      </c>
      <c r="AF19">
        <v>2</v>
      </c>
      <c r="AG19">
        <v>29</v>
      </c>
      <c r="AJ19">
        <v>1</v>
      </c>
      <c r="AM19">
        <v>1</v>
      </c>
      <c r="AR19">
        <v>1</v>
      </c>
      <c r="AS19">
        <v>1</v>
      </c>
      <c r="AZ19">
        <v>31</v>
      </c>
      <c r="BA19">
        <v>473</v>
      </c>
      <c r="BB19">
        <v>269</v>
      </c>
      <c r="BC19">
        <v>182</v>
      </c>
      <c r="BD19">
        <v>133</v>
      </c>
      <c r="BE19">
        <v>83</v>
      </c>
      <c r="BF19">
        <v>1140</v>
      </c>
      <c r="BG19">
        <v>18</v>
      </c>
      <c r="BH19">
        <v>24</v>
      </c>
      <c r="BI19">
        <v>17</v>
      </c>
      <c r="BJ19">
        <v>17</v>
      </c>
      <c r="BK19">
        <v>10</v>
      </c>
      <c r="BL19">
        <v>86</v>
      </c>
      <c r="BM19">
        <v>2</v>
      </c>
      <c r="BN19">
        <v>7</v>
      </c>
      <c r="BO19">
        <v>11</v>
      </c>
      <c r="BP19">
        <v>17</v>
      </c>
      <c r="BQ19">
        <v>13</v>
      </c>
      <c r="BR19">
        <v>50</v>
      </c>
      <c r="BS19">
        <v>8</v>
      </c>
      <c r="BT19">
        <v>4</v>
      </c>
      <c r="BU19">
        <v>12</v>
      </c>
      <c r="BV19">
        <v>6</v>
      </c>
      <c r="BW19">
        <v>4</v>
      </c>
      <c r="BY19">
        <v>34</v>
      </c>
      <c r="BZ19">
        <v>1310</v>
      </c>
      <c r="CA19">
        <v>2430</v>
      </c>
    </row>
    <row r="20" spans="1:79" x14ac:dyDescent="0.2">
      <c r="A20" s="235" t="s">
        <v>133</v>
      </c>
      <c r="B20">
        <v>311</v>
      </c>
      <c r="C20">
        <v>186</v>
      </c>
      <c r="D20">
        <v>139</v>
      </c>
      <c r="E20">
        <v>82</v>
      </c>
      <c r="F20">
        <v>44</v>
      </c>
      <c r="G20">
        <v>762</v>
      </c>
      <c r="H20">
        <v>12</v>
      </c>
      <c r="I20">
        <v>20</v>
      </c>
      <c r="J20">
        <v>18</v>
      </c>
      <c r="K20">
        <v>19</v>
      </c>
      <c r="L20">
        <v>9</v>
      </c>
      <c r="M20">
        <v>78</v>
      </c>
      <c r="N20">
        <v>5</v>
      </c>
      <c r="O20">
        <v>5</v>
      </c>
      <c r="P20">
        <v>7</v>
      </c>
      <c r="Q20">
        <v>12</v>
      </c>
      <c r="R20">
        <v>1</v>
      </c>
      <c r="S20">
        <v>30</v>
      </c>
      <c r="T20">
        <v>4</v>
      </c>
      <c r="U20">
        <v>3</v>
      </c>
      <c r="V20">
        <v>2</v>
      </c>
      <c r="W20">
        <v>5</v>
      </c>
      <c r="X20">
        <v>2</v>
      </c>
      <c r="Z20">
        <v>16</v>
      </c>
      <c r="AA20">
        <v>886</v>
      </c>
      <c r="AB20">
        <v>10</v>
      </c>
      <c r="AC20">
        <v>5</v>
      </c>
      <c r="AD20">
        <v>9</v>
      </c>
      <c r="AE20">
        <v>4</v>
      </c>
      <c r="AF20">
        <v>3</v>
      </c>
      <c r="AG20">
        <v>31</v>
      </c>
      <c r="AH20">
        <v>2</v>
      </c>
      <c r="AI20">
        <v>1</v>
      </c>
      <c r="AM20">
        <v>3</v>
      </c>
      <c r="AQ20">
        <v>1</v>
      </c>
      <c r="AS20">
        <v>1</v>
      </c>
      <c r="AU20">
        <v>3</v>
      </c>
      <c r="AV20">
        <v>1</v>
      </c>
      <c r="AW20">
        <v>1</v>
      </c>
      <c r="AY20">
        <v>5</v>
      </c>
      <c r="AZ20">
        <v>40</v>
      </c>
      <c r="BA20">
        <v>390</v>
      </c>
      <c r="BB20">
        <v>231</v>
      </c>
      <c r="BC20">
        <v>167</v>
      </c>
      <c r="BD20">
        <v>100</v>
      </c>
      <c r="BE20">
        <v>59</v>
      </c>
      <c r="BF20">
        <v>947</v>
      </c>
      <c r="BG20">
        <v>16</v>
      </c>
      <c r="BH20">
        <v>22</v>
      </c>
      <c r="BI20">
        <v>23</v>
      </c>
      <c r="BJ20">
        <v>19</v>
      </c>
      <c r="BK20">
        <v>11</v>
      </c>
      <c r="BL20">
        <v>91</v>
      </c>
      <c r="BM20">
        <v>7</v>
      </c>
      <c r="BN20">
        <v>6</v>
      </c>
      <c r="BO20">
        <v>8</v>
      </c>
      <c r="BP20">
        <v>17</v>
      </c>
      <c r="BQ20">
        <v>2</v>
      </c>
      <c r="BR20">
        <v>40</v>
      </c>
      <c r="BS20">
        <v>7</v>
      </c>
      <c r="BT20">
        <v>4</v>
      </c>
      <c r="BU20">
        <v>2</v>
      </c>
      <c r="BV20">
        <v>5</v>
      </c>
      <c r="BW20">
        <v>2</v>
      </c>
      <c r="BX20">
        <v>1</v>
      </c>
      <c r="BY20">
        <v>21</v>
      </c>
      <c r="BZ20">
        <v>1099</v>
      </c>
      <c r="CA20">
        <v>2025</v>
      </c>
    </row>
    <row r="21" spans="1:79" x14ac:dyDescent="0.2">
      <c r="A21" s="235" t="s">
        <v>144</v>
      </c>
      <c r="B21">
        <v>381</v>
      </c>
      <c r="C21">
        <v>202</v>
      </c>
      <c r="D21">
        <v>121</v>
      </c>
      <c r="E21">
        <v>75</v>
      </c>
      <c r="F21">
        <v>50</v>
      </c>
      <c r="G21">
        <v>829</v>
      </c>
      <c r="H21">
        <v>27</v>
      </c>
      <c r="I21">
        <v>20</v>
      </c>
      <c r="J21">
        <v>27</v>
      </c>
      <c r="K21">
        <v>17</v>
      </c>
      <c r="L21">
        <v>12</v>
      </c>
      <c r="M21">
        <v>103</v>
      </c>
      <c r="N21">
        <v>3</v>
      </c>
      <c r="O21">
        <v>5</v>
      </c>
      <c r="P21">
        <v>25</v>
      </c>
      <c r="Q21">
        <v>21</v>
      </c>
      <c r="R21">
        <v>2</v>
      </c>
      <c r="S21">
        <v>56</v>
      </c>
      <c r="T21">
        <v>1</v>
      </c>
      <c r="U21">
        <v>11</v>
      </c>
      <c r="V21">
        <v>5</v>
      </c>
      <c r="W21">
        <v>6</v>
      </c>
      <c r="X21">
        <v>4</v>
      </c>
      <c r="Y21">
        <v>2</v>
      </c>
      <c r="Z21">
        <v>29</v>
      </c>
      <c r="AA21">
        <v>1017</v>
      </c>
      <c r="AB21">
        <v>15</v>
      </c>
      <c r="AC21">
        <v>9</v>
      </c>
      <c r="AD21">
        <v>6</v>
      </c>
      <c r="AE21">
        <v>7</v>
      </c>
      <c r="AF21">
        <v>2</v>
      </c>
      <c r="AG21">
        <v>39</v>
      </c>
      <c r="AK21">
        <v>2</v>
      </c>
      <c r="AL21">
        <v>1</v>
      </c>
      <c r="AM21">
        <v>3</v>
      </c>
      <c r="AP21">
        <v>3</v>
      </c>
      <c r="AS21">
        <v>3</v>
      </c>
      <c r="AZ21">
        <v>45</v>
      </c>
      <c r="BA21">
        <v>497</v>
      </c>
      <c r="BB21">
        <v>263</v>
      </c>
      <c r="BC21">
        <v>148</v>
      </c>
      <c r="BD21">
        <v>98</v>
      </c>
      <c r="BE21">
        <v>57</v>
      </c>
      <c r="BF21">
        <v>1063</v>
      </c>
      <c r="BG21">
        <v>29</v>
      </c>
      <c r="BH21">
        <v>26</v>
      </c>
      <c r="BI21">
        <v>29</v>
      </c>
      <c r="BJ21">
        <v>20</v>
      </c>
      <c r="BK21">
        <v>13</v>
      </c>
      <c r="BL21">
        <v>117</v>
      </c>
      <c r="BM21">
        <v>4</v>
      </c>
      <c r="BN21">
        <v>5</v>
      </c>
      <c r="BO21">
        <v>26</v>
      </c>
      <c r="BP21">
        <v>22</v>
      </c>
      <c r="BQ21">
        <v>4</v>
      </c>
      <c r="BR21">
        <v>61</v>
      </c>
      <c r="BS21">
        <v>1</v>
      </c>
      <c r="BT21">
        <v>13</v>
      </c>
      <c r="BU21">
        <v>5</v>
      </c>
      <c r="BV21">
        <v>8</v>
      </c>
      <c r="BW21">
        <v>4</v>
      </c>
      <c r="BX21">
        <v>4</v>
      </c>
      <c r="BY21">
        <v>35</v>
      </c>
      <c r="BZ21">
        <v>1276</v>
      </c>
      <c r="CA21">
        <v>2338</v>
      </c>
    </row>
    <row r="22" spans="1:79" x14ac:dyDescent="0.2">
      <c r="A22" s="235" t="s">
        <v>282</v>
      </c>
      <c r="B22">
        <v>348</v>
      </c>
      <c r="C22">
        <v>204</v>
      </c>
      <c r="D22">
        <v>112</v>
      </c>
      <c r="E22">
        <v>81</v>
      </c>
      <c r="F22">
        <v>69</v>
      </c>
      <c r="G22">
        <v>814</v>
      </c>
      <c r="H22">
        <v>13</v>
      </c>
      <c r="I22">
        <v>17</v>
      </c>
      <c r="J22">
        <v>12</v>
      </c>
      <c r="K22">
        <v>9</v>
      </c>
      <c r="L22">
        <v>5</v>
      </c>
      <c r="M22">
        <v>56</v>
      </c>
      <c r="N22">
        <v>4</v>
      </c>
      <c r="O22">
        <v>8</v>
      </c>
      <c r="P22">
        <v>8</v>
      </c>
      <c r="Q22">
        <v>15</v>
      </c>
      <c r="R22">
        <v>5</v>
      </c>
      <c r="S22">
        <v>40</v>
      </c>
      <c r="T22">
        <v>5</v>
      </c>
      <c r="U22">
        <v>7</v>
      </c>
      <c r="V22">
        <v>8</v>
      </c>
      <c r="W22">
        <v>4</v>
      </c>
      <c r="X22">
        <v>2</v>
      </c>
      <c r="Z22">
        <v>26</v>
      </c>
      <c r="AA22">
        <v>936</v>
      </c>
      <c r="AB22">
        <v>13</v>
      </c>
      <c r="AC22">
        <v>5</v>
      </c>
      <c r="AD22">
        <v>7</v>
      </c>
      <c r="AE22">
        <v>4</v>
      </c>
      <c r="AF22">
        <v>7</v>
      </c>
      <c r="AG22">
        <v>36</v>
      </c>
      <c r="AH22">
        <v>2</v>
      </c>
      <c r="AK22">
        <v>1</v>
      </c>
      <c r="AM22">
        <v>3</v>
      </c>
      <c r="AO22">
        <v>1</v>
      </c>
      <c r="AP22">
        <v>1</v>
      </c>
      <c r="AQ22">
        <v>3</v>
      </c>
      <c r="AS22">
        <v>5</v>
      </c>
      <c r="AZ22">
        <v>44</v>
      </c>
      <c r="BA22">
        <v>501</v>
      </c>
      <c r="BB22">
        <v>273</v>
      </c>
      <c r="BC22">
        <v>162</v>
      </c>
      <c r="BD22">
        <v>100</v>
      </c>
      <c r="BE22">
        <v>79</v>
      </c>
      <c r="BF22">
        <v>1115</v>
      </c>
      <c r="BG22">
        <v>17</v>
      </c>
      <c r="BH22">
        <v>19</v>
      </c>
      <c r="BI22">
        <v>15</v>
      </c>
      <c r="BJ22">
        <v>13</v>
      </c>
      <c r="BK22">
        <v>8</v>
      </c>
      <c r="BL22">
        <v>72</v>
      </c>
      <c r="BM22">
        <v>5</v>
      </c>
      <c r="BN22">
        <v>9</v>
      </c>
      <c r="BO22">
        <v>11</v>
      </c>
      <c r="BP22">
        <v>17</v>
      </c>
      <c r="BQ22">
        <v>6</v>
      </c>
      <c r="BR22">
        <v>48</v>
      </c>
      <c r="BS22">
        <v>7</v>
      </c>
      <c r="BT22">
        <v>8</v>
      </c>
      <c r="BU22">
        <v>10</v>
      </c>
      <c r="BV22">
        <v>4</v>
      </c>
      <c r="BW22">
        <v>2</v>
      </c>
      <c r="BY22">
        <v>31</v>
      </c>
      <c r="BZ22">
        <v>1266</v>
      </c>
      <c r="CA22">
        <v>2246</v>
      </c>
    </row>
    <row r="23" spans="1:79" x14ac:dyDescent="0.2">
      <c r="A23" s="235" t="s">
        <v>311</v>
      </c>
      <c r="B23">
        <v>314</v>
      </c>
      <c r="C23">
        <v>181</v>
      </c>
      <c r="D23">
        <v>109</v>
      </c>
      <c r="E23">
        <v>75</v>
      </c>
      <c r="F23">
        <v>58</v>
      </c>
      <c r="G23">
        <v>737</v>
      </c>
      <c r="H23">
        <v>18</v>
      </c>
      <c r="I23">
        <v>22</v>
      </c>
      <c r="J23">
        <v>15</v>
      </c>
      <c r="K23">
        <v>23</v>
      </c>
      <c r="L23">
        <v>12</v>
      </c>
      <c r="M23">
        <v>90</v>
      </c>
      <c r="N23">
        <v>6</v>
      </c>
      <c r="O23">
        <v>3</v>
      </c>
      <c r="P23">
        <v>13</v>
      </c>
      <c r="Q23">
        <v>10</v>
      </c>
      <c r="R23">
        <v>3</v>
      </c>
      <c r="S23">
        <v>35</v>
      </c>
      <c r="T23">
        <v>4</v>
      </c>
      <c r="U23">
        <v>6</v>
      </c>
      <c r="V23">
        <v>4</v>
      </c>
      <c r="W23">
        <v>3</v>
      </c>
      <c r="X23">
        <v>1</v>
      </c>
      <c r="Y23">
        <v>1</v>
      </c>
      <c r="Z23">
        <v>19</v>
      </c>
      <c r="AA23">
        <v>881</v>
      </c>
      <c r="AB23">
        <v>14</v>
      </c>
      <c r="AC23">
        <v>5</v>
      </c>
      <c r="AD23">
        <v>10</v>
      </c>
      <c r="AE23">
        <v>5</v>
      </c>
      <c r="AF23">
        <v>3</v>
      </c>
      <c r="AG23">
        <v>37</v>
      </c>
      <c r="AH23">
        <v>2</v>
      </c>
      <c r="AI23">
        <v>1</v>
      </c>
      <c r="AM23">
        <v>3</v>
      </c>
      <c r="AP23">
        <v>3</v>
      </c>
      <c r="AS23">
        <v>3</v>
      </c>
      <c r="AV23">
        <v>1</v>
      </c>
      <c r="AY23">
        <v>1</v>
      </c>
      <c r="AZ23">
        <v>44</v>
      </c>
      <c r="BA23">
        <v>410</v>
      </c>
      <c r="BB23">
        <v>217</v>
      </c>
      <c r="BC23">
        <v>128</v>
      </c>
      <c r="BD23">
        <v>100</v>
      </c>
      <c r="BE23">
        <v>66</v>
      </c>
      <c r="BF23">
        <v>921</v>
      </c>
      <c r="BG23">
        <v>31</v>
      </c>
      <c r="BH23">
        <v>27</v>
      </c>
      <c r="BI23">
        <v>19</v>
      </c>
      <c r="BJ23">
        <v>28</v>
      </c>
      <c r="BK23">
        <v>14</v>
      </c>
      <c r="BL23">
        <v>119</v>
      </c>
      <c r="BM23">
        <v>14</v>
      </c>
      <c r="BN23">
        <v>4</v>
      </c>
      <c r="BO23">
        <v>19</v>
      </c>
      <c r="BP23">
        <v>11</v>
      </c>
      <c r="BQ23">
        <v>3</v>
      </c>
      <c r="BR23">
        <v>51</v>
      </c>
      <c r="BS23">
        <v>4</v>
      </c>
      <c r="BT23">
        <v>7</v>
      </c>
      <c r="BU23">
        <v>4</v>
      </c>
      <c r="BV23">
        <v>7</v>
      </c>
      <c r="BW23">
        <v>1</v>
      </c>
      <c r="BX23">
        <v>2</v>
      </c>
      <c r="BY23">
        <v>25</v>
      </c>
      <c r="BZ23">
        <v>1116</v>
      </c>
      <c r="CA23">
        <v>2041</v>
      </c>
    </row>
    <row r="24" spans="1:79" x14ac:dyDescent="0.2">
      <c r="A24" s="235" t="s">
        <v>621</v>
      </c>
      <c r="B24">
        <v>374</v>
      </c>
      <c r="C24">
        <v>182</v>
      </c>
      <c r="D24">
        <v>120</v>
      </c>
      <c r="E24">
        <v>60</v>
      </c>
      <c r="F24">
        <v>57</v>
      </c>
      <c r="G24">
        <v>793</v>
      </c>
      <c r="H24">
        <v>19</v>
      </c>
      <c r="I24">
        <v>18</v>
      </c>
      <c r="J24">
        <v>28</v>
      </c>
      <c r="K24">
        <v>15</v>
      </c>
      <c r="L24">
        <v>10</v>
      </c>
      <c r="M24">
        <v>90</v>
      </c>
      <c r="N24">
        <v>1</v>
      </c>
      <c r="O24">
        <v>10</v>
      </c>
      <c r="P24">
        <v>6</v>
      </c>
      <c r="Q24">
        <v>9</v>
      </c>
      <c r="R24">
        <v>5</v>
      </c>
      <c r="S24">
        <v>31</v>
      </c>
      <c r="T24">
        <v>10</v>
      </c>
      <c r="U24">
        <v>7</v>
      </c>
      <c r="V24">
        <v>10</v>
      </c>
      <c r="W24">
        <v>6</v>
      </c>
      <c r="X24">
        <v>2</v>
      </c>
      <c r="Z24">
        <v>35</v>
      </c>
      <c r="AA24">
        <v>949</v>
      </c>
      <c r="AB24">
        <v>13</v>
      </c>
      <c r="AC24">
        <v>9</v>
      </c>
      <c r="AD24">
        <v>10</v>
      </c>
      <c r="AE24">
        <v>6</v>
      </c>
      <c r="AF24">
        <v>2</v>
      </c>
      <c r="AG24">
        <v>40</v>
      </c>
      <c r="AI24">
        <v>1</v>
      </c>
      <c r="AM24">
        <v>1</v>
      </c>
      <c r="AQ24">
        <v>1</v>
      </c>
      <c r="AS24">
        <v>1</v>
      </c>
      <c r="AT24">
        <v>1</v>
      </c>
      <c r="AU24">
        <v>1</v>
      </c>
      <c r="AY24">
        <v>2</v>
      </c>
      <c r="AZ24">
        <v>44</v>
      </c>
      <c r="BA24">
        <v>491</v>
      </c>
      <c r="BB24">
        <v>236</v>
      </c>
      <c r="BC24">
        <v>148</v>
      </c>
      <c r="BD24">
        <v>76</v>
      </c>
      <c r="BE24">
        <v>65</v>
      </c>
      <c r="BF24">
        <v>1016</v>
      </c>
      <c r="BG24">
        <v>20</v>
      </c>
      <c r="BH24">
        <v>23</v>
      </c>
      <c r="BI24">
        <v>33</v>
      </c>
      <c r="BJ24">
        <v>22</v>
      </c>
      <c r="BK24">
        <v>11</v>
      </c>
      <c r="BL24">
        <v>109</v>
      </c>
      <c r="BM24">
        <v>2</v>
      </c>
      <c r="BN24">
        <v>11</v>
      </c>
      <c r="BO24">
        <v>6</v>
      </c>
      <c r="BP24">
        <v>10</v>
      </c>
      <c r="BQ24">
        <v>5</v>
      </c>
      <c r="BR24">
        <v>34</v>
      </c>
      <c r="BS24">
        <v>12</v>
      </c>
      <c r="BT24">
        <v>7</v>
      </c>
      <c r="BU24">
        <v>10</v>
      </c>
      <c r="BV24">
        <v>6</v>
      </c>
      <c r="BW24">
        <v>3</v>
      </c>
      <c r="BY24">
        <v>38</v>
      </c>
      <c r="BZ24">
        <v>1197</v>
      </c>
      <c r="CA24">
        <v>2190</v>
      </c>
    </row>
    <row r="25" spans="1:79" x14ac:dyDescent="0.2">
      <c r="A25" s="235" t="s">
        <v>1419</v>
      </c>
      <c r="B25">
        <v>288</v>
      </c>
      <c r="C25">
        <v>148</v>
      </c>
      <c r="D25">
        <v>98</v>
      </c>
      <c r="E25">
        <v>75</v>
      </c>
      <c r="F25">
        <v>62</v>
      </c>
      <c r="G25">
        <v>671</v>
      </c>
      <c r="H25">
        <v>16</v>
      </c>
      <c r="I25">
        <v>18</v>
      </c>
      <c r="J25">
        <v>24</v>
      </c>
      <c r="K25">
        <v>21</v>
      </c>
      <c r="L25">
        <v>6</v>
      </c>
      <c r="M25">
        <v>85</v>
      </c>
      <c r="N25">
        <v>2</v>
      </c>
      <c r="O25">
        <v>6</v>
      </c>
      <c r="P25">
        <v>6</v>
      </c>
      <c r="Q25">
        <v>7</v>
      </c>
      <c r="R25">
        <v>4</v>
      </c>
      <c r="S25">
        <v>25</v>
      </c>
      <c r="T25">
        <v>6</v>
      </c>
      <c r="U25">
        <v>10</v>
      </c>
      <c r="V25">
        <v>5</v>
      </c>
      <c r="W25">
        <v>5</v>
      </c>
      <c r="X25">
        <v>1</v>
      </c>
      <c r="Z25">
        <v>27</v>
      </c>
      <c r="AA25">
        <v>808</v>
      </c>
      <c r="AB25">
        <v>11</v>
      </c>
      <c r="AC25">
        <v>5</v>
      </c>
      <c r="AD25">
        <v>2</v>
      </c>
      <c r="AE25">
        <v>3</v>
      </c>
      <c r="AG25">
        <v>21</v>
      </c>
      <c r="AH25">
        <v>1</v>
      </c>
      <c r="AI25">
        <v>1</v>
      </c>
      <c r="AK25">
        <v>1</v>
      </c>
      <c r="AM25">
        <v>3</v>
      </c>
      <c r="AN25">
        <v>1</v>
      </c>
      <c r="AO25">
        <v>1</v>
      </c>
      <c r="AR25">
        <v>1</v>
      </c>
      <c r="AS25">
        <v>3</v>
      </c>
      <c r="AZ25">
        <v>27</v>
      </c>
      <c r="BA25">
        <v>377</v>
      </c>
      <c r="BB25">
        <v>209</v>
      </c>
      <c r="BC25">
        <v>131</v>
      </c>
      <c r="BD25">
        <v>88</v>
      </c>
      <c r="BE25">
        <v>72</v>
      </c>
      <c r="BF25">
        <v>877</v>
      </c>
      <c r="BG25">
        <v>17</v>
      </c>
      <c r="BH25">
        <v>19</v>
      </c>
      <c r="BI25">
        <v>27</v>
      </c>
      <c r="BJ25">
        <v>22</v>
      </c>
      <c r="BK25">
        <v>6</v>
      </c>
      <c r="BL25">
        <v>91</v>
      </c>
      <c r="BM25">
        <v>2</v>
      </c>
      <c r="BN25">
        <v>6</v>
      </c>
      <c r="BO25">
        <v>7</v>
      </c>
      <c r="BP25">
        <v>8</v>
      </c>
      <c r="BQ25">
        <v>6</v>
      </c>
      <c r="BR25">
        <v>29</v>
      </c>
      <c r="BS25">
        <v>7</v>
      </c>
      <c r="BT25">
        <v>11</v>
      </c>
      <c r="BU25">
        <v>6</v>
      </c>
      <c r="BV25">
        <v>5</v>
      </c>
      <c r="BW25">
        <v>1</v>
      </c>
      <c r="BY25">
        <v>30</v>
      </c>
      <c r="BZ25">
        <v>1027</v>
      </c>
      <c r="CA25">
        <v>1862</v>
      </c>
    </row>
    <row r="26" spans="1:79" x14ac:dyDescent="0.2">
      <c r="A26" s="235" t="s">
        <v>1572</v>
      </c>
      <c r="B26">
        <v>288</v>
      </c>
      <c r="C26">
        <v>145</v>
      </c>
      <c r="D26">
        <v>66</v>
      </c>
      <c r="E26">
        <v>52</v>
      </c>
      <c r="F26">
        <v>33</v>
      </c>
      <c r="G26">
        <v>584</v>
      </c>
      <c r="H26">
        <v>5</v>
      </c>
      <c r="I26">
        <v>14</v>
      </c>
      <c r="J26">
        <v>17</v>
      </c>
      <c r="K26">
        <v>16</v>
      </c>
      <c r="L26">
        <v>2</v>
      </c>
      <c r="M26">
        <v>54</v>
      </c>
      <c r="N26">
        <v>2</v>
      </c>
      <c r="O26">
        <v>2</v>
      </c>
      <c r="P26">
        <v>5</v>
      </c>
      <c r="Q26">
        <v>4</v>
      </c>
      <c r="R26">
        <v>2</v>
      </c>
      <c r="S26">
        <v>15</v>
      </c>
      <c r="T26">
        <v>8</v>
      </c>
      <c r="U26">
        <v>8</v>
      </c>
      <c r="V26">
        <v>13</v>
      </c>
      <c r="W26">
        <v>10</v>
      </c>
      <c r="X26">
        <v>1</v>
      </c>
      <c r="Z26">
        <v>40</v>
      </c>
      <c r="AA26">
        <v>693</v>
      </c>
      <c r="AB26">
        <v>17</v>
      </c>
      <c r="AC26">
        <v>14</v>
      </c>
      <c r="AD26">
        <v>8</v>
      </c>
      <c r="AE26">
        <v>2</v>
      </c>
      <c r="AF26">
        <v>3</v>
      </c>
      <c r="AG26">
        <v>44</v>
      </c>
      <c r="AI26">
        <v>1</v>
      </c>
      <c r="AJ26">
        <v>1</v>
      </c>
      <c r="AM26">
        <v>2</v>
      </c>
      <c r="AN26">
        <v>1</v>
      </c>
      <c r="AO26">
        <v>1</v>
      </c>
      <c r="AP26">
        <v>2</v>
      </c>
      <c r="AQ26">
        <v>1</v>
      </c>
      <c r="AS26">
        <v>5</v>
      </c>
      <c r="AT26">
        <v>1</v>
      </c>
      <c r="AU26">
        <v>1</v>
      </c>
      <c r="AY26">
        <v>2</v>
      </c>
      <c r="AZ26">
        <v>53</v>
      </c>
      <c r="BA26">
        <v>446</v>
      </c>
      <c r="BB26">
        <v>206</v>
      </c>
      <c r="BC26">
        <v>107</v>
      </c>
      <c r="BD26">
        <v>68</v>
      </c>
      <c r="BE26">
        <v>49</v>
      </c>
      <c r="BF26">
        <v>876</v>
      </c>
      <c r="BG26">
        <v>14</v>
      </c>
      <c r="BH26">
        <v>17</v>
      </c>
      <c r="BI26">
        <v>21</v>
      </c>
      <c r="BJ26">
        <v>20</v>
      </c>
      <c r="BK26">
        <v>2</v>
      </c>
      <c r="BL26">
        <v>74</v>
      </c>
      <c r="BM26">
        <v>2</v>
      </c>
      <c r="BN26">
        <v>3</v>
      </c>
      <c r="BO26">
        <v>5</v>
      </c>
      <c r="BP26">
        <v>9</v>
      </c>
      <c r="BR26">
        <v>19</v>
      </c>
      <c r="BS26">
        <v>10</v>
      </c>
      <c r="BT26">
        <v>9</v>
      </c>
      <c r="BU26">
        <v>14</v>
      </c>
      <c r="BV26">
        <v>10</v>
      </c>
      <c r="BW26">
        <v>2</v>
      </c>
      <c r="BY26">
        <v>45</v>
      </c>
      <c r="BZ26">
        <v>1014</v>
      </c>
      <c r="CA26">
        <v>1760</v>
      </c>
    </row>
    <row r="27" spans="1:79" x14ac:dyDescent="0.2">
      <c r="A27" s="235" t="s">
        <v>333</v>
      </c>
      <c r="B27">
        <v>3024</v>
      </c>
      <c r="C27">
        <v>1665</v>
      </c>
      <c r="D27">
        <v>1088</v>
      </c>
      <c r="E27">
        <v>740</v>
      </c>
      <c r="F27">
        <v>538</v>
      </c>
      <c r="G27">
        <v>7055</v>
      </c>
      <c r="H27">
        <v>136</v>
      </c>
      <c r="I27">
        <v>179</v>
      </c>
      <c r="J27">
        <v>174</v>
      </c>
      <c r="K27">
        <v>153</v>
      </c>
      <c r="L27">
        <v>68</v>
      </c>
      <c r="M27">
        <v>710</v>
      </c>
      <c r="N27">
        <v>27</v>
      </c>
      <c r="O27">
        <v>51</v>
      </c>
      <c r="P27">
        <v>90</v>
      </c>
      <c r="Q27">
        <v>104</v>
      </c>
      <c r="R27">
        <v>38</v>
      </c>
      <c r="S27">
        <v>310</v>
      </c>
      <c r="T27">
        <v>45</v>
      </c>
      <c r="U27">
        <v>64</v>
      </c>
      <c r="V27">
        <v>63</v>
      </c>
      <c r="W27">
        <v>48</v>
      </c>
      <c r="X27">
        <v>18</v>
      </c>
      <c r="Y27">
        <v>3</v>
      </c>
      <c r="Z27">
        <v>241</v>
      </c>
      <c r="AA27">
        <v>8316</v>
      </c>
      <c r="AB27">
        <v>123</v>
      </c>
      <c r="AC27">
        <v>63</v>
      </c>
      <c r="AD27">
        <v>65</v>
      </c>
      <c r="AE27">
        <v>40</v>
      </c>
      <c r="AF27">
        <v>26</v>
      </c>
      <c r="AG27">
        <v>317</v>
      </c>
      <c r="AH27">
        <v>8</v>
      </c>
      <c r="AI27">
        <v>6</v>
      </c>
      <c r="AJ27">
        <v>2</v>
      </c>
      <c r="AK27">
        <v>4</v>
      </c>
      <c r="AL27">
        <v>1</v>
      </c>
      <c r="AM27">
        <v>21</v>
      </c>
      <c r="AN27">
        <v>2</v>
      </c>
      <c r="AO27">
        <v>3</v>
      </c>
      <c r="AP27">
        <v>9</v>
      </c>
      <c r="AQ27">
        <v>8</v>
      </c>
      <c r="AR27">
        <v>2</v>
      </c>
      <c r="AS27">
        <v>24</v>
      </c>
      <c r="AT27">
        <v>2</v>
      </c>
      <c r="AU27">
        <v>6</v>
      </c>
      <c r="AV27">
        <v>2</v>
      </c>
      <c r="AW27">
        <v>1</v>
      </c>
      <c r="AX27">
        <v>1</v>
      </c>
      <c r="AY27">
        <v>12</v>
      </c>
      <c r="AZ27">
        <v>374</v>
      </c>
      <c r="BA27">
        <v>4034</v>
      </c>
      <c r="BB27">
        <v>2170</v>
      </c>
      <c r="BC27">
        <v>1377</v>
      </c>
      <c r="BD27">
        <v>915</v>
      </c>
      <c r="BE27">
        <v>625</v>
      </c>
      <c r="BF27">
        <v>9121</v>
      </c>
      <c r="BG27">
        <v>181</v>
      </c>
      <c r="BH27">
        <v>206</v>
      </c>
      <c r="BI27">
        <v>202</v>
      </c>
      <c r="BJ27">
        <v>181</v>
      </c>
      <c r="BK27">
        <v>81</v>
      </c>
      <c r="BL27">
        <v>851</v>
      </c>
      <c r="BM27">
        <v>40</v>
      </c>
      <c r="BN27">
        <v>62</v>
      </c>
      <c r="BO27">
        <v>103</v>
      </c>
      <c r="BP27">
        <v>120</v>
      </c>
      <c r="BQ27">
        <v>42</v>
      </c>
      <c r="BR27">
        <v>367</v>
      </c>
      <c r="BS27">
        <v>61</v>
      </c>
      <c r="BT27">
        <v>73</v>
      </c>
      <c r="BU27">
        <v>68</v>
      </c>
      <c r="BV27">
        <v>56</v>
      </c>
      <c r="BW27">
        <v>20</v>
      </c>
      <c r="BX27">
        <v>7</v>
      </c>
      <c r="BY27">
        <v>285</v>
      </c>
      <c r="BZ27">
        <v>10624</v>
      </c>
      <c r="CA27">
        <v>19314</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3:BN31"/>
  <sheetViews>
    <sheetView workbookViewId="0">
      <selection activeCell="B30" sqref="B30"/>
    </sheetView>
  </sheetViews>
  <sheetFormatPr defaultRowHeight="12.75" x14ac:dyDescent="0.2"/>
  <cols>
    <col min="1" max="1" width="13" bestFit="1" customWidth="1"/>
    <col min="2" max="2" width="15.85546875" bestFit="1" customWidth="1"/>
    <col min="3" max="3" width="7.85546875" bestFit="1" customWidth="1"/>
    <col min="4" max="7" width="6.85546875" bestFit="1" customWidth="1"/>
    <col min="8" max="8" width="6.7109375" bestFit="1" customWidth="1"/>
    <col min="9" max="9" width="14.5703125" bestFit="1" customWidth="1"/>
    <col min="10" max="10" width="17.5703125" bestFit="1" customWidth="1"/>
    <col min="11" max="12" width="4.85546875" bestFit="1" customWidth="1"/>
    <col min="13" max="13" width="3.85546875" bestFit="1" customWidth="1"/>
    <col min="14" max="15" width="4.85546875" bestFit="1" customWidth="1"/>
    <col min="16" max="16" width="6.7109375" bestFit="1" customWidth="1"/>
    <col min="17" max="17" width="21.140625" bestFit="1" customWidth="1"/>
    <col min="18" max="18" width="15.42578125" bestFit="1" customWidth="1"/>
    <col min="19" max="20" width="4.85546875" bestFit="1" customWidth="1"/>
    <col min="21" max="21" width="3.85546875" bestFit="1" customWidth="1"/>
    <col min="22" max="23" width="4.85546875" bestFit="1" customWidth="1"/>
    <col min="24" max="24" width="6.7109375" bestFit="1" customWidth="1"/>
    <col min="25" max="25" width="18.7109375" bestFit="1" customWidth="1"/>
    <col min="26" max="26" width="10" bestFit="1" customWidth="1"/>
    <col min="27" max="27" width="4.85546875" bestFit="1" customWidth="1"/>
    <col min="28" max="29" width="3.85546875" bestFit="1" customWidth="1"/>
    <col min="30" max="30" width="4.85546875" bestFit="1" customWidth="1"/>
    <col min="31" max="31" width="3.85546875" bestFit="1" customWidth="1"/>
    <col min="32" max="32" width="6.7109375" bestFit="1" customWidth="1"/>
    <col min="33" max="33" width="13.42578125" bestFit="1" customWidth="1"/>
    <col min="34" max="34" width="26.5703125" bestFit="1" customWidth="1"/>
    <col min="35" max="35" width="6.85546875" bestFit="1" customWidth="1"/>
    <col min="36" max="39" width="5.85546875" bestFit="1" customWidth="1"/>
    <col min="40" max="40" width="6.7109375" bestFit="1" customWidth="1"/>
    <col min="41" max="41" width="30.140625" bestFit="1" customWidth="1"/>
    <col min="42" max="42" width="22.85546875" bestFit="1" customWidth="1"/>
    <col min="43" max="43" width="5.85546875" bestFit="1" customWidth="1"/>
    <col min="44" max="47" width="4.85546875" bestFit="1" customWidth="1"/>
    <col min="48" max="48" width="6.7109375" bestFit="1" customWidth="1"/>
    <col min="49" max="49" width="26.140625" bestFit="1" customWidth="1"/>
    <col min="50" max="50" width="21.28515625" bestFit="1" customWidth="1"/>
    <col min="51" max="51" width="4.85546875" bestFit="1" customWidth="1"/>
    <col min="52" max="53" width="3.85546875" bestFit="1" customWidth="1"/>
    <col min="54" max="54" width="4.85546875" bestFit="1" customWidth="1"/>
    <col min="55" max="55" width="3.85546875" bestFit="1" customWidth="1"/>
    <col min="56" max="56" width="6.7109375" bestFit="1" customWidth="1"/>
    <col min="57" max="57" width="24.5703125" bestFit="1" customWidth="1"/>
    <col min="58" max="58" width="11.5703125" bestFit="1" customWidth="1"/>
    <col min="59" max="59" width="5.85546875" bestFit="1" customWidth="1"/>
    <col min="60" max="61" width="4.85546875" bestFit="1" customWidth="1"/>
    <col min="62" max="62" width="5.85546875" bestFit="1" customWidth="1"/>
    <col min="63" max="63" width="4.85546875" bestFit="1" customWidth="1"/>
    <col min="64" max="64" width="6.7109375" bestFit="1" customWidth="1"/>
    <col min="65" max="65" width="15" bestFit="1" customWidth="1"/>
    <col min="66" max="66" width="11.140625" bestFit="1" customWidth="1"/>
  </cols>
  <sheetData>
    <row r="3" spans="1:66" x14ac:dyDescent="0.2">
      <c r="A3" s="234" t="s">
        <v>344</v>
      </c>
      <c r="B3" s="234" t="s">
        <v>336</v>
      </c>
    </row>
    <row r="4" spans="1:66" x14ac:dyDescent="0.2">
      <c r="B4" t="s">
        <v>828</v>
      </c>
      <c r="I4" t="s">
        <v>856</v>
      </c>
      <c r="J4" t="s">
        <v>850</v>
      </c>
      <c r="Q4" t="s">
        <v>857</v>
      </c>
      <c r="R4" t="s">
        <v>851</v>
      </c>
      <c r="Y4" t="s">
        <v>858</v>
      </c>
      <c r="Z4" t="s">
        <v>852</v>
      </c>
      <c r="AG4" t="s">
        <v>859</v>
      </c>
      <c r="AH4" t="s">
        <v>853</v>
      </c>
      <c r="AO4" t="s">
        <v>860</v>
      </c>
      <c r="AP4" t="s">
        <v>854</v>
      </c>
      <c r="AW4" t="s">
        <v>861</v>
      </c>
      <c r="AX4" t="s">
        <v>855</v>
      </c>
      <c r="BE4" t="s">
        <v>862</v>
      </c>
      <c r="BF4" t="s">
        <v>308</v>
      </c>
      <c r="BM4" t="s">
        <v>849</v>
      </c>
      <c r="BN4" t="s">
        <v>333</v>
      </c>
    </row>
    <row r="5" spans="1:66" x14ac:dyDescent="0.2">
      <c r="A5" s="234" t="s">
        <v>326</v>
      </c>
      <c r="B5">
        <v>1</v>
      </c>
      <c r="C5">
        <v>2</v>
      </c>
      <c r="D5">
        <v>3</v>
      </c>
      <c r="E5">
        <v>4</v>
      </c>
      <c r="F5">
        <v>5</v>
      </c>
      <c r="G5">
        <v>6</v>
      </c>
      <c r="H5" t="s">
        <v>848</v>
      </c>
      <c r="J5">
        <v>1</v>
      </c>
      <c r="K5">
        <v>2</v>
      </c>
      <c r="L5">
        <v>3</v>
      </c>
      <c r="M5">
        <v>4</v>
      </c>
      <c r="N5">
        <v>5</v>
      </c>
      <c r="O5">
        <v>6</v>
      </c>
      <c r="P5" t="s">
        <v>848</v>
      </c>
      <c r="R5">
        <v>1</v>
      </c>
      <c r="S5">
        <v>2</v>
      </c>
      <c r="T5">
        <v>3</v>
      </c>
      <c r="U5">
        <v>4</v>
      </c>
      <c r="V5">
        <v>5</v>
      </c>
      <c r="W5">
        <v>6</v>
      </c>
      <c r="X5" t="s">
        <v>848</v>
      </c>
      <c r="Z5">
        <v>1</v>
      </c>
      <c r="AA5">
        <v>2</v>
      </c>
      <c r="AB5">
        <v>3</v>
      </c>
      <c r="AC5">
        <v>4</v>
      </c>
      <c r="AD5">
        <v>5</v>
      </c>
      <c r="AE5">
        <v>6</v>
      </c>
      <c r="AF5" t="s">
        <v>848</v>
      </c>
      <c r="AH5">
        <v>1</v>
      </c>
      <c r="AI5">
        <v>2</v>
      </c>
      <c r="AJ5">
        <v>3</v>
      </c>
      <c r="AK5">
        <v>4</v>
      </c>
      <c r="AL5">
        <v>5</v>
      </c>
      <c r="AM5">
        <v>6</v>
      </c>
      <c r="AN5" t="s">
        <v>848</v>
      </c>
      <c r="AP5">
        <v>1</v>
      </c>
      <c r="AQ5">
        <v>2</v>
      </c>
      <c r="AR5">
        <v>3</v>
      </c>
      <c r="AS5">
        <v>4</v>
      </c>
      <c r="AT5">
        <v>5</v>
      </c>
      <c r="AU5">
        <v>6</v>
      </c>
      <c r="AV5" t="s">
        <v>848</v>
      </c>
      <c r="AX5">
        <v>1</v>
      </c>
      <c r="AY5">
        <v>2</v>
      </c>
      <c r="AZ5">
        <v>3</v>
      </c>
      <c r="BA5">
        <v>4</v>
      </c>
      <c r="BB5">
        <v>5</v>
      </c>
      <c r="BC5">
        <v>6</v>
      </c>
      <c r="BD5" t="s">
        <v>848</v>
      </c>
      <c r="BF5">
        <v>1</v>
      </c>
      <c r="BG5">
        <v>2</v>
      </c>
      <c r="BH5">
        <v>3</v>
      </c>
      <c r="BI5">
        <v>4</v>
      </c>
      <c r="BJ5">
        <v>5</v>
      </c>
      <c r="BK5">
        <v>6</v>
      </c>
      <c r="BL5" t="s">
        <v>848</v>
      </c>
    </row>
    <row r="6" spans="1:66" x14ac:dyDescent="0.2">
      <c r="A6" s="235" t="s">
        <v>15</v>
      </c>
      <c r="B6">
        <v>2817</v>
      </c>
      <c r="C6">
        <v>1945</v>
      </c>
      <c r="D6">
        <v>356</v>
      </c>
      <c r="E6">
        <v>143</v>
      </c>
      <c r="F6">
        <v>373</v>
      </c>
      <c r="G6">
        <v>194</v>
      </c>
      <c r="H6">
        <v>1</v>
      </c>
      <c r="I6">
        <v>5829</v>
      </c>
      <c r="J6">
        <v>1032</v>
      </c>
      <c r="K6">
        <v>789</v>
      </c>
      <c r="L6">
        <v>126</v>
      </c>
      <c r="M6">
        <v>81</v>
      </c>
      <c r="N6">
        <v>226</v>
      </c>
      <c r="O6">
        <v>154</v>
      </c>
      <c r="Q6">
        <v>2408</v>
      </c>
      <c r="R6">
        <v>678</v>
      </c>
      <c r="S6">
        <v>634</v>
      </c>
      <c r="T6">
        <v>148</v>
      </c>
      <c r="U6">
        <v>36</v>
      </c>
      <c r="V6">
        <v>383</v>
      </c>
      <c r="W6">
        <v>151</v>
      </c>
      <c r="X6">
        <v>4</v>
      </c>
      <c r="Y6">
        <v>2034</v>
      </c>
      <c r="Z6">
        <v>267</v>
      </c>
      <c r="AA6">
        <v>251</v>
      </c>
      <c r="AB6">
        <v>47</v>
      </c>
      <c r="AC6">
        <v>22</v>
      </c>
      <c r="AD6">
        <v>130</v>
      </c>
      <c r="AE6">
        <v>93</v>
      </c>
      <c r="AF6">
        <v>5</v>
      </c>
      <c r="AG6">
        <v>815</v>
      </c>
      <c r="AH6">
        <v>16592</v>
      </c>
      <c r="AI6">
        <v>11586</v>
      </c>
      <c r="AJ6">
        <v>1759</v>
      </c>
      <c r="AK6">
        <v>1122</v>
      </c>
      <c r="AL6">
        <v>2616</v>
      </c>
      <c r="AM6">
        <v>1427</v>
      </c>
      <c r="AN6">
        <v>8</v>
      </c>
      <c r="AO6">
        <v>35110</v>
      </c>
      <c r="AP6">
        <v>4149</v>
      </c>
      <c r="AQ6">
        <v>3343</v>
      </c>
      <c r="AR6">
        <v>607</v>
      </c>
      <c r="AS6">
        <v>373</v>
      </c>
      <c r="AT6">
        <v>870</v>
      </c>
      <c r="AU6">
        <v>518</v>
      </c>
      <c r="AV6">
        <v>11</v>
      </c>
      <c r="AW6">
        <v>9871</v>
      </c>
      <c r="AX6">
        <v>1206</v>
      </c>
      <c r="AY6">
        <v>803</v>
      </c>
      <c r="AZ6">
        <v>98</v>
      </c>
      <c r="BA6">
        <v>46</v>
      </c>
      <c r="BB6">
        <v>114</v>
      </c>
      <c r="BC6">
        <v>39</v>
      </c>
      <c r="BD6">
        <v>1</v>
      </c>
      <c r="BE6">
        <v>2307</v>
      </c>
      <c r="BF6">
        <v>5784</v>
      </c>
      <c r="BG6">
        <v>5524</v>
      </c>
      <c r="BH6">
        <v>819</v>
      </c>
      <c r="BI6">
        <v>273</v>
      </c>
      <c r="BJ6">
        <v>1096</v>
      </c>
      <c r="BK6">
        <v>745</v>
      </c>
      <c r="BL6">
        <v>32</v>
      </c>
      <c r="BM6">
        <v>14273</v>
      </c>
      <c r="BN6">
        <v>72647</v>
      </c>
    </row>
    <row r="7" spans="1:66" x14ac:dyDescent="0.2">
      <c r="A7" s="235" t="s">
        <v>17</v>
      </c>
      <c r="B7">
        <v>2519</v>
      </c>
      <c r="C7">
        <v>1741</v>
      </c>
      <c r="D7">
        <v>327</v>
      </c>
      <c r="E7">
        <v>173</v>
      </c>
      <c r="F7">
        <v>360</v>
      </c>
      <c r="G7">
        <v>203</v>
      </c>
      <c r="I7">
        <v>5323</v>
      </c>
      <c r="J7">
        <v>1017</v>
      </c>
      <c r="K7">
        <v>762</v>
      </c>
      <c r="L7">
        <v>121</v>
      </c>
      <c r="M7">
        <v>87</v>
      </c>
      <c r="N7">
        <v>242</v>
      </c>
      <c r="O7">
        <v>117</v>
      </c>
      <c r="Q7">
        <v>2346</v>
      </c>
      <c r="R7">
        <v>737</v>
      </c>
      <c r="S7">
        <v>546</v>
      </c>
      <c r="T7">
        <v>112</v>
      </c>
      <c r="U7">
        <v>44</v>
      </c>
      <c r="V7">
        <v>363</v>
      </c>
      <c r="W7">
        <v>133</v>
      </c>
      <c r="X7">
        <v>3</v>
      </c>
      <c r="Y7">
        <v>1938</v>
      </c>
      <c r="Z7">
        <v>239</v>
      </c>
      <c r="AA7">
        <v>302</v>
      </c>
      <c r="AB7">
        <v>61</v>
      </c>
      <c r="AC7">
        <v>22</v>
      </c>
      <c r="AD7">
        <v>192</v>
      </c>
      <c r="AE7">
        <v>92</v>
      </c>
      <c r="AF7">
        <v>6</v>
      </c>
      <c r="AG7">
        <v>914</v>
      </c>
      <c r="AH7">
        <v>16593</v>
      </c>
      <c r="AI7">
        <v>11532</v>
      </c>
      <c r="AJ7">
        <v>1807</v>
      </c>
      <c r="AK7">
        <v>1231</v>
      </c>
      <c r="AL7">
        <v>2428</v>
      </c>
      <c r="AM7">
        <v>1620</v>
      </c>
      <c r="AN7">
        <v>2</v>
      </c>
      <c r="AO7">
        <v>35213</v>
      </c>
      <c r="AP7">
        <v>3815</v>
      </c>
      <c r="AQ7">
        <v>3377</v>
      </c>
      <c r="AR7">
        <v>564</v>
      </c>
      <c r="AS7">
        <v>310</v>
      </c>
      <c r="AT7">
        <v>987</v>
      </c>
      <c r="AU7">
        <v>559</v>
      </c>
      <c r="AV7">
        <v>5</v>
      </c>
      <c r="AW7">
        <v>9617</v>
      </c>
      <c r="AX7">
        <v>1283</v>
      </c>
      <c r="AY7">
        <v>797</v>
      </c>
      <c r="AZ7">
        <v>96</v>
      </c>
      <c r="BA7">
        <v>27</v>
      </c>
      <c r="BB7">
        <v>127</v>
      </c>
      <c r="BC7">
        <v>35</v>
      </c>
      <c r="BE7">
        <v>2365</v>
      </c>
      <c r="BF7">
        <v>6542</v>
      </c>
      <c r="BG7">
        <v>5924</v>
      </c>
      <c r="BH7">
        <v>964</v>
      </c>
      <c r="BI7">
        <v>250</v>
      </c>
      <c r="BJ7">
        <v>1841</v>
      </c>
      <c r="BK7">
        <v>803</v>
      </c>
      <c r="BL7">
        <v>37</v>
      </c>
      <c r="BM7">
        <v>16361</v>
      </c>
      <c r="BN7">
        <v>74077</v>
      </c>
    </row>
    <row r="8" spans="1:66" x14ac:dyDescent="0.2">
      <c r="A8" s="235" t="s">
        <v>133</v>
      </c>
      <c r="B8">
        <v>2580</v>
      </c>
      <c r="C8">
        <v>1919</v>
      </c>
      <c r="D8">
        <v>300</v>
      </c>
      <c r="E8">
        <v>175</v>
      </c>
      <c r="F8">
        <v>364</v>
      </c>
      <c r="G8">
        <v>235</v>
      </c>
      <c r="H8">
        <v>1</v>
      </c>
      <c r="I8">
        <v>5574</v>
      </c>
      <c r="J8">
        <v>995</v>
      </c>
      <c r="K8">
        <v>778</v>
      </c>
      <c r="L8">
        <v>104</v>
      </c>
      <c r="M8">
        <v>76</v>
      </c>
      <c r="N8">
        <v>254</v>
      </c>
      <c r="O8">
        <v>117</v>
      </c>
      <c r="Q8">
        <v>2324</v>
      </c>
      <c r="R8">
        <v>692</v>
      </c>
      <c r="S8">
        <v>564</v>
      </c>
      <c r="T8">
        <v>98</v>
      </c>
      <c r="U8">
        <v>35</v>
      </c>
      <c r="V8">
        <v>364</v>
      </c>
      <c r="W8">
        <v>143</v>
      </c>
      <c r="X8">
        <v>1</v>
      </c>
      <c r="Y8">
        <v>1897</v>
      </c>
      <c r="Z8">
        <v>226</v>
      </c>
      <c r="AA8">
        <v>285</v>
      </c>
      <c r="AB8">
        <v>54</v>
      </c>
      <c r="AC8">
        <v>16</v>
      </c>
      <c r="AD8">
        <v>159</v>
      </c>
      <c r="AE8">
        <v>95</v>
      </c>
      <c r="AF8">
        <v>3</v>
      </c>
      <c r="AG8">
        <v>838</v>
      </c>
      <c r="AH8">
        <v>17286</v>
      </c>
      <c r="AI8">
        <v>12260</v>
      </c>
      <c r="AJ8">
        <v>1949</v>
      </c>
      <c r="AK8">
        <v>1350</v>
      </c>
      <c r="AL8">
        <v>2741</v>
      </c>
      <c r="AM8">
        <v>1750</v>
      </c>
      <c r="AN8">
        <v>1</v>
      </c>
      <c r="AO8">
        <v>37337</v>
      </c>
      <c r="AP8">
        <v>3670</v>
      </c>
      <c r="AQ8">
        <v>3125</v>
      </c>
      <c r="AR8">
        <v>566</v>
      </c>
      <c r="AS8">
        <v>312</v>
      </c>
      <c r="AT8">
        <v>1005</v>
      </c>
      <c r="AU8">
        <v>575</v>
      </c>
      <c r="AV8">
        <v>3</v>
      </c>
      <c r="AW8">
        <v>9256</v>
      </c>
      <c r="AX8">
        <v>1143</v>
      </c>
      <c r="AY8">
        <v>647</v>
      </c>
      <c r="AZ8">
        <v>63</v>
      </c>
      <c r="BA8">
        <v>47</v>
      </c>
      <c r="BB8">
        <v>129</v>
      </c>
      <c r="BC8">
        <v>26</v>
      </c>
      <c r="BD8">
        <v>1</v>
      </c>
      <c r="BE8">
        <v>2056</v>
      </c>
      <c r="BF8">
        <v>5845</v>
      </c>
      <c r="BG8">
        <v>4924</v>
      </c>
      <c r="BH8">
        <v>747</v>
      </c>
      <c r="BI8">
        <v>194</v>
      </c>
      <c r="BJ8">
        <v>1253</v>
      </c>
      <c r="BK8">
        <v>426</v>
      </c>
      <c r="BL8">
        <v>17</v>
      </c>
      <c r="BM8">
        <v>13406</v>
      </c>
      <c r="BN8">
        <v>72688</v>
      </c>
    </row>
    <row r="9" spans="1:66" x14ac:dyDescent="0.2">
      <c r="A9" s="235" t="s">
        <v>144</v>
      </c>
      <c r="B9">
        <v>2641</v>
      </c>
      <c r="C9">
        <v>1930</v>
      </c>
      <c r="D9">
        <v>372</v>
      </c>
      <c r="E9">
        <v>168</v>
      </c>
      <c r="F9">
        <v>360</v>
      </c>
      <c r="G9">
        <v>202</v>
      </c>
      <c r="I9">
        <v>5673</v>
      </c>
      <c r="J9">
        <v>1067</v>
      </c>
      <c r="K9">
        <v>861</v>
      </c>
      <c r="L9">
        <v>129</v>
      </c>
      <c r="M9">
        <v>76</v>
      </c>
      <c r="N9">
        <v>224</v>
      </c>
      <c r="O9">
        <v>135</v>
      </c>
      <c r="P9">
        <v>2</v>
      </c>
      <c r="Q9">
        <v>2494</v>
      </c>
      <c r="R9">
        <v>725</v>
      </c>
      <c r="S9">
        <v>579</v>
      </c>
      <c r="T9">
        <v>108</v>
      </c>
      <c r="U9">
        <v>33</v>
      </c>
      <c r="V9">
        <v>380</v>
      </c>
      <c r="W9">
        <v>139</v>
      </c>
      <c r="X9">
        <v>1</v>
      </c>
      <c r="Y9">
        <v>1965</v>
      </c>
      <c r="Z9">
        <v>237</v>
      </c>
      <c r="AA9">
        <v>266</v>
      </c>
      <c r="AB9">
        <v>74</v>
      </c>
      <c r="AC9">
        <v>17</v>
      </c>
      <c r="AD9">
        <v>190</v>
      </c>
      <c r="AE9">
        <v>79</v>
      </c>
      <c r="AF9">
        <v>11</v>
      </c>
      <c r="AG9">
        <v>874</v>
      </c>
      <c r="AH9">
        <v>17295</v>
      </c>
      <c r="AI9">
        <v>12430</v>
      </c>
      <c r="AJ9">
        <v>2098</v>
      </c>
      <c r="AK9">
        <v>1204</v>
      </c>
      <c r="AL9">
        <v>2917</v>
      </c>
      <c r="AM9">
        <v>1666</v>
      </c>
      <c r="AN9">
        <v>11</v>
      </c>
      <c r="AO9">
        <v>37621</v>
      </c>
      <c r="AP9">
        <v>3311</v>
      </c>
      <c r="AQ9">
        <v>3042</v>
      </c>
      <c r="AR9">
        <v>621</v>
      </c>
      <c r="AS9">
        <v>334</v>
      </c>
      <c r="AT9">
        <v>969</v>
      </c>
      <c r="AU9">
        <v>563</v>
      </c>
      <c r="AV9">
        <v>10</v>
      </c>
      <c r="AW9">
        <v>8850</v>
      </c>
      <c r="AX9">
        <v>1270</v>
      </c>
      <c r="AY9">
        <v>746</v>
      </c>
      <c r="AZ9">
        <v>82</v>
      </c>
      <c r="BA9">
        <v>44</v>
      </c>
      <c r="BB9">
        <v>203</v>
      </c>
      <c r="BC9">
        <v>30</v>
      </c>
      <c r="BE9">
        <v>2375</v>
      </c>
      <c r="BF9">
        <v>6390</v>
      </c>
      <c r="BG9">
        <v>5328</v>
      </c>
      <c r="BH9">
        <v>795</v>
      </c>
      <c r="BI9">
        <v>200</v>
      </c>
      <c r="BJ9">
        <v>1471</v>
      </c>
      <c r="BK9">
        <v>522</v>
      </c>
      <c r="BL9">
        <v>26</v>
      </c>
      <c r="BM9">
        <v>14732</v>
      </c>
      <c r="BN9">
        <v>74584</v>
      </c>
    </row>
    <row r="10" spans="1:66" x14ac:dyDescent="0.2">
      <c r="A10" s="235" t="s">
        <v>282</v>
      </c>
      <c r="B10">
        <v>2543</v>
      </c>
      <c r="C10">
        <v>1894</v>
      </c>
      <c r="D10">
        <v>360</v>
      </c>
      <c r="E10">
        <v>183</v>
      </c>
      <c r="F10">
        <v>379</v>
      </c>
      <c r="G10">
        <v>181</v>
      </c>
      <c r="I10">
        <v>5540</v>
      </c>
      <c r="J10">
        <v>980</v>
      </c>
      <c r="K10">
        <v>746</v>
      </c>
      <c r="L10">
        <v>128</v>
      </c>
      <c r="M10">
        <v>75</v>
      </c>
      <c r="N10">
        <v>233</v>
      </c>
      <c r="O10">
        <v>115</v>
      </c>
      <c r="Q10">
        <v>2277</v>
      </c>
      <c r="R10">
        <v>795</v>
      </c>
      <c r="S10">
        <v>604</v>
      </c>
      <c r="T10">
        <v>132</v>
      </c>
      <c r="U10">
        <v>29</v>
      </c>
      <c r="V10">
        <v>414</v>
      </c>
      <c r="W10">
        <v>145</v>
      </c>
      <c r="X10">
        <v>1</v>
      </c>
      <c r="Y10">
        <v>2120</v>
      </c>
      <c r="Z10">
        <v>265</v>
      </c>
      <c r="AA10">
        <v>341</v>
      </c>
      <c r="AB10">
        <v>72</v>
      </c>
      <c r="AC10">
        <v>17</v>
      </c>
      <c r="AD10">
        <v>190</v>
      </c>
      <c r="AE10">
        <v>67</v>
      </c>
      <c r="AF10">
        <v>5</v>
      </c>
      <c r="AG10">
        <v>957</v>
      </c>
      <c r="AH10">
        <v>17900</v>
      </c>
      <c r="AI10">
        <v>13514</v>
      </c>
      <c r="AJ10">
        <v>2250</v>
      </c>
      <c r="AK10">
        <v>1225</v>
      </c>
      <c r="AL10">
        <v>3021</v>
      </c>
      <c r="AM10">
        <v>1707</v>
      </c>
      <c r="AN10">
        <v>13</v>
      </c>
      <c r="AO10">
        <v>39630</v>
      </c>
      <c r="AP10">
        <v>3269</v>
      </c>
      <c r="AQ10">
        <v>3176</v>
      </c>
      <c r="AR10">
        <v>675</v>
      </c>
      <c r="AS10">
        <v>327</v>
      </c>
      <c r="AT10">
        <v>947</v>
      </c>
      <c r="AU10">
        <v>550</v>
      </c>
      <c r="AV10">
        <v>13</v>
      </c>
      <c r="AW10">
        <v>8957</v>
      </c>
      <c r="AX10">
        <v>1275</v>
      </c>
      <c r="AY10">
        <v>720</v>
      </c>
      <c r="AZ10">
        <v>100</v>
      </c>
      <c r="BA10">
        <v>55</v>
      </c>
      <c r="BB10">
        <v>97</v>
      </c>
      <c r="BC10">
        <v>33</v>
      </c>
      <c r="BD10">
        <v>1</v>
      </c>
      <c r="BE10">
        <v>2281</v>
      </c>
      <c r="BF10">
        <v>6696</v>
      </c>
      <c r="BG10">
        <v>5731</v>
      </c>
      <c r="BH10">
        <v>916</v>
      </c>
      <c r="BI10">
        <v>175</v>
      </c>
      <c r="BJ10">
        <v>1517</v>
      </c>
      <c r="BK10">
        <v>594</v>
      </c>
      <c r="BL10">
        <v>31</v>
      </c>
      <c r="BM10">
        <v>15660</v>
      </c>
      <c r="BN10">
        <v>77422</v>
      </c>
    </row>
    <row r="11" spans="1:66" x14ac:dyDescent="0.2">
      <c r="A11" s="235" t="s">
        <v>311</v>
      </c>
      <c r="B11">
        <v>2415</v>
      </c>
      <c r="C11">
        <v>1903</v>
      </c>
      <c r="D11">
        <v>324</v>
      </c>
      <c r="E11">
        <v>143</v>
      </c>
      <c r="F11">
        <v>326</v>
      </c>
      <c r="G11">
        <v>200</v>
      </c>
      <c r="I11">
        <v>5311</v>
      </c>
      <c r="J11">
        <v>885</v>
      </c>
      <c r="K11">
        <v>810</v>
      </c>
      <c r="L11">
        <v>145</v>
      </c>
      <c r="M11">
        <v>59</v>
      </c>
      <c r="N11">
        <v>265</v>
      </c>
      <c r="O11">
        <v>122</v>
      </c>
      <c r="P11">
        <v>1</v>
      </c>
      <c r="Q11">
        <v>2287</v>
      </c>
      <c r="R11">
        <v>726</v>
      </c>
      <c r="S11">
        <v>636</v>
      </c>
      <c r="T11">
        <v>120</v>
      </c>
      <c r="U11">
        <v>39</v>
      </c>
      <c r="V11">
        <v>368</v>
      </c>
      <c r="W11">
        <v>125</v>
      </c>
      <c r="X11">
        <v>2</v>
      </c>
      <c r="Y11">
        <v>2016</v>
      </c>
      <c r="Z11">
        <v>258</v>
      </c>
      <c r="AA11">
        <v>361</v>
      </c>
      <c r="AB11">
        <v>80</v>
      </c>
      <c r="AC11">
        <v>13</v>
      </c>
      <c r="AD11">
        <v>252</v>
      </c>
      <c r="AE11">
        <v>84</v>
      </c>
      <c r="AF11">
        <v>10</v>
      </c>
      <c r="AG11">
        <v>1058</v>
      </c>
      <c r="AH11">
        <v>18087</v>
      </c>
      <c r="AI11">
        <v>13627</v>
      </c>
      <c r="AJ11">
        <v>2417</v>
      </c>
      <c r="AK11">
        <v>1350</v>
      </c>
      <c r="AL11">
        <v>3107</v>
      </c>
      <c r="AM11">
        <v>1837</v>
      </c>
      <c r="AN11">
        <v>11</v>
      </c>
      <c r="AO11">
        <v>40436</v>
      </c>
      <c r="AP11">
        <v>3294</v>
      </c>
      <c r="AQ11">
        <v>3171</v>
      </c>
      <c r="AR11">
        <v>666</v>
      </c>
      <c r="AS11">
        <v>332</v>
      </c>
      <c r="AT11">
        <v>1067</v>
      </c>
      <c r="AU11">
        <v>571</v>
      </c>
      <c r="AV11">
        <v>10</v>
      </c>
      <c r="AW11">
        <v>9111</v>
      </c>
      <c r="AX11">
        <v>1241</v>
      </c>
      <c r="AY11">
        <v>779</v>
      </c>
      <c r="AZ11">
        <v>91</v>
      </c>
      <c r="BA11">
        <v>45</v>
      </c>
      <c r="BB11">
        <v>143</v>
      </c>
      <c r="BC11">
        <v>36</v>
      </c>
      <c r="BD11">
        <v>2</v>
      </c>
      <c r="BE11">
        <v>2337</v>
      </c>
      <c r="BF11">
        <v>6070</v>
      </c>
      <c r="BG11">
        <v>5329</v>
      </c>
      <c r="BH11">
        <v>864</v>
      </c>
      <c r="BI11">
        <v>215</v>
      </c>
      <c r="BJ11">
        <v>1601</v>
      </c>
      <c r="BK11">
        <v>616</v>
      </c>
      <c r="BL11">
        <v>33</v>
      </c>
      <c r="BM11">
        <v>14728</v>
      </c>
      <c r="BN11">
        <v>77284</v>
      </c>
    </row>
    <row r="12" spans="1:66" x14ac:dyDescent="0.2">
      <c r="A12" s="235" t="s">
        <v>621</v>
      </c>
      <c r="B12">
        <v>2315</v>
      </c>
      <c r="C12">
        <v>1775</v>
      </c>
      <c r="D12">
        <v>334</v>
      </c>
      <c r="E12">
        <v>166</v>
      </c>
      <c r="F12">
        <v>337</v>
      </c>
      <c r="G12">
        <v>218</v>
      </c>
      <c r="I12">
        <v>5145</v>
      </c>
      <c r="J12">
        <v>907</v>
      </c>
      <c r="K12">
        <v>747</v>
      </c>
      <c r="L12">
        <v>140</v>
      </c>
      <c r="M12">
        <v>66</v>
      </c>
      <c r="N12">
        <v>234</v>
      </c>
      <c r="O12">
        <v>158</v>
      </c>
      <c r="Q12">
        <v>2252</v>
      </c>
      <c r="R12">
        <v>681</v>
      </c>
      <c r="S12">
        <v>597</v>
      </c>
      <c r="T12">
        <v>114</v>
      </c>
      <c r="U12">
        <v>35</v>
      </c>
      <c r="V12">
        <v>367</v>
      </c>
      <c r="W12">
        <v>153</v>
      </c>
      <c r="X12">
        <v>5</v>
      </c>
      <c r="Y12">
        <v>1952</v>
      </c>
      <c r="Z12">
        <v>267</v>
      </c>
      <c r="AA12">
        <v>357</v>
      </c>
      <c r="AB12">
        <v>90</v>
      </c>
      <c r="AC12">
        <v>29</v>
      </c>
      <c r="AD12">
        <v>268</v>
      </c>
      <c r="AE12">
        <v>108</v>
      </c>
      <c r="AF12">
        <v>5</v>
      </c>
      <c r="AG12">
        <v>1124</v>
      </c>
      <c r="AH12">
        <v>18344</v>
      </c>
      <c r="AI12">
        <v>13470</v>
      </c>
      <c r="AJ12">
        <v>2309</v>
      </c>
      <c r="AK12">
        <v>1456</v>
      </c>
      <c r="AL12">
        <v>3203</v>
      </c>
      <c r="AM12">
        <v>1832</v>
      </c>
      <c r="AN12">
        <v>27</v>
      </c>
      <c r="AO12">
        <v>40641</v>
      </c>
      <c r="AP12">
        <v>3242</v>
      </c>
      <c r="AQ12">
        <v>3213</v>
      </c>
      <c r="AR12">
        <v>663</v>
      </c>
      <c r="AS12">
        <v>307</v>
      </c>
      <c r="AT12">
        <v>1148</v>
      </c>
      <c r="AU12">
        <v>646</v>
      </c>
      <c r="AV12">
        <v>19</v>
      </c>
      <c r="AW12">
        <v>9238</v>
      </c>
      <c r="AX12">
        <v>1110</v>
      </c>
      <c r="AY12">
        <v>797</v>
      </c>
      <c r="AZ12">
        <v>105</v>
      </c>
      <c r="BA12">
        <v>64</v>
      </c>
      <c r="BB12">
        <v>152</v>
      </c>
      <c r="BC12">
        <v>49</v>
      </c>
      <c r="BD12">
        <v>2</v>
      </c>
      <c r="BE12">
        <v>2279</v>
      </c>
      <c r="BF12">
        <v>6388</v>
      </c>
      <c r="BG12">
        <v>5500</v>
      </c>
      <c r="BH12">
        <v>882</v>
      </c>
      <c r="BI12">
        <v>255</v>
      </c>
      <c r="BJ12">
        <v>1896</v>
      </c>
      <c r="BK12">
        <v>724</v>
      </c>
      <c r="BL12">
        <v>52</v>
      </c>
      <c r="BM12">
        <v>15697</v>
      </c>
      <c r="BN12">
        <v>78328</v>
      </c>
    </row>
    <row r="13" spans="1:66" x14ac:dyDescent="0.2">
      <c r="A13" s="235" t="s">
        <v>1419</v>
      </c>
      <c r="B13">
        <v>2215</v>
      </c>
      <c r="C13">
        <v>1692</v>
      </c>
      <c r="D13">
        <v>318</v>
      </c>
      <c r="E13">
        <v>134</v>
      </c>
      <c r="F13">
        <v>342</v>
      </c>
      <c r="G13">
        <v>188</v>
      </c>
      <c r="H13">
        <v>1</v>
      </c>
      <c r="I13">
        <v>4890</v>
      </c>
      <c r="J13">
        <v>815</v>
      </c>
      <c r="K13">
        <v>664</v>
      </c>
      <c r="L13">
        <v>113</v>
      </c>
      <c r="M13">
        <v>61</v>
      </c>
      <c r="N13">
        <v>204</v>
      </c>
      <c r="O13">
        <v>122</v>
      </c>
      <c r="P13">
        <v>1</v>
      </c>
      <c r="Q13">
        <v>1980</v>
      </c>
      <c r="R13">
        <v>751</v>
      </c>
      <c r="S13">
        <v>599</v>
      </c>
      <c r="T13">
        <v>146</v>
      </c>
      <c r="U13">
        <v>37</v>
      </c>
      <c r="V13">
        <v>420</v>
      </c>
      <c r="W13">
        <v>144</v>
      </c>
      <c r="X13">
        <v>2</v>
      </c>
      <c r="Y13">
        <v>2099</v>
      </c>
      <c r="Z13">
        <v>225</v>
      </c>
      <c r="AA13">
        <v>277</v>
      </c>
      <c r="AB13">
        <v>67</v>
      </c>
      <c r="AC13">
        <v>24</v>
      </c>
      <c r="AD13">
        <v>194</v>
      </c>
      <c r="AE13">
        <v>89</v>
      </c>
      <c r="AF13">
        <v>7</v>
      </c>
      <c r="AG13">
        <v>883</v>
      </c>
      <c r="AH13">
        <v>18649</v>
      </c>
      <c r="AI13">
        <v>13991</v>
      </c>
      <c r="AJ13">
        <v>2336</v>
      </c>
      <c r="AK13">
        <v>1331</v>
      </c>
      <c r="AL13">
        <v>3322</v>
      </c>
      <c r="AM13">
        <v>1813</v>
      </c>
      <c r="AN13">
        <v>25</v>
      </c>
      <c r="AO13">
        <v>41467</v>
      </c>
      <c r="AP13">
        <v>3085</v>
      </c>
      <c r="AQ13">
        <v>3043</v>
      </c>
      <c r="AR13">
        <v>599</v>
      </c>
      <c r="AS13">
        <v>296</v>
      </c>
      <c r="AT13">
        <v>1041</v>
      </c>
      <c r="AU13">
        <v>563</v>
      </c>
      <c r="AV13">
        <v>10</v>
      </c>
      <c r="AW13">
        <v>8637</v>
      </c>
      <c r="AX13">
        <v>1086</v>
      </c>
      <c r="AY13">
        <v>754</v>
      </c>
      <c r="AZ13">
        <v>101</v>
      </c>
      <c r="BA13">
        <v>70</v>
      </c>
      <c r="BB13">
        <v>120</v>
      </c>
      <c r="BC13">
        <v>66</v>
      </c>
      <c r="BD13">
        <v>1</v>
      </c>
      <c r="BE13">
        <v>2198</v>
      </c>
      <c r="BF13">
        <v>5835</v>
      </c>
      <c r="BG13">
        <v>5179</v>
      </c>
      <c r="BH13">
        <v>795</v>
      </c>
      <c r="BI13">
        <v>230</v>
      </c>
      <c r="BJ13">
        <v>1473</v>
      </c>
      <c r="BK13">
        <v>554</v>
      </c>
      <c r="BL13">
        <v>24</v>
      </c>
      <c r="BM13">
        <v>14090</v>
      </c>
      <c r="BN13">
        <v>76244</v>
      </c>
    </row>
    <row r="14" spans="1:66" x14ac:dyDescent="0.2">
      <c r="A14" s="235" t="s">
        <v>1572</v>
      </c>
      <c r="B14">
        <v>2049</v>
      </c>
      <c r="C14">
        <v>1699</v>
      </c>
      <c r="D14">
        <v>307</v>
      </c>
      <c r="E14">
        <v>155</v>
      </c>
      <c r="F14">
        <v>260</v>
      </c>
      <c r="G14">
        <v>190</v>
      </c>
      <c r="H14">
        <v>1</v>
      </c>
      <c r="I14">
        <v>4661</v>
      </c>
      <c r="J14">
        <v>617</v>
      </c>
      <c r="K14">
        <v>584</v>
      </c>
      <c r="L14">
        <v>99</v>
      </c>
      <c r="M14">
        <v>63</v>
      </c>
      <c r="N14">
        <v>219</v>
      </c>
      <c r="O14">
        <v>135</v>
      </c>
      <c r="P14">
        <v>1</v>
      </c>
      <c r="Q14">
        <v>1718</v>
      </c>
      <c r="R14">
        <v>617</v>
      </c>
      <c r="S14">
        <v>567</v>
      </c>
      <c r="T14">
        <v>123</v>
      </c>
      <c r="U14">
        <v>27</v>
      </c>
      <c r="V14">
        <v>356</v>
      </c>
      <c r="W14">
        <v>125</v>
      </c>
      <c r="X14">
        <v>1</v>
      </c>
      <c r="Y14">
        <v>1816</v>
      </c>
      <c r="Z14">
        <v>313</v>
      </c>
      <c r="AA14">
        <v>385</v>
      </c>
      <c r="AB14">
        <v>96</v>
      </c>
      <c r="AC14">
        <v>38</v>
      </c>
      <c r="AD14">
        <v>271</v>
      </c>
      <c r="AE14">
        <v>109</v>
      </c>
      <c r="AF14">
        <v>9</v>
      </c>
      <c r="AG14">
        <v>1221</v>
      </c>
      <c r="AH14">
        <v>15389</v>
      </c>
      <c r="AI14">
        <v>12374</v>
      </c>
      <c r="AJ14">
        <v>2206</v>
      </c>
      <c r="AK14">
        <v>1227</v>
      </c>
      <c r="AL14">
        <v>3027</v>
      </c>
      <c r="AM14">
        <v>1577</v>
      </c>
      <c r="AN14">
        <v>9</v>
      </c>
      <c r="AO14">
        <v>35809</v>
      </c>
      <c r="AP14">
        <v>3304</v>
      </c>
      <c r="AQ14">
        <v>3496</v>
      </c>
      <c r="AR14">
        <v>735</v>
      </c>
      <c r="AS14">
        <v>317</v>
      </c>
      <c r="AT14">
        <v>1137</v>
      </c>
      <c r="AU14">
        <v>515</v>
      </c>
      <c r="AV14">
        <v>13</v>
      </c>
      <c r="AW14">
        <v>9517</v>
      </c>
      <c r="AX14">
        <v>703</v>
      </c>
      <c r="AY14">
        <v>555</v>
      </c>
      <c r="AZ14">
        <v>81</v>
      </c>
      <c r="BA14">
        <v>41</v>
      </c>
      <c r="BB14">
        <v>86</v>
      </c>
      <c r="BC14">
        <v>28</v>
      </c>
      <c r="BE14">
        <v>1494</v>
      </c>
      <c r="BF14">
        <v>5919</v>
      </c>
      <c r="BG14">
        <v>5565</v>
      </c>
      <c r="BH14">
        <v>944</v>
      </c>
      <c r="BI14">
        <v>224</v>
      </c>
      <c r="BJ14">
        <v>1748</v>
      </c>
      <c r="BK14">
        <v>691</v>
      </c>
      <c r="BL14">
        <v>39</v>
      </c>
      <c r="BM14">
        <v>15130</v>
      </c>
      <c r="BN14">
        <v>71366</v>
      </c>
    </row>
    <row r="15" spans="1:66" x14ac:dyDescent="0.2">
      <c r="A15" s="235" t="s">
        <v>333</v>
      </c>
      <c r="B15">
        <v>22094</v>
      </c>
      <c r="C15">
        <v>16498</v>
      </c>
      <c r="D15">
        <v>2998</v>
      </c>
      <c r="E15">
        <v>1440</v>
      </c>
      <c r="F15">
        <v>3101</v>
      </c>
      <c r="G15">
        <v>1811</v>
      </c>
      <c r="H15">
        <v>4</v>
      </c>
      <c r="I15">
        <v>47946</v>
      </c>
      <c r="J15">
        <v>8315</v>
      </c>
      <c r="K15">
        <v>6741</v>
      </c>
      <c r="L15">
        <v>1105</v>
      </c>
      <c r="M15">
        <v>644</v>
      </c>
      <c r="N15">
        <v>2101</v>
      </c>
      <c r="O15">
        <v>1175</v>
      </c>
      <c r="P15">
        <v>5</v>
      </c>
      <c r="Q15">
        <v>20086</v>
      </c>
      <c r="R15">
        <v>6402</v>
      </c>
      <c r="S15">
        <v>5326</v>
      </c>
      <c r="T15">
        <v>1101</v>
      </c>
      <c r="U15">
        <v>315</v>
      </c>
      <c r="V15">
        <v>3415</v>
      </c>
      <c r="W15">
        <v>1258</v>
      </c>
      <c r="X15">
        <v>20</v>
      </c>
      <c r="Y15">
        <v>17837</v>
      </c>
      <c r="Z15">
        <v>2297</v>
      </c>
      <c r="AA15">
        <v>2825</v>
      </c>
      <c r="AB15">
        <v>641</v>
      </c>
      <c r="AC15">
        <v>198</v>
      </c>
      <c r="AD15">
        <v>1846</v>
      </c>
      <c r="AE15">
        <v>816</v>
      </c>
      <c r="AF15">
        <v>61</v>
      </c>
      <c r="AG15">
        <v>8684</v>
      </c>
      <c r="AH15">
        <v>156135</v>
      </c>
      <c r="AI15">
        <v>114784</v>
      </c>
      <c r="AJ15">
        <v>19131</v>
      </c>
      <c r="AK15">
        <v>11496</v>
      </c>
      <c r="AL15">
        <v>26382</v>
      </c>
      <c r="AM15">
        <v>15229</v>
      </c>
      <c r="AN15">
        <v>107</v>
      </c>
      <c r="AO15">
        <v>343264</v>
      </c>
      <c r="AP15">
        <v>31139</v>
      </c>
      <c r="AQ15">
        <v>28986</v>
      </c>
      <c r="AR15">
        <v>5696</v>
      </c>
      <c r="AS15">
        <v>2908</v>
      </c>
      <c r="AT15">
        <v>9171</v>
      </c>
      <c r="AU15">
        <v>5060</v>
      </c>
      <c r="AV15">
        <v>94</v>
      </c>
      <c r="AW15">
        <v>83054</v>
      </c>
      <c r="AX15">
        <v>10317</v>
      </c>
      <c r="AY15">
        <v>6598</v>
      </c>
      <c r="AZ15">
        <v>817</v>
      </c>
      <c r="BA15">
        <v>439</v>
      </c>
      <c r="BB15">
        <v>1171</v>
      </c>
      <c r="BC15">
        <v>342</v>
      </c>
      <c r="BD15">
        <v>8</v>
      </c>
      <c r="BE15">
        <v>19692</v>
      </c>
      <c r="BF15">
        <v>55469</v>
      </c>
      <c r="BG15">
        <v>49004</v>
      </c>
      <c r="BH15">
        <v>7726</v>
      </c>
      <c r="BI15">
        <v>2016</v>
      </c>
      <c r="BJ15">
        <v>13896</v>
      </c>
      <c r="BK15">
        <v>5675</v>
      </c>
      <c r="BL15">
        <v>291</v>
      </c>
      <c r="BM15">
        <v>134077</v>
      </c>
      <c r="BN15">
        <v>674640</v>
      </c>
    </row>
    <row r="20" spans="1:9" x14ac:dyDescent="0.2">
      <c r="A20" s="234" t="s">
        <v>864</v>
      </c>
      <c r="B20" s="234" t="s">
        <v>336</v>
      </c>
    </row>
    <row r="21" spans="1:9" x14ac:dyDescent="0.2">
      <c r="A21" s="234" t="s">
        <v>326</v>
      </c>
      <c r="B21">
        <v>1</v>
      </c>
      <c r="C21">
        <v>2</v>
      </c>
      <c r="D21">
        <v>3</v>
      </c>
      <c r="E21">
        <v>4</v>
      </c>
      <c r="F21">
        <v>5</v>
      </c>
      <c r="G21">
        <v>6</v>
      </c>
      <c r="H21" t="s">
        <v>848</v>
      </c>
    </row>
    <row r="22" spans="1:9" x14ac:dyDescent="0.2">
      <c r="A22" s="235" t="s">
        <v>15</v>
      </c>
      <c r="B22">
        <v>1819758</v>
      </c>
      <c r="C22">
        <v>1946513</v>
      </c>
      <c r="D22">
        <v>461593</v>
      </c>
      <c r="E22">
        <v>193502</v>
      </c>
      <c r="F22">
        <v>576605</v>
      </c>
      <c r="G22">
        <v>315629</v>
      </c>
      <c r="I22">
        <f>SUM(B22:H22)</f>
        <v>5313600</v>
      </c>
    </row>
    <row r="23" spans="1:9" x14ac:dyDescent="0.2">
      <c r="A23" s="235" t="s">
        <v>17</v>
      </c>
      <c r="B23">
        <v>1828026</v>
      </c>
      <c r="C23">
        <v>1948246</v>
      </c>
      <c r="D23">
        <v>463037</v>
      </c>
      <c r="E23">
        <v>193081</v>
      </c>
      <c r="F23">
        <v>580159</v>
      </c>
      <c r="G23">
        <v>315151</v>
      </c>
      <c r="I23">
        <f t="shared" ref="I23:I28" si="0">SUM(B23:H23)</f>
        <v>5327700</v>
      </c>
    </row>
    <row r="24" spans="1:9" x14ac:dyDescent="0.2">
      <c r="A24" s="235" t="s">
        <v>133</v>
      </c>
      <c r="B24">
        <v>1839393</v>
      </c>
      <c r="C24">
        <v>1951361</v>
      </c>
      <c r="D24">
        <v>463205</v>
      </c>
      <c r="E24">
        <v>192400</v>
      </c>
      <c r="F24">
        <v>585566</v>
      </c>
      <c r="G24">
        <v>315675</v>
      </c>
      <c r="I24">
        <f t="shared" si="0"/>
        <v>5347600</v>
      </c>
    </row>
    <row r="25" spans="1:9" x14ac:dyDescent="0.2">
      <c r="A25" s="235" t="s">
        <v>144</v>
      </c>
      <c r="B25">
        <v>1854344</v>
      </c>
      <c r="C25">
        <v>1956221</v>
      </c>
      <c r="D25">
        <v>463264</v>
      </c>
      <c r="E25">
        <v>192266</v>
      </c>
      <c r="F25">
        <v>591482</v>
      </c>
      <c r="G25">
        <v>315423</v>
      </c>
      <c r="I25">
        <f t="shared" si="0"/>
        <v>5373000</v>
      </c>
    </row>
    <row r="26" spans="1:9" x14ac:dyDescent="0.2">
      <c r="A26" s="235" t="s">
        <v>282</v>
      </c>
      <c r="B26">
        <v>1872642</v>
      </c>
      <c r="C26">
        <v>1960470</v>
      </c>
      <c r="D26">
        <v>465834</v>
      </c>
      <c r="E26">
        <v>192175</v>
      </c>
      <c r="F26">
        <v>598082</v>
      </c>
      <c r="G26">
        <v>315497</v>
      </c>
      <c r="I26">
        <f t="shared" si="0"/>
        <v>5404700</v>
      </c>
    </row>
    <row r="27" spans="1:9" x14ac:dyDescent="0.2">
      <c r="A27" s="235" t="s">
        <v>311</v>
      </c>
      <c r="B27">
        <v>1884644</v>
      </c>
      <c r="C27">
        <v>1961709</v>
      </c>
      <c r="D27">
        <v>467115</v>
      </c>
      <c r="E27">
        <v>191497</v>
      </c>
      <c r="F27">
        <v>603678</v>
      </c>
      <c r="G27">
        <v>316157</v>
      </c>
      <c r="I27">
        <f t="shared" si="0"/>
        <v>5424800</v>
      </c>
    </row>
    <row r="28" spans="1:9" x14ac:dyDescent="0.2">
      <c r="A28" s="235" t="s">
        <v>621</v>
      </c>
      <c r="B28">
        <v>1894973</v>
      </c>
      <c r="C28">
        <v>1959405</v>
      </c>
      <c r="D28">
        <v>467717</v>
      </c>
      <c r="E28">
        <v>191207</v>
      </c>
      <c r="F28">
        <v>608611</v>
      </c>
      <c r="G28">
        <v>316187</v>
      </c>
      <c r="I28">
        <f t="shared" si="0"/>
        <v>5438100</v>
      </c>
    </row>
    <row r="29" spans="1:9" x14ac:dyDescent="0.2">
      <c r="A29" s="235" t="s">
        <v>1419</v>
      </c>
      <c r="B29">
        <v>1910606</v>
      </c>
      <c r="C29">
        <v>1960069</v>
      </c>
      <c r="D29">
        <v>468895</v>
      </c>
      <c r="E29">
        <v>191028</v>
      </c>
      <c r="F29">
        <v>616536</v>
      </c>
      <c r="G29">
        <v>316166</v>
      </c>
      <c r="I29">
        <f>SUM(B29:H29)</f>
        <v>5463300</v>
      </c>
    </row>
    <row r="30" spans="1:9" x14ac:dyDescent="0.2">
      <c r="A30" s="235" t="s">
        <v>1572</v>
      </c>
      <c r="B30">
        <v>1914450</v>
      </c>
      <c r="C30">
        <v>1954572</v>
      </c>
      <c r="D30">
        <v>468634</v>
      </c>
      <c r="E30">
        <v>189997</v>
      </c>
      <c r="F30">
        <v>623257</v>
      </c>
      <c r="G30">
        <v>315090</v>
      </c>
      <c r="I30">
        <f t="shared" ref="I30" si="1">SUM(B30:H30)</f>
        <v>5466000</v>
      </c>
    </row>
    <row r="31" spans="1:9" x14ac:dyDescent="0.2">
      <c r="A31" s="235" t="s">
        <v>333</v>
      </c>
      <c r="B31">
        <v>1914450</v>
      </c>
      <c r="C31">
        <v>1961709</v>
      </c>
      <c r="D31">
        <v>468895</v>
      </c>
      <c r="E31">
        <v>193502</v>
      </c>
      <c r="F31">
        <v>623257</v>
      </c>
      <c r="G31">
        <v>316187</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Y81"/>
  <sheetViews>
    <sheetView workbookViewId="0">
      <selection activeCell="I27" sqref="I27"/>
    </sheetView>
  </sheetViews>
  <sheetFormatPr defaultRowHeight="12.75" x14ac:dyDescent="0.2"/>
  <cols>
    <col min="1" max="1" width="15" bestFit="1" customWidth="1"/>
    <col min="2" max="2" width="16.5703125" bestFit="1" customWidth="1"/>
    <col min="3" max="3" width="4.85546875" bestFit="1" customWidth="1"/>
    <col min="4" max="7" width="3.85546875" bestFit="1" customWidth="1"/>
    <col min="8" max="8" width="20" bestFit="1" customWidth="1"/>
    <col min="9" max="9" width="8.7109375" bestFit="1" customWidth="1"/>
    <col min="10" max="10" width="3.85546875" bestFit="1" customWidth="1"/>
    <col min="11" max="14" width="2.85546875" bestFit="1" customWidth="1"/>
    <col min="15" max="15" width="12" bestFit="1" customWidth="1"/>
    <col min="16" max="16" width="29.85546875" bestFit="1" customWidth="1"/>
    <col min="17" max="17" width="4.85546875" bestFit="1" customWidth="1"/>
    <col min="18" max="21" width="3.85546875" bestFit="1" customWidth="1"/>
    <col min="22" max="22" width="33.42578125" bestFit="1" customWidth="1"/>
    <col min="23" max="23" width="11.140625" bestFit="1" customWidth="1"/>
    <col min="24" max="24" width="33.42578125" bestFit="1" customWidth="1"/>
    <col min="25" max="25" width="11.140625" bestFit="1" customWidth="1"/>
    <col min="26" max="26" width="7.140625" customWidth="1"/>
    <col min="27" max="27" width="10.5703125" bestFit="1" customWidth="1"/>
    <col min="28" max="28" width="16.7109375" bestFit="1" customWidth="1"/>
    <col min="29" max="29" width="14.85546875" bestFit="1" customWidth="1"/>
    <col min="30" max="30" width="8.42578125" customWidth="1"/>
    <col min="31" max="31" width="7.140625" customWidth="1"/>
    <col min="33" max="33" width="12.28515625" bestFit="1" customWidth="1"/>
    <col min="34" max="34" width="21.42578125" bestFit="1" customWidth="1"/>
    <col min="35" max="35" width="10.5703125" bestFit="1" customWidth="1"/>
    <col min="36" max="36" width="16.7109375" bestFit="1" customWidth="1"/>
    <col min="37" max="37" width="14.85546875" bestFit="1" customWidth="1"/>
    <col min="38" max="38" width="8.42578125" customWidth="1"/>
    <col min="39" max="39" width="7.140625" customWidth="1"/>
    <col min="40" max="40" width="10.5703125" bestFit="1" customWidth="1"/>
    <col min="41" max="41" width="16.7109375" bestFit="1" customWidth="1"/>
    <col min="42" max="42" width="14.85546875" bestFit="1" customWidth="1"/>
    <col min="43" max="43" width="7.140625" customWidth="1"/>
    <col min="44" max="44" width="10.5703125" bestFit="1" customWidth="1"/>
    <col min="45" max="45" width="16.7109375" bestFit="1" customWidth="1"/>
    <col min="46" max="46" width="8.42578125" customWidth="1"/>
    <col min="47" max="47" width="7.140625" customWidth="1"/>
    <col min="48" max="48" width="10.5703125" bestFit="1" customWidth="1"/>
    <col min="49" max="49" width="8.42578125" customWidth="1"/>
    <col min="50" max="50" width="7.140625" customWidth="1"/>
    <col min="51" max="51" width="10.5703125" bestFit="1" customWidth="1"/>
    <col min="52" max="52" width="16.7109375" bestFit="1" customWidth="1"/>
    <col min="53" max="53" width="14.85546875" bestFit="1" customWidth="1"/>
    <col min="54" max="54" width="8.42578125" customWidth="1"/>
    <col min="55" max="55" width="7.140625" customWidth="1"/>
    <col min="56" max="56" width="10.5703125" bestFit="1" customWidth="1"/>
    <col min="57" max="57" width="16.7109375" bestFit="1" customWidth="1"/>
    <col min="58" max="58" width="14.85546875" bestFit="1" customWidth="1"/>
    <col min="59" max="59" width="8.42578125" customWidth="1"/>
    <col min="60" max="60" width="7.140625" customWidth="1"/>
    <col min="61" max="61" width="12.85546875" bestFit="1" customWidth="1"/>
    <col min="62" max="62" width="32.42578125" bestFit="1" customWidth="1"/>
    <col min="63" max="63" width="16.7109375" bestFit="1" customWidth="1"/>
    <col min="64" max="64" width="14.85546875" bestFit="1" customWidth="1"/>
    <col min="65" max="65" width="8.42578125" customWidth="1"/>
    <col min="66" max="66" width="7.140625" customWidth="1"/>
    <col min="67" max="67" width="10.5703125" bestFit="1" customWidth="1"/>
    <col min="68" max="68" width="16.7109375" bestFit="1" customWidth="1"/>
    <col min="69" max="69" width="14.85546875" bestFit="1" customWidth="1"/>
    <col min="70" max="70" width="8.42578125" customWidth="1"/>
    <col min="71" max="71" width="7.140625" customWidth="1"/>
    <col min="72" max="72" width="10.5703125" bestFit="1" customWidth="1"/>
    <col min="73" max="73" width="16.7109375" bestFit="1" customWidth="1"/>
    <col min="74" max="74" width="14.85546875" bestFit="1" customWidth="1"/>
    <col min="75" max="75" width="8.42578125" customWidth="1"/>
    <col min="76" max="76" width="7.140625" customWidth="1"/>
    <col min="77" max="77" width="10.5703125" bestFit="1" customWidth="1"/>
    <col min="78" max="78" width="16.7109375" bestFit="1" customWidth="1"/>
    <col min="79" max="79" width="14.85546875" bestFit="1" customWidth="1"/>
    <col min="80" max="80" width="8.42578125" customWidth="1"/>
    <col min="81" max="81" width="7.140625" customWidth="1"/>
    <col min="82" max="82" width="10.5703125" bestFit="1" customWidth="1"/>
    <col min="83" max="83" width="16.7109375" bestFit="1" customWidth="1"/>
    <col min="84" max="84" width="14.85546875" bestFit="1" customWidth="1"/>
    <col min="85" max="85" width="8.42578125" customWidth="1"/>
    <col min="86" max="86" width="7.140625" customWidth="1"/>
    <col min="87" max="87" width="10.5703125" bestFit="1" customWidth="1"/>
    <col min="88" max="88" width="16.7109375" bestFit="1" customWidth="1"/>
    <col min="89" max="89" width="14.85546875" bestFit="1" customWidth="1"/>
    <col min="90" max="90" width="8.42578125" customWidth="1"/>
    <col min="91" max="91" width="7.140625" customWidth="1"/>
    <col min="93" max="93" width="12.28515625" bestFit="1" customWidth="1"/>
    <col min="94" max="94" width="35.7109375" bestFit="1" customWidth="1"/>
    <col min="95" max="95" width="11.7109375" bestFit="1" customWidth="1"/>
  </cols>
  <sheetData>
    <row r="1" spans="1:25" x14ac:dyDescent="0.2">
      <c r="A1" s="234" t="s">
        <v>344</v>
      </c>
      <c r="B1" s="234" t="s">
        <v>336</v>
      </c>
    </row>
    <row r="2" spans="1:25" x14ac:dyDescent="0.2">
      <c r="B2" t="s">
        <v>341</v>
      </c>
      <c r="I2" t="s">
        <v>990</v>
      </c>
      <c r="J2" t="s">
        <v>342</v>
      </c>
      <c r="P2" t="s">
        <v>991</v>
      </c>
      <c r="Q2" t="s">
        <v>343</v>
      </c>
      <c r="X2" t="s">
        <v>992</v>
      </c>
      <c r="Y2" t="s">
        <v>333</v>
      </c>
    </row>
    <row r="3" spans="1:25" x14ac:dyDescent="0.2">
      <c r="A3" s="234" t="s">
        <v>326</v>
      </c>
      <c r="B3">
        <v>1</v>
      </c>
      <c r="C3">
        <v>2</v>
      </c>
      <c r="D3">
        <v>3</v>
      </c>
      <c r="E3">
        <v>4</v>
      </c>
      <c r="F3">
        <v>5</v>
      </c>
      <c r="G3">
        <v>6</v>
      </c>
      <c r="H3" t="s">
        <v>848</v>
      </c>
      <c r="J3">
        <v>1</v>
      </c>
      <c r="K3">
        <v>2</v>
      </c>
      <c r="L3">
        <v>3</v>
      </c>
      <c r="M3">
        <v>4</v>
      </c>
      <c r="N3">
        <v>5</v>
      </c>
      <c r="O3">
        <v>6</v>
      </c>
      <c r="Q3">
        <v>1</v>
      </c>
      <c r="R3">
        <v>2</v>
      </c>
      <c r="S3">
        <v>3</v>
      </c>
      <c r="T3">
        <v>4</v>
      </c>
      <c r="U3">
        <v>5</v>
      </c>
      <c r="V3">
        <v>6</v>
      </c>
      <c r="W3" t="s">
        <v>848</v>
      </c>
    </row>
    <row r="4" spans="1:25" x14ac:dyDescent="0.2">
      <c r="A4" s="235" t="s">
        <v>15</v>
      </c>
      <c r="B4">
        <v>468</v>
      </c>
      <c r="C4">
        <v>351</v>
      </c>
      <c r="D4">
        <v>73</v>
      </c>
      <c r="E4">
        <v>23</v>
      </c>
      <c r="F4">
        <v>87</v>
      </c>
      <c r="G4">
        <v>55</v>
      </c>
      <c r="I4">
        <v>1057</v>
      </c>
      <c r="J4">
        <v>21</v>
      </c>
      <c r="K4">
        <v>14</v>
      </c>
      <c r="L4">
        <v>1</v>
      </c>
      <c r="M4">
        <v>1</v>
      </c>
      <c r="N4">
        <v>7</v>
      </c>
      <c r="O4">
        <v>2</v>
      </c>
      <c r="P4">
        <v>46</v>
      </c>
      <c r="Q4">
        <v>600</v>
      </c>
      <c r="R4">
        <v>444</v>
      </c>
      <c r="S4">
        <v>86</v>
      </c>
      <c r="T4">
        <v>27</v>
      </c>
      <c r="U4">
        <v>100</v>
      </c>
      <c r="V4">
        <v>62</v>
      </c>
      <c r="X4">
        <v>1319</v>
      </c>
      <c r="Y4">
        <v>2422</v>
      </c>
    </row>
    <row r="5" spans="1:25" x14ac:dyDescent="0.2">
      <c r="A5" s="235" t="s">
        <v>17</v>
      </c>
      <c r="B5">
        <v>478</v>
      </c>
      <c r="C5">
        <v>349</v>
      </c>
      <c r="D5">
        <v>71</v>
      </c>
      <c r="E5">
        <v>41</v>
      </c>
      <c r="F5">
        <v>103</v>
      </c>
      <c r="G5">
        <v>47</v>
      </c>
      <c r="I5">
        <v>1089</v>
      </c>
      <c r="J5">
        <v>10</v>
      </c>
      <c r="K5">
        <v>14</v>
      </c>
      <c r="L5">
        <v>1</v>
      </c>
      <c r="N5">
        <v>6</v>
      </c>
      <c r="P5">
        <v>31</v>
      </c>
      <c r="Q5">
        <v>563</v>
      </c>
      <c r="R5">
        <v>447</v>
      </c>
      <c r="S5">
        <v>80</v>
      </c>
      <c r="T5">
        <v>45</v>
      </c>
      <c r="U5">
        <v>116</v>
      </c>
      <c r="V5">
        <v>59</v>
      </c>
      <c r="X5">
        <v>1310</v>
      </c>
      <c r="Y5">
        <v>2430</v>
      </c>
    </row>
    <row r="6" spans="1:25" x14ac:dyDescent="0.2">
      <c r="A6" s="235" t="s">
        <v>133</v>
      </c>
      <c r="B6">
        <v>358</v>
      </c>
      <c r="C6">
        <v>348</v>
      </c>
      <c r="D6">
        <v>39</v>
      </c>
      <c r="E6">
        <v>35</v>
      </c>
      <c r="F6">
        <v>64</v>
      </c>
      <c r="G6">
        <v>42</v>
      </c>
      <c r="I6">
        <v>886</v>
      </c>
      <c r="J6">
        <v>15</v>
      </c>
      <c r="K6">
        <v>10</v>
      </c>
      <c r="L6">
        <v>2</v>
      </c>
      <c r="M6">
        <v>1</v>
      </c>
      <c r="N6">
        <v>6</v>
      </c>
      <c r="O6">
        <v>6</v>
      </c>
      <c r="P6">
        <v>40</v>
      </c>
      <c r="Q6">
        <v>436</v>
      </c>
      <c r="R6">
        <v>452</v>
      </c>
      <c r="S6">
        <v>47</v>
      </c>
      <c r="T6">
        <v>44</v>
      </c>
      <c r="U6">
        <v>71</v>
      </c>
      <c r="V6">
        <v>48</v>
      </c>
      <c r="W6">
        <v>1</v>
      </c>
      <c r="X6">
        <v>1099</v>
      </c>
      <c r="Y6">
        <v>2025</v>
      </c>
    </row>
    <row r="7" spans="1:25" x14ac:dyDescent="0.2">
      <c r="A7" s="235" t="s">
        <v>144</v>
      </c>
      <c r="B7">
        <v>453</v>
      </c>
      <c r="C7">
        <v>355</v>
      </c>
      <c r="D7">
        <v>48</v>
      </c>
      <c r="E7">
        <v>19</v>
      </c>
      <c r="F7">
        <v>86</v>
      </c>
      <c r="G7">
        <v>54</v>
      </c>
      <c r="H7">
        <v>2</v>
      </c>
      <c r="I7">
        <v>1017</v>
      </c>
      <c r="J7">
        <v>14</v>
      </c>
      <c r="K7">
        <v>14</v>
      </c>
      <c r="L7">
        <v>1</v>
      </c>
      <c r="M7">
        <v>2</v>
      </c>
      <c r="N7">
        <v>6</v>
      </c>
      <c r="O7">
        <v>8</v>
      </c>
      <c r="P7">
        <v>45</v>
      </c>
      <c r="Q7">
        <v>561</v>
      </c>
      <c r="R7">
        <v>459</v>
      </c>
      <c r="S7">
        <v>65</v>
      </c>
      <c r="T7">
        <v>31</v>
      </c>
      <c r="U7">
        <v>93</v>
      </c>
      <c r="V7">
        <v>63</v>
      </c>
      <c r="W7">
        <v>4</v>
      </c>
      <c r="X7">
        <v>1276</v>
      </c>
      <c r="Y7">
        <v>2338</v>
      </c>
    </row>
    <row r="8" spans="1:25" x14ac:dyDescent="0.2">
      <c r="A8" s="235" t="s">
        <v>282</v>
      </c>
      <c r="B8">
        <v>397</v>
      </c>
      <c r="C8">
        <v>360</v>
      </c>
      <c r="D8">
        <v>47</v>
      </c>
      <c r="E8">
        <v>25</v>
      </c>
      <c r="F8">
        <v>76</v>
      </c>
      <c r="G8">
        <v>31</v>
      </c>
      <c r="I8">
        <v>936</v>
      </c>
      <c r="J8">
        <v>18</v>
      </c>
      <c r="K8">
        <v>11</v>
      </c>
      <c r="L8">
        <v>2</v>
      </c>
      <c r="N8">
        <v>6</v>
      </c>
      <c r="O8">
        <v>7</v>
      </c>
      <c r="P8">
        <v>44</v>
      </c>
      <c r="Q8">
        <v>545</v>
      </c>
      <c r="R8">
        <v>486</v>
      </c>
      <c r="S8">
        <v>65</v>
      </c>
      <c r="T8">
        <v>36</v>
      </c>
      <c r="U8">
        <v>87</v>
      </c>
      <c r="V8">
        <v>47</v>
      </c>
      <c r="X8">
        <v>1266</v>
      </c>
      <c r="Y8">
        <v>2246</v>
      </c>
    </row>
    <row r="9" spans="1:25" x14ac:dyDescent="0.2">
      <c r="A9" s="235" t="s">
        <v>311</v>
      </c>
      <c r="B9">
        <v>367</v>
      </c>
      <c r="C9">
        <v>335</v>
      </c>
      <c r="D9">
        <v>51</v>
      </c>
      <c r="E9">
        <v>17</v>
      </c>
      <c r="F9">
        <v>73</v>
      </c>
      <c r="G9">
        <v>37</v>
      </c>
      <c r="H9">
        <v>1</v>
      </c>
      <c r="I9">
        <v>881</v>
      </c>
      <c r="J9">
        <v>12</v>
      </c>
      <c r="K9">
        <v>17</v>
      </c>
      <c r="L9">
        <v>3</v>
      </c>
      <c r="M9">
        <v>5</v>
      </c>
      <c r="N9">
        <v>5</v>
      </c>
      <c r="O9">
        <v>2</v>
      </c>
      <c r="P9">
        <v>44</v>
      </c>
      <c r="Q9">
        <v>452</v>
      </c>
      <c r="R9">
        <v>432</v>
      </c>
      <c r="S9">
        <v>69</v>
      </c>
      <c r="T9">
        <v>27</v>
      </c>
      <c r="U9">
        <v>86</v>
      </c>
      <c r="V9">
        <v>48</v>
      </c>
      <c r="W9">
        <v>2</v>
      </c>
      <c r="X9">
        <v>1116</v>
      </c>
      <c r="Y9">
        <v>2041</v>
      </c>
    </row>
    <row r="10" spans="1:25" x14ac:dyDescent="0.2">
      <c r="A10" s="235" t="s">
        <v>621</v>
      </c>
      <c r="B10">
        <v>405</v>
      </c>
      <c r="C10">
        <v>361</v>
      </c>
      <c r="D10">
        <v>60</v>
      </c>
      <c r="E10">
        <v>28</v>
      </c>
      <c r="F10">
        <v>59</v>
      </c>
      <c r="G10">
        <v>36</v>
      </c>
      <c r="I10">
        <v>949</v>
      </c>
      <c r="J10">
        <v>9</v>
      </c>
      <c r="K10">
        <v>16</v>
      </c>
      <c r="L10">
        <v>6</v>
      </c>
      <c r="M10">
        <v>4</v>
      </c>
      <c r="N10">
        <v>7</v>
      </c>
      <c r="O10">
        <v>2</v>
      </c>
      <c r="P10">
        <v>44</v>
      </c>
      <c r="Q10">
        <v>502</v>
      </c>
      <c r="R10">
        <v>470</v>
      </c>
      <c r="S10">
        <v>78</v>
      </c>
      <c r="T10">
        <v>31</v>
      </c>
      <c r="U10">
        <v>71</v>
      </c>
      <c r="V10">
        <v>45</v>
      </c>
      <c r="X10">
        <v>1197</v>
      </c>
      <c r="Y10">
        <v>2190</v>
      </c>
    </row>
    <row r="11" spans="1:25" x14ac:dyDescent="0.2">
      <c r="A11" s="235" t="s">
        <v>1419</v>
      </c>
      <c r="B11">
        <v>333</v>
      </c>
      <c r="C11">
        <v>298</v>
      </c>
      <c r="D11">
        <v>51</v>
      </c>
      <c r="E11">
        <v>25</v>
      </c>
      <c r="F11">
        <v>68</v>
      </c>
      <c r="G11">
        <v>33</v>
      </c>
      <c r="I11">
        <v>808</v>
      </c>
      <c r="J11">
        <v>4</v>
      </c>
      <c r="K11">
        <v>12</v>
      </c>
      <c r="L11">
        <v>2</v>
      </c>
      <c r="M11">
        <v>1</v>
      </c>
      <c r="N11">
        <v>5</v>
      </c>
      <c r="O11">
        <v>3</v>
      </c>
      <c r="P11">
        <v>27</v>
      </c>
      <c r="Q11">
        <v>418</v>
      </c>
      <c r="R11">
        <v>393</v>
      </c>
      <c r="S11">
        <v>65</v>
      </c>
      <c r="T11">
        <v>32</v>
      </c>
      <c r="U11">
        <v>80</v>
      </c>
      <c r="V11">
        <v>39</v>
      </c>
      <c r="X11">
        <v>1027</v>
      </c>
      <c r="Y11">
        <v>1862</v>
      </c>
    </row>
    <row r="12" spans="1:25" x14ac:dyDescent="0.2">
      <c r="A12" s="235" t="s">
        <v>1572</v>
      </c>
      <c r="B12">
        <v>276</v>
      </c>
      <c r="C12">
        <v>277</v>
      </c>
      <c r="D12">
        <v>47</v>
      </c>
      <c r="E12">
        <v>25</v>
      </c>
      <c r="F12">
        <v>45</v>
      </c>
      <c r="G12">
        <v>23</v>
      </c>
      <c r="I12">
        <v>693</v>
      </c>
      <c r="J12">
        <v>23</v>
      </c>
      <c r="K12">
        <v>15</v>
      </c>
      <c r="L12">
        <v>4</v>
      </c>
      <c r="N12">
        <v>7</v>
      </c>
      <c r="O12">
        <v>4</v>
      </c>
      <c r="P12">
        <v>53</v>
      </c>
      <c r="Q12">
        <v>409</v>
      </c>
      <c r="R12">
        <v>400</v>
      </c>
      <c r="S12">
        <v>81</v>
      </c>
      <c r="T12">
        <v>33</v>
      </c>
      <c r="U12">
        <v>64</v>
      </c>
      <c r="V12">
        <v>30</v>
      </c>
      <c r="X12">
        <v>1017</v>
      </c>
      <c r="Y12">
        <v>1763</v>
      </c>
    </row>
    <row r="13" spans="1:25" x14ac:dyDescent="0.2">
      <c r="A13" s="235" t="s">
        <v>333</v>
      </c>
      <c r="B13">
        <v>3535</v>
      </c>
      <c r="C13">
        <v>3034</v>
      </c>
      <c r="D13">
        <v>487</v>
      </c>
      <c r="E13">
        <v>238</v>
      </c>
      <c r="F13">
        <v>661</v>
      </c>
      <c r="G13">
        <v>358</v>
      </c>
      <c r="H13">
        <v>3</v>
      </c>
      <c r="I13">
        <v>8316</v>
      </c>
      <c r="J13">
        <v>126</v>
      </c>
      <c r="K13">
        <v>123</v>
      </c>
      <c r="L13">
        <v>22</v>
      </c>
      <c r="M13">
        <v>14</v>
      </c>
      <c r="N13">
        <v>55</v>
      </c>
      <c r="O13">
        <v>34</v>
      </c>
      <c r="P13">
        <v>374</v>
      </c>
      <c r="Q13">
        <v>4486</v>
      </c>
      <c r="R13">
        <v>3983</v>
      </c>
      <c r="S13">
        <v>636</v>
      </c>
      <c r="T13">
        <v>306</v>
      </c>
      <c r="U13">
        <v>768</v>
      </c>
      <c r="V13">
        <v>441</v>
      </c>
      <c r="W13">
        <v>7</v>
      </c>
      <c r="X13">
        <v>10627</v>
      </c>
      <c r="Y13">
        <v>19317</v>
      </c>
    </row>
    <row r="14" spans="1:25" x14ac:dyDescent="0.2">
      <c r="A14" s="234" t="s">
        <v>993</v>
      </c>
      <c r="B14" t="s">
        <v>828</v>
      </c>
    </row>
    <row r="16" spans="1:25" x14ac:dyDescent="0.2">
      <c r="A16" s="234" t="s">
        <v>344</v>
      </c>
      <c r="B16" s="234" t="s">
        <v>336</v>
      </c>
    </row>
    <row r="17" spans="1:23" x14ac:dyDescent="0.2">
      <c r="B17" t="s">
        <v>341</v>
      </c>
      <c r="H17" t="s">
        <v>990</v>
      </c>
      <c r="I17" t="s">
        <v>342</v>
      </c>
      <c r="O17" t="s">
        <v>991</v>
      </c>
      <c r="P17" t="s">
        <v>343</v>
      </c>
      <c r="V17" t="s">
        <v>992</v>
      </c>
      <c r="W17" t="s">
        <v>333</v>
      </c>
    </row>
    <row r="18" spans="1:23" x14ac:dyDescent="0.2">
      <c r="A18" s="234" t="s">
        <v>326</v>
      </c>
      <c r="B18">
        <v>1</v>
      </c>
      <c r="C18">
        <v>2</v>
      </c>
      <c r="D18">
        <v>3</v>
      </c>
      <c r="E18">
        <v>4</v>
      </c>
      <c r="F18">
        <v>5</v>
      </c>
      <c r="G18">
        <v>6</v>
      </c>
      <c r="I18">
        <v>1</v>
      </c>
      <c r="J18">
        <v>2</v>
      </c>
      <c r="K18">
        <v>3</v>
      </c>
      <c r="L18">
        <v>4</v>
      </c>
      <c r="M18">
        <v>5</v>
      </c>
      <c r="N18">
        <v>6</v>
      </c>
      <c r="P18">
        <v>1</v>
      </c>
      <c r="Q18">
        <v>2</v>
      </c>
      <c r="R18">
        <v>3</v>
      </c>
      <c r="S18">
        <v>4</v>
      </c>
      <c r="T18">
        <v>5</v>
      </c>
      <c r="U18">
        <v>6</v>
      </c>
    </row>
    <row r="19" spans="1:23" x14ac:dyDescent="0.2">
      <c r="A19" s="235" t="s">
        <v>15</v>
      </c>
      <c r="B19">
        <v>423</v>
      </c>
      <c r="C19">
        <v>317</v>
      </c>
      <c r="D19">
        <v>67</v>
      </c>
      <c r="E19">
        <v>17</v>
      </c>
      <c r="F19">
        <v>61</v>
      </c>
      <c r="G19">
        <v>38</v>
      </c>
      <c r="H19">
        <v>923</v>
      </c>
      <c r="I19">
        <v>18</v>
      </c>
      <c r="J19">
        <v>13</v>
      </c>
      <c r="K19">
        <v>1</v>
      </c>
      <c r="L19">
        <v>1</v>
      </c>
      <c r="M19">
        <v>5</v>
      </c>
      <c r="N19">
        <v>2</v>
      </c>
      <c r="O19">
        <v>40</v>
      </c>
      <c r="P19">
        <v>546</v>
      </c>
      <c r="Q19">
        <v>406</v>
      </c>
      <c r="R19">
        <v>80</v>
      </c>
      <c r="S19">
        <v>21</v>
      </c>
      <c r="T19">
        <v>69</v>
      </c>
      <c r="U19">
        <v>44</v>
      </c>
      <c r="V19">
        <v>1166</v>
      </c>
      <c r="W19">
        <v>2129</v>
      </c>
    </row>
    <row r="20" spans="1:23" x14ac:dyDescent="0.2">
      <c r="A20" s="235" t="s">
        <v>17</v>
      </c>
      <c r="B20">
        <v>442</v>
      </c>
      <c r="C20">
        <v>299</v>
      </c>
      <c r="D20">
        <v>66</v>
      </c>
      <c r="E20">
        <v>39</v>
      </c>
      <c r="F20">
        <v>62</v>
      </c>
      <c r="G20">
        <v>34</v>
      </c>
      <c r="H20">
        <v>942</v>
      </c>
      <c r="I20">
        <v>10</v>
      </c>
      <c r="J20">
        <v>13</v>
      </c>
      <c r="K20">
        <v>1</v>
      </c>
      <c r="M20">
        <v>5</v>
      </c>
      <c r="O20">
        <v>29</v>
      </c>
      <c r="P20">
        <v>522</v>
      </c>
      <c r="Q20">
        <v>382</v>
      </c>
      <c r="R20">
        <v>75</v>
      </c>
      <c r="S20">
        <v>43</v>
      </c>
      <c r="T20">
        <v>72</v>
      </c>
      <c r="U20">
        <v>46</v>
      </c>
      <c r="V20">
        <v>1140</v>
      </c>
      <c r="W20">
        <v>2111</v>
      </c>
    </row>
    <row r="21" spans="1:23" x14ac:dyDescent="0.2">
      <c r="A21" s="235" t="s">
        <v>133</v>
      </c>
      <c r="B21">
        <v>326</v>
      </c>
      <c r="C21">
        <v>301</v>
      </c>
      <c r="D21">
        <v>27</v>
      </c>
      <c r="E21">
        <v>34</v>
      </c>
      <c r="F21">
        <v>42</v>
      </c>
      <c r="G21">
        <v>32</v>
      </c>
      <c r="H21">
        <v>762</v>
      </c>
      <c r="I21">
        <v>10</v>
      </c>
      <c r="J21">
        <v>10</v>
      </c>
      <c r="K21">
        <v>1</v>
      </c>
      <c r="L21">
        <v>1</v>
      </c>
      <c r="M21">
        <v>4</v>
      </c>
      <c r="N21">
        <v>5</v>
      </c>
      <c r="O21">
        <v>31</v>
      </c>
      <c r="P21">
        <v>391</v>
      </c>
      <c r="Q21">
        <v>396</v>
      </c>
      <c r="R21">
        <v>34</v>
      </c>
      <c r="S21">
        <v>39</v>
      </c>
      <c r="T21">
        <v>49</v>
      </c>
      <c r="U21">
        <v>38</v>
      </c>
      <c r="V21">
        <v>947</v>
      </c>
      <c r="W21">
        <v>1740</v>
      </c>
    </row>
    <row r="22" spans="1:23" x14ac:dyDescent="0.2">
      <c r="A22" s="235" t="s">
        <v>144</v>
      </c>
      <c r="B22">
        <v>408</v>
      </c>
      <c r="C22">
        <v>298</v>
      </c>
      <c r="D22">
        <v>40</v>
      </c>
      <c r="E22">
        <v>17</v>
      </c>
      <c r="F22">
        <v>46</v>
      </c>
      <c r="G22">
        <v>20</v>
      </c>
      <c r="H22">
        <v>829</v>
      </c>
      <c r="I22">
        <v>13</v>
      </c>
      <c r="J22">
        <v>14</v>
      </c>
      <c r="K22">
        <v>1</v>
      </c>
      <c r="L22">
        <v>2</v>
      </c>
      <c r="M22">
        <v>3</v>
      </c>
      <c r="N22">
        <v>6</v>
      </c>
      <c r="O22">
        <v>39</v>
      </c>
      <c r="P22">
        <v>512</v>
      </c>
      <c r="Q22">
        <v>387</v>
      </c>
      <c r="R22">
        <v>57</v>
      </c>
      <c r="S22">
        <v>29</v>
      </c>
      <c r="T22">
        <v>51</v>
      </c>
      <c r="U22">
        <v>27</v>
      </c>
      <c r="V22">
        <v>1063</v>
      </c>
      <c r="W22">
        <v>1931</v>
      </c>
    </row>
    <row r="23" spans="1:23" x14ac:dyDescent="0.2">
      <c r="A23" s="235" t="s">
        <v>282</v>
      </c>
      <c r="B23">
        <v>361</v>
      </c>
      <c r="C23">
        <v>320</v>
      </c>
      <c r="D23">
        <v>43</v>
      </c>
      <c r="E23">
        <v>21</v>
      </c>
      <c r="F23">
        <v>47</v>
      </c>
      <c r="G23">
        <v>22</v>
      </c>
      <c r="H23">
        <v>814</v>
      </c>
      <c r="I23">
        <v>15</v>
      </c>
      <c r="J23">
        <v>11</v>
      </c>
      <c r="K23">
        <v>1</v>
      </c>
      <c r="M23">
        <v>3</v>
      </c>
      <c r="N23">
        <v>6</v>
      </c>
      <c r="O23">
        <v>36</v>
      </c>
      <c r="P23">
        <v>496</v>
      </c>
      <c r="Q23">
        <v>439</v>
      </c>
      <c r="R23">
        <v>58</v>
      </c>
      <c r="S23">
        <v>32</v>
      </c>
      <c r="T23">
        <v>54</v>
      </c>
      <c r="U23">
        <v>36</v>
      </c>
      <c r="V23">
        <v>1115</v>
      </c>
      <c r="W23">
        <v>1965</v>
      </c>
    </row>
    <row r="24" spans="1:23" x14ac:dyDescent="0.2">
      <c r="A24" s="235" t="s">
        <v>311</v>
      </c>
      <c r="B24">
        <v>325</v>
      </c>
      <c r="C24">
        <v>283</v>
      </c>
      <c r="D24">
        <v>43</v>
      </c>
      <c r="E24">
        <v>16</v>
      </c>
      <c r="F24">
        <v>43</v>
      </c>
      <c r="G24">
        <v>27</v>
      </c>
      <c r="H24">
        <v>737</v>
      </c>
      <c r="I24">
        <v>12</v>
      </c>
      <c r="J24">
        <v>12</v>
      </c>
      <c r="K24">
        <v>3</v>
      </c>
      <c r="L24">
        <v>4</v>
      </c>
      <c r="M24">
        <v>4</v>
      </c>
      <c r="N24">
        <v>2</v>
      </c>
      <c r="O24">
        <v>37</v>
      </c>
      <c r="P24">
        <v>396</v>
      </c>
      <c r="Q24">
        <v>363</v>
      </c>
      <c r="R24">
        <v>54</v>
      </c>
      <c r="S24">
        <v>24</v>
      </c>
      <c r="T24">
        <v>49</v>
      </c>
      <c r="U24">
        <v>35</v>
      </c>
      <c r="V24">
        <v>921</v>
      </c>
      <c r="W24">
        <v>1695</v>
      </c>
    </row>
    <row r="25" spans="1:23" x14ac:dyDescent="0.2">
      <c r="A25" s="235" t="s">
        <v>621</v>
      </c>
      <c r="B25">
        <v>350</v>
      </c>
      <c r="C25">
        <v>310</v>
      </c>
      <c r="D25">
        <v>49</v>
      </c>
      <c r="E25">
        <v>25</v>
      </c>
      <c r="F25">
        <v>34</v>
      </c>
      <c r="G25">
        <v>25</v>
      </c>
      <c r="H25">
        <v>793</v>
      </c>
      <c r="I25">
        <v>6</v>
      </c>
      <c r="J25">
        <v>16</v>
      </c>
      <c r="K25">
        <v>6</v>
      </c>
      <c r="L25">
        <v>4</v>
      </c>
      <c r="M25">
        <v>6</v>
      </c>
      <c r="N25">
        <v>2</v>
      </c>
      <c r="O25">
        <v>40</v>
      </c>
      <c r="P25">
        <v>437</v>
      </c>
      <c r="Q25">
        <v>412</v>
      </c>
      <c r="R25">
        <v>63</v>
      </c>
      <c r="S25">
        <v>28</v>
      </c>
      <c r="T25">
        <v>42</v>
      </c>
      <c r="U25">
        <v>34</v>
      </c>
      <c r="V25">
        <v>1016</v>
      </c>
      <c r="W25">
        <v>1849</v>
      </c>
    </row>
    <row r="26" spans="1:23" x14ac:dyDescent="0.2">
      <c r="A26" s="235" t="s">
        <v>1419</v>
      </c>
      <c r="B26">
        <v>298</v>
      </c>
      <c r="C26">
        <v>252</v>
      </c>
      <c r="D26">
        <v>38</v>
      </c>
      <c r="E26">
        <v>21</v>
      </c>
      <c r="F26">
        <v>41</v>
      </c>
      <c r="G26">
        <v>21</v>
      </c>
      <c r="H26">
        <v>671</v>
      </c>
      <c r="I26">
        <v>4</v>
      </c>
      <c r="J26">
        <v>9</v>
      </c>
      <c r="K26">
        <v>1</v>
      </c>
      <c r="L26">
        <v>1</v>
      </c>
      <c r="M26">
        <v>3</v>
      </c>
      <c r="N26">
        <v>3</v>
      </c>
      <c r="O26">
        <v>21</v>
      </c>
      <c r="P26">
        <v>378</v>
      </c>
      <c r="Q26">
        <v>342</v>
      </c>
      <c r="R26">
        <v>52</v>
      </c>
      <c r="S26">
        <v>27</v>
      </c>
      <c r="T26">
        <v>52</v>
      </c>
      <c r="U26">
        <v>26</v>
      </c>
      <c r="V26">
        <v>877</v>
      </c>
      <c r="W26">
        <v>1569</v>
      </c>
    </row>
    <row r="27" spans="1:23" x14ac:dyDescent="0.2">
      <c r="A27" s="235" t="s">
        <v>1572</v>
      </c>
      <c r="B27">
        <v>243</v>
      </c>
      <c r="C27">
        <v>249</v>
      </c>
      <c r="D27">
        <v>43</v>
      </c>
      <c r="E27">
        <v>19</v>
      </c>
      <c r="F27">
        <v>21</v>
      </c>
      <c r="G27">
        <v>9</v>
      </c>
      <c r="H27">
        <v>584</v>
      </c>
      <c r="I27">
        <v>20</v>
      </c>
      <c r="J27">
        <v>14</v>
      </c>
      <c r="K27">
        <v>4</v>
      </c>
      <c r="M27">
        <v>4</v>
      </c>
      <c r="N27">
        <v>2</v>
      </c>
      <c r="O27">
        <v>44</v>
      </c>
      <c r="P27">
        <v>360</v>
      </c>
      <c r="Q27">
        <v>365</v>
      </c>
      <c r="R27">
        <v>75</v>
      </c>
      <c r="S27">
        <v>27</v>
      </c>
      <c r="T27">
        <v>33</v>
      </c>
      <c r="U27">
        <v>16</v>
      </c>
      <c r="V27">
        <v>876</v>
      </c>
      <c r="W27">
        <v>1504</v>
      </c>
    </row>
    <row r="28" spans="1:23" x14ac:dyDescent="0.2">
      <c r="A28" s="235" t="s">
        <v>333</v>
      </c>
      <c r="B28">
        <v>3176</v>
      </c>
      <c r="C28">
        <v>2629</v>
      </c>
      <c r="D28">
        <v>416</v>
      </c>
      <c r="E28">
        <v>209</v>
      </c>
      <c r="F28">
        <v>397</v>
      </c>
      <c r="G28">
        <v>228</v>
      </c>
      <c r="H28">
        <v>7055</v>
      </c>
      <c r="I28">
        <v>108</v>
      </c>
      <c r="J28">
        <v>112</v>
      </c>
      <c r="K28">
        <v>19</v>
      </c>
      <c r="L28">
        <v>13</v>
      </c>
      <c r="M28">
        <v>37</v>
      </c>
      <c r="N28">
        <v>28</v>
      </c>
      <c r="O28">
        <v>317</v>
      </c>
      <c r="P28">
        <v>4038</v>
      </c>
      <c r="Q28">
        <v>3492</v>
      </c>
      <c r="R28">
        <v>548</v>
      </c>
      <c r="S28">
        <v>270</v>
      </c>
      <c r="T28">
        <v>471</v>
      </c>
      <c r="U28">
        <v>302</v>
      </c>
      <c r="V28">
        <v>9121</v>
      </c>
      <c r="W28">
        <v>16493</v>
      </c>
    </row>
    <row r="31" spans="1:23" x14ac:dyDescent="0.2">
      <c r="A31" s="234" t="s">
        <v>993</v>
      </c>
      <c r="B31" t="s">
        <v>850</v>
      </c>
    </row>
    <row r="32" spans="1:23" x14ac:dyDescent="0.2">
      <c r="A32" s="234" t="s">
        <v>1111</v>
      </c>
      <c r="B32" t="s">
        <v>341</v>
      </c>
    </row>
    <row r="34" spans="1:8" x14ac:dyDescent="0.2">
      <c r="A34" s="234" t="s">
        <v>344</v>
      </c>
      <c r="B34" s="234" t="s">
        <v>336</v>
      </c>
    </row>
    <row r="35" spans="1:8" x14ac:dyDescent="0.2">
      <c r="A35" s="234" t="s">
        <v>326</v>
      </c>
      <c r="B35">
        <v>1</v>
      </c>
      <c r="C35">
        <v>2</v>
      </c>
      <c r="D35">
        <v>3</v>
      </c>
      <c r="E35">
        <v>4</v>
      </c>
      <c r="F35">
        <v>5</v>
      </c>
      <c r="G35">
        <v>6</v>
      </c>
      <c r="H35" t="s">
        <v>333</v>
      </c>
    </row>
    <row r="36" spans="1:8" x14ac:dyDescent="0.2">
      <c r="A36" s="235" t="s">
        <v>15</v>
      </c>
      <c r="B36">
        <v>37</v>
      </c>
      <c r="C36">
        <v>23</v>
      </c>
      <c r="D36">
        <v>4</v>
      </c>
      <c r="E36">
        <v>3</v>
      </c>
      <c r="F36">
        <v>4</v>
      </c>
      <c r="G36">
        <v>7</v>
      </c>
      <c r="H36">
        <v>78</v>
      </c>
    </row>
    <row r="37" spans="1:8" x14ac:dyDescent="0.2">
      <c r="A37" s="235" t="s">
        <v>17</v>
      </c>
      <c r="B37">
        <v>28</v>
      </c>
      <c r="C37">
        <v>31</v>
      </c>
      <c r="D37">
        <v>1</v>
      </c>
      <c r="E37">
        <v>1</v>
      </c>
      <c r="F37">
        <v>11</v>
      </c>
      <c r="G37">
        <v>4</v>
      </c>
      <c r="H37">
        <v>76</v>
      </c>
    </row>
    <row r="38" spans="1:8" x14ac:dyDescent="0.2">
      <c r="A38" s="235" t="s">
        <v>133</v>
      </c>
      <c r="B38">
        <v>23</v>
      </c>
      <c r="C38">
        <v>34</v>
      </c>
      <c r="D38">
        <v>6</v>
      </c>
      <c r="E38">
        <v>1</v>
      </c>
      <c r="F38">
        <v>11</v>
      </c>
      <c r="G38">
        <v>3</v>
      </c>
      <c r="H38">
        <v>78</v>
      </c>
    </row>
    <row r="39" spans="1:8" x14ac:dyDescent="0.2">
      <c r="A39" s="235" t="s">
        <v>144</v>
      </c>
      <c r="B39">
        <v>35</v>
      </c>
      <c r="C39">
        <v>34</v>
      </c>
      <c r="D39">
        <v>7</v>
      </c>
      <c r="E39">
        <v>2</v>
      </c>
      <c r="F39">
        <v>16</v>
      </c>
      <c r="G39">
        <v>9</v>
      </c>
      <c r="H39">
        <v>103</v>
      </c>
    </row>
    <row r="40" spans="1:8" x14ac:dyDescent="0.2">
      <c r="A40" s="235" t="s">
        <v>282</v>
      </c>
      <c r="B40">
        <v>20</v>
      </c>
      <c r="C40">
        <v>21</v>
      </c>
      <c r="D40">
        <v>1</v>
      </c>
      <c r="E40">
        <v>4</v>
      </c>
      <c r="F40">
        <v>8</v>
      </c>
      <c r="G40">
        <v>2</v>
      </c>
      <c r="H40">
        <v>56</v>
      </c>
    </row>
    <row r="41" spans="1:8" x14ac:dyDescent="0.2">
      <c r="A41" s="235" t="s">
        <v>311</v>
      </c>
      <c r="B41">
        <v>29</v>
      </c>
      <c r="C41">
        <v>41</v>
      </c>
      <c r="D41">
        <v>5</v>
      </c>
      <c r="E41">
        <v>1</v>
      </c>
      <c r="F41">
        <v>11</v>
      </c>
      <c r="G41">
        <v>3</v>
      </c>
      <c r="H41">
        <v>90</v>
      </c>
    </row>
    <row r="42" spans="1:8" x14ac:dyDescent="0.2">
      <c r="A42" s="235" t="s">
        <v>621</v>
      </c>
      <c r="B42">
        <v>38</v>
      </c>
      <c r="C42">
        <v>33</v>
      </c>
      <c r="D42">
        <v>6</v>
      </c>
      <c r="E42">
        <v>1</v>
      </c>
      <c r="F42">
        <v>8</v>
      </c>
      <c r="G42">
        <v>4</v>
      </c>
      <c r="H42">
        <v>90</v>
      </c>
    </row>
    <row r="43" spans="1:8" x14ac:dyDescent="0.2">
      <c r="A43" s="235" t="s">
        <v>1419</v>
      </c>
      <c r="B43">
        <v>28</v>
      </c>
      <c r="C43">
        <v>25</v>
      </c>
      <c r="D43">
        <v>6</v>
      </c>
      <c r="E43">
        <v>2</v>
      </c>
      <c r="F43">
        <v>17</v>
      </c>
      <c r="G43">
        <v>7</v>
      </c>
      <c r="H43">
        <v>85</v>
      </c>
    </row>
    <row r="44" spans="1:8" x14ac:dyDescent="0.2">
      <c r="A44" s="235" t="s">
        <v>1572</v>
      </c>
      <c r="B44">
        <v>38</v>
      </c>
      <c r="C44">
        <v>12</v>
      </c>
      <c r="D44">
        <v>1</v>
      </c>
      <c r="E44">
        <v>8</v>
      </c>
      <c r="F44">
        <v>14</v>
      </c>
      <c r="G44">
        <v>11</v>
      </c>
      <c r="H44">
        <v>84</v>
      </c>
    </row>
    <row r="45" spans="1:8" x14ac:dyDescent="0.2">
      <c r="A45" s="235" t="s">
        <v>333</v>
      </c>
      <c r="B45">
        <v>276</v>
      </c>
      <c r="C45">
        <v>254</v>
      </c>
      <c r="D45">
        <v>37</v>
      </c>
      <c r="E45">
        <v>23</v>
      </c>
      <c r="F45">
        <v>100</v>
      </c>
      <c r="G45">
        <v>50</v>
      </c>
      <c r="H45">
        <v>740</v>
      </c>
    </row>
    <row r="49" spans="1:8" x14ac:dyDescent="0.2">
      <c r="A49" s="234" t="s">
        <v>993</v>
      </c>
      <c r="B49" t="s">
        <v>851</v>
      </c>
    </row>
    <row r="50" spans="1:8" x14ac:dyDescent="0.2">
      <c r="A50" s="234" t="s">
        <v>1111</v>
      </c>
      <c r="B50" t="s">
        <v>341</v>
      </c>
    </row>
    <row r="52" spans="1:8" x14ac:dyDescent="0.2">
      <c r="A52" s="234" t="s">
        <v>344</v>
      </c>
      <c r="B52" s="234" t="s">
        <v>336</v>
      </c>
    </row>
    <row r="53" spans="1:8" x14ac:dyDescent="0.2">
      <c r="A53" s="234" t="s">
        <v>326</v>
      </c>
      <c r="B53">
        <v>1</v>
      </c>
      <c r="C53">
        <v>2</v>
      </c>
      <c r="D53">
        <v>3</v>
      </c>
      <c r="E53">
        <v>4</v>
      </c>
      <c r="F53">
        <v>5</v>
      </c>
      <c r="G53">
        <v>6</v>
      </c>
      <c r="H53" t="s">
        <v>333</v>
      </c>
    </row>
    <row r="54" spans="1:8" x14ac:dyDescent="0.2">
      <c r="A54" s="235" t="s">
        <v>15</v>
      </c>
      <c r="B54">
        <v>3</v>
      </c>
      <c r="C54">
        <v>4</v>
      </c>
      <c r="D54">
        <v>1</v>
      </c>
      <c r="E54">
        <v>2</v>
      </c>
      <c r="F54">
        <v>19</v>
      </c>
      <c r="G54">
        <v>3</v>
      </c>
      <c r="H54">
        <v>32</v>
      </c>
    </row>
    <row r="55" spans="1:8" x14ac:dyDescent="0.2">
      <c r="A55" s="235" t="s">
        <v>17</v>
      </c>
      <c r="B55">
        <v>5</v>
      </c>
      <c r="C55">
        <v>9</v>
      </c>
      <c r="D55">
        <v>3</v>
      </c>
      <c r="F55">
        <v>25</v>
      </c>
      <c r="G55">
        <v>4</v>
      </c>
      <c r="H55">
        <v>46</v>
      </c>
    </row>
    <row r="56" spans="1:8" x14ac:dyDescent="0.2">
      <c r="A56" s="235" t="s">
        <v>133</v>
      </c>
      <c r="B56">
        <v>6</v>
      </c>
      <c r="C56">
        <v>7</v>
      </c>
      <c r="D56">
        <v>2</v>
      </c>
      <c r="F56">
        <v>10</v>
      </c>
      <c r="G56">
        <v>5</v>
      </c>
      <c r="H56">
        <v>30</v>
      </c>
    </row>
    <row r="57" spans="1:8" x14ac:dyDescent="0.2">
      <c r="A57" s="235" t="s">
        <v>144</v>
      </c>
      <c r="B57">
        <v>4</v>
      </c>
      <c r="C57">
        <v>10</v>
      </c>
      <c r="D57">
        <v>1</v>
      </c>
      <c r="F57">
        <v>19</v>
      </c>
      <c r="G57">
        <v>22</v>
      </c>
      <c r="H57">
        <v>56</v>
      </c>
    </row>
    <row r="58" spans="1:8" x14ac:dyDescent="0.2">
      <c r="A58" s="235" t="s">
        <v>282</v>
      </c>
      <c r="B58">
        <v>9</v>
      </c>
      <c r="C58">
        <v>10</v>
      </c>
      <c r="D58">
        <v>2</v>
      </c>
      <c r="F58">
        <v>17</v>
      </c>
      <c r="G58">
        <v>2</v>
      </c>
      <c r="H58">
        <v>40</v>
      </c>
    </row>
    <row r="59" spans="1:8" x14ac:dyDescent="0.2">
      <c r="A59" s="235" t="s">
        <v>311</v>
      </c>
      <c r="B59">
        <v>8</v>
      </c>
      <c r="C59">
        <v>4</v>
      </c>
      <c r="D59">
        <v>3</v>
      </c>
      <c r="F59">
        <v>15</v>
      </c>
      <c r="G59">
        <v>5</v>
      </c>
      <c r="H59">
        <v>35</v>
      </c>
    </row>
    <row r="60" spans="1:8" x14ac:dyDescent="0.2">
      <c r="A60" s="235" t="s">
        <v>621</v>
      </c>
      <c r="B60">
        <v>5</v>
      </c>
      <c r="C60">
        <v>9</v>
      </c>
      <c r="D60">
        <v>1</v>
      </c>
      <c r="E60">
        <v>1</v>
      </c>
      <c r="F60">
        <v>12</v>
      </c>
      <c r="G60">
        <v>3</v>
      </c>
      <c r="H60">
        <v>31</v>
      </c>
    </row>
    <row r="61" spans="1:8" x14ac:dyDescent="0.2">
      <c r="A61" s="235" t="s">
        <v>1419</v>
      </c>
      <c r="B61">
        <v>4</v>
      </c>
      <c r="C61">
        <v>7</v>
      </c>
      <c r="D61">
        <v>4</v>
      </c>
      <c r="E61">
        <v>2</v>
      </c>
      <c r="F61">
        <v>4</v>
      </c>
      <c r="G61">
        <v>4</v>
      </c>
      <c r="H61">
        <v>25</v>
      </c>
    </row>
    <row r="62" spans="1:8" x14ac:dyDescent="0.2">
      <c r="A62" s="235" t="s">
        <v>1572</v>
      </c>
      <c r="B62">
        <v>2</v>
      </c>
      <c r="C62">
        <v>8</v>
      </c>
      <c r="D62">
        <v>2</v>
      </c>
      <c r="F62">
        <v>8</v>
      </c>
      <c r="G62">
        <v>2</v>
      </c>
      <c r="H62">
        <v>22</v>
      </c>
    </row>
    <row r="63" spans="1:8" x14ac:dyDescent="0.2">
      <c r="A63" s="235" t="s">
        <v>333</v>
      </c>
      <c r="B63">
        <v>46</v>
      </c>
      <c r="C63">
        <v>68</v>
      </c>
      <c r="D63">
        <v>19</v>
      </c>
      <c r="E63">
        <v>5</v>
      </c>
      <c r="F63">
        <v>129</v>
      </c>
      <c r="G63">
        <v>50</v>
      </c>
      <c r="H63">
        <v>317</v>
      </c>
    </row>
    <row r="67" spans="1:9" x14ac:dyDescent="0.2">
      <c r="A67" s="234" t="s">
        <v>993</v>
      </c>
      <c r="B67" t="s">
        <v>852</v>
      </c>
    </row>
    <row r="68" spans="1:9" x14ac:dyDescent="0.2">
      <c r="A68" s="234" t="s">
        <v>1111</v>
      </c>
      <c r="B68" t="s">
        <v>341</v>
      </c>
    </row>
    <row r="70" spans="1:9" x14ac:dyDescent="0.2">
      <c r="A70" s="234" t="s">
        <v>344</v>
      </c>
      <c r="B70" s="234" t="s">
        <v>336</v>
      </c>
    </row>
    <row r="71" spans="1:9" x14ac:dyDescent="0.2">
      <c r="A71" s="234" t="s">
        <v>326</v>
      </c>
      <c r="B71">
        <v>1</v>
      </c>
      <c r="C71">
        <v>2</v>
      </c>
      <c r="D71">
        <v>3</v>
      </c>
      <c r="E71">
        <v>4</v>
      </c>
      <c r="F71">
        <v>5</v>
      </c>
      <c r="G71">
        <v>6</v>
      </c>
      <c r="H71" t="s">
        <v>848</v>
      </c>
      <c r="I71" t="s">
        <v>333</v>
      </c>
    </row>
    <row r="72" spans="1:9" x14ac:dyDescent="0.2">
      <c r="A72" s="235" t="s">
        <v>15</v>
      </c>
      <c r="B72">
        <v>5</v>
      </c>
      <c r="C72">
        <v>7</v>
      </c>
      <c r="D72">
        <v>1</v>
      </c>
      <c r="E72">
        <v>1</v>
      </c>
      <c r="F72">
        <v>3</v>
      </c>
      <c r="G72">
        <v>7</v>
      </c>
      <c r="I72">
        <v>24</v>
      </c>
    </row>
    <row r="73" spans="1:9" x14ac:dyDescent="0.2">
      <c r="A73" s="235" t="s">
        <v>17</v>
      </c>
      <c r="B73">
        <v>3</v>
      </c>
      <c r="C73">
        <v>10</v>
      </c>
      <c r="D73">
        <v>1</v>
      </c>
      <c r="E73">
        <v>1</v>
      </c>
      <c r="F73">
        <v>5</v>
      </c>
      <c r="G73">
        <v>5</v>
      </c>
      <c r="I73">
        <v>25</v>
      </c>
    </row>
    <row r="74" spans="1:9" x14ac:dyDescent="0.2">
      <c r="A74" s="235" t="s">
        <v>133</v>
      </c>
      <c r="B74">
        <v>3</v>
      </c>
      <c r="C74">
        <v>6</v>
      </c>
      <c r="D74">
        <v>4</v>
      </c>
      <c r="F74">
        <v>1</v>
      </c>
      <c r="G74">
        <v>2</v>
      </c>
      <c r="I74">
        <v>16</v>
      </c>
    </row>
    <row r="75" spans="1:9" x14ac:dyDescent="0.2">
      <c r="A75" s="235" t="s">
        <v>144</v>
      </c>
      <c r="B75">
        <v>6</v>
      </c>
      <c r="C75">
        <v>13</v>
      </c>
      <c r="F75">
        <v>5</v>
      </c>
      <c r="G75">
        <v>3</v>
      </c>
      <c r="H75">
        <v>2</v>
      </c>
      <c r="I75">
        <v>29</v>
      </c>
    </row>
    <row r="76" spans="1:9" x14ac:dyDescent="0.2">
      <c r="A76" s="235" t="s">
        <v>282</v>
      </c>
      <c r="B76">
        <v>7</v>
      </c>
      <c r="C76">
        <v>9</v>
      </c>
      <c r="D76">
        <v>1</v>
      </c>
      <c r="F76">
        <v>4</v>
      </c>
      <c r="G76">
        <v>5</v>
      </c>
      <c r="I76">
        <v>26</v>
      </c>
    </row>
    <row r="77" spans="1:9" x14ac:dyDescent="0.2">
      <c r="A77" s="235" t="s">
        <v>311</v>
      </c>
      <c r="B77">
        <v>5</v>
      </c>
      <c r="C77">
        <v>7</v>
      </c>
      <c r="F77">
        <v>4</v>
      </c>
      <c r="G77">
        <v>2</v>
      </c>
      <c r="H77">
        <v>1</v>
      </c>
      <c r="I77">
        <v>19</v>
      </c>
    </row>
    <row r="78" spans="1:9" x14ac:dyDescent="0.2">
      <c r="A78" s="235" t="s">
        <v>621</v>
      </c>
      <c r="B78">
        <v>12</v>
      </c>
      <c r="C78">
        <v>9</v>
      </c>
      <c r="D78">
        <v>4</v>
      </c>
      <c r="E78">
        <v>1</v>
      </c>
      <c r="F78">
        <v>5</v>
      </c>
      <c r="G78">
        <v>4</v>
      </c>
      <c r="I78">
        <v>35</v>
      </c>
    </row>
    <row r="79" spans="1:9" x14ac:dyDescent="0.2">
      <c r="A79" s="235" t="s">
        <v>1419</v>
      </c>
      <c r="B79">
        <v>3</v>
      </c>
      <c r="C79">
        <v>14</v>
      </c>
      <c r="D79">
        <v>3</v>
      </c>
      <c r="F79">
        <v>6</v>
      </c>
      <c r="G79">
        <v>1</v>
      </c>
      <c r="I79">
        <v>27</v>
      </c>
    </row>
    <row r="80" spans="1:9" x14ac:dyDescent="0.2">
      <c r="A80" s="235" t="s">
        <v>1572</v>
      </c>
      <c r="B80">
        <v>13</v>
      </c>
      <c r="C80">
        <v>19</v>
      </c>
      <c r="D80">
        <v>4</v>
      </c>
      <c r="E80">
        <v>1</v>
      </c>
      <c r="F80">
        <v>17</v>
      </c>
      <c r="G80">
        <v>9</v>
      </c>
      <c r="I80">
        <v>63</v>
      </c>
    </row>
    <row r="81" spans="1:9" x14ac:dyDescent="0.2">
      <c r="A81" s="235" t="s">
        <v>333</v>
      </c>
      <c r="B81">
        <v>57</v>
      </c>
      <c r="C81">
        <v>94</v>
      </c>
      <c r="D81">
        <v>18</v>
      </c>
      <c r="E81">
        <v>4</v>
      </c>
      <c r="F81">
        <v>50</v>
      </c>
      <c r="G81">
        <v>38</v>
      </c>
      <c r="H81">
        <v>3</v>
      </c>
      <c r="I81">
        <v>264</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21">
    <tabColor theme="5" tint="0.39997558519241921"/>
    <pageSetUpPr fitToPage="1"/>
  </sheetPr>
  <dimension ref="A1:O66"/>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35.140625" customWidth="1"/>
    <col min="2" max="15" width="13.28515625" customWidth="1"/>
  </cols>
  <sheetData>
    <row r="1" spans="1:15" ht="18" customHeight="1" x14ac:dyDescent="0.2">
      <c r="A1" s="298" t="s">
        <v>627</v>
      </c>
    </row>
    <row r="2" spans="1:15" ht="18" customHeight="1" x14ac:dyDescent="0.2">
      <c r="A2" s="106" t="s">
        <v>578</v>
      </c>
    </row>
    <row r="3" spans="1:15" ht="31.5" customHeight="1" x14ac:dyDescent="0.2">
      <c r="A3" s="237" t="s">
        <v>1033</v>
      </c>
      <c r="B3" s="181"/>
      <c r="C3" s="181"/>
      <c r="D3" s="181"/>
      <c r="E3" s="181"/>
      <c r="F3" s="181"/>
      <c r="G3" s="181"/>
      <c r="H3" s="181"/>
      <c r="I3" s="1"/>
      <c r="J3" s="1"/>
      <c r="K3" s="1"/>
      <c r="L3" s="1"/>
      <c r="M3" s="1"/>
    </row>
    <row r="4" spans="1:15" ht="13.5" customHeight="1" x14ac:dyDescent="0.25">
      <c r="A4" s="351" t="s">
        <v>579</v>
      </c>
      <c r="B4" s="1043" t="s">
        <v>1405</v>
      </c>
      <c r="D4" s="339"/>
      <c r="M4" s="1"/>
    </row>
    <row r="5" spans="1:15" ht="13.5" customHeight="1" x14ac:dyDescent="0.25">
      <c r="A5" s="351" t="s">
        <v>580</v>
      </c>
      <c r="B5" s="351" t="s">
        <v>581</v>
      </c>
      <c r="C5" s="339"/>
      <c r="D5" s="339"/>
      <c r="E5" s="339"/>
      <c r="F5" s="339"/>
      <c r="G5" s="339"/>
      <c r="H5" s="339"/>
      <c r="I5" s="1"/>
      <c r="J5" s="1"/>
      <c r="K5" s="1"/>
      <c r="L5" s="1"/>
      <c r="M5" s="1"/>
    </row>
    <row r="6" spans="1:15" ht="13.5" customHeight="1" x14ac:dyDescent="0.25">
      <c r="A6" s="351" t="s">
        <v>582</v>
      </c>
      <c r="B6" s="351" t="s">
        <v>585</v>
      </c>
      <c r="C6" s="339"/>
      <c r="D6" s="339"/>
      <c r="E6" s="339"/>
      <c r="F6" s="339"/>
      <c r="G6" s="339"/>
      <c r="H6" s="339"/>
      <c r="I6" s="1"/>
      <c r="J6" s="1"/>
      <c r="K6" s="1"/>
      <c r="L6" s="1"/>
      <c r="M6" s="1"/>
    </row>
    <row r="7" spans="1:15" ht="26.25" customHeight="1" x14ac:dyDescent="0.25">
      <c r="B7" s="1312" t="s">
        <v>649</v>
      </c>
      <c r="C7" s="1312"/>
      <c r="D7" s="1312"/>
      <c r="E7" s="1312"/>
      <c r="F7" s="1312"/>
      <c r="G7" s="1312"/>
      <c r="J7" s="1312" t="s">
        <v>650</v>
      </c>
      <c r="K7" s="1312"/>
      <c r="L7" s="1312"/>
      <c r="M7" s="1312"/>
      <c r="N7" s="1312"/>
      <c r="O7" s="1312"/>
    </row>
    <row r="8" spans="1:15" ht="18.75" customHeight="1" x14ac:dyDescent="0.2">
      <c r="A8" s="62"/>
      <c r="B8" s="1275" t="s">
        <v>124</v>
      </c>
      <c r="C8" s="1334"/>
      <c r="D8" s="1275" t="s">
        <v>53</v>
      </c>
      <c r="E8" s="1334"/>
      <c r="F8" s="1275" t="s">
        <v>125</v>
      </c>
      <c r="G8" s="1334"/>
      <c r="H8" s="1"/>
      <c r="I8" s="62"/>
      <c r="J8" s="1275" t="s">
        <v>124</v>
      </c>
      <c r="K8" s="1334"/>
      <c r="L8" s="1275" t="s">
        <v>53</v>
      </c>
      <c r="M8" s="1334"/>
      <c r="N8" s="1275" t="s">
        <v>125</v>
      </c>
      <c r="O8" s="1334"/>
    </row>
    <row r="9" spans="1:15" ht="39.75" customHeight="1" x14ac:dyDescent="0.2">
      <c r="A9" s="357" t="s">
        <v>4</v>
      </c>
      <c r="B9" s="574" t="s">
        <v>0</v>
      </c>
      <c r="C9" s="575" t="s">
        <v>280</v>
      </c>
      <c r="D9" s="574" t="s">
        <v>0</v>
      </c>
      <c r="E9" s="575" t="s">
        <v>280</v>
      </c>
      <c r="F9" s="574" t="s">
        <v>0</v>
      </c>
      <c r="G9" s="575" t="s">
        <v>280</v>
      </c>
      <c r="H9" s="1164"/>
      <c r="I9" s="357" t="s">
        <v>4</v>
      </c>
      <c r="J9" s="574" t="s">
        <v>0</v>
      </c>
      <c r="K9" s="575" t="s">
        <v>280</v>
      </c>
      <c r="L9" s="574" t="s">
        <v>0</v>
      </c>
      <c r="M9" s="575" t="s">
        <v>280</v>
      </c>
      <c r="N9" s="574" t="s">
        <v>0</v>
      </c>
      <c r="O9" s="575" t="s">
        <v>280</v>
      </c>
    </row>
    <row r="10" spans="1:15" ht="15" customHeight="1" x14ac:dyDescent="0.2">
      <c r="A10" s="29" t="str">
        <f>T_10!A4</f>
        <v>2001-02</v>
      </c>
      <c r="B10" s="927">
        <f>T_10!U4</f>
        <v>990793</v>
      </c>
      <c r="C10" s="928">
        <f>T_10!V4</f>
        <v>20036.38</v>
      </c>
      <c r="D10" s="934"/>
      <c r="E10" s="935"/>
      <c r="F10" s="927">
        <f>T_10!AR4</f>
        <v>63907</v>
      </c>
      <c r="G10" s="928">
        <f>T_10!AS4</f>
        <v>21959.66</v>
      </c>
      <c r="I10" s="2" t="str">
        <f>T_10!A4</f>
        <v>2001-02</v>
      </c>
      <c r="J10" s="927">
        <f>T_10!F4</f>
        <v>431838</v>
      </c>
      <c r="K10" s="928">
        <f>T_10!G4</f>
        <v>8732.8700000000008</v>
      </c>
      <c r="L10" s="927">
        <f>'Incidents Timeseries'!I22</f>
        <v>57919</v>
      </c>
      <c r="M10" s="928">
        <f>L10/PopulationOtherArea!I9*1000000</f>
        <v>11436.949567552625</v>
      </c>
      <c r="N10" s="927">
        <f>T_10!AC4</f>
        <v>35203</v>
      </c>
      <c r="O10" s="928">
        <f>T_10!AD4</f>
        <v>12096.42</v>
      </c>
    </row>
    <row r="11" spans="1:15" ht="15" customHeight="1" x14ac:dyDescent="0.2">
      <c r="A11" s="29" t="str">
        <f>T_10!A5</f>
        <v>2002-03</v>
      </c>
      <c r="B11" s="927">
        <f>T_10!U5</f>
        <v>958142</v>
      </c>
      <c r="C11" s="928">
        <f>T_10!V5</f>
        <v>19286.54</v>
      </c>
      <c r="D11" s="936"/>
      <c r="E11" s="935"/>
      <c r="F11" s="927">
        <f>T_10!AR5</f>
        <v>62540</v>
      </c>
      <c r="G11" s="928">
        <f>T_10!AS5</f>
        <v>21396.560000000001</v>
      </c>
      <c r="I11" s="2" t="str">
        <f>T_10!A5</f>
        <v>2002-03</v>
      </c>
      <c r="J11" s="927">
        <f>T_10!F5</f>
        <v>412491</v>
      </c>
      <c r="K11" s="928">
        <f>T_10!G5</f>
        <v>8303.08</v>
      </c>
      <c r="L11" s="927">
        <f>'Incidents Timeseries'!I23</f>
        <v>55326</v>
      </c>
      <c r="M11" s="928">
        <f>L11/PopulationOtherArea!I10*1000000</f>
        <v>10921.042242400315</v>
      </c>
      <c r="N11" s="927">
        <f>T_10!AC5</f>
        <v>34992</v>
      </c>
      <c r="O11" s="928">
        <f>T_10!AD5</f>
        <v>11971.67</v>
      </c>
    </row>
    <row r="12" spans="1:15" ht="15" customHeight="1" x14ac:dyDescent="0.2">
      <c r="A12" s="29" t="str">
        <f>T_10!A6</f>
        <v>2003-04</v>
      </c>
      <c r="B12" s="927">
        <f>T_10!U6</f>
        <v>1016028</v>
      </c>
      <c r="C12" s="928">
        <f>T_10!V6</f>
        <v>20350.88</v>
      </c>
      <c r="D12" s="936"/>
      <c r="E12" s="935"/>
      <c r="F12" s="927">
        <f>T_10!AR6</f>
        <v>63832</v>
      </c>
      <c r="G12" s="928">
        <f>T_10!AS6</f>
        <v>21728.560000000001</v>
      </c>
      <c r="I12" s="2" t="str">
        <f>T_10!A6</f>
        <v>2003-04</v>
      </c>
      <c r="J12" s="927">
        <f>T_10!F6</f>
        <v>473563</v>
      </c>
      <c r="K12" s="928">
        <f>T_10!G6</f>
        <v>9485.39</v>
      </c>
      <c r="L12" s="927">
        <f>'Incidents Timeseries'!I24</f>
        <v>61762</v>
      </c>
      <c r="M12" s="928">
        <f>L12/PopulationOtherArea!I11*1000000</f>
        <v>12185.459208838907</v>
      </c>
      <c r="N12" s="927">
        <f>T_10!AC6</f>
        <v>36247</v>
      </c>
      <c r="O12" s="928">
        <f>T_10!AD6</f>
        <v>12338.56</v>
      </c>
    </row>
    <row r="13" spans="1:15" ht="15" customHeight="1" x14ac:dyDescent="0.2">
      <c r="A13" s="29" t="str">
        <f>T_10!A7</f>
        <v>2004-05</v>
      </c>
      <c r="B13" s="927">
        <f>T_10!U7</f>
        <v>861384</v>
      </c>
      <c r="C13" s="928">
        <f>T_10!V7</f>
        <v>17160.89</v>
      </c>
      <c r="D13" s="936"/>
      <c r="E13" s="935"/>
      <c r="F13" s="927">
        <f>T_10!AR7</f>
        <v>52866</v>
      </c>
      <c r="G13" s="928">
        <f>T_10!AS7</f>
        <v>17875.84</v>
      </c>
      <c r="I13" s="2" t="str">
        <f>T_10!A7</f>
        <v>2004-05</v>
      </c>
      <c r="J13" s="927">
        <f>T_10!F7</f>
        <v>341968</v>
      </c>
      <c r="K13" s="928">
        <f>T_10!G7</f>
        <v>6812.84</v>
      </c>
      <c r="L13" s="927">
        <f>'Incidents Timeseries'!I25</f>
        <v>44171</v>
      </c>
      <c r="M13" s="928">
        <f>L13/PopulationOtherArea!I12*1000000</f>
        <v>8687.7249572212495</v>
      </c>
      <c r="N13" s="927">
        <f>T_10!AC7</f>
        <v>26335</v>
      </c>
      <c r="O13" s="928">
        <f>T_10!AD7</f>
        <v>8904.7800000000007</v>
      </c>
    </row>
    <row r="14" spans="1:15" ht="15" customHeight="1" x14ac:dyDescent="0.2">
      <c r="A14" s="29" t="str">
        <f>T_10!A8</f>
        <v>2005-06</v>
      </c>
      <c r="B14" s="927">
        <f>T_10!U8</f>
        <v>843734</v>
      </c>
      <c r="C14" s="928">
        <f>T_10!V8</f>
        <v>16672.61</v>
      </c>
      <c r="D14" s="936"/>
      <c r="E14" s="935"/>
      <c r="F14" s="927">
        <f>T_10!AR8</f>
        <v>52485</v>
      </c>
      <c r="G14" s="928">
        <f>T_10!AS8</f>
        <v>17675.88</v>
      </c>
      <c r="I14" s="2" t="str">
        <f>T_10!A8</f>
        <v>2005-06</v>
      </c>
      <c r="J14" s="927">
        <f>T_10!F8</f>
        <v>336107</v>
      </c>
      <c r="K14" s="928">
        <f>T_10!G8</f>
        <v>6641.64</v>
      </c>
      <c r="L14" s="927">
        <f>'Incidents Timeseries'!I26</f>
        <v>48375</v>
      </c>
      <c r="M14" s="928">
        <f>L14/PopulationOtherArea!I13*1000000</f>
        <v>9466.3613948573438</v>
      </c>
      <c r="N14" s="927">
        <f>T_10!AC8</f>
        <v>24370</v>
      </c>
      <c r="O14" s="928">
        <f>T_10!AD8</f>
        <v>8207.32</v>
      </c>
    </row>
    <row r="15" spans="1:15" ht="15" customHeight="1" x14ac:dyDescent="0.2">
      <c r="A15" s="29" t="str">
        <f>T_10!A9</f>
        <v>2006-07</v>
      </c>
      <c r="B15" s="927">
        <f>T_10!U9</f>
        <v>854371</v>
      </c>
      <c r="C15" s="928">
        <f>T_10!V9</f>
        <v>16763.810000000001</v>
      </c>
      <c r="D15" s="936"/>
      <c r="E15" s="935"/>
      <c r="F15" s="927">
        <f>T_10!AR9</f>
        <v>56675</v>
      </c>
      <c r="G15" s="928">
        <f>T_10!AS9</f>
        <v>18982.150000000001</v>
      </c>
      <c r="I15" s="2" t="str">
        <f>T_10!A9</f>
        <v>2006-07</v>
      </c>
      <c r="J15" s="927">
        <f>T_10!F9</f>
        <v>336233</v>
      </c>
      <c r="K15" s="928">
        <f>T_10!G9</f>
        <v>6597.31</v>
      </c>
      <c r="L15" s="927">
        <f>'Incidents Timeseries'!I27</f>
        <v>48585</v>
      </c>
      <c r="M15" s="928">
        <f>L15/PopulationOtherArea!I14*1000000</f>
        <v>9465.2250146113383</v>
      </c>
      <c r="N15" s="927">
        <f>T_10!AC9</f>
        <v>26497</v>
      </c>
      <c r="O15" s="928">
        <f>T_10!AD9</f>
        <v>8874.64</v>
      </c>
    </row>
    <row r="16" spans="1:15" ht="15" customHeight="1" x14ac:dyDescent="0.2">
      <c r="A16" s="29" t="str">
        <f>T_10!A10</f>
        <v>2007-08</v>
      </c>
      <c r="B16" s="927">
        <f>T_10!U10</f>
        <v>791746</v>
      </c>
      <c r="C16" s="928">
        <f>T_10!V10</f>
        <v>15409.28</v>
      </c>
      <c r="D16" s="936"/>
      <c r="E16" s="935"/>
      <c r="F16" s="927">
        <f>T_10!AR10</f>
        <v>55086</v>
      </c>
      <c r="G16" s="928">
        <f>T_10!AS10</f>
        <v>18323.52</v>
      </c>
      <c r="I16" s="2" t="str">
        <f>T_10!A10</f>
        <v>2007-08</v>
      </c>
      <c r="J16" s="927">
        <f>T_10!F10</f>
        <v>293920</v>
      </c>
      <c r="K16" s="928">
        <f>T_10!G10</f>
        <v>5720.39</v>
      </c>
      <c r="L16" s="927">
        <f>'Incidents Timeseries'!I28</f>
        <v>45636</v>
      </c>
      <c r="M16" s="928">
        <f>L16/PopulationOtherArea!I15*1000000</f>
        <v>8827.0793036750492</v>
      </c>
      <c r="N16" s="927">
        <f>T_10!AC10</f>
        <v>24661</v>
      </c>
      <c r="O16" s="928">
        <f>T_10!AD10</f>
        <v>8203.11</v>
      </c>
    </row>
    <row r="17" spans="1:15" ht="15" customHeight="1" x14ac:dyDescent="0.2">
      <c r="A17" s="29" t="str">
        <f>T_10!A11</f>
        <v>2008-09</v>
      </c>
      <c r="B17" s="927">
        <f>T_10!U11</f>
        <v>717805</v>
      </c>
      <c r="C17" s="928">
        <f>T_10!V11</f>
        <v>13852.99</v>
      </c>
      <c r="D17" s="936"/>
      <c r="E17" s="935"/>
      <c r="F17" s="927">
        <f>T_10!AR11</f>
        <v>49293</v>
      </c>
      <c r="G17" s="928">
        <f>T_10!AS11</f>
        <v>16290.36</v>
      </c>
      <c r="I17" s="2" t="str">
        <f>T_10!A11</f>
        <v>2008-09</v>
      </c>
      <c r="J17" s="927">
        <f>T_10!F11</f>
        <v>249237</v>
      </c>
      <c r="K17" s="928">
        <f>T_10!G11</f>
        <v>4810.05</v>
      </c>
      <c r="L17" s="927">
        <f>'Incidents Timeseries'!I29</f>
        <v>40570</v>
      </c>
      <c r="M17" s="928">
        <f>L17/PopulationOtherArea!I16*1000000</f>
        <v>7797.5744296450057</v>
      </c>
      <c r="N17" s="927">
        <f>T_10!AC11</f>
        <v>19521</v>
      </c>
      <c r="O17" s="928">
        <f>T_10!AD11</f>
        <v>6451.3</v>
      </c>
    </row>
    <row r="18" spans="1:15" ht="15" customHeight="1" x14ac:dyDescent="0.2">
      <c r="A18" s="29" t="str">
        <f>T_10!A12</f>
        <v>2009-10</v>
      </c>
      <c r="B18" s="927">
        <f>T_10!U12</f>
        <v>680634</v>
      </c>
      <c r="C18" s="928">
        <f>T_10!V12</f>
        <v>13039.86</v>
      </c>
      <c r="D18" s="927">
        <f>'Incidents Timeseries'!Q30</f>
        <v>103817</v>
      </c>
      <c r="E18" s="928">
        <f>D18/PopulationOtherArea!I17*1000000</f>
        <v>19843.078040482425</v>
      </c>
      <c r="F18" s="927">
        <f>T_10!AR12</f>
        <v>46341</v>
      </c>
      <c r="G18" s="928">
        <f>T_10!AS12</f>
        <v>15249.27</v>
      </c>
      <c r="I18" s="2" t="str">
        <f>T_10!A12</f>
        <v>2009-10</v>
      </c>
      <c r="J18" s="927">
        <f>T_10!F12</f>
        <v>241462</v>
      </c>
      <c r="K18" s="928">
        <f>T_10!G12</f>
        <v>4626.03</v>
      </c>
      <c r="L18" s="927">
        <f>'Incidents Timeseries'!I30</f>
        <v>38737</v>
      </c>
      <c r="M18" s="928">
        <f>L18/PopulationOtherArea!I17*1000000</f>
        <v>7404.0023700758802</v>
      </c>
      <c r="N18" s="927">
        <f>T_10!AC12</f>
        <v>19152</v>
      </c>
      <c r="O18" s="928">
        <f>T_10!AD12</f>
        <v>6302.28</v>
      </c>
    </row>
    <row r="19" spans="1:15" ht="15" customHeight="1" x14ac:dyDescent="0.2">
      <c r="A19" s="29" t="str">
        <f>T_10!A13</f>
        <v>2010-11</v>
      </c>
      <c r="B19" s="927">
        <f>T_10!U13</f>
        <v>647362</v>
      </c>
      <c r="C19" s="928">
        <f>T_10!V13</f>
        <v>12297.33</v>
      </c>
      <c r="D19" s="927">
        <f>'Incidents Timeseries'!Q31</f>
        <v>101433</v>
      </c>
      <c r="E19" s="928">
        <f>D19/PopulationOtherArea!I18*1000000</f>
        <v>19275.778191630878</v>
      </c>
      <c r="F19" s="927">
        <f>T_10!AR13</f>
        <v>46881</v>
      </c>
      <c r="G19" s="928">
        <f>T_10!AS13</f>
        <v>15370.82</v>
      </c>
      <c r="I19" s="2" t="str">
        <f>T_10!A13</f>
        <v>2010-11</v>
      </c>
      <c r="J19" s="927">
        <f>T_10!F13</f>
        <v>228412</v>
      </c>
      <c r="K19" s="928">
        <f>T_10!G13</f>
        <v>4338.93</v>
      </c>
      <c r="L19" s="927">
        <f>'Incidents Timeseries'!I31</f>
        <v>38935</v>
      </c>
      <c r="M19" s="928">
        <f>L19/PopulationOtherArea!I18*1000000</f>
        <v>7398.9966173843641</v>
      </c>
      <c r="N19" s="927">
        <f>T_10!AC13</f>
        <v>20688</v>
      </c>
      <c r="O19" s="928">
        <f>T_10!AD13</f>
        <v>6782.95</v>
      </c>
    </row>
    <row r="20" spans="1:15" ht="15" customHeight="1" x14ac:dyDescent="0.2">
      <c r="A20" s="29" t="str">
        <f>T_10!A14</f>
        <v>2011-12</v>
      </c>
      <c r="B20" s="927">
        <f>T_10!U14</f>
        <v>606941</v>
      </c>
      <c r="C20" s="928">
        <f>T_10!V14</f>
        <v>11428.6</v>
      </c>
      <c r="D20" s="927">
        <f>'Incidents Timeseries'!Q32</f>
        <v>91566</v>
      </c>
      <c r="E20" s="928">
        <f>D20/PopulationOtherArea!I19*1000000</f>
        <v>17276.929753391574</v>
      </c>
      <c r="F20" s="927">
        <f>T_10!AR14</f>
        <v>39996</v>
      </c>
      <c r="G20" s="928">
        <f>T_10!AS14</f>
        <v>13054.38</v>
      </c>
      <c r="I20" s="2" t="str">
        <f>T_10!A14</f>
        <v>2011-12</v>
      </c>
      <c r="J20" s="927">
        <f>T_10!F14</f>
        <v>223937</v>
      </c>
      <c r="K20" s="928">
        <f>T_10!G14</f>
        <v>4216.7</v>
      </c>
      <c r="L20" s="927">
        <f>'Incidents Timeseries'!I32</f>
        <v>32339</v>
      </c>
      <c r="M20" s="928">
        <f>L20/PopulationOtherArea!I19*1000000</f>
        <v>6101.8132417592788</v>
      </c>
      <c r="N20" s="927">
        <f>T_10!AC14</f>
        <v>16464</v>
      </c>
      <c r="O20" s="928">
        <f>T_10!AD14</f>
        <v>5373.72</v>
      </c>
    </row>
    <row r="21" spans="1:15" ht="15" customHeight="1" x14ac:dyDescent="0.2">
      <c r="A21" s="29" t="str">
        <f>T_10!A15</f>
        <v>2012-13</v>
      </c>
      <c r="B21" s="927">
        <f>T_10!U15</f>
        <v>521322</v>
      </c>
      <c r="C21" s="928">
        <f>T_10!V15</f>
        <v>9745.48</v>
      </c>
      <c r="D21" s="927">
        <f>'Incidents Timeseries'!Q33</f>
        <v>83832</v>
      </c>
      <c r="E21" s="928">
        <f>D21/PopulationOtherArea!I20*1000000</f>
        <v>15776.87443541102</v>
      </c>
      <c r="F21" s="927">
        <f>T_10!AR15</f>
        <v>36251</v>
      </c>
      <c r="G21" s="928">
        <f>T_10!AS15</f>
        <v>11792.39</v>
      </c>
      <c r="I21" s="2" t="str">
        <f>T_10!A15</f>
        <v>2012-13</v>
      </c>
      <c r="J21" s="927">
        <f>T_10!F15</f>
        <v>154462</v>
      </c>
      <c r="K21" s="928">
        <f>T_10!G15</f>
        <v>2887.48</v>
      </c>
      <c r="L21" s="927">
        <f>'Incidents Timeseries'!I33</f>
        <v>26740</v>
      </c>
      <c r="M21" s="928">
        <f>L21/PopulationOtherArea!I20*1000000</f>
        <v>5032.3697681421254</v>
      </c>
      <c r="N21" s="927">
        <f>T_10!AC15</f>
        <v>11438</v>
      </c>
      <c r="O21" s="928">
        <f>T_10!AD15</f>
        <v>3720.76</v>
      </c>
    </row>
    <row r="22" spans="1:15" ht="15" customHeight="1" x14ac:dyDescent="0.2">
      <c r="A22" s="29" t="str">
        <f>T_10!A16</f>
        <v>2013-14</v>
      </c>
      <c r="B22" s="927">
        <f>T_10!U16</f>
        <v>526895</v>
      </c>
      <c r="C22" s="928">
        <f>T_10!V16</f>
        <v>9781.6200000000008</v>
      </c>
      <c r="D22" s="927">
        <f>'Incidents Timeseries'!Q34</f>
        <v>84882</v>
      </c>
      <c r="E22" s="928">
        <f>D22/PopulationOtherArea!I21*1000000</f>
        <v>15932.203389830507</v>
      </c>
      <c r="F22" s="927">
        <f>T_10!AR16</f>
        <v>38599</v>
      </c>
      <c r="G22" s="928">
        <f>T_10!AS16</f>
        <v>12522.39</v>
      </c>
      <c r="I22" s="2" t="str">
        <f>T_10!A16</f>
        <v>2013-14</v>
      </c>
      <c r="J22" s="927">
        <f>T_10!F16</f>
        <v>171355</v>
      </c>
      <c r="K22" s="928">
        <f>T_10!G16</f>
        <v>3181.15</v>
      </c>
      <c r="L22" s="927">
        <f>'Incidents Timeseries'!I34</f>
        <v>27989</v>
      </c>
      <c r="M22" s="928">
        <f>L22/PopulationOtherArea!I21*1000000</f>
        <v>5253.4864951104601</v>
      </c>
      <c r="N22" s="927">
        <f>T_10!AC16</f>
        <v>13169</v>
      </c>
      <c r="O22" s="928">
        <f>T_10!AD16</f>
        <v>4272.32</v>
      </c>
    </row>
    <row r="23" spans="1:15" ht="15" customHeight="1" x14ac:dyDescent="0.2">
      <c r="A23" s="29" t="str">
        <f>T_10!A17</f>
        <v>2014-15</v>
      </c>
      <c r="B23" s="927">
        <f>T_10!U17</f>
        <v>496275</v>
      </c>
      <c r="C23" s="928">
        <f>T_10!V17</f>
        <v>9136.7099999999991</v>
      </c>
      <c r="D23" s="927">
        <f>'Incidents Timeseries'!Q35</f>
        <v>85051</v>
      </c>
      <c r="E23" s="928">
        <f>D23/PopulationOtherArea!I22*1000000</f>
        <v>15904.517914578502</v>
      </c>
      <c r="F23" s="927">
        <f>T_10!AR17</f>
        <v>36425</v>
      </c>
      <c r="G23" s="928">
        <f>T_10!AS17</f>
        <v>11780.4</v>
      </c>
      <c r="I23" s="29" t="str">
        <f>T_10!A17</f>
        <v>2014-15</v>
      </c>
      <c r="J23" s="927">
        <f>T_10!F17</f>
        <v>155065</v>
      </c>
      <c r="K23" s="928">
        <f>T_10!G17</f>
        <v>2854.84</v>
      </c>
      <c r="L23" s="927">
        <f>'Incidents Timeseries'!I35</f>
        <v>25024</v>
      </c>
      <c r="M23" s="928">
        <f>L23/PopulationOtherArea!I22*1000000</f>
        <v>4679.4823846211384</v>
      </c>
      <c r="N23" s="927">
        <f>T_10!AC17</f>
        <v>11651</v>
      </c>
      <c r="O23" s="928">
        <f>T_10!AD17</f>
        <v>3768.11</v>
      </c>
    </row>
    <row r="24" spans="1:15" ht="15" customHeight="1" x14ac:dyDescent="0.2">
      <c r="A24" s="29" t="str">
        <f>T_10!A18</f>
        <v>2015-16</v>
      </c>
      <c r="B24" s="927">
        <f>T_10!U18</f>
        <v>529674</v>
      </c>
      <c r="C24" s="928">
        <f>T_10!V18</f>
        <v>9668</v>
      </c>
      <c r="D24" s="927">
        <f>'Incidents Timeseries'!Q36</f>
        <v>88869</v>
      </c>
      <c r="E24" s="928">
        <f>D24/PopulationOtherArea!I23*1000000</f>
        <v>16539.921831379117</v>
      </c>
      <c r="F24" s="927">
        <f>T_10!AR18</f>
        <v>36750</v>
      </c>
      <c r="G24" s="928">
        <f>T_10!AS18</f>
        <v>11858.28</v>
      </c>
      <c r="I24" s="29" t="str">
        <f>T_10!A18</f>
        <v>2015-16</v>
      </c>
      <c r="J24" s="927">
        <f>T_10!F18</f>
        <v>162276</v>
      </c>
      <c r="K24" s="928">
        <f>T_10!G18</f>
        <v>2961.98</v>
      </c>
      <c r="L24" s="927">
        <f>'Incidents Timeseries'!I36</f>
        <v>26628</v>
      </c>
      <c r="M24" s="928">
        <f>L24/PopulationOtherArea!I23*1000000</f>
        <v>4955.890563930765</v>
      </c>
      <c r="N24" s="927">
        <f>T_10!AC18</f>
        <v>12108</v>
      </c>
      <c r="O24" s="928">
        <f>T_10!AD18</f>
        <v>3906.94</v>
      </c>
    </row>
    <row r="25" spans="1:15" ht="15" customHeight="1" x14ac:dyDescent="0.2">
      <c r="A25" s="29" t="str">
        <f>T_10!A19</f>
        <v>2016-17</v>
      </c>
      <c r="B25" s="927">
        <f>T_10!U19</f>
        <v>560689</v>
      </c>
      <c r="C25" s="928">
        <f>T_10!V19</f>
        <v>10144.89</v>
      </c>
      <c r="D25" s="927">
        <f>'Incidents Timeseries'!Q37</f>
        <v>91260</v>
      </c>
      <c r="E25" s="928">
        <f>D25/PopulationOtherArea!I24*1000000</f>
        <v>16885.303532110938</v>
      </c>
      <c r="F25" s="927">
        <f>T_10!AR19</f>
        <v>37216</v>
      </c>
      <c r="G25" s="928">
        <f>T_10!AS19</f>
        <v>11954.26</v>
      </c>
      <c r="I25" s="29" t="str">
        <f>T_10!A19</f>
        <v>2016-17</v>
      </c>
      <c r="J25" s="927">
        <f>T_10!F19</f>
        <v>162048</v>
      </c>
      <c r="K25" s="928">
        <f>T_10!G19</f>
        <v>2932.03</v>
      </c>
      <c r="L25" s="927">
        <f>'Incidents Timeseries'!I37</f>
        <v>27304</v>
      </c>
      <c r="M25" s="928">
        <f>L25/PopulationOtherArea!I24*1000000</f>
        <v>5051.8992728551075</v>
      </c>
      <c r="N25" s="927">
        <f>T_10!AC19</f>
        <v>10750</v>
      </c>
      <c r="O25" s="928">
        <f>T_10!AD19</f>
        <v>3453.04</v>
      </c>
    </row>
    <row r="26" spans="1:15" ht="15" customHeight="1" x14ac:dyDescent="0.2">
      <c r="A26" s="29" t="str">
        <f>T_10!A20</f>
        <v>2017-18</v>
      </c>
      <c r="B26" s="927">
        <f>T_10!U20</f>
        <v>566120</v>
      </c>
      <c r="C26" s="928">
        <f>T_10!V20</f>
        <v>10178.459999999999</v>
      </c>
      <c r="D26" s="927">
        <f>'Incidents Timeseries'!Q38</f>
        <v>91901</v>
      </c>
      <c r="E26" s="928">
        <f>D26/PopulationOtherArea!I25*1000000</f>
        <v>16940.901047043208</v>
      </c>
      <c r="F26" s="927">
        <f>T_10!AR20</f>
        <v>36768</v>
      </c>
      <c r="G26" s="928">
        <f>T_10!AS20</f>
        <v>11765.01</v>
      </c>
      <c r="I26" s="29" t="str">
        <f>T_10!A20</f>
        <v>2017-18</v>
      </c>
      <c r="J26" s="927">
        <f>T_10!F20</f>
        <v>167355</v>
      </c>
      <c r="K26" s="928">
        <f>T_10!G20</f>
        <v>3008.93</v>
      </c>
      <c r="L26" s="927">
        <f>'Incidents Timeseries'!I38</f>
        <v>26174</v>
      </c>
      <c r="M26" s="928">
        <f>L26/PopulationOtherArea!I25*1000000</f>
        <v>4824.8783365285353</v>
      </c>
      <c r="N26" s="927">
        <f>T_10!AC20</f>
        <v>11023</v>
      </c>
      <c r="O26" s="928">
        <f>T_10!AD20</f>
        <v>3527.13</v>
      </c>
    </row>
    <row r="27" spans="1:15" ht="15" customHeight="1" x14ac:dyDescent="0.2">
      <c r="A27" s="29" t="str">
        <f>T_10!A21</f>
        <v>2018-19</v>
      </c>
      <c r="B27" s="927">
        <f>T_10!U21</f>
        <v>576532</v>
      </c>
      <c r="C27" s="928">
        <f>T_10!V21</f>
        <v>10299.41</v>
      </c>
      <c r="D27" s="927">
        <f>'Incidents Timeseries'!Q39</f>
        <v>92750</v>
      </c>
      <c r="E27" s="928">
        <f>D27/PopulationOtherArea!I26*1000000</f>
        <v>17055.589268310625</v>
      </c>
      <c r="F27" s="927">
        <f>T_10!AR21</f>
        <v>36674</v>
      </c>
      <c r="G27" s="928">
        <f>T_10!AS21</f>
        <v>11684.83</v>
      </c>
      <c r="I27" s="29" t="str">
        <f>T_10!A21</f>
        <v>2018-19</v>
      </c>
      <c r="J27" s="927">
        <f>T_10!F21</f>
        <v>182933</v>
      </c>
      <c r="K27" s="928">
        <f>T_10!G21</f>
        <v>3267.99</v>
      </c>
      <c r="L27" s="927">
        <f>'Incidents Timeseries'!I39</f>
        <v>26814</v>
      </c>
      <c r="M27" s="928">
        <f>L27/PopulationOtherArea!I26*1000000</f>
        <v>4930.7662602747287</v>
      </c>
      <c r="N27" s="927">
        <f>T_10!AC21</f>
        <v>12911</v>
      </c>
      <c r="O27" s="928">
        <f>T_10!AD21</f>
        <v>4113.62</v>
      </c>
    </row>
    <row r="28" spans="1:15" ht="15" customHeight="1" x14ac:dyDescent="0.2">
      <c r="A28" s="29" t="str">
        <f>T_10!A22</f>
        <v>2019-20</v>
      </c>
      <c r="B28" s="927">
        <f>T_10!U22</f>
        <v>558013</v>
      </c>
      <c r="C28" s="928">
        <f>T_10!V22</f>
        <v>9913.7099999999991</v>
      </c>
      <c r="D28" s="927">
        <f>'Incidents Timeseries'!Q40</f>
        <v>92072</v>
      </c>
      <c r="E28" s="928">
        <f>D28/PopulationOtherArea!I27*1000000</f>
        <v>16852.817893946882</v>
      </c>
      <c r="F28" s="927">
        <f>T_10!AR22</f>
        <v>34993</v>
      </c>
      <c r="G28" s="928">
        <f>T_10!AS22</f>
        <v>11098.67</v>
      </c>
      <c r="I28" s="29" t="str">
        <f>T_10!A22</f>
        <v>2019-20</v>
      </c>
      <c r="J28" s="927">
        <f>T_10!F22</f>
        <v>154180</v>
      </c>
      <c r="K28" s="928">
        <f>T_10!G22</f>
        <v>2739.18</v>
      </c>
      <c r="L28" s="927">
        <f>'Incidents Timeseries'!I40</f>
        <v>24498</v>
      </c>
      <c r="M28" s="928">
        <f>L28/PopulationOtherArea!I27*1000000</f>
        <v>4484.1030146614676</v>
      </c>
      <c r="N28" s="927">
        <f>T_10!AC22</f>
        <v>10587</v>
      </c>
      <c r="O28" s="928">
        <f>T_10!AD22</f>
        <v>3357.86</v>
      </c>
    </row>
    <row r="29" spans="1:15" ht="15" customHeight="1" x14ac:dyDescent="0.2">
      <c r="A29" s="29" t="str">
        <f>T_10!A23</f>
        <v>2020-21</v>
      </c>
      <c r="B29" s="927">
        <f>T_10!U23</f>
        <v>518263</v>
      </c>
      <c r="C29" s="928">
        <f>T_10!V23</f>
        <v>9164.69</v>
      </c>
      <c r="D29" s="927">
        <f>'Incidents Timeseries'!Q41</f>
        <v>85582</v>
      </c>
      <c r="E29" s="928">
        <f>D29/PopulationOtherArea!I28*1000000</f>
        <v>15657.153311379436</v>
      </c>
      <c r="F29" s="927">
        <f>T_10!AR23</f>
        <v>32228</v>
      </c>
      <c r="G29" s="928">
        <f>T_10!AS23</f>
        <v>10167.84</v>
      </c>
      <c r="H29" s="1"/>
      <c r="I29" s="29" t="str">
        <f>T_10!A23</f>
        <v>2020-21</v>
      </c>
      <c r="J29" s="927">
        <f>T_10!F23</f>
        <v>151086</v>
      </c>
      <c r="K29" s="928">
        <f>T_10!G23</f>
        <v>2671.72</v>
      </c>
      <c r="L29" s="927">
        <f>'Incidents Timeseries'!I41</f>
        <v>25147</v>
      </c>
      <c r="M29" s="928">
        <f>L29/PopulationOtherArea!I28*1000000</f>
        <v>4600.6220270764725</v>
      </c>
      <c r="N29" s="927">
        <f>T_10!AC23</f>
        <v>10328</v>
      </c>
      <c r="O29" s="928">
        <f>T_10!AD23</f>
        <v>3258.46</v>
      </c>
    </row>
    <row r="30" spans="1:15" ht="15.75" customHeight="1" x14ac:dyDescent="0.2">
      <c r="A30" s="488" t="str">
        <f>"1 Year % change " &amp; A2 &amp; " to " &amp; A29</f>
        <v>1 Year % change Back to Table of Contents to 2020-21</v>
      </c>
      <c r="B30" s="623">
        <f>B29/B28-1</f>
        <v>-7.1234899545351116E-2</v>
      </c>
      <c r="C30" s="623">
        <f t="shared" ref="C30:E30" si="0">C29/C28-1</f>
        <v>-7.5553955078371149E-2</v>
      </c>
      <c r="D30" s="623">
        <f t="shared" si="0"/>
        <v>-7.048831349378748E-2</v>
      </c>
      <c r="E30" s="623">
        <f t="shared" si="0"/>
        <v>-7.0947457576035378E-2</v>
      </c>
      <c r="F30" s="623"/>
      <c r="G30" s="623"/>
      <c r="H30" s="623"/>
      <c r="I30" s="623"/>
      <c r="J30" s="623">
        <f>J29/J28-1</f>
        <v>-2.0067453625632337E-2</v>
      </c>
      <c r="K30" s="623">
        <f t="shared" ref="K30:M30" si="1">K29/K28-1</f>
        <v>-2.4627808322198574E-2</v>
      </c>
      <c r="L30" s="623">
        <f t="shared" si="1"/>
        <v>2.6491958527226744E-2</v>
      </c>
      <c r="M30" s="623">
        <f t="shared" si="1"/>
        <v>2.5984909810061962E-2</v>
      </c>
      <c r="N30" s="623"/>
      <c r="O30" s="623"/>
    </row>
    <row r="31" spans="1:15" ht="15.75" customHeight="1" x14ac:dyDescent="0.2">
      <c r="A31" s="274" t="str">
        <f>"3 Year % change " &amp; A26 &amp; " to " &amp; A29</f>
        <v>3 Year % change 2017-18 to 2020-21</v>
      </c>
      <c r="B31" s="622">
        <f>B29/B26-1</f>
        <v>-8.4535080901575688E-2</v>
      </c>
      <c r="C31" s="622">
        <f t="shared" ref="C31:E31" si="2">C29/C26-1</f>
        <v>-9.9599546493280733E-2</v>
      </c>
      <c r="D31" s="622">
        <f t="shared" si="2"/>
        <v>-6.8758773027497E-2</v>
      </c>
      <c r="E31" s="622">
        <f t="shared" si="2"/>
        <v>-7.5778008035046751E-2</v>
      </c>
      <c r="F31" s="622"/>
      <c r="G31" s="622"/>
      <c r="H31" s="622"/>
      <c r="I31" s="622"/>
      <c r="J31" s="622">
        <f>J29/J26-1</f>
        <v>-9.7212512324101441E-2</v>
      </c>
      <c r="K31" s="622">
        <f t="shared" ref="K31:M31" si="3">K29/K26-1</f>
        <v>-0.11206973907668172</v>
      </c>
      <c r="L31" s="622">
        <f t="shared" si="3"/>
        <v>-3.9237411171391456E-2</v>
      </c>
      <c r="M31" s="622">
        <f t="shared" si="3"/>
        <v>-4.6479163578954319E-2</v>
      </c>
      <c r="N31" s="622"/>
      <c r="O31" s="622"/>
    </row>
    <row r="32" spans="1:15" ht="15.75" customHeight="1" thickBot="1" x14ac:dyDescent="0.25">
      <c r="A32" s="491" t="str">
        <f>"10 Year % change " &amp; A19 &amp; " to " &amp; A29</f>
        <v>10 Year % change 2010-11 to 2020-21</v>
      </c>
      <c r="B32" s="620">
        <f>B29/B19-1</f>
        <v>-0.19942319753090232</v>
      </c>
      <c r="C32" s="620">
        <f t="shared" ref="C32:E32" si="4">C29/C19-1</f>
        <v>-0.25474147640178801</v>
      </c>
      <c r="D32" s="620">
        <f t="shared" si="4"/>
        <v>-0.15627064170437632</v>
      </c>
      <c r="E32" s="620">
        <f t="shared" si="4"/>
        <v>-0.18772912015674525</v>
      </c>
      <c r="F32" s="620"/>
      <c r="G32" s="620"/>
      <c r="H32" s="620"/>
      <c r="I32" s="620"/>
      <c r="J32" s="620">
        <f>J29/J19-1</f>
        <v>-0.33853737982242615</v>
      </c>
      <c r="K32" s="620">
        <f t="shared" ref="K32:M32" si="5">K29/K19-1</f>
        <v>-0.38424450267692734</v>
      </c>
      <c r="L32" s="620">
        <f t="shared" si="5"/>
        <v>-0.35412867599845899</v>
      </c>
      <c r="M32" s="620">
        <f t="shared" si="5"/>
        <v>-0.37821001076456107</v>
      </c>
      <c r="N32" s="620"/>
      <c r="O32" s="620"/>
    </row>
    <row r="33" spans="1:15" ht="13.5" customHeight="1" x14ac:dyDescent="0.2">
      <c r="A33" s="107"/>
      <c r="B33" s="1"/>
      <c r="C33" s="180"/>
      <c r="D33" s="1"/>
      <c r="E33" s="180"/>
      <c r="F33" s="1"/>
      <c r="G33" s="180"/>
      <c r="H33" s="1"/>
      <c r="I33" s="197"/>
      <c r="J33" s="197"/>
      <c r="K33" s="197"/>
      <c r="L33" s="197"/>
      <c r="M33" s="197"/>
    </row>
    <row r="34" spans="1:15" ht="45" customHeight="1" x14ac:dyDescent="0.25">
      <c r="B34" s="1312" t="s">
        <v>276</v>
      </c>
      <c r="C34" s="1312"/>
      <c r="D34" s="1312"/>
      <c r="E34" s="1312"/>
      <c r="F34" s="1312"/>
      <c r="G34" s="1312"/>
      <c r="J34" s="1312" t="s">
        <v>114</v>
      </c>
      <c r="K34" s="1312"/>
      <c r="L34" s="1312"/>
      <c r="M34" s="1312"/>
      <c r="N34" s="1312"/>
      <c r="O34" s="1312"/>
    </row>
    <row r="35" spans="1:15" ht="13.5" customHeight="1" x14ac:dyDescent="0.2">
      <c r="A35" s="62"/>
      <c r="B35" s="1275" t="s">
        <v>124</v>
      </c>
      <c r="C35" s="1334"/>
      <c r="D35" s="1275" t="s">
        <v>53</v>
      </c>
      <c r="E35" s="1334"/>
      <c r="F35" s="1275" t="s">
        <v>125</v>
      </c>
      <c r="G35" s="1334"/>
      <c r="I35" s="62"/>
      <c r="J35" s="1275" t="s">
        <v>124</v>
      </c>
      <c r="K35" s="1334"/>
      <c r="L35" s="1275" t="s">
        <v>53</v>
      </c>
      <c r="M35" s="1334"/>
      <c r="N35" s="1275" t="s">
        <v>125</v>
      </c>
      <c r="O35" s="1334"/>
    </row>
    <row r="36" spans="1:15" ht="33" customHeight="1" x14ac:dyDescent="0.2">
      <c r="A36" s="357" t="s">
        <v>4</v>
      </c>
      <c r="B36" s="574" t="s">
        <v>0</v>
      </c>
      <c r="C36" s="575" t="s">
        <v>280</v>
      </c>
      <c r="D36" s="574" t="s">
        <v>0</v>
      </c>
      <c r="E36" s="575" t="s">
        <v>280</v>
      </c>
      <c r="F36" s="574" t="s">
        <v>0</v>
      </c>
      <c r="G36" s="575" t="s">
        <v>280</v>
      </c>
      <c r="I36" s="357" t="s">
        <v>4</v>
      </c>
      <c r="J36" s="574" t="s">
        <v>0</v>
      </c>
      <c r="K36" s="575" t="s">
        <v>280</v>
      </c>
      <c r="L36" s="574" t="s">
        <v>0</v>
      </c>
      <c r="M36" s="575" t="s">
        <v>280</v>
      </c>
      <c r="N36" s="574" t="s">
        <v>0</v>
      </c>
      <c r="O36" s="575" t="s">
        <v>280</v>
      </c>
    </row>
    <row r="37" spans="1:15" ht="15" customHeight="1" x14ac:dyDescent="0.2">
      <c r="A37" s="2" t="str">
        <f>T_10!A4</f>
        <v>2001-02</v>
      </c>
      <c r="B37" s="932"/>
      <c r="C37" s="933"/>
      <c r="D37" s="932"/>
      <c r="E37" s="933"/>
      <c r="F37" s="927">
        <f>T_10!AP4</f>
        <v>9159</v>
      </c>
      <c r="G37" s="928">
        <f>T_10!AQ4</f>
        <v>3147.21</v>
      </c>
      <c r="I37" s="2" t="str">
        <f>A37</f>
        <v>2001-02</v>
      </c>
      <c r="J37" s="927">
        <f>T_10!Q4</f>
        <v>393852</v>
      </c>
      <c r="K37" s="928">
        <f>T_10!R4</f>
        <v>7964.7</v>
      </c>
      <c r="L37" s="927">
        <f>'Incidents Timeseries'!M22</f>
        <v>53806</v>
      </c>
      <c r="M37" s="929">
        <f>L37/PopulationOtherArea!I9*1000000</f>
        <v>10624.777852375499</v>
      </c>
      <c r="N37" s="927">
        <f>T_10!AN4</f>
        <v>19545</v>
      </c>
      <c r="O37" s="928">
        <f>T_10!AO4</f>
        <v>6716.03</v>
      </c>
    </row>
    <row r="38" spans="1:15" ht="15" customHeight="1" x14ac:dyDescent="0.2">
      <c r="A38" s="2" t="str">
        <f>T_10!A5</f>
        <v>2002-03</v>
      </c>
      <c r="B38" s="932"/>
      <c r="C38" s="933"/>
      <c r="D38" s="932"/>
      <c r="E38" s="933"/>
      <c r="F38" s="927">
        <f>T_10!AP5</f>
        <v>8479</v>
      </c>
      <c r="G38" s="928">
        <f>T_10!AQ5</f>
        <v>2900.89</v>
      </c>
      <c r="I38" s="2" t="str">
        <f t="shared" ref="I38:I45" si="6">A38</f>
        <v>2002-03</v>
      </c>
      <c r="J38" s="927">
        <f>T_10!Q5</f>
        <v>375353</v>
      </c>
      <c r="K38" s="928">
        <f>T_10!R5</f>
        <v>7555.52</v>
      </c>
      <c r="L38" s="927">
        <f>'Incidents Timeseries'!M23</f>
        <v>52103</v>
      </c>
      <c r="M38" s="929">
        <f>L38/PopulationOtherArea!I10*1000000</f>
        <v>10284.840110540861</v>
      </c>
      <c r="N38" s="927">
        <f>T_10!AN5</f>
        <v>19069</v>
      </c>
      <c r="O38" s="928">
        <f>T_10!AO5</f>
        <v>6524</v>
      </c>
    </row>
    <row r="39" spans="1:15" ht="15" customHeight="1" x14ac:dyDescent="0.2">
      <c r="A39" s="2" t="str">
        <f>T_10!A6</f>
        <v>2003-04</v>
      </c>
      <c r="B39" s="932"/>
      <c r="C39" s="933"/>
      <c r="D39" s="932"/>
      <c r="E39" s="933"/>
      <c r="F39" s="927">
        <f>T_10!AP6</f>
        <v>8276</v>
      </c>
      <c r="G39" s="928">
        <f>T_10!AQ6</f>
        <v>2817.17</v>
      </c>
      <c r="I39" s="2" t="str">
        <f t="shared" si="6"/>
        <v>2003-04</v>
      </c>
      <c r="J39" s="927">
        <f>T_10!Q6</f>
        <v>384082</v>
      </c>
      <c r="K39" s="928">
        <f>T_10!R6</f>
        <v>7693.1</v>
      </c>
      <c r="L39" s="927">
        <f>'Incidents Timeseries'!M24</f>
        <v>52956</v>
      </c>
      <c r="M39" s="929">
        <f>L39/PopulationOtherArea!I11*1000000</f>
        <v>10448.061556673572</v>
      </c>
      <c r="N39" s="927">
        <f>T_10!AN6</f>
        <v>19309</v>
      </c>
      <c r="O39" s="928">
        <f>T_10!AO6</f>
        <v>6572.83</v>
      </c>
    </row>
    <row r="40" spans="1:15" ht="15" customHeight="1" x14ac:dyDescent="0.2">
      <c r="A40" s="2" t="str">
        <f>T_10!A7</f>
        <v>2004-05</v>
      </c>
      <c r="B40" s="932"/>
      <c r="C40" s="933"/>
      <c r="D40" s="932"/>
      <c r="E40" s="933"/>
      <c r="F40" s="927">
        <f>T_10!AP7</f>
        <v>8869</v>
      </c>
      <c r="G40" s="928">
        <f>T_10!AQ7</f>
        <v>2998.92</v>
      </c>
      <c r="I40" s="2" t="str">
        <f t="shared" si="6"/>
        <v>2004-05</v>
      </c>
      <c r="J40" s="927">
        <f>T_10!Q7</f>
        <v>360997</v>
      </c>
      <c r="K40" s="928">
        <f>T_10!R7</f>
        <v>7191.95</v>
      </c>
      <c r="L40" s="927">
        <f>'Incidents Timeseries'!M25</f>
        <v>53842</v>
      </c>
      <c r="M40" s="929">
        <f>L40/PopulationOtherArea!I12*1000000</f>
        <v>10589.855043958854</v>
      </c>
      <c r="N40" s="927">
        <f>T_10!AN7</f>
        <v>17662</v>
      </c>
      <c r="O40" s="928">
        <f>T_10!AO7</f>
        <v>5972.14</v>
      </c>
    </row>
    <row r="41" spans="1:15" ht="15" customHeight="1" x14ac:dyDescent="0.2">
      <c r="A41" s="2" t="str">
        <f>T_10!A8</f>
        <v>2005-06</v>
      </c>
      <c r="B41" s="932"/>
      <c r="C41" s="933"/>
      <c r="D41" s="932"/>
      <c r="E41" s="933"/>
      <c r="F41" s="927">
        <f>T_10!AP8</f>
        <v>9214</v>
      </c>
      <c r="G41" s="928">
        <f>T_10!AQ8</f>
        <v>3103.09</v>
      </c>
      <c r="I41" s="2" t="str">
        <f t="shared" si="6"/>
        <v>2005-06</v>
      </c>
      <c r="J41" s="927">
        <f>T_10!Q8</f>
        <v>350606</v>
      </c>
      <c r="K41" s="928">
        <f>T_10!R8</f>
        <v>6928.15</v>
      </c>
      <c r="L41" s="927">
        <f>'Incidents Timeseries'!M26</f>
        <v>53207</v>
      </c>
      <c r="M41" s="929">
        <f>L41/PopulationOtherArea!I13*1000000</f>
        <v>10411.921255528159</v>
      </c>
      <c r="N41" s="927">
        <f>T_10!AN8</f>
        <v>18901</v>
      </c>
      <c r="O41" s="928">
        <f>T_10!AO8</f>
        <v>6365.47</v>
      </c>
    </row>
    <row r="42" spans="1:15" ht="15" customHeight="1" x14ac:dyDescent="0.2">
      <c r="A42" s="2" t="str">
        <f>T_10!A9</f>
        <v>2006-07</v>
      </c>
      <c r="B42" s="932"/>
      <c r="C42" s="933"/>
      <c r="D42" s="932"/>
      <c r="E42" s="933"/>
      <c r="F42" s="927">
        <f>T_10!AP9</f>
        <v>10185</v>
      </c>
      <c r="G42" s="928">
        <f>T_10!AQ9</f>
        <v>3411.26</v>
      </c>
      <c r="I42" s="2" t="str">
        <f t="shared" si="6"/>
        <v>2006-07</v>
      </c>
      <c r="J42" s="927">
        <f>T_10!Q9</f>
        <v>352136</v>
      </c>
      <c r="K42" s="928">
        <f>T_10!R9</f>
        <v>6909.34</v>
      </c>
      <c r="L42" s="927">
        <f>'Incidents Timeseries'!M27</f>
        <v>54281</v>
      </c>
      <c r="M42" s="929">
        <f>L42/PopulationOtherArea!I14*1000000</f>
        <v>10574.907461523475</v>
      </c>
      <c r="N42" s="927">
        <f>T_10!AN9</f>
        <v>19993</v>
      </c>
      <c r="O42" s="928">
        <f>T_10!AO9</f>
        <v>6696.25</v>
      </c>
    </row>
    <row r="43" spans="1:15" ht="15" customHeight="1" x14ac:dyDescent="0.2">
      <c r="A43" s="2" t="str">
        <f>T_10!A10</f>
        <v>2007-08</v>
      </c>
      <c r="B43" s="932"/>
      <c r="C43" s="933"/>
      <c r="D43" s="932"/>
      <c r="E43" s="933"/>
      <c r="F43" s="927">
        <f>T_10!AP10</f>
        <v>10827</v>
      </c>
      <c r="G43" s="928">
        <f>T_10!AQ10</f>
        <v>3601.44</v>
      </c>
      <c r="I43" s="2" t="str">
        <f t="shared" si="6"/>
        <v>2007-08</v>
      </c>
      <c r="J43" s="927">
        <f>T_10!Q10</f>
        <v>331478</v>
      </c>
      <c r="K43" s="928">
        <f>T_10!R10</f>
        <v>6451.36</v>
      </c>
      <c r="L43" s="927">
        <f>'Incidents Timeseries'!M28</f>
        <v>54433</v>
      </c>
      <c r="M43" s="929">
        <f>L43/PopulationOtherArea!I15*1000000</f>
        <v>10528.626692456481</v>
      </c>
      <c r="N43" s="927">
        <f>T_10!AN10</f>
        <v>19598</v>
      </c>
      <c r="O43" s="928">
        <f>T_10!AO10</f>
        <v>6518.98</v>
      </c>
    </row>
    <row r="44" spans="1:15" ht="15" customHeight="1" x14ac:dyDescent="0.2">
      <c r="A44" s="2" t="str">
        <f>T_10!A11</f>
        <v>2008-09</v>
      </c>
      <c r="B44" s="932"/>
      <c r="C44" s="933"/>
      <c r="D44" s="932"/>
      <c r="E44" s="933"/>
      <c r="F44" s="927">
        <f>T_10!AP11</f>
        <v>10917</v>
      </c>
      <c r="G44" s="928">
        <f>T_10!AQ11</f>
        <v>3607.85</v>
      </c>
      <c r="I44" s="2" t="str">
        <f t="shared" si="6"/>
        <v>2008-09</v>
      </c>
      <c r="J44" s="927">
        <f>T_10!Q11</f>
        <v>312914</v>
      </c>
      <c r="K44" s="928">
        <f>T_10!R11</f>
        <v>6038.96</v>
      </c>
      <c r="L44" s="927">
        <f>'Incidents Timeseries'!M29</f>
        <v>53235</v>
      </c>
      <c r="M44" s="929">
        <f>L44/PopulationOtherArea!I16*1000000</f>
        <v>10231.793807299775</v>
      </c>
      <c r="N44" s="927">
        <f>T_10!AN11</f>
        <v>18855</v>
      </c>
      <c r="O44" s="928">
        <f>T_10!AO11</f>
        <v>6231.2</v>
      </c>
    </row>
    <row r="45" spans="1:15" ht="15" customHeight="1" x14ac:dyDescent="0.2">
      <c r="A45" s="2" t="str">
        <f>T_10!A12</f>
        <v>2009-10</v>
      </c>
      <c r="B45" s="927">
        <f>T_10!S12</f>
        <v>140596</v>
      </c>
      <c r="C45" s="928">
        <f>T_10!T12</f>
        <v>2693.6</v>
      </c>
      <c r="D45" s="927">
        <f>'Incidents Timeseries'!P30</f>
        <v>11503</v>
      </c>
      <c r="E45" s="928">
        <f>D45/PopulationOtherArea!I17*1000000</f>
        <v>2198.6276496110404</v>
      </c>
      <c r="F45" s="927">
        <f>T_10!AP12</f>
        <v>10288</v>
      </c>
      <c r="G45" s="928">
        <f>T_10!AQ12</f>
        <v>3385.44</v>
      </c>
      <c r="I45" s="2" t="str">
        <f t="shared" si="6"/>
        <v>2009-10</v>
      </c>
      <c r="J45" s="927">
        <f>T_10!Q12</f>
        <v>285368</v>
      </c>
      <c r="K45" s="928">
        <f>T_10!R12</f>
        <v>5467.2</v>
      </c>
      <c r="L45" s="927">
        <f>'Incidents Timeseries'!M30</f>
        <v>52075</v>
      </c>
      <c r="M45" s="929">
        <f>L45/PopulationOtherArea!I17*1000000</f>
        <v>9953.3630229935588</v>
      </c>
      <c r="N45" s="927">
        <f>T_10!AN12</f>
        <v>16901</v>
      </c>
      <c r="O45" s="928">
        <f>T_10!AO12</f>
        <v>5561.55</v>
      </c>
    </row>
    <row r="46" spans="1:15" ht="15" customHeight="1" x14ac:dyDescent="0.2">
      <c r="A46" s="2" t="str">
        <f>T_10!A13</f>
        <v>2010-11</v>
      </c>
      <c r="B46" s="927">
        <f>T_10!S13</f>
        <v>134670</v>
      </c>
      <c r="C46" s="928">
        <f>T_10!T13</f>
        <v>2558.1999999999998</v>
      </c>
      <c r="D46" s="927">
        <f>'Incidents Timeseries'!P31</f>
        <v>11335</v>
      </c>
      <c r="E46" s="928">
        <f>D46/PopulationOtherArea!I18*1000000</f>
        <v>2154.0420356504883</v>
      </c>
      <c r="F46" s="927">
        <f>T_10!AP13</f>
        <v>9187</v>
      </c>
      <c r="G46" s="928">
        <f>T_10!AQ13</f>
        <v>3012.13</v>
      </c>
      <c r="I46" s="2" t="str">
        <f t="shared" ref="I46:I56" si="7">A46</f>
        <v>2010-11</v>
      </c>
      <c r="J46" s="927">
        <f>T_10!Q13</f>
        <v>272179</v>
      </c>
      <c r="K46" s="928">
        <f>T_10!R13</f>
        <v>5170.33</v>
      </c>
      <c r="L46" s="927">
        <f>'Incidents Timeseries'!M31</f>
        <v>49851</v>
      </c>
      <c r="M46" s="929">
        <f>L46/PopulationOtherArea!I18*1000000</f>
        <v>9473.4141613773718</v>
      </c>
      <c r="N46" s="927">
        <f>T_10!AN13</f>
        <v>17006</v>
      </c>
      <c r="O46" s="928">
        <f>T_10!AO13</f>
        <v>5575.74</v>
      </c>
    </row>
    <row r="47" spans="1:15" ht="15" customHeight="1" x14ac:dyDescent="0.2">
      <c r="A47" s="2" t="str">
        <f>T_10!A14</f>
        <v>2011-12</v>
      </c>
      <c r="B47" s="927">
        <f>T_10!S14</f>
        <v>123573</v>
      </c>
      <c r="C47" s="928">
        <f>T_10!T14</f>
        <v>2326.86</v>
      </c>
      <c r="D47" s="927">
        <f>'Incidents Timeseries'!P32</f>
        <v>10119</v>
      </c>
      <c r="E47" s="928">
        <f>D47/PopulationOtherArea!I19*1000000</f>
        <v>1909.2813071944754</v>
      </c>
      <c r="F47" s="927">
        <f>T_10!AP14</f>
        <v>7658</v>
      </c>
      <c r="G47" s="928">
        <f>T_10!AQ14</f>
        <v>2499.5100000000002</v>
      </c>
      <c r="I47" s="2" t="str">
        <f t="shared" si="7"/>
        <v>2011-12</v>
      </c>
      <c r="J47" s="927">
        <f>T_10!Q14</f>
        <v>249484</v>
      </c>
      <c r="K47" s="928">
        <f>T_10!R14</f>
        <v>4697.74</v>
      </c>
      <c r="L47" s="927">
        <f>'Incidents Timeseries'!M32</f>
        <v>47922</v>
      </c>
      <c r="M47" s="929">
        <f>L47/PopulationOtherArea!I19*1000000</f>
        <v>9042.0573973093833</v>
      </c>
      <c r="N47" s="927">
        <f>T_10!AN14</f>
        <v>15874</v>
      </c>
      <c r="O47" s="928">
        <f>T_10!AO14</f>
        <v>5181.1499999999996</v>
      </c>
    </row>
    <row r="48" spans="1:15" ht="15" customHeight="1" x14ac:dyDescent="0.2">
      <c r="A48" s="2" t="str">
        <f>T_10!A15</f>
        <v>2012-13</v>
      </c>
      <c r="B48" s="927">
        <f>T_10!S15</f>
        <v>128749</v>
      </c>
      <c r="C48" s="928">
        <f>T_10!T15</f>
        <v>2406.81</v>
      </c>
      <c r="D48" s="927">
        <f>'Incidents Timeseries'!P33</f>
        <v>9166</v>
      </c>
      <c r="E48" s="928">
        <f>D48/PopulationOtherArea!I20*1000000</f>
        <v>1725.0075278530564</v>
      </c>
      <c r="F48" s="927">
        <f>T_10!AP15</f>
        <v>9725</v>
      </c>
      <c r="G48" s="928">
        <f>T_10!AQ15</f>
        <v>3163.53</v>
      </c>
      <c r="I48" s="2" t="str">
        <f t="shared" si="7"/>
        <v>2012-13</v>
      </c>
      <c r="J48" s="927">
        <f>T_10!Q15</f>
        <v>231772</v>
      </c>
      <c r="K48" s="928">
        <f>T_10!R15</f>
        <v>4332.7</v>
      </c>
      <c r="L48" s="927">
        <f>'Incidents Timeseries'!M33</f>
        <v>47288</v>
      </c>
      <c r="M48" s="929">
        <f>L48/PopulationOtherArea!I20*1000000</f>
        <v>8899.4278831677202</v>
      </c>
      <c r="N48" s="927">
        <f>T_10!AN15</f>
        <v>15088</v>
      </c>
      <c r="O48" s="928">
        <f>T_10!AO15</f>
        <v>4908.1000000000004</v>
      </c>
    </row>
    <row r="49" spans="1:15" ht="15" customHeight="1" x14ac:dyDescent="0.2">
      <c r="A49" s="2" t="str">
        <f>T_10!A16</f>
        <v>2013-14</v>
      </c>
      <c r="B49" s="927">
        <f>T_10!S16</f>
        <v>125765</v>
      </c>
      <c r="C49" s="928">
        <f>T_10!T16</f>
        <v>2334.7800000000002</v>
      </c>
      <c r="D49" s="927">
        <f>'Incidents Timeseries'!P34</f>
        <v>9166</v>
      </c>
      <c r="E49" s="928">
        <f>D49/PopulationOtherArea!I21*1000000</f>
        <v>1720.4422170918033</v>
      </c>
      <c r="F49" s="927">
        <f>T_10!AP16</f>
        <v>10118</v>
      </c>
      <c r="G49" s="928">
        <f>T_10!AQ16</f>
        <v>3282.51</v>
      </c>
      <c r="I49" s="2" t="str">
        <f t="shared" si="7"/>
        <v>2013-14</v>
      </c>
      <c r="J49" s="927">
        <f>T_10!Q16</f>
        <v>224122</v>
      </c>
      <c r="K49" s="928">
        <f>T_10!R16</f>
        <v>4160.75</v>
      </c>
      <c r="L49" s="927">
        <f>'Incidents Timeseries'!M34</f>
        <v>47195</v>
      </c>
      <c r="M49" s="929">
        <f>L49/PopulationOtherArea!I21*1000000</f>
        <v>8858.4192052855833</v>
      </c>
      <c r="N49" s="927">
        <f>T_10!AN16</f>
        <v>15312</v>
      </c>
      <c r="O49" s="928">
        <f>T_10!AO16</f>
        <v>4967.5600000000004</v>
      </c>
    </row>
    <row r="50" spans="1:15" ht="15" customHeight="1" x14ac:dyDescent="0.2">
      <c r="A50" s="29" t="str">
        <f>T_10!A17</f>
        <v>2014-15</v>
      </c>
      <c r="B50" s="927">
        <f>T_10!S17</f>
        <v>120093</v>
      </c>
      <c r="C50" s="928">
        <f>T_10!T17</f>
        <v>2210.98</v>
      </c>
      <c r="D50" s="927">
        <f>'Incidents Timeseries'!P35</f>
        <v>10743</v>
      </c>
      <c r="E50" s="928">
        <f>D50/PopulationOtherArea!I22*1000000</f>
        <v>2008.9385892736927</v>
      </c>
      <c r="F50" s="927">
        <f>T_10!AP17</f>
        <v>9289</v>
      </c>
      <c r="G50" s="928">
        <f>T_10!AQ17</f>
        <v>3004.2</v>
      </c>
      <c r="I50" s="29" t="str">
        <f t="shared" si="7"/>
        <v>2014-15</v>
      </c>
      <c r="J50" s="927">
        <f>T_10!Q17</f>
        <v>215873</v>
      </c>
      <c r="K50" s="928">
        <f>T_10!R17</f>
        <v>3974.35</v>
      </c>
      <c r="L50" s="927">
        <f>'Incidents Timeseries'!M35</f>
        <v>48649</v>
      </c>
      <c r="M50" s="929">
        <f>L50/PopulationOtherArea!I22*1000000</f>
        <v>9097.3520831775004</v>
      </c>
      <c r="N50" s="927">
        <f>T_10!AN17</f>
        <v>15485</v>
      </c>
      <c r="O50" s="928">
        <f>T_10!AO17</f>
        <v>5008.09</v>
      </c>
    </row>
    <row r="51" spans="1:15" ht="15" customHeight="1" x14ac:dyDescent="0.2">
      <c r="A51" s="29" t="str">
        <f>T_10!A18</f>
        <v>2015-16</v>
      </c>
      <c r="B51" s="927">
        <f>T_10!S18</f>
        <v>146899</v>
      </c>
      <c r="C51" s="928">
        <f>T_10!T18</f>
        <v>2681.31</v>
      </c>
      <c r="D51" s="927">
        <f>'Incidents Timeseries'!P36</f>
        <v>12839</v>
      </c>
      <c r="E51" s="928">
        <f>D51/PopulationOtherArea!I23*1000000</f>
        <v>2389.5402940629074</v>
      </c>
      <c r="F51" s="927">
        <f>T_10!AP18</f>
        <v>10151</v>
      </c>
      <c r="G51" s="928">
        <f>T_10!AQ18</f>
        <v>3275.47</v>
      </c>
      <c r="I51" s="29" t="str">
        <f t="shared" si="7"/>
        <v>2015-16</v>
      </c>
      <c r="J51" s="927">
        <f>T_10!Q18</f>
        <v>214411</v>
      </c>
      <c r="K51" s="928">
        <f>T_10!R18</f>
        <v>3913.59</v>
      </c>
      <c r="L51" s="927">
        <f>'Incidents Timeseries'!M36</f>
        <v>48846</v>
      </c>
      <c r="M51" s="929">
        <f>L51/PopulationOtherArea!I23*1000000</f>
        <v>9091.0106085985481</v>
      </c>
      <c r="N51" s="927">
        <f>T_10!AN18</f>
        <v>14491</v>
      </c>
      <c r="O51" s="928">
        <f>T_10!AO18</f>
        <v>4675.87</v>
      </c>
    </row>
    <row r="52" spans="1:15" ht="15" customHeight="1" x14ac:dyDescent="0.2">
      <c r="A52" s="29" t="str">
        <f>T_10!A19</f>
        <v>2016-17</v>
      </c>
      <c r="B52" s="927">
        <f>T_10!S19</f>
        <v>168632</v>
      </c>
      <c r="C52" s="928">
        <f>T_10!T19</f>
        <v>3051.16</v>
      </c>
      <c r="D52" s="927">
        <f>'Incidents Timeseries'!P37</f>
        <v>12371</v>
      </c>
      <c r="E52" s="928">
        <f>D52/PopulationOtherArea!I24*1000000</f>
        <v>2288.9337058486135</v>
      </c>
      <c r="F52" s="927">
        <f>T_10!AP19</f>
        <v>11676</v>
      </c>
      <c r="G52" s="928">
        <f>T_10!AQ19</f>
        <v>3750.48</v>
      </c>
      <c r="I52" s="29" t="str">
        <f t="shared" si="7"/>
        <v>2016-17</v>
      </c>
      <c r="J52" s="927">
        <f>T_10!Q19</f>
        <v>223962</v>
      </c>
      <c r="K52" s="928">
        <f>T_10!R19</f>
        <v>4052.28</v>
      </c>
      <c r="L52" s="927">
        <f>'Incidents Timeseries'!M37</f>
        <v>50868</v>
      </c>
      <c r="M52" s="929">
        <f>L52/PopulationOtherArea!I24*1000000</f>
        <v>9411.8082409754461</v>
      </c>
      <c r="N52" s="927">
        <f>T_10!AN19</f>
        <v>14790</v>
      </c>
      <c r="O52" s="928">
        <f>T_10!AO19</f>
        <v>4750.74</v>
      </c>
    </row>
    <row r="53" spans="1:15" ht="15" customHeight="1" x14ac:dyDescent="0.2">
      <c r="A53" s="29" t="str">
        <f>T_10!A20</f>
        <v>2017-18</v>
      </c>
      <c r="B53" s="927">
        <f>T_10!S20</f>
        <v>165940</v>
      </c>
      <c r="C53" s="928">
        <f>T_10!T20</f>
        <v>2983.49</v>
      </c>
      <c r="D53" s="927">
        <f>'Incidents Timeseries'!P38</f>
        <v>13175</v>
      </c>
      <c r="E53" s="928">
        <f>D53/PopulationOtherArea!I25*1000000</f>
        <v>2428.6609644595192</v>
      </c>
      <c r="F53" s="927">
        <f>T_10!AP20</f>
        <v>11584</v>
      </c>
      <c r="G53" s="928">
        <f>T_10!AQ20</f>
        <v>3706.64</v>
      </c>
      <c r="I53" s="29" t="str">
        <f t="shared" si="7"/>
        <v>2017-18</v>
      </c>
      <c r="J53" s="927">
        <f>T_10!Q20</f>
        <v>226054</v>
      </c>
      <c r="K53" s="928">
        <f>T_10!R20</f>
        <v>4064.3</v>
      </c>
      <c r="L53" s="927">
        <f>'Incidents Timeseries'!M38</f>
        <v>51884</v>
      </c>
      <c r="M53" s="929">
        <f>L53/PopulationOtherArea!I25*1000000</f>
        <v>9564.2235658457448</v>
      </c>
      <c r="N53" s="927">
        <f>T_10!AN20</f>
        <v>14161</v>
      </c>
      <c r="O53" s="928">
        <f>T_10!AO20</f>
        <v>4531.2299999999996</v>
      </c>
    </row>
    <row r="54" spans="1:15" ht="15" customHeight="1" x14ac:dyDescent="0.2">
      <c r="A54" s="29" t="str">
        <f>T_10!A21</f>
        <v>2018-19</v>
      </c>
      <c r="B54" s="927">
        <f>T_10!S21</f>
        <v>155105</v>
      </c>
      <c r="C54" s="928">
        <f>T_10!T21</f>
        <v>2770.86</v>
      </c>
      <c r="D54" s="927">
        <f>'Incidents Timeseries'!P39</f>
        <v>12996</v>
      </c>
      <c r="E54" s="928">
        <f>D54/PopulationOtherArea!I26*1000000</f>
        <v>2389.8052628675455</v>
      </c>
      <c r="F54" s="927">
        <f>T_10!AP21</f>
        <v>9278</v>
      </c>
      <c r="G54" s="928">
        <f>T_10!AQ21</f>
        <v>2956.1</v>
      </c>
      <c r="I54" s="29" t="str">
        <f t="shared" si="7"/>
        <v>2018-19</v>
      </c>
      <c r="J54" s="927">
        <f>T_10!Q21</f>
        <v>231222</v>
      </c>
      <c r="K54" s="928">
        <f>T_10!R21</f>
        <v>4130.6499999999996</v>
      </c>
      <c r="L54" s="927">
        <f>'Incidents Timeseries'!M39</f>
        <v>52158</v>
      </c>
      <c r="M54" s="929">
        <f>L54/PopulationOtherArea!I26*1000000</f>
        <v>9591.2175208252884</v>
      </c>
      <c r="N54" s="927">
        <f>T_10!AN21</f>
        <v>14485</v>
      </c>
      <c r="O54" s="928">
        <f>T_10!AO21</f>
        <v>4615.12</v>
      </c>
    </row>
    <row r="55" spans="1:15" ht="15" customHeight="1" x14ac:dyDescent="0.2">
      <c r="A55" s="29" t="str">
        <f>T_10!A22</f>
        <v>2019-20</v>
      </c>
      <c r="B55" s="927">
        <f>T_10!S22</f>
        <v>164736</v>
      </c>
      <c r="C55" s="928">
        <f>T_10!T22</f>
        <v>2926.71</v>
      </c>
      <c r="D55" s="927">
        <f>'Incidents Timeseries'!P40</f>
        <v>14397</v>
      </c>
      <c r="E55" s="928">
        <f>D55/PopulationOtherArea!I27*1000000</f>
        <v>2635.2204711438144</v>
      </c>
      <c r="F55" s="927">
        <f>T_10!AP22</f>
        <v>10125</v>
      </c>
      <c r="G55" s="928">
        <f>T_10!AQ22</f>
        <v>3211.33</v>
      </c>
      <c r="I55" s="29" t="str">
        <f t="shared" si="7"/>
        <v>2019-20</v>
      </c>
      <c r="J55" s="927">
        <f>T_10!Q22</f>
        <v>231630</v>
      </c>
      <c r="K55" s="928">
        <f>T_10!R22</f>
        <v>4115.16</v>
      </c>
      <c r="L55" s="927">
        <f>'Incidents Timeseries'!M40</f>
        <v>52302</v>
      </c>
      <c r="M55" s="929">
        <f>L55/PopulationOtherArea!I27*1000000</f>
        <v>9573.3347976497716</v>
      </c>
      <c r="N55" s="927">
        <f>T_10!AN22</f>
        <v>14281</v>
      </c>
      <c r="O55" s="928">
        <f>T_10!AO22</f>
        <v>4529.4799999999996</v>
      </c>
    </row>
    <row r="56" spans="1:15" ht="13.5" customHeight="1" x14ac:dyDescent="0.2">
      <c r="A56" s="29" t="str">
        <f>T_10!A23</f>
        <v>2020-21</v>
      </c>
      <c r="B56" s="927">
        <f>T_10!S23</f>
        <v>144348</v>
      </c>
      <c r="C56" s="928">
        <f>T_10!T23</f>
        <v>2552.5700000000002</v>
      </c>
      <c r="D56" s="927">
        <f>'Incidents Timeseries'!P41</f>
        <v>12693</v>
      </c>
      <c r="E56" s="928">
        <f>D56/PopulationOtherArea!I28*1000000</f>
        <v>2322.1734357848518</v>
      </c>
      <c r="F56" s="927">
        <f>T_10!AP23</f>
        <v>7020</v>
      </c>
      <c r="G56" s="928">
        <f>T_10!AQ23</f>
        <v>2214.79</v>
      </c>
      <c r="I56" s="29" t="str">
        <f t="shared" si="7"/>
        <v>2020-21</v>
      </c>
      <c r="J56" s="927">
        <f>T_10!Q23</f>
        <v>216149</v>
      </c>
      <c r="K56" s="928">
        <f>T_10!R23</f>
        <v>3822.26</v>
      </c>
      <c r="L56" s="927">
        <f>'Incidents Timeseries'!M41</f>
        <v>46820</v>
      </c>
      <c r="M56" s="929">
        <f>L56/PopulationOtherArea!I28*1000000</f>
        <v>8565.6787413099173</v>
      </c>
      <c r="N56" s="927">
        <f>T_10!AN23</f>
        <v>14880</v>
      </c>
      <c r="O56" s="928">
        <f>T_10!AO23</f>
        <v>4694.6000000000004</v>
      </c>
    </row>
    <row r="57" spans="1:15" ht="15" customHeight="1" x14ac:dyDescent="0.2">
      <c r="A57" s="488" t="str">
        <f>"1 Year % change " &amp; A55 &amp; " to " &amp; A56</f>
        <v>1 Year % change 2019-20 to 2020-21</v>
      </c>
      <c r="B57" s="623">
        <f>B56/B55-1</f>
        <v>-0.12376165501165504</v>
      </c>
      <c r="C57" s="623">
        <f>C56/C55-1</f>
        <v>-0.12783637599898856</v>
      </c>
      <c r="D57" s="623">
        <f t="shared" ref="D57:E57" si="8">D56/D55-1</f>
        <v>-0.1183579912481767</v>
      </c>
      <c r="E57" s="623">
        <f t="shared" si="8"/>
        <v>-0.11879348949618806</v>
      </c>
      <c r="F57" s="623"/>
      <c r="G57" s="623"/>
      <c r="H57" s="623"/>
      <c r="I57" s="623"/>
      <c r="J57" s="623">
        <f>J56/J55-1</f>
        <v>-6.6835038639209032E-2</v>
      </c>
      <c r="K57" s="623">
        <f t="shared" ref="K57:M57" si="9">K56/K55-1</f>
        <v>-7.1175847354659316E-2</v>
      </c>
      <c r="L57" s="623">
        <f t="shared" si="9"/>
        <v>-0.10481434744369245</v>
      </c>
      <c r="M57" s="623">
        <f t="shared" si="9"/>
        <v>-0.10525653574627214</v>
      </c>
      <c r="N57" s="623"/>
      <c r="O57" s="623"/>
    </row>
    <row r="58" spans="1:15" ht="15" customHeight="1" x14ac:dyDescent="0.2">
      <c r="A58" s="274" t="str">
        <f>"3 Year % change " &amp; A53 &amp; " to " &amp; A56</f>
        <v>3 Year % change 2017-18 to 2020-21</v>
      </c>
      <c r="B58" s="622">
        <f>B56/B53-1</f>
        <v>-0.13011932023622996</v>
      </c>
      <c r="C58" s="622">
        <f t="shared" ref="C58:E58" si="10">C56/C53-1</f>
        <v>-0.14443487325246596</v>
      </c>
      <c r="D58" s="622">
        <f t="shared" si="10"/>
        <v>-3.6584440227704018E-2</v>
      </c>
      <c r="E58" s="622">
        <f t="shared" si="10"/>
        <v>-4.3846189415888803E-2</v>
      </c>
      <c r="F58" s="622"/>
      <c r="G58" s="622"/>
      <c r="H58" s="622"/>
      <c r="I58" s="622"/>
      <c r="J58" s="622">
        <f>J56/J53-1</f>
        <v>-4.3816964088226662E-2</v>
      </c>
      <c r="K58" s="622">
        <f t="shared" ref="K58:M58" si="11">K56/K53-1</f>
        <v>-5.9552690500209171E-2</v>
      </c>
      <c r="L58" s="622">
        <f t="shared" si="11"/>
        <v>-9.76023436897695E-2</v>
      </c>
      <c r="M58" s="622">
        <f t="shared" si="11"/>
        <v>-0.10440417015152947</v>
      </c>
      <c r="N58" s="622"/>
      <c r="O58" s="622"/>
    </row>
    <row r="59" spans="1:15" ht="15" customHeight="1" thickBot="1" x14ac:dyDescent="0.25">
      <c r="A59" s="491" t="str">
        <f>"10 Year % change " &amp; A46 &amp; " to " &amp; A56</f>
        <v>10 Year % change 2010-11 to 2020-21</v>
      </c>
      <c r="B59" s="620">
        <f>B56/B46-1</f>
        <v>7.1864557807975071E-2</v>
      </c>
      <c r="C59" s="620">
        <f t="shared" ref="C59:E59" si="12">C56/C46-1</f>
        <v>-2.2007661637086784E-3</v>
      </c>
      <c r="D59" s="620">
        <f t="shared" si="12"/>
        <v>0.11980591089545656</v>
      </c>
      <c r="E59" s="620">
        <f t="shared" si="12"/>
        <v>7.8053908582889076E-2</v>
      </c>
      <c r="F59" s="620"/>
      <c r="G59" s="620"/>
      <c r="H59" s="620"/>
      <c r="I59" s="620"/>
      <c r="J59" s="620">
        <f>J56/J46-1</f>
        <v>-0.2058571748738881</v>
      </c>
      <c r="K59" s="620">
        <f t="shared" ref="K59:M59" si="13">K56/K46-1</f>
        <v>-0.26073190686087733</v>
      </c>
      <c r="L59" s="620">
        <f t="shared" si="13"/>
        <v>-6.0801187538865875E-2</v>
      </c>
      <c r="M59" s="620">
        <f t="shared" si="13"/>
        <v>-9.5819247908346061E-2</v>
      </c>
      <c r="N59" s="620"/>
      <c r="O59" s="620"/>
    </row>
    <row r="60" spans="1:15" ht="13.5" customHeight="1" x14ac:dyDescent="0.2">
      <c r="A60" s="29"/>
      <c r="B60" s="1"/>
      <c r="C60" s="180"/>
      <c r="D60" s="1"/>
      <c r="E60" s="180"/>
      <c r="F60" s="1"/>
      <c r="G60" s="180"/>
      <c r="I60" s="29"/>
      <c r="J60" s="1"/>
      <c r="K60" s="180"/>
      <c r="L60" s="1"/>
      <c r="M60" s="180"/>
      <c r="N60" s="1"/>
      <c r="O60" s="180"/>
    </row>
    <row r="61" spans="1:15" x14ac:dyDescent="0.2">
      <c r="A61" s="274" t="s">
        <v>146</v>
      </c>
      <c r="C61" s="71"/>
      <c r="E61" s="71"/>
      <c r="G61" s="71"/>
    </row>
    <row r="62" spans="1:15" ht="15" x14ac:dyDescent="0.25">
      <c r="A62" s="1428" t="s">
        <v>1240</v>
      </c>
      <c r="B62" s="1428"/>
      <c r="C62" s="1428"/>
      <c r="D62" s="1428"/>
      <c r="E62" s="1428"/>
      <c r="F62" s="1428"/>
      <c r="G62" s="1428"/>
      <c r="H62" s="1428"/>
      <c r="I62" s="1428"/>
      <c r="J62" s="1428"/>
      <c r="K62" s="1428"/>
      <c r="L62" s="1428"/>
      <c r="M62" s="1428"/>
      <c r="N62" s="1428"/>
      <c r="O62" s="1428"/>
    </row>
    <row r="63" spans="1:15" ht="119.1" customHeight="1" x14ac:dyDescent="0.25">
      <c r="A63" s="1427" t="s">
        <v>1426</v>
      </c>
      <c r="B63" s="1428"/>
      <c r="C63" s="1428"/>
      <c r="D63" s="1428"/>
      <c r="E63" s="1428"/>
      <c r="F63" s="1428"/>
      <c r="G63" s="1428"/>
      <c r="H63" s="1428"/>
      <c r="I63" s="1428"/>
      <c r="J63" s="1428"/>
      <c r="K63" s="1428"/>
      <c r="L63" s="1428"/>
      <c r="M63" s="1428"/>
      <c r="N63" s="1428"/>
      <c r="O63" s="1428"/>
    </row>
    <row r="64" spans="1:15" x14ac:dyDescent="0.2">
      <c r="B64" s="180"/>
      <c r="C64" s="1"/>
      <c r="D64" s="180"/>
      <c r="E64" s="1"/>
      <c r="F64" s="180"/>
      <c r="G64" s="1"/>
    </row>
    <row r="66" spans="1:2" x14ac:dyDescent="0.2">
      <c r="A66" s="1360"/>
      <c r="B66" s="1360"/>
    </row>
  </sheetData>
  <sheetProtection algorithmName="SHA-512" hashValue="EXI7GkoWlTNiEIcxmG6GJXnRhXifyaqAfo459kzu1Gu2tsm4Writ0DxmLF8sWV7/PrpWyWh/D9+EmIcVSS84MA==" saltValue="BerqxrYt6P7CBXPm1Wla1A==" spinCount="100000" sheet="1" scenarios="1" formatCells="0" formatColumns="0" formatRows="0" sort="0" autoFilter="0" pivotTables="0"/>
  <mergeCells count="19">
    <mergeCell ref="B7:G7"/>
    <mergeCell ref="J7:O7"/>
    <mergeCell ref="A63:O63"/>
    <mergeCell ref="L8:M8"/>
    <mergeCell ref="N8:O8"/>
    <mergeCell ref="L35:M35"/>
    <mergeCell ref="N35:O35"/>
    <mergeCell ref="A62:O62"/>
    <mergeCell ref="A66:B66"/>
    <mergeCell ref="B8:C8"/>
    <mergeCell ref="D8:E8"/>
    <mergeCell ref="F8:G8"/>
    <mergeCell ref="J8:K8"/>
    <mergeCell ref="B35:C35"/>
    <mergeCell ref="D35:E35"/>
    <mergeCell ref="F35:G35"/>
    <mergeCell ref="J35:K35"/>
    <mergeCell ref="B34:G34"/>
    <mergeCell ref="J34:O34"/>
  </mergeCells>
  <hyperlinks>
    <hyperlink ref="A2" location="'Table of Contents'!A1" display="Back to Table of Contents" xr:uid="{00000000-0004-0000-9D00-000000000000}"/>
  </hyperlinks>
  <pageMargins left="0.70866141732283472" right="0.70866141732283472" top="0.74803149606299213" bottom="0.74803149606299213" header="0.31496062992125984" footer="0.31496062992125984"/>
  <pageSetup paperSize="9" scale="58"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abColor theme="5" tint="0.39997558519241921"/>
  </sheetPr>
  <dimension ref="A1:O67"/>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34.7109375" customWidth="1"/>
    <col min="2" max="15" width="12.85546875" customWidth="1"/>
  </cols>
  <sheetData>
    <row r="1" spans="1:15" ht="16.5" customHeight="1" x14ac:dyDescent="0.2">
      <c r="A1" s="298" t="s">
        <v>627</v>
      </c>
    </row>
    <row r="2" spans="1:15" ht="16.5" customHeight="1" x14ac:dyDescent="0.2">
      <c r="A2" s="106" t="s">
        <v>578</v>
      </c>
    </row>
    <row r="3" spans="1:15" ht="30" customHeight="1" x14ac:dyDescent="0.2">
      <c r="A3" s="237" t="s">
        <v>1034</v>
      </c>
      <c r="B3" s="181"/>
      <c r="C3" s="181"/>
      <c r="D3" s="181"/>
      <c r="E3" s="181"/>
      <c r="F3" s="181"/>
      <c r="G3" s="181"/>
      <c r="H3" s="181"/>
      <c r="I3" s="1"/>
      <c r="J3" s="1"/>
      <c r="K3" s="1"/>
      <c r="L3" s="1"/>
      <c r="M3" s="1"/>
    </row>
    <row r="4" spans="1:15" ht="13.5" customHeight="1" x14ac:dyDescent="0.25">
      <c r="A4" s="351" t="s">
        <v>579</v>
      </c>
      <c r="B4" s="1043" t="s">
        <v>1406</v>
      </c>
      <c r="C4" s="181"/>
      <c r="D4" s="339"/>
      <c r="E4" s="1429"/>
      <c r="F4" s="1429"/>
      <c r="G4" s="1429"/>
      <c r="H4" s="1429"/>
      <c r="I4" s="1429"/>
      <c r="J4" s="1429"/>
      <c r="K4" s="1429"/>
      <c r="L4" s="1429"/>
      <c r="M4" s="1"/>
    </row>
    <row r="5" spans="1:15" ht="13.5" customHeight="1" x14ac:dyDescent="0.25">
      <c r="A5" s="351" t="s">
        <v>580</v>
      </c>
      <c r="B5" s="351" t="s">
        <v>581</v>
      </c>
      <c r="C5" s="339"/>
      <c r="D5" s="339"/>
      <c r="E5" s="339"/>
      <c r="F5" s="339"/>
      <c r="G5" s="339"/>
      <c r="H5" s="339"/>
      <c r="I5" s="1"/>
      <c r="J5" s="1"/>
      <c r="K5" s="1"/>
      <c r="L5" s="1"/>
      <c r="M5" s="1"/>
    </row>
    <row r="6" spans="1:15" ht="13.5" customHeight="1" x14ac:dyDescent="0.25">
      <c r="A6" s="351" t="s">
        <v>582</v>
      </c>
      <c r="B6" s="351" t="s">
        <v>585</v>
      </c>
      <c r="C6" s="339"/>
      <c r="D6" s="339"/>
      <c r="E6" s="339"/>
      <c r="F6" s="339"/>
      <c r="G6" s="339"/>
      <c r="H6" s="339"/>
      <c r="I6" s="1"/>
      <c r="J6" s="1"/>
      <c r="K6" s="1"/>
      <c r="L6" s="1"/>
      <c r="M6" s="1"/>
    </row>
    <row r="7" spans="1:15" ht="26.25" customHeight="1" x14ac:dyDescent="0.25">
      <c r="B7" s="1312" t="s">
        <v>21</v>
      </c>
      <c r="C7" s="1312"/>
      <c r="D7" s="1312"/>
      <c r="E7" s="1312"/>
      <c r="F7" s="1312"/>
      <c r="G7" s="1312"/>
      <c r="J7" s="1312" t="s">
        <v>651</v>
      </c>
      <c r="K7" s="1312"/>
      <c r="L7" s="1312"/>
      <c r="M7" s="1312"/>
      <c r="N7" s="1312"/>
      <c r="O7" s="1312"/>
    </row>
    <row r="8" spans="1:15" ht="18.75" customHeight="1" x14ac:dyDescent="0.2">
      <c r="A8" s="62"/>
      <c r="B8" s="1275" t="s">
        <v>124</v>
      </c>
      <c r="C8" s="1334"/>
      <c r="D8" s="1275" t="s">
        <v>53</v>
      </c>
      <c r="E8" s="1334"/>
      <c r="F8" s="1275" t="s">
        <v>125</v>
      </c>
      <c r="G8" s="1334"/>
      <c r="H8" s="1"/>
      <c r="I8" s="62"/>
      <c r="J8" s="1275" t="s">
        <v>124</v>
      </c>
      <c r="K8" s="1334"/>
      <c r="L8" s="1275" t="s">
        <v>53</v>
      </c>
      <c r="M8" s="1334"/>
      <c r="N8" s="1275" t="s">
        <v>125</v>
      </c>
      <c r="O8" s="1334"/>
    </row>
    <row r="9" spans="1:15" ht="30.75" customHeight="1" x14ac:dyDescent="0.2">
      <c r="A9" s="357" t="s">
        <v>4</v>
      </c>
      <c r="B9" s="574" t="s">
        <v>0</v>
      </c>
      <c r="C9" s="575" t="s">
        <v>280</v>
      </c>
      <c r="D9" s="574" t="s">
        <v>0</v>
      </c>
      <c r="E9" s="575" t="s">
        <v>280</v>
      </c>
      <c r="F9" s="574" t="s">
        <v>0</v>
      </c>
      <c r="G9" s="575" t="s">
        <v>280</v>
      </c>
      <c r="I9" s="357" t="s">
        <v>4</v>
      </c>
      <c r="J9" s="574" t="s">
        <v>0</v>
      </c>
      <c r="K9" s="575" t="s">
        <v>280</v>
      </c>
      <c r="L9" s="574" t="s">
        <v>0</v>
      </c>
      <c r="M9" s="575" t="s">
        <v>280</v>
      </c>
      <c r="N9" s="574" t="s">
        <v>0</v>
      </c>
      <c r="O9" s="575" t="s">
        <v>280</v>
      </c>
    </row>
    <row r="10" spans="1:15" ht="15.75" customHeight="1" x14ac:dyDescent="0.2">
      <c r="A10" s="29" t="str">
        <f>T_10!A4</f>
        <v>2001-02</v>
      </c>
      <c r="B10" s="927">
        <f>T_10!H4</f>
        <v>189068</v>
      </c>
      <c r="C10" s="928">
        <f>T_10!I4</f>
        <v>3823.44</v>
      </c>
      <c r="D10" s="927">
        <f>'Incidents Timeseries'!F22</f>
        <v>19699</v>
      </c>
      <c r="E10" s="929">
        <f>D10/PopulationOtherArea!I9*1000000</f>
        <v>3889.8542711583268</v>
      </c>
      <c r="F10" s="927">
        <f>T_10!AE4</f>
        <v>12722</v>
      </c>
      <c r="G10" s="928">
        <f>T_10!AF4</f>
        <v>4371.5200000000004</v>
      </c>
      <c r="I10" s="2" t="str">
        <f>T_10!A4</f>
        <v>2001-02</v>
      </c>
      <c r="J10" s="927">
        <f>T_10!O4</f>
        <v>54531</v>
      </c>
      <c r="K10" s="928">
        <f>T_10!P4</f>
        <v>1102.76</v>
      </c>
      <c r="L10" s="927">
        <f>'Incidents Timeseries'!B22</f>
        <v>8895</v>
      </c>
      <c r="M10" s="928">
        <f>L10/PopulationOtherArea!I9*1000000</f>
        <v>1756.4472177244186</v>
      </c>
      <c r="N10" s="927">
        <f>T_10!AL4</f>
        <v>3086</v>
      </c>
      <c r="O10" s="928">
        <f>T_10!AM4</f>
        <v>1060.4100000000001</v>
      </c>
    </row>
    <row r="11" spans="1:15" ht="15.75" customHeight="1" x14ac:dyDescent="0.2">
      <c r="A11" s="29" t="str">
        <f>T_10!A5</f>
        <v>2002-03</v>
      </c>
      <c r="B11" s="927">
        <f>T_10!H5</f>
        <v>173455</v>
      </c>
      <c r="C11" s="928">
        <f>T_10!I5</f>
        <v>3491.49</v>
      </c>
      <c r="D11" s="927">
        <f>'Incidents Timeseries'!F23</f>
        <v>18207</v>
      </c>
      <c r="E11" s="929">
        <f>D11/PopulationOtherArea!I10*1000000</f>
        <v>3593.959731543624</v>
      </c>
      <c r="F11" s="927">
        <f>T_10!AE5</f>
        <v>12030</v>
      </c>
      <c r="G11" s="928">
        <f>T_10!AF5</f>
        <v>4115.78</v>
      </c>
      <c r="I11" s="2" t="str">
        <f>T_10!A5</f>
        <v>2002-03</v>
      </c>
      <c r="J11" s="927">
        <f>T_10!O5</f>
        <v>48899</v>
      </c>
      <c r="K11" s="928">
        <f>T_10!P5</f>
        <v>984.29</v>
      </c>
      <c r="L11" s="927">
        <f>'Incidents Timeseries'!B23</f>
        <v>7875</v>
      </c>
      <c r="M11" s="928">
        <f>L11/PopulationOtherArea!I10*1000000</f>
        <v>1554.480852743782</v>
      </c>
      <c r="N11" s="927">
        <f>T_10!AL5</f>
        <v>2924</v>
      </c>
      <c r="O11" s="928">
        <f>T_10!AM5</f>
        <v>1000.38</v>
      </c>
    </row>
    <row r="12" spans="1:15" ht="15.75" customHeight="1" x14ac:dyDescent="0.2">
      <c r="A12" s="29" t="str">
        <f>T_10!A6</f>
        <v>2003-04</v>
      </c>
      <c r="B12" s="927">
        <f>T_10!H6</f>
        <v>172384</v>
      </c>
      <c r="C12" s="928">
        <f>T_10!I6</f>
        <v>3452.82</v>
      </c>
      <c r="D12" s="927">
        <f>'Incidents Timeseries'!F24</f>
        <v>17688</v>
      </c>
      <c r="E12" s="929">
        <f>D12/PopulationOtherArea!I11*1000000</f>
        <v>3489.7898786623259</v>
      </c>
      <c r="F12" s="927">
        <f>T_10!AE6</f>
        <v>11802</v>
      </c>
      <c r="G12" s="928">
        <f>T_10!AF6</f>
        <v>4017.43</v>
      </c>
      <c r="I12" s="2" t="str">
        <f>T_10!A6</f>
        <v>2003-04</v>
      </c>
      <c r="J12" s="927">
        <f>T_10!O6</f>
        <v>50830</v>
      </c>
      <c r="K12" s="928">
        <f>T_10!P6</f>
        <v>1018.12</v>
      </c>
      <c r="L12" s="927">
        <f>'Incidents Timeseries'!B24</f>
        <v>8131</v>
      </c>
      <c r="M12" s="928">
        <f>L12/PopulationOtherArea!I11*1000000</f>
        <v>1604.2221564565455</v>
      </c>
      <c r="N12" s="927">
        <f>T_10!AL6</f>
        <v>2787</v>
      </c>
      <c r="O12" s="928">
        <f>T_10!AM6</f>
        <v>948.7</v>
      </c>
    </row>
    <row r="13" spans="1:15" ht="15.75" customHeight="1" x14ac:dyDescent="0.2">
      <c r="A13" s="29" t="str">
        <f>T_10!A7</f>
        <v>2004-05</v>
      </c>
      <c r="B13" s="927">
        <f>T_10!H7</f>
        <v>147224</v>
      </c>
      <c r="C13" s="928">
        <f>T_10!I7</f>
        <v>2933.06</v>
      </c>
      <c r="D13" s="927">
        <f>'Incidents Timeseries'!F25</f>
        <v>15150</v>
      </c>
      <c r="E13" s="929">
        <f>D13/PopulationOtherArea!I12*1000000</f>
        <v>2979.7612257341229</v>
      </c>
      <c r="F13" s="927">
        <f>T_10!AE7</f>
        <v>9633</v>
      </c>
      <c r="G13" s="928">
        <f>T_10!AF7</f>
        <v>3257.25</v>
      </c>
      <c r="I13" s="2" t="str">
        <f>T_10!A7</f>
        <v>2004-05</v>
      </c>
      <c r="J13" s="927">
        <f>T_10!O7</f>
        <v>47434</v>
      </c>
      <c r="K13" s="928">
        <f>T_10!P7</f>
        <v>945</v>
      </c>
      <c r="L13" s="927">
        <f>'Incidents Timeseries'!B25</f>
        <v>7048</v>
      </c>
      <c r="M13" s="928">
        <f>L13/PopulationOtherArea!I12*1000000</f>
        <v>1386.2281926715575</v>
      </c>
      <c r="N13" s="927">
        <f>T_10!AL7</f>
        <v>2592</v>
      </c>
      <c r="O13" s="928">
        <f>T_10!AM7</f>
        <v>876.45</v>
      </c>
    </row>
    <row r="14" spans="1:15" ht="15.75" customHeight="1" x14ac:dyDescent="0.2">
      <c r="A14" s="29" t="str">
        <f>T_10!A8</f>
        <v>2005-06</v>
      </c>
      <c r="B14" s="927">
        <f>T_10!H8</f>
        <v>137726</v>
      </c>
      <c r="C14" s="928">
        <f>T_10!I8</f>
        <v>2721.53</v>
      </c>
      <c r="D14" s="927">
        <f>'Incidents Timeseries'!F26</f>
        <v>15125</v>
      </c>
      <c r="E14" s="929">
        <f>D14/PopulationOtherArea!I13*1000000</f>
        <v>2959.7667410277481</v>
      </c>
      <c r="F14" s="927">
        <f>T_10!AE8</f>
        <v>9017</v>
      </c>
      <c r="G14" s="928">
        <f>T_10!AF8</f>
        <v>3036.74</v>
      </c>
      <c r="I14" s="2" t="str">
        <f>T_10!A8</f>
        <v>2005-06</v>
      </c>
      <c r="J14" s="927">
        <f>T_10!O8</f>
        <v>46248</v>
      </c>
      <c r="K14" s="928">
        <f>T_10!P8</f>
        <v>913.88</v>
      </c>
      <c r="L14" s="927">
        <f>'Incidents Timeseries'!B26</f>
        <v>7061</v>
      </c>
      <c r="M14" s="928">
        <f>L14/PopulationOtherArea!I13*1000000</f>
        <v>1381.7463112989706</v>
      </c>
      <c r="N14" s="927">
        <f>T_10!AL8</f>
        <v>2548</v>
      </c>
      <c r="O14" s="928">
        <f>T_10!AM8</f>
        <v>858.11</v>
      </c>
    </row>
    <row r="15" spans="1:15" ht="15.75" customHeight="1" x14ac:dyDescent="0.2">
      <c r="A15" s="29" t="str">
        <f>T_10!A9</f>
        <v>2006-07</v>
      </c>
      <c r="B15" s="927">
        <f>T_10!H9</f>
        <v>129134</v>
      </c>
      <c r="C15" s="928">
        <f>T_10!I9</f>
        <v>2533.77</v>
      </c>
      <c r="D15" s="927">
        <f>'Incidents Timeseries'!F27</f>
        <v>14758</v>
      </c>
      <c r="E15" s="929">
        <f>D15/PopulationOtherArea!I14*1000000</f>
        <v>2875.1217611533216</v>
      </c>
      <c r="F15" s="927">
        <f>T_10!AE9</f>
        <v>8587</v>
      </c>
      <c r="G15" s="928">
        <f>T_10!AF9</f>
        <v>2876.04</v>
      </c>
      <c r="I15" s="2" t="str">
        <f>T_10!A9</f>
        <v>2006-07</v>
      </c>
      <c r="J15" s="927">
        <f>T_10!O9</f>
        <v>44422</v>
      </c>
      <c r="K15" s="928">
        <f>T_10!P9</f>
        <v>871.61</v>
      </c>
      <c r="L15" s="927">
        <f>'Incidents Timeseries'!B27</f>
        <v>6963</v>
      </c>
      <c r="M15" s="928">
        <f>L15/PopulationOtherArea!I14*1000000</f>
        <v>1356.5166569257742</v>
      </c>
      <c r="N15" s="927">
        <f>T_10!AL9</f>
        <v>2400</v>
      </c>
      <c r="O15" s="928">
        <f>T_10!AM9</f>
        <v>803.83</v>
      </c>
    </row>
    <row r="16" spans="1:15" ht="15.75" customHeight="1" x14ac:dyDescent="0.2">
      <c r="A16" s="29" t="str">
        <f>T_10!A10</f>
        <v>2007-08</v>
      </c>
      <c r="B16" s="927">
        <f>T_10!H10</f>
        <v>115271</v>
      </c>
      <c r="C16" s="928">
        <f>T_10!I10</f>
        <v>2243.4499999999998</v>
      </c>
      <c r="D16" s="927">
        <f>'Incidents Timeseries'!F28</f>
        <v>13618</v>
      </c>
      <c r="E16" s="929">
        <f>D16/PopulationOtherArea!I15*1000000</f>
        <v>2634.0425531914893</v>
      </c>
      <c r="F16" s="927">
        <f>T_10!AE10</f>
        <v>7689</v>
      </c>
      <c r="G16" s="928">
        <f>T_10!AF10</f>
        <v>2557.63</v>
      </c>
      <c r="I16" s="2" t="str">
        <f>T_10!A10</f>
        <v>2007-08</v>
      </c>
      <c r="J16" s="927">
        <f>T_10!O10</f>
        <v>41336</v>
      </c>
      <c r="K16" s="928">
        <f>T_10!P10</f>
        <v>804.5</v>
      </c>
      <c r="L16" s="927">
        <f>'Incidents Timeseries'!B28</f>
        <v>6666</v>
      </c>
      <c r="M16" s="928">
        <f>L16/PopulationOtherArea!I15*1000000</f>
        <v>1289.3617021276596</v>
      </c>
      <c r="N16" s="927">
        <f>T_10!AL10</f>
        <v>2380</v>
      </c>
      <c r="O16" s="928">
        <f>T_10!AM10</f>
        <v>791.67</v>
      </c>
    </row>
    <row r="17" spans="1:15" ht="15.75" customHeight="1" x14ac:dyDescent="0.2">
      <c r="A17" s="29" t="str">
        <f>T_10!A11</f>
        <v>2008-09</v>
      </c>
      <c r="B17" s="927">
        <f>T_10!H11</f>
        <v>104348</v>
      </c>
      <c r="C17" s="928">
        <f>T_10!I11</f>
        <v>2013.82</v>
      </c>
      <c r="D17" s="927">
        <f>'Incidents Timeseries'!F29</f>
        <v>13174</v>
      </c>
      <c r="E17" s="929">
        <f>D17/PopulationOtherArea!I16*1000000</f>
        <v>2532.0494339695174</v>
      </c>
      <c r="F17" s="927">
        <f>T_10!AE11</f>
        <v>6985</v>
      </c>
      <c r="G17" s="928">
        <f>T_10!AF11</f>
        <v>2308.4</v>
      </c>
      <c r="I17" s="2" t="str">
        <f>T_10!A11</f>
        <v>2008-09</v>
      </c>
      <c r="J17" s="927">
        <f>T_10!O11</f>
        <v>38584</v>
      </c>
      <c r="K17" s="928">
        <f>T_10!P11</f>
        <v>744.64</v>
      </c>
      <c r="L17" s="927">
        <f>'Incidents Timeseries'!B29</f>
        <v>6705</v>
      </c>
      <c r="M17" s="928">
        <f>L17/PopulationOtherArea!I16*1000000</f>
        <v>1288.7043764054661</v>
      </c>
      <c r="N17" s="927">
        <f>T_10!AL11</f>
        <v>2257</v>
      </c>
      <c r="O17" s="928">
        <f>T_10!AM11</f>
        <v>745.89</v>
      </c>
    </row>
    <row r="18" spans="1:15" ht="15.75" customHeight="1" x14ac:dyDescent="0.2">
      <c r="A18" s="29" t="str">
        <f>T_10!A12</f>
        <v>2009-10</v>
      </c>
      <c r="B18" s="927">
        <f>T_10!H12</f>
        <v>101159</v>
      </c>
      <c r="C18" s="928">
        <f>T_10!I12</f>
        <v>1938.05</v>
      </c>
      <c r="D18" s="927">
        <f>'Incidents Timeseries'!F30</f>
        <v>13992</v>
      </c>
      <c r="E18" s="929">
        <f>D18/PopulationOtherArea!I17*1000000</f>
        <v>2674.3630421070739</v>
      </c>
      <c r="F18" s="927">
        <f>T_10!AE12</f>
        <v>6800</v>
      </c>
      <c r="G18" s="928">
        <f>T_10!AF12</f>
        <v>2237.65</v>
      </c>
      <c r="I18" s="2" t="str">
        <f>T_10!A12</f>
        <v>2009-10</v>
      </c>
      <c r="J18" s="927">
        <f>T_10!O12</f>
        <v>38376</v>
      </c>
      <c r="K18" s="928">
        <f>T_10!P12</f>
        <v>735.22</v>
      </c>
      <c r="L18" s="927">
        <f>'Incidents Timeseries'!B30</f>
        <v>6560</v>
      </c>
      <c r="M18" s="928">
        <f>L18/PopulationOtherArea!I17*1000000</f>
        <v>1253.8465949272731</v>
      </c>
      <c r="N18" s="927">
        <f>T_10!AL12</f>
        <v>2202</v>
      </c>
      <c r="O18" s="928">
        <f>T_10!AM12</f>
        <v>724.6</v>
      </c>
    </row>
    <row r="19" spans="1:15" ht="15.75" customHeight="1" x14ac:dyDescent="0.2">
      <c r="A19" s="29" t="str">
        <f>T_10!A13</f>
        <v>2010-11</v>
      </c>
      <c r="B19" s="927">
        <f>T_10!H13</f>
        <v>92248</v>
      </c>
      <c r="C19" s="928">
        <f>T_10!I13</f>
        <v>1752.35</v>
      </c>
      <c r="D19" s="927">
        <f>'Incidents Timeseries'!F31</f>
        <v>13144</v>
      </c>
      <c r="E19" s="929">
        <f>D19/PopulationOtherArea!I18*1000000</f>
        <v>2497.8146022576111</v>
      </c>
      <c r="F19" s="927">
        <f>T_10!AE13</f>
        <v>6414</v>
      </c>
      <c r="G19" s="928">
        <f>T_10!AF13</f>
        <v>2102.9499999999998</v>
      </c>
      <c r="I19" s="2" t="str">
        <f>T_10!A13</f>
        <v>2010-11</v>
      </c>
      <c r="J19" s="927">
        <f>T_10!O13</f>
        <v>36611</v>
      </c>
      <c r="K19" s="928">
        <f>T_10!P13</f>
        <v>695.46</v>
      </c>
      <c r="L19" s="927">
        <f>'Incidents Timeseries'!B31</f>
        <v>6293</v>
      </c>
      <c r="M19" s="928">
        <f>L19/PopulationOtherArea!I18*1000000</f>
        <v>1195.8876515525826</v>
      </c>
      <c r="N19" s="927">
        <f>T_10!AL13</f>
        <v>2108</v>
      </c>
      <c r="O19" s="928">
        <f>T_10!AM13</f>
        <v>691.15</v>
      </c>
    </row>
    <row r="20" spans="1:15" ht="15.75" customHeight="1" x14ac:dyDescent="0.2">
      <c r="A20" s="29" t="str">
        <f>T_10!A14</f>
        <v>2011-12</v>
      </c>
      <c r="B20" s="927">
        <f>T_10!H14</f>
        <v>86982</v>
      </c>
      <c r="C20" s="928">
        <f>T_10!I14</f>
        <v>1637.86</v>
      </c>
      <c r="D20" s="927">
        <f>'Incidents Timeseries'!F32</f>
        <v>12411</v>
      </c>
      <c r="E20" s="929">
        <f>D20/PopulationOtherArea!I19*1000000</f>
        <v>2341.7422970244725</v>
      </c>
      <c r="F20" s="927">
        <f>T_10!AE14</f>
        <v>5687</v>
      </c>
      <c r="G20" s="928">
        <f>T_10!AF14</f>
        <v>1856.19</v>
      </c>
      <c r="I20" s="2" t="str">
        <f>T_10!A14</f>
        <v>2011-12</v>
      </c>
      <c r="J20" s="927">
        <f>T_10!O14</f>
        <v>35417</v>
      </c>
      <c r="K20" s="928">
        <f>T_10!P14</f>
        <v>666.9</v>
      </c>
      <c r="L20" s="927">
        <f>'Incidents Timeseries'!B32</f>
        <v>6157</v>
      </c>
      <c r="M20" s="928">
        <f>L20/PopulationOtherArea!I19*1000000</f>
        <v>1161.7200324534424</v>
      </c>
      <c r="N20" s="927">
        <f>T_10!AL14</f>
        <v>2022</v>
      </c>
      <c r="O20" s="928">
        <f>T_10!AM14</f>
        <v>659.96</v>
      </c>
    </row>
    <row r="21" spans="1:15" ht="15.75" customHeight="1" x14ac:dyDescent="0.2">
      <c r="A21" s="29" t="str">
        <f>T_10!A15</f>
        <v>2012-13</v>
      </c>
      <c r="B21" s="927">
        <f>T_10!H15</f>
        <v>74714</v>
      </c>
      <c r="C21" s="928">
        <f>T_10!I15</f>
        <v>1396.69</v>
      </c>
      <c r="D21" s="927">
        <f>'Incidents Timeseries'!F33</f>
        <v>11086</v>
      </c>
      <c r="E21" s="929">
        <f>D21/PopulationOtherArea!I20*1000000</f>
        <v>2086.3444745558568</v>
      </c>
      <c r="F21" s="927">
        <f>T_10!AE15</f>
        <v>4745</v>
      </c>
      <c r="G21" s="928">
        <f>T_10!AF15</f>
        <v>1543.54</v>
      </c>
      <c r="I21" s="2" t="str">
        <f>T_10!A15</f>
        <v>2012-13</v>
      </c>
      <c r="J21" s="927">
        <f>T_10!O15</f>
        <v>33300</v>
      </c>
      <c r="K21" s="928">
        <f>T_10!P15</f>
        <v>622.5</v>
      </c>
      <c r="L21" s="927">
        <f>'Incidents Timeseries'!B33</f>
        <v>5829</v>
      </c>
      <c r="M21" s="928">
        <f>L21/PopulationOtherArea!I20*1000000</f>
        <v>1096.9963866305329</v>
      </c>
      <c r="N21" s="927">
        <f>T_10!AL15</f>
        <v>1911</v>
      </c>
      <c r="O21" s="928">
        <f>T_10!AM15</f>
        <v>621.65</v>
      </c>
    </row>
    <row r="22" spans="1:15" ht="15.75" customHeight="1" x14ac:dyDescent="0.2">
      <c r="A22" s="29" t="str">
        <f>T_10!A16</f>
        <v>2013-14</v>
      </c>
      <c r="B22" s="927">
        <f>T_10!H16</f>
        <v>73235</v>
      </c>
      <c r="C22" s="928">
        <f>T_10!I16</f>
        <v>1359.58</v>
      </c>
      <c r="D22" s="927">
        <f>'Incidents Timeseries'!F34</f>
        <v>10521</v>
      </c>
      <c r="E22" s="929">
        <f>D22/PopulationOtherArea!I21*1000000</f>
        <v>1974.773354355538</v>
      </c>
      <c r="F22" s="927">
        <f>T_10!AE16</f>
        <v>4790</v>
      </c>
      <c r="G22" s="928">
        <f>T_10!AF16</f>
        <v>1553.98</v>
      </c>
      <c r="I22" s="2" t="str">
        <f>T_10!A16</f>
        <v>2013-14</v>
      </c>
      <c r="J22" s="927">
        <f>T_10!O16</f>
        <v>31912</v>
      </c>
      <c r="K22" s="928">
        <f>T_10!P16</f>
        <v>592.44000000000005</v>
      </c>
      <c r="L22" s="927">
        <f>'Incidents Timeseries'!B34</f>
        <v>5323</v>
      </c>
      <c r="M22" s="928">
        <f>L22/PopulationOtherArea!I21*1000000</f>
        <v>999.117818195469</v>
      </c>
      <c r="N22" s="927">
        <f>T_10!AL16</f>
        <v>1910</v>
      </c>
      <c r="O22" s="928">
        <f>T_10!AM16</f>
        <v>619.65</v>
      </c>
    </row>
    <row r="23" spans="1:15" ht="15.75" customHeight="1" x14ac:dyDescent="0.2">
      <c r="A23" s="29" t="str">
        <f>T_10!A17</f>
        <v>2014-15</v>
      </c>
      <c r="B23" s="927">
        <f>T_10!H17</f>
        <v>71126</v>
      </c>
      <c r="C23" s="928">
        <f>T_10!I17</f>
        <v>1309.47</v>
      </c>
      <c r="D23" s="927">
        <f>'Incidents Timeseries'!F35</f>
        <v>10633</v>
      </c>
      <c r="E23" s="929">
        <f>D23/PopulationOtherArea!I22*1000000</f>
        <v>1988.3686139576632</v>
      </c>
      <c r="F23" s="927">
        <f>T_10!AE17</f>
        <v>4561</v>
      </c>
      <c r="G23" s="928">
        <f>T_10!AF17</f>
        <v>1475.1</v>
      </c>
      <c r="I23" s="29" t="str">
        <f>T_10!A17</f>
        <v>2014-15</v>
      </c>
      <c r="J23" s="927">
        <f>T_10!O17</f>
        <v>31338</v>
      </c>
      <c r="K23" s="928">
        <f>T_10!P17</f>
        <v>576.95000000000005</v>
      </c>
      <c r="L23" s="927">
        <f>'Incidents Timeseries'!B35</f>
        <v>5574</v>
      </c>
      <c r="M23" s="928">
        <f>L23/PopulationOtherArea!I22*1000000</f>
        <v>1042.3367491959009</v>
      </c>
      <c r="N23" s="927">
        <f>T_10!AL17</f>
        <v>1808</v>
      </c>
      <c r="O23" s="928">
        <f>T_10!AM17</f>
        <v>584.73</v>
      </c>
    </row>
    <row r="24" spans="1:15" ht="15.75" customHeight="1" x14ac:dyDescent="0.2">
      <c r="A24" s="29" t="str">
        <f>T_10!A18</f>
        <v>2015-16</v>
      </c>
      <c r="B24" s="927">
        <f>T_10!H18</f>
        <v>73479</v>
      </c>
      <c r="C24" s="928">
        <f>T_10!I18</f>
        <v>1341.19</v>
      </c>
      <c r="D24" s="927">
        <f>'Incidents Timeseries'!F36</f>
        <v>11006</v>
      </c>
      <c r="E24" s="929">
        <f>D24/PopulationOtherArea!I23*1000000</f>
        <v>2048.3900986413551</v>
      </c>
      <c r="F24" s="927">
        <f>T_10!AE18</f>
        <v>4678</v>
      </c>
      <c r="G24" s="928">
        <f>T_10!AF18</f>
        <v>1509.47</v>
      </c>
      <c r="I24" s="29" t="str">
        <f>T_10!A18</f>
        <v>2015-16</v>
      </c>
      <c r="J24" s="927">
        <f>T_10!O18</f>
        <v>31376</v>
      </c>
      <c r="K24" s="928">
        <f>T_10!P18</f>
        <v>572.70000000000005</v>
      </c>
      <c r="L24" s="927">
        <f>'Incidents Timeseries'!B36</f>
        <v>5673</v>
      </c>
      <c r="M24" s="928">
        <f>L24/PopulationOtherArea!I23*1000000</f>
        <v>1055.8347292015633</v>
      </c>
      <c r="N24" s="927">
        <f>T_10!AL18</f>
        <v>1775</v>
      </c>
      <c r="O24" s="928">
        <f>T_10!AM18</f>
        <v>572.75</v>
      </c>
    </row>
    <row r="25" spans="1:15" ht="15.75" customHeight="1" x14ac:dyDescent="0.2">
      <c r="A25" s="29" t="str">
        <f>T_10!A19</f>
        <v>2016-17</v>
      </c>
      <c r="B25" s="927">
        <f>T_10!H19</f>
        <v>74947</v>
      </c>
      <c r="C25" s="928">
        <f>T_10!I19</f>
        <v>1356.06</v>
      </c>
      <c r="D25" s="927">
        <f>'Incidents Timeseries'!F37</f>
        <v>10894</v>
      </c>
      <c r="E25" s="929">
        <f>D25/PopulationOtherArea!I24*1000000</f>
        <v>2015.653042722075</v>
      </c>
      <c r="F25" s="927">
        <f>T_10!AE19</f>
        <v>4757</v>
      </c>
      <c r="G25" s="928">
        <f>T_10!AF19</f>
        <v>1528.01</v>
      </c>
      <c r="I25" s="29" t="str">
        <f>T_10!A19</f>
        <v>2016-17</v>
      </c>
      <c r="J25" s="927">
        <f>T_10!O19</f>
        <v>30351</v>
      </c>
      <c r="K25" s="928">
        <f>T_10!P19</f>
        <v>549.16</v>
      </c>
      <c r="L25" s="927">
        <f>'Incidents Timeseries'!B37</f>
        <v>5540</v>
      </c>
      <c r="M25" s="928">
        <f>L25/PopulationOtherArea!I24*1000000</f>
        <v>1025.0337669065814</v>
      </c>
      <c r="N25" s="927">
        <f>T_10!AL19</f>
        <v>1858</v>
      </c>
      <c r="O25" s="928">
        <f>T_10!AM19</f>
        <v>596.80999999999995</v>
      </c>
    </row>
    <row r="26" spans="1:15" ht="15.75" customHeight="1" x14ac:dyDescent="0.2">
      <c r="A26" s="29" t="str">
        <f>T_10!A20</f>
        <v>2017-18</v>
      </c>
      <c r="B26" s="927">
        <f>T_10!H20</f>
        <v>74274</v>
      </c>
      <c r="C26" s="928">
        <f>T_10!I20</f>
        <v>1335.4</v>
      </c>
      <c r="D26" s="927">
        <f>'Incidents Timeseries'!F38</f>
        <v>10672</v>
      </c>
      <c r="E26" s="929">
        <f>D26/PopulationOtherArea!I25*1000000</f>
        <v>1967.2614658604925</v>
      </c>
      <c r="F26" s="927">
        <f>T_10!AE20</f>
        <v>4316</v>
      </c>
      <c r="G26" s="928">
        <f>T_10!AF20</f>
        <v>1381.03</v>
      </c>
      <c r="I26" s="29" t="str">
        <f>T_10!A20</f>
        <v>2017-18</v>
      </c>
      <c r="J26" s="927">
        <f>T_10!O20</f>
        <v>30821</v>
      </c>
      <c r="K26" s="928">
        <f>T_10!P20</f>
        <v>554.14</v>
      </c>
      <c r="L26" s="927">
        <f>'Incidents Timeseries'!B38</f>
        <v>5311</v>
      </c>
      <c r="M26" s="928">
        <f>L26/PopulationOtherArea!I25*1000000</f>
        <v>979.02226810204991</v>
      </c>
      <c r="N26" s="927">
        <f>T_10!AL20</f>
        <v>1617</v>
      </c>
      <c r="O26" s="928">
        <f>T_10!AM20</f>
        <v>517.41</v>
      </c>
    </row>
    <row r="27" spans="1:15" ht="15.75" customHeight="1" x14ac:dyDescent="0.2">
      <c r="A27" s="29" t="str">
        <f>T_10!A21</f>
        <v>2018-19</v>
      </c>
      <c r="B27" s="927">
        <f>T_10!H21</f>
        <v>73288</v>
      </c>
      <c r="C27" s="928">
        <f>T_10!I21</f>
        <v>1309.25</v>
      </c>
      <c r="D27" s="927">
        <f>'Incidents Timeseries'!F39</f>
        <v>10473</v>
      </c>
      <c r="E27" s="929">
        <f>D27/PopulationOtherArea!I26*1000000</f>
        <v>1925.8564572185137</v>
      </c>
      <c r="F27" s="927">
        <f>T_10!AE21</f>
        <v>4392</v>
      </c>
      <c r="G27" s="928">
        <f>T_10!AF21</f>
        <v>1399.35</v>
      </c>
      <c r="I27" s="29" t="str">
        <f>T_10!A21</f>
        <v>2018-19</v>
      </c>
      <c r="J27" s="927">
        <f>T_10!O21</f>
        <v>29598</v>
      </c>
      <c r="K27" s="928">
        <f>T_10!P21</f>
        <v>528.75</v>
      </c>
      <c r="L27" s="927">
        <f>'Incidents Timeseries'!B39</f>
        <v>5145</v>
      </c>
      <c r="M27" s="928">
        <f>L27/PopulationOtherArea!I26*1000000</f>
        <v>946.1024990345893</v>
      </c>
      <c r="N27" s="927">
        <f>T_10!AL21</f>
        <v>1555</v>
      </c>
      <c r="O27" s="928">
        <f>T_10!AM21</f>
        <v>495.44</v>
      </c>
    </row>
    <row r="28" spans="1:15" ht="15.75" customHeight="1" x14ac:dyDescent="0.2">
      <c r="A28" s="29" t="str">
        <f>T_10!A22</f>
        <v>2019-20</v>
      </c>
      <c r="B28" s="927">
        <f>T_10!H22</f>
        <v>68771</v>
      </c>
      <c r="C28" s="928">
        <f>T_10!I22</f>
        <v>1221.79</v>
      </c>
      <c r="D28" s="927">
        <f>'Incidents Timeseries'!F40</f>
        <v>9852</v>
      </c>
      <c r="E28" s="929">
        <f>D28/PopulationOtherArea!I27*1000000</f>
        <v>1803.3056943605513</v>
      </c>
      <c r="F28" s="927">
        <f>T_10!AE22</f>
        <v>4279</v>
      </c>
      <c r="G28" s="928">
        <f>T_10!AF22</f>
        <v>1357.16</v>
      </c>
      <c r="I28" s="29" t="str">
        <f>T_10!A22</f>
        <v>2019-20</v>
      </c>
      <c r="J28" s="927">
        <f>T_10!O22</f>
        <v>28499</v>
      </c>
      <c r="K28" s="928">
        <f>T_10!P22</f>
        <v>506.32</v>
      </c>
      <c r="L28" s="927">
        <f>'Incidents Timeseries'!B40</f>
        <v>4890</v>
      </c>
      <c r="M28" s="928">
        <f>L28/PopulationOtherArea!I27*1000000</f>
        <v>895.06342320575482</v>
      </c>
      <c r="N28" s="927">
        <f>T_10!AL22</f>
        <v>1628</v>
      </c>
      <c r="O28" s="928">
        <f>T_10!AM22</f>
        <v>516.35</v>
      </c>
    </row>
    <row r="29" spans="1:15" ht="15.75" customHeight="1" x14ac:dyDescent="0.2">
      <c r="A29" s="29" t="str">
        <f>T_10!A23</f>
        <v>2020-21</v>
      </c>
      <c r="B29" s="927">
        <f>T_10!H23</f>
        <v>61912</v>
      </c>
      <c r="C29" s="928">
        <f>T_10!I23</f>
        <v>1094.82</v>
      </c>
      <c r="D29" s="927">
        <f>'Incidents Timeseries'!F41</f>
        <v>9416</v>
      </c>
      <c r="E29" s="929">
        <f>D29/PopulationOtherArea!I28*1000000</f>
        <v>1722.6491035492134</v>
      </c>
      <c r="F29" s="927">
        <f>T_10!AE23</f>
        <v>3796</v>
      </c>
      <c r="G29" s="928">
        <f>T_10!AF23</f>
        <v>1197.6300000000001</v>
      </c>
      <c r="H29" s="1"/>
      <c r="I29" s="29" t="str">
        <f>T_10!A23</f>
        <v>2020-21</v>
      </c>
      <c r="J29" s="927">
        <f>T_10!O23</f>
        <v>27021</v>
      </c>
      <c r="K29" s="928">
        <f>T_10!P23</f>
        <v>477.82</v>
      </c>
      <c r="L29" s="927">
        <f>'Incidents Timeseries'!B41</f>
        <v>4661</v>
      </c>
      <c r="M29" s="928">
        <f>L29/PopulationOtherArea!I28*1000000</f>
        <v>852.72594218807171</v>
      </c>
      <c r="N29" s="927">
        <f>T_10!AL23</f>
        <v>1501</v>
      </c>
      <c r="O29" s="928">
        <f>T_10!AM23</f>
        <v>473.56</v>
      </c>
    </row>
    <row r="30" spans="1:15" ht="15.75" customHeight="1" x14ac:dyDescent="0.2">
      <c r="A30" s="488" t="str">
        <f>"1 Year % change " &amp; A28 &amp; " to " &amp; A29</f>
        <v>1 Year % change 2019-20 to 2020-21</v>
      </c>
      <c r="B30" s="623">
        <f>B29/B28-1</f>
        <v>-9.9736807666021998E-2</v>
      </c>
      <c r="C30" s="623">
        <f t="shared" ref="C30:E30" si="0">C29/C28-1</f>
        <v>-0.10392129580369791</v>
      </c>
      <c r="D30" s="623">
        <f t="shared" si="0"/>
        <v>-4.4254973609419435E-2</v>
      </c>
      <c r="E30" s="623">
        <f t="shared" si="0"/>
        <v>-4.4727075982499254E-2</v>
      </c>
      <c r="F30" s="623"/>
      <c r="G30" s="623"/>
      <c r="H30" s="623"/>
      <c r="I30" s="623"/>
      <c r="J30" s="623">
        <f>J29/J28-1</f>
        <v>-5.1861468823467538E-2</v>
      </c>
      <c r="K30" s="623">
        <f t="shared" ref="K30:M30" si="1">K29/K28-1</f>
        <v>-5.6288513193237466E-2</v>
      </c>
      <c r="L30" s="623">
        <f t="shared" si="1"/>
        <v>-4.6830265848670782E-2</v>
      </c>
      <c r="M30" s="623">
        <f t="shared" si="1"/>
        <v>-4.7301096123498532E-2</v>
      </c>
      <c r="N30" s="623"/>
      <c r="O30" s="623"/>
    </row>
    <row r="31" spans="1:15" ht="15.75" customHeight="1" x14ac:dyDescent="0.2">
      <c r="A31" s="274" t="str">
        <f>"3 Year % change " &amp; A25 &amp; " to " &amp; A28</f>
        <v>3 Year % change 2016-17 to 2019-20</v>
      </c>
      <c r="B31" s="622">
        <f>B29/B26-1</f>
        <v>-0.1664377844198508</v>
      </c>
      <c r="C31" s="622">
        <f t="shared" ref="C31:E31" si="2">C29/C26-1</f>
        <v>-0.18015575857421007</v>
      </c>
      <c r="D31" s="622">
        <f t="shared" si="2"/>
        <v>-0.11769115442278866</v>
      </c>
      <c r="E31" s="622">
        <f t="shared" si="2"/>
        <v>-0.12434156138176788</v>
      </c>
      <c r="F31" s="622"/>
      <c r="G31" s="622"/>
      <c r="H31" s="622"/>
      <c r="I31" s="622"/>
      <c r="J31" s="622">
        <f>J29/J26-1</f>
        <v>-0.12329256026735014</v>
      </c>
      <c r="K31" s="622">
        <f t="shared" ref="K31:M31" si="3">K29/K26-1</f>
        <v>-0.13772692821308696</v>
      </c>
      <c r="L31" s="622">
        <f t="shared" si="3"/>
        <v>-0.12238749764639423</v>
      </c>
      <c r="M31" s="622">
        <f t="shared" si="3"/>
        <v>-0.12900250589684592</v>
      </c>
      <c r="N31" s="622"/>
      <c r="O31" s="622"/>
    </row>
    <row r="32" spans="1:15" ht="15.75" customHeight="1" thickBot="1" x14ac:dyDescent="0.25">
      <c r="A32" s="491" t="str">
        <f>"10 Year % change " &amp; A18 &amp; " to " &amp; A28</f>
        <v>10 Year % change 2009-10 to 2019-20</v>
      </c>
      <c r="B32" s="620">
        <f>B29/B19-1</f>
        <v>-0.32885265805220709</v>
      </c>
      <c r="C32" s="620">
        <f t="shared" ref="C32:E32" si="4">C29/C19-1</f>
        <v>-0.37522755157360121</v>
      </c>
      <c r="D32" s="620">
        <f t="shared" si="4"/>
        <v>-0.28362751065124769</v>
      </c>
      <c r="E32" s="620">
        <f t="shared" si="4"/>
        <v>-0.31033748381796489</v>
      </c>
      <c r="F32" s="620"/>
      <c r="G32" s="620"/>
      <c r="H32" s="620"/>
      <c r="I32" s="620"/>
      <c r="J32" s="620">
        <f>J29/J19-1</f>
        <v>-0.26194313184562013</v>
      </c>
      <c r="K32" s="620">
        <f t="shared" ref="K32:M32" si="5">K29/K19-1</f>
        <v>-0.31294395076639925</v>
      </c>
      <c r="L32" s="620">
        <f t="shared" si="5"/>
        <v>-0.25933576990306695</v>
      </c>
      <c r="M32" s="620">
        <f t="shared" si="5"/>
        <v>-0.28695146146796902</v>
      </c>
      <c r="N32" s="620"/>
      <c r="O32" s="620"/>
    </row>
    <row r="33" spans="1:15" x14ac:dyDescent="0.2">
      <c r="A33" s="29"/>
      <c r="B33" s="1"/>
      <c r="C33" s="180"/>
      <c r="D33" s="1"/>
      <c r="E33" s="180"/>
      <c r="F33" s="1"/>
      <c r="G33" s="180"/>
      <c r="H33" s="1"/>
      <c r="I33" s="1"/>
    </row>
    <row r="34" spans="1:15" ht="13.5" customHeight="1" x14ac:dyDescent="0.2">
      <c r="A34" s="107"/>
      <c r="B34" s="1"/>
      <c r="C34" s="180"/>
      <c r="D34" s="1"/>
      <c r="E34" s="180"/>
      <c r="F34" s="1"/>
      <c r="G34" s="180"/>
      <c r="H34" s="1"/>
      <c r="I34" s="197"/>
      <c r="J34" s="197"/>
      <c r="K34" s="197"/>
      <c r="L34" s="197"/>
      <c r="M34" s="197"/>
    </row>
    <row r="35" spans="1:15" ht="13.5" customHeight="1" x14ac:dyDescent="0.25">
      <c r="B35" s="1312" t="s">
        <v>2</v>
      </c>
      <c r="C35" s="1312"/>
      <c r="D35" s="1312"/>
      <c r="E35" s="1312"/>
      <c r="F35" s="1312"/>
      <c r="G35" s="1312"/>
      <c r="J35" s="1312" t="s">
        <v>3</v>
      </c>
      <c r="K35" s="1312"/>
      <c r="L35" s="1312"/>
      <c r="M35" s="1312"/>
      <c r="N35" s="1312"/>
      <c r="O35" s="1312"/>
    </row>
    <row r="36" spans="1:15" ht="13.5" customHeight="1" x14ac:dyDescent="0.2">
      <c r="A36" s="62"/>
      <c r="B36" s="1275" t="s">
        <v>124</v>
      </c>
      <c r="C36" s="1334"/>
      <c r="D36" s="1275" t="s">
        <v>53</v>
      </c>
      <c r="E36" s="1334"/>
      <c r="F36" s="1275" t="s">
        <v>125</v>
      </c>
      <c r="G36" s="1334"/>
      <c r="I36" s="62"/>
      <c r="J36" s="1275" t="s">
        <v>124</v>
      </c>
      <c r="K36" s="1334"/>
      <c r="L36" s="1275" t="s">
        <v>53</v>
      </c>
      <c r="M36" s="1334"/>
      <c r="N36" s="1275" t="s">
        <v>125</v>
      </c>
      <c r="O36" s="1334"/>
    </row>
    <row r="37" spans="1:15" ht="33" customHeight="1" x14ac:dyDescent="0.2">
      <c r="A37" s="357" t="s">
        <v>4</v>
      </c>
      <c r="B37" s="574" t="s">
        <v>0</v>
      </c>
      <c r="C37" s="575" t="s">
        <v>280</v>
      </c>
      <c r="D37" s="574" t="s">
        <v>0</v>
      </c>
      <c r="E37" s="575" t="s">
        <v>280</v>
      </c>
      <c r="F37" s="574" t="s">
        <v>0</v>
      </c>
      <c r="G37" s="575" t="s">
        <v>280</v>
      </c>
      <c r="I37" s="357" t="s">
        <v>4</v>
      </c>
      <c r="J37" s="574" t="s">
        <v>0</v>
      </c>
      <c r="K37" s="575" t="s">
        <v>280</v>
      </c>
      <c r="L37" s="574" t="s">
        <v>0</v>
      </c>
      <c r="M37" s="575" t="s">
        <v>280</v>
      </c>
      <c r="N37" s="574" t="s">
        <v>0</v>
      </c>
      <c r="O37" s="575" t="s">
        <v>280</v>
      </c>
    </row>
    <row r="38" spans="1:15" ht="15" customHeight="1" x14ac:dyDescent="0.2">
      <c r="A38" s="2" t="str">
        <f>T_10!A4</f>
        <v>2001-02</v>
      </c>
      <c r="B38" s="930">
        <f>T_10!K4</f>
        <v>234569</v>
      </c>
      <c r="C38" s="931">
        <f>T_10!L4</f>
        <v>4743.59</v>
      </c>
      <c r="D38" s="927">
        <f>'Incidents Timeseries'!G22</f>
        <v>35459</v>
      </c>
      <c r="E38" s="929">
        <f>D38/PopulationOtherArea!I9*1000000</f>
        <v>7001.8956597290789</v>
      </c>
      <c r="F38" s="927">
        <f>T_10!AH4</f>
        <v>21585</v>
      </c>
      <c r="G38" s="928">
        <f>T_10!AI4</f>
        <v>7417.02</v>
      </c>
      <c r="I38" s="2" t="str">
        <f t="shared" ref="I38:I44" si="6">A38</f>
        <v>2001-02</v>
      </c>
      <c r="J38" s="927">
        <f>T_10!M4</f>
        <v>8201</v>
      </c>
      <c r="K38" s="928">
        <f>T_10!N4</f>
        <v>165.85</v>
      </c>
      <c r="L38" s="927">
        <f>'Incidents Timeseries'!H22</f>
        <v>2761</v>
      </c>
      <c r="M38" s="929">
        <f>L38/PopulationOtherArea!I9*1000000</f>
        <v>545.19963666521858</v>
      </c>
      <c r="N38" s="927">
        <f>T_10!AJ4</f>
        <v>896</v>
      </c>
      <c r="O38" s="928">
        <f>T_10!AK4</f>
        <v>307.88</v>
      </c>
    </row>
    <row r="39" spans="1:15" ht="15" customHeight="1" x14ac:dyDescent="0.2">
      <c r="A39" s="2" t="str">
        <f>T_10!A5</f>
        <v>2002-03</v>
      </c>
      <c r="B39" s="930">
        <f>T_10!K5</f>
        <v>232181</v>
      </c>
      <c r="C39" s="931">
        <f>T_10!L5</f>
        <v>4673.6000000000004</v>
      </c>
      <c r="D39" s="927">
        <f>'Incidents Timeseries'!G23</f>
        <v>34723</v>
      </c>
      <c r="E39" s="929">
        <f>D39/PopulationOtherArea!I10*1000000</f>
        <v>6854.1255428345839</v>
      </c>
      <c r="F39" s="927">
        <f>T_10!AH5</f>
        <v>22191</v>
      </c>
      <c r="G39" s="928">
        <f>T_10!AI5</f>
        <v>7592.12</v>
      </c>
      <c r="I39" s="2" t="str">
        <f t="shared" si="6"/>
        <v>2002-03</v>
      </c>
      <c r="J39" s="927">
        <f>T_10!M5</f>
        <v>6855</v>
      </c>
      <c r="K39" s="928">
        <f>T_10!N5</f>
        <v>137.99</v>
      </c>
      <c r="L39" s="927">
        <f>'Incidents Timeseries'!H23</f>
        <v>2396</v>
      </c>
      <c r="M39" s="929">
        <f>L39/PopulationOtherArea!I10*1000000</f>
        <v>472.95696802210819</v>
      </c>
      <c r="N39" s="927">
        <f>T_10!AJ5</f>
        <v>771</v>
      </c>
      <c r="O39" s="928">
        <f>T_10!AK5</f>
        <v>263.77999999999997</v>
      </c>
    </row>
    <row r="40" spans="1:15" ht="15" customHeight="1" x14ac:dyDescent="0.2">
      <c r="A40" s="2" t="str">
        <f>T_10!A6</f>
        <v>2003-04</v>
      </c>
      <c r="B40" s="930">
        <f>T_10!K6</f>
        <v>294688</v>
      </c>
      <c r="C40" s="931">
        <f>T_10!L6</f>
        <v>5902.55</v>
      </c>
      <c r="D40" s="927">
        <f>'Incidents Timeseries'!G24</f>
        <v>42181</v>
      </c>
      <c r="E40" s="929">
        <f>D40/PopulationOtherArea!I11*1000000</f>
        <v>8322.1860510999304</v>
      </c>
      <c r="F40" s="927">
        <f>T_10!AH6</f>
        <v>23742</v>
      </c>
      <c r="G40" s="928">
        <f>T_10!AI6</f>
        <v>8081.83</v>
      </c>
      <c r="I40" s="2" t="str">
        <f t="shared" si="6"/>
        <v>2003-04</v>
      </c>
      <c r="J40" s="927">
        <f>T_10!M6</f>
        <v>6491</v>
      </c>
      <c r="K40" s="928">
        <f>T_10!N6</f>
        <v>130.01</v>
      </c>
      <c r="L40" s="927">
        <f>'Incidents Timeseries'!H24</f>
        <v>1893</v>
      </c>
      <c r="M40" s="929">
        <f>L40/PopulationOtherArea!I11*1000000</f>
        <v>373.48327907664992</v>
      </c>
      <c r="N40" s="927">
        <f>T_10!AJ6</f>
        <v>703</v>
      </c>
      <c r="O40" s="928">
        <f>T_10!AK6</f>
        <v>239.3</v>
      </c>
    </row>
    <row r="41" spans="1:15" ht="15" customHeight="1" x14ac:dyDescent="0.2">
      <c r="A41" s="2" t="str">
        <f>T_10!A7</f>
        <v>2004-05</v>
      </c>
      <c r="B41" s="930">
        <f>T_10!K7</f>
        <v>188403</v>
      </c>
      <c r="C41" s="931">
        <f>T_10!L7</f>
        <v>3753.45</v>
      </c>
      <c r="D41" s="927">
        <f>'Incidents Timeseries'!G25</f>
        <v>27547</v>
      </c>
      <c r="E41" s="929">
        <f>D41/PopulationOtherArea!I12*1000000</f>
        <v>5418.0516491945791</v>
      </c>
      <c r="F41" s="927">
        <f>T_10!AH7</f>
        <v>16048</v>
      </c>
      <c r="G41" s="928">
        <f>T_10!AI7</f>
        <v>5426.39</v>
      </c>
      <c r="I41" s="2" t="str">
        <f t="shared" si="6"/>
        <v>2004-05</v>
      </c>
      <c r="J41" s="927">
        <f>T_10!M7</f>
        <v>6341</v>
      </c>
      <c r="K41" s="928">
        <f>T_10!N7</f>
        <v>126.33</v>
      </c>
      <c r="L41" s="927">
        <f>'Incidents Timeseries'!H25</f>
        <v>1474</v>
      </c>
      <c r="M41" s="929">
        <f>L41/PopulationOtherArea!I12*1000000</f>
        <v>289.91208229254767</v>
      </c>
      <c r="N41" s="927">
        <f>T_10!AJ7</f>
        <v>654</v>
      </c>
      <c r="O41" s="928">
        <f>T_10!AK7</f>
        <v>221.14</v>
      </c>
    </row>
    <row r="42" spans="1:15" ht="15" customHeight="1" x14ac:dyDescent="0.2">
      <c r="A42" s="2" t="str">
        <f>T_10!A8</f>
        <v>2005-06</v>
      </c>
      <c r="B42" s="930">
        <f>T_10!K8</f>
        <v>191393</v>
      </c>
      <c r="C42" s="931">
        <f>T_10!L8</f>
        <v>3782.02</v>
      </c>
      <c r="D42" s="927">
        <f>'Incidents Timeseries'!G26</f>
        <v>31554</v>
      </c>
      <c r="E42" s="929">
        <f>D42/PopulationOtherArea!I13*1000000</f>
        <v>6174.7094047199716</v>
      </c>
      <c r="F42" s="927">
        <f>T_10!AH8</f>
        <v>14684</v>
      </c>
      <c r="G42" s="928">
        <f>T_10!AI8</f>
        <v>4945.2700000000004</v>
      </c>
      <c r="I42" s="2" t="str">
        <f t="shared" si="6"/>
        <v>2005-06</v>
      </c>
      <c r="J42" s="927">
        <f>T_10!M8</f>
        <v>6988</v>
      </c>
      <c r="K42" s="928">
        <f>T_10!N8</f>
        <v>138.09</v>
      </c>
      <c r="L42" s="927">
        <f>'Incidents Timeseries'!H26</f>
        <v>1696</v>
      </c>
      <c r="M42" s="929">
        <f>L42/PopulationOtherArea!I13*1000000</f>
        <v>331.88524910962389</v>
      </c>
      <c r="N42" s="927">
        <f>T_10!AJ8</f>
        <v>669</v>
      </c>
      <c r="O42" s="928">
        <f>T_10!AK8</f>
        <v>225.31</v>
      </c>
    </row>
    <row r="43" spans="1:15" ht="15" customHeight="1" x14ac:dyDescent="0.2">
      <c r="A43" s="2" t="str">
        <f>T_10!A9</f>
        <v>2006-07</v>
      </c>
      <c r="B43" s="930">
        <f>T_10!K9</f>
        <v>201551</v>
      </c>
      <c r="C43" s="931">
        <f>T_10!L9</f>
        <v>3954.68</v>
      </c>
      <c r="D43" s="927">
        <f>'Incidents Timeseries'!G27</f>
        <v>32397</v>
      </c>
      <c r="E43" s="929">
        <f>D43/PopulationOtherArea!I14*1000000</f>
        <v>6311.5137346580941</v>
      </c>
      <c r="F43" s="927">
        <f>T_10!AH9</f>
        <v>17315</v>
      </c>
      <c r="G43" s="928">
        <f>T_10!AI9</f>
        <v>5799.31</v>
      </c>
      <c r="I43" s="2" t="str">
        <f t="shared" si="6"/>
        <v>2006-07</v>
      </c>
      <c r="J43" s="927">
        <f>T_10!M9</f>
        <v>5548</v>
      </c>
      <c r="K43" s="928">
        <f>T_10!N9</f>
        <v>108.86</v>
      </c>
      <c r="L43" s="927">
        <f>'Incidents Timeseries'!H27</f>
        <v>1430</v>
      </c>
      <c r="M43" s="929">
        <f>L43/PopulationOtherArea!I14*1000000</f>
        <v>278.58951879992208</v>
      </c>
      <c r="N43" s="927">
        <f>T_10!AJ9</f>
        <v>595</v>
      </c>
      <c r="O43" s="928">
        <f>T_10!AK9</f>
        <v>199.28</v>
      </c>
    </row>
    <row r="44" spans="1:15" ht="15" customHeight="1" x14ac:dyDescent="0.2">
      <c r="A44" s="2" t="str">
        <f>T_10!A10</f>
        <v>2007-08</v>
      </c>
      <c r="B44" s="930">
        <f>T_10!K10</f>
        <v>172306</v>
      </c>
      <c r="C44" s="931">
        <f>T_10!L10</f>
        <v>3353.49</v>
      </c>
      <c r="D44" s="927">
        <f>'Incidents Timeseries'!G28</f>
        <v>30385</v>
      </c>
      <c r="E44" s="929">
        <f>D44/PopulationOtherArea!I15*1000000</f>
        <v>5877.1760154738886</v>
      </c>
      <c r="F44" s="927">
        <f>T_10!AH10</f>
        <v>16352</v>
      </c>
      <c r="G44" s="928">
        <f>T_10!AI10</f>
        <v>5439.24</v>
      </c>
      <c r="I44" s="2" t="str">
        <f t="shared" si="6"/>
        <v>2007-08</v>
      </c>
      <c r="J44" s="927">
        <f>T_10!M10</f>
        <v>6343</v>
      </c>
      <c r="K44" s="928">
        <f>T_10!N10</f>
        <v>123.45</v>
      </c>
      <c r="L44" s="927">
        <f>'Incidents Timeseries'!H28</f>
        <v>1633</v>
      </c>
      <c r="M44" s="929">
        <f>L44/PopulationOtherArea!I15*1000000</f>
        <v>315.8607350096712</v>
      </c>
      <c r="N44" s="927">
        <f>T_10!AJ10</f>
        <v>620</v>
      </c>
      <c r="O44" s="928">
        <f>T_10!AK10</f>
        <v>206.23</v>
      </c>
    </row>
    <row r="45" spans="1:15" ht="15" customHeight="1" x14ac:dyDescent="0.2">
      <c r="A45" s="2" t="str">
        <f>T_10!A11</f>
        <v>2008-09</v>
      </c>
      <c r="B45" s="930">
        <f>T_10!K11</f>
        <v>136744</v>
      </c>
      <c r="C45" s="931">
        <f>T_10!L11</f>
        <v>2639.04</v>
      </c>
      <c r="D45" s="927">
        <f>'Incidents Timeseries'!G29</f>
        <v>25651</v>
      </c>
      <c r="E45" s="929">
        <f>D45/PopulationOtherArea!I16*1000000</f>
        <v>4930.1351169540067</v>
      </c>
      <c r="F45" s="927">
        <f>T_10!AH11</f>
        <v>11724</v>
      </c>
      <c r="G45" s="928">
        <f>T_10!AI11</f>
        <v>3874.55</v>
      </c>
      <c r="I45" s="2" t="str">
        <f t="shared" ref="I45:I57" si="7">A45</f>
        <v>2008-09</v>
      </c>
      <c r="J45" s="927">
        <f>T_10!M11</f>
        <v>8145</v>
      </c>
      <c r="K45" s="928">
        <f>T_10!N11</f>
        <v>157.19</v>
      </c>
      <c r="L45" s="927">
        <f>'Incidents Timeseries'!H29</f>
        <v>1745</v>
      </c>
      <c r="M45" s="929">
        <f>L45/PopulationOtherArea!I16*1000000</f>
        <v>335.38987872148226</v>
      </c>
      <c r="N45" s="927">
        <f>T_10!AJ11</f>
        <v>812</v>
      </c>
      <c r="O45" s="928">
        <f>T_10!AK11</f>
        <v>268.35000000000002</v>
      </c>
    </row>
    <row r="46" spans="1:15" ht="15" customHeight="1" x14ac:dyDescent="0.2">
      <c r="A46" s="2" t="str">
        <f>T_10!A12</f>
        <v>2009-10</v>
      </c>
      <c r="B46" s="930">
        <f>T_10!K12</f>
        <v>132941</v>
      </c>
      <c r="C46" s="931">
        <f>T_10!L12</f>
        <v>2546.94</v>
      </c>
      <c r="D46" s="927">
        <f>'Incidents Timeseries'!G30</f>
        <v>23005</v>
      </c>
      <c r="E46" s="929">
        <f>D46/PopulationOtherArea!I17*1000000</f>
        <v>4397.0641640704143</v>
      </c>
      <c r="F46" s="927">
        <f>T_10!AH12</f>
        <v>11562</v>
      </c>
      <c r="G46" s="928">
        <f>T_10!AI12</f>
        <v>3804.67</v>
      </c>
      <c r="I46" s="2" t="str">
        <f t="shared" si="7"/>
        <v>2009-10</v>
      </c>
      <c r="J46" s="927">
        <f>T_10!M12</f>
        <v>7362</v>
      </c>
      <c r="K46" s="928">
        <f>T_10!N12</f>
        <v>141.04</v>
      </c>
      <c r="L46" s="927">
        <f>'Incidents Timeseries'!H30</f>
        <v>1740</v>
      </c>
      <c r="M46" s="929">
        <f>L46/PopulationOtherArea!I17*1000000</f>
        <v>332.57516389839259</v>
      </c>
      <c r="N46" s="927">
        <f>T_10!AJ12</f>
        <v>790</v>
      </c>
      <c r="O46" s="928">
        <f>T_10!AK12</f>
        <v>259.95999999999998</v>
      </c>
    </row>
    <row r="47" spans="1:15" ht="15" customHeight="1" x14ac:dyDescent="0.2">
      <c r="A47" s="2" t="str">
        <f>T_10!A13</f>
        <v>2010-11</v>
      </c>
      <c r="B47" s="927">
        <f>T_10!K13</f>
        <v>128478</v>
      </c>
      <c r="C47" s="928">
        <f>T_10!L13</f>
        <v>2440.58</v>
      </c>
      <c r="D47" s="927">
        <f>'Incidents Timeseries'!G31</f>
        <v>24217</v>
      </c>
      <c r="E47" s="929">
        <f>D47/PopulationOtherArea!I18*1000000</f>
        <v>4602.0675762988867</v>
      </c>
      <c r="F47" s="927">
        <f>T_10!AH13</f>
        <v>13503</v>
      </c>
      <c r="G47" s="928">
        <f>T_10!AI13</f>
        <v>4427.21</v>
      </c>
      <c r="I47" s="2" t="str">
        <f t="shared" si="7"/>
        <v>2010-11</v>
      </c>
      <c r="J47" s="927">
        <f>T_10!M13</f>
        <v>7686</v>
      </c>
      <c r="K47" s="928">
        <f>T_10!N13</f>
        <v>146</v>
      </c>
      <c r="L47" s="927">
        <f>'Incidents Timeseries'!H31</f>
        <v>1574</v>
      </c>
      <c r="M47" s="929">
        <f>L47/PopulationOtherArea!I18*1000000</f>
        <v>299.11443882786671</v>
      </c>
      <c r="N47" s="927">
        <f>T_10!AJ13</f>
        <v>771</v>
      </c>
      <c r="O47" s="928">
        <f>T_10!AK13</f>
        <v>252.79</v>
      </c>
    </row>
    <row r="48" spans="1:15" ht="15" customHeight="1" x14ac:dyDescent="0.2">
      <c r="A48" s="2" t="str">
        <f>T_10!A14</f>
        <v>2011-12</v>
      </c>
      <c r="B48" s="927">
        <f>T_10!K14</f>
        <v>131124</v>
      </c>
      <c r="C48" s="928">
        <f>T_10!L14</f>
        <v>2469.04</v>
      </c>
      <c r="D48" s="927">
        <f>'Incidents Timeseries'!G32</f>
        <v>18683</v>
      </c>
      <c r="E48" s="929">
        <f>D48/PopulationOtherArea!I19*1000000</f>
        <v>3525.1608520915493</v>
      </c>
      <c r="F48" s="927">
        <f>T_10!AH14</f>
        <v>10162</v>
      </c>
      <c r="G48" s="928">
        <f>T_10!AI14</f>
        <v>3316.8</v>
      </c>
      <c r="I48" s="2" t="str">
        <f t="shared" si="7"/>
        <v>2011-12</v>
      </c>
      <c r="J48" s="927">
        <f>T_10!M14</f>
        <v>5831</v>
      </c>
      <c r="K48" s="928">
        <f>T_10!N14</f>
        <v>109.8</v>
      </c>
      <c r="L48" s="927">
        <f>'Incidents Timeseries'!H32</f>
        <v>1245</v>
      </c>
      <c r="M48" s="929">
        <f>L48/PopulationOtherArea!I19*1000000</f>
        <v>234.91009264325743</v>
      </c>
      <c r="N48" s="927">
        <f>T_10!AJ14</f>
        <v>615</v>
      </c>
      <c r="O48" s="928">
        <f>T_10!AK14</f>
        <v>200.73</v>
      </c>
    </row>
    <row r="49" spans="1:15" ht="15" customHeight="1" x14ac:dyDescent="0.2">
      <c r="A49" s="2" t="str">
        <f>T_10!A15</f>
        <v>2012-13</v>
      </c>
      <c r="B49" s="927">
        <f>T_10!K15</f>
        <v>72496</v>
      </c>
      <c r="C49" s="928">
        <f>T_10!L15</f>
        <v>1355.23</v>
      </c>
      <c r="D49" s="927">
        <f>'Incidents Timeseries'!G33</f>
        <v>14273</v>
      </c>
      <c r="E49" s="929">
        <f>D49/PopulationOtherArea!I20*1000000</f>
        <v>2686.1261668172237</v>
      </c>
      <c r="F49" s="927">
        <f>T_10!AH15</f>
        <v>5922</v>
      </c>
      <c r="G49" s="928">
        <f>T_10!AI15</f>
        <v>1926.42</v>
      </c>
      <c r="I49" s="2" t="str">
        <f t="shared" si="7"/>
        <v>2012-13</v>
      </c>
      <c r="J49" s="927">
        <f>T_10!M15</f>
        <v>7252</v>
      </c>
      <c r="K49" s="928">
        <f>T_10!N15</f>
        <v>135.57</v>
      </c>
      <c r="L49" s="927">
        <f>'Incidents Timeseries'!H33</f>
        <v>1381</v>
      </c>
      <c r="M49" s="929">
        <f>L49/PopulationOtherArea!I20*1000000</f>
        <v>259.89912676904549</v>
      </c>
      <c r="N49" s="927">
        <f>T_10!AJ15</f>
        <v>771</v>
      </c>
      <c r="O49" s="928">
        <f>T_10!AK15</f>
        <v>250.81</v>
      </c>
    </row>
    <row r="50" spans="1:15" ht="15" customHeight="1" x14ac:dyDescent="0.2">
      <c r="A50" s="2" t="str">
        <f>T_10!A16</f>
        <v>2013-14</v>
      </c>
      <c r="B50" s="927">
        <f>T_10!K16</f>
        <v>92133</v>
      </c>
      <c r="C50" s="928">
        <f>T_10!L16</f>
        <v>1710.42</v>
      </c>
      <c r="D50" s="927">
        <f>'Incidents Timeseries'!G34</f>
        <v>16361</v>
      </c>
      <c r="E50" s="929">
        <f>D50/PopulationOtherArea!I21*1000000</f>
        <v>3070.9311710494212</v>
      </c>
      <c r="F50" s="927">
        <f>T_10!AH16</f>
        <v>7801</v>
      </c>
      <c r="G50" s="928">
        <f>T_10!AI16</f>
        <v>2530.8200000000002</v>
      </c>
      <c r="I50" s="2" t="str">
        <f t="shared" si="7"/>
        <v>2013-14</v>
      </c>
      <c r="J50" s="927">
        <f>T_10!M16</f>
        <v>5987</v>
      </c>
      <c r="K50" s="928">
        <f>T_10!N16</f>
        <v>111.15</v>
      </c>
      <c r="L50" s="927">
        <f>'Incidents Timeseries'!H34</f>
        <v>1107</v>
      </c>
      <c r="M50" s="929">
        <f>L50/PopulationOtherArea!I21*1000000</f>
        <v>207.78196970550144</v>
      </c>
      <c r="N50" s="927">
        <f>T_10!AJ16</f>
        <v>578</v>
      </c>
      <c r="O50" s="928">
        <f>T_10!AK16</f>
        <v>187.52</v>
      </c>
    </row>
    <row r="51" spans="1:15" ht="15" customHeight="1" x14ac:dyDescent="0.2">
      <c r="A51" s="29" t="str">
        <f>T_10!A17</f>
        <v>2014-15</v>
      </c>
      <c r="B51" s="927">
        <f>T_10!K17</f>
        <v>78753</v>
      </c>
      <c r="C51" s="928">
        <f>T_10!L17</f>
        <v>1449.89</v>
      </c>
      <c r="D51" s="927">
        <f>'Incidents Timeseries'!G35</f>
        <v>13406</v>
      </c>
      <c r="E51" s="929">
        <f>D51/PopulationOtherArea!I22*1000000</f>
        <v>2506.91899169721</v>
      </c>
      <c r="F51" s="927">
        <f>T_10!AH17</f>
        <v>6541</v>
      </c>
      <c r="G51" s="928">
        <f>T_10!AI17</f>
        <v>2115.46</v>
      </c>
      <c r="I51" s="29" t="str">
        <f t="shared" si="7"/>
        <v>2014-15</v>
      </c>
      <c r="J51" s="927">
        <f>T_10!M17</f>
        <v>5186</v>
      </c>
      <c r="K51" s="928">
        <f>T_10!N17</f>
        <v>95.48</v>
      </c>
      <c r="L51" s="927">
        <f>'Incidents Timeseries'!H35</f>
        <v>985</v>
      </c>
      <c r="M51" s="929">
        <f>L51/PopulationOtherArea!I22*1000000</f>
        <v>184.19477896626523</v>
      </c>
      <c r="N51" s="927">
        <f>T_10!AJ17</f>
        <v>549</v>
      </c>
      <c r="O51" s="928">
        <f>T_10!AK17</f>
        <v>177.55</v>
      </c>
    </row>
    <row r="52" spans="1:15" ht="15" customHeight="1" x14ac:dyDescent="0.2">
      <c r="A52" s="29" t="str">
        <f>T_10!A18</f>
        <v>2015-16</v>
      </c>
      <c r="B52" s="927">
        <f>T_10!K18</f>
        <v>84590</v>
      </c>
      <c r="C52" s="928">
        <f>T_10!L18</f>
        <v>1544</v>
      </c>
      <c r="D52" s="927">
        <f>'Incidents Timeseries'!G36</f>
        <v>14732</v>
      </c>
      <c r="E52" s="929">
        <f>D52/PopulationOtherArea!I23*1000000</f>
        <v>2741.8574353247723</v>
      </c>
      <c r="F52" s="927">
        <f>T_10!AH18</f>
        <v>6998</v>
      </c>
      <c r="G52" s="928">
        <f>T_10!AI18</f>
        <v>2258.0700000000002</v>
      </c>
      <c r="I52" s="29" t="str">
        <f t="shared" si="7"/>
        <v>2015-16</v>
      </c>
      <c r="J52" s="927">
        <f>T_10!M18</f>
        <v>4207</v>
      </c>
      <c r="K52" s="928">
        <f>T_10!N18</f>
        <v>76.790000000000006</v>
      </c>
      <c r="L52" s="927">
        <f>'Incidents Timeseries'!H36</f>
        <v>890</v>
      </c>
      <c r="M52" s="929">
        <f>L52/PopulationOtherArea!I23*1000000</f>
        <v>165.643029964638</v>
      </c>
      <c r="N52" s="927">
        <f>T_10!AJ18</f>
        <v>432</v>
      </c>
      <c r="O52" s="928">
        <f>T_10!AK18</f>
        <v>139.4</v>
      </c>
    </row>
    <row r="53" spans="1:15" ht="15" customHeight="1" x14ac:dyDescent="0.2">
      <c r="A53" s="29" t="str">
        <f>T_10!A19</f>
        <v>2016-17</v>
      </c>
      <c r="B53" s="927">
        <f>T_10!K19</f>
        <v>82860</v>
      </c>
      <c r="C53" s="928">
        <f>T_10!L19</f>
        <v>1499.24</v>
      </c>
      <c r="D53" s="927">
        <f>'Incidents Timeseries'!G37</f>
        <v>15660</v>
      </c>
      <c r="E53" s="929">
        <f>D53/PopulationOtherArea!I24*1000000</f>
        <v>2897.4781208947766</v>
      </c>
      <c r="F53" s="927">
        <f>T_10!AH19</f>
        <v>5576</v>
      </c>
      <c r="G53" s="928">
        <f>T_10!AI19</f>
        <v>1791.08</v>
      </c>
      <c r="I53" s="29" t="str">
        <f t="shared" si="7"/>
        <v>2016-17</v>
      </c>
      <c r="J53" s="927">
        <f>T_10!M19</f>
        <v>4241</v>
      </c>
      <c r="K53" s="928">
        <f>T_10!N19</f>
        <v>76.739999999999995</v>
      </c>
      <c r="L53" s="927">
        <f>'Incidents Timeseries'!H37</f>
        <v>750</v>
      </c>
      <c r="M53" s="929">
        <f>L53/PopulationOtherArea!I24*1000000</f>
        <v>138.76810923825559</v>
      </c>
      <c r="N53" s="927">
        <f>T_10!AJ19</f>
        <v>417</v>
      </c>
      <c r="O53" s="928">
        <f>T_10!AK19</f>
        <v>133.94999999999999</v>
      </c>
    </row>
    <row r="54" spans="1:15" ht="15" customHeight="1" x14ac:dyDescent="0.2">
      <c r="A54" s="29" t="str">
        <f>T_10!A20</f>
        <v>2017-18</v>
      </c>
      <c r="B54" s="927">
        <f>T_10!K20</f>
        <v>89040</v>
      </c>
      <c r="C54" s="928">
        <f>T_10!L20</f>
        <v>1600.88</v>
      </c>
      <c r="D54" s="927">
        <f>'Incidents Timeseries'!G38</f>
        <v>14728</v>
      </c>
      <c r="E54" s="929">
        <f>D54/PopulationOtherArea!I25*1000000</f>
        <v>2714.9387995870816</v>
      </c>
      <c r="F54" s="927">
        <f>T_10!AH20</f>
        <v>6301</v>
      </c>
      <c r="G54" s="928">
        <f>T_10!AI20</f>
        <v>2016.19</v>
      </c>
      <c r="I54" s="29" t="str">
        <f t="shared" si="7"/>
        <v>2017-18</v>
      </c>
      <c r="J54" s="927">
        <f>T_10!M20</f>
        <v>4041</v>
      </c>
      <c r="K54" s="928">
        <f>T_10!N20</f>
        <v>72.650000000000006</v>
      </c>
      <c r="L54" s="927">
        <f>'Incidents Timeseries'!H38</f>
        <v>774</v>
      </c>
      <c r="M54" s="929">
        <f>L54/PopulationOtherArea!I25*1000000</f>
        <v>142.6780710809615</v>
      </c>
      <c r="N54" s="927">
        <f>T_10!AJ20</f>
        <v>406</v>
      </c>
      <c r="O54" s="928">
        <f>T_10!AK20</f>
        <v>129.91</v>
      </c>
    </row>
    <row r="55" spans="1:15" ht="15" customHeight="1" x14ac:dyDescent="0.2">
      <c r="A55" s="29" t="str">
        <f>T_10!A21</f>
        <v>2018-19</v>
      </c>
      <c r="B55" s="927">
        <f>T_10!K21</f>
        <v>106301</v>
      </c>
      <c r="C55" s="928">
        <f>T_10!L21</f>
        <v>1899.01</v>
      </c>
      <c r="D55" s="927">
        <f>'Incidents Timeseries'!G39</f>
        <v>15697</v>
      </c>
      <c r="E55" s="929">
        <f>D55/PopulationOtherArea!I26*1000000</f>
        <v>2886.4860888913408</v>
      </c>
      <c r="F55" s="927">
        <f>T_10!AH21</f>
        <v>8184</v>
      </c>
      <c r="G55" s="928">
        <f>T_10!AI21</f>
        <v>2607.5300000000002</v>
      </c>
      <c r="I55" s="29" t="str">
        <f t="shared" si="7"/>
        <v>2018-19</v>
      </c>
      <c r="J55" s="927">
        <f>T_10!M21</f>
        <v>3334</v>
      </c>
      <c r="K55" s="928">
        <f>T_10!N21</f>
        <v>59.56</v>
      </c>
      <c r="L55" s="927">
        <f>'Incidents Timeseries'!H39</f>
        <v>644</v>
      </c>
      <c r="M55" s="929">
        <f>L55/PopulationOtherArea!I26*1000000</f>
        <v>118.42371416487376</v>
      </c>
      <c r="N55" s="927">
        <f>T_10!AJ21</f>
        <v>335</v>
      </c>
      <c r="O55" s="928">
        <f>T_10!AK21</f>
        <v>106.74</v>
      </c>
    </row>
    <row r="56" spans="1:15" ht="15" customHeight="1" x14ac:dyDescent="0.2">
      <c r="A56" s="29" t="str">
        <f>T_10!A22</f>
        <v>2019-20</v>
      </c>
      <c r="B56" s="927">
        <f>T_10!K22</f>
        <v>82265</v>
      </c>
      <c r="C56" s="928">
        <f>T_10!L22</f>
        <v>1461.53</v>
      </c>
      <c r="D56" s="927">
        <f>'Incidents Timeseries'!G40</f>
        <v>14090</v>
      </c>
      <c r="E56" s="929">
        <f>D56/PopulationOtherArea!I27*1000000</f>
        <v>2579.0273278055388</v>
      </c>
      <c r="F56" s="927">
        <f>T_10!AH22</f>
        <v>5978</v>
      </c>
      <c r="G56" s="928">
        <f>T_10!AI22</f>
        <v>1896.03</v>
      </c>
      <c r="I56" s="29" t="str">
        <f t="shared" si="7"/>
        <v>2019-20</v>
      </c>
      <c r="J56" s="927">
        <f>T_10!M22</f>
        <v>3144</v>
      </c>
      <c r="K56" s="928">
        <f>T_10!N22</f>
        <v>55.86</v>
      </c>
      <c r="L56" s="927">
        <f>'Incidents Timeseries'!H40</f>
        <v>556</v>
      </c>
      <c r="M56" s="929">
        <f>L56/PopulationOtherArea!I27*1000000</f>
        <v>101.76999249537825</v>
      </c>
      <c r="N56" s="927">
        <f>T_10!AJ22</f>
        <v>330</v>
      </c>
      <c r="O56" s="928">
        <f>T_10!AK22</f>
        <v>104.67</v>
      </c>
    </row>
    <row r="57" spans="1:15" ht="13.5" customHeight="1" x14ac:dyDescent="0.2">
      <c r="A57" s="29" t="str">
        <f>T_10!A23</f>
        <v>2020-21</v>
      </c>
      <c r="B57" s="927">
        <f>T_10!K23</f>
        <v>86069</v>
      </c>
      <c r="C57" s="928">
        <f>T_10!L23</f>
        <v>1522</v>
      </c>
      <c r="D57" s="927">
        <f>'Incidents Timeseries'!G41</f>
        <v>15130</v>
      </c>
      <c r="E57" s="929">
        <f>D57/PopulationOtherArea!I28*1000000</f>
        <v>2768.0204903036956</v>
      </c>
      <c r="F57" s="927">
        <f>T_10!AH23</f>
        <v>6199</v>
      </c>
      <c r="G57" s="928">
        <f>T_10!AI23</f>
        <v>1955.77</v>
      </c>
      <c r="I57" s="29" t="str">
        <f t="shared" si="7"/>
        <v>2020-21</v>
      </c>
      <c r="J57" s="927">
        <f>T_10!M23</f>
        <v>3105</v>
      </c>
      <c r="K57" s="928">
        <f>T_10!N23</f>
        <v>54.91</v>
      </c>
      <c r="L57" s="927">
        <f>'Incidents Timeseries'!H41</f>
        <v>601</v>
      </c>
      <c r="M57" s="929">
        <f>L57/PopulationOtherArea!I28*1000000</f>
        <v>109.95243322356386</v>
      </c>
      <c r="N57" s="927">
        <f>T_10!AJ23</f>
        <v>333</v>
      </c>
      <c r="O57" s="928">
        <f>T_10!AK23</f>
        <v>105.06</v>
      </c>
    </row>
    <row r="58" spans="1:15" ht="15" customHeight="1" x14ac:dyDescent="0.2">
      <c r="A58" s="488" t="str">
        <f>"1 Year % change " &amp; A56 &amp; " to " &amp; A57</f>
        <v>1 Year % change 2019-20 to 2020-21</v>
      </c>
      <c r="B58" s="623">
        <f>B57/B56-1</f>
        <v>4.6240807147632568E-2</v>
      </c>
      <c r="C58" s="623">
        <f t="shared" ref="C58:E58" si="8">C57/C56-1</f>
        <v>4.137445006260565E-2</v>
      </c>
      <c r="D58" s="623">
        <f t="shared" si="8"/>
        <v>7.3811213626685523E-2</v>
      </c>
      <c r="E58" s="623">
        <f t="shared" si="8"/>
        <v>7.3280790963533127E-2</v>
      </c>
      <c r="F58" s="623"/>
      <c r="G58" s="623"/>
      <c r="H58" s="623"/>
      <c r="I58" s="623"/>
      <c r="J58" s="623">
        <f>J57/J56-1</f>
        <v>-1.2404580152671763E-2</v>
      </c>
      <c r="K58" s="623">
        <f t="shared" ref="K58:M58" si="9">K57/K56-1</f>
        <v>-1.7006802721088454E-2</v>
      </c>
      <c r="L58" s="623">
        <f t="shared" si="9"/>
        <v>8.0935251798561092E-2</v>
      </c>
      <c r="M58" s="623">
        <f t="shared" si="9"/>
        <v>8.0401310126432479E-2</v>
      </c>
      <c r="N58" s="623"/>
      <c r="O58" s="623"/>
    </row>
    <row r="59" spans="1:15" ht="15" customHeight="1" x14ac:dyDescent="0.2">
      <c r="A59" s="274" t="str">
        <f>"3 Year % change " &amp; A54 &amp; " to " &amp; A57</f>
        <v>3 Year % change 2017-18 to 2020-21</v>
      </c>
      <c r="B59" s="622">
        <f>B57/B54-1</f>
        <v>-3.3367026055705296E-2</v>
      </c>
      <c r="C59" s="622">
        <f t="shared" ref="C59:E59" si="10">C57/C54-1</f>
        <v>-4.9272899905052236E-2</v>
      </c>
      <c r="D59" s="622">
        <f t="shared" si="10"/>
        <v>2.7294948397609931E-2</v>
      </c>
      <c r="E59" s="622">
        <f t="shared" si="10"/>
        <v>1.9551708025494774E-2</v>
      </c>
      <c r="F59" s="622"/>
      <c r="G59" s="622"/>
      <c r="H59" s="622"/>
      <c r="I59" s="622"/>
      <c r="J59" s="622">
        <f>J57/J54-1</f>
        <v>-0.23162583518930957</v>
      </c>
      <c r="K59" s="622">
        <f t="shared" ref="K59:M59" si="11">K57/K54-1</f>
        <v>-0.24418444597384736</v>
      </c>
      <c r="L59" s="622">
        <f t="shared" si="11"/>
        <v>-0.22351421188630494</v>
      </c>
      <c r="M59" s="622">
        <f t="shared" si="11"/>
        <v>-0.2293669770656469</v>
      </c>
      <c r="N59" s="622"/>
      <c r="O59" s="622"/>
    </row>
    <row r="60" spans="1:15" ht="15" customHeight="1" thickBot="1" x14ac:dyDescent="0.25">
      <c r="A60" s="491" t="str">
        <f>"10 Year % change " &amp; A47 &amp; " to " &amp; A57</f>
        <v>10 Year % change 2010-11 to 2020-21</v>
      </c>
      <c r="B60" s="620">
        <f>B57/B47-1</f>
        <v>-0.33008764146390823</v>
      </c>
      <c r="C60" s="620">
        <f t="shared" ref="C60:E60" si="12">C57/C47-1</f>
        <v>-0.37637774627342679</v>
      </c>
      <c r="D60" s="620">
        <f t="shared" si="12"/>
        <v>-0.37523227484824706</v>
      </c>
      <c r="E60" s="620">
        <f t="shared" si="12"/>
        <v>-0.39852676119766672</v>
      </c>
      <c r="F60" s="620"/>
      <c r="G60" s="620"/>
      <c r="H60" s="620"/>
      <c r="I60" s="620"/>
      <c r="J60" s="620">
        <f>J57/J47-1</f>
        <v>-0.59601873536299765</v>
      </c>
      <c r="K60" s="620">
        <f t="shared" ref="K60:M60" si="13">K57/K47-1</f>
        <v>-0.62390410958904119</v>
      </c>
      <c r="L60" s="620">
        <f t="shared" si="13"/>
        <v>-0.61817026683608645</v>
      </c>
      <c r="M60" s="620">
        <f t="shared" si="13"/>
        <v>-0.63240680170963293</v>
      </c>
      <c r="N60" s="620"/>
      <c r="O60" s="620"/>
    </row>
    <row r="61" spans="1:15" ht="13.5" customHeight="1" x14ac:dyDescent="0.2">
      <c r="A61" s="29"/>
      <c r="B61" s="1"/>
      <c r="C61" s="180"/>
      <c r="D61" s="1"/>
      <c r="E61" s="180"/>
      <c r="F61" s="1"/>
      <c r="G61" s="180"/>
      <c r="I61" s="29"/>
      <c r="J61" s="1"/>
      <c r="K61" s="180"/>
      <c r="L61" s="1"/>
      <c r="M61" s="180"/>
      <c r="N61" s="1"/>
      <c r="O61" s="180"/>
    </row>
    <row r="62" spans="1:15" ht="13.5" customHeight="1" x14ac:dyDescent="0.25">
      <c r="A62" s="351"/>
      <c r="C62" s="197"/>
      <c r="D62" s="197"/>
      <c r="E62" s="197"/>
      <c r="F62" s="197"/>
      <c r="G62" s="197"/>
      <c r="H62" s="197"/>
      <c r="I62" s="1"/>
      <c r="J62" s="1"/>
      <c r="K62" s="1"/>
      <c r="L62" s="1"/>
      <c r="M62" s="1"/>
    </row>
    <row r="63" spans="1:15" x14ac:dyDescent="0.2">
      <c r="A63" s="274" t="s">
        <v>146</v>
      </c>
      <c r="C63" s="71"/>
      <c r="E63" s="71"/>
      <c r="G63" s="71"/>
    </row>
    <row r="64" spans="1:15" ht="119.25" customHeight="1" x14ac:dyDescent="0.25">
      <c r="A64" s="1428" t="s">
        <v>1243</v>
      </c>
      <c r="B64" s="1428"/>
      <c r="C64" s="1428"/>
      <c r="D64" s="1428"/>
      <c r="E64" s="1428"/>
      <c r="F64" s="1428"/>
      <c r="G64" s="1428"/>
      <c r="H64" s="1428"/>
      <c r="I64" s="1428"/>
      <c r="J64" s="1428"/>
      <c r="K64" s="1428"/>
      <c r="L64" s="1428"/>
      <c r="M64" s="1428"/>
      <c r="N64" s="1428"/>
      <c r="O64" s="1428"/>
    </row>
    <row r="65" spans="1:7" x14ac:dyDescent="0.2">
      <c r="B65" s="180"/>
      <c r="C65" s="1"/>
      <c r="D65" s="180"/>
      <c r="E65" s="1"/>
      <c r="F65" s="180"/>
      <c r="G65" s="1"/>
    </row>
    <row r="67" spans="1:7" x14ac:dyDescent="0.2">
      <c r="A67" s="1360"/>
      <c r="B67" s="1360"/>
    </row>
  </sheetData>
  <sheetProtection algorithmName="SHA-512" hashValue="5g12FI8QgxIeKfmVsPH2QQ/i54r0y2JC42TlOGg64Jdwyw5z9y5opyWuMhpLYIrG8cQB+cznQPUdHx4S5fh7AQ==" saltValue="MDw7MzNclwUkP5XD0SyCgA==" spinCount="100000" sheet="1" scenarios="1" formatCells="0" formatColumns="0" formatRows="0" sort="0" autoFilter="0" pivotTables="0"/>
  <mergeCells count="19">
    <mergeCell ref="E4:L4"/>
    <mergeCell ref="B7:G7"/>
    <mergeCell ref="J7:O7"/>
    <mergeCell ref="B8:C8"/>
    <mergeCell ref="D8:E8"/>
    <mergeCell ref="F8:G8"/>
    <mergeCell ref="J8:K8"/>
    <mergeCell ref="L8:M8"/>
    <mergeCell ref="N8:O8"/>
    <mergeCell ref="A67:B67"/>
    <mergeCell ref="B35:G35"/>
    <mergeCell ref="J35:O35"/>
    <mergeCell ref="B36:C36"/>
    <mergeCell ref="D36:E36"/>
    <mergeCell ref="F36:G36"/>
    <mergeCell ref="J36:K36"/>
    <mergeCell ref="L36:M36"/>
    <mergeCell ref="N36:O36"/>
    <mergeCell ref="A64:O64"/>
  </mergeCells>
  <hyperlinks>
    <hyperlink ref="A2" location="'Table of Contents'!A1" display="Back to Table of Contents" xr:uid="{00000000-0004-0000-9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AFF0"/>
  </sheetPr>
  <dimension ref="A1:N101"/>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7.85546875" style="1" customWidth="1"/>
    <col min="2" max="2" width="22.85546875" style="1" customWidth="1"/>
    <col min="3" max="3" width="10.140625" style="1" customWidth="1"/>
    <col min="4" max="4" width="9.140625" style="1" customWidth="1"/>
    <col min="5" max="6" width="9.140625" style="1"/>
    <col min="7" max="8" width="11.140625" style="1" customWidth="1"/>
    <col min="9" max="9" width="11.28515625" style="1" customWidth="1"/>
    <col min="10" max="10" width="13.140625" style="1" customWidth="1"/>
    <col min="11" max="11" width="8.85546875" style="1" customWidth="1"/>
    <col min="12" max="12" width="12.85546875" style="1" customWidth="1"/>
    <col min="13" max="16384" width="9.140625" style="1"/>
  </cols>
  <sheetData>
    <row r="1" spans="1:12" ht="16.5" customHeight="1" x14ac:dyDescent="0.2">
      <c r="A1" s="298" t="s">
        <v>1129</v>
      </c>
    </row>
    <row r="2" spans="1:12" ht="18.75" customHeight="1" x14ac:dyDescent="0.2">
      <c r="A2" s="106" t="s">
        <v>578</v>
      </c>
    </row>
    <row r="3" spans="1:12" ht="30" customHeight="1" x14ac:dyDescent="0.2">
      <c r="A3" s="181" t="s">
        <v>1016</v>
      </c>
      <c r="B3" s="181"/>
      <c r="C3"/>
      <c r="D3" s="181"/>
      <c r="E3" s="181"/>
      <c r="F3" s="181"/>
      <c r="H3" s="181"/>
      <c r="I3" s="181"/>
      <c r="J3" s="181"/>
    </row>
    <row r="4" spans="1:12" ht="15" customHeight="1" x14ac:dyDescent="0.25">
      <c r="A4" s="351" t="s">
        <v>579</v>
      </c>
      <c r="B4" s="1043" t="s">
        <v>1302</v>
      </c>
      <c r="D4" s="181"/>
      <c r="E4" s="181"/>
      <c r="F4" s="181"/>
      <c r="H4" s="181"/>
      <c r="I4" s="181"/>
      <c r="J4" s="181"/>
    </row>
    <row r="5" spans="1:12" ht="15" customHeight="1" x14ac:dyDescent="0.25">
      <c r="A5" s="351" t="s">
        <v>580</v>
      </c>
      <c r="B5" s="351" t="s">
        <v>581</v>
      </c>
      <c r="D5" s="181"/>
      <c r="E5" s="181"/>
      <c r="F5" s="181"/>
      <c r="H5" s="181"/>
      <c r="I5" s="181"/>
      <c r="J5" s="181"/>
    </row>
    <row r="6" spans="1:12" ht="15" customHeight="1" x14ac:dyDescent="0.25">
      <c r="A6" s="351" t="s">
        <v>582</v>
      </c>
      <c r="B6" s="351" t="s">
        <v>585</v>
      </c>
      <c r="D6" s="181"/>
      <c r="E6" s="181"/>
      <c r="F6" s="181"/>
      <c r="H6" s="181"/>
      <c r="I6" s="181"/>
      <c r="J6" s="181"/>
    </row>
    <row r="7" spans="1:12" ht="15" x14ac:dyDescent="0.25">
      <c r="J7" s="80" t="s">
        <v>0</v>
      </c>
    </row>
    <row r="8" spans="1:12" ht="13.5" customHeight="1" x14ac:dyDescent="0.2">
      <c r="B8" s="356"/>
      <c r="C8" s="1288" t="s">
        <v>21</v>
      </c>
      <c r="D8" s="1289"/>
      <c r="E8" s="1289"/>
      <c r="F8" s="1290"/>
      <c r="G8" s="1277" t="s">
        <v>1</v>
      </c>
      <c r="H8" s="1279" t="s">
        <v>2</v>
      </c>
      <c r="I8" s="1281" t="s">
        <v>3</v>
      </c>
      <c r="J8" s="1286" t="s">
        <v>147</v>
      </c>
    </row>
    <row r="9" spans="1:12" ht="26.25" customHeight="1" x14ac:dyDescent="0.2">
      <c r="A9" s="363" t="s">
        <v>586</v>
      </c>
      <c r="B9" s="357" t="s">
        <v>22</v>
      </c>
      <c r="C9" s="255" t="s">
        <v>5</v>
      </c>
      <c r="D9" s="345" t="s">
        <v>6</v>
      </c>
      <c r="E9" s="345" t="s">
        <v>7</v>
      </c>
      <c r="F9" s="233" t="s">
        <v>8</v>
      </c>
      <c r="G9" s="1293"/>
      <c r="H9" s="1280"/>
      <c r="I9" s="1278"/>
      <c r="J9" s="1287"/>
    </row>
    <row r="10" spans="1:12" ht="18.75" customHeight="1" x14ac:dyDescent="0.2">
      <c r="A10" s="1" t="s">
        <v>587</v>
      </c>
      <c r="B10" s="117" t="s">
        <v>23</v>
      </c>
      <c r="C10" s="354">
        <f>T_01!B5</f>
        <v>243</v>
      </c>
      <c r="D10" s="354">
        <f>T_01!C5</f>
        <v>90</v>
      </c>
      <c r="E10" s="354">
        <f>T_01!D5</f>
        <v>37</v>
      </c>
      <c r="F10" s="354">
        <f>T_01!E5</f>
        <v>57</v>
      </c>
      <c r="G10" s="355">
        <f>T_01!F5</f>
        <v>427</v>
      </c>
      <c r="H10" s="354">
        <f>T_01!G5</f>
        <v>328</v>
      </c>
      <c r="I10" s="354">
        <f>T_01!H5</f>
        <v>2</v>
      </c>
      <c r="J10" s="355">
        <f t="shared" ref="J10:J41" si="0">G10+H10+I10</f>
        <v>757</v>
      </c>
      <c r="L10" s="92"/>
    </row>
    <row r="11" spans="1:12" ht="13.5" customHeight="1" x14ac:dyDescent="0.2">
      <c r="A11" s="1" t="s">
        <v>588</v>
      </c>
      <c r="B11" s="117" t="s">
        <v>24</v>
      </c>
      <c r="C11" s="191">
        <f>T_01!B6</f>
        <v>172</v>
      </c>
      <c r="D11" s="191">
        <f>T_01!C6</f>
        <v>91</v>
      </c>
      <c r="E11" s="191">
        <f>T_01!D6</f>
        <v>72</v>
      </c>
      <c r="F11" s="191">
        <f>T_01!E6</f>
        <v>71</v>
      </c>
      <c r="G11" s="353">
        <f>T_01!F6</f>
        <v>406</v>
      </c>
      <c r="H11" s="191">
        <f>T_01!G6</f>
        <v>295</v>
      </c>
      <c r="I11" s="191">
        <f>T_01!H6</f>
        <v>45</v>
      </c>
      <c r="J11" s="353">
        <f t="shared" si="0"/>
        <v>746</v>
      </c>
      <c r="L11" s="92"/>
    </row>
    <row r="12" spans="1:12" ht="13.5" customHeight="1" x14ac:dyDescent="0.2">
      <c r="A12" s="1" t="s">
        <v>589</v>
      </c>
      <c r="B12" s="117" t="s">
        <v>25</v>
      </c>
      <c r="C12" s="191">
        <f>T_01!B7</f>
        <v>80</v>
      </c>
      <c r="D12" s="191">
        <f>T_01!C7</f>
        <v>33</v>
      </c>
      <c r="E12" s="191">
        <f>T_01!D7</f>
        <v>26</v>
      </c>
      <c r="F12" s="191">
        <f>T_01!E7</f>
        <v>33</v>
      </c>
      <c r="G12" s="353">
        <f>T_01!F7</f>
        <v>172</v>
      </c>
      <c r="H12" s="191">
        <f>T_01!G7</f>
        <v>204</v>
      </c>
      <c r="I12" s="191">
        <f>T_01!H7</f>
        <v>21</v>
      </c>
      <c r="J12" s="353">
        <f t="shared" si="0"/>
        <v>397</v>
      </c>
      <c r="L12" s="92"/>
    </row>
    <row r="13" spans="1:12" ht="13.5" customHeight="1" x14ac:dyDescent="0.2">
      <c r="A13" s="1" t="s">
        <v>590</v>
      </c>
      <c r="B13" s="117" t="s">
        <v>26</v>
      </c>
      <c r="C13" s="191">
        <f>T_01!B8</f>
        <v>86</v>
      </c>
      <c r="D13" s="191">
        <f>T_01!C8</f>
        <v>32</v>
      </c>
      <c r="E13" s="191">
        <f>T_01!D8</f>
        <v>20</v>
      </c>
      <c r="F13" s="191">
        <f>T_01!E8</f>
        <v>20</v>
      </c>
      <c r="G13" s="353">
        <f>T_01!F8</f>
        <v>158</v>
      </c>
      <c r="H13" s="191">
        <f>T_01!G8</f>
        <v>133</v>
      </c>
      <c r="I13" s="191">
        <f>T_01!H8</f>
        <v>44</v>
      </c>
      <c r="J13" s="353">
        <f t="shared" si="0"/>
        <v>335</v>
      </c>
      <c r="L13" s="92"/>
    </row>
    <row r="14" spans="1:12" ht="13.5" customHeight="1" x14ac:dyDescent="0.2">
      <c r="A14" s="1" t="s">
        <v>591</v>
      </c>
      <c r="B14" s="117" t="s">
        <v>619</v>
      </c>
      <c r="C14" s="191">
        <f>T_01!B9</f>
        <v>422</v>
      </c>
      <c r="D14" s="191">
        <f>T_01!C9</f>
        <v>153</v>
      </c>
      <c r="E14" s="191">
        <f>T_01!D9</f>
        <v>135</v>
      </c>
      <c r="F14" s="191">
        <f>T_01!E9</f>
        <v>106</v>
      </c>
      <c r="G14" s="353">
        <f>T_01!F9</f>
        <v>816</v>
      </c>
      <c r="H14" s="191">
        <f>T_01!G9</f>
        <v>1466</v>
      </c>
      <c r="I14" s="191">
        <f>T_01!H9</f>
        <v>13</v>
      </c>
      <c r="J14" s="353">
        <f t="shared" si="0"/>
        <v>2295</v>
      </c>
      <c r="L14" s="92"/>
    </row>
    <row r="15" spans="1:12" ht="13.5" customHeight="1" x14ac:dyDescent="0.2">
      <c r="A15" s="1" t="s">
        <v>592</v>
      </c>
      <c r="B15" s="117" t="s">
        <v>27</v>
      </c>
      <c r="C15" s="191">
        <f>T_01!B10</f>
        <v>55</v>
      </c>
      <c r="D15" s="191">
        <f>T_01!C10</f>
        <v>21</v>
      </c>
      <c r="E15" s="191">
        <f>T_01!D10</f>
        <v>3</v>
      </c>
      <c r="F15" s="191">
        <f>T_01!E10</f>
        <v>8</v>
      </c>
      <c r="G15" s="353">
        <f>T_01!F10</f>
        <v>87</v>
      </c>
      <c r="H15" s="191">
        <f>T_01!G10</f>
        <v>112</v>
      </c>
      <c r="I15" s="191">
        <f>T_01!H10</f>
        <v>3</v>
      </c>
      <c r="J15" s="353">
        <f t="shared" si="0"/>
        <v>202</v>
      </c>
      <c r="L15" s="92"/>
    </row>
    <row r="16" spans="1:12" ht="13.5" customHeight="1" x14ac:dyDescent="0.2">
      <c r="A16" s="1" t="s">
        <v>593</v>
      </c>
      <c r="B16" s="117" t="s">
        <v>28</v>
      </c>
      <c r="C16" s="191">
        <f>T_01!B11</f>
        <v>74</v>
      </c>
      <c r="D16" s="191">
        <f>T_01!C11</f>
        <v>45</v>
      </c>
      <c r="E16" s="191">
        <f>T_01!D11</f>
        <v>44</v>
      </c>
      <c r="F16" s="191">
        <f>T_01!E11</f>
        <v>30</v>
      </c>
      <c r="G16" s="353">
        <f>T_01!F11</f>
        <v>193</v>
      </c>
      <c r="H16" s="191">
        <f>T_01!G11</f>
        <v>205</v>
      </c>
      <c r="I16" s="191">
        <f>T_01!H11</f>
        <v>46</v>
      </c>
      <c r="J16" s="353">
        <f t="shared" si="0"/>
        <v>444</v>
      </c>
      <c r="L16" s="92"/>
    </row>
    <row r="17" spans="1:12" ht="13.5" customHeight="1" x14ac:dyDescent="0.2">
      <c r="A17" s="1" t="s">
        <v>594</v>
      </c>
      <c r="B17" s="117" t="s">
        <v>29</v>
      </c>
      <c r="C17" s="191">
        <f>T_01!B12</f>
        <v>209</v>
      </c>
      <c r="D17" s="191">
        <f>T_01!C12</f>
        <v>54</v>
      </c>
      <c r="E17" s="191">
        <f>T_01!D12</f>
        <v>32</v>
      </c>
      <c r="F17" s="191">
        <f>T_01!E12</f>
        <v>38</v>
      </c>
      <c r="G17" s="353">
        <f>T_01!F12</f>
        <v>333</v>
      </c>
      <c r="H17" s="191">
        <f>T_01!G12</f>
        <v>698</v>
      </c>
      <c r="I17" s="191">
        <f>T_01!H12</f>
        <v>4</v>
      </c>
      <c r="J17" s="353">
        <f t="shared" si="0"/>
        <v>1035</v>
      </c>
      <c r="L17" s="92"/>
    </row>
    <row r="18" spans="1:12" ht="13.5" customHeight="1" x14ac:dyDescent="0.2">
      <c r="A18" s="1" t="s">
        <v>595</v>
      </c>
      <c r="B18" s="117" t="s">
        <v>30</v>
      </c>
      <c r="C18" s="191">
        <f>T_01!B13</f>
        <v>109</v>
      </c>
      <c r="D18" s="191">
        <f>T_01!C13</f>
        <v>31</v>
      </c>
      <c r="E18" s="191">
        <f>T_01!D13</f>
        <v>46</v>
      </c>
      <c r="F18" s="191">
        <f>T_01!E13</f>
        <v>34</v>
      </c>
      <c r="G18" s="353">
        <f>T_01!F13</f>
        <v>220</v>
      </c>
      <c r="H18" s="191">
        <f>T_01!G13</f>
        <v>584</v>
      </c>
      <c r="I18" s="191">
        <f>T_01!H13</f>
        <v>5</v>
      </c>
      <c r="J18" s="353">
        <f t="shared" si="0"/>
        <v>809</v>
      </c>
      <c r="L18" s="92"/>
    </row>
    <row r="19" spans="1:12" ht="13.5" customHeight="1" x14ac:dyDescent="0.2">
      <c r="A19" s="1" t="s">
        <v>596</v>
      </c>
      <c r="B19" s="117" t="s">
        <v>31</v>
      </c>
      <c r="C19" s="191">
        <f>T_01!B14</f>
        <v>74</v>
      </c>
      <c r="D19" s="191">
        <f>T_01!C14</f>
        <v>21</v>
      </c>
      <c r="E19" s="191">
        <f>T_01!D14</f>
        <v>27</v>
      </c>
      <c r="F19" s="191">
        <f>T_01!E14</f>
        <v>8</v>
      </c>
      <c r="G19" s="353">
        <f>T_01!F14</f>
        <v>130</v>
      </c>
      <c r="H19" s="191">
        <f>T_01!G14</f>
        <v>241</v>
      </c>
      <c r="I19" s="191">
        <f>T_01!H14</f>
        <v>5</v>
      </c>
      <c r="J19" s="353">
        <f t="shared" si="0"/>
        <v>376</v>
      </c>
      <c r="L19" s="92"/>
    </row>
    <row r="20" spans="1:12" ht="13.5" customHeight="1" x14ac:dyDescent="0.2">
      <c r="A20" s="1" t="s">
        <v>597</v>
      </c>
      <c r="B20" s="117" t="s">
        <v>32</v>
      </c>
      <c r="C20" s="191">
        <f>T_01!B15</f>
        <v>49</v>
      </c>
      <c r="D20" s="191">
        <f>T_01!C15</f>
        <v>27</v>
      </c>
      <c r="E20" s="191">
        <f>T_01!D15</f>
        <v>36</v>
      </c>
      <c r="F20" s="191">
        <f>T_01!E15</f>
        <v>27</v>
      </c>
      <c r="G20" s="353">
        <f>T_01!F15</f>
        <v>139</v>
      </c>
      <c r="H20" s="191">
        <f>T_01!G15</f>
        <v>195</v>
      </c>
      <c r="I20" s="191">
        <f>T_01!H15</f>
        <v>10</v>
      </c>
      <c r="J20" s="353">
        <f t="shared" si="0"/>
        <v>344</v>
      </c>
      <c r="L20" s="92"/>
    </row>
    <row r="21" spans="1:12" ht="13.5" customHeight="1" x14ac:dyDescent="0.2">
      <c r="A21" s="1" t="s">
        <v>598</v>
      </c>
      <c r="B21" s="117" t="s">
        <v>33</v>
      </c>
      <c r="C21" s="191">
        <f>T_01!B16</f>
        <v>53</v>
      </c>
      <c r="D21" s="191">
        <f>T_01!C16</f>
        <v>12</v>
      </c>
      <c r="E21" s="191">
        <f>T_01!D16</f>
        <v>24</v>
      </c>
      <c r="F21" s="191">
        <f>T_01!E16</f>
        <v>9</v>
      </c>
      <c r="G21" s="353">
        <f>T_01!F16</f>
        <v>98</v>
      </c>
      <c r="H21" s="191">
        <f>T_01!G16</f>
        <v>182</v>
      </c>
      <c r="I21" s="191">
        <f>T_01!H16</f>
        <v>6</v>
      </c>
      <c r="J21" s="353">
        <f t="shared" si="0"/>
        <v>286</v>
      </c>
      <c r="L21" s="92"/>
    </row>
    <row r="22" spans="1:12" ht="13.5" customHeight="1" x14ac:dyDescent="0.2">
      <c r="A22" s="1" t="s">
        <v>599</v>
      </c>
      <c r="B22" s="117" t="s">
        <v>34</v>
      </c>
      <c r="C22" s="191">
        <f>T_01!B17</f>
        <v>109</v>
      </c>
      <c r="D22" s="191">
        <f>T_01!C17</f>
        <v>58</v>
      </c>
      <c r="E22" s="191">
        <f>T_01!D17</f>
        <v>50</v>
      </c>
      <c r="F22" s="191">
        <f>T_01!E17</f>
        <v>67</v>
      </c>
      <c r="G22" s="353">
        <f>T_01!F17</f>
        <v>284</v>
      </c>
      <c r="H22" s="191">
        <f>T_01!G17</f>
        <v>423</v>
      </c>
      <c r="I22" s="191">
        <f>T_01!H17</f>
        <v>4</v>
      </c>
      <c r="J22" s="353">
        <f t="shared" si="0"/>
        <v>711</v>
      </c>
      <c r="L22" s="92"/>
    </row>
    <row r="23" spans="1:12" ht="13.5" customHeight="1" x14ac:dyDescent="0.2">
      <c r="A23" s="1" t="s">
        <v>600</v>
      </c>
      <c r="B23" s="117" t="s">
        <v>35</v>
      </c>
      <c r="C23" s="191">
        <f>T_01!B18</f>
        <v>247</v>
      </c>
      <c r="D23" s="191">
        <f>T_01!C18</f>
        <v>99</v>
      </c>
      <c r="E23" s="191">
        <f>T_01!D18</f>
        <v>109</v>
      </c>
      <c r="F23" s="191">
        <f>T_01!E18</f>
        <v>129</v>
      </c>
      <c r="G23" s="353">
        <f>T_01!F18</f>
        <v>584</v>
      </c>
      <c r="H23" s="191">
        <f>T_01!G18</f>
        <v>1019</v>
      </c>
      <c r="I23" s="191">
        <f>T_01!H18</f>
        <v>25</v>
      </c>
      <c r="J23" s="353">
        <f t="shared" si="0"/>
        <v>1628</v>
      </c>
      <c r="L23" s="92"/>
    </row>
    <row r="24" spans="1:12" ht="13.5" customHeight="1" x14ac:dyDescent="0.2">
      <c r="A24" s="1" t="s">
        <v>601</v>
      </c>
      <c r="B24" s="117" t="s">
        <v>36</v>
      </c>
      <c r="C24" s="191">
        <f>T_01!B19</f>
        <v>795</v>
      </c>
      <c r="D24" s="191">
        <f>T_01!C19</f>
        <v>235</v>
      </c>
      <c r="E24" s="191">
        <f>T_01!D19</f>
        <v>298</v>
      </c>
      <c r="F24" s="191">
        <f>T_01!E19</f>
        <v>82</v>
      </c>
      <c r="G24" s="353">
        <f>T_01!F19</f>
        <v>1410</v>
      </c>
      <c r="H24" s="191">
        <f>T_01!G19</f>
        <v>2440</v>
      </c>
      <c r="I24" s="191">
        <f>T_01!H19</f>
        <v>2</v>
      </c>
      <c r="J24" s="353">
        <f t="shared" si="0"/>
        <v>3852</v>
      </c>
      <c r="L24" s="92"/>
    </row>
    <row r="25" spans="1:12" ht="13.5" customHeight="1" x14ac:dyDescent="0.2">
      <c r="A25" s="1" t="s">
        <v>602</v>
      </c>
      <c r="B25" s="117" t="s">
        <v>37</v>
      </c>
      <c r="C25" s="191">
        <f>T_01!B20</f>
        <v>132</v>
      </c>
      <c r="D25" s="191">
        <f>T_01!C20</f>
        <v>106</v>
      </c>
      <c r="E25" s="191">
        <f>T_01!D20</f>
        <v>61</v>
      </c>
      <c r="F25" s="191">
        <f>T_01!E20</f>
        <v>81</v>
      </c>
      <c r="G25" s="353">
        <f>T_01!F20</f>
        <v>380</v>
      </c>
      <c r="H25" s="191">
        <f>T_01!G20</f>
        <v>396</v>
      </c>
      <c r="I25" s="191">
        <f>T_01!H20</f>
        <v>138</v>
      </c>
      <c r="J25" s="353">
        <f t="shared" si="0"/>
        <v>914</v>
      </c>
      <c r="L25" s="92"/>
    </row>
    <row r="26" spans="1:12" ht="13.5" customHeight="1" x14ac:dyDescent="0.2">
      <c r="A26" s="1" t="s">
        <v>603</v>
      </c>
      <c r="B26" s="117" t="s">
        <v>38</v>
      </c>
      <c r="C26" s="191">
        <f>T_01!B21</f>
        <v>110</v>
      </c>
      <c r="D26" s="191">
        <f>T_01!C21</f>
        <v>20</v>
      </c>
      <c r="E26" s="191">
        <f>T_01!D21</f>
        <v>29</v>
      </c>
      <c r="F26" s="191">
        <f>T_01!E21</f>
        <v>7</v>
      </c>
      <c r="G26" s="353">
        <f>T_01!F21</f>
        <v>166</v>
      </c>
      <c r="H26" s="191">
        <f>T_01!G21</f>
        <v>417</v>
      </c>
      <c r="I26" s="191">
        <f>T_01!H21</f>
        <v>3</v>
      </c>
      <c r="J26" s="353">
        <f t="shared" si="0"/>
        <v>586</v>
      </c>
      <c r="L26" s="92"/>
    </row>
    <row r="27" spans="1:12" ht="13.5" customHeight="1" x14ac:dyDescent="0.2">
      <c r="A27" s="1" t="s">
        <v>604</v>
      </c>
      <c r="B27" s="117" t="s">
        <v>39</v>
      </c>
      <c r="C27" s="191">
        <f>T_01!B22</f>
        <v>59</v>
      </c>
      <c r="D27" s="191">
        <f>T_01!C22</f>
        <v>35</v>
      </c>
      <c r="E27" s="191">
        <f>T_01!D22</f>
        <v>19</v>
      </c>
      <c r="F27" s="191">
        <f>T_01!E22</f>
        <v>45</v>
      </c>
      <c r="G27" s="353">
        <f>T_01!F22</f>
        <v>158</v>
      </c>
      <c r="H27" s="191">
        <f>T_01!G22</f>
        <v>203</v>
      </c>
      <c r="I27" s="191">
        <f>T_01!H22</f>
        <v>6</v>
      </c>
      <c r="J27" s="353">
        <f t="shared" si="0"/>
        <v>367</v>
      </c>
      <c r="L27" s="92"/>
    </row>
    <row r="28" spans="1:12" ht="13.5" customHeight="1" x14ac:dyDescent="0.2">
      <c r="A28" s="1" t="s">
        <v>605</v>
      </c>
      <c r="B28" s="117" t="s">
        <v>40</v>
      </c>
      <c r="C28" s="191">
        <f>T_01!B23</f>
        <v>51</v>
      </c>
      <c r="D28" s="191">
        <f>T_01!C23</f>
        <v>27</v>
      </c>
      <c r="E28" s="191">
        <f>T_01!D23</f>
        <v>23</v>
      </c>
      <c r="F28" s="191">
        <f>T_01!E23</f>
        <v>42</v>
      </c>
      <c r="G28" s="353">
        <f>T_01!F23</f>
        <v>143</v>
      </c>
      <c r="H28" s="191">
        <f>T_01!G23</f>
        <v>128</v>
      </c>
      <c r="I28" s="191">
        <f>T_01!H23</f>
        <v>20</v>
      </c>
      <c r="J28" s="353">
        <f t="shared" si="0"/>
        <v>291</v>
      </c>
      <c r="L28" s="92"/>
    </row>
    <row r="29" spans="1:12" ht="13.5" customHeight="1" x14ac:dyDescent="0.2">
      <c r="A29" s="1" t="s">
        <v>606</v>
      </c>
      <c r="B29" s="117" t="s">
        <v>295</v>
      </c>
      <c r="C29" s="191">
        <f>T_01!B24</f>
        <v>22</v>
      </c>
      <c r="D29" s="191">
        <f>T_01!C24</f>
        <v>6</v>
      </c>
      <c r="E29" s="191">
        <f>T_01!D24</f>
        <v>8</v>
      </c>
      <c r="F29" s="191">
        <f>T_01!E24</f>
        <v>5</v>
      </c>
      <c r="G29" s="353">
        <f>T_01!F24</f>
        <v>41</v>
      </c>
      <c r="H29" s="191">
        <f>T_01!G24</f>
        <v>76</v>
      </c>
      <c r="I29" s="191">
        <f>T_01!H24</f>
        <v>36</v>
      </c>
      <c r="J29" s="353">
        <f t="shared" si="0"/>
        <v>153</v>
      </c>
      <c r="L29" s="92"/>
    </row>
    <row r="30" spans="1:12" ht="13.5" customHeight="1" x14ac:dyDescent="0.2">
      <c r="A30" s="1" t="s">
        <v>607</v>
      </c>
      <c r="B30" s="117" t="s">
        <v>41</v>
      </c>
      <c r="C30" s="191">
        <f>T_01!B25</f>
        <v>153</v>
      </c>
      <c r="D30" s="191">
        <f>T_01!C25</f>
        <v>35</v>
      </c>
      <c r="E30" s="191">
        <f>T_01!D25</f>
        <v>35</v>
      </c>
      <c r="F30" s="191">
        <f>T_01!E25</f>
        <v>16</v>
      </c>
      <c r="G30" s="353">
        <f>T_01!F25</f>
        <v>239</v>
      </c>
      <c r="H30" s="191">
        <f>T_01!G25</f>
        <v>491</v>
      </c>
      <c r="I30" s="191">
        <f>T_01!H25</f>
        <v>12</v>
      </c>
      <c r="J30" s="353">
        <f t="shared" si="0"/>
        <v>742</v>
      </c>
      <c r="L30" s="92"/>
    </row>
    <row r="31" spans="1:12" ht="13.5" customHeight="1" x14ac:dyDescent="0.2">
      <c r="A31" s="1" t="s">
        <v>608</v>
      </c>
      <c r="B31" s="117" t="s">
        <v>42</v>
      </c>
      <c r="C31" s="191">
        <f>T_01!B26</f>
        <v>318</v>
      </c>
      <c r="D31" s="191">
        <f>T_01!C26</f>
        <v>106</v>
      </c>
      <c r="E31" s="191">
        <f>T_01!D26</f>
        <v>217</v>
      </c>
      <c r="F31" s="191">
        <f>T_01!E26</f>
        <v>42</v>
      </c>
      <c r="G31" s="353">
        <f>T_01!F26</f>
        <v>683</v>
      </c>
      <c r="H31" s="191">
        <f>T_01!G26</f>
        <v>1475</v>
      </c>
      <c r="I31" s="191">
        <f>T_01!H26</f>
        <v>6</v>
      </c>
      <c r="J31" s="353">
        <f t="shared" si="0"/>
        <v>2164</v>
      </c>
      <c r="L31" s="92"/>
    </row>
    <row r="32" spans="1:12" ht="13.5" customHeight="1" x14ac:dyDescent="0.2">
      <c r="A32" s="1" t="s">
        <v>609</v>
      </c>
      <c r="B32" s="117" t="s">
        <v>43</v>
      </c>
      <c r="C32" s="191">
        <f>T_01!B27</f>
        <v>4</v>
      </c>
      <c r="D32" s="191">
        <f>T_01!C27</f>
        <v>2</v>
      </c>
      <c r="E32" s="191">
        <f>T_01!D27</f>
        <v>7</v>
      </c>
      <c r="F32" s="191">
        <f>T_01!E27</f>
        <v>4</v>
      </c>
      <c r="G32" s="353">
        <f>T_01!F27</f>
        <v>17</v>
      </c>
      <c r="H32" s="191">
        <f>T_01!G27</f>
        <v>14</v>
      </c>
      <c r="I32" s="191">
        <f>T_01!H27</f>
        <v>5</v>
      </c>
      <c r="J32" s="353">
        <f t="shared" si="0"/>
        <v>36</v>
      </c>
      <c r="L32" s="92"/>
    </row>
    <row r="33" spans="1:12" ht="13.5" customHeight="1" x14ac:dyDescent="0.2">
      <c r="A33" s="1" t="s">
        <v>610</v>
      </c>
      <c r="B33" s="117" t="s">
        <v>44</v>
      </c>
      <c r="C33" s="191">
        <f>T_01!B28</f>
        <v>104</v>
      </c>
      <c r="D33" s="191">
        <f>T_01!C28</f>
        <v>44</v>
      </c>
      <c r="E33" s="191">
        <f>T_01!D28</f>
        <v>52</v>
      </c>
      <c r="F33" s="191">
        <f>T_01!E28</f>
        <v>27</v>
      </c>
      <c r="G33" s="353">
        <f>T_01!F28</f>
        <v>227</v>
      </c>
      <c r="H33" s="191">
        <f>T_01!G28</f>
        <v>145</v>
      </c>
      <c r="I33" s="191">
        <f>T_01!H28</f>
        <v>41</v>
      </c>
      <c r="J33" s="353">
        <f t="shared" si="0"/>
        <v>413</v>
      </c>
      <c r="L33" s="92"/>
    </row>
    <row r="34" spans="1:12" ht="13.5" customHeight="1" x14ac:dyDescent="0.2">
      <c r="A34" s="1" t="s">
        <v>611</v>
      </c>
      <c r="B34" s="117" t="s">
        <v>45</v>
      </c>
      <c r="C34" s="191">
        <f>T_01!B29</f>
        <v>185</v>
      </c>
      <c r="D34" s="191">
        <f>T_01!C29</f>
        <v>62</v>
      </c>
      <c r="E34" s="191">
        <f>T_01!D29</f>
        <v>55</v>
      </c>
      <c r="F34" s="191">
        <f>T_01!E29</f>
        <v>30</v>
      </c>
      <c r="G34" s="353">
        <f>T_01!F29</f>
        <v>332</v>
      </c>
      <c r="H34" s="191">
        <f>T_01!G29</f>
        <v>503</v>
      </c>
      <c r="I34" s="191">
        <f>T_01!H29</f>
        <v>3</v>
      </c>
      <c r="J34" s="353">
        <f t="shared" si="0"/>
        <v>838</v>
      </c>
      <c r="L34" s="92"/>
    </row>
    <row r="35" spans="1:12" ht="13.5" customHeight="1" x14ac:dyDescent="0.2">
      <c r="A35" s="1" t="s">
        <v>612</v>
      </c>
      <c r="B35" s="117" t="s">
        <v>46</v>
      </c>
      <c r="C35" s="191">
        <f>T_01!B30</f>
        <v>85</v>
      </c>
      <c r="D35" s="191">
        <f>T_01!C30</f>
        <v>41</v>
      </c>
      <c r="E35" s="191">
        <f>T_01!D30</f>
        <v>33</v>
      </c>
      <c r="F35" s="191">
        <f>T_01!E30</f>
        <v>28</v>
      </c>
      <c r="G35" s="353">
        <f>T_01!F30</f>
        <v>187</v>
      </c>
      <c r="H35" s="191">
        <f>T_01!G30</f>
        <v>124</v>
      </c>
      <c r="I35" s="191">
        <f>T_01!H30</f>
        <v>44</v>
      </c>
      <c r="J35" s="353">
        <f t="shared" si="0"/>
        <v>355</v>
      </c>
      <c r="L35" s="92"/>
    </row>
    <row r="36" spans="1:12" ht="13.5" customHeight="1" x14ac:dyDescent="0.2">
      <c r="A36" s="1" t="s">
        <v>613</v>
      </c>
      <c r="B36" s="117" t="s">
        <v>47</v>
      </c>
      <c r="C36" s="191">
        <f>T_01!B31</f>
        <v>25</v>
      </c>
      <c r="D36" s="191">
        <f>T_01!C31</f>
        <v>9</v>
      </c>
      <c r="E36" s="191">
        <f>T_01!D31</f>
        <v>13</v>
      </c>
      <c r="F36" s="191">
        <f>T_01!E31</f>
        <v>6</v>
      </c>
      <c r="G36" s="353">
        <f>T_01!F31</f>
        <v>53</v>
      </c>
      <c r="H36" s="191">
        <f>T_01!G31</f>
        <v>15</v>
      </c>
      <c r="I36" s="191">
        <f>T_01!H31</f>
        <v>14</v>
      </c>
      <c r="J36" s="353">
        <f t="shared" si="0"/>
        <v>82</v>
      </c>
      <c r="L36" s="92"/>
    </row>
    <row r="37" spans="1:12" ht="13.5" customHeight="1" x14ac:dyDescent="0.2">
      <c r="A37" s="1" t="s">
        <v>614</v>
      </c>
      <c r="B37" s="117" t="s">
        <v>48</v>
      </c>
      <c r="C37" s="191">
        <f>T_01!B32</f>
        <v>90</v>
      </c>
      <c r="D37" s="191">
        <f>T_01!C32</f>
        <v>29</v>
      </c>
      <c r="E37" s="191">
        <f>T_01!D32</f>
        <v>26</v>
      </c>
      <c r="F37" s="191">
        <f>T_01!E32</f>
        <v>14</v>
      </c>
      <c r="G37" s="353">
        <f>T_01!F32</f>
        <v>159</v>
      </c>
      <c r="H37" s="191">
        <f>T_01!G32</f>
        <v>304</v>
      </c>
      <c r="I37" s="191">
        <f>T_01!H32</f>
        <v>9</v>
      </c>
      <c r="J37" s="353">
        <f t="shared" si="0"/>
        <v>472</v>
      </c>
      <c r="L37" s="92"/>
    </row>
    <row r="38" spans="1:12" ht="13.5" customHeight="1" x14ac:dyDescent="0.2">
      <c r="A38" s="1" t="s">
        <v>615</v>
      </c>
      <c r="B38" s="117" t="s">
        <v>49</v>
      </c>
      <c r="C38" s="191">
        <f>T_01!B33</f>
        <v>255</v>
      </c>
      <c r="D38" s="191">
        <f>T_01!C33</f>
        <v>71</v>
      </c>
      <c r="E38" s="191">
        <f>T_01!D33</f>
        <v>152</v>
      </c>
      <c r="F38" s="191">
        <f>T_01!E33</f>
        <v>38</v>
      </c>
      <c r="G38" s="353">
        <f>T_01!F33</f>
        <v>516</v>
      </c>
      <c r="H38" s="191">
        <f>T_01!G33</f>
        <v>1018</v>
      </c>
      <c r="I38" s="191">
        <f>T_01!H33</f>
        <v>9</v>
      </c>
      <c r="J38" s="353">
        <f t="shared" si="0"/>
        <v>1543</v>
      </c>
      <c r="L38" s="92"/>
    </row>
    <row r="39" spans="1:12" ht="13.5" customHeight="1" x14ac:dyDescent="0.2">
      <c r="A39" s="1" t="s">
        <v>616</v>
      </c>
      <c r="B39" s="117" t="s">
        <v>50</v>
      </c>
      <c r="C39" s="191">
        <f>T_01!B34</f>
        <v>59</v>
      </c>
      <c r="D39" s="191">
        <f>T_01!C34</f>
        <v>38</v>
      </c>
      <c r="E39" s="191">
        <f>T_01!D34</f>
        <v>33</v>
      </c>
      <c r="F39" s="191">
        <f>T_01!E34</f>
        <v>33</v>
      </c>
      <c r="G39" s="353">
        <f>T_01!F34</f>
        <v>163</v>
      </c>
      <c r="H39" s="191">
        <f>T_01!G34</f>
        <v>196</v>
      </c>
      <c r="I39" s="191">
        <f>T_01!H34</f>
        <v>13</v>
      </c>
      <c r="J39" s="353">
        <f t="shared" si="0"/>
        <v>372</v>
      </c>
      <c r="L39" s="92"/>
    </row>
    <row r="40" spans="1:12" ht="13.5" customHeight="1" x14ac:dyDescent="0.2">
      <c r="A40" s="1" t="s">
        <v>617</v>
      </c>
      <c r="B40" s="117" t="s">
        <v>51</v>
      </c>
      <c r="C40" s="191">
        <f>T_01!B35</f>
        <v>117</v>
      </c>
      <c r="D40" s="191">
        <f>T_01!C35</f>
        <v>26</v>
      </c>
      <c r="E40" s="191">
        <f>T_01!D35</f>
        <v>32</v>
      </c>
      <c r="F40" s="191">
        <f>T_01!E35</f>
        <v>25</v>
      </c>
      <c r="G40" s="353">
        <f>T_01!F35</f>
        <v>200</v>
      </c>
      <c r="H40" s="191">
        <f>T_01!G35</f>
        <v>408</v>
      </c>
      <c r="I40" s="191">
        <f>T_01!H35</f>
        <v>3</v>
      </c>
      <c r="J40" s="353">
        <f t="shared" si="0"/>
        <v>611</v>
      </c>
      <c r="L40" s="92"/>
    </row>
    <row r="41" spans="1:12" ht="13.5" customHeight="1" x14ac:dyDescent="0.2">
      <c r="A41" s="1" t="s">
        <v>618</v>
      </c>
      <c r="B41" s="117" t="s">
        <v>52</v>
      </c>
      <c r="C41" s="191">
        <f>T_01!B36</f>
        <v>115</v>
      </c>
      <c r="D41" s="191">
        <f>T_01!C36</f>
        <v>59</v>
      </c>
      <c r="E41" s="191">
        <f>T_01!D36</f>
        <v>62</v>
      </c>
      <c r="F41" s="191">
        <f>T_01!E36</f>
        <v>59</v>
      </c>
      <c r="G41" s="353">
        <f>T_01!F36</f>
        <v>295</v>
      </c>
      <c r="H41" s="191">
        <f>T_01!G36</f>
        <v>692</v>
      </c>
      <c r="I41" s="191">
        <f>T_01!H36</f>
        <v>4</v>
      </c>
      <c r="J41" s="353">
        <f t="shared" si="0"/>
        <v>991</v>
      </c>
      <c r="L41" s="92"/>
    </row>
    <row r="42" spans="1:12" ht="13.5" customHeight="1" x14ac:dyDescent="0.2">
      <c r="B42" s="117" t="str">
        <f>IF(T_01!A37 = "Z_Not Known", "Not Known","")</f>
        <v/>
      </c>
      <c r="C42" s="191" t="str">
        <f>IF(T_01!A37 = "Z_Not Known",T_01!B37,"")</f>
        <v/>
      </c>
      <c r="D42" s="191" t="str">
        <f>IF(T_01!A37 = "Z_Not Known",T_01!C37,"")</f>
        <v/>
      </c>
      <c r="E42" s="191" t="str">
        <f>IF(T_01!A37 = "Z_Not Known",T_01!D37,"")</f>
        <v/>
      </c>
      <c r="F42" s="191" t="str">
        <f>IF(T_01!A37 = "Z_Not Known",T_01!E37,"")</f>
        <v/>
      </c>
      <c r="G42" s="353" t="str">
        <f>IF(T_01!A37 = "Z_Not Known",T_01!F37,"")</f>
        <v/>
      </c>
      <c r="H42" s="191" t="str">
        <f>IF(T_01!A37 = "Z_Not Known",T_01!G37,"")</f>
        <v/>
      </c>
      <c r="I42" s="191" t="str">
        <f>IF(T_01!A37 = "Z_Not Known",T_01!H37,"")</f>
        <v/>
      </c>
      <c r="J42" s="353" t="str">
        <f>IF(T_01!A37 = "Z_Not Known",G42+H42+I42,"")</f>
        <v/>
      </c>
      <c r="L42" s="92"/>
    </row>
    <row r="43" spans="1:12" s="39" customFormat="1" ht="30" customHeight="1" thickBot="1" x14ac:dyDescent="0.25">
      <c r="A43" s="359" t="s">
        <v>620</v>
      </c>
      <c r="B43" s="360" t="s">
        <v>143</v>
      </c>
      <c r="C43" s="361">
        <f>GETPIVOTDATA("Sum of 1:Dwelling",T_01!$A$4)</f>
        <v>4661</v>
      </c>
      <c r="D43" s="361">
        <f>GETPIVOTDATA("Sum of 2:Other Buildings",T_01!$A$4)</f>
        <v>1718</v>
      </c>
      <c r="E43" s="361">
        <f>GETPIVOTDATA("Sum of 3:Road Vehicle",T_01!$A$4)</f>
        <v>1816</v>
      </c>
      <c r="F43" s="361">
        <f>GETPIVOTDATA("Sum of 4:Others",T_01!$A$4)</f>
        <v>1221</v>
      </c>
      <c r="G43" s="361">
        <f>GETPIVOTDATA("Sum of Primary_Total",T_01!$A$4)</f>
        <v>9416</v>
      </c>
      <c r="H43" s="361">
        <f>GETPIVOTDATA("Sum of Secondary_Total",T_01!$A$4)</f>
        <v>15130</v>
      </c>
      <c r="I43" s="361">
        <f>GETPIVOTDATA("Sum of Chimney_Total",T_01!$A$4)</f>
        <v>601</v>
      </c>
      <c r="J43" s="362">
        <f>SUM(G43:I43)</f>
        <v>25147</v>
      </c>
      <c r="L43" s="92"/>
    </row>
    <row r="44" spans="1:12" s="39" customFormat="1" ht="13.5" customHeight="1" x14ac:dyDescent="0.2">
      <c r="B44" s="41"/>
      <c r="C44" s="173"/>
      <c r="D44" s="173"/>
      <c r="E44" s="173"/>
      <c r="F44" s="173"/>
      <c r="G44" s="173"/>
      <c r="H44" s="173"/>
      <c r="I44" s="174"/>
      <c r="J44" s="174"/>
      <c r="L44" s="92"/>
    </row>
    <row r="45" spans="1:12" s="39" customFormat="1" ht="13.5" customHeight="1" x14ac:dyDescent="0.2">
      <c r="B45" s="41"/>
      <c r="C45" s="173"/>
      <c r="D45" s="173"/>
      <c r="E45" s="173"/>
      <c r="F45" s="173"/>
      <c r="G45" s="173"/>
      <c r="H45" s="173"/>
      <c r="I45" s="174"/>
      <c r="J45" s="174"/>
      <c r="L45" s="92"/>
    </row>
    <row r="46" spans="1:12" x14ac:dyDescent="0.2">
      <c r="A46"/>
      <c r="B46"/>
    </row>
    <row r="47" spans="1:12" ht="15.75" x14ac:dyDescent="0.2">
      <c r="A47" s="1285" t="s">
        <v>1015</v>
      </c>
      <c r="B47" s="1285"/>
      <c r="C47" s="1285"/>
      <c r="D47" s="1285"/>
      <c r="E47" s="1285"/>
      <c r="F47" s="1285"/>
    </row>
    <row r="48" spans="1:12" ht="15" x14ac:dyDescent="0.25">
      <c r="A48" s="351" t="s">
        <v>579</v>
      </c>
      <c r="B48" s="1043" t="s">
        <v>1303</v>
      </c>
    </row>
    <row r="49" spans="1:12" s="39" customFormat="1" ht="15" customHeight="1" x14ac:dyDescent="0.25">
      <c r="A49" s="351" t="s">
        <v>580</v>
      </c>
      <c r="B49" s="351" t="s">
        <v>581</v>
      </c>
    </row>
    <row r="50" spans="1:12" ht="15" x14ac:dyDescent="0.25">
      <c r="A50" s="351" t="s">
        <v>582</v>
      </c>
      <c r="B50" s="351" t="s">
        <v>585</v>
      </c>
      <c r="J50" s="61" t="s">
        <v>57</v>
      </c>
    </row>
    <row r="51" spans="1:12" ht="15" x14ac:dyDescent="0.25">
      <c r="A51" s="351"/>
      <c r="B51" s="351"/>
      <c r="J51" s="61"/>
    </row>
    <row r="52" spans="1:12" ht="13.5" customHeight="1" x14ac:dyDescent="0.2">
      <c r="C52" s="1288" t="s">
        <v>21</v>
      </c>
      <c r="D52" s="1289"/>
      <c r="E52" s="1289"/>
      <c r="F52" s="1290"/>
      <c r="G52" s="1277" t="s">
        <v>1</v>
      </c>
      <c r="H52" s="1277" t="s">
        <v>2</v>
      </c>
      <c r="I52" s="1277" t="s">
        <v>3</v>
      </c>
      <c r="J52" s="1286" t="s">
        <v>147</v>
      </c>
      <c r="K52" s="39"/>
      <c r="L52" s="1282" t="s">
        <v>141</v>
      </c>
    </row>
    <row r="53" spans="1:12" ht="26.25" customHeight="1" x14ac:dyDescent="0.2">
      <c r="A53" s="363" t="s">
        <v>586</v>
      </c>
      <c r="B53" s="357" t="s">
        <v>22</v>
      </c>
      <c r="C53" s="215" t="s">
        <v>5</v>
      </c>
      <c r="D53" s="215" t="s">
        <v>6</v>
      </c>
      <c r="E53" s="215" t="s">
        <v>7</v>
      </c>
      <c r="F53" s="215" t="s">
        <v>8</v>
      </c>
      <c r="G53" s="1291"/>
      <c r="H53" s="1291"/>
      <c r="I53" s="1291"/>
      <c r="J53" s="1292"/>
      <c r="K53" s="39"/>
      <c r="L53" s="1283"/>
    </row>
    <row r="54" spans="1:12" ht="18.75" customHeight="1" x14ac:dyDescent="0.2">
      <c r="A54" s="1" t="s">
        <v>587</v>
      </c>
      <c r="B54" s="117" t="s">
        <v>23</v>
      </c>
      <c r="C54" s="366">
        <f t="shared" ref="C54:C85" si="1">C10/L54*100000</f>
        <v>106.08574172705841</v>
      </c>
      <c r="D54" s="366">
        <f t="shared" ref="D54:D85" si="2">D10/L54*100000</f>
        <v>39.291015454466077</v>
      </c>
      <c r="E54" s="366">
        <f t="shared" ref="E54:E85" si="3">E10/L54*100000</f>
        <v>16.152973020169387</v>
      </c>
      <c r="F54" s="366">
        <f t="shared" ref="F54:F85" si="4">F10/L54*100000</f>
        <v>24.884309787828517</v>
      </c>
      <c r="G54" s="367">
        <f t="shared" ref="G54:G85" si="5">G10/L54*100000</f>
        <v>186.41403998952239</v>
      </c>
      <c r="H54" s="366">
        <f t="shared" ref="H54:H85" si="6">H10/L54*100000</f>
        <v>143.19392298960972</v>
      </c>
      <c r="I54" s="366">
        <f t="shared" ref="I54:I85" si="7">I10/L54*100000</f>
        <v>0.87313367676591291</v>
      </c>
      <c r="J54" s="367">
        <f>I54+H54+G54</f>
        <v>330.481096655898</v>
      </c>
      <c r="K54"/>
      <c r="L54" s="1002">
        <f>T_01!I5</f>
        <v>229060</v>
      </c>
    </row>
    <row r="55" spans="1:12" ht="13.5" customHeight="1" x14ac:dyDescent="0.2">
      <c r="A55" s="1" t="s">
        <v>588</v>
      </c>
      <c r="B55" s="117" t="s">
        <v>24</v>
      </c>
      <c r="C55" s="364">
        <f t="shared" si="1"/>
        <v>65.955978219188594</v>
      </c>
      <c r="D55" s="364">
        <f t="shared" si="2"/>
        <v>34.895314057826525</v>
      </c>
      <c r="E55" s="364">
        <f t="shared" si="3"/>
        <v>27.609479254544063</v>
      </c>
      <c r="F55" s="364">
        <f t="shared" si="4"/>
        <v>27.226014264897614</v>
      </c>
      <c r="G55" s="365">
        <f t="shared" si="5"/>
        <v>155.68678579645677</v>
      </c>
      <c r="H55" s="364">
        <f t="shared" si="6"/>
        <v>113.12217194570137</v>
      </c>
      <c r="I55" s="364">
        <f t="shared" si="7"/>
        <v>17.255924534090038</v>
      </c>
      <c r="J55" s="365">
        <f t="shared" ref="J55:J85" si="8">I55+H55+G55</f>
        <v>286.06488227624817</v>
      </c>
      <c r="K55"/>
      <c r="L55" s="1002">
        <f>T_01!I6</f>
        <v>260780</v>
      </c>
    </row>
    <row r="56" spans="1:12" ht="13.5" customHeight="1" x14ac:dyDescent="0.2">
      <c r="A56" s="1" t="s">
        <v>589</v>
      </c>
      <c r="B56" s="117" t="s">
        <v>25</v>
      </c>
      <c r="C56" s="364">
        <f t="shared" si="1"/>
        <v>69.072699015714036</v>
      </c>
      <c r="D56" s="364">
        <f t="shared" si="2"/>
        <v>28.492488343982043</v>
      </c>
      <c r="E56" s="364">
        <f t="shared" si="3"/>
        <v>22.44862718010706</v>
      </c>
      <c r="F56" s="364">
        <f t="shared" si="4"/>
        <v>28.492488343982043</v>
      </c>
      <c r="G56" s="365">
        <f t="shared" si="5"/>
        <v>148.5063028837852</v>
      </c>
      <c r="H56" s="364">
        <f t="shared" si="6"/>
        <v>176.13538249007081</v>
      </c>
      <c r="I56" s="364">
        <f t="shared" si="7"/>
        <v>18.131583491624934</v>
      </c>
      <c r="J56" s="365">
        <f t="shared" si="8"/>
        <v>342.77326886548093</v>
      </c>
      <c r="K56"/>
      <c r="L56" s="1002">
        <f>T_01!I7</f>
        <v>115820</v>
      </c>
    </row>
    <row r="57" spans="1:12" ht="13.5" customHeight="1" x14ac:dyDescent="0.2">
      <c r="A57" s="1" t="s">
        <v>590</v>
      </c>
      <c r="B57" s="117" t="s">
        <v>26</v>
      </c>
      <c r="C57" s="364">
        <f t="shared" si="1"/>
        <v>100.66721292286081</v>
      </c>
      <c r="D57" s="364">
        <f t="shared" si="2"/>
        <v>37.457567599204026</v>
      </c>
      <c r="E57" s="364">
        <f t="shared" si="3"/>
        <v>23.410979749502516</v>
      </c>
      <c r="F57" s="364">
        <f t="shared" si="4"/>
        <v>23.410979749502516</v>
      </c>
      <c r="G57" s="365">
        <f t="shared" si="5"/>
        <v>184.94674002106987</v>
      </c>
      <c r="H57" s="364">
        <f t="shared" si="6"/>
        <v>155.68301533419174</v>
      </c>
      <c r="I57" s="364">
        <f t="shared" si="7"/>
        <v>51.504155448905543</v>
      </c>
      <c r="J57" s="365">
        <f t="shared" si="8"/>
        <v>392.13391080416716</v>
      </c>
      <c r="K57"/>
      <c r="L57" s="1002">
        <f>T_01!I8</f>
        <v>85430</v>
      </c>
    </row>
    <row r="58" spans="1:12" ht="13.5" customHeight="1" x14ac:dyDescent="0.2">
      <c r="A58" s="1" t="s">
        <v>591</v>
      </c>
      <c r="B58" s="117" t="s">
        <v>619</v>
      </c>
      <c r="C58" s="364">
        <f t="shared" si="1"/>
        <v>79.981805086994427</v>
      </c>
      <c r="D58" s="364">
        <f t="shared" si="2"/>
        <v>28.998142602630683</v>
      </c>
      <c r="E58" s="364">
        <f t="shared" si="3"/>
        <v>25.586596414085896</v>
      </c>
      <c r="F58" s="364">
        <f t="shared" si="4"/>
        <v>20.090216443652629</v>
      </c>
      <c r="G58" s="365">
        <f t="shared" si="5"/>
        <v>154.65676054736363</v>
      </c>
      <c r="H58" s="364">
        <f t="shared" si="6"/>
        <v>277.85148402259205</v>
      </c>
      <c r="I58" s="364">
        <f t="shared" si="7"/>
        <v>2.4638944695045679</v>
      </c>
      <c r="J58" s="365">
        <f t="shared" si="8"/>
        <v>434.97213903946022</v>
      </c>
      <c r="K58"/>
      <c r="L58" s="1002">
        <f>T_01!I9</f>
        <v>527620</v>
      </c>
    </row>
    <row r="59" spans="1:12" ht="13.5" customHeight="1" x14ac:dyDescent="0.2">
      <c r="A59" s="1" t="s">
        <v>592</v>
      </c>
      <c r="B59" s="117" t="s">
        <v>27</v>
      </c>
      <c r="C59" s="364">
        <f t="shared" si="1"/>
        <v>107.23337882628194</v>
      </c>
      <c r="D59" s="364">
        <f t="shared" si="2"/>
        <v>40.943653733671283</v>
      </c>
      <c r="E59" s="364">
        <f t="shared" si="3"/>
        <v>5.8490933905244686</v>
      </c>
      <c r="F59" s="364">
        <f t="shared" si="4"/>
        <v>15.597582374731918</v>
      </c>
      <c r="G59" s="365">
        <f t="shared" si="5"/>
        <v>169.62370832520961</v>
      </c>
      <c r="H59" s="364">
        <f t="shared" si="6"/>
        <v>218.36615324624682</v>
      </c>
      <c r="I59" s="364">
        <f t="shared" si="7"/>
        <v>5.8490933905244686</v>
      </c>
      <c r="J59" s="365">
        <f t="shared" si="8"/>
        <v>393.8389549619809</v>
      </c>
      <c r="K59"/>
      <c r="L59" s="1002">
        <f>T_01!I10</f>
        <v>51290</v>
      </c>
    </row>
    <row r="60" spans="1:12" ht="13.5" customHeight="1" x14ac:dyDescent="0.2">
      <c r="A60" s="1" t="s">
        <v>593</v>
      </c>
      <c r="B60" s="117" t="s">
        <v>28</v>
      </c>
      <c r="C60" s="364">
        <f t="shared" si="1"/>
        <v>49.902218625665931</v>
      </c>
      <c r="D60" s="364">
        <f t="shared" si="2"/>
        <v>30.3459437588509</v>
      </c>
      <c r="E60" s="364">
        <f t="shared" si="3"/>
        <v>29.671589453098658</v>
      </c>
      <c r="F60" s="364">
        <f t="shared" si="4"/>
        <v>20.230629172567266</v>
      </c>
      <c r="G60" s="365">
        <f t="shared" si="5"/>
        <v>130.15038101018274</v>
      </c>
      <c r="H60" s="364">
        <f t="shared" si="6"/>
        <v>138.24263267920966</v>
      </c>
      <c r="I60" s="364">
        <f t="shared" si="7"/>
        <v>31.020298064603143</v>
      </c>
      <c r="J60" s="365">
        <f t="shared" si="8"/>
        <v>299.41331175399557</v>
      </c>
      <c r="K60"/>
      <c r="L60" s="1002">
        <f>T_01!I11</f>
        <v>148290</v>
      </c>
    </row>
    <row r="61" spans="1:12" ht="13.5" customHeight="1" x14ac:dyDescent="0.2">
      <c r="A61" s="1" t="s">
        <v>594</v>
      </c>
      <c r="B61" s="117" t="s">
        <v>29</v>
      </c>
      <c r="C61" s="364">
        <f t="shared" si="1"/>
        <v>140.43811315683374</v>
      </c>
      <c r="D61" s="364">
        <f t="shared" si="2"/>
        <v>36.285445504636478</v>
      </c>
      <c r="E61" s="364">
        <f t="shared" si="3"/>
        <v>21.502486224969765</v>
      </c>
      <c r="F61" s="364">
        <f t="shared" si="4"/>
        <v>25.534202392151592</v>
      </c>
      <c r="G61" s="365">
        <f t="shared" si="5"/>
        <v>223.76024727859158</v>
      </c>
      <c r="H61" s="364">
        <f t="shared" si="6"/>
        <v>469.0229807821529</v>
      </c>
      <c r="I61" s="364">
        <f t="shared" si="7"/>
        <v>2.6878107781212206</v>
      </c>
      <c r="J61" s="365">
        <f t="shared" si="8"/>
        <v>695.47103883886575</v>
      </c>
      <c r="K61"/>
      <c r="L61" s="1002">
        <f>T_01!I12</f>
        <v>148820</v>
      </c>
    </row>
    <row r="62" spans="1:12" ht="13.5" customHeight="1" x14ac:dyDescent="0.2">
      <c r="A62" s="1" t="s">
        <v>595</v>
      </c>
      <c r="B62" s="117" t="s">
        <v>30</v>
      </c>
      <c r="C62" s="364">
        <f t="shared" si="1"/>
        <v>89.638157894736835</v>
      </c>
      <c r="D62" s="364">
        <f t="shared" si="2"/>
        <v>25.493421052631579</v>
      </c>
      <c r="E62" s="364">
        <f t="shared" si="3"/>
        <v>37.828947368421055</v>
      </c>
      <c r="F62" s="364">
        <f t="shared" si="4"/>
        <v>27.960526315789473</v>
      </c>
      <c r="G62" s="365">
        <f t="shared" si="5"/>
        <v>180.92105263157896</v>
      </c>
      <c r="H62" s="364">
        <f t="shared" si="6"/>
        <v>480.26315789473682</v>
      </c>
      <c r="I62" s="364">
        <f t="shared" si="7"/>
        <v>4.1118421052631575</v>
      </c>
      <c r="J62" s="365">
        <f t="shared" si="8"/>
        <v>665.29605263157896</v>
      </c>
      <c r="K62"/>
      <c r="L62" s="1002">
        <f>T_01!I13</f>
        <v>121600</v>
      </c>
    </row>
    <row r="63" spans="1:12" ht="13.5" customHeight="1" x14ac:dyDescent="0.2">
      <c r="A63" s="1" t="s">
        <v>596</v>
      </c>
      <c r="B63" s="117" t="s">
        <v>31</v>
      </c>
      <c r="C63" s="364">
        <f t="shared" si="1"/>
        <v>68.045977011494259</v>
      </c>
      <c r="D63" s="364">
        <f t="shared" si="2"/>
        <v>19.310344827586206</v>
      </c>
      <c r="E63" s="364">
        <f t="shared" si="3"/>
        <v>24.827586206896552</v>
      </c>
      <c r="F63" s="364">
        <f t="shared" si="4"/>
        <v>7.3563218390804597</v>
      </c>
      <c r="G63" s="365">
        <f t="shared" si="5"/>
        <v>119.54022988505746</v>
      </c>
      <c r="H63" s="364">
        <f t="shared" si="6"/>
        <v>221.60919540229887</v>
      </c>
      <c r="I63" s="364">
        <f t="shared" si="7"/>
        <v>4.5977011494252871</v>
      </c>
      <c r="J63" s="365">
        <f t="shared" si="8"/>
        <v>345.74712643678163</v>
      </c>
      <c r="K63"/>
      <c r="L63" s="1002">
        <f>T_01!I14</f>
        <v>108750</v>
      </c>
    </row>
    <row r="64" spans="1:12" ht="13.5" customHeight="1" x14ac:dyDescent="0.2">
      <c r="A64" s="1" t="s">
        <v>597</v>
      </c>
      <c r="B64" s="117" t="s">
        <v>32</v>
      </c>
      <c r="C64" s="364">
        <f t="shared" si="1"/>
        <v>45.412418906394812</v>
      </c>
      <c r="D64" s="364">
        <f t="shared" si="2"/>
        <v>25.023169601482852</v>
      </c>
      <c r="E64" s="364">
        <f t="shared" si="3"/>
        <v>33.364226135310474</v>
      </c>
      <c r="F64" s="364">
        <f t="shared" si="4"/>
        <v>25.023169601482852</v>
      </c>
      <c r="G64" s="365">
        <f t="shared" si="5"/>
        <v>128.82298424467101</v>
      </c>
      <c r="H64" s="364">
        <f t="shared" si="6"/>
        <v>180.72289156626508</v>
      </c>
      <c r="I64" s="364">
        <f t="shared" si="7"/>
        <v>9.2678405931417984</v>
      </c>
      <c r="J64" s="365">
        <f t="shared" si="8"/>
        <v>318.81371640407792</v>
      </c>
      <c r="K64"/>
      <c r="L64" s="1002">
        <f>T_01!I15</f>
        <v>107900</v>
      </c>
    </row>
    <row r="65" spans="1:12" ht="13.5" customHeight="1" x14ac:dyDescent="0.2">
      <c r="A65" s="1" t="s">
        <v>598</v>
      </c>
      <c r="B65" s="117" t="s">
        <v>33</v>
      </c>
      <c r="C65" s="364">
        <f t="shared" si="1"/>
        <v>55.173849677285027</v>
      </c>
      <c r="D65" s="364">
        <f t="shared" si="2"/>
        <v>12.492192379762647</v>
      </c>
      <c r="E65" s="364">
        <f t="shared" si="3"/>
        <v>24.984384759525295</v>
      </c>
      <c r="F65" s="364">
        <f t="shared" si="4"/>
        <v>9.3691442848219868</v>
      </c>
      <c r="G65" s="365">
        <f t="shared" si="5"/>
        <v>102.01957110139496</v>
      </c>
      <c r="H65" s="364">
        <f t="shared" si="6"/>
        <v>189.46491775973351</v>
      </c>
      <c r="I65" s="364">
        <f t="shared" si="7"/>
        <v>6.2460961898813236</v>
      </c>
      <c r="J65" s="365">
        <f t="shared" si="8"/>
        <v>297.73058505100977</v>
      </c>
      <c r="K65"/>
      <c r="L65" s="1002">
        <f>T_01!I16</f>
        <v>96060</v>
      </c>
    </row>
    <row r="66" spans="1:12" ht="13.5" customHeight="1" x14ac:dyDescent="0.2">
      <c r="A66" s="1" t="s">
        <v>599</v>
      </c>
      <c r="B66" s="117" t="s">
        <v>34</v>
      </c>
      <c r="C66" s="364">
        <f t="shared" si="1"/>
        <v>67.88739412057798</v>
      </c>
      <c r="D66" s="364">
        <f t="shared" si="2"/>
        <v>36.123567513702042</v>
      </c>
      <c r="E66" s="364">
        <f t="shared" si="3"/>
        <v>31.141006477329348</v>
      </c>
      <c r="F66" s="364">
        <f t="shared" si="4"/>
        <v>41.728948679621325</v>
      </c>
      <c r="G66" s="365">
        <f t="shared" si="5"/>
        <v>176.8809167912307</v>
      </c>
      <c r="H66" s="364">
        <f t="shared" si="6"/>
        <v>263.45291479820628</v>
      </c>
      <c r="I66" s="364">
        <f t="shared" si="7"/>
        <v>2.4912805181863478</v>
      </c>
      <c r="J66" s="365">
        <f t="shared" si="8"/>
        <v>442.82511210762334</v>
      </c>
      <c r="K66"/>
      <c r="L66" s="1002">
        <f>T_01!I17</f>
        <v>160560</v>
      </c>
    </row>
    <row r="67" spans="1:12" ht="13.5" customHeight="1" x14ac:dyDescent="0.2">
      <c r="A67" s="1" t="s">
        <v>600</v>
      </c>
      <c r="B67" s="117" t="s">
        <v>35</v>
      </c>
      <c r="C67" s="364">
        <f t="shared" si="1"/>
        <v>66.019832678480739</v>
      </c>
      <c r="D67" s="364">
        <f t="shared" si="2"/>
        <v>26.46139042578783</v>
      </c>
      <c r="E67" s="364">
        <f t="shared" si="3"/>
        <v>29.134258145564377</v>
      </c>
      <c r="F67" s="364">
        <f t="shared" si="4"/>
        <v>34.479993585117469</v>
      </c>
      <c r="G67" s="365">
        <f t="shared" si="5"/>
        <v>156.09547483495041</v>
      </c>
      <c r="H67" s="364">
        <f t="shared" si="6"/>
        <v>272.36522064523029</v>
      </c>
      <c r="I67" s="364">
        <f t="shared" si="7"/>
        <v>6.6821692994413704</v>
      </c>
      <c r="J67" s="365">
        <f t="shared" si="8"/>
        <v>435.14286477962207</v>
      </c>
      <c r="K67"/>
      <c r="L67" s="1002">
        <f>T_01!I18</f>
        <v>374130</v>
      </c>
    </row>
    <row r="68" spans="1:12" ht="13.5" customHeight="1" x14ac:dyDescent="0.2">
      <c r="A68" s="1" t="s">
        <v>601</v>
      </c>
      <c r="B68" s="117" t="s">
        <v>36</v>
      </c>
      <c r="C68" s="364">
        <f t="shared" si="1"/>
        <v>125.07079478950351</v>
      </c>
      <c r="D68" s="364">
        <f t="shared" si="2"/>
        <v>36.970612296268328</v>
      </c>
      <c r="E68" s="364">
        <f t="shared" si="3"/>
        <v>46.881882826757284</v>
      </c>
      <c r="F68" s="364">
        <f t="shared" si="4"/>
        <v>12.900383865080864</v>
      </c>
      <c r="G68" s="365">
        <f t="shared" si="5"/>
        <v>221.82367377760994</v>
      </c>
      <c r="H68" s="364">
        <f t="shared" si="6"/>
        <v>383.86508086338176</v>
      </c>
      <c r="I68" s="364">
        <f t="shared" si="7"/>
        <v>0.31464350890441128</v>
      </c>
      <c r="J68" s="365">
        <f t="shared" si="8"/>
        <v>606.00339814989616</v>
      </c>
      <c r="K68"/>
      <c r="L68" s="1002">
        <f>T_01!I19</f>
        <v>635640</v>
      </c>
    </row>
    <row r="69" spans="1:12" ht="13.5" customHeight="1" x14ac:dyDescent="0.2">
      <c r="A69" s="1" t="s">
        <v>602</v>
      </c>
      <c r="B69" s="117" t="s">
        <v>37</v>
      </c>
      <c r="C69" s="364">
        <f t="shared" si="1"/>
        <v>56.067620948902004</v>
      </c>
      <c r="D69" s="364">
        <f t="shared" si="2"/>
        <v>45.023998640784946</v>
      </c>
      <c r="E69" s="364">
        <f t="shared" si="3"/>
        <v>25.910036953659262</v>
      </c>
      <c r="F69" s="364">
        <f t="shared" si="4"/>
        <v>34.405131036826234</v>
      </c>
      <c r="G69" s="365">
        <f t="shared" si="5"/>
        <v>161.40678758017245</v>
      </c>
      <c r="H69" s="364">
        <f t="shared" si="6"/>
        <v>168.20286284670601</v>
      </c>
      <c r="I69" s="364">
        <f t="shared" si="7"/>
        <v>58.616149173852094</v>
      </c>
      <c r="J69" s="365">
        <f t="shared" si="8"/>
        <v>388.22579960073051</v>
      </c>
      <c r="K69"/>
      <c r="L69" s="1002">
        <f>T_01!I20</f>
        <v>235430</v>
      </c>
    </row>
    <row r="70" spans="1:12" ht="13.5" customHeight="1" x14ac:dyDescent="0.2">
      <c r="A70" s="1" t="s">
        <v>603</v>
      </c>
      <c r="B70" s="117" t="s">
        <v>38</v>
      </c>
      <c r="C70" s="364">
        <f t="shared" si="1"/>
        <v>142.74591227614846</v>
      </c>
      <c r="D70" s="364">
        <f t="shared" si="2"/>
        <v>25.953802232026991</v>
      </c>
      <c r="E70" s="364">
        <f t="shared" si="3"/>
        <v>37.63301323643914</v>
      </c>
      <c r="F70" s="364">
        <f t="shared" si="4"/>
        <v>9.0838307812094463</v>
      </c>
      <c r="G70" s="365">
        <f t="shared" si="5"/>
        <v>215.41655852582403</v>
      </c>
      <c r="H70" s="364">
        <f t="shared" si="6"/>
        <v>541.13677653776278</v>
      </c>
      <c r="I70" s="364">
        <f t="shared" si="7"/>
        <v>3.8930703348040487</v>
      </c>
      <c r="J70" s="365">
        <f t="shared" si="8"/>
        <v>760.44640539839088</v>
      </c>
      <c r="K70"/>
      <c r="L70" s="1002">
        <f>T_01!I21</f>
        <v>77060</v>
      </c>
    </row>
    <row r="71" spans="1:12" ht="13.5" customHeight="1" x14ac:dyDescent="0.2">
      <c r="A71" s="1" t="s">
        <v>604</v>
      </c>
      <c r="B71" s="117" t="s">
        <v>39</v>
      </c>
      <c r="C71" s="364">
        <f t="shared" si="1"/>
        <v>63.338701019860444</v>
      </c>
      <c r="D71" s="364">
        <f t="shared" si="2"/>
        <v>37.573805689747722</v>
      </c>
      <c r="E71" s="364">
        <f t="shared" si="3"/>
        <v>20.397208803005903</v>
      </c>
      <c r="F71" s="364">
        <f t="shared" si="4"/>
        <v>48.309178743961354</v>
      </c>
      <c r="G71" s="365">
        <f t="shared" si="5"/>
        <v>169.6188942565754</v>
      </c>
      <c r="H71" s="364">
        <f t="shared" si="6"/>
        <v>217.92807300053678</v>
      </c>
      <c r="I71" s="364">
        <f t="shared" si="7"/>
        <v>6.4412238325281796</v>
      </c>
      <c r="J71" s="365">
        <f t="shared" si="8"/>
        <v>393.9881910896404</v>
      </c>
      <c r="K71"/>
      <c r="L71" s="1002">
        <f>T_01!I22</f>
        <v>93150</v>
      </c>
    </row>
    <row r="72" spans="1:12" ht="13.5" customHeight="1" x14ac:dyDescent="0.2">
      <c r="A72" s="1" t="s">
        <v>605</v>
      </c>
      <c r="B72" s="117" t="s">
        <v>40</v>
      </c>
      <c r="C72" s="364">
        <f t="shared" si="1"/>
        <v>53.285968028419184</v>
      </c>
      <c r="D72" s="364">
        <f t="shared" si="2"/>
        <v>28.210218367986624</v>
      </c>
      <c r="E72" s="364">
        <f t="shared" si="3"/>
        <v>24.030926757914532</v>
      </c>
      <c r="F72" s="364">
        <f t="shared" si="4"/>
        <v>43.882561905756972</v>
      </c>
      <c r="G72" s="365">
        <f t="shared" si="5"/>
        <v>149.40967506007732</v>
      </c>
      <c r="H72" s="364">
        <f t="shared" si="6"/>
        <v>133.73733152230696</v>
      </c>
      <c r="I72" s="364">
        <f t="shared" si="7"/>
        <v>20.896458050360465</v>
      </c>
      <c r="J72" s="365">
        <f t="shared" si="8"/>
        <v>304.04346463274476</v>
      </c>
      <c r="K72"/>
      <c r="L72" s="1002">
        <f>T_01!I23</f>
        <v>95710</v>
      </c>
    </row>
    <row r="73" spans="1:12" ht="13.5" customHeight="1" x14ac:dyDescent="0.2">
      <c r="A73" s="1" t="s">
        <v>606</v>
      </c>
      <c r="B73" s="117" t="s">
        <v>295</v>
      </c>
      <c r="C73" s="364">
        <f t="shared" si="1"/>
        <v>83.018867924528294</v>
      </c>
      <c r="D73" s="364">
        <f t="shared" si="2"/>
        <v>22.641509433962263</v>
      </c>
      <c r="E73" s="364">
        <f t="shared" si="3"/>
        <v>30.188679245283019</v>
      </c>
      <c r="F73" s="364">
        <f t="shared" si="4"/>
        <v>18.867924528301884</v>
      </c>
      <c r="G73" s="365">
        <f t="shared" si="5"/>
        <v>154.71698113207546</v>
      </c>
      <c r="H73" s="364">
        <f t="shared" si="6"/>
        <v>286.79245283018867</v>
      </c>
      <c r="I73" s="364">
        <f t="shared" si="7"/>
        <v>135.84905660377359</v>
      </c>
      <c r="J73" s="365">
        <f t="shared" si="8"/>
        <v>577.35849056603774</v>
      </c>
      <c r="K73"/>
      <c r="L73" s="1002">
        <f>T_01!I24</f>
        <v>26500</v>
      </c>
    </row>
    <row r="74" spans="1:12" ht="13.5" customHeight="1" x14ac:dyDescent="0.2">
      <c r="A74" s="1" t="s">
        <v>607</v>
      </c>
      <c r="B74" s="117" t="s">
        <v>41</v>
      </c>
      <c r="C74" s="364">
        <f t="shared" si="1"/>
        <v>113.96648044692738</v>
      </c>
      <c r="D74" s="364">
        <f t="shared" si="2"/>
        <v>26.070763500931097</v>
      </c>
      <c r="E74" s="364">
        <f t="shared" si="3"/>
        <v>26.070763500931097</v>
      </c>
      <c r="F74" s="364">
        <f t="shared" si="4"/>
        <v>11.918063314711359</v>
      </c>
      <c r="G74" s="365">
        <f t="shared" si="5"/>
        <v>178.02607076350094</v>
      </c>
      <c r="H74" s="364">
        <f t="shared" si="6"/>
        <v>365.73556797020484</v>
      </c>
      <c r="I74" s="364">
        <f t="shared" si="7"/>
        <v>8.9385474860335208</v>
      </c>
      <c r="J74" s="365">
        <f t="shared" si="8"/>
        <v>552.70018621973929</v>
      </c>
      <c r="K74"/>
      <c r="L74" s="1002">
        <f>T_01!I25</f>
        <v>134250</v>
      </c>
    </row>
    <row r="75" spans="1:12" ht="13.5" customHeight="1" x14ac:dyDescent="0.2">
      <c r="A75" s="1" t="s">
        <v>608</v>
      </c>
      <c r="B75" s="117" t="s">
        <v>42</v>
      </c>
      <c r="C75" s="364">
        <f t="shared" si="1"/>
        <v>93.216861112739636</v>
      </c>
      <c r="D75" s="364">
        <f t="shared" si="2"/>
        <v>31.07228703757988</v>
      </c>
      <c r="E75" s="364">
        <f t="shared" si="3"/>
        <v>63.610247992026729</v>
      </c>
      <c r="F75" s="364">
        <f t="shared" si="4"/>
        <v>12.311660901682595</v>
      </c>
      <c r="G75" s="365">
        <f t="shared" si="5"/>
        <v>200.21105704402885</v>
      </c>
      <c r="H75" s="364">
        <f t="shared" si="6"/>
        <v>432.37380547575776</v>
      </c>
      <c r="I75" s="364">
        <f t="shared" si="7"/>
        <v>1.7588087002403707</v>
      </c>
      <c r="J75" s="365">
        <f t="shared" si="8"/>
        <v>634.34367122002698</v>
      </c>
      <c r="K75"/>
      <c r="L75" s="1002">
        <f>T_01!I26</f>
        <v>341140</v>
      </c>
    </row>
    <row r="76" spans="1:12" ht="13.5" customHeight="1" x14ac:dyDescent="0.2">
      <c r="A76" s="1" t="s">
        <v>609</v>
      </c>
      <c r="B76" s="117" t="s">
        <v>43</v>
      </c>
      <c r="C76" s="364">
        <f t="shared" si="1"/>
        <v>17.857142857142858</v>
      </c>
      <c r="D76" s="364">
        <f t="shared" si="2"/>
        <v>8.9285714285714288</v>
      </c>
      <c r="E76" s="364">
        <f t="shared" si="3"/>
        <v>31.25</v>
      </c>
      <c r="F76" s="364">
        <f t="shared" si="4"/>
        <v>17.857142857142858</v>
      </c>
      <c r="G76" s="365">
        <f t="shared" si="5"/>
        <v>75.892857142857139</v>
      </c>
      <c r="H76" s="364">
        <f t="shared" si="6"/>
        <v>62.5</v>
      </c>
      <c r="I76" s="364">
        <f t="shared" si="7"/>
        <v>22.321428571428569</v>
      </c>
      <c r="J76" s="365">
        <f t="shared" si="8"/>
        <v>160.71428571428572</v>
      </c>
      <c r="K76"/>
      <c r="L76" s="1002">
        <f>T_01!I27</f>
        <v>22400</v>
      </c>
    </row>
    <row r="77" spans="1:12" ht="13.5" customHeight="1" x14ac:dyDescent="0.2">
      <c r="A77" s="1" t="s">
        <v>610</v>
      </c>
      <c r="B77" s="117" t="s">
        <v>44</v>
      </c>
      <c r="C77" s="364">
        <f t="shared" si="1"/>
        <v>68.461589098808503</v>
      </c>
      <c r="D77" s="364">
        <f t="shared" si="2"/>
        <v>28.96451846488052</v>
      </c>
      <c r="E77" s="364">
        <f t="shared" si="3"/>
        <v>34.230794549404251</v>
      </c>
      <c r="F77" s="364">
        <f t="shared" si="4"/>
        <v>17.773681785267591</v>
      </c>
      <c r="G77" s="365">
        <f t="shared" si="5"/>
        <v>149.43058389836088</v>
      </c>
      <c r="H77" s="364">
        <f t="shared" si="6"/>
        <v>95.451254031992633</v>
      </c>
      <c r="I77" s="364">
        <f t="shared" si="7"/>
        <v>26.989664933184123</v>
      </c>
      <c r="J77" s="365">
        <f t="shared" si="8"/>
        <v>271.87150286353767</v>
      </c>
      <c r="K77"/>
      <c r="L77" s="1002">
        <f>T_01!I28</f>
        <v>151910</v>
      </c>
    </row>
    <row r="78" spans="1:12" ht="13.5" customHeight="1" x14ac:dyDescent="0.2">
      <c r="A78" s="1" t="s">
        <v>611</v>
      </c>
      <c r="B78" s="117" t="s">
        <v>45</v>
      </c>
      <c r="C78" s="364">
        <f t="shared" si="1"/>
        <v>103.12726461898657</v>
      </c>
      <c r="D78" s="364">
        <f t="shared" si="2"/>
        <v>34.561569764200904</v>
      </c>
      <c r="E78" s="364">
        <f t="shared" si="3"/>
        <v>30.659457048887898</v>
      </c>
      <c r="F78" s="364">
        <f t="shared" si="4"/>
        <v>16.723340208484306</v>
      </c>
      <c r="G78" s="365">
        <f t="shared" si="5"/>
        <v>185.07163164055967</v>
      </c>
      <c r="H78" s="364">
        <f t="shared" si="6"/>
        <v>280.39467082892025</v>
      </c>
      <c r="I78" s="364">
        <f t="shared" si="7"/>
        <v>1.6723340208484307</v>
      </c>
      <c r="J78" s="365">
        <f t="shared" si="8"/>
        <v>467.13863649032839</v>
      </c>
      <c r="K78"/>
      <c r="L78" s="1002">
        <f>T_01!I29</f>
        <v>179390</v>
      </c>
    </row>
    <row r="79" spans="1:12" ht="13.5" customHeight="1" x14ac:dyDescent="0.2">
      <c r="A79" s="1" t="s">
        <v>612</v>
      </c>
      <c r="B79" s="117" t="s">
        <v>46</v>
      </c>
      <c r="C79" s="364">
        <f t="shared" si="1"/>
        <v>73.759111419645961</v>
      </c>
      <c r="D79" s="364">
        <f t="shared" si="2"/>
        <v>35.577924331829223</v>
      </c>
      <c r="E79" s="364">
        <f t="shared" si="3"/>
        <v>28.635890315862547</v>
      </c>
      <c r="F79" s="364">
        <f t="shared" si="4"/>
        <v>24.297119055883375</v>
      </c>
      <c r="G79" s="365">
        <f t="shared" si="5"/>
        <v>162.27004512322111</v>
      </c>
      <c r="H79" s="364">
        <f t="shared" si="6"/>
        <v>107.6015272474835</v>
      </c>
      <c r="I79" s="364">
        <f t="shared" si="7"/>
        <v>38.181187087816731</v>
      </c>
      <c r="J79" s="365">
        <f t="shared" si="8"/>
        <v>308.05275945852134</v>
      </c>
      <c r="K79"/>
      <c r="L79" s="1002">
        <f>T_01!I30</f>
        <v>115240</v>
      </c>
    </row>
    <row r="80" spans="1:12" ht="13.5" customHeight="1" x14ac:dyDescent="0.2">
      <c r="A80" s="1" t="s">
        <v>613</v>
      </c>
      <c r="B80" s="117" t="s">
        <v>47</v>
      </c>
      <c r="C80" s="364">
        <f t="shared" si="1"/>
        <v>109.31351114997813</v>
      </c>
      <c r="D80" s="364">
        <f t="shared" si="2"/>
        <v>39.352864013992132</v>
      </c>
      <c r="E80" s="364">
        <f t="shared" si="3"/>
        <v>56.843025797988638</v>
      </c>
      <c r="F80" s="364">
        <f t="shared" si="4"/>
        <v>26.235242675994751</v>
      </c>
      <c r="G80" s="365">
        <f t="shared" si="5"/>
        <v>231.74464363795366</v>
      </c>
      <c r="H80" s="364">
        <f t="shared" si="6"/>
        <v>65.588106689986887</v>
      </c>
      <c r="I80" s="364">
        <f t="shared" si="7"/>
        <v>61.215566243987752</v>
      </c>
      <c r="J80" s="365">
        <f t="shared" si="8"/>
        <v>358.5483165719283</v>
      </c>
      <c r="K80"/>
      <c r="L80" s="1002">
        <f>T_01!I31</f>
        <v>22870</v>
      </c>
    </row>
    <row r="81" spans="1:14" ht="13.5" customHeight="1" x14ac:dyDescent="0.2">
      <c r="A81" s="1" t="s">
        <v>614</v>
      </c>
      <c r="B81" s="117" t="s">
        <v>48</v>
      </c>
      <c r="C81" s="364">
        <f t="shared" si="1"/>
        <v>80.256821829855539</v>
      </c>
      <c r="D81" s="364">
        <f t="shared" si="2"/>
        <v>25.860531478509007</v>
      </c>
      <c r="E81" s="364">
        <f t="shared" si="3"/>
        <v>23.18530408418049</v>
      </c>
      <c r="F81" s="364">
        <f t="shared" si="4"/>
        <v>12.484394506866417</v>
      </c>
      <c r="G81" s="365">
        <f t="shared" si="5"/>
        <v>141.78705189941144</v>
      </c>
      <c r="H81" s="364">
        <f t="shared" si="6"/>
        <v>271.08970929195647</v>
      </c>
      <c r="I81" s="364">
        <f t="shared" si="7"/>
        <v>8.0256821829855536</v>
      </c>
      <c r="J81" s="365">
        <f t="shared" si="8"/>
        <v>420.90244337435348</v>
      </c>
      <c r="K81"/>
      <c r="L81" s="1002">
        <f>T_01!I32</f>
        <v>112140</v>
      </c>
    </row>
    <row r="82" spans="1:14" ht="13.5" customHeight="1" x14ac:dyDescent="0.2">
      <c r="A82" s="1" t="s">
        <v>615</v>
      </c>
      <c r="B82" s="117" t="s">
        <v>49</v>
      </c>
      <c r="C82" s="364">
        <f t="shared" si="1"/>
        <v>79.483822704320175</v>
      </c>
      <c r="D82" s="364">
        <f t="shared" si="2"/>
        <v>22.130789851006796</v>
      </c>
      <c r="E82" s="364">
        <f t="shared" si="3"/>
        <v>47.378592357084969</v>
      </c>
      <c r="F82" s="364">
        <f t="shared" si="4"/>
        <v>11.844648089271242</v>
      </c>
      <c r="G82" s="365">
        <f t="shared" si="5"/>
        <v>160.83785300168319</v>
      </c>
      <c r="H82" s="364">
        <f t="shared" si="6"/>
        <v>317.31188828626642</v>
      </c>
      <c r="I82" s="364">
        <f t="shared" si="7"/>
        <v>2.8053113895642414</v>
      </c>
      <c r="J82" s="365">
        <f t="shared" si="8"/>
        <v>480.95505267751383</v>
      </c>
      <c r="K82"/>
      <c r="L82" s="1002">
        <f>T_01!I33</f>
        <v>320820</v>
      </c>
    </row>
    <row r="83" spans="1:14" ht="13.5" customHeight="1" x14ac:dyDescent="0.2">
      <c r="A83" s="1" t="s">
        <v>616</v>
      </c>
      <c r="B83" s="117" t="s">
        <v>50</v>
      </c>
      <c r="C83" s="364">
        <f t="shared" si="1"/>
        <v>62.712585034013607</v>
      </c>
      <c r="D83" s="364">
        <f t="shared" si="2"/>
        <v>40.39115646258503</v>
      </c>
      <c r="E83" s="364">
        <f t="shared" si="3"/>
        <v>35.076530612244895</v>
      </c>
      <c r="F83" s="364">
        <f t="shared" si="4"/>
        <v>35.076530612244895</v>
      </c>
      <c r="G83" s="365">
        <f t="shared" si="5"/>
        <v>173.25680272108843</v>
      </c>
      <c r="H83" s="364">
        <f t="shared" si="6"/>
        <v>208.33333333333334</v>
      </c>
      <c r="I83" s="364">
        <f t="shared" si="7"/>
        <v>13.818027210884354</v>
      </c>
      <c r="J83" s="365">
        <f t="shared" si="8"/>
        <v>395.40816326530614</v>
      </c>
      <c r="K83"/>
      <c r="L83" s="1002">
        <f>T_01!I34</f>
        <v>94080</v>
      </c>
    </row>
    <row r="84" spans="1:14" ht="13.5" customHeight="1" x14ac:dyDescent="0.2">
      <c r="A84" s="1" t="s">
        <v>617</v>
      </c>
      <c r="B84" s="117" t="s">
        <v>51</v>
      </c>
      <c r="C84" s="364">
        <f t="shared" si="1"/>
        <v>132.44283450305636</v>
      </c>
      <c r="D84" s="364">
        <f t="shared" si="2"/>
        <v>29.431741000679196</v>
      </c>
      <c r="E84" s="364">
        <f t="shared" si="3"/>
        <v>36.223681231605163</v>
      </c>
      <c r="F84" s="364">
        <f t="shared" si="4"/>
        <v>28.299750962191531</v>
      </c>
      <c r="G84" s="365">
        <f t="shared" si="5"/>
        <v>226.39800769753225</v>
      </c>
      <c r="H84" s="364">
        <f t="shared" si="6"/>
        <v>461.85193570296582</v>
      </c>
      <c r="I84" s="364">
        <f t="shared" si="7"/>
        <v>3.3959701154629838</v>
      </c>
      <c r="J84" s="365">
        <f t="shared" si="8"/>
        <v>691.64591351596107</v>
      </c>
      <c r="K84"/>
      <c r="L84" s="1002">
        <f>T_01!I35</f>
        <v>88340</v>
      </c>
    </row>
    <row r="85" spans="1:14" ht="13.5" customHeight="1" x14ac:dyDescent="0.2">
      <c r="A85" s="63" t="s">
        <v>618</v>
      </c>
      <c r="B85" s="358" t="s">
        <v>52</v>
      </c>
      <c r="C85" s="364">
        <f t="shared" si="1"/>
        <v>62.561201175062564</v>
      </c>
      <c r="D85" s="364">
        <f t="shared" si="2"/>
        <v>32.096616255032096</v>
      </c>
      <c r="E85" s="364">
        <f t="shared" si="3"/>
        <v>33.728647590033724</v>
      </c>
      <c r="F85" s="364">
        <f t="shared" si="4"/>
        <v>32.096616255032096</v>
      </c>
      <c r="G85" s="365">
        <f t="shared" si="5"/>
        <v>160.48308127516049</v>
      </c>
      <c r="H85" s="364">
        <f t="shared" si="6"/>
        <v>376.45522794037646</v>
      </c>
      <c r="I85" s="364">
        <f t="shared" si="7"/>
        <v>2.1760417800021759</v>
      </c>
      <c r="J85" s="365">
        <f t="shared" si="8"/>
        <v>539.1143509955391</v>
      </c>
      <c r="K85"/>
      <c r="L85" s="1003">
        <f>T_01!I36</f>
        <v>183820</v>
      </c>
    </row>
    <row r="86" spans="1:14" ht="30" customHeight="1" thickBot="1" x14ac:dyDescent="0.25">
      <c r="A86" s="359" t="s">
        <v>620</v>
      </c>
      <c r="B86" s="360" t="s">
        <v>143</v>
      </c>
      <c r="C86" s="368">
        <f>C43/L86*100000</f>
        <v>85.272594218807171</v>
      </c>
      <c r="D86" s="368">
        <f>D43/L86*100000</f>
        <v>31.430662275887304</v>
      </c>
      <c r="E86" s="368">
        <f>E43/L86*100000</f>
        <v>33.223563849249906</v>
      </c>
      <c r="F86" s="368">
        <f>F43/L86*100000</f>
        <v>22.338090010976948</v>
      </c>
      <c r="G86" s="368">
        <f>G43/L86*100000</f>
        <v>172.26491035492134</v>
      </c>
      <c r="H86" s="368">
        <f>H43/L86*100000</f>
        <v>276.80204903036957</v>
      </c>
      <c r="I86" s="368">
        <f>I43/L86*100000</f>
        <v>10.995243322356385</v>
      </c>
      <c r="J86" s="368">
        <f>J43/L86*100000</f>
        <v>460.06220270764726</v>
      </c>
      <c r="K86" s="41"/>
      <c r="L86" s="1001">
        <f>SUM(L54:L85)</f>
        <v>5466000</v>
      </c>
    </row>
    <row r="87" spans="1:14" ht="13.5" customHeight="1" x14ac:dyDescent="0.2">
      <c r="B87" s="41"/>
      <c r="C87" s="85"/>
      <c r="D87" s="85"/>
      <c r="E87" s="85"/>
      <c r="F87" s="85"/>
      <c r="G87" s="85"/>
      <c r="H87" s="85"/>
      <c r="I87" s="85"/>
      <c r="J87" s="85"/>
      <c r="K87" s="41"/>
      <c r="L87" s="44"/>
    </row>
    <row r="88" spans="1:14" x14ac:dyDescent="0.2">
      <c r="A88" s="5" t="s">
        <v>146</v>
      </c>
    </row>
    <row r="89" spans="1:14" ht="15" x14ac:dyDescent="0.25">
      <c r="A89" s="1011" t="s">
        <v>1226</v>
      </c>
      <c r="C89" s="369"/>
      <c r="D89" s="369"/>
      <c r="E89" s="369"/>
      <c r="F89" s="369"/>
      <c r="G89" s="369"/>
      <c r="H89" s="369"/>
      <c r="I89" s="369"/>
      <c r="J89" s="369"/>
      <c r="K89" s="369"/>
      <c r="L89" s="369"/>
      <c r="M89" s="369"/>
      <c r="N89" s="369"/>
    </row>
    <row r="90" spans="1:14" s="86" customFormat="1" ht="15" x14ac:dyDescent="0.25">
      <c r="A90" s="370" t="s">
        <v>1093</v>
      </c>
      <c r="C90" s="370"/>
      <c r="D90" s="370"/>
      <c r="E90" s="370"/>
      <c r="F90" s="370"/>
      <c r="G90" s="370"/>
      <c r="H90" s="370"/>
      <c r="I90" s="370"/>
      <c r="J90" s="370"/>
      <c r="K90" s="370"/>
      <c r="L90" s="370"/>
      <c r="M90" s="370"/>
      <c r="N90" s="370"/>
    </row>
    <row r="91" spans="1:14" s="86" customFormat="1" ht="12" x14ac:dyDescent="0.2"/>
    <row r="92" spans="1:14" x14ac:dyDescent="0.2">
      <c r="B92" s="62"/>
    </row>
    <row r="93" spans="1:14" x14ac:dyDescent="0.2">
      <c r="B93" s="18"/>
    </row>
    <row r="95" spans="1:14" x14ac:dyDescent="0.2">
      <c r="B95" s="18"/>
    </row>
    <row r="97" spans="2:9" ht="14.25" x14ac:dyDescent="0.2">
      <c r="B97" s="1284"/>
      <c r="C97" s="1284"/>
      <c r="D97" s="1284"/>
      <c r="E97" s="1284"/>
      <c r="F97" s="1284"/>
      <c r="G97" s="1284"/>
      <c r="H97" s="1284"/>
      <c r="I97" s="1284"/>
    </row>
    <row r="98" spans="2:9" ht="14.25" x14ac:dyDescent="0.2">
      <c r="B98" s="1284"/>
      <c r="C98" s="1284"/>
      <c r="D98" s="1284"/>
      <c r="E98" s="1284"/>
      <c r="F98" s="1284"/>
      <c r="G98" s="1284"/>
      <c r="H98" s="1284"/>
      <c r="I98" s="1284"/>
    </row>
    <row r="99" spans="2:9" ht="14.25" x14ac:dyDescent="0.2">
      <c r="B99" s="1284"/>
      <c r="C99" s="1284"/>
      <c r="D99" s="1284"/>
      <c r="E99" s="1284"/>
      <c r="F99" s="1284"/>
      <c r="G99" s="1284"/>
      <c r="H99" s="1284"/>
      <c r="I99" s="1284"/>
    </row>
    <row r="100" spans="2:9" x14ac:dyDescent="0.2">
      <c r="B100" s="94"/>
      <c r="C100" s="94"/>
      <c r="D100" s="94"/>
      <c r="E100" s="94"/>
      <c r="F100" s="94"/>
      <c r="G100" s="94"/>
      <c r="H100" s="94"/>
      <c r="I100" s="94"/>
    </row>
    <row r="101" spans="2:9" ht="15" x14ac:dyDescent="0.25">
      <c r="B101" s="95"/>
      <c r="C101" s="94"/>
      <c r="D101" s="94"/>
      <c r="E101" s="94"/>
      <c r="F101" s="94"/>
      <c r="G101" s="94"/>
      <c r="H101" s="94"/>
      <c r="I101" s="94"/>
    </row>
  </sheetData>
  <sheetProtection algorithmName="SHA-512" hashValue="Cs2J01dJICl56QYG535xjPao0nTd343CFgjPWskPMERolw8HXgIlkz7l/YyqOwU1Q9b7NS/bpIEEWpT3CxaeTA==" saltValue="+rFnfX/zhk9Ptsk2MJUP6Q==" spinCount="100000" sheet="1" scenarios="1" formatCells="0" formatColumns="0" formatRows="0" sort="0" autoFilter="0" pivotTables="0"/>
  <mergeCells count="15">
    <mergeCell ref="J8:J9"/>
    <mergeCell ref="C52:F52"/>
    <mergeCell ref="G52:G53"/>
    <mergeCell ref="H52:H53"/>
    <mergeCell ref="I52:I53"/>
    <mergeCell ref="J52:J53"/>
    <mergeCell ref="C8:F8"/>
    <mergeCell ref="G8:G9"/>
    <mergeCell ref="H8:H9"/>
    <mergeCell ref="I8:I9"/>
    <mergeCell ref="L52:L53"/>
    <mergeCell ref="B97:I97"/>
    <mergeCell ref="B98:I98"/>
    <mergeCell ref="B99:I99"/>
    <mergeCell ref="A47:F47"/>
  </mergeCells>
  <hyperlinks>
    <hyperlink ref="A90" r:id="rId1" xr:uid="{00000000-0004-0000-0F00-000000000000}"/>
    <hyperlink ref="A2" location="'Table of Contents'!A1" display="Back to Table of Contents" xr:uid="{00000000-0004-0000-0F00-000001000000}"/>
  </hyperlink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tabColor theme="4"/>
  </sheetPr>
  <dimension ref="A1:AU24"/>
  <sheetViews>
    <sheetView workbookViewId="0">
      <selection activeCell="C21" sqref="C21"/>
    </sheetView>
  </sheetViews>
  <sheetFormatPr defaultRowHeight="12.75" x14ac:dyDescent="0.2"/>
  <cols>
    <col min="1" max="1" width="13" bestFit="1" customWidth="1"/>
    <col min="2" max="2" width="15.85546875" bestFit="1" customWidth="1"/>
    <col min="3" max="3" width="14.42578125" bestFit="1" customWidth="1"/>
    <col min="4" max="4" width="14.7109375" bestFit="1" customWidth="1"/>
    <col min="5" max="5" width="17.42578125" bestFit="1" customWidth="1"/>
    <col min="6" max="6" width="15.7109375" bestFit="1" customWidth="1"/>
    <col min="7" max="7" width="18.42578125" bestFit="1" customWidth="1"/>
    <col min="8" max="8" width="18.5703125" bestFit="1" customWidth="1"/>
    <col min="9" max="9" width="21.28515625" bestFit="1" customWidth="1"/>
    <col min="10" max="10" width="16.7109375" bestFit="1" customWidth="1"/>
    <col min="11" max="11" width="21.140625" bestFit="1" customWidth="1"/>
    <col min="12" max="12" width="23.85546875" bestFit="1" customWidth="1"/>
    <col min="13" max="13" width="19.42578125" bestFit="1" customWidth="1"/>
    <col min="14" max="14" width="22.140625" bestFit="1" customWidth="1"/>
    <col min="15" max="15" width="19.140625" bestFit="1" customWidth="1"/>
    <col min="16" max="16" width="21.85546875" bestFit="1" customWidth="1"/>
    <col min="17" max="17" width="21.42578125" bestFit="1" customWidth="1"/>
    <col min="18" max="18" width="24.140625" bestFit="1" customWidth="1"/>
    <col min="19" max="19" width="22.28515625" bestFit="1" customWidth="1"/>
    <col min="20" max="20" width="24.85546875" bestFit="1" customWidth="1"/>
    <col min="21" max="21" width="19.85546875" bestFit="1" customWidth="1"/>
    <col min="22" max="22" width="22.5703125" bestFit="1" customWidth="1"/>
    <col min="23" max="23" width="23.5703125" bestFit="1" customWidth="1"/>
    <col min="24" max="24" width="26.28515625" bestFit="1" customWidth="1"/>
    <col min="25" max="25" width="11.5703125" bestFit="1" customWidth="1"/>
    <col min="26" max="26" width="14.42578125" bestFit="1" customWidth="1"/>
    <col min="27" max="27" width="14.7109375" bestFit="1" customWidth="1"/>
    <col min="28" max="28" width="17.42578125" bestFit="1" customWidth="1"/>
    <col min="29" max="29" width="15.7109375" bestFit="1" customWidth="1"/>
    <col min="30" max="30" width="18.42578125" bestFit="1" customWidth="1"/>
    <col min="31" max="31" width="18.5703125" bestFit="1" customWidth="1"/>
    <col min="32" max="32" width="21.28515625" bestFit="1" customWidth="1"/>
    <col min="33" max="33" width="16.7109375" bestFit="1" customWidth="1"/>
    <col min="34" max="34" width="21.140625" bestFit="1" customWidth="1"/>
    <col min="35" max="35" width="23.85546875" bestFit="1" customWidth="1"/>
    <col min="36" max="36" width="19.42578125" bestFit="1" customWidth="1"/>
    <col min="37" max="37" width="22.140625" bestFit="1" customWidth="1"/>
    <col min="38" max="38" width="19.140625" bestFit="1" customWidth="1"/>
    <col min="39" max="39" width="21.85546875" bestFit="1" customWidth="1"/>
    <col min="40" max="40" width="21.42578125" bestFit="1" customWidth="1"/>
    <col min="41" max="41" width="24.140625" bestFit="1" customWidth="1"/>
    <col min="42" max="42" width="22.28515625" bestFit="1" customWidth="1"/>
    <col min="43" max="43" width="24.85546875" bestFit="1" customWidth="1"/>
    <col min="44" max="44" width="19.85546875" bestFit="1" customWidth="1"/>
    <col min="45" max="45" width="22.5703125" bestFit="1" customWidth="1"/>
    <col min="46" max="46" width="23.5703125" bestFit="1" customWidth="1"/>
    <col min="47" max="47" width="26.28515625" bestFit="1" customWidth="1"/>
    <col min="48" max="48" width="22" bestFit="1" customWidth="1"/>
    <col min="49" max="49" width="24.85546875" bestFit="1" customWidth="1"/>
    <col min="50" max="50" width="25.140625" bestFit="1" customWidth="1"/>
    <col min="51" max="51" width="28.140625" bestFit="1" customWidth="1"/>
    <col min="52" max="52" width="23.42578125" bestFit="1" customWidth="1"/>
    <col min="53" max="53" width="27.85546875" bestFit="1" customWidth="1"/>
    <col min="54" max="54" width="30.85546875" bestFit="1" customWidth="1"/>
    <col min="55" max="55" width="26.140625" bestFit="1" customWidth="1"/>
    <col min="56" max="56" width="29" bestFit="1" customWidth="1"/>
    <col min="57" max="57" width="26.140625" bestFit="1" customWidth="1"/>
    <col min="58" max="58" width="29" bestFit="1" customWidth="1"/>
    <col min="59" max="59" width="28.42578125" bestFit="1" customWidth="1"/>
    <col min="60" max="60" width="31.42578125" bestFit="1" customWidth="1"/>
    <col min="61" max="61" width="29" bestFit="1" customWidth="1"/>
    <col min="62" max="62" width="32" bestFit="1" customWidth="1"/>
    <col min="63" max="63" width="26.42578125" bestFit="1" customWidth="1"/>
    <col min="64" max="64" width="29.28515625" bestFit="1" customWidth="1"/>
  </cols>
  <sheetData>
    <row r="1" spans="1:47" x14ac:dyDescent="0.2">
      <c r="B1" s="234" t="s">
        <v>336</v>
      </c>
    </row>
    <row r="2" spans="1:47" x14ac:dyDescent="0.2">
      <c r="B2" t="s">
        <v>124</v>
      </c>
      <c r="Y2" t="s">
        <v>125</v>
      </c>
    </row>
    <row r="3" spans="1:47" x14ac:dyDescent="0.2">
      <c r="A3" s="234" t="s">
        <v>326</v>
      </c>
      <c r="B3" t="s">
        <v>628</v>
      </c>
      <c r="C3" t="s">
        <v>629</v>
      </c>
      <c r="D3" t="s">
        <v>630</v>
      </c>
      <c r="E3" t="s">
        <v>631</v>
      </c>
      <c r="F3" t="s">
        <v>632</v>
      </c>
      <c r="G3" t="s">
        <v>633</v>
      </c>
      <c r="H3" t="s">
        <v>634</v>
      </c>
      <c r="I3" t="s">
        <v>635</v>
      </c>
      <c r="J3" t="s">
        <v>636</v>
      </c>
      <c r="K3" t="s">
        <v>637</v>
      </c>
      <c r="L3" t="s">
        <v>638</v>
      </c>
      <c r="M3" t="s">
        <v>639</v>
      </c>
      <c r="N3" t="s">
        <v>640</v>
      </c>
      <c r="O3" t="s">
        <v>641</v>
      </c>
      <c r="P3" t="s">
        <v>642</v>
      </c>
      <c r="Q3" t="s">
        <v>643</v>
      </c>
      <c r="R3" t="s">
        <v>644</v>
      </c>
      <c r="S3" t="s">
        <v>648</v>
      </c>
      <c r="T3" t="s">
        <v>647</v>
      </c>
      <c r="U3" t="s">
        <v>645</v>
      </c>
      <c r="V3" t="s">
        <v>646</v>
      </c>
      <c r="W3" t="s">
        <v>1443</v>
      </c>
      <c r="X3" t="s">
        <v>1444</v>
      </c>
      <c r="Y3" t="s">
        <v>628</v>
      </c>
      <c r="Z3" t="s">
        <v>629</v>
      </c>
      <c r="AA3" t="s">
        <v>630</v>
      </c>
      <c r="AB3" t="s">
        <v>631</v>
      </c>
      <c r="AC3" t="s">
        <v>632</v>
      </c>
      <c r="AD3" t="s">
        <v>633</v>
      </c>
      <c r="AE3" t="s">
        <v>634</v>
      </c>
      <c r="AF3" t="s">
        <v>635</v>
      </c>
      <c r="AG3" t="s">
        <v>636</v>
      </c>
      <c r="AH3" t="s">
        <v>637</v>
      </c>
      <c r="AI3" t="s">
        <v>638</v>
      </c>
      <c r="AJ3" t="s">
        <v>639</v>
      </c>
      <c r="AK3" t="s">
        <v>640</v>
      </c>
      <c r="AL3" t="s">
        <v>641</v>
      </c>
      <c r="AM3" t="s">
        <v>642</v>
      </c>
      <c r="AN3" t="s">
        <v>643</v>
      </c>
      <c r="AO3" t="s">
        <v>644</v>
      </c>
      <c r="AP3" t="s">
        <v>648</v>
      </c>
      <c r="AQ3" t="s">
        <v>647</v>
      </c>
      <c r="AR3" t="s">
        <v>645</v>
      </c>
      <c r="AS3" t="s">
        <v>646</v>
      </c>
      <c r="AT3" t="s">
        <v>1443</v>
      </c>
      <c r="AU3" t="s">
        <v>1444</v>
      </c>
    </row>
    <row r="4" spans="1:47" x14ac:dyDescent="0.2">
      <c r="A4" s="235" t="s">
        <v>123</v>
      </c>
      <c r="B4">
        <v>458</v>
      </c>
      <c r="C4">
        <v>9.26</v>
      </c>
      <c r="D4">
        <v>13948</v>
      </c>
      <c r="E4">
        <v>282.06</v>
      </c>
      <c r="F4">
        <v>431838</v>
      </c>
      <c r="G4">
        <v>8732.8700000000008</v>
      </c>
      <c r="H4">
        <v>189068</v>
      </c>
      <c r="I4">
        <v>3823.44</v>
      </c>
      <c r="J4">
        <v>49449700</v>
      </c>
      <c r="K4">
        <v>234569</v>
      </c>
      <c r="L4">
        <v>4743.59</v>
      </c>
      <c r="M4">
        <v>8201</v>
      </c>
      <c r="N4">
        <v>165.85</v>
      </c>
      <c r="O4">
        <v>54531</v>
      </c>
      <c r="P4">
        <v>1102.76</v>
      </c>
      <c r="Q4">
        <v>393852</v>
      </c>
      <c r="R4">
        <v>7964.7</v>
      </c>
      <c r="U4">
        <v>990793</v>
      </c>
      <c r="V4">
        <v>20036.38</v>
      </c>
      <c r="W4">
        <v>9242</v>
      </c>
      <c r="X4">
        <v>186.9</v>
      </c>
      <c r="Y4">
        <v>38</v>
      </c>
      <c r="Z4">
        <v>13.06</v>
      </c>
      <c r="AA4">
        <v>933</v>
      </c>
      <c r="AB4">
        <v>320.60000000000002</v>
      </c>
      <c r="AC4">
        <v>35203</v>
      </c>
      <c r="AD4">
        <v>12096.42</v>
      </c>
      <c r="AE4">
        <v>12722</v>
      </c>
      <c r="AF4">
        <v>4371.5200000000004</v>
      </c>
      <c r="AG4">
        <v>2910200</v>
      </c>
      <c r="AH4">
        <v>21585</v>
      </c>
      <c r="AI4">
        <v>7417.02</v>
      </c>
      <c r="AJ4">
        <v>896</v>
      </c>
      <c r="AK4">
        <v>307.88</v>
      </c>
      <c r="AL4">
        <v>3086</v>
      </c>
      <c r="AM4">
        <v>1060.4100000000001</v>
      </c>
      <c r="AN4">
        <v>19545</v>
      </c>
      <c r="AO4">
        <v>6716.03</v>
      </c>
      <c r="AP4">
        <v>9159</v>
      </c>
      <c r="AQ4">
        <v>3147.21</v>
      </c>
      <c r="AR4">
        <v>63907</v>
      </c>
      <c r="AS4">
        <v>21959.66</v>
      </c>
    </row>
    <row r="5" spans="1:47" x14ac:dyDescent="0.2">
      <c r="A5" s="235" t="s">
        <v>314</v>
      </c>
      <c r="B5">
        <v>417</v>
      </c>
      <c r="C5">
        <v>8.39</v>
      </c>
      <c r="D5">
        <v>12317</v>
      </c>
      <c r="E5">
        <v>247.93</v>
      </c>
      <c r="F5">
        <v>412491</v>
      </c>
      <c r="G5">
        <v>8303.08</v>
      </c>
      <c r="H5">
        <v>173455</v>
      </c>
      <c r="I5">
        <v>3491.49</v>
      </c>
      <c r="J5">
        <v>49679300</v>
      </c>
      <c r="K5">
        <v>232181</v>
      </c>
      <c r="L5">
        <v>4673.6000000000004</v>
      </c>
      <c r="M5">
        <v>6855</v>
      </c>
      <c r="N5">
        <v>137.99</v>
      </c>
      <c r="O5">
        <v>48899</v>
      </c>
      <c r="P5">
        <v>984.29</v>
      </c>
      <c r="Q5">
        <v>375353</v>
      </c>
      <c r="R5">
        <v>7555.52</v>
      </c>
      <c r="U5">
        <v>958142</v>
      </c>
      <c r="V5">
        <v>19286.54</v>
      </c>
      <c r="W5">
        <v>8291</v>
      </c>
      <c r="X5">
        <v>166.89</v>
      </c>
      <c r="Y5">
        <v>25</v>
      </c>
      <c r="Z5">
        <v>8.5500000000000007</v>
      </c>
      <c r="AA5">
        <v>862</v>
      </c>
      <c r="AB5">
        <v>294.91000000000003</v>
      </c>
      <c r="AC5">
        <v>34992</v>
      </c>
      <c r="AD5">
        <v>11971.67</v>
      </c>
      <c r="AE5">
        <v>12030</v>
      </c>
      <c r="AF5">
        <v>4115.78</v>
      </c>
      <c r="AG5">
        <v>2922900</v>
      </c>
      <c r="AH5">
        <v>22191</v>
      </c>
      <c r="AI5">
        <v>7592.12</v>
      </c>
      <c r="AJ5">
        <v>771</v>
      </c>
      <c r="AK5">
        <v>263.77999999999997</v>
      </c>
      <c r="AL5">
        <v>2924</v>
      </c>
      <c r="AM5">
        <v>1000.38</v>
      </c>
      <c r="AN5">
        <v>19069</v>
      </c>
      <c r="AO5">
        <v>6524</v>
      </c>
      <c r="AP5">
        <v>8479</v>
      </c>
      <c r="AQ5">
        <v>2900.89</v>
      </c>
      <c r="AR5">
        <v>62540</v>
      </c>
      <c r="AS5">
        <v>21396.560000000001</v>
      </c>
    </row>
    <row r="6" spans="1:47" x14ac:dyDescent="0.2">
      <c r="A6" s="235" t="s">
        <v>112</v>
      </c>
      <c r="B6">
        <v>454</v>
      </c>
      <c r="C6">
        <v>9.09</v>
      </c>
      <c r="D6">
        <v>12448</v>
      </c>
      <c r="E6">
        <v>249.33</v>
      </c>
      <c r="F6">
        <v>473563</v>
      </c>
      <c r="G6">
        <v>9485.39</v>
      </c>
      <c r="H6">
        <v>172384</v>
      </c>
      <c r="I6">
        <v>3452.82</v>
      </c>
      <c r="J6">
        <v>49925500</v>
      </c>
      <c r="K6">
        <v>294688</v>
      </c>
      <c r="L6">
        <v>5902.55</v>
      </c>
      <c r="M6">
        <v>6491</v>
      </c>
      <c r="N6">
        <v>130.01</v>
      </c>
      <c r="O6">
        <v>50830</v>
      </c>
      <c r="P6">
        <v>1018.12</v>
      </c>
      <c r="Q6">
        <v>384082</v>
      </c>
      <c r="R6">
        <v>7693.1</v>
      </c>
      <c r="U6">
        <v>1016028</v>
      </c>
      <c r="V6">
        <v>20350.88</v>
      </c>
      <c r="W6">
        <v>8044</v>
      </c>
      <c r="X6">
        <v>161.12</v>
      </c>
      <c r="Y6">
        <v>33</v>
      </c>
      <c r="Z6">
        <v>11.23</v>
      </c>
      <c r="AA6">
        <v>829</v>
      </c>
      <c r="AB6">
        <v>282.19</v>
      </c>
      <c r="AC6">
        <v>36247</v>
      </c>
      <c r="AD6">
        <v>12338.56</v>
      </c>
      <c r="AE6">
        <v>11802</v>
      </c>
      <c r="AF6">
        <v>4017.43</v>
      </c>
      <c r="AG6">
        <v>2937700</v>
      </c>
      <c r="AH6">
        <v>23742</v>
      </c>
      <c r="AI6">
        <v>8081.83</v>
      </c>
      <c r="AJ6">
        <v>703</v>
      </c>
      <c r="AK6">
        <v>239.3</v>
      </c>
      <c r="AL6">
        <v>2787</v>
      </c>
      <c r="AM6">
        <v>948.7</v>
      </c>
      <c r="AN6">
        <v>19309</v>
      </c>
      <c r="AO6">
        <v>6572.83</v>
      </c>
      <c r="AP6">
        <v>8276</v>
      </c>
      <c r="AQ6">
        <v>2817.17</v>
      </c>
      <c r="AR6">
        <v>63832</v>
      </c>
      <c r="AS6">
        <v>21728.560000000001</v>
      </c>
    </row>
    <row r="7" spans="1:47" x14ac:dyDescent="0.2">
      <c r="A7" s="235" t="s">
        <v>9</v>
      </c>
      <c r="B7">
        <v>371</v>
      </c>
      <c r="C7">
        <v>7.39</v>
      </c>
      <c r="D7">
        <v>11147</v>
      </c>
      <c r="E7">
        <v>222.08</v>
      </c>
      <c r="F7">
        <v>341968</v>
      </c>
      <c r="G7">
        <v>6812.84</v>
      </c>
      <c r="H7">
        <v>147224</v>
      </c>
      <c r="I7">
        <v>2933.06</v>
      </c>
      <c r="J7">
        <v>50194600</v>
      </c>
      <c r="K7">
        <v>188403</v>
      </c>
      <c r="L7">
        <v>3753.45</v>
      </c>
      <c r="M7">
        <v>6341</v>
      </c>
      <c r="N7">
        <v>126.33</v>
      </c>
      <c r="O7">
        <v>47434</v>
      </c>
      <c r="P7">
        <v>945</v>
      </c>
      <c r="Q7">
        <v>360997</v>
      </c>
      <c r="R7">
        <v>7191.95</v>
      </c>
      <c r="U7">
        <v>861384</v>
      </c>
      <c r="V7">
        <v>17160.89</v>
      </c>
      <c r="W7">
        <v>7148</v>
      </c>
      <c r="X7">
        <v>142.41</v>
      </c>
      <c r="Y7">
        <v>27</v>
      </c>
      <c r="Z7">
        <v>9.1300000000000008</v>
      </c>
      <c r="AA7">
        <v>795</v>
      </c>
      <c r="AB7">
        <v>268.82</v>
      </c>
      <c r="AC7">
        <v>26335</v>
      </c>
      <c r="AD7">
        <v>8904.7800000000007</v>
      </c>
      <c r="AE7">
        <v>9633</v>
      </c>
      <c r="AF7">
        <v>3257.25</v>
      </c>
      <c r="AG7">
        <v>2957400</v>
      </c>
      <c r="AH7">
        <v>16048</v>
      </c>
      <c r="AI7">
        <v>5426.39</v>
      </c>
      <c r="AJ7">
        <v>654</v>
      </c>
      <c r="AK7">
        <v>221.14</v>
      </c>
      <c r="AL7">
        <v>2592</v>
      </c>
      <c r="AM7">
        <v>876.45</v>
      </c>
      <c r="AN7">
        <v>17662</v>
      </c>
      <c r="AO7">
        <v>5972.14</v>
      </c>
      <c r="AP7">
        <v>8869</v>
      </c>
      <c r="AQ7">
        <v>2998.92</v>
      </c>
      <c r="AR7">
        <v>52866</v>
      </c>
      <c r="AS7">
        <v>17875.84</v>
      </c>
    </row>
    <row r="8" spans="1:47" x14ac:dyDescent="0.2">
      <c r="A8" s="235" t="s">
        <v>12</v>
      </c>
      <c r="B8">
        <v>386</v>
      </c>
      <c r="C8">
        <v>7.63</v>
      </c>
      <c r="D8">
        <v>11127</v>
      </c>
      <c r="E8">
        <v>219.88</v>
      </c>
      <c r="F8">
        <v>336107</v>
      </c>
      <c r="G8">
        <v>6641.64</v>
      </c>
      <c r="H8">
        <v>137726</v>
      </c>
      <c r="I8">
        <v>2721.53</v>
      </c>
      <c r="J8">
        <v>50606000</v>
      </c>
      <c r="K8">
        <v>191393</v>
      </c>
      <c r="L8">
        <v>3782.02</v>
      </c>
      <c r="M8">
        <v>6988</v>
      </c>
      <c r="N8">
        <v>138.09</v>
      </c>
      <c r="O8">
        <v>46248</v>
      </c>
      <c r="P8">
        <v>913.88</v>
      </c>
      <c r="Q8">
        <v>350606</v>
      </c>
      <c r="R8">
        <v>6928.15</v>
      </c>
      <c r="U8">
        <v>843734</v>
      </c>
      <c r="V8">
        <v>16672.61</v>
      </c>
      <c r="W8">
        <v>6780</v>
      </c>
      <c r="X8">
        <v>133.97999999999999</v>
      </c>
      <c r="Y8">
        <v>24</v>
      </c>
      <c r="Z8">
        <v>8.08</v>
      </c>
      <c r="AA8">
        <v>759</v>
      </c>
      <c r="AB8">
        <v>255.62</v>
      </c>
      <c r="AC8">
        <v>24370</v>
      </c>
      <c r="AD8">
        <v>8207.32</v>
      </c>
      <c r="AE8">
        <v>9017</v>
      </c>
      <c r="AF8">
        <v>3036.74</v>
      </c>
      <c r="AG8">
        <v>2969300</v>
      </c>
      <c r="AH8">
        <v>14684</v>
      </c>
      <c r="AI8">
        <v>4945.2700000000004</v>
      </c>
      <c r="AJ8">
        <v>669</v>
      </c>
      <c r="AK8">
        <v>225.31</v>
      </c>
      <c r="AL8">
        <v>2548</v>
      </c>
      <c r="AM8">
        <v>858.11</v>
      </c>
      <c r="AN8">
        <v>18901</v>
      </c>
      <c r="AO8">
        <v>6365.47</v>
      </c>
      <c r="AP8">
        <v>9214</v>
      </c>
      <c r="AQ8">
        <v>3103.09</v>
      </c>
      <c r="AR8">
        <v>52485</v>
      </c>
      <c r="AS8">
        <v>17675.88</v>
      </c>
    </row>
    <row r="9" spans="1:47" x14ac:dyDescent="0.2">
      <c r="A9" s="235" t="s">
        <v>14</v>
      </c>
      <c r="B9">
        <v>364</v>
      </c>
      <c r="C9">
        <v>7.14</v>
      </c>
      <c r="D9">
        <v>10783</v>
      </c>
      <c r="E9">
        <v>211.58</v>
      </c>
      <c r="F9">
        <v>336233</v>
      </c>
      <c r="G9">
        <v>6597.31</v>
      </c>
      <c r="H9">
        <v>129134</v>
      </c>
      <c r="I9">
        <v>2533.77</v>
      </c>
      <c r="J9">
        <v>50965200</v>
      </c>
      <c r="K9">
        <v>201551</v>
      </c>
      <c r="L9">
        <v>3954.68</v>
      </c>
      <c r="M9">
        <v>5548</v>
      </c>
      <c r="N9">
        <v>108.86</v>
      </c>
      <c r="O9">
        <v>44422</v>
      </c>
      <c r="P9">
        <v>871.61</v>
      </c>
      <c r="Q9">
        <v>352136</v>
      </c>
      <c r="R9">
        <v>6909.34</v>
      </c>
      <c r="U9">
        <v>854371</v>
      </c>
      <c r="V9">
        <v>16763.810000000001</v>
      </c>
      <c r="W9">
        <v>6351</v>
      </c>
      <c r="X9">
        <v>124.61</v>
      </c>
      <c r="Y9">
        <v>20</v>
      </c>
      <c r="Z9">
        <v>6.7</v>
      </c>
      <c r="AA9">
        <v>632</v>
      </c>
      <c r="AB9">
        <v>211.68</v>
      </c>
      <c r="AC9">
        <v>26497</v>
      </c>
      <c r="AD9">
        <v>8874.64</v>
      </c>
      <c r="AE9">
        <v>8587</v>
      </c>
      <c r="AF9">
        <v>2876.04</v>
      </c>
      <c r="AG9">
        <v>2985700</v>
      </c>
      <c r="AH9">
        <v>17315</v>
      </c>
      <c r="AI9">
        <v>5799.31</v>
      </c>
      <c r="AJ9">
        <v>595</v>
      </c>
      <c r="AK9">
        <v>199.28</v>
      </c>
      <c r="AL9">
        <v>2400</v>
      </c>
      <c r="AM9">
        <v>803.83</v>
      </c>
      <c r="AN9">
        <v>19993</v>
      </c>
      <c r="AO9">
        <v>6696.25</v>
      </c>
      <c r="AP9">
        <v>10185</v>
      </c>
      <c r="AQ9">
        <v>3411.26</v>
      </c>
      <c r="AR9">
        <v>56675</v>
      </c>
      <c r="AS9">
        <v>18982.150000000001</v>
      </c>
    </row>
    <row r="10" spans="1:47" x14ac:dyDescent="0.2">
      <c r="A10" s="235" t="s">
        <v>16</v>
      </c>
      <c r="B10">
        <v>358</v>
      </c>
      <c r="C10">
        <v>6.97</v>
      </c>
      <c r="D10">
        <v>10319</v>
      </c>
      <c r="E10">
        <v>200.83</v>
      </c>
      <c r="F10">
        <v>293920</v>
      </c>
      <c r="G10">
        <v>5720.39</v>
      </c>
      <c r="H10">
        <v>115271</v>
      </c>
      <c r="I10">
        <v>2243.4499999999998</v>
      </c>
      <c r="J10">
        <v>51381100</v>
      </c>
      <c r="K10">
        <v>172306</v>
      </c>
      <c r="L10">
        <v>3353.49</v>
      </c>
      <c r="M10">
        <v>6343</v>
      </c>
      <c r="N10">
        <v>123.45</v>
      </c>
      <c r="O10">
        <v>41336</v>
      </c>
      <c r="P10">
        <v>804.5</v>
      </c>
      <c r="Q10">
        <v>331478</v>
      </c>
      <c r="R10">
        <v>6451.36</v>
      </c>
      <c r="U10">
        <v>791746</v>
      </c>
      <c r="V10">
        <v>15409.28</v>
      </c>
      <c r="W10">
        <v>5749</v>
      </c>
      <c r="X10">
        <v>111.89</v>
      </c>
      <c r="Y10">
        <v>28</v>
      </c>
      <c r="Z10">
        <v>9.31</v>
      </c>
      <c r="AA10">
        <v>632</v>
      </c>
      <c r="AB10">
        <v>210.23</v>
      </c>
      <c r="AC10">
        <v>24661</v>
      </c>
      <c r="AD10">
        <v>8203.11</v>
      </c>
      <c r="AE10">
        <v>7689</v>
      </c>
      <c r="AF10">
        <v>2557.63</v>
      </c>
      <c r="AG10">
        <v>3006300</v>
      </c>
      <c r="AH10">
        <v>16352</v>
      </c>
      <c r="AI10">
        <v>5439.24</v>
      </c>
      <c r="AJ10">
        <v>620</v>
      </c>
      <c r="AK10">
        <v>206.23</v>
      </c>
      <c r="AL10">
        <v>2380</v>
      </c>
      <c r="AM10">
        <v>791.67</v>
      </c>
      <c r="AN10">
        <v>19598</v>
      </c>
      <c r="AO10">
        <v>6518.98</v>
      </c>
      <c r="AP10">
        <v>10827</v>
      </c>
      <c r="AQ10">
        <v>3601.44</v>
      </c>
      <c r="AR10">
        <v>55086</v>
      </c>
      <c r="AS10">
        <v>18323.52</v>
      </c>
    </row>
    <row r="11" spans="1:47" x14ac:dyDescent="0.2">
      <c r="A11" s="235" t="s">
        <v>18</v>
      </c>
      <c r="B11">
        <v>323</v>
      </c>
      <c r="C11">
        <v>6.23</v>
      </c>
      <c r="D11">
        <v>9227</v>
      </c>
      <c r="E11">
        <v>178.07</v>
      </c>
      <c r="F11">
        <v>249237</v>
      </c>
      <c r="G11">
        <v>4810.05</v>
      </c>
      <c r="H11">
        <v>104348</v>
      </c>
      <c r="I11">
        <v>2013.82</v>
      </c>
      <c r="J11">
        <v>51815900</v>
      </c>
      <c r="K11">
        <v>136744</v>
      </c>
      <c r="L11">
        <v>2639.04</v>
      </c>
      <c r="M11">
        <v>8145</v>
      </c>
      <c r="N11">
        <v>157.19</v>
      </c>
      <c r="O11">
        <v>38584</v>
      </c>
      <c r="P11">
        <v>744.64</v>
      </c>
      <c r="Q11">
        <v>312914</v>
      </c>
      <c r="R11">
        <v>6038.96</v>
      </c>
      <c r="U11">
        <v>717805</v>
      </c>
      <c r="V11">
        <v>13852.99</v>
      </c>
      <c r="W11">
        <v>5030</v>
      </c>
      <c r="X11">
        <v>97.07</v>
      </c>
      <c r="Y11">
        <v>17</v>
      </c>
      <c r="Z11">
        <v>5.62</v>
      </c>
      <c r="AA11">
        <v>657</v>
      </c>
      <c r="AB11">
        <v>217.13</v>
      </c>
      <c r="AC11">
        <v>19521</v>
      </c>
      <c r="AD11">
        <v>6451.3</v>
      </c>
      <c r="AE11">
        <v>6985</v>
      </c>
      <c r="AF11">
        <v>2308.4</v>
      </c>
      <c r="AG11">
        <v>3025900</v>
      </c>
      <c r="AH11">
        <v>11724</v>
      </c>
      <c r="AI11">
        <v>3874.55</v>
      </c>
      <c r="AJ11">
        <v>812</v>
      </c>
      <c r="AK11">
        <v>268.35000000000002</v>
      </c>
      <c r="AL11">
        <v>2257</v>
      </c>
      <c r="AM11">
        <v>745.89</v>
      </c>
      <c r="AN11">
        <v>18855</v>
      </c>
      <c r="AO11">
        <v>6231.2</v>
      </c>
      <c r="AP11">
        <v>10917</v>
      </c>
      <c r="AQ11">
        <v>3607.85</v>
      </c>
      <c r="AR11">
        <v>49293</v>
      </c>
      <c r="AS11">
        <v>16290.36</v>
      </c>
    </row>
    <row r="12" spans="1:47" x14ac:dyDescent="0.2">
      <c r="A12" s="235" t="s">
        <v>19</v>
      </c>
      <c r="B12">
        <v>340</v>
      </c>
      <c r="C12">
        <v>6.51</v>
      </c>
      <c r="D12">
        <v>8864</v>
      </c>
      <c r="E12">
        <v>169.82</v>
      </c>
      <c r="F12">
        <v>241462</v>
      </c>
      <c r="G12">
        <v>4626.03</v>
      </c>
      <c r="H12">
        <v>101159</v>
      </c>
      <c r="I12">
        <v>1938.05</v>
      </c>
      <c r="J12">
        <v>52196400</v>
      </c>
      <c r="K12">
        <v>132941</v>
      </c>
      <c r="L12">
        <v>2546.94</v>
      </c>
      <c r="M12">
        <v>7362</v>
      </c>
      <c r="N12">
        <v>141.04</v>
      </c>
      <c r="O12">
        <v>38376</v>
      </c>
      <c r="P12">
        <v>735.22</v>
      </c>
      <c r="Q12">
        <v>285368</v>
      </c>
      <c r="R12">
        <v>5467.2</v>
      </c>
      <c r="S12">
        <v>140596</v>
      </c>
      <c r="T12">
        <v>2693.6</v>
      </c>
      <c r="U12">
        <v>680634</v>
      </c>
      <c r="V12">
        <v>13039.86</v>
      </c>
      <c r="W12">
        <v>4155</v>
      </c>
      <c r="X12">
        <v>79.599999999999994</v>
      </c>
      <c r="Y12">
        <v>23</v>
      </c>
      <c r="Z12">
        <v>7.57</v>
      </c>
      <c r="AA12">
        <v>575</v>
      </c>
      <c r="AB12">
        <v>189.21</v>
      </c>
      <c r="AC12">
        <v>19152</v>
      </c>
      <c r="AD12">
        <v>6302.28</v>
      </c>
      <c r="AE12">
        <v>6800</v>
      </c>
      <c r="AF12">
        <v>2237.65</v>
      </c>
      <c r="AG12">
        <v>3038900</v>
      </c>
      <c r="AH12">
        <v>11562</v>
      </c>
      <c r="AI12">
        <v>3804.67</v>
      </c>
      <c r="AJ12">
        <v>790</v>
      </c>
      <c r="AK12">
        <v>259.95999999999998</v>
      </c>
      <c r="AL12">
        <v>2202</v>
      </c>
      <c r="AM12">
        <v>724.6</v>
      </c>
      <c r="AN12">
        <v>16901</v>
      </c>
      <c r="AO12">
        <v>5561.55</v>
      </c>
      <c r="AP12">
        <v>10288</v>
      </c>
      <c r="AQ12">
        <v>3385.44</v>
      </c>
      <c r="AR12">
        <v>46341</v>
      </c>
      <c r="AS12">
        <v>15249.27</v>
      </c>
      <c r="AT12">
        <v>250</v>
      </c>
      <c r="AU12">
        <v>82.27</v>
      </c>
    </row>
    <row r="13" spans="1:47" x14ac:dyDescent="0.2">
      <c r="A13" s="235" t="s">
        <v>20</v>
      </c>
      <c r="B13">
        <v>335</v>
      </c>
      <c r="C13">
        <v>6.36</v>
      </c>
      <c r="D13">
        <v>9397</v>
      </c>
      <c r="E13">
        <v>178.51</v>
      </c>
      <c r="F13">
        <v>228412</v>
      </c>
      <c r="G13">
        <v>4338.93</v>
      </c>
      <c r="H13">
        <v>92248</v>
      </c>
      <c r="I13">
        <v>1752.35</v>
      </c>
      <c r="J13">
        <v>52642500</v>
      </c>
      <c r="K13">
        <v>128478</v>
      </c>
      <c r="L13">
        <v>2440.58</v>
      </c>
      <c r="M13">
        <v>7686</v>
      </c>
      <c r="N13">
        <v>146</v>
      </c>
      <c r="O13">
        <v>36611</v>
      </c>
      <c r="P13">
        <v>695.46</v>
      </c>
      <c r="Q13">
        <v>272179</v>
      </c>
      <c r="R13">
        <v>5170.33</v>
      </c>
      <c r="S13">
        <v>134670</v>
      </c>
      <c r="T13">
        <v>2558.1999999999998</v>
      </c>
      <c r="U13">
        <v>647362</v>
      </c>
      <c r="V13">
        <v>12297.33</v>
      </c>
      <c r="W13">
        <v>4371</v>
      </c>
      <c r="X13">
        <v>83.03</v>
      </c>
      <c r="Y13">
        <v>21</v>
      </c>
      <c r="Z13">
        <v>6.89</v>
      </c>
      <c r="AA13">
        <v>607</v>
      </c>
      <c r="AB13">
        <v>199.02</v>
      </c>
      <c r="AC13">
        <v>20688</v>
      </c>
      <c r="AD13">
        <v>6782.95</v>
      </c>
      <c r="AE13">
        <v>6414</v>
      </c>
      <c r="AF13">
        <v>2102.9499999999998</v>
      </c>
      <c r="AG13">
        <v>3050000</v>
      </c>
      <c r="AH13">
        <v>13503</v>
      </c>
      <c r="AI13">
        <v>4427.21</v>
      </c>
      <c r="AJ13">
        <v>771</v>
      </c>
      <c r="AK13">
        <v>252.79</v>
      </c>
      <c r="AL13">
        <v>2108</v>
      </c>
      <c r="AM13">
        <v>691.15</v>
      </c>
      <c r="AN13">
        <v>17006</v>
      </c>
      <c r="AO13">
        <v>5575.74</v>
      </c>
      <c r="AP13">
        <v>9187</v>
      </c>
      <c r="AQ13">
        <v>3012.13</v>
      </c>
      <c r="AR13">
        <v>46881</v>
      </c>
      <c r="AS13">
        <v>15370.82</v>
      </c>
      <c r="AT13">
        <v>278</v>
      </c>
      <c r="AU13">
        <v>91.15</v>
      </c>
    </row>
    <row r="14" spans="1:47" x14ac:dyDescent="0.2">
      <c r="A14" s="235" t="s">
        <v>13</v>
      </c>
      <c r="B14">
        <v>315</v>
      </c>
      <c r="C14">
        <v>5.93</v>
      </c>
      <c r="D14">
        <v>9375</v>
      </c>
      <c r="E14">
        <v>176.53</v>
      </c>
      <c r="F14">
        <v>223937</v>
      </c>
      <c r="G14">
        <v>4216.7</v>
      </c>
      <c r="H14">
        <v>86982</v>
      </c>
      <c r="I14">
        <v>1637.86</v>
      </c>
      <c r="J14">
        <v>53107200</v>
      </c>
      <c r="K14">
        <v>131124</v>
      </c>
      <c r="L14">
        <v>2469.04</v>
      </c>
      <c r="M14">
        <v>5831</v>
      </c>
      <c r="N14">
        <v>109.8</v>
      </c>
      <c r="O14">
        <v>35417</v>
      </c>
      <c r="P14">
        <v>666.9</v>
      </c>
      <c r="Q14">
        <v>249484</v>
      </c>
      <c r="R14">
        <v>4697.74</v>
      </c>
      <c r="S14">
        <v>123573</v>
      </c>
      <c r="T14">
        <v>2326.86</v>
      </c>
      <c r="U14">
        <v>606941</v>
      </c>
      <c r="V14">
        <v>11428.6</v>
      </c>
      <c r="W14">
        <v>4297</v>
      </c>
      <c r="X14">
        <v>80.91</v>
      </c>
      <c r="Y14">
        <v>23</v>
      </c>
      <c r="Z14">
        <v>7.51</v>
      </c>
      <c r="AA14">
        <v>592</v>
      </c>
      <c r="AB14">
        <v>193.22</v>
      </c>
      <c r="AC14">
        <v>16464</v>
      </c>
      <c r="AD14">
        <v>5373.72</v>
      </c>
      <c r="AE14">
        <v>5687</v>
      </c>
      <c r="AF14">
        <v>1856.19</v>
      </c>
      <c r="AG14">
        <v>3063800</v>
      </c>
      <c r="AH14">
        <v>10162</v>
      </c>
      <c r="AI14">
        <v>3316.8</v>
      </c>
      <c r="AJ14">
        <v>615</v>
      </c>
      <c r="AK14">
        <v>200.73</v>
      </c>
      <c r="AL14">
        <v>2022</v>
      </c>
      <c r="AM14">
        <v>659.96</v>
      </c>
      <c r="AN14">
        <v>15874</v>
      </c>
      <c r="AO14">
        <v>5181.1499999999996</v>
      </c>
      <c r="AP14">
        <v>7658</v>
      </c>
      <c r="AQ14">
        <v>2499.5100000000002</v>
      </c>
      <c r="AR14">
        <v>39996</v>
      </c>
      <c r="AS14">
        <v>13054.38</v>
      </c>
      <c r="AT14">
        <v>240</v>
      </c>
      <c r="AU14">
        <v>78.33</v>
      </c>
    </row>
    <row r="15" spans="1:47" x14ac:dyDescent="0.2">
      <c r="A15" s="235" t="s">
        <v>15</v>
      </c>
      <c r="B15">
        <v>286</v>
      </c>
      <c r="C15">
        <v>5.35</v>
      </c>
      <c r="D15">
        <v>8429</v>
      </c>
      <c r="E15">
        <v>157.57</v>
      </c>
      <c r="F15">
        <v>154462</v>
      </c>
      <c r="G15">
        <v>2887.48</v>
      </c>
      <c r="H15">
        <v>74714</v>
      </c>
      <c r="I15">
        <v>1396.69</v>
      </c>
      <c r="J15">
        <v>53493700</v>
      </c>
      <c r="K15">
        <v>72496</v>
      </c>
      <c r="L15">
        <v>1355.23</v>
      </c>
      <c r="M15">
        <v>7252</v>
      </c>
      <c r="N15">
        <v>135.57</v>
      </c>
      <c r="O15">
        <v>33300</v>
      </c>
      <c r="P15">
        <v>622.5</v>
      </c>
      <c r="Q15">
        <v>231772</v>
      </c>
      <c r="R15">
        <v>4332.7</v>
      </c>
      <c r="S15">
        <v>128749</v>
      </c>
      <c r="T15">
        <v>2406.81</v>
      </c>
      <c r="U15">
        <v>521322</v>
      </c>
      <c r="V15">
        <v>9745.48</v>
      </c>
      <c r="W15">
        <v>3811</v>
      </c>
      <c r="X15">
        <v>71.239999999999995</v>
      </c>
      <c r="Y15">
        <v>17</v>
      </c>
      <c r="Z15">
        <v>5.53</v>
      </c>
      <c r="AA15">
        <v>541</v>
      </c>
      <c r="AB15">
        <v>175.99</v>
      </c>
      <c r="AC15">
        <v>11438</v>
      </c>
      <c r="AD15">
        <v>3720.76</v>
      </c>
      <c r="AE15">
        <v>4745</v>
      </c>
      <c r="AF15">
        <v>1543.54</v>
      </c>
      <c r="AG15">
        <v>3074100</v>
      </c>
      <c r="AH15">
        <v>5922</v>
      </c>
      <c r="AI15">
        <v>1926.42</v>
      </c>
      <c r="AJ15">
        <v>771</v>
      </c>
      <c r="AK15">
        <v>250.81</v>
      </c>
      <c r="AL15">
        <v>1911</v>
      </c>
      <c r="AM15">
        <v>621.65</v>
      </c>
      <c r="AN15">
        <v>15088</v>
      </c>
      <c r="AO15">
        <v>4908.1000000000004</v>
      </c>
      <c r="AP15">
        <v>9725</v>
      </c>
      <c r="AQ15">
        <v>3163.53</v>
      </c>
      <c r="AR15">
        <v>36251</v>
      </c>
      <c r="AS15">
        <v>11792.39</v>
      </c>
      <c r="AT15">
        <v>225</v>
      </c>
      <c r="AU15">
        <v>73.19</v>
      </c>
    </row>
    <row r="16" spans="1:47" x14ac:dyDescent="0.2">
      <c r="A16" s="235" t="s">
        <v>17</v>
      </c>
      <c r="B16">
        <v>278</v>
      </c>
      <c r="C16">
        <v>5.16</v>
      </c>
      <c r="D16">
        <v>7819</v>
      </c>
      <c r="E16">
        <v>145.16</v>
      </c>
      <c r="F16">
        <v>171355</v>
      </c>
      <c r="G16">
        <v>3181.15</v>
      </c>
      <c r="H16">
        <v>73235</v>
      </c>
      <c r="I16">
        <v>1359.58</v>
      </c>
      <c r="J16">
        <v>53865800</v>
      </c>
      <c r="K16">
        <v>92133</v>
      </c>
      <c r="L16">
        <v>1710.42</v>
      </c>
      <c r="M16">
        <v>5987</v>
      </c>
      <c r="N16">
        <v>111.15</v>
      </c>
      <c r="O16">
        <v>31912</v>
      </c>
      <c r="P16">
        <v>592.44000000000005</v>
      </c>
      <c r="Q16">
        <v>224122</v>
      </c>
      <c r="R16">
        <v>4160.75</v>
      </c>
      <c r="S16">
        <v>125765</v>
      </c>
      <c r="T16">
        <v>2334.7800000000002</v>
      </c>
      <c r="U16">
        <v>526895</v>
      </c>
      <c r="V16">
        <v>9781.6200000000008</v>
      </c>
      <c r="W16">
        <v>3453</v>
      </c>
      <c r="X16">
        <v>64.099999999999994</v>
      </c>
      <c r="Y16">
        <v>17</v>
      </c>
      <c r="Z16">
        <v>5.52</v>
      </c>
      <c r="AA16">
        <v>626</v>
      </c>
      <c r="AB16">
        <v>203.09</v>
      </c>
      <c r="AC16">
        <v>13169</v>
      </c>
      <c r="AD16">
        <v>4272.32</v>
      </c>
      <c r="AE16">
        <v>4790</v>
      </c>
      <c r="AF16">
        <v>1553.98</v>
      </c>
      <c r="AG16">
        <v>3082400</v>
      </c>
      <c r="AH16">
        <v>7801</v>
      </c>
      <c r="AI16">
        <v>2530.8200000000002</v>
      </c>
      <c r="AJ16">
        <v>578</v>
      </c>
      <c r="AK16">
        <v>187.52</v>
      </c>
      <c r="AL16">
        <v>1910</v>
      </c>
      <c r="AM16">
        <v>619.65</v>
      </c>
      <c r="AN16">
        <v>15312</v>
      </c>
      <c r="AO16">
        <v>4967.5600000000004</v>
      </c>
      <c r="AP16">
        <v>10118</v>
      </c>
      <c r="AQ16">
        <v>3282.51</v>
      </c>
      <c r="AR16">
        <v>38599</v>
      </c>
      <c r="AS16">
        <v>12522.39</v>
      </c>
      <c r="AT16">
        <v>242</v>
      </c>
      <c r="AU16">
        <v>78.510000000000005</v>
      </c>
    </row>
    <row r="17" spans="1:47" x14ac:dyDescent="0.2">
      <c r="A17" s="235" t="s">
        <v>133</v>
      </c>
      <c r="B17">
        <v>264</v>
      </c>
      <c r="C17">
        <v>4.8600000000000003</v>
      </c>
      <c r="D17">
        <v>7596</v>
      </c>
      <c r="E17">
        <v>139.85</v>
      </c>
      <c r="F17">
        <v>155065</v>
      </c>
      <c r="G17">
        <v>2854.84</v>
      </c>
      <c r="H17">
        <v>71126</v>
      </c>
      <c r="I17">
        <v>1309.47</v>
      </c>
      <c r="J17">
        <v>54316600</v>
      </c>
      <c r="K17">
        <v>78753</v>
      </c>
      <c r="L17">
        <v>1449.89</v>
      </c>
      <c r="M17">
        <v>5186</v>
      </c>
      <c r="N17">
        <v>95.48</v>
      </c>
      <c r="O17">
        <v>31338</v>
      </c>
      <c r="P17">
        <v>576.95000000000005</v>
      </c>
      <c r="Q17">
        <v>215873</v>
      </c>
      <c r="R17">
        <v>3974.35</v>
      </c>
      <c r="S17">
        <v>120093</v>
      </c>
      <c r="T17">
        <v>2210.98</v>
      </c>
      <c r="U17">
        <v>496275</v>
      </c>
      <c r="V17">
        <v>9136.7099999999991</v>
      </c>
      <c r="W17">
        <v>3252</v>
      </c>
      <c r="X17">
        <v>59.87</v>
      </c>
      <c r="Y17">
        <v>20</v>
      </c>
      <c r="Z17">
        <v>6.47</v>
      </c>
      <c r="AA17">
        <v>543</v>
      </c>
      <c r="AB17">
        <v>175.61</v>
      </c>
      <c r="AC17">
        <v>11651</v>
      </c>
      <c r="AD17">
        <v>3768.11</v>
      </c>
      <c r="AE17">
        <v>4561</v>
      </c>
      <c r="AF17">
        <v>1475.1</v>
      </c>
      <c r="AG17">
        <v>3092000</v>
      </c>
      <c r="AH17">
        <v>6541</v>
      </c>
      <c r="AI17">
        <v>2115.46</v>
      </c>
      <c r="AJ17">
        <v>549</v>
      </c>
      <c r="AK17">
        <v>177.55</v>
      </c>
      <c r="AL17">
        <v>1808</v>
      </c>
      <c r="AM17">
        <v>584.73</v>
      </c>
      <c r="AN17">
        <v>15485</v>
      </c>
      <c r="AO17">
        <v>5008.09</v>
      </c>
      <c r="AP17">
        <v>9289</v>
      </c>
      <c r="AQ17">
        <v>3004.2</v>
      </c>
      <c r="AR17">
        <v>36425</v>
      </c>
      <c r="AS17">
        <v>11780.4</v>
      </c>
      <c r="AT17">
        <v>209</v>
      </c>
      <c r="AU17">
        <v>67.59</v>
      </c>
    </row>
    <row r="18" spans="1:47" x14ac:dyDescent="0.2">
      <c r="A18" s="235" t="s">
        <v>144</v>
      </c>
      <c r="B18">
        <v>302</v>
      </c>
      <c r="C18">
        <v>5.51</v>
      </c>
      <c r="D18">
        <v>7672</v>
      </c>
      <c r="E18">
        <v>140.04</v>
      </c>
      <c r="F18">
        <v>162276</v>
      </c>
      <c r="G18">
        <v>2961.98</v>
      </c>
      <c r="H18">
        <v>73479</v>
      </c>
      <c r="I18">
        <v>1341.19</v>
      </c>
      <c r="J18">
        <v>54786300</v>
      </c>
      <c r="K18">
        <v>84590</v>
      </c>
      <c r="L18">
        <v>1544</v>
      </c>
      <c r="M18">
        <v>4207</v>
      </c>
      <c r="N18">
        <v>76.790000000000006</v>
      </c>
      <c r="O18">
        <v>31376</v>
      </c>
      <c r="P18">
        <v>572.70000000000005</v>
      </c>
      <c r="Q18">
        <v>214411</v>
      </c>
      <c r="R18">
        <v>3913.59</v>
      </c>
      <c r="S18">
        <v>146899</v>
      </c>
      <c r="T18">
        <v>2681.31</v>
      </c>
      <c r="U18">
        <v>529674</v>
      </c>
      <c r="V18">
        <v>9668</v>
      </c>
      <c r="W18">
        <v>3279</v>
      </c>
      <c r="X18">
        <v>59.85</v>
      </c>
      <c r="Y18">
        <v>19</v>
      </c>
      <c r="Z18">
        <v>6.13</v>
      </c>
      <c r="AA18">
        <v>592</v>
      </c>
      <c r="AB18">
        <v>191.02</v>
      </c>
      <c r="AC18">
        <v>12108</v>
      </c>
      <c r="AD18">
        <v>3906.94</v>
      </c>
      <c r="AE18">
        <v>4678</v>
      </c>
      <c r="AF18">
        <v>1509.47</v>
      </c>
      <c r="AG18">
        <v>3099100</v>
      </c>
      <c r="AH18">
        <v>6998</v>
      </c>
      <c r="AI18">
        <v>2258.0700000000002</v>
      </c>
      <c r="AJ18">
        <v>432</v>
      </c>
      <c r="AK18">
        <v>139.4</v>
      </c>
      <c r="AL18">
        <v>1775</v>
      </c>
      <c r="AM18">
        <v>572.75</v>
      </c>
      <c r="AN18">
        <v>14491</v>
      </c>
      <c r="AO18">
        <v>4675.87</v>
      </c>
      <c r="AP18">
        <v>10151</v>
      </c>
      <c r="AQ18">
        <v>3275.47</v>
      </c>
      <c r="AR18">
        <v>36750</v>
      </c>
      <c r="AS18">
        <v>11858.28</v>
      </c>
      <c r="AT18">
        <v>269</v>
      </c>
      <c r="AU18">
        <v>86.8</v>
      </c>
    </row>
    <row r="19" spans="1:47" x14ac:dyDescent="0.2">
      <c r="A19" s="235" t="s">
        <v>282</v>
      </c>
      <c r="B19">
        <v>265</v>
      </c>
      <c r="C19">
        <v>4.79</v>
      </c>
      <c r="D19">
        <v>7103</v>
      </c>
      <c r="E19">
        <v>128.52000000000001</v>
      </c>
      <c r="F19">
        <v>162048</v>
      </c>
      <c r="G19">
        <v>2932.03</v>
      </c>
      <c r="H19">
        <v>74947</v>
      </c>
      <c r="I19">
        <v>1356.06</v>
      </c>
      <c r="J19">
        <v>55268100</v>
      </c>
      <c r="K19">
        <v>82860</v>
      </c>
      <c r="L19">
        <v>1499.24</v>
      </c>
      <c r="M19">
        <v>4241</v>
      </c>
      <c r="N19">
        <v>76.739999999999995</v>
      </c>
      <c r="O19">
        <v>30351</v>
      </c>
      <c r="P19">
        <v>549.16</v>
      </c>
      <c r="Q19">
        <v>223962</v>
      </c>
      <c r="R19">
        <v>4052.28</v>
      </c>
      <c r="S19">
        <v>168632</v>
      </c>
      <c r="T19">
        <v>3051.16</v>
      </c>
      <c r="U19">
        <v>560689</v>
      </c>
      <c r="V19">
        <v>10144.89</v>
      </c>
      <c r="W19">
        <v>3126</v>
      </c>
      <c r="X19">
        <v>56.56</v>
      </c>
      <c r="Y19">
        <v>19</v>
      </c>
      <c r="Z19">
        <v>6.1</v>
      </c>
      <c r="AA19">
        <v>621</v>
      </c>
      <c r="AB19">
        <v>199.47</v>
      </c>
      <c r="AC19">
        <v>10750</v>
      </c>
      <c r="AD19">
        <v>3453.04</v>
      </c>
      <c r="AE19">
        <v>4757</v>
      </c>
      <c r="AF19">
        <v>1528.01</v>
      </c>
      <c r="AG19">
        <v>3113200</v>
      </c>
      <c r="AH19">
        <v>5576</v>
      </c>
      <c r="AI19">
        <v>1791.08</v>
      </c>
      <c r="AJ19">
        <v>417</v>
      </c>
      <c r="AK19">
        <v>133.94999999999999</v>
      </c>
      <c r="AL19">
        <v>1858</v>
      </c>
      <c r="AM19">
        <v>596.80999999999995</v>
      </c>
      <c r="AN19">
        <v>14790</v>
      </c>
      <c r="AO19">
        <v>4750.74</v>
      </c>
      <c r="AP19">
        <v>11676</v>
      </c>
      <c r="AQ19">
        <v>3750.48</v>
      </c>
      <c r="AR19">
        <v>37216</v>
      </c>
      <c r="AS19">
        <v>11954.26</v>
      </c>
      <c r="AT19">
        <v>203</v>
      </c>
      <c r="AU19">
        <v>65.209999999999994</v>
      </c>
    </row>
    <row r="20" spans="1:47" x14ac:dyDescent="0.2">
      <c r="A20" s="235" t="s">
        <v>311</v>
      </c>
      <c r="B20">
        <v>340</v>
      </c>
      <c r="C20">
        <v>6.11</v>
      </c>
      <c r="D20">
        <v>7302</v>
      </c>
      <c r="E20">
        <v>131.29</v>
      </c>
      <c r="F20">
        <v>167355</v>
      </c>
      <c r="G20">
        <v>3008.93</v>
      </c>
      <c r="H20">
        <v>74274</v>
      </c>
      <c r="I20">
        <v>1335.4</v>
      </c>
      <c r="J20">
        <v>55619400</v>
      </c>
      <c r="K20">
        <v>89040</v>
      </c>
      <c r="L20">
        <v>1600.88</v>
      </c>
      <c r="M20">
        <v>4041</v>
      </c>
      <c r="N20">
        <v>72.650000000000006</v>
      </c>
      <c r="O20">
        <v>30821</v>
      </c>
      <c r="P20">
        <v>554.14</v>
      </c>
      <c r="Q20">
        <v>226054</v>
      </c>
      <c r="R20">
        <v>4064.3</v>
      </c>
      <c r="S20">
        <v>165940</v>
      </c>
      <c r="T20">
        <v>2983.49</v>
      </c>
      <c r="U20">
        <v>566120</v>
      </c>
      <c r="V20">
        <v>10178.459999999999</v>
      </c>
      <c r="W20">
        <v>3297</v>
      </c>
      <c r="X20">
        <v>59.28</v>
      </c>
      <c r="Y20">
        <v>15</v>
      </c>
      <c r="Z20">
        <v>4.8</v>
      </c>
      <c r="AA20">
        <v>526</v>
      </c>
      <c r="AB20">
        <v>168.31</v>
      </c>
      <c r="AC20">
        <v>11023</v>
      </c>
      <c r="AD20">
        <v>3527.13</v>
      </c>
      <c r="AE20">
        <v>4316</v>
      </c>
      <c r="AF20">
        <v>1381.03</v>
      </c>
      <c r="AG20">
        <v>3125200</v>
      </c>
      <c r="AH20">
        <v>6301</v>
      </c>
      <c r="AI20">
        <v>2016.19</v>
      </c>
      <c r="AJ20">
        <v>406</v>
      </c>
      <c r="AK20">
        <v>129.91</v>
      </c>
      <c r="AL20">
        <v>1617</v>
      </c>
      <c r="AM20">
        <v>517.41</v>
      </c>
      <c r="AN20">
        <v>14161</v>
      </c>
      <c r="AO20">
        <v>4531.2299999999996</v>
      </c>
      <c r="AP20">
        <v>11584</v>
      </c>
      <c r="AQ20">
        <v>3706.64</v>
      </c>
      <c r="AR20">
        <v>36768</v>
      </c>
      <c r="AS20">
        <v>11765.01</v>
      </c>
      <c r="AT20">
        <v>208</v>
      </c>
      <c r="AU20">
        <v>66.56</v>
      </c>
    </row>
    <row r="21" spans="1:47" x14ac:dyDescent="0.2">
      <c r="A21" s="235" t="s">
        <v>621</v>
      </c>
      <c r="B21">
        <v>255</v>
      </c>
      <c r="C21">
        <v>4.5599999999999996</v>
      </c>
      <c r="D21">
        <v>7164</v>
      </c>
      <c r="E21">
        <v>127.98</v>
      </c>
      <c r="F21">
        <v>182933</v>
      </c>
      <c r="G21">
        <v>3267.99</v>
      </c>
      <c r="H21">
        <v>73288</v>
      </c>
      <c r="I21">
        <v>1309.25</v>
      </c>
      <c r="J21">
        <v>55977200</v>
      </c>
      <c r="K21">
        <v>106301</v>
      </c>
      <c r="L21">
        <v>1899.01</v>
      </c>
      <c r="M21">
        <v>3334</v>
      </c>
      <c r="N21">
        <v>59.56</v>
      </c>
      <c r="O21">
        <v>29598</v>
      </c>
      <c r="P21">
        <v>528.75</v>
      </c>
      <c r="Q21">
        <v>231222</v>
      </c>
      <c r="R21">
        <v>4130.6499999999996</v>
      </c>
      <c r="S21">
        <v>155105</v>
      </c>
      <c r="T21">
        <v>2770.86</v>
      </c>
      <c r="U21">
        <v>576532</v>
      </c>
      <c r="V21">
        <v>10299.41</v>
      </c>
      <c r="W21">
        <v>3143</v>
      </c>
      <c r="X21">
        <v>56.15</v>
      </c>
      <c r="Y21">
        <v>20</v>
      </c>
      <c r="Z21">
        <v>6.37</v>
      </c>
      <c r="AA21">
        <v>396</v>
      </c>
      <c r="AB21">
        <v>126.17</v>
      </c>
      <c r="AC21">
        <v>12911</v>
      </c>
      <c r="AD21">
        <v>4113.62</v>
      </c>
      <c r="AE21">
        <v>4392</v>
      </c>
      <c r="AF21">
        <v>1399.35</v>
      </c>
      <c r="AG21">
        <v>3138600</v>
      </c>
      <c r="AH21">
        <v>8184</v>
      </c>
      <c r="AI21">
        <v>2607.5300000000002</v>
      </c>
      <c r="AJ21">
        <v>335</v>
      </c>
      <c r="AK21">
        <v>106.74</v>
      </c>
      <c r="AL21">
        <v>1555</v>
      </c>
      <c r="AM21">
        <v>495.44</v>
      </c>
      <c r="AN21">
        <v>14485</v>
      </c>
      <c r="AO21">
        <v>4615.12</v>
      </c>
      <c r="AP21">
        <v>9278</v>
      </c>
      <c r="AQ21">
        <v>2956.1</v>
      </c>
      <c r="AR21">
        <v>36674</v>
      </c>
      <c r="AS21">
        <v>11684.83</v>
      </c>
      <c r="AT21">
        <v>184</v>
      </c>
      <c r="AU21">
        <v>58.62</v>
      </c>
    </row>
    <row r="22" spans="1:47" x14ac:dyDescent="0.2">
      <c r="A22" s="235" t="s">
        <v>1419</v>
      </c>
      <c r="B22">
        <v>245</v>
      </c>
      <c r="C22">
        <v>4.3499999999999996</v>
      </c>
      <c r="D22">
        <v>6933</v>
      </c>
      <c r="E22">
        <v>123.17</v>
      </c>
      <c r="F22">
        <v>154180</v>
      </c>
      <c r="G22">
        <v>2739.18</v>
      </c>
      <c r="H22">
        <v>68771</v>
      </c>
      <c r="I22">
        <v>1221.79</v>
      </c>
      <c r="J22">
        <v>56287000</v>
      </c>
      <c r="K22">
        <v>82265</v>
      </c>
      <c r="L22">
        <v>1461.53</v>
      </c>
      <c r="M22">
        <v>3144</v>
      </c>
      <c r="N22">
        <v>55.86</v>
      </c>
      <c r="O22">
        <v>28499</v>
      </c>
      <c r="P22">
        <v>506.32</v>
      </c>
      <c r="Q22">
        <v>231630</v>
      </c>
      <c r="R22">
        <v>4115.16</v>
      </c>
      <c r="S22">
        <v>164736</v>
      </c>
      <c r="T22">
        <v>2926.71</v>
      </c>
      <c r="U22">
        <v>558013</v>
      </c>
      <c r="V22">
        <v>9913.7099999999991</v>
      </c>
      <c r="W22">
        <v>2977</v>
      </c>
      <c r="X22">
        <v>52.89</v>
      </c>
      <c r="Y22">
        <v>16</v>
      </c>
      <c r="Z22">
        <v>5.07</v>
      </c>
      <c r="AA22">
        <v>509</v>
      </c>
      <c r="AB22">
        <v>161.44</v>
      </c>
      <c r="AC22">
        <v>10587</v>
      </c>
      <c r="AD22">
        <v>3357.86</v>
      </c>
      <c r="AE22">
        <v>4279</v>
      </c>
      <c r="AF22">
        <v>1357.16</v>
      </c>
      <c r="AG22">
        <v>3152900</v>
      </c>
      <c r="AH22">
        <v>5978</v>
      </c>
      <c r="AI22">
        <v>1896.03</v>
      </c>
      <c r="AJ22">
        <v>330</v>
      </c>
      <c r="AK22">
        <v>104.67</v>
      </c>
      <c r="AL22">
        <v>1628</v>
      </c>
      <c r="AM22">
        <v>516.35</v>
      </c>
      <c r="AN22">
        <v>14281</v>
      </c>
      <c r="AO22">
        <v>4529.4799999999996</v>
      </c>
      <c r="AP22">
        <v>10125</v>
      </c>
      <c r="AQ22">
        <v>3211.33</v>
      </c>
      <c r="AR22">
        <v>34993</v>
      </c>
      <c r="AS22">
        <v>11098.67</v>
      </c>
      <c r="AT22">
        <v>199</v>
      </c>
      <c r="AU22">
        <v>63.12</v>
      </c>
    </row>
    <row r="23" spans="1:47" x14ac:dyDescent="0.2">
      <c r="A23" s="235" t="s">
        <v>1572</v>
      </c>
      <c r="B23">
        <v>240</v>
      </c>
      <c r="C23">
        <v>4.24</v>
      </c>
      <c r="D23">
        <v>6347</v>
      </c>
      <c r="E23">
        <v>112.24</v>
      </c>
      <c r="F23">
        <v>151086</v>
      </c>
      <c r="G23">
        <v>2671.72</v>
      </c>
      <c r="H23">
        <v>61912</v>
      </c>
      <c r="I23">
        <v>1094.82</v>
      </c>
      <c r="J23">
        <v>56550000</v>
      </c>
      <c r="K23">
        <v>86069</v>
      </c>
      <c r="L23">
        <v>1522</v>
      </c>
      <c r="M23">
        <v>3105</v>
      </c>
      <c r="N23">
        <v>54.91</v>
      </c>
      <c r="O23">
        <v>27021</v>
      </c>
      <c r="P23">
        <v>477.82</v>
      </c>
      <c r="Q23">
        <v>216149</v>
      </c>
      <c r="R23">
        <v>3822.26</v>
      </c>
      <c r="S23">
        <v>144348</v>
      </c>
      <c r="T23">
        <v>2552.5700000000002</v>
      </c>
      <c r="U23">
        <v>518263</v>
      </c>
      <c r="V23">
        <v>9164.69</v>
      </c>
      <c r="W23">
        <v>2603</v>
      </c>
      <c r="X23">
        <v>46.03</v>
      </c>
      <c r="Y23">
        <v>21</v>
      </c>
      <c r="Z23">
        <v>6.63</v>
      </c>
      <c r="AA23">
        <v>408</v>
      </c>
      <c r="AB23">
        <v>128.72</v>
      </c>
      <c r="AC23">
        <v>10328</v>
      </c>
      <c r="AD23">
        <v>3258.46</v>
      </c>
      <c r="AE23">
        <v>3796</v>
      </c>
      <c r="AF23">
        <v>1197.6300000000001</v>
      </c>
      <c r="AG23">
        <v>3169600</v>
      </c>
      <c r="AH23">
        <v>6199</v>
      </c>
      <c r="AI23">
        <v>1955.77</v>
      </c>
      <c r="AJ23">
        <v>333</v>
      </c>
      <c r="AK23">
        <v>105.06</v>
      </c>
      <c r="AL23">
        <v>1501</v>
      </c>
      <c r="AM23">
        <v>473.56</v>
      </c>
      <c r="AN23">
        <v>14880</v>
      </c>
      <c r="AO23">
        <v>4694.6000000000004</v>
      </c>
      <c r="AP23">
        <v>7020</v>
      </c>
      <c r="AQ23">
        <v>2214.79</v>
      </c>
      <c r="AR23">
        <v>32228</v>
      </c>
      <c r="AS23">
        <v>10167.84</v>
      </c>
      <c r="AT23">
        <v>130</v>
      </c>
      <c r="AU23">
        <v>41.01</v>
      </c>
    </row>
    <row r="24" spans="1:47" x14ac:dyDescent="0.2">
      <c r="A24" s="235" t="s">
        <v>333</v>
      </c>
      <c r="B24">
        <v>6596</v>
      </c>
      <c r="C24">
        <v>125.83</v>
      </c>
      <c r="D24">
        <v>185317</v>
      </c>
      <c r="E24">
        <v>3542.44</v>
      </c>
      <c r="F24">
        <v>5029928</v>
      </c>
      <c r="G24">
        <v>96790.52999999997</v>
      </c>
      <c r="H24">
        <v>2094745</v>
      </c>
      <c r="I24">
        <v>40265.89</v>
      </c>
      <c r="J24">
        <v>1058127500</v>
      </c>
      <c r="K24">
        <v>2818885</v>
      </c>
      <c r="L24">
        <v>54301.180000000008</v>
      </c>
      <c r="M24">
        <v>116288</v>
      </c>
      <c r="N24">
        <v>2223.3200000000002</v>
      </c>
      <c r="O24">
        <v>756904</v>
      </c>
      <c r="P24">
        <v>14463.16</v>
      </c>
      <c r="Q24">
        <v>5683644</v>
      </c>
      <c r="R24">
        <v>108634.38999999998</v>
      </c>
      <c r="S24">
        <v>1719106</v>
      </c>
      <c r="T24">
        <v>31497.33</v>
      </c>
      <c r="U24">
        <v>13822723</v>
      </c>
      <c r="V24">
        <v>264332.13999999996</v>
      </c>
      <c r="W24">
        <v>98399</v>
      </c>
      <c r="X24">
        <v>1894.3799999999997</v>
      </c>
      <c r="Y24">
        <v>443</v>
      </c>
      <c r="Z24">
        <v>146.26999999999998</v>
      </c>
      <c r="AA24">
        <v>12635</v>
      </c>
      <c r="AB24">
        <v>4172.45</v>
      </c>
      <c r="AC24">
        <v>388095</v>
      </c>
      <c r="AD24">
        <v>128884.98999999999</v>
      </c>
      <c r="AE24">
        <v>137680</v>
      </c>
      <c r="AF24">
        <v>45682.850000000006</v>
      </c>
      <c r="AG24">
        <v>60915200</v>
      </c>
      <c r="AH24">
        <v>238368</v>
      </c>
      <c r="AI24">
        <v>79221.780000000013</v>
      </c>
      <c r="AJ24">
        <v>12047</v>
      </c>
      <c r="AK24">
        <v>3980.3599999999997</v>
      </c>
      <c r="AL24">
        <v>42869</v>
      </c>
      <c r="AM24">
        <v>14159.5</v>
      </c>
      <c r="AN24">
        <v>335686</v>
      </c>
      <c r="AO24">
        <v>110596.12999999999</v>
      </c>
      <c r="AP24">
        <v>192025</v>
      </c>
      <c r="AQ24">
        <v>63049.96</v>
      </c>
      <c r="AR24">
        <v>915806</v>
      </c>
      <c r="AS24">
        <v>302531.07</v>
      </c>
      <c r="AT24">
        <v>2637</v>
      </c>
      <c r="AU24">
        <v>852.3599999999999</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20">
    <tabColor theme="5" tint="0.39997558519241921"/>
    <pageSetUpPr fitToPage="1"/>
  </sheetPr>
  <dimension ref="A1:O74"/>
  <sheetViews>
    <sheetView showGridLines="0" zoomScaleNormal="100" workbookViewId="0">
      <pane ySplit="2" topLeftCell="A3" activePane="bottomLeft" state="frozen"/>
      <selection activeCell="F59" sqref="F59"/>
      <selection pane="bottomLeft"/>
    </sheetView>
  </sheetViews>
  <sheetFormatPr defaultRowHeight="12.75" x14ac:dyDescent="0.2"/>
  <cols>
    <col min="1" max="1" width="35" customWidth="1"/>
    <col min="2" max="7" width="19.42578125" customWidth="1"/>
    <col min="9" max="9" width="19.5703125" customWidth="1"/>
    <col min="245" max="245" width="11.7109375" customWidth="1"/>
    <col min="246" max="247" width="10.85546875" customWidth="1"/>
    <col min="249" max="250" width="11.7109375" customWidth="1"/>
    <col min="252" max="253" width="11" customWidth="1"/>
    <col min="501" max="501" width="11.7109375" customWidth="1"/>
    <col min="502" max="503" width="10.85546875" customWidth="1"/>
    <col min="505" max="506" width="11.7109375" customWidth="1"/>
    <col min="508" max="509" width="11" customWidth="1"/>
    <col min="757" max="757" width="11.7109375" customWidth="1"/>
    <col min="758" max="759" width="10.85546875" customWidth="1"/>
    <col min="761" max="762" width="11.7109375" customWidth="1"/>
    <col min="764" max="765" width="11" customWidth="1"/>
    <col min="1013" max="1013" width="11.7109375" customWidth="1"/>
    <col min="1014" max="1015" width="10.85546875" customWidth="1"/>
    <col min="1017" max="1018" width="11.7109375" customWidth="1"/>
    <col min="1020" max="1021" width="11" customWidth="1"/>
    <col min="1269" max="1269" width="11.7109375" customWidth="1"/>
    <col min="1270" max="1271" width="10.85546875" customWidth="1"/>
    <col min="1273" max="1274" width="11.7109375" customWidth="1"/>
    <col min="1276" max="1277" width="11" customWidth="1"/>
    <col min="1525" max="1525" width="11.7109375" customWidth="1"/>
    <col min="1526" max="1527" width="10.85546875" customWidth="1"/>
    <col min="1529" max="1530" width="11.7109375" customWidth="1"/>
    <col min="1532" max="1533" width="11" customWidth="1"/>
    <col min="1781" max="1781" width="11.7109375" customWidth="1"/>
    <col min="1782" max="1783" width="10.85546875" customWidth="1"/>
    <col min="1785" max="1786" width="11.7109375" customWidth="1"/>
    <col min="1788" max="1789" width="11" customWidth="1"/>
    <col min="2037" max="2037" width="11.7109375" customWidth="1"/>
    <col min="2038" max="2039" width="10.85546875" customWidth="1"/>
    <col min="2041" max="2042" width="11.7109375" customWidth="1"/>
    <col min="2044" max="2045" width="11" customWidth="1"/>
    <col min="2293" max="2293" width="11.7109375" customWidth="1"/>
    <col min="2294" max="2295" width="10.85546875" customWidth="1"/>
    <col min="2297" max="2298" width="11.7109375" customWidth="1"/>
    <col min="2300" max="2301" width="11" customWidth="1"/>
    <col min="2549" max="2549" width="11.7109375" customWidth="1"/>
    <col min="2550" max="2551" width="10.85546875" customWidth="1"/>
    <col min="2553" max="2554" width="11.7109375" customWidth="1"/>
    <col min="2556" max="2557" width="11" customWidth="1"/>
    <col min="2805" max="2805" width="11.7109375" customWidth="1"/>
    <col min="2806" max="2807" width="10.85546875" customWidth="1"/>
    <col min="2809" max="2810" width="11.7109375" customWidth="1"/>
    <col min="2812" max="2813" width="11" customWidth="1"/>
    <col min="3061" max="3061" width="11.7109375" customWidth="1"/>
    <col min="3062" max="3063" width="10.85546875" customWidth="1"/>
    <col min="3065" max="3066" width="11.7109375" customWidth="1"/>
    <col min="3068" max="3069" width="11" customWidth="1"/>
    <col min="3317" max="3317" width="11.7109375" customWidth="1"/>
    <col min="3318" max="3319" width="10.85546875" customWidth="1"/>
    <col min="3321" max="3322" width="11.7109375" customWidth="1"/>
    <col min="3324" max="3325" width="11" customWidth="1"/>
    <col min="3573" max="3573" width="11.7109375" customWidth="1"/>
    <col min="3574" max="3575" width="10.85546875" customWidth="1"/>
    <col min="3577" max="3578" width="11.7109375" customWidth="1"/>
    <col min="3580" max="3581" width="11" customWidth="1"/>
    <col min="3829" max="3829" width="11.7109375" customWidth="1"/>
    <col min="3830" max="3831" width="10.85546875" customWidth="1"/>
    <col min="3833" max="3834" width="11.7109375" customWidth="1"/>
    <col min="3836" max="3837" width="11" customWidth="1"/>
    <col min="4085" max="4085" width="11.7109375" customWidth="1"/>
    <col min="4086" max="4087" width="10.85546875" customWidth="1"/>
    <col min="4089" max="4090" width="11.7109375" customWidth="1"/>
    <col min="4092" max="4093" width="11" customWidth="1"/>
    <col min="4341" max="4341" width="11.7109375" customWidth="1"/>
    <col min="4342" max="4343" width="10.85546875" customWidth="1"/>
    <col min="4345" max="4346" width="11.7109375" customWidth="1"/>
    <col min="4348" max="4349" width="11" customWidth="1"/>
    <col min="4597" max="4597" width="11.7109375" customWidth="1"/>
    <col min="4598" max="4599" width="10.85546875" customWidth="1"/>
    <col min="4601" max="4602" width="11.7109375" customWidth="1"/>
    <col min="4604" max="4605" width="11" customWidth="1"/>
    <col min="4853" max="4853" width="11.7109375" customWidth="1"/>
    <col min="4854" max="4855" width="10.85546875" customWidth="1"/>
    <col min="4857" max="4858" width="11.7109375" customWidth="1"/>
    <col min="4860" max="4861" width="11" customWidth="1"/>
    <col min="5109" max="5109" width="11.7109375" customWidth="1"/>
    <col min="5110" max="5111" width="10.85546875" customWidth="1"/>
    <col min="5113" max="5114" width="11.7109375" customWidth="1"/>
    <col min="5116" max="5117" width="11" customWidth="1"/>
    <col min="5365" max="5365" width="11.7109375" customWidth="1"/>
    <col min="5366" max="5367" width="10.85546875" customWidth="1"/>
    <col min="5369" max="5370" width="11.7109375" customWidth="1"/>
    <col min="5372" max="5373" width="11" customWidth="1"/>
    <col min="5621" max="5621" width="11.7109375" customWidth="1"/>
    <col min="5622" max="5623" width="10.85546875" customWidth="1"/>
    <col min="5625" max="5626" width="11.7109375" customWidth="1"/>
    <col min="5628" max="5629" width="11" customWidth="1"/>
    <col min="5877" max="5877" width="11.7109375" customWidth="1"/>
    <col min="5878" max="5879" width="10.85546875" customWidth="1"/>
    <col min="5881" max="5882" width="11.7109375" customWidth="1"/>
    <col min="5884" max="5885" width="11" customWidth="1"/>
    <col min="6133" max="6133" width="11.7109375" customWidth="1"/>
    <col min="6134" max="6135" width="10.85546875" customWidth="1"/>
    <col min="6137" max="6138" width="11.7109375" customWidth="1"/>
    <col min="6140" max="6141" width="11" customWidth="1"/>
    <col min="6389" max="6389" width="11.7109375" customWidth="1"/>
    <col min="6390" max="6391" width="10.85546875" customWidth="1"/>
    <col min="6393" max="6394" width="11.7109375" customWidth="1"/>
    <col min="6396" max="6397" width="11" customWidth="1"/>
    <col min="6645" max="6645" width="11.7109375" customWidth="1"/>
    <col min="6646" max="6647" width="10.85546875" customWidth="1"/>
    <col min="6649" max="6650" width="11.7109375" customWidth="1"/>
    <col min="6652" max="6653" width="11" customWidth="1"/>
    <col min="6901" max="6901" width="11.7109375" customWidth="1"/>
    <col min="6902" max="6903" width="10.85546875" customWidth="1"/>
    <col min="6905" max="6906" width="11.7109375" customWidth="1"/>
    <col min="6908" max="6909" width="11" customWidth="1"/>
    <col min="7157" max="7157" width="11.7109375" customWidth="1"/>
    <col min="7158" max="7159" width="10.85546875" customWidth="1"/>
    <col min="7161" max="7162" width="11.7109375" customWidth="1"/>
    <col min="7164" max="7165" width="11" customWidth="1"/>
    <col min="7413" max="7413" width="11.7109375" customWidth="1"/>
    <col min="7414" max="7415" width="10.85546875" customWidth="1"/>
    <col min="7417" max="7418" width="11.7109375" customWidth="1"/>
    <col min="7420" max="7421" width="11" customWidth="1"/>
    <col min="7669" max="7669" width="11.7109375" customWidth="1"/>
    <col min="7670" max="7671" width="10.85546875" customWidth="1"/>
    <col min="7673" max="7674" width="11.7109375" customWidth="1"/>
    <col min="7676" max="7677" width="11" customWidth="1"/>
    <col min="7925" max="7925" width="11.7109375" customWidth="1"/>
    <col min="7926" max="7927" width="10.85546875" customWidth="1"/>
    <col min="7929" max="7930" width="11.7109375" customWidth="1"/>
    <col min="7932" max="7933" width="11" customWidth="1"/>
    <col min="8181" max="8181" width="11.7109375" customWidth="1"/>
    <col min="8182" max="8183" width="10.85546875" customWidth="1"/>
    <col min="8185" max="8186" width="11.7109375" customWidth="1"/>
    <col min="8188" max="8189" width="11" customWidth="1"/>
    <col min="8437" max="8437" width="11.7109375" customWidth="1"/>
    <col min="8438" max="8439" width="10.85546875" customWidth="1"/>
    <col min="8441" max="8442" width="11.7109375" customWidth="1"/>
    <col min="8444" max="8445" width="11" customWidth="1"/>
    <col min="8693" max="8693" width="11.7109375" customWidth="1"/>
    <col min="8694" max="8695" width="10.85546875" customWidth="1"/>
    <col min="8697" max="8698" width="11.7109375" customWidth="1"/>
    <col min="8700" max="8701" width="11" customWidth="1"/>
    <col min="8949" max="8949" width="11.7109375" customWidth="1"/>
    <col min="8950" max="8951" width="10.85546875" customWidth="1"/>
    <col min="8953" max="8954" width="11.7109375" customWidth="1"/>
    <col min="8956" max="8957" width="11" customWidth="1"/>
    <col min="9205" max="9205" width="11.7109375" customWidth="1"/>
    <col min="9206" max="9207" width="10.85546875" customWidth="1"/>
    <col min="9209" max="9210" width="11.7109375" customWidth="1"/>
    <col min="9212" max="9213" width="11" customWidth="1"/>
    <col min="9461" max="9461" width="11.7109375" customWidth="1"/>
    <col min="9462" max="9463" width="10.85546875" customWidth="1"/>
    <col min="9465" max="9466" width="11.7109375" customWidth="1"/>
    <col min="9468" max="9469" width="11" customWidth="1"/>
    <col min="9717" max="9717" width="11.7109375" customWidth="1"/>
    <col min="9718" max="9719" width="10.85546875" customWidth="1"/>
    <col min="9721" max="9722" width="11.7109375" customWidth="1"/>
    <col min="9724" max="9725" width="11" customWidth="1"/>
    <col min="9973" max="9973" width="11.7109375" customWidth="1"/>
    <col min="9974" max="9975" width="10.85546875" customWidth="1"/>
    <col min="9977" max="9978" width="11.7109375" customWidth="1"/>
    <col min="9980" max="9981" width="11" customWidth="1"/>
    <col min="10229" max="10229" width="11.7109375" customWidth="1"/>
    <col min="10230" max="10231" width="10.85546875" customWidth="1"/>
    <col min="10233" max="10234" width="11.7109375" customWidth="1"/>
    <col min="10236" max="10237" width="11" customWidth="1"/>
    <col min="10485" max="10485" width="11.7109375" customWidth="1"/>
    <col min="10486" max="10487" width="10.85546875" customWidth="1"/>
    <col min="10489" max="10490" width="11.7109375" customWidth="1"/>
    <col min="10492" max="10493" width="11" customWidth="1"/>
    <col min="10741" max="10741" width="11.7109375" customWidth="1"/>
    <col min="10742" max="10743" width="10.85546875" customWidth="1"/>
    <col min="10745" max="10746" width="11.7109375" customWidth="1"/>
    <col min="10748" max="10749" width="11" customWidth="1"/>
    <col min="10997" max="10997" width="11.7109375" customWidth="1"/>
    <col min="10998" max="10999" width="10.85546875" customWidth="1"/>
    <col min="11001" max="11002" width="11.7109375" customWidth="1"/>
    <col min="11004" max="11005" width="11" customWidth="1"/>
    <col min="11253" max="11253" width="11.7109375" customWidth="1"/>
    <col min="11254" max="11255" width="10.85546875" customWidth="1"/>
    <col min="11257" max="11258" width="11.7109375" customWidth="1"/>
    <col min="11260" max="11261" width="11" customWidth="1"/>
    <col min="11509" max="11509" width="11.7109375" customWidth="1"/>
    <col min="11510" max="11511" width="10.85546875" customWidth="1"/>
    <col min="11513" max="11514" width="11.7109375" customWidth="1"/>
    <col min="11516" max="11517" width="11" customWidth="1"/>
    <col min="11765" max="11765" width="11.7109375" customWidth="1"/>
    <col min="11766" max="11767" width="10.85546875" customWidth="1"/>
    <col min="11769" max="11770" width="11.7109375" customWidth="1"/>
    <col min="11772" max="11773" width="11" customWidth="1"/>
    <col min="12021" max="12021" width="11.7109375" customWidth="1"/>
    <col min="12022" max="12023" width="10.85546875" customWidth="1"/>
    <col min="12025" max="12026" width="11.7109375" customWidth="1"/>
    <col min="12028" max="12029" width="11" customWidth="1"/>
    <col min="12277" max="12277" width="11.7109375" customWidth="1"/>
    <col min="12278" max="12279" width="10.85546875" customWidth="1"/>
    <col min="12281" max="12282" width="11.7109375" customWidth="1"/>
    <col min="12284" max="12285" width="11" customWidth="1"/>
    <col min="12533" max="12533" width="11.7109375" customWidth="1"/>
    <col min="12534" max="12535" width="10.85546875" customWidth="1"/>
    <col min="12537" max="12538" width="11.7109375" customWidth="1"/>
    <col min="12540" max="12541" width="11" customWidth="1"/>
    <col min="12789" max="12789" width="11.7109375" customWidth="1"/>
    <col min="12790" max="12791" width="10.85546875" customWidth="1"/>
    <col min="12793" max="12794" width="11.7109375" customWidth="1"/>
    <col min="12796" max="12797" width="11" customWidth="1"/>
    <col min="13045" max="13045" width="11.7109375" customWidth="1"/>
    <col min="13046" max="13047" width="10.85546875" customWidth="1"/>
    <col min="13049" max="13050" width="11.7109375" customWidth="1"/>
    <col min="13052" max="13053" width="11" customWidth="1"/>
    <col min="13301" max="13301" width="11.7109375" customWidth="1"/>
    <col min="13302" max="13303" width="10.85546875" customWidth="1"/>
    <col min="13305" max="13306" width="11.7109375" customWidth="1"/>
    <col min="13308" max="13309" width="11" customWidth="1"/>
    <col min="13557" max="13557" width="11.7109375" customWidth="1"/>
    <col min="13558" max="13559" width="10.85546875" customWidth="1"/>
    <col min="13561" max="13562" width="11.7109375" customWidth="1"/>
    <col min="13564" max="13565" width="11" customWidth="1"/>
    <col min="13813" max="13813" width="11.7109375" customWidth="1"/>
    <col min="13814" max="13815" width="10.85546875" customWidth="1"/>
    <col min="13817" max="13818" width="11.7109375" customWidth="1"/>
    <col min="13820" max="13821" width="11" customWidth="1"/>
    <col min="14069" max="14069" width="11.7109375" customWidth="1"/>
    <col min="14070" max="14071" width="10.85546875" customWidth="1"/>
    <col min="14073" max="14074" width="11.7109375" customWidth="1"/>
    <col min="14076" max="14077" width="11" customWidth="1"/>
    <col min="14325" max="14325" width="11.7109375" customWidth="1"/>
    <col min="14326" max="14327" width="10.85546875" customWidth="1"/>
    <col min="14329" max="14330" width="11.7109375" customWidth="1"/>
    <col min="14332" max="14333" width="11" customWidth="1"/>
    <col min="14581" max="14581" width="11.7109375" customWidth="1"/>
    <col min="14582" max="14583" width="10.85546875" customWidth="1"/>
    <col min="14585" max="14586" width="11.7109375" customWidth="1"/>
    <col min="14588" max="14589" width="11" customWidth="1"/>
    <col min="14837" max="14837" width="11.7109375" customWidth="1"/>
    <col min="14838" max="14839" width="10.85546875" customWidth="1"/>
    <col min="14841" max="14842" width="11.7109375" customWidth="1"/>
    <col min="14844" max="14845" width="11" customWidth="1"/>
    <col min="15093" max="15093" width="11.7109375" customWidth="1"/>
    <col min="15094" max="15095" width="10.85546875" customWidth="1"/>
    <col min="15097" max="15098" width="11.7109375" customWidth="1"/>
    <col min="15100" max="15101" width="11" customWidth="1"/>
    <col min="15349" max="15349" width="11.7109375" customWidth="1"/>
    <col min="15350" max="15351" width="10.85546875" customWidth="1"/>
    <col min="15353" max="15354" width="11.7109375" customWidth="1"/>
    <col min="15356" max="15357" width="11" customWidth="1"/>
    <col min="15605" max="15605" width="11.7109375" customWidth="1"/>
    <col min="15606" max="15607" width="10.85546875" customWidth="1"/>
    <col min="15609" max="15610" width="11.7109375" customWidth="1"/>
    <col min="15612" max="15613" width="11" customWidth="1"/>
    <col min="15861" max="15861" width="11.7109375" customWidth="1"/>
    <col min="15862" max="15863" width="10.85546875" customWidth="1"/>
    <col min="15865" max="15866" width="11.7109375" customWidth="1"/>
    <col min="15868" max="15869" width="11" customWidth="1"/>
    <col min="16117" max="16117" width="11.7109375" customWidth="1"/>
    <col min="16118" max="16119" width="10.85546875" customWidth="1"/>
    <col min="16121" max="16122" width="11.7109375" customWidth="1"/>
    <col min="16124" max="16125" width="11" customWidth="1"/>
  </cols>
  <sheetData>
    <row r="1" spans="1:9" ht="15.75" x14ac:dyDescent="0.2">
      <c r="A1" s="298" t="s">
        <v>627</v>
      </c>
    </row>
    <row r="2" spans="1:9" ht="18" customHeight="1" x14ac:dyDescent="0.2">
      <c r="A2" s="106" t="s">
        <v>578</v>
      </c>
    </row>
    <row r="3" spans="1:9" ht="38.25" customHeight="1" x14ac:dyDescent="0.2">
      <c r="A3" s="237" t="s">
        <v>1035</v>
      </c>
      <c r="B3" s="237"/>
      <c r="C3" s="237"/>
      <c r="D3" s="237"/>
      <c r="E3" s="237"/>
      <c r="F3" s="237"/>
      <c r="G3" s="237"/>
      <c r="H3" s="237"/>
      <c r="I3" s="237"/>
    </row>
    <row r="4" spans="1:9" ht="15" customHeight="1" x14ac:dyDescent="0.25">
      <c r="A4" s="351" t="s">
        <v>579</v>
      </c>
      <c r="B4" s="1109" t="s">
        <v>1570</v>
      </c>
      <c r="D4" s="371"/>
      <c r="E4" s="371"/>
      <c r="F4" s="371"/>
      <c r="G4" s="371"/>
      <c r="H4" s="371"/>
      <c r="I4" s="371"/>
    </row>
    <row r="5" spans="1:9" ht="15" customHeight="1" x14ac:dyDescent="0.25">
      <c r="A5" s="351" t="s">
        <v>580</v>
      </c>
      <c r="B5" s="351" t="s">
        <v>581</v>
      </c>
      <c r="C5" s="371"/>
      <c r="D5" s="371"/>
      <c r="E5" s="371"/>
      <c r="F5" s="371"/>
      <c r="G5" s="371"/>
      <c r="H5" s="371"/>
      <c r="I5" s="371"/>
    </row>
    <row r="6" spans="1:9" ht="15" customHeight="1" x14ac:dyDescent="0.25">
      <c r="A6" s="351" t="s">
        <v>582</v>
      </c>
      <c r="B6" s="351" t="s">
        <v>585</v>
      </c>
      <c r="C6" s="371"/>
      <c r="D6" s="371"/>
      <c r="E6" s="371"/>
      <c r="F6" s="371"/>
      <c r="G6" s="371"/>
      <c r="H6" s="371"/>
      <c r="I6" s="371"/>
    </row>
    <row r="7" spans="1:9" ht="25.5" customHeight="1" x14ac:dyDescent="0.25">
      <c r="B7" s="1312" t="s">
        <v>59</v>
      </c>
      <c r="C7" s="1312"/>
      <c r="D7" s="1312"/>
      <c r="E7" s="1312"/>
      <c r="F7" s="1312"/>
      <c r="G7" s="1312"/>
    </row>
    <row r="8" spans="1:9" ht="27" customHeight="1" x14ac:dyDescent="0.2">
      <c r="A8" s="572"/>
      <c r="B8" s="1430" t="s">
        <v>124</v>
      </c>
      <c r="C8" s="1431"/>
      <c r="D8" s="1430" t="s">
        <v>53</v>
      </c>
      <c r="E8" s="1431"/>
      <c r="F8" s="1430" t="s">
        <v>125</v>
      </c>
      <c r="G8" s="1431"/>
    </row>
    <row r="9" spans="1:9" ht="25.5" x14ac:dyDescent="0.2">
      <c r="A9" s="940" t="s">
        <v>4</v>
      </c>
      <c r="B9" s="570" t="s">
        <v>0</v>
      </c>
      <c r="C9" s="571" t="s">
        <v>96</v>
      </c>
      <c r="D9" s="570" t="s">
        <v>0</v>
      </c>
      <c r="E9" s="571" t="s">
        <v>96</v>
      </c>
      <c r="F9" s="570" t="s">
        <v>0</v>
      </c>
      <c r="G9" s="571" t="s">
        <v>96</v>
      </c>
    </row>
    <row r="10" spans="1:9" ht="15" customHeight="1" x14ac:dyDescent="0.2">
      <c r="A10" s="438" t="str">
        <f>T_10!A4</f>
        <v>2001-02</v>
      </c>
      <c r="B10" s="926">
        <f>T_10!B4</f>
        <v>458</v>
      </c>
      <c r="C10" s="573">
        <f>T_10!C4</f>
        <v>9.26</v>
      </c>
      <c r="D10" s="926">
        <f>'Casualties Timeseries'!H21</f>
        <v>87</v>
      </c>
      <c r="E10" s="573">
        <f>D10/PopulationOtherArea!I9*1000000</f>
        <v>17.179416294775088</v>
      </c>
      <c r="F10" s="926">
        <f>T_10!Y4</f>
        <v>38</v>
      </c>
      <c r="G10" s="573">
        <f>T_10!Z4</f>
        <v>13.06</v>
      </c>
    </row>
    <row r="11" spans="1:9" ht="15" customHeight="1" x14ac:dyDescent="0.2">
      <c r="A11" s="438" t="str">
        <f>T_10!A5</f>
        <v>2002-03</v>
      </c>
      <c r="B11" s="926">
        <f>T_10!B5</f>
        <v>417</v>
      </c>
      <c r="C11" s="573">
        <f>T_10!C5</f>
        <v>8.39</v>
      </c>
      <c r="D11" s="926">
        <f>'Casualties Timeseries'!H22</f>
        <v>80</v>
      </c>
      <c r="E11" s="573">
        <f>D11/PopulationOtherArea!I10*1000000</f>
        <v>15.791551519936835</v>
      </c>
      <c r="F11" s="926">
        <f>T_10!Y5</f>
        <v>25</v>
      </c>
      <c r="G11" s="573">
        <f>T_10!Z5</f>
        <v>8.5500000000000007</v>
      </c>
    </row>
    <row r="12" spans="1:9" ht="15" customHeight="1" x14ac:dyDescent="0.2">
      <c r="A12" s="438" t="str">
        <f>T_10!A6</f>
        <v>2003-04</v>
      </c>
      <c r="B12" s="926">
        <f>T_10!B6</f>
        <v>454</v>
      </c>
      <c r="C12" s="573">
        <f>T_10!C6</f>
        <v>9.09</v>
      </c>
      <c r="D12" s="926">
        <f>'Casualties Timeseries'!H23</f>
        <v>89</v>
      </c>
      <c r="E12" s="573">
        <f>D12/PopulationOtherArea!I11*1000000</f>
        <v>17.559435730492254</v>
      </c>
      <c r="F12" s="926">
        <f>T_10!Y6</f>
        <v>33</v>
      </c>
      <c r="G12" s="573">
        <f>T_10!Z6</f>
        <v>11.23</v>
      </c>
    </row>
    <row r="13" spans="1:9" ht="15" customHeight="1" x14ac:dyDescent="0.2">
      <c r="A13" s="438" t="str">
        <f>T_10!A7</f>
        <v>2004-05</v>
      </c>
      <c r="B13" s="926">
        <f>T_10!B7</f>
        <v>371</v>
      </c>
      <c r="C13" s="573">
        <f>T_10!C7</f>
        <v>7.39</v>
      </c>
      <c r="D13" s="926">
        <f>'Casualties Timeseries'!H24</f>
        <v>85</v>
      </c>
      <c r="E13" s="573">
        <f>D13/PopulationOtherArea!I12*1000000</f>
        <v>16.718132289597389</v>
      </c>
      <c r="F13" s="926">
        <f>T_10!Y7</f>
        <v>27</v>
      </c>
      <c r="G13" s="573">
        <f>T_10!Z7</f>
        <v>9.1300000000000008</v>
      </c>
    </row>
    <row r="14" spans="1:9" ht="15" customHeight="1" x14ac:dyDescent="0.2">
      <c r="A14" s="438" t="str">
        <f>T_10!A8</f>
        <v>2005-06</v>
      </c>
      <c r="B14" s="926">
        <f>T_10!B8</f>
        <v>386</v>
      </c>
      <c r="C14" s="573">
        <f>T_10!C8</f>
        <v>7.63</v>
      </c>
      <c r="D14" s="926">
        <f>'Casualties Timeseries'!H25</f>
        <v>60</v>
      </c>
      <c r="E14" s="573">
        <f>D14/PopulationOtherArea!I13*1000000</f>
        <v>11.741223435481977</v>
      </c>
      <c r="F14" s="926">
        <f>T_10!Y8</f>
        <v>24</v>
      </c>
      <c r="G14" s="573">
        <f>T_10!Z8</f>
        <v>8.08</v>
      </c>
    </row>
    <row r="15" spans="1:9" ht="15" customHeight="1" x14ac:dyDescent="0.2">
      <c r="A15" s="117" t="str">
        <f>T_10!A9</f>
        <v>2006-07</v>
      </c>
      <c r="B15" s="926">
        <f>T_10!B9</f>
        <v>364</v>
      </c>
      <c r="C15" s="573">
        <f>T_10!C9</f>
        <v>7.14</v>
      </c>
      <c r="D15" s="926">
        <f>'Casualties Timeseries'!H26</f>
        <v>46</v>
      </c>
      <c r="E15" s="573">
        <f>D15/PopulationOtherArea!I14*1000000</f>
        <v>8.9616208844730174</v>
      </c>
      <c r="F15" s="926">
        <f>T_10!Y9</f>
        <v>20</v>
      </c>
      <c r="G15" s="573">
        <f>T_10!Z9</f>
        <v>6.7</v>
      </c>
    </row>
    <row r="16" spans="1:9" ht="15" customHeight="1" x14ac:dyDescent="0.2">
      <c r="A16" s="438" t="str">
        <f>T_10!A10</f>
        <v>2007-08</v>
      </c>
      <c r="B16" s="926">
        <f>T_10!B10</f>
        <v>358</v>
      </c>
      <c r="C16" s="573">
        <f>T_10!C10</f>
        <v>6.97</v>
      </c>
      <c r="D16" s="926">
        <f>'Casualties Timeseries'!H27</f>
        <v>72</v>
      </c>
      <c r="E16" s="573">
        <f>D16/PopulationOtherArea!I15*1000000</f>
        <v>13.926499032882012</v>
      </c>
      <c r="F16" s="926">
        <f>T_10!Y10</f>
        <v>28</v>
      </c>
      <c r="G16" s="573">
        <f>T_10!Z10</f>
        <v>9.31</v>
      </c>
    </row>
    <row r="17" spans="1:7" ht="15" customHeight="1" x14ac:dyDescent="0.2">
      <c r="A17" s="438" t="str">
        <f>T_10!A11</f>
        <v>2008-09</v>
      </c>
      <c r="B17" s="926">
        <f>T_10!B11</f>
        <v>323</v>
      </c>
      <c r="C17" s="573">
        <f>T_10!C11</f>
        <v>6.23</v>
      </c>
      <c r="D17" s="926">
        <f>'Casualties Timeseries'!H28</f>
        <v>64</v>
      </c>
      <c r="E17" s="573">
        <f>D17/PopulationOtherArea!I16*1000000</f>
        <v>12.300832228180438</v>
      </c>
      <c r="F17" s="926">
        <f>T_10!Y11</f>
        <v>17</v>
      </c>
      <c r="G17" s="573">
        <f>T_10!Z11</f>
        <v>5.62</v>
      </c>
    </row>
    <row r="18" spans="1:7" ht="15" customHeight="1" x14ac:dyDescent="0.2">
      <c r="A18" s="274" t="str">
        <f>T_10!A12</f>
        <v>2009-10</v>
      </c>
      <c r="B18" s="926">
        <f>T_10!B12</f>
        <v>340</v>
      </c>
      <c r="C18" s="573">
        <f>T_10!C12</f>
        <v>6.51</v>
      </c>
      <c r="D18" s="926">
        <f>'Casualties Timeseries'!H29</f>
        <v>62</v>
      </c>
      <c r="E18" s="573">
        <f>D18/PopulationOtherArea!I17*1000000</f>
        <v>11.850379403276056</v>
      </c>
      <c r="F18" s="926">
        <f>T_10!Y12</f>
        <v>23</v>
      </c>
      <c r="G18" s="573">
        <f>T_10!Z12</f>
        <v>7.57</v>
      </c>
    </row>
    <row r="19" spans="1:7" ht="15" customHeight="1" x14ac:dyDescent="0.2">
      <c r="A19" s="274" t="str">
        <f>T_10!A13</f>
        <v>2010-11</v>
      </c>
      <c r="B19" s="926">
        <f>T_10!B13</f>
        <v>335</v>
      </c>
      <c r="C19" s="573">
        <f>T_10!C13</f>
        <v>6.36</v>
      </c>
      <c r="D19" s="926">
        <f>'Casualties Timeseries'!H30</f>
        <v>52</v>
      </c>
      <c r="E19" s="573">
        <f>D19/PopulationOtherArea!I18*1000000</f>
        <v>9.8817984873246925</v>
      </c>
      <c r="F19" s="926">
        <f>T_10!Y13</f>
        <v>21</v>
      </c>
      <c r="G19" s="573">
        <f>T_10!Z13</f>
        <v>6.89</v>
      </c>
    </row>
    <row r="20" spans="1:7" ht="15" customHeight="1" x14ac:dyDescent="0.2">
      <c r="A20" s="274" t="str">
        <f>T_10!A14</f>
        <v>2011-12</v>
      </c>
      <c r="B20" s="926">
        <f>T_10!B14</f>
        <v>315</v>
      </c>
      <c r="C20" s="573">
        <f>T_10!C14</f>
        <v>5.93</v>
      </c>
      <c r="D20" s="926">
        <f>'Casualties Timeseries'!H31</f>
        <v>59</v>
      </c>
      <c r="E20" s="573">
        <f>D20/PopulationOtherArea!I19*1000000</f>
        <v>11.132285514821033</v>
      </c>
      <c r="F20" s="926">
        <f>T_10!Y14</f>
        <v>23</v>
      </c>
      <c r="G20" s="573">
        <f>T_10!Z14</f>
        <v>7.51</v>
      </c>
    </row>
    <row r="21" spans="1:7" ht="15" customHeight="1" x14ac:dyDescent="0.2">
      <c r="A21" s="274" t="str">
        <f>T_10!A15</f>
        <v>2012-13</v>
      </c>
      <c r="B21" s="926">
        <f>T_10!B15</f>
        <v>286</v>
      </c>
      <c r="C21" s="573">
        <f>T_10!C15</f>
        <v>5.35</v>
      </c>
      <c r="D21" s="926">
        <f>'Casualties Timeseries'!H32</f>
        <v>46</v>
      </c>
      <c r="E21" s="573">
        <f>D21/PopulationOtherArea!I20*1000000</f>
        <v>8.6570310147545921</v>
      </c>
      <c r="F21" s="926">
        <f>T_10!Y15</f>
        <v>17</v>
      </c>
      <c r="G21" s="573">
        <f>T_10!Z15</f>
        <v>5.53</v>
      </c>
    </row>
    <row r="22" spans="1:7" ht="15" customHeight="1" x14ac:dyDescent="0.2">
      <c r="A22" s="274" t="str">
        <f>T_10!A16</f>
        <v>2013-14</v>
      </c>
      <c r="B22" s="926">
        <f>T_10!B16</f>
        <v>278</v>
      </c>
      <c r="C22" s="573">
        <f>T_10!C16</f>
        <v>5.16</v>
      </c>
      <c r="D22" s="926">
        <f>'Casualties Timeseries'!H33</f>
        <v>31</v>
      </c>
      <c r="E22" s="573">
        <f>D22/PopulationOtherArea!I21*1000000</f>
        <v>5.8186459447791732</v>
      </c>
      <c r="F22" s="926">
        <f>T_10!Y16</f>
        <v>17</v>
      </c>
      <c r="G22" s="573">
        <f>T_10!Z16</f>
        <v>5.52</v>
      </c>
    </row>
    <row r="23" spans="1:7" ht="15" customHeight="1" x14ac:dyDescent="0.2">
      <c r="A23" s="274" t="str">
        <f>T_10!A17</f>
        <v>2014-15</v>
      </c>
      <c r="B23" s="926">
        <f>T_10!B17</f>
        <v>264</v>
      </c>
      <c r="C23" s="573">
        <f>T_10!C17</f>
        <v>4.8600000000000003</v>
      </c>
      <c r="D23" s="926">
        <f>'Casualties Timeseries'!H34</f>
        <v>40</v>
      </c>
      <c r="E23" s="573">
        <f>D23/PopulationOtherArea!I22*1000000</f>
        <v>7.4799910240107712</v>
      </c>
      <c r="F23" s="926">
        <f>T_10!Y17</f>
        <v>20</v>
      </c>
      <c r="G23" s="573">
        <f>T_10!Z17</f>
        <v>6.47</v>
      </c>
    </row>
    <row r="24" spans="1:7" ht="15" customHeight="1" x14ac:dyDescent="0.2">
      <c r="A24" s="274" t="str">
        <f>T_10!A18</f>
        <v>2015-16</v>
      </c>
      <c r="B24" s="926">
        <f>T_10!B18</f>
        <v>302</v>
      </c>
      <c r="C24" s="573">
        <f>T_10!C18</f>
        <v>5.51</v>
      </c>
      <c r="D24" s="926">
        <f>'Casualties Timeseries'!H35</f>
        <v>45</v>
      </c>
      <c r="E24" s="573">
        <f>D24/PopulationOtherArea!I23*1000000</f>
        <v>8.3752093802345069</v>
      </c>
      <c r="F24" s="926">
        <f>T_10!Y18</f>
        <v>19</v>
      </c>
      <c r="G24" s="573">
        <f>T_10!Z18</f>
        <v>6.13</v>
      </c>
    </row>
    <row r="25" spans="1:7" ht="15" customHeight="1" x14ac:dyDescent="0.2">
      <c r="A25" s="274" t="str">
        <f>T_10!A19</f>
        <v>2016-17</v>
      </c>
      <c r="B25" s="926">
        <f>T_10!B19</f>
        <v>265</v>
      </c>
      <c r="C25" s="573">
        <f>T_10!C19</f>
        <v>4.79</v>
      </c>
      <c r="D25" s="926">
        <f>'Casualties Timeseries'!H36</f>
        <v>44</v>
      </c>
      <c r="E25" s="573">
        <f>D25/PopulationOtherArea!I24*1000000</f>
        <v>8.1410624086443288</v>
      </c>
      <c r="F25" s="926">
        <f>T_10!Y19</f>
        <v>19</v>
      </c>
      <c r="G25" s="573">
        <f>T_10!Z19</f>
        <v>6.1</v>
      </c>
    </row>
    <row r="26" spans="1:7" ht="15" customHeight="1" x14ac:dyDescent="0.2">
      <c r="A26" s="274" t="str">
        <f>T_10!A20</f>
        <v>2017-18</v>
      </c>
      <c r="B26" s="926">
        <f>T_10!B20</f>
        <v>340</v>
      </c>
      <c r="C26" s="573">
        <f>T_10!C20</f>
        <v>6.11</v>
      </c>
      <c r="D26" s="926">
        <f>'Casualties Timeseries'!H37</f>
        <v>44</v>
      </c>
      <c r="E26" s="573">
        <f>D26/PopulationOtherArea!I25*1000000</f>
        <v>8.1108980976257197</v>
      </c>
      <c r="F26" s="926">
        <f>T_10!Y20</f>
        <v>15</v>
      </c>
      <c r="G26" s="573">
        <f>T_10!Z20</f>
        <v>4.8</v>
      </c>
    </row>
    <row r="27" spans="1:7" ht="15" customHeight="1" x14ac:dyDescent="0.2">
      <c r="A27" s="274" t="str">
        <f>T_10!A21</f>
        <v>2018-19</v>
      </c>
      <c r="B27" s="926">
        <f>T_10!B21</f>
        <v>255</v>
      </c>
      <c r="C27" s="573">
        <f>T_10!C21</f>
        <v>4.5599999999999996</v>
      </c>
      <c r="D27" s="926">
        <f>'Casualties Timeseries'!H38</f>
        <v>44</v>
      </c>
      <c r="E27" s="573">
        <f>D27/PopulationOtherArea!I26*1000000</f>
        <v>8.0910612162336104</v>
      </c>
      <c r="F27" s="926">
        <f>T_10!Y21</f>
        <v>20</v>
      </c>
      <c r="G27" s="573">
        <f>T_10!Z21</f>
        <v>6.37</v>
      </c>
    </row>
    <row r="28" spans="1:7" ht="15" customHeight="1" x14ac:dyDescent="0.2">
      <c r="A28" s="487" t="str">
        <f>T_10!A22</f>
        <v>2019-20</v>
      </c>
      <c r="B28" s="926">
        <f>T_10!B22</f>
        <v>245</v>
      </c>
      <c r="C28" s="573">
        <f>T_10!C22</f>
        <v>4.3499999999999996</v>
      </c>
      <c r="D28" s="926">
        <f>'Casualties Timeseries'!H39</f>
        <v>27</v>
      </c>
      <c r="E28" s="573">
        <f>D28/PopulationOtherArea!I27*1000000</f>
        <v>4.9420679808906707</v>
      </c>
      <c r="F28" s="927">
        <f>T_10!Y22</f>
        <v>16</v>
      </c>
      <c r="G28" s="928">
        <f>T_10!Z22</f>
        <v>5.07</v>
      </c>
    </row>
    <row r="29" spans="1:7" ht="15" customHeight="1" x14ac:dyDescent="0.2">
      <c r="A29" s="487" t="str">
        <f>T_10!A23</f>
        <v>2020-21</v>
      </c>
      <c r="B29" s="926">
        <f>T_10!B23</f>
        <v>240</v>
      </c>
      <c r="C29" s="573">
        <f>T_10!C23</f>
        <v>4.24</v>
      </c>
      <c r="D29" s="926">
        <f>'Casualties Timeseries'!H40</f>
        <v>53</v>
      </c>
      <c r="E29" s="573">
        <f>D29/PopulationOtherArea!I28*1000000</f>
        <v>9.6963044273691903</v>
      </c>
      <c r="F29" s="927">
        <f>T_10!Y23</f>
        <v>21</v>
      </c>
      <c r="G29" s="928">
        <f>T_10!Z23</f>
        <v>6.63</v>
      </c>
    </row>
    <row r="30" spans="1:7" ht="15" customHeight="1" x14ac:dyDescent="0.2">
      <c r="A30" s="488" t="str">
        <f>"1 Year % change " &amp; A27 &amp; " to " &amp; A28</f>
        <v>1 Year % change 2018-19 to 2019-20</v>
      </c>
      <c r="B30" s="623">
        <f>B29/B28-1</f>
        <v>-2.0408163265306145E-2</v>
      </c>
      <c r="C30" s="623">
        <f t="shared" ref="C30:E30" si="0">C29/C28-1</f>
        <v>-2.5287356321838983E-2</v>
      </c>
      <c r="D30" s="623">
        <f t="shared" si="0"/>
        <v>0.96296296296296302</v>
      </c>
      <c r="E30" s="623">
        <f t="shared" si="0"/>
        <v>0.96199333252022567</v>
      </c>
      <c r="F30" s="623"/>
      <c r="G30" s="623"/>
    </row>
    <row r="31" spans="1:7" ht="15" customHeight="1" x14ac:dyDescent="0.2">
      <c r="A31" s="274" t="str">
        <f>"3 Year % change " &amp; A25 &amp; " to " &amp; A28</f>
        <v>3 Year % change 2016-17 to 2019-20</v>
      </c>
      <c r="B31" s="622">
        <f>B29/B26-1</f>
        <v>-0.29411764705882348</v>
      </c>
      <c r="C31" s="622">
        <f t="shared" ref="C31:E31" si="1">C29/C26-1</f>
        <v>-0.30605564648117844</v>
      </c>
      <c r="D31" s="622">
        <f t="shared" si="1"/>
        <v>0.20454545454545459</v>
      </c>
      <c r="E31" s="622">
        <f t="shared" si="1"/>
        <v>0.19546618767255408</v>
      </c>
      <c r="F31" s="622"/>
      <c r="G31" s="622"/>
    </row>
    <row r="32" spans="1:7" ht="15" customHeight="1" thickBot="1" x14ac:dyDescent="0.25">
      <c r="A32" s="491" t="str">
        <f>"10 Year % change " &amp; A18 &amp; " to " &amp; A28</f>
        <v>10 Year % change 2009-10 to 2019-20</v>
      </c>
      <c r="B32" s="620">
        <f>B29/B19-1</f>
        <v>-0.28358208955223885</v>
      </c>
      <c r="C32" s="620">
        <f t="shared" ref="C32:E32" si="2">C29/C19-1</f>
        <v>-0.33333333333333337</v>
      </c>
      <c r="D32" s="620">
        <f t="shared" si="2"/>
        <v>1.9230769230769162E-2</v>
      </c>
      <c r="E32" s="620">
        <f t="shared" si="2"/>
        <v>-1.8771285428804685E-2</v>
      </c>
      <c r="F32" s="620"/>
      <c r="G32" s="620"/>
    </row>
    <row r="33" spans="1:8" ht="12.75" customHeight="1" x14ac:dyDescent="0.2">
      <c r="A33" s="274"/>
      <c r="C33" s="71"/>
      <c r="E33" s="71"/>
      <c r="G33" s="71"/>
    </row>
    <row r="34" spans="1:8" ht="36.75" customHeight="1" x14ac:dyDescent="0.25">
      <c r="A34" s="274"/>
      <c r="B34" s="1312" t="s">
        <v>111</v>
      </c>
      <c r="C34" s="1312"/>
      <c r="D34" s="1312"/>
      <c r="E34" s="1312"/>
      <c r="F34" s="1312"/>
      <c r="G34" s="1312"/>
    </row>
    <row r="35" spans="1:8" x14ac:dyDescent="0.2">
      <c r="B35" s="1430" t="s">
        <v>124</v>
      </c>
      <c r="C35" s="1431"/>
      <c r="D35" s="1430" t="s">
        <v>53</v>
      </c>
      <c r="E35" s="1431"/>
      <c r="F35" s="1430" t="s">
        <v>125</v>
      </c>
      <c r="G35" s="1431"/>
    </row>
    <row r="36" spans="1:8" ht="25.5" x14ac:dyDescent="0.2">
      <c r="A36" s="940" t="s">
        <v>4</v>
      </c>
      <c r="B36" s="570" t="s">
        <v>0</v>
      </c>
      <c r="C36" s="571" t="s">
        <v>96</v>
      </c>
      <c r="D36" s="570" t="s">
        <v>0</v>
      </c>
      <c r="E36" s="571" t="s">
        <v>96</v>
      </c>
      <c r="F36" s="570" t="s">
        <v>0</v>
      </c>
      <c r="G36" s="571" t="s">
        <v>96</v>
      </c>
    </row>
    <row r="37" spans="1:8" ht="15.75" customHeight="1" x14ac:dyDescent="0.2">
      <c r="A37" s="438" t="str">
        <f>'T10'!B13</f>
        <v>2009-10</v>
      </c>
      <c r="B37" s="926">
        <f>T_10!D12</f>
        <v>8864</v>
      </c>
      <c r="C37" s="573">
        <f>'T10'!F13</f>
        <v>169.82</v>
      </c>
      <c r="D37" s="926">
        <f>'Casualties Fire'!L10</f>
        <v>1223</v>
      </c>
      <c r="E37" s="573">
        <f>D37/PopulationOtherArea!I17*1000000</f>
        <v>233.75829048720351</v>
      </c>
      <c r="F37" s="926">
        <f>T_10!AA12</f>
        <v>575</v>
      </c>
      <c r="G37" s="573">
        <f>T_10!AB12</f>
        <v>189.21</v>
      </c>
    </row>
    <row r="38" spans="1:8" ht="15.75" customHeight="1" x14ac:dyDescent="0.2">
      <c r="A38" s="438" t="str">
        <f>'T10'!B14</f>
        <v>2010-11</v>
      </c>
      <c r="B38" s="926">
        <f>T_10!D13</f>
        <v>9397</v>
      </c>
      <c r="C38" s="573">
        <f>'T10'!F14</f>
        <v>178.51</v>
      </c>
      <c r="D38" s="926">
        <f>'Casualties Fire'!L11</f>
        <v>1332</v>
      </c>
      <c r="E38" s="573">
        <f>D38/PopulationOtherArea!I18*1000000</f>
        <v>253.12606894454788</v>
      </c>
      <c r="F38" s="926">
        <f>T_10!AA13</f>
        <v>607</v>
      </c>
      <c r="G38" s="573">
        <f>T_10!AB13</f>
        <v>199.02</v>
      </c>
    </row>
    <row r="39" spans="1:8" ht="15.75" customHeight="1" x14ac:dyDescent="0.2">
      <c r="A39" s="438" t="str">
        <f>'T10'!B15</f>
        <v>2011-12</v>
      </c>
      <c r="B39" s="926">
        <f>T_10!D14</f>
        <v>9375</v>
      </c>
      <c r="C39" s="573">
        <f>'T10'!F15</f>
        <v>176.53</v>
      </c>
      <c r="D39" s="310">
        <f>'Casualties Fire'!L12</f>
        <v>1414</v>
      </c>
      <c r="E39" s="573">
        <f>D39/PopulationOtherArea!I19*1000000</f>
        <v>266.79748674503293</v>
      </c>
      <c r="F39" s="926">
        <f>T_10!AA14</f>
        <v>592</v>
      </c>
      <c r="G39" s="573">
        <f>T_10!AB14</f>
        <v>193.22</v>
      </c>
    </row>
    <row r="40" spans="1:8" ht="15.75" customHeight="1" x14ac:dyDescent="0.2">
      <c r="A40" s="438" t="str">
        <f>'T10'!B16</f>
        <v>2012-13</v>
      </c>
      <c r="B40" s="926">
        <f>T_10!D15</f>
        <v>8429</v>
      </c>
      <c r="C40" s="573">
        <f>'T10'!F16</f>
        <v>157.57</v>
      </c>
      <c r="D40" s="310">
        <f>'Casualties Fire'!L13</f>
        <v>1319</v>
      </c>
      <c r="E40" s="573">
        <f>D40/PopulationOtherArea!I20*1000000</f>
        <v>248.23095453176754</v>
      </c>
      <c r="F40" s="926">
        <f>T_10!AA15</f>
        <v>541</v>
      </c>
      <c r="G40" s="573">
        <f>T_10!AB15</f>
        <v>175.99</v>
      </c>
    </row>
    <row r="41" spans="1:8" ht="15.75" customHeight="1" x14ac:dyDescent="0.2">
      <c r="A41" s="438" t="str">
        <f>'T10'!B17</f>
        <v>2013-14</v>
      </c>
      <c r="B41" s="926">
        <f>T_10!D16</f>
        <v>7819</v>
      </c>
      <c r="C41" s="573">
        <f>'T10'!F17</f>
        <v>145.16</v>
      </c>
      <c r="D41" s="310">
        <f>'Casualties Fire'!L14</f>
        <v>1310</v>
      </c>
      <c r="E41" s="573">
        <f>D41/PopulationOtherArea!I21*1000000</f>
        <v>245.88471573099085</v>
      </c>
      <c r="F41" s="926">
        <f>T_10!AA16</f>
        <v>626</v>
      </c>
      <c r="G41" s="573">
        <f>T_10!AB16</f>
        <v>203.09</v>
      </c>
    </row>
    <row r="42" spans="1:8" ht="15.75" customHeight="1" x14ac:dyDescent="0.2">
      <c r="A42" s="438" t="str">
        <f>'T10'!B18</f>
        <v>2014-15</v>
      </c>
      <c r="B42" s="926">
        <f>T_10!D17</f>
        <v>7596</v>
      </c>
      <c r="C42" s="573">
        <f>'T10'!F18</f>
        <v>139.85</v>
      </c>
      <c r="D42" s="310">
        <f>'Casualties Fire'!L15</f>
        <v>1099</v>
      </c>
      <c r="E42" s="573">
        <f>D42/PopulationOtherArea!I22*1000000</f>
        <v>205.51275338469594</v>
      </c>
      <c r="F42" s="926">
        <f>T_10!AA17</f>
        <v>543</v>
      </c>
      <c r="G42" s="573">
        <f>T_10!AB17</f>
        <v>175.61</v>
      </c>
    </row>
    <row r="43" spans="1:8" ht="15.75" customHeight="1" x14ac:dyDescent="0.2">
      <c r="A43" s="438" t="str">
        <f>'T10'!B19</f>
        <v>2015-16</v>
      </c>
      <c r="B43" s="926">
        <f>T_10!D18</f>
        <v>7672</v>
      </c>
      <c r="C43" s="573">
        <f>'T10'!F19</f>
        <v>140.04</v>
      </c>
      <c r="D43" s="310">
        <f>'Casualties Fire'!L16</f>
        <v>1276</v>
      </c>
      <c r="E43" s="573">
        <f>D43/PopulationOtherArea!I23*1000000</f>
        <v>237.48371487064955</v>
      </c>
      <c r="F43" s="926">
        <f>T_10!AA18</f>
        <v>592</v>
      </c>
      <c r="G43" s="573">
        <f>T_10!AB18</f>
        <v>191.02</v>
      </c>
    </row>
    <row r="44" spans="1:8" ht="15.75" customHeight="1" x14ac:dyDescent="0.2">
      <c r="A44" s="438" t="str">
        <f>'T10'!B20</f>
        <v>2016-17</v>
      </c>
      <c r="B44" s="926">
        <f>T_10!D19</f>
        <v>7103</v>
      </c>
      <c r="C44" s="573">
        <f>'T10'!F20</f>
        <v>128.52000000000001</v>
      </c>
      <c r="D44" s="310">
        <f>'Casualties Fire'!L17</f>
        <v>1266</v>
      </c>
      <c r="E44" s="573">
        <f>D44/PopulationOtherArea!I24*1000000</f>
        <v>234.24056839417543</v>
      </c>
      <c r="F44" s="926">
        <f>T_10!AA19</f>
        <v>621</v>
      </c>
      <c r="G44" s="573">
        <f>T_10!AB19</f>
        <v>199.47</v>
      </c>
    </row>
    <row r="45" spans="1:8" ht="15.75" customHeight="1" x14ac:dyDescent="0.2">
      <c r="A45" s="438" t="str">
        <f>'T10'!B21</f>
        <v>2017-18</v>
      </c>
      <c r="B45" s="926">
        <f>T_10!D20</f>
        <v>7302</v>
      </c>
      <c r="C45" s="573">
        <f>'T10'!F21</f>
        <v>131.29</v>
      </c>
      <c r="D45" s="310">
        <f>'Casualties Fire'!L18</f>
        <v>1116</v>
      </c>
      <c r="E45" s="573">
        <f>D45/PopulationOtherArea!I25*1000000</f>
        <v>205.72186993068871</v>
      </c>
      <c r="F45" s="926">
        <f>T_10!AA20</f>
        <v>526</v>
      </c>
      <c r="G45" s="573">
        <f>T_10!AB20</f>
        <v>168.31</v>
      </c>
    </row>
    <row r="46" spans="1:8" ht="15.75" customHeight="1" x14ac:dyDescent="0.2">
      <c r="A46" s="438" t="str">
        <f>'T10'!B22</f>
        <v>2018-19</v>
      </c>
      <c r="B46" s="926">
        <f>T_10!D21</f>
        <v>7164</v>
      </c>
      <c r="C46" s="573">
        <f>'T10'!F22</f>
        <v>127.98</v>
      </c>
      <c r="D46" s="310">
        <f>'Casualties Fire'!L19</f>
        <v>1197</v>
      </c>
      <c r="E46" s="573">
        <f>D46/PopulationOtherArea!I26*1000000</f>
        <v>220.11364263253711</v>
      </c>
      <c r="F46" s="926">
        <f>T_10!AA21</f>
        <v>396</v>
      </c>
      <c r="G46" s="573">
        <f>T_10!AB21</f>
        <v>126.17</v>
      </c>
    </row>
    <row r="47" spans="1:8" ht="15.75" customHeight="1" x14ac:dyDescent="0.2">
      <c r="A47" s="438" t="str">
        <f>'T10'!B23</f>
        <v>2019-20</v>
      </c>
      <c r="B47" s="926">
        <f>T_10!D22</f>
        <v>6933</v>
      </c>
      <c r="C47" s="573">
        <f>'T10'!F23</f>
        <v>123.17</v>
      </c>
      <c r="D47" s="310">
        <f>'Casualties Fire'!L20</f>
        <v>1027</v>
      </c>
      <c r="E47" s="573">
        <f>D47/PopulationOtherArea!I27*1000000</f>
        <v>187.98162282869328</v>
      </c>
      <c r="F47" s="927">
        <f>T_10!AA22</f>
        <v>509</v>
      </c>
      <c r="G47" s="928">
        <f>T_10!AB22</f>
        <v>161.44</v>
      </c>
      <c r="H47" s="56"/>
    </row>
    <row r="48" spans="1:8" ht="15.75" customHeight="1" x14ac:dyDescent="0.2">
      <c r="A48" s="438" t="str">
        <f>'T10'!B24</f>
        <v>2020-21</v>
      </c>
      <c r="B48" s="926">
        <f>T_10!D23</f>
        <v>6347</v>
      </c>
      <c r="C48" s="573">
        <f>'T10'!F24</f>
        <v>112.24</v>
      </c>
      <c r="D48" s="310">
        <f>'Casualties Fire'!L21</f>
        <v>1017</v>
      </c>
      <c r="E48" s="573">
        <f>D48/PopulationOtherArea!I28*1000000</f>
        <v>186.05927552140503</v>
      </c>
      <c r="F48" s="927">
        <f>T_10!AA23</f>
        <v>408</v>
      </c>
      <c r="G48" s="928">
        <f>T_10!AB23</f>
        <v>128.72</v>
      </c>
      <c r="H48" s="275"/>
    </row>
    <row r="49" spans="1:8" ht="15.75" customHeight="1" x14ac:dyDescent="0.2">
      <c r="A49" s="488" t="str">
        <f>"1 Year % change " &amp; A47 &amp; " to " &amp; A48</f>
        <v>1 Year % change 2019-20 to 2020-21</v>
      </c>
      <c r="B49" s="623">
        <f>B48/B47-1</f>
        <v>-8.4523294389153292E-2</v>
      </c>
      <c r="C49" s="623">
        <f t="shared" ref="C49:E49" si="3">C48/C47-1</f>
        <v>-8.8739141024600232E-2</v>
      </c>
      <c r="D49" s="623">
        <f t="shared" si="3"/>
        <v>-9.7370983446932735E-3</v>
      </c>
      <c r="E49" s="623">
        <f t="shared" si="3"/>
        <v>-1.0226251259890851E-2</v>
      </c>
      <c r="F49" s="623"/>
      <c r="G49" s="623"/>
      <c r="H49" s="275"/>
    </row>
    <row r="50" spans="1:8" ht="15.75" customHeight="1" x14ac:dyDescent="0.2">
      <c r="A50" s="274" t="str">
        <f>"3 Year % change " &amp; A45 &amp; " to " &amp; A48</f>
        <v>3 Year % change 2017-18 to 2020-21</v>
      </c>
      <c r="B50" s="622">
        <f>B48/B45-1</f>
        <v>-0.13078608600383457</v>
      </c>
      <c r="C50" s="622">
        <f t="shared" ref="C50:E50" si="4">C48/C45-1</f>
        <v>-0.14509863660598676</v>
      </c>
      <c r="D50" s="622">
        <f t="shared" si="4"/>
        <v>-8.8709677419354871E-2</v>
      </c>
      <c r="E50" s="622">
        <f t="shared" si="4"/>
        <v>-9.5578532393801208E-2</v>
      </c>
      <c r="F50" s="622"/>
      <c r="G50" s="622"/>
      <c r="H50" s="275"/>
    </row>
    <row r="51" spans="1:8" ht="15.75" customHeight="1" thickBot="1" x14ac:dyDescent="0.25">
      <c r="A51" s="491" t="str">
        <f>"10 Year % change " &amp; A38 &amp; " to " &amp; A48</f>
        <v>10 Year % change 2010-11 to 2020-21</v>
      </c>
      <c r="B51" s="620">
        <f>B48/B38-1</f>
        <v>-0.32457167181015223</v>
      </c>
      <c r="C51" s="620">
        <f t="shared" ref="C51:E51" si="5">C48/C38-1</f>
        <v>-0.37123970645902193</v>
      </c>
      <c r="D51" s="620">
        <f t="shared" si="5"/>
        <v>-0.23648648648648651</v>
      </c>
      <c r="E51" s="620">
        <f t="shared" si="5"/>
        <v>-0.26495411437782457</v>
      </c>
      <c r="F51" s="620"/>
      <c r="G51" s="620"/>
      <c r="H51" s="275"/>
    </row>
    <row r="52" spans="1:8" x14ac:dyDescent="0.2">
      <c r="A52" s="274"/>
    </row>
    <row r="53" spans="1:8" ht="37.5" customHeight="1" x14ac:dyDescent="0.25">
      <c r="A53" s="274"/>
      <c r="B53" s="1312" t="s">
        <v>1445</v>
      </c>
      <c r="C53" s="1312"/>
      <c r="D53" s="1312"/>
      <c r="E53" s="1312"/>
      <c r="F53" s="1312"/>
      <c r="G53" s="1312"/>
    </row>
    <row r="54" spans="1:8" x14ac:dyDescent="0.2">
      <c r="B54" s="1430" t="s">
        <v>124</v>
      </c>
      <c r="C54" s="1431"/>
      <c r="D54" s="1430" t="s">
        <v>53</v>
      </c>
      <c r="E54" s="1431"/>
      <c r="F54" s="1430" t="s">
        <v>125</v>
      </c>
      <c r="G54" s="1431"/>
    </row>
    <row r="55" spans="1:8" ht="25.5" x14ac:dyDescent="0.2">
      <c r="A55" s="940" t="s">
        <v>4</v>
      </c>
      <c r="B55" s="570" t="s">
        <v>0</v>
      </c>
      <c r="C55" s="571" t="s">
        <v>96</v>
      </c>
      <c r="D55" s="570" t="s">
        <v>0</v>
      </c>
      <c r="E55" s="571" t="s">
        <v>96</v>
      </c>
      <c r="F55" s="570" t="s">
        <v>0</v>
      </c>
      <c r="G55" s="571" t="s">
        <v>96</v>
      </c>
    </row>
    <row r="56" spans="1:8" x14ac:dyDescent="0.2">
      <c r="A56" s="438" t="str">
        <f>A37</f>
        <v>2009-10</v>
      </c>
      <c r="B56" s="926">
        <f>T_10!W12</f>
        <v>4155</v>
      </c>
      <c r="C56" s="573">
        <f>T_10!X12</f>
        <v>79.599999999999994</v>
      </c>
      <c r="D56" s="926">
        <f>Treatment!E10+Treatment!D10</f>
        <v>542</v>
      </c>
      <c r="E56" s="573">
        <f>D56/PopulationOtherArea!I17*1000000</f>
        <v>103.59525220283263</v>
      </c>
      <c r="F56" s="926">
        <f>T_10!AT12</f>
        <v>250</v>
      </c>
      <c r="G56" s="573">
        <f>T_10!AU12</f>
        <v>82.27</v>
      </c>
    </row>
    <row r="57" spans="1:8" x14ac:dyDescent="0.2">
      <c r="A57" s="438" t="str">
        <f t="shared" ref="A57:A67" si="6">A38</f>
        <v>2010-11</v>
      </c>
      <c r="B57" s="926">
        <f>T_10!W13</f>
        <v>4371</v>
      </c>
      <c r="C57" s="573">
        <f>T_10!X13</f>
        <v>83.03</v>
      </c>
      <c r="D57" s="926">
        <f>Treatment!E11+Treatment!D11</f>
        <v>646</v>
      </c>
      <c r="E57" s="573">
        <f>D57/PopulationOtherArea!I18*1000000</f>
        <v>122.76234274637983</v>
      </c>
      <c r="F57" s="926">
        <f>T_10!AT13</f>
        <v>278</v>
      </c>
      <c r="G57" s="573">
        <f>T_10!AU13</f>
        <v>91.15</v>
      </c>
    </row>
    <row r="58" spans="1:8" x14ac:dyDescent="0.2">
      <c r="A58" s="438" t="str">
        <f t="shared" si="6"/>
        <v>2011-12</v>
      </c>
      <c r="B58" s="926">
        <f>T_10!W14</f>
        <v>4297</v>
      </c>
      <c r="C58" s="573">
        <f>T_10!X14</f>
        <v>80.91</v>
      </c>
      <c r="D58" s="926">
        <f>Treatment!E12+Treatment!D12</f>
        <v>595</v>
      </c>
      <c r="E58" s="573">
        <f>D58/PopulationOtherArea!I19*1000000</f>
        <v>112.26626917489008</v>
      </c>
      <c r="F58" s="926">
        <f>T_10!AT14</f>
        <v>240</v>
      </c>
      <c r="G58" s="573">
        <f>T_10!AU14</f>
        <v>78.33</v>
      </c>
    </row>
    <row r="59" spans="1:8" x14ac:dyDescent="0.2">
      <c r="A59" s="438" t="str">
        <f t="shared" si="6"/>
        <v>2012-13</v>
      </c>
      <c r="B59" s="926">
        <f>T_10!W15</f>
        <v>3811</v>
      </c>
      <c r="C59" s="573">
        <f>T_10!X15</f>
        <v>71.239999999999995</v>
      </c>
      <c r="D59" s="926">
        <f>Treatment!E13+Treatment!D13</f>
        <v>499</v>
      </c>
      <c r="E59" s="573">
        <f>D59/PopulationOtherArea!I20*1000000</f>
        <v>93.90996687744655</v>
      </c>
      <c r="F59" s="926">
        <f>T_10!AT15</f>
        <v>225</v>
      </c>
      <c r="G59" s="573">
        <f>T_10!AU15</f>
        <v>73.19</v>
      </c>
    </row>
    <row r="60" spans="1:8" x14ac:dyDescent="0.2">
      <c r="A60" s="438" t="str">
        <f t="shared" si="6"/>
        <v>2013-14</v>
      </c>
      <c r="B60" s="926">
        <f>T_10!W16</f>
        <v>3453</v>
      </c>
      <c r="C60" s="573">
        <f>T_10!X16</f>
        <v>64.099999999999994</v>
      </c>
      <c r="D60" s="926">
        <f>Treatment!E14+Treatment!D14</f>
        <v>519</v>
      </c>
      <c r="E60" s="573">
        <f>D60/PopulationOtherArea!I21*1000000</f>
        <v>97.415395010980347</v>
      </c>
      <c r="F60" s="926">
        <f>T_10!AT16</f>
        <v>242</v>
      </c>
      <c r="G60" s="573">
        <f>T_10!AU16</f>
        <v>78.510000000000005</v>
      </c>
    </row>
    <row r="61" spans="1:8" x14ac:dyDescent="0.2">
      <c r="A61" s="438" t="str">
        <f t="shared" si="6"/>
        <v>2014-15</v>
      </c>
      <c r="B61" s="926">
        <f>T_10!W17</f>
        <v>3252</v>
      </c>
      <c r="C61" s="573">
        <f>T_10!X17</f>
        <v>59.87</v>
      </c>
      <c r="D61" s="926">
        <f>Treatment!E15+Treatment!D15</f>
        <v>445</v>
      </c>
      <c r="E61" s="573">
        <f>D61/PopulationOtherArea!I22*1000000</f>
        <v>83.214900142119831</v>
      </c>
      <c r="F61" s="926">
        <f>T_10!AT17</f>
        <v>209</v>
      </c>
      <c r="G61" s="573">
        <f>T_10!AU17</f>
        <v>67.59</v>
      </c>
    </row>
    <row r="62" spans="1:8" x14ac:dyDescent="0.2">
      <c r="A62" s="438" t="str">
        <f t="shared" si="6"/>
        <v>2015-16</v>
      </c>
      <c r="B62" s="926">
        <f>T_10!W18</f>
        <v>3279</v>
      </c>
      <c r="C62" s="573">
        <f>T_10!X18</f>
        <v>59.85</v>
      </c>
      <c r="D62" s="926">
        <f>Treatment!E16+Treatment!D16</f>
        <v>501</v>
      </c>
      <c r="E62" s="573">
        <f>D62/PopulationOtherArea!I23*1000000</f>
        <v>93.243997766610832</v>
      </c>
      <c r="F62" s="926">
        <f>T_10!AT18</f>
        <v>269</v>
      </c>
      <c r="G62" s="573">
        <f>T_10!AU18</f>
        <v>86.8</v>
      </c>
    </row>
    <row r="63" spans="1:8" x14ac:dyDescent="0.2">
      <c r="A63" s="438" t="str">
        <f t="shared" si="6"/>
        <v>2016-17</v>
      </c>
      <c r="B63" s="926">
        <f>T_10!W19</f>
        <v>3126</v>
      </c>
      <c r="C63" s="573">
        <f>T_10!X19</f>
        <v>56.56</v>
      </c>
      <c r="D63" s="926">
        <f>Treatment!E17+Treatment!D17</f>
        <v>449</v>
      </c>
      <c r="E63" s="573">
        <f>D63/PopulationOtherArea!I24*1000000</f>
        <v>83.075841397302355</v>
      </c>
      <c r="F63" s="926">
        <f>T_10!AT19</f>
        <v>203</v>
      </c>
      <c r="G63" s="573">
        <f>T_10!AU19</f>
        <v>65.209999999999994</v>
      </c>
    </row>
    <row r="64" spans="1:8" x14ac:dyDescent="0.2">
      <c r="A64" s="438" t="str">
        <f t="shared" si="6"/>
        <v>2017-18</v>
      </c>
      <c r="B64" s="926">
        <f>T_10!W20</f>
        <v>3297</v>
      </c>
      <c r="C64" s="573">
        <f>T_10!X20</f>
        <v>59.28</v>
      </c>
      <c r="D64" s="926">
        <f>Treatment!E18+Treatment!D18</f>
        <v>419</v>
      </c>
      <c r="E64" s="573">
        <f>D64/PopulationOtherArea!I25*1000000</f>
        <v>77.237870520572187</v>
      </c>
      <c r="F64" s="926">
        <f>T_10!AT20</f>
        <v>208</v>
      </c>
      <c r="G64" s="573">
        <f>T_10!AU20</f>
        <v>66.56</v>
      </c>
    </row>
    <row r="65" spans="1:15" x14ac:dyDescent="0.2">
      <c r="A65" s="438" t="str">
        <f t="shared" si="6"/>
        <v>2018-19</v>
      </c>
      <c r="B65" s="926">
        <f>T_10!W21</f>
        <v>3143</v>
      </c>
      <c r="C65" s="573">
        <f>T_10!X21</f>
        <v>56.15</v>
      </c>
      <c r="D65" s="926">
        <f>Treatment!E19+Treatment!D19</f>
        <v>426</v>
      </c>
      <c r="E65" s="573">
        <f>D65/PopulationOtherArea!I26*1000000</f>
        <v>78.3361835935345</v>
      </c>
      <c r="F65" s="926">
        <f>T_10!AT21</f>
        <v>184</v>
      </c>
      <c r="G65" s="573">
        <f>T_10!AU21</f>
        <v>58.62</v>
      </c>
    </row>
    <row r="66" spans="1:15" x14ac:dyDescent="0.2">
      <c r="A66" s="438" t="str">
        <f t="shared" si="6"/>
        <v>2019-20</v>
      </c>
      <c r="B66" s="926">
        <f>T_10!W22</f>
        <v>2977</v>
      </c>
      <c r="C66" s="573">
        <f>T_10!X22</f>
        <v>52.89</v>
      </c>
      <c r="D66" s="926">
        <f>Treatment!E20+Treatment!D20</f>
        <v>367</v>
      </c>
      <c r="E66" s="573">
        <f>D66/PopulationOtherArea!I27*1000000</f>
        <v>67.175516629143559</v>
      </c>
      <c r="F66" s="930">
        <f>T_10!AT22</f>
        <v>199</v>
      </c>
      <c r="G66" s="931">
        <f>T_10!AU22</f>
        <v>63.12</v>
      </c>
    </row>
    <row r="67" spans="1:15" x14ac:dyDescent="0.2">
      <c r="A67" s="438" t="str">
        <f t="shared" si="6"/>
        <v>2020-21</v>
      </c>
      <c r="B67" s="926">
        <f>T_10!W23</f>
        <v>2603</v>
      </c>
      <c r="C67" s="573">
        <f>T_10!X23</f>
        <v>46.03</v>
      </c>
      <c r="D67" s="926">
        <f>Treatment!E21+Treatment!D21</f>
        <v>350</v>
      </c>
      <c r="E67" s="573">
        <f>D67/PopulationOtherArea!I28*1000000</f>
        <v>64.032199048664467</v>
      </c>
      <c r="F67" s="930">
        <f>T_10!AT23</f>
        <v>130</v>
      </c>
      <c r="G67" s="931">
        <f>T_10!AU23</f>
        <v>41.01</v>
      </c>
    </row>
    <row r="68" spans="1:15" x14ac:dyDescent="0.2">
      <c r="A68" s="488" t="str">
        <f>"1 Year % change " &amp; A66 &amp; " to " &amp; A67</f>
        <v>1 Year % change 2019-20 to 2020-21</v>
      </c>
      <c r="B68" s="623">
        <f>B67/B66-1</f>
        <v>-0.12562982868659722</v>
      </c>
      <c r="C68" s="623">
        <f t="shared" ref="C68:E68" si="7">C67/C66-1</f>
        <v>-0.12970315749669126</v>
      </c>
      <c r="D68" s="623">
        <f t="shared" si="7"/>
        <v>-4.6321525885558601E-2</v>
      </c>
      <c r="E68" s="623">
        <f t="shared" si="7"/>
        <v>-4.6792607458941204E-2</v>
      </c>
      <c r="F68" s="623"/>
      <c r="G68" s="623"/>
    </row>
    <row r="69" spans="1:15" x14ac:dyDescent="0.2">
      <c r="A69" s="274" t="str">
        <f>"3 Year % change " &amp; A64 &amp; " to " &amp; A67</f>
        <v>3 Year % change 2017-18 to 2020-21</v>
      </c>
      <c r="B69" s="622">
        <f>B67/B64-1</f>
        <v>-0.21049438883833793</v>
      </c>
      <c r="C69" s="622">
        <f t="shared" ref="C69:E69" si="8">C67/C64-1</f>
        <v>-0.22351551956815119</v>
      </c>
      <c r="D69" s="622">
        <f t="shared" si="8"/>
        <v>-0.1646778042959427</v>
      </c>
      <c r="E69" s="622">
        <f t="shared" si="8"/>
        <v>-0.17097404916659908</v>
      </c>
      <c r="F69" s="622"/>
      <c r="G69" s="622"/>
    </row>
    <row r="70" spans="1:15" ht="13.5" thickBot="1" x14ac:dyDescent="0.25">
      <c r="A70" s="491" t="str">
        <f>"10 Year % change " &amp; A57 &amp; " to " &amp; A67</f>
        <v>10 Year % change 2010-11 to 2020-21</v>
      </c>
      <c r="B70" s="620">
        <f>B67/B57-1</f>
        <v>-0.40448409974834132</v>
      </c>
      <c r="C70" s="620">
        <f t="shared" ref="C70:E70" si="9">C67/C57-1</f>
        <v>-0.44562206431410334</v>
      </c>
      <c r="D70" s="620">
        <f t="shared" si="9"/>
        <v>-0.45820433436532504</v>
      </c>
      <c r="E70" s="620">
        <f t="shared" si="9"/>
        <v>-0.47840520459151359</v>
      </c>
      <c r="F70" s="620"/>
      <c r="G70" s="620"/>
    </row>
    <row r="71" spans="1:15" x14ac:dyDescent="0.2">
      <c r="A71" s="274"/>
    </row>
    <row r="72" spans="1:15" ht="13.5" customHeight="1" x14ac:dyDescent="0.2">
      <c r="A72" s="274" t="s">
        <v>146</v>
      </c>
    </row>
    <row r="73" spans="1:15" ht="102.75" customHeight="1" x14ac:dyDescent="0.25">
      <c r="A73" s="1428" t="s">
        <v>1243</v>
      </c>
      <c r="B73" s="1428"/>
      <c r="C73" s="1428"/>
      <c r="D73" s="1428"/>
      <c r="E73" s="1428"/>
      <c r="F73" s="1428"/>
      <c r="G73" s="1428"/>
      <c r="H73" s="1428"/>
      <c r="I73" s="1428"/>
      <c r="J73" s="1428"/>
      <c r="K73" s="1428"/>
      <c r="L73" s="1428"/>
      <c r="M73" s="1428"/>
      <c r="N73" s="1428"/>
      <c r="O73" s="1428"/>
    </row>
    <row r="74" spans="1:15" ht="13.5" customHeight="1" x14ac:dyDescent="0.25">
      <c r="A74" s="966" t="s">
        <v>1241</v>
      </c>
      <c r="B74" s="966"/>
      <c r="C74" s="966"/>
      <c r="D74" s="966"/>
      <c r="E74" s="966"/>
      <c r="F74" s="966"/>
      <c r="G74" s="966"/>
      <c r="H74" s="966"/>
      <c r="I74" s="966"/>
      <c r="J74" s="966"/>
      <c r="K74" s="966"/>
      <c r="L74" s="966"/>
      <c r="M74" s="966"/>
      <c r="N74" s="966"/>
      <c r="O74" s="966"/>
    </row>
  </sheetData>
  <sheetProtection algorithmName="SHA-512" hashValue="L3nkm/w12kUf7PF5JrkFlXdaaITkA4yVFzOFWXb9cugfDvXa5D/riZhSVlmz+DDRDKnDiyfkZf81+DYGt7/cDg==" saltValue="fyyX/PCfPF8K+kmgdbYuuw==" spinCount="100000" sheet="1" scenarios="1" formatCells="0" formatColumns="0" formatRows="0" sort="0" autoFilter="0" pivotTables="0"/>
  <mergeCells count="13">
    <mergeCell ref="A73:O73"/>
    <mergeCell ref="B8:C8"/>
    <mergeCell ref="D8:E8"/>
    <mergeCell ref="F8:G8"/>
    <mergeCell ref="B7:G7"/>
    <mergeCell ref="B34:G34"/>
    <mergeCell ref="B35:C35"/>
    <mergeCell ref="D35:E35"/>
    <mergeCell ref="F35:G35"/>
    <mergeCell ref="B53:G53"/>
    <mergeCell ref="B54:C54"/>
    <mergeCell ref="D54:E54"/>
    <mergeCell ref="F54:G54"/>
  </mergeCells>
  <hyperlinks>
    <hyperlink ref="A2" location="'Table of Contents'!A1" display="Back to Table of Contents" xr:uid="{00000000-0004-0000-A000-000000000000}"/>
  </hyperlinks>
  <pageMargins left="0.70866141732283472" right="0.70866141732283472" top="0.74803149606299213" bottom="0.74803149606299213" header="0.31496062992125984" footer="0.31496062992125984"/>
  <pageSetup paperSize="9" scale="71" orientation="portrait" r:id="rId1"/>
  <headerFooter>
    <oddFooter>&amp;L&amp;P&amp;C&amp;A</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tabColor theme="5" tint="0.39997558519241921"/>
  </sheetPr>
  <dimension ref="A1:H5"/>
  <sheetViews>
    <sheetView showGridLines="0" zoomScaleNormal="100" workbookViewId="0"/>
  </sheetViews>
  <sheetFormatPr defaultColWidth="9.140625" defaultRowHeight="12.75" x14ac:dyDescent="0.2"/>
  <sheetData>
    <row r="1" spans="1:8" ht="17.25" customHeight="1" x14ac:dyDescent="0.2">
      <c r="A1" s="298" t="s">
        <v>1258</v>
      </c>
      <c r="B1" s="298"/>
      <c r="C1" s="298"/>
    </row>
    <row r="2" spans="1:8" ht="17.25" customHeight="1" x14ac:dyDescent="0.2">
      <c r="A2" s="106" t="s">
        <v>578</v>
      </c>
      <c r="B2" s="1031"/>
      <c r="C2" s="1031"/>
    </row>
    <row r="3" spans="1:8" ht="33.75" customHeight="1" x14ac:dyDescent="0.2">
      <c r="A3" s="1272" t="s">
        <v>1276</v>
      </c>
      <c r="B3" s="1272"/>
      <c r="C3" s="1272"/>
      <c r="D3" s="1272"/>
      <c r="E3" s="1272"/>
      <c r="F3" s="1272"/>
      <c r="G3" s="1272"/>
      <c r="H3" s="1272"/>
    </row>
    <row r="4" spans="1:8" ht="15" x14ac:dyDescent="0.25">
      <c r="A4" s="1032" t="s">
        <v>1246</v>
      </c>
    </row>
    <row r="5" spans="1:8" ht="15" x14ac:dyDescent="0.25">
      <c r="A5" s="1043" t="s">
        <v>1408</v>
      </c>
    </row>
  </sheetData>
  <sheetProtection algorithmName="SHA-512" hashValue="QdGMXktstri3RpqiydnpqyTlokWdx7NGGlWHXLhNksy23tUHBvUB4cVISRge97Z4xCtSm8gbthY2j21MQXySvQ==" saltValue="LiCepSbCn1PVlCIiMu3wyg==" spinCount="100000" sheet="1" scenarios="1" formatCells="0" formatColumns="0" formatRows="0" sort="0" autoFilter="0" pivotTables="0"/>
  <mergeCells count="1">
    <mergeCell ref="A3:H3"/>
  </mergeCells>
  <hyperlinks>
    <hyperlink ref="A2" location="'Table of Contents'!A1" display="Back to Table of Contents" xr:uid="{00000000-0004-0000-A100-000000000000}"/>
  </hyperlink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abColor theme="5" tint="0.39997558519241921"/>
  </sheetPr>
  <dimension ref="A1:H5"/>
  <sheetViews>
    <sheetView showGridLines="0" zoomScaleNormal="100" workbookViewId="0"/>
  </sheetViews>
  <sheetFormatPr defaultColWidth="9.140625" defaultRowHeight="12.75" x14ac:dyDescent="0.2"/>
  <sheetData>
    <row r="1" spans="1:8" ht="17.25" customHeight="1" x14ac:dyDescent="0.2">
      <c r="A1" s="298" t="s">
        <v>1258</v>
      </c>
      <c r="B1" s="298"/>
      <c r="C1" s="298"/>
    </row>
    <row r="2" spans="1:8" ht="17.25" customHeight="1" x14ac:dyDescent="0.2">
      <c r="A2" s="106" t="s">
        <v>578</v>
      </c>
      <c r="B2" s="1031"/>
      <c r="C2" s="1031"/>
    </row>
    <row r="3" spans="1:8" ht="33" customHeight="1" x14ac:dyDescent="0.2">
      <c r="A3" s="1272" t="s">
        <v>1275</v>
      </c>
      <c r="B3" s="1272"/>
      <c r="C3" s="1272"/>
      <c r="D3" s="1272"/>
      <c r="E3" s="1272"/>
      <c r="F3" s="1272"/>
      <c r="G3" s="1272"/>
      <c r="H3" s="1272"/>
    </row>
    <row r="4" spans="1:8" ht="15" x14ac:dyDescent="0.25">
      <c r="A4" s="1032" t="s">
        <v>1246</v>
      </c>
    </row>
    <row r="5" spans="1:8" ht="15" x14ac:dyDescent="0.25">
      <c r="A5" s="1043" t="s">
        <v>1409</v>
      </c>
    </row>
  </sheetData>
  <sheetProtection algorithmName="SHA-512" hashValue="JbzVitb3tvHbm3hO2uJ3+LmpPPJFJOn8pmhvK6CN2S3N7B3z6ftRU04ANfykROgWHdzsanSdHnlfpVt3SvTxaw==" saltValue="W8ZYHm7oNspS2HXS1iQ2Ug==" spinCount="100000" sheet="1" scenarios="1" formatCells="0" formatColumns="0" formatRows="0" sort="0" autoFilter="0" pivotTables="0"/>
  <mergeCells count="1">
    <mergeCell ref="A3:H3"/>
  </mergeCells>
  <hyperlinks>
    <hyperlink ref="A2" location="'Table of Contents'!A1" display="Back to Table of Contents" xr:uid="{00000000-0004-0000-A200-000000000000}"/>
  </hyperlink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tabColor theme="5" tint="0.39997558519241921"/>
  </sheetPr>
  <dimension ref="A1:H5"/>
  <sheetViews>
    <sheetView showGridLines="0" zoomScaleNormal="100" workbookViewId="0"/>
  </sheetViews>
  <sheetFormatPr defaultColWidth="9.140625" defaultRowHeight="12.75" x14ac:dyDescent="0.2"/>
  <sheetData>
    <row r="1" spans="1:8" ht="17.25" customHeight="1" x14ac:dyDescent="0.2">
      <c r="A1" s="298" t="s">
        <v>1258</v>
      </c>
      <c r="B1" s="298"/>
      <c r="C1" s="298"/>
    </row>
    <row r="2" spans="1:8" ht="17.25" customHeight="1" x14ac:dyDescent="0.2">
      <c r="A2" s="106" t="s">
        <v>578</v>
      </c>
      <c r="B2" s="1031"/>
      <c r="C2" s="1031"/>
    </row>
    <row r="3" spans="1:8" ht="34.5" customHeight="1" x14ac:dyDescent="0.2">
      <c r="A3" s="1272" t="s">
        <v>1274</v>
      </c>
      <c r="B3" s="1272"/>
      <c r="C3" s="1272"/>
      <c r="D3" s="1272"/>
      <c r="E3" s="1272"/>
      <c r="F3" s="1272"/>
      <c r="G3" s="1272"/>
      <c r="H3" s="1272"/>
    </row>
    <row r="4" spans="1:8" ht="15" x14ac:dyDescent="0.25">
      <c r="A4" s="1032" t="s">
        <v>1246</v>
      </c>
    </row>
    <row r="5" spans="1:8" ht="15" x14ac:dyDescent="0.25">
      <c r="A5" s="1043" t="s">
        <v>1410</v>
      </c>
    </row>
  </sheetData>
  <sheetProtection algorithmName="SHA-512" hashValue="88DbAyc/LbFDdARIc21UsUqb0QO7cWSWSYjUwIPsnGY7joY1nSMuE5VGX8fPS2h8LHKYSv/B8b7ZZH7Lo0nvAw==" saltValue="wKHw7Bh3eqoC6QuDBJagKg==" spinCount="100000" sheet="1" scenarios="1" formatCells="0" formatColumns="0" formatRows="0" sort="0" autoFilter="0" pivotTables="0"/>
  <mergeCells count="1">
    <mergeCell ref="A3:H3"/>
  </mergeCells>
  <hyperlinks>
    <hyperlink ref="A2" location="'Table of Contents'!A1" display="Back to Table of Contents" xr:uid="{00000000-0004-0000-A300-000000000000}"/>
  </hyperlink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49">
    <tabColor theme="6"/>
    <pageSetUpPr fitToPage="1"/>
  </sheetPr>
  <dimension ref="A1:R97"/>
  <sheetViews>
    <sheetView showGridLines="0" workbookViewId="0">
      <pane ySplit="2" topLeftCell="A3" activePane="bottomLeft" state="frozen"/>
      <selection activeCellId="1" sqref="A1 A1"/>
      <selection pane="bottomLeft"/>
    </sheetView>
  </sheetViews>
  <sheetFormatPr defaultRowHeight="12.75" x14ac:dyDescent="0.2"/>
  <cols>
    <col min="1" max="1" width="16.5703125" customWidth="1"/>
    <col min="2" max="18" width="11.42578125" customWidth="1"/>
  </cols>
  <sheetData>
    <row r="1" spans="1:7" ht="15.75" x14ac:dyDescent="0.2">
      <c r="A1" s="298" t="s">
        <v>1135</v>
      </c>
    </row>
    <row r="2" spans="1:7" ht="15.75" customHeight="1" x14ac:dyDescent="0.2">
      <c r="A2" s="106" t="s">
        <v>578</v>
      </c>
    </row>
    <row r="3" spans="1:7" ht="38.25" customHeight="1" x14ac:dyDescent="0.2">
      <c r="A3" s="237" t="s">
        <v>1117</v>
      </c>
      <c r="C3" s="530"/>
      <c r="D3" s="530"/>
      <c r="F3" s="530"/>
      <c r="G3" s="530"/>
    </row>
    <row r="4" spans="1:7" ht="15.75" customHeight="1" x14ac:dyDescent="0.25">
      <c r="A4" s="351" t="s">
        <v>579</v>
      </c>
      <c r="B4" s="1069" t="s">
        <v>1415</v>
      </c>
      <c r="C4" s="371"/>
      <c r="D4" s="371"/>
      <c r="E4" s="371"/>
      <c r="F4" s="371"/>
      <c r="G4" s="371"/>
    </row>
    <row r="5" spans="1:7" ht="15.75" customHeight="1" x14ac:dyDescent="0.25">
      <c r="A5" s="351" t="s">
        <v>580</v>
      </c>
      <c r="B5" s="351" t="s">
        <v>581</v>
      </c>
      <c r="C5" s="371"/>
      <c r="D5" s="371"/>
      <c r="E5" s="371"/>
      <c r="F5" s="371"/>
      <c r="G5" s="371"/>
    </row>
    <row r="6" spans="1:7" ht="15.75" customHeight="1" x14ac:dyDescent="0.25">
      <c r="A6" s="351" t="s">
        <v>582</v>
      </c>
      <c r="B6" s="351" t="s">
        <v>585</v>
      </c>
      <c r="C6" s="371"/>
      <c r="D6" s="371"/>
      <c r="E6" s="371"/>
      <c r="F6" s="371"/>
      <c r="G6" s="371"/>
    </row>
    <row r="7" spans="1:7" ht="32.25" customHeight="1" x14ac:dyDescent="0.25">
      <c r="A7" s="708" t="s">
        <v>1099</v>
      </c>
      <c r="B7" s="371"/>
    </row>
    <row r="8" spans="1:7" ht="30.75" customHeight="1" x14ac:dyDescent="0.2">
      <c r="A8" s="27" t="s">
        <v>4</v>
      </c>
      <c r="B8" s="27" t="s">
        <v>158</v>
      </c>
      <c r="C8" s="27" t="s">
        <v>159</v>
      </c>
      <c r="D8" s="27" t="s">
        <v>560</v>
      </c>
    </row>
    <row r="9" spans="1:7" ht="14.25" customHeight="1" x14ac:dyDescent="0.2">
      <c r="A9" s="489" t="s">
        <v>292</v>
      </c>
      <c r="B9" s="508">
        <f>Tref!C34</f>
        <v>2699931</v>
      </c>
      <c r="C9" s="508">
        <f>Tref!D34</f>
        <v>2531969</v>
      </c>
      <c r="D9" s="508">
        <f>Tref!B5</f>
        <v>5231900</v>
      </c>
    </row>
    <row r="10" spans="1:7" ht="14.25" customHeight="1" x14ac:dyDescent="0.2">
      <c r="A10" s="486" t="s">
        <v>291</v>
      </c>
      <c r="B10" s="495">
        <f>Tref!C35</f>
        <v>2713982</v>
      </c>
      <c r="C10" s="495">
        <f>Tref!D35</f>
        <v>2548218</v>
      </c>
      <c r="D10" s="495">
        <f>Tref!B6</f>
        <v>5262200</v>
      </c>
    </row>
    <row r="11" spans="1:7" ht="14.25" customHeight="1" x14ac:dyDescent="0.2">
      <c r="A11" s="486" t="s">
        <v>290</v>
      </c>
      <c r="B11" s="495">
        <f>Tref!C36</f>
        <v>2729600</v>
      </c>
      <c r="C11" s="495">
        <f>Tref!D36</f>
        <v>2570300</v>
      </c>
      <c r="D11" s="495">
        <f>Tref!B7</f>
        <v>5299900</v>
      </c>
    </row>
    <row r="12" spans="1:7" ht="14.25" customHeight="1" x14ac:dyDescent="0.2">
      <c r="A12" s="486" t="s">
        <v>289</v>
      </c>
      <c r="B12" s="495">
        <f>Tref!C37</f>
        <v>2736310</v>
      </c>
      <c r="C12" s="495">
        <f>Tref!D37</f>
        <v>2577290</v>
      </c>
      <c r="D12" s="495">
        <f>Tref!B8</f>
        <v>5313600</v>
      </c>
    </row>
    <row r="13" spans="1:7" ht="14.25" customHeight="1" x14ac:dyDescent="0.2">
      <c r="A13" s="486" t="s">
        <v>288</v>
      </c>
      <c r="B13" s="495">
        <f>Tref!C38</f>
        <v>2741020</v>
      </c>
      <c r="C13" s="495">
        <f>Tref!D38</f>
        <v>2586680</v>
      </c>
      <c r="D13" s="495">
        <f>Tref!B9</f>
        <v>5327700</v>
      </c>
    </row>
    <row r="14" spans="1:7" ht="14.25" customHeight="1" x14ac:dyDescent="0.2">
      <c r="A14" s="486" t="s">
        <v>287</v>
      </c>
      <c r="B14" s="495">
        <f>Tref!C39</f>
        <v>2751070</v>
      </c>
      <c r="C14" s="495">
        <f>Tref!D39</f>
        <v>2596530</v>
      </c>
      <c r="D14" s="495">
        <f>Tref!B10</f>
        <v>5347600</v>
      </c>
    </row>
    <row r="15" spans="1:7" ht="14.25" customHeight="1" x14ac:dyDescent="0.2">
      <c r="A15" s="486" t="s">
        <v>286</v>
      </c>
      <c r="B15" s="495">
        <f>Tref!C40</f>
        <v>2762531</v>
      </c>
      <c r="C15" s="495">
        <f>Tref!D40</f>
        <v>2610469</v>
      </c>
      <c r="D15" s="495">
        <f>Tref!B11</f>
        <v>5373000</v>
      </c>
    </row>
    <row r="16" spans="1:7" ht="14.25" customHeight="1" x14ac:dyDescent="0.2">
      <c r="A16" s="486" t="s">
        <v>506</v>
      </c>
      <c r="B16" s="495">
        <f>Tref!C41</f>
        <v>2777197</v>
      </c>
      <c r="C16" s="495">
        <f>Tref!D41</f>
        <v>2627503</v>
      </c>
      <c r="D16" s="495">
        <f>Tref!B12</f>
        <v>5404700</v>
      </c>
    </row>
    <row r="17" spans="1:18" ht="14.25" customHeight="1" x14ac:dyDescent="0.2">
      <c r="A17" s="486" t="s">
        <v>743</v>
      </c>
      <c r="B17" s="495">
        <f>Tref!C42</f>
        <v>2784500</v>
      </c>
      <c r="C17" s="495">
        <f>Tref!D42</f>
        <v>2640300</v>
      </c>
      <c r="D17" s="495">
        <f>Tref!B13</f>
        <v>5424800</v>
      </c>
    </row>
    <row r="18" spans="1:18" ht="14.25" customHeight="1" x14ac:dyDescent="0.2">
      <c r="A18" s="486" t="s">
        <v>750</v>
      </c>
      <c r="B18" s="495">
        <f>Tref!C43</f>
        <v>2789349</v>
      </c>
      <c r="C18" s="495">
        <f>Tref!D43</f>
        <v>2648751</v>
      </c>
      <c r="D18" s="495">
        <f>Tref!B14</f>
        <v>5438100</v>
      </c>
    </row>
    <row r="19" spans="1:18" ht="14.25" customHeight="1" x14ac:dyDescent="0.2">
      <c r="A19" s="486" t="s">
        <v>1425</v>
      </c>
      <c r="B19" s="495">
        <f>Tref!C44</f>
        <v>2800297</v>
      </c>
      <c r="C19" s="495">
        <f>Tref!D44</f>
        <v>2663003</v>
      </c>
      <c r="D19" s="495">
        <f>Tref!B15</f>
        <v>5463300</v>
      </c>
    </row>
    <row r="20" spans="1:18" ht="14.25" customHeight="1" thickBot="1" x14ac:dyDescent="0.25">
      <c r="A20" s="493" t="s">
        <v>1573</v>
      </c>
      <c r="B20" s="796">
        <f>Tref!C45</f>
        <v>2800788</v>
      </c>
      <c r="C20" s="796">
        <f>Tref!D45</f>
        <v>2665212</v>
      </c>
      <c r="D20" s="796">
        <f>Tref!B16</f>
        <v>5466000</v>
      </c>
    </row>
    <row r="21" spans="1:18" ht="14.25" customHeight="1" x14ac:dyDescent="0.2">
      <c r="D21" s="486"/>
    </row>
    <row r="22" spans="1:18" ht="21.75" customHeight="1" x14ac:dyDescent="0.25">
      <c r="A22" s="708" t="s">
        <v>1100</v>
      </c>
    </row>
    <row r="23" spans="1:18" ht="19.5" customHeight="1" x14ac:dyDescent="0.2">
      <c r="A23" s="27" t="s">
        <v>4</v>
      </c>
      <c r="B23" s="27" t="str">
        <f>'Casualty Age Rate'!O10</f>
        <v>0-4</v>
      </c>
      <c r="C23" s="27" t="str">
        <f>'Casualty Age Rate'!P10</f>
        <v>5-16</v>
      </c>
      <c r="D23" s="27" t="str">
        <f>'Casualty Age Rate'!Q10</f>
        <v>17-29</v>
      </c>
      <c r="E23" s="27" t="str">
        <f>'Casualty Age Rate'!R10</f>
        <v>30-39</v>
      </c>
      <c r="F23" s="27" t="str">
        <f>'Casualty Age Rate'!S10</f>
        <v>40-49</v>
      </c>
      <c r="G23" s="27" t="str">
        <f>'Casualty Age Rate'!T10</f>
        <v>50-59</v>
      </c>
      <c r="H23" s="27" t="str">
        <f>'Casualty Age Rate'!U10</f>
        <v>60-69</v>
      </c>
      <c r="I23" s="27" t="str">
        <f>'Casualty Age Rate'!V10</f>
        <v>70-79</v>
      </c>
      <c r="J23" s="27" t="str">
        <f>'Casualty Age Rate'!W10</f>
        <v>80-89</v>
      </c>
      <c r="K23" s="27" t="str">
        <f>'Casualty Age Rate'!X10</f>
        <v>90+</v>
      </c>
      <c r="L23" s="27" t="str">
        <f>'Casualty Age Rate'!Y10</f>
        <v>Total</v>
      </c>
      <c r="N23" s="1161" t="s">
        <v>4</v>
      </c>
      <c r="O23" s="1161" t="s">
        <v>175</v>
      </c>
      <c r="P23" s="1161" t="s">
        <v>176</v>
      </c>
      <c r="Q23" s="1161" t="s">
        <v>177</v>
      </c>
      <c r="R23" s="1161" t="s">
        <v>178</v>
      </c>
    </row>
    <row r="24" spans="1:18" ht="14.25" customHeight="1" x14ac:dyDescent="0.2">
      <c r="A24" s="489" t="s">
        <v>292</v>
      </c>
      <c r="B24" s="508">
        <f>Tref!C58</f>
        <v>287506</v>
      </c>
      <c r="C24" s="508">
        <f>Tref!D58</f>
        <v>893916</v>
      </c>
      <c r="D24" s="508">
        <f>Tref!E58</f>
        <v>666974</v>
      </c>
      <c r="E24" s="508">
        <f>Tref!F58</f>
        <v>805633</v>
      </c>
      <c r="F24" s="508">
        <f>Tref!G58</f>
        <v>687181</v>
      </c>
      <c r="G24" s="508">
        <f>Tref!H58</f>
        <v>696803</v>
      </c>
      <c r="H24" s="508">
        <f>Tref!I58</f>
        <v>577319</v>
      </c>
      <c r="I24" s="508">
        <f>Tref!J58</f>
        <v>394438</v>
      </c>
      <c r="J24" s="508">
        <f>Tref!K58</f>
        <v>193058</v>
      </c>
      <c r="K24" s="508">
        <f>Tref!L58</f>
        <v>29072</v>
      </c>
      <c r="L24" s="508">
        <f>SUM(B24:K24)</f>
        <v>5231900</v>
      </c>
      <c r="N24" s="486" t="s">
        <v>292</v>
      </c>
      <c r="O24" s="495">
        <f>Tref!C5</f>
        <v>984309</v>
      </c>
      <c r="P24" s="495">
        <f>Tref!D5</f>
        <v>893916</v>
      </c>
      <c r="Q24" s="495">
        <f>Tref!E5</f>
        <v>2159788</v>
      </c>
      <c r="R24" s="495">
        <f>Tref!F5</f>
        <v>1193887</v>
      </c>
    </row>
    <row r="25" spans="1:18" ht="14.25" customHeight="1" x14ac:dyDescent="0.2">
      <c r="A25" s="486" t="s">
        <v>291</v>
      </c>
      <c r="B25" s="495">
        <f>Tref!C59</f>
        <v>290920</v>
      </c>
      <c r="C25" s="495">
        <f>Tref!D59</f>
        <v>903573</v>
      </c>
      <c r="D25" s="495">
        <f>Tref!E59</f>
        <v>662431</v>
      </c>
      <c r="E25" s="495">
        <f>Tref!F59</f>
        <v>805190</v>
      </c>
      <c r="F25" s="495">
        <f>Tref!G59</f>
        <v>696374</v>
      </c>
      <c r="G25" s="495">
        <f>Tref!H59</f>
        <v>690176</v>
      </c>
      <c r="H25" s="495">
        <f>Tref!I59</f>
        <v>588297</v>
      </c>
      <c r="I25" s="495">
        <f>Tref!J59</f>
        <v>398192</v>
      </c>
      <c r="J25" s="495">
        <f>Tref!K59</f>
        <v>194617</v>
      </c>
      <c r="K25" s="495">
        <f>Tref!L59</f>
        <v>32430</v>
      </c>
      <c r="L25" s="495">
        <f t="shared" ref="L25:L35" si="0">SUM(B25:K25)</f>
        <v>5262200</v>
      </c>
      <c r="N25" s="486" t="s">
        <v>291</v>
      </c>
      <c r="O25" s="495">
        <f>Tref!C6</f>
        <v>981096</v>
      </c>
      <c r="P25" s="495">
        <f>Tref!D6</f>
        <v>903573</v>
      </c>
      <c r="Q25" s="495">
        <f>Tref!E6</f>
        <v>2163995</v>
      </c>
      <c r="R25" s="495">
        <f>Tref!F6</f>
        <v>1213536</v>
      </c>
    </row>
    <row r="26" spans="1:18" ht="14.25" customHeight="1" x14ac:dyDescent="0.2">
      <c r="A26" s="486" t="s">
        <v>290</v>
      </c>
      <c r="B26" s="495">
        <f>Tref!C60</f>
        <v>293586</v>
      </c>
      <c r="C26" s="495">
        <f>Tref!D60</f>
        <v>915437</v>
      </c>
      <c r="D26" s="495">
        <f>Tref!E60</f>
        <v>659887</v>
      </c>
      <c r="E26" s="495">
        <f>Tref!F60</f>
        <v>804433</v>
      </c>
      <c r="F26" s="495">
        <f>Tref!G60</f>
        <v>709241</v>
      </c>
      <c r="G26" s="495">
        <f>Tref!H60</f>
        <v>684489</v>
      </c>
      <c r="H26" s="495">
        <f>Tref!I60</f>
        <v>600876</v>
      </c>
      <c r="I26" s="495">
        <f>Tref!J60</f>
        <v>399511</v>
      </c>
      <c r="J26" s="495">
        <f>Tref!K60</f>
        <v>197271</v>
      </c>
      <c r="K26" s="495">
        <f>Tref!L60</f>
        <v>35169</v>
      </c>
      <c r="L26" s="495">
        <f t="shared" si="0"/>
        <v>5299900</v>
      </c>
      <c r="N26" s="486" t="s">
        <v>290</v>
      </c>
      <c r="O26" s="495">
        <f>Tref!C7</f>
        <v>978075</v>
      </c>
      <c r="P26" s="495">
        <f>Tref!D7</f>
        <v>915437</v>
      </c>
      <c r="Q26" s="495">
        <f>Tref!E7</f>
        <v>2173561</v>
      </c>
      <c r="R26" s="495">
        <f>Tref!F7</f>
        <v>1232827</v>
      </c>
    </row>
    <row r="27" spans="1:18" ht="14.25" customHeight="1" x14ac:dyDescent="0.2">
      <c r="A27" s="486" t="s">
        <v>289</v>
      </c>
      <c r="B27" s="495">
        <f>Tref!C61</f>
        <v>295790</v>
      </c>
      <c r="C27" s="495">
        <f>Tref!D61</f>
        <v>914515</v>
      </c>
      <c r="D27" s="495">
        <f>Tref!E61</f>
        <v>654926</v>
      </c>
      <c r="E27" s="495">
        <f>Tref!F61</f>
        <v>795737</v>
      </c>
      <c r="F27" s="495">
        <f>Tref!G61</f>
        <v>724003</v>
      </c>
      <c r="G27" s="495">
        <f>Tref!H61</f>
        <v>680265</v>
      </c>
      <c r="H27" s="495">
        <f>Tref!I61</f>
        <v>608368</v>
      </c>
      <c r="I27" s="495">
        <f>Tref!J61</f>
        <v>402142</v>
      </c>
      <c r="J27" s="495">
        <f>Tref!K61</f>
        <v>200949</v>
      </c>
      <c r="K27" s="495">
        <f>Tref!L61</f>
        <v>36905</v>
      </c>
      <c r="L27" s="495">
        <f t="shared" si="0"/>
        <v>5313600</v>
      </c>
      <c r="N27" s="486" t="s">
        <v>289</v>
      </c>
      <c r="O27" s="495">
        <f>Tref!C8</f>
        <v>976055</v>
      </c>
      <c r="P27" s="495">
        <f>Tref!D8</f>
        <v>914515</v>
      </c>
      <c r="Q27" s="495">
        <f>Tref!E8</f>
        <v>2174666</v>
      </c>
      <c r="R27" s="495">
        <f>Tref!F8</f>
        <v>1248364</v>
      </c>
    </row>
    <row r="28" spans="1:18" ht="14.25" customHeight="1" x14ac:dyDescent="0.2">
      <c r="A28" s="486" t="s">
        <v>288</v>
      </c>
      <c r="B28" s="495">
        <f>Tref!C62</f>
        <v>294043</v>
      </c>
      <c r="C28" s="495">
        <f>Tref!D62</f>
        <v>914383</v>
      </c>
      <c r="D28" s="495">
        <f>Tref!E62</f>
        <v>654819</v>
      </c>
      <c r="E28" s="495">
        <f>Tref!F62</f>
        <v>782093</v>
      </c>
      <c r="F28" s="495">
        <f>Tref!G62</f>
        <v>738858</v>
      </c>
      <c r="G28" s="495">
        <f>Tref!H62</f>
        <v>679297</v>
      </c>
      <c r="H28" s="495">
        <f>Tref!I62</f>
        <v>614691</v>
      </c>
      <c r="I28" s="495">
        <f>Tref!J62</f>
        <v>408463</v>
      </c>
      <c r="J28" s="495">
        <f>Tref!K62</f>
        <v>203363</v>
      </c>
      <c r="K28" s="495">
        <f>Tref!L62</f>
        <v>37690</v>
      </c>
      <c r="L28" s="495">
        <f t="shared" si="0"/>
        <v>5327700</v>
      </c>
      <c r="N28" s="486" t="s">
        <v>288</v>
      </c>
      <c r="O28" s="495">
        <f>Tref!C9</f>
        <v>973340</v>
      </c>
      <c r="P28" s="495">
        <f>Tref!D9</f>
        <v>914383</v>
      </c>
      <c r="Q28" s="495">
        <f>Tref!E9</f>
        <v>2175770</v>
      </c>
      <c r="R28" s="495">
        <f>Tref!F9</f>
        <v>1264207</v>
      </c>
    </row>
    <row r="29" spans="1:18" ht="14.25" customHeight="1" x14ac:dyDescent="0.2">
      <c r="A29" s="486" t="s">
        <v>287</v>
      </c>
      <c r="B29" s="495">
        <f>Tref!C63</f>
        <v>291857</v>
      </c>
      <c r="C29" s="495">
        <f>Tref!D63</f>
        <v>915972</v>
      </c>
      <c r="D29" s="495">
        <f>Tref!E63</f>
        <v>658639</v>
      </c>
      <c r="E29" s="495">
        <f>Tref!F63</f>
        <v>764566</v>
      </c>
      <c r="F29" s="495">
        <f>Tref!G63</f>
        <v>753288</v>
      </c>
      <c r="G29" s="495">
        <f>Tref!H63</f>
        <v>679018</v>
      </c>
      <c r="H29" s="495">
        <f>Tref!I63</f>
        <v>621387</v>
      </c>
      <c r="I29" s="495">
        <f>Tref!J63</f>
        <v>416049</v>
      </c>
      <c r="J29" s="495">
        <f>Tref!K63</f>
        <v>207272</v>
      </c>
      <c r="K29" s="495">
        <f>Tref!L63</f>
        <v>39552</v>
      </c>
      <c r="L29" s="495">
        <f t="shared" si="0"/>
        <v>5347600</v>
      </c>
      <c r="N29" s="486" t="s">
        <v>287</v>
      </c>
      <c r="O29" s="495">
        <f>Tref!C10</f>
        <v>970875</v>
      </c>
      <c r="P29" s="495">
        <f>Tref!D10</f>
        <v>915972</v>
      </c>
      <c r="Q29" s="495">
        <f>Tref!E10</f>
        <v>2176493</v>
      </c>
      <c r="R29" s="495">
        <f>Tref!F10</f>
        <v>1284260</v>
      </c>
    </row>
    <row r="30" spans="1:18" ht="14.25" customHeight="1" x14ac:dyDescent="0.2">
      <c r="A30" s="486" t="s">
        <v>286</v>
      </c>
      <c r="B30" s="495">
        <f>Tref!C64</f>
        <v>291174</v>
      </c>
      <c r="C30" s="495">
        <f>Tref!D64</f>
        <v>920189</v>
      </c>
      <c r="D30" s="495">
        <f>Tref!E64</f>
        <v>668037</v>
      </c>
      <c r="E30" s="495">
        <f>Tref!F64</f>
        <v>745643</v>
      </c>
      <c r="F30" s="495">
        <f>Tref!G64</f>
        <v>768113</v>
      </c>
      <c r="G30" s="495">
        <f>Tref!H64</f>
        <v>679848</v>
      </c>
      <c r="H30" s="495">
        <f>Tref!I64</f>
        <v>629953</v>
      </c>
      <c r="I30" s="495">
        <f>Tref!J64</f>
        <v>419895</v>
      </c>
      <c r="J30" s="495">
        <f>Tref!K64</f>
        <v>210353</v>
      </c>
      <c r="K30" s="495">
        <f>Tref!L64</f>
        <v>39795</v>
      </c>
      <c r="L30" s="495">
        <f t="shared" si="0"/>
        <v>5373000</v>
      </c>
      <c r="N30" s="486" t="s">
        <v>286</v>
      </c>
      <c r="O30" s="495">
        <f>Tref!C11</f>
        <v>971022</v>
      </c>
      <c r="P30" s="495">
        <f>Tref!D11</f>
        <v>920189</v>
      </c>
      <c r="Q30" s="495">
        <f>Tref!E11</f>
        <v>2181793</v>
      </c>
      <c r="R30" s="495">
        <f>Tref!F11</f>
        <v>1299996</v>
      </c>
    </row>
    <row r="31" spans="1:18" ht="14.25" customHeight="1" x14ac:dyDescent="0.2">
      <c r="A31" s="486" t="s">
        <v>506</v>
      </c>
      <c r="B31" s="495">
        <f>Tref!C65</f>
        <v>287238</v>
      </c>
      <c r="C31" s="495">
        <f>Tref!D65</f>
        <v>924449</v>
      </c>
      <c r="D31" s="495">
        <f>Tref!E65</f>
        <v>679666</v>
      </c>
      <c r="E31" s="495">
        <f>Tref!F65</f>
        <v>729889</v>
      </c>
      <c r="F31" s="495">
        <f>Tref!G65</f>
        <v>777512</v>
      </c>
      <c r="G31" s="495">
        <f>Tref!H65</f>
        <v>685542</v>
      </c>
      <c r="H31" s="495">
        <f>Tref!I65</f>
        <v>639076</v>
      </c>
      <c r="I31" s="495">
        <f>Tref!J65</f>
        <v>425865</v>
      </c>
      <c r="J31" s="495">
        <f>Tref!K65</f>
        <v>214396</v>
      </c>
      <c r="K31" s="495">
        <f>Tref!L65</f>
        <v>41067</v>
      </c>
      <c r="L31" s="495">
        <f t="shared" si="0"/>
        <v>5404700</v>
      </c>
      <c r="N31" s="486" t="s">
        <v>506</v>
      </c>
      <c r="O31" s="495">
        <f>Tref!C12</f>
        <v>972780</v>
      </c>
      <c r="P31" s="495">
        <f>Tref!D12</f>
        <v>924449</v>
      </c>
      <c r="Q31" s="495">
        <f>Tref!E12</f>
        <v>2187067</v>
      </c>
      <c r="R31" s="495">
        <f>Tref!F12</f>
        <v>1320404</v>
      </c>
    </row>
    <row r="32" spans="1:18" ht="14.25" customHeight="1" x14ac:dyDescent="0.2">
      <c r="A32" s="486" t="s">
        <v>743</v>
      </c>
      <c r="B32" s="495">
        <f>Tref!C66</f>
        <v>282106</v>
      </c>
      <c r="C32" s="495">
        <f>Tref!D66</f>
        <v>920015</v>
      </c>
      <c r="D32" s="495">
        <f>Tref!E66</f>
        <v>694133</v>
      </c>
      <c r="E32" s="495">
        <f>Tref!F66</f>
        <v>710103</v>
      </c>
      <c r="F32" s="495">
        <f>Tref!G66</f>
        <v>785935</v>
      </c>
      <c r="G32" s="495">
        <f>Tref!H66</f>
        <v>690930</v>
      </c>
      <c r="H32" s="495">
        <f>Tref!I66</f>
        <v>634077</v>
      </c>
      <c r="I32" s="495">
        <f>Tref!J66</f>
        <v>447792</v>
      </c>
      <c r="J32" s="495">
        <f>Tref!K66</f>
        <v>217984</v>
      </c>
      <c r="K32" s="495">
        <f>Tref!L66</f>
        <v>41725</v>
      </c>
      <c r="L32" s="495">
        <f t="shared" si="0"/>
        <v>5424800</v>
      </c>
      <c r="N32" s="486" t="s">
        <v>743</v>
      </c>
      <c r="O32" s="495">
        <f>Tref!C13</f>
        <v>973036</v>
      </c>
      <c r="P32" s="495">
        <f>Tref!D13</f>
        <v>920015</v>
      </c>
      <c r="Q32" s="495">
        <f>Tref!E13</f>
        <v>2190171</v>
      </c>
      <c r="R32" s="495">
        <f>Tref!F13</f>
        <v>1341578</v>
      </c>
    </row>
    <row r="33" spans="1:18" ht="13.5" customHeight="1" x14ac:dyDescent="0.2">
      <c r="A33" s="486" t="s">
        <v>750</v>
      </c>
      <c r="B33" s="495">
        <f>Tref!C67</f>
        <v>276862</v>
      </c>
      <c r="C33" s="495">
        <f>Tref!D67</f>
        <v>910297</v>
      </c>
      <c r="D33" s="495">
        <f>Tref!E67</f>
        <v>709255</v>
      </c>
      <c r="E33" s="495">
        <f>Tref!F67</f>
        <v>691809</v>
      </c>
      <c r="F33" s="495">
        <f>Tref!G67</f>
        <v>791347</v>
      </c>
      <c r="G33" s="495">
        <f>Tref!H67</f>
        <v>696110</v>
      </c>
      <c r="H33" s="495">
        <f>Tref!I67</f>
        <v>636719</v>
      </c>
      <c r="I33" s="495">
        <f>Tref!J67</f>
        <v>462067</v>
      </c>
      <c r="J33" s="495">
        <f>Tref!K67</f>
        <v>221707</v>
      </c>
      <c r="K33" s="495">
        <f>Tref!L67</f>
        <v>41927</v>
      </c>
      <c r="L33" s="495">
        <f t="shared" si="0"/>
        <v>5438100</v>
      </c>
      <c r="N33" s="486" t="s">
        <v>750</v>
      </c>
      <c r="O33" s="495">
        <f>Tref!C14</f>
        <v>972972</v>
      </c>
      <c r="P33" s="495">
        <f>Tref!D14</f>
        <v>910297</v>
      </c>
      <c r="Q33" s="495">
        <f>Tref!E14</f>
        <v>2192411</v>
      </c>
      <c r="R33" s="495">
        <f>Tref!F14</f>
        <v>1362420</v>
      </c>
    </row>
    <row r="34" spans="1:18" ht="14.25" customHeight="1" x14ac:dyDescent="0.2">
      <c r="A34" s="486" t="s">
        <v>1425</v>
      </c>
      <c r="B34" s="495">
        <f>Tref!C68</f>
        <v>271715</v>
      </c>
      <c r="C34" s="495">
        <f>Tref!D68</f>
        <v>901925</v>
      </c>
      <c r="D34" s="495">
        <f>Tref!E68</f>
        <v>721985</v>
      </c>
      <c r="E34" s="495">
        <f>Tref!F68</f>
        <v>680890</v>
      </c>
      <c r="F34" s="495">
        <f>Tref!G68</f>
        <v>794213</v>
      </c>
      <c r="G34" s="495">
        <f>Tref!H68</f>
        <v>703734</v>
      </c>
      <c r="H34" s="495">
        <f>Tref!I68</f>
        <v>644137</v>
      </c>
      <c r="I34" s="495">
        <f>Tref!J68</f>
        <v>474807</v>
      </c>
      <c r="J34" s="495">
        <f>Tref!K68</f>
        <v>226236</v>
      </c>
      <c r="K34" s="495">
        <f>Tref!L68</f>
        <v>43658</v>
      </c>
      <c r="L34" s="495">
        <f t="shared" si="0"/>
        <v>5463300</v>
      </c>
      <c r="N34" s="486" t="s">
        <v>1425</v>
      </c>
      <c r="O34" s="495">
        <f>Tref!C15</f>
        <v>975449</v>
      </c>
      <c r="P34" s="495">
        <f>Tref!D15</f>
        <v>901925</v>
      </c>
      <c r="Q34" s="495">
        <f>Tref!E15</f>
        <v>2197088</v>
      </c>
      <c r="R34" s="495">
        <f>Tref!F15</f>
        <v>1388838</v>
      </c>
    </row>
    <row r="35" spans="1:18" ht="14.25" customHeight="1" thickBot="1" x14ac:dyDescent="0.25">
      <c r="A35" s="493" t="s">
        <v>1573</v>
      </c>
      <c r="B35" s="796">
        <f>Tref!C69</f>
        <v>263806</v>
      </c>
      <c r="C35" s="796">
        <f>Tref!D69</f>
        <v>888196</v>
      </c>
      <c r="D35" s="796">
        <f>Tref!E69</f>
        <v>729735</v>
      </c>
      <c r="E35" s="796">
        <f>Tref!F69</f>
        <v>674290</v>
      </c>
      <c r="F35" s="796">
        <f>Tref!G69</f>
        <v>792457</v>
      </c>
      <c r="G35" s="796">
        <f>Tref!H69</f>
        <v>708867</v>
      </c>
      <c r="H35" s="796">
        <f>Tref!I69</f>
        <v>653002</v>
      </c>
      <c r="I35" s="796">
        <f>Tref!J69</f>
        <v>484040</v>
      </c>
      <c r="J35" s="796">
        <f>Tref!K69</f>
        <v>227858</v>
      </c>
      <c r="K35" s="796">
        <f>Tref!L69</f>
        <v>43749</v>
      </c>
      <c r="L35" s="796">
        <f t="shared" si="0"/>
        <v>5466000</v>
      </c>
      <c r="N35" s="493" t="s">
        <v>1573</v>
      </c>
      <c r="O35" s="796">
        <f>Tref!C16</f>
        <v>972673</v>
      </c>
      <c r="P35" s="796">
        <f>Tref!D16</f>
        <v>888196</v>
      </c>
      <c r="Q35" s="796">
        <f>Tref!E16</f>
        <v>2196482</v>
      </c>
      <c r="R35" s="796">
        <f>Tref!F16</f>
        <v>1408649</v>
      </c>
    </row>
    <row r="36" spans="1:18" ht="14.25" customHeight="1" x14ac:dyDescent="0.2"/>
    <row r="37" spans="1:18" ht="14.25" customHeight="1" x14ac:dyDescent="0.25">
      <c r="A37" s="708" t="s">
        <v>1109</v>
      </c>
    </row>
    <row r="38" spans="1:18" ht="51.75" customHeight="1" x14ac:dyDescent="0.25">
      <c r="A38" s="27" t="s">
        <v>4</v>
      </c>
      <c r="B38" s="840" t="s">
        <v>1004</v>
      </c>
      <c r="C38" s="840">
        <v>2</v>
      </c>
      <c r="D38" s="840">
        <v>3</v>
      </c>
      <c r="E38" s="840">
        <v>4</v>
      </c>
      <c r="F38" s="840" t="s">
        <v>1005</v>
      </c>
      <c r="G38" s="841" t="s">
        <v>11</v>
      </c>
    </row>
    <row r="39" spans="1:18" ht="14.25" customHeight="1" x14ac:dyDescent="0.2">
      <c r="A39" s="489" t="s">
        <v>289</v>
      </c>
      <c r="B39" s="354">
        <f>T_simd!B42</f>
        <v>1053621</v>
      </c>
      <c r="C39" s="354">
        <f>T_simd!C42</f>
        <v>1052734</v>
      </c>
      <c r="D39" s="354">
        <f>T_simd!D42</f>
        <v>1061383</v>
      </c>
      <c r="E39" s="354">
        <f>T_simd!E42</f>
        <v>1060010</v>
      </c>
      <c r="F39" s="354">
        <f>T_simd!F42</f>
        <v>1085852</v>
      </c>
      <c r="G39" s="354">
        <f>T_simd!H42</f>
        <v>5313600</v>
      </c>
    </row>
    <row r="40" spans="1:18" ht="14.25" customHeight="1" x14ac:dyDescent="0.2">
      <c r="A40" s="486" t="s">
        <v>288</v>
      </c>
      <c r="B40" s="191">
        <f>T_simd!B43</f>
        <v>1052242</v>
      </c>
      <c r="C40" s="191">
        <f>T_simd!C43</f>
        <v>1051706</v>
      </c>
      <c r="D40" s="191">
        <f>T_simd!D43</f>
        <v>1062201</v>
      </c>
      <c r="E40" s="191">
        <f>T_simd!E43</f>
        <v>1066971</v>
      </c>
      <c r="F40" s="191">
        <f>T_simd!F43</f>
        <v>1094580</v>
      </c>
      <c r="G40" s="191">
        <f>T_simd!H43</f>
        <v>5327700</v>
      </c>
    </row>
    <row r="41" spans="1:18" ht="14.25" customHeight="1" x14ac:dyDescent="0.2">
      <c r="A41" s="486" t="s">
        <v>287</v>
      </c>
      <c r="B41" s="191">
        <f>T_simd!B44</f>
        <v>1051892</v>
      </c>
      <c r="C41" s="191">
        <f>T_simd!C44</f>
        <v>1052469</v>
      </c>
      <c r="D41" s="191">
        <f>T_simd!D44</f>
        <v>1063532</v>
      </c>
      <c r="E41" s="191">
        <f>T_simd!E44</f>
        <v>1076943</v>
      </c>
      <c r="F41" s="191">
        <f>T_simd!F44</f>
        <v>1102764</v>
      </c>
      <c r="G41" s="191">
        <f>T_simd!H44</f>
        <v>5347600</v>
      </c>
    </row>
    <row r="42" spans="1:18" ht="14.25" customHeight="1" x14ac:dyDescent="0.2">
      <c r="A42" s="486" t="s">
        <v>286</v>
      </c>
      <c r="B42" s="191">
        <f>T_simd!B45</f>
        <v>1054168</v>
      </c>
      <c r="C42" s="191">
        <f>T_simd!C45</f>
        <v>1055402</v>
      </c>
      <c r="D42" s="191">
        <f>T_simd!D45</f>
        <v>1065989</v>
      </c>
      <c r="E42" s="191">
        <f>T_simd!E45</f>
        <v>1087470</v>
      </c>
      <c r="F42" s="191">
        <f>T_simd!F45</f>
        <v>1109971</v>
      </c>
      <c r="G42" s="191">
        <f>T_simd!H45</f>
        <v>5373000</v>
      </c>
    </row>
    <row r="43" spans="1:18" ht="14.25" customHeight="1" x14ac:dyDescent="0.2">
      <c r="A43" s="486" t="s">
        <v>506</v>
      </c>
      <c r="B43" s="191">
        <f>T_simd!B46</f>
        <v>1058713</v>
      </c>
      <c r="C43" s="191">
        <f>T_simd!C46</f>
        <v>1057929</v>
      </c>
      <c r="D43" s="191">
        <f>T_simd!D46</f>
        <v>1070719</v>
      </c>
      <c r="E43" s="191">
        <f>T_simd!E46</f>
        <v>1099208</v>
      </c>
      <c r="F43" s="191">
        <f>T_simd!F46</f>
        <v>1118131</v>
      </c>
      <c r="G43" s="191">
        <f>T_simd!H46</f>
        <v>5404700</v>
      </c>
    </row>
    <row r="44" spans="1:18" ht="14.25" customHeight="1" x14ac:dyDescent="0.2">
      <c r="A44" s="486" t="s">
        <v>743</v>
      </c>
      <c r="B44" s="191">
        <f>T_simd!B47</f>
        <v>1059288</v>
      </c>
      <c r="C44" s="191">
        <f>T_simd!C47</f>
        <v>1059104</v>
      </c>
      <c r="D44" s="191">
        <f>T_simd!D47</f>
        <v>1072629</v>
      </c>
      <c r="E44" s="191">
        <f>T_simd!E47</f>
        <v>1110521</v>
      </c>
      <c r="F44" s="191">
        <f>T_simd!F47</f>
        <v>1123258</v>
      </c>
      <c r="G44" s="191">
        <f>T_simd!H47</f>
        <v>5424800</v>
      </c>
    </row>
    <row r="45" spans="1:18" ht="14.25" customHeight="1" x14ac:dyDescent="0.2">
      <c r="A45" s="486" t="s">
        <v>750</v>
      </c>
      <c r="B45" s="191">
        <f>T_simd!B48</f>
        <v>1059180</v>
      </c>
      <c r="C45" s="191">
        <f>T_simd!C48</f>
        <v>1058116</v>
      </c>
      <c r="D45" s="191">
        <f>T_simd!D48</f>
        <v>1075006</v>
      </c>
      <c r="E45" s="191">
        <f>T_simd!E48</f>
        <v>1120192</v>
      </c>
      <c r="F45" s="191">
        <f>T_simd!F48</f>
        <v>1125606</v>
      </c>
      <c r="G45" s="191">
        <f>T_simd!H48</f>
        <v>5438100</v>
      </c>
    </row>
    <row r="46" spans="1:18" ht="14.25" customHeight="1" x14ac:dyDescent="0.2">
      <c r="A46" s="486" t="s">
        <v>1425</v>
      </c>
      <c r="B46" s="191">
        <f>T_simd!B49</f>
        <v>1060939</v>
      </c>
      <c r="C46" s="191">
        <f>T_simd!C49</f>
        <v>1060924</v>
      </c>
      <c r="D46" s="191">
        <f>T_simd!D49</f>
        <v>1078198</v>
      </c>
      <c r="E46" s="191">
        <f>T_simd!E49</f>
        <v>1132425</v>
      </c>
      <c r="F46" s="191">
        <f>T_simd!F49</f>
        <v>1130814</v>
      </c>
      <c r="G46" s="191">
        <f>T_simd!H49</f>
        <v>5463300</v>
      </c>
    </row>
    <row r="47" spans="1:18" ht="14.25" customHeight="1" thickBot="1" x14ac:dyDescent="0.25">
      <c r="A47" s="493" t="s">
        <v>1573</v>
      </c>
      <c r="B47" s="492">
        <f>T_simd!B50</f>
        <v>1057767</v>
      </c>
      <c r="C47" s="492">
        <f>T_simd!C50</f>
        <v>1057929</v>
      </c>
      <c r="D47" s="492">
        <f>T_simd!D50</f>
        <v>1077589</v>
      </c>
      <c r="E47" s="492">
        <f>T_simd!E50</f>
        <v>1140448</v>
      </c>
      <c r="F47" s="492">
        <f>T_simd!F50</f>
        <v>1132267</v>
      </c>
      <c r="G47" s="492">
        <f>T_simd!H50</f>
        <v>5466000</v>
      </c>
    </row>
    <row r="48" spans="1:18" ht="14.25" customHeight="1" x14ac:dyDescent="0.2">
      <c r="A48" s="860"/>
      <c r="B48" s="191"/>
      <c r="C48" s="191"/>
      <c r="D48" s="191"/>
      <c r="E48" s="191"/>
      <c r="F48" s="191"/>
      <c r="G48" s="191"/>
    </row>
    <row r="49" spans="1:8" ht="14.25" customHeight="1" x14ac:dyDescent="0.25">
      <c r="A49" s="708" t="s">
        <v>1112</v>
      </c>
    </row>
    <row r="50" spans="1:8" ht="57" customHeight="1" x14ac:dyDescent="0.25">
      <c r="A50" s="27" t="s">
        <v>4</v>
      </c>
      <c r="B50" s="840" t="s">
        <v>1006</v>
      </c>
      <c r="C50" s="840" t="s">
        <v>1007</v>
      </c>
      <c r="D50" s="840" t="s">
        <v>1008</v>
      </c>
      <c r="E50" s="840" t="s">
        <v>1009</v>
      </c>
      <c r="F50" s="840" t="s">
        <v>1010</v>
      </c>
      <c r="G50" s="840" t="s">
        <v>1011</v>
      </c>
      <c r="H50" s="845" t="s">
        <v>11</v>
      </c>
    </row>
    <row r="51" spans="1:8" ht="14.25" customHeight="1" x14ac:dyDescent="0.2">
      <c r="A51" s="489" t="s">
        <v>289</v>
      </c>
      <c r="B51" s="354">
        <f>T_ur!B22</f>
        <v>1819758</v>
      </c>
      <c r="C51" s="354">
        <f>T_ur!C22</f>
        <v>1946513</v>
      </c>
      <c r="D51" s="354">
        <f>T_ur!D22</f>
        <v>461593</v>
      </c>
      <c r="E51" s="354">
        <f>T_ur!E22</f>
        <v>193502</v>
      </c>
      <c r="F51" s="354">
        <f>T_ur!F22</f>
        <v>576605</v>
      </c>
      <c r="G51" s="354">
        <f>T_ur!G22</f>
        <v>315629</v>
      </c>
      <c r="H51" s="354">
        <f>T_ur!I22</f>
        <v>5313600</v>
      </c>
    </row>
    <row r="52" spans="1:8" ht="14.25" customHeight="1" x14ac:dyDescent="0.2">
      <c r="A52" s="486" t="s">
        <v>288</v>
      </c>
      <c r="B52" s="191">
        <f>T_ur!B23</f>
        <v>1828026</v>
      </c>
      <c r="C52" s="191">
        <f>T_ur!C23</f>
        <v>1948246</v>
      </c>
      <c r="D52" s="191">
        <f>T_ur!D23</f>
        <v>463037</v>
      </c>
      <c r="E52" s="191">
        <f>T_ur!E23</f>
        <v>193081</v>
      </c>
      <c r="F52" s="191">
        <f>T_ur!F23</f>
        <v>580159</v>
      </c>
      <c r="G52" s="191">
        <f>T_ur!G23</f>
        <v>315151</v>
      </c>
      <c r="H52" s="191">
        <f>T_ur!I23</f>
        <v>5327700</v>
      </c>
    </row>
    <row r="53" spans="1:8" ht="14.25" customHeight="1" x14ac:dyDescent="0.2">
      <c r="A53" s="486" t="s">
        <v>287</v>
      </c>
      <c r="B53" s="191">
        <f>T_ur!B24</f>
        <v>1839393</v>
      </c>
      <c r="C53" s="191">
        <f>T_ur!C24</f>
        <v>1951361</v>
      </c>
      <c r="D53" s="191">
        <f>T_ur!D24</f>
        <v>463205</v>
      </c>
      <c r="E53" s="191">
        <f>T_ur!E24</f>
        <v>192400</v>
      </c>
      <c r="F53" s="191">
        <f>T_ur!F24</f>
        <v>585566</v>
      </c>
      <c r="G53" s="191">
        <f>T_ur!G24</f>
        <v>315675</v>
      </c>
      <c r="H53" s="191">
        <f>T_ur!I24</f>
        <v>5347600</v>
      </c>
    </row>
    <row r="54" spans="1:8" ht="14.25" customHeight="1" x14ac:dyDescent="0.2">
      <c r="A54" s="486" t="s">
        <v>286</v>
      </c>
      <c r="B54" s="191">
        <f>T_ur!B25</f>
        <v>1854344</v>
      </c>
      <c r="C54" s="191">
        <f>T_ur!C25</f>
        <v>1956221</v>
      </c>
      <c r="D54" s="191">
        <f>T_ur!D25</f>
        <v>463264</v>
      </c>
      <c r="E54" s="191">
        <f>T_ur!E25</f>
        <v>192266</v>
      </c>
      <c r="F54" s="191">
        <f>T_ur!F25</f>
        <v>591482</v>
      </c>
      <c r="G54" s="191">
        <f>T_ur!G25</f>
        <v>315423</v>
      </c>
      <c r="H54" s="191">
        <f>T_ur!I25</f>
        <v>5373000</v>
      </c>
    </row>
    <row r="55" spans="1:8" ht="14.25" customHeight="1" x14ac:dyDescent="0.2">
      <c r="A55" s="486" t="s">
        <v>506</v>
      </c>
      <c r="B55" s="191">
        <f>T_ur!B26</f>
        <v>1872642</v>
      </c>
      <c r="C55" s="191">
        <f>T_ur!C26</f>
        <v>1960470</v>
      </c>
      <c r="D55" s="191">
        <f>T_ur!D26</f>
        <v>465834</v>
      </c>
      <c r="E55" s="191">
        <f>T_ur!E26</f>
        <v>192175</v>
      </c>
      <c r="F55" s="191">
        <f>T_ur!F26</f>
        <v>598082</v>
      </c>
      <c r="G55" s="191">
        <f>T_ur!G26</f>
        <v>315497</v>
      </c>
      <c r="H55" s="191">
        <f>T_ur!I26</f>
        <v>5404700</v>
      </c>
    </row>
    <row r="56" spans="1:8" ht="14.25" customHeight="1" x14ac:dyDescent="0.2">
      <c r="A56" s="486" t="s">
        <v>743</v>
      </c>
      <c r="B56" s="191">
        <f>T_ur!B27</f>
        <v>1884644</v>
      </c>
      <c r="C56" s="191">
        <f>T_ur!C27</f>
        <v>1961709</v>
      </c>
      <c r="D56" s="191">
        <f>T_ur!D27</f>
        <v>467115</v>
      </c>
      <c r="E56" s="191">
        <f>T_ur!E27</f>
        <v>191497</v>
      </c>
      <c r="F56" s="191">
        <f>T_ur!F27</f>
        <v>603678</v>
      </c>
      <c r="G56" s="191">
        <f>T_ur!G27</f>
        <v>316157</v>
      </c>
      <c r="H56" s="191">
        <f>T_ur!I27</f>
        <v>5424800</v>
      </c>
    </row>
    <row r="57" spans="1:8" ht="14.25" customHeight="1" x14ac:dyDescent="0.2">
      <c r="A57" s="486" t="s">
        <v>750</v>
      </c>
      <c r="B57" s="191">
        <f>T_ur!B28</f>
        <v>1894973</v>
      </c>
      <c r="C57" s="191">
        <f>T_ur!C28</f>
        <v>1959405</v>
      </c>
      <c r="D57" s="191">
        <f>T_ur!D28</f>
        <v>467717</v>
      </c>
      <c r="E57" s="191">
        <f>T_ur!E28</f>
        <v>191207</v>
      </c>
      <c r="F57" s="191">
        <f>T_ur!F28</f>
        <v>608611</v>
      </c>
      <c r="G57" s="191">
        <f>T_ur!G28</f>
        <v>316187</v>
      </c>
      <c r="H57" s="191">
        <f>T_ur!I28</f>
        <v>5438100</v>
      </c>
    </row>
    <row r="58" spans="1:8" ht="14.25" customHeight="1" x14ac:dyDescent="0.2">
      <c r="A58" s="486" t="s">
        <v>1425</v>
      </c>
      <c r="B58" s="191">
        <f>T_ur!B29</f>
        <v>1910606</v>
      </c>
      <c r="C58" s="191">
        <f>T_ur!C29</f>
        <v>1960069</v>
      </c>
      <c r="D58" s="191">
        <f>T_ur!D29</f>
        <v>468895</v>
      </c>
      <c r="E58" s="191">
        <f>T_ur!E29</f>
        <v>191028</v>
      </c>
      <c r="F58" s="191">
        <f>T_ur!F29</f>
        <v>616536</v>
      </c>
      <c r="G58" s="191">
        <f>T_ur!G29</f>
        <v>316166</v>
      </c>
      <c r="H58" s="191">
        <f>T_ur!I29</f>
        <v>5463300</v>
      </c>
    </row>
    <row r="59" spans="1:8" ht="14.25" customHeight="1" thickBot="1" x14ac:dyDescent="0.25">
      <c r="A59" s="493" t="s">
        <v>1573</v>
      </c>
      <c r="B59" s="492">
        <f>T_ur!B30</f>
        <v>1914450</v>
      </c>
      <c r="C59" s="492">
        <f>T_ur!C30</f>
        <v>1954572</v>
      </c>
      <c r="D59" s="492">
        <f>T_ur!D30</f>
        <v>468634</v>
      </c>
      <c r="E59" s="492">
        <f>T_ur!E30</f>
        <v>189997</v>
      </c>
      <c r="F59" s="492">
        <f>T_ur!F30</f>
        <v>623257</v>
      </c>
      <c r="G59" s="492">
        <f>T_ur!G30</f>
        <v>315090</v>
      </c>
      <c r="H59" s="492">
        <f>T_ur!I30</f>
        <v>5466000</v>
      </c>
    </row>
    <row r="60" spans="1:8" ht="14.25" customHeight="1" x14ac:dyDescent="0.2">
      <c r="A60" s="191"/>
      <c r="B60" s="191"/>
      <c r="C60" s="191"/>
      <c r="D60" s="191"/>
      <c r="E60" s="191"/>
      <c r="F60" s="191"/>
      <c r="G60" s="191"/>
    </row>
    <row r="61" spans="1:8" ht="14.25" customHeight="1" x14ac:dyDescent="0.2">
      <c r="A61" s="191"/>
      <c r="B61" s="191"/>
      <c r="C61" s="191"/>
      <c r="D61" s="191"/>
      <c r="E61" s="191"/>
      <c r="F61" s="191"/>
      <c r="G61" s="191"/>
    </row>
    <row r="62" spans="1:8" x14ac:dyDescent="0.2">
      <c r="A62" s="117" t="s">
        <v>146</v>
      </c>
    </row>
    <row r="63" spans="1:8" ht="15" x14ac:dyDescent="0.25">
      <c r="A63" s="966" t="s">
        <v>1234</v>
      </c>
    </row>
    <row r="64" spans="1:8" ht="15" x14ac:dyDescent="0.2">
      <c r="A64" s="1028" t="s">
        <v>1093</v>
      </c>
    </row>
    <row r="65" spans="1:3" ht="15" x14ac:dyDescent="0.25">
      <c r="A65" s="966" t="s">
        <v>1242</v>
      </c>
    </row>
    <row r="66" spans="1:3" ht="15" x14ac:dyDescent="0.2">
      <c r="A66" s="1028" t="s">
        <v>1238</v>
      </c>
      <c r="B66" s="225"/>
      <c r="C66" s="225"/>
    </row>
    <row r="67" spans="1:3" ht="15" x14ac:dyDescent="0.2">
      <c r="A67" s="1029"/>
      <c r="B67" s="225"/>
      <c r="C67" s="225"/>
    </row>
    <row r="68" spans="1:3" ht="15" x14ac:dyDescent="0.25">
      <c r="A68" s="966"/>
      <c r="B68" s="225"/>
      <c r="C68" s="225"/>
    </row>
    <row r="69" spans="1:3" x14ac:dyDescent="0.2">
      <c r="B69" s="225"/>
      <c r="C69" s="225"/>
    </row>
    <row r="70" spans="1:3" x14ac:dyDescent="0.2">
      <c r="A70" s="225"/>
      <c r="B70" s="225"/>
      <c r="C70" s="225"/>
    </row>
    <row r="71" spans="1:3" x14ac:dyDescent="0.2">
      <c r="A71" s="225"/>
      <c r="B71" s="225"/>
      <c r="C71" s="225"/>
    </row>
    <row r="72" spans="1:3" x14ac:dyDescent="0.2">
      <c r="A72" s="225"/>
      <c r="B72" s="225"/>
      <c r="C72" s="225"/>
    </row>
    <row r="73" spans="1:3" x14ac:dyDescent="0.2">
      <c r="A73" s="225"/>
      <c r="B73" s="225"/>
      <c r="C73" s="225"/>
    </row>
    <row r="74" spans="1:3" x14ac:dyDescent="0.2">
      <c r="A74" s="225"/>
      <c r="B74" s="225"/>
      <c r="C74" s="225"/>
    </row>
    <row r="75" spans="1:3" x14ac:dyDescent="0.2">
      <c r="A75" s="225"/>
      <c r="B75" s="225"/>
      <c r="C75" s="225"/>
    </row>
    <row r="76" spans="1:3" x14ac:dyDescent="0.2">
      <c r="A76" s="225"/>
      <c r="B76" s="225"/>
      <c r="C76" s="225"/>
    </row>
    <row r="77" spans="1:3" x14ac:dyDescent="0.2">
      <c r="A77" s="225"/>
      <c r="B77" s="225"/>
      <c r="C77" s="225"/>
    </row>
    <row r="78" spans="1:3" x14ac:dyDescent="0.2">
      <c r="A78" s="225"/>
      <c r="B78" s="225"/>
      <c r="C78" s="225"/>
    </row>
    <row r="79" spans="1:3" x14ac:dyDescent="0.2">
      <c r="A79" s="225"/>
      <c r="B79" s="225"/>
      <c r="C79" s="225"/>
    </row>
    <row r="80" spans="1:3" x14ac:dyDescent="0.2">
      <c r="A80" s="225"/>
      <c r="B80" s="225"/>
      <c r="C80" s="225"/>
    </row>
    <row r="81" spans="1:3" x14ac:dyDescent="0.2">
      <c r="A81" s="225"/>
      <c r="B81" s="225"/>
      <c r="C81" s="225"/>
    </row>
    <row r="82" spans="1:3" x14ac:dyDescent="0.2">
      <c r="A82" s="225"/>
      <c r="B82" s="225"/>
      <c r="C82" s="225"/>
    </row>
    <row r="83" spans="1:3" x14ac:dyDescent="0.2">
      <c r="A83" s="225"/>
      <c r="B83" s="225"/>
      <c r="C83" s="225"/>
    </row>
    <row r="84" spans="1:3" x14ac:dyDescent="0.2">
      <c r="A84" s="225"/>
      <c r="B84" s="225"/>
      <c r="C84" s="225"/>
    </row>
    <row r="85" spans="1:3" x14ac:dyDescent="0.2">
      <c r="A85" s="225"/>
      <c r="B85" s="225"/>
      <c r="C85" s="225"/>
    </row>
    <row r="86" spans="1:3" x14ac:dyDescent="0.2">
      <c r="A86" s="225"/>
      <c r="B86" s="225"/>
      <c r="C86" s="225"/>
    </row>
    <row r="87" spans="1:3" x14ac:dyDescent="0.2">
      <c r="A87" s="225"/>
      <c r="B87" s="225"/>
      <c r="C87" s="225"/>
    </row>
    <row r="88" spans="1:3" x14ac:dyDescent="0.2">
      <c r="A88" s="225"/>
      <c r="B88" s="225"/>
      <c r="C88" s="225"/>
    </row>
    <row r="89" spans="1:3" x14ac:dyDescent="0.2">
      <c r="A89" s="225"/>
      <c r="B89" s="225"/>
      <c r="C89" s="225"/>
    </row>
    <row r="90" spans="1:3" x14ac:dyDescent="0.2">
      <c r="A90" s="225"/>
      <c r="B90" s="225"/>
      <c r="C90" s="225"/>
    </row>
    <row r="91" spans="1:3" x14ac:dyDescent="0.2">
      <c r="A91" s="225"/>
      <c r="B91" s="225"/>
      <c r="C91" s="225"/>
    </row>
    <row r="92" spans="1:3" x14ac:dyDescent="0.2">
      <c r="A92" s="225"/>
      <c r="B92" s="225"/>
      <c r="C92" s="225"/>
    </row>
    <row r="93" spans="1:3" x14ac:dyDescent="0.2">
      <c r="A93" s="225"/>
      <c r="B93" s="225"/>
      <c r="C93" s="225"/>
    </row>
    <row r="94" spans="1:3" x14ac:dyDescent="0.2">
      <c r="A94" s="225"/>
      <c r="B94" s="225"/>
      <c r="C94" s="225"/>
    </row>
    <row r="95" spans="1:3" x14ac:dyDescent="0.2">
      <c r="A95" s="225"/>
      <c r="B95" s="225"/>
      <c r="C95" s="225"/>
    </row>
    <row r="96" spans="1:3" x14ac:dyDescent="0.2">
      <c r="A96" s="225"/>
      <c r="B96" s="225"/>
      <c r="C96" s="225"/>
    </row>
    <row r="97" spans="1:3" x14ac:dyDescent="0.2">
      <c r="A97" s="225"/>
      <c r="B97" s="225"/>
      <c r="C97" s="225"/>
    </row>
  </sheetData>
  <sheetProtection algorithmName="SHA-512" hashValue="987kucK0cL0dILnhdweszG/eAe+1hwLClwOyuxOAMab+4IY8cIsvAjd/VWc56phJWdmI0s06mS2s3CSNGeWUFg==" saltValue="eEuFKlxteqrSN9lNpK5OVg==" spinCount="100000" sheet="1" scenarios="1" formatCells="0" formatColumns="0" formatRows="0" sort="0" autoFilter="0" pivotTables="0"/>
  <sortState xmlns:xlrd2="http://schemas.microsoft.com/office/spreadsheetml/2017/richdata2" ref="A47:C79">
    <sortCondition ref="A47"/>
  </sortState>
  <hyperlinks>
    <hyperlink ref="A2" location="'Table of Contents'!A1" display="Back to Table of Contents" xr:uid="{00000000-0004-0000-A400-000000000000}"/>
    <hyperlink ref="A66" r:id="rId1" xr:uid="{00000000-0004-0000-A400-000001000000}"/>
    <hyperlink ref="A64" r:id="rId2" xr:uid="{00000000-0004-0000-A400-000002000000}"/>
  </hyperlinks>
  <printOptions horizontalCentered="1"/>
  <pageMargins left="0.70866141732283472" right="0.70866141732283472" top="0.74803149606299213" bottom="0.74803149606299213" header="0.31496062992125984" footer="0.31496062992125984"/>
  <pageSetup paperSize="9" scale="85" orientation="landscape" r:id="rId3"/>
  <headerFooter>
    <oddFooter>&amp;L&amp;P&amp;C&amp;A</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tabColor theme="6"/>
  </sheetPr>
  <dimension ref="A1:I48"/>
  <sheetViews>
    <sheetView showGridLines="0" workbookViewId="0">
      <pane ySplit="2" topLeftCell="A3" activePane="bottomLeft" state="frozen"/>
      <selection activeCellId="1" sqref="A1 A1"/>
      <selection pane="bottomLeft"/>
    </sheetView>
  </sheetViews>
  <sheetFormatPr defaultRowHeight="12.75" x14ac:dyDescent="0.2"/>
  <cols>
    <col min="1" max="1" width="19" customWidth="1"/>
    <col min="2" max="2" width="23.28515625" bestFit="1" customWidth="1"/>
    <col min="3" max="3" width="11.28515625" customWidth="1"/>
    <col min="7" max="7" width="10.140625" customWidth="1"/>
    <col min="8" max="8" width="9.7109375" customWidth="1"/>
    <col min="9" max="9" width="10.140625" customWidth="1"/>
  </cols>
  <sheetData>
    <row r="1" spans="1:9" ht="18.75" customHeight="1" x14ac:dyDescent="0.2">
      <c r="A1" s="298" t="s">
        <v>1135</v>
      </c>
    </row>
    <row r="2" spans="1:9" ht="18.75" customHeight="1" x14ac:dyDescent="0.2">
      <c r="A2" s="106" t="s">
        <v>578</v>
      </c>
    </row>
    <row r="3" spans="1:9" ht="30" customHeight="1" x14ac:dyDescent="0.2">
      <c r="A3" s="237" t="s">
        <v>1118</v>
      </c>
      <c r="C3" s="530"/>
      <c r="D3" s="530"/>
      <c r="F3" s="530"/>
      <c r="G3" s="530"/>
    </row>
    <row r="4" spans="1:9" ht="15.75" x14ac:dyDescent="0.25">
      <c r="A4" s="351" t="s">
        <v>579</v>
      </c>
      <c r="B4" s="1069" t="s">
        <v>1416</v>
      </c>
      <c r="C4" s="371"/>
      <c r="D4" s="371"/>
      <c r="E4" s="371"/>
      <c r="F4" s="371"/>
      <c r="G4" s="371"/>
    </row>
    <row r="5" spans="1:9" ht="15.75" x14ac:dyDescent="0.25">
      <c r="A5" s="351" t="s">
        <v>580</v>
      </c>
      <c r="B5" s="351" t="s">
        <v>581</v>
      </c>
      <c r="C5" s="371"/>
    </row>
    <row r="6" spans="1:9" ht="15.75" x14ac:dyDescent="0.25">
      <c r="A6" s="351" t="s">
        <v>582</v>
      </c>
      <c r="B6" s="351" t="s">
        <v>585</v>
      </c>
      <c r="C6" s="371"/>
    </row>
    <row r="7" spans="1:9" x14ac:dyDescent="0.2">
      <c r="A7" s="38"/>
    </row>
    <row r="8" spans="1:9" ht="15" x14ac:dyDescent="0.25">
      <c r="A8" s="363" t="s">
        <v>586</v>
      </c>
      <c r="B8" s="363" t="s">
        <v>22</v>
      </c>
      <c r="C8" s="1078" t="s">
        <v>141</v>
      </c>
      <c r="F8" s="866" t="s">
        <v>4</v>
      </c>
      <c r="G8" s="859" t="s">
        <v>283</v>
      </c>
      <c r="H8" s="1163" t="s">
        <v>284</v>
      </c>
      <c r="I8" s="1163" t="s">
        <v>285</v>
      </c>
    </row>
    <row r="9" spans="1:9" x14ac:dyDescent="0.2">
      <c r="A9" s="1" t="s">
        <v>587</v>
      </c>
      <c r="B9" s="117" t="s">
        <v>23</v>
      </c>
      <c r="C9" s="353">
        <f>T_ref!B5</f>
        <v>229060</v>
      </c>
      <c r="F9" s="861" t="s">
        <v>744</v>
      </c>
      <c r="G9" s="862">
        <f>'T10'!K5</f>
        <v>49449700</v>
      </c>
      <c r="H9" s="224">
        <f>'T10'!K25</f>
        <v>2910200</v>
      </c>
      <c r="I9" s="224">
        <f>Tref!B26</f>
        <v>5064200</v>
      </c>
    </row>
    <row r="10" spans="1:9" x14ac:dyDescent="0.2">
      <c r="A10" s="1" t="s">
        <v>588</v>
      </c>
      <c r="B10" s="117" t="s">
        <v>24</v>
      </c>
      <c r="C10" s="353">
        <f>T_ref!B6</f>
        <v>260780</v>
      </c>
      <c r="F10" s="860" t="s">
        <v>745</v>
      </c>
      <c r="G10" s="224">
        <f>'T10'!K6</f>
        <v>49679300</v>
      </c>
      <c r="H10" s="224">
        <f>'T10'!K26</f>
        <v>2922900</v>
      </c>
      <c r="I10" s="224">
        <f>Tref!B27</f>
        <v>5066000</v>
      </c>
    </row>
    <row r="11" spans="1:9" x14ac:dyDescent="0.2">
      <c r="A11" s="1" t="s">
        <v>589</v>
      </c>
      <c r="B11" s="117" t="s">
        <v>25</v>
      </c>
      <c r="C11" s="353">
        <f>T_ref!B7</f>
        <v>115820</v>
      </c>
      <c r="F11" s="860" t="s">
        <v>746</v>
      </c>
      <c r="G11" s="224">
        <f>'T10'!K7</f>
        <v>49925500</v>
      </c>
      <c r="H11" s="224">
        <f>'T10'!K27</f>
        <v>2937700</v>
      </c>
      <c r="I11" s="224">
        <f>Tref!B28</f>
        <v>5068500</v>
      </c>
    </row>
    <row r="12" spans="1:9" x14ac:dyDescent="0.2">
      <c r="A12" s="1" t="s">
        <v>590</v>
      </c>
      <c r="B12" s="117" t="s">
        <v>26</v>
      </c>
      <c r="C12" s="353">
        <f>T_ref!B8</f>
        <v>85430</v>
      </c>
      <c r="F12" s="860" t="s">
        <v>747</v>
      </c>
      <c r="G12" s="224">
        <f>'T10'!K8</f>
        <v>50194600</v>
      </c>
      <c r="H12" s="224">
        <f>'T10'!K28</f>
        <v>2957400</v>
      </c>
      <c r="I12" s="224">
        <f>Tref!B29</f>
        <v>5084300</v>
      </c>
    </row>
    <row r="13" spans="1:9" x14ac:dyDescent="0.2">
      <c r="A13" s="1" t="s">
        <v>591</v>
      </c>
      <c r="B13" s="117" t="s">
        <v>619</v>
      </c>
      <c r="C13" s="353">
        <f>T_ref!B9</f>
        <v>527620</v>
      </c>
      <c r="F13" s="860" t="s">
        <v>748</v>
      </c>
      <c r="G13" s="224">
        <f>'T10'!K9</f>
        <v>50606000</v>
      </c>
      <c r="H13" s="224">
        <f>'T10'!K29</f>
        <v>2969300</v>
      </c>
      <c r="I13" s="224">
        <f>Tref!B30</f>
        <v>5110200</v>
      </c>
    </row>
    <row r="14" spans="1:9" x14ac:dyDescent="0.2">
      <c r="A14" s="1" t="s">
        <v>592</v>
      </c>
      <c r="B14" s="117" t="s">
        <v>27</v>
      </c>
      <c r="C14" s="353">
        <f>T_ref!B10</f>
        <v>51290</v>
      </c>
      <c r="F14" s="860" t="s">
        <v>749</v>
      </c>
      <c r="G14" s="224">
        <f>'T10'!K10</f>
        <v>50965200</v>
      </c>
      <c r="H14" s="224">
        <f>'T10'!K30</f>
        <v>2985700</v>
      </c>
      <c r="I14" s="224">
        <f>Tref!B31</f>
        <v>5133000</v>
      </c>
    </row>
    <row r="15" spans="1:9" x14ac:dyDescent="0.2">
      <c r="A15" s="1" t="s">
        <v>593</v>
      </c>
      <c r="B15" s="117" t="s">
        <v>28</v>
      </c>
      <c r="C15" s="353">
        <f>T_ref!B11</f>
        <v>148290</v>
      </c>
      <c r="F15" s="860" t="s">
        <v>294</v>
      </c>
      <c r="G15" s="224">
        <f>'T10'!K11</f>
        <v>51381100</v>
      </c>
      <c r="H15" s="224">
        <f>'T10'!K31</f>
        <v>3006300</v>
      </c>
      <c r="I15" s="224">
        <f>Tref!B32</f>
        <v>5170000</v>
      </c>
    </row>
    <row r="16" spans="1:9" x14ac:dyDescent="0.2">
      <c r="A16" s="1" t="s">
        <v>594</v>
      </c>
      <c r="B16" s="117" t="s">
        <v>29</v>
      </c>
      <c r="C16" s="353">
        <f>T_ref!B12</f>
        <v>148820</v>
      </c>
      <c r="F16" s="860" t="s">
        <v>293</v>
      </c>
      <c r="G16" s="224">
        <f>'T10'!K12</f>
        <v>51815900</v>
      </c>
      <c r="H16" s="224">
        <f>'T10'!K32</f>
        <v>3025900</v>
      </c>
      <c r="I16" s="224">
        <f>Tref!B33</f>
        <v>5202900</v>
      </c>
    </row>
    <row r="17" spans="1:9" x14ac:dyDescent="0.2">
      <c r="A17" s="1" t="s">
        <v>595</v>
      </c>
      <c r="B17" s="117" t="s">
        <v>30</v>
      </c>
      <c r="C17" s="353">
        <f>T_ref!B13</f>
        <v>121600</v>
      </c>
      <c r="F17" s="860" t="s">
        <v>292</v>
      </c>
      <c r="G17" s="224">
        <f>'T10'!K13</f>
        <v>52196400</v>
      </c>
      <c r="H17" s="224">
        <f>'T10'!K33</f>
        <v>3038900</v>
      </c>
      <c r="I17" s="224">
        <f>Tref!B34</f>
        <v>5231900</v>
      </c>
    </row>
    <row r="18" spans="1:9" x14ac:dyDescent="0.2">
      <c r="A18" s="1" t="s">
        <v>596</v>
      </c>
      <c r="B18" s="117" t="s">
        <v>31</v>
      </c>
      <c r="C18" s="353">
        <f>T_ref!B14</f>
        <v>108750</v>
      </c>
      <c r="F18" s="860" t="s">
        <v>291</v>
      </c>
      <c r="G18" s="224">
        <f>'T10'!K14</f>
        <v>52642500</v>
      </c>
      <c r="H18" s="224">
        <f>'T10'!K34</f>
        <v>3050000</v>
      </c>
      <c r="I18" s="224">
        <f>Tref!B35</f>
        <v>5262200</v>
      </c>
    </row>
    <row r="19" spans="1:9" x14ac:dyDescent="0.2">
      <c r="A19" s="1" t="s">
        <v>597</v>
      </c>
      <c r="B19" s="117" t="s">
        <v>32</v>
      </c>
      <c r="C19" s="353">
        <f>T_ref!B15</f>
        <v>107900</v>
      </c>
      <c r="F19" s="860" t="s">
        <v>290</v>
      </c>
      <c r="G19" s="224">
        <f>'T10'!K15</f>
        <v>53107200</v>
      </c>
      <c r="H19" s="224">
        <f>'T10'!K35</f>
        <v>3063800</v>
      </c>
      <c r="I19" s="224">
        <f>Tref!B36</f>
        <v>5299900</v>
      </c>
    </row>
    <row r="20" spans="1:9" x14ac:dyDescent="0.2">
      <c r="A20" s="1" t="s">
        <v>598</v>
      </c>
      <c r="B20" s="117" t="s">
        <v>33</v>
      </c>
      <c r="C20" s="353">
        <f>T_ref!B16</f>
        <v>96060</v>
      </c>
      <c r="F20" s="860" t="s">
        <v>289</v>
      </c>
      <c r="G20" s="224">
        <f>'T10'!K16</f>
        <v>53493700</v>
      </c>
      <c r="H20" s="224">
        <f>'T10'!K36</f>
        <v>3074100</v>
      </c>
      <c r="I20" s="224">
        <f>Tref!B37</f>
        <v>5313600</v>
      </c>
    </row>
    <row r="21" spans="1:9" x14ac:dyDescent="0.2">
      <c r="A21" s="1" t="s">
        <v>599</v>
      </c>
      <c r="B21" s="117" t="s">
        <v>34</v>
      </c>
      <c r="C21" s="353">
        <f>T_ref!B17</f>
        <v>160560</v>
      </c>
      <c r="F21" s="860" t="s">
        <v>288</v>
      </c>
      <c r="G21" s="224">
        <f>'T10'!K17</f>
        <v>53865800</v>
      </c>
      <c r="H21" s="224">
        <f>'T10'!K37</f>
        <v>3082400</v>
      </c>
      <c r="I21" s="224">
        <f>Tref!B38</f>
        <v>5327700</v>
      </c>
    </row>
    <row r="22" spans="1:9" x14ac:dyDescent="0.2">
      <c r="A22" s="1" t="s">
        <v>600</v>
      </c>
      <c r="B22" s="117" t="s">
        <v>35</v>
      </c>
      <c r="C22" s="353">
        <f>T_ref!B18</f>
        <v>374130</v>
      </c>
      <c r="F22" s="860" t="s">
        <v>287</v>
      </c>
      <c r="G22" s="224">
        <f>'T10'!K18</f>
        <v>54316600</v>
      </c>
      <c r="H22" s="224">
        <f>'T10'!K38</f>
        <v>3092000</v>
      </c>
      <c r="I22" s="224">
        <f>Tref!B39</f>
        <v>5347600</v>
      </c>
    </row>
    <row r="23" spans="1:9" x14ac:dyDescent="0.2">
      <c r="A23" s="1" t="s">
        <v>601</v>
      </c>
      <c r="B23" s="117" t="s">
        <v>36</v>
      </c>
      <c r="C23" s="353">
        <f>T_ref!B19</f>
        <v>635640</v>
      </c>
      <c r="F23" s="860" t="s">
        <v>286</v>
      </c>
      <c r="G23" s="224">
        <f>'T10'!K19</f>
        <v>54786300</v>
      </c>
      <c r="H23" s="224">
        <f>'T10'!K39</f>
        <v>3099100</v>
      </c>
      <c r="I23" s="224">
        <f>Tref!B40</f>
        <v>5373000</v>
      </c>
    </row>
    <row r="24" spans="1:9" x14ac:dyDescent="0.2">
      <c r="A24" s="1" t="s">
        <v>602</v>
      </c>
      <c r="B24" s="117" t="s">
        <v>37</v>
      </c>
      <c r="C24" s="353">
        <f>T_ref!B20</f>
        <v>235430</v>
      </c>
      <c r="F24" s="860" t="s">
        <v>506</v>
      </c>
      <c r="G24" s="224">
        <f>'T10'!K20</f>
        <v>55268100</v>
      </c>
      <c r="H24" s="224">
        <f>'T10'!K40</f>
        <v>3113200</v>
      </c>
      <c r="I24" s="224">
        <f>Tref!B41</f>
        <v>5404700</v>
      </c>
    </row>
    <row r="25" spans="1:9" x14ac:dyDescent="0.2">
      <c r="A25" s="1" t="s">
        <v>603</v>
      </c>
      <c r="B25" s="117" t="s">
        <v>38</v>
      </c>
      <c r="C25" s="353">
        <f>T_ref!B21</f>
        <v>77060</v>
      </c>
      <c r="F25" s="860" t="s">
        <v>743</v>
      </c>
      <c r="G25" s="224">
        <f>'T10'!K21</f>
        <v>55619400</v>
      </c>
      <c r="H25" s="224">
        <f>'T10'!K41</f>
        <v>3125200</v>
      </c>
      <c r="I25" s="224">
        <f>Tref!B42</f>
        <v>5424800</v>
      </c>
    </row>
    <row r="26" spans="1:9" x14ac:dyDescent="0.2">
      <c r="A26" s="1" t="s">
        <v>604</v>
      </c>
      <c r="B26" s="117" t="s">
        <v>39</v>
      </c>
      <c r="C26" s="353">
        <f>T_ref!B22</f>
        <v>93150</v>
      </c>
      <c r="F26" s="860" t="s">
        <v>750</v>
      </c>
      <c r="G26" s="224">
        <f>'T10'!K22</f>
        <v>55977200</v>
      </c>
      <c r="H26" s="224">
        <f>'T10'!K42</f>
        <v>3138600</v>
      </c>
      <c r="I26" s="224">
        <f>Tref!B43</f>
        <v>5438100</v>
      </c>
    </row>
    <row r="27" spans="1:9" x14ac:dyDescent="0.2">
      <c r="A27" s="1" t="s">
        <v>605</v>
      </c>
      <c r="B27" s="117" t="s">
        <v>40</v>
      </c>
      <c r="C27" s="353">
        <f>T_ref!B23</f>
        <v>95710</v>
      </c>
      <c r="F27" s="860" t="s">
        <v>1425</v>
      </c>
      <c r="G27" s="224">
        <f>'T10'!K23</f>
        <v>56287000</v>
      </c>
      <c r="H27" s="224">
        <f>'T10'!K43</f>
        <v>3152900</v>
      </c>
      <c r="I27" s="224">
        <f>Tref!B44</f>
        <v>5463300</v>
      </c>
    </row>
    <row r="28" spans="1:9" ht="13.5" thickBot="1" x14ac:dyDescent="0.25">
      <c r="A28" s="1" t="s">
        <v>606</v>
      </c>
      <c r="B28" s="117" t="s">
        <v>295</v>
      </c>
      <c r="C28" s="353">
        <f>T_ref!B24</f>
        <v>26500</v>
      </c>
      <c r="F28" s="863" t="s">
        <v>1573</v>
      </c>
      <c r="G28" s="864">
        <f>'T10'!K24</f>
        <v>56550000</v>
      </c>
      <c r="H28" s="864">
        <f>'T10'!K44</f>
        <v>3169600</v>
      </c>
      <c r="I28" s="864">
        <f>Tref!B45</f>
        <v>5466000</v>
      </c>
    </row>
    <row r="29" spans="1:9" x14ac:dyDescent="0.2">
      <c r="A29" s="1" t="s">
        <v>607</v>
      </c>
      <c r="B29" s="117" t="s">
        <v>41</v>
      </c>
      <c r="C29" s="353">
        <f>T_ref!B25</f>
        <v>134250</v>
      </c>
    </row>
    <row r="30" spans="1:9" x14ac:dyDescent="0.2">
      <c r="A30" s="1" t="s">
        <v>608</v>
      </c>
      <c r="B30" s="117" t="s">
        <v>42</v>
      </c>
      <c r="C30" s="353">
        <f>T_ref!B26</f>
        <v>341140</v>
      </c>
    </row>
    <row r="31" spans="1:9" x14ac:dyDescent="0.2">
      <c r="A31" s="1" t="s">
        <v>609</v>
      </c>
      <c r="B31" s="117" t="s">
        <v>43</v>
      </c>
      <c r="C31" s="353">
        <f>T_ref!B27</f>
        <v>22400</v>
      </c>
    </row>
    <row r="32" spans="1:9" x14ac:dyDescent="0.2">
      <c r="A32" s="1" t="s">
        <v>610</v>
      </c>
      <c r="B32" s="117" t="s">
        <v>44</v>
      </c>
      <c r="C32" s="353">
        <f>T_ref!B28</f>
        <v>151910</v>
      </c>
    </row>
    <row r="33" spans="1:3" x14ac:dyDescent="0.2">
      <c r="A33" s="1" t="s">
        <v>611</v>
      </c>
      <c r="B33" s="117" t="s">
        <v>45</v>
      </c>
      <c r="C33" s="353">
        <f>T_ref!B29</f>
        <v>179390</v>
      </c>
    </row>
    <row r="34" spans="1:3" x14ac:dyDescent="0.2">
      <c r="A34" s="1" t="s">
        <v>612</v>
      </c>
      <c r="B34" s="117" t="s">
        <v>46</v>
      </c>
      <c r="C34" s="353">
        <f>T_ref!B30</f>
        <v>115240</v>
      </c>
    </row>
    <row r="35" spans="1:3" x14ac:dyDescent="0.2">
      <c r="A35" s="1" t="s">
        <v>613</v>
      </c>
      <c r="B35" s="117" t="s">
        <v>47</v>
      </c>
      <c r="C35" s="353">
        <f>T_ref!B31</f>
        <v>22870</v>
      </c>
    </row>
    <row r="36" spans="1:3" x14ac:dyDescent="0.2">
      <c r="A36" s="1" t="s">
        <v>614</v>
      </c>
      <c r="B36" s="117" t="s">
        <v>48</v>
      </c>
      <c r="C36" s="353">
        <f>T_ref!B32</f>
        <v>112140</v>
      </c>
    </row>
    <row r="37" spans="1:3" x14ac:dyDescent="0.2">
      <c r="A37" s="1" t="s">
        <v>615</v>
      </c>
      <c r="B37" s="117" t="s">
        <v>49</v>
      </c>
      <c r="C37" s="353">
        <f>T_ref!B33</f>
        <v>320820</v>
      </c>
    </row>
    <row r="38" spans="1:3" x14ac:dyDescent="0.2">
      <c r="A38" s="1" t="s">
        <v>616</v>
      </c>
      <c r="B38" s="117" t="s">
        <v>50</v>
      </c>
      <c r="C38" s="353">
        <f>T_ref!B34</f>
        <v>94080</v>
      </c>
    </row>
    <row r="39" spans="1:3" x14ac:dyDescent="0.2">
      <c r="A39" s="1" t="s">
        <v>617</v>
      </c>
      <c r="B39" s="117" t="s">
        <v>51</v>
      </c>
      <c r="C39" s="353">
        <f>T_ref!B35</f>
        <v>88340</v>
      </c>
    </row>
    <row r="40" spans="1:3" x14ac:dyDescent="0.2">
      <c r="A40" s="1" t="s">
        <v>618</v>
      </c>
      <c r="B40" s="117" t="s">
        <v>52</v>
      </c>
      <c r="C40" s="353">
        <f>T_ref!B36</f>
        <v>183820</v>
      </c>
    </row>
    <row r="41" spans="1:3" x14ac:dyDescent="0.2">
      <c r="A41" s="1"/>
      <c r="B41" s="117" t="str">
        <f>IF(T_01!A59 = "Z_Not Known",T_01!A59,"")</f>
        <v/>
      </c>
      <c r="C41" s="500"/>
    </row>
    <row r="42" spans="1:3" ht="15.75" thickBot="1" x14ac:dyDescent="0.25">
      <c r="A42" s="359" t="s">
        <v>620</v>
      </c>
      <c r="B42" s="360" t="s">
        <v>143</v>
      </c>
      <c r="C42" s="865">
        <f>SUM(C9:C41)</f>
        <v>5466000</v>
      </c>
    </row>
    <row r="43" spans="1:3" ht="15" x14ac:dyDescent="0.2">
      <c r="B43" s="118"/>
      <c r="C43" s="44"/>
    </row>
    <row r="44" spans="1:3" x14ac:dyDescent="0.2">
      <c r="A44" s="117" t="s">
        <v>146</v>
      </c>
    </row>
    <row r="45" spans="1:3" ht="15" x14ac:dyDescent="0.25">
      <c r="A45" s="966" t="s">
        <v>1234</v>
      </c>
    </row>
    <row r="46" spans="1:3" ht="15" x14ac:dyDescent="0.2">
      <c r="A46" s="1028" t="s">
        <v>1093</v>
      </c>
    </row>
    <row r="47" spans="1:3" ht="15" x14ac:dyDescent="0.25">
      <c r="A47" s="966" t="s">
        <v>1244</v>
      </c>
      <c r="B47" s="225"/>
      <c r="C47" s="225"/>
    </row>
    <row r="48" spans="1:3" ht="15" x14ac:dyDescent="0.2">
      <c r="A48" s="1028" t="s">
        <v>1245</v>
      </c>
      <c r="B48" s="225"/>
      <c r="C48" s="225"/>
    </row>
  </sheetData>
  <sheetProtection algorithmName="SHA-512" hashValue="N+NDpif1DWQbP2guHJMAThrsWl3XL9aTczjnX7y21fCel46AvQNmXuDapeZBALPPfOZFCpREeqiuIEnlCibnLQ==" saltValue="Nz85QtDE7eAP8THKRfXjQg==" spinCount="100000" sheet="1" scenarios="1" formatCells="0" formatColumns="0" formatRows="0" sort="0" autoFilter="0" pivotTables="0"/>
  <hyperlinks>
    <hyperlink ref="A2" location="'Table of Contents'!A1" display="Back to Table of Contents" xr:uid="{00000000-0004-0000-A500-000000000000}"/>
    <hyperlink ref="A46" r:id="rId1" xr:uid="{00000000-0004-0000-A500-000001000000}"/>
    <hyperlink ref="A48" r:id="rId2" xr:uid="{00000000-0004-0000-A500-000002000000}"/>
  </hyperlinks>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50">
    <tabColor theme="6"/>
    <pageSetUpPr fitToPage="1"/>
  </sheetPr>
  <dimension ref="A1:E46"/>
  <sheetViews>
    <sheetView showGridLines="0" workbookViewId="0">
      <pane ySplit="2" topLeftCell="A3" activePane="bottomLeft" state="frozen"/>
      <selection activeCellId="1" sqref="A1 A1"/>
      <selection pane="bottomLeft"/>
    </sheetView>
  </sheetViews>
  <sheetFormatPr defaultColWidth="9.140625" defaultRowHeight="12.75" x14ac:dyDescent="0.2"/>
  <cols>
    <col min="1" max="1" width="21.7109375" style="31" customWidth="1"/>
    <col min="2" max="2" width="23.28515625" style="31" bestFit="1" customWidth="1"/>
    <col min="3" max="3" width="20.42578125" style="31" bestFit="1" customWidth="1"/>
    <col min="4" max="16384" width="9.140625" style="31"/>
  </cols>
  <sheetData>
    <row r="1" spans="1:5" ht="18" customHeight="1" x14ac:dyDescent="0.2">
      <c r="A1" s="298" t="s">
        <v>1135</v>
      </c>
    </row>
    <row r="2" spans="1:5" ht="18" customHeight="1" x14ac:dyDescent="0.2">
      <c r="A2" s="106" t="s">
        <v>578</v>
      </c>
    </row>
    <row r="3" spans="1:5" s="59" customFormat="1" ht="38.25" customHeight="1" x14ac:dyDescent="0.2">
      <c r="A3" s="568" t="s">
        <v>310</v>
      </c>
      <c r="C3" s="529"/>
    </row>
    <row r="4" spans="1:5" s="59" customFormat="1" ht="15" customHeight="1" x14ac:dyDescent="0.25">
      <c r="A4" s="351" t="s">
        <v>579</v>
      </c>
      <c r="B4" s="1043" t="s">
        <v>1411</v>
      </c>
      <c r="C4" s="376"/>
    </row>
    <row r="5" spans="1:5" s="59" customFormat="1" ht="15" customHeight="1" x14ac:dyDescent="0.25">
      <c r="A5" s="351" t="s">
        <v>580</v>
      </c>
      <c r="B5" s="351" t="s">
        <v>581</v>
      </c>
      <c r="C5" s="376"/>
    </row>
    <row r="6" spans="1:5" s="59" customFormat="1" ht="15" customHeight="1" x14ac:dyDescent="0.25">
      <c r="A6" s="351" t="s">
        <v>582</v>
      </c>
      <c r="B6" s="351" t="s">
        <v>585</v>
      </c>
      <c r="C6" s="376"/>
    </row>
    <row r="7" spans="1:5" x14ac:dyDescent="0.2">
      <c r="B7" s="55"/>
    </row>
    <row r="8" spans="1:5" ht="15" customHeight="1" x14ac:dyDescent="0.2">
      <c r="A8" s="363" t="s">
        <v>586</v>
      </c>
      <c r="B8" s="363" t="s">
        <v>22</v>
      </c>
      <c r="C8" s="363" t="s">
        <v>279</v>
      </c>
    </row>
    <row r="9" spans="1:5" ht="18.75" customHeight="1" x14ac:dyDescent="0.2">
      <c r="A9" s="1" t="s">
        <v>587</v>
      </c>
      <c r="B9" s="117" t="s">
        <v>23</v>
      </c>
      <c r="C9" s="428">
        <f>T_ref!B45</f>
        <v>120980</v>
      </c>
      <c r="E9" s="56"/>
    </row>
    <row r="10" spans="1:5" x14ac:dyDescent="0.2">
      <c r="A10" s="1" t="s">
        <v>588</v>
      </c>
      <c r="B10" s="117" t="s">
        <v>24</v>
      </c>
      <c r="C10" s="428">
        <f>T_ref!B46</f>
        <v>119854</v>
      </c>
      <c r="E10" s="56"/>
    </row>
    <row r="11" spans="1:5" x14ac:dyDescent="0.2">
      <c r="A11" s="1" t="s">
        <v>589</v>
      </c>
      <c r="B11" s="117" t="s">
        <v>25</v>
      </c>
      <c r="C11" s="428">
        <f>T_ref!B47</f>
        <v>57206</v>
      </c>
      <c r="E11" s="56"/>
    </row>
    <row r="12" spans="1:5" x14ac:dyDescent="0.2">
      <c r="A12" s="1" t="s">
        <v>590</v>
      </c>
      <c r="B12" s="117" t="s">
        <v>26</v>
      </c>
      <c r="C12" s="428">
        <f>T_ref!B48</f>
        <v>48199</v>
      </c>
      <c r="E12" s="56"/>
    </row>
    <row r="13" spans="1:5" x14ac:dyDescent="0.2">
      <c r="A13" s="1" t="s">
        <v>591</v>
      </c>
      <c r="B13" s="117" t="s">
        <v>619</v>
      </c>
      <c r="C13" s="428">
        <f>T_ref!B49</f>
        <v>254929</v>
      </c>
      <c r="E13" s="56"/>
    </row>
    <row r="14" spans="1:5" x14ac:dyDescent="0.2">
      <c r="A14" s="1" t="s">
        <v>592</v>
      </c>
      <c r="B14" s="117" t="s">
        <v>27</v>
      </c>
      <c r="C14" s="428">
        <f>T_ref!B50</f>
        <v>24838</v>
      </c>
      <c r="E14" s="56"/>
    </row>
    <row r="15" spans="1:5" x14ac:dyDescent="0.2">
      <c r="A15" s="1" t="s">
        <v>593</v>
      </c>
      <c r="B15" s="117" t="s">
        <v>28</v>
      </c>
      <c r="C15" s="428">
        <f>T_ref!B51</f>
        <v>75298</v>
      </c>
      <c r="E15" s="56"/>
    </row>
    <row r="16" spans="1:5" x14ac:dyDescent="0.2">
      <c r="A16" s="1" t="s">
        <v>594</v>
      </c>
      <c r="B16" s="117" t="s">
        <v>29</v>
      </c>
      <c r="C16" s="428">
        <f>T_ref!B52</f>
        <v>75027</v>
      </c>
      <c r="E16" s="56"/>
    </row>
    <row r="17" spans="1:5" x14ac:dyDescent="0.2">
      <c r="A17" s="1" t="s">
        <v>595</v>
      </c>
      <c r="B17" s="117" t="s">
        <v>30</v>
      </c>
      <c r="C17" s="428">
        <f>T_ref!B53</f>
        <v>58821</v>
      </c>
      <c r="E17" s="56"/>
    </row>
    <row r="18" spans="1:5" x14ac:dyDescent="0.2">
      <c r="A18" s="1" t="s">
        <v>596</v>
      </c>
      <c r="B18" s="117" t="s">
        <v>31</v>
      </c>
      <c r="C18" s="428">
        <f>T_ref!B54</f>
        <v>47251</v>
      </c>
      <c r="E18" s="56"/>
    </row>
    <row r="19" spans="1:5" x14ac:dyDescent="0.2">
      <c r="A19" s="1" t="s">
        <v>597</v>
      </c>
      <c r="B19" s="117" t="s">
        <v>32</v>
      </c>
      <c r="C19" s="428">
        <f>T_ref!B55</f>
        <v>49642</v>
      </c>
      <c r="E19" s="56"/>
    </row>
    <row r="20" spans="1:5" x14ac:dyDescent="0.2">
      <c r="A20" s="1" t="s">
        <v>598</v>
      </c>
      <c r="B20" s="117" t="s">
        <v>33</v>
      </c>
      <c r="C20" s="428">
        <f>T_ref!B56</f>
        <v>39453</v>
      </c>
      <c r="E20" s="56"/>
    </row>
    <row r="21" spans="1:5" x14ac:dyDescent="0.2">
      <c r="A21" s="1" t="s">
        <v>599</v>
      </c>
      <c r="B21" s="117" t="s">
        <v>34</v>
      </c>
      <c r="C21" s="428">
        <f>T_ref!B57</f>
        <v>75595</v>
      </c>
      <c r="E21" s="56"/>
    </row>
    <row r="22" spans="1:5" x14ac:dyDescent="0.2">
      <c r="A22" s="1" t="s">
        <v>600</v>
      </c>
      <c r="B22" s="117" t="s">
        <v>35</v>
      </c>
      <c r="C22" s="428">
        <f>T_ref!B58</f>
        <v>179232</v>
      </c>
      <c r="E22" s="56"/>
    </row>
    <row r="23" spans="1:5" x14ac:dyDescent="0.2">
      <c r="A23" s="1" t="s">
        <v>601</v>
      </c>
      <c r="B23" s="117" t="s">
        <v>36</v>
      </c>
      <c r="C23" s="428">
        <f>T_ref!B59</f>
        <v>317193</v>
      </c>
      <c r="E23" s="56"/>
    </row>
    <row r="24" spans="1:5" x14ac:dyDescent="0.2">
      <c r="A24" s="1" t="s">
        <v>602</v>
      </c>
      <c r="B24" s="117" t="s">
        <v>37</v>
      </c>
      <c r="C24" s="428">
        <f>T_ref!B60</f>
        <v>119918</v>
      </c>
      <c r="E24" s="56"/>
    </row>
    <row r="25" spans="1:5" x14ac:dyDescent="0.2">
      <c r="A25" s="1" t="s">
        <v>603</v>
      </c>
      <c r="B25" s="117" t="s">
        <v>38</v>
      </c>
      <c r="C25" s="428">
        <f>T_ref!B61</f>
        <v>39107</v>
      </c>
      <c r="E25" s="56"/>
    </row>
    <row r="26" spans="1:5" x14ac:dyDescent="0.2">
      <c r="A26" s="1" t="s">
        <v>604</v>
      </c>
      <c r="B26" s="117" t="s">
        <v>39</v>
      </c>
      <c r="C26" s="428">
        <f>T_ref!B62</f>
        <v>41657</v>
      </c>
      <c r="E26" s="56"/>
    </row>
    <row r="27" spans="1:5" x14ac:dyDescent="0.2">
      <c r="A27" s="1" t="s">
        <v>605</v>
      </c>
      <c r="B27" s="117" t="s">
        <v>40</v>
      </c>
      <c r="C27" s="428">
        <f>T_ref!B63</f>
        <v>45838</v>
      </c>
      <c r="E27" s="56"/>
    </row>
    <row r="28" spans="1:5" x14ac:dyDescent="0.2">
      <c r="A28" s="1" t="s">
        <v>606</v>
      </c>
      <c r="B28" s="117" t="s">
        <v>295</v>
      </c>
      <c r="C28" s="428">
        <f>T_ref!B64</f>
        <v>14764</v>
      </c>
      <c r="E28" s="56"/>
    </row>
    <row r="29" spans="1:5" x14ac:dyDescent="0.2">
      <c r="A29" s="1" t="s">
        <v>607</v>
      </c>
      <c r="B29" s="117" t="s">
        <v>41</v>
      </c>
      <c r="C29" s="428">
        <f>T_ref!B65</f>
        <v>68843</v>
      </c>
      <c r="E29" s="56"/>
    </row>
    <row r="30" spans="1:5" x14ac:dyDescent="0.2">
      <c r="A30" s="1" t="s">
        <v>608</v>
      </c>
      <c r="B30" s="117" t="s">
        <v>42</v>
      </c>
      <c r="C30" s="428">
        <f>T_ref!B66</f>
        <v>157625</v>
      </c>
      <c r="E30" s="56"/>
    </row>
    <row r="31" spans="1:5" x14ac:dyDescent="0.2">
      <c r="A31" s="1" t="s">
        <v>609</v>
      </c>
      <c r="B31" s="117" t="s">
        <v>43</v>
      </c>
      <c r="C31" s="428">
        <f>T_ref!B67</f>
        <v>11391</v>
      </c>
      <c r="E31" s="56"/>
    </row>
    <row r="32" spans="1:5" x14ac:dyDescent="0.2">
      <c r="A32" s="1" t="s">
        <v>610</v>
      </c>
      <c r="B32" s="117" t="s">
        <v>44</v>
      </c>
      <c r="C32" s="428">
        <f>T_ref!B68</f>
        <v>73775</v>
      </c>
      <c r="E32" s="56"/>
    </row>
    <row r="33" spans="1:5" x14ac:dyDescent="0.2">
      <c r="A33" s="1" t="s">
        <v>611</v>
      </c>
      <c r="B33" s="117" t="s">
        <v>45</v>
      </c>
      <c r="C33" s="428">
        <f>T_ref!B69</f>
        <v>88624</v>
      </c>
      <c r="E33" s="56"/>
    </row>
    <row r="34" spans="1:5" x14ac:dyDescent="0.2">
      <c r="A34" s="1" t="s">
        <v>612</v>
      </c>
      <c r="B34" s="117" t="s">
        <v>46</v>
      </c>
      <c r="C34" s="428">
        <f>T_ref!B70</f>
        <v>58814</v>
      </c>
      <c r="E34" s="56"/>
    </row>
    <row r="35" spans="1:5" x14ac:dyDescent="0.2">
      <c r="A35" s="1" t="s">
        <v>613</v>
      </c>
      <c r="B35" s="117" t="s">
        <v>47</v>
      </c>
      <c r="C35" s="428">
        <f>T_ref!B71</f>
        <v>11374</v>
      </c>
      <c r="E35" s="56"/>
    </row>
    <row r="36" spans="1:5" x14ac:dyDescent="0.2">
      <c r="A36" s="1" t="s">
        <v>614</v>
      </c>
      <c r="B36" s="117" t="s">
        <v>48</v>
      </c>
      <c r="C36" s="428">
        <f>T_ref!B72</f>
        <v>55793</v>
      </c>
      <c r="E36" s="56"/>
    </row>
    <row r="37" spans="1:5" x14ac:dyDescent="0.2">
      <c r="A37" s="1" t="s">
        <v>615</v>
      </c>
      <c r="B37" s="117" t="s">
        <v>49</v>
      </c>
      <c r="C37" s="428">
        <f>T_ref!B73</f>
        <v>153863</v>
      </c>
      <c r="E37" s="56"/>
    </row>
    <row r="38" spans="1:5" x14ac:dyDescent="0.2">
      <c r="A38" s="1" t="s">
        <v>616</v>
      </c>
      <c r="B38" s="117" t="s">
        <v>50</v>
      </c>
      <c r="C38" s="428">
        <f>T_ref!B74</f>
        <v>41950</v>
      </c>
      <c r="E38" s="56"/>
    </row>
    <row r="39" spans="1:5" x14ac:dyDescent="0.2">
      <c r="A39" s="1" t="s">
        <v>617</v>
      </c>
      <c r="B39" s="117" t="s">
        <v>51</v>
      </c>
      <c r="C39" s="428">
        <f>T_ref!B75</f>
        <v>45148</v>
      </c>
      <c r="E39" s="56"/>
    </row>
    <row r="40" spans="1:5" x14ac:dyDescent="0.2">
      <c r="A40" s="1" t="s">
        <v>618</v>
      </c>
      <c r="B40" s="117" t="s">
        <v>52</v>
      </c>
      <c r="C40" s="428">
        <f>T_ref!B76</f>
        <v>81723</v>
      </c>
      <c r="E40" s="56"/>
    </row>
    <row r="41" spans="1:5" x14ac:dyDescent="0.2">
      <c r="A41" s="1"/>
      <c r="B41" s="117" t="str">
        <f>IF(T_01!A59 = "Z_Not Known",T_01!A59,"")</f>
        <v/>
      </c>
      <c r="C41" s="858"/>
      <c r="E41" s="56"/>
    </row>
    <row r="42" spans="1:5" ht="30" customHeight="1" thickBot="1" x14ac:dyDescent="0.25">
      <c r="A42" s="359" t="s">
        <v>620</v>
      </c>
      <c r="B42" s="360" t="s">
        <v>143</v>
      </c>
      <c r="C42" s="362">
        <f>SUM(C9:C41)</f>
        <v>2653725</v>
      </c>
    </row>
    <row r="43" spans="1:5" x14ac:dyDescent="0.2">
      <c r="C43" s="53"/>
      <c r="D43" s="53"/>
    </row>
    <row r="44" spans="1:5" x14ac:dyDescent="0.2">
      <c r="A44" s="2" t="s">
        <v>146</v>
      </c>
      <c r="B44" s="18"/>
      <c r="C44" s="55"/>
    </row>
    <row r="45" spans="1:5" ht="15" x14ac:dyDescent="0.25">
      <c r="A45" s="1000" t="s">
        <v>1227</v>
      </c>
      <c r="B45" s="54"/>
      <c r="C45" s="54"/>
    </row>
    <row r="46" spans="1:5" x14ac:dyDescent="0.2">
      <c r="A46" s="629" t="s">
        <v>1092</v>
      </c>
    </row>
  </sheetData>
  <sheetProtection algorithmName="SHA-512" hashValue="la+Rr8CbRMl2bhE2G/SKP5TB6OdWtDSS5P937UIc3D27C39R1/Z21CHLdJpelEvNrFtR8IvDVdfIrGwNqW6juw==" saltValue="WUVnYnEJDAcebovW8q7eXg==" spinCount="100000" sheet="1" scenarios="1" formatCells="0" formatColumns="0" formatRows="0" sort="0" autoFilter="0" pivotTables="0"/>
  <hyperlinks>
    <hyperlink ref="A2" location="'Table of Contents'!A1" display="Back to Table of Contents" xr:uid="{00000000-0004-0000-A600-000000000000}"/>
    <hyperlink ref="A46" r:id="rId1" xr:uid="{00000000-0004-0000-A600-000001000000}"/>
  </hyperlinks>
  <printOptions horizontalCentered="1"/>
  <pageMargins left="0.70866141732283472" right="0.70866141732283472" top="0.74803149606299213" bottom="0.74803149606299213" header="0.31496062992125984" footer="0.31496062992125984"/>
  <pageSetup paperSize="9"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2:B76"/>
  <sheetViews>
    <sheetView topLeftCell="A19" workbookViewId="0">
      <selection activeCell="F59" sqref="F59"/>
    </sheetView>
  </sheetViews>
  <sheetFormatPr defaultRowHeight="12.75" x14ac:dyDescent="0.2"/>
  <cols>
    <col min="1" max="1" width="19.5703125" bestFit="1" customWidth="1"/>
    <col min="2" max="2" width="10.7109375" bestFit="1" customWidth="1"/>
  </cols>
  <sheetData>
    <row r="2" spans="1:2" x14ac:dyDescent="0.2">
      <c r="A2" s="234" t="s">
        <v>4</v>
      </c>
      <c r="B2" t="s">
        <v>1572</v>
      </c>
    </row>
    <row r="4" spans="1:2" x14ac:dyDescent="0.2">
      <c r="A4" s="234" t="s">
        <v>326</v>
      </c>
      <c r="B4" t="s">
        <v>335</v>
      </c>
    </row>
    <row r="5" spans="1:2" x14ac:dyDescent="0.2">
      <c r="A5" s="235" t="s">
        <v>23</v>
      </c>
      <c r="B5">
        <v>229060</v>
      </c>
    </row>
    <row r="6" spans="1:2" x14ac:dyDescent="0.2">
      <c r="A6" s="235" t="s">
        <v>24</v>
      </c>
      <c r="B6">
        <v>260780</v>
      </c>
    </row>
    <row r="7" spans="1:2" x14ac:dyDescent="0.2">
      <c r="A7" s="235" t="s">
        <v>25</v>
      </c>
      <c r="B7">
        <v>115820</v>
      </c>
    </row>
    <row r="8" spans="1:2" x14ac:dyDescent="0.2">
      <c r="A8" s="235" t="s">
        <v>26</v>
      </c>
      <c r="B8">
        <v>85430</v>
      </c>
    </row>
    <row r="9" spans="1:2" x14ac:dyDescent="0.2">
      <c r="A9" s="235" t="s">
        <v>619</v>
      </c>
      <c r="B9">
        <v>527620</v>
      </c>
    </row>
    <row r="10" spans="1:2" x14ac:dyDescent="0.2">
      <c r="A10" s="235" t="s">
        <v>27</v>
      </c>
      <c r="B10">
        <v>51290</v>
      </c>
    </row>
    <row r="11" spans="1:2" x14ac:dyDescent="0.2">
      <c r="A11" s="235" t="s">
        <v>28</v>
      </c>
      <c r="B11">
        <v>148290</v>
      </c>
    </row>
    <row r="12" spans="1:2" x14ac:dyDescent="0.2">
      <c r="A12" s="235" t="s">
        <v>29</v>
      </c>
      <c r="B12">
        <v>148820</v>
      </c>
    </row>
    <row r="13" spans="1:2" x14ac:dyDescent="0.2">
      <c r="A13" s="235" t="s">
        <v>30</v>
      </c>
      <c r="B13">
        <v>121600</v>
      </c>
    </row>
    <row r="14" spans="1:2" x14ac:dyDescent="0.2">
      <c r="A14" s="235" t="s">
        <v>31</v>
      </c>
      <c r="B14">
        <v>108750</v>
      </c>
    </row>
    <row r="15" spans="1:2" x14ac:dyDescent="0.2">
      <c r="A15" s="235" t="s">
        <v>32</v>
      </c>
      <c r="B15">
        <v>107900</v>
      </c>
    </row>
    <row r="16" spans="1:2" x14ac:dyDescent="0.2">
      <c r="A16" s="235" t="s">
        <v>33</v>
      </c>
      <c r="B16">
        <v>96060</v>
      </c>
    </row>
    <row r="17" spans="1:2" x14ac:dyDescent="0.2">
      <c r="A17" s="235" t="s">
        <v>34</v>
      </c>
      <c r="B17">
        <v>160560</v>
      </c>
    </row>
    <row r="18" spans="1:2" x14ac:dyDescent="0.2">
      <c r="A18" s="235" t="s">
        <v>35</v>
      </c>
      <c r="B18">
        <v>374130</v>
      </c>
    </row>
    <row r="19" spans="1:2" x14ac:dyDescent="0.2">
      <c r="A19" s="235" t="s">
        <v>36</v>
      </c>
      <c r="B19">
        <v>635640</v>
      </c>
    </row>
    <row r="20" spans="1:2" x14ac:dyDescent="0.2">
      <c r="A20" s="235" t="s">
        <v>37</v>
      </c>
      <c r="B20">
        <v>235430</v>
      </c>
    </row>
    <row r="21" spans="1:2" x14ac:dyDescent="0.2">
      <c r="A21" s="235" t="s">
        <v>38</v>
      </c>
      <c r="B21">
        <v>77060</v>
      </c>
    </row>
    <row r="22" spans="1:2" x14ac:dyDescent="0.2">
      <c r="A22" s="235" t="s">
        <v>39</v>
      </c>
      <c r="B22">
        <v>93150</v>
      </c>
    </row>
    <row r="23" spans="1:2" x14ac:dyDescent="0.2">
      <c r="A23" s="235" t="s">
        <v>40</v>
      </c>
      <c r="B23">
        <v>95710</v>
      </c>
    </row>
    <row r="24" spans="1:2" x14ac:dyDescent="0.2">
      <c r="A24" s="235" t="s">
        <v>295</v>
      </c>
      <c r="B24">
        <v>26500</v>
      </c>
    </row>
    <row r="25" spans="1:2" x14ac:dyDescent="0.2">
      <c r="A25" s="235" t="s">
        <v>41</v>
      </c>
      <c r="B25">
        <v>134250</v>
      </c>
    </row>
    <row r="26" spans="1:2" x14ac:dyDescent="0.2">
      <c r="A26" s="235" t="s">
        <v>42</v>
      </c>
      <c r="B26">
        <v>341140</v>
      </c>
    </row>
    <row r="27" spans="1:2" x14ac:dyDescent="0.2">
      <c r="A27" s="235" t="s">
        <v>43</v>
      </c>
      <c r="B27">
        <v>22400</v>
      </c>
    </row>
    <row r="28" spans="1:2" x14ac:dyDescent="0.2">
      <c r="A28" s="235" t="s">
        <v>44</v>
      </c>
      <c r="B28">
        <v>151910</v>
      </c>
    </row>
    <row r="29" spans="1:2" x14ac:dyDescent="0.2">
      <c r="A29" s="235" t="s">
        <v>45</v>
      </c>
      <c r="B29">
        <v>179390</v>
      </c>
    </row>
    <row r="30" spans="1:2" x14ac:dyDescent="0.2">
      <c r="A30" s="235" t="s">
        <v>46</v>
      </c>
      <c r="B30">
        <v>115240</v>
      </c>
    </row>
    <row r="31" spans="1:2" x14ac:dyDescent="0.2">
      <c r="A31" s="235" t="s">
        <v>47</v>
      </c>
      <c r="B31">
        <v>22870</v>
      </c>
    </row>
    <row r="32" spans="1:2" x14ac:dyDescent="0.2">
      <c r="A32" s="235" t="s">
        <v>48</v>
      </c>
      <c r="B32">
        <v>112140</v>
      </c>
    </row>
    <row r="33" spans="1:2" x14ac:dyDescent="0.2">
      <c r="A33" s="235" t="s">
        <v>49</v>
      </c>
      <c r="B33">
        <v>320820</v>
      </c>
    </row>
    <row r="34" spans="1:2" x14ac:dyDescent="0.2">
      <c r="A34" s="235" t="s">
        <v>50</v>
      </c>
      <c r="B34">
        <v>94080</v>
      </c>
    </row>
    <row r="35" spans="1:2" x14ac:dyDescent="0.2">
      <c r="A35" s="235" t="s">
        <v>51</v>
      </c>
      <c r="B35">
        <v>88340</v>
      </c>
    </row>
    <row r="36" spans="1:2" x14ac:dyDescent="0.2">
      <c r="A36" s="235" t="s">
        <v>52</v>
      </c>
      <c r="B36">
        <v>183820</v>
      </c>
    </row>
    <row r="37" spans="1:2" x14ac:dyDescent="0.2">
      <c r="A37" s="235" t="s">
        <v>1521</v>
      </c>
    </row>
    <row r="38" spans="1:2" x14ac:dyDescent="0.2">
      <c r="A38" s="235" t="s">
        <v>333</v>
      </c>
      <c r="B38">
        <v>5466000</v>
      </c>
    </row>
    <row r="42" spans="1:2" x14ac:dyDescent="0.2">
      <c r="A42" s="234" t="s">
        <v>751</v>
      </c>
      <c r="B42" t="s">
        <v>1572</v>
      </c>
    </row>
    <row r="44" spans="1:2" x14ac:dyDescent="0.2">
      <c r="A44" s="234" t="s">
        <v>326</v>
      </c>
      <c r="B44" t="s">
        <v>505</v>
      </c>
    </row>
    <row r="45" spans="1:2" x14ac:dyDescent="0.2">
      <c r="A45" s="235" t="s">
        <v>23</v>
      </c>
      <c r="B45">
        <v>120980</v>
      </c>
    </row>
    <row r="46" spans="1:2" x14ac:dyDescent="0.2">
      <c r="A46" s="235" t="s">
        <v>24</v>
      </c>
      <c r="B46">
        <v>119854</v>
      </c>
    </row>
    <row r="47" spans="1:2" x14ac:dyDescent="0.2">
      <c r="A47" s="235" t="s">
        <v>25</v>
      </c>
      <c r="B47">
        <v>57206</v>
      </c>
    </row>
    <row r="48" spans="1:2" x14ac:dyDescent="0.2">
      <c r="A48" s="235" t="s">
        <v>26</v>
      </c>
      <c r="B48">
        <v>48199</v>
      </c>
    </row>
    <row r="49" spans="1:2" x14ac:dyDescent="0.2">
      <c r="A49" s="235" t="s">
        <v>619</v>
      </c>
      <c r="B49">
        <v>254929</v>
      </c>
    </row>
    <row r="50" spans="1:2" x14ac:dyDescent="0.2">
      <c r="A50" s="235" t="s">
        <v>27</v>
      </c>
      <c r="B50">
        <v>24838</v>
      </c>
    </row>
    <row r="51" spans="1:2" x14ac:dyDescent="0.2">
      <c r="A51" s="235" t="s">
        <v>28</v>
      </c>
      <c r="B51">
        <v>75298</v>
      </c>
    </row>
    <row r="52" spans="1:2" x14ac:dyDescent="0.2">
      <c r="A52" s="235" t="s">
        <v>29</v>
      </c>
      <c r="B52">
        <v>75027</v>
      </c>
    </row>
    <row r="53" spans="1:2" x14ac:dyDescent="0.2">
      <c r="A53" s="235" t="s">
        <v>30</v>
      </c>
      <c r="B53">
        <v>58821</v>
      </c>
    </row>
    <row r="54" spans="1:2" x14ac:dyDescent="0.2">
      <c r="A54" s="235" t="s">
        <v>31</v>
      </c>
      <c r="B54">
        <v>47251</v>
      </c>
    </row>
    <row r="55" spans="1:2" x14ac:dyDescent="0.2">
      <c r="A55" s="235" t="s">
        <v>32</v>
      </c>
      <c r="B55">
        <v>49642</v>
      </c>
    </row>
    <row r="56" spans="1:2" x14ac:dyDescent="0.2">
      <c r="A56" s="235" t="s">
        <v>33</v>
      </c>
      <c r="B56">
        <v>39453</v>
      </c>
    </row>
    <row r="57" spans="1:2" x14ac:dyDescent="0.2">
      <c r="A57" s="235" t="s">
        <v>34</v>
      </c>
      <c r="B57">
        <v>75595</v>
      </c>
    </row>
    <row r="58" spans="1:2" x14ac:dyDescent="0.2">
      <c r="A58" s="235" t="s">
        <v>35</v>
      </c>
      <c r="B58">
        <v>179232</v>
      </c>
    </row>
    <row r="59" spans="1:2" x14ac:dyDescent="0.2">
      <c r="A59" s="235" t="s">
        <v>36</v>
      </c>
      <c r="B59">
        <v>317193</v>
      </c>
    </row>
    <row r="60" spans="1:2" x14ac:dyDescent="0.2">
      <c r="A60" s="235" t="s">
        <v>37</v>
      </c>
      <c r="B60">
        <v>119918</v>
      </c>
    </row>
    <row r="61" spans="1:2" x14ac:dyDescent="0.2">
      <c r="A61" s="235" t="s">
        <v>38</v>
      </c>
      <c r="B61">
        <v>39107</v>
      </c>
    </row>
    <row r="62" spans="1:2" x14ac:dyDescent="0.2">
      <c r="A62" s="235" t="s">
        <v>39</v>
      </c>
      <c r="B62">
        <v>41657</v>
      </c>
    </row>
    <row r="63" spans="1:2" x14ac:dyDescent="0.2">
      <c r="A63" s="235" t="s">
        <v>40</v>
      </c>
      <c r="B63">
        <v>45838</v>
      </c>
    </row>
    <row r="64" spans="1:2" x14ac:dyDescent="0.2">
      <c r="A64" s="235" t="s">
        <v>295</v>
      </c>
      <c r="B64">
        <v>14764</v>
      </c>
    </row>
    <row r="65" spans="1:2" x14ac:dyDescent="0.2">
      <c r="A65" s="235" t="s">
        <v>41</v>
      </c>
      <c r="B65">
        <v>68843</v>
      </c>
    </row>
    <row r="66" spans="1:2" x14ac:dyDescent="0.2">
      <c r="A66" s="235" t="s">
        <v>42</v>
      </c>
      <c r="B66">
        <v>157625</v>
      </c>
    </row>
    <row r="67" spans="1:2" x14ac:dyDescent="0.2">
      <c r="A67" s="235" t="s">
        <v>43</v>
      </c>
      <c r="B67">
        <v>11391</v>
      </c>
    </row>
    <row r="68" spans="1:2" x14ac:dyDescent="0.2">
      <c r="A68" s="235" t="s">
        <v>44</v>
      </c>
      <c r="B68">
        <v>73775</v>
      </c>
    </row>
    <row r="69" spans="1:2" x14ac:dyDescent="0.2">
      <c r="A69" s="235" t="s">
        <v>45</v>
      </c>
      <c r="B69">
        <v>88624</v>
      </c>
    </row>
    <row r="70" spans="1:2" x14ac:dyDescent="0.2">
      <c r="A70" s="235" t="s">
        <v>46</v>
      </c>
      <c r="B70">
        <v>58814</v>
      </c>
    </row>
    <row r="71" spans="1:2" x14ac:dyDescent="0.2">
      <c r="A71" s="235" t="s">
        <v>47</v>
      </c>
      <c r="B71">
        <v>11374</v>
      </c>
    </row>
    <row r="72" spans="1:2" x14ac:dyDescent="0.2">
      <c r="A72" s="235" t="s">
        <v>48</v>
      </c>
      <c r="B72">
        <v>55793</v>
      </c>
    </row>
    <row r="73" spans="1:2" x14ac:dyDescent="0.2">
      <c r="A73" s="235" t="s">
        <v>49</v>
      </c>
      <c r="B73">
        <v>153863</v>
      </c>
    </row>
    <row r="74" spans="1:2" x14ac:dyDescent="0.2">
      <c r="A74" s="235" t="s">
        <v>50</v>
      </c>
      <c r="B74">
        <v>41950</v>
      </c>
    </row>
    <row r="75" spans="1:2" x14ac:dyDescent="0.2">
      <c r="A75" s="235" t="s">
        <v>51</v>
      </c>
      <c r="B75">
        <v>45148</v>
      </c>
    </row>
    <row r="76" spans="1:2" x14ac:dyDescent="0.2">
      <c r="A76" s="235" t="s">
        <v>52</v>
      </c>
      <c r="B76">
        <v>81723</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3:P138"/>
  <sheetViews>
    <sheetView zoomScale="106" zoomScaleNormal="106" workbookViewId="0">
      <selection activeCell="F59" sqref="F59"/>
    </sheetView>
  </sheetViews>
  <sheetFormatPr defaultRowHeight="12.75" x14ac:dyDescent="0.2"/>
  <cols>
    <col min="1" max="1" width="16.7109375" bestFit="1" customWidth="1"/>
    <col min="2" max="2" width="17.140625" bestFit="1" customWidth="1"/>
    <col min="3" max="3" width="18" bestFit="1" customWidth="1"/>
    <col min="4" max="4" width="24.85546875" bestFit="1" customWidth="1"/>
    <col min="5" max="5" width="22.28515625" bestFit="1" customWidth="1"/>
    <col min="6" max="6" width="16.140625" bestFit="1" customWidth="1"/>
    <col min="7" max="7" width="10.85546875" bestFit="1" customWidth="1"/>
    <col min="8" max="8" width="16" bestFit="1" customWidth="1"/>
    <col min="9" max="9" width="12.85546875" bestFit="1" customWidth="1"/>
    <col min="10" max="10" width="18" bestFit="1" customWidth="1"/>
    <col min="11" max="11" width="24.85546875" bestFit="1" customWidth="1"/>
    <col min="12" max="12" width="22.28515625" bestFit="1" customWidth="1"/>
    <col min="13" max="13" width="16.140625" bestFit="1" customWidth="1"/>
    <col min="14" max="14" width="10.85546875" bestFit="1" customWidth="1"/>
    <col min="15" max="15" width="16" bestFit="1" customWidth="1"/>
    <col min="16" max="16" width="11.85546875" bestFit="1" customWidth="1"/>
    <col min="17" max="17" width="18" bestFit="1" customWidth="1"/>
    <col min="18" max="18" width="24.85546875" bestFit="1" customWidth="1"/>
    <col min="19" max="19" width="22.28515625" bestFit="1" customWidth="1"/>
    <col min="20" max="20" width="16.140625" bestFit="1" customWidth="1"/>
    <col min="21" max="21" width="10.85546875" bestFit="1" customWidth="1"/>
    <col min="22" max="22" width="13.28515625" bestFit="1" customWidth="1"/>
    <col min="23" max="23" width="10.140625" bestFit="1" customWidth="1"/>
    <col min="24" max="24" width="18" bestFit="1" customWidth="1"/>
    <col min="25" max="25" width="24.85546875" bestFit="1" customWidth="1"/>
    <col min="26" max="26" width="22.28515625" bestFit="1" customWidth="1"/>
    <col min="27" max="27" width="16.140625" bestFit="1" customWidth="1"/>
    <col min="28" max="28" width="10.85546875" bestFit="1" customWidth="1"/>
    <col min="29" max="29" width="13.28515625" bestFit="1" customWidth="1"/>
    <col min="30" max="30" width="10.140625" bestFit="1" customWidth="1"/>
    <col min="31" max="31" width="18" bestFit="1" customWidth="1"/>
    <col min="32" max="32" width="24.85546875" bestFit="1" customWidth="1"/>
    <col min="33" max="33" width="22.28515625" bestFit="1" customWidth="1"/>
    <col min="34" max="34" width="16.140625" bestFit="1" customWidth="1"/>
    <col min="35" max="35" width="10.85546875" bestFit="1" customWidth="1"/>
    <col min="36" max="36" width="13.28515625" bestFit="1" customWidth="1"/>
    <col min="37" max="37" width="10.140625" bestFit="1" customWidth="1"/>
    <col min="38" max="38" width="18" bestFit="1" customWidth="1"/>
    <col min="39" max="39" width="24.85546875" bestFit="1" customWidth="1"/>
    <col min="40" max="40" width="22.28515625" bestFit="1" customWidth="1"/>
    <col min="41" max="41" width="16.140625" bestFit="1" customWidth="1"/>
    <col min="42" max="42" width="10.85546875" bestFit="1" customWidth="1"/>
    <col min="43" max="43" width="13.28515625" bestFit="1" customWidth="1"/>
    <col min="44" max="44" width="10.140625" bestFit="1" customWidth="1"/>
    <col min="45" max="45" width="18" bestFit="1" customWidth="1"/>
    <col min="46" max="46" width="24.85546875" bestFit="1" customWidth="1"/>
    <col min="47" max="47" width="22.28515625" bestFit="1" customWidth="1"/>
    <col min="48" max="48" width="16.140625" bestFit="1" customWidth="1"/>
    <col min="49" max="49" width="10.85546875" bestFit="1" customWidth="1"/>
    <col min="50" max="50" width="13.28515625" bestFit="1" customWidth="1"/>
    <col min="51" max="51" width="10.140625" bestFit="1" customWidth="1"/>
    <col min="52" max="52" width="18" bestFit="1" customWidth="1"/>
    <col min="53" max="53" width="24.85546875" bestFit="1" customWidth="1"/>
    <col min="54" max="54" width="22.28515625" bestFit="1" customWidth="1"/>
    <col min="55" max="55" width="16.140625" bestFit="1" customWidth="1"/>
    <col min="56" max="56" width="10.85546875" bestFit="1" customWidth="1"/>
    <col min="57" max="57" width="13.28515625" bestFit="1" customWidth="1"/>
    <col min="58" max="58" width="10.140625" bestFit="1" customWidth="1"/>
    <col min="59" max="59" width="18" bestFit="1" customWidth="1"/>
    <col min="60" max="60" width="24.85546875" bestFit="1" customWidth="1"/>
    <col min="61" max="61" width="22.28515625" bestFit="1" customWidth="1"/>
    <col min="62" max="62" width="16.140625" bestFit="1" customWidth="1"/>
    <col min="63" max="63" width="10.85546875" bestFit="1" customWidth="1"/>
    <col min="64" max="64" width="13.28515625" bestFit="1" customWidth="1"/>
    <col min="65" max="65" width="10.140625" bestFit="1" customWidth="1"/>
    <col min="66" max="66" width="18" bestFit="1" customWidth="1"/>
    <col min="67" max="67" width="24.85546875" bestFit="1" customWidth="1"/>
    <col min="68" max="68" width="22.28515625" bestFit="1" customWidth="1"/>
    <col min="69" max="69" width="16.140625" bestFit="1" customWidth="1"/>
    <col min="70" max="70" width="10.85546875" bestFit="1" customWidth="1"/>
    <col min="71" max="71" width="13.28515625" bestFit="1" customWidth="1"/>
    <col min="72" max="72" width="11.85546875" bestFit="1" customWidth="1"/>
  </cols>
  <sheetData>
    <row r="3" spans="1:16" x14ac:dyDescent="0.2">
      <c r="A3" s="234" t="s">
        <v>985</v>
      </c>
      <c r="B3" s="234" t="s">
        <v>336</v>
      </c>
    </row>
    <row r="4" spans="1:16" x14ac:dyDescent="0.2">
      <c r="B4" t="s">
        <v>61</v>
      </c>
      <c r="H4" t="s">
        <v>821</v>
      </c>
      <c r="I4" t="s">
        <v>116</v>
      </c>
      <c r="O4" t="s">
        <v>822</v>
      </c>
      <c r="P4" t="s">
        <v>333</v>
      </c>
    </row>
    <row r="5" spans="1:16" x14ac:dyDescent="0.2">
      <c r="A5" s="234" t="s">
        <v>326</v>
      </c>
      <c r="B5" t="s">
        <v>309</v>
      </c>
      <c r="C5" t="s">
        <v>823</v>
      </c>
      <c r="D5" t="s">
        <v>824</v>
      </c>
      <c r="E5" t="s">
        <v>825</v>
      </c>
      <c r="F5" t="s">
        <v>826</v>
      </c>
      <c r="G5" t="s">
        <v>308</v>
      </c>
      <c r="I5" t="s">
        <v>309</v>
      </c>
      <c r="J5" t="s">
        <v>823</v>
      </c>
      <c r="K5" t="s">
        <v>824</v>
      </c>
      <c r="L5" t="s">
        <v>825</v>
      </c>
      <c r="M5" t="s">
        <v>826</v>
      </c>
      <c r="N5" t="s">
        <v>308</v>
      </c>
    </row>
    <row r="6" spans="1:16" x14ac:dyDescent="0.2">
      <c r="A6" s="235" t="s">
        <v>868</v>
      </c>
      <c r="B6">
        <v>145</v>
      </c>
      <c r="C6">
        <v>467</v>
      </c>
      <c r="D6">
        <v>205</v>
      </c>
      <c r="E6">
        <v>128</v>
      </c>
      <c r="F6">
        <v>45</v>
      </c>
      <c r="G6">
        <v>782</v>
      </c>
      <c r="H6">
        <v>1772</v>
      </c>
      <c r="J6">
        <v>125</v>
      </c>
      <c r="K6">
        <v>97</v>
      </c>
      <c r="L6">
        <v>154</v>
      </c>
      <c r="M6">
        <v>112</v>
      </c>
      <c r="N6">
        <v>2579</v>
      </c>
      <c r="O6">
        <v>3067</v>
      </c>
      <c r="P6">
        <v>4839</v>
      </c>
    </row>
    <row r="7" spans="1:16" x14ac:dyDescent="0.2">
      <c r="A7" s="235" t="s">
        <v>869</v>
      </c>
      <c r="B7">
        <v>92</v>
      </c>
      <c r="C7">
        <v>429</v>
      </c>
      <c r="D7">
        <v>185</v>
      </c>
      <c r="E7">
        <v>140</v>
      </c>
      <c r="F7">
        <v>52</v>
      </c>
      <c r="G7">
        <v>429</v>
      </c>
      <c r="H7">
        <v>1327</v>
      </c>
      <c r="J7">
        <v>114</v>
      </c>
      <c r="K7">
        <v>105</v>
      </c>
      <c r="L7">
        <v>129</v>
      </c>
      <c r="M7">
        <v>85</v>
      </c>
      <c r="N7">
        <v>1557</v>
      </c>
      <c r="O7">
        <v>1990</v>
      </c>
      <c r="P7">
        <v>3317</v>
      </c>
    </row>
    <row r="8" spans="1:16" x14ac:dyDescent="0.2">
      <c r="A8" s="235" t="s">
        <v>870</v>
      </c>
      <c r="B8">
        <v>45</v>
      </c>
      <c r="C8">
        <v>383</v>
      </c>
      <c r="D8">
        <v>156</v>
      </c>
      <c r="E8">
        <v>146</v>
      </c>
      <c r="F8">
        <v>73</v>
      </c>
      <c r="G8">
        <v>617</v>
      </c>
      <c r="H8">
        <v>1420</v>
      </c>
      <c r="J8">
        <v>109</v>
      </c>
      <c r="K8">
        <v>124</v>
      </c>
      <c r="L8">
        <v>149</v>
      </c>
      <c r="M8">
        <v>120</v>
      </c>
      <c r="N8">
        <v>1988</v>
      </c>
      <c r="O8">
        <v>2490</v>
      </c>
      <c r="P8">
        <v>3910</v>
      </c>
    </row>
    <row r="9" spans="1:16" x14ac:dyDescent="0.2">
      <c r="A9" s="235" t="s">
        <v>871</v>
      </c>
      <c r="B9">
        <v>28</v>
      </c>
      <c r="C9">
        <v>447</v>
      </c>
      <c r="D9">
        <v>174</v>
      </c>
      <c r="E9">
        <v>122</v>
      </c>
      <c r="F9">
        <v>37</v>
      </c>
      <c r="G9">
        <v>386</v>
      </c>
      <c r="H9">
        <v>1194</v>
      </c>
      <c r="J9">
        <v>114</v>
      </c>
      <c r="K9">
        <v>90</v>
      </c>
      <c r="L9">
        <v>132</v>
      </c>
      <c r="M9">
        <v>82</v>
      </c>
      <c r="N9">
        <v>1401</v>
      </c>
      <c r="O9">
        <v>1819</v>
      </c>
      <c r="P9">
        <v>3013</v>
      </c>
    </row>
    <row r="10" spans="1:16" x14ac:dyDescent="0.2">
      <c r="A10" s="235" t="s">
        <v>872</v>
      </c>
      <c r="B10">
        <v>38</v>
      </c>
      <c r="C10">
        <v>392</v>
      </c>
      <c r="D10">
        <v>163</v>
      </c>
      <c r="E10">
        <v>138</v>
      </c>
      <c r="F10">
        <v>37</v>
      </c>
      <c r="G10">
        <v>301</v>
      </c>
      <c r="H10">
        <v>1069</v>
      </c>
      <c r="J10">
        <v>98</v>
      </c>
      <c r="K10">
        <v>87</v>
      </c>
      <c r="L10">
        <v>150</v>
      </c>
      <c r="M10">
        <v>85</v>
      </c>
      <c r="N10">
        <v>1111</v>
      </c>
      <c r="O10">
        <v>1531</v>
      </c>
      <c r="P10">
        <v>2600</v>
      </c>
    </row>
    <row r="11" spans="1:16" x14ac:dyDescent="0.2">
      <c r="A11" s="235" t="s">
        <v>873</v>
      </c>
      <c r="B11">
        <v>62</v>
      </c>
      <c r="C11">
        <v>400</v>
      </c>
      <c r="D11">
        <v>149</v>
      </c>
      <c r="E11">
        <v>129</v>
      </c>
      <c r="F11">
        <v>67</v>
      </c>
      <c r="G11">
        <v>327</v>
      </c>
      <c r="H11">
        <v>1134</v>
      </c>
      <c r="J11">
        <v>94</v>
      </c>
      <c r="K11">
        <v>78</v>
      </c>
      <c r="L11">
        <v>118</v>
      </c>
      <c r="M11">
        <v>132</v>
      </c>
      <c r="N11">
        <v>1521</v>
      </c>
      <c r="O11">
        <v>1943</v>
      </c>
      <c r="P11">
        <v>3077</v>
      </c>
    </row>
    <row r="12" spans="1:16" x14ac:dyDescent="0.2">
      <c r="A12" s="235" t="s">
        <v>19</v>
      </c>
      <c r="B12">
        <v>104</v>
      </c>
      <c r="C12">
        <v>429</v>
      </c>
      <c r="D12">
        <v>174</v>
      </c>
      <c r="E12">
        <v>125</v>
      </c>
      <c r="F12">
        <v>35</v>
      </c>
      <c r="G12">
        <v>371</v>
      </c>
      <c r="H12">
        <v>1238</v>
      </c>
      <c r="J12">
        <v>106</v>
      </c>
      <c r="K12">
        <v>101</v>
      </c>
      <c r="L12">
        <v>151</v>
      </c>
      <c r="M12">
        <v>105</v>
      </c>
      <c r="N12">
        <v>2068</v>
      </c>
      <c r="O12">
        <v>2531</v>
      </c>
      <c r="P12">
        <v>3769</v>
      </c>
    </row>
    <row r="13" spans="1:16" x14ac:dyDescent="0.2">
      <c r="A13" s="235" t="s">
        <v>874</v>
      </c>
      <c r="B13">
        <v>142</v>
      </c>
      <c r="C13">
        <v>436</v>
      </c>
      <c r="D13">
        <v>176</v>
      </c>
      <c r="E13">
        <v>100</v>
      </c>
      <c r="F13">
        <v>25</v>
      </c>
      <c r="G13">
        <v>291</v>
      </c>
      <c r="H13">
        <v>1170</v>
      </c>
      <c r="J13">
        <v>112</v>
      </c>
      <c r="K13">
        <v>68</v>
      </c>
      <c r="L13">
        <v>103</v>
      </c>
      <c r="M13">
        <v>75</v>
      </c>
      <c r="N13">
        <v>1882</v>
      </c>
      <c r="O13">
        <v>2240</v>
      </c>
      <c r="P13">
        <v>3410</v>
      </c>
    </row>
    <row r="14" spans="1:16" x14ac:dyDescent="0.2">
      <c r="A14" s="235" t="s">
        <v>875</v>
      </c>
      <c r="B14">
        <v>271</v>
      </c>
      <c r="C14">
        <v>539</v>
      </c>
      <c r="D14">
        <v>166</v>
      </c>
      <c r="E14">
        <v>134</v>
      </c>
      <c r="F14">
        <v>20</v>
      </c>
      <c r="G14">
        <v>162</v>
      </c>
      <c r="H14">
        <v>1292</v>
      </c>
      <c r="J14">
        <v>72</v>
      </c>
      <c r="K14">
        <v>52</v>
      </c>
      <c r="L14">
        <v>87</v>
      </c>
      <c r="M14">
        <v>46</v>
      </c>
      <c r="N14">
        <v>574</v>
      </c>
      <c r="O14">
        <v>831</v>
      </c>
      <c r="P14">
        <v>2123</v>
      </c>
    </row>
    <row r="15" spans="1:16" x14ac:dyDescent="0.2">
      <c r="A15" s="235" t="s">
        <v>876</v>
      </c>
      <c r="B15">
        <v>300</v>
      </c>
      <c r="C15">
        <v>530</v>
      </c>
      <c r="D15">
        <v>169</v>
      </c>
      <c r="E15">
        <v>120</v>
      </c>
      <c r="F15">
        <v>27</v>
      </c>
      <c r="G15">
        <v>188</v>
      </c>
      <c r="H15">
        <v>1334</v>
      </c>
      <c r="J15">
        <v>79</v>
      </c>
      <c r="K15">
        <v>61</v>
      </c>
      <c r="L15">
        <v>91</v>
      </c>
      <c r="M15">
        <v>24</v>
      </c>
      <c r="N15">
        <v>615</v>
      </c>
      <c r="O15">
        <v>870</v>
      </c>
      <c r="P15">
        <v>2204</v>
      </c>
    </row>
    <row r="16" spans="1:16" x14ac:dyDescent="0.2">
      <c r="A16" s="235" t="s">
        <v>877</v>
      </c>
      <c r="B16">
        <v>250</v>
      </c>
      <c r="C16">
        <v>448</v>
      </c>
      <c r="D16">
        <v>157</v>
      </c>
      <c r="E16">
        <v>102</v>
      </c>
      <c r="F16">
        <v>18</v>
      </c>
      <c r="G16">
        <v>213</v>
      </c>
      <c r="H16">
        <v>1188</v>
      </c>
      <c r="J16">
        <v>76</v>
      </c>
      <c r="K16">
        <v>45</v>
      </c>
      <c r="L16">
        <v>107</v>
      </c>
      <c r="M16">
        <v>45</v>
      </c>
      <c r="N16">
        <v>886</v>
      </c>
      <c r="O16">
        <v>1159</v>
      </c>
      <c r="P16">
        <v>2347</v>
      </c>
    </row>
    <row r="17" spans="1:16" x14ac:dyDescent="0.2">
      <c r="A17" s="235" t="s">
        <v>878</v>
      </c>
      <c r="B17">
        <v>262</v>
      </c>
      <c r="C17">
        <v>467</v>
      </c>
      <c r="D17">
        <v>158</v>
      </c>
      <c r="E17">
        <v>123</v>
      </c>
      <c r="F17">
        <v>36</v>
      </c>
      <c r="G17">
        <v>651</v>
      </c>
      <c r="H17">
        <v>1697</v>
      </c>
      <c r="I17">
        <v>1</v>
      </c>
      <c r="J17">
        <v>94</v>
      </c>
      <c r="K17">
        <v>65</v>
      </c>
      <c r="L17">
        <v>107</v>
      </c>
      <c r="M17">
        <v>60</v>
      </c>
      <c r="N17">
        <v>2105</v>
      </c>
      <c r="O17">
        <v>2432</v>
      </c>
      <c r="P17">
        <v>4129</v>
      </c>
    </row>
    <row r="18" spans="1:16" x14ac:dyDescent="0.2">
      <c r="A18" s="235" t="s">
        <v>879</v>
      </c>
      <c r="B18">
        <v>157</v>
      </c>
      <c r="C18">
        <v>436</v>
      </c>
      <c r="D18">
        <v>155</v>
      </c>
      <c r="E18">
        <v>151</v>
      </c>
      <c r="F18">
        <v>64</v>
      </c>
      <c r="G18">
        <v>504</v>
      </c>
      <c r="H18">
        <v>1467</v>
      </c>
      <c r="I18">
        <v>1</v>
      </c>
      <c r="J18">
        <v>75</v>
      </c>
      <c r="K18">
        <v>72</v>
      </c>
      <c r="L18">
        <v>110</v>
      </c>
      <c r="M18">
        <v>93</v>
      </c>
      <c r="N18">
        <v>3786</v>
      </c>
      <c r="O18">
        <v>4137</v>
      </c>
      <c r="P18">
        <v>5604</v>
      </c>
    </row>
    <row r="19" spans="1:16" x14ac:dyDescent="0.2">
      <c r="A19" s="235" t="s">
        <v>880</v>
      </c>
      <c r="B19">
        <v>116</v>
      </c>
      <c r="C19">
        <v>454</v>
      </c>
      <c r="D19">
        <v>169</v>
      </c>
      <c r="E19">
        <v>123</v>
      </c>
      <c r="F19">
        <v>61</v>
      </c>
      <c r="G19">
        <v>415</v>
      </c>
      <c r="H19">
        <v>1338</v>
      </c>
      <c r="J19">
        <v>98</v>
      </c>
      <c r="K19">
        <v>97</v>
      </c>
      <c r="L19">
        <v>101</v>
      </c>
      <c r="M19">
        <v>132</v>
      </c>
      <c r="N19">
        <v>3163</v>
      </c>
      <c r="O19">
        <v>3591</v>
      </c>
      <c r="P19">
        <v>4929</v>
      </c>
    </row>
    <row r="20" spans="1:16" x14ac:dyDescent="0.2">
      <c r="A20" s="235" t="s">
        <v>881</v>
      </c>
      <c r="B20">
        <v>33</v>
      </c>
      <c r="C20">
        <v>393</v>
      </c>
      <c r="D20">
        <v>167</v>
      </c>
      <c r="E20">
        <v>141</v>
      </c>
      <c r="F20">
        <v>63</v>
      </c>
      <c r="G20">
        <v>402</v>
      </c>
      <c r="H20">
        <v>1199</v>
      </c>
      <c r="J20">
        <v>82</v>
      </c>
      <c r="K20">
        <v>85</v>
      </c>
      <c r="L20">
        <v>120</v>
      </c>
      <c r="M20">
        <v>107</v>
      </c>
      <c r="N20">
        <v>2445</v>
      </c>
      <c r="O20">
        <v>2839</v>
      </c>
      <c r="P20">
        <v>4038</v>
      </c>
    </row>
    <row r="21" spans="1:16" x14ac:dyDescent="0.2">
      <c r="A21" s="235" t="s">
        <v>882</v>
      </c>
      <c r="B21">
        <v>32</v>
      </c>
      <c r="C21">
        <v>357</v>
      </c>
      <c r="D21">
        <v>150</v>
      </c>
      <c r="E21">
        <v>96</v>
      </c>
      <c r="F21">
        <v>37</v>
      </c>
      <c r="G21">
        <v>206</v>
      </c>
      <c r="H21">
        <v>878</v>
      </c>
      <c r="J21">
        <v>80</v>
      </c>
      <c r="K21">
        <v>59</v>
      </c>
      <c r="L21">
        <v>107</v>
      </c>
      <c r="M21">
        <v>74</v>
      </c>
      <c r="N21">
        <v>1320</v>
      </c>
      <c r="O21">
        <v>1640</v>
      </c>
      <c r="P21">
        <v>2518</v>
      </c>
    </row>
    <row r="22" spans="1:16" x14ac:dyDescent="0.2">
      <c r="A22" s="235" t="s">
        <v>883</v>
      </c>
      <c r="B22">
        <v>27</v>
      </c>
      <c r="C22">
        <v>391</v>
      </c>
      <c r="D22">
        <v>165</v>
      </c>
      <c r="E22">
        <v>99</v>
      </c>
      <c r="F22">
        <v>47</v>
      </c>
      <c r="G22">
        <v>187</v>
      </c>
      <c r="H22">
        <v>916</v>
      </c>
      <c r="J22">
        <v>105</v>
      </c>
      <c r="K22">
        <v>87</v>
      </c>
      <c r="L22">
        <v>138</v>
      </c>
      <c r="M22">
        <v>85</v>
      </c>
      <c r="N22">
        <v>1595</v>
      </c>
      <c r="O22">
        <v>2010</v>
      </c>
      <c r="P22">
        <v>2926</v>
      </c>
    </row>
    <row r="23" spans="1:16" x14ac:dyDescent="0.2">
      <c r="A23" s="235" t="s">
        <v>884</v>
      </c>
      <c r="B23">
        <v>63</v>
      </c>
      <c r="C23">
        <v>393</v>
      </c>
      <c r="D23">
        <v>169</v>
      </c>
      <c r="E23">
        <v>111</v>
      </c>
      <c r="F23">
        <v>43</v>
      </c>
      <c r="G23">
        <v>168</v>
      </c>
      <c r="H23">
        <v>947</v>
      </c>
      <c r="J23">
        <v>87</v>
      </c>
      <c r="K23">
        <v>73</v>
      </c>
      <c r="L23">
        <v>129</v>
      </c>
      <c r="M23">
        <v>113</v>
      </c>
      <c r="N23">
        <v>1618</v>
      </c>
      <c r="O23">
        <v>2020</v>
      </c>
      <c r="P23">
        <v>2967</v>
      </c>
    </row>
    <row r="24" spans="1:16" x14ac:dyDescent="0.2">
      <c r="A24" s="235" t="s">
        <v>885</v>
      </c>
      <c r="B24">
        <v>87</v>
      </c>
      <c r="C24">
        <v>429</v>
      </c>
      <c r="D24">
        <v>161</v>
      </c>
      <c r="E24">
        <v>119</v>
      </c>
      <c r="F24">
        <v>18</v>
      </c>
      <c r="G24">
        <v>148</v>
      </c>
      <c r="H24">
        <v>962</v>
      </c>
      <c r="J24">
        <v>90</v>
      </c>
      <c r="K24">
        <v>66</v>
      </c>
      <c r="L24">
        <v>111</v>
      </c>
      <c r="M24">
        <v>94</v>
      </c>
      <c r="N24">
        <v>1953</v>
      </c>
      <c r="O24">
        <v>2314</v>
      </c>
      <c r="P24">
        <v>3276</v>
      </c>
    </row>
    <row r="25" spans="1:16" x14ac:dyDescent="0.2">
      <c r="A25" s="235" t="s">
        <v>20</v>
      </c>
      <c r="B25">
        <v>163</v>
      </c>
      <c r="C25">
        <v>454</v>
      </c>
      <c r="D25">
        <v>161</v>
      </c>
      <c r="E25">
        <v>116</v>
      </c>
      <c r="F25">
        <v>11</v>
      </c>
      <c r="G25">
        <v>119</v>
      </c>
      <c r="H25">
        <v>1024</v>
      </c>
      <c r="I25">
        <v>2</v>
      </c>
      <c r="J25">
        <v>133</v>
      </c>
      <c r="K25">
        <v>66</v>
      </c>
      <c r="L25">
        <v>97</v>
      </c>
      <c r="M25">
        <v>84</v>
      </c>
      <c r="N25">
        <v>1692</v>
      </c>
      <c r="O25">
        <v>2074</v>
      </c>
      <c r="P25">
        <v>3098</v>
      </c>
    </row>
    <row r="26" spans="1:16" x14ac:dyDescent="0.2">
      <c r="A26" s="235" t="s">
        <v>886</v>
      </c>
      <c r="B26">
        <v>251</v>
      </c>
      <c r="C26">
        <v>570</v>
      </c>
      <c r="D26">
        <v>198</v>
      </c>
      <c r="E26">
        <v>134</v>
      </c>
      <c r="F26">
        <v>30</v>
      </c>
      <c r="G26">
        <v>85</v>
      </c>
      <c r="H26">
        <v>1268</v>
      </c>
      <c r="I26">
        <v>1</v>
      </c>
      <c r="J26">
        <v>88</v>
      </c>
      <c r="K26">
        <v>45</v>
      </c>
      <c r="L26">
        <v>74</v>
      </c>
      <c r="M26">
        <v>30</v>
      </c>
      <c r="N26">
        <v>525</v>
      </c>
      <c r="O26">
        <v>763</v>
      </c>
      <c r="P26">
        <v>2031</v>
      </c>
    </row>
    <row r="27" spans="1:16" x14ac:dyDescent="0.2">
      <c r="A27" s="235" t="s">
        <v>887</v>
      </c>
      <c r="B27">
        <v>259</v>
      </c>
      <c r="C27">
        <v>439</v>
      </c>
      <c r="D27">
        <v>153</v>
      </c>
      <c r="E27">
        <v>143</v>
      </c>
      <c r="F27">
        <v>17</v>
      </c>
      <c r="G27">
        <v>97</v>
      </c>
      <c r="H27">
        <v>1108</v>
      </c>
      <c r="J27">
        <v>88</v>
      </c>
      <c r="K27">
        <v>68</v>
      </c>
      <c r="L27">
        <v>117</v>
      </c>
      <c r="M27">
        <v>36</v>
      </c>
      <c r="N27">
        <v>814</v>
      </c>
      <c r="O27">
        <v>1123</v>
      </c>
      <c r="P27">
        <v>2231</v>
      </c>
    </row>
    <row r="28" spans="1:16" x14ac:dyDescent="0.2">
      <c r="A28" s="235" t="s">
        <v>888</v>
      </c>
      <c r="B28">
        <v>204</v>
      </c>
      <c r="C28">
        <v>463</v>
      </c>
      <c r="D28">
        <v>142</v>
      </c>
      <c r="E28">
        <v>96</v>
      </c>
      <c r="F28">
        <v>18</v>
      </c>
      <c r="G28">
        <v>89</v>
      </c>
      <c r="H28">
        <v>1012</v>
      </c>
      <c r="J28">
        <v>78</v>
      </c>
      <c r="K28">
        <v>44</v>
      </c>
      <c r="L28">
        <v>67</v>
      </c>
      <c r="M28">
        <v>31</v>
      </c>
      <c r="N28">
        <v>710</v>
      </c>
      <c r="O28">
        <v>930</v>
      </c>
      <c r="P28">
        <v>1942</v>
      </c>
    </row>
    <row r="29" spans="1:16" x14ac:dyDescent="0.2">
      <c r="A29" s="235" t="s">
        <v>889</v>
      </c>
      <c r="B29">
        <v>178</v>
      </c>
      <c r="C29">
        <v>430</v>
      </c>
      <c r="D29">
        <v>190</v>
      </c>
      <c r="E29">
        <v>104</v>
      </c>
      <c r="F29">
        <v>29</v>
      </c>
      <c r="G29">
        <v>195</v>
      </c>
      <c r="H29">
        <v>1126</v>
      </c>
      <c r="J29">
        <v>80</v>
      </c>
      <c r="K29">
        <v>54</v>
      </c>
      <c r="L29">
        <v>80</v>
      </c>
      <c r="M29">
        <v>55</v>
      </c>
      <c r="N29">
        <v>1981</v>
      </c>
      <c r="O29">
        <v>2250</v>
      </c>
      <c r="P29">
        <v>3376</v>
      </c>
    </row>
    <row r="30" spans="1:16" x14ac:dyDescent="0.2">
      <c r="A30" s="235" t="s">
        <v>890</v>
      </c>
      <c r="B30">
        <v>110</v>
      </c>
      <c r="C30">
        <v>420</v>
      </c>
      <c r="D30">
        <v>154</v>
      </c>
      <c r="E30">
        <v>130</v>
      </c>
      <c r="F30">
        <v>60</v>
      </c>
      <c r="G30">
        <v>457</v>
      </c>
      <c r="H30">
        <v>1331</v>
      </c>
      <c r="J30">
        <v>71</v>
      </c>
      <c r="K30">
        <v>94</v>
      </c>
      <c r="L30">
        <v>124</v>
      </c>
      <c r="M30">
        <v>102</v>
      </c>
      <c r="N30">
        <v>2471</v>
      </c>
      <c r="O30">
        <v>2862</v>
      </c>
      <c r="P30">
        <v>4193</v>
      </c>
    </row>
    <row r="31" spans="1:16" x14ac:dyDescent="0.2">
      <c r="A31" s="235" t="s">
        <v>891</v>
      </c>
      <c r="B31">
        <v>83</v>
      </c>
      <c r="C31">
        <v>393</v>
      </c>
      <c r="D31">
        <v>177</v>
      </c>
      <c r="E31">
        <v>99</v>
      </c>
      <c r="F31">
        <v>46</v>
      </c>
      <c r="G31">
        <v>354</v>
      </c>
      <c r="H31">
        <v>1152</v>
      </c>
      <c r="J31">
        <v>96</v>
      </c>
      <c r="K31">
        <v>86</v>
      </c>
      <c r="L31">
        <v>96</v>
      </c>
      <c r="M31">
        <v>76</v>
      </c>
      <c r="N31">
        <v>1589</v>
      </c>
      <c r="O31">
        <v>1943</v>
      </c>
      <c r="P31">
        <v>3095</v>
      </c>
    </row>
    <row r="32" spans="1:16" x14ac:dyDescent="0.2">
      <c r="A32" s="235" t="s">
        <v>892</v>
      </c>
      <c r="B32">
        <v>44</v>
      </c>
      <c r="C32">
        <v>401</v>
      </c>
      <c r="D32">
        <v>133</v>
      </c>
      <c r="E32">
        <v>119</v>
      </c>
      <c r="F32">
        <v>30</v>
      </c>
      <c r="G32">
        <v>212</v>
      </c>
      <c r="H32">
        <v>939</v>
      </c>
      <c r="J32">
        <v>93</v>
      </c>
      <c r="K32">
        <v>76</v>
      </c>
      <c r="L32">
        <v>99</v>
      </c>
      <c r="M32">
        <v>68</v>
      </c>
      <c r="N32">
        <v>1224</v>
      </c>
      <c r="O32">
        <v>1560</v>
      </c>
      <c r="P32">
        <v>2499</v>
      </c>
    </row>
    <row r="33" spans="1:16" x14ac:dyDescent="0.2">
      <c r="A33" s="235" t="s">
        <v>893</v>
      </c>
      <c r="B33">
        <v>23</v>
      </c>
      <c r="C33">
        <v>466</v>
      </c>
      <c r="D33">
        <v>158</v>
      </c>
      <c r="E33">
        <v>98</v>
      </c>
      <c r="F33">
        <v>24</v>
      </c>
      <c r="G33">
        <v>236</v>
      </c>
      <c r="H33">
        <v>1005</v>
      </c>
      <c r="J33">
        <v>105</v>
      </c>
      <c r="K33">
        <v>96</v>
      </c>
      <c r="L33">
        <v>87</v>
      </c>
      <c r="M33">
        <v>86</v>
      </c>
      <c r="N33">
        <v>1568</v>
      </c>
      <c r="O33">
        <v>1942</v>
      </c>
      <c r="P33">
        <v>2947</v>
      </c>
    </row>
    <row r="34" spans="1:16" x14ac:dyDescent="0.2">
      <c r="A34" s="235" t="s">
        <v>894</v>
      </c>
      <c r="B34">
        <v>33</v>
      </c>
      <c r="C34">
        <v>410</v>
      </c>
      <c r="D34">
        <v>135</v>
      </c>
      <c r="E34">
        <v>128</v>
      </c>
      <c r="F34">
        <v>41</v>
      </c>
      <c r="G34">
        <v>146</v>
      </c>
      <c r="H34">
        <v>893</v>
      </c>
      <c r="J34">
        <v>83</v>
      </c>
      <c r="K34">
        <v>72</v>
      </c>
      <c r="L34">
        <v>97</v>
      </c>
      <c r="M34">
        <v>74</v>
      </c>
      <c r="N34">
        <v>1089</v>
      </c>
      <c r="O34">
        <v>1415</v>
      </c>
      <c r="P34">
        <v>2308</v>
      </c>
    </row>
    <row r="35" spans="1:16" x14ac:dyDescent="0.2">
      <c r="A35" s="235" t="s">
        <v>895</v>
      </c>
      <c r="B35">
        <v>54</v>
      </c>
      <c r="C35">
        <v>394</v>
      </c>
      <c r="D35">
        <v>149</v>
      </c>
      <c r="E35">
        <v>100</v>
      </c>
      <c r="F35">
        <v>38</v>
      </c>
      <c r="G35">
        <v>141</v>
      </c>
      <c r="H35">
        <v>876</v>
      </c>
      <c r="J35">
        <v>71</v>
      </c>
      <c r="K35">
        <v>74</v>
      </c>
      <c r="L35">
        <v>88</v>
      </c>
      <c r="M35">
        <v>55</v>
      </c>
      <c r="N35">
        <v>1019</v>
      </c>
      <c r="O35">
        <v>1307</v>
      </c>
      <c r="P35">
        <v>2183</v>
      </c>
    </row>
    <row r="36" spans="1:16" x14ac:dyDescent="0.2">
      <c r="A36" s="235" t="s">
        <v>896</v>
      </c>
      <c r="B36">
        <v>79</v>
      </c>
      <c r="C36">
        <v>423</v>
      </c>
      <c r="D36">
        <v>153</v>
      </c>
      <c r="E36">
        <v>92</v>
      </c>
      <c r="F36">
        <v>29</v>
      </c>
      <c r="G36">
        <v>129</v>
      </c>
      <c r="H36">
        <v>905</v>
      </c>
      <c r="I36">
        <v>1</v>
      </c>
      <c r="J36">
        <v>85</v>
      </c>
      <c r="K36">
        <v>71</v>
      </c>
      <c r="L36">
        <v>100</v>
      </c>
      <c r="M36">
        <v>68</v>
      </c>
      <c r="N36">
        <v>1203</v>
      </c>
      <c r="O36">
        <v>1528</v>
      </c>
      <c r="P36">
        <v>2433</v>
      </c>
    </row>
    <row r="37" spans="1:16" x14ac:dyDescent="0.2">
      <c r="A37" s="235" t="s">
        <v>897</v>
      </c>
      <c r="B37">
        <v>135</v>
      </c>
      <c r="C37">
        <v>401</v>
      </c>
      <c r="D37">
        <v>159</v>
      </c>
      <c r="E37">
        <v>78</v>
      </c>
      <c r="F37">
        <v>15</v>
      </c>
      <c r="G37">
        <v>102</v>
      </c>
      <c r="H37">
        <v>890</v>
      </c>
      <c r="J37">
        <v>99</v>
      </c>
      <c r="K37">
        <v>71</v>
      </c>
      <c r="L37">
        <v>100</v>
      </c>
      <c r="M37">
        <v>82</v>
      </c>
      <c r="N37">
        <v>2002</v>
      </c>
      <c r="O37">
        <v>2354</v>
      </c>
      <c r="P37">
        <v>3244</v>
      </c>
    </row>
    <row r="38" spans="1:16" x14ac:dyDescent="0.2">
      <c r="A38" s="235" t="s">
        <v>13</v>
      </c>
      <c r="B38">
        <v>175</v>
      </c>
      <c r="C38">
        <v>466</v>
      </c>
      <c r="D38">
        <v>171</v>
      </c>
      <c r="E38">
        <v>99</v>
      </c>
      <c r="F38">
        <v>30</v>
      </c>
      <c r="G38">
        <v>88</v>
      </c>
      <c r="H38">
        <v>1029</v>
      </c>
      <c r="J38">
        <v>101</v>
      </c>
      <c r="K38">
        <v>49</v>
      </c>
      <c r="L38">
        <v>71</v>
      </c>
      <c r="M38">
        <v>22</v>
      </c>
      <c r="N38">
        <v>463</v>
      </c>
      <c r="O38">
        <v>706</v>
      </c>
      <c r="P38">
        <v>1735</v>
      </c>
    </row>
    <row r="39" spans="1:16" x14ac:dyDescent="0.2">
      <c r="A39" s="235" t="s">
        <v>898</v>
      </c>
      <c r="B39">
        <v>181</v>
      </c>
      <c r="C39">
        <v>496</v>
      </c>
      <c r="D39">
        <v>147</v>
      </c>
      <c r="E39">
        <v>84</v>
      </c>
      <c r="F39">
        <v>26</v>
      </c>
      <c r="G39">
        <v>97</v>
      </c>
      <c r="H39">
        <v>1031</v>
      </c>
      <c r="J39">
        <v>64</v>
      </c>
      <c r="K39">
        <v>58</v>
      </c>
      <c r="L39">
        <v>80</v>
      </c>
      <c r="M39">
        <v>29</v>
      </c>
      <c r="N39">
        <v>623</v>
      </c>
      <c r="O39">
        <v>854</v>
      </c>
      <c r="P39">
        <v>1885</v>
      </c>
    </row>
    <row r="40" spans="1:16" x14ac:dyDescent="0.2">
      <c r="A40" s="235" t="s">
        <v>899</v>
      </c>
      <c r="B40">
        <v>189</v>
      </c>
      <c r="C40">
        <v>417</v>
      </c>
      <c r="D40">
        <v>170</v>
      </c>
      <c r="E40">
        <v>94</v>
      </c>
      <c r="F40">
        <v>21</v>
      </c>
      <c r="G40">
        <v>117</v>
      </c>
      <c r="H40">
        <v>1008</v>
      </c>
      <c r="I40">
        <v>1</v>
      </c>
      <c r="J40">
        <v>85</v>
      </c>
      <c r="K40">
        <v>46</v>
      </c>
      <c r="L40">
        <v>73</v>
      </c>
      <c r="M40">
        <v>38</v>
      </c>
      <c r="N40">
        <v>798</v>
      </c>
      <c r="O40">
        <v>1041</v>
      </c>
      <c r="P40">
        <v>2049</v>
      </c>
    </row>
    <row r="41" spans="1:16" x14ac:dyDescent="0.2">
      <c r="A41" s="235" t="s">
        <v>900</v>
      </c>
      <c r="B41">
        <v>135</v>
      </c>
      <c r="C41">
        <v>432</v>
      </c>
      <c r="D41">
        <v>148</v>
      </c>
      <c r="E41">
        <v>126</v>
      </c>
      <c r="F41">
        <v>53</v>
      </c>
      <c r="G41">
        <v>406</v>
      </c>
      <c r="H41">
        <v>1300</v>
      </c>
      <c r="J41">
        <v>87</v>
      </c>
      <c r="K41">
        <v>70</v>
      </c>
      <c r="L41">
        <v>100</v>
      </c>
      <c r="M41">
        <v>62</v>
      </c>
      <c r="N41">
        <v>2149</v>
      </c>
      <c r="O41">
        <v>2468</v>
      </c>
      <c r="P41">
        <v>3768</v>
      </c>
    </row>
    <row r="42" spans="1:16" x14ac:dyDescent="0.2">
      <c r="A42" s="235" t="s">
        <v>901</v>
      </c>
      <c r="B42">
        <v>120</v>
      </c>
      <c r="C42">
        <v>405</v>
      </c>
      <c r="D42">
        <v>136</v>
      </c>
      <c r="E42">
        <v>105</v>
      </c>
      <c r="F42">
        <v>26</v>
      </c>
      <c r="G42">
        <v>162</v>
      </c>
      <c r="H42">
        <v>954</v>
      </c>
      <c r="J42">
        <v>80</v>
      </c>
      <c r="K42">
        <v>62</v>
      </c>
      <c r="L42">
        <v>74</v>
      </c>
      <c r="M42">
        <v>46</v>
      </c>
      <c r="N42">
        <v>1516</v>
      </c>
      <c r="O42">
        <v>1778</v>
      </c>
      <c r="P42">
        <v>2732</v>
      </c>
    </row>
    <row r="43" spans="1:16" x14ac:dyDescent="0.2">
      <c r="A43" s="235" t="s">
        <v>902</v>
      </c>
      <c r="B43">
        <v>83</v>
      </c>
      <c r="C43">
        <v>422</v>
      </c>
      <c r="D43">
        <v>145</v>
      </c>
      <c r="E43">
        <v>115</v>
      </c>
      <c r="F43">
        <v>38</v>
      </c>
      <c r="G43">
        <v>335</v>
      </c>
      <c r="H43">
        <v>1138</v>
      </c>
      <c r="J43">
        <v>87</v>
      </c>
      <c r="K43">
        <v>82</v>
      </c>
      <c r="L43">
        <v>78</v>
      </c>
      <c r="M43">
        <v>69</v>
      </c>
      <c r="N43">
        <v>1615</v>
      </c>
      <c r="O43">
        <v>1931</v>
      </c>
      <c r="P43">
        <v>3069</v>
      </c>
    </row>
    <row r="44" spans="1:16" x14ac:dyDescent="0.2">
      <c r="A44" s="235" t="s">
        <v>903</v>
      </c>
      <c r="B44">
        <v>46</v>
      </c>
      <c r="C44">
        <v>393</v>
      </c>
      <c r="D44">
        <v>129</v>
      </c>
      <c r="E44">
        <v>104</v>
      </c>
      <c r="F44">
        <v>23</v>
      </c>
      <c r="G44">
        <v>182</v>
      </c>
      <c r="H44">
        <v>877</v>
      </c>
      <c r="J44">
        <v>72</v>
      </c>
      <c r="K44">
        <v>72</v>
      </c>
      <c r="L44">
        <v>71</v>
      </c>
      <c r="M44">
        <v>52</v>
      </c>
      <c r="N44">
        <v>963</v>
      </c>
      <c r="O44">
        <v>1230</v>
      </c>
      <c r="P44">
        <v>2107</v>
      </c>
    </row>
    <row r="45" spans="1:16" x14ac:dyDescent="0.2">
      <c r="A45" s="235" t="s">
        <v>904</v>
      </c>
      <c r="B45">
        <v>29</v>
      </c>
      <c r="C45">
        <v>343</v>
      </c>
      <c r="D45">
        <v>138</v>
      </c>
      <c r="E45">
        <v>96</v>
      </c>
      <c r="F45">
        <v>31</v>
      </c>
      <c r="G45">
        <v>110</v>
      </c>
      <c r="H45">
        <v>747</v>
      </c>
      <c r="J45">
        <v>87</v>
      </c>
      <c r="K45">
        <v>72</v>
      </c>
      <c r="L45">
        <v>69</v>
      </c>
      <c r="M45">
        <v>37</v>
      </c>
      <c r="N45">
        <v>732</v>
      </c>
      <c r="O45">
        <v>997</v>
      </c>
      <c r="P45">
        <v>1744</v>
      </c>
    </row>
    <row r="46" spans="1:16" x14ac:dyDescent="0.2">
      <c r="A46" s="235" t="s">
        <v>905</v>
      </c>
      <c r="B46">
        <v>25</v>
      </c>
      <c r="C46">
        <v>432</v>
      </c>
      <c r="D46">
        <v>146</v>
      </c>
      <c r="E46">
        <v>105</v>
      </c>
      <c r="F46">
        <v>42</v>
      </c>
      <c r="G46">
        <v>144</v>
      </c>
      <c r="H46">
        <v>894</v>
      </c>
      <c r="J46">
        <v>63</v>
      </c>
      <c r="K46">
        <v>64</v>
      </c>
      <c r="L46">
        <v>83</v>
      </c>
      <c r="M46">
        <v>41</v>
      </c>
      <c r="N46">
        <v>889</v>
      </c>
      <c r="O46">
        <v>1140</v>
      </c>
      <c r="P46">
        <v>2034</v>
      </c>
    </row>
    <row r="47" spans="1:16" x14ac:dyDescent="0.2">
      <c r="A47" s="235" t="s">
        <v>906</v>
      </c>
      <c r="B47">
        <v>46</v>
      </c>
      <c r="C47">
        <v>379</v>
      </c>
      <c r="D47">
        <v>149</v>
      </c>
      <c r="E47">
        <v>119</v>
      </c>
      <c r="F47">
        <v>46</v>
      </c>
      <c r="G47">
        <v>137</v>
      </c>
      <c r="H47">
        <v>876</v>
      </c>
      <c r="J47">
        <v>62</v>
      </c>
      <c r="K47">
        <v>53</v>
      </c>
      <c r="L47">
        <v>72</v>
      </c>
      <c r="M47">
        <v>49</v>
      </c>
      <c r="N47">
        <v>867</v>
      </c>
      <c r="O47">
        <v>1103</v>
      </c>
      <c r="P47">
        <v>1979</v>
      </c>
    </row>
    <row r="48" spans="1:16" x14ac:dyDescent="0.2">
      <c r="A48" s="235" t="s">
        <v>907</v>
      </c>
      <c r="B48">
        <v>94</v>
      </c>
      <c r="C48">
        <v>450</v>
      </c>
      <c r="D48">
        <v>149</v>
      </c>
      <c r="E48">
        <v>106</v>
      </c>
      <c r="F48">
        <v>21</v>
      </c>
      <c r="G48">
        <v>118</v>
      </c>
      <c r="H48">
        <v>938</v>
      </c>
      <c r="J48">
        <v>63</v>
      </c>
      <c r="K48">
        <v>46</v>
      </c>
      <c r="L48">
        <v>78</v>
      </c>
      <c r="M48">
        <v>47</v>
      </c>
      <c r="N48">
        <v>1210</v>
      </c>
      <c r="O48">
        <v>1444</v>
      </c>
      <c r="P48">
        <v>2382</v>
      </c>
    </row>
    <row r="49" spans="1:16" x14ac:dyDescent="0.2">
      <c r="A49" s="235" t="s">
        <v>908</v>
      </c>
      <c r="B49">
        <v>127</v>
      </c>
      <c r="C49">
        <v>426</v>
      </c>
      <c r="D49">
        <v>140</v>
      </c>
      <c r="E49">
        <v>94</v>
      </c>
      <c r="F49">
        <v>18</v>
      </c>
      <c r="G49">
        <v>156</v>
      </c>
      <c r="H49">
        <v>961</v>
      </c>
      <c r="J49">
        <v>75</v>
      </c>
      <c r="K49">
        <v>56</v>
      </c>
      <c r="L49">
        <v>43</v>
      </c>
      <c r="M49">
        <v>58</v>
      </c>
      <c r="N49">
        <v>1599</v>
      </c>
      <c r="O49">
        <v>1831</v>
      </c>
      <c r="P49">
        <v>2792</v>
      </c>
    </row>
    <row r="50" spans="1:16" x14ac:dyDescent="0.2">
      <c r="A50" s="235" t="s">
        <v>909</v>
      </c>
      <c r="B50">
        <v>176</v>
      </c>
      <c r="C50">
        <v>488</v>
      </c>
      <c r="D50">
        <v>166</v>
      </c>
      <c r="E50">
        <v>103</v>
      </c>
      <c r="F50">
        <v>19</v>
      </c>
      <c r="G50">
        <v>63</v>
      </c>
      <c r="H50">
        <v>1015</v>
      </c>
      <c r="J50">
        <v>59</v>
      </c>
      <c r="K50">
        <v>52</v>
      </c>
      <c r="L50">
        <v>51</v>
      </c>
      <c r="M50">
        <v>23</v>
      </c>
      <c r="N50">
        <v>471</v>
      </c>
      <c r="O50">
        <v>656</v>
      </c>
      <c r="P50">
        <v>1671</v>
      </c>
    </row>
    <row r="51" spans="1:16" x14ac:dyDescent="0.2">
      <c r="A51" s="235" t="s">
        <v>910</v>
      </c>
      <c r="B51">
        <v>214</v>
      </c>
      <c r="C51">
        <v>407</v>
      </c>
      <c r="D51">
        <v>133</v>
      </c>
      <c r="E51">
        <v>88</v>
      </c>
      <c r="F51">
        <v>14</v>
      </c>
      <c r="G51">
        <v>82</v>
      </c>
      <c r="H51">
        <v>938</v>
      </c>
      <c r="J51">
        <v>63</v>
      </c>
      <c r="K51">
        <v>45</v>
      </c>
      <c r="L51">
        <v>70</v>
      </c>
      <c r="M51">
        <v>18</v>
      </c>
      <c r="N51">
        <v>404</v>
      </c>
      <c r="O51">
        <v>600</v>
      </c>
      <c r="P51">
        <v>1538</v>
      </c>
    </row>
    <row r="52" spans="1:16" x14ac:dyDescent="0.2">
      <c r="A52" s="235" t="s">
        <v>911</v>
      </c>
      <c r="B52">
        <v>174</v>
      </c>
      <c r="C52">
        <v>415</v>
      </c>
      <c r="D52">
        <v>141</v>
      </c>
      <c r="E52">
        <v>91</v>
      </c>
      <c r="F52">
        <v>16</v>
      </c>
      <c r="G52">
        <v>137</v>
      </c>
      <c r="H52">
        <v>974</v>
      </c>
      <c r="J52">
        <v>49</v>
      </c>
      <c r="K52">
        <v>35</v>
      </c>
      <c r="L52">
        <v>60</v>
      </c>
      <c r="M52">
        <v>27</v>
      </c>
      <c r="N52">
        <v>757</v>
      </c>
      <c r="O52">
        <v>928</v>
      </c>
      <c r="P52">
        <v>1902</v>
      </c>
    </row>
    <row r="53" spans="1:16" x14ac:dyDescent="0.2">
      <c r="A53" s="235" t="s">
        <v>912</v>
      </c>
      <c r="B53">
        <v>240</v>
      </c>
      <c r="C53">
        <v>444</v>
      </c>
      <c r="D53">
        <v>147</v>
      </c>
      <c r="E53">
        <v>94</v>
      </c>
      <c r="F53">
        <v>23</v>
      </c>
      <c r="G53">
        <v>395</v>
      </c>
      <c r="H53">
        <v>1343</v>
      </c>
      <c r="J53">
        <v>72</v>
      </c>
      <c r="K53">
        <v>50</v>
      </c>
      <c r="L53">
        <v>65</v>
      </c>
      <c r="M53">
        <v>31</v>
      </c>
      <c r="N53">
        <v>1229</v>
      </c>
      <c r="O53">
        <v>1447</v>
      </c>
      <c r="P53">
        <v>2790</v>
      </c>
    </row>
    <row r="54" spans="1:16" x14ac:dyDescent="0.2">
      <c r="A54" s="235" t="s">
        <v>913</v>
      </c>
      <c r="B54">
        <v>159</v>
      </c>
      <c r="C54">
        <v>378</v>
      </c>
      <c r="D54">
        <v>153</v>
      </c>
      <c r="E54">
        <v>103</v>
      </c>
      <c r="F54">
        <v>46</v>
      </c>
      <c r="G54">
        <v>615</v>
      </c>
      <c r="H54">
        <v>1454</v>
      </c>
      <c r="I54">
        <v>1</v>
      </c>
      <c r="J54">
        <v>49</v>
      </c>
      <c r="K54">
        <v>61</v>
      </c>
      <c r="L54">
        <v>43</v>
      </c>
      <c r="M54">
        <v>61</v>
      </c>
      <c r="N54">
        <v>2852</v>
      </c>
      <c r="O54">
        <v>3067</v>
      </c>
      <c r="P54">
        <v>4521</v>
      </c>
    </row>
    <row r="55" spans="1:16" x14ac:dyDescent="0.2">
      <c r="A55" s="235" t="s">
        <v>914</v>
      </c>
      <c r="B55">
        <v>84</v>
      </c>
      <c r="C55">
        <v>417</v>
      </c>
      <c r="D55">
        <v>149</v>
      </c>
      <c r="E55">
        <v>78</v>
      </c>
      <c r="F55">
        <v>28</v>
      </c>
      <c r="G55">
        <v>247</v>
      </c>
      <c r="H55">
        <v>1003</v>
      </c>
      <c r="J55">
        <v>50</v>
      </c>
      <c r="K55">
        <v>70</v>
      </c>
      <c r="L55">
        <v>68</v>
      </c>
      <c r="M55">
        <v>47</v>
      </c>
      <c r="N55">
        <v>1219</v>
      </c>
      <c r="O55">
        <v>1454</v>
      </c>
      <c r="P55">
        <v>2457</v>
      </c>
    </row>
    <row r="56" spans="1:16" x14ac:dyDescent="0.2">
      <c r="A56" s="235" t="s">
        <v>915</v>
      </c>
      <c r="B56">
        <v>41</v>
      </c>
      <c r="C56">
        <v>401</v>
      </c>
      <c r="D56">
        <v>158</v>
      </c>
      <c r="E56">
        <v>93</v>
      </c>
      <c r="F56">
        <v>42</v>
      </c>
      <c r="G56">
        <v>367</v>
      </c>
      <c r="H56">
        <v>1102</v>
      </c>
      <c r="J56">
        <v>63</v>
      </c>
      <c r="K56">
        <v>69</v>
      </c>
      <c r="L56">
        <v>76</v>
      </c>
      <c r="M56">
        <v>63</v>
      </c>
      <c r="N56">
        <v>1462</v>
      </c>
      <c r="O56">
        <v>1733</v>
      </c>
      <c r="P56">
        <v>2835</v>
      </c>
    </row>
    <row r="57" spans="1:16" x14ac:dyDescent="0.2">
      <c r="A57" s="235" t="s">
        <v>916</v>
      </c>
      <c r="B57">
        <v>16</v>
      </c>
      <c r="C57">
        <v>392</v>
      </c>
      <c r="D57">
        <v>155</v>
      </c>
      <c r="E57">
        <v>119</v>
      </c>
      <c r="F57">
        <v>58</v>
      </c>
      <c r="G57">
        <v>528</v>
      </c>
      <c r="H57">
        <v>1268</v>
      </c>
      <c r="J57">
        <v>61</v>
      </c>
      <c r="K57">
        <v>61</v>
      </c>
      <c r="L57">
        <v>88</v>
      </c>
      <c r="M57">
        <v>93</v>
      </c>
      <c r="N57">
        <v>1712</v>
      </c>
      <c r="O57">
        <v>2015</v>
      </c>
      <c r="P57">
        <v>3283</v>
      </c>
    </row>
    <row r="58" spans="1:16" x14ac:dyDescent="0.2">
      <c r="A58" s="235" t="s">
        <v>917</v>
      </c>
      <c r="B58">
        <v>20</v>
      </c>
      <c r="C58">
        <v>372</v>
      </c>
      <c r="D58">
        <v>142</v>
      </c>
      <c r="E58">
        <v>115</v>
      </c>
      <c r="F58">
        <v>46</v>
      </c>
      <c r="G58">
        <v>218</v>
      </c>
      <c r="H58">
        <v>913</v>
      </c>
      <c r="J58">
        <v>53</v>
      </c>
      <c r="K58">
        <v>56</v>
      </c>
      <c r="L58">
        <v>80</v>
      </c>
      <c r="M58">
        <v>51</v>
      </c>
      <c r="N58">
        <v>1105</v>
      </c>
      <c r="O58">
        <v>1345</v>
      </c>
      <c r="P58">
        <v>2258</v>
      </c>
    </row>
    <row r="59" spans="1:16" x14ac:dyDescent="0.2">
      <c r="A59" s="235" t="s">
        <v>918</v>
      </c>
      <c r="B59">
        <v>31</v>
      </c>
      <c r="C59">
        <v>402</v>
      </c>
      <c r="D59">
        <v>148</v>
      </c>
      <c r="E59">
        <v>118</v>
      </c>
      <c r="F59">
        <v>43</v>
      </c>
      <c r="G59">
        <v>191</v>
      </c>
      <c r="H59">
        <v>933</v>
      </c>
      <c r="J59">
        <v>66</v>
      </c>
      <c r="K59">
        <v>54</v>
      </c>
      <c r="L59">
        <v>67</v>
      </c>
      <c r="M59">
        <v>54</v>
      </c>
      <c r="N59">
        <v>930</v>
      </c>
      <c r="O59">
        <v>1171</v>
      </c>
      <c r="P59">
        <v>2104</v>
      </c>
    </row>
    <row r="60" spans="1:16" x14ac:dyDescent="0.2">
      <c r="A60" s="235" t="s">
        <v>919</v>
      </c>
      <c r="B60">
        <v>84</v>
      </c>
      <c r="C60">
        <v>365</v>
      </c>
      <c r="D60">
        <v>149</v>
      </c>
      <c r="E60">
        <v>111</v>
      </c>
      <c r="F60">
        <v>28</v>
      </c>
      <c r="G60">
        <v>155</v>
      </c>
      <c r="H60">
        <v>892</v>
      </c>
      <c r="J60">
        <v>67</v>
      </c>
      <c r="K60">
        <v>41</v>
      </c>
      <c r="L60">
        <v>65</v>
      </c>
      <c r="M60">
        <v>35</v>
      </c>
      <c r="N60">
        <v>737</v>
      </c>
      <c r="O60">
        <v>945</v>
      </c>
      <c r="P60">
        <v>1837</v>
      </c>
    </row>
    <row r="61" spans="1:16" x14ac:dyDescent="0.2">
      <c r="A61" s="235" t="s">
        <v>920</v>
      </c>
      <c r="B61">
        <v>117</v>
      </c>
      <c r="C61">
        <v>436</v>
      </c>
      <c r="D61">
        <v>138</v>
      </c>
      <c r="E61">
        <v>94</v>
      </c>
      <c r="F61">
        <v>30</v>
      </c>
      <c r="G61">
        <v>145</v>
      </c>
      <c r="H61">
        <v>960</v>
      </c>
      <c r="J61">
        <v>65</v>
      </c>
      <c r="K61">
        <v>50</v>
      </c>
      <c r="L61">
        <v>66</v>
      </c>
      <c r="M61">
        <v>41</v>
      </c>
      <c r="N61">
        <v>1360</v>
      </c>
      <c r="O61">
        <v>1582</v>
      </c>
      <c r="P61">
        <v>2542</v>
      </c>
    </row>
    <row r="62" spans="1:16" x14ac:dyDescent="0.2">
      <c r="A62" s="235" t="s">
        <v>921</v>
      </c>
      <c r="B62">
        <v>137</v>
      </c>
      <c r="C62">
        <v>472</v>
      </c>
      <c r="D62">
        <v>126</v>
      </c>
      <c r="E62">
        <v>89</v>
      </c>
      <c r="F62">
        <v>22</v>
      </c>
      <c r="G62">
        <v>94</v>
      </c>
      <c r="H62">
        <v>940</v>
      </c>
      <c r="J62">
        <v>47</v>
      </c>
      <c r="K62">
        <v>43</v>
      </c>
      <c r="L62">
        <v>65</v>
      </c>
      <c r="M62">
        <v>23</v>
      </c>
      <c r="N62">
        <v>488</v>
      </c>
      <c r="O62">
        <v>666</v>
      </c>
      <c r="P62">
        <v>1606</v>
      </c>
    </row>
    <row r="63" spans="1:16" x14ac:dyDescent="0.2">
      <c r="A63" s="235" t="s">
        <v>922</v>
      </c>
      <c r="B63">
        <v>135</v>
      </c>
      <c r="C63">
        <v>358</v>
      </c>
      <c r="D63">
        <v>121</v>
      </c>
      <c r="E63">
        <v>86</v>
      </c>
      <c r="F63">
        <v>10</v>
      </c>
      <c r="G63">
        <v>89</v>
      </c>
      <c r="H63">
        <v>799</v>
      </c>
      <c r="J63">
        <v>46</v>
      </c>
      <c r="K63">
        <v>43</v>
      </c>
      <c r="L63">
        <v>48</v>
      </c>
      <c r="M63">
        <v>16</v>
      </c>
      <c r="N63">
        <v>409</v>
      </c>
      <c r="O63">
        <v>562</v>
      </c>
      <c r="P63">
        <v>1361</v>
      </c>
    </row>
    <row r="64" spans="1:16" x14ac:dyDescent="0.2">
      <c r="A64" s="235" t="s">
        <v>923</v>
      </c>
      <c r="B64">
        <v>126</v>
      </c>
      <c r="C64">
        <v>317</v>
      </c>
      <c r="D64">
        <v>140</v>
      </c>
      <c r="E64">
        <v>68</v>
      </c>
      <c r="F64">
        <v>10</v>
      </c>
      <c r="G64">
        <v>65</v>
      </c>
      <c r="H64">
        <v>726</v>
      </c>
      <c r="J64">
        <v>37</v>
      </c>
      <c r="K64">
        <v>40</v>
      </c>
      <c r="L64">
        <v>47</v>
      </c>
      <c r="M64">
        <v>14</v>
      </c>
      <c r="N64">
        <v>373</v>
      </c>
      <c r="O64">
        <v>511</v>
      </c>
      <c r="P64">
        <v>1237</v>
      </c>
    </row>
    <row r="65" spans="1:16" x14ac:dyDescent="0.2">
      <c r="A65" s="235" t="s">
        <v>924</v>
      </c>
      <c r="B65">
        <v>141</v>
      </c>
      <c r="C65">
        <v>374</v>
      </c>
      <c r="D65">
        <v>135</v>
      </c>
      <c r="E65">
        <v>95</v>
      </c>
      <c r="F65">
        <v>25</v>
      </c>
      <c r="G65">
        <v>200</v>
      </c>
      <c r="H65">
        <v>970</v>
      </c>
      <c r="I65">
        <v>1</v>
      </c>
      <c r="J65">
        <v>46</v>
      </c>
      <c r="K65">
        <v>48</v>
      </c>
      <c r="L65">
        <v>56</v>
      </c>
      <c r="M65">
        <v>28</v>
      </c>
      <c r="N65">
        <v>799</v>
      </c>
      <c r="O65">
        <v>978</v>
      </c>
      <c r="P65">
        <v>1948</v>
      </c>
    </row>
    <row r="66" spans="1:16" x14ac:dyDescent="0.2">
      <c r="A66" s="235" t="s">
        <v>925</v>
      </c>
      <c r="B66">
        <v>111</v>
      </c>
      <c r="C66">
        <v>386</v>
      </c>
      <c r="D66">
        <v>144</v>
      </c>
      <c r="E66">
        <v>112</v>
      </c>
      <c r="F66">
        <v>27</v>
      </c>
      <c r="G66">
        <v>286</v>
      </c>
      <c r="H66">
        <v>1066</v>
      </c>
      <c r="J66">
        <v>53</v>
      </c>
      <c r="K66">
        <v>49</v>
      </c>
      <c r="L66">
        <v>56</v>
      </c>
      <c r="M66">
        <v>45</v>
      </c>
      <c r="N66">
        <v>1309</v>
      </c>
      <c r="O66">
        <v>1512</v>
      </c>
      <c r="P66">
        <v>2578</v>
      </c>
    </row>
    <row r="67" spans="1:16" x14ac:dyDescent="0.2">
      <c r="A67" s="235" t="s">
        <v>926</v>
      </c>
      <c r="B67">
        <v>68</v>
      </c>
      <c r="C67">
        <v>418</v>
      </c>
      <c r="D67">
        <v>149</v>
      </c>
      <c r="E67">
        <v>97</v>
      </c>
      <c r="F67">
        <v>30</v>
      </c>
      <c r="G67">
        <v>180</v>
      </c>
      <c r="H67">
        <v>942</v>
      </c>
      <c r="J67">
        <v>52</v>
      </c>
      <c r="K67">
        <v>48</v>
      </c>
      <c r="L67">
        <v>81</v>
      </c>
      <c r="M67">
        <v>31</v>
      </c>
      <c r="N67">
        <v>916</v>
      </c>
      <c r="O67">
        <v>1128</v>
      </c>
      <c r="P67">
        <v>2070</v>
      </c>
    </row>
    <row r="68" spans="1:16" x14ac:dyDescent="0.2">
      <c r="A68" s="235" t="s">
        <v>927</v>
      </c>
      <c r="B68">
        <v>26</v>
      </c>
      <c r="C68">
        <v>386</v>
      </c>
      <c r="D68">
        <v>132</v>
      </c>
      <c r="E68">
        <v>102</v>
      </c>
      <c r="F68">
        <v>30</v>
      </c>
      <c r="G68">
        <v>236</v>
      </c>
      <c r="H68">
        <v>912</v>
      </c>
      <c r="J68">
        <v>54</v>
      </c>
      <c r="K68">
        <v>55</v>
      </c>
      <c r="L68">
        <v>70</v>
      </c>
      <c r="M68">
        <v>43</v>
      </c>
      <c r="N68">
        <v>1080</v>
      </c>
      <c r="O68">
        <v>1302</v>
      </c>
      <c r="P68">
        <v>2214</v>
      </c>
    </row>
    <row r="69" spans="1:16" x14ac:dyDescent="0.2">
      <c r="A69" s="235" t="s">
        <v>928</v>
      </c>
      <c r="B69">
        <v>24</v>
      </c>
      <c r="C69">
        <v>419</v>
      </c>
      <c r="D69">
        <v>132</v>
      </c>
      <c r="E69">
        <v>94</v>
      </c>
      <c r="F69">
        <v>47</v>
      </c>
      <c r="G69">
        <v>356</v>
      </c>
      <c r="H69">
        <v>1072</v>
      </c>
      <c r="J69">
        <v>44</v>
      </c>
      <c r="K69">
        <v>55</v>
      </c>
      <c r="L69">
        <v>61</v>
      </c>
      <c r="M69">
        <v>68</v>
      </c>
      <c r="N69">
        <v>1305</v>
      </c>
      <c r="O69">
        <v>1533</v>
      </c>
      <c r="P69">
        <v>2605</v>
      </c>
    </row>
    <row r="70" spans="1:16" x14ac:dyDescent="0.2">
      <c r="A70" s="235" t="s">
        <v>929</v>
      </c>
      <c r="B70">
        <v>30</v>
      </c>
      <c r="C70">
        <v>358</v>
      </c>
      <c r="D70">
        <v>136</v>
      </c>
      <c r="E70">
        <v>113</v>
      </c>
      <c r="F70">
        <v>41</v>
      </c>
      <c r="G70">
        <v>192</v>
      </c>
      <c r="H70">
        <v>870</v>
      </c>
      <c r="J70">
        <v>45</v>
      </c>
      <c r="K70">
        <v>58</v>
      </c>
      <c r="L70">
        <v>66</v>
      </c>
      <c r="M70">
        <v>55</v>
      </c>
      <c r="N70">
        <v>864</v>
      </c>
      <c r="O70">
        <v>1088</v>
      </c>
      <c r="P70">
        <v>1958</v>
      </c>
    </row>
    <row r="71" spans="1:16" x14ac:dyDescent="0.2">
      <c r="A71" s="235" t="s">
        <v>930</v>
      </c>
      <c r="B71">
        <v>28</v>
      </c>
      <c r="C71">
        <v>417</v>
      </c>
      <c r="D71">
        <v>145</v>
      </c>
      <c r="E71">
        <v>85</v>
      </c>
      <c r="F71">
        <v>34</v>
      </c>
      <c r="G71">
        <v>208</v>
      </c>
      <c r="H71">
        <v>917</v>
      </c>
      <c r="J71">
        <v>54</v>
      </c>
      <c r="K71">
        <v>65</v>
      </c>
      <c r="L71">
        <v>71</v>
      </c>
      <c r="M71">
        <v>82</v>
      </c>
      <c r="N71">
        <v>1376</v>
      </c>
      <c r="O71">
        <v>1648</v>
      </c>
      <c r="P71">
        <v>2565</v>
      </c>
    </row>
    <row r="72" spans="1:16" x14ac:dyDescent="0.2">
      <c r="A72" s="235" t="s">
        <v>931</v>
      </c>
      <c r="B72">
        <v>80</v>
      </c>
      <c r="C72">
        <v>397</v>
      </c>
      <c r="D72">
        <v>165</v>
      </c>
      <c r="E72">
        <v>81</v>
      </c>
      <c r="F72">
        <v>29</v>
      </c>
      <c r="G72">
        <v>148</v>
      </c>
      <c r="H72">
        <v>900</v>
      </c>
      <c r="I72">
        <v>1</v>
      </c>
      <c r="J72">
        <v>51</v>
      </c>
      <c r="K72">
        <v>40</v>
      </c>
      <c r="L72">
        <v>50</v>
      </c>
      <c r="M72">
        <v>41</v>
      </c>
      <c r="N72">
        <v>864</v>
      </c>
      <c r="O72">
        <v>1047</v>
      </c>
      <c r="P72">
        <v>1947</v>
      </c>
    </row>
    <row r="73" spans="1:16" x14ac:dyDescent="0.2">
      <c r="A73" s="235" t="s">
        <v>932</v>
      </c>
      <c r="B73">
        <v>80</v>
      </c>
      <c r="C73">
        <v>364</v>
      </c>
      <c r="D73">
        <v>142</v>
      </c>
      <c r="E73">
        <v>87</v>
      </c>
      <c r="F73">
        <v>25</v>
      </c>
      <c r="G73">
        <v>137</v>
      </c>
      <c r="H73">
        <v>835</v>
      </c>
      <c r="J73">
        <v>62</v>
      </c>
      <c r="K73">
        <v>41</v>
      </c>
      <c r="L73">
        <v>75</v>
      </c>
      <c r="M73">
        <v>41</v>
      </c>
      <c r="N73">
        <v>1185</v>
      </c>
      <c r="O73">
        <v>1404</v>
      </c>
      <c r="P73">
        <v>2239</v>
      </c>
    </row>
    <row r="74" spans="1:16" x14ac:dyDescent="0.2">
      <c r="A74" s="235" t="s">
        <v>933</v>
      </c>
      <c r="B74">
        <v>150</v>
      </c>
      <c r="C74">
        <v>502</v>
      </c>
      <c r="D74">
        <v>168</v>
      </c>
      <c r="E74">
        <v>98</v>
      </c>
      <c r="F74">
        <v>21</v>
      </c>
      <c r="G74">
        <v>96</v>
      </c>
      <c r="H74">
        <v>1035</v>
      </c>
      <c r="J74">
        <v>59</v>
      </c>
      <c r="K74">
        <v>42</v>
      </c>
      <c r="L74">
        <v>55</v>
      </c>
      <c r="M74">
        <v>14</v>
      </c>
      <c r="N74">
        <v>403</v>
      </c>
      <c r="O74">
        <v>573</v>
      </c>
      <c r="P74">
        <v>1608</v>
      </c>
    </row>
    <row r="75" spans="1:16" x14ac:dyDescent="0.2">
      <c r="A75" s="235" t="s">
        <v>934</v>
      </c>
      <c r="B75">
        <v>132</v>
      </c>
      <c r="C75">
        <v>477</v>
      </c>
      <c r="D75">
        <v>165</v>
      </c>
      <c r="E75">
        <v>74</v>
      </c>
      <c r="F75">
        <v>34</v>
      </c>
      <c r="G75">
        <v>81</v>
      </c>
      <c r="H75">
        <v>963</v>
      </c>
      <c r="I75">
        <v>1</v>
      </c>
      <c r="J75">
        <v>52</v>
      </c>
      <c r="K75">
        <v>42</v>
      </c>
      <c r="L75">
        <v>47</v>
      </c>
      <c r="M75">
        <v>15</v>
      </c>
      <c r="N75">
        <v>315</v>
      </c>
      <c r="O75">
        <v>472</v>
      </c>
      <c r="P75">
        <v>1435</v>
      </c>
    </row>
    <row r="76" spans="1:16" x14ac:dyDescent="0.2">
      <c r="A76" s="235" t="s">
        <v>935</v>
      </c>
      <c r="B76">
        <v>129</v>
      </c>
      <c r="C76">
        <v>385</v>
      </c>
      <c r="D76">
        <v>142</v>
      </c>
      <c r="E76">
        <v>103</v>
      </c>
      <c r="F76">
        <v>16</v>
      </c>
      <c r="G76">
        <v>111</v>
      </c>
      <c r="H76">
        <v>886</v>
      </c>
      <c r="J76">
        <v>54</v>
      </c>
      <c r="K76">
        <v>40</v>
      </c>
      <c r="L76">
        <v>50</v>
      </c>
      <c r="M76">
        <v>18</v>
      </c>
      <c r="N76">
        <v>611</v>
      </c>
      <c r="O76">
        <v>773</v>
      </c>
      <c r="P76">
        <v>1659</v>
      </c>
    </row>
    <row r="77" spans="1:16" x14ac:dyDescent="0.2">
      <c r="A77" s="235" t="s">
        <v>936</v>
      </c>
      <c r="B77">
        <v>117</v>
      </c>
      <c r="C77">
        <v>452</v>
      </c>
      <c r="D77">
        <v>139</v>
      </c>
      <c r="E77">
        <v>102</v>
      </c>
      <c r="F77">
        <v>26</v>
      </c>
      <c r="G77">
        <v>208</v>
      </c>
      <c r="H77">
        <v>1044</v>
      </c>
      <c r="J77">
        <v>41</v>
      </c>
      <c r="K77">
        <v>30</v>
      </c>
      <c r="L77">
        <v>67</v>
      </c>
      <c r="M77">
        <v>25</v>
      </c>
      <c r="N77">
        <v>939</v>
      </c>
      <c r="O77">
        <v>1102</v>
      </c>
      <c r="P77">
        <v>2146</v>
      </c>
    </row>
    <row r="78" spans="1:16" x14ac:dyDescent="0.2">
      <c r="A78" s="235" t="s">
        <v>937</v>
      </c>
      <c r="B78">
        <v>110</v>
      </c>
      <c r="C78">
        <v>439</v>
      </c>
      <c r="D78">
        <v>158</v>
      </c>
      <c r="E78">
        <v>104</v>
      </c>
      <c r="F78">
        <v>30</v>
      </c>
      <c r="G78">
        <v>481</v>
      </c>
      <c r="H78">
        <v>1322</v>
      </c>
      <c r="J78">
        <v>63</v>
      </c>
      <c r="K78">
        <v>57</v>
      </c>
      <c r="L78">
        <v>65</v>
      </c>
      <c r="M78">
        <v>55</v>
      </c>
      <c r="N78">
        <v>2109</v>
      </c>
      <c r="O78">
        <v>2349</v>
      </c>
      <c r="P78">
        <v>3671</v>
      </c>
    </row>
    <row r="79" spans="1:16" x14ac:dyDescent="0.2">
      <c r="A79" s="235" t="s">
        <v>938</v>
      </c>
      <c r="B79">
        <v>76</v>
      </c>
      <c r="C79">
        <v>429</v>
      </c>
      <c r="D79">
        <v>141</v>
      </c>
      <c r="E79">
        <v>91</v>
      </c>
      <c r="F79">
        <v>31</v>
      </c>
      <c r="G79">
        <v>230</v>
      </c>
      <c r="H79">
        <v>998</v>
      </c>
      <c r="J79">
        <v>51</v>
      </c>
      <c r="K79">
        <v>64</v>
      </c>
      <c r="L79">
        <v>69</v>
      </c>
      <c r="M79">
        <v>45</v>
      </c>
      <c r="N79">
        <v>972</v>
      </c>
      <c r="O79">
        <v>1201</v>
      </c>
      <c r="P79">
        <v>2199</v>
      </c>
    </row>
    <row r="80" spans="1:16" x14ac:dyDescent="0.2">
      <c r="A80" s="235" t="s">
        <v>939</v>
      </c>
      <c r="B80">
        <v>27</v>
      </c>
      <c r="C80">
        <v>392</v>
      </c>
      <c r="D80">
        <v>174</v>
      </c>
      <c r="E80">
        <v>106</v>
      </c>
      <c r="F80">
        <v>29</v>
      </c>
      <c r="G80">
        <v>284</v>
      </c>
      <c r="H80">
        <v>1012</v>
      </c>
      <c r="J80">
        <v>50</v>
      </c>
      <c r="K80">
        <v>56</v>
      </c>
      <c r="L80">
        <v>68</v>
      </c>
      <c r="M80">
        <v>53</v>
      </c>
      <c r="N80">
        <v>1145</v>
      </c>
      <c r="O80">
        <v>1372</v>
      </c>
      <c r="P80">
        <v>2384</v>
      </c>
    </row>
    <row r="81" spans="1:16" x14ac:dyDescent="0.2">
      <c r="A81" s="235" t="s">
        <v>940</v>
      </c>
      <c r="B81">
        <v>23</v>
      </c>
      <c r="C81">
        <v>394</v>
      </c>
      <c r="D81">
        <v>156</v>
      </c>
      <c r="E81">
        <v>82</v>
      </c>
      <c r="F81">
        <v>31</v>
      </c>
      <c r="G81">
        <v>201</v>
      </c>
      <c r="H81">
        <v>887</v>
      </c>
      <c r="J81">
        <v>63</v>
      </c>
      <c r="K81">
        <v>54</v>
      </c>
      <c r="L81">
        <v>70</v>
      </c>
      <c r="M81">
        <v>40</v>
      </c>
      <c r="N81">
        <v>751</v>
      </c>
      <c r="O81">
        <v>978</v>
      </c>
      <c r="P81">
        <v>1865</v>
      </c>
    </row>
    <row r="82" spans="1:16" x14ac:dyDescent="0.2">
      <c r="A82" s="235" t="s">
        <v>941</v>
      </c>
      <c r="B82">
        <v>13</v>
      </c>
      <c r="C82">
        <v>424</v>
      </c>
      <c r="D82">
        <v>169</v>
      </c>
      <c r="E82">
        <v>114</v>
      </c>
      <c r="F82">
        <v>39</v>
      </c>
      <c r="G82">
        <v>226</v>
      </c>
      <c r="H82">
        <v>985</v>
      </c>
      <c r="J82">
        <v>39</v>
      </c>
      <c r="K82">
        <v>72</v>
      </c>
      <c r="L82">
        <v>74</v>
      </c>
      <c r="M82">
        <v>66</v>
      </c>
      <c r="N82">
        <v>1091</v>
      </c>
      <c r="O82">
        <v>1342</v>
      </c>
      <c r="P82">
        <v>2327</v>
      </c>
    </row>
    <row r="83" spans="1:16" x14ac:dyDescent="0.2">
      <c r="A83" s="235" t="s">
        <v>942</v>
      </c>
      <c r="B83">
        <v>52</v>
      </c>
      <c r="C83">
        <v>408</v>
      </c>
      <c r="D83">
        <v>164</v>
      </c>
      <c r="E83">
        <v>111</v>
      </c>
      <c r="F83">
        <v>50</v>
      </c>
      <c r="G83">
        <v>225</v>
      </c>
      <c r="H83">
        <v>1010</v>
      </c>
      <c r="J83">
        <v>38</v>
      </c>
      <c r="K83">
        <v>67</v>
      </c>
      <c r="L83">
        <v>70</v>
      </c>
      <c r="M83">
        <v>82</v>
      </c>
      <c r="N83">
        <v>1195</v>
      </c>
      <c r="O83">
        <v>1452</v>
      </c>
      <c r="P83">
        <v>2462</v>
      </c>
    </row>
    <row r="84" spans="1:16" x14ac:dyDescent="0.2">
      <c r="A84" s="235" t="s">
        <v>943</v>
      </c>
      <c r="B84">
        <v>56</v>
      </c>
      <c r="C84">
        <v>417</v>
      </c>
      <c r="D84">
        <v>153</v>
      </c>
      <c r="E84">
        <v>85</v>
      </c>
      <c r="F84">
        <v>34</v>
      </c>
      <c r="G84">
        <v>209</v>
      </c>
      <c r="H84">
        <v>954</v>
      </c>
      <c r="I84">
        <v>1</v>
      </c>
      <c r="J84">
        <v>48</v>
      </c>
      <c r="K84">
        <v>55</v>
      </c>
      <c r="L84">
        <v>63</v>
      </c>
      <c r="M84">
        <v>75</v>
      </c>
      <c r="N84">
        <v>1378</v>
      </c>
      <c r="O84">
        <v>1620</v>
      </c>
      <c r="P84">
        <v>2574</v>
      </c>
    </row>
    <row r="85" spans="1:16" x14ac:dyDescent="0.2">
      <c r="A85" s="235" t="s">
        <v>944</v>
      </c>
      <c r="B85">
        <v>76</v>
      </c>
      <c r="C85">
        <v>475</v>
      </c>
      <c r="D85">
        <v>148</v>
      </c>
      <c r="E85">
        <v>79</v>
      </c>
      <c r="F85">
        <v>20</v>
      </c>
      <c r="G85">
        <v>113</v>
      </c>
      <c r="H85">
        <v>911</v>
      </c>
      <c r="I85">
        <v>1</v>
      </c>
      <c r="J85">
        <v>57</v>
      </c>
      <c r="K85">
        <v>48</v>
      </c>
      <c r="L85">
        <v>75</v>
      </c>
      <c r="M85">
        <v>33</v>
      </c>
      <c r="N85">
        <v>955</v>
      </c>
      <c r="O85">
        <v>1169</v>
      </c>
      <c r="P85">
        <v>2080</v>
      </c>
    </row>
    <row r="86" spans="1:16" x14ac:dyDescent="0.2">
      <c r="A86" s="235" t="s">
        <v>945</v>
      </c>
      <c r="B86">
        <v>86</v>
      </c>
      <c r="C86">
        <v>451</v>
      </c>
      <c r="D86">
        <v>150</v>
      </c>
      <c r="E86">
        <v>89</v>
      </c>
      <c r="F86">
        <v>16</v>
      </c>
      <c r="G86">
        <v>113</v>
      </c>
      <c r="H86">
        <v>905</v>
      </c>
      <c r="J86">
        <v>62</v>
      </c>
      <c r="K86">
        <v>43</v>
      </c>
      <c r="L86">
        <v>63</v>
      </c>
      <c r="M86">
        <v>16</v>
      </c>
      <c r="N86">
        <v>321</v>
      </c>
      <c r="O86">
        <v>505</v>
      </c>
      <c r="P86">
        <v>1410</v>
      </c>
    </row>
    <row r="87" spans="1:16" x14ac:dyDescent="0.2">
      <c r="A87" s="235" t="s">
        <v>946</v>
      </c>
      <c r="B87">
        <v>132</v>
      </c>
      <c r="C87">
        <v>430</v>
      </c>
      <c r="D87">
        <v>117</v>
      </c>
      <c r="E87">
        <v>106</v>
      </c>
      <c r="F87">
        <v>19</v>
      </c>
      <c r="G87">
        <v>75</v>
      </c>
      <c r="H87">
        <v>879</v>
      </c>
      <c r="I87">
        <v>1</v>
      </c>
      <c r="J87">
        <v>51</v>
      </c>
      <c r="K87">
        <v>38</v>
      </c>
      <c r="L87">
        <v>54</v>
      </c>
      <c r="M87">
        <v>13</v>
      </c>
      <c r="N87">
        <v>308</v>
      </c>
      <c r="O87">
        <v>465</v>
      </c>
      <c r="P87">
        <v>1344</v>
      </c>
    </row>
    <row r="88" spans="1:16" x14ac:dyDescent="0.2">
      <c r="A88" s="235" t="s">
        <v>947</v>
      </c>
      <c r="B88">
        <v>122</v>
      </c>
      <c r="C88">
        <v>403</v>
      </c>
      <c r="D88">
        <v>151</v>
      </c>
      <c r="E88">
        <v>99</v>
      </c>
      <c r="F88">
        <v>14</v>
      </c>
      <c r="G88">
        <v>96</v>
      </c>
      <c r="H88">
        <v>885</v>
      </c>
      <c r="I88">
        <v>1</v>
      </c>
      <c r="J88">
        <v>26</v>
      </c>
      <c r="K88">
        <v>44</v>
      </c>
      <c r="L88">
        <v>55</v>
      </c>
      <c r="M88">
        <v>19</v>
      </c>
      <c r="N88">
        <v>591</v>
      </c>
      <c r="O88">
        <v>736</v>
      </c>
      <c r="P88">
        <v>1621</v>
      </c>
    </row>
    <row r="89" spans="1:16" x14ac:dyDescent="0.2">
      <c r="A89" s="235" t="s">
        <v>948</v>
      </c>
      <c r="B89">
        <v>105</v>
      </c>
      <c r="C89">
        <v>410</v>
      </c>
      <c r="D89">
        <v>172</v>
      </c>
      <c r="E89">
        <v>99</v>
      </c>
      <c r="F89">
        <v>23</v>
      </c>
      <c r="G89">
        <v>201</v>
      </c>
      <c r="H89">
        <v>1010</v>
      </c>
      <c r="I89">
        <v>1</v>
      </c>
      <c r="J89">
        <v>57</v>
      </c>
      <c r="K89">
        <v>46</v>
      </c>
      <c r="L89">
        <v>74</v>
      </c>
      <c r="M89">
        <v>41</v>
      </c>
      <c r="N89">
        <v>1462</v>
      </c>
      <c r="O89">
        <v>1681</v>
      </c>
      <c r="P89">
        <v>2691</v>
      </c>
    </row>
    <row r="90" spans="1:16" x14ac:dyDescent="0.2">
      <c r="A90" s="235" t="s">
        <v>949</v>
      </c>
      <c r="B90">
        <v>100</v>
      </c>
      <c r="C90">
        <v>453</v>
      </c>
      <c r="D90">
        <v>149</v>
      </c>
      <c r="E90">
        <v>84</v>
      </c>
      <c r="F90">
        <v>27</v>
      </c>
      <c r="G90">
        <v>254</v>
      </c>
      <c r="H90">
        <v>1067</v>
      </c>
      <c r="I90">
        <v>2</v>
      </c>
      <c r="J90">
        <v>42</v>
      </c>
      <c r="K90">
        <v>40</v>
      </c>
      <c r="L90">
        <v>65</v>
      </c>
      <c r="M90">
        <v>42</v>
      </c>
      <c r="N90">
        <v>1614</v>
      </c>
      <c r="O90">
        <v>1805</v>
      </c>
      <c r="P90">
        <v>2872</v>
      </c>
    </row>
    <row r="91" spans="1:16" x14ac:dyDescent="0.2">
      <c r="A91" s="235" t="s">
        <v>950</v>
      </c>
      <c r="B91">
        <v>42</v>
      </c>
      <c r="C91">
        <v>419</v>
      </c>
      <c r="D91">
        <v>143</v>
      </c>
      <c r="E91">
        <v>125</v>
      </c>
      <c r="F91">
        <v>50</v>
      </c>
      <c r="G91">
        <v>467</v>
      </c>
      <c r="H91">
        <v>1246</v>
      </c>
      <c r="J91">
        <v>43</v>
      </c>
      <c r="K91">
        <v>53</v>
      </c>
      <c r="L91">
        <v>71</v>
      </c>
      <c r="M91">
        <v>92</v>
      </c>
      <c r="N91">
        <v>2058</v>
      </c>
      <c r="O91">
        <v>2317</v>
      </c>
      <c r="P91">
        <v>3563</v>
      </c>
    </row>
    <row r="92" spans="1:16" x14ac:dyDescent="0.2">
      <c r="A92" s="235" t="s">
        <v>951</v>
      </c>
      <c r="B92">
        <v>23</v>
      </c>
      <c r="C92">
        <v>390</v>
      </c>
      <c r="D92">
        <v>158</v>
      </c>
      <c r="E92">
        <v>103</v>
      </c>
      <c r="F92">
        <v>37</v>
      </c>
      <c r="G92">
        <v>260</v>
      </c>
      <c r="H92">
        <v>971</v>
      </c>
      <c r="J92">
        <v>58</v>
      </c>
      <c r="K92">
        <v>58</v>
      </c>
      <c r="L92">
        <v>74</v>
      </c>
      <c r="M92">
        <v>59</v>
      </c>
      <c r="N92">
        <v>1269</v>
      </c>
      <c r="O92">
        <v>1518</v>
      </c>
      <c r="P92">
        <v>2489</v>
      </c>
    </row>
    <row r="93" spans="1:16" x14ac:dyDescent="0.2">
      <c r="A93" s="235" t="s">
        <v>952</v>
      </c>
      <c r="B93">
        <v>14</v>
      </c>
      <c r="C93">
        <v>406</v>
      </c>
      <c r="D93">
        <v>122</v>
      </c>
      <c r="E93">
        <v>114</v>
      </c>
      <c r="F93">
        <v>18</v>
      </c>
      <c r="G93">
        <v>187</v>
      </c>
      <c r="H93">
        <v>861</v>
      </c>
      <c r="J93">
        <v>55</v>
      </c>
      <c r="K93">
        <v>53</v>
      </c>
      <c r="L93">
        <v>78</v>
      </c>
      <c r="M93">
        <v>54</v>
      </c>
      <c r="N93">
        <v>759</v>
      </c>
      <c r="O93">
        <v>999</v>
      </c>
      <c r="P93">
        <v>1860</v>
      </c>
    </row>
    <row r="94" spans="1:16" x14ac:dyDescent="0.2">
      <c r="A94" s="235" t="s">
        <v>953</v>
      </c>
      <c r="B94">
        <v>22</v>
      </c>
      <c r="C94">
        <v>388</v>
      </c>
      <c r="D94">
        <v>150</v>
      </c>
      <c r="E94">
        <v>130</v>
      </c>
      <c r="F94">
        <v>31</v>
      </c>
      <c r="G94">
        <v>212</v>
      </c>
      <c r="H94">
        <v>933</v>
      </c>
      <c r="J94">
        <v>77</v>
      </c>
      <c r="K94">
        <v>63</v>
      </c>
      <c r="L94">
        <v>80</v>
      </c>
      <c r="M94">
        <v>62</v>
      </c>
      <c r="N94">
        <v>970</v>
      </c>
      <c r="O94">
        <v>1252</v>
      </c>
      <c r="P94">
        <v>2185</v>
      </c>
    </row>
    <row r="95" spans="1:16" x14ac:dyDescent="0.2">
      <c r="A95" s="235" t="s">
        <v>954</v>
      </c>
      <c r="B95">
        <v>25</v>
      </c>
      <c r="C95">
        <v>396</v>
      </c>
      <c r="D95">
        <v>145</v>
      </c>
      <c r="E95">
        <v>114</v>
      </c>
      <c r="F95">
        <v>44</v>
      </c>
      <c r="G95">
        <v>156</v>
      </c>
      <c r="H95">
        <v>880</v>
      </c>
      <c r="J95">
        <v>40</v>
      </c>
      <c r="K95">
        <v>40</v>
      </c>
      <c r="L95">
        <v>92</v>
      </c>
      <c r="M95">
        <v>51</v>
      </c>
      <c r="N95">
        <v>852</v>
      </c>
      <c r="O95">
        <v>1075</v>
      </c>
      <c r="P95">
        <v>1955</v>
      </c>
    </row>
    <row r="96" spans="1:16" x14ac:dyDescent="0.2">
      <c r="A96" s="235" t="s">
        <v>955</v>
      </c>
      <c r="B96">
        <v>54</v>
      </c>
      <c r="C96">
        <v>409</v>
      </c>
      <c r="D96">
        <v>132</v>
      </c>
      <c r="E96">
        <v>100</v>
      </c>
      <c r="F96">
        <v>26</v>
      </c>
      <c r="G96">
        <v>167</v>
      </c>
      <c r="H96">
        <v>888</v>
      </c>
      <c r="J96">
        <v>43</v>
      </c>
      <c r="K96">
        <v>44</v>
      </c>
      <c r="L96">
        <v>87</v>
      </c>
      <c r="M96">
        <v>82</v>
      </c>
      <c r="N96">
        <v>1213</v>
      </c>
      <c r="O96">
        <v>1469</v>
      </c>
      <c r="P96">
        <v>2357</v>
      </c>
    </row>
    <row r="97" spans="1:16" x14ac:dyDescent="0.2">
      <c r="A97" s="235" t="s">
        <v>956</v>
      </c>
      <c r="B97">
        <v>95</v>
      </c>
      <c r="C97">
        <v>445</v>
      </c>
      <c r="D97">
        <v>140</v>
      </c>
      <c r="E97">
        <v>87</v>
      </c>
      <c r="F97">
        <v>28</v>
      </c>
      <c r="G97">
        <v>158</v>
      </c>
      <c r="H97">
        <v>953</v>
      </c>
      <c r="J97">
        <v>55</v>
      </c>
      <c r="K97">
        <v>48</v>
      </c>
      <c r="L97">
        <v>89</v>
      </c>
      <c r="M97">
        <v>46</v>
      </c>
      <c r="N97">
        <v>1394</v>
      </c>
      <c r="O97">
        <v>1632</v>
      </c>
      <c r="P97">
        <v>2585</v>
      </c>
    </row>
    <row r="98" spans="1:16" x14ac:dyDescent="0.2">
      <c r="A98" s="235" t="s">
        <v>957</v>
      </c>
      <c r="B98">
        <v>72</v>
      </c>
      <c r="C98">
        <v>422</v>
      </c>
      <c r="D98">
        <v>143</v>
      </c>
      <c r="E98">
        <v>82</v>
      </c>
      <c r="F98">
        <v>23</v>
      </c>
      <c r="G98">
        <v>120</v>
      </c>
      <c r="H98">
        <v>862</v>
      </c>
      <c r="I98">
        <v>1</v>
      </c>
      <c r="J98">
        <v>44</v>
      </c>
      <c r="K98">
        <v>44</v>
      </c>
      <c r="L98">
        <v>73</v>
      </c>
      <c r="M98">
        <v>33</v>
      </c>
      <c r="N98">
        <v>694</v>
      </c>
      <c r="O98">
        <v>889</v>
      </c>
      <c r="P98">
        <v>1751</v>
      </c>
    </row>
    <row r="99" spans="1:16" x14ac:dyDescent="0.2">
      <c r="A99" s="235" t="s">
        <v>958</v>
      </c>
      <c r="B99">
        <v>111</v>
      </c>
      <c r="C99">
        <v>435</v>
      </c>
      <c r="D99">
        <v>156</v>
      </c>
      <c r="E99">
        <v>102</v>
      </c>
      <c r="F99">
        <v>23</v>
      </c>
      <c r="G99">
        <v>97</v>
      </c>
      <c r="H99">
        <v>924</v>
      </c>
      <c r="J99">
        <v>68</v>
      </c>
      <c r="K99">
        <v>36</v>
      </c>
      <c r="L99">
        <v>70</v>
      </c>
      <c r="M99">
        <v>23</v>
      </c>
      <c r="N99">
        <v>668</v>
      </c>
      <c r="O99">
        <v>865</v>
      </c>
      <c r="P99">
        <v>1789</v>
      </c>
    </row>
    <row r="100" spans="1:16" x14ac:dyDescent="0.2">
      <c r="A100" s="235" t="s">
        <v>959</v>
      </c>
      <c r="B100">
        <v>94</v>
      </c>
      <c r="C100">
        <v>335</v>
      </c>
      <c r="D100">
        <v>131</v>
      </c>
      <c r="E100">
        <v>84</v>
      </c>
      <c r="F100">
        <v>10</v>
      </c>
      <c r="G100">
        <v>140</v>
      </c>
      <c r="H100">
        <v>794</v>
      </c>
      <c r="J100">
        <v>35</v>
      </c>
      <c r="K100">
        <v>34</v>
      </c>
      <c r="L100">
        <v>66</v>
      </c>
      <c r="M100">
        <v>29</v>
      </c>
      <c r="N100">
        <v>621</v>
      </c>
      <c r="O100">
        <v>785</v>
      </c>
      <c r="P100">
        <v>1579</v>
      </c>
    </row>
    <row r="101" spans="1:16" x14ac:dyDescent="0.2">
      <c r="A101" s="235" t="s">
        <v>960</v>
      </c>
      <c r="B101">
        <v>84</v>
      </c>
      <c r="C101">
        <v>433</v>
      </c>
      <c r="D101">
        <v>153</v>
      </c>
      <c r="E101">
        <v>86</v>
      </c>
      <c r="F101">
        <v>30</v>
      </c>
      <c r="G101">
        <v>249</v>
      </c>
      <c r="H101">
        <v>1035</v>
      </c>
      <c r="J101">
        <v>58</v>
      </c>
      <c r="K101">
        <v>44</v>
      </c>
      <c r="L101">
        <v>64</v>
      </c>
      <c r="M101">
        <v>38</v>
      </c>
      <c r="N101">
        <v>1080</v>
      </c>
      <c r="O101">
        <v>1284</v>
      </c>
      <c r="P101">
        <v>2319</v>
      </c>
    </row>
    <row r="102" spans="1:16" x14ac:dyDescent="0.2">
      <c r="A102" s="235" t="s">
        <v>961</v>
      </c>
      <c r="B102">
        <v>80</v>
      </c>
      <c r="C102">
        <v>405</v>
      </c>
      <c r="D102">
        <v>146</v>
      </c>
      <c r="E102">
        <v>71</v>
      </c>
      <c r="F102">
        <v>42</v>
      </c>
      <c r="G102">
        <v>445</v>
      </c>
      <c r="H102">
        <v>1189</v>
      </c>
      <c r="J102">
        <v>55</v>
      </c>
      <c r="K102">
        <v>60</v>
      </c>
      <c r="L102">
        <v>74</v>
      </c>
      <c r="M102">
        <v>120</v>
      </c>
      <c r="N102">
        <v>2247</v>
      </c>
      <c r="O102">
        <v>2556</v>
      </c>
      <c r="P102">
        <v>3745</v>
      </c>
    </row>
    <row r="103" spans="1:16" x14ac:dyDescent="0.2">
      <c r="A103" s="235" t="s">
        <v>962</v>
      </c>
      <c r="B103">
        <v>37</v>
      </c>
      <c r="C103">
        <v>402</v>
      </c>
      <c r="D103">
        <v>148</v>
      </c>
      <c r="E103">
        <v>79</v>
      </c>
      <c r="F103">
        <v>83</v>
      </c>
      <c r="G103">
        <v>650</v>
      </c>
      <c r="H103">
        <v>1399</v>
      </c>
      <c r="J103">
        <v>46</v>
      </c>
      <c r="K103">
        <v>82</v>
      </c>
      <c r="L103">
        <v>82</v>
      </c>
      <c r="M103">
        <v>159</v>
      </c>
      <c r="N103">
        <v>2366</v>
      </c>
      <c r="O103">
        <v>2735</v>
      </c>
      <c r="P103">
        <v>4134</v>
      </c>
    </row>
    <row r="104" spans="1:16" x14ac:dyDescent="0.2">
      <c r="A104" s="235" t="s">
        <v>963</v>
      </c>
      <c r="B104">
        <v>24</v>
      </c>
      <c r="C104">
        <v>351</v>
      </c>
      <c r="D104">
        <v>117</v>
      </c>
      <c r="E104">
        <v>112</v>
      </c>
      <c r="F104">
        <v>34</v>
      </c>
      <c r="G104">
        <v>194</v>
      </c>
      <c r="H104">
        <v>832</v>
      </c>
      <c r="J104">
        <v>51</v>
      </c>
      <c r="K104">
        <v>53</v>
      </c>
      <c r="L104">
        <v>69</v>
      </c>
      <c r="M104">
        <v>65</v>
      </c>
      <c r="N104">
        <v>874</v>
      </c>
      <c r="O104">
        <v>1112</v>
      </c>
      <c r="P104">
        <v>1944</v>
      </c>
    </row>
    <row r="105" spans="1:16" x14ac:dyDescent="0.2">
      <c r="A105" s="235" t="s">
        <v>964</v>
      </c>
      <c r="B105">
        <v>9</v>
      </c>
      <c r="C105">
        <v>357</v>
      </c>
      <c r="D105">
        <v>137</v>
      </c>
      <c r="E105">
        <v>109</v>
      </c>
      <c r="F105">
        <v>26</v>
      </c>
      <c r="G105">
        <v>192</v>
      </c>
      <c r="H105">
        <v>830</v>
      </c>
      <c r="J105">
        <v>47</v>
      </c>
      <c r="K105">
        <v>54</v>
      </c>
      <c r="L105">
        <v>92</v>
      </c>
      <c r="M105">
        <v>38</v>
      </c>
      <c r="N105">
        <v>843</v>
      </c>
      <c r="O105">
        <v>1074</v>
      </c>
      <c r="P105">
        <v>1904</v>
      </c>
    </row>
    <row r="106" spans="1:16" x14ac:dyDescent="0.2">
      <c r="A106" s="235" t="s">
        <v>965</v>
      </c>
      <c r="B106">
        <v>19</v>
      </c>
      <c r="C106">
        <v>371</v>
      </c>
      <c r="D106">
        <v>132</v>
      </c>
      <c r="E106">
        <v>114</v>
      </c>
      <c r="F106">
        <v>37</v>
      </c>
      <c r="G106">
        <v>166</v>
      </c>
      <c r="H106">
        <v>839</v>
      </c>
      <c r="J106">
        <v>40</v>
      </c>
      <c r="K106">
        <v>57</v>
      </c>
      <c r="L106">
        <v>85</v>
      </c>
      <c r="M106">
        <v>51</v>
      </c>
      <c r="N106">
        <v>821</v>
      </c>
      <c r="O106">
        <v>1054</v>
      </c>
      <c r="P106">
        <v>1893</v>
      </c>
    </row>
    <row r="107" spans="1:16" x14ac:dyDescent="0.2">
      <c r="A107" s="235" t="s">
        <v>966</v>
      </c>
      <c r="B107">
        <v>23</v>
      </c>
      <c r="C107">
        <v>348</v>
      </c>
      <c r="D107">
        <v>143</v>
      </c>
      <c r="E107">
        <v>93</v>
      </c>
      <c r="F107">
        <v>35</v>
      </c>
      <c r="G107">
        <v>124</v>
      </c>
      <c r="H107">
        <v>766</v>
      </c>
      <c r="J107">
        <v>49</v>
      </c>
      <c r="K107">
        <v>53</v>
      </c>
      <c r="L107">
        <v>81</v>
      </c>
      <c r="M107">
        <v>48</v>
      </c>
      <c r="N107">
        <v>780</v>
      </c>
      <c r="O107">
        <v>1011</v>
      </c>
      <c r="P107">
        <v>1777</v>
      </c>
    </row>
    <row r="108" spans="1:16" x14ac:dyDescent="0.2">
      <c r="A108" s="235" t="s">
        <v>967</v>
      </c>
      <c r="B108">
        <v>49</v>
      </c>
      <c r="C108">
        <v>365</v>
      </c>
      <c r="D108">
        <v>138</v>
      </c>
      <c r="E108">
        <v>80</v>
      </c>
      <c r="F108">
        <v>32</v>
      </c>
      <c r="G108">
        <v>126</v>
      </c>
      <c r="H108">
        <v>790</v>
      </c>
      <c r="J108">
        <v>55</v>
      </c>
      <c r="K108">
        <v>66</v>
      </c>
      <c r="L108">
        <v>76</v>
      </c>
      <c r="M108">
        <v>57</v>
      </c>
      <c r="N108">
        <v>861</v>
      </c>
      <c r="O108">
        <v>1115</v>
      </c>
      <c r="P108">
        <v>1905</v>
      </c>
    </row>
    <row r="109" spans="1:16" x14ac:dyDescent="0.2">
      <c r="A109" s="235" t="s">
        <v>968</v>
      </c>
      <c r="B109">
        <v>91</v>
      </c>
      <c r="C109">
        <v>418</v>
      </c>
      <c r="D109">
        <v>145</v>
      </c>
      <c r="E109">
        <v>112</v>
      </c>
      <c r="F109">
        <v>25</v>
      </c>
      <c r="G109">
        <v>194</v>
      </c>
      <c r="H109">
        <v>985</v>
      </c>
      <c r="J109">
        <v>47</v>
      </c>
      <c r="K109">
        <v>58</v>
      </c>
      <c r="L109">
        <v>74</v>
      </c>
      <c r="M109">
        <v>49</v>
      </c>
      <c r="N109">
        <v>1233</v>
      </c>
      <c r="O109">
        <v>1461</v>
      </c>
      <c r="P109">
        <v>2446</v>
      </c>
    </row>
    <row r="110" spans="1:16" x14ac:dyDescent="0.2">
      <c r="A110" s="235" t="s">
        <v>969</v>
      </c>
      <c r="B110">
        <v>106</v>
      </c>
      <c r="C110">
        <v>469</v>
      </c>
      <c r="D110">
        <v>140</v>
      </c>
      <c r="E110">
        <v>81</v>
      </c>
      <c r="F110">
        <v>26</v>
      </c>
      <c r="G110">
        <v>121</v>
      </c>
      <c r="H110">
        <v>943</v>
      </c>
      <c r="I110">
        <v>1</v>
      </c>
      <c r="J110">
        <v>56</v>
      </c>
      <c r="K110">
        <v>54</v>
      </c>
      <c r="L110">
        <v>57</v>
      </c>
      <c r="M110">
        <v>19</v>
      </c>
      <c r="N110">
        <v>518</v>
      </c>
      <c r="O110">
        <v>705</v>
      </c>
      <c r="P110">
        <v>1648</v>
      </c>
    </row>
    <row r="111" spans="1:16" x14ac:dyDescent="0.2">
      <c r="A111" s="235" t="s">
        <v>970</v>
      </c>
      <c r="B111">
        <v>121</v>
      </c>
      <c r="C111">
        <v>422</v>
      </c>
      <c r="D111">
        <v>130</v>
      </c>
      <c r="E111">
        <v>126</v>
      </c>
      <c r="F111">
        <v>16</v>
      </c>
      <c r="G111">
        <v>74</v>
      </c>
      <c r="H111">
        <v>889</v>
      </c>
      <c r="J111">
        <v>39</v>
      </c>
      <c r="K111">
        <v>33</v>
      </c>
      <c r="L111">
        <v>66</v>
      </c>
      <c r="M111">
        <v>20</v>
      </c>
      <c r="N111">
        <v>366</v>
      </c>
      <c r="O111">
        <v>524</v>
      </c>
      <c r="P111">
        <v>1413</v>
      </c>
    </row>
    <row r="112" spans="1:16" x14ac:dyDescent="0.2">
      <c r="A112" s="235" t="s">
        <v>971</v>
      </c>
      <c r="B112">
        <v>97</v>
      </c>
      <c r="C112">
        <v>393</v>
      </c>
      <c r="D112">
        <v>134</v>
      </c>
      <c r="E112">
        <v>91</v>
      </c>
      <c r="F112">
        <v>19</v>
      </c>
      <c r="G112">
        <v>115</v>
      </c>
      <c r="H112">
        <v>849</v>
      </c>
      <c r="I112">
        <v>1</v>
      </c>
      <c r="J112">
        <v>41</v>
      </c>
      <c r="K112">
        <v>39</v>
      </c>
      <c r="L112">
        <v>50</v>
      </c>
      <c r="M112">
        <v>14</v>
      </c>
      <c r="N112">
        <v>531</v>
      </c>
      <c r="O112">
        <v>676</v>
      </c>
      <c r="P112">
        <v>1525</v>
      </c>
    </row>
    <row r="113" spans="1:16" x14ac:dyDescent="0.2">
      <c r="A113" s="235" t="s">
        <v>972</v>
      </c>
      <c r="B113">
        <v>105</v>
      </c>
      <c r="C113">
        <v>460</v>
      </c>
      <c r="D113">
        <v>129</v>
      </c>
      <c r="E113">
        <v>85</v>
      </c>
      <c r="F113">
        <v>22</v>
      </c>
      <c r="G113">
        <v>210</v>
      </c>
      <c r="H113">
        <v>1011</v>
      </c>
      <c r="J113">
        <v>34</v>
      </c>
      <c r="K113">
        <v>43</v>
      </c>
      <c r="L113">
        <v>57</v>
      </c>
      <c r="M113">
        <v>21</v>
      </c>
      <c r="N113">
        <v>673</v>
      </c>
      <c r="O113">
        <v>828</v>
      </c>
      <c r="P113">
        <v>1839</v>
      </c>
    </row>
    <row r="114" spans="1:16" x14ac:dyDescent="0.2">
      <c r="A114" s="235" t="s">
        <v>973</v>
      </c>
      <c r="B114">
        <v>69</v>
      </c>
      <c r="C114">
        <v>376</v>
      </c>
      <c r="D114">
        <v>150</v>
      </c>
      <c r="E114">
        <v>87</v>
      </c>
      <c r="F114">
        <v>23</v>
      </c>
      <c r="G114">
        <v>280</v>
      </c>
      <c r="H114">
        <v>985</v>
      </c>
      <c r="J114">
        <v>38</v>
      </c>
      <c r="K114">
        <v>35</v>
      </c>
      <c r="L114">
        <v>61</v>
      </c>
      <c r="M114">
        <v>34</v>
      </c>
      <c r="N114">
        <v>933</v>
      </c>
      <c r="O114">
        <v>1101</v>
      </c>
      <c r="P114">
        <v>2086</v>
      </c>
    </row>
    <row r="115" spans="1:16" x14ac:dyDescent="0.2">
      <c r="A115" s="235" t="s">
        <v>974</v>
      </c>
      <c r="B115">
        <v>35</v>
      </c>
      <c r="C115">
        <v>390</v>
      </c>
      <c r="D115">
        <v>162</v>
      </c>
      <c r="E115">
        <v>114</v>
      </c>
      <c r="F115">
        <v>62</v>
      </c>
      <c r="G115">
        <v>567</v>
      </c>
      <c r="H115">
        <v>1330</v>
      </c>
      <c r="J115">
        <v>47</v>
      </c>
      <c r="K115">
        <v>54</v>
      </c>
      <c r="L115">
        <v>73</v>
      </c>
      <c r="M115">
        <v>89</v>
      </c>
      <c r="N115">
        <v>1754</v>
      </c>
      <c r="O115">
        <v>2017</v>
      </c>
      <c r="P115">
        <v>3347</v>
      </c>
    </row>
    <row r="116" spans="1:16" x14ac:dyDescent="0.2">
      <c r="A116" s="235" t="s">
        <v>975</v>
      </c>
      <c r="B116">
        <v>15</v>
      </c>
      <c r="C116">
        <v>404</v>
      </c>
      <c r="D116">
        <v>141</v>
      </c>
      <c r="E116">
        <v>112</v>
      </c>
      <c r="F116">
        <v>66</v>
      </c>
      <c r="G116">
        <v>436</v>
      </c>
      <c r="H116">
        <v>1174</v>
      </c>
      <c r="J116">
        <v>42</v>
      </c>
      <c r="K116">
        <v>51</v>
      </c>
      <c r="L116">
        <v>72</v>
      </c>
      <c r="M116">
        <v>63</v>
      </c>
      <c r="N116">
        <v>1355</v>
      </c>
      <c r="O116">
        <v>1583</v>
      </c>
      <c r="P116">
        <v>2757</v>
      </c>
    </row>
    <row r="117" spans="1:16" x14ac:dyDescent="0.2">
      <c r="A117" s="235" t="s">
        <v>976</v>
      </c>
      <c r="B117">
        <v>11</v>
      </c>
      <c r="C117">
        <v>375</v>
      </c>
      <c r="D117">
        <v>164</v>
      </c>
      <c r="E117">
        <v>114</v>
      </c>
      <c r="F117">
        <v>113</v>
      </c>
      <c r="G117">
        <v>689</v>
      </c>
      <c r="H117">
        <v>1466</v>
      </c>
      <c r="J117">
        <v>44</v>
      </c>
      <c r="K117">
        <v>59</v>
      </c>
      <c r="L117">
        <v>67</v>
      </c>
      <c r="M117">
        <v>131</v>
      </c>
      <c r="N117">
        <v>2129</v>
      </c>
      <c r="O117">
        <v>2430</v>
      </c>
      <c r="P117">
        <v>3896</v>
      </c>
    </row>
    <row r="118" spans="1:16" x14ac:dyDescent="0.2">
      <c r="A118" s="235" t="s">
        <v>977</v>
      </c>
      <c r="B118">
        <v>18</v>
      </c>
      <c r="C118">
        <v>374</v>
      </c>
      <c r="D118">
        <v>122</v>
      </c>
      <c r="E118">
        <v>125</v>
      </c>
      <c r="F118">
        <v>41</v>
      </c>
      <c r="G118">
        <v>203</v>
      </c>
      <c r="H118">
        <v>883</v>
      </c>
      <c r="J118">
        <v>41</v>
      </c>
      <c r="K118">
        <v>52</v>
      </c>
      <c r="L118">
        <v>83</v>
      </c>
      <c r="M118">
        <v>37</v>
      </c>
      <c r="N118">
        <v>761</v>
      </c>
      <c r="O118">
        <v>974</v>
      </c>
      <c r="P118">
        <v>1857</v>
      </c>
    </row>
    <row r="119" spans="1:16" x14ac:dyDescent="0.2">
      <c r="A119" s="235" t="s">
        <v>978</v>
      </c>
      <c r="B119">
        <v>26</v>
      </c>
      <c r="C119">
        <v>377</v>
      </c>
      <c r="D119">
        <v>135</v>
      </c>
      <c r="E119">
        <v>90</v>
      </c>
      <c r="F119">
        <v>38</v>
      </c>
      <c r="G119">
        <v>184</v>
      </c>
      <c r="H119">
        <v>850</v>
      </c>
      <c r="J119">
        <v>32</v>
      </c>
      <c r="K119">
        <v>53</v>
      </c>
      <c r="L119">
        <v>68</v>
      </c>
      <c r="M119">
        <v>67</v>
      </c>
      <c r="N119">
        <v>784</v>
      </c>
      <c r="O119">
        <v>1004</v>
      </c>
      <c r="P119">
        <v>1854</v>
      </c>
    </row>
    <row r="120" spans="1:16" x14ac:dyDescent="0.2">
      <c r="A120" s="235" t="s">
        <v>979</v>
      </c>
      <c r="B120">
        <v>49</v>
      </c>
      <c r="C120">
        <v>386</v>
      </c>
      <c r="D120">
        <v>136</v>
      </c>
      <c r="E120">
        <v>93</v>
      </c>
      <c r="F120">
        <v>21</v>
      </c>
      <c r="G120">
        <v>167</v>
      </c>
      <c r="H120">
        <v>852</v>
      </c>
      <c r="J120">
        <v>54</v>
      </c>
      <c r="K120">
        <v>43</v>
      </c>
      <c r="L120">
        <v>51</v>
      </c>
      <c r="M120">
        <v>59</v>
      </c>
      <c r="N120">
        <v>913</v>
      </c>
      <c r="O120">
        <v>1120</v>
      </c>
      <c r="P120">
        <v>1972</v>
      </c>
    </row>
    <row r="121" spans="1:16" x14ac:dyDescent="0.2">
      <c r="A121" s="235" t="s">
        <v>980</v>
      </c>
      <c r="B121">
        <v>81</v>
      </c>
      <c r="C121">
        <v>363</v>
      </c>
      <c r="D121">
        <v>140</v>
      </c>
      <c r="E121">
        <v>93</v>
      </c>
      <c r="F121">
        <v>30</v>
      </c>
      <c r="G121">
        <v>138</v>
      </c>
      <c r="H121">
        <v>845</v>
      </c>
      <c r="J121">
        <v>50</v>
      </c>
      <c r="K121">
        <v>59</v>
      </c>
      <c r="L121">
        <v>73</v>
      </c>
      <c r="M121">
        <v>44</v>
      </c>
      <c r="N121">
        <v>971</v>
      </c>
      <c r="O121">
        <v>1197</v>
      </c>
      <c r="P121">
        <v>2042</v>
      </c>
    </row>
    <row r="122" spans="1:16" x14ac:dyDescent="0.2">
      <c r="A122" s="235" t="s">
        <v>981</v>
      </c>
      <c r="B122">
        <v>91</v>
      </c>
      <c r="C122">
        <v>412</v>
      </c>
      <c r="D122">
        <v>147</v>
      </c>
      <c r="E122">
        <v>74</v>
      </c>
      <c r="F122">
        <v>16</v>
      </c>
      <c r="G122">
        <v>118</v>
      </c>
      <c r="H122">
        <v>858</v>
      </c>
      <c r="I122">
        <v>2</v>
      </c>
      <c r="J122">
        <v>37</v>
      </c>
      <c r="K122">
        <v>38</v>
      </c>
      <c r="L122">
        <v>51</v>
      </c>
      <c r="M122">
        <v>23</v>
      </c>
      <c r="N122">
        <v>536</v>
      </c>
      <c r="O122">
        <v>687</v>
      </c>
      <c r="P122">
        <v>1545</v>
      </c>
    </row>
    <row r="123" spans="1:16" x14ac:dyDescent="0.2">
      <c r="A123" s="235" t="s">
        <v>982</v>
      </c>
      <c r="B123">
        <v>79</v>
      </c>
      <c r="C123">
        <v>431</v>
      </c>
      <c r="D123">
        <v>145</v>
      </c>
      <c r="E123">
        <v>91</v>
      </c>
      <c r="F123">
        <v>16</v>
      </c>
      <c r="G123">
        <v>115</v>
      </c>
      <c r="H123">
        <v>877</v>
      </c>
      <c r="J123">
        <v>42</v>
      </c>
      <c r="K123">
        <v>41</v>
      </c>
      <c r="L123">
        <v>55</v>
      </c>
      <c r="M123">
        <v>28</v>
      </c>
      <c r="N123">
        <v>680</v>
      </c>
      <c r="O123">
        <v>846</v>
      </c>
      <c r="P123">
        <v>1723</v>
      </c>
    </row>
    <row r="124" spans="1:16" x14ac:dyDescent="0.2">
      <c r="A124" s="235" t="s">
        <v>983</v>
      </c>
      <c r="B124">
        <v>73</v>
      </c>
      <c r="C124">
        <v>358</v>
      </c>
      <c r="D124">
        <v>126</v>
      </c>
      <c r="E124">
        <v>101</v>
      </c>
      <c r="F124">
        <v>19</v>
      </c>
      <c r="G124">
        <v>138</v>
      </c>
      <c r="H124">
        <v>815</v>
      </c>
      <c r="J124">
        <v>41</v>
      </c>
      <c r="K124">
        <v>27</v>
      </c>
      <c r="L124">
        <v>72</v>
      </c>
      <c r="M124">
        <v>41</v>
      </c>
      <c r="N124">
        <v>772</v>
      </c>
      <c r="O124">
        <v>953</v>
      </c>
      <c r="P124">
        <v>1768</v>
      </c>
    </row>
    <row r="125" spans="1:16" x14ac:dyDescent="0.2">
      <c r="A125" s="235" t="s">
        <v>984</v>
      </c>
      <c r="B125">
        <v>94</v>
      </c>
      <c r="C125">
        <v>388</v>
      </c>
      <c r="D125">
        <v>136</v>
      </c>
      <c r="E125">
        <v>70</v>
      </c>
      <c r="F125">
        <v>21</v>
      </c>
      <c r="G125">
        <v>175</v>
      </c>
      <c r="H125">
        <v>884</v>
      </c>
      <c r="J125">
        <v>42</v>
      </c>
      <c r="K125">
        <v>37</v>
      </c>
      <c r="L125">
        <v>60</v>
      </c>
      <c r="M125">
        <v>42</v>
      </c>
      <c r="N125">
        <v>896</v>
      </c>
      <c r="O125">
        <v>1077</v>
      </c>
      <c r="P125">
        <v>1961</v>
      </c>
    </row>
    <row r="126" spans="1:16" x14ac:dyDescent="0.2">
      <c r="A126" s="235" t="s">
        <v>1427</v>
      </c>
      <c r="B126">
        <v>57</v>
      </c>
      <c r="C126">
        <v>359</v>
      </c>
      <c r="D126">
        <v>123</v>
      </c>
      <c r="E126">
        <v>109</v>
      </c>
      <c r="F126">
        <v>74</v>
      </c>
      <c r="G126">
        <v>537</v>
      </c>
      <c r="H126">
        <v>1259</v>
      </c>
      <c r="I126">
        <v>1</v>
      </c>
      <c r="J126">
        <v>48</v>
      </c>
      <c r="K126">
        <v>38</v>
      </c>
      <c r="L126">
        <v>77</v>
      </c>
      <c r="M126">
        <v>97</v>
      </c>
      <c r="N126">
        <v>2330</v>
      </c>
      <c r="O126">
        <v>2591</v>
      </c>
      <c r="P126">
        <v>3850</v>
      </c>
    </row>
    <row r="127" spans="1:16" x14ac:dyDescent="0.2">
      <c r="A127" s="235" t="s">
        <v>1428</v>
      </c>
      <c r="B127">
        <v>35</v>
      </c>
      <c r="C127">
        <v>384</v>
      </c>
      <c r="D127">
        <v>142</v>
      </c>
      <c r="E127">
        <v>88</v>
      </c>
      <c r="F127">
        <v>65</v>
      </c>
      <c r="G127">
        <v>332</v>
      </c>
      <c r="H127">
        <v>1046</v>
      </c>
      <c r="J127">
        <v>57</v>
      </c>
      <c r="K127">
        <v>47</v>
      </c>
      <c r="L127">
        <v>75</v>
      </c>
      <c r="M127">
        <v>94</v>
      </c>
      <c r="N127">
        <v>1634</v>
      </c>
      <c r="O127">
        <v>1907</v>
      </c>
      <c r="P127">
        <v>2953</v>
      </c>
    </row>
    <row r="128" spans="1:16" x14ac:dyDescent="0.2">
      <c r="A128" s="235" t="s">
        <v>1429</v>
      </c>
      <c r="B128">
        <v>12</v>
      </c>
      <c r="C128">
        <v>343</v>
      </c>
      <c r="D128">
        <v>136</v>
      </c>
      <c r="E128">
        <v>92</v>
      </c>
      <c r="F128">
        <v>22</v>
      </c>
      <c r="G128">
        <v>179</v>
      </c>
      <c r="H128">
        <v>784</v>
      </c>
      <c r="J128">
        <v>42</v>
      </c>
      <c r="K128">
        <v>47</v>
      </c>
      <c r="L128">
        <v>86</v>
      </c>
      <c r="M128">
        <v>41</v>
      </c>
      <c r="N128">
        <v>923</v>
      </c>
      <c r="O128">
        <v>1139</v>
      </c>
      <c r="P128">
        <v>1923</v>
      </c>
    </row>
    <row r="129" spans="1:16" x14ac:dyDescent="0.2">
      <c r="A129" s="235" t="s">
        <v>1430</v>
      </c>
      <c r="B129">
        <v>10</v>
      </c>
      <c r="C129">
        <v>371</v>
      </c>
      <c r="D129">
        <v>138</v>
      </c>
      <c r="E129">
        <v>105</v>
      </c>
      <c r="F129">
        <v>26</v>
      </c>
      <c r="G129">
        <v>253</v>
      </c>
      <c r="H129">
        <v>903</v>
      </c>
      <c r="J129">
        <v>35</v>
      </c>
      <c r="K129">
        <v>49</v>
      </c>
      <c r="L129">
        <v>59</v>
      </c>
      <c r="M129">
        <v>50</v>
      </c>
      <c r="N129">
        <v>998</v>
      </c>
      <c r="O129">
        <v>1191</v>
      </c>
      <c r="P129">
        <v>2094</v>
      </c>
    </row>
    <row r="130" spans="1:16" x14ac:dyDescent="0.2">
      <c r="A130" s="235" t="s">
        <v>1431</v>
      </c>
      <c r="B130">
        <v>13</v>
      </c>
      <c r="C130">
        <v>326</v>
      </c>
      <c r="D130">
        <v>127</v>
      </c>
      <c r="E130">
        <v>125</v>
      </c>
      <c r="F130">
        <v>28</v>
      </c>
      <c r="G130">
        <v>185</v>
      </c>
      <c r="H130">
        <v>804</v>
      </c>
      <c r="J130">
        <v>43</v>
      </c>
      <c r="K130">
        <v>38</v>
      </c>
      <c r="L130">
        <v>59</v>
      </c>
      <c r="M130">
        <v>41</v>
      </c>
      <c r="N130">
        <v>649</v>
      </c>
      <c r="O130">
        <v>830</v>
      </c>
      <c r="P130">
        <v>1634</v>
      </c>
    </row>
    <row r="131" spans="1:16" x14ac:dyDescent="0.2">
      <c r="A131" s="235" t="s">
        <v>1432</v>
      </c>
      <c r="B131">
        <v>24</v>
      </c>
      <c r="C131">
        <v>348</v>
      </c>
      <c r="D131">
        <v>136</v>
      </c>
      <c r="E131">
        <v>95</v>
      </c>
      <c r="F131">
        <v>30</v>
      </c>
      <c r="G131">
        <v>200</v>
      </c>
      <c r="H131">
        <v>833</v>
      </c>
      <c r="J131">
        <v>49</v>
      </c>
      <c r="K131">
        <v>39</v>
      </c>
      <c r="L131">
        <v>66</v>
      </c>
      <c r="M131">
        <v>52</v>
      </c>
      <c r="N131">
        <v>785</v>
      </c>
      <c r="O131">
        <v>991</v>
      </c>
      <c r="P131">
        <v>1824</v>
      </c>
    </row>
    <row r="132" spans="1:16" x14ac:dyDescent="0.2">
      <c r="A132" s="235" t="s">
        <v>1433</v>
      </c>
      <c r="B132">
        <v>35</v>
      </c>
      <c r="C132">
        <v>368</v>
      </c>
      <c r="D132">
        <v>111</v>
      </c>
      <c r="E132">
        <v>101</v>
      </c>
      <c r="F132">
        <v>16</v>
      </c>
      <c r="G132">
        <v>132</v>
      </c>
      <c r="H132">
        <v>763</v>
      </c>
      <c r="J132">
        <v>47</v>
      </c>
      <c r="K132">
        <v>38</v>
      </c>
      <c r="L132">
        <v>93</v>
      </c>
      <c r="M132">
        <v>42</v>
      </c>
      <c r="N132">
        <v>848</v>
      </c>
      <c r="O132">
        <v>1068</v>
      </c>
      <c r="P132">
        <v>1831</v>
      </c>
    </row>
    <row r="133" spans="1:16" x14ac:dyDescent="0.2">
      <c r="A133" s="235" t="s">
        <v>1434</v>
      </c>
      <c r="B133">
        <v>69</v>
      </c>
      <c r="C133">
        <v>369</v>
      </c>
      <c r="D133">
        <v>96</v>
      </c>
      <c r="E133">
        <v>92</v>
      </c>
      <c r="F133">
        <v>15</v>
      </c>
      <c r="G133">
        <v>117</v>
      </c>
      <c r="H133">
        <v>758</v>
      </c>
      <c r="J133">
        <v>56</v>
      </c>
      <c r="K133">
        <v>41</v>
      </c>
      <c r="L133">
        <v>82</v>
      </c>
      <c r="M133">
        <v>35</v>
      </c>
      <c r="N133">
        <v>1115</v>
      </c>
      <c r="O133">
        <v>1329</v>
      </c>
      <c r="P133">
        <v>2087</v>
      </c>
    </row>
    <row r="134" spans="1:16" x14ac:dyDescent="0.2">
      <c r="A134" s="235" t="s">
        <v>1435</v>
      </c>
      <c r="B134">
        <v>67</v>
      </c>
      <c r="C134">
        <v>397</v>
      </c>
      <c r="D134">
        <v>127</v>
      </c>
      <c r="E134">
        <v>105</v>
      </c>
      <c r="F134">
        <v>11</v>
      </c>
      <c r="G134">
        <v>98</v>
      </c>
      <c r="H134">
        <v>805</v>
      </c>
      <c r="J134">
        <v>49</v>
      </c>
      <c r="K134">
        <v>35</v>
      </c>
      <c r="L134">
        <v>79</v>
      </c>
      <c r="M134">
        <v>20</v>
      </c>
      <c r="N134">
        <v>550</v>
      </c>
      <c r="O134">
        <v>733</v>
      </c>
      <c r="P134">
        <v>1538</v>
      </c>
    </row>
    <row r="135" spans="1:16" x14ac:dyDescent="0.2">
      <c r="A135" s="235" t="s">
        <v>1436</v>
      </c>
      <c r="B135">
        <v>87</v>
      </c>
      <c r="C135">
        <v>364</v>
      </c>
      <c r="D135">
        <v>123</v>
      </c>
      <c r="E135">
        <v>93</v>
      </c>
      <c r="F135">
        <v>15</v>
      </c>
      <c r="G135">
        <v>111</v>
      </c>
      <c r="H135">
        <v>793</v>
      </c>
      <c r="I135">
        <v>1</v>
      </c>
      <c r="J135">
        <v>28</v>
      </c>
      <c r="K135">
        <v>30</v>
      </c>
      <c r="L135">
        <v>58</v>
      </c>
      <c r="M135">
        <v>20</v>
      </c>
      <c r="N135">
        <v>560</v>
      </c>
      <c r="O135">
        <v>697</v>
      </c>
      <c r="P135">
        <v>1490</v>
      </c>
    </row>
    <row r="136" spans="1:16" x14ac:dyDescent="0.2">
      <c r="A136" s="235" t="s">
        <v>1437</v>
      </c>
      <c r="B136">
        <v>59</v>
      </c>
      <c r="C136">
        <v>346</v>
      </c>
      <c r="D136">
        <v>128</v>
      </c>
      <c r="E136">
        <v>93</v>
      </c>
      <c r="F136">
        <v>5</v>
      </c>
      <c r="G136">
        <v>85</v>
      </c>
      <c r="H136">
        <v>716</v>
      </c>
      <c r="J136">
        <v>36</v>
      </c>
      <c r="K136">
        <v>32</v>
      </c>
      <c r="L136">
        <v>80</v>
      </c>
      <c r="M136">
        <v>16</v>
      </c>
      <c r="N136">
        <v>383</v>
      </c>
      <c r="O136">
        <v>547</v>
      </c>
      <c r="P136">
        <v>1263</v>
      </c>
    </row>
    <row r="137" spans="1:16" x14ac:dyDescent="0.2">
      <c r="A137" s="235" t="s">
        <v>1438</v>
      </c>
      <c r="B137">
        <v>76</v>
      </c>
      <c r="C137">
        <v>389</v>
      </c>
      <c r="D137">
        <v>119</v>
      </c>
      <c r="E137">
        <v>106</v>
      </c>
      <c r="F137">
        <v>23</v>
      </c>
      <c r="G137">
        <v>206</v>
      </c>
      <c r="H137">
        <v>919</v>
      </c>
      <c r="J137">
        <v>33</v>
      </c>
      <c r="K137">
        <v>38</v>
      </c>
      <c r="L137">
        <v>77</v>
      </c>
      <c r="M137">
        <v>44</v>
      </c>
      <c r="N137">
        <v>874</v>
      </c>
      <c r="O137">
        <v>1066</v>
      </c>
      <c r="P137">
        <v>1985</v>
      </c>
    </row>
    <row r="138" spans="1:16" x14ac:dyDescent="0.2">
      <c r="A138" s="235" t="s">
        <v>333</v>
      </c>
      <c r="B138">
        <v>11550</v>
      </c>
      <c r="C138">
        <v>54106</v>
      </c>
      <c r="D138">
        <v>19482</v>
      </c>
      <c r="E138">
        <v>13621</v>
      </c>
      <c r="F138">
        <v>4264</v>
      </c>
      <c r="G138">
        <v>30169</v>
      </c>
      <c r="H138">
        <v>133192</v>
      </c>
      <c r="I138">
        <v>25</v>
      </c>
      <c r="J138">
        <v>8236</v>
      </c>
      <c r="K138">
        <v>7416</v>
      </c>
      <c r="L138">
        <v>10425</v>
      </c>
      <c r="M138">
        <v>7189</v>
      </c>
      <c r="N138">
        <v>154668</v>
      </c>
      <c r="O138">
        <v>187959</v>
      </c>
      <c r="P138">
        <v>321151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AFF0"/>
    <pageSetUpPr fitToPage="1"/>
  </sheetPr>
  <dimension ref="A1:AG97"/>
  <sheetViews>
    <sheetView showGridLines="0" zoomScaleNormal="100" workbookViewId="0">
      <pane ySplit="2" topLeftCell="A3" activePane="bottomLeft" state="frozen"/>
      <selection activeCellId="1" sqref="A1 A1"/>
      <selection pane="bottomLeft" activeCell="A2" sqref="A2"/>
    </sheetView>
  </sheetViews>
  <sheetFormatPr defaultRowHeight="12.75" x14ac:dyDescent="0.2"/>
  <cols>
    <col min="1" max="1" width="18.140625" style="1" customWidth="1"/>
    <col min="2" max="2" width="11.7109375" style="1" customWidth="1"/>
    <col min="3" max="3" width="11.140625" style="1" customWidth="1"/>
    <col min="4" max="4" width="11.42578125" style="1" customWidth="1"/>
    <col min="5" max="5" width="12.140625" style="1" customWidth="1"/>
    <col min="6" max="6" width="9.140625" style="1"/>
    <col min="7" max="7" width="12.5703125" style="1" customWidth="1"/>
    <col min="8" max="8" width="9.140625" style="1"/>
    <col min="9" max="9" width="12.28515625" style="1" customWidth="1"/>
    <col min="10" max="10" width="14.28515625" style="1" customWidth="1"/>
    <col min="11" max="11" width="10.140625" style="1" customWidth="1"/>
    <col min="12" max="12" width="8.140625" style="1" customWidth="1"/>
    <col min="13" max="13" width="11.42578125" style="1" customWidth="1"/>
    <col min="14" max="14" width="9.140625" style="1"/>
    <col min="15" max="15" width="8.42578125" style="1" customWidth="1"/>
    <col min="16" max="16" width="11.5703125" style="1" customWidth="1"/>
    <col min="17" max="241" width="9.140625" style="1"/>
    <col min="242" max="242" width="20" style="1" customWidth="1"/>
    <col min="243" max="243" width="11.7109375" style="1" customWidth="1"/>
    <col min="244" max="244" width="11.140625" style="1" customWidth="1"/>
    <col min="245" max="245" width="11.42578125" style="1" customWidth="1"/>
    <col min="246" max="246" width="12.140625" style="1" customWidth="1"/>
    <col min="247" max="247" width="9.140625" style="1"/>
    <col min="248" max="248" width="13.140625" style="1" customWidth="1"/>
    <col min="249" max="249" width="9.140625" style="1"/>
    <col min="250" max="250" width="12.28515625" style="1" customWidth="1"/>
    <col min="251" max="251" width="14.28515625" style="1" customWidth="1"/>
    <col min="252" max="252" width="10.140625" style="1" customWidth="1"/>
    <col min="253" max="253" width="9.140625" style="1"/>
    <col min="254" max="254" width="12.42578125" style="1" customWidth="1"/>
    <col min="255" max="255" width="9.140625" style="1"/>
    <col min="256" max="256" width="11.28515625" style="1" customWidth="1"/>
    <col min="257" max="257" width="10.140625" style="1" customWidth="1"/>
    <col min="258" max="497" width="9.140625" style="1"/>
    <col min="498" max="498" width="20" style="1" customWidth="1"/>
    <col min="499" max="499" width="11.7109375" style="1" customWidth="1"/>
    <col min="500" max="500" width="11.140625" style="1" customWidth="1"/>
    <col min="501" max="501" width="11.42578125" style="1" customWidth="1"/>
    <col min="502" max="502" width="12.140625" style="1" customWidth="1"/>
    <col min="503" max="503" width="9.140625" style="1"/>
    <col min="504" max="504" width="13.140625" style="1" customWidth="1"/>
    <col min="505" max="505" width="9.140625" style="1"/>
    <col min="506" max="506" width="12.28515625" style="1" customWidth="1"/>
    <col min="507" max="507" width="14.28515625" style="1" customWidth="1"/>
    <col min="508" max="508" width="10.140625" style="1" customWidth="1"/>
    <col min="509" max="509" width="9.140625" style="1"/>
    <col min="510" max="510" width="12.42578125" style="1" customWidth="1"/>
    <col min="511" max="511" width="9.140625" style="1"/>
    <col min="512" max="512" width="11.28515625" style="1" customWidth="1"/>
    <col min="513" max="513" width="10.140625" style="1" customWidth="1"/>
    <col min="514" max="753" width="9.140625" style="1"/>
    <col min="754" max="754" width="20" style="1" customWidth="1"/>
    <col min="755" max="755" width="11.7109375" style="1" customWidth="1"/>
    <col min="756" max="756" width="11.140625" style="1" customWidth="1"/>
    <col min="757" max="757" width="11.42578125" style="1" customWidth="1"/>
    <col min="758" max="758" width="12.140625" style="1" customWidth="1"/>
    <col min="759" max="759" width="9.140625" style="1"/>
    <col min="760" max="760" width="13.140625" style="1" customWidth="1"/>
    <col min="761" max="761" width="9.140625" style="1"/>
    <col min="762" max="762" width="12.28515625" style="1" customWidth="1"/>
    <col min="763" max="763" width="14.28515625" style="1" customWidth="1"/>
    <col min="764" max="764" width="10.140625" style="1" customWidth="1"/>
    <col min="765" max="765" width="9.140625" style="1"/>
    <col min="766" max="766" width="12.42578125" style="1" customWidth="1"/>
    <col min="767" max="767" width="9.140625" style="1"/>
    <col min="768" max="768" width="11.28515625" style="1" customWidth="1"/>
    <col min="769" max="769" width="10.140625" style="1" customWidth="1"/>
    <col min="770" max="1009" width="9.140625" style="1"/>
    <col min="1010" max="1010" width="20" style="1" customWidth="1"/>
    <col min="1011" max="1011" width="11.7109375" style="1" customWidth="1"/>
    <col min="1012" max="1012" width="11.140625" style="1" customWidth="1"/>
    <col min="1013" max="1013" width="11.42578125" style="1" customWidth="1"/>
    <col min="1014" max="1014" width="12.140625" style="1" customWidth="1"/>
    <col min="1015" max="1015" width="9.140625" style="1"/>
    <col min="1016" max="1016" width="13.140625" style="1" customWidth="1"/>
    <col min="1017" max="1017" width="9.140625" style="1"/>
    <col min="1018" max="1018" width="12.28515625" style="1" customWidth="1"/>
    <col min="1019" max="1019" width="14.28515625" style="1" customWidth="1"/>
    <col min="1020" max="1020" width="10.140625" style="1" customWidth="1"/>
    <col min="1021" max="1021" width="9.140625" style="1"/>
    <col min="1022" max="1022" width="12.42578125" style="1" customWidth="1"/>
    <col min="1023" max="1023" width="9.140625" style="1"/>
    <col min="1024" max="1024" width="11.28515625" style="1" customWidth="1"/>
    <col min="1025" max="1025" width="10.140625" style="1" customWidth="1"/>
    <col min="1026" max="1265" width="9.140625" style="1"/>
    <col min="1266" max="1266" width="20" style="1" customWidth="1"/>
    <col min="1267" max="1267" width="11.7109375" style="1" customWidth="1"/>
    <col min="1268" max="1268" width="11.140625" style="1" customWidth="1"/>
    <col min="1269" max="1269" width="11.42578125" style="1" customWidth="1"/>
    <col min="1270" max="1270" width="12.140625" style="1" customWidth="1"/>
    <col min="1271" max="1271" width="9.140625" style="1"/>
    <col min="1272" max="1272" width="13.140625" style="1" customWidth="1"/>
    <col min="1273" max="1273" width="9.140625" style="1"/>
    <col min="1274" max="1274" width="12.28515625" style="1" customWidth="1"/>
    <col min="1275" max="1275" width="14.28515625" style="1" customWidth="1"/>
    <col min="1276" max="1276" width="10.140625" style="1" customWidth="1"/>
    <col min="1277" max="1277" width="9.140625" style="1"/>
    <col min="1278" max="1278" width="12.42578125" style="1" customWidth="1"/>
    <col min="1279" max="1279" width="9.140625" style="1"/>
    <col min="1280" max="1280" width="11.28515625" style="1" customWidth="1"/>
    <col min="1281" max="1281" width="10.140625" style="1" customWidth="1"/>
    <col min="1282" max="1521" width="9.140625" style="1"/>
    <col min="1522" max="1522" width="20" style="1" customWidth="1"/>
    <col min="1523" max="1523" width="11.7109375" style="1" customWidth="1"/>
    <col min="1524" max="1524" width="11.140625" style="1" customWidth="1"/>
    <col min="1525" max="1525" width="11.42578125" style="1" customWidth="1"/>
    <col min="1526" max="1526" width="12.140625" style="1" customWidth="1"/>
    <col min="1527" max="1527" width="9.140625" style="1"/>
    <col min="1528" max="1528" width="13.140625" style="1" customWidth="1"/>
    <col min="1529" max="1529" width="9.140625" style="1"/>
    <col min="1530" max="1530" width="12.28515625" style="1" customWidth="1"/>
    <col min="1531" max="1531" width="14.28515625" style="1" customWidth="1"/>
    <col min="1532" max="1532" width="10.140625" style="1" customWidth="1"/>
    <col min="1533" max="1533" width="9.140625" style="1"/>
    <col min="1534" max="1534" width="12.42578125" style="1" customWidth="1"/>
    <col min="1535" max="1535" width="9.140625" style="1"/>
    <col min="1536" max="1536" width="11.28515625" style="1" customWidth="1"/>
    <col min="1537" max="1537" width="10.140625" style="1" customWidth="1"/>
    <col min="1538" max="1777" width="9.140625" style="1"/>
    <col min="1778" max="1778" width="20" style="1" customWidth="1"/>
    <col min="1779" max="1779" width="11.7109375" style="1" customWidth="1"/>
    <col min="1780" max="1780" width="11.140625" style="1" customWidth="1"/>
    <col min="1781" max="1781" width="11.42578125" style="1" customWidth="1"/>
    <col min="1782" max="1782" width="12.140625" style="1" customWidth="1"/>
    <col min="1783" max="1783" width="9.140625" style="1"/>
    <col min="1784" max="1784" width="13.140625" style="1" customWidth="1"/>
    <col min="1785" max="1785" width="9.140625" style="1"/>
    <col min="1786" max="1786" width="12.28515625" style="1" customWidth="1"/>
    <col min="1787" max="1787" width="14.28515625" style="1" customWidth="1"/>
    <col min="1788" max="1788" width="10.140625" style="1" customWidth="1"/>
    <col min="1789" max="1789" width="9.140625" style="1"/>
    <col min="1790" max="1790" width="12.42578125" style="1" customWidth="1"/>
    <col min="1791" max="1791" width="9.140625" style="1"/>
    <col min="1792" max="1792" width="11.28515625" style="1" customWidth="1"/>
    <col min="1793" max="1793" width="10.140625" style="1" customWidth="1"/>
    <col min="1794" max="2033" width="9.140625" style="1"/>
    <col min="2034" max="2034" width="20" style="1" customWidth="1"/>
    <col min="2035" max="2035" width="11.7109375" style="1" customWidth="1"/>
    <col min="2036" max="2036" width="11.140625" style="1" customWidth="1"/>
    <col min="2037" max="2037" width="11.42578125" style="1" customWidth="1"/>
    <col min="2038" max="2038" width="12.140625" style="1" customWidth="1"/>
    <col min="2039" max="2039" width="9.140625" style="1"/>
    <col min="2040" max="2040" width="13.140625" style="1" customWidth="1"/>
    <col min="2041" max="2041" width="9.140625" style="1"/>
    <col min="2042" max="2042" width="12.28515625" style="1" customWidth="1"/>
    <col min="2043" max="2043" width="14.28515625" style="1" customWidth="1"/>
    <col min="2044" max="2044" width="10.140625" style="1" customWidth="1"/>
    <col min="2045" max="2045" width="9.140625" style="1"/>
    <col min="2046" max="2046" width="12.42578125" style="1" customWidth="1"/>
    <col min="2047" max="2047" width="9.140625" style="1"/>
    <col min="2048" max="2048" width="11.28515625" style="1" customWidth="1"/>
    <col min="2049" max="2049" width="10.140625" style="1" customWidth="1"/>
    <col min="2050" max="2289" width="9.140625" style="1"/>
    <col min="2290" max="2290" width="20" style="1" customWidth="1"/>
    <col min="2291" max="2291" width="11.7109375" style="1" customWidth="1"/>
    <col min="2292" max="2292" width="11.140625" style="1" customWidth="1"/>
    <col min="2293" max="2293" width="11.42578125" style="1" customWidth="1"/>
    <col min="2294" max="2294" width="12.140625" style="1" customWidth="1"/>
    <col min="2295" max="2295" width="9.140625" style="1"/>
    <col min="2296" max="2296" width="13.140625" style="1" customWidth="1"/>
    <col min="2297" max="2297" width="9.140625" style="1"/>
    <col min="2298" max="2298" width="12.28515625" style="1" customWidth="1"/>
    <col min="2299" max="2299" width="14.28515625" style="1" customWidth="1"/>
    <col min="2300" max="2300" width="10.140625" style="1" customWidth="1"/>
    <col min="2301" max="2301" width="9.140625" style="1"/>
    <col min="2302" max="2302" width="12.42578125" style="1" customWidth="1"/>
    <col min="2303" max="2303" width="9.140625" style="1"/>
    <col min="2304" max="2304" width="11.28515625" style="1" customWidth="1"/>
    <col min="2305" max="2305" width="10.140625" style="1" customWidth="1"/>
    <col min="2306" max="2545" width="9.140625" style="1"/>
    <col min="2546" max="2546" width="20" style="1" customWidth="1"/>
    <col min="2547" max="2547" width="11.7109375" style="1" customWidth="1"/>
    <col min="2548" max="2548" width="11.140625" style="1" customWidth="1"/>
    <col min="2549" max="2549" width="11.42578125" style="1" customWidth="1"/>
    <col min="2550" max="2550" width="12.140625" style="1" customWidth="1"/>
    <col min="2551" max="2551" width="9.140625" style="1"/>
    <col min="2552" max="2552" width="13.140625" style="1" customWidth="1"/>
    <col min="2553" max="2553" width="9.140625" style="1"/>
    <col min="2554" max="2554" width="12.28515625" style="1" customWidth="1"/>
    <col min="2555" max="2555" width="14.28515625" style="1" customWidth="1"/>
    <col min="2556" max="2556" width="10.140625" style="1" customWidth="1"/>
    <col min="2557" max="2557" width="9.140625" style="1"/>
    <col min="2558" max="2558" width="12.42578125" style="1" customWidth="1"/>
    <col min="2559" max="2559" width="9.140625" style="1"/>
    <col min="2560" max="2560" width="11.28515625" style="1" customWidth="1"/>
    <col min="2561" max="2561" width="10.140625" style="1" customWidth="1"/>
    <col min="2562" max="2801" width="9.140625" style="1"/>
    <col min="2802" max="2802" width="20" style="1" customWidth="1"/>
    <col min="2803" max="2803" width="11.7109375" style="1" customWidth="1"/>
    <col min="2804" max="2804" width="11.140625" style="1" customWidth="1"/>
    <col min="2805" max="2805" width="11.42578125" style="1" customWidth="1"/>
    <col min="2806" max="2806" width="12.140625" style="1" customWidth="1"/>
    <col min="2807" max="2807" width="9.140625" style="1"/>
    <col min="2808" max="2808" width="13.140625" style="1" customWidth="1"/>
    <col min="2809" max="2809" width="9.140625" style="1"/>
    <col min="2810" max="2810" width="12.28515625" style="1" customWidth="1"/>
    <col min="2811" max="2811" width="14.28515625" style="1" customWidth="1"/>
    <col min="2812" max="2812" width="10.140625" style="1" customWidth="1"/>
    <col min="2813" max="2813" width="9.140625" style="1"/>
    <col min="2814" max="2814" width="12.42578125" style="1" customWidth="1"/>
    <col min="2815" max="2815" width="9.140625" style="1"/>
    <col min="2816" max="2816" width="11.28515625" style="1" customWidth="1"/>
    <col min="2817" max="2817" width="10.140625" style="1" customWidth="1"/>
    <col min="2818" max="3057" width="9.140625" style="1"/>
    <col min="3058" max="3058" width="20" style="1" customWidth="1"/>
    <col min="3059" max="3059" width="11.7109375" style="1" customWidth="1"/>
    <col min="3060" max="3060" width="11.140625" style="1" customWidth="1"/>
    <col min="3061" max="3061" width="11.42578125" style="1" customWidth="1"/>
    <col min="3062" max="3062" width="12.140625" style="1" customWidth="1"/>
    <col min="3063" max="3063" width="9.140625" style="1"/>
    <col min="3064" max="3064" width="13.140625" style="1" customWidth="1"/>
    <col min="3065" max="3065" width="9.140625" style="1"/>
    <col min="3066" max="3066" width="12.28515625" style="1" customWidth="1"/>
    <col min="3067" max="3067" width="14.28515625" style="1" customWidth="1"/>
    <col min="3068" max="3068" width="10.140625" style="1" customWidth="1"/>
    <col min="3069" max="3069" width="9.140625" style="1"/>
    <col min="3070" max="3070" width="12.42578125" style="1" customWidth="1"/>
    <col min="3071" max="3071" width="9.140625" style="1"/>
    <col min="3072" max="3072" width="11.28515625" style="1" customWidth="1"/>
    <col min="3073" max="3073" width="10.140625" style="1" customWidth="1"/>
    <col min="3074" max="3313" width="9.140625" style="1"/>
    <col min="3314" max="3314" width="20" style="1" customWidth="1"/>
    <col min="3315" max="3315" width="11.7109375" style="1" customWidth="1"/>
    <col min="3316" max="3316" width="11.140625" style="1" customWidth="1"/>
    <col min="3317" max="3317" width="11.42578125" style="1" customWidth="1"/>
    <col min="3318" max="3318" width="12.140625" style="1" customWidth="1"/>
    <col min="3319" max="3319" width="9.140625" style="1"/>
    <col min="3320" max="3320" width="13.140625" style="1" customWidth="1"/>
    <col min="3321" max="3321" width="9.140625" style="1"/>
    <col min="3322" max="3322" width="12.28515625" style="1" customWidth="1"/>
    <col min="3323" max="3323" width="14.28515625" style="1" customWidth="1"/>
    <col min="3324" max="3324" width="10.140625" style="1" customWidth="1"/>
    <col min="3325" max="3325" width="9.140625" style="1"/>
    <col min="3326" max="3326" width="12.42578125" style="1" customWidth="1"/>
    <col min="3327" max="3327" width="9.140625" style="1"/>
    <col min="3328" max="3328" width="11.28515625" style="1" customWidth="1"/>
    <col min="3329" max="3329" width="10.140625" style="1" customWidth="1"/>
    <col min="3330" max="3569" width="9.140625" style="1"/>
    <col min="3570" max="3570" width="20" style="1" customWidth="1"/>
    <col min="3571" max="3571" width="11.7109375" style="1" customWidth="1"/>
    <col min="3572" max="3572" width="11.140625" style="1" customWidth="1"/>
    <col min="3573" max="3573" width="11.42578125" style="1" customWidth="1"/>
    <col min="3574" max="3574" width="12.140625" style="1" customWidth="1"/>
    <col min="3575" max="3575" width="9.140625" style="1"/>
    <col min="3576" max="3576" width="13.140625" style="1" customWidth="1"/>
    <col min="3577" max="3577" width="9.140625" style="1"/>
    <col min="3578" max="3578" width="12.28515625" style="1" customWidth="1"/>
    <col min="3579" max="3579" width="14.28515625" style="1" customWidth="1"/>
    <col min="3580" max="3580" width="10.140625" style="1" customWidth="1"/>
    <col min="3581" max="3581" width="9.140625" style="1"/>
    <col min="3582" max="3582" width="12.42578125" style="1" customWidth="1"/>
    <col min="3583" max="3583" width="9.140625" style="1"/>
    <col min="3584" max="3584" width="11.28515625" style="1" customWidth="1"/>
    <col min="3585" max="3585" width="10.140625" style="1" customWidth="1"/>
    <col min="3586" max="3825" width="9.140625" style="1"/>
    <col min="3826" max="3826" width="20" style="1" customWidth="1"/>
    <col min="3827" max="3827" width="11.7109375" style="1" customWidth="1"/>
    <col min="3828" max="3828" width="11.140625" style="1" customWidth="1"/>
    <col min="3829" max="3829" width="11.42578125" style="1" customWidth="1"/>
    <col min="3830" max="3830" width="12.140625" style="1" customWidth="1"/>
    <col min="3831" max="3831" width="9.140625" style="1"/>
    <col min="3832" max="3832" width="13.140625" style="1" customWidth="1"/>
    <col min="3833" max="3833" width="9.140625" style="1"/>
    <col min="3834" max="3834" width="12.28515625" style="1" customWidth="1"/>
    <col min="3835" max="3835" width="14.28515625" style="1" customWidth="1"/>
    <col min="3836" max="3836" width="10.140625" style="1" customWidth="1"/>
    <col min="3837" max="3837" width="9.140625" style="1"/>
    <col min="3838" max="3838" width="12.42578125" style="1" customWidth="1"/>
    <col min="3839" max="3839" width="9.140625" style="1"/>
    <col min="3840" max="3840" width="11.28515625" style="1" customWidth="1"/>
    <col min="3841" max="3841" width="10.140625" style="1" customWidth="1"/>
    <col min="3842" max="4081" width="9.140625" style="1"/>
    <col min="4082" max="4082" width="20" style="1" customWidth="1"/>
    <col min="4083" max="4083" width="11.7109375" style="1" customWidth="1"/>
    <col min="4084" max="4084" width="11.140625" style="1" customWidth="1"/>
    <col min="4085" max="4085" width="11.42578125" style="1" customWidth="1"/>
    <col min="4086" max="4086" width="12.140625" style="1" customWidth="1"/>
    <col min="4087" max="4087" width="9.140625" style="1"/>
    <col min="4088" max="4088" width="13.140625" style="1" customWidth="1"/>
    <col min="4089" max="4089" width="9.140625" style="1"/>
    <col min="4090" max="4090" width="12.28515625" style="1" customWidth="1"/>
    <col min="4091" max="4091" width="14.28515625" style="1" customWidth="1"/>
    <col min="4092" max="4092" width="10.140625" style="1" customWidth="1"/>
    <col min="4093" max="4093" width="9.140625" style="1"/>
    <col min="4094" max="4094" width="12.42578125" style="1" customWidth="1"/>
    <col min="4095" max="4095" width="9.140625" style="1"/>
    <col min="4096" max="4096" width="11.28515625" style="1" customWidth="1"/>
    <col min="4097" max="4097" width="10.140625" style="1" customWidth="1"/>
    <col min="4098" max="4337" width="9.140625" style="1"/>
    <col min="4338" max="4338" width="20" style="1" customWidth="1"/>
    <col min="4339" max="4339" width="11.7109375" style="1" customWidth="1"/>
    <col min="4340" max="4340" width="11.140625" style="1" customWidth="1"/>
    <col min="4341" max="4341" width="11.42578125" style="1" customWidth="1"/>
    <col min="4342" max="4342" width="12.140625" style="1" customWidth="1"/>
    <col min="4343" max="4343" width="9.140625" style="1"/>
    <col min="4344" max="4344" width="13.140625" style="1" customWidth="1"/>
    <col min="4345" max="4345" width="9.140625" style="1"/>
    <col min="4346" max="4346" width="12.28515625" style="1" customWidth="1"/>
    <col min="4347" max="4347" width="14.28515625" style="1" customWidth="1"/>
    <col min="4348" max="4348" width="10.140625" style="1" customWidth="1"/>
    <col min="4349" max="4349" width="9.140625" style="1"/>
    <col min="4350" max="4350" width="12.42578125" style="1" customWidth="1"/>
    <col min="4351" max="4351" width="9.140625" style="1"/>
    <col min="4352" max="4352" width="11.28515625" style="1" customWidth="1"/>
    <col min="4353" max="4353" width="10.140625" style="1" customWidth="1"/>
    <col min="4354" max="4593" width="9.140625" style="1"/>
    <col min="4594" max="4594" width="20" style="1" customWidth="1"/>
    <col min="4595" max="4595" width="11.7109375" style="1" customWidth="1"/>
    <col min="4596" max="4596" width="11.140625" style="1" customWidth="1"/>
    <col min="4597" max="4597" width="11.42578125" style="1" customWidth="1"/>
    <col min="4598" max="4598" width="12.140625" style="1" customWidth="1"/>
    <col min="4599" max="4599" width="9.140625" style="1"/>
    <col min="4600" max="4600" width="13.140625" style="1" customWidth="1"/>
    <col min="4601" max="4601" width="9.140625" style="1"/>
    <col min="4602" max="4602" width="12.28515625" style="1" customWidth="1"/>
    <col min="4603" max="4603" width="14.28515625" style="1" customWidth="1"/>
    <col min="4604" max="4604" width="10.140625" style="1" customWidth="1"/>
    <col min="4605" max="4605" width="9.140625" style="1"/>
    <col min="4606" max="4606" width="12.42578125" style="1" customWidth="1"/>
    <col min="4607" max="4607" width="9.140625" style="1"/>
    <col min="4608" max="4608" width="11.28515625" style="1" customWidth="1"/>
    <col min="4609" max="4609" width="10.140625" style="1" customWidth="1"/>
    <col min="4610" max="4849" width="9.140625" style="1"/>
    <col min="4850" max="4850" width="20" style="1" customWidth="1"/>
    <col min="4851" max="4851" width="11.7109375" style="1" customWidth="1"/>
    <col min="4852" max="4852" width="11.140625" style="1" customWidth="1"/>
    <col min="4853" max="4853" width="11.42578125" style="1" customWidth="1"/>
    <col min="4854" max="4854" width="12.140625" style="1" customWidth="1"/>
    <col min="4855" max="4855" width="9.140625" style="1"/>
    <col min="4856" max="4856" width="13.140625" style="1" customWidth="1"/>
    <col min="4857" max="4857" width="9.140625" style="1"/>
    <col min="4858" max="4858" width="12.28515625" style="1" customWidth="1"/>
    <col min="4859" max="4859" width="14.28515625" style="1" customWidth="1"/>
    <col min="4860" max="4860" width="10.140625" style="1" customWidth="1"/>
    <col min="4861" max="4861" width="9.140625" style="1"/>
    <col min="4862" max="4862" width="12.42578125" style="1" customWidth="1"/>
    <col min="4863" max="4863" width="9.140625" style="1"/>
    <col min="4864" max="4864" width="11.28515625" style="1" customWidth="1"/>
    <col min="4865" max="4865" width="10.140625" style="1" customWidth="1"/>
    <col min="4866" max="5105" width="9.140625" style="1"/>
    <col min="5106" max="5106" width="20" style="1" customWidth="1"/>
    <col min="5107" max="5107" width="11.7109375" style="1" customWidth="1"/>
    <col min="5108" max="5108" width="11.140625" style="1" customWidth="1"/>
    <col min="5109" max="5109" width="11.42578125" style="1" customWidth="1"/>
    <col min="5110" max="5110" width="12.140625" style="1" customWidth="1"/>
    <col min="5111" max="5111" width="9.140625" style="1"/>
    <col min="5112" max="5112" width="13.140625" style="1" customWidth="1"/>
    <col min="5113" max="5113" width="9.140625" style="1"/>
    <col min="5114" max="5114" width="12.28515625" style="1" customWidth="1"/>
    <col min="5115" max="5115" width="14.28515625" style="1" customWidth="1"/>
    <col min="5116" max="5116" width="10.140625" style="1" customWidth="1"/>
    <col min="5117" max="5117" width="9.140625" style="1"/>
    <col min="5118" max="5118" width="12.42578125" style="1" customWidth="1"/>
    <col min="5119" max="5119" width="9.140625" style="1"/>
    <col min="5120" max="5120" width="11.28515625" style="1" customWidth="1"/>
    <col min="5121" max="5121" width="10.140625" style="1" customWidth="1"/>
    <col min="5122" max="5361" width="9.140625" style="1"/>
    <col min="5362" max="5362" width="20" style="1" customWidth="1"/>
    <col min="5363" max="5363" width="11.7109375" style="1" customWidth="1"/>
    <col min="5364" max="5364" width="11.140625" style="1" customWidth="1"/>
    <col min="5365" max="5365" width="11.42578125" style="1" customWidth="1"/>
    <col min="5366" max="5366" width="12.140625" style="1" customWidth="1"/>
    <col min="5367" max="5367" width="9.140625" style="1"/>
    <col min="5368" max="5368" width="13.140625" style="1" customWidth="1"/>
    <col min="5369" max="5369" width="9.140625" style="1"/>
    <col min="5370" max="5370" width="12.28515625" style="1" customWidth="1"/>
    <col min="5371" max="5371" width="14.28515625" style="1" customWidth="1"/>
    <col min="5372" max="5372" width="10.140625" style="1" customWidth="1"/>
    <col min="5373" max="5373" width="9.140625" style="1"/>
    <col min="5374" max="5374" width="12.42578125" style="1" customWidth="1"/>
    <col min="5375" max="5375" width="9.140625" style="1"/>
    <col min="5376" max="5376" width="11.28515625" style="1" customWidth="1"/>
    <col min="5377" max="5377" width="10.140625" style="1" customWidth="1"/>
    <col min="5378" max="5617" width="9.140625" style="1"/>
    <col min="5618" max="5618" width="20" style="1" customWidth="1"/>
    <col min="5619" max="5619" width="11.7109375" style="1" customWidth="1"/>
    <col min="5620" max="5620" width="11.140625" style="1" customWidth="1"/>
    <col min="5621" max="5621" width="11.42578125" style="1" customWidth="1"/>
    <col min="5622" max="5622" width="12.140625" style="1" customWidth="1"/>
    <col min="5623" max="5623" width="9.140625" style="1"/>
    <col min="5624" max="5624" width="13.140625" style="1" customWidth="1"/>
    <col min="5625" max="5625" width="9.140625" style="1"/>
    <col min="5626" max="5626" width="12.28515625" style="1" customWidth="1"/>
    <col min="5627" max="5627" width="14.28515625" style="1" customWidth="1"/>
    <col min="5628" max="5628" width="10.140625" style="1" customWidth="1"/>
    <col min="5629" max="5629" width="9.140625" style="1"/>
    <col min="5630" max="5630" width="12.42578125" style="1" customWidth="1"/>
    <col min="5631" max="5631" width="9.140625" style="1"/>
    <col min="5632" max="5632" width="11.28515625" style="1" customWidth="1"/>
    <col min="5633" max="5633" width="10.140625" style="1" customWidth="1"/>
    <col min="5634" max="5873" width="9.140625" style="1"/>
    <col min="5874" max="5874" width="20" style="1" customWidth="1"/>
    <col min="5875" max="5875" width="11.7109375" style="1" customWidth="1"/>
    <col min="5876" max="5876" width="11.140625" style="1" customWidth="1"/>
    <col min="5877" max="5877" width="11.42578125" style="1" customWidth="1"/>
    <col min="5878" max="5878" width="12.140625" style="1" customWidth="1"/>
    <col min="5879" max="5879" width="9.140625" style="1"/>
    <col min="5880" max="5880" width="13.140625" style="1" customWidth="1"/>
    <col min="5881" max="5881" width="9.140625" style="1"/>
    <col min="5882" max="5882" width="12.28515625" style="1" customWidth="1"/>
    <col min="5883" max="5883" width="14.28515625" style="1" customWidth="1"/>
    <col min="5884" max="5884" width="10.140625" style="1" customWidth="1"/>
    <col min="5885" max="5885" width="9.140625" style="1"/>
    <col min="5886" max="5886" width="12.42578125" style="1" customWidth="1"/>
    <col min="5887" max="5887" width="9.140625" style="1"/>
    <col min="5888" max="5888" width="11.28515625" style="1" customWidth="1"/>
    <col min="5889" max="5889" width="10.140625" style="1" customWidth="1"/>
    <col min="5890" max="6129" width="9.140625" style="1"/>
    <col min="6130" max="6130" width="20" style="1" customWidth="1"/>
    <col min="6131" max="6131" width="11.7109375" style="1" customWidth="1"/>
    <col min="6132" max="6132" width="11.140625" style="1" customWidth="1"/>
    <col min="6133" max="6133" width="11.42578125" style="1" customWidth="1"/>
    <col min="6134" max="6134" width="12.140625" style="1" customWidth="1"/>
    <col min="6135" max="6135" width="9.140625" style="1"/>
    <col min="6136" max="6136" width="13.140625" style="1" customWidth="1"/>
    <col min="6137" max="6137" width="9.140625" style="1"/>
    <col min="6138" max="6138" width="12.28515625" style="1" customWidth="1"/>
    <col min="6139" max="6139" width="14.28515625" style="1" customWidth="1"/>
    <col min="6140" max="6140" width="10.140625" style="1" customWidth="1"/>
    <col min="6141" max="6141" width="9.140625" style="1"/>
    <col min="6142" max="6142" width="12.42578125" style="1" customWidth="1"/>
    <col min="6143" max="6143" width="9.140625" style="1"/>
    <col min="6144" max="6144" width="11.28515625" style="1" customWidth="1"/>
    <col min="6145" max="6145" width="10.140625" style="1" customWidth="1"/>
    <col min="6146" max="6385" width="9.140625" style="1"/>
    <col min="6386" max="6386" width="20" style="1" customWidth="1"/>
    <col min="6387" max="6387" width="11.7109375" style="1" customWidth="1"/>
    <col min="6388" max="6388" width="11.140625" style="1" customWidth="1"/>
    <col min="6389" max="6389" width="11.42578125" style="1" customWidth="1"/>
    <col min="6390" max="6390" width="12.140625" style="1" customWidth="1"/>
    <col min="6391" max="6391" width="9.140625" style="1"/>
    <col min="6392" max="6392" width="13.140625" style="1" customWidth="1"/>
    <col min="6393" max="6393" width="9.140625" style="1"/>
    <col min="6394" max="6394" width="12.28515625" style="1" customWidth="1"/>
    <col min="6395" max="6395" width="14.28515625" style="1" customWidth="1"/>
    <col min="6396" max="6396" width="10.140625" style="1" customWidth="1"/>
    <col min="6397" max="6397" width="9.140625" style="1"/>
    <col min="6398" max="6398" width="12.42578125" style="1" customWidth="1"/>
    <col min="6399" max="6399" width="9.140625" style="1"/>
    <col min="6400" max="6400" width="11.28515625" style="1" customWidth="1"/>
    <col min="6401" max="6401" width="10.140625" style="1" customWidth="1"/>
    <col min="6402" max="6641" width="9.140625" style="1"/>
    <col min="6642" max="6642" width="20" style="1" customWidth="1"/>
    <col min="6643" max="6643" width="11.7109375" style="1" customWidth="1"/>
    <col min="6644" max="6644" width="11.140625" style="1" customWidth="1"/>
    <col min="6645" max="6645" width="11.42578125" style="1" customWidth="1"/>
    <col min="6646" max="6646" width="12.140625" style="1" customWidth="1"/>
    <col min="6647" max="6647" width="9.140625" style="1"/>
    <col min="6648" max="6648" width="13.140625" style="1" customWidth="1"/>
    <col min="6649" max="6649" width="9.140625" style="1"/>
    <col min="6650" max="6650" width="12.28515625" style="1" customWidth="1"/>
    <col min="6651" max="6651" width="14.28515625" style="1" customWidth="1"/>
    <col min="6652" max="6652" width="10.140625" style="1" customWidth="1"/>
    <col min="6653" max="6653" width="9.140625" style="1"/>
    <col min="6654" max="6654" width="12.42578125" style="1" customWidth="1"/>
    <col min="6655" max="6655" width="9.140625" style="1"/>
    <col min="6656" max="6656" width="11.28515625" style="1" customWidth="1"/>
    <col min="6657" max="6657" width="10.140625" style="1" customWidth="1"/>
    <col min="6658" max="6897" width="9.140625" style="1"/>
    <col min="6898" max="6898" width="20" style="1" customWidth="1"/>
    <col min="6899" max="6899" width="11.7109375" style="1" customWidth="1"/>
    <col min="6900" max="6900" width="11.140625" style="1" customWidth="1"/>
    <col min="6901" max="6901" width="11.42578125" style="1" customWidth="1"/>
    <col min="6902" max="6902" width="12.140625" style="1" customWidth="1"/>
    <col min="6903" max="6903" width="9.140625" style="1"/>
    <col min="6904" max="6904" width="13.140625" style="1" customWidth="1"/>
    <col min="6905" max="6905" width="9.140625" style="1"/>
    <col min="6906" max="6906" width="12.28515625" style="1" customWidth="1"/>
    <col min="6907" max="6907" width="14.28515625" style="1" customWidth="1"/>
    <col min="6908" max="6908" width="10.140625" style="1" customWidth="1"/>
    <col min="6909" max="6909" width="9.140625" style="1"/>
    <col min="6910" max="6910" width="12.42578125" style="1" customWidth="1"/>
    <col min="6911" max="6911" width="9.140625" style="1"/>
    <col min="6912" max="6912" width="11.28515625" style="1" customWidth="1"/>
    <col min="6913" max="6913" width="10.140625" style="1" customWidth="1"/>
    <col min="6914" max="7153" width="9.140625" style="1"/>
    <col min="7154" max="7154" width="20" style="1" customWidth="1"/>
    <col min="7155" max="7155" width="11.7109375" style="1" customWidth="1"/>
    <col min="7156" max="7156" width="11.140625" style="1" customWidth="1"/>
    <col min="7157" max="7157" width="11.42578125" style="1" customWidth="1"/>
    <col min="7158" max="7158" width="12.140625" style="1" customWidth="1"/>
    <col min="7159" max="7159" width="9.140625" style="1"/>
    <col min="7160" max="7160" width="13.140625" style="1" customWidth="1"/>
    <col min="7161" max="7161" width="9.140625" style="1"/>
    <col min="7162" max="7162" width="12.28515625" style="1" customWidth="1"/>
    <col min="7163" max="7163" width="14.28515625" style="1" customWidth="1"/>
    <col min="7164" max="7164" width="10.140625" style="1" customWidth="1"/>
    <col min="7165" max="7165" width="9.140625" style="1"/>
    <col min="7166" max="7166" width="12.42578125" style="1" customWidth="1"/>
    <col min="7167" max="7167" width="9.140625" style="1"/>
    <col min="7168" max="7168" width="11.28515625" style="1" customWidth="1"/>
    <col min="7169" max="7169" width="10.140625" style="1" customWidth="1"/>
    <col min="7170" max="7409" width="9.140625" style="1"/>
    <col min="7410" max="7410" width="20" style="1" customWidth="1"/>
    <col min="7411" max="7411" width="11.7109375" style="1" customWidth="1"/>
    <col min="7412" max="7412" width="11.140625" style="1" customWidth="1"/>
    <col min="7413" max="7413" width="11.42578125" style="1" customWidth="1"/>
    <col min="7414" max="7414" width="12.140625" style="1" customWidth="1"/>
    <col min="7415" max="7415" width="9.140625" style="1"/>
    <col min="7416" max="7416" width="13.140625" style="1" customWidth="1"/>
    <col min="7417" max="7417" width="9.140625" style="1"/>
    <col min="7418" max="7418" width="12.28515625" style="1" customWidth="1"/>
    <col min="7419" max="7419" width="14.28515625" style="1" customWidth="1"/>
    <col min="7420" max="7420" width="10.140625" style="1" customWidth="1"/>
    <col min="7421" max="7421" width="9.140625" style="1"/>
    <col min="7422" max="7422" width="12.42578125" style="1" customWidth="1"/>
    <col min="7423" max="7423" width="9.140625" style="1"/>
    <col min="7424" max="7424" width="11.28515625" style="1" customWidth="1"/>
    <col min="7425" max="7425" width="10.140625" style="1" customWidth="1"/>
    <col min="7426" max="7665" width="9.140625" style="1"/>
    <col min="7666" max="7666" width="20" style="1" customWidth="1"/>
    <col min="7667" max="7667" width="11.7109375" style="1" customWidth="1"/>
    <col min="7668" max="7668" width="11.140625" style="1" customWidth="1"/>
    <col min="7669" max="7669" width="11.42578125" style="1" customWidth="1"/>
    <col min="7670" max="7670" width="12.140625" style="1" customWidth="1"/>
    <col min="7671" max="7671" width="9.140625" style="1"/>
    <col min="7672" max="7672" width="13.140625" style="1" customWidth="1"/>
    <col min="7673" max="7673" width="9.140625" style="1"/>
    <col min="7674" max="7674" width="12.28515625" style="1" customWidth="1"/>
    <col min="7675" max="7675" width="14.28515625" style="1" customWidth="1"/>
    <col min="7676" max="7676" width="10.140625" style="1" customWidth="1"/>
    <col min="7677" max="7677" width="9.140625" style="1"/>
    <col min="7678" max="7678" width="12.42578125" style="1" customWidth="1"/>
    <col min="7679" max="7679" width="9.140625" style="1"/>
    <col min="7680" max="7680" width="11.28515625" style="1" customWidth="1"/>
    <col min="7681" max="7681" width="10.140625" style="1" customWidth="1"/>
    <col min="7682" max="7921" width="9.140625" style="1"/>
    <col min="7922" max="7922" width="20" style="1" customWidth="1"/>
    <col min="7923" max="7923" width="11.7109375" style="1" customWidth="1"/>
    <col min="7924" max="7924" width="11.140625" style="1" customWidth="1"/>
    <col min="7925" max="7925" width="11.42578125" style="1" customWidth="1"/>
    <col min="7926" max="7926" width="12.140625" style="1" customWidth="1"/>
    <col min="7927" max="7927" width="9.140625" style="1"/>
    <col min="7928" max="7928" width="13.140625" style="1" customWidth="1"/>
    <col min="7929" max="7929" width="9.140625" style="1"/>
    <col min="7930" max="7930" width="12.28515625" style="1" customWidth="1"/>
    <col min="7931" max="7931" width="14.28515625" style="1" customWidth="1"/>
    <col min="7932" max="7932" width="10.140625" style="1" customWidth="1"/>
    <col min="7933" max="7933" width="9.140625" style="1"/>
    <col min="7934" max="7934" width="12.42578125" style="1" customWidth="1"/>
    <col min="7935" max="7935" width="9.140625" style="1"/>
    <col min="7936" max="7936" width="11.28515625" style="1" customWidth="1"/>
    <col min="7937" max="7937" width="10.140625" style="1" customWidth="1"/>
    <col min="7938" max="8177" width="9.140625" style="1"/>
    <col min="8178" max="8178" width="20" style="1" customWidth="1"/>
    <col min="8179" max="8179" width="11.7109375" style="1" customWidth="1"/>
    <col min="8180" max="8180" width="11.140625" style="1" customWidth="1"/>
    <col min="8181" max="8181" width="11.42578125" style="1" customWidth="1"/>
    <col min="8182" max="8182" width="12.140625" style="1" customWidth="1"/>
    <col min="8183" max="8183" width="9.140625" style="1"/>
    <col min="8184" max="8184" width="13.140625" style="1" customWidth="1"/>
    <col min="8185" max="8185" width="9.140625" style="1"/>
    <col min="8186" max="8186" width="12.28515625" style="1" customWidth="1"/>
    <col min="8187" max="8187" width="14.28515625" style="1" customWidth="1"/>
    <col min="8188" max="8188" width="10.140625" style="1" customWidth="1"/>
    <col min="8189" max="8189" width="9.140625" style="1"/>
    <col min="8190" max="8190" width="12.42578125" style="1" customWidth="1"/>
    <col min="8191" max="8191" width="9.140625" style="1"/>
    <col min="8192" max="8192" width="11.28515625" style="1" customWidth="1"/>
    <col min="8193" max="8193" width="10.140625" style="1" customWidth="1"/>
    <col min="8194" max="8433" width="9.140625" style="1"/>
    <col min="8434" max="8434" width="20" style="1" customWidth="1"/>
    <col min="8435" max="8435" width="11.7109375" style="1" customWidth="1"/>
    <col min="8436" max="8436" width="11.140625" style="1" customWidth="1"/>
    <col min="8437" max="8437" width="11.42578125" style="1" customWidth="1"/>
    <col min="8438" max="8438" width="12.140625" style="1" customWidth="1"/>
    <col min="8439" max="8439" width="9.140625" style="1"/>
    <col min="8440" max="8440" width="13.140625" style="1" customWidth="1"/>
    <col min="8441" max="8441" width="9.140625" style="1"/>
    <col min="8442" max="8442" width="12.28515625" style="1" customWidth="1"/>
    <col min="8443" max="8443" width="14.28515625" style="1" customWidth="1"/>
    <col min="8444" max="8444" width="10.140625" style="1" customWidth="1"/>
    <col min="8445" max="8445" width="9.140625" style="1"/>
    <col min="8446" max="8446" width="12.42578125" style="1" customWidth="1"/>
    <col min="8447" max="8447" width="9.140625" style="1"/>
    <col min="8448" max="8448" width="11.28515625" style="1" customWidth="1"/>
    <col min="8449" max="8449" width="10.140625" style="1" customWidth="1"/>
    <col min="8450" max="8689" width="9.140625" style="1"/>
    <col min="8690" max="8690" width="20" style="1" customWidth="1"/>
    <col min="8691" max="8691" width="11.7109375" style="1" customWidth="1"/>
    <col min="8692" max="8692" width="11.140625" style="1" customWidth="1"/>
    <col min="8693" max="8693" width="11.42578125" style="1" customWidth="1"/>
    <col min="8694" max="8694" width="12.140625" style="1" customWidth="1"/>
    <col min="8695" max="8695" width="9.140625" style="1"/>
    <col min="8696" max="8696" width="13.140625" style="1" customWidth="1"/>
    <col min="8697" max="8697" width="9.140625" style="1"/>
    <col min="8698" max="8698" width="12.28515625" style="1" customWidth="1"/>
    <col min="8699" max="8699" width="14.28515625" style="1" customWidth="1"/>
    <col min="8700" max="8700" width="10.140625" style="1" customWidth="1"/>
    <col min="8701" max="8701" width="9.140625" style="1"/>
    <col min="8702" max="8702" width="12.42578125" style="1" customWidth="1"/>
    <col min="8703" max="8703" width="9.140625" style="1"/>
    <col min="8704" max="8704" width="11.28515625" style="1" customWidth="1"/>
    <col min="8705" max="8705" width="10.140625" style="1" customWidth="1"/>
    <col min="8706" max="8945" width="9.140625" style="1"/>
    <col min="8946" max="8946" width="20" style="1" customWidth="1"/>
    <col min="8947" max="8947" width="11.7109375" style="1" customWidth="1"/>
    <col min="8948" max="8948" width="11.140625" style="1" customWidth="1"/>
    <col min="8949" max="8949" width="11.42578125" style="1" customWidth="1"/>
    <col min="8950" max="8950" width="12.140625" style="1" customWidth="1"/>
    <col min="8951" max="8951" width="9.140625" style="1"/>
    <col min="8952" max="8952" width="13.140625" style="1" customWidth="1"/>
    <col min="8953" max="8953" width="9.140625" style="1"/>
    <col min="8954" max="8954" width="12.28515625" style="1" customWidth="1"/>
    <col min="8955" max="8955" width="14.28515625" style="1" customWidth="1"/>
    <col min="8956" max="8956" width="10.140625" style="1" customWidth="1"/>
    <col min="8957" max="8957" width="9.140625" style="1"/>
    <col min="8958" max="8958" width="12.42578125" style="1" customWidth="1"/>
    <col min="8959" max="8959" width="9.140625" style="1"/>
    <col min="8960" max="8960" width="11.28515625" style="1" customWidth="1"/>
    <col min="8961" max="8961" width="10.140625" style="1" customWidth="1"/>
    <col min="8962" max="9201" width="9.140625" style="1"/>
    <col min="9202" max="9202" width="20" style="1" customWidth="1"/>
    <col min="9203" max="9203" width="11.7109375" style="1" customWidth="1"/>
    <col min="9204" max="9204" width="11.140625" style="1" customWidth="1"/>
    <col min="9205" max="9205" width="11.42578125" style="1" customWidth="1"/>
    <col min="9206" max="9206" width="12.140625" style="1" customWidth="1"/>
    <col min="9207" max="9207" width="9.140625" style="1"/>
    <col min="9208" max="9208" width="13.140625" style="1" customWidth="1"/>
    <col min="9209" max="9209" width="9.140625" style="1"/>
    <col min="9210" max="9210" width="12.28515625" style="1" customWidth="1"/>
    <col min="9211" max="9211" width="14.28515625" style="1" customWidth="1"/>
    <col min="9212" max="9212" width="10.140625" style="1" customWidth="1"/>
    <col min="9213" max="9213" width="9.140625" style="1"/>
    <col min="9214" max="9214" width="12.42578125" style="1" customWidth="1"/>
    <col min="9215" max="9215" width="9.140625" style="1"/>
    <col min="9216" max="9216" width="11.28515625" style="1" customWidth="1"/>
    <col min="9217" max="9217" width="10.140625" style="1" customWidth="1"/>
    <col min="9218" max="9457" width="9.140625" style="1"/>
    <col min="9458" max="9458" width="20" style="1" customWidth="1"/>
    <col min="9459" max="9459" width="11.7109375" style="1" customWidth="1"/>
    <col min="9460" max="9460" width="11.140625" style="1" customWidth="1"/>
    <col min="9461" max="9461" width="11.42578125" style="1" customWidth="1"/>
    <col min="9462" max="9462" width="12.140625" style="1" customWidth="1"/>
    <col min="9463" max="9463" width="9.140625" style="1"/>
    <col min="9464" max="9464" width="13.140625" style="1" customWidth="1"/>
    <col min="9465" max="9465" width="9.140625" style="1"/>
    <col min="9466" max="9466" width="12.28515625" style="1" customWidth="1"/>
    <col min="9467" max="9467" width="14.28515625" style="1" customWidth="1"/>
    <col min="9468" max="9468" width="10.140625" style="1" customWidth="1"/>
    <col min="9469" max="9469" width="9.140625" style="1"/>
    <col min="9470" max="9470" width="12.42578125" style="1" customWidth="1"/>
    <col min="9471" max="9471" width="9.140625" style="1"/>
    <col min="9472" max="9472" width="11.28515625" style="1" customWidth="1"/>
    <col min="9473" max="9473" width="10.140625" style="1" customWidth="1"/>
    <col min="9474" max="9713" width="9.140625" style="1"/>
    <col min="9714" max="9714" width="20" style="1" customWidth="1"/>
    <col min="9715" max="9715" width="11.7109375" style="1" customWidth="1"/>
    <col min="9716" max="9716" width="11.140625" style="1" customWidth="1"/>
    <col min="9717" max="9717" width="11.42578125" style="1" customWidth="1"/>
    <col min="9718" max="9718" width="12.140625" style="1" customWidth="1"/>
    <col min="9719" max="9719" width="9.140625" style="1"/>
    <col min="9720" max="9720" width="13.140625" style="1" customWidth="1"/>
    <col min="9721" max="9721" width="9.140625" style="1"/>
    <col min="9722" max="9722" width="12.28515625" style="1" customWidth="1"/>
    <col min="9723" max="9723" width="14.28515625" style="1" customWidth="1"/>
    <col min="9724" max="9724" width="10.140625" style="1" customWidth="1"/>
    <col min="9725" max="9725" width="9.140625" style="1"/>
    <col min="9726" max="9726" width="12.42578125" style="1" customWidth="1"/>
    <col min="9727" max="9727" width="9.140625" style="1"/>
    <col min="9728" max="9728" width="11.28515625" style="1" customWidth="1"/>
    <col min="9729" max="9729" width="10.140625" style="1" customWidth="1"/>
    <col min="9730" max="9969" width="9.140625" style="1"/>
    <col min="9970" max="9970" width="20" style="1" customWidth="1"/>
    <col min="9971" max="9971" width="11.7109375" style="1" customWidth="1"/>
    <col min="9972" max="9972" width="11.140625" style="1" customWidth="1"/>
    <col min="9973" max="9973" width="11.42578125" style="1" customWidth="1"/>
    <col min="9974" max="9974" width="12.140625" style="1" customWidth="1"/>
    <col min="9975" max="9975" width="9.140625" style="1"/>
    <col min="9976" max="9976" width="13.140625" style="1" customWidth="1"/>
    <col min="9977" max="9977" width="9.140625" style="1"/>
    <col min="9978" max="9978" width="12.28515625" style="1" customWidth="1"/>
    <col min="9979" max="9979" width="14.28515625" style="1" customWidth="1"/>
    <col min="9980" max="9980" width="10.140625" style="1" customWidth="1"/>
    <col min="9981" max="9981" width="9.140625" style="1"/>
    <col min="9982" max="9982" width="12.42578125" style="1" customWidth="1"/>
    <col min="9983" max="9983" width="9.140625" style="1"/>
    <col min="9984" max="9984" width="11.28515625" style="1" customWidth="1"/>
    <col min="9985" max="9985" width="10.140625" style="1" customWidth="1"/>
    <col min="9986" max="10225" width="9.140625" style="1"/>
    <col min="10226" max="10226" width="20" style="1" customWidth="1"/>
    <col min="10227" max="10227" width="11.7109375" style="1" customWidth="1"/>
    <col min="10228" max="10228" width="11.140625" style="1" customWidth="1"/>
    <col min="10229" max="10229" width="11.42578125" style="1" customWidth="1"/>
    <col min="10230" max="10230" width="12.140625" style="1" customWidth="1"/>
    <col min="10231" max="10231" width="9.140625" style="1"/>
    <col min="10232" max="10232" width="13.140625" style="1" customWidth="1"/>
    <col min="10233" max="10233" width="9.140625" style="1"/>
    <col min="10234" max="10234" width="12.28515625" style="1" customWidth="1"/>
    <col min="10235" max="10235" width="14.28515625" style="1" customWidth="1"/>
    <col min="10236" max="10236" width="10.140625" style="1" customWidth="1"/>
    <col min="10237" max="10237" width="9.140625" style="1"/>
    <col min="10238" max="10238" width="12.42578125" style="1" customWidth="1"/>
    <col min="10239" max="10239" width="9.140625" style="1"/>
    <col min="10240" max="10240" width="11.28515625" style="1" customWidth="1"/>
    <col min="10241" max="10241" width="10.140625" style="1" customWidth="1"/>
    <col min="10242" max="10481" width="9.140625" style="1"/>
    <col min="10482" max="10482" width="20" style="1" customWidth="1"/>
    <col min="10483" max="10483" width="11.7109375" style="1" customWidth="1"/>
    <col min="10484" max="10484" width="11.140625" style="1" customWidth="1"/>
    <col min="10485" max="10485" width="11.42578125" style="1" customWidth="1"/>
    <col min="10486" max="10486" width="12.140625" style="1" customWidth="1"/>
    <col min="10487" max="10487" width="9.140625" style="1"/>
    <col min="10488" max="10488" width="13.140625" style="1" customWidth="1"/>
    <col min="10489" max="10489" width="9.140625" style="1"/>
    <col min="10490" max="10490" width="12.28515625" style="1" customWidth="1"/>
    <col min="10491" max="10491" width="14.28515625" style="1" customWidth="1"/>
    <col min="10492" max="10492" width="10.140625" style="1" customWidth="1"/>
    <col min="10493" max="10493" width="9.140625" style="1"/>
    <col min="10494" max="10494" width="12.42578125" style="1" customWidth="1"/>
    <col min="10495" max="10495" width="9.140625" style="1"/>
    <col min="10496" max="10496" width="11.28515625" style="1" customWidth="1"/>
    <col min="10497" max="10497" width="10.140625" style="1" customWidth="1"/>
    <col min="10498" max="10737" width="9.140625" style="1"/>
    <col min="10738" max="10738" width="20" style="1" customWidth="1"/>
    <col min="10739" max="10739" width="11.7109375" style="1" customWidth="1"/>
    <col min="10740" max="10740" width="11.140625" style="1" customWidth="1"/>
    <col min="10741" max="10741" width="11.42578125" style="1" customWidth="1"/>
    <col min="10742" max="10742" width="12.140625" style="1" customWidth="1"/>
    <col min="10743" max="10743" width="9.140625" style="1"/>
    <col min="10744" max="10744" width="13.140625" style="1" customWidth="1"/>
    <col min="10745" max="10745" width="9.140625" style="1"/>
    <col min="10746" max="10746" width="12.28515625" style="1" customWidth="1"/>
    <col min="10747" max="10747" width="14.28515625" style="1" customWidth="1"/>
    <col min="10748" max="10748" width="10.140625" style="1" customWidth="1"/>
    <col min="10749" max="10749" width="9.140625" style="1"/>
    <col min="10750" max="10750" width="12.42578125" style="1" customWidth="1"/>
    <col min="10751" max="10751" width="9.140625" style="1"/>
    <col min="10752" max="10752" width="11.28515625" style="1" customWidth="1"/>
    <col min="10753" max="10753" width="10.140625" style="1" customWidth="1"/>
    <col min="10754" max="10993" width="9.140625" style="1"/>
    <col min="10994" max="10994" width="20" style="1" customWidth="1"/>
    <col min="10995" max="10995" width="11.7109375" style="1" customWidth="1"/>
    <col min="10996" max="10996" width="11.140625" style="1" customWidth="1"/>
    <col min="10997" max="10997" width="11.42578125" style="1" customWidth="1"/>
    <col min="10998" max="10998" width="12.140625" style="1" customWidth="1"/>
    <col min="10999" max="10999" width="9.140625" style="1"/>
    <col min="11000" max="11000" width="13.140625" style="1" customWidth="1"/>
    <col min="11001" max="11001" width="9.140625" style="1"/>
    <col min="11002" max="11002" width="12.28515625" style="1" customWidth="1"/>
    <col min="11003" max="11003" width="14.28515625" style="1" customWidth="1"/>
    <col min="11004" max="11004" width="10.140625" style="1" customWidth="1"/>
    <col min="11005" max="11005" width="9.140625" style="1"/>
    <col min="11006" max="11006" width="12.42578125" style="1" customWidth="1"/>
    <col min="11007" max="11007" width="9.140625" style="1"/>
    <col min="11008" max="11008" width="11.28515625" style="1" customWidth="1"/>
    <col min="11009" max="11009" width="10.140625" style="1" customWidth="1"/>
    <col min="11010" max="11249" width="9.140625" style="1"/>
    <col min="11250" max="11250" width="20" style="1" customWidth="1"/>
    <col min="11251" max="11251" width="11.7109375" style="1" customWidth="1"/>
    <col min="11252" max="11252" width="11.140625" style="1" customWidth="1"/>
    <col min="11253" max="11253" width="11.42578125" style="1" customWidth="1"/>
    <col min="11254" max="11254" width="12.140625" style="1" customWidth="1"/>
    <col min="11255" max="11255" width="9.140625" style="1"/>
    <col min="11256" max="11256" width="13.140625" style="1" customWidth="1"/>
    <col min="11257" max="11257" width="9.140625" style="1"/>
    <col min="11258" max="11258" width="12.28515625" style="1" customWidth="1"/>
    <col min="11259" max="11259" width="14.28515625" style="1" customWidth="1"/>
    <col min="11260" max="11260" width="10.140625" style="1" customWidth="1"/>
    <col min="11261" max="11261" width="9.140625" style="1"/>
    <col min="11262" max="11262" width="12.42578125" style="1" customWidth="1"/>
    <col min="11263" max="11263" width="9.140625" style="1"/>
    <col min="11264" max="11264" width="11.28515625" style="1" customWidth="1"/>
    <col min="11265" max="11265" width="10.140625" style="1" customWidth="1"/>
    <col min="11266" max="11505" width="9.140625" style="1"/>
    <col min="11506" max="11506" width="20" style="1" customWidth="1"/>
    <col min="11507" max="11507" width="11.7109375" style="1" customWidth="1"/>
    <col min="11508" max="11508" width="11.140625" style="1" customWidth="1"/>
    <col min="11509" max="11509" width="11.42578125" style="1" customWidth="1"/>
    <col min="11510" max="11510" width="12.140625" style="1" customWidth="1"/>
    <col min="11511" max="11511" width="9.140625" style="1"/>
    <col min="11512" max="11512" width="13.140625" style="1" customWidth="1"/>
    <col min="11513" max="11513" width="9.140625" style="1"/>
    <col min="11514" max="11514" width="12.28515625" style="1" customWidth="1"/>
    <col min="11515" max="11515" width="14.28515625" style="1" customWidth="1"/>
    <col min="11516" max="11516" width="10.140625" style="1" customWidth="1"/>
    <col min="11517" max="11517" width="9.140625" style="1"/>
    <col min="11518" max="11518" width="12.42578125" style="1" customWidth="1"/>
    <col min="11519" max="11519" width="9.140625" style="1"/>
    <col min="11520" max="11520" width="11.28515625" style="1" customWidth="1"/>
    <col min="11521" max="11521" width="10.140625" style="1" customWidth="1"/>
    <col min="11522" max="11761" width="9.140625" style="1"/>
    <col min="11762" max="11762" width="20" style="1" customWidth="1"/>
    <col min="11763" max="11763" width="11.7109375" style="1" customWidth="1"/>
    <col min="11764" max="11764" width="11.140625" style="1" customWidth="1"/>
    <col min="11765" max="11765" width="11.42578125" style="1" customWidth="1"/>
    <col min="11766" max="11766" width="12.140625" style="1" customWidth="1"/>
    <col min="11767" max="11767" width="9.140625" style="1"/>
    <col min="11768" max="11768" width="13.140625" style="1" customWidth="1"/>
    <col min="11769" max="11769" width="9.140625" style="1"/>
    <col min="11770" max="11770" width="12.28515625" style="1" customWidth="1"/>
    <col min="11771" max="11771" width="14.28515625" style="1" customWidth="1"/>
    <col min="11772" max="11772" width="10.140625" style="1" customWidth="1"/>
    <col min="11773" max="11773" width="9.140625" style="1"/>
    <col min="11774" max="11774" width="12.42578125" style="1" customWidth="1"/>
    <col min="11775" max="11775" width="9.140625" style="1"/>
    <col min="11776" max="11776" width="11.28515625" style="1" customWidth="1"/>
    <col min="11777" max="11777" width="10.140625" style="1" customWidth="1"/>
    <col min="11778" max="12017" width="9.140625" style="1"/>
    <col min="12018" max="12018" width="20" style="1" customWidth="1"/>
    <col min="12019" max="12019" width="11.7109375" style="1" customWidth="1"/>
    <col min="12020" max="12020" width="11.140625" style="1" customWidth="1"/>
    <col min="12021" max="12021" width="11.42578125" style="1" customWidth="1"/>
    <col min="12022" max="12022" width="12.140625" style="1" customWidth="1"/>
    <col min="12023" max="12023" width="9.140625" style="1"/>
    <col min="12024" max="12024" width="13.140625" style="1" customWidth="1"/>
    <col min="12025" max="12025" width="9.140625" style="1"/>
    <col min="12026" max="12026" width="12.28515625" style="1" customWidth="1"/>
    <col min="12027" max="12027" width="14.28515625" style="1" customWidth="1"/>
    <col min="12028" max="12028" width="10.140625" style="1" customWidth="1"/>
    <col min="12029" max="12029" width="9.140625" style="1"/>
    <col min="12030" max="12030" width="12.42578125" style="1" customWidth="1"/>
    <col min="12031" max="12031" width="9.140625" style="1"/>
    <col min="12032" max="12032" width="11.28515625" style="1" customWidth="1"/>
    <col min="12033" max="12033" width="10.140625" style="1" customWidth="1"/>
    <col min="12034" max="12273" width="9.140625" style="1"/>
    <col min="12274" max="12274" width="20" style="1" customWidth="1"/>
    <col min="12275" max="12275" width="11.7109375" style="1" customWidth="1"/>
    <col min="12276" max="12276" width="11.140625" style="1" customWidth="1"/>
    <col min="12277" max="12277" width="11.42578125" style="1" customWidth="1"/>
    <col min="12278" max="12278" width="12.140625" style="1" customWidth="1"/>
    <col min="12279" max="12279" width="9.140625" style="1"/>
    <col min="12280" max="12280" width="13.140625" style="1" customWidth="1"/>
    <col min="12281" max="12281" width="9.140625" style="1"/>
    <col min="12282" max="12282" width="12.28515625" style="1" customWidth="1"/>
    <col min="12283" max="12283" width="14.28515625" style="1" customWidth="1"/>
    <col min="12284" max="12284" width="10.140625" style="1" customWidth="1"/>
    <col min="12285" max="12285" width="9.140625" style="1"/>
    <col min="12286" max="12286" width="12.42578125" style="1" customWidth="1"/>
    <col min="12287" max="12287" width="9.140625" style="1"/>
    <col min="12288" max="12288" width="11.28515625" style="1" customWidth="1"/>
    <col min="12289" max="12289" width="10.140625" style="1" customWidth="1"/>
    <col min="12290" max="12529" width="9.140625" style="1"/>
    <col min="12530" max="12530" width="20" style="1" customWidth="1"/>
    <col min="12531" max="12531" width="11.7109375" style="1" customWidth="1"/>
    <col min="12532" max="12532" width="11.140625" style="1" customWidth="1"/>
    <col min="12533" max="12533" width="11.42578125" style="1" customWidth="1"/>
    <col min="12534" max="12534" width="12.140625" style="1" customWidth="1"/>
    <col min="12535" max="12535" width="9.140625" style="1"/>
    <col min="12536" max="12536" width="13.140625" style="1" customWidth="1"/>
    <col min="12537" max="12537" width="9.140625" style="1"/>
    <col min="12538" max="12538" width="12.28515625" style="1" customWidth="1"/>
    <col min="12539" max="12539" width="14.28515625" style="1" customWidth="1"/>
    <col min="12540" max="12540" width="10.140625" style="1" customWidth="1"/>
    <col min="12541" max="12541" width="9.140625" style="1"/>
    <col min="12542" max="12542" width="12.42578125" style="1" customWidth="1"/>
    <col min="12543" max="12543" width="9.140625" style="1"/>
    <col min="12544" max="12544" width="11.28515625" style="1" customWidth="1"/>
    <col min="12545" max="12545" width="10.140625" style="1" customWidth="1"/>
    <col min="12546" max="12785" width="9.140625" style="1"/>
    <col min="12786" max="12786" width="20" style="1" customWidth="1"/>
    <col min="12787" max="12787" width="11.7109375" style="1" customWidth="1"/>
    <col min="12788" max="12788" width="11.140625" style="1" customWidth="1"/>
    <col min="12789" max="12789" width="11.42578125" style="1" customWidth="1"/>
    <col min="12790" max="12790" width="12.140625" style="1" customWidth="1"/>
    <col min="12791" max="12791" width="9.140625" style="1"/>
    <col min="12792" max="12792" width="13.140625" style="1" customWidth="1"/>
    <col min="12793" max="12793" width="9.140625" style="1"/>
    <col min="12794" max="12794" width="12.28515625" style="1" customWidth="1"/>
    <col min="12795" max="12795" width="14.28515625" style="1" customWidth="1"/>
    <col min="12796" max="12796" width="10.140625" style="1" customWidth="1"/>
    <col min="12797" max="12797" width="9.140625" style="1"/>
    <col min="12798" max="12798" width="12.42578125" style="1" customWidth="1"/>
    <col min="12799" max="12799" width="9.140625" style="1"/>
    <col min="12800" max="12800" width="11.28515625" style="1" customWidth="1"/>
    <col min="12801" max="12801" width="10.140625" style="1" customWidth="1"/>
    <col min="12802" max="13041" width="9.140625" style="1"/>
    <col min="13042" max="13042" width="20" style="1" customWidth="1"/>
    <col min="13043" max="13043" width="11.7109375" style="1" customWidth="1"/>
    <col min="13044" max="13044" width="11.140625" style="1" customWidth="1"/>
    <col min="13045" max="13045" width="11.42578125" style="1" customWidth="1"/>
    <col min="13046" max="13046" width="12.140625" style="1" customWidth="1"/>
    <col min="13047" max="13047" width="9.140625" style="1"/>
    <col min="13048" max="13048" width="13.140625" style="1" customWidth="1"/>
    <col min="13049" max="13049" width="9.140625" style="1"/>
    <col min="13050" max="13050" width="12.28515625" style="1" customWidth="1"/>
    <col min="13051" max="13051" width="14.28515625" style="1" customWidth="1"/>
    <col min="13052" max="13052" width="10.140625" style="1" customWidth="1"/>
    <col min="13053" max="13053" width="9.140625" style="1"/>
    <col min="13054" max="13054" width="12.42578125" style="1" customWidth="1"/>
    <col min="13055" max="13055" width="9.140625" style="1"/>
    <col min="13056" max="13056" width="11.28515625" style="1" customWidth="1"/>
    <col min="13057" max="13057" width="10.140625" style="1" customWidth="1"/>
    <col min="13058" max="13297" width="9.140625" style="1"/>
    <col min="13298" max="13298" width="20" style="1" customWidth="1"/>
    <col min="13299" max="13299" width="11.7109375" style="1" customWidth="1"/>
    <col min="13300" max="13300" width="11.140625" style="1" customWidth="1"/>
    <col min="13301" max="13301" width="11.42578125" style="1" customWidth="1"/>
    <col min="13302" max="13302" width="12.140625" style="1" customWidth="1"/>
    <col min="13303" max="13303" width="9.140625" style="1"/>
    <col min="13304" max="13304" width="13.140625" style="1" customWidth="1"/>
    <col min="13305" max="13305" width="9.140625" style="1"/>
    <col min="13306" max="13306" width="12.28515625" style="1" customWidth="1"/>
    <col min="13307" max="13307" width="14.28515625" style="1" customWidth="1"/>
    <col min="13308" max="13308" width="10.140625" style="1" customWidth="1"/>
    <col min="13309" max="13309" width="9.140625" style="1"/>
    <col min="13310" max="13310" width="12.42578125" style="1" customWidth="1"/>
    <col min="13311" max="13311" width="9.140625" style="1"/>
    <col min="13312" max="13312" width="11.28515625" style="1" customWidth="1"/>
    <col min="13313" max="13313" width="10.140625" style="1" customWidth="1"/>
    <col min="13314" max="13553" width="9.140625" style="1"/>
    <col min="13554" max="13554" width="20" style="1" customWidth="1"/>
    <col min="13555" max="13555" width="11.7109375" style="1" customWidth="1"/>
    <col min="13556" max="13556" width="11.140625" style="1" customWidth="1"/>
    <col min="13557" max="13557" width="11.42578125" style="1" customWidth="1"/>
    <col min="13558" max="13558" width="12.140625" style="1" customWidth="1"/>
    <col min="13559" max="13559" width="9.140625" style="1"/>
    <col min="13560" max="13560" width="13.140625" style="1" customWidth="1"/>
    <col min="13561" max="13561" width="9.140625" style="1"/>
    <col min="13562" max="13562" width="12.28515625" style="1" customWidth="1"/>
    <col min="13563" max="13563" width="14.28515625" style="1" customWidth="1"/>
    <col min="13564" max="13564" width="10.140625" style="1" customWidth="1"/>
    <col min="13565" max="13565" width="9.140625" style="1"/>
    <col min="13566" max="13566" width="12.42578125" style="1" customWidth="1"/>
    <col min="13567" max="13567" width="9.140625" style="1"/>
    <col min="13568" max="13568" width="11.28515625" style="1" customWidth="1"/>
    <col min="13569" max="13569" width="10.140625" style="1" customWidth="1"/>
    <col min="13570" max="13809" width="9.140625" style="1"/>
    <col min="13810" max="13810" width="20" style="1" customWidth="1"/>
    <col min="13811" max="13811" width="11.7109375" style="1" customWidth="1"/>
    <col min="13812" max="13812" width="11.140625" style="1" customWidth="1"/>
    <col min="13813" max="13813" width="11.42578125" style="1" customWidth="1"/>
    <col min="13814" max="13814" width="12.140625" style="1" customWidth="1"/>
    <col min="13815" max="13815" width="9.140625" style="1"/>
    <col min="13816" max="13816" width="13.140625" style="1" customWidth="1"/>
    <col min="13817" max="13817" width="9.140625" style="1"/>
    <col min="13818" max="13818" width="12.28515625" style="1" customWidth="1"/>
    <col min="13819" max="13819" width="14.28515625" style="1" customWidth="1"/>
    <col min="13820" max="13820" width="10.140625" style="1" customWidth="1"/>
    <col min="13821" max="13821" width="9.140625" style="1"/>
    <col min="13822" max="13822" width="12.42578125" style="1" customWidth="1"/>
    <col min="13823" max="13823" width="9.140625" style="1"/>
    <col min="13824" max="13824" width="11.28515625" style="1" customWidth="1"/>
    <col min="13825" max="13825" width="10.140625" style="1" customWidth="1"/>
    <col min="13826" max="14065" width="9.140625" style="1"/>
    <col min="14066" max="14066" width="20" style="1" customWidth="1"/>
    <col min="14067" max="14067" width="11.7109375" style="1" customWidth="1"/>
    <col min="14068" max="14068" width="11.140625" style="1" customWidth="1"/>
    <col min="14069" max="14069" width="11.42578125" style="1" customWidth="1"/>
    <col min="14070" max="14070" width="12.140625" style="1" customWidth="1"/>
    <col min="14071" max="14071" width="9.140625" style="1"/>
    <col min="14072" max="14072" width="13.140625" style="1" customWidth="1"/>
    <col min="14073" max="14073" width="9.140625" style="1"/>
    <col min="14074" max="14074" width="12.28515625" style="1" customWidth="1"/>
    <col min="14075" max="14075" width="14.28515625" style="1" customWidth="1"/>
    <col min="14076" max="14076" width="10.140625" style="1" customWidth="1"/>
    <col min="14077" max="14077" width="9.140625" style="1"/>
    <col min="14078" max="14078" width="12.42578125" style="1" customWidth="1"/>
    <col min="14079" max="14079" width="9.140625" style="1"/>
    <col min="14080" max="14080" width="11.28515625" style="1" customWidth="1"/>
    <col min="14081" max="14081" width="10.140625" style="1" customWidth="1"/>
    <col min="14082" max="14321" width="9.140625" style="1"/>
    <col min="14322" max="14322" width="20" style="1" customWidth="1"/>
    <col min="14323" max="14323" width="11.7109375" style="1" customWidth="1"/>
    <col min="14324" max="14324" width="11.140625" style="1" customWidth="1"/>
    <col min="14325" max="14325" width="11.42578125" style="1" customWidth="1"/>
    <col min="14326" max="14326" width="12.140625" style="1" customWidth="1"/>
    <col min="14327" max="14327" width="9.140625" style="1"/>
    <col min="14328" max="14328" width="13.140625" style="1" customWidth="1"/>
    <col min="14329" max="14329" width="9.140625" style="1"/>
    <col min="14330" max="14330" width="12.28515625" style="1" customWidth="1"/>
    <col min="14331" max="14331" width="14.28515625" style="1" customWidth="1"/>
    <col min="14332" max="14332" width="10.140625" style="1" customWidth="1"/>
    <col min="14333" max="14333" width="9.140625" style="1"/>
    <col min="14334" max="14334" width="12.42578125" style="1" customWidth="1"/>
    <col min="14335" max="14335" width="9.140625" style="1"/>
    <col min="14336" max="14336" width="11.28515625" style="1" customWidth="1"/>
    <col min="14337" max="14337" width="10.140625" style="1" customWidth="1"/>
    <col min="14338" max="14577" width="9.140625" style="1"/>
    <col min="14578" max="14578" width="20" style="1" customWidth="1"/>
    <col min="14579" max="14579" width="11.7109375" style="1" customWidth="1"/>
    <col min="14580" max="14580" width="11.140625" style="1" customWidth="1"/>
    <col min="14581" max="14581" width="11.42578125" style="1" customWidth="1"/>
    <col min="14582" max="14582" width="12.140625" style="1" customWidth="1"/>
    <col min="14583" max="14583" width="9.140625" style="1"/>
    <col min="14584" max="14584" width="13.140625" style="1" customWidth="1"/>
    <col min="14585" max="14585" width="9.140625" style="1"/>
    <col min="14586" max="14586" width="12.28515625" style="1" customWidth="1"/>
    <col min="14587" max="14587" width="14.28515625" style="1" customWidth="1"/>
    <col min="14588" max="14588" width="10.140625" style="1" customWidth="1"/>
    <col min="14589" max="14589" width="9.140625" style="1"/>
    <col min="14590" max="14590" width="12.42578125" style="1" customWidth="1"/>
    <col min="14591" max="14591" width="9.140625" style="1"/>
    <col min="14592" max="14592" width="11.28515625" style="1" customWidth="1"/>
    <col min="14593" max="14593" width="10.140625" style="1" customWidth="1"/>
    <col min="14594" max="14833" width="9.140625" style="1"/>
    <col min="14834" max="14834" width="20" style="1" customWidth="1"/>
    <col min="14835" max="14835" width="11.7109375" style="1" customWidth="1"/>
    <col min="14836" max="14836" width="11.140625" style="1" customWidth="1"/>
    <col min="14837" max="14837" width="11.42578125" style="1" customWidth="1"/>
    <col min="14838" max="14838" width="12.140625" style="1" customWidth="1"/>
    <col min="14839" max="14839" width="9.140625" style="1"/>
    <col min="14840" max="14840" width="13.140625" style="1" customWidth="1"/>
    <col min="14841" max="14841" width="9.140625" style="1"/>
    <col min="14842" max="14842" width="12.28515625" style="1" customWidth="1"/>
    <col min="14843" max="14843" width="14.28515625" style="1" customWidth="1"/>
    <col min="14844" max="14844" width="10.140625" style="1" customWidth="1"/>
    <col min="14845" max="14845" width="9.140625" style="1"/>
    <col min="14846" max="14846" width="12.42578125" style="1" customWidth="1"/>
    <col min="14847" max="14847" width="9.140625" style="1"/>
    <col min="14848" max="14848" width="11.28515625" style="1" customWidth="1"/>
    <col min="14849" max="14849" width="10.140625" style="1" customWidth="1"/>
    <col min="14850" max="15089" width="9.140625" style="1"/>
    <col min="15090" max="15090" width="20" style="1" customWidth="1"/>
    <col min="15091" max="15091" width="11.7109375" style="1" customWidth="1"/>
    <col min="15092" max="15092" width="11.140625" style="1" customWidth="1"/>
    <col min="15093" max="15093" width="11.42578125" style="1" customWidth="1"/>
    <col min="15094" max="15094" width="12.140625" style="1" customWidth="1"/>
    <col min="15095" max="15095" width="9.140625" style="1"/>
    <col min="15096" max="15096" width="13.140625" style="1" customWidth="1"/>
    <col min="15097" max="15097" width="9.140625" style="1"/>
    <col min="15098" max="15098" width="12.28515625" style="1" customWidth="1"/>
    <col min="15099" max="15099" width="14.28515625" style="1" customWidth="1"/>
    <col min="15100" max="15100" width="10.140625" style="1" customWidth="1"/>
    <col min="15101" max="15101" width="9.140625" style="1"/>
    <col min="15102" max="15102" width="12.42578125" style="1" customWidth="1"/>
    <col min="15103" max="15103" width="9.140625" style="1"/>
    <col min="15104" max="15104" width="11.28515625" style="1" customWidth="1"/>
    <col min="15105" max="15105" width="10.140625" style="1" customWidth="1"/>
    <col min="15106" max="15345" width="9.140625" style="1"/>
    <col min="15346" max="15346" width="20" style="1" customWidth="1"/>
    <col min="15347" max="15347" width="11.7109375" style="1" customWidth="1"/>
    <col min="15348" max="15348" width="11.140625" style="1" customWidth="1"/>
    <col min="15349" max="15349" width="11.42578125" style="1" customWidth="1"/>
    <col min="15350" max="15350" width="12.140625" style="1" customWidth="1"/>
    <col min="15351" max="15351" width="9.140625" style="1"/>
    <col min="15352" max="15352" width="13.140625" style="1" customWidth="1"/>
    <col min="15353" max="15353" width="9.140625" style="1"/>
    <col min="15354" max="15354" width="12.28515625" style="1" customWidth="1"/>
    <col min="15355" max="15355" width="14.28515625" style="1" customWidth="1"/>
    <col min="15356" max="15356" width="10.140625" style="1" customWidth="1"/>
    <col min="15357" max="15357" width="9.140625" style="1"/>
    <col min="15358" max="15358" width="12.42578125" style="1" customWidth="1"/>
    <col min="15359" max="15359" width="9.140625" style="1"/>
    <col min="15360" max="15360" width="11.28515625" style="1" customWidth="1"/>
    <col min="15361" max="15361" width="10.140625" style="1" customWidth="1"/>
    <col min="15362" max="15601" width="9.140625" style="1"/>
    <col min="15602" max="15602" width="20" style="1" customWidth="1"/>
    <col min="15603" max="15603" width="11.7109375" style="1" customWidth="1"/>
    <col min="15604" max="15604" width="11.140625" style="1" customWidth="1"/>
    <col min="15605" max="15605" width="11.42578125" style="1" customWidth="1"/>
    <col min="15606" max="15606" width="12.140625" style="1" customWidth="1"/>
    <col min="15607" max="15607" width="9.140625" style="1"/>
    <col min="15608" max="15608" width="13.140625" style="1" customWidth="1"/>
    <col min="15609" max="15609" width="9.140625" style="1"/>
    <col min="15610" max="15610" width="12.28515625" style="1" customWidth="1"/>
    <col min="15611" max="15611" width="14.28515625" style="1" customWidth="1"/>
    <col min="15612" max="15612" width="10.140625" style="1" customWidth="1"/>
    <col min="15613" max="15613" width="9.140625" style="1"/>
    <col min="15614" max="15614" width="12.42578125" style="1" customWidth="1"/>
    <col min="15615" max="15615" width="9.140625" style="1"/>
    <col min="15616" max="15616" width="11.28515625" style="1" customWidth="1"/>
    <col min="15617" max="15617" width="10.140625" style="1" customWidth="1"/>
    <col min="15618" max="15857" width="9.140625" style="1"/>
    <col min="15858" max="15858" width="20" style="1" customWidth="1"/>
    <col min="15859" max="15859" width="11.7109375" style="1" customWidth="1"/>
    <col min="15860" max="15860" width="11.140625" style="1" customWidth="1"/>
    <col min="15861" max="15861" width="11.42578125" style="1" customWidth="1"/>
    <col min="15862" max="15862" width="12.140625" style="1" customWidth="1"/>
    <col min="15863" max="15863" width="9.140625" style="1"/>
    <col min="15864" max="15864" width="13.140625" style="1" customWidth="1"/>
    <col min="15865" max="15865" width="9.140625" style="1"/>
    <col min="15866" max="15866" width="12.28515625" style="1" customWidth="1"/>
    <col min="15867" max="15867" width="14.28515625" style="1" customWidth="1"/>
    <col min="15868" max="15868" width="10.140625" style="1" customWidth="1"/>
    <col min="15869" max="15869" width="9.140625" style="1"/>
    <col min="15870" max="15870" width="12.42578125" style="1" customWidth="1"/>
    <col min="15871" max="15871" width="9.140625" style="1"/>
    <col min="15872" max="15872" width="11.28515625" style="1" customWidth="1"/>
    <col min="15873" max="15873" width="10.140625" style="1" customWidth="1"/>
    <col min="15874" max="16113" width="9.140625" style="1"/>
    <col min="16114" max="16114" width="20" style="1" customWidth="1"/>
    <col min="16115" max="16115" width="11.7109375" style="1" customWidth="1"/>
    <col min="16116" max="16116" width="11.140625" style="1" customWidth="1"/>
    <col min="16117" max="16117" width="11.42578125" style="1" customWidth="1"/>
    <col min="16118" max="16118" width="12.140625" style="1" customWidth="1"/>
    <col min="16119" max="16119" width="9.140625" style="1"/>
    <col min="16120" max="16120" width="13.140625" style="1" customWidth="1"/>
    <col min="16121" max="16121" width="9.140625" style="1"/>
    <col min="16122" max="16122" width="12.28515625" style="1" customWidth="1"/>
    <col min="16123" max="16123" width="14.28515625" style="1" customWidth="1"/>
    <col min="16124" max="16124" width="10.140625" style="1" customWidth="1"/>
    <col min="16125" max="16125" width="9.140625" style="1"/>
    <col min="16126" max="16126" width="12.42578125" style="1" customWidth="1"/>
    <col min="16127" max="16127" width="9.140625" style="1"/>
    <col min="16128" max="16128" width="11.28515625" style="1" customWidth="1"/>
    <col min="16129" max="16129" width="10.140625" style="1" customWidth="1"/>
    <col min="16130" max="16384" width="9.140625" style="1"/>
  </cols>
  <sheetData>
    <row r="1" spans="1:33" ht="15.75" customHeight="1" x14ac:dyDescent="0.2">
      <c r="A1" s="298" t="s">
        <v>1129</v>
      </c>
    </row>
    <row r="2" spans="1:33" ht="15.75" customHeight="1" x14ac:dyDescent="0.2">
      <c r="A2" s="106" t="s">
        <v>578</v>
      </c>
    </row>
    <row r="3" spans="1:33" ht="38.25" customHeight="1" x14ac:dyDescent="0.2">
      <c r="A3" s="120" t="s">
        <v>1029</v>
      </c>
      <c r="B3" s="120"/>
      <c r="C3" s="120"/>
      <c r="D3"/>
      <c r="E3" s="120"/>
      <c r="F3" s="120"/>
      <c r="G3" s="120"/>
      <c r="H3" s="120"/>
      <c r="I3" s="120"/>
      <c r="J3" s="120"/>
      <c r="S3"/>
      <c r="T3"/>
      <c r="U3"/>
      <c r="V3"/>
      <c r="W3"/>
    </row>
    <row r="4" spans="1:33" ht="15.75" customHeight="1" x14ac:dyDescent="0.25">
      <c r="A4" s="351" t="s">
        <v>579</v>
      </c>
      <c r="B4" s="1043" t="s">
        <v>1304</v>
      </c>
      <c r="D4" s="129"/>
      <c r="E4" s="129"/>
      <c r="F4" s="129"/>
      <c r="G4" s="129"/>
      <c r="H4" s="129"/>
      <c r="I4" s="373"/>
      <c r="J4" s="129"/>
      <c r="S4"/>
      <c r="T4"/>
      <c r="U4"/>
      <c r="V4"/>
      <c r="W4"/>
    </row>
    <row r="5" spans="1:33" ht="15.75" customHeight="1" x14ac:dyDescent="0.25">
      <c r="A5" s="351" t="s">
        <v>580</v>
      </c>
      <c r="B5" s="351" t="s">
        <v>581</v>
      </c>
      <c r="C5" s="129"/>
      <c r="D5" s="129"/>
      <c r="E5" s="129"/>
      <c r="F5" s="129"/>
      <c r="G5" s="129"/>
      <c r="H5" s="129"/>
      <c r="I5" s="129"/>
      <c r="J5" s="129"/>
      <c r="S5"/>
      <c r="T5"/>
      <c r="U5"/>
      <c r="V5"/>
      <c r="W5"/>
    </row>
    <row r="6" spans="1:33" ht="15.75" customHeight="1" x14ac:dyDescent="0.25">
      <c r="A6" s="351" t="s">
        <v>582</v>
      </c>
      <c r="B6" s="351" t="s">
        <v>585</v>
      </c>
      <c r="C6" s="129"/>
      <c r="D6" s="129"/>
      <c r="E6" s="129"/>
      <c r="F6" s="129"/>
      <c r="G6" s="129"/>
      <c r="H6" s="129"/>
      <c r="I6" s="129"/>
      <c r="J6" s="129"/>
      <c r="S6"/>
      <c r="T6"/>
      <c r="U6"/>
      <c r="V6"/>
      <c r="W6"/>
    </row>
    <row r="7" spans="1:33" ht="15" x14ac:dyDescent="0.25">
      <c r="P7" s="83" t="s">
        <v>0</v>
      </c>
      <c r="S7"/>
      <c r="T7"/>
      <c r="U7"/>
      <c r="V7"/>
      <c r="W7"/>
    </row>
    <row r="8" spans="1:33" ht="13.5" customHeight="1" x14ac:dyDescent="0.2">
      <c r="A8" s="1294" t="s">
        <v>4</v>
      </c>
      <c r="B8" s="1296" t="s">
        <v>5</v>
      </c>
      <c r="C8" s="1288" t="s">
        <v>6</v>
      </c>
      <c r="D8" s="1289"/>
      <c r="E8" s="1289"/>
      <c r="F8" s="1289"/>
      <c r="G8" s="1289"/>
      <c r="H8" s="1289"/>
      <c r="I8" s="1289"/>
      <c r="J8" s="1289"/>
      <c r="K8" s="1289"/>
      <c r="L8" s="1289"/>
      <c r="M8" s="1289"/>
      <c r="N8" s="1289"/>
      <c r="O8" s="1290"/>
      <c r="P8" s="1277" t="s">
        <v>261</v>
      </c>
      <c r="S8"/>
      <c r="T8"/>
      <c r="U8"/>
      <c r="V8"/>
      <c r="W8"/>
    </row>
    <row r="9" spans="1:33" s="28" customFormat="1" ht="52.5" customHeight="1" x14ac:dyDescent="0.2">
      <c r="A9" s="1295"/>
      <c r="B9" s="1297"/>
      <c r="C9" s="336" t="s">
        <v>74</v>
      </c>
      <c r="D9" s="345" t="s">
        <v>75</v>
      </c>
      <c r="E9" s="345" t="s">
        <v>76</v>
      </c>
      <c r="F9" s="345" t="s">
        <v>77</v>
      </c>
      <c r="G9" s="345" t="s">
        <v>531</v>
      </c>
      <c r="H9" s="345" t="s">
        <v>532</v>
      </c>
      <c r="I9" s="345" t="s">
        <v>533</v>
      </c>
      <c r="J9" s="345" t="s">
        <v>78</v>
      </c>
      <c r="K9" s="345" t="s">
        <v>79</v>
      </c>
      <c r="L9" s="345" t="s">
        <v>80</v>
      </c>
      <c r="M9" s="345" t="s">
        <v>81</v>
      </c>
      <c r="N9" s="345" t="s">
        <v>534</v>
      </c>
      <c r="O9" s="233" t="s">
        <v>8</v>
      </c>
      <c r="P9" s="1291"/>
      <c r="R9"/>
      <c r="S9"/>
      <c r="T9"/>
      <c r="U9"/>
      <c r="V9"/>
      <c r="W9"/>
      <c r="X9"/>
      <c r="Y9"/>
      <c r="Z9"/>
      <c r="AA9"/>
      <c r="AB9"/>
      <c r="AC9"/>
      <c r="AD9"/>
      <c r="AE9"/>
      <c r="AF9"/>
      <c r="AG9"/>
    </row>
    <row r="10" spans="1:33" ht="13.5" customHeight="1" x14ac:dyDescent="0.2">
      <c r="A10" s="488" t="str">
        <f>[2]T08!A5</f>
        <v>2009-10</v>
      </c>
      <c r="B10" s="354">
        <f>[2]T08!$P5</f>
        <v>6560</v>
      </c>
      <c r="C10" s="489">
        <f>[2]T08!C5</f>
        <v>611</v>
      </c>
      <c r="D10" s="489">
        <f>[2]T08!D5</f>
        <v>418</v>
      </c>
      <c r="E10" s="489">
        <f>[2]T08!E5</f>
        <v>88</v>
      </c>
      <c r="F10" s="489">
        <f>[2]T08!F5</f>
        <v>299</v>
      </c>
      <c r="G10" s="489">
        <f>[2]T08!G5</f>
        <v>64</v>
      </c>
      <c r="H10" s="489">
        <f>[2]T08!H5</f>
        <v>142</v>
      </c>
      <c r="I10" s="489">
        <f>[2]T08!I5</f>
        <v>87</v>
      </c>
      <c r="J10" s="489">
        <f>[2]T08!J5</f>
        <v>176</v>
      </c>
      <c r="K10" s="489">
        <f>[2]T08!K5</f>
        <v>205</v>
      </c>
      <c r="L10" s="489">
        <f>[2]T08!L5</f>
        <v>328</v>
      </c>
      <c r="M10" s="489">
        <f>[2]T08!M5</f>
        <v>220</v>
      </c>
      <c r="N10" s="489">
        <f>[2]T08!N5</f>
        <v>161</v>
      </c>
      <c r="O10" s="489">
        <f>[2]T08!O5</f>
        <v>206</v>
      </c>
      <c r="P10" s="490">
        <f>SUM(B10:O10)</f>
        <v>9565</v>
      </c>
      <c r="Q10" s="191"/>
      <c r="R10" s="191"/>
      <c r="S10"/>
      <c r="T10"/>
      <c r="U10"/>
      <c r="V10"/>
      <c r="W10"/>
      <c r="X10"/>
      <c r="Y10"/>
      <c r="Z10"/>
      <c r="AA10"/>
      <c r="AB10"/>
      <c r="AC10"/>
      <c r="AD10"/>
      <c r="AE10"/>
      <c r="AF10"/>
      <c r="AG10"/>
    </row>
    <row r="11" spans="1:33" ht="13.5" customHeight="1" x14ac:dyDescent="0.2">
      <c r="A11" s="274" t="str">
        <f>[2]T08!A6</f>
        <v>2010-11</v>
      </c>
      <c r="B11" s="191">
        <f>[2]T08!$P6</f>
        <v>6293</v>
      </c>
      <c r="C11" s="486">
        <f>[2]T08!C6</f>
        <v>582</v>
      </c>
      <c r="D11" s="486">
        <f>[2]T08!D6</f>
        <v>392</v>
      </c>
      <c r="E11" s="486">
        <f>[2]T08!E6</f>
        <v>88</v>
      </c>
      <c r="F11" s="486">
        <f>[2]T08!F6</f>
        <v>324</v>
      </c>
      <c r="G11" s="486">
        <f>[2]T08!G6</f>
        <v>53</v>
      </c>
      <c r="H11" s="486">
        <f>[2]T08!H6</f>
        <v>144</v>
      </c>
      <c r="I11" s="486">
        <f>[2]T08!I6</f>
        <v>110</v>
      </c>
      <c r="J11" s="486">
        <f>[2]T08!J6</f>
        <v>142</v>
      </c>
      <c r="K11" s="486">
        <f>[2]T08!K6</f>
        <v>196</v>
      </c>
      <c r="L11" s="486">
        <f>[2]T08!L6</f>
        <v>300</v>
      </c>
      <c r="M11" s="486">
        <f>[2]T08!M6</f>
        <v>187</v>
      </c>
      <c r="N11" s="486">
        <f>[2]T08!N6</f>
        <v>140</v>
      </c>
      <c r="O11" s="486">
        <f>[2]T08!O6</f>
        <v>138</v>
      </c>
      <c r="P11" s="226">
        <f t="shared" ref="P11:P17" si="0">SUM(B11:O11)</f>
        <v>9089</v>
      </c>
      <c r="Q11" s="191"/>
      <c r="R11" s="191"/>
      <c r="S11"/>
      <c r="T11"/>
      <c r="U11"/>
      <c r="V11"/>
      <c r="W11"/>
    </row>
    <row r="12" spans="1:33" ht="13.5" customHeight="1" x14ac:dyDescent="0.2">
      <c r="A12" s="274" t="str">
        <f>[2]T08!A7</f>
        <v>2011-12</v>
      </c>
      <c r="B12" s="191">
        <f>[2]T08!$P7</f>
        <v>6159</v>
      </c>
      <c r="C12" s="486">
        <f>[2]T08!C7</f>
        <v>512</v>
      </c>
      <c r="D12" s="486">
        <f>[2]T08!D7</f>
        <v>428</v>
      </c>
      <c r="E12" s="486">
        <f>[2]T08!E7</f>
        <v>84</v>
      </c>
      <c r="F12" s="486">
        <f>[2]T08!F7</f>
        <v>298</v>
      </c>
      <c r="G12" s="486">
        <f>[2]T08!G7</f>
        <v>38</v>
      </c>
      <c r="H12" s="486">
        <f>[2]T08!H7</f>
        <v>117</v>
      </c>
      <c r="I12" s="486">
        <f>[2]T08!I7</f>
        <v>110</v>
      </c>
      <c r="J12" s="486">
        <f>[2]T08!J7</f>
        <v>157</v>
      </c>
      <c r="K12" s="486">
        <f>[2]T08!K7</f>
        <v>188</v>
      </c>
      <c r="L12" s="486">
        <f>[2]T08!L7</f>
        <v>272</v>
      </c>
      <c r="M12" s="486">
        <f>[2]T08!M7</f>
        <v>164</v>
      </c>
      <c r="N12" s="486">
        <f>[2]T08!N7</f>
        <v>173</v>
      </c>
      <c r="O12" s="486">
        <f>[2]T08!O7</f>
        <v>176</v>
      </c>
      <c r="P12" s="226">
        <f t="shared" si="0"/>
        <v>8876</v>
      </c>
      <c r="Q12" s="191"/>
      <c r="R12" s="191"/>
      <c r="S12"/>
      <c r="T12"/>
      <c r="U12"/>
      <c r="V12"/>
      <c r="W12"/>
    </row>
    <row r="13" spans="1:33" ht="13.5" customHeight="1" x14ac:dyDescent="0.2">
      <c r="A13" s="274" t="str">
        <f>[2]T08!A8</f>
        <v>2012-13</v>
      </c>
      <c r="B13" s="191">
        <f>[2]T08!$P8</f>
        <v>5836</v>
      </c>
      <c r="C13" s="486">
        <f>[2]T08!C8</f>
        <v>475</v>
      </c>
      <c r="D13" s="486">
        <f>[2]T08!D8</f>
        <v>349</v>
      </c>
      <c r="E13" s="486">
        <f>[2]T08!E8</f>
        <v>86</v>
      </c>
      <c r="F13" s="486">
        <f>[2]T08!F8</f>
        <v>235</v>
      </c>
      <c r="G13" s="486">
        <f>[2]T08!G8</f>
        <v>37</v>
      </c>
      <c r="H13" s="486">
        <f>[2]T08!H8</f>
        <v>104</v>
      </c>
      <c r="I13" s="486">
        <f>[2]T08!I8</f>
        <v>121</v>
      </c>
      <c r="J13" s="486">
        <f>[2]T08!J8</f>
        <v>125</v>
      </c>
      <c r="K13" s="486">
        <f>[2]T08!K8</f>
        <v>145</v>
      </c>
      <c r="L13" s="486">
        <f>[2]T08!L8</f>
        <v>234</v>
      </c>
      <c r="M13" s="486">
        <f>[2]T08!M8</f>
        <v>160</v>
      </c>
      <c r="N13" s="486">
        <f>[2]T08!N8</f>
        <v>152</v>
      </c>
      <c r="O13" s="486">
        <f>[2]T08!O8</f>
        <v>185</v>
      </c>
      <c r="P13" s="226">
        <f t="shared" si="0"/>
        <v>8244</v>
      </c>
      <c r="Q13" s="191"/>
      <c r="R13" s="191"/>
      <c r="S13"/>
      <c r="T13"/>
      <c r="U13"/>
      <c r="V13"/>
      <c r="W13"/>
    </row>
    <row r="14" spans="1:33" ht="13.5" customHeight="1" x14ac:dyDescent="0.2">
      <c r="A14" s="274" t="str">
        <f>[2]T08!A9</f>
        <v>2013-14</v>
      </c>
      <c r="B14" s="191">
        <f>[2]T08!$P9</f>
        <v>5334</v>
      </c>
      <c r="C14" s="486">
        <f>[2]T08!C9</f>
        <v>447</v>
      </c>
      <c r="D14" s="486">
        <f>[2]T08!D9</f>
        <v>343</v>
      </c>
      <c r="E14" s="486">
        <f>[2]T08!E9</f>
        <v>88</v>
      </c>
      <c r="F14" s="486">
        <f>[2]T08!F9</f>
        <v>220</v>
      </c>
      <c r="G14" s="486">
        <f>[2]T08!G9</f>
        <v>39</v>
      </c>
      <c r="H14" s="486">
        <f>[2]T08!H9</f>
        <v>120</v>
      </c>
      <c r="I14" s="486">
        <f>[2]T08!I9</f>
        <v>113</v>
      </c>
      <c r="J14" s="486">
        <f>[2]T08!J9</f>
        <v>124</v>
      </c>
      <c r="K14" s="486">
        <f>[2]T08!K9</f>
        <v>156</v>
      </c>
      <c r="L14" s="486">
        <f>[2]T08!L9</f>
        <v>232</v>
      </c>
      <c r="M14" s="486">
        <f>[2]T08!M9</f>
        <v>151</v>
      </c>
      <c r="N14" s="486">
        <f>[2]T08!N9</f>
        <v>141</v>
      </c>
      <c r="O14" s="486">
        <f>[2]T08!O9</f>
        <v>176</v>
      </c>
      <c r="P14" s="226">
        <f t="shared" si="0"/>
        <v>7684</v>
      </c>
      <c r="Q14" s="191"/>
      <c r="R14" s="191"/>
      <c r="S14"/>
      <c r="T14"/>
      <c r="U14"/>
      <c r="V14"/>
      <c r="W14"/>
    </row>
    <row r="15" spans="1:33" ht="13.5" customHeight="1" x14ac:dyDescent="0.2">
      <c r="A15" s="274" t="str">
        <f>[2]T08!A10</f>
        <v>2014-15</v>
      </c>
      <c r="B15" s="191">
        <f>[2]T08!$P10</f>
        <v>5582</v>
      </c>
      <c r="C15" s="486">
        <f>[2]T08!C10</f>
        <v>429</v>
      </c>
      <c r="D15" s="486">
        <f>[2]T08!D10</f>
        <v>358</v>
      </c>
      <c r="E15" s="486">
        <f>[2]T08!E10</f>
        <v>91</v>
      </c>
      <c r="F15" s="486">
        <f>[2]T08!F10</f>
        <v>222</v>
      </c>
      <c r="G15" s="486">
        <f>[2]T08!G10</f>
        <v>30</v>
      </c>
      <c r="H15" s="486">
        <f>[2]T08!H10</f>
        <v>118</v>
      </c>
      <c r="I15" s="486">
        <f>[2]T08!I10</f>
        <v>99</v>
      </c>
      <c r="J15" s="486">
        <f>[2]T08!J10</f>
        <v>100</v>
      </c>
      <c r="K15" s="486">
        <f>[2]T08!K10</f>
        <v>160</v>
      </c>
      <c r="L15" s="486">
        <f>[2]T08!L10</f>
        <v>233</v>
      </c>
      <c r="M15" s="486">
        <f>[2]T08!M10</f>
        <v>157</v>
      </c>
      <c r="N15" s="486">
        <f>[2]T08!N10</f>
        <v>156</v>
      </c>
      <c r="O15" s="486">
        <f>[2]T08!O10</f>
        <v>171</v>
      </c>
      <c r="P15" s="226">
        <f t="shared" si="0"/>
        <v>7906</v>
      </c>
      <c r="Q15" s="191"/>
      <c r="R15" s="191"/>
      <c r="S15"/>
      <c r="T15"/>
      <c r="U15"/>
      <c r="V15"/>
      <c r="W15"/>
    </row>
    <row r="16" spans="1:33" customFormat="1" ht="13.5" customHeight="1" x14ac:dyDescent="0.2">
      <c r="A16" s="274" t="str">
        <f>[2]T08!A11</f>
        <v>2015-16</v>
      </c>
      <c r="B16" s="191">
        <f>[2]T08!$P11</f>
        <v>5677</v>
      </c>
      <c r="C16" s="486">
        <f>[2]T08!C11</f>
        <v>490</v>
      </c>
      <c r="D16" s="486">
        <f>[2]T08!D11</f>
        <v>312</v>
      </c>
      <c r="E16" s="486">
        <f>[2]T08!E11</f>
        <v>86</v>
      </c>
      <c r="F16" s="486">
        <f>[2]T08!F11</f>
        <v>248</v>
      </c>
      <c r="G16" s="486">
        <f>[2]T08!G11</f>
        <v>45</v>
      </c>
      <c r="H16" s="486">
        <f>[2]T08!H11</f>
        <v>130</v>
      </c>
      <c r="I16" s="486">
        <f>[2]T08!I11</f>
        <v>118</v>
      </c>
      <c r="J16" s="486">
        <f>[2]T08!J11</f>
        <v>110</v>
      </c>
      <c r="K16" s="486">
        <f>[2]T08!K11</f>
        <v>167</v>
      </c>
      <c r="L16" s="486">
        <f>[2]T08!L11</f>
        <v>257</v>
      </c>
      <c r="M16" s="486">
        <f>[2]T08!M11</f>
        <v>175</v>
      </c>
      <c r="N16" s="486">
        <f>[2]T08!N11</f>
        <v>167</v>
      </c>
      <c r="O16" s="486">
        <f>[2]T08!O11</f>
        <v>192</v>
      </c>
      <c r="P16" s="226">
        <f t="shared" si="0"/>
        <v>8174</v>
      </c>
      <c r="Q16" s="191"/>
      <c r="R16" s="191"/>
    </row>
    <row r="17" spans="1:23" customFormat="1" ht="13.5" customHeight="1" x14ac:dyDescent="0.2">
      <c r="A17" s="274" t="str">
        <f>[2]T08!A12</f>
        <v>2016-17</v>
      </c>
      <c r="B17" s="191">
        <f>[2]T08!$P12</f>
        <v>5549</v>
      </c>
      <c r="C17" s="486">
        <f>[2]T08!C12</f>
        <v>415</v>
      </c>
      <c r="D17" s="486">
        <f>[2]T08!D12</f>
        <v>317</v>
      </c>
      <c r="E17" s="486">
        <f>[2]T08!E12</f>
        <v>73</v>
      </c>
      <c r="F17" s="486">
        <f>[2]T08!F12</f>
        <v>232</v>
      </c>
      <c r="G17" s="486">
        <f>[2]T08!G12</f>
        <v>52</v>
      </c>
      <c r="H17" s="486">
        <f>[2]T08!H12</f>
        <v>119</v>
      </c>
      <c r="I17" s="486">
        <f>[2]T08!I12</f>
        <v>99</v>
      </c>
      <c r="J17" s="486">
        <f>[2]T08!J12</f>
        <v>105</v>
      </c>
      <c r="K17" s="486">
        <f>[2]T08!K12</f>
        <v>172</v>
      </c>
      <c r="L17" s="486">
        <f>[2]T08!L12</f>
        <v>225</v>
      </c>
      <c r="M17" s="486">
        <f>[2]T08!M12</f>
        <v>164</v>
      </c>
      <c r="N17" s="486">
        <f>[2]T08!N12</f>
        <v>145</v>
      </c>
      <c r="O17" s="486">
        <f>[2]T08!O12</f>
        <v>161</v>
      </c>
      <c r="P17" s="226">
        <f t="shared" si="0"/>
        <v>7828</v>
      </c>
      <c r="Q17" s="191"/>
      <c r="R17" s="191"/>
    </row>
    <row r="18" spans="1:23" customFormat="1" ht="13.5" customHeight="1" x14ac:dyDescent="0.2">
      <c r="A18" s="274" t="str">
        <f>[2]T08!A13</f>
        <v>2017-18</v>
      </c>
      <c r="B18" s="191">
        <f>[2]T08!$P13</f>
        <v>5321</v>
      </c>
      <c r="C18" s="486">
        <f>[2]T08!C13</f>
        <v>385</v>
      </c>
      <c r="D18" s="486">
        <f>[2]T08!D13</f>
        <v>356</v>
      </c>
      <c r="E18" s="486">
        <f>[2]T08!E13</f>
        <v>68</v>
      </c>
      <c r="F18" s="486">
        <f>[2]T08!F13</f>
        <v>227</v>
      </c>
      <c r="G18" s="486">
        <f>[2]T08!G13</f>
        <v>35</v>
      </c>
      <c r="H18" s="486">
        <f>[2]T08!H13</f>
        <v>106</v>
      </c>
      <c r="I18" s="486">
        <f>[2]T08!I13</f>
        <v>155</v>
      </c>
      <c r="J18" s="486">
        <f>[2]T08!J13</f>
        <v>115</v>
      </c>
      <c r="K18" s="486">
        <f>[2]T08!K13</f>
        <v>156</v>
      </c>
      <c r="L18" s="486">
        <f>[2]T08!L13</f>
        <v>204</v>
      </c>
      <c r="M18" s="486">
        <f>[2]T08!M13</f>
        <v>177</v>
      </c>
      <c r="N18" s="486">
        <f>[2]T08!N13</f>
        <v>128</v>
      </c>
      <c r="O18" s="486">
        <f>[2]T08!O13</f>
        <v>179</v>
      </c>
      <c r="P18" s="226">
        <f t="shared" ref="P18:P20" si="1">SUM(B18:O18)</f>
        <v>7612</v>
      </c>
      <c r="Q18" s="191"/>
      <c r="R18" s="191"/>
    </row>
    <row r="19" spans="1:23" customFormat="1" ht="13.5" customHeight="1" x14ac:dyDescent="0.2">
      <c r="A19" s="274" t="str">
        <f>[2]T08!A14</f>
        <v>2018-19</v>
      </c>
      <c r="B19" s="191">
        <f>[2]T08!$P14</f>
        <v>5144</v>
      </c>
      <c r="C19" s="486">
        <f>[2]T08!C14</f>
        <v>423</v>
      </c>
      <c r="D19" s="486">
        <f>[2]T08!D14</f>
        <v>330</v>
      </c>
      <c r="E19" s="486">
        <f>[2]T08!E14</f>
        <v>79</v>
      </c>
      <c r="F19" s="486">
        <f>[2]T08!F14</f>
        <v>197</v>
      </c>
      <c r="G19" s="486">
        <f>[2]T08!G14</f>
        <v>38</v>
      </c>
      <c r="H19" s="486">
        <f>[2]T08!H14</f>
        <v>104</v>
      </c>
      <c r="I19" s="486">
        <f>[2]T08!I14</f>
        <v>160</v>
      </c>
      <c r="J19" s="486">
        <f>[2]T08!J14</f>
        <v>94</v>
      </c>
      <c r="K19" s="486">
        <f>[2]T08!K14</f>
        <v>165</v>
      </c>
      <c r="L19" s="486">
        <f>[2]T08!L14</f>
        <v>210</v>
      </c>
      <c r="M19" s="486">
        <f>[2]T08!M14</f>
        <v>154</v>
      </c>
      <c r="N19" s="486">
        <f>[2]T08!N14</f>
        <v>130</v>
      </c>
      <c r="O19" s="486">
        <f>[2]T08!O14</f>
        <v>169</v>
      </c>
      <c r="P19" s="226">
        <f t="shared" si="1"/>
        <v>7397</v>
      </c>
      <c r="Q19" s="191"/>
      <c r="R19" s="191"/>
    </row>
    <row r="20" spans="1:23" customFormat="1" ht="13.5" customHeight="1" thickBot="1" x14ac:dyDescent="0.25">
      <c r="A20" s="491" t="str">
        <f>[2]T08!A15</f>
        <v>2019-20</v>
      </c>
      <c r="B20" s="492">
        <f>[2]T08!$P15</f>
        <v>4887</v>
      </c>
      <c r="C20" s="493">
        <f>[2]T08!C15</f>
        <v>390</v>
      </c>
      <c r="D20" s="493">
        <f>[2]T08!D15</f>
        <v>295</v>
      </c>
      <c r="E20" s="493">
        <f>[2]T08!E15</f>
        <v>54</v>
      </c>
      <c r="F20" s="493">
        <f>[2]T08!F15</f>
        <v>172</v>
      </c>
      <c r="G20" s="493">
        <f>[2]T08!G15</f>
        <v>30</v>
      </c>
      <c r="H20" s="493">
        <f>[2]T08!H15</f>
        <v>110</v>
      </c>
      <c r="I20" s="493">
        <f>[2]T08!I15</f>
        <v>92</v>
      </c>
      <c r="J20" s="493">
        <f>[2]T08!J15</f>
        <v>99</v>
      </c>
      <c r="K20" s="493">
        <f>[2]T08!K15</f>
        <v>141</v>
      </c>
      <c r="L20" s="493">
        <f>[2]T08!L15</f>
        <v>185</v>
      </c>
      <c r="M20" s="493">
        <f>[2]T08!M15</f>
        <v>157</v>
      </c>
      <c r="N20" s="493">
        <f>[2]T08!N15</f>
        <v>111</v>
      </c>
      <c r="O20" s="493">
        <f>[2]T08!O15</f>
        <v>142</v>
      </c>
      <c r="P20" s="494">
        <f t="shared" si="1"/>
        <v>6865</v>
      </c>
      <c r="Q20" s="191"/>
      <c r="R20" s="191"/>
    </row>
    <row r="21" spans="1:23" ht="15" x14ac:dyDescent="0.2">
      <c r="A21" s="274"/>
      <c r="B21" s="601"/>
      <c r="C21" s="601"/>
      <c r="D21" s="601"/>
      <c r="E21" s="601"/>
      <c r="F21" s="601"/>
      <c r="G21" s="601"/>
      <c r="H21" s="601"/>
      <c r="I21" s="601"/>
      <c r="J21" s="601"/>
      <c r="K21" s="601"/>
      <c r="L21" s="601"/>
      <c r="M21" s="601"/>
      <c r="N21" s="601"/>
      <c r="O21" s="601"/>
      <c r="P21" s="601"/>
      <c r="Q21" s="601"/>
      <c r="R21" s="191"/>
      <c r="S21"/>
      <c r="T21"/>
      <c r="U21"/>
      <c r="V21"/>
      <c r="W21"/>
    </row>
    <row r="22" spans="1:23" ht="13.5" customHeight="1" x14ac:dyDescent="0.2">
      <c r="A22" s="1273" t="str">
        <f>"One Year Change " &amp; A19 &amp; " to " &amp; A20</f>
        <v>One Year Change 2018-19 to 2019-20</v>
      </c>
      <c r="B22" s="1273"/>
      <c r="C22" s="1273"/>
      <c r="D22" s="615"/>
      <c r="E22" s="615"/>
      <c r="F22" s="615"/>
      <c r="G22" s="615"/>
      <c r="H22" s="616"/>
      <c r="I22" s="615"/>
      <c r="S22"/>
      <c r="T22"/>
      <c r="U22"/>
      <c r="V22"/>
      <c r="W22"/>
    </row>
    <row r="23" spans="1:23" x14ac:dyDescent="0.2">
      <c r="A23" s="617" t="s">
        <v>0</v>
      </c>
      <c r="B23" s="618">
        <f>B20-B19</f>
        <v>-257</v>
      </c>
      <c r="C23" s="618">
        <f t="shared" ref="C23:P23" si="2">C20-C19</f>
        <v>-33</v>
      </c>
      <c r="D23" s="618">
        <f t="shared" si="2"/>
        <v>-35</v>
      </c>
      <c r="E23" s="618">
        <f t="shared" si="2"/>
        <v>-25</v>
      </c>
      <c r="F23" s="618">
        <f t="shared" si="2"/>
        <v>-25</v>
      </c>
      <c r="G23" s="618">
        <f t="shared" si="2"/>
        <v>-8</v>
      </c>
      <c r="H23" s="618">
        <f t="shared" si="2"/>
        <v>6</v>
      </c>
      <c r="I23" s="618">
        <f t="shared" si="2"/>
        <v>-68</v>
      </c>
      <c r="J23" s="618">
        <f t="shared" si="2"/>
        <v>5</v>
      </c>
      <c r="K23" s="618">
        <f t="shared" si="2"/>
        <v>-24</v>
      </c>
      <c r="L23" s="618">
        <f t="shared" si="2"/>
        <v>-25</v>
      </c>
      <c r="M23" s="618">
        <f t="shared" si="2"/>
        <v>3</v>
      </c>
      <c r="N23" s="618">
        <f t="shared" si="2"/>
        <v>-19</v>
      </c>
      <c r="O23" s="618">
        <f t="shared" si="2"/>
        <v>-27</v>
      </c>
      <c r="P23" s="618">
        <f t="shared" si="2"/>
        <v>-532</v>
      </c>
      <c r="S23"/>
      <c r="T23"/>
      <c r="U23"/>
      <c r="V23"/>
      <c r="W23"/>
    </row>
    <row r="24" spans="1:23" ht="13.5" thickBot="1" x14ac:dyDescent="0.25">
      <c r="A24" s="619" t="s">
        <v>62</v>
      </c>
      <c r="B24" s="620">
        <f>B23/B19</f>
        <v>-4.9961119751166405E-2</v>
      </c>
      <c r="C24" s="620">
        <f t="shared" ref="C24:P24" si="3">C23/C19</f>
        <v>-7.8014184397163122E-2</v>
      </c>
      <c r="D24" s="620">
        <f t="shared" si="3"/>
        <v>-0.10606060606060606</v>
      </c>
      <c r="E24" s="620">
        <f t="shared" si="3"/>
        <v>-0.31645569620253167</v>
      </c>
      <c r="F24" s="620">
        <f t="shared" si="3"/>
        <v>-0.12690355329949238</v>
      </c>
      <c r="G24" s="620">
        <f t="shared" si="3"/>
        <v>-0.21052631578947367</v>
      </c>
      <c r="H24" s="620">
        <f t="shared" si="3"/>
        <v>5.7692307692307696E-2</v>
      </c>
      <c r="I24" s="620">
        <f t="shared" si="3"/>
        <v>-0.42499999999999999</v>
      </c>
      <c r="J24" s="620">
        <f t="shared" si="3"/>
        <v>5.3191489361702128E-2</v>
      </c>
      <c r="K24" s="620">
        <f t="shared" si="3"/>
        <v>-0.14545454545454545</v>
      </c>
      <c r="L24" s="620">
        <f t="shared" si="3"/>
        <v>-0.11904761904761904</v>
      </c>
      <c r="M24" s="620">
        <f t="shared" si="3"/>
        <v>1.948051948051948E-2</v>
      </c>
      <c r="N24" s="620">
        <f t="shared" si="3"/>
        <v>-0.14615384615384616</v>
      </c>
      <c r="O24" s="620">
        <f t="shared" si="3"/>
        <v>-0.15976331360946747</v>
      </c>
      <c r="P24" s="620">
        <f t="shared" si="3"/>
        <v>-7.1921049073948903E-2</v>
      </c>
      <c r="S24"/>
      <c r="T24"/>
      <c r="U24"/>
      <c r="V24"/>
      <c r="W24"/>
    </row>
    <row r="25" spans="1:23" ht="15.75" customHeight="1" x14ac:dyDescent="0.2">
      <c r="A25" s="621"/>
      <c r="B25" s="622"/>
      <c r="C25" s="622"/>
      <c r="D25" s="622"/>
      <c r="E25" s="622"/>
      <c r="F25" s="622"/>
      <c r="G25" s="622"/>
      <c r="H25" s="622"/>
      <c r="I25" s="622"/>
      <c r="S25"/>
      <c r="T25"/>
      <c r="U25"/>
      <c r="V25"/>
      <c r="W25"/>
    </row>
    <row r="26" spans="1:23" ht="15" customHeight="1" x14ac:dyDescent="0.2">
      <c r="A26" s="5" t="s">
        <v>146</v>
      </c>
      <c r="S26"/>
      <c r="T26"/>
      <c r="U26"/>
      <c r="V26"/>
      <c r="W26"/>
    </row>
    <row r="27" spans="1:23" ht="18.75" customHeight="1" x14ac:dyDescent="0.25">
      <c r="A27" s="1000" t="s">
        <v>1225</v>
      </c>
      <c r="D27" s="297"/>
      <c r="Q27"/>
      <c r="S27"/>
      <c r="T27"/>
      <c r="U27"/>
      <c r="V27"/>
      <c r="W27"/>
    </row>
    <row r="28" spans="1:23" ht="13.5" customHeight="1" x14ac:dyDescent="0.2">
      <c r="Q28"/>
    </row>
    <row r="29" spans="1:23" ht="13.5" customHeight="1" x14ac:dyDescent="0.2">
      <c r="Q29"/>
    </row>
    <row r="30" spans="1:23" ht="13.5" customHeight="1" x14ac:dyDescent="0.2">
      <c r="Q30"/>
    </row>
    <row r="31" spans="1:23" ht="13.5" customHeight="1" x14ac:dyDescent="0.2">
      <c r="Q31"/>
    </row>
    <row r="32" spans="1:23" ht="13.5" customHeight="1" x14ac:dyDescent="0.2">
      <c r="Q32"/>
    </row>
    <row r="33" spans="17:17" ht="13.5" customHeight="1" x14ac:dyDescent="0.2">
      <c r="Q33"/>
    </row>
    <row r="34" spans="17:17" ht="13.5" customHeight="1" x14ac:dyDescent="0.2">
      <c r="Q34"/>
    </row>
    <row r="35" spans="17:17" ht="13.5" customHeight="1" x14ac:dyDescent="0.2">
      <c r="Q35"/>
    </row>
    <row r="36" spans="17:17" ht="13.5" customHeight="1" x14ac:dyDescent="0.2">
      <c r="Q36"/>
    </row>
    <row r="37" spans="17:17" ht="13.5" customHeight="1" x14ac:dyDescent="0.2">
      <c r="Q37"/>
    </row>
    <row r="38" spans="17:17" ht="13.5" customHeight="1" x14ac:dyDescent="0.2">
      <c r="Q38"/>
    </row>
    <row r="39" spans="17:17" ht="13.5" customHeight="1" x14ac:dyDescent="0.2">
      <c r="Q39"/>
    </row>
    <row r="40" spans="17:17" ht="13.5" customHeight="1" x14ac:dyDescent="0.2">
      <c r="Q40"/>
    </row>
    <row r="41" spans="17:17" ht="13.5" customHeight="1" x14ac:dyDescent="0.2">
      <c r="Q41"/>
    </row>
    <row r="42" spans="17:17" ht="13.5" customHeight="1" x14ac:dyDescent="0.2">
      <c r="Q42"/>
    </row>
    <row r="43" spans="17:17" ht="13.5" customHeight="1" x14ac:dyDescent="0.2">
      <c r="Q43"/>
    </row>
    <row r="44" spans="17:17" ht="13.5" customHeight="1" x14ac:dyDescent="0.2">
      <c r="Q44"/>
    </row>
    <row r="45" spans="17:17" ht="13.5" customHeight="1" x14ac:dyDescent="0.2">
      <c r="Q45"/>
    </row>
    <row r="46" spans="17:17" ht="13.5" customHeight="1" x14ac:dyDescent="0.2">
      <c r="Q46"/>
    </row>
    <row r="47" spans="17:17" ht="13.5" customHeight="1" x14ac:dyDescent="0.2">
      <c r="Q47"/>
    </row>
    <row r="48" spans="17:17" ht="13.5" customHeight="1" x14ac:dyDescent="0.2">
      <c r="Q48"/>
    </row>
    <row r="49" spans="17:17" ht="13.5" customHeight="1" x14ac:dyDescent="0.2">
      <c r="Q49"/>
    </row>
    <row r="50" spans="17:17" ht="13.5" customHeight="1" x14ac:dyDescent="0.2">
      <c r="Q50"/>
    </row>
    <row r="51" spans="17:17" ht="13.5" customHeight="1" x14ac:dyDescent="0.2">
      <c r="Q51"/>
    </row>
    <row r="52" spans="17:17" ht="13.5" customHeight="1" x14ac:dyDescent="0.2">
      <c r="Q52"/>
    </row>
    <row r="53" spans="17:17" ht="13.5" customHeight="1" x14ac:dyDescent="0.2">
      <c r="Q53"/>
    </row>
    <row r="54" spans="17:17" ht="13.5" customHeight="1" x14ac:dyDescent="0.2">
      <c r="Q54"/>
    </row>
    <row r="55" spans="17:17" ht="13.5" customHeight="1" x14ac:dyDescent="0.2">
      <c r="Q55"/>
    </row>
    <row r="56" spans="17:17" ht="13.5" customHeight="1" x14ac:dyDescent="0.2">
      <c r="Q56"/>
    </row>
    <row r="57" spans="17:17" ht="13.5" customHeight="1" x14ac:dyDescent="0.2">
      <c r="Q57"/>
    </row>
    <row r="58" spans="17:17" ht="13.5" customHeight="1" x14ac:dyDescent="0.2">
      <c r="Q58"/>
    </row>
    <row r="59" spans="17:17" ht="14.25" customHeight="1" x14ac:dyDescent="0.2">
      <c r="Q59"/>
    </row>
    <row r="60" spans="17:17" ht="30" customHeight="1" x14ac:dyDescent="0.2"/>
    <row r="68" spans="1:16" x14ac:dyDescent="0.2">
      <c r="A68"/>
      <c r="B68"/>
      <c r="C68"/>
      <c r="D68"/>
      <c r="E68"/>
      <c r="F68"/>
      <c r="G68"/>
      <c r="H68"/>
      <c r="I68"/>
      <c r="J68"/>
      <c r="K68"/>
      <c r="L68"/>
      <c r="M68"/>
      <c r="N68"/>
      <c r="O68"/>
      <c r="P68"/>
    </row>
    <row r="69" spans="1:16" x14ac:dyDescent="0.2">
      <c r="A69"/>
      <c r="B69"/>
      <c r="C69"/>
      <c r="D69"/>
      <c r="E69"/>
      <c r="F69"/>
      <c r="G69"/>
      <c r="H69"/>
      <c r="I69"/>
      <c r="J69"/>
      <c r="K69"/>
      <c r="L69"/>
      <c r="M69"/>
      <c r="N69"/>
      <c r="O69"/>
      <c r="P69"/>
    </row>
    <row r="70" spans="1:16" x14ac:dyDescent="0.2">
      <c r="A70"/>
      <c r="B70"/>
      <c r="C70"/>
      <c r="D70"/>
      <c r="E70"/>
      <c r="F70"/>
      <c r="G70"/>
      <c r="H70"/>
      <c r="I70"/>
      <c r="J70"/>
      <c r="K70"/>
      <c r="L70"/>
      <c r="M70"/>
      <c r="N70"/>
      <c r="O70"/>
      <c r="P70"/>
    </row>
    <row r="71" spans="1:16" x14ac:dyDescent="0.2">
      <c r="A71"/>
      <c r="B71"/>
      <c r="C71"/>
      <c r="D71"/>
      <c r="E71"/>
      <c r="F71"/>
      <c r="G71"/>
      <c r="H71"/>
      <c r="I71"/>
      <c r="J71"/>
      <c r="K71"/>
      <c r="L71"/>
      <c r="M71"/>
      <c r="N71"/>
      <c r="O71"/>
      <c r="P71"/>
    </row>
    <row r="72" spans="1:16" x14ac:dyDescent="0.2">
      <c r="A72"/>
      <c r="B72"/>
      <c r="C72"/>
      <c r="D72"/>
      <c r="E72"/>
      <c r="F72"/>
      <c r="G72"/>
      <c r="H72"/>
      <c r="I72"/>
      <c r="J72"/>
      <c r="K72"/>
      <c r="L72"/>
      <c r="M72"/>
      <c r="N72"/>
      <c r="O72"/>
      <c r="P72"/>
    </row>
    <row r="73" spans="1:16" x14ac:dyDescent="0.2">
      <c r="A73"/>
      <c r="B73"/>
      <c r="C73"/>
      <c r="D73"/>
      <c r="E73"/>
      <c r="F73"/>
      <c r="G73"/>
      <c r="H73"/>
      <c r="I73"/>
      <c r="J73"/>
      <c r="K73"/>
      <c r="L73"/>
      <c r="M73"/>
      <c r="N73"/>
      <c r="O73"/>
      <c r="P73"/>
    </row>
    <row r="74" spans="1:16" x14ac:dyDescent="0.2">
      <c r="A74"/>
      <c r="B74"/>
      <c r="C74"/>
      <c r="D74"/>
      <c r="E74"/>
      <c r="F74"/>
      <c r="G74"/>
      <c r="H74"/>
      <c r="I74"/>
      <c r="J74"/>
      <c r="K74"/>
      <c r="L74"/>
      <c r="M74"/>
      <c r="N74"/>
      <c r="O74"/>
      <c r="P74"/>
    </row>
    <row r="75" spans="1:16" x14ac:dyDescent="0.2">
      <c r="A75"/>
      <c r="B75"/>
      <c r="C75"/>
      <c r="D75"/>
      <c r="E75"/>
      <c r="F75"/>
      <c r="G75"/>
      <c r="H75"/>
      <c r="I75"/>
      <c r="J75"/>
      <c r="K75"/>
      <c r="L75"/>
      <c r="M75"/>
      <c r="N75"/>
      <c r="O75"/>
      <c r="P75"/>
    </row>
    <row r="76" spans="1:16" x14ac:dyDescent="0.2">
      <c r="A76"/>
      <c r="B76"/>
      <c r="C76"/>
      <c r="D76"/>
      <c r="E76"/>
      <c r="F76"/>
      <c r="G76"/>
      <c r="H76"/>
      <c r="I76"/>
      <c r="J76"/>
      <c r="K76"/>
      <c r="L76"/>
      <c r="M76"/>
      <c r="N76"/>
      <c r="O76"/>
      <c r="P76"/>
    </row>
    <row r="77" spans="1:16" x14ac:dyDescent="0.2">
      <c r="A77"/>
      <c r="B77"/>
      <c r="C77"/>
      <c r="D77"/>
      <c r="E77"/>
      <c r="F77"/>
      <c r="G77"/>
      <c r="H77"/>
      <c r="I77"/>
      <c r="J77"/>
      <c r="K77"/>
      <c r="L77"/>
      <c r="M77"/>
      <c r="N77"/>
      <c r="O77"/>
      <c r="P77"/>
    </row>
    <row r="78" spans="1:16" x14ac:dyDescent="0.2">
      <c r="A78"/>
      <c r="B78"/>
      <c r="C78"/>
      <c r="D78"/>
      <c r="E78"/>
      <c r="F78"/>
      <c r="G78"/>
      <c r="H78"/>
      <c r="I78"/>
      <c r="J78"/>
      <c r="K78"/>
      <c r="L78"/>
      <c r="M78"/>
      <c r="N78"/>
      <c r="O78"/>
      <c r="P78"/>
    </row>
    <row r="79" spans="1:16" x14ac:dyDescent="0.2">
      <c r="A79"/>
      <c r="B79"/>
      <c r="C79"/>
      <c r="D79"/>
      <c r="E79"/>
      <c r="F79"/>
      <c r="G79"/>
      <c r="H79"/>
      <c r="I79"/>
      <c r="J79"/>
      <c r="K79"/>
      <c r="L79"/>
      <c r="M79"/>
      <c r="N79"/>
      <c r="O79"/>
      <c r="P79"/>
    </row>
    <row r="80" spans="1:16" x14ac:dyDescent="0.2">
      <c r="A80"/>
      <c r="B80"/>
      <c r="C80"/>
      <c r="D80"/>
      <c r="E80"/>
      <c r="F80"/>
      <c r="G80"/>
      <c r="H80"/>
      <c r="I80"/>
      <c r="J80"/>
      <c r="K80"/>
      <c r="L80"/>
      <c r="M80"/>
      <c r="N80"/>
      <c r="O80"/>
      <c r="P80"/>
    </row>
    <row r="81" spans="1:16" x14ac:dyDescent="0.2">
      <c r="A81"/>
      <c r="B81"/>
      <c r="C81"/>
      <c r="D81"/>
      <c r="E81"/>
      <c r="F81"/>
      <c r="G81"/>
      <c r="H81"/>
      <c r="I81"/>
      <c r="J81"/>
      <c r="K81"/>
      <c r="L81"/>
      <c r="M81"/>
      <c r="N81"/>
      <c r="O81"/>
      <c r="P81"/>
    </row>
    <row r="82" spans="1:16" x14ac:dyDescent="0.2">
      <c r="A82"/>
      <c r="B82"/>
      <c r="C82"/>
      <c r="D82"/>
      <c r="E82"/>
      <c r="F82"/>
      <c r="G82"/>
      <c r="H82"/>
      <c r="I82"/>
      <c r="J82"/>
      <c r="K82"/>
      <c r="L82"/>
      <c r="M82"/>
      <c r="N82"/>
      <c r="O82"/>
      <c r="P82"/>
    </row>
    <row r="83" spans="1:16" x14ac:dyDescent="0.2">
      <c r="A83"/>
      <c r="B83"/>
      <c r="C83"/>
      <c r="D83"/>
      <c r="E83"/>
      <c r="F83"/>
      <c r="G83"/>
      <c r="H83"/>
      <c r="I83"/>
      <c r="J83"/>
      <c r="K83"/>
      <c r="L83"/>
      <c r="M83"/>
      <c r="N83"/>
      <c r="O83"/>
      <c r="P83"/>
    </row>
    <row r="84" spans="1:16" x14ac:dyDescent="0.2">
      <c r="A84"/>
      <c r="B84"/>
      <c r="C84"/>
      <c r="D84"/>
      <c r="E84"/>
      <c r="F84"/>
      <c r="G84"/>
      <c r="H84"/>
      <c r="I84"/>
      <c r="J84"/>
      <c r="K84"/>
      <c r="L84"/>
      <c r="M84"/>
      <c r="N84"/>
      <c r="O84"/>
      <c r="P84"/>
    </row>
    <row r="85" spans="1:16" x14ac:dyDescent="0.2">
      <c r="A85"/>
      <c r="B85"/>
      <c r="C85"/>
      <c r="D85"/>
      <c r="E85"/>
      <c r="F85"/>
      <c r="G85"/>
      <c r="H85"/>
      <c r="I85"/>
      <c r="J85"/>
      <c r="K85"/>
      <c r="L85"/>
      <c r="M85"/>
      <c r="N85"/>
      <c r="O85"/>
      <c r="P85"/>
    </row>
    <row r="86" spans="1:16" x14ac:dyDescent="0.2">
      <c r="A86"/>
      <c r="B86"/>
      <c r="C86"/>
      <c r="D86"/>
      <c r="E86"/>
      <c r="F86"/>
      <c r="G86"/>
      <c r="H86"/>
      <c r="I86"/>
      <c r="J86"/>
      <c r="K86"/>
      <c r="L86"/>
      <c r="M86"/>
      <c r="N86"/>
      <c r="O86"/>
      <c r="P86"/>
    </row>
    <row r="87" spans="1:16" x14ac:dyDescent="0.2">
      <c r="A87"/>
      <c r="B87"/>
      <c r="C87"/>
      <c r="D87"/>
      <c r="E87"/>
      <c r="F87"/>
      <c r="G87"/>
      <c r="H87"/>
      <c r="I87"/>
      <c r="J87"/>
      <c r="K87"/>
      <c r="L87"/>
      <c r="M87"/>
      <c r="N87"/>
      <c r="O87"/>
      <c r="P87"/>
    </row>
    <row r="88" spans="1:16" x14ac:dyDescent="0.2">
      <c r="A88"/>
      <c r="B88"/>
      <c r="C88"/>
      <c r="D88"/>
      <c r="E88"/>
      <c r="F88"/>
      <c r="G88"/>
      <c r="H88"/>
      <c r="I88"/>
      <c r="J88"/>
      <c r="K88"/>
      <c r="L88"/>
      <c r="M88"/>
      <c r="N88"/>
      <c r="O88"/>
      <c r="P88"/>
    </row>
    <row r="89" spans="1:16" x14ac:dyDescent="0.2">
      <c r="A89"/>
      <c r="B89"/>
      <c r="C89"/>
      <c r="D89"/>
      <c r="E89"/>
      <c r="F89"/>
      <c r="G89"/>
      <c r="H89"/>
      <c r="I89"/>
      <c r="J89"/>
      <c r="K89"/>
      <c r="L89"/>
      <c r="M89"/>
      <c r="N89"/>
      <c r="O89"/>
      <c r="P89"/>
    </row>
    <row r="90" spans="1:16" x14ac:dyDescent="0.2">
      <c r="A90"/>
      <c r="B90"/>
      <c r="C90"/>
      <c r="D90"/>
      <c r="E90"/>
      <c r="F90"/>
      <c r="G90"/>
      <c r="H90"/>
      <c r="I90"/>
      <c r="J90"/>
      <c r="K90"/>
      <c r="L90"/>
      <c r="M90"/>
      <c r="N90"/>
      <c r="O90"/>
      <c r="P90"/>
    </row>
    <row r="91" spans="1:16" x14ac:dyDescent="0.2">
      <c r="A91"/>
      <c r="B91"/>
      <c r="C91"/>
      <c r="D91"/>
      <c r="E91"/>
      <c r="F91"/>
      <c r="G91"/>
      <c r="H91"/>
      <c r="I91"/>
      <c r="J91"/>
      <c r="K91"/>
      <c r="L91"/>
      <c r="M91"/>
      <c r="N91"/>
      <c r="O91"/>
      <c r="P91"/>
    </row>
    <row r="92" spans="1:16" x14ac:dyDescent="0.2">
      <c r="A92"/>
      <c r="B92"/>
      <c r="C92"/>
      <c r="D92"/>
      <c r="E92"/>
      <c r="F92"/>
      <c r="G92"/>
      <c r="H92"/>
      <c r="I92"/>
      <c r="J92"/>
      <c r="K92"/>
      <c r="L92"/>
      <c r="M92"/>
      <c r="N92"/>
      <c r="O92"/>
      <c r="P92"/>
    </row>
    <row r="93" spans="1:16" x14ac:dyDescent="0.2">
      <c r="A93"/>
      <c r="B93"/>
      <c r="C93"/>
      <c r="D93"/>
      <c r="E93"/>
      <c r="F93"/>
      <c r="G93"/>
      <c r="H93"/>
      <c r="I93"/>
      <c r="J93"/>
      <c r="K93"/>
      <c r="L93"/>
      <c r="M93"/>
      <c r="N93"/>
      <c r="O93"/>
      <c r="P93"/>
    </row>
    <row r="94" spans="1:16" x14ac:dyDescent="0.2">
      <c r="A94"/>
      <c r="B94"/>
      <c r="C94"/>
      <c r="D94"/>
      <c r="E94"/>
      <c r="F94"/>
      <c r="G94"/>
      <c r="H94"/>
      <c r="I94"/>
      <c r="J94"/>
      <c r="K94"/>
      <c r="L94"/>
      <c r="M94"/>
      <c r="N94"/>
      <c r="O94"/>
      <c r="P94"/>
    </row>
    <row r="95" spans="1:16" x14ac:dyDescent="0.2">
      <c r="A95"/>
      <c r="B95"/>
      <c r="C95"/>
      <c r="D95"/>
      <c r="E95"/>
      <c r="F95"/>
      <c r="G95"/>
      <c r="H95"/>
      <c r="I95"/>
      <c r="J95"/>
      <c r="K95"/>
      <c r="L95"/>
      <c r="M95"/>
      <c r="N95"/>
      <c r="O95"/>
      <c r="P95"/>
    </row>
    <row r="96" spans="1:16" x14ac:dyDescent="0.2">
      <c r="A96"/>
      <c r="B96"/>
      <c r="C96"/>
      <c r="D96"/>
      <c r="E96"/>
      <c r="F96"/>
      <c r="G96"/>
      <c r="H96"/>
      <c r="I96"/>
      <c r="J96"/>
      <c r="K96"/>
      <c r="L96"/>
      <c r="M96"/>
      <c r="N96"/>
      <c r="O96"/>
      <c r="P96"/>
    </row>
    <row r="97" spans="1:16" x14ac:dyDescent="0.2">
      <c r="A97"/>
      <c r="B97"/>
      <c r="C97"/>
      <c r="D97"/>
      <c r="E97"/>
      <c r="F97"/>
      <c r="G97"/>
      <c r="H97"/>
      <c r="I97"/>
      <c r="J97"/>
      <c r="K97"/>
      <c r="L97"/>
      <c r="M97"/>
      <c r="N97"/>
      <c r="O97"/>
      <c r="P97"/>
    </row>
  </sheetData>
  <mergeCells count="5">
    <mergeCell ref="C8:O8"/>
    <mergeCell ref="P8:P9"/>
    <mergeCell ref="A8:A9"/>
    <mergeCell ref="B8:B9"/>
    <mergeCell ref="A22:C22"/>
  </mergeCells>
  <hyperlinks>
    <hyperlink ref="A2" location="'Table of Contents'!A1" display="Back to Table of Contents" xr:uid="{00000000-0004-0000-1000-000000000000}"/>
  </hyperlinks>
  <pageMargins left="0.70866141732283472" right="0.70866141732283472" top="0.74803149606299213" bottom="0.74803149606299213" header="0.31496062992125984" footer="0.31496062992125984"/>
  <pageSetup paperSize="9" scale="68" fitToHeight="0" orientation="landscape" r:id="rId1"/>
  <headerFooter>
    <oddFooter>&amp;L&amp;P&amp;C&amp;A</oddFooter>
  </headerFooter>
  <rowBreaks count="1" manualBreakCount="1">
    <brk id="22" max="16"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4:H16"/>
  <sheetViews>
    <sheetView workbookViewId="0">
      <selection activeCell="F59" sqref="F59"/>
    </sheetView>
  </sheetViews>
  <sheetFormatPr defaultColWidth="8.7109375" defaultRowHeight="12.75" x14ac:dyDescent="0.2"/>
  <cols>
    <col min="2" max="2" width="36.7109375" bestFit="1" customWidth="1"/>
    <col min="3" max="3" width="34.7109375" bestFit="1" customWidth="1"/>
    <col min="4" max="4" width="19.42578125" bestFit="1" customWidth="1"/>
    <col min="5" max="5" width="17.42578125" bestFit="1" customWidth="1"/>
    <col min="6" max="6" width="40.140625" bestFit="1" customWidth="1"/>
    <col min="7" max="7" width="35.85546875" bestFit="1" customWidth="1"/>
    <col min="8" max="8" width="37.140625" bestFit="1" customWidth="1"/>
  </cols>
  <sheetData>
    <row r="4" spans="1:8" x14ac:dyDescent="0.2">
      <c r="A4" t="s">
        <v>4</v>
      </c>
      <c r="B4" t="s">
        <v>1595</v>
      </c>
      <c r="C4" t="s">
        <v>1594</v>
      </c>
      <c r="D4" t="s">
        <v>1593</v>
      </c>
      <c r="E4" t="s">
        <v>1592</v>
      </c>
      <c r="F4" t="s">
        <v>1591</v>
      </c>
      <c r="G4" t="s">
        <v>1590</v>
      </c>
      <c r="H4" t="s">
        <v>1589</v>
      </c>
    </row>
    <row r="5" spans="1:8" x14ac:dyDescent="0.2">
      <c r="A5" t="s">
        <v>19</v>
      </c>
      <c r="B5">
        <v>94</v>
      </c>
      <c r="C5">
        <v>120</v>
      </c>
      <c r="D5">
        <v>31</v>
      </c>
      <c r="E5">
        <v>14</v>
      </c>
      <c r="F5">
        <v>499</v>
      </c>
      <c r="G5">
        <v>738</v>
      </c>
      <c r="H5">
        <v>1744</v>
      </c>
    </row>
    <row r="6" spans="1:8" x14ac:dyDescent="0.2">
      <c r="A6" t="s">
        <v>20</v>
      </c>
      <c r="B6">
        <v>107</v>
      </c>
      <c r="C6">
        <v>130</v>
      </c>
      <c r="D6">
        <v>36</v>
      </c>
      <c r="E6">
        <v>10</v>
      </c>
      <c r="F6">
        <v>433</v>
      </c>
      <c r="G6">
        <v>703</v>
      </c>
      <c r="H6">
        <v>1616</v>
      </c>
    </row>
    <row r="7" spans="1:8" x14ac:dyDescent="0.2">
      <c r="A7" t="s">
        <v>13</v>
      </c>
      <c r="B7">
        <v>105</v>
      </c>
      <c r="C7">
        <v>86</v>
      </c>
      <c r="D7">
        <v>22</v>
      </c>
      <c r="E7">
        <v>12</v>
      </c>
      <c r="F7">
        <v>475</v>
      </c>
      <c r="G7">
        <v>662</v>
      </c>
      <c r="H7">
        <v>1551</v>
      </c>
    </row>
    <row r="8" spans="1:8" x14ac:dyDescent="0.2">
      <c r="A8" t="s">
        <v>15</v>
      </c>
      <c r="B8">
        <v>118</v>
      </c>
      <c r="C8">
        <v>124</v>
      </c>
      <c r="D8">
        <v>22</v>
      </c>
      <c r="E8">
        <v>13</v>
      </c>
      <c r="F8">
        <v>376</v>
      </c>
      <c r="G8">
        <v>622</v>
      </c>
      <c r="H8">
        <v>1262</v>
      </c>
    </row>
    <row r="9" spans="1:8" x14ac:dyDescent="0.2">
      <c r="A9" t="s">
        <v>17</v>
      </c>
      <c r="B9">
        <v>119</v>
      </c>
      <c r="C9">
        <v>102</v>
      </c>
      <c r="D9">
        <v>31</v>
      </c>
      <c r="E9">
        <v>13</v>
      </c>
      <c r="F9">
        <v>345</v>
      </c>
      <c r="G9">
        <v>557</v>
      </c>
      <c r="H9">
        <v>1061</v>
      </c>
    </row>
    <row r="10" spans="1:8" x14ac:dyDescent="0.2">
      <c r="A10" t="s">
        <v>133</v>
      </c>
      <c r="B10">
        <v>101</v>
      </c>
      <c r="C10">
        <v>103</v>
      </c>
      <c r="D10">
        <v>18</v>
      </c>
      <c r="E10">
        <v>14</v>
      </c>
      <c r="F10">
        <v>275</v>
      </c>
      <c r="G10">
        <v>591</v>
      </c>
      <c r="H10">
        <v>1164</v>
      </c>
    </row>
    <row r="11" spans="1:8" x14ac:dyDescent="0.2">
      <c r="A11" t="s">
        <v>144</v>
      </c>
      <c r="B11">
        <v>111</v>
      </c>
      <c r="C11">
        <v>93</v>
      </c>
      <c r="D11">
        <v>14</v>
      </c>
      <c r="E11">
        <v>15</v>
      </c>
      <c r="F11">
        <v>314</v>
      </c>
      <c r="G11">
        <v>518</v>
      </c>
      <c r="H11">
        <v>1201</v>
      </c>
    </row>
    <row r="12" spans="1:8" x14ac:dyDescent="0.2">
      <c r="A12" t="s">
        <v>282</v>
      </c>
      <c r="B12">
        <v>97</v>
      </c>
      <c r="C12">
        <v>104</v>
      </c>
      <c r="D12">
        <v>21</v>
      </c>
      <c r="E12">
        <v>12</v>
      </c>
      <c r="F12">
        <v>238</v>
      </c>
      <c r="G12">
        <v>555</v>
      </c>
      <c r="H12">
        <v>1152</v>
      </c>
    </row>
    <row r="13" spans="1:8" x14ac:dyDescent="0.2">
      <c r="A13" t="s">
        <v>311</v>
      </c>
      <c r="B13">
        <v>92</v>
      </c>
      <c r="C13">
        <v>90</v>
      </c>
      <c r="D13">
        <v>26</v>
      </c>
      <c r="E13">
        <v>12</v>
      </c>
      <c r="F13">
        <v>273</v>
      </c>
      <c r="G13">
        <v>469</v>
      </c>
      <c r="H13">
        <v>1175</v>
      </c>
    </row>
    <row r="14" spans="1:8" x14ac:dyDescent="0.2">
      <c r="A14" t="s">
        <v>621</v>
      </c>
      <c r="B14">
        <v>118</v>
      </c>
      <c r="C14">
        <v>73</v>
      </c>
      <c r="D14">
        <v>19</v>
      </c>
      <c r="E14">
        <v>7</v>
      </c>
      <c r="F14">
        <v>271</v>
      </c>
      <c r="G14">
        <v>402</v>
      </c>
      <c r="H14">
        <v>1092</v>
      </c>
    </row>
    <row r="15" spans="1:8" x14ac:dyDescent="0.2">
      <c r="A15" t="s">
        <v>1419</v>
      </c>
      <c r="B15">
        <v>111</v>
      </c>
      <c r="C15">
        <v>97</v>
      </c>
      <c r="D15">
        <v>14</v>
      </c>
      <c r="E15">
        <v>19</v>
      </c>
      <c r="F15">
        <v>261</v>
      </c>
      <c r="G15">
        <v>390</v>
      </c>
      <c r="H15">
        <v>988</v>
      </c>
    </row>
    <row r="16" spans="1:8" x14ac:dyDescent="0.2">
      <c r="A16" t="s">
        <v>1572</v>
      </c>
      <c r="B16">
        <v>106</v>
      </c>
      <c r="C16">
        <v>73</v>
      </c>
      <c r="D16">
        <v>12</v>
      </c>
      <c r="E16">
        <v>6</v>
      </c>
      <c r="F16">
        <v>233</v>
      </c>
      <c r="G16">
        <v>338</v>
      </c>
      <c r="H16">
        <v>951</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4:H16"/>
  <sheetViews>
    <sheetView workbookViewId="0">
      <selection activeCell="F59" sqref="F59"/>
    </sheetView>
  </sheetViews>
  <sheetFormatPr defaultColWidth="8.7109375" defaultRowHeight="12.75" x14ac:dyDescent="0.2"/>
  <sheetData>
    <row r="4" spans="1:8" x14ac:dyDescent="0.2">
      <c r="A4" t="s">
        <v>4</v>
      </c>
      <c r="B4" t="s">
        <v>1595</v>
      </c>
      <c r="C4" t="s">
        <v>1594</v>
      </c>
      <c r="D4" t="s">
        <v>1593</v>
      </c>
      <c r="E4" t="s">
        <v>1592</v>
      </c>
      <c r="F4" t="s">
        <v>1591</v>
      </c>
      <c r="G4" t="s">
        <v>1590</v>
      </c>
      <c r="H4" t="s">
        <v>1589</v>
      </c>
    </row>
    <row r="5" spans="1:8" x14ac:dyDescent="0.2">
      <c r="A5" t="s">
        <v>19</v>
      </c>
      <c r="B5">
        <v>0</v>
      </c>
      <c r="C5">
        <v>2</v>
      </c>
      <c r="D5">
        <v>0</v>
      </c>
      <c r="E5">
        <v>0</v>
      </c>
      <c r="F5">
        <v>4</v>
      </c>
      <c r="G5">
        <v>6</v>
      </c>
      <c r="H5">
        <v>16</v>
      </c>
    </row>
    <row r="6" spans="1:8" x14ac:dyDescent="0.2">
      <c r="A6" t="s">
        <v>20</v>
      </c>
      <c r="B6">
        <v>0</v>
      </c>
      <c r="C6">
        <v>0</v>
      </c>
      <c r="D6">
        <v>0</v>
      </c>
      <c r="E6">
        <v>1</v>
      </c>
      <c r="F6">
        <v>5</v>
      </c>
      <c r="G6">
        <v>7</v>
      </c>
      <c r="H6">
        <v>9</v>
      </c>
    </row>
    <row r="7" spans="1:8" x14ac:dyDescent="0.2">
      <c r="A7" t="s">
        <v>13</v>
      </c>
      <c r="B7">
        <v>0</v>
      </c>
      <c r="C7">
        <v>1</v>
      </c>
      <c r="D7">
        <v>0</v>
      </c>
      <c r="E7">
        <v>0</v>
      </c>
      <c r="F7">
        <v>0</v>
      </c>
      <c r="G7">
        <v>4</v>
      </c>
      <c r="H7">
        <v>20</v>
      </c>
    </row>
    <row r="8" spans="1:8" x14ac:dyDescent="0.2">
      <c r="A8" t="s">
        <v>15</v>
      </c>
      <c r="B8">
        <v>0</v>
      </c>
      <c r="C8">
        <v>2</v>
      </c>
      <c r="D8">
        <v>0</v>
      </c>
      <c r="E8">
        <v>0</v>
      </c>
      <c r="F8">
        <v>2</v>
      </c>
      <c r="G8">
        <v>4</v>
      </c>
      <c r="H8">
        <v>6</v>
      </c>
    </row>
    <row r="9" spans="1:8" x14ac:dyDescent="0.2">
      <c r="A9" t="s">
        <v>17</v>
      </c>
      <c r="B9">
        <v>0</v>
      </c>
      <c r="C9">
        <v>0</v>
      </c>
      <c r="D9">
        <v>0</v>
      </c>
      <c r="E9">
        <v>0</v>
      </c>
      <c r="F9">
        <v>4</v>
      </c>
      <c r="G9">
        <v>2</v>
      </c>
      <c r="H9">
        <v>5</v>
      </c>
    </row>
    <row r="10" spans="1:8" x14ac:dyDescent="0.2">
      <c r="A10" t="s">
        <v>133</v>
      </c>
      <c r="B10">
        <v>2</v>
      </c>
      <c r="C10">
        <v>0</v>
      </c>
      <c r="D10">
        <v>0</v>
      </c>
      <c r="E10">
        <v>0</v>
      </c>
      <c r="F10">
        <v>0</v>
      </c>
      <c r="G10">
        <v>2</v>
      </c>
      <c r="H10">
        <v>7</v>
      </c>
    </row>
    <row r="11" spans="1:8" x14ac:dyDescent="0.2">
      <c r="A11" t="s">
        <v>144</v>
      </c>
      <c r="B11">
        <v>0</v>
      </c>
      <c r="C11">
        <v>0</v>
      </c>
      <c r="D11">
        <v>0</v>
      </c>
      <c r="E11">
        <v>0</v>
      </c>
      <c r="F11">
        <v>0</v>
      </c>
      <c r="G11">
        <v>4</v>
      </c>
      <c r="H11">
        <v>8</v>
      </c>
    </row>
    <row r="12" spans="1:8" x14ac:dyDescent="0.2">
      <c r="A12" t="s">
        <v>282</v>
      </c>
      <c r="B12">
        <v>1</v>
      </c>
      <c r="C12">
        <v>0</v>
      </c>
      <c r="D12">
        <v>0</v>
      </c>
      <c r="E12">
        <v>0</v>
      </c>
      <c r="F12">
        <v>0</v>
      </c>
      <c r="G12">
        <v>1</v>
      </c>
      <c r="H12">
        <v>9</v>
      </c>
    </row>
    <row r="13" spans="1:8" x14ac:dyDescent="0.2">
      <c r="A13" t="s">
        <v>311</v>
      </c>
      <c r="B13">
        <v>0</v>
      </c>
      <c r="C13">
        <v>1</v>
      </c>
      <c r="D13">
        <v>0</v>
      </c>
      <c r="E13">
        <v>0</v>
      </c>
      <c r="F13">
        <v>4</v>
      </c>
      <c r="G13">
        <v>1</v>
      </c>
      <c r="H13">
        <v>5</v>
      </c>
    </row>
    <row r="14" spans="1:8" x14ac:dyDescent="0.2">
      <c r="A14" t="s">
        <v>621</v>
      </c>
      <c r="B14">
        <v>1</v>
      </c>
      <c r="C14">
        <v>0</v>
      </c>
      <c r="D14">
        <v>0</v>
      </c>
      <c r="E14">
        <v>0</v>
      </c>
      <c r="F14">
        <v>1</v>
      </c>
      <c r="G14">
        <v>2</v>
      </c>
      <c r="H14">
        <v>7</v>
      </c>
    </row>
    <row r="15" spans="1:8" x14ac:dyDescent="0.2">
      <c r="A15" t="s">
        <v>1419</v>
      </c>
      <c r="B15">
        <v>0</v>
      </c>
      <c r="C15">
        <v>0</v>
      </c>
      <c r="D15">
        <v>0</v>
      </c>
      <c r="E15">
        <v>0</v>
      </c>
      <c r="F15">
        <v>1</v>
      </c>
      <c r="G15">
        <v>0</v>
      </c>
      <c r="H15">
        <v>5</v>
      </c>
    </row>
    <row r="16" spans="1:8" x14ac:dyDescent="0.2">
      <c r="A16" t="s">
        <v>1572</v>
      </c>
      <c r="B16">
        <v>1</v>
      </c>
      <c r="C16">
        <v>1</v>
      </c>
      <c r="D16">
        <v>0</v>
      </c>
      <c r="E16">
        <v>0</v>
      </c>
      <c r="F16">
        <v>1</v>
      </c>
      <c r="G16">
        <v>1</v>
      </c>
      <c r="H16">
        <v>10</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4:H16"/>
  <sheetViews>
    <sheetView workbookViewId="0">
      <selection activeCell="F59" sqref="F59"/>
    </sheetView>
  </sheetViews>
  <sheetFormatPr defaultRowHeight="12.75" x14ac:dyDescent="0.2"/>
  <sheetData>
    <row r="4" spans="1:8" x14ac:dyDescent="0.2">
      <c r="A4" t="s">
        <v>4</v>
      </c>
      <c r="B4" t="s">
        <v>1595</v>
      </c>
      <c r="C4" t="s">
        <v>1594</v>
      </c>
      <c r="D4" t="s">
        <v>1593</v>
      </c>
      <c r="E4" t="s">
        <v>1592</v>
      </c>
      <c r="F4" t="s">
        <v>1591</v>
      </c>
      <c r="G4" t="s">
        <v>1590</v>
      </c>
      <c r="H4" t="s">
        <v>1589</v>
      </c>
    </row>
    <row r="5" spans="1:8" x14ac:dyDescent="0.2">
      <c r="A5" t="s">
        <v>19</v>
      </c>
      <c r="B5">
        <v>4</v>
      </c>
      <c r="C5">
        <v>12</v>
      </c>
      <c r="D5">
        <v>2</v>
      </c>
      <c r="E5">
        <v>0</v>
      </c>
      <c r="F5">
        <v>65</v>
      </c>
      <c r="G5">
        <v>113</v>
      </c>
      <c r="H5">
        <v>348</v>
      </c>
    </row>
    <row r="6" spans="1:8" x14ac:dyDescent="0.2">
      <c r="A6" t="s">
        <v>20</v>
      </c>
      <c r="B6">
        <v>21</v>
      </c>
      <c r="C6">
        <v>21</v>
      </c>
      <c r="D6">
        <v>2</v>
      </c>
      <c r="E6">
        <v>2</v>
      </c>
      <c r="F6">
        <v>64</v>
      </c>
      <c r="G6">
        <v>144</v>
      </c>
      <c r="H6">
        <v>305</v>
      </c>
    </row>
    <row r="7" spans="1:8" x14ac:dyDescent="0.2">
      <c r="A7" t="s">
        <v>13</v>
      </c>
      <c r="B7">
        <v>20</v>
      </c>
      <c r="C7">
        <v>13</v>
      </c>
      <c r="D7">
        <v>2</v>
      </c>
      <c r="E7">
        <v>4</v>
      </c>
      <c r="F7">
        <v>72</v>
      </c>
      <c r="G7">
        <v>133</v>
      </c>
      <c r="H7">
        <v>350</v>
      </c>
    </row>
    <row r="8" spans="1:8" x14ac:dyDescent="0.2">
      <c r="A8" t="s">
        <v>15</v>
      </c>
      <c r="B8">
        <v>18</v>
      </c>
      <c r="C8">
        <v>28</v>
      </c>
      <c r="D8">
        <v>5</v>
      </c>
      <c r="E8">
        <v>1</v>
      </c>
      <c r="F8">
        <v>72</v>
      </c>
      <c r="G8">
        <v>118</v>
      </c>
      <c r="H8">
        <v>282</v>
      </c>
    </row>
    <row r="9" spans="1:8" x14ac:dyDescent="0.2">
      <c r="A9" t="s">
        <v>17</v>
      </c>
      <c r="B9">
        <v>24</v>
      </c>
      <c r="C9">
        <v>23</v>
      </c>
      <c r="D9">
        <v>3</v>
      </c>
      <c r="E9">
        <v>0</v>
      </c>
      <c r="F9">
        <v>60</v>
      </c>
      <c r="G9">
        <v>143</v>
      </c>
      <c r="H9">
        <v>244</v>
      </c>
    </row>
    <row r="10" spans="1:8" x14ac:dyDescent="0.2">
      <c r="A10" t="s">
        <v>133</v>
      </c>
      <c r="B10">
        <v>16</v>
      </c>
      <c r="C10">
        <v>11</v>
      </c>
      <c r="D10">
        <v>6</v>
      </c>
      <c r="E10">
        <v>3</v>
      </c>
      <c r="F10">
        <v>43</v>
      </c>
      <c r="G10">
        <v>114</v>
      </c>
      <c r="H10">
        <v>232</v>
      </c>
    </row>
    <row r="11" spans="1:8" x14ac:dyDescent="0.2">
      <c r="A11" t="s">
        <v>144</v>
      </c>
      <c r="B11">
        <v>19</v>
      </c>
      <c r="C11">
        <v>9</v>
      </c>
      <c r="D11">
        <v>1</v>
      </c>
      <c r="E11">
        <v>1</v>
      </c>
      <c r="F11">
        <v>64</v>
      </c>
      <c r="G11">
        <v>110</v>
      </c>
      <c r="H11">
        <v>254</v>
      </c>
    </row>
    <row r="12" spans="1:8" x14ac:dyDescent="0.2">
      <c r="A12" t="s">
        <v>282</v>
      </c>
      <c r="B12">
        <v>22</v>
      </c>
      <c r="C12">
        <v>13</v>
      </c>
      <c r="D12">
        <v>6</v>
      </c>
      <c r="E12">
        <v>3</v>
      </c>
      <c r="F12">
        <v>45</v>
      </c>
      <c r="G12">
        <v>156</v>
      </c>
      <c r="H12">
        <v>272</v>
      </c>
    </row>
    <row r="13" spans="1:8" x14ac:dyDescent="0.2">
      <c r="A13" t="s">
        <v>311</v>
      </c>
      <c r="B13">
        <v>17</v>
      </c>
      <c r="C13">
        <v>20</v>
      </c>
      <c r="D13">
        <v>1</v>
      </c>
      <c r="E13">
        <v>4</v>
      </c>
      <c r="F13">
        <v>57</v>
      </c>
      <c r="G13">
        <v>87</v>
      </c>
      <c r="H13">
        <v>231</v>
      </c>
    </row>
    <row r="14" spans="1:8" x14ac:dyDescent="0.2">
      <c r="A14" t="s">
        <v>621</v>
      </c>
      <c r="B14">
        <v>25</v>
      </c>
      <c r="C14">
        <v>14</v>
      </c>
      <c r="D14">
        <v>3</v>
      </c>
      <c r="E14">
        <v>0</v>
      </c>
      <c r="F14">
        <v>67</v>
      </c>
      <c r="G14">
        <v>83</v>
      </c>
      <c r="H14">
        <v>265</v>
      </c>
    </row>
    <row r="15" spans="1:8" x14ac:dyDescent="0.2">
      <c r="A15" t="s">
        <v>1419</v>
      </c>
      <c r="B15">
        <v>30</v>
      </c>
      <c r="C15">
        <v>12</v>
      </c>
      <c r="D15">
        <v>1</v>
      </c>
      <c r="E15">
        <v>1</v>
      </c>
      <c r="F15">
        <v>39</v>
      </c>
      <c r="G15">
        <v>84</v>
      </c>
      <c r="H15">
        <v>221</v>
      </c>
    </row>
    <row r="16" spans="1:8" x14ac:dyDescent="0.2">
      <c r="A16" t="s">
        <v>1572</v>
      </c>
      <c r="B16">
        <v>18</v>
      </c>
      <c r="C16">
        <v>12</v>
      </c>
      <c r="D16">
        <v>2</v>
      </c>
      <c r="E16">
        <v>0</v>
      </c>
      <c r="F16">
        <v>43</v>
      </c>
      <c r="G16">
        <v>72</v>
      </c>
      <c r="H16">
        <v>207</v>
      </c>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4:D16"/>
  <sheetViews>
    <sheetView workbookViewId="0">
      <selection activeCell="F59" sqref="F59"/>
    </sheetView>
  </sheetViews>
  <sheetFormatPr defaultRowHeight="12.75" x14ac:dyDescent="0.2"/>
  <sheetData>
    <row r="4" spans="1:4" x14ac:dyDescent="0.2">
      <c r="A4" t="s">
        <v>4</v>
      </c>
      <c r="B4" t="s">
        <v>1597</v>
      </c>
      <c r="C4" t="s">
        <v>1448</v>
      </c>
      <c r="D4" t="s">
        <v>1596</v>
      </c>
    </row>
    <row r="5" spans="1:4" x14ac:dyDescent="0.2">
      <c r="A5" t="s">
        <v>19</v>
      </c>
      <c r="B5">
        <v>0</v>
      </c>
      <c r="C5">
        <v>0</v>
      </c>
      <c r="D5">
        <v>67</v>
      </c>
    </row>
    <row r="6" spans="1:4" x14ac:dyDescent="0.2">
      <c r="A6" t="s">
        <v>20</v>
      </c>
      <c r="B6">
        <v>0</v>
      </c>
      <c r="C6">
        <v>0</v>
      </c>
      <c r="D6">
        <v>77</v>
      </c>
    </row>
    <row r="7" spans="1:4" x14ac:dyDescent="0.2">
      <c r="A7" t="s">
        <v>13</v>
      </c>
      <c r="B7">
        <v>0</v>
      </c>
      <c r="C7">
        <v>0</v>
      </c>
      <c r="D7">
        <v>81</v>
      </c>
    </row>
    <row r="8" spans="1:4" x14ac:dyDescent="0.2">
      <c r="A8" t="s">
        <v>15</v>
      </c>
      <c r="B8">
        <v>0</v>
      </c>
      <c r="C8">
        <v>0</v>
      </c>
      <c r="D8">
        <v>87</v>
      </c>
    </row>
    <row r="9" spans="1:4" x14ac:dyDescent="0.2">
      <c r="A9" t="s">
        <v>17</v>
      </c>
      <c r="B9">
        <v>1</v>
      </c>
      <c r="C9">
        <v>0</v>
      </c>
      <c r="D9">
        <v>69</v>
      </c>
    </row>
    <row r="10" spans="1:4" x14ac:dyDescent="0.2">
      <c r="A10" t="s">
        <v>133</v>
      </c>
      <c r="B10">
        <v>1</v>
      </c>
      <c r="C10">
        <v>0</v>
      </c>
      <c r="D10">
        <v>47</v>
      </c>
    </row>
    <row r="11" spans="1:4" x14ac:dyDescent="0.2">
      <c r="A11" t="s">
        <v>144</v>
      </c>
      <c r="B11">
        <v>0</v>
      </c>
      <c r="C11">
        <v>0</v>
      </c>
      <c r="D11">
        <v>71</v>
      </c>
    </row>
    <row r="12" spans="1:4" x14ac:dyDescent="0.2">
      <c r="A12" t="s">
        <v>282</v>
      </c>
      <c r="B12">
        <v>0</v>
      </c>
      <c r="C12">
        <v>0</v>
      </c>
      <c r="D12">
        <v>62</v>
      </c>
    </row>
    <row r="13" spans="1:4" x14ac:dyDescent="0.2">
      <c r="A13" t="s">
        <v>311</v>
      </c>
      <c r="B13">
        <v>3</v>
      </c>
      <c r="C13">
        <v>0</v>
      </c>
      <c r="D13">
        <v>63</v>
      </c>
    </row>
    <row r="14" spans="1:4" x14ac:dyDescent="0.2">
      <c r="A14" t="s">
        <v>621</v>
      </c>
      <c r="B14">
        <v>0</v>
      </c>
      <c r="C14">
        <v>0</v>
      </c>
      <c r="D14">
        <v>71</v>
      </c>
    </row>
    <row r="15" spans="1:4" x14ac:dyDescent="0.2">
      <c r="A15" t="s">
        <v>1419</v>
      </c>
      <c r="B15">
        <v>1</v>
      </c>
      <c r="C15">
        <v>0</v>
      </c>
      <c r="D15">
        <v>48</v>
      </c>
    </row>
    <row r="16" spans="1:4" x14ac:dyDescent="0.2">
      <c r="A16" t="s">
        <v>1572</v>
      </c>
      <c r="B16">
        <v>0</v>
      </c>
      <c r="C16">
        <v>0</v>
      </c>
      <c r="D16">
        <v>45</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4:D16"/>
  <sheetViews>
    <sheetView workbookViewId="0">
      <selection activeCell="F59" sqref="F59"/>
    </sheetView>
  </sheetViews>
  <sheetFormatPr defaultRowHeight="12.75" x14ac:dyDescent="0.2"/>
  <sheetData>
    <row r="4" spans="1:4" x14ac:dyDescent="0.2">
      <c r="A4" t="s">
        <v>4</v>
      </c>
      <c r="B4" t="s">
        <v>1597</v>
      </c>
      <c r="C4" t="s">
        <v>1448</v>
      </c>
      <c r="D4" t="s">
        <v>1596</v>
      </c>
    </row>
    <row r="5" spans="1:4" x14ac:dyDescent="0.2">
      <c r="A5" t="s">
        <v>19</v>
      </c>
      <c r="B5">
        <v>0</v>
      </c>
      <c r="C5">
        <v>0</v>
      </c>
      <c r="D5">
        <v>5</v>
      </c>
    </row>
    <row r="6" spans="1:4" x14ac:dyDescent="0.2">
      <c r="A6" t="s">
        <v>20</v>
      </c>
      <c r="B6">
        <v>0</v>
      </c>
      <c r="C6">
        <v>0</v>
      </c>
      <c r="D6">
        <v>10</v>
      </c>
    </row>
    <row r="7" spans="1:4" x14ac:dyDescent="0.2">
      <c r="A7" t="s">
        <v>13</v>
      </c>
      <c r="B7">
        <v>0</v>
      </c>
      <c r="C7">
        <v>0</v>
      </c>
      <c r="D7">
        <v>1</v>
      </c>
    </row>
    <row r="8" spans="1:4" x14ac:dyDescent="0.2">
      <c r="A8" t="s">
        <v>15</v>
      </c>
      <c r="B8">
        <v>0</v>
      </c>
      <c r="C8">
        <v>0</v>
      </c>
      <c r="D8">
        <v>2</v>
      </c>
    </row>
    <row r="9" spans="1:4" x14ac:dyDescent="0.2">
      <c r="A9" t="s">
        <v>17</v>
      </c>
      <c r="B9">
        <v>0</v>
      </c>
      <c r="C9">
        <v>0</v>
      </c>
      <c r="D9">
        <v>4</v>
      </c>
    </row>
    <row r="10" spans="1:4" x14ac:dyDescent="0.2">
      <c r="A10" t="s">
        <v>133</v>
      </c>
      <c r="B10">
        <v>0</v>
      </c>
      <c r="C10">
        <v>0</v>
      </c>
      <c r="D10">
        <v>1</v>
      </c>
    </row>
    <row r="11" spans="1:4" x14ac:dyDescent="0.2">
      <c r="A11" t="s">
        <v>144</v>
      </c>
      <c r="B11">
        <v>0</v>
      </c>
      <c r="C11">
        <v>0</v>
      </c>
      <c r="D11">
        <v>2</v>
      </c>
    </row>
    <row r="12" spans="1:4" x14ac:dyDescent="0.2">
      <c r="A12" t="s">
        <v>282</v>
      </c>
      <c r="B12">
        <v>0</v>
      </c>
      <c r="C12">
        <v>0</v>
      </c>
      <c r="D12">
        <v>0</v>
      </c>
    </row>
    <row r="13" spans="1:4" x14ac:dyDescent="0.2">
      <c r="A13" t="s">
        <v>311</v>
      </c>
      <c r="B13">
        <v>0</v>
      </c>
      <c r="C13">
        <v>0</v>
      </c>
      <c r="D13">
        <v>4</v>
      </c>
    </row>
    <row r="14" spans="1:4" x14ac:dyDescent="0.2">
      <c r="A14" t="s">
        <v>621</v>
      </c>
      <c r="B14">
        <v>0</v>
      </c>
      <c r="C14">
        <v>0</v>
      </c>
      <c r="D14">
        <v>1</v>
      </c>
    </row>
    <row r="15" spans="1:4" x14ac:dyDescent="0.2">
      <c r="A15" t="s">
        <v>1419</v>
      </c>
      <c r="B15">
        <v>0</v>
      </c>
      <c r="C15">
        <v>0</v>
      </c>
      <c r="D15">
        <v>1</v>
      </c>
    </row>
    <row r="16" spans="1:4" x14ac:dyDescent="0.2">
      <c r="A16" t="s">
        <v>1572</v>
      </c>
      <c r="B16">
        <v>0</v>
      </c>
      <c r="C16">
        <v>0</v>
      </c>
      <c r="D16">
        <v>1</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4:D16"/>
  <sheetViews>
    <sheetView workbookViewId="0">
      <selection activeCell="F59" sqref="F59"/>
    </sheetView>
  </sheetViews>
  <sheetFormatPr defaultColWidth="8.7109375" defaultRowHeight="12.75" x14ac:dyDescent="0.2"/>
  <sheetData>
    <row r="4" spans="1:4" x14ac:dyDescent="0.2">
      <c r="A4" t="s">
        <v>4</v>
      </c>
      <c r="B4" t="s">
        <v>1597</v>
      </c>
      <c r="C4" t="s">
        <v>1448</v>
      </c>
      <c r="D4" t="s">
        <v>1596</v>
      </c>
    </row>
    <row r="5" spans="1:4" x14ac:dyDescent="0.2">
      <c r="A5" t="s">
        <v>19</v>
      </c>
      <c r="B5">
        <v>9</v>
      </c>
      <c r="C5">
        <v>2</v>
      </c>
      <c r="D5">
        <v>561</v>
      </c>
    </row>
    <row r="6" spans="1:4" x14ac:dyDescent="0.2">
      <c r="A6" t="s">
        <v>20</v>
      </c>
      <c r="B6">
        <v>8</v>
      </c>
      <c r="C6">
        <v>3</v>
      </c>
      <c r="D6">
        <v>508</v>
      </c>
    </row>
    <row r="7" spans="1:4" x14ac:dyDescent="0.2">
      <c r="A7" t="s">
        <v>13</v>
      </c>
      <c r="B7">
        <v>5</v>
      </c>
      <c r="C7">
        <v>1</v>
      </c>
      <c r="D7">
        <v>553</v>
      </c>
    </row>
    <row r="8" spans="1:4" x14ac:dyDescent="0.2">
      <c r="A8" t="s">
        <v>15</v>
      </c>
      <c r="B8">
        <v>6</v>
      </c>
      <c r="C8">
        <v>2</v>
      </c>
      <c r="D8">
        <v>448</v>
      </c>
    </row>
    <row r="9" spans="1:4" x14ac:dyDescent="0.2">
      <c r="A9" t="s">
        <v>17</v>
      </c>
      <c r="B9">
        <v>3</v>
      </c>
      <c r="C9">
        <v>2</v>
      </c>
      <c r="D9">
        <v>403</v>
      </c>
    </row>
    <row r="10" spans="1:4" x14ac:dyDescent="0.2">
      <c r="A10" t="s">
        <v>133</v>
      </c>
      <c r="B10">
        <v>5</v>
      </c>
      <c r="C10">
        <v>1</v>
      </c>
      <c r="D10">
        <v>336</v>
      </c>
    </row>
    <row r="11" spans="1:4" x14ac:dyDescent="0.2">
      <c r="A11" t="s">
        <v>144</v>
      </c>
      <c r="B11">
        <v>4</v>
      </c>
      <c r="C11">
        <v>0</v>
      </c>
      <c r="D11">
        <v>352</v>
      </c>
    </row>
    <row r="12" spans="1:4" x14ac:dyDescent="0.2">
      <c r="A12" t="s">
        <v>282</v>
      </c>
      <c r="B12">
        <v>5</v>
      </c>
      <c r="C12">
        <v>2</v>
      </c>
      <c r="D12">
        <v>316</v>
      </c>
    </row>
    <row r="13" spans="1:4" x14ac:dyDescent="0.2">
      <c r="A13" t="s">
        <v>311</v>
      </c>
      <c r="B13">
        <v>10</v>
      </c>
      <c r="C13">
        <v>1</v>
      </c>
      <c r="D13">
        <v>338</v>
      </c>
    </row>
    <row r="14" spans="1:4" x14ac:dyDescent="0.2">
      <c r="A14" t="s">
        <v>621</v>
      </c>
      <c r="B14">
        <v>7</v>
      </c>
      <c r="C14">
        <v>1</v>
      </c>
      <c r="D14">
        <v>316</v>
      </c>
    </row>
    <row r="15" spans="1:4" x14ac:dyDescent="0.2">
      <c r="A15" t="s">
        <v>1419</v>
      </c>
      <c r="B15">
        <v>10</v>
      </c>
      <c r="C15">
        <v>0</v>
      </c>
      <c r="D15">
        <v>323</v>
      </c>
    </row>
    <row r="16" spans="1:4" x14ac:dyDescent="0.2">
      <c r="A16" t="s">
        <v>1572</v>
      </c>
      <c r="B16">
        <v>4</v>
      </c>
      <c r="C16">
        <v>1</v>
      </c>
      <c r="D16">
        <v>258</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pageSetUpPr fitToPage="1"/>
  </sheetPr>
  <dimension ref="A1:I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2" bestFit="1" customWidth="1"/>
    <col min="3" max="3" width="15.85546875" bestFit="1" customWidth="1"/>
    <col min="4" max="4" width="21.42578125" bestFit="1" customWidth="1"/>
    <col min="5" max="5" width="19.85546875" bestFit="1" customWidth="1"/>
    <col min="6" max="6" width="14.5703125" bestFit="1" customWidth="1"/>
    <col min="7" max="7" width="14.42578125" bestFit="1" customWidth="1"/>
    <col min="8" max="8" width="12.5703125" bestFit="1" customWidth="1"/>
    <col min="9" max="9" width="6.5703125" bestFit="1" customWidth="1"/>
  </cols>
  <sheetData>
    <row r="1" spans="1:9" x14ac:dyDescent="0.2"/>
    <row r="4" spans="1:9" x14ac:dyDescent="0.2">
      <c r="A4" s="1223" t="s">
        <v>4</v>
      </c>
      <c r="B4" s="1223" t="s">
        <v>1619</v>
      </c>
      <c r="C4" s="1223" t="s">
        <v>1620</v>
      </c>
      <c r="D4" s="1223" t="s">
        <v>1621</v>
      </c>
      <c r="E4" s="1223" t="s">
        <v>1622</v>
      </c>
      <c r="F4" s="1223" t="s">
        <v>1623</v>
      </c>
      <c r="G4" s="1223" t="s">
        <v>1624</v>
      </c>
      <c r="H4" s="1223" t="s">
        <v>1625</v>
      </c>
      <c r="I4" s="1223" t="s">
        <v>1626</v>
      </c>
    </row>
    <row r="5" spans="1:9" x14ac:dyDescent="0.2">
      <c r="A5" s="1186" t="s">
        <v>19</v>
      </c>
      <c r="B5" s="1186">
        <v>13992</v>
      </c>
      <c r="C5" s="1186">
        <v>6560</v>
      </c>
      <c r="D5" s="1186">
        <v>3004</v>
      </c>
      <c r="E5" s="1186">
        <v>2985</v>
      </c>
      <c r="F5" s="1186">
        <v>1443</v>
      </c>
      <c r="G5" s="1186">
        <v>23005</v>
      </c>
      <c r="H5" s="1186">
        <v>1740</v>
      </c>
      <c r="I5" s="1186">
        <v>38737</v>
      </c>
    </row>
    <row r="6" spans="1:9" x14ac:dyDescent="0.2">
      <c r="A6" s="1186" t="s">
        <v>20</v>
      </c>
      <c r="B6" s="1186">
        <v>13144</v>
      </c>
      <c r="C6" s="1186">
        <v>6293</v>
      </c>
      <c r="D6" s="1186">
        <v>2795</v>
      </c>
      <c r="E6" s="1186">
        <v>2684</v>
      </c>
      <c r="F6" s="1186">
        <v>1372</v>
      </c>
      <c r="G6" s="1186">
        <v>24217</v>
      </c>
      <c r="H6" s="1186">
        <v>1574</v>
      </c>
      <c r="I6" s="1186">
        <v>38935</v>
      </c>
    </row>
    <row r="7" spans="1:9" x14ac:dyDescent="0.2">
      <c r="A7" s="1186" t="s">
        <v>13</v>
      </c>
      <c r="B7" s="1186">
        <v>12411</v>
      </c>
      <c r="C7" s="1186">
        <v>6157</v>
      </c>
      <c r="D7" s="1186">
        <v>2717</v>
      </c>
      <c r="E7" s="1186">
        <v>2362</v>
      </c>
      <c r="F7" s="1186">
        <v>1175</v>
      </c>
      <c r="G7" s="1186">
        <v>18683</v>
      </c>
      <c r="H7" s="1186">
        <v>1245</v>
      </c>
      <c r="I7" s="1186">
        <v>32339</v>
      </c>
    </row>
    <row r="8" spans="1:9" x14ac:dyDescent="0.2">
      <c r="A8" s="1186" t="s">
        <v>15</v>
      </c>
      <c r="B8" s="1186">
        <v>11086</v>
      </c>
      <c r="C8" s="1186">
        <v>5829</v>
      </c>
      <c r="D8" s="1186">
        <v>2408</v>
      </c>
      <c r="E8" s="1186">
        <v>2034</v>
      </c>
      <c r="F8" s="1186">
        <v>815</v>
      </c>
      <c r="G8" s="1186">
        <v>14273</v>
      </c>
      <c r="H8" s="1186">
        <v>1381</v>
      </c>
      <c r="I8" s="1186">
        <v>26740</v>
      </c>
    </row>
    <row r="9" spans="1:9" x14ac:dyDescent="0.2">
      <c r="A9" s="1186" t="s">
        <v>17</v>
      </c>
      <c r="B9" s="1186">
        <v>10521</v>
      </c>
      <c r="C9" s="1186">
        <v>5323</v>
      </c>
      <c r="D9" s="1186">
        <v>2346</v>
      </c>
      <c r="E9" s="1186">
        <v>1938</v>
      </c>
      <c r="F9" s="1186">
        <v>914</v>
      </c>
      <c r="G9" s="1186">
        <v>16361</v>
      </c>
      <c r="H9" s="1186">
        <v>1107</v>
      </c>
      <c r="I9" s="1186">
        <v>27989</v>
      </c>
    </row>
    <row r="10" spans="1:9" x14ac:dyDescent="0.2">
      <c r="A10" s="1186" t="s">
        <v>133</v>
      </c>
      <c r="B10" s="1186">
        <v>10633</v>
      </c>
      <c r="C10" s="1186">
        <v>5574</v>
      </c>
      <c r="D10" s="1186">
        <v>2324</v>
      </c>
      <c r="E10" s="1186">
        <v>1897</v>
      </c>
      <c r="F10" s="1186">
        <v>838</v>
      </c>
      <c r="G10" s="1186">
        <v>13406</v>
      </c>
      <c r="H10" s="1186">
        <v>985</v>
      </c>
      <c r="I10" s="1186">
        <v>25024</v>
      </c>
    </row>
    <row r="11" spans="1:9" x14ac:dyDescent="0.2">
      <c r="A11" s="1186" t="s">
        <v>144</v>
      </c>
      <c r="B11" s="1186">
        <v>11006</v>
      </c>
      <c r="C11" s="1186">
        <v>5673</v>
      </c>
      <c r="D11" s="1186">
        <v>2494</v>
      </c>
      <c r="E11" s="1186">
        <v>1965</v>
      </c>
      <c r="F11" s="1186">
        <v>874</v>
      </c>
      <c r="G11" s="1186">
        <v>14732</v>
      </c>
      <c r="H11" s="1186">
        <v>890</v>
      </c>
      <c r="I11" s="1186">
        <v>26628</v>
      </c>
    </row>
    <row r="12" spans="1:9" x14ac:dyDescent="0.2">
      <c r="A12" s="1186" t="s">
        <v>282</v>
      </c>
      <c r="B12" s="1186">
        <v>10894</v>
      </c>
      <c r="C12" s="1186">
        <v>5540</v>
      </c>
      <c r="D12" s="1186">
        <v>2277</v>
      </c>
      <c r="E12" s="1186">
        <v>2120</v>
      </c>
      <c r="F12" s="1186">
        <v>957</v>
      </c>
      <c r="G12" s="1186">
        <v>15660</v>
      </c>
      <c r="H12" s="1186">
        <v>750</v>
      </c>
      <c r="I12" s="1186">
        <v>27304</v>
      </c>
    </row>
    <row r="13" spans="1:9" x14ac:dyDescent="0.2">
      <c r="A13" s="1186" t="s">
        <v>311</v>
      </c>
      <c r="B13" s="1186">
        <v>10672</v>
      </c>
      <c r="C13" s="1186">
        <v>5311</v>
      </c>
      <c r="D13" s="1186">
        <v>2287</v>
      </c>
      <c r="E13" s="1186">
        <v>2016</v>
      </c>
      <c r="F13" s="1186">
        <v>1058</v>
      </c>
      <c r="G13" s="1186">
        <v>14728</v>
      </c>
      <c r="H13" s="1186">
        <v>774</v>
      </c>
      <c r="I13" s="1186">
        <v>26174</v>
      </c>
    </row>
    <row r="14" spans="1:9" x14ac:dyDescent="0.2">
      <c r="A14" s="1186" t="s">
        <v>621</v>
      </c>
      <c r="B14" s="1186">
        <v>10473</v>
      </c>
      <c r="C14" s="1186">
        <v>5145</v>
      </c>
      <c r="D14" s="1186">
        <v>2252</v>
      </c>
      <c r="E14" s="1186">
        <v>1952</v>
      </c>
      <c r="F14" s="1186">
        <v>1124</v>
      </c>
      <c r="G14" s="1186">
        <v>15697</v>
      </c>
      <c r="H14" s="1186">
        <v>644</v>
      </c>
      <c r="I14" s="1186">
        <v>26814</v>
      </c>
    </row>
    <row r="15" spans="1:9" x14ac:dyDescent="0.2">
      <c r="A15" s="1186" t="s">
        <v>1419</v>
      </c>
      <c r="B15" s="1186">
        <v>9852</v>
      </c>
      <c r="C15" s="1186">
        <v>4890</v>
      </c>
      <c r="D15" s="1186">
        <v>1980</v>
      </c>
      <c r="E15" s="1186">
        <v>2099</v>
      </c>
      <c r="F15" s="1186">
        <v>883</v>
      </c>
      <c r="G15" s="1186">
        <v>14090</v>
      </c>
      <c r="H15" s="1186">
        <v>556</v>
      </c>
      <c r="I15" s="1186">
        <v>24498</v>
      </c>
    </row>
    <row r="16" spans="1:9" x14ac:dyDescent="0.2">
      <c r="A16" s="1186" t="s">
        <v>1572</v>
      </c>
      <c r="B16" s="1186">
        <v>9416</v>
      </c>
      <c r="C16" s="1186">
        <v>4661</v>
      </c>
      <c r="D16" s="1186">
        <v>1718</v>
      </c>
      <c r="E16" s="1186">
        <v>1816</v>
      </c>
      <c r="F16" s="1186">
        <v>1221</v>
      </c>
      <c r="G16" s="1186">
        <v>15130</v>
      </c>
      <c r="H16" s="1186">
        <v>601</v>
      </c>
      <c r="I16" s="1186">
        <v>25147</v>
      </c>
    </row>
  </sheetData>
  <pageMargins left="0.7" right="0.7" top="0.75" bottom="0.75" header="0.3" footer="0.3"/>
  <pageSetup paperSize="9" fitToHeight="50" orientation="landscape" r:id="rId1"/>
  <legacyDrawing r:id="rId2"/>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pageSetUpPr fitToPage="1"/>
  </sheetPr>
  <dimension ref="A1:J389"/>
  <sheetViews>
    <sheetView zoomScale="85" zoomScaleNormal="85" workbookViewId="0">
      <pane ySplit="4" topLeftCell="A34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9.5703125" bestFit="1" customWidth="1"/>
    <col min="3" max="3" width="12" bestFit="1" customWidth="1"/>
    <col min="4" max="4" width="9" bestFit="1" customWidth="1"/>
    <col min="5" max="5" width="14.5703125" bestFit="1" customWidth="1"/>
    <col min="6" max="6" width="13" bestFit="1" customWidth="1"/>
    <col min="7" max="7" width="7.85546875" bestFit="1" customWidth="1"/>
    <col min="8" max="8" width="14.42578125" bestFit="1" customWidth="1"/>
    <col min="9" max="9" width="12.5703125" bestFit="1" customWidth="1"/>
    <col min="10" max="10" width="6.85546875" bestFit="1" customWidth="1"/>
  </cols>
  <sheetData>
    <row r="1" spans="1:10" x14ac:dyDescent="0.2"/>
    <row r="4" spans="1:10" x14ac:dyDescent="0.2">
      <c r="A4" s="1223" t="s">
        <v>4</v>
      </c>
      <c r="B4" s="1223" t="s">
        <v>1627</v>
      </c>
      <c r="C4" s="1223" t="s">
        <v>1619</v>
      </c>
      <c r="D4" s="1223" t="s">
        <v>828</v>
      </c>
      <c r="E4" s="1223" t="s">
        <v>850</v>
      </c>
      <c r="F4" s="1223" t="s">
        <v>851</v>
      </c>
      <c r="G4" s="1223" t="s">
        <v>852</v>
      </c>
      <c r="H4" s="1223" t="s">
        <v>1624</v>
      </c>
      <c r="I4" s="1223" t="s">
        <v>1625</v>
      </c>
      <c r="J4" s="1223" t="s">
        <v>1582</v>
      </c>
    </row>
    <row r="5" spans="1:10" x14ac:dyDescent="0.2">
      <c r="A5" s="1186" t="s">
        <v>19</v>
      </c>
      <c r="B5" s="1186" t="s">
        <v>23</v>
      </c>
      <c r="C5" s="1186">
        <v>703</v>
      </c>
      <c r="D5" s="1186">
        <v>391</v>
      </c>
      <c r="E5" s="1186">
        <v>146</v>
      </c>
      <c r="F5" s="1186">
        <v>137</v>
      </c>
      <c r="G5" s="1186">
        <v>29</v>
      </c>
      <c r="H5" s="1186">
        <v>658</v>
      </c>
      <c r="I5" s="1186">
        <v>12</v>
      </c>
      <c r="J5" s="1186">
        <v>217020</v>
      </c>
    </row>
    <row r="6" spans="1:10" x14ac:dyDescent="0.2">
      <c r="A6" s="1186" t="s">
        <v>19</v>
      </c>
      <c r="B6" s="1186" t="s">
        <v>24</v>
      </c>
      <c r="C6" s="1186">
        <v>451</v>
      </c>
      <c r="D6" s="1186">
        <v>204</v>
      </c>
      <c r="E6" s="1186">
        <v>89</v>
      </c>
      <c r="F6" s="1186">
        <v>100</v>
      </c>
      <c r="G6" s="1186">
        <v>58</v>
      </c>
      <c r="H6" s="1186">
        <v>254</v>
      </c>
      <c r="I6" s="1186">
        <v>140</v>
      </c>
      <c r="J6" s="1186">
        <v>249020</v>
      </c>
    </row>
    <row r="7" spans="1:10" x14ac:dyDescent="0.2">
      <c r="A7" s="1186" t="s">
        <v>19</v>
      </c>
      <c r="B7" s="1186" t="s">
        <v>25</v>
      </c>
      <c r="C7" s="1186">
        <v>191</v>
      </c>
      <c r="D7" s="1186">
        <v>102</v>
      </c>
      <c r="E7" s="1186">
        <v>43</v>
      </c>
      <c r="F7" s="1186">
        <v>39</v>
      </c>
      <c r="G7" s="1186">
        <v>7</v>
      </c>
      <c r="H7" s="1186">
        <v>191</v>
      </c>
      <c r="I7" s="1186">
        <v>26</v>
      </c>
      <c r="J7" s="1186">
        <v>114830</v>
      </c>
    </row>
    <row r="8" spans="1:10" x14ac:dyDescent="0.2">
      <c r="A8" s="1186" t="s">
        <v>19</v>
      </c>
      <c r="B8" s="1186" t="s">
        <v>26</v>
      </c>
      <c r="C8" s="1186">
        <v>187</v>
      </c>
      <c r="D8" s="1186">
        <v>86</v>
      </c>
      <c r="E8" s="1186">
        <v>50</v>
      </c>
      <c r="F8" s="1186">
        <v>38</v>
      </c>
      <c r="G8" s="1186">
        <v>13</v>
      </c>
      <c r="H8" s="1186">
        <v>156</v>
      </c>
      <c r="I8" s="1186">
        <v>184</v>
      </c>
      <c r="J8" s="1186">
        <v>89450</v>
      </c>
    </row>
    <row r="9" spans="1:10" x14ac:dyDescent="0.2">
      <c r="A9" s="1186" t="s">
        <v>19</v>
      </c>
      <c r="B9" s="1186" t="s">
        <v>619</v>
      </c>
      <c r="C9" s="1186">
        <v>1572</v>
      </c>
      <c r="D9" s="1186">
        <v>795</v>
      </c>
      <c r="E9" s="1186">
        <v>340</v>
      </c>
      <c r="F9" s="1186">
        <v>256</v>
      </c>
      <c r="G9" s="1186">
        <v>181</v>
      </c>
      <c r="H9" s="1186">
        <v>2220</v>
      </c>
      <c r="I9" s="1186">
        <v>23</v>
      </c>
      <c r="J9" s="1186">
        <v>463230</v>
      </c>
    </row>
    <row r="10" spans="1:10" x14ac:dyDescent="0.2">
      <c r="A10" s="1186" t="s">
        <v>19</v>
      </c>
      <c r="B10" s="1186" t="s">
        <v>27</v>
      </c>
      <c r="C10" s="1186">
        <v>115</v>
      </c>
      <c r="D10" s="1186">
        <v>40</v>
      </c>
      <c r="E10" s="1186">
        <v>24</v>
      </c>
      <c r="F10" s="1186">
        <v>21</v>
      </c>
      <c r="G10" s="1186">
        <v>30</v>
      </c>
      <c r="H10" s="1186">
        <v>218</v>
      </c>
      <c r="I10" s="1186">
        <v>5</v>
      </c>
      <c r="J10" s="1186">
        <v>51290</v>
      </c>
    </row>
    <row r="11" spans="1:10" x14ac:dyDescent="0.2">
      <c r="A11" s="1186" t="s">
        <v>19</v>
      </c>
      <c r="B11" s="1186" t="s">
        <v>28</v>
      </c>
      <c r="C11" s="1186">
        <v>306</v>
      </c>
      <c r="D11" s="1186">
        <v>132</v>
      </c>
      <c r="E11" s="1186">
        <v>67</v>
      </c>
      <c r="F11" s="1186">
        <v>88</v>
      </c>
      <c r="G11" s="1186">
        <v>19</v>
      </c>
      <c r="H11" s="1186">
        <v>239</v>
      </c>
      <c r="I11" s="1186">
        <v>132</v>
      </c>
      <c r="J11" s="1186">
        <v>151160</v>
      </c>
    </row>
    <row r="12" spans="1:10" x14ac:dyDescent="0.2">
      <c r="A12" s="1186" t="s">
        <v>19</v>
      </c>
      <c r="B12" s="1186" t="s">
        <v>29</v>
      </c>
      <c r="C12" s="1186">
        <v>505</v>
      </c>
      <c r="D12" s="1186">
        <v>325</v>
      </c>
      <c r="E12" s="1186">
        <v>107</v>
      </c>
      <c r="F12" s="1186">
        <v>52</v>
      </c>
      <c r="G12" s="1186">
        <v>21</v>
      </c>
      <c r="H12" s="1186">
        <v>1009</v>
      </c>
      <c r="I12" s="1186">
        <v>3</v>
      </c>
      <c r="J12" s="1186">
        <v>145170</v>
      </c>
    </row>
    <row r="13" spans="1:10" x14ac:dyDescent="0.2">
      <c r="A13" s="1186" t="s">
        <v>19</v>
      </c>
      <c r="B13" s="1186" t="s">
        <v>30</v>
      </c>
      <c r="C13" s="1186">
        <v>296</v>
      </c>
      <c r="D13" s="1186">
        <v>125</v>
      </c>
      <c r="E13" s="1186">
        <v>66</v>
      </c>
      <c r="F13" s="1186">
        <v>64</v>
      </c>
      <c r="G13" s="1186">
        <v>41</v>
      </c>
      <c r="H13" s="1186">
        <v>868</v>
      </c>
      <c r="I13" s="1186">
        <v>16</v>
      </c>
      <c r="J13" s="1186">
        <v>122110</v>
      </c>
    </row>
    <row r="14" spans="1:10" x14ac:dyDescent="0.2">
      <c r="A14" s="1186" t="s">
        <v>19</v>
      </c>
      <c r="B14" s="1186" t="s">
        <v>31</v>
      </c>
      <c r="C14" s="1186">
        <v>189</v>
      </c>
      <c r="D14" s="1186">
        <v>78</v>
      </c>
      <c r="E14" s="1186">
        <v>40</v>
      </c>
      <c r="F14" s="1186">
        <v>52</v>
      </c>
      <c r="G14" s="1186">
        <v>19</v>
      </c>
      <c r="H14" s="1186">
        <v>314</v>
      </c>
      <c r="I14" s="1186">
        <v>9</v>
      </c>
      <c r="J14" s="1186">
        <v>104960</v>
      </c>
    </row>
    <row r="15" spans="1:10" x14ac:dyDescent="0.2">
      <c r="A15" s="1186" t="s">
        <v>19</v>
      </c>
      <c r="B15" s="1186" t="s">
        <v>32</v>
      </c>
      <c r="C15" s="1186">
        <v>246</v>
      </c>
      <c r="D15" s="1186">
        <v>100</v>
      </c>
      <c r="E15" s="1186">
        <v>50</v>
      </c>
      <c r="F15" s="1186">
        <v>55</v>
      </c>
      <c r="G15" s="1186">
        <v>41</v>
      </c>
      <c r="H15" s="1186">
        <v>345</v>
      </c>
      <c r="I15" s="1186">
        <v>32</v>
      </c>
      <c r="J15" s="1186">
        <v>98340</v>
      </c>
    </row>
    <row r="16" spans="1:10" x14ac:dyDescent="0.2">
      <c r="A16" s="1186" t="s">
        <v>19</v>
      </c>
      <c r="B16" s="1186" t="s">
        <v>33</v>
      </c>
      <c r="C16" s="1186">
        <v>154</v>
      </c>
      <c r="D16" s="1186">
        <v>48</v>
      </c>
      <c r="E16" s="1186">
        <v>36</v>
      </c>
      <c r="F16" s="1186">
        <v>40</v>
      </c>
      <c r="G16" s="1186">
        <v>30</v>
      </c>
      <c r="H16" s="1186">
        <v>283</v>
      </c>
      <c r="I16" s="1186"/>
      <c r="J16" s="1186">
        <v>89980</v>
      </c>
    </row>
    <row r="17" spans="1:10" x14ac:dyDescent="0.2">
      <c r="A17" s="1186" t="s">
        <v>19</v>
      </c>
      <c r="B17" s="1186" t="s">
        <v>34</v>
      </c>
      <c r="C17" s="1186">
        <v>257</v>
      </c>
      <c r="D17" s="1186">
        <v>113</v>
      </c>
      <c r="E17" s="1186">
        <v>57</v>
      </c>
      <c r="F17" s="1186">
        <v>65</v>
      </c>
      <c r="G17" s="1186">
        <v>22</v>
      </c>
      <c r="H17" s="1186">
        <v>751</v>
      </c>
      <c r="I17" s="1186">
        <v>13</v>
      </c>
      <c r="J17" s="1186">
        <v>154210</v>
      </c>
    </row>
    <row r="18" spans="1:10" x14ac:dyDescent="0.2">
      <c r="A18" s="1186" t="s">
        <v>19</v>
      </c>
      <c r="B18" s="1186" t="s">
        <v>35</v>
      </c>
      <c r="C18" s="1186">
        <v>680</v>
      </c>
      <c r="D18" s="1186">
        <v>320</v>
      </c>
      <c r="E18" s="1186">
        <v>153</v>
      </c>
      <c r="F18" s="1186">
        <v>147</v>
      </c>
      <c r="G18" s="1186">
        <v>60</v>
      </c>
      <c r="H18" s="1186">
        <v>1315</v>
      </c>
      <c r="I18" s="1186">
        <v>56</v>
      </c>
      <c r="J18" s="1186">
        <v>361420</v>
      </c>
    </row>
    <row r="19" spans="1:10" x14ac:dyDescent="0.2">
      <c r="A19" s="1186" t="s">
        <v>19</v>
      </c>
      <c r="B19" s="1186" t="s">
        <v>36</v>
      </c>
      <c r="C19" s="1186">
        <v>2419</v>
      </c>
      <c r="D19" s="1186">
        <v>1284</v>
      </c>
      <c r="E19" s="1186">
        <v>516</v>
      </c>
      <c r="F19" s="1186">
        <v>457</v>
      </c>
      <c r="G19" s="1186">
        <v>162</v>
      </c>
      <c r="H19" s="1186">
        <v>3810</v>
      </c>
      <c r="I19" s="1186">
        <v>18</v>
      </c>
      <c r="J19" s="1186">
        <v>581620</v>
      </c>
    </row>
    <row r="20" spans="1:10" x14ac:dyDescent="0.2">
      <c r="A20" s="1186" t="s">
        <v>19</v>
      </c>
      <c r="B20" s="1186" t="s">
        <v>37</v>
      </c>
      <c r="C20" s="1186">
        <v>357</v>
      </c>
      <c r="D20" s="1186">
        <v>145</v>
      </c>
      <c r="E20" s="1186">
        <v>81</v>
      </c>
      <c r="F20" s="1186">
        <v>82</v>
      </c>
      <c r="G20" s="1186">
        <v>49</v>
      </c>
      <c r="H20" s="1186">
        <v>570</v>
      </c>
      <c r="I20" s="1186">
        <v>501</v>
      </c>
      <c r="J20" s="1186">
        <v>228750</v>
      </c>
    </row>
    <row r="21" spans="1:10" x14ac:dyDescent="0.2">
      <c r="A21" s="1186" t="s">
        <v>19</v>
      </c>
      <c r="B21" s="1186" t="s">
        <v>38</v>
      </c>
      <c r="C21" s="1186">
        <v>302</v>
      </c>
      <c r="D21" s="1186">
        <v>144</v>
      </c>
      <c r="E21" s="1186">
        <v>51</v>
      </c>
      <c r="F21" s="1186">
        <v>79</v>
      </c>
      <c r="G21" s="1186">
        <v>28</v>
      </c>
      <c r="H21" s="1186">
        <v>625</v>
      </c>
      <c r="I21" s="1186">
        <v>3</v>
      </c>
      <c r="J21" s="1186">
        <v>81670</v>
      </c>
    </row>
    <row r="22" spans="1:10" x14ac:dyDescent="0.2">
      <c r="A22" s="1186" t="s">
        <v>19</v>
      </c>
      <c r="B22" s="1186" t="s">
        <v>39</v>
      </c>
      <c r="C22" s="1186">
        <v>198</v>
      </c>
      <c r="D22" s="1186">
        <v>73</v>
      </c>
      <c r="E22" s="1186">
        <v>47</v>
      </c>
      <c r="F22" s="1186">
        <v>45</v>
      </c>
      <c r="G22" s="1186">
        <v>33</v>
      </c>
      <c r="H22" s="1186">
        <v>371</v>
      </c>
      <c r="I22" s="1186">
        <v>22</v>
      </c>
      <c r="J22" s="1186">
        <v>81900</v>
      </c>
    </row>
    <row r="23" spans="1:10" x14ac:dyDescent="0.2">
      <c r="A23" s="1186" t="s">
        <v>19</v>
      </c>
      <c r="B23" s="1186" t="s">
        <v>40</v>
      </c>
      <c r="C23" s="1186">
        <v>166</v>
      </c>
      <c r="D23" s="1186">
        <v>71</v>
      </c>
      <c r="E23" s="1186">
        <v>39</v>
      </c>
      <c r="F23" s="1186">
        <v>35</v>
      </c>
      <c r="G23" s="1186">
        <v>21</v>
      </c>
      <c r="H23" s="1186">
        <v>167</v>
      </c>
      <c r="I23" s="1186">
        <v>62</v>
      </c>
      <c r="J23" s="1186">
        <v>93160</v>
      </c>
    </row>
    <row r="24" spans="1:10" x14ac:dyDescent="0.2">
      <c r="A24" s="1186" t="s">
        <v>19</v>
      </c>
      <c r="B24" s="1186" t="s">
        <v>295</v>
      </c>
      <c r="C24" s="1186">
        <v>39</v>
      </c>
      <c r="D24" s="1186">
        <v>24</v>
      </c>
      <c r="E24" s="1186">
        <v>8</v>
      </c>
      <c r="F24" s="1186">
        <v>3</v>
      </c>
      <c r="G24" s="1186">
        <v>4</v>
      </c>
      <c r="H24" s="1186">
        <v>33</v>
      </c>
      <c r="I24" s="1186">
        <v>91</v>
      </c>
      <c r="J24" s="1186">
        <v>27420</v>
      </c>
    </row>
    <row r="25" spans="1:10" x14ac:dyDescent="0.2">
      <c r="A25" s="1186" t="s">
        <v>19</v>
      </c>
      <c r="B25" s="1186" t="s">
        <v>41</v>
      </c>
      <c r="C25" s="1186">
        <v>373</v>
      </c>
      <c r="D25" s="1186">
        <v>177</v>
      </c>
      <c r="E25" s="1186">
        <v>74</v>
      </c>
      <c r="F25" s="1186">
        <v>76</v>
      </c>
      <c r="G25" s="1186">
        <v>46</v>
      </c>
      <c r="H25" s="1186">
        <v>907</v>
      </c>
      <c r="I25" s="1186">
        <v>26</v>
      </c>
      <c r="J25" s="1186">
        <v>137830</v>
      </c>
    </row>
    <row r="26" spans="1:10" x14ac:dyDescent="0.2">
      <c r="A26" s="1186" t="s">
        <v>19</v>
      </c>
      <c r="B26" s="1186" t="s">
        <v>42</v>
      </c>
      <c r="C26" s="1186">
        <v>1016</v>
      </c>
      <c r="D26" s="1186">
        <v>378</v>
      </c>
      <c r="E26" s="1186">
        <v>189</v>
      </c>
      <c r="F26" s="1186">
        <v>310</v>
      </c>
      <c r="G26" s="1186">
        <v>139</v>
      </c>
      <c r="H26" s="1186">
        <v>2211</v>
      </c>
      <c r="I26" s="1186">
        <v>8</v>
      </c>
      <c r="J26" s="1186">
        <v>335160</v>
      </c>
    </row>
    <row r="27" spans="1:10" x14ac:dyDescent="0.2">
      <c r="A27" s="1186" t="s">
        <v>19</v>
      </c>
      <c r="B27" s="1186" t="s">
        <v>43</v>
      </c>
      <c r="C27" s="1186">
        <v>21</v>
      </c>
      <c r="D27" s="1186">
        <v>11</v>
      </c>
      <c r="E27" s="1186">
        <v>5</v>
      </c>
      <c r="F27" s="1186">
        <v>4</v>
      </c>
      <c r="G27" s="1186">
        <v>1</v>
      </c>
      <c r="H27" s="1186">
        <v>18</v>
      </c>
      <c r="I27" s="1186">
        <v>18</v>
      </c>
      <c r="J27" s="1186">
        <v>20940</v>
      </c>
    </row>
    <row r="28" spans="1:10" x14ac:dyDescent="0.2">
      <c r="A28" s="1186" t="s">
        <v>19</v>
      </c>
      <c r="B28" s="1186" t="s">
        <v>44</v>
      </c>
      <c r="C28" s="1186">
        <v>284</v>
      </c>
      <c r="D28" s="1186">
        <v>122</v>
      </c>
      <c r="E28" s="1186">
        <v>84</v>
      </c>
      <c r="F28" s="1186">
        <v>59</v>
      </c>
      <c r="G28" s="1186">
        <v>19</v>
      </c>
      <c r="H28" s="1186">
        <v>225</v>
      </c>
      <c r="I28" s="1186">
        <v>111</v>
      </c>
      <c r="J28" s="1186">
        <v>144370</v>
      </c>
    </row>
    <row r="29" spans="1:10" x14ac:dyDescent="0.2">
      <c r="A29" s="1186" t="s">
        <v>19</v>
      </c>
      <c r="B29" s="1186" t="s">
        <v>45</v>
      </c>
      <c r="C29" s="1186">
        <v>535</v>
      </c>
      <c r="D29" s="1186">
        <v>237</v>
      </c>
      <c r="E29" s="1186">
        <v>145</v>
      </c>
      <c r="F29" s="1186">
        <v>102</v>
      </c>
      <c r="G29" s="1186">
        <v>51</v>
      </c>
      <c r="H29" s="1186">
        <v>871</v>
      </c>
      <c r="I29" s="1186">
        <v>2</v>
      </c>
      <c r="J29" s="1186">
        <v>173020</v>
      </c>
    </row>
    <row r="30" spans="1:10" x14ac:dyDescent="0.2">
      <c r="A30" s="1186" t="s">
        <v>19</v>
      </c>
      <c r="B30" s="1186" t="s">
        <v>46</v>
      </c>
      <c r="C30" s="1186">
        <v>235</v>
      </c>
      <c r="D30" s="1186">
        <v>111</v>
      </c>
      <c r="E30" s="1186">
        <v>46</v>
      </c>
      <c r="F30" s="1186">
        <v>48</v>
      </c>
      <c r="G30" s="1186">
        <v>30</v>
      </c>
      <c r="H30" s="1186">
        <v>147</v>
      </c>
      <c r="I30" s="1186">
        <v>100</v>
      </c>
      <c r="J30" s="1186">
        <v>113590</v>
      </c>
    </row>
    <row r="31" spans="1:10" x14ac:dyDescent="0.2">
      <c r="A31" s="1186" t="s">
        <v>19</v>
      </c>
      <c r="B31" s="1186" t="s">
        <v>47</v>
      </c>
      <c r="C31" s="1186">
        <v>33</v>
      </c>
      <c r="D31" s="1186">
        <v>11</v>
      </c>
      <c r="E31" s="1186">
        <v>10</v>
      </c>
      <c r="F31" s="1186">
        <v>6</v>
      </c>
      <c r="G31" s="1186">
        <v>6</v>
      </c>
      <c r="H31" s="1186">
        <v>14</v>
      </c>
      <c r="I31" s="1186">
        <v>5</v>
      </c>
      <c r="J31" s="1186">
        <v>22800</v>
      </c>
    </row>
    <row r="32" spans="1:10" x14ac:dyDescent="0.2">
      <c r="A32" s="1186" t="s">
        <v>19</v>
      </c>
      <c r="B32" s="1186" t="s">
        <v>48</v>
      </c>
      <c r="C32" s="1186">
        <v>211</v>
      </c>
      <c r="D32" s="1186">
        <v>99</v>
      </c>
      <c r="E32" s="1186">
        <v>59</v>
      </c>
      <c r="F32" s="1186">
        <v>36</v>
      </c>
      <c r="G32" s="1186">
        <v>17</v>
      </c>
      <c r="H32" s="1186">
        <v>415</v>
      </c>
      <c r="I32" s="1186">
        <v>30</v>
      </c>
      <c r="J32" s="1186">
        <v>112490</v>
      </c>
    </row>
    <row r="33" spans="1:10" x14ac:dyDescent="0.2">
      <c r="A33" s="1186" t="s">
        <v>19</v>
      </c>
      <c r="B33" s="1186" t="s">
        <v>49</v>
      </c>
      <c r="C33" s="1186">
        <v>826</v>
      </c>
      <c r="D33" s="1186">
        <v>326</v>
      </c>
      <c r="E33" s="1186">
        <v>170</v>
      </c>
      <c r="F33" s="1186">
        <v>200</v>
      </c>
      <c r="G33" s="1186">
        <v>130</v>
      </c>
      <c r="H33" s="1186">
        <v>1788</v>
      </c>
      <c r="I33" s="1186">
        <v>36</v>
      </c>
      <c r="J33" s="1186">
        <v>312180</v>
      </c>
    </row>
    <row r="34" spans="1:10" x14ac:dyDescent="0.2">
      <c r="A34" s="1186" t="s">
        <v>19</v>
      </c>
      <c r="B34" s="1186" t="s">
        <v>50</v>
      </c>
      <c r="C34" s="1186">
        <v>199</v>
      </c>
      <c r="D34" s="1186">
        <v>94</v>
      </c>
      <c r="E34" s="1186">
        <v>46</v>
      </c>
      <c r="F34" s="1186">
        <v>48</v>
      </c>
      <c r="G34" s="1186">
        <v>11</v>
      </c>
      <c r="H34" s="1186">
        <v>249</v>
      </c>
      <c r="I34" s="1186">
        <v>36</v>
      </c>
      <c r="J34" s="1186">
        <v>88690</v>
      </c>
    </row>
    <row r="35" spans="1:10" x14ac:dyDescent="0.2">
      <c r="A35" s="1186" t="s">
        <v>19</v>
      </c>
      <c r="B35" s="1186" t="s">
        <v>51</v>
      </c>
      <c r="C35" s="1186">
        <v>356</v>
      </c>
      <c r="D35" s="1186">
        <v>172</v>
      </c>
      <c r="E35" s="1186">
        <v>51</v>
      </c>
      <c r="F35" s="1186">
        <v>93</v>
      </c>
      <c r="G35" s="1186">
        <v>40</v>
      </c>
      <c r="H35" s="1186">
        <v>795</v>
      </c>
      <c r="I35" s="1186">
        <v>8</v>
      </c>
      <c r="J35" s="1186">
        <v>91080</v>
      </c>
    </row>
    <row r="36" spans="1:10" x14ac:dyDescent="0.2">
      <c r="A36" s="1186" t="s">
        <v>19</v>
      </c>
      <c r="B36" s="1186" t="s">
        <v>52</v>
      </c>
      <c r="C36" s="1186">
        <v>570</v>
      </c>
      <c r="D36" s="1186">
        <v>222</v>
      </c>
      <c r="E36" s="1186">
        <v>115</v>
      </c>
      <c r="F36" s="1186">
        <v>148</v>
      </c>
      <c r="G36" s="1186">
        <v>85</v>
      </c>
      <c r="H36" s="1186">
        <v>968</v>
      </c>
      <c r="I36" s="1186">
        <v>12</v>
      </c>
      <c r="J36" s="1186">
        <v>173040</v>
      </c>
    </row>
    <row r="37" spans="1:10" x14ac:dyDescent="0.2">
      <c r="A37" s="1186" t="s">
        <v>20</v>
      </c>
      <c r="B37" s="1186" t="s">
        <v>23</v>
      </c>
      <c r="C37" s="1186">
        <v>638</v>
      </c>
      <c r="D37" s="1186">
        <v>340</v>
      </c>
      <c r="E37" s="1186">
        <v>139</v>
      </c>
      <c r="F37" s="1186">
        <v>143</v>
      </c>
      <c r="G37" s="1186">
        <v>16</v>
      </c>
      <c r="H37" s="1186">
        <v>522</v>
      </c>
      <c r="I37" s="1186">
        <v>17</v>
      </c>
      <c r="J37" s="1186">
        <v>219730</v>
      </c>
    </row>
    <row r="38" spans="1:10" x14ac:dyDescent="0.2">
      <c r="A38" s="1186" t="s">
        <v>20</v>
      </c>
      <c r="B38" s="1186" t="s">
        <v>24</v>
      </c>
      <c r="C38" s="1186">
        <v>446</v>
      </c>
      <c r="D38" s="1186">
        <v>203</v>
      </c>
      <c r="E38" s="1186">
        <v>106</v>
      </c>
      <c r="F38" s="1186">
        <v>90</v>
      </c>
      <c r="G38" s="1186">
        <v>47</v>
      </c>
      <c r="H38" s="1186">
        <v>264</v>
      </c>
      <c r="I38" s="1186">
        <v>139</v>
      </c>
      <c r="J38" s="1186">
        <v>251430</v>
      </c>
    </row>
    <row r="39" spans="1:10" x14ac:dyDescent="0.2">
      <c r="A39" s="1186" t="s">
        <v>20</v>
      </c>
      <c r="B39" s="1186" t="s">
        <v>25</v>
      </c>
      <c r="C39" s="1186">
        <v>184</v>
      </c>
      <c r="D39" s="1186">
        <v>87</v>
      </c>
      <c r="E39" s="1186">
        <v>38</v>
      </c>
      <c r="F39" s="1186">
        <v>40</v>
      </c>
      <c r="G39" s="1186">
        <v>19</v>
      </c>
      <c r="H39" s="1186">
        <v>197</v>
      </c>
      <c r="I39" s="1186">
        <v>31</v>
      </c>
      <c r="J39" s="1186">
        <v>115410</v>
      </c>
    </row>
    <row r="40" spans="1:10" x14ac:dyDescent="0.2">
      <c r="A40" s="1186" t="s">
        <v>20</v>
      </c>
      <c r="B40" s="1186" t="s">
        <v>26</v>
      </c>
      <c r="C40" s="1186">
        <v>244</v>
      </c>
      <c r="D40" s="1186">
        <v>126</v>
      </c>
      <c r="E40" s="1186">
        <v>62</v>
      </c>
      <c r="F40" s="1186">
        <v>32</v>
      </c>
      <c r="G40" s="1186">
        <v>24</v>
      </c>
      <c r="H40" s="1186">
        <v>260</v>
      </c>
      <c r="I40" s="1186">
        <v>123</v>
      </c>
      <c r="J40" s="1186">
        <v>88620</v>
      </c>
    </row>
    <row r="41" spans="1:10" x14ac:dyDescent="0.2">
      <c r="A41" s="1186" t="s">
        <v>20</v>
      </c>
      <c r="B41" s="1186" t="s">
        <v>619</v>
      </c>
      <c r="C41" s="1186">
        <v>1403</v>
      </c>
      <c r="D41" s="1186">
        <v>728</v>
      </c>
      <c r="E41" s="1186">
        <v>333</v>
      </c>
      <c r="F41" s="1186">
        <v>196</v>
      </c>
      <c r="G41" s="1186">
        <v>146</v>
      </c>
      <c r="H41" s="1186">
        <v>1886</v>
      </c>
      <c r="I41" s="1186">
        <v>14</v>
      </c>
      <c r="J41" s="1186">
        <v>469930</v>
      </c>
    </row>
    <row r="42" spans="1:10" x14ac:dyDescent="0.2">
      <c r="A42" s="1186" t="s">
        <v>20</v>
      </c>
      <c r="B42" s="1186" t="s">
        <v>27</v>
      </c>
      <c r="C42" s="1186">
        <v>115</v>
      </c>
      <c r="D42" s="1186">
        <v>49</v>
      </c>
      <c r="E42" s="1186">
        <v>25</v>
      </c>
      <c r="F42" s="1186">
        <v>19</v>
      </c>
      <c r="G42" s="1186">
        <v>22</v>
      </c>
      <c r="H42" s="1186">
        <v>196</v>
      </c>
      <c r="I42" s="1186">
        <v>4</v>
      </c>
      <c r="J42" s="1186">
        <v>51330</v>
      </c>
    </row>
    <row r="43" spans="1:10" x14ac:dyDescent="0.2">
      <c r="A43" s="1186" t="s">
        <v>20</v>
      </c>
      <c r="B43" s="1186" t="s">
        <v>28</v>
      </c>
      <c r="C43" s="1186">
        <v>269</v>
      </c>
      <c r="D43" s="1186">
        <v>110</v>
      </c>
      <c r="E43" s="1186">
        <v>81</v>
      </c>
      <c r="F43" s="1186">
        <v>65</v>
      </c>
      <c r="G43" s="1186">
        <v>13</v>
      </c>
      <c r="H43" s="1186">
        <v>260</v>
      </c>
      <c r="I43" s="1186">
        <v>135</v>
      </c>
      <c r="J43" s="1186">
        <v>151100</v>
      </c>
    </row>
    <row r="44" spans="1:10" x14ac:dyDescent="0.2">
      <c r="A44" s="1186" t="s">
        <v>20</v>
      </c>
      <c r="B44" s="1186" t="s">
        <v>29</v>
      </c>
      <c r="C44" s="1186">
        <v>530</v>
      </c>
      <c r="D44" s="1186">
        <v>332</v>
      </c>
      <c r="E44" s="1186">
        <v>103</v>
      </c>
      <c r="F44" s="1186">
        <v>69</v>
      </c>
      <c r="G44" s="1186">
        <v>26</v>
      </c>
      <c r="H44" s="1186">
        <v>914</v>
      </c>
      <c r="I44" s="1186">
        <v>1</v>
      </c>
      <c r="J44" s="1186">
        <v>146060</v>
      </c>
    </row>
    <row r="45" spans="1:10" x14ac:dyDescent="0.2">
      <c r="A45" s="1186" t="s">
        <v>20</v>
      </c>
      <c r="B45" s="1186" t="s">
        <v>30</v>
      </c>
      <c r="C45" s="1186">
        <v>268</v>
      </c>
      <c r="D45" s="1186">
        <v>118</v>
      </c>
      <c r="E45" s="1186">
        <v>44</v>
      </c>
      <c r="F45" s="1186">
        <v>62</v>
      </c>
      <c r="G45" s="1186">
        <v>44</v>
      </c>
      <c r="H45" s="1186">
        <v>1076</v>
      </c>
      <c r="I45" s="1186">
        <v>18</v>
      </c>
      <c r="J45" s="1186">
        <v>122410</v>
      </c>
    </row>
    <row r="46" spans="1:10" x14ac:dyDescent="0.2">
      <c r="A46" s="1186" t="s">
        <v>20</v>
      </c>
      <c r="B46" s="1186" t="s">
        <v>31</v>
      </c>
      <c r="C46" s="1186">
        <v>156</v>
      </c>
      <c r="D46" s="1186">
        <v>69</v>
      </c>
      <c r="E46" s="1186">
        <v>37</v>
      </c>
      <c r="F46" s="1186">
        <v>35</v>
      </c>
      <c r="G46" s="1186">
        <v>15</v>
      </c>
      <c r="H46" s="1186">
        <v>342</v>
      </c>
      <c r="I46" s="1186">
        <v>1</v>
      </c>
      <c r="J46" s="1186">
        <v>104920</v>
      </c>
    </row>
    <row r="47" spans="1:10" x14ac:dyDescent="0.2">
      <c r="A47" s="1186" t="s">
        <v>20</v>
      </c>
      <c r="B47" s="1186" t="s">
        <v>32</v>
      </c>
      <c r="C47" s="1186">
        <v>209</v>
      </c>
      <c r="D47" s="1186">
        <v>88</v>
      </c>
      <c r="E47" s="1186">
        <v>41</v>
      </c>
      <c r="F47" s="1186">
        <v>42</v>
      </c>
      <c r="G47" s="1186">
        <v>38</v>
      </c>
      <c r="H47" s="1186">
        <v>286</v>
      </c>
      <c r="I47" s="1186">
        <v>29</v>
      </c>
      <c r="J47" s="1186">
        <v>99140</v>
      </c>
    </row>
    <row r="48" spans="1:10" x14ac:dyDescent="0.2">
      <c r="A48" s="1186" t="s">
        <v>20</v>
      </c>
      <c r="B48" s="1186" t="s">
        <v>33</v>
      </c>
      <c r="C48" s="1186">
        <v>132</v>
      </c>
      <c r="D48" s="1186">
        <v>58</v>
      </c>
      <c r="E48" s="1186">
        <v>26</v>
      </c>
      <c r="F48" s="1186">
        <v>34</v>
      </c>
      <c r="G48" s="1186">
        <v>14</v>
      </c>
      <c r="H48" s="1186">
        <v>293</v>
      </c>
      <c r="I48" s="1186">
        <v>3</v>
      </c>
      <c r="J48" s="1186">
        <v>90410</v>
      </c>
    </row>
    <row r="49" spans="1:10" x14ac:dyDescent="0.2">
      <c r="A49" s="1186" t="s">
        <v>20</v>
      </c>
      <c r="B49" s="1186" t="s">
        <v>34</v>
      </c>
      <c r="C49" s="1186">
        <v>311</v>
      </c>
      <c r="D49" s="1186">
        <v>130</v>
      </c>
      <c r="E49" s="1186">
        <v>82</v>
      </c>
      <c r="F49" s="1186">
        <v>52</v>
      </c>
      <c r="G49" s="1186">
        <v>47</v>
      </c>
      <c r="H49" s="1186">
        <v>728</v>
      </c>
      <c r="I49" s="1186">
        <v>14</v>
      </c>
      <c r="J49" s="1186">
        <v>155130</v>
      </c>
    </row>
    <row r="50" spans="1:10" x14ac:dyDescent="0.2">
      <c r="A50" s="1186" t="s">
        <v>20</v>
      </c>
      <c r="B50" s="1186" t="s">
        <v>35</v>
      </c>
      <c r="C50" s="1186">
        <v>659</v>
      </c>
      <c r="D50" s="1186">
        <v>301</v>
      </c>
      <c r="E50" s="1186">
        <v>137</v>
      </c>
      <c r="F50" s="1186">
        <v>155</v>
      </c>
      <c r="G50" s="1186">
        <v>66</v>
      </c>
      <c r="H50" s="1186">
        <v>1125</v>
      </c>
      <c r="I50" s="1186">
        <v>49</v>
      </c>
      <c r="J50" s="1186">
        <v>362610</v>
      </c>
    </row>
    <row r="51" spans="1:10" x14ac:dyDescent="0.2">
      <c r="A51" s="1186" t="s">
        <v>20</v>
      </c>
      <c r="B51" s="1186" t="s">
        <v>36</v>
      </c>
      <c r="C51" s="1186">
        <v>2205</v>
      </c>
      <c r="D51" s="1186">
        <v>1179</v>
      </c>
      <c r="E51" s="1186">
        <v>440</v>
      </c>
      <c r="F51" s="1186">
        <v>434</v>
      </c>
      <c r="G51" s="1186">
        <v>152</v>
      </c>
      <c r="H51" s="1186">
        <v>3958</v>
      </c>
      <c r="I51" s="1186">
        <v>10</v>
      </c>
      <c r="J51" s="1186">
        <v>586500</v>
      </c>
    </row>
    <row r="52" spans="1:10" x14ac:dyDescent="0.2">
      <c r="A52" s="1186" t="s">
        <v>20</v>
      </c>
      <c r="B52" s="1186" t="s">
        <v>37</v>
      </c>
      <c r="C52" s="1186">
        <v>416</v>
      </c>
      <c r="D52" s="1186">
        <v>162</v>
      </c>
      <c r="E52" s="1186">
        <v>90</v>
      </c>
      <c r="F52" s="1186">
        <v>88</v>
      </c>
      <c r="G52" s="1186">
        <v>76</v>
      </c>
      <c r="H52" s="1186">
        <v>597</v>
      </c>
      <c r="I52" s="1186">
        <v>471</v>
      </c>
      <c r="J52" s="1186">
        <v>230730</v>
      </c>
    </row>
    <row r="53" spans="1:10" x14ac:dyDescent="0.2">
      <c r="A53" s="1186" t="s">
        <v>20</v>
      </c>
      <c r="B53" s="1186" t="s">
        <v>38</v>
      </c>
      <c r="C53" s="1186">
        <v>279</v>
      </c>
      <c r="D53" s="1186">
        <v>132</v>
      </c>
      <c r="E53" s="1186">
        <v>61</v>
      </c>
      <c r="F53" s="1186">
        <v>55</v>
      </c>
      <c r="G53" s="1186">
        <v>31</v>
      </c>
      <c r="H53" s="1186">
        <v>899</v>
      </c>
      <c r="I53" s="1186">
        <v>2</v>
      </c>
      <c r="J53" s="1186">
        <v>81510</v>
      </c>
    </row>
    <row r="54" spans="1:10" x14ac:dyDescent="0.2">
      <c r="A54" s="1186" t="s">
        <v>20</v>
      </c>
      <c r="B54" s="1186" t="s">
        <v>39</v>
      </c>
      <c r="C54" s="1186">
        <v>189</v>
      </c>
      <c r="D54" s="1186">
        <v>73</v>
      </c>
      <c r="E54" s="1186">
        <v>33</v>
      </c>
      <c r="F54" s="1186">
        <v>45</v>
      </c>
      <c r="G54" s="1186">
        <v>38</v>
      </c>
      <c r="H54" s="1186">
        <v>360</v>
      </c>
      <c r="I54" s="1186">
        <v>18</v>
      </c>
      <c r="J54" s="1186">
        <v>82360</v>
      </c>
    </row>
    <row r="55" spans="1:10" x14ac:dyDescent="0.2">
      <c r="A55" s="1186" t="s">
        <v>20</v>
      </c>
      <c r="B55" s="1186" t="s">
        <v>40</v>
      </c>
      <c r="C55" s="1186">
        <v>160</v>
      </c>
      <c r="D55" s="1186">
        <v>76</v>
      </c>
      <c r="E55" s="1186">
        <v>46</v>
      </c>
      <c r="F55" s="1186">
        <v>26</v>
      </c>
      <c r="G55" s="1186">
        <v>12</v>
      </c>
      <c r="H55" s="1186">
        <v>173</v>
      </c>
      <c r="I55" s="1186">
        <v>66</v>
      </c>
      <c r="J55" s="1186">
        <v>93690</v>
      </c>
    </row>
    <row r="56" spans="1:10" x14ac:dyDescent="0.2">
      <c r="A56" s="1186" t="s">
        <v>20</v>
      </c>
      <c r="B56" s="1186" t="s">
        <v>295</v>
      </c>
      <c r="C56" s="1186">
        <v>45</v>
      </c>
      <c r="D56" s="1186">
        <v>17</v>
      </c>
      <c r="E56" s="1186">
        <v>10</v>
      </c>
      <c r="F56" s="1186">
        <v>11</v>
      </c>
      <c r="G56" s="1186">
        <v>7</v>
      </c>
      <c r="H56" s="1186">
        <v>46</v>
      </c>
      <c r="I56" s="1186">
        <v>82</v>
      </c>
      <c r="J56" s="1186">
        <v>27600</v>
      </c>
    </row>
    <row r="57" spans="1:10" x14ac:dyDescent="0.2">
      <c r="A57" s="1186" t="s">
        <v>20</v>
      </c>
      <c r="B57" s="1186" t="s">
        <v>41</v>
      </c>
      <c r="C57" s="1186">
        <v>349</v>
      </c>
      <c r="D57" s="1186">
        <v>167</v>
      </c>
      <c r="E57" s="1186">
        <v>78</v>
      </c>
      <c r="F57" s="1186">
        <v>61</v>
      </c>
      <c r="G57" s="1186">
        <v>43</v>
      </c>
      <c r="H57" s="1186">
        <v>1023</v>
      </c>
      <c r="I57" s="1186">
        <v>19</v>
      </c>
      <c r="J57" s="1186">
        <v>137800</v>
      </c>
    </row>
    <row r="58" spans="1:10" x14ac:dyDescent="0.2">
      <c r="A58" s="1186" t="s">
        <v>20</v>
      </c>
      <c r="B58" s="1186" t="s">
        <v>42</v>
      </c>
      <c r="C58" s="1186">
        <v>841</v>
      </c>
      <c r="D58" s="1186">
        <v>370</v>
      </c>
      <c r="E58" s="1186">
        <v>129</v>
      </c>
      <c r="F58" s="1186">
        <v>236</v>
      </c>
      <c r="G58" s="1186">
        <v>106</v>
      </c>
      <c r="H58" s="1186">
        <v>2719</v>
      </c>
      <c r="I58" s="1186">
        <v>11</v>
      </c>
      <c r="J58" s="1186">
        <v>336280</v>
      </c>
    </row>
    <row r="59" spans="1:10" x14ac:dyDescent="0.2">
      <c r="A59" s="1186" t="s">
        <v>20</v>
      </c>
      <c r="B59" s="1186" t="s">
        <v>43</v>
      </c>
      <c r="C59" s="1186">
        <v>35</v>
      </c>
      <c r="D59" s="1186">
        <v>9</v>
      </c>
      <c r="E59" s="1186">
        <v>8</v>
      </c>
      <c r="F59" s="1186">
        <v>13</v>
      </c>
      <c r="G59" s="1186">
        <v>5</v>
      </c>
      <c r="H59" s="1186">
        <v>11</v>
      </c>
      <c r="I59" s="1186">
        <v>19</v>
      </c>
      <c r="J59" s="1186">
        <v>21220</v>
      </c>
    </row>
    <row r="60" spans="1:10" x14ac:dyDescent="0.2">
      <c r="A60" s="1186" t="s">
        <v>20</v>
      </c>
      <c r="B60" s="1186" t="s">
        <v>44</v>
      </c>
      <c r="C60" s="1186">
        <v>321</v>
      </c>
      <c r="D60" s="1186">
        <v>138</v>
      </c>
      <c r="E60" s="1186">
        <v>69</v>
      </c>
      <c r="F60" s="1186">
        <v>97</v>
      </c>
      <c r="G60" s="1186">
        <v>17</v>
      </c>
      <c r="H60" s="1186">
        <v>270</v>
      </c>
      <c r="I60" s="1186">
        <v>78</v>
      </c>
      <c r="J60" s="1186">
        <v>145600</v>
      </c>
    </row>
    <row r="61" spans="1:10" x14ac:dyDescent="0.2">
      <c r="A61" s="1186" t="s">
        <v>20</v>
      </c>
      <c r="B61" s="1186" t="s">
        <v>45</v>
      </c>
      <c r="C61" s="1186">
        <v>496</v>
      </c>
      <c r="D61" s="1186">
        <v>246</v>
      </c>
      <c r="E61" s="1186">
        <v>98</v>
      </c>
      <c r="F61" s="1186">
        <v>104</v>
      </c>
      <c r="G61" s="1186">
        <v>48</v>
      </c>
      <c r="H61" s="1186">
        <v>1080</v>
      </c>
      <c r="I61" s="1186">
        <v>3</v>
      </c>
      <c r="J61" s="1186">
        <v>173700</v>
      </c>
    </row>
    <row r="62" spans="1:10" x14ac:dyDescent="0.2">
      <c r="A62" s="1186" t="s">
        <v>20</v>
      </c>
      <c r="B62" s="1186" t="s">
        <v>46</v>
      </c>
      <c r="C62" s="1186">
        <v>249</v>
      </c>
      <c r="D62" s="1186">
        <v>113</v>
      </c>
      <c r="E62" s="1186">
        <v>49</v>
      </c>
      <c r="F62" s="1186">
        <v>38</v>
      </c>
      <c r="G62" s="1186">
        <v>49</v>
      </c>
      <c r="H62" s="1186">
        <v>150</v>
      </c>
      <c r="I62" s="1186">
        <v>94</v>
      </c>
      <c r="J62" s="1186">
        <v>113700</v>
      </c>
    </row>
    <row r="63" spans="1:10" x14ac:dyDescent="0.2">
      <c r="A63" s="1186" t="s">
        <v>20</v>
      </c>
      <c r="B63" s="1186" t="s">
        <v>47</v>
      </c>
      <c r="C63" s="1186">
        <v>21</v>
      </c>
      <c r="D63" s="1186">
        <v>10</v>
      </c>
      <c r="E63" s="1186">
        <v>2</v>
      </c>
      <c r="F63" s="1186">
        <v>4</v>
      </c>
      <c r="G63" s="1186">
        <v>5</v>
      </c>
      <c r="H63" s="1186">
        <v>17</v>
      </c>
      <c r="I63" s="1186">
        <v>18</v>
      </c>
      <c r="J63" s="1186">
        <v>23060</v>
      </c>
    </row>
    <row r="64" spans="1:10" x14ac:dyDescent="0.2">
      <c r="A64" s="1186" t="s">
        <v>20</v>
      </c>
      <c r="B64" s="1186" t="s">
        <v>48</v>
      </c>
      <c r="C64" s="1186">
        <v>218</v>
      </c>
      <c r="D64" s="1186">
        <v>107</v>
      </c>
      <c r="E64" s="1186">
        <v>59</v>
      </c>
      <c r="F64" s="1186">
        <v>33</v>
      </c>
      <c r="G64" s="1186">
        <v>19</v>
      </c>
      <c r="H64" s="1186">
        <v>620</v>
      </c>
      <c r="I64" s="1186">
        <v>19</v>
      </c>
      <c r="J64" s="1186">
        <v>112600</v>
      </c>
    </row>
    <row r="65" spans="1:10" x14ac:dyDescent="0.2">
      <c r="A65" s="1186" t="s">
        <v>20</v>
      </c>
      <c r="B65" s="1186" t="s">
        <v>49</v>
      </c>
      <c r="C65" s="1186">
        <v>773</v>
      </c>
      <c r="D65" s="1186">
        <v>316</v>
      </c>
      <c r="E65" s="1186">
        <v>165</v>
      </c>
      <c r="F65" s="1186">
        <v>192</v>
      </c>
      <c r="G65" s="1186">
        <v>100</v>
      </c>
      <c r="H65" s="1186">
        <v>1944</v>
      </c>
      <c r="I65" s="1186">
        <v>32</v>
      </c>
      <c r="J65" s="1186">
        <v>313180</v>
      </c>
    </row>
    <row r="66" spans="1:10" x14ac:dyDescent="0.2">
      <c r="A66" s="1186" t="s">
        <v>20</v>
      </c>
      <c r="B66" s="1186" t="s">
        <v>50</v>
      </c>
      <c r="C66" s="1186">
        <v>188</v>
      </c>
      <c r="D66" s="1186">
        <v>75</v>
      </c>
      <c r="E66" s="1186">
        <v>61</v>
      </c>
      <c r="F66" s="1186">
        <v>37</v>
      </c>
      <c r="G66" s="1186">
        <v>15</v>
      </c>
      <c r="H66" s="1186">
        <v>227</v>
      </c>
      <c r="I66" s="1186">
        <v>33</v>
      </c>
      <c r="J66" s="1186">
        <v>89550</v>
      </c>
    </row>
    <row r="67" spans="1:10" x14ac:dyDescent="0.2">
      <c r="A67" s="1186" t="s">
        <v>20</v>
      </c>
      <c r="B67" s="1186" t="s">
        <v>51</v>
      </c>
      <c r="C67" s="1186">
        <v>288</v>
      </c>
      <c r="D67" s="1186">
        <v>151</v>
      </c>
      <c r="E67" s="1186">
        <v>45</v>
      </c>
      <c r="F67" s="1186">
        <v>71</v>
      </c>
      <c r="G67" s="1186">
        <v>21</v>
      </c>
      <c r="H67" s="1186">
        <v>856</v>
      </c>
      <c r="I67" s="1186">
        <v>7</v>
      </c>
      <c r="J67" s="1186">
        <v>90800</v>
      </c>
    </row>
    <row r="68" spans="1:10" x14ac:dyDescent="0.2">
      <c r="A68" s="1186" t="s">
        <v>20</v>
      </c>
      <c r="B68" s="1186" t="s">
        <v>52</v>
      </c>
      <c r="C68" s="1186">
        <v>507</v>
      </c>
      <c r="D68" s="1186">
        <v>213</v>
      </c>
      <c r="E68" s="1186">
        <v>98</v>
      </c>
      <c r="F68" s="1186">
        <v>105</v>
      </c>
      <c r="G68" s="1186">
        <v>91</v>
      </c>
      <c r="H68" s="1186">
        <v>918</v>
      </c>
      <c r="I68" s="1186">
        <v>14</v>
      </c>
      <c r="J68" s="1186">
        <v>174090</v>
      </c>
    </row>
    <row r="69" spans="1:10" x14ac:dyDescent="0.2">
      <c r="A69" s="1186" t="s">
        <v>13</v>
      </c>
      <c r="B69" s="1186" t="s">
        <v>23</v>
      </c>
      <c r="C69" s="1186">
        <v>649</v>
      </c>
      <c r="D69" s="1186">
        <v>375</v>
      </c>
      <c r="E69" s="1186">
        <v>155</v>
      </c>
      <c r="F69" s="1186">
        <v>96</v>
      </c>
      <c r="G69" s="1186">
        <v>23</v>
      </c>
      <c r="H69" s="1186">
        <v>605</v>
      </c>
      <c r="I69" s="1186">
        <v>13</v>
      </c>
      <c r="J69" s="1186">
        <v>222460</v>
      </c>
    </row>
    <row r="70" spans="1:10" x14ac:dyDescent="0.2">
      <c r="A70" s="1186" t="s">
        <v>13</v>
      </c>
      <c r="B70" s="1186" t="s">
        <v>24</v>
      </c>
      <c r="C70" s="1186">
        <v>433</v>
      </c>
      <c r="D70" s="1186">
        <v>207</v>
      </c>
      <c r="E70" s="1186">
        <v>93</v>
      </c>
      <c r="F70" s="1186">
        <v>82</v>
      </c>
      <c r="G70" s="1186">
        <v>51</v>
      </c>
      <c r="H70" s="1186">
        <v>293</v>
      </c>
      <c r="I70" s="1186">
        <v>102</v>
      </c>
      <c r="J70" s="1186">
        <v>253650</v>
      </c>
    </row>
    <row r="71" spans="1:10" x14ac:dyDescent="0.2">
      <c r="A71" s="1186" t="s">
        <v>13</v>
      </c>
      <c r="B71" s="1186" t="s">
        <v>25</v>
      </c>
      <c r="C71" s="1186">
        <v>182</v>
      </c>
      <c r="D71" s="1186">
        <v>101</v>
      </c>
      <c r="E71" s="1186">
        <v>32</v>
      </c>
      <c r="F71" s="1186">
        <v>35</v>
      </c>
      <c r="G71" s="1186">
        <v>14</v>
      </c>
      <c r="H71" s="1186">
        <v>201</v>
      </c>
      <c r="I71" s="1186">
        <v>34</v>
      </c>
      <c r="J71" s="1186">
        <v>116200</v>
      </c>
    </row>
    <row r="72" spans="1:10" x14ac:dyDescent="0.2">
      <c r="A72" s="1186" t="s">
        <v>13</v>
      </c>
      <c r="B72" s="1186" t="s">
        <v>26</v>
      </c>
      <c r="C72" s="1186">
        <v>202</v>
      </c>
      <c r="D72" s="1186">
        <v>92</v>
      </c>
      <c r="E72" s="1186">
        <v>56</v>
      </c>
      <c r="F72" s="1186">
        <v>33</v>
      </c>
      <c r="G72" s="1186">
        <v>21</v>
      </c>
      <c r="H72" s="1186">
        <v>160</v>
      </c>
      <c r="I72" s="1186">
        <v>97</v>
      </c>
      <c r="J72" s="1186">
        <v>88930</v>
      </c>
    </row>
    <row r="73" spans="1:10" x14ac:dyDescent="0.2">
      <c r="A73" s="1186" t="s">
        <v>13</v>
      </c>
      <c r="B73" s="1186" t="s">
        <v>619</v>
      </c>
      <c r="C73" s="1186">
        <v>1398</v>
      </c>
      <c r="D73" s="1186">
        <v>746</v>
      </c>
      <c r="E73" s="1186">
        <v>316</v>
      </c>
      <c r="F73" s="1186">
        <v>195</v>
      </c>
      <c r="G73" s="1186">
        <v>141</v>
      </c>
      <c r="H73" s="1186">
        <v>1815</v>
      </c>
      <c r="I73" s="1186">
        <v>14</v>
      </c>
      <c r="J73" s="1186">
        <v>477940</v>
      </c>
    </row>
    <row r="74" spans="1:10" x14ac:dyDescent="0.2">
      <c r="A74" s="1186" t="s">
        <v>13</v>
      </c>
      <c r="B74" s="1186" t="s">
        <v>27</v>
      </c>
      <c r="C74" s="1186">
        <v>90</v>
      </c>
      <c r="D74" s="1186">
        <v>58</v>
      </c>
      <c r="E74" s="1186">
        <v>16</v>
      </c>
      <c r="F74" s="1186">
        <v>11</v>
      </c>
      <c r="G74" s="1186">
        <v>5</v>
      </c>
      <c r="H74" s="1186">
        <v>120</v>
      </c>
      <c r="I74" s="1186">
        <v>3</v>
      </c>
      <c r="J74" s="1186">
        <v>51500</v>
      </c>
    </row>
    <row r="75" spans="1:10" x14ac:dyDescent="0.2">
      <c r="A75" s="1186" t="s">
        <v>13</v>
      </c>
      <c r="B75" s="1186" t="s">
        <v>28</v>
      </c>
      <c r="C75" s="1186">
        <v>266</v>
      </c>
      <c r="D75" s="1186">
        <v>106</v>
      </c>
      <c r="E75" s="1186">
        <v>57</v>
      </c>
      <c r="F75" s="1186">
        <v>84</v>
      </c>
      <c r="G75" s="1186">
        <v>19</v>
      </c>
      <c r="H75" s="1186">
        <v>184</v>
      </c>
      <c r="I75" s="1186">
        <v>73</v>
      </c>
      <c r="J75" s="1186">
        <v>151410</v>
      </c>
    </row>
    <row r="76" spans="1:10" x14ac:dyDescent="0.2">
      <c r="A76" s="1186" t="s">
        <v>13</v>
      </c>
      <c r="B76" s="1186" t="s">
        <v>29</v>
      </c>
      <c r="C76" s="1186">
        <v>443</v>
      </c>
      <c r="D76" s="1186">
        <v>276</v>
      </c>
      <c r="E76" s="1186">
        <v>85</v>
      </c>
      <c r="F76" s="1186">
        <v>58</v>
      </c>
      <c r="G76" s="1186">
        <v>24</v>
      </c>
      <c r="H76" s="1186">
        <v>716</v>
      </c>
      <c r="I76" s="1186">
        <v>1</v>
      </c>
      <c r="J76" s="1186">
        <v>147200</v>
      </c>
    </row>
    <row r="77" spans="1:10" x14ac:dyDescent="0.2">
      <c r="A77" s="1186" t="s">
        <v>13</v>
      </c>
      <c r="B77" s="1186" t="s">
        <v>30</v>
      </c>
      <c r="C77" s="1186">
        <v>261</v>
      </c>
      <c r="D77" s="1186">
        <v>116</v>
      </c>
      <c r="E77" s="1186">
        <v>63</v>
      </c>
      <c r="F77" s="1186">
        <v>57</v>
      </c>
      <c r="G77" s="1186">
        <v>25</v>
      </c>
      <c r="H77" s="1186">
        <v>753</v>
      </c>
      <c r="I77" s="1186">
        <v>15</v>
      </c>
      <c r="J77" s="1186">
        <v>122690</v>
      </c>
    </row>
    <row r="78" spans="1:10" x14ac:dyDescent="0.2">
      <c r="A78" s="1186" t="s">
        <v>13</v>
      </c>
      <c r="B78" s="1186" t="s">
        <v>31</v>
      </c>
      <c r="C78" s="1186">
        <v>134</v>
      </c>
      <c r="D78" s="1186">
        <v>65</v>
      </c>
      <c r="E78" s="1186">
        <v>31</v>
      </c>
      <c r="F78" s="1186">
        <v>31</v>
      </c>
      <c r="G78" s="1186">
        <v>7</v>
      </c>
      <c r="H78" s="1186">
        <v>201</v>
      </c>
      <c r="I78" s="1186">
        <v>2</v>
      </c>
      <c r="J78" s="1186">
        <v>105000</v>
      </c>
    </row>
    <row r="79" spans="1:10" x14ac:dyDescent="0.2">
      <c r="A79" s="1186" t="s">
        <v>13</v>
      </c>
      <c r="B79" s="1186" t="s">
        <v>32</v>
      </c>
      <c r="C79" s="1186">
        <v>219</v>
      </c>
      <c r="D79" s="1186">
        <v>98</v>
      </c>
      <c r="E79" s="1186">
        <v>42</v>
      </c>
      <c r="F79" s="1186">
        <v>24</v>
      </c>
      <c r="G79" s="1186">
        <v>55</v>
      </c>
      <c r="H79" s="1186">
        <v>289</v>
      </c>
      <c r="I79" s="1186">
        <v>30</v>
      </c>
      <c r="J79" s="1186">
        <v>99920</v>
      </c>
    </row>
    <row r="80" spans="1:10" x14ac:dyDescent="0.2">
      <c r="A80" s="1186" t="s">
        <v>13</v>
      </c>
      <c r="B80" s="1186" t="s">
        <v>33</v>
      </c>
      <c r="C80" s="1186">
        <v>147</v>
      </c>
      <c r="D80" s="1186">
        <v>68</v>
      </c>
      <c r="E80" s="1186">
        <v>30</v>
      </c>
      <c r="F80" s="1186">
        <v>34</v>
      </c>
      <c r="G80" s="1186">
        <v>15</v>
      </c>
      <c r="H80" s="1186">
        <v>190</v>
      </c>
      <c r="I80" s="1186">
        <v>6</v>
      </c>
      <c r="J80" s="1186">
        <v>90810</v>
      </c>
    </row>
    <row r="81" spans="1:10" x14ac:dyDescent="0.2">
      <c r="A81" s="1186" t="s">
        <v>13</v>
      </c>
      <c r="B81" s="1186" t="s">
        <v>34</v>
      </c>
      <c r="C81" s="1186">
        <v>283</v>
      </c>
      <c r="D81" s="1186">
        <v>119</v>
      </c>
      <c r="E81" s="1186">
        <v>75</v>
      </c>
      <c r="F81" s="1186">
        <v>53</v>
      </c>
      <c r="G81" s="1186">
        <v>36</v>
      </c>
      <c r="H81" s="1186">
        <v>571</v>
      </c>
      <c r="I81" s="1186">
        <v>11</v>
      </c>
      <c r="J81" s="1186">
        <v>156250</v>
      </c>
    </row>
    <row r="82" spans="1:10" x14ac:dyDescent="0.2">
      <c r="A82" s="1186" t="s">
        <v>13</v>
      </c>
      <c r="B82" s="1186" t="s">
        <v>35</v>
      </c>
      <c r="C82" s="1186">
        <v>632</v>
      </c>
      <c r="D82" s="1186">
        <v>303</v>
      </c>
      <c r="E82" s="1186">
        <v>133</v>
      </c>
      <c r="F82" s="1186">
        <v>120</v>
      </c>
      <c r="G82" s="1186">
        <v>76</v>
      </c>
      <c r="H82" s="1186">
        <v>986</v>
      </c>
      <c r="I82" s="1186">
        <v>39</v>
      </c>
      <c r="J82" s="1186">
        <v>365300</v>
      </c>
    </row>
    <row r="83" spans="1:10" x14ac:dyDescent="0.2">
      <c r="A83" s="1186" t="s">
        <v>13</v>
      </c>
      <c r="B83" s="1186" t="s">
        <v>36</v>
      </c>
      <c r="C83" s="1186">
        <v>2179</v>
      </c>
      <c r="D83" s="1186">
        <v>1213</v>
      </c>
      <c r="E83" s="1186">
        <v>511</v>
      </c>
      <c r="F83" s="1186">
        <v>351</v>
      </c>
      <c r="G83" s="1186">
        <v>104</v>
      </c>
      <c r="H83" s="1186">
        <v>2828</v>
      </c>
      <c r="I83" s="1186">
        <v>6</v>
      </c>
      <c r="J83" s="1186">
        <v>593060</v>
      </c>
    </row>
    <row r="84" spans="1:10" x14ac:dyDescent="0.2">
      <c r="A84" s="1186" t="s">
        <v>13</v>
      </c>
      <c r="B84" s="1186" t="s">
        <v>37</v>
      </c>
      <c r="C84" s="1186">
        <v>405</v>
      </c>
      <c r="D84" s="1186">
        <v>143</v>
      </c>
      <c r="E84" s="1186">
        <v>88</v>
      </c>
      <c r="F84" s="1186">
        <v>87</v>
      </c>
      <c r="G84" s="1186">
        <v>87</v>
      </c>
      <c r="H84" s="1186">
        <v>664</v>
      </c>
      <c r="I84" s="1186">
        <v>334</v>
      </c>
      <c r="J84" s="1186">
        <v>232730</v>
      </c>
    </row>
    <row r="85" spans="1:10" x14ac:dyDescent="0.2">
      <c r="A85" s="1186" t="s">
        <v>13</v>
      </c>
      <c r="B85" s="1186" t="s">
        <v>38</v>
      </c>
      <c r="C85" s="1186">
        <v>223</v>
      </c>
      <c r="D85" s="1186">
        <v>108</v>
      </c>
      <c r="E85" s="1186">
        <v>43</v>
      </c>
      <c r="F85" s="1186">
        <v>53</v>
      </c>
      <c r="G85" s="1186">
        <v>19</v>
      </c>
      <c r="H85" s="1186">
        <v>648</v>
      </c>
      <c r="I85" s="1186">
        <v>7</v>
      </c>
      <c r="J85" s="1186">
        <v>81220</v>
      </c>
    </row>
    <row r="86" spans="1:10" x14ac:dyDescent="0.2">
      <c r="A86" s="1186" t="s">
        <v>13</v>
      </c>
      <c r="B86" s="1186" t="s">
        <v>39</v>
      </c>
      <c r="C86" s="1186">
        <v>199</v>
      </c>
      <c r="D86" s="1186">
        <v>79</v>
      </c>
      <c r="E86" s="1186">
        <v>40</v>
      </c>
      <c r="F86" s="1186">
        <v>44</v>
      </c>
      <c r="G86" s="1186">
        <v>36</v>
      </c>
      <c r="H86" s="1186">
        <v>376</v>
      </c>
      <c r="I86" s="1186">
        <v>7</v>
      </c>
      <c r="J86" s="1186">
        <v>83450</v>
      </c>
    </row>
    <row r="87" spans="1:10" x14ac:dyDescent="0.2">
      <c r="A87" s="1186" t="s">
        <v>13</v>
      </c>
      <c r="B87" s="1186" t="s">
        <v>40</v>
      </c>
      <c r="C87" s="1186">
        <v>146</v>
      </c>
      <c r="D87" s="1186">
        <v>75</v>
      </c>
      <c r="E87" s="1186">
        <v>35</v>
      </c>
      <c r="F87" s="1186">
        <v>22</v>
      </c>
      <c r="G87" s="1186">
        <v>14</v>
      </c>
      <c r="H87" s="1186">
        <v>191</v>
      </c>
      <c r="I87" s="1186">
        <v>56</v>
      </c>
      <c r="J87" s="1186">
        <v>93470</v>
      </c>
    </row>
    <row r="88" spans="1:10" x14ac:dyDescent="0.2">
      <c r="A88" s="1186" t="s">
        <v>13</v>
      </c>
      <c r="B88" s="1186" t="s">
        <v>295</v>
      </c>
      <c r="C88" s="1186">
        <v>39</v>
      </c>
      <c r="D88" s="1186">
        <v>17</v>
      </c>
      <c r="E88" s="1186">
        <v>5</v>
      </c>
      <c r="F88" s="1186">
        <v>7</v>
      </c>
      <c r="G88" s="1186">
        <v>10</v>
      </c>
      <c r="H88" s="1186">
        <v>74</v>
      </c>
      <c r="I88" s="1186">
        <v>81</v>
      </c>
      <c r="J88" s="1186">
        <v>27690</v>
      </c>
    </row>
    <row r="89" spans="1:10" x14ac:dyDescent="0.2">
      <c r="A89" s="1186" t="s">
        <v>13</v>
      </c>
      <c r="B89" s="1186" t="s">
        <v>41</v>
      </c>
      <c r="C89" s="1186">
        <v>282</v>
      </c>
      <c r="D89" s="1186">
        <v>142</v>
      </c>
      <c r="E89" s="1186">
        <v>68</v>
      </c>
      <c r="F89" s="1186">
        <v>49</v>
      </c>
      <c r="G89" s="1186">
        <v>23</v>
      </c>
      <c r="H89" s="1186">
        <v>641</v>
      </c>
      <c r="I89" s="1186">
        <v>17</v>
      </c>
      <c r="J89" s="1186">
        <v>138090</v>
      </c>
    </row>
    <row r="90" spans="1:10" x14ac:dyDescent="0.2">
      <c r="A90" s="1186" t="s">
        <v>13</v>
      </c>
      <c r="B90" s="1186" t="s">
        <v>42</v>
      </c>
      <c r="C90" s="1186">
        <v>784</v>
      </c>
      <c r="D90" s="1186">
        <v>345</v>
      </c>
      <c r="E90" s="1186">
        <v>164</v>
      </c>
      <c r="F90" s="1186">
        <v>199</v>
      </c>
      <c r="G90" s="1186">
        <v>76</v>
      </c>
      <c r="H90" s="1186">
        <v>1962</v>
      </c>
      <c r="I90" s="1186">
        <v>9</v>
      </c>
      <c r="J90" s="1186">
        <v>337720</v>
      </c>
    </row>
    <row r="91" spans="1:10" x14ac:dyDescent="0.2">
      <c r="A91" s="1186" t="s">
        <v>13</v>
      </c>
      <c r="B91" s="1186" t="s">
        <v>43</v>
      </c>
      <c r="C91" s="1186">
        <v>30</v>
      </c>
      <c r="D91" s="1186">
        <v>12</v>
      </c>
      <c r="E91" s="1186">
        <v>5</v>
      </c>
      <c r="F91" s="1186">
        <v>11</v>
      </c>
      <c r="G91" s="1186">
        <v>2</v>
      </c>
      <c r="H91" s="1186">
        <v>6</v>
      </c>
      <c r="I91" s="1186">
        <v>19</v>
      </c>
      <c r="J91" s="1186">
        <v>21420</v>
      </c>
    </row>
    <row r="92" spans="1:10" x14ac:dyDescent="0.2">
      <c r="A92" s="1186" t="s">
        <v>13</v>
      </c>
      <c r="B92" s="1186" t="s">
        <v>44</v>
      </c>
      <c r="C92" s="1186">
        <v>307</v>
      </c>
      <c r="D92" s="1186">
        <v>127</v>
      </c>
      <c r="E92" s="1186">
        <v>72</v>
      </c>
      <c r="F92" s="1186">
        <v>81</v>
      </c>
      <c r="G92" s="1186">
        <v>27</v>
      </c>
      <c r="H92" s="1186">
        <v>234</v>
      </c>
      <c r="I92" s="1186">
        <v>83</v>
      </c>
      <c r="J92" s="1186">
        <v>146850</v>
      </c>
    </row>
    <row r="93" spans="1:10" x14ac:dyDescent="0.2">
      <c r="A93" s="1186" t="s">
        <v>13</v>
      </c>
      <c r="B93" s="1186" t="s">
        <v>45</v>
      </c>
      <c r="C93" s="1186">
        <v>462</v>
      </c>
      <c r="D93" s="1186">
        <v>264</v>
      </c>
      <c r="E93" s="1186">
        <v>91</v>
      </c>
      <c r="F93" s="1186">
        <v>78</v>
      </c>
      <c r="G93" s="1186">
        <v>29</v>
      </c>
      <c r="H93" s="1186">
        <v>759</v>
      </c>
      <c r="I93" s="1186">
        <v>4</v>
      </c>
      <c r="J93" s="1186">
        <v>174700</v>
      </c>
    </row>
    <row r="94" spans="1:10" x14ac:dyDescent="0.2">
      <c r="A94" s="1186" t="s">
        <v>13</v>
      </c>
      <c r="B94" s="1186" t="s">
        <v>46</v>
      </c>
      <c r="C94" s="1186">
        <v>224</v>
      </c>
      <c r="D94" s="1186">
        <v>95</v>
      </c>
      <c r="E94" s="1186">
        <v>44</v>
      </c>
      <c r="F94" s="1186">
        <v>42</v>
      </c>
      <c r="G94" s="1186">
        <v>43</v>
      </c>
      <c r="H94" s="1186">
        <v>126</v>
      </c>
      <c r="I94" s="1186">
        <v>75</v>
      </c>
      <c r="J94" s="1186">
        <v>113880</v>
      </c>
    </row>
    <row r="95" spans="1:10" x14ac:dyDescent="0.2">
      <c r="A95" s="1186" t="s">
        <v>13</v>
      </c>
      <c r="B95" s="1186" t="s">
        <v>47</v>
      </c>
      <c r="C95" s="1186">
        <v>29</v>
      </c>
      <c r="D95" s="1186">
        <v>10</v>
      </c>
      <c r="E95" s="1186">
        <v>8</v>
      </c>
      <c r="F95" s="1186">
        <v>1</v>
      </c>
      <c r="G95" s="1186">
        <v>10</v>
      </c>
      <c r="H95" s="1186">
        <v>13</v>
      </c>
      <c r="I95" s="1186">
        <v>13</v>
      </c>
      <c r="J95" s="1186">
        <v>23240</v>
      </c>
    </row>
    <row r="96" spans="1:10" x14ac:dyDescent="0.2">
      <c r="A96" s="1186" t="s">
        <v>13</v>
      </c>
      <c r="B96" s="1186" t="s">
        <v>48</v>
      </c>
      <c r="C96" s="1186">
        <v>184</v>
      </c>
      <c r="D96" s="1186">
        <v>86</v>
      </c>
      <c r="E96" s="1186">
        <v>40</v>
      </c>
      <c r="F96" s="1186">
        <v>42</v>
      </c>
      <c r="G96" s="1186">
        <v>16</v>
      </c>
      <c r="H96" s="1186">
        <v>359</v>
      </c>
      <c r="I96" s="1186">
        <v>28</v>
      </c>
      <c r="J96" s="1186">
        <v>112980</v>
      </c>
    </row>
    <row r="97" spans="1:10" x14ac:dyDescent="0.2">
      <c r="A97" s="1186" t="s">
        <v>13</v>
      </c>
      <c r="B97" s="1186" t="s">
        <v>49</v>
      </c>
      <c r="C97" s="1186">
        <v>642</v>
      </c>
      <c r="D97" s="1186">
        <v>312</v>
      </c>
      <c r="E97" s="1186">
        <v>116</v>
      </c>
      <c r="F97" s="1186">
        <v>160</v>
      </c>
      <c r="G97" s="1186">
        <v>54</v>
      </c>
      <c r="H97" s="1186">
        <v>1293</v>
      </c>
      <c r="I97" s="1186">
        <v>29</v>
      </c>
      <c r="J97" s="1186">
        <v>313900</v>
      </c>
    </row>
    <row r="98" spans="1:10" x14ac:dyDescent="0.2">
      <c r="A98" s="1186" t="s">
        <v>13</v>
      </c>
      <c r="B98" s="1186" t="s">
        <v>50</v>
      </c>
      <c r="C98" s="1186">
        <v>170</v>
      </c>
      <c r="D98" s="1186">
        <v>69</v>
      </c>
      <c r="E98" s="1186">
        <v>54</v>
      </c>
      <c r="F98" s="1186">
        <v>25</v>
      </c>
      <c r="G98" s="1186">
        <v>22</v>
      </c>
      <c r="H98" s="1186">
        <v>168</v>
      </c>
      <c r="I98" s="1186">
        <v>24</v>
      </c>
      <c r="J98" s="1186">
        <v>90330</v>
      </c>
    </row>
    <row r="99" spans="1:10" x14ac:dyDescent="0.2">
      <c r="A99" s="1186" t="s">
        <v>13</v>
      </c>
      <c r="B99" s="1186" t="s">
        <v>51</v>
      </c>
      <c r="C99" s="1186">
        <v>300</v>
      </c>
      <c r="D99" s="1186">
        <v>148</v>
      </c>
      <c r="E99" s="1186">
        <v>46</v>
      </c>
      <c r="F99" s="1186">
        <v>87</v>
      </c>
      <c r="G99" s="1186">
        <v>19</v>
      </c>
      <c r="H99" s="1186">
        <v>510</v>
      </c>
      <c r="I99" s="1186">
        <v>4</v>
      </c>
      <c r="J99" s="1186">
        <v>90610</v>
      </c>
    </row>
    <row r="100" spans="1:10" x14ac:dyDescent="0.2">
      <c r="A100" s="1186" t="s">
        <v>13</v>
      </c>
      <c r="B100" s="1186" t="s">
        <v>52</v>
      </c>
      <c r="C100" s="1186">
        <v>467</v>
      </c>
      <c r="D100" s="1186">
        <v>182</v>
      </c>
      <c r="E100" s="1186">
        <v>103</v>
      </c>
      <c r="F100" s="1186">
        <v>110</v>
      </c>
      <c r="G100" s="1186">
        <v>72</v>
      </c>
      <c r="H100" s="1186">
        <v>747</v>
      </c>
      <c r="I100" s="1186">
        <v>9</v>
      </c>
      <c r="J100" s="1186">
        <v>175300</v>
      </c>
    </row>
    <row r="101" spans="1:10" x14ac:dyDescent="0.2">
      <c r="A101" s="1186" t="s">
        <v>15</v>
      </c>
      <c r="B101" s="1186" t="s">
        <v>23</v>
      </c>
      <c r="C101" s="1186">
        <v>559</v>
      </c>
      <c r="D101" s="1186">
        <v>320</v>
      </c>
      <c r="E101" s="1186">
        <v>132</v>
      </c>
      <c r="F101" s="1186">
        <v>90</v>
      </c>
      <c r="G101" s="1186">
        <v>17</v>
      </c>
      <c r="H101" s="1186">
        <v>447</v>
      </c>
      <c r="I101" s="1186">
        <v>8</v>
      </c>
      <c r="J101" s="1186">
        <v>224910</v>
      </c>
    </row>
    <row r="102" spans="1:10" x14ac:dyDescent="0.2">
      <c r="A102" s="1186" t="s">
        <v>15</v>
      </c>
      <c r="B102" s="1186" t="s">
        <v>24</v>
      </c>
      <c r="C102" s="1186">
        <v>412</v>
      </c>
      <c r="D102" s="1186">
        <v>179</v>
      </c>
      <c r="E102" s="1186">
        <v>89</v>
      </c>
      <c r="F102" s="1186">
        <v>103</v>
      </c>
      <c r="G102" s="1186">
        <v>41</v>
      </c>
      <c r="H102" s="1186">
        <v>205</v>
      </c>
      <c r="I102" s="1186">
        <v>126</v>
      </c>
      <c r="J102" s="1186">
        <v>255560</v>
      </c>
    </row>
    <row r="103" spans="1:10" x14ac:dyDescent="0.2">
      <c r="A103" s="1186" t="s">
        <v>15</v>
      </c>
      <c r="B103" s="1186" t="s">
        <v>25</v>
      </c>
      <c r="C103" s="1186">
        <v>184</v>
      </c>
      <c r="D103" s="1186">
        <v>86</v>
      </c>
      <c r="E103" s="1186">
        <v>48</v>
      </c>
      <c r="F103" s="1186">
        <v>37</v>
      </c>
      <c r="G103" s="1186">
        <v>13</v>
      </c>
      <c r="H103" s="1186">
        <v>137</v>
      </c>
      <c r="I103" s="1186">
        <v>29</v>
      </c>
      <c r="J103" s="1186">
        <v>116220</v>
      </c>
    </row>
    <row r="104" spans="1:10" x14ac:dyDescent="0.2">
      <c r="A104" s="1186" t="s">
        <v>15</v>
      </c>
      <c r="B104" s="1186" t="s">
        <v>26</v>
      </c>
      <c r="C104" s="1186">
        <v>184</v>
      </c>
      <c r="D104" s="1186">
        <v>88</v>
      </c>
      <c r="E104" s="1186">
        <v>46</v>
      </c>
      <c r="F104" s="1186">
        <v>31</v>
      </c>
      <c r="G104" s="1186">
        <v>19</v>
      </c>
      <c r="H104" s="1186">
        <v>148</v>
      </c>
      <c r="I104" s="1186">
        <v>99</v>
      </c>
      <c r="J104" s="1186">
        <v>86910</v>
      </c>
    </row>
    <row r="105" spans="1:10" x14ac:dyDescent="0.2">
      <c r="A105" s="1186" t="s">
        <v>15</v>
      </c>
      <c r="B105" s="1186" t="s">
        <v>619</v>
      </c>
      <c r="C105" s="1186">
        <v>1186</v>
      </c>
      <c r="D105" s="1186">
        <v>700</v>
      </c>
      <c r="E105" s="1186">
        <v>257</v>
      </c>
      <c r="F105" s="1186">
        <v>141</v>
      </c>
      <c r="G105" s="1186">
        <v>88</v>
      </c>
      <c r="H105" s="1186">
        <v>1223</v>
      </c>
      <c r="I105" s="1186">
        <v>11</v>
      </c>
      <c r="J105" s="1186">
        <v>482630</v>
      </c>
    </row>
    <row r="106" spans="1:10" x14ac:dyDescent="0.2">
      <c r="A106" s="1186" t="s">
        <v>15</v>
      </c>
      <c r="B106" s="1186" t="s">
        <v>27</v>
      </c>
      <c r="C106" s="1186">
        <v>83</v>
      </c>
      <c r="D106" s="1186">
        <v>44</v>
      </c>
      <c r="E106" s="1186">
        <v>22</v>
      </c>
      <c r="F106" s="1186">
        <v>8</v>
      </c>
      <c r="G106" s="1186">
        <v>9</v>
      </c>
      <c r="H106" s="1186">
        <v>96</v>
      </c>
      <c r="I106" s="1186">
        <v>4</v>
      </c>
      <c r="J106" s="1186">
        <v>51280</v>
      </c>
    </row>
    <row r="107" spans="1:10" x14ac:dyDescent="0.2">
      <c r="A107" s="1186" t="s">
        <v>15</v>
      </c>
      <c r="B107" s="1186" t="s">
        <v>28</v>
      </c>
      <c r="C107" s="1186">
        <v>237</v>
      </c>
      <c r="D107" s="1186">
        <v>106</v>
      </c>
      <c r="E107" s="1186">
        <v>65</v>
      </c>
      <c r="F107" s="1186">
        <v>55</v>
      </c>
      <c r="G107" s="1186">
        <v>11</v>
      </c>
      <c r="H107" s="1186">
        <v>125</v>
      </c>
      <c r="I107" s="1186">
        <v>107</v>
      </c>
      <c r="J107" s="1186">
        <v>150840</v>
      </c>
    </row>
    <row r="108" spans="1:10" x14ac:dyDescent="0.2">
      <c r="A108" s="1186" t="s">
        <v>15</v>
      </c>
      <c r="B108" s="1186" t="s">
        <v>29</v>
      </c>
      <c r="C108" s="1186">
        <v>396</v>
      </c>
      <c r="D108" s="1186">
        <v>269</v>
      </c>
      <c r="E108" s="1186">
        <v>74</v>
      </c>
      <c r="F108" s="1186">
        <v>38</v>
      </c>
      <c r="G108" s="1186">
        <v>15</v>
      </c>
      <c r="H108" s="1186">
        <v>413</v>
      </c>
      <c r="I108" s="1186"/>
      <c r="J108" s="1186">
        <v>147780</v>
      </c>
    </row>
    <row r="109" spans="1:10" x14ac:dyDescent="0.2">
      <c r="A109" s="1186" t="s">
        <v>15</v>
      </c>
      <c r="B109" s="1186" t="s">
        <v>30</v>
      </c>
      <c r="C109" s="1186">
        <v>230</v>
      </c>
      <c r="D109" s="1186">
        <v>108</v>
      </c>
      <c r="E109" s="1186">
        <v>53</v>
      </c>
      <c r="F109" s="1186">
        <v>51</v>
      </c>
      <c r="G109" s="1186">
        <v>18</v>
      </c>
      <c r="H109" s="1186">
        <v>675</v>
      </c>
      <c r="I109" s="1186">
        <v>19</v>
      </c>
      <c r="J109" s="1186">
        <v>122730</v>
      </c>
    </row>
    <row r="110" spans="1:10" x14ac:dyDescent="0.2">
      <c r="A110" s="1186" t="s">
        <v>15</v>
      </c>
      <c r="B110" s="1186" t="s">
        <v>31</v>
      </c>
      <c r="C110" s="1186">
        <v>154</v>
      </c>
      <c r="D110" s="1186">
        <v>70</v>
      </c>
      <c r="E110" s="1186">
        <v>42</v>
      </c>
      <c r="F110" s="1186">
        <v>36</v>
      </c>
      <c r="G110" s="1186">
        <v>6</v>
      </c>
      <c r="H110" s="1186">
        <v>145</v>
      </c>
      <c r="I110" s="1186">
        <v>4</v>
      </c>
      <c r="J110" s="1186">
        <v>105880</v>
      </c>
    </row>
    <row r="111" spans="1:10" x14ac:dyDescent="0.2">
      <c r="A111" s="1186" t="s">
        <v>15</v>
      </c>
      <c r="B111" s="1186" t="s">
        <v>32</v>
      </c>
      <c r="C111" s="1186">
        <v>186</v>
      </c>
      <c r="D111" s="1186">
        <v>103</v>
      </c>
      <c r="E111" s="1186">
        <v>36</v>
      </c>
      <c r="F111" s="1186">
        <v>31</v>
      </c>
      <c r="G111" s="1186">
        <v>16</v>
      </c>
      <c r="H111" s="1186">
        <v>128</v>
      </c>
      <c r="I111" s="1186">
        <v>23</v>
      </c>
      <c r="J111" s="1186">
        <v>100860</v>
      </c>
    </row>
    <row r="112" spans="1:10" x14ac:dyDescent="0.2">
      <c r="A112" s="1186" t="s">
        <v>15</v>
      </c>
      <c r="B112" s="1186" t="s">
        <v>33</v>
      </c>
      <c r="C112" s="1186">
        <v>138</v>
      </c>
      <c r="D112" s="1186">
        <v>75</v>
      </c>
      <c r="E112" s="1186">
        <v>30</v>
      </c>
      <c r="F112" s="1186">
        <v>24</v>
      </c>
      <c r="G112" s="1186">
        <v>9</v>
      </c>
      <c r="H112" s="1186">
        <v>177</v>
      </c>
      <c r="I112" s="1186">
        <v>9</v>
      </c>
      <c r="J112" s="1186">
        <v>91040</v>
      </c>
    </row>
    <row r="113" spans="1:10" x14ac:dyDescent="0.2">
      <c r="A113" s="1186" t="s">
        <v>15</v>
      </c>
      <c r="B113" s="1186" t="s">
        <v>34</v>
      </c>
      <c r="C113" s="1186">
        <v>222</v>
      </c>
      <c r="D113" s="1186">
        <v>103</v>
      </c>
      <c r="E113" s="1186">
        <v>53</v>
      </c>
      <c r="F113" s="1186">
        <v>47</v>
      </c>
      <c r="G113" s="1186">
        <v>19</v>
      </c>
      <c r="H113" s="1186">
        <v>374</v>
      </c>
      <c r="I113" s="1186">
        <v>3</v>
      </c>
      <c r="J113" s="1186">
        <v>156800</v>
      </c>
    </row>
    <row r="114" spans="1:10" x14ac:dyDescent="0.2">
      <c r="A114" s="1186" t="s">
        <v>15</v>
      </c>
      <c r="B114" s="1186" t="s">
        <v>35</v>
      </c>
      <c r="C114" s="1186">
        <v>626</v>
      </c>
      <c r="D114" s="1186">
        <v>298</v>
      </c>
      <c r="E114" s="1186">
        <v>132</v>
      </c>
      <c r="F114" s="1186">
        <v>128</v>
      </c>
      <c r="G114" s="1186">
        <v>68</v>
      </c>
      <c r="H114" s="1186">
        <v>693</v>
      </c>
      <c r="I114" s="1186">
        <v>39</v>
      </c>
      <c r="J114" s="1186">
        <v>366210</v>
      </c>
    </row>
    <row r="115" spans="1:10" x14ac:dyDescent="0.2">
      <c r="A115" s="1186" t="s">
        <v>15</v>
      </c>
      <c r="B115" s="1186" t="s">
        <v>36</v>
      </c>
      <c r="C115" s="1186">
        <v>1883</v>
      </c>
      <c r="D115" s="1186">
        <v>1040</v>
      </c>
      <c r="E115" s="1186">
        <v>428</v>
      </c>
      <c r="F115" s="1186">
        <v>306</v>
      </c>
      <c r="G115" s="1186">
        <v>109</v>
      </c>
      <c r="H115" s="1186">
        <v>2475</v>
      </c>
      <c r="I115" s="1186">
        <v>8</v>
      </c>
      <c r="J115" s="1186">
        <v>595070</v>
      </c>
    </row>
    <row r="116" spans="1:10" x14ac:dyDescent="0.2">
      <c r="A116" s="1186" t="s">
        <v>15</v>
      </c>
      <c r="B116" s="1186" t="s">
        <v>37</v>
      </c>
      <c r="C116" s="1186">
        <v>354</v>
      </c>
      <c r="D116" s="1186">
        <v>132</v>
      </c>
      <c r="E116" s="1186">
        <v>88</v>
      </c>
      <c r="F116" s="1186">
        <v>91</v>
      </c>
      <c r="G116" s="1186">
        <v>43</v>
      </c>
      <c r="H116" s="1186">
        <v>504</v>
      </c>
      <c r="I116" s="1186">
        <v>400</v>
      </c>
      <c r="J116" s="1186">
        <v>232890</v>
      </c>
    </row>
    <row r="117" spans="1:10" x14ac:dyDescent="0.2">
      <c r="A117" s="1186" t="s">
        <v>15</v>
      </c>
      <c r="B117" s="1186" t="s">
        <v>38</v>
      </c>
      <c r="C117" s="1186">
        <v>180</v>
      </c>
      <c r="D117" s="1186">
        <v>98</v>
      </c>
      <c r="E117" s="1186">
        <v>27</v>
      </c>
      <c r="F117" s="1186">
        <v>43</v>
      </c>
      <c r="G117" s="1186">
        <v>12</v>
      </c>
      <c r="H117" s="1186">
        <v>513</v>
      </c>
      <c r="I117" s="1186">
        <v>3</v>
      </c>
      <c r="J117" s="1186">
        <v>80690</v>
      </c>
    </row>
    <row r="118" spans="1:10" x14ac:dyDescent="0.2">
      <c r="A118" s="1186" t="s">
        <v>15</v>
      </c>
      <c r="B118" s="1186" t="s">
        <v>39</v>
      </c>
      <c r="C118" s="1186">
        <v>168</v>
      </c>
      <c r="D118" s="1186">
        <v>93</v>
      </c>
      <c r="E118" s="1186">
        <v>29</v>
      </c>
      <c r="F118" s="1186">
        <v>24</v>
      </c>
      <c r="G118" s="1186">
        <v>22</v>
      </c>
      <c r="H118" s="1186">
        <v>166</v>
      </c>
      <c r="I118" s="1186">
        <v>19</v>
      </c>
      <c r="J118" s="1186">
        <v>84240</v>
      </c>
    </row>
    <row r="119" spans="1:10" x14ac:dyDescent="0.2">
      <c r="A119" s="1186" t="s">
        <v>15</v>
      </c>
      <c r="B119" s="1186" t="s">
        <v>40</v>
      </c>
      <c r="C119" s="1186">
        <v>125</v>
      </c>
      <c r="D119" s="1186">
        <v>57</v>
      </c>
      <c r="E119" s="1186">
        <v>32</v>
      </c>
      <c r="F119" s="1186">
        <v>22</v>
      </c>
      <c r="G119" s="1186">
        <v>14</v>
      </c>
      <c r="H119" s="1186">
        <v>105</v>
      </c>
      <c r="I119" s="1186">
        <v>63</v>
      </c>
      <c r="J119" s="1186">
        <v>92930</v>
      </c>
    </row>
    <row r="120" spans="1:10" x14ac:dyDescent="0.2">
      <c r="A120" s="1186" t="s">
        <v>15</v>
      </c>
      <c r="B120" s="1186" t="s">
        <v>295</v>
      </c>
      <c r="C120" s="1186">
        <v>66</v>
      </c>
      <c r="D120" s="1186">
        <v>23</v>
      </c>
      <c r="E120" s="1186">
        <v>9</v>
      </c>
      <c r="F120" s="1186">
        <v>16</v>
      </c>
      <c r="G120" s="1186">
        <v>18</v>
      </c>
      <c r="H120" s="1186">
        <v>130</v>
      </c>
      <c r="I120" s="1186">
        <v>79</v>
      </c>
      <c r="J120" s="1186">
        <v>27560</v>
      </c>
    </row>
    <row r="121" spans="1:10" x14ac:dyDescent="0.2">
      <c r="A121" s="1186" t="s">
        <v>15</v>
      </c>
      <c r="B121" s="1186" t="s">
        <v>41</v>
      </c>
      <c r="C121" s="1186">
        <v>256</v>
      </c>
      <c r="D121" s="1186">
        <v>154</v>
      </c>
      <c r="E121" s="1186">
        <v>46</v>
      </c>
      <c r="F121" s="1186">
        <v>40</v>
      </c>
      <c r="G121" s="1186">
        <v>16</v>
      </c>
      <c r="H121" s="1186">
        <v>632</v>
      </c>
      <c r="I121" s="1186">
        <v>17</v>
      </c>
      <c r="J121" s="1186">
        <v>137570</v>
      </c>
    </row>
    <row r="122" spans="1:10" x14ac:dyDescent="0.2">
      <c r="A122" s="1186" t="s">
        <v>15</v>
      </c>
      <c r="B122" s="1186" t="s">
        <v>42</v>
      </c>
      <c r="C122" s="1186">
        <v>713</v>
      </c>
      <c r="D122" s="1186">
        <v>360</v>
      </c>
      <c r="E122" s="1186">
        <v>143</v>
      </c>
      <c r="F122" s="1186">
        <v>160</v>
      </c>
      <c r="G122" s="1186">
        <v>50</v>
      </c>
      <c r="H122" s="1186">
        <v>1513</v>
      </c>
      <c r="I122" s="1186">
        <v>4</v>
      </c>
      <c r="J122" s="1186">
        <v>337890</v>
      </c>
    </row>
    <row r="123" spans="1:10" x14ac:dyDescent="0.2">
      <c r="A123" s="1186" t="s">
        <v>15</v>
      </c>
      <c r="B123" s="1186" t="s">
        <v>43</v>
      </c>
      <c r="C123" s="1186">
        <v>31</v>
      </c>
      <c r="D123" s="1186">
        <v>10</v>
      </c>
      <c r="E123" s="1186">
        <v>6</v>
      </c>
      <c r="F123" s="1186">
        <v>12</v>
      </c>
      <c r="G123" s="1186">
        <v>3</v>
      </c>
      <c r="H123" s="1186">
        <v>7</v>
      </c>
      <c r="I123" s="1186">
        <v>18</v>
      </c>
      <c r="J123" s="1186">
        <v>21530</v>
      </c>
    </row>
    <row r="124" spans="1:10" x14ac:dyDescent="0.2">
      <c r="A124" s="1186" t="s">
        <v>15</v>
      </c>
      <c r="B124" s="1186" t="s">
        <v>44</v>
      </c>
      <c r="C124" s="1186">
        <v>268</v>
      </c>
      <c r="D124" s="1186">
        <v>121</v>
      </c>
      <c r="E124" s="1186">
        <v>68</v>
      </c>
      <c r="F124" s="1186">
        <v>64</v>
      </c>
      <c r="G124" s="1186">
        <v>15</v>
      </c>
      <c r="H124" s="1186">
        <v>131</v>
      </c>
      <c r="I124" s="1186">
        <v>85</v>
      </c>
      <c r="J124" s="1186">
        <v>147740</v>
      </c>
    </row>
    <row r="125" spans="1:10" x14ac:dyDescent="0.2">
      <c r="A125" s="1186" t="s">
        <v>15</v>
      </c>
      <c r="B125" s="1186" t="s">
        <v>45</v>
      </c>
      <c r="C125" s="1186">
        <v>428</v>
      </c>
      <c r="D125" s="1186">
        <v>260</v>
      </c>
      <c r="E125" s="1186">
        <v>82</v>
      </c>
      <c r="F125" s="1186">
        <v>62</v>
      </c>
      <c r="G125" s="1186">
        <v>24</v>
      </c>
      <c r="H125" s="1186">
        <v>634</v>
      </c>
      <c r="I125" s="1186">
        <v>4</v>
      </c>
      <c r="J125" s="1186">
        <v>174300</v>
      </c>
    </row>
    <row r="126" spans="1:10" x14ac:dyDescent="0.2">
      <c r="A126" s="1186" t="s">
        <v>15</v>
      </c>
      <c r="B126" s="1186" t="s">
        <v>46</v>
      </c>
      <c r="C126" s="1186">
        <v>193</v>
      </c>
      <c r="D126" s="1186">
        <v>107</v>
      </c>
      <c r="E126" s="1186">
        <v>25</v>
      </c>
      <c r="F126" s="1186">
        <v>41</v>
      </c>
      <c r="G126" s="1186">
        <v>20</v>
      </c>
      <c r="H126" s="1186">
        <v>65</v>
      </c>
      <c r="I126" s="1186">
        <v>100</v>
      </c>
      <c r="J126" s="1186">
        <v>113720</v>
      </c>
    </row>
    <row r="127" spans="1:10" x14ac:dyDescent="0.2">
      <c r="A127" s="1186" t="s">
        <v>15</v>
      </c>
      <c r="B127" s="1186" t="s">
        <v>47</v>
      </c>
      <c r="C127" s="1186">
        <v>30</v>
      </c>
      <c r="D127" s="1186">
        <v>18</v>
      </c>
      <c r="E127" s="1186">
        <v>6</v>
      </c>
      <c r="F127" s="1186">
        <v>1</v>
      </c>
      <c r="G127" s="1186">
        <v>5</v>
      </c>
      <c r="H127" s="1186">
        <v>13</v>
      </c>
      <c r="I127" s="1186">
        <v>11</v>
      </c>
      <c r="J127" s="1186">
        <v>23210</v>
      </c>
    </row>
    <row r="128" spans="1:10" x14ac:dyDescent="0.2">
      <c r="A128" s="1186" t="s">
        <v>15</v>
      </c>
      <c r="B128" s="1186" t="s">
        <v>48</v>
      </c>
      <c r="C128" s="1186">
        <v>212</v>
      </c>
      <c r="D128" s="1186">
        <v>111</v>
      </c>
      <c r="E128" s="1186">
        <v>51</v>
      </c>
      <c r="F128" s="1186">
        <v>35</v>
      </c>
      <c r="G128" s="1186">
        <v>15</v>
      </c>
      <c r="H128" s="1186">
        <v>299</v>
      </c>
      <c r="I128" s="1186">
        <v>21</v>
      </c>
      <c r="J128" s="1186">
        <v>112920</v>
      </c>
    </row>
    <row r="129" spans="1:10" x14ac:dyDescent="0.2">
      <c r="A129" s="1186" t="s">
        <v>15</v>
      </c>
      <c r="B129" s="1186" t="s">
        <v>49</v>
      </c>
      <c r="C129" s="1186">
        <v>598</v>
      </c>
      <c r="D129" s="1186">
        <v>292</v>
      </c>
      <c r="E129" s="1186">
        <v>127</v>
      </c>
      <c r="F129" s="1186">
        <v>147</v>
      </c>
      <c r="G129" s="1186">
        <v>32</v>
      </c>
      <c r="H129" s="1186">
        <v>1087</v>
      </c>
      <c r="I129" s="1186">
        <v>27</v>
      </c>
      <c r="J129" s="1186">
        <v>314330</v>
      </c>
    </row>
    <row r="130" spans="1:10" x14ac:dyDescent="0.2">
      <c r="A130" s="1186" t="s">
        <v>15</v>
      </c>
      <c r="B130" s="1186" t="s">
        <v>50</v>
      </c>
      <c r="C130" s="1186">
        <v>138</v>
      </c>
      <c r="D130" s="1186">
        <v>57</v>
      </c>
      <c r="E130" s="1186">
        <v>43</v>
      </c>
      <c r="F130" s="1186">
        <v>27</v>
      </c>
      <c r="G130" s="1186">
        <v>11</v>
      </c>
      <c r="H130" s="1186">
        <v>127</v>
      </c>
      <c r="I130" s="1186">
        <v>27</v>
      </c>
      <c r="J130" s="1186">
        <v>91010</v>
      </c>
    </row>
    <row r="131" spans="1:10" x14ac:dyDescent="0.2">
      <c r="A131" s="1186" t="s">
        <v>15</v>
      </c>
      <c r="B131" s="1186" t="s">
        <v>51</v>
      </c>
      <c r="C131" s="1186">
        <v>273</v>
      </c>
      <c r="D131" s="1186">
        <v>146</v>
      </c>
      <c r="E131" s="1186">
        <v>44</v>
      </c>
      <c r="F131" s="1186">
        <v>65</v>
      </c>
      <c r="G131" s="1186">
        <v>18</v>
      </c>
      <c r="H131" s="1186">
        <v>446</v>
      </c>
      <c r="I131" s="1186">
        <v>6</v>
      </c>
      <c r="J131" s="1186">
        <v>90340</v>
      </c>
    </row>
    <row r="132" spans="1:10" x14ac:dyDescent="0.2">
      <c r="A132" s="1186" t="s">
        <v>15</v>
      </c>
      <c r="B132" s="1186" t="s">
        <v>52</v>
      </c>
      <c r="C132" s="1186">
        <v>373</v>
      </c>
      <c r="D132" s="1186">
        <v>201</v>
      </c>
      <c r="E132" s="1186">
        <v>75</v>
      </c>
      <c r="F132" s="1186">
        <v>58</v>
      </c>
      <c r="G132" s="1186">
        <v>39</v>
      </c>
      <c r="H132" s="1186">
        <v>440</v>
      </c>
      <c r="I132" s="1186">
        <v>8</v>
      </c>
      <c r="J132" s="1186">
        <v>176010</v>
      </c>
    </row>
    <row r="133" spans="1:10" x14ac:dyDescent="0.2">
      <c r="A133" s="1186" t="s">
        <v>17</v>
      </c>
      <c r="B133" s="1186" t="s">
        <v>23</v>
      </c>
      <c r="C133" s="1186">
        <v>557</v>
      </c>
      <c r="D133" s="1186">
        <v>294</v>
      </c>
      <c r="E133" s="1186">
        <v>142</v>
      </c>
      <c r="F133" s="1186">
        <v>97</v>
      </c>
      <c r="G133" s="1186">
        <v>24</v>
      </c>
      <c r="H133" s="1186">
        <v>430</v>
      </c>
      <c r="I133" s="1186">
        <v>19</v>
      </c>
      <c r="J133" s="1186">
        <v>227070</v>
      </c>
    </row>
    <row r="134" spans="1:10" x14ac:dyDescent="0.2">
      <c r="A134" s="1186" t="s">
        <v>17</v>
      </c>
      <c r="B134" s="1186" t="s">
        <v>24</v>
      </c>
      <c r="C134" s="1186">
        <v>412</v>
      </c>
      <c r="D134" s="1186">
        <v>182</v>
      </c>
      <c r="E134" s="1186">
        <v>88</v>
      </c>
      <c r="F134" s="1186">
        <v>97</v>
      </c>
      <c r="G134" s="1186">
        <v>45</v>
      </c>
      <c r="H134" s="1186">
        <v>301</v>
      </c>
      <c r="I134" s="1186">
        <v>106</v>
      </c>
      <c r="J134" s="1186">
        <v>257770</v>
      </c>
    </row>
    <row r="135" spans="1:10" x14ac:dyDescent="0.2">
      <c r="A135" s="1186" t="s">
        <v>17</v>
      </c>
      <c r="B135" s="1186" t="s">
        <v>25</v>
      </c>
      <c r="C135" s="1186">
        <v>173</v>
      </c>
      <c r="D135" s="1186">
        <v>80</v>
      </c>
      <c r="E135" s="1186">
        <v>45</v>
      </c>
      <c r="F135" s="1186">
        <v>33</v>
      </c>
      <c r="G135" s="1186">
        <v>15</v>
      </c>
      <c r="H135" s="1186">
        <v>199</v>
      </c>
      <c r="I135" s="1186">
        <v>30</v>
      </c>
      <c r="J135" s="1186">
        <v>116290</v>
      </c>
    </row>
    <row r="136" spans="1:10" x14ac:dyDescent="0.2">
      <c r="A136" s="1186" t="s">
        <v>17</v>
      </c>
      <c r="B136" s="1186" t="s">
        <v>26</v>
      </c>
      <c r="C136" s="1186">
        <v>174</v>
      </c>
      <c r="D136" s="1186">
        <v>88</v>
      </c>
      <c r="E136" s="1186">
        <v>46</v>
      </c>
      <c r="F136" s="1186">
        <v>28</v>
      </c>
      <c r="G136" s="1186">
        <v>12</v>
      </c>
      <c r="H136" s="1186">
        <v>133</v>
      </c>
      <c r="I136" s="1186">
        <v>80</v>
      </c>
      <c r="J136" s="1186">
        <v>88050</v>
      </c>
    </row>
    <row r="137" spans="1:10" x14ac:dyDescent="0.2">
      <c r="A137" s="1186" t="s">
        <v>17</v>
      </c>
      <c r="B137" s="1186" t="s">
        <v>619</v>
      </c>
      <c r="C137" s="1186">
        <v>1171</v>
      </c>
      <c r="D137" s="1186">
        <v>607</v>
      </c>
      <c r="E137" s="1186">
        <v>267</v>
      </c>
      <c r="F137" s="1186">
        <v>202</v>
      </c>
      <c r="G137" s="1186">
        <v>95</v>
      </c>
      <c r="H137" s="1186">
        <v>1460</v>
      </c>
      <c r="I137" s="1186">
        <v>22</v>
      </c>
      <c r="J137" s="1186">
        <v>487460</v>
      </c>
    </row>
    <row r="138" spans="1:10" x14ac:dyDescent="0.2">
      <c r="A138" s="1186" t="s">
        <v>17</v>
      </c>
      <c r="B138" s="1186" t="s">
        <v>27</v>
      </c>
      <c r="C138" s="1186">
        <v>94</v>
      </c>
      <c r="D138" s="1186">
        <v>42</v>
      </c>
      <c r="E138" s="1186">
        <v>21</v>
      </c>
      <c r="F138" s="1186">
        <v>10</v>
      </c>
      <c r="G138" s="1186">
        <v>21</v>
      </c>
      <c r="H138" s="1186">
        <v>110</v>
      </c>
      <c r="I138" s="1186">
        <v>6</v>
      </c>
      <c r="J138" s="1186">
        <v>51280</v>
      </c>
    </row>
    <row r="139" spans="1:10" x14ac:dyDescent="0.2">
      <c r="A139" s="1186" t="s">
        <v>17</v>
      </c>
      <c r="B139" s="1186" t="s">
        <v>28</v>
      </c>
      <c r="C139" s="1186">
        <v>245</v>
      </c>
      <c r="D139" s="1186">
        <v>112</v>
      </c>
      <c r="E139" s="1186">
        <v>57</v>
      </c>
      <c r="F139" s="1186">
        <v>61</v>
      </c>
      <c r="G139" s="1186">
        <v>15</v>
      </c>
      <c r="H139" s="1186">
        <v>172</v>
      </c>
      <c r="I139" s="1186">
        <v>80</v>
      </c>
      <c r="J139" s="1186">
        <v>150280</v>
      </c>
    </row>
    <row r="140" spans="1:10" x14ac:dyDescent="0.2">
      <c r="A140" s="1186" t="s">
        <v>17</v>
      </c>
      <c r="B140" s="1186" t="s">
        <v>29</v>
      </c>
      <c r="C140" s="1186">
        <v>330</v>
      </c>
      <c r="D140" s="1186">
        <v>220</v>
      </c>
      <c r="E140" s="1186">
        <v>59</v>
      </c>
      <c r="F140" s="1186">
        <v>40</v>
      </c>
      <c r="G140" s="1186">
        <v>11</v>
      </c>
      <c r="H140" s="1186">
        <v>647</v>
      </c>
      <c r="I140" s="1186">
        <v>4</v>
      </c>
      <c r="J140" s="1186">
        <v>148100</v>
      </c>
    </row>
    <row r="141" spans="1:10" x14ac:dyDescent="0.2">
      <c r="A141" s="1186" t="s">
        <v>17</v>
      </c>
      <c r="B141" s="1186" t="s">
        <v>30</v>
      </c>
      <c r="C141" s="1186">
        <v>217</v>
      </c>
      <c r="D141" s="1186">
        <v>107</v>
      </c>
      <c r="E141" s="1186">
        <v>44</v>
      </c>
      <c r="F141" s="1186">
        <v>43</v>
      </c>
      <c r="G141" s="1186">
        <v>23</v>
      </c>
      <c r="H141" s="1186">
        <v>693</v>
      </c>
      <c r="I141" s="1186">
        <v>18</v>
      </c>
      <c r="J141" s="1186">
        <v>122430</v>
      </c>
    </row>
    <row r="142" spans="1:10" x14ac:dyDescent="0.2">
      <c r="A142" s="1186" t="s">
        <v>17</v>
      </c>
      <c r="B142" s="1186" t="s">
        <v>31</v>
      </c>
      <c r="C142" s="1186">
        <v>125</v>
      </c>
      <c r="D142" s="1186">
        <v>57</v>
      </c>
      <c r="E142" s="1186">
        <v>28</v>
      </c>
      <c r="F142" s="1186">
        <v>33</v>
      </c>
      <c r="G142" s="1186">
        <v>7</v>
      </c>
      <c r="H142" s="1186">
        <v>221</v>
      </c>
      <c r="I142" s="1186">
        <v>6</v>
      </c>
      <c r="J142" s="1186">
        <v>105840</v>
      </c>
    </row>
    <row r="143" spans="1:10" x14ac:dyDescent="0.2">
      <c r="A143" s="1186" t="s">
        <v>17</v>
      </c>
      <c r="B143" s="1186" t="s">
        <v>32</v>
      </c>
      <c r="C143" s="1186">
        <v>172</v>
      </c>
      <c r="D143" s="1186">
        <v>83</v>
      </c>
      <c r="E143" s="1186">
        <v>37</v>
      </c>
      <c r="F143" s="1186">
        <v>33</v>
      </c>
      <c r="G143" s="1186">
        <v>19</v>
      </c>
      <c r="H143" s="1186">
        <v>237</v>
      </c>
      <c r="I143" s="1186">
        <v>25</v>
      </c>
      <c r="J143" s="1186">
        <v>101390</v>
      </c>
    </row>
    <row r="144" spans="1:10" x14ac:dyDescent="0.2">
      <c r="A144" s="1186" t="s">
        <v>17</v>
      </c>
      <c r="B144" s="1186" t="s">
        <v>33</v>
      </c>
      <c r="C144" s="1186">
        <v>122</v>
      </c>
      <c r="D144" s="1186">
        <v>64</v>
      </c>
      <c r="E144" s="1186">
        <v>25</v>
      </c>
      <c r="F144" s="1186">
        <v>25</v>
      </c>
      <c r="G144" s="1186">
        <v>8</v>
      </c>
      <c r="H144" s="1186">
        <v>154</v>
      </c>
      <c r="I144" s="1186">
        <v>3</v>
      </c>
      <c r="J144" s="1186">
        <v>91530</v>
      </c>
    </row>
    <row r="145" spans="1:10" x14ac:dyDescent="0.2">
      <c r="A145" s="1186" t="s">
        <v>17</v>
      </c>
      <c r="B145" s="1186" t="s">
        <v>34</v>
      </c>
      <c r="C145" s="1186">
        <v>293</v>
      </c>
      <c r="D145" s="1186">
        <v>130</v>
      </c>
      <c r="E145" s="1186">
        <v>70</v>
      </c>
      <c r="F145" s="1186">
        <v>47</v>
      </c>
      <c r="G145" s="1186">
        <v>46</v>
      </c>
      <c r="H145" s="1186">
        <v>499</v>
      </c>
      <c r="I145" s="1186">
        <v>8</v>
      </c>
      <c r="J145" s="1186">
        <v>157160</v>
      </c>
    </row>
    <row r="146" spans="1:10" x14ac:dyDescent="0.2">
      <c r="A146" s="1186" t="s">
        <v>17</v>
      </c>
      <c r="B146" s="1186" t="s">
        <v>35</v>
      </c>
      <c r="C146" s="1186">
        <v>512</v>
      </c>
      <c r="D146" s="1186">
        <v>231</v>
      </c>
      <c r="E146" s="1186">
        <v>127</v>
      </c>
      <c r="F146" s="1186">
        <v>96</v>
      </c>
      <c r="G146" s="1186">
        <v>58</v>
      </c>
      <c r="H146" s="1186">
        <v>801</v>
      </c>
      <c r="I146" s="1186">
        <v>30</v>
      </c>
      <c r="J146" s="1186">
        <v>366900</v>
      </c>
    </row>
    <row r="147" spans="1:10" x14ac:dyDescent="0.2">
      <c r="A147" s="1186" t="s">
        <v>17</v>
      </c>
      <c r="B147" s="1186" t="s">
        <v>36</v>
      </c>
      <c r="C147" s="1186">
        <v>1684</v>
      </c>
      <c r="D147" s="1186">
        <v>916</v>
      </c>
      <c r="E147" s="1186">
        <v>425</v>
      </c>
      <c r="F147" s="1186">
        <v>268</v>
      </c>
      <c r="G147" s="1186">
        <v>75</v>
      </c>
      <c r="H147" s="1186">
        <v>2842</v>
      </c>
      <c r="I147" s="1186">
        <v>10</v>
      </c>
      <c r="J147" s="1186">
        <v>596520</v>
      </c>
    </row>
    <row r="148" spans="1:10" x14ac:dyDescent="0.2">
      <c r="A148" s="1186" t="s">
        <v>17</v>
      </c>
      <c r="B148" s="1186" t="s">
        <v>37</v>
      </c>
      <c r="C148" s="1186">
        <v>366</v>
      </c>
      <c r="D148" s="1186">
        <v>143</v>
      </c>
      <c r="E148" s="1186">
        <v>85</v>
      </c>
      <c r="F148" s="1186">
        <v>77</v>
      </c>
      <c r="G148" s="1186">
        <v>61</v>
      </c>
      <c r="H148" s="1186">
        <v>556</v>
      </c>
      <c r="I148" s="1186">
        <v>270</v>
      </c>
      <c r="J148" s="1186">
        <v>232930</v>
      </c>
    </row>
    <row r="149" spans="1:10" x14ac:dyDescent="0.2">
      <c r="A149" s="1186" t="s">
        <v>17</v>
      </c>
      <c r="B149" s="1186" t="s">
        <v>38</v>
      </c>
      <c r="C149" s="1186">
        <v>190</v>
      </c>
      <c r="D149" s="1186">
        <v>106</v>
      </c>
      <c r="E149" s="1186">
        <v>31</v>
      </c>
      <c r="F149" s="1186">
        <v>39</v>
      </c>
      <c r="G149" s="1186">
        <v>14</v>
      </c>
      <c r="H149" s="1186">
        <v>447</v>
      </c>
      <c r="I149" s="1186">
        <v>2</v>
      </c>
      <c r="J149" s="1186">
        <v>80340</v>
      </c>
    </row>
    <row r="150" spans="1:10" x14ac:dyDescent="0.2">
      <c r="A150" s="1186" t="s">
        <v>17</v>
      </c>
      <c r="B150" s="1186" t="s">
        <v>39</v>
      </c>
      <c r="C150" s="1186">
        <v>152</v>
      </c>
      <c r="D150" s="1186">
        <v>66</v>
      </c>
      <c r="E150" s="1186">
        <v>30</v>
      </c>
      <c r="F150" s="1186">
        <v>25</v>
      </c>
      <c r="G150" s="1186">
        <v>31</v>
      </c>
      <c r="H150" s="1186">
        <v>336</v>
      </c>
      <c r="I150" s="1186">
        <v>10</v>
      </c>
      <c r="J150" s="1186">
        <v>84710</v>
      </c>
    </row>
    <row r="151" spans="1:10" x14ac:dyDescent="0.2">
      <c r="A151" s="1186" t="s">
        <v>17</v>
      </c>
      <c r="B151" s="1186" t="s">
        <v>40</v>
      </c>
      <c r="C151" s="1186">
        <v>164</v>
      </c>
      <c r="D151" s="1186">
        <v>74</v>
      </c>
      <c r="E151" s="1186">
        <v>45</v>
      </c>
      <c r="F151" s="1186">
        <v>32</v>
      </c>
      <c r="G151" s="1186">
        <v>13</v>
      </c>
      <c r="H151" s="1186">
        <v>128</v>
      </c>
      <c r="I151" s="1186">
        <v>47</v>
      </c>
      <c r="J151" s="1186">
        <v>94360</v>
      </c>
    </row>
    <row r="152" spans="1:10" x14ac:dyDescent="0.2">
      <c r="A152" s="1186" t="s">
        <v>17</v>
      </c>
      <c r="B152" s="1186" t="s">
        <v>295</v>
      </c>
      <c r="C152" s="1186">
        <v>33</v>
      </c>
      <c r="D152" s="1186">
        <v>11</v>
      </c>
      <c r="E152" s="1186">
        <v>9</v>
      </c>
      <c r="F152" s="1186">
        <v>4</v>
      </c>
      <c r="G152" s="1186">
        <v>9</v>
      </c>
      <c r="H152" s="1186">
        <v>87</v>
      </c>
      <c r="I152" s="1186">
        <v>62</v>
      </c>
      <c r="J152" s="1186">
        <v>27400</v>
      </c>
    </row>
    <row r="153" spans="1:10" x14ac:dyDescent="0.2">
      <c r="A153" s="1186" t="s">
        <v>17</v>
      </c>
      <c r="B153" s="1186" t="s">
        <v>41</v>
      </c>
      <c r="C153" s="1186">
        <v>236</v>
      </c>
      <c r="D153" s="1186">
        <v>148</v>
      </c>
      <c r="E153" s="1186">
        <v>42</v>
      </c>
      <c r="F153" s="1186">
        <v>30</v>
      </c>
      <c r="G153" s="1186">
        <v>16</v>
      </c>
      <c r="H153" s="1186">
        <v>553</v>
      </c>
      <c r="I153" s="1186">
        <v>15</v>
      </c>
      <c r="J153" s="1186">
        <v>136940</v>
      </c>
    </row>
    <row r="154" spans="1:10" x14ac:dyDescent="0.2">
      <c r="A154" s="1186" t="s">
        <v>17</v>
      </c>
      <c r="B154" s="1186" t="s">
        <v>42</v>
      </c>
      <c r="C154" s="1186">
        <v>675</v>
      </c>
      <c r="D154" s="1186">
        <v>315</v>
      </c>
      <c r="E154" s="1186">
        <v>135</v>
      </c>
      <c r="F154" s="1186">
        <v>167</v>
      </c>
      <c r="G154" s="1186">
        <v>58</v>
      </c>
      <c r="H154" s="1186">
        <v>1844</v>
      </c>
      <c r="I154" s="1186">
        <v>5</v>
      </c>
      <c r="J154" s="1186">
        <v>337780</v>
      </c>
    </row>
    <row r="155" spans="1:10" x14ac:dyDescent="0.2">
      <c r="A155" s="1186" t="s">
        <v>17</v>
      </c>
      <c r="B155" s="1186" t="s">
        <v>43</v>
      </c>
      <c r="C155" s="1186">
        <v>30</v>
      </c>
      <c r="D155" s="1186">
        <v>10</v>
      </c>
      <c r="E155" s="1186">
        <v>11</v>
      </c>
      <c r="F155" s="1186">
        <v>3</v>
      </c>
      <c r="G155" s="1186">
        <v>6</v>
      </c>
      <c r="H155" s="1186">
        <v>13</v>
      </c>
      <c r="I155" s="1186">
        <v>17</v>
      </c>
      <c r="J155" s="1186">
        <v>21560</v>
      </c>
    </row>
    <row r="156" spans="1:10" x14ac:dyDescent="0.2">
      <c r="A156" s="1186" t="s">
        <v>17</v>
      </c>
      <c r="B156" s="1186" t="s">
        <v>44</v>
      </c>
      <c r="C156" s="1186">
        <v>226</v>
      </c>
      <c r="D156" s="1186">
        <v>105</v>
      </c>
      <c r="E156" s="1186">
        <v>58</v>
      </c>
      <c r="F156" s="1186">
        <v>46</v>
      </c>
      <c r="G156" s="1186">
        <v>17</v>
      </c>
      <c r="H156" s="1186">
        <v>128</v>
      </c>
      <c r="I156" s="1186">
        <v>73</v>
      </c>
      <c r="J156" s="1186">
        <v>147770</v>
      </c>
    </row>
    <row r="157" spans="1:10" x14ac:dyDescent="0.2">
      <c r="A157" s="1186" t="s">
        <v>17</v>
      </c>
      <c r="B157" s="1186" t="s">
        <v>45</v>
      </c>
      <c r="C157" s="1186">
        <v>447</v>
      </c>
      <c r="D157" s="1186">
        <v>262</v>
      </c>
      <c r="E157" s="1186">
        <v>77</v>
      </c>
      <c r="F157" s="1186">
        <v>85</v>
      </c>
      <c r="G157" s="1186">
        <v>23</v>
      </c>
      <c r="H157" s="1186">
        <v>523</v>
      </c>
      <c r="I157" s="1186">
        <v>2</v>
      </c>
      <c r="J157" s="1186">
        <v>173890</v>
      </c>
    </row>
    <row r="158" spans="1:10" x14ac:dyDescent="0.2">
      <c r="A158" s="1186" t="s">
        <v>17</v>
      </c>
      <c r="B158" s="1186" t="s">
        <v>46</v>
      </c>
      <c r="C158" s="1186">
        <v>204</v>
      </c>
      <c r="D158" s="1186">
        <v>110</v>
      </c>
      <c r="E158" s="1186">
        <v>29</v>
      </c>
      <c r="F158" s="1186">
        <v>34</v>
      </c>
      <c r="G158" s="1186">
        <v>31</v>
      </c>
      <c r="H158" s="1186">
        <v>107</v>
      </c>
      <c r="I158" s="1186">
        <v>65</v>
      </c>
      <c r="J158" s="1186">
        <v>113880</v>
      </c>
    </row>
    <row r="159" spans="1:10" x14ac:dyDescent="0.2">
      <c r="A159" s="1186" t="s">
        <v>17</v>
      </c>
      <c r="B159" s="1186" t="s">
        <v>47</v>
      </c>
      <c r="C159" s="1186">
        <v>26</v>
      </c>
      <c r="D159" s="1186">
        <v>11</v>
      </c>
      <c r="E159" s="1186">
        <v>4</v>
      </c>
      <c r="F159" s="1186">
        <v>7</v>
      </c>
      <c r="G159" s="1186">
        <v>4</v>
      </c>
      <c r="H159" s="1186">
        <v>9</v>
      </c>
      <c r="I159" s="1186">
        <v>16</v>
      </c>
      <c r="J159" s="1186">
        <v>23200</v>
      </c>
    </row>
    <row r="160" spans="1:10" x14ac:dyDescent="0.2">
      <c r="A160" s="1186" t="s">
        <v>17</v>
      </c>
      <c r="B160" s="1186" t="s">
        <v>48</v>
      </c>
      <c r="C160" s="1186">
        <v>181</v>
      </c>
      <c r="D160" s="1186">
        <v>93</v>
      </c>
      <c r="E160" s="1186">
        <v>48</v>
      </c>
      <c r="F160" s="1186">
        <v>30</v>
      </c>
      <c r="G160" s="1186">
        <v>10</v>
      </c>
      <c r="H160" s="1186">
        <v>294</v>
      </c>
      <c r="I160" s="1186">
        <v>17</v>
      </c>
      <c r="J160" s="1186">
        <v>112870</v>
      </c>
    </row>
    <row r="161" spans="1:10" x14ac:dyDescent="0.2">
      <c r="A161" s="1186" t="s">
        <v>17</v>
      </c>
      <c r="B161" s="1186" t="s">
        <v>49</v>
      </c>
      <c r="C161" s="1186">
        <v>500</v>
      </c>
      <c r="D161" s="1186">
        <v>263</v>
      </c>
      <c r="E161" s="1186">
        <v>97</v>
      </c>
      <c r="F161" s="1186">
        <v>97</v>
      </c>
      <c r="G161" s="1186">
        <v>43</v>
      </c>
      <c r="H161" s="1186">
        <v>1209</v>
      </c>
      <c r="I161" s="1186">
        <v>19</v>
      </c>
      <c r="J161" s="1186">
        <v>314810</v>
      </c>
    </row>
    <row r="162" spans="1:10" x14ac:dyDescent="0.2">
      <c r="A162" s="1186" t="s">
        <v>17</v>
      </c>
      <c r="B162" s="1186" t="s">
        <v>50</v>
      </c>
      <c r="C162" s="1186">
        <v>160</v>
      </c>
      <c r="D162" s="1186">
        <v>72</v>
      </c>
      <c r="E162" s="1186">
        <v>46</v>
      </c>
      <c r="F162" s="1186">
        <v>29</v>
      </c>
      <c r="G162" s="1186">
        <v>13</v>
      </c>
      <c r="H162" s="1186">
        <v>130</v>
      </c>
      <c r="I162" s="1186">
        <v>27</v>
      </c>
      <c r="J162" s="1186">
        <v>91230</v>
      </c>
    </row>
    <row r="163" spans="1:10" x14ac:dyDescent="0.2">
      <c r="A163" s="1186" t="s">
        <v>17</v>
      </c>
      <c r="B163" s="1186" t="s">
        <v>51</v>
      </c>
      <c r="C163" s="1186">
        <v>236</v>
      </c>
      <c r="D163" s="1186">
        <v>133</v>
      </c>
      <c r="E163" s="1186">
        <v>37</v>
      </c>
      <c r="F163" s="1186">
        <v>52</v>
      </c>
      <c r="G163" s="1186">
        <v>14</v>
      </c>
      <c r="H163" s="1186">
        <v>496</v>
      </c>
      <c r="I163" s="1186">
        <v>4</v>
      </c>
      <c r="J163" s="1186">
        <v>89800</v>
      </c>
    </row>
    <row r="164" spans="1:10" x14ac:dyDescent="0.2">
      <c r="A164" s="1186" t="s">
        <v>17</v>
      </c>
      <c r="B164" s="1186" t="s">
        <v>52</v>
      </c>
      <c r="C164" s="1186">
        <v>414</v>
      </c>
      <c r="D164" s="1186">
        <v>188</v>
      </c>
      <c r="E164" s="1186">
        <v>81</v>
      </c>
      <c r="F164" s="1186">
        <v>68</v>
      </c>
      <c r="G164" s="1186">
        <v>77</v>
      </c>
      <c r="H164" s="1186">
        <v>602</v>
      </c>
      <c r="I164" s="1186">
        <v>9</v>
      </c>
      <c r="J164" s="1186">
        <v>176160</v>
      </c>
    </row>
    <row r="165" spans="1:10" x14ac:dyDescent="0.2">
      <c r="A165" s="1186" t="s">
        <v>133</v>
      </c>
      <c r="B165" s="1186" t="s">
        <v>23</v>
      </c>
      <c r="C165" s="1186">
        <v>547</v>
      </c>
      <c r="D165" s="1186">
        <v>320</v>
      </c>
      <c r="E165" s="1186">
        <v>125</v>
      </c>
      <c r="F165" s="1186">
        <v>82</v>
      </c>
      <c r="G165" s="1186">
        <v>20</v>
      </c>
      <c r="H165" s="1186">
        <v>402</v>
      </c>
      <c r="I165" s="1186">
        <v>12</v>
      </c>
      <c r="J165" s="1186">
        <v>228920</v>
      </c>
    </row>
    <row r="166" spans="1:10" x14ac:dyDescent="0.2">
      <c r="A166" s="1186" t="s">
        <v>133</v>
      </c>
      <c r="B166" s="1186" t="s">
        <v>24</v>
      </c>
      <c r="C166" s="1186">
        <v>433</v>
      </c>
      <c r="D166" s="1186">
        <v>200</v>
      </c>
      <c r="E166" s="1186">
        <v>108</v>
      </c>
      <c r="F166" s="1186">
        <v>89</v>
      </c>
      <c r="G166" s="1186">
        <v>36</v>
      </c>
      <c r="H166" s="1186">
        <v>221</v>
      </c>
      <c r="I166" s="1186">
        <v>98</v>
      </c>
      <c r="J166" s="1186">
        <v>260530</v>
      </c>
    </row>
    <row r="167" spans="1:10" x14ac:dyDescent="0.2">
      <c r="A167" s="1186" t="s">
        <v>133</v>
      </c>
      <c r="B167" s="1186" t="s">
        <v>25</v>
      </c>
      <c r="C167" s="1186">
        <v>190</v>
      </c>
      <c r="D167" s="1186">
        <v>113</v>
      </c>
      <c r="E167" s="1186">
        <v>35</v>
      </c>
      <c r="F167" s="1186">
        <v>29</v>
      </c>
      <c r="G167" s="1186">
        <v>13</v>
      </c>
      <c r="H167" s="1186">
        <v>161</v>
      </c>
      <c r="I167" s="1186">
        <v>27</v>
      </c>
      <c r="J167" s="1186">
        <v>116740</v>
      </c>
    </row>
    <row r="168" spans="1:10" x14ac:dyDescent="0.2">
      <c r="A168" s="1186" t="s">
        <v>133</v>
      </c>
      <c r="B168" s="1186" t="s">
        <v>26</v>
      </c>
      <c r="C168" s="1186">
        <v>159</v>
      </c>
      <c r="D168" s="1186">
        <v>88</v>
      </c>
      <c r="E168" s="1186">
        <v>36</v>
      </c>
      <c r="F168" s="1186">
        <v>24</v>
      </c>
      <c r="G168" s="1186">
        <v>11</v>
      </c>
      <c r="H168" s="1186">
        <v>88</v>
      </c>
      <c r="I168" s="1186">
        <v>42</v>
      </c>
      <c r="J168" s="1186">
        <v>87650</v>
      </c>
    </row>
    <row r="169" spans="1:10" x14ac:dyDescent="0.2">
      <c r="A169" s="1186" t="s">
        <v>133</v>
      </c>
      <c r="B169" s="1186" t="s">
        <v>619</v>
      </c>
      <c r="C169" s="1186">
        <v>1221</v>
      </c>
      <c r="D169" s="1186">
        <v>663</v>
      </c>
      <c r="E169" s="1186">
        <v>273</v>
      </c>
      <c r="F169" s="1186">
        <v>198</v>
      </c>
      <c r="G169" s="1186">
        <v>87</v>
      </c>
      <c r="H169" s="1186">
        <v>1354</v>
      </c>
      <c r="I169" s="1186">
        <v>13</v>
      </c>
      <c r="J169" s="1186">
        <v>492610</v>
      </c>
    </row>
    <row r="170" spans="1:10" x14ac:dyDescent="0.2">
      <c r="A170" s="1186" t="s">
        <v>133</v>
      </c>
      <c r="B170" s="1186" t="s">
        <v>27</v>
      </c>
      <c r="C170" s="1186">
        <v>97</v>
      </c>
      <c r="D170" s="1186">
        <v>49</v>
      </c>
      <c r="E170" s="1186">
        <v>23</v>
      </c>
      <c r="F170" s="1186">
        <v>12</v>
      </c>
      <c r="G170" s="1186">
        <v>13</v>
      </c>
      <c r="H170" s="1186">
        <v>85</v>
      </c>
      <c r="I170" s="1186">
        <v>5</v>
      </c>
      <c r="J170" s="1186">
        <v>51190</v>
      </c>
    </row>
    <row r="171" spans="1:10" x14ac:dyDescent="0.2">
      <c r="A171" s="1186" t="s">
        <v>133</v>
      </c>
      <c r="B171" s="1186" t="s">
        <v>28</v>
      </c>
      <c r="C171" s="1186">
        <v>205</v>
      </c>
      <c r="D171" s="1186">
        <v>98</v>
      </c>
      <c r="E171" s="1186">
        <v>49</v>
      </c>
      <c r="F171" s="1186">
        <v>47</v>
      </c>
      <c r="G171" s="1186">
        <v>11</v>
      </c>
      <c r="H171" s="1186">
        <v>143</v>
      </c>
      <c r="I171" s="1186">
        <v>61</v>
      </c>
      <c r="J171" s="1186">
        <v>149960</v>
      </c>
    </row>
    <row r="172" spans="1:10" x14ac:dyDescent="0.2">
      <c r="A172" s="1186" t="s">
        <v>133</v>
      </c>
      <c r="B172" s="1186" t="s">
        <v>29</v>
      </c>
      <c r="C172" s="1186">
        <v>343</v>
      </c>
      <c r="D172" s="1186">
        <v>214</v>
      </c>
      <c r="E172" s="1186">
        <v>69</v>
      </c>
      <c r="F172" s="1186">
        <v>37</v>
      </c>
      <c r="G172" s="1186">
        <v>23</v>
      </c>
      <c r="H172" s="1186">
        <v>598</v>
      </c>
      <c r="I172" s="1186">
        <v>4</v>
      </c>
      <c r="J172" s="1186">
        <v>148130</v>
      </c>
    </row>
    <row r="173" spans="1:10" x14ac:dyDescent="0.2">
      <c r="A173" s="1186" t="s">
        <v>133</v>
      </c>
      <c r="B173" s="1186" t="s">
        <v>30</v>
      </c>
      <c r="C173" s="1186">
        <v>202</v>
      </c>
      <c r="D173" s="1186">
        <v>113</v>
      </c>
      <c r="E173" s="1186">
        <v>37</v>
      </c>
      <c r="F173" s="1186">
        <v>37</v>
      </c>
      <c r="G173" s="1186">
        <v>15</v>
      </c>
      <c r="H173" s="1186">
        <v>444</v>
      </c>
      <c r="I173" s="1186">
        <v>15</v>
      </c>
      <c r="J173" s="1186">
        <v>122130</v>
      </c>
    </row>
    <row r="174" spans="1:10" x14ac:dyDescent="0.2">
      <c r="A174" s="1186" t="s">
        <v>133</v>
      </c>
      <c r="B174" s="1186" t="s">
        <v>31</v>
      </c>
      <c r="C174" s="1186">
        <v>141</v>
      </c>
      <c r="D174" s="1186">
        <v>73</v>
      </c>
      <c r="E174" s="1186">
        <v>25</v>
      </c>
      <c r="F174" s="1186">
        <v>31</v>
      </c>
      <c r="G174" s="1186">
        <v>12</v>
      </c>
      <c r="H174" s="1186">
        <v>178</v>
      </c>
      <c r="I174" s="1186">
        <v>3</v>
      </c>
      <c r="J174" s="1186">
        <v>106710</v>
      </c>
    </row>
    <row r="175" spans="1:10" x14ac:dyDescent="0.2">
      <c r="A175" s="1186" t="s">
        <v>133</v>
      </c>
      <c r="B175" s="1186" t="s">
        <v>32</v>
      </c>
      <c r="C175" s="1186">
        <v>191</v>
      </c>
      <c r="D175" s="1186">
        <v>75</v>
      </c>
      <c r="E175" s="1186">
        <v>44</v>
      </c>
      <c r="F175" s="1186">
        <v>37</v>
      </c>
      <c r="G175" s="1186">
        <v>35</v>
      </c>
      <c r="H175" s="1186">
        <v>144</v>
      </c>
      <c r="I175" s="1186">
        <v>10</v>
      </c>
      <c r="J175" s="1186">
        <v>102090</v>
      </c>
    </row>
    <row r="176" spans="1:10" x14ac:dyDescent="0.2">
      <c r="A176" s="1186" t="s">
        <v>133</v>
      </c>
      <c r="B176" s="1186" t="s">
        <v>33</v>
      </c>
      <c r="C176" s="1186">
        <v>104</v>
      </c>
      <c r="D176" s="1186">
        <v>70</v>
      </c>
      <c r="E176" s="1186">
        <v>17</v>
      </c>
      <c r="F176" s="1186">
        <v>13</v>
      </c>
      <c r="G176" s="1186">
        <v>4</v>
      </c>
      <c r="H176" s="1186">
        <v>132</v>
      </c>
      <c r="I176" s="1186">
        <v>8</v>
      </c>
      <c r="J176" s="1186">
        <v>92410</v>
      </c>
    </row>
    <row r="177" spans="1:10" x14ac:dyDescent="0.2">
      <c r="A177" s="1186" t="s">
        <v>133</v>
      </c>
      <c r="B177" s="1186" t="s">
        <v>34</v>
      </c>
      <c r="C177" s="1186">
        <v>271</v>
      </c>
      <c r="D177" s="1186">
        <v>123</v>
      </c>
      <c r="E177" s="1186">
        <v>46</v>
      </c>
      <c r="F177" s="1186">
        <v>46</v>
      </c>
      <c r="G177" s="1186">
        <v>56</v>
      </c>
      <c r="H177" s="1186">
        <v>383</v>
      </c>
      <c r="I177" s="1186">
        <v>6</v>
      </c>
      <c r="J177" s="1186">
        <v>157690</v>
      </c>
    </row>
    <row r="178" spans="1:10" x14ac:dyDescent="0.2">
      <c r="A178" s="1186" t="s">
        <v>133</v>
      </c>
      <c r="B178" s="1186" t="s">
        <v>35</v>
      </c>
      <c r="C178" s="1186">
        <v>517</v>
      </c>
      <c r="D178" s="1186">
        <v>251</v>
      </c>
      <c r="E178" s="1186">
        <v>121</v>
      </c>
      <c r="F178" s="1186">
        <v>103</v>
      </c>
      <c r="G178" s="1186">
        <v>42</v>
      </c>
      <c r="H178" s="1186">
        <v>681</v>
      </c>
      <c r="I178" s="1186">
        <v>33</v>
      </c>
      <c r="J178" s="1186">
        <v>367250</v>
      </c>
    </row>
    <row r="179" spans="1:10" x14ac:dyDescent="0.2">
      <c r="A179" s="1186" t="s">
        <v>133</v>
      </c>
      <c r="B179" s="1186" t="s">
        <v>36</v>
      </c>
      <c r="C179" s="1186">
        <v>1691</v>
      </c>
      <c r="D179" s="1186">
        <v>943</v>
      </c>
      <c r="E179" s="1186">
        <v>394</v>
      </c>
      <c r="F179" s="1186">
        <v>286</v>
      </c>
      <c r="G179" s="1186">
        <v>68</v>
      </c>
      <c r="H179" s="1186">
        <v>2626</v>
      </c>
      <c r="I179" s="1186">
        <v>3</v>
      </c>
      <c r="J179" s="1186">
        <v>599640</v>
      </c>
    </row>
    <row r="180" spans="1:10" x14ac:dyDescent="0.2">
      <c r="A180" s="1186" t="s">
        <v>133</v>
      </c>
      <c r="B180" s="1186" t="s">
        <v>37</v>
      </c>
      <c r="C180" s="1186">
        <v>367</v>
      </c>
      <c r="D180" s="1186">
        <v>163</v>
      </c>
      <c r="E180" s="1186">
        <v>71</v>
      </c>
      <c r="F180" s="1186">
        <v>80</v>
      </c>
      <c r="G180" s="1186">
        <v>53</v>
      </c>
      <c r="H180" s="1186">
        <v>337</v>
      </c>
      <c r="I180" s="1186">
        <v>279</v>
      </c>
      <c r="J180" s="1186">
        <v>233080</v>
      </c>
    </row>
    <row r="181" spans="1:10" x14ac:dyDescent="0.2">
      <c r="A181" s="1186" t="s">
        <v>133</v>
      </c>
      <c r="B181" s="1186" t="s">
        <v>38</v>
      </c>
      <c r="C181" s="1186">
        <v>200</v>
      </c>
      <c r="D181" s="1186">
        <v>113</v>
      </c>
      <c r="E181" s="1186">
        <v>35</v>
      </c>
      <c r="F181" s="1186">
        <v>33</v>
      </c>
      <c r="G181" s="1186">
        <v>19</v>
      </c>
      <c r="H181" s="1186">
        <v>391</v>
      </c>
      <c r="I181" s="1186">
        <v>1</v>
      </c>
      <c r="J181" s="1186">
        <v>79890</v>
      </c>
    </row>
    <row r="182" spans="1:10" x14ac:dyDescent="0.2">
      <c r="A182" s="1186" t="s">
        <v>133</v>
      </c>
      <c r="B182" s="1186" t="s">
        <v>39</v>
      </c>
      <c r="C182" s="1186">
        <v>169</v>
      </c>
      <c r="D182" s="1186">
        <v>71</v>
      </c>
      <c r="E182" s="1186">
        <v>36</v>
      </c>
      <c r="F182" s="1186">
        <v>28</v>
      </c>
      <c r="G182" s="1186">
        <v>34</v>
      </c>
      <c r="H182" s="1186">
        <v>257</v>
      </c>
      <c r="I182" s="1186">
        <v>13</v>
      </c>
      <c r="J182" s="1186">
        <v>86220</v>
      </c>
    </row>
    <row r="183" spans="1:10" x14ac:dyDescent="0.2">
      <c r="A183" s="1186" t="s">
        <v>133</v>
      </c>
      <c r="B183" s="1186" t="s">
        <v>40</v>
      </c>
      <c r="C183" s="1186">
        <v>142</v>
      </c>
      <c r="D183" s="1186">
        <v>59</v>
      </c>
      <c r="E183" s="1186">
        <v>43</v>
      </c>
      <c r="F183" s="1186">
        <v>25</v>
      </c>
      <c r="G183" s="1186">
        <v>15</v>
      </c>
      <c r="H183" s="1186">
        <v>104</v>
      </c>
      <c r="I183" s="1186">
        <v>38</v>
      </c>
      <c r="J183" s="1186">
        <v>94770</v>
      </c>
    </row>
    <row r="184" spans="1:10" x14ac:dyDescent="0.2">
      <c r="A184" s="1186" t="s">
        <v>133</v>
      </c>
      <c r="B184" s="1186" t="s">
        <v>295</v>
      </c>
      <c r="C184" s="1186">
        <v>53</v>
      </c>
      <c r="D184" s="1186">
        <v>22</v>
      </c>
      <c r="E184" s="1186">
        <v>7</v>
      </c>
      <c r="F184" s="1186">
        <v>7</v>
      </c>
      <c r="G184" s="1186">
        <v>17</v>
      </c>
      <c r="H184" s="1186">
        <v>41</v>
      </c>
      <c r="I184" s="1186">
        <v>57</v>
      </c>
      <c r="J184" s="1186">
        <v>27250</v>
      </c>
    </row>
    <row r="185" spans="1:10" x14ac:dyDescent="0.2">
      <c r="A185" s="1186" t="s">
        <v>133</v>
      </c>
      <c r="B185" s="1186" t="s">
        <v>41</v>
      </c>
      <c r="C185" s="1186">
        <v>284</v>
      </c>
      <c r="D185" s="1186">
        <v>168</v>
      </c>
      <c r="E185" s="1186">
        <v>56</v>
      </c>
      <c r="F185" s="1186">
        <v>38</v>
      </c>
      <c r="G185" s="1186">
        <v>22</v>
      </c>
      <c r="H185" s="1186">
        <v>419</v>
      </c>
      <c r="I185" s="1186">
        <v>22</v>
      </c>
      <c r="J185" s="1186">
        <v>136480</v>
      </c>
    </row>
    <row r="186" spans="1:10" x14ac:dyDescent="0.2">
      <c r="A186" s="1186" t="s">
        <v>133</v>
      </c>
      <c r="B186" s="1186" t="s">
        <v>42</v>
      </c>
      <c r="C186" s="1186">
        <v>661</v>
      </c>
      <c r="D186" s="1186">
        <v>345</v>
      </c>
      <c r="E186" s="1186">
        <v>126</v>
      </c>
      <c r="F186" s="1186">
        <v>149</v>
      </c>
      <c r="G186" s="1186">
        <v>41</v>
      </c>
      <c r="H186" s="1186">
        <v>1415</v>
      </c>
      <c r="I186" s="1186">
        <v>4</v>
      </c>
      <c r="J186" s="1186">
        <v>338000</v>
      </c>
    </row>
    <row r="187" spans="1:10" x14ac:dyDescent="0.2">
      <c r="A187" s="1186" t="s">
        <v>133</v>
      </c>
      <c r="B187" s="1186" t="s">
        <v>43</v>
      </c>
      <c r="C187" s="1186">
        <v>39</v>
      </c>
      <c r="D187" s="1186">
        <v>15</v>
      </c>
      <c r="E187" s="1186">
        <v>6</v>
      </c>
      <c r="F187" s="1186">
        <v>13</v>
      </c>
      <c r="G187" s="1186">
        <v>5</v>
      </c>
      <c r="H187" s="1186">
        <v>7</v>
      </c>
      <c r="I187" s="1186">
        <v>12</v>
      </c>
      <c r="J187" s="1186">
        <v>21580</v>
      </c>
    </row>
    <row r="188" spans="1:10" x14ac:dyDescent="0.2">
      <c r="A188" s="1186" t="s">
        <v>133</v>
      </c>
      <c r="B188" s="1186" t="s">
        <v>44</v>
      </c>
      <c r="C188" s="1186">
        <v>262</v>
      </c>
      <c r="D188" s="1186">
        <v>131</v>
      </c>
      <c r="E188" s="1186">
        <v>70</v>
      </c>
      <c r="F188" s="1186">
        <v>48</v>
      </c>
      <c r="G188" s="1186">
        <v>13</v>
      </c>
      <c r="H188" s="1186">
        <v>116</v>
      </c>
      <c r="I188" s="1186">
        <v>61</v>
      </c>
      <c r="J188" s="1186">
        <v>148930</v>
      </c>
    </row>
    <row r="189" spans="1:10" x14ac:dyDescent="0.2">
      <c r="A189" s="1186" t="s">
        <v>133</v>
      </c>
      <c r="B189" s="1186" t="s">
        <v>45</v>
      </c>
      <c r="C189" s="1186">
        <v>418</v>
      </c>
      <c r="D189" s="1186">
        <v>247</v>
      </c>
      <c r="E189" s="1186">
        <v>86</v>
      </c>
      <c r="F189" s="1186">
        <v>61</v>
      </c>
      <c r="G189" s="1186">
        <v>24</v>
      </c>
      <c r="H189" s="1186">
        <v>492</v>
      </c>
      <c r="I189" s="1186">
        <v>4</v>
      </c>
      <c r="J189" s="1186">
        <v>174230</v>
      </c>
    </row>
    <row r="190" spans="1:10" x14ac:dyDescent="0.2">
      <c r="A190" s="1186" t="s">
        <v>133</v>
      </c>
      <c r="B190" s="1186" t="s">
        <v>46</v>
      </c>
      <c r="C190" s="1186">
        <v>179</v>
      </c>
      <c r="D190" s="1186">
        <v>83</v>
      </c>
      <c r="E190" s="1186">
        <v>42</v>
      </c>
      <c r="F190" s="1186">
        <v>34</v>
      </c>
      <c r="G190" s="1186">
        <v>20</v>
      </c>
      <c r="H190" s="1186">
        <v>93</v>
      </c>
      <c r="I190" s="1186">
        <v>77</v>
      </c>
      <c r="J190" s="1186">
        <v>114040</v>
      </c>
    </row>
    <row r="191" spans="1:10" x14ac:dyDescent="0.2">
      <c r="A191" s="1186" t="s">
        <v>133</v>
      </c>
      <c r="B191" s="1186" t="s">
        <v>47</v>
      </c>
      <c r="C191" s="1186">
        <v>42</v>
      </c>
      <c r="D191" s="1186">
        <v>11</v>
      </c>
      <c r="E191" s="1186">
        <v>17</v>
      </c>
      <c r="F191" s="1186">
        <v>5</v>
      </c>
      <c r="G191" s="1186">
        <v>9</v>
      </c>
      <c r="H191" s="1186">
        <v>9</v>
      </c>
      <c r="I191" s="1186">
        <v>6</v>
      </c>
      <c r="J191" s="1186">
        <v>23220</v>
      </c>
    </row>
    <row r="192" spans="1:10" x14ac:dyDescent="0.2">
      <c r="A192" s="1186" t="s">
        <v>133</v>
      </c>
      <c r="B192" s="1186" t="s">
        <v>48</v>
      </c>
      <c r="C192" s="1186">
        <v>188</v>
      </c>
      <c r="D192" s="1186">
        <v>91</v>
      </c>
      <c r="E192" s="1186">
        <v>53</v>
      </c>
      <c r="F192" s="1186">
        <v>34</v>
      </c>
      <c r="G192" s="1186">
        <v>10</v>
      </c>
      <c r="H192" s="1186">
        <v>222</v>
      </c>
      <c r="I192" s="1186">
        <v>20</v>
      </c>
      <c r="J192" s="1186">
        <v>112530</v>
      </c>
    </row>
    <row r="193" spans="1:10" x14ac:dyDescent="0.2">
      <c r="A193" s="1186" t="s">
        <v>133</v>
      </c>
      <c r="B193" s="1186" t="s">
        <v>49</v>
      </c>
      <c r="C193" s="1186">
        <v>585</v>
      </c>
      <c r="D193" s="1186">
        <v>304</v>
      </c>
      <c r="E193" s="1186">
        <v>113</v>
      </c>
      <c r="F193" s="1186">
        <v>126</v>
      </c>
      <c r="G193" s="1186">
        <v>42</v>
      </c>
      <c r="H193" s="1186">
        <v>884</v>
      </c>
      <c r="I193" s="1186">
        <v>20</v>
      </c>
      <c r="J193" s="1186">
        <v>315300</v>
      </c>
    </row>
    <row r="194" spans="1:10" x14ac:dyDescent="0.2">
      <c r="A194" s="1186" t="s">
        <v>133</v>
      </c>
      <c r="B194" s="1186" t="s">
        <v>50</v>
      </c>
      <c r="C194" s="1186">
        <v>179</v>
      </c>
      <c r="D194" s="1186">
        <v>87</v>
      </c>
      <c r="E194" s="1186">
        <v>40</v>
      </c>
      <c r="F194" s="1186">
        <v>35</v>
      </c>
      <c r="G194" s="1186">
        <v>17</v>
      </c>
      <c r="H194" s="1186">
        <v>126</v>
      </c>
      <c r="I194" s="1186">
        <v>20</v>
      </c>
      <c r="J194" s="1186">
        <v>91520</v>
      </c>
    </row>
    <row r="195" spans="1:10" x14ac:dyDescent="0.2">
      <c r="A195" s="1186" t="s">
        <v>133</v>
      </c>
      <c r="B195" s="1186" t="s">
        <v>51</v>
      </c>
      <c r="C195" s="1186">
        <v>176</v>
      </c>
      <c r="D195" s="1186">
        <v>98</v>
      </c>
      <c r="E195" s="1186">
        <v>34</v>
      </c>
      <c r="F195" s="1186">
        <v>36</v>
      </c>
      <c r="G195" s="1186">
        <v>8</v>
      </c>
      <c r="H195" s="1186">
        <v>326</v>
      </c>
      <c r="I195" s="1186"/>
      <c r="J195" s="1186">
        <v>89710</v>
      </c>
    </row>
    <row r="196" spans="1:10" x14ac:dyDescent="0.2">
      <c r="A196" s="1186" t="s">
        <v>133</v>
      </c>
      <c r="B196" s="1186" t="s">
        <v>52</v>
      </c>
      <c r="C196" s="1186">
        <v>377</v>
      </c>
      <c r="D196" s="1186">
        <v>173</v>
      </c>
      <c r="E196" s="1186">
        <v>87</v>
      </c>
      <c r="F196" s="1186">
        <v>74</v>
      </c>
      <c r="G196" s="1186">
        <v>43</v>
      </c>
      <c r="H196" s="1186">
        <v>527</v>
      </c>
      <c r="I196" s="1186">
        <v>11</v>
      </c>
      <c r="J196" s="1186">
        <v>177200</v>
      </c>
    </row>
    <row r="197" spans="1:10" x14ac:dyDescent="0.2">
      <c r="A197" s="1186" t="s">
        <v>144</v>
      </c>
      <c r="B197" s="1186" t="s">
        <v>23</v>
      </c>
      <c r="C197" s="1186">
        <v>553</v>
      </c>
      <c r="D197" s="1186">
        <v>334</v>
      </c>
      <c r="E197" s="1186">
        <v>121</v>
      </c>
      <c r="F197" s="1186">
        <v>80</v>
      </c>
      <c r="G197" s="1186">
        <v>18</v>
      </c>
      <c r="H197" s="1186">
        <v>441</v>
      </c>
      <c r="I197" s="1186">
        <v>10</v>
      </c>
      <c r="J197" s="1186">
        <v>230350</v>
      </c>
    </row>
    <row r="198" spans="1:10" x14ac:dyDescent="0.2">
      <c r="A198" s="1186" t="s">
        <v>144</v>
      </c>
      <c r="B198" s="1186" t="s">
        <v>24</v>
      </c>
      <c r="C198" s="1186">
        <v>404</v>
      </c>
      <c r="D198" s="1186">
        <v>192</v>
      </c>
      <c r="E198" s="1186">
        <v>83</v>
      </c>
      <c r="F198" s="1186">
        <v>90</v>
      </c>
      <c r="G198" s="1186">
        <v>39</v>
      </c>
      <c r="H198" s="1186">
        <v>184</v>
      </c>
      <c r="I198" s="1186">
        <v>77</v>
      </c>
      <c r="J198" s="1186">
        <v>261960</v>
      </c>
    </row>
    <row r="199" spans="1:10" x14ac:dyDescent="0.2">
      <c r="A199" s="1186" t="s">
        <v>144</v>
      </c>
      <c r="B199" s="1186" t="s">
        <v>25</v>
      </c>
      <c r="C199" s="1186">
        <v>181</v>
      </c>
      <c r="D199" s="1186">
        <v>95</v>
      </c>
      <c r="E199" s="1186">
        <v>42</v>
      </c>
      <c r="F199" s="1186">
        <v>32</v>
      </c>
      <c r="G199" s="1186">
        <v>12</v>
      </c>
      <c r="H199" s="1186">
        <v>147</v>
      </c>
      <c r="I199" s="1186">
        <v>21</v>
      </c>
      <c r="J199" s="1186">
        <v>116900</v>
      </c>
    </row>
    <row r="200" spans="1:10" x14ac:dyDescent="0.2">
      <c r="A200" s="1186" t="s">
        <v>144</v>
      </c>
      <c r="B200" s="1186" t="s">
        <v>26</v>
      </c>
      <c r="C200" s="1186">
        <v>137</v>
      </c>
      <c r="D200" s="1186">
        <v>64</v>
      </c>
      <c r="E200" s="1186">
        <v>38</v>
      </c>
      <c r="F200" s="1186">
        <v>21</v>
      </c>
      <c r="G200" s="1186">
        <v>14</v>
      </c>
      <c r="H200" s="1186">
        <v>68</v>
      </c>
      <c r="I200" s="1186">
        <v>67</v>
      </c>
      <c r="J200" s="1186">
        <v>86890</v>
      </c>
    </row>
    <row r="201" spans="1:10" x14ac:dyDescent="0.2">
      <c r="A201" s="1186" t="s">
        <v>144</v>
      </c>
      <c r="B201" s="1186" t="s">
        <v>619</v>
      </c>
      <c r="C201" s="1186">
        <v>1223</v>
      </c>
      <c r="D201" s="1186">
        <v>633</v>
      </c>
      <c r="E201" s="1186">
        <v>288</v>
      </c>
      <c r="F201" s="1186">
        <v>203</v>
      </c>
      <c r="G201" s="1186">
        <v>99</v>
      </c>
      <c r="H201" s="1186">
        <v>1893</v>
      </c>
      <c r="I201" s="1186">
        <v>9</v>
      </c>
      <c r="J201" s="1186">
        <v>498810</v>
      </c>
    </row>
    <row r="202" spans="1:10" x14ac:dyDescent="0.2">
      <c r="A202" s="1186" t="s">
        <v>144</v>
      </c>
      <c r="B202" s="1186" t="s">
        <v>27</v>
      </c>
      <c r="C202" s="1186">
        <v>112</v>
      </c>
      <c r="D202" s="1186">
        <v>75</v>
      </c>
      <c r="E202" s="1186">
        <v>23</v>
      </c>
      <c r="F202" s="1186">
        <v>4</v>
      </c>
      <c r="G202" s="1186">
        <v>10</v>
      </c>
      <c r="H202" s="1186">
        <v>102</v>
      </c>
      <c r="I202" s="1186">
        <v>4</v>
      </c>
      <c r="J202" s="1186">
        <v>51360</v>
      </c>
    </row>
    <row r="203" spans="1:10" x14ac:dyDescent="0.2">
      <c r="A203" s="1186" t="s">
        <v>144</v>
      </c>
      <c r="B203" s="1186" t="s">
        <v>28</v>
      </c>
      <c r="C203" s="1186">
        <v>228</v>
      </c>
      <c r="D203" s="1186">
        <v>94</v>
      </c>
      <c r="E203" s="1186">
        <v>44</v>
      </c>
      <c r="F203" s="1186">
        <v>67</v>
      </c>
      <c r="G203" s="1186">
        <v>23</v>
      </c>
      <c r="H203" s="1186">
        <v>155</v>
      </c>
      <c r="I203" s="1186">
        <v>58</v>
      </c>
      <c r="J203" s="1186">
        <v>149670</v>
      </c>
    </row>
    <row r="204" spans="1:10" x14ac:dyDescent="0.2">
      <c r="A204" s="1186" t="s">
        <v>144</v>
      </c>
      <c r="B204" s="1186" t="s">
        <v>29</v>
      </c>
      <c r="C204" s="1186">
        <v>383</v>
      </c>
      <c r="D204" s="1186">
        <v>256</v>
      </c>
      <c r="E204" s="1186">
        <v>78</v>
      </c>
      <c r="F204" s="1186">
        <v>40</v>
      </c>
      <c r="G204" s="1186">
        <v>9</v>
      </c>
      <c r="H204" s="1186">
        <v>680</v>
      </c>
      <c r="I204" s="1186">
        <v>3</v>
      </c>
      <c r="J204" s="1186">
        <v>148210</v>
      </c>
    </row>
    <row r="205" spans="1:10" x14ac:dyDescent="0.2">
      <c r="A205" s="1186" t="s">
        <v>144</v>
      </c>
      <c r="B205" s="1186" t="s">
        <v>30</v>
      </c>
      <c r="C205" s="1186">
        <v>219</v>
      </c>
      <c r="D205" s="1186">
        <v>104</v>
      </c>
      <c r="E205" s="1186">
        <v>54</v>
      </c>
      <c r="F205" s="1186">
        <v>42</v>
      </c>
      <c r="G205" s="1186">
        <v>19</v>
      </c>
      <c r="H205" s="1186">
        <v>616</v>
      </c>
      <c r="I205" s="1186">
        <v>13</v>
      </c>
      <c r="J205" s="1186">
        <v>122060</v>
      </c>
    </row>
    <row r="206" spans="1:10" x14ac:dyDescent="0.2">
      <c r="A206" s="1186" t="s">
        <v>144</v>
      </c>
      <c r="B206" s="1186" t="s">
        <v>31</v>
      </c>
      <c r="C206" s="1186">
        <v>147</v>
      </c>
      <c r="D206" s="1186">
        <v>77</v>
      </c>
      <c r="E206" s="1186">
        <v>29</v>
      </c>
      <c r="F206" s="1186">
        <v>31</v>
      </c>
      <c r="G206" s="1186">
        <v>10</v>
      </c>
      <c r="H206" s="1186">
        <v>171</v>
      </c>
      <c r="I206" s="1186">
        <v>1</v>
      </c>
      <c r="J206" s="1186">
        <v>106960</v>
      </c>
    </row>
    <row r="207" spans="1:10" x14ac:dyDescent="0.2">
      <c r="A207" s="1186" t="s">
        <v>144</v>
      </c>
      <c r="B207" s="1186" t="s">
        <v>32</v>
      </c>
      <c r="C207" s="1186">
        <v>197</v>
      </c>
      <c r="D207" s="1186">
        <v>85</v>
      </c>
      <c r="E207" s="1186">
        <v>35</v>
      </c>
      <c r="F207" s="1186">
        <v>50</v>
      </c>
      <c r="G207" s="1186">
        <v>27</v>
      </c>
      <c r="H207" s="1186">
        <v>195</v>
      </c>
      <c r="I207" s="1186">
        <v>27</v>
      </c>
      <c r="J207" s="1186">
        <v>103050</v>
      </c>
    </row>
    <row r="208" spans="1:10" x14ac:dyDescent="0.2">
      <c r="A208" s="1186" t="s">
        <v>144</v>
      </c>
      <c r="B208" s="1186" t="s">
        <v>33</v>
      </c>
      <c r="C208" s="1186">
        <v>131</v>
      </c>
      <c r="D208" s="1186">
        <v>71</v>
      </c>
      <c r="E208" s="1186">
        <v>33</v>
      </c>
      <c r="F208" s="1186">
        <v>16</v>
      </c>
      <c r="G208" s="1186">
        <v>11</v>
      </c>
      <c r="H208" s="1186">
        <v>147</v>
      </c>
      <c r="I208" s="1186">
        <v>3</v>
      </c>
      <c r="J208" s="1186">
        <v>92940</v>
      </c>
    </row>
    <row r="209" spans="1:10" x14ac:dyDescent="0.2">
      <c r="A209" s="1186" t="s">
        <v>144</v>
      </c>
      <c r="B209" s="1186" t="s">
        <v>34</v>
      </c>
      <c r="C209" s="1186">
        <v>307</v>
      </c>
      <c r="D209" s="1186">
        <v>134</v>
      </c>
      <c r="E209" s="1186">
        <v>71</v>
      </c>
      <c r="F209" s="1186">
        <v>55</v>
      </c>
      <c r="G209" s="1186">
        <v>47</v>
      </c>
      <c r="H209" s="1186">
        <v>343</v>
      </c>
      <c r="I209" s="1186">
        <v>5</v>
      </c>
      <c r="J209" s="1186">
        <v>158460</v>
      </c>
    </row>
    <row r="210" spans="1:10" x14ac:dyDescent="0.2">
      <c r="A210" s="1186" t="s">
        <v>144</v>
      </c>
      <c r="B210" s="1186" t="s">
        <v>35</v>
      </c>
      <c r="C210" s="1186">
        <v>577</v>
      </c>
      <c r="D210" s="1186">
        <v>278</v>
      </c>
      <c r="E210" s="1186">
        <v>134</v>
      </c>
      <c r="F210" s="1186">
        <v>117</v>
      </c>
      <c r="G210" s="1186">
        <v>48</v>
      </c>
      <c r="H210" s="1186">
        <v>740</v>
      </c>
      <c r="I210" s="1186">
        <v>29</v>
      </c>
      <c r="J210" s="1186">
        <v>368080</v>
      </c>
    </row>
    <row r="211" spans="1:10" x14ac:dyDescent="0.2">
      <c r="A211" s="1186" t="s">
        <v>144</v>
      </c>
      <c r="B211" s="1186" t="s">
        <v>36</v>
      </c>
      <c r="C211" s="1186">
        <v>1738</v>
      </c>
      <c r="D211" s="1186">
        <v>960</v>
      </c>
      <c r="E211" s="1186">
        <v>408</v>
      </c>
      <c r="F211" s="1186">
        <v>291</v>
      </c>
      <c r="G211" s="1186">
        <v>79</v>
      </c>
      <c r="H211" s="1186">
        <v>2436</v>
      </c>
      <c r="I211" s="1186">
        <v>10</v>
      </c>
      <c r="J211" s="1186">
        <v>606340</v>
      </c>
    </row>
    <row r="212" spans="1:10" x14ac:dyDescent="0.2">
      <c r="A212" s="1186" t="s">
        <v>144</v>
      </c>
      <c r="B212" s="1186" t="s">
        <v>37</v>
      </c>
      <c r="C212" s="1186">
        <v>374</v>
      </c>
      <c r="D212" s="1186">
        <v>129</v>
      </c>
      <c r="E212" s="1186">
        <v>102</v>
      </c>
      <c r="F212" s="1186">
        <v>87</v>
      </c>
      <c r="G212" s="1186">
        <v>56</v>
      </c>
      <c r="H212" s="1186">
        <v>342</v>
      </c>
      <c r="I212" s="1186">
        <v>241</v>
      </c>
      <c r="J212" s="1186">
        <v>234110</v>
      </c>
    </row>
    <row r="213" spans="1:10" x14ac:dyDescent="0.2">
      <c r="A213" s="1186" t="s">
        <v>144</v>
      </c>
      <c r="B213" s="1186" t="s">
        <v>38</v>
      </c>
      <c r="C213" s="1186">
        <v>215</v>
      </c>
      <c r="D213" s="1186">
        <v>129</v>
      </c>
      <c r="E213" s="1186">
        <v>37</v>
      </c>
      <c r="F213" s="1186">
        <v>32</v>
      </c>
      <c r="G213" s="1186">
        <v>17</v>
      </c>
      <c r="H213" s="1186">
        <v>405</v>
      </c>
      <c r="I213" s="1186">
        <v>2</v>
      </c>
      <c r="J213" s="1186">
        <v>79500</v>
      </c>
    </row>
    <row r="214" spans="1:10" x14ac:dyDescent="0.2">
      <c r="A214" s="1186" t="s">
        <v>144</v>
      </c>
      <c r="B214" s="1186" t="s">
        <v>39</v>
      </c>
      <c r="C214" s="1186">
        <v>170</v>
      </c>
      <c r="D214" s="1186">
        <v>69</v>
      </c>
      <c r="E214" s="1186">
        <v>32</v>
      </c>
      <c r="F214" s="1186">
        <v>29</v>
      </c>
      <c r="G214" s="1186">
        <v>40</v>
      </c>
      <c r="H214" s="1186">
        <v>301</v>
      </c>
      <c r="I214" s="1186">
        <v>14</v>
      </c>
      <c r="J214" s="1186">
        <v>87390</v>
      </c>
    </row>
    <row r="215" spans="1:10" x14ac:dyDescent="0.2">
      <c r="A215" s="1186" t="s">
        <v>144</v>
      </c>
      <c r="B215" s="1186" t="s">
        <v>40</v>
      </c>
      <c r="C215" s="1186">
        <v>125</v>
      </c>
      <c r="D215" s="1186">
        <v>50</v>
      </c>
      <c r="E215" s="1186">
        <v>36</v>
      </c>
      <c r="F215" s="1186">
        <v>28</v>
      </c>
      <c r="G215" s="1186">
        <v>11</v>
      </c>
      <c r="H215" s="1186">
        <v>95</v>
      </c>
      <c r="I215" s="1186">
        <v>29</v>
      </c>
      <c r="J215" s="1186">
        <v>95510</v>
      </c>
    </row>
    <row r="216" spans="1:10" x14ac:dyDescent="0.2">
      <c r="A216" s="1186" t="s">
        <v>144</v>
      </c>
      <c r="B216" s="1186" t="s">
        <v>295</v>
      </c>
      <c r="C216" s="1186">
        <v>41</v>
      </c>
      <c r="D216" s="1186">
        <v>20</v>
      </c>
      <c r="E216" s="1186">
        <v>7</v>
      </c>
      <c r="F216" s="1186">
        <v>9</v>
      </c>
      <c r="G216" s="1186">
        <v>5</v>
      </c>
      <c r="H216" s="1186">
        <v>30</v>
      </c>
      <c r="I216" s="1186">
        <v>38</v>
      </c>
      <c r="J216" s="1186">
        <v>27070</v>
      </c>
    </row>
    <row r="217" spans="1:10" x14ac:dyDescent="0.2">
      <c r="A217" s="1186" t="s">
        <v>144</v>
      </c>
      <c r="B217" s="1186" t="s">
        <v>41</v>
      </c>
      <c r="C217" s="1186">
        <v>284</v>
      </c>
      <c r="D217" s="1186">
        <v>176</v>
      </c>
      <c r="E217" s="1186">
        <v>63</v>
      </c>
      <c r="F217" s="1186">
        <v>34</v>
      </c>
      <c r="G217" s="1186">
        <v>11</v>
      </c>
      <c r="H217" s="1186">
        <v>507</v>
      </c>
      <c r="I217" s="1186">
        <v>16</v>
      </c>
      <c r="J217" s="1186">
        <v>136130</v>
      </c>
    </row>
    <row r="218" spans="1:10" x14ac:dyDescent="0.2">
      <c r="A218" s="1186" t="s">
        <v>144</v>
      </c>
      <c r="B218" s="1186" t="s">
        <v>42</v>
      </c>
      <c r="C218" s="1186">
        <v>655</v>
      </c>
      <c r="D218" s="1186">
        <v>336</v>
      </c>
      <c r="E218" s="1186">
        <v>140</v>
      </c>
      <c r="F218" s="1186">
        <v>146</v>
      </c>
      <c r="G218" s="1186">
        <v>33</v>
      </c>
      <c r="H218" s="1186">
        <v>1540</v>
      </c>
      <c r="I218" s="1186">
        <v>4</v>
      </c>
      <c r="J218" s="1186">
        <v>338260</v>
      </c>
    </row>
    <row r="219" spans="1:10" x14ac:dyDescent="0.2">
      <c r="A219" s="1186" t="s">
        <v>144</v>
      </c>
      <c r="B219" s="1186" t="s">
        <v>43</v>
      </c>
      <c r="C219" s="1186">
        <v>37</v>
      </c>
      <c r="D219" s="1186">
        <v>11</v>
      </c>
      <c r="E219" s="1186">
        <v>9</v>
      </c>
      <c r="F219" s="1186">
        <v>11</v>
      </c>
      <c r="G219" s="1186">
        <v>6</v>
      </c>
      <c r="H219" s="1186">
        <v>13</v>
      </c>
      <c r="I219" s="1186">
        <v>13</v>
      </c>
      <c r="J219" s="1186">
        <v>21670</v>
      </c>
    </row>
    <row r="220" spans="1:10" x14ac:dyDescent="0.2">
      <c r="A220" s="1186" t="s">
        <v>144</v>
      </c>
      <c r="B220" s="1186" t="s">
        <v>44</v>
      </c>
      <c r="C220" s="1186">
        <v>269</v>
      </c>
      <c r="D220" s="1186">
        <v>122</v>
      </c>
      <c r="E220" s="1186">
        <v>74</v>
      </c>
      <c r="F220" s="1186">
        <v>50</v>
      </c>
      <c r="G220" s="1186">
        <v>23</v>
      </c>
      <c r="H220" s="1186">
        <v>144</v>
      </c>
      <c r="I220" s="1186">
        <v>67</v>
      </c>
      <c r="J220" s="1186">
        <v>149930</v>
      </c>
    </row>
    <row r="221" spans="1:10" x14ac:dyDescent="0.2">
      <c r="A221" s="1186" t="s">
        <v>144</v>
      </c>
      <c r="B221" s="1186" t="s">
        <v>45</v>
      </c>
      <c r="C221" s="1186">
        <v>406</v>
      </c>
      <c r="D221" s="1186">
        <v>242</v>
      </c>
      <c r="E221" s="1186">
        <v>89</v>
      </c>
      <c r="F221" s="1186">
        <v>56</v>
      </c>
      <c r="G221" s="1186">
        <v>19</v>
      </c>
      <c r="H221" s="1186">
        <v>566</v>
      </c>
      <c r="I221" s="1186">
        <v>5</v>
      </c>
      <c r="J221" s="1186">
        <v>174560</v>
      </c>
    </row>
    <row r="222" spans="1:10" x14ac:dyDescent="0.2">
      <c r="A222" s="1186" t="s">
        <v>144</v>
      </c>
      <c r="B222" s="1186" t="s">
        <v>46</v>
      </c>
      <c r="C222" s="1186">
        <v>226</v>
      </c>
      <c r="D222" s="1186">
        <v>109</v>
      </c>
      <c r="E222" s="1186">
        <v>48</v>
      </c>
      <c r="F222" s="1186">
        <v>32</v>
      </c>
      <c r="G222" s="1186">
        <v>37</v>
      </c>
      <c r="H222" s="1186">
        <v>92</v>
      </c>
      <c r="I222" s="1186">
        <v>55</v>
      </c>
      <c r="J222" s="1186">
        <v>114030</v>
      </c>
    </row>
    <row r="223" spans="1:10" x14ac:dyDescent="0.2">
      <c r="A223" s="1186" t="s">
        <v>144</v>
      </c>
      <c r="B223" s="1186" t="s">
        <v>47</v>
      </c>
      <c r="C223" s="1186">
        <v>37</v>
      </c>
      <c r="D223" s="1186">
        <v>19</v>
      </c>
      <c r="E223" s="1186">
        <v>4</v>
      </c>
      <c r="F223" s="1186">
        <v>7</v>
      </c>
      <c r="G223" s="1186">
        <v>7</v>
      </c>
      <c r="H223" s="1186">
        <v>11</v>
      </c>
      <c r="I223" s="1186">
        <v>11</v>
      </c>
      <c r="J223" s="1186">
        <v>23200</v>
      </c>
    </row>
    <row r="224" spans="1:10" x14ac:dyDescent="0.2">
      <c r="A224" s="1186" t="s">
        <v>144</v>
      </c>
      <c r="B224" s="1186" t="s">
        <v>48</v>
      </c>
      <c r="C224" s="1186">
        <v>189</v>
      </c>
      <c r="D224" s="1186">
        <v>101</v>
      </c>
      <c r="E224" s="1186">
        <v>54</v>
      </c>
      <c r="F224" s="1186">
        <v>30</v>
      </c>
      <c r="G224" s="1186">
        <v>4</v>
      </c>
      <c r="H224" s="1186">
        <v>211</v>
      </c>
      <c r="I224" s="1186">
        <v>16</v>
      </c>
      <c r="J224" s="1186">
        <v>112400</v>
      </c>
    </row>
    <row r="225" spans="1:10" x14ac:dyDescent="0.2">
      <c r="A225" s="1186" t="s">
        <v>144</v>
      </c>
      <c r="B225" s="1186" t="s">
        <v>49</v>
      </c>
      <c r="C225" s="1186">
        <v>539</v>
      </c>
      <c r="D225" s="1186">
        <v>294</v>
      </c>
      <c r="E225" s="1186">
        <v>99</v>
      </c>
      <c r="F225" s="1186">
        <v>123</v>
      </c>
      <c r="G225" s="1186">
        <v>23</v>
      </c>
      <c r="H225" s="1186">
        <v>906</v>
      </c>
      <c r="I225" s="1186">
        <v>14</v>
      </c>
      <c r="J225" s="1186">
        <v>316230</v>
      </c>
    </row>
    <row r="226" spans="1:10" x14ac:dyDescent="0.2">
      <c r="A226" s="1186" t="s">
        <v>144</v>
      </c>
      <c r="B226" s="1186" t="s">
        <v>50</v>
      </c>
      <c r="C226" s="1186">
        <v>232</v>
      </c>
      <c r="D226" s="1186">
        <v>108</v>
      </c>
      <c r="E226" s="1186">
        <v>72</v>
      </c>
      <c r="F226" s="1186">
        <v>34</v>
      </c>
      <c r="G226" s="1186">
        <v>18</v>
      </c>
      <c r="H226" s="1186">
        <v>209</v>
      </c>
      <c r="I226" s="1186">
        <v>23</v>
      </c>
      <c r="J226" s="1186">
        <v>92830</v>
      </c>
    </row>
    <row r="227" spans="1:10" x14ac:dyDescent="0.2">
      <c r="A227" s="1186" t="s">
        <v>144</v>
      </c>
      <c r="B227" s="1186" t="s">
        <v>51</v>
      </c>
      <c r="C227" s="1186">
        <v>270</v>
      </c>
      <c r="D227" s="1186">
        <v>156</v>
      </c>
      <c r="E227" s="1186">
        <v>59</v>
      </c>
      <c r="F227" s="1186">
        <v>40</v>
      </c>
      <c r="G227" s="1186">
        <v>15</v>
      </c>
      <c r="H227" s="1186">
        <v>312</v>
      </c>
      <c r="I227" s="1186">
        <v>1</v>
      </c>
      <c r="J227" s="1186">
        <v>89590</v>
      </c>
    </row>
    <row r="228" spans="1:10" x14ac:dyDescent="0.2">
      <c r="A228" s="1186" t="s">
        <v>144</v>
      </c>
      <c r="B228" s="1186" t="s">
        <v>52</v>
      </c>
      <c r="C228" s="1186">
        <v>400</v>
      </c>
      <c r="D228" s="1186">
        <v>150</v>
      </c>
      <c r="E228" s="1186">
        <v>88</v>
      </c>
      <c r="F228" s="1186">
        <v>78</v>
      </c>
      <c r="G228" s="1186">
        <v>84</v>
      </c>
      <c r="H228" s="1186">
        <v>730</v>
      </c>
      <c r="I228" s="1186">
        <v>4</v>
      </c>
      <c r="J228" s="1186">
        <v>178550</v>
      </c>
    </row>
    <row r="229" spans="1:10" x14ac:dyDescent="0.2">
      <c r="A229" s="1186" t="s">
        <v>282</v>
      </c>
      <c r="B229" s="1186" t="s">
        <v>23</v>
      </c>
      <c r="C229" s="1186">
        <v>564</v>
      </c>
      <c r="D229" s="1186">
        <v>350</v>
      </c>
      <c r="E229" s="1186">
        <v>108</v>
      </c>
      <c r="F229" s="1186">
        <v>84</v>
      </c>
      <c r="G229" s="1186">
        <v>22</v>
      </c>
      <c r="H229" s="1186">
        <v>315</v>
      </c>
      <c r="I229" s="1186">
        <v>13</v>
      </c>
      <c r="J229" s="1186">
        <v>229840</v>
      </c>
    </row>
    <row r="230" spans="1:10" x14ac:dyDescent="0.2">
      <c r="A230" s="1186" t="s">
        <v>282</v>
      </c>
      <c r="B230" s="1186" t="s">
        <v>24</v>
      </c>
      <c r="C230" s="1186">
        <v>399</v>
      </c>
      <c r="D230" s="1186">
        <v>184</v>
      </c>
      <c r="E230" s="1186">
        <v>88</v>
      </c>
      <c r="F230" s="1186">
        <v>89</v>
      </c>
      <c r="G230" s="1186">
        <v>38</v>
      </c>
      <c r="H230" s="1186">
        <v>264</v>
      </c>
      <c r="I230" s="1186">
        <v>90</v>
      </c>
      <c r="J230" s="1186">
        <v>262190</v>
      </c>
    </row>
    <row r="231" spans="1:10" x14ac:dyDescent="0.2">
      <c r="A231" s="1186" t="s">
        <v>282</v>
      </c>
      <c r="B231" s="1186" t="s">
        <v>25</v>
      </c>
      <c r="C231" s="1186">
        <v>186</v>
      </c>
      <c r="D231" s="1186">
        <v>98</v>
      </c>
      <c r="E231" s="1186">
        <v>28</v>
      </c>
      <c r="F231" s="1186">
        <v>47</v>
      </c>
      <c r="G231" s="1186">
        <v>13</v>
      </c>
      <c r="H231" s="1186">
        <v>126</v>
      </c>
      <c r="I231" s="1186">
        <v>11</v>
      </c>
      <c r="J231" s="1186">
        <v>116520</v>
      </c>
    </row>
    <row r="232" spans="1:10" x14ac:dyDescent="0.2">
      <c r="A232" s="1186" t="s">
        <v>282</v>
      </c>
      <c r="B232" s="1186" t="s">
        <v>26</v>
      </c>
      <c r="C232" s="1186">
        <v>150</v>
      </c>
      <c r="D232" s="1186">
        <v>80</v>
      </c>
      <c r="E232" s="1186">
        <v>31</v>
      </c>
      <c r="F232" s="1186">
        <v>26</v>
      </c>
      <c r="G232" s="1186">
        <v>13</v>
      </c>
      <c r="H232" s="1186">
        <v>122</v>
      </c>
      <c r="I232" s="1186">
        <v>43</v>
      </c>
      <c r="J232" s="1186">
        <v>87130</v>
      </c>
    </row>
    <row r="233" spans="1:10" x14ac:dyDescent="0.2">
      <c r="A233" s="1186" t="s">
        <v>282</v>
      </c>
      <c r="B233" s="1186" t="s">
        <v>619</v>
      </c>
      <c r="C233" s="1186">
        <v>1169</v>
      </c>
      <c r="D233" s="1186">
        <v>579</v>
      </c>
      <c r="E233" s="1186">
        <v>259</v>
      </c>
      <c r="F233" s="1186">
        <v>213</v>
      </c>
      <c r="G233" s="1186">
        <v>118</v>
      </c>
      <c r="H233" s="1186">
        <v>1875</v>
      </c>
      <c r="I233" s="1186">
        <v>10</v>
      </c>
      <c r="J233" s="1186">
        <v>507170</v>
      </c>
    </row>
    <row r="234" spans="1:10" x14ac:dyDescent="0.2">
      <c r="A234" s="1186" t="s">
        <v>282</v>
      </c>
      <c r="B234" s="1186" t="s">
        <v>27</v>
      </c>
      <c r="C234" s="1186">
        <v>109</v>
      </c>
      <c r="D234" s="1186">
        <v>72</v>
      </c>
      <c r="E234" s="1186">
        <v>20</v>
      </c>
      <c r="F234" s="1186">
        <v>13</v>
      </c>
      <c r="G234" s="1186">
        <v>4</v>
      </c>
      <c r="H234" s="1186">
        <v>84</v>
      </c>
      <c r="I234" s="1186">
        <v>3</v>
      </c>
      <c r="J234" s="1186">
        <v>51350</v>
      </c>
    </row>
    <row r="235" spans="1:10" x14ac:dyDescent="0.2">
      <c r="A235" s="1186" t="s">
        <v>282</v>
      </c>
      <c r="B235" s="1186" t="s">
        <v>28</v>
      </c>
      <c r="C235" s="1186">
        <v>246</v>
      </c>
      <c r="D235" s="1186">
        <v>118</v>
      </c>
      <c r="E235" s="1186">
        <v>54</v>
      </c>
      <c r="F235" s="1186">
        <v>54</v>
      </c>
      <c r="G235" s="1186">
        <v>20</v>
      </c>
      <c r="H235" s="1186">
        <v>169</v>
      </c>
      <c r="I235" s="1186">
        <v>47</v>
      </c>
      <c r="J235" s="1186">
        <v>149520</v>
      </c>
    </row>
    <row r="236" spans="1:10" x14ac:dyDescent="0.2">
      <c r="A236" s="1186" t="s">
        <v>282</v>
      </c>
      <c r="B236" s="1186" t="s">
        <v>29</v>
      </c>
      <c r="C236" s="1186">
        <v>382</v>
      </c>
      <c r="D236" s="1186">
        <v>257</v>
      </c>
      <c r="E236" s="1186">
        <v>67</v>
      </c>
      <c r="F236" s="1186">
        <v>39</v>
      </c>
      <c r="G236" s="1186">
        <v>19</v>
      </c>
      <c r="H236" s="1186">
        <v>818</v>
      </c>
      <c r="I236" s="1186">
        <v>2</v>
      </c>
      <c r="J236" s="1186">
        <v>148270</v>
      </c>
    </row>
    <row r="237" spans="1:10" x14ac:dyDescent="0.2">
      <c r="A237" s="1186" t="s">
        <v>282</v>
      </c>
      <c r="B237" s="1186" t="s">
        <v>30</v>
      </c>
      <c r="C237" s="1186">
        <v>255</v>
      </c>
      <c r="D237" s="1186">
        <v>146</v>
      </c>
      <c r="E237" s="1186">
        <v>55</v>
      </c>
      <c r="F237" s="1186">
        <v>46</v>
      </c>
      <c r="G237" s="1186">
        <v>8</v>
      </c>
      <c r="H237" s="1186">
        <v>640</v>
      </c>
      <c r="I237" s="1186">
        <v>12</v>
      </c>
      <c r="J237" s="1186">
        <v>122200</v>
      </c>
    </row>
    <row r="238" spans="1:10" x14ac:dyDescent="0.2">
      <c r="A238" s="1186" t="s">
        <v>282</v>
      </c>
      <c r="B238" s="1186" t="s">
        <v>31</v>
      </c>
      <c r="C238" s="1186">
        <v>166</v>
      </c>
      <c r="D238" s="1186">
        <v>82</v>
      </c>
      <c r="E238" s="1186">
        <v>36</v>
      </c>
      <c r="F238" s="1186">
        <v>38</v>
      </c>
      <c r="G238" s="1186">
        <v>10</v>
      </c>
      <c r="H238" s="1186">
        <v>180</v>
      </c>
      <c r="I238" s="1186">
        <v>2</v>
      </c>
      <c r="J238" s="1186">
        <v>107540</v>
      </c>
    </row>
    <row r="239" spans="1:10" x14ac:dyDescent="0.2">
      <c r="A239" s="1186" t="s">
        <v>282</v>
      </c>
      <c r="B239" s="1186" t="s">
        <v>32</v>
      </c>
      <c r="C239" s="1186">
        <v>155</v>
      </c>
      <c r="D239" s="1186">
        <v>59</v>
      </c>
      <c r="E239" s="1186">
        <v>44</v>
      </c>
      <c r="F239" s="1186">
        <v>27</v>
      </c>
      <c r="G239" s="1186">
        <v>25</v>
      </c>
      <c r="H239" s="1186">
        <v>255</v>
      </c>
      <c r="I239" s="1186">
        <v>19</v>
      </c>
      <c r="J239" s="1186">
        <v>104090</v>
      </c>
    </row>
    <row r="240" spans="1:10" x14ac:dyDescent="0.2">
      <c r="A240" s="1186" t="s">
        <v>282</v>
      </c>
      <c r="B240" s="1186" t="s">
        <v>33</v>
      </c>
      <c r="C240" s="1186">
        <v>106</v>
      </c>
      <c r="D240" s="1186">
        <v>64</v>
      </c>
      <c r="E240" s="1186">
        <v>18</v>
      </c>
      <c r="F240" s="1186">
        <v>16</v>
      </c>
      <c r="G240" s="1186">
        <v>8</v>
      </c>
      <c r="H240" s="1186">
        <v>152</v>
      </c>
      <c r="I240" s="1186">
        <v>5</v>
      </c>
      <c r="J240" s="1186">
        <v>93810</v>
      </c>
    </row>
    <row r="241" spans="1:10" x14ac:dyDescent="0.2">
      <c r="A241" s="1186" t="s">
        <v>282</v>
      </c>
      <c r="B241" s="1186" t="s">
        <v>34</v>
      </c>
      <c r="C241" s="1186">
        <v>281</v>
      </c>
      <c r="D241" s="1186">
        <v>117</v>
      </c>
      <c r="E241" s="1186">
        <v>65</v>
      </c>
      <c r="F241" s="1186">
        <v>50</v>
      </c>
      <c r="G241" s="1186">
        <v>49</v>
      </c>
      <c r="H241" s="1186">
        <v>412</v>
      </c>
      <c r="I241" s="1186">
        <v>5</v>
      </c>
      <c r="J241" s="1186">
        <v>159380</v>
      </c>
    </row>
    <row r="242" spans="1:10" x14ac:dyDescent="0.2">
      <c r="A242" s="1186" t="s">
        <v>282</v>
      </c>
      <c r="B242" s="1186" t="s">
        <v>35</v>
      </c>
      <c r="C242" s="1186">
        <v>631</v>
      </c>
      <c r="D242" s="1186">
        <v>272</v>
      </c>
      <c r="E242" s="1186">
        <v>145</v>
      </c>
      <c r="F242" s="1186">
        <v>103</v>
      </c>
      <c r="G242" s="1186">
        <v>111</v>
      </c>
      <c r="H242" s="1186">
        <v>737</v>
      </c>
      <c r="I242" s="1186">
        <v>16</v>
      </c>
      <c r="J242" s="1186">
        <v>370330</v>
      </c>
    </row>
    <row r="243" spans="1:10" x14ac:dyDescent="0.2">
      <c r="A243" s="1186" t="s">
        <v>282</v>
      </c>
      <c r="B243" s="1186" t="s">
        <v>36</v>
      </c>
      <c r="C243" s="1186">
        <v>1708</v>
      </c>
      <c r="D243" s="1186">
        <v>929</v>
      </c>
      <c r="E243" s="1186">
        <v>395</v>
      </c>
      <c r="F243" s="1186">
        <v>319</v>
      </c>
      <c r="G243" s="1186">
        <v>65</v>
      </c>
      <c r="H243" s="1186">
        <v>2559</v>
      </c>
      <c r="I243" s="1186">
        <v>5</v>
      </c>
      <c r="J243" s="1186">
        <v>615070</v>
      </c>
    </row>
    <row r="244" spans="1:10" x14ac:dyDescent="0.2">
      <c r="A244" s="1186" t="s">
        <v>282</v>
      </c>
      <c r="B244" s="1186" t="s">
        <v>37</v>
      </c>
      <c r="C244" s="1186">
        <v>372</v>
      </c>
      <c r="D244" s="1186">
        <v>156</v>
      </c>
      <c r="E244" s="1186">
        <v>91</v>
      </c>
      <c r="F244" s="1186">
        <v>89</v>
      </c>
      <c r="G244" s="1186">
        <v>36</v>
      </c>
      <c r="H244" s="1186">
        <v>360</v>
      </c>
      <c r="I244" s="1186">
        <v>188</v>
      </c>
      <c r="J244" s="1186">
        <v>234770</v>
      </c>
    </row>
    <row r="245" spans="1:10" x14ac:dyDescent="0.2">
      <c r="A245" s="1186" t="s">
        <v>282</v>
      </c>
      <c r="B245" s="1186" t="s">
        <v>38</v>
      </c>
      <c r="C245" s="1186">
        <v>215</v>
      </c>
      <c r="D245" s="1186">
        <v>131</v>
      </c>
      <c r="E245" s="1186">
        <v>32</v>
      </c>
      <c r="F245" s="1186">
        <v>43</v>
      </c>
      <c r="G245" s="1186">
        <v>9</v>
      </c>
      <c r="H245" s="1186">
        <v>569</v>
      </c>
      <c r="I245" s="1186">
        <v>2</v>
      </c>
      <c r="J245" s="1186">
        <v>79160</v>
      </c>
    </row>
    <row r="246" spans="1:10" x14ac:dyDescent="0.2">
      <c r="A246" s="1186" t="s">
        <v>282</v>
      </c>
      <c r="B246" s="1186" t="s">
        <v>39</v>
      </c>
      <c r="C246" s="1186">
        <v>204</v>
      </c>
      <c r="D246" s="1186">
        <v>77</v>
      </c>
      <c r="E246" s="1186">
        <v>32</v>
      </c>
      <c r="F246" s="1186">
        <v>45</v>
      </c>
      <c r="G246" s="1186">
        <v>50</v>
      </c>
      <c r="H246" s="1186">
        <v>371</v>
      </c>
      <c r="I246" s="1186">
        <v>10</v>
      </c>
      <c r="J246" s="1186">
        <v>88610</v>
      </c>
    </row>
    <row r="247" spans="1:10" x14ac:dyDescent="0.2">
      <c r="A247" s="1186" t="s">
        <v>282</v>
      </c>
      <c r="B247" s="1186" t="s">
        <v>40</v>
      </c>
      <c r="C247" s="1186">
        <v>128</v>
      </c>
      <c r="D247" s="1186">
        <v>55</v>
      </c>
      <c r="E247" s="1186">
        <v>29</v>
      </c>
      <c r="F247" s="1186">
        <v>36</v>
      </c>
      <c r="G247" s="1186">
        <v>8</v>
      </c>
      <c r="H247" s="1186">
        <v>127</v>
      </c>
      <c r="I247" s="1186">
        <v>38</v>
      </c>
      <c r="J247" s="1186">
        <v>96070</v>
      </c>
    </row>
    <row r="248" spans="1:10" x14ac:dyDescent="0.2">
      <c r="A248" s="1186" t="s">
        <v>282</v>
      </c>
      <c r="B248" s="1186" t="s">
        <v>295</v>
      </c>
      <c r="C248" s="1186">
        <v>35</v>
      </c>
      <c r="D248" s="1186">
        <v>22</v>
      </c>
      <c r="E248" s="1186">
        <v>5</v>
      </c>
      <c r="F248" s="1186">
        <v>1</v>
      </c>
      <c r="G248" s="1186">
        <v>7</v>
      </c>
      <c r="H248" s="1186">
        <v>52</v>
      </c>
      <c r="I248" s="1186">
        <v>39</v>
      </c>
      <c r="J248" s="1186">
        <v>26900</v>
      </c>
    </row>
    <row r="249" spans="1:10" x14ac:dyDescent="0.2">
      <c r="A249" s="1186" t="s">
        <v>282</v>
      </c>
      <c r="B249" s="1186" t="s">
        <v>41</v>
      </c>
      <c r="C249" s="1186">
        <v>269</v>
      </c>
      <c r="D249" s="1186">
        <v>167</v>
      </c>
      <c r="E249" s="1186">
        <v>43</v>
      </c>
      <c r="F249" s="1186">
        <v>32</v>
      </c>
      <c r="G249" s="1186">
        <v>27</v>
      </c>
      <c r="H249" s="1186">
        <v>621</v>
      </c>
      <c r="I249" s="1186">
        <v>11</v>
      </c>
      <c r="J249" s="1186">
        <v>135890</v>
      </c>
    </row>
    <row r="250" spans="1:10" x14ac:dyDescent="0.2">
      <c r="A250" s="1186" t="s">
        <v>282</v>
      </c>
      <c r="B250" s="1186" t="s">
        <v>42</v>
      </c>
      <c r="C250" s="1186">
        <v>687</v>
      </c>
      <c r="D250" s="1186">
        <v>353</v>
      </c>
      <c r="E250" s="1186">
        <v>112</v>
      </c>
      <c r="F250" s="1186">
        <v>177</v>
      </c>
      <c r="G250" s="1186">
        <v>45</v>
      </c>
      <c r="H250" s="1186">
        <v>1484</v>
      </c>
      <c r="I250" s="1186">
        <v>8</v>
      </c>
      <c r="J250" s="1186">
        <v>339390</v>
      </c>
    </row>
    <row r="251" spans="1:10" x14ac:dyDescent="0.2">
      <c r="A251" s="1186" t="s">
        <v>282</v>
      </c>
      <c r="B251" s="1186" t="s">
        <v>43</v>
      </c>
      <c r="C251" s="1186">
        <v>23</v>
      </c>
      <c r="D251" s="1186">
        <v>7</v>
      </c>
      <c r="E251" s="1186">
        <v>5</v>
      </c>
      <c r="F251" s="1186">
        <v>8</v>
      </c>
      <c r="G251" s="1186">
        <v>3</v>
      </c>
      <c r="H251" s="1186">
        <v>10</v>
      </c>
      <c r="I251" s="1186">
        <v>10</v>
      </c>
      <c r="J251" s="1186">
        <v>21850</v>
      </c>
    </row>
    <row r="252" spans="1:10" x14ac:dyDescent="0.2">
      <c r="A252" s="1186" t="s">
        <v>282</v>
      </c>
      <c r="B252" s="1186" t="s">
        <v>44</v>
      </c>
      <c r="C252" s="1186">
        <v>288</v>
      </c>
      <c r="D252" s="1186">
        <v>146</v>
      </c>
      <c r="E252" s="1186">
        <v>70</v>
      </c>
      <c r="F252" s="1186">
        <v>49</v>
      </c>
      <c r="G252" s="1186">
        <v>23</v>
      </c>
      <c r="H252" s="1186">
        <v>143</v>
      </c>
      <c r="I252" s="1186">
        <v>47</v>
      </c>
      <c r="J252" s="1186">
        <v>150680</v>
      </c>
    </row>
    <row r="253" spans="1:10" x14ac:dyDescent="0.2">
      <c r="A253" s="1186" t="s">
        <v>282</v>
      </c>
      <c r="B253" s="1186" t="s">
        <v>45</v>
      </c>
      <c r="C253" s="1186">
        <v>385</v>
      </c>
      <c r="D253" s="1186">
        <v>205</v>
      </c>
      <c r="E253" s="1186">
        <v>78</v>
      </c>
      <c r="F253" s="1186">
        <v>75</v>
      </c>
      <c r="G253" s="1186">
        <v>27</v>
      </c>
      <c r="H253" s="1186">
        <v>693</v>
      </c>
      <c r="I253" s="1186">
        <v>4</v>
      </c>
      <c r="J253" s="1186">
        <v>175930</v>
      </c>
    </row>
    <row r="254" spans="1:10" x14ac:dyDescent="0.2">
      <c r="A254" s="1186" t="s">
        <v>282</v>
      </c>
      <c r="B254" s="1186" t="s">
        <v>46</v>
      </c>
      <c r="C254" s="1186">
        <v>195</v>
      </c>
      <c r="D254" s="1186">
        <v>91</v>
      </c>
      <c r="E254" s="1186">
        <v>42</v>
      </c>
      <c r="F254" s="1186">
        <v>36</v>
      </c>
      <c r="G254" s="1186">
        <v>26</v>
      </c>
      <c r="H254" s="1186">
        <v>102</v>
      </c>
      <c r="I254" s="1186">
        <v>48</v>
      </c>
      <c r="J254" s="1186">
        <v>114530</v>
      </c>
    </row>
    <row r="255" spans="1:10" x14ac:dyDescent="0.2">
      <c r="A255" s="1186" t="s">
        <v>282</v>
      </c>
      <c r="B255" s="1186" t="s">
        <v>47</v>
      </c>
      <c r="C255" s="1186">
        <v>26</v>
      </c>
      <c r="D255" s="1186">
        <v>9</v>
      </c>
      <c r="E255" s="1186">
        <v>8</v>
      </c>
      <c r="F255" s="1186">
        <v>3</v>
      </c>
      <c r="G255" s="1186">
        <v>6</v>
      </c>
      <c r="H255" s="1186">
        <v>5</v>
      </c>
      <c r="I255" s="1186">
        <v>9</v>
      </c>
      <c r="J255" s="1186">
        <v>23200</v>
      </c>
    </row>
    <row r="256" spans="1:10" x14ac:dyDescent="0.2">
      <c r="A256" s="1186" t="s">
        <v>282</v>
      </c>
      <c r="B256" s="1186" t="s">
        <v>48</v>
      </c>
      <c r="C256" s="1186">
        <v>188</v>
      </c>
      <c r="D256" s="1186">
        <v>97</v>
      </c>
      <c r="E256" s="1186">
        <v>44</v>
      </c>
      <c r="F256" s="1186">
        <v>30</v>
      </c>
      <c r="G256" s="1186">
        <v>17</v>
      </c>
      <c r="H256" s="1186">
        <v>231</v>
      </c>
      <c r="I256" s="1186">
        <v>19</v>
      </c>
      <c r="J256" s="1186">
        <v>112470</v>
      </c>
    </row>
    <row r="257" spans="1:10" x14ac:dyDescent="0.2">
      <c r="A257" s="1186" t="s">
        <v>282</v>
      </c>
      <c r="B257" s="1186" t="s">
        <v>49</v>
      </c>
      <c r="C257" s="1186">
        <v>558</v>
      </c>
      <c r="D257" s="1186">
        <v>250</v>
      </c>
      <c r="E257" s="1186">
        <v>111</v>
      </c>
      <c r="F257" s="1186">
        <v>167</v>
      </c>
      <c r="G257" s="1186">
        <v>30</v>
      </c>
      <c r="H257" s="1186">
        <v>891</v>
      </c>
      <c r="I257" s="1186">
        <v>7</v>
      </c>
      <c r="J257" s="1186">
        <v>317100</v>
      </c>
    </row>
    <row r="258" spans="1:10" x14ac:dyDescent="0.2">
      <c r="A258" s="1186" t="s">
        <v>282</v>
      </c>
      <c r="B258" s="1186" t="s">
        <v>50</v>
      </c>
      <c r="C258" s="1186">
        <v>204</v>
      </c>
      <c r="D258" s="1186">
        <v>86</v>
      </c>
      <c r="E258" s="1186">
        <v>44</v>
      </c>
      <c r="F258" s="1186">
        <v>44</v>
      </c>
      <c r="G258" s="1186">
        <v>30</v>
      </c>
      <c r="H258" s="1186">
        <v>185</v>
      </c>
      <c r="I258" s="1186">
        <v>15</v>
      </c>
      <c r="J258" s="1186">
        <v>93750</v>
      </c>
    </row>
    <row r="259" spans="1:10" x14ac:dyDescent="0.2">
      <c r="A259" s="1186" t="s">
        <v>282</v>
      </c>
      <c r="B259" s="1186" t="s">
        <v>51</v>
      </c>
      <c r="C259" s="1186">
        <v>260</v>
      </c>
      <c r="D259" s="1186">
        <v>143</v>
      </c>
      <c r="E259" s="1186">
        <v>44</v>
      </c>
      <c r="F259" s="1186">
        <v>50</v>
      </c>
      <c r="G259" s="1186">
        <v>23</v>
      </c>
      <c r="H259" s="1186">
        <v>425</v>
      </c>
      <c r="I259" s="1186">
        <v>3</v>
      </c>
      <c r="J259" s="1186">
        <v>89860</v>
      </c>
    </row>
    <row r="260" spans="1:10" x14ac:dyDescent="0.2">
      <c r="A260" s="1186" t="s">
        <v>282</v>
      </c>
      <c r="B260" s="1186" t="s">
        <v>52</v>
      </c>
      <c r="C260" s="1186">
        <v>350</v>
      </c>
      <c r="D260" s="1186">
        <v>138</v>
      </c>
      <c r="E260" s="1186">
        <v>74</v>
      </c>
      <c r="F260" s="1186">
        <v>71</v>
      </c>
      <c r="G260" s="1186">
        <v>67</v>
      </c>
      <c r="H260" s="1186">
        <v>683</v>
      </c>
      <c r="I260" s="1186">
        <v>9</v>
      </c>
      <c r="J260" s="1186">
        <v>180130</v>
      </c>
    </row>
    <row r="261" spans="1:10" x14ac:dyDescent="0.2">
      <c r="A261" s="1186" t="s">
        <v>311</v>
      </c>
      <c r="B261" s="1186" t="s">
        <v>23</v>
      </c>
      <c r="C261" s="1186">
        <v>455</v>
      </c>
      <c r="D261" s="1186">
        <v>277</v>
      </c>
      <c r="E261" s="1186">
        <v>98</v>
      </c>
      <c r="F261" s="1186">
        <v>64</v>
      </c>
      <c r="G261" s="1186">
        <v>16</v>
      </c>
      <c r="H261" s="1186">
        <v>342</v>
      </c>
      <c r="I261" s="1186">
        <v>9</v>
      </c>
      <c r="J261" s="1186">
        <v>228800</v>
      </c>
    </row>
    <row r="262" spans="1:10" x14ac:dyDescent="0.2">
      <c r="A262" s="1186" t="s">
        <v>311</v>
      </c>
      <c r="B262" s="1186" t="s">
        <v>24</v>
      </c>
      <c r="C262" s="1186">
        <v>392</v>
      </c>
      <c r="D262" s="1186">
        <v>167</v>
      </c>
      <c r="E262" s="1186">
        <v>106</v>
      </c>
      <c r="F262" s="1186">
        <v>78</v>
      </c>
      <c r="G262" s="1186">
        <v>41</v>
      </c>
      <c r="H262" s="1186">
        <v>215</v>
      </c>
      <c r="I262" s="1186">
        <v>77</v>
      </c>
      <c r="J262" s="1186">
        <v>261800</v>
      </c>
    </row>
    <row r="263" spans="1:10" x14ac:dyDescent="0.2">
      <c r="A263" s="1186" t="s">
        <v>311</v>
      </c>
      <c r="B263" s="1186" t="s">
        <v>25</v>
      </c>
      <c r="C263" s="1186">
        <v>161</v>
      </c>
      <c r="D263" s="1186">
        <v>79</v>
      </c>
      <c r="E263" s="1186">
        <v>34</v>
      </c>
      <c r="F263" s="1186">
        <v>30</v>
      </c>
      <c r="G263" s="1186">
        <v>18</v>
      </c>
      <c r="H263" s="1186">
        <v>182</v>
      </c>
      <c r="I263" s="1186">
        <v>24</v>
      </c>
      <c r="J263" s="1186">
        <v>116280</v>
      </c>
    </row>
    <row r="264" spans="1:10" x14ac:dyDescent="0.2">
      <c r="A264" s="1186" t="s">
        <v>311</v>
      </c>
      <c r="B264" s="1186" t="s">
        <v>26</v>
      </c>
      <c r="C264" s="1186">
        <v>188</v>
      </c>
      <c r="D264" s="1186">
        <v>87</v>
      </c>
      <c r="E264" s="1186">
        <v>51</v>
      </c>
      <c r="F264" s="1186">
        <v>34</v>
      </c>
      <c r="G264" s="1186">
        <v>16</v>
      </c>
      <c r="H264" s="1186">
        <v>80</v>
      </c>
      <c r="I264" s="1186">
        <v>46</v>
      </c>
      <c r="J264" s="1186">
        <v>86810</v>
      </c>
    </row>
    <row r="265" spans="1:10" x14ac:dyDescent="0.2">
      <c r="A265" s="1186" t="s">
        <v>311</v>
      </c>
      <c r="B265" s="1186" t="s">
        <v>619</v>
      </c>
      <c r="C265" s="1186">
        <v>1045</v>
      </c>
      <c r="D265" s="1186">
        <v>526</v>
      </c>
      <c r="E265" s="1186">
        <v>240</v>
      </c>
      <c r="F265" s="1186">
        <v>184</v>
      </c>
      <c r="G265" s="1186">
        <v>95</v>
      </c>
      <c r="H265" s="1186">
        <v>1791</v>
      </c>
      <c r="I265" s="1186">
        <v>5</v>
      </c>
      <c r="J265" s="1186">
        <v>513210</v>
      </c>
    </row>
    <row r="266" spans="1:10" x14ac:dyDescent="0.2">
      <c r="A266" s="1186" t="s">
        <v>311</v>
      </c>
      <c r="B266" s="1186" t="s">
        <v>27</v>
      </c>
      <c r="C266" s="1186">
        <v>93</v>
      </c>
      <c r="D266" s="1186">
        <v>51</v>
      </c>
      <c r="E266" s="1186">
        <v>21</v>
      </c>
      <c r="F266" s="1186">
        <v>10</v>
      </c>
      <c r="G266" s="1186">
        <v>11</v>
      </c>
      <c r="H266" s="1186">
        <v>111</v>
      </c>
      <c r="I266" s="1186">
        <v>2</v>
      </c>
      <c r="J266" s="1186">
        <v>51450</v>
      </c>
    </row>
    <row r="267" spans="1:10" x14ac:dyDescent="0.2">
      <c r="A267" s="1186" t="s">
        <v>311</v>
      </c>
      <c r="B267" s="1186" t="s">
        <v>28</v>
      </c>
      <c r="C267" s="1186">
        <v>235</v>
      </c>
      <c r="D267" s="1186">
        <v>103</v>
      </c>
      <c r="E267" s="1186">
        <v>49</v>
      </c>
      <c r="F267" s="1186">
        <v>60</v>
      </c>
      <c r="G267" s="1186">
        <v>23</v>
      </c>
      <c r="H267" s="1186">
        <v>178</v>
      </c>
      <c r="I267" s="1186">
        <v>63</v>
      </c>
      <c r="J267" s="1186">
        <v>149200</v>
      </c>
    </row>
    <row r="268" spans="1:10" x14ac:dyDescent="0.2">
      <c r="A268" s="1186" t="s">
        <v>311</v>
      </c>
      <c r="B268" s="1186" t="s">
        <v>29</v>
      </c>
      <c r="C268" s="1186">
        <v>345</v>
      </c>
      <c r="D268" s="1186">
        <v>215</v>
      </c>
      <c r="E268" s="1186">
        <v>60</v>
      </c>
      <c r="F268" s="1186">
        <v>46</v>
      </c>
      <c r="G268" s="1186">
        <v>24</v>
      </c>
      <c r="H268" s="1186">
        <v>774</v>
      </c>
      <c r="I268" s="1186">
        <v>1</v>
      </c>
      <c r="J268" s="1186">
        <v>148710</v>
      </c>
    </row>
    <row r="269" spans="1:10" x14ac:dyDescent="0.2">
      <c r="A269" s="1186" t="s">
        <v>311</v>
      </c>
      <c r="B269" s="1186" t="s">
        <v>30</v>
      </c>
      <c r="C269" s="1186">
        <v>180</v>
      </c>
      <c r="D269" s="1186">
        <v>87</v>
      </c>
      <c r="E269" s="1186">
        <v>33</v>
      </c>
      <c r="F269" s="1186">
        <v>49</v>
      </c>
      <c r="G269" s="1186">
        <v>11</v>
      </c>
      <c r="H269" s="1186">
        <v>592</v>
      </c>
      <c r="I269" s="1186">
        <v>11</v>
      </c>
      <c r="J269" s="1186">
        <v>121940</v>
      </c>
    </row>
    <row r="270" spans="1:10" x14ac:dyDescent="0.2">
      <c r="A270" s="1186" t="s">
        <v>311</v>
      </c>
      <c r="B270" s="1186" t="s">
        <v>31</v>
      </c>
      <c r="C270" s="1186">
        <v>158</v>
      </c>
      <c r="D270" s="1186">
        <v>67</v>
      </c>
      <c r="E270" s="1186">
        <v>34</v>
      </c>
      <c r="F270" s="1186">
        <v>47</v>
      </c>
      <c r="G270" s="1186">
        <v>10</v>
      </c>
      <c r="H270" s="1186">
        <v>175</v>
      </c>
      <c r="I270" s="1186">
        <v>4</v>
      </c>
      <c r="J270" s="1186">
        <v>108130</v>
      </c>
    </row>
    <row r="271" spans="1:10" x14ac:dyDescent="0.2">
      <c r="A271" s="1186" t="s">
        <v>311</v>
      </c>
      <c r="B271" s="1186" t="s">
        <v>32</v>
      </c>
      <c r="C271" s="1186">
        <v>189</v>
      </c>
      <c r="D271" s="1186">
        <v>76</v>
      </c>
      <c r="E271" s="1186">
        <v>38</v>
      </c>
      <c r="F271" s="1186">
        <v>30</v>
      </c>
      <c r="G271" s="1186">
        <v>45</v>
      </c>
      <c r="H271" s="1186">
        <v>244</v>
      </c>
      <c r="I271" s="1186">
        <v>22</v>
      </c>
      <c r="J271" s="1186">
        <v>104840</v>
      </c>
    </row>
    <row r="272" spans="1:10" x14ac:dyDescent="0.2">
      <c r="A272" s="1186" t="s">
        <v>311</v>
      </c>
      <c r="B272" s="1186" t="s">
        <v>33</v>
      </c>
      <c r="C272" s="1186">
        <v>130</v>
      </c>
      <c r="D272" s="1186">
        <v>84</v>
      </c>
      <c r="E272" s="1186">
        <v>23</v>
      </c>
      <c r="F272" s="1186">
        <v>19</v>
      </c>
      <c r="G272" s="1186">
        <v>4</v>
      </c>
      <c r="H272" s="1186">
        <v>165</v>
      </c>
      <c r="I272" s="1186">
        <v>6</v>
      </c>
      <c r="J272" s="1186">
        <v>94760</v>
      </c>
    </row>
    <row r="273" spans="1:10" x14ac:dyDescent="0.2">
      <c r="A273" s="1186" t="s">
        <v>311</v>
      </c>
      <c r="B273" s="1186" t="s">
        <v>34</v>
      </c>
      <c r="C273" s="1186">
        <v>343</v>
      </c>
      <c r="D273" s="1186">
        <v>122</v>
      </c>
      <c r="E273" s="1186">
        <v>96</v>
      </c>
      <c r="F273" s="1186">
        <v>52</v>
      </c>
      <c r="G273" s="1186">
        <v>73</v>
      </c>
      <c r="H273" s="1186">
        <v>428</v>
      </c>
      <c r="I273" s="1186">
        <v>1</v>
      </c>
      <c r="J273" s="1186">
        <v>160130</v>
      </c>
    </row>
    <row r="274" spans="1:10" x14ac:dyDescent="0.2">
      <c r="A274" s="1186" t="s">
        <v>311</v>
      </c>
      <c r="B274" s="1186" t="s">
        <v>35</v>
      </c>
      <c r="C274" s="1186">
        <v>664</v>
      </c>
      <c r="D274" s="1186">
        <v>304</v>
      </c>
      <c r="E274" s="1186">
        <v>155</v>
      </c>
      <c r="F274" s="1186">
        <v>95</v>
      </c>
      <c r="G274" s="1186">
        <v>110</v>
      </c>
      <c r="H274" s="1186">
        <v>949</v>
      </c>
      <c r="I274" s="1186">
        <v>25</v>
      </c>
      <c r="J274" s="1186">
        <v>371410</v>
      </c>
    </row>
    <row r="275" spans="1:10" x14ac:dyDescent="0.2">
      <c r="A275" s="1186" t="s">
        <v>311</v>
      </c>
      <c r="B275" s="1186" t="s">
        <v>36</v>
      </c>
      <c r="C275" s="1186">
        <v>1710</v>
      </c>
      <c r="D275" s="1186">
        <v>962</v>
      </c>
      <c r="E275" s="1186">
        <v>368</v>
      </c>
      <c r="F275" s="1186">
        <v>300</v>
      </c>
      <c r="G275" s="1186">
        <v>80</v>
      </c>
      <c r="H275" s="1186">
        <v>2350</v>
      </c>
      <c r="I275" s="1186">
        <v>9</v>
      </c>
      <c r="J275" s="1186">
        <v>621020</v>
      </c>
    </row>
    <row r="276" spans="1:10" x14ac:dyDescent="0.2">
      <c r="A276" s="1186" t="s">
        <v>311</v>
      </c>
      <c r="B276" s="1186" t="s">
        <v>37</v>
      </c>
      <c r="C276" s="1186">
        <v>357</v>
      </c>
      <c r="D276" s="1186">
        <v>150</v>
      </c>
      <c r="E276" s="1186">
        <v>88</v>
      </c>
      <c r="F276" s="1186">
        <v>72</v>
      </c>
      <c r="G276" s="1186">
        <v>47</v>
      </c>
      <c r="H276" s="1186">
        <v>470</v>
      </c>
      <c r="I276" s="1186">
        <v>184</v>
      </c>
      <c r="J276" s="1186">
        <v>235180</v>
      </c>
    </row>
    <row r="277" spans="1:10" x14ac:dyDescent="0.2">
      <c r="A277" s="1186" t="s">
        <v>311</v>
      </c>
      <c r="B277" s="1186" t="s">
        <v>38</v>
      </c>
      <c r="C277" s="1186">
        <v>189</v>
      </c>
      <c r="D277" s="1186">
        <v>103</v>
      </c>
      <c r="E277" s="1186">
        <v>33</v>
      </c>
      <c r="F277" s="1186">
        <v>42</v>
      </c>
      <c r="G277" s="1186">
        <v>11</v>
      </c>
      <c r="H277" s="1186">
        <v>348</v>
      </c>
      <c r="I277" s="1186"/>
      <c r="J277" s="1186">
        <v>78760</v>
      </c>
    </row>
    <row r="278" spans="1:10" x14ac:dyDescent="0.2">
      <c r="A278" s="1186" t="s">
        <v>311</v>
      </c>
      <c r="B278" s="1186" t="s">
        <v>39</v>
      </c>
      <c r="C278" s="1186">
        <v>211</v>
      </c>
      <c r="D278" s="1186">
        <v>70</v>
      </c>
      <c r="E278" s="1186">
        <v>37</v>
      </c>
      <c r="F278" s="1186">
        <v>43</v>
      </c>
      <c r="G278" s="1186">
        <v>61</v>
      </c>
      <c r="H278" s="1186">
        <v>391</v>
      </c>
      <c r="I278" s="1186">
        <v>7</v>
      </c>
      <c r="J278" s="1186">
        <v>90090</v>
      </c>
    </row>
    <row r="279" spans="1:10" x14ac:dyDescent="0.2">
      <c r="A279" s="1186" t="s">
        <v>311</v>
      </c>
      <c r="B279" s="1186" t="s">
        <v>40</v>
      </c>
      <c r="C279" s="1186">
        <v>114</v>
      </c>
      <c r="D279" s="1186">
        <v>39</v>
      </c>
      <c r="E279" s="1186">
        <v>36</v>
      </c>
      <c r="F279" s="1186">
        <v>24</v>
      </c>
      <c r="G279" s="1186">
        <v>15</v>
      </c>
      <c r="H279" s="1186">
        <v>83</v>
      </c>
      <c r="I279" s="1186">
        <v>28</v>
      </c>
      <c r="J279" s="1186">
        <v>95780</v>
      </c>
    </row>
    <row r="280" spans="1:10" x14ac:dyDescent="0.2">
      <c r="A280" s="1186" t="s">
        <v>311</v>
      </c>
      <c r="B280" s="1186" t="s">
        <v>295</v>
      </c>
      <c r="C280" s="1186">
        <v>37</v>
      </c>
      <c r="D280" s="1186">
        <v>15</v>
      </c>
      <c r="E280" s="1186">
        <v>8</v>
      </c>
      <c r="F280" s="1186">
        <v>9</v>
      </c>
      <c r="G280" s="1186">
        <v>5</v>
      </c>
      <c r="H280" s="1186">
        <v>65</v>
      </c>
      <c r="I280" s="1186">
        <v>45</v>
      </c>
      <c r="J280" s="1186">
        <v>26950</v>
      </c>
    </row>
    <row r="281" spans="1:10" x14ac:dyDescent="0.2">
      <c r="A281" s="1186" t="s">
        <v>311</v>
      </c>
      <c r="B281" s="1186" t="s">
        <v>41</v>
      </c>
      <c r="C281" s="1186">
        <v>272</v>
      </c>
      <c r="D281" s="1186">
        <v>162</v>
      </c>
      <c r="E281" s="1186">
        <v>52</v>
      </c>
      <c r="F281" s="1186">
        <v>41</v>
      </c>
      <c r="G281" s="1186">
        <v>17</v>
      </c>
      <c r="H281" s="1186">
        <v>569</v>
      </c>
      <c r="I281" s="1186">
        <v>15</v>
      </c>
      <c r="J281" s="1186">
        <v>135790</v>
      </c>
    </row>
    <row r="282" spans="1:10" x14ac:dyDescent="0.2">
      <c r="A282" s="1186" t="s">
        <v>311</v>
      </c>
      <c r="B282" s="1186" t="s">
        <v>42</v>
      </c>
      <c r="C282" s="1186">
        <v>658</v>
      </c>
      <c r="D282" s="1186">
        <v>307</v>
      </c>
      <c r="E282" s="1186">
        <v>127</v>
      </c>
      <c r="F282" s="1186">
        <v>191</v>
      </c>
      <c r="G282" s="1186">
        <v>33</v>
      </c>
      <c r="H282" s="1186">
        <v>1206</v>
      </c>
      <c r="I282" s="1186"/>
      <c r="J282" s="1186">
        <v>339960</v>
      </c>
    </row>
    <row r="283" spans="1:10" x14ac:dyDescent="0.2">
      <c r="A283" s="1186" t="s">
        <v>311</v>
      </c>
      <c r="B283" s="1186" t="s">
        <v>43</v>
      </c>
      <c r="C283" s="1186">
        <v>14</v>
      </c>
      <c r="D283" s="1186">
        <v>6</v>
      </c>
      <c r="E283" s="1186">
        <v>2</v>
      </c>
      <c r="F283" s="1186">
        <v>5</v>
      </c>
      <c r="G283" s="1186">
        <v>1</v>
      </c>
      <c r="H283" s="1186">
        <v>9</v>
      </c>
      <c r="I283" s="1186">
        <v>13</v>
      </c>
      <c r="J283" s="1186">
        <v>22000</v>
      </c>
    </row>
    <row r="284" spans="1:10" x14ac:dyDescent="0.2">
      <c r="A284" s="1186" t="s">
        <v>311</v>
      </c>
      <c r="B284" s="1186" t="s">
        <v>44</v>
      </c>
      <c r="C284" s="1186">
        <v>235</v>
      </c>
      <c r="D284" s="1186">
        <v>116</v>
      </c>
      <c r="E284" s="1186">
        <v>57</v>
      </c>
      <c r="F284" s="1186">
        <v>44</v>
      </c>
      <c r="G284" s="1186">
        <v>18</v>
      </c>
      <c r="H284" s="1186">
        <v>181</v>
      </c>
      <c r="I284" s="1186">
        <v>52</v>
      </c>
      <c r="J284" s="1186">
        <v>151100</v>
      </c>
    </row>
    <row r="285" spans="1:10" x14ac:dyDescent="0.2">
      <c r="A285" s="1186" t="s">
        <v>311</v>
      </c>
      <c r="B285" s="1186" t="s">
        <v>45</v>
      </c>
      <c r="C285" s="1186">
        <v>396</v>
      </c>
      <c r="D285" s="1186">
        <v>223</v>
      </c>
      <c r="E285" s="1186">
        <v>70</v>
      </c>
      <c r="F285" s="1186">
        <v>71</v>
      </c>
      <c r="G285" s="1186">
        <v>32</v>
      </c>
      <c r="H285" s="1186">
        <v>503</v>
      </c>
      <c r="I285" s="1186">
        <v>7</v>
      </c>
      <c r="J285" s="1186">
        <v>176830</v>
      </c>
    </row>
    <row r="286" spans="1:10" x14ac:dyDescent="0.2">
      <c r="A286" s="1186" t="s">
        <v>311</v>
      </c>
      <c r="B286" s="1186" t="s">
        <v>46</v>
      </c>
      <c r="C286" s="1186">
        <v>205</v>
      </c>
      <c r="D286" s="1186">
        <v>100</v>
      </c>
      <c r="E286" s="1186">
        <v>35</v>
      </c>
      <c r="F286" s="1186">
        <v>24</v>
      </c>
      <c r="G286" s="1186">
        <v>46</v>
      </c>
      <c r="H286" s="1186">
        <v>133</v>
      </c>
      <c r="I286" s="1186">
        <v>54</v>
      </c>
      <c r="J286" s="1186">
        <v>115020</v>
      </c>
    </row>
    <row r="287" spans="1:10" x14ac:dyDescent="0.2">
      <c r="A287" s="1186" t="s">
        <v>311</v>
      </c>
      <c r="B287" s="1186" t="s">
        <v>47</v>
      </c>
      <c r="C287" s="1186">
        <v>33</v>
      </c>
      <c r="D287" s="1186">
        <v>13</v>
      </c>
      <c r="E287" s="1186">
        <v>7</v>
      </c>
      <c r="F287" s="1186">
        <v>5</v>
      </c>
      <c r="G287" s="1186">
        <v>8</v>
      </c>
      <c r="H287" s="1186">
        <v>11</v>
      </c>
      <c r="I287" s="1186">
        <v>12</v>
      </c>
      <c r="J287" s="1186">
        <v>23080</v>
      </c>
    </row>
    <row r="288" spans="1:10" x14ac:dyDescent="0.2">
      <c r="A288" s="1186" t="s">
        <v>311</v>
      </c>
      <c r="B288" s="1186" t="s">
        <v>48</v>
      </c>
      <c r="C288" s="1186">
        <v>205</v>
      </c>
      <c r="D288" s="1186">
        <v>106</v>
      </c>
      <c r="E288" s="1186">
        <v>44</v>
      </c>
      <c r="F288" s="1186">
        <v>40</v>
      </c>
      <c r="G288" s="1186">
        <v>15</v>
      </c>
      <c r="H288" s="1186">
        <v>251</v>
      </c>
      <c r="I288" s="1186">
        <v>15</v>
      </c>
      <c r="J288" s="1186">
        <v>112680</v>
      </c>
    </row>
    <row r="289" spans="1:10" x14ac:dyDescent="0.2">
      <c r="A289" s="1186" t="s">
        <v>311</v>
      </c>
      <c r="B289" s="1186" t="s">
        <v>49</v>
      </c>
      <c r="C289" s="1186">
        <v>584</v>
      </c>
      <c r="D289" s="1186">
        <v>278</v>
      </c>
      <c r="E289" s="1186">
        <v>115</v>
      </c>
      <c r="F289" s="1186">
        <v>150</v>
      </c>
      <c r="G289" s="1186">
        <v>41</v>
      </c>
      <c r="H289" s="1186">
        <v>797</v>
      </c>
      <c r="I289" s="1186">
        <v>7</v>
      </c>
      <c r="J289" s="1186">
        <v>318170</v>
      </c>
    </row>
    <row r="290" spans="1:10" x14ac:dyDescent="0.2">
      <c r="A290" s="1186" t="s">
        <v>311</v>
      </c>
      <c r="B290" s="1186" t="s">
        <v>50</v>
      </c>
      <c r="C290" s="1186">
        <v>182</v>
      </c>
      <c r="D290" s="1186">
        <v>89</v>
      </c>
      <c r="E290" s="1186">
        <v>48</v>
      </c>
      <c r="F290" s="1186">
        <v>27</v>
      </c>
      <c r="G290" s="1186">
        <v>18</v>
      </c>
      <c r="H290" s="1186">
        <v>171</v>
      </c>
      <c r="I290" s="1186">
        <v>21</v>
      </c>
      <c r="J290" s="1186">
        <v>94000</v>
      </c>
    </row>
    <row r="291" spans="1:10" x14ac:dyDescent="0.2">
      <c r="A291" s="1186" t="s">
        <v>311</v>
      </c>
      <c r="B291" s="1186" t="s">
        <v>51</v>
      </c>
      <c r="C291" s="1186">
        <v>269</v>
      </c>
      <c r="D291" s="1186">
        <v>158</v>
      </c>
      <c r="E291" s="1186">
        <v>47</v>
      </c>
      <c r="F291" s="1186">
        <v>53</v>
      </c>
      <c r="G291" s="1186">
        <v>11</v>
      </c>
      <c r="H291" s="1186">
        <v>241</v>
      </c>
      <c r="I291" s="1186">
        <v>4</v>
      </c>
      <c r="J291" s="1186">
        <v>89610</v>
      </c>
    </row>
    <row r="292" spans="1:10" x14ac:dyDescent="0.2">
      <c r="A292" s="1186" t="s">
        <v>311</v>
      </c>
      <c r="B292" s="1186" t="s">
        <v>52</v>
      </c>
      <c r="C292" s="1186">
        <v>423</v>
      </c>
      <c r="D292" s="1186">
        <v>169</v>
      </c>
      <c r="E292" s="1186">
        <v>75</v>
      </c>
      <c r="F292" s="1186">
        <v>77</v>
      </c>
      <c r="G292" s="1186">
        <v>102</v>
      </c>
      <c r="H292" s="1186">
        <v>723</v>
      </c>
      <c r="I292" s="1186">
        <v>5</v>
      </c>
      <c r="J292" s="1186">
        <v>181310</v>
      </c>
    </row>
    <row r="293" spans="1:10" x14ac:dyDescent="0.2">
      <c r="A293" s="1186" t="s">
        <v>621</v>
      </c>
      <c r="B293" s="1186" t="s">
        <v>23</v>
      </c>
      <c r="C293" s="1186">
        <v>494</v>
      </c>
      <c r="D293" s="1186">
        <v>289</v>
      </c>
      <c r="E293" s="1186">
        <v>118</v>
      </c>
      <c r="F293" s="1186">
        <v>58</v>
      </c>
      <c r="G293" s="1186">
        <v>29</v>
      </c>
      <c r="H293" s="1186">
        <v>527</v>
      </c>
      <c r="I293" s="1186">
        <v>5</v>
      </c>
      <c r="J293" s="1186">
        <v>227560</v>
      </c>
    </row>
    <row r="294" spans="1:10" x14ac:dyDescent="0.2">
      <c r="A294" s="1186" t="s">
        <v>621</v>
      </c>
      <c r="B294" s="1186" t="s">
        <v>24</v>
      </c>
      <c r="C294" s="1186">
        <v>393</v>
      </c>
      <c r="D294" s="1186">
        <v>170</v>
      </c>
      <c r="E294" s="1186">
        <v>106</v>
      </c>
      <c r="F294" s="1186">
        <v>71</v>
      </c>
      <c r="G294" s="1186">
        <v>46</v>
      </c>
      <c r="H294" s="1186">
        <v>335</v>
      </c>
      <c r="I294" s="1186">
        <v>61</v>
      </c>
      <c r="J294" s="1186">
        <v>261470</v>
      </c>
    </row>
    <row r="295" spans="1:10" x14ac:dyDescent="0.2">
      <c r="A295" s="1186" t="s">
        <v>621</v>
      </c>
      <c r="B295" s="1186" t="s">
        <v>25</v>
      </c>
      <c r="C295" s="1186">
        <v>168</v>
      </c>
      <c r="D295" s="1186">
        <v>83</v>
      </c>
      <c r="E295" s="1186">
        <v>35</v>
      </c>
      <c r="F295" s="1186">
        <v>31</v>
      </c>
      <c r="G295" s="1186">
        <v>19</v>
      </c>
      <c r="H295" s="1186">
        <v>201</v>
      </c>
      <c r="I295" s="1186">
        <v>18</v>
      </c>
      <c r="J295" s="1186">
        <v>116040</v>
      </c>
    </row>
    <row r="296" spans="1:10" x14ac:dyDescent="0.2">
      <c r="A296" s="1186" t="s">
        <v>621</v>
      </c>
      <c r="B296" s="1186" t="s">
        <v>26</v>
      </c>
      <c r="C296" s="1186">
        <v>174</v>
      </c>
      <c r="D296" s="1186">
        <v>91</v>
      </c>
      <c r="E296" s="1186">
        <v>40</v>
      </c>
      <c r="F296" s="1186">
        <v>30</v>
      </c>
      <c r="G296" s="1186">
        <v>13</v>
      </c>
      <c r="H296" s="1186">
        <v>120</v>
      </c>
      <c r="I296" s="1186">
        <v>44</v>
      </c>
      <c r="J296" s="1186">
        <v>86260</v>
      </c>
    </row>
    <row r="297" spans="1:10" x14ac:dyDescent="0.2">
      <c r="A297" s="1186" t="s">
        <v>621</v>
      </c>
      <c r="B297" s="1186" t="s">
        <v>619</v>
      </c>
      <c r="C297" s="1186">
        <v>996</v>
      </c>
      <c r="D297" s="1186">
        <v>515</v>
      </c>
      <c r="E297" s="1186">
        <v>235</v>
      </c>
      <c r="F297" s="1186">
        <v>142</v>
      </c>
      <c r="G297" s="1186">
        <v>104</v>
      </c>
      <c r="H297" s="1186">
        <v>1850</v>
      </c>
      <c r="I297" s="1186">
        <v>7</v>
      </c>
      <c r="J297" s="1186">
        <v>518500</v>
      </c>
    </row>
    <row r="298" spans="1:10" x14ac:dyDescent="0.2">
      <c r="A298" s="1186" t="s">
        <v>621</v>
      </c>
      <c r="B298" s="1186" t="s">
        <v>27</v>
      </c>
      <c r="C298" s="1186">
        <v>81</v>
      </c>
      <c r="D298" s="1186">
        <v>46</v>
      </c>
      <c r="E298" s="1186">
        <v>17</v>
      </c>
      <c r="F298" s="1186">
        <v>10</v>
      </c>
      <c r="G298" s="1186">
        <v>8</v>
      </c>
      <c r="H298" s="1186">
        <v>88</v>
      </c>
      <c r="I298" s="1186">
        <v>3</v>
      </c>
      <c r="J298" s="1186">
        <v>51400</v>
      </c>
    </row>
    <row r="299" spans="1:10" x14ac:dyDescent="0.2">
      <c r="A299" s="1186" t="s">
        <v>621</v>
      </c>
      <c r="B299" s="1186" t="s">
        <v>28</v>
      </c>
      <c r="C299" s="1186">
        <v>218</v>
      </c>
      <c r="D299" s="1186">
        <v>84</v>
      </c>
      <c r="E299" s="1186">
        <v>52</v>
      </c>
      <c r="F299" s="1186">
        <v>65</v>
      </c>
      <c r="G299" s="1186">
        <v>17</v>
      </c>
      <c r="H299" s="1186">
        <v>199</v>
      </c>
      <c r="I299" s="1186">
        <v>68</v>
      </c>
      <c r="J299" s="1186">
        <v>148790</v>
      </c>
    </row>
    <row r="300" spans="1:10" x14ac:dyDescent="0.2">
      <c r="A300" s="1186" t="s">
        <v>621</v>
      </c>
      <c r="B300" s="1186" t="s">
        <v>29</v>
      </c>
      <c r="C300" s="1186">
        <v>333</v>
      </c>
      <c r="D300" s="1186">
        <v>203</v>
      </c>
      <c r="E300" s="1186">
        <v>67</v>
      </c>
      <c r="F300" s="1186">
        <v>43</v>
      </c>
      <c r="G300" s="1186">
        <v>20</v>
      </c>
      <c r="H300" s="1186">
        <v>606</v>
      </c>
      <c r="I300" s="1186"/>
      <c r="J300" s="1186">
        <v>148750</v>
      </c>
    </row>
    <row r="301" spans="1:10" x14ac:dyDescent="0.2">
      <c r="A301" s="1186" t="s">
        <v>621</v>
      </c>
      <c r="B301" s="1186" t="s">
        <v>30</v>
      </c>
      <c r="C301" s="1186">
        <v>217</v>
      </c>
      <c r="D301" s="1186">
        <v>88</v>
      </c>
      <c r="E301" s="1186">
        <v>53</v>
      </c>
      <c r="F301" s="1186">
        <v>50</v>
      </c>
      <c r="G301" s="1186">
        <v>26</v>
      </c>
      <c r="H301" s="1186">
        <v>586</v>
      </c>
      <c r="I301" s="1186">
        <v>10</v>
      </c>
      <c r="J301" s="1186">
        <v>121840</v>
      </c>
    </row>
    <row r="302" spans="1:10" x14ac:dyDescent="0.2">
      <c r="A302" s="1186" t="s">
        <v>621</v>
      </c>
      <c r="B302" s="1186" t="s">
        <v>31</v>
      </c>
      <c r="C302" s="1186">
        <v>165</v>
      </c>
      <c r="D302" s="1186">
        <v>70</v>
      </c>
      <c r="E302" s="1186">
        <v>43</v>
      </c>
      <c r="F302" s="1186">
        <v>34</v>
      </c>
      <c r="G302" s="1186">
        <v>18</v>
      </c>
      <c r="H302" s="1186">
        <v>232</v>
      </c>
      <c r="I302" s="1186">
        <v>5</v>
      </c>
      <c r="J302" s="1186">
        <v>108330</v>
      </c>
    </row>
    <row r="303" spans="1:10" x14ac:dyDescent="0.2">
      <c r="A303" s="1186" t="s">
        <v>621</v>
      </c>
      <c r="B303" s="1186" t="s">
        <v>32</v>
      </c>
      <c r="C303" s="1186">
        <v>214</v>
      </c>
      <c r="D303" s="1186">
        <v>75</v>
      </c>
      <c r="E303" s="1186">
        <v>45</v>
      </c>
      <c r="F303" s="1186">
        <v>35</v>
      </c>
      <c r="G303" s="1186">
        <v>59</v>
      </c>
      <c r="H303" s="1186">
        <v>303</v>
      </c>
      <c r="I303" s="1186">
        <v>17</v>
      </c>
      <c r="J303" s="1186">
        <v>105790</v>
      </c>
    </row>
    <row r="304" spans="1:10" x14ac:dyDescent="0.2">
      <c r="A304" s="1186" t="s">
        <v>621</v>
      </c>
      <c r="B304" s="1186" t="s">
        <v>33</v>
      </c>
      <c r="C304" s="1186">
        <v>121</v>
      </c>
      <c r="D304" s="1186">
        <v>60</v>
      </c>
      <c r="E304" s="1186">
        <v>23</v>
      </c>
      <c r="F304" s="1186">
        <v>25</v>
      </c>
      <c r="G304" s="1186">
        <v>13</v>
      </c>
      <c r="H304" s="1186">
        <v>123</v>
      </c>
      <c r="I304" s="1186">
        <v>4</v>
      </c>
      <c r="J304" s="1186">
        <v>95170</v>
      </c>
    </row>
    <row r="305" spans="1:10" x14ac:dyDescent="0.2">
      <c r="A305" s="1186" t="s">
        <v>621</v>
      </c>
      <c r="B305" s="1186" t="s">
        <v>34</v>
      </c>
      <c r="C305" s="1186">
        <v>296</v>
      </c>
      <c r="D305" s="1186">
        <v>126</v>
      </c>
      <c r="E305" s="1186">
        <v>70</v>
      </c>
      <c r="F305" s="1186">
        <v>59</v>
      </c>
      <c r="G305" s="1186">
        <v>41</v>
      </c>
      <c r="H305" s="1186">
        <v>359</v>
      </c>
      <c r="I305" s="1186">
        <v>7</v>
      </c>
      <c r="J305" s="1186">
        <v>160340</v>
      </c>
    </row>
    <row r="306" spans="1:10" x14ac:dyDescent="0.2">
      <c r="A306" s="1186" t="s">
        <v>621</v>
      </c>
      <c r="B306" s="1186" t="s">
        <v>35</v>
      </c>
      <c r="C306" s="1186">
        <v>609</v>
      </c>
      <c r="D306" s="1186">
        <v>267</v>
      </c>
      <c r="E306" s="1186">
        <v>123</v>
      </c>
      <c r="F306" s="1186">
        <v>93</v>
      </c>
      <c r="G306" s="1186">
        <v>126</v>
      </c>
      <c r="H306" s="1186">
        <v>1034</v>
      </c>
      <c r="I306" s="1186">
        <v>26</v>
      </c>
      <c r="J306" s="1186">
        <v>371910</v>
      </c>
    </row>
    <row r="307" spans="1:10" x14ac:dyDescent="0.2">
      <c r="A307" s="1186" t="s">
        <v>621</v>
      </c>
      <c r="B307" s="1186" t="s">
        <v>36</v>
      </c>
      <c r="C307" s="1186">
        <v>1650</v>
      </c>
      <c r="D307" s="1186">
        <v>895</v>
      </c>
      <c r="E307" s="1186">
        <v>362</v>
      </c>
      <c r="F307" s="1186">
        <v>322</v>
      </c>
      <c r="G307" s="1186">
        <v>71</v>
      </c>
      <c r="H307" s="1186">
        <v>2500</v>
      </c>
      <c r="I307" s="1186">
        <v>9</v>
      </c>
      <c r="J307" s="1186">
        <v>626410</v>
      </c>
    </row>
    <row r="308" spans="1:10" x14ac:dyDescent="0.2">
      <c r="A308" s="1186" t="s">
        <v>621</v>
      </c>
      <c r="B308" s="1186" t="s">
        <v>37</v>
      </c>
      <c r="C308" s="1186">
        <v>419</v>
      </c>
      <c r="D308" s="1186">
        <v>152</v>
      </c>
      <c r="E308" s="1186">
        <v>100</v>
      </c>
      <c r="F308" s="1186">
        <v>90</v>
      </c>
      <c r="G308" s="1186">
        <v>77</v>
      </c>
      <c r="H308" s="1186">
        <v>522</v>
      </c>
      <c r="I308" s="1186">
        <v>141</v>
      </c>
      <c r="J308" s="1186">
        <v>235540</v>
      </c>
    </row>
    <row r="309" spans="1:10" x14ac:dyDescent="0.2">
      <c r="A309" s="1186" t="s">
        <v>621</v>
      </c>
      <c r="B309" s="1186" t="s">
        <v>38</v>
      </c>
      <c r="C309" s="1186">
        <v>158</v>
      </c>
      <c r="D309" s="1186">
        <v>92</v>
      </c>
      <c r="E309" s="1186">
        <v>23</v>
      </c>
      <c r="F309" s="1186">
        <v>26</v>
      </c>
      <c r="G309" s="1186">
        <v>17</v>
      </c>
      <c r="H309" s="1186">
        <v>372</v>
      </c>
      <c r="I309" s="1186">
        <v>2</v>
      </c>
      <c r="J309" s="1186">
        <v>78150</v>
      </c>
    </row>
    <row r="310" spans="1:10" x14ac:dyDescent="0.2">
      <c r="A310" s="1186" t="s">
        <v>621</v>
      </c>
      <c r="B310" s="1186" t="s">
        <v>39</v>
      </c>
      <c r="C310" s="1186">
        <v>169</v>
      </c>
      <c r="D310" s="1186">
        <v>57</v>
      </c>
      <c r="E310" s="1186">
        <v>32</v>
      </c>
      <c r="F310" s="1186">
        <v>34</v>
      </c>
      <c r="G310" s="1186">
        <v>46</v>
      </c>
      <c r="H310" s="1186">
        <v>317</v>
      </c>
      <c r="I310" s="1186">
        <v>4</v>
      </c>
      <c r="J310" s="1186">
        <v>91340</v>
      </c>
    </row>
    <row r="311" spans="1:10" x14ac:dyDescent="0.2">
      <c r="A311" s="1186" t="s">
        <v>621</v>
      </c>
      <c r="B311" s="1186" t="s">
        <v>40</v>
      </c>
      <c r="C311" s="1186">
        <v>151</v>
      </c>
      <c r="D311" s="1186">
        <v>58</v>
      </c>
      <c r="E311" s="1186">
        <v>41</v>
      </c>
      <c r="F311" s="1186">
        <v>26</v>
      </c>
      <c r="G311" s="1186">
        <v>26</v>
      </c>
      <c r="H311" s="1186">
        <v>237</v>
      </c>
      <c r="I311" s="1186">
        <v>28</v>
      </c>
      <c r="J311" s="1186">
        <v>95520</v>
      </c>
    </row>
    <row r="312" spans="1:10" x14ac:dyDescent="0.2">
      <c r="A312" s="1186" t="s">
        <v>621</v>
      </c>
      <c r="B312" s="1186" t="s">
        <v>295</v>
      </c>
      <c r="C312" s="1186">
        <v>48</v>
      </c>
      <c r="D312" s="1186">
        <v>23</v>
      </c>
      <c r="E312" s="1186">
        <v>9</v>
      </c>
      <c r="F312" s="1186">
        <v>7</v>
      </c>
      <c r="G312" s="1186">
        <v>9</v>
      </c>
      <c r="H312" s="1186">
        <v>47</v>
      </c>
      <c r="I312" s="1186">
        <v>31</v>
      </c>
      <c r="J312" s="1186">
        <v>26830</v>
      </c>
    </row>
    <row r="313" spans="1:10" x14ac:dyDescent="0.2">
      <c r="A313" s="1186" t="s">
        <v>621</v>
      </c>
      <c r="B313" s="1186" t="s">
        <v>41</v>
      </c>
      <c r="C313" s="1186">
        <v>308</v>
      </c>
      <c r="D313" s="1186">
        <v>180</v>
      </c>
      <c r="E313" s="1186">
        <v>64</v>
      </c>
      <c r="F313" s="1186">
        <v>36</v>
      </c>
      <c r="G313" s="1186">
        <v>28</v>
      </c>
      <c r="H313" s="1186">
        <v>588</v>
      </c>
      <c r="I313" s="1186">
        <v>14</v>
      </c>
      <c r="J313" s="1186">
        <v>135280</v>
      </c>
    </row>
    <row r="314" spans="1:10" x14ac:dyDescent="0.2">
      <c r="A314" s="1186" t="s">
        <v>621</v>
      </c>
      <c r="B314" s="1186" t="s">
        <v>42</v>
      </c>
      <c r="C314" s="1186">
        <v>714</v>
      </c>
      <c r="D314" s="1186">
        <v>343</v>
      </c>
      <c r="E314" s="1186">
        <v>138</v>
      </c>
      <c r="F314" s="1186">
        <v>184</v>
      </c>
      <c r="G314" s="1186">
        <v>49</v>
      </c>
      <c r="H314" s="1186">
        <v>1293</v>
      </c>
      <c r="I314" s="1186">
        <v>3</v>
      </c>
      <c r="J314" s="1186">
        <v>340180</v>
      </c>
    </row>
    <row r="315" spans="1:10" x14ac:dyDescent="0.2">
      <c r="A315" s="1186" t="s">
        <v>621</v>
      </c>
      <c r="B315" s="1186" t="s">
        <v>43</v>
      </c>
      <c r="C315" s="1186">
        <v>24</v>
      </c>
      <c r="D315" s="1186">
        <v>7</v>
      </c>
      <c r="E315" s="1186">
        <v>5</v>
      </c>
      <c r="F315" s="1186">
        <v>11</v>
      </c>
      <c r="G315" s="1186">
        <v>1</v>
      </c>
      <c r="H315" s="1186">
        <v>23</v>
      </c>
      <c r="I315" s="1186">
        <v>6</v>
      </c>
      <c r="J315" s="1186">
        <v>22190</v>
      </c>
    </row>
    <row r="316" spans="1:10" x14ac:dyDescent="0.2">
      <c r="A316" s="1186" t="s">
        <v>621</v>
      </c>
      <c r="B316" s="1186" t="s">
        <v>44</v>
      </c>
      <c r="C316" s="1186">
        <v>243</v>
      </c>
      <c r="D316" s="1186">
        <v>113</v>
      </c>
      <c r="E316" s="1186">
        <v>53</v>
      </c>
      <c r="F316" s="1186">
        <v>56</v>
      </c>
      <c r="G316" s="1186">
        <v>21</v>
      </c>
      <c r="H316" s="1186">
        <v>164</v>
      </c>
      <c r="I316" s="1186">
        <v>37</v>
      </c>
      <c r="J316" s="1186">
        <v>151290</v>
      </c>
    </row>
    <row r="317" spans="1:10" x14ac:dyDescent="0.2">
      <c r="A317" s="1186" t="s">
        <v>621</v>
      </c>
      <c r="B317" s="1186" t="s">
        <v>45</v>
      </c>
      <c r="C317" s="1186">
        <v>392</v>
      </c>
      <c r="D317" s="1186">
        <v>220</v>
      </c>
      <c r="E317" s="1186">
        <v>72</v>
      </c>
      <c r="F317" s="1186">
        <v>63</v>
      </c>
      <c r="G317" s="1186">
        <v>37</v>
      </c>
      <c r="H317" s="1186">
        <v>617</v>
      </c>
      <c r="I317" s="1186">
        <v>3</v>
      </c>
      <c r="J317" s="1186">
        <v>177790</v>
      </c>
    </row>
    <row r="318" spans="1:10" x14ac:dyDescent="0.2">
      <c r="A318" s="1186" t="s">
        <v>621</v>
      </c>
      <c r="B318" s="1186" t="s">
        <v>46</v>
      </c>
      <c r="C318" s="1186">
        <v>222</v>
      </c>
      <c r="D318" s="1186">
        <v>104</v>
      </c>
      <c r="E318" s="1186">
        <v>42</v>
      </c>
      <c r="F318" s="1186">
        <v>29</v>
      </c>
      <c r="G318" s="1186">
        <v>47</v>
      </c>
      <c r="H318" s="1186">
        <v>133</v>
      </c>
      <c r="I318" s="1186">
        <v>34</v>
      </c>
      <c r="J318" s="1186">
        <v>115270</v>
      </c>
    </row>
    <row r="319" spans="1:10" x14ac:dyDescent="0.2">
      <c r="A319" s="1186" t="s">
        <v>621</v>
      </c>
      <c r="B319" s="1186" t="s">
        <v>47</v>
      </c>
      <c r="C319" s="1186">
        <v>18</v>
      </c>
      <c r="D319" s="1186">
        <v>4</v>
      </c>
      <c r="E319" s="1186">
        <v>7</v>
      </c>
      <c r="F319" s="1186">
        <v>6</v>
      </c>
      <c r="G319" s="1186">
        <v>1</v>
      </c>
      <c r="H319" s="1186">
        <v>18</v>
      </c>
      <c r="I319" s="1186">
        <v>13</v>
      </c>
      <c r="J319" s="1186">
        <v>22990</v>
      </c>
    </row>
    <row r="320" spans="1:10" x14ac:dyDescent="0.2">
      <c r="A320" s="1186" t="s">
        <v>621</v>
      </c>
      <c r="B320" s="1186" t="s">
        <v>48</v>
      </c>
      <c r="C320" s="1186">
        <v>176</v>
      </c>
      <c r="D320" s="1186">
        <v>95</v>
      </c>
      <c r="E320" s="1186">
        <v>50</v>
      </c>
      <c r="F320" s="1186">
        <v>26</v>
      </c>
      <c r="G320" s="1186">
        <v>5</v>
      </c>
      <c r="H320" s="1186">
        <v>254</v>
      </c>
      <c r="I320" s="1186">
        <v>8</v>
      </c>
      <c r="J320" s="1186">
        <v>112550</v>
      </c>
    </row>
    <row r="321" spans="1:10" x14ac:dyDescent="0.2">
      <c r="A321" s="1186" t="s">
        <v>621</v>
      </c>
      <c r="B321" s="1186" t="s">
        <v>49</v>
      </c>
      <c r="C321" s="1186">
        <v>517</v>
      </c>
      <c r="D321" s="1186">
        <v>259</v>
      </c>
      <c r="E321" s="1186">
        <v>89</v>
      </c>
      <c r="F321" s="1186">
        <v>138</v>
      </c>
      <c r="G321" s="1186">
        <v>31</v>
      </c>
      <c r="H321" s="1186">
        <v>753</v>
      </c>
      <c r="I321" s="1186">
        <v>18</v>
      </c>
      <c r="J321" s="1186">
        <v>319020</v>
      </c>
    </row>
    <row r="322" spans="1:10" x14ac:dyDescent="0.2">
      <c r="A322" s="1186" t="s">
        <v>621</v>
      </c>
      <c r="B322" s="1186" t="s">
        <v>50</v>
      </c>
      <c r="C322" s="1186">
        <v>157</v>
      </c>
      <c r="D322" s="1186">
        <v>70</v>
      </c>
      <c r="E322" s="1186">
        <v>32</v>
      </c>
      <c r="F322" s="1186">
        <v>27</v>
      </c>
      <c r="G322" s="1186">
        <v>28</v>
      </c>
      <c r="H322" s="1186">
        <v>175</v>
      </c>
      <c r="I322" s="1186">
        <v>14</v>
      </c>
      <c r="J322" s="1186">
        <v>94330</v>
      </c>
    </row>
    <row r="323" spans="1:10" x14ac:dyDescent="0.2">
      <c r="A323" s="1186" t="s">
        <v>621</v>
      </c>
      <c r="B323" s="1186" t="s">
        <v>51</v>
      </c>
      <c r="C323" s="1186">
        <v>251</v>
      </c>
      <c r="D323" s="1186">
        <v>146</v>
      </c>
      <c r="E323" s="1186">
        <v>34</v>
      </c>
      <c r="F323" s="1186">
        <v>49</v>
      </c>
      <c r="G323" s="1186">
        <v>22</v>
      </c>
      <c r="H323" s="1186">
        <v>262</v>
      </c>
      <c r="I323" s="1186">
        <v>2</v>
      </c>
      <c r="J323" s="1186">
        <v>89130</v>
      </c>
    </row>
    <row r="324" spans="1:10" x14ac:dyDescent="0.2">
      <c r="A324" s="1186" t="s">
        <v>621</v>
      </c>
      <c r="B324" s="1186" t="s">
        <v>52</v>
      </c>
      <c r="C324" s="1186">
        <v>377</v>
      </c>
      <c r="D324" s="1186">
        <v>160</v>
      </c>
      <c r="E324" s="1186">
        <v>72</v>
      </c>
      <c r="F324" s="1186">
        <v>76</v>
      </c>
      <c r="G324" s="1186">
        <v>69</v>
      </c>
      <c r="H324" s="1186">
        <v>859</v>
      </c>
      <c r="I324" s="1186">
        <v>2</v>
      </c>
      <c r="J324" s="1186">
        <v>182140</v>
      </c>
    </row>
    <row r="325" spans="1:10" x14ac:dyDescent="0.2">
      <c r="A325" s="1186" t="s">
        <v>1419</v>
      </c>
      <c r="B325" s="1186" t="s">
        <v>23</v>
      </c>
      <c r="C325" s="1186">
        <v>486</v>
      </c>
      <c r="D325" s="1186">
        <v>292</v>
      </c>
      <c r="E325" s="1186">
        <v>105</v>
      </c>
      <c r="F325" s="1186">
        <v>55</v>
      </c>
      <c r="G325" s="1186">
        <v>34</v>
      </c>
      <c r="H325" s="1186">
        <v>341</v>
      </c>
      <c r="I325" s="1186">
        <v>8</v>
      </c>
      <c r="J325" s="1186">
        <v>228670</v>
      </c>
    </row>
    <row r="326" spans="1:10" x14ac:dyDescent="0.2">
      <c r="A326" s="1186" t="s">
        <v>1419</v>
      </c>
      <c r="B326" s="1186" t="s">
        <v>24</v>
      </c>
      <c r="C326" s="1186">
        <v>409</v>
      </c>
      <c r="D326" s="1186">
        <v>167</v>
      </c>
      <c r="E326" s="1186">
        <v>80</v>
      </c>
      <c r="F326" s="1186">
        <v>96</v>
      </c>
      <c r="G326" s="1186">
        <v>66</v>
      </c>
      <c r="H326" s="1186">
        <v>234</v>
      </c>
      <c r="I326" s="1186">
        <v>57</v>
      </c>
      <c r="J326" s="1186">
        <v>261210</v>
      </c>
    </row>
    <row r="327" spans="1:10" x14ac:dyDescent="0.2">
      <c r="A327" s="1186" t="s">
        <v>1419</v>
      </c>
      <c r="B327" s="1186" t="s">
        <v>25</v>
      </c>
      <c r="C327" s="1186">
        <v>179</v>
      </c>
      <c r="D327" s="1186">
        <v>89</v>
      </c>
      <c r="E327" s="1186">
        <v>35</v>
      </c>
      <c r="F327" s="1186">
        <v>32</v>
      </c>
      <c r="G327" s="1186">
        <v>23</v>
      </c>
      <c r="H327" s="1186">
        <v>145</v>
      </c>
      <c r="I327" s="1186">
        <v>12</v>
      </c>
      <c r="J327" s="1186">
        <v>116200</v>
      </c>
    </row>
    <row r="328" spans="1:10" x14ac:dyDescent="0.2">
      <c r="A328" s="1186" t="s">
        <v>1419</v>
      </c>
      <c r="B328" s="1186" t="s">
        <v>26</v>
      </c>
      <c r="C328" s="1186">
        <v>162</v>
      </c>
      <c r="D328" s="1186">
        <v>88</v>
      </c>
      <c r="E328" s="1186">
        <v>29</v>
      </c>
      <c r="F328" s="1186">
        <v>24</v>
      </c>
      <c r="G328" s="1186">
        <v>21</v>
      </c>
      <c r="H328" s="1186">
        <v>153</v>
      </c>
      <c r="I328" s="1186">
        <v>40</v>
      </c>
      <c r="J328" s="1186">
        <v>85870</v>
      </c>
    </row>
    <row r="329" spans="1:10" x14ac:dyDescent="0.2">
      <c r="A329" s="1186" t="s">
        <v>1419</v>
      </c>
      <c r="B329" s="1186" t="s">
        <v>619</v>
      </c>
      <c r="C329" s="1186">
        <v>916</v>
      </c>
      <c r="D329" s="1186">
        <v>483</v>
      </c>
      <c r="E329" s="1186">
        <v>196</v>
      </c>
      <c r="F329" s="1186">
        <v>151</v>
      </c>
      <c r="G329" s="1186">
        <v>86</v>
      </c>
      <c r="H329" s="1186">
        <v>1580</v>
      </c>
      <c r="I329" s="1186">
        <v>9</v>
      </c>
      <c r="J329" s="1186">
        <v>524930</v>
      </c>
    </row>
    <row r="330" spans="1:10" x14ac:dyDescent="0.2">
      <c r="A330" s="1186" t="s">
        <v>1419</v>
      </c>
      <c r="B330" s="1186" t="s">
        <v>27</v>
      </c>
      <c r="C330" s="1186">
        <v>82</v>
      </c>
      <c r="D330" s="1186">
        <v>50</v>
      </c>
      <c r="E330" s="1186">
        <v>17</v>
      </c>
      <c r="F330" s="1186">
        <v>8</v>
      </c>
      <c r="G330" s="1186">
        <v>7</v>
      </c>
      <c r="H330" s="1186">
        <v>80</v>
      </c>
      <c r="I330" s="1186">
        <v>1</v>
      </c>
      <c r="J330" s="1186">
        <v>51540</v>
      </c>
    </row>
    <row r="331" spans="1:10" x14ac:dyDescent="0.2">
      <c r="A331" s="1186" t="s">
        <v>1419</v>
      </c>
      <c r="B331" s="1186" t="s">
        <v>28</v>
      </c>
      <c r="C331" s="1186">
        <v>222</v>
      </c>
      <c r="D331" s="1186">
        <v>98</v>
      </c>
      <c r="E331" s="1186">
        <v>49</v>
      </c>
      <c r="F331" s="1186">
        <v>57</v>
      </c>
      <c r="G331" s="1186">
        <v>18</v>
      </c>
      <c r="H331" s="1186">
        <v>212</v>
      </c>
      <c r="I331" s="1186">
        <v>48</v>
      </c>
      <c r="J331" s="1186">
        <v>148860</v>
      </c>
    </row>
    <row r="332" spans="1:10" x14ac:dyDescent="0.2">
      <c r="A332" s="1186" t="s">
        <v>1419</v>
      </c>
      <c r="B332" s="1186" t="s">
        <v>29</v>
      </c>
      <c r="C332" s="1186">
        <v>314</v>
      </c>
      <c r="D332" s="1186">
        <v>188</v>
      </c>
      <c r="E332" s="1186">
        <v>55</v>
      </c>
      <c r="F332" s="1186">
        <v>54</v>
      </c>
      <c r="G332" s="1186">
        <v>17</v>
      </c>
      <c r="H332" s="1186">
        <v>500</v>
      </c>
      <c r="I332" s="1186">
        <v>2</v>
      </c>
      <c r="J332" s="1186">
        <v>149320</v>
      </c>
    </row>
    <row r="333" spans="1:10" x14ac:dyDescent="0.2">
      <c r="A333" s="1186" t="s">
        <v>1419</v>
      </c>
      <c r="B333" s="1186" t="s">
        <v>30</v>
      </c>
      <c r="C333" s="1186">
        <v>204</v>
      </c>
      <c r="D333" s="1186">
        <v>107</v>
      </c>
      <c r="E333" s="1186">
        <v>28</v>
      </c>
      <c r="F333" s="1186">
        <v>51</v>
      </c>
      <c r="G333" s="1186">
        <v>18</v>
      </c>
      <c r="H333" s="1186">
        <v>475</v>
      </c>
      <c r="I333" s="1186">
        <v>7</v>
      </c>
      <c r="J333" s="1186">
        <v>122010</v>
      </c>
    </row>
    <row r="334" spans="1:10" x14ac:dyDescent="0.2">
      <c r="A334" s="1186" t="s">
        <v>1419</v>
      </c>
      <c r="B334" s="1186" t="s">
        <v>31</v>
      </c>
      <c r="C334" s="1186">
        <v>154</v>
      </c>
      <c r="D334" s="1186">
        <v>70</v>
      </c>
      <c r="E334" s="1186">
        <v>27</v>
      </c>
      <c r="F334" s="1186">
        <v>45</v>
      </c>
      <c r="G334" s="1186">
        <v>12</v>
      </c>
      <c r="H334" s="1186">
        <v>153</v>
      </c>
      <c r="I334" s="1186">
        <v>5</v>
      </c>
      <c r="J334" s="1186">
        <v>108640</v>
      </c>
    </row>
    <row r="335" spans="1:10" x14ac:dyDescent="0.2">
      <c r="A335" s="1186" t="s">
        <v>1419</v>
      </c>
      <c r="B335" s="1186" t="s">
        <v>32</v>
      </c>
      <c r="C335" s="1186">
        <v>149</v>
      </c>
      <c r="D335" s="1186">
        <v>59</v>
      </c>
      <c r="E335" s="1186">
        <v>29</v>
      </c>
      <c r="F335" s="1186">
        <v>38</v>
      </c>
      <c r="G335" s="1186">
        <v>23</v>
      </c>
      <c r="H335" s="1186">
        <v>197</v>
      </c>
      <c r="I335" s="1186">
        <v>11</v>
      </c>
      <c r="J335" s="1186">
        <v>107090</v>
      </c>
    </row>
    <row r="336" spans="1:10" x14ac:dyDescent="0.2">
      <c r="A336" s="1186" t="s">
        <v>1419</v>
      </c>
      <c r="B336" s="1186" t="s">
        <v>33</v>
      </c>
      <c r="C336" s="1186">
        <v>137</v>
      </c>
      <c r="D336" s="1186">
        <v>67</v>
      </c>
      <c r="E336" s="1186">
        <v>22</v>
      </c>
      <c r="F336" s="1186">
        <v>35</v>
      </c>
      <c r="G336" s="1186">
        <v>13</v>
      </c>
      <c r="H336" s="1186">
        <v>166</v>
      </c>
      <c r="I336" s="1186">
        <v>2</v>
      </c>
      <c r="J336" s="1186">
        <v>95530</v>
      </c>
    </row>
    <row r="337" spans="1:10" x14ac:dyDescent="0.2">
      <c r="A337" s="1186" t="s">
        <v>1419</v>
      </c>
      <c r="B337" s="1186" t="s">
        <v>34</v>
      </c>
      <c r="C337" s="1186">
        <v>298</v>
      </c>
      <c r="D337" s="1186">
        <v>117</v>
      </c>
      <c r="E337" s="1186">
        <v>69</v>
      </c>
      <c r="F337" s="1186">
        <v>70</v>
      </c>
      <c r="G337" s="1186">
        <v>42</v>
      </c>
      <c r="H337" s="1186">
        <v>357</v>
      </c>
      <c r="I337" s="1186">
        <v>4</v>
      </c>
      <c r="J337" s="1186">
        <v>160890</v>
      </c>
    </row>
    <row r="338" spans="1:10" x14ac:dyDescent="0.2">
      <c r="A338" s="1186" t="s">
        <v>1419</v>
      </c>
      <c r="B338" s="1186" t="s">
        <v>35</v>
      </c>
      <c r="C338" s="1186">
        <v>522</v>
      </c>
      <c r="D338" s="1186">
        <v>236</v>
      </c>
      <c r="E338" s="1186">
        <v>96</v>
      </c>
      <c r="F338" s="1186">
        <v>95</v>
      </c>
      <c r="G338" s="1186">
        <v>95</v>
      </c>
      <c r="H338" s="1186">
        <v>762</v>
      </c>
      <c r="I338" s="1186">
        <v>12</v>
      </c>
      <c r="J338" s="1186">
        <v>373550</v>
      </c>
    </row>
    <row r="339" spans="1:10" x14ac:dyDescent="0.2">
      <c r="A339" s="1186" t="s">
        <v>1419</v>
      </c>
      <c r="B339" s="1186" t="s">
        <v>36</v>
      </c>
      <c r="C339" s="1186">
        <v>1626</v>
      </c>
      <c r="D339" s="1186">
        <v>903</v>
      </c>
      <c r="E339" s="1186">
        <v>332</v>
      </c>
      <c r="F339" s="1186">
        <v>336</v>
      </c>
      <c r="G339" s="1186">
        <v>55</v>
      </c>
      <c r="H339" s="1186">
        <v>2617</v>
      </c>
      <c r="I339" s="1186">
        <v>4</v>
      </c>
      <c r="J339" s="1186">
        <v>633120</v>
      </c>
    </row>
    <row r="340" spans="1:10" x14ac:dyDescent="0.2">
      <c r="A340" s="1186" t="s">
        <v>1419</v>
      </c>
      <c r="B340" s="1186" t="s">
        <v>37</v>
      </c>
      <c r="C340" s="1186">
        <v>330</v>
      </c>
      <c r="D340" s="1186">
        <v>121</v>
      </c>
      <c r="E340" s="1186">
        <v>77</v>
      </c>
      <c r="F340" s="1186">
        <v>79</v>
      </c>
      <c r="G340" s="1186">
        <v>53</v>
      </c>
      <c r="H340" s="1186">
        <v>427</v>
      </c>
      <c r="I340" s="1186">
        <v>125</v>
      </c>
      <c r="J340" s="1186">
        <v>235830</v>
      </c>
    </row>
    <row r="341" spans="1:10" x14ac:dyDescent="0.2">
      <c r="A341" s="1186" t="s">
        <v>1419</v>
      </c>
      <c r="B341" s="1186" t="s">
        <v>38</v>
      </c>
      <c r="C341" s="1186">
        <v>161</v>
      </c>
      <c r="D341" s="1186">
        <v>89</v>
      </c>
      <c r="E341" s="1186">
        <v>28</v>
      </c>
      <c r="F341" s="1186">
        <v>37</v>
      </c>
      <c r="G341" s="1186">
        <v>7</v>
      </c>
      <c r="H341" s="1186">
        <v>411</v>
      </c>
      <c r="I341" s="1186">
        <v>3</v>
      </c>
      <c r="J341" s="1186">
        <v>77800</v>
      </c>
    </row>
    <row r="342" spans="1:10" x14ac:dyDescent="0.2">
      <c r="A342" s="1186" t="s">
        <v>1419</v>
      </c>
      <c r="B342" s="1186" t="s">
        <v>39</v>
      </c>
      <c r="C342" s="1186">
        <v>155</v>
      </c>
      <c r="D342" s="1186">
        <v>74</v>
      </c>
      <c r="E342" s="1186">
        <v>30</v>
      </c>
      <c r="F342" s="1186">
        <v>27</v>
      </c>
      <c r="G342" s="1186">
        <v>24</v>
      </c>
      <c r="H342" s="1186">
        <v>230</v>
      </c>
      <c r="I342" s="1186">
        <v>6</v>
      </c>
      <c r="J342" s="1186">
        <v>92460</v>
      </c>
    </row>
    <row r="343" spans="1:10" x14ac:dyDescent="0.2">
      <c r="A343" s="1186" t="s">
        <v>1419</v>
      </c>
      <c r="B343" s="1186" t="s">
        <v>40</v>
      </c>
      <c r="C343" s="1186">
        <v>160</v>
      </c>
      <c r="D343" s="1186">
        <v>82</v>
      </c>
      <c r="E343" s="1186">
        <v>23</v>
      </c>
      <c r="F343" s="1186">
        <v>31</v>
      </c>
      <c r="G343" s="1186">
        <v>24</v>
      </c>
      <c r="H343" s="1186">
        <v>103</v>
      </c>
      <c r="I343" s="1186">
        <v>25</v>
      </c>
      <c r="J343" s="1186">
        <v>95820</v>
      </c>
    </row>
    <row r="344" spans="1:10" x14ac:dyDescent="0.2">
      <c r="A344" s="1186" t="s">
        <v>1419</v>
      </c>
      <c r="B344" s="1186" t="s">
        <v>295</v>
      </c>
      <c r="C344" s="1186">
        <v>36</v>
      </c>
      <c r="D344" s="1186">
        <v>20</v>
      </c>
      <c r="E344" s="1186">
        <v>5</v>
      </c>
      <c r="F344" s="1186">
        <v>8</v>
      </c>
      <c r="G344" s="1186">
        <v>3</v>
      </c>
      <c r="H344" s="1186">
        <v>35</v>
      </c>
      <c r="I344" s="1186">
        <v>37</v>
      </c>
      <c r="J344" s="1186">
        <v>26720</v>
      </c>
    </row>
    <row r="345" spans="1:10" x14ac:dyDescent="0.2">
      <c r="A345" s="1186" t="s">
        <v>1419</v>
      </c>
      <c r="B345" s="1186" t="s">
        <v>41</v>
      </c>
      <c r="C345" s="1186">
        <v>267</v>
      </c>
      <c r="D345" s="1186">
        <v>168</v>
      </c>
      <c r="E345" s="1186">
        <v>60</v>
      </c>
      <c r="F345" s="1186">
        <v>29</v>
      </c>
      <c r="G345" s="1186">
        <v>10</v>
      </c>
      <c r="H345" s="1186">
        <v>597</v>
      </c>
      <c r="I345" s="1186">
        <v>8</v>
      </c>
      <c r="J345" s="1186">
        <v>134740</v>
      </c>
    </row>
    <row r="346" spans="1:10" x14ac:dyDescent="0.2">
      <c r="A346" s="1186" t="s">
        <v>1419</v>
      </c>
      <c r="B346" s="1186" t="s">
        <v>42</v>
      </c>
      <c r="C346" s="1186">
        <v>635</v>
      </c>
      <c r="D346" s="1186">
        <v>276</v>
      </c>
      <c r="E346" s="1186">
        <v>101</v>
      </c>
      <c r="F346" s="1186">
        <v>221</v>
      </c>
      <c r="G346" s="1186">
        <v>37</v>
      </c>
      <c r="H346" s="1186">
        <v>1352</v>
      </c>
      <c r="I346" s="1186">
        <v>4</v>
      </c>
      <c r="J346" s="1186">
        <v>341370</v>
      </c>
    </row>
    <row r="347" spans="1:10" x14ac:dyDescent="0.2">
      <c r="A347" s="1186" t="s">
        <v>1419</v>
      </c>
      <c r="B347" s="1186" t="s">
        <v>43</v>
      </c>
      <c r="C347" s="1186">
        <v>34</v>
      </c>
      <c r="D347" s="1186">
        <v>11</v>
      </c>
      <c r="E347" s="1186">
        <v>6</v>
      </c>
      <c r="F347" s="1186">
        <v>11</v>
      </c>
      <c r="G347" s="1186">
        <v>6</v>
      </c>
      <c r="H347" s="1186">
        <v>10</v>
      </c>
      <c r="I347" s="1186">
        <v>4</v>
      </c>
      <c r="J347" s="1186">
        <v>22270</v>
      </c>
    </row>
    <row r="348" spans="1:10" x14ac:dyDescent="0.2">
      <c r="A348" s="1186" t="s">
        <v>1419</v>
      </c>
      <c r="B348" s="1186" t="s">
        <v>44</v>
      </c>
      <c r="C348" s="1186">
        <v>250</v>
      </c>
      <c r="D348" s="1186">
        <v>111</v>
      </c>
      <c r="E348" s="1186">
        <v>63</v>
      </c>
      <c r="F348" s="1186">
        <v>52</v>
      </c>
      <c r="G348" s="1186">
        <v>24</v>
      </c>
      <c r="H348" s="1186">
        <v>144</v>
      </c>
      <c r="I348" s="1186">
        <v>38</v>
      </c>
      <c r="J348" s="1186">
        <v>151950</v>
      </c>
    </row>
    <row r="349" spans="1:10" x14ac:dyDescent="0.2">
      <c r="A349" s="1186" t="s">
        <v>1419</v>
      </c>
      <c r="B349" s="1186" t="s">
        <v>45</v>
      </c>
      <c r="C349" s="1186">
        <v>340</v>
      </c>
      <c r="D349" s="1186">
        <v>164</v>
      </c>
      <c r="E349" s="1186">
        <v>79</v>
      </c>
      <c r="F349" s="1186">
        <v>73</v>
      </c>
      <c r="G349" s="1186">
        <v>24</v>
      </c>
      <c r="H349" s="1186">
        <v>506</v>
      </c>
      <c r="I349" s="1186">
        <v>2</v>
      </c>
      <c r="J349" s="1186">
        <v>179100</v>
      </c>
    </row>
    <row r="350" spans="1:10" x14ac:dyDescent="0.2">
      <c r="A350" s="1186" t="s">
        <v>1419</v>
      </c>
      <c r="B350" s="1186" t="s">
        <v>46</v>
      </c>
      <c r="C350" s="1186">
        <v>218</v>
      </c>
      <c r="D350" s="1186">
        <v>102</v>
      </c>
      <c r="E350" s="1186">
        <v>42</v>
      </c>
      <c r="F350" s="1186">
        <v>32</v>
      </c>
      <c r="G350" s="1186">
        <v>42</v>
      </c>
      <c r="H350" s="1186">
        <v>112</v>
      </c>
      <c r="I350" s="1186">
        <v>31</v>
      </c>
      <c r="J350" s="1186">
        <v>115510</v>
      </c>
    </row>
    <row r="351" spans="1:10" x14ac:dyDescent="0.2">
      <c r="A351" s="1186" t="s">
        <v>1419</v>
      </c>
      <c r="B351" s="1186" t="s">
        <v>47</v>
      </c>
      <c r="C351" s="1186">
        <v>28</v>
      </c>
      <c r="D351" s="1186">
        <v>12</v>
      </c>
      <c r="E351" s="1186">
        <v>7</v>
      </c>
      <c r="F351" s="1186">
        <v>3</v>
      </c>
      <c r="G351" s="1186">
        <v>6</v>
      </c>
      <c r="H351" s="1186">
        <v>9</v>
      </c>
      <c r="I351" s="1186">
        <v>10</v>
      </c>
      <c r="J351" s="1186">
        <v>22920</v>
      </c>
    </row>
    <row r="352" spans="1:10" x14ac:dyDescent="0.2">
      <c r="A352" s="1186" t="s">
        <v>1419</v>
      </c>
      <c r="B352" s="1186" t="s">
        <v>48</v>
      </c>
      <c r="C352" s="1186">
        <v>186</v>
      </c>
      <c r="D352" s="1186">
        <v>98</v>
      </c>
      <c r="E352" s="1186">
        <v>44</v>
      </c>
      <c r="F352" s="1186">
        <v>38</v>
      </c>
      <c r="G352" s="1186">
        <v>6</v>
      </c>
      <c r="H352" s="1186">
        <v>260</v>
      </c>
      <c r="I352" s="1186">
        <v>8</v>
      </c>
      <c r="J352" s="1186">
        <v>112610</v>
      </c>
    </row>
    <row r="353" spans="1:10" x14ac:dyDescent="0.2">
      <c r="A353" s="1186" t="s">
        <v>1419</v>
      </c>
      <c r="B353" s="1186" t="s">
        <v>49</v>
      </c>
      <c r="C353" s="1186">
        <v>523</v>
      </c>
      <c r="D353" s="1186">
        <v>249</v>
      </c>
      <c r="E353" s="1186">
        <v>85</v>
      </c>
      <c r="F353" s="1186">
        <v>159</v>
      </c>
      <c r="G353" s="1186">
        <v>30</v>
      </c>
      <c r="H353" s="1186">
        <v>793</v>
      </c>
      <c r="I353" s="1186">
        <v>11</v>
      </c>
      <c r="J353" s="1186">
        <v>320530</v>
      </c>
    </row>
    <row r="354" spans="1:10" x14ac:dyDescent="0.2">
      <c r="A354" s="1186" t="s">
        <v>1419</v>
      </c>
      <c r="B354" s="1186" t="s">
        <v>50</v>
      </c>
      <c r="C354" s="1186">
        <v>149</v>
      </c>
      <c r="D354" s="1186">
        <v>52</v>
      </c>
      <c r="E354" s="1186">
        <v>49</v>
      </c>
      <c r="F354" s="1186">
        <v>30</v>
      </c>
      <c r="G354" s="1186">
        <v>18</v>
      </c>
      <c r="H354" s="1186">
        <v>118</v>
      </c>
      <c r="I354" s="1186">
        <v>15</v>
      </c>
      <c r="J354" s="1186">
        <v>94210</v>
      </c>
    </row>
    <row r="355" spans="1:10" x14ac:dyDescent="0.2">
      <c r="A355" s="1186" t="s">
        <v>1419</v>
      </c>
      <c r="B355" s="1186" t="s">
        <v>51</v>
      </c>
      <c r="C355" s="1186">
        <v>205</v>
      </c>
      <c r="D355" s="1186">
        <v>115</v>
      </c>
      <c r="E355" s="1186">
        <v>37</v>
      </c>
      <c r="F355" s="1186">
        <v>46</v>
      </c>
      <c r="G355" s="1186">
        <v>7</v>
      </c>
      <c r="H355" s="1186">
        <v>293</v>
      </c>
      <c r="I355" s="1186">
        <v>2</v>
      </c>
      <c r="J355" s="1186">
        <v>88930</v>
      </c>
    </row>
    <row r="356" spans="1:10" x14ac:dyDescent="0.2">
      <c r="A356" s="1186" t="s">
        <v>1419</v>
      </c>
      <c r="B356" s="1186" t="s">
        <v>52</v>
      </c>
      <c r="C356" s="1186">
        <v>314</v>
      </c>
      <c r="D356" s="1186">
        <v>131</v>
      </c>
      <c r="E356" s="1186">
        <v>75</v>
      </c>
      <c r="F356" s="1186">
        <v>76</v>
      </c>
      <c r="G356" s="1186">
        <v>32</v>
      </c>
      <c r="H356" s="1186">
        <v>718</v>
      </c>
      <c r="I356" s="1186">
        <v>5</v>
      </c>
      <c r="J356" s="1186">
        <v>183100</v>
      </c>
    </row>
    <row r="357" spans="1:10" x14ac:dyDescent="0.2">
      <c r="A357" s="1186" t="s">
        <v>1419</v>
      </c>
      <c r="B357" s="1186" t="s">
        <v>1521</v>
      </c>
      <c r="C357" s="1186">
        <v>1</v>
      </c>
      <c r="D357" s="1186">
        <v>1</v>
      </c>
      <c r="E357" s="1186"/>
      <c r="F357" s="1186"/>
      <c r="G357" s="1186"/>
      <c r="H357" s="1186"/>
      <c r="I357" s="1186"/>
      <c r="J357" s="1186"/>
    </row>
    <row r="358" spans="1:10" x14ac:dyDescent="0.2">
      <c r="A358" s="1186" t="s">
        <v>1572</v>
      </c>
      <c r="B358" s="1186" t="s">
        <v>23</v>
      </c>
      <c r="C358" s="1186">
        <v>427</v>
      </c>
      <c r="D358" s="1186">
        <v>243</v>
      </c>
      <c r="E358" s="1186">
        <v>90</v>
      </c>
      <c r="F358" s="1186">
        <v>37</v>
      </c>
      <c r="G358" s="1186">
        <v>57</v>
      </c>
      <c r="H358" s="1186">
        <v>328</v>
      </c>
      <c r="I358" s="1186">
        <v>2</v>
      </c>
      <c r="J358" s="1186">
        <v>229060</v>
      </c>
    </row>
    <row r="359" spans="1:10" x14ac:dyDescent="0.2">
      <c r="A359" s="1186" t="s">
        <v>1572</v>
      </c>
      <c r="B359" s="1186" t="s">
        <v>24</v>
      </c>
      <c r="C359" s="1186">
        <v>406</v>
      </c>
      <c r="D359" s="1186">
        <v>172</v>
      </c>
      <c r="E359" s="1186">
        <v>91</v>
      </c>
      <c r="F359" s="1186">
        <v>72</v>
      </c>
      <c r="G359" s="1186">
        <v>71</v>
      </c>
      <c r="H359" s="1186">
        <v>295</v>
      </c>
      <c r="I359" s="1186">
        <v>45</v>
      </c>
      <c r="J359" s="1186">
        <v>260780</v>
      </c>
    </row>
    <row r="360" spans="1:10" x14ac:dyDescent="0.2">
      <c r="A360" s="1186" t="s">
        <v>1572</v>
      </c>
      <c r="B360" s="1186" t="s">
        <v>25</v>
      </c>
      <c r="C360" s="1186">
        <v>172</v>
      </c>
      <c r="D360" s="1186">
        <v>80</v>
      </c>
      <c r="E360" s="1186">
        <v>33</v>
      </c>
      <c r="F360" s="1186">
        <v>26</v>
      </c>
      <c r="G360" s="1186">
        <v>33</v>
      </c>
      <c r="H360" s="1186">
        <v>204</v>
      </c>
      <c r="I360" s="1186">
        <v>21</v>
      </c>
      <c r="J360" s="1186">
        <v>115820</v>
      </c>
    </row>
    <row r="361" spans="1:10" x14ac:dyDescent="0.2">
      <c r="A361" s="1186" t="s">
        <v>1572</v>
      </c>
      <c r="B361" s="1186" t="s">
        <v>26</v>
      </c>
      <c r="C361" s="1186">
        <v>158</v>
      </c>
      <c r="D361" s="1186">
        <v>86</v>
      </c>
      <c r="E361" s="1186">
        <v>32</v>
      </c>
      <c r="F361" s="1186">
        <v>20</v>
      </c>
      <c r="G361" s="1186">
        <v>20</v>
      </c>
      <c r="H361" s="1186">
        <v>133</v>
      </c>
      <c r="I361" s="1186">
        <v>44</v>
      </c>
      <c r="J361" s="1186">
        <v>85430</v>
      </c>
    </row>
    <row r="362" spans="1:10" x14ac:dyDescent="0.2">
      <c r="A362" s="1186" t="s">
        <v>1572</v>
      </c>
      <c r="B362" s="1186" t="s">
        <v>619</v>
      </c>
      <c r="C362" s="1186">
        <v>816</v>
      </c>
      <c r="D362" s="1186">
        <v>422</v>
      </c>
      <c r="E362" s="1186">
        <v>153</v>
      </c>
      <c r="F362" s="1186">
        <v>135</v>
      </c>
      <c r="G362" s="1186">
        <v>106</v>
      </c>
      <c r="H362" s="1186">
        <v>1466</v>
      </c>
      <c r="I362" s="1186">
        <v>13</v>
      </c>
      <c r="J362" s="1186">
        <v>527620</v>
      </c>
    </row>
    <row r="363" spans="1:10" x14ac:dyDescent="0.2">
      <c r="A363" s="1186" t="s">
        <v>1572</v>
      </c>
      <c r="B363" s="1186" t="s">
        <v>27</v>
      </c>
      <c r="C363" s="1186">
        <v>87</v>
      </c>
      <c r="D363" s="1186">
        <v>55</v>
      </c>
      <c r="E363" s="1186">
        <v>21</v>
      </c>
      <c r="F363" s="1186">
        <v>3</v>
      </c>
      <c r="G363" s="1186">
        <v>8</v>
      </c>
      <c r="H363" s="1186">
        <v>112</v>
      </c>
      <c r="I363" s="1186">
        <v>3</v>
      </c>
      <c r="J363" s="1186">
        <v>51290</v>
      </c>
    </row>
    <row r="364" spans="1:10" x14ac:dyDescent="0.2">
      <c r="A364" s="1186" t="s">
        <v>1572</v>
      </c>
      <c r="B364" s="1186" t="s">
        <v>28</v>
      </c>
      <c r="C364" s="1186">
        <v>193</v>
      </c>
      <c r="D364" s="1186">
        <v>74</v>
      </c>
      <c r="E364" s="1186">
        <v>45</v>
      </c>
      <c r="F364" s="1186">
        <v>44</v>
      </c>
      <c r="G364" s="1186">
        <v>30</v>
      </c>
      <c r="H364" s="1186">
        <v>205</v>
      </c>
      <c r="I364" s="1186">
        <v>46</v>
      </c>
      <c r="J364" s="1186">
        <v>148290</v>
      </c>
    </row>
    <row r="365" spans="1:10" x14ac:dyDescent="0.2">
      <c r="A365" s="1186" t="s">
        <v>1572</v>
      </c>
      <c r="B365" s="1186" t="s">
        <v>29</v>
      </c>
      <c r="C365" s="1186">
        <v>333</v>
      </c>
      <c r="D365" s="1186">
        <v>209</v>
      </c>
      <c r="E365" s="1186">
        <v>54</v>
      </c>
      <c r="F365" s="1186">
        <v>32</v>
      </c>
      <c r="G365" s="1186">
        <v>38</v>
      </c>
      <c r="H365" s="1186">
        <v>698</v>
      </c>
      <c r="I365" s="1186">
        <v>4</v>
      </c>
      <c r="J365" s="1186">
        <v>148820</v>
      </c>
    </row>
    <row r="366" spans="1:10" x14ac:dyDescent="0.2">
      <c r="A366" s="1186" t="s">
        <v>1572</v>
      </c>
      <c r="B366" s="1186" t="s">
        <v>30</v>
      </c>
      <c r="C366" s="1186">
        <v>220</v>
      </c>
      <c r="D366" s="1186">
        <v>109</v>
      </c>
      <c r="E366" s="1186">
        <v>31</v>
      </c>
      <c r="F366" s="1186">
        <v>46</v>
      </c>
      <c r="G366" s="1186">
        <v>34</v>
      </c>
      <c r="H366" s="1186">
        <v>584</v>
      </c>
      <c r="I366" s="1186">
        <v>5</v>
      </c>
      <c r="J366" s="1186">
        <v>121600</v>
      </c>
    </row>
    <row r="367" spans="1:10" x14ac:dyDescent="0.2">
      <c r="A367" s="1186" t="s">
        <v>1572</v>
      </c>
      <c r="B367" s="1186" t="s">
        <v>31</v>
      </c>
      <c r="C367" s="1186">
        <v>130</v>
      </c>
      <c r="D367" s="1186">
        <v>74</v>
      </c>
      <c r="E367" s="1186">
        <v>21</v>
      </c>
      <c r="F367" s="1186">
        <v>27</v>
      </c>
      <c r="G367" s="1186">
        <v>8</v>
      </c>
      <c r="H367" s="1186">
        <v>241</v>
      </c>
      <c r="I367" s="1186">
        <v>5</v>
      </c>
      <c r="J367" s="1186">
        <v>108750</v>
      </c>
    </row>
    <row r="368" spans="1:10" x14ac:dyDescent="0.2">
      <c r="A368" s="1186" t="s">
        <v>1572</v>
      </c>
      <c r="B368" s="1186" t="s">
        <v>32</v>
      </c>
      <c r="C368" s="1186">
        <v>139</v>
      </c>
      <c r="D368" s="1186">
        <v>49</v>
      </c>
      <c r="E368" s="1186">
        <v>27</v>
      </c>
      <c r="F368" s="1186">
        <v>36</v>
      </c>
      <c r="G368" s="1186">
        <v>27</v>
      </c>
      <c r="H368" s="1186">
        <v>195</v>
      </c>
      <c r="I368" s="1186">
        <v>10</v>
      </c>
      <c r="J368" s="1186">
        <v>107900</v>
      </c>
    </row>
    <row r="369" spans="1:10" x14ac:dyDescent="0.2">
      <c r="A369" s="1186" t="s">
        <v>1572</v>
      </c>
      <c r="B369" s="1186" t="s">
        <v>33</v>
      </c>
      <c r="C369" s="1186">
        <v>98</v>
      </c>
      <c r="D369" s="1186">
        <v>53</v>
      </c>
      <c r="E369" s="1186">
        <v>12</v>
      </c>
      <c r="F369" s="1186">
        <v>24</v>
      </c>
      <c r="G369" s="1186">
        <v>9</v>
      </c>
      <c r="H369" s="1186">
        <v>182</v>
      </c>
      <c r="I369" s="1186">
        <v>6</v>
      </c>
      <c r="J369" s="1186">
        <v>96060</v>
      </c>
    </row>
    <row r="370" spans="1:10" x14ac:dyDescent="0.2">
      <c r="A370" s="1186" t="s">
        <v>1572</v>
      </c>
      <c r="B370" s="1186" t="s">
        <v>34</v>
      </c>
      <c r="C370" s="1186">
        <v>284</v>
      </c>
      <c r="D370" s="1186">
        <v>109</v>
      </c>
      <c r="E370" s="1186">
        <v>58</v>
      </c>
      <c r="F370" s="1186">
        <v>50</v>
      </c>
      <c r="G370" s="1186">
        <v>67</v>
      </c>
      <c r="H370" s="1186">
        <v>423</v>
      </c>
      <c r="I370" s="1186">
        <v>4</v>
      </c>
      <c r="J370" s="1186">
        <v>160560</v>
      </c>
    </row>
    <row r="371" spans="1:10" x14ac:dyDescent="0.2">
      <c r="A371" s="1186" t="s">
        <v>1572</v>
      </c>
      <c r="B371" s="1186" t="s">
        <v>35</v>
      </c>
      <c r="C371" s="1186">
        <v>584</v>
      </c>
      <c r="D371" s="1186">
        <v>247</v>
      </c>
      <c r="E371" s="1186">
        <v>99</v>
      </c>
      <c r="F371" s="1186">
        <v>109</v>
      </c>
      <c r="G371" s="1186">
        <v>129</v>
      </c>
      <c r="H371" s="1186">
        <v>1019</v>
      </c>
      <c r="I371" s="1186">
        <v>25</v>
      </c>
      <c r="J371" s="1186">
        <v>374130</v>
      </c>
    </row>
    <row r="372" spans="1:10" x14ac:dyDescent="0.2">
      <c r="A372" s="1186" t="s">
        <v>1572</v>
      </c>
      <c r="B372" s="1186" t="s">
        <v>36</v>
      </c>
      <c r="C372" s="1186">
        <v>1410</v>
      </c>
      <c r="D372" s="1186">
        <v>795</v>
      </c>
      <c r="E372" s="1186">
        <v>235</v>
      </c>
      <c r="F372" s="1186">
        <v>298</v>
      </c>
      <c r="G372" s="1186">
        <v>82</v>
      </c>
      <c r="H372" s="1186">
        <v>2440</v>
      </c>
      <c r="I372" s="1186">
        <v>2</v>
      </c>
      <c r="J372" s="1186">
        <v>635640</v>
      </c>
    </row>
    <row r="373" spans="1:10" x14ac:dyDescent="0.2">
      <c r="A373" s="1186" t="s">
        <v>1572</v>
      </c>
      <c r="B373" s="1186" t="s">
        <v>37</v>
      </c>
      <c r="C373" s="1186">
        <v>380</v>
      </c>
      <c r="D373" s="1186">
        <v>132</v>
      </c>
      <c r="E373" s="1186">
        <v>106</v>
      </c>
      <c r="F373" s="1186">
        <v>61</v>
      </c>
      <c r="G373" s="1186">
        <v>81</v>
      </c>
      <c r="H373" s="1186">
        <v>396</v>
      </c>
      <c r="I373" s="1186">
        <v>138</v>
      </c>
      <c r="J373" s="1186">
        <v>235430</v>
      </c>
    </row>
    <row r="374" spans="1:10" x14ac:dyDescent="0.2">
      <c r="A374" s="1186" t="s">
        <v>1572</v>
      </c>
      <c r="B374" s="1186" t="s">
        <v>38</v>
      </c>
      <c r="C374" s="1186">
        <v>166</v>
      </c>
      <c r="D374" s="1186">
        <v>110</v>
      </c>
      <c r="E374" s="1186">
        <v>20</v>
      </c>
      <c r="F374" s="1186">
        <v>29</v>
      </c>
      <c r="G374" s="1186">
        <v>7</v>
      </c>
      <c r="H374" s="1186">
        <v>417</v>
      </c>
      <c r="I374" s="1186">
        <v>3</v>
      </c>
      <c r="J374" s="1186">
        <v>77060</v>
      </c>
    </row>
    <row r="375" spans="1:10" x14ac:dyDescent="0.2">
      <c r="A375" s="1186" t="s">
        <v>1572</v>
      </c>
      <c r="B375" s="1186" t="s">
        <v>39</v>
      </c>
      <c r="C375" s="1186">
        <v>158</v>
      </c>
      <c r="D375" s="1186">
        <v>59</v>
      </c>
      <c r="E375" s="1186">
        <v>35</v>
      </c>
      <c r="F375" s="1186">
        <v>19</v>
      </c>
      <c r="G375" s="1186">
        <v>45</v>
      </c>
      <c r="H375" s="1186">
        <v>203</v>
      </c>
      <c r="I375" s="1186">
        <v>6</v>
      </c>
      <c r="J375" s="1186">
        <v>93150</v>
      </c>
    </row>
    <row r="376" spans="1:10" x14ac:dyDescent="0.2">
      <c r="A376" s="1186" t="s">
        <v>1572</v>
      </c>
      <c r="B376" s="1186" t="s">
        <v>40</v>
      </c>
      <c r="C376" s="1186">
        <v>143</v>
      </c>
      <c r="D376" s="1186">
        <v>51</v>
      </c>
      <c r="E376" s="1186">
        <v>27</v>
      </c>
      <c r="F376" s="1186">
        <v>23</v>
      </c>
      <c r="G376" s="1186">
        <v>42</v>
      </c>
      <c r="H376" s="1186">
        <v>128</v>
      </c>
      <c r="I376" s="1186">
        <v>20</v>
      </c>
      <c r="J376" s="1186">
        <v>95710</v>
      </c>
    </row>
    <row r="377" spans="1:10" x14ac:dyDescent="0.2">
      <c r="A377" s="1186" t="s">
        <v>1572</v>
      </c>
      <c r="B377" s="1186" t="s">
        <v>295</v>
      </c>
      <c r="C377" s="1186">
        <v>41</v>
      </c>
      <c r="D377" s="1186">
        <v>22</v>
      </c>
      <c r="E377" s="1186">
        <v>6</v>
      </c>
      <c r="F377" s="1186">
        <v>8</v>
      </c>
      <c r="G377" s="1186">
        <v>5</v>
      </c>
      <c r="H377" s="1186">
        <v>76</v>
      </c>
      <c r="I377" s="1186">
        <v>36</v>
      </c>
      <c r="J377" s="1186">
        <v>26500</v>
      </c>
    </row>
    <row r="378" spans="1:10" x14ac:dyDescent="0.2">
      <c r="A378" s="1186" t="s">
        <v>1572</v>
      </c>
      <c r="B378" s="1186" t="s">
        <v>41</v>
      </c>
      <c r="C378" s="1186">
        <v>239</v>
      </c>
      <c r="D378" s="1186">
        <v>153</v>
      </c>
      <c r="E378" s="1186">
        <v>35</v>
      </c>
      <c r="F378" s="1186">
        <v>35</v>
      </c>
      <c r="G378" s="1186">
        <v>16</v>
      </c>
      <c r="H378" s="1186">
        <v>491</v>
      </c>
      <c r="I378" s="1186">
        <v>12</v>
      </c>
      <c r="J378" s="1186">
        <v>134250</v>
      </c>
    </row>
    <row r="379" spans="1:10" x14ac:dyDescent="0.2">
      <c r="A379" s="1186" t="s">
        <v>1572</v>
      </c>
      <c r="B379" s="1186" t="s">
        <v>42</v>
      </c>
      <c r="C379" s="1186">
        <v>683</v>
      </c>
      <c r="D379" s="1186">
        <v>318</v>
      </c>
      <c r="E379" s="1186">
        <v>106</v>
      </c>
      <c r="F379" s="1186">
        <v>217</v>
      </c>
      <c r="G379" s="1186">
        <v>42</v>
      </c>
      <c r="H379" s="1186">
        <v>1475</v>
      </c>
      <c r="I379" s="1186">
        <v>6</v>
      </c>
      <c r="J379" s="1186">
        <v>341140</v>
      </c>
    </row>
    <row r="380" spans="1:10" x14ac:dyDescent="0.2">
      <c r="A380" s="1186" t="s">
        <v>1572</v>
      </c>
      <c r="B380" s="1186" t="s">
        <v>43</v>
      </c>
      <c r="C380" s="1186">
        <v>17</v>
      </c>
      <c r="D380" s="1186">
        <v>4</v>
      </c>
      <c r="E380" s="1186">
        <v>2</v>
      </c>
      <c r="F380" s="1186">
        <v>7</v>
      </c>
      <c r="G380" s="1186">
        <v>4</v>
      </c>
      <c r="H380" s="1186">
        <v>14</v>
      </c>
      <c r="I380" s="1186">
        <v>5</v>
      </c>
      <c r="J380" s="1186">
        <v>22400</v>
      </c>
    </row>
    <row r="381" spans="1:10" x14ac:dyDescent="0.2">
      <c r="A381" s="1186" t="s">
        <v>1572</v>
      </c>
      <c r="B381" s="1186" t="s">
        <v>44</v>
      </c>
      <c r="C381" s="1186">
        <v>227</v>
      </c>
      <c r="D381" s="1186">
        <v>104</v>
      </c>
      <c r="E381" s="1186">
        <v>44</v>
      </c>
      <c r="F381" s="1186">
        <v>52</v>
      </c>
      <c r="G381" s="1186">
        <v>27</v>
      </c>
      <c r="H381" s="1186">
        <v>145</v>
      </c>
      <c r="I381" s="1186">
        <v>41</v>
      </c>
      <c r="J381" s="1186">
        <v>151910</v>
      </c>
    </row>
    <row r="382" spans="1:10" x14ac:dyDescent="0.2">
      <c r="A382" s="1186" t="s">
        <v>1572</v>
      </c>
      <c r="B382" s="1186" t="s">
        <v>45</v>
      </c>
      <c r="C382" s="1186">
        <v>332</v>
      </c>
      <c r="D382" s="1186">
        <v>185</v>
      </c>
      <c r="E382" s="1186">
        <v>62</v>
      </c>
      <c r="F382" s="1186">
        <v>55</v>
      </c>
      <c r="G382" s="1186">
        <v>30</v>
      </c>
      <c r="H382" s="1186">
        <v>503</v>
      </c>
      <c r="I382" s="1186">
        <v>3</v>
      </c>
      <c r="J382" s="1186">
        <v>179390</v>
      </c>
    </row>
    <row r="383" spans="1:10" x14ac:dyDescent="0.2">
      <c r="A383" s="1186" t="s">
        <v>1572</v>
      </c>
      <c r="B383" s="1186" t="s">
        <v>46</v>
      </c>
      <c r="C383" s="1186">
        <v>187</v>
      </c>
      <c r="D383" s="1186">
        <v>85</v>
      </c>
      <c r="E383" s="1186">
        <v>41</v>
      </c>
      <c r="F383" s="1186">
        <v>33</v>
      </c>
      <c r="G383" s="1186">
        <v>28</v>
      </c>
      <c r="H383" s="1186">
        <v>124</v>
      </c>
      <c r="I383" s="1186">
        <v>44</v>
      </c>
      <c r="J383" s="1186">
        <v>115240</v>
      </c>
    </row>
    <row r="384" spans="1:10" x14ac:dyDescent="0.2">
      <c r="A384" s="1186" t="s">
        <v>1572</v>
      </c>
      <c r="B384" s="1186" t="s">
        <v>47</v>
      </c>
      <c r="C384" s="1186">
        <v>53</v>
      </c>
      <c r="D384" s="1186">
        <v>25</v>
      </c>
      <c r="E384" s="1186">
        <v>9</v>
      </c>
      <c r="F384" s="1186">
        <v>13</v>
      </c>
      <c r="G384" s="1186">
        <v>6</v>
      </c>
      <c r="H384" s="1186">
        <v>15</v>
      </c>
      <c r="I384" s="1186">
        <v>14</v>
      </c>
      <c r="J384" s="1186">
        <v>22870</v>
      </c>
    </row>
    <row r="385" spans="1:10" x14ac:dyDescent="0.2">
      <c r="A385" s="1186" t="s">
        <v>1572</v>
      </c>
      <c r="B385" s="1186" t="s">
        <v>48</v>
      </c>
      <c r="C385" s="1186">
        <v>159</v>
      </c>
      <c r="D385" s="1186">
        <v>90</v>
      </c>
      <c r="E385" s="1186">
        <v>29</v>
      </c>
      <c r="F385" s="1186">
        <v>26</v>
      </c>
      <c r="G385" s="1186">
        <v>14</v>
      </c>
      <c r="H385" s="1186">
        <v>304</v>
      </c>
      <c r="I385" s="1186">
        <v>9</v>
      </c>
      <c r="J385" s="1186">
        <v>112140</v>
      </c>
    </row>
    <row r="386" spans="1:10" x14ac:dyDescent="0.2">
      <c r="A386" s="1186" t="s">
        <v>1572</v>
      </c>
      <c r="B386" s="1186" t="s">
        <v>49</v>
      </c>
      <c r="C386" s="1186">
        <v>516</v>
      </c>
      <c r="D386" s="1186">
        <v>255</v>
      </c>
      <c r="E386" s="1186">
        <v>71</v>
      </c>
      <c r="F386" s="1186">
        <v>152</v>
      </c>
      <c r="G386" s="1186">
        <v>38</v>
      </c>
      <c r="H386" s="1186">
        <v>1018</v>
      </c>
      <c r="I386" s="1186">
        <v>9</v>
      </c>
      <c r="J386" s="1186">
        <v>320820</v>
      </c>
    </row>
    <row r="387" spans="1:10" x14ac:dyDescent="0.2">
      <c r="A387" s="1186" t="s">
        <v>1572</v>
      </c>
      <c r="B387" s="1186" t="s">
        <v>50</v>
      </c>
      <c r="C387" s="1186">
        <v>163</v>
      </c>
      <c r="D387" s="1186">
        <v>59</v>
      </c>
      <c r="E387" s="1186">
        <v>38</v>
      </c>
      <c r="F387" s="1186">
        <v>33</v>
      </c>
      <c r="G387" s="1186">
        <v>33</v>
      </c>
      <c r="H387" s="1186">
        <v>196</v>
      </c>
      <c r="I387" s="1186">
        <v>13</v>
      </c>
      <c r="J387" s="1186">
        <v>94080</v>
      </c>
    </row>
    <row r="388" spans="1:10" x14ac:dyDescent="0.2">
      <c r="A388" s="1186" t="s">
        <v>1572</v>
      </c>
      <c r="B388" s="1186" t="s">
        <v>51</v>
      </c>
      <c r="C388" s="1186">
        <v>200</v>
      </c>
      <c r="D388" s="1186">
        <v>117</v>
      </c>
      <c r="E388" s="1186">
        <v>26</v>
      </c>
      <c r="F388" s="1186">
        <v>32</v>
      </c>
      <c r="G388" s="1186">
        <v>25</v>
      </c>
      <c r="H388" s="1186">
        <v>408</v>
      </c>
      <c r="I388" s="1186">
        <v>3</v>
      </c>
      <c r="J388" s="1186">
        <v>88340</v>
      </c>
    </row>
    <row r="389" spans="1:10" x14ac:dyDescent="0.2">
      <c r="A389" s="1186" t="s">
        <v>1572</v>
      </c>
      <c r="B389" s="1186" t="s">
        <v>52</v>
      </c>
      <c r="C389" s="1186">
        <v>295</v>
      </c>
      <c r="D389" s="1186">
        <v>115</v>
      </c>
      <c r="E389" s="1186">
        <v>59</v>
      </c>
      <c r="F389" s="1186">
        <v>62</v>
      </c>
      <c r="G389" s="1186">
        <v>59</v>
      </c>
      <c r="H389" s="1186">
        <v>692</v>
      </c>
      <c r="I389" s="1186">
        <v>4</v>
      </c>
      <c r="J389" s="1186">
        <v>183820</v>
      </c>
    </row>
  </sheetData>
  <pageMargins left="0.7" right="0.7" top="0.75" bottom="0.75" header="0.3" footer="0.3"/>
  <pageSetup paperSize="9" fitToHeight="50" orientation="landscape" r:id="rId1"/>
  <legacyDrawing r:id="rId2"/>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pageSetUpPr fitToPage="1"/>
  </sheetPr>
  <dimension ref="A1:G72"/>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26.28515625" bestFit="1" customWidth="1"/>
    <col min="2" max="2" width="7.42578125" bestFit="1" customWidth="1"/>
    <col min="3" max="3" width="9.140625" bestFit="1" customWidth="1"/>
    <col min="4" max="4" width="9" bestFit="1" customWidth="1"/>
    <col min="5" max="5" width="14.5703125" bestFit="1" customWidth="1"/>
    <col min="6" max="6" width="13" bestFit="1" customWidth="1"/>
    <col min="7" max="7" width="7.85546875" bestFit="1" customWidth="1"/>
  </cols>
  <sheetData>
    <row r="1" spans="1:7" x14ac:dyDescent="0.2"/>
    <row r="4" spans="1:7" x14ac:dyDescent="0.2">
      <c r="A4" s="1223" t="s">
        <v>1111</v>
      </c>
      <c r="B4" s="1223" t="s">
        <v>4</v>
      </c>
      <c r="C4" s="1223" t="s">
        <v>1171</v>
      </c>
      <c r="D4" s="1223" t="s">
        <v>828</v>
      </c>
      <c r="E4" s="1223" t="s">
        <v>850</v>
      </c>
      <c r="F4" s="1223" t="s">
        <v>851</v>
      </c>
      <c r="G4" s="1223" t="s">
        <v>852</v>
      </c>
    </row>
    <row r="5" spans="1:7" x14ac:dyDescent="0.2">
      <c r="A5" s="1186" t="s">
        <v>341</v>
      </c>
      <c r="B5" s="1186" t="s">
        <v>19</v>
      </c>
      <c r="C5" s="1186">
        <v>956</v>
      </c>
      <c r="D5" s="1186">
        <v>787</v>
      </c>
      <c r="E5" s="1186">
        <v>84</v>
      </c>
      <c r="F5" s="1186">
        <v>59</v>
      </c>
      <c r="G5" s="1186">
        <v>26</v>
      </c>
    </row>
    <row r="6" spans="1:7" x14ac:dyDescent="0.2">
      <c r="A6" s="1186" t="s">
        <v>341</v>
      </c>
      <c r="B6" s="1186" t="s">
        <v>20</v>
      </c>
      <c r="C6" s="1186">
        <v>1094</v>
      </c>
      <c r="D6" s="1186">
        <v>934</v>
      </c>
      <c r="E6" s="1186">
        <v>89</v>
      </c>
      <c r="F6" s="1186">
        <v>37</v>
      </c>
      <c r="G6" s="1186">
        <v>34</v>
      </c>
    </row>
    <row r="7" spans="1:7" x14ac:dyDescent="0.2">
      <c r="A7" s="1186" t="s">
        <v>341</v>
      </c>
      <c r="B7" s="1186" t="s">
        <v>13</v>
      </c>
      <c r="C7" s="1186">
        <v>1117</v>
      </c>
      <c r="D7" s="1186">
        <v>955</v>
      </c>
      <c r="E7" s="1186">
        <v>85</v>
      </c>
      <c r="F7" s="1186">
        <v>43</v>
      </c>
      <c r="G7" s="1186">
        <v>34</v>
      </c>
    </row>
    <row r="8" spans="1:7" x14ac:dyDescent="0.2">
      <c r="A8" s="1186" t="s">
        <v>341</v>
      </c>
      <c r="B8" s="1186" t="s">
        <v>15</v>
      </c>
      <c r="C8" s="1186">
        <v>1057</v>
      </c>
      <c r="D8" s="1186">
        <v>923</v>
      </c>
      <c r="E8" s="1186">
        <v>78</v>
      </c>
      <c r="F8" s="1186">
        <v>32</v>
      </c>
      <c r="G8" s="1186">
        <v>24</v>
      </c>
    </row>
    <row r="9" spans="1:7" x14ac:dyDescent="0.2">
      <c r="A9" s="1186" t="s">
        <v>341</v>
      </c>
      <c r="B9" s="1186" t="s">
        <v>17</v>
      </c>
      <c r="C9" s="1186">
        <v>1089</v>
      </c>
      <c r="D9" s="1186">
        <v>942</v>
      </c>
      <c r="E9" s="1186">
        <v>76</v>
      </c>
      <c r="F9" s="1186">
        <v>46</v>
      </c>
      <c r="G9" s="1186">
        <v>25</v>
      </c>
    </row>
    <row r="10" spans="1:7" x14ac:dyDescent="0.2">
      <c r="A10" s="1186" t="s">
        <v>341</v>
      </c>
      <c r="B10" s="1186" t="s">
        <v>133</v>
      </c>
      <c r="C10" s="1186">
        <v>886</v>
      </c>
      <c r="D10" s="1186">
        <v>762</v>
      </c>
      <c r="E10" s="1186">
        <v>78</v>
      </c>
      <c r="F10" s="1186">
        <v>30</v>
      </c>
      <c r="G10" s="1186">
        <v>16</v>
      </c>
    </row>
    <row r="11" spans="1:7" x14ac:dyDescent="0.2">
      <c r="A11" s="1186" t="s">
        <v>341</v>
      </c>
      <c r="B11" s="1186" t="s">
        <v>144</v>
      </c>
      <c r="C11" s="1186">
        <v>1017</v>
      </c>
      <c r="D11" s="1186">
        <v>829</v>
      </c>
      <c r="E11" s="1186">
        <v>103</v>
      </c>
      <c r="F11" s="1186">
        <v>56</v>
      </c>
      <c r="G11" s="1186">
        <v>29</v>
      </c>
    </row>
    <row r="12" spans="1:7" x14ac:dyDescent="0.2">
      <c r="A12" s="1186" t="s">
        <v>341</v>
      </c>
      <c r="B12" s="1186" t="s">
        <v>282</v>
      </c>
      <c r="C12" s="1186">
        <v>936</v>
      </c>
      <c r="D12" s="1186">
        <v>814</v>
      </c>
      <c r="E12" s="1186">
        <v>56</v>
      </c>
      <c r="F12" s="1186">
        <v>40</v>
      </c>
      <c r="G12" s="1186">
        <v>26</v>
      </c>
    </row>
    <row r="13" spans="1:7" x14ac:dyDescent="0.2">
      <c r="A13" s="1186" t="s">
        <v>341</v>
      </c>
      <c r="B13" s="1186" t="s">
        <v>311</v>
      </c>
      <c r="C13" s="1186">
        <v>881</v>
      </c>
      <c r="D13" s="1186">
        <v>737</v>
      </c>
      <c r="E13" s="1186">
        <v>90</v>
      </c>
      <c r="F13" s="1186">
        <v>35</v>
      </c>
      <c r="G13" s="1186">
        <v>19</v>
      </c>
    </row>
    <row r="14" spans="1:7" x14ac:dyDescent="0.2">
      <c r="A14" s="1186" t="s">
        <v>341</v>
      </c>
      <c r="B14" s="1186" t="s">
        <v>621</v>
      </c>
      <c r="C14" s="1186">
        <v>949</v>
      </c>
      <c r="D14" s="1186">
        <v>793</v>
      </c>
      <c r="E14" s="1186">
        <v>90</v>
      </c>
      <c r="F14" s="1186">
        <v>31</v>
      </c>
      <c r="G14" s="1186">
        <v>35</v>
      </c>
    </row>
    <row r="15" spans="1:7" x14ac:dyDescent="0.2">
      <c r="A15" s="1186" t="s">
        <v>341</v>
      </c>
      <c r="B15" s="1186" t="s">
        <v>1419</v>
      </c>
      <c r="C15" s="1186">
        <v>808</v>
      </c>
      <c r="D15" s="1186">
        <v>671</v>
      </c>
      <c r="E15" s="1186">
        <v>85</v>
      </c>
      <c r="F15" s="1186">
        <v>25</v>
      </c>
      <c r="G15" s="1186">
        <v>27</v>
      </c>
    </row>
    <row r="16" spans="1:7" x14ac:dyDescent="0.2">
      <c r="A16" s="1186" t="s">
        <v>341</v>
      </c>
      <c r="B16" s="1186" t="s">
        <v>1572</v>
      </c>
      <c r="C16" s="1186">
        <v>693</v>
      </c>
      <c r="D16" s="1186">
        <v>584</v>
      </c>
      <c r="E16" s="1186">
        <v>54</v>
      </c>
      <c r="F16" s="1186">
        <v>15</v>
      </c>
      <c r="G16" s="1186">
        <v>40</v>
      </c>
    </row>
    <row r="17" spans="1:7" x14ac:dyDescent="0.2">
      <c r="A17" s="1186" t="s">
        <v>342</v>
      </c>
      <c r="B17" s="1186" t="s">
        <v>19</v>
      </c>
      <c r="C17" s="1186">
        <v>62</v>
      </c>
      <c r="D17" s="1186">
        <v>53</v>
      </c>
      <c r="E17" s="1186">
        <v>4</v>
      </c>
      <c r="F17" s="1186">
        <v>4</v>
      </c>
      <c r="G17" s="1186">
        <v>1</v>
      </c>
    </row>
    <row r="18" spans="1:7" x14ac:dyDescent="0.2">
      <c r="A18" s="1186" t="s">
        <v>342</v>
      </c>
      <c r="B18" s="1186" t="s">
        <v>20</v>
      </c>
      <c r="C18" s="1186">
        <v>52</v>
      </c>
      <c r="D18" s="1186">
        <v>45</v>
      </c>
      <c r="E18" s="1186">
        <v>3</v>
      </c>
      <c r="F18" s="1186">
        <v>3</v>
      </c>
      <c r="G18" s="1186">
        <v>1</v>
      </c>
    </row>
    <row r="19" spans="1:7" x14ac:dyDescent="0.2">
      <c r="A19" s="1186" t="s">
        <v>342</v>
      </c>
      <c r="B19" s="1186" t="s">
        <v>13</v>
      </c>
      <c r="C19" s="1186">
        <v>59</v>
      </c>
      <c r="D19" s="1186">
        <v>51</v>
      </c>
      <c r="E19" s="1186">
        <v>4</v>
      </c>
      <c r="F19" s="1186">
        <v>3</v>
      </c>
      <c r="G19" s="1186">
        <v>1</v>
      </c>
    </row>
    <row r="20" spans="1:7" x14ac:dyDescent="0.2">
      <c r="A20" s="1186" t="s">
        <v>342</v>
      </c>
      <c r="B20" s="1186" t="s">
        <v>15</v>
      </c>
      <c r="C20" s="1186">
        <v>46</v>
      </c>
      <c r="D20" s="1186">
        <v>40</v>
      </c>
      <c r="E20" s="1186">
        <v>2</v>
      </c>
      <c r="F20" s="1186">
        <v>2</v>
      </c>
      <c r="G20" s="1186">
        <v>2</v>
      </c>
    </row>
    <row r="21" spans="1:7" x14ac:dyDescent="0.2">
      <c r="A21" s="1186" t="s">
        <v>342</v>
      </c>
      <c r="B21" s="1186" t="s">
        <v>17</v>
      </c>
      <c r="C21" s="1186">
        <v>31</v>
      </c>
      <c r="D21" s="1186">
        <v>29</v>
      </c>
      <c r="E21" s="1186">
        <v>1</v>
      </c>
      <c r="F21" s="1186">
        <v>1</v>
      </c>
      <c r="G21" s="1186"/>
    </row>
    <row r="22" spans="1:7" x14ac:dyDescent="0.2">
      <c r="A22" s="1186" t="s">
        <v>342</v>
      </c>
      <c r="B22" s="1186" t="s">
        <v>133</v>
      </c>
      <c r="C22" s="1186">
        <v>40</v>
      </c>
      <c r="D22" s="1186">
        <v>31</v>
      </c>
      <c r="E22" s="1186">
        <v>3</v>
      </c>
      <c r="F22" s="1186">
        <v>1</v>
      </c>
      <c r="G22" s="1186">
        <v>5</v>
      </c>
    </row>
    <row r="23" spans="1:7" x14ac:dyDescent="0.2">
      <c r="A23" s="1186" t="s">
        <v>342</v>
      </c>
      <c r="B23" s="1186" t="s">
        <v>144</v>
      </c>
      <c r="C23" s="1186">
        <v>45</v>
      </c>
      <c r="D23" s="1186">
        <v>39</v>
      </c>
      <c r="E23" s="1186">
        <v>3</v>
      </c>
      <c r="F23" s="1186">
        <v>3</v>
      </c>
      <c r="G23" s="1186"/>
    </row>
    <row r="24" spans="1:7" x14ac:dyDescent="0.2">
      <c r="A24" s="1186" t="s">
        <v>342</v>
      </c>
      <c r="B24" s="1186" t="s">
        <v>282</v>
      </c>
      <c r="C24" s="1186">
        <v>44</v>
      </c>
      <c r="D24" s="1186">
        <v>36</v>
      </c>
      <c r="E24" s="1186">
        <v>3</v>
      </c>
      <c r="F24" s="1186">
        <v>5</v>
      </c>
      <c r="G24" s="1186"/>
    </row>
    <row r="25" spans="1:7" x14ac:dyDescent="0.2">
      <c r="A25" s="1186" t="s">
        <v>342</v>
      </c>
      <c r="B25" s="1186" t="s">
        <v>311</v>
      </c>
      <c r="C25" s="1186">
        <v>44</v>
      </c>
      <c r="D25" s="1186">
        <v>37</v>
      </c>
      <c r="E25" s="1186">
        <v>3</v>
      </c>
      <c r="F25" s="1186">
        <v>3</v>
      </c>
      <c r="G25" s="1186">
        <v>1</v>
      </c>
    </row>
    <row r="26" spans="1:7" x14ac:dyDescent="0.2">
      <c r="A26" s="1186" t="s">
        <v>342</v>
      </c>
      <c r="B26" s="1186" t="s">
        <v>621</v>
      </c>
      <c r="C26" s="1186">
        <v>44</v>
      </c>
      <c r="D26" s="1186">
        <v>40</v>
      </c>
      <c r="E26" s="1186">
        <v>1</v>
      </c>
      <c r="F26" s="1186">
        <v>1</v>
      </c>
      <c r="G26" s="1186">
        <v>2</v>
      </c>
    </row>
    <row r="27" spans="1:7" x14ac:dyDescent="0.2">
      <c r="A27" s="1186" t="s">
        <v>342</v>
      </c>
      <c r="B27" s="1186" t="s">
        <v>1419</v>
      </c>
      <c r="C27" s="1186">
        <v>27</v>
      </c>
      <c r="D27" s="1186">
        <v>21</v>
      </c>
      <c r="E27" s="1186">
        <v>3</v>
      </c>
      <c r="F27" s="1186">
        <v>3</v>
      </c>
      <c r="G27" s="1186"/>
    </row>
    <row r="28" spans="1:7" x14ac:dyDescent="0.2">
      <c r="A28" s="1186" t="s">
        <v>342</v>
      </c>
      <c r="B28" s="1186" t="s">
        <v>1572</v>
      </c>
      <c r="C28" s="1186">
        <v>53</v>
      </c>
      <c r="D28" s="1186">
        <v>44</v>
      </c>
      <c r="E28" s="1186">
        <v>2</v>
      </c>
      <c r="F28" s="1186">
        <v>5</v>
      </c>
      <c r="G28" s="1186">
        <v>2</v>
      </c>
    </row>
    <row r="29" spans="1:7" x14ac:dyDescent="0.2">
      <c r="A29" s="1186" t="s">
        <v>343</v>
      </c>
      <c r="B29" s="1186" t="s">
        <v>19</v>
      </c>
      <c r="C29" s="1186">
        <v>1223</v>
      </c>
      <c r="D29" s="1186">
        <v>1032</v>
      </c>
      <c r="E29" s="1186">
        <v>95</v>
      </c>
      <c r="F29" s="1186">
        <v>66</v>
      </c>
      <c r="G29" s="1186">
        <v>30</v>
      </c>
    </row>
    <row r="30" spans="1:7" x14ac:dyDescent="0.2">
      <c r="A30" s="1186" t="s">
        <v>343</v>
      </c>
      <c r="B30" s="1186" t="s">
        <v>20</v>
      </c>
      <c r="C30" s="1186">
        <v>1332</v>
      </c>
      <c r="D30" s="1186">
        <v>1142</v>
      </c>
      <c r="E30" s="1186">
        <v>109</v>
      </c>
      <c r="F30" s="1186">
        <v>43</v>
      </c>
      <c r="G30" s="1186">
        <v>38</v>
      </c>
    </row>
    <row r="31" spans="1:7" x14ac:dyDescent="0.2">
      <c r="A31" s="1186" t="s">
        <v>343</v>
      </c>
      <c r="B31" s="1186" t="s">
        <v>13</v>
      </c>
      <c r="C31" s="1186">
        <v>1414</v>
      </c>
      <c r="D31" s="1186">
        <v>1219</v>
      </c>
      <c r="E31" s="1186">
        <v>99</v>
      </c>
      <c r="F31" s="1186">
        <v>58</v>
      </c>
      <c r="G31" s="1186">
        <v>38</v>
      </c>
    </row>
    <row r="32" spans="1:7" x14ac:dyDescent="0.2">
      <c r="A32" s="1186" t="s">
        <v>343</v>
      </c>
      <c r="B32" s="1186" t="s">
        <v>15</v>
      </c>
      <c r="C32" s="1186">
        <v>1319</v>
      </c>
      <c r="D32" s="1186">
        <v>1166</v>
      </c>
      <c r="E32" s="1186">
        <v>92</v>
      </c>
      <c r="F32" s="1186">
        <v>35</v>
      </c>
      <c r="G32" s="1186">
        <v>26</v>
      </c>
    </row>
    <row r="33" spans="1:7" x14ac:dyDescent="0.2">
      <c r="A33" s="1186" t="s">
        <v>343</v>
      </c>
      <c r="B33" s="1186" t="s">
        <v>17</v>
      </c>
      <c r="C33" s="1186">
        <v>1310</v>
      </c>
      <c r="D33" s="1186">
        <v>1140</v>
      </c>
      <c r="E33" s="1186">
        <v>86</v>
      </c>
      <c r="F33" s="1186">
        <v>50</v>
      </c>
      <c r="G33" s="1186">
        <v>34</v>
      </c>
    </row>
    <row r="34" spans="1:7" x14ac:dyDescent="0.2">
      <c r="A34" s="1186" t="s">
        <v>343</v>
      </c>
      <c r="B34" s="1186" t="s">
        <v>133</v>
      </c>
      <c r="C34" s="1186">
        <v>1099</v>
      </c>
      <c r="D34" s="1186">
        <v>947</v>
      </c>
      <c r="E34" s="1186">
        <v>91</v>
      </c>
      <c r="F34" s="1186">
        <v>40</v>
      </c>
      <c r="G34" s="1186">
        <v>21</v>
      </c>
    </row>
    <row r="35" spans="1:7" x14ac:dyDescent="0.2">
      <c r="A35" s="1186" t="s">
        <v>343</v>
      </c>
      <c r="B35" s="1186" t="s">
        <v>144</v>
      </c>
      <c r="C35" s="1186">
        <v>1276</v>
      </c>
      <c r="D35" s="1186">
        <v>1063</v>
      </c>
      <c r="E35" s="1186">
        <v>117</v>
      </c>
      <c r="F35" s="1186">
        <v>61</v>
      </c>
      <c r="G35" s="1186">
        <v>35</v>
      </c>
    </row>
    <row r="36" spans="1:7" x14ac:dyDescent="0.2">
      <c r="A36" s="1186" t="s">
        <v>343</v>
      </c>
      <c r="B36" s="1186" t="s">
        <v>282</v>
      </c>
      <c r="C36" s="1186">
        <v>1266</v>
      </c>
      <c r="D36" s="1186">
        <v>1115</v>
      </c>
      <c r="E36" s="1186">
        <v>72</v>
      </c>
      <c r="F36" s="1186">
        <v>48</v>
      </c>
      <c r="G36" s="1186">
        <v>31</v>
      </c>
    </row>
    <row r="37" spans="1:7" x14ac:dyDescent="0.2">
      <c r="A37" s="1186" t="s">
        <v>343</v>
      </c>
      <c r="B37" s="1186" t="s">
        <v>311</v>
      </c>
      <c r="C37" s="1186">
        <v>1116</v>
      </c>
      <c r="D37" s="1186">
        <v>921</v>
      </c>
      <c r="E37" s="1186">
        <v>119</v>
      </c>
      <c r="F37" s="1186">
        <v>51</v>
      </c>
      <c r="G37" s="1186">
        <v>25</v>
      </c>
    </row>
    <row r="38" spans="1:7" x14ac:dyDescent="0.2">
      <c r="A38" s="1186" t="s">
        <v>343</v>
      </c>
      <c r="B38" s="1186" t="s">
        <v>621</v>
      </c>
      <c r="C38" s="1186">
        <v>1197</v>
      </c>
      <c r="D38" s="1186">
        <v>1016</v>
      </c>
      <c r="E38" s="1186">
        <v>109</v>
      </c>
      <c r="F38" s="1186">
        <v>34</v>
      </c>
      <c r="G38" s="1186">
        <v>38</v>
      </c>
    </row>
    <row r="39" spans="1:7" x14ac:dyDescent="0.2">
      <c r="A39" s="1186" t="s">
        <v>343</v>
      </c>
      <c r="B39" s="1186" t="s">
        <v>1419</v>
      </c>
      <c r="C39" s="1186">
        <v>1027</v>
      </c>
      <c r="D39" s="1186">
        <v>877</v>
      </c>
      <c r="E39" s="1186">
        <v>91</v>
      </c>
      <c r="F39" s="1186">
        <v>29</v>
      </c>
      <c r="G39" s="1186">
        <v>30</v>
      </c>
    </row>
    <row r="40" spans="1:7" x14ac:dyDescent="0.2">
      <c r="A40" s="1186" t="s">
        <v>343</v>
      </c>
      <c r="B40" s="1186" t="s">
        <v>1572</v>
      </c>
      <c r="C40" s="1186">
        <v>1017</v>
      </c>
      <c r="D40" s="1186">
        <v>876</v>
      </c>
      <c r="E40" s="1186">
        <v>74</v>
      </c>
      <c r="F40" s="1186">
        <v>22</v>
      </c>
      <c r="G40" s="1186">
        <v>45</v>
      </c>
    </row>
    <row r="60" spans="1:7" x14ac:dyDescent="0.2">
      <c r="A60" s="1224" t="s">
        <v>1111</v>
      </c>
      <c r="B60" s="1224" t="s">
        <v>4</v>
      </c>
      <c r="C60" s="1224" t="s">
        <v>1171</v>
      </c>
      <c r="D60" s="1224" t="s">
        <v>828</v>
      </c>
      <c r="E60" s="1224" t="s">
        <v>850</v>
      </c>
      <c r="F60" s="1224" t="s">
        <v>851</v>
      </c>
      <c r="G60" s="1224" t="s">
        <v>852</v>
      </c>
    </row>
    <row r="61" spans="1:7" x14ac:dyDescent="0.2">
      <c r="A61" s="1186" t="s">
        <v>1628</v>
      </c>
      <c r="B61" s="1186" t="s">
        <v>19</v>
      </c>
      <c r="C61" s="1186">
        <v>2</v>
      </c>
      <c r="D61" s="1186"/>
      <c r="E61" s="1186"/>
      <c r="F61" s="1186">
        <v>2</v>
      </c>
      <c r="G61" s="1186"/>
    </row>
    <row r="62" spans="1:7" x14ac:dyDescent="0.2">
      <c r="A62" s="1186" t="s">
        <v>1628</v>
      </c>
      <c r="B62" s="1186" t="s">
        <v>20</v>
      </c>
      <c r="C62" s="1186">
        <v>1</v>
      </c>
      <c r="D62" s="1186"/>
      <c r="E62" s="1186"/>
      <c r="F62" s="1186">
        <v>1</v>
      </c>
      <c r="G62" s="1186"/>
    </row>
    <row r="63" spans="1:7" x14ac:dyDescent="0.2">
      <c r="A63" s="1186" t="s">
        <v>1628</v>
      </c>
      <c r="B63" s="1186" t="s">
        <v>13</v>
      </c>
      <c r="C63" s="1186">
        <v>11</v>
      </c>
      <c r="D63" s="1186">
        <v>3</v>
      </c>
      <c r="E63" s="1186">
        <v>1</v>
      </c>
      <c r="F63" s="1186">
        <v>7</v>
      </c>
      <c r="G63" s="1186"/>
    </row>
    <row r="64" spans="1:7" x14ac:dyDescent="0.2">
      <c r="A64" s="1186" t="s">
        <v>1628</v>
      </c>
      <c r="B64" s="1186" t="s">
        <v>15</v>
      </c>
      <c r="C64" s="1186">
        <v>6</v>
      </c>
      <c r="D64" s="1186">
        <v>5</v>
      </c>
      <c r="E64" s="1186"/>
      <c r="F64" s="1186">
        <v>1</v>
      </c>
      <c r="G64" s="1186"/>
    </row>
    <row r="65" spans="1:7" x14ac:dyDescent="0.2">
      <c r="A65" s="1186" t="s">
        <v>1628</v>
      </c>
      <c r="B65" s="1186" t="s">
        <v>17</v>
      </c>
      <c r="C65" s="1186">
        <v>13</v>
      </c>
      <c r="D65" s="1186">
        <v>6</v>
      </c>
      <c r="E65" s="1186"/>
      <c r="F65" s="1186">
        <v>6</v>
      </c>
      <c r="G65" s="1186">
        <v>1</v>
      </c>
    </row>
    <row r="66" spans="1:7" x14ac:dyDescent="0.2">
      <c r="A66" s="1186" t="s">
        <v>1628</v>
      </c>
      <c r="B66" s="1186" t="s">
        <v>133</v>
      </c>
      <c r="C66" s="1186">
        <v>5</v>
      </c>
      <c r="D66" s="1186">
        <v>2</v>
      </c>
      <c r="E66" s="1186">
        <v>2</v>
      </c>
      <c r="F66" s="1186">
        <v>1</v>
      </c>
      <c r="G66" s="1186"/>
    </row>
    <row r="67" spans="1:7" x14ac:dyDescent="0.2">
      <c r="A67" s="1186" t="s">
        <v>1628</v>
      </c>
      <c r="B67" s="1186" t="s">
        <v>144</v>
      </c>
      <c r="C67" s="1186">
        <v>8</v>
      </c>
      <c r="D67" s="1186">
        <v>1</v>
      </c>
      <c r="E67" s="1186"/>
      <c r="F67" s="1186">
        <v>7</v>
      </c>
      <c r="G67" s="1186"/>
    </row>
    <row r="68" spans="1:7" x14ac:dyDescent="0.2">
      <c r="A68" s="1186" t="s">
        <v>1628</v>
      </c>
      <c r="B68" s="1186" t="s">
        <v>282</v>
      </c>
      <c r="C68" s="1186">
        <v>5</v>
      </c>
      <c r="D68" s="1186">
        <v>3</v>
      </c>
      <c r="E68" s="1186"/>
      <c r="F68" s="1186">
        <v>2</v>
      </c>
      <c r="G68" s="1186"/>
    </row>
    <row r="69" spans="1:7" x14ac:dyDescent="0.2">
      <c r="A69" s="1186" t="s">
        <v>1628</v>
      </c>
      <c r="B69" s="1186" t="s">
        <v>311</v>
      </c>
      <c r="C69" s="1186">
        <v>4</v>
      </c>
      <c r="D69" s="1186">
        <v>3</v>
      </c>
      <c r="E69" s="1186"/>
      <c r="F69" s="1186">
        <v>1</v>
      </c>
      <c r="G69" s="1186"/>
    </row>
    <row r="70" spans="1:7" x14ac:dyDescent="0.2">
      <c r="A70" s="1186" t="s">
        <v>1628</v>
      </c>
      <c r="B70" s="1186" t="s">
        <v>621</v>
      </c>
      <c r="C70" s="1186">
        <v>6</v>
      </c>
      <c r="D70" s="1186">
        <v>2</v>
      </c>
      <c r="E70" s="1186"/>
      <c r="F70" s="1186">
        <v>4</v>
      </c>
      <c r="G70" s="1186"/>
    </row>
    <row r="71" spans="1:7" x14ac:dyDescent="0.2">
      <c r="A71" s="1186" t="s">
        <v>1628</v>
      </c>
      <c r="B71" s="1186" t="s">
        <v>1419</v>
      </c>
      <c r="C71" s="1186">
        <v>4</v>
      </c>
      <c r="D71" s="1186">
        <v>2</v>
      </c>
      <c r="E71" s="1186"/>
      <c r="F71" s="1186">
        <v>1</v>
      </c>
      <c r="G71" s="1186">
        <v>1</v>
      </c>
    </row>
    <row r="72" spans="1:7" x14ac:dyDescent="0.2">
      <c r="A72" s="1186" t="s">
        <v>1628</v>
      </c>
      <c r="B72" s="1186" t="s">
        <v>1572</v>
      </c>
      <c r="C72" s="1186">
        <v>6</v>
      </c>
      <c r="D72" s="1186">
        <v>4</v>
      </c>
      <c r="E72" s="1186"/>
      <c r="F72" s="1186">
        <v>1</v>
      </c>
      <c r="G72" s="1186">
        <v>1</v>
      </c>
    </row>
  </sheetData>
  <pageMargins left="0.7" right="0.7" top="0.75" bottom="0.75" header="0.3" footer="0.3"/>
  <pageSetup paperSize="9" fitToHeight="50" orientation="landscape" r:id="rId1"/>
  <legacyDrawing r:id="rId2"/>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pageSetUpPr fitToPage="1"/>
  </sheetPr>
  <dimension ref="A1:H1025"/>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26.28515625" bestFit="1" customWidth="1"/>
    <col min="2" max="2" width="7.42578125" bestFit="1" customWidth="1"/>
    <col min="3" max="3" width="19.5703125" bestFit="1" customWidth="1"/>
    <col min="4" max="4" width="4.85546875" bestFit="1" customWidth="1"/>
    <col min="5" max="5" width="9" bestFit="1" customWidth="1"/>
    <col min="6" max="6" width="14.5703125" bestFit="1" customWidth="1"/>
    <col min="7" max="7" width="13" bestFit="1" customWidth="1"/>
    <col min="8" max="8" width="7.85546875" bestFit="1" customWidth="1"/>
  </cols>
  <sheetData>
    <row r="1" spans="1:8" x14ac:dyDescent="0.2"/>
    <row r="4" spans="1:8" x14ac:dyDescent="0.2">
      <c r="A4" s="1223" t="s">
        <v>1111</v>
      </c>
      <c r="B4" s="1223" t="s">
        <v>4</v>
      </c>
      <c r="C4" s="1223" t="s">
        <v>1627</v>
      </c>
      <c r="D4" s="1223" t="s">
        <v>11</v>
      </c>
      <c r="E4" s="1223" t="s">
        <v>828</v>
      </c>
      <c r="F4" s="1223" t="s">
        <v>850</v>
      </c>
      <c r="G4" s="1223" t="s">
        <v>851</v>
      </c>
      <c r="H4" s="1223" t="s">
        <v>852</v>
      </c>
    </row>
    <row r="5" spans="1:8" x14ac:dyDescent="0.2">
      <c r="A5" s="1186" t="s">
        <v>341</v>
      </c>
      <c r="B5" s="1186" t="s">
        <v>19</v>
      </c>
      <c r="C5" s="1186" t="s">
        <v>23</v>
      </c>
      <c r="D5" s="1186">
        <v>56</v>
      </c>
      <c r="E5" s="1186">
        <v>50</v>
      </c>
      <c r="F5" s="1186">
        <v>2</v>
      </c>
      <c r="G5" s="1186">
        <v>3</v>
      </c>
      <c r="H5" s="1186">
        <v>1</v>
      </c>
    </row>
    <row r="6" spans="1:8" x14ac:dyDescent="0.2">
      <c r="A6" s="1186" t="s">
        <v>341</v>
      </c>
      <c r="B6" s="1186" t="s">
        <v>19</v>
      </c>
      <c r="C6" s="1186" t="s">
        <v>24</v>
      </c>
      <c r="D6" s="1186">
        <v>51</v>
      </c>
      <c r="E6" s="1186">
        <v>33</v>
      </c>
      <c r="F6" s="1186">
        <v>9</v>
      </c>
      <c r="G6" s="1186">
        <v>6</v>
      </c>
      <c r="H6" s="1186">
        <v>3</v>
      </c>
    </row>
    <row r="7" spans="1:8" x14ac:dyDescent="0.2">
      <c r="A7" s="1186" t="s">
        <v>341</v>
      </c>
      <c r="B7" s="1186" t="s">
        <v>19</v>
      </c>
      <c r="C7" s="1186" t="s">
        <v>25</v>
      </c>
      <c r="D7" s="1186">
        <v>21</v>
      </c>
      <c r="E7" s="1186">
        <v>17</v>
      </c>
      <c r="F7" s="1186">
        <v>1</v>
      </c>
      <c r="G7" s="1186">
        <v>3</v>
      </c>
      <c r="H7" s="1186"/>
    </row>
    <row r="8" spans="1:8" x14ac:dyDescent="0.2">
      <c r="A8" s="1186" t="s">
        <v>341</v>
      </c>
      <c r="B8" s="1186" t="s">
        <v>19</v>
      </c>
      <c r="C8" s="1186" t="s">
        <v>26</v>
      </c>
      <c r="D8" s="1186">
        <v>3</v>
      </c>
      <c r="E8" s="1186">
        <v>2</v>
      </c>
      <c r="F8" s="1186"/>
      <c r="G8" s="1186">
        <v>1</v>
      </c>
      <c r="H8" s="1186"/>
    </row>
    <row r="9" spans="1:8" x14ac:dyDescent="0.2">
      <c r="A9" s="1186" t="s">
        <v>341</v>
      </c>
      <c r="B9" s="1186" t="s">
        <v>19</v>
      </c>
      <c r="C9" s="1186" t="s">
        <v>619</v>
      </c>
      <c r="D9" s="1186">
        <v>163</v>
      </c>
      <c r="E9" s="1186">
        <v>143</v>
      </c>
      <c r="F9" s="1186">
        <v>14</v>
      </c>
      <c r="G9" s="1186">
        <v>5</v>
      </c>
      <c r="H9" s="1186">
        <v>1</v>
      </c>
    </row>
    <row r="10" spans="1:8" x14ac:dyDescent="0.2">
      <c r="A10" s="1186" t="s">
        <v>341</v>
      </c>
      <c r="B10" s="1186" t="s">
        <v>19</v>
      </c>
      <c r="C10" s="1186" t="s">
        <v>27</v>
      </c>
      <c r="D10" s="1186">
        <v>10</v>
      </c>
      <c r="E10" s="1186">
        <v>10</v>
      </c>
      <c r="F10" s="1186"/>
      <c r="G10" s="1186"/>
      <c r="H10" s="1186"/>
    </row>
    <row r="11" spans="1:8" x14ac:dyDescent="0.2">
      <c r="A11" s="1186" t="s">
        <v>341</v>
      </c>
      <c r="B11" s="1186" t="s">
        <v>19</v>
      </c>
      <c r="C11" s="1186" t="s">
        <v>28</v>
      </c>
      <c r="D11" s="1186">
        <v>17</v>
      </c>
      <c r="E11" s="1186">
        <v>11</v>
      </c>
      <c r="F11" s="1186">
        <v>3</v>
      </c>
      <c r="G11" s="1186">
        <v>2</v>
      </c>
      <c r="H11" s="1186">
        <v>1</v>
      </c>
    </row>
    <row r="12" spans="1:8" x14ac:dyDescent="0.2">
      <c r="A12" s="1186" t="s">
        <v>341</v>
      </c>
      <c r="B12" s="1186" t="s">
        <v>19</v>
      </c>
      <c r="C12" s="1186" t="s">
        <v>29</v>
      </c>
      <c r="D12" s="1186">
        <v>44</v>
      </c>
      <c r="E12" s="1186">
        <v>42</v>
      </c>
      <c r="F12" s="1186">
        <v>2</v>
      </c>
      <c r="G12" s="1186"/>
      <c r="H12" s="1186"/>
    </row>
    <row r="13" spans="1:8" x14ac:dyDescent="0.2">
      <c r="A13" s="1186" t="s">
        <v>341</v>
      </c>
      <c r="B13" s="1186" t="s">
        <v>19</v>
      </c>
      <c r="C13" s="1186" t="s">
        <v>30</v>
      </c>
      <c r="D13" s="1186">
        <v>15</v>
      </c>
      <c r="E13" s="1186">
        <v>13</v>
      </c>
      <c r="F13" s="1186">
        <v>1</v>
      </c>
      <c r="G13" s="1186"/>
      <c r="H13" s="1186">
        <v>1</v>
      </c>
    </row>
    <row r="14" spans="1:8" x14ac:dyDescent="0.2">
      <c r="A14" s="1186" t="s">
        <v>341</v>
      </c>
      <c r="B14" s="1186" t="s">
        <v>19</v>
      </c>
      <c r="C14" s="1186" t="s">
        <v>31</v>
      </c>
      <c r="D14" s="1186">
        <v>5</v>
      </c>
      <c r="E14" s="1186">
        <v>4</v>
      </c>
      <c r="F14" s="1186">
        <v>1</v>
      </c>
      <c r="G14" s="1186"/>
      <c r="H14" s="1186"/>
    </row>
    <row r="15" spans="1:8" x14ac:dyDescent="0.2">
      <c r="A15" s="1186" t="s">
        <v>341</v>
      </c>
      <c r="B15" s="1186" t="s">
        <v>19</v>
      </c>
      <c r="C15" s="1186" t="s">
        <v>32</v>
      </c>
      <c r="D15" s="1186">
        <v>24</v>
      </c>
      <c r="E15" s="1186">
        <v>20</v>
      </c>
      <c r="F15" s="1186">
        <v>1</v>
      </c>
      <c r="G15" s="1186">
        <v>3</v>
      </c>
      <c r="H15" s="1186"/>
    </row>
    <row r="16" spans="1:8" x14ac:dyDescent="0.2">
      <c r="A16" s="1186" t="s">
        <v>341</v>
      </c>
      <c r="B16" s="1186" t="s">
        <v>19</v>
      </c>
      <c r="C16" s="1186" t="s">
        <v>33</v>
      </c>
      <c r="D16" s="1186">
        <v>5</v>
      </c>
      <c r="E16" s="1186"/>
      <c r="F16" s="1186">
        <v>2</v>
      </c>
      <c r="G16" s="1186">
        <v>3</v>
      </c>
      <c r="H16" s="1186"/>
    </row>
    <row r="17" spans="1:8" x14ac:dyDescent="0.2">
      <c r="A17" s="1186" t="s">
        <v>341</v>
      </c>
      <c r="B17" s="1186" t="s">
        <v>19</v>
      </c>
      <c r="C17" s="1186" t="s">
        <v>34</v>
      </c>
      <c r="D17" s="1186">
        <v>18</v>
      </c>
      <c r="E17" s="1186">
        <v>14</v>
      </c>
      <c r="F17" s="1186">
        <v>2</v>
      </c>
      <c r="G17" s="1186">
        <v>2</v>
      </c>
      <c r="H17" s="1186"/>
    </row>
    <row r="18" spans="1:8" x14ac:dyDescent="0.2">
      <c r="A18" s="1186" t="s">
        <v>341</v>
      </c>
      <c r="B18" s="1186" t="s">
        <v>19</v>
      </c>
      <c r="C18" s="1186" t="s">
        <v>35</v>
      </c>
      <c r="D18" s="1186">
        <v>58</v>
      </c>
      <c r="E18" s="1186">
        <v>43</v>
      </c>
      <c r="F18" s="1186">
        <v>5</v>
      </c>
      <c r="G18" s="1186">
        <v>6</v>
      </c>
      <c r="H18" s="1186">
        <v>4</v>
      </c>
    </row>
    <row r="19" spans="1:8" x14ac:dyDescent="0.2">
      <c r="A19" s="1186" t="s">
        <v>341</v>
      </c>
      <c r="B19" s="1186" t="s">
        <v>19</v>
      </c>
      <c r="C19" s="1186" t="s">
        <v>36</v>
      </c>
      <c r="D19" s="1186">
        <v>115</v>
      </c>
      <c r="E19" s="1186">
        <v>102</v>
      </c>
      <c r="F19" s="1186">
        <v>8</v>
      </c>
      <c r="G19" s="1186">
        <v>4</v>
      </c>
      <c r="H19" s="1186">
        <v>1</v>
      </c>
    </row>
    <row r="20" spans="1:8" x14ac:dyDescent="0.2">
      <c r="A20" s="1186" t="s">
        <v>341</v>
      </c>
      <c r="B20" s="1186" t="s">
        <v>19</v>
      </c>
      <c r="C20" s="1186" t="s">
        <v>37</v>
      </c>
      <c r="D20" s="1186">
        <v>26</v>
      </c>
      <c r="E20" s="1186">
        <v>19</v>
      </c>
      <c r="F20" s="1186">
        <v>3</v>
      </c>
      <c r="G20" s="1186">
        <v>2</v>
      </c>
      <c r="H20" s="1186">
        <v>2</v>
      </c>
    </row>
    <row r="21" spans="1:8" x14ac:dyDescent="0.2">
      <c r="A21" s="1186" t="s">
        <v>341</v>
      </c>
      <c r="B21" s="1186" t="s">
        <v>19</v>
      </c>
      <c r="C21" s="1186" t="s">
        <v>38</v>
      </c>
      <c r="D21" s="1186">
        <v>31</v>
      </c>
      <c r="E21" s="1186">
        <v>30</v>
      </c>
      <c r="F21" s="1186"/>
      <c r="G21" s="1186"/>
      <c r="H21" s="1186">
        <v>1</v>
      </c>
    </row>
    <row r="22" spans="1:8" x14ac:dyDescent="0.2">
      <c r="A22" s="1186" t="s">
        <v>341</v>
      </c>
      <c r="B22" s="1186" t="s">
        <v>19</v>
      </c>
      <c r="C22" s="1186" t="s">
        <v>39</v>
      </c>
      <c r="D22" s="1186">
        <v>21</v>
      </c>
      <c r="E22" s="1186">
        <v>14</v>
      </c>
      <c r="F22" s="1186">
        <v>2</v>
      </c>
      <c r="G22" s="1186">
        <v>3</v>
      </c>
      <c r="H22" s="1186">
        <v>2</v>
      </c>
    </row>
    <row r="23" spans="1:8" x14ac:dyDescent="0.2">
      <c r="A23" s="1186" t="s">
        <v>341</v>
      </c>
      <c r="B23" s="1186" t="s">
        <v>19</v>
      </c>
      <c r="C23" s="1186" t="s">
        <v>40</v>
      </c>
      <c r="D23" s="1186">
        <v>31</v>
      </c>
      <c r="E23" s="1186">
        <v>20</v>
      </c>
      <c r="F23" s="1186">
        <v>1</v>
      </c>
      <c r="G23" s="1186">
        <v>6</v>
      </c>
      <c r="H23" s="1186">
        <v>4</v>
      </c>
    </row>
    <row r="24" spans="1:8" x14ac:dyDescent="0.2">
      <c r="A24" s="1186" t="s">
        <v>341</v>
      </c>
      <c r="B24" s="1186" t="s">
        <v>19</v>
      </c>
      <c r="C24" s="1186" t="s">
        <v>295</v>
      </c>
      <c r="D24" s="1186">
        <v>11</v>
      </c>
      <c r="E24" s="1186">
        <v>10</v>
      </c>
      <c r="F24" s="1186">
        <v>1</v>
      </c>
      <c r="G24" s="1186"/>
      <c r="H24" s="1186"/>
    </row>
    <row r="25" spans="1:8" x14ac:dyDescent="0.2">
      <c r="A25" s="1186" t="s">
        <v>341</v>
      </c>
      <c r="B25" s="1186" t="s">
        <v>19</v>
      </c>
      <c r="C25" s="1186" t="s">
        <v>41</v>
      </c>
      <c r="D25" s="1186">
        <v>18</v>
      </c>
      <c r="E25" s="1186">
        <v>16</v>
      </c>
      <c r="F25" s="1186">
        <v>1</v>
      </c>
      <c r="G25" s="1186"/>
      <c r="H25" s="1186">
        <v>1</v>
      </c>
    </row>
    <row r="26" spans="1:8" x14ac:dyDescent="0.2">
      <c r="A26" s="1186" t="s">
        <v>341</v>
      </c>
      <c r="B26" s="1186" t="s">
        <v>19</v>
      </c>
      <c r="C26" s="1186" t="s">
        <v>42</v>
      </c>
      <c r="D26" s="1186">
        <v>32</v>
      </c>
      <c r="E26" s="1186">
        <v>27</v>
      </c>
      <c r="F26" s="1186">
        <v>2</v>
      </c>
      <c r="G26" s="1186">
        <v>2</v>
      </c>
      <c r="H26" s="1186">
        <v>1</v>
      </c>
    </row>
    <row r="27" spans="1:8" x14ac:dyDescent="0.2">
      <c r="A27" s="1186" t="s">
        <v>341</v>
      </c>
      <c r="B27" s="1186" t="s">
        <v>19</v>
      </c>
      <c r="C27" s="1186" t="s">
        <v>43</v>
      </c>
      <c r="D27" s="1186">
        <v>1</v>
      </c>
      <c r="E27" s="1186">
        <v>1</v>
      </c>
      <c r="F27" s="1186"/>
      <c r="G27" s="1186"/>
      <c r="H27" s="1186"/>
    </row>
    <row r="28" spans="1:8" x14ac:dyDescent="0.2">
      <c r="A28" s="1186" t="s">
        <v>341</v>
      </c>
      <c r="B28" s="1186" t="s">
        <v>19</v>
      </c>
      <c r="C28" s="1186" t="s">
        <v>44</v>
      </c>
      <c r="D28" s="1186">
        <v>20</v>
      </c>
      <c r="E28" s="1186">
        <v>9</v>
      </c>
      <c r="F28" s="1186">
        <v>9</v>
      </c>
      <c r="G28" s="1186"/>
      <c r="H28" s="1186">
        <v>2</v>
      </c>
    </row>
    <row r="29" spans="1:8" x14ac:dyDescent="0.2">
      <c r="A29" s="1186" t="s">
        <v>341</v>
      </c>
      <c r="B29" s="1186" t="s">
        <v>19</v>
      </c>
      <c r="C29" s="1186" t="s">
        <v>45</v>
      </c>
      <c r="D29" s="1186">
        <v>18</v>
      </c>
      <c r="E29" s="1186">
        <v>11</v>
      </c>
      <c r="F29" s="1186">
        <v>3</v>
      </c>
      <c r="G29" s="1186">
        <v>4</v>
      </c>
      <c r="H29" s="1186"/>
    </row>
    <row r="30" spans="1:8" x14ac:dyDescent="0.2">
      <c r="A30" s="1186" t="s">
        <v>341</v>
      </c>
      <c r="B30" s="1186" t="s">
        <v>19</v>
      </c>
      <c r="C30" s="1186" t="s">
        <v>46</v>
      </c>
      <c r="D30" s="1186">
        <v>29</v>
      </c>
      <c r="E30" s="1186">
        <v>25</v>
      </c>
      <c r="F30" s="1186">
        <v>1</v>
      </c>
      <c r="G30" s="1186">
        <v>3</v>
      </c>
      <c r="H30" s="1186"/>
    </row>
    <row r="31" spans="1:8" x14ac:dyDescent="0.2">
      <c r="A31" s="1186" t="s">
        <v>341</v>
      </c>
      <c r="B31" s="1186" t="s">
        <v>19</v>
      </c>
      <c r="C31" s="1186" t="s">
        <v>48</v>
      </c>
      <c r="D31" s="1186">
        <v>8</v>
      </c>
      <c r="E31" s="1186">
        <v>8</v>
      </c>
      <c r="F31" s="1186"/>
      <c r="G31" s="1186"/>
      <c r="H31" s="1186"/>
    </row>
    <row r="32" spans="1:8" x14ac:dyDescent="0.2">
      <c r="A32" s="1186" t="s">
        <v>341</v>
      </c>
      <c r="B32" s="1186" t="s">
        <v>19</v>
      </c>
      <c r="C32" s="1186" t="s">
        <v>49</v>
      </c>
      <c r="D32" s="1186">
        <v>31</v>
      </c>
      <c r="E32" s="1186">
        <v>31</v>
      </c>
      <c r="F32" s="1186"/>
      <c r="G32" s="1186"/>
      <c r="H32" s="1186"/>
    </row>
    <row r="33" spans="1:8" x14ac:dyDescent="0.2">
      <c r="A33" s="1186" t="s">
        <v>341</v>
      </c>
      <c r="B33" s="1186" t="s">
        <v>19</v>
      </c>
      <c r="C33" s="1186" t="s">
        <v>50</v>
      </c>
      <c r="D33" s="1186">
        <v>12</v>
      </c>
      <c r="E33" s="1186">
        <v>9</v>
      </c>
      <c r="F33" s="1186">
        <v>3</v>
      </c>
      <c r="G33" s="1186"/>
      <c r="H33" s="1186"/>
    </row>
    <row r="34" spans="1:8" x14ac:dyDescent="0.2">
      <c r="A34" s="1186" t="s">
        <v>341</v>
      </c>
      <c r="B34" s="1186" t="s">
        <v>19</v>
      </c>
      <c r="C34" s="1186" t="s">
        <v>51</v>
      </c>
      <c r="D34" s="1186">
        <v>12</v>
      </c>
      <c r="E34" s="1186">
        <v>11</v>
      </c>
      <c r="F34" s="1186"/>
      <c r="G34" s="1186"/>
      <c r="H34" s="1186">
        <v>1</v>
      </c>
    </row>
    <row r="35" spans="1:8" x14ac:dyDescent="0.2">
      <c r="A35" s="1186" t="s">
        <v>341</v>
      </c>
      <c r="B35" s="1186" t="s">
        <v>19</v>
      </c>
      <c r="C35" s="1186" t="s">
        <v>52</v>
      </c>
      <c r="D35" s="1186">
        <v>50</v>
      </c>
      <c r="E35" s="1186">
        <v>42</v>
      </c>
      <c r="F35" s="1186">
        <v>7</v>
      </c>
      <c r="G35" s="1186">
        <v>1</v>
      </c>
      <c r="H35" s="1186"/>
    </row>
    <row r="36" spans="1:8" x14ac:dyDescent="0.2">
      <c r="A36" s="1186" t="s">
        <v>341</v>
      </c>
      <c r="B36" s="1186" t="s">
        <v>20</v>
      </c>
      <c r="C36" s="1186" t="s">
        <v>23</v>
      </c>
      <c r="D36" s="1186">
        <v>69</v>
      </c>
      <c r="E36" s="1186">
        <v>62</v>
      </c>
      <c r="F36" s="1186">
        <v>4</v>
      </c>
      <c r="G36" s="1186">
        <v>2</v>
      </c>
      <c r="H36" s="1186">
        <v>1</v>
      </c>
    </row>
    <row r="37" spans="1:8" x14ac:dyDescent="0.2">
      <c r="A37" s="1186" t="s">
        <v>341</v>
      </c>
      <c r="B37" s="1186" t="s">
        <v>20</v>
      </c>
      <c r="C37" s="1186" t="s">
        <v>24</v>
      </c>
      <c r="D37" s="1186">
        <v>36</v>
      </c>
      <c r="E37" s="1186">
        <v>26</v>
      </c>
      <c r="F37" s="1186">
        <v>6</v>
      </c>
      <c r="G37" s="1186">
        <v>4</v>
      </c>
      <c r="H37" s="1186"/>
    </row>
    <row r="38" spans="1:8" x14ac:dyDescent="0.2">
      <c r="A38" s="1186" t="s">
        <v>341</v>
      </c>
      <c r="B38" s="1186" t="s">
        <v>20</v>
      </c>
      <c r="C38" s="1186" t="s">
        <v>25</v>
      </c>
      <c r="D38" s="1186">
        <v>10</v>
      </c>
      <c r="E38" s="1186">
        <v>9</v>
      </c>
      <c r="F38" s="1186"/>
      <c r="G38" s="1186"/>
      <c r="H38" s="1186">
        <v>1</v>
      </c>
    </row>
    <row r="39" spans="1:8" x14ac:dyDescent="0.2">
      <c r="A39" s="1186" t="s">
        <v>341</v>
      </c>
      <c r="B39" s="1186" t="s">
        <v>20</v>
      </c>
      <c r="C39" s="1186" t="s">
        <v>26</v>
      </c>
      <c r="D39" s="1186">
        <v>11</v>
      </c>
      <c r="E39" s="1186">
        <v>11</v>
      </c>
      <c r="F39" s="1186"/>
      <c r="G39" s="1186"/>
      <c r="H39" s="1186"/>
    </row>
    <row r="40" spans="1:8" x14ac:dyDescent="0.2">
      <c r="A40" s="1186" t="s">
        <v>341</v>
      </c>
      <c r="B40" s="1186" t="s">
        <v>20</v>
      </c>
      <c r="C40" s="1186" t="s">
        <v>619</v>
      </c>
      <c r="D40" s="1186">
        <v>213</v>
      </c>
      <c r="E40" s="1186">
        <v>199</v>
      </c>
      <c r="F40" s="1186">
        <v>13</v>
      </c>
      <c r="G40" s="1186"/>
      <c r="H40" s="1186">
        <v>1</v>
      </c>
    </row>
    <row r="41" spans="1:8" x14ac:dyDescent="0.2">
      <c r="A41" s="1186" t="s">
        <v>341</v>
      </c>
      <c r="B41" s="1186" t="s">
        <v>20</v>
      </c>
      <c r="C41" s="1186" t="s">
        <v>27</v>
      </c>
      <c r="D41" s="1186">
        <v>6</v>
      </c>
      <c r="E41" s="1186">
        <v>4</v>
      </c>
      <c r="F41" s="1186">
        <v>1</v>
      </c>
      <c r="G41" s="1186"/>
      <c r="H41" s="1186">
        <v>1</v>
      </c>
    </row>
    <row r="42" spans="1:8" x14ac:dyDescent="0.2">
      <c r="A42" s="1186" t="s">
        <v>341</v>
      </c>
      <c r="B42" s="1186" t="s">
        <v>20</v>
      </c>
      <c r="C42" s="1186" t="s">
        <v>28</v>
      </c>
      <c r="D42" s="1186">
        <v>12</v>
      </c>
      <c r="E42" s="1186">
        <v>9</v>
      </c>
      <c r="F42" s="1186">
        <v>2</v>
      </c>
      <c r="G42" s="1186">
        <v>1</v>
      </c>
      <c r="H42" s="1186"/>
    </row>
    <row r="43" spans="1:8" x14ac:dyDescent="0.2">
      <c r="A43" s="1186" t="s">
        <v>341</v>
      </c>
      <c r="B43" s="1186" t="s">
        <v>20</v>
      </c>
      <c r="C43" s="1186" t="s">
        <v>29</v>
      </c>
      <c r="D43" s="1186">
        <v>38</v>
      </c>
      <c r="E43" s="1186">
        <v>34</v>
      </c>
      <c r="F43" s="1186">
        <v>3</v>
      </c>
      <c r="G43" s="1186"/>
      <c r="H43" s="1186">
        <v>1</v>
      </c>
    </row>
    <row r="44" spans="1:8" x14ac:dyDescent="0.2">
      <c r="A44" s="1186" t="s">
        <v>341</v>
      </c>
      <c r="B44" s="1186" t="s">
        <v>20</v>
      </c>
      <c r="C44" s="1186" t="s">
        <v>30</v>
      </c>
      <c r="D44" s="1186">
        <v>14</v>
      </c>
      <c r="E44" s="1186">
        <v>12</v>
      </c>
      <c r="F44" s="1186">
        <v>2</v>
      </c>
      <c r="G44" s="1186"/>
      <c r="H44" s="1186"/>
    </row>
    <row r="45" spans="1:8" x14ac:dyDescent="0.2">
      <c r="A45" s="1186" t="s">
        <v>341</v>
      </c>
      <c r="B45" s="1186" t="s">
        <v>20</v>
      </c>
      <c r="C45" s="1186" t="s">
        <v>31</v>
      </c>
      <c r="D45" s="1186">
        <v>11</v>
      </c>
      <c r="E45" s="1186">
        <v>6</v>
      </c>
      <c r="F45" s="1186">
        <v>5</v>
      </c>
      <c r="G45" s="1186"/>
      <c r="H45" s="1186"/>
    </row>
    <row r="46" spans="1:8" x14ac:dyDescent="0.2">
      <c r="A46" s="1186" t="s">
        <v>341</v>
      </c>
      <c r="B46" s="1186" t="s">
        <v>20</v>
      </c>
      <c r="C46" s="1186" t="s">
        <v>32</v>
      </c>
      <c r="D46" s="1186">
        <v>17</v>
      </c>
      <c r="E46" s="1186">
        <v>16</v>
      </c>
      <c r="F46" s="1186"/>
      <c r="G46" s="1186"/>
      <c r="H46" s="1186">
        <v>1</v>
      </c>
    </row>
    <row r="47" spans="1:8" x14ac:dyDescent="0.2">
      <c r="A47" s="1186" t="s">
        <v>341</v>
      </c>
      <c r="B47" s="1186" t="s">
        <v>20</v>
      </c>
      <c r="C47" s="1186" t="s">
        <v>33</v>
      </c>
      <c r="D47" s="1186">
        <v>15</v>
      </c>
      <c r="E47" s="1186">
        <v>14</v>
      </c>
      <c r="F47" s="1186"/>
      <c r="G47" s="1186">
        <v>1</v>
      </c>
      <c r="H47" s="1186"/>
    </row>
    <row r="48" spans="1:8" x14ac:dyDescent="0.2">
      <c r="A48" s="1186" t="s">
        <v>341</v>
      </c>
      <c r="B48" s="1186" t="s">
        <v>20</v>
      </c>
      <c r="C48" s="1186" t="s">
        <v>34</v>
      </c>
      <c r="D48" s="1186">
        <v>24</v>
      </c>
      <c r="E48" s="1186">
        <v>18</v>
      </c>
      <c r="F48" s="1186">
        <v>3</v>
      </c>
      <c r="G48" s="1186">
        <v>1</v>
      </c>
      <c r="H48" s="1186">
        <v>2</v>
      </c>
    </row>
    <row r="49" spans="1:8" x14ac:dyDescent="0.2">
      <c r="A49" s="1186" t="s">
        <v>341</v>
      </c>
      <c r="B49" s="1186" t="s">
        <v>20</v>
      </c>
      <c r="C49" s="1186" t="s">
        <v>35</v>
      </c>
      <c r="D49" s="1186">
        <v>52</v>
      </c>
      <c r="E49" s="1186">
        <v>40</v>
      </c>
      <c r="F49" s="1186">
        <v>6</v>
      </c>
      <c r="G49" s="1186">
        <v>1</v>
      </c>
      <c r="H49" s="1186">
        <v>5</v>
      </c>
    </row>
    <row r="50" spans="1:8" x14ac:dyDescent="0.2">
      <c r="A50" s="1186" t="s">
        <v>341</v>
      </c>
      <c r="B50" s="1186" t="s">
        <v>20</v>
      </c>
      <c r="C50" s="1186" t="s">
        <v>36</v>
      </c>
      <c r="D50" s="1186">
        <v>133</v>
      </c>
      <c r="E50" s="1186">
        <v>120</v>
      </c>
      <c r="F50" s="1186">
        <v>12</v>
      </c>
      <c r="G50" s="1186">
        <v>1</v>
      </c>
      <c r="H50" s="1186"/>
    </row>
    <row r="51" spans="1:8" x14ac:dyDescent="0.2">
      <c r="A51" s="1186" t="s">
        <v>341</v>
      </c>
      <c r="B51" s="1186" t="s">
        <v>20</v>
      </c>
      <c r="C51" s="1186" t="s">
        <v>37</v>
      </c>
      <c r="D51" s="1186">
        <v>39</v>
      </c>
      <c r="E51" s="1186">
        <v>28</v>
      </c>
      <c r="F51" s="1186">
        <v>2</v>
      </c>
      <c r="G51" s="1186">
        <v>2</v>
      </c>
      <c r="H51" s="1186">
        <v>7</v>
      </c>
    </row>
    <row r="52" spans="1:8" x14ac:dyDescent="0.2">
      <c r="A52" s="1186" t="s">
        <v>341</v>
      </c>
      <c r="B52" s="1186" t="s">
        <v>20</v>
      </c>
      <c r="C52" s="1186" t="s">
        <v>38</v>
      </c>
      <c r="D52" s="1186">
        <v>21</v>
      </c>
      <c r="E52" s="1186">
        <v>17</v>
      </c>
      <c r="F52" s="1186">
        <v>3</v>
      </c>
      <c r="G52" s="1186"/>
      <c r="H52" s="1186">
        <v>1</v>
      </c>
    </row>
    <row r="53" spans="1:8" x14ac:dyDescent="0.2">
      <c r="A53" s="1186" t="s">
        <v>341</v>
      </c>
      <c r="B53" s="1186" t="s">
        <v>20</v>
      </c>
      <c r="C53" s="1186" t="s">
        <v>39</v>
      </c>
      <c r="D53" s="1186">
        <v>15</v>
      </c>
      <c r="E53" s="1186">
        <v>14</v>
      </c>
      <c r="F53" s="1186"/>
      <c r="G53" s="1186"/>
      <c r="H53" s="1186">
        <v>1</v>
      </c>
    </row>
    <row r="54" spans="1:8" x14ac:dyDescent="0.2">
      <c r="A54" s="1186" t="s">
        <v>341</v>
      </c>
      <c r="B54" s="1186" t="s">
        <v>20</v>
      </c>
      <c r="C54" s="1186" t="s">
        <v>40</v>
      </c>
      <c r="D54" s="1186">
        <v>41</v>
      </c>
      <c r="E54" s="1186">
        <v>34</v>
      </c>
      <c r="F54" s="1186">
        <v>3</v>
      </c>
      <c r="G54" s="1186">
        <v>2</v>
      </c>
      <c r="H54" s="1186">
        <v>2</v>
      </c>
    </row>
    <row r="55" spans="1:8" x14ac:dyDescent="0.2">
      <c r="A55" s="1186" t="s">
        <v>341</v>
      </c>
      <c r="B55" s="1186" t="s">
        <v>20</v>
      </c>
      <c r="C55" s="1186" t="s">
        <v>295</v>
      </c>
      <c r="D55" s="1186">
        <v>3</v>
      </c>
      <c r="E55" s="1186">
        <v>3</v>
      </c>
      <c r="F55" s="1186"/>
      <c r="G55" s="1186"/>
      <c r="H55" s="1186"/>
    </row>
    <row r="56" spans="1:8" x14ac:dyDescent="0.2">
      <c r="A56" s="1186" t="s">
        <v>341</v>
      </c>
      <c r="B56" s="1186" t="s">
        <v>20</v>
      </c>
      <c r="C56" s="1186" t="s">
        <v>41</v>
      </c>
      <c r="D56" s="1186">
        <v>33</v>
      </c>
      <c r="E56" s="1186">
        <v>32</v>
      </c>
      <c r="F56" s="1186">
        <v>1</v>
      </c>
      <c r="G56" s="1186"/>
      <c r="H56" s="1186"/>
    </row>
    <row r="57" spans="1:8" x14ac:dyDescent="0.2">
      <c r="A57" s="1186" t="s">
        <v>341</v>
      </c>
      <c r="B57" s="1186" t="s">
        <v>20</v>
      </c>
      <c r="C57" s="1186" t="s">
        <v>42</v>
      </c>
      <c r="D57" s="1186">
        <v>50</v>
      </c>
      <c r="E57" s="1186">
        <v>45</v>
      </c>
      <c r="F57" s="1186">
        <v>2</v>
      </c>
      <c r="G57" s="1186">
        <v>3</v>
      </c>
      <c r="H57" s="1186"/>
    </row>
    <row r="58" spans="1:8" x14ac:dyDescent="0.2">
      <c r="A58" s="1186" t="s">
        <v>341</v>
      </c>
      <c r="B58" s="1186" t="s">
        <v>20</v>
      </c>
      <c r="C58" s="1186" t="s">
        <v>43</v>
      </c>
      <c r="D58" s="1186">
        <v>1</v>
      </c>
      <c r="E58" s="1186"/>
      <c r="F58" s="1186"/>
      <c r="G58" s="1186">
        <v>1</v>
      </c>
      <c r="H58" s="1186"/>
    </row>
    <row r="59" spans="1:8" x14ac:dyDescent="0.2">
      <c r="A59" s="1186" t="s">
        <v>341</v>
      </c>
      <c r="B59" s="1186" t="s">
        <v>20</v>
      </c>
      <c r="C59" s="1186" t="s">
        <v>44</v>
      </c>
      <c r="D59" s="1186">
        <v>19</v>
      </c>
      <c r="E59" s="1186">
        <v>15</v>
      </c>
      <c r="F59" s="1186">
        <v>1</v>
      </c>
      <c r="G59" s="1186">
        <v>3</v>
      </c>
      <c r="H59" s="1186"/>
    </row>
    <row r="60" spans="1:8" x14ac:dyDescent="0.2">
      <c r="A60" s="1186" t="s">
        <v>341</v>
      </c>
      <c r="B60" s="1186" t="s">
        <v>20</v>
      </c>
      <c r="C60" s="1186" t="s">
        <v>45</v>
      </c>
      <c r="D60" s="1186">
        <v>53</v>
      </c>
      <c r="E60" s="1186">
        <v>42</v>
      </c>
      <c r="F60" s="1186">
        <v>3</v>
      </c>
      <c r="G60" s="1186">
        <v>6</v>
      </c>
      <c r="H60" s="1186">
        <v>2</v>
      </c>
    </row>
    <row r="61" spans="1:8" x14ac:dyDescent="0.2">
      <c r="A61" s="1186" t="s">
        <v>341</v>
      </c>
      <c r="B61" s="1186" t="s">
        <v>20</v>
      </c>
      <c r="C61" s="1186" t="s">
        <v>46</v>
      </c>
      <c r="D61" s="1186">
        <v>25</v>
      </c>
      <c r="E61" s="1186">
        <v>20</v>
      </c>
      <c r="F61" s="1186">
        <v>1</v>
      </c>
      <c r="G61" s="1186">
        <v>3</v>
      </c>
      <c r="H61" s="1186">
        <v>1</v>
      </c>
    </row>
    <row r="62" spans="1:8" x14ac:dyDescent="0.2">
      <c r="A62" s="1186" t="s">
        <v>341</v>
      </c>
      <c r="B62" s="1186" t="s">
        <v>20</v>
      </c>
      <c r="C62" s="1186" t="s">
        <v>47</v>
      </c>
      <c r="D62" s="1186">
        <v>3</v>
      </c>
      <c r="E62" s="1186">
        <v>2</v>
      </c>
      <c r="F62" s="1186"/>
      <c r="G62" s="1186"/>
      <c r="H62" s="1186">
        <v>1</v>
      </c>
    </row>
    <row r="63" spans="1:8" x14ac:dyDescent="0.2">
      <c r="A63" s="1186" t="s">
        <v>341</v>
      </c>
      <c r="B63" s="1186" t="s">
        <v>20</v>
      </c>
      <c r="C63" s="1186" t="s">
        <v>48</v>
      </c>
      <c r="D63" s="1186">
        <v>24</v>
      </c>
      <c r="E63" s="1186">
        <v>22</v>
      </c>
      <c r="F63" s="1186">
        <v>1</v>
      </c>
      <c r="G63" s="1186"/>
      <c r="H63" s="1186">
        <v>1</v>
      </c>
    </row>
    <row r="64" spans="1:8" x14ac:dyDescent="0.2">
      <c r="A64" s="1186" t="s">
        <v>341</v>
      </c>
      <c r="B64" s="1186" t="s">
        <v>20</v>
      </c>
      <c r="C64" s="1186" t="s">
        <v>49</v>
      </c>
      <c r="D64" s="1186">
        <v>38</v>
      </c>
      <c r="E64" s="1186">
        <v>31</v>
      </c>
      <c r="F64" s="1186">
        <v>2</v>
      </c>
      <c r="G64" s="1186">
        <v>4</v>
      </c>
      <c r="H64" s="1186">
        <v>1</v>
      </c>
    </row>
    <row r="65" spans="1:8" x14ac:dyDescent="0.2">
      <c r="A65" s="1186" t="s">
        <v>341</v>
      </c>
      <c r="B65" s="1186" t="s">
        <v>20</v>
      </c>
      <c r="C65" s="1186" t="s">
        <v>50</v>
      </c>
      <c r="D65" s="1186">
        <v>10</v>
      </c>
      <c r="E65" s="1186">
        <v>6</v>
      </c>
      <c r="F65" s="1186">
        <v>1</v>
      </c>
      <c r="G65" s="1186">
        <v>1</v>
      </c>
      <c r="H65" s="1186">
        <v>2</v>
      </c>
    </row>
    <row r="66" spans="1:8" x14ac:dyDescent="0.2">
      <c r="A66" s="1186" t="s">
        <v>341</v>
      </c>
      <c r="B66" s="1186" t="s">
        <v>20</v>
      </c>
      <c r="C66" s="1186" t="s">
        <v>51</v>
      </c>
      <c r="D66" s="1186">
        <v>9</v>
      </c>
      <c r="E66" s="1186">
        <v>9</v>
      </c>
      <c r="F66" s="1186"/>
      <c r="G66" s="1186"/>
      <c r="H66" s="1186"/>
    </row>
    <row r="67" spans="1:8" x14ac:dyDescent="0.2">
      <c r="A67" s="1186" t="s">
        <v>341</v>
      </c>
      <c r="B67" s="1186" t="s">
        <v>20</v>
      </c>
      <c r="C67" s="1186" t="s">
        <v>52</v>
      </c>
      <c r="D67" s="1186">
        <v>49</v>
      </c>
      <c r="E67" s="1186">
        <v>34</v>
      </c>
      <c r="F67" s="1186">
        <v>12</v>
      </c>
      <c r="G67" s="1186">
        <v>1</v>
      </c>
      <c r="H67" s="1186">
        <v>2</v>
      </c>
    </row>
    <row r="68" spans="1:8" x14ac:dyDescent="0.2">
      <c r="A68" s="1186" t="s">
        <v>341</v>
      </c>
      <c r="B68" s="1186" t="s">
        <v>13</v>
      </c>
      <c r="C68" s="1186" t="s">
        <v>23</v>
      </c>
      <c r="D68" s="1186">
        <v>75</v>
      </c>
      <c r="E68" s="1186">
        <v>68</v>
      </c>
      <c r="F68" s="1186">
        <v>1</v>
      </c>
      <c r="G68" s="1186">
        <v>4</v>
      </c>
      <c r="H68" s="1186">
        <v>2</v>
      </c>
    </row>
    <row r="69" spans="1:8" x14ac:dyDescent="0.2">
      <c r="A69" s="1186" t="s">
        <v>341</v>
      </c>
      <c r="B69" s="1186" t="s">
        <v>13</v>
      </c>
      <c r="C69" s="1186" t="s">
        <v>24</v>
      </c>
      <c r="D69" s="1186">
        <v>31</v>
      </c>
      <c r="E69" s="1186">
        <v>18</v>
      </c>
      <c r="F69" s="1186">
        <v>6</v>
      </c>
      <c r="G69" s="1186">
        <v>5</v>
      </c>
      <c r="H69" s="1186">
        <v>2</v>
      </c>
    </row>
    <row r="70" spans="1:8" x14ac:dyDescent="0.2">
      <c r="A70" s="1186" t="s">
        <v>341</v>
      </c>
      <c r="B70" s="1186" t="s">
        <v>13</v>
      </c>
      <c r="C70" s="1186" t="s">
        <v>25</v>
      </c>
      <c r="D70" s="1186">
        <v>17</v>
      </c>
      <c r="E70" s="1186">
        <v>10</v>
      </c>
      <c r="F70" s="1186">
        <v>3</v>
      </c>
      <c r="G70" s="1186">
        <v>2</v>
      </c>
      <c r="H70" s="1186">
        <v>2</v>
      </c>
    </row>
    <row r="71" spans="1:8" x14ac:dyDescent="0.2">
      <c r="A71" s="1186" t="s">
        <v>341</v>
      </c>
      <c r="B71" s="1186" t="s">
        <v>13</v>
      </c>
      <c r="C71" s="1186" t="s">
        <v>26</v>
      </c>
      <c r="D71" s="1186">
        <v>4</v>
      </c>
      <c r="E71" s="1186">
        <v>4</v>
      </c>
      <c r="F71" s="1186"/>
      <c r="G71" s="1186"/>
      <c r="H71" s="1186"/>
    </row>
    <row r="72" spans="1:8" x14ac:dyDescent="0.2">
      <c r="A72" s="1186" t="s">
        <v>341</v>
      </c>
      <c r="B72" s="1186" t="s">
        <v>13</v>
      </c>
      <c r="C72" s="1186" t="s">
        <v>619</v>
      </c>
      <c r="D72" s="1186">
        <v>207</v>
      </c>
      <c r="E72" s="1186">
        <v>193</v>
      </c>
      <c r="F72" s="1186">
        <v>13</v>
      </c>
      <c r="G72" s="1186">
        <v>1</v>
      </c>
      <c r="H72" s="1186"/>
    </row>
    <row r="73" spans="1:8" x14ac:dyDescent="0.2">
      <c r="A73" s="1186" t="s">
        <v>341</v>
      </c>
      <c r="B73" s="1186" t="s">
        <v>13</v>
      </c>
      <c r="C73" s="1186" t="s">
        <v>27</v>
      </c>
      <c r="D73" s="1186">
        <v>14</v>
      </c>
      <c r="E73" s="1186">
        <v>14</v>
      </c>
      <c r="F73" s="1186"/>
      <c r="G73" s="1186"/>
      <c r="H73" s="1186"/>
    </row>
    <row r="74" spans="1:8" x14ac:dyDescent="0.2">
      <c r="A74" s="1186" t="s">
        <v>341</v>
      </c>
      <c r="B74" s="1186" t="s">
        <v>13</v>
      </c>
      <c r="C74" s="1186" t="s">
        <v>28</v>
      </c>
      <c r="D74" s="1186">
        <v>22</v>
      </c>
      <c r="E74" s="1186">
        <v>22</v>
      </c>
      <c r="F74" s="1186"/>
      <c r="G74" s="1186"/>
      <c r="H74" s="1186"/>
    </row>
    <row r="75" spans="1:8" x14ac:dyDescent="0.2">
      <c r="A75" s="1186" t="s">
        <v>341</v>
      </c>
      <c r="B75" s="1186" t="s">
        <v>13</v>
      </c>
      <c r="C75" s="1186" t="s">
        <v>29</v>
      </c>
      <c r="D75" s="1186">
        <v>39</v>
      </c>
      <c r="E75" s="1186">
        <v>32</v>
      </c>
      <c r="F75" s="1186">
        <v>5</v>
      </c>
      <c r="G75" s="1186"/>
      <c r="H75" s="1186">
        <v>2</v>
      </c>
    </row>
    <row r="76" spans="1:8" x14ac:dyDescent="0.2">
      <c r="A76" s="1186" t="s">
        <v>341</v>
      </c>
      <c r="B76" s="1186" t="s">
        <v>13</v>
      </c>
      <c r="C76" s="1186" t="s">
        <v>30</v>
      </c>
      <c r="D76" s="1186">
        <v>15</v>
      </c>
      <c r="E76" s="1186">
        <v>15</v>
      </c>
      <c r="F76" s="1186"/>
      <c r="G76" s="1186"/>
      <c r="H76" s="1186"/>
    </row>
    <row r="77" spans="1:8" x14ac:dyDescent="0.2">
      <c r="A77" s="1186" t="s">
        <v>341</v>
      </c>
      <c r="B77" s="1186" t="s">
        <v>13</v>
      </c>
      <c r="C77" s="1186" t="s">
        <v>31</v>
      </c>
      <c r="D77" s="1186">
        <v>4</v>
      </c>
      <c r="E77" s="1186">
        <v>3</v>
      </c>
      <c r="F77" s="1186">
        <v>1</v>
      </c>
      <c r="G77" s="1186"/>
      <c r="H77" s="1186"/>
    </row>
    <row r="78" spans="1:8" x14ac:dyDescent="0.2">
      <c r="A78" s="1186" t="s">
        <v>341</v>
      </c>
      <c r="B78" s="1186" t="s">
        <v>13</v>
      </c>
      <c r="C78" s="1186" t="s">
        <v>32</v>
      </c>
      <c r="D78" s="1186">
        <v>21</v>
      </c>
      <c r="E78" s="1186">
        <v>17</v>
      </c>
      <c r="F78" s="1186">
        <v>4</v>
      </c>
      <c r="G78" s="1186"/>
      <c r="H78" s="1186"/>
    </row>
    <row r="79" spans="1:8" x14ac:dyDescent="0.2">
      <c r="A79" s="1186" t="s">
        <v>341</v>
      </c>
      <c r="B79" s="1186" t="s">
        <v>13</v>
      </c>
      <c r="C79" s="1186" t="s">
        <v>33</v>
      </c>
      <c r="D79" s="1186">
        <v>17</v>
      </c>
      <c r="E79" s="1186">
        <v>16</v>
      </c>
      <c r="F79" s="1186"/>
      <c r="G79" s="1186">
        <v>1</v>
      </c>
      <c r="H79" s="1186"/>
    </row>
    <row r="80" spans="1:8" x14ac:dyDescent="0.2">
      <c r="A80" s="1186" t="s">
        <v>341</v>
      </c>
      <c r="B80" s="1186" t="s">
        <v>13</v>
      </c>
      <c r="C80" s="1186" t="s">
        <v>34</v>
      </c>
      <c r="D80" s="1186">
        <v>15</v>
      </c>
      <c r="E80" s="1186">
        <v>12</v>
      </c>
      <c r="F80" s="1186"/>
      <c r="G80" s="1186">
        <v>3</v>
      </c>
      <c r="H80" s="1186"/>
    </row>
    <row r="81" spans="1:8" x14ac:dyDescent="0.2">
      <c r="A81" s="1186" t="s">
        <v>341</v>
      </c>
      <c r="B81" s="1186" t="s">
        <v>13</v>
      </c>
      <c r="C81" s="1186" t="s">
        <v>35</v>
      </c>
      <c r="D81" s="1186">
        <v>52</v>
      </c>
      <c r="E81" s="1186">
        <v>42</v>
      </c>
      <c r="F81" s="1186">
        <v>2</v>
      </c>
      <c r="G81" s="1186">
        <v>2</v>
      </c>
      <c r="H81" s="1186">
        <v>6</v>
      </c>
    </row>
    <row r="82" spans="1:8" x14ac:dyDescent="0.2">
      <c r="A82" s="1186" t="s">
        <v>341</v>
      </c>
      <c r="B82" s="1186" t="s">
        <v>13</v>
      </c>
      <c r="C82" s="1186" t="s">
        <v>36</v>
      </c>
      <c r="D82" s="1186">
        <v>153</v>
      </c>
      <c r="E82" s="1186">
        <v>138</v>
      </c>
      <c r="F82" s="1186">
        <v>14</v>
      </c>
      <c r="G82" s="1186"/>
      <c r="H82" s="1186">
        <v>1</v>
      </c>
    </row>
    <row r="83" spans="1:8" x14ac:dyDescent="0.2">
      <c r="A83" s="1186" t="s">
        <v>341</v>
      </c>
      <c r="B83" s="1186" t="s">
        <v>13</v>
      </c>
      <c r="C83" s="1186" t="s">
        <v>37</v>
      </c>
      <c r="D83" s="1186">
        <v>45</v>
      </c>
      <c r="E83" s="1186">
        <v>35</v>
      </c>
      <c r="F83" s="1186">
        <v>3</v>
      </c>
      <c r="G83" s="1186">
        <v>6</v>
      </c>
      <c r="H83" s="1186">
        <v>1</v>
      </c>
    </row>
    <row r="84" spans="1:8" x14ac:dyDescent="0.2">
      <c r="A84" s="1186" t="s">
        <v>341</v>
      </c>
      <c r="B84" s="1186" t="s">
        <v>13</v>
      </c>
      <c r="C84" s="1186" t="s">
        <v>38</v>
      </c>
      <c r="D84" s="1186">
        <v>14</v>
      </c>
      <c r="E84" s="1186">
        <v>14</v>
      </c>
      <c r="F84" s="1186"/>
      <c r="G84" s="1186"/>
      <c r="H84" s="1186"/>
    </row>
    <row r="85" spans="1:8" x14ac:dyDescent="0.2">
      <c r="A85" s="1186" t="s">
        <v>341</v>
      </c>
      <c r="B85" s="1186" t="s">
        <v>13</v>
      </c>
      <c r="C85" s="1186" t="s">
        <v>39</v>
      </c>
      <c r="D85" s="1186">
        <v>22</v>
      </c>
      <c r="E85" s="1186">
        <v>19</v>
      </c>
      <c r="F85" s="1186"/>
      <c r="G85" s="1186">
        <v>2</v>
      </c>
      <c r="H85" s="1186">
        <v>1</v>
      </c>
    </row>
    <row r="86" spans="1:8" x14ac:dyDescent="0.2">
      <c r="A86" s="1186" t="s">
        <v>341</v>
      </c>
      <c r="B86" s="1186" t="s">
        <v>13</v>
      </c>
      <c r="C86" s="1186" t="s">
        <v>40</v>
      </c>
      <c r="D86" s="1186">
        <v>28</v>
      </c>
      <c r="E86" s="1186">
        <v>21</v>
      </c>
      <c r="F86" s="1186">
        <v>4</v>
      </c>
      <c r="G86" s="1186">
        <v>2</v>
      </c>
      <c r="H86" s="1186">
        <v>1</v>
      </c>
    </row>
    <row r="87" spans="1:8" x14ac:dyDescent="0.2">
      <c r="A87" s="1186" t="s">
        <v>341</v>
      </c>
      <c r="B87" s="1186" t="s">
        <v>13</v>
      </c>
      <c r="C87" s="1186" t="s">
        <v>295</v>
      </c>
      <c r="D87" s="1186">
        <v>2</v>
      </c>
      <c r="E87" s="1186">
        <v>2</v>
      </c>
      <c r="F87" s="1186"/>
      <c r="G87" s="1186"/>
      <c r="H87" s="1186"/>
    </row>
    <row r="88" spans="1:8" x14ac:dyDescent="0.2">
      <c r="A88" s="1186" t="s">
        <v>341</v>
      </c>
      <c r="B88" s="1186" t="s">
        <v>13</v>
      </c>
      <c r="C88" s="1186" t="s">
        <v>41</v>
      </c>
      <c r="D88" s="1186">
        <v>24</v>
      </c>
      <c r="E88" s="1186">
        <v>21</v>
      </c>
      <c r="F88" s="1186">
        <v>2</v>
      </c>
      <c r="G88" s="1186">
        <v>1</v>
      </c>
      <c r="H88" s="1186"/>
    </row>
    <row r="89" spans="1:8" x14ac:dyDescent="0.2">
      <c r="A89" s="1186" t="s">
        <v>341</v>
      </c>
      <c r="B89" s="1186" t="s">
        <v>13</v>
      </c>
      <c r="C89" s="1186" t="s">
        <v>42</v>
      </c>
      <c r="D89" s="1186">
        <v>56</v>
      </c>
      <c r="E89" s="1186">
        <v>48</v>
      </c>
      <c r="F89" s="1186">
        <v>3</v>
      </c>
      <c r="G89" s="1186">
        <v>4</v>
      </c>
      <c r="H89" s="1186">
        <v>1</v>
      </c>
    </row>
    <row r="90" spans="1:8" x14ac:dyDescent="0.2">
      <c r="A90" s="1186" t="s">
        <v>341</v>
      </c>
      <c r="B90" s="1186" t="s">
        <v>13</v>
      </c>
      <c r="C90" s="1186" t="s">
        <v>43</v>
      </c>
      <c r="D90" s="1186">
        <v>2</v>
      </c>
      <c r="E90" s="1186">
        <v>2</v>
      </c>
      <c r="F90" s="1186"/>
      <c r="G90" s="1186"/>
      <c r="H90" s="1186"/>
    </row>
    <row r="91" spans="1:8" x14ac:dyDescent="0.2">
      <c r="A91" s="1186" t="s">
        <v>341</v>
      </c>
      <c r="B91" s="1186" t="s">
        <v>13</v>
      </c>
      <c r="C91" s="1186" t="s">
        <v>44</v>
      </c>
      <c r="D91" s="1186">
        <v>24</v>
      </c>
      <c r="E91" s="1186">
        <v>12</v>
      </c>
      <c r="F91" s="1186">
        <v>7</v>
      </c>
      <c r="G91" s="1186">
        <v>4</v>
      </c>
      <c r="H91" s="1186">
        <v>1</v>
      </c>
    </row>
    <row r="92" spans="1:8" x14ac:dyDescent="0.2">
      <c r="A92" s="1186" t="s">
        <v>341</v>
      </c>
      <c r="B92" s="1186" t="s">
        <v>13</v>
      </c>
      <c r="C92" s="1186" t="s">
        <v>45</v>
      </c>
      <c r="D92" s="1186">
        <v>29</v>
      </c>
      <c r="E92" s="1186">
        <v>27</v>
      </c>
      <c r="F92" s="1186">
        <v>1</v>
      </c>
      <c r="G92" s="1186"/>
      <c r="H92" s="1186">
        <v>1</v>
      </c>
    </row>
    <row r="93" spans="1:8" x14ac:dyDescent="0.2">
      <c r="A93" s="1186" t="s">
        <v>341</v>
      </c>
      <c r="B93" s="1186" t="s">
        <v>13</v>
      </c>
      <c r="C93" s="1186" t="s">
        <v>46</v>
      </c>
      <c r="D93" s="1186">
        <v>20</v>
      </c>
      <c r="E93" s="1186">
        <v>14</v>
      </c>
      <c r="F93" s="1186">
        <v>3</v>
      </c>
      <c r="G93" s="1186">
        <v>1</v>
      </c>
      <c r="H93" s="1186">
        <v>2</v>
      </c>
    </row>
    <row r="94" spans="1:8" x14ac:dyDescent="0.2">
      <c r="A94" s="1186" t="s">
        <v>341</v>
      </c>
      <c r="B94" s="1186" t="s">
        <v>13</v>
      </c>
      <c r="C94" s="1186" t="s">
        <v>47</v>
      </c>
      <c r="D94" s="1186">
        <v>1</v>
      </c>
      <c r="E94" s="1186">
        <v>1</v>
      </c>
      <c r="F94" s="1186"/>
      <c r="G94" s="1186"/>
      <c r="H94" s="1186"/>
    </row>
    <row r="95" spans="1:8" x14ac:dyDescent="0.2">
      <c r="A95" s="1186" t="s">
        <v>341</v>
      </c>
      <c r="B95" s="1186" t="s">
        <v>13</v>
      </c>
      <c r="C95" s="1186" t="s">
        <v>48</v>
      </c>
      <c r="D95" s="1186">
        <v>22</v>
      </c>
      <c r="E95" s="1186">
        <v>15</v>
      </c>
      <c r="F95" s="1186">
        <v>1</v>
      </c>
      <c r="G95" s="1186">
        <v>3</v>
      </c>
      <c r="H95" s="1186">
        <v>3</v>
      </c>
    </row>
    <row r="96" spans="1:8" x14ac:dyDescent="0.2">
      <c r="A96" s="1186" t="s">
        <v>341</v>
      </c>
      <c r="B96" s="1186" t="s">
        <v>13</v>
      </c>
      <c r="C96" s="1186" t="s">
        <v>49</v>
      </c>
      <c r="D96" s="1186">
        <v>44</v>
      </c>
      <c r="E96" s="1186">
        <v>41</v>
      </c>
      <c r="F96" s="1186">
        <v>1</v>
      </c>
      <c r="G96" s="1186"/>
      <c r="H96" s="1186">
        <v>2</v>
      </c>
    </row>
    <row r="97" spans="1:8" x14ac:dyDescent="0.2">
      <c r="A97" s="1186" t="s">
        <v>341</v>
      </c>
      <c r="B97" s="1186" t="s">
        <v>13</v>
      </c>
      <c r="C97" s="1186" t="s">
        <v>50</v>
      </c>
      <c r="D97" s="1186">
        <v>18</v>
      </c>
      <c r="E97" s="1186">
        <v>14</v>
      </c>
      <c r="F97" s="1186">
        <v>4</v>
      </c>
      <c r="G97" s="1186"/>
      <c r="H97" s="1186"/>
    </row>
    <row r="98" spans="1:8" x14ac:dyDescent="0.2">
      <c r="A98" s="1186" t="s">
        <v>341</v>
      </c>
      <c r="B98" s="1186" t="s">
        <v>13</v>
      </c>
      <c r="C98" s="1186" t="s">
        <v>51</v>
      </c>
      <c r="D98" s="1186">
        <v>20</v>
      </c>
      <c r="E98" s="1186">
        <v>19</v>
      </c>
      <c r="F98" s="1186">
        <v>1</v>
      </c>
      <c r="G98" s="1186"/>
      <c r="H98" s="1186"/>
    </row>
    <row r="99" spans="1:8" x14ac:dyDescent="0.2">
      <c r="A99" s="1186" t="s">
        <v>341</v>
      </c>
      <c r="B99" s="1186" t="s">
        <v>13</v>
      </c>
      <c r="C99" s="1186" t="s">
        <v>52</v>
      </c>
      <c r="D99" s="1186">
        <v>60</v>
      </c>
      <c r="E99" s="1186">
        <v>46</v>
      </c>
      <c r="F99" s="1186">
        <v>6</v>
      </c>
      <c r="G99" s="1186">
        <v>2</v>
      </c>
      <c r="H99" s="1186">
        <v>6</v>
      </c>
    </row>
    <row r="100" spans="1:8" x14ac:dyDescent="0.2">
      <c r="A100" s="1186" t="s">
        <v>341</v>
      </c>
      <c r="B100" s="1186" t="s">
        <v>15</v>
      </c>
      <c r="C100" s="1186" t="s">
        <v>23</v>
      </c>
      <c r="D100" s="1186">
        <v>57</v>
      </c>
      <c r="E100" s="1186">
        <v>48</v>
      </c>
      <c r="F100" s="1186">
        <v>8</v>
      </c>
      <c r="G100" s="1186"/>
      <c r="H100" s="1186">
        <v>1</v>
      </c>
    </row>
    <row r="101" spans="1:8" x14ac:dyDescent="0.2">
      <c r="A101" s="1186" t="s">
        <v>341</v>
      </c>
      <c r="B101" s="1186" t="s">
        <v>15</v>
      </c>
      <c r="C101" s="1186" t="s">
        <v>24</v>
      </c>
      <c r="D101" s="1186">
        <v>41</v>
      </c>
      <c r="E101" s="1186">
        <v>29</v>
      </c>
      <c r="F101" s="1186">
        <v>3</v>
      </c>
      <c r="G101" s="1186">
        <v>8</v>
      </c>
      <c r="H101" s="1186">
        <v>1</v>
      </c>
    </row>
    <row r="102" spans="1:8" x14ac:dyDescent="0.2">
      <c r="A102" s="1186" t="s">
        <v>341</v>
      </c>
      <c r="B102" s="1186" t="s">
        <v>15</v>
      </c>
      <c r="C102" s="1186" t="s">
        <v>25</v>
      </c>
      <c r="D102" s="1186">
        <v>16</v>
      </c>
      <c r="E102" s="1186">
        <v>15</v>
      </c>
      <c r="F102" s="1186">
        <v>1</v>
      </c>
      <c r="G102" s="1186"/>
      <c r="H102" s="1186"/>
    </row>
    <row r="103" spans="1:8" x14ac:dyDescent="0.2">
      <c r="A103" s="1186" t="s">
        <v>341</v>
      </c>
      <c r="B103" s="1186" t="s">
        <v>15</v>
      </c>
      <c r="C103" s="1186" t="s">
        <v>26</v>
      </c>
      <c r="D103" s="1186">
        <v>15</v>
      </c>
      <c r="E103" s="1186">
        <v>13</v>
      </c>
      <c r="F103" s="1186"/>
      <c r="G103" s="1186"/>
      <c r="H103" s="1186">
        <v>2</v>
      </c>
    </row>
    <row r="104" spans="1:8" x14ac:dyDescent="0.2">
      <c r="A104" s="1186" t="s">
        <v>341</v>
      </c>
      <c r="B104" s="1186" t="s">
        <v>15</v>
      </c>
      <c r="C104" s="1186" t="s">
        <v>619</v>
      </c>
      <c r="D104" s="1186">
        <v>152</v>
      </c>
      <c r="E104" s="1186">
        <v>137</v>
      </c>
      <c r="F104" s="1186">
        <v>13</v>
      </c>
      <c r="G104" s="1186">
        <v>2</v>
      </c>
      <c r="H104" s="1186"/>
    </row>
    <row r="105" spans="1:8" x14ac:dyDescent="0.2">
      <c r="A105" s="1186" t="s">
        <v>341</v>
      </c>
      <c r="B105" s="1186" t="s">
        <v>15</v>
      </c>
      <c r="C105" s="1186" t="s">
        <v>27</v>
      </c>
      <c r="D105" s="1186">
        <v>8</v>
      </c>
      <c r="E105" s="1186">
        <v>7</v>
      </c>
      <c r="F105" s="1186"/>
      <c r="G105" s="1186"/>
      <c r="H105" s="1186">
        <v>1</v>
      </c>
    </row>
    <row r="106" spans="1:8" x14ac:dyDescent="0.2">
      <c r="A106" s="1186" t="s">
        <v>341</v>
      </c>
      <c r="B106" s="1186" t="s">
        <v>15</v>
      </c>
      <c r="C106" s="1186" t="s">
        <v>28</v>
      </c>
      <c r="D106" s="1186">
        <v>33</v>
      </c>
      <c r="E106" s="1186">
        <v>29</v>
      </c>
      <c r="F106" s="1186">
        <v>2</v>
      </c>
      <c r="G106" s="1186">
        <v>2</v>
      </c>
      <c r="H106" s="1186"/>
    </row>
    <row r="107" spans="1:8" x14ac:dyDescent="0.2">
      <c r="A107" s="1186" t="s">
        <v>341</v>
      </c>
      <c r="B107" s="1186" t="s">
        <v>15</v>
      </c>
      <c r="C107" s="1186" t="s">
        <v>29</v>
      </c>
      <c r="D107" s="1186">
        <v>37</v>
      </c>
      <c r="E107" s="1186">
        <v>34</v>
      </c>
      <c r="F107" s="1186">
        <v>3</v>
      </c>
      <c r="G107" s="1186"/>
      <c r="H107" s="1186"/>
    </row>
    <row r="108" spans="1:8" x14ac:dyDescent="0.2">
      <c r="A108" s="1186" t="s">
        <v>341</v>
      </c>
      <c r="B108" s="1186" t="s">
        <v>15</v>
      </c>
      <c r="C108" s="1186" t="s">
        <v>30</v>
      </c>
      <c r="D108" s="1186">
        <v>10</v>
      </c>
      <c r="E108" s="1186">
        <v>9</v>
      </c>
      <c r="F108" s="1186"/>
      <c r="G108" s="1186"/>
      <c r="H108" s="1186">
        <v>1</v>
      </c>
    </row>
    <row r="109" spans="1:8" x14ac:dyDescent="0.2">
      <c r="A109" s="1186" t="s">
        <v>341</v>
      </c>
      <c r="B109" s="1186" t="s">
        <v>15</v>
      </c>
      <c r="C109" s="1186" t="s">
        <v>31</v>
      </c>
      <c r="D109" s="1186">
        <v>25</v>
      </c>
      <c r="E109" s="1186">
        <v>19</v>
      </c>
      <c r="F109" s="1186">
        <v>2</v>
      </c>
      <c r="G109" s="1186">
        <v>4</v>
      </c>
      <c r="H109" s="1186"/>
    </row>
    <row r="110" spans="1:8" x14ac:dyDescent="0.2">
      <c r="A110" s="1186" t="s">
        <v>341</v>
      </c>
      <c r="B110" s="1186" t="s">
        <v>15</v>
      </c>
      <c r="C110" s="1186" t="s">
        <v>32</v>
      </c>
      <c r="D110" s="1186">
        <v>14</v>
      </c>
      <c r="E110" s="1186">
        <v>12</v>
      </c>
      <c r="F110" s="1186">
        <v>2</v>
      </c>
      <c r="G110" s="1186"/>
      <c r="H110" s="1186"/>
    </row>
    <row r="111" spans="1:8" x14ac:dyDescent="0.2">
      <c r="A111" s="1186" t="s">
        <v>341</v>
      </c>
      <c r="B111" s="1186" t="s">
        <v>15</v>
      </c>
      <c r="C111" s="1186" t="s">
        <v>33</v>
      </c>
      <c r="D111" s="1186">
        <v>10</v>
      </c>
      <c r="E111" s="1186">
        <v>7</v>
      </c>
      <c r="F111" s="1186">
        <v>2</v>
      </c>
      <c r="G111" s="1186">
        <v>1</v>
      </c>
      <c r="H111" s="1186"/>
    </row>
    <row r="112" spans="1:8" x14ac:dyDescent="0.2">
      <c r="A112" s="1186" t="s">
        <v>341</v>
      </c>
      <c r="B112" s="1186" t="s">
        <v>15</v>
      </c>
      <c r="C112" s="1186" t="s">
        <v>34</v>
      </c>
      <c r="D112" s="1186">
        <v>13</v>
      </c>
      <c r="E112" s="1186">
        <v>11</v>
      </c>
      <c r="F112" s="1186">
        <v>2</v>
      </c>
      <c r="G112" s="1186"/>
      <c r="H112" s="1186"/>
    </row>
    <row r="113" spans="1:8" x14ac:dyDescent="0.2">
      <c r="A113" s="1186" t="s">
        <v>341</v>
      </c>
      <c r="B113" s="1186" t="s">
        <v>15</v>
      </c>
      <c r="C113" s="1186" t="s">
        <v>35</v>
      </c>
      <c r="D113" s="1186">
        <v>55</v>
      </c>
      <c r="E113" s="1186">
        <v>47</v>
      </c>
      <c r="F113" s="1186">
        <v>4</v>
      </c>
      <c r="G113" s="1186">
        <v>2</v>
      </c>
      <c r="H113" s="1186">
        <v>2</v>
      </c>
    </row>
    <row r="114" spans="1:8" x14ac:dyDescent="0.2">
      <c r="A114" s="1186" t="s">
        <v>341</v>
      </c>
      <c r="B114" s="1186" t="s">
        <v>15</v>
      </c>
      <c r="C114" s="1186" t="s">
        <v>36</v>
      </c>
      <c r="D114" s="1186">
        <v>148</v>
      </c>
      <c r="E114" s="1186">
        <v>135</v>
      </c>
      <c r="F114" s="1186">
        <v>10</v>
      </c>
      <c r="G114" s="1186">
        <v>1</v>
      </c>
      <c r="H114" s="1186">
        <v>2</v>
      </c>
    </row>
    <row r="115" spans="1:8" x14ac:dyDescent="0.2">
      <c r="A115" s="1186" t="s">
        <v>341</v>
      </c>
      <c r="B115" s="1186" t="s">
        <v>15</v>
      </c>
      <c r="C115" s="1186" t="s">
        <v>37</v>
      </c>
      <c r="D115" s="1186">
        <v>40</v>
      </c>
      <c r="E115" s="1186">
        <v>36</v>
      </c>
      <c r="F115" s="1186">
        <v>2</v>
      </c>
      <c r="G115" s="1186"/>
      <c r="H115" s="1186">
        <v>2</v>
      </c>
    </row>
    <row r="116" spans="1:8" x14ac:dyDescent="0.2">
      <c r="A116" s="1186" t="s">
        <v>341</v>
      </c>
      <c r="B116" s="1186" t="s">
        <v>15</v>
      </c>
      <c r="C116" s="1186" t="s">
        <v>38</v>
      </c>
      <c r="D116" s="1186">
        <v>16</v>
      </c>
      <c r="E116" s="1186">
        <v>16</v>
      </c>
      <c r="F116" s="1186"/>
      <c r="G116" s="1186"/>
      <c r="H116" s="1186"/>
    </row>
    <row r="117" spans="1:8" x14ac:dyDescent="0.2">
      <c r="A117" s="1186" t="s">
        <v>341</v>
      </c>
      <c r="B117" s="1186" t="s">
        <v>15</v>
      </c>
      <c r="C117" s="1186" t="s">
        <v>39</v>
      </c>
      <c r="D117" s="1186">
        <v>18</v>
      </c>
      <c r="E117" s="1186">
        <v>18</v>
      </c>
      <c r="F117" s="1186"/>
      <c r="G117" s="1186"/>
      <c r="H117" s="1186"/>
    </row>
    <row r="118" spans="1:8" x14ac:dyDescent="0.2">
      <c r="A118" s="1186" t="s">
        <v>341</v>
      </c>
      <c r="B118" s="1186" t="s">
        <v>15</v>
      </c>
      <c r="C118" s="1186" t="s">
        <v>40</v>
      </c>
      <c r="D118" s="1186">
        <v>31</v>
      </c>
      <c r="E118" s="1186">
        <v>23</v>
      </c>
      <c r="F118" s="1186">
        <v>6</v>
      </c>
      <c r="G118" s="1186"/>
      <c r="H118" s="1186">
        <v>2</v>
      </c>
    </row>
    <row r="119" spans="1:8" x14ac:dyDescent="0.2">
      <c r="A119" s="1186" t="s">
        <v>341</v>
      </c>
      <c r="B119" s="1186" t="s">
        <v>15</v>
      </c>
      <c r="C119" s="1186" t="s">
        <v>295</v>
      </c>
      <c r="D119" s="1186">
        <v>10</v>
      </c>
      <c r="E119" s="1186">
        <v>7</v>
      </c>
      <c r="F119" s="1186"/>
      <c r="G119" s="1186">
        <v>2</v>
      </c>
      <c r="H119" s="1186">
        <v>1</v>
      </c>
    </row>
    <row r="120" spans="1:8" x14ac:dyDescent="0.2">
      <c r="A120" s="1186" t="s">
        <v>341</v>
      </c>
      <c r="B120" s="1186" t="s">
        <v>15</v>
      </c>
      <c r="C120" s="1186" t="s">
        <v>41</v>
      </c>
      <c r="D120" s="1186">
        <v>27</v>
      </c>
      <c r="E120" s="1186">
        <v>25</v>
      </c>
      <c r="F120" s="1186">
        <v>2</v>
      </c>
      <c r="G120" s="1186"/>
      <c r="H120" s="1186"/>
    </row>
    <row r="121" spans="1:8" x14ac:dyDescent="0.2">
      <c r="A121" s="1186" t="s">
        <v>341</v>
      </c>
      <c r="B121" s="1186" t="s">
        <v>15</v>
      </c>
      <c r="C121" s="1186" t="s">
        <v>42</v>
      </c>
      <c r="D121" s="1186">
        <v>45</v>
      </c>
      <c r="E121" s="1186">
        <v>37</v>
      </c>
      <c r="F121" s="1186">
        <v>4</v>
      </c>
      <c r="G121" s="1186">
        <v>3</v>
      </c>
      <c r="H121" s="1186">
        <v>1</v>
      </c>
    </row>
    <row r="122" spans="1:8" x14ac:dyDescent="0.2">
      <c r="A122" s="1186" t="s">
        <v>341</v>
      </c>
      <c r="B122" s="1186" t="s">
        <v>15</v>
      </c>
      <c r="C122" s="1186" t="s">
        <v>44</v>
      </c>
      <c r="D122" s="1186">
        <v>25</v>
      </c>
      <c r="E122" s="1186">
        <v>21</v>
      </c>
      <c r="F122" s="1186">
        <v>1</v>
      </c>
      <c r="G122" s="1186">
        <v>2</v>
      </c>
      <c r="H122" s="1186">
        <v>1</v>
      </c>
    </row>
    <row r="123" spans="1:8" x14ac:dyDescent="0.2">
      <c r="A123" s="1186" t="s">
        <v>341</v>
      </c>
      <c r="B123" s="1186" t="s">
        <v>15</v>
      </c>
      <c r="C123" s="1186" t="s">
        <v>45</v>
      </c>
      <c r="D123" s="1186">
        <v>42</v>
      </c>
      <c r="E123" s="1186">
        <v>38</v>
      </c>
      <c r="F123" s="1186">
        <v>1</v>
      </c>
      <c r="G123" s="1186">
        <v>1</v>
      </c>
      <c r="H123" s="1186">
        <v>2</v>
      </c>
    </row>
    <row r="124" spans="1:8" x14ac:dyDescent="0.2">
      <c r="A124" s="1186" t="s">
        <v>341</v>
      </c>
      <c r="B124" s="1186" t="s">
        <v>15</v>
      </c>
      <c r="C124" s="1186" t="s">
        <v>46</v>
      </c>
      <c r="D124" s="1186">
        <v>15</v>
      </c>
      <c r="E124" s="1186">
        <v>15</v>
      </c>
      <c r="F124" s="1186"/>
      <c r="G124" s="1186"/>
      <c r="H124" s="1186"/>
    </row>
    <row r="125" spans="1:8" x14ac:dyDescent="0.2">
      <c r="A125" s="1186" t="s">
        <v>341</v>
      </c>
      <c r="B125" s="1186" t="s">
        <v>15</v>
      </c>
      <c r="C125" s="1186" t="s">
        <v>47</v>
      </c>
      <c r="D125" s="1186">
        <v>3</v>
      </c>
      <c r="E125" s="1186">
        <v>3</v>
      </c>
      <c r="F125" s="1186"/>
      <c r="G125" s="1186"/>
      <c r="H125" s="1186"/>
    </row>
    <row r="126" spans="1:8" x14ac:dyDescent="0.2">
      <c r="A126" s="1186" t="s">
        <v>341</v>
      </c>
      <c r="B126" s="1186" t="s">
        <v>15</v>
      </c>
      <c r="C126" s="1186" t="s">
        <v>48</v>
      </c>
      <c r="D126" s="1186">
        <v>16</v>
      </c>
      <c r="E126" s="1186">
        <v>15</v>
      </c>
      <c r="F126" s="1186"/>
      <c r="G126" s="1186"/>
      <c r="H126" s="1186">
        <v>1</v>
      </c>
    </row>
    <row r="127" spans="1:8" x14ac:dyDescent="0.2">
      <c r="A127" s="1186" t="s">
        <v>341</v>
      </c>
      <c r="B127" s="1186" t="s">
        <v>15</v>
      </c>
      <c r="C127" s="1186" t="s">
        <v>49</v>
      </c>
      <c r="D127" s="1186">
        <v>47</v>
      </c>
      <c r="E127" s="1186">
        <v>42</v>
      </c>
      <c r="F127" s="1186">
        <v>2</v>
      </c>
      <c r="G127" s="1186">
        <v>3</v>
      </c>
      <c r="H127" s="1186"/>
    </row>
    <row r="128" spans="1:8" x14ac:dyDescent="0.2">
      <c r="A128" s="1186" t="s">
        <v>341</v>
      </c>
      <c r="B128" s="1186" t="s">
        <v>15</v>
      </c>
      <c r="C128" s="1186" t="s">
        <v>50</v>
      </c>
      <c r="D128" s="1186">
        <v>8</v>
      </c>
      <c r="E128" s="1186">
        <v>6</v>
      </c>
      <c r="F128" s="1186">
        <v>1</v>
      </c>
      <c r="G128" s="1186"/>
      <c r="H128" s="1186">
        <v>1</v>
      </c>
    </row>
    <row r="129" spans="1:8" x14ac:dyDescent="0.2">
      <c r="A129" s="1186" t="s">
        <v>341</v>
      </c>
      <c r="B129" s="1186" t="s">
        <v>15</v>
      </c>
      <c r="C129" s="1186" t="s">
        <v>51</v>
      </c>
      <c r="D129" s="1186">
        <v>23</v>
      </c>
      <c r="E129" s="1186">
        <v>17</v>
      </c>
      <c r="F129" s="1186">
        <v>5</v>
      </c>
      <c r="G129" s="1186"/>
      <c r="H129" s="1186">
        <v>1</v>
      </c>
    </row>
    <row r="130" spans="1:8" x14ac:dyDescent="0.2">
      <c r="A130" s="1186" t="s">
        <v>341</v>
      </c>
      <c r="B130" s="1186" t="s">
        <v>15</v>
      </c>
      <c r="C130" s="1186" t="s">
        <v>52</v>
      </c>
      <c r="D130" s="1186">
        <v>57</v>
      </c>
      <c r="E130" s="1186">
        <v>52</v>
      </c>
      <c r="F130" s="1186">
        <v>2</v>
      </c>
      <c r="G130" s="1186">
        <v>1</v>
      </c>
      <c r="H130" s="1186">
        <v>2</v>
      </c>
    </row>
    <row r="131" spans="1:8" x14ac:dyDescent="0.2">
      <c r="A131" s="1186" t="s">
        <v>341</v>
      </c>
      <c r="B131" s="1186" t="s">
        <v>17</v>
      </c>
      <c r="C131" s="1186" t="s">
        <v>23</v>
      </c>
      <c r="D131" s="1186">
        <v>51</v>
      </c>
      <c r="E131" s="1186">
        <v>45</v>
      </c>
      <c r="F131" s="1186">
        <v>4</v>
      </c>
      <c r="G131" s="1186">
        <v>1</v>
      </c>
      <c r="H131" s="1186">
        <v>1</v>
      </c>
    </row>
    <row r="132" spans="1:8" x14ac:dyDescent="0.2">
      <c r="A132" s="1186" t="s">
        <v>341</v>
      </c>
      <c r="B132" s="1186" t="s">
        <v>17</v>
      </c>
      <c r="C132" s="1186" t="s">
        <v>24</v>
      </c>
      <c r="D132" s="1186">
        <v>40</v>
      </c>
      <c r="E132" s="1186">
        <v>28</v>
      </c>
      <c r="F132" s="1186">
        <v>2</v>
      </c>
      <c r="G132" s="1186">
        <v>9</v>
      </c>
      <c r="H132" s="1186">
        <v>1</v>
      </c>
    </row>
    <row r="133" spans="1:8" x14ac:dyDescent="0.2">
      <c r="A133" s="1186" t="s">
        <v>341</v>
      </c>
      <c r="B133" s="1186" t="s">
        <v>17</v>
      </c>
      <c r="C133" s="1186" t="s">
        <v>25</v>
      </c>
      <c r="D133" s="1186">
        <v>15</v>
      </c>
      <c r="E133" s="1186">
        <v>14</v>
      </c>
      <c r="F133" s="1186">
        <v>1</v>
      </c>
      <c r="G133" s="1186"/>
      <c r="H133" s="1186"/>
    </row>
    <row r="134" spans="1:8" x14ac:dyDescent="0.2">
      <c r="A134" s="1186" t="s">
        <v>341</v>
      </c>
      <c r="B134" s="1186" t="s">
        <v>17</v>
      </c>
      <c r="C134" s="1186" t="s">
        <v>26</v>
      </c>
      <c r="D134" s="1186">
        <v>11</v>
      </c>
      <c r="E134" s="1186">
        <v>11</v>
      </c>
      <c r="F134" s="1186"/>
      <c r="G134" s="1186"/>
      <c r="H134" s="1186"/>
    </row>
    <row r="135" spans="1:8" x14ac:dyDescent="0.2">
      <c r="A135" s="1186" t="s">
        <v>341</v>
      </c>
      <c r="B135" s="1186" t="s">
        <v>17</v>
      </c>
      <c r="C135" s="1186" t="s">
        <v>619</v>
      </c>
      <c r="D135" s="1186">
        <v>149</v>
      </c>
      <c r="E135" s="1186">
        <v>140</v>
      </c>
      <c r="F135" s="1186">
        <v>9</v>
      </c>
      <c r="G135" s="1186"/>
      <c r="H135" s="1186"/>
    </row>
    <row r="136" spans="1:8" x14ac:dyDescent="0.2">
      <c r="A136" s="1186" t="s">
        <v>341</v>
      </c>
      <c r="B136" s="1186" t="s">
        <v>17</v>
      </c>
      <c r="C136" s="1186" t="s">
        <v>27</v>
      </c>
      <c r="D136" s="1186">
        <v>3</v>
      </c>
      <c r="E136" s="1186">
        <v>2</v>
      </c>
      <c r="F136" s="1186">
        <v>1</v>
      </c>
      <c r="G136" s="1186"/>
      <c r="H136" s="1186"/>
    </row>
    <row r="137" spans="1:8" x14ac:dyDescent="0.2">
      <c r="A137" s="1186" t="s">
        <v>341</v>
      </c>
      <c r="B137" s="1186" t="s">
        <v>17</v>
      </c>
      <c r="C137" s="1186" t="s">
        <v>28</v>
      </c>
      <c r="D137" s="1186">
        <v>17</v>
      </c>
      <c r="E137" s="1186">
        <v>13</v>
      </c>
      <c r="F137" s="1186">
        <v>2</v>
      </c>
      <c r="G137" s="1186">
        <v>1</v>
      </c>
      <c r="H137" s="1186">
        <v>1</v>
      </c>
    </row>
    <row r="138" spans="1:8" x14ac:dyDescent="0.2">
      <c r="A138" s="1186" t="s">
        <v>341</v>
      </c>
      <c r="B138" s="1186" t="s">
        <v>17</v>
      </c>
      <c r="C138" s="1186" t="s">
        <v>29</v>
      </c>
      <c r="D138" s="1186">
        <v>48</v>
      </c>
      <c r="E138" s="1186">
        <v>48</v>
      </c>
      <c r="F138" s="1186"/>
      <c r="G138" s="1186"/>
      <c r="H138" s="1186"/>
    </row>
    <row r="139" spans="1:8" x14ac:dyDescent="0.2">
      <c r="A139" s="1186" t="s">
        <v>341</v>
      </c>
      <c r="B139" s="1186" t="s">
        <v>17</v>
      </c>
      <c r="C139" s="1186" t="s">
        <v>30</v>
      </c>
      <c r="D139" s="1186">
        <v>15</v>
      </c>
      <c r="E139" s="1186">
        <v>15</v>
      </c>
      <c r="F139" s="1186"/>
      <c r="G139" s="1186"/>
      <c r="H139" s="1186"/>
    </row>
    <row r="140" spans="1:8" x14ac:dyDescent="0.2">
      <c r="A140" s="1186" t="s">
        <v>341</v>
      </c>
      <c r="B140" s="1186" t="s">
        <v>17</v>
      </c>
      <c r="C140" s="1186" t="s">
        <v>31</v>
      </c>
      <c r="D140" s="1186">
        <v>13</v>
      </c>
      <c r="E140" s="1186">
        <v>11</v>
      </c>
      <c r="F140" s="1186">
        <v>2</v>
      </c>
      <c r="G140" s="1186"/>
      <c r="H140" s="1186"/>
    </row>
    <row r="141" spans="1:8" x14ac:dyDescent="0.2">
      <c r="A141" s="1186" t="s">
        <v>341</v>
      </c>
      <c r="B141" s="1186" t="s">
        <v>17</v>
      </c>
      <c r="C141" s="1186" t="s">
        <v>32</v>
      </c>
      <c r="D141" s="1186">
        <v>13</v>
      </c>
      <c r="E141" s="1186">
        <v>13</v>
      </c>
      <c r="F141" s="1186"/>
      <c r="G141" s="1186"/>
      <c r="H141" s="1186"/>
    </row>
    <row r="142" spans="1:8" x14ac:dyDescent="0.2">
      <c r="A142" s="1186" t="s">
        <v>341</v>
      </c>
      <c r="B142" s="1186" t="s">
        <v>17</v>
      </c>
      <c r="C142" s="1186" t="s">
        <v>33</v>
      </c>
      <c r="D142" s="1186">
        <v>6</v>
      </c>
      <c r="E142" s="1186">
        <v>5</v>
      </c>
      <c r="F142" s="1186"/>
      <c r="G142" s="1186">
        <v>1</v>
      </c>
      <c r="H142" s="1186"/>
    </row>
    <row r="143" spans="1:8" x14ac:dyDescent="0.2">
      <c r="A143" s="1186" t="s">
        <v>341</v>
      </c>
      <c r="B143" s="1186" t="s">
        <v>17</v>
      </c>
      <c r="C143" s="1186" t="s">
        <v>34</v>
      </c>
      <c r="D143" s="1186">
        <v>27</v>
      </c>
      <c r="E143" s="1186">
        <v>24</v>
      </c>
      <c r="F143" s="1186">
        <v>3</v>
      </c>
      <c r="G143" s="1186"/>
      <c r="H143" s="1186"/>
    </row>
    <row r="144" spans="1:8" x14ac:dyDescent="0.2">
      <c r="A144" s="1186" t="s">
        <v>341</v>
      </c>
      <c r="B144" s="1186" t="s">
        <v>17</v>
      </c>
      <c r="C144" s="1186" t="s">
        <v>35</v>
      </c>
      <c r="D144" s="1186">
        <v>41</v>
      </c>
      <c r="E144" s="1186">
        <v>35</v>
      </c>
      <c r="F144" s="1186">
        <v>1</v>
      </c>
      <c r="G144" s="1186">
        <v>1</v>
      </c>
      <c r="H144" s="1186">
        <v>4</v>
      </c>
    </row>
    <row r="145" spans="1:8" x14ac:dyDescent="0.2">
      <c r="A145" s="1186" t="s">
        <v>341</v>
      </c>
      <c r="B145" s="1186" t="s">
        <v>17</v>
      </c>
      <c r="C145" s="1186" t="s">
        <v>36</v>
      </c>
      <c r="D145" s="1186">
        <v>162</v>
      </c>
      <c r="E145" s="1186">
        <v>145</v>
      </c>
      <c r="F145" s="1186">
        <v>13</v>
      </c>
      <c r="G145" s="1186">
        <v>2</v>
      </c>
      <c r="H145" s="1186">
        <v>2</v>
      </c>
    </row>
    <row r="146" spans="1:8" x14ac:dyDescent="0.2">
      <c r="A146" s="1186" t="s">
        <v>341</v>
      </c>
      <c r="B146" s="1186" t="s">
        <v>17</v>
      </c>
      <c r="C146" s="1186" t="s">
        <v>37</v>
      </c>
      <c r="D146" s="1186">
        <v>50</v>
      </c>
      <c r="E146" s="1186">
        <v>42</v>
      </c>
      <c r="F146" s="1186">
        <v>5</v>
      </c>
      <c r="G146" s="1186"/>
      <c r="H146" s="1186">
        <v>3</v>
      </c>
    </row>
    <row r="147" spans="1:8" x14ac:dyDescent="0.2">
      <c r="A147" s="1186" t="s">
        <v>341</v>
      </c>
      <c r="B147" s="1186" t="s">
        <v>17</v>
      </c>
      <c r="C147" s="1186" t="s">
        <v>38</v>
      </c>
      <c r="D147" s="1186">
        <v>29</v>
      </c>
      <c r="E147" s="1186">
        <v>29</v>
      </c>
      <c r="F147" s="1186"/>
      <c r="G147" s="1186"/>
      <c r="H147" s="1186"/>
    </row>
    <row r="148" spans="1:8" x14ac:dyDescent="0.2">
      <c r="A148" s="1186" t="s">
        <v>341</v>
      </c>
      <c r="B148" s="1186" t="s">
        <v>17</v>
      </c>
      <c r="C148" s="1186" t="s">
        <v>39</v>
      </c>
      <c r="D148" s="1186">
        <v>33</v>
      </c>
      <c r="E148" s="1186">
        <v>26</v>
      </c>
      <c r="F148" s="1186">
        <v>2</v>
      </c>
      <c r="G148" s="1186">
        <v>5</v>
      </c>
      <c r="H148" s="1186"/>
    </row>
    <row r="149" spans="1:8" x14ac:dyDescent="0.2">
      <c r="A149" s="1186" t="s">
        <v>341</v>
      </c>
      <c r="B149" s="1186" t="s">
        <v>17</v>
      </c>
      <c r="C149" s="1186" t="s">
        <v>40</v>
      </c>
      <c r="D149" s="1186">
        <v>26</v>
      </c>
      <c r="E149" s="1186">
        <v>20</v>
      </c>
      <c r="F149" s="1186">
        <v>3</v>
      </c>
      <c r="G149" s="1186">
        <v>1</v>
      </c>
      <c r="H149" s="1186">
        <v>2</v>
      </c>
    </row>
    <row r="150" spans="1:8" x14ac:dyDescent="0.2">
      <c r="A150" s="1186" t="s">
        <v>341</v>
      </c>
      <c r="B150" s="1186" t="s">
        <v>17</v>
      </c>
      <c r="C150" s="1186" t="s">
        <v>295</v>
      </c>
      <c r="D150" s="1186">
        <v>6</v>
      </c>
      <c r="E150" s="1186">
        <v>3</v>
      </c>
      <c r="F150" s="1186"/>
      <c r="G150" s="1186"/>
      <c r="H150" s="1186">
        <v>3</v>
      </c>
    </row>
    <row r="151" spans="1:8" x14ac:dyDescent="0.2">
      <c r="A151" s="1186" t="s">
        <v>341</v>
      </c>
      <c r="B151" s="1186" t="s">
        <v>17</v>
      </c>
      <c r="C151" s="1186" t="s">
        <v>41</v>
      </c>
      <c r="D151" s="1186">
        <v>27</v>
      </c>
      <c r="E151" s="1186">
        <v>24</v>
      </c>
      <c r="F151" s="1186">
        <v>3</v>
      </c>
      <c r="G151" s="1186"/>
      <c r="H151" s="1186"/>
    </row>
    <row r="152" spans="1:8" x14ac:dyDescent="0.2">
      <c r="A152" s="1186" t="s">
        <v>341</v>
      </c>
      <c r="B152" s="1186" t="s">
        <v>17</v>
      </c>
      <c r="C152" s="1186" t="s">
        <v>42</v>
      </c>
      <c r="D152" s="1186">
        <v>70</v>
      </c>
      <c r="E152" s="1186">
        <v>58</v>
      </c>
      <c r="F152" s="1186">
        <v>9</v>
      </c>
      <c r="G152" s="1186">
        <v>2</v>
      </c>
      <c r="H152" s="1186">
        <v>1</v>
      </c>
    </row>
    <row r="153" spans="1:8" x14ac:dyDescent="0.2">
      <c r="A153" s="1186" t="s">
        <v>341</v>
      </c>
      <c r="B153" s="1186" t="s">
        <v>17</v>
      </c>
      <c r="C153" s="1186" t="s">
        <v>43</v>
      </c>
      <c r="D153" s="1186">
        <v>1</v>
      </c>
      <c r="E153" s="1186">
        <v>1</v>
      </c>
      <c r="F153" s="1186"/>
      <c r="G153" s="1186"/>
      <c r="H153" s="1186"/>
    </row>
    <row r="154" spans="1:8" x14ac:dyDescent="0.2">
      <c r="A154" s="1186" t="s">
        <v>341</v>
      </c>
      <c r="B154" s="1186" t="s">
        <v>17</v>
      </c>
      <c r="C154" s="1186" t="s">
        <v>44</v>
      </c>
      <c r="D154" s="1186">
        <v>37</v>
      </c>
      <c r="E154" s="1186">
        <v>31</v>
      </c>
      <c r="F154" s="1186">
        <v>3</v>
      </c>
      <c r="G154" s="1186">
        <v>1</v>
      </c>
      <c r="H154" s="1186">
        <v>2</v>
      </c>
    </row>
    <row r="155" spans="1:8" x14ac:dyDescent="0.2">
      <c r="A155" s="1186" t="s">
        <v>341</v>
      </c>
      <c r="B155" s="1186" t="s">
        <v>17</v>
      </c>
      <c r="C155" s="1186" t="s">
        <v>45</v>
      </c>
      <c r="D155" s="1186">
        <v>52</v>
      </c>
      <c r="E155" s="1186">
        <v>39</v>
      </c>
      <c r="F155" s="1186">
        <v>2</v>
      </c>
      <c r="G155" s="1186">
        <v>11</v>
      </c>
      <c r="H155" s="1186"/>
    </row>
    <row r="156" spans="1:8" x14ac:dyDescent="0.2">
      <c r="A156" s="1186" t="s">
        <v>341</v>
      </c>
      <c r="B156" s="1186" t="s">
        <v>17</v>
      </c>
      <c r="C156" s="1186" t="s">
        <v>46</v>
      </c>
      <c r="D156" s="1186">
        <v>27</v>
      </c>
      <c r="E156" s="1186">
        <v>26</v>
      </c>
      <c r="F156" s="1186"/>
      <c r="G156" s="1186">
        <v>1</v>
      </c>
      <c r="H156" s="1186"/>
    </row>
    <row r="157" spans="1:8" x14ac:dyDescent="0.2">
      <c r="A157" s="1186" t="s">
        <v>341</v>
      </c>
      <c r="B157" s="1186" t="s">
        <v>17</v>
      </c>
      <c r="C157" s="1186" t="s">
        <v>47</v>
      </c>
      <c r="D157" s="1186">
        <v>1</v>
      </c>
      <c r="E157" s="1186">
        <v>1</v>
      </c>
      <c r="F157" s="1186"/>
      <c r="G157" s="1186"/>
      <c r="H157" s="1186"/>
    </row>
    <row r="158" spans="1:8" x14ac:dyDescent="0.2">
      <c r="A158" s="1186" t="s">
        <v>341</v>
      </c>
      <c r="B158" s="1186" t="s">
        <v>17</v>
      </c>
      <c r="C158" s="1186" t="s">
        <v>48</v>
      </c>
      <c r="D158" s="1186">
        <v>14</v>
      </c>
      <c r="E158" s="1186">
        <v>10</v>
      </c>
      <c r="F158" s="1186">
        <v>2</v>
      </c>
      <c r="G158" s="1186">
        <v>1</v>
      </c>
      <c r="H158" s="1186">
        <v>1</v>
      </c>
    </row>
    <row r="159" spans="1:8" x14ac:dyDescent="0.2">
      <c r="A159" s="1186" t="s">
        <v>341</v>
      </c>
      <c r="B159" s="1186" t="s">
        <v>17</v>
      </c>
      <c r="C159" s="1186" t="s">
        <v>49</v>
      </c>
      <c r="D159" s="1186">
        <v>43</v>
      </c>
      <c r="E159" s="1186">
        <v>38</v>
      </c>
      <c r="F159" s="1186">
        <v>3</v>
      </c>
      <c r="G159" s="1186">
        <v>2</v>
      </c>
      <c r="H159" s="1186"/>
    </row>
    <row r="160" spans="1:8" x14ac:dyDescent="0.2">
      <c r="A160" s="1186" t="s">
        <v>341</v>
      </c>
      <c r="B160" s="1186" t="s">
        <v>17</v>
      </c>
      <c r="C160" s="1186" t="s">
        <v>50</v>
      </c>
      <c r="D160" s="1186">
        <v>13</v>
      </c>
      <c r="E160" s="1186">
        <v>7</v>
      </c>
      <c r="F160" s="1186">
        <v>5</v>
      </c>
      <c r="G160" s="1186">
        <v>1</v>
      </c>
      <c r="H160" s="1186"/>
    </row>
    <row r="161" spans="1:8" x14ac:dyDescent="0.2">
      <c r="A161" s="1186" t="s">
        <v>341</v>
      </c>
      <c r="B161" s="1186" t="s">
        <v>17</v>
      </c>
      <c r="C161" s="1186" t="s">
        <v>51</v>
      </c>
      <c r="D161" s="1186">
        <v>15</v>
      </c>
      <c r="E161" s="1186">
        <v>15</v>
      </c>
      <c r="F161" s="1186"/>
      <c r="G161" s="1186"/>
      <c r="H161" s="1186"/>
    </row>
    <row r="162" spans="1:8" x14ac:dyDescent="0.2">
      <c r="A162" s="1186" t="s">
        <v>341</v>
      </c>
      <c r="B162" s="1186" t="s">
        <v>17</v>
      </c>
      <c r="C162" s="1186" t="s">
        <v>52</v>
      </c>
      <c r="D162" s="1186">
        <v>34</v>
      </c>
      <c r="E162" s="1186">
        <v>23</v>
      </c>
      <c r="F162" s="1186">
        <v>1</v>
      </c>
      <c r="G162" s="1186">
        <v>6</v>
      </c>
      <c r="H162" s="1186">
        <v>4</v>
      </c>
    </row>
    <row r="163" spans="1:8" x14ac:dyDescent="0.2">
      <c r="A163" s="1186" t="s">
        <v>341</v>
      </c>
      <c r="B163" s="1186" t="s">
        <v>133</v>
      </c>
      <c r="C163" s="1186" t="s">
        <v>23</v>
      </c>
      <c r="D163" s="1186">
        <v>48</v>
      </c>
      <c r="E163" s="1186">
        <v>44</v>
      </c>
      <c r="F163" s="1186">
        <v>3</v>
      </c>
      <c r="G163" s="1186">
        <v>1</v>
      </c>
      <c r="H163" s="1186"/>
    </row>
    <row r="164" spans="1:8" x14ac:dyDescent="0.2">
      <c r="A164" s="1186" t="s">
        <v>341</v>
      </c>
      <c r="B164" s="1186" t="s">
        <v>133</v>
      </c>
      <c r="C164" s="1186" t="s">
        <v>24</v>
      </c>
      <c r="D164" s="1186">
        <v>35</v>
      </c>
      <c r="E164" s="1186">
        <v>26</v>
      </c>
      <c r="F164" s="1186">
        <v>3</v>
      </c>
      <c r="G164" s="1186">
        <v>6</v>
      </c>
      <c r="H164" s="1186"/>
    </row>
    <row r="165" spans="1:8" x14ac:dyDescent="0.2">
      <c r="A165" s="1186" t="s">
        <v>341</v>
      </c>
      <c r="B165" s="1186" t="s">
        <v>133</v>
      </c>
      <c r="C165" s="1186" t="s">
        <v>25</v>
      </c>
      <c r="D165" s="1186">
        <v>17</v>
      </c>
      <c r="E165" s="1186">
        <v>16</v>
      </c>
      <c r="F165" s="1186">
        <v>1</v>
      </c>
      <c r="G165" s="1186"/>
      <c r="H165" s="1186"/>
    </row>
    <row r="166" spans="1:8" x14ac:dyDescent="0.2">
      <c r="A166" s="1186" t="s">
        <v>341</v>
      </c>
      <c r="B166" s="1186" t="s">
        <v>133</v>
      </c>
      <c r="C166" s="1186" t="s">
        <v>26</v>
      </c>
      <c r="D166" s="1186">
        <v>11</v>
      </c>
      <c r="E166" s="1186">
        <v>10</v>
      </c>
      <c r="F166" s="1186"/>
      <c r="G166" s="1186"/>
      <c r="H166" s="1186">
        <v>1</v>
      </c>
    </row>
    <row r="167" spans="1:8" x14ac:dyDescent="0.2">
      <c r="A167" s="1186" t="s">
        <v>341</v>
      </c>
      <c r="B167" s="1186" t="s">
        <v>133</v>
      </c>
      <c r="C167" s="1186" t="s">
        <v>619</v>
      </c>
      <c r="D167" s="1186">
        <v>129</v>
      </c>
      <c r="E167" s="1186">
        <v>110</v>
      </c>
      <c r="F167" s="1186">
        <v>16</v>
      </c>
      <c r="G167" s="1186">
        <v>3</v>
      </c>
      <c r="H167" s="1186"/>
    </row>
    <row r="168" spans="1:8" x14ac:dyDescent="0.2">
      <c r="A168" s="1186" t="s">
        <v>341</v>
      </c>
      <c r="B168" s="1186" t="s">
        <v>133</v>
      </c>
      <c r="C168" s="1186" t="s">
        <v>27</v>
      </c>
      <c r="D168" s="1186">
        <v>5</v>
      </c>
      <c r="E168" s="1186">
        <v>3</v>
      </c>
      <c r="F168" s="1186">
        <v>2</v>
      </c>
      <c r="G168" s="1186"/>
      <c r="H168" s="1186"/>
    </row>
    <row r="169" spans="1:8" x14ac:dyDescent="0.2">
      <c r="A169" s="1186" t="s">
        <v>341</v>
      </c>
      <c r="B169" s="1186" t="s">
        <v>133</v>
      </c>
      <c r="C169" s="1186" t="s">
        <v>28</v>
      </c>
      <c r="D169" s="1186">
        <v>12</v>
      </c>
      <c r="E169" s="1186">
        <v>9</v>
      </c>
      <c r="F169" s="1186">
        <v>2</v>
      </c>
      <c r="G169" s="1186">
        <v>1</v>
      </c>
      <c r="H169" s="1186"/>
    </row>
    <row r="170" spans="1:8" x14ac:dyDescent="0.2">
      <c r="A170" s="1186" t="s">
        <v>341</v>
      </c>
      <c r="B170" s="1186" t="s">
        <v>133</v>
      </c>
      <c r="C170" s="1186" t="s">
        <v>29</v>
      </c>
      <c r="D170" s="1186">
        <v>28</v>
      </c>
      <c r="E170" s="1186">
        <v>28</v>
      </c>
      <c r="F170" s="1186"/>
      <c r="G170" s="1186"/>
      <c r="H170" s="1186"/>
    </row>
    <row r="171" spans="1:8" x14ac:dyDescent="0.2">
      <c r="A171" s="1186" t="s">
        <v>341</v>
      </c>
      <c r="B171" s="1186" t="s">
        <v>133</v>
      </c>
      <c r="C171" s="1186" t="s">
        <v>30</v>
      </c>
      <c r="D171" s="1186">
        <v>23</v>
      </c>
      <c r="E171" s="1186">
        <v>21</v>
      </c>
      <c r="F171" s="1186">
        <v>2</v>
      </c>
      <c r="G171" s="1186"/>
      <c r="H171" s="1186"/>
    </row>
    <row r="172" spans="1:8" x14ac:dyDescent="0.2">
      <c r="A172" s="1186" t="s">
        <v>341</v>
      </c>
      <c r="B172" s="1186" t="s">
        <v>133</v>
      </c>
      <c r="C172" s="1186" t="s">
        <v>31</v>
      </c>
      <c r="D172" s="1186">
        <v>13</v>
      </c>
      <c r="E172" s="1186">
        <v>11</v>
      </c>
      <c r="F172" s="1186">
        <v>1</v>
      </c>
      <c r="G172" s="1186"/>
      <c r="H172" s="1186">
        <v>1</v>
      </c>
    </row>
    <row r="173" spans="1:8" x14ac:dyDescent="0.2">
      <c r="A173" s="1186" t="s">
        <v>341</v>
      </c>
      <c r="B173" s="1186" t="s">
        <v>133</v>
      </c>
      <c r="C173" s="1186" t="s">
        <v>32</v>
      </c>
      <c r="D173" s="1186">
        <v>12</v>
      </c>
      <c r="E173" s="1186">
        <v>9</v>
      </c>
      <c r="F173" s="1186">
        <v>1</v>
      </c>
      <c r="G173" s="1186"/>
      <c r="H173" s="1186">
        <v>2</v>
      </c>
    </row>
    <row r="174" spans="1:8" x14ac:dyDescent="0.2">
      <c r="A174" s="1186" t="s">
        <v>341</v>
      </c>
      <c r="B174" s="1186" t="s">
        <v>133</v>
      </c>
      <c r="C174" s="1186" t="s">
        <v>33</v>
      </c>
      <c r="D174" s="1186">
        <v>5</v>
      </c>
      <c r="E174" s="1186">
        <v>5</v>
      </c>
      <c r="F174" s="1186"/>
      <c r="G174" s="1186"/>
      <c r="H174" s="1186"/>
    </row>
    <row r="175" spans="1:8" x14ac:dyDescent="0.2">
      <c r="A175" s="1186" t="s">
        <v>341</v>
      </c>
      <c r="B175" s="1186" t="s">
        <v>133</v>
      </c>
      <c r="C175" s="1186" t="s">
        <v>34</v>
      </c>
      <c r="D175" s="1186">
        <v>16</v>
      </c>
      <c r="E175" s="1186">
        <v>16</v>
      </c>
      <c r="F175" s="1186"/>
      <c r="G175" s="1186"/>
      <c r="H175" s="1186"/>
    </row>
    <row r="176" spans="1:8" x14ac:dyDescent="0.2">
      <c r="A176" s="1186" t="s">
        <v>341</v>
      </c>
      <c r="B176" s="1186" t="s">
        <v>133</v>
      </c>
      <c r="C176" s="1186" t="s">
        <v>35</v>
      </c>
      <c r="D176" s="1186">
        <v>48</v>
      </c>
      <c r="E176" s="1186">
        <v>35</v>
      </c>
      <c r="F176" s="1186">
        <v>7</v>
      </c>
      <c r="G176" s="1186">
        <v>4</v>
      </c>
      <c r="H176" s="1186">
        <v>2</v>
      </c>
    </row>
    <row r="177" spans="1:8" x14ac:dyDescent="0.2">
      <c r="A177" s="1186" t="s">
        <v>341</v>
      </c>
      <c r="B177" s="1186" t="s">
        <v>133</v>
      </c>
      <c r="C177" s="1186" t="s">
        <v>36</v>
      </c>
      <c r="D177" s="1186">
        <v>110</v>
      </c>
      <c r="E177" s="1186">
        <v>104</v>
      </c>
      <c r="F177" s="1186">
        <v>2</v>
      </c>
      <c r="G177" s="1186">
        <v>2</v>
      </c>
      <c r="H177" s="1186">
        <v>2</v>
      </c>
    </row>
    <row r="178" spans="1:8" x14ac:dyDescent="0.2">
      <c r="A178" s="1186" t="s">
        <v>341</v>
      </c>
      <c r="B178" s="1186" t="s">
        <v>133</v>
      </c>
      <c r="C178" s="1186" t="s">
        <v>37</v>
      </c>
      <c r="D178" s="1186">
        <v>48</v>
      </c>
      <c r="E178" s="1186">
        <v>38</v>
      </c>
      <c r="F178" s="1186">
        <v>8</v>
      </c>
      <c r="G178" s="1186">
        <v>2</v>
      </c>
      <c r="H178" s="1186"/>
    </row>
    <row r="179" spans="1:8" x14ac:dyDescent="0.2">
      <c r="A179" s="1186" t="s">
        <v>341</v>
      </c>
      <c r="B179" s="1186" t="s">
        <v>133</v>
      </c>
      <c r="C179" s="1186" t="s">
        <v>38</v>
      </c>
      <c r="D179" s="1186">
        <v>23</v>
      </c>
      <c r="E179" s="1186">
        <v>22</v>
      </c>
      <c r="F179" s="1186">
        <v>1</v>
      </c>
      <c r="G179" s="1186"/>
      <c r="H179" s="1186"/>
    </row>
    <row r="180" spans="1:8" x14ac:dyDescent="0.2">
      <c r="A180" s="1186" t="s">
        <v>341</v>
      </c>
      <c r="B180" s="1186" t="s">
        <v>133</v>
      </c>
      <c r="C180" s="1186" t="s">
        <v>39</v>
      </c>
      <c r="D180" s="1186">
        <v>18</v>
      </c>
      <c r="E180" s="1186">
        <v>14</v>
      </c>
      <c r="F180" s="1186">
        <v>1</v>
      </c>
      <c r="G180" s="1186">
        <v>1</v>
      </c>
      <c r="H180" s="1186">
        <v>2</v>
      </c>
    </row>
    <row r="181" spans="1:8" x14ac:dyDescent="0.2">
      <c r="A181" s="1186" t="s">
        <v>341</v>
      </c>
      <c r="B181" s="1186" t="s">
        <v>133</v>
      </c>
      <c r="C181" s="1186" t="s">
        <v>40</v>
      </c>
      <c r="D181" s="1186">
        <v>17</v>
      </c>
      <c r="E181" s="1186">
        <v>8</v>
      </c>
      <c r="F181" s="1186">
        <v>7</v>
      </c>
      <c r="G181" s="1186">
        <v>2</v>
      </c>
      <c r="H181" s="1186"/>
    </row>
    <row r="182" spans="1:8" x14ac:dyDescent="0.2">
      <c r="A182" s="1186" t="s">
        <v>341</v>
      </c>
      <c r="B182" s="1186" t="s">
        <v>133</v>
      </c>
      <c r="C182" s="1186" t="s">
        <v>295</v>
      </c>
      <c r="D182" s="1186">
        <v>5</v>
      </c>
      <c r="E182" s="1186">
        <v>4</v>
      </c>
      <c r="F182" s="1186"/>
      <c r="G182" s="1186">
        <v>1</v>
      </c>
      <c r="H182" s="1186"/>
    </row>
    <row r="183" spans="1:8" x14ac:dyDescent="0.2">
      <c r="A183" s="1186" t="s">
        <v>341</v>
      </c>
      <c r="B183" s="1186" t="s">
        <v>133</v>
      </c>
      <c r="C183" s="1186" t="s">
        <v>41</v>
      </c>
      <c r="D183" s="1186">
        <v>36</v>
      </c>
      <c r="E183" s="1186">
        <v>31</v>
      </c>
      <c r="F183" s="1186"/>
      <c r="G183" s="1186">
        <v>3</v>
      </c>
      <c r="H183" s="1186">
        <v>2</v>
      </c>
    </row>
    <row r="184" spans="1:8" x14ac:dyDescent="0.2">
      <c r="A184" s="1186" t="s">
        <v>341</v>
      </c>
      <c r="B184" s="1186" t="s">
        <v>133</v>
      </c>
      <c r="C184" s="1186" t="s">
        <v>42</v>
      </c>
      <c r="D184" s="1186">
        <v>55</v>
      </c>
      <c r="E184" s="1186">
        <v>54</v>
      </c>
      <c r="F184" s="1186">
        <v>1</v>
      </c>
      <c r="G184" s="1186"/>
      <c r="H184" s="1186"/>
    </row>
    <row r="185" spans="1:8" x14ac:dyDescent="0.2">
      <c r="A185" s="1186" t="s">
        <v>341</v>
      </c>
      <c r="B185" s="1186" t="s">
        <v>133</v>
      </c>
      <c r="C185" s="1186" t="s">
        <v>43</v>
      </c>
      <c r="D185" s="1186">
        <v>2</v>
      </c>
      <c r="E185" s="1186">
        <v>2</v>
      </c>
      <c r="F185" s="1186"/>
      <c r="G185" s="1186"/>
      <c r="H185" s="1186"/>
    </row>
    <row r="186" spans="1:8" x14ac:dyDescent="0.2">
      <c r="A186" s="1186" t="s">
        <v>341</v>
      </c>
      <c r="B186" s="1186" t="s">
        <v>133</v>
      </c>
      <c r="C186" s="1186" t="s">
        <v>44</v>
      </c>
      <c r="D186" s="1186">
        <v>22</v>
      </c>
      <c r="E186" s="1186">
        <v>17</v>
      </c>
      <c r="F186" s="1186">
        <v>4</v>
      </c>
      <c r="G186" s="1186">
        <v>1</v>
      </c>
      <c r="H186" s="1186"/>
    </row>
    <row r="187" spans="1:8" x14ac:dyDescent="0.2">
      <c r="A187" s="1186" t="s">
        <v>341</v>
      </c>
      <c r="B187" s="1186" t="s">
        <v>133</v>
      </c>
      <c r="C187" s="1186" t="s">
        <v>45</v>
      </c>
      <c r="D187" s="1186">
        <v>24</v>
      </c>
      <c r="E187" s="1186">
        <v>22</v>
      </c>
      <c r="F187" s="1186"/>
      <c r="G187" s="1186"/>
      <c r="H187" s="1186">
        <v>2</v>
      </c>
    </row>
    <row r="188" spans="1:8" x14ac:dyDescent="0.2">
      <c r="A188" s="1186" t="s">
        <v>341</v>
      </c>
      <c r="B188" s="1186" t="s">
        <v>133</v>
      </c>
      <c r="C188" s="1186" t="s">
        <v>46</v>
      </c>
      <c r="D188" s="1186">
        <v>14</v>
      </c>
      <c r="E188" s="1186">
        <v>13</v>
      </c>
      <c r="F188" s="1186">
        <v>1</v>
      </c>
      <c r="G188" s="1186"/>
      <c r="H188" s="1186"/>
    </row>
    <row r="189" spans="1:8" x14ac:dyDescent="0.2">
      <c r="A189" s="1186" t="s">
        <v>341</v>
      </c>
      <c r="B189" s="1186" t="s">
        <v>133</v>
      </c>
      <c r="C189" s="1186" t="s">
        <v>47</v>
      </c>
      <c r="D189" s="1186">
        <v>2</v>
      </c>
      <c r="E189" s="1186">
        <v>1</v>
      </c>
      <c r="F189" s="1186">
        <v>1</v>
      </c>
      <c r="G189" s="1186"/>
      <c r="H189" s="1186"/>
    </row>
    <row r="190" spans="1:8" x14ac:dyDescent="0.2">
      <c r="A190" s="1186" t="s">
        <v>341</v>
      </c>
      <c r="B190" s="1186" t="s">
        <v>133</v>
      </c>
      <c r="C190" s="1186" t="s">
        <v>48</v>
      </c>
      <c r="D190" s="1186">
        <v>22</v>
      </c>
      <c r="E190" s="1186">
        <v>17</v>
      </c>
      <c r="F190" s="1186">
        <v>4</v>
      </c>
      <c r="G190" s="1186"/>
      <c r="H190" s="1186">
        <v>1</v>
      </c>
    </row>
    <row r="191" spans="1:8" x14ac:dyDescent="0.2">
      <c r="A191" s="1186" t="s">
        <v>341</v>
      </c>
      <c r="B191" s="1186" t="s">
        <v>133</v>
      </c>
      <c r="C191" s="1186" t="s">
        <v>49</v>
      </c>
      <c r="D191" s="1186">
        <v>42</v>
      </c>
      <c r="E191" s="1186">
        <v>39</v>
      </c>
      <c r="F191" s="1186">
        <v>2</v>
      </c>
      <c r="G191" s="1186">
        <v>1</v>
      </c>
      <c r="H191" s="1186"/>
    </row>
    <row r="192" spans="1:8" x14ac:dyDescent="0.2">
      <c r="A192" s="1186" t="s">
        <v>341</v>
      </c>
      <c r="B192" s="1186" t="s">
        <v>133</v>
      </c>
      <c r="C192" s="1186" t="s">
        <v>50</v>
      </c>
      <c r="D192" s="1186">
        <v>10</v>
      </c>
      <c r="E192" s="1186">
        <v>6</v>
      </c>
      <c r="F192" s="1186">
        <v>2</v>
      </c>
      <c r="G192" s="1186">
        <v>2</v>
      </c>
      <c r="H192" s="1186"/>
    </row>
    <row r="193" spans="1:8" x14ac:dyDescent="0.2">
      <c r="A193" s="1186" t="s">
        <v>341</v>
      </c>
      <c r="B193" s="1186" t="s">
        <v>133</v>
      </c>
      <c r="C193" s="1186" t="s">
        <v>51</v>
      </c>
      <c r="D193" s="1186">
        <v>5</v>
      </c>
      <c r="E193" s="1186">
        <v>5</v>
      </c>
      <c r="F193" s="1186"/>
      <c r="G193" s="1186"/>
      <c r="H193" s="1186"/>
    </row>
    <row r="194" spans="1:8" x14ac:dyDescent="0.2">
      <c r="A194" s="1186" t="s">
        <v>341</v>
      </c>
      <c r="B194" s="1186" t="s">
        <v>133</v>
      </c>
      <c r="C194" s="1186" t="s">
        <v>52</v>
      </c>
      <c r="D194" s="1186">
        <v>29</v>
      </c>
      <c r="E194" s="1186">
        <v>22</v>
      </c>
      <c r="F194" s="1186">
        <v>6</v>
      </c>
      <c r="G194" s="1186"/>
      <c r="H194" s="1186">
        <v>1</v>
      </c>
    </row>
    <row r="195" spans="1:8" x14ac:dyDescent="0.2">
      <c r="A195" s="1186" t="s">
        <v>341</v>
      </c>
      <c r="B195" s="1186" t="s">
        <v>144</v>
      </c>
      <c r="C195" s="1186" t="s">
        <v>23</v>
      </c>
      <c r="D195" s="1186">
        <v>65</v>
      </c>
      <c r="E195" s="1186">
        <v>54</v>
      </c>
      <c r="F195" s="1186">
        <v>9</v>
      </c>
      <c r="G195" s="1186"/>
      <c r="H195" s="1186">
        <v>2</v>
      </c>
    </row>
    <row r="196" spans="1:8" x14ac:dyDescent="0.2">
      <c r="A196" s="1186" t="s">
        <v>341</v>
      </c>
      <c r="B196" s="1186" t="s">
        <v>144</v>
      </c>
      <c r="C196" s="1186" t="s">
        <v>24</v>
      </c>
      <c r="D196" s="1186">
        <v>37</v>
      </c>
      <c r="E196" s="1186">
        <v>19</v>
      </c>
      <c r="F196" s="1186">
        <v>6</v>
      </c>
      <c r="G196" s="1186">
        <v>9</v>
      </c>
      <c r="H196" s="1186">
        <v>3</v>
      </c>
    </row>
    <row r="197" spans="1:8" x14ac:dyDescent="0.2">
      <c r="A197" s="1186" t="s">
        <v>341</v>
      </c>
      <c r="B197" s="1186" t="s">
        <v>144</v>
      </c>
      <c r="C197" s="1186" t="s">
        <v>25</v>
      </c>
      <c r="D197" s="1186">
        <v>24</v>
      </c>
      <c r="E197" s="1186">
        <v>23</v>
      </c>
      <c r="F197" s="1186"/>
      <c r="G197" s="1186">
        <v>1</v>
      </c>
      <c r="H197" s="1186"/>
    </row>
    <row r="198" spans="1:8" x14ac:dyDescent="0.2">
      <c r="A198" s="1186" t="s">
        <v>341</v>
      </c>
      <c r="B198" s="1186" t="s">
        <v>144</v>
      </c>
      <c r="C198" s="1186" t="s">
        <v>26</v>
      </c>
      <c r="D198" s="1186">
        <v>9</v>
      </c>
      <c r="E198" s="1186">
        <v>3</v>
      </c>
      <c r="F198" s="1186">
        <v>4</v>
      </c>
      <c r="G198" s="1186">
        <v>1</v>
      </c>
      <c r="H198" s="1186">
        <v>1</v>
      </c>
    </row>
    <row r="199" spans="1:8" x14ac:dyDescent="0.2">
      <c r="A199" s="1186" t="s">
        <v>341</v>
      </c>
      <c r="B199" s="1186" t="s">
        <v>144</v>
      </c>
      <c r="C199" s="1186" t="s">
        <v>619</v>
      </c>
      <c r="D199" s="1186">
        <v>106</v>
      </c>
      <c r="E199" s="1186">
        <v>97</v>
      </c>
      <c r="F199" s="1186">
        <v>8</v>
      </c>
      <c r="G199" s="1186"/>
      <c r="H199" s="1186">
        <v>1</v>
      </c>
    </row>
    <row r="200" spans="1:8" x14ac:dyDescent="0.2">
      <c r="A200" s="1186" t="s">
        <v>341</v>
      </c>
      <c r="B200" s="1186" t="s">
        <v>144</v>
      </c>
      <c r="C200" s="1186" t="s">
        <v>27</v>
      </c>
      <c r="D200" s="1186">
        <v>9</v>
      </c>
      <c r="E200" s="1186">
        <v>7</v>
      </c>
      <c r="F200" s="1186"/>
      <c r="G200" s="1186"/>
      <c r="H200" s="1186">
        <v>2</v>
      </c>
    </row>
    <row r="201" spans="1:8" x14ac:dyDescent="0.2">
      <c r="A201" s="1186" t="s">
        <v>341</v>
      </c>
      <c r="B201" s="1186" t="s">
        <v>144</v>
      </c>
      <c r="C201" s="1186" t="s">
        <v>28</v>
      </c>
      <c r="D201" s="1186">
        <v>13</v>
      </c>
      <c r="E201" s="1186">
        <v>6</v>
      </c>
      <c r="F201" s="1186">
        <v>2</v>
      </c>
      <c r="G201" s="1186">
        <v>4</v>
      </c>
      <c r="H201" s="1186">
        <v>1</v>
      </c>
    </row>
    <row r="202" spans="1:8" x14ac:dyDescent="0.2">
      <c r="A202" s="1186" t="s">
        <v>341</v>
      </c>
      <c r="B202" s="1186" t="s">
        <v>144</v>
      </c>
      <c r="C202" s="1186" t="s">
        <v>29</v>
      </c>
      <c r="D202" s="1186">
        <v>50</v>
      </c>
      <c r="E202" s="1186">
        <v>45</v>
      </c>
      <c r="F202" s="1186">
        <v>4</v>
      </c>
      <c r="G202" s="1186"/>
      <c r="H202" s="1186">
        <v>1</v>
      </c>
    </row>
    <row r="203" spans="1:8" x14ac:dyDescent="0.2">
      <c r="A203" s="1186" t="s">
        <v>341</v>
      </c>
      <c r="B203" s="1186" t="s">
        <v>144</v>
      </c>
      <c r="C203" s="1186" t="s">
        <v>30</v>
      </c>
      <c r="D203" s="1186">
        <v>35</v>
      </c>
      <c r="E203" s="1186">
        <v>25</v>
      </c>
      <c r="F203" s="1186">
        <v>4</v>
      </c>
      <c r="G203" s="1186">
        <v>5</v>
      </c>
      <c r="H203" s="1186">
        <v>1</v>
      </c>
    </row>
    <row r="204" spans="1:8" x14ac:dyDescent="0.2">
      <c r="A204" s="1186" t="s">
        <v>341</v>
      </c>
      <c r="B204" s="1186" t="s">
        <v>144</v>
      </c>
      <c r="C204" s="1186" t="s">
        <v>31</v>
      </c>
      <c r="D204" s="1186">
        <v>13</v>
      </c>
      <c r="E204" s="1186">
        <v>11</v>
      </c>
      <c r="F204" s="1186">
        <v>2</v>
      </c>
      <c r="G204" s="1186"/>
      <c r="H204" s="1186"/>
    </row>
    <row r="205" spans="1:8" x14ac:dyDescent="0.2">
      <c r="A205" s="1186" t="s">
        <v>341</v>
      </c>
      <c r="B205" s="1186" t="s">
        <v>144</v>
      </c>
      <c r="C205" s="1186" t="s">
        <v>32</v>
      </c>
      <c r="D205" s="1186">
        <v>9</v>
      </c>
      <c r="E205" s="1186">
        <v>7</v>
      </c>
      <c r="F205" s="1186">
        <v>1</v>
      </c>
      <c r="G205" s="1186">
        <v>1</v>
      </c>
      <c r="H205" s="1186"/>
    </row>
    <row r="206" spans="1:8" x14ac:dyDescent="0.2">
      <c r="A206" s="1186" t="s">
        <v>341</v>
      </c>
      <c r="B206" s="1186" t="s">
        <v>144</v>
      </c>
      <c r="C206" s="1186" t="s">
        <v>33</v>
      </c>
      <c r="D206" s="1186">
        <v>9</v>
      </c>
      <c r="E206" s="1186">
        <v>8</v>
      </c>
      <c r="F206" s="1186">
        <v>1</v>
      </c>
      <c r="G206" s="1186"/>
      <c r="H206" s="1186"/>
    </row>
    <row r="207" spans="1:8" x14ac:dyDescent="0.2">
      <c r="A207" s="1186" t="s">
        <v>341</v>
      </c>
      <c r="B207" s="1186" t="s">
        <v>144</v>
      </c>
      <c r="C207" s="1186" t="s">
        <v>34</v>
      </c>
      <c r="D207" s="1186">
        <v>33</v>
      </c>
      <c r="E207" s="1186">
        <v>24</v>
      </c>
      <c r="F207" s="1186">
        <v>2</v>
      </c>
      <c r="G207" s="1186">
        <v>4</v>
      </c>
      <c r="H207" s="1186">
        <v>3</v>
      </c>
    </row>
    <row r="208" spans="1:8" x14ac:dyDescent="0.2">
      <c r="A208" s="1186" t="s">
        <v>341</v>
      </c>
      <c r="B208" s="1186" t="s">
        <v>144</v>
      </c>
      <c r="C208" s="1186" t="s">
        <v>35</v>
      </c>
      <c r="D208" s="1186">
        <v>25</v>
      </c>
      <c r="E208" s="1186">
        <v>20</v>
      </c>
      <c r="F208" s="1186">
        <v>2</v>
      </c>
      <c r="G208" s="1186">
        <v>1</v>
      </c>
      <c r="H208" s="1186">
        <v>2</v>
      </c>
    </row>
    <row r="209" spans="1:8" x14ac:dyDescent="0.2">
      <c r="A209" s="1186" t="s">
        <v>341</v>
      </c>
      <c r="B209" s="1186" t="s">
        <v>144</v>
      </c>
      <c r="C209" s="1186" t="s">
        <v>36</v>
      </c>
      <c r="D209" s="1186">
        <v>160</v>
      </c>
      <c r="E209" s="1186">
        <v>143</v>
      </c>
      <c r="F209" s="1186">
        <v>10</v>
      </c>
      <c r="G209" s="1186">
        <v>4</v>
      </c>
      <c r="H209" s="1186">
        <v>3</v>
      </c>
    </row>
    <row r="210" spans="1:8" x14ac:dyDescent="0.2">
      <c r="A210" s="1186" t="s">
        <v>341</v>
      </c>
      <c r="B210" s="1186" t="s">
        <v>144</v>
      </c>
      <c r="C210" s="1186" t="s">
        <v>37</v>
      </c>
      <c r="D210" s="1186">
        <v>46</v>
      </c>
      <c r="E210" s="1186">
        <v>26</v>
      </c>
      <c r="F210" s="1186">
        <v>6</v>
      </c>
      <c r="G210" s="1186">
        <v>12</v>
      </c>
      <c r="H210" s="1186">
        <v>2</v>
      </c>
    </row>
    <row r="211" spans="1:8" x14ac:dyDescent="0.2">
      <c r="A211" s="1186" t="s">
        <v>341</v>
      </c>
      <c r="B211" s="1186" t="s">
        <v>144</v>
      </c>
      <c r="C211" s="1186" t="s">
        <v>38</v>
      </c>
      <c r="D211" s="1186">
        <v>31</v>
      </c>
      <c r="E211" s="1186">
        <v>27</v>
      </c>
      <c r="F211" s="1186">
        <v>3</v>
      </c>
      <c r="G211" s="1186"/>
      <c r="H211" s="1186">
        <v>1</v>
      </c>
    </row>
    <row r="212" spans="1:8" x14ac:dyDescent="0.2">
      <c r="A212" s="1186" t="s">
        <v>341</v>
      </c>
      <c r="B212" s="1186" t="s">
        <v>144</v>
      </c>
      <c r="C212" s="1186" t="s">
        <v>39</v>
      </c>
      <c r="D212" s="1186">
        <v>10</v>
      </c>
      <c r="E212" s="1186">
        <v>9</v>
      </c>
      <c r="F212" s="1186"/>
      <c r="G212" s="1186">
        <v>1</v>
      </c>
      <c r="H212" s="1186"/>
    </row>
    <row r="213" spans="1:8" x14ac:dyDescent="0.2">
      <c r="A213" s="1186" t="s">
        <v>341</v>
      </c>
      <c r="B213" s="1186" t="s">
        <v>144</v>
      </c>
      <c r="C213" s="1186" t="s">
        <v>40</v>
      </c>
      <c r="D213" s="1186">
        <v>14</v>
      </c>
      <c r="E213" s="1186">
        <v>9</v>
      </c>
      <c r="F213" s="1186">
        <v>2</v>
      </c>
      <c r="G213" s="1186">
        <v>2</v>
      </c>
      <c r="H213" s="1186">
        <v>1</v>
      </c>
    </row>
    <row r="214" spans="1:8" x14ac:dyDescent="0.2">
      <c r="A214" s="1186" t="s">
        <v>341</v>
      </c>
      <c r="B214" s="1186" t="s">
        <v>144</v>
      </c>
      <c r="C214" s="1186" t="s">
        <v>295</v>
      </c>
      <c r="D214" s="1186">
        <v>7</v>
      </c>
      <c r="E214" s="1186">
        <v>6</v>
      </c>
      <c r="F214" s="1186"/>
      <c r="G214" s="1186"/>
      <c r="H214" s="1186">
        <v>1</v>
      </c>
    </row>
    <row r="215" spans="1:8" x14ac:dyDescent="0.2">
      <c r="A215" s="1186" t="s">
        <v>341</v>
      </c>
      <c r="B215" s="1186" t="s">
        <v>144</v>
      </c>
      <c r="C215" s="1186" t="s">
        <v>41</v>
      </c>
      <c r="D215" s="1186">
        <v>37</v>
      </c>
      <c r="E215" s="1186">
        <v>32</v>
      </c>
      <c r="F215" s="1186">
        <v>5</v>
      </c>
      <c r="G215" s="1186"/>
      <c r="H215" s="1186"/>
    </row>
    <row r="216" spans="1:8" x14ac:dyDescent="0.2">
      <c r="A216" s="1186" t="s">
        <v>341</v>
      </c>
      <c r="B216" s="1186" t="s">
        <v>144</v>
      </c>
      <c r="C216" s="1186" t="s">
        <v>42</v>
      </c>
      <c r="D216" s="1186">
        <v>59</v>
      </c>
      <c r="E216" s="1186">
        <v>51</v>
      </c>
      <c r="F216" s="1186">
        <v>7</v>
      </c>
      <c r="G216" s="1186">
        <v>1</v>
      </c>
      <c r="H216" s="1186"/>
    </row>
    <row r="217" spans="1:8" x14ac:dyDescent="0.2">
      <c r="A217" s="1186" t="s">
        <v>341</v>
      </c>
      <c r="B217" s="1186" t="s">
        <v>144</v>
      </c>
      <c r="C217" s="1186" t="s">
        <v>43</v>
      </c>
      <c r="D217" s="1186">
        <v>1</v>
      </c>
      <c r="E217" s="1186">
        <v>1</v>
      </c>
      <c r="F217" s="1186"/>
      <c r="G217" s="1186"/>
      <c r="H217" s="1186"/>
    </row>
    <row r="218" spans="1:8" x14ac:dyDescent="0.2">
      <c r="A218" s="1186" t="s">
        <v>341</v>
      </c>
      <c r="B218" s="1186" t="s">
        <v>144</v>
      </c>
      <c r="C218" s="1186" t="s">
        <v>44</v>
      </c>
      <c r="D218" s="1186">
        <v>21</v>
      </c>
      <c r="E218" s="1186">
        <v>12</v>
      </c>
      <c r="F218" s="1186">
        <v>2</v>
      </c>
      <c r="G218" s="1186">
        <v>6</v>
      </c>
      <c r="H218" s="1186">
        <v>1</v>
      </c>
    </row>
    <row r="219" spans="1:8" x14ac:dyDescent="0.2">
      <c r="A219" s="1186" t="s">
        <v>341</v>
      </c>
      <c r="B219" s="1186" t="s">
        <v>144</v>
      </c>
      <c r="C219" s="1186" t="s">
        <v>45</v>
      </c>
      <c r="D219" s="1186">
        <v>26</v>
      </c>
      <c r="E219" s="1186">
        <v>25</v>
      </c>
      <c r="F219" s="1186">
        <v>1</v>
      </c>
      <c r="G219" s="1186"/>
      <c r="H219" s="1186"/>
    </row>
    <row r="220" spans="1:8" x14ac:dyDescent="0.2">
      <c r="A220" s="1186" t="s">
        <v>341</v>
      </c>
      <c r="B220" s="1186" t="s">
        <v>144</v>
      </c>
      <c r="C220" s="1186" t="s">
        <v>46</v>
      </c>
      <c r="D220" s="1186">
        <v>17</v>
      </c>
      <c r="E220" s="1186">
        <v>14</v>
      </c>
      <c r="F220" s="1186">
        <v>3</v>
      </c>
      <c r="G220" s="1186"/>
      <c r="H220" s="1186"/>
    </row>
    <row r="221" spans="1:8" x14ac:dyDescent="0.2">
      <c r="A221" s="1186" t="s">
        <v>341</v>
      </c>
      <c r="B221" s="1186" t="s">
        <v>144</v>
      </c>
      <c r="C221" s="1186" t="s">
        <v>47</v>
      </c>
      <c r="D221" s="1186">
        <v>1</v>
      </c>
      <c r="E221" s="1186">
        <v>1</v>
      </c>
      <c r="F221" s="1186"/>
      <c r="G221" s="1186"/>
      <c r="H221" s="1186"/>
    </row>
    <row r="222" spans="1:8" x14ac:dyDescent="0.2">
      <c r="A222" s="1186" t="s">
        <v>341</v>
      </c>
      <c r="B222" s="1186" t="s">
        <v>144</v>
      </c>
      <c r="C222" s="1186" t="s">
        <v>48</v>
      </c>
      <c r="D222" s="1186">
        <v>22</v>
      </c>
      <c r="E222" s="1186">
        <v>18</v>
      </c>
      <c r="F222" s="1186">
        <v>3</v>
      </c>
      <c r="G222" s="1186">
        <v>1</v>
      </c>
      <c r="H222" s="1186"/>
    </row>
    <row r="223" spans="1:8" x14ac:dyDescent="0.2">
      <c r="A223" s="1186" t="s">
        <v>341</v>
      </c>
      <c r="B223" s="1186" t="s">
        <v>144</v>
      </c>
      <c r="C223" s="1186" t="s">
        <v>49</v>
      </c>
      <c r="D223" s="1186">
        <v>55</v>
      </c>
      <c r="E223" s="1186">
        <v>47</v>
      </c>
      <c r="F223" s="1186">
        <v>5</v>
      </c>
      <c r="G223" s="1186">
        <v>2</v>
      </c>
      <c r="H223" s="1186">
        <v>1</v>
      </c>
    </row>
    <row r="224" spans="1:8" x14ac:dyDescent="0.2">
      <c r="A224" s="1186" t="s">
        <v>341</v>
      </c>
      <c r="B224" s="1186" t="s">
        <v>144</v>
      </c>
      <c r="C224" s="1186" t="s">
        <v>50</v>
      </c>
      <c r="D224" s="1186">
        <v>15</v>
      </c>
      <c r="E224" s="1186">
        <v>8</v>
      </c>
      <c r="F224" s="1186">
        <v>5</v>
      </c>
      <c r="G224" s="1186">
        <v>1</v>
      </c>
      <c r="H224" s="1186">
        <v>1</v>
      </c>
    </row>
    <row r="225" spans="1:8" x14ac:dyDescent="0.2">
      <c r="A225" s="1186" t="s">
        <v>341</v>
      </c>
      <c r="B225" s="1186" t="s">
        <v>144</v>
      </c>
      <c r="C225" s="1186" t="s">
        <v>51</v>
      </c>
      <c r="D225" s="1186">
        <v>27</v>
      </c>
      <c r="E225" s="1186">
        <v>27</v>
      </c>
      <c r="F225" s="1186"/>
      <c r="G225" s="1186"/>
      <c r="H225" s="1186"/>
    </row>
    <row r="226" spans="1:8" x14ac:dyDescent="0.2">
      <c r="A226" s="1186" t="s">
        <v>341</v>
      </c>
      <c r="B226" s="1186" t="s">
        <v>144</v>
      </c>
      <c r="C226" s="1186" t="s">
        <v>52</v>
      </c>
      <c r="D226" s="1186">
        <v>31</v>
      </c>
      <c r="E226" s="1186">
        <v>24</v>
      </c>
      <c r="F226" s="1186">
        <v>6</v>
      </c>
      <c r="G226" s="1186"/>
      <c r="H226" s="1186">
        <v>1</v>
      </c>
    </row>
    <row r="227" spans="1:8" x14ac:dyDescent="0.2">
      <c r="A227" s="1186" t="s">
        <v>341</v>
      </c>
      <c r="B227" s="1186" t="s">
        <v>282</v>
      </c>
      <c r="C227" s="1186" t="s">
        <v>23</v>
      </c>
      <c r="D227" s="1186">
        <v>34</v>
      </c>
      <c r="E227" s="1186">
        <v>31</v>
      </c>
      <c r="F227" s="1186">
        <v>1</v>
      </c>
      <c r="G227" s="1186">
        <v>2</v>
      </c>
      <c r="H227" s="1186"/>
    </row>
    <row r="228" spans="1:8" x14ac:dyDescent="0.2">
      <c r="A228" s="1186" t="s">
        <v>341</v>
      </c>
      <c r="B228" s="1186" t="s">
        <v>282</v>
      </c>
      <c r="C228" s="1186" t="s">
        <v>24</v>
      </c>
      <c r="D228" s="1186">
        <v>27</v>
      </c>
      <c r="E228" s="1186">
        <v>20</v>
      </c>
      <c r="F228" s="1186">
        <v>3</v>
      </c>
      <c r="G228" s="1186">
        <v>3</v>
      </c>
      <c r="H228" s="1186">
        <v>1</v>
      </c>
    </row>
    <row r="229" spans="1:8" x14ac:dyDescent="0.2">
      <c r="A229" s="1186" t="s">
        <v>341</v>
      </c>
      <c r="B229" s="1186" t="s">
        <v>282</v>
      </c>
      <c r="C229" s="1186" t="s">
        <v>25</v>
      </c>
      <c r="D229" s="1186">
        <v>15</v>
      </c>
      <c r="E229" s="1186">
        <v>12</v>
      </c>
      <c r="F229" s="1186">
        <v>1</v>
      </c>
      <c r="G229" s="1186"/>
      <c r="H229" s="1186">
        <v>2</v>
      </c>
    </row>
    <row r="230" spans="1:8" x14ac:dyDescent="0.2">
      <c r="A230" s="1186" t="s">
        <v>341</v>
      </c>
      <c r="B230" s="1186" t="s">
        <v>282</v>
      </c>
      <c r="C230" s="1186" t="s">
        <v>26</v>
      </c>
      <c r="D230" s="1186">
        <v>13</v>
      </c>
      <c r="E230" s="1186">
        <v>12</v>
      </c>
      <c r="F230" s="1186">
        <v>1</v>
      </c>
      <c r="G230" s="1186"/>
      <c r="H230" s="1186"/>
    </row>
    <row r="231" spans="1:8" x14ac:dyDescent="0.2">
      <c r="A231" s="1186" t="s">
        <v>341</v>
      </c>
      <c r="B231" s="1186" t="s">
        <v>282</v>
      </c>
      <c r="C231" s="1186" t="s">
        <v>619</v>
      </c>
      <c r="D231" s="1186">
        <v>121</v>
      </c>
      <c r="E231" s="1186">
        <v>109</v>
      </c>
      <c r="F231" s="1186">
        <v>8</v>
      </c>
      <c r="G231" s="1186"/>
      <c r="H231" s="1186">
        <v>4</v>
      </c>
    </row>
    <row r="232" spans="1:8" x14ac:dyDescent="0.2">
      <c r="A232" s="1186" t="s">
        <v>341</v>
      </c>
      <c r="B232" s="1186" t="s">
        <v>282</v>
      </c>
      <c r="C232" s="1186" t="s">
        <v>27</v>
      </c>
      <c r="D232" s="1186">
        <v>18</v>
      </c>
      <c r="E232" s="1186">
        <v>16</v>
      </c>
      <c r="F232" s="1186">
        <v>1</v>
      </c>
      <c r="G232" s="1186">
        <v>1</v>
      </c>
      <c r="H232" s="1186"/>
    </row>
    <row r="233" spans="1:8" x14ac:dyDescent="0.2">
      <c r="A233" s="1186" t="s">
        <v>341</v>
      </c>
      <c r="B233" s="1186" t="s">
        <v>282</v>
      </c>
      <c r="C233" s="1186" t="s">
        <v>28</v>
      </c>
      <c r="D233" s="1186">
        <v>8</v>
      </c>
      <c r="E233" s="1186">
        <v>7</v>
      </c>
      <c r="F233" s="1186"/>
      <c r="G233" s="1186">
        <v>1</v>
      </c>
      <c r="H233" s="1186"/>
    </row>
    <row r="234" spans="1:8" x14ac:dyDescent="0.2">
      <c r="A234" s="1186" t="s">
        <v>341</v>
      </c>
      <c r="B234" s="1186" t="s">
        <v>282</v>
      </c>
      <c r="C234" s="1186" t="s">
        <v>29</v>
      </c>
      <c r="D234" s="1186">
        <v>42</v>
      </c>
      <c r="E234" s="1186">
        <v>38</v>
      </c>
      <c r="F234" s="1186">
        <v>1</v>
      </c>
      <c r="G234" s="1186">
        <v>2</v>
      </c>
      <c r="H234" s="1186">
        <v>1</v>
      </c>
    </row>
    <row r="235" spans="1:8" x14ac:dyDescent="0.2">
      <c r="A235" s="1186" t="s">
        <v>341</v>
      </c>
      <c r="B235" s="1186" t="s">
        <v>282</v>
      </c>
      <c r="C235" s="1186" t="s">
        <v>30</v>
      </c>
      <c r="D235" s="1186">
        <v>24</v>
      </c>
      <c r="E235" s="1186">
        <v>21</v>
      </c>
      <c r="F235" s="1186">
        <v>3</v>
      </c>
      <c r="G235" s="1186"/>
      <c r="H235" s="1186"/>
    </row>
    <row r="236" spans="1:8" x14ac:dyDescent="0.2">
      <c r="A236" s="1186" t="s">
        <v>341</v>
      </c>
      <c r="B236" s="1186" t="s">
        <v>282</v>
      </c>
      <c r="C236" s="1186" t="s">
        <v>31</v>
      </c>
      <c r="D236" s="1186">
        <v>20</v>
      </c>
      <c r="E236" s="1186">
        <v>20</v>
      </c>
      <c r="F236" s="1186"/>
      <c r="G236" s="1186"/>
      <c r="H236" s="1186"/>
    </row>
    <row r="237" spans="1:8" x14ac:dyDescent="0.2">
      <c r="A237" s="1186" t="s">
        <v>341</v>
      </c>
      <c r="B237" s="1186" t="s">
        <v>282</v>
      </c>
      <c r="C237" s="1186" t="s">
        <v>32</v>
      </c>
      <c r="D237" s="1186">
        <v>8</v>
      </c>
      <c r="E237" s="1186">
        <v>8</v>
      </c>
      <c r="F237" s="1186"/>
      <c r="G237" s="1186"/>
      <c r="H237" s="1186"/>
    </row>
    <row r="238" spans="1:8" x14ac:dyDescent="0.2">
      <c r="A238" s="1186" t="s">
        <v>341</v>
      </c>
      <c r="B238" s="1186" t="s">
        <v>282</v>
      </c>
      <c r="C238" s="1186" t="s">
        <v>33</v>
      </c>
      <c r="D238" s="1186">
        <v>5</v>
      </c>
      <c r="E238" s="1186">
        <v>5</v>
      </c>
      <c r="F238" s="1186"/>
      <c r="G238" s="1186"/>
      <c r="H238" s="1186"/>
    </row>
    <row r="239" spans="1:8" x14ac:dyDescent="0.2">
      <c r="A239" s="1186" t="s">
        <v>341</v>
      </c>
      <c r="B239" s="1186" t="s">
        <v>282</v>
      </c>
      <c r="C239" s="1186" t="s">
        <v>34</v>
      </c>
      <c r="D239" s="1186">
        <v>23</v>
      </c>
      <c r="E239" s="1186">
        <v>22</v>
      </c>
      <c r="F239" s="1186"/>
      <c r="G239" s="1186"/>
      <c r="H239" s="1186">
        <v>1</v>
      </c>
    </row>
    <row r="240" spans="1:8" x14ac:dyDescent="0.2">
      <c r="A240" s="1186" t="s">
        <v>341</v>
      </c>
      <c r="B240" s="1186" t="s">
        <v>282</v>
      </c>
      <c r="C240" s="1186" t="s">
        <v>35</v>
      </c>
      <c r="D240" s="1186">
        <v>60</v>
      </c>
      <c r="E240" s="1186">
        <v>53</v>
      </c>
      <c r="F240" s="1186">
        <v>1</v>
      </c>
      <c r="G240" s="1186">
        <v>3</v>
      </c>
      <c r="H240" s="1186">
        <v>3</v>
      </c>
    </row>
    <row r="241" spans="1:8" x14ac:dyDescent="0.2">
      <c r="A241" s="1186" t="s">
        <v>341</v>
      </c>
      <c r="B241" s="1186" t="s">
        <v>282</v>
      </c>
      <c r="C241" s="1186" t="s">
        <v>36</v>
      </c>
      <c r="D241" s="1186">
        <v>139</v>
      </c>
      <c r="E241" s="1186">
        <v>131</v>
      </c>
      <c r="F241" s="1186">
        <v>6</v>
      </c>
      <c r="G241" s="1186"/>
      <c r="H241" s="1186">
        <v>2</v>
      </c>
    </row>
    <row r="242" spans="1:8" x14ac:dyDescent="0.2">
      <c r="A242" s="1186" t="s">
        <v>341</v>
      </c>
      <c r="B242" s="1186" t="s">
        <v>282</v>
      </c>
      <c r="C242" s="1186" t="s">
        <v>37</v>
      </c>
      <c r="D242" s="1186">
        <v>42</v>
      </c>
      <c r="E242" s="1186">
        <v>25</v>
      </c>
      <c r="F242" s="1186">
        <v>3</v>
      </c>
      <c r="G242" s="1186">
        <v>9</v>
      </c>
      <c r="H242" s="1186">
        <v>5</v>
      </c>
    </row>
    <row r="243" spans="1:8" x14ac:dyDescent="0.2">
      <c r="A243" s="1186" t="s">
        <v>341</v>
      </c>
      <c r="B243" s="1186" t="s">
        <v>282</v>
      </c>
      <c r="C243" s="1186" t="s">
        <v>38</v>
      </c>
      <c r="D243" s="1186">
        <v>28</v>
      </c>
      <c r="E243" s="1186">
        <v>26</v>
      </c>
      <c r="F243" s="1186">
        <v>1</v>
      </c>
      <c r="G243" s="1186">
        <v>1</v>
      </c>
      <c r="H243" s="1186"/>
    </row>
    <row r="244" spans="1:8" x14ac:dyDescent="0.2">
      <c r="A244" s="1186" t="s">
        <v>341</v>
      </c>
      <c r="B244" s="1186" t="s">
        <v>282</v>
      </c>
      <c r="C244" s="1186" t="s">
        <v>39</v>
      </c>
      <c r="D244" s="1186">
        <v>11</v>
      </c>
      <c r="E244" s="1186">
        <v>9</v>
      </c>
      <c r="F244" s="1186">
        <v>1</v>
      </c>
      <c r="G244" s="1186"/>
      <c r="H244" s="1186">
        <v>1</v>
      </c>
    </row>
    <row r="245" spans="1:8" x14ac:dyDescent="0.2">
      <c r="A245" s="1186" t="s">
        <v>341</v>
      </c>
      <c r="B245" s="1186" t="s">
        <v>282</v>
      </c>
      <c r="C245" s="1186" t="s">
        <v>40</v>
      </c>
      <c r="D245" s="1186">
        <v>15</v>
      </c>
      <c r="E245" s="1186">
        <v>13</v>
      </c>
      <c r="F245" s="1186">
        <v>1</v>
      </c>
      <c r="G245" s="1186">
        <v>1</v>
      </c>
      <c r="H245" s="1186"/>
    </row>
    <row r="246" spans="1:8" x14ac:dyDescent="0.2">
      <c r="A246" s="1186" t="s">
        <v>341</v>
      </c>
      <c r="B246" s="1186" t="s">
        <v>282</v>
      </c>
      <c r="C246" s="1186" t="s">
        <v>295</v>
      </c>
      <c r="D246" s="1186">
        <v>3</v>
      </c>
      <c r="E246" s="1186">
        <v>3</v>
      </c>
      <c r="F246" s="1186"/>
      <c r="G246" s="1186"/>
      <c r="H246" s="1186"/>
    </row>
    <row r="247" spans="1:8" x14ac:dyDescent="0.2">
      <c r="A247" s="1186" t="s">
        <v>341</v>
      </c>
      <c r="B247" s="1186" t="s">
        <v>282</v>
      </c>
      <c r="C247" s="1186" t="s">
        <v>41</v>
      </c>
      <c r="D247" s="1186">
        <v>20</v>
      </c>
      <c r="E247" s="1186">
        <v>18</v>
      </c>
      <c r="F247" s="1186">
        <v>2</v>
      </c>
      <c r="G247" s="1186"/>
      <c r="H247" s="1186"/>
    </row>
    <row r="248" spans="1:8" x14ac:dyDescent="0.2">
      <c r="A248" s="1186" t="s">
        <v>341</v>
      </c>
      <c r="B248" s="1186" t="s">
        <v>282</v>
      </c>
      <c r="C248" s="1186" t="s">
        <v>42</v>
      </c>
      <c r="D248" s="1186">
        <v>61</v>
      </c>
      <c r="E248" s="1186">
        <v>53</v>
      </c>
      <c r="F248" s="1186">
        <v>2</v>
      </c>
      <c r="G248" s="1186">
        <v>5</v>
      </c>
      <c r="H248" s="1186">
        <v>1</v>
      </c>
    </row>
    <row r="249" spans="1:8" x14ac:dyDescent="0.2">
      <c r="A249" s="1186" t="s">
        <v>341</v>
      </c>
      <c r="B249" s="1186" t="s">
        <v>282</v>
      </c>
      <c r="C249" s="1186" t="s">
        <v>43</v>
      </c>
      <c r="D249" s="1186">
        <v>2</v>
      </c>
      <c r="E249" s="1186"/>
      <c r="F249" s="1186">
        <v>2</v>
      </c>
      <c r="G249" s="1186"/>
      <c r="H249" s="1186"/>
    </row>
    <row r="250" spans="1:8" x14ac:dyDescent="0.2">
      <c r="A250" s="1186" t="s">
        <v>341</v>
      </c>
      <c r="B250" s="1186" t="s">
        <v>282</v>
      </c>
      <c r="C250" s="1186" t="s">
        <v>44</v>
      </c>
      <c r="D250" s="1186">
        <v>22</v>
      </c>
      <c r="E250" s="1186">
        <v>19</v>
      </c>
      <c r="F250" s="1186">
        <v>1</v>
      </c>
      <c r="G250" s="1186">
        <v>1</v>
      </c>
      <c r="H250" s="1186">
        <v>1</v>
      </c>
    </row>
    <row r="251" spans="1:8" x14ac:dyDescent="0.2">
      <c r="A251" s="1186" t="s">
        <v>341</v>
      </c>
      <c r="B251" s="1186" t="s">
        <v>282</v>
      </c>
      <c r="C251" s="1186" t="s">
        <v>45</v>
      </c>
      <c r="D251" s="1186">
        <v>29</v>
      </c>
      <c r="E251" s="1186">
        <v>24</v>
      </c>
      <c r="F251" s="1186">
        <v>3</v>
      </c>
      <c r="G251" s="1186">
        <v>2</v>
      </c>
      <c r="H251" s="1186"/>
    </row>
    <row r="252" spans="1:8" x14ac:dyDescent="0.2">
      <c r="A252" s="1186" t="s">
        <v>341</v>
      </c>
      <c r="B252" s="1186" t="s">
        <v>282</v>
      </c>
      <c r="C252" s="1186" t="s">
        <v>46</v>
      </c>
      <c r="D252" s="1186">
        <v>26</v>
      </c>
      <c r="E252" s="1186">
        <v>25</v>
      </c>
      <c r="F252" s="1186">
        <v>1</v>
      </c>
      <c r="G252" s="1186"/>
      <c r="H252" s="1186"/>
    </row>
    <row r="253" spans="1:8" x14ac:dyDescent="0.2">
      <c r="A253" s="1186" t="s">
        <v>341</v>
      </c>
      <c r="B253" s="1186" t="s">
        <v>282</v>
      </c>
      <c r="C253" s="1186" t="s">
        <v>47</v>
      </c>
      <c r="D253" s="1186">
        <v>3</v>
      </c>
      <c r="E253" s="1186"/>
      <c r="F253" s="1186">
        <v>3</v>
      </c>
      <c r="G253" s="1186"/>
      <c r="H253" s="1186"/>
    </row>
    <row r="254" spans="1:8" x14ac:dyDescent="0.2">
      <c r="A254" s="1186" t="s">
        <v>341</v>
      </c>
      <c r="B254" s="1186" t="s">
        <v>282</v>
      </c>
      <c r="C254" s="1186" t="s">
        <v>48</v>
      </c>
      <c r="D254" s="1186">
        <v>24</v>
      </c>
      <c r="E254" s="1186">
        <v>18</v>
      </c>
      <c r="F254" s="1186">
        <v>3</v>
      </c>
      <c r="G254" s="1186">
        <v>3</v>
      </c>
      <c r="H254" s="1186"/>
    </row>
    <row r="255" spans="1:8" x14ac:dyDescent="0.2">
      <c r="A255" s="1186" t="s">
        <v>341</v>
      </c>
      <c r="B255" s="1186" t="s">
        <v>282</v>
      </c>
      <c r="C255" s="1186" t="s">
        <v>49</v>
      </c>
      <c r="D255" s="1186">
        <v>35</v>
      </c>
      <c r="E255" s="1186">
        <v>26</v>
      </c>
      <c r="F255" s="1186">
        <v>1</v>
      </c>
      <c r="G255" s="1186">
        <v>5</v>
      </c>
      <c r="H255" s="1186">
        <v>3</v>
      </c>
    </row>
    <row r="256" spans="1:8" x14ac:dyDescent="0.2">
      <c r="A256" s="1186" t="s">
        <v>341</v>
      </c>
      <c r="B256" s="1186" t="s">
        <v>282</v>
      </c>
      <c r="C256" s="1186" t="s">
        <v>50</v>
      </c>
      <c r="D256" s="1186">
        <v>13</v>
      </c>
      <c r="E256" s="1186">
        <v>9</v>
      </c>
      <c r="F256" s="1186">
        <v>2</v>
      </c>
      <c r="G256" s="1186">
        <v>1</v>
      </c>
      <c r="H256" s="1186">
        <v>1</v>
      </c>
    </row>
    <row r="257" spans="1:8" x14ac:dyDescent="0.2">
      <c r="A257" s="1186" t="s">
        <v>341</v>
      </c>
      <c r="B257" s="1186" t="s">
        <v>282</v>
      </c>
      <c r="C257" s="1186" t="s">
        <v>51</v>
      </c>
      <c r="D257" s="1186">
        <v>13</v>
      </c>
      <c r="E257" s="1186">
        <v>12</v>
      </c>
      <c r="F257" s="1186">
        <v>1</v>
      </c>
      <c r="G257" s="1186"/>
      <c r="H257" s="1186"/>
    </row>
    <row r="258" spans="1:8" x14ac:dyDescent="0.2">
      <c r="A258" s="1186" t="s">
        <v>341</v>
      </c>
      <c r="B258" s="1186" t="s">
        <v>282</v>
      </c>
      <c r="C258" s="1186" t="s">
        <v>52</v>
      </c>
      <c r="D258" s="1186">
        <v>32</v>
      </c>
      <c r="E258" s="1186">
        <v>29</v>
      </c>
      <c r="F258" s="1186">
        <v>3</v>
      </c>
      <c r="G258" s="1186"/>
      <c r="H258" s="1186"/>
    </row>
    <row r="259" spans="1:8" x14ac:dyDescent="0.2">
      <c r="A259" s="1186" t="s">
        <v>341</v>
      </c>
      <c r="B259" s="1186" t="s">
        <v>311</v>
      </c>
      <c r="C259" s="1186" t="s">
        <v>23</v>
      </c>
      <c r="D259" s="1186">
        <v>28</v>
      </c>
      <c r="E259" s="1186">
        <v>26</v>
      </c>
      <c r="F259" s="1186">
        <v>1</v>
      </c>
      <c r="G259" s="1186"/>
      <c r="H259" s="1186">
        <v>1</v>
      </c>
    </row>
    <row r="260" spans="1:8" x14ac:dyDescent="0.2">
      <c r="A260" s="1186" t="s">
        <v>341</v>
      </c>
      <c r="B260" s="1186" t="s">
        <v>311</v>
      </c>
      <c r="C260" s="1186" t="s">
        <v>24</v>
      </c>
      <c r="D260" s="1186">
        <v>41</v>
      </c>
      <c r="E260" s="1186">
        <v>28</v>
      </c>
      <c r="F260" s="1186">
        <v>4</v>
      </c>
      <c r="G260" s="1186">
        <v>4</v>
      </c>
      <c r="H260" s="1186">
        <v>5</v>
      </c>
    </row>
    <row r="261" spans="1:8" x14ac:dyDescent="0.2">
      <c r="A261" s="1186" t="s">
        <v>341</v>
      </c>
      <c r="B261" s="1186" t="s">
        <v>311</v>
      </c>
      <c r="C261" s="1186" t="s">
        <v>25</v>
      </c>
      <c r="D261" s="1186">
        <v>19</v>
      </c>
      <c r="E261" s="1186">
        <v>16</v>
      </c>
      <c r="F261" s="1186">
        <v>2</v>
      </c>
      <c r="G261" s="1186">
        <v>1</v>
      </c>
      <c r="H261" s="1186"/>
    </row>
    <row r="262" spans="1:8" x14ac:dyDescent="0.2">
      <c r="A262" s="1186" t="s">
        <v>341</v>
      </c>
      <c r="B262" s="1186" t="s">
        <v>311</v>
      </c>
      <c r="C262" s="1186" t="s">
        <v>26</v>
      </c>
      <c r="D262" s="1186">
        <v>13</v>
      </c>
      <c r="E262" s="1186">
        <v>13</v>
      </c>
      <c r="F262" s="1186"/>
      <c r="G262" s="1186"/>
      <c r="H262" s="1186"/>
    </row>
    <row r="263" spans="1:8" x14ac:dyDescent="0.2">
      <c r="A263" s="1186" t="s">
        <v>341</v>
      </c>
      <c r="B263" s="1186" t="s">
        <v>311</v>
      </c>
      <c r="C263" s="1186" t="s">
        <v>619</v>
      </c>
      <c r="D263" s="1186">
        <v>86</v>
      </c>
      <c r="E263" s="1186">
        <v>75</v>
      </c>
      <c r="F263" s="1186">
        <v>10</v>
      </c>
      <c r="G263" s="1186">
        <v>1</v>
      </c>
      <c r="H263" s="1186"/>
    </row>
    <row r="264" spans="1:8" x14ac:dyDescent="0.2">
      <c r="A264" s="1186" t="s">
        <v>341</v>
      </c>
      <c r="B264" s="1186" t="s">
        <v>311</v>
      </c>
      <c r="C264" s="1186" t="s">
        <v>27</v>
      </c>
      <c r="D264" s="1186">
        <v>5</v>
      </c>
      <c r="E264" s="1186">
        <v>5</v>
      </c>
      <c r="F264" s="1186"/>
      <c r="G264" s="1186"/>
      <c r="H264" s="1186"/>
    </row>
    <row r="265" spans="1:8" x14ac:dyDescent="0.2">
      <c r="A265" s="1186" t="s">
        <v>341</v>
      </c>
      <c r="B265" s="1186" t="s">
        <v>311</v>
      </c>
      <c r="C265" s="1186" t="s">
        <v>28</v>
      </c>
      <c r="D265" s="1186">
        <v>6</v>
      </c>
      <c r="E265" s="1186">
        <v>4</v>
      </c>
      <c r="F265" s="1186">
        <v>2</v>
      </c>
      <c r="G265" s="1186"/>
      <c r="H265" s="1186"/>
    </row>
    <row r="266" spans="1:8" x14ac:dyDescent="0.2">
      <c r="A266" s="1186" t="s">
        <v>341</v>
      </c>
      <c r="B266" s="1186" t="s">
        <v>311</v>
      </c>
      <c r="C266" s="1186" t="s">
        <v>29</v>
      </c>
      <c r="D266" s="1186">
        <v>33</v>
      </c>
      <c r="E266" s="1186">
        <v>29</v>
      </c>
      <c r="F266" s="1186">
        <v>2</v>
      </c>
      <c r="G266" s="1186">
        <v>1</v>
      </c>
      <c r="H266" s="1186">
        <v>1</v>
      </c>
    </row>
    <row r="267" spans="1:8" x14ac:dyDescent="0.2">
      <c r="A267" s="1186" t="s">
        <v>341</v>
      </c>
      <c r="B267" s="1186" t="s">
        <v>311</v>
      </c>
      <c r="C267" s="1186" t="s">
        <v>30</v>
      </c>
      <c r="D267" s="1186">
        <v>25</v>
      </c>
      <c r="E267" s="1186">
        <v>22</v>
      </c>
      <c r="F267" s="1186">
        <v>1</v>
      </c>
      <c r="G267" s="1186">
        <v>2</v>
      </c>
      <c r="H267" s="1186"/>
    </row>
    <row r="268" spans="1:8" x14ac:dyDescent="0.2">
      <c r="A268" s="1186" t="s">
        <v>341</v>
      </c>
      <c r="B268" s="1186" t="s">
        <v>311</v>
      </c>
      <c r="C268" s="1186" t="s">
        <v>31</v>
      </c>
      <c r="D268" s="1186">
        <v>13</v>
      </c>
      <c r="E268" s="1186">
        <v>9</v>
      </c>
      <c r="F268" s="1186">
        <v>4</v>
      </c>
      <c r="G268" s="1186"/>
      <c r="H268" s="1186"/>
    </row>
    <row r="269" spans="1:8" x14ac:dyDescent="0.2">
      <c r="A269" s="1186" t="s">
        <v>341</v>
      </c>
      <c r="B269" s="1186" t="s">
        <v>311</v>
      </c>
      <c r="C269" s="1186" t="s">
        <v>32</v>
      </c>
      <c r="D269" s="1186">
        <v>12</v>
      </c>
      <c r="E269" s="1186">
        <v>7</v>
      </c>
      <c r="F269" s="1186">
        <v>1</v>
      </c>
      <c r="G269" s="1186">
        <v>4</v>
      </c>
      <c r="H269" s="1186"/>
    </row>
    <row r="270" spans="1:8" x14ac:dyDescent="0.2">
      <c r="A270" s="1186" t="s">
        <v>341</v>
      </c>
      <c r="B270" s="1186" t="s">
        <v>311</v>
      </c>
      <c r="C270" s="1186" t="s">
        <v>33</v>
      </c>
      <c r="D270" s="1186">
        <v>9</v>
      </c>
      <c r="E270" s="1186">
        <v>9</v>
      </c>
      <c r="F270" s="1186"/>
      <c r="G270" s="1186"/>
      <c r="H270" s="1186"/>
    </row>
    <row r="271" spans="1:8" x14ac:dyDescent="0.2">
      <c r="A271" s="1186" t="s">
        <v>341</v>
      </c>
      <c r="B271" s="1186" t="s">
        <v>311</v>
      </c>
      <c r="C271" s="1186" t="s">
        <v>34</v>
      </c>
      <c r="D271" s="1186">
        <v>24</v>
      </c>
      <c r="E271" s="1186">
        <v>16</v>
      </c>
      <c r="F271" s="1186">
        <v>7</v>
      </c>
      <c r="G271" s="1186"/>
      <c r="H271" s="1186">
        <v>1</v>
      </c>
    </row>
    <row r="272" spans="1:8" x14ac:dyDescent="0.2">
      <c r="A272" s="1186" t="s">
        <v>341</v>
      </c>
      <c r="B272" s="1186" t="s">
        <v>311</v>
      </c>
      <c r="C272" s="1186" t="s">
        <v>35</v>
      </c>
      <c r="D272" s="1186">
        <v>37</v>
      </c>
      <c r="E272" s="1186">
        <v>29</v>
      </c>
      <c r="F272" s="1186">
        <v>5</v>
      </c>
      <c r="G272" s="1186">
        <v>2</v>
      </c>
      <c r="H272" s="1186">
        <v>1</v>
      </c>
    </row>
    <row r="273" spans="1:8" x14ac:dyDescent="0.2">
      <c r="A273" s="1186" t="s">
        <v>341</v>
      </c>
      <c r="B273" s="1186" t="s">
        <v>311</v>
      </c>
      <c r="C273" s="1186" t="s">
        <v>36</v>
      </c>
      <c r="D273" s="1186">
        <v>153</v>
      </c>
      <c r="E273" s="1186">
        <v>137</v>
      </c>
      <c r="F273" s="1186">
        <v>12</v>
      </c>
      <c r="G273" s="1186">
        <v>2</v>
      </c>
      <c r="H273" s="1186">
        <v>2</v>
      </c>
    </row>
    <row r="274" spans="1:8" x14ac:dyDescent="0.2">
      <c r="A274" s="1186" t="s">
        <v>341</v>
      </c>
      <c r="B274" s="1186" t="s">
        <v>311</v>
      </c>
      <c r="C274" s="1186" t="s">
        <v>37</v>
      </c>
      <c r="D274" s="1186">
        <v>28</v>
      </c>
      <c r="E274" s="1186">
        <v>21</v>
      </c>
      <c r="F274" s="1186">
        <v>1</v>
      </c>
      <c r="G274" s="1186">
        <v>4</v>
      </c>
      <c r="H274" s="1186">
        <v>2</v>
      </c>
    </row>
    <row r="275" spans="1:8" x14ac:dyDescent="0.2">
      <c r="A275" s="1186" t="s">
        <v>341</v>
      </c>
      <c r="B275" s="1186" t="s">
        <v>311</v>
      </c>
      <c r="C275" s="1186" t="s">
        <v>38</v>
      </c>
      <c r="D275" s="1186">
        <v>10</v>
      </c>
      <c r="E275" s="1186">
        <v>9</v>
      </c>
      <c r="F275" s="1186"/>
      <c r="G275" s="1186"/>
      <c r="H275" s="1186">
        <v>1</v>
      </c>
    </row>
    <row r="276" spans="1:8" x14ac:dyDescent="0.2">
      <c r="A276" s="1186" t="s">
        <v>341</v>
      </c>
      <c r="B276" s="1186" t="s">
        <v>311</v>
      </c>
      <c r="C276" s="1186" t="s">
        <v>39</v>
      </c>
      <c r="D276" s="1186">
        <v>15</v>
      </c>
      <c r="E276" s="1186">
        <v>15</v>
      </c>
      <c r="F276" s="1186"/>
      <c r="G276" s="1186"/>
      <c r="H276" s="1186"/>
    </row>
    <row r="277" spans="1:8" x14ac:dyDescent="0.2">
      <c r="A277" s="1186" t="s">
        <v>341</v>
      </c>
      <c r="B277" s="1186" t="s">
        <v>311</v>
      </c>
      <c r="C277" s="1186" t="s">
        <v>40</v>
      </c>
      <c r="D277" s="1186">
        <v>18</v>
      </c>
      <c r="E277" s="1186">
        <v>13</v>
      </c>
      <c r="F277" s="1186">
        <v>3</v>
      </c>
      <c r="G277" s="1186">
        <v>2</v>
      </c>
      <c r="H277" s="1186"/>
    </row>
    <row r="278" spans="1:8" x14ac:dyDescent="0.2">
      <c r="A278" s="1186" t="s">
        <v>341</v>
      </c>
      <c r="B278" s="1186" t="s">
        <v>311</v>
      </c>
      <c r="C278" s="1186" t="s">
        <v>295</v>
      </c>
      <c r="D278" s="1186">
        <v>1</v>
      </c>
      <c r="E278" s="1186">
        <v>1</v>
      </c>
      <c r="F278" s="1186"/>
      <c r="G278" s="1186"/>
      <c r="H278" s="1186"/>
    </row>
    <row r="279" spans="1:8" x14ac:dyDescent="0.2">
      <c r="A279" s="1186" t="s">
        <v>341</v>
      </c>
      <c r="B279" s="1186" t="s">
        <v>311</v>
      </c>
      <c r="C279" s="1186" t="s">
        <v>41</v>
      </c>
      <c r="D279" s="1186">
        <v>14</v>
      </c>
      <c r="E279" s="1186">
        <v>12</v>
      </c>
      <c r="F279" s="1186">
        <v>2</v>
      </c>
      <c r="G279" s="1186"/>
      <c r="H279" s="1186"/>
    </row>
    <row r="280" spans="1:8" x14ac:dyDescent="0.2">
      <c r="A280" s="1186" t="s">
        <v>341</v>
      </c>
      <c r="B280" s="1186" t="s">
        <v>311</v>
      </c>
      <c r="C280" s="1186" t="s">
        <v>42</v>
      </c>
      <c r="D280" s="1186">
        <v>67</v>
      </c>
      <c r="E280" s="1186">
        <v>56</v>
      </c>
      <c r="F280" s="1186">
        <v>9</v>
      </c>
      <c r="G280" s="1186">
        <v>2</v>
      </c>
      <c r="H280" s="1186"/>
    </row>
    <row r="281" spans="1:8" x14ac:dyDescent="0.2">
      <c r="A281" s="1186" t="s">
        <v>341</v>
      </c>
      <c r="B281" s="1186" t="s">
        <v>311</v>
      </c>
      <c r="C281" s="1186" t="s">
        <v>43</v>
      </c>
      <c r="D281" s="1186">
        <v>1</v>
      </c>
      <c r="E281" s="1186"/>
      <c r="F281" s="1186"/>
      <c r="G281" s="1186">
        <v>1</v>
      </c>
      <c r="H281" s="1186"/>
    </row>
    <row r="282" spans="1:8" x14ac:dyDescent="0.2">
      <c r="A282" s="1186" t="s">
        <v>341</v>
      </c>
      <c r="B282" s="1186" t="s">
        <v>311</v>
      </c>
      <c r="C282" s="1186" t="s">
        <v>44</v>
      </c>
      <c r="D282" s="1186">
        <v>18</v>
      </c>
      <c r="E282" s="1186">
        <v>16</v>
      </c>
      <c r="F282" s="1186">
        <v>2</v>
      </c>
      <c r="G282" s="1186"/>
      <c r="H282" s="1186"/>
    </row>
    <row r="283" spans="1:8" x14ac:dyDescent="0.2">
      <c r="A283" s="1186" t="s">
        <v>341</v>
      </c>
      <c r="B283" s="1186" t="s">
        <v>311</v>
      </c>
      <c r="C283" s="1186" t="s">
        <v>45</v>
      </c>
      <c r="D283" s="1186">
        <v>35</v>
      </c>
      <c r="E283" s="1186">
        <v>30</v>
      </c>
      <c r="F283" s="1186">
        <v>1</v>
      </c>
      <c r="G283" s="1186">
        <v>4</v>
      </c>
      <c r="H283" s="1186"/>
    </row>
    <row r="284" spans="1:8" x14ac:dyDescent="0.2">
      <c r="A284" s="1186" t="s">
        <v>341</v>
      </c>
      <c r="B284" s="1186" t="s">
        <v>311</v>
      </c>
      <c r="C284" s="1186" t="s">
        <v>46</v>
      </c>
      <c r="D284" s="1186">
        <v>16</v>
      </c>
      <c r="E284" s="1186">
        <v>15</v>
      </c>
      <c r="F284" s="1186"/>
      <c r="G284" s="1186"/>
      <c r="H284" s="1186">
        <v>1</v>
      </c>
    </row>
    <row r="285" spans="1:8" x14ac:dyDescent="0.2">
      <c r="A285" s="1186" t="s">
        <v>341</v>
      </c>
      <c r="B285" s="1186" t="s">
        <v>311</v>
      </c>
      <c r="C285" s="1186" t="s">
        <v>47</v>
      </c>
      <c r="D285" s="1186">
        <v>6</v>
      </c>
      <c r="E285" s="1186">
        <v>5</v>
      </c>
      <c r="F285" s="1186">
        <v>1</v>
      </c>
      <c r="G285" s="1186"/>
      <c r="H285" s="1186"/>
    </row>
    <row r="286" spans="1:8" x14ac:dyDescent="0.2">
      <c r="A286" s="1186" t="s">
        <v>341</v>
      </c>
      <c r="B286" s="1186" t="s">
        <v>311</v>
      </c>
      <c r="C286" s="1186" t="s">
        <v>48</v>
      </c>
      <c r="D286" s="1186">
        <v>18</v>
      </c>
      <c r="E286" s="1186">
        <v>14</v>
      </c>
      <c r="F286" s="1186">
        <v>2</v>
      </c>
      <c r="G286" s="1186">
        <v>2</v>
      </c>
      <c r="H286" s="1186"/>
    </row>
    <row r="287" spans="1:8" x14ac:dyDescent="0.2">
      <c r="A287" s="1186" t="s">
        <v>341</v>
      </c>
      <c r="B287" s="1186" t="s">
        <v>311</v>
      </c>
      <c r="C287" s="1186" t="s">
        <v>49</v>
      </c>
      <c r="D287" s="1186">
        <v>52</v>
      </c>
      <c r="E287" s="1186">
        <v>45</v>
      </c>
      <c r="F287" s="1186">
        <v>5</v>
      </c>
      <c r="G287" s="1186"/>
      <c r="H287" s="1186">
        <v>2</v>
      </c>
    </row>
    <row r="288" spans="1:8" x14ac:dyDescent="0.2">
      <c r="A288" s="1186" t="s">
        <v>341</v>
      </c>
      <c r="B288" s="1186" t="s">
        <v>311</v>
      </c>
      <c r="C288" s="1186" t="s">
        <v>50</v>
      </c>
      <c r="D288" s="1186">
        <v>19</v>
      </c>
      <c r="E288" s="1186">
        <v>11</v>
      </c>
      <c r="F288" s="1186">
        <v>6</v>
      </c>
      <c r="G288" s="1186">
        <v>2</v>
      </c>
      <c r="H288" s="1186"/>
    </row>
    <row r="289" spans="1:8" x14ac:dyDescent="0.2">
      <c r="A289" s="1186" t="s">
        <v>341</v>
      </c>
      <c r="B289" s="1186" t="s">
        <v>311</v>
      </c>
      <c r="C289" s="1186" t="s">
        <v>51</v>
      </c>
      <c r="D289" s="1186">
        <v>20</v>
      </c>
      <c r="E289" s="1186">
        <v>18</v>
      </c>
      <c r="F289" s="1186">
        <v>1</v>
      </c>
      <c r="G289" s="1186"/>
      <c r="H289" s="1186">
        <v>1</v>
      </c>
    </row>
    <row r="290" spans="1:8" x14ac:dyDescent="0.2">
      <c r="A290" s="1186" t="s">
        <v>341</v>
      </c>
      <c r="B290" s="1186" t="s">
        <v>311</v>
      </c>
      <c r="C290" s="1186" t="s">
        <v>52</v>
      </c>
      <c r="D290" s="1186">
        <v>39</v>
      </c>
      <c r="E290" s="1186">
        <v>31</v>
      </c>
      <c r="F290" s="1186">
        <v>6</v>
      </c>
      <c r="G290" s="1186">
        <v>1</v>
      </c>
      <c r="H290" s="1186">
        <v>1</v>
      </c>
    </row>
    <row r="291" spans="1:8" x14ac:dyDescent="0.2">
      <c r="A291" s="1186" t="s">
        <v>341</v>
      </c>
      <c r="B291" s="1186" t="s">
        <v>621</v>
      </c>
      <c r="C291" s="1186" t="s">
        <v>23</v>
      </c>
      <c r="D291" s="1186">
        <v>52</v>
      </c>
      <c r="E291" s="1186">
        <v>45</v>
      </c>
      <c r="F291" s="1186">
        <v>5</v>
      </c>
      <c r="G291" s="1186"/>
      <c r="H291" s="1186">
        <v>2</v>
      </c>
    </row>
    <row r="292" spans="1:8" x14ac:dyDescent="0.2">
      <c r="A292" s="1186" t="s">
        <v>341</v>
      </c>
      <c r="B292" s="1186" t="s">
        <v>621</v>
      </c>
      <c r="C292" s="1186" t="s">
        <v>24</v>
      </c>
      <c r="D292" s="1186">
        <v>25</v>
      </c>
      <c r="E292" s="1186">
        <v>17</v>
      </c>
      <c r="F292" s="1186">
        <v>2</v>
      </c>
      <c r="G292" s="1186">
        <v>5</v>
      </c>
      <c r="H292" s="1186">
        <v>1</v>
      </c>
    </row>
    <row r="293" spans="1:8" x14ac:dyDescent="0.2">
      <c r="A293" s="1186" t="s">
        <v>341</v>
      </c>
      <c r="B293" s="1186" t="s">
        <v>621</v>
      </c>
      <c r="C293" s="1186" t="s">
        <v>25</v>
      </c>
      <c r="D293" s="1186">
        <v>12</v>
      </c>
      <c r="E293" s="1186">
        <v>11</v>
      </c>
      <c r="F293" s="1186">
        <v>1</v>
      </c>
      <c r="G293" s="1186"/>
      <c r="H293" s="1186"/>
    </row>
    <row r="294" spans="1:8" x14ac:dyDescent="0.2">
      <c r="A294" s="1186" t="s">
        <v>341</v>
      </c>
      <c r="B294" s="1186" t="s">
        <v>621</v>
      </c>
      <c r="C294" s="1186" t="s">
        <v>26</v>
      </c>
      <c r="D294" s="1186">
        <v>12</v>
      </c>
      <c r="E294" s="1186">
        <v>12</v>
      </c>
      <c r="F294" s="1186"/>
      <c r="G294" s="1186"/>
      <c r="H294" s="1186"/>
    </row>
    <row r="295" spans="1:8" x14ac:dyDescent="0.2">
      <c r="A295" s="1186" t="s">
        <v>341</v>
      </c>
      <c r="B295" s="1186" t="s">
        <v>621</v>
      </c>
      <c r="C295" s="1186" t="s">
        <v>619</v>
      </c>
      <c r="D295" s="1186">
        <v>108</v>
      </c>
      <c r="E295" s="1186">
        <v>89</v>
      </c>
      <c r="F295" s="1186">
        <v>10</v>
      </c>
      <c r="G295" s="1186">
        <v>3</v>
      </c>
      <c r="H295" s="1186">
        <v>6</v>
      </c>
    </row>
    <row r="296" spans="1:8" x14ac:dyDescent="0.2">
      <c r="A296" s="1186" t="s">
        <v>341</v>
      </c>
      <c r="B296" s="1186" t="s">
        <v>621</v>
      </c>
      <c r="C296" s="1186" t="s">
        <v>27</v>
      </c>
      <c r="D296" s="1186">
        <v>20</v>
      </c>
      <c r="E296" s="1186">
        <v>13</v>
      </c>
      <c r="F296" s="1186">
        <v>7</v>
      </c>
      <c r="G296" s="1186"/>
      <c r="H296" s="1186"/>
    </row>
    <row r="297" spans="1:8" x14ac:dyDescent="0.2">
      <c r="A297" s="1186" t="s">
        <v>341</v>
      </c>
      <c r="B297" s="1186" t="s">
        <v>621</v>
      </c>
      <c r="C297" s="1186" t="s">
        <v>28</v>
      </c>
      <c r="D297" s="1186">
        <v>11</v>
      </c>
      <c r="E297" s="1186">
        <v>6</v>
      </c>
      <c r="F297" s="1186">
        <v>1</v>
      </c>
      <c r="G297" s="1186">
        <v>4</v>
      </c>
      <c r="H297" s="1186"/>
    </row>
    <row r="298" spans="1:8" x14ac:dyDescent="0.2">
      <c r="A298" s="1186" t="s">
        <v>341</v>
      </c>
      <c r="B298" s="1186" t="s">
        <v>621</v>
      </c>
      <c r="C298" s="1186" t="s">
        <v>29</v>
      </c>
      <c r="D298" s="1186">
        <v>36</v>
      </c>
      <c r="E298" s="1186">
        <v>34</v>
      </c>
      <c r="F298" s="1186">
        <v>2</v>
      </c>
      <c r="G298" s="1186"/>
      <c r="H298" s="1186"/>
    </row>
    <row r="299" spans="1:8" x14ac:dyDescent="0.2">
      <c r="A299" s="1186" t="s">
        <v>341</v>
      </c>
      <c r="B299" s="1186" t="s">
        <v>621</v>
      </c>
      <c r="C299" s="1186" t="s">
        <v>30</v>
      </c>
      <c r="D299" s="1186">
        <v>21</v>
      </c>
      <c r="E299" s="1186">
        <v>20</v>
      </c>
      <c r="F299" s="1186"/>
      <c r="G299" s="1186"/>
      <c r="H299" s="1186">
        <v>1</v>
      </c>
    </row>
    <row r="300" spans="1:8" x14ac:dyDescent="0.2">
      <c r="A300" s="1186" t="s">
        <v>341</v>
      </c>
      <c r="B300" s="1186" t="s">
        <v>621</v>
      </c>
      <c r="C300" s="1186" t="s">
        <v>31</v>
      </c>
      <c r="D300" s="1186">
        <v>5</v>
      </c>
      <c r="E300" s="1186">
        <v>5</v>
      </c>
      <c r="F300" s="1186"/>
      <c r="G300" s="1186"/>
      <c r="H300" s="1186"/>
    </row>
    <row r="301" spans="1:8" x14ac:dyDescent="0.2">
      <c r="A301" s="1186" t="s">
        <v>341</v>
      </c>
      <c r="B301" s="1186" t="s">
        <v>621</v>
      </c>
      <c r="C301" s="1186" t="s">
        <v>32</v>
      </c>
      <c r="D301" s="1186">
        <v>5</v>
      </c>
      <c r="E301" s="1186">
        <v>4</v>
      </c>
      <c r="F301" s="1186"/>
      <c r="G301" s="1186"/>
      <c r="H301" s="1186">
        <v>1</v>
      </c>
    </row>
    <row r="302" spans="1:8" x14ac:dyDescent="0.2">
      <c r="A302" s="1186" t="s">
        <v>341</v>
      </c>
      <c r="B302" s="1186" t="s">
        <v>621</v>
      </c>
      <c r="C302" s="1186" t="s">
        <v>33</v>
      </c>
      <c r="D302" s="1186">
        <v>10</v>
      </c>
      <c r="E302" s="1186">
        <v>10</v>
      </c>
      <c r="F302" s="1186"/>
      <c r="G302" s="1186"/>
      <c r="H302" s="1186"/>
    </row>
    <row r="303" spans="1:8" x14ac:dyDescent="0.2">
      <c r="A303" s="1186" t="s">
        <v>341</v>
      </c>
      <c r="B303" s="1186" t="s">
        <v>621</v>
      </c>
      <c r="C303" s="1186" t="s">
        <v>34</v>
      </c>
      <c r="D303" s="1186">
        <v>25</v>
      </c>
      <c r="E303" s="1186">
        <v>19</v>
      </c>
      <c r="F303" s="1186">
        <v>3</v>
      </c>
      <c r="G303" s="1186">
        <v>2</v>
      </c>
      <c r="H303" s="1186">
        <v>1</v>
      </c>
    </row>
    <row r="304" spans="1:8" x14ac:dyDescent="0.2">
      <c r="A304" s="1186" t="s">
        <v>341</v>
      </c>
      <c r="B304" s="1186" t="s">
        <v>621</v>
      </c>
      <c r="C304" s="1186" t="s">
        <v>35</v>
      </c>
      <c r="D304" s="1186">
        <v>47</v>
      </c>
      <c r="E304" s="1186">
        <v>41</v>
      </c>
      <c r="F304" s="1186">
        <v>3</v>
      </c>
      <c r="G304" s="1186"/>
      <c r="H304" s="1186">
        <v>3</v>
      </c>
    </row>
    <row r="305" spans="1:8" x14ac:dyDescent="0.2">
      <c r="A305" s="1186" t="s">
        <v>341</v>
      </c>
      <c r="B305" s="1186" t="s">
        <v>621</v>
      </c>
      <c r="C305" s="1186" t="s">
        <v>36</v>
      </c>
      <c r="D305" s="1186">
        <v>149</v>
      </c>
      <c r="E305" s="1186">
        <v>128</v>
      </c>
      <c r="F305" s="1186">
        <v>18</v>
      </c>
      <c r="G305" s="1186">
        <v>2</v>
      </c>
      <c r="H305" s="1186">
        <v>1</v>
      </c>
    </row>
    <row r="306" spans="1:8" x14ac:dyDescent="0.2">
      <c r="A306" s="1186" t="s">
        <v>341</v>
      </c>
      <c r="B306" s="1186" t="s">
        <v>621</v>
      </c>
      <c r="C306" s="1186" t="s">
        <v>37</v>
      </c>
      <c r="D306" s="1186">
        <v>31</v>
      </c>
      <c r="E306" s="1186">
        <v>23</v>
      </c>
      <c r="F306" s="1186">
        <v>2</v>
      </c>
      <c r="G306" s="1186">
        <v>3</v>
      </c>
      <c r="H306" s="1186">
        <v>3</v>
      </c>
    </row>
    <row r="307" spans="1:8" x14ac:dyDescent="0.2">
      <c r="A307" s="1186" t="s">
        <v>341</v>
      </c>
      <c r="B307" s="1186" t="s">
        <v>621</v>
      </c>
      <c r="C307" s="1186" t="s">
        <v>38</v>
      </c>
      <c r="D307" s="1186">
        <v>21</v>
      </c>
      <c r="E307" s="1186">
        <v>20</v>
      </c>
      <c r="F307" s="1186"/>
      <c r="G307" s="1186"/>
      <c r="H307" s="1186">
        <v>1</v>
      </c>
    </row>
    <row r="308" spans="1:8" x14ac:dyDescent="0.2">
      <c r="A308" s="1186" t="s">
        <v>341</v>
      </c>
      <c r="B308" s="1186" t="s">
        <v>621</v>
      </c>
      <c r="C308" s="1186" t="s">
        <v>39</v>
      </c>
      <c r="D308" s="1186">
        <v>12</v>
      </c>
      <c r="E308" s="1186">
        <v>9</v>
      </c>
      <c r="F308" s="1186">
        <v>1</v>
      </c>
      <c r="G308" s="1186">
        <v>1</v>
      </c>
      <c r="H308" s="1186">
        <v>1</v>
      </c>
    </row>
    <row r="309" spans="1:8" x14ac:dyDescent="0.2">
      <c r="A309" s="1186" t="s">
        <v>341</v>
      </c>
      <c r="B309" s="1186" t="s">
        <v>621</v>
      </c>
      <c r="C309" s="1186" t="s">
        <v>40</v>
      </c>
      <c r="D309" s="1186">
        <v>12</v>
      </c>
      <c r="E309" s="1186">
        <v>11</v>
      </c>
      <c r="F309" s="1186">
        <v>1</v>
      </c>
      <c r="G309" s="1186"/>
      <c r="H309" s="1186"/>
    </row>
    <row r="310" spans="1:8" x14ac:dyDescent="0.2">
      <c r="A310" s="1186" t="s">
        <v>341</v>
      </c>
      <c r="B310" s="1186" t="s">
        <v>621</v>
      </c>
      <c r="C310" s="1186" t="s">
        <v>295</v>
      </c>
      <c r="D310" s="1186">
        <v>4</v>
      </c>
      <c r="E310" s="1186">
        <v>3</v>
      </c>
      <c r="F310" s="1186"/>
      <c r="G310" s="1186"/>
      <c r="H310" s="1186">
        <v>1</v>
      </c>
    </row>
    <row r="311" spans="1:8" x14ac:dyDescent="0.2">
      <c r="A311" s="1186" t="s">
        <v>341</v>
      </c>
      <c r="B311" s="1186" t="s">
        <v>621</v>
      </c>
      <c r="C311" s="1186" t="s">
        <v>41</v>
      </c>
      <c r="D311" s="1186">
        <v>33</v>
      </c>
      <c r="E311" s="1186">
        <v>28</v>
      </c>
      <c r="F311" s="1186">
        <v>4</v>
      </c>
      <c r="G311" s="1186"/>
      <c r="H311" s="1186">
        <v>1</v>
      </c>
    </row>
    <row r="312" spans="1:8" x14ac:dyDescent="0.2">
      <c r="A312" s="1186" t="s">
        <v>341</v>
      </c>
      <c r="B312" s="1186" t="s">
        <v>621</v>
      </c>
      <c r="C312" s="1186" t="s">
        <v>42</v>
      </c>
      <c r="D312" s="1186">
        <v>85</v>
      </c>
      <c r="E312" s="1186">
        <v>72</v>
      </c>
      <c r="F312" s="1186">
        <v>6</v>
      </c>
      <c r="G312" s="1186">
        <v>3</v>
      </c>
      <c r="H312" s="1186">
        <v>4</v>
      </c>
    </row>
    <row r="313" spans="1:8" x14ac:dyDescent="0.2">
      <c r="A313" s="1186" t="s">
        <v>341</v>
      </c>
      <c r="B313" s="1186" t="s">
        <v>621</v>
      </c>
      <c r="C313" s="1186" t="s">
        <v>44</v>
      </c>
      <c r="D313" s="1186">
        <v>19</v>
      </c>
      <c r="E313" s="1186">
        <v>16</v>
      </c>
      <c r="F313" s="1186">
        <v>1</v>
      </c>
      <c r="G313" s="1186">
        <v>2</v>
      </c>
      <c r="H313" s="1186"/>
    </row>
    <row r="314" spans="1:8" x14ac:dyDescent="0.2">
      <c r="A314" s="1186" t="s">
        <v>341</v>
      </c>
      <c r="B314" s="1186" t="s">
        <v>621</v>
      </c>
      <c r="C314" s="1186" t="s">
        <v>45</v>
      </c>
      <c r="D314" s="1186">
        <v>42</v>
      </c>
      <c r="E314" s="1186">
        <v>35</v>
      </c>
      <c r="F314" s="1186">
        <v>6</v>
      </c>
      <c r="G314" s="1186"/>
      <c r="H314" s="1186">
        <v>1</v>
      </c>
    </row>
    <row r="315" spans="1:8" x14ac:dyDescent="0.2">
      <c r="A315" s="1186" t="s">
        <v>341</v>
      </c>
      <c r="B315" s="1186" t="s">
        <v>621</v>
      </c>
      <c r="C315" s="1186" t="s">
        <v>46</v>
      </c>
      <c r="D315" s="1186">
        <v>19</v>
      </c>
      <c r="E315" s="1186">
        <v>16</v>
      </c>
      <c r="F315" s="1186">
        <v>3</v>
      </c>
      <c r="G315" s="1186"/>
      <c r="H315" s="1186"/>
    </row>
    <row r="316" spans="1:8" x14ac:dyDescent="0.2">
      <c r="A316" s="1186" t="s">
        <v>341</v>
      </c>
      <c r="B316" s="1186" t="s">
        <v>621</v>
      </c>
      <c r="C316" s="1186" t="s">
        <v>48</v>
      </c>
      <c r="D316" s="1186">
        <v>16</v>
      </c>
      <c r="E316" s="1186">
        <v>14</v>
      </c>
      <c r="F316" s="1186">
        <v>1</v>
      </c>
      <c r="G316" s="1186">
        <v>1</v>
      </c>
      <c r="H316" s="1186"/>
    </row>
    <row r="317" spans="1:8" x14ac:dyDescent="0.2">
      <c r="A317" s="1186" t="s">
        <v>341</v>
      </c>
      <c r="B317" s="1186" t="s">
        <v>621</v>
      </c>
      <c r="C317" s="1186" t="s">
        <v>49</v>
      </c>
      <c r="D317" s="1186">
        <v>52</v>
      </c>
      <c r="E317" s="1186">
        <v>49</v>
      </c>
      <c r="F317" s="1186">
        <v>1</v>
      </c>
      <c r="G317" s="1186"/>
      <c r="H317" s="1186">
        <v>2</v>
      </c>
    </row>
    <row r="318" spans="1:8" x14ac:dyDescent="0.2">
      <c r="A318" s="1186" t="s">
        <v>341</v>
      </c>
      <c r="B318" s="1186" t="s">
        <v>621</v>
      </c>
      <c r="C318" s="1186" t="s">
        <v>50</v>
      </c>
      <c r="D318" s="1186">
        <v>9</v>
      </c>
      <c r="E318" s="1186">
        <v>4</v>
      </c>
      <c r="F318" s="1186">
        <v>2</v>
      </c>
      <c r="G318" s="1186">
        <v>2</v>
      </c>
      <c r="H318" s="1186">
        <v>1</v>
      </c>
    </row>
    <row r="319" spans="1:8" x14ac:dyDescent="0.2">
      <c r="A319" s="1186" t="s">
        <v>341</v>
      </c>
      <c r="B319" s="1186" t="s">
        <v>621</v>
      </c>
      <c r="C319" s="1186" t="s">
        <v>51</v>
      </c>
      <c r="D319" s="1186">
        <v>16</v>
      </c>
      <c r="E319" s="1186">
        <v>14</v>
      </c>
      <c r="F319" s="1186"/>
      <c r="G319" s="1186">
        <v>1</v>
      </c>
      <c r="H319" s="1186">
        <v>1</v>
      </c>
    </row>
    <row r="320" spans="1:8" x14ac:dyDescent="0.2">
      <c r="A320" s="1186" t="s">
        <v>341</v>
      </c>
      <c r="B320" s="1186" t="s">
        <v>621</v>
      </c>
      <c r="C320" s="1186" t="s">
        <v>52</v>
      </c>
      <c r="D320" s="1186">
        <v>40</v>
      </c>
      <c r="E320" s="1186">
        <v>25</v>
      </c>
      <c r="F320" s="1186">
        <v>10</v>
      </c>
      <c r="G320" s="1186">
        <v>2</v>
      </c>
      <c r="H320" s="1186">
        <v>3</v>
      </c>
    </row>
    <row r="321" spans="1:8" x14ac:dyDescent="0.2">
      <c r="A321" s="1186" t="s">
        <v>341</v>
      </c>
      <c r="B321" s="1186" t="s">
        <v>1419</v>
      </c>
      <c r="C321" s="1186" t="s">
        <v>23</v>
      </c>
      <c r="D321" s="1186">
        <v>43</v>
      </c>
      <c r="E321" s="1186">
        <v>40</v>
      </c>
      <c r="F321" s="1186">
        <v>3</v>
      </c>
      <c r="G321" s="1186"/>
      <c r="H321" s="1186"/>
    </row>
    <row r="322" spans="1:8" x14ac:dyDescent="0.2">
      <c r="A322" s="1186" t="s">
        <v>341</v>
      </c>
      <c r="B322" s="1186" t="s">
        <v>1419</v>
      </c>
      <c r="C322" s="1186" t="s">
        <v>24</v>
      </c>
      <c r="D322" s="1186">
        <v>30</v>
      </c>
      <c r="E322" s="1186">
        <v>23</v>
      </c>
      <c r="F322" s="1186">
        <v>4</v>
      </c>
      <c r="G322" s="1186">
        <v>2</v>
      </c>
      <c r="H322" s="1186">
        <v>1</v>
      </c>
    </row>
    <row r="323" spans="1:8" x14ac:dyDescent="0.2">
      <c r="A323" s="1186" t="s">
        <v>341</v>
      </c>
      <c r="B323" s="1186" t="s">
        <v>1419</v>
      </c>
      <c r="C323" s="1186" t="s">
        <v>25</v>
      </c>
      <c r="D323" s="1186">
        <v>14</v>
      </c>
      <c r="E323" s="1186">
        <v>8</v>
      </c>
      <c r="F323" s="1186">
        <v>5</v>
      </c>
      <c r="G323" s="1186"/>
      <c r="H323" s="1186">
        <v>1</v>
      </c>
    </row>
    <row r="324" spans="1:8" x14ac:dyDescent="0.2">
      <c r="A324" s="1186" t="s">
        <v>341</v>
      </c>
      <c r="B324" s="1186" t="s">
        <v>1419</v>
      </c>
      <c r="C324" s="1186" t="s">
        <v>26</v>
      </c>
      <c r="D324" s="1186">
        <v>15</v>
      </c>
      <c r="E324" s="1186">
        <v>11</v>
      </c>
      <c r="F324" s="1186">
        <v>1</v>
      </c>
      <c r="G324" s="1186">
        <v>3</v>
      </c>
      <c r="H324" s="1186"/>
    </row>
    <row r="325" spans="1:8" x14ac:dyDescent="0.2">
      <c r="A325" s="1186" t="s">
        <v>341</v>
      </c>
      <c r="B325" s="1186" t="s">
        <v>1419</v>
      </c>
      <c r="C325" s="1186" t="s">
        <v>619</v>
      </c>
      <c r="D325" s="1186">
        <v>91</v>
      </c>
      <c r="E325" s="1186">
        <v>82</v>
      </c>
      <c r="F325" s="1186">
        <v>6</v>
      </c>
      <c r="G325" s="1186"/>
      <c r="H325" s="1186">
        <v>3</v>
      </c>
    </row>
    <row r="326" spans="1:8" x14ac:dyDescent="0.2">
      <c r="A326" s="1186" t="s">
        <v>341</v>
      </c>
      <c r="B326" s="1186" t="s">
        <v>1419</v>
      </c>
      <c r="C326" s="1186" t="s">
        <v>27</v>
      </c>
      <c r="D326" s="1186">
        <v>11</v>
      </c>
      <c r="E326" s="1186">
        <v>9</v>
      </c>
      <c r="F326" s="1186">
        <v>2</v>
      </c>
      <c r="G326" s="1186"/>
      <c r="H326" s="1186"/>
    </row>
    <row r="327" spans="1:8" x14ac:dyDescent="0.2">
      <c r="A327" s="1186" t="s">
        <v>341</v>
      </c>
      <c r="B327" s="1186" t="s">
        <v>1419</v>
      </c>
      <c r="C327" s="1186" t="s">
        <v>28</v>
      </c>
      <c r="D327" s="1186">
        <v>4</v>
      </c>
      <c r="E327" s="1186">
        <v>3</v>
      </c>
      <c r="F327" s="1186"/>
      <c r="G327" s="1186"/>
      <c r="H327" s="1186">
        <v>1</v>
      </c>
    </row>
    <row r="328" spans="1:8" x14ac:dyDescent="0.2">
      <c r="A328" s="1186" t="s">
        <v>341</v>
      </c>
      <c r="B328" s="1186" t="s">
        <v>1419</v>
      </c>
      <c r="C328" s="1186" t="s">
        <v>29</v>
      </c>
      <c r="D328" s="1186">
        <v>21</v>
      </c>
      <c r="E328" s="1186">
        <v>21</v>
      </c>
      <c r="F328" s="1186"/>
      <c r="G328" s="1186"/>
      <c r="H328" s="1186"/>
    </row>
    <row r="329" spans="1:8" x14ac:dyDescent="0.2">
      <c r="A329" s="1186" t="s">
        <v>341</v>
      </c>
      <c r="B329" s="1186" t="s">
        <v>1419</v>
      </c>
      <c r="C329" s="1186" t="s">
        <v>30</v>
      </c>
      <c r="D329" s="1186">
        <v>15</v>
      </c>
      <c r="E329" s="1186">
        <v>12</v>
      </c>
      <c r="F329" s="1186">
        <v>1</v>
      </c>
      <c r="G329" s="1186">
        <v>1</v>
      </c>
      <c r="H329" s="1186">
        <v>1</v>
      </c>
    </row>
    <row r="330" spans="1:8" x14ac:dyDescent="0.2">
      <c r="A330" s="1186" t="s">
        <v>341</v>
      </c>
      <c r="B330" s="1186" t="s">
        <v>1419</v>
      </c>
      <c r="C330" s="1186" t="s">
        <v>31</v>
      </c>
      <c r="D330" s="1186">
        <v>12</v>
      </c>
      <c r="E330" s="1186">
        <v>6</v>
      </c>
      <c r="F330" s="1186">
        <v>5</v>
      </c>
      <c r="G330" s="1186">
        <v>1</v>
      </c>
      <c r="H330" s="1186"/>
    </row>
    <row r="331" spans="1:8" x14ac:dyDescent="0.2">
      <c r="A331" s="1186" t="s">
        <v>341</v>
      </c>
      <c r="B331" s="1186" t="s">
        <v>1419</v>
      </c>
      <c r="C331" s="1186" t="s">
        <v>32</v>
      </c>
      <c r="D331" s="1186">
        <v>8</v>
      </c>
      <c r="E331" s="1186">
        <v>7</v>
      </c>
      <c r="F331" s="1186"/>
      <c r="G331" s="1186">
        <v>1</v>
      </c>
      <c r="H331" s="1186"/>
    </row>
    <row r="332" spans="1:8" x14ac:dyDescent="0.2">
      <c r="A332" s="1186" t="s">
        <v>341</v>
      </c>
      <c r="B332" s="1186" t="s">
        <v>1419</v>
      </c>
      <c r="C332" s="1186" t="s">
        <v>33</v>
      </c>
      <c r="D332" s="1186">
        <v>9</v>
      </c>
      <c r="E332" s="1186">
        <v>5</v>
      </c>
      <c r="F332" s="1186">
        <v>1</v>
      </c>
      <c r="G332" s="1186"/>
      <c r="H332" s="1186">
        <v>3</v>
      </c>
    </row>
    <row r="333" spans="1:8" x14ac:dyDescent="0.2">
      <c r="A333" s="1186" t="s">
        <v>341</v>
      </c>
      <c r="B333" s="1186" t="s">
        <v>1419</v>
      </c>
      <c r="C333" s="1186" t="s">
        <v>34</v>
      </c>
      <c r="D333" s="1186">
        <v>17</v>
      </c>
      <c r="E333" s="1186">
        <v>14</v>
      </c>
      <c r="F333" s="1186">
        <v>2</v>
      </c>
      <c r="G333" s="1186">
        <v>1</v>
      </c>
      <c r="H333" s="1186"/>
    </row>
    <row r="334" spans="1:8" x14ac:dyDescent="0.2">
      <c r="A334" s="1186" t="s">
        <v>341</v>
      </c>
      <c r="B334" s="1186" t="s">
        <v>1419</v>
      </c>
      <c r="C334" s="1186" t="s">
        <v>35</v>
      </c>
      <c r="D334" s="1186">
        <v>34</v>
      </c>
      <c r="E334" s="1186">
        <v>27</v>
      </c>
      <c r="F334" s="1186">
        <v>5</v>
      </c>
      <c r="G334" s="1186">
        <v>2</v>
      </c>
      <c r="H334" s="1186"/>
    </row>
    <row r="335" spans="1:8" x14ac:dyDescent="0.2">
      <c r="A335" s="1186" t="s">
        <v>341</v>
      </c>
      <c r="B335" s="1186" t="s">
        <v>1419</v>
      </c>
      <c r="C335" s="1186" t="s">
        <v>36</v>
      </c>
      <c r="D335" s="1186">
        <v>136</v>
      </c>
      <c r="E335" s="1186">
        <v>118</v>
      </c>
      <c r="F335" s="1186">
        <v>12</v>
      </c>
      <c r="G335" s="1186">
        <v>3</v>
      </c>
      <c r="H335" s="1186">
        <v>3</v>
      </c>
    </row>
    <row r="336" spans="1:8" x14ac:dyDescent="0.2">
      <c r="A336" s="1186" t="s">
        <v>341</v>
      </c>
      <c r="B336" s="1186" t="s">
        <v>1419</v>
      </c>
      <c r="C336" s="1186" t="s">
        <v>37</v>
      </c>
      <c r="D336" s="1186">
        <v>29</v>
      </c>
      <c r="E336" s="1186">
        <v>21</v>
      </c>
      <c r="F336" s="1186">
        <v>6</v>
      </c>
      <c r="G336" s="1186">
        <v>2</v>
      </c>
      <c r="H336" s="1186"/>
    </row>
    <row r="337" spans="1:8" x14ac:dyDescent="0.2">
      <c r="A337" s="1186" t="s">
        <v>341</v>
      </c>
      <c r="B337" s="1186" t="s">
        <v>1419</v>
      </c>
      <c r="C337" s="1186" t="s">
        <v>38</v>
      </c>
      <c r="D337" s="1186">
        <v>21</v>
      </c>
      <c r="E337" s="1186">
        <v>20</v>
      </c>
      <c r="F337" s="1186">
        <v>1</v>
      </c>
      <c r="G337" s="1186"/>
      <c r="H337" s="1186"/>
    </row>
    <row r="338" spans="1:8" x14ac:dyDescent="0.2">
      <c r="A338" s="1186" t="s">
        <v>341</v>
      </c>
      <c r="B338" s="1186" t="s">
        <v>1419</v>
      </c>
      <c r="C338" s="1186" t="s">
        <v>39</v>
      </c>
      <c r="D338" s="1186">
        <v>11</v>
      </c>
      <c r="E338" s="1186">
        <v>11</v>
      </c>
      <c r="F338" s="1186"/>
      <c r="G338" s="1186"/>
      <c r="H338" s="1186"/>
    </row>
    <row r="339" spans="1:8" x14ac:dyDescent="0.2">
      <c r="A339" s="1186" t="s">
        <v>341</v>
      </c>
      <c r="B339" s="1186" t="s">
        <v>1419</v>
      </c>
      <c r="C339" s="1186" t="s">
        <v>40</v>
      </c>
      <c r="D339" s="1186">
        <v>17</v>
      </c>
      <c r="E339" s="1186">
        <v>16</v>
      </c>
      <c r="F339" s="1186">
        <v>1</v>
      </c>
      <c r="G339" s="1186"/>
      <c r="H339" s="1186"/>
    </row>
    <row r="340" spans="1:8" x14ac:dyDescent="0.2">
      <c r="A340" s="1186" t="s">
        <v>341</v>
      </c>
      <c r="B340" s="1186" t="s">
        <v>1419</v>
      </c>
      <c r="C340" s="1186" t="s">
        <v>295</v>
      </c>
      <c r="D340" s="1186">
        <v>8</v>
      </c>
      <c r="E340" s="1186">
        <v>7</v>
      </c>
      <c r="F340" s="1186">
        <v>1</v>
      </c>
      <c r="G340" s="1186"/>
      <c r="H340" s="1186"/>
    </row>
    <row r="341" spans="1:8" x14ac:dyDescent="0.2">
      <c r="A341" s="1186" t="s">
        <v>341</v>
      </c>
      <c r="B341" s="1186" t="s">
        <v>1419</v>
      </c>
      <c r="C341" s="1186" t="s">
        <v>41</v>
      </c>
      <c r="D341" s="1186">
        <v>16</v>
      </c>
      <c r="E341" s="1186">
        <v>15</v>
      </c>
      <c r="F341" s="1186"/>
      <c r="G341" s="1186"/>
      <c r="H341" s="1186">
        <v>1</v>
      </c>
    </row>
    <row r="342" spans="1:8" x14ac:dyDescent="0.2">
      <c r="A342" s="1186" t="s">
        <v>341</v>
      </c>
      <c r="B342" s="1186" t="s">
        <v>1419</v>
      </c>
      <c r="C342" s="1186" t="s">
        <v>42</v>
      </c>
      <c r="D342" s="1186">
        <v>50</v>
      </c>
      <c r="E342" s="1186">
        <v>39</v>
      </c>
      <c r="F342" s="1186">
        <v>7</v>
      </c>
      <c r="G342" s="1186">
        <v>2</v>
      </c>
      <c r="H342" s="1186">
        <v>2</v>
      </c>
    </row>
    <row r="343" spans="1:8" x14ac:dyDescent="0.2">
      <c r="A343" s="1186" t="s">
        <v>341</v>
      </c>
      <c r="B343" s="1186" t="s">
        <v>1419</v>
      </c>
      <c r="C343" s="1186" t="s">
        <v>43</v>
      </c>
      <c r="D343" s="1186">
        <v>2</v>
      </c>
      <c r="E343" s="1186">
        <v>1</v>
      </c>
      <c r="F343" s="1186"/>
      <c r="G343" s="1186">
        <v>1</v>
      </c>
      <c r="H343" s="1186"/>
    </row>
    <row r="344" spans="1:8" x14ac:dyDescent="0.2">
      <c r="A344" s="1186" t="s">
        <v>341</v>
      </c>
      <c r="B344" s="1186" t="s">
        <v>1419</v>
      </c>
      <c r="C344" s="1186" t="s">
        <v>44</v>
      </c>
      <c r="D344" s="1186">
        <v>33</v>
      </c>
      <c r="E344" s="1186">
        <v>29</v>
      </c>
      <c r="F344" s="1186">
        <v>2</v>
      </c>
      <c r="G344" s="1186">
        <v>2</v>
      </c>
      <c r="H344" s="1186"/>
    </row>
    <row r="345" spans="1:8" x14ac:dyDescent="0.2">
      <c r="A345" s="1186" t="s">
        <v>341</v>
      </c>
      <c r="B345" s="1186" t="s">
        <v>1419</v>
      </c>
      <c r="C345" s="1186" t="s">
        <v>45</v>
      </c>
      <c r="D345" s="1186">
        <v>24</v>
      </c>
      <c r="E345" s="1186">
        <v>19</v>
      </c>
      <c r="F345" s="1186">
        <v>5</v>
      </c>
      <c r="G345" s="1186"/>
      <c r="H345" s="1186"/>
    </row>
    <row r="346" spans="1:8" x14ac:dyDescent="0.2">
      <c r="A346" s="1186" t="s">
        <v>341</v>
      </c>
      <c r="B346" s="1186" t="s">
        <v>1419</v>
      </c>
      <c r="C346" s="1186" t="s">
        <v>46</v>
      </c>
      <c r="D346" s="1186">
        <v>24</v>
      </c>
      <c r="E346" s="1186">
        <v>17</v>
      </c>
      <c r="F346" s="1186">
        <v>3</v>
      </c>
      <c r="G346" s="1186"/>
      <c r="H346" s="1186">
        <v>4</v>
      </c>
    </row>
    <row r="347" spans="1:8" x14ac:dyDescent="0.2">
      <c r="A347" s="1186" t="s">
        <v>341</v>
      </c>
      <c r="B347" s="1186" t="s">
        <v>1419</v>
      </c>
      <c r="C347" s="1186" t="s">
        <v>47</v>
      </c>
      <c r="D347" s="1186">
        <v>5</v>
      </c>
      <c r="E347" s="1186">
        <v>5</v>
      </c>
      <c r="F347" s="1186"/>
      <c r="G347" s="1186"/>
      <c r="H347" s="1186"/>
    </row>
    <row r="348" spans="1:8" x14ac:dyDescent="0.2">
      <c r="A348" s="1186" t="s">
        <v>341</v>
      </c>
      <c r="B348" s="1186" t="s">
        <v>1419</v>
      </c>
      <c r="C348" s="1186" t="s">
        <v>48</v>
      </c>
      <c r="D348" s="1186">
        <v>16</v>
      </c>
      <c r="E348" s="1186">
        <v>14</v>
      </c>
      <c r="F348" s="1186">
        <v>1</v>
      </c>
      <c r="G348" s="1186"/>
      <c r="H348" s="1186">
        <v>1</v>
      </c>
    </row>
    <row r="349" spans="1:8" x14ac:dyDescent="0.2">
      <c r="A349" s="1186" t="s">
        <v>341</v>
      </c>
      <c r="B349" s="1186" t="s">
        <v>1419</v>
      </c>
      <c r="C349" s="1186" t="s">
        <v>49</v>
      </c>
      <c r="D349" s="1186">
        <v>41</v>
      </c>
      <c r="E349" s="1186">
        <v>38</v>
      </c>
      <c r="F349" s="1186">
        <v>2</v>
      </c>
      <c r="G349" s="1186">
        <v>1</v>
      </c>
      <c r="H349" s="1186"/>
    </row>
    <row r="350" spans="1:8" x14ac:dyDescent="0.2">
      <c r="A350" s="1186" t="s">
        <v>341</v>
      </c>
      <c r="B350" s="1186" t="s">
        <v>1419</v>
      </c>
      <c r="C350" s="1186" t="s">
        <v>50</v>
      </c>
      <c r="D350" s="1186">
        <v>7</v>
      </c>
      <c r="E350" s="1186">
        <v>2</v>
      </c>
      <c r="F350" s="1186">
        <v>3</v>
      </c>
      <c r="G350" s="1186">
        <v>2</v>
      </c>
      <c r="H350" s="1186"/>
    </row>
    <row r="351" spans="1:8" x14ac:dyDescent="0.2">
      <c r="A351" s="1186" t="s">
        <v>341</v>
      </c>
      <c r="B351" s="1186" t="s">
        <v>1419</v>
      </c>
      <c r="C351" s="1186" t="s">
        <v>51</v>
      </c>
      <c r="D351" s="1186">
        <v>16</v>
      </c>
      <c r="E351" s="1186">
        <v>15</v>
      </c>
      <c r="F351" s="1186"/>
      <c r="G351" s="1186"/>
      <c r="H351" s="1186">
        <v>1</v>
      </c>
    </row>
    <row r="352" spans="1:8" x14ac:dyDescent="0.2">
      <c r="A352" s="1186" t="s">
        <v>341</v>
      </c>
      <c r="B352" s="1186" t="s">
        <v>1419</v>
      </c>
      <c r="C352" s="1186" t="s">
        <v>52</v>
      </c>
      <c r="D352" s="1186">
        <v>28</v>
      </c>
      <c r="E352" s="1186">
        <v>16</v>
      </c>
      <c r="F352" s="1186">
        <v>6</v>
      </c>
      <c r="G352" s="1186">
        <v>1</v>
      </c>
      <c r="H352" s="1186">
        <v>5</v>
      </c>
    </row>
    <row r="353" spans="1:8" x14ac:dyDescent="0.2">
      <c r="A353" s="1186" t="s">
        <v>341</v>
      </c>
      <c r="B353" s="1186" t="s">
        <v>1572</v>
      </c>
      <c r="C353" s="1186" t="s">
        <v>23</v>
      </c>
      <c r="D353" s="1186">
        <v>34</v>
      </c>
      <c r="E353" s="1186">
        <v>33</v>
      </c>
      <c r="F353" s="1186">
        <v>1</v>
      </c>
      <c r="G353" s="1186"/>
      <c r="H353" s="1186"/>
    </row>
    <row r="354" spans="1:8" x14ac:dyDescent="0.2">
      <c r="A354" s="1186" t="s">
        <v>341</v>
      </c>
      <c r="B354" s="1186" t="s">
        <v>1572</v>
      </c>
      <c r="C354" s="1186" t="s">
        <v>24</v>
      </c>
      <c r="D354" s="1186">
        <v>25</v>
      </c>
      <c r="E354" s="1186">
        <v>15</v>
      </c>
      <c r="F354" s="1186">
        <v>3</v>
      </c>
      <c r="G354" s="1186">
        <v>1</v>
      </c>
      <c r="H354" s="1186">
        <v>6</v>
      </c>
    </row>
    <row r="355" spans="1:8" x14ac:dyDescent="0.2">
      <c r="A355" s="1186" t="s">
        <v>341</v>
      </c>
      <c r="B355" s="1186" t="s">
        <v>1572</v>
      </c>
      <c r="C355" s="1186" t="s">
        <v>25</v>
      </c>
      <c r="D355" s="1186">
        <v>11</v>
      </c>
      <c r="E355" s="1186">
        <v>10</v>
      </c>
      <c r="F355" s="1186"/>
      <c r="G355" s="1186"/>
      <c r="H355" s="1186">
        <v>1</v>
      </c>
    </row>
    <row r="356" spans="1:8" x14ac:dyDescent="0.2">
      <c r="A356" s="1186" t="s">
        <v>341</v>
      </c>
      <c r="B356" s="1186" t="s">
        <v>1572</v>
      </c>
      <c r="C356" s="1186" t="s">
        <v>26</v>
      </c>
      <c r="D356" s="1186">
        <v>7</v>
      </c>
      <c r="E356" s="1186">
        <v>4</v>
      </c>
      <c r="F356" s="1186">
        <v>3</v>
      </c>
      <c r="G356" s="1186"/>
      <c r="H356" s="1186"/>
    </row>
    <row r="357" spans="1:8" x14ac:dyDescent="0.2">
      <c r="A357" s="1186" t="s">
        <v>341</v>
      </c>
      <c r="B357" s="1186" t="s">
        <v>1572</v>
      </c>
      <c r="C357" s="1186" t="s">
        <v>619</v>
      </c>
      <c r="D357" s="1186">
        <v>47</v>
      </c>
      <c r="E357" s="1186">
        <v>41</v>
      </c>
      <c r="F357" s="1186">
        <v>5</v>
      </c>
      <c r="G357" s="1186"/>
      <c r="H357" s="1186">
        <v>1</v>
      </c>
    </row>
    <row r="358" spans="1:8" x14ac:dyDescent="0.2">
      <c r="A358" s="1186" t="s">
        <v>341</v>
      </c>
      <c r="B358" s="1186" t="s">
        <v>1572</v>
      </c>
      <c r="C358" s="1186" t="s">
        <v>27</v>
      </c>
      <c r="D358" s="1186">
        <v>10</v>
      </c>
      <c r="E358" s="1186">
        <v>9</v>
      </c>
      <c r="F358" s="1186">
        <v>1</v>
      </c>
      <c r="G358" s="1186"/>
      <c r="H358" s="1186"/>
    </row>
    <row r="359" spans="1:8" x14ac:dyDescent="0.2">
      <c r="A359" s="1186" t="s">
        <v>341</v>
      </c>
      <c r="B359" s="1186" t="s">
        <v>1572</v>
      </c>
      <c r="C359" s="1186" t="s">
        <v>28</v>
      </c>
      <c r="D359" s="1186">
        <v>5</v>
      </c>
      <c r="E359" s="1186">
        <v>4</v>
      </c>
      <c r="F359" s="1186"/>
      <c r="G359" s="1186"/>
      <c r="H359" s="1186">
        <v>1</v>
      </c>
    </row>
    <row r="360" spans="1:8" x14ac:dyDescent="0.2">
      <c r="A360" s="1186" t="s">
        <v>341</v>
      </c>
      <c r="B360" s="1186" t="s">
        <v>1572</v>
      </c>
      <c r="C360" s="1186" t="s">
        <v>29</v>
      </c>
      <c r="D360" s="1186">
        <v>22</v>
      </c>
      <c r="E360" s="1186">
        <v>21</v>
      </c>
      <c r="F360" s="1186"/>
      <c r="G360" s="1186"/>
      <c r="H360" s="1186">
        <v>1</v>
      </c>
    </row>
    <row r="361" spans="1:8" x14ac:dyDescent="0.2">
      <c r="A361" s="1186" t="s">
        <v>341</v>
      </c>
      <c r="B361" s="1186" t="s">
        <v>1572</v>
      </c>
      <c r="C361" s="1186" t="s">
        <v>30</v>
      </c>
      <c r="D361" s="1186">
        <v>17</v>
      </c>
      <c r="E361" s="1186">
        <v>12</v>
      </c>
      <c r="F361" s="1186">
        <v>3</v>
      </c>
      <c r="G361" s="1186">
        <v>1</v>
      </c>
      <c r="H361" s="1186">
        <v>1</v>
      </c>
    </row>
    <row r="362" spans="1:8" x14ac:dyDescent="0.2">
      <c r="A362" s="1186" t="s">
        <v>341</v>
      </c>
      <c r="B362" s="1186" t="s">
        <v>1572</v>
      </c>
      <c r="C362" s="1186" t="s">
        <v>31</v>
      </c>
      <c r="D362" s="1186">
        <v>9</v>
      </c>
      <c r="E362" s="1186">
        <v>9</v>
      </c>
      <c r="F362" s="1186"/>
      <c r="G362" s="1186"/>
      <c r="H362" s="1186"/>
    </row>
    <row r="363" spans="1:8" x14ac:dyDescent="0.2">
      <c r="A363" s="1186" t="s">
        <v>341</v>
      </c>
      <c r="B363" s="1186" t="s">
        <v>1572</v>
      </c>
      <c r="C363" s="1186" t="s">
        <v>32</v>
      </c>
      <c r="D363" s="1186">
        <v>7</v>
      </c>
      <c r="E363" s="1186">
        <v>4</v>
      </c>
      <c r="F363" s="1186"/>
      <c r="G363" s="1186">
        <v>1</v>
      </c>
      <c r="H363" s="1186">
        <v>2</v>
      </c>
    </row>
    <row r="364" spans="1:8" x14ac:dyDescent="0.2">
      <c r="A364" s="1186" t="s">
        <v>341</v>
      </c>
      <c r="B364" s="1186" t="s">
        <v>1572</v>
      </c>
      <c r="C364" s="1186" t="s">
        <v>33</v>
      </c>
      <c r="D364" s="1186">
        <v>6</v>
      </c>
      <c r="E364" s="1186">
        <v>6</v>
      </c>
      <c r="F364" s="1186"/>
      <c r="G364" s="1186"/>
      <c r="H364" s="1186"/>
    </row>
    <row r="365" spans="1:8" x14ac:dyDescent="0.2">
      <c r="A365" s="1186" t="s">
        <v>341</v>
      </c>
      <c r="B365" s="1186" t="s">
        <v>1572</v>
      </c>
      <c r="C365" s="1186" t="s">
        <v>34</v>
      </c>
      <c r="D365" s="1186">
        <v>25</v>
      </c>
      <c r="E365" s="1186">
        <v>20</v>
      </c>
      <c r="F365" s="1186">
        <v>3</v>
      </c>
      <c r="G365" s="1186"/>
      <c r="H365" s="1186">
        <v>2</v>
      </c>
    </row>
    <row r="366" spans="1:8" x14ac:dyDescent="0.2">
      <c r="A366" s="1186" t="s">
        <v>341</v>
      </c>
      <c r="B366" s="1186" t="s">
        <v>1572</v>
      </c>
      <c r="C366" s="1186" t="s">
        <v>35</v>
      </c>
      <c r="D366" s="1186">
        <v>28</v>
      </c>
      <c r="E366" s="1186">
        <v>24</v>
      </c>
      <c r="F366" s="1186">
        <v>3</v>
      </c>
      <c r="G366" s="1186">
        <v>1</v>
      </c>
      <c r="H366" s="1186"/>
    </row>
    <row r="367" spans="1:8" x14ac:dyDescent="0.2">
      <c r="A367" s="1186" t="s">
        <v>341</v>
      </c>
      <c r="B367" s="1186" t="s">
        <v>1572</v>
      </c>
      <c r="C367" s="1186" t="s">
        <v>36</v>
      </c>
      <c r="D367" s="1186">
        <v>112</v>
      </c>
      <c r="E367" s="1186">
        <v>95</v>
      </c>
      <c r="F367" s="1186">
        <v>11</v>
      </c>
      <c r="G367" s="1186">
        <v>2</v>
      </c>
      <c r="H367" s="1186">
        <v>4</v>
      </c>
    </row>
    <row r="368" spans="1:8" x14ac:dyDescent="0.2">
      <c r="A368" s="1186" t="s">
        <v>341</v>
      </c>
      <c r="B368" s="1186" t="s">
        <v>1572</v>
      </c>
      <c r="C368" s="1186" t="s">
        <v>37</v>
      </c>
      <c r="D368" s="1186">
        <v>22</v>
      </c>
      <c r="E368" s="1186">
        <v>14</v>
      </c>
      <c r="F368" s="1186">
        <v>4</v>
      </c>
      <c r="G368" s="1186"/>
      <c r="H368" s="1186">
        <v>4</v>
      </c>
    </row>
    <row r="369" spans="1:8" x14ac:dyDescent="0.2">
      <c r="A369" s="1186" t="s">
        <v>341</v>
      </c>
      <c r="B369" s="1186" t="s">
        <v>1572</v>
      </c>
      <c r="C369" s="1186" t="s">
        <v>38</v>
      </c>
      <c r="D369" s="1186">
        <v>28</v>
      </c>
      <c r="E369" s="1186">
        <v>27</v>
      </c>
      <c r="F369" s="1186">
        <v>1</v>
      </c>
      <c r="G369" s="1186"/>
      <c r="H369" s="1186"/>
    </row>
    <row r="370" spans="1:8" x14ac:dyDescent="0.2">
      <c r="A370" s="1186" t="s">
        <v>341</v>
      </c>
      <c r="B370" s="1186" t="s">
        <v>1572</v>
      </c>
      <c r="C370" s="1186" t="s">
        <v>39</v>
      </c>
      <c r="D370" s="1186">
        <v>9</v>
      </c>
      <c r="E370" s="1186">
        <v>8</v>
      </c>
      <c r="F370" s="1186">
        <v>1</v>
      </c>
      <c r="G370" s="1186"/>
      <c r="H370" s="1186"/>
    </row>
    <row r="371" spans="1:8" x14ac:dyDescent="0.2">
      <c r="A371" s="1186" t="s">
        <v>341</v>
      </c>
      <c r="B371" s="1186" t="s">
        <v>1572</v>
      </c>
      <c r="C371" s="1186" t="s">
        <v>40</v>
      </c>
      <c r="D371" s="1186">
        <v>11</v>
      </c>
      <c r="E371" s="1186">
        <v>7</v>
      </c>
      <c r="F371" s="1186">
        <v>3</v>
      </c>
      <c r="G371" s="1186">
        <v>1</v>
      </c>
      <c r="H371" s="1186"/>
    </row>
    <row r="372" spans="1:8" x14ac:dyDescent="0.2">
      <c r="A372" s="1186" t="s">
        <v>341</v>
      </c>
      <c r="B372" s="1186" t="s">
        <v>1572</v>
      </c>
      <c r="C372" s="1186" t="s">
        <v>295</v>
      </c>
      <c r="D372" s="1186">
        <v>3</v>
      </c>
      <c r="E372" s="1186">
        <v>3</v>
      </c>
      <c r="F372" s="1186"/>
      <c r="G372" s="1186"/>
      <c r="H372" s="1186"/>
    </row>
    <row r="373" spans="1:8" x14ac:dyDescent="0.2">
      <c r="A373" s="1186" t="s">
        <v>341</v>
      </c>
      <c r="B373" s="1186" t="s">
        <v>1572</v>
      </c>
      <c r="C373" s="1186" t="s">
        <v>41</v>
      </c>
      <c r="D373" s="1186">
        <v>28</v>
      </c>
      <c r="E373" s="1186">
        <v>28</v>
      </c>
      <c r="F373" s="1186"/>
      <c r="G373" s="1186"/>
      <c r="H373" s="1186"/>
    </row>
    <row r="374" spans="1:8" x14ac:dyDescent="0.2">
      <c r="A374" s="1186" t="s">
        <v>341</v>
      </c>
      <c r="B374" s="1186" t="s">
        <v>1572</v>
      </c>
      <c r="C374" s="1186" t="s">
        <v>42</v>
      </c>
      <c r="D374" s="1186">
        <v>54</v>
      </c>
      <c r="E374" s="1186">
        <v>47</v>
      </c>
      <c r="F374" s="1186">
        <v>2</v>
      </c>
      <c r="G374" s="1186">
        <v>2</v>
      </c>
      <c r="H374" s="1186">
        <v>3</v>
      </c>
    </row>
    <row r="375" spans="1:8" x14ac:dyDescent="0.2">
      <c r="A375" s="1186" t="s">
        <v>341</v>
      </c>
      <c r="B375" s="1186" t="s">
        <v>1572</v>
      </c>
      <c r="C375" s="1186" t="s">
        <v>43</v>
      </c>
      <c r="D375" s="1186">
        <v>1</v>
      </c>
      <c r="E375" s="1186">
        <v>1</v>
      </c>
      <c r="F375" s="1186"/>
      <c r="G375" s="1186"/>
      <c r="H375" s="1186"/>
    </row>
    <row r="376" spans="1:8" x14ac:dyDescent="0.2">
      <c r="A376" s="1186" t="s">
        <v>341</v>
      </c>
      <c r="B376" s="1186" t="s">
        <v>1572</v>
      </c>
      <c r="C376" s="1186" t="s">
        <v>44</v>
      </c>
      <c r="D376" s="1186">
        <v>25</v>
      </c>
      <c r="E376" s="1186">
        <v>20</v>
      </c>
      <c r="F376" s="1186"/>
      <c r="G376" s="1186">
        <v>2</v>
      </c>
      <c r="H376" s="1186">
        <v>3</v>
      </c>
    </row>
    <row r="377" spans="1:8" x14ac:dyDescent="0.2">
      <c r="A377" s="1186" t="s">
        <v>341</v>
      </c>
      <c r="B377" s="1186" t="s">
        <v>1572</v>
      </c>
      <c r="C377" s="1186" t="s">
        <v>45</v>
      </c>
      <c r="D377" s="1186">
        <v>33</v>
      </c>
      <c r="E377" s="1186">
        <v>27</v>
      </c>
      <c r="F377" s="1186">
        <v>4</v>
      </c>
      <c r="G377" s="1186"/>
      <c r="H377" s="1186">
        <v>2</v>
      </c>
    </row>
    <row r="378" spans="1:8" x14ac:dyDescent="0.2">
      <c r="A378" s="1186" t="s">
        <v>341</v>
      </c>
      <c r="B378" s="1186" t="s">
        <v>1572</v>
      </c>
      <c r="C378" s="1186" t="s">
        <v>46</v>
      </c>
      <c r="D378" s="1186">
        <v>13</v>
      </c>
      <c r="E378" s="1186">
        <v>10</v>
      </c>
      <c r="F378" s="1186">
        <v>1</v>
      </c>
      <c r="G378" s="1186"/>
      <c r="H378" s="1186">
        <v>2</v>
      </c>
    </row>
    <row r="379" spans="1:8" x14ac:dyDescent="0.2">
      <c r="A379" s="1186" t="s">
        <v>341</v>
      </c>
      <c r="B379" s="1186" t="s">
        <v>1572</v>
      </c>
      <c r="C379" s="1186" t="s">
        <v>47</v>
      </c>
      <c r="D379" s="1186">
        <v>2</v>
      </c>
      <c r="E379" s="1186">
        <v>1</v>
      </c>
      <c r="F379" s="1186"/>
      <c r="G379" s="1186">
        <v>1</v>
      </c>
      <c r="H379" s="1186"/>
    </row>
    <row r="380" spans="1:8" x14ac:dyDescent="0.2">
      <c r="A380" s="1186" t="s">
        <v>341</v>
      </c>
      <c r="B380" s="1186" t="s">
        <v>1572</v>
      </c>
      <c r="C380" s="1186" t="s">
        <v>48</v>
      </c>
      <c r="D380" s="1186">
        <v>12</v>
      </c>
      <c r="E380" s="1186">
        <v>10</v>
      </c>
      <c r="F380" s="1186">
        <v>1</v>
      </c>
      <c r="G380" s="1186">
        <v>1</v>
      </c>
      <c r="H380" s="1186"/>
    </row>
    <row r="381" spans="1:8" x14ac:dyDescent="0.2">
      <c r="A381" s="1186" t="s">
        <v>341</v>
      </c>
      <c r="B381" s="1186" t="s">
        <v>1572</v>
      </c>
      <c r="C381" s="1186" t="s">
        <v>49</v>
      </c>
      <c r="D381" s="1186">
        <v>43</v>
      </c>
      <c r="E381" s="1186">
        <v>36</v>
      </c>
      <c r="F381" s="1186">
        <v>4</v>
      </c>
      <c r="G381" s="1186">
        <v>1</v>
      </c>
      <c r="H381" s="1186">
        <v>2</v>
      </c>
    </row>
    <row r="382" spans="1:8" x14ac:dyDescent="0.2">
      <c r="A382" s="1186" t="s">
        <v>341</v>
      </c>
      <c r="B382" s="1186" t="s">
        <v>1572</v>
      </c>
      <c r="C382" s="1186" t="s">
        <v>50</v>
      </c>
      <c r="D382" s="1186">
        <v>8</v>
      </c>
      <c r="E382" s="1186">
        <v>8</v>
      </c>
      <c r="F382" s="1186"/>
      <c r="G382" s="1186"/>
      <c r="H382" s="1186"/>
    </row>
    <row r="383" spans="1:8" x14ac:dyDescent="0.2">
      <c r="A383" s="1186" t="s">
        <v>341</v>
      </c>
      <c r="B383" s="1186" t="s">
        <v>1572</v>
      </c>
      <c r="C383" s="1186" t="s">
        <v>51</v>
      </c>
      <c r="D383" s="1186">
        <v>15</v>
      </c>
      <c r="E383" s="1186">
        <v>13</v>
      </c>
      <c r="F383" s="1186"/>
      <c r="G383" s="1186"/>
      <c r="H383" s="1186">
        <v>2</v>
      </c>
    </row>
    <row r="384" spans="1:8" x14ac:dyDescent="0.2">
      <c r="A384" s="1186" t="s">
        <v>341</v>
      </c>
      <c r="B384" s="1186" t="s">
        <v>1572</v>
      </c>
      <c r="C384" s="1186" t="s">
        <v>52</v>
      </c>
      <c r="D384" s="1186">
        <v>21</v>
      </c>
      <c r="E384" s="1186">
        <v>17</v>
      </c>
      <c r="F384" s="1186"/>
      <c r="G384" s="1186">
        <v>1</v>
      </c>
      <c r="H384" s="1186">
        <v>3</v>
      </c>
    </row>
    <row r="385" spans="1:8" x14ac:dyDescent="0.2">
      <c r="A385" s="1186" t="s">
        <v>342</v>
      </c>
      <c r="B385" s="1186" t="s">
        <v>19</v>
      </c>
      <c r="C385" s="1186" t="s">
        <v>23</v>
      </c>
      <c r="D385" s="1186">
        <v>2</v>
      </c>
      <c r="E385" s="1186">
        <v>2</v>
      </c>
      <c r="F385" s="1186"/>
      <c r="G385" s="1186"/>
      <c r="H385" s="1186"/>
    </row>
    <row r="386" spans="1:8" x14ac:dyDescent="0.2">
      <c r="A386" s="1186" t="s">
        <v>342</v>
      </c>
      <c r="B386" s="1186" t="s">
        <v>19</v>
      </c>
      <c r="C386" s="1186" t="s">
        <v>24</v>
      </c>
      <c r="D386" s="1186">
        <v>1</v>
      </c>
      <c r="E386" s="1186">
        <v>1</v>
      </c>
      <c r="F386" s="1186"/>
      <c r="G386" s="1186"/>
      <c r="H386" s="1186"/>
    </row>
    <row r="387" spans="1:8" x14ac:dyDescent="0.2">
      <c r="A387" s="1186" t="s">
        <v>342</v>
      </c>
      <c r="B387" s="1186" t="s">
        <v>19</v>
      </c>
      <c r="C387" s="1186" t="s">
        <v>25</v>
      </c>
      <c r="D387" s="1186">
        <v>1</v>
      </c>
      <c r="E387" s="1186">
        <v>1</v>
      </c>
      <c r="F387" s="1186"/>
      <c r="G387" s="1186"/>
      <c r="H387" s="1186"/>
    </row>
    <row r="388" spans="1:8" x14ac:dyDescent="0.2">
      <c r="A388" s="1186" t="s">
        <v>342</v>
      </c>
      <c r="B388" s="1186" t="s">
        <v>19</v>
      </c>
      <c r="C388" s="1186" t="s">
        <v>619</v>
      </c>
      <c r="D388" s="1186">
        <v>3</v>
      </c>
      <c r="E388" s="1186">
        <v>2</v>
      </c>
      <c r="F388" s="1186">
        <v>1</v>
      </c>
      <c r="G388" s="1186"/>
      <c r="H388" s="1186"/>
    </row>
    <row r="389" spans="1:8" x14ac:dyDescent="0.2">
      <c r="A389" s="1186" t="s">
        <v>342</v>
      </c>
      <c r="B389" s="1186" t="s">
        <v>19</v>
      </c>
      <c r="C389" s="1186" t="s">
        <v>28</v>
      </c>
      <c r="D389" s="1186">
        <v>3</v>
      </c>
      <c r="E389" s="1186">
        <v>3</v>
      </c>
      <c r="F389" s="1186"/>
      <c r="G389" s="1186"/>
      <c r="H389" s="1186"/>
    </row>
    <row r="390" spans="1:8" x14ac:dyDescent="0.2">
      <c r="A390" s="1186" t="s">
        <v>342</v>
      </c>
      <c r="B390" s="1186" t="s">
        <v>19</v>
      </c>
      <c r="C390" s="1186" t="s">
        <v>29</v>
      </c>
      <c r="D390" s="1186">
        <v>4</v>
      </c>
      <c r="E390" s="1186">
        <v>4</v>
      </c>
      <c r="F390" s="1186"/>
      <c r="G390" s="1186"/>
      <c r="H390" s="1186"/>
    </row>
    <row r="391" spans="1:8" x14ac:dyDescent="0.2">
      <c r="A391" s="1186" t="s">
        <v>342</v>
      </c>
      <c r="B391" s="1186" t="s">
        <v>19</v>
      </c>
      <c r="C391" s="1186" t="s">
        <v>32</v>
      </c>
      <c r="D391" s="1186">
        <v>1</v>
      </c>
      <c r="E391" s="1186">
        <v>1</v>
      </c>
      <c r="F391" s="1186"/>
      <c r="G391" s="1186"/>
      <c r="H391" s="1186"/>
    </row>
    <row r="392" spans="1:8" x14ac:dyDescent="0.2">
      <c r="A392" s="1186" t="s">
        <v>342</v>
      </c>
      <c r="B392" s="1186" t="s">
        <v>19</v>
      </c>
      <c r="C392" s="1186" t="s">
        <v>33</v>
      </c>
      <c r="D392" s="1186">
        <v>3</v>
      </c>
      <c r="E392" s="1186">
        <v>1</v>
      </c>
      <c r="F392" s="1186"/>
      <c r="G392" s="1186">
        <v>2</v>
      </c>
      <c r="H392" s="1186"/>
    </row>
    <row r="393" spans="1:8" x14ac:dyDescent="0.2">
      <c r="A393" s="1186" t="s">
        <v>342</v>
      </c>
      <c r="B393" s="1186" t="s">
        <v>19</v>
      </c>
      <c r="C393" s="1186" t="s">
        <v>34</v>
      </c>
      <c r="D393" s="1186">
        <v>1</v>
      </c>
      <c r="E393" s="1186">
        <v>1</v>
      </c>
      <c r="F393" s="1186"/>
      <c r="G393" s="1186"/>
      <c r="H393" s="1186"/>
    </row>
    <row r="394" spans="1:8" x14ac:dyDescent="0.2">
      <c r="A394" s="1186" t="s">
        <v>342</v>
      </c>
      <c r="B394" s="1186" t="s">
        <v>19</v>
      </c>
      <c r="C394" s="1186" t="s">
        <v>35</v>
      </c>
      <c r="D394" s="1186">
        <v>4</v>
      </c>
      <c r="E394" s="1186">
        <v>4</v>
      </c>
      <c r="F394" s="1186"/>
      <c r="G394" s="1186"/>
      <c r="H394" s="1186"/>
    </row>
    <row r="395" spans="1:8" x14ac:dyDescent="0.2">
      <c r="A395" s="1186" t="s">
        <v>342</v>
      </c>
      <c r="B395" s="1186" t="s">
        <v>19</v>
      </c>
      <c r="C395" s="1186" t="s">
        <v>36</v>
      </c>
      <c r="D395" s="1186">
        <v>12</v>
      </c>
      <c r="E395" s="1186">
        <v>12</v>
      </c>
      <c r="F395" s="1186"/>
      <c r="G395" s="1186"/>
      <c r="H395" s="1186"/>
    </row>
    <row r="396" spans="1:8" x14ac:dyDescent="0.2">
      <c r="A396" s="1186" t="s">
        <v>342</v>
      </c>
      <c r="B396" s="1186" t="s">
        <v>19</v>
      </c>
      <c r="C396" s="1186" t="s">
        <v>37</v>
      </c>
      <c r="D396" s="1186">
        <v>1</v>
      </c>
      <c r="E396" s="1186">
        <v>1</v>
      </c>
      <c r="F396" s="1186"/>
      <c r="G396" s="1186"/>
      <c r="H396" s="1186"/>
    </row>
    <row r="397" spans="1:8" x14ac:dyDescent="0.2">
      <c r="A397" s="1186" t="s">
        <v>342</v>
      </c>
      <c r="B397" s="1186" t="s">
        <v>19</v>
      </c>
      <c r="C397" s="1186" t="s">
        <v>38</v>
      </c>
      <c r="D397" s="1186">
        <v>3</v>
      </c>
      <c r="E397" s="1186">
        <v>3</v>
      </c>
      <c r="F397" s="1186"/>
      <c r="G397" s="1186"/>
      <c r="H397" s="1186"/>
    </row>
    <row r="398" spans="1:8" x14ac:dyDescent="0.2">
      <c r="A398" s="1186" t="s">
        <v>342</v>
      </c>
      <c r="B398" s="1186" t="s">
        <v>19</v>
      </c>
      <c r="C398" s="1186" t="s">
        <v>295</v>
      </c>
      <c r="D398" s="1186">
        <v>1</v>
      </c>
      <c r="E398" s="1186"/>
      <c r="F398" s="1186"/>
      <c r="G398" s="1186"/>
      <c r="H398" s="1186">
        <v>1</v>
      </c>
    </row>
    <row r="399" spans="1:8" x14ac:dyDescent="0.2">
      <c r="A399" s="1186" t="s">
        <v>342</v>
      </c>
      <c r="B399" s="1186" t="s">
        <v>19</v>
      </c>
      <c r="C399" s="1186" t="s">
        <v>41</v>
      </c>
      <c r="D399" s="1186">
        <v>1</v>
      </c>
      <c r="E399" s="1186">
        <v>1</v>
      </c>
      <c r="F399" s="1186"/>
      <c r="G399" s="1186"/>
      <c r="H399" s="1186"/>
    </row>
    <row r="400" spans="1:8" x14ac:dyDescent="0.2">
      <c r="A400" s="1186" t="s">
        <v>342</v>
      </c>
      <c r="B400" s="1186" t="s">
        <v>19</v>
      </c>
      <c r="C400" s="1186" t="s">
        <v>42</v>
      </c>
      <c r="D400" s="1186">
        <v>2</v>
      </c>
      <c r="E400" s="1186">
        <v>1</v>
      </c>
      <c r="F400" s="1186"/>
      <c r="G400" s="1186">
        <v>1</v>
      </c>
      <c r="H400" s="1186"/>
    </row>
    <row r="401" spans="1:8" x14ac:dyDescent="0.2">
      <c r="A401" s="1186" t="s">
        <v>342</v>
      </c>
      <c r="B401" s="1186" t="s">
        <v>19</v>
      </c>
      <c r="C401" s="1186" t="s">
        <v>43</v>
      </c>
      <c r="D401" s="1186">
        <v>1</v>
      </c>
      <c r="E401" s="1186">
        <v>1</v>
      </c>
      <c r="F401" s="1186"/>
      <c r="G401" s="1186"/>
      <c r="H401" s="1186"/>
    </row>
    <row r="402" spans="1:8" x14ac:dyDescent="0.2">
      <c r="A402" s="1186" t="s">
        <v>342</v>
      </c>
      <c r="B402" s="1186" t="s">
        <v>19</v>
      </c>
      <c r="C402" s="1186" t="s">
        <v>44</v>
      </c>
      <c r="D402" s="1186">
        <v>3</v>
      </c>
      <c r="E402" s="1186">
        <v>3</v>
      </c>
      <c r="F402" s="1186"/>
      <c r="G402" s="1186"/>
      <c r="H402" s="1186"/>
    </row>
    <row r="403" spans="1:8" x14ac:dyDescent="0.2">
      <c r="A403" s="1186" t="s">
        <v>342</v>
      </c>
      <c r="B403" s="1186" t="s">
        <v>19</v>
      </c>
      <c r="C403" s="1186" t="s">
        <v>45</v>
      </c>
      <c r="D403" s="1186">
        <v>2</v>
      </c>
      <c r="E403" s="1186">
        <v>1</v>
      </c>
      <c r="F403" s="1186"/>
      <c r="G403" s="1186">
        <v>1</v>
      </c>
      <c r="H403" s="1186"/>
    </row>
    <row r="404" spans="1:8" x14ac:dyDescent="0.2">
      <c r="A404" s="1186" t="s">
        <v>342</v>
      </c>
      <c r="B404" s="1186" t="s">
        <v>19</v>
      </c>
      <c r="C404" s="1186" t="s">
        <v>46</v>
      </c>
      <c r="D404" s="1186">
        <v>1</v>
      </c>
      <c r="E404" s="1186"/>
      <c r="F404" s="1186">
        <v>1</v>
      </c>
      <c r="G404" s="1186"/>
      <c r="H404" s="1186"/>
    </row>
    <row r="405" spans="1:8" x14ac:dyDescent="0.2">
      <c r="A405" s="1186" t="s">
        <v>342</v>
      </c>
      <c r="B405" s="1186" t="s">
        <v>19</v>
      </c>
      <c r="C405" s="1186" t="s">
        <v>48</v>
      </c>
      <c r="D405" s="1186">
        <v>1</v>
      </c>
      <c r="E405" s="1186">
        <v>1</v>
      </c>
      <c r="F405" s="1186"/>
      <c r="G405" s="1186"/>
      <c r="H405" s="1186"/>
    </row>
    <row r="406" spans="1:8" x14ac:dyDescent="0.2">
      <c r="A406" s="1186" t="s">
        <v>342</v>
      </c>
      <c r="B406" s="1186" t="s">
        <v>19</v>
      </c>
      <c r="C406" s="1186" t="s">
        <v>49</v>
      </c>
      <c r="D406" s="1186">
        <v>3</v>
      </c>
      <c r="E406" s="1186">
        <v>3</v>
      </c>
      <c r="F406" s="1186"/>
      <c r="G406" s="1186"/>
      <c r="H406" s="1186"/>
    </row>
    <row r="407" spans="1:8" x14ac:dyDescent="0.2">
      <c r="A407" s="1186" t="s">
        <v>342</v>
      </c>
      <c r="B407" s="1186" t="s">
        <v>19</v>
      </c>
      <c r="C407" s="1186" t="s">
        <v>50</v>
      </c>
      <c r="D407" s="1186">
        <v>1</v>
      </c>
      <c r="E407" s="1186">
        <v>1</v>
      </c>
      <c r="F407" s="1186"/>
      <c r="G407" s="1186"/>
      <c r="H407" s="1186"/>
    </row>
    <row r="408" spans="1:8" x14ac:dyDescent="0.2">
      <c r="A408" s="1186" t="s">
        <v>342</v>
      </c>
      <c r="B408" s="1186" t="s">
        <v>19</v>
      </c>
      <c r="C408" s="1186" t="s">
        <v>51</v>
      </c>
      <c r="D408" s="1186">
        <v>4</v>
      </c>
      <c r="E408" s="1186">
        <v>2</v>
      </c>
      <c r="F408" s="1186">
        <v>2</v>
      </c>
      <c r="G408" s="1186"/>
      <c r="H408" s="1186"/>
    </row>
    <row r="409" spans="1:8" x14ac:dyDescent="0.2">
      <c r="A409" s="1186" t="s">
        <v>342</v>
      </c>
      <c r="B409" s="1186" t="s">
        <v>19</v>
      </c>
      <c r="C409" s="1186" t="s">
        <v>52</v>
      </c>
      <c r="D409" s="1186">
        <v>3</v>
      </c>
      <c r="E409" s="1186">
        <v>3</v>
      </c>
      <c r="F409" s="1186"/>
      <c r="G409" s="1186"/>
      <c r="H409" s="1186"/>
    </row>
    <row r="410" spans="1:8" x14ac:dyDescent="0.2">
      <c r="A410" s="1186" t="s">
        <v>342</v>
      </c>
      <c r="B410" s="1186" t="s">
        <v>20</v>
      </c>
      <c r="C410" s="1186" t="s">
        <v>23</v>
      </c>
      <c r="D410" s="1186">
        <v>1</v>
      </c>
      <c r="E410" s="1186">
        <v>1</v>
      </c>
      <c r="F410" s="1186"/>
      <c r="G410" s="1186"/>
      <c r="H410" s="1186"/>
    </row>
    <row r="411" spans="1:8" x14ac:dyDescent="0.2">
      <c r="A411" s="1186" t="s">
        <v>342</v>
      </c>
      <c r="B411" s="1186" t="s">
        <v>20</v>
      </c>
      <c r="C411" s="1186" t="s">
        <v>24</v>
      </c>
      <c r="D411" s="1186">
        <v>6</v>
      </c>
      <c r="E411" s="1186">
        <v>4</v>
      </c>
      <c r="F411" s="1186"/>
      <c r="G411" s="1186">
        <v>2</v>
      </c>
      <c r="H411" s="1186"/>
    </row>
    <row r="412" spans="1:8" x14ac:dyDescent="0.2">
      <c r="A412" s="1186" t="s">
        <v>342</v>
      </c>
      <c r="B412" s="1186" t="s">
        <v>20</v>
      </c>
      <c r="C412" s="1186" t="s">
        <v>25</v>
      </c>
      <c r="D412" s="1186">
        <v>1</v>
      </c>
      <c r="E412" s="1186">
        <v>1</v>
      </c>
      <c r="F412" s="1186"/>
      <c r="G412" s="1186"/>
      <c r="H412" s="1186"/>
    </row>
    <row r="413" spans="1:8" x14ac:dyDescent="0.2">
      <c r="A413" s="1186" t="s">
        <v>342</v>
      </c>
      <c r="B413" s="1186" t="s">
        <v>20</v>
      </c>
      <c r="C413" s="1186" t="s">
        <v>26</v>
      </c>
      <c r="D413" s="1186">
        <v>2</v>
      </c>
      <c r="E413" s="1186">
        <v>2</v>
      </c>
      <c r="F413" s="1186"/>
      <c r="G413" s="1186"/>
      <c r="H413" s="1186"/>
    </row>
    <row r="414" spans="1:8" x14ac:dyDescent="0.2">
      <c r="A414" s="1186" t="s">
        <v>342</v>
      </c>
      <c r="B414" s="1186" t="s">
        <v>20</v>
      </c>
      <c r="C414" s="1186" t="s">
        <v>619</v>
      </c>
      <c r="D414" s="1186">
        <v>6</v>
      </c>
      <c r="E414" s="1186">
        <v>6</v>
      </c>
      <c r="F414" s="1186"/>
      <c r="G414" s="1186"/>
      <c r="H414" s="1186"/>
    </row>
    <row r="415" spans="1:8" x14ac:dyDescent="0.2">
      <c r="A415" s="1186" t="s">
        <v>342</v>
      </c>
      <c r="B415" s="1186" t="s">
        <v>20</v>
      </c>
      <c r="C415" s="1186" t="s">
        <v>29</v>
      </c>
      <c r="D415" s="1186">
        <v>4</v>
      </c>
      <c r="E415" s="1186">
        <v>4</v>
      </c>
      <c r="F415" s="1186"/>
      <c r="G415" s="1186"/>
      <c r="H415" s="1186"/>
    </row>
    <row r="416" spans="1:8" x14ac:dyDescent="0.2">
      <c r="A416" s="1186" t="s">
        <v>342</v>
      </c>
      <c r="B416" s="1186" t="s">
        <v>20</v>
      </c>
      <c r="C416" s="1186" t="s">
        <v>30</v>
      </c>
      <c r="D416" s="1186">
        <v>1</v>
      </c>
      <c r="E416" s="1186"/>
      <c r="F416" s="1186">
        <v>1</v>
      </c>
      <c r="G416" s="1186"/>
      <c r="H416" s="1186"/>
    </row>
    <row r="417" spans="1:8" x14ac:dyDescent="0.2">
      <c r="A417" s="1186" t="s">
        <v>342</v>
      </c>
      <c r="B417" s="1186" t="s">
        <v>20</v>
      </c>
      <c r="C417" s="1186" t="s">
        <v>31</v>
      </c>
      <c r="D417" s="1186">
        <v>1</v>
      </c>
      <c r="E417" s="1186">
        <v>1</v>
      </c>
      <c r="F417" s="1186"/>
      <c r="G417" s="1186"/>
      <c r="H417" s="1186"/>
    </row>
    <row r="418" spans="1:8" x14ac:dyDescent="0.2">
      <c r="A418" s="1186" t="s">
        <v>342</v>
      </c>
      <c r="B418" s="1186" t="s">
        <v>20</v>
      </c>
      <c r="C418" s="1186" t="s">
        <v>34</v>
      </c>
      <c r="D418" s="1186">
        <v>2</v>
      </c>
      <c r="E418" s="1186">
        <v>2</v>
      </c>
      <c r="F418" s="1186"/>
      <c r="G418" s="1186"/>
      <c r="H418" s="1186"/>
    </row>
    <row r="419" spans="1:8" x14ac:dyDescent="0.2">
      <c r="A419" s="1186" t="s">
        <v>342</v>
      </c>
      <c r="B419" s="1186" t="s">
        <v>20</v>
      </c>
      <c r="C419" s="1186" t="s">
        <v>35</v>
      </c>
      <c r="D419" s="1186">
        <v>4</v>
      </c>
      <c r="E419" s="1186">
        <v>2</v>
      </c>
      <c r="F419" s="1186">
        <v>1</v>
      </c>
      <c r="G419" s="1186">
        <v>1</v>
      </c>
      <c r="H419" s="1186"/>
    </row>
    <row r="420" spans="1:8" x14ac:dyDescent="0.2">
      <c r="A420" s="1186" t="s">
        <v>342</v>
      </c>
      <c r="B420" s="1186" t="s">
        <v>20</v>
      </c>
      <c r="C420" s="1186" t="s">
        <v>36</v>
      </c>
      <c r="D420" s="1186">
        <v>10</v>
      </c>
      <c r="E420" s="1186">
        <v>10</v>
      </c>
      <c r="F420" s="1186"/>
      <c r="G420" s="1186"/>
      <c r="H420" s="1186"/>
    </row>
    <row r="421" spans="1:8" x14ac:dyDescent="0.2">
      <c r="A421" s="1186" t="s">
        <v>342</v>
      </c>
      <c r="B421" s="1186" t="s">
        <v>20</v>
      </c>
      <c r="C421" s="1186" t="s">
        <v>37</v>
      </c>
      <c r="D421" s="1186">
        <v>1</v>
      </c>
      <c r="E421" s="1186">
        <v>1</v>
      </c>
      <c r="F421" s="1186"/>
      <c r="G421" s="1186"/>
      <c r="H421" s="1186"/>
    </row>
    <row r="422" spans="1:8" x14ac:dyDescent="0.2">
      <c r="A422" s="1186" t="s">
        <v>342</v>
      </c>
      <c r="B422" s="1186" t="s">
        <v>20</v>
      </c>
      <c r="C422" s="1186" t="s">
        <v>38</v>
      </c>
      <c r="D422" s="1186">
        <v>1</v>
      </c>
      <c r="E422" s="1186">
        <v>1</v>
      </c>
      <c r="F422" s="1186"/>
      <c r="G422" s="1186"/>
      <c r="H422" s="1186"/>
    </row>
    <row r="423" spans="1:8" x14ac:dyDescent="0.2">
      <c r="A423" s="1186" t="s">
        <v>342</v>
      </c>
      <c r="B423" s="1186" t="s">
        <v>20</v>
      </c>
      <c r="C423" s="1186" t="s">
        <v>39</v>
      </c>
      <c r="D423" s="1186">
        <v>1</v>
      </c>
      <c r="E423" s="1186"/>
      <c r="F423" s="1186"/>
      <c r="G423" s="1186"/>
      <c r="H423" s="1186">
        <v>1</v>
      </c>
    </row>
    <row r="424" spans="1:8" x14ac:dyDescent="0.2">
      <c r="A424" s="1186" t="s">
        <v>342</v>
      </c>
      <c r="B424" s="1186" t="s">
        <v>20</v>
      </c>
      <c r="C424" s="1186" t="s">
        <v>40</v>
      </c>
      <c r="D424" s="1186">
        <v>1</v>
      </c>
      <c r="E424" s="1186">
        <v>1</v>
      </c>
      <c r="F424" s="1186"/>
      <c r="G424" s="1186"/>
      <c r="H424" s="1186"/>
    </row>
    <row r="425" spans="1:8" x14ac:dyDescent="0.2">
      <c r="A425" s="1186" t="s">
        <v>342</v>
      </c>
      <c r="B425" s="1186" t="s">
        <v>20</v>
      </c>
      <c r="C425" s="1186" t="s">
        <v>42</v>
      </c>
      <c r="D425" s="1186">
        <v>1</v>
      </c>
      <c r="E425" s="1186">
        <v>1</v>
      </c>
      <c r="F425" s="1186"/>
      <c r="G425" s="1186"/>
      <c r="H425" s="1186"/>
    </row>
    <row r="426" spans="1:8" x14ac:dyDescent="0.2">
      <c r="A426" s="1186" t="s">
        <v>342</v>
      </c>
      <c r="B426" s="1186" t="s">
        <v>20</v>
      </c>
      <c r="C426" s="1186" t="s">
        <v>45</v>
      </c>
      <c r="D426" s="1186">
        <v>2</v>
      </c>
      <c r="E426" s="1186">
        <v>1</v>
      </c>
      <c r="F426" s="1186">
        <v>1</v>
      </c>
      <c r="G426" s="1186"/>
      <c r="H426" s="1186"/>
    </row>
    <row r="427" spans="1:8" x14ac:dyDescent="0.2">
      <c r="A427" s="1186" t="s">
        <v>342</v>
      </c>
      <c r="B427" s="1186" t="s">
        <v>20</v>
      </c>
      <c r="C427" s="1186" t="s">
        <v>48</v>
      </c>
      <c r="D427" s="1186">
        <v>1</v>
      </c>
      <c r="E427" s="1186">
        <v>1</v>
      </c>
      <c r="F427" s="1186"/>
      <c r="G427" s="1186"/>
      <c r="H427" s="1186"/>
    </row>
    <row r="428" spans="1:8" x14ac:dyDescent="0.2">
      <c r="A428" s="1186" t="s">
        <v>342</v>
      </c>
      <c r="B428" s="1186" t="s">
        <v>20</v>
      </c>
      <c r="C428" s="1186" t="s">
        <v>49</v>
      </c>
      <c r="D428" s="1186">
        <v>1</v>
      </c>
      <c r="E428" s="1186">
        <v>1</v>
      </c>
      <c r="F428" s="1186"/>
      <c r="G428" s="1186"/>
      <c r="H428" s="1186"/>
    </row>
    <row r="429" spans="1:8" x14ac:dyDescent="0.2">
      <c r="A429" s="1186" t="s">
        <v>342</v>
      </c>
      <c r="B429" s="1186" t="s">
        <v>20</v>
      </c>
      <c r="C429" s="1186" t="s">
        <v>51</v>
      </c>
      <c r="D429" s="1186">
        <v>4</v>
      </c>
      <c r="E429" s="1186">
        <v>4</v>
      </c>
      <c r="F429" s="1186"/>
      <c r="G429" s="1186"/>
      <c r="H429" s="1186"/>
    </row>
    <row r="430" spans="1:8" x14ac:dyDescent="0.2">
      <c r="A430" s="1186" t="s">
        <v>342</v>
      </c>
      <c r="B430" s="1186" t="s">
        <v>20</v>
      </c>
      <c r="C430" s="1186" t="s">
        <v>52</v>
      </c>
      <c r="D430" s="1186">
        <v>1</v>
      </c>
      <c r="E430" s="1186">
        <v>1</v>
      </c>
      <c r="F430" s="1186"/>
      <c r="G430" s="1186"/>
      <c r="H430" s="1186"/>
    </row>
    <row r="431" spans="1:8" x14ac:dyDescent="0.2">
      <c r="A431" s="1186" t="s">
        <v>342</v>
      </c>
      <c r="B431" s="1186" t="s">
        <v>13</v>
      </c>
      <c r="C431" s="1186" t="s">
        <v>23</v>
      </c>
      <c r="D431" s="1186">
        <v>2</v>
      </c>
      <c r="E431" s="1186">
        <v>2</v>
      </c>
      <c r="F431" s="1186"/>
      <c r="G431" s="1186"/>
      <c r="H431" s="1186"/>
    </row>
    <row r="432" spans="1:8" x14ac:dyDescent="0.2">
      <c r="A432" s="1186" t="s">
        <v>342</v>
      </c>
      <c r="B432" s="1186" t="s">
        <v>13</v>
      </c>
      <c r="C432" s="1186" t="s">
        <v>24</v>
      </c>
      <c r="D432" s="1186">
        <v>2</v>
      </c>
      <c r="E432" s="1186">
        <v>2</v>
      </c>
      <c r="F432" s="1186"/>
      <c r="G432" s="1186"/>
      <c r="H432" s="1186"/>
    </row>
    <row r="433" spans="1:8" x14ac:dyDescent="0.2">
      <c r="A433" s="1186" t="s">
        <v>342</v>
      </c>
      <c r="B433" s="1186" t="s">
        <v>13</v>
      </c>
      <c r="C433" s="1186" t="s">
        <v>25</v>
      </c>
      <c r="D433" s="1186">
        <v>2</v>
      </c>
      <c r="E433" s="1186">
        <v>2</v>
      </c>
      <c r="F433" s="1186"/>
      <c r="G433" s="1186"/>
      <c r="H433" s="1186"/>
    </row>
    <row r="434" spans="1:8" x14ac:dyDescent="0.2">
      <c r="A434" s="1186" t="s">
        <v>342</v>
      </c>
      <c r="B434" s="1186" t="s">
        <v>13</v>
      </c>
      <c r="C434" s="1186" t="s">
        <v>26</v>
      </c>
      <c r="D434" s="1186">
        <v>5</v>
      </c>
      <c r="E434" s="1186">
        <v>5</v>
      </c>
      <c r="F434" s="1186"/>
      <c r="G434" s="1186"/>
      <c r="H434" s="1186"/>
    </row>
    <row r="435" spans="1:8" x14ac:dyDescent="0.2">
      <c r="A435" s="1186" t="s">
        <v>342</v>
      </c>
      <c r="B435" s="1186" t="s">
        <v>13</v>
      </c>
      <c r="C435" s="1186" t="s">
        <v>619</v>
      </c>
      <c r="D435" s="1186">
        <v>3</v>
      </c>
      <c r="E435" s="1186">
        <v>3</v>
      </c>
      <c r="F435" s="1186"/>
      <c r="G435" s="1186"/>
      <c r="H435" s="1186"/>
    </row>
    <row r="436" spans="1:8" x14ac:dyDescent="0.2">
      <c r="A436" s="1186" t="s">
        <v>342</v>
      </c>
      <c r="B436" s="1186" t="s">
        <v>13</v>
      </c>
      <c r="C436" s="1186" t="s">
        <v>28</v>
      </c>
      <c r="D436" s="1186">
        <v>1</v>
      </c>
      <c r="E436" s="1186">
        <v>1</v>
      </c>
      <c r="F436" s="1186"/>
      <c r="G436" s="1186"/>
      <c r="H436" s="1186"/>
    </row>
    <row r="437" spans="1:8" x14ac:dyDescent="0.2">
      <c r="A437" s="1186" t="s">
        <v>342</v>
      </c>
      <c r="B437" s="1186" t="s">
        <v>13</v>
      </c>
      <c r="C437" s="1186" t="s">
        <v>29</v>
      </c>
      <c r="D437" s="1186">
        <v>2</v>
      </c>
      <c r="E437" s="1186">
        <v>2</v>
      </c>
      <c r="F437" s="1186"/>
      <c r="G437" s="1186"/>
      <c r="H437" s="1186"/>
    </row>
    <row r="438" spans="1:8" x14ac:dyDescent="0.2">
      <c r="A438" s="1186" t="s">
        <v>342</v>
      </c>
      <c r="B438" s="1186" t="s">
        <v>13</v>
      </c>
      <c r="C438" s="1186" t="s">
        <v>30</v>
      </c>
      <c r="D438" s="1186">
        <v>3</v>
      </c>
      <c r="E438" s="1186">
        <v>3</v>
      </c>
      <c r="F438" s="1186"/>
      <c r="G438" s="1186"/>
      <c r="H438" s="1186"/>
    </row>
    <row r="439" spans="1:8" x14ac:dyDescent="0.2">
      <c r="A439" s="1186" t="s">
        <v>342</v>
      </c>
      <c r="B439" s="1186" t="s">
        <v>13</v>
      </c>
      <c r="C439" s="1186" t="s">
        <v>32</v>
      </c>
      <c r="D439" s="1186">
        <v>1</v>
      </c>
      <c r="E439" s="1186">
        <v>1</v>
      </c>
      <c r="F439" s="1186"/>
      <c r="G439" s="1186"/>
      <c r="H439" s="1186"/>
    </row>
    <row r="440" spans="1:8" x14ac:dyDescent="0.2">
      <c r="A440" s="1186" t="s">
        <v>342</v>
      </c>
      <c r="B440" s="1186" t="s">
        <v>13</v>
      </c>
      <c r="C440" s="1186" t="s">
        <v>34</v>
      </c>
      <c r="D440" s="1186">
        <v>2</v>
      </c>
      <c r="E440" s="1186">
        <v>2</v>
      </c>
      <c r="F440" s="1186"/>
      <c r="G440" s="1186"/>
      <c r="H440" s="1186"/>
    </row>
    <row r="441" spans="1:8" x14ac:dyDescent="0.2">
      <c r="A441" s="1186" t="s">
        <v>342</v>
      </c>
      <c r="B441" s="1186" t="s">
        <v>13</v>
      </c>
      <c r="C441" s="1186" t="s">
        <v>35</v>
      </c>
      <c r="D441" s="1186">
        <v>4</v>
      </c>
      <c r="E441" s="1186">
        <v>4</v>
      </c>
      <c r="F441" s="1186"/>
      <c r="G441" s="1186"/>
      <c r="H441" s="1186"/>
    </row>
    <row r="442" spans="1:8" x14ac:dyDescent="0.2">
      <c r="A442" s="1186" t="s">
        <v>342</v>
      </c>
      <c r="B442" s="1186" t="s">
        <v>13</v>
      </c>
      <c r="C442" s="1186" t="s">
        <v>36</v>
      </c>
      <c r="D442" s="1186">
        <v>9</v>
      </c>
      <c r="E442" s="1186">
        <v>8</v>
      </c>
      <c r="F442" s="1186"/>
      <c r="G442" s="1186">
        <v>1</v>
      </c>
      <c r="H442" s="1186"/>
    </row>
    <row r="443" spans="1:8" x14ac:dyDescent="0.2">
      <c r="A443" s="1186" t="s">
        <v>342</v>
      </c>
      <c r="B443" s="1186" t="s">
        <v>13</v>
      </c>
      <c r="C443" s="1186" t="s">
        <v>37</v>
      </c>
      <c r="D443" s="1186">
        <v>6</v>
      </c>
      <c r="E443" s="1186">
        <v>2</v>
      </c>
      <c r="F443" s="1186">
        <v>1</v>
      </c>
      <c r="G443" s="1186">
        <v>2</v>
      </c>
      <c r="H443" s="1186">
        <v>1</v>
      </c>
    </row>
    <row r="444" spans="1:8" x14ac:dyDescent="0.2">
      <c r="A444" s="1186" t="s">
        <v>342</v>
      </c>
      <c r="B444" s="1186" t="s">
        <v>13</v>
      </c>
      <c r="C444" s="1186" t="s">
        <v>38</v>
      </c>
      <c r="D444" s="1186">
        <v>2</v>
      </c>
      <c r="E444" s="1186">
        <v>2</v>
      </c>
      <c r="F444" s="1186"/>
      <c r="G444" s="1186"/>
      <c r="H444" s="1186"/>
    </row>
    <row r="445" spans="1:8" x14ac:dyDescent="0.2">
      <c r="A445" s="1186" t="s">
        <v>342</v>
      </c>
      <c r="B445" s="1186" t="s">
        <v>13</v>
      </c>
      <c r="C445" s="1186" t="s">
        <v>39</v>
      </c>
      <c r="D445" s="1186">
        <v>2</v>
      </c>
      <c r="E445" s="1186">
        <v>2</v>
      </c>
      <c r="F445" s="1186"/>
      <c r="G445" s="1186"/>
      <c r="H445" s="1186"/>
    </row>
    <row r="446" spans="1:8" x14ac:dyDescent="0.2">
      <c r="A446" s="1186" t="s">
        <v>342</v>
      </c>
      <c r="B446" s="1186" t="s">
        <v>13</v>
      </c>
      <c r="C446" s="1186" t="s">
        <v>295</v>
      </c>
      <c r="D446" s="1186">
        <v>2</v>
      </c>
      <c r="E446" s="1186">
        <v>1</v>
      </c>
      <c r="F446" s="1186">
        <v>1</v>
      </c>
      <c r="G446" s="1186"/>
      <c r="H446" s="1186"/>
    </row>
    <row r="447" spans="1:8" x14ac:dyDescent="0.2">
      <c r="A447" s="1186" t="s">
        <v>342</v>
      </c>
      <c r="B447" s="1186" t="s">
        <v>13</v>
      </c>
      <c r="C447" s="1186" t="s">
        <v>41</v>
      </c>
      <c r="D447" s="1186">
        <v>1</v>
      </c>
      <c r="E447" s="1186"/>
      <c r="F447" s="1186">
        <v>1</v>
      </c>
      <c r="G447" s="1186"/>
      <c r="H447" s="1186"/>
    </row>
    <row r="448" spans="1:8" x14ac:dyDescent="0.2">
      <c r="A448" s="1186" t="s">
        <v>342</v>
      </c>
      <c r="B448" s="1186" t="s">
        <v>13</v>
      </c>
      <c r="C448" s="1186" t="s">
        <v>42</v>
      </c>
      <c r="D448" s="1186">
        <v>1</v>
      </c>
      <c r="E448" s="1186">
        <v>1</v>
      </c>
      <c r="F448" s="1186"/>
      <c r="G448" s="1186"/>
      <c r="H448" s="1186"/>
    </row>
    <row r="449" spans="1:8" x14ac:dyDescent="0.2">
      <c r="A449" s="1186" t="s">
        <v>342</v>
      </c>
      <c r="B449" s="1186" t="s">
        <v>13</v>
      </c>
      <c r="C449" s="1186" t="s">
        <v>44</v>
      </c>
      <c r="D449" s="1186">
        <v>1</v>
      </c>
      <c r="E449" s="1186">
        <v>1</v>
      </c>
      <c r="F449" s="1186"/>
      <c r="G449" s="1186"/>
      <c r="H449" s="1186"/>
    </row>
    <row r="450" spans="1:8" x14ac:dyDescent="0.2">
      <c r="A450" s="1186" t="s">
        <v>342</v>
      </c>
      <c r="B450" s="1186" t="s">
        <v>13</v>
      </c>
      <c r="C450" s="1186" t="s">
        <v>46</v>
      </c>
      <c r="D450" s="1186">
        <v>3</v>
      </c>
      <c r="E450" s="1186">
        <v>2</v>
      </c>
      <c r="F450" s="1186">
        <v>1</v>
      </c>
      <c r="G450" s="1186"/>
      <c r="H450" s="1186"/>
    </row>
    <row r="451" spans="1:8" x14ac:dyDescent="0.2">
      <c r="A451" s="1186" t="s">
        <v>342</v>
      </c>
      <c r="B451" s="1186" t="s">
        <v>13</v>
      </c>
      <c r="C451" s="1186" t="s">
        <v>48</v>
      </c>
      <c r="D451" s="1186">
        <v>1</v>
      </c>
      <c r="E451" s="1186">
        <v>1</v>
      </c>
      <c r="F451" s="1186"/>
      <c r="G451" s="1186"/>
      <c r="H451" s="1186"/>
    </row>
    <row r="452" spans="1:8" x14ac:dyDescent="0.2">
      <c r="A452" s="1186" t="s">
        <v>342</v>
      </c>
      <c r="B452" s="1186" t="s">
        <v>13</v>
      </c>
      <c r="C452" s="1186" t="s">
        <v>49</v>
      </c>
      <c r="D452" s="1186">
        <v>1</v>
      </c>
      <c r="E452" s="1186">
        <v>1</v>
      </c>
      <c r="F452" s="1186"/>
      <c r="G452" s="1186"/>
      <c r="H452" s="1186"/>
    </row>
    <row r="453" spans="1:8" x14ac:dyDescent="0.2">
      <c r="A453" s="1186" t="s">
        <v>342</v>
      </c>
      <c r="B453" s="1186" t="s">
        <v>13</v>
      </c>
      <c r="C453" s="1186" t="s">
        <v>50</v>
      </c>
      <c r="D453" s="1186">
        <v>1</v>
      </c>
      <c r="E453" s="1186">
        <v>1</v>
      </c>
      <c r="F453" s="1186"/>
      <c r="G453" s="1186"/>
      <c r="H453" s="1186"/>
    </row>
    <row r="454" spans="1:8" x14ac:dyDescent="0.2">
      <c r="A454" s="1186" t="s">
        <v>342</v>
      </c>
      <c r="B454" s="1186" t="s">
        <v>13</v>
      </c>
      <c r="C454" s="1186" t="s">
        <v>52</v>
      </c>
      <c r="D454" s="1186">
        <v>2</v>
      </c>
      <c r="E454" s="1186">
        <v>2</v>
      </c>
      <c r="F454" s="1186"/>
      <c r="G454" s="1186"/>
      <c r="H454" s="1186"/>
    </row>
    <row r="455" spans="1:8" x14ac:dyDescent="0.2">
      <c r="A455" s="1186" t="s">
        <v>342</v>
      </c>
      <c r="B455" s="1186" t="s">
        <v>15</v>
      </c>
      <c r="C455" s="1186" t="s">
        <v>23</v>
      </c>
      <c r="D455" s="1186">
        <v>3</v>
      </c>
      <c r="E455" s="1186">
        <v>3</v>
      </c>
      <c r="F455" s="1186"/>
      <c r="G455" s="1186"/>
      <c r="H455" s="1186"/>
    </row>
    <row r="456" spans="1:8" x14ac:dyDescent="0.2">
      <c r="A456" s="1186" t="s">
        <v>342</v>
      </c>
      <c r="B456" s="1186" t="s">
        <v>15</v>
      </c>
      <c r="C456" s="1186" t="s">
        <v>24</v>
      </c>
      <c r="D456" s="1186">
        <v>3</v>
      </c>
      <c r="E456" s="1186">
        <v>2</v>
      </c>
      <c r="F456" s="1186"/>
      <c r="G456" s="1186">
        <v>1</v>
      </c>
      <c r="H456" s="1186"/>
    </row>
    <row r="457" spans="1:8" x14ac:dyDescent="0.2">
      <c r="A457" s="1186" t="s">
        <v>342</v>
      </c>
      <c r="B457" s="1186" t="s">
        <v>15</v>
      </c>
      <c r="C457" s="1186" t="s">
        <v>619</v>
      </c>
      <c r="D457" s="1186">
        <v>7</v>
      </c>
      <c r="E457" s="1186">
        <v>6</v>
      </c>
      <c r="F457" s="1186"/>
      <c r="G457" s="1186"/>
      <c r="H457" s="1186">
        <v>1</v>
      </c>
    </row>
    <row r="458" spans="1:8" x14ac:dyDescent="0.2">
      <c r="A458" s="1186" t="s">
        <v>342</v>
      </c>
      <c r="B458" s="1186" t="s">
        <v>15</v>
      </c>
      <c r="C458" s="1186" t="s">
        <v>29</v>
      </c>
      <c r="D458" s="1186">
        <v>1</v>
      </c>
      <c r="E458" s="1186">
        <v>1</v>
      </c>
      <c r="F458" s="1186"/>
      <c r="G458" s="1186"/>
      <c r="H458" s="1186"/>
    </row>
    <row r="459" spans="1:8" x14ac:dyDescent="0.2">
      <c r="A459" s="1186" t="s">
        <v>342</v>
      </c>
      <c r="B459" s="1186" t="s">
        <v>15</v>
      </c>
      <c r="C459" s="1186" t="s">
        <v>31</v>
      </c>
      <c r="D459" s="1186">
        <v>1</v>
      </c>
      <c r="E459" s="1186">
        <v>1</v>
      </c>
      <c r="F459" s="1186"/>
      <c r="G459" s="1186"/>
      <c r="H459" s="1186"/>
    </row>
    <row r="460" spans="1:8" x14ac:dyDescent="0.2">
      <c r="A460" s="1186" t="s">
        <v>342</v>
      </c>
      <c r="B460" s="1186" t="s">
        <v>15</v>
      </c>
      <c r="C460" s="1186" t="s">
        <v>32</v>
      </c>
      <c r="D460" s="1186">
        <v>1</v>
      </c>
      <c r="E460" s="1186">
        <v>1</v>
      </c>
      <c r="F460" s="1186"/>
      <c r="G460" s="1186"/>
      <c r="H460" s="1186"/>
    </row>
    <row r="461" spans="1:8" x14ac:dyDescent="0.2">
      <c r="A461" s="1186" t="s">
        <v>342</v>
      </c>
      <c r="B461" s="1186" t="s">
        <v>15</v>
      </c>
      <c r="C461" s="1186" t="s">
        <v>34</v>
      </c>
      <c r="D461" s="1186">
        <v>1</v>
      </c>
      <c r="E461" s="1186">
        <v>1</v>
      </c>
      <c r="F461" s="1186"/>
      <c r="G461" s="1186"/>
      <c r="H461" s="1186"/>
    </row>
    <row r="462" spans="1:8" x14ac:dyDescent="0.2">
      <c r="A462" s="1186" t="s">
        <v>342</v>
      </c>
      <c r="B462" s="1186" t="s">
        <v>15</v>
      </c>
      <c r="C462" s="1186" t="s">
        <v>35</v>
      </c>
      <c r="D462" s="1186">
        <v>2</v>
      </c>
      <c r="E462" s="1186">
        <v>2</v>
      </c>
      <c r="F462" s="1186"/>
      <c r="G462" s="1186"/>
      <c r="H462" s="1186"/>
    </row>
    <row r="463" spans="1:8" x14ac:dyDescent="0.2">
      <c r="A463" s="1186" t="s">
        <v>342</v>
      </c>
      <c r="B463" s="1186" t="s">
        <v>15</v>
      </c>
      <c r="C463" s="1186" t="s">
        <v>36</v>
      </c>
      <c r="D463" s="1186">
        <v>7</v>
      </c>
      <c r="E463" s="1186">
        <v>5</v>
      </c>
      <c r="F463" s="1186">
        <v>1</v>
      </c>
      <c r="G463" s="1186"/>
      <c r="H463" s="1186">
        <v>1</v>
      </c>
    </row>
    <row r="464" spans="1:8" x14ac:dyDescent="0.2">
      <c r="A464" s="1186" t="s">
        <v>342</v>
      </c>
      <c r="B464" s="1186" t="s">
        <v>15</v>
      </c>
      <c r="C464" s="1186" t="s">
        <v>37</v>
      </c>
      <c r="D464" s="1186">
        <v>1</v>
      </c>
      <c r="E464" s="1186">
        <v>1</v>
      </c>
      <c r="F464" s="1186"/>
      <c r="G464" s="1186"/>
      <c r="H464" s="1186"/>
    </row>
    <row r="465" spans="1:8" x14ac:dyDescent="0.2">
      <c r="A465" s="1186" t="s">
        <v>342</v>
      </c>
      <c r="B465" s="1186" t="s">
        <v>15</v>
      </c>
      <c r="C465" s="1186" t="s">
        <v>39</v>
      </c>
      <c r="D465" s="1186">
        <v>2</v>
      </c>
      <c r="E465" s="1186">
        <v>1</v>
      </c>
      <c r="F465" s="1186"/>
      <c r="G465" s="1186">
        <v>1</v>
      </c>
      <c r="H465" s="1186"/>
    </row>
    <row r="466" spans="1:8" x14ac:dyDescent="0.2">
      <c r="A466" s="1186" t="s">
        <v>342</v>
      </c>
      <c r="B466" s="1186" t="s">
        <v>15</v>
      </c>
      <c r="C466" s="1186" t="s">
        <v>40</v>
      </c>
      <c r="D466" s="1186">
        <v>1</v>
      </c>
      <c r="E466" s="1186">
        <v>1</v>
      </c>
      <c r="F466" s="1186"/>
      <c r="G466" s="1186"/>
      <c r="H466" s="1186"/>
    </row>
    <row r="467" spans="1:8" x14ac:dyDescent="0.2">
      <c r="A467" s="1186" t="s">
        <v>342</v>
      </c>
      <c r="B467" s="1186" t="s">
        <v>15</v>
      </c>
      <c r="C467" s="1186" t="s">
        <v>295</v>
      </c>
      <c r="D467" s="1186">
        <v>1</v>
      </c>
      <c r="E467" s="1186">
        <v>1</v>
      </c>
      <c r="F467" s="1186"/>
      <c r="G467" s="1186"/>
      <c r="H467" s="1186"/>
    </row>
    <row r="468" spans="1:8" x14ac:dyDescent="0.2">
      <c r="A468" s="1186" t="s">
        <v>342</v>
      </c>
      <c r="B468" s="1186" t="s">
        <v>15</v>
      </c>
      <c r="C468" s="1186" t="s">
        <v>42</v>
      </c>
      <c r="D468" s="1186">
        <v>2</v>
      </c>
      <c r="E468" s="1186">
        <v>2</v>
      </c>
      <c r="F468" s="1186"/>
      <c r="G468" s="1186"/>
      <c r="H468" s="1186"/>
    </row>
    <row r="469" spans="1:8" x14ac:dyDescent="0.2">
      <c r="A469" s="1186" t="s">
        <v>342</v>
      </c>
      <c r="B469" s="1186" t="s">
        <v>15</v>
      </c>
      <c r="C469" s="1186" t="s">
        <v>44</v>
      </c>
      <c r="D469" s="1186">
        <v>1</v>
      </c>
      <c r="E469" s="1186">
        <v>1</v>
      </c>
      <c r="F469" s="1186"/>
      <c r="G469" s="1186"/>
      <c r="H469" s="1186"/>
    </row>
    <row r="470" spans="1:8" x14ac:dyDescent="0.2">
      <c r="A470" s="1186" t="s">
        <v>342</v>
      </c>
      <c r="B470" s="1186" t="s">
        <v>15</v>
      </c>
      <c r="C470" s="1186" t="s">
        <v>45</v>
      </c>
      <c r="D470" s="1186">
        <v>1</v>
      </c>
      <c r="E470" s="1186">
        <v>1</v>
      </c>
      <c r="F470" s="1186"/>
      <c r="G470" s="1186"/>
      <c r="H470" s="1186"/>
    </row>
    <row r="471" spans="1:8" x14ac:dyDescent="0.2">
      <c r="A471" s="1186" t="s">
        <v>342</v>
      </c>
      <c r="B471" s="1186" t="s">
        <v>15</v>
      </c>
      <c r="C471" s="1186" t="s">
        <v>46</v>
      </c>
      <c r="D471" s="1186">
        <v>1</v>
      </c>
      <c r="E471" s="1186">
        <v>1</v>
      </c>
      <c r="F471" s="1186"/>
      <c r="G471" s="1186"/>
      <c r="H471" s="1186"/>
    </row>
    <row r="472" spans="1:8" x14ac:dyDescent="0.2">
      <c r="A472" s="1186" t="s">
        <v>342</v>
      </c>
      <c r="B472" s="1186" t="s">
        <v>15</v>
      </c>
      <c r="C472" s="1186" t="s">
        <v>47</v>
      </c>
      <c r="D472" s="1186">
        <v>1</v>
      </c>
      <c r="E472" s="1186">
        <v>1</v>
      </c>
      <c r="F472" s="1186"/>
      <c r="G472" s="1186"/>
      <c r="H472" s="1186"/>
    </row>
    <row r="473" spans="1:8" x14ac:dyDescent="0.2">
      <c r="A473" s="1186" t="s">
        <v>342</v>
      </c>
      <c r="B473" s="1186" t="s">
        <v>15</v>
      </c>
      <c r="C473" s="1186" t="s">
        <v>48</v>
      </c>
      <c r="D473" s="1186">
        <v>2</v>
      </c>
      <c r="E473" s="1186">
        <v>2</v>
      </c>
      <c r="F473" s="1186"/>
      <c r="G473" s="1186"/>
      <c r="H473" s="1186"/>
    </row>
    <row r="474" spans="1:8" x14ac:dyDescent="0.2">
      <c r="A474" s="1186" t="s">
        <v>342</v>
      </c>
      <c r="B474" s="1186" t="s">
        <v>15</v>
      </c>
      <c r="C474" s="1186" t="s">
        <v>49</v>
      </c>
      <c r="D474" s="1186">
        <v>4</v>
      </c>
      <c r="E474" s="1186">
        <v>4</v>
      </c>
      <c r="F474" s="1186"/>
      <c r="G474" s="1186"/>
      <c r="H474" s="1186"/>
    </row>
    <row r="475" spans="1:8" x14ac:dyDescent="0.2">
      <c r="A475" s="1186" t="s">
        <v>342</v>
      </c>
      <c r="B475" s="1186" t="s">
        <v>15</v>
      </c>
      <c r="C475" s="1186" t="s">
        <v>50</v>
      </c>
      <c r="D475" s="1186">
        <v>1</v>
      </c>
      <c r="E475" s="1186"/>
      <c r="F475" s="1186">
        <v>1</v>
      </c>
      <c r="G475" s="1186"/>
      <c r="H475" s="1186"/>
    </row>
    <row r="476" spans="1:8" x14ac:dyDescent="0.2">
      <c r="A476" s="1186" t="s">
        <v>342</v>
      </c>
      <c r="B476" s="1186" t="s">
        <v>15</v>
      </c>
      <c r="C476" s="1186" t="s">
        <v>51</v>
      </c>
      <c r="D476" s="1186">
        <v>1</v>
      </c>
      <c r="E476" s="1186">
        <v>1</v>
      </c>
      <c r="F476" s="1186"/>
      <c r="G476" s="1186"/>
      <c r="H476" s="1186"/>
    </row>
    <row r="477" spans="1:8" x14ac:dyDescent="0.2">
      <c r="A477" s="1186" t="s">
        <v>342</v>
      </c>
      <c r="B477" s="1186" t="s">
        <v>15</v>
      </c>
      <c r="C477" s="1186" t="s">
        <v>52</v>
      </c>
      <c r="D477" s="1186">
        <v>1</v>
      </c>
      <c r="E477" s="1186">
        <v>1</v>
      </c>
      <c r="F477" s="1186"/>
      <c r="G477" s="1186"/>
      <c r="H477" s="1186"/>
    </row>
    <row r="478" spans="1:8" x14ac:dyDescent="0.2">
      <c r="A478" s="1186" t="s">
        <v>342</v>
      </c>
      <c r="B478" s="1186" t="s">
        <v>17</v>
      </c>
      <c r="C478" s="1186" t="s">
        <v>23</v>
      </c>
      <c r="D478" s="1186">
        <v>1</v>
      </c>
      <c r="E478" s="1186">
        <v>1</v>
      </c>
      <c r="F478" s="1186"/>
      <c r="G478" s="1186"/>
      <c r="H478" s="1186"/>
    </row>
    <row r="479" spans="1:8" x14ac:dyDescent="0.2">
      <c r="A479" s="1186" t="s">
        <v>342</v>
      </c>
      <c r="B479" s="1186" t="s">
        <v>17</v>
      </c>
      <c r="C479" s="1186" t="s">
        <v>24</v>
      </c>
      <c r="D479" s="1186">
        <v>3</v>
      </c>
      <c r="E479" s="1186">
        <v>3</v>
      </c>
      <c r="F479" s="1186"/>
      <c r="G479" s="1186"/>
      <c r="H479" s="1186"/>
    </row>
    <row r="480" spans="1:8" x14ac:dyDescent="0.2">
      <c r="A480" s="1186" t="s">
        <v>342</v>
      </c>
      <c r="B480" s="1186" t="s">
        <v>17</v>
      </c>
      <c r="C480" s="1186" t="s">
        <v>25</v>
      </c>
      <c r="D480" s="1186">
        <v>1</v>
      </c>
      <c r="E480" s="1186">
        <v>1</v>
      </c>
      <c r="F480" s="1186"/>
      <c r="G480" s="1186"/>
      <c r="H480" s="1186"/>
    </row>
    <row r="481" spans="1:8" x14ac:dyDescent="0.2">
      <c r="A481" s="1186" t="s">
        <v>342</v>
      </c>
      <c r="B481" s="1186" t="s">
        <v>17</v>
      </c>
      <c r="C481" s="1186" t="s">
        <v>619</v>
      </c>
      <c r="D481" s="1186">
        <v>4</v>
      </c>
      <c r="E481" s="1186">
        <v>4</v>
      </c>
      <c r="F481" s="1186"/>
      <c r="G481" s="1186"/>
      <c r="H481" s="1186"/>
    </row>
    <row r="482" spans="1:8" x14ac:dyDescent="0.2">
      <c r="A482" s="1186" t="s">
        <v>342</v>
      </c>
      <c r="B482" s="1186" t="s">
        <v>17</v>
      </c>
      <c r="C482" s="1186" t="s">
        <v>30</v>
      </c>
      <c r="D482" s="1186">
        <v>1</v>
      </c>
      <c r="E482" s="1186">
        <v>1</v>
      </c>
      <c r="F482" s="1186"/>
      <c r="G482" s="1186"/>
      <c r="H482" s="1186"/>
    </row>
    <row r="483" spans="1:8" x14ac:dyDescent="0.2">
      <c r="A483" s="1186" t="s">
        <v>342</v>
      </c>
      <c r="B483" s="1186" t="s">
        <v>17</v>
      </c>
      <c r="C483" s="1186" t="s">
        <v>32</v>
      </c>
      <c r="D483" s="1186">
        <v>1</v>
      </c>
      <c r="E483" s="1186">
        <v>1</v>
      </c>
      <c r="F483" s="1186"/>
      <c r="G483" s="1186"/>
      <c r="H483" s="1186"/>
    </row>
    <row r="484" spans="1:8" x14ac:dyDescent="0.2">
      <c r="A484" s="1186" t="s">
        <v>342</v>
      </c>
      <c r="B484" s="1186" t="s">
        <v>17</v>
      </c>
      <c r="C484" s="1186" t="s">
        <v>34</v>
      </c>
      <c r="D484" s="1186">
        <v>2</v>
      </c>
      <c r="E484" s="1186">
        <v>2</v>
      </c>
      <c r="F484" s="1186"/>
      <c r="G484" s="1186"/>
      <c r="H484" s="1186"/>
    </row>
    <row r="485" spans="1:8" x14ac:dyDescent="0.2">
      <c r="A485" s="1186" t="s">
        <v>342</v>
      </c>
      <c r="B485" s="1186" t="s">
        <v>17</v>
      </c>
      <c r="C485" s="1186" t="s">
        <v>35</v>
      </c>
      <c r="D485" s="1186">
        <v>2</v>
      </c>
      <c r="E485" s="1186">
        <v>2</v>
      </c>
      <c r="F485" s="1186"/>
      <c r="G485" s="1186"/>
      <c r="H485" s="1186"/>
    </row>
    <row r="486" spans="1:8" x14ac:dyDescent="0.2">
      <c r="A486" s="1186" t="s">
        <v>342</v>
      </c>
      <c r="B486" s="1186" t="s">
        <v>17</v>
      </c>
      <c r="C486" s="1186" t="s">
        <v>36</v>
      </c>
      <c r="D486" s="1186">
        <v>5</v>
      </c>
      <c r="E486" s="1186">
        <v>5</v>
      </c>
      <c r="F486" s="1186"/>
      <c r="G486" s="1186"/>
      <c r="H486" s="1186"/>
    </row>
    <row r="487" spans="1:8" x14ac:dyDescent="0.2">
      <c r="A487" s="1186" t="s">
        <v>342</v>
      </c>
      <c r="B487" s="1186" t="s">
        <v>17</v>
      </c>
      <c r="C487" s="1186" t="s">
        <v>37</v>
      </c>
      <c r="D487" s="1186">
        <v>1</v>
      </c>
      <c r="E487" s="1186">
        <v>1</v>
      </c>
      <c r="F487" s="1186"/>
      <c r="G487" s="1186"/>
      <c r="H487" s="1186"/>
    </row>
    <row r="488" spans="1:8" x14ac:dyDescent="0.2">
      <c r="A488" s="1186" t="s">
        <v>342</v>
      </c>
      <c r="B488" s="1186" t="s">
        <v>17</v>
      </c>
      <c r="C488" s="1186" t="s">
        <v>38</v>
      </c>
      <c r="D488" s="1186">
        <v>1</v>
      </c>
      <c r="E488" s="1186">
        <v>1</v>
      </c>
      <c r="F488" s="1186"/>
      <c r="G488" s="1186"/>
      <c r="H488" s="1186"/>
    </row>
    <row r="489" spans="1:8" x14ac:dyDescent="0.2">
      <c r="A489" s="1186" t="s">
        <v>342</v>
      </c>
      <c r="B489" s="1186" t="s">
        <v>17</v>
      </c>
      <c r="C489" s="1186" t="s">
        <v>41</v>
      </c>
      <c r="D489" s="1186">
        <v>1</v>
      </c>
      <c r="E489" s="1186">
        <v>1</v>
      </c>
      <c r="F489" s="1186"/>
      <c r="G489" s="1186"/>
      <c r="H489" s="1186"/>
    </row>
    <row r="490" spans="1:8" x14ac:dyDescent="0.2">
      <c r="A490" s="1186" t="s">
        <v>342</v>
      </c>
      <c r="B490" s="1186" t="s">
        <v>17</v>
      </c>
      <c r="C490" s="1186" t="s">
        <v>42</v>
      </c>
      <c r="D490" s="1186">
        <v>1</v>
      </c>
      <c r="E490" s="1186">
        <v>1</v>
      </c>
      <c r="F490" s="1186"/>
      <c r="G490" s="1186"/>
      <c r="H490" s="1186"/>
    </row>
    <row r="491" spans="1:8" x14ac:dyDescent="0.2">
      <c r="A491" s="1186" t="s">
        <v>342</v>
      </c>
      <c r="B491" s="1186" t="s">
        <v>17</v>
      </c>
      <c r="C491" s="1186" t="s">
        <v>46</v>
      </c>
      <c r="D491" s="1186">
        <v>1</v>
      </c>
      <c r="E491" s="1186"/>
      <c r="F491" s="1186"/>
      <c r="G491" s="1186">
        <v>1</v>
      </c>
      <c r="H491" s="1186"/>
    </row>
    <row r="492" spans="1:8" x14ac:dyDescent="0.2">
      <c r="A492" s="1186" t="s">
        <v>342</v>
      </c>
      <c r="B492" s="1186" t="s">
        <v>17</v>
      </c>
      <c r="C492" s="1186" t="s">
        <v>48</v>
      </c>
      <c r="D492" s="1186">
        <v>2</v>
      </c>
      <c r="E492" s="1186">
        <v>2</v>
      </c>
      <c r="F492" s="1186"/>
      <c r="G492" s="1186"/>
      <c r="H492" s="1186"/>
    </row>
    <row r="493" spans="1:8" x14ac:dyDescent="0.2">
      <c r="A493" s="1186" t="s">
        <v>342</v>
      </c>
      <c r="B493" s="1186" t="s">
        <v>17</v>
      </c>
      <c r="C493" s="1186" t="s">
        <v>49</v>
      </c>
      <c r="D493" s="1186">
        <v>2</v>
      </c>
      <c r="E493" s="1186">
        <v>2</v>
      </c>
      <c r="F493" s="1186"/>
      <c r="G493" s="1186"/>
      <c r="H493" s="1186"/>
    </row>
    <row r="494" spans="1:8" x14ac:dyDescent="0.2">
      <c r="A494" s="1186" t="s">
        <v>342</v>
      </c>
      <c r="B494" s="1186" t="s">
        <v>17</v>
      </c>
      <c r="C494" s="1186" t="s">
        <v>50</v>
      </c>
      <c r="D494" s="1186">
        <v>1</v>
      </c>
      <c r="E494" s="1186"/>
      <c r="F494" s="1186">
        <v>1</v>
      </c>
      <c r="G494" s="1186"/>
      <c r="H494" s="1186"/>
    </row>
    <row r="495" spans="1:8" x14ac:dyDescent="0.2">
      <c r="A495" s="1186" t="s">
        <v>342</v>
      </c>
      <c r="B495" s="1186" t="s">
        <v>17</v>
      </c>
      <c r="C495" s="1186" t="s">
        <v>52</v>
      </c>
      <c r="D495" s="1186">
        <v>1</v>
      </c>
      <c r="E495" s="1186">
        <v>1</v>
      </c>
      <c r="F495" s="1186"/>
      <c r="G495" s="1186"/>
      <c r="H495" s="1186"/>
    </row>
    <row r="496" spans="1:8" x14ac:dyDescent="0.2">
      <c r="A496" s="1186" t="s">
        <v>342</v>
      </c>
      <c r="B496" s="1186" t="s">
        <v>133</v>
      </c>
      <c r="C496" s="1186" t="s">
        <v>23</v>
      </c>
      <c r="D496" s="1186">
        <v>3</v>
      </c>
      <c r="E496" s="1186">
        <v>2</v>
      </c>
      <c r="F496" s="1186"/>
      <c r="G496" s="1186"/>
      <c r="H496" s="1186">
        <v>1</v>
      </c>
    </row>
    <row r="497" spans="1:8" x14ac:dyDescent="0.2">
      <c r="A497" s="1186" t="s">
        <v>342</v>
      </c>
      <c r="B497" s="1186" t="s">
        <v>133</v>
      </c>
      <c r="C497" s="1186" t="s">
        <v>24</v>
      </c>
      <c r="D497" s="1186">
        <v>2</v>
      </c>
      <c r="E497" s="1186">
        <v>2</v>
      </c>
      <c r="F497" s="1186"/>
      <c r="G497" s="1186"/>
      <c r="H497" s="1186"/>
    </row>
    <row r="498" spans="1:8" x14ac:dyDescent="0.2">
      <c r="A498" s="1186" t="s">
        <v>342</v>
      </c>
      <c r="B498" s="1186" t="s">
        <v>133</v>
      </c>
      <c r="C498" s="1186" t="s">
        <v>25</v>
      </c>
      <c r="D498" s="1186">
        <v>1</v>
      </c>
      <c r="E498" s="1186">
        <v>1</v>
      </c>
      <c r="F498" s="1186"/>
      <c r="G498" s="1186"/>
      <c r="H498" s="1186"/>
    </row>
    <row r="499" spans="1:8" x14ac:dyDescent="0.2">
      <c r="A499" s="1186" t="s">
        <v>342</v>
      </c>
      <c r="B499" s="1186" t="s">
        <v>133</v>
      </c>
      <c r="C499" s="1186" t="s">
        <v>26</v>
      </c>
      <c r="D499" s="1186">
        <v>1</v>
      </c>
      <c r="E499" s="1186"/>
      <c r="F499" s="1186"/>
      <c r="G499" s="1186"/>
      <c r="H499" s="1186">
        <v>1</v>
      </c>
    </row>
    <row r="500" spans="1:8" x14ac:dyDescent="0.2">
      <c r="A500" s="1186" t="s">
        <v>342</v>
      </c>
      <c r="B500" s="1186" t="s">
        <v>133</v>
      </c>
      <c r="C500" s="1186" t="s">
        <v>619</v>
      </c>
      <c r="D500" s="1186">
        <v>4</v>
      </c>
      <c r="E500" s="1186">
        <v>3</v>
      </c>
      <c r="F500" s="1186">
        <v>1</v>
      </c>
      <c r="G500" s="1186"/>
      <c r="H500" s="1186"/>
    </row>
    <row r="501" spans="1:8" x14ac:dyDescent="0.2">
      <c r="A501" s="1186" t="s">
        <v>342</v>
      </c>
      <c r="B501" s="1186" t="s">
        <v>133</v>
      </c>
      <c r="C501" s="1186" t="s">
        <v>28</v>
      </c>
      <c r="D501" s="1186">
        <v>3</v>
      </c>
      <c r="E501" s="1186">
        <v>3</v>
      </c>
      <c r="F501" s="1186"/>
      <c r="G501" s="1186"/>
      <c r="H501" s="1186"/>
    </row>
    <row r="502" spans="1:8" x14ac:dyDescent="0.2">
      <c r="A502" s="1186" t="s">
        <v>342</v>
      </c>
      <c r="B502" s="1186" t="s">
        <v>133</v>
      </c>
      <c r="C502" s="1186" t="s">
        <v>29</v>
      </c>
      <c r="D502" s="1186">
        <v>2</v>
      </c>
      <c r="E502" s="1186">
        <v>1</v>
      </c>
      <c r="F502" s="1186">
        <v>1</v>
      </c>
      <c r="G502" s="1186"/>
      <c r="H502" s="1186"/>
    </row>
    <row r="503" spans="1:8" x14ac:dyDescent="0.2">
      <c r="A503" s="1186" t="s">
        <v>342</v>
      </c>
      <c r="B503" s="1186" t="s">
        <v>133</v>
      </c>
      <c r="C503" s="1186" t="s">
        <v>30</v>
      </c>
      <c r="D503" s="1186">
        <v>1</v>
      </c>
      <c r="E503" s="1186"/>
      <c r="F503" s="1186"/>
      <c r="G503" s="1186"/>
      <c r="H503" s="1186">
        <v>1</v>
      </c>
    </row>
    <row r="504" spans="1:8" x14ac:dyDescent="0.2">
      <c r="A504" s="1186" t="s">
        <v>342</v>
      </c>
      <c r="B504" s="1186" t="s">
        <v>133</v>
      </c>
      <c r="C504" s="1186" t="s">
        <v>35</v>
      </c>
      <c r="D504" s="1186">
        <v>3</v>
      </c>
      <c r="E504" s="1186">
        <v>2</v>
      </c>
      <c r="F504" s="1186"/>
      <c r="G504" s="1186">
        <v>1</v>
      </c>
      <c r="H504" s="1186"/>
    </row>
    <row r="505" spans="1:8" x14ac:dyDescent="0.2">
      <c r="A505" s="1186" t="s">
        <v>342</v>
      </c>
      <c r="B505" s="1186" t="s">
        <v>133</v>
      </c>
      <c r="C505" s="1186" t="s">
        <v>36</v>
      </c>
      <c r="D505" s="1186">
        <v>2</v>
      </c>
      <c r="E505" s="1186">
        <v>1</v>
      </c>
      <c r="F505" s="1186"/>
      <c r="G505" s="1186"/>
      <c r="H505" s="1186">
        <v>1</v>
      </c>
    </row>
    <row r="506" spans="1:8" x14ac:dyDescent="0.2">
      <c r="A506" s="1186" t="s">
        <v>342</v>
      </c>
      <c r="B506" s="1186" t="s">
        <v>133</v>
      </c>
      <c r="C506" s="1186" t="s">
        <v>37</v>
      </c>
      <c r="D506" s="1186">
        <v>4</v>
      </c>
      <c r="E506" s="1186">
        <v>4</v>
      </c>
      <c r="F506" s="1186"/>
      <c r="G506" s="1186"/>
      <c r="H506" s="1186"/>
    </row>
    <row r="507" spans="1:8" x14ac:dyDescent="0.2">
      <c r="A507" s="1186" t="s">
        <v>342</v>
      </c>
      <c r="B507" s="1186" t="s">
        <v>133</v>
      </c>
      <c r="C507" s="1186" t="s">
        <v>39</v>
      </c>
      <c r="D507" s="1186">
        <v>1</v>
      </c>
      <c r="E507" s="1186">
        <v>1</v>
      </c>
      <c r="F507" s="1186"/>
      <c r="G507" s="1186"/>
      <c r="H507" s="1186"/>
    </row>
    <row r="508" spans="1:8" x14ac:dyDescent="0.2">
      <c r="A508" s="1186" t="s">
        <v>342</v>
      </c>
      <c r="B508" s="1186" t="s">
        <v>133</v>
      </c>
      <c r="C508" s="1186" t="s">
        <v>40</v>
      </c>
      <c r="D508" s="1186">
        <v>1</v>
      </c>
      <c r="E508" s="1186">
        <v>1</v>
      </c>
      <c r="F508" s="1186"/>
      <c r="G508" s="1186"/>
      <c r="H508" s="1186"/>
    </row>
    <row r="509" spans="1:8" x14ac:dyDescent="0.2">
      <c r="A509" s="1186" t="s">
        <v>342</v>
      </c>
      <c r="B509" s="1186" t="s">
        <v>133</v>
      </c>
      <c r="C509" s="1186" t="s">
        <v>42</v>
      </c>
      <c r="D509" s="1186">
        <v>3</v>
      </c>
      <c r="E509" s="1186">
        <v>3</v>
      </c>
      <c r="F509" s="1186"/>
      <c r="G509" s="1186"/>
      <c r="H509" s="1186"/>
    </row>
    <row r="510" spans="1:8" x14ac:dyDescent="0.2">
      <c r="A510" s="1186" t="s">
        <v>342</v>
      </c>
      <c r="B510" s="1186" t="s">
        <v>133</v>
      </c>
      <c r="C510" s="1186" t="s">
        <v>45</v>
      </c>
      <c r="D510" s="1186">
        <v>2</v>
      </c>
      <c r="E510" s="1186">
        <v>2</v>
      </c>
      <c r="F510" s="1186"/>
      <c r="G510" s="1186"/>
      <c r="H510" s="1186"/>
    </row>
    <row r="511" spans="1:8" x14ac:dyDescent="0.2">
      <c r="A511" s="1186" t="s">
        <v>342</v>
      </c>
      <c r="B511" s="1186" t="s">
        <v>133</v>
      </c>
      <c r="C511" s="1186" t="s">
        <v>46</v>
      </c>
      <c r="D511" s="1186">
        <v>1</v>
      </c>
      <c r="E511" s="1186"/>
      <c r="F511" s="1186"/>
      <c r="G511" s="1186"/>
      <c r="H511" s="1186">
        <v>1</v>
      </c>
    </row>
    <row r="512" spans="1:8" x14ac:dyDescent="0.2">
      <c r="A512" s="1186" t="s">
        <v>342</v>
      </c>
      <c r="B512" s="1186" t="s">
        <v>133</v>
      </c>
      <c r="C512" s="1186" t="s">
        <v>48</v>
      </c>
      <c r="D512" s="1186">
        <v>3</v>
      </c>
      <c r="E512" s="1186">
        <v>3</v>
      </c>
      <c r="F512" s="1186"/>
      <c r="G512" s="1186"/>
      <c r="H512" s="1186"/>
    </row>
    <row r="513" spans="1:8" x14ac:dyDescent="0.2">
      <c r="A513" s="1186" t="s">
        <v>342</v>
      </c>
      <c r="B513" s="1186" t="s">
        <v>133</v>
      </c>
      <c r="C513" s="1186" t="s">
        <v>49</v>
      </c>
      <c r="D513" s="1186">
        <v>1</v>
      </c>
      <c r="E513" s="1186">
        <v>1</v>
      </c>
      <c r="F513" s="1186"/>
      <c r="G513" s="1186"/>
      <c r="H513" s="1186"/>
    </row>
    <row r="514" spans="1:8" x14ac:dyDescent="0.2">
      <c r="A514" s="1186" t="s">
        <v>342</v>
      </c>
      <c r="B514" s="1186" t="s">
        <v>133</v>
      </c>
      <c r="C514" s="1186" t="s">
        <v>50</v>
      </c>
      <c r="D514" s="1186">
        <v>1</v>
      </c>
      <c r="E514" s="1186">
        <v>1</v>
      </c>
      <c r="F514" s="1186"/>
      <c r="G514" s="1186"/>
      <c r="H514" s="1186"/>
    </row>
    <row r="515" spans="1:8" x14ac:dyDescent="0.2">
      <c r="A515" s="1186" t="s">
        <v>342</v>
      </c>
      <c r="B515" s="1186" t="s">
        <v>133</v>
      </c>
      <c r="C515" s="1186" t="s">
        <v>51</v>
      </c>
      <c r="D515" s="1186">
        <v>1</v>
      </c>
      <c r="E515" s="1186"/>
      <c r="F515" s="1186">
        <v>1</v>
      </c>
      <c r="G515" s="1186"/>
      <c r="H515" s="1186"/>
    </row>
    <row r="516" spans="1:8" x14ac:dyDescent="0.2">
      <c r="A516" s="1186" t="s">
        <v>342</v>
      </c>
      <c r="B516" s="1186" t="s">
        <v>144</v>
      </c>
      <c r="C516" s="1186" t="s">
        <v>23</v>
      </c>
      <c r="D516" s="1186">
        <v>1</v>
      </c>
      <c r="E516" s="1186">
        <v>1</v>
      </c>
      <c r="F516" s="1186"/>
      <c r="G516" s="1186"/>
      <c r="H516" s="1186"/>
    </row>
    <row r="517" spans="1:8" x14ac:dyDescent="0.2">
      <c r="A517" s="1186" t="s">
        <v>342</v>
      </c>
      <c r="B517" s="1186" t="s">
        <v>144</v>
      </c>
      <c r="C517" s="1186" t="s">
        <v>24</v>
      </c>
      <c r="D517" s="1186">
        <v>2</v>
      </c>
      <c r="E517" s="1186">
        <v>2</v>
      </c>
      <c r="F517" s="1186"/>
      <c r="G517" s="1186"/>
      <c r="H517" s="1186"/>
    </row>
    <row r="518" spans="1:8" x14ac:dyDescent="0.2">
      <c r="A518" s="1186" t="s">
        <v>342</v>
      </c>
      <c r="B518" s="1186" t="s">
        <v>144</v>
      </c>
      <c r="C518" s="1186" t="s">
        <v>25</v>
      </c>
      <c r="D518" s="1186">
        <v>1</v>
      </c>
      <c r="E518" s="1186"/>
      <c r="F518" s="1186">
        <v>1</v>
      </c>
      <c r="G518" s="1186"/>
      <c r="H518" s="1186"/>
    </row>
    <row r="519" spans="1:8" x14ac:dyDescent="0.2">
      <c r="A519" s="1186" t="s">
        <v>342</v>
      </c>
      <c r="B519" s="1186" t="s">
        <v>144</v>
      </c>
      <c r="C519" s="1186" t="s">
        <v>26</v>
      </c>
      <c r="D519" s="1186">
        <v>1</v>
      </c>
      <c r="E519" s="1186"/>
      <c r="F519" s="1186">
        <v>1</v>
      </c>
      <c r="G519" s="1186"/>
      <c r="H519" s="1186"/>
    </row>
    <row r="520" spans="1:8" x14ac:dyDescent="0.2">
      <c r="A520" s="1186" t="s">
        <v>342</v>
      </c>
      <c r="B520" s="1186" t="s">
        <v>144</v>
      </c>
      <c r="C520" s="1186" t="s">
        <v>619</v>
      </c>
      <c r="D520" s="1186">
        <v>4</v>
      </c>
      <c r="E520" s="1186">
        <v>4</v>
      </c>
      <c r="F520" s="1186"/>
      <c r="G520" s="1186"/>
      <c r="H520" s="1186"/>
    </row>
    <row r="521" spans="1:8" x14ac:dyDescent="0.2">
      <c r="A521" s="1186" t="s">
        <v>342</v>
      </c>
      <c r="B521" s="1186" t="s">
        <v>144</v>
      </c>
      <c r="C521" s="1186" t="s">
        <v>28</v>
      </c>
      <c r="D521" s="1186">
        <v>3</v>
      </c>
      <c r="E521" s="1186">
        <v>2</v>
      </c>
      <c r="F521" s="1186"/>
      <c r="G521" s="1186">
        <v>1</v>
      </c>
      <c r="H521" s="1186"/>
    </row>
    <row r="522" spans="1:8" x14ac:dyDescent="0.2">
      <c r="A522" s="1186" t="s">
        <v>342</v>
      </c>
      <c r="B522" s="1186" t="s">
        <v>144</v>
      </c>
      <c r="C522" s="1186" t="s">
        <v>29</v>
      </c>
      <c r="D522" s="1186">
        <v>2</v>
      </c>
      <c r="E522" s="1186">
        <v>2</v>
      </c>
      <c r="F522" s="1186"/>
      <c r="G522" s="1186"/>
      <c r="H522" s="1186"/>
    </row>
    <row r="523" spans="1:8" x14ac:dyDescent="0.2">
      <c r="A523" s="1186" t="s">
        <v>342</v>
      </c>
      <c r="B523" s="1186" t="s">
        <v>144</v>
      </c>
      <c r="C523" s="1186" t="s">
        <v>32</v>
      </c>
      <c r="D523" s="1186">
        <v>1</v>
      </c>
      <c r="E523" s="1186">
        <v>1</v>
      </c>
      <c r="F523" s="1186"/>
      <c r="G523" s="1186"/>
      <c r="H523" s="1186"/>
    </row>
    <row r="524" spans="1:8" x14ac:dyDescent="0.2">
      <c r="A524" s="1186" t="s">
        <v>342</v>
      </c>
      <c r="B524" s="1186" t="s">
        <v>144</v>
      </c>
      <c r="C524" s="1186" t="s">
        <v>33</v>
      </c>
      <c r="D524" s="1186">
        <v>2</v>
      </c>
      <c r="E524" s="1186">
        <v>1</v>
      </c>
      <c r="F524" s="1186">
        <v>1</v>
      </c>
      <c r="G524" s="1186"/>
      <c r="H524" s="1186"/>
    </row>
    <row r="525" spans="1:8" x14ac:dyDescent="0.2">
      <c r="A525" s="1186" t="s">
        <v>342</v>
      </c>
      <c r="B525" s="1186" t="s">
        <v>144</v>
      </c>
      <c r="C525" s="1186" t="s">
        <v>34</v>
      </c>
      <c r="D525" s="1186">
        <v>2</v>
      </c>
      <c r="E525" s="1186">
        <v>2</v>
      </c>
      <c r="F525" s="1186"/>
      <c r="G525" s="1186"/>
      <c r="H525" s="1186"/>
    </row>
    <row r="526" spans="1:8" x14ac:dyDescent="0.2">
      <c r="A526" s="1186" t="s">
        <v>342</v>
      </c>
      <c r="B526" s="1186" t="s">
        <v>144</v>
      </c>
      <c r="C526" s="1186" t="s">
        <v>35</v>
      </c>
      <c r="D526" s="1186">
        <v>1</v>
      </c>
      <c r="E526" s="1186">
        <v>1</v>
      </c>
      <c r="F526" s="1186"/>
      <c r="G526" s="1186"/>
      <c r="H526" s="1186"/>
    </row>
    <row r="527" spans="1:8" x14ac:dyDescent="0.2">
      <c r="A527" s="1186" t="s">
        <v>342</v>
      </c>
      <c r="B527" s="1186" t="s">
        <v>144</v>
      </c>
      <c r="C527" s="1186" t="s">
        <v>36</v>
      </c>
      <c r="D527" s="1186">
        <v>4</v>
      </c>
      <c r="E527" s="1186">
        <v>4</v>
      </c>
      <c r="F527" s="1186"/>
      <c r="G527" s="1186"/>
      <c r="H527" s="1186"/>
    </row>
    <row r="528" spans="1:8" x14ac:dyDescent="0.2">
      <c r="A528" s="1186" t="s">
        <v>342</v>
      </c>
      <c r="B528" s="1186" t="s">
        <v>144</v>
      </c>
      <c r="C528" s="1186" t="s">
        <v>37</v>
      </c>
      <c r="D528" s="1186">
        <v>6</v>
      </c>
      <c r="E528" s="1186">
        <v>5</v>
      </c>
      <c r="F528" s="1186"/>
      <c r="G528" s="1186">
        <v>1</v>
      </c>
      <c r="H528" s="1186"/>
    </row>
    <row r="529" spans="1:8" x14ac:dyDescent="0.2">
      <c r="A529" s="1186" t="s">
        <v>342</v>
      </c>
      <c r="B529" s="1186" t="s">
        <v>144</v>
      </c>
      <c r="C529" s="1186" t="s">
        <v>38</v>
      </c>
      <c r="D529" s="1186">
        <v>1</v>
      </c>
      <c r="E529" s="1186">
        <v>1</v>
      </c>
      <c r="F529" s="1186"/>
      <c r="G529" s="1186"/>
      <c r="H529" s="1186"/>
    </row>
    <row r="530" spans="1:8" x14ac:dyDescent="0.2">
      <c r="A530" s="1186" t="s">
        <v>342</v>
      </c>
      <c r="B530" s="1186" t="s">
        <v>144</v>
      </c>
      <c r="C530" s="1186" t="s">
        <v>41</v>
      </c>
      <c r="D530" s="1186">
        <v>1</v>
      </c>
      <c r="E530" s="1186">
        <v>1</v>
      </c>
      <c r="F530" s="1186"/>
      <c r="G530" s="1186"/>
      <c r="H530" s="1186"/>
    </row>
    <row r="531" spans="1:8" x14ac:dyDescent="0.2">
      <c r="A531" s="1186" t="s">
        <v>342</v>
      </c>
      <c r="B531" s="1186" t="s">
        <v>144</v>
      </c>
      <c r="C531" s="1186" t="s">
        <v>42</v>
      </c>
      <c r="D531" s="1186">
        <v>4</v>
      </c>
      <c r="E531" s="1186">
        <v>4</v>
      </c>
      <c r="F531" s="1186"/>
      <c r="G531" s="1186"/>
      <c r="H531" s="1186"/>
    </row>
    <row r="532" spans="1:8" x14ac:dyDescent="0.2">
      <c r="A532" s="1186" t="s">
        <v>342</v>
      </c>
      <c r="B532" s="1186" t="s">
        <v>144</v>
      </c>
      <c r="C532" s="1186" t="s">
        <v>46</v>
      </c>
      <c r="D532" s="1186">
        <v>1</v>
      </c>
      <c r="E532" s="1186">
        <v>1</v>
      </c>
      <c r="F532" s="1186"/>
      <c r="G532" s="1186"/>
      <c r="H532" s="1186"/>
    </row>
    <row r="533" spans="1:8" x14ac:dyDescent="0.2">
      <c r="A533" s="1186" t="s">
        <v>342</v>
      </c>
      <c r="B533" s="1186" t="s">
        <v>144</v>
      </c>
      <c r="C533" s="1186" t="s">
        <v>47</v>
      </c>
      <c r="D533" s="1186">
        <v>1</v>
      </c>
      <c r="E533" s="1186">
        <v>1</v>
      </c>
      <c r="F533" s="1186"/>
      <c r="G533" s="1186"/>
      <c r="H533" s="1186"/>
    </row>
    <row r="534" spans="1:8" x14ac:dyDescent="0.2">
      <c r="A534" s="1186" t="s">
        <v>342</v>
      </c>
      <c r="B534" s="1186" t="s">
        <v>144</v>
      </c>
      <c r="C534" s="1186" t="s">
        <v>48</v>
      </c>
      <c r="D534" s="1186">
        <v>1</v>
      </c>
      <c r="E534" s="1186"/>
      <c r="F534" s="1186"/>
      <c r="G534" s="1186">
        <v>1</v>
      </c>
      <c r="H534" s="1186"/>
    </row>
    <row r="535" spans="1:8" x14ac:dyDescent="0.2">
      <c r="A535" s="1186" t="s">
        <v>342</v>
      </c>
      <c r="B535" s="1186" t="s">
        <v>144</v>
      </c>
      <c r="C535" s="1186" t="s">
        <v>49</v>
      </c>
      <c r="D535" s="1186">
        <v>4</v>
      </c>
      <c r="E535" s="1186">
        <v>4</v>
      </c>
      <c r="F535" s="1186"/>
      <c r="G535" s="1186"/>
      <c r="H535" s="1186"/>
    </row>
    <row r="536" spans="1:8" x14ac:dyDescent="0.2">
      <c r="A536" s="1186" t="s">
        <v>342</v>
      </c>
      <c r="B536" s="1186" t="s">
        <v>144</v>
      </c>
      <c r="C536" s="1186" t="s">
        <v>50</v>
      </c>
      <c r="D536" s="1186">
        <v>1</v>
      </c>
      <c r="E536" s="1186">
        <v>1</v>
      </c>
      <c r="F536" s="1186"/>
      <c r="G536" s="1186"/>
      <c r="H536" s="1186"/>
    </row>
    <row r="537" spans="1:8" x14ac:dyDescent="0.2">
      <c r="A537" s="1186" t="s">
        <v>342</v>
      </c>
      <c r="B537" s="1186" t="s">
        <v>144</v>
      </c>
      <c r="C537" s="1186" t="s">
        <v>52</v>
      </c>
      <c r="D537" s="1186">
        <v>1</v>
      </c>
      <c r="E537" s="1186">
        <v>1</v>
      </c>
      <c r="F537" s="1186"/>
      <c r="G537" s="1186"/>
      <c r="H537" s="1186"/>
    </row>
    <row r="538" spans="1:8" x14ac:dyDescent="0.2">
      <c r="A538" s="1186" t="s">
        <v>342</v>
      </c>
      <c r="B538" s="1186" t="s">
        <v>282</v>
      </c>
      <c r="C538" s="1186" t="s">
        <v>23</v>
      </c>
      <c r="D538" s="1186">
        <v>2</v>
      </c>
      <c r="E538" s="1186">
        <v>2</v>
      </c>
      <c r="F538" s="1186"/>
      <c r="G538" s="1186"/>
      <c r="H538" s="1186"/>
    </row>
    <row r="539" spans="1:8" x14ac:dyDescent="0.2">
      <c r="A539" s="1186" t="s">
        <v>342</v>
      </c>
      <c r="B539" s="1186" t="s">
        <v>282</v>
      </c>
      <c r="C539" s="1186" t="s">
        <v>24</v>
      </c>
      <c r="D539" s="1186">
        <v>2</v>
      </c>
      <c r="E539" s="1186">
        <v>2</v>
      </c>
      <c r="F539" s="1186"/>
      <c r="G539" s="1186"/>
      <c r="H539" s="1186"/>
    </row>
    <row r="540" spans="1:8" x14ac:dyDescent="0.2">
      <c r="A540" s="1186" t="s">
        <v>342</v>
      </c>
      <c r="B540" s="1186" t="s">
        <v>282</v>
      </c>
      <c r="C540" s="1186" t="s">
        <v>619</v>
      </c>
      <c r="D540" s="1186">
        <v>3</v>
      </c>
      <c r="E540" s="1186">
        <v>3</v>
      </c>
      <c r="F540" s="1186"/>
      <c r="G540" s="1186"/>
      <c r="H540" s="1186"/>
    </row>
    <row r="541" spans="1:8" x14ac:dyDescent="0.2">
      <c r="A541" s="1186" t="s">
        <v>342</v>
      </c>
      <c r="B541" s="1186" t="s">
        <v>282</v>
      </c>
      <c r="C541" s="1186" t="s">
        <v>28</v>
      </c>
      <c r="D541" s="1186">
        <v>1</v>
      </c>
      <c r="E541" s="1186">
        <v>1</v>
      </c>
      <c r="F541" s="1186"/>
      <c r="G541" s="1186"/>
      <c r="H541" s="1186"/>
    </row>
    <row r="542" spans="1:8" x14ac:dyDescent="0.2">
      <c r="A542" s="1186" t="s">
        <v>342</v>
      </c>
      <c r="B542" s="1186" t="s">
        <v>282</v>
      </c>
      <c r="C542" s="1186" t="s">
        <v>29</v>
      </c>
      <c r="D542" s="1186">
        <v>1</v>
      </c>
      <c r="E542" s="1186"/>
      <c r="F542" s="1186"/>
      <c r="G542" s="1186">
        <v>1</v>
      </c>
      <c r="H542" s="1186"/>
    </row>
    <row r="543" spans="1:8" x14ac:dyDescent="0.2">
      <c r="A543" s="1186" t="s">
        <v>342</v>
      </c>
      <c r="B543" s="1186" t="s">
        <v>282</v>
      </c>
      <c r="C543" s="1186" t="s">
        <v>30</v>
      </c>
      <c r="D543" s="1186">
        <v>3</v>
      </c>
      <c r="E543" s="1186">
        <v>2</v>
      </c>
      <c r="F543" s="1186">
        <v>1</v>
      </c>
      <c r="G543" s="1186"/>
      <c r="H543" s="1186"/>
    </row>
    <row r="544" spans="1:8" x14ac:dyDescent="0.2">
      <c r="A544" s="1186" t="s">
        <v>342</v>
      </c>
      <c r="B544" s="1186" t="s">
        <v>282</v>
      </c>
      <c r="C544" s="1186" t="s">
        <v>31</v>
      </c>
      <c r="D544" s="1186">
        <v>2</v>
      </c>
      <c r="E544" s="1186">
        <v>2</v>
      </c>
      <c r="F544" s="1186"/>
      <c r="G544" s="1186"/>
      <c r="H544" s="1186"/>
    </row>
    <row r="545" spans="1:8" x14ac:dyDescent="0.2">
      <c r="A545" s="1186" t="s">
        <v>342</v>
      </c>
      <c r="B545" s="1186" t="s">
        <v>282</v>
      </c>
      <c r="C545" s="1186" t="s">
        <v>34</v>
      </c>
      <c r="D545" s="1186">
        <v>2</v>
      </c>
      <c r="E545" s="1186">
        <v>2</v>
      </c>
      <c r="F545" s="1186"/>
      <c r="G545" s="1186"/>
      <c r="H545" s="1186"/>
    </row>
    <row r="546" spans="1:8" x14ac:dyDescent="0.2">
      <c r="A546" s="1186" t="s">
        <v>342</v>
      </c>
      <c r="B546" s="1186" t="s">
        <v>282</v>
      </c>
      <c r="C546" s="1186" t="s">
        <v>35</v>
      </c>
      <c r="D546" s="1186">
        <v>4</v>
      </c>
      <c r="E546" s="1186">
        <v>4</v>
      </c>
      <c r="F546" s="1186"/>
      <c r="G546" s="1186"/>
      <c r="H546" s="1186"/>
    </row>
    <row r="547" spans="1:8" x14ac:dyDescent="0.2">
      <c r="A547" s="1186" t="s">
        <v>342</v>
      </c>
      <c r="B547" s="1186" t="s">
        <v>282</v>
      </c>
      <c r="C547" s="1186" t="s">
        <v>36</v>
      </c>
      <c r="D547" s="1186">
        <v>8</v>
      </c>
      <c r="E547" s="1186">
        <v>6</v>
      </c>
      <c r="F547" s="1186">
        <v>2</v>
      </c>
      <c r="G547" s="1186"/>
      <c r="H547" s="1186"/>
    </row>
    <row r="548" spans="1:8" x14ac:dyDescent="0.2">
      <c r="A548" s="1186" t="s">
        <v>342</v>
      </c>
      <c r="B548" s="1186" t="s">
        <v>282</v>
      </c>
      <c r="C548" s="1186" t="s">
        <v>37</v>
      </c>
      <c r="D548" s="1186">
        <v>3</v>
      </c>
      <c r="E548" s="1186">
        <v>2</v>
      </c>
      <c r="F548" s="1186"/>
      <c r="G548" s="1186">
        <v>1</v>
      </c>
      <c r="H548" s="1186"/>
    </row>
    <row r="549" spans="1:8" x14ac:dyDescent="0.2">
      <c r="A549" s="1186" t="s">
        <v>342</v>
      </c>
      <c r="B549" s="1186" t="s">
        <v>282</v>
      </c>
      <c r="C549" s="1186" t="s">
        <v>38</v>
      </c>
      <c r="D549" s="1186">
        <v>1</v>
      </c>
      <c r="E549" s="1186">
        <v>1</v>
      </c>
      <c r="F549" s="1186"/>
      <c r="G549" s="1186"/>
      <c r="H549" s="1186"/>
    </row>
    <row r="550" spans="1:8" x14ac:dyDescent="0.2">
      <c r="A550" s="1186" t="s">
        <v>342</v>
      </c>
      <c r="B550" s="1186" t="s">
        <v>282</v>
      </c>
      <c r="C550" s="1186" t="s">
        <v>39</v>
      </c>
      <c r="D550" s="1186">
        <v>1</v>
      </c>
      <c r="E550" s="1186"/>
      <c r="F550" s="1186"/>
      <c r="G550" s="1186">
        <v>1</v>
      </c>
      <c r="H550" s="1186"/>
    </row>
    <row r="551" spans="1:8" x14ac:dyDescent="0.2">
      <c r="A551" s="1186" t="s">
        <v>342</v>
      </c>
      <c r="B551" s="1186" t="s">
        <v>282</v>
      </c>
      <c r="C551" s="1186" t="s">
        <v>40</v>
      </c>
      <c r="D551" s="1186">
        <v>1</v>
      </c>
      <c r="E551" s="1186">
        <v>1</v>
      </c>
      <c r="F551" s="1186"/>
      <c r="G551" s="1186"/>
      <c r="H551" s="1186"/>
    </row>
    <row r="552" spans="1:8" x14ac:dyDescent="0.2">
      <c r="A552" s="1186" t="s">
        <v>342</v>
      </c>
      <c r="B552" s="1186" t="s">
        <v>282</v>
      </c>
      <c r="C552" s="1186" t="s">
        <v>295</v>
      </c>
      <c r="D552" s="1186">
        <v>3</v>
      </c>
      <c r="E552" s="1186">
        <v>3</v>
      </c>
      <c r="F552" s="1186"/>
      <c r="G552" s="1186"/>
      <c r="H552" s="1186"/>
    </row>
    <row r="553" spans="1:8" x14ac:dyDescent="0.2">
      <c r="A553" s="1186" t="s">
        <v>342</v>
      </c>
      <c r="B553" s="1186" t="s">
        <v>282</v>
      </c>
      <c r="C553" s="1186" t="s">
        <v>41</v>
      </c>
      <c r="D553" s="1186">
        <v>1</v>
      </c>
      <c r="E553" s="1186"/>
      <c r="F553" s="1186"/>
      <c r="G553" s="1186">
        <v>1</v>
      </c>
      <c r="H553" s="1186"/>
    </row>
    <row r="554" spans="1:8" x14ac:dyDescent="0.2">
      <c r="A554" s="1186" t="s">
        <v>342</v>
      </c>
      <c r="B554" s="1186" t="s">
        <v>282</v>
      </c>
      <c r="C554" s="1186" t="s">
        <v>42</v>
      </c>
      <c r="D554" s="1186">
        <v>1</v>
      </c>
      <c r="E554" s="1186">
        <v>1</v>
      </c>
      <c r="F554" s="1186"/>
      <c r="G554" s="1186"/>
      <c r="H554" s="1186"/>
    </row>
    <row r="555" spans="1:8" x14ac:dyDescent="0.2">
      <c r="A555" s="1186" t="s">
        <v>342</v>
      </c>
      <c r="B555" s="1186" t="s">
        <v>282</v>
      </c>
      <c r="C555" s="1186" t="s">
        <v>44</v>
      </c>
      <c r="D555" s="1186">
        <v>1</v>
      </c>
      <c r="E555" s="1186">
        <v>1</v>
      </c>
      <c r="F555" s="1186"/>
      <c r="G555" s="1186"/>
      <c r="H555" s="1186"/>
    </row>
    <row r="556" spans="1:8" x14ac:dyDescent="0.2">
      <c r="A556" s="1186" t="s">
        <v>342</v>
      </c>
      <c r="B556" s="1186" t="s">
        <v>282</v>
      </c>
      <c r="C556" s="1186" t="s">
        <v>45</v>
      </c>
      <c r="D556" s="1186">
        <v>1</v>
      </c>
      <c r="E556" s="1186">
        <v>1</v>
      </c>
      <c r="F556" s="1186"/>
      <c r="G556" s="1186"/>
      <c r="H556" s="1186"/>
    </row>
    <row r="557" spans="1:8" x14ac:dyDescent="0.2">
      <c r="A557" s="1186" t="s">
        <v>342</v>
      </c>
      <c r="B557" s="1186" t="s">
        <v>282</v>
      </c>
      <c r="C557" s="1186" t="s">
        <v>46</v>
      </c>
      <c r="D557" s="1186">
        <v>1</v>
      </c>
      <c r="E557" s="1186">
        <v>1</v>
      </c>
      <c r="F557" s="1186"/>
      <c r="G557" s="1186"/>
      <c r="H557" s="1186"/>
    </row>
    <row r="558" spans="1:8" x14ac:dyDescent="0.2">
      <c r="A558" s="1186" t="s">
        <v>342</v>
      </c>
      <c r="B558" s="1186" t="s">
        <v>282</v>
      </c>
      <c r="C558" s="1186" t="s">
        <v>49</v>
      </c>
      <c r="D558" s="1186">
        <v>1</v>
      </c>
      <c r="E558" s="1186"/>
      <c r="F558" s="1186"/>
      <c r="G558" s="1186">
        <v>1</v>
      </c>
      <c r="H558" s="1186"/>
    </row>
    <row r="559" spans="1:8" x14ac:dyDescent="0.2">
      <c r="A559" s="1186" t="s">
        <v>342</v>
      </c>
      <c r="B559" s="1186" t="s">
        <v>282</v>
      </c>
      <c r="C559" s="1186" t="s">
        <v>50</v>
      </c>
      <c r="D559" s="1186">
        <v>1</v>
      </c>
      <c r="E559" s="1186">
        <v>1</v>
      </c>
      <c r="F559" s="1186"/>
      <c r="G559" s="1186"/>
      <c r="H559" s="1186"/>
    </row>
    <row r="560" spans="1:8" x14ac:dyDescent="0.2">
      <c r="A560" s="1186" t="s">
        <v>342</v>
      </c>
      <c r="B560" s="1186" t="s">
        <v>311</v>
      </c>
      <c r="C560" s="1186" t="s">
        <v>23</v>
      </c>
      <c r="D560" s="1186">
        <v>3</v>
      </c>
      <c r="E560" s="1186">
        <v>3</v>
      </c>
      <c r="F560" s="1186"/>
      <c r="G560" s="1186"/>
      <c r="H560" s="1186"/>
    </row>
    <row r="561" spans="1:8" x14ac:dyDescent="0.2">
      <c r="A561" s="1186" t="s">
        <v>342</v>
      </c>
      <c r="B561" s="1186" t="s">
        <v>311</v>
      </c>
      <c r="C561" s="1186" t="s">
        <v>24</v>
      </c>
      <c r="D561" s="1186">
        <v>1</v>
      </c>
      <c r="E561" s="1186">
        <v>1</v>
      </c>
      <c r="F561" s="1186"/>
      <c r="G561" s="1186"/>
      <c r="H561" s="1186"/>
    </row>
    <row r="562" spans="1:8" x14ac:dyDescent="0.2">
      <c r="A562" s="1186" t="s">
        <v>342</v>
      </c>
      <c r="B562" s="1186" t="s">
        <v>311</v>
      </c>
      <c r="C562" s="1186" t="s">
        <v>26</v>
      </c>
      <c r="D562" s="1186">
        <v>1</v>
      </c>
      <c r="E562" s="1186">
        <v>1</v>
      </c>
      <c r="F562" s="1186"/>
      <c r="G562" s="1186"/>
      <c r="H562" s="1186"/>
    </row>
    <row r="563" spans="1:8" x14ac:dyDescent="0.2">
      <c r="A563" s="1186" t="s">
        <v>342</v>
      </c>
      <c r="B563" s="1186" t="s">
        <v>311</v>
      </c>
      <c r="C563" s="1186" t="s">
        <v>619</v>
      </c>
      <c r="D563" s="1186">
        <v>1</v>
      </c>
      <c r="E563" s="1186">
        <v>1</v>
      </c>
      <c r="F563" s="1186"/>
      <c r="G563" s="1186"/>
      <c r="H563" s="1186"/>
    </row>
    <row r="564" spans="1:8" x14ac:dyDescent="0.2">
      <c r="A564" s="1186" t="s">
        <v>342</v>
      </c>
      <c r="B564" s="1186" t="s">
        <v>311</v>
      </c>
      <c r="C564" s="1186" t="s">
        <v>28</v>
      </c>
      <c r="D564" s="1186">
        <v>5</v>
      </c>
      <c r="E564" s="1186">
        <v>3</v>
      </c>
      <c r="F564" s="1186"/>
      <c r="G564" s="1186">
        <v>2</v>
      </c>
      <c r="H564" s="1186"/>
    </row>
    <row r="565" spans="1:8" x14ac:dyDescent="0.2">
      <c r="A565" s="1186" t="s">
        <v>342</v>
      </c>
      <c r="B565" s="1186" t="s">
        <v>311</v>
      </c>
      <c r="C565" s="1186" t="s">
        <v>30</v>
      </c>
      <c r="D565" s="1186">
        <v>1</v>
      </c>
      <c r="E565" s="1186">
        <v>1</v>
      </c>
      <c r="F565" s="1186"/>
      <c r="G565" s="1186"/>
      <c r="H565" s="1186"/>
    </row>
    <row r="566" spans="1:8" x14ac:dyDescent="0.2">
      <c r="A566" s="1186" t="s">
        <v>342</v>
      </c>
      <c r="B566" s="1186" t="s">
        <v>311</v>
      </c>
      <c r="C566" s="1186" t="s">
        <v>32</v>
      </c>
      <c r="D566" s="1186">
        <v>2</v>
      </c>
      <c r="E566" s="1186">
        <v>2</v>
      </c>
      <c r="F566" s="1186"/>
      <c r="G566" s="1186"/>
      <c r="H566" s="1186"/>
    </row>
    <row r="567" spans="1:8" x14ac:dyDescent="0.2">
      <c r="A567" s="1186" t="s">
        <v>342</v>
      </c>
      <c r="B567" s="1186" t="s">
        <v>311</v>
      </c>
      <c r="C567" s="1186" t="s">
        <v>34</v>
      </c>
      <c r="D567" s="1186">
        <v>2</v>
      </c>
      <c r="E567" s="1186">
        <v>2</v>
      </c>
      <c r="F567" s="1186"/>
      <c r="G567" s="1186"/>
      <c r="H567" s="1186"/>
    </row>
    <row r="568" spans="1:8" x14ac:dyDescent="0.2">
      <c r="A568" s="1186" t="s">
        <v>342</v>
      </c>
      <c r="B568" s="1186" t="s">
        <v>311</v>
      </c>
      <c r="C568" s="1186" t="s">
        <v>35</v>
      </c>
      <c r="D568" s="1186">
        <v>2</v>
      </c>
      <c r="E568" s="1186">
        <v>2</v>
      </c>
      <c r="F568" s="1186"/>
      <c r="G568" s="1186"/>
      <c r="H568" s="1186"/>
    </row>
    <row r="569" spans="1:8" x14ac:dyDescent="0.2">
      <c r="A569" s="1186" t="s">
        <v>342</v>
      </c>
      <c r="B569" s="1186" t="s">
        <v>311</v>
      </c>
      <c r="C569" s="1186" t="s">
        <v>36</v>
      </c>
      <c r="D569" s="1186">
        <v>5</v>
      </c>
      <c r="E569" s="1186">
        <v>5</v>
      </c>
      <c r="F569" s="1186"/>
      <c r="G569" s="1186"/>
      <c r="H569" s="1186"/>
    </row>
    <row r="570" spans="1:8" x14ac:dyDescent="0.2">
      <c r="A570" s="1186" t="s">
        <v>342</v>
      </c>
      <c r="B570" s="1186" t="s">
        <v>311</v>
      </c>
      <c r="C570" s="1186" t="s">
        <v>37</v>
      </c>
      <c r="D570" s="1186">
        <v>2</v>
      </c>
      <c r="E570" s="1186">
        <v>2</v>
      </c>
      <c r="F570" s="1186"/>
      <c r="G570" s="1186"/>
      <c r="H570" s="1186"/>
    </row>
    <row r="571" spans="1:8" x14ac:dyDescent="0.2">
      <c r="A571" s="1186" t="s">
        <v>342</v>
      </c>
      <c r="B571" s="1186" t="s">
        <v>311</v>
      </c>
      <c r="C571" s="1186" t="s">
        <v>40</v>
      </c>
      <c r="D571" s="1186">
        <v>1</v>
      </c>
      <c r="E571" s="1186"/>
      <c r="F571" s="1186"/>
      <c r="G571" s="1186"/>
      <c r="H571" s="1186">
        <v>1</v>
      </c>
    </row>
    <row r="572" spans="1:8" x14ac:dyDescent="0.2">
      <c r="A572" s="1186" t="s">
        <v>342</v>
      </c>
      <c r="B572" s="1186" t="s">
        <v>311</v>
      </c>
      <c r="C572" s="1186" t="s">
        <v>295</v>
      </c>
      <c r="D572" s="1186">
        <v>1</v>
      </c>
      <c r="E572" s="1186">
        <v>1</v>
      </c>
      <c r="F572" s="1186"/>
      <c r="G572" s="1186"/>
      <c r="H572" s="1186"/>
    </row>
    <row r="573" spans="1:8" x14ac:dyDescent="0.2">
      <c r="A573" s="1186" t="s">
        <v>342</v>
      </c>
      <c r="B573" s="1186" t="s">
        <v>311</v>
      </c>
      <c r="C573" s="1186" t="s">
        <v>42</v>
      </c>
      <c r="D573" s="1186">
        <v>2</v>
      </c>
      <c r="E573" s="1186">
        <v>1</v>
      </c>
      <c r="F573" s="1186">
        <v>1</v>
      </c>
      <c r="G573" s="1186"/>
      <c r="H573" s="1186"/>
    </row>
    <row r="574" spans="1:8" x14ac:dyDescent="0.2">
      <c r="A574" s="1186" t="s">
        <v>342</v>
      </c>
      <c r="B574" s="1186" t="s">
        <v>311</v>
      </c>
      <c r="C574" s="1186" t="s">
        <v>45</v>
      </c>
      <c r="D574" s="1186">
        <v>1</v>
      </c>
      <c r="E574" s="1186">
        <v>1</v>
      </c>
      <c r="F574" s="1186"/>
      <c r="G574" s="1186"/>
      <c r="H574" s="1186"/>
    </row>
    <row r="575" spans="1:8" x14ac:dyDescent="0.2">
      <c r="A575" s="1186" t="s">
        <v>342</v>
      </c>
      <c r="B575" s="1186" t="s">
        <v>311</v>
      </c>
      <c r="C575" s="1186" t="s">
        <v>46</v>
      </c>
      <c r="D575" s="1186">
        <v>1</v>
      </c>
      <c r="E575" s="1186">
        <v>1</v>
      </c>
      <c r="F575" s="1186"/>
      <c r="G575" s="1186"/>
      <c r="H575" s="1186"/>
    </row>
    <row r="576" spans="1:8" x14ac:dyDescent="0.2">
      <c r="A576" s="1186" t="s">
        <v>342</v>
      </c>
      <c r="B576" s="1186" t="s">
        <v>311</v>
      </c>
      <c r="C576" s="1186" t="s">
        <v>48</v>
      </c>
      <c r="D576" s="1186">
        <v>4</v>
      </c>
      <c r="E576" s="1186">
        <v>3</v>
      </c>
      <c r="F576" s="1186"/>
      <c r="G576" s="1186">
        <v>1</v>
      </c>
      <c r="H576" s="1186"/>
    </row>
    <row r="577" spans="1:8" x14ac:dyDescent="0.2">
      <c r="A577" s="1186" t="s">
        <v>342</v>
      </c>
      <c r="B577" s="1186" t="s">
        <v>311</v>
      </c>
      <c r="C577" s="1186" t="s">
        <v>49</v>
      </c>
      <c r="D577" s="1186">
        <v>4</v>
      </c>
      <c r="E577" s="1186">
        <v>4</v>
      </c>
      <c r="F577" s="1186"/>
      <c r="G577" s="1186"/>
      <c r="H577" s="1186"/>
    </row>
    <row r="578" spans="1:8" x14ac:dyDescent="0.2">
      <c r="A578" s="1186" t="s">
        <v>342</v>
      </c>
      <c r="B578" s="1186" t="s">
        <v>311</v>
      </c>
      <c r="C578" s="1186" t="s">
        <v>50</v>
      </c>
      <c r="D578" s="1186">
        <v>2</v>
      </c>
      <c r="E578" s="1186">
        <v>2</v>
      </c>
      <c r="F578" s="1186"/>
      <c r="G578" s="1186"/>
      <c r="H578" s="1186"/>
    </row>
    <row r="579" spans="1:8" x14ac:dyDescent="0.2">
      <c r="A579" s="1186" t="s">
        <v>342</v>
      </c>
      <c r="B579" s="1186" t="s">
        <v>311</v>
      </c>
      <c r="C579" s="1186" t="s">
        <v>51</v>
      </c>
      <c r="D579" s="1186">
        <v>3</v>
      </c>
      <c r="E579" s="1186">
        <v>1</v>
      </c>
      <c r="F579" s="1186">
        <v>2</v>
      </c>
      <c r="G579" s="1186"/>
      <c r="H579" s="1186"/>
    </row>
    <row r="580" spans="1:8" x14ac:dyDescent="0.2">
      <c r="A580" s="1186" t="s">
        <v>342</v>
      </c>
      <c r="B580" s="1186" t="s">
        <v>621</v>
      </c>
      <c r="C580" s="1186" t="s">
        <v>23</v>
      </c>
      <c r="D580" s="1186">
        <v>2</v>
      </c>
      <c r="E580" s="1186">
        <v>2</v>
      </c>
      <c r="F580" s="1186"/>
      <c r="G580" s="1186"/>
      <c r="H580" s="1186"/>
    </row>
    <row r="581" spans="1:8" x14ac:dyDescent="0.2">
      <c r="A581" s="1186" t="s">
        <v>342</v>
      </c>
      <c r="B581" s="1186" t="s">
        <v>621</v>
      </c>
      <c r="C581" s="1186" t="s">
        <v>24</v>
      </c>
      <c r="D581" s="1186">
        <v>1</v>
      </c>
      <c r="E581" s="1186">
        <v>1</v>
      </c>
      <c r="F581" s="1186"/>
      <c r="G581" s="1186"/>
      <c r="H581" s="1186"/>
    </row>
    <row r="582" spans="1:8" x14ac:dyDescent="0.2">
      <c r="A582" s="1186" t="s">
        <v>342</v>
      </c>
      <c r="B582" s="1186" t="s">
        <v>621</v>
      </c>
      <c r="C582" s="1186" t="s">
        <v>25</v>
      </c>
      <c r="D582" s="1186">
        <v>2</v>
      </c>
      <c r="E582" s="1186">
        <v>2</v>
      </c>
      <c r="F582" s="1186"/>
      <c r="G582" s="1186"/>
      <c r="H582" s="1186"/>
    </row>
    <row r="583" spans="1:8" x14ac:dyDescent="0.2">
      <c r="A583" s="1186" t="s">
        <v>342</v>
      </c>
      <c r="B583" s="1186" t="s">
        <v>621</v>
      </c>
      <c r="C583" s="1186" t="s">
        <v>619</v>
      </c>
      <c r="D583" s="1186">
        <v>2</v>
      </c>
      <c r="E583" s="1186">
        <v>2</v>
      </c>
      <c r="F583" s="1186"/>
      <c r="G583" s="1186"/>
      <c r="H583" s="1186"/>
    </row>
    <row r="584" spans="1:8" x14ac:dyDescent="0.2">
      <c r="A584" s="1186" t="s">
        <v>342</v>
      </c>
      <c r="B584" s="1186" t="s">
        <v>621</v>
      </c>
      <c r="C584" s="1186" t="s">
        <v>32</v>
      </c>
      <c r="D584" s="1186">
        <v>2</v>
      </c>
      <c r="E584" s="1186">
        <v>2</v>
      </c>
      <c r="F584" s="1186"/>
      <c r="G584" s="1186"/>
      <c r="H584" s="1186"/>
    </row>
    <row r="585" spans="1:8" x14ac:dyDescent="0.2">
      <c r="A585" s="1186" t="s">
        <v>342</v>
      </c>
      <c r="B585" s="1186" t="s">
        <v>621</v>
      </c>
      <c r="C585" s="1186" t="s">
        <v>34</v>
      </c>
      <c r="D585" s="1186">
        <v>1</v>
      </c>
      <c r="E585" s="1186">
        <v>1</v>
      </c>
      <c r="F585" s="1186"/>
      <c r="G585" s="1186"/>
      <c r="H585" s="1186"/>
    </row>
    <row r="586" spans="1:8" x14ac:dyDescent="0.2">
      <c r="A586" s="1186" t="s">
        <v>342</v>
      </c>
      <c r="B586" s="1186" t="s">
        <v>621</v>
      </c>
      <c r="C586" s="1186" t="s">
        <v>35</v>
      </c>
      <c r="D586" s="1186">
        <v>2</v>
      </c>
      <c r="E586" s="1186">
        <v>2</v>
      </c>
      <c r="F586" s="1186"/>
      <c r="G586" s="1186"/>
      <c r="H586" s="1186"/>
    </row>
    <row r="587" spans="1:8" x14ac:dyDescent="0.2">
      <c r="A587" s="1186" t="s">
        <v>342</v>
      </c>
      <c r="B587" s="1186" t="s">
        <v>621</v>
      </c>
      <c r="C587" s="1186" t="s">
        <v>36</v>
      </c>
      <c r="D587" s="1186">
        <v>4</v>
      </c>
      <c r="E587" s="1186">
        <v>2</v>
      </c>
      <c r="F587" s="1186"/>
      <c r="G587" s="1186"/>
      <c r="H587" s="1186">
        <v>2</v>
      </c>
    </row>
    <row r="588" spans="1:8" x14ac:dyDescent="0.2">
      <c r="A588" s="1186" t="s">
        <v>342</v>
      </c>
      <c r="B588" s="1186" t="s">
        <v>621</v>
      </c>
      <c r="C588" s="1186" t="s">
        <v>37</v>
      </c>
      <c r="D588" s="1186">
        <v>3</v>
      </c>
      <c r="E588" s="1186">
        <v>2</v>
      </c>
      <c r="F588" s="1186">
        <v>1</v>
      </c>
      <c r="G588" s="1186"/>
      <c r="H588" s="1186"/>
    </row>
    <row r="589" spans="1:8" x14ac:dyDescent="0.2">
      <c r="A589" s="1186" t="s">
        <v>342</v>
      </c>
      <c r="B589" s="1186" t="s">
        <v>621</v>
      </c>
      <c r="C589" s="1186" t="s">
        <v>38</v>
      </c>
      <c r="D589" s="1186">
        <v>4</v>
      </c>
      <c r="E589" s="1186">
        <v>4</v>
      </c>
      <c r="F589" s="1186"/>
      <c r="G589" s="1186"/>
      <c r="H589" s="1186"/>
    </row>
    <row r="590" spans="1:8" x14ac:dyDescent="0.2">
      <c r="A590" s="1186" t="s">
        <v>342</v>
      </c>
      <c r="B590" s="1186" t="s">
        <v>621</v>
      </c>
      <c r="C590" s="1186" t="s">
        <v>39</v>
      </c>
      <c r="D590" s="1186">
        <v>1</v>
      </c>
      <c r="E590" s="1186">
        <v>1</v>
      </c>
      <c r="F590" s="1186"/>
      <c r="G590" s="1186"/>
      <c r="H590" s="1186"/>
    </row>
    <row r="591" spans="1:8" x14ac:dyDescent="0.2">
      <c r="A591" s="1186" t="s">
        <v>342</v>
      </c>
      <c r="B591" s="1186" t="s">
        <v>621</v>
      </c>
      <c r="C591" s="1186" t="s">
        <v>40</v>
      </c>
      <c r="D591" s="1186">
        <v>2</v>
      </c>
      <c r="E591" s="1186">
        <v>2</v>
      </c>
      <c r="F591" s="1186"/>
      <c r="G591" s="1186"/>
      <c r="H591" s="1186"/>
    </row>
    <row r="592" spans="1:8" x14ac:dyDescent="0.2">
      <c r="A592" s="1186" t="s">
        <v>342</v>
      </c>
      <c r="B592" s="1186" t="s">
        <v>621</v>
      </c>
      <c r="C592" s="1186" t="s">
        <v>41</v>
      </c>
      <c r="D592" s="1186">
        <v>5</v>
      </c>
      <c r="E592" s="1186">
        <v>5</v>
      </c>
      <c r="F592" s="1186"/>
      <c r="G592" s="1186"/>
      <c r="H592" s="1186"/>
    </row>
    <row r="593" spans="1:8" x14ac:dyDescent="0.2">
      <c r="A593" s="1186" t="s">
        <v>342</v>
      </c>
      <c r="B593" s="1186" t="s">
        <v>621</v>
      </c>
      <c r="C593" s="1186" t="s">
        <v>42</v>
      </c>
      <c r="D593" s="1186">
        <v>2</v>
      </c>
      <c r="E593" s="1186">
        <v>2</v>
      </c>
      <c r="F593" s="1186"/>
      <c r="G593" s="1186"/>
      <c r="H593" s="1186"/>
    </row>
    <row r="594" spans="1:8" x14ac:dyDescent="0.2">
      <c r="A594" s="1186" t="s">
        <v>342</v>
      </c>
      <c r="B594" s="1186" t="s">
        <v>621</v>
      </c>
      <c r="C594" s="1186" t="s">
        <v>44</v>
      </c>
      <c r="D594" s="1186">
        <v>1</v>
      </c>
      <c r="E594" s="1186">
        <v>1</v>
      </c>
      <c r="F594" s="1186"/>
      <c r="G594" s="1186"/>
      <c r="H594" s="1186"/>
    </row>
    <row r="595" spans="1:8" x14ac:dyDescent="0.2">
      <c r="A595" s="1186" t="s">
        <v>342</v>
      </c>
      <c r="B595" s="1186" t="s">
        <v>621</v>
      </c>
      <c r="C595" s="1186" t="s">
        <v>45</v>
      </c>
      <c r="D595" s="1186">
        <v>2</v>
      </c>
      <c r="E595" s="1186">
        <v>1</v>
      </c>
      <c r="F595" s="1186"/>
      <c r="G595" s="1186">
        <v>1</v>
      </c>
      <c r="H595" s="1186"/>
    </row>
    <row r="596" spans="1:8" x14ac:dyDescent="0.2">
      <c r="A596" s="1186" t="s">
        <v>342</v>
      </c>
      <c r="B596" s="1186" t="s">
        <v>621</v>
      </c>
      <c r="C596" s="1186" t="s">
        <v>46</v>
      </c>
      <c r="D596" s="1186">
        <v>1</v>
      </c>
      <c r="E596" s="1186">
        <v>1</v>
      </c>
      <c r="F596" s="1186"/>
      <c r="G596" s="1186"/>
      <c r="H596" s="1186"/>
    </row>
    <row r="597" spans="1:8" x14ac:dyDescent="0.2">
      <c r="A597" s="1186" t="s">
        <v>342</v>
      </c>
      <c r="B597" s="1186" t="s">
        <v>621</v>
      </c>
      <c r="C597" s="1186" t="s">
        <v>47</v>
      </c>
      <c r="D597" s="1186">
        <v>1</v>
      </c>
      <c r="E597" s="1186">
        <v>1</v>
      </c>
      <c r="F597" s="1186"/>
      <c r="G597" s="1186"/>
      <c r="H597" s="1186"/>
    </row>
    <row r="598" spans="1:8" x14ac:dyDescent="0.2">
      <c r="A598" s="1186" t="s">
        <v>342</v>
      </c>
      <c r="B598" s="1186" t="s">
        <v>621</v>
      </c>
      <c r="C598" s="1186" t="s">
        <v>48</v>
      </c>
      <c r="D598" s="1186">
        <v>1</v>
      </c>
      <c r="E598" s="1186">
        <v>1</v>
      </c>
      <c r="F598" s="1186"/>
      <c r="G598" s="1186"/>
      <c r="H598" s="1186"/>
    </row>
    <row r="599" spans="1:8" x14ac:dyDescent="0.2">
      <c r="A599" s="1186" t="s">
        <v>342</v>
      </c>
      <c r="B599" s="1186" t="s">
        <v>621</v>
      </c>
      <c r="C599" s="1186" t="s">
        <v>49</v>
      </c>
      <c r="D599" s="1186">
        <v>1</v>
      </c>
      <c r="E599" s="1186">
        <v>1</v>
      </c>
      <c r="F599" s="1186"/>
      <c r="G599" s="1186"/>
      <c r="H599" s="1186"/>
    </row>
    <row r="600" spans="1:8" x14ac:dyDescent="0.2">
      <c r="A600" s="1186" t="s">
        <v>342</v>
      </c>
      <c r="B600" s="1186" t="s">
        <v>621</v>
      </c>
      <c r="C600" s="1186" t="s">
        <v>50</v>
      </c>
      <c r="D600" s="1186">
        <v>2</v>
      </c>
      <c r="E600" s="1186">
        <v>2</v>
      </c>
      <c r="F600" s="1186"/>
      <c r="G600" s="1186"/>
      <c r="H600" s="1186"/>
    </row>
    <row r="601" spans="1:8" x14ac:dyDescent="0.2">
      <c r="A601" s="1186" t="s">
        <v>342</v>
      </c>
      <c r="B601" s="1186" t="s">
        <v>621</v>
      </c>
      <c r="C601" s="1186" t="s">
        <v>51</v>
      </c>
      <c r="D601" s="1186">
        <v>1</v>
      </c>
      <c r="E601" s="1186">
        <v>1</v>
      </c>
      <c r="F601" s="1186"/>
      <c r="G601" s="1186"/>
      <c r="H601" s="1186"/>
    </row>
    <row r="602" spans="1:8" x14ac:dyDescent="0.2">
      <c r="A602" s="1186" t="s">
        <v>342</v>
      </c>
      <c r="B602" s="1186" t="s">
        <v>621</v>
      </c>
      <c r="C602" s="1186" t="s">
        <v>52</v>
      </c>
      <c r="D602" s="1186">
        <v>1</v>
      </c>
      <c r="E602" s="1186">
        <v>1</v>
      </c>
      <c r="F602" s="1186"/>
      <c r="G602" s="1186"/>
      <c r="H602" s="1186"/>
    </row>
    <row r="603" spans="1:8" x14ac:dyDescent="0.2">
      <c r="A603" s="1186" t="s">
        <v>342</v>
      </c>
      <c r="B603" s="1186" t="s">
        <v>1419</v>
      </c>
      <c r="C603" s="1186" t="s">
        <v>24</v>
      </c>
      <c r="D603" s="1186">
        <v>2</v>
      </c>
      <c r="E603" s="1186">
        <v>2</v>
      </c>
      <c r="F603" s="1186"/>
      <c r="G603" s="1186"/>
      <c r="H603" s="1186"/>
    </row>
    <row r="604" spans="1:8" x14ac:dyDescent="0.2">
      <c r="A604" s="1186" t="s">
        <v>342</v>
      </c>
      <c r="B604" s="1186" t="s">
        <v>1419</v>
      </c>
      <c r="C604" s="1186" t="s">
        <v>26</v>
      </c>
      <c r="D604" s="1186">
        <v>1</v>
      </c>
      <c r="E604" s="1186">
        <v>1</v>
      </c>
      <c r="F604" s="1186"/>
      <c r="G604" s="1186"/>
      <c r="H604" s="1186"/>
    </row>
    <row r="605" spans="1:8" x14ac:dyDescent="0.2">
      <c r="A605" s="1186" t="s">
        <v>342</v>
      </c>
      <c r="B605" s="1186" t="s">
        <v>1419</v>
      </c>
      <c r="C605" s="1186" t="s">
        <v>619</v>
      </c>
      <c r="D605" s="1186">
        <v>1</v>
      </c>
      <c r="E605" s="1186">
        <v>1</v>
      </c>
      <c r="F605" s="1186"/>
      <c r="G605" s="1186"/>
      <c r="H605" s="1186"/>
    </row>
    <row r="606" spans="1:8" x14ac:dyDescent="0.2">
      <c r="A606" s="1186" t="s">
        <v>342</v>
      </c>
      <c r="B606" s="1186" t="s">
        <v>1419</v>
      </c>
      <c r="C606" s="1186" t="s">
        <v>30</v>
      </c>
      <c r="D606" s="1186">
        <v>1</v>
      </c>
      <c r="E606" s="1186">
        <v>1</v>
      </c>
      <c r="F606" s="1186"/>
      <c r="G606" s="1186"/>
      <c r="H606" s="1186"/>
    </row>
    <row r="607" spans="1:8" x14ac:dyDescent="0.2">
      <c r="A607" s="1186" t="s">
        <v>342</v>
      </c>
      <c r="B607" s="1186" t="s">
        <v>1419</v>
      </c>
      <c r="C607" s="1186" t="s">
        <v>34</v>
      </c>
      <c r="D607" s="1186">
        <v>2</v>
      </c>
      <c r="E607" s="1186">
        <v>2</v>
      </c>
      <c r="F607" s="1186"/>
      <c r="G607" s="1186"/>
      <c r="H607" s="1186"/>
    </row>
    <row r="608" spans="1:8" x14ac:dyDescent="0.2">
      <c r="A608" s="1186" t="s">
        <v>342</v>
      </c>
      <c r="B608" s="1186" t="s">
        <v>1419</v>
      </c>
      <c r="C608" s="1186" t="s">
        <v>35</v>
      </c>
      <c r="D608" s="1186">
        <v>1</v>
      </c>
      <c r="E608" s="1186">
        <v>1</v>
      </c>
      <c r="F608" s="1186"/>
      <c r="G608" s="1186"/>
      <c r="H608" s="1186"/>
    </row>
    <row r="609" spans="1:8" x14ac:dyDescent="0.2">
      <c r="A609" s="1186" t="s">
        <v>342</v>
      </c>
      <c r="B609" s="1186" t="s">
        <v>1419</v>
      </c>
      <c r="C609" s="1186" t="s">
        <v>36</v>
      </c>
      <c r="D609" s="1186">
        <v>3</v>
      </c>
      <c r="E609" s="1186">
        <v>3</v>
      </c>
      <c r="F609" s="1186"/>
      <c r="G609" s="1186"/>
      <c r="H609" s="1186"/>
    </row>
    <row r="610" spans="1:8" x14ac:dyDescent="0.2">
      <c r="A610" s="1186" t="s">
        <v>342</v>
      </c>
      <c r="B610" s="1186" t="s">
        <v>1419</v>
      </c>
      <c r="C610" s="1186" t="s">
        <v>41</v>
      </c>
      <c r="D610" s="1186">
        <v>1</v>
      </c>
      <c r="E610" s="1186">
        <v>1</v>
      </c>
      <c r="F610" s="1186"/>
      <c r="G610" s="1186"/>
      <c r="H610" s="1186"/>
    </row>
    <row r="611" spans="1:8" x14ac:dyDescent="0.2">
      <c r="A611" s="1186" t="s">
        <v>342</v>
      </c>
      <c r="B611" s="1186" t="s">
        <v>1419</v>
      </c>
      <c r="C611" s="1186" t="s">
        <v>42</v>
      </c>
      <c r="D611" s="1186">
        <v>6</v>
      </c>
      <c r="E611" s="1186">
        <v>4</v>
      </c>
      <c r="F611" s="1186">
        <v>1</v>
      </c>
      <c r="G611" s="1186">
        <v>1</v>
      </c>
      <c r="H611" s="1186"/>
    </row>
    <row r="612" spans="1:8" x14ac:dyDescent="0.2">
      <c r="A612" s="1186" t="s">
        <v>342</v>
      </c>
      <c r="B612" s="1186" t="s">
        <v>1419</v>
      </c>
      <c r="C612" s="1186" t="s">
        <v>43</v>
      </c>
      <c r="D612" s="1186">
        <v>1</v>
      </c>
      <c r="E612" s="1186">
        <v>1</v>
      </c>
      <c r="F612" s="1186"/>
      <c r="G612" s="1186"/>
      <c r="H612" s="1186"/>
    </row>
    <row r="613" spans="1:8" x14ac:dyDescent="0.2">
      <c r="A613" s="1186" t="s">
        <v>342</v>
      </c>
      <c r="B613" s="1186" t="s">
        <v>1419</v>
      </c>
      <c r="C613" s="1186" t="s">
        <v>44</v>
      </c>
      <c r="D613" s="1186">
        <v>1</v>
      </c>
      <c r="E613" s="1186"/>
      <c r="F613" s="1186">
        <v>1</v>
      </c>
      <c r="G613" s="1186"/>
      <c r="H613" s="1186"/>
    </row>
    <row r="614" spans="1:8" x14ac:dyDescent="0.2">
      <c r="A614" s="1186" t="s">
        <v>342</v>
      </c>
      <c r="B614" s="1186" t="s">
        <v>1419</v>
      </c>
      <c r="C614" s="1186" t="s">
        <v>47</v>
      </c>
      <c r="D614" s="1186">
        <v>1</v>
      </c>
      <c r="E614" s="1186">
        <v>1</v>
      </c>
      <c r="F614" s="1186"/>
      <c r="G614" s="1186"/>
      <c r="H614" s="1186"/>
    </row>
    <row r="615" spans="1:8" x14ac:dyDescent="0.2">
      <c r="A615" s="1186" t="s">
        <v>342</v>
      </c>
      <c r="B615" s="1186" t="s">
        <v>1419</v>
      </c>
      <c r="C615" s="1186" t="s">
        <v>48</v>
      </c>
      <c r="D615" s="1186">
        <v>1</v>
      </c>
      <c r="E615" s="1186"/>
      <c r="F615" s="1186">
        <v>1</v>
      </c>
      <c r="G615" s="1186"/>
      <c r="H615" s="1186"/>
    </row>
    <row r="616" spans="1:8" x14ac:dyDescent="0.2">
      <c r="A616" s="1186" t="s">
        <v>342</v>
      </c>
      <c r="B616" s="1186" t="s">
        <v>1419</v>
      </c>
      <c r="C616" s="1186" t="s">
        <v>49</v>
      </c>
      <c r="D616" s="1186">
        <v>2</v>
      </c>
      <c r="E616" s="1186">
        <v>2</v>
      </c>
      <c r="F616" s="1186"/>
      <c r="G616" s="1186"/>
      <c r="H616" s="1186"/>
    </row>
    <row r="617" spans="1:8" x14ac:dyDescent="0.2">
      <c r="A617" s="1186" t="s">
        <v>342</v>
      </c>
      <c r="B617" s="1186" t="s">
        <v>1419</v>
      </c>
      <c r="C617" s="1186" t="s">
        <v>50</v>
      </c>
      <c r="D617" s="1186">
        <v>1</v>
      </c>
      <c r="E617" s="1186">
        <v>1</v>
      </c>
      <c r="F617" s="1186"/>
      <c r="G617" s="1186"/>
      <c r="H617" s="1186"/>
    </row>
    <row r="618" spans="1:8" x14ac:dyDescent="0.2">
      <c r="A618" s="1186" t="s">
        <v>342</v>
      </c>
      <c r="B618" s="1186" t="s">
        <v>1419</v>
      </c>
      <c r="C618" s="1186" t="s">
        <v>52</v>
      </c>
      <c r="D618" s="1186">
        <v>2</v>
      </c>
      <c r="E618" s="1186"/>
      <c r="F618" s="1186"/>
      <c r="G618" s="1186">
        <v>2</v>
      </c>
      <c r="H618" s="1186"/>
    </row>
    <row r="619" spans="1:8" x14ac:dyDescent="0.2">
      <c r="A619" s="1186" t="s">
        <v>342</v>
      </c>
      <c r="B619" s="1186" t="s">
        <v>1572</v>
      </c>
      <c r="C619" s="1186" t="s">
        <v>23</v>
      </c>
      <c r="D619" s="1186">
        <v>3</v>
      </c>
      <c r="E619" s="1186">
        <v>3</v>
      </c>
      <c r="F619" s="1186"/>
      <c r="G619" s="1186"/>
      <c r="H619" s="1186"/>
    </row>
    <row r="620" spans="1:8" x14ac:dyDescent="0.2">
      <c r="A620" s="1186" t="s">
        <v>342</v>
      </c>
      <c r="B620" s="1186" t="s">
        <v>1572</v>
      </c>
      <c r="C620" s="1186" t="s">
        <v>24</v>
      </c>
      <c r="D620" s="1186">
        <v>1</v>
      </c>
      <c r="E620" s="1186">
        <v>1</v>
      </c>
      <c r="F620" s="1186"/>
      <c r="G620" s="1186"/>
      <c r="H620" s="1186"/>
    </row>
    <row r="621" spans="1:8" x14ac:dyDescent="0.2">
      <c r="A621" s="1186" t="s">
        <v>342</v>
      </c>
      <c r="B621" s="1186" t="s">
        <v>1572</v>
      </c>
      <c r="C621" s="1186" t="s">
        <v>26</v>
      </c>
      <c r="D621" s="1186">
        <v>1</v>
      </c>
      <c r="E621" s="1186">
        <v>1</v>
      </c>
      <c r="F621" s="1186"/>
      <c r="G621" s="1186"/>
      <c r="H621" s="1186"/>
    </row>
    <row r="622" spans="1:8" x14ac:dyDescent="0.2">
      <c r="A622" s="1186" t="s">
        <v>342</v>
      </c>
      <c r="B622" s="1186" t="s">
        <v>1572</v>
      </c>
      <c r="C622" s="1186" t="s">
        <v>619</v>
      </c>
      <c r="D622" s="1186">
        <v>2</v>
      </c>
      <c r="E622" s="1186">
        <v>2</v>
      </c>
      <c r="F622" s="1186"/>
      <c r="G622" s="1186"/>
      <c r="H622" s="1186"/>
    </row>
    <row r="623" spans="1:8" x14ac:dyDescent="0.2">
      <c r="A623" s="1186" t="s">
        <v>342</v>
      </c>
      <c r="B623" s="1186" t="s">
        <v>1572</v>
      </c>
      <c r="C623" s="1186" t="s">
        <v>27</v>
      </c>
      <c r="D623" s="1186">
        <v>2</v>
      </c>
      <c r="E623" s="1186">
        <v>2</v>
      </c>
      <c r="F623" s="1186"/>
      <c r="G623" s="1186"/>
      <c r="H623" s="1186"/>
    </row>
    <row r="624" spans="1:8" x14ac:dyDescent="0.2">
      <c r="A624" s="1186" t="s">
        <v>342</v>
      </c>
      <c r="B624" s="1186" t="s">
        <v>1572</v>
      </c>
      <c r="C624" s="1186" t="s">
        <v>28</v>
      </c>
      <c r="D624" s="1186">
        <v>2</v>
      </c>
      <c r="E624" s="1186">
        <v>2</v>
      </c>
      <c r="F624" s="1186"/>
      <c r="G624" s="1186"/>
      <c r="H624" s="1186"/>
    </row>
    <row r="625" spans="1:8" x14ac:dyDescent="0.2">
      <c r="A625" s="1186" t="s">
        <v>342</v>
      </c>
      <c r="B625" s="1186" t="s">
        <v>1572</v>
      </c>
      <c r="C625" s="1186" t="s">
        <v>29</v>
      </c>
      <c r="D625" s="1186">
        <v>3</v>
      </c>
      <c r="E625" s="1186">
        <v>3</v>
      </c>
      <c r="F625" s="1186"/>
      <c r="G625" s="1186"/>
      <c r="H625" s="1186"/>
    </row>
    <row r="626" spans="1:8" x14ac:dyDescent="0.2">
      <c r="A626" s="1186" t="s">
        <v>342</v>
      </c>
      <c r="B626" s="1186" t="s">
        <v>1572</v>
      </c>
      <c r="C626" s="1186" t="s">
        <v>30</v>
      </c>
      <c r="D626" s="1186">
        <v>2</v>
      </c>
      <c r="E626" s="1186">
        <v>1</v>
      </c>
      <c r="F626" s="1186"/>
      <c r="G626" s="1186">
        <v>1</v>
      </c>
      <c r="H626" s="1186"/>
    </row>
    <row r="627" spans="1:8" x14ac:dyDescent="0.2">
      <c r="A627" s="1186" t="s">
        <v>342</v>
      </c>
      <c r="B627" s="1186" t="s">
        <v>1572</v>
      </c>
      <c r="C627" s="1186" t="s">
        <v>31</v>
      </c>
      <c r="D627" s="1186">
        <v>1</v>
      </c>
      <c r="E627" s="1186">
        <v>1</v>
      </c>
      <c r="F627" s="1186"/>
      <c r="G627" s="1186"/>
      <c r="H627" s="1186"/>
    </row>
    <row r="628" spans="1:8" x14ac:dyDescent="0.2">
      <c r="A628" s="1186" t="s">
        <v>342</v>
      </c>
      <c r="B628" s="1186" t="s">
        <v>1572</v>
      </c>
      <c r="C628" s="1186" t="s">
        <v>32</v>
      </c>
      <c r="D628" s="1186">
        <v>1</v>
      </c>
      <c r="E628" s="1186">
        <v>1</v>
      </c>
      <c r="F628" s="1186"/>
      <c r="G628" s="1186"/>
      <c r="H628" s="1186"/>
    </row>
    <row r="629" spans="1:8" x14ac:dyDescent="0.2">
      <c r="A629" s="1186" t="s">
        <v>342</v>
      </c>
      <c r="B629" s="1186" t="s">
        <v>1572</v>
      </c>
      <c r="C629" s="1186" t="s">
        <v>33</v>
      </c>
      <c r="D629" s="1186">
        <v>1</v>
      </c>
      <c r="E629" s="1186">
        <v>1</v>
      </c>
      <c r="F629" s="1186"/>
      <c r="G629" s="1186"/>
      <c r="H629" s="1186"/>
    </row>
    <row r="630" spans="1:8" x14ac:dyDescent="0.2">
      <c r="A630" s="1186" t="s">
        <v>342</v>
      </c>
      <c r="B630" s="1186" t="s">
        <v>1572</v>
      </c>
      <c r="C630" s="1186" t="s">
        <v>35</v>
      </c>
      <c r="D630" s="1186">
        <v>2</v>
      </c>
      <c r="E630" s="1186">
        <v>2</v>
      </c>
      <c r="F630" s="1186"/>
      <c r="G630" s="1186"/>
      <c r="H630" s="1186"/>
    </row>
    <row r="631" spans="1:8" x14ac:dyDescent="0.2">
      <c r="A631" s="1186" t="s">
        <v>342</v>
      </c>
      <c r="B631" s="1186" t="s">
        <v>1572</v>
      </c>
      <c r="C631" s="1186" t="s">
        <v>36</v>
      </c>
      <c r="D631" s="1186">
        <v>10</v>
      </c>
      <c r="E631" s="1186">
        <v>7</v>
      </c>
      <c r="F631" s="1186">
        <v>1</v>
      </c>
      <c r="G631" s="1186">
        <v>2</v>
      </c>
      <c r="H631" s="1186"/>
    </row>
    <row r="632" spans="1:8" x14ac:dyDescent="0.2">
      <c r="A632" s="1186" t="s">
        <v>342</v>
      </c>
      <c r="B632" s="1186" t="s">
        <v>1572</v>
      </c>
      <c r="C632" s="1186" t="s">
        <v>37</v>
      </c>
      <c r="D632" s="1186">
        <v>1</v>
      </c>
      <c r="E632" s="1186"/>
      <c r="F632" s="1186">
        <v>1</v>
      </c>
      <c r="G632" s="1186"/>
      <c r="H632" s="1186"/>
    </row>
    <row r="633" spans="1:8" x14ac:dyDescent="0.2">
      <c r="A633" s="1186" t="s">
        <v>342</v>
      </c>
      <c r="B633" s="1186" t="s">
        <v>1572</v>
      </c>
      <c r="C633" s="1186" t="s">
        <v>38</v>
      </c>
      <c r="D633" s="1186">
        <v>2</v>
      </c>
      <c r="E633" s="1186">
        <v>2</v>
      </c>
      <c r="F633" s="1186"/>
      <c r="G633" s="1186"/>
      <c r="H633" s="1186"/>
    </row>
    <row r="634" spans="1:8" x14ac:dyDescent="0.2">
      <c r="A634" s="1186" t="s">
        <v>342</v>
      </c>
      <c r="B634" s="1186" t="s">
        <v>1572</v>
      </c>
      <c r="C634" s="1186" t="s">
        <v>39</v>
      </c>
      <c r="D634" s="1186">
        <v>2</v>
      </c>
      <c r="E634" s="1186">
        <v>1</v>
      </c>
      <c r="F634" s="1186"/>
      <c r="G634" s="1186">
        <v>1</v>
      </c>
      <c r="H634" s="1186"/>
    </row>
    <row r="635" spans="1:8" x14ac:dyDescent="0.2">
      <c r="A635" s="1186" t="s">
        <v>342</v>
      </c>
      <c r="B635" s="1186" t="s">
        <v>1572</v>
      </c>
      <c r="C635" s="1186" t="s">
        <v>40</v>
      </c>
      <c r="D635" s="1186">
        <v>1</v>
      </c>
      <c r="E635" s="1186">
        <v>1</v>
      </c>
      <c r="F635" s="1186"/>
      <c r="G635" s="1186"/>
      <c r="H635" s="1186"/>
    </row>
    <row r="636" spans="1:8" x14ac:dyDescent="0.2">
      <c r="A636" s="1186" t="s">
        <v>342</v>
      </c>
      <c r="B636" s="1186" t="s">
        <v>1572</v>
      </c>
      <c r="C636" s="1186" t="s">
        <v>41</v>
      </c>
      <c r="D636" s="1186">
        <v>1</v>
      </c>
      <c r="E636" s="1186"/>
      <c r="F636" s="1186"/>
      <c r="G636" s="1186"/>
      <c r="H636" s="1186">
        <v>1</v>
      </c>
    </row>
    <row r="637" spans="1:8" x14ac:dyDescent="0.2">
      <c r="A637" s="1186" t="s">
        <v>342</v>
      </c>
      <c r="B637" s="1186" t="s">
        <v>1572</v>
      </c>
      <c r="C637" s="1186" t="s">
        <v>42</v>
      </c>
      <c r="D637" s="1186">
        <v>2</v>
      </c>
      <c r="E637" s="1186">
        <v>2</v>
      </c>
      <c r="F637" s="1186"/>
      <c r="G637" s="1186"/>
      <c r="H637" s="1186"/>
    </row>
    <row r="638" spans="1:8" x14ac:dyDescent="0.2">
      <c r="A638" s="1186" t="s">
        <v>342</v>
      </c>
      <c r="B638" s="1186" t="s">
        <v>1572</v>
      </c>
      <c r="C638" s="1186" t="s">
        <v>45</v>
      </c>
      <c r="D638" s="1186">
        <v>3</v>
      </c>
      <c r="E638" s="1186">
        <v>3</v>
      </c>
      <c r="F638" s="1186"/>
      <c r="G638" s="1186"/>
      <c r="H638" s="1186"/>
    </row>
    <row r="639" spans="1:8" x14ac:dyDescent="0.2">
      <c r="A639" s="1186" t="s">
        <v>342</v>
      </c>
      <c r="B639" s="1186" t="s">
        <v>1572</v>
      </c>
      <c r="C639" s="1186" t="s">
        <v>46</v>
      </c>
      <c r="D639" s="1186">
        <v>2</v>
      </c>
      <c r="E639" s="1186">
        <v>1</v>
      </c>
      <c r="F639" s="1186"/>
      <c r="G639" s="1186"/>
      <c r="H639" s="1186">
        <v>1</v>
      </c>
    </row>
    <row r="640" spans="1:8" x14ac:dyDescent="0.2">
      <c r="A640" s="1186" t="s">
        <v>342</v>
      </c>
      <c r="B640" s="1186" t="s">
        <v>1572</v>
      </c>
      <c r="C640" s="1186" t="s">
        <v>47</v>
      </c>
      <c r="D640" s="1186">
        <v>1</v>
      </c>
      <c r="E640" s="1186"/>
      <c r="F640" s="1186"/>
      <c r="G640" s="1186">
        <v>1</v>
      </c>
      <c r="H640" s="1186"/>
    </row>
    <row r="641" spans="1:8" x14ac:dyDescent="0.2">
      <c r="A641" s="1186" t="s">
        <v>342</v>
      </c>
      <c r="B641" s="1186" t="s">
        <v>1572</v>
      </c>
      <c r="C641" s="1186" t="s">
        <v>48</v>
      </c>
      <c r="D641" s="1186">
        <v>1</v>
      </c>
      <c r="E641" s="1186">
        <v>1</v>
      </c>
      <c r="F641" s="1186"/>
      <c r="G641" s="1186"/>
      <c r="H641" s="1186"/>
    </row>
    <row r="642" spans="1:8" x14ac:dyDescent="0.2">
      <c r="A642" s="1186" t="s">
        <v>342</v>
      </c>
      <c r="B642" s="1186" t="s">
        <v>1572</v>
      </c>
      <c r="C642" s="1186" t="s">
        <v>49</v>
      </c>
      <c r="D642" s="1186">
        <v>2</v>
      </c>
      <c r="E642" s="1186">
        <v>2</v>
      </c>
      <c r="F642" s="1186"/>
      <c r="G642" s="1186"/>
      <c r="H642" s="1186"/>
    </row>
    <row r="643" spans="1:8" x14ac:dyDescent="0.2">
      <c r="A643" s="1186" t="s">
        <v>342</v>
      </c>
      <c r="B643" s="1186" t="s">
        <v>1572</v>
      </c>
      <c r="C643" s="1186" t="s">
        <v>51</v>
      </c>
      <c r="D643" s="1186">
        <v>2</v>
      </c>
      <c r="E643" s="1186">
        <v>2</v>
      </c>
      <c r="F643" s="1186"/>
      <c r="G643" s="1186"/>
      <c r="H643" s="1186"/>
    </row>
    <row r="644" spans="1:8" x14ac:dyDescent="0.2">
      <c r="A644" s="1186" t="s">
        <v>342</v>
      </c>
      <c r="B644" s="1186" t="s">
        <v>1572</v>
      </c>
      <c r="C644" s="1186" t="s">
        <v>52</v>
      </c>
      <c r="D644" s="1186">
        <v>2</v>
      </c>
      <c r="E644" s="1186">
        <v>2</v>
      </c>
      <c r="F644" s="1186"/>
      <c r="G644" s="1186"/>
      <c r="H644" s="1186"/>
    </row>
    <row r="645" spans="1:8" x14ac:dyDescent="0.2">
      <c r="A645" s="1186" t="s">
        <v>343</v>
      </c>
      <c r="B645" s="1186" t="s">
        <v>19</v>
      </c>
      <c r="C645" s="1186" t="s">
        <v>23</v>
      </c>
      <c r="D645" s="1186">
        <v>69</v>
      </c>
      <c r="E645" s="1186">
        <v>61</v>
      </c>
      <c r="F645" s="1186">
        <v>4</v>
      </c>
      <c r="G645" s="1186">
        <v>3</v>
      </c>
      <c r="H645" s="1186">
        <v>1</v>
      </c>
    </row>
    <row r="646" spans="1:8" x14ac:dyDescent="0.2">
      <c r="A646" s="1186" t="s">
        <v>343</v>
      </c>
      <c r="B646" s="1186" t="s">
        <v>19</v>
      </c>
      <c r="C646" s="1186" t="s">
        <v>24</v>
      </c>
      <c r="D646" s="1186">
        <v>60</v>
      </c>
      <c r="E646" s="1186">
        <v>41</v>
      </c>
      <c r="F646" s="1186">
        <v>10</v>
      </c>
      <c r="G646" s="1186">
        <v>6</v>
      </c>
      <c r="H646" s="1186">
        <v>3</v>
      </c>
    </row>
    <row r="647" spans="1:8" x14ac:dyDescent="0.2">
      <c r="A647" s="1186" t="s">
        <v>343</v>
      </c>
      <c r="B647" s="1186" t="s">
        <v>19</v>
      </c>
      <c r="C647" s="1186" t="s">
        <v>25</v>
      </c>
      <c r="D647" s="1186">
        <v>23</v>
      </c>
      <c r="E647" s="1186">
        <v>19</v>
      </c>
      <c r="F647" s="1186">
        <v>1</v>
      </c>
      <c r="G647" s="1186">
        <v>3</v>
      </c>
      <c r="H647" s="1186"/>
    </row>
    <row r="648" spans="1:8" x14ac:dyDescent="0.2">
      <c r="A648" s="1186" t="s">
        <v>343</v>
      </c>
      <c r="B648" s="1186" t="s">
        <v>19</v>
      </c>
      <c r="C648" s="1186" t="s">
        <v>26</v>
      </c>
      <c r="D648" s="1186">
        <v>8</v>
      </c>
      <c r="E648" s="1186">
        <v>5</v>
      </c>
      <c r="F648" s="1186">
        <v>2</v>
      </c>
      <c r="G648" s="1186">
        <v>1</v>
      </c>
      <c r="H648" s="1186"/>
    </row>
    <row r="649" spans="1:8" x14ac:dyDescent="0.2">
      <c r="A649" s="1186" t="s">
        <v>343</v>
      </c>
      <c r="B649" s="1186" t="s">
        <v>19</v>
      </c>
      <c r="C649" s="1186" t="s">
        <v>619</v>
      </c>
      <c r="D649" s="1186">
        <v>200</v>
      </c>
      <c r="E649" s="1186">
        <v>173</v>
      </c>
      <c r="F649" s="1186">
        <v>18</v>
      </c>
      <c r="G649" s="1186">
        <v>7</v>
      </c>
      <c r="H649" s="1186">
        <v>2</v>
      </c>
    </row>
    <row r="650" spans="1:8" x14ac:dyDescent="0.2">
      <c r="A650" s="1186" t="s">
        <v>343</v>
      </c>
      <c r="B650" s="1186" t="s">
        <v>19</v>
      </c>
      <c r="C650" s="1186" t="s">
        <v>27</v>
      </c>
      <c r="D650" s="1186">
        <v>12</v>
      </c>
      <c r="E650" s="1186">
        <v>11</v>
      </c>
      <c r="F650" s="1186"/>
      <c r="G650" s="1186">
        <v>1</v>
      </c>
      <c r="H650" s="1186"/>
    </row>
    <row r="651" spans="1:8" x14ac:dyDescent="0.2">
      <c r="A651" s="1186" t="s">
        <v>343</v>
      </c>
      <c r="B651" s="1186" t="s">
        <v>19</v>
      </c>
      <c r="C651" s="1186" t="s">
        <v>28</v>
      </c>
      <c r="D651" s="1186">
        <v>23</v>
      </c>
      <c r="E651" s="1186">
        <v>16</v>
      </c>
      <c r="F651" s="1186">
        <v>3</v>
      </c>
      <c r="G651" s="1186">
        <v>3</v>
      </c>
      <c r="H651" s="1186">
        <v>1</v>
      </c>
    </row>
    <row r="652" spans="1:8" x14ac:dyDescent="0.2">
      <c r="A652" s="1186" t="s">
        <v>343</v>
      </c>
      <c r="B652" s="1186" t="s">
        <v>19</v>
      </c>
      <c r="C652" s="1186" t="s">
        <v>29</v>
      </c>
      <c r="D652" s="1186">
        <v>49</v>
      </c>
      <c r="E652" s="1186">
        <v>47</v>
      </c>
      <c r="F652" s="1186">
        <v>2</v>
      </c>
      <c r="G652" s="1186"/>
      <c r="H652" s="1186"/>
    </row>
    <row r="653" spans="1:8" x14ac:dyDescent="0.2">
      <c r="A653" s="1186" t="s">
        <v>343</v>
      </c>
      <c r="B653" s="1186" t="s">
        <v>19</v>
      </c>
      <c r="C653" s="1186" t="s">
        <v>30</v>
      </c>
      <c r="D653" s="1186">
        <v>16</v>
      </c>
      <c r="E653" s="1186">
        <v>14</v>
      </c>
      <c r="F653" s="1186">
        <v>1</v>
      </c>
      <c r="G653" s="1186"/>
      <c r="H653" s="1186">
        <v>1</v>
      </c>
    </row>
    <row r="654" spans="1:8" x14ac:dyDescent="0.2">
      <c r="A654" s="1186" t="s">
        <v>343</v>
      </c>
      <c r="B654" s="1186" t="s">
        <v>19</v>
      </c>
      <c r="C654" s="1186" t="s">
        <v>31</v>
      </c>
      <c r="D654" s="1186">
        <v>12</v>
      </c>
      <c r="E654" s="1186">
        <v>11</v>
      </c>
      <c r="F654" s="1186">
        <v>1</v>
      </c>
      <c r="G654" s="1186"/>
      <c r="H654" s="1186"/>
    </row>
    <row r="655" spans="1:8" x14ac:dyDescent="0.2">
      <c r="A655" s="1186" t="s">
        <v>343</v>
      </c>
      <c r="B655" s="1186" t="s">
        <v>19</v>
      </c>
      <c r="C655" s="1186" t="s">
        <v>32</v>
      </c>
      <c r="D655" s="1186">
        <v>27</v>
      </c>
      <c r="E655" s="1186">
        <v>22</v>
      </c>
      <c r="F655" s="1186">
        <v>1</v>
      </c>
      <c r="G655" s="1186">
        <v>4</v>
      </c>
      <c r="H655" s="1186"/>
    </row>
    <row r="656" spans="1:8" x14ac:dyDescent="0.2">
      <c r="A656" s="1186" t="s">
        <v>343</v>
      </c>
      <c r="B656" s="1186" t="s">
        <v>19</v>
      </c>
      <c r="C656" s="1186" t="s">
        <v>33</v>
      </c>
      <c r="D656" s="1186">
        <v>7</v>
      </c>
      <c r="E656" s="1186">
        <v>2</v>
      </c>
      <c r="F656" s="1186">
        <v>2</v>
      </c>
      <c r="G656" s="1186">
        <v>3</v>
      </c>
      <c r="H656" s="1186"/>
    </row>
    <row r="657" spans="1:8" x14ac:dyDescent="0.2">
      <c r="A657" s="1186" t="s">
        <v>343</v>
      </c>
      <c r="B657" s="1186" t="s">
        <v>19</v>
      </c>
      <c r="C657" s="1186" t="s">
        <v>34</v>
      </c>
      <c r="D657" s="1186">
        <v>26</v>
      </c>
      <c r="E657" s="1186">
        <v>21</v>
      </c>
      <c r="F657" s="1186">
        <v>2</v>
      </c>
      <c r="G657" s="1186">
        <v>3</v>
      </c>
      <c r="H657" s="1186"/>
    </row>
    <row r="658" spans="1:8" x14ac:dyDescent="0.2">
      <c r="A658" s="1186" t="s">
        <v>343</v>
      </c>
      <c r="B658" s="1186" t="s">
        <v>19</v>
      </c>
      <c r="C658" s="1186" t="s">
        <v>35</v>
      </c>
      <c r="D658" s="1186">
        <v>93</v>
      </c>
      <c r="E658" s="1186">
        <v>77</v>
      </c>
      <c r="F658" s="1186">
        <v>5</v>
      </c>
      <c r="G658" s="1186">
        <v>7</v>
      </c>
      <c r="H658" s="1186">
        <v>4</v>
      </c>
    </row>
    <row r="659" spans="1:8" x14ac:dyDescent="0.2">
      <c r="A659" s="1186" t="s">
        <v>343</v>
      </c>
      <c r="B659" s="1186" t="s">
        <v>19</v>
      </c>
      <c r="C659" s="1186" t="s">
        <v>36</v>
      </c>
      <c r="D659" s="1186">
        <v>167</v>
      </c>
      <c r="E659" s="1186">
        <v>154</v>
      </c>
      <c r="F659" s="1186">
        <v>8</v>
      </c>
      <c r="G659" s="1186">
        <v>4</v>
      </c>
      <c r="H659" s="1186">
        <v>1</v>
      </c>
    </row>
    <row r="660" spans="1:8" x14ac:dyDescent="0.2">
      <c r="A660" s="1186" t="s">
        <v>343</v>
      </c>
      <c r="B660" s="1186" t="s">
        <v>19</v>
      </c>
      <c r="C660" s="1186" t="s">
        <v>37</v>
      </c>
      <c r="D660" s="1186">
        <v>36</v>
      </c>
      <c r="E660" s="1186">
        <v>29</v>
      </c>
      <c r="F660" s="1186">
        <v>3</v>
      </c>
      <c r="G660" s="1186">
        <v>2</v>
      </c>
      <c r="H660" s="1186">
        <v>2</v>
      </c>
    </row>
    <row r="661" spans="1:8" x14ac:dyDescent="0.2">
      <c r="A661" s="1186" t="s">
        <v>343</v>
      </c>
      <c r="B661" s="1186" t="s">
        <v>19</v>
      </c>
      <c r="C661" s="1186" t="s">
        <v>38</v>
      </c>
      <c r="D661" s="1186">
        <v>34</v>
      </c>
      <c r="E661" s="1186">
        <v>33</v>
      </c>
      <c r="F661" s="1186"/>
      <c r="G661" s="1186"/>
      <c r="H661" s="1186">
        <v>1</v>
      </c>
    </row>
    <row r="662" spans="1:8" x14ac:dyDescent="0.2">
      <c r="A662" s="1186" t="s">
        <v>343</v>
      </c>
      <c r="B662" s="1186" t="s">
        <v>19</v>
      </c>
      <c r="C662" s="1186" t="s">
        <v>39</v>
      </c>
      <c r="D662" s="1186">
        <v>22</v>
      </c>
      <c r="E662" s="1186">
        <v>14</v>
      </c>
      <c r="F662" s="1186">
        <v>3</v>
      </c>
      <c r="G662" s="1186">
        <v>3</v>
      </c>
      <c r="H662" s="1186">
        <v>2</v>
      </c>
    </row>
    <row r="663" spans="1:8" x14ac:dyDescent="0.2">
      <c r="A663" s="1186" t="s">
        <v>343</v>
      </c>
      <c r="B663" s="1186" t="s">
        <v>19</v>
      </c>
      <c r="C663" s="1186" t="s">
        <v>40</v>
      </c>
      <c r="D663" s="1186">
        <v>33</v>
      </c>
      <c r="E663" s="1186">
        <v>22</v>
      </c>
      <c r="F663" s="1186">
        <v>1</v>
      </c>
      <c r="G663" s="1186">
        <v>6</v>
      </c>
      <c r="H663" s="1186">
        <v>4</v>
      </c>
    </row>
    <row r="664" spans="1:8" x14ac:dyDescent="0.2">
      <c r="A664" s="1186" t="s">
        <v>343</v>
      </c>
      <c r="B664" s="1186" t="s">
        <v>19</v>
      </c>
      <c r="C664" s="1186" t="s">
        <v>295</v>
      </c>
      <c r="D664" s="1186">
        <v>13</v>
      </c>
      <c r="E664" s="1186">
        <v>12</v>
      </c>
      <c r="F664" s="1186">
        <v>1</v>
      </c>
      <c r="G664" s="1186"/>
      <c r="H664" s="1186"/>
    </row>
    <row r="665" spans="1:8" x14ac:dyDescent="0.2">
      <c r="A665" s="1186" t="s">
        <v>343</v>
      </c>
      <c r="B665" s="1186" t="s">
        <v>19</v>
      </c>
      <c r="C665" s="1186" t="s">
        <v>41</v>
      </c>
      <c r="D665" s="1186">
        <v>23</v>
      </c>
      <c r="E665" s="1186">
        <v>21</v>
      </c>
      <c r="F665" s="1186">
        <v>1</v>
      </c>
      <c r="G665" s="1186"/>
      <c r="H665" s="1186">
        <v>1</v>
      </c>
    </row>
    <row r="666" spans="1:8" x14ac:dyDescent="0.2">
      <c r="A666" s="1186" t="s">
        <v>343</v>
      </c>
      <c r="B666" s="1186" t="s">
        <v>19</v>
      </c>
      <c r="C666" s="1186" t="s">
        <v>42</v>
      </c>
      <c r="D666" s="1186">
        <v>48</v>
      </c>
      <c r="E666" s="1186">
        <v>43</v>
      </c>
      <c r="F666" s="1186">
        <v>2</v>
      </c>
      <c r="G666" s="1186">
        <v>2</v>
      </c>
      <c r="H666" s="1186">
        <v>1</v>
      </c>
    </row>
    <row r="667" spans="1:8" x14ac:dyDescent="0.2">
      <c r="A667" s="1186" t="s">
        <v>343</v>
      </c>
      <c r="B667" s="1186" t="s">
        <v>19</v>
      </c>
      <c r="C667" s="1186" t="s">
        <v>43</v>
      </c>
      <c r="D667" s="1186">
        <v>1</v>
      </c>
      <c r="E667" s="1186">
        <v>1</v>
      </c>
      <c r="F667" s="1186"/>
      <c r="G667" s="1186"/>
      <c r="H667" s="1186"/>
    </row>
    <row r="668" spans="1:8" x14ac:dyDescent="0.2">
      <c r="A668" s="1186" t="s">
        <v>343</v>
      </c>
      <c r="B668" s="1186" t="s">
        <v>19</v>
      </c>
      <c r="C668" s="1186" t="s">
        <v>44</v>
      </c>
      <c r="D668" s="1186">
        <v>21</v>
      </c>
      <c r="E668" s="1186">
        <v>10</v>
      </c>
      <c r="F668" s="1186">
        <v>9</v>
      </c>
      <c r="G668" s="1186"/>
      <c r="H668" s="1186">
        <v>2</v>
      </c>
    </row>
    <row r="669" spans="1:8" x14ac:dyDescent="0.2">
      <c r="A669" s="1186" t="s">
        <v>343</v>
      </c>
      <c r="B669" s="1186" t="s">
        <v>19</v>
      </c>
      <c r="C669" s="1186" t="s">
        <v>45</v>
      </c>
      <c r="D669" s="1186">
        <v>28</v>
      </c>
      <c r="E669" s="1186">
        <v>20</v>
      </c>
      <c r="F669" s="1186">
        <v>4</v>
      </c>
      <c r="G669" s="1186">
        <v>4</v>
      </c>
      <c r="H669" s="1186"/>
    </row>
    <row r="670" spans="1:8" x14ac:dyDescent="0.2">
      <c r="A670" s="1186" t="s">
        <v>343</v>
      </c>
      <c r="B670" s="1186" t="s">
        <v>19</v>
      </c>
      <c r="C670" s="1186" t="s">
        <v>46</v>
      </c>
      <c r="D670" s="1186">
        <v>33</v>
      </c>
      <c r="E670" s="1186">
        <v>29</v>
      </c>
      <c r="F670" s="1186">
        <v>1</v>
      </c>
      <c r="G670" s="1186">
        <v>3</v>
      </c>
      <c r="H670" s="1186"/>
    </row>
    <row r="671" spans="1:8" x14ac:dyDescent="0.2">
      <c r="A671" s="1186" t="s">
        <v>343</v>
      </c>
      <c r="B671" s="1186" t="s">
        <v>19</v>
      </c>
      <c r="C671" s="1186" t="s">
        <v>47</v>
      </c>
      <c r="D671" s="1186">
        <v>2</v>
      </c>
      <c r="E671" s="1186"/>
      <c r="F671" s="1186"/>
      <c r="G671" s="1186"/>
      <c r="H671" s="1186">
        <v>2</v>
      </c>
    </row>
    <row r="672" spans="1:8" x14ac:dyDescent="0.2">
      <c r="A672" s="1186" t="s">
        <v>343</v>
      </c>
      <c r="B672" s="1186" t="s">
        <v>19</v>
      </c>
      <c r="C672" s="1186" t="s">
        <v>48</v>
      </c>
      <c r="D672" s="1186">
        <v>11</v>
      </c>
      <c r="E672" s="1186">
        <v>11</v>
      </c>
      <c r="F672" s="1186"/>
      <c r="G672" s="1186"/>
      <c r="H672" s="1186"/>
    </row>
    <row r="673" spans="1:8" x14ac:dyDescent="0.2">
      <c r="A673" s="1186" t="s">
        <v>343</v>
      </c>
      <c r="B673" s="1186" t="s">
        <v>19</v>
      </c>
      <c r="C673" s="1186" t="s">
        <v>49</v>
      </c>
      <c r="D673" s="1186">
        <v>43</v>
      </c>
      <c r="E673" s="1186">
        <v>43</v>
      </c>
      <c r="F673" s="1186"/>
      <c r="G673" s="1186"/>
      <c r="H673" s="1186"/>
    </row>
    <row r="674" spans="1:8" x14ac:dyDescent="0.2">
      <c r="A674" s="1186" t="s">
        <v>343</v>
      </c>
      <c r="B674" s="1186" t="s">
        <v>19</v>
      </c>
      <c r="C674" s="1186" t="s">
        <v>50</v>
      </c>
      <c r="D674" s="1186">
        <v>13</v>
      </c>
      <c r="E674" s="1186">
        <v>10</v>
      </c>
      <c r="F674" s="1186">
        <v>3</v>
      </c>
      <c r="G674" s="1186"/>
      <c r="H674" s="1186"/>
    </row>
    <row r="675" spans="1:8" x14ac:dyDescent="0.2">
      <c r="A675" s="1186" t="s">
        <v>343</v>
      </c>
      <c r="B675" s="1186" t="s">
        <v>19</v>
      </c>
      <c r="C675" s="1186" t="s">
        <v>51</v>
      </c>
      <c r="D675" s="1186">
        <v>14</v>
      </c>
      <c r="E675" s="1186">
        <v>13</v>
      </c>
      <c r="F675" s="1186"/>
      <c r="G675" s="1186"/>
      <c r="H675" s="1186">
        <v>1</v>
      </c>
    </row>
    <row r="676" spans="1:8" x14ac:dyDescent="0.2">
      <c r="A676" s="1186" t="s">
        <v>343</v>
      </c>
      <c r="B676" s="1186" t="s">
        <v>19</v>
      </c>
      <c r="C676" s="1186" t="s">
        <v>52</v>
      </c>
      <c r="D676" s="1186">
        <v>56</v>
      </c>
      <c r="E676" s="1186">
        <v>47</v>
      </c>
      <c r="F676" s="1186">
        <v>7</v>
      </c>
      <c r="G676" s="1186">
        <v>1</v>
      </c>
      <c r="H676" s="1186">
        <v>1</v>
      </c>
    </row>
    <row r="677" spans="1:8" x14ac:dyDescent="0.2">
      <c r="A677" s="1186" t="s">
        <v>343</v>
      </c>
      <c r="B677" s="1186" t="s">
        <v>20</v>
      </c>
      <c r="C677" s="1186" t="s">
        <v>23</v>
      </c>
      <c r="D677" s="1186">
        <v>86</v>
      </c>
      <c r="E677" s="1186">
        <v>71</v>
      </c>
      <c r="F677" s="1186">
        <v>11</v>
      </c>
      <c r="G677" s="1186">
        <v>3</v>
      </c>
      <c r="H677" s="1186">
        <v>1</v>
      </c>
    </row>
    <row r="678" spans="1:8" x14ac:dyDescent="0.2">
      <c r="A678" s="1186" t="s">
        <v>343</v>
      </c>
      <c r="B678" s="1186" t="s">
        <v>20</v>
      </c>
      <c r="C678" s="1186" t="s">
        <v>24</v>
      </c>
      <c r="D678" s="1186">
        <v>37</v>
      </c>
      <c r="E678" s="1186">
        <v>27</v>
      </c>
      <c r="F678" s="1186">
        <v>6</v>
      </c>
      <c r="G678" s="1186">
        <v>4</v>
      </c>
      <c r="H678" s="1186"/>
    </row>
    <row r="679" spans="1:8" x14ac:dyDescent="0.2">
      <c r="A679" s="1186" t="s">
        <v>343</v>
      </c>
      <c r="B679" s="1186" t="s">
        <v>20</v>
      </c>
      <c r="C679" s="1186" t="s">
        <v>25</v>
      </c>
      <c r="D679" s="1186">
        <v>11</v>
      </c>
      <c r="E679" s="1186">
        <v>10</v>
      </c>
      <c r="F679" s="1186"/>
      <c r="G679" s="1186"/>
      <c r="H679" s="1186">
        <v>1</v>
      </c>
    </row>
    <row r="680" spans="1:8" x14ac:dyDescent="0.2">
      <c r="A680" s="1186" t="s">
        <v>343</v>
      </c>
      <c r="B680" s="1186" t="s">
        <v>20</v>
      </c>
      <c r="C680" s="1186" t="s">
        <v>26</v>
      </c>
      <c r="D680" s="1186">
        <v>15</v>
      </c>
      <c r="E680" s="1186">
        <v>14</v>
      </c>
      <c r="F680" s="1186">
        <v>1</v>
      </c>
      <c r="G680" s="1186"/>
      <c r="H680" s="1186"/>
    </row>
    <row r="681" spans="1:8" x14ac:dyDescent="0.2">
      <c r="A681" s="1186" t="s">
        <v>343</v>
      </c>
      <c r="B681" s="1186" t="s">
        <v>20</v>
      </c>
      <c r="C681" s="1186" t="s">
        <v>619</v>
      </c>
      <c r="D681" s="1186">
        <v>243</v>
      </c>
      <c r="E681" s="1186">
        <v>227</v>
      </c>
      <c r="F681" s="1186">
        <v>15</v>
      </c>
      <c r="G681" s="1186"/>
      <c r="H681" s="1186">
        <v>1</v>
      </c>
    </row>
    <row r="682" spans="1:8" x14ac:dyDescent="0.2">
      <c r="A682" s="1186" t="s">
        <v>343</v>
      </c>
      <c r="B682" s="1186" t="s">
        <v>20</v>
      </c>
      <c r="C682" s="1186" t="s">
        <v>27</v>
      </c>
      <c r="D682" s="1186">
        <v>7</v>
      </c>
      <c r="E682" s="1186">
        <v>5</v>
      </c>
      <c r="F682" s="1186">
        <v>1</v>
      </c>
      <c r="G682" s="1186"/>
      <c r="H682" s="1186">
        <v>1</v>
      </c>
    </row>
    <row r="683" spans="1:8" x14ac:dyDescent="0.2">
      <c r="A683" s="1186" t="s">
        <v>343</v>
      </c>
      <c r="B683" s="1186" t="s">
        <v>20</v>
      </c>
      <c r="C683" s="1186" t="s">
        <v>28</v>
      </c>
      <c r="D683" s="1186">
        <v>14</v>
      </c>
      <c r="E683" s="1186">
        <v>11</v>
      </c>
      <c r="F683" s="1186">
        <v>2</v>
      </c>
      <c r="G683" s="1186">
        <v>1</v>
      </c>
      <c r="H683" s="1186"/>
    </row>
    <row r="684" spans="1:8" x14ac:dyDescent="0.2">
      <c r="A684" s="1186" t="s">
        <v>343</v>
      </c>
      <c r="B684" s="1186" t="s">
        <v>20</v>
      </c>
      <c r="C684" s="1186" t="s">
        <v>29</v>
      </c>
      <c r="D684" s="1186">
        <v>43</v>
      </c>
      <c r="E684" s="1186">
        <v>39</v>
      </c>
      <c r="F684" s="1186">
        <v>3</v>
      </c>
      <c r="G684" s="1186"/>
      <c r="H684" s="1186">
        <v>1</v>
      </c>
    </row>
    <row r="685" spans="1:8" x14ac:dyDescent="0.2">
      <c r="A685" s="1186" t="s">
        <v>343</v>
      </c>
      <c r="B685" s="1186" t="s">
        <v>20</v>
      </c>
      <c r="C685" s="1186" t="s">
        <v>30</v>
      </c>
      <c r="D685" s="1186">
        <v>17</v>
      </c>
      <c r="E685" s="1186">
        <v>15</v>
      </c>
      <c r="F685" s="1186">
        <v>2</v>
      </c>
      <c r="G685" s="1186"/>
      <c r="H685" s="1186"/>
    </row>
    <row r="686" spans="1:8" x14ac:dyDescent="0.2">
      <c r="A686" s="1186" t="s">
        <v>343</v>
      </c>
      <c r="B686" s="1186" t="s">
        <v>20</v>
      </c>
      <c r="C686" s="1186" t="s">
        <v>31</v>
      </c>
      <c r="D686" s="1186">
        <v>12</v>
      </c>
      <c r="E686" s="1186">
        <v>6</v>
      </c>
      <c r="F686" s="1186">
        <v>6</v>
      </c>
      <c r="G686" s="1186"/>
      <c r="H686" s="1186"/>
    </row>
    <row r="687" spans="1:8" x14ac:dyDescent="0.2">
      <c r="A687" s="1186" t="s">
        <v>343</v>
      </c>
      <c r="B687" s="1186" t="s">
        <v>20</v>
      </c>
      <c r="C687" s="1186" t="s">
        <v>32</v>
      </c>
      <c r="D687" s="1186">
        <v>22</v>
      </c>
      <c r="E687" s="1186">
        <v>21</v>
      </c>
      <c r="F687" s="1186"/>
      <c r="G687" s="1186"/>
      <c r="H687" s="1186">
        <v>1</v>
      </c>
    </row>
    <row r="688" spans="1:8" x14ac:dyDescent="0.2">
      <c r="A688" s="1186" t="s">
        <v>343</v>
      </c>
      <c r="B688" s="1186" t="s">
        <v>20</v>
      </c>
      <c r="C688" s="1186" t="s">
        <v>33</v>
      </c>
      <c r="D688" s="1186">
        <v>16</v>
      </c>
      <c r="E688" s="1186">
        <v>14</v>
      </c>
      <c r="F688" s="1186"/>
      <c r="G688" s="1186">
        <v>2</v>
      </c>
      <c r="H688" s="1186"/>
    </row>
    <row r="689" spans="1:8" x14ac:dyDescent="0.2">
      <c r="A689" s="1186" t="s">
        <v>343</v>
      </c>
      <c r="B689" s="1186" t="s">
        <v>20</v>
      </c>
      <c r="C689" s="1186" t="s">
        <v>34</v>
      </c>
      <c r="D689" s="1186">
        <v>26</v>
      </c>
      <c r="E689" s="1186">
        <v>20</v>
      </c>
      <c r="F689" s="1186">
        <v>3</v>
      </c>
      <c r="G689" s="1186">
        <v>1</v>
      </c>
      <c r="H689" s="1186">
        <v>2</v>
      </c>
    </row>
    <row r="690" spans="1:8" x14ac:dyDescent="0.2">
      <c r="A690" s="1186" t="s">
        <v>343</v>
      </c>
      <c r="B690" s="1186" t="s">
        <v>20</v>
      </c>
      <c r="C690" s="1186" t="s">
        <v>35</v>
      </c>
      <c r="D690" s="1186">
        <v>63</v>
      </c>
      <c r="E690" s="1186">
        <v>51</v>
      </c>
      <c r="F690" s="1186">
        <v>6</v>
      </c>
      <c r="G690" s="1186">
        <v>1</v>
      </c>
      <c r="H690" s="1186">
        <v>5</v>
      </c>
    </row>
    <row r="691" spans="1:8" x14ac:dyDescent="0.2">
      <c r="A691" s="1186" t="s">
        <v>343</v>
      </c>
      <c r="B691" s="1186" t="s">
        <v>20</v>
      </c>
      <c r="C691" s="1186" t="s">
        <v>36</v>
      </c>
      <c r="D691" s="1186">
        <v>186</v>
      </c>
      <c r="E691" s="1186">
        <v>168</v>
      </c>
      <c r="F691" s="1186">
        <v>16</v>
      </c>
      <c r="G691" s="1186">
        <v>2</v>
      </c>
      <c r="H691" s="1186"/>
    </row>
    <row r="692" spans="1:8" x14ac:dyDescent="0.2">
      <c r="A692" s="1186" t="s">
        <v>343</v>
      </c>
      <c r="B692" s="1186" t="s">
        <v>20</v>
      </c>
      <c r="C692" s="1186" t="s">
        <v>37</v>
      </c>
      <c r="D692" s="1186">
        <v>58</v>
      </c>
      <c r="E692" s="1186">
        <v>46</v>
      </c>
      <c r="F692" s="1186">
        <v>2</v>
      </c>
      <c r="G692" s="1186">
        <v>3</v>
      </c>
      <c r="H692" s="1186">
        <v>7</v>
      </c>
    </row>
    <row r="693" spans="1:8" x14ac:dyDescent="0.2">
      <c r="A693" s="1186" t="s">
        <v>343</v>
      </c>
      <c r="B693" s="1186" t="s">
        <v>20</v>
      </c>
      <c r="C693" s="1186" t="s">
        <v>38</v>
      </c>
      <c r="D693" s="1186">
        <v>24</v>
      </c>
      <c r="E693" s="1186">
        <v>19</v>
      </c>
      <c r="F693" s="1186">
        <v>3</v>
      </c>
      <c r="G693" s="1186">
        <v>1</v>
      </c>
      <c r="H693" s="1186">
        <v>1</v>
      </c>
    </row>
    <row r="694" spans="1:8" x14ac:dyDescent="0.2">
      <c r="A694" s="1186" t="s">
        <v>343</v>
      </c>
      <c r="B694" s="1186" t="s">
        <v>20</v>
      </c>
      <c r="C694" s="1186" t="s">
        <v>39</v>
      </c>
      <c r="D694" s="1186">
        <v>25</v>
      </c>
      <c r="E694" s="1186">
        <v>23</v>
      </c>
      <c r="F694" s="1186"/>
      <c r="G694" s="1186"/>
      <c r="H694" s="1186">
        <v>2</v>
      </c>
    </row>
    <row r="695" spans="1:8" x14ac:dyDescent="0.2">
      <c r="A695" s="1186" t="s">
        <v>343</v>
      </c>
      <c r="B695" s="1186" t="s">
        <v>20</v>
      </c>
      <c r="C695" s="1186" t="s">
        <v>40</v>
      </c>
      <c r="D695" s="1186">
        <v>47</v>
      </c>
      <c r="E695" s="1186">
        <v>38</v>
      </c>
      <c r="F695" s="1186">
        <v>5</v>
      </c>
      <c r="G695" s="1186">
        <v>2</v>
      </c>
      <c r="H695" s="1186">
        <v>2</v>
      </c>
    </row>
    <row r="696" spans="1:8" x14ac:dyDescent="0.2">
      <c r="A696" s="1186" t="s">
        <v>343</v>
      </c>
      <c r="B696" s="1186" t="s">
        <v>20</v>
      </c>
      <c r="C696" s="1186" t="s">
        <v>295</v>
      </c>
      <c r="D696" s="1186">
        <v>4</v>
      </c>
      <c r="E696" s="1186">
        <v>4</v>
      </c>
      <c r="F696" s="1186"/>
      <c r="G696" s="1186"/>
      <c r="H696" s="1186"/>
    </row>
    <row r="697" spans="1:8" x14ac:dyDescent="0.2">
      <c r="A697" s="1186" t="s">
        <v>343</v>
      </c>
      <c r="B697" s="1186" t="s">
        <v>20</v>
      </c>
      <c r="C697" s="1186" t="s">
        <v>41</v>
      </c>
      <c r="D697" s="1186">
        <v>42</v>
      </c>
      <c r="E697" s="1186">
        <v>41</v>
      </c>
      <c r="F697" s="1186">
        <v>1</v>
      </c>
      <c r="G697" s="1186"/>
      <c r="H697" s="1186"/>
    </row>
    <row r="698" spans="1:8" x14ac:dyDescent="0.2">
      <c r="A698" s="1186" t="s">
        <v>343</v>
      </c>
      <c r="B698" s="1186" t="s">
        <v>20</v>
      </c>
      <c r="C698" s="1186" t="s">
        <v>42</v>
      </c>
      <c r="D698" s="1186">
        <v>69</v>
      </c>
      <c r="E698" s="1186">
        <v>62</v>
      </c>
      <c r="F698" s="1186">
        <v>2</v>
      </c>
      <c r="G698" s="1186">
        <v>3</v>
      </c>
      <c r="H698" s="1186">
        <v>2</v>
      </c>
    </row>
    <row r="699" spans="1:8" x14ac:dyDescent="0.2">
      <c r="A699" s="1186" t="s">
        <v>343</v>
      </c>
      <c r="B699" s="1186" t="s">
        <v>20</v>
      </c>
      <c r="C699" s="1186" t="s">
        <v>43</v>
      </c>
      <c r="D699" s="1186">
        <v>2</v>
      </c>
      <c r="E699" s="1186">
        <v>1</v>
      </c>
      <c r="F699" s="1186"/>
      <c r="G699" s="1186">
        <v>1</v>
      </c>
      <c r="H699" s="1186"/>
    </row>
    <row r="700" spans="1:8" x14ac:dyDescent="0.2">
      <c r="A700" s="1186" t="s">
        <v>343</v>
      </c>
      <c r="B700" s="1186" t="s">
        <v>20</v>
      </c>
      <c r="C700" s="1186" t="s">
        <v>44</v>
      </c>
      <c r="D700" s="1186">
        <v>20</v>
      </c>
      <c r="E700" s="1186">
        <v>15</v>
      </c>
      <c r="F700" s="1186">
        <v>2</v>
      </c>
      <c r="G700" s="1186">
        <v>3</v>
      </c>
      <c r="H700" s="1186"/>
    </row>
    <row r="701" spans="1:8" x14ac:dyDescent="0.2">
      <c r="A701" s="1186" t="s">
        <v>343</v>
      </c>
      <c r="B701" s="1186" t="s">
        <v>20</v>
      </c>
      <c r="C701" s="1186" t="s">
        <v>45</v>
      </c>
      <c r="D701" s="1186">
        <v>59</v>
      </c>
      <c r="E701" s="1186">
        <v>47</v>
      </c>
      <c r="F701" s="1186">
        <v>3</v>
      </c>
      <c r="G701" s="1186">
        <v>6</v>
      </c>
      <c r="H701" s="1186">
        <v>3</v>
      </c>
    </row>
    <row r="702" spans="1:8" x14ac:dyDescent="0.2">
      <c r="A702" s="1186" t="s">
        <v>343</v>
      </c>
      <c r="B702" s="1186" t="s">
        <v>20</v>
      </c>
      <c r="C702" s="1186" t="s">
        <v>46</v>
      </c>
      <c r="D702" s="1186">
        <v>28</v>
      </c>
      <c r="E702" s="1186">
        <v>22</v>
      </c>
      <c r="F702" s="1186">
        <v>2</v>
      </c>
      <c r="G702" s="1186">
        <v>3</v>
      </c>
      <c r="H702" s="1186">
        <v>1</v>
      </c>
    </row>
    <row r="703" spans="1:8" x14ac:dyDescent="0.2">
      <c r="A703" s="1186" t="s">
        <v>343</v>
      </c>
      <c r="B703" s="1186" t="s">
        <v>20</v>
      </c>
      <c r="C703" s="1186" t="s">
        <v>47</v>
      </c>
      <c r="D703" s="1186">
        <v>3</v>
      </c>
      <c r="E703" s="1186">
        <v>2</v>
      </c>
      <c r="F703" s="1186"/>
      <c r="G703" s="1186"/>
      <c r="H703" s="1186">
        <v>1</v>
      </c>
    </row>
    <row r="704" spans="1:8" x14ac:dyDescent="0.2">
      <c r="A704" s="1186" t="s">
        <v>343</v>
      </c>
      <c r="B704" s="1186" t="s">
        <v>20</v>
      </c>
      <c r="C704" s="1186" t="s">
        <v>48</v>
      </c>
      <c r="D704" s="1186">
        <v>26</v>
      </c>
      <c r="E704" s="1186">
        <v>24</v>
      </c>
      <c r="F704" s="1186">
        <v>1</v>
      </c>
      <c r="G704" s="1186"/>
      <c r="H704" s="1186">
        <v>1</v>
      </c>
    </row>
    <row r="705" spans="1:8" x14ac:dyDescent="0.2">
      <c r="A705" s="1186" t="s">
        <v>343</v>
      </c>
      <c r="B705" s="1186" t="s">
        <v>20</v>
      </c>
      <c r="C705" s="1186" t="s">
        <v>49</v>
      </c>
      <c r="D705" s="1186">
        <v>48</v>
      </c>
      <c r="E705" s="1186">
        <v>40</v>
      </c>
      <c r="F705" s="1186">
        <v>3</v>
      </c>
      <c r="G705" s="1186">
        <v>4</v>
      </c>
      <c r="H705" s="1186">
        <v>1</v>
      </c>
    </row>
    <row r="706" spans="1:8" x14ac:dyDescent="0.2">
      <c r="A706" s="1186" t="s">
        <v>343</v>
      </c>
      <c r="B706" s="1186" t="s">
        <v>20</v>
      </c>
      <c r="C706" s="1186" t="s">
        <v>50</v>
      </c>
      <c r="D706" s="1186">
        <v>11</v>
      </c>
      <c r="E706" s="1186">
        <v>7</v>
      </c>
      <c r="F706" s="1186">
        <v>1</v>
      </c>
      <c r="G706" s="1186">
        <v>1</v>
      </c>
      <c r="H706" s="1186">
        <v>2</v>
      </c>
    </row>
    <row r="707" spans="1:8" x14ac:dyDescent="0.2">
      <c r="A707" s="1186" t="s">
        <v>343</v>
      </c>
      <c r="B707" s="1186" t="s">
        <v>20</v>
      </c>
      <c r="C707" s="1186" t="s">
        <v>51</v>
      </c>
      <c r="D707" s="1186">
        <v>15</v>
      </c>
      <c r="E707" s="1186">
        <v>15</v>
      </c>
      <c r="F707" s="1186"/>
      <c r="G707" s="1186"/>
      <c r="H707" s="1186"/>
    </row>
    <row r="708" spans="1:8" x14ac:dyDescent="0.2">
      <c r="A708" s="1186" t="s">
        <v>343</v>
      </c>
      <c r="B708" s="1186" t="s">
        <v>20</v>
      </c>
      <c r="C708" s="1186" t="s">
        <v>52</v>
      </c>
      <c r="D708" s="1186">
        <v>53</v>
      </c>
      <c r="E708" s="1186">
        <v>37</v>
      </c>
      <c r="F708" s="1186">
        <v>12</v>
      </c>
      <c r="G708" s="1186">
        <v>2</v>
      </c>
      <c r="H708" s="1186">
        <v>2</v>
      </c>
    </row>
    <row r="709" spans="1:8" x14ac:dyDescent="0.2">
      <c r="A709" s="1186" t="s">
        <v>343</v>
      </c>
      <c r="B709" s="1186" t="s">
        <v>13</v>
      </c>
      <c r="C709" s="1186" t="s">
        <v>23</v>
      </c>
      <c r="D709" s="1186">
        <v>84</v>
      </c>
      <c r="E709" s="1186">
        <v>75</v>
      </c>
      <c r="F709" s="1186">
        <v>1</v>
      </c>
      <c r="G709" s="1186">
        <v>6</v>
      </c>
      <c r="H709" s="1186">
        <v>2</v>
      </c>
    </row>
    <row r="710" spans="1:8" x14ac:dyDescent="0.2">
      <c r="A710" s="1186" t="s">
        <v>343</v>
      </c>
      <c r="B710" s="1186" t="s">
        <v>13</v>
      </c>
      <c r="C710" s="1186" t="s">
        <v>24</v>
      </c>
      <c r="D710" s="1186">
        <v>36</v>
      </c>
      <c r="E710" s="1186">
        <v>22</v>
      </c>
      <c r="F710" s="1186">
        <v>6</v>
      </c>
      <c r="G710" s="1186">
        <v>6</v>
      </c>
      <c r="H710" s="1186">
        <v>2</v>
      </c>
    </row>
    <row r="711" spans="1:8" x14ac:dyDescent="0.2">
      <c r="A711" s="1186" t="s">
        <v>343</v>
      </c>
      <c r="B711" s="1186" t="s">
        <v>13</v>
      </c>
      <c r="C711" s="1186" t="s">
        <v>25</v>
      </c>
      <c r="D711" s="1186">
        <v>20</v>
      </c>
      <c r="E711" s="1186">
        <v>13</v>
      </c>
      <c r="F711" s="1186">
        <v>3</v>
      </c>
      <c r="G711" s="1186">
        <v>2</v>
      </c>
      <c r="H711" s="1186">
        <v>2</v>
      </c>
    </row>
    <row r="712" spans="1:8" x14ac:dyDescent="0.2">
      <c r="A712" s="1186" t="s">
        <v>343</v>
      </c>
      <c r="B712" s="1186" t="s">
        <v>13</v>
      </c>
      <c r="C712" s="1186" t="s">
        <v>26</v>
      </c>
      <c r="D712" s="1186">
        <v>12</v>
      </c>
      <c r="E712" s="1186">
        <v>8</v>
      </c>
      <c r="F712" s="1186"/>
      <c r="G712" s="1186">
        <v>4</v>
      </c>
      <c r="H712" s="1186"/>
    </row>
    <row r="713" spans="1:8" x14ac:dyDescent="0.2">
      <c r="A713" s="1186" t="s">
        <v>343</v>
      </c>
      <c r="B713" s="1186" t="s">
        <v>13</v>
      </c>
      <c r="C713" s="1186" t="s">
        <v>619</v>
      </c>
      <c r="D713" s="1186">
        <v>242</v>
      </c>
      <c r="E713" s="1186">
        <v>223</v>
      </c>
      <c r="F713" s="1186">
        <v>15</v>
      </c>
      <c r="G713" s="1186">
        <v>3</v>
      </c>
      <c r="H713" s="1186">
        <v>1</v>
      </c>
    </row>
    <row r="714" spans="1:8" x14ac:dyDescent="0.2">
      <c r="A714" s="1186" t="s">
        <v>343</v>
      </c>
      <c r="B714" s="1186" t="s">
        <v>13</v>
      </c>
      <c r="C714" s="1186" t="s">
        <v>27</v>
      </c>
      <c r="D714" s="1186">
        <v>17</v>
      </c>
      <c r="E714" s="1186">
        <v>17</v>
      </c>
      <c r="F714" s="1186"/>
      <c r="G714" s="1186"/>
      <c r="H714" s="1186"/>
    </row>
    <row r="715" spans="1:8" x14ac:dyDescent="0.2">
      <c r="A715" s="1186" t="s">
        <v>343</v>
      </c>
      <c r="B715" s="1186" t="s">
        <v>13</v>
      </c>
      <c r="C715" s="1186" t="s">
        <v>28</v>
      </c>
      <c r="D715" s="1186">
        <v>25</v>
      </c>
      <c r="E715" s="1186">
        <v>25</v>
      </c>
      <c r="F715" s="1186"/>
      <c r="G715" s="1186"/>
      <c r="H715" s="1186"/>
    </row>
    <row r="716" spans="1:8" x14ac:dyDescent="0.2">
      <c r="A716" s="1186" t="s">
        <v>343</v>
      </c>
      <c r="B716" s="1186" t="s">
        <v>13</v>
      </c>
      <c r="C716" s="1186" t="s">
        <v>29</v>
      </c>
      <c r="D716" s="1186">
        <v>50</v>
      </c>
      <c r="E716" s="1186">
        <v>43</v>
      </c>
      <c r="F716" s="1186">
        <v>5</v>
      </c>
      <c r="G716" s="1186"/>
      <c r="H716" s="1186">
        <v>2</v>
      </c>
    </row>
    <row r="717" spans="1:8" x14ac:dyDescent="0.2">
      <c r="A717" s="1186" t="s">
        <v>343</v>
      </c>
      <c r="B717" s="1186" t="s">
        <v>13</v>
      </c>
      <c r="C717" s="1186" t="s">
        <v>30</v>
      </c>
      <c r="D717" s="1186">
        <v>19</v>
      </c>
      <c r="E717" s="1186">
        <v>19</v>
      </c>
      <c r="F717" s="1186"/>
      <c r="G717" s="1186"/>
      <c r="H717" s="1186"/>
    </row>
    <row r="718" spans="1:8" x14ac:dyDescent="0.2">
      <c r="A718" s="1186" t="s">
        <v>343</v>
      </c>
      <c r="B718" s="1186" t="s">
        <v>13</v>
      </c>
      <c r="C718" s="1186" t="s">
        <v>31</v>
      </c>
      <c r="D718" s="1186">
        <v>7</v>
      </c>
      <c r="E718" s="1186">
        <v>6</v>
      </c>
      <c r="F718" s="1186">
        <v>1</v>
      </c>
      <c r="G718" s="1186"/>
      <c r="H718" s="1186"/>
    </row>
    <row r="719" spans="1:8" x14ac:dyDescent="0.2">
      <c r="A719" s="1186" t="s">
        <v>343</v>
      </c>
      <c r="B719" s="1186" t="s">
        <v>13</v>
      </c>
      <c r="C719" s="1186" t="s">
        <v>32</v>
      </c>
      <c r="D719" s="1186">
        <v>25</v>
      </c>
      <c r="E719" s="1186">
        <v>21</v>
      </c>
      <c r="F719" s="1186">
        <v>4</v>
      </c>
      <c r="G719" s="1186"/>
      <c r="H719" s="1186"/>
    </row>
    <row r="720" spans="1:8" x14ac:dyDescent="0.2">
      <c r="A720" s="1186" t="s">
        <v>343</v>
      </c>
      <c r="B720" s="1186" t="s">
        <v>13</v>
      </c>
      <c r="C720" s="1186" t="s">
        <v>33</v>
      </c>
      <c r="D720" s="1186">
        <v>20</v>
      </c>
      <c r="E720" s="1186">
        <v>19</v>
      </c>
      <c r="F720" s="1186"/>
      <c r="G720" s="1186">
        <v>1</v>
      </c>
      <c r="H720" s="1186"/>
    </row>
    <row r="721" spans="1:8" x14ac:dyDescent="0.2">
      <c r="A721" s="1186" t="s">
        <v>343</v>
      </c>
      <c r="B721" s="1186" t="s">
        <v>13</v>
      </c>
      <c r="C721" s="1186" t="s">
        <v>34</v>
      </c>
      <c r="D721" s="1186">
        <v>24</v>
      </c>
      <c r="E721" s="1186">
        <v>21</v>
      </c>
      <c r="F721" s="1186"/>
      <c r="G721" s="1186">
        <v>3</v>
      </c>
      <c r="H721" s="1186"/>
    </row>
    <row r="722" spans="1:8" x14ac:dyDescent="0.2">
      <c r="A722" s="1186" t="s">
        <v>343</v>
      </c>
      <c r="B722" s="1186" t="s">
        <v>13</v>
      </c>
      <c r="C722" s="1186" t="s">
        <v>35</v>
      </c>
      <c r="D722" s="1186">
        <v>70</v>
      </c>
      <c r="E722" s="1186">
        <v>58</v>
      </c>
      <c r="F722" s="1186">
        <v>4</v>
      </c>
      <c r="G722" s="1186">
        <v>2</v>
      </c>
      <c r="H722" s="1186">
        <v>6</v>
      </c>
    </row>
    <row r="723" spans="1:8" x14ac:dyDescent="0.2">
      <c r="A723" s="1186" t="s">
        <v>343</v>
      </c>
      <c r="B723" s="1186" t="s">
        <v>13</v>
      </c>
      <c r="C723" s="1186" t="s">
        <v>36</v>
      </c>
      <c r="D723" s="1186">
        <v>209</v>
      </c>
      <c r="E723" s="1186">
        <v>192</v>
      </c>
      <c r="F723" s="1186">
        <v>16</v>
      </c>
      <c r="G723" s="1186"/>
      <c r="H723" s="1186">
        <v>1</v>
      </c>
    </row>
    <row r="724" spans="1:8" x14ac:dyDescent="0.2">
      <c r="A724" s="1186" t="s">
        <v>343</v>
      </c>
      <c r="B724" s="1186" t="s">
        <v>13</v>
      </c>
      <c r="C724" s="1186" t="s">
        <v>37</v>
      </c>
      <c r="D724" s="1186">
        <v>69</v>
      </c>
      <c r="E724" s="1186">
        <v>55</v>
      </c>
      <c r="F724" s="1186">
        <v>5</v>
      </c>
      <c r="G724" s="1186">
        <v>7</v>
      </c>
      <c r="H724" s="1186">
        <v>2</v>
      </c>
    </row>
    <row r="725" spans="1:8" x14ac:dyDescent="0.2">
      <c r="A725" s="1186" t="s">
        <v>343</v>
      </c>
      <c r="B725" s="1186" t="s">
        <v>13</v>
      </c>
      <c r="C725" s="1186" t="s">
        <v>38</v>
      </c>
      <c r="D725" s="1186">
        <v>17</v>
      </c>
      <c r="E725" s="1186">
        <v>17</v>
      </c>
      <c r="F725" s="1186"/>
      <c r="G725" s="1186"/>
      <c r="H725" s="1186"/>
    </row>
    <row r="726" spans="1:8" x14ac:dyDescent="0.2">
      <c r="A726" s="1186" t="s">
        <v>343</v>
      </c>
      <c r="B726" s="1186" t="s">
        <v>13</v>
      </c>
      <c r="C726" s="1186" t="s">
        <v>39</v>
      </c>
      <c r="D726" s="1186">
        <v>27</v>
      </c>
      <c r="E726" s="1186">
        <v>23</v>
      </c>
      <c r="F726" s="1186"/>
      <c r="G726" s="1186">
        <v>3</v>
      </c>
      <c r="H726" s="1186">
        <v>1</v>
      </c>
    </row>
    <row r="727" spans="1:8" x14ac:dyDescent="0.2">
      <c r="A727" s="1186" t="s">
        <v>343</v>
      </c>
      <c r="B727" s="1186" t="s">
        <v>13</v>
      </c>
      <c r="C727" s="1186" t="s">
        <v>40</v>
      </c>
      <c r="D727" s="1186">
        <v>29</v>
      </c>
      <c r="E727" s="1186">
        <v>21</v>
      </c>
      <c r="F727" s="1186">
        <v>5</v>
      </c>
      <c r="G727" s="1186">
        <v>2</v>
      </c>
      <c r="H727" s="1186">
        <v>1</v>
      </c>
    </row>
    <row r="728" spans="1:8" x14ac:dyDescent="0.2">
      <c r="A728" s="1186" t="s">
        <v>343</v>
      </c>
      <c r="B728" s="1186" t="s">
        <v>13</v>
      </c>
      <c r="C728" s="1186" t="s">
        <v>295</v>
      </c>
      <c r="D728" s="1186">
        <v>5</v>
      </c>
      <c r="E728" s="1186">
        <v>3</v>
      </c>
      <c r="F728" s="1186">
        <v>1</v>
      </c>
      <c r="G728" s="1186"/>
      <c r="H728" s="1186">
        <v>1</v>
      </c>
    </row>
    <row r="729" spans="1:8" x14ac:dyDescent="0.2">
      <c r="A729" s="1186" t="s">
        <v>343</v>
      </c>
      <c r="B729" s="1186" t="s">
        <v>13</v>
      </c>
      <c r="C729" s="1186" t="s">
        <v>41</v>
      </c>
      <c r="D729" s="1186">
        <v>30</v>
      </c>
      <c r="E729" s="1186">
        <v>27</v>
      </c>
      <c r="F729" s="1186">
        <v>2</v>
      </c>
      <c r="G729" s="1186">
        <v>1</v>
      </c>
      <c r="H729" s="1186"/>
    </row>
    <row r="730" spans="1:8" x14ac:dyDescent="0.2">
      <c r="A730" s="1186" t="s">
        <v>343</v>
      </c>
      <c r="B730" s="1186" t="s">
        <v>13</v>
      </c>
      <c r="C730" s="1186" t="s">
        <v>42</v>
      </c>
      <c r="D730" s="1186">
        <v>84</v>
      </c>
      <c r="E730" s="1186">
        <v>75</v>
      </c>
      <c r="F730" s="1186">
        <v>3</v>
      </c>
      <c r="G730" s="1186">
        <v>5</v>
      </c>
      <c r="H730" s="1186">
        <v>1</v>
      </c>
    </row>
    <row r="731" spans="1:8" x14ac:dyDescent="0.2">
      <c r="A731" s="1186" t="s">
        <v>343</v>
      </c>
      <c r="B731" s="1186" t="s">
        <v>13</v>
      </c>
      <c r="C731" s="1186" t="s">
        <v>43</v>
      </c>
      <c r="D731" s="1186">
        <v>2</v>
      </c>
      <c r="E731" s="1186">
        <v>2</v>
      </c>
      <c r="F731" s="1186"/>
      <c r="G731" s="1186"/>
      <c r="H731" s="1186"/>
    </row>
    <row r="732" spans="1:8" x14ac:dyDescent="0.2">
      <c r="A732" s="1186" t="s">
        <v>343</v>
      </c>
      <c r="B732" s="1186" t="s">
        <v>13</v>
      </c>
      <c r="C732" s="1186" t="s">
        <v>44</v>
      </c>
      <c r="D732" s="1186">
        <v>25</v>
      </c>
      <c r="E732" s="1186">
        <v>13</v>
      </c>
      <c r="F732" s="1186">
        <v>7</v>
      </c>
      <c r="G732" s="1186">
        <v>4</v>
      </c>
      <c r="H732" s="1186">
        <v>1</v>
      </c>
    </row>
    <row r="733" spans="1:8" x14ac:dyDescent="0.2">
      <c r="A733" s="1186" t="s">
        <v>343</v>
      </c>
      <c r="B733" s="1186" t="s">
        <v>13</v>
      </c>
      <c r="C733" s="1186" t="s">
        <v>45</v>
      </c>
      <c r="D733" s="1186">
        <v>42</v>
      </c>
      <c r="E733" s="1186">
        <v>40</v>
      </c>
      <c r="F733" s="1186">
        <v>1</v>
      </c>
      <c r="G733" s="1186"/>
      <c r="H733" s="1186">
        <v>1</v>
      </c>
    </row>
    <row r="734" spans="1:8" x14ac:dyDescent="0.2">
      <c r="A734" s="1186" t="s">
        <v>343</v>
      </c>
      <c r="B734" s="1186" t="s">
        <v>13</v>
      </c>
      <c r="C734" s="1186" t="s">
        <v>46</v>
      </c>
      <c r="D734" s="1186">
        <v>22</v>
      </c>
      <c r="E734" s="1186">
        <v>16</v>
      </c>
      <c r="F734" s="1186">
        <v>3</v>
      </c>
      <c r="G734" s="1186">
        <v>1</v>
      </c>
      <c r="H734" s="1186">
        <v>2</v>
      </c>
    </row>
    <row r="735" spans="1:8" x14ac:dyDescent="0.2">
      <c r="A735" s="1186" t="s">
        <v>343</v>
      </c>
      <c r="B735" s="1186" t="s">
        <v>13</v>
      </c>
      <c r="C735" s="1186" t="s">
        <v>47</v>
      </c>
      <c r="D735" s="1186">
        <v>1</v>
      </c>
      <c r="E735" s="1186">
        <v>1</v>
      </c>
      <c r="F735" s="1186"/>
      <c r="G735" s="1186"/>
      <c r="H735" s="1186"/>
    </row>
    <row r="736" spans="1:8" x14ac:dyDescent="0.2">
      <c r="A736" s="1186" t="s">
        <v>343</v>
      </c>
      <c r="B736" s="1186" t="s">
        <v>13</v>
      </c>
      <c r="C736" s="1186" t="s">
        <v>48</v>
      </c>
      <c r="D736" s="1186">
        <v>27</v>
      </c>
      <c r="E736" s="1186">
        <v>18</v>
      </c>
      <c r="F736" s="1186">
        <v>3</v>
      </c>
      <c r="G736" s="1186">
        <v>3</v>
      </c>
      <c r="H736" s="1186">
        <v>3</v>
      </c>
    </row>
    <row r="737" spans="1:8" x14ac:dyDescent="0.2">
      <c r="A737" s="1186" t="s">
        <v>343</v>
      </c>
      <c r="B737" s="1186" t="s">
        <v>13</v>
      </c>
      <c r="C737" s="1186" t="s">
        <v>49</v>
      </c>
      <c r="D737" s="1186">
        <v>53</v>
      </c>
      <c r="E737" s="1186">
        <v>50</v>
      </c>
      <c r="F737" s="1186">
        <v>1</v>
      </c>
      <c r="G737" s="1186"/>
      <c r="H737" s="1186">
        <v>2</v>
      </c>
    </row>
    <row r="738" spans="1:8" x14ac:dyDescent="0.2">
      <c r="A738" s="1186" t="s">
        <v>343</v>
      </c>
      <c r="B738" s="1186" t="s">
        <v>13</v>
      </c>
      <c r="C738" s="1186" t="s">
        <v>50</v>
      </c>
      <c r="D738" s="1186">
        <v>21</v>
      </c>
      <c r="E738" s="1186">
        <v>16</v>
      </c>
      <c r="F738" s="1186">
        <v>5</v>
      </c>
      <c r="G738" s="1186"/>
      <c r="H738" s="1186"/>
    </row>
    <row r="739" spans="1:8" x14ac:dyDescent="0.2">
      <c r="A739" s="1186" t="s">
        <v>343</v>
      </c>
      <c r="B739" s="1186" t="s">
        <v>13</v>
      </c>
      <c r="C739" s="1186" t="s">
        <v>51</v>
      </c>
      <c r="D739" s="1186">
        <v>23</v>
      </c>
      <c r="E739" s="1186">
        <v>22</v>
      </c>
      <c r="F739" s="1186">
        <v>1</v>
      </c>
      <c r="G739" s="1186"/>
      <c r="H739" s="1186"/>
    </row>
    <row r="740" spans="1:8" x14ac:dyDescent="0.2">
      <c r="A740" s="1186" t="s">
        <v>343</v>
      </c>
      <c r="B740" s="1186" t="s">
        <v>13</v>
      </c>
      <c r="C740" s="1186" t="s">
        <v>52</v>
      </c>
      <c r="D740" s="1186">
        <v>77</v>
      </c>
      <c r="E740" s="1186">
        <v>58</v>
      </c>
      <c r="F740" s="1186">
        <v>7</v>
      </c>
      <c r="G740" s="1186">
        <v>5</v>
      </c>
      <c r="H740" s="1186">
        <v>7</v>
      </c>
    </row>
    <row r="741" spans="1:8" x14ac:dyDescent="0.2">
      <c r="A741" s="1186" t="s">
        <v>343</v>
      </c>
      <c r="B741" s="1186" t="s">
        <v>15</v>
      </c>
      <c r="C741" s="1186" t="s">
        <v>23</v>
      </c>
      <c r="D741" s="1186">
        <v>63</v>
      </c>
      <c r="E741" s="1186">
        <v>54</v>
      </c>
      <c r="F741" s="1186">
        <v>8</v>
      </c>
      <c r="G741" s="1186"/>
      <c r="H741" s="1186">
        <v>1</v>
      </c>
    </row>
    <row r="742" spans="1:8" x14ac:dyDescent="0.2">
      <c r="A742" s="1186" t="s">
        <v>343</v>
      </c>
      <c r="B742" s="1186" t="s">
        <v>15</v>
      </c>
      <c r="C742" s="1186" t="s">
        <v>24</v>
      </c>
      <c r="D742" s="1186">
        <v>43</v>
      </c>
      <c r="E742" s="1186">
        <v>31</v>
      </c>
      <c r="F742" s="1186">
        <v>3</v>
      </c>
      <c r="G742" s="1186">
        <v>8</v>
      </c>
      <c r="H742" s="1186">
        <v>1</v>
      </c>
    </row>
    <row r="743" spans="1:8" x14ac:dyDescent="0.2">
      <c r="A743" s="1186" t="s">
        <v>343</v>
      </c>
      <c r="B743" s="1186" t="s">
        <v>15</v>
      </c>
      <c r="C743" s="1186" t="s">
        <v>25</v>
      </c>
      <c r="D743" s="1186">
        <v>18</v>
      </c>
      <c r="E743" s="1186">
        <v>17</v>
      </c>
      <c r="F743" s="1186">
        <v>1</v>
      </c>
      <c r="G743" s="1186"/>
      <c r="H743" s="1186"/>
    </row>
    <row r="744" spans="1:8" x14ac:dyDescent="0.2">
      <c r="A744" s="1186" t="s">
        <v>343</v>
      </c>
      <c r="B744" s="1186" t="s">
        <v>15</v>
      </c>
      <c r="C744" s="1186" t="s">
        <v>26</v>
      </c>
      <c r="D744" s="1186">
        <v>17</v>
      </c>
      <c r="E744" s="1186">
        <v>15</v>
      </c>
      <c r="F744" s="1186"/>
      <c r="G744" s="1186"/>
      <c r="H744" s="1186">
        <v>2</v>
      </c>
    </row>
    <row r="745" spans="1:8" x14ac:dyDescent="0.2">
      <c r="A745" s="1186" t="s">
        <v>343</v>
      </c>
      <c r="B745" s="1186" t="s">
        <v>15</v>
      </c>
      <c r="C745" s="1186" t="s">
        <v>619</v>
      </c>
      <c r="D745" s="1186">
        <v>169</v>
      </c>
      <c r="E745" s="1186">
        <v>151</v>
      </c>
      <c r="F745" s="1186">
        <v>16</v>
      </c>
      <c r="G745" s="1186">
        <v>2</v>
      </c>
      <c r="H745" s="1186"/>
    </row>
    <row r="746" spans="1:8" x14ac:dyDescent="0.2">
      <c r="A746" s="1186" t="s">
        <v>343</v>
      </c>
      <c r="B746" s="1186" t="s">
        <v>15</v>
      </c>
      <c r="C746" s="1186" t="s">
        <v>27</v>
      </c>
      <c r="D746" s="1186">
        <v>8</v>
      </c>
      <c r="E746" s="1186">
        <v>7</v>
      </c>
      <c r="F746" s="1186"/>
      <c r="G746" s="1186"/>
      <c r="H746" s="1186">
        <v>1</v>
      </c>
    </row>
    <row r="747" spans="1:8" x14ac:dyDescent="0.2">
      <c r="A747" s="1186" t="s">
        <v>343</v>
      </c>
      <c r="B747" s="1186" t="s">
        <v>15</v>
      </c>
      <c r="C747" s="1186" t="s">
        <v>28</v>
      </c>
      <c r="D747" s="1186">
        <v>36</v>
      </c>
      <c r="E747" s="1186">
        <v>32</v>
      </c>
      <c r="F747" s="1186">
        <v>2</v>
      </c>
      <c r="G747" s="1186">
        <v>2</v>
      </c>
      <c r="H747" s="1186"/>
    </row>
    <row r="748" spans="1:8" x14ac:dyDescent="0.2">
      <c r="A748" s="1186" t="s">
        <v>343</v>
      </c>
      <c r="B748" s="1186" t="s">
        <v>15</v>
      </c>
      <c r="C748" s="1186" t="s">
        <v>29</v>
      </c>
      <c r="D748" s="1186">
        <v>56</v>
      </c>
      <c r="E748" s="1186">
        <v>53</v>
      </c>
      <c r="F748" s="1186">
        <v>3</v>
      </c>
      <c r="G748" s="1186"/>
      <c r="H748" s="1186"/>
    </row>
    <row r="749" spans="1:8" x14ac:dyDescent="0.2">
      <c r="A749" s="1186" t="s">
        <v>343</v>
      </c>
      <c r="B749" s="1186" t="s">
        <v>15</v>
      </c>
      <c r="C749" s="1186" t="s">
        <v>30</v>
      </c>
      <c r="D749" s="1186">
        <v>12</v>
      </c>
      <c r="E749" s="1186">
        <v>11</v>
      </c>
      <c r="F749" s="1186"/>
      <c r="G749" s="1186"/>
      <c r="H749" s="1186">
        <v>1</v>
      </c>
    </row>
    <row r="750" spans="1:8" x14ac:dyDescent="0.2">
      <c r="A750" s="1186" t="s">
        <v>343</v>
      </c>
      <c r="B750" s="1186" t="s">
        <v>15</v>
      </c>
      <c r="C750" s="1186" t="s">
        <v>31</v>
      </c>
      <c r="D750" s="1186">
        <v>29</v>
      </c>
      <c r="E750" s="1186">
        <v>23</v>
      </c>
      <c r="F750" s="1186">
        <v>2</v>
      </c>
      <c r="G750" s="1186">
        <v>4</v>
      </c>
      <c r="H750" s="1186"/>
    </row>
    <row r="751" spans="1:8" x14ac:dyDescent="0.2">
      <c r="A751" s="1186" t="s">
        <v>343</v>
      </c>
      <c r="B751" s="1186" t="s">
        <v>15</v>
      </c>
      <c r="C751" s="1186" t="s">
        <v>32</v>
      </c>
      <c r="D751" s="1186">
        <v>16</v>
      </c>
      <c r="E751" s="1186">
        <v>13</v>
      </c>
      <c r="F751" s="1186">
        <v>2</v>
      </c>
      <c r="G751" s="1186">
        <v>1</v>
      </c>
      <c r="H751" s="1186"/>
    </row>
    <row r="752" spans="1:8" x14ac:dyDescent="0.2">
      <c r="A752" s="1186" t="s">
        <v>343</v>
      </c>
      <c r="B752" s="1186" t="s">
        <v>15</v>
      </c>
      <c r="C752" s="1186" t="s">
        <v>33</v>
      </c>
      <c r="D752" s="1186">
        <v>12</v>
      </c>
      <c r="E752" s="1186">
        <v>9</v>
      </c>
      <c r="F752" s="1186">
        <v>2</v>
      </c>
      <c r="G752" s="1186">
        <v>1</v>
      </c>
      <c r="H752" s="1186"/>
    </row>
    <row r="753" spans="1:8" x14ac:dyDescent="0.2">
      <c r="A753" s="1186" t="s">
        <v>343</v>
      </c>
      <c r="B753" s="1186" t="s">
        <v>15</v>
      </c>
      <c r="C753" s="1186" t="s">
        <v>34</v>
      </c>
      <c r="D753" s="1186">
        <v>13</v>
      </c>
      <c r="E753" s="1186">
        <v>11</v>
      </c>
      <c r="F753" s="1186">
        <v>2</v>
      </c>
      <c r="G753" s="1186"/>
      <c r="H753" s="1186"/>
    </row>
    <row r="754" spans="1:8" x14ac:dyDescent="0.2">
      <c r="A754" s="1186" t="s">
        <v>343</v>
      </c>
      <c r="B754" s="1186" t="s">
        <v>15</v>
      </c>
      <c r="C754" s="1186" t="s">
        <v>35</v>
      </c>
      <c r="D754" s="1186">
        <v>71</v>
      </c>
      <c r="E754" s="1186">
        <v>62</v>
      </c>
      <c r="F754" s="1186">
        <v>5</v>
      </c>
      <c r="G754" s="1186">
        <v>2</v>
      </c>
      <c r="H754" s="1186">
        <v>2</v>
      </c>
    </row>
    <row r="755" spans="1:8" x14ac:dyDescent="0.2">
      <c r="A755" s="1186" t="s">
        <v>343</v>
      </c>
      <c r="B755" s="1186" t="s">
        <v>15</v>
      </c>
      <c r="C755" s="1186" t="s">
        <v>36</v>
      </c>
      <c r="D755" s="1186">
        <v>208</v>
      </c>
      <c r="E755" s="1186">
        <v>193</v>
      </c>
      <c r="F755" s="1186">
        <v>11</v>
      </c>
      <c r="G755" s="1186">
        <v>1</v>
      </c>
      <c r="H755" s="1186">
        <v>3</v>
      </c>
    </row>
    <row r="756" spans="1:8" x14ac:dyDescent="0.2">
      <c r="A756" s="1186" t="s">
        <v>343</v>
      </c>
      <c r="B756" s="1186" t="s">
        <v>15</v>
      </c>
      <c r="C756" s="1186" t="s">
        <v>37</v>
      </c>
      <c r="D756" s="1186">
        <v>49</v>
      </c>
      <c r="E756" s="1186">
        <v>43</v>
      </c>
      <c r="F756" s="1186">
        <v>4</v>
      </c>
      <c r="G756" s="1186"/>
      <c r="H756" s="1186">
        <v>2</v>
      </c>
    </row>
    <row r="757" spans="1:8" x14ac:dyDescent="0.2">
      <c r="A757" s="1186" t="s">
        <v>343</v>
      </c>
      <c r="B757" s="1186" t="s">
        <v>15</v>
      </c>
      <c r="C757" s="1186" t="s">
        <v>38</v>
      </c>
      <c r="D757" s="1186">
        <v>19</v>
      </c>
      <c r="E757" s="1186">
        <v>19</v>
      </c>
      <c r="F757" s="1186"/>
      <c r="G757" s="1186"/>
      <c r="H757" s="1186"/>
    </row>
    <row r="758" spans="1:8" x14ac:dyDescent="0.2">
      <c r="A758" s="1186" t="s">
        <v>343</v>
      </c>
      <c r="B758" s="1186" t="s">
        <v>15</v>
      </c>
      <c r="C758" s="1186" t="s">
        <v>39</v>
      </c>
      <c r="D758" s="1186">
        <v>18</v>
      </c>
      <c r="E758" s="1186">
        <v>18</v>
      </c>
      <c r="F758" s="1186"/>
      <c r="G758" s="1186"/>
      <c r="H758" s="1186"/>
    </row>
    <row r="759" spans="1:8" x14ac:dyDescent="0.2">
      <c r="A759" s="1186" t="s">
        <v>343</v>
      </c>
      <c r="B759" s="1186" t="s">
        <v>15</v>
      </c>
      <c r="C759" s="1186" t="s">
        <v>40</v>
      </c>
      <c r="D759" s="1186">
        <v>32</v>
      </c>
      <c r="E759" s="1186">
        <v>24</v>
      </c>
      <c r="F759" s="1186">
        <v>6</v>
      </c>
      <c r="G759" s="1186"/>
      <c r="H759" s="1186">
        <v>2</v>
      </c>
    </row>
    <row r="760" spans="1:8" x14ac:dyDescent="0.2">
      <c r="A760" s="1186" t="s">
        <v>343</v>
      </c>
      <c r="B760" s="1186" t="s">
        <v>15</v>
      </c>
      <c r="C760" s="1186" t="s">
        <v>295</v>
      </c>
      <c r="D760" s="1186">
        <v>14</v>
      </c>
      <c r="E760" s="1186">
        <v>11</v>
      </c>
      <c r="F760" s="1186"/>
      <c r="G760" s="1186">
        <v>2</v>
      </c>
      <c r="H760" s="1186">
        <v>1</v>
      </c>
    </row>
    <row r="761" spans="1:8" x14ac:dyDescent="0.2">
      <c r="A761" s="1186" t="s">
        <v>343</v>
      </c>
      <c r="B761" s="1186" t="s">
        <v>15</v>
      </c>
      <c r="C761" s="1186" t="s">
        <v>41</v>
      </c>
      <c r="D761" s="1186">
        <v>33</v>
      </c>
      <c r="E761" s="1186">
        <v>30</v>
      </c>
      <c r="F761" s="1186">
        <v>3</v>
      </c>
      <c r="G761" s="1186"/>
      <c r="H761" s="1186"/>
    </row>
    <row r="762" spans="1:8" x14ac:dyDescent="0.2">
      <c r="A762" s="1186" t="s">
        <v>343</v>
      </c>
      <c r="B762" s="1186" t="s">
        <v>15</v>
      </c>
      <c r="C762" s="1186" t="s">
        <v>42</v>
      </c>
      <c r="D762" s="1186">
        <v>83</v>
      </c>
      <c r="E762" s="1186">
        <v>71</v>
      </c>
      <c r="F762" s="1186">
        <v>6</v>
      </c>
      <c r="G762" s="1186">
        <v>4</v>
      </c>
      <c r="H762" s="1186">
        <v>2</v>
      </c>
    </row>
    <row r="763" spans="1:8" x14ac:dyDescent="0.2">
      <c r="A763" s="1186" t="s">
        <v>343</v>
      </c>
      <c r="B763" s="1186" t="s">
        <v>15</v>
      </c>
      <c r="C763" s="1186" t="s">
        <v>44</v>
      </c>
      <c r="D763" s="1186">
        <v>29</v>
      </c>
      <c r="E763" s="1186">
        <v>25</v>
      </c>
      <c r="F763" s="1186">
        <v>1</v>
      </c>
      <c r="G763" s="1186">
        <v>2</v>
      </c>
      <c r="H763" s="1186">
        <v>1</v>
      </c>
    </row>
    <row r="764" spans="1:8" x14ac:dyDescent="0.2">
      <c r="A764" s="1186" t="s">
        <v>343</v>
      </c>
      <c r="B764" s="1186" t="s">
        <v>15</v>
      </c>
      <c r="C764" s="1186" t="s">
        <v>45</v>
      </c>
      <c r="D764" s="1186">
        <v>54</v>
      </c>
      <c r="E764" s="1186">
        <v>48</v>
      </c>
      <c r="F764" s="1186">
        <v>2</v>
      </c>
      <c r="G764" s="1186">
        <v>2</v>
      </c>
      <c r="H764" s="1186">
        <v>2</v>
      </c>
    </row>
    <row r="765" spans="1:8" x14ac:dyDescent="0.2">
      <c r="A765" s="1186" t="s">
        <v>343</v>
      </c>
      <c r="B765" s="1186" t="s">
        <v>15</v>
      </c>
      <c r="C765" s="1186" t="s">
        <v>46</v>
      </c>
      <c r="D765" s="1186">
        <v>17</v>
      </c>
      <c r="E765" s="1186">
        <v>17</v>
      </c>
      <c r="F765" s="1186"/>
      <c r="G765" s="1186"/>
      <c r="H765" s="1186"/>
    </row>
    <row r="766" spans="1:8" x14ac:dyDescent="0.2">
      <c r="A766" s="1186" t="s">
        <v>343</v>
      </c>
      <c r="B766" s="1186" t="s">
        <v>15</v>
      </c>
      <c r="C766" s="1186" t="s">
        <v>47</v>
      </c>
      <c r="D766" s="1186">
        <v>3</v>
      </c>
      <c r="E766" s="1186">
        <v>3</v>
      </c>
      <c r="F766" s="1186"/>
      <c r="G766" s="1186"/>
      <c r="H766" s="1186"/>
    </row>
    <row r="767" spans="1:8" x14ac:dyDescent="0.2">
      <c r="A767" s="1186" t="s">
        <v>343</v>
      </c>
      <c r="B767" s="1186" t="s">
        <v>15</v>
      </c>
      <c r="C767" s="1186" t="s">
        <v>48</v>
      </c>
      <c r="D767" s="1186">
        <v>28</v>
      </c>
      <c r="E767" s="1186">
        <v>25</v>
      </c>
      <c r="F767" s="1186">
        <v>2</v>
      </c>
      <c r="G767" s="1186"/>
      <c r="H767" s="1186">
        <v>1</v>
      </c>
    </row>
    <row r="768" spans="1:8" x14ac:dyDescent="0.2">
      <c r="A768" s="1186" t="s">
        <v>343</v>
      </c>
      <c r="B768" s="1186" t="s">
        <v>15</v>
      </c>
      <c r="C768" s="1186" t="s">
        <v>49</v>
      </c>
      <c r="D768" s="1186">
        <v>69</v>
      </c>
      <c r="E768" s="1186">
        <v>64</v>
      </c>
      <c r="F768" s="1186">
        <v>2</v>
      </c>
      <c r="G768" s="1186">
        <v>3</v>
      </c>
      <c r="H768" s="1186"/>
    </row>
    <row r="769" spans="1:8" x14ac:dyDescent="0.2">
      <c r="A769" s="1186" t="s">
        <v>343</v>
      </c>
      <c r="B769" s="1186" t="s">
        <v>15</v>
      </c>
      <c r="C769" s="1186" t="s">
        <v>50</v>
      </c>
      <c r="D769" s="1186">
        <v>9</v>
      </c>
      <c r="E769" s="1186">
        <v>6</v>
      </c>
      <c r="F769" s="1186">
        <v>2</v>
      </c>
      <c r="G769" s="1186"/>
      <c r="H769" s="1186">
        <v>1</v>
      </c>
    </row>
    <row r="770" spans="1:8" x14ac:dyDescent="0.2">
      <c r="A770" s="1186" t="s">
        <v>343</v>
      </c>
      <c r="B770" s="1186" t="s">
        <v>15</v>
      </c>
      <c r="C770" s="1186" t="s">
        <v>51</v>
      </c>
      <c r="D770" s="1186">
        <v>31</v>
      </c>
      <c r="E770" s="1186">
        <v>25</v>
      </c>
      <c r="F770" s="1186">
        <v>5</v>
      </c>
      <c r="G770" s="1186"/>
      <c r="H770" s="1186">
        <v>1</v>
      </c>
    </row>
    <row r="771" spans="1:8" x14ac:dyDescent="0.2">
      <c r="A771" s="1186" t="s">
        <v>343</v>
      </c>
      <c r="B771" s="1186" t="s">
        <v>15</v>
      </c>
      <c r="C771" s="1186" t="s">
        <v>52</v>
      </c>
      <c r="D771" s="1186">
        <v>60</v>
      </c>
      <c r="E771" s="1186">
        <v>55</v>
      </c>
      <c r="F771" s="1186">
        <v>2</v>
      </c>
      <c r="G771" s="1186">
        <v>1</v>
      </c>
      <c r="H771" s="1186">
        <v>2</v>
      </c>
    </row>
    <row r="772" spans="1:8" x14ac:dyDescent="0.2">
      <c r="A772" s="1186" t="s">
        <v>343</v>
      </c>
      <c r="B772" s="1186" t="s">
        <v>17</v>
      </c>
      <c r="C772" s="1186" t="s">
        <v>23</v>
      </c>
      <c r="D772" s="1186">
        <v>60</v>
      </c>
      <c r="E772" s="1186">
        <v>51</v>
      </c>
      <c r="F772" s="1186">
        <v>6</v>
      </c>
      <c r="G772" s="1186">
        <v>1</v>
      </c>
      <c r="H772" s="1186">
        <v>2</v>
      </c>
    </row>
    <row r="773" spans="1:8" x14ac:dyDescent="0.2">
      <c r="A773" s="1186" t="s">
        <v>343</v>
      </c>
      <c r="B773" s="1186" t="s">
        <v>17</v>
      </c>
      <c r="C773" s="1186" t="s">
        <v>24</v>
      </c>
      <c r="D773" s="1186">
        <v>41</v>
      </c>
      <c r="E773" s="1186">
        <v>29</v>
      </c>
      <c r="F773" s="1186">
        <v>2</v>
      </c>
      <c r="G773" s="1186">
        <v>9</v>
      </c>
      <c r="H773" s="1186">
        <v>1</v>
      </c>
    </row>
    <row r="774" spans="1:8" x14ac:dyDescent="0.2">
      <c r="A774" s="1186" t="s">
        <v>343</v>
      </c>
      <c r="B774" s="1186" t="s">
        <v>17</v>
      </c>
      <c r="C774" s="1186" t="s">
        <v>25</v>
      </c>
      <c r="D774" s="1186">
        <v>21</v>
      </c>
      <c r="E774" s="1186">
        <v>20</v>
      </c>
      <c r="F774" s="1186">
        <v>1</v>
      </c>
      <c r="G774" s="1186"/>
      <c r="H774" s="1186"/>
    </row>
    <row r="775" spans="1:8" x14ac:dyDescent="0.2">
      <c r="A775" s="1186" t="s">
        <v>343</v>
      </c>
      <c r="B775" s="1186" t="s">
        <v>17</v>
      </c>
      <c r="C775" s="1186" t="s">
        <v>26</v>
      </c>
      <c r="D775" s="1186">
        <v>12</v>
      </c>
      <c r="E775" s="1186">
        <v>12</v>
      </c>
      <c r="F775" s="1186"/>
      <c r="G775" s="1186"/>
      <c r="H775" s="1186"/>
    </row>
    <row r="776" spans="1:8" x14ac:dyDescent="0.2">
      <c r="A776" s="1186" t="s">
        <v>343</v>
      </c>
      <c r="B776" s="1186" t="s">
        <v>17</v>
      </c>
      <c r="C776" s="1186" t="s">
        <v>619</v>
      </c>
      <c r="D776" s="1186">
        <v>158</v>
      </c>
      <c r="E776" s="1186">
        <v>149</v>
      </c>
      <c r="F776" s="1186">
        <v>9</v>
      </c>
      <c r="G776" s="1186"/>
      <c r="H776" s="1186"/>
    </row>
    <row r="777" spans="1:8" x14ac:dyDescent="0.2">
      <c r="A777" s="1186" t="s">
        <v>343</v>
      </c>
      <c r="B777" s="1186" t="s">
        <v>17</v>
      </c>
      <c r="C777" s="1186" t="s">
        <v>27</v>
      </c>
      <c r="D777" s="1186">
        <v>4</v>
      </c>
      <c r="E777" s="1186">
        <v>3</v>
      </c>
      <c r="F777" s="1186">
        <v>1</v>
      </c>
      <c r="G777" s="1186"/>
      <c r="H777" s="1186"/>
    </row>
    <row r="778" spans="1:8" x14ac:dyDescent="0.2">
      <c r="A778" s="1186" t="s">
        <v>343</v>
      </c>
      <c r="B778" s="1186" t="s">
        <v>17</v>
      </c>
      <c r="C778" s="1186" t="s">
        <v>28</v>
      </c>
      <c r="D778" s="1186">
        <v>27</v>
      </c>
      <c r="E778" s="1186">
        <v>23</v>
      </c>
      <c r="F778" s="1186">
        <v>2</v>
      </c>
      <c r="G778" s="1186">
        <v>1</v>
      </c>
      <c r="H778" s="1186">
        <v>1</v>
      </c>
    </row>
    <row r="779" spans="1:8" x14ac:dyDescent="0.2">
      <c r="A779" s="1186" t="s">
        <v>343</v>
      </c>
      <c r="B779" s="1186" t="s">
        <v>17</v>
      </c>
      <c r="C779" s="1186" t="s">
        <v>29</v>
      </c>
      <c r="D779" s="1186">
        <v>72</v>
      </c>
      <c r="E779" s="1186">
        <v>70</v>
      </c>
      <c r="F779" s="1186">
        <v>1</v>
      </c>
      <c r="G779" s="1186"/>
      <c r="H779" s="1186">
        <v>1</v>
      </c>
    </row>
    <row r="780" spans="1:8" x14ac:dyDescent="0.2">
      <c r="A780" s="1186" t="s">
        <v>343</v>
      </c>
      <c r="B780" s="1186" t="s">
        <v>17</v>
      </c>
      <c r="C780" s="1186" t="s">
        <v>30</v>
      </c>
      <c r="D780" s="1186">
        <v>16</v>
      </c>
      <c r="E780" s="1186">
        <v>16</v>
      </c>
      <c r="F780" s="1186"/>
      <c r="G780" s="1186"/>
      <c r="H780" s="1186"/>
    </row>
    <row r="781" spans="1:8" x14ac:dyDescent="0.2">
      <c r="A781" s="1186" t="s">
        <v>343</v>
      </c>
      <c r="B781" s="1186" t="s">
        <v>17</v>
      </c>
      <c r="C781" s="1186" t="s">
        <v>31</v>
      </c>
      <c r="D781" s="1186">
        <v>14</v>
      </c>
      <c r="E781" s="1186">
        <v>12</v>
      </c>
      <c r="F781" s="1186">
        <v>2</v>
      </c>
      <c r="G781" s="1186"/>
      <c r="H781" s="1186"/>
    </row>
    <row r="782" spans="1:8" x14ac:dyDescent="0.2">
      <c r="A782" s="1186" t="s">
        <v>343</v>
      </c>
      <c r="B782" s="1186" t="s">
        <v>17</v>
      </c>
      <c r="C782" s="1186" t="s">
        <v>32</v>
      </c>
      <c r="D782" s="1186">
        <v>14</v>
      </c>
      <c r="E782" s="1186">
        <v>14</v>
      </c>
      <c r="F782" s="1186"/>
      <c r="G782" s="1186"/>
      <c r="H782" s="1186"/>
    </row>
    <row r="783" spans="1:8" x14ac:dyDescent="0.2">
      <c r="A783" s="1186" t="s">
        <v>343</v>
      </c>
      <c r="B783" s="1186" t="s">
        <v>17</v>
      </c>
      <c r="C783" s="1186" t="s">
        <v>33</v>
      </c>
      <c r="D783" s="1186">
        <v>12</v>
      </c>
      <c r="E783" s="1186">
        <v>11</v>
      </c>
      <c r="F783" s="1186"/>
      <c r="G783" s="1186">
        <v>1</v>
      </c>
      <c r="H783" s="1186"/>
    </row>
    <row r="784" spans="1:8" x14ac:dyDescent="0.2">
      <c r="A784" s="1186" t="s">
        <v>343</v>
      </c>
      <c r="B784" s="1186" t="s">
        <v>17</v>
      </c>
      <c r="C784" s="1186" t="s">
        <v>34</v>
      </c>
      <c r="D784" s="1186">
        <v>31</v>
      </c>
      <c r="E784" s="1186">
        <v>28</v>
      </c>
      <c r="F784" s="1186">
        <v>3</v>
      </c>
      <c r="G784" s="1186"/>
      <c r="H784" s="1186"/>
    </row>
    <row r="785" spans="1:8" x14ac:dyDescent="0.2">
      <c r="A785" s="1186" t="s">
        <v>343</v>
      </c>
      <c r="B785" s="1186" t="s">
        <v>17</v>
      </c>
      <c r="C785" s="1186" t="s">
        <v>35</v>
      </c>
      <c r="D785" s="1186">
        <v>52</v>
      </c>
      <c r="E785" s="1186">
        <v>44</v>
      </c>
      <c r="F785" s="1186">
        <v>1</v>
      </c>
      <c r="G785" s="1186">
        <v>1</v>
      </c>
      <c r="H785" s="1186">
        <v>6</v>
      </c>
    </row>
    <row r="786" spans="1:8" x14ac:dyDescent="0.2">
      <c r="A786" s="1186" t="s">
        <v>343</v>
      </c>
      <c r="B786" s="1186" t="s">
        <v>17</v>
      </c>
      <c r="C786" s="1186" t="s">
        <v>36</v>
      </c>
      <c r="D786" s="1186">
        <v>188</v>
      </c>
      <c r="E786" s="1186">
        <v>171</v>
      </c>
      <c r="F786" s="1186">
        <v>13</v>
      </c>
      <c r="G786" s="1186">
        <v>2</v>
      </c>
      <c r="H786" s="1186">
        <v>2</v>
      </c>
    </row>
    <row r="787" spans="1:8" x14ac:dyDescent="0.2">
      <c r="A787" s="1186" t="s">
        <v>343</v>
      </c>
      <c r="B787" s="1186" t="s">
        <v>17</v>
      </c>
      <c r="C787" s="1186" t="s">
        <v>37</v>
      </c>
      <c r="D787" s="1186">
        <v>64</v>
      </c>
      <c r="E787" s="1186">
        <v>55</v>
      </c>
      <c r="F787" s="1186">
        <v>6</v>
      </c>
      <c r="G787" s="1186"/>
      <c r="H787" s="1186">
        <v>3</v>
      </c>
    </row>
    <row r="788" spans="1:8" x14ac:dyDescent="0.2">
      <c r="A788" s="1186" t="s">
        <v>343</v>
      </c>
      <c r="B788" s="1186" t="s">
        <v>17</v>
      </c>
      <c r="C788" s="1186" t="s">
        <v>38</v>
      </c>
      <c r="D788" s="1186">
        <v>35</v>
      </c>
      <c r="E788" s="1186">
        <v>32</v>
      </c>
      <c r="F788" s="1186"/>
      <c r="G788" s="1186">
        <v>3</v>
      </c>
      <c r="H788" s="1186"/>
    </row>
    <row r="789" spans="1:8" x14ac:dyDescent="0.2">
      <c r="A789" s="1186" t="s">
        <v>343</v>
      </c>
      <c r="B789" s="1186" t="s">
        <v>17</v>
      </c>
      <c r="C789" s="1186" t="s">
        <v>39</v>
      </c>
      <c r="D789" s="1186">
        <v>35</v>
      </c>
      <c r="E789" s="1186">
        <v>28</v>
      </c>
      <c r="F789" s="1186">
        <v>2</v>
      </c>
      <c r="G789" s="1186">
        <v>5</v>
      </c>
      <c r="H789" s="1186"/>
    </row>
    <row r="790" spans="1:8" x14ac:dyDescent="0.2">
      <c r="A790" s="1186" t="s">
        <v>343</v>
      </c>
      <c r="B790" s="1186" t="s">
        <v>17</v>
      </c>
      <c r="C790" s="1186" t="s">
        <v>40</v>
      </c>
      <c r="D790" s="1186">
        <v>33</v>
      </c>
      <c r="E790" s="1186">
        <v>25</v>
      </c>
      <c r="F790" s="1186">
        <v>3</v>
      </c>
      <c r="G790" s="1186">
        <v>1</v>
      </c>
      <c r="H790" s="1186">
        <v>4</v>
      </c>
    </row>
    <row r="791" spans="1:8" x14ac:dyDescent="0.2">
      <c r="A791" s="1186" t="s">
        <v>343</v>
      </c>
      <c r="B791" s="1186" t="s">
        <v>17</v>
      </c>
      <c r="C791" s="1186" t="s">
        <v>295</v>
      </c>
      <c r="D791" s="1186">
        <v>6</v>
      </c>
      <c r="E791" s="1186">
        <v>3</v>
      </c>
      <c r="F791" s="1186"/>
      <c r="G791" s="1186"/>
      <c r="H791" s="1186">
        <v>3</v>
      </c>
    </row>
    <row r="792" spans="1:8" x14ac:dyDescent="0.2">
      <c r="A792" s="1186" t="s">
        <v>343</v>
      </c>
      <c r="B792" s="1186" t="s">
        <v>17</v>
      </c>
      <c r="C792" s="1186" t="s">
        <v>41</v>
      </c>
      <c r="D792" s="1186">
        <v>33</v>
      </c>
      <c r="E792" s="1186">
        <v>30</v>
      </c>
      <c r="F792" s="1186">
        <v>3</v>
      </c>
      <c r="G792" s="1186"/>
      <c r="H792" s="1186"/>
    </row>
    <row r="793" spans="1:8" x14ac:dyDescent="0.2">
      <c r="A793" s="1186" t="s">
        <v>343</v>
      </c>
      <c r="B793" s="1186" t="s">
        <v>17</v>
      </c>
      <c r="C793" s="1186" t="s">
        <v>42</v>
      </c>
      <c r="D793" s="1186">
        <v>104</v>
      </c>
      <c r="E793" s="1186">
        <v>85</v>
      </c>
      <c r="F793" s="1186">
        <v>13</v>
      </c>
      <c r="G793" s="1186">
        <v>2</v>
      </c>
      <c r="H793" s="1186">
        <v>4</v>
      </c>
    </row>
    <row r="794" spans="1:8" x14ac:dyDescent="0.2">
      <c r="A794" s="1186" t="s">
        <v>343</v>
      </c>
      <c r="B794" s="1186" t="s">
        <v>17</v>
      </c>
      <c r="C794" s="1186" t="s">
        <v>43</v>
      </c>
      <c r="D794" s="1186">
        <v>1</v>
      </c>
      <c r="E794" s="1186">
        <v>1</v>
      </c>
      <c r="F794" s="1186"/>
      <c r="G794" s="1186"/>
      <c r="H794" s="1186"/>
    </row>
    <row r="795" spans="1:8" x14ac:dyDescent="0.2">
      <c r="A795" s="1186" t="s">
        <v>343</v>
      </c>
      <c r="B795" s="1186" t="s">
        <v>17</v>
      </c>
      <c r="C795" s="1186" t="s">
        <v>44</v>
      </c>
      <c r="D795" s="1186">
        <v>46</v>
      </c>
      <c r="E795" s="1186">
        <v>40</v>
      </c>
      <c r="F795" s="1186">
        <v>3</v>
      </c>
      <c r="G795" s="1186">
        <v>1</v>
      </c>
      <c r="H795" s="1186">
        <v>2</v>
      </c>
    </row>
    <row r="796" spans="1:8" x14ac:dyDescent="0.2">
      <c r="A796" s="1186" t="s">
        <v>343</v>
      </c>
      <c r="B796" s="1186" t="s">
        <v>17</v>
      </c>
      <c r="C796" s="1186" t="s">
        <v>45</v>
      </c>
      <c r="D796" s="1186">
        <v>60</v>
      </c>
      <c r="E796" s="1186">
        <v>47</v>
      </c>
      <c r="F796" s="1186">
        <v>2</v>
      </c>
      <c r="G796" s="1186">
        <v>11</v>
      </c>
      <c r="H796" s="1186"/>
    </row>
    <row r="797" spans="1:8" x14ac:dyDescent="0.2">
      <c r="A797" s="1186" t="s">
        <v>343</v>
      </c>
      <c r="B797" s="1186" t="s">
        <v>17</v>
      </c>
      <c r="C797" s="1186" t="s">
        <v>46</v>
      </c>
      <c r="D797" s="1186">
        <v>27</v>
      </c>
      <c r="E797" s="1186">
        <v>26</v>
      </c>
      <c r="F797" s="1186"/>
      <c r="G797" s="1186">
        <v>1</v>
      </c>
      <c r="H797" s="1186"/>
    </row>
    <row r="798" spans="1:8" x14ac:dyDescent="0.2">
      <c r="A798" s="1186" t="s">
        <v>343</v>
      </c>
      <c r="B798" s="1186" t="s">
        <v>17</v>
      </c>
      <c r="C798" s="1186" t="s">
        <v>47</v>
      </c>
      <c r="D798" s="1186">
        <v>1</v>
      </c>
      <c r="E798" s="1186">
        <v>1</v>
      </c>
      <c r="F798" s="1186"/>
      <c r="G798" s="1186"/>
      <c r="H798" s="1186"/>
    </row>
    <row r="799" spans="1:8" x14ac:dyDescent="0.2">
      <c r="A799" s="1186" t="s">
        <v>343</v>
      </c>
      <c r="B799" s="1186" t="s">
        <v>17</v>
      </c>
      <c r="C799" s="1186" t="s">
        <v>48</v>
      </c>
      <c r="D799" s="1186">
        <v>17</v>
      </c>
      <c r="E799" s="1186">
        <v>13</v>
      </c>
      <c r="F799" s="1186">
        <v>2</v>
      </c>
      <c r="G799" s="1186">
        <v>1</v>
      </c>
      <c r="H799" s="1186">
        <v>1</v>
      </c>
    </row>
    <row r="800" spans="1:8" x14ac:dyDescent="0.2">
      <c r="A800" s="1186" t="s">
        <v>343</v>
      </c>
      <c r="B800" s="1186" t="s">
        <v>17</v>
      </c>
      <c r="C800" s="1186" t="s">
        <v>49</v>
      </c>
      <c r="D800" s="1186">
        <v>56</v>
      </c>
      <c r="E800" s="1186">
        <v>50</v>
      </c>
      <c r="F800" s="1186">
        <v>3</v>
      </c>
      <c r="G800" s="1186">
        <v>3</v>
      </c>
      <c r="H800" s="1186"/>
    </row>
    <row r="801" spans="1:8" x14ac:dyDescent="0.2">
      <c r="A801" s="1186" t="s">
        <v>343</v>
      </c>
      <c r="B801" s="1186" t="s">
        <v>17</v>
      </c>
      <c r="C801" s="1186" t="s">
        <v>50</v>
      </c>
      <c r="D801" s="1186">
        <v>18</v>
      </c>
      <c r="E801" s="1186">
        <v>10</v>
      </c>
      <c r="F801" s="1186">
        <v>7</v>
      </c>
      <c r="G801" s="1186">
        <v>1</v>
      </c>
      <c r="H801" s="1186"/>
    </row>
    <row r="802" spans="1:8" x14ac:dyDescent="0.2">
      <c r="A802" s="1186" t="s">
        <v>343</v>
      </c>
      <c r="B802" s="1186" t="s">
        <v>17</v>
      </c>
      <c r="C802" s="1186" t="s">
        <v>51</v>
      </c>
      <c r="D802" s="1186">
        <v>16</v>
      </c>
      <c r="E802" s="1186">
        <v>16</v>
      </c>
      <c r="F802" s="1186"/>
      <c r="G802" s="1186"/>
      <c r="H802" s="1186"/>
    </row>
    <row r="803" spans="1:8" x14ac:dyDescent="0.2">
      <c r="A803" s="1186" t="s">
        <v>343</v>
      </c>
      <c r="B803" s="1186" t="s">
        <v>17</v>
      </c>
      <c r="C803" s="1186" t="s">
        <v>52</v>
      </c>
      <c r="D803" s="1186">
        <v>36</v>
      </c>
      <c r="E803" s="1186">
        <v>25</v>
      </c>
      <c r="F803" s="1186">
        <v>1</v>
      </c>
      <c r="G803" s="1186">
        <v>6</v>
      </c>
      <c r="H803" s="1186">
        <v>4</v>
      </c>
    </row>
    <row r="804" spans="1:8" x14ac:dyDescent="0.2">
      <c r="A804" s="1186" t="s">
        <v>343</v>
      </c>
      <c r="B804" s="1186" t="s">
        <v>133</v>
      </c>
      <c r="C804" s="1186" t="s">
        <v>23</v>
      </c>
      <c r="D804" s="1186">
        <v>57</v>
      </c>
      <c r="E804" s="1186">
        <v>52</v>
      </c>
      <c r="F804" s="1186">
        <v>4</v>
      </c>
      <c r="G804" s="1186">
        <v>1</v>
      </c>
      <c r="H804" s="1186"/>
    </row>
    <row r="805" spans="1:8" x14ac:dyDescent="0.2">
      <c r="A805" s="1186" t="s">
        <v>343</v>
      </c>
      <c r="B805" s="1186" t="s">
        <v>133</v>
      </c>
      <c r="C805" s="1186" t="s">
        <v>24</v>
      </c>
      <c r="D805" s="1186">
        <v>43</v>
      </c>
      <c r="E805" s="1186">
        <v>32</v>
      </c>
      <c r="F805" s="1186">
        <v>4</v>
      </c>
      <c r="G805" s="1186">
        <v>6</v>
      </c>
      <c r="H805" s="1186">
        <v>1</v>
      </c>
    </row>
    <row r="806" spans="1:8" x14ac:dyDescent="0.2">
      <c r="A806" s="1186" t="s">
        <v>343</v>
      </c>
      <c r="B806" s="1186" t="s">
        <v>133</v>
      </c>
      <c r="C806" s="1186" t="s">
        <v>25</v>
      </c>
      <c r="D806" s="1186">
        <v>26</v>
      </c>
      <c r="E806" s="1186">
        <v>25</v>
      </c>
      <c r="F806" s="1186">
        <v>1</v>
      </c>
      <c r="G806" s="1186"/>
      <c r="H806" s="1186"/>
    </row>
    <row r="807" spans="1:8" x14ac:dyDescent="0.2">
      <c r="A807" s="1186" t="s">
        <v>343</v>
      </c>
      <c r="B807" s="1186" t="s">
        <v>133</v>
      </c>
      <c r="C807" s="1186" t="s">
        <v>26</v>
      </c>
      <c r="D807" s="1186">
        <v>13</v>
      </c>
      <c r="E807" s="1186">
        <v>12</v>
      </c>
      <c r="F807" s="1186"/>
      <c r="G807" s="1186"/>
      <c r="H807" s="1186">
        <v>1</v>
      </c>
    </row>
    <row r="808" spans="1:8" x14ac:dyDescent="0.2">
      <c r="A808" s="1186" t="s">
        <v>343</v>
      </c>
      <c r="B808" s="1186" t="s">
        <v>133</v>
      </c>
      <c r="C808" s="1186" t="s">
        <v>619</v>
      </c>
      <c r="D808" s="1186">
        <v>139</v>
      </c>
      <c r="E808" s="1186">
        <v>118</v>
      </c>
      <c r="F808" s="1186">
        <v>18</v>
      </c>
      <c r="G808" s="1186">
        <v>3</v>
      </c>
      <c r="H808" s="1186"/>
    </row>
    <row r="809" spans="1:8" x14ac:dyDescent="0.2">
      <c r="A809" s="1186" t="s">
        <v>343</v>
      </c>
      <c r="B809" s="1186" t="s">
        <v>133</v>
      </c>
      <c r="C809" s="1186" t="s">
        <v>27</v>
      </c>
      <c r="D809" s="1186">
        <v>10</v>
      </c>
      <c r="E809" s="1186">
        <v>8</v>
      </c>
      <c r="F809" s="1186">
        <v>2</v>
      </c>
      <c r="G809" s="1186"/>
      <c r="H809" s="1186"/>
    </row>
    <row r="810" spans="1:8" x14ac:dyDescent="0.2">
      <c r="A810" s="1186" t="s">
        <v>343</v>
      </c>
      <c r="B810" s="1186" t="s">
        <v>133</v>
      </c>
      <c r="C810" s="1186" t="s">
        <v>28</v>
      </c>
      <c r="D810" s="1186">
        <v>12</v>
      </c>
      <c r="E810" s="1186">
        <v>9</v>
      </c>
      <c r="F810" s="1186">
        <v>2</v>
      </c>
      <c r="G810" s="1186">
        <v>1</v>
      </c>
      <c r="H810" s="1186"/>
    </row>
    <row r="811" spans="1:8" x14ac:dyDescent="0.2">
      <c r="A811" s="1186" t="s">
        <v>343</v>
      </c>
      <c r="B811" s="1186" t="s">
        <v>133</v>
      </c>
      <c r="C811" s="1186" t="s">
        <v>29</v>
      </c>
      <c r="D811" s="1186">
        <v>39</v>
      </c>
      <c r="E811" s="1186">
        <v>38</v>
      </c>
      <c r="F811" s="1186">
        <v>1</v>
      </c>
      <c r="G811" s="1186"/>
      <c r="H811" s="1186"/>
    </row>
    <row r="812" spans="1:8" x14ac:dyDescent="0.2">
      <c r="A812" s="1186" t="s">
        <v>343</v>
      </c>
      <c r="B812" s="1186" t="s">
        <v>133</v>
      </c>
      <c r="C812" s="1186" t="s">
        <v>30</v>
      </c>
      <c r="D812" s="1186">
        <v>26</v>
      </c>
      <c r="E812" s="1186">
        <v>23</v>
      </c>
      <c r="F812" s="1186">
        <v>3</v>
      </c>
      <c r="G812" s="1186"/>
      <c r="H812" s="1186"/>
    </row>
    <row r="813" spans="1:8" x14ac:dyDescent="0.2">
      <c r="A813" s="1186" t="s">
        <v>343</v>
      </c>
      <c r="B813" s="1186" t="s">
        <v>133</v>
      </c>
      <c r="C813" s="1186" t="s">
        <v>31</v>
      </c>
      <c r="D813" s="1186">
        <v>18</v>
      </c>
      <c r="E813" s="1186">
        <v>11</v>
      </c>
      <c r="F813" s="1186">
        <v>1</v>
      </c>
      <c r="G813" s="1186">
        <v>5</v>
      </c>
      <c r="H813" s="1186">
        <v>1</v>
      </c>
    </row>
    <row r="814" spans="1:8" x14ac:dyDescent="0.2">
      <c r="A814" s="1186" t="s">
        <v>343</v>
      </c>
      <c r="B814" s="1186" t="s">
        <v>133</v>
      </c>
      <c r="C814" s="1186" t="s">
        <v>32</v>
      </c>
      <c r="D814" s="1186">
        <v>12</v>
      </c>
      <c r="E814" s="1186">
        <v>9</v>
      </c>
      <c r="F814" s="1186">
        <v>1</v>
      </c>
      <c r="G814" s="1186"/>
      <c r="H814" s="1186">
        <v>2</v>
      </c>
    </row>
    <row r="815" spans="1:8" x14ac:dyDescent="0.2">
      <c r="A815" s="1186" t="s">
        <v>343</v>
      </c>
      <c r="B815" s="1186" t="s">
        <v>133</v>
      </c>
      <c r="C815" s="1186" t="s">
        <v>33</v>
      </c>
      <c r="D815" s="1186">
        <v>7</v>
      </c>
      <c r="E815" s="1186">
        <v>7</v>
      </c>
      <c r="F815" s="1186"/>
      <c r="G815" s="1186"/>
      <c r="H815" s="1186"/>
    </row>
    <row r="816" spans="1:8" x14ac:dyDescent="0.2">
      <c r="A816" s="1186" t="s">
        <v>343</v>
      </c>
      <c r="B816" s="1186" t="s">
        <v>133</v>
      </c>
      <c r="C816" s="1186" t="s">
        <v>34</v>
      </c>
      <c r="D816" s="1186">
        <v>23</v>
      </c>
      <c r="E816" s="1186">
        <v>22</v>
      </c>
      <c r="F816" s="1186"/>
      <c r="G816" s="1186">
        <v>1</v>
      </c>
      <c r="H816" s="1186"/>
    </row>
    <row r="817" spans="1:8" x14ac:dyDescent="0.2">
      <c r="A817" s="1186" t="s">
        <v>343</v>
      </c>
      <c r="B817" s="1186" t="s">
        <v>133</v>
      </c>
      <c r="C817" s="1186" t="s">
        <v>35</v>
      </c>
      <c r="D817" s="1186">
        <v>59</v>
      </c>
      <c r="E817" s="1186">
        <v>46</v>
      </c>
      <c r="F817" s="1186">
        <v>7</v>
      </c>
      <c r="G817" s="1186">
        <v>4</v>
      </c>
      <c r="H817" s="1186">
        <v>2</v>
      </c>
    </row>
    <row r="818" spans="1:8" x14ac:dyDescent="0.2">
      <c r="A818" s="1186" t="s">
        <v>343</v>
      </c>
      <c r="B818" s="1186" t="s">
        <v>133</v>
      </c>
      <c r="C818" s="1186" t="s">
        <v>36</v>
      </c>
      <c r="D818" s="1186">
        <v>146</v>
      </c>
      <c r="E818" s="1186">
        <v>136</v>
      </c>
      <c r="F818" s="1186">
        <v>3</v>
      </c>
      <c r="G818" s="1186">
        <v>4</v>
      </c>
      <c r="H818" s="1186">
        <v>3</v>
      </c>
    </row>
    <row r="819" spans="1:8" x14ac:dyDescent="0.2">
      <c r="A819" s="1186" t="s">
        <v>343</v>
      </c>
      <c r="B819" s="1186" t="s">
        <v>133</v>
      </c>
      <c r="C819" s="1186" t="s">
        <v>37</v>
      </c>
      <c r="D819" s="1186">
        <v>64</v>
      </c>
      <c r="E819" s="1186">
        <v>54</v>
      </c>
      <c r="F819" s="1186">
        <v>8</v>
      </c>
      <c r="G819" s="1186">
        <v>2</v>
      </c>
      <c r="H819" s="1186"/>
    </row>
    <row r="820" spans="1:8" x14ac:dyDescent="0.2">
      <c r="A820" s="1186" t="s">
        <v>343</v>
      </c>
      <c r="B820" s="1186" t="s">
        <v>133</v>
      </c>
      <c r="C820" s="1186" t="s">
        <v>38</v>
      </c>
      <c r="D820" s="1186">
        <v>25</v>
      </c>
      <c r="E820" s="1186">
        <v>24</v>
      </c>
      <c r="F820" s="1186">
        <v>1</v>
      </c>
      <c r="G820" s="1186"/>
      <c r="H820" s="1186"/>
    </row>
    <row r="821" spans="1:8" x14ac:dyDescent="0.2">
      <c r="A821" s="1186" t="s">
        <v>343</v>
      </c>
      <c r="B821" s="1186" t="s">
        <v>133</v>
      </c>
      <c r="C821" s="1186" t="s">
        <v>39</v>
      </c>
      <c r="D821" s="1186">
        <v>19</v>
      </c>
      <c r="E821" s="1186">
        <v>15</v>
      </c>
      <c r="F821" s="1186">
        <v>1</v>
      </c>
      <c r="G821" s="1186">
        <v>1</v>
      </c>
      <c r="H821" s="1186">
        <v>2</v>
      </c>
    </row>
    <row r="822" spans="1:8" x14ac:dyDescent="0.2">
      <c r="A822" s="1186" t="s">
        <v>343</v>
      </c>
      <c r="B822" s="1186" t="s">
        <v>133</v>
      </c>
      <c r="C822" s="1186" t="s">
        <v>40</v>
      </c>
      <c r="D822" s="1186">
        <v>21</v>
      </c>
      <c r="E822" s="1186">
        <v>9</v>
      </c>
      <c r="F822" s="1186">
        <v>10</v>
      </c>
      <c r="G822" s="1186">
        <v>2</v>
      </c>
      <c r="H822" s="1186"/>
    </row>
    <row r="823" spans="1:8" x14ac:dyDescent="0.2">
      <c r="A823" s="1186" t="s">
        <v>343</v>
      </c>
      <c r="B823" s="1186" t="s">
        <v>133</v>
      </c>
      <c r="C823" s="1186" t="s">
        <v>295</v>
      </c>
      <c r="D823" s="1186">
        <v>7</v>
      </c>
      <c r="E823" s="1186">
        <v>6</v>
      </c>
      <c r="F823" s="1186"/>
      <c r="G823" s="1186">
        <v>1</v>
      </c>
      <c r="H823" s="1186"/>
    </row>
    <row r="824" spans="1:8" x14ac:dyDescent="0.2">
      <c r="A824" s="1186" t="s">
        <v>343</v>
      </c>
      <c r="B824" s="1186" t="s">
        <v>133</v>
      </c>
      <c r="C824" s="1186" t="s">
        <v>41</v>
      </c>
      <c r="D824" s="1186">
        <v>46</v>
      </c>
      <c r="E824" s="1186">
        <v>40</v>
      </c>
      <c r="F824" s="1186">
        <v>1</v>
      </c>
      <c r="G824" s="1186">
        <v>3</v>
      </c>
      <c r="H824" s="1186">
        <v>2</v>
      </c>
    </row>
    <row r="825" spans="1:8" x14ac:dyDescent="0.2">
      <c r="A825" s="1186" t="s">
        <v>343</v>
      </c>
      <c r="B825" s="1186" t="s">
        <v>133</v>
      </c>
      <c r="C825" s="1186" t="s">
        <v>42</v>
      </c>
      <c r="D825" s="1186">
        <v>75</v>
      </c>
      <c r="E825" s="1186">
        <v>71</v>
      </c>
      <c r="F825" s="1186">
        <v>1</v>
      </c>
      <c r="G825" s="1186">
        <v>1</v>
      </c>
      <c r="H825" s="1186">
        <v>2</v>
      </c>
    </row>
    <row r="826" spans="1:8" x14ac:dyDescent="0.2">
      <c r="A826" s="1186" t="s">
        <v>343</v>
      </c>
      <c r="B826" s="1186" t="s">
        <v>133</v>
      </c>
      <c r="C826" s="1186" t="s">
        <v>43</v>
      </c>
      <c r="D826" s="1186">
        <v>2</v>
      </c>
      <c r="E826" s="1186">
        <v>2</v>
      </c>
      <c r="F826" s="1186"/>
      <c r="G826" s="1186"/>
      <c r="H826" s="1186"/>
    </row>
    <row r="827" spans="1:8" x14ac:dyDescent="0.2">
      <c r="A827" s="1186" t="s">
        <v>343</v>
      </c>
      <c r="B827" s="1186" t="s">
        <v>133</v>
      </c>
      <c r="C827" s="1186" t="s">
        <v>44</v>
      </c>
      <c r="D827" s="1186">
        <v>28</v>
      </c>
      <c r="E827" s="1186">
        <v>23</v>
      </c>
      <c r="F827" s="1186">
        <v>4</v>
      </c>
      <c r="G827" s="1186">
        <v>1</v>
      </c>
      <c r="H827" s="1186"/>
    </row>
    <row r="828" spans="1:8" x14ac:dyDescent="0.2">
      <c r="A828" s="1186" t="s">
        <v>343</v>
      </c>
      <c r="B828" s="1186" t="s">
        <v>133</v>
      </c>
      <c r="C828" s="1186" t="s">
        <v>45</v>
      </c>
      <c r="D828" s="1186">
        <v>30</v>
      </c>
      <c r="E828" s="1186">
        <v>28</v>
      </c>
      <c r="F828" s="1186"/>
      <c r="G828" s="1186"/>
      <c r="H828" s="1186">
        <v>2</v>
      </c>
    </row>
    <row r="829" spans="1:8" x14ac:dyDescent="0.2">
      <c r="A829" s="1186" t="s">
        <v>343</v>
      </c>
      <c r="B829" s="1186" t="s">
        <v>133</v>
      </c>
      <c r="C829" s="1186" t="s">
        <v>46</v>
      </c>
      <c r="D829" s="1186">
        <v>14</v>
      </c>
      <c r="E829" s="1186">
        <v>13</v>
      </c>
      <c r="F829" s="1186">
        <v>1</v>
      </c>
      <c r="G829" s="1186"/>
      <c r="H829" s="1186"/>
    </row>
    <row r="830" spans="1:8" x14ac:dyDescent="0.2">
      <c r="A830" s="1186" t="s">
        <v>343</v>
      </c>
      <c r="B830" s="1186" t="s">
        <v>133</v>
      </c>
      <c r="C830" s="1186" t="s">
        <v>47</v>
      </c>
      <c r="D830" s="1186">
        <v>2</v>
      </c>
      <c r="E830" s="1186">
        <v>1</v>
      </c>
      <c r="F830" s="1186">
        <v>1</v>
      </c>
      <c r="G830" s="1186"/>
      <c r="H830" s="1186"/>
    </row>
    <row r="831" spans="1:8" x14ac:dyDescent="0.2">
      <c r="A831" s="1186" t="s">
        <v>343</v>
      </c>
      <c r="B831" s="1186" t="s">
        <v>133</v>
      </c>
      <c r="C831" s="1186" t="s">
        <v>48</v>
      </c>
      <c r="D831" s="1186">
        <v>24</v>
      </c>
      <c r="E831" s="1186">
        <v>18</v>
      </c>
      <c r="F831" s="1186">
        <v>5</v>
      </c>
      <c r="G831" s="1186"/>
      <c r="H831" s="1186">
        <v>1</v>
      </c>
    </row>
    <row r="832" spans="1:8" x14ac:dyDescent="0.2">
      <c r="A832" s="1186" t="s">
        <v>343</v>
      </c>
      <c r="B832" s="1186" t="s">
        <v>133</v>
      </c>
      <c r="C832" s="1186" t="s">
        <v>49</v>
      </c>
      <c r="D832" s="1186">
        <v>57</v>
      </c>
      <c r="E832" s="1186">
        <v>53</v>
      </c>
      <c r="F832" s="1186">
        <v>2</v>
      </c>
      <c r="G832" s="1186">
        <v>1</v>
      </c>
      <c r="H832" s="1186">
        <v>1</v>
      </c>
    </row>
    <row r="833" spans="1:8" x14ac:dyDescent="0.2">
      <c r="A833" s="1186" t="s">
        <v>343</v>
      </c>
      <c r="B833" s="1186" t="s">
        <v>133</v>
      </c>
      <c r="C833" s="1186" t="s">
        <v>50</v>
      </c>
      <c r="D833" s="1186">
        <v>15</v>
      </c>
      <c r="E833" s="1186">
        <v>10</v>
      </c>
      <c r="F833" s="1186">
        <v>2</v>
      </c>
      <c r="G833" s="1186">
        <v>3</v>
      </c>
      <c r="H833" s="1186"/>
    </row>
    <row r="834" spans="1:8" x14ac:dyDescent="0.2">
      <c r="A834" s="1186" t="s">
        <v>343</v>
      </c>
      <c r="B834" s="1186" t="s">
        <v>133</v>
      </c>
      <c r="C834" s="1186" t="s">
        <v>51</v>
      </c>
      <c r="D834" s="1186">
        <v>7</v>
      </c>
      <c r="E834" s="1186">
        <v>7</v>
      </c>
      <c r="F834" s="1186"/>
      <c r="G834" s="1186"/>
      <c r="H834" s="1186"/>
    </row>
    <row r="835" spans="1:8" x14ac:dyDescent="0.2">
      <c r="A835" s="1186" t="s">
        <v>343</v>
      </c>
      <c r="B835" s="1186" t="s">
        <v>133</v>
      </c>
      <c r="C835" s="1186" t="s">
        <v>52</v>
      </c>
      <c r="D835" s="1186">
        <v>33</v>
      </c>
      <c r="E835" s="1186">
        <v>25</v>
      </c>
      <c r="F835" s="1186">
        <v>7</v>
      </c>
      <c r="G835" s="1186"/>
      <c r="H835" s="1186">
        <v>1</v>
      </c>
    </row>
    <row r="836" spans="1:8" x14ac:dyDescent="0.2">
      <c r="A836" s="1186" t="s">
        <v>343</v>
      </c>
      <c r="B836" s="1186" t="s">
        <v>144</v>
      </c>
      <c r="C836" s="1186" t="s">
        <v>23</v>
      </c>
      <c r="D836" s="1186">
        <v>71</v>
      </c>
      <c r="E836" s="1186">
        <v>60</v>
      </c>
      <c r="F836" s="1186">
        <v>9</v>
      </c>
      <c r="G836" s="1186"/>
      <c r="H836" s="1186">
        <v>2</v>
      </c>
    </row>
    <row r="837" spans="1:8" x14ac:dyDescent="0.2">
      <c r="A837" s="1186" t="s">
        <v>343</v>
      </c>
      <c r="B837" s="1186" t="s">
        <v>144</v>
      </c>
      <c r="C837" s="1186" t="s">
        <v>24</v>
      </c>
      <c r="D837" s="1186">
        <v>40</v>
      </c>
      <c r="E837" s="1186">
        <v>20</v>
      </c>
      <c r="F837" s="1186">
        <v>7</v>
      </c>
      <c r="G837" s="1186">
        <v>10</v>
      </c>
      <c r="H837" s="1186">
        <v>3</v>
      </c>
    </row>
    <row r="838" spans="1:8" x14ac:dyDescent="0.2">
      <c r="A838" s="1186" t="s">
        <v>343</v>
      </c>
      <c r="B838" s="1186" t="s">
        <v>144</v>
      </c>
      <c r="C838" s="1186" t="s">
        <v>25</v>
      </c>
      <c r="D838" s="1186">
        <v>38</v>
      </c>
      <c r="E838" s="1186">
        <v>35</v>
      </c>
      <c r="F838" s="1186"/>
      <c r="G838" s="1186">
        <v>1</v>
      </c>
      <c r="H838" s="1186">
        <v>2</v>
      </c>
    </row>
    <row r="839" spans="1:8" x14ac:dyDescent="0.2">
      <c r="A839" s="1186" t="s">
        <v>343</v>
      </c>
      <c r="B839" s="1186" t="s">
        <v>144</v>
      </c>
      <c r="C839" s="1186" t="s">
        <v>26</v>
      </c>
      <c r="D839" s="1186">
        <v>16</v>
      </c>
      <c r="E839" s="1186">
        <v>7</v>
      </c>
      <c r="F839" s="1186">
        <v>5</v>
      </c>
      <c r="G839" s="1186">
        <v>1</v>
      </c>
      <c r="H839" s="1186">
        <v>3</v>
      </c>
    </row>
    <row r="840" spans="1:8" x14ac:dyDescent="0.2">
      <c r="A840" s="1186" t="s">
        <v>343</v>
      </c>
      <c r="B840" s="1186" t="s">
        <v>144</v>
      </c>
      <c r="C840" s="1186" t="s">
        <v>619</v>
      </c>
      <c r="D840" s="1186">
        <v>116</v>
      </c>
      <c r="E840" s="1186">
        <v>106</v>
      </c>
      <c r="F840" s="1186">
        <v>9</v>
      </c>
      <c r="G840" s="1186"/>
      <c r="H840" s="1186">
        <v>1</v>
      </c>
    </row>
    <row r="841" spans="1:8" x14ac:dyDescent="0.2">
      <c r="A841" s="1186" t="s">
        <v>343</v>
      </c>
      <c r="B841" s="1186" t="s">
        <v>144</v>
      </c>
      <c r="C841" s="1186" t="s">
        <v>27</v>
      </c>
      <c r="D841" s="1186">
        <v>13</v>
      </c>
      <c r="E841" s="1186">
        <v>11</v>
      </c>
      <c r="F841" s="1186"/>
      <c r="G841" s="1186"/>
      <c r="H841" s="1186">
        <v>2</v>
      </c>
    </row>
    <row r="842" spans="1:8" x14ac:dyDescent="0.2">
      <c r="A842" s="1186" t="s">
        <v>343</v>
      </c>
      <c r="B842" s="1186" t="s">
        <v>144</v>
      </c>
      <c r="C842" s="1186" t="s">
        <v>28</v>
      </c>
      <c r="D842" s="1186">
        <v>13</v>
      </c>
      <c r="E842" s="1186">
        <v>6</v>
      </c>
      <c r="F842" s="1186">
        <v>2</v>
      </c>
      <c r="G842" s="1186">
        <v>4</v>
      </c>
      <c r="H842" s="1186">
        <v>1</v>
      </c>
    </row>
    <row r="843" spans="1:8" x14ac:dyDescent="0.2">
      <c r="A843" s="1186" t="s">
        <v>343</v>
      </c>
      <c r="B843" s="1186" t="s">
        <v>144</v>
      </c>
      <c r="C843" s="1186" t="s">
        <v>29</v>
      </c>
      <c r="D843" s="1186">
        <v>77</v>
      </c>
      <c r="E843" s="1186">
        <v>71</v>
      </c>
      <c r="F843" s="1186">
        <v>4</v>
      </c>
      <c r="G843" s="1186"/>
      <c r="H843" s="1186">
        <v>2</v>
      </c>
    </row>
    <row r="844" spans="1:8" x14ac:dyDescent="0.2">
      <c r="A844" s="1186" t="s">
        <v>343</v>
      </c>
      <c r="B844" s="1186" t="s">
        <v>144</v>
      </c>
      <c r="C844" s="1186" t="s">
        <v>30</v>
      </c>
      <c r="D844" s="1186">
        <v>41</v>
      </c>
      <c r="E844" s="1186">
        <v>30</v>
      </c>
      <c r="F844" s="1186">
        <v>4</v>
      </c>
      <c r="G844" s="1186">
        <v>6</v>
      </c>
      <c r="H844" s="1186">
        <v>1</v>
      </c>
    </row>
    <row r="845" spans="1:8" x14ac:dyDescent="0.2">
      <c r="A845" s="1186" t="s">
        <v>343</v>
      </c>
      <c r="B845" s="1186" t="s">
        <v>144</v>
      </c>
      <c r="C845" s="1186" t="s">
        <v>31</v>
      </c>
      <c r="D845" s="1186">
        <v>14</v>
      </c>
      <c r="E845" s="1186">
        <v>12</v>
      </c>
      <c r="F845" s="1186">
        <v>2</v>
      </c>
      <c r="G845" s="1186"/>
      <c r="H845" s="1186"/>
    </row>
    <row r="846" spans="1:8" x14ac:dyDescent="0.2">
      <c r="A846" s="1186" t="s">
        <v>343</v>
      </c>
      <c r="B846" s="1186" t="s">
        <v>144</v>
      </c>
      <c r="C846" s="1186" t="s">
        <v>32</v>
      </c>
      <c r="D846" s="1186">
        <v>9</v>
      </c>
      <c r="E846" s="1186">
        <v>7</v>
      </c>
      <c r="F846" s="1186">
        <v>1</v>
      </c>
      <c r="G846" s="1186">
        <v>1</v>
      </c>
      <c r="H846" s="1186"/>
    </row>
    <row r="847" spans="1:8" x14ac:dyDescent="0.2">
      <c r="A847" s="1186" t="s">
        <v>343</v>
      </c>
      <c r="B847" s="1186" t="s">
        <v>144</v>
      </c>
      <c r="C847" s="1186" t="s">
        <v>33</v>
      </c>
      <c r="D847" s="1186">
        <v>13</v>
      </c>
      <c r="E847" s="1186">
        <v>12</v>
      </c>
      <c r="F847" s="1186">
        <v>1</v>
      </c>
      <c r="G847" s="1186"/>
      <c r="H847" s="1186"/>
    </row>
    <row r="848" spans="1:8" x14ac:dyDescent="0.2">
      <c r="A848" s="1186" t="s">
        <v>343</v>
      </c>
      <c r="B848" s="1186" t="s">
        <v>144</v>
      </c>
      <c r="C848" s="1186" t="s">
        <v>34</v>
      </c>
      <c r="D848" s="1186">
        <v>34</v>
      </c>
      <c r="E848" s="1186">
        <v>25</v>
      </c>
      <c r="F848" s="1186">
        <v>2</v>
      </c>
      <c r="G848" s="1186">
        <v>4</v>
      </c>
      <c r="H848" s="1186">
        <v>3</v>
      </c>
    </row>
    <row r="849" spans="1:8" x14ac:dyDescent="0.2">
      <c r="A849" s="1186" t="s">
        <v>343</v>
      </c>
      <c r="B849" s="1186" t="s">
        <v>144</v>
      </c>
      <c r="C849" s="1186" t="s">
        <v>35</v>
      </c>
      <c r="D849" s="1186">
        <v>34</v>
      </c>
      <c r="E849" s="1186">
        <v>28</v>
      </c>
      <c r="F849" s="1186">
        <v>3</v>
      </c>
      <c r="G849" s="1186">
        <v>1</v>
      </c>
      <c r="H849" s="1186">
        <v>2</v>
      </c>
    </row>
    <row r="850" spans="1:8" x14ac:dyDescent="0.2">
      <c r="A850" s="1186" t="s">
        <v>343</v>
      </c>
      <c r="B850" s="1186" t="s">
        <v>144</v>
      </c>
      <c r="C850" s="1186" t="s">
        <v>36</v>
      </c>
      <c r="D850" s="1186">
        <v>201</v>
      </c>
      <c r="E850" s="1186">
        <v>182</v>
      </c>
      <c r="F850" s="1186">
        <v>12</v>
      </c>
      <c r="G850" s="1186">
        <v>4</v>
      </c>
      <c r="H850" s="1186">
        <v>3</v>
      </c>
    </row>
    <row r="851" spans="1:8" x14ac:dyDescent="0.2">
      <c r="A851" s="1186" t="s">
        <v>343</v>
      </c>
      <c r="B851" s="1186" t="s">
        <v>144</v>
      </c>
      <c r="C851" s="1186" t="s">
        <v>37</v>
      </c>
      <c r="D851" s="1186">
        <v>55</v>
      </c>
      <c r="E851" s="1186">
        <v>35</v>
      </c>
      <c r="F851" s="1186">
        <v>6</v>
      </c>
      <c r="G851" s="1186">
        <v>12</v>
      </c>
      <c r="H851" s="1186">
        <v>2</v>
      </c>
    </row>
    <row r="852" spans="1:8" x14ac:dyDescent="0.2">
      <c r="A852" s="1186" t="s">
        <v>343</v>
      </c>
      <c r="B852" s="1186" t="s">
        <v>144</v>
      </c>
      <c r="C852" s="1186" t="s">
        <v>38</v>
      </c>
      <c r="D852" s="1186">
        <v>45</v>
      </c>
      <c r="E852" s="1186">
        <v>41</v>
      </c>
      <c r="F852" s="1186">
        <v>3</v>
      </c>
      <c r="G852" s="1186"/>
      <c r="H852" s="1186">
        <v>1</v>
      </c>
    </row>
    <row r="853" spans="1:8" x14ac:dyDescent="0.2">
      <c r="A853" s="1186" t="s">
        <v>343</v>
      </c>
      <c r="B853" s="1186" t="s">
        <v>144</v>
      </c>
      <c r="C853" s="1186" t="s">
        <v>39</v>
      </c>
      <c r="D853" s="1186">
        <v>10</v>
      </c>
      <c r="E853" s="1186">
        <v>9</v>
      </c>
      <c r="F853" s="1186"/>
      <c r="G853" s="1186">
        <v>1</v>
      </c>
      <c r="H853" s="1186"/>
    </row>
    <row r="854" spans="1:8" x14ac:dyDescent="0.2">
      <c r="A854" s="1186" t="s">
        <v>343</v>
      </c>
      <c r="B854" s="1186" t="s">
        <v>144</v>
      </c>
      <c r="C854" s="1186" t="s">
        <v>40</v>
      </c>
      <c r="D854" s="1186">
        <v>16</v>
      </c>
      <c r="E854" s="1186">
        <v>11</v>
      </c>
      <c r="F854" s="1186">
        <v>2</v>
      </c>
      <c r="G854" s="1186">
        <v>2</v>
      </c>
      <c r="H854" s="1186">
        <v>1</v>
      </c>
    </row>
    <row r="855" spans="1:8" x14ac:dyDescent="0.2">
      <c r="A855" s="1186" t="s">
        <v>343</v>
      </c>
      <c r="B855" s="1186" t="s">
        <v>144</v>
      </c>
      <c r="C855" s="1186" t="s">
        <v>295</v>
      </c>
      <c r="D855" s="1186">
        <v>8</v>
      </c>
      <c r="E855" s="1186">
        <v>7</v>
      </c>
      <c r="F855" s="1186"/>
      <c r="G855" s="1186"/>
      <c r="H855" s="1186">
        <v>1</v>
      </c>
    </row>
    <row r="856" spans="1:8" x14ac:dyDescent="0.2">
      <c r="A856" s="1186" t="s">
        <v>343</v>
      </c>
      <c r="B856" s="1186" t="s">
        <v>144</v>
      </c>
      <c r="C856" s="1186" t="s">
        <v>41</v>
      </c>
      <c r="D856" s="1186">
        <v>48</v>
      </c>
      <c r="E856" s="1186">
        <v>43</v>
      </c>
      <c r="F856" s="1186">
        <v>5</v>
      </c>
      <c r="G856" s="1186"/>
      <c r="H856" s="1186"/>
    </row>
    <row r="857" spans="1:8" x14ac:dyDescent="0.2">
      <c r="A857" s="1186" t="s">
        <v>343</v>
      </c>
      <c r="B857" s="1186" t="s">
        <v>144</v>
      </c>
      <c r="C857" s="1186" t="s">
        <v>42</v>
      </c>
      <c r="D857" s="1186">
        <v>85</v>
      </c>
      <c r="E857" s="1186">
        <v>75</v>
      </c>
      <c r="F857" s="1186">
        <v>8</v>
      </c>
      <c r="G857" s="1186">
        <v>2</v>
      </c>
      <c r="H857" s="1186"/>
    </row>
    <row r="858" spans="1:8" x14ac:dyDescent="0.2">
      <c r="A858" s="1186" t="s">
        <v>343</v>
      </c>
      <c r="B858" s="1186" t="s">
        <v>144</v>
      </c>
      <c r="C858" s="1186" t="s">
        <v>43</v>
      </c>
      <c r="D858" s="1186">
        <v>2</v>
      </c>
      <c r="E858" s="1186">
        <v>2</v>
      </c>
      <c r="F858" s="1186"/>
      <c r="G858" s="1186"/>
      <c r="H858" s="1186"/>
    </row>
    <row r="859" spans="1:8" x14ac:dyDescent="0.2">
      <c r="A859" s="1186" t="s">
        <v>343</v>
      </c>
      <c r="B859" s="1186" t="s">
        <v>144</v>
      </c>
      <c r="C859" s="1186" t="s">
        <v>44</v>
      </c>
      <c r="D859" s="1186">
        <v>33</v>
      </c>
      <c r="E859" s="1186">
        <v>23</v>
      </c>
      <c r="F859" s="1186">
        <v>2</v>
      </c>
      <c r="G859" s="1186">
        <v>6</v>
      </c>
      <c r="H859" s="1186">
        <v>2</v>
      </c>
    </row>
    <row r="860" spans="1:8" x14ac:dyDescent="0.2">
      <c r="A860" s="1186" t="s">
        <v>343</v>
      </c>
      <c r="B860" s="1186" t="s">
        <v>144</v>
      </c>
      <c r="C860" s="1186" t="s">
        <v>45</v>
      </c>
      <c r="D860" s="1186">
        <v>39</v>
      </c>
      <c r="E860" s="1186">
        <v>38</v>
      </c>
      <c r="F860" s="1186">
        <v>1</v>
      </c>
      <c r="G860" s="1186"/>
      <c r="H860" s="1186"/>
    </row>
    <row r="861" spans="1:8" x14ac:dyDescent="0.2">
      <c r="A861" s="1186" t="s">
        <v>343</v>
      </c>
      <c r="B861" s="1186" t="s">
        <v>144</v>
      </c>
      <c r="C861" s="1186" t="s">
        <v>46</v>
      </c>
      <c r="D861" s="1186">
        <v>17</v>
      </c>
      <c r="E861" s="1186">
        <v>14</v>
      </c>
      <c r="F861" s="1186">
        <v>3</v>
      </c>
      <c r="G861" s="1186"/>
      <c r="H861" s="1186"/>
    </row>
    <row r="862" spans="1:8" x14ac:dyDescent="0.2">
      <c r="A862" s="1186" t="s">
        <v>343</v>
      </c>
      <c r="B862" s="1186" t="s">
        <v>144</v>
      </c>
      <c r="C862" s="1186" t="s">
        <v>47</v>
      </c>
      <c r="D862" s="1186">
        <v>2</v>
      </c>
      <c r="E862" s="1186">
        <v>2</v>
      </c>
      <c r="F862" s="1186"/>
      <c r="G862" s="1186"/>
      <c r="H862" s="1186"/>
    </row>
    <row r="863" spans="1:8" x14ac:dyDescent="0.2">
      <c r="A863" s="1186" t="s">
        <v>343</v>
      </c>
      <c r="B863" s="1186" t="s">
        <v>144</v>
      </c>
      <c r="C863" s="1186" t="s">
        <v>48</v>
      </c>
      <c r="D863" s="1186">
        <v>24</v>
      </c>
      <c r="E863" s="1186">
        <v>20</v>
      </c>
      <c r="F863" s="1186">
        <v>3</v>
      </c>
      <c r="G863" s="1186">
        <v>1</v>
      </c>
      <c r="H863" s="1186"/>
    </row>
    <row r="864" spans="1:8" x14ac:dyDescent="0.2">
      <c r="A864" s="1186" t="s">
        <v>343</v>
      </c>
      <c r="B864" s="1186" t="s">
        <v>144</v>
      </c>
      <c r="C864" s="1186" t="s">
        <v>49</v>
      </c>
      <c r="D864" s="1186">
        <v>73</v>
      </c>
      <c r="E864" s="1186">
        <v>62</v>
      </c>
      <c r="F864" s="1186">
        <v>7</v>
      </c>
      <c r="G864" s="1186">
        <v>3</v>
      </c>
      <c r="H864" s="1186">
        <v>1</v>
      </c>
    </row>
    <row r="865" spans="1:8" x14ac:dyDescent="0.2">
      <c r="A865" s="1186" t="s">
        <v>343</v>
      </c>
      <c r="B865" s="1186" t="s">
        <v>144</v>
      </c>
      <c r="C865" s="1186" t="s">
        <v>50</v>
      </c>
      <c r="D865" s="1186">
        <v>17</v>
      </c>
      <c r="E865" s="1186">
        <v>8</v>
      </c>
      <c r="F865" s="1186">
        <v>7</v>
      </c>
      <c r="G865" s="1186">
        <v>1</v>
      </c>
      <c r="H865" s="1186">
        <v>1</v>
      </c>
    </row>
    <row r="866" spans="1:8" x14ac:dyDescent="0.2">
      <c r="A866" s="1186" t="s">
        <v>343</v>
      </c>
      <c r="B866" s="1186" t="s">
        <v>144</v>
      </c>
      <c r="C866" s="1186" t="s">
        <v>51</v>
      </c>
      <c r="D866" s="1186">
        <v>35</v>
      </c>
      <c r="E866" s="1186">
        <v>35</v>
      </c>
      <c r="F866" s="1186"/>
      <c r="G866" s="1186"/>
      <c r="H866" s="1186"/>
    </row>
    <row r="867" spans="1:8" x14ac:dyDescent="0.2">
      <c r="A867" s="1186" t="s">
        <v>343</v>
      </c>
      <c r="B867" s="1186" t="s">
        <v>144</v>
      </c>
      <c r="C867" s="1186" t="s">
        <v>52</v>
      </c>
      <c r="D867" s="1186">
        <v>37</v>
      </c>
      <c r="E867" s="1186">
        <v>26</v>
      </c>
      <c r="F867" s="1186">
        <v>9</v>
      </c>
      <c r="G867" s="1186">
        <v>1</v>
      </c>
      <c r="H867" s="1186">
        <v>1</v>
      </c>
    </row>
    <row r="868" spans="1:8" x14ac:dyDescent="0.2">
      <c r="A868" s="1186" t="s">
        <v>343</v>
      </c>
      <c r="B868" s="1186" t="s">
        <v>282</v>
      </c>
      <c r="C868" s="1186" t="s">
        <v>23</v>
      </c>
      <c r="D868" s="1186">
        <v>38</v>
      </c>
      <c r="E868" s="1186">
        <v>33</v>
      </c>
      <c r="F868" s="1186">
        <v>2</v>
      </c>
      <c r="G868" s="1186">
        <v>3</v>
      </c>
      <c r="H868" s="1186"/>
    </row>
    <row r="869" spans="1:8" x14ac:dyDescent="0.2">
      <c r="A869" s="1186" t="s">
        <v>343</v>
      </c>
      <c r="B869" s="1186" t="s">
        <v>282</v>
      </c>
      <c r="C869" s="1186" t="s">
        <v>24</v>
      </c>
      <c r="D869" s="1186">
        <v>27</v>
      </c>
      <c r="E869" s="1186">
        <v>20</v>
      </c>
      <c r="F869" s="1186">
        <v>3</v>
      </c>
      <c r="G869" s="1186">
        <v>3</v>
      </c>
      <c r="H869" s="1186">
        <v>1</v>
      </c>
    </row>
    <row r="870" spans="1:8" x14ac:dyDescent="0.2">
      <c r="A870" s="1186" t="s">
        <v>343</v>
      </c>
      <c r="B870" s="1186" t="s">
        <v>282</v>
      </c>
      <c r="C870" s="1186" t="s">
        <v>25</v>
      </c>
      <c r="D870" s="1186">
        <v>21</v>
      </c>
      <c r="E870" s="1186">
        <v>18</v>
      </c>
      <c r="F870" s="1186">
        <v>1</v>
      </c>
      <c r="G870" s="1186"/>
      <c r="H870" s="1186">
        <v>2</v>
      </c>
    </row>
    <row r="871" spans="1:8" x14ac:dyDescent="0.2">
      <c r="A871" s="1186" t="s">
        <v>343</v>
      </c>
      <c r="B871" s="1186" t="s">
        <v>282</v>
      </c>
      <c r="C871" s="1186" t="s">
        <v>26</v>
      </c>
      <c r="D871" s="1186">
        <v>14</v>
      </c>
      <c r="E871" s="1186">
        <v>13</v>
      </c>
      <c r="F871" s="1186">
        <v>1</v>
      </c>
      <c r="G871" s="1186"/>
      <c r="H871" s="1186"/>
    </row>
    <row r="872" spans="1:8" x14ac:dyDescent="0.2">
      <c r="A872" s="1186" t="s">
        <v>343</v>
      </c>
      <c r="B872" s="1186" t="s">
        <v>282</v>
      </c>
      <c r="C872" s="1186" t="s">
        <v>619</v>
      </c>
      <c r="D872" s="1186">
        <v>143</v>
      </c>
      <c r="E872" s="1186">
        <v>130</v>
      </c>
      <c r="F872" s="1186">
        <v>9</v>
      </c>
      <c r="G872" s="1186"/>
      <c r="H872" s="1186">
        <v>4</v>
      </c>
    </row>
    <row r="873" spans="1:8" x14ac:dyDescent="0.2">
      <c r="A873" s="1186" t="s">
        <v>343</v>
      </c>
      <c r="B873" s="1186" t="s">
        <v>282</v>
      </c>
      <c r="C873" s="1186" t="s">
        <v>27</v>
      </c>
      <c r="D873" s="1186">
        <v>22</v>
      </c>
      <c r="E873" s="1186">
        <v>20</v>
      </c>
      <c r="F873" s="1186">
        <v>1</v>
      </c>
      <c r="G873" s="1186">
        <v>1</v>
      </c>
      <c r="H873" s="1186"/>
    </row>
    <row r="874" spans="1:8" x14ac:dyDescent="0.2">
      <c r="A874" s="1186" t="s">
        <v>343</v>
      </c>
      <c r="B874" s="1186" t="s">
        <v>282</v>
      </c>
      <c r="C874" s="1186" t="s">
        <v>28</v>
      </c>
      <c r="D874" s="1186">
        <v>8</v>
      </c>
      <c r="E874" s="1186">
        <v>7</v>
      </c>
      <c r="F874" s="1186"/>
      <c r="G874" s="1186">
        <v>1</v>
      </c>
      <c r="H874" s="1186"/>
    </row>
    <row r="875" spans="1:8" x14ac:dyDescent="0.2">
      <c r="A875" s="1186" t="s">
        <v>343</v>
      </c>
      <c r="B875" s="1186" t="s">
        <v>282</v>
      </c>
      <c r="C875" s="1186" t="s">
        <v>29</v>
      </c>
      <c r="D875" s="1186">
        <v>59</v>
      </c>
      <c r="E875" s="1186">
        <v>53</v>
      </c>
      <c r="F875" s="1186">
        <v>3</v>
      </c>
      <c r="G875" s="1186">
        <v>2</v>
      </c>
      <c r="H875" s="1186">
        <v>1</v>
      </c>
    </row>
    <row r="876" spans="1:8" x14ac:dyDescent="0.2">
      <c r="A876" s="1186" t="s">
        <v>343</v>
      </c>
      <c r="B876" s="1186" t="s">
        <v>282</v>
      </c>
      <c r="C876" s="1186" t="s">
        <v>30</v>
      </c>
      <c r="D876" s="1186">
        <v>33</v>
      </c>
      <c r="E876" s="1186">
        <v>29</v>
      </c>
      <c r="F876" s="1186">
        <v>3</v>
      </c>
      <c r="G876" s="1186">
        <v>1</v>
      </c>
      <c r="H876" s="1186"/>
    </row>
    <row r="877" spans="1:8" x14ac:dyDescent="0.2">
      <c r="A877" s="1186" t="s">
        <v>343</v>
      </c>
      <c r="B877" s="1186" t="s">
        <v>282</v>
      </c>
      <c r="C877" s="1186" t="s">
        <v>31</v>
      </c>
      <c r="D877" s="1186">
        <v>25</v>
      </c>
      <c r="E877" s="1186">
        <v>23</v>
      </c>
      <c r="F877" s="1186">
        <v>1</v>
      </c>
      <c r="G877" s="1186">
        <v>1</v>
      </c>
      <c r="H877" s="1186"/>
    </row>
    <row r="878" spans="1:8" x14ac:dyDescent="0.2">
      <c r="A878" s="1186" t="s">
        <v>343</v>
      </c>
      <c r="B878" s="1186" t="s">
        <v>282</v>
      </c>
      <c r="C878" s="1186" t="s">
        <v>32</v>
      </c>
      <c r="D878" s="1186">
        <v>8</v>
      </c>
      <c r="E878" s="1186">
        <v>8</v>
      </c>
      <c r="F878" s="1186"/>
      <c r="G878" s="1186"/>
      <c r="H878" s="1186"/>
    </row>
    <row r="879" spans="1:8" x14ac:dyDescent="0.2">
      <c r="A879" s="1186" t="s">
        <v>343</v>
      </c>
      <c r="B879" s="1186" t="s">
        <v>282</v>
      </c>
      <c r="C879" s="1186" t="s">
        <v>33</v>
      </c>
      <c r="D879" s="1186">
        <v>7</v>
      </c>
      <c r="E879" s="1186">
        <v>7</v>
      </c>
      <c r="F879" s="1186"/>
      <c r="G879" s="1186"/>
      <c r="H879" s="1186"/>
    </row>
    <row r="880" spans="1:8" x14ac:dyDescent="0.2">
      <c r="A880" s="1186" t="s">
        <v>343</v>
      </c>
      <c r="B880" s="1186" t="s">
        <v>282</v>
      </c>
      <c r="C880" s="1186" t="s">
        <v>34</v>
      </c>
      <c r="D880" s="1186">
        <v>32</v>
      </c>
      <c r="E880" s="1186">
        <v>30</v>
      </c>
      <c r="F880" s="1186"/>
      <c r="G880" s="1186"/>
      <c r="H880" s="1186">
        <v>2</v>
      </c>
    </row>
    <row r="881" spans="1:8" x14ac:dyDescent="0.2">
      <c r="A881" s="1186" t="s">
        <v>343</v>
      </c>
      <c r="B881" s="1186" t="s">
        <v>282</v>
      </c>
      <c r="C881" s="1186" t="s">
        <v>35</v>
      </c>
      <c r="D881" s="1186">
        <v>73</v>
      </c>
      <c r="E881" s="1186">
        <v>65</v>
      </c>
      <c r="F881" s="1186">
        <v>2</v>
      </c>
      <c r="G881" s="1186">
        <v>3</v>
      </c>
      <c r="H881" s="1186">
        <v>3</v>
      </c>
    </row>
    <row r="882" spans="1:8" x14ac:dyDescent="0.2">
      <c r="A882" s="1186" t="s">
        <v>343</v>
      </c>
      <c r="B882" s="1186" t="s">
        <v>282</v>
      </c>
      <c r="C882" s="1186" t="s">
        <v>36</v>
      </c>
      <c r="D882" s="1186">
        <v>219</v>
      </c>
      <c r="E882" s="1186">
        <v>209</v>
      </c>
      <c r="F882" s="1186">
        <v>7</v>
      </c>
      <c r="G882" s="1186">
        <v>1</v>
      </c>
      <c r="H882" s="1186">
        <v>2</v>
      </c>
    </row>
    <row r="883" spans="1:8" x14ac:dyDescent="0.2">
      <c r="A883" s="1186" t="s">
        <v>343</v>
      </c>
      <c r="B883" s="1186" t="s">
        <v>282</v>
      </c>
      <c r="C883" s="1186" t="s">
        <v>37</v>
      </c>
      <c r="D883" s="1186">
        <v>64</v>
      </c>
      <c r="E883" s="1186">
        <v>43</v>
      </c>
      <c r="F883" s="1186">
        <v>5</v>
      </c>
      <c r="G883" s="1186">
        <v>10</v>
      </c>
      <c r="H883" s="1186">
        <v>6</v>
      </c>
    </row>
    <row r="884" spans="1:8" x14ac:dyDescent="0.2">
      <c r="A884" s="1186" t="s">
        <v>343</v>
      </c>
      <c r="B884" s="1186" t="s">
        <v>282</v>
      </c>
      <c r="C884" s="1186" t="s">
        <v>38</v>
      </c>
      <c r="D884" s="1186">
        <v>42</v>
      </c>
      <c r="E884" s="1186">
        <v>40</v>
      </c>
      <c r="F884" s="1186">
        <v>1</v>
      </c>
      <c r="G884" s="1186">
        <v>1</v>
      </c>
      <c r="H884" s="1186"/>
    </row>
    <row r="885" spans="1:8" x14ac:dyDescent="0.2">
      <c r="A885" s="1186" t="s">
        <v>343</v>
      </c>
      <c r="B885" s="1186" t="s">
        <v>282</v>
      </c>
      <c r="C885" s="1186" t="s">
        <v>39</v>
      </c>
      <c r="D885" s="1186">
        <v>16</v>
      </c>
      <c r="E885" s="1186">
        <v>12</v>
      </c>
      <c r="F885" s="1186">
        <v>2</v>
      </c>
      <c r="G885" s="1186"/>
      <c r="H885" s="1186">
        <v>2</v>
      </c>
    </row>
    <row r="886" spans="1:8" x14ac:dyDescent="0.2">
      <c r="A886" s="1186" t="s">
        <v>343</v>
      </c>
      <c r="B886" s="1186" t="s">
        <v>282</v>
      </c>
      <c r="C886" s="1186" t="s">
        <v>40</v>
      </c>
      <c r="D886" s="1186">
        <v>18</v>
      </c>
      <c r="E886" s="1186">
        <v>16</v>
      </c>
      <c r="F886" s="1186">
        <v>1</v>
      </c>
      <c r="G886" s="1186">
        <v>1</v>
      </c>
      <c r="H886" s="1186"/>
    </row>
    <row r="887" spans="1:8" x14ac:dyDescent="0.2">
      <c r="A887" s="1186" t="s">
        <v>343</v>
      </c>
      <c r="B887" s="1186" t="s">
        <v>282</v>
      </c>
      <c r="C887" s="1186" t="s">
        <v>295</v>
      </c>
      <c r="D887" s="1186">
        <v>8</v>
      </c>
      <c r="E887" s="1186">
        <v>8</v>
      </c>
      <c r="F887" s="1186"/>
      <c r="G887" s="1186"/>
      <c r="H887" s="1186"/>
    </row>
    <row r="888" spans="1:8" x14ac:dyDescent="0.2">
      <c r="A888" s="1186" t="s">
        <v>343</v>
      </c>
      <c r="B888" s="1186" t="s">
        <v>282</v>
      </c>
      <c r="C888" s="1186" t="s">
        <v>41</v>
      </c>
      <c r="D888" s="1186">
        <v>26</v>
      </c>
      <c r="E888" s="1186">
        <v>24</v>
      </c>
      <c r="F888" s="1186">
        <v>2</v>
      </c>
      <c r="G888" s="1186"/>
      <c r="H888" s="1186"/>
    </row>
    <row r="889" spans="1:8" x14ac:dyDescent="0.2">
      <c r="A889" s="1186" t="s">
        <v>343</v>
      </c>
      <c r="B889" s="1186" t="s">
        <v>282</v>
      </c>
      <c r="C889" s="1186" t="s">
        <v>42</v>
      </c>
      <c r="D889" s="1186">
        <v>96</v>
      </c>
      <c r="E889" s="1186">
        <v>85</v>
      </c>
      <c r="F889" s="1186">
        <v>3</v>
      </c>
      <c r="G889" s="1186">
        <v>6</v>
      </c>
      <c r="H889" s="1186">
        <v>2</v>
      </c>
    </row>
    <row r="890" spans="1:8" x14ac:dyDescent="0.2">
      <c r="A890" s="1186" t="s">
        <v>343</v>
      </c>
      <c r="B890" s="1186" t="s">
        <v>282</v>
      </c>
      <c r="C890" s="1186" t="s">
        <v>43</v>
      </c>
      <c r="D890" s="1186">
        <v>5</v>
      </c>
      <c r="E890" s="1186">
        <v>3</v>
      </c>
      <c r="F890" s="1186">
        <v>2</v>
      </c>
      <c r="G890" s="1186"/>
      <c r="H890" s="1186"/>
    </row>
    <row r="891" spans="1:8" x14ac:dyDescent="0.2">
      <c r="A891" s="1186" t="s">
        <v>343</v>
      </c>
      <c r="B891" s="1186" t="s">
        <v>282</v>
      </c>
      <c r="C891" s="1186" t="s">
        <v>44</v>
      </c>
      <c r="D891" s="1186">
        <v>32</v>
      </c>
      <c r="E891" s="1186">
        <v>29</v>
      </c>
      <c r="F891" s="1186">
        <v>1</v>
      </c>
      <c r="G891" s="1186">
        <v>1</v>
      </c>
      <c r="H891" s="1186">
        <v>1</v>
      </c>
    </row>
    <row r="892" spans="1:8" x14ac:dyDescent="0.2">
      <c r="A892" s="1186" t="s">
        <v>343</v>
      </c>
      <c r="B892" s="1186" t="s">
        <v>282</v>
      </c>
      <c r="C892" s="1186" t="s">
        <v>45</v>
      </c>
      <c r="D892" s="1186">
        <v>37</v>
      </c>
      <c r="E892" s="1186">
        <v>30</v>
      </c>
      <c r="F892" s="1186">
        <v>3</v>
      </c>
      <c r="G892" s="1186">
        <v>4</v>
      </c>
      <c r="H892" s="1186"/>
    </row>
    <row r="893" spans="1:8" x14ac:dyDescent="0.2">
      <c r="A893" s="1186" t="s">
        <v>343</v>
      </c>
      <c r="B893" s="1186" t="s">
        <v>282</v>
      </c>
      <c r="C893" s="1186" t="s">
        <v>46</v>
      </c>
      <c r="D893" s="1186">
        <v>26</v>
      </c>
      <c r="E893" s="1186">
        <v>25</v>
      </c>
      <c r="F893" s="1186">
        <v>1</v>
      </c>
      <c r="G893" s="1186"/>
      <c r="H893" s="1186"/>
    </row>
    <row r="894" spans="1:8" x14ac:dyDescent="0.2">
      <c r="A894" s="1186" t="s">
        <v>343</v>
      </c>
      <c r="B894" s="1186" t="s">
        <v>282</v>
      </c>
      <c r="C894" s="1186" t="s">
        <v>47</v>
      </c>
      <c r="D894" s="1186">
        <v>4</v>
      </c>
      <c r="E894" s="1186">
        <v>1</v>
      </c>
      <c r="F894" s="1186">
        <v>3</v>
      </c>
      <c r="G894" s="1186"/>
      <c r="H894" s="1186"/>
    </row>
    <row r="895" spans="1:8" x14ac:dyDescent="0.2">
      <c r="A895" s="1186" t="s">
        <v>343</v>
      </c>
      <c r="B895" s="1186" t="s">
        <v>282</v>
      </c>
      <c r="C895" s="1186" t="s">
        <v>48</v>
      </c>
      <c r="D895" s="1186">
        <v>29</v>
      </c>
      <c r="E895" s="1186">
        <v>23</v>
      </c>
      <c r="F895" s="1186">
        <v>3</v>
      </c>
      <c r="G895" s="1186">
        <v>3</v>
      </c>
      <c r="H895" s="1186"/>
    </row>
    <row r="896" spans="1:8" x14ac:dyDescent="0.2">
      <c r="A896" s="1186" t="s">
        <v>343</v>
      </c>
      <c r="B896" s="1186" t="s">
        <v>282</v>
      </c>
      <c r="C896" s="1186" t="s">
        <v>49</v>
      </c>
      <c r="D896" s="1186">
        <v>58</v>
      </c>
      <c r="E896" s="1186">
        <v>46</v>
      </c>
      <c r="F896" s="1186">
        <v>3</v>
      </c>
      <c r="G896" s="1186">
        <v>5</v>
      </c>
      <c r="H896" s="1186">
        <v>4</v>
      </c>
    </row>
    <row r="897" spans="1:8" x14ac:dyDescent="0.2">
      <c r="A897" s="1186" t="s">
        <v>343</v>
      </c>
      <c r="B897" s="1186" t="s">
        <v>282</v>
      </c>
      <c r="C897" s="1186" t="s">
        <v>50</v>
      </c>
      <c r="D897" s="1186">
        <v>18</v>
      </c>
      <c r="E897" s="1186">
        <v>11</v>
      </c>
      <c r="F897" s="1186">
        <v>5</v>
      </c>
      <c r="G897" s="1186">
        <v>1</v>
      </c>
      <c r="H897" s="1186">
        <v>1</v>
      </c>
    </row>
    <row r="898" spans="1:8" x14ac:dyDescent="0.2">
      <c r="A898" s="1186" t="s">
        <v>343</v>
      </c>
      <c r="B898" s="1186" t="s">
        <v>282</v>
      </c>
      <c r="C898" s="1186" t="s">
        <v>51</v>
      </c>
      <c r="D898" s="1186">
        <v>21</v>
      </c>
      <c r="E898" s="1186">
        <v>20</v>
      </c>
      <c r="F898" s="1186">
        <v>1</v>
      </c>
      <c r="G898" s="1186"/>
      <c r="H898" s="1186"/>
    </row>
    <row r="899" spans="1:8" x14ac:dyDescent="0.2">
      <c r="A899" s="1186" t="s">
        <v>343</v>
      </c>
      <c r="B899" s="1186" t="s">
        <v>282</v>
      </c>
      <c r="C899" s="1186" t="s">
        <v>52</v>
      </c>
      <c r="D899" s="1186">
        <v>37</v>
      </c>
      <c r="E899" s="1186">
        <v>34</v>
      </c>
      <c r="F899" s="1186">
        <v>3</v>
      </c>
      <c r="G899" s="1186"/>
      <c r="H899" s="1186"/>
    </row>
    <row r="900" spans="1:8" x14ac:dyDescent="0.2">
      <c r="A900" s="1186" t="s">
        <v>343</v>
      </c>
      <c r="B900" s="1186" t="s">
        <v>311</v>
      </c>
      <c r="C900" s="1186" t="s">
        <v>23</v>
      </c>
      <c r="D900" s="1186">
        <v>32</v>
      </c>
      <c r="E900" s="1186">
        <v>29</v>
      </c>
      <c r="F900" s="1186">
        <v>2</v>
      </c>
      <c r="G900" s="1186"/>
      <c r="H900" s="1186">
        <v>1</v>
      </c>
    </row>
    <row r="901" spans="1:8" x14ac:dyDescent="0.2">
      <c r="A901" s="1186" t="s">
        <v>343</v>
      </c>
      <c r="B901" s="1186" t="s">
        <v>311</v>
      </c>
      <c r="C901" s="1186" t="s">
        <v>24</v>
      </c>
      <c r="D901" s="1186">
        <v>46</v>
      </c>
      <c r="E901" s="1186">
        <v>32</v>
      </c>
      <c r="F901" s="1186">
        <v>4</v>
      </c>
      <c r="G901" s="1186">
        <v>5</v>
      </c>
      <c r="H901" s="1186">
        <v>5</v>
      </c>
    </row>
    <row r="902" spans="1:8" x14ac:dyDescent="0.2">
      <c r="A902" s="1186" t="s">
        <v>343</v>
      </c>
      <c r="B902" s="1186" t="s">
        <v>311</v>
      </c>
      <c r="C902" s="1186" t="s">
        <v>25</v>
      </c>
      <c r="D902" s="1186">
        <v>21</v>
      </c>
      <c r="E902" s="1186">
        <v>18</v>
      </c>
      <c r="F902" s="1186">
        <v>2</v>
      </c>
      <c r="G902" s="1186">
        <v>1</v>
      </c>
      <c r="H902" s="1186"/>
    </row>
    <row r="903" spans="1:8" x14ac:dyDescent="0.2">
      <c r="A903" s="1186" t="s">
        <v>343</v>
      </c>
      <c r="B903" s="1186" t="s">
        <v>311</v>
      </c>
      <c r="C903" s="1186" t="s">
        <v>26</v>
      </c>
      <c r="D903" s="1186">
        <v>21</v>
      </c>
      <c r="E903" s="1186">
        <v>18</v>
      </c>
      <c r="F903" s="1186">
        <v>1</v>
      </c>
      <c r="G903" s="1186"/>
      <c r="H903" s="1186">
        <v>2</v>
      </c>
    </row>
    <row r="904" spans="1:8" x14ac:dyDescent="0.2">
      <c r="A904" s="1186" t="s">
        <v>343</v>
      </c>
      <c r="B904" s="1186" t="s">
        <v>311</v>
      </c>
      <c r="C904" s="1186" t="s">
        <v>619</v>
      </c>
      <c r="D904" s="1186">
        <v>91</v>
      </c>
      <c r="E904" s="1186">
        <v>79</v>
      </c>
      <c r="F904" s="1186">
        <v>11</v>
      </c>
      <c r="G904" s="1186">
        <v>1</v>
      </c>
      <c r="H904" s="1186"/>
    </row>
    <row r="905" spans="1:8" x14ac:dyDescent="0.2">
      <c r="A905" s="1186" t="s">
        <v>343</v>
      </c>
      <c r="B905" s="1186" t="s">
        <v>311</v>
      </c>
      <c r="C905" s="1186" t="s">
        <v>27</v>
      </c>
      <c r="D905" s="1186">
        <v>9</v>
      </c>
      <c r="E905" s="1186">
        <v>8</v>
      </c>
      <c r="F905" s="1186">
        <v>1</v>
      </c>
      <c r="G905" s="1186"/>
      <c r="H905" s="1186"/>
    </row>
    <row r="906" spans="1:8" x14ac:dyDescent="0.2">
      <c r="A906" s="1186" t="s">
        <v>343</v>
      </c>
      <c r="B906" s="1186" t="s">
        <v>311</v>
      </c>
      <c r="C906" s="1186" t="s">
        <v>28</v>
      </c>
      <c r="D906" s="1186">
        <v>6</v>
      </c>
      <c r="E906" s="1186">
        <v>4</v>
      </c>
      <c r="F906" s="1186">
        <v>2</v>
      </c>
      <c r="G906" s="1186"/>
      <c r="H906" s="1186"/>
    </row>
    <row r="907" spans="1:8" x14ac:dyDescent="0.2">
      <c r="A907" s="1186" t="s">
        <v>343</v>
      </c>
      <c r="B907" s="1186" t="s">
        <v>311</v>
      </c>
      <c r="C907" s="1186" t="s">
        <v>29</v>
      </c>
      <c r="D907" s="1186">
        <v>38</v>
      </c>
      <c r="E907" s="1186">
        <v>34</v>
      </c>
      <c r="F907" s="1186">
        <v>2</v>
      </c>
      <c r="G907" s="1186">
        <v>1</v>
      </c>
      <c r="H907" s="1186">
        <v>1</v>
      </c>
    </row>
    <row r="908" spans="1:8" x14ac:dyDescent="0.2">
      <c r="A908" s="1186" t="s">
        <v>343</v>
      </c>
      <c r="B908" s="1186" t="s">
        <v>311</v>
      </c>
      <c r="C908" s="1186" t="s">
        <v>30</v>
      </c>
      <c r="D908" s="1186">
        <v>31</v>
      </c>
      <c r="E908" s="1186">
        <v>26</v>
      </c>
      <c r="F908" s="1186">
        <v>3</v>
      </c>
      <c r="G908" s="1186">
        <v>2</v>
      </c>
      <c r="H908" s="1186"/>
    </row>
    <row r="909" spans="1:8" x14ac:dyDescent="0.2">
      <c r="A909" s="1186" t="s">
        <v>343</v>
      </c>
      <c r="B909" s="1186" t="s">
        <v>311</v>
      </c>
      <c r="C909" s="1186" t="s">
        <v>31</v>
      </c>
      <c r="D909" s="1186">
        <v>17</v>
      </c>
      <c r="E909" s="1186">
        <v>13</v>
      </c>
      <c r="F909" s="1186">
        <v>4</v>
      </c>
      <c r="G909" s="1186"/>
      <c r="H909" s="1186"/>
    </row>
    <row r="910" spans="1:8" x14ac:dyDescent="0.2">
      <c r="A910" s="1186" t="s">
        <v>343</v>
      </c>
      <c r="B910" s="1186" t="s">
        <v>311</v>
      </c>
      <c r="C910" s="1186" t="s">
        <v>32</v>
      </c>
      <c r="D910" s="1186">
        <v>12</v>
      </c>
      <c r="E910" s="1186">
        <v>7</v>
      </c>
      <c r="F910" s="1186">
        <v>1</v>
      </c>
      <c r="G910" s="1186">
        <v>4</v>
      </c>
      <c r="H910" s="1186"/>
    </row>
    <row r="911" spans="1:8" x14ac:dyDescent="0.2">
      <c r="A911" s="1186" t="s">
        <v>343</v>
      </c>
      <c r="B911" s="1186" t="s">
        <v>311</v>
      </c>
      <c r="C911" s="1186" t="s">
        <v>33</v>
      </c>
      <c r="D911" s="1186">
        <v>9</v>
      </c>
      <c r="E911" s="1186">
        <v>9</v>
      </c>
      <c r="F911" s="1186"/>
      <c r="G911" s="1186"/>
      <c r="H911" s="1186"/>
    </row>
    <row r="912" spans="1:8" x14ac:dyDescent="0.2">
      <c r="A912" s="1186" t="s">
        <v>343</v>
      </c>
      <c r="B912" s="1186" t="s">
        <v>311</v>
      </c>
      <c r="C912" s="1186" t="s">
        <v>34</v>
      </c>
      <c r="D912" s="1186">
        <v>29</v>
      </c>
      <c r="E912" s="1186">
        <v>20</v>
      </c>
      <c r="F912" s="1186">
        <v>8</v>
      </c>
      <c r="G912" s="1186"/>
      <c r="H912" s="1186">
        <v>1</v>
      </c>
    </row>
    <row r="913" spans="1:8" x14ac:dyDescent="0.2">
      <c r="A913" s="1186" t="s">
        <v>343</v>
      </c>
      <c r="B913" s="1186" t="s">
        <v>311</v>
      </c>
      <c r="C913" s="1186" t="s">
        <v>35</v>
      </c>
      <c r="D913" s="1186">
        <v>42</v>
      </c>
      <c r="E913" s="1186">
        <v>32</v>
      </c>
      <c r="F913" s="1186">
        <v>7</v>
      </c>
      <c r="G913" s="1186">
        <v>2</v>
      </c>
      <c r="H913" s="1186">
        <v>1</v>
      </c>
    </row>
    <row r="914" spans="1:8" x14ac:dyDescent="0.2">
      <c r="A914" s="1186" t="s">
        <v>343</v>
      </c>
      <c r="B914" s="1186" t="s">
        <v>311</v>
      </c>
      <c r="C914" s="1186" t="s">
        <v>36</v>
      </c>
      <c r="D914" s="1186">
        <v>213</v>
      </c>
      <c r="E914" s="1186">
        <v>185</v>
      </c>
      <c r="F914" s="1186">
        <v>16</v>
      </c>
      <c r="G914" s="1186">
        <v>10</v>
      </c>
      <c r="H914" s="1186">
        <v>2</v>
      </c>
    </row>
    <row r="915" spans="1:8" x14ac:dyDescent="0.2">
      <c r="A915" s="1186" t="s">
        <v>343</v>
      </c>
      <c r="B915" s="1186" t="s">
        <v>311</v>
      </c>
      <c r="C915" s="1186" t="s">
        <v>37</v>
      </c>
      <c r="D915" s="1186">
        <v>41</v>
      </c>
      <c r="E915" s="1186">
        <v>31</v>
      </c>
      <c r="F915" s="1186">
        <v>2</v>
      </c>
      <c r="G915" s="1186">
        <v>5</v>
      </c>
      <c r="H915" s="1186">
        <v>3</v>
      </c>
    </row>
    <row r="916" spans="1:8" x14ac:dyDescent="0.2">
      <c r="A916" s="1186" t="s">
        <v>343</v>
      </c>
      <c r="B916" s="1186" t="s">
        <v>311</v>
      </c>
      <c r="C916" s="1186" t="s">
        <v>38</v>
      </c>
      <c r="D916" s="1186">
        <v>23</v>
      </c>
      <c r="E916" s="1186">
        <v>14</v>
      </c>
      <c r="F916" s="1186">
        <v>8</v>
      </c>
      <c r="G916" s="1186"/>
      <c r="H916" s="1186">
        <v>1</v>
      </c>
    </row>
    <row r="917" spans="1:8" x14ac:dyDescent="0.2">
      <c r="A917" s="1186" t="s">
        <v>343</v>
      </c>
      <c r="B917" s="1186" t="s">
        <v>311</v>
      </c>
      <c r="C917" s="1186" t="s">
        <v>39</v>
      </c>
      <c r="D917" s="1186">
        <v>15</v>
      </c>
      <c r="E917" s="1186">
        <v>15</v>
      </c>
      <c r="F917" s="1186"/>
      <c r="G917" s="1186"/>
      <c r="H917" s="1186"/>
    </row>
    <row r="918" spans="1:8" x14ac:dyDescent="0.2">
      <c r="A918" s="1186" t="s">
        <v>343</v>
      </c>
      <c r="B918" s="1186" t="s">
        <v>311</v>
      </c>
      <c r="C918" s="1186" t="s">
        <v>40</v>
      </c>
      <c r="D918" s="1186">
        <v>21</v>
      </c>
      <c r="E918" s="1186">
        <v>13</v>
      </c>
      <c r="F918" s="1186">
        <v>3</v>
      </c>
      <c r="G918" s="1186">
        <v>3</v>
      </c>
      <c r="H918" s="1186">
        <v>2</v>
      </c>
    </row>
    <row r="919" spans="1:8" x14ac:dyDescent="0.2">
      <c r="A919" s="1186" t="s">
        <v>343</v>
      </c>
      <c r="B919" s="1186" t="s">
        <v>311</v>
      </c>
      <c r="C919" s="1186" t="s">
        <v>295</v>
      </c>
      <c r="D919" s="1186">
        <v>1</v>
      </c>
      <c r="E919" s="1186">
        <v>1</v>
      </c>
      <c r="F919" s="1186"/>
      <c r="G919" s="1186"/>
      <c r="H919" s="1186"/>
    </row>
    <row r="920" spans="1:8" x14ac:dyDescent="0.2">
      <c r="A920" s="1186" t="s">
        <v>343</v>
      </c>
      <c r="B920" s="1186" t="s">
        <v>311</v>
      </c>
      <c r="C920" s="1186" t="s">
        <v>41</v>
      </c>
      <c r="D920" s="1186">
        <v>20</v>
      </c>
      <c r="E920" s="1186">
        <v>18</v>
      </c>
      <c r="F920" s="1186">
        <v>2</v>
      </c>
      <c r="G920" s="1186"/>
      <c r="H920" s="1186"/>
    </row>
    <row r="921" spans="1:8" x14ac:dyDescent="0.2">
      <c r="A921" s="1186" t="s">
        <v>343</v>
      </c>
      <c r="B921" s="1186" t="s">
        <v>311</v>
      </c>
      <c r="C921" s="1186" t="s">
        <v>42</v>
      </c>
      <c r="D921" s="1186">
        <v>98</v>
      </c>
      <c r="E921" s="1186">
        <v>84</v>
      </c>
      <c r="F921" s="1186">
        <v>10</v>
      </c>
      <c r="G921" s="1186">
        <v>3</v>
      </c>
      <c r="H921" s="1186">
        <v>1</v>
      </c>
    </row>
    <row r="922" spans="1:8" x14ac:dyDescent="0.2">
      <c r="A922" s="1186" t="s">
        <v>343</v>
      </c>
      <c r="B922" s="1186" t="s">
        <v>311</v>
      </c>
      <c r="C922" s="1186" t="s">
        <v>43</v>
      </c>
      <c r="D922" s="1186">
        <v>4</v>
      </c>
      <c r="E922" s="1186">
        <v>3</v>
      </c>
      <c r="F922" s="1186"/>
      <c r="G922" s="1186">
        <v>1</v>
      </c>
      <c r="H922" s="1186"/>
    </row>
    <row r="923" spans="1:8" x14ac:dyDescent="0.2">
      <c r="A923" s="1186" t="s">
        <v>343</v>
      </c>
      <c r="B923" s="1186" t="s">
        <v>311</v>
      </c>
      <c r="C923" s="1186" t="s">
        <v>44</v>
      </c>
      <c r="D923" s="1186">
        <v>22</v>
      </c>
      <c r="E923" s="1186">
        <v>20</v>
      </c>
      <c r="F923" s="1186">
        <v>2</v>
      </c>
      <c r="G923" s="1186"/>
      <c r="H923" s="1186"/>
    </row>
    <row r="924" spans="1:8" x14ac:dyDescent="0.2">
      <c r="A924" s="1186" t="s">
        <v>343</v>
      </c>
      <c r="B924" s="1186" t="s">
        <v>311</v>
      </c>
      <c r="C924" s="1186" t="s">
        <v>45</v>
      </c>
      <c r="D924" s="1186">
        <v>42</v>
      </c>
      <c r="E924" s="1186">
        <v>37</v>
      </c>
      <c r="F924" s="1186">
        <v>1</v>
      </c>
      <c r="G924" s="1186">
        <v>4</v>
      </c>
      <c r="H924" s="1186"/>
    </row>
    <row r="925" spans="1:8" x14ac:dyDescent="0.2">
      <c r="A925" s="1186" t="s">
        <v>343</v>
      </c>
      <c r="B925" s="1186" t="s">
        <v>311</v>
      </c>
      <c r="C925" s="1186" t="s">
        <v>46</v>
      </c>
      <c r="D925" s="1186">
        <v>17</v>
      </c>
      <c r="E925" s="1186">
        <v>16</v>
      </c>
      <c r="F925" s="1186"/>
      <c r="G925" s="1186"/>
      <c r="H925" s="1186">
        <v>1</v>
      </c>
    </row>
    <row r="926" spans="1:8" x14ac:dyDescent="0.2">
      <c r="A926" s="1186" t="s">
        <v>343</v>
      </c>
      <c r="B926" s="1186" t="s">
        <v>311</v>
      </c>
      <c r="C926" s="1186" t="s">
        <v>47</v>
      </c>
      <c r="D926" s="1186">
        <v>6</v>
      </c>
      <c r="E926" s="1186">
        <v>5</v>
      </c>
      <c r="F926" s="1186">
        <v>1</v>
      </c>
      <c r="G926" s="1186"/>
      <c r="H926" s="1186"/>
    </row>
    <row r="927" spans="1:8" x14ac:dyDescent="0.2">
      <c r="A927" s="1186" t="s">
        <v>343</v>
      </c>
      <c r="B927" s="1186" t="s">
        <v>311</v>
      </c>
      <c r="C927" s="1186" t="s">
        <v>48</v>
      </c>
      <c r="D927" s="1186">
        <v>29</v>
      </c>
      <c r="E927" s="1186">
        <v>20</v>
      </c>
      <c r="F927" s="1186">
        <v>4</v>
      </c>
      <c r="G927" s="1186">
        <v>5</v>
      </c>
      <c r="H927" s="1186"/>
    </row>
    <row r="928" spans="1:8" x14ac:dyDescent="0.2">
      <c r="A928" s="1186" t="s">
        <v>343</v>
      </c>
      <c r="B928" s="1186" t="s">
        <v>311</v>
      </c>
      <c r="C928" s="1186" t="s">
        <v>49</v>
      </c>
      <c r="D928" s="1186">
        <v>70</v>
      </c>
      <c r="E928" s="1186">
        <v>61</v>
      </c>
      <c r="F928" s="1186">
        <v>6</v>
      </c>
      <c r="G928" s="1186">
        <v>1</v>
      </c>
      <c r="H928" s="1186">
        <v>2</v>
      </c>
    </row>
    <row r="929" spans="1:8" x14ac:dyDescent="0.2">
      <c r="A929" s="1186" t="s">
        <v>343</v>
      </c>
      <c r="B929" s="1186" t="s">
        <v>311</v>
      </c>
      <c r="C929" s="1186" t="s">
        <v>50</v>
      </c>
      <c r="D929" s="1186">
        <v>24</v>
      </c>
      <c r="E929" s="1186">
        <v>15</v>
      </c>
      <c r="F929" s="1186">
        <v>7</v>
      </c>
      <c r="G929" s="1186">
        <v>2</v>
      </c>
      <c r="H929" s="1186"/>
    </row>
    <row r="930" spans="1:8" x14ac:dyDescent="0.2">
      <c r="A930" s="1186" t="s">
        <v>343</v>
      </c>
      <c r="B930" s="1186" t="s">
        <v>311</v>
      </c>
      <c r="C930" s="1186" t="s">
        <v>51</v>
      </c>
      <c r="D930" s="1186">
        <v>25</v>
      </c>
      <c r="E930" s="1186">
        <v>22</v>
      </c>
      <c r="F930" s="1186">
        <v>2</v>
      </c>
      <c r="G930" s="1186"/>
      <c r="H930" s="1186">
        <v>1</v>
      </c>
    </row>
    <row r="931" spans="1:8" x14ac:dyDescent="0.2">
      <c r="A931" s="1186" t="s">
        <v>343</v>
      </c>
      <c r="B931" s="1186" t="s">
        <v>311</v>
      </c>
      <c r="C931" s="1186" t="s">
        <v>52</v>
      </c>
      <c r="D931" s="1186">
        <v>41</v>
      </c>
      <c r="E931" s="1186">
        <v>32</v>
      </c>
      <c r="F931" s="1186">
        <v>7</v>
      </c>
      <c r="G931" s="1186">
        <v>1</v>
      </c>
      <c r="H931" s="1186">
        <v>1</v>
      </c>
    </row>
    <row r="932" spans="1:8" x14ac:dyDescent="0.2">
      <c r="A932" s="1186" t="s">
        <v>343</v>
      </c>
      <c r="B932" s="1186" t="s">
        <v>621</v>
      </c>
      <c r="C932" s="1186" t="s">
        <v>23</v>
      </c>
      <c r="D932" s="1186">
        <v>53</v>
      </c>
      <c r="E932" s="1186">
        <v>46</v>
      </c>
      <c r="F932" s="1186">
        <v>5</v>
      </c>
      <c r="G932" s="1186"/>
      <c r="H932" s="1186">
        <v>2</v>
      </c>
    </row>
    <row r="933" spans="1:8" x14ac:dyDescent="0.2">
      <c r="A933" s="1186" t="s">
        <v>343</v>
      </c>
      <c r="B933" s="1186" t="s">
        <v>621</v>
      </c>
      <c r="C933" s="1186" t="s">
        <v>24</v>
      </c>
      <c r="D933" s="1186">
        <v>28</v>
      </c>
      <c r="E933" s="1186">
        <v>20</v>
      </c>
      <c r="F933" s="1186">
        <v>2</v>
      </c>
      <c r="G933" s="1186">
        <v>5</v>
      </c>
      <c r="H933" s="1186">
        <v>1</v>
      </c>
    </row>
    <row r="934" spans="1:8" x14ac:dyDescent="0.2">
      <c r="A934" s="1186" t="s">
        <v>343</v>
      </c>
      <c r="B934" s="1186" t="s">
        <v>621</v>
      </c>
      <c r="C934" s="1186" t="s">
        <v>25</v>
      </c>
      <c r="D934" s="1186">
        <v>15</v>
      </c>
      <c r="E934" s="1186">
        <v>12</v>
      </c>
      <c r="F934" s="1186">
        <v>3</v>
      </c>
      <c r="G934" s="1186"/>
      <c r="H934" s="1186"/>
    </row>
    <row r="935" spans="1:8" x14ac:dyDescent="0.2">
      <c r="A935" s="1186" t="s">
        <v>343</v>
      </c>
      <c r="B935" s="1186" t="s">
        <v>621</v>
      </c>
      <c r="C935" s="1186" t="s">
        <v>26</v>
      </c>
      <c r="D935" s="1186">
        <v>21</v>
      </c>
      <c r="E935" s="1186">
        <v>21</v>
      </c>
      <c r="F935" s="1186"/>
      <c r="G935" s="1186"/>
      <c r="H935" s="1186"/>
    </row>
    <row r="936" spans="1:8" x14ac:dyDescent="0.2">
      <c r="A936" s="1186" t="s">
        <v>343</v>
      </c>
      <c r="B936" s="1186" t="s">
        <v>621</v>
      </c>
      <c r="C936" s="1186" t="s">
        <v>619</v>
      </c>
      <c r="D936" s="1186">
        <v>129</v>
      </c>
      <c r="E936" s="1186">
        <v>107</v>
      </c>
      <c r="F936" s="1186">
        <v>13</v>
      </c>
      <c r="G936" s="1186">
        <v>3</v>
      </c>
      <c r="H936" s="1186">
        <v>6</v>
      </c>
    </row>
    <row r="937" spans="1:8" x14ac:dyDescent="0.2">
      <c r="A937" s="1186" t="s">
        <v>343</v>
      </c>
      <c r="B937" s="1186" t="s">
        <v>621</v>
      </c>
      <c r="C937" s="1186" t="s">
        <v>27</v>
      </c>
      <c r="D937" s="1186">
        <v>26</v>
      </c>
      <c r="E937" s="1186">
        <v>16</v>
      </c>
      <c r="F937" s="1186">
        <v>9</v>
      </c>
      <c r="G937" s="1186">
        <v>1</v>
      </c>
      <c r="H937" s="1186"/>
    </row>
    <row r="938" spans="1:8" x14ac:dyDescent="0.2">
      <c r="A938" s="1186" t="s">
        <v>343</v>
      </c>
      <c r="B938" s="1186" t="s">
        <v>621</v>
      </c>
      <c r="C938" s="1186" t="s">
        <v>28</v>
      </c>
      <c r="D938" s="1186">
        <v>14</v>
      </c>
      <c r="E938" s="1186">
        <v>9</v>
      </c>
      <c r="F938" s="1186">
        <v>1</v>
      </c>
      <c r="G938" s="1186">
        <v>4</v>
      </c>
      <c r="H938" s="1186"/>
    </row>
    <row r="939" spans="1:8" x14ac:dyDescent="0.2">
      <c r="A939" s="1186" t="s">
        <v>343</v>
      </c>
      <c r="B939" s="1186" t="s">
        <v>621</v>
      </c>
      <c r="C939" s="1186" t="s">
        <v>29</v>
      </c>
      <c r="D939" s="1186">
        <v>42</v>
      </c>
      <c r="E939" s="1186">
        <v>40</v>
      </c>
      <c r="F939" s="1186">
        <v>2</v>
      </c>
      <c r="G939" s="1186"/>
      <c r="H939" s="1186"/>
    </row>
    <row r="940" spans="1:8" x14ac:dyDescent="0.2">
      <c r="A940" s="1186" t="s">
        <v>343</v>
      </c>
      <c r="B940" s="1186" t="s">
        <v>621</v>
      </c>
      <c r="C940" s="1186" t="s">
        <v>30</v>
      </c>
      <c r="D940" s="1186">
        <v>31</v>
      </c>
      <c r="E940" s="1186">
        <v>30</v>
      </c>
      <c r="F940" s="1186"/>
      <c r="G940" s="1186"/>
      <c r="H940" s="1186">
        <v>1</v>
      </c>
    </row>
    <row r="941" spans="1:8" x14ac:dyDescent="0.2">
      <c r="A941" s="1186" t="s">
        <v>343</v>
      </c>
      <c r="B941" s="1186" t="s">
        <v>621</v>
      </c>
      <c r="C941" s="1186" t="s">
        <v>31</v>
      </c>
      <c r="D941" s="1186">
        <v>11</v>
      </c>
      <c r="E941" s="1186">
        <v>9</v>
      </c>
      <c r="F941" s="1186"/>
      <c r="G941" s="1186">
        <v>1</v>
      </c>
      <c r="H941" s="1186">
        <v>1</v>
      </c>
    </row>
    <row r="942" spans="1:8" x14ac:dyDescent="0.2">
      <c r="A942" s="1186" t="s">
        <v>343</v>
      </c>
      <c r="B942" s="1186" t="s">
        <v>621</v>
      </c>
      <c r="C942" s="1186" t="s">
        <v>32</v>
      </c>
      <c r="D942" s="1186">
        <v>7</v>
      </c>
      <c r="E942" s="1186">
        <v>6</v>
      </c>
      <c r="F942" s="1186"/>
      <c r="G942" s="1186"/>
      <c r="H942" s="1186">
        <v>1</v>
      </c>
    </row>
    <row r="943" spans="1:8" x14ac:dyDescent="0.2">
      <c r="A943" s="1186" t="s">
        <v>343</v>
      </c>
      <c r="B943" s="1186" t="s">
        <v>621</v>
      </c>
      <c r="C943" s="1186" t="s">
        <v>33</v>
      </c>
      <c r="D943" s="1186">
        <v>14</v>
      </c>
      <c r="E943" s="1186">
        <v>14</v>
      </c>
      <c r="F943" s="1186"/>
      <c r="G943" s="1186"/>
      <c r="H943" s="1186"/>
    </row>
    <row r="944" spans="1:8" x14ac:dyDescent="0.2">
      <c r="A944" s="1186" t="s">
        <v>343</v>
      </c>
      <c r="B944" s="1186" t="s">
        <v>621</v>
      </c>
      <c r="C944" s="1186" t="s">
        <v>34</v>
      </c>
      <c r="D944" s="1186">
        <v>33</v>
      </c>
      <c r="E944" s="1186">
        <v>26</v>
      </c>
      <c r="F944" s="1186">
        <v>4</v>
      </c>
      <c r="G944" s="1186">
        <v>2</v>
      </c>
      <c r="H944" s="1186">
        <v>1</v>
      </c>
    </row>
    <row r="945" spans="1:8" x14ac:dyDescent="0.2">
      <c r="A945" s="1186" t="s">
        <v>343</v>
      </c>
      <c r="B945" s="1186" t="s">
        <v>621</v>
      </c>
      <c r="C945" s="1186" t="s">
        <v>35</v>
      </c>
      <c r="D945" s="1186">
        <v>61</v>
      </c>
      <c r="E945" s="1186">
        <v>54</v>
      </c>
      <c r="F945" s="1186">
        <v>4</v>
      </c>
      <c r="G945" s="1186"/>
      <c r="H945" s="1186">
        <v>3</v>
      </c>
    </row>
    <row r="946" spans="1:8" x14ac:dyDescent="0.2">
      <c r="A946" s="1186" t="s">
        <v>343</v>
      </c>
      <c r="B946" s="1186" t="s">
        <v>621</v>
      </c>
      <c r="C946" s="1186" t="s">
        <v>36</v>
      </c>
      <c r="D946" s="1186">
        <v>200</v>
      </c>
      <c r="E946" s="1186">
        <v>173</v>
      </c>
      <c r="F946" s="1186">
        <v>22</v>
      </c>
      <c r="G946" s="1186">
        <v>2</v>
      </c>
      <c r="H946" s="1186">
        <v>3</v>
      </c>
    </row>
    <row r="947" spans="1:8" x14ac:dyDescent="0.2">
      <c r="A947" s="1186" t="s">
        <v>343</v>
      </c>
      <c r="B947" s="1186" t="s">
        <v>621</v>
      </c>
      <c r="C947" s="1186" t="s">
        <v>37</v>
      </c>
      <c r="D947" s="1186">
        <v>38</v>
      </c>
      <c r="E947" s="1186">
        <v>29</v>
      </c>
      <c r="F947" s="1186">
        <v>2</v>
      </c>
      <c r="G947" s="1186">
        <v>4</v>
      </c>
      <c r="H947" s="1186">
        <v>3</v>
      </c>
    </row>
    <row r="948" spans="1:8" x14ac:dyDescent="0.2">
      <c r="A948" s="1186" t="s">
        <v>343</v>
      </c>
      <c r="B948" s="1186" t="s">
        <v>621</v>
      </c>
      <c r="C948" s="1186" t="s">
        <v>38</v>
      </c>
      <c r="D948" s="1186">
        <v>27</v>
      </c>
      <c r="E948" s="1186">
        <v>26</v>
      </c>
      <c r="F948" s="1186"/>
      <c r="G948" s="1186"/>
      <c r="H948" s="1186">
        <v>1</v>
      </c>
    </row>
    <row r="949" spans="1:8" x14ac:dyDescent="0.2">
      <c r="A949" s="1186" t="s">
        <v>343</v>
      </c>
      <c r="B949" s="1186" t="s">
        <v>621</v>
      </c>
      <c r="C949" s="1186" t="s">
        <v>39</v>
      </c>
      <c r="D949" s="1186">
        <v>14</v>
      </c>
      <c r="E949" s="1186">
        <v>11</v>
      </c>
      <c r="F949" s="1186">
        <v>1</v>
      </c>
      <c r="G949" s="1186">
        <v>1</v>
      </c>
      <c r="H949" s="1186">
        <v>1</v>
      </c>
    </row>
    <row r="950" spans="1:8" x14ac:dyDescent="0.2">
      <c r="A950" s="1186" t="s">
        <v>343</v>
      </c>
      <c r="B950" s="1186" t="s">
        <v>621</v>
      </c>
      <c r="C950" s="1186" t="s">
        <v>40</v>
      </c>
      <c r="D950" s="1186">
        <v>13</v>
      </c>
      <c r="E950" s="1186">
        <v>11</v>
      </c>
      <c r="F950" s="1186">
        <v>2</v>
      </c>
      <c r="G950" s="1186"/>
      <c r="H950" s="1186"/>
    </row>
    <row r="951" spans="1:8" x14ac:dyDescent="0.2">
      <c r="A951" s="1186" t="s">
        <v>343</v>
      </c>
      <c r="B951" s="1186" t="s">
        <v>621</v>
      </c>
      <c r="C951" s="1186" t="s">
        <v>295</v>
      </c>
      <c r="D951" s="1186">
        <v>4</v>
      </c>
      <c r="E951" s="1186">
        <v>3</v>
      </c>
      <c r="F951" s="1186"/>
      <c r="G951" s="1186"/>
      <c r="H951" s="1186">
        <v>1</v>
      </c>
    </row>
    <row r="952" spans="1:8" x14ac:dyDescent="0.2">
      <c r="A952" s="1186" t="s">
        <v>343</v>
      </c>
      <c r="B952" s="1186" t="s">
        <v>621</v>
      </c>
      <c r="C952" s="1186" t="s">
        <v>41</v>
      </c>
      <c r="D952" s="1186">
        <v>41</v>
      </c>
      <c r="E952" s="1186">
        <v>35</v>
      </c>
      <c r="F952" s="1186">
        <v>5</v>
      </c>
      <c r="G952" s="1186"/>
      <c r="H952" s="1186">
        <v>1</v>
      </c>
    </row>
    <row r="953" spans="1:8" x14ac:dyDescent="0.2">
      <c r="A953" s="1186" t="s">
        <v>343</v>
      </c>
      <c r="B953" s="1186" t="s">
        <v>621</v>
      </c>
      <c r="C953" s="1186" t="s">
        <v>42</v>
      </c>
      <c r="D953" s="1186">
        <v>120</v>
      </c>
      <c r="E953" s="1186">
        <v>105</v>
      </c>
      <c r="F953" s="1186">
        <v>8</v>
      </c>
      <c r="G953" s="1186">
        <v>3</v>
      </c>
      <c r="H953" s="1186">
        <v>4</v>
      </c>
    </row>
    <row r="954" spans="1:8" x14ac:dyDescent="0.2">
      <c r="A954" s="1186" t="s">
        <v>343</v>
      </c>
      <c r="B954" s="1186" t="s">
        <v>621</v>
      </c>
      <c r="C954" s="1186" t="s">
        <v>44</v>
      </c>
      <c r="D954" s="1186">
        <v>20</v>
      </c>
      <c r="E954" s="1186">
        <v>17</v>
      </c>
      <c r="F954" s="1186">
        <v>1</v>
      </c>
      <c r="G954" s="1186">
        <v>2</v>
      </c>
      <c r="H954" s="1186"/>
    </row>
    <row r="955" spans="1:8" x14ac:dyDescent="0.2">
      <c r="A955" s="1186" t="s">
        <v>343</v>
      </c>
      <c r="B955" s="1186" t="s">
        <v>621</v>
      </c>
      <c r="C955" s="1186" t="s">
        <v>45</v>
      </c>
      <c r="D955" s="1186">
        <v>49</v>
      </c>
      <c r="E955" s="1186">
        <v>42</v>
      </c>
      <c r="F955" s="1186">
        <v>6</v>
      </c>
      <c r="G955" s="1186"/>
      <c r="H955" s="1186">
        <v>1</v>
      </c>
    </row>
    <row r="956" spans="1:8" x14ac:dyDescent="0.2">
      <c r="A956" s="1186" t="s">
        <v>343</v>
      </c>
      <c r="B956" s="1186" t="s">
        <v>621</v>
      </c>
      <c r="C956" s="1186" t="s">
        <v>46</v>
      </c>
      <c r="D956" s="1186">
        <v>20</v>
      </c>
      <c r="E956" s="1186">
        <v>17</v>
      </c>
      <c r="F956" s="1186">
        <v>3</v>
      </c>
      <c r="G956" s="1186"/>
      <c r="H956" s="1186"/>
    </row>
    <row r="957" spans="1:8" x14ac:dyDescent="0.2">
      <c r="A957" s="1186" t="s">
        <v>343</v>
      </c>
      <c r="B957" s="1186" t="s">
        <v>621</v>
      </c>
      <c r="C957" s="1186" t="s">
        <v>48</v>
      </c>
      <c r="D957" s="1186">
        <v>19</v>
      </c>
      <c r="E957" s="1186">
        <v>17</v>
      </c>
      <c r="F957" s="1186">
        <v>1</v>
      </c>
      <c r="G957" s="1186">
        <v>1</v>
      </c>
      <c r="H957" s="1186"/>
    </row>
    <row r="958" spans="1:8" x14ac:dyDescent="0.2">
      <c r="A958" s="1186" t="s">
        <v>343</v>
      </c>
      <c r="B958" s="1186" t="s">
        <v>621</v>
      </c>
      <c r="C958" s="1186" t="s">
        <v>49</v>
      </c>
      <c r="D958" s="1186">
        <v>74</v>
      </c>
      <c r="E958" s="1186">
        <v>69</v>
      </c>
      <c r="F958" s="1186">
        <v>3</v>
      </c>
      <c r="G958" s="1186"/>
      <c r="H958" s="1186">
        <v>2</v>
      </c>
    </row>
    <row r="959" spans="1:8" x14ac:dyDescent="0.2">
      <c r="A959" s="1186" t="s">
        <v>343</v>
      </c>
      <c r="B959" s="1186" t="s">
        <v>621</v>
      </c>
      <c r="C959" s="1186" t="s">
        <v>50</v>
      </c>
      <c r="D959" s="1186">
        <v>9</v>
      </c>
      <c r="E959" s="1186">
        <v>4</v>
      </c>
      <c r="F959" s="1186">
        <v>2</v>
      </c>
      <c r="G959" s="1186">
        <v>2</v>
      </c>
      <c r="H959" s="1186">
        <v>1</v>
      </c>
    </row>
    <row r="960" spans="1:8" x14ac:dyDescent="0.2">
      <c r="A960" s="1186" t="s">
        <v>343</v>
      </c>
      <c r="B960" s="1186" t="s">
        <v>621</v>
      </c>
      <c r="C960" s="1186" t="s">
        <v>51</v>
      </c>
      <c r="D960" s="1186">
        <v>22</v>
      </c>
      <c r="E960" s="1186">
        <v>20</v>
      </c>
      <c r="F960" s="1186"/>
      <c r="G960" s="1186">
        <v>1</v>
      </c>
      <c r="H960" s="1186">
        <v>1</v>
      </c>
    </row>
    <row r="961" spans="1:8" x14ac:dyDescent="0.2">
      <c r="A961" s="1186" t="s">
        <v>343</v>
      </c>
      <c r="B961" s="1186" t="s">
        <v>621</v>
      </c>
      <c r="C961" s="1186" t="s">
        <v>52</v>
      </c>
      <c r="D961" s="1186">
        <v>42</v>
      </c>
      <c r="E961" s="1186">
        <v>27</v>
      </c>
      <c r="F961" s="1186">
        <v>10</v>
      </c>
      <c r="G961" s="1186">
        <v>2</v>
      </c>
      <c r="H961" s="1186">
        <v>3</v>
      </c>
    </row>
    <row r="962" spans="1:8" x14ac:dyDescent="0.2">
      <c r="A962" s="1186" t="s">
        <v>343</v>
      </c>
      <c r="B962" s="1186" t="s">
        <v>1419</v>
      </c>
      <c r="C962" s="1186" t="s">
        <v>23</v>
      </c>
      <c r="D962" s="1186">
        <v>48</v>
      </c>
      <c r="E962" s="1186">
        <v>45</v>
      </c>
      <c r="F962" s="1186">
        <v>3</v>
      </c>
      <c r="G962" s="1186"/>
      <c r="H962" s="1186"/>
    </row>
    <row r="963" spans="1:8" x14ac:dyDescent="0.2">
      <c r="A963" s="1186" t="s">
        <v>343</v>
      </c>
      <c r="B963" s="1186" t="s">
        <v>1419</v>
      </c>
      <c r="C963" s="1186" t="s">
        <v>24</v>
      </c>
      <c r="D963" s="1186">
        <v>32</v>
      </c>
      <c r="E963" s="1186">
        <v>24</v>
      </c>
      <c r="F963" s="1186">
        <v>4</v>
      </c>
      <c r="G963" s="1186">
        <v>3</v>
      </c>
      <c r="H963" s="1186">
        <v>1</v>
      </c>
    </row>
    <row r="964" spans="1:8" x14ac:dyDescent="0.2">
      <c r="A964" s="1186" t="s">
        <v>343</v>
      </c>
      <c r="B964" s="1186" t="s">
        <v>1419</v>
      </c>
      <c r="C964" s="1186" t="s">
        <v>25</v>
      </c>
      <c r="D964" s="1186">
        <v>16</v>
      </c>
      <c r="E964" s="1186">
        <v>10</v>
      </c>
      <c r="F964" s="1186">
        <v>5</v>
      </c>
      <c r="G964" s="1186"/>
      <c r="H964" s="1186">
        <v>1</v>
      </c>
    </row>
    <row r="965" spans="1:8" x14ac:dyDescent="0.2">
      <c r="A965" s="1186" t="s">
        <v>343</v>
      </c>
      <c r="B965" s="1186" t="s">
        <v>1419</v>
      </c>
      <c r="C965" s="1186" t="s">
        <v>26</v>
      </c>
      <c r="D965" s="1186">
        <v>19</v>
      </c>
      <c r="E965" s="1186">
        <v>14</v>
      </c>
      <c r="F965" s="1186">
        <v>2</v>
      </c>
      <c r="G965" s="1186">
        <v>3</v>
      </c>
      <c r="H965" s="1186"/>
    </row>
    <row r="966" spans="1:8" x14ac:dyDescent="0.2">
      <c r="A966" s="1186" t="s">
        <v>343</v>
      </c>
      <c r="B966" s="1186" t="s">
        <v>1419</v>
      </c>
      <c r="C966" s="1186" t="s">
        <v>619</v>
      </c>
      <c r="D966" s="1186">
        <v>105</v>
      </c>
      <c r="E966" s="1186">
        <v>94</v>
      </c>
      <c r="F966" s="1186">
        <v>8</v>
      </c>
      <c r="G966" s="1186"/>
      <c r="H966" s="1186">
        <v>3</v>
      </c>
    </row>
    <row r="967" spans="1:8" x14ac:dyDescent="0.2">
      <c r="A967" s="1186" t="s">
        <v>343</v>
      </c>
      <c r="B967" s="1186" t="s">
        <v>1419</v>
      </c>
      <c r="C967" s="1186" t="s">
        <v>27</v>
      </c>
      <c r="D967" s="1186">
        <v>12</v>
      </c>
      <c r="E967" s="1186">
        <v>10</v>
      </c>
      <c r="F967" s="1186">
        <v>2</v>
      </c>
      <c r="G967" s="1186"/>
      <c r="H967" s="1186"/>
    </row>
    <row r="968" spans="1:8" x14ac:dyDescent="0.2">
      <c r="A968" s="1186" t="s">
        <v>343</v>
      </c>
      <c r="B968" s="1186" t="s">
        <v>1419</v>
      </c>
      <c r="C968" s="1186" t="s">
        <v>28</v>
      </c>
      <c r="D968" s="1186">
        <v>9</v>
      </c>
      <c r="E968" s="1186">
        <v>8</v>
      </c>
      <c r="F968" s="1186"/>
      <c r="G968" s="1186"/>
      <c r="H968" s="1186">
        <v>1</v>
      </c>
    </row>
    <row r="969" spans="1:8" x14ac:dyDescent="0.2">
      <c r="A969" s="1186" t="s">
        <v>343</v>
      </c>
      <c r="B969" s="1186" t="s">
        <v>1419</v>
      </c>
      <c r="C969" s="1186" t="s">
        <v>29</v>
      </c>
      <c r="D969" s="1186">
        <v>27</v>
      </c>
      <c r="E969" s="1186">
        <v>26</v>
      </c>
      <c r="F969" s="1186"/>
      <c r="G969" s="1186"/>
      <c r="H969" s="1186">
        <v>1</v>
      </c>
    </row>
    <row r="970" spans="1:8" x14ac:dyDescent="0.2">
      <c r="A970" s="1186" t="s">
        <v>343</v>
      </c>
      <c r="B970" s="1186" t="s">
        <v>1419</v>
      </c>
      <c r="C970" s="1186" t="s">
        <v>30</v>
      </c>
      <c r="D970" s="1186">
        <v>22</v>
      </c>
      <c r="E970" s="1186">
        <v>19</v>
      </c>
      <c r="F970" s="1186">
        <v>1</v>
      </c>
      <c r="G970" s="1186">
        <v>1</v>
      </c>
      <c r="H970" s="1186">
        <v>1</v>
      </c>
    </row>
    <row r="971" spans="1:8" x14ac:dyDescent="0.2">
      <c r="A971" s="1186" t="s">
        <v>343</v>
      </c>
      <c r="B971" s="1186" t="s">
        <v>1419</v>
      </c>
      <c r="C971" s="1186" t="s">
        <v>31</v>
      </c>
      <c r="D971" s="1186">
        <v>17</v>
      </c>
      <c r="E971" s="1186">
        <v>11</v>
      </c>
      <c r="F971" s="1186">
        <v>5</v>
      </c>
      <c r="G971" s="1186">
        <v>1</v>
      </c>
      <c r="H971" s="1186"/>
    </row>
    <row r="972" spans="1:8" x14ac:dyDescent="0.2">
      <c r="A972" s="1186" t="s">
        <v>343</v>
      </c>
      <c r="B972" s="1186" t="s">
        <v>1419</v>
      </c>
      <c r="C972" s="1186" t="s">
        <v>32</v>
      </c>
      <c r="D972" s="1186">
        <v>8</v>
      </c>
      <c r="E972" s="1186">
        <v>7</v>
      </c>
      <c r="F972" s="1186"/>
      <c r="G972" s="1186">
        <v>1</v>
      </c>
      <c r="H972" s="1186"/>
    </row>
    <row r="973" spans="1:8" x14ac:dyDescent="0.2">
      <c r="A973" s="1186" t="s">
        <v>343</v>
      </c>
      <c r="B973" s="1186" t="s">
        <v>1419</v>
      </c>
      <c r="C973" s="1186" t="s">
        <v>33</v>
      </c>
      <c r="D973" s="1186">
        <v>14</v>
      </c>
      <c r="E973" s="1186">
        <v>10</v>
      </c>
      <c r="F973" s="1186">
        <v>1</v>
      </c>
      <c r="G973" s="1186"/>
      <c r="H973" s="1186">
        <v>3</v>
      </c>
    </row>
    <row r="974" spans="1:8" x14ac:dyDescent="0.2">
      <c r="A974" s="1186" t="s">
        <v>343</v>
      </c>
      <c r="B974" s="1186" t="s">
        <v>1419</v>
      </c>
      <c r="C974" s="1186" t="s">
        <v>34</v>
      </c>
      <c r="D974" s="1186">
        <v>17</v>
      </c>
      <c r="E974" s="1186">
        <v>14</v>
      </c>
      <c r="F974" s="1186">
        <v>2</v>
      </c>
      <c r="G974" s="1186">
        <v>1</v>
      </c>
      <c r="H974" s="1186"/>
    </row>
    <row r="975" spans="1:8" x14ac:dyDescent="0.2">
      <c r="A975" s="1186" t="s">
        <v>343</v>
      </c>
      <c r="B975" s="1186" t="s">
        <v>1419</v>
      </c>
      <c r="C975" s="1186" t="s">
        <v>35</v>
      </c>
      <c r="D975" s="1186">
        <v>45</v>
      </c>
      <c r="E975" s="1186">
        <v>38</v>
      </c>
      <c r="F975" s="1186">
        <v>5</v>
      </c>
      <c r="G975" s="1186">
        <v>2</v>
      </c>
      <c r="H975" s="1186"/>
    </row>
    <row r="976" spans="1:8" x14ac:dyDescent="0.2">
      <c r="A976" s="1186" t="s">
        <v>343</v>
      </c>
      <c r="B976" s="1186" t="s">
        <v>1419</v>
      </c>
      <c r="C976" s="1186" t="s">
        <v>36</v>
      </c>
      <c r="D976" s="1186">
        <v>176</v>
      </c>
      <c r="E976" s="1186">
        <v>157</v>
      </c>
      <c r="F976" s="1186">
        <v>12</v>
      </c>
      <c r="G976" s="1186">
        <v>3</v>
      </c>
      <c r="H976" s="1186">
        <v>4</v>
      </c>
    </row>
    <row r="977" spans="1:8" x14ac:dyDescent="0.2">
      <c r="A977" s="1186" t="s">
        <v>343</v>
      </c>
      <c r="B977" s="1186" t="s">
        <v>1419</v>
      </c>
      <c r="C977" s="1186" t="s">
        <v>37</v>
      </c>
      <c r="D977" s="1186">
        <v>33</v>
      </c>
      <c r="E977" s="1186">
        <v>25</v>
      </c>
      <c r="F977" s="1186">
        <v>6</v>
      </c>
      <c r="G977" s="1186">
        <v>2</v>
      </c>
      <c r="H977" s="1186"/>
    </row>
    <row r="978" spans="1:8" x14ac:dyDescent="0.2">
      <c r="A978" s="1186" t="s">
        <v>343</v>
      </c>
      <c r="B978" s="1186" t="s">
        <v>1419</v>
      </c>
      <c r="C978" s="1186" t="s">
        <v>38</v>
      </c>
      <c r="D978" s="1186">
        <v>25</v>
      </c>
      <c r="E978" s="1186">
        <v>24</v>
      </c>
      <c r="F978" s="1186">
        <v>1</v>
      </c>
      <c r="G978" s="1186"/>
      <c r="H978" s="1186"/>
    </row>
    <row r="979" spans="1:8" x14ac:dyDescent="0.2">
      <c r="A979" s="1186" t="s">
        <v>343</v>
      </c>
      <c r="B979" s="1186" t="s">
        <v>1419</v>
      </c>
      <c r="C979" s="1186" t="s">
        <v>39</v>
      </c>
      <c r="D979" s="1186">
        <v>12</v>
      </c>
      <c r="E979" s="1186">
        <v>12</v>
      </c>
      <c r="F979" s="1186"/>
      <c r="G979" s="1186"/>
      <c r="H979" s="1186"/>
    </row>
    <row r="980" spans="1:8" x14ac:dyDescent="0.2">
      <c r="A980" s="1186" t="s">
        <v>343</v>
      </c>
      <c r="B980" s="1186" t="s">
        <v>1419</v>
      </c>
      <c r="C980" s="1186" t="s">
        <v>40</v>
      </c>
      <c r="D980" s="1186">
        <v>20</v>
      </c>
      <c r="E980" s="1186">
        <v>19</v>
      </c>
      <c r="F980" s="1186">
        <v>1</v>
      </c>
      <c r="G980" s="1186"/>
      <c r="H980" s="1186"/>
    </row>
    <row r="981" spans="1:8" x14ac:dyDescent="0.2">
      <c r="A981" s="1186" t="s">
        <v>343</v>
      </c>
      <c r="B981" s="1186" t="s">
        <v>1419</v>
      </c>
      <c r="C981" s="1186" t="s">
        <v>295</v>
      </c>
      <c r="D981" s="1186">
        <v>9</v>
      </c>
      <c r="E981" s="1186">
        <v>8</v>
      </c>
      <c r="F981" s="1186">
        <v>1</v>
      </c>
      <c r="G981" s="1186"/>
      <c r="H981" s="1186"/>
    </row>
    <row r="982" spans="1:8" x14ac:dyDescent="0.2">
      <c r="A982" s="1186" t="s">
        <v>343</v>
      </c>
      <c r="B982" s="1186" t="s">
        <v>1419</v>
      </c>
      <c r="C982" s="1186" t="s">
        <v>41</v>
      </c>
      <c r="D982" s="1186">
        <v>21</v>
      </c>
      <c r="E982" s="1186">
        <v>20</v>
      </c>
      <c r="F982" s="1186"/>
      <c r="G982" s="1186"/>
      <c r="H982" s="1186">
        <v>1</v>
      </c>
    </row>
    <row r="983" spans="1:8" x14ac:dyDescent="0.2">
      <c r="A983" s="1186" t="s">
        <v>343</v>
      </c>
      <c r="B983" s="1186" t="s">
        <v>1419</v>
      </c>
      <c r="C983" s="1186" t="s">
        <v>42</v>
      </c>
      <c r="D983" s="1186">
        <v>75</v>
      </c>
      <c r="E983" s="1186">
        <v>64</v>
      </c>
      <c r="F983" s="1186">
        <v>7</v>
      </c>
      <c r="G983" s="1186">
        <v>2</v>
      </c>
      <c r="H983" s="1186">
        <v>2</v>
      </c>
    </row>
    <row r="984" spans="1:8" x14ac:dyDescent="0.2">
      <c r="A984" s="1186" t="s">
        <v>343</v>
      </c>
      <c r="B984" s="1186" t="s">
        <v>1419</v>
      </c>
      <c r="C984" s="1186" t="s">
        <v>43</v>
      </c>
      <c r="D984" s="1186">
        <v>2</v>
      </c>
      <c r="E984" s="1186">
        <v>1</v>
      </c>
      <c r="F984" s="1186"/>
      <c r="G984" s="1186">
        <v>1</v>
      </c>
      <c r="H984" s="1186"/>
    </row>
    <row r="985" spans="1:8" x14ac:dyDescent="0.2">
      <c r="A985" s="1186" t="s">
        <v>343</v>
      </c>
      <c r="B985" s="1186" t="s">
        <v>1419</v>
      </c>
      <c r="C985" s="1186" t="s">
        <v>44</v>
      </c>
      <c r="D985" s="1186">
        <v>36</v>
      </c>
      <c r="E985" s="1186">
        <v>32</v>
      </c>
      <c r="F985" s="1186">
        <v>2</v>
      </c>
      <c r="G985" s="1186">
        <v>2</v>
      </c>
      <c r="H985" s="1186"/>
    </row>
    <row r="986" spans="1:8" x14ac:dyDescent="0.2">
      <c r="A986" s="1186" t="s">
        <v>343</v>
      </c>
      <c r="B986" s="1186" t="s">
        <v>1419</v>
      </c>
      <c r="C986" s="1186" t="s">
        <v>45</v>
      </c>
      <c r="D986" s="1186">
        <v>30</v>
      </c>
      <c r="E986" s="1186">
        <v>24</v>
      </c>
      <c r="F986" s="1186">
        <v>6</v>
      </c>
      <c r="G986" s="1186"/>
      <c r="H986" s="1186"/>
    </row>
    <row r="987" spans="1:8" x14ac:dyDescent="0.2">
      <c r="A987" s="1186" t="s">
        <v>343</v>
      </c>
      <c r="B987" s="1186" t="s">
        <v>1419</v>
      </c>
      <c r="C987" s="1186" t="s">
        <v>46</v>
      </c>
      <c r="D987" s="1186">
        <v>33</v>
      </c>
      <c r="E987" s="1186">
        <v>26</v>
      </c>
      <c r="F987" s="1186">
        <v>3</v>
      </c>
      <c r="G987" s="1186"/>
      <c r="H987" s="1186">
        <v>4</v>
      </c>
    </row>
    <row r="988" spans="1:8" x14ac:dyDescent="0.2">
      <c r="A988" s="1186" t="s">
        <v>343</v>
      </c>
      <c r="B988" s="1186" t="s">
        <v>1419</v>
      </c>
      <c r="C988" s="1186" t="s">
        <v>47</v>
      </c>
      <c r="D988" s="1186">
        <v>5</v>
      </c>
      <c r="E988" s="1186">
        <v>5</v>
      </c>
      <c r="F988" s="1186"/>
      <c r="G988" s="1186"/>
      <c r="H988" s="1186"/>
    </row>
    <row r="989" spans="1:8" x14ac:dyDescent="0.2">
      <c r="A989" s="1186" t="s">
        <v>343</v>
      </c>
      <c r="B989" s="1186" t="s">
        <v>1419</v>
      </c>
      <c r="C989" s="1186" t="s">
        <v>48</v>
      </c>
      <c r="D989" s="1186">
        <v>23</v>
      </c>
      <c r="E989" s="1186">
        <v>19</v>
      </c>
      <c r="F989" s="1186">
        <v>2</v>
      </c>
      <c r="G989" s="1186">
        <v>1</v>
      </c>
      <c r="H989" s="1186">
        <v>1</v>
      </c>
    </row>
    <row r="990" spans="1:8" x14ac:dyDescent="0.2">
      <c r="A990" s="1186" t="s">
        <v>343</v>
      </c>
      <c r="B990" s="1186" t="s">
        <v>1419</v>
      </c>
      <c r="C990" s="1186" t="s">
        <v>49</v>
      </c>
      <c r="D990" s="1186">
        <v>65</v>
      </c>
      <c r="E990" s="1186">
        <v>59</v>
      </c>
      <c r="F990" s="1186">
        <v>2</v>
      </c>
      <c r="G990" s="1186">
        <v>3</v>
      </c>
      <c r="H990" s="1186">
        <v>1</v>
      </c>
    </row>
    <row r="991" spans="1:8" x14ac:dyDescent="0.2">
      <c r="A991" s="1186" t="s">
        <v>343</v>
      </c>
      <c r="B991" s="1186" t="s">
        <v>1419</v>
      </c>
      <c r="C991" s="1186" t="s">
        <v>50</v>
      </c>
      <c r="D991" s="1186">
        <v>10</v>
      </c>
      <c r="E991" s="1186">
        <v>5</v>
      </c>
      <c r="F991" s="1186">
        <v>3</v>
      </c>
      <c r="G991" s="1186">
        <v>2</v>
      </c>
      <c r="H991" s="1186"/>
    </row>
    <row r="992" spans="1:8" x14ac:dyDescent="0.2">
      <c r="A992" s="1186" t="s">
        <v>343</v>
      </c>
      <c r="B992" s="1186" t="s">
        <v>1419</v>
      </c>
      <c r="C992" s="1186" t="s">
        <v>51</v>
      </c>
      <c r="D992" s="1186">
        <v>26</v>
      </c>
      <c r="E992" s="1186">
        <v>25</v>
      </c>
      <c r="F992" s="1186"/>
      <c r="G992" s="1186"/>
      <c r="H992" s="1186">
        <v>1</v>
      </c>
    </row>
    <row r="993" spans="1:8" x14ac:dyDescent="0.2">
      <c r="A993" s="1186" t="s">
        <v>343</v>
      </c>
      <c r="B993" s="1186" t="s">
        <v>1419</v>
      </c>
      <c r="C993" s="1186" t="s">
        <v>52</v>
      </c>
      <c r="D993" s="1186">
        <v>35</v>
      </c>
      <c r="E993" s="1186">
        <v>22</v>
      </c>
      <c r="F993" s="1186">
        <v>7</v>
      </c>
      <c r="G993" s="1186">
        <v>1</v>
      </c>
      <c r="H993" s="1186">
        <v>5</v>
      </c>
    </row>
    <row r="994" spans="1:8" x14ac:dyDescent="0.2">
      <c r="A994" s="1186" t="s">
        <v>343</v>
      </c>
      <c r="B994" s="1186" t="s">
        <v>1572</v>
      </c>
      <c r="C994" s="1186" t="s">
        <v>23</v>
      </c>
      <c r="D994" s="1186">
        <v>36</v>
      </c>
      <c r="E994" s="1186">
        <v>35</v>
      </c>
      <c r="F994" s="1186">
        <v>1</v>
      </c>
      <c r="G994" s="1186"/>
      <c r="H994" s="1186"/>
    </row>
    <row r="995" spans="1:8" x14ac:dyDescent="0.2">
      <c r="A995" s="1186" t="s">
        <v>343</v>
      </c>
      <c r="B995" s="1186" t="s">
        <v>1572</v>
      </c>
      <c r="C995" s="1186" t="s">
        <v>24</v>
      </c>
      <c r="D995" s="1186">
        <v>26</v>
      </c>
      <c r="E995" s="1186">
        <v>16</v>
      </c>
      <c r="F995" s="1186">
        <v>3</v>
      </c>
      <c r="G995" s="1186">
        <v>1</v>
      </c>
      <c r="H995" s="1186">
        <v>6</v>
      </c>
    </row>
    <row r="996" spans="1:8" x14ac:dyDescent="0.2">
      <c r="A996" s="1186" t="s">
        <v>343</v>
      </c>
      <c r="B996" s="1186" t="s">
        <v>1572</v>
      </c>
      <c r="C996" s="1186" t="s">
        <v>25</v>
      </c>
      <c r="D996" s="1186">
        <v>20</v>
      </c>
      <c r="E996" s="1186">
        <v>19</v>
      </c>
      <c r="F996" s="1186"/>
      <c r="G996" s="1186"/>
      <c r="H996" s="1186">
        <v>1</v>
      </c>
    </row>
    <row r="997" spans="1:8" x14ac:dyDescent="0.2">
      <c r="A997" s="1186" t="s">
        <v>343</v>
      </c>
      <c r="B997" s="1186" t="s">
        <v>1572</v>
      </c>
      <c r="C997" s="1186" t="s">
        <v>26</v>
      </c>
      <c r="D997" s="1186">
        <v>10</v>
      </c>
      <c r="E997" s="1186">
        <v>7</v>
      </c>
      <c r="F997" s="1186">
        <v>3</v>
      </c>
      <c r="G997" s="1186"/>
      <c r="H997" s="1186"/>
    </row>
    <row r="998" spans="1:8" x14ac:dyDescent="0.2">
      <c r="A998" s="1186" t="s">
        <v>343</v>
      </c>
      <c r="B998" s="1186" t="s">
        <v>1572</v>
      </c>
      <c r="C998" s="1186" t="s">
        <v>619</v>
      </c>
      <c r="D998" s="1186">
        <v>71</v>
      </c>
      <c r="E998" s="1186">
        <v>61</v>
      </c>
      <c r="F998" s="1186">
        <v>8</v>
      </c>
      <c r="G998" s="1186"/>
      <c r="H998" s="1186">
        <v>2</v>
      </c>
    </row>
    <row r="999" spans="1:8" x14ac:dyDescent="0.2">
      <c r="A999" s="1186" t="s">
        <v>343</v>
      </c>
      <c r="B999" s="1186" t="s">
        <v>1572</v>
      </c>
      <c r="C999" s="1186" t="s">
        <v>27</v>
      </c>
      <c r="D999" s="1186">
        <v>21</v>
      </c>
      <c r="E999" s="1186">
        <v>20</v>
      </c>
      <c r="F999" s="1186">
        <v>1</v>
      </c>
      <c r="G999" s="1186"/>
      <c r="H999" s="1186"/>
    </row>
    <row r="1000" spans="1:8" x14ac:dyDescent="0.2">
      <c r="A1000" s="1186" t="s">
        <v>343</v>
      </c>
      <c r="B1000" s="1186" t="s">
        <v>1572</v>
      </c>
      <c r="C1000" s="1186" t="s">
        <v>28</v>
      </c>
      <c r="D1000" s="1186">
        <v>5</v>
      </c>
      <c r="E1000" s="1186">
        <v>4</v>
      </c>
      <c r="F1000" s="1186"/>
      <c r="G1000" s="1186"/>
      <c r="H1000" s="1186">
        <v>1</v>
      </c>
    </row>
    <row r="1001" spans="1:8" x14ac:dyDescent="0.2">
      <c r="A1001" s="1186" t="s">
        <v>343</v>
      </c>
      <c r="B1001" s="1186" t="s">
        <v>1572</v>
      </c>
      <c r="C1001" s="1186" t="s">
        <v>29</v>
      </c>
      <c r="D1001" s="1186">
        <v>33</v>
      </c>
      <c r="E1001" s="1186">
        <v>32</v>
      </c>
      <c r="F1001" s="1186"/>
      <c r="G1001" s="1186"/>
      <c r="H1001" s="1186">
        <v>1</v>
      </c>
    </row>
    <row r="1002" spans="1:8" x14ac:dyDescent="0.2">
      <c r="A1002" s="1186" t="s">
        <v>343</v>
      </c>
      <c r="B1002" s="1186" t="s">
        <v>1572</v>
      </c>
      <c r="C1002" s="1186" t="s">
        <v>30</v>
      </c>
      <c r="D1002" s="1186">
        <v>25</v>
      </c>
      <c r="E1002" s="1186">
        <v>20</v>
      </c>
      <c r="F1002" s="1186">
        <v>3</v>
      </c>
      <c r="G1002" s="1186">
        <v>1</v>
      </c>
      <c r="H1002" s="1186">
        <v>1</v>
      </c>
    </row>
    <row r="1003" spans="1:8" x14ac:dyDescent="0.2">
      <c r="A1003" s="1186" t="s">
        <v>343</v>
      </c>
      <c r="B1003" s="1186" t="s">
        <v>1572</v>
      </c>
      <c r="C1003" s="1186" t="s">
        <v>31</v>
      </c>
      <c r="D1003" s="1186">
        <v>9</v>
      </c>
      <c r="E1003" s="1186">
        <v>9</v>
      </c>
      <c r="F1003" s="1186"/>
      <c r="G1003" s="1186"/>
      <c r="H1003" s="1186"/>
    </row>
    <row r="1004" spans="1:8" x14ac:dyDescent="0.2">
      <c r="A1004" s="1186" t="s">
        <v>343</v>
      </c>
      <c r="B1004" s="1186" t="s">
        <v>1572</v>
      </c>
      <c r="C1004" s="1186" t="s">
        <v>32</v>
      </c>
      <c r="D1004" s="1186">
        <v>7</v>
      </c>
      <c r="E1004" s="1186">
        <v>4</v>
      </c>
      <c r="F1004" s="1186"/>
      <c r="G1004" s="1186">
        <v>1</v>
      </c>
      <c r="H1004" s="1186">
        <v>2</v>
      </c>
    </row>
    <row r="1005" spans="1:8" x14ac:dyDescent="0.2">
      <c r="A1005" s="1186" t="s">
        <v>343</v>
      </c>
      <c r="B1005" s="1186" t="s">
        <v>1572</v>
      </c>
      <c r="C1005" s="1186" t="s">
        <v>33</v>
      </c>
      <c r="D1005" s="1186">
        <v>6</v>
      </c>
      <c r="E1005" s="1186">
        <v>6</v>
      </c>
      <c r="F1005" s="1186"/>
      <c r="G1005" s="1186"/>
      <c r="H1005" s="1186"/>
    </row>
    <row r="1006" spans="1:8" x14ac:dyDescent="0.2">
      <c r="A1006" s="1186" t="s">
        <v>343</v>
      </c>
      <c r="B1006" s="1186" t="s">
        <v>1572</v>
      </c>
      <c r="C1006" s="1186" t="s">
        <v>34</v>
      </c>
      <c r="D1006" s="1186">
        <v>35</v>
      </c>
      <c r="E1006" s="1186">
        <v>30</v>
      </c>
      <c r="F1006" s="1186">
        <v>3</v>
      </c>
      <c r="G1006" s="1186"/>
      <c r="H1006" s="1186">
        <v>2</v>
      </c>
    </row>
    <row r="1007" spans="1:8" x14ac:dyDescent="0.2">
      <c r="A1007" s="1186" t="s">
        <v>343</v>
      </c>
      <c r="B1007" s="1186" t="s">
        <v>1572</v>
      </c>
      <c r="C1007" s="1186" t="s">
        <v>35</v>
      </c>
      <c r="D1007" s="1186">
        <v>49</v>
      </c>
      <c r="E1007" s="1186">
        <v>45</v>
      </c>
      <c r="F1007" s="1186">
        <v>3</v>
      </c>
      <c r="G1007" s="1186">
        <v>1</v>
      </c>
      <c r="H1007" s="1186"/>
    </row>
    <row r="1008" spans="1:8" x14ac:dyDescent="0.2">
      <c r="A1008" s="1186" t="s">
        <v>343</v>
      </c>
      <c r="B1008" s="1186" t="s">
        <v>1572</v>
      </c>
      <c r="C1008" s="1186" t="s">
        <v>36</v>
      </c>
      <c r="D1008" s="1186">
        <v>194</v>
      </c>
      <c r="E1008" s="1186">
        <v>166</v>
      </c>
      <c r="F1008" s="1186">
        <v>21</v>
      </c>
      <c r="G1008" s="1186">
        <v>2</v>
      </c>
      <c r="H1008" s="1186">
        <v>5</v>
      </c>
    </row>
    <row r="1009" spans="1:8" x14ac:dyDescent="0.2">
      <c r="A1009" s="1186" t="s">
        <v>343</v>
      </c>
      <c r="B1009" s="1186" t="s">
        <v>1572</v>
      </c>
      <c r="C1009" s="1186" t="s">
        <v>37</v>
      </c>
      <c r="D1009" s="1186">
        <v>26</v>
      </c>
      <c r="E1009" s="1186">
        <v>18</v>
      </c>
      <c r="F1009" s="1186">
        <v>4</v>
      </c>
      <c r="G1009" s="1186"/>
      <c r="H1009" s="1186">
        <v>4</v>
      </c>
    </row>
    <row r="1010" spans="1:8" x14ac:dyDescent="0.2">
      <c r="A1010" s="1186" t="s">
        <v>343</v>
      </c>
      <c r="B1010" s="1186" t="s">
        <v>1572</v>
      </c>
      <c r="C1010" s="1186" t="s">
        <v>38</v>
      </c>
      <c r="D1010" s="1186">
        <v>34</v>
      </c>
      <c r="E1010" s="1186">
        <v>33</v>
      </c>
      <c r="F1010" s="1186">
        <v>1</v>
      </c>
      <c r="G1010" s="1186"/>
      <c r="H1010" s="1186"/>
    </row>
    <row r="1011" spans="1:8" x14ac:dyDescent="0.2">
      <c r="A1011" s="1186" t="s">
        <v>343</v>
      </c>
      <c r="B1011" s="1186" t="s">
        <v>1572</v>
      </c>
      <c r="C1011" s="1186" t="s">
        <v>39</v>
      </c>
      <c r="D1011" s="1186">
        <v>14</v>
      </c>
      <c r="E1011" s="1186">
        <v>13</v>
      </c>
      <c r="F1011" s="1186">
        <v>1</v>
      </c>
      <c r="G1011" s="1186"/>
      <c r="H1011" s="1186"/>
    </row>
    <row r="1012" spans="1:8" x14ac:dyDescent="0.2">
      <c r="A1012" s="1186" t="s">
        <v>343</v>
      </c>
      <c r="B1012" s="1186" t="s">
        <v>1572</v>
      </c>
      <c r="C1012" s="1186" t="s">
        <v>40</v>
      </c>
      <c r="D1012" s="1186">
        <v>11</v>
      </c>
      <c r="E1012" s="1186">
        <v>7</v>
      </c>
      <c r="F1012" s="1186">
        <v>3</v>
      </c>
      <c r="G1012" s="1186">
        <v>1</v>
      </c>
      <c r="H1012" s="1186"/>
    </row>
    <row r="1013" spans="1:8" x14ac:dyDescent="0.2">
      <c r="A1013" s="1186" t="s">
        <v>343</v>
      </c>
      <c r="B1013" s="1186" t="s">
        <v>1572</v>
      </c>
      <c r="C1013" s="1186" t="s">
        <v>295</v>
      </c>
      <c r="D1013" s="1186">
        <v>4</v>
      </c>
      <c r="E1013" s="1186">
        <v>4</v>
      </c>
      <c r="F1013" s="1186"/>
      <c r="G1013" s="1186"/>
      <c r="H1013" s="1186"/>
    </row>
    <row r="1014" spans="1:8" x14ac:dyDescent="0.2">
      <c r="A1014" s="1186" t="s">
        <v>343</v>
      </c>
      <c r="B1014" s="1186" t="s">
        <v>1572</v>
      </c>
      <c r="C1014" s="1186" t="s">
        <v>41</v>
      </c>
      <c r="D1014" s="1186">
        <v>41</v>
      </c>
      <c r="E1014" s="1186">
        <v>39</v>
      </c>
      <c r="F1014" s="1186">
        <v>1</v>
      </c>
      <c r="G1014" s="1186">
        <v>1</v>
      </c>
      <c r="H1014" s="1186"/>
    </row>
    <row r="1015" spans="1:8" x14ac:dyDescent="0.2">
      <c r="A1015" s="1186" t="s">
        <v>343</v>
      </c>
      <c r="B1015" s="1186" t="s">
        <v>1572</v>
      </c>
      <c r="C1015" s="1186" t="s">
        <v>42</v>
      </c>
      <c r="D1015" s="1186">
        <v>90</v>
      </c>
      <c r="E1015" s="1186">
        <v>75</v>
      </c>
      <c r="F1015" s="1186">
        <v>6</v>
      </c>
      <c r="G1015" s="1186">
        <v>5</v>
      </c>
      <c r="H1015" s="1186">
        <v>4</v>
      </c>
    </row>
    <row r="1016" spans="1:8" x14ac:dyDescent="0.2">
      <c r="A1016" s="1186" t="s">
        <v>343</v>
      </c>
      <c r="B1016" s="1186" t="s">
        <v>1572</v>
      </c>
      <c r="C1016" s="1186" t="s">
        <v>43</v>
      </c>
      <c r="D1016" s="1186">
        <v>1</v>
      </c>
      <c r="E1016" s="1186">
        <v>1</v>
      </c>
      <c r="F1016" s="1186"/>
      <c r="G1016" s="1186"/>
      <c r="H1016" s="1186"/>
    </row>
    <row r="1017" spans="1:8" x14ac:dyDescent="0.2">
      <c r="A1017" s="1186" t="s">
        <v>343</v>
      </c>
      <c r="B1017" s="1186" t="s">
        <v>1572</v>
      </c>
      <c r="C1017" s="1186" t="s">
        <v>44</v>
      </c>
      <c r="D1017" s="1186">
        <v>30</v>
      </c>
      <c r="E1017" s="1186">
        <v>25</v>
      </c>
      <c r="F1017" s="1186"/>
      <c r="G1017" s="1186">
        <v>2</v>
      </c>
      <c r="H1017" s="1186">
        <v>3</v>
      </c>
    </row>
    <row r="1018" spans="1:8" x14ac:dyDescent="0.2">
      <c r="A1018" s="1186" t="s">
        <v>343</v>
      </c>
      <c r="B1018" s="1186" t="s">
        <v>1572</v>
      </c>
      <c r="C1018" s="1186" t="s">
        <v>45</v>
      </c>
      <c r="D1018" s="1186">
        <v>44</v>
      </c>
      <c r="E1018" s="1186">
        <v>37</v>
      </c>
      <c r="F1018" s="1186">
        <v>5</v>
      </c>
      <c r="G1018" s="1186"/>
      <c r="H1018" s="1186">
        <v>2</v>
      </c>
    </row>
    <row r="1019" spans="1:8" x14ac:dyDescent="0.2">
      <c r="A1019" s="1186" t="s">
        <v>343</v>
      </c>
      <c r="B1019" s="1186" t="s">
        <v>1572</v>
      </c>
      <c r="C1019" s="1186" t="s">
        <v>46</v>
      </c>
      <c r="D1019" s="1186">
        <v>15</v>
      </c>
      <c r="E1019" s="1186">
        <v>12</v>
      </c>
      <c r="F1019" s="1186">
        <v>1</v>
      </c>
      <c r="G1019" s="1186"/>
      <c r="H1019" s="1186">
        <v>2</v>
      </c>
    </row>
    <row r="1020" spans="1:8" x14ac:dyDescent="0.2">
      <c r="A1020" s="1186" t="s">
        <v>343</v>
      </c>
      <c r="B1020" s="1186" t="s">
        <v>1572</v>
      </c>
      <c r="C1020" s="1186" t="s">
        <v>47</v>
      </c>
      <c r="D1020" s="1186">
        <v>3</v>
      </c>
      <c r="E1020" s="1186">
        <v>2</v>
      </c>
      <c r="F1020" s="1186"/>
      <c r="G1020" s="1186">
        <v>1</v>
      </c>
      <c r="H1020" s="1186"/>
    </row>
    <row r="1021" spans="1:8" x14ac:dyDescent="0.2">
      <c r="A1021" s="1186" t="s">
        <v>343</v>
      </c>
      <c r="B1021" s="1186" t="s">
        <v>1572</v>
      </c>
      <c r="C1021" s="1186" t="s">
        <v>48</v>
      </c>
      <c r="D1021" s="1186">
        <v>24</v>
      </c>
      <c r="E1021" s="1186">
        <v>20</v>
      </c>
      <c r="F1021" s="1186">
        <v>1</v>
      </c>
      <c r="G1021" s="1186">
        <v>3</v>
      </c>
      <c r="H1021" s="1186"/>
    </row>
    <row r="1022" spans="1:8" x14ac:dyDescent="0.2">
      <c r="A1022" s="1186" t="s">
        <v>343</v>
      </c>
      <c r="B1022" s="1186" t="s">
        <v>1572</v>
      </c>
      <c r="C1022" s="1186" t="s">
        <v>49</v>
      </c>
      <c r="D1022" s="1186">
        <v>68</v>
      </c>
      <c r="E1022" s="1186">
        <v>59</v>
      </c>
      <c r="F1022" s="1186">
        <v>5</v>
      </c>
      <c r="G1022" s="1186">
        <v>2</v>
      </c>
      <c r="H1022" s="1186">
        <v>2</v>
      </c>
    </row>
    <row r="1023" spans="1:8" x14ac:dyDescent="0.2">
      <c r="A1023" s="1186" t="s">
        <v>343</v>
      </c>
      <c r="B1023" s="1186" t="s">
        <v>1572</v>
      </c>
      <c r="C1023" s="1186" t="s">
        <v>50</v>
      </c>
      <c r="D1023" s="1186">
        <v>11</v>
      </c>
      <c r="E1023" s="1186">
        <v>9</v>
      </c>
      <c r="F1023" s="1186"/>
      <c r="G1023" s="1186"/>
      <c r="H1023" s="1186">
        <v>2</v>
      </c>
    </row>
    <row r="1024" spans="1:8" x14ac:dyDescent="0.2">
      <c r="A1024" s="1186" t="s">
        <v>343</v>
      </c>
      <c r="B1024" s="1186" t="s">
        <v>1572</v>
      </c>
      <c r="C1024" s="1186" t="s">
        <v>51</v>
      </c>
      <c r="D1024" s="1186">
        <v>23</v>
      </c>
      <c r="E1024" s="1186">
        <v>21</v>
      </c>
      <c r="F1024" s="1186"/>
      <c r="G1024" s="1186"/>
      <c r="H1024" s="1186">
        <v>2</v>
      </c>
    </row>
    <row r="1025" spans="1:8" x14ac:dyDescent="0.2">
      <c r="A1025" s="1186" t="s">
        <v>343</v>
      </c>
      <c r="B1025" s="1186" t="s">
        <v>1572</v>
      </c>
      <c r="C1025" s="1186" t="s">
        <v>52</v>
      </c>
      <c r="D1025" s="1186">
        <v>31</v>
      </c>
      <c r="E1025" s="1186">
        <v>27</v>
      </c>
      <c r="F1025" s="1186"/>
      <c r="G1025" s="1186">
        <v>1</v>
      </c>
      <c r="H1025" s="1186">
        <v>3</v>
      </c>
    </row>
  </sheetData>
  <pageMargins left="0.7" right="0.7" top="0.75" bottom="0.75" header="0.3" footer="0.3"/>
  <pageSetup paperSize="9" fitToHeight="5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AFF0"/>
  </sheetPr>
  <dimension ref="A1:AG99"/>
  <sheetViews>
    <sheetView showGridLines="0" workbookViewId="0">
      <pane ySplit="2" topLeftCell="A3" activePane="bottomLeft" state="frozen"/>
      <selection pane="bottomLeft"/>
    </sheetView>
  </sheetViews>
  <sheetFormatPr defaultRowHeight="12.75" x14ac:dyDescent="0.2"/>
  <cols>
    <col min="1" max="1" width="18.140625" style="1" customWidth="1"/>
    <col min="2" max="13" width="14" style="1" customWidth="1"/>
    <col min="14" max="14" width="11.5703125" style="1" customWidth="1"/>
    <col min="15" max="15" width="8.42578125" style="1" customWidth="1"/>
    <col min="16" max="16" width="11.5703125" style="1" customWidth="1"/>
    <col min="17" max="241" width="9.140625" style="1"/>
    <col min="242" max="242" width="20" style="1" customWidth="1"/>
    <col min="243" max="243" width="11.7109375" style="1" customWidth="1"/>
    <col min="244" max="244" width="11.140625" style="1" customWidth="1"/>
    <col min="245" max="245" width="11.42578125" style="1" customWidth="1"/>
    <col min="246" max="246" width="12.140625" style="1" customWidth="1"/>
    <col min="247" max="247" width="9.140625" style="1"/>
    <col min="248" max="248" width="13.140625" style="1" customWidth="1"/>
    <col min="249" max="249" width="9.140625" style="1"/>
    <col min="250" max="250" width="12.28515625" style="1" customWidth="1"/>
    <col min="251" max="251" width="14.28515625" style="1" customWidth="1"/>
    <col min="252" max="252" width="10.140625" style="1" customWidth="1"/>
    <col min="253" max="253" width="9.140625" style="1"/>
    <col min="254" max="254" width="12.42578125" style="1" customWidth="1"/>
    <col min="255" max="255" width="9.140625" style="1"/>
    <col min="256" max="256" width="11.28515625" style="1" customWidth="1"/>
    <col min="257" max="257" width="10.140625" style="1" customWidth="1"/>
    <col min="258" max="497" width="9.140625" style="1"/>
    <col min="498" max="498" width="20" style="1" customWidth="1"/>
    <col min="499" max="499" width="11.7109375" style="1" customWidth="1"/>
    <col min="500" max="500" width="11.140625" style="1" customWidth="1"/>
    <col min="501" max="501" width="11.42578125" style="1" customWidth="1"/>
    <col min="502" max="502" width="12.140625" style="1" customWidth="1"/>
    <col min="503" max="503" width="9.140625" style="1"/>
    <col min="504" max="504" width="13.140625" style="1" customWidth="1"/>
    <col min="505" max="505" width="9.140625" style="1"/>
    <col min="506" max="506" width="12.28515625" style="1" customWidth="1"/>
    <col min="507" max="507" width="14.28515625" style="1" customWidth="1"/>
    <col min="508" max="508" width="10.140625" style="1" customWidth="1"/>
    <col min="509" max="509" width="9.140625" style="1"/>
    <col min="510" max="510" width="12.42578125" style="1" customWidth="1"/>
    <col min="511" max="511" width="9.140625" style="1"/>
    <col min="512" max="512" width="11.28515625" style="1" customWidth="1"/>
    <col min="513" max="513" width="10.140625" style="1" customWidth="1"/>
    <col min="514" max="753" width="9.140625" style="1"/>
    <col min="754" max="754" width="20" style="1" customWidth="1"/>
    <col min="755" max="755" width="11.7109375" style="1" customWidth="1"/>
    <col min="756" max="756" width="11.140625" style="1" customWidth="1"/>
    <col min="757" max="757" width="11.42578125" style="1" customWidth="1"/>
    <col min="758" max="758" width="12.140625" style="1" customWidth="1"/>
    <col min="759" max="759" width="9.140625" style="1"/>
    <col min="760" max="760" width="13.140625" style="1" customWidth="1"/>
    <col min="761" max="761" width="9.140625" style="1"/>
    <col min="762" max="762" width="12.28515625" style="1" customWidth="1"/>
    <col min="763" max="763" width="14.28515625" style="1" customWidth="1"/>
    <col min="764" max="764" width="10.140625" style="1" customWidth="1"/>
    <col min="765" max="765" width="9.140625" style="1"/>
    <col min="766" max="766" width="12.42578125" style="1" customWidth="1"/>
    <col min="767" max="767" width="9.140625" style="1"/>
    <col min="768" max="768" width="11.28515625" style="1" customWidth="1"/>
    <col min="769" max="769" width="10.140625" style="1" customWidth="1"/>
    <col min="770" max="1009" width="9.140625" style="1"/>
    <col min="1010" max="1010" width="20" style="1" customWidth="1"/>
    <col min="1011" max="1011" width="11.7109375" style="1" customWidth="1"/>
    <col min="1012" max="1012" width="11.140625" style="1" customWidth="1"/>
    <col min="1013" max="1013" width="11.42578125" style="1" customWidth="1"/>
    <col min="1014" max="1014" width="12.140625" style="1" customWidth="1"/>
    <col min="1015" max="1015" width="9.140625" style="1"/>
    <col min="1016" max="1016" width="13.140625" style="1" customWidth="1"/>
    <col min="1017" max="1017" width="9.140625" style="1"/>
    <col min="1018" max="1018" width="12.28515625" style="1" customWidth="1"/>
    <col min="1019" max="1019" width="14.28515625" style="1" customWidth="1"/>
    <col min="1020" max="1020" width="10.140625" style="1" customWidth="1"/>
    <col min="1021" max="1021" width="9.140625" style="1"/>
    <col min="1022" max="1022" width="12.42578125" style="1" customWidth="1"/>
    <col min="1023" max="1023" width="9.140625" style="1"/>
    <col min="1024" max="1024" width="11.28515625" style="1" customWidth="1"/>
    <col min="1025" max="1025" width="10.140625" style="1" customWidth="1"/>
    <col min="1026" max="1265" width="9.140625" style="1"/>
    <col min="1266" max="1266" width="20" style="1" customWidth="1"/>
    <col min="1267" max="1267" width="11.7109375" style="1" customWidth="1"/>
    <col min="1268" max="1268" width="11.140625" style="1" customWidth="1"/>
    <col min="1269" max="1269" width="11.42578125" style="1" customWidth="1"/>
    <col min="1270" max="1270" width="12.140625" style="1" customWidth="1"/>
    <col min="1271" max="1271" width="9.140625" style="1"/>
    <col min="1272" max="1272" width="13.140625" style="1" customWidth="1"/>
    <col min="1273" max="1273" width="9.140625" style="1"/>
    <col min="1274" max="1274" width="12.28515625" style="1" customWidth="1"/>
    <col min="1275" max="1275" width="14.28515625" style="1" customWidth="1"/>
    <col min="1276" max="1276" width="10.140625" style="1" customWidth="1"/>
    <col min="1277" max="1277" width="9.140625" style="1"/>
    <col min="1278" max="1278" width="12.42578125" style="1" customWidth="1"/>
    <col min="1279" max="1279" width="9.140625" style="1"/>
    <col min="1280" max="1280" width="11.28515625" style="1" customWidth="1"/>
    <col min="1281" max="1281" width="10.140625" style="1" customWidth="1"/>
    <col min="1282" max="1521" width="9.140625" style="1"/>
    <col min="1522" max="1522" width="20" style="1" customWidth="1"/>
    <col min="1523" max="1523" width="11.7109375" style="1" customWidth="1"/>
    <col min="1524" max="1524" width="11.140625" style="1" customWidth="1"/>
    <col min="1525" max="1525" width="11.42578125" style="1" customWidth="1"/>
    <col min="1526" max="1526" width="12.140625" style="1" customWidth="1"/>
    <col min="1527" max="1527" width="9.140625" style="1"/>
    <col min="1528" max="1528" width="13.140625" style="1" customWidth="1"/>
    <col min="1529" max="1529" width="9.140625" style="1"/>
    <col min="1530" max="1530" width="12.28515625" style="1" customWidth="1"/>
    <col min="1531" max="1531" width="14.28515625" style="1" customWidth="1"/>
    <col min="1532" max="1532" width="10.140625" style="1" customWidth="1"/>
    <col min="1533" max="1533" width="9.140625" style="1"/>
    <col min="1534" max="1534" width="12.42578125" style="1" customWidth="1"/>
    <col min="1535" max="1535" width="9.140625" style="1"/>
    <col min="1536" max="1536" width="11.28515625" style="1" customWidth="1"/>
    <col min="1537" max="1537" width="10.140625" style="1" customWidth="1"/>
    <col min="1538" max="1777" width="9.140625" style="1"/>
    <col min="1778" max="1778" width="20" style="1" customWidth="1"/>
    <col min="1779" max="1779" width="11.7109375" style="1" customWidth="1"/>
    <col min="1780" max="1780" width="11.140625" style="1" customWidth="1"/>
    <col min="1781" max="1781" width="11.42578125" style="1" customWidth="1"/>
    <col min="1782" max="1782" width="12.140625" style="1" customWidth="1"/>
    <col min="1783" max="1783" width="9.140625" style="1"/>
    <col min="1784" max="1784" width="13.140625" style="1" customWidth="1"/>
    <col min="1785" max="1785" width="9.140625" style="1"/>
    <col min="1786" max="1786" width="12.28515625" style="1" customWidth="1"/>
    <col min="1787" max="1787" width="14.28515625" style="1" customWidth="1"/>
    <col min="1788" max="1788" width="10.140625" style="1" customWidth="1"/>
    <col min="1789" max="1789" width="9.140625" style="1"/>
    <col min="1790" max="1790" width="12.42578125" style="1" customWidth="1"/>
    <col min="1791" max="1791" width="9.140625" style="1"/>
    <col min="1792" max="1792" width="11.28515625" style="1" customWidth="1"/>
    <col min="1793" max="1793" width="10.140625" style="1" customWidth="1"/>
    <col min="1794" max="2033" width="9.140625" style="1"/>
    <col min="2034" max="2034" width="20" style="1" customWidth="1"/>
    <col min="2035" max="2035" width="11.7109375" style="1" customWidth="1"/>
    <col min="2036" max="2036" width="11.140625" style="1" customWidth="1"/>
    <col min="2037" max="2037" width="11.42578125" style="1" customWidth="1"/>
    <col min="2038" max="2038" width="12.140625" style="1" customWidth="1"/>
    <col min="2039" max="2039" width="9.140625" style="1"/>
    <col min="2040" max="2040" width="13.140625" style="1" customWidth="1"/>
    <col min="2041" max="2041" width="9.140625" style="1"/>
    <col min="2042" max="2042" width="12.28515625" style="1" customWidth="1"/>
    <col min="2043" max="2043" width="14.28515625" style="1" customWidth="1"/>
    <col min="2044" max="2044" width="10.140625" style="1" customWidth="1"/>
    <col min="2045" max="2045" width="9.140625" style="1"/>
    <col min="2046" max="2046" width="12.42578125" style="1" customWidth="1"/>
    <col min="2047" max="2047" width="9.140625" style="1"/>
    <col min="2048" max="2048" width="11.28515625" style="1" customWidth="1"/>
    <col min="2049" max="2049" width="10.140625" style="1" customWidth="1"/>
    <col min="2050" max="2289" width="9.140625" style="1"/>
    <col min="2290" max="2290" width="20" style="1" customWidth="1"/>
    <col min="2291" max="2291" width="11.7109375" style="1" customWidth="1"/>
    <col min="2292" max="2292" width="11.140625" style="1" customWidth="1"/>
    <col min="2293" max="2293" width="11.42578125" style="1" customWidth="1"/>
    <col min="2294" max="2294" width="12.140625" style="1" customWidth="1"/>
    <col min="2295" max="2295" width="9.140625" style="1"/>
    <col min="2296" max="2296" width="13.140625" style="1" customWidth="1"/>
    <col min="2297" max="2297" width="9.140625" style="1"/>
    <col min="2298" max="2298" width="12.28515625" style="1" customWidth="1"/>
    <col min="2299" max="2299" width="14.28515625" style="1" customWidth="1"/>
    <col min="2300" max="2300" width="10.140625" style="1" customWidth="1"/>
    <col min="2301" max="2301" width="9.140625" style="1"/>
    <col min="2302" max="2302" width="12.42578125" style="1" customWidth="1"/>
    <col min="2303" max="2303" width="9.140625" style="1"/>
    <col min="2304" max="2304" width="11.28515625" style="1" customWidth="1"/>
    <col min="2305" max="2305" width="10.140625" style="1" customWidth="1"/>
    <col min="2306" max="2545" width="9.140625" style="1"/>
    <col min="2546" max="2546" width="20" style="1" customWidth="1"/>
    <col min="2547" max="2547" width="11.7109375" style="1" customWidth="1"/>
    <col min="2548" max="2548" width="11.140625" style="1" customWidth="1"/>
    <col min="2549" max="2549" width="11.42578125" style="1" customWidth="1"/>
    <col min="2550" max="2550" width="12.140625" style="1" customWidth="1"/>
    <col min="2551" max="2551" width="9.140625" style="1"/>
    <col min="2552" max="2552" width="13.140625" style="1" customWidth="1"/>
    <col min="2553" max="2553" width="9.140625" style="1"/>
    <col min="2554" max="2554" width="12.28515625" style="1" customWidth="1"/>
    <col min="2555" max="2555" width="14.28515625" style="1" customWidth="1"/>
    <col min="2556" max="2556" width="10.140625" style="1" customWidth="1"/>
    <col min="2557" max="2557" width="9.140625" style="1"/>
    <col min="2558" max="2558" width="12.42578125" style="1" customWidth="1"/>
    <col min="2559" max="2559" width="9.140625" style="1"/>
    <col min="2560" max="2560" width="11.28515625" style="1" customWidth="1"/>
    <col min="2561" max="2561" width="10.140625" style="1" customWidth="1"/>
    <col min="2562" max="2801" width="9.140625" style="1"/>
    <col min="2802" max="2802" width="20" style="1" customWidth="1"/>
    <col min="2803" max="2803" width="11.7109375" style="1" customWidth="1"/>
    <col min="2804" max="2804" width="11.140625" style="1" customWidth="1"/>
    <col min="2805" max="2805" width="11.42578125" style="1" customWidth="1"/>
    <col min="2806" max="2806" width="12.140625" style="1" customWidth="1"/>
    <col min="2807" max="2807" width="9.140625" style="1"/>
    <col min="2808" max="2808" width="13.140625" style="1" customWidth="1"/>
    <col min="2809" max="2809" width="9.140625" style="1"/>
    <col min="2810" max="2810" width="12.28515625" style="1" customWidth="1"/>
    <col min="2811" max="2811" width="14.28515625" style="1" customWidth="1"/>
    <col min="2812" max="2812" width="10.140625" style="1" customWidth="1"/>
    <col min="2813" max="2813" width="9.140625" style="1"/>
    <col min="2814" max="2814" width="12.42578125" style="1" customWidth="1"/>
    <col min="2815" max="2815" width="9.140625" style="1"/>
    <col min="2816" max="2816" width="11.28515625" style="1" customWidth="1"/>
    <col min="2817" max="2817" width="10.140625" style="1" customWidth="1"/>
    <col min="2818" max="3057" width="9.140625" style="1"/>
    <col min="3058" max="3058" width="20" style="1" customWidth="1"/>
    <col min="3059" max="3059" width="11.7109375" style="1" customWidth="1"/>
    <col min="3060" max="3060" width="11.140625" style="1" customWidth="1"/>
    <col min="3061" max="3061" width="11.42578125" style="1" customWidth="1"/>
    <col min="3062" max="3062" width="12.140625" style="1" customWidth="1"/>
    <col min="3063" max="3063" width="9.140625" style="1"/>
    <col min="3064" max="3064" width="13.140625" style="1" customWidth="1"/>
    <col min="3065" max="3065" width="9.140625" style="1"/>
    <col min="3066" max="3066" width="12.28515625" style="1" customWidth="1"/>
    <col min="3067" max="3067" width="14.28515625" style="1" customWidth="1"/>
    <col min="3068" max="3068" width="10.140625" style="1" customWidth="1"/>
    <col min="3069" max="3069" width="9.140625" style="1"/>
    <col min="3070" max="3070" width="12.42578125" style="1" customWidth="1"/>
    <col min="3071" max="3071" width="9.140625" style="1"/>
    <col min="3072" max="3072" width="11.28515625" style="1" customWidth="1"/>
    <col min="3073" max="3073" width="10.140625" style="1" customWidth="1"/>
    <col min="3074" max="3313" width="9.140625" style="1"/>
    <col min="3314" max="3314" width="20" style="1" customWidth="1"/>
    <col min="3315" max="3315" width="11.7109375" style="1" customWidth="1"/>
    <col min="3316" max="3316" width="11.140625" style="1" customWidth="1"/>
    <col min="3317" max="3317" width="11.42578125" style="1" customWidth="1"/>
    <col min="3318" max="3318" width="12.140625" style="1" customWidth="1"/>
    <col min="3319" max="3319" width="9.140625" style="1"/>
    <col min="3320" max="3320" width="13.140625" style="1" customWidth="1"/>
    <col min="3321" max="3321" width="9.140625" style="1"/>
    <col min="3322" max="3322" width="12.28515625" style="1" customWidth="1"/>
    <col min="3323" max="3323" width="14.28515625" style="1" customWidth="1"/>
    <col min="3324" max="3324" width="10.140625" style="1" customWidth="1"/>
    <col min="3325" max="3325" width="9.140625" style="1"/>
    <col min="3326" max="3326" width="12.42578125" style="1" customWidth="1"/>
    <col min="3327" max="3327" width="9.140625" style="1"/>
    <col min="3328" max="3328" width="11.28515625" style="1" customWidth="1"/>
    <col min="3329" max="3329" width="10.140625" style="1" customWidth="1"/>
    <col min="3330" max="3569" width="9.140625" style="1"/>
    <col min="3570" max="3570" width="20" style="1" customWidth="1"/>
    <col min="3571" max="3571" width="11.7109375" style="1" customWidth="1"/>
    <col min="3572" max="3572" width="11.140625" style="1" customWidth="1"/>
    <col min="3573" max="3573" width="11.42578125" style="1" customWidth="1"/>
    <col min="3574" max="3574" width="12.140625" style="1" customWidth="1"/>
    <col min="3575" max="3575" width="9.140625" style="1"/>
    <col min="3576" max="3576" width="13.140625" style="1" customWidth="1"/>
    <col min="3577" max="3577" width="9.140625" style="1"/>
    <col min="3578" max="3578" width="12.28515625" style="1" customWidth="1"/>
    <col min="3579" max="3579" width="14.28515625" style="1" customWidth="1"/>
    <col min="3580" max="3580" width="10.140625" style="1" customWidth="1"/>
    <col min="3581" max="3581" width="9.140625" style="1"/>
    <col min="3582" max="3582" width="12.42578125" style="1" customWidth="1"/>
    <col min="3583" max="3583" width="9.140625" style="1"/>
    <col min="3584" max="3584" width="11.28515625" style="1" customWidth="1"/>
    <col min="3585" max="3585" width="10.140625" style="1" customWidth="1"/>
    <col min="3586" max="3825" width="9.140625" style="1"/>
    <col min="3826" max="3826" width="20" style="1" customWidth="1"/>
    <col min="3827" max="3827" width="11.7109375" style="1" customWidth="1"/>
    <col min="3828" max="3828" width="11.140625" style="1" customWidth="1"/>
    <col min="3829" max="3829" width="11.42578125" style="1" customWidth="1"/>
    <col min="3830" max="3830" width="12.140625" style="1" customWidth="1"/>
    <col min="3831" max="3831" width="9.140625" style="1"/>
    <col min="3832" max="3832" width="13.140625" style="1" customWidth="1"/>
    <col min="3833" max="3833" width="9.140625" style="1"/>
    <col min="3834" max="3834" width="12.28515625" style="1" customWidth="1"/>
    <col min="3835" max="3835" width="14.28515625" style="1" customWidth="1"/>
    <col min="3836" max="3836" width="10.140625" style="1" customWidth="1"/>
    <col min="3837" max="3837" width="9.140625" style="1"/>
    <col min="3838" max="3838" width="12.42578125" style="1" customWidth="1"/>
    <col min="3839" max="3839" width="9.140625" style="1"/>
    <col min="3840" max="3840" width="11.28515625" style="1" customWidth="1"/>
    <col min="3841" max="3841" width="10.140625" style="1" customWidth="1"/>
    <col min="3842" max="4081" width="9.140625" style="1"/>
    <col min="4082" max="4082" width="20" style="1" customWidth="1"/>
    <col min="4083" max="4083" width="11.7109375" style="1" customWidth="1"/>
    <col min="4084" max="4084" width="11.140625" style="1" customWidth="1"/>
    <col min="4085" max="4085" width="11.42578125" style="1" customWidth="1"/>
    <col min="4086" max="4086" width="12.140625" style="1" customWidth="1"/>
    <col min="4087" max="4087" width="9.140625" style="1"/>
    <col min="4088" max="4088" width="13.140625" style="1" customWidth="1"/>
    <col min="4089" max="4089" width="9.140625" style="1"/>
    <col min="4090" max="4090" width="12.28515625" style="1" customWidth="1"/>
    <col min="4091" max="4091" width="14.28515625" style="1" customWidth="1"/>
    <col min="4092" max="4092" width="10.140625" style="1" customWidth="1"/>
    <col min="4093" max="4093" width="9.140625" style="1"/>
    <col min="4094" max="4094" width="12.42578125" style="1" customWidth="1"/>
    <col min="4095" max="4095" width="9.140625" style="1"/>
    <col min="4096" max="4096" width="11.28515625" style="1" customWidth="1"/>
    <col min="4097" max="4097" width="10.140625" style="1" customWidth="1"/>
    <col min="4098" max="4337" width="9.140625" style="1"/>
    <col min="4338" max="4338" width="20" style="1" customWidth="1"/>
    <col min="4339" max="4339" width="11.7109375" style="1" customWidth="1"/>
    <col min="4340" max="4340" width="11.140625" style="1" customWidth="1"/>
    <col min="4341" max="4341" width="11.42578125" style="1" customWidth="1"/>
    <col min="4342" max="4342" width="12.140625" style="1" customWidth="1"/>
    <col min="4343" max="4343" width="9.140625" style="1"/>
    <col min="4344" max="4344" width="13.140625" style="1" customWidth="1"/>
    <col min="4345" max="4345" width="9.140625" style="1"/>
    <col min="4346" max="4346" width="12.28515625" style="1" customWidth="1"/>
    <col min="4347" max="4347" width="14.28515625" style="1" customWidth="1"/>
    <col min="4348" max="4348" width="10.140625" style="1" customWidth="1"/>
    <col min="4349" max="4349" width="9.140625" style="1"/>
    <col min="4350" max="4350" width="12.42578125" style="1" customWidth="1"/>
    <col min="4351" max="4351" width="9.140625" style="1"/>
    <col min="4352" max="4352" width="11.28515625" style="1" customWidth="1"/>
    <col min="4353" max="4353" width="10.140625" style="1" customWidth="1"/>
    <col min="4354" max="4593" width="9.140625" style="1"/>
    <col min="4594" max="4594" width="20" style="1" customWidth="1"/>
    <col min="4595" max="4595" width="11.7109375" style="1" customWidth="1"/>
    <col min="4596" max="4596" width="11.140625" style="1" customWidth="1"/>
    <col min="4597" max="4597" width="11.42578125" style="1" customWidth="1"/>
    <col min="4598" max="4598" width="12.140625" style="1" customWidth="1"/>
    <col min="4599" max="4599" width="9.140625" style="1"/>
    <col min="4600" max="4600" width="13.140625" style="1" customWidth="1"/>
    <col min="4601" max="4601" width="9.140625" style="1"/>
    <col min="4602" max="4602" width="12.28515625" style="1" customWidth="1"/>
    <col min="4603" max="4603" width="14.28515625" style="1" customWidth="1"/>
    <col min="4604" max="4604" width="10.140625" style="1" customWidth="1"/>
    <col min="4605" max="4605" width="9.140625" style="1"/>
    <col min="4606" max="4606" width="12.42578125" style="1" customWidth="1"/>
    <col min="4607" max="4607" width="9.140625" style="1"/>
    <col min="4608" max="4608" width="11.28515625" style="1" customWidth="1"/>
    <col min="4609" max="4609" width="10.140625" style="1" customWidth="1"/>
    <col min="4610" max="4849" width="9.140625" style="1"/>
    <col min="4850" max="4850" width="20" style="1" customWidth="1"/>
    <col min="4851" max="4851" width="11.7109375" style="1" customWidth="1"/>
    <col min="4852" max="4852" width="11.140625" style="1" customWidth="1"/>
    <col min="4853" max="4853" width="11.42578125" style="1" customWidth="1"/>
    <col min="4854" max="4854" width="12.140625" style="1" customWidth="1"/>
    <col min="4855" max="4855" width="9.140625" style="1"/>
    <col min="4856" max="4856" width="13.140625" style="1" customWidth="1"/>
    <col min="4857" max="4857" width="9.140625" style="1"/>
    <col min="4858" max="4858" width="12.28515625" style="1" customWidth="1"/>
    <col min="4859" max="4859" width="14.28515625" style="1" customWidth="1"/>
    <col min="4860" max="4860" width="10.140625" style="1" customWidth="1"/>
    <col min="4861" max="4861" width="9.140625" style="1"/>
    <col min="4862" max="4862" width="12.42578125" style="1" customWidth="1"/>
    <col min="4863" max="4863" width="9.140625" style="1"/>
    <col min="4864" max="4864" width="11.28515625" style="1" customWidth="1"/>
    <col min="4865" max="4865" width="10.140625" style="1" customWidth="1"/>
    <col min="4866" max="5105" width="9.140625" style="1"/>
    <col min="5106" max="5106" width="20" style="1" customWidth="1"/>
    <col min="5107" max="5107" width="11.7109375" style="1" customWidth="1"/>
    <col min="5108" max="5108" width="11.140625" style="1" customWidth="1"/>
    <col min="5109" max="5109" width="11.42578125" style="1" customWidth="1"/>
    <col min="5110" max="5110" width="12.140625" style="1" customWidth="1"/>
    <col min="5111" max="5111" width="9.140625" style="1"/>
    <col min="5112" max="5112" width="13.140625" style="1" customWidth="1"/>
    <col min="5113" max="5113" width="9.140625" style="1"/>
    <col min="5114" max="5114" width="12.28515625" style="1" customWidth="1"/>
    <col min="5115" max="5115" width="14.28515625" style="1" customWidth="1"/>
    <col min="5116" max="5116" width="10.140625" style="1" customWidth="1"/>
    <col min="5117" max="5117" width="9.140625" style="1"/>
    <col min="5118" max="5118" width="12.42578125" style="1" customWidth="1"/>
    <col min="5119" max="5119" width="9.140625" style="1"/>
    <col min="5120" max="5120" width="11.28515625" style="1" customWidth="1"/>
    <col min="5121" max="5121" width="10.140625" style="1" customWidth="1"/>
    <col min="5122" max="5361" width="9.140625" style="1"/>
    <col min="5362" max="5362" width="20" style="1" customWidth="1"/>
    <col min="5363" max="5363" width="11.7109375" style="1" customWidth="1"/>
    <col min="5364" max="5364" width="11.140625" style="1" customWidth="1"/>
    <col min="5365" max="5365" width="11.42578125" style="1" customWidth="1"/>
    <col min="5366" max="5366" width="12.140625" style="1" customWidth="1"/>
    <col min="5367" max="5367" width="9.140625" style="1"/>
    <col min="5368" max="5368" width="13.140625" style="1" customWidth="1"/>
    <col min="5369" max="5369" width="9.140625" style="1"/>
    <col min="5370" max="5370" width="12.28515625" style="1" customWidth="1"/>
    <col min="5371" max="5371" width="14.28515625" style="1" customWidth="1"/>
    <col min="5372" max="5372" width="10.140625" style="1" customWidth="1"/>
    <col min="5373" max="5373" width="9.140625" style="1"/>
    <col min="5374" max="5374" width="12.42578125" style="1" customWidth="1"/>
    <col min="5375" max="5375" width="9.140625" style="1"/>
    <col min="5376" max="5376" width="11.28515625" style="1" customWidth="1"/>
    <col min="5377" max="5377" width="10.140625" style="1" customWidth="1"/>
    <col min="5378" max="5617" width="9.140625" style="1"/>
    <col min="5618" max="5618" width="20" style="1" customWidth="1"/>
    <col min="5619" max="5619" width="11.7109375" style="1" customWidth="1"/>
    <col min="5620" max="5620" width="11.140625" style="1" customWidth="1"/>
    <col min="5621" max="5621" width="11.42578125" style="1" customWidth="1"/>
    <col min="5622" max="5622" width="12.140625" style="1" customWidth="1"/>
    <col min="5623" max="5623" width="9.140625" style="1"/>
    <col min="5624" max="5624" width="13.140625" style="1" customWidth="1"/>
    <col min="5625" max="5625" width="9.140625" style="1"/>
    <col min="5626" max="5626" width="12.28515625" style="1" customWidth="1"/>
    <col min="5627" max="5627" width="14.28515625" style="1" customWidth="1"/>
    <col min="5628" max="5628" width="10.140625" style="1" customWidth="1"/>
    <col min="5629" max="5629" width="9.140625" style="1"/>
    <col min="5630" max="5630" width="12.42578125" style="1" customWidth="1"/>
    <col min="5631" max="5631" width="9.140625" style="1"/>
    <col min="5632" max="5632" width="11.28515625" style="1" customWidth="1"/>
    <col min="5633" max="5633" width="10.140625" style="1" customWidth="1"/>
    <col min="5634" max="5873" width="9.140625" style="1"/>
    <col min="5874" max="5874" width="20" style="1" customWidth="1"/>
    <col min="5875" max="5875" width="11.7109375" style="1" customWidth="1"/>
    <col min="5876" max="5876" width="11.140625" style="1" customWidth="1"/>
    <col min="5877" max="5877" width="11.42578125" style="1" customWidth="1"/>
    <col min="5878" max="5878" width="12.140625" style="1" customWidth="1"/>
    <col min="5879" max="5879" width="9.140625" style="1"/>
    <col min="5880" max="5880" width="13.140625" style="1" customWidth="1"/>
    <col min="5881" max="5881" width="9.140625" style="1"/>
    <col min="5882" max="5882" width="12.28515625" style="1" customWidth="1"/>
    <col min="5883" max="5883" width="14.28515625" style="1" customWidth="1"/>
    <col min="5884" max="5884" width="10.140625" style="1" customWidth="1"/>
    <col min="5885" max="5885" width="9.140625" style="1"/>
    <col min="5886" max="5886" width="12.42578125" style="1" customWidth="1"/>
    <col min="5887" max="5887" width="9.140625" style="1"/>
    <col min="5888" max="5888" width="11.28515625" style="1" customWidth="1"/>
    <col min="5889" max="5889" width="10.140625" style="1" customWidth="1"/>
    <col min="5890" max="6129" width="9.140625" style="1"/>
    <col min="6130" max="6130" width="20" style="1" customWidth="1"/>
    <col min="6131" max="6131" width="11.7109375" style="1" customWidth="1"/>
    <col min="6132" max="6132" width="11.140625" style="1" customWidth="1"/>
    <col min="6133" max="6133" width="11.42578125" style="1" customWidth="1"/>
    <col min="6134" max="6134" width="12.140625" style="1" customWidth="1"/>
    <col min="6135" max="6135" width="9.140625" style="1"/>
    <col min="6136" max="6136" width="13.140625" style="1" customWidth="1"/>
    <col min="6137" max="6137" width="9.140625" style="1"/>
    <col min="6138" max="6138" width="12.28515625" style="1" customWidth="1"/>
    <col min="6139" max="6139" width="14.28515625" style="1" customWidth="1"/>
    <col min="6140" max="6140" width="10.140625" style="1" customWidth="1"/>
    <col min="6141" max="6141" width="9.140625" style="1"/>
    <col min="6142" max="6142" width="12.42578125" style="1" customWidth="1"/>
    <col min="6143" max="6143" width="9.140625" style="1"/>
    <col min="6144" max="6144" width="11.28515625" style="1" customWidth="1"/>
    <col min="6145" max="6145" width="10.140625" style="1" customWidth="1"/>
    <col min="6146" max="6385" width="9.140625" style="1"/>
    <col min="6386" max="6386" width="20" style="1" customWidth="1"/>
    <col min="6387" max="6387" width="11.7109375" style="1" customWidth="1"/>
    <col min="6388" max="6388" width="11.140625" style="1" customWidth="1"/>
    <col min="6389" max="6389" width="11.42578125" style="1" customWidth="1"/>
    <col min="6390" max="6390" width="12.140625" style="1" customWidth="1"/>
    <col min="6391" max="6391" width="9.140625" style="1"/>
    <col min="6392" max="6392" width="13.140625" style="1" customWidth="1"/>
    <col min="6393" max="6393" width="9.140625" style="1"/>
    <col min="6394" max="6394" width="12.28515625" style="1" customWidth="1"/>
    <col min="6395" max="6395" width="14.28515625" style="1" customWidth="1"/>
    <col min="6396" max="6396" width="10.140625" style="1" customWidth="1"/>
    <col min="6397" max="6397" width="9.140625" style="1"/>
    <col min="6398" max="6398" width="12.42578125" style="1" customWidth="1"/>
    <col min="6399" max="6399" width="9.140625" style="1"/>
    <col min="6400" max="6400" width="11.28515625" style="1" customWidth="1"/>
    <col min="6401" max="6401" width="10.140625" style="1" customWidth="1"/>
    <col min="6402" max="6641" width="9.140625" style="1"/>
    <col min="6642" max="6642" width="20" style="1" customWidth="1"/>
    <col min="6643" max="6643" width="11.7109375" style="1" customWidth="1"/>
    <col min="6644" max="6644" width="11.140625" style="1" customWidth="1"/>
    <col min="6645" max="6645" width="11.42578125" style="1" customWidth="1"/>
    <col min="6646" max="6646" width="12.140625" style="1" customWidth="1"/>
    <col min="6647" max="6647" width="9.140625" style="1"/>
    <col min="6648" max="6648" width="13.140625" style="1" customWidth="1"/>
    <col min="6649" max="6649" width="9.140625" style="1"/>
    <col min="6650" max="6650" width="12.28515625" style="1" customWidth="1"/>
    <col min="6651" max="6651" width="14.28515625" style="1" customWidth="1"/>
    <col min="6652" max="6652" width="10.140625" style="1" customWidth="1"/>
    <col min="6653" max="6653" width="9.140625" style="1"/>
    <col min="6654" max="6654" width="12.42578125" style="1" customWidth="1"/>
    <col min="6655" max="6655" width="9.140625" style="1"/>
    <col min="6656" max="6656" width="11.28515625" style="1" customWidth="1"/>
    <col min="6657" max="6657" width="10.140625" style="1" customWidth="1"/>
    <col min="6658" max="6897" width="9.140625" style="1"/>
    <col min="6898" max="6898" width="20" style="1" customWidth="1"/>
    <col min="6899" max="6899" width="11.7109375" style="1" customWidth="1"/>
    <col min="6900" max="6900" width="11.140625" style="1" customWidth="1"/>
    <col min="6901" max="6901" width="11.42578125" style="1" customWidth="1"/>
    <col min="6902" max="6902" width="12.140625" style="1" customWidth="1"/>
    <col min="6903" max="6903" width="9.140625" style="1"/>
    <col min="6904" max="6904" width="13.140625" style="1" customWidth="1"/>
    <col min="6905" max="6905" width="9.140625" style="1"/>
    <col min="6906" max="6906" width="12.28515625" style="1" customWidth="1"/>
    <col min="6907" max="6907" width="14.28515625" style="1" customWidth="1"/>
    <col min="6908" max="6908" width="10.140625" style="1" customWidth="1"/>
    <col min="6909" max="6909" width="9.140625" style="1"/>
    <col min="6910" max="6910" width="12.42578125" style="1" customWidth="1"/>
    <col min="6911" max="6911" width="9.140625" style="1"/>
    <col min="6912" max="6912" width="11.28515625" style="1" customWidth="1"/>
    <col min="6913" max="6913" width="10.140625" style="1" customWidth="1"/>
    <col min="6914" max="7153" width="9.140625" style="1"/>
    <col min="7154" max="7154" width="20" style="1" customWidth="1"/>
    <col min="7155" max="7155" width="11.7109375" style="1" customWidth="1"/>
    <col min="7156" max="7156" width="11.140625" style="1" customWidth="1"/>
    <col min="7157" max="7157" width="11.42578125" style="1" customWidth="1"/>
    <col min="7158" max="7158" width="12.140625" style="1" customWidth="1"/>
    <col min="7159" max="7159" width="9.140625" style="1"/>
    <col min="7160" max="7160" width="13.140625" style="1" customWidth="1"/>
    <col min="7161" max="7161" width="9.140625" style="1"/>
    <col min="7162" max="7162" width="12.28515625" style="1" customWidth="1"/>
    <col min="7163" max="7163" width="14.28515625" style="1" customWidth="1"/>
    <col min="7164" max="7164" width="10.140625" style="1" customWidth="1"/>
    <col min="7165" max="7165" width="9.140625" style="1"/>
    <col min="7166" max="7166" width="12.42578125" style="1" customWidth="1"/>
    <col min="7167" max="7167" width="9.140625" style="1"/>
    <col min="7168" max="7168" width="11.28515625" style="1" customWidth="1"/>
    <col min="7169" max="7169" width="10.140625" style="1" customWidth="1"/>
    <col min="7170" max="7409" width="9.140625" style="1"/>
    <col min="7410" max="7410" width="20" style="1" customWidth="1"/>
    <col min="7411" max="7411" width="11.7109375" style="1" customWidth="1"/>
    <col min="7412" max="7412" width="11.140625" style="1" customWidth="1"/>
    <col min="7413" max="7413" width="11.42578125" style="1" customWidth="1"/>
    <col min="7414" max="7414" width="12.140625" style="1" customWidth="1"/>
    <col min="7415" max="7415" width="9.140625" style="1"/>
    <col min="7416" max="7416" width="13.140625" style="1" customWidth="1"/>
    <col min="7417" max="7417" width="9.140625" style="1"/>
    <col min="7418" max="7418" width="12.28515625" style="1" customWidth="1"/>
    <col min="7419" max="7419" width="14.28515625" style="1" customWidth="1"/>
    <col min="7420" max="7420" width="10.140625" style="1" customWidth="1"/>
    <col min="7421" max="7421" width="9.140625" style="1"/>
    <col min="7422" max="7422" width="12.42578125" style="1" customWidth="1"/>
    <col min="7423" max="7423" width="9.140625" style="1"/>
    <col min="7424" max="7424" width="11.28515625" style="1" customWidth="1"/>
    <col min="7425" max="7425" width="10.140625" style="1" customWidth="1"/>
    <col min="7426" max="7665" width="9.140625" style="1"/>
    <col min="7666" max="7666" width="20" style="1" customWidth="1"/>
    <col min="7667" max="7667" width="11.7109375" style="1" customWidth="1"/>
    <col min="7668" max="7668" width="11.140625" style="1" customWidth="1"/>
    <col min="7669" max="7669" width="11.42578125" style="1" customWidth="1"/>
    <col min="7670" max="7670" width="12.140625" style="1" customWidth="1"/>
    <col min="7671" max="7671" width="9.140625" style="1"/>
    <col min="7672" max="7672" width="13.140625" style="1" customWidth="1"/>
    <col min="7673" max="7673" width="9.140625" style="1"/>
    <col min="7674" max="7674" width="12.28515625" style="1" customWidth="1"/>
    <col min="7675" max="7675" width="14.28515625" style="1" customWidth="1"/>
    <col min="7676" max="7676" width="10.140625" style="1" customWidth="1"/>
    <col min="7677" max="7677" width="9.140625" style="1"/>
    <col min="7678" max="7678" width="12.42578125" style="1" customWidth="1"/>
    <col min="7679" max="7679" width="9.140625" style="1"/>
    <col min="7680" max="7680" width="11.28515625" style="1" customWidth="1"/>
    <col min="7681" max="7681" width="10.140625" style="1" customWidth="1"/>
    <col min="7682" max="7921" width="9.140625" style="1"/>
    <col min="7922" max="7922" width="20" style="1" customWidth="1"/>
    <col min="7923" max="7923" width="11.7109375" style="1" customWidth="1"/>
    <col min="7924" max="7924" width="11.140625" style="1" customWidth="1"/>
    <col min="7925" max="7925" width="11.42578125" style="1" customWidth="1"/>
    <col min="7926" max="7926" width="12.140625" style="1" customWidth="1"/>
    <col min="7927" max="7927" width="9.140625" style="1"/>
    <col min="7928" max="7928" width="13.140625" style="1" customWidth="1"/>
    <col min="7929" max="7929" width="9.140625" style="1"/>
    <col min="7930" max="7930" width="12.28515625" style="1" customWidth="1"/>
    <col min="7931" max="7931" width="14.28515625" style="1" customWidth="1"/>
    <col min="7932" max="7932" width="10.140625" style="1" customWidth="1"/>
    <col min="7933" max="7933" width="9.140625" style="1"/>
    <col min="7934" max="7934" width="12.42578125" style="1" customWidth="1"/>
    <col min="7935" max="7935" width="9.140625" style="1"/>
    <col min="7936" max="7936" width="11.28515625" style="1" customWidth="1"/>
    <col min="7937" max="7937" width="10.140625" style="1" customWidth="1"/>
    <col min="7938" max="8177" width="9.140625" style="1"/>
    <col min="8178" max="8178" width="20" style="1" customWidth="1"/>
    <col min="8179" max="8179" width="11.7109375" style="1" customWidth="1"/>
    <col min="8180" max="8180" width="11.140625" style="1" customWidth="1"/>
    <col min="8181" max="8181" width="11.42578125" style="1" customWidth="1"/>
    <col min="8182" max="8182" width="12.140625" style="1" customWidth="1"/>
    <col min="8183" max="8183" width="9.140625" style="1"/>
    <col min="8184" max="8184" width="13.140625" style="1" customWidth="1"/>
    <col min="8185" max="8185" width="9.140625" style="1"/>
    <col min="8186" max="8186" width="12.28515625" style="1" customWidth="1"/>
    <col min="8187" max="8187" width="14.28515625" style="1" customWidth="1"/>
    <col min="8188" max="8188" width="10.140625" style="1" customWidth="1"/>
    <col min="8189" max="8189" width="9.140625" style="1"/>
    <col min="8190" max="8190" width="12.42578125" style="1" customWidth="1"/>
    <col min="8191" max="8191" width="9.140625" style="1"/>
    <col min="8192" max="8192" width="11.28515625" style="1" customWidth="1"/>
    <col min="8193" max="8193" width="10.140625" style="1" customWidth="1"/>
    <col min="8194" max="8433" width="9.140625" style="1"/>
    <col min="8434" max="8434" width="20" style="1" customWidth="1"/>
    <col min="8435" max="8435" width="11.7109375" style="1" customWidth="1"/>
    <col min="8436" max="8436" width="11.140625" style="1" customWidth="1"/>
    <col min="8437" max="8437" width="11.42578125" style="1" customWidth="1"/>
    <col min="8438" max="8438" width="12.140625" style="1" customWidth="1"/>
    <col min="8439" max="8439" width="9.140625" style="1"/>
    <col min="8440" max="8440" width="13.140625" style="1" customWidth="1"/>
    <col min="8441" max="8441" width="9.140625" style="1"/>
    <col min="8442" max="8442" width="12.28515625" style="1" customWidth="1"/>
    <col min="8443" max="8443" width="14.28515625" style="1" customWidth="1"/>
    <col min="8444" max="8444" width="10.140625" style="1" customWidth="1"/>
    <col min="8445" max="8445" width="9.140625" style="1"/>
    <col min="8446" max="8446" width="12.42578125" style="1" customWidth="1"/>
    <col min="8447" max="8447" width="9.140625" style="1"/>
    <col min="8448" max="8448" width="11.28515625" style="1" customWidth="1"/>
    <col min="8449" max="8449" width="10.140625" style="1" customWidth="1"/>
    <col min="8450" max="8689" width="9.140625" style="1"/>
    <col min="8690" max="8690" width="20" style="1" customWidth="1"/>
    <col min="8691" max="8691" width="11.7109375" style="1" customWidth="1"/>
    <col min="8692" max="8692" width="11.140625" style="1" customWidth="1"/>
    <col min="8693" max="8693" width="11.42578125" style="1" customWidth="1"/>
    <col min="8694" max="8694" width="12.140625" style="1" customWidth="1"/>
    <col min="8695" max="8695" width="9.140625" style="1"/>
    <col min="8696" max="8696" width="13.140625" style="1" customWidth="1"/>
    <col min="8697" max="8697" width="9.140625" style="1"/>
    <col min="8698" max="8698" width="12.28515625" style="1" customWidth="1"/>
    <col min="8699" max="8699" width="14.28515625" style="1" customWidth="1"/>
    <col min="8700" max="8700" width="10.140625" style="1" customWidth="1"/>
    <col min="8701" max="8701" width="9.140625" style="1"/>
    <col min="8702" max="8702" width="12.42578125" style="1" customWidth="1"/>
    <col min="8703" max="8703" width="9.140625" style="1"/>
    <col min="8704" max="8704" width="11.28515625" style="1" customWidth="1"/>
    <col min="8705" max="8705" width="10.140625" style="1" customWidth="1"/>
    <col min="8706" max="8945" width="9.140625" style="1"/>
    <col min="8946" max="8946" width="20" style="1" customWidth="1"/>
    <col min="8947" max="8947" width="11.7109375" style="1" customWidth="1"/>
    <col min="8948" max="8948" width="11.140625" style="1" customWidth="1"/>
    <col min="8949" max="8949" width="11.42578125" style="1" customWidth="1"/>
    <col min="8950" max="8950" width="12.140625" style="1" customWidth="1"/>
    <col min="8951" max="8951" width="9.140625" style="1"/>
    <col min="8952" max="8952" width="13.140625" style="1" customWidth="1"/>
    <col min="8953" max="8953" width="9.140625" style="1"/>
    <col min="8954" max="8954" width="12.28515625" style="1" customWidth="1"/>
    <col min="8955" max="8955" width="14.28515625" style="1" customWidth="1"/>
    <col min="8956" max="8956" width="10.140625" style="1" customWidth="1"/>
    <col min="8957" max="8957" width="9.140625" style="1"/>
    <col min="8958" max="8958" width="12.42578125" style="1" customWidth="1"/>
    <col min="8959" max="8959" width="9.140625" style="1"/>
    <col min="8960" max="8960" width="11.28515625" style="1" customWidth="1"/>
    <col min="8961" max="8961" width="10.140625" style="1" customWidth="1"/>
    <col min="8962" max="9201" width="9.140625" style="1"/>
    <col min="9202" max="9202" width="20" style="1" customWidth="1"/>
    <col min="9203" max="9203" width="11.7109375" style="1" customWidth="1"/>
    <col min="9204" max="9204" width="11.140625" style="1" customWidth="1"/>
    <col min="9205" max="9205" width="11.42578125" style="1" customWidth="1"/>
    <col min="9206" max="9206" width="12.140625" style="1" customWidth="1"/>
    <col min="9207" max="9207" width="9.140625" style="1"/>
    <col min="9208" max="9208" width="13.140625" style="1" customWidth="1"/>
    <col min="9209" max="9209" width="9.140625" style="1"/>
    <col min="9210" max="9210" width="12.28515625" style="1" customWidth="1"/>
    <col min="9211" max="9211" width="14.28515625" style="1" customWidth="1"/>
    <col min="9212" max="9212" width="10.140625" style="1" customWidth="1"/>
    <col min="9213" max="9213" width="9.140625" style="1"/>
    <col min="9214" max="9214" width="12.42578125" style="1" customWidth="1"/>
    <col min="9215" max="9215" width="9.140625" style="1"/>
    <col min="9216" max="9216" width="11.28515625" style="1" customWidth="1"/>
    <col min="9217" max="9217" width="10.140625" style="1" customWidth="1"/>
    <col min="9218" max="9457" width="9.140625" style="1"/>
    <col min="9458" max="9458" width="20" style="1" customWidth="1"/>
    <col min="9459" max="9459" width="11.7109375" style="1" customWidth="1"/>
    <col min="9460" max="9460" width="11.140625" style="1" customWidth="1"/>
    <col min="9461" max="9461" width="11.42578125" style="1" customWidth="1"/>
    <col min="9462" max="9462" width="12.140625" style="1" customWidth="1"/>
    <col min="9463" max="9463" width="9.140625" style="1"/>
    <col min="9464" max="9464" width="13.140625" style="1" customWidth="1"/>
    <col min="9465" max="9465" width="9.140625" style="1"/>
    <col min="9466" max="9466" width="12.28515625" style="1" customWidth="1"/>
    <col min="9467" max="9467" width="14.28515625" style="1" customWidth="1"/>
    <col min="9468" max="9468" width="10.140625" style="1" customWidth="1"/>
    <col min="9469" max="9469" width="9.140625" style="1"/>
    <col min="9470" max="9470" width="12.42578125" style="1" customWidth="1"/>
    <col min="9471" max="9471" width="9.140625" style="1"/>
    <col min="9472" max="9472" width="11.28515625" style="1" customWidth="1"/>
    <col min="9473" max="9473" width="10.140625" style="1" customWidth="1"/>
    <col min="9474" max="9713" width="9.140625" style="1"/>
    <col min="9714" max="9714" width="20" style="1" customWidth="1"/>
    <col min="9715" max="9715" width="11.7109375" style="1" customWidth="1"/>
    <col min="9716" max="9716" width="11.140625" style="1" customWidth="1"/>
    <col min="9717" max="9717" width="11.42578125" style="1" customWidth="1"/>
    <col min="9718" max="9718" width="12.140625" style="1" customWidth="1"/>
    <col min="9719" max="9719" width="9.140625" style="1"/>
    <col min="9720" max="9720" width="13.140625" style="1" customWidth="1"/>
    <col min="9721" max="9721" width="9.140625" style="1"/>
    <col min="9722" max="9722" width="12.28515625" style="1" customWidth="1"/>
    <col min="9723" max="9723" width="14.28515625" style="1" customWidth="1"/>
    <col min="9724" max="9724" width="10.140625" style="1" customWidth="1"/>
    <col min="9725" max="9725" width="9.140625" style="1"/>
    <col min="9726" max="9726" width="12.42578125" style="1" customWidth="1"/>
    <col min="9727" max="9727" width="9.140625" style="1"/>
    <col min="9728" max="9728" width="11.28515625" style="1" customWidth="1"/>
    <col min="9729" max="9729" width="10.140625" style="1" customWidth="1"/>
    <col min="9730" max="9969" width="9.140625" style="1"/>
    <col min="9970" max="9970" width="20" style="1" customWidth="1"/>
    <col min="9971" max="9971" width="11.7109375" style="1" customWidth="1"/>
    <col min="9972" max="9972" width="11.140625" style="1" customWidth="1"/>
    <col min="9973" max="9973" width="11.42578125" style="1" customWidth="1"/>
    <col min="9974" max="9974" width="12.140625" style="1" customWidth="1"/>
    <col min="9975" max="9975" width="9.140625" style="1"/>
    <col min="9976" max="9976" width="13.140625" style="1" customWidth="1"/>
    <col min="9977" max="9977" width="9.140625" style="1"/>
    <col min="9978" max="9978" width="12.28515625" style="1" customWidth="1"/>
    <col min="9979" max="9979" width="14.28515625" style="1" customWidth="1"/>
    <col min="9980" max="9980" width="10.140625" style="1" customWidth="1"/>
    <col min="9981" max="9981" width="9.140625" style="1"/>
    <col min="9982" max="9982" width="12.42578125" style="1" customWidth="1"/>
    <col min="9983" max="9983" width="9.140625" style="1"/>
    <col min="9984" max="9984" width="11.28515625" style="1" customWidth="1"/>
    <col min="9985" max="9985" width="10.140625" style="1" customWidth="1"/>
    <col min="9986" max="10225" width="9.140625" style="1"/>
    <col min="10226" max="10226" width="20" style="1" customWidth="1"/>
    <col min="10227" max="10227" width="11.7109375" style="1" customWidth="1"/>
    <col min="10228" max="10228" width="11.140625" style="1" customWidth="1"/>
    <col min="10229" max="10229" width="11.42578125" style="1" customWidth="1"/>
    <col min="10230" max="10230" width="12.140625" style="1" customWidth="1"/>
    <col min="10231" max="10231" width="9.140625" style="1"/>
    <col min="10232" max="10232" width="13.140625" style="1" customWidth="1"/>
    <col min="10233" max="10233" width="9.140625" style="1"/>
    <col min="10234" max="10234" width="12.28515625" style="1" customWidth="1"/>
    <col min="10235" max="10235" width="14.28515625" style="1" customWidth="1"/>
    <col min="10236" max="10236" width="10.140625" style="1" customWidth="1"/>
    <col min="10237" max="10237" width="9.140625" style="1"/>
    <col min="10238" max="10238" width="12.42578125" style="1" customWidth="1"/>
    <col min="10239" max="10239" width="9.140625" style="1"/>
    <col min="10240" max="10240" width="11.28515625" style="1" customWidth="1"/>
    <col min="10241" max="10241" width="10.140625" style="1" customWidth="1"/>
    <col min="10242" max="10481" width="9.140625" style="1"/>
    <col min="10482" max="10482" width="20" style="1" customWidth="1"/>
    <col min="10483" max="10483" width="11.7109375" style="1" customWidth="1"/>
    <col min="10484" max="10484" width="11.140625" style="1" customWidth="1"/>
    <col min="10485" max="10485" width="11.42578125" style="1" customWidth="1"/>
    <col min="10486" max="10486" width="12.140625" style="1" customWidth="1"/>
    <col min="10487" max="10487" width="9.140625" style="1"/>
    <col min="10488" max="10488" width="13.140625" style="1" customWidth="1"/>
    <col min="10489" max="10489" width="9.140625" style="1"/>
    <col min="10490" max="10490" width="12.28515625" style="1" customWidth="1"/>
    <col min="10491" max="10491" width="14.28515625" style="1" customWidth="1"/>
    <col min="10492" max="10492" width="10.140625" style="1" customWidth="1"/>
    <col min="10493" max="10493" width="9.140625" style="1"/>
    <col min="10494" max="10494" width="12.42578125" style="1" customWidth="1"/>
    <col min="10495" max="10495" width="9.140625" style="1"/>
    <col min="10496" max="10496" width="11.28515625" style="1" customWidth="1"/>
    <col min="10497" max="10497" width="10.140625" style="1" customWidth="1"/>
    <col min="10498" max="10737" width="9.140625" style="1"/>
    <col min="10738" max="10738" width="20" style="1" customWidth="1"/>
    <col min="10739" max="10739" width="11.7109375" style="1" customWidth="1"/>
    <col min="10740" max="10740" width="11.140625" style="1" customWidth="1"/>
    <col min="10741" max="10741" width="11.42578125" style="1" customWidth="1"/>
    <col min="10742" max="10742" width="12.140625" style="1" customWidth="1"/>
    <col min="10743" max="10743" width="9.140625" style="1"/>
    <col min="10744" max="10744" width="13.140625" style="1" customWidth="1"/>
    <col min="10745" max="10745" width="9.140625" style="1"/>
    <col min="10746" max="10746" width="12.28515625" style="1" customWidth="1"/>
    <col min="10747" max="10747" width="14.28515625" style="1" customWidth="1"/>
    <col min="10748" max="10748" width="10.140625" style="1" customWidth="1"/>
    <col min="10749" max="10749" width="9.140625" style="1"/>
    <col min="10750" max="10750" width="12.42578125" style="1" customWidth="1"/>
    <col min="10751" max="10751" width="9.140625" style="1"/>
    <col min="10752" max="10752" width="11.28515625" style="1" customWidth="1"/>
    <col min="10753" max="10753" width="10.140625" style="1" customWidth="1"/>
    <col min="10754" max="10993" width="9.140625" style="1"/>
    <col min="10994" max="10994" width="20" style="1" customWidth="1"/>
    <col min="10995" max="10995" width="11.7109375" style="1" customWidth="1"/>
    <col min="10996" max="10996" width="11.140625" style="1" customWidth="1"/>
    <col min="10997" max="10997" width="11.42578125" style="1" customWidth="1"/>
    <col min="10998" max="10998" width="12.140625" style="1" customWidth="1"/>
    <col min="10999" max="10999" width="9.140625" style="1"/>
    <col min="11000" max="11000" width="13.140625" style="1" customWidth="1"/>
    <col min="11001" max="11001" width="9.140625" style="1"/>
    <col min="11002" max="11002" width="12.28515625" style="1" customWidth="1"/>
    <col min="11003" max="11003" width="14.28515625" style="1" customWidth="1"/>
    <col min="11004" max="11004" width="10.140625" style="1" customWidth="1"/>
    <col min="11005" max="11005" width="9.140625" style="1"/>
    <col min="11006" max="11006" width="12.42578125" style="1" customWidth="1"/>
    <col min="11007" max="11007" width="9.140625" style="1"/>
    <col min="11008" max="11008" width="11.28515625" style="1" customWidth="1"/>
    <col min="11009" max="11009" width="10.140625" style="1" customWidth="1"/>
    <col min="11010" max="11249" width="9.140625" style="1"/>
    <col min="11250" max="11250" width="20" style="1" customWidth="1"/>
    <col min="11251" max="11251" width="11.7109375" style="1" customWidth="1"/>
    <col min="11252" max="11252" width="11.140625" style="1" customWidth="1"/>
    <col min="11253" max="11253" width="11.42578125" style="1" customWidth="1"/>
    <col min="11254" max="11254" width="12.140625" style="1" customWidth="1"/>
    <col min="11255" max="11255" width="9.140625" style="1"/>
    <col min="11256" max="11256" width="13.140625" style="1" customWidth="1"/>
    <col min="11257" max="11257" width="9.140625" style="1"/>
    <col min="11258" max="11258" width="12.28515625" style="1" customWidth="1"/>
    <col min="11259" max="11259" width="14.28515625" style="1" customWidth="1"/>
    <col min="11260" max="11260" width="10.140625" style="1" customWidth="1"/>
    <col min="11261" max="11261" width="9.140625" style="1"/>
    <col min="11262" max="11262" width="12.42578125" style="1" customWidth="1"/>
    <col min="11263" max="11263" width="9.140625" style="1"/>
    <col min="11264" max="11264" width="11.28515625" style="1" customWidth="1"/>
    <col min="11265" max="11265" width="10.140625" style="1" customWidth="1"/>
    <col min="11266" max="11505" width="9.140625" style="1"/>
    <col min="11506" max="11506" width="20" style="1" customWidth="1"/>
    <col min="11507" max="11507" width="11.7109375" style="1" customWidth="1"/>
    <col min="11508" max="11508" width="11.140625" style="1" customWidth="1"/>
    <col min="11509" max="11509" width="11.42578125" style="1" customWidth="1"/>
    <col min="11510" max="11510" width="12.140625" style="1" customWidth="1"/>
    <col min="11511" max="11511" width="9.140625" style="1"/>
    <col min="11512" max="11512" width="13.140625" style="1" customWidth="1"/>
    <col min="11513" max="11513" width="9.140625" style="1"/>
    <col min="11514" max="11514" width="12.28515625" style="1" customWidth="1"/>
    <col min="11515" max="11515" width="14.28515625" style="1" customWidth="1"/>
    <col min="11516" max="11516" width="10.140625" style="1" customWidth="1"/>
    <col min="11517" max="11517" width="9.140625" style="1"/>
    <col min="11518" max="11518" width="12.42578125" style="1" customWidth="1"/>
    <col min="11519" max="11519" width="9.140625" style="1"/>
    <col min="11520" max="11520" width="11.28515625" style="1" customWidth="1"/>
    <col min="11521" max="11521" width="10.140625" style="1" customWidth="1"/>
    <col min="11522" max="11761" width="9.140625" style="1"/>
    <col min="11762" max="11762" width="20" style="1" customWidth="1"/>
    <col min="11763" max="11763" width="11.7109375" style="1" customWidth="1"/>
    <col min="11764" max="11764" width="11.140625" style="1" customWidth="1"/>
    <col min="11765" max="11765" width="11.42578125" style="1" customWidth="1"/>
    <col min="11766" max="11766" width="12.140625" style="1" customWidth="1"/>
    <col min="11767" max="11767" width="9.140625" style="1"/>
    <col min="11768" max="11768" width="13.140625" style="1" customWidth="1"/>
    <col min="11769" max="11769" width="9.140625" style="1"/>
    <col min="11770" max="11770" width="12.28515625" style="1" customWidth="1"/>
    <col min="11771" max="11771" width="14.28515625" style="1" customWidth="1"/>
    <col min="11772" max="11772" width="10.140625" style="1" customWidth="1"/>
    <col min="11773" max="11773" width="9.140625" style="1"/>
    <col min="11774" max="11774" width="12.42578125" style="1" customWidth="1"/>
    <col min="11775" max="11775" width="9.140625" style="1"/>
    <col min="11776" max="11776" width="11.28515625" style="1" customWidth="1"/>
    <col min="11777" max="11777" width="10.140625" style="1" customWidth="1"/>
    <col min="11778" max="12017" width="9.140625" style="1"/>
    <col min="12018" max="12018" width="20" style="1" customWidth="1"/>
    <col min="12019" max="12019" width="11.7109375" style="1" customWidth="1"/>
    <col min="12020" max="12020" width="11.140625" style="1" customWidth="1"/>
    <col min="12021" max="12021" width="11.42578125" style="1" customWidth="1"/>
    <col min="12022" max="12022" width="12.140625" style="1" customWidth="1"/>
    <col min="12023" max="12023" width="9.140625" style="1"/>
    <col min="12024" max="12024" width="13.140625" style="1" customWidth="1"/>
    <col min="12025" max="12025" width="9.140625" style="1"/>
    <col min="12026" max="12026" width="12.28515625" style="1" customWidth="1"/>
    <col min="12027" max="12027" width="14.28515625" style="1" customWidth="1"/>
    <col min="12028" max="12028" width="10.140625" style="1" customWidth="1"/>
    <col min="12029" max="12029" width="9.140625" style="1"/>
    <col min="12030" max="12030" width="12.42578125" style="1" customWidth="1"/>
    <col min="12031" max="12031" width="9.140625" style="1"/>
    <col min="12032" max="12032" width="11.28515625" style="1" customWidth="1"/>
    <col min="12033" max="12033" width="10.140625" style="1" customWidth="1"/>
    <col min="12034" max="12273" width="9.140625" style="1"/>
    <col min="12274" max="12274" width="20" style="1" customWidth="1"/>
    <col min="12275" max="12275" width="11.7109375" style="1" customWidth="1"/>
    <col min="12276" max="12276" width="11.140625" style="1" customWidth="1"/>
    <col min="12277" max="12277" width="11.42578125" style="1" customWidth="1"/>
    <col min="12278" max="12278" width="12.140625" style="1" customWidth="1"/>
    <col min="12279" max="12279" width="9.140625" style="1"/>
    <col min="12280" max="12280" width="13.140625" style="1" customWidth="1"/>
    <col min="12281" max="12281" width="9.140625" style="1"/>
    <col min="12282" max="12282" width="12.28515625" style="1" customWidth="1"/>
    <col min="12283" max="12283" width="14.28515625" style="1" customWidth="1"/>
    <col min="12284" max="12284" width="10.140625" style="1" customWidth="1"/>
    <col min="12285" max="12285" width="9.140625" style="1"/>
    <col min="12286" max="12286" width="12.42578125" style="1" customWidth="1"/>
    <col min="12287" max="12287" width="9.140625" style="1"/>
    <col min="12288" max="12288" width="11.28515625" style="1" customWidth="1"/>
    <col min="12289" max="12289" width="10.140625" style="1" customWidth="1"/>
    <col min="12290" max="12529" width="9.140625" style="1"/>
    <col min="12530" max="12530" width="20" style="1" customWidth="1"/>
    <col min="12531" max="12531" width="11.7109375" style="1" customWidth="1"/>
    <col min="12532" max="12532" width="11.140625" style="1" customWidth="1"/>
    <col min="12533" max="12533" width="11.42578125" style="1" customWidth="1"/>
    <col min="12534" max="12534" width="12.140625" style="1" customWidth="1"/>
    <col min="12535" max="12535" width="9.140625" style="1"/>
    <col min="12536" max="12536" width="13.140625" style="1" customWidth="1"/>
    <col min="12537" max="12537" width="9.140625" style="1"/>
    <col min="12538" max="12538" width="12.28515625" style="1" customWidth="1"/>
    <col min="12539" max="12539" width="14.28515625" style="1" customWidth="1"/>
    <col min="12540" max="12540" width="10.140625" style="1" customWidth="1"/>
    <col min="12541" max="12541" width="9.140625" style="1"/>
    <col min="12542" max="12542" width="12.42578125" style="1" customWidth="1"/>
    <col min="12543" max="12543" width="9.140625" style="1"/>
    <col min="12544" max="12544" width="11.28515625" style="1" customWidth="1"/>
    <col min="12545" max="12545" width="10.140625" style="1" customWidth="1"/>
    <col min="12546" max="12785" width="9.140625" style="1"/>
    <col min="12786" max="12786" width="20" style="1" customWidth="1"/>
    <col min="12787" max="12787" width="11.7109375" style="1" customWidth="1"/>
    <col min="12788" max="12788" width="11.140625" style="1" customWidth="1"/>
    <col min="12789" max="12789" width="11.42578125" style="1" customWidth="1"/>
    <col min="12790" max="12790" width="12.140625" style="1" customWidth="1"/>
    <col min="12791" max="12791" width="9.140625" style="1"/>
    <col min="12792" max="12792" width="13.140625" style="1" customWidth="1"/>
    <col min="12793" max="12793" width="9.140625" style="1"/>
    <col min="12794" max="12794" width="12.28515625" style="1" customWidth="1"/>
    <col min="12795" max="12795" width="14.28515625" style="1" customWidth="1"/>
    <col min="12796" max="12796" width="10.140625" style="1" customWidth="1"/>
    <col min="12797" max="12797" width="9.140625" style="1"/>
    <col min="12798" max="12798" width="12.42578125" style="1" customWidth="1"/>
    <col min="12799" max="12799" width="9.140625" style="1"/>
    <col min="12800" max="12800" width="11.28515625" style="1" customWidth="1"/>
    <col min="12801" max="12801" width="10.140625" style="1" customWidth="1"/>
    <col min="12802" max="13041" width="9.140625" style="1"/>
    <col min="13042" max="13042" width="20" style="1" customWidth="1"/>
    <col min="13043" max="13043" width="11.7109375" style="1" customWidth="1"/>
    <col min="13044" max="13044" width="11.140625" style="1" customWidth="1"/>
    <col min="13045" max="13045" width="11.42578125" style="1" customWidth="1"/>
    <col min="13046" max="13046" width="12.140625" style="1" customWidth="1"/>
    <col min="13047" max="13047" width="9.140625" style="1"/>
    <col min="13048" max="13048" width="13.140625" style="1" customWidth="1"/>
    <col min="13049" max="13049" width="9.140625" style="1"/>
    <col min="13050" max="13050" width="12.28515625" style="1" customWidth="1"/>
    <col min="13051" max="13051" width="14.28515625" style="1" customWidth="1"/>
    <col min="13052" max="13052" width="10.140625" style="1" customWidth="1"/>
    <col min="13053" max="13053" width="9.140625" style="1"/>
    <col min="13054" max="13054" width="12.42578125" style="1" customWidth="1"/>
    <col min="13055" max="13055" width="9.140625" style="1"/>
    <col min="13056" max="13056" width="11.28515625" style="1" customWidth="1"/>
    <col min="13057" max="13057" width="10.140625" style="1" customWidth="1"/>
    <col min="13058" max="13297" width="9.140625" style="1"/>
    <col min="13298" max="13298" width="20" style="1" customWidth="1"/>
    <col min="13299" max="13299" width="11.7109375" style="1" customWidth="1"/>
    <col min="13300" max="13300" width="11.140625" style="1" customWidth="1"/>
    <col min="13301" max="13301" width="11.42578125" style="1" customWidth="1"/>
    <col min="13302" max="13302" width="12.140625" style="1" customWidth="1"/>
    <col min="13303" max="13303" width="9.140625" style="1"/>
    <col min="13304" max="13304" width="13.140625" style="1" customWidth="1"/>
    <col min="13305" max="13305" width="9.140625" style="1"/>
    <col min="13306" max="13306" width="12.28515625" style="1" customWidth="1"/>
    <col min="13307" max="13307" width="14.28515625" style="1" customWidth="1"/>
    <col min="13308" max="13308" width="10.140625" style="1" customWidth="1"/>
    <col min="13309" max="13309" width="9.140625" style="1"/>
    <col min="13310" max="13310" width="12.42578125" style="1" customWidth="1"/>
    <col min="13311" max="13311" width="9.140625" style="1"/>
    <col min="13312" max="13312" width="11.28515625" style="1" customWidth="1"/>
    <col min="13313" max="13313" width="10.140625" style="1" customWidth="1"/>
    <col min="13314" max="13553" width="9.140625" style="1"/>
    <col min="13554" max="13554" width="20" style="1" customWidth="1"/>
    <col min="13555" max="13555" width="11.7109375" style="1" customWidth="1"/>
    <col min="13556" max="13556" width="11.140625" style="1" customWidth="1"/>
    <col min="13557" max="13557" width="11.42578125" style="1" customWidth="1"/>
    <col min="13558" max="13558" width="12.140625" style="1" customWidth="1"/>
    <col min="13559" max="13559" width="9.140625" style="1"/>
    <col min="13560" max="13560" width="13.140625" style="1" customWidth="1"/>
    <col min="13561" max="13561" width="9.140625" style="1"/>
    <col min="13562" max="13562" width="12.28515625" style="1" customWidth="1"/>
    <col min="13563" max="13563" width="14.28515625" style="1" customWidth="1"/>
    <col min="13564" max="13564" width="10.140625" style="1" customWidth="1"/>
    <col min="13565" max="13565" width="9.140625" style="1"/>
    <col min="13566" max="13566" width="12.42578125" style="1" customWidth="1"/>
    <col min="13567" max="13567" width="9.140625" style="1"/>
    <col min="13568" max="13568" width="11.28515625" style="1" customWidth="1"/>
    <col min="13569" max="13569" width="10.140625" style="1" customWidth="1"/>
    <col min="13570" max="13809" width="9.140625" style="1"/>
    <col min="13810" max="13810" width="20" style="1" customWidth="1"/>
    <col min="13811" max="13811" width="11.7109375" style="1" customWidth="1"/>
    <col min="13812" max="13812" width="11.140625" style="1" customWidth="1"/>
    <col min="13813" max="13813" width="11.42578125" style="1" customWidth="1"/>
    <col min="13814" max="13814" width="12.140625" style="1" customWidth="1"/>
    <col min="13815" max="13815" width="9.140625" style="1"/>
    <col min="13816" max="13816" width="13.140625" style="1" customWidth="1"/>
    <col min="13817" max="13817" width="9.140625" style="1"/>
    <col min="13818" max="13818" width="12.28515625" style="1" customWidth="1"/>
    <col min="13819" max="13819" width="14.28515625" style="1" customWidth="1"/>
    <col min="13820" max="13820" width="10.140625" style="1" customWidth="1"/>
    <col min="13821" max="13821" width="9.140625" style="1"/>
    <col min="13822" max="13822" width="12.42578125" style="1" customWidth="1"/>
    <col min="13823" max="13823" width="9.140625" style="1"/>
    <col min="13824" max="13824" width="11.28515625" style="1" customWidth="1"/>
    <col min="13825" max="13825" width="10.140625" style="1" customWidth="1"/>
    <col min="13826" max="14065" width="9.140625" style="1"/>
    <col min="14066" max="14066" width="20" style="1" customWidth="1"/>
    <col min="14067" max="14067" width="11.7109375" style="1" customWidth="1"/>
    <col min="14068" max="14068" width="11.140625" style="1" customWidth="1"/>
    <col min="14069" max="14069" width="11.42578125" style="1" customWidth="1"/>
    <col min="14070" max="14070" width="12.140625" style="1" customWidth="1"/>
    <col min="14071" max="14071" width="9.140625" style="1"/>
    <col min="14072" max="14072" width="13.140625" style="1" customWidth="1"/>
    <col min="14073" max="14073" width="9.140625" style="1"/>
    <col min="14074" max="14074" width="12.28515625" style="1" customWidth="1"/>
    <col min="14075" max="14075" width="14.28515625" style="1" customWidth="1"/>
    <col min="14076" max="14076" width="10.140625" style="1" customWidth="1"/>
    <col min="14077" max="14077" width="9.140625" style="1"/>
    <col min="14078" max="14078" width="12.42578125" style="1" customWidth="1"/>
    <col min="14079" max="14079" width="9.140625" style="1"/>
    <col min="14080" max="14080" width="11.28515625" style="1" customWidth="1"/>
    <col min="14081" max="14081" width="10.140625" style="1" customWidth="1"/>
    <col min="14082" max="14321" width="9.140625" style="1"/>
    <col min="14322" max="14322" width="20" style="1" customWidth="1"/>
    <col min="14323" max="14323" width="11.7109375" style="1" customWidth="1"/>
    <col min="14324" max="14324" width="11.140625" style="1" customWidth="1"/>
    <col min="14325" max="14325" width="11.42578125" style="1" customWidth="1"/>
    <col min="14326" max="14326" width="12.140625" style="1" customWidth="1"/>
    <col min="14327" max="14327" width="9.140625" style="1"/>
    <col min="14328" max="14328" width="13.140625" style="1" customWidth="1"/>
    <col min="14329" max="14329" width="9.140625" style="1"/>
    <col min="14330" max="14330" width="12.28515625" style="1" customWidth="1"/>
    <col min="14331" max="14331" width="14.28515625" style="1" customWidth="1"/>
    <col min="14332" max="14332" width="10.140625" style="1" customWidth="1"/>
    <col min="14333" max="14333" width="9.140625" style="1"/>
    <col min="14334" max="14334" width="12.42578125" style="1" customWidth="1"/>
    <col min="14335" max="14335" width="9.140625" style="1"/>
    <col min="14336" max="14336" width="11.28515625" style="1" customWidth="1"/>
    <col min="14337" max="14337" width="10.140625" style="1" customWidth="1"/>
    <col min="14338" max="14577" width="9.140625" style="1"/>
    <col min="14578" max="14578" width="20" style="1" customWidth="1"/>
    <col min="14579" max="14579" width="11.7109375" style="1" customWidth="1"/>
    <col min="14580" max="14580" width="11.140625" style="1" customWidth="1"/>
    <col min="14581" max="14581" width="11.42578125" style="1" customWidth="1"/>
    <col min="14582" max="14582" width="12.140625" style="1" customWidth="1"/>
    <col min="14583" max="14583" width="9.140625" style="1"/>
    <col min="14584" max="14584" width="13.140625" style="1" customWidth="1"/>
    <col min="14585" max="14585" width="9.140625" style="1"/>
    <col min="14586" max="14586" width="12.28515625" style="1" customWidth="1"/>
    <col min="14587" max="14587" width="14.28515625" style="1" customWidth="1"/>
    <col min="14588" max="14588" width="10.140625" style="1" customWidth="1"/>
    <col min="14589" max="14589" width="9.140625" style="1"/>
    <col min="14590" max="14590" width="12.42578125" style="1" customWidth="1"/>
    <col min="14591" max="14591" width="9.140625" style="1"/>
    <col min="14592" max="14592" width="11.28515625" style="1" customWidth="1"/>
    <col min="14593" max="14593" width="10.140625" style="1" customWidth="1"/>
    <col min="14594" max="14833" width="9.140625" style="1"/>
    <col min="14834" max="14834" width="20" style="1" customWidth="1"/>
    <col min="14835" max="14835" width="11.7109375" style="1" customWidth="1"/>
    <col min="14836" max="14836" width="11.140625" style="1" customWidth="1"/>
    <col min="14837" max="14837" width="11.42578125" style="1" customWidth="1"/>
    <col min="14838" max="14838" width="12.140625" style="1" customWidth="1"/>
    <col min="14839" max="14839" width="9.140625" style="1"/>
    <col min="14840" max="14840" width="13.140625" style="1" customWidth="1"/>
    <col min="14841" max="14841" width="9.140625" style="1"/>
    <col min="14842" max="14842" width="12.28515625" style="1" customWidth="1"/>
    <col min="14843" max="14843" width="14.28515625" style="1" customWidth="1"/>
    <col min="14844" max="14844" width="10.140625" style="1" customWidth="1"/>
    <col min="14845" max="14845" width="9.140625" style="1"/>
    <col min="14846" max="14846" width="12.42578125" style="1" customWidth="1"/>
    <col min="14847" max="14847" width="9.140625" style="1"/>
    <col min="14848" max="14848" width="11.28515625" style="1" customWidth="1"/>
    <col min="14849" max="14849" width="10.140625" style="1" customWidth="1"/>
    <col min="14850" max="15089" width="9.140625" style="1"/>
    <col min="15090" max="15090" width="20" style="1" customWidth="1"/>
    <col min="15091" max="15091" width="11.7109375" style="1" customWidth="1"/>
    <col min="15092" max="15092" width="11.140625" style="1" customWidth="1"/>
    <col min="15093" max="15093" width="11.42578125" style="1" customWidth="1"/>
    <col min="15094" max="15094" width="12.140625" style="1" customWidth="1"/>
    <col min="15095" max="15095" width="9.140625" style="1"/>
    <col min="15096" max="15096" width="13.140625" style="1" customWidth="1"/>
    <col min="15097" max="15097" width="9.140625" style="1"/>
    <col min="15098" max="15098" width="12.28515625" style="1" customWidth="1"/>
    <col min="15099" max="15099" width="14.28515625" style="1" customWidth="1"/>
    <col min="15100" max="15100" width="10.140625" style="1" customWidth="1"/>
    <col min="15101" max="15101" width="9.140625" style="1"/>
    <col min="15102" max="15102" width="12.42578125" style="1" customWidth="1"/>
    <col min="15103" max="15103" width="9.140625" style="1"/>
    <col min="15104" max="15104" width="11.28515625" style="1" customWidth="1"/>
    <col min="15105" max="15105" width="10.140625" style="1" customWidth="1"/>
    <col min="15106" max="15345" width="9.140625" style="1"/>
    <col min="15346" max="15346" width="20" style="1" customWidth="1"/>
    <col min="15347" max="15347" width="11.7109375" style="1" customWidth="1"/>
    <col min="15348" max="15348" width="11.140625" style="1" customWidth="1"/>
    <col min="15349" max="15349" width="11.42578125" style="1" customWidth="1"/>
    <col min="15350" max="15350" width="12.140625" style="1" customWidth="1"/>
    <col min="15351" max="15351" width="9.140625" style="1"/>
    <col min="15352" max="15352" width="13.140625" style="1" customWidth="1"/>
    <col min="15353" max="15353" width="9.140625" style="1"/>
    <col min="15354" max="15354" width="12.28515625" style="1" customWidth="1"/>
    <col min="15355" max="15355" width="14.28515625" style="1" customWidth="1"/>
    <col min="15356" max="15356" width="10.140625" style="1" customWidth="1"/>
    <col min="15357" max="15357" width="9.140625" style="1"/>
    <col min="15358" max="15358" width="12.42578125" style="1" customWidth="1"/>
    <col min="15359" max="15359" width="9.140625" style="1"/>
    <col min="15360" max="15360" width="11.28515625" style="1" customWidth="1"/>
    <col min="15361" max="15361" width="10.140625" style="1" customWidth="1"/>
    <col min="15362" max="15601" width="9.140625" style="1"/>
    <col min="15602" max="15602" width="20" style="1" customWidth="1"/>
    <col min="15603" max="15603" width="11.7109375" style="1" customWidth="1"/>
    <col min="15604" max="15604" width="11.140625" style="1" customWidth="1"/>
    <col min="15605" max="15605" width="11.42578125" style="1" customWidth="1"/>
    <col min="15606" max="15606" width="12.140625" style="1" customWidth="1"/>
    <col min="15607" max="15607" width="9.140625" style="1"/>
    <col min="15608" max="15608" width="13.140625" style="1" customWidth="1"/>
    <col min="15609" max="15609" width="9.140625" style="1"/>
    <col min="15610" max="15610" width="12.28515625" style="1" customWidth="1"/>
    <col min="15611" max="15611" width="14.28515625" style="1" customWidth="1"/>
    <col min="15612" max="15612" width="10.140625" style="1" customWidth="1"/>
    <col min="15613" max="15613" width="9.140625" style="1"/>
    <col min="15614" max="15614" width="12.42578125" style="1" customWidth="1"/>
    <col min="15615" max="15615" width="9.140625" style="1"/>
    <col min="15616" max="15616" width="11.28515625" style="1" customWidth="1"/>
    <col min="15617" max="15617" width="10.140625" style="1" customWidth="1"/>
    <col min="15618" max="15857" width="9.140625" style="1"/>
    <col min="15858" max="15858" width="20" style="1" customWidth="1"/>
    <col min="15859" max="15859" width="11.7109375" style="1" customWidth="1"/>
    <col min="15860" max="15860" width="11.140625" style="1" customWidth="1"/>
    <col min="15861" max="15861" width="11.42578125" style="1" customWidth="1"/>
    <col min="15862" max="15862" width="12.140625" style="1" customWidth="1"/>
    <col min="15863" max="15863" width="9.140625" style="1"/>
    <col min="15864" max="15864" width="13.140625" style="1" customWidth="1"/>
    <col min="15865" max="15865" width="9.140625" style="1"/>
    <col min="15866" max="15866" width="12.28515625" style="1" customWidth="1"/>
    <col min="15867" max="15867" width="14.28515625" style="1" customWidth="1"/>
    <col min="15868" max="15868" width="10.140625" style="1" customWidth="1"/>
    <col min="15869" max="15869" width="9.140625" style="1"/>
    <col min="15870" max="15870" width="12.42578125" style="1" customWidth="1"/>
    <col min="15871" max="15871" width="9.140625" style="1"/>
    <col min="15872" max="15872" width="11.28515625" style="1" customWidth="1"/>
    <col min="15873" max="15873" width="10.140625" style="1" customWidth="1"/>
    <col min="15874" max="16113" width="9.140625" style="1"/>
    <col min="16114" max="16114" width="20" style="1" customWidth="1"/>
    <col min="16115" max="16115" width="11.7109375" style="1" customWidth="1"/>
    <col min="16116" max="16116" width="11.140625" style="1" customWidth="1"/>
    <col min="16117" max="16117" width="11.42578125" style="1" customWidth="1"/>
    <col min="16118" max="16118" width="12.140625" style="1" customWidth="1"/>
    <col min="16119" max="16119" width="9.140625" style="1"/>
    <col min="16120" max="16120" width="13.140625" style="1" customWidth="1"/>
    <col min="16121" max="16121" width="9.140625" style="1"/>
    <col min="16122" max="16122" width="12.28515625" style="1" customWidth="1"/>
    <col min="16123" max="16123" width="14.28515625" style="1" customWidth="1"/>
    <col min="16124" max="16124" width="10.140625" style="1" customWidth="1"/>
    <col min="16125" max="16125" width="9.140625" style="1"/>
    <col min="16126" max="16126" width="12.42578125" style="1" customWidth="1"/>
    <col min="16127" max="16127" width="9.140625" style="1"/>
    <col min="16128" max="16128" width="11.28515625" style="1" customWidth="1"/>
    <col min="16129" max="16129" width="10.140625" style="1" customWidth="1"/>
    <col min="16130" max="16384" width="9.140625" style="1"/>
  </cols>
  <sheetData>
    <row r="1" spans="1:33" ht="15.75" customHeight="1" x14ac:dyDescent="0.2">
      <c r="A1" s="298" t="s">
        <v>1129</v>
      </c>
    </row>
    <row r="2" spans="1:33" ht="15.75" customHeight="1" x14ac:dyDescent="0.2">
      <c r="A2" s="106" t="s">
        <v>578</v>
      </c>
    </row>
    <row r="3" spans="1:33" ht="38.25" customHeight="1" x14ac:dyDescent="0.2">
      <c r="A3" s="120" t="s">
        <v>1029</v>
      </c>
      <c r="B3" s="120"/>
      <c r="C3" s="120"/>
      <c r="D3"/>
      <c r="E3" s="120"/>
      <c r="F3" s="120"/>
      <c r="G3" s="120"/>
      <c r="H3" s="120"/>
      <c r="I3" s="120"/>
      <c r="J3" s="120"/>
    </row>
    <row r="4" spans="1:33" ht="15.75" customHeight="1" x14ac:dyDescent="0.25">
      <c r="A4" s="351" t="s">
        <v>579</v>
      </c>
      <c r="B4" s="1111" t="s">
        <v>1468</v>
      </c>
      <c r="D4" s="129"/>
      <c r="E4" s="129"/>
      <c r="F4" s="129"/>
      <c r="G4" s="129"/>
      <c r="H4" s="129"/>
      <c r="I4" s="373"/>
      <c r="J4" s="129"/>
      <c r="O4"/>
      <c r="P4"/>
      <c r="S4"/>
      <c r="T4"/>
      <c r="U4"/>
    </row>
    <row r="5" spans="1:33" ht="15.75" customHeight="1" x14ac:dyDescent="0.25">
      <c r="A5" s="351" t="s">
        <v>580</v>
      </c>
      <c r="B5" s="351" t="s">
        <v>581</v>
      </c>
      <c r="C5" s="129"/>
      <c r="D5" s="129"/>
      <c r="E5" s="129"/>
      <c r="F5" s="129"/>
      <c r="G5" s="129"/>
      <c r="H5" s="129"/>
      <c r="I5" s="129"/>
      <c r="J5" s="129"/>
      <c r="O5"/>
      <c r="P5"/>
      <c r="S5"/>
      <c r="T5"/>
      <c r="U5"/>
    </row>
    <row r="6" spans="1:33" ht="15.75" customHeight="1" x14ac:dyDescent="0.25">
      <c r="A6" s="351" t="s">
        <v>582</v>
      </c>
      <c r="B6" s="351" t="s">
        <v>585</v>
      </c>
      <c r="C6" s="129"/>
      <c r="D6" s="129"/>
      <c r="E6" s="129"/>
      <c r="F6" s="129"/>
      <c r="G6" s="129"/>
      <c r="H6" s="129"/>
      <c r="I6" s="129"/>
      <c r="J6" s="129"/>
      <c r="O6"/>
      <c r="P6"/>
      <c r="S6"/>
      <c r="T6"/>
      <c r="U6"/>
    </row>
    <row r="7" spans="1:33" ht="15" x14ac:dyDescent="0.25">
      <c r="I7" s="83"/>
      <c r="O7"/>
      <c r="P7"/>
      <c r="S7"/>
      <c r="T7"/>
      <c r="U7"/>
    </row>
    <row r="8" spans="1:33" ht="15.75" x14ac:dyDescent="0.2">
      <c r="B8" s="1095" t="s">
        <v>1446</v>
      </c>
      <c r="C8" s="1094"/>
      <c r="D8" s="1094"/>
      <c r="E8" s="1094"/>
      <c r="F8" s="1094"/>
      <c r="G8" s="1094"/>
      <c r="H8" s="1094"/>
      <c r="I8" s="1094"/>
      <c r="J8" s="100"/>
      <c r="K8" s="100"/>
      <c r="L8" s="100"/>
      <c r="M8" s="100"/>
      <c r="N8" s="100"/>
      <c r="O8"/>
      <c r="P8"/>
      <c r="S8"/>
      <c r="T8"/>
      <c r="U8"/>
    </row>
    <row r="9" spans="1:33" s="28" customFormat="1" ht="52.5" customHeight="1" x14ac:dyDescent="0.2">
      <c r="A9" s="1152"/>
      <c r="B9" s="1090" t="s">
        <v>1461</v>
      </c>
      <c r="C9" s="1091" t="s">
        <v>1460</v>
      </c>
      <c r="D9" s="1091" t="s">
        <v>1447</v>
      </c>
      <c r="E9" s="1091" t="s">
        <v>1448</v>
      </c>
      <c r="F9" s="1091" t="s">
        <v>1449</v>
      </c>
      <c r="G9" s="1091" t="s">
        <v>1450</v>
      </c>
      <c r="H9" s="1091" t="s">
        <v>1462</v>
      </c>
      <c r="I9" s="1092" t="s">
        <v>72</v>
      </c>
      <c r="J9" s="1092" t="s">
        <v>1465</v>
      </c>
      <c r="K9"/>
      <c r="L9"/>
      <c r="M9"/>
      <c r="N9"/>
      <c r="O9"/>
      <c r="P9"/>
      <c r="R9"/>
      <c r="S9"/>
      <c r="T9"/>
      <c r="U9"/>
      <c r="V9"/>
      <c r="W9"/>
      <c r="X9"/>
      <c r="Y9"/>
      <c r="Z9"/>
      <c r="AA9"/>
      <c r="AB9"/>
      <c r="AC9"/>
      <c r="AD9"/>
      <c r="AE9"/>
      <c r="AF9"/>
      <c r="AG9"/>
    </row>
    <row r="10" spans="1:33" ht="13.5" customHeight="1" x14ac:dyDescent="0.2">
      <c r="A10" s="353" t="str">
        <f>T08v2!A5</f>
        <v>2009-10</v>
      </c>
      <c r="B10" s="191">
        <f>T08v2!C5</f>
        <v>2064</v>
      </c>
      <c r="C10" s="191">
        <f>T08v2!D5</f>
        <v>3195</v>
      </c>
      <c r="D10" s="191">
        <f>T08v2!E5</f>
        <v>818</v>
      </c>
      <c r="E10" s="191">
        <f>T08v2!F5</f>
        <v>42</v>
      </c>
      <c r="F10" s="191">
        <f>T08v2!G5</f>
        <v>3</v>
      </c>
      <c r="G10" s="191">
        <f>T08v2!H5</f>
        <v>362</v>
      </c>
      <c r="H10" s="191">
        <f>T08v2!I5</f>
        <v>28</v>
      </c>
      <c r="I10" s="191">
        <f>T08v2!J5</f>
        <v>48</v>
      </c>
      <c r="J10" s="1129">
        <f>SUM(B10:I10)</f>
        <v>6560</v>
      </c>
      <c r="K10"/>
      <c r="L10"/>
      <c r="M10"/>
      <c r="N10"/>
      <c r="O10"/>
      <c r="P10"/>
      <c r="Q10" s="191"/>
      <c r="R10" s="191"/>
      <c r="S10"/>
      <c r="T10"/>
      <c r="U10"/>
      <c r="V10"/>
      <c r="W10"/>
      <c r="X10"/>
      <c r="Y10"/>
      <c r="Z10"/>
      <c r="AA10"/>
      <c r="AB10"/>
      <c r="AC10"/>
      <c r="AD10"/>
      <c r="AE10"/>
      <c r="AF10"/>
      <c r="AG10"/>
    </row>
    <row r="11" spans="1:33" ht="13.5" customHeight="1" x14ac:dyDescent="0.2">
      <c r="A11" s="353" t="str">
        <f>T08v2!A6</f>
        <v>2010-11</v>
      </c>
      <c r="B11" s="191">
        <f>T08v2!C6</f>
        <v>2026</v>
      </c>
      <c r="C11" s="191">
        <f>T08v2!D6</f>
        <v>2989</v>
      </c>
      <c r="D11" s="191">
        <f>T08v2!E6</f>
        <v>753</v>
      </c>
      <c r="E11" s="191">
        <f>T08v2!F6</f>
        <v>43</v>
      </c>
      <c r="F11" s="191">
        <f>T08v2!G6</f>
        <v>3</v>
      </c>
      <c r="G11" s="191">
        <f>T08v2!H6</f>
        <v>413</v>
      </c>
      <c r="H11" s="191">
        <f>T08v2!I6</f>
        <v>36</v>
      </c>
      <c r="I11" s="191">
        <f>T08v2!J6</f>
        <v>30</v>
      </c>
      <c r="J11" s="1130">
        <f t="shared" ref="J11:J21" si="0">SUM(B11:I11)</f>
        <v>6293</v>
      </c>
      <c r="K11"/>
      <c r="L11"/>
      <c r="M11"/>
      <c r="N11"/>
      <c r="O11"/>
      <c r="P11"/>
      <c r="Q11" s="191"/>
      <c r="R11" s="191"/>
      <c r="S11"/>
      <c r="T11"/>
      <c r="U11"/>
    </row>
    <row r="12" spans="1:33" ht="13.5" customHeight="1" x14ac:dyDescent="0.2">
      <c r="A12" s="353" t="str">
        <f>T08v2!A7</f>
        <v>2011-12</v>
      </c>
      <c r="B12" s="191">
        <f>T08v2!C7</f>
        <v>1936</v>
      </c>
      <c r="C12" s="191">
        <f>T08v2!D7</f>
        <v>2879</v>
      </c>
      <c r="D12" s="191">
        <f>T08v2!E7</f>
        <v>764</v>
      </c>
      <c r="E12" s="191">
        <f>T08v2!F7</f>
        <v>25</v>
      </c>
      <c r="F12" s="191">
        <f>T08v2!G7</f>
        <v>9</v>
      </c>
      <c r="G12" s="191">
        <f>T08v2!H7</f>
        <v>501</v>
      </c>
      <c r="H12" s="191">
        <f>T08v2!I7</f>
        <v>19</v>
      </c>
      <c r="I12" s="191">
        <f>T08v2!J7</f>
        <v>24</v>
      </c>
      <c r="J12" s="1130">
        <f t="shared" si="0"/>
        <v>6157</v>
      </c>
      <c r="K12"/>
      <c r="L12"/>
      <c r="M12"/>
      <c r="N12"/>
      <c r="O12"/>
      <c r="P12"/>
      <c r="Q12" s="191"/>
      <c r="R12" s="191"/>
      <c r="S12"/>
      <c r="T12"/>
      <c r="U12"/>
    </row>
    <row r="13" spans="1:33" ht="13.5" customHeight="1" x14ac:dyDescent="0.2">
      <c r="A13" s="353" t="str">
        <f>T08v2!A8</f>
        <v>2012-13</v>
      </c>
      <c r="B13" s="191">
        <f>T08v2!C8</f>
        <v>2018</v>
      </c>
      <c r="C13" s="191">
        <f>T08v2!D8</f>
        <v>2502</v>
      </c>
      <c r="D13" s="191">
        <f>T08v2!E8</f>
        <v>732</v>
      </c>
      <c r="E13" s="191">
        <f>T08v2!F8</f>
        <v>31</v>
      </c>
      <c r="F13" s="191">
        <f>T08v2!G8</f>
        <v>4</v>
      </c>
      <c r="G13" s="191">
        <f>T08v2!H8</f>
        <v>485</v>
      </c>
      <c r="H13" s="191">
        <f>T08v2!I8</f>
        <v>28</v>
      </c>
      <c r="I13" s="191">
        <f>T08v2!J8</f>
        <v>29</v>
      </c>
      <c r="J13" s="1130">
        <f t="shared" si="0"/>
        <v>5829</v>
      </c>
      <c r="K13"/>
      <c r="L13"/>
      <c r="M13"/>
      <c r="N13"/>
      <c r="O13"/>
      <c r="P13"/>
      <c r="Q13" s="191"/>
      <c r="R13" s="191"/>
      <c r="S13"/>
      <c r="T13"/>
      <c r="U13"/>
    </row>
    <row r="14" spans="1:33" ht="13.5" customHeight="1" x14ac:dyDescent="0.2">
      <c r="A14" s="353" t="str">
        <f>T08v2!A9</f>
        <v>2013-14</v>
      </c>
      <c r="B14" s="191">
        <f>T08v2!C9</f>
        <v>1932</v>
      </c>
      <c r="C14" s="191">
        <f>T08v2!D9</f>
        <v>2184</v>
      </c>
      <c r="D14" s="191">
        <f>T08v2!E9</f>
        <v>691</v>
      </c>
      <c r="E14" s="191">
        <f>T08v2!F9</f>
        <v>43</v>
      </c>
      <c r="F14" s="191">
        <f>T08v2!G9</f>
        <v>1</v>
      </c>
      <c r="G14" s="191">
        <f>T08v2!H9</f>
        <v>431</v>
      </c>
      <c r="H14" s="191">
        <f>T08v2!I9</f>
        <v>19</v>
      </c>
      <c r="I14" s="191">
        <f>T08v2!J9</f>
        <v>22</v>
      </c>
      <c r="J14" s="1130">
        <f t="shared" si="0"/>
        <v>5323</v>
      </c>
      <c r="K14"/>
      <c r="L14"/>
      <c r="M14"/>
      <c r="N14"/>
      <c r="O14"/>
      <c r="P14"/>
      <c r="Q14" s="191"/>
      <c r="R14" s="191"/>
      <c r="S14"/>
      <c r="T14"/>
      <c r="U14"/>
    </row>
    <row r="15" spans="1:33" ht="13.5" customHeight="1" x14ac:dyDescent="0.2">
      <c r="A15" s="353" t="str">
        <f>T08v2!A10</f>
        <v>2014-15</v>
      </c>
      <c r="B15" s="191">
        <f>T08v2!C10</f>
        <v>2017</v>
      </c>
      <c r="C15" s="191">
        <f>T08v2!D10</f>
        <v>2234</v>
      </c>
      <c r="D15" s="191">
        <f>T08v2!E10</f>
        <v>708</v>
      </c>
      <c r="E15" s="191">
        <f>T08v2!F10</f>
        <v>31</v>
      </c>
      <c r="F15" s="191">
        <f>T08v2!G10</f>
        <v>1</v>
      </c>
      <c r="G15" s="191">
        <f>T08v2!H10</f>
        <v>537</v>
      </c>
      <c r="H15" s="191">
        <f>T08v2!I10</f>
        <v>22</v>
      </c>
      <c r="I15" s="191">
        <f>T08v2!J10</f>
        <v>24</v>
      </c>
      <c r="J15" s="1130">
        <f t="shared" si="0"/>
        <v>5574</v>
      </c>
      <c r="K15"/>
      <c r="L15"/>
      <c r="M15"/>
      <c r="N15"/>
      <c r="O15"/>
      <c r="P15"/>
      <c r="Q15" s="191"/>
      <c r="R15" s="191"/>
      <c r="S15"/>
      <c r="T15"/>
      <c r="U15"/>
    </row>
    <row r="16" spans="1:33" customFormat="1" ht="13.5" customHeight="1" x14ac:dyDescent="0.2">
      <c r="A16" s="353" t="str">
        <f>T08v2!A11</f>
        <v>2015-16</v>
      </c>
      <c r="B16" s="191">
        <f>T08v2!C11</f>
        <v>2091</v>
      </c>
      <c r="C16" s="191">
        <f>T08v2!D11</f>
        <v>2237</v>
      </c>
      <c r="D16" s="191">
        <f>T08v2!E11</f>
        <v>692</v>
      </c>
      <c r="E16" s="191">
        <f>T08v2!F11</f>
        <v>28</v>
      </c>
      <c r="F16" s="191">
        <f>T08v2!G11</f>
        <v>1</v>
      </c>
      <c r="G16" s="191">
        <f>T08v2!H11</f>
        <v>576</v>
      </c>
      <c r="H16" s="191">
        <f>T08v2!I11</f>
        <v>23</v>
      </c>
      <c r="I16" s="191">
        <f>T08v2!J11</f>
        <v>25</v>
      </c>
      <c r="J16" s="1130">
        <f t="shared" si="0"/>
        <v>5673</v>
      </c>
      <c r="Q16" s="191"/>
      <c r="R16" s="191"/>
    </row>
    <row r="17" spans="1:27" customFormat="1" ht="13.5" customHeight="1" x14ac:dyDescent="0.2">
      <c r="A17" s="353" t="str">
        <f>T08v2!A12</f>
        <v>2016-17</v>
      </c>
      <c r="B17" s="191">
        <f>T08v2!C12</f>
        <v>2050</v>
      </c>
      <c r="C17" s="191">
        <f>T08v2!D12</f>
        <v>2146</v>
      </c>
      <c r="D17" s="191">
        <f>T08v2!E12</f>
        <v>713</v>
      </c>
      <c r="E17" s="191">
        <f>T08v2!F12</f>
        <v>33</v>
      </c>
      <c r="F17" s="191">
        <f>T08v2!G12</f>
        <v>0</v>
      </c>
      <c r="G17" s="191">
        <f>T08v2!H12</f>
        <v>550</v>
      </c>
      <c r="H17" s="191">
        <f>T08v2!I12</f>
        <v>22</v>
      </c>
      <c r="I17" s="191">
        <f>T08v2!J12</f>
        <v>26</v>
      </c>
      <c r="J17" s="1130">
        <f t="shared" si="0"/>
        <v>5540</v>
      </c>
      <c r="Q17" s="191"/>
      <c r="R17" s="191"/>
    </row>
    <row r="18" spans="1:27" customFormat="1" ht="13.5" customHeight="1" x14ac:dyDescent="0.2">
      <c r="A18" s="353" t="str">
        <f>T08v2!A13</f>
        <v>2017-18</v>
      </c>
      <c r="B18" s="191">
        <f>T08v2!C13</f>
        <v>1971</v>
      </c>
      <c r="C18" s="191">
        <f>T08v2!D13</f>
        <v>2099</v>
      </c>
      <c r="D18" s="191">
        <f>T08v2!E13</f>
        <v>701</v>
      </c>
      <c r="E18" s="191">
        <f>T08v2!F13</f>
        <v>35</v>
      </c>
      <c r="F18" s="191">
        <f>T08v2!G13</f>
        <v>3</v>
      </c>
      <c r="G18" s="191">
        <f>T08v2!H13</f>
        <v>453</v>
      </c>
      <c r="H18" s="191">
        <f>T08v2!I13</f>
        <v>31</v>
      </c>
      <c r="I18" s="191">
        <f>T08v2!J13</f>
        <v>18</v>
      </c>
      <c r="J18" s="1130">
        <f t="shared" si="0"/>
        <v>5311</v>
      </c>
      <c r="Q18" s="191"/>
      <c r="R18" s="191"/>
    </row>
    <row r="19" spans="1:27" customFormat="1" ht="13.5" customHeight="1" x14ac:dyDescent="0.2">
      <c r="A19" s="353" t="str">
        <f>T08v2!A14</f>
        <v>2018-19</v>
      </c>
      <c r="B19" s="191">
        <f>T08v2!C14</f>
        <v>2012</v>
      </c>
      <c r="C19" s="191">
        <f>T08v2!D14</f>
        <v>1956</v>
      </c>
      <c r="D19" s="191">
        <f>T08v2!E14</f>
        <v>674</v>
      </c>
      <c r="E19" s="191">
        <f>T08v2!F14</f>
        <v>24</v>
      </c>
      <c r="F19" s="191">
        <f>T08v2!G14</f>
        <v>2</v>
      </c>
      <c r="G19" s="191">
        <f>T08v2!H14</f>
        <v>426</v>
      </c>
      <c r="H19" s="191">
        <f>T08v2!I14</f>
        <v>27</v>
      </c>
      <c r="I19" s="191">
        <f>T08v2!J14</f>
        <v>24</v>
      </c>
      <c r="J19" s="1130">
        <f t="shared" si="0"/>
        <v>5145</v>
      </c>
      <c r="Q19" s="191"/>
      <c r="R19" s="191"/>
    </row>
    <row r="20" spans="1:27" customFormat="1" ht="13.5" customHeight="1" x14ac:dyDescent="0.2">
      <c r="A20" s="353" t="str">
        <f>T08v2!A15</f>
        <v>2019-20</v>
      </c>
      <c r="B20" s="191">
        <f>T08v2!C15</f>
        <v>1930</v>
      </c>
      <c r="C20" s="191">
        <f>T08v2!D15</f>
        <v>1847</v>
      </c>
      <c r="D20" s="191">
        <f>T08v2!E15</f>
        <v>688</v>
      </c>
      <c r="E20" s="191">
        <f>T08v2!F15</f>
        <v>32</v>
      </c>
      <c r="F20" s="191">
        <f>T08v2!G15</f>
        <v>1</v>
      </c>
      <c r="G20" s="191">
        <f>T08v2!H15</f>
        <v>358</v>
      </c>
      <c r="H20" s="191">
        <f>T08v2!I15</f>
        <v>17</v>
      </c>
      <c r="I20" s="191">
        <f>T08v2!J15</f>
        <v>17</v>
      </c>
      <c r="J20" s="1130">
        <f t="shared" si="0"/>
        <v>4890</v>
      </c>
      <c r="Q20" s="191"/>
      <c r="R20" s="191"/>
    </row>
    <row r="21" spans="1:27" ht="15.75" thickBot="1" x14ac:dyDescent="0.25">
      <c r="A21" s="712" t="str">
        <f>T08v2!A16</f>
        <v>2020-21</v>
      </c>
      <c r="B21" s="492">
        <f>T08v2!C16</f>
        <v>1864</v>
      </c>
      <c r="C21" s="492">
        <f>T08v2!D16</f>
        <v>1701</v>
      </c>
      <c r="D21" s="492">
        <f>T08v2!E16</f>
        <v>662</v>
      </c>
      <c r="E21" s="492">
        <f>T08v2!F16</f>
        <v>14</v>
      </c>
      <c r="F21" s="492">
        <f>T08v2!G16</f>
        <v>4</v>
      </c>
      <c r="G21" s="492">
        <f>T08v2!H16</f>
        <v>331</v>
      </c>
      <c r="H21" s="492">
        <f>T08v2!I16</f>
        <v>13</v>
      </c>
      <c r="I21" s="492">
        <f>T08v2!J16</f>
        <v>72</v>
      </c>
      <c r="J21" s="1131">
        <f t="shared" si="0"/>
        <v>4661</v>
      </c>
      <c r="K21" s="601"/>
      <c r="L21" s="601"/>
      <c r="M21" s="601"/>
      <c r="N21" s="601"/>
      <c r="O21" s="601"/>
      <c r="P21" s="601"/>
      <c r="Q21" s="601"/>
      <c r="R21" s="191"/>
    </row>
    <row r="22" spans="1:27" ht="15" x14ac:dyDescent="0.2">
      <c r="A22" s="274"/>
      <c r="B22" s="601"/>
      <c r="C22" s="601"/>
      <c r="D22" s="601"/>
      <c r="E22" s="601"/>
      <c r="F22" s="601"/>
      <c r="G22" s="601"/>
      <c r="H22" s="601"/>
      <c r="I22" s="601"/>
      <c r="J22" s="601"/>
      <c r="K22" s="601"/>
      <c r="L22" s="601"/>
      <c r="M22" s="601"/>
      <c r="N22" s="601"/>
      <c r="O22" s="601"/>
      <c r="P22" s="601"/>
      <c r="Q22" s="601"/>
      <c r="R22" s="191"/>
    </row>
    <row r="23" spans="1:27" ht="13.5" customHeight="1" x14ac:dyDescent="0.2">
      <c r="A23" s="1273" t="str">
        <f>"One Year Change " &amp; A20 &amp; " to " &amp; A21</f>
        <v>One Year Change 2019-20 to 2020-21</v>
      </c>
      <c r="B23" s="1273"/>
      <c r="C23" s="1273"/>
      <c r="D23" s="615"/>
      <c r="E23" s="615"/>
      <c r="F23" s="615"/>
      <c r="G23" s="615"/>
      <c r="H23" s="616"/>
      <c r="I23" s="615"/>
      <c r="J23"/>
      <c r="K23"/>
      <c r="L23"/>
      <c r="M23"/>
      <c r="N23"/>
      <c r="O23"/>
      <c r="P23"/>
      <c r="Q23"/>
      <c r="R23"/>
    </row>
    <row r="24" spans="1:27" x14ac:dyDescent="0.2">
      <c r="A24" s="617" t="s">
        <v>0</v>
      </c>
      <c r="B24" s="618">
        <f>B21-B20</f>
        <v>-66</v>
      </c>
      <c r="C24" s="618">
        <f t="shared" ref="C24:J24" si="1">C21-C20</f>
        <v>-146</v>
      </c>
      <c r="D24" s="618">
        <f t="shared" si="1"/>
        <v>-26</v>
      </c>
      <c r="E24" s="618">
        <f t="shared" si="1"/>
        <v>-18</v>
      </c>
      <c r="F24" s="618">
        <f t="shared" si="1"/>
        <v>3</v>
      </c>
      <c r="G24" s="618">
        <f t="shared" si="1"/>
        <v>-27</v>
      </c>
      <c r="H24" s="618">
        <f t="shared" si="1"/>
        <v>-4</v>
      </c>
      <c r="I24" s="618">
        <f>I21-I20</f>
        <v>55</v>
      </c>
      <c r="J24" s="1126">
        <f t="shared" si="1"/>
        <v>-229</v>
      </c>
      <c r="K24"/>
      <c r="L24"/>
      <c r="M24"/>
      <c r="N24"/>
      <c r="O24"/>
      <c r="P24"/>
      <c r="Q24"/>
      <c r="R24"/>
    </row>
    <row r="25" spans="1:27" ht="13.5" thickBot="1" x14ac:dyDescent="0.25">
      <c r="A25" s="619" t="s">
        <v>62</v>
      </c>
      <c r="B25" s="620">
        <f>B24/B20</f>
        <v>-3.4196891191709843E-2</v>
      </c>
      <c r="C25" s="620">
        <f t="shared" ref="C25:J25" si="2">C24/C20</f>
        <v>-7.9047103410936653E-2</v>
      </c>
      <c r="D25" s="620">
        <f t="shared" si="2"/>
        <v>-3.7790697674418602E-2</v>
      </c>
      <c r="E25" s="620">
        <f t="shared" si="2"/>
        <v>-0.5625</v>
      </c>
      <c r="F25" s="620">
        <f t="shared" si="2"/>
        <v>3</v>
      </c>
      <c r="G25" s="620">
        <f t="shared" si="2"/>
        <v>-7.5418994413407825E-2</v>
      </c>
      <c r="H25" s="620">
        <f t="shared" si="2"/>
        <v>-0.23529411764705882</v>
      </c>
      <c r="I25" s="620">
        <f>I24/I20</f>
        <v>3.2352941176470589</v>
      </c>
      <c r="J25" s="1127">
        <f t="shared" si="2"/>
        <v>-4.6830265848670755E-2</v>
      </c>
      <c r="K25"/>
      <c r="L25"/>
      <c r="M25"/>
      <c r="N25"/>
      <c r="O25"/>
      <c r="P25"/>
      <c r="Q25"/>
      <c r="R25"/>
    </row>
    <row r="26" spans="1:27" ht="15.75" customHeight="1" x14ac:dyDescent="0.2">
      <c r="A26" s="621"/>
      <c r="B26" s="622"/>
      <c r="C26" s="622"/>
      <c r="D26" s="622"/>
      <c r="E26" s="622"/>
      <c r="F26" s="622"/>
      <c r="G26" s="622"/>
      <c r="H26" s="622"/>
      <c r="I26" s="622"/>
      <c r="J26"/>
      <c r="K26"/>
      <c r="L26"/>
      <c r="M26"/>
      <c r="N26"/>
      <c r="O26"/>
      <c r="P26"/>
      <c r="Q26"/>
      <c r="R26"/>
    </row>
    <row r="27" spans="1:27" ht="15" customHeight="1" x14ac:dyDescent="0.2">
      <c r="A27"/>
      <c r="J27"/>
      <c r="K27"/>
      <c r="L27"/>
      <c r="M27"/>
      <c r="N27"/>
      <c r="O27"/>
      <c r="P27"/>
      <c r="Q27"/>
      <c r="R27"/>
      <c r="S27"/>
      <c r="T27"/>
      <c r="U27"/>
      <c r="V27"/>
      <c r="W27"/>
      <c r="X27"/>
      <c r="Y27"/>
      <c r="Z27"/>
      <c r="AA27"/>
    </row>
    <row r="28" spans="1:27" ht="18.75" customHeight="1" x14ac:dyDescent="0.2">
      <c r="B28" s="1095" t="s">
        <v>1463</v>
      </c>
      <c r="C28" s="1094"/>
      <c r="D28" s="1094"/>
      <c r="E28" s="1094"/>
      <c r="F28" s="1094"/>
      <c r="G28" s="1094"/>
      <c r="H28" s="1094"/>
      <c r="I28" s="1094"/>
      <c r="J28" s="1097"/>
      <c r="K28" s="1097"/>
      <c r="L28" s="1097"/>
      <c r="M28"/>
      <c r="N28"/>
      <c r="O28"/>
      <c r="P28"/>
      <c r="Q28"/>
      <c r="R28"/>
      <c r="S28"/>
      <c r="T28"/>
      <c r="U28"/>
      <c r="V28"/>
      <c r="W28"/>
      <c r="X28"/>
      <c r="Y28"/>
      <c r="Z28"/>
      <c r="AA28"/>
    </row>
    <row r="29" spans="1:27" ht="51.75" customHeight="1" x14ac:dyDescent="0.2">
      <c r="A29" s="1093"/>
      <c r="B29" s="1090" t="s">
        <v>1459</v>
      </c>
      <c r="C29" s="1091" t="s">
        <v>1451</v>
      </c>
      <c r="D29" s="1091" t="s">
        <v>1452</v>
      </c>
      <c r="E29" s="1091" t="s">
        <v>1458</v>
      </c>
      <c r="F29" s="1091" t="s">
        <v>1453</v>
      </c>
      <c r="G29" s="1091" t="s">
        <v>1454</v>
      </c>
      <c r="H29" s="1091" t="s">
        <v>1457</v>
      </c>
      <c r="I29" s="1091" t="s">
        <v>1455</v>
      </c>
      <c r="J29" s="1091" t="s">
        <v>1456</v>
      </c>
      <c r="K29" s="1091" t="s">
        <v>72</v>
      </c>
      <c r="L29" s="186" t="s">
        <v>1466</v>
      </c>
      <c r="M29"/>
      <c r="O29"/>
      <c r="P29"/>
      <c r="Q29"/>
      <c r="R29"/>
      <c r="S29"/>
      <c r="T29"/>
      <c r="U29"/>
      <c r="V29"/>
      <c r="W29"/>
      <c r="X29"/>
      <c r="Y29"/>
      <c r="Z29"/>
      <c r="AA29"/>
    </row>
    <row r="30" spans="1:27" ht="13.5" customHeight="1" x14ac:dyDescent="0.2">
      <c r="A30" s="488" t="str">
        <f t="shared" ref="A30:A41" si="3">A10</f>
        <v>2009-10</v>
      </c>
      <c r="B30" s="191">
        <f>T08v2!W5</f>
        <v>85</v>
      </c>
      <c r="C30" s="191">
        <f>T08v2!X5</f>
        <v>47</v>
      </c>
      <c r="D30" s="191">
        <f>T08v2!Y5</f>
        <v>10</v>
      </c>
      <c r="E30" s="191">
        <f>T08v2!Z5</f>
        <v>18</v>
      </c>
      <c r="F30" s="191">
        <f>T08v2!AA5</f>
        <v>144</v>
      </c>
      <c r="G30" s="191">
        <f>T08v2!AB5</f>
        <v>157</v>
      </c>
      <c r="H30" s="191">
        <f>T08v2!AC5</f>
        <v>18</v>
      </c>
      <c r="I30" s="191">
        <f>T08v2!AD5</f>
        <v>96</v>
      </c>
      <c r="J30" s="191">
        <f>T08v2!AE5</f>
        <v>27</v>
      </c>
      <c r="K30" s="191">
        <f>T08v2!AF5</f>
        <v>9</v>
      </c>
      <c r="L30" s="1129">
        <f>SUM(B30:K30)</f>
        <v>611</v>
      </c>
      <c r="M30"/>
      <c r="O30"/>
      <c r="P30"/>
      <c r="Q30"/>
      <c r="R30"/>
      <c r="S30"/>
      <c r="T30"/>
      <c r="U30"/>
      <c r="V30"/>
      <c r="W30"/>
      <c r="X30"/>
      <c r="Y30"/>
      <c r="Z30"/>
      <c r="AA30"/>
    </row>
    <row r="31" spans="1:27" ht="13.5" customHeight="1" x14ac:dyDescent="0.2">
      <c r="A31" s="274" t="str">
        <f t="shared" si="3"/>
        <v>2010-11</v>
      </c>
      <c r="B31" s="191">
        <f>T08v2!W6</f>
        <v>95</v>
      </c>
      <c r="C31" s="191">
        <f>T08v2!X6</f>
        <v>47</v>
      </c>
      <c r="D31" s="191">
        <f>T08v2!Y6</f>
        <v>7</v>
      </c>
      <c r="E31" s="191">
        <f>T08v2!Z6</f>
        <v>18</v>
      </c>
      <c r="F31" s="191">
        <f>T08v2!AA6</f>
        <v>137</v>
      </c>
      <c r="G31" s="191">
        <f>T08v2!AB6</f>
        <v>157</v>
      </c>
      <c r="H31" s="191">
        <f>T08v2!AC6</f>
        <v>15</v>
      </c>
      <c r="I31" s="191">
        <f>T08v2!AD6</f>
        <v>75</v>
      </c>
      <c r="J31" s="191">
        <f>T08v2!AE6</f>
        <v>21</v>
      </c>
      <c r="K31" s="191">
        <f>T08v2!AF6</f>
        <v>9</v>
      </c>
      <c r="L31" s="1130">
        <f t="shared" ref="L31:L41" si="4">SUM(B31:K31)</f>
        <v>581</v>
      </c>
      <c r="M31"/>
      <c r="O31"/>
      <c r="P31"/>
      <c r="Q31"/>
      <c r="R31"/>
      <c r="S31"/>
      <c r="T31"/>
      <c r="U31"/>
      <c r="V31"/>
      <c r="W31"/>
      <c r="X31"/>
      <c r="Y31"/>
      <c r="Z31"/>
      <c r="AA31"/>
    </row>
    <row r="32" spans="1:27" ht="13.5" customHeight="1" x14ac:dyDescent="0.2">
      <c r="A32" s="274" t="str">
        <f t="shared" si="3"/>
        <v>2011-12</v>
      </c>
      <c r="B32" s="191">
        <f>T08v2!W7</f>
        <v>66</v>
      </c>
      <c r="C32" s="191">
        <f>T08v2!X7</f>
        <v>51</v>
      </c>
      <c r="D32" s="191">
        <f>T08v2!Y7</f>
        <v>4</v>
      </c>
      <c r="E32" s="191">
        <f>T08v2!Z7</f>
        <v>15</v>
      </c>
      <c r="F32" s="191">
        <f>T08v2!AA7</f>
        <v>135</v>
      </c>
      <c r="G32" s="191">
        <f>T08v2!AB7</f>
        <v>125</v>
      </c>
      <c r="H32" s="191">
        <f>T08v2!AC7</f>
        <v>16</v>
      </c>
      <c r="I32" s="191">
        <f>T08v2!AD7</f>
        <v>71</v>
      </c>
      <c r="J32" s="191">
        <f>T08v2!AE7</f>
        <v>19</v>
      </c>
      <c r="K32" s="191">
        <f>T08v2!AF7</f>
        <v>10</v>
      </c>
      <c r="L32" s="1130">
        <f t="shared" si="4"/>
        <v>512</v>
      </c>
      <c r="M32"/>
      <c r="O32"/>
      <c r="P32"/>
      <c r="Q32"/>
      <c r="R32"/>
      <c r="S32"/>
      <c r="T32"/>
      <c r="U32"/>
      <c r="V32"/>
      <c r="W32"/>
      <c r="X32"/>
      <c r="Y32"/>
      <c r="Z32"/>
      <c r="AA32"/>
    </row>
    <row r="33" spans="1:27" ht="13.5" customHeight="1" x14ac:dyDescent="0.2">
      <c r="A33" s="274" t="str">
        <f t="shared" si="3"/>
        <v>2012-13</v>
      </c>
      <c r="B33" s="191">
        <f>T08v2!W8</f>
        <v>79</v>
      </c>
      <c r="C33" s="191">
        <f>T08v2!X8</f>
        <v>48</v>
      </c>
      <c r="D33" s="191">
        <f>T08v2!Y8</f>
        <v>12</v>
      </c>
      <c r="E33" s="191">
        <f>T08v2!Z8</f>
        <v>16</v>
      </c>
      <c r="F33" s="191">
        <f>T08v2!AA8</f>
        <v>133</v>
      </c>
      <c r="G33" s="191">
        <f>T08v2!AB8</f>
        <v>90</v>
      </c>
      <c r="H33" s="191">
        <f>T08v2!AC8</f>
        <v>13</v>
      </c>
      <c r="I33" s="191">
        <f>T08v2!AD8</f>
        <v>59</v>
      </c>
      <c r="J33" s="191">
        <f>T08v2!AE8</f>
        <v>12</v>
      </c>
      <c r="K33" s="191">
        <f>T08v2!AF8</f>
        <v>13</v>
      </c>
      <c r="L33" s="1130">
        <f t="shared" si="4"/>
        <v>475</v>
      </c>
      <c r="M33"/>
      <c r="O33"/>
      <c r="P33"/>
      <c r="Q33"/>
      <c r="R33"/>
      <c r="S33"/>
      <c r="T33"/>
      <c r="U33"/>
      <c r="V33"/>
      <c r="W33"/>
      <c r="X33"/>
      <c r="Y33"/>
      <c r="Z33"/>
      <c r="AA33"/>
    </row>
    <row r="34" spans="1:27" ht="13.5" customHeight="1" x14ac:dyDescent="0.2">
      <c r="A34" s="274" t="str">
        <f t="shared" si="3"/>
        <v>2013-14</v>
      </c>
      <c r="B34" s="191">
        <f>T08v2!W9</f>
        <v>89</v>
      </c>
      <c r="C34" s="191">
        <f>T08v2!X9</f>
        <v>41</v>
      </c>
      <c r="D34" s="191">
        <f>T08v2!Y9</f>
        <v>6</v>
      </c>
      <c r="E34" s="191">
        <f>T08v2!Z9</f>
        <v>13</v>
      </c>
      <c r="F34" s="191">
        <f>T08v2!AA9</f>
        <v>130</v>
      </c>
      <c r="G34" s="191">
        <f>T08v2!AB9</f>
        <v>93</v>
      </c>
      <c r="H34" s="191">
        <f>T08v2!AC9</f>
        <v>19</v>
      </c>
      <c r="I34" s="191">
        <f>T08v2!AD9</f>
        <v>38</v>
      </c>
      <c r="J34" s="191">
        <f>T08v2!AE9</f>
        <v>8</v>
      </c>
      <c r="K34" s="191">
        <f>T08v2!AF9</f>
        <v>9</v>
      </c>
      <c r="L34" s="1130">
        <f t="shared" si="4"/>
        <v>446</v>
      </c>
      <c r="M34"/>
      <c r="O34"/>
      <c r="P34"/>
      <c r="Q34"/>
      <c r="R34"/>
      <c r="S34"/>
      <c r="T34"/>
      <c r="U34"/>
      <c r="V34"/>
      <c r="W34"/>
      <c r="X34"/>
      <c r="Y34"/>
      <c r="Z34"/>
      <c r="AA34"/>
    </row>
    <row r="35" spans="1:27" ht="13.5" customHeight="1" x14ac:dyDescent="0.2">
      <c r="A35" s="274" t="str">
        <f t="shared" si="3"/>
        <v>2014-15</v>
      </c>
      <c r="B35" s="191">
        <f>T08v2!W10</f>
        <v>69</v>
      </c>
      <c r="C35" s="191">
        <f>T08v2!X10</f>
        <v>51</v>
      </c>
      <c r="D35" s="191">
        <f>T08v2!Y10</f>
        <v>11</v>
      </c>
      <c r="E35" s="191">
        <f>T08v2!Z10</f>
        <v>8</v>
      </c>
      <c r="F35" s="191">
        <f>T08v2!AA10</f>
        <v>147</v>
      </c>
      <c r="G35" s="191">
        <f>T08v2!AB10</f>
        <v>82</v>
      </c>
      <c r="H35" s="191">
        <f>T08v2!AC10</f>
        <v>13</v>
      </c>
      <c r="I35" s="191">
        <f>T08v2!AD10</f>
        <v>24</v>
      </c>
      <c r="J35" s="191">
        <f>T08v2!AE10</f>
        <v>15</v>
      </c>
      <c r="K35" s="191">
        <f>T08v2!AF10</f>
        <v>9</v>
      </c>
      <c r="L35" s="1130">
        <f t="shared" si="4"/>
        <v>429</v>
      </c>
      <c r="M35"/>
      <c r="O35"/>
      <c r="P35"/>
      <c r="Q35"/>
      <c r="R35"/>
      <c r="S35"/>
      <c r="T35"/>
      <c r="U35"/>
      <c r="V35"/>
      <c r="W35"/>
      <c r="X35"/>
      <c r="Y35"/>
      <c r="Z35"/>
      <c r="AA35"/>
    </row>
    <row r="36" spans="1:27" ht="13.5" customHeight="1" x14ac:dyDescent="0.2">
      <c r="A36" s="274" t="str">
        <f t="shared" si="3"/>
        <v>2015-16</v>
      </c>
      <c r="B36" s="191">
        <f>T08v2!W11</f>
        <v>93</v>
      </c>
      <c r="C36" s="191">
        <f>T08v2!X11</f>
        <v>56</v>
      </c>
      <c r="D36" s="191">
        <f>T08v2!Y11</f>
        <v>10</v>
      </c>
      <c r="E36" s="191">
        <f>T08v2!Z11</f>
        <v>7</v>
      </c>
      <c r="F36" s="191">
        <f>T08v2!AA11</f>
        <v>184</v>
      </c>
      <c r="G36" s="191">
        <f>T08v2!AB11</f>
        <v>70</v>
      </c>
      <c r="H36" s="191">
        <f>T08v2!AC11</f>
        <v>27</v>
      </c>
      <c r="I36" s="191">
        <f>T08v2!AD11</f>
        <v>36</v>
      </c>
      <c r="J36" s="191">
        <f>T08v2!AE11</f>
        <v>2</v>
      </c>
      <c r="K36" s="191">
        <f>T08v2!AF11</f>
        <v>5</v>
      </c>
      <c r="L36" s="1130">
        <f t="shared" si="4"/>
        <v>490</v>
      </c>
      <c r="M36"/>
      <c r="O36"/>
      <c r="P36"/>
      <c r="Q36"/>
      <c r="R36"/>
      <c r="S36"/>
      <c r="T36"/>
      <c r="U36"/>
      <c r="V36"/>
      <c r="W36"/>
      <c r="X36"/>
      <c r="Y36"/>
      <c r="Z36"/>
      <c r="AA36"/>
    </row>
    <row r="37" spans="1:27" ht="13.5" customHeight="1" x14ac:dyDescent="0.2">
      <c r="A37" s="274" t="str">
        <f t="shared" si="3"/>
        <v>2016-17</v>
      </c>
      <c r="B37" s="191">
        <f>T08v2!W12</f>
        <v>84</v>
      </c>
      <c r="C37" s="191">
        <f>T08v2!X12</f>
        <v>51</v>
      </c>
      <c r="D37" s="191">
        <f>T08v2!Y12</f>
        <v>4</v>
      </c>
      <c r="E37" s="191">
        <f>T08v2!Z12</f>
        <v>12</v>
      </c>
      <c r="F37" s="191">
        <f>T08v2!AA12</f>
        <v>151</v>
      </c>
      <c r="G37" s="191">
        <f>T08v2!AB12</f>
        <v>68</v>
      </c>
      <c r="H37" s="191">
        <f>T08v2!AC12</f>
        <v>11</v>
      </c>
      <c r="I37" s="191">
        <f>T08v2!AD12</f>
        <v>23</v>
      </c>
      <c r="J37" s="191">
        <f>T08v2!AE12</f>
        <v>6</v>
      </c>
      <c r="K37" s="191">
        <f>T08v2!AF12</f>
        <v>5</v>
      </c>
      <c r="L37" s="1130">
        <f t="shared" si="4"/>
        <v>415</v>
      </c>
      <c r="M37"/>
      <c r="O37"/>
      <c r="P37"/>
      <c r="Q37"/>
      <c r="R37"/>
      <c r="S37"/>
      <c r="T37"/>
      <c r="U37"/>
      <c r="V37"/>
      <c r="W37"/>
      <c r="X37"/>
      <c r="Y37"/>
      <c r="Z37"/>
      <c r="AA37"/>
    </row>
    <row r="38" spans="1:27" ht="13.5" customHeight="1" x14ac:dyDescent="0.2">
      <c r="A38" s="274" t="str">
        <f t="shared" si="3"/>
        <v>2017-18</v>
      </c>
      <c r="B38" s="191">
        <f>T08v2!W13</f>
        <v>54</v>
      </c>
      <c r="C38" s="191">
        <f>T08v2!X13</f>
        <v>55</v>
      </c>
      <c r="D38" s="191">
        <f>T08v2!Y13</f>
        <v>11</v>
      </c>
      <c r="E38" s="191">
        <f>T08v2!Z13</f>
        <v>7</v>
      </c>
      <c r="F38" s="191">
        <f>T08v2!AA13</f>
        <v>146</v>
      </c>
      <c r="G38" s="191">
        <f>T08v2!AB13</f>
        <v>55</v>
      </c>
      <c r="H38" s="191">
        <f>T08v2!AC13</f>
        <v>14</v>
      </c>
      <c r="I38" s="191">
        <f>T08v2!AD13</f>
        <v>36</v>
      </c>
      <c r="J38" s="191">
        <f>T08v2!AE13</f>
        <v>4</v>
      </c>
      <c r="K38" s="191">
        <f>T08v2!AF13</f>
        <v>3</v>
      </c>
      <c r="L38" s="1130">
        <f t="shared" si="4"/>
        <v>385</v>
      </c>
      <c r="M38"/>
      <c r="O38"/>
      <c r="P38"/>
      <c r="Q38"/>
      <c r="R38"/>
      <c r="S38"/>
      <c r="T38"/>
      <c r="U38"/>
      <c r="V38"/>
      <c r="W38"/>
      <c r="X38"/>
      <c r="Y38"/>
      <c r="Z38"/>
      <c r="AA38"/>
    </row>
    <row r="39" spans="1:27" ht="13.5" customHeight="1" x14ac:dyDescent="0.2">
      <c r="A39" s="274" t="str">
        <f t="shared" si="3"/>
        <v>2018-19</v>
      </c>
      <c r="B39" s="191">
        <f>T08v2!W14</f>
        <v>77</v>
      </c>
      <c r="C39" s="191">
        <f>T08v2!X14</f>
        <v>50</v>
      </c>
      <c r="D39" s="191">
        <f>T08v2!Y14</f>
        <v>6</v>
      </c>
      <c r="E39" s="191">
        <f>T08v2!Z14</f>
        <v>13</v>
      </c>
      <c r="F39" s="191">
        <f>T08v2!AA14</f>
        <v>125</v>
      </c>
      <c r="G39" s="191">
        <f>T08v2!AB14</f>
        <v>67</v>
      </c>
      <c r="H39" s="191">
        <f>T08v2!AC14</f>
        <v>18</v>
      </c>
      <c r="I39" s="191">
        <f>T08v2!AD14</f>
        <v>50</v>
      </c>
      <c r="J39" s="191">
        <f>T08v2!AE14</f>
        <v>11</v>
      </c>
      <c r="K39" s="191">
        <f>T08v2!AF14</f>
        <v>5</v>
      </c>
      <c r="L39" s="1130">
        <f t="shared" si="4"/>
        <v>422</v>
      </c>
      <c r="M39"/>
      <c r="O39"/>
      <c r="P39"/>
      <c r="Q39"/>
      <c r="R39"/>
      <c r="S39"/>
      <c r="T39"/>
      <c r="U39"/>
      <c r="V39"/>
      <c r="W39"/>
      <c r="X39"/>
      <c r="Y39"/>
      <c r="Z39"/>
      <c r="AA39"/>
    </row>
    <row r="40" spans="1:27" ht="13.5" customHeight="1" x14ac:dyDescent="0.2">
      <c r="A40" s="274" t="str">
        <f t="shared" si="3"/>
        <v>2019-20</v>
      </c>
      <c r="B40" s="191">
        <f>T08v2!W15</f>
        <v>64</v>
      </c>
      <c r="C40" s="191">
        <f>T08v2!X15</f>
        <v>36</v>
      </c>
      <c r="D40" s="191">
        <f>T08v2!Y15</f>
        <v>9</v>
      </c>
      <c r="E40" s="191">
        <f>T08v2!Z15</f>
        <v>8</v>
      </c>
      <c r="F40" s="191">
        <f>T08v2!AA15</f>
        <v>123</v>
      </c>
      <c r="G40" s="191">
        <f>T08v2!AB15</f>
        <v>70</v>
      </c>
      <c r="H40" s="191">
        <f>T08v2!AC15</f>
        <v>13</v>
      </c>
      <c r="I40" s="191">
        <f>T08v2!AD15</f>
        <v>52</v>
      </c>
      <c r="J40" s="191">
        <f>T08v2!AE15</f>
        <v>7</v>
      </c>
      <c r="K40" s="191">
        <f>T08v2!AF15</f>
        <v>7</v>
      </c>
      <c r="L40" s="1130">
        <f t="shared" si="4"/>
        <v>389</v>
      </c>
      <c r="M40"/>
      <c r="O40"/>
      <c r="P40"/>
      <c r="Q40"/>
      <c r="R40"/>
      <c r="S40"/>
      <c r="T40"/>
      <c r="U40"/>
      <c r="V40"/>
      <c r="W40"/>
      <c r="X40"/>
      <c r="Y40"/>
      <c r="Z40"/>
      <c r="AA40"/>
    </row>
    <row r="41" spans="1:27" ht="13.5" customHeight="1" thickBot="1" x14ac:dyDescent="0.25">
      <c r="A41" s="491" t="str">
        <f t="shared" si="3"/>
        <v>2020-21</v>
      </c>
      <c r="B41" s="492">
        <f>T08v2!W16</f>
        <v>44</v>
      </c>
      <c r="C41" s="492">
        <f>T08v2!X16</f>
        <v>32</v>
      </c>
      <c r="D41" s="492">
        <f>T08v2!Y16</f>
        <v>6</v>
      </c>
      <c r="E41" s="492">
        <f>T08v2!Z16</f>
        <v>6</v>
      </c>
      <c r="F41" s="492">
        <f>T08v2!AA16</f>
        <v>116</v>
      </c>
      <c r="G41" s="492">
        <f>T08v2!AB16</f>
        <v>48</v>
      </c>
      <c r="H41" s="492">
        <f>T08v2!AC16</f>
        <v>12</v>
      </c>
      <c r="I41" s="492">
        <f>T08v2!AD16</f>
        <v>54</v>
      </c>
      <c r="J41" s="492">
        <f>T08v2!AE16</f>
        <v>18</v>
      </c>
      <c r="K41" s="1128">
        <f>T08v2!AF16</f>
        <v>4</v>
      </c>
      <c r="L41" s="1131">
        <f t="shared" si="4"/>
        <v>340</v>
      </c>
      <c r="M41"/>
      <c r="O41"/>
      <c r="P41"/>
      <c r="Q41"/>
      <c r="R41"/>
      <c r="S41"/>
      <c r="T41"/>
      <c r="U41"/>
      <c r="V41"/>
      <c r="W41"/>
      <c r="X41"/>
      <c r="Y41"/>
      <c r="Z41"/>
      <c r="AA41"/>
    </row>
    <row r="42" spans="1:27" ht="13.5" customHeight="1" x14ac:dyDescent="0.2">
      <c r="A42" s="274"/>
      <c r="B42" s="601"/>
      <c r="C42" s="601"/>
      <c r="D42" s="601"/>
      <c r="E42" s="601"/>
      <c r="F42" s="601"/>
      <c r="G42" s="601"/>
      <c r="H42" s="601"/>
      <c r="I42" s="601"/>
      <c r="M42"/>
      <c r="O42"/>
      <c r="P42"/>
      <c r="Q42"/>
      <c r="R42"/>
      <c r="S42"/>
      <c r="T42"/>
      <c r="U42"/>
      <c r="V42"/>
      <c r="W42"/>
      <c r="X42"/>
      <c r="Y42"/>
      <c r="Z42"/>
      <c r="AA42"/>
    </row>
    <row r="43" spans="1:27" ht="13.5" customHeight="1" x14ac:dyDescent="0.2">
      <c r="A43" s="1273" t="str">
        <f>"One Year Change " &amp; A40 &amp; " to " &amp; A41</f>
        <v>One Year Change 2019-20 to 2020-21</v>
      </c>
      <c r="B43" s="1273"/>
      <c r="C43" s="1273"/>
      <c r="D43" s="615"/>
      <c r="E43" s="615"/>
      <c r="F43" s="615"/>
      <c r="G43" s="615"/>
      <c r="H43" s="616"/>
      <c r="I43" s="615"/>
      <c r="M43"/>
      <c r="O43"/>
      <c r="P43"/>
      <c r="Q43"/>
      <c r="R43"/>
      <c r="S43"/>
      <c r="T43"/>
      <c r="U43"/>
      <c r="V43"/>
      <c r="W43"/>
      <c r="X43"/>
      <c r="Y43"/>
      <c r="Z43"/>
      <c r="AA43"/>
    </row>
    <row r="44" spans="1:27" ht="13.5" customHeight="1" x14ac:dyDescent="0.2">
      <c r="A44" s="617" t="s">
        <v>0</v>
      </c>
      <c r="B44" s="618">
        <f>B41-B40</f>
        <v>-20</v>
      </c>
      <c r="C44" s="618">
        <f t="shared" ref="C44:L44" si="5">C41-C40</f>
        <v>-4</v>
      </c>
      <c r="D44" s="618">
        <f t="shared" si="5"/>
        <v>-3</v>
      </c>
      <c r="E44" s="618">
        <f t="shared" si="5"/>
        <v>-2</v>
      </c>
      <c r="F44" s="618">
        <f t="shared" si="5"/>
        <v>-7</v>
      </c>
      <c r="G44" s="618">
        <f t="shared" si="5"/>
        <v>-22</v>
      </c>
      <c r="H44" s="618">
        <f t="shared" si="5"/>
        <v>-1</v>
      </c>
      <c r="I44" s="618">
        <f t="shared" si="5"/>
        <v>2</v>
      </c>
      <c r="J44" s="618">
        <f t="shared" si="5"/>
        <v>11</v>
      </c>
      <c r="K44" s="618">
        <f t="shared" si="5"/>
        <v>-3</v>
      </c>
      <c r="L44" s="1126">
        <f t="shared" si="5"/>
        <v>-49</v>
      </c>
      <c r="M44"/>
      <c r="O44"/>
      <c r="P44"/>
      <c r="Q44"/>
      <c r="R44"/>
      <c r="S44"/>
      <c r="T44"/>
      <c r="U44"/>
      <c r="V44"/>
      <c r="W44"/>
      <c r="X44"/>
      <c r="Y44"/>
      <c r="Z44"/>
      <c r="AA44"/>
    </row>
    <row r="45" spans="1:27" ht="13.5" customHeight="1" thickBot="1" x14ac:dyDescent="0.25">
      <c r="A45" s="619" t="s">
        <v>62</v>
      </c>
      <c r="B45" s="620">
        <f>B44/B40</f>
        <v>-0.3125</v>
      </c>
      <c r="C45" s="620">
        <f t="shared" ref="C45:L45" si="6">C44/C40</f>
        <v>-0.1111111111111111</v>
      </c>
      <c r="D45" s="620">
        <f t="shared" si="6"/>
        <v>-0.33333333333333331</v>
      </c>
      <c r="E45" s="620">
        <f t="shared" si="6"/>
        <v>-0.25</v>
      </c>
      <c r="F45" s="620">
        <f t="shared" si="6"/>
        <v>-5.6910569105691054E-2</v>
      </c>
      <c r="G45" s="620">
        <f t="shared" si="6"/>
        <v>-0.31428571428571428</v>
      </c>
      <c r="H45" s="620">
        <f t="shared" si="6"/>
        <v>-7.6923076923076927E-2</v>
      </c>
      <c r="I45" s="620">
        <f t="shared" si="6"/>
        <v>3.8461538461538464E-2</v>
      </c>
      <c r="J45" s="620">
        <f t="shared" si="6"/>
        <v>1.5714285714285714</v>
      </c>
      <c r="K45" s="620">
        <f t="shared" si="6"/>
        <v>-0.42857142857142855</v>
      </c>
      <c r="L45" s="1127">
        <f t="shared" si="6"/>
        <v>-0.12596401028277635</v>
      </c>
      <c r="M45"/>
      <c r="Q45"/>
    </row>
    <row r="46" spans="1:27" ht="13.5" customHeight="1" x14ac:dyDescent="0.2">
      <c r="B46" s="1298"/>
      <c r="C46" s="1298"/>
      <c r="D46" s="1298"/>
      <c r="E46" s="1298"/>
      <c r="F46" s="1298"/>
      <c r="G46" s="1298"/>
      <c r="H46" s="1298"/>
      <c r="I46" s="1298"/>
      <c r="Q46"/>
    </row>
    <row r="47" spans="1:27" ht="13.5" customHeight="1" x14ac:dyDescent="0.2">
      <c r="Q47"/>
    </row>
    <row r="48" spans="1:27" ht="18.75" customHeight="1" x14ac:dyDescent="0.2">
      <c r="B48" s="1095" t="s">
        <v>1464</v>
      </c>
      <c r="C48" s="1094"/>
      <c r="D48" s="1094"/>
      <c r="E48" s="1094"/>
      <c r="F48" s="1094"/>
      <c r="G48" s="1094"/>
      <c r="H48" s="1094"/>
      <c r="I48" s="1094"/>
      <c r="J48" s="1094"/>
      <c r="K48" s="1094"/>
      <c r="L48" s="1094"/>
      <c r="M48" s="1094"/>
      <c r="Q48"/>
    </row>
    <row r="49" spans="1:17" ht="53.25" customHeight="1" x14ac:dyDescent="0.2">
      <c r="A49" s="1093"/>
      <c r="B49" s="255" t="s">
        <v>75</v>
      </c>
      <c r="C49" s="256" t="s">
        <v>76</v>
      </c>
      <c r="D49" s="256" t="s">
        <v>77</v>
      </c>
      <c r="E49" s="256" t="s">
        <v>531</v>
      </c>
      <c r="F49" s="256" t="s">
        <v>532</v>
      </c>
      <c r="G49" s="256" t="s">
        <v>533</v>
      </c>
      <c r="H49" s="256" t="s">
        <v>78</v>
      </c>
      <c r="I49" s="256" t="s">
        <v>79</v>
      </c>
      <c r="J49" s="256" t="s">
        <v>80</v>
      </c>
      <c r="K49" s="256" t="s">
        <v>81</v>
      </c>
      <c r="L49" s="256" t="s">
        <v>534</v>
      </c>
      <c r="M49" s="257" t="s">
        <v>8</v>
      </c>
      <c r="N49" s="1092" t="s">
        <v>1467</v>
      </c>
      <c r="Q49"/>
    </row>
    <row r="50" spans="1:17" ht="13.5" customHeight="1" x14ac:dyDescent="0.2">
      <c r="A50" s="488" t="str">
        <f t="shared" ref="A50:A61" si="7">A30</f>
        <v>2009-10</v>
      </c>
      <c r="B50" s="191">
        <f>T08v2!K5</f>
        <v>418</v>
      </c>
      <c r="C50" s="191">
        <f>T08v2!L5</f>
        <v>88</v>
      </c>
      <c r="D50" s="191">
        <f>T08v2!M5</f>
        <v>299</v>
      </c>
      <c r="E50" s="191">
        <f>T08v2!N5</f>
        <v>64</v>
      </c>
      <c r="F50" s="191">
        <f>T08v2!O5</f>
        <v>143</v>
      </c>
      <c r="G50" s="191">
        <f>T08v2!P5</f>
        <v>87</v>
      </c>
      <c r="H50" s="191">
        <f>T08v2!Q5</f>
        <v>177</v>
      </c>
      <c r="I50" s="191">
        <f>T08v2!R5</f>
        <v>204</v>
      </c>
      <c r="J50" s="191">
        <f>T08v2!S5</f>
        <v>328</v>
      </c>
      <c r="K50" s="191">
        <f>T08v2!T5</f>
        <v>219</v>
      </c>
      <c r="L50" s="191">
        <f>T08v2!U5</f>
        <v>161</v>
      </c>
      <c r="M50" s="191">
        <f>T08v2!V5</f>
        <v>205</v>
      </c>
      <c r="N50" s="1129">
        <f>SUM(B50:M50)</f>
        <v>2393</v>
      </c>
      <c r="Q50"/>
    </row>
    <row r="51" spans="1:17" ht="13.5" customHeight="1" x14ac:dyDescent="0.2">
      <c r="A51" s="274" t="str">
        <f t="shared" si="7"/>
        <v>2010-11</v>
      </c>
      <c r="B51" s="191">
        <f>T08v2!K6</f>
        <v>393</v>
      </c>
      <c r="C51" s="191">
        <f>T08v2!L6</f>
        <v>88</v>
      </c>
      <c r="D51" s="191">
        <f>T08v2!M6</f>
        <v>324</v>
      </c>
      <c r="E51" s="191">
        <f>T08v2!N6</f>
        <v>53</v>
      </c>
      <c r="F51" s="191">
        <f>T08v2!O6</f>
        <v>144</v>
      </c>
      <c r="G51" s="191">
        <f>T08v2!P6</f>
        <v>110</v>
      </c>
      <c r="H51" s="191">
        <f>T08v2!Q6</f>
        <v>142</v>
      </c>
      <c r="I51" s="191">
        <f>T08v2!R6</f>
        <v>196</v>
      </c>
      <c r="J51" s="191">
        <f>T08v2!S6</f>
        <v>301</v>
      </c>
      <c r="K51" s="191">
        <f>T08v2!T6</f>
        <v>187</v>
      </c>
      <c r="L51" s="191">
        <f>T08v2!U6</f>
        <v>140</v>
      </c>
      <c r="M51" s="191">
        <f>T08v2!V6</f>
        <v>136</v>
      </c>
      <c r="N51" s="1130">
        <f>SUM(B51:M51)</f>
        <v>2214</v>
      </c>
      <c r="Q51"/>
    </row>
    <row r="52" spans="1:17" ht="13.5" customHeight="1" x14ac:dyDescent="0.2">
      <c r="A52" s="274" t="str">
        <f t="shared" si="7"/>
        <v>2011-12</v>
      </c>
      <c r="B52" s="191">
        <f>T08v2!K7</f>
        <v>428</v>
      </c>
      <c r="C52" s="191">
        <f>T08v2!L7</f>
        <v>84</v>
      </c>
      <c r="D52" s="191">
        <f>T08v2!M7</f>
        <v>298</v>
      </c>
      <c r="E52" s="191">
        <f>T08v2!N7</f>
        <v>38</v>
      </c>
      <c r="F52" s="191">
        <f>T08v2!O7</f>
        <v>118</v>
      </c>
      <c r="G52" s="191">
        <f>T08v2!P7</f>
        <v>110</v>
      </c>
      <c r="H52" s="191">
        <f>T08v2!Q7</f>
        <v>157</v>
      </c>
      <c r="I52" s="191">
        <f>T08v2!R7</f>
        <v>188</v>
      </c>
      <c r="J52" s="191">
        <f>T08v2!S7</f>
        <v>272</v>
      </c>
      <c r="K52" s="191">
        <f>T08v2!T7</f>
        <v>164</v>
      </c>
      <c r="L52" s="191">
        <f>T08v2!U7</f>
        <v>173</v>
      </c>
      <c r="M52" s="191">
        <f>T08v2!V7</f>
        <v>175</v>
      </c>
      <c r="N52" s="1130">
        <f t="shared" ref="N52:N61" si="8">SUM(B52:M52)</f>
        <v>2205</v>
      </c>
      <c r="Q52"/>
    </row>
    <row r="53" spans="1:17" ht="13.5" customHeight="1" x14ac:dyDescent="0.2">
      <c r="A53" s="274" t="str">
        <f t="shared" si="7"/>
        <v>2012-13</v>
      </c>
      <c r="B53" s="191">
        <f>T08v2!K8</f>
        <v>350</v>
      </c>
      <c r="C53" s="191">
        <f>T08v2!L8</f>
        <v>86</v>
      </c>
      <c r="D53" s="191">
        <f>T08v2!M8</f>
        <v>234</v>
      </c>
      <c r="E53" s="191">
        <f>T08v2!N8</f>
        <v>37</v>
      </c>
      <c r="F53" s="191">
        <f>T08v2!O8</f>
        <v>107</v>
      </c>
      <c r="G53" s="191">
        <f>T08v2!P8</f>
        <v>122</v>
      </c>
      <c r="H53" s="191">
        <f>T08v2!Q8</f>
        <v>126</v>
      </c>
      <c r="I53" s="191">
        <f>T08v2!R8</f>
        <v>145</v>
      </c>
      <c r="J53" s="191">
        <f>T08v2!S8</f>
        <v>234</v>
      </c>
      <c r="K53" s="191">
        <f>T08v2!T8</f>
        <v>160</v>
      </c>
      <c r="L53" s="191">
        <f>T08v2!U8</f>
        <v>152</v>
      </c>
      <c r="M53" s="191">
        <f>T08v2!V8</f>
        <v>180</v>
      </c>
      <c r="N53" s="1130">
        <f t="shared" si="8"/>
        <v>1933</v>
      </c>
      <c r="Q53"/>
    </row>
    <row r="54" spans="1:17" ht="13.5" customHeight="1" x14ac:dyDescent="0.2">
      <c r="A54" s="274" t="str">
        <f t="shared" si="7"/>
        <v>2013-14</v>
      </c>
      <c r="B54" s="191">
        <f>T08v2!K9</f>
        <v>346</v>
      </c>
      <c r="C54" s="191">
        <f>T08v2!L9</f>
        <v>88</v>
      </c>
      <c r="D54" s="191">
        <f>T08v2!M9</f>
        <v>219</v>
      </c>
      <c r="E54" s="191">
        <f>T08v2!N9</f>
        <v>40</v>
      </c>
      <c r="F54" s="191">
        <f>T08v2!O9</f>
        <v>121</v>
      </c>
      <c r="G54" s="191">
        <f>T08v2!P9</f>
        <v>113</v>
      </c>
      <c r="H54" s="191">
        <f>T08v2!Q9</f>
        <v>124</v>
      </c>
      <c r="I54" s="191">
        <f>T08v2!R9</f>
        <v>155</v>
      </c>
      <c r="J54" s="191">
        <f>T08v2!S9</f>
        <v>232</v>
      </c>
      <c r="K54" s="191">
        <f>T08v2!T9</f>
        <v>151</v>
      </c>
      <c r="L54" s="191">
        <f>T08v2!U9</f>
        <v>141</v>
      </c>
      <c r="M54" s="191">
        <f>T08v2!V9</f>
        <v>170</v>
      </c>
      <c r="N54" s="1130">
        <f t="shared" si="8"/>
        <v>1900</v>
      </c>
      <c r="Q54"/>
    </row>
    <row r="55" spans="1:17" ht="13.5" customHeight="1" x14ac:dyDescent="0.2">
      <c r="A55" s="274" t="str">
        <f t="shared" si="7"/>
        <v>2014-15</v>
      </c>
      <c r="B55" s="191">
        <f>T08v2!K10</f>
        <v>358</v>
      </c>
      <c r="C55" s="191">
        <f>T08v2!L10</f>
        <v>91</v>
      </c>
      <c r="D55" s="191">
        <f>T08v2!M10</f>
        <v>223</v>
      </c>
      <c r="E55" s="191">
        <f>T08v2!N10</f>
        <v>30</v>
      </c>
      <c r="F55" s="191">
        <f>T08v2!O10</f>
        <v>120</v>
      </c>
      <c r="G55" s="191">
        <f>T08v2!P10</f>
        <v>99</v>
      </c>
      <c r="H55" s="191">
        <f>T08v2!Q10</f>
        <v>102</v>
      </c>
      <c r="I55" s="191">
        <f>T08v2!R10</f>
        <v>160</v>
      </c>
      <c r="J55" s="191">
        <f>T08v2!S10</f>
        <v>234</v>
      </c>
      <c r="K55" s="191">
        <f>T08v2!T10</f>
        <v>158</v>
      </c>
      <c r="L55" s="191">
        <f>T08v2!U10</f>
        <v>156</v>
      </c>
      <c r="M55" s="191">
        <f>T08v2!V10</f>
        <v>164</v>
      </c>
      <c r="N55" s="1130">
        <f t="shared" si="8"/>
        <v>1895</v>
      </c>
      <c r="Q55"/>
    </row>
    <row r="56" spans="1:17" ht="13.5" customHeight="1" x14ac:dyDescent="0.2">
      <c r="A56" s="274" t="str">
        <f t="shared" si="7"/>
        <v>2015-16</v>
      </c>
      <c r="B56" s="191">
        <f>T08v2!K11</f>
        <v>312</v>
      </c>
      <c r="C56" s="191">
        <f>T08v2!L11</f>
        <v>87</v>
      </c>
      <c r="D56" s="191">
        <f>T08v2!M11</f>
        <v>246</v>
      </c>
      <c r="E56" s="191">
        <f>T08v2!N11</f>
        <v>47</v>
      </c>
      <c r="F56" s="191">
        <f>T08v2!O11</f>
        <v>131</v>
      </c>
      <c r="G56" s="191">
        <f>T08v2!P11</f>
        <v>119</v>
      </c>
      <c r="H56" s="191">
        <f>T08v2!Q11</f>
        <v>110</v>
      </c>
      <c r="I56" s="191">
        <f>T08v2!R11</f>
        <v>165</v>
      </c>
      <c r="J56" s="191">
        <f>T08v2!S11</f>
        <v>257</v>
      </c>
      <c r="K56" s="191">
        <f>T08v2!T11</f>
        <v>175</v>
      </c>
      <c r="L56" s="191">
        <f>T08v2!U11</f>
        <v>167</v>
      </c>
      <c r="M56" s="191">
        <f>T08v2!V11</f>
        <v>188</v>
      </c>
      <c r="N56" s="1130">
        <f t="shared" si="8"/>
        <v>2004</v>
      </c>
      <c r="Q56"/>
    </row>
    <row r="57" spans="1:17" ht="13.5" customHeight="1" x14ac:dyDescent="0.2">
      <c r="A57" s="274" t="str">
        <f t="shared" si="7"/>
        <v>2016-17</v>
      </c>
      <c r="B57" s="191">
        <f>T08v2!K12</f>
        <v>317</v>
      </c>
      <c r="C57" s="191">
        <f>T08v2!L12</f>
        <v>72</v>
      </c>
      <c r="D57" s="191">
        <f>T08v2!M12</f>
        <v>235</v>
      </c>
      <c r="E57" s="191">
        <f>T08v2!N12</f>
        <v>52</v>
      </c>
      <c r="F57" s="191">
        <f>T08v2!O12</f>
        <v>120</v>
      </c>
      <c r="G57" s="191">
        <f>T08v2!P12</f>
        <v>99</v>
      </c>
      <c r="H57" s="191">
        <f>T08v2!Q12</f>
        <v>106</v>
      </c>
      <c r="I57" s="191">
        <f>T08v2!R12</f>
        <v>171</v>
      </c>
      <c r="J57" s="191">
        <f>T08v2!S12</f>
        <v>225</v>
      </c>
      <c r="K57" s="191">
        <f>T08v2!T12</f>
        <v>165</v>
      </c>
      <c r="L57" s="191">
        <f>T08v2!U12</f>
        <v>145</v>
      </c>
      <c r="M57" s="191">
        <f>T08v2!V12</f>
        <v>155</v>
      </c>
      <c r="N57" s="1130">
        <f t="shared" si="8"/>
        <v>1862</v>
      </c>
      <c r="Q57"/>
    </row>
    <row r="58" spans="1:17" ht="13.5" customHeight="1" x14ac:dyDescent="0.2">
      <c r="A58" s="274" t="str">
        <f t="shared" si="7"/>
        <v>2017-18</v>
      </c>
      <c r="B58" s="191">
        <f>T08v2!K13</f>
        <v>355</v>
      </c>
      <c r="C58" s="191">
        <f>T08v2!L13</f>
        <v>68</v>
      </c>
      <c r="D58" s="191">
        <f>T08v2!M13</f>
        <v>228</v>
      </c>
      <c r="E58" s="191">
        <f>T08v2!N13</f>
        <v>35</v>
      </c>
      <c r="F58" s="191">
        <f>T08v2!O13</f>
        <v>107</v>
      </c>
      <c r="G58" s="191">
        <f>T08v2!P13</f>
        <v>155</v>
      </c>
      <c r="H58" s="191">
        <f>T08v2!Q13</f>
        <v>115</v>
      </c>
      <c r="I58" s="191">
        <f>T08v2!R13</f>
        <v>156</v>
      </c>
      <c r="J58" s="191">
        <f>T08v2!S13</f>
        <v>205</v>
      </c>
      <c r="K58" s="191">
        <f>T08v2!T13</f>
        <v>177</v>
      </c>
      <c r="L58" s="191">
        <f>T08v2!U13</f>
        <v>128</v>
      </c>
      <c r="M58" s="191">
        <f>T08v2!V13</f>
        <v>173</v>
      </c>
      <c r="N58" s="1130">
        <f t="shared" si="8"/>
        <v>1902</v>
      </c>
      <c r="Q58"/>
    </row>
    <row r="59" spans="1:17" ht="13.5" customHeight="1" x14ac:dyDescent="0.2">
      <c r="A59" s="274" t="str">
        <f t="shared" si="7"/>
        <v>2018-19</v>
      </c>
      <c r="B59" s="191">
        <f>T08v2!K14</f>
        <v>333</v>
      </c>
      <c r="C59" s="191">
        <f>T08v2!L14</f>
        <v>79</v>
      </c>
      <c r="D59" s="191">
        <f>T08v2!M14</f>
        <v>197</v>
      </c>
      <c r="E59" s="191">
        <f>T08v2!N14</f>
        <v>38</v>
      </c>
      <c r="F59" s="191">
        <f>T08v2!O14</f>
        <v>107</v>
      </c>
      <c r="G59" s="191">
        <f>T08v2!P14</f>
        <v>160</v>
      </c>
      <c r="H59" s="191">
        <f>T08v2!Q14</f>
        <v>95</v>
      </c>
      <c r="I59" s="191">
        <f>T08v2!R14</f>
        <v>165</v>
      </c>
      <c r="J59" s="191">
        <f>T08v2!S14</f>
        <v>210</v>
      </c>
      <c r="K59" s="191">
        <f>T08v2!T14</f>
        <v>155</v>
      </c>
      <c r="L59" s="191">
        <f>T08v2!U14</f>
        <v>132</v>
      </c>
      <c r="M59" s="191">
        <f>T08v2!V14</f>
        <v>159</v>
      </c>
      <c r="N59" s="1130">
        <f t="shared" si="8"/>
        <v>1830</v>
      </c>
      <c r="Q59"/>
    </row>
    <row r="60" spans="1:17" ht="13.5" customHeight="1" x14ac:dyDescent="0.2">
      <c r="A60" s="274" t="str">
        <f t="shared" si="7"/>
        <v>2019-20</v>
      </c>
      <c r="B60" s="191">
        <f>T08v2!K15</f>
        <v>295</v>
      </c>
      <c r="C60" s="191">
        <f>T08v2!L15</f>
        <v>54</v>
      </c>
      <c r="D60" s="191">
        <f>T08v2!M15</f>
        <v>171</v>
      </c>
      <c r="E60" s="191">
        <f>T08v2!N15</f>
        <v>30</v>
      </c>
      <c r="F60" s="191">
        <f>T08v2!O15</f>
        <v>112</v>
      </c>
      <c r="G60" s="191">
        <f>T08v2!P15</f>
        <v>93</v>
      </c>
      <c r="H60" s="191">
        <f>T08v2!Q15</f>
        <v>99</v>
      </c>
      <c r="I60" s="191">
        <f>T08v2!R15</f>
        <v>142</v>
      </c>
      <c r="J60" s="191">
        <f>T08v2!S15</f>
        <v>187</v>
      </c>
      <c r="K60" s="191">
        <f>T08v2!T15</f>
        <v>157</v>
      </c>
      <c r="L60" s="191">
        <f>T08v2!U15</f>
        <v>111</v>
      </c>
      <c r="M60" s="191">
        <f>T08v2!V15</f>
        <v>140</v>
      </c>
      <c r="N60" s="1130">
        <f t="shared" si="8"/>
        <v>1591</v>
      </c>
      <c r="Q60"/>
    </row>
    <row r="61" spans="1:17" ht="14.25" customHeight="1" thickBot="1" x14ac:dyDescent="0.25">
      <c r="A61" s="491" t="str">
        <f t="shared" si="7"/>
        <v>2020-21</v>
      </c>
      <c r="B61" s="492">
        <f>T08v2!K16</f>
        <v>316</v>
      </c>
      <c r="C61" s="492">
        <f>T08v2!L16</f>
        <v>73</v>
      </c>
      <c r="D61" s="492">
        <f>T08v2!M16</f>
        <v>197</v>
      </c>
      <c r="E61" s="492">
        <f>T08v2!N16</f>
        <v>31</v>
      </c>
      <c r="F61" s="492">
        <f>T08v2!O16</f>
        <v>65</v>
      </c>
      <c r="G61" s="492">
        <f>T08v2!P16</f>
        <v>83</v>
      </c>
      <c r="H61" s="492">
        <f>T08v2!Q16</f>
        <v>72</v>
      </c>
      <c r="I61" s="492">
        <f>T08v2!R16</f>
        <v>112</v>
      </c>
      <c r="J61" s="492">
        <f>T08v2!S16</f>
        <v>140</v>
      </c>
      <c r="K61" s="492">
        <f>T08v2!T16</f>
        <v>89</v>
      </c>
      <c r="L61" s="492">
        <f>T08v2!U16</f>
        <v>95</v>
      </c>
      <c r="M61" s="492">
        <f>T08v2!V16</f>
        <v>105</v>
      </c>
      <c r="N61" s="1131">
        <f t="shared" si="8"/>
        <v>1378</v>
      </c>
      <c r="Q61"/>
    </row>
    <row r="62" spans="1:17" ht="30" customHeight="1" x14ac:dyDescent="0.2">
      <c r="A62" s="1273" t="str">
        <f>"One Year Change " &amp; A60 &amp; " to " &amp; A61</f>
        <v>One Year Change 2019-20 to 2020-21</v>
      </c>
      <c r="B62" s="1273"/>
      <c r="C62" s="1273"/>
      <c r="D62" s="615"/>
      <c r="E62" s="615"/>
      <c r="F62" s="615"/>
      <c r="G62" s="615"/>
      <c r="H62" s="616"/>
      <c r="I62" s="615"/>
    </row>
    <row r="63" spans="1:17" x14ac:dyDescent="0.2">
      <c r="A63" s="617" t="s">
        <v>0</v>
      </c>
      <c r="B63" s="618">
        <f>B61-B60</f>
        <v>21</v>
      </c>
      <c r="C63" s="618">
        <f t="shared" ref="C63:N63" si="9">C61-C60</f>
        <v>19</v>
      </c>
      <c r="D63" s="618">
        <f t="shared" si="9"/>
        <v>26</v>
      </c>
      <c r="E63" s="618">
        <f>E61-E60</f>
        <v>1</v>
      </c>
      <c r="F63" s="618">
        <f t="shared" si="9"/>
        <v>-47</v>
      </c>
      <c r="G63" s="618">
        <f t="shared" si="9"/>
        <v>-10</v>
      </c>
      <c r="H63" s="618">
        <f t="shared" si="9"/>
        <v>-27</v>
      </c>
      <c r="I63" s="618">
        <f t="shared" si="9"/>
        <v>-30</v>
      </c>
      <c r="J63" s="618">
        <f t="shared" si="9"/>
        <v>-47</v>
      </c>
      <c r="K63" s="618">
        <f t="shared" si="9"/>
        <v>-68</v>
      </c>
      <c r="L63" s="618">
        <f t="shared" si="9"/>
        <v>-16</v>
      </c>
      <c r="M63" s="618">
        <f>M61-M60</f>
        <v>-35</v>
      </c>
      <c r="N63" s="1126">
        <f t="shared" si="9"/>
        <v>-213</v>
      </c>
    </row>
    <row r="64" spans="1:17" ht="13.5" thickBot="1" x14ac:dyDescent="0.25">
      <c r="A64" s="619" t="s">
        <v>62</v>
      </c>
      <c r="B64" s="620">
        <f>B63/B60</f>
        <v>7.1186440677966104E-2</v>
      </c>
      <c r="C64" s="620">
        <f t="shared" ref="C64:N64" si="10">C63/C60</f>
        <v>0.35185185185185186</v>
      </c>
      <c r="D64" s="620">
        <f t="shared" si="10"/>
        <v>0.15204678362573099</v>
      </c>
      <c r="E64" s="620">
        <f t="shared" si="10"/>
        <v>3.3333333333333333E-2</v>
      </c>
      <c r="F64" s="620">
        <f t="shared" si="10"/>
        <v>-0.41964285714285715</v>
      </c>
      <c r="G64" s="620">
        <f t="shared" si="10"/>
        <v>-0.10752688172043011</v>
      </c>
      <c r="H64" s="620">
        <f t="shared" si="10"/>
        <v>-0.27272727272727271</v>
      </c>
      <c r="I64" s="620">
        <f t="shared" si="10"/>
        <v>-0.21126760563380281</v>
      </c>
      <c r="J64" s="620">
        <f t="shared" si="10"/>
        <v>-0.25133689839572193</v>
      </c>
      <c r="K64" s="620">
        <f t="shared" si="10"/>
        <v>-0.43312101910828027</v>
      </c>
      <c r="L64" s="620">
        <f t="shared" si="10"/>
        <v>-0.14414414414414414</v>
      </c>
      <c r="M64" s="620">
        <f t="shared" si="10"/>
        <v>-0.25</v>
      </c>
      <c r="N64" s="1127">
        <f t="shared" si="10"/>
        <v>-0.13387806411062225</v>
      </c>
    </row>
    <row r="67" spans="1:16" x14ac:dyDescent="0.2">
      <c r="A67" s="5" t="s">
        <v>146</v>
      </c>
    </row>
    <row r="68" spans="1:16" ht="15" x14ac:dyDescent="0.25">
      <c r="A68" s="966" t="s">
        <v>1225</v>
      </c>
    </row>
    <row r="69" spans="1:16" ht="15" x14ac:dyDescent="0.25">
      <c r="A69" s="966" t="s">
        <v>1523</v>
      </c>
    </row>
    <row r="70" spans="1:16" x14ac:dyDescent="0.2">
      <c r="A70"/>
      <c r="B70"/>
      <c r="C70"/>
      <c r="D70"/>
      <c r="E70"/>
      <c r="F70"/>
      <c r="G70"/>
      <c r="H70"/>
      <c r="I70"/>
      <c r="J70"/>
      <c r="K70"/>
      <c r="L70"/>
      <c r="M70"/>
      <c r="N70"/>
      <c r="O70"/>
      <c r="P70"/>
    </row>
    <row r="71" spans="1:16" x14ac:dyDescent="0.2">
      <c r="A71"/>
      <c r="B71"/>
      <c r="C71"/>
      <c r="D71"/>
      <c r="E71"/>
      <c r="F71"/>
      <c r="G71"/>
      <c r="H71"/>
      <c r="I71"/>
      <c r="J71"/>
      <c r="K71"/>
      <c r="L71"/>
      <c r="M71"/>
      <c r="N71"/>
      <c r="O71"/>
      <c r="P71"/>
    </row>
    <row r="72" spans="1:16" x14ac:dyDescent="0.2">
      <c r="A72"/>
      <c r="B72"/>
      <c r="C72"/>
      <c r="D72"/>
      <c r="E72"/>
      <c r="F72"/>
      <c r="G72"/>
      <c r="H72"/>
      <c r="I72"/>
      <c r="J72"/>
      <c r="K72"/>
      <c r="L72"/>
      <c r="M72"/>
      <c r="N72"/>
      <c r="O72"/>
      <c r="P72"/>
    </row>
    <row r="73" spans="1:16" x14ac:dyDescent="0.2">
      <c r="A73"/>
      <c r="B73"/>
      <c r="C73"/>
      <c r="D73"/>
      <c r="E73"/>
      <c r="F73"/>
      <c r="G73"/>
      <c r="H73"/>
      <c r="I73"/>
      <c r="J73"/>
      <c r="K73"/>
      <c r="L73"/>
      <c r="M73"/>
      <c r="N73"/>
      <c r="O73"/>
      <c r="P73"/>
    </row>
    <row r="74" spans="1:16" x14ac:dyDescent="0.2">
      <c r="A74"/>
      <c r="B74"/>
      <c r="C74"/>
      <c r="D74"/>
      <c r="E74"/>
      <c r="F74"/>
      <c r="G74"/>
      <c r="H74"/>
      <c r="I74"/>
      <c r="J74"/>
      <c r="K74"/>
      <c r="L74"/>
      <c r="M74"/>
      <c r="N74"/>
      <c r="O74"/>
      <c r="P74"/>
    </row>
    <row r="75" spans="1:16" x14ac:dyDescent="0.2">
      <c r="A75"/>
      <c r="B75"/>
      <c r="C75"/>
      <c r="D75"/>
      <c r="E75"/>
      <c r="F75"/>
      <c r="G75"/>
      <c r="H75"/>
      <c r="I75"/>
      <c r="J75"/>
      <c r="K75"/>
      <c r="L75"/>
      <c r="M75"/>
      <c r="N75"/>
      <c r="O75"/>
      <c r="P75"/>
    </row>
    <row r="76" spans="1:16" x14ac:dyDescent="0.2">
      <c r="A76"/>
      <c r="B76"/>
      <c r="C76"/>
      <c r="D76"/>
      <c r="E76"/>
      <c r="F76"/>
      <c r="G76"/>
      <c r="H76"/>
      <c r="I76"/>
      <c r="J76"/>
      <c r="K76"/>
      <c r="L76"/>
      <c r="M76"/>
      <c r="N76"/>
      <c r="O76"/>
      <c r="P76"/>
    </row>
    <row r="77" spans="1:16" x14ac:dyDescent="0.2">
      <c r="A77"/>
      <c r="B77"/>
      <c r="C77"/>
      <c r="D77"/>
      <c r="E77"/>
      <c r="F77"/>
      <c r="G77"/>
      <c r="H77"/>
      <c r="I77"/>
      <c r="J77"/>
      <c r="K77"/>
      <c r="L77"/>
      <c r="M77"/>
      <c r="N77"/>
      <c r="O77"/>
      <c r="P77"/>
    </row>
    <row r="78" spans="1:16" x14ac:dyDescent="0.2">
      <c r="A78"/>
      <c r="B78"/>
      <c r="C78"/>
      <c r="D78"/>
      <c r="E78"/>
      <c r="F78"/>
      <c r="G78"/>
      <c r="H78"/>
      <c r="I78"/>
      <c r="J78"/>
      <c r="K78"/>
      <c r="L78"/>
      <c r="M78"/>
      <c r="N78"/>
      <c r="O78"/>
      <c r="P78"/>
    </row>
    <row r="79" spans="1:16" x14ac:dyDescent="0.2">
      <c r="A79"/>
      <c r="B79"/>
      <c r="C79"/>
      <c r="D79"/>
      <c r="E79"/>
      <c r="F79"/>
      <c r="G79"/>
      <c r="H79"/>
      <c r="I79"/>
      <c r="J79"/>
      <c r="K79"/>
      <c r="L79"/>
      <c r="M79"/>
      <c r="N79"/>
      <c r="O79"/>
      <c r="P79"/>
    </row>
    <row r="80" spans="1:16" x14ac:dyDescent="0.2">
      <c r="A80"/>
      <c r="B80"/>
      <c r="C80"/>
      <c r="D80"/>
      <c r="E80"/>
      <c r="F80"/>
      <c r="G80"/>
      <c r="H80"/>
      <c r="I80"/>
      <c r="J80"/>
      <c r="K80"/>
      <c r="L80"/>
      <c r="M80"/>
      <c r="N80"/>
      <c r="O80"/>
      <c r="P80"/>
    </row>
    <row r="81" spans="1:16" x14ac:dyDescent="0.2">
      <c r="A81"/>
      <c r="B81"/>
      <c r="C81"/>
      <c r="D81"/>
      <c r="E81"/>
      <c r="F81"/>
      <c r="G81"/>
      <c r="H81"/>
      <c r="I81"/>
      <c r="J81"/>
      <c r="K81"/>
      <c r="L81"/>
      <c r="M81"/>
      <c r="N81"/>
      <c r="O81"/>
      <c r="P81"/>
    </row>
    <row r="82" spans="1:16" x14ac:dyDescent="0.2">
      <c r="A82"/>
      <c r="B82"/>
      <c r="C82"/>
      <c r="D82"/>
      <c r="E82"/>
      <c r="F82"/>
      <c r="G82"/>
      <c r="H82"/>
      <c r="I82"/>
      <c r="J82"/>
      <c r="K82"/>
      <c r="L82"/>
      <c r="M82"/>
      <c r="N82"/>
      <c r="O82"/>
      <c r="P82"/>
    </row>
    <row r="83" spans="1:16" x14ac:dyDescent="0.2">
      <c r="A83"/>
      <c r="B83"/>
      <c r="C83"/>
      <c r="D83"/>
      <c r="E83"/>
      <c r="F83"/>
      <c r="G83"/>
      <c r="H83"/>
      <c r="I83"/>
      <c r="J83"/>
      <c r="K83"/>
      <c r="L83"/>
      <c r="M83"/>
      <c r="N83"/>
      <c r="O83"/>
      <c r="P83"/>
    </row>
    <row r="84" spans="1:16" x14ac:dyDescent="0.2">
      <c r="A84"/>
      <c r="B84"/>
      <c r="C84"/>
      <c r="D84"/>
      <c r="E84"/>
      <c r="F84"/>
      <c r="G84"/>
      <c r="H84"/>
      <c r="I84"/>
      <c r="J84"/>
      <c r="K84"/>
      <c r="L84"/>
      <c r="M84"/>
      <c r="N84"/>
      <c r="O84"/>
      <c r="P84"/>
    </row>
    <row r="85" spans="1:16" x14ac:dyDescent="0.2">
      <c r="A85"/>
      <c r="B85"/>
      <c r="C85"/>
      <c r="D85"/>
      <c r="E85"/>
      <c r="F85"/>
      <c r="G85"/>
      <c r="H85"/>
      <c r="I85"/>
      <c r="J85"/>
      <c r="K85"/>
      <c r="L85"/>
      <c r="M85"/>
      <c r="N85"/>
      <c r="O85"/>
      <c r="P85"/>
    </row>
    <row r="86" spans="1:16" x14ac:dyDescent="0.2">
      <c r="A86"/>
      <c r="B86"/>
      <c r="C86"/>
      <c r="D86"/>
      <c r="E86"/>
      <c r="F86"/>
      <c r="G86"/>
      <c r="H86"/>
      <c r="I86"/>
      <c r="J86"/>
      <c r="K86"/>
      <c r="L86"/>
      <c r="M86"/>
      <c r="N86"/>
      <c r="O86"/>
      <c r="P86"/>
    </row>
    <row r="87" spans="1:16" x14ac:dyDescent="0.2">
      <c r="A87"/>
      <c r="B87"/>
      <c r="C87"/>
      <c r="D87"/>
      <c r="E87"/>
      <c r="F87"/>
      <c r="G87"/>
      <c r="H87"/>
      <c r="I87"/>
      <c r="J87"/>
      <c r="K87"/>
      <c r="L87"/>
      <c r="M87"/>
      <c r="N87"/>
      <c r="O87"/>
      <c r="P87"/>
    </row>
    <row r="88" spans="1:16" x14ac:dyDescent="0.2">
      <c r="A88"/>
      <c r="B88"/>
      <c r="C88"/>
      <c r="D88"/>
      <c r="E88"/>
      <c r="F88"/>
      <c r="G88"/>
      <c r="H88"/>
      <c r="I88"/>
      <c r="J88"/>
      <c r="K88"/>
      <c r="L88"/>
      <c r="M88"/>
      <c r="N88"/>
      <c r="O88"/>
      <c r="P88"/>
    </row>
    <row r="89" spans="1:16" x14ac:dyDescent="0.2">
      <c r="A89"/>
      <c r="B89"/>
      <c r="C89"/>
      <c r="D89"/>
      <c r="E89"/>
      <c r="F89"/>
      <c r="G89"/>
      <c r="H89"/>
      <c r="I89"/>
      <c r="J89"/>
      <c r="K89"/>
      <c r="L89"/>
      <c r="M89"/>
      <c r="N89"/>
      <c r="O89"/>
      <c r="P89"/>
    </row>
    <row r="90" spans="1:16" x14ac:dyDescent="0.2">
      <c r="A90"/>
      <c r="B90"/>
      <c r="C90"/>
      <c r="D90"/>
      <c r="E90"/>
      <c r="F90"/>
      <c r="G90"/>
      <c r="H90"/>
      <c r="I90"/>
      <c r="J90"/>
      <c r="K90"/>
      <c r="L90"/>
      <c r="M90"/>
      <c r="N90"/>
      <c r="O90"/>
      <c r="P90"/>
    </row>
    <row r="91" spans="1:16" x14ac:dyDescent="0.2">
      <c r="A91"/>
      <c r="B91"/>
      <c r="C91"/>
      <c r="D91"/>
      <c r="E91"/>
      <c r="F91"/>
      <c r="G91"/>
      <c r="H91"/>
      <c r="I91"/>
      <c r="J91"/>
      <c r="K91"/>
      <c r="L91"/>
      <c r="M91"/>
      <c r="N91"/>
      <c r="O91"/>
      <c r="P91"/>
    </row>
    <row r="92" spans="1:16" x14ac:dyDescent="0.2">
      <c r="A92"/>
      <c r="B92"/>
      <c r="C92"/>
      <c r="D92"/>
      <c r="E92"/>
      <c r="F92"/>
      <c r="G92"/>
      <c r="H92"/>
      <c r="I92"/>
      <c r="J92"/>
      <c r="K92"/>
      <c r="L92"/>
      <c r="M92"/>
      <c r="N92"/>
      <c r="O92"/>
      <c r="P92"/>
    </row>
    <row r="93" spans="1:16" x14ac:dyDescent="0.2">
      <c r="A93"/>
      <c r="B93"/>
      <c r="C93"/>
      <c r="D93"/>
      <c r="E93"/>
      <c r="F93"/>
      <c r="G93"/>
      <c r="H93"/>
      <c r="I93"/>
      <c r="J93"/>
      <c r="K93"/>
      <c r="L93"/>
      <c r="M93"/>
      <c r="N93"/>
      <c r="O93"/>
      <c r="P93"/>
    </row>
    <row r="94" spans="1:16" x14ac:dyDescent="0.2">
      <c r="A94"/>
      <c r="B94"/>
      <c r="C94"/>
      <c r="D94"/>
      <c r="E94"/>
      <c r="F94"/>
      <c r="G94"/>
      <c r="H94"/>
      <c r="I94"/>
      <c r="J94"/>
      <c r="K94"/>
      <c r="L94"/>
      <c r="M94"/>
      <c r="N94"/>
      <c r="O94"/>
      <c r="P94"/>
    </row>
    <row r="95" spans="1:16" x14ac:dyDescent="0.2">
      <c r="A95"/>
      <c r="B95"/>
      <c r="C95"/>
      <c r="D95"/>
      <c r="E95"/>
      <c r="F95"/>
      <c r="G95"/>
      <c r="H95"/>
      <c r="I95"/>
      <c r="J95"/>
      <c r="K95"/>
      <c r="L95"/>
      <c r="M95"/>
      <c r="N95"/>
      <c r="O95"/>
      <c r="P95"/>
    </row>
    <row r="96" spans="1:16" x14ac:dyDescent="0.2">
      <c r="A96"/>
      <c r="B96"/>
      <c r="C96"/>
      <c r="D96"/>
      <c r="E96"/>
      <c r="F96"/>
      <c r="G96"/>
      <c r="H96"/>
      <c r="I96"/>
      <c r="J96"/>
      <c r="K96"/>
      <c r="L96"/>
      <c r="M96"/>
      <c r="N96"/>
      <c r="O96"/>
      <c r="P96"/>
    </row>
    <row r="97" spans="1:16" x14ac:dyDescent="0.2">
      <c r="A97"/>
      <c r="B97"/>
      <c r="C97"/>
      <c r="D97"/>
      <c r="E97"/>
      <c r="F97"/>
      <c r="G97"/>
      <c r="H97"/>
      <c r="I97"/>
      <c r="J97"/>
      <c r="K97"/>
      <c r="L97"/>
      <c r="M97"/>
      <c r="N97"/>
      <c r="O97"/>
      <c r="P97"/>
    </row>
    <row r="98" spans="1:16" x14ac:dyDescent="0.2">
      <c r="A98"/>
      <c r="B98"/>
      <c r="C98"/>
      <c r="D98"/>
      <c r="E98"/>
      <c r="F98"/>
      <c r="G98"/>
      <c r="H98"/>
      <c r="I98"/>
      <c r="J98"/>
      <c r="K98"/>
      <c r="L98"/>
      <c r="M98"/>
      <c r="N98"/>
      <c r="O98"/>
      <c r="P98"/>
    </row>
    <row r="99" spans="1:16" x14ac:dyDescent="0.2">
      <c r="A99"/>
      <c r="B99"/>
      <c r="C99"/>
      <c r="D99"/>
      <c r="E99"/>
      <c r="F99"/>
      <c r="G99"/>
      <c r="H99"/>
      <c r="I99"/>
      <c r="J99"/>
      <c r="K99"/>
      <c r="L99"/>
      <c r="M99"/>
      <c r="N99"/>
      <c r="O99"/>
      <c r="P99"/>
    </row>
  </sheetData>
  <sheetProtection algorithmName="SHA-512" hashValue="2wGFs3TL3BbJMBSNh+XDAjAstMRG5ZdrnYHqn2KjPobCMrzJsYEC96vQoCD9pUh0wRllE/j0wsFJL3oGFKbEuA==" saltValue="u8uRtMtamyo1JL864N/xEg==" spinCount="100000" sheet="1" scenarios="1" formatCells="0" formatColumns="0" formatRows="0" sort="0" autoFilter="0" pivotTables="0"/>
  <mergeCells count="4">
    <mergeCell ref="A62:C62"/>
    <mergeCell ref="A43:C43"/>
    <mergeCell ref="B46:I46"/>
    <mergeCell ref="A23:C23"/>
  </mergeCells>
  <hyperlinks>
    <hyperlink ref="A2" location="'Table of Contents'!A1" display="Back to Table of Contents" xr:uid="{00000000-0004-0000-1100-000000000000}"/>
  </hyperlinks>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pageSetUpPr fitToPage="1"/>
  </sheetPr>
  <dimension ref="A1:L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9.42578125" bestFit="1" customWidth="1"/>
    <col min="3" max="3" width="10.5703125" bestFit="1" customWidth="1"/>
    <col min="4" max="4" width="10.7109375" bestFit="1" customWidth="1"/>
    <col min="5" max="5" width="7.42578125" bestFit="1" customWidth="1"/>
    <col min="6" max="6" width="13.85546875" bestFit="1" customWidth="1"/>
    <col min="7" max="7" width="10.5703125" bestFit="1" customWidth="1"/>
    <col min="8" max="8" width="10.7109375" bestFit="1" customWidth="1"/>
    <col min="9" max="9" width="7.42578125" bestFit="1" customWidth="1"/>
    <col min="10" max="10" width="16.7109375" bestFit="1" customWidth="1"/>
    <col min="11" max="12" width="10.5703125" bestFit="1" customWidth="1"/>
  </cols>
  <sheetData>
    <row r="1" spans="1:12" x14ac:dyDescent="0.2"/>
    <row r="4" spans="1:12" x14ac:dyDescent="0.2">
      <c r="A4" s="1223" t="s">
        <v>464</v>
      </c>
      <c r="B4" s="1223" t="s">
        <v>1629</v>
      </c>
      <c r="C4" s="1223" t="s">
        <v>1630</v>
      </c>
      <c r="D4" s="1223" t="s">
        <v>1631</v>
      </c>
      <c r="E4" s="1223" t="s">
        <v>1632</v>
      </c>
      <c r="F4" s="1223" t="s">
        <v>1633</v>
      </c>
      <c r="G4" s="1223" t="s">
        <v>1634</v>
      </c>
      <c r="H4" s="1223" t="s">
        <v>1635</v>
      </c>
      <c r="I4" s="1223" t="s">
        <v>1636</v>
      </c>
      <c r="J4" s="1223" t="s">
        <v>1637</v>
      </c>
      <c r="K4" s="1223" t="s">
        <v>1638</v>
      </c>
      <c r="L4" s="1223" t="s">
        <v>1639</v>
      </c>
    </row>
    <row r="5" spans="1:12" x14ac:dyDescent="0.2">
      <c r="A5" s="1186" t="s">
        <v>19</v>
      </c>
      <c r="B5" s="1186">
        <v>5367</v>
      </c>
      <c r="C5" s="1186">
        <v>5118</v>
      </c>
      <c r="D5" s="1186">
        <v>249</v>
      </c>
      <c r="E5" s="1186" t="s">
        <v>19</v>
      </c>
      <c r="F5" s="1186">
        <v>48</v>
      </c>
      <c r="G5" s="1186">
        <v>37</v>
      </c>
      <c r="H5" s="1186">
        <v>11</v>
      </c>
      <c r="I5" s="1186" t="s">
        <v>19</v>
      </c>
      <c r="J5" s="1186">
        <v>892</v>
      </c>
      <c r="K5" s="1186">
        <v>853</v>
      </c>
      <c r="L5" s="1186">
        <v>39</v>
      </c>
    </row>
    <row r="6" spans="1:12" x14ac:dyDescent="0.2">
      <c r="A6" s="1186" t="s">
        <v>20</v>
      </c>
      <c r="B6" s="1186">
        <v>5209</v>
      </c>
      <c r="C6" s="1186">
        <v>5048</v>
      </c>
      <c r="D6" s="1186">
        <v>161</v>
      </c>
      <c r="E6" s="1186" t="s">
        <v>20</v>
      </c>
      <c r="F6" s="1186">
        <v>43</v>
      </c>
      <c r="G6" s="1186">
        <v>40</v>
      </c>
      <c r="H6" s="1186">
        <v>3</v>
      </c>
      <c r="I6" s="1186" t="s">
        <v>20</v>
      </c>
      <c r="J6" s="1186">
        <v>975</v>
      </c>
      <c r="K6" s="1186">
        <v>957</v>
      </c>
      <c r="L6" s="1186">
        <v>18</v>
      </c>
    </row>
    <row r="7" spans="1:12" x14ac:dyDescent="0.2">
      <c r="A7" s="1186" t="s">
        <v>13</v>
      </c>
      <c r="B7" s="1186">
        <v>5117</v>
      </c>
      <c r="C7" s="1186">
        <v>4961</v>
      </c>
      <c r="D7" s="1186">
        <v>156</v>
      </c>
      <c r="E7" s="1186" t="s">
        <v>13</v>
      </c>
      <c r="F7" s="1186">
        <v>44</v>
      </c>
      <c r="G7" s="1186">
        <v>40</v>
      </c>
      <c r="H7" s="1186">
        <v>4</v>
      </c>
      <c r="I7" s="1186" t="s">
        <v>13</v>
      </c>
      <c r="J7" s="1186">
        <v>982</v>
      </c>
      <c r="K7" s="1186">
        <v>943</v>
      </c>
      <c r="L7" s="1186">
        <v>39</v>
      </c>
    </row>
    <row r="8" spans="1:12" x14ac:dyDescent="0.2">
      <c r="A8" s="1186" t="s">
        <v>15</v>
      </c>
      <c r="B8" s="1186">
        <v>4997</v>
      </c>
      <c r="C8" s="1186">
        <v>4862</v>
      </c>
      <c r="D8" s="1186">
        <v>135</v>
      </c>
      <c r="E8" s="1186" t="s">
        <v>15</v>
      </c>
      <c r="F8" s="1186">
        <v>36</v>
      </c>
      <c r="G8" s="1186">
        <v>34</v>
      </c>
      <c r="H8" s="1186">
        <v>2</v>
      </c>
      <c r="I8" s="1186" t="s">
        <v>15</v>
      </c>
      <c r="J8" s="1186">
        <v>1014</v>
      </c>
      <c r="K8" s="1186">
        <v>978</v>
      </c>
      <c r="L8" s="1186">
        <v>36</v>
      </c>
    </row>
    <row r="9" spans="1:12" x14ac:dyDescent="0.2">
      <c r="A9" s="1186" t="s">
        <v>17</v>
      </c>
      <c r="B9" s="1186">
        <v>4673</v>
      </c>
      <c r="C9" s="1186">
        <v>4546</v>
      </c>
      <c r="D9" s="1186">
        <v>127</v>
      </c>
      <c r="E9" s="1186" t="s">
        <v>17</v>
      </c>
      <c r="F9" s="1186">
        <v>25</v>
      </c>
      <c r="G9" s="1186">
        <v>22</v>
      </c>
      <c r="H9" s="1186">
        <v>3</v>
      </c>
      <c r="I9" s="1186" t="s">
        <v>17</v>
      </c>
      <c r="J9" s="1186">
        <v>986</v>
      </c>
      <c r="K9" s="1186">
        <v>930</v>
      </c>
      <c r="L9" s="1186">
        <v>56</v>
      </c>
    </row>
    <row r="10" spans="1:12" x14ac:dyDescent="0.2">
      <c r="A10" s="1186" t="s">
        <v>133</v>
      </c>
      <c r="B10" s="1186">
        <v>4953</v>
      </c>
      <c r="C10" s="1186">
        <v>4778</v>
      </c>
      <c r="D10" s="1186">
        <v>175</v>
      </c>
      <c r="E10" s="1186" t="s">
        <v>133</v>
      </c>
      <c r="F10" s="1186">
        <v>27</v>
      </c>
      <c r="G10" s="1186">
        <v>24</v>
      </c>
      <c r="H10" s="1186">
        <v>3</v>
      </c>
      <c r="I10" s="1186" t="s">
        <v>133</v>
      </c>
      <c r="J10" s="1186">
        <v>826</v>
      </c>
      <c r="K10" s="1186">
        <v>797</v>
      </c>
      <c r="L10" s="1186">
        <v>29</v>
      </c>
    </row>
    <row r="11" spans="1:12" x14ac:dyDescent="0.2">
      <c r="A11" s="1186" t="s">
        <v>144</v>
      </c>
      <c r="B11" s="1186">
        <v>5068</v>
      </c>
      <c r="C11" s="1186">
        <v>4907</v>
      </c>
      <c r="D11" s="1186">
        <v>161</v>
      </c>
      <c r="E11" s="1186" t="s">
        <v>144</v>
      </c>
      <c r="F11" s="1186">
        <v>33</v>
      </c>
      <c r="G11" s="1186">
        <v>29</v>
      </c>
      <c r="H11" s="1186">
        <v>4</v>
      </c>
      <c r="I11" s="1186" t="s">
        <v>144</v>
      </c>
      <c r="J11" s="1186">
        <v>925</v>
      </c>
      <c r="K11" s="1186">
        <v>880</v>
      </c>
      <c r="L11" s="1186">
        <v>45</v>
      </c>
    </row>
    <row r="12" spans="1:12" x14ac:dyDescent="0.2">
      <c r="A12" s="1186" t="s">
        <v>282</v>
      </c>
      <c r="B12" s="1186">
        <v>4922</v>
      </c>
      <c r="C12" s="1186">
        <v>4737</v>
      </c>
      <c r="D12" s="1186">
        <v>185</v>
      </c>
      <c r="E12" s="1186" t="s">
        <v>282</v>
      </c>
      <c r="F12" s="1186">
        <v>31</v>
      </c>
      <c r="G12" s="1186">
        <v>25</v>
      </c>
      <c r="H12" s="1186">
        <v>6</v>
      </c>
      <c r="I12" s="1186" t="s">
        <v>282</v>
      </c>
      <c r="J12" s="1186">
        <v>940</v>
      </c>
      <c r="K12" s="1186">
        <v>898</v>
      </c>
      <c r="L12" s="1186">
        <v>42</v>
      </c>
    </row>
    <row r="13" spans="1:12" x14ac:dyDescent="0.2">
      <c r="A13" s="1186" t="s">
        <v>311</v>
      </c>
      <c r="B13" s="1186">
        <v>4751</v>
      </c>
      <c r="C13" s="1186">
        <v>4561</v>
      </c>
      <c r="D13" s="1186">
        <v>190</v>
      </c>
      <c r="E13" s="1186" t="s">
        <v>311</v>
      </c>
      <c r="F13" s="1186">
        <v>34</v>
      </c>
      <c r="G13" s="1186">
        <v>28</v>
      </c>
      <c r="H13" s="1186">
        <v>6</v>
      </c>
      <c r="I13" s="1186" t="s">
        <v>311</v>
      </c>
      <c r="J13" s="1186">
        <v>797</v>
      </c>
      <c r="K13" s="1186">
        <v>767</v>
      </c>
      <c r="L13" s="1186">
        <v>30</v>
      </c>
    </row>
    <row r="14" spans="1:12" x14ac:dyDescent="0.2">
      <c r="A14" s="1186" t="s">
        <v>621</v>
      </c>
      <c r="B14" s="1186">
        <v>4635</v>
      </c>
      <c r="C14" s="1186">
        <v>4407</v>
      </c>
      <c r="D14" s="1186">
        <v>228</v>
      </c>
      <c r="E14" s="1186" t="s">
        <v>621</v>
      </c>
      <c r="F14" s="1186">
        <v>36</v>
      </c>
      <c r="G14" s="1186">
        <v>24</v>
      </c>
      <c r="H14" s="1186">
        <v>12</v>
      </c>
      <c r="I14" s="1186" t="s">
        <v>621</v>
      </c>
      <c r="J14" s="1186">
        <v>886</v>
      </c>
      <c r="K14" s="1186">
        <v>802</v>
      </c>
      <c r="L14" s="1186">
        <v>84</v>
      </c>
    </row>
    <row r="15" spans="1:12" x14ac:dyDescent="0.2">
      <c r="A15" s="1186" t="s">
        <v>1419</v>
      </c>
      <c r="B15" s="1186">
        <v>4365</v>
      </c>
      <c r="C15" s="1186">
        <v>4139</v>
      </c>
      <c r="D15" s="1186">
        <v>226</v>
      </c>
      <c r="E15" s="1186" t="s">
        <v>1419</v>
      </c>
      <c r="F15" s="1186">
        <v>21</v>
      </c>
      <c r="G15" s="1186">
        <v>18</v>
      </c>
      <c r="H15" s="1186">
        <v>3</v>
      </c>
      <c r="I15" s="1186" t="s">
        <v>1419</v>
      </c>
      <c r="J15" s="1186">
        <v>743</v>
      </c>
      <c r="K15" s="1186">
        <v>694</v>
      </c>
      <c r="L15" s="1186">
        <v>49</v>
      </c>
    </row>
    <row r="16" spans="1:12" x14ac:dyDescent="0.2">
      <c r="A16" s="1186" t="s">
        <v>1572</v>
      </c>
      <c r="B16" s="1186">
        <v>4141</v>
      </c>
      <c r="C16" s="1186">
        <v>3933</v>
      </c>
      <c r="D16" s="1186">
        <v>208</v>
      </c>
      <c r="E16" s="1186" t="s">
        <v>1572</v>
      </c>
      <c r="F16" s="1186">
        <v>36</v>
      </c>
      <c r="G16" s="1186">
        <v>30</v>
      </c>
      <c r="H16" s="1186">
        <v>6</v>
      </c>
      <c r="I16" s="1186" t="s">
        <v>1572</v>
      </c>
      <c r="J16" s="1186">
        <v>751</v>
      </c>
      <c r="K16" s="1186">
        <v>715</v>
      </c>
      <c r="L16" s="1186">
        <v>36</v>
      </c>
    </row>
  </sheetData>
  <pageMargins left="0.7" right="0.7" top="0.75" bottom="0.75" header="0.3" footer="0.3"/>
  <pageSetup paperSize="9" fitToHeight="50" orientation="landscape" r:id="rId1"/>
  <legacyDrawing r:id="rId2"/>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pageSetUpPr fitToPage="1"/>
  </sheetPr>
  <dimension ref="A1:F389"/>
  <sheetViews>
    <sheetView zoomScale="85" zoomScaleNormal="85" workbookViewId="0">
      <pane ySplit="4" topLeftCell="A34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9.5703125" bestFit="1" customWidth="1"/>
    <col min="3" max="3" width="9.42578125" bestFit="1" customWidth="1"/>
    <col min="4" max="4" width="13.85546875" bestFit="1" customWidth="1"/>
    <col min="5" max="5" width="16.7109375" bestFit="1" customWidth="1"/>
    <col min="6" max="6" width="8.42578125" bestFit="1" customWidth="1"/>
  </cols>
  <sheetData>
    <row r="1" spans="1:6" x14ac:dyDescent="0.2"/>
    <row r="4" spans="1:6" x14ac:dyDescent="0.2">
      <c r="A4" s="1223" t="s">
        <v>4</v>
      </c>
      <c r="B4" s="1223" t="s">
        <v>1627</v>
      </c>
      <c r="C4" s="1223" t="s">
        <v>1629</v>
      </c>
      <c r="D4" s="1223" t="s">
        <v>1633</v>
      </c>
      <c r="E4" s="1223" t="s">
        <v>1637</v>
      </c>
      <c r="F4" s="1223" t="s">
        <v>5</v>
      </c>
    </row>
    <row r="5" spans="1:6" x14ac:dyDescent="0.2">
      <c r="A5" s="1186" t="s">
        <v>19</v>
      </c>
      <c r="B5" s="1186" t="s">
        <v>23</v>
      </c>
      <c r="C5" s="1186">
        <v>340</v>
      </c>
      <c r="D5" s="1186">
        <v>2</v>
      </c>
      <c r="E5" s="1186">
        <v>50</v>
      </c>
      <c r="F5" s="1186">
        <v>110565</v>
      </c>
    </row>
    <row r="6" spans="1:6" x14ac:dyDescent="0.2">
      <c r="A6" s="1186" t="s">
        <v>19</v>
      </c>
      <c r="B6" s="1186" t="s">
        <v>24</v>
      </c>
      <c r="C6" s="1186">
        <v>191</v>
      </c>
      <c r="D6" s="1186">
        <v>1</v>
      </c>
      <c r="E6" s="1186">
        <v>35</v>
      </c>
      <c r="F6" s="1186">
        <v>108051</v>
      </c>
    </row>
    <row r="7" spans="1:6" x14ac:dyDescent="0.2">
      <c r="A7" s="1186" t="s">
        <v>19</v>
      </c>
      <c r="B7" s="1186" t="s">
        <v>25</v>
      </c>
      <c r="C7" s="1186">
        <v>96</v>
      </c>
      <c r="D7" s="1186">
        <v>1</v>
      </c>
      <c r="E7" s="1186">
        <v>16</v>
      </c>
      <c r="F7" s="1186">
        <v>53807</v>
      </c>
    </row>
    <row r="8" spans="1:6" x14ac:dyDescent="0.2">
      <c r="A8" s="1186" t="s">
        <v>19</v>
      </c>
      <c r="B8" s="1186" t="s">
        <v>26</v>
      </c>
      <c r="C8" s="1186">
        <v>80</v>
      </c>
      <c r="D8" s="1186"/>
      <c r="E8" s="1186">
        <v>5</v>
      </c>
      <c r="F8" s="1186">
        <v>46446</v>
      </c>
    </row>
    <row r="9" spans="1:6" x14ac:dyDescent="0.2">
      <c r="A9" s="1186" t="s">
        <v>19</v>
      </c>
      <c r="B9" s="1186" t="s">
        <v>619</v>
      </c>
      <c r="C9" s="1186">
        <v>587</v>
      </c>
      <c r="D9" s="1186">
        <v>1</v>
      </c>
      <c r="E9" s="1186">
        <v>141</v>
      </c>
      <c r="F9" s="1186">
        <v>231903</v>
      </c>
    </row>
    <row r="10" spans="1:6" x14ac:dyDescent="0.2">
      <c r="A10" s="1186" t="s">
        <v>19</v>
      </c>
      <c r="B10" s="1186" t="s">
        <v>27</v>
      </c>
      <c r="C10" s="1186">
        <v>35</v>
      </c>
      <c r="D10" s="1186"/>
      <c r="E10" s="1186">
        <v>11</v>
      </c>
      <c r="F10" s="1186">
        <v>23549</v>
      </c>
    </row>
    <row r="11" spans="1:6" x14ac:dyDescent="0.2">
      <c r="A11" s="1186" t="s">
        <v>19</v>
      </c>
      <c r="B11" s="1186" t="s">
        <v>28</v>
      </c>
      <c r="C11" s="1186">
        <v>123</v>
      </c>
      <c r="D11" s="1186">
        <v>3</v>
      </c>
      <c r="E11" s="1186">
        <v>15</v>
      </c>
      <c r="F11" s="1186">
        <v>72106</v>
      </c>
    </row>
    <row r="12" spans="1:6" x14ac:dyDescent="0.2">
      <c r="A12" s="1186" t="s">
        <v>19</v>
      </c>
      <c r="B12" s="1186" t="s">
        <v>29</v>
      </c>
      <c r="C12" s="1186">
        <v>276</v>
      </c>
      <c r="D12" s="1186">
        <v>4</v>
      </c>
      <c r="E12" s="1186">
        <v>41</v>
      </c>
      <c r="F12" s="1186">
        <v>73696</v>
      </c>
    </row>
    <row r="13" spans="1:6" x14ac:dyDescent="0.2">
      <c r="A13" s="1186" t="s">
        <v>19</v>
      </c>
      <c r="B13" s="1186" t="s">
        <v>30</v>
      </c>
      <c r="C13" s="1186">
        <v>103</v>
      </c>
      <c r="D13" s="1186"/>
      <c r="E13" s="1186">
        <v>14</v>
      </c>
      <c r="F13" s="1186">
        <v>56121</v>
      </c>
    </row>
    <row r="14" spans="1:6" x14ac:dyDescent="0.2">
      <c r="A14" s="1186" t="s">
        <v>19</v>
      </c>
      <c r="B14" s="1186" t="s">
        <v>31</v>
      </c>
      <c r="C14" s="1186">
        <v>60</v>
      </c>
      <c r="D14" s="1186"/>
      <c r="E14" s="1186">
        <v>7</v>
      </c>
      <c r="F14" s="1186">
        <v>44154</v>
      </c>
    </row>
    <row r="15" spans="1:6" x14ac:dyDescent="0.2">
      <c r="A15" s="1186" t="s">
        <v>19</v>
      </c>
      <c r="B15" s="1186" t="s">
        <v>32</v>
      </c>
      <c r="C15" s="1186">
        <v>88</v>
      </c>
      <c r="D15" s="1186"/>
      <c r="E15" s="1186">
        <v>20</v>
      </c>
      <c r="F15" s="1186">
        <v>44175</v>
      </c>
    </row>
    <row r="16" spans="1:6" x14ac:dyDescent="0.2">
      <c r="A16" s="1186" t="s">
        <v>19</v>
      </c>
      <c r="B16" s="1186" t="s">
        <v>33</v>
      </c>
      <c r="C16" s="1186">
        <v>42</v>
      </c>
      <c r="D16" s="1186">
        <v>1</v>
      </c>
      <c r="E16" s="1186">
        <v>2</v>
      </c>
      <c r="F16" s="1186">
        <v>36890</v>
      </c>
    </row>
    <row r="17" spans="1:6" x14ac:dyDescent="0.2">
      <c r="A17" s="1186" t="s">
        <v>19</v>
      </c>
      <c r="B17" s="1186" t="s">
        <v>34</v>
      </c>
      <c r="C17" s="1186">
        <v>96</v>
      </c>
      <c r="D17" s="1186">
        <v>1</v>
      </c>
      <c r="E17" s="1186">
        <v>21</v>
      </c>
      <c r="F17" s="1186">
        <v>70533</v>
      </c>
    </row>
    <row r="18" spans="1:6" x14ac:dyDescent="0.2">
      <c r="A18" s="1186" t="s">
        <v>19</v>
      </c>
      <c r="B18" s="1186" t="s">
        <v>35</v>
      </c>
      <c r="C18" s="1186">
        <v>266</v>
      </c>
      <c r="D18" s="1186">
        <v>4</v>
      </c>
      <c r="E18" s="1186">
        <v>72</v>
      </c>
      <c r="F18" s="1186">
        <v>168677</v>
      </c>
    </row>
    <row r="19" spans="1:6" x14ac:dyDescent="0.2">
      <c r="A19" s="1186" t="s">
        <v>19</v>
      </c>
      <c r="B19" s="1186" t="s">
        <v>36</v>
      </c>
      <c r="C19" s="1186">
        <v>1004</v>
      </c>
      <c r="D19" s="1186">
        <v>11</v>
      </c>
      <c r="E19" s="1186">
        <v>133</v>
      </c>
      <c r="F19" s="1186">
        <v>299915</v>
      </c>
    </row>
    <row r="20" spans="1:6" x14ac:dyDescent="0.2">
      <c r="A20" s="1186" t="s">
        <v>19</v>
      </c>
      <c r="B20" s="1186" t="s">
        <v>37</v>
      </c>
      <c r="C20" s="1186">
        <v>141</v>
      </c>
      <c r="D20" s="1186">
        <v>1</v>
      </c>
      <c r="E20" s="1186">
        <v>25</v>
      </c>
      <c r="F20" s="1186">
        <v>109617</v>
      </c>
    </row>
    <row r="21" spans="1:6" x14ac:dyDescent="0.2">
      <c r="A21" s="1186" t="s">
        <v>19</v>
      </c>
      <c r="B21" s="1186" t="s">
        <v>38</v>
      </c>
      <c r="C21" s="1186">
        <v>88</v>
      </c>
      <c r="D21" s="1186">
        <v>2</v>
      </c>
      <c r="E21" s="1186">
        <v>17</v>
      </c>
      <c r="F21" s="1186">
        <v>39299</v>
      </c>
    </row>
    <row r="22" spans="1:6" x14ac:dyDescent="0.2">
      <c r="A22" s="1186" t="s">
        <v>19</v>
      </c>
      <c r="B22" s="1186" t="s">
        <v>39</v>
      </c>
      <c r="C22" s="1186">
        <v>61</v>
      </c>
      <c r="D22" s="1186"/>
      <c r="E22" s="1186">
        <v>12</v>
      </c>
      <c r="F22" s="1186">
        <v>35605</v>
      </c>
    </row>
    <row r="23" spans="1:6" x14ac:dyDescent="0.2">
      <c r="A23" s="1186" t="s">
        <v>19</v>
      </c>
      <c r="B23" s="1186" t="s">
        <v>40</v>
      </c>
      <c r="C23" s="1186">
        <v>63</v>
      </c>
      <c r="D23" s="1186"/>
      <c r="E23" s="1186">
        <v>20</v>
      </c>
      <c r="F23" s="1186">
        <v>41981</v>
      </c>
    </row>
    <row r="24" spans="1:6" x14ac:dyDescent="0.2">
      <c r="A24" s="1186" t="s">
        <v>19</v>
      </c>
      <c r="B24" s="1186" t="s">
        <v>295</v>
      </c>
      <c r="C24" s="1186">
        <v>22</v>
      </c>
      <c r="D24" s="1186"/>
      <c r="E24" s="1186">
        <v>12</v>
      </c>
      <c r="F24" s="1186">
        <v>14101</v>
      </c>
    </row>
    <row r="25" spans="1:6" x14ac:dyDescent="0.2">
      <c r="A25" s="1186" t="s">
        <v>19</v>
      </c>
      <c r="B25" s="1186" t="s">
        <v>41</v>
      </c>
      <c r="C25" s="1186">
        <v>154</v>
      </c>
      <c r="D25" s="1186">
        <v>1</v>
      </c>
      <c r="E25" s="1186">
        <v>19</v>
      </c>
      <c r="F25" s="1186">
        <v>66204</v>
      </c>
    </row>
    <row r="26" spans="1:6" x14ac:dyDescent="0.2">
      <c r="A26" s="1186" t="s">
        <v>19</v>
      </c>
      <c r="B26" s="1186" t="s">
        <v>42</v>
      </c>
      <c r="C26" s="1186">
        <v>283</v>
      </c>
      <c r="D26" s="1186">
        <v>1</v>
      </c>
      <c r="E26" s="1186">
        <v>38</v>
      </c>
      <c r="F26" s="1186">
        <v>147604</v>
      </c>
    </row>
    <row r="27" spans="1:6" x14ac:dyDescent="0.2">
      <c r="A27" s="1186" t="s">
        <v>19</v>
      </c>
      <c r="B27" s="1186" t="s">
        <v>43</v>
      </c>
      <c r="C27" s="1186">
        <v>10</v>
      </c>
      <c r="D27" s="1186">
        <v>1</v>
      </c>
      <c r="E27" s="1186">
        <v>1</v>
      </c>
      <c r="F27" s="1186">
        <v>10190</v>
      </c>
    </row>
    <row r="28" spans="1:6" x14ac:dyDescent="0.2">
      <c r="A28" s="1186" t="s">
        <v>19</v>
      </c>
      <c r="B28" s="1186" t="s">
        <v>44</v>
      </c>
      <c r="C28" s="1186">
        <v>115</v>
      </c>
      <c r="D28" s="1186">
        <v>2</v>
      </c>
      <c r="E28" s="1186">
        <v>10</v>
      </c>
      <c r="F28" s="1186">
        <v>68349</v>
      </c>
    </row>
    <row r="29" spans="1:6" x14ac:dyDescent="0.2">
      <c r="A29" s="1186" t="s">
        <v>19</v>
      </c>
      <c r="B29" s="1186" t="s">
        <v>45</v>
      </c>
      <c r="C29" s="1186">
        <v>189</v>
      </c>
      <c r="D29" s="1186">
        <v>1</v>
      </c>
      <c r="E29" s="1186">
        <v>19</v>
      </c>
      <c r="F29" s="1186">
        <v>82663</v>
      </c>
    </row>
    <row r="30" spans="1:6" x14ac:dyDescent="0.2">
      <c r="A30" s="1186" t="s">
        <v>19</v>
      </c>
      <c r="B30" s="1186" t="s">
        <v>46</v>
      </c>
      <c r="C30" s="1186">
        <v>105</v>
      </c>
      <c r="D30" s="1186"/>
      <c r="E30" s="1186">
        <v>28</v>
      </c>
      <c r="F30" s="1186">
        <v>55666</v>
      </c>
    </row>
    <row r="31" spans="1:6" x14ac:dyDescent="0.2">
      <c r="A31" s="1186" t="s">
        <v>19</v>
      </c>
      <c r="B31" s="1186" t="s">
        <v>47</v>
      </c>
      <c r="C31" s="1186">
        <v>11</v>
      </c>
      <c r="D31" s="1186"/>
      <c r="E31" s="1186"/>
      <c r="F31" s="1186">
        <v>10522</v>
      </c>
    </row>
    <row r="32" spans="1:6" x14ac:dyDescent="0.2">
      <c r="A32" s="1186" t="s">
        <v>19</v>
      </c>
      <c r="B32" s="1186" t="s">
        <v>48</v>
      </c>
      <c r="C32" s="1186">
        <v>84</v>
      </c>
      <c r="D32" s="1186">
        <v>1</v>
      </c>
      <c r="E32" s="1186">
        <v>10</v>
      </c>
      <c r="F32" s="1186">
        <v>53424</v>
      </c>
    </row>
    <row r="33" spans="1:6" x14ac:dyDescent="0.2">
      <c r="A33" s="1186" t="s">
        <v>19</v>
      </c>
      <c r="B33" s="1186" t="s">
        <v>49</v>
      </c>
      <c r="C33" s="1186">
        <v>270</v>
      </c>
      <c r="D33" s="1186">
        <v>3</v>
      </c>
      <c r="E33" s="1186">
        <v>35</v>
      </c>
      <c r="F33" s="1186">
        <v>142594</v>
      </c>
    </row>
    <row r="34" spans="1:6" x14ac:dyDescent="0.2">
      <c r="A34" s="1186" t="s">
        <v>19</v>
      </c>
      <c r="B34" s="1186" t="s">
        <v>50</v>
      </c>
      <c r="C34" s="1186">
        <v>83</v>
      </c>
      <c r="D34" s="1186">
        <v>1</v>
      </c>
      <c r="E34" s="1186">
        <v>9</v>
      </c>
      <c r="F34" s="1186">
        <v>39091</v>
      </c>
    </row>
    <row r="35" spans="1:6" x14ac:dyDescent="0.2">
      <c r="A35" s="1186" t="s">
        <v>19</v>
      </c>
      <c r="B35" s="1186" t="s">
        <v>51</v>
      </c>
      <c r="C35" s="1186">
        <v>127</v>
      </c>
      <c r="D35" s="1186">
        <v>2</v>
      </c>
      <c r="E35" s="1186">
        <v>13</v>
      </c>
      <c r="F35" s="1186">
        <v>44262</v>
      </c>
    </row>
    <row r="36" spans="1:6" x14ac:dyDescent="0.2">
      <c r="A36" s="1186" t="s">
        <v>19</v>
      </c>
      <c r="B36" s="1186" t="s">
        <v>52</v>
      </c>
      <c r="C36" s="1186">
        <v>174</v>
      </c>
      <c r="D36" s="1186">
        <v>3</v>
      </c>
      <c r="E36" s="1186">
        <v>41</v>
      </c>
      <c r="F36" s="1186">
        <v>74397</v>
      </c>
    </row>
    <row r="37" spans="1:6" x14ac:dyDescent="0.2">
      <c r="A37" s="1186" t="s">
        <v>20</v>
      </c>
      <c r="B37" s="1186" t="s">
        <v>23</v>
      </c>
      <c r="C37" s="1186">
        <v>267</v>
      </c>
      <c r="D37" s="1186">
        <v>1</v>
      </c>
      <c r="E37" s="1186">
        <v>59</v>
      </c>
      <c r="F37" s="1186">
        <v>110968</v>
      </c>
    </row>
    <row r="38" spans="1:6" x14ac:dyDescent="0.2">
      <c r="A38" s="1186" t="s">
        <v>20</v>
      </c>
      <c r="B38" s="1186" t="s">
        <v>24</v>
      </c>
      <c r="C38" s="1186">
        <v>192</v>
      </c>
      <c r="D38" s="1186">
        <v>4</v>
      </c>
      <c r="E38" s="1186">
        <v>22</v>
      </c>
      <c r="F38" s="1186">
        <v>109552</v>
      </c>
    </row>
    <row r="39" spans="1:6" x14ac:dyDescent="0.2">
      <c r="A39" s="1186" t="s">
        <v>20</v>
      </c>
      <c r="B39" s="1186" t="s">
        <v>25</v>
      </c>
      <c r="C39" s="1186">
        <v>79</v>
      </c>
      <c r="D39" s="1186">
        <v>1</v>
      </c>
      <c r="E39" s="1186">
        <v>7</v>
      </c>
      <c r="F39" s="1186">
        <v>54060</v>
      </c>
    </row>
    <row r="40" spans="1:6" x14ac:dyDescent="0.2">
      <c r="A40" s="1186" t="s">
        <v>20</v>
      </c>
      <c r="B40" s="1186" t="s">
        <v>26</v>
      </c>
      <c r="C40" s="1186">
        <v>109</v>
      </c>
      <c r="D40" s="1186">
        <v>2</v>
      </c>
      <c r="E40" s="1186">
        <v>11</v>
      </c>
      <c r="F40" s="1186">
        <v>46679</v>
      </c>
    </row>
    <row r="41" spans="1:6" x14ac:dyDescent="0.2">
      <c r="A41" s="1186" t="s">
        <v>20</v>
      </c>
      <c r="B41" s="1186" t="s">
        <v>619</v>
      </c>
      <c r="C41" s="1186">
        <v>593</v>
      </c>
      <c r="D41" s="1186">
        <v>6</v>
      </c>
      <c r="E41" s="1186">
        <v>207</v>
      </c>
      <c r="F41" s="1186">
        <v>233068</v>
      </c>
    </row>
    <row r="42" spans="1:6" x14ac:dyDescent="0.2">
      <c r="A42" s="1186" t="s">
        <v>20</v>
      </c>
      <c r="B42" s="1186" t="s">
        <v>27</v>
      </c>
      <c r="C42" s="1186">
        <v>37</v>
      </c>
      <c r="D42" s="1186"/>
      <c r="E42" s="1186">
        <v>5</v>
      </c>
      <c r="F42" s="1186">
        <v>23670</v>
      </c>
    </row>
    <row r="43" spans="1:6" x14ac:dyDescent="0.2">
      <c r="A43" s="1186" t="s">
        <v>20</v>
      </c>
      <c r="B43" s="1186" t="s">
        <v>28</v>
      </c>
      <c r="C43" s="1186">
        <v>94</v>
      </c>
      <c r="D43" s="1186"/>
      <c r="E43" s="1186">
        <v>10</v>
      </c>
      <c r="F43" s="1186">
        <v>72421</v>
      </c>
    </row>
    <row r="44" spans="1:6" x14ac:dyDescent="0.2">
      <c r="A44" s="1186" t="s">
        <v>20</v>
      </c>
      <c r="B44" s="1186" t="s">
        <v>29</v>
      </c>
      <c r="C44" s="1186">
        <v>294</v>
      </c>
      <c r="D44" s="1186">
        <v>4</v>
      </c>
      <c r="E44" s="1186">
        <v>30</v>
      </c>
      <c r="F44" s="1186">
        <v>74015</v>
      </c>
    </row>
    <row r="45" spans="1:6" x14ac:dyDescent="0.2">
      <c r="A45" s="1186" t="s">
        <v>20</v>
      </c>
      <c r="B45" s="1186" t="s">
        <v>30</v>
      </c>
      <c r="C45" s="1186">
        <v>92</v>
      </c>
      <c r="D45" s="1186"/>
      <c r="E45" s="1186">
        <v>9</v>
      </c>
      <c r="F45" s="1186">
        <v>56398</v>
      </c>
    </row>
    <row r="46" spans="1:6" x14ac:dyDescent="0.2">
      <c r="A46" s="1186" t="s">
        <v>20</v>
      </c>
      <c r="B46" s="1186" t="s">
        <v>31</v>
      </c>
      <c r="C46" s="1186">
        <v>64</v>
      </c>
      <c r="D46" s="1186">
        <v>1</v>
      </c>
      <c r="E46" s="1186">
        <v>6</v>
      </c>
      <c r="F46" s="1186">
        <v>44184</v>
      </c>
    </row>
    <row r="47" spans="1:6" x14ac:dyDescent="0.2">
      <c r="A47" s="1186" t="s">
        <v>20</v>
      </c>
      <c r="B47" s="1186" t="s">
        <v>32</v>
      </c>
      <c r="C47" s="1186">
        <v>81</v>
      </c>
      <c r="D47" s="1186"/>
      <c r="E47" s="1186">
        <v>20</v>
      </c>
      <c r="F47" s="1186">
        <v>44544</v>
      </c>
    </row>
    <row r="48" spans="1:6" x14ac:dyDescent="0.2">
      <c r="A48" s="1186" t="s">
        <v>20</v>
      </c>
      <c r="B48" s="1186" t="s">
        <v>33</v>
      </c>
      <c r="C48" s="1186">
        <v>51</v>
      </c>
      <c r="D48" s="1186"/>
      <c r="E48" s="1186">
        <v>9</v>
      </c>
      <c r="F48" s="1186">
        <v>37063</v>
      </c>
    </row>
    <row r="49" spans="1:6" x14ac:dyDescent="0.2">
      <c r="A49" s="1186" t="s">
        <v>20</v>
      </c>
      <c r="B49" s="1186" t="s">
        <v>34</v>
      </c>
      <c r="C49" s="1186">
        <v>113</v>
      </c>
      <c r="D49" s="1186">
        <v>2</v>
      </c>
      <c r="E49" s="1186">
        <v>19</v>
      </c>
      <c r="F49" s="1186">
        <v>71010</v>
      </c>
    </row>
    <row r="50" spans="1:6" x14ac:dyDescent="0.2">
      <c r="A50" s="1186" t="s">
        <v>20</v>
      </c>
      <c r="B50" s="1186" t="s">
        <v>35</v>
      </c>
      <c r="C50" s="1186">
        <v>257</v>
      </c>
      <c r="D50" s="1186">
        <v>2</v>
      </c>
      <c r="E50" s="1186">
        <v>50</v>
      </c>
      <c r="F50" s="1186">
        <v>169435</v>
      </c>
    </row>
    <row r="51" spans="1:6" x14ac:dyDescent="0.2">
      <c r="A51" s="1186" t="s">
        <v>20</v>
      </c>
      <c r="B51" s="1186" t="s">
        <v>36</v>
      </c>
      <c r="C51" s="1186">
        <v>923</v>
      </c>
      <c r="D51" s="1186">
        <v>10</v>
      </c>
      <c r="E51" s="1186">
        <v>136</v>
      </c>
      <c r="F51" s="1186">
        <v>299160</v>
      </c>
    </row>
    <row r="52" spans="1:6" x14ac:dyDescent="0.2">
      <c r="A52" s="1186" t="s">
        <v>20</v>
      </c>
      <c r="B52" s="1186" t="s">
        <v>37</v>
      </c>
      <c r="C52" s="1186">
        <v>151</v>
      </c>
      <c r="D52" s="1186">
        <v>1</v>
      </c>
      <c r="E52" s="1186">
        <v>44</v>
      </c>
      <c r="F52" s="1186">
        <v>110788</v>
      </c>
    </row>
    <row r="53" spans="1:6" x14ac:dyDescent="0.2">
      <c r="A53" s="1186" t="s">
        <v>20</v>
      </c>
      <c r="B53" s="1186" t="s">
        <v>38</v>
      </c>
      <c r="C53" s="1186">
        <v>82</v>
      </c>
      <c r="D53" s="1186">
        <v>1</v>
      </c>
      <c r="E53" s="1186">
        <v>9</v>
      </c>
      <c r="F53" s="1186">
        <v>39377</v>
      </c>
    </row>
    <row r="54" spans="1:6" x14ac:dyDescent="0.2">
      <c r="A54" s="1186" t="s">
        <v>20</v>
      </c>
      <c r="B54" s="1186" t="s">
        <v>39</v>
      </c>
      <c r="C54" s="1186">
        <v>63</v>
      </c>
      <c r="D54" s="1186"/>
      <c r="E54" s="1186">
        <v>22</v>
      </c>
      <c r="F54" s="1186">
        <v>35986</v>
      </c>
    </row>
    <row r="55" spans="1:6" x14ac:dyDescent="0.2">
      <c r="A55" s="1186" t="s">
        <v>20</v>
      </c>
      <c r="B55" s="1186" t="s">
        <v>40</v>
      </c>
      <c r="C55" s="1186">
        <v>74</v>
      </c>
      <c r="D55" s="1186">
        <v>1</v>
      </c>
      <c r="E55" s="1186">
        <v>35</v>
      </c>
      <c r="F55" s="1186">
        <v>42241</v>
      </c>
    </row>
    <row r="56" spans="1:6" x14ac:dyDescent="0.2">
      <c r="A56" s="1186" t="s">
        <v>20</v>
      </c>
      <c r="B56" s="1186" t="s">
        <v>295</v>
      </c>
      <c r="C56" s="1186">
        <v>16</v>
      </c>
      <c r="D56" s="1186"/>
      <c r="E56" s="1186">
        <v>4</v>
      </c>
      <c r="F56" s="1186">
        <v>14258</v>
      </c>
    </row>
    <row r="57" spans="1:6" x14ac:dyDescent="0.2">
      <c r="A57" s="1186" t="s">
        <v>20</v>
      </c>
      <c r="B57" s="1186" t="s">
        <v>41</v>
      </c>
      <c r="C57" s="1186">
        <v>147</v>
      </c>
      <c r="D57" s="1186"/>
      <c r="E57" s="1186">
        <v>30</v>
      </c>
      <c r="F57" s="1186">
        <v>66461</v>
      </c>
    </row>
    <row r="58" spans="1:6" x14ac:dyDescent="0.2">
      <c r="A58" s="1186" t="s">
        <v>20</v>
      </c>
      <c r="B58" s="1186" t="s">
        <v>42</v>
      </c>
      <c r="C58" s="1186">
        <v>280</v>
      </c>
      <c r="D58" s="1186">
        <v>1</v>
      </c>
      <c r="E58" s="1186">
        <v>45</v>
      </c>
      <c r="F58" s="1186">
        <v>148553</v>
      </c>
    </row>
    <row r="59" spans="1:6" x14ac:dyDescent="0.2">
      <c r="A59" s="1186" t="s">
        <v>20</v>
      </c>
      <c r="B59" s="1186" t="s">
        <v>43</v>
      </c>
      <c r="C59" s="1186">
        <v>9</v>
      </c>
      <c r="D59" s="1186"/>
      <c r="E59" s="1186">
        <v>1</v>
      </c>
      <c r="F59" s="1186">
        <v>10265</v>
      </c>
    </row>
    <row r="60" spans="1:6" x14ac:dyDescent="0.2">
      <c r="A60" s="1186" t="s">
        <v>20</v>
      </c>
      <c r="B60" s="1186" t="s">
        <v>44</v>
      </c>
      <c r="C60" s="1186">
        <v>135</v>
      </c>
      <c r="D60" s="1186"/>
      <c r="E60" s="1186">
        <v>15</v>
      </c>
      <c r="F60" s="1186">
        <v>68788</v>
      </c>
    </row>
    <row r="61" spans="1:6" x14ac:dyDescent="0.2">
      <c r="A61" s="1186" t="s">
        <v>20</v>
      </c>
      <c r="B61" s="1186" t="s">
        <v>45</v>
      </c>
      <c r="C61" s="1186">
        <v>184</v>
      </c>
      <c r="D61" s="1186">
        <v>1</v>
      </c>
      <c r="E61" s="1186">
        <v>42</v>
      </c>
      <c r="F61" s="1186">
        <v>82760</v>
      </c>
    </row>
    <row r="62" spans="1:6" x14ac:dyDescent="0.2">
      <c r="A62" s="1186" t="s">
        <v>20</v>
      </c>
      <c r="B62" s="1186" t="s">
        <v>46</v>
      </c>
      <c r="C62" s="1186">
        <v>100</v>
      </c>
      <c r="D62" s="1186"/>
      <c r="E62" s="1186">
        <v>19</v>
      </c>
      <c r="F62" s="1186">
        <v>56129</v>
      </c>
    </row>
    <row r="63" spans="1:6" x14ac:dyDescent="0.2">
      <c r="A63" s="1186" t="s">
        <v>20</v>
      </c>
      <c r="B63" s="1186" t="s">
        <v>47</v>
      </c>
      <c r="C63" s="1186">
        <v>9</v>
      </c>
      <c r="D63" s="1186"/>
      <c r="E63" s="1186">
        <v>2</v>
      </c>
      <c r="F63" s="1186">
        <v>10621</v>
      </c>
    </row>
    <row r="64" spans="1:6" x14ac:dyDescent="0.2">
      <c r="A64" s="1186" t="s">
        <v>20</v>
      </c>
      <c r="B64" s="1186" t="s">
        <v>48</v>
      </c>
      <c r="C64" s="1186">
        <v>96</v>
      </c>
      <c r="D64" s="1186">
        <v>1</v>
      </c>
      <c r="E64" s="1186">
        <v>24</v>
      </c>
      <c r="F64" s="1186">
        <v>53788</v>
      </c>
    </row>
    <row r="65" spans="1:6" x14ac:dyDescent="0.2">
      <c r="A65" s="1186" t="s">
        <v>20</v>
      </c>
      <c r="B65" s="1186" t="s">
        <v>49</v>
      </c>
      <c r="C65" s="1186">
        <v>255</v>
      </c>
      <c r="D65" s="1186"/>
      <c r="E65" s="1186">
        <v>28</v>
      </c>
      <c r="F65" s="1186">
        <v>143470</v>
      </c>
    </row>
    <row r="66" spans="1:6" x14ac:dyDescent="0.2">
      <c r="A66" s="1186" t="s">
        <v>20</v>
      </c>
      <c r="B66" s="1186" t="s">
        <v>50</v>
      </c>
      <c r="C66" s="1186">
        <v>71</v>
      </c>
      <c r="D66" s="1186"/>
      <c r="E66" s="1186">
        <v>7</v>
      </c>
      <c r="F66" s="1186">
        <v>39246</v>
      </c>
    </row>
    <row r="67" spans="1:6" x14ac:dyDescent="0.2">
      <c r="A67" s="1186" t="s">
        <v>20</v>
      </c>
      <c r="B67" s="1186" t="s">
        <v>51</v>
      </c>
      <c r="C67" s="1186">
        <v>115</v>
      </c>
      <c r="D67" s="1186">
        <v>3</v>
      </c>
      <c r="E67" s="1186">
        <v>15</v>
      </c>
      <c r="F67" s="1186">
        <v>44415</v>
      </c>
    </row>
    <row r="68" spans="1:6" x14ac:dyDescent="0.2">
      <c r="A68" s="1186" t="s">
        <v>20</v>
      </c>
      <c r="B68" s="1186" t="s">
        <v>52</v>
      </c>
      <c r="C68" s="1186">
        <v>176</v>
      </c>
      <c r="D68" s="1186">
        <v>1</v>
      </c>
      <c r="E68" s="1186">
        <v>33</v>
      </c>
      <c r="F68" s="1186">
        <v>75123</v>
      </c>
    </row>
    <row r="69" spans="1:6" x14ac:dyDescent="0.2">
      <c r="A69" s="1186" t="s">
        <v>13</v>
      </c>
      <c r="B69" s="1186" t="s">
        <v>23</v>
      </c>
      <c r="C69" s="1186">
        <v>322</v>
      </c>
      <c r="D69" s="1186">
        <v>2</v>
      </c>
      <c r="E69" s="1186">
        <v>61</v>
      </c>
      <c r="F69" s="1186">
        <v>111419</v>
      </c>
    </row>
    <row r="70" spans="1:6" x14ac:dyDescent="0.2">
      <c r="A70" s="1186" t="s">
        <v>13</v>
      </c>
      <c r="B70" s="1186" t="s">
        <v>24</v>
      </c>
      <c r="C70" s="1186">
        <v>198</v>
      </c>
      <c r="D70" s="1186">
        <v>2</v>
      </c>
      <c r="E70" s="1186">
        <v>20</v>
      </c>
      <c r="F70" s="1186">
        <v>110649</v>
      </c>
    </row>
    <row r="71" spans="1:6" x14ac:dyDescent="0.2">
      <c r="A71" s="1186" t="s">
        <v>13</v>
      </c>
      <c r="B71" s="1186" t="s">
        <v>25</v>
      </c>
      <c r="C71" s="1186">
        <v>95</v>
      </c>
      <c r="D71" s="1186">
        <v>2</v>
      </c>
      <c r="E71" s="1186">
        <v>12</v>
      </c>
      <c r="F71" s="1186">
        <v>54372</v>
      </c>
    </row>
    <row r="72" spans="1:6" x14ac:dyDescent="0.2">
      <c r="A72" s="1186" t="s">
        <v>13</v>
      </c>
      <c r="B72" s="1186" t="s">
        <v>26</v>
      </c>
      <c r="C72" s="1186">
        <v>83</v>
      </c>
      <c r="D72" s="1186">
        <v>2</v>
      </c>
      <c r="E72" s="1186">
        <v>6</v>
      </c>
      <c r="F72" s="1186">
        <v>46896</v>
      </c>
    </row>
    <row r="73" spans="1:6" x14ac:dyDescent="0.2">
      <c r="A73" s="1186" t="s">
        <v>13</v>
      </c>
      <c r="B73" s="1186" t="s">
        <v>619</v>
      </c>
      <c r="C73" s="1186">
        <v>608</v>
      </c>
      <c r="D73" s="1186">
        <v>3</v>
      </c>
      <c r="E73" s="1186">
        <v>181</v>
      </c>
      <c r="F73" s="1186">
        <v>234541</v>
      </c>
    </row>
    <row r="74" spans="1:6" x14ac:dyDescent="0.2">
      <c r="A74" s="1186" t="s">
        <v>13</v>
      </c>
      <c r="B74" s="1186" t="s">
        <v>27</v>
      </c>
      <c r="C74" s="1186">
        <v>51</v>
      </c>
      <c r="D74" s="1186"/>
      <c r="E74" s="1186">
        <v>16</v>
      </c>
      <c r="F74" s="1186">
        <v>23720</v>
      </c>
    </row>
    <row r="75" spans="1:6" x14ac:dyDescent="0.2">
      <c r="A75" s="1186" t="s">
        <v>13</v>
      </c>
      <c r="B75" s="1186" t="s">
        <v>28</v>
      </c>
      <c r="C75" s="1186">
        <v>96</v>
      </c>
      <c r="D75" s="1186">
        <v>1</v>
      </c>
      <c r="E75" s="1186">
        <v>23</v>
      </c>
      <c r="F75" s="1186">
        <v>72871</v>
      </c>
    </row>
    <row r="76" spans="1:6" x14ac:dyDescent="0.2">
      <c r="A76" s="1186" t="s">
        <v>13</v>
      </c>
      <c r="B76" s="1186" t="s">
        <v>29</v>
      </c>
      <c r="C76" s="1186">
        <v>236</v>
      </c>
      <c r="D76" s="1186">
        <v>2</v>
      </c>
      <c r="E76" s="1186">
        <v>35</v>
      </c>
      <c r="F76" s="1186">
        <v>73529</v>
      </c>
    </row>
    <row r="77" spans="1:6" x14ac:dyDescent="0.2">
      <c r="A77" s="1186" t="s">
        <v>13</v>
      </c>
      <c r="B77" s="1186" t="s">
        <v>30</v>
      </c>
      <c r="C77" s="1186">
        <v>99</v>
      </c>
      <c r="D77" s="1186">
        <v>3</v>
      </c>
      <c r="E77" s="1186">
        <v>17</v>
      </c>
      <c r="F77" s="1186">
        <v>56614</v>
      </c>
    </row>
    <row r="78" spans="1:6" x14ac:dyDescent="0.2">
      <c r="A78" s="1186" t="s">
        <v>13</v>
      </c>
      <c r="B78" s="1186" t="s">
        <v>31</v>
      </c>
      <c r="C78" s="1186">
        <v>64</v>
      </c>
      <c r="D78" s="1186"/>
      <c r="E78" s="1186">
        <v>6</v>
      </c>
      <c r="F78" s="1186">
        <v>44332</v>
      </c>
    </row>
    <row r="79" spans="1:6" x14ac:dyDescent="0.2">
      <c r="A79" s="1186" t="s">
        <v>13</v>
      </c>
      <c r="B79" s="1186" t="s">
        <v>32</v>
      </c>
      <c r="C79" s="1186">
        <v>86</v>
      </c>
      <c r="D79" s="1186">
        <v>1</v>
      </c>
      <c r="E79" s="1186">
        <v>16</v>
      </c>
      <c r="F79" s="1186">
        <v>44967</v>
      </c>
    </row>
    <row r="80" spans="1:6" x14ac:dyDescent="0.2">
      <c r="A80" s="1186" t="s">
        <v>13</v>
      </c>
      <c r="B80" s="1186" t="s">
        <v>33</v>
      </c>
      <c r="C80" s="1186">
        <v>59</v>
      </c>
      <c r="D80" s="1186"/>
      <c r="E80" s="1186">
        <v>13</v>
      </c>
      <c r="F80" s="1186">
        <v>37231</v>
      </c>
    </row>
    <row r="81" spans="1:6" x14ac:dyDescent="0.2">
      <c r="A81" s="1186" t="s">
        <v>13</v>
      </c>
      <c r="B81" s="1186" t="s">
        <v>34</v>
      </c>
      <c r="C81" s="1186">
        <v>101</v>
      </c>
      <c r="D81" s="1186">
        <v>2</v>
      </c>
      <c r="E81" s="1186">
        <v>21</v>
      </c>
      <c r="F81" s="1186">
        <v>71303</v>
      </c>
    </row>
    <row r="82" spans="1:6" x14ac:dyDescent="0.2">
      <c r="A82" s="1186" t="s">
        <v>13</v>
      </c>
      <c r="B82" s="1186" t="s">
        <v>35</v>
      </c>
      <c r="C82" s="1186">
        <v>247</v>
      </c>
      <c r="D82" s="1186">
        <v>3</v>
      </c>
      <c r="E82" s="1186">
        <v>52</v>
      </c>
      <c r="F82" s="1186">
        <v>170169</v>
      </c>
    </row>
    <row r="83" spans="1:6" x14ac:dyDescent="0.2">
      <c r="A83" s="1186" t="s">
        <v>13</v>
      </c>
      <c r="B83" s="1186" t="s">
        <v>36</v>
      </c>
      <c r="C83" s="1186">
        <v>932</v>
      </c>
      <c r="D83" s="1186">
        <v>7</v>
      </c>
      <c r="E83" s="1186">
        <v>148</v>
      </c>
      <c r="F83" s="1186">
        <v>299881</v>
      </c>
    </row>
    <row r="84" spans="1:6" x14ac:dyDescent="0.2">
      <c r="A84" s="1186" t="s">
        <v>13</v>
      </c>
      <c r="B84" s="1186" t="s">
        <v>37</v>
      </c>
      <c r="C84" s="1186">
        <v>136</v>
      </c>
      <c r="D84" s="1186">
        <v>2</v>
      </c>
      <c r="E84" s="1186">
        <v>55</v>
      </c>
      <c r="F84" s="1186">
        <v>111830</v>
      </c>
    </row>
    <row r="85" spans="1:6" x14ac:dyDescent="0.2">
      <c r="A85" s="1186" t="s">
        <v>13</v>
      </c>
      <c r="B85" s="1186" t="s">
        <v>38</v>
      </c>
      <c r="C85" s="1186">
        <v>72</v>
      </c>
      <c r="D85" s="1186">
        <v>1</v>
      </c>
      <c r="E85" s="1186">
        <v>8</v>
      </c>
      <c r="F85" s="1186">
        <v>39457</v>
      </c>
    </row>
    <row r="86" spans="1:6" x14ac:dyDescent="0.2">
      <c r="A86" s="1186" t="s">
        <v>13</v>
      </c>
      <c r="B86" s="1186" t="s">
        <v>39</v>
      </c>
      <c r="C86" s="1186">
        <v>65</v>
      </c>
      <c r="D86" s="1186">
        <v>2</v>
      </c>
      <c r="E86" s="1186">
        <v>18</v>
      </c>
      <c r="F86" s="1186">
        <v>36434</v>
      </c>
    </row>
    <row r="87" spans="1:6" x14ac:dyDescent="0.2">
      <c r="A87" s="1186" t="s">
        <v>13</v>
      </c>
      <c r="B87" s="1186" t="s">
        <v>40</v>
      </c>
      <c r="C87" s="1186">
        <v>67</v>
      </c>
      <c r="D87" s="1186"/>
      <c r="E87" s="1186">
        <v>15</v>
      </c>
      <c r="F87" s="1186">
        <v>42699</v>
      </c>
    </row>
    <row r="88" spans="1:6" x14ac:dyDescent="0.2">
      <c r="A88" s="1186" t="s">
        <v>13</v>
      </c>
      <c r="B88" s="1186" t="s">
        <v>295</v>
      </c>
      <c r="C88" s="1186">
        <v>17</v>
      </c>
      <c r="D88" s="1186">
        <v>1</v>
      </c>
      <c r="E88" s="1186">
        <v>3</v>
      </c>
      <c r="F88" s="1186">
        <v>14396</v>
      </c>
    </row>
    <row r="89" spans="1:6" x14ac:dyDescent="0.2">
      <c r="A89" s="1186" t="s">
        <v>13</v>
      </c>
      <c r="B89" s="1186" t="s">
        <v>41</v>
      </c>
      <c r="C89" s="1186">
        <v>120</v>
      </c>
      <c r="D89" s="1186"/>
      <c r="E89" s="1186">
        <v>23</v>
      </c>
      <c r="F89" s="1186">
        <v>66648</v>
      </c>
    </row>
    <row r="90" spans="1:6" x14ac:dyDescent="0.2">
      <c r="A90" s="1186" t="s">
        <v>13</v>
      </c>
      <c r="B90" s="1186" t="s">
        <v>42</v>
      </c>
      <c r="C90" s="1186">
        <v>279</v>
      </c>
      <c r="D90" s="1186">
        <v>1</v>
      </c>
      <c r="E90" s="1186">
        <v>62</v>
      </c>
      <c r="F90" s="1186">
        <v>149190</v>
      </c>
    </row>
    <row r="91" spans="1:6" x14ac:dyDescent="0.2">
      <c r="A91" s="1186" t="s">
        <v>13</v>
      </c>
      <c r="B91" s="1186" t="s">
        <v>43</v>
      </c>
      <c r="C91" s="1186">
        <v>12</v>
      </c>
      <c r="D91" s="1186"/>
      <c r="E91" s="1186">
        <v>2</v>
      </c>
      <c r="F91" s="1186">
        <v>10438</v>
      </c>
    </row>
    <row r="92" spans="1:6" x14ac:dyDescent="0.2">
      <c r="A92" s="1186" t="s">
        <v>13</v>
      </c>
      <c r="B92" s="1186" t="s">
        <v>44</v>
      </c>
      <c r="C92" s="1186">
        <v>112</v>
      </c>
      <c r="D92" s="1186">
        <v>1</v>
      </c>
      <c r="E92" s="1186">
        <v>8</v>
      </c>
      <c r="F92" s="1186">
        <v>69236</v>
      </c>
    </row>
    <row r="93" spans="1:6" x14ac:dyDescent="0.2">
      <c r="A93" s="1186" t="s">
        <v>13</v>
      </c>
      <c r="B93" s="1186" t="s">
        <v>45</v>
      </c>
      <c r="C93" s="1186">
        <v>212</v>
      </c>
      <c r="D93" s="1186"/>
      <c r="E93" s="1186">
        <v>33</v>
      </c>
      <c r="F93" s="1186">
        <v>82944</v>
      </c>
    </row>
    <row r="94" spans="1:6" x14ac:dyDescent="0.2">
      <c r="A94" s="1186" t="s">
        <v>13</v>
      </c>
      <c r="B94" s="1186" t="s">
        <v>46</v>
      </c>
      <c r="C94" s="1186">
        <v>92</v>
      </c>
      <c r="D94" s="1186">
        <v>2</v>
      </c>
      <c r="E94" s="1186">
        <v>14</v>
      </c>
      <c r="F94" s="1186">
        <v>56530</v>
      </c>
    </row>
    <row r="95" spans="1:6" x14ac:dyDescent="0.2">
      <c r="A95" s="1186" t="s">
        <v>13</v>
      </c>
      <c r="B95" s="1186" t="s">
        <v>47</v>
      </c>
      <c r="C95" s="1186">
        <v>10</v>
      </c>
      <c r="D95" s="1186"/>
      <c r="E95" s="1186">
        <v>1</v>
      </c>
      <c r="F95" s="1186">
        <v>10707</v>
      </c>
    </row>
    <row r="96" spans="1:6" x14ac:dyDescent="0.2">
      <c r="A96" s="1186" t="s">
        <v>13</v>
      </c>
      <c r="B96" s="1186" t="s">
        <v>48</v>
      </c>
      <c r="C96" s="1186">
        <v>73</v>
      </c>
      <c r="D96" s="1186"/>
      <c r="E96" s="1186">
        <v>15</v>
      </c>
      <c r="F96" s="1186">
        <v>53968</v>
      </c>
    </row>
    <row r="97" spans="1:6" x14ac:dyDescent="0.2">
      <c r="A97" s="1186" t="s">
        <v>13</v>
      </c>
      <c r="B97" s="1186" t="s">
        <v>49</v>
      </c>
      <c r="C97" s="1186">
        <v>254</v>
      </c>
      <c r="D97" s="1186">
        <v>1</v>
      </c>
      <c r="E97" s="1186">
        <v>34</v>
      </c>
      <c r="F97" s="1186">
        <v>144386</v>
      </c>
    </row>
    <row r="98" spans="1:6" x14ac:dyDescent="0.2">
      <c r="A98" s="1186" t="s">
        <v>13</v>
      </c>
      <c r="B98" s="1186" t="s">
        <v>50</v>
      </c>
      <c r="C98" s="1186">
        <v>64</v>
      </c>
      <c r="D98" s="1186">
        <v>1</v>
      </c>
      <c r="E98" s="1186">
        <v>9</v>
      </c>
      <c r="F98" s="1186">
        <v>39509</v>
      </c>
    </row>
    <row r="99" spans="1:6" x14ac:dyDescent="0.2">
      <c r="A99" s="1186" t="s">
        <v>13</v>
      </c>
      <c r="B99" s="1186" t="s">
        <v>51</v>
      </c>
      <c r="C99" s="1186">
        <v>105</v>
      </c>
      <c r="D99" s="1186"/>
      <c r="E99" s="1186">
        <v>16</v>
      </c>
      <c r="F99" s="1186">
        <v>44586</v>
      </c>
    </row>
    <row r="100" spans="1:6" x14ac:dyDescent="0.2">
      <c r="A100" s="1186" t="s">
        <v>13</v>
      </c>
      <c r="B100" s="1186" t="s">
        <v>52</v>
      </c>
      <c r="C100" s="1186">
        <v>150</v>
      </c>
      <c r="D100" s="1186">
        <v>2</v>
      </c>
      <c r="E100" s="1186">
        <v>39</v>
      </c>
      <c r="F100" s="1186">
        <v>75397</v>
      </c>
    </row>
    <row r="101" spans="1:6" x14ac:dyDescent="0.2">
      <c r="A101" s="1186" t="s">
        <v>15</v>
      </c>
      <c r="B101" s="1186" t="s">
        <v>23</v>
      </c>
      <c r="C101" s="1186">
        <v>266</v>
      </c>
      <c r="D101" s="1186">
        <v>3</v>
      </c>
      <c r="E101" s="1186">
        <v>46</v>
      </c>
      <c r="F101" s="1186">
        <v>112073</v>
      </c>
    </row>
    <row r="102" spans="1:6" x14ac:dyDescent="0.2">
      <c r="A102" s="1186" t="s">
        <v>15</v>
      </c>
      <c r="B102" s="1186" t="s">
        <v>24</v>
      </c>
      <c r="C102" s="1186">
        <v>163</v>
      </c>
      <c r="D102" s="1186">
        <v>2</v>
      </c>
      <c r="E102" s="1186">
        <v>28</v>
      </c>
      <c r="F102" s="1186">
        <v>111773</v>
      </c>
    </row>
    <row r="103" spans="1:6" x14ac:dyDescent="0.2">
      <c r="A103" s="1186" t="s">
        <v>15</v>
      </c>
      <c r="B103" s="1186" t="s">
        <v>25</v>
      </c>
      <c r="C103" s="1186">
        <v>79</v>
      </c>
      <c r="D103" s="1186"/>
      <c r="E103" s="1186">
        <v>12</v>
      </c>
      <c r="F103" s="1186">
        <v>54566</v>
      </c>
    </row>
    <row r="104" spans="1:6" x14ac:dyDescent="0.2">
      <c r="A104" s="1186" t="s">
        <v>15</v>
      </c>
      <c r="B104" s="1186" t="s">
        <v>26</v>
      </c>
      <c r="C104" s="1186">
        <v>81</v>
      </c>
      <c r="D104" s="1186"/>
      <c r="E104" s="1186">
        <v>15</v>
      </c>
      <c r="F104" s="1186">
        <v>47105</v>
      </c>
    </row>
    <row r="105" spans="1:6" x14ac:dyDescent="0.2">
      <c r="A105" s="1186" t="s">
        <v>15</v>
      </c>
      <c r="B105" s="1186" t="s">
        <v>619</v>
      </c>
      <c r="C105" s="1186">
        <v>596</v>
      </c>
      <c r="D105" s="1186">
        <v>5</v>
      </c>
      <c r="E105" s="1186">
        <v>123</v>
      </c>
      <c r="F105" s="1186">
        <v>235850</v>
      </c>
    </row>
    <row r="106" spans="1:6" x14ac:dyDescent="0.2">
      <c r="A106" s="1186" t="s">
        <v>15</v>
      </c>
      <c r="B106" s="1186" t="s">
        <v>27</v>
      </c>
      <c r="C106" s="1186">
        <v>38</v>
      </c>
      <c r="D106" s="1186"/>
      <c r="E106" s="1186">
        <v>6</v>
      </c>
      <c r="F106" s="1186">
        <v>23774</v>
      </c>
    </row>
    <row r="107" spans="1:6" x14ac:dyDescent="0.2">
      <c r="A107" s="1186" t="s">
        <v>15</v>
      </c>
      <c r="B107" s="1186" t="s">
        <v>28</v>
      </c>
      <c r="C107" s="1186">
        <v>97</v>
      </c>
      <c r="D107" s="1186"/>
      <c r="E107" s="1186">
        <v>28</v>
      </c>
      <c r="F107" s="1186">
        <v>73224</v>
      </c>
    </row>
    <row r="108" spans="1:6" x14ac:dyDescent="0.2">
      <c r="A108" s="1186" t="s">
        <v>15</v>
      </c>
      <c r="B108" s="1186" t="s">
        <v>29</v>
      </c>
      <c r="C108" s="1186">
        <v>235</v>
      </c>
      <c r="D108" s="1186">
        <v>1</v>
      </c>
      <c r="E108" s="1186">
        <v>52</v>
      </c>
      <c r="F108" s="1186">
        <v>73818</v>
      </c>
    </row>
    <row r="109" spans="1:6" x14ac:dyDescent="0.2">
      <c r="A109" s="1186" t="s">
        <v>15</v>
      </c>
      <c r="B109" s="1186" t="s">
        <v>30</v>
      </c>
      <c r="C109" s="1186">
        <v>99</v>
      </c>
      <c r="D109" s="1186"/>
      <c r="E109" s="1186">
        <v>11</v>
      </c>
      <c r="F109" s="1186">
        <v>56919</v>
      </c>
    </row>
    <row r="110" spans="1:6" x14ac:dyDescent="0.2">
      <c r="A110" s="1186" t="s">
        <v>15</v>
      </c>
      <c r="B110" s="1186" t="s">
        <v>31</v>
      </c>
      <c r="C110" s="1186">
        <v>60</v>
      </c>
      <c r="D110" s="1186">
        <v>1</v>
      </c>
      <c r="E110" s="1186">
        <v>20</v>
      </c>
      <c r="F110" s="1186">
        <v>44564</v>
      </c>
    </row>
    <row r="111" spans="1:6" x14ac:dyDescent="0.2">
      <c r="A111" s="1186" t="s">
        <v>15</v>
      </c>
      <c r="B111" s="1186" t="s">
        <v>32</v>
      </c>
      <c r="C111" s="1186">
        <v>96</v>
      </c>
      <c r="D111" s="1186"/>
      <c r="E111" s="1186">
        <v>10</v>
      </c>
      <c r="F111" s="1186">
        <v>45364</v>
      </c>
    </row>
    <row r="112" spans="1:6" x14ac:dyDescent="0.2">
      <c r="A112" s="1186" t="s">
        <v>15</v>
      </c>
      <c r="B112" s="1186" t="s">
        <v>33</v>
      </c>
      <c r="C112" s="1186">
        <v>60</v>
      </c>
      <c r="D112" s="1186"/>
      <c r="E112" s="1186">
        <v>6</v>
      </c>
      <c r="F112" s="1186">
        <v>37448</v>
      </c>
    </row>
    <row r="113" spans="1:6" x14ac:dyDescent="0.2">
      <c r="A113" s="1186" t="s">
        <v>15</v>
      </c>
      <c r="B113" s="1186" t="s">
        <v>34</v>
      </c>
      <c r="C113" s="1186">
        <v>91</v>
      </c>
      <c r="D113" s="1186">
        <v>1</v>
      </c>
      <c r="E113" s="1186">
        <v>10</v>
      </c>
      <c r="F113" s="1186">
        <v>71742</v>
      </c>
    </row>
    <row r="114" spans="1:6" x14ac:dyDescent="0.2">
      <c r="A114" s="1186" t="s">
        <v>15</v>
      </c>
      <c r="B114" s="1186" t="s">
        <v>35</v>
      </c>
      <c r="C114" s="1186">
        <v>262</v>
      </c>
      <c r="D114" s="1186">
        <v>2</v>
      </c>
      <c r="E114" s="1186">
        <v>59</v>
      </c>
      <c r="F114" s="1186">
        <v>170881</v>
      </c>
    </row>
    <row r="115" spans="1:6" x14ac:dyDescent="0.2">
      <c r="A115" s="1186" t="s">
        <v>15</v>
      </c>
      <c r="B115" s="1186" t="s">
        <v>36</v>
      </c>
      <c r="C115" s="1186">
        <v>842</v>
      </c>
      <c r="D115" s="1186">
        <v>4</v>
      </c>
      <c r="E115" s="1186">
        <v>159</v>
      </c>
      <c r="F115" s="1186">
        <v>301513</v>
      </c>
    </row>
    <row r="116" spans="1:6" x14ac:dyDescent="0.2">
      <c r="A116" s="1186" t="s">
        <v>15</v>
      </c>
      <c r="B116" s="1186" t="s">
        <v>37</v>
      </c>
      <c r="C116" s="1186">
        <v>126</v>
      </c>
      <c r="D116" s="1186">
        <v>1</v>
      </c>
      <c r="E116" s="1186">
        <v>41</v>
      </c>
      <c r="F116" s="1186">
        <v>112812</v>
      </c>
    </row>
    <row r="117" spans="1:6" x14ac:dyDescent="0.2">
      <c r="A117" s="1186" t="s">
        <v>15</v>
      </c>
      <c r="B117" s="1186" t="s">
        <v>38</v>
      </c>
      <c r="C117" s="1186">
        <v>80</v>
      </c>
      <c r="D117" s="1186"/>
      <c r="E117" s="1186">
        <v>19</v>
      </c>
      <c r="F117" s="1186">
        <v>39590</v>
      </c>
    </row>
    <row r="118" spans="1:6" x14ac:dyDescent="0.2">
      <c r="A118" s="1186" t="s">
        <v>15</v>
      </c>
      <c r="B118" s="1186" t="s">
        <v>39</v>
      </c>
      <c r="C118" s="1186">
        <v>87</v>
      </c>
      <c r="D118" s="1186">
        <v>1</v>
      </c>
      <c r="E118" s="1186">
        <v>17</v>
      </c>
      <c r="F118" s="1186">
        <v>37051</v>
      </c>
    </row>
    <row r="119" spans="1:6" x14ac:dyDescent="0.2">
      <c r="A119" s="1186" t="s">
        <v>15</v>
      </c>
      <c r="B119" s="1186" t="s">
        <v>40</v>
      </c>
      <c r="C119" s="1186">
        <v>55</v>
      </c>
      <c r="D119" s="1186">
        <v>1</v>
      </c>
      <c r="E119" s="1186">
        <v>24</v>
      </c>
      <c r="F119" s="1186">
        <v>43139</v>
      </c>
    </row>
    <row r="120" spans="1:6" x14ac:dyDescent="0.2">
      <c r="A120" s="1186" t="s">
        <v>15</v>
      </c>
      <c r="B120" s="1186" t="s">
        <v>295</v>
      </c>
      <c r="C120" s="1186">
        <v>22</v>
      </c>
      <c r="D120" s="1186">
        <v>1</v>
      </c>
      <c r="E120" s="1186">
        <v>11</v>
      </c>
      <c r="F120" s="1186">
        <v>14458</v>
      </c>
    </row>
    <row r="121" spans="1:6" x14ac:dyDescent="0.2">
      <c r="A121" s="1186" t="s">
        <v>15</v>
      </c>
      <c r="B121" s="1186" t="s">
        <v>41</v>
      </c>
      <c r="C121" s="1186">
        <v>142</v>
      </c>
      <c r="D121" s="1186"/>
      <c r="E121" s="1186">
        <v>26</v>
      </c>
      <c r="F121" s="1186">
        <v>66888</v>
      </c>
    </row>
    <row r="122" spans="1:6" x14ac:dyDescent="0.2">
      <c r="A122" s="1186" t="s">
        <v>15</v>
      </c>
      <c r="B122" s="1186" t="s">
        <v>42</v>
      </c>
      <c r="C122" s="1186">
        <v>284</v>
      </c>
      <c r="D122" s="1186">
        <v>2</v>
      </c>
      <c r="E122" s="1186">
        <v>59</v>
      </c>
      <c r="F122" s="1186">
        <v>149763</v>
      </c>
    </row>
    <row r="123" spans="1:6" x14ac:dyDescent="0.2">
      <c r="A123" s="1186" t="s">
        <v>15</v>
      </c>
      <c r="B123" s="1186" t="s">
        <v>43</v>
      </c>
      <c r="C123" s="1186">
        <v>9</v>
      </c>
      <c r="D123" s="1186"/>
      <c r="E123" s="1186"/>
      <c r="F123" s="1186">
        <v>10613</v>
      </c>
    </row>
    <row r="124" spans="1:6" x14ac:dyDescent="0.2">
      <c r="A124" s="1186" t="s">
        <v>15</v>
      </c>
      <c r="B124" s="1186" t="s">
        <v>44</v>
      </c>
      <c r="C124" s="1186">
        <v>114</v>
      </c>
      <c r="D124" s="1186">
        <v>1</v>
      </c>
      <c r="E124" s="1186">
        <v>25</v>
      </c>
      <c r="F124" s="1186">
        <v>69618</v>
      </c>
    </row>
    <row r="125" spans="1:6" x14ac:dyDescent="0.2">
      <c r="A125" s="1186" t="s">
        <v>15</v>
      </c>
      <c r="B125" s="1186" t="s">
        <v>45</v>
      </c>
      <c r="C125" s="1186">
        <v>219</v>
      </c>
      <c r="D125" s="1186"/>
      <c r="E125" s="1186">
        <v>45</v>
      </c>
      <c r="F125" s="1186">
        <v>83166</v>
      </c>
    </row>
    <row r="126" spans="1:6" x14ac:dyDescent="0.2">
      <c r="A126" s="1186" t="s">
        <v>15</v>
      </c>
      <c r="B126" s="1186" t="s">
        <v>46</v>
      </c>
      <c r="C126" s="1186">
        <v>100</v>
      </c>
      <c r="D126" s="1186">
        <v>1</v>
      </c>
      <c r="E126" s="1186">
        <v>14</v>
      </c>
      <c r="F126" s="1186">
        <v>56765</v>
      </c>
    </row>
    <row r="127" spans="1:6" x14ac:dyDescent="0.2">
      <c r="A127" s="1186" t="s">
        <v>15</v>
      </c>
      <c r="B127" s="1186" t="s">
        <v>47</v>
      </c>
      <c r="C127" s="1186">
        <v>17</v>
      </c>
      <c r="D127" s="1186">
        <v>1</v>
      </c>
      <c r="E127" s="1186">
        <v>3</v>
      </c>
      <c r="F127" s="1186">
        <v>10789</v>
      </c>
    </row>
    <row r="128" spans="1:6" x14ac:dyDescent="0.2">
      <c r="A128" s="1186" t="s">
        <v>15</v>
      </c>
      <c r="B128" s="1186" t="s">
        <v>48</v>
      </c>
      <c r="C128" s="1186">
        <v>99</v>
      </c>
      <c r="D128" s="1186">
        <v>2</v>
      </c>
      <c r="E128" s="1186">
        <v>22</v>
      </c>
      <c r="F128" s="1186">
        <v>54202</v>
      </c>
    </row>
    <row r="129" spans="1:6" x14ac:dyDescent="0.2">
      <c r="A129" s="1186" t="s">
        <v>15</v>
      </c>
      <c r="B129" s="1186" t="s">
        <v>49</v>
      </c>
      <c r="C129" s="1186">
        <v>249</v>
      </c>
      <c r="D129" s="1186">
        <v>4</v>
      </c>
      <c r="E129" s="1186">
        <v>53</v>
      </c>
      <c r="F129" s="1186">
        <v>145257</v>
      </c>
    </row>
    <row r="130" spans="1:6" x14ac:dyDescent="0.2">
      <c r="A130" s="1186" t="s">
        <v>15</v>
      </c>
      <c r="B130" s="1186" t="s">
        <v>50</v>
      </c>
      <c r="C130" s="1186">
        <v>54</v>
      </c>
      <c r="D130" s="1186"/>
      <c r="E130" s="1186">
        <v>6</v>
      </c>
      <c r="F130" s="1186">
        <v>39798</v>
      </c>
    </row>
    <row r="131" spans="1:6" x14ac:dyDescent="0.2">
      <c r="A131" s="1186" t="s">
        <v>15</v>
      </c>
      <c r="B131" s="1186" t="s">
        <v>51</v>
      </c>
      <c r="C131" s="1186">
        <v>96</v>
      </c>
      <c r="D131" s="1186">
        <v>1</v>
      </c>
      <c r="E131" s="1186">
        <v>15</v>
      </c>
      <c r="F131" s="1186">
        <v>44790</v>
      </c>
    </row>
    <row r="132" spans="1:6" x14ac:dyDescent="0.2">
      <c r="A132" s="1186" t="s">
        <v>15</v>
      </c>
      <c r="B132" s="1186" t="s">
        <v>52</v>
      </c>
      <c r="C132" s="1186">
        <v>179</v>
      </c>
      <c r="D132" s="1186">
        <v>1</v>
      </c>
      <c r="E132" s="1186">
        <v>49</v>
      </c>
      <c r="F132" s="1186">
        <v>75729</v>
      </c>
    </row>
    <row r="133" spans="1:6" x14ac:dyDescent="0.2">
      <c r="A133" s="1186" t="s">
        <v>17</v>
      </c>
      <c r="B133" s="1186" t="s">
        <v>23</v>
      </c>
      <c r="C133" s="1186">
        <v>247</v>
      </c>
      <c r="D133" s="1186">
        <v>1</v>
      </c>
      <c r="E133" s="1186">
        <v>46</v>
      </c>
      <c r="F133" s="1186">
        <v>112713</v>
      </c>
    </row>
    <row r="134" spans="1:6" x14ac:dyDescent="0.2">
      <c r="A134" s="1186" t="s">
        <v>17</v>
      </c>
      <c r="B134" s="1186" t="s">
        <v>24</v>
      </c>
      <c r="C134" s="1186">
        <v>173</v>
      </c>
      <c r="D134" s="1186">
        <v>3</v>
      </c>
      <c r="E134" s="1186">
        <v>28</v>
      </c>
      <c r="F134" s="1186">
        <v>112867</v>
      </c>
    </row>
    <row r="135" spans="1:6" x14ac:dyDescent="0.2">
      <c r="A135" s="1186" t="s">
        <v>17</v>
      </c>
      <c r="B135" s="1186" t="s">
        <v>25</v>
      </c>
      <c r="C135" s="1186">
        <v>71</v>
      </c>
      <c r="D135" s="1186">
        <v>1</v>
      </c>
      <c r="E135" s="1186">
        <v>20</v>
      </c>
      <c r="F135" s="1186">
        <v>54872</v>
      </c>
    </row>
    <row r="136" spans="1:6" x14ac:dyDescent="0.2">
      <c r="A136" s="1186" t="s">
        <v>17</v>
      </c>
      <c r="B136" s="1186" t="s">
        <v>26</v>
      </c>
      <c r="C136" s="1186">
        <v>78</v>
      </c>
      <c r="D136" s="1186"/>
      <c r="E136" s="1186">
        <v>10</v>
      </c>
      <c r="F136" s="1186">
        <v>47336</v>
      </c>
    </row>
    <row r="137" spans="1:6" x14ac:dyDescent="0.2">
      <c r="A137" s="1186" t="s">
        <v>17</v>
      </c>
      <c r="B137" s="1186" t="s">
        <v>619</v>
      </c>
      <c r="C137" s="1186">
        <v>523</v>
      </c>
      <c r="D137" s="1186">
        <v>3</v>
      </c>
      <c r="E137" s="1186">
        <v>116</v>
      </c>
      <c r="F137" s="1186">
        <v>237524</v>
      </c>
    </row>
    <row r="138" spans="1:6" x14ac:dyDescent="0.2">
      <c r="A138" s="1186" t="s">
        <v>17</v>
      </c>
      <c r="B138" s="1186" t="s">
        <v>27</v>
      </c>
      <c r="C138" s="1186">
        <v>38</v>
      </c>
      <c r="D138" s="1186"/>
      <c r="E138" s="1186">
        <v>3</v>
      </c>
      <c r="F138" s="1186">
        <v>23894</v>
      </c>
    </row>
    <row r="139" spans="1:6" x14ac:dyDescent="0.2">
      <c r="A139" s="1186" t="s">
        <v>17</v>
      </c>
      <c r="B139" s="1186" t="s">
        <v>28</v>
      </c>
      <c r="C139" s="1186">
        <v>111</v>
      </c>
      <c r="D139" s="1186"/>
      <c r="E139" s="1186">
        <v>23</v>
      </c>
      <c r="F139" s="1186">
        <v>73555</v>
      </c>
    </row>
    <row r="140" spans="1:6" x14ac:dyDescent="0.2">
      <c r="A140" s="1186" t="s">
        <v>17</v>
      </c>
      <c r="B140" s="1186" t="s">
        <v>29</v>
      </c>
      <c r="C140" s="1186">
        <v>195</v>
      </c>
      <c r="D140" s="1186"/>
      <c r="E140" s="1186">
        <v>66</v>
      </c>
      <c r="F140" s="1186">
        <v>73560</v>
      </c>
    </row>
    <row r="141" spans="1:6" x14ac:dyDescent="0.2">
      <c r="A141" s="1186" t="s">
        <v>17</v>
      </c>
      <c r="B141" s="1186" t="s">
        <v>30</v>
      </c>
      <c r="C141" s="1186">
        <v>91</v>
      </c>
      <c r="D141" s="1186"/>
      <c r="E141" s="1186">
        <v>10</v>
      </c>
      <c r="F141" s="1186">
        <v>57172</v>
      </c>
    </row>
    <row r="142" spans="1:6" x14ac:dyDescent="0.2">
      <c r="A142" s="1186" t="s">
        <v>17</v>
      </c>
      <c r="B142" s="1186" t="s">
        <v>31</v>
      </c>
      <c r="C142" s="1186">
        <v>53</v>
      </c>
      <c r="D142" s="1186"/>
      <c r="E142" s="1186">
        <v>7</v>
      </c>
      <c r="F142" s="1186">
        <v>44864</v>
      </c>
    </row>
    <row r="143" spans="1:6" x14ac:dyDescent="0.2">
      <c r="A143" s="1186" t="s">
        <v>17</v>
      </c>
      <c r="B143" s="1186" t="s">
        <v>32</v>
      </c>
      <c r="C143" s="1186">
        <v>81</v>
      </c>
      <c r="D143" s="1186">
        <v>1</v>
      </c>
      <c r="E143" s="1186">
        <v>13</v>
      </c>
      <c r="F143" s="1186">
        <v>45613</v>
      </c>
    </row>
    <row r="144" spans="1:6" x14ac:dyDescent="0.2">
      <c r="A144" s="1186" t="s">
        <v>17</v>
      </c>
      <c r="B144" s="1186" t="s">
        <v>33</v>
      </c>
      <c r="C144" s="1186">
        <v>61</v>
      </c>
      <c r="D144" s="1186"/>
      <c r="E144" s="1186">
        <v>11</v>
      </c>
      <c r="F144" s="1186">
        <v>37639</v>
      </c>
    </row>
    <row r="145" spans="1:6" x14ac:dyDescent="0.2">
      <c r="A145" s="1186" t="s">
        <v>17</v>
      </c>
      <c r="B145" s="1186" t="s">
        <v>34</v>
      </c>
      <c r="C145" s="1186">
        <v>118</v>
      </c>
      <c r="D145" s="1186">
        <v>2</v>
      </c>
      <c r="E145" s="1186">
        <v>26</v>
      </c>
      <c r="F145" s="1186">
        <v>72128</v>
      </c>
    </row>
    <row r="146" spans="1:6" x14ac:dyDescent="0.2">
      <c r="A146" s="1186" t="s">
        <v>17</v>
      </c>
      <c r="B146" s="1186" t="s">
        <v>35</v>
      </c>
      <c r="C146" s="1186">
        <v>216</v>
      </c>
      <c r="D146" s="1186">
        <v>2</v>
      </c>
      <c r="E146" s="1186">
        <v>42</v>
      </c>
      <c r="F146" s="1186">
        <v>171560</v>
      </c>
    </row>
    <row r="147" spans="1:6" x14ac:dyDescent="0.2">
      <c r="A147" s="1186" t="s">
        <v>17</v>
      </c>
      <c r="B147" s="1186" t="s">
        <v>36</v>
      </c>
      <c r="C147" s="1186">
        <v>763</v>
      </c>
      <c r="D147" s="1186">
        <v>3</v>
      </c>
      <c r="E147" s="1186">
        <v>155</v>
      </c>
      <c r="F147" s="1186">
        <v>301633</v>
      </c>
    </row>
    <row r="148" spans="1:6" x14ac:dyDescent="0.2">
      <c r="A148" s="1186" t="s">
        <v>17</v>
      </c>
      <c r="B148" s="1186" t="s">
        <v>37</v>
      </c>
      <c r="C148" s="1186">
        <v>140</v>
      </c>
      <c r="D148" s="1186">
        <v>1</v>
      </c>
      <c r="E148" s="1186">
        <v>54</v>
      </c>
      <c r="F148" s="1186">
        <v>113703</v>
      </c>
    </row>
    <row r="149" spans="1:6" x14ac:dyDescent="0.2">
      <c r="A149" s="1186" t="s">
        <v>17</v>
      </c>
      <c r="B149" s="1186" t="s">
        <v>38</v>
      </c>
      <c r="C149" s="1186">
        <v>87</v>
      </c>
      <c r="D149" s="1186">
        <v>1</v>
      </c>
      <c r="E149" s="1186">
        <v>23</v>
      </c>
      <c r="F149" s="1186">
        <v>38791</v>
      </c>
    </row>
    <row r="150" spans="1:6" x14ac:dyDescent="0.2">
      <c r="A150" s="1186" t="s">
        <v>17</v>
      </c>
      <c r="B150" s="1186" t="s">
        <v>39</v>
      </c>
      <c r="C150" s="1186">
        <v>62</v>
      </c>
      <c r="D150" s="1186"/>
      <c r="E150" s="1186">
        <v>28</v>
      </c>
      <c r="F150" s="1186">
        <v>37503</v>
      </c>
    </row>
    <row r="151" spans="1:6" x14ac:dyDescent="0.2">
      <c r="A151" s="1186" t="s">
        <v>17</v>
      </c>
      <c r="B151" s="1186" t="s">
        <v>40</v>
      </c>
      <c r="C151" s="1186">
        <v>69</v>
      </c>
      <c r="D151" s="1186"/>
      <c r="E151" s="1186">
        <v>23</v>
      </c>
      <c r="F151" s="1186">
        <v>43495</v>
      </c>
    </row>
    <row r="152" spans="1:6" x14ac:dyDescent="0.2">
      <c r="A152" s="1186" t="s">
        <v>17</v>
      </c>
      <c r="B152" s="1186" t="s">
        <v>295</v>
      </c>
      <c r="C152" s="1186">
        <v>11</v>
      </c>
      <c r="D152" s="1186"/>
      <c r="E152" s="1186">
        <v>3</v>
      </c>
      <c r="F152" s="1186">
        <v>14490</v>
      </c>
    </row>
    <row r="153" spans="1:6" x14ac:dyDescent="0.2">
      <c r="A153" s="1186" t="s">
        <v>17</v>
      </c>
      <c r="B153" s="1186" t="s">
        <v>41</v>
      </c>
      <c r="C153" s="1186">
        <v>135</v>
      </c>
      <c r="D153" s="1186">
        <v>1</v>
      </c>
      <c r="E153" s="1186">
        <v>26</v>
      </c>
      <c r="F153" s="1186">
        <v>67082</v>
      </c>
    </row>
    <row r="154" spans="1:6" x14ac:dyDescent="0.2">
      <c r="A154" s="1186" t="s">
        <v>17</v>
      </c>
      <c r="B154" s="1186" t="s">
        <v>42</v>
      </c>
      <c r="C154" s="1186">
        <v>259</v>
      </c>
      <c r="D154" s="1186">
        <v>1</v>
      </c>
      <c r="E154" s="1186">
        <v>62</v>
      </c>
      <c r="F154" s="1186">
        <v>150541</v>
      </c>
    </row>
    <row r="155" spans="1:6" x14ac:dyDescent="0.2">
      <c r="A155" s="1186" t="s">
        <v>17</v>
      </c>
      <c r="B155" s="1186" t="s">
        <v>43</v>
      </c>
      <c r="C155" s="1186">
        <v>10</v>
      </c>
      <c r="D155" s="1186"/>
      <c r="E155" s="1186">
        <v>1</v>
      </c>
      <c r="F155" s="1186">
        <v>10717</v>
      </c>
    </row>
    <row r="156" spans="1:6" x14ac:dyDescent="0.2">
      <c r="A156" s="1186" t="s">
        <v>17</v>
      </c>
      <c r="B156" s="1186" t="s">
        <v>44</v>
      </c>
      <c r="C156" s="1186">
        <v>97</v>
      </c>
      <c r="D156" s="1186"/>
      <c r="E156" s="1186">
        <v>32</v>
      </c>
      <c r="F156" s="1186">
        <v>69923</v>
      </c>
    </row>
    <row r="157" spans="1:6" x14ac:dyDescent="0.2">
      <c r="A157" s="1186" t="s">
        <v>17</v>
      </c>
      <c r="B157" s="1186" t="s">
        <v>45</v>
      </c>
      <c r="C157" s="1186">
        <v>223</v>
      </c>
      <c r="D157" s="1186"/>
      <c r="E157" s="1186">
        <v>36</v>
      </c>
      <c r="F157" s="1186">
        <v>83933</v>
      </c>
    </row>
    <row r="158" spans="1:6" x14ac:dyDescent="0.2">
      <c r="A158" s="1186" t="s">
        <v>17</v>
      </c>
      <c r="B158" s="1186" t="s">
        <v>46</v>
      </c>
      <c r="C158" s="1186">
        <v>101</v>
      </c>
      <c r="D158" s="1186"/>
      <c r="E158" s="1186">
        <v>24</v>
      </c>
      <c r="F158" s="1186">
        <v>57097</v>
      </c>
    </row>
    <row r="159" spans="1:6" x14ac:dyDescent="0.2">
      <c r="A159" s="1186" t="s">
        <v>17</v>
      </c>
      <c r="B159" s="1186" t="s">
        <v>47</v>
      </c>
      <c r="C159" s="1186">
        <v>11</v>
      </c>
      <c r="D159" s="1186"/>
      <c r="E159" s="1186">
        <v>1</v>
      </c>
      <c r="F159" s="1186">
        <v>10852</v>
      </c>
    </row>
    <row r="160" spans="1:6" x14ac:dyDescent="0.2">
      <c r="A160" s="1186" t="s">
        <v>17</v>
      </c>
      <c r="B160" s="1186" t="s">
        <v>48</v>
      </c>
      <c r="C160" s="1186">
        <v>86</v>
      </c>
      <c r="D160" s="1186">
        <v>2</v>
      </c>
      <c r="E160" s="1186">
        <v>12</v>
      </c>
      <c r="F160" s="1186">
        <v>54385</v>
      </c>
    </row>
    <row r="161" spans="1:6" x14ac:dyDescent="0.2">
      <c r="A161" s="1186" t="s">
        <v>17</v>
      </c>
      <c r="B161" s="1186" t="s">
        <v>49</v>
      </c>
      <c r="C161" s="1186">
        <v>228</v>
      </c>
      <c r="D161" s="1186">
        <v>2</v>
      </c>
      <c r="E161" s="1186">
        <v>44</v>
      </c>
      <c r="F161" s="1186">
        <v>146110</v>
      </c>
    </row>
    <row r="162" spans="1:6" x14ac:dyDescent="0.2">
      <c r="A162" s="1186" t="s">
        <v>17</v>
      </c>
      <c r="B162" s="1186" t="s">
        <v>50</v>
      </c>
      <c r="C162" s="1186">
        <v>66</v>
      </c>
      <c r="D162" s="1186"/>
      <c r="E162" s="1186">
        <v>8</v>
      </c>
      <c r="F162" s="1186">
        <v>39965</v>
      </c>
    </row>
    <row r="163" spans="1:6" x14ac:dyDescent="0.2">
      <c r="A163" s="1186" t="s">
        <v>17</v>
      </c>
      <c r="B163" s="1186" t="s">
        <v>51</v>
      </c>
      <c r="C163" s="1186">
        <v>105</v>
      </c>
      <c r="D163" s="1186"/>
      <c r="E163" s="1186">
        <v>12</v>
      </c>
      <c r="F163" s="1186">
        <v>44880</v>
      </c>
    </row>
    <row r="164" spans="1:6" x14ac:dyDescent="0.2">
      <c r="A164" s="1186" t="s">
        <v>17</v>
      </c>
      <c r="B164" s="1186" t="s">
        <v>52</v>
      </c>
      <c r="C164" s="1186">
        <v>164</v>
      </c>
      <c r="D164" s="1186">
        <v>1</v>
      </c>
      <c r="E164" s="1186">
        <v>21</v>
      </c>
      <c r="F164" s="1186">
        <v>76473</v>
      </c>
    </row>
    <row r="165" spans="1:6" x14ac:dyDescent="0.2">
      <c r="A165" s="1186" t="s">
        <v>133</v>
      </c>
      <c r="B165" s="1186" t="s">
        <v>23</v>
      </c>
      <c r="C165" s="1186">
        <v>274</v>
      </c>
      <c r="D165" s="1186">
        <v>1</v>
      </c>
      <c r="E165" s="1186">
        <v>49</v>
      </c>
      <c r="F165" s="1186">
        <v>113508</v>
      </c>
    </row>
    <row r="166" spans="1:6" x14ac:dyDescent="0.2">
      <c r="A166" s="1186" t="s">
        <v>133</v>
      </c>
      <c r="B166" s="1186" t="s">
        <v>24</v>
      </c>
      <c r="C166" s="1186">
        <v>191</v>
      </c>
      <c r="D166" s="1186">
        <v>2</v>
      </c>
      <c r="E166" s="1186">
        <v>30</v>
      </c>
      <c r="F166" s="1186">
        <v>114086</v>
      </c>
    </row>
    <row r="167" spans="1:6" x14ac:dyDescent="0.2">
      <c r="A167" s="1186" t="s">
        <v>133</v>
      </c>
      <c r="B167" s="1186" t="s">
        <v>25</v>
      </c>
      <c r="C167" s="1186">
        <v>103</v>
      </c>
      <c r="D167" s="1186">
        <v>1</v>
      </c>
      <c r="E167" s="1186">
        <v>23</v>
      </c>
      <c r="F167" s="1186">
        <v>55267</v>
      </c>
    </row>
    <row r="168" spans="1:6" x14ac:dyDescent="0.2">
      <c r="A168" s="1186" t="s">
        <v>133</v>
      </c>
      <c r="B168" s="1186" t="s">
        <v>26</v>
      </c>
      <c r="C168" s="1186">
        <v>81</v>
      </c>
      <c r="D168" s="1186"/>
      <c r="E168" s="1186">
        <v>11</v>
      </c>
      <c r="F168" s="1186">
        <v>47500</v>
      </c>
    </row>
    <row r="169" spans="1:6" x14ac:dyDescent="0.2">
      <c r="A169" s="1186" t="s">
        <v>133</v>
      </c>
      <c r="B169" s="1186" t="s">
        <v>619</v>
      </c>
      <c r="C169" s="1186">
        <v>563</v>
      </c>
      <c r="D169" s="1186">
        <v>3</v>
      </c>
      <c r="E169" s="1186">
        <v>102</v>
      </c>
      <c r="F169" s="1186">
        <v>239525</v>
      </c>
    </row>
    <row r="170" spans="1:6" x14ac:dyDescent="0.2">
      <c r="A170" s="1186" t="s">
        <v>133</v>
      </c>
      <c r="B170" s="1186" t="s">
        <v>27</v>
      </c>
      <c r="C170" s="1186">
        <v>43</v>
      </c>
      <c r="D170" s="1186"/>
      <c r="E170" s="1186">
        <v>8</v>
      </c>
      <c r="F170" s="1186">
        <v>23995</v>
      </c>
    </row>
    <row r="171" spans="1:6" x14ac:dyDescent="0.2">
      <c r="A171" s="1186" t="s">
        <v>133</v>
      </c>
      <c r="B171" s="1186" t="s">
        <v>28</v>
      </c>
      <c r="C171" s="1186">
        <v>93</v>
      </c>
      <c r="D171" s="1186">
        <v>3</v>
      </c>
      <c r="E171" s="1186">
        <v>9</v>
      </c>
      <c r="F171" s="1186">
        <v>73895</v>
      </c>
    </row>
    <row r="172" spans="1:6" x14ac:dyDescent="0.2">
      <c r="A172" s="1186" t="s">
        <v>133</v>
      </c>
      <c r="B172" s="1186" t="s">
        <v>29</v>
      </c>
      <c r="C172" s="1186">
        <v>180</v>
      </c>
      <c r="D172" s="1186">
        <v>1</v>
      </c>
      <c r="E172" s="1186">
        <v>35</v>
      </c>
      <c r="F172" s="1186">
        <v>73575</v>
      </c>
    </row>
    <row r="173" spans="1:6" x14ac:dyDescent="0.2">
      <c r="A173" s="1186" t="s">
        <v>133</v>
      </c>
      <c r="B173" s="1186" t="s">
        <v>30</v>
      </c>
      <c r="C173" s="1186">
        <v>101</v>
      </c>
      <c r="D173" s="1186"/>
      <c r="E173" s="1186">
        <v>21</v>
      </c>
      <c r="F173" s="1186">
        <v>57324</v>
      </c>
    </row>
    <row r="174" spans="1:6" x14ac:dyDescent="0.2">
      <c r="A174" s="1186" t="s">
        <v>133</v>
      </c>
      <c r="B174" s="1186" t="s">
        <v>31</v>
      </c>
      <c r="C174" s="1186">
        <v>69</v>
      </c>
      <c r="D174" s="1186"/>
      <c r="E174" s="1186">
        <v>7</v>
      </c>
      <c r="F174" s="1186">
        <v>45281</v>
      </c>
    </row>
    <row r="175" spans="1:6" x14ac:dyDescent="0.2">
      <c r="A175" s="1186" t="s">
        <v>133</v>
      </c>
      <c r="B175" s="1186" t="s">
        <v>32</v>
      </c>
      <c r="C175" s="1186">
        <v>72</v>
      </c>
      <c r="D175" s="1186"/>
      <c r="E175" s="1186">
        <v>9</v>
      </c>
      <c r="F175" s="1186">
        <v>45968</v>
      </c>
    </row>
    <row r="176" spans="1:6" x14ac:dyDescent="0.2">
      <c r="A176" s="1186" t="s">
        <v>133</v>
      </c>
      <c r="B176" s="1186" t="s">
        <v>33</v>
      </c>
      <c r="C176" s="1186">
        <v>66</v>
      </c>
      <c r="D176" s="1186"/>
      <c r="E176" s="1186">
        <v>7</v>
      </c>
      <c r="F176" s="1186">
        <v>37852</v>
      </c>
    </row>
    <row r="177" spans="1:6" x14ac:dyDescent="0.2">
      <c r="A177" s="1186" t="s">
        <v>133</v>
      </c>
      <c r="B177" s="1186" t="s">
        <v>34</v>
      </c>
      <c r="C177" s="1186">
        <v>111</v>
      </c>
      <c r="D177" s="1186"/>
      <c r="E177" s="1186">
        <v>22</v>
      </c>
      <c r="F177" s="1186">
        <v>72624</v>
      </c>
    </row>
    <row r="178" spans="1:6" x14ac:dyDescent="0.2">
      <c r="A178" s="1186" t="s">
        <v>133</v>
      </c>
      <c r="B178" s="1186" t="s">
        <v>35</v>
      </c>
      <c r="C178" s="1186">
        <v>231</v>
      </c>
      <c r="D178" s="1186">
        <v>2</v>
      </c>
      <c r="E178" s="1186">
        <v>44</v>
      </c>
      <c r="F178" s="1186">
        <v>172425</v>
      </c>
    </row>
    <row r="179" spans="1:6" x14ac:dyDescent="0.2">
      <c r="A179" s="1186" t="s">
        <v>133</v>
      </c>
      <c r="B179" s="1186" t="s">
        <v>36</v>
      </c>
      <c r="C179" s="1186">
        <v>836</v>
      </c>
      <c r="D179" s="1186">
        <v>1</v>
      </c>
      <c r="E179" s="1186">
        <v>114</v>
      </c>
      <c r="F179" s="1186">
        <v>301891</v>
      </c>
    </row>
    <row r="180" spans="1:6" x14ac:dyDescent="0.2">
      <c r="A180" s="1186" t="s">
        <v>133</v>
      </c>
      <c r="B180" s="1186" t="s">
        <v>37</v>
      </c>
      <c r="C180" s="1186">
        <v>160</v>
      </c>
      <c r="D180" s="1186">
        <v>4</v>
      </c>
      <c r="E180" s="1186">
        <v>51</v>
      </c>
      <c r="F180" s="1186">
        <v>114603</v>
      </c>
    </row>
    <row r="181" spans="1:6" x14ac:dyDescent="0.2">
      <c r="A181" s="1186" t="s">
        <v>133</v>
      </c>
      <c r="B181" s="1186" t="s">
        <v>38</v>
      </c>
      <c r="C181" s="1186">
        <v>93</v>
      </c>
      <c r="D181" s="1186"/>
      <c r="E181" s="1186">
        <v>22</v>
      </c>
      <c r="F181" s="1186">
        <v>38699</v>
      </c>
    </row>
    <row r="182" spans="1:6" x14ac:dyDescent="0.2">
      <c r="A182" s="1186" t="s">
        <v>133</v>
      </c>
      <c r="B182" s="1186" t="s">
        <v>39</v>
      </c>
      <c r="C182" s="1186">
        <v>56</v>
      </c>
      <c r="D182" s="1186">
        <v>1</v>
      </c>
      <c r="E182" s="1186">
        <v>10</v>
      </c>
      <c r="F182" s="1186">
        <v>38159</v>
      </c>
    </row>
    <row r="183" spans="1:6" x14ac:dyDescent="0.2">
      <c r="A183" s="1186" t="s">
        <v>133</v>
      </c>
      <c r="B183" s="1186" t="s">
        <v>40</v>
      </c>
      <c r="C183" s="1186">
        <v>53</v>
      </c>
      <c r="D183" s="1186">
        <v>1</v>
      </c>
      <c r="E183" s="1186">
        <v>7</v>
      </c>
      <c r="F183" s="1186">
        <v>43788</v>
      </c>
    </row>
    <row r="184" spans="1:6" x14ac:dyDescent="0.2">
      <c r="A184" s="1186" t="s">
        <v>133</v>
      </c>
      <c r="B184" s="1186" t="s">
        <v>295</v>
      </c>
      <c r="C184" s="1186">
        <v>22</v>
      </c>
      <c r="D184" s="1186"/>
      <c r="E184" s="1186">
        <v>6</v>
      </c>
      <c r="F184" s="1186">
        <v>14520</v>
      </c>
    </row>
    <row r="185" spans="1:6" x14ac:dyDescent="0.2">
      <c r="A185" s="1186" t="s">
        <v>133</v>
      </c>
      <c r="B185" s="1186" t="s">
        <v>41</v>
      </c>
      <c r="C185" s="1186">
        <v>154</v>
      </c>
      <c r="D185" s="1186"/>
      <c r="E185" s="1186">
        <v>35</v>
      </c>
      <c r="F185" s="1186">
        <v>67204</v>
      </c>
    </row>
    <row r="186" spans="1:6" x14ac:dyDescent="0.2">
      <c r="A186" s="1186" t="s">
        <v>133</v>
      </c>
      <c r="B186" s="1186" t="s">
        <v>42</v>
      </c>
      <c r="C186" s="1186">
        <v>286</v>
      </c>
      <c r="D186" s="1186">
        <v>2</v>
      </c>
      <c r="E186" s="1186">
        <v>46</v>
      </c>
      <c r="F186" s="1186">
        <v>151424</v>
      </c>
    </row>
    <row r="187" spans="1:6" x14ac:dyDescent="0.2">
      <c r="A187" s="1186" t="s">
        <v>133</v>
      </c>
      <c r="B187" s="1186" t="s">
        <v>43</v>
      </c>
      <c r="C187" s="1186">
        <v>12</v>
      </c>
      <c r="D187" s="1186"/>
      <c r="E187" s="1186">
        <v>1</v>
      </c>
      <c r="F187" s="1186">
        <v>10816</v>
      </c>
    </row>
    <row r="188" spans="1:6" x14ac:dyDescent="0.2">
      <c r="A188" s="1186" t="s">
        <v>133</v>
      </c>
      <c r="B188" s="1186" t="s">
        <v>44</v>
      </c>
      <c r="C188" s="1186">
        <v>124</v>
      </c>
      <c r="D188" s="1186"/>
      <c r="E188" s="1186">
        <v>22</v>
      </c>
      <c r="F188" s="1186">
        <v>70312</v>
      </c>
    </row>
    <row r="189" spans="1:6" x14ac:dyDescent="0.2">
      <c r="A189" s="1186" t="s">
        <v>133</v>
      </c>
      <c r="B189" s="1186" t="s">
        <v>45</v>
      </c>
      <c r="C189" s="1186">
        <v>221</v>
      </c>
      <c r="D189" s="1186">
        <v>1</v>
      </c>
      <c r="E189" s="1186">
        <v>25</v>
      </c>
      <c r="F189" s="1186">
        <v>84442</v>
      </c>
    </row>
    <row r="190" spans="1:6" x14ac:dyDescent="0.2">
      <c r="A190" s="1186" t="s">
        <v>133</v>
      </c>
      <c r="B190" s="1186" t="s">
        <v>46</v>
      </c>
      <c r="C190" s="1186">
        <v>80</v>
      </c>
      <c r="D190" s="1186"/>
      <c r="E190" s="1186">
        <v>13</v>
      </c>
      <c r="F190" s="1186">
        <v>57274</v>
      </c>
    </row>
    <row r="191" spans="1:6" x14ac:dyDescent="0.2">
      <c r="A191" s="1186" t="s">
        <v>133</v>
      </c>
      <c r="B191" s="1186" t="s">
        <v>47</v>
      </c>
      <c r="C191" s="1186">
        <v>11</v>
      </c>
      <c r="D191" s="1186"/>
      <c r="E191" s="1186">
        <v>1</v>
      </c>
      <c r="F191" s="1186">
        <v>10950</v>
      </c>
    </row>
    <row r="192" spans="1:6" x14ac:dyDescent="0.2">
      <c r="A192" s="1186" t="s">
        <v>133</v>
      </c>
      <c r="B192" s="1186" t="s">
        <v>48</v>
      </c>
      <c r="C192" s="1186">
        <v>78</v>
      </c>
      <c r="D192" s="1186">
        <v>2</v>
      </c>
      <c r="E192" s="1186">
        <v>13</v>
      </c>
      <c r="F192" s="1186">
        <v>54489</v>
      </c>
    </row>
    <row r="193" spans="1:6" x14ac:dyDescent="0.2">
      <c r="A193" s="1186" t="s">
        <v>133</v>
      </c>
      <c r="B193" s="1186" t="s">
        <v>49</v>
      </c>
      <c r="C193" s="1186">
        <v>267</v>
      </c>
      <c r="D193" s="1186">
        <v>1</v>
      </c>
      <c r="E193" s="1186">
        <v>44</v>
      </c>
      <c r="F193" s="1186">
        <v>146925</v>
      </c>
    </row>
    <row r="194" spans="1:6" x14ac:dyDescent="0.2">
      <c r="A194" s="1186" t="s">
        <v>133</v>
      </c>
      <c r="B194" s="1186" t="s">
        <v>50</v>
      </c>
      <c r="C194" s="1186">
        <v>83</v>
      </c>
      <c r="D194" s="1186">
        <v>1</v>
      </c>
      <c r="E194" s="1186">
        <v>10</v>
      </c>
      <c r="F194" s="1186">
        <v>40320</v>
      </c>
    </row>
    <row r="195" spans="1:6" x14ac:dyDescent="0.2">
      <c r="A195" s="1186" t="s">
        <v>133</v>
      </c>
      <c r="B195" s="1186" t="s">
        <v>51</v>
      </c>
      <c r="C195" s="1186">
        <v>83</v>
      </c>
      <c r="D195" s="1186"/>
      <c r="E195" s="1186">
        <v>5</v>
      </c>
      <c r="F195" s="1186">
        <v>44734</v>
      </c>
    </row>
    <row r="196" spans="1:6" x14ac:dyDescent="0.2">
      <c r="A196" s="1186" t="s">
        <v>133</v>
      </c>
      <c r="B196" s="1186" t="s">
        <v>52</v>
      </c>
      <c r="C196" s="1186">
        <v>156</v>
      </c>
      <c r="D196" s="1186"/>
      <c r="E196" s="1186">
        <v>24</v>
      </c>
      <c r="F196" s="1186">
        <v>77186</v>
      </c>
    </row>
    <row r="197" spans="1:6" x14ac:dyDescent="0.2">
      <c r="A197" s="1186" t="s">
        <v>144</v>
      </c>
      <c r="B197" s="1186" t="s">
        <v>23</v>
      </c>
      <c r="C197" s="1186">
        <v>299</v>
      </c>
      <c r="D197" s="1186">
        <v>1</v>
      </c>
      <c r="E197" s="1186">
        <v>50</v>
      </c>
      <c r="F197" s="1186">
        <v>114234</v>
      </c>
    </row>
    <row r="198" spans="1:6" x14ac:dyDescent="0.2">
      <c r="A198" s="1186" t="s">
        <v>144</v>
      </c>
      <c r="B198" s="1186" t="s">
        <v>24</v>
      </c>
      <c r="C198" s="1186">
        <v>180</v>
      </c>
      <c r="D198" s="1186"/>
      <c r="E198" s="1186">
        <v>18</v>
      </c>
      <c r="F198" s="1186">
        <v>115223</v>
      </c>
    </row>
    <row r="199" spans="1:6" x14ac:dyDescent="0.2">
      <c r="A199" s="1186" t="s">
        <v>144</v>
      </c>
      <c r="B199" s="1186" t="s">
        <v>25</v>
      </c>
      <c r="C199" s="1186">
        <v>88</v>
      </c>
      <c r="D199" s="1186"/>
      <c r="E199" s="1186">
        <v>28</v>
      </c>
      <c r="F199" s="1186">
        <v>55619</v>
      </c>
    </row>
    <row r="200" spans="1:6" x14ac:dyDescent="0.2">
      <c r="A200" s="1186" t="s">
        <v>144</v>
      </c>
      <c r="B200" s="1186" t="s">
        <v>26</v>
      </c>
      <c r="C200" s="1186">
        <v>60</v>
      </c>
      <c r="D200" s="1186"/>
      <c r="E200" s="1186">
        <v>7</v>
      </c>
      <c r="F200" s="1186">
        <v>47712</v>
      </c>
    </row>
    <row r="201" spans="1:6" x14ac:dyDescent="0.2">
      <c r="A201" s="1186" t="s">
        <v>144</v>
      </c>
      <c r="B201" s="1186" t="s">
        <v>619</v>
      </c>
      <c r="C201" s="1186">
        <v>545</v>
      </c>
      <c r="D201" s="1186">
        <v>4</v>
      </c>
      <c r="E201" s="1186">
        <v>85</v>
      </c>
      <c r="F201" s="1186">
        <v>241433</v>
      </c>
    </row>
    <row r="202" spans="1:6" x14ac:dyDescent="0.2">
      <c r="A202" s="1186" t="s">
        <v>144</v>
      </c>
      <c r="B202" s="1186" t="s">
        <v>27</v>
      </c>
      <c r="C202" s="1186">
        <v>71</v>
      </c>
      <c r="D202" s="1186"/>
      <c r="E202" s="1186">
        <v>10</v>
      </c>
      <c r="F202" s="1186">
        <v>24114</v>
      </c>
    </row>
    <row r="203" spans="1:6" x14ac:dyDescent="0.2">
      <c r="A203" s="1186" t="s">
        <v>144</v>
      </c>
      <c r="B203" s="1186" t="s">
        <v>28</v>
      </c>
      <c r="C203" s="1186">
        <v>82</v>
      </c>
      <c r="D203" s="1186">
        <v>1</v>
      </c>
      <c r="E203" s="1186">
        <v>6</v>
      </c>
      <c r="F203" s="1186">
        <v>74190</v>
      </c>
    </row>
    <row r="204" spans="1:6" x14ac:dyDescent="0.2">
      <c r="A204" s="1186" t="s">
        <v>144</v>
      </c>
      <c r="B204" s="1186" t="s">
        <v>29</v>
      </c>
      <c r="C204" s="1186">
        <v>227</v>
      </c>
      <c r="D204" s="1186">
        <v>2</v>
      </c>
      <c r="E204" s="1186">
        <v>71</v>
      </c>
      <c r="F204" s="1186">
        <v>73689</v>
      </c>
    </row>
    <row r="205" spans="1:6" x14ac:dyDescent="0.2">
      <c r="A205" s="1186" t="s">
        <v>144</v>
      </c>
      <c r="B205" s="1186" t="s">
        <v>30</v>
      </c>
      <c r="C205" s="1186">
        <v>92</v>
      </c>
      <c r="D205" s="1186"/>
      <c r="E205" s="1186">
        <v>28</v>
      </c>
      <c r="F205" s="1186">
        <v>57654</v>
      </c>
    </row>
    <row r="206" spans="1:6" x14ac:dyDescent="0.2">
      <c r="A206" s="1186" t="s">
        <v>144</v>
      </c>
      <c r="B206" s="1186" t="s">
        <v>31</v>
      </c>
      <c r="C206" s="1186">
        <v>71</v>
      </c>
      <c r="D206" s="1186"/>
      <c r="E206" s="1186">
        <v>12</v>
      </c>
      <c r="F206" s="1186">
        <v>45678</v>
      </c>
    </row>
    <row r="207" spans="1:6" x14ac:dyDescent="0.2">
      <c r="A207" s="1186" t="s">
        <v>144</v>
      </c>
      <c r="B207" s="1186" t="s">
        <v>32</v>
      </c>
      <c r="C207" s="1186">
        <v>80</v>
      </c>
      <c r="D207" s="1186">
        <v>1</v>
      </c>
      <c r="E207" s="1186">
        <v>6</v>
      </c>
      <c r="F207" s="1186">
        <v>46332</v>
      </c>
    </row>
    <row r="208" spans="1:6" x14ac:dyDescent="0.2">
      <c r="A208" s="1186" t="s">
        <v>144</v>
      </c>
      <c r="B208" s="1186" t="s">
        <v>33</v>
      </c>
      <c r="C208" s="1186">
        <v>63</v>
      </c>
      <c r="D208" s="1186">
        <v>1</v>
      </c>
      <c r="E208" s="1186">
        <v>11</v>
      </c>
      <c r="F208" s="1186">
        <v>38061</v>
      </c>
    </row>
    <row r="209" spans="1:6" x14ac:dyDescent="0.2">
      <c r="A209" s="1186" t="s">
        <v>144</v>
      </c>
      <c r="B209" s="1186" t="s">
        <v>34</v>
      </c>
      <c r="C209" s="1186">
        <v>123</v>
      </c>
      <c r="D209" s="1186">
        <v>2</v>
      </c>
      <c r="E209" s="1186">
        <v>23</v>
      </c>
      <c r="F209" s="1186">
        <v>73290</v>
      </c>
    </row>
    <row r="210" spans="1:6" x14ac:dyDescent="0.2">
      <c r="A210" s="1186" t="s">
        <v>144</v>
      </c>
      <c r="B210" s="1186" t="s">
        <v>35</v>
      </c>
      <c r="C210" s="1186">
        <v>254</v>
      </c>
      <c r="D210" s="1186">
        <v>1</v>
      </c>
      <c r="E210" s="1186">
        <v>26</v>
      </c>
      <c r="F210" s="1186">
        <v>173366</v>
      </c>
    </row>
    <row r="211" spans="1:6" x14ac:dyDescent="0.2">
      <c r="A211" s="1186" t="s">
        <v>144</v>
      </c>
      <c r="B211" s="1186" t="s">
        <v>36</v>
      </c>
      <c r="C211" s="1186">
        <v>833</v>
      </c>
      <c r="D211" s="1186">
        <v>3</v>
      </c>
      <c r="E211" s="1186">
        <v>155</v>
      </c>
      <c r="F211" s="1186">
        <v>304013</v>
      </c>
    </row>
    <row r="212" spans="1:6" x14ac:dyDescent="0.2">
      <c r="A212" s="1186" t="s">
        <v>144</v>
      </c>
      <c r="B212" s="1186" t="s">
        <v>37</v>
      </c>
      <c r="C212" s="1186">
        <v>120</v>
      </c>
      <c r="D212" s="1186">
        <v>5</v>
      </c>
      <c r="E212" s="1186">
        <v>34</v>
      </c>
      <c r="F212" s="1186">
        <v>115538</v>
      </c>
    </row>
    <row r="213" spans="1:6" x14ac:dyDescent="0.2">
      <c r="A213" s="1186" t="s">
        <v>144</v>
      </c>
      <c r="B213" s="1186" t="s">
        <v>38</v>
      </c>
      <c r="C213" s="1186">
        <v>111</v>
      </c>
      <c r="D213" s="1186">
        <v>1</v>
      </c>
      <c r="E213" s="1186">
        <v>35</v>
      </c>
      <c r="F213" s="1186">
        <v>38787</v>
      </c>
    </row>
    <row r="214" spans="1:6" x14ac:dyDescent="0.2">
      <c r="A214" s="1186" t="s">
        <v>144</v>
      </c>
      <c r="B214" s="1186" t="s">
        <v>39</v>
      </c>
      <c r="C214" s="1186">
        <v>60</v>
      </c>
      <c r="D214" s="1186"/>
      <c r="E214" s="1186">
        <v>9</v>
      </c>
      <c r="F214" s="1186">
        <v>38675</v>
      </c>
    </row>
    <row r="215" spans="1:6" x14ac:dyDescent="0.2">
      <c r="A215" s="1186" t="s">
        <v>144</v>
      </c>
      <c r="B215" s="1186" t="s">
        <v>40</v>
      </c>
      <c r="C215" s="1186">
        <v>47</v>
      </c>
      <c r="D215" s="1186"/>
      <c r="E215" s="1186">
        <v>11</v>
      </c>
      <c r="F215" s="1186">
        <v>44096</v>
      </c>
    </row>
    <row r="216" spans="1:6" x14ac:dyDescent="0.2">
      <c r="A216" s="1186" t="s">
        <v>144</v>
      </c>
      <c r="B216" s="1186" t="s">
        <v>295</v>
      </c>
      <c r="C216" s="1186">
        <v>20</v>
      </c>
      <c r="D216" s="1186"/>
      <c r="E216" s="1186">
        <v>7</v>
      </c>
      <c r="F216" s="1186">
        <v>14577</v>
      </c>
    </row>
    <row r="217" spans="1:6" x14ac:dyDescent="0.2">
      <c r="A217" s="1186" t="s">
        <v>144</v>
      </c>
      <c r="B217" s="1186" t="s">
        <v>41</v>
      </c>
      <c r="C217" s="1186">
        <v>160</v>
      </c>
      <c r="D217" s="1186">
        <v>1</v>
      </c>
      <c r="E217" s="1186">
        <v>37</v>
      </c>
      <c r="F217" s="1186">
        <v>67590</v>
      </c>
    </row>
    <row r="218" spans="1:6" x14ac:dyDescent="0.2">
      <c r="A218" s="1186" t="s">
        <v>144</v>
      </c>
      <c r="B218" s="1186" t="s">
        <v>42</v>
      </c>
      <c r="C218" s="1186">
        <v>294</v>
      </c>
      <c r="D218" s="1186">
        <v>4</v>
      </c>
      <c r="E218" s="1186">
        <v>61</v>
      </c>
      <c r="F218" s="1186">
        <v>152293</v>
      </c>
    </row>
    <row r="219" spans="1:6" x14ac:dyDescent="0.2">
      <c r="A219" s="1186" t="s">
        <v>144</v>
      </c>
      <c r="B219" s="1186" t="s">
        <v>43</v>
      </c>
      <c r="C219" s="1186">
        <v>11</v>
      </c>
      <c r="D219" s="1186"/>
      <c r="E219" s="1186">
        <v>2</v>
      </c>
      <c r="F219" s="1186">
        <v>10924</v>
      </c>
    </row>
    <row r="220" spans="1:6" x14ac:dyDescent="0.2">
      <c r="A220" s="1186" t="s">
        <v>144</v>
      </c>
      <c r="B220" s="1186" t="s">
        <v>44</v>
      </c>
      <c r="C220" s="1186">
        <v>119</v>
      </c>
      <c r="D220" s="1186"/>
      <c r="E220" s="1186">
        <v>23</v>
      </c>
      <c r="F220" s="1186">
        <v>70828</v>
      </c>
    </row>
    <row r="221" spans="1:6" x14ac:dyDescent="0.2">
      <c r="A221" s="1186" t="s">
        <v>144</v>
      </c>
      <c r="B221" s="1186" t="s">
        <v>45</v>
      </c>
      <c r="C221" s="1186">
        <v>207</v>
      </c>
      <c r="D221" s="1186"/>
      <c r="E221" s="1186">
        <v>30</v>
      </c>
      <c r="F221" s="1186">
        <v>84997</v>
      </c>
    </row>
    <row r="222" spans="1:6" x14ac:dyDescent="0.2">
      <c r="A222" s="1186" t="s">
        <v>144</v>
      </c>
      <c r="B222" s="1186" t="s">
        <v>46</v>
      </c>
      <c r="C222" s="1186">
        <v>104</v>
      </c>
      <c r="D222" s="1186">
        <v>1</v>
      </c>
      <c r="E222" s="1186">
        <v>13</v>
      </c>
      <c r="F222" s="1186">
        <v>57628</v>
      </c>
    </row>
    <row r="223" spans="1:6" x14ac:dyDescent="0.2">
      <c r="A223" s="1186" t="s">
        <v>144</v>
      </c>
      <c r="B223" s="1186" t="s">
        <v>47</v>
      </c>
      <c r="C223" s="1186">
        <v>17</v>
      </c>
      <c r="D223" s="1186"/>
      <c r="E223" s="1186">
        <v>2</v>
      </c>
      <c r="F223" s="1186">
        <v>11021</v>
      </c>
    </row>
    <row r="224" spans="1:6" x14ac:dyDescent="0.2">
      <c r="A224" s="1186" t="s">
        <v>144</v>
      </c>
      <c r="B224" s="1186" t="s">
        <v>48</v>
      </c>
      <c r="C224" s="1186">
        <v>89</v>
      </c>
      <c r="D224" s="1186"/>
      <c r="E224" s="1186">
        <v>20</v>
      </c>
      <c r="F224" s="1186">
        <v>54635</v>
      </c>
    </row>
    <row r="225" spans="1:6" x14ac:dyDescent="0.2">
      <c r="A225" s="1186" t="s">
        <v>144</v>
      </c>
      <c r="B225" s="1186" t="s">
        <v>49</v>
      </c>
      <c r="C225" s="1186">
        <v>259</v>
      </c>
      <c r="D225" s="1186">
        <v>4</v>
      </c>
      <c r="E225" s="1186">
        <v>50</v>
      </c>
      <c r="F225" s="1186">
        <v>147849</v>
      </c>
    </row>
    <row r="226" spans="1:6" x14ac:dyDescent="0.2">
      <c r="A226" s="1186" t="s">
        <v>144</v>
      </c>
      <c r="B226" s="1186" t="s">
        <v>50</v>
      </c>
      <c r="C226" s="1186">
        <v>107</v>
      </c>
      <c r="D226" s="1186">
        <v>1</v>
      </c>
      <c r="E226" s="1186">
        <v>8</v>
      </c>
      <c r="F226" s="1186">
        <v>40646</v>
      </c>
    </row>
    <row r="227" spans="1:6" x14ac:dyDescent="0.2">
      <c r="A227" s="1186" t="s">
        <v>144</v>
      </c>
      <c r="B227" s="1186" t="s">
        <v>51</v>
      </c>
      <c r="C227" s="1186">
        <v>144</v>
      </c>
      <c r="D227" s="1186"/>
      <c r="E227" s="1186">
        <v>25</v>
      </c>
      <c r="F227" s="1186">
        <v>45056</v>
      </c>
    </row>
    <row r="228" spans="1:6" x14ac:dyDescent="0.2">
      <c r="A228" s="1186" t="s">
        <v>144</v>
      </c>
      <c r="B228" s="1186" t="s">
        <v>52</v>
      </c>
      <c r="C228" s="1186">
        <v>131</v>
      </c>
      <c r="D228" s="1186"/>
      <c r="E228" s="1186">
        <v>22</v>
      </c>
      <c r="F228" s="1186">
        <v>77834</v>
      </c>
    </row>
    <row r="229" spans="1:6" x14ac:dyDescent="0.2">
      <c r="A229" s="1186" t="s">
        <v>282</v>
      </c>
      <c r="B229" s="1186" t="s">
        <v>23</v>
      </c>
      <c r="C229" s="1186">
        <v>300</v>
      </c>
      <c r="D229" s="1186">
        <v>2</v>
      </c>
      <c r="E229" s="1186">
        <v>29</v>
      </c>
      <c r="F229" s="1186">
        <v>115080</v>
      </c>
    </row>
    <row r="230" spans="1:6" x14ac:dyDescent="0.2">
      <c r="A230" s="1186" t="s">
        <v>282</v>
      </c>
      <c r="B230" s="1186" t="s">
        <v>24</v>
      </c>
      <c r="C230" s="1186">
        <v>170</v>
      </c>
      <c r="D230" s="1186">
        <v>2</v>
      </c>
      <c r="E230" s="1186">
        <v>17</v>
      </c>
      <c r="F230" s="1186">
        <v>116421</v>
      </c>
    </row>
    <row r="231" spans="1:6" x14ac:dyDescent="0.2">
      <c r="A231" s="1186" t="s">
        <v>282</v>
      </c>
      <c r="B231" s="1186" t="s">
        <v>25</v>
      </c>
      <c r="C231" s="1186">
        <v>93</v>
      </c>
      <c r="D231" s="1186"/>
      <c r="E231" s="1186">
        <v>18</v>
      </c>
      <c r="F231" s="1186">
        <v>55872</v>
      </c>
    </row>
    <row r="232" spans="1:6" x14ac:dyDescent="0.2">
      <c r="A232" s="1186" t="s">
        <v>282</v>
      </c>
      <c r="B232" s="1186" t="s">
        <v>26</v>
      </c>
      <c r="C232" s="1186">
        <v>77</v>
      </c>
      <c r="D232" s="1186"/>
      <c r="E232" s="1186">
        <v>8</v>
      </c>
      <c r="F232" s="1186">
        <v>47780</v>
      </c>
    </row>
    <row r="233" spans="1:6" x14ac:dyDescent="0.2">
      <c r="A233" s="1186" t="s">
        <v>282</v>
      </c>
      <c r="B233" s="1186" t="s">
        <v>619</v>
      </c>
      <c r="C233" s="1186">
        <v>490</v>
      </c>
      <c r="D233" s="1186">
        <v>3</v>
      </c>
      <c r="E233" s="1186">
        <v>106</v>
      </c>
      <c r="F233" s="1186">
        <v>244131</v>
      </c>
    </row>
    <row r="234" spans="1:6" x14ac:dyDescent="0.2">
      <c r="A234" s="1186" t="s">
        <v>282</v>
      </c>
      <c r="B234" s="1186" t="s">
        <v>27</v>
      </c>
      <c r="C234" s="1186">
        <v>67</v>
      </c>
      <c r="D234" s="1186"/>
      <c r="E234" s="1186">
        <v>20</v>
      </c>
      <c r="F234" s="1186">
        <v>24221</v>
      </c>
    </row>
    <row r="235" spans="1:6" x14ac:dyDescent="0.2">
      <c r="A235" s="1186" t="s">
        <v>282</v>
      </c>
      <c r="B235" s="1186" t="s">
        <v>28</v>
      </c>
      <c r="C235" s="1186">
        <v>105</v>
      </c>
      <c r="D235" s="1186"/>
      <c r="E235" s="1186">
        <v>7</v>
      </c>
      <c r="F235" s="1186">
        <v>74453</v>
      </c>
    </row>
    <row r="236" spans="1:6" x14ac:dyDescent="0.2">
      <c r="A236" s="1186" t="s">
        <v>282</v>
      </c>
      <c r="B236" s="1186" t="s">
        <v>29</v>
      </c>
      <c r="C236" s="1186">
        <v>225</v>
      </c>
      <c r="D236" s="1186"/>
      <c r="E236" s="1186">
        <v>46</v>
      </c>
      <c r="F236" s="1186">
        <v>74026</v>
      </c>
    </row>
    <row r="237" spans="1:6" x14ac:dyDescent="0.2">
      <c r="A237" s="1186" t="s">
        <v>282</v>
      </c>
      <c r="B237" s="1186" t="s">
        <v>30</v>
      </c>
      <c r="C237" s="1186">
        <v>138</v>
      </c>
      <c r="D237" s="1186">
        <v>1</v>
      </c>
      <c r="E237" s="1186">
        <v>25</v>
      </c>
      <c r="F237" s="1186">
        <v>57873</v>
      </c>
    </row>
    <row r="238" spans="1:6" x14ac:dyDescent="0.2">
      <c r="A238" s="1186" t="s">
        <v>282</v>
      </c>
      <c r="B238" s="1186" t="s">
        <v>31</v>
      </c>
      <c r="C238" s="1186">
        <v>75</v>
      </c>
      <c r="D238" s="1186">
        <v>1</v>
      </c>
      <c r="E238" s="1186">
        <v>21</v>
      </c>
      <c r="F238" s="1186">
        <v>46026</v>
      </c>
    </row>
    <row r="239" spans="1:6" x14ac:dyDescent="0.2">
      <c r="A239" s="1186" t="s">
        <v>282</v>
      </c>
      <c r="B239" s="1186" t="s">
        <v>32</v>
      </c>
      <c r="C239" s="1186">
        <v>52</v>
      </c>
      <c r="D239" s="1186"/>
      <c r="E239" s="1186">
        <v>6</v>
      </c>
      <c r="F239" s="1186">
        <v>46672</v>
      </c>
    </row>
    <row r="240" spans="1:6" x14ac:dyDescent="0.2">
      <c r="A240" s="1186" t="s">
        <v>282</v>
      </c>
      <c r="B240" s="1186" t="s">
        <v>33</v>
      </c>
      <c r="C240" s="1186">
        <v>57</v>
      </c>
      <c r="D240" s="1186"/>
      <c r="E240" s="1186">
        <v>6</v>
      </c>
      <c r="F240" s="1186">
        <v>38389</v>
      </c>
    </row>
    <row r="241" spans="1:6" x14ac:dyDescent="0.2">
      <c r="A241" s="1186" t="s">
        <v>282</v>
      </c>
      <c r="B241" s="1186" t="s">
        <v>34</v>
      </c>
      <c r="C241" s="1186">
        <v>107</v>
      </c>
      <c r="D241" s="1186">
        <v>1</v>
      </c>
      <c r="E241" s="1186">
        <v>30</v>
      </c>
      <c r="F241" s="1186">
        <v>73767</v>
      </c>
    </row>
    <row r="242" spans="1:6" x14ac:dyDescent="0.2">
      <c r="A242" s="1186" t="s">
        <v>282</v>
      </c>
      <c r="B242" s="1186" t="s">
        <v>35</v>
      </c>
      <c r="C242" s="1186">
        <v>246</v>
      </c>
      <c r="D242" s="1186">
        <v>4</v>
      </c>
      <c r="E242" s="1186">
        <v>58</v>
      </c>
      <c r="F242" s="1186">
        <v>174528</v>
      </c>
    </row>
    <row r="243" spans="1:6" x14ac:dyDescent="0.2">
      <c r="A243" s="1186" t="s">
        <v>282</v>
      </c>
      <c r="B243" s="1186" t="s">
        <v>36</v>
      </c>
      <c r="C243" s="1186">
        <v>811</v>
      </c>
      <c r="D243" s="1186">
        <v>5</v>
      </c>
      <c r="E243" s="1186">
        <v>167</v>
      </c>
      <c r="F243" s="1186">
        <v>306000</v>
      </c>
    </row>
    <row r="244" spans="1:6" x14ac:dyDescent="0.2">
      <c r="A244" s="1186" t="s">
        <v>282</v>
      </c>
      <c r="B244" s="1186" t="s">
        <v>37</v>
      </c>
      <c r="C244" s="1186">
        <v>147</v>
      </c>
      <c r="D244" s="1186">
        <v>2</v>
      </c>
      <c r="E244" s="1186">
        <v>41</v>
      </c>
      <c r="F244" s="1186">
        <v>116453</v>
      </c>
    </row>
    <row r="245" spans="1:6" x14ac:dyDescent="0.2">
      <c r="A245" s="1186" t="s">
        <v>282</v>
      </c>
      <c r="B245" s="1186" t="s">
        <v>38</v>
      </c>
      <c r="C245" s="1186">
        <v>119</v>
      </c>
      <c r="D245" s="1186">
        <v>1</v>
      </c>
      <c r="E245" s="1186">
        <v>36</v>
      </c>
      <c r="F245" s="1186">
        <v>38835</v>
      </c>
    </row>
    <row r="246" spans="1:6" x14ac:dyDescent="0.2">
      <c r="A246" s="1186" t="s">
        <v>282</v>
      </c>
      <c r="B246" s="1186" t="s">
        <v>39</v>
      </c>
      <c r="C246" s="1186">
        <v>74</v>
      </c>
      <c r="D246" s="1186"/>
      <c r="E246" s="1186">
        <v>12</v>
      </c>
      <c r="F246" s="1186">
        <v>39297</v>
      </c>
    </row>
    <row r="247" spans="1:6" x14ac:dyDescent="0.2">
      <c r="A247" s="1186" t="s">
        <v>282</v>
      </c>
      <c r="B247" s="1186" t="s">
        <v>40</v>
      </c>
      <c r="C247" s="1186">
        <v>51</v>
      </c>
      <c r="D247" s="1186">
        <v>1</v>
      </c>
      <c r="E247" s="1186">
        <v>14</v>
      </c>
      <c r="F247" s="1186">
        <v>44454</v>
      </c>
    </row>
    <row r="248" spans="1:6" x14ac:dyDescent="0.2">
      <c r="A248" s="1186" t="s">
        <v>282</v>
      </c>
      <c r="B248" s="1186" t="s">
        <v>295</v>
      </c>
      <c r="C248" s="1186">
        <v>22</v>
      </c>
      <c r="D248" s="1186">
        <v>3</v>
      </c>
      <c r="E248" s="1186">
        <v>8</v>
      </c>
      <c r="F248" s="1186">
        <v>14599</v>
      </c>
    </row>
    <row r="249" spans="1:6" x14ac:dyDescent="0.2">
      <c r="A249" s="1186" t="s">
        <v>282</v>
      </c>
      <c r="B249" s="1186" t="s">
        <v>41</v>
      </c>
      <c r="C249" s="1186">
        <v>156</v>
      </c>
      <c r="D249" s="1186"/>
      <c r="E249" s="1186">
        <v>23</v>
      </c>
      <c r="F249" s="1186">
        <v>67800</v>
      </c>
    </row>
    <row r="250" spans="1:6" x14ac:dyDescent="0.2">
      <c r="A250" s="1186" t="s">
        <v>282</v>
      </c>
      <c r="B250" s="1186" t="s">
        <v>42</v>
      </c>
      <c r="C250" s="1186">
        <v>290</v>
      </c>
      <c r="D250" s="1186">
        <v>1</v>
      </c>
      <c r="E250" s="1186">
        <v>60</v>
      </c>
      <c r="F250" s="1186">
        <v>153388</v>
      </c>
    </row>
    <row r="251" spans="1:6" x14ac:dyDescent="0.2">
      <c r="A251" s="1186" t="s">
        <v>282</v>
      </c>
      <c r="B251" s="1186" t="s">
        <v>43</v>
      </c>
      <c r="C251" s="1186">
        <v>7</v>
      </c>
      <c r="D251" s="1186"/>
      <c r="E251" s="1186">
        <v>3</v>
      </c>
      <c r="F251" s="1186">
        <v>11063</v>
      </c>
    </row>
    <row r="252" spans="1:6" x14ac:dyDescent="0.2">
      <c r="A252" s="1186" t="s">
        <v>282</v>
      </c>
      <c r="B252" s="1186" t="s">
        <v>44</v>
      </c>
      <c r="C252" s="1186">
        <v>137</v>
      </c>
      <c r="D252" s="1186">
        <v>1</v>
      </c>
      <c r="E252" s="1186">
        <v>20</v>
      </c>
      <c r="F252" s="1186">
        <v>71347</v>
      </c>
    </row>
    <row r="253" spans="1:6" x14ac:dyDescent="0.2">
      <c r="A253" s="1186" t="s">
        <v>282</v>
      </c>
      <c r="B253" s="1186" t="s">
        <v>45</v>
      </c>
      <c r="C253" s="1186">
        <v>178</v>
      </c>
      <c r="D253" s="1186">
        <v>1</v>
      </c>
      <c r="E253" s="1186">
        <v>22</v>
      </c>
      <c r="F253" s="1186">
        <v>85724</v>
      </c>
    </row>
    <row r="254" spans="1:6" x14ac:dyDescent="0.2">
      <c r="A254" s="1186" t="s">
        <v>282</v>
      </c>
      <c r="B254" s="1186" t="s">
        <v>46</v>
      </c>
      <c r="C254" s="1186">
        <v>87</v>
      </c>
      <c r="D254" s="1186">
        <v>1</v>
      </c>
      <c r="E254" s="1186">
        <v>25</v>
      </c>
      <c r="F254" s="1186">
        <v>57940</v>
      </c>
    </row>
    <row r="255" spans="1:6" x14ac:dyDescent="0.2">
      <c r="A255" s="1186" t="s">
        <v>282</v>
      </c>
      <c r="B255" s="1186" t="s">
        <v>47</v>
      </c>
      <c r="C255" s="1186">
        <v>7</v>
      </c>
      <c r="D255" s="1186"/>
      <c r="E255" s="1186">
        <v>1</v>
      </c>
      <c r="F255" s="1186">
        <v>11109</v>
      </c>
    </row>
    <row r="256" spans="1:6" x14ac:dyDescent="0.2">
      <c r="A256" s="1186" t="s">
        <v>282</v>
      </c>
      <c r="B256" s="1186" t="s">
        <v>48</v>
      </c>
      <c r="C256" s="1186">
        <v>82</v>
      </c>
      <c r="D256" s="1186"/>
      <c r="E256" s="1186">
        <v>18</v>
      </c>
      <c r="F256" s="1186">
        <v>54942</v>
      </c>
    </row>
    <row r="257" spans="1:6" x14ac:dyDescent="0.2">
      <c r="A257" s="1186" t="s">
        <v>282</v>
      </c>
      <c r="B257" s="1186" t="s">
        <v>49</v>
      </c>
      <c r="C257" s="1186">
        <v>222</v>
      </c>
      <c r="D257" s="1186"/>
      <c r="E257" s="1186">
        <v>37</v>
      </c>
      <c r="F257" s="1186">
        <v>148771</v>
      </c>
    </row>
    <row r="258" spans="1:6" x14ac:dyDescent="0.2">
      <c r="A258" s="1186" t="s">
        <v>282</v>
      </c>
      <c r="B258" s="1186" t="s">
        <v>50</v>
      </c>
      <c r="C258" s="1186">
        <v>76</v>
      </c>
      <c r="D258" s="1186">
        <v>1</v>
      </c>
      <c r="E258" s="1186">
        <v>11</v>
      </c>
      <c r="F258" s="1186">
        <v>40998</v>
      </c>
    </row>
    <row r="259" spans="1:6" x14ac:dyDescent="0.2">
      <c r="A259" s="1186" t="s">
        <v>282</v>
      </c>
      <c r="B259" s="1186" t="s">
        <v>51</v>
      </c>
      <c r="C259" s="1186">
        <v>130</v>
      </c>
      <c r="D259" s="1186"/>
      <c r="E259" s="1186">
        <v>19</v>
      </c>
      <c r="F259" s="1186">
        <v>45104</v>
      </c>
    </row>
    <row r="260" spans="1:6" x14ac:dyDescent="0.2">
      <c r="A260" s="1186" t="s">
        <v>282</v>
      </c>
      <c r="B260" s="1186" t="s">
        <v>52</v>
      </c>
      <c r="C260" s="1186">
        <v>124</v>
      </c>
      <c r="D260" s="1186"/>
      <c r="E260" s="1186">
        <v>26</v>
      </c>
      <c r="F260" s="1186">
        <v>78604</v>
      </c>
    </row>
    <row r="261" spans="1:6" x14ac:dyDescent="0.2">
      <c r="A261" s="1186" t="s">
        <v>311</v>
      </c>
      <c r="B261" s="1186" t="s">
        <v>23</v>
      </c>
      <c r="C261" s="1186">
        <v>240</v>
      </c>
      <c r="D261" s="1186">
        <v>3</v>
      </c>
      <c r="E261" s="1186">
        <v>20</v>
      </c>
      <c r="F261" s="1186">
        <v>116821</v>
      </c>
    </row>
    <row r="262" spans="1:6" x14ac:dyDescent="0.2">
      <c r="A262" s="1186" t="s">
        <v>311</v>
      </c>
      <c r="B262" s="1186" t="s">
        <v>24</v>
      </c>
      <c r="C262" s="1186">
        <v>162</v>
      </c>
      <c r="D262" s="1186">
        <v>1</v>
      </c>
      <c r="E262" s="1186">
        <v>31</v>
      </c>
      <c r="F262" s="1186">
        <v>117363</v>
      </c>
    </row>
    <row r="263" spans="1:6" x14ac:dyDescent="0.2">
      <c r="A263" s="1186" t="s">
        <v>311</v>
      </c>
      <c r="B263" s="1186" t="s">
        <v>25</v>
      </c>
      <c r="C263" s="1186">
        <v>76</v>
      </c>
      <c r="D263" s="1186"/>
      <c r="E263" s="1186">
        <v>18</v>
      </c>
      <c r="F263" s="1186">
        <v>56135</v>
      </c>
    </row>
    <row r="264" spans="1:6" x14ac:dyDescent="0.2">
      <c r="A264" s="1186" t="s">
        <v>311</v>
      </c>
      <c r="B264" s="1186" t="s">
        <v>26</v>
      </c>
      <c r="C264" s="1186">
        <v>77</v>
      </c>
      <c r="D264" s="1186">
        <v>1</v>
      </c>
      <c r="E264" s="1186">
        <v>16</v>
      </c>
      <c r="F264" s="1186">
        <v>47884</v>
      </c>
    </row>
    <row r="265" spans="1:6" x14ac:dyDescent="0.2">
      <c r="A265" s="1186" t="s">
        <v>311</v>
      </c>
      <c r="B265" s="1186" t="s">
        <v>619</v>
      </c>
      <c r="C265" s="1186">
        <v>463</v>
      </c>
      <c r="D265" s="1186">
        <v>1</v>
      </c>
      <c r="E265" s="1186">
        <v>69</v>
      </c>
      <c r="F265" s="1186">
        <v>246818</v>
      </c>
    </row>
    <row r="266" spans="1:6" x14ac:dyDescent="0.2">
      <c r="A266" s="1186" t="s">
        <v>311</v>
      </c>
      <c r="B266" s="1186" t="s">
        <v>27</v>
      </c>
      <c r="C266" s="1186">
        <v>47</v>
      </c>
      <c r="D266" s="1186"/>
      <c r="E266" s="1186">
        <v>8</v>
      </c>
      <c r="F266" s="1186">
        <v>24377</v>
      </c>
    </row>
    <row r="267" spans="1:6" x14ac:dyDescent="0.2">
      <c r="A267" s="1186" t="s">
        <v>311</v>
      </c>
      <c r="B267" s="1186" t="s">
        <v>28</v>
      </c>
      <c r="C267" s="1186">
        <v>89</v>
      </c>
      <c r="D267" s="1186">
        <v>2</v>
      </c>
      <c r="E267" s="1186">
        <v>4</v>
      </c>
      <c r="F267" s="1186">
        <v>74687</v>
      </c>
    </row>
    <row r="268" spans="1:6" x14ac:dyDescent="0.2">
      <c r="A268" s="1186" t="s">
        <v>311</v>
      </c>
      <c r="B268" s="1186" t="s">
        <v>29</v>
      </c>
      <c r="C268" s="1186">
        <v>197</v>
      </c>
      <c r="D268" s="1186"/>
      <c r="E268" s="1186">
        <v>31</v>
      </c>
      <c r="F268" s="1186">
        <v>74354</v>
      </c>
    </row>
    <row r="269" spans="1:6" x14ac:dyDescent="0.2">
      <c r="A269" s="1186" t="s">
        <v>311</v>
      </c>
      <c r="B269" s="1186" t="s">
        <v>30</v>
      </c>
      <c r="C269" s="1186">
        <v>76</v>
      </c>
      <c r="D269" s="1186">
        <v>1</v>
      </c>
      <c r="E269" s="1186">
        <v>21</v>
      </c>
      <c r="F269" s="1186">
        <v>58158</v>
      </c>
    </row>
    <row r="270" spans="1:6" x14ac:dyDescent="0.2">
      <c r="A270" s="1186" t="s">
        <v>311</v>
      </c>
      <c r="B270" s="1186" t="s">
        <v>31</v>
      </c>
      <c r="C270" s="1186">
        <v>65</v>
      </c>
      <c r="D270" s="1186"/>
      <c r="E270" s="1186">
        <v>13</v>
      </c>
      <c r="F270" s="1186">
        <v>46430</v>
      </c>
    </row>
    <row r="271" spans="1:6" x14ac:dyDescent="0.2">
      <c r="A271" s="1186" t="s">
        <v>311</v>
      </c>
      <c r="B271" s="1186" t="s">
        <v>32</v>
      </c>
      <c r="C271" s="1186">
        <v>69</v>
      </c>
      <c r="D271" s="1186">
        <v>2</v>
      </c>
      <c r="E271" s="1186">
        <v>7</v>
      </c>
      <c r="F271" s="1186">
        <v>47407</v>
      </c>
    </row>
    <row r="272" spans="1:6" x14ac:dyDescent="0.2">
      <c r="A272" s="1186" t="s">
        <v>311</v>
      </c>
      <c r="B272" s="1186" t="s">
        <v>33</v>
      </c>
      <c r="C272" s="1186">
        <v>79</v>
      </c>
      <c r="D272" s="1186"/>
      <c r="E272" s="1186">
        <v>7</v>
      </c>
      <c r="F272" s="1186">
        <v>38677</v>
      </c>
    </row>
    <row r="273" spans="1:6" x14ac:dyDescent="0.2">
      <c r="A273" s="1186" t="s">
        <v>311</v>
      </c>
      <c r="B273" s="1186" t="s">
        <v>34</v>
      </c>
      <c r="C273" s="1186">
        <v>106</v>
      </c>
      <c r="D273" s="1186">
        <v>2</v>
      </c>
      <c r="E273" s="1186">
        <v>18</v>
      </c>
      <c r="F273" s="1186">
        <v>74361</v>
      </c>
    </row>
    <row r="274" spans="1:6" x14ac:dyDescent="0.2">
      <c r="A274" s="1186" t="s">
        <v>311</v>
      </c>
      <c r="B274" s="1186" t="s">
        <v>35</v>
      </c>
      <c r="C274" s="1186">
        <v>287</v>
      </c>
      <c r="D274" s="1186">
        <v>2</v>
      </c>
      <c r="E274" s="1186">
        <v>30</v>
      </c>
      <c r="F274" s="1186">
        <v>175915</v>
      </c>
    </row>
    <row r="275" spans="1:6" x14ac:dyDescent="0.2">
      <c r="A275" s="1186" t="s">
        <v>311</v>
      </c>
      <c r="B275" s="1186" t="s">
        <v>36</v>
      </c>
      <c r="C275" s="1186">
        <v>847</v>
      </c>
      <c r="D275" s="1186">
        <v>4</v>
      </c>
      <c r="E275" s="1186">
        <v>150</v>
      </c>
      <c r="F275" s="1186">
        <v>308293</v>
      </c>
    </row>
    <row r="276" spans="1:6" x14ac:dyDescent="0.2">
      <c r="A276" s="1186" t="s">
        <v>311</v>
      </c>
      <c r="B276" s="1186" t="s">
        <v>37</v>
      </c>
      <c r="C276" s="1186">
        <v>143</v>
      </c>
      <c r="D276" s="1186">
        <v>2</v>
      </c>
      <c r="E276" s="1186">
        <v>30</v>
      </c>
      <c r="F276" s="1186">
        <v>117291</v>
      </c>
    </row>
    <row r="277" spans="1:6" x14ac:dyDescent="0.2">
      <c r="A277" s="1186" t="s">
        <v>311</v>
      </c>
      <c r="B277" s="1186" t="s">
        <v>38</v>
      </c>
      <c r="C277" s="1186">
        <v>84</v>
      </c>
      <c r="D277" s="1186"/>
      <c r="E277" s="1186">
        <v>14</v>
      </c>
      <c r="F277" s="1186">
        <v>38848</v>
      </c>
    </row>
    <row r="278" spans="1:6" x14ac:dyDescent="0.2">
      <c r="A278" s="1186" t="s">
        <v>311</v>
      </c>
      <c r="B278" s="1186" t="s">
        <v>39</v>
      </c>
      <c r="C278" s="1186">
        <v>60</v>
      </c>
      <c r="D278" s="1186"/>
      <c r="E278" s="1186">
        <v>14</v>
      </c>
      <c r="F278" s="1186">
        <v>39937</v>
      </c>
    </row>
    <row r="279" spans="1:6" x14ac:dyDescent="0.2">
      <c r="A279" s="1186" t="s">
        <v>311</v>
      </c>
      <c r="B279" s="1186" t="s">
        <v>40</v>
      </c>
      <c r="C279" s="1186">
        <v>35</v>
      </c>
      <c r="D279" s="1186"/>
      <c r="E279" s="1186">
        <v>12</v>
      </c>
      <c r="F279" s="1186">
        <v>44838</v>
      </c>
    </row>
    <row r="280" spans="1:6" x14ac:dyDescent="0.2">
      <c r="A280" s="1186" t="s">
        <v>311</v>
      </c>
      <c r="B280" s="1186" t="s">
        <v>295</v>
      </c>
      <c r="C280" s="1186">
        <v>14</v>
      </c>
      <c r="D280" s="1186"/>
      <c r="E280" s="1186">
        <v>1</v>
      </c>
      <c r="F280" s="1186">
        <v>14714</v>
      </c>
    </row>
    <row r="281" spans="1:6" x14ac:dyDescent="0.2">
      <c r="A281" s="1186" t="s">
        <v>311</v>
      </c>
      <c r="B281" s="1186" t="s">
        <v>41</v>
      </c>
      <c r="C281" s="1186">
        <v>147</v>
      </c>
      <c r="D281" s="1186"/>
      <c r="E281" s="1186">
        <v>18</v>
      </c>
      <c r="F281" s="1186">
        <v>67960</v>
      </c>
    </row>
    <row r="282" spans="1:6" x14ac:dyDescent="0.2">
      <c r="A282" s="1186" t="s">
        <v>311</v>
      </c>
      <c r="B282" s="1186" t="s">
        <v>42</v>
      </c>
      <c r="C282" s="1186">
        <v>262</v>
      </c>
      <c r="D282" s="1186">
        <v>1</v>
      </c>
      <c r="E282" s="1186">
        <v>75</v>
      </c>
      <c r="F282" s="1186">
        <v>154286</v>
      </c>
    </row>
    <row r="283" spans="1:6" x14ac:dyDescent="0.2">
      <c r="A283" s="1186" t="s">
        <v>311</v>
      </c>
      <c r="B283" s="1186" t="s">
        <v>43</v>
      </c>
      <c r="C283" s="1186">
        <v>6</v>
      </c>
      <c r="D283" s="1186"/>
      <c r="E283" s="1186">
        <v>3</v>
      </c>
      <c r="F283" s="1186">
        <v>11192</v>
      </c>
    </row>
    <row r="284" spans="1:6" x14ac:dyDescent="0.2">
      <c r="A284" s="1186" t="s">
        <v>311</v>
      </c>
      <c r="B284" s="1186" t="s">
        <v>44</v>
      </c>
      <c r="C284" s="1186">
        <v>113</v>
      </c>
      <c r="D284" s="1186"/>
      <c r="E284" s="1186">
        <v>20</v>
      </c>
      <c r="F284" s="1186">
        <v>71810</v>
      </c>
    </row>
    <row r="285" spans="1:6" x14ac:dyDescent="0.2">
      <c r="A285" s="1186" t="s">
        <v>311</v>
      </c>
      <c r="B285" s="1186" t="s">
        <v>45</v>
      </c>
      <c r="C285" s="1186">
        <v>191</v>
      </c>
      <c r="D285" s="1186">
        <v>1</v>
      </c>
      <c r="E285" s="1186">
        <v>27</v>
      </c>
      <c r="F285" s="1186">
        <v>86449</v>
      </c>
    </row>
    <row r="286" spans="1:6" x14ac:dyDescent="0.2">
      <c r="A286" s="1186" t="s">
        <v>311</v>
      </c>
      <c r="B286" s="1186" t="s">
        <v>46</v>
      </c>
      <c r="C286" s="1186">
        <v>92</v>
      </c>
      <c r="D286" s="1186">
        <v>1</v>
      </c>
      <c r="E286" s="1186">
        <v>15</v>
      </c>
      <c r="F286" s="1186">
        <v>58167</v>
      </c>
    </row>
    <row r="287" spans="1:6" x14ac:dyDescent="0.2">
      <c r="A287" s="1186" t="s">
        <v>311</v>
      </c>
      <c r="B287" s="1186" t="s">
        <v>47</v>
      </c>
      <c r="C287" s="1186">
        <v>12</v>
      </c>
      <c r="D287" s="1186"/>
      <c r="E287" s="1186">
        <v>5</v>
      </c>
      <c r="F287" s="1186">
        <v>11180</v>
      </c>
    </row>
    <row r="288" spans="1:6" x14ac:dyDescent="0.2">
      <c r="A288" s="1186" t="s">
        <v>311</v>
      </c>
      <c r="B288" s="1186" t="s">
        <v>48</v>
      </c>
      <c r="C288" s="1186">
        <v>96</v>
      </c>
      <c r="D288" s="1186">
        <v>3</v>
      </c>
      <c r="E288" s="1186">
        <v>18</v>
      </c>
      <c r="F288" s="1186">
        <v>55252</v>
      </c>
    </row>
    <row r="289" spans="1:6" x14ac:dyDescent="0.2">
      <c r="A289" s="1186" t="s">
        <v>311</v>
      </c>
      <c r="B289" s="1186" t="s">
        <v>49</v>
      </c>
      <c r="C289" s="1186">
        <v>244</v>
      </c>
      <c r="D289" s="1186">
        <v>4</v>
      </c>
      <c r="E289" s="1186">
        <v>48</v>
      </c>
      <c r="F289" s="1186">
        <v>149972</v>
      </c>
    </row>
    <row r="290" spans="1:6" x14ac:dyDescent="0.2">
      <c r="A290" s="1186" t="s">
        <v>311</v>
      </c>
      <c r="B290" s="1186" t="s">
        <v>50</v>
      </c>
      <c r="C290" s="1186">
        <v>82</v>
      </c>
      <c r="D290" s="1186">
        <v>2</v>
      </c>
      <c r="E290" s="1186">
        <v>13</v>
      </c>
      <c r="F290" s="1186">
        <v>41250</v>
      </c>
    </row>
    <row r="291" spans="1:6" x14ac:dyDescent="0.2">
      <c r="A291" s="1186" t="s">
        <v>311</v>
      </c>
      <c r="B291" s="1186" t="s">
        <v>51</v>
      </c>
      <c r="C291" s="1186">
        <v>141</v>
      </c>
      <c r="D291" s="1186">
        <v>1</v>
      </c>
      <c r="E291" s="1186">
        <v>17</v>
      </c>
      <c r="F291" s="1186">
        <v>45093</v>
      </c>
    </row>
    <row r="292" spans="1:6" x14ac:dyDescent="0.2">
      <c r="A292" s="1186" t="s">
        <v>311</v>
      </c>
      <c r="B292" s="1186" t="s">
        <v>52</v>
      </c>
      <c r="C292" s="1186">
        <v>149</v>
      </c>
      <c r="D292" s="1186"/>
      <c r="E292" s="1186">
        <v>24</v>
      </c>
      <c r="F292" s="1186">
        <v>79112</v>
      </c>
    </row>
    <row r="293" spans="1:6" x14ac:dyDescent="0.2">
      <c r="A293" s="1186" t="s">
        <v>621</v>
      </c>
      <c r="B293" s="1186" t="s">
        <v>23</v>
      </c>
      <c r="C293" s="1186">
        <v>262</v>
      </c>
      <c r="D293" s="1186">
        <v>2</v>
      </c>
      <c r="E293" s="1186">
        <v>38</v>
      </c>
      <c r="F293" s="1186">
        <v>118131</v>
      </c>
    </row>
    <row r="294" spans="1:6" x14ac:dyDescent="0.2">
      <c r="A294" s="1186" t="s">
        <v>621</v>
      </c>
      <c r="B294" s="1186" t="s">
        <v>24</v>
      </c>
      <c r="C294" s="1186">
        <v>163</v>
      </c>
      <c r="D294" s="1186">
        <v>1</v>
      </c>
      <c r="E294" s="1186">
        <v>20</v>
      </c>
      <c r="F294" s="1186">
        <v>118197</v>
      </c>
    </row>
    <row r="295" spans="1:6" x14ac:dyDescent="0.2">
      <c r="A295" s="1186" t="s">
        <v>621</v>
      </c>
      <c r="B295" s="1186" t="s">
        <v>25</v>
      </c>
      <c r="C295" s="1186">
        <v>80</v>
      </c>
      <c r="D295" s="1186">
        <v>2</v>
      </c>
      <c r="E295" s="1186">
        <v>12</v>
      </c>
      <c r="F295" s="1186">
        <v>56485</v>
      </c>
    </row>
    <row r="296" spans="1:6" x14ac:dyDescent="0.2">
      <c r="A296" s="1186" t="s">
        <v>621</v>
      </c>
      <c r="B296" s="1186" t="s">
        <v>26</v>
      </c>
      <c r="C296" s="1186">
        <v>85</v>
      </c>
      <c r="D296" s="1186"/>
      <c r="E296" s="1186">
        <v>19</v>
      </c>
      <c r="F296" s="1186">
        <v>48020</v>
      </c>
    </row>
    <row r="297" spans="1:6" x14ac:dyDescent="0.2">
      <c r="A297" s="1186" t="s">
        <v>621</v>
      </c>
      <c r="B297" s="1186" t="s">
        <v>619</v>
      </c>
      <c r="C297" s="1186">
        <v>448</v>
      </c>
      <c r="D297" s="1186">
        <v>2</v>
      </c>
      <c r="E297" s="1186">
        <v>92</v>
      </c>
      <c r="F297" s="1186">
        <v>249810</v>
      </c>
    </row>
    <row r="298" spans="1:6" x14ac:dyDescent="0.2">
      <c r="A298" s="1186" t="s">
        <v>621</v>
      </c>
      <c r="B298" s="1186" t="s">
        <v>27</v>
      </c>
      <c r="C298" s="1186">
        <v>45</v>
      </c>
      <c r="D298" s="1186"/>
      <c r="E298" s="1186">
        <v>16</v>
      </c>
      <c r="F298" s="1186">
        <v>24524</v>
      </c>
    </row>
    <row r="299" spans="1:6" x14ac:dyDescent="0.2">
      <c r="A299" s="1186" t="s">
        <v>621</v>
      </c>
      <c r="B299" s="1186" t="s">
        <v>28</v>
      </c>
      <c r="C299" s="1186">
        <v>76</v>
      </c>
      <c r="D299" s="1186"/>
      <c r="E299" s="1186">
        <v>9</v>
      </c>
      <c r="F299" s="1186">
        <v>74823</v>
      </c>
    </row>
    <row r="300" spans="1:6" x14ac:dyDescent="0.2">
      <c r="A300" s="1186" t="s">
        <v>621</v>
      </c>
      <c r="B300" s="1186" t="s">
        <v>29</v>
      </c>
      <c r="C300" s="1186">
        <v>182</v>
      </c>
      <c r="D300" s="1186"/>
      <c r="E300" s="1186">
        <v>38</v>
      </c>
      <c r="F300" s="1186">
        <v>74531</v>
      </c>
    </row>
    <row r="301" spans="1:6" x14ac:dyDescent="0.2">
      <c r="A301" s="1186" t="s">
        <v>621</v>
      </c>
      <c r="B301" s="1186" t="s">
        <v>30</v>
      </c>
      <c r="C301" s="1186">
        <v>83</v>
      </c>
      <c r="D301" s="1186"/>
      <c r="E301" s="1186">
        <v>30</v>
      </c>
      <c r="F301" s="1186">
        <v>58453</v>
      </c>
    </row>
    <row r="302" spans="1:6" x14ac:dyDescent="0.2">
      <c r="A302" s="1186" t="s">
        <v>621</v>
      </c>
      <c r="B302" s="1186" t="s">
        <v>31</v>
      </c>
      <c r="C302" s="1186">
        <v>64</v>
      </c>
      <c r="D302" s="1186"/>
      <c r="E302" s="1186">
        <v>6</v>
      </c>
      <c r="F302" s="1186">
        <v>46721</v>
      </c>
    </row>
    <row r="303" spans="1:6" x14ac:dyDescent="0.2">
      <c r="A303" s="1186" t="s">
        <v>621</v>
      </c>
      <c r="B303" s="1186" t="s">
        <v>32</v>
      </c>
      <c r="C303" s="1186">
        <v>69</v>
      </c>
      <c r="D303" s="1186">
        <v>1</v>
      </c>
      <c r="E303" s="1186">
        <v>6</v>
      </c>
      <c r="F303" s="1186">
        <v>48055</v>
      </c>
    </row>
    <row r="304" spans="1:6" x14ac:dyDescent="0.2">
      <c r="A304" s="1186" t="s">
        <v>621</v>
      </c>
      <c r="B304" s="1186" t="s">
        <v>33</v>
      </c>
      <c r="C304" s="1186">
        <v>60</v>
      </c>
      <c r="D304" s="1186"/>
      <c r="E304" s="1186">
        <v>14</v>
      </c>
      <c r="F304" s="1186">
        <v>38902</v>
      </c>
    </row>
    <row r="305" spans="1:6" x14ac:dyDescent="0.2">
      <c r="A305" s="1186" t="s">
        <v>621</v>
      </c>
      <c r="B305" s="1186" t="s">
        <v>34</v>
      </c>
      <c r="C305" s="1186">
        <v>112</v>
      </c>
      <c r="D305" s="1186">
        <v>1</v>
      </c>
      <c r="E305" s="1186">
        <v>23</v>
      </c>
      <c r="F305" s="1186">
        <v>74826</v>
      </c>
    </row>
    <row r="306" spans="1:6" x14ac:dyDescent="0.2">
      <c r="A306" s="1186" t="s">
        <v>621</v>
      </c>
      <c r="B306" s="1186" t="s">
        <v>35</v>
      </c>
      <c r="C306" s="1186">
        <v>244</v>
      </c>
      <c r="D306" s="1186">
        <v>2</v>
      </c>
      <c r="E306" s="1186">
        <v>47</v>
      </c>
      <c r="F306" s="1186">
        <v>177084</v>
      </c>
    </row>
    <row r="307" spans="1:6" x14ac:dyDescent="0.2">
      <c r="A307" s="1186" t="s">
        <v>621</v>
      </c>
      <c r="B307" s="1186" t="s">
        <v>36</v>
      </c>
      <c r="C307" s="1186">
        <v>784</v>
      </c>
      <c r="D307" s="1186">
        <v>2</v>
      </c>
      <c r="E307" s="1186">
        <v>147</v>
      </c>
      <c r="F307" s="1186">
        <v>311447</v>
      </c>
    </row>
    <row r="308" spans="1:6" x14ac:dyDescent="0.2">
      <c r="A308" s="1186" t="s">
        <v>621</v>
      </c>
      <c r="B308" s="1186" t="s">
        <v>37</v>
      </c>
      <c r="C308" s="1186">
        <v>145</v>
      </c>
      <c r="D308" s="1186">
        <v>1</v>
      </c>
      <c r="E308" s="1186">
        <v>27</v>
      </c>
      <c r="F308" s="1186">
        <v>118117</v>
      </c>
    </row>
    <row r="309" spans="1:6" x14ac:dyDescent="0.2">
      <c r="A309" s="1186" t="s">
        <v>621</v>
      </c>
      <c r="B309" s="1186" t="s">
        <v>38</v>
      </c>
      <c r="C309" s="1186">
        <v>77</v>
      </c>
      <c r="D309" s="1186">
        <v>4</v>
      </c>
      <c r="E309" s="1186">
        <v>23</v>
      </c>
      <c r="F309" s="1186">
        <v>38985</v>
      </c>
    </row>
    <row r="310" spans="1:6" x14ac:dyDescent="0.2">
      <c r="A310" s="1186" t="s">
        <v>621</v>
      </c>
      <c r="B310" s="1186" t="s">
        <v>39</v>
      </c>
      <c r="C310" s="1186">
        <v>52</v>
      </c>
      <c r="D310" s="1186">
        <v>1</v>
      </c>
      <c r="E310" s="1186">
        <v>8</v>
      </c>
      <c r="F310" s="1186">
        <v>40612</v>
      </c>
    </row>
    <row r="311" spans="1:6" x14ac:dyDescent="0.2">
      <c r="A311" s="1186" t="s">
        <v>621</v>
      </c>
      <c r="B311" s="1186" t="s">
        <v>40</v>
      </c>
      <c r="C311" s="1186">
        <v>55</v>
      </c>
      <c r="D311" s="1186">
        <v>2</v>
      </c>
      <c r="E311" s="1186">
        <v>10</v>
      </c>
      <c r="F311" s="1186">
        <v>45209</v>
      </c>
    </row>
    <row r="312" spans="1:6" x14ac:dyDescent="0.2">
      <c r="A312" s="1186" t="s">
        <v>621</v>
      </c>
      <c r="B312" s="1186" t="s">
        <v>295</v>
      </c>
      <c r="C312" s="1186">
        <v>22</v>
      </c>
      <c r="D312" s="1186"/>
      <c r="E312" s="1186">
        <v>3</v>
      </c>
      <c r="F312" s="1186">
        <v>14706</v>
      </c>
    </row>
    <row r="313" spans="1:6" x14ac:dyDescent="0.2">
      <c r="A313" s="1186" t="s">
        <v>621</v>
      </c>
      <c r="B313" s="1186" t="s">
        <v>41</v>
      </c>
      <c r="C313" s="1186">
        <v>163</v>
      </c>
      <c r="D313" s="1186">
        <v>4</v>
      </c>
      <c r="E313" s="1186">
        <v>33</v>
      </c>
      <c r="F313" s="1186">
        <v>68158</v>
      </c>
    </row>
    <row r="314" spans="1:6" x14ac:dyDescent="0.2">
      <c r="A314" s="1186" t="s">
        <v>621</v>
      </c>
      <c r="B314" s="1186" t="s">
        <v>42</v>
      </c>
      <c r="C314" s="1186">
        <v>296</v>
      </c>
      <c r="D314" s="1186">
        <v>2</v>
      </c>
      <c r="E314" s="1186">
        <v>88</v>
      </c>
      <c r="F314" s="1186">
        <v>155364</v>
      </c>
    </row>
    <row r="315" spans="1:6" x14ac:dyDescent="0.2">
      <c r="A315" s="1186" t="s">
        <v>621</v>
      </c>
      <c r="B315" s="1186" t="s">
        <v>43</v>
      </c>
      <c r="C315" s="1186">
        <v>7</v>
      </c>
      <c r="D315" s="1186"/>
      <c r="E315" s="1186"/>
      <c r="F315" s="1186">
        <v>11261</v>
      </c>
    </row>
    <row r="316" spans="1:6" x14ac:dyDescent="0.2">
      <c r="A316" s="1186" t="s">
        <v>621</v>
      </c>
      <c r="B316" s="1186" t="s">
        <v>44</v>
      </c>
      <c r="C316" s="1186">
        <v>111</v>
      </c>
      <c r="D316" s="1186">
        <v>1</v>
      </c>
      <c r="E316" s="1186">
        <v>17</v>
      </c>
      <c r="F316" s="1186">
        <v>72441</v>
      </c>
    </row>
    <row r="317" spans="1:6" x14ac:dyDescent="0.2">
      <c r="A317" s="1186" t="s">
        <v>621</v>
      </c>
      <c r="B317" s="1186" t="s">
        <v>45</v>
      </c>
      <c r="C317" s="1186">
        <v>199</v>
      </c>
      <c r="D317" s="1186">
        <v>1</v>
      </c>
      <c r="E317" s="1186">
        <v>35</v>
      </c>
      <c r="F317" s="1186">
        <v>87265</v>
      </c>
    </row>
    <row r="318" spans="1:6" x14ac:dyDescent="0.2">
      <c r="A318" s="1186" t="s">
        <v>621</v>
      </c>
      <c r="B318" s="1186" t="s">
        <v>46</v>
      </c>
      <c r="C318" s="1186">
        <v>92</v>
      </c>
      <c r="D318" s="1186">
        <v>1</v>
      </c>
      <c r="E318" s="1186">
        <v>15</v>
      </c>
      <c r="F318" s="1186">
        <v>58425</v>
      </c>
    </row>
    <row r="319" spans="1:6" x14ac:dyDescent="0.2">
      <c r="A319" s="1186" t="s">
        <v>621</v>
      </c>
      <c r="B319" s="1186" t="s">
        <v>47</v>
      </c>
      <c r="C319" s="1186">
        <v>4</v>
      </c>
      <c r="D319" s="1186">
        <v>1</v>
      </c>
      <c r="E319" s="1186"/>
      <c r="F319" s="1186">
        <v>11270</v>
      </c>
    </row>
    <row r="320" spans="1:6" x14ac:dyDescent="0.2">
      <c r="A320" s="1186" t="s">
        <v>621</v>
      </c>
      <c r="B320" s="1186" t="s">
        <v>48</v>
      </c>
      <c r="C320" s="1186">
        <v>84</v>
      </c>
      <c r="D320" s="1186">
        <v>1</v>
      </c>
      <c r="E320" s="1186">
        <v>15</v>
      </c>
      <c r="F320" s="1186">
        <v>55486</v>
      </c>
    </row>
    <row r="321" spans="1:6" x14ac:dyDescent="0.2">
      <c r="A321" s="1186" t="s">
        <v>621</v>
      </c>
      <c r="B321" s="1186" t="s">
        <v>49</v>
      </c>
      <c r="C321" s="1186">
        <v>232</v>
      </c>
      <c r="D321" s="1186"/>
      <c r="E321" s="1186">
        <v>61</v>
      </c>
      <c r="F321" s="1186">
        <v>151352</v>
      </c>
    </row>
    <row r="322" spans="1:6" x14ac:dyDescent="0.2">
      <c r="A322" s="1186" t="s">
        <v>621</v>
      </c>
      <c r="B322" s="1186" t="s">
        <v>50</v>
      </c>
      <c r="C322" s="1186">
        <v>64</v>
      </c>
      <c r="D322" s="1186">
        <v>2</v>
      </c>
      <c r="E322" s="1186">
        <v>2</v>
      </c>
      <c r="F322" s="1186">
        <v>41443</v>
      </c>
    </row>
    <row r="323" spans="1:6" x14ac:dyDescent="0.2">
      <c r="A323" s="1186" t="s">
        <v>621</v>
      </c>
      <c r="B323" s="1186" t="s">
        <v>51</v>
      </c>
      <c r="C323" s="1186">
        <v>135</v>
      </c>
      <c r="D323" s="1186">
        <v>1</v>
      </c>
      <c r="E323" s="1186">
        <v>10</v>
      </c>
      <c r="F323" s="1186">
        <v>45228</v>
      </c>
    </row>
    <row r="324" spans="1:6" x14ac:dyDescent="0.2">
      <c r="A324" s="1186" t="s">
        <v>621</v>
      </c>
      <c r="B324" s="1186" t="s">
        <v>52</v>
      </c>
      <c r="C324" s="1186">
        <v>140</v>
      </c>
      <c r="D324" s="1186">
        <v>1</v>
      </c>
      <c r="E324" s="1186">
        <v>22</v>
      </c>
      <c r="F324" s="1186">
        <v>79854</v>
      </c>
    </row>
    <row r="325" spans="1:6" x14ac:dyDescent="0.2">
      <c r="A325" s="1186" t="s">
        <v>1419</v>
      </c>
      <c r="B325" s="1186" t="s">
        <v>23</v>
      </c>
      <c r="C325" s="1186">
        <v>257</v>
      </c>
      <c r="D325" s="1186"/>
      <c r="E325" s="1186">
        <v>42</v>
      </c>
      <c r="F325" s="1186">
        <v>119523</v>
      </c>
    </row>
    <row r="326" spans="1:6" x14ac:dyDescent="0.2">
      <c r="A326" s="1186" t="s">
        <v>1419</v>
      </c>
      <c r="B326" s="1186" t="s">
        <v>24</v>
      </c>
      <c r="C326" s="1186">
        <v>160</v>
      </c>
      <c r="D326" s="1186">
        <v>2</v>
      </c>
      <c r="E326" s="1186">
        <v>23</v>
      </c>
      <c r="F326" s="1186">
        <v>119196</v>
      </c>
    </row>
    <row r="327" spans="1:6" x14ac:dyDescent="0.2">
      <c r="A327" s="1186" t="s">
        <v>1419</v>
      </c>
      <c r="B327" s="1186" t="s">
        <v>25</v>
      </c>
      <c r="C327" s="1186">
        <v>79</v>
      </c>
      <c r="D327" s="1186"/>
      <c r="E327" s="1186">
        <v>9</v>
      </c>
      <c r="F327" s="1186">
        <v>56928</v>
      </c>
    </row>
    <row r="328" spans="1:6" x14ac:dyDescent="0.2">
      <c r="A328" s="1186" t="s">
        <v>1419</v>
      </c>
      <c r="B328" s="1186" t="s">
        <v>26</v>
      </c>
      <c r="C328" s="1186">
        <v>84</v>
      </c>
      <c r="D328" s="1186">
        <v>1</v>
      </c>
      <c r="E328" s="1186">
        <v>9</v>
      </c>
      <c r="F328" s="1186">
        <v>48134</v>
      </c>
    </row>
    <row r="329" spans="1:6" x14ac:dyDescent="0.2">
      <c r="A329" s="1186" t="s">
        <v>1419</v>
      </c>
      <c r="B329" s="1186" t="s">
        <v>619</v>
      </c>
      <c r="C329" s="1186">
        <v>438</v>
      </c>
      <c r="D329" s="1186">
        <v>1</v>
      </c>
      <c r="E329" s="1186">
        <v>80</v>
      </c>
      <c r="F329" s="1186">
        <v>252731</v>
      </c>
    </row>
    <row r="330" spans="1:6" x14ac:dyDescent="0.2">
      <c r="A330" s="1186" t="s">
        <v>1419</v>
      </c>
      <c r="B330" s="1186" t="s">
        <v>27</v>
      </c>
      <c r="C330" s="1186">
        <v>40</v>
      </c>
      <c r="D330" s="1186"/>
      <c r="E330" s="1186">
        <v>8</v>
      </c>
      <c r="F330" s="1186">
        <v>24716</v>
      </c>
    </row>
    <row r="331" spans="1:6" x14ac:dyDescent="0.2">
      <c r="A331" s="1186" t="s">
        <v>1419</v>
      </c>
      <c r="B331" s="1186" t="s">
        <v>28</v>
      </c>
      <c r="C331" s="1186">
        <v>94</v>
      </c>
      <c r="D331" s="1186"/>
      <c r="E331" s="1186">
        <v>7</v>
      </c>
      <c r="F331" s="1186">
        <v>75089</v>
      </c>
    </row>
    <row r="332" spans="1:6" x14ac:dyDescent="0.2">
      <c r="A332" s="1186" t="s">
        <v>1419</v>
      </c>
      <c r="B332" s="1186" t="s">
        <v>29</v>
      </c>
      <c r="C332" s="1186">
        <v>175</v>
      </c>
      <c r="D332" s="1186"/>
      <c r="E332" s="1186">
        <v>25</v>
      </c>
      <c r="F332" s="1186">
        <v>74891</v>
      </c>
    </row>
    <row r="333" spans="1:6" x14ac:dyDescent="0.2">
      <c r="A333" s="1186" t="s">
        <v>1419</v>
      </c>
      <c r="B333" s="1186" t="s">
        <v>30</v>
      </c>
      <c r="C333" s="1186">
        <v>87</v>
      </c>
      <c r="D333" s="1186">
        <v>1</v>
      </c>
      <c r="E333" s="1186">
        <v>12</v>
      </c>
      <c r="F333" s="1186">
        <v>58628</v>
      </c>
    </row>
    <row r="334" spans="1:6" x14ac:dyDescent="0.2">
      <c r="A334" s="1186" t="s">
        <v>1419</v>
      </c>
      <c r="B334" s="1186" t="s">
        <v>31</v>
      </c>
      <c r="C334" s="1186">
        <v>62</v>
      </c>
      <c r="D334" s="1186"/>
      <c r="E334" s="1186">
        <v>9</v>
      </c>
      <c r="F334" s="1186">
        <v>46986</v>
      </c>
    </row>
    <row r="335" spans="1:6" x14ac:dyDescent="0.2">
      <c r="A335" s="1186" t="s">
        <v>1419</v>
      </c>
      <c r="B335" s="1186" t="s">
        <v>32</v>
      </c>
      <c r="C335" s="1186">
        <v>57</v>
      </c>
      <c r="D335" s="1186"/>
      <c r="E335" s="1186">
        <v>7</v>
      </c>
      <c r="F335" s="1186">
        <v>48851</v>
      </c>
    </row>
    <row r="336" spans="1:6" x14ac:dyDescent="0.2">
      <c r="A336" s="1186" t="s">
        <v>1419</v>
      </c>
      <c r="B336" s="1186" t="s">
        <v>33</v>
      </c>
      <c r="C336" s="1186">
        <v>67</v>
      </c>
      <c r="D336" s="1186"/>
      <c r="E336" s="1186">
        <v>10</v>
      </c>
      <c r="F336" s="1186">
        <v>39144</v>
      </c>
    </row>
    <row r="337" spans="1:6" x14ac:dyDescent="0.2">
      <c r="A337" s="1186" t="s">
        <v>1419</v>
      </c>
      <c r="B337" s="1186" t="s">
        <v>34</v>
      </c>
      <c r="C337" s="1186">
        <v>103</v>
      </c>
      <c r="D337" s="1186">
        <v>2</v>
      </c>
      <c r="E337" s="1186">
        <v>13</v>
      </c>
      <c r="F337" s="1186">
        <v>75226</v>
      </c>
    </row>
    <row r="338" spans="1:6" x14ac:dyDescent="0.2">
      <c r="A338" s="1186" t="s">
        <v>1419</v>
      </c>
      <c r="B338" s="1186" t="s">
        <v>35</v>
      </c>
      <c r="C338" s="1186">
        <v>218</v>
      </c>
      <c r="D338" s="1186">
        <v>1</v>
      </c>
      <c r="E338" s="1186">
        <v>34</v>
      </c>
      <c r="F338" s="1186">
        <v>178183</v>
      </c>
    </row>
    <row r="339" spans="1:6" x14ac:dyDescent="0.2">
      <c r="A339" s="1186" t="s">
        <v>1419</v>
      </c>
      <c r="B339" s="1186" t="s">
        <v>36</v>
      </c>
      <c r="C339" s="1186">
        <v>768</v>
      </c>
      <c r="D339" s="1186">
        <v>3</v>
      </c>
      <c r="E339" s="1186">
        <v>119</v>
      </c>
      <c r="F339" s="1186">
        <v>314604</v>
      </c>
    </row>
    <row r="340" spans="1:6" x14ac:dyDescent="0.2">
      <c r="A340" s="1186" t="s">
        <v>1419</v>
      </c>
      <c r="B340" s="1186" t="s">
        <v>37</v>
      </c>
      <c r="C340" s="1186">
        <v>113</v>
      </c>
      <c r="D340" s="1186"/>
      <c r="E340" s="1186">
        <v>25</v>
      </c>
      <c r="F340" s="1186">
        <v>119061</v>
      </c>
    </row>
    <row r="341" spans="1:6" x14ac:dyDescent="0.2">
      <c r="A341" s="1186" t="s">
        <v>1419</v>
      </c>
      <c r="B341" s="1186" t="s">
        <v>38</v>
      </c>
      <c r="C341" s="1186">
        <v>76</v>
      </c>
      <c r="D341" s="1186"/>
      <c r="E341" s="1186">
        <v>21</v>
      </c>
      <c r="F341" s="1186">
        <v>38977</v>
      </c>
    </row>
    <row r="342" spans="1:6" x14ac:dyDescent="0.2">
      <c r="A342" s="1186" t="s">
        <v>1419</v>
      </c>
      <c r="B342" s="1186" t="s">
        <v>39</v>
      </c>
      <c r="C342" s="1186">
        <v>71</v>
      </c>
      <c r="D342" s="1186"/>
      <c r="E342" s="1186">
        <v>10</v>
      </c>
      <c r="F342" s="1186">
        <v>41226</v>
      </c>
    </row>
    <row r="343" spans="1:6" x14ac:dyDescent="0.2">
      <c r="A343" s="1186" t="s">
        <v>1419</v>
      </c>
      <c r="B343" s="1186" t="s">
        <v>40</v>
      </c>
      <c r="C343" s="1186">
        <v>78</v>
      </c>
      <c r="D343" s="1186"/>
      <c r="E343" s="1186">
        <v>19</v>
      </c>
      <c r="F343" s="1186">
        <v>45630</v>
      </c>
    </row>
    <row r="344" spans="1:6" x14ac:dyDescent="0.2">
      <c r="A344" s="1186" t="s">
        <v>1419</v>
      </c>
      <c r="B344" s="1186" t="s">
        <v>295</v>
      </c>
      <c r="C344" s="1186">
        <v>20</v>
      </c>
      <c r="D344" s="1186"/>
      <c r="E344" s="1186">
        <v>8</v>
      </c>
      <c r="F344" s="1186">
        <v>14734</v>
      </c>
    </row>
    <row r="345" spans="1:6" x14ac:dyDescent="0.2">
      <c r="A345" s="1186" t="s">
        <v>1419</v>
      </c>
      <c r="B345" s="1186" t="s">
        <v>41</v>
      </c>
      <c r="C345" s="1186">
        <v>150</v>
      </c>
      <c r="D345" s="1186">
        <v>1</v>
      </c>
      <c r="E345" s="1186">
        <v>17</v>
      </c>
      <c r="F345" s="1186">
        <v>68496</v>
      </c>
    </row>
    <row r="346" spans="1:6" x14ac:dyDescent="0.2">
      <c r="A346" s="1186" t="s">
        <v>1419</v>
      </c>
      <c r="B346" s="1186" t="s">
        <v>42</v>
      </c>
      <c r="C346" s="1186">
        <v>227</v>
      </c>
      <c r="D346" s="1186">
        <v>4</v>
      </c>
      <c r="E346" s="1186">
        <v>48</v>
      </c>
      <c r="F346" s="1186">
        <v>156694</v>
      </c>
    </row>
    <row r="347" spans="1:6" x14ac:dyDescent="0.2">
      <c r="A347" s="1186" t="s">
        <v>1419</v>
      </c>
      <c r="B347" s="1186" t="s">
        <v>43</v>
      </c>
      <c r="C347" s="1186">
        <v>11</v>
      </c>
      <c r="D347" s="1186">
        <v>1</v>
      </c>
      <c r="E347" s="1186">
        <v>1</v>
      </c>
      <c r="F347" s="1186">
        <v>11322</v>
      </c>
    </row>
    <row r="348" spans="1:6" x14ac:dyDescent="0.2">
      <c r="A348" s="1186" t="s">
        <v>1419</v>
      </c>
      <c r="B348" s="1186" t="s">
        <v>44</v>
      </c>
      <c r="C348" s="1186">
        <v>106</v>
      </c>
      <c r="D348" s="1186"/>
      <c r="E348" s="1186">
        <v>31</v>
      </c>
      <c r="F348" s="1186">
        <v>73267</v>
      </c>
    </row>
    <row r="349" spans="1:6" x14ac:dyDescent="0.2">
      <c r="A349" s="1186" t="s">
        <v>1419</v>
      </c>
      <c r="B349" s="1186" t="s">
        <v>45</v>
      </c>
      <c r="C349" s="1186">
        <v>142</v>
      </c>
      <c r="D349" s="1186"/>
      <c r="E349" s="1186">
        <v>16</v>
      </c>
      <c r="F349" s="1186">
        <v>88086</v>
      </c>
    </row>
    <row r="350" spans="1:6" x14ac:dyDescent="0.2">
      <c r="A350" s="1186" t="s">
        <v>1419</v>
      </c>
      <c r="B350" s="1186" t="s">
        <v>46</v>
      </c>
      <c r="C350" s="1186">
        <v>96</v>
      </c>
      <c r="D350" s="1186"/>
      <c r="E350" s="1186">
        <v>23</v>
      </c>
      <c r="F350" s="1186">
        <v>58671</v>
      </c>
    </row>
    <row r="351" spans="1:6" x14ac:dyDescent="0.2">
      <c r="A351" s="1186" t="s">
        <v>1419</v>
      </c>
      <c r="B351" s="1186" t="s">
        <v>47</v>
      </c>
      <c r="C351" s="1186">
        <v>12</v>
      </c>
      <c r="D351" s="1186">
        <v>1</v>
      </c>
      <c r="E351" s="1186">
        <v>5</v>
      </c>
      <c r="F351" s="1186">
        <v>11305</v>
      </c>
    </row>
    <row r="352" spans="1:6" x14ac:dyDescent="0.2">
      <c r="A352" s="1186" t="s">
        <v>1419</v>
      </c>
      <c r="B352" s="1186" t="s">
        <v>48</v>
      </c>
      <c r="C352" s="1186">
        <v>86</v>
      </c>
      <c r="D352" s="1186"/>
      <c r="E352" s="1186">
        <v>15</v>
      </c>
      <c r="F352" s="1186">
        <v>55668</v>
      </c>
    </row>
    <row r="353" spans="1:6" x14ac:dyDescent="0.2">
      <c r="A353" s="1186" t="s">
        <v>1419</v>
      </c>
      <c r="B353" s="1186" t="s">
        <v>49</v>
      </c>
      <c r="C353" s="1186">
        <v>228</v>
      </c>
      <c r="D353" s="1186">
        <v>2</v>
      </c>
      <c r="E353" s="1186">
        <v>52</v>
      </c>
      <c r="F353" s="1186">
        <v>152998</v>
      </c>
    </row>
    <row r="354" spans="1:6" x14ac:dyDescent="0.2">
      <c r="A354" s="1186" t="s">
        <v>1419</v>
      </c>
      <c r="B354" s="1186" t="s">
        <v>50</v>
      </c>
      <c r="C354" s="1186">
        <v>44</v>
      </c>
      <c r="D354" s="1186">
        <v>1</v>
      </c>
      <c r="E354" s="1186">
        <v>3</v>
      </c>
      <c r="F354" s="1186">
        <v>41638</v>
      </c>
    </row>
    <row r="355" spans="1:6" x14ac:dyDescent="0.2">
      <c r="A355" s="1186" t="s">
        <v>1419</v>
      </c>
      <c r="B355" s="1186" t="s">
        <v>51</v>
      </c>
      <c r="C355" s="1186">
        <v>103</v>
      </c>
      <c r="D355" s="1186"/>
      <c r="E355" s="1186">
        <v>22</v>
      </c>
      <c r="F355" s="1186">
        <v>45357</v>
      </c>
    </row>
    <row r="356" spans="1:6" x14ac:dyDescent="0.2">
      <c r="A356" s="1186" t="s">
        <v>1419</v>
      </c>
      <c r="B356" s="1186" t="s">
        <v>52</v>
      </c>
      <c r="C356" s="1186">
        <v>112</v>
      </c>
      <c r="D356" s="1186"/>
      <c r="E356" s="1186">
        <v>20</v>
      </c>
      <c r="F356" s="1186">
        <v>80911</v>
      </c>
    </row>
    <row r="357" spans="1:6" x14ac:dyDescent="0.2">
      <c r="A357" s="1186" t="s">
        <v>1419</v>
      </c>
      <c r="B357" s="1186" t="s">
        <v>1521</v>
      </c>
      <c r="C357" s="1186">
        <v>1</v>
      </c>
      <c r="D357" s="1186"/>
      <c r="E357" s="1186"/>
      <c r="F357" s="1186"/>
    </row>
    <row r="358" spans="1:6" x14ac:dyDescent="0.2">
      <c r="A358" s="1186" t="s">
        <v>1572</v>
      </c>
      <c r="B358" s="1186" t="s">
        <v>23</v>
      </c>
      <c r="C358" s="1186">
        <v>222</v>
      </c>
      <c r="D358" s="1186">
        <v>3</v>
      </c>
      <c r="E358" s="1186">
        <v>25</v>
      </c>
      <c r="F358" s="1186">
        <v>120980</v>
      </c>
    </row>
    <row r="359" spans="1:6" x14ac:dyDescent="0.2">
      <c r="A359" s="1186" t="s">
        <v>1572</v>
      </c>
      <c r="B359" s="1186" t="s">
        <v>24</v>
      </c>
      <c r="C359" s="1186">
        <v>164</v>
      </c>
      <c r="D359" s="1186">
        <v>1</v>
      </c>
      <c r="E359" s="1186">
        <v>15</v>
      </c>
      <c r="F359" s="1186">
        <v>119854</v>
      </c>
    </row>
    <row r="360" spans="1:6" x14ac:dyDescent="0.2">
      <c r="A360" s="1186" t="s">
        <v>1572</v>
      </c>
      <c r="B360" s="1186" t="s">
        <v>25</v>
      </c>
      <c r="C360" s="1186">
        <v>74</v>
      </c>
      <c r="D360" s="1186"/>
      <c r="E360" s="1186">
        <v>19</v>
      </c>
      <c r="F360" s="1186">
        <v>57206</v>
      </c>
    </row>
    <row r="361" spans="1:6" x14ac:dyDescent="0.2">
      <c r="A361" s="1186" t="s">
        <v>1572</v>
      </c>
      <c r="B361" s="1186" t="s">
        <v>26</v>
      </c>
      <c r="C361" s="1186">
        <v>84</v>
      </c>
      <c r="D361" s="1186">
        <v>1</v>
      </c>
      <c r="E361" s="1186">
        <v>7</v>
      </c>
      <c r="F361" s="1186">
        <v>48199</v>
      </c>
    </row>
    <row r="362" spans="1:6" x14ac:dyDescent="0.2">
      <c r="A362" s="1186" t="s">
        <v>1572</v>
      </c>
      <c r="B362" s="1186" t="s">
        <v>619</v>
      </c>
      <c r="C362" s="1186">
        <v>369</v>
      </c>
      <c r="D362" s="1186">
        <v>2</v>
      </c>
      <c r="E362" s="1186">
        <v>52</v>
      </c>
      <c r="F362" s="1186">
        <v>254929</v>
      </c>
    </row>
    <row r="363" spans="1:6" x14ac:dyDescent="0.2">
      <c r="A363" s="1186" t="s">
        <v>1572</v>
      </c>
      <c r="B363" s="1186" t="s">
        <v>27</v>
      </c>
      <c r="C363" s="1186">
        <v>54</v>
      </c>
      <c r="D363" s="1186">
        <v>2</v>
      </c>
      <c r="E363" s="1186">
        <v>19</v>
      </c>
      <c r="F363" s="1186">
        <v>24838</v>
      </c>
    </row>
    <row r="364" spans="1:6" x14ac:dyDescent="0.2">
      <c r="A364" s="1186" t="s">
        <v>1572</v>
      </c>
      <c r="B364" s="1186" t="s">
        <v>28</v>
      </c>
      <c r="C364" s="1186">
        <v>69</v>
      </c>
      <c r="D364" s="1186">
        <v>1</v>
      </c>
      <c r="E364" s="1186">
        <v>4</v>
      </c>
      <c r="F364" s="1186">
        <v>75298</v>
      </c>
    </row>
    <row r="365" spans="1:6" x14ac:dyDescent="0.2">
      <c r="A365" s="1186" t="s">
        <v>1572</v>
      </c>
      <c r="B365" s="1186" t="s">
        <v>29</v>
      </c>
      <c r="C365" s="1186">
        <v>186</v>
      </c>
      <c r="D365" s="1186">
        <v>3</v>
      </c>
      <c r="E365" s="1186">
        <v>31</v>
      </c>
      <c r="F365" s="1186">
        <v>75027</v>
      </c>
    </row>
    <row r="366" spans="1:6" x14ac:dyDescent="0.2">
      <c r="A366" s="1186" t="s">
        <v>1572</v>
      </c>
      <c r="B366" s="1186" t="s">
        <v>30</v>
      </c>
      <c r="C366" s="1186">
        <v>95</v>
      </c>
      <c r="D366" s="1186">
        <v>1</v>
      </c>
      <c r="E366" s="1186">
        <v>18</v>
      </c>
      <c r="F366" s="1186">
        <v>58821</v>
      </c>
    </row>
    <row r="367" spans="1:6" x14ac:dyDescent="0.2">
      <c r="A367" s="1186" t="s">
        <v>1572</v>
      </c>
      <c r="B367" s="1186" t="s">
        <v>31</v>
      </c>
      <c r="C367" s="1186">
        <v>65</v>
      </c>
      <c r="D367" s="1186">
        <v>1</v>
      </c>
      <c r="E367" s="1186">
        <v>7</v>
      </c>
      <c r="F367" s="1186">
        <v>47251</v>
      </c>
    </row>
    <row r="368" spans="1:6" x14ac:dyDescent="0.2">
      <c r="A368" s="1186" t="s">
        <v>1572</v>
      </c>
      <c r="B368" s="1186" t="s">
        <v>32</v>
      </c>
      <c r="C368" s="1186">
        <v>46</v>
      </c>
      <c r="D368" s="1186">
        <v>1</v>
      </c>
      <c r="E368" s="1186">
        <v>4</v>
      </c>
      <c r="F368" s="1186">
        <v>49642</v>
      </c>
    </row>
    <row r="369" spans="1:6" x14ac:dyDescent="0.2">
      <c r="A369" s="1186" t="s">
        <v>1572</v>
      </c>
      <c r="B369" s="1186" t="s">
        <v>33</v>
      </c>
      <c r="C369" s="1186">
        <v>49</v>
      </c>
      <c r="D369" s="1186"/>
      <c r="E369" s="1186">
        <v>5</v>
      </c>
      <c r="F369" s="1186">
        <v>39453</v>
      </c>
    </row>
    <row r="370" spans="1:6" x14ac:dyDescent="0.2">
      <c r="A370" s="1186" t="s">
        <v>1572</v>
      </c>
      <c r="B370" s="1186" t="s">
        <v>34</v>
      </c>
      <c r="C370" s="1186">
        <v>99</v>
      </c>
      <c r="D370" s="1186"/>
      <c r="E370" s="1186">
        <v>30</v>
      </c>
      <c r="F370" s="1186">
        <v>75595</v>
      </c>
    </row>
    <row r="371" spans="1:6" x14ac:dyDescent="0.2">
      <c r="A371" s="1186" t="s">
        <v>1572</v>
      </c>
      <c r="B371" s="1186" t="s">
        <v>35</v>
      </c>
      <c r="C371" s="1186">
        <v>227</v>
      </c>
      <c r="D371" s="1186">
        <v>2</v>
      </c>
      <c r="E371" s="1186">
        <v>43</v>
      </c>
      <c r="F371" s="1186">
        <v>179232</v>
      </c>
    </row>
    <row r="372" spans="1:6" x14ac:dyDescent="0.2">
      <c r="A372" s="1186" t="s">
        <v>1572</v>
      </c>
      <c r="B372" s="1186" t="s">
        <v>36</v>
      </c>
      <c r="C372" s="1186">
        <v>685</v>
      </c>
      <c r="D372" s="1186">
        <v>7</v>
      </c>
      <c r="E372" s="1186">
        <v>135</v>
      </c>
      <c r="F372" s="1186">
        <v>317193</v>
      </c>
    </row>
    <row r="373" spans="1:6" x14ac:dyDescent="0.2">
      <c r="A373" s="1186" t="s">
        <v>1572</v>
      </c>
      <c r="B373" s="1186" t="s">
        <v>37</v>
      </c>
      <c r="C373" s="1186">
        <v>126</v>
      </c>
      <c r="D373" s="1186"/>
      <c r="E373" s="1186">
        <v>17</v>
      </c>
      <c r="F373" s="1186">
        <v>119918</v>
      </c>
    </row>
    <row r="374" spans="1:6" x14ac:dyDescent="0.2">
      <c r="A374" s="1186" t="s">
        <v>1572</v>
      </c>
      <c r="B374" s="1186" t="s">
        <v>38</v>
      </c>
      <c r="C374" s="1186">
        <v>88</v>
      </c>
      <c r="D374" s="1186">
        <v>1</v>
      </c>
      <c r="E374" s="1186">
        <v>24</v>
      </c>
      <c r="F374" s="1186">
        <v>39107</v>
      </c>
    </row>
    <row r="375" spans="1:6" x14ac:dyDescent="0.2">
      <c r="A375" s="1186" t="s">
        <v>1572</v>
      </c>
      <c r="B375" s="1186" t="s">
        <v>39</v>
      </c>
      <c r="C375" s="1186">
        <v>57</v>
      </c>
      <c r="D375" s="1186">
        <v>1</v>
      </c>
      <c r="E375" s="1186">
        <v>10</v>
      </c>
      <c r="F375" s="1186">
        <v>41657</v>
      </c>
    </row>
    <row r="376" spans="1:6" x14ac:dyDescent="0.2">
      <c r="A376" s="1186" t="s">
        <v>1572</v>
      </c>
      <c r="B376" s="1186" t="s">
        <v>40</v>
      </c>
      <c r="C376" s="1186">
        <v>50</v>
      </c>
      <c r="D376" s="1186">
        <v>1</v>
      </c>
      <c r="E376" s="1186">
        <v>7</v>
      </c>
      <c r="F376" s="1186">
        <v>45838</v>
      </c>
    </row>
    <row r="377" spans="1:6" x14ac:dyDescent="0.2">
      <c r="A377" s="1186" t="s">
        <v>1572</v>
      </c>
      <c r="B377" s="1186" t="s">
        <v>295</v>
      </c>
      <c r="C377" s="1186">
        <v>21</v>
      </c>
      <c r="D377" s="1186"/>
      <c r="E377" s="1186">
        <v>4</v>
      </c>
      <c r="F377" s="1186">
        <v>14764</v>
      </c>
    </row>
    <row r="378" spans="1:6" x14ac:dyDescent="0.2">
      <c r="A378" s="1186" t="s">
        <v>1572</v>
      </c>
      <c r="B378" s="1186" t="s">
        <v>41</v>
      </c>
      <c r="C378" s="1186">
        <v>136</v>
      </c>
      <c r="D378" s="1186"/>
      <c r="E378" s="1186">
        <v>32</v>
      </c>
      <c r="F378" s="1186">
        <v>68843</v>
      </c>
    </row>
    <row r="379" spans="1:6" x14ac:dyDescent="0.2">
      <c r="A379" s="1186" t="s">
        <v>1572</v>
      </c>
      <c r="B379" s="1186" t="s">
        <v>42</v>
      </c>
      <c r="C379" s="1186">
        <v>279</v>
      </c>
      <c r="D379" s="1186">
        <v>1</v>
      </c>
      <c r="E379" s="1186">
        <v>64</v>
      </c>
      <c r="F379" s="1186">
        <v>157625</v>
      </c>
    </row>
    <row r="380" spans="1:6" x14ac:dyDescent="0.2">
      <c r="A380" s="1186" t="s">
        <v>1572</v>
      </c>
      <c r="B380" s="1186" t="s">
        <v>43</v>
      </c>
      <c r="C380" s="1186">
        <v>4</v>
      </c>
      <c r="D380" s="1186"/>
      <c r="E380" s="1186">
        <v>1</v>
      </c>
      <c r="F380" s="1186">
        <v>11391</v>
      </c>
    </row>
    <row r="381" spans="1:6" x14ac:dyDescent="0.2">
      <c r="A381" s="1186" t="s">
        <v>1572</v>
      </c>
      <c r="B381" s="1186" t="s">
        <v>44</v>
      </c>
      <c r="C381" s="1186">
        <v>97</v>
      </c>
      <c r="D381" s="1186"/>
      <c r="E381" s="1186">
        <v>23</v>
      </c>
      <c r="F381" s="1186">
        <v>73775</v>
      </c>
    </row>
    <row r="382" spans="1:6" x14ac:dyDescent="0.2">
      <c r="A382" s="1186" t="s">
        <v>1572</v>
      </c>
      <c r="B382" s="1186" t="s">
        <v>45</v>
      </c>
      <c r="C382" s="1186">
        <v>151</v>
      </c>
      <c r="D382" s="1186"/>
      <c r="E382" s="1186">
        <v>31</v>
      </c>
      <c r="F382" s="1186">
        <v>88624</v>
      </c>
    </row>
    <row r="383" spans="1:6" x14ac:dyDescent="0.2">
      <c r="A383" s="1186" t="s">
        <v>1572</v>
      </c>
      <c r="B383" s="1186" t="s">
        <v>46</v>
      </c>
      <c r="C383" s="1186">
        <v>77</v>
      </c>
      <c r="D383" s="1186">
        <v>1</v>
      </c>
      <c r="E383" s="1186">
        <v>12</v>
      </c>
      <c r="F383" s="1186">
        <v>58814</v>
      </c>
    </row>
    <row r="384" spans="1:6" x14ac:dyDescent="0.2">
      <c r="A384" s="1186" t="s">
        <v>1572</v>
      </c>
      <c r="B384" s="1186" t="s">
        <v>47</v>
      </c>
      <c r="C384" s="1186">
        <v>24</v>
      </c>
      <c r="D384" s="1186"/>
      <c r="E384" s="1186">
        <v>2</v>
      </c>
      <c r="F384" s="1186">
        <v>11374</v>
      </c>
    </row>
    <row r="385" spans="1:6" x14ac:dyDescent="0.2">
      <c r="A385" s="1186" t="s">
        <v>1572</v>
      </c>
      <c r="B385" s="1186" t="s">
        <v>48</v>
      </c>
      <c r="C385" s="1186">
        <v>73</v>
      </c>
      <c r="D385" s="1186">
        <v>1</v>
      </c>
      <c r="E385" s="1186">
        <v>16</v>
      </c>
      <c r="F385" s="1186">
        <v>55793</v>
      </c>
    </row>
    <row r="386" spans="1:6" x14ac:dyDescent="0.2">
      <c r="A386" s="1186" t="s">
        <v>1572</v>
      </c>
      <c r="B386" s="1186" t="s">
        <v>49</v>
      </c>
      <c r="C386" s="1186">
        <v>221</v>
      </c>
      <c r="D386" s="1186">
        <v>2</v>
      </c>
      <c r="E386" s="1186">
        <v>46</v>
      </c>
      <c r="F386" s="1186">
        <v>153863</v>
      </c>
    </row>
    <row r="387" spans="1:6" x14ac:dyDescent="0.2">
      <c r="A387" s="1186" t="s">
        <v>1572</v>
      </c>
      <c r="B387" s="1186" t="s">
        <v>50</v>
      </c>
      <c r="C387" s="1186">
        <v>48</v>
      </c>
      <c r="D387" s="1186"/>
      <c r="E387" s="1186">
        <v>7</v>
      </c>
      <c r="F387" s="1186">
        <v>41950</v>
      </c>
    </row>
    <row r="388" spans="1:6" x14ac:dyDescent="0.2">
      <c r="A388" s="1186" t="s">
        <v>1572</v>
      </c>
      <c r="B388" s="1186" t="s">
        <v>51</v>
      </c>
      <c r="C388" s="1186">
        <v>102</v>
      </c>
      <c r="D388" s="1186">
        <v>1</v>
      </c>
      <c r="E388" s="1186">
        <v>18</v>
      </c>
      <c r="F388" s="1186">
        <v>45148</v>
      </c>
    </row>
    <row r="389" spans="1:6" x14ac:dyDescent="0.2">
      <c r="A389" s="1186" t="s">
        <v>1572</v>
      </c>
      <c r="B389" s="1186" t="s">
        <v>52</v>
      </c>
      <c r="C389" s="1186">
        <v>99</v>
      </c>
      <c r="D389" s="1186">
        <v>2</v>
      </c>
      <c r="E389" s="1186">
        <v>23</v>
      </c>
      <c r="F389" s="1186">
        <v>81723</v>
      </c>
    </row>
  </sheetData>
  <pageMargins left="0.7" right="0.7" top="0.75" bottom="0.75" header="0.3" footer="0.3"/>
  <pageSetup paperSize="9" fitToHeight="50" orientation="landscape" r:id="rId1"/>
  <legacyDrawing r:id="rId2"/>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pageSetUpPr fitToPage="1"/>
  </sheetPr>
  <dimension ref="A1:E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5.85546875" bestFit="1" customWidth="1"/>
    <col min="3" max="3" width="23.42578125" bestFit="1" customWidth="1"/>
    <col min="4" max="4" width="19.85546875" bestFit="1" customWidth="1"/>
    <col min="5" max="5" width="18.42578125" bestFit="1" customWidth="1"/>
  </cols>
  <sheetData>
    <row r="1" spans="1:5" x14ac:dyDescent="0.2"/>
    <row r="4" spans="1:5" x14ac:dyDescent="0.2">
      <c r="A4" s="1223" t="s">
        <v>4</v>
      </c>
      <c r="B4" s="1223" t="s">
        <v>11</v>
      </c>
      <c r="C4" s="1223" t="s">
        <v>853</v>
      </c>
      <c r="D4" s="1223" t="s">
        <v>854</v>
      </c>
      <c r="E4" s="1223" t="s">
        <v>855</v>
      </c>
    </row>
    <row r="5" spans="1:5" x14ac:dyDescent="0.2">
      <c r="A5" s="1186" t="s">
        <v>19</v>
      </c>
      <c r="B5" s="1186">
        <v>52075</v>
      </c>
      <c r="C5" s="1186">
        <v>36311</v>
      </c>
      <c r="D5" s="1186">
        <v>12827</v>
      </c>
      <c r="E5" s="1186">
        <v>2937</v>
      </c>
    </row>
    <row r="6" spans="1:5" x14ac:dyDescent="0.2">
      <c r="A6" s="1186" t="s">
        <v>20</v>
      </c>
      <c r="B6" s="1186">
        <v>49851</v>
      </c>
      <c r="C6" s="1186">
        <v>35291</v>
      </c>
      <c r="D6" s="1186">
        <v>11807</v>
      </c>
      <c r="E6" s="1186">
        <v>2753</v>
      </c>
    </row>
    <row r="7" spans="1:5" x14ac:dyDescent="0.2">
      <c r="A7" s="1186" t="s">
        <v>13</v>
      </c>
      <c r="B7" s="1186">
        <v>47922</v>
      </c>
      <c r="C7" s="1186">
        <v>34954</v>
      </c>
      <c r="D7" s="1186">
        <v>10346</v>
      </c>
      <c r="E7" s="1186">
        <v>2622</v>
      </c>
    </row>
    <row r="8" spans="1:5" x14ac:dyDescent="0.2">
      <c r="A8" s="1186" t="s">
        <v>15</v>
      </c>
      <c r="B8" s="1186">
        <v>47288</v>
      </c>
      <c r="C8" s="1186">
        <v>35110</v>
      </c>
      <c r="D8" s="1186">
        <v>9871</v>
      </c>
      <c r="E8" s="1186">
        <v>2307</v>
      </c>
    </row>
    <row r="9" spans="1:5" x14ac:dyDescent="0.2">
      <c r="A9" s="1186" t="s">
        <v>17</v>
      </c>
      <c r="B9" s="1186">
        <v>47195</v>
      </c>
      <c r="C9" s="1186">
        <v>35213</v>
      </c>
      <c r="D9" s="1186">
        <v>9617</v>
      </c>
      <c r="E9" s="1186">
        <v>2365</v>
      </c>
    </row>
    <row r="10" spans="1:5" x14ac:dyDescent="0.2">
      <c r="A10" s="1186" t="s">
        <v>133</v>
      </c>
      <c r="B10" s="1186">
        <v>48649</v>
      </c>
      <c r="C10" s="1186">
        <v>37337</v>
      </c>
      <c r="D10" s="1186">
        <v>9256</v>
      </c>
      <c r="E10" s="1186">
        <v>2056</v>
      </c>
    </row>
    <row r="11" spans="1:5" x14ac:dyDescent="0.2">
      <c r="A11" s="1186" t="s">
        <v>144</v>
      </c>
      <c r="B11" s="1186">
        <v>48846</v>
      </c>
      <c r="C11" s="1186">
        <v>37621</v>
      </c>
      <c r="D11" s="1186">
        <v>8850</v>
      </c>
      <c r="E11" s="1186">
        <v>2375</v>
      </c>
    </row>
    <row r="12" spans="1:5" x14ac:dyDescent="0.2">
      <c r="A12" s="1186" t="s">
        <v>282</v>
      </c>
      <c r="B12" s="1186">
        <v>50868</v>
      </c>
      <c r="C12" s="1186">
        <v>39630</v>
      </c>
      <c r="D12" s="1186">
        <v>8957</v>
      </c>
      <c r="E12" s="1186">
        <v>2281</v>
      </c>
    </row>
    <row r="13" spans="1:5" x14ac:dyDescent="0.2">
      <c r="A13" s="1186" t="s">
        <v>311</v>
      </c>
      <c r="B13" s="1186">
        <v>51884</v>
      </c>
      <c r="C13" s="1186">
        <v>40436</v>
      </c>
      <c r="D13" s="1186">
        <v>9111</v>
      </c>
      <c r="E13" s="1186">
        <v>2337</v>
      </c>
    </row>
    <row r="14" spans="1:5" x14ac:dyDescent="0.2">
      <c r="A14" s="1186" t="s">
        <v>621</v>
      </c>
      <c r="B14" s="1186">
        <v>52158</v>
      </c>
      <c r="C14" s="1186">
        <v>40641</v>
      </c>
      <c r="D14" s="1186">
        <v>9238</v>
      </c>
      <c r="E14" s="1186">
        <v>2279</v>
      </c>
    </row>
    <row r="15" spans="1:5" x14ac:dyDescent="0.2">
      <c r="A15" s="1186" t="s">
        <v>1419</v>
      </c>
      <c r="B15" s="1186">
        <v>52302</v>
      </c>
      <c r="C15" s="1186">
        <v>41467</v>
      </c>
      <c r="D15" s="1186">
        <v>8637</v>
      </c>
      <c r="E15" s="1186">
        <v>2198</v>
      </c>
    </row>
    <row r="16" spans="1:5" x14ac:dyDescent="0.2">
      <c r="A16" s="1186" t="s">
        <v>1572</v>
      </c>
      <c r="B16" s="1186">
        <v>46820</v>
      </c>
      <c r="C16" s="1186">
        <v>35809</v>
      </c>
      <c r="D16" s="1186">
        <v>9517</v>
      </c>
      <c r="E16" s="1186">
        <v>1494</v>
      </c>
    </row>
  </sheetData>
  <pageMargins left="0.7" right="0.7" top="0.75" bottom="0.75" header="0.3" footer="0.3"/>
  <pageSetup paperSize="9" fitToHeight="50" orientation="landscape" r:id="rId1"/>
  <legacyDrawing r:id="rId2"/>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pageSetUpPr fitToPage="1"/>
  </sheetPr>
  <dimension ref="A1:G392"/>
  <sheetViews>
    <sheetView zoomScale="85" zoomScaleNormal="85" workbookViewId="0">
      <pane ySplit="4" topLeftCell="A348"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9.5703125" bestFit="1" customWidth="1"/>
    <col min="3" max="3" width="5.85546875" bestFit="1" customWidth="1"/>
    <col min="4" max="4" width="19.42578125" bestFit="1" customWidth="1"/>
    <col min="5" max="5" width="24.42578125" bestFit="1" customWidth="1"/>
    <col min="6" max="6" width="20.85546875" bestFit="1" customWidth="1"/>
    <col min="7" max="7" width="6.85546875" bestFit="1" customWidth="1"/>
  </cols>
  <sheetData>
    <row r="1" spans="1:7" x14ac:dyDescent="0.2"/>
    <row r="4" spans="1:7" x14ac:dyDescent="0.2">
      <c r="A4" s="1223" t="s">
        <v>4</v>
      </c>
      <c r="B4" s="1223" t="s">
        <v>1627</v>
      </c>
      <c r="C4" s="1223" t="s">
        <v>11</v>
      </c>
      <c r="D4" s="1223" t="s">
        <v>1640</v>
      </c>
      <c r="E4" s="1223" t="s">
        <v>1641</v>
      </c>
      <c r="F4" s="1223" t="s">
        <v>1642</v>
      </c>
      <c r="G4" s="1223" t="s">
        <v>1582</v>
      </c>
    </row>
    <row r="5" spans="1:7" x14ac:dyDescent="0.2">
      <c r="A5" s="1186" t="s">
        <v>19</v>
      </c>
      <c r="B5" s="1186" t="s">
        <v>23</v>
      </c>
      <c r="C5" s="1186">
        <v>1889</v>
      </c>
      <c r="D5" s="1186">
        <v>138</v>
      </c>
      <c r="E5" s="1186">
        <v>1541</v>
      </c>
      <c r="F5" s="1186">
        <v>210</v>
      </c>
      <c r="G5" s="1186">
        <v>217020</v>
      </c>
    </row>
    <row r="6" spans="1:7" x14ac:dyDescent="0.2">
      <c r="A6" s="1186" t="s">
        <v>19</v>
      </c>
      <c r="B6" s="1186" t="s">
        <v>24</v>
      </c>
      <c r="C6" s="1186">
        <v>839</v>
      </c>
      <c r="D6" s="1186">
        <v>41</v>
      </c>
      <c r="E6" s="1186">
        <v>644</v>
      </c>
      <c r="F6" s="1186">
        <v>154</v>
      </c>
      <c r="G6" s="1186">
        <v>249020</v>
      </c>
    </row>
    <row r="7" spans="1:7" x14ac:dyDescent="0.2">
      <c r="A7" s="1186" t="s">
        <v>19</v>
      </c>
      <c r="B7" s="1186" t="s">
        <v>25</v>
      </c>
      <c r="C7" s="1186">
        <v>894</v>
      </c>
      <c r="D7" s="1186">
        <v>34</v>
      </c>
      <c r="E7" s="1186">
        <v>698</v>
      </c>
      <c r="F7" s="1186">
        <v>162</v>
      </c>
      <c r="G7" s="1186">
        <v>114830</v>
      </c>
    </row>
    <row r="8" spans="1:7" x14ac:dyDescent="0.2">
      <c r="A8" s="1186" t="s">
        <v>19</v>
      </c>
      <c r="B8" s="1186" t="s">
        <v>26</v>
      </c>
      <c r="C8" s="1186">
        <v>1171</v>
      </c>
      <c r="D8" s="1186">
        <v>23</v>
      </c>
      <c r="E8" s="1186">
        <v>689</v>
      </c>
      <c r="F8" s="1186">
        <v>459</v>
      </c>
      <c r="G8" s="1186">
        <v>89450</v>
      </c>
    </row>
    <row r="9" spans="1:7" x14ac:dyDescent="0.2">
      <c r="A9" s="1186" t="s">
        <v>19</v>
      </c>
      <c r="B9" s="1186" t="s">
        <v>619</v>
      </c>
      <c r="C9" s="1186">
        <v>6665</v>
      </c>
      <c r="D9" s="1186">
        <v>302</v>
      </c>
      <c r="E9" s="1186">
        <v>4946</v>
      </c>
      <c r="F9" s="1186">
        <v>1417</v>
      </c>
      <c r="G9" s="1186">
        <v>463230</v>
      </c>
    </row>
    <row r="10" spans="1:7" x14ac:dyDescent="0.2">
      <c r="A10" s="1186" t="s">
        <v>19</v>
      </c>
      <c r="B10" s="1186" t="s">
        <v>27</v>
      </c>
      <c r="C10" s="1186">
        <v>520</v>
      </c>
      <c r="D10" s="1186">
        <v>21</v>
      </c>
      <c r="E10" s="1186">
        <v>336</v>
      </c>
      <c r="F10" s="1186">
        <v>163</v>
      </c>
      <c r="G10" s="1186">
        <v>51290</v>
      </c>
    </row>
    <row r="11" spans="1:7" x14ac:dyDescent="0.2">
      <c r="A11" s="1186" t="s">
        <v>19</v>
      </c>
      <c r="B11" s="1186" t="s">
        <v>28</v>
      </c>
      <c r="C11" s="1186">
        <v>616</v>
      </c>
      <c r="D11" s="1186">
        <v>19</v>
      </c>
      <c r="E11" s="1186">
        <v>467</v>
      </c>
      <c r="F11" s="1186">
        <v>130</v>
      </c>
      <c r="G11" s="1186">
        <v>151160</v>
      </c>
    </row>
    <row r="12" spans="1:7" x14ac:dyDescent="0.2">
      <c r="A12" s="1186" t="s">
        <v>19</v>
      </c>
      <c r="B12" s="1186" t="s">
        <v>29</v>
      </c>
      <c r="C12" s="1186">
        <v>2241</v>
      </c>
      <c r="D12" s="1186">
        <v>147</v>
      </c>
      <c r="E12" s="1186">
        <v>1610</v>
      </c>
      <c r="F12" s="1186">
        <v>484</v>
      </c>
      <c r="G12" s="1186">
        <v>145170</v>
      </c>
    </row>
    <row r="13" spans="1:7" x14ac:dyDescent="0.2">
      <c r="A13" s="1186" t="s">
        <v>19</v>
      </c>
      <c r="B13" s="1186" t="s">
        <v>30</v>
      </c>
      <c r="C13" s="1186">
        <v>1212</v>
      </c>
      <c r="D13" s="1186">
        <v>135</v>
      </c>
      <c r="E13" s="1186">
        <v>715</v>
      </c>
      <c r="F13" s="1186">
        <v>362</v>
      </c>
      <c r="G13" s="1186">
        <v>122110</v>
      </c>
    </row>
    <row r="14" spans="1:7" x14ac:dyDescent="0.2">
      <c r="A14" s="1186" t="s">
        <v>19</v>
      </c>
      <c r="B14" s="1186" t="s">
        <v>31</v>
      </c>
      <c r="C14" s="1186">
        <v>554</v>
      </c>
      <c r="D14" s="1186">
        <v>23</v>
      </c>
      <c r="E14" s="1186">
        <v>344</v>
      </c>
      <c r="F14" s="1186">
        <v>187</v>
      </c>
      <c r="G14" s="1186">
        <v>104960</v>
      </c>
    </row>
    <row r="15" spans="1:7" x14ac:dyDescent="0.2">
      <c r="A15" s="1186" t="s">
        <v>19</v>
      </c>
      <c r="B15" s="1186" t="s">
        <v>32</v>
      </c>
      <c r="C15" s="1186">
        <v>705</v>
      </c>
      <c r="D15" s="1186">
        <v>35</v>
      </c>
      <c r="E15" s="1186">
        <v>452</v>
      </c>
      <c r="F15" s="1186">
        <v>218</v>
      </c>
      <c r="G15" s="1186">
        <v>98340</v>
      </c>
    </row>
    <row r="16" spans="1:7" x14ac:dyDescent="0.2">
      <c r="A16" s="1186" t="s">
        <v>19</v>
      </c>
      <c r="B16" s="1186" t="s">
        <v>33</v>
      </c>
      <c r="C16" s="1186">
        <v>455</v>
      </c>
      <c r="D16" s="1186">
        <v>30</v>
      </c>
      <c r="E16" s="1186">
        <v>246</v>
      </c>
      <c r="F16" s="1186">
        <v>179</v>
      </c>
      <c r="G16" s="1186">
        <v>89980</v>
      </c>
    </row>
    <row r="17" spans="1:7" x14ac:dyDescent="0.2">
      <c r="A17" s="1186" t="s">
        <v>19</v>
      </c>
      <c r="B17" s="1186" t="s">
        <v>34</v>
      </c>
      <c r="C17" s="1186">
        <v>1141</v>
      </c>
      <c r="D17" s="1186">
        <v>66</v>
      </c>
      <c r="E17" s="1186">
        <v>673</v>
      </c>
      <c r="F17" s="1186">
        <v>402</v>
      </c>
      <c r="G17" s="1186">
        <v>154210</v>
      </c>
    </row>
    <row r="18" spans="1:7" x14ac:dyDescent="0.2">
      <c r="A18" s="1186" t="s">
        <v>19</v>
      </c>
      <c r="B18" s="1186" t="s">
        <v>35</v>
      </c>
      <c r="C18" s="1186">
        <v>2514</v>
      </c>
      <c r="D18" s="1186">
        <v>84</v>
      </c>
      <c r="E18" s="1186">
        <v>1945</v>
      </c>
      <c r="F18" s="1186">
        <v>485</v>
      </c>
      <c r="G18" s="1186">
        <v>361420</v>
      </c>
    </row>
    <row r="19" spans="1:7" x14ac:dyDescent="0.2">
      <c r="A19" s="1186" t="s">
        <v>19</v>
      </c>
      <c r="B19" s="1186" t="s">
        <v>36</v>
      </c>
      <c r="C19" s="1186">
        <v>10720</v>
      </c>
      <c r="D19" s="1186">
        <v>739</v>
      </c>
      <c r="E19" s="1186">
        <v>7715</v>
      </c>
      <c r="F19" s="1186">
        <v>2266</v>
      </c>
      <c r="G19" s="1186">
        <v>581620</v>
      </c>
    </row>
    <row r="20" spans="1:7" x14ac:dyDescent="0.2">
      <c r="A20" s="1186" t="s">
        <v>19</v>
      </c>
      <c r="B20" s="1186" t="s">
        <v>37</v>
      </c>
      <c r="C20" s="1186">
        <v>1956</v>
      </c>
      <c r="D20" s="1186">
        <v>63</v>
      </c>
      <c r="E20" s="1186">
        <v>1559</v>
      </c>
      <c r="F20" s="1186">
        <v>334</v>
      </c>
      <c r="G20" s="1186">
        <v>228750</v>
      </c>
    </row>
    <row r="21" spans="1:7" x14ac:dyDescent="0.2">
      <c r="A21" s="1186" t="s">
        <v>19</v>
      </c>
      <c r="B21" s="1186" t="s">
        <v>38</v>
      </c>
      <c r="C21" s="1186">
        <v>822</v>
      </c>
      <c r="D21" s="1186">
        <v>53</v>
      </c>
      <c r="E21" s="1186">
        <v>500</v>
      </c>
      <c r="F21" s="1186">
        <v>269</v>
      </c>
      <c r="G21" s="1186">
        <v>81670</v>
      </c>
    </row>
    <row r="22" spans="1:7" x14ac:dyDescent="0.2">
      <c r="A22" s="1186" t="s">
        <v>19</v>
      </c>
      <c r="B22" s="1186" t="s">
        <v>39</v>
      </c>
      <c r="C22" s="1186">
        <v>489</v>
      </c>
      <c r="D22" s="1186">
        <v>26</v>
      </c>
      <c r="E22" s="1186">
        <v>312</v>
      </c>
      <c r="F22" s="1186">
        <v>151</v>
      </c>
      <c r="G22" s="1186">
        <v>81900</v>
      </c>
    </row>
    <row r="23" spans="1:7" x14ac:dyDescent="0.2">
      <c r="A23" s="1186" t="s">
        <v>19</v>
      </c>
      <c r="B23" s="1186" t="s">
        <v>40</v>
      </c>
      <c r="C23" s="1186">
        <v>477</v>
      </c>
      <c r="D23" s="1186">
        <v>10</v>
      </c>
      <c r="E23" s="1186">
        <v>413</v>
      </c>
      <c r="F23" s="1186">
        <v>54</v>
      </c>
      <c r="G23" s="1186">
        <v>93160</v>
      </c>
    </row>
    <row r="24" spans="1:7" x14ac:dyDescent="0.2">
      <c r="A24" s="1186" t="s">
        <v>19</v>
      </c>
      <c r="B24" s="1186" t="s">
        <v>295</v>
      </c>
      <c r="C24" s="1186">
        <v>228</v>
      </c>
      <c r="D24" s="1186"/>
      <c r="E24" s="1186">
        <v>197</v>
      </c>
      <c r="F24" s="1186">
        <v>31</v>
      </c>
      <c r="G24" s="1186">
        <v>27420</v>
      </c>
    </row>
    <row r="25" spans="1:7" x14ac:dyDescent="0.2">
      <c r="A25" s="1186" t="s">
        <v>19</v>
      </c>
      <c r="B25" s="1186" t="s">
        <v>41</v>
      </c>
      <c r="C25" s="1186">
        <v>1185</v>
      </c>
      <c r="D25" s="1186">
        <v>98</v>
      </c>
      <c r="E25" s="1186">
        <v>677</v>
      </c>
      <c r="F25" s="1186">
        <v>410</v>
      </c>
      <c r="G25" s="1186">
        <v>137830</v>
      </c>
    </row>
    <row r="26" spans="1:7" x14ac:dyDescent="0.2">
      <c r="A26" s="1186" t="s">
        <v>19</v>
      </c>
      <c r="B26" s="1186" t="s">
        <v>42</v>
      </c>
      <c r="C26" s="1186">
        <v>3104</v>
      </c>
      <c r="D26" s="1186">
        <v>246</v>
      </c>
      <c r="E26" s="1186">
        <v>1801</v>
      </c>
      <c r="F26" s="1186">
        <v>1057</v>
      </c>
      <c r="G26" s="1186">
        <v>335160</v>
      </c>
    </row>
    <row r="27" spans="1:7" x14ac:dyDescent="0.2">
      <c r="A27" s="1186" t="s">
        <v>19</v>
      </c>
      <c r="B27" s="1186" t="s">
        <v>43</v>
      </c>
      <c r="C27" s="1186">
        <v>188</v>
      </c>
      <c r="D27" s="1186">
        <v>1</v>
      </c>
      <c r="E27" s="1186">
        <v>168</v>
      </c>
      <c r="F27" s="1186">
        <v>19</v>
      </c>
      <c r="G27" s="1186">
        <v>20940</v>
      </c>
    </row>
    <row r="28" spans="1:7" x14ac:dyDescent="0.2">
      <c r="A28" s="1186" t="s">
        <v>19</v>
      </c>
      <c r="B28" s="1186" t="s">
        <v>44</v>
      </c>
      <c r="C28" s="1186">
        <v>1176</v>
      </c>
      <c r="D28" s="1186">
        <v>26</v>
      </c>
      <c r="E28" s="1186">
        <v>930</v>
      </c>
      <c r="F28" s="1186">
        <v>220</v>
      </c>
      <c r="G28" s="1186">
        <v>144370</v>
      </c>
    </row>
    <row r="29" spans="1:7" x14ac:dyDescent="0.2">
      <c r="A29" s="1186" t="s">
        <v>19</v>
      </c>
      <c r="B29" s="1186" t="s">
        <v>45</v>
      </c>
      <c r="C29" s="1186">
        <v>1892</v>
      </c>
      <c r="D29" s="1186">
        <v>183</v>
      </c>
      <c r="E29" s="1186">
        <v>1143</v>
      </c>
      <c r="F29" s="1186">
        <v>566</v>
      </c>
      <c r="G29" s="1186">
        <v>173020</v>
      </c>
    </row>
    <row r="30" spans="1:7" x14ac:dyDescent="0.2">
      <c r="A30" s="1186" t="s">
        <v>19</v>
      </c>
      <c r="B30" s="1186" t="s">
        <v>46</v>
      </c>
      <c r="C30" s="1186">
        <v>903</v>
      </c>
      <c r="D30" s="1186">
        <v>33</v>
      </c>
      <c r="E30" s="1186">
        <v>610</v>
      </c>
      <c r="F30" s="1186">
        <v>260</v>
      </c>
      <c r="G30" s="1186">
        <v>113590</v>
      </c>
    </row>
    <row r="31" spans="1:7" x14ac:dyDescent="0.2">
      <c r="A31" s="1186" t="s">
        <v>19</v>
      </c>
      <c r="B31" s="1186" t="s">
        <v>47</v>
      </c>
      <c r="C31" s="1186">
        <v>158</v>
      </c>
      <c r="D31" s="1186">
        <v>2</v>
      </c>
      <c r="E31" s="1186">
        <v>134</v>
      </c>
      <c r="F31" s="1186">
        <v>22</v>
      </c>
      <c r="G31" s="1186">
        <v>22800</v>
      </c>
    </row>
    <row r="32" spans="1:7" x14ac:dyDescent="0.2">
      <c r="A32" s="1186" t="s">
        <v>19</v>
      </c>
      <c r="B32" s="1186" t="s">
        <v>48</v>
      </c>
      <c r="C32" s="1186">
        <v>904</v>
      </c>
      <c r="D32" s="1186">
        <v>41</v>
      </c>
      <c r="E32" s="1186">
        <v>653</v>
      </c>
      <c r="F32" s="1186">
        <v>210</v>
      </c>
      <c r="G32" s="1186">
        <v>112490</v>
      </c>
    </row>
    <row r="33" spans="1:7" x14ac:dyDescent="0.2">
      <c r="A33" s="1186" t="s">
        <v>19</v>
      </c>
      <c r="B33" s="1186" t="s">
        <v>49</v>
      </c>
      <c r="C33" s="1186">
        <v>2672</v>
      </c>
      <c r="D33" s="1186">
        <v>161</v>
      </c>
      <c r="E33" s="1186">
        <v>1704</v>
      </c>
      <c r="F33" s="1186">
        <v>807</v>
      </c>
      <c r="G33" s="1186">
        <v>312180</v>
      </c>
    </row>
    <row r="34" spans="1:7" x14ac:dyDescent="0.2">
      <c r="A34" s="1186" t="s">
        <v>19</v>
      </c>
      <c r="B34" s="1186" t="s">
        <v>50</v>
      </c>
      <c r="C34" s="1186">
        <v>976</v>
      </c>
      <c r="D34" s="1186">
        <v>24</v>
      </c>
      <c r="E34" s="1186">
        <v>721</v>
      </c>
      <c r="F34" s="1186">
        <v>231</v>
      </c>
      <c r="G34" s="1186">
        <v>88690</v>
      </c>
    </row>
    <row r="35" spans="1:7" x14ac:dyDescent="0.2">
      <c r="A35" s="1186" t="s">
        <v>19</v>
      </c>
      <c r="B35" s="1186" t="s">
        <v>51</v>
      </c>
      <c r="C35" s="1186">
        <v>877</v>
      </c>
      <c r="D35" s="1186">
        <v>59</v>
      </c>
      <c r="E35" s="1186">
        <v>472</v>
      </c>
      <c r="F35" s="1186">
        <v>346</v>
      </c>
      <c r="G35" s="1186">
        <v>91080</v>
      </c>
    </row>
    <row r="36" spans="1:7" x14ac:dyDescent="0.2">
      <c r="A36" s="1186" t="s">
        <v>19</v>
      </c>
      <c r="B36" s="1186" t="s">
        <v>52</v>
      </c>
      <c r="C36" s="1186">
        <v>1932</v>
      </c>
      <c r="D36" s="1186">
        <v>74</v>
      </c>
      <c r="E36" s="1186">
        <v>1296</v>
      </c>
      <c r="F36" s="1186">
        <v>562</v>
      </c>
      <c r="G36" s="1186">
        <v>173040</v>
      </c>
    </row>
    <row r="37" spans="1:7" x14ac:dyDescent="0.2">
      <c r="A37" s="1186" t="s">
        <v>20</v>
      </c>
      <c r="B37" s="1186" t="s">
        <v>23</v>
      </c>
      <c r="C37" s="1186">
        <v>1837</v>
      </c>
      <c r="D37" s="1186">
        <v>81</v>
      </c>
      <c r="E37" s="1186">
        <v>1518</v>
      </c>
      <c r="F37" s="1186">
        <v>238</v>
      </c>
      <c r="G37" s="1186">
        <v>219730</v>
      </c>
    </row>
    <row r="38" spans="1:7" x14ac:dyDescent="0.2">
      <c r="A38" s="1186" t="s">
        <v>20</v>
      </c>
      <c r="B38" s="1186" t="s">
        <v>24</v>
      </c>
      <c r="C38" s="1186">
        <v>826</v>
      </c>
      <c r="D38" s="1186">
        <v>37</v>
      </c>
      <c r="E38" s="1186">
        <v>630</v>
      </c>
      <c r="F38" s="1186">
        <v>159</v>
      </c>
      <c r="G38" s="1186">
        <v>251430</v>
      </c>
    </row>
    <row r="39" spans="1:7" x14ac:dyDescent="0.2">
      <c r="A39" s="1186" t="s">
        <v>20</v>
      </c>
      <c r="B39" s="1186" t="s">
        <v>25</v>
      </c>
      <c r="C39" s="1186">
        <v>973</v>
      </c>
      <c r="D39" s="1186">
        <v>26</v>
      </c>
      <c r="E39" s="1186">
        <v>826</v>
      </c>
      <c r="F39" s="1186">
        <v>121</v>
      </c>
      <c r="G39" s="1186">
        <v>115410</v>
      </c>
    </row>
    <row r="40" spans="1:7" x14ac:dyDescent="0.2">
      <c r="A40" s="1186" t="s">
        <v>20</v>
      </c>
      <c r="B40" s="1186" t="s">
        <v>26</v>
      </c>
      <c r="C40" s="1186">
        <v>1027</v>
      </c>
      <c r="D40" s="1186">
        <v>25</v>
      </c>
      <c r="E40" s="1186">
        <v>661</v>
      </c>
      <c r="F40" s="1186">
        <v>341</v>
      </c>
      <c r="G40" s="1186">
        <v>88620</v>
      </c>
    </row>
    <row r="41" spans="1:7" x14ac:dyDescent="0.2">
      <c r="A41" s="1186" t="s">
        <v>20</v>
      </c>
      <c r="B41" s="1186" t="s">
        <v>619</v>
      </c>
      <c r="C41" s="1186">
        <v>6611</v>
      </c>
      <c r="D41" s="1186">
        <v>260</v>
      </c>
      <c r="E41" s="1186">
        <v>4938</v>
      </c>
      <c r="F41" s="1186">
        <v>1413</v>
      </c>
      <c r="G41" s="1186">
        <v>469930</v>
      </c>
    </row>
    <row r="42" spans="1:7" x14ac:dyDescent="0.2">
      <c r="A42" s="1186" t="s">
        <v>20</v>
      </c>
      <c r="B42" s="1186" t="s">
        <v>27</v>
      </c>
      <c r="C42" s="1186">
        <v>458</v>
      </c>
      <c r="D42" s="1186">
        <v>12</v>
      </c>
      <c r="E42" s="1186">
        <v>286</v>
      </c>
      <c r="F42" s="1186">
        <v>160</v>
      </c>
      <c r="G42" s="1186">
        <v>51330</v>
      </c>
    </row>
    <row r="43" spans="1:7" x14ac:dyDescent="0.2">
      <c r="A43" s="1186" t="s">
        <v>20</v>
      </c>
      <c r="B43" s="1186" t="s">
        <v>28</v>
      </c>
      <c r="C43" s="1186">
        <v>633</v>
      </c>
      <c r="D43" s="1186">
        <v>19</v>
      </c>
      <c r="E43" s="1186">
        <v>444</v>
      </c>
      <c r="F43" s="1186">
        <v>170</v>
      </c>
      <c r="G43" s="1186">
        <v>151100</v>
      </c>
    </row>
    <row r="44" spans="1:7" x14ac:dyDescent="0.2">
      <c r="A44" s="1186" t="s">
        <v>20</v>
      </c>
      <c r="B44" s="1186" t="s">
        <v>29</v>
      </c>
      <c r="C44" s="1186">
        <v>2294</v>
      </c>
      <c r="D44" s="1186">
        <v>119</v>
      </c>
      <c r="E44" s="1186">
        <v>1844</v>
      </c>
      <c r="F44" s="1186">
        <v>331</v>
      </c>
      <c r="G44" s="1186">
        <v>146060</v>
      </c>
    </row>
    <row r="45" spans="1:7" x14ac:dyDescent="0.2">
      <c r="A45" s="1186" t="s">
        <v>20</v>
      </c>
      <c r="B45" s="1186" t="s">
        <v>30</v>
      </c>
      <c r="C45" s="1186">
        <v>1396</v>
      </c>
      <c r="D45" s="1186">
        <v>110</v>
      </c>
      <c r="E45" s="1186">
        <v>866</v>
      </c>
      <c r="F45" s="1186">
        <v>420</v>
      </c>
      <c r="G45" s="1186">
        <v>122410</v>
      </c>
    </row>
    <row r="46" spans="1:7" x14ac:dyDescent="0.2">
      <c r="A46" s="1186" t="s">
        <v>20</v>
      </c>
      <c r="B46" s="1186" t="s">
        <v>31</v>
      </c>
      <c r="C46" s="1186">
        <v>564</v>
      </c>
      <c r="D46" s="1186">
        <v>29</v>
      </c>
      <c r="E46" s="1186">
        <v>349</v>
      </c>
      <c r="F46" s="1186">
        <v>186</v>
      </c>
      <c r="G46" s="1186">
        <v>104920</v>
      </c>
    </row>
    <row r="47" spans="1:7" x14ac:dyDescent="0.2">
      <c r="A47" s="1186" t="s">
        <v>20</v>
      </c>
      <c r="B47" s="1186" t="s">
        <v>32</v>
      </c>
      <c r="C47" s="1186">
        <v>714</v>
      </c>
      <c r="D47" s="1186">
        <v>28</v>
      </c>
      <c r="E47" s="1186">
        <v>496</v>
      </c>
      <c r="F47" s="1186">
        <v>190</v>
      </c>
      <c r="G47" s="1186">
        <v>99140</v>
      </c>
    </row>
    <row r="48" spans="1:7" x14ac:dyDescent="0.2">
      <c r="A48" s="1186" t="s">
        <v>20</v>
      </c>
      <c r="B48" s="1186" t="s">
        <v>33</v>
      </c>
      <c r="C48" s="1186">
        <v>447</v>
      </c>
      <c r="D48" s="1186">
        <v>17</v>
      </c>
      <c r="E48" s="1186">
        <v>269</v>
      </c>
      <c r="F48" s="1186">
        <v>161</v>
      </c>
      <c r="G48" s="1186">
        <v>90410</v>
      </c>
    </row>
    <row r="49" spans="1:7" x14ac:dyDescent="0.2">
      <c r="A49" s="1186" t="s">
        <v>20</v>
      </c>
      <c r="B49" s="1186" t="s">
        <v>34</v>
      </c>
      <c r="C49" s="1186">
        <v>1297</v>
      </c>
      <c r="D49" s="1186">
        <v>72</v>
      </c>
      <c r="E49" s="1186">
        <v>799</v>
      </c>
      <c r="F49" s="1186">
        <v>426</v>
      </c>
      <c r="G49" s="1186">
        <v>155130</v>
      </c>
    </row>
    <row r="50" spans="1:7" x14ac:dyDescent="0.2">
      <c r="A50" s="1186" t="s">
        <v>20</v>
      </c>
      <c r="B50" s="1186" t="s">
        <v>35</v>
      </c>
      <c r="C50" s="1186">
        <v>2315</v>
      </c>
      <c r="D50" s="1186">
        <v>120</v>
      </c>
      <c r="E50" s="1186">
        <v>1771</v>
      </c>
      <c r="F50" s="1186">
        <v>424</v>
      </c>
      <c r="G50" s="1186">
        <v>362610</v>
      </c>
    </row>
    <row r="51" spans="1:7" x14ac:dyDescent="0.2">
      <c r="A51" s="1186" t="s">
        <v>20</v>
      </c>
      <c r="B51" s="1186" t="s">
        <v>36</v>
      </c>
      <c r="C51" s="1186">
        <v>9417</v>
      </c>
      <c r="D51" s="1186">
        <v>761</v>
      </c>
      <c r="E51" s="1186">
        <v>6699</v>
      </c>
      <c r="F51" s="1186">
        <v>1957</v>
      </c>
      <c r="G51" s="1186">
        <v>586500</v>
      </c>
    </row>
    <row r="52" spans="1:7" x14ac:dyDescent="0.2">
      <c r="A52" s="1186" t="s">
        <v>20</v>
      </c>
      <c r="B52" s="1186" t="s">
        <v>37</v>
      </c>
      <c r="C52" s="1186">
        <v>1775</v>
      </c>
      <c r="D52" s="1186">
        <v>36</v>
      </c>
      <c r="E52" s="1186">
        <v>1422</v>
      </c>
      <c r="F52" s="1186">
        <v>317</v>
      </c>
      <c r="G52" s="1186">
        <v>230730</v>
      </c>
    </row>
    <row r="53" spans="1:7" x14ac:dyDescent="0.2">
      <c r="A53" s="1186" t="s">
        <v>20</v>
      </c>
      <c r="B53" s="1186" t="s">
        <v>38</v>
      </c>
      <c r="C53" s="1186">
        <v>834</v>
      </c>
      <c r="D53" s="1186">
        <v>58</v>
      </c>
      <c r="E53" s="1186">
        <v>524</v>
      </c>
      <c r="F53" s="1186">
        <v>252</v>
      </c>
      <c r="G53" s="1186">
        <v>81510</v>
      </c>
    </row>
    <row r="54" spans="1:7" x14ac:dyDescent="0.2">
      <c r="A54" s="1186" t="s">
        <v>20</v>
      </c>
      <c r="B54" s="1186" t="s">
        <v>39</v>
      </c>
      <c r="C54" s="1186">
        <v>451</v>
      </c>
      <c r="D54" s="1186">
        <v>22</v>
      </c>
      <c r="E54" s="1186">
        <v>322</v>
      </c>
      <c r="F54" s="1186">
        <v>107</v>
      </c>
      <c r="G54" s="1186">
        <v>82360</v>
      </c>
    </row>
    <row r="55" spans="1:7" x14ac:dyDescent="0.2">
      <c r="A55" s="1186" t="s">
        <v>20</v>
      </c>
      <c r="B55" s="1186" t="s">
        <v>40</v>
      </c>
      <c r="C55" s="1186">
        <v>482</v>
      </c>
      <c r="D55" s="1186">
        <v>13</v>
      </c>
      <c r="E55" s="1186">
        <v>402</v>
      </c>
      <c r="F55" s="1186">
        <v>67</v>
      </c>
      <c r="G55" s="1186">
        <v>93690</v>
      </c>
    </row>
    <row r="56" spans="1:7" x14ac:dyDescent="0.2">
      <c r="A56" s="1186" t="s">
        <v>20</v>
      </c>
      <c r="B56" s="1186" t="s">
        <v>295</v>
      </c>
      <c r="C56" s="1186">
        <v>222</v>
      </c>
      <c r="D56" s="1186"/>
      <c r="E56" s="1186">
        <v>154</v>
      </c>
      <c r="F56" s="1186">
        <v>68</v>
      </c>
      <c r="G56" s="1186">
        <v>27600</v>
      </c>
    </row>
    <row r="57" spans="1:7" x14ac:dyDescent="0.2">
      <c r="A57" s="1186" t="s">
        <v>20</v>
      </c>
      <c r="B57" s="1186" t="s">
        <v>41</v>
      </c>
      <c r="C57" s="1186">
        <v>1156</v>
      </c>
      <c r="D57" s="1186">
        <v>80</v>
      </c>
      <c r="E57" s="1186">
        <v>677</v>
      </c>
      <c r="F57" s="1186">
        <v>399</v>
      </c>
      <c r="G57" s="1186">
        <v>137800</v>
      </c>
    </row>
    <row r="58" spans="1:7" x14ac:dyDescent="0.2">
      <c r="A58" s="1186" t="s">
        <v>20</v>
      </c>
      <c r="B58" s="1186" t="s">
        <v>42</v>
      </c>
      <c r="C58" s="1186">
        <v>2937</v>
      </c>
      <c r="D58" s="1186">
        <v>263</v>
      </c>
      <c r="E58" s="1186">
        <v>1674</v>
      </c>
      <c r="F58" s="1186">
        <v>1000</v>
      </c>
      <c r="G58" s="1186">
        <v>336280</v>
      </c>
    </row>
    <row r="59" spans="1:7" x14ac:dyDescent="0.2">
      <c r="A59" s="1186" t="s">
        <v>20</v>
      </c>
      <c r="B59" s="1186" t="s">
        <v>43</v>
      </c>
      <c r="C59" s="1186">
        <v>127</v>
      </c>
      <c r="D59" s="1186"/>
      <c r="E59" s="1186">
        <v>108</v>
      </c>
      <c r="F59" s="1186">
        <v>19</v>
      </c>
      <c r="G59" s="1186">
        <v>21220</v>
      </c>
    </row>
    <row r="60" spans="1:7" x14ac:dyDescent="0.2">
      <c r="A60" s="1186" t="s">
        <v>20</v>
      </c>
      <c r="B60" s="1186" t="s">
        <v>44</v>
      </c>
      <c r="C60" s="1186">
        <v>1148</v>
      </c>
      <c r="D60" s="1186">
        <v>29</v>
      </c>
      <c r="E60" s="1186">
        <v>894</v>
      </c>
      <c r="F60" s="1186">
        <v>225</v>
      </c>
      <c r="G60" s="1186">
        <v>145600</v>
      </c>
    </row>
    <row r="61" spans="1:7" x14ac:dyDescent="0.2">
      <c r="A61" s="1186" t="s">
        <v>20</v>
      </c>
      <c r="B61" s="1186" t="s">
        <v>45</v>
      </c>
      <c r="C61" s="1186">
        <v>1674</v>
      </c>
      <c r="D61" s="1186">
        <v>130</v>
      </c>
      <c r="E61" s="1186">
        <v>1027</v>
      </c>
      <c r="F61" s="1186">
        <v>517</v>
      </c>
      <c r="G61" s="1186">
        <v>173700</v>
      </c>
    </row>
    <row r="62" spans="1:7" x14ac:dyDescent="0.2">
      <c r="A62" s="1186" t="s">
        <v>20</v>
      </c>
      <c r="B62" s="1186" t="s">
        <v>46</v>
      </c>
      <c r="C62" s="1186">
        <v>891</v>
      </c>
      <c r="D62" s="1186">
        <v>10</v>
      </c>
      <c r="E62" s="1186">
        <v>634</v>
      </c>
      <c r="F62" s="1186">
        <v>247</v>
      </c>
      <c r="G62" s="1186">
        <v>113700</v>
      </c>
    </row>
    <row r="63" spans="1:7" x14ac:dyDescent="0.2">
      <c r="A63" s="1186" t="s">
        <v>20</v>
      </c>
      <c r="B63" s="1186" t="s">
        <v>47</v>
      </c>
      <c r="C63" s="1186">
        <v>142</v>
      </c>
      <c r="D63" s="1186">
        <v>1</v>
      </c>
      <c r="E63" s="1186">
        <v>129</v>
      </c>
      <c r="F63" s="1186">
        <v>12</v>
      </c>
      <c r="G63" s="1186">
        <v>23060</v>
      </c>
    </row>
    <row r="64" spans="1:7" x14ac:dyDescent="0.2">
      <c r="A64" s="1186" t="s">
        <v>20</v>
      </c>
      <c r="B64" s="1186" t="s">
        <v>48</v>
      </c>
      <c r="C64" s="1186">
        <v>1015</v>
      </c>
      <c r="D64" s="1186">
        <v>65</v>
      </c>
      <c r="E64" s="1186">
        <v>698</v>
      </c>
      <c r="F64" s="1186">
        <v>252</v>
      </c>
      <c r="G64" s="1186">
        <v>112600</v>
      </c>
    </row>
    <row r="65" spans="1:7" x14ac:dyDescent="0.2">
      <c r="A65" s="1186" t="s">
        <v>20</v>
      </c>
      <c r="B65" s="1186" t="s">
        <v>49</v>
      </c>
      <c r="C65" s="1186">
        <v>2575</v>
      </c>
      <c r="D65" s="1186">
        <v>175</v>
      </c>
      <c r="E65" s="1186">
        <v>1731</v>
      </c>
      <c r="F65" s="1186">
        <v>669</v>
      </c>
      <c r="G65" s="1186">
        <v>313180</v>
      </c>
    </row>
    <row r="66" spans="1:7" x14ac:dyDescent="0.2">
      <c r="A66" s="1186" t="s">
        <v>20</v>
      </c>
      <c r="B66" s="1186" t="s">
        <v>50</v>
      </c>
      <c r="C66" s="1186">
        <v>880</v>
      </c>
      <c r="D66" s="1186">
        <v>19</v>
      </c>
      <c r="E66" s="1186">
        <v>685</v>
      </c>
      <c r="F66" s="1186">
        <v>176</v>
      </c>
      <c r="G66" s="1186">
        <v>89550</v>
      </c>
    </row>
    <row r="67" spans="1:7" x14ac:dyDescent="0.2">
      <c r="A67" s="1186" t="s">
        <v>20</v>
      </c>
      <c r="B67" s="1186" t="s">
        <v>51</v>
      </c>
      <c r="C67" s="1186">
        <v>798</v>
      </c>
      <c r="D67" s="1186">
        <v>62</v>
      </c>
      <c r="E67" s="1186">
        <v>413</v>
      </c>
      <c r="F67" s="1186">
        <v>323</v>
      </c>
      <c r="G67" s="1186">
        <v>90800</v>
      </c>
    </row>
    <row r="68" spans="1:7" x14ac:dyDescent="0.2">
      <c r="A68" s="1186" t="s">
        <v>20</v>
      </c>
      <c r="B68" s="1186" t="s">
        <v>52</v>
      </c>
      <c r="C68" s="1186">
        <v>1935</v>
      </c>
      <c r="D68" s="1186">
        <v>74</v>
      </c>
      <c r="E68" s="1186">
        <v>1401</v>
      </c>
      <c r="F68" s="1186">
        <v>460</v>
      </c>
      <c r="G68" s="1186">
        <v>174090</v>
      </c>
    </row>
    <row r="69" spans="1:7" x14ac:dyDescent="0.2">
      <c r="A69" s="1186" t="s">
        <v>13</v>
      </c>
      <c r="B69" s="1186" t="s">
        <v>23</v>
      </c>
      <c r="C69" s="1186">
        <v>1869</v>
      </c>
      <c r="D69" s="1186">
        <v>88</v>
      </c>
      <c r="E69" s="1186">
        <v>1554</v>
      </c>
      <c r="F69" s="1186">
        <v>227</v>
      </c>
      <c r="G69" s="1186">
        <v>222460</v>
      </c>
    </row>
    <row r="70" spans="1:7" x14ac:dyDescent="0.2">
      <c r="A70" s="1186" t="s">
        <v>13</v>
      </c>
      <c r="B70" s="1186" t="s">
        <v>24</v>
      </c>
      <c r="C70" s="1186">
        <v>827</v>
      </c>
      <c r="D70" s="1186">
        <v>32</v>
      </c>
      <c r="E70" s="1186">
        <v>619</v>
      </c>
      <c r="F70" s="1186">
        <v>176</v>
      </c>
      <c r="G70" s="1186">
        <v>253650</v>
      </c>
    </row>
    <row r="71" spans="1:7" x14ac:dyDescent="0.2">
      <c r="A71" s="1186" t="s">
        <v>13</v>
      </c>
      <c r="B71" s="1186" t="s">
        <v>25</v>
      </c>
      <c r="C71" s="1186">
        <v>959</v>
      </c>
      <c r="D71" s="1186">
        <v>19</v>
      </c>
      <c r="E71" s="1186">
        <v>816</v>
      </c>
      <c r="F71" s="1186">
        <v>124</v>
      </c>
      <c r="G71" s="1186">
        <v>116200</v>
      </c>
    </row>
    <row r="72" spans="1:7" x14ac:dyDescent="0.2">
      <c r="A72" s="1186" t="s">
        <v>13</v>
      </c>
      <c r="B72" s="1186" t="s">
        <v>26</v>
      </c>
      <c r="C72" s="1186">
        <v>1175</v>
      </c>
      <c r="D72" s="1186">
        <v>27</v>
      </c>
      <c r="E72" s="1186">
        <v>822</v>
      </c>
      <c r="F72" s="1186">
        <v>326</v>
      </c>
      <c r="G72" s="1186">
        <v>88930</v>
      </c>
    </row>
    <row r="73" spans="1:7" x14ac:dyDescent="0.2">
      <c r="A73" s="1186" t="s">
        <v>13</v>
      </c>
      <c r="B73" s="1186" t="s">
        <v>619</v>
      </c>
      <c r="C73" s="1186">
        <v>6592</v>
      </c>
      <c r="D73" s="1186">
        <v>237</v>
      </c>
      <c r="E73" s="1186">
        <v>5065</v>
      </c>
      <c r="F73" s="1186">
        <v>1290</v>
      </c>
      <c r="G73" s="1186">
        <v>477940</v>
      </c>
    </row>
    <row r="74" spans="1:7" x14ac:dyDescent="0.2">
      <c r="A74" s="1186" t="s">
        <v>13</v>
      </c>
      <c r="B74" s="1186" t="s">
        <v>27</v>
      </c>
      <c r="C74" s="1186">
        <v>459</v>
      </c>
      <c r="D74" s="1186">
        <v>16</v>
      </c>
      <c r="E74" s="1186">
        <v>331</v>
      </c>
      <c r="F74" s="1186">
        <v>112</v>
      </c>
      <c r="G74" s="1186">
        <v>51500</v>
      </c>
    </row>
    <row r="75" spans="1:7" x14ac:dyDescent="0.2">
      <c r="A75" s="1186" t="s">
        <v>13</v>
      </c>
      <c r="B75" s="1186" t="s">
        <v>28</v>
      </c>
      <c r="C75" s="1186">
        <v>636</v>
      </c>
      <c r="D75" s="1186">
        <v>21</v>
      </c>
      <c r="E75" s="1186">
        <v>481</v>
      </c>
      <c r="F75" s="1186">
        <v>134</v>
      </c>
      <c r="G75" s="1186">
        <v>151410</v>
      </c>
    </row>
    <row r="76" spans="1:7" x14ac:dyDescent="0.2">
      <c r="A76" s="1186" t="s">
        <v>13</v>
      </c>
      <c r="B76" s="1186" t="s">
        <v>29</v>
      </c>
      <c r="C76" s="1186">
        <v>2187</v>
      </c>
      <c r="D76" s="1186">
        <v>119</v>
      </c>
      <c r="E76" s="1186">
        <v>1770</v>
      </c>
      <c r="F76" s="1186">
        <v>298</v>
      </c>
      <c r="G76" s="1186">
        <v>147200</v>
      </c>
    </row>
    <row r="77" spans="1:7" x14ac:dyDescent="0.2">
      <c r="A77" s="1186" t="s">
        <v>13</v>
      </c>
      <c r="B77" s="1186" t="s">
        <v>30</v>
      </c>
      <c r="C77" s="1186">
        <v>1326</v>
      </c>
      <c r="D77" s="1186">
        <v>111</v>
      </c>
      <c r="E77" s="1186">
        <v>919</v>
      </c>
      <c r="F77" s="1186">
        <v>296</v>
      </c>
      <c r="G77" s="1186">
        <v>122690</v>
      </c>
    </row>
    <row r="78" spans="1:7" x14ac:dyDescent="0.2">
      <c r="A78" s="1186" t="s">
        <v>13</v>
      </c>
      <c r="B78" s="1186" t="s">
        <v>31</v>
      </c>
      <c r="C78" s="1186">
        <v>544</v>
      </c>
      <c r="D78" s="1186">
        <v>21</v>
      </c>
      <c r="E78" s="1186">
        <v>372</v>
      </c>
      <c r="F78" s="1186">
        <v>151</v>
      </c>
      <c r="G78" s="1186">
        <v>105000</v>
      </c>
    </row>
    <row r="79" spans="1:7" x14ac:dyDescent="0.2">
      <c r="A79" s="1186" t="s">
        <v>13</v>
      </c>
      <c r="B79" s="1186" t="s">
        <v>32</v>
      </c>
      <c r="C79" s="1186">
        <v>691</v>
      </c>
      <c r="D79" s="1186">
        <v>36</v>
      </c>
      <c r="E79" s="1186">
        <v>499</v>
      </c>
      <c r="F79" s="1186">
        <v>156</v>
      </c>
      <c r="G79" s="1186">
        <v>99920</v>
      </c>
    </row>
    <row r="80" spans="1:7" x14ac:dyDescent="0.2">
      <c r="A80" s="1186" t="s">
        <v>13</v>
      </c>
      <c r="B80" s="1186" t="s">
        <v>33</v>
      </c>
      <c r="C80" s="1186">
        <v>421</v>
      </c>
      <c r="D80" s="1186">
        <v>26</v>
      </c>
      <c r="E80" s="1186">
        <v>256</v>
      </c>
      <c r="F80" s="1186">
        <v>139</v>
      </c>
      <c r="G80" s="1186">
        <v>90810</v>
      </c>
    </row>
    <row r="81" spans="1:7" x14ac:dyDescent="0.2">
      <c r="A81" s="1186" t="s">
        <v>13</v>
      </c>
      <c r="B81" s="1186" t="s">
        <v>34</v>
      </c>
      <c r="C81" s="1186">
        <v>1283</v>
      </c>
      <c r="D81" s="1186">
        <v>65</v>
      </c>
      <c r="E81" s="1186">
        <v>813</v>
      </c>
      <c r="F81" s="1186">
        <v>405</v>
      </c>
      <c r="G81" s="1186">
        <v>156250</v>
      </c>
    </row>
    <row r="82" spans="1:7" x14ac:dyDescent="0.2">
      <c r="A82" s="1186" t="s">
        <v>13</v>
      </c>
      <c r="B82" s="1186" t="s">
        <v>35</v>
      </c>
      <c r="C82" s="1186">
        <v>2385</v>
      </c>
      <c r="D82" s="1186">
        <v>107</v>
      </c>
      <c r="E82" s="1186">
        <v>1832</v>
      </c>
      <c r="F82" s="1186">
        <v>446</v>
      </c>
      <c r="G82" s="1186">
        <v>365300</v>
      </c>
    </row>
    <row r="83" spans="1:7" x14ac:dyDescent="0.2">
      <c r="A83" s="1186" t="s">
        <v>13</v>
      </c>
      <c r="B83" s="1186" t="s">
        <v>36</v>
      </c>
      <c r="C83" s="1186">
        <v>8491</v>
      </c>
      <c r="D83" s="1186">
        <v>707</v>
      </c>
      <c r="E83" s="1186">
        <v>6143</v>
      </c>
      <c r="F83" s="1186">
        <v>1641</v>
      </c>
      <c r="G83" s="1186">
        <v>593060</v>
      </c>
    </row>
    <row r="84" spans="1:7" x14ac:dyDescent="0.2">
      <c r="A84" s="1186" t="s">
        <v>13</v>
      </c>
      <c r="B84" s="1186" t="s">
        <v>37</v>
      </c>
      <c r="C84" s="1186">
        <v>1771</v>
      </c>
      <c r="D84" s="1186">
        <v>48</v>
      </c>
      <c r="E84" s="1186">
        <v>1369</v>
      </c>
      <c r="F84" s="1186">
        <v>354</v>
      </c>
      <c r="G84" s="1186">
        <v>232730</v>
      </c>
    </row>
    <row r="85" spans="1:7" x14ac:dyDescent="0.2">
      <c r="A85" s="1186" t="s">
        <v>13</v>
      </c>
      <c r="B85" s="1186" t="s">
        <v>38</v>
      </c>
      <c r="C85" s="1186">
        <v>839</v>
      </c>
      <c r="D85" s="1186">
        <v>40</v>
      </c>
      <c r="E85" s="1186">
        <v>575</v>
      </c>
      <c r="F85" s="1186">
        <v>224</v>
      </c>
      <c r="G85" s="1186">
        <v>81220</v>
      </c>
    </row>
    <row r="86" spans="1:7" x14ac:dyDescent="0.2">
      <c r="A86" s="1186" t="s">
        <v>13</v>
      </c>
      <c r="B86" s="1186" t="s">
        <v>39</v>
      </c>
      <c r="C86" s="1186">
        <v>510</v>
      </c>
      <c r="D86" s="1186">
        <v>29</v>
      </c>
      <c r="E86" s="1186">
        <v>359</v>
      </c>
      <c r="F86" s="1186">
        <v>122</v>
      </c>
      <c r="G86" s="1186">
        <v>83450</v>
      </c>
    </row>
    <row r="87" spans="1:7" x14ac:dyDescent="0.2">
      <c r="A87" s="1186" t="s">
        <v>13</v>
      </c>
      <c r="B87" s="1186" t="s">
        <v>40</v>
      </c>
      <c r="C87" s="1186">
        <v>482</v>
      </c>
      <c r="D87" s="1186">
        <v>12</v>
      </c>
      <c r="E87" s="1186">
        <v>400</v>
      </c>
      <c r="F87" s="1186">
        <v>70</v>
      </c>
      <c r="G87" s="1186">
        <v>93470</v>
      </c>
    </row>
    <row r="88" spans="1:7" x14ac:dyDescent="0.2">
      <c r="A88" s="1186" t="s">
        <v>13</v>
      </c>
      <c r="B88" s="1186" t="s">
        <v>295</v>
      </c>
      <c r="C88" s="1186">
        <v>252</v>
      </c>
      <c r="D88" s="1186">
        <v>2</v>
      </c>
      <c r="E88" s="1186">
        <v>192</v>
      </c>
      <c r="F88" s="1186">
        <v>58</v>
      </c>
      <c r="G88" s="1186">
        <v>27690</v>
      </c>
    </row>
    <row r="89" spans="1:7" x14ac:dyDescent="0.2">
      <c r="A89" s="1186" t="s">
        <v>13</v>
      </c>
      <c r="B89" s="1186" t="s">
        <v>41</v>
      </c>
      <c r="C89" s="1186">
        <v>1049</v>
      </c>
      <c r="D89" s="1186">
        <v>89</v>
      </c>
      <c r="E89" s="1186">
        <v>628</v>
      </c>
      <c r="F89" s="1186">
        <v>332</v>
      </c>
      <c r="G89" s="1186">
        <v>138090</v>
      </c>
    </row>
    <row r="90" spans="1:7" x14ac:dyDescent="0.2">
      <c r="A90" s="1186" t="s">
        <v>13</v>
      </c>
      <c r="B90" s="1186" t="s">
        <v>42</v>
      </c>
      <c r="C90" s="1186">
        <v>2515</v>
      </c>
      <c r="D90" s="1186">
        <v>223</v>
      </c>
      <c r="E90" s="1186">
        <v>1633</v>
      </c>
      <c r="F90" s="1186">
        <v>659</v>
      </c>
      <c r="G90" s="1186">
        <v>337720</v>
      </c>
    </row>
    <row r="91" spans="1:7" x14ac:dyDescent="0.2">
      <c r="A91" s="1186" t="s">
        <v>13</v>
      </c>
      <c r="B91" s="1186" t="s">
        <v>43</v>
      </c>
      <c r="C91" s="1186">
        <v>116</v>
      </c>
      <c r="D91" s="1186">
        <v>2</v>
      </c>
      <c r="E91" s="1186">
        <v>88</v>
      </c>
      <c r="F91" s="1186">
        <v>26</v>
      </c>
      <c r="G91" s="1186">
        <v>21420</v>
      </c>
    </row>
    <row r="92" spans="1:7" x14ac:dyDescent="0.2">
      <c r="A92" s="1186" t="s">
        <v>13</v>
      </c>
      <c r="B92" s="1186" t="s">
        <v>44</v>
      </c>
      <c r="C92" s="1186">
        <v>1146</v>
      </c>
      <c r="D92" s="1186">
        <v>45</v>
      </c>
      <c r="E92" s="1186">
        <v>911</v>
      </c>
      <c r="F92" s="1186">
        <v>190</v>
      </c>
      <c r="G92" s="1186">
        <v>146850</v>
      </c>
    </row>
    <row r="93" spans="1:7" x14ac:dyDescent="0.2">
      <c r="A93" s="1186" t="s">
        <v>13</v>
      </c>
      <c r="B93" s="1186" t="s">
        <v>45</v>
      </c>
      <c r="C93" s="1186">
        <v>1430</v>
      </c>
      <c r="D93" s="1186">
        <v>119</v>
      </c>
      <c r="E93" s="1186">
        <v>941</v>
      </c>
      <c r="F93" s="1186">
        <v>370</v>
      </c>
      <c r="G93" s="1186">
        <v>174700</v>
      </c>
    </row>
    <row r="94" spans="1:7" x14ac:dyDescent="0.2">
      <c r="A94" s="1186" t="s">
        <v>13</v>
      </c>
      <c r="B94" s="1186" t="s">
        <v>46</v>
      </c>
      <c r="C94" s="1186">
        <v>837</v>
      </c>
      <c r="D94" s="1186">
        <v>22</v>
      </c>
      <c r="E94" s="1186">
        <v>604</v>
      </c>
      <c r="F94" s="1186">
        <v>211</v>
      </c>
      <c r="G94" s="1186">
        <v>113880</v>
      </c>
    </row>
    <row r="95" spans="1:7" x14ac:dyDescent="0.2">
      <c r="A95" s="1186" t="s">
        <v>13</v>
      </c>
      <c r="B95" s="1186" t="s">
        <v>47</v>
      </c>
      <c r="C95" s="1186">
        <v>86</v>
      </c>
      <c r="D95" s="1186">
        <v>2</v>
      </c>
      <c r="E95" s="1186">
        <v>77</v>
      </c>
      <c r="F95" s="1186">
        <v>7</v>
      </c>
      <c r="G95" s="1186">
        <v>23240</v>
      </c>
    </row>
    <row r="96" spans="1:7" x14ac:dyDescent="0.2">
      <c r="A96" s="1186" t="s">
        <v>13</v>
      </c>
      <c r="B96" s="1186" t="s">
        <v>48</v>
      </c>
      <c r="C96" s="1186">
        <v>907</v>
      </c>
      <c r="D96" s="1186">
        <v>45</v>
      </c>
      <c r="E96" s="1186">
        <v>665</v>
      </c>
      <c r="F96" s="1186">
        <v>197</v>
      </c>
      <c r="G96" s="1186">
        <v>112980</v>
      </c>
    </row>
    <row r="97" spans="1:7" x14ac:dyDescent="0.2">
      <c r="A97" s="1186" t="s">
        <v>13</v>
      </c>
      <c r="B97" s="1186" t="s">
        <v>49</v>
      </c>
      <c r="C97" s="1186">
        <v>2626</v>
      </c>
      <c r="D97" s="1186">
        <v>182</v>
      </c>
      <c r="E97" s="1186">
        <v>1773</v>
      </c>
      <c r="F97" s="1186">
        <v>671</v>
      </c>
      <c r="G97" s="1186">
        <v>313900</v>
      </c>
    </row>
    <row r="98" spans="1:7" x14ac:dyDescent="0.2">
      <c r="A98" s="1186" t="s">
        <v>13</v>
      </c>
      <c r="B98" s="1186" t="s">
        <v>50</v>
      </c>
      <c r="C98" s="1186">
        <v>883</v>
      </c>
      <c r="D98" s="1186">
        <v>10</v>
      </c>
      <c r="E98" s="1186">
        <v>682</v>
      </c>
      <c r="F98" s="1186">
        <v>191</v>
      </c>
      <c r="G98" s="1186">
        <v>90330</v>
      </c>
    </row>
    <row r="99" spans="1:7" x14ac:dyDescent="0.2">
      <c r="A99" s="1186" t="s">
        <v>13</v>
      </c>
      <c r="B99" s="1186" t="s">
        <v>51</v>
      </c>
      <c r="C99" s="1186">
        <v>668</v>
      </c>
      <c r="D99" s="1186">
        <v>53</v>
      </c>
      <c r="E99" s="1186">
        <v>348</v>
      </c>
      <c r="F99" s="1186">
        <v>267</v>
      </c>
      <c r="G99" s="1186">
        <v>90610</v>
      </c>
    </row>
    <row r="100" spans="1:7" x14ac:dyDescent="0.2">
      <c r="A100" s="1186" t="s">
        <v>13</v>
      </c>
      <c r="B100" s="1186" t="s">
        <v>52</v>
      </c>
      <c r="C100" s="1186">
        <v>1960</v>
      </c>
      <c r="D100" s="1186">
        <v>67</v>
      </c>
      <c r="E100" s="1186">
        <v>1417</v>
      </c>
      <c r="F100" s="1186">
        <v>476</v>
      </c>
      <c r="G100" s="1186">
        <v>175300</v>
      </c>
    </row>
    <row r="101" spans="1:7" x14ac:dyDescent="0.2">
      <c r="A101" s="1186" t="s">
        <v>15</v>
      </c>
      <c r="B101" s="1186" t="s">
        <v>23</v>
      </c>
      <c r="C101" s="1186">
        <v>1948</v>
      </c>
      <c r="D101" s="1186">
        <v>71</v>
      </c>
      <c r="E101" s="1186">
        <v>1663</v>
      </c>
      <c r="F101" s="1186">
        <v>214</v>
      </c>
      <c r="G101" s="1186">
        <v>224910</v>
      </c>
    </row>
    <row r="102" spans="1:7" x14ac:dyDescent="0.2">
      <c r="A102" s="1186" t="s">
        <v>15</v>
      </c>
      <c r="B102" s="1186" t="s">
        <v>24</v>
      </c>
      <c r="C102" s="1186">
        <v>826</v>
      </c>
      <c r="D102" s="1186">
        <v>25</v>
      </c>
      <c r="E102" s="1186">
        <v>660</v>
      </c>
      <c r="F102" s="1186">
        <v>141</v>
      </c>
      <c r="G102" s="1186">
        <v>255560</v>
      </c>
    </row>
    <row r="103" spans="1:7" x14ac:dyDescent="0.2">
      <c r="A103" s="1186" t="s">
        <v>15</v>
      </c>
      <c r="B103" s="1186" t="s">
        <v>25</v>
      </c>
      <c r="C103" s="1186">
        <v>1075</v>
      </c>
      <c r="D103" s="1186">
        <v>21</v>
      </c>
      <c r="E103" s="1186">
        <v>924</v>
      </c>
      <c r="F103" s="1186">
        <v>130</v>
      </c>
      <c r="G103" s="1186">
        <v>116220</v>
      </c>
    </row>
    <row r="104" spans="1:7" x14ac:dyDescent="0.2">
      <c r="A104" s="1186" t="s">
        <v>15</v>
      </c>
      <c r="B104" s="1186" t="s">
        <v>26</v>
      </c>
      <c r="C104" s="1186">
        <v>1055</v>
      </c>
      <c r="D104" s="1186">
        <v>13</v>
      </c>
      <c r="E104" s="1186">
        <v>742</v>
      </c>
      <c r="F104" s="1186">
        <v>300</v>
      </c>
      <c r="G104" s="1186">
        <v>86910</v>
      </c>
    </row>
    <row r="105" spans="1:7" x14ac:dyDescent="0.2">
      <c r="A105" s="1186" t="s">
        <v>15</v>
      </c>
      <c r="B105" s="1186" t="s">
        <v>619</v>
      </c>
      <c r="C105" s="1186">
        <v>6605</v>
      </c>
      <c r="D105" s="1186">
        <v>313</v>
      </c>
      <c r="E105" s="1186">
        <v>5056</v>
      </c>
      <c r="F105" s="1186">
        <v>1236</v>
      </c>
      <c r="G105" s="1186">
        <v>482630</v>
      </c>
    </row>
    <row r="106" spans="1:7" x14ac:dyDescent="0.2">
      <c r="A106" s="1186" t="s">
        <v>15</v>
      </c>
      <c r="B106" s="1186" t="s">
        <v>27</v>
      </c>
      <c r="C106" s="1186">
        <v>467</v>
      </c>
      <c r="D106" s="1186">
        <v>15</v>
      </c>
      <c r="E106" s="1186">
        <v>305</v>
      </c>
      <c r="F106" s="1186">
        <v>147</v>
      </c>
      <c r="G106" s="1186">
        <v>51280</v>
      </c>
    </row>
    <row r="107" spans="1:7" x14ac:dyDescent="0.2">
      <c r="A107" s="1186" t="s">
        <v>15</v>
      </c>
      <c r="B107" s="1186" t="s">
        <v>28</v>
      </c>
      <c r="C107" s="1186">
        <v>538</v>
      </c>
      <c r="D107" s="1186">
        <v>7</v>
      </c>
      <c r="E107" s="1186">
        <v>416</v>
      </c>
      <c r="F107" s="1186">
        <v>115</v>
      </c>
      <c r="G107" s="1186">
        <v>150840</v>
      </c>
    </row>
    <row r="108" spans="1:7" x14ac:dyDescent="0.2">
      <c r="A108" s="1186" t="s">
        <v>15</v>
      </c>
      <c r="B108" s="1186" t="s">
        <v>29</v>
      </c>
      <c r="C108" s="1186">
        <v>2175</v>
      </c>
      <c r="D108" s="1186">
        <v>111</v>
      </c>
      <c r="E108" s="1186">
        <v>1770</v>
      </c>
      <c r="F108" s="1186">
        <v>294</v>
      </c>
      <c r="G108" s="1186">
        <v>147780</v>
      </c>
    </row>
    <row r="109" spans="1:7" x14ac:dyDescent="0.2">
      <c r="A109" s="1186" t="s">
        <v>15</v>
      </c>
      <c r="B109" s="1186" t="s">
        <v>30</v>
      </c>
      <c r="C109" s="1186">
        <v>1160</v>
      </c>
      <c r="D109" s="1186">
        <v>134</v>
      </c>
      <c r="E109" s="1186">
        <v>740</v>
      </c>
      <c r="F109" s="1186">
        <v>286</v>
      </c>
      <c r="G109" s="1186">
        <v>122730</v>
      </c>
    </row>
    <row r="110" spans="1:7" x14ac:dyDescent="0.2">
      <c r="A110" s="1186" t="s">
        <v>15</v>
      </c>
      <c r="B110" s="1186" t="s">
        <v>31</v>
      </c>
      <c r="C110" s="1186">
        <v>576</v>
      </c>
      <c r="D110" s="1186">
        <v>21</v>
      </c>
      <c r="E110" s="1186">
        <v>337</v>
      </c>
      <c r="F110" s="1186">
        <v>218</v>
      </c>
      <c r="G110" s="1186">
        <v>105880</v>
      </c>
    </row>
    <row r="111" spans="1:7" x14ac:dyDescent="0.2">
      <c r="A111" s="1186" t="s">
        <v>15</v>
      </c>
      <c r="B111" s="1186" t="s">
        <v>32</v>
      </c>
      <c r="C111" s="1186">
        <v>804</v>
      </c>
      <c r="D111" s="1186">
        <v>28</v>
      </c>
      <c r="E111" s="1186">
        <v>601</v>
      </c>
      <c r="F111" s="1186">
        <v>175</v>
      </c>
      <c r="G111" s="1186">
        <v>100860</v>
      </c>
    </row>
    <row r="112" spans="1:7" x14ac:dyDescent="0.2">
      <c r="A112" s="1186" t="s">
        <v>15</v>
      </c>
      <c r="B112" s="1186" t="s">
        <v>33</v>
      </c>
      <c r="C112" s="1186">
        <v>413</v>
      </c>
      <c r="D112" s="1186">
        <v>18</v>
      </c>
      <c r="E112" s="1186">
        <v>286</v>
      </c>
      <c r="F112" s="1186">
        <v>109</v>
      </c>
      <c r="G112" s="1186">
        <v>91040</v>
      </c>
    </row>
    <row r="113" spans="1:7" x14ac:dyDescent="0.2">
      <c r="A113" s="1186" t="s">
        <v>15</v>
      </c>
      <c r="B113" s="1186" t="s">
        <v>34</v>
      </c>
      <c r="C113" s="1186">
        <v>1240</v>
      </c>
      <c r="D113" s="1186">
        <v>61</v>
      </c>
      <c r="E113" s="1186">
        <v>821</v>
      </c>
      <c r="F113" s="1186">
        <v>358</v>
      </c>
      <c r="G113" s="1186">
        <v>156800</v>
      </c>
    </row>
    <row r="114" spans="1:7" x14ac:dyDescent="0.2">
      <c r="A114" s="1186" t="s">
        <v>15</v>
      </c>
      <c r="B114" s="1186" t="s">
        <v>35</v>
      </c>
      <c r="C114" s="1186">
        <v>2086</v>
      </c>
      <c r="D114" s="1186">
        <v>83</v>
      </c>
      <c r="E114" s="1186">
        <v>1610</v>
      </c>
      <c r="F114" s="1186">
        <v>393</v>
      </c>
      <c r="G114" s="1186">
        <v>366210</v>
      </c>
    </row>
    <row r="115" spans="1:7" x14ac:dyDescent="0.2">
      <c r="A115" s="1186" t="s">
        <v>15</v>
      </c>
      <c r="B115" s="1186" t="s">
        <v>36</v>
      </c>
      <c r="C115" s="1186">
        <v>8124</v>
      </c>
      <c r="D115" s="1186">
        <v>532</v>
      </c>
      <c r="E115" s="1186">
        <v>5991</v>
      </c>
      <c r="F115" s="1186">
        <v>1601</v>
      </c>
      <c r="G115" s="1186">
        <v>595070</v>
      </c>
    </row>
    <row r="116" spans="1:7" x14ac:dyDescent="0.2">
      <c r="A116" s="1186" t="s">
        <v>15</v>
      </c>
      <c r="B116" s="1186" t="s">
        <v>37</v>
      </c>
      <c r="C116" s="1186">
        <v>1766</v>
      </c>
      <c r="D116" s="1186">
        <v>79</v>
      </c>
      <c r="E116" s="1186">
        <v>1265</v>
      </c>
      <c r="F116" s="1186">
        <v>422</v>
      </c>
      <c r="G116" s="1186">
        <v>232890</v>
      </c>
    </row>
    <row r="117" spans="1:7" x14ac:dyDescent="0.2">
      <c r="A117" s="1186" t="s">
        <v>15</v>
      </c>
      <c r="B117" s="1186" t="s">
        <v>38</v>
      </c>
      <c r="C117" s="1186">
        <v>762</v>
      </c>
      <c r="D117" s="1186">
        <v>51</v>
      </c>
      <c r="E117" s="1186">
        <v>539</v>
      </c>
      <c r="F117" s="1186">
        <v>172</v>
      </c>
      <c r="G117" s="1186">
        <v>80690</v>
      </c>
    </row>
    <row r="118" spans="1:7" x14ac:dyDescent="0.2">
      <c r="A118" s="1186" t="s">
        <v>15</v>
      </c>
      <c r="B118" s="1186" t="s">
        <v>39</v>
      </c>
      <c r="C118" s="1186">
        <v>526</v>
      </c>
      <c r="D118" s="1186">
        <v>25</v>
      </c>
      <c r="E118" s="1186">
        <v>355</v>
      </c>
      <c r="F118" s="1186">
        <v>146</v>
      </c>
      <c r="G118" s="1186">
        <v>84240</v>
      </c>
    </row>
    <row r="119" spans="1:7" x14ac:dyDescent="0.2">
      <c r="A119" s="1186" t="s">
        <v>15</v>
      </c>
      <c r="B119" s="1186" t="s">
        <v>40</v>
      </c>
      <c r="C119" s="1186">
        <v>604</v>
      </c>
      <c r="D119" s="1186">
        <v>7</v>
      </c>
      <c r="E119" s="1186">
        <v>541</v>
      </c>
      <c r="F119" s="1186">
        <v>56</v>
      </c>
      <c r="G119" s="1186">
        <v>92930</v>
      </c>
    </row>
    <row r="120" spans="1:7" x14ac:dyDescent="0.2">
      <c r="A120" s="1186" t="s">
        <v>15</v>
      </c>
      <c r="B120" s="1186" t="s">
        <v>295</v>
      </c>
      <c r="C120" s="1186">
        <v>234</v>
      </c>
      <c r="D120" s="1186">
        <v>5</v>
      </c>
      <c r="E120" s="1186">
        <v>181</v>
      </c>
      <c r="F120" s="1186">
        <v>48</v>
      </c>
      <c r="G120" s="1186">
        <v>27560</v>
      </c>
    </row>
    <row r="121" spans="1:7" x14ac:dyDescent="0.2">
      <c r="A121" s="1186" t="s">
        <v>15</v>
      </c>
      <c r="B121" s="1186" t="s">
        <v>41</v>
      </c>
      <c r="C121" s="1186">
        <v>988</v>
      </c>
      <c r="D121" s="1186">
        <v>52</v>
      </c>
      <c r="E121" s="1186">
        <v>650</v>
      </c>
      <c r="F121" s="1186">
        <v>286</v>
      </c>
      <c r="G121" s="1186">
        <v>137570</v>
      </c>
    </row>
    <row r="122" spans="1:7" x14ac:dyDescent="0.2">
      <c r="A122" s="1186" t="s">
        <v>15</v>
      </c>
      <c r="B122" s="1186" t="s">
        <v>42</v>
      </c>
      <c r="C122" s="1186">
        <v>2403</v>
      </c>
      <c r="D122" s="1186">
        <v>167</v>
      </c>
      <c r="E122" s="1186">
        <v>1657</v>
      </c>
      <c r="F122" s="1186">
        <v>579</v>
      </c>
      <c r="G122" s="1186">
        <v>337890</v>
      </c>
    </row>
    <row r="123" spans="1:7" x14ac:dyDescent="0.2">
      <c r="A123" s="1186" t="s">
        <v>15</v>
      </c>
      <c r="B123" s="1186" t="s">
        <v>43</v>
      </c>
      <c r="C123" s="1186">
        <v>103</v>
      </c>
      <c r="D123" s="1186">
        <v>2</v>
      </c>
      <c r="E123" s="1186">
        <v>78</v>
      </c>
      <c r="F123" s="1186">
        <v>23</v>
      </c>
      <c r="G123" s="1186">
        <v>21530</v>
      </c>
    </row>
    <row r="124" spans="1:7" x14ac:dyDescent="0.2">
      <c r="A124" s="1186" t="s">
        <v>15</v>
      </c>
      <c r="B124" s="1186" t="s">
        <v>44</v>
      </c>
      <c r="C124" s="1186">
        <v>1134</v>
      </c>
      <c r="D124" s="1186">
        <v>34</v>
      </c>
      <c r="E124" s="1186">
        <v>906</v>
      </c>
      <c r="F124" s="1186">
        <v>194</v>
      </c>
      <c r="G124" s="1186">
        <v>147740</v>
      </c>
    </row>
    <row r="125" spans="1:7" x14ac:dyDescent="0.2">
      <c r="A125" s="1186" t="s">
        <v>15</v>
      </c>
      <c r="B125" s="1186" t="s">
        <v>45</v>
      </c>
      <c r="C125" s="1186">
        <v>1406</v>
      </c>
      <c r="D125" s="1186">
        <v>103</v>
      </c>
      <c r="E125" s="1186">
        <v>938</v>
      </c>
      <c r="F125" s="1186">
        <v>365</v>
      </c>
      <c r="G125" s="1186">
        <v>174300</v>
      </c>
    </row>
    <row r="126" spans="1:7" x14ac:dyDescent="0.2">
      <c r="A126" s="1186" t="s">
        <v>15</v>
      </c>
      <c r="B126" s="1186" t="s">
        <v>46</v>
      </c>
      <c r="C126" s="1186">
        <v>893</v>
      </c>
      <c r="D126" s="1186">
        <v>26</v>
      </c>
      <c r="E126" s="1186">
        <v>637</v>
      </c>
      <c r="F126" s="1186">
        <v>230</v>
      </c>
      <c r="G126" s="1186">
        <v>113720</v>
      </c>
    </row>
    <row r="127" spans="1:7" x14ac:dyDescent="0.2">
      <c r="A127" s="1186" t="s">
        <v>15</v>
      </c>
      <c r="B127" s="1186" t="s">
        <v>47</v>
      </c>
      <c r="C127" s="1186">
        <v>105</v>
      </c>
      <c r="D127" s="1186"/>
      <c r="E127" s="1186">
        <v>92</v>
      </c>
      <c r="F127" s="1186">
        <v>13</v>
      </c>
      <c r="G127" s="1186">
        <v>23210</v>
      </c>
    </row>
    <row r="128" spans="1:7" x14ac:dyDescent="0.2">
      <c r="A128" s="1186" t="s">
        <v>15</v>
      </c>
      <c r="B128" s="1186" t="s">
        <v>48</v>
      </c>
      <c r="C128" s="1186">
        <v>956</v>
      </c>
      <c r="D128" s="1186">
        <v>48</v>
      </c>
      <c r="E128" s="1186">
        <v>723</v>
      </c>
      <c r="F128" s="1186">
        <v>185</v>
      </c>
      <c r="G128" s="1186">
        <v>112920</v>
      </c>
    </row>
    <row r="129" spans="1:7" x14ac:dyDescent="0.2">
      <c r="A129" s="1186" t="s">
        <v>15</v>
      </c>
      <c r="B129" s="1186" t="s">
        <v>49</v>
      </c>
      <c r="C129" s="1186">
        <v>2798</v>
      </c>
      <c r="D129" s="1186">
        <v>134</v>
      </c>
      <c r="E129" s="1186">
        <v>1961</v>
      </c>
      <c r="F129" s="1186">
        <v>703</v>
      </c>
      <c r="G129" s="1186">
        <v>314330</v>
      </c>
    </row>
    <row r="130" spans="1:7" x14ac:dyDescent="0.2">
      <c r="A130" s="1186" t="s">
        <v>15</v>
      </c>
      <c r="B130" s="1186" t="s">
        <v>50</v>
      </c>
      <c r="C130" s="1186">
        <v>912</v>
      </c>
      <c r="D130" s="1186">
        <v>11</v>
      </c>
      <c r="E130" s="1186">
        <v>758</v>
      </c>
      <c r="F130" s="1186">
        <v>143</v>
      </c>
      <c r="G130" s="1186">
        <v>91010</v>
      </c>
    </row>
    <row r="131" spans="1:7" x14ac:dyDescent="0.2">
      <c r="A131" s="1186" t="s">
        <v>15</v>
      </c>
      <c r="B131" s="1186" t="s">
        <v>51</v>
      </c>
      <c r="C131" s="1186">
        <v>641</v>
      </c>
      <c r="D131" s="1186">
        <v>60</v>
      </c>
      <c r="E131" s="1186">
        <v>336</v>
      </c>
      <c r="F131" s="1186">
        <v>245</v>
      </c>
      <c r="G131" s="1186">
        <v>90340</v>
      </c>
    </row>
    <row r="132" spans="1:7" x14ac:dyDescent="0.2">
      <c r="A132" s="1186" t="s">
        <v>15</v>
      </c>
      <c r="B132" s="1186" t="s">
        <v>52</v>
      </c>
      <c r="C132" s="1186">
        <v>1965</v>
      </c>
      <c r="D132" s="1186">
        <v>50</v>
      </c>
      <c r="E132" s="1186">
        <v>1571</v>
      </c>
      <c r="F132" s="1186">
        <v>344</v>
      </c>
      <c r="G132" s="1186">
        <v>176010</v>
      </c>
    </row>
    <row r="133" spans="1:7" x14ac:dyDescent="0.2">
      <c r="A133" s="1186" t="s">
        <v>17</v>
      </c>
      <c r="B133" s="1186" t="s">
        <v>23</v>
      </c>
      <c r="C133" s="1186">
        <v>2088</v>
      </c>
      <c r="D133" s="1186">
        <v>105</v>
      </c>
      <c r="E133" s="1186">
        <v>1755</v>
      </c>
      <c r="F133" s="1186">
        <v>228</v>
      </c>
      <c r="G133" s="1186">
        <v>227070</v>
      </c>
    </row>
    <row r="134" spans="1:7" x14ac:dyDescent="0.2">
      <c r="A134" s="1186" t="s">
        <v>17</v>
      </c>
      <c r="B134" s="1186" t="s">
        <v>24</v>
      </c>
      <c r="C134" s="1186">
        <v>929</v>
      </c>
      <c r="D134" s="1186">
        <v>39</v>
      </c>
      <c r="E134" s="1186">
        <v>683</v>
      </c>
      <c r="F134" s="1186">
        <v>207</v>
      </c>
      <c r="G134" s="1186">
        <v>257770</v>
      </c>
    </row>
    <row r="135" spans="1:7" x14ac:dyDescent="0.2">
      <c r="A135" s="1186" t="s">
        <v>17</v>
      </c>
      <c r="B135" s="1186" t="s">
        <v>25</v>
      </c>
      <c r="C135" s="1186">
        <v>1042</v>
      </c>
      <c r="D135" s="1186">
        <v>34</v>
      </c>
      <c r="E135" s="1186">
        <v>875</v>
      </c>
      <c r="F135" s="1186">
        <v>133</v>
      </c>
      <c r="G135" s="1186">
        <v>116290</v>
      </c>
    </row>
    <row r="136" spans="1:7" x14ac:dyDescent="0.2">
      <c r="A136" s="1186" t="s">
        <v>17</v>
      </c>
      <c r="B136" s="1186" t="s">
        <v>26</v>
      </c>
      <c r="C136" s="1186">
        <v>1044</v>
      </c>
      <c r="D136" s="1186">
        <v>8</v>
      </c>
      <c r="E136" s="1186">
        <v>825</v>
      </c>
      <c r="F136" s="1186">
        <v>211</v>
      </c>
      <c r="G136" s="1186">
        <v>88050</v>
      </c>
    </row>
    <row r="137" spans="1:7" x14ac:dyDescent="0.2">
      <c r="A137" s="1186" t="s">
        <v>17</v>
      </c>
      <c r="B137" s="1186" t="s">
        <v>619</v>
      </c>
      <c r="C137" s="1186">
        <v>6446</v>
      </c>
      <c r="D137" s="1186">
        <v>318</v>
      </c>
      <c r="E137" s="1186">
        <v>5008</v>
      </c>
      <c r="F137" s="1186">
        <v>1120</v>
      </c>
      <c r="G137" s="1186">
        <v>487460</v>
      </c>
    </row>
    <row r="138" spans="1:7" x14ac:dyDescent="0.2">
      <c r="A138" s="1186" t="s">
        <v>17</v>
      </c>
      <c r="B138" s="1186" t="s">
        <v>27</v>
      </c>
      <c r="C138" s="1186">
        <v>404</v>
      </c>
      <c r="D138" s="1186">
        <v>19</v>
      </c>
      <c r="E138" s="1186">
        <v>254</v>
      </c>
      <c r="F138" s="1186">
        <v>131</v>
      </c>
      <c r="G138" s="1186">
        <v>51280</v>
      </c>
    </row>
    <row r="139" spans="1:7" x14ac:dyDescent="0.2">
      <c r="A139" s="1186" t="s">
        <v>17</v>
      </c>
      <c r="B139" s="1186" t="s">
        <v>28</v>
      </c>
      <c r="C139" s="1186">
        <v>547</v>
      </c>
      <c r="D139" s="1186">
        <v>11</v>
      </c>
      <c r="E139" s="1186">
        <v>406</v>
      </c>
      <c r="F139" s="1186">
        <v>130</v>
      </c>
      <c r="G139" s="1186">
        <v>150280</v>
      </c>
    </row>
    <row r="140" spans="1:7" x14ac:dyDescent="0.2">
      <c r="A140" s="1186" t="s">
        <v>17</v>
      </c>
      <c r="B140" s="1186" t="s">
        <v>29</v>
      </c>
      <c r="C140" s="1186">
        <v>2207</v>
      </c>
      <c r="D140" s="1186">
        <v>112</v>
      </c>
      <c r="E140" s="1186">
        <v>1836</v>
      </c>
      <c r="F140" s="1186">
        <v>259</v>
      </c>
      <c r="G140" s="1186">
        <v>148100</v>
      </c>
    </row>
    <row r="141" spans="1:7" x14ac:dyDescent="0.2">
      <c r="A141" s="1186" t="s">
        <v>17</v>
      </c>
      <c r="B141" s="1186" t="s">
        <v>30</v>
      </c>
      <c r="C141" s="1186">
        <v>1261</v>
      </c>
      <c r="D141" s="1186">
        <v>46</v>
      </c>
      <c r="E141" s="1186">
        <v>905</v>
      </c>
      <c r="F141" s="1186">
        <v>310</v>
      </c>
      <c r="G141" s="1186">
        <v>122430</v>
      </c>
    </row>
    <row r="142" spans="1:7" x14ac:dyDescent="0.2">
      <c r="A142" s="1186" t="s">
        <v>17</v>
      </c>
      <c r="B142" s="1186" t="s">
        <v>31</v>
      </c>
      <c r="C142" s="1186">
        <v>568</v>
      </c>
      <c r="D142" s="1186">
        <v>26</v>
      </c>
      <c r="E142" s="1186">
        <v>365</v>
      </c>
      <c r="F142" s="1186">
        <v>177</v>
      </c>
      <c r="G142" s="1186">
        <v>105840</v>
      </c>
    </row>
    <row r="143" spans="1:7" x14ac:dyDescent="0.2">
      <c r="A143" s="1186" t="s">
        <v>17</v>
      </c>
      <c r="B143" s="1186" t="s">
        <v>32</v>
      </c>
      <c r="C143" s="1186">
        <v>783</v>
      </c>
      <c r="D143" s="1186">
        <v>18</v>
      </c>
      <c r="E143" s="1186">
        <v>587</v>
      </c>
      <c r="F143" s="1186">
        <v>178</v>
      </c>
      <c r="G143" s="1186">
        <v>101390</v>
      </c>
    </row>
    <row r="144" spans="1:7" x14ac:dyDescent="0.2">
      <c r="A144" s="1186" t="s">
        <v>17</v>
      </c>
      <c r="B144" s="1186" t="s">
        <v>33</v>
      </c>
      <c r="C144" s="1186">
        <v>406</v>
      </c>
      <c r="D144" s="1186">
        <v>11</v>
      </c>
      <c r="E144" s="1186">
        <v>305</v>
      </c>
      <c r="F144" s="1186">
        <v>90</v>
      </c>
      <c r="G144" s="1186">
        <v>91530</v>
      </c>
    </row>
    <row r="145" spans="1:7" x14ac:dyDescent="0.2">
      <c r="A145" s="1186" t="s">
        <v>17</v>
      </c>
      <c r="B145" s="1186" t="s">
        <v>34</v>
      </c>
      <c r="C145" s="1186">
        <v>1160</v>
      </c>
      <c r="D145" s="1186">
        <v>76</v>
      </c>
      <c r="E145" s="1186">
        <v>734</v>
      </c>
      <c r="F145" s="1186">
        <v>350</v>
      </c>
      <c r="G145" s="1186">
        <v>157160</v>
      </c>
    </row>
    <row r="146" spans="1:7" x14ac:dyDescent="0.2">
      <c r="A146" s="1186" t="s">
        <v>17</v>
      </c>
      <c r="B146" s="1186" t="s">
        <v>35</v>
      </c>
      <c r="C146" s="1186">
        <v>2167</v>
      </c>
      <c r="D146" s="1186">
        <v>81</v>
      </c>
      <c r="E146" s="1186">
        <v>1704</v>
      </c>
      <c r="F146" s="1186">
        <v>382</v>
      </c>
      <c r="G146" s="1186">
        <v>366900</v>
      </c>
    </row>
    <row r="147" spans="1:7" x14ac:dyDescent="0.2">
      <c r="A147" s="1186" t="s">
        <v>17</v>
      </c>
      <c r="B147" s="1186" t="s">
        <v>36</v>
      </c>
      <c r="C147" s="1186">
        <v>8137</v>
      </c>
      <c r="D147" s="1186">
        <v>585</v>
      </c>
      <c r="E147" s="1186">
        <v>6025</v>
      </c>
      <c r="F147" s="1186">
        <v>1527</v>
      </c>
      <c r="G147" s="1186">
        <v>596520</v>
      </c>
    </row>
    <row r="148" spans="1:7" x14ac:dyDescent="0.2">
      <c r="A148" s="1186" t="s">
        <v>17</v>
      </c>
      <c r="B148" s="1186" t="s">
        <v>37</v>
      </c>
      <c r="C148" s="1186">
        <v>1891</v>
      </c>
      <c r="D148" s="1186">
        <v>108</v>
      </c>
      <c r="E148" s="1186">
        <v>1330</v>
      </c>
      <c r="F148" s="1186">
        <v>453</v>
      </c>
      <c r="G148" s="1186">
        <v>232930</v>
      </c>
    </row>
    <row r="149" spans="1:7" x14ac:dyDescent="0.2">
      <c r="A149" s="1186" t="s">
        <v>17</v>
      </c>
      <c r="B149" s="1186" t="s">
        <v>38</v>
      </c>
      <c r="C149" s="1186">
        <v>675</v>
      </c>
      <c r="D149" s="1186">
        <v>36</v>
      </c>
      <c r="E149" s="1186">
        <v>471</v>
      </c>
      <c r="F149" s="1186">
        <v>168</v>
      </c>
      <c r="G149" s="1186">
        <v>80340</v>
      </c>
    </row>
    <row r="150" spans="1:7" x14ac:dyDescent="0.2">
      <c r="A150" s="1186" t="s">
        <v>17</v>
      </c>
      <c r="B150" s="1186" t="s">
        <v>39</v>
      </c>
      <c r="C150" s="1186">
        <v>534</v>
      </c>
      <c r="D150" s="1186">
        <v>25</v>
      </c>
      <c r="E150" s="1186">
        <v>383</v>
      </c>
      <c r="F150" s="1186">
        <v>126</v>
      </c>
      <c r="G150" s="1186">
        <v>84710</v>
      </c>
    </row>
    <row r="151" spans="1:7" x14ac:dyDescent="0.2">
      <c r="A151" s="1186" t="s">
        <v>17</v>
      </c>
      <c r="B151" s="1186" t="s">
        <v>40</v>
      </c>
      <c r="C151" s="1186">
        <v>452</v>
      </c>
      <c r="D151" s="1186">
        <v>14</v>
      </c>
      <c r="E151" s="1186">
        <v>372</v>
      </c>
      <c r="F151" s="1186">
        <v>66</v>
      </c>
      <c r="G151" s="1186">
        <v>94360</v>
      </c>
    </row>
    <row r="152" spans="1:7" x14ac:dyDescent="0.2">
      <c r="A152" s="1186" t="s">
        <v>17</v>
      </c>
      <c r="B152" s="1186" t="s">
        <v>295</v>
      </c>
      <c r="C152" s="1186">
        <v>270</v>
      </c>
      <c r="D152" s="1186">
        <v>2</v>
      </c>
      <c r="E152" s="1186">
        <v>218</v>
      </c>
      <c r="F152" s="1186">
        <v>50</v>
      </c>
      <c r="G152" s="1186">
        <v>27400</v>
      </c>
    </row>
    <row r="153" spans="1:7" x14ac:dyDescent="0.2">
      <c r="A153" s="1186" t="s">
        <v>17</v>
      </c>
      <c r="B153" s="1186" t="s">
        <v>41</v>
      </c>
      <c r="C153" s="1186">
        <v>1112</v>
      </c>
      <c r="D153" s="1186">
        <v>70</v>
      </c>
      <c r="E153" s="1186">
        <v>757</v>
      </c>
      <c r="F153" s="1186">
        <v>285</v>
      </c>
      <c r="G153" s="1186">
        <v>136940</v>
      </c>
    </row>
    <row r="154" spans="1:7" x14ac:dyDescent="0.2">
      <c r="A154" s="1186" t="s">
        <v>17</v>
      </c>
      <c r="B154" s="1186" t="s">
        <v>42</v>
      </c>
      <c r="C154" s="1186">
        <v>2461</v>
      </c>
      <c r="D154" s="1186">
        <v>140</v>
      </c>
      <c r="E154" s="1186">
        <v>1659</v>
      </c>
      <c r="F154" s="1186">
        <v>662</v>
      </c>
      <c r="G154" s="1186">
        <v>337780</v>
      </c>
    </row>
    <row r="155" spans="1:7" x14ac:dyDescent="0.2">
      <c r="A155" s="1186" t="s">
        <v>17</v>
      </c>
      <c r="B155" s="1186" t="s">
        <v>43</v>
      </c>
      <c r="C155" s="1186">
        <v>126</v>
      </c>
      <c r="D155" s="1186">
        <v>2</v>
      </c>
      <c r="E155" s="1186">
        <v>101</v>
      </c>
      <c r="F155" s="1186">
        <v>23</v>
      </c>
      <c r="G155" s="1186">
        <v>21560</v>
      </c>
    </row>
    <row r="156" spans="1:7" x14ac:dyDescent="0.2">
      <c r="A156" s="1186" t="s">
        <v>17</v>
      </c>
      <c r="B156" s="1186" t="s">
        <v>44</v>
      </c>
      <c r="C156" s="1186">
        <v>1153</v>
      </c>
      <c r="D156" s="1186">
        <v>48</v>
      </c>
      <c r="E156" s="1186">
        <v>943</v>
      </c>
      <c r="F156" s="1186">
        <v>162</v>
      </c>
      <c r="G156" s="1186">
        <v>147770</v>
      </c>
    </row>
    <row r="157" spans="1:7" x14ac:dyDescent="0.2">
      <c r="A157" s="1186" t="s">
        <v>17</v>
      </c>
      <c r="B157" s="1186" t="s">
        <v>45</v>
      </c>
      <c r="C157" s="1186">
        <v>1327</v>
      </c>
      <c r="D157" s="1186">
        <v>84</v>
      </c>
      <c r="E157" s="1186">
        <v>882</v>
      </c>
      <c r="F157" s="1186">
        <v>361</v>
      </c>
      <c r="G157" s="1186">
        <v>173890</v>
      </c>
    </row>
    <row r="158" spans="1:7" x14ac:dyDescent="0.2">
      <c r="A158" s="1186" t="s">
        <v>17</v>
      </c>
      <c r="B158" s="1186" t="s">
        <v>46</v>
      </c>
      <c r="C158" s="1186">
        <v>864</v>
      </c>
      <c r="D158" s="1186">
        <v>32</v>
      </c>
      <c r="E158" s="1186">
        <v>630</v>
      </c>
      <c r="F158" s="1186">
        <v>202</v>
      </c>
      <c r="G158" s="1186">
        <v>113880</v>
      </c>
    </row>
    <row r="159" spans="1:7" x14ac:dyDescent="0.2">
      <c r="A159" s="1186" t="s">
        <v>17</v>
      </c>
      <c r="B159" s="1186" t="s">
        <v>47</v>
      </c>
      <c r="C159" s="1186">
        <v>103</v>
      </c>
      <c r="D159" s="1186"/>
      <c r="E159" s="1186">
        <v>79</v>
      </c>
      <c r="F159" s="1186">
        <v>24</v>
      </c>
      <c r="G159" s="1186">
        <v>23200</v>
      </c>
    </row>
    <row r="160" spans="1:7" x14ac:dyDescent="0.2">
      <c r="A160" s="1186" t="s">
        <v>17</v>
      </c>
      <c r="B160" s="1186" t="s">
        <v>48</v>
      </c>
      <c r="C160" s="1186">
        <v>960</v>
      </c>
      <c r="D160" s="1186">
        <v>29</v>
      </c>
      <c r="E160" s="1186">
        <v>752</v>
      </c>
      <c r="F160" s="1186">
        <v>179</v>
      </c>
      <c r="G160" s="1186">
        <v>112870</v>
      </c>
    </row>
    <row r="161" spans="1:7" x14ac:dyDescent="0.2">
      <c r="A161" s="1186" t="s">
        <v>17</v>
      </c>
      <c r="B161" s="1186" t="s">
        <v>49</v>
      </c>
      <c r="C161" s="1186">
        <v>2679</v>
      </c>
      <c r="D161" s="1186">
        <v>135</v>
      </c>
      <c r="E161" s="1186">
        <v>1864</v>
      </c>
      <c r="F161" s="1186">
        <v>680</v>
      </c>
      <c r="G161" s="1186">
        <v>314810</v>
      </c>
    </row>
    <row r="162" spans="1:7" x14ac:dyDescent="0.2">
      <c r="A162" s="1186" t="s">
        <v>17</v>
      </c>
      <c r="B162" s="1186" t="s">
        <v>50</v>
      </c>
      <c r="C162" s="1186">
        <v>857</v>
      </c>
      <c r="D162" s="1186">
        <v>32</v>
      </c>
      <c r="E162" s="1186">
        <v>677</v>
      </c>
      <c r="F162" s="1186">
        <v>148</v>
      </c>
      <c r="G162" s="1186">
        <v>91230</v>
      </c>
    </row>
    <row r="163" spans="1:7" x14ac:dyDescent="0.2">
      <c r="A163" s="1186" t="s">
        <v>17</v>
      </c>
      <c r="B163" s="1186" t="s">
        <v>51</v>
      </c>
      <c r="C163" s="1186">
        <v>595</v>
      </c>
      <c r="D163" s="1186">
        <v>45</v>
      </c>
      <c r="E163" s="1186">
        <v>337</v>
      </c>
      <c r="F163" s="1186">
        <v>213</v>
      </c>
      <c r="G163" s="1186">
        <v>89800</v>
      </c>
    </row>
    <row r="164" spans="1:7" x14ac:dyDescent="0.2">
      <c r="A164" s="1186" t="s">
        <v>17</v>
      </c>
      <c r="B164" s="1186" t="s">
        <v>52</v>
      </c>
      <c r="C164" s="1186">
        <v>1947</v>
      </c>
      <c r="D164" s="1186">
        <v>74</v>
      </c>
      <c r="E164" s="1186">
        <v>1491</v>
      </c>
      <c r="F164" s="1186">
        <v>382</v>
      </c>
      <c r="G164" s="1186">
        <v>176160</v>
      </c>
    </row>
    <row r="165" spans="1:7" x14ac:dyDescent="0.2">
      <c r="A165" s="1186" t="s">
        <v>133</v>
      </c>
      <c r="B165" s="1186" t="s">
        <v>23</v>
      </c>
      <c r="C165" s="1186">
        <v>2241</v>
      </c>
      <c r="D165" s="1186">
        <v>126</v>
      </c>
      <c r="E165" s="1186">
        <v>1930</v>
      </c>
      <c r="F165" s="1186">
        <v>185</v>
      </c>
      <c r="G165" s="1186">
        <v>228920</v>
      </c>
    </row>
    <row r="166" spans="1:7" x14ac:dyDescent="0.2">
      <c r="A166" s="1186" t="s">
        <v>133</v>
      </c>
      <c r="B166" s="1186" t="s">
        <v>24</v>
      </c>
      <c r="C166" s="1186">
        <v>998</v>
      </c>
      <c r="D166" s="1186">
        <v>26</v>
      </c>
      <c r="E166" s="1186">
        <v>799</v>
      </c>
      <c r="F166" s="1186">
        <v>173</v>
      </c>
      <c r="G166" s="1186">
        <v>260530</v>
      </c>
    </row>
    <row r="167" spans="1:7" x14ac:dyDescent="0.2">
      <c r="A167" s="1186" t="s">
        <v>133</v>
      </c>
      <c r="B167" s="1186" t="s">
        <v>25</v>
      </c>
      <c r="C167" s="1186">
        <v>1062</v>
      </c>
      <c r="D167" s="1186">
        <v>22</v>
      </c>
      <c r="E167" s="1186">
        <v>916</v>
      </c>
      <c r="F167" s="1186">
        <v>124</v>
      </c>
      <c r="G167" s="1186">
        <v>116740</v>
      </c>
    </row>
    <row r="168" spans="1:7" x14ac:dyDescent="0.2">
      <c r="A168" s="1186" t="s">
        <v>133</v>
      </c>
      <c r="B168" s="1186" t="s">
        <v>26</v>
      </c>
      <c r="C168" s="1186">
        <v>1051</v>
      </c>
      <c r="D168" s="1186">
        <v>11</v>
      </c>
      <c r="E168" s="1186">
        <v>814</v>
      </c>
      <c r="F168" s="1186">
        <v>226</v>
      </c>
      <c r="G168" s="1186">
        <v>87650</v>
      </c>
    </row>
    <row r="169" spans="1:7" x14ac:dyDescent="0.2">
      <c r="A169" s="1186" t="s">
        <v>133</v>
      </c>
      <c r="B169" s="1186" t="s">
        <v>619</v>
      </c>
      <c r="C169" s="1186">
        <v>6715</v>
      </c>
      <c r="D169" s="1186">
        <v>371</v>
      </c>
      <c r="E169" s="1186">
        <v>5329</v>
      </c>
      <c r="F169" s="1186">
        <v>1015</v>
      </c>
      <c r="G169" s="1186">
        <v>492610</v>
      </c>
    </row>
    <row r="170" spans="1:7" x14ac:dyDescent="0.2">
      <c r="A170" s="1186" t="s">
        <v>133</v>
      </c>
      <c r="B170" s="1186" t="s">
        <v>27</v>
      </c>
      <c r="C170" s="1186">
        <v>447</v>
      </c>
      <c r="D170" s="1186">
        <v>9</v>
      </c>
      <c r="E170" s="1186">
        <v>339</v>
      </c>
      <c r="F170" s="1186">
        <v>99</v>
      </c>
      <c r="G170" s="1186">
        <v>51190</v>
      </c>
    </row>
    <row r="171" spans="1:7" x14ac:dyDescent="0.2">
      <c r="A171" s="1186" t="s">
        <v>133</v>
      </c>
      <c r="B171" s="1186" t="s">
        <v>28</v>
      </c>
      <c r="C171" s="1186">
        <v>712</v>
      </c>
      <c r="D171" s="1186">
        <v>17</v>
      </c>
      <c r="E171" s="1186">
        <v>533</v>
      </c>
      <c r="F171" s="1186">
        <v>162</v>
      </c>
      <c r="G171" s="1186">
        <v>149960</v>
      </c>
    </row>
    <row r="172" spans="1:7" x14ac:dyDescent="0.2">
      <c r="A172" s="1186" t="s">
        <v>133</v>
      </c>
      <c r="B172" s="1186" t="s">
        <v>29</v>
      </c>
      <c r="C172" s="1186">
        <v>2239</v>
      </c>
      <c r="D172" s="1186">
        <v>105</v>
      </c>
      <c r="E172" s="1186">
        <v>1875</v>
      </c>
      <c r="F172" s="1186">
        <v>259</v>
      </c>
      <c r="G172" s="1186">
        <v>148130</v>
      </c>
    </row>
    <row r="173" spans="1:7" x14ac:dyDescent="0.2">
      <c r="A173" s="1186" t="s">
        <v>133</v>
      </c>
      <c r="B173" s="1186" t="s">
        <v>30</v>
      </c>
      <c r="C173" s="1186">
        <v>1319</v>
      </c>
      <c r="D173" s="1186">
        <v>52</v>
      </c>
      <c r="E173" s="1186">
        <v>969</v>
      </c>
      <c r="F173" s="1186">
        <v>298</v>
      </c>
      <c r="G173" s="1186">
        <v>122130</v>
      </c>
    </row>
    <row r="174" spans="1:7" x14ac:dyDescent="0.2">
      <c r="A174" s="1186" t="s">
        <v>133</v>
      </c>
      <c r="B174" s="1186" t="s">
        <v>31</v>
      </c>
      <c r="C174" s="1186">
        <v>508</v>
      </c>
      <c r="D174" s="1186">
        <v>24</v>
      </c>
      <c r="E174" s="1186">
        <v>329</v>
      </c>
      <c r="F174" s="1186">
        <v>155</v>
      </c>
      <c r="G174" s="1186">
        <v>106710</v>
      </c>
    </row>
    <row r="175" spans="1:7" x14ac:dyDescent="0.2">
      <c r="A175" s="1186" t="s">
        <v>133</v>
      </c>
      <c r="B175" s="1186" t="s">
        <v>32</v>
      </c>
      <c r="C175" s="1186">
        <v>782</v>
      </c>
      <c r="D175" s="1186">
        <v>17</v>
      </c>
      <c r="E175" s="1186">
        <v>622</v>
      </c>
      <c r="F175" s="1186">
        <v>143</v>
      </c>
      <c r="G175" s="1186">
        <v>102090</v>
      </c>
    </row>
    <row r="176" spans="1:7" x14ac:dyDescent="0.2">
      <c r="A176" s="1186" t="s">
        <v>133</v>
      </c>
      <c r="B176" s="1186" t="s">
        <v>33</v>
      </c>
      <c r="C176" s="1186">
        <v>447</v>
      </c>
      <c r="D176" s="1186">
        <v>14</v>
      </c>
      <c r="E176" s="1186">
        <v>337</v>
      </c>
      <c r="F176" s="1186">
        <v>96</v>
      </c>
      <c r="G176" s="1186">
        <v>92410</v>
      </c>
    </row>
    <row r="177" spans="1:7" x14ac:dyDescent="0.2">
      <c r="A177" s="1186" t="s">
        <v>133</v>
      </c>
      <c r="B177" s="1186" t="s">
        <v>34</v>
      </c>
      <c r="C177" s="1186">
        <v>1085</v>
      </c>
      <c r="D177" s="1186">
        <v>49</v>
      </c>
      <c r="E177" s="1186">
        <v>733</v>
      </c>
      <c r="F177" s="1186">
        <v>303</v>
      </c>
      <c r="G177" s="1186">
        <v>157690</v>
      </c>
    </row>
    <row r="178" spans="1:7" x14ac:dyDescent="0.2">
      <c r="A178" s="1186" t="s">
        <v>133</v>
      </c>
      <c r="B178" s="1186" t="s">
        <v>35</v>
      </c>
      <c r="C178" s="1186">
        <v>2246</v>
      </c>
      <c r="D178" s="1186">
        <v>58</v>
      </c>
      <c r="E178" s="1186">
        <v>1853</v>
      </c>
      <c r="F178" s="1186">
        <v>335</v>
      </c>
      <c r="G178" s="1186">
        <v>367250</v>
      </c>
    </row>
    <row r="179" spans="1:7" x14ac:dyDescent="0.2">
      <c r="A179" s="1186" t="s">
        <v>133</v>
      </c>
      <c r="B179" s="1186" t="s">
        <v>36</v>
      </c>
      <c r="C179" s="1186">
        <v>8197</v>
      </c>
      <c r="D179" s="1186">
        <v>435</v>
      </c>
      <c r="E179" s="1186">
        <v>6209</v>
      </c>
      <c r="F179" s="1186">
        <v>1553</v>
      </c>
      <c r="G179" s="1186">
        <v>599640</v>
      </c>
    </row>
    <row r="180" spans="1:7" x14ac:dyDescent="0.2">
      <c r="A180" s="1186" t="s">
        <v>133</v>
      </c>
      <c r="B180" s="1186" t="s">
        <v>37</v>
      </c>
      <c r="C180" s="1186">
        <v>2062</v>
      </c>
      <c r="D180" s="1186">
        <v>82</v>
      </c>
      <c r="E180" s="1186">
        <v>1466</v>
      </c>
      <c r="F180" s="1186">
        <v>514</v>
      </c>
      <c r="G180" s="1186">
        <v>233080</v>
      </c>
    </row>
    <row r="181" spans="1:7" x14ac:dyDescent="0.2">
      <c r="A181" s="1186" t="s">
        <v>133</v>
      </c>
      <c r="B181" s="1186" t="s">
        <v>38</v>
      </c>
      <c r="C181" s="1186">
        <v>740</v>
      </c>
      <c r="D181" s="1186">
        <v>46</v>
      </c>
      <c r="E181" s="1186">
        <v>532</v>
      </c>
      <c r="F181" s="1186">
        <v>162</v>
      </c>
      <c r="G181" s="1186">
        <v>79890</v>
      </c>
    </row>
    <row r="182" spans="1:7" x14ac:dyDescent="0.2">
      <c r="A182" s="1186" t="s">
        <v>133</v>
      </c>
      <c r="B182" s="1186" t="s">
        <v>39</v>
      </c>
      <c r="C182" s="1186">
        <v>492</v>
      </c>
      <c r="D182" s="1186">
        <v>34</v>
      </c>
      <c r="E182" s="1186">
        <v>349</v>
      </c>
      <c r="F182" s="1186">
        <v>109</v>
      </c>
      <c r="G182" s="1186">
        <v>86220</v>
      </c>
    </row>
    <row r="183" spans="1:7" x14ac:dyDescent="0.2">
      <c r="A183" s="1186" t="s">
        <v>133</v>
      </c>
      <c r="B183" s="1186" t="s">
        <v>40</v>
      </c>
      <c r="C183" s="1186">
        <v>575</v>
      </c>
      <c r="D183" s="1186">
        <v>9</v>
      </c>
      <c r="E183" s="1186">
        <v>493</v>
      </c>
      <c r="F183" s="1186">
        <v>73</v>
      </c>
      <c r="G183" s="1186">
        <v>94770</v>
      </c>
    </row>
    <row r="184" spans="1:7" x14ac:dyDescent="0.2">
      <c r="A184" s="1186" t="s">
        <v>133</v>
      </c>
      <c r="B184" s="1186" t="s">
        <v>295</v>
      </c>
      <c r="C184" s="1186">
        <v>224</v>
      </c>
      <c r="D184" s="1186">
        <v>1</v>
      </c>
      <c r="E184" s="1186">
        <v>190</v>
      </c>
      <c r="F184" s="1186">
        <v>33</v>
      </c>
      <c r="G184" s="1186">
        <v>27250</v>
      </c>
    </row>
    <row r="185" spans="1:7" x14ac:dyDescent="0.2">
      <c r="A185" s="1186" t="s">
        <v>133</v>
      </c>
      <c r="B185" s="1186" t="s">
        <v>41</v>
      </c>
      <c r="C185" s="1186">
        <v>1014</v>
      </c>
      <c r="D185" s="1186">
        <v>50</v>
      </c>
      <c r="E185" s="1186">
        <v>645</v>
      </c>
      <c r="F185" s="1186">
        <v>319</v>
      </c>
      <c r="G185" s="1186">
        <v>136480</v>
      </c>
    </row>
    <row r="186" spans="1:7" x14ac:dyDescent="0.2">
      <c r="A186" s="1186" t="s">
        <v>133</v>
      </c>
      <c r="B186" s="1186" t="s">
        <v>42</v>
      </c>
      <c r="C186" s="1186">
        <v>2683</v>
      </c>
      <c r="D186" s="1186">
        <v>118</v>
      </c>
      <c r="E186" s="1186">
        <v>1970</v>
      </c>
      <c r="F186" s="1186">
        <v>595</v>
      </c>
      <c r="G186" s="1186">
        <v>338000</v>
      </c>
    </row>
    <row r="187" spans="1:7" x14ac:dyDescent="0.2">
      <c r="A187" s="1186" t="s">
        <v>133</v>
      </c>
      <c r="B187" s="1186" t="s">
        <v>43</v>
      </c>
      <c r="C187" s="1186">
        <v>138</v>
      </c>
      <c r="D187" s="1186">
        <v>1</v>
      </c>
      <c r="E187" s="1186">
        <v>117</v>
      </c>
      <c r="F187" s="1186">
        <v>20</v>
      </c>
      <c r="G187" s="1186">
        <v>21580</v>
      </c>
    </row>
    <row r="188" spans="1:7" x14ac:dyDescent="0.2">
      <c r="A188" s="1186" t="s">
        <v>133</v>
      </c>
      <c r="B188" s="1186" t="s">
        <v>44</v>
      </c>
      <c r="C188" s="1186">
        <v>1214</v>
      </c>
      <c r="D188" s="1186">
        <v>28</v>
      </c>
      <c r="E188" s="1186">
        <v>1002</v>
      </c>
      <c r="F188" s="1186">
        <v>184</v>
      </c>
      <c r="G188" s="1186">
        <v>148930</v>
      </c>
    </row>
    <row r="189" spans="1:7" x14ac:dyDescent="0.2">
      <c r="A189" s="1186" t="s">
        <v>133</v>
      </c>
      <c r="B189" s="1186" t="s">
        <v>45</v>
      </c>
      <c r="C189" s="1186">
        <v>1329</v>
      </c>
      <c r="D189" s="1186">
        <v>52</v>
      </c>
      <c r="E189" s="1186">
        <v>926</v>
      </c>
      <c r="F189" s="1186">
        <v>351</v>
      </c>
      <c r="G189" s="1186">
        <v>174230</v>
      </c>
    </row>
    <row r="190" spans="1:7" x14ac:dyDescent="0.2">
      <c r="A190" s="1186" t="s">
        <v>133</v>
      </c>
      <c r="B190" s="1186" t="s">
        <v>46</v>
      </c>
      <c r="C190" s="1186">
        <v>894</v>
      </c>
      <c r="D190" s="1186">
        <v>41</v>
      </c>
      <c r="E190" s="1186">
        <v>645</v>
      </c>
      <c r="F190" s="1186">
        <v>208</v>
      </c>
      <c r="G190" s="1186">
        <v>114040</v>
      </c>
    </row>
    <row r="191" spans="1:7" x14ac:dyDescent="0.2">
      <c r="A191" s="1186" t="s">
        <v>133</v>
      </c>
      <c r="B191" s="1186" t="s">
        <v>47</v>
      </c>
      <c r="C191" s="1186">
        <v>128</v>
      </c>
      <c r="D191" s="1186">
        <v>6</v>
      </c>
      <c r="E191" s="1186">
        <v>106</v>
      </c>
      <c r="F191" s="1186">
        <v>16</v>
      </c>
      <c r="G191" s="1186">
        <v>23220</v>
      </c>
    </row>
    <row r="192" spans="1:7" x14ac:dyDescent="0.2">
      <c r="A192" s="1186" t="s">
        <v>133</v>
      </c>
      <c r="B192" s="1186" t="s">
        <v>48</v>
      </c>
      <c r="C192" s="1186">
        <v>1049</v>
      </c>
      <c r="D192" s="1186">
        <v>30</v>
      </c>
      <c r="E192" s="1186">
        <v>826</v>
      </c>
      <c r="F192" s="1186">
        <v>193</v>
      </c>
      <c r="G192" s="1186">
        <v>112530</v>
      </c>
    </row>
    <row r="193" spans="1:7" x14ac:dyDescent="0.2">
      <c r="A193" s="1186" t="s">
        <v>133</v>
      </c>
      <c r="B193" s="1186" t="s">
        <v>49</v>
      </c>
      <c r="C193" s="1186">
        <v>2743</v>
      </c>
      <c r="D193" s="1186">
        <v>116</v>
      </c>
      <c r="E193" s="1186">
        <v>1923</v>
      </c>
      <c r="F193" s="1186">
        <v>704</v>
      </c>
      <c r="G193" s="1186">
        <v>315300</v>
      </c>
    </row>
    <row r="194" spans="1:7" x14ac:dyDescent="0.2">
      <c r="A194" s="1186" t="s">
        <v>133</v>
      </c>
      <c r="B194" s="1186" t="s">
        <v>50</v>
      </c>
      <c r="C194" s="1186">
        <v>782</v>
      </c>
      <c r="D194" s="1186">
        <v>9</v>
      </c>
      <c r="E194" s="1186">
        <v>651</v>
      </c>
      <c r="F194" s="1186">
        <v>122</v>
      </c>
      <c r="G194" s="1186">
        <v>91520</v>
      </c>
    </row>
    <row r="195" spans="1:7" x14ac:dyDescent="0.2">
      <c r="A195" s="1186" t="s">
        <v>133</v>
      </c>
      <c r="B195" s="1186" t="s">
        <v>51</v>
      </c>
      <c r="C195" s="1186">
        <v>595</v>
      </c>
      <c r="D195" s="1186">
        <v>27</v>
      </c>
      <c r="E195" s="1186">
        <v>359</v>
      </c>
      <c r="F195" s="1186">
        <v>209</v>
      </c>
      <c r="G195" s="1186">
        <v>89710</v>
      </c>
    </row>
    <row r="196" spans="1:7" x14ac:dyDescent="0.2">
      <c r="A196" s="1186" t="s">
        <v>133</v>
      </c>
      <c r="B196" s="1186" t="s">
        <v>52</v>
      </c>
      <c r="C196" s="1186">
        <v>1937</v>
      </c>
      <c r="D196" s="1186">
        <v>69</v>
      </c>
      <c r="E196" s="1186">
        <v>1550</v>
      </c>
      <c r="F196" s="1186">
        <v>318</v>
      </c>
      <c r="G196" s="1186">
        <v>177200</v>
      </c>
    </row>
    <row r="197" spans="1:7" x14ac:dyDescent="0.2">
      <c r="A197" s="1186" t="s">
        <v>133</v>
      </c>
      <c r="B197" s="1186" t="s">
        <v>1521</v>
      </c>
      <c r="C197" s="1186">
        <v>1</v>
      </c>
      <c r="D197" s="1186">
        <v>1</v>
      </c>
      <c r="E197" s="1186"/>
      <c r="F197" s="1186"/>
      <c r="G197" s="1186"/>
    </row>
    <row r="198" spans="1:7" x14ac:dyDescent="0.2">
      <c r="A198" s="1186" t="s">
        <v>144</v>
      </c>
      <c r="B198" s="1186" t="s">
        <v>23</v>
      </c>
      <c r="C198" s="1186">
        <v>2230</v>
      </c>
      <c r="D198" s="1186">
        <v>113</v>
      </c>
      <c r="E198" s="1186">
        <v>1904</v>
      </c>
      <c r="F198" s="1186">
        <v>213</v>
      </c>
      <c r="G198" s="1186">
        <v>230350</v>
      </c>
    </row>
    <row r="199" spans="1:7" x14ac:dyDescent="0.2">
      <c r="A199" s="1186" t="s">
        <v>144</v>
      </c>
      <c r="B199" s="1186" t="s">
        <v>24</v>
      </c>
      <c r="C199" s="1186">
        <v>1106</v>
      </c>
      <c r="D199" s="1186">
        <v>35</v>
      </c>
      <c r="E199" s="1186">
        <v>865</v>
      </c>
      <c r="F199" s="1186">
        <v>206</v>
      </c>
      <c r="G199" s="1186">
        <v>261960</v>
      </c>
    </row>
    <row r="200" spans="1:7" x14ac:dyDescent="0.2">
      <c r="A200" s="1186" t="s">
        <v>144</v>
      </c>
      <c r="B200" s="1186" t="s">
        <v>25</v>
      </c>
      <c r="C200" s="1186">
        <v>1060</v>
      </c>
      <c r="D200" s="1186">
        <v>27</v>
      </c>
      <c r="E200" s="1186">
        <v>923</v>
      </c>
      <c r="F200" s="1186">
        <v>110</v>
      </c>
      <c r="G200" s="1186">
        <v>116900</v>
      </c>
    </row>
    <row r="201" spans="1:7" x14ac:dyDescent="0.2">
      <c r="A201" s="1186" t="s">
        <v>144</v>
      </c>
      <c r="B201" s="1186" t="s">
        <v>26</v>
      </c>
      <c r="C201" s="1186">
        <v>1018</v>
      </c>
      <c r="D201" s="1186">
        <v>17</v>
      </c>
      <c r="E201" s="1186">
        <v>860</v>
      </c>
      <c r="F201" s="1186">
        <v>141</v>
      </c>
      <c r="G201" s="1186">
        <v>86890</v>
      </c>
    </row>
    <row r="202" spans="1:7" x14ac:dyDescent="0.2">
      <c r="A202" s="1186" t="s">
        <v>144</v>
      </c>
      <c r="B202" s="1186" t="s">
        <v>619</v>
      </c>
      <c r="C202" s="1186">
        <v>6777</v>
      </c>
      <c r="D202" s="1186">
        <v>351</v>
      </c>
      <c r="E202" s="1186">
        <v>5397</v>
      </c>
      <c r="F202" s="1186">
        <v>1029</v>
      </c>
      <c r="G202" s="1186">
        <v>498810</v>
      </c>
    </row>
    <row r="203" spans="1:7" x14ac:dyDescent="0.2">
      <c r="A203" s="1186" t="s">
        <v>144</v>
      </c>
      <c r="B203" s="1186" t="s">
        <v>27</v>
      </c>
      <c r="C203" s="1186">
        <v>407</v>
      </c>
      <c r="D203" s="1186">
        <v>26</v>
      </c>
      <c r="E203" s="1186">
        <v>287</v>
      </c>
      <c r="F203" s="1186">
        <v>94</v>
      </c>
      <c r="G203" s="1186">
        <v>51360</v>
      </c>
    </row>
    <row r="204" spans="1:7" x14ac:dyDescent="0.2">
      <c r="A204" s="1186" t="s">
        <v>144</v>
      </c>
      <c r="B204" s="1186" t="s">
        <v>28</v>
      </c>
      <c r="C204" s="1186">
        <v>912</v>
      </c>
      <c r="D204" s="1186">
        <v>51</v>
      </c>
      <c r="E204" s="1186">
        <v>619</v>
      </c>
      <c r="F204" s="1186">
        <v>242</v>
      </c>
      <c r="G204" s="1186">
        <v>149670</v>
      </c>
    </row>
    <row r="205" spans="1:7" x14ac:dyDescent="0.2">
      <c r="A205" s="1186" t="s">
        <v>144</v>
      </c>
      <c r="B205" s="1186" t="s">
        <v>29</v>
      </c>
      <c r="C205" s="1186">
        <v>2107</v>
      </c>
      <c r="D205" s="1186">
        <v>76</v>
      </c>
      <c r="E205" s="1186">
        <v>1797</v>
      </c>
      <c r="F205" s="1186">
        <v>234</v>
      </c>
      <c r="G205" s="1186">
        <v>148210</v>
      </c>
    </row>
    <row r="206" spans="1:7" x14ac:dyDescent="0.2">
      <c r="A206" s="1186" t="s">
        <v>144</v>
      </c>
      <c r="B206" s="1186" t="s">
        <v>30</v>
      </c>
      <c r="C206" s="1186">
        <v>1200</v>
      </c>
      <c r="D206" s="1186">
        <v>32</v>
      </c>
      <c r="E206" s="1186">
        <v>871</v>
      </c>
      <c r="F206" s="1186">
        <v>297</v>
      </c>
      <c r="G206" s="1186">
        <v>122060</v>
      </c>
    </row>
    <row r="207" spans="1:7" x14ac:dyDescent="0.2">
      <c r="A207" s="1186" t="s">
        <v>144</v>
      </c>
      <c r="B207" s="1186" t="s">
        <v>31</v>
      </c>
      <c r="C207" s="1186">
        <v>523</v>
      </c>
      <c r="D207" s="1186">
        <v>18</v>
      </c>
      <c r="E207" s="1186">
        <v>384</v>
      </c>
      <c r="F207" s="1186">
        <v>121</v>
      </c>
      <c r="G207" s="1186">
        <v>106960</v>
      </c>
    </row>
    <row r="208" spans="1:7" x14ac:dyDescent="0.2">
      <c r="A208" s="1186" t="s">
        <v>144</v>
      </c>
      <c r="B208" s="1186" t="s">
        <v>32</v>
      </c>
      <c r="C208" s="1186">
        <v>831</v>
      </c>
      <c r="D208" s="1186">
        <v>27</v>
      </c>
      <c r="E208" s="1186">
        <v>650</v>
      </c>
      <c r="F208" s="1186">
        <v>154</v>
      </c>
      <c r="G208" s="1186">
        <v>103050</v>
      </c>
    </row>
    <row r="209" spans="1:7" x14ac:dyDescent="0.2">
      <c r="A209" s="1186" t="s">
        <v>144</v>
      </c>
      <c r="B209" s="1186" t="s">
        <v>33</v>
      </c>
      <c r="C209" s="1186">
        <v>489</v>
      </c>
      <c r="D209" s="1186">
        <v>17</v>
      </c>
      <c r="E209" s="1186">
        <v>360</v>
      </c>
      <c r="F209" s="1186">
        <v>112</v>
      </c>
      <c r="G209" s="1186">
        <v>92940</v>
      </c>
    </row>
    <row r="210" spans="1:7" x14ac:dyDescent="0.2">
      <c r="A210" s="1186" t="s">
        <v>144</v>
      </c>
      <c r="B210" s="1186" t="s">
        <v>34</v>
      </c>
      <c r="C210" s="1186">
        <v>1032</v>
      </c>
      <c r="D210" s="1186">
        <v>57</v>
      </c>
      <c r="E210" s="1186">
        <v>696</v>
      </c>
      <c r="F210" s="1186">
        <v>279</v>
      </c>
      <c r="G210" s="1186">
        <v>158460</v>
      </c>
    </row>
    <row r="211" spans="1:7" x14ac:dyDescent="0.2">
      <c r="A211" s="1186" t="s">
        <v>144</v>
      </c>
      <c r="B211" s="1186" t="s">
        <v>35</v>
      </c>
      <c r="C211" s="1186">
        <v>2595</v>
      </c>
      <c r="D211" s="1186">
        <v>96</v>
      </c>
      <c r="E211" s="1186">
        <v>2134</v>
      </c>
      <c r="F211" s="1186">
        <v>365</v>
      </c>
      <c r="G211" s="1186">
        <v>368080</v>
      </c>
    </row>
    <row r="212" spans="1:7" x14ac:dyDescent="0.2">
      <c r="A212" s="1186" t="s">
        <v>144</v>
      </c>
      <c r="B212" s="1186" t="s">
        <v>36</v>
      </c>
      <c r="C212" s="1186">
        <v>8041</v>
      </c>
      <c r="D212" s="1186">
        <v>571</v>
      </c>
      <c r="E212" s="1186">
        <v>6206</v>
      </c>
      <c r="F212" s="1186">
        <v>1264</v>
      </c>
      <c r="G212" s="1186">
        <v>606340</v>
      </c>
    </row>
    <row r="213" spans="1:7" x14ac:dyDescent="0.2">
      <c r="A213" s="1186" t="s">
        <v>144</v>
      </c>
      <c r="B213" s="1186" t="s">
        <v>37</v>
      </c>
      <c r="C213" s="1186">
        <v>2052</v>
      </c>
      <c r="D213" s="1186">
        <v>113</v>
      </c>
      <c r="E213" s="1186">
        <v>1386</v>
      </c>
      <c r="F213" s="1186">
        <v>553</v>
      </c>
      <c r="G213" s="1186">
        <v>234110</v>
      </c>
    </row>
    <row r="214" spans="1:7" x14ac:dyDescent="0.2">
      <c r="A214" s="1186" t="s">
        <v>144</v>
      </c>
      <c r="B214" s="1186" t="s">
        <v>38</v>
      </c>
      <c r="C214" s="1186">
        <v>745</v>
      </c>
      <c r="D214" s="1186">
        <v>40</v>
      </c>
      <c r="E214" s="1186">
        <v>505</v>
      </c>
      <c r="F214" s="1186">
        <v>200</v>
      </c>
      <c r="G214" s="1186">
        <v>79500</v>
      </c>
    </row>
    <row r="215" spans="1:7" x14ac:dyDescent="0.2">
      <c r="A215" s="1186" t="s">
        <v>144</v>
      </c>
      <c r="B215" s="1186" t="s">
        <v>39</v>
      </c>
      <c r="C215" s="1186">
        <v>559</v>
      </c>
      <c r="D215" s="1186">
        <v>37</v>
      </c>
      <c r="E215" s="1186">
        <v>377</v>
      </c>
      <c r="F215" s="1186">
        <v>145</v>
      </c>
      <c r="G215" s="1186">
        <v>87390</v>
      </c>
    </row>
    <row r="216" spans="1:7" x14ac:dyDescent="0.2">
      <c r="A216" s="1186" t="s">
        <v>144</v>
      </c>
      <c r="B216" s="1186" t="s">
        <v>40</v>
      </c>
      <c r="C216" s="1186">
        <v>552</v>
      </c>
      <c r="D216" s="1186">
        <v>14</v>
      </c>
      <c r="E216" s="1186">
        <v>461</v>
      </c>
      <c r="F216" s="1186">
        <v>77</v>
      </c>
      <c r="G216" s="1186">
        <v>95510</v>
      </c>
    </row>
    <row r="217" spans="1:7" x14ac:dyDescent="0.2">
      <c r="A217" s="1186" t="s">
        <v>144</v>
      </c>
      <c r="B217" s="1186" t="s">
        <v>295</v>
      </c>
      <c r="C217" s="1186">
        <v>244</v>
      </c>
      <c r="D217" s="1186">
        <v>2</v>
      </c>
      <c r="E217" s="1186">
        <v>181</v>
      </c>
      <c r="F217" s="1186">
        <v>61</v>
      </c>
      <c r="G217" s="1186">
        <v>27070</v>
      </c>
    </row>
    <row r="218" spans="1:7" x14ac:dyDescent="0.2">
      <c r="A218" s="1186" t="s">
        <v>144</v>
      </c>
      <c r="B218" s="1186" t="s">
        <v>41</v>
      </c>
      <c r="C218" s="1186">
        <v>1124</v>
      </c>
      <c r="D218" s="1186">
        <v>63</v>
      </c>
      <c r="E218" s="1186">
        <v>740</v>
      </c>
      <c r="F218" s="1186">
        <v>321</v>
      </c>
      <c r="G218" s="1186">
        <v>136130</v>
      </c>
    </row>
    <row r="219" spans="1:7" x14ac:dyDescent="0.2">
      <c r="A219" s="1186" t="s">
        <v>144</v>
      </c>
      <c r="B219" s="1186" t="s">
        <v>42</v>
      </c>
      <c r="C219" s="1186">
        <v>2608</v>
      </c>
      <c r="D219" s="1186">
        <v>117</v>
      </c>
      <c r="E219" s="1186">
        <v>1978</v>
      </c>
      <c r="F219" s="1186">
        <v>513</v>
      </c>
      <c r="G219" s="1186">
        <v>338260</v>
      </c>
    </row>
    <row r="220" spans="1:7" x14ac:dyDescent="0.2">
      <c r="A220" s="1186" t="s">
        <v>144</v>
      </c>
      <c r="B220" s="1186" t="s">
        <v>43</v>
      </c>
      <c r="C220" s="1186">
        <v>109</v>
      </c>
      <c r="D220" s="1186"/>
      <c r="E220" s="1186">
        <v>85</v>
      </c>
      <c r="F220" s="1186">
        <v>24</v>
      </c>
      <c r="G220" s="1186">
        <v>21670</v>
      </c>
    </row>
    <row r="221" spans="1:7" x14ac:dyDescent="0.2">
      <c r="A221" s="1186" t="s">
        <v>144</v>
      </c>
      <c r="B221" s="1186" t="s">
        <v>44</v>
      </c>
      <c r="C221" s="1186">
        <v>1143</v>
      </c>
      <c r="D221" s="1186">
        <v>40</v>
      </c>
      <c r="E221" s="1186">
        <v>938</v>
      </c>
      <c r="F221" s="1186">
        <v>165</v>
      </c>
      <c r="G221" s="1186">
        <v>149930</v>
      </c>
    </row>
    <row r="222" spans="1:7" x14ac:dyDescent="0.2">
      <c r="A222" s="1186" t="s">
        <v>144</v>
      </c>
      <c r="B222" s="1186" t="s">
        <v>45</v>
      </c>
      <c r="C222" s="1186">
        <v>1395</v>
      </c>
      <c r="D222" s="1186">
        <v>80</v>
      </c>
      <c r="E222" s="1186">
        <v>995</v>
      </c>
      <c r="F222" s="1186">
        <v>320</v>
      </c>
      <c r="G222" s="1186">
        <v>174560</v>
      </c>
    </row>
    <row r="223" spans="1:7" x14ac:dyDescent="0.2">
      <c r="A223" s="1186" t="s">
        <v>144</v>
      </c>
      <c r="B223" s="1186" t="s">
        <v>46</v>
      </c>
      <c r="C223" s="1186">
        <v>788</v>
      </c>
      <c r="D223" s="1186">
        <v>33</v>
      </c>
      <c r="E223" s="1186">
        <v>570</v>
      </c>
      <c r="F223" s="1186">
        <v>185</v>
      </c>
      <c r="G223" s="1186">
        <v>114030</v>
      </c>
    </row>
    <row r="224" spans="1:7" x14ac:dyDescent="0.2">
      <c r="A224" s="1186" t="s">
        <v>144</v>
      </c>
      <c r="B224" s="1186" t="s">
        <v>47</v>
      </c>
      <c r="C224" s="1186">
        <v>125</v>
      </c>
      <c r="D224" s="1186">
        <v>11</v>
      </c>
      <c r="E224" s="1186">
        <v>93</v>
      </c>
      <c r="F224" s="1186">
        <v>21</v>
      </c>
      <c r="G224" s="1186">
        <v>23200</v>
      </c>
    </row>
    <row r="225" spans="1:7" x14ac:dyDescent="0.2">
      <c r="A225" s="1186" t="s">
        <v>144</v>
      </c>
      <c r="B225" s="1186" t="s">
        <v>48</v>
      </c>
      <c r="C225" s="1186">
        <v>1005</v>
      </c>
      <c r="D225" s="1186">
        <v>37</v>
      </c>
      <c r="E225" s="1186">
        <v>791</v>
      </c>
      <c r="F225" s="1186">
        <v>177</v>
      </c>
      <c r="G225" s="1186">
        <v>112400</v>
      </c>
    </row>
    <row r="226" spans="1:7" x14ac:dyDescent="0.2">
      <c r="A226" s="1186" t="s">
        <v>144</v>
      </c>
      <c r="B226" s="1186" t="s">
        <v>49</v>
      </c>
      <c r="C226" s="1186">
        <v>2743</v>
      </c>
      <c r="D226" s="1186">
        <v>131</v>
      </c>
      <c r="E226" s="1186">
        <v>2057</v>
      </c>
      <c r="F226" s="1186">
        <v>555</v>
      </c>
      <c r="G226" s="1186">
        <v>316230</v>
      </c>
    </row>
    <row r="227" spans="1:7" x14ac:dyDescent="0.2">
      <c r="A227" s="1186" t="s">
        <v>144</v>
      </c>
      <c r="B227" s="1186" t="s">
        <v>50</v>
      </c>
      <c r="C227" s="1186">
        <v>765</v>
      </c>
      <c r="D227" s="1186">
        <v>18</v>
      </c>
      <c r="E227" s="1186">
        <v>620</v>
      </c>
      <c r="F227" s="1186">
        <v>127</v>
      </c>
      <c r="G227" s="1186">
        <v>92830</v>
      </c>
    </row>
    <row r="228" spans="1:7" x14ac:dyDescent="0.2">
      <c r="A228" s="1186" t="s">
        <v>144</v>
      </c>
      <c r="B228" s="1186" t="s">
        <v>51</v>
      </c>
      <c r="C228" s="1186">
        <v>558</v>
      </c>
      <c r="D228" s="1186">
        <v>40</v>
      </c>
      <c r="E228" s="1186">
        <v>369</v>
      </c>
      <c r="F228" s="1186">
        <v>149</v>
      </c>
      <c r="G228" s="1186">
        <v>89590</v>
      </c>
    </row>
    <row r="229" spans="1:7" x14ac:dyDescent="0.2">
      <c r="A229" s="1186" t="s">
        <v>144</v>
      </c>
      <c r="B229" s="1186" t="s">
        <v>52</v>
      </c>
      <c r="C229" s="1186">
        <v>2003</v>
      </c>
      <c r="D229" s="1186">
        <v>85</v>
      </c>
      <c r="E229" s="1186">
        <v>1522</v>
      </c>
      <c r="F229" s="1186">
        <v>396</v>
      </c>
      <c r="G229" s="1186">
        <v>178550</v>
      </c>
    </row>
    <row r="230" spans="1:7" x14ac:dyDescent="0.2">
      <c r="A230" s="1186" t="s">
        <v>282</v>
      </c>
      <c r="B230" s="1186" t="s">
        <v>23</v>
      </c>
      <c r="C230" s="1186">
        <v>2547</v>
      </c>
      <c r="D230" s="1186">
        <v>103</v>
      </c>
      <c r="E230" s="1186">
        <v>2232</v>
      </c>
      <c r="F230" s="1186">
        <v>212</v>
      </c>
      <c r="G230" s="1186">
        <v>229840</v>
      </c>
    </row>
    <row r="231" spans="1:7" x14ac:dyDescent="0.2">
      <c r="A231" s="1186" t="s">
        <v>282</v>
      </c>
      <c r="B231" s="1186" t="s">
        <v>24</v>
      </c>
      <c r="C231" s="1186">
        <v>1159</v>
      </c>
      <c r="D231" s="1186">
        <v>32</v>
      </c>
      <c r="E231" s="1186">
        <v>912</v>
      </c>
      <c r="F231" s="1186">
        <v>215</v>
      </c>
      <c r="G231" s="1186">
        <v>262190</v>
      </c>
    </row>
    <row r="232" spans="1:7" x14ac:dyDescent="0.2">
      <c r="A232" s="1186" t="s">
        <v>282</v>
      </c>
      <c r="B232" s="1186" t="s">
        <v>25</v>
      </c>
      <c r="C232" s="1186">
        <v>1002</v>
      </c>
      <c r="D232" s="1186">
        <v>21</v>
      </c>
      <c r="E232" s="1186">
        <v>846</v>
      </c>
      <c r="F232" s="1186">
        <v>135</v>
      </c>
      <c r="G232" s="1186">
        <v>116520</v>
      </c>
    </row>
    <row r="233" spans="1:7" x14ac:dyDescent="0.2">
      <c r="A233" s="1186" t="s">
        <v>282</v>
      </c>
      <c r="B233" s="1186" t="s">
        <v>26</v>
      </c>
      <c r="C233" s="1186">
        <v>960</v>
      </c>
      <c r="D233" s="1186">
        <v>22</v>
      </c>
      <c r="E233" s="1186">
        <v>772</v>
      </c>
      <c r="F233" s="1186">
        <v>166</v>
      </c>
      <c r="G233" s="1186">
        <v>87130</v>
      </c>
    </row>
    <row r="234" spans="1:7" x14ac:dyDescent="0.2">
      <c r="A234" s="1186" t="s">
        <v>282</v>
      </c>
      <c r="B234" s="1186" t="s">
        <v>619</v>
      </c>
      <c r="C234" s="1186">
        <v>6561</v>
      </c>
      <c r="D234" s="1186">
        <v>353</v>
      </c>
      <c r="E234" s="1186">
        <v>5297</v>
      </c>
      <c r="F234" s="1186">
        <v>911</v>
      </c>
      <c r="G234" s="1186">
        <v>507170</v>
      </c>
    </row>
    <row r="235" spans="1:7" x14ac:dyDescent="0.2">
      <c r="A235" s="1186" t="s">
        <v>282</v>
      </c>
      <c r="B235" s="1186" t="s">
        <v>27</v>
      </c>
      <c r="C235" s="1186">
        <v>459</v>
      </c>
      <c r="D235" s="1186">
        <v>16</v>
      </c>
      <c r="E235" s="1186">
        <v>316</v>
      </c>
      <c r="F235" s="1186">
        <v>127</v>
      </c>
      <c r="G235" s="1186">
        <v>51350</v>
      </c>
    </row>
    <row r="236" spans="1:7" x14ac:dyDescent="0.2">
      <c r="A236" s="1186" t="s">
        <v>282</v>
      </c>
      <c r="B236" s="1186" t="s">
        <v>28</v>
      </c>
      <c r="C236" s="1186">
        <v>972</v>
      </c>
      <c r="D236" s="1186">
        <v>25</v>
      </c>
      <c r="E236" s="1186">
        <v>742</v>
      </c>
      <c r="F236" s="1186">
        <v>205</v>
      </c>
      <c r="G236" s="1186">
        <v>149520</v>
      </c>
    </row>
    <row r="237" spans="1:7" x14ac:dyDescent="0.2">
      <c r="A237" s="1186" t="s">
        <v>282</v>
      </c>
      <c r="B237" s="1186" t="s">
        <v>29</v>
      </c>
      <c r="C237" s="1186">
        <v>2232</v>
      </c>
      <c r="D237" s="1186">
        <v>117</v>
      </c>
      <c r="E237" s="1186">
        <v>1880</v>
      </c>
      <c r="F237" s="1186">
        <v>235</v>
      </c>
      <c r="G237" s="1186">
        <v>148270</v>
      </c>
    </row>
    <row r="238" spans="1:7" x14ac:dyDescent="0.2">
      <c r="A238" s="1186" t="s">
        <v>282</v>
      </c>
      <c r="B238" s="1186" t="s">
        <v>30</v>
      </c>
      <c r="C238" s="1186">
        <v>1212</v>
      </c>
      <c r="D238" s="1186">
        <v>57</v>
      </c>
      <c r="E238" s="1186">
        <v>915</v>
      </c>
      <c r="F238" s="1186">
        <v>240</v>
      </c>
      <c r="G238" s="1186">
        <v>122200</v>
      </c>
    </row>
    <row r="239" spans="1:7" x14ac:dyDescent="0.2">
      <c r="A239" s="1186" t="s">
        <v>282</v>
      </c>
      <c r="B239" s="1186" t="s">
        <v>31</v>
      </c>
      <c r="C239" s="1186">
        <v>534</v>
      </c>
      <c r="D239" s="1186">
        <v>11</v>
      </c>
      <c r="E239" s="1186">
        <v>399</v>
      </c>
      <c r="F239" s="1186">
        <v>124</v>
      </c>
      <c r="G239" s="1186">
        <v>107540</v>
      </c>
    </row>
    <row r="240" spans="1:7" x14ac:dyDescent="0.2">
      <c r="A240" s="1186" t="s">
        <v>282</v>
      </c>
      <c r="B240" s="1186" t="s">
        <v>32</v>
      </c>
      <c r="C240" s="1186">
        <v>813</v>
      </c>
      <c r="D240" s="1186">
        <v>37</v>
      </c>
      <c r="E240" s="1186">
        <v>669</v>
      </c>
      <c r="F240" s="1186">
        <v>107</v>
      </c>
      <c r="G240" s="1186">
        <v>104090</v>
      </c>
    </row>
    <row r="241" spans="1:7" x14ac:dyDescent="0.2">
      <c r="A241" s="1186" t="s">
        <v>282</v>
      </c>
      <c r="B241" s="1186" t="s">
        <v>33</v>
      </c>
      <c r="C241" s="1186">
        <v>555</v>
      </c>
      <c r="D241" s="1186">
        <v>16</v>
      </c>
      <c r="E241" s="1186">
        <v>429</v>
      </c>
      <c r="F241" s="1186">
        <v>110</v>
      </c>
      <c r="G241" s="1186">
        <v>93810</v>
      </c>
    </row>
    <row r="242" spans="1:7" x14ac:dyDescent="0.2">
      <c r="A242" s="1186" t="s">
        <v>282</v>
      </c>
      <c r="B242" s="1186" t="s">
        <v>34</v>
      </c>
      <c r="C242" s="1186">
        <v>1156</v>
      </c>
      <c r="D242" s="1186">
        <v>53</v>
      </c>
      <c r="E242" s="1186">
        <v>773</v>
      </c>
      <c r="F242" s="1186">
        <v>330</v>
      </c>
      <c r="G242" s="1186">
        <v>159380</v>
      </c>
    </row>
    <row r="243" spans="1:7" x14ac:dyDescent="0.2">
      <c r="A243" s="1186" t="s">
        <v>282</v>
      </c>
      <c r="B243" s="1186" t="s">
        <v>35</v>
      </c>
      <c r="C243" s="1186">
        <v>2867</v>
      </c>
      <c r="D243" s="1186">
        <v>96</v>
      </c>
      <c r="E243" s="1186">
        <v>2332</v>
      </c>
      <c r="F243" s="1186">
        <v>439</v>
      </c>
      <c r="G243" s="1186">
        <v>370330</v>
      </c>
    </row>
    <row r="244" spans="1:7" x14ac:dyDescent="0.2">
      <c r="A244" s="1186" t="s">
        <v>282</v>
      </c>
      <c r="B244" s="1186" t="s">
        <v>36</v>
      </c>
      <c r="C244" s="1186">
        <v>8235</v>
      </c>
      <c r="D244" s="1186">
        <v>528</v>
      </c>
      <c r="E244" s="1186">
        <v>6437</v>
      </c>
      <c r="F244" s="1186">
        <v>1270</v>
      </c>
      <c r="G244" s="1186">
        <v>615070</v>
      </c>
    </row>
    <row r="245" spans="1:7" x14ac:dyDescent="0.2">
      <c r="A245" s="1186" t="s">
        <v>282</v>
      </c>
      <c r="B245" s="1186" t="s">
        <v>37</v>
      </c>
      <c r="C245" s="1186">
        <v>2084</v>
      </c>
      <c r="D245" s="1186">
        <v>67</v>
      </c>
      <c r="E245" s="1186">
        <v>1472</v>
      </c>
      <c r="F245" s="1186">
        <v>545</v>
      </c>
      <c r="G245" s="1186">
        <v>234770</v>
      </c>
    </row>
    <row r="246" spans="1:7" x14ac:dyDescent="0.2">
      <c r="A246" s="1186" t="s">
        <v>282</v>
      </c>
      <c r="B246" s="1186" t="s">
        <v>38</v>
      </c>
      <c r="C246" s="1186">
        <v>826</v>
      </c>
      <c r="D246" s="1186">
        <v>36</v>
      </c>
      <c r="E246" s="1186">
        <v>578</v>
      </c>
      <c r="F246" s="1186">
        <v>212</v>
      </c>
      <c r="G246" s="1186">
        <v>79160</v>
      </c>
    </row>
    <row r="247" spans="1:7" x14ac:dyDescent="0.2">
      <c r="A247" s="1186" t="s">
        <v>282</v>
      </c>
      <c r="B247" s="1186" t="s">
        <v>39</v>
      </c>
      <c r="C247" s="1186">
        <v>656</v>
      </c>
      <c r="D247" s="1186">
        <v>35</v>
      </c>
      <c r="E247" s="1186">
        <v>455</v>
      </c>
      <c r="F247" s="1186">
        <v>166</v>
      </c>
      <c r="G247" s="1186">
        <v>88610</v>
      </c>
    </row>
    <row r="248" spans="1:7" x14ac:dyDescent="0.2">
      <c r="A248" s="1186" t="s">
        <v>282</v>
      </c>
      <c r="B248" s="1186" t="s">
        <v>40</v>
      </c>
      <c r="C248" s="1186">
        <v>538</v>
      </c>
      <c r="D248" s="1186">
        <v>9</v>
      </c>
      <c r="E248" s="1186">
        <v>466</v>
      </c>
      <c r="F248" s="1186">
        <v>63</v>
      </c>
      <c r="G248" s="1186">
        <v>96070</v>
      </c>
    </row>
    <row r="249" spans="1:7" x14ac:dyDescent="0.2">
      <c r="A249" s="1186" t="s">
        <v>282</v>
      </c>
      <c r="B249" s="1186" t="s">
        <v>295</v>
      </c>
      <c r="C249" s="1186">
        <v>255</v>
      </c>
      <c r="D249" s="1186">
        <v>2</v>
      </c>
      <c r="E249" s="1186">
        <v>201</v>
      </c>
      <c r="F249" s="1186">
        <v>52</v>
      </c>
      <c r="G249" s="1186">
        <v>26900</v>
      </c>
    </row>
    <row r="250" spans="1:7" x14ac:dyDescent="0.2">
      <c r="A250" s="1186" t="s">
        <v>282</v>
      </c>
      <c r="B250" s="1186" t="s">
        <v>41</v>
      </c>
      <c r="C250" s="1186">
        <v>1310</v>
      </c>
      <c r="D250" s="1186">
        <v>65</v>
      </c>
      <c r="E250" s="1186">
        <v>917</v>
      </c>
      <c r="F250" s="1186">
        <v>328</v>
      </c>
      <c r="G250" s="1186">
        <v>135890</v>
      </c>
    </row>
    <row r="251" spans="1:7" x14ac:dyDescent="0.2">
      <c r="A251" s="1186" t="s">
        <v>282</v>
      </c>
      <c r="B251" s="1186" t="s">
        <v>42</v>
      </c>
      <c r="C251" s="1186">
        <v>2732</v>
      </c>
      <c r="D251" s="1186">
        <v>129</v>
      </c>
      <c r="E251" s="1186">
        <v>2029</v>
      </c>
      <c r="F251" s="1186">
        <v>574</v>
      </c>
      <c r="G251" s="1186">
        <v>339390</v>
      </c>
    </row>
    <row r="252" spans="1:7" x14ac:dyDescent="0.2">
      <c r="A252" s="1186" t="s">
        <v>282</v>
      </c>
      <c r="B252" s="1186" t="s">
        <v>43</v>
      </c>
      <c r="C252" s="1186">
        <v>103</v>
      </c>
      <c r="D252" s="1186">
        <v>2</v>
      </c>
      <c r="E252" s="1186">
        <v>81</v>
      </c>
      <c r="F252" s="1186">
        <v>20</v>
      </c>
      <c r="G252" s="1186">
        <v>21850</v>
      </c>
    </row>
    <row r="253" spans="1:7" x14ac:dyDescent="0.2">
      <c r="A253" s="1186" t="s">
        <v>282</v>
      </c>
      <c r="B253" s="1186" t="s">
        <v>44</v>
      </c>
      <c r="C253" s="1186">
        <v>1104</v>
      </c>
      <c r="D253" s="1186">
        <v>29</v>
      </c>
      <c r="E253" s="1186">
        <v>912</v>
      </c>
      <c r="F253" s="1186">
        <v>163</v>
      </c>
      <c r="G253" s="1186">
        <v>150680</v>
      </c>
    </row>
    <row r="254" spans="1:7" x14ac:dyDescent="0.2">
      <c r="A254" s="1186" t="s">
        <v>282</v>
      </c>
      <c r="B254" s="1186" t="s">
        <v>45</v>
      </c>
      <c r="C254" s="1186">
        <v>1437</v>
      </c>
      <c r="D254" s="1186">
        <v>102</v>
      </c>
      <c r="E254" s="1186">
        <v>955</v>
      </c>
      <c r="F254" s="1186">
        <v>380</v>
      </c>
      <c r="G254" s="1186">
        <v>175930</v>
      </c>
    </row>
    <row r="255" spans="1:7" x14ac:dyDescent="0.2">
      <c r="A255" s="1186" t="s">
        <v>282</v>
      </c>
      <c r="B255" s="1186" t="s">
        <v>46</v>
      </c>
      <c r="C255" s="1186">
        <v>874</v>
      </c>
      <c r="D255" s="1186">
        <v>38</v>
      </c>
      <c r="E255" s="1186">
        <v>629</v>
      </c>
      <c r="F255" s="1186">
        <v>207</v>
      </c>
      <c r="G255" s="1186">
        <v>114530</v>
      </c>
    </row>
    <row r="256" spans="1:7" x14ac:dyDescent="0.2">
      <c r="A256" s="1186" t="s">
        <v>282</v>
      </c>
      <c r="B256" s="1186" t="s">
        <v>47</v>
      </c>
      <c r="C256" s="1186">
        <v>116</v>
      </c>
      <c r="D256" s="1186">
        <v>6</v>
      </c>
      <c r="E256" s="1186">
        <v>91</v>
      </c>
      <c r="F256" s="1186">
        <v>19</v>
      </c>
      <c r="G256" s="1186">
        <v>23200</v>
      </c>
    </row>
    <row r="257" spans="1:7" x14ac:dyDescent="0.2">
      <c r="A257" s="1186" t="s">
        <v>282</v>
      </c>
      <c r="B257" s="1186" t="s">
        <v>48</v>
      </c>
      <c r="C257" s="1186">
        <v>1074</v>
      </c>
      <c r="D257" s="1186">
        <v>34</v>
      </c>
      <c r="E257" s="1186">
        <v>884</v>
      </c>
      <c r="F257" s="1186">
        <v>156</v>
      </c>
      <c r="G257" s="1186">
        <v>112470</v>
      </c>
    </row>
    <row r="258" spans="1:7" x14ac:dyDescent="0.2">
      <c r="A258" s="1186" t="s">
        <v>282</v>
      </c>
      <c r="B258" s="1186" t="s">
        <v>49</v>
      </c>
      <c r="C258" s="1186">
        <v>2869</v>
      </c>
      <c r="D258" s="1186">
        <v>100</v>
      </c>
      <c r="E258" s="1186">
        <v>2280</v>
      </c>
      <c r="F258" s="1186">
        <v>489</v>
      </c>
      <c r="G258" s="1186">
        <v>317100</v>
      </c>
    </row>
    <row r="259" spans="1:7" x14ac:dyDescent="0.2">
      <c r="A259" s="1186" t="s">
        <v>282</v>
      </c>
      <c r="B259" s="1186" t="s">
        <v>50</v>
      </c>
      <c r="C259" s="1186">
        <v>923</v>
      </c>
      <c r="D259" s="1186">
        <v>25</v>
      </c>
      <c r="E259" s="1186">
        <v>688</v>
      </c>
      <c r="F259" s="1186">
        <v>210</v>
      </c>
      <c r="G259" s="1186">
        <v>93750</v>
      </c>
    </row>
    <row r="260" spans="1:7" x14ac:dyDescent="0.2">
      <c r="A260" s="1186" t="s">
        <v>282</v>
      </c>
      <c r="B260" s="1186" t="s">
        <v>51</v>
      </c>
      <c r="C260" s="1186">
        <v>644</v>
      </c>
      <c r="D260" s="1186">
        <v>47</v>
      </c>
      <c r="E260" s="1186">
        <v>432</v>
      </c>
      <c r="F260" s="1186">
        <v>165</v>
      </c>
      <c r="G260" s="1186">
        <v>89860</v>
      </c>
    </row>
    <row r="261" spans="1:7" x14ac:dyDescent="0.2">
      <c r="A261" s="1186" t="s">
        <v>282</v>
      </c>
      <c r="B261" s="1186" t="s">
        <v>52</v>
      </c>
      <c r="C261" s="1186">
        <v>2058</v>
      </c>
      <c r="D261" s="1186">
        <v>68</v>
      </c>
      <c r="E261" s="1186">
        <v>1609</v>
      </c>
      <c r="F261" s="1186">
        <v>381</v>
      </c>
      <c r="G261" s="1186">
        <v>180130</v>
      </c>
    </row>
    <row r="262" spans="1:7" x14ac:dyDescent="0.2">
      <c r="A262" s="1186" t="s">
        <v>282</v>
      </c>
      <c r="B262" s="1186" t="s">
        <v>1521</v>
      </c>
      <c r="C262" s="1186">
        <v>1</v>
      </c>
      <c r="D262" s="1186"/>
      <c r="E262" s="1186"/>
      <c r="F262" s="1186">
        <v>1</v>
      </c>
      <c r="G262" s="1186"/>
    </row>
    <row r="263" spans="1:7" x14ac:dyDescent="0.2">
      <c r="A263" s="1186" t="s">
        <v>311</v>
      </c>
      <c r="B263" s="1186" t="s">
        <v>23</v>
      </c>
      <c r="C263" s="1186">
        <v>2582</v>
      </c>
      <c r="D263" s="1186">
        <v>179</v>
      </c>
      <c r="E263" s="1186">
        <v>2139</v>
      </c>
      <c r="F263" s="1186">
        <v>264</v>
      </c>
      <c r="G263" s="1186">
        <v>228800</v>
      </c>
    </row>
    <row r="264" spans="1:7" x14ac:dyDescent="0.2">
      <c r="A264" s="1186" t="s">
        <v>311</v>
      </c>
      <c r="B264" s="1186" t="s">
        <v>24</v>
      </c>
      <c r="C264" s="1186">
        <v>1212</v>
      </c>
      <c r="D264" s="1186">
        <v>36</v>
      </c>
      <c r="E264" s="1186">
        <v>922</v>
      </c>
      <c r="F264" s="1186">
        <v>254</v>
      </c>
      <c r="G264" s="1186">
        <v>261800</v>
      </c>
    </row>
    <row r="265" spans="1:7" x14ac:dyDescent="0.2">
      <c r="A265" s="1186" t="s">
        <v>311</v>
      </c>
      <c r="B265" s="1186" t="s">
        <v>25</v>
      </c>
      <c r="C265" s="1186">
        <v>1003</v>
      </c>
      <c r="D265" s="1186">
        <v>40</v>
      </c>
      <c r="E265" s="1186">
        <v>819</v>
      </c>
      <c r="F265" s="1186">
        <v>144</v>
      </c>
      <c r="G265" s="1186">
        <v>116280</v>
      </c>
    </row>
    <row r="266" spans="1:7" x14ac:dyDescent="0.2">
      <c r="A266" s="1186" t="s">
        <v>311</v>
      </c>
      <c r="B266" s="1186" t="s">
        <v>26</v>
      </c>
      <c r="C266" s="1186">
        <v>1094</v>
      </c>
      <c r="D266" s="1186">
        <v>16</v>
      </c>
      <c r="E266" s="1186">
        <v>938</v>
      </c>
      <c r="F266" s="1186">
        <v>140</v>
      </c>
      <c r="G266" s="1186">
        <v>86810</v>
      </c>
    </row>
    <row r="267" spans="1:7" x14ac:dyDescent="0.2">
      <c r="A267" s="1186" t="s">
        <v>311</v>
      </c>
      <c r="B267" s="1186" t="s">
        <v>619</v>
      </c>
      <c r="C267" s="1186">
        <v>6422</v>
      </c>
      <c r="D267" s="1186">
        <v>319</v>
      </c>
      <c r="E267" s="1186">
        <v>5141</v>
      </c>
      <c r="F267" s="1186">
        <v>962</v>
      </c>
      <c r="G267" s="1186">
        <v>513210</v>
      </c>
    </row>
    <row r="268" spans="1:7" x14ac:dyDescent="0.2">
      <c r="A268" s="1186" t="s">
        <v>311</v>
      </c>
      <c r="B268" s="1186" t="s">
        <v>27</v>
      </c>
      <c r="C268" s="1186">
        <v>495</v>
      </c>
      <c r="D268" s="1186">
        <v>23</v>
      </c>
      <c r="E268" s="1186">
        <v>339</v>
      </c>
      <c r="F268" s="1186">
        <v>133</v>
      </c>
      <c r="G268" s="1186">
        <v>51450</v>
      </c>
    </row>
    <row r="269" spans="1:7" x14ac:dyDescent="0.2">
      <c r="A269" s="1186" t="s">
        <v>311</v>
      </c>
      <c r="B269" s="1186" t="s">
        <v>28</v>
      </c>
      <c r="C269" s="1186">
        <v>1016</v>
      </c>
      <c r="D269" s="1186">
        <v>22</v>
      </c>
      <c r="E269" s="1186">
        <v>750</v>
      </c>
      <c r="F269" s="1186">
        <v>244</v>
      </c>
      <c r="G269" s="1186">
        <v>149200</v>
      </c>
    </row>
    <row r="270" spans="1:7" x14ac:dyDescent="0.2">
      <c r="A270" s="1186" t="s">
        <v>311</v>
      </c>
      <c r="B270" s="1186" t="s">
        <v>29</v>
      </c>
      <c r="C270" s="1186">
        <v>2211</v>
      </c>
      <c r="D270" s="1186">
        <v>139</v>
      </c>
      <c r="E270" s="1186">
        <v>1824</v>
      </c>
      <c r="F270" s="1186">
        <v>248</v>
      </c>
      <c r="G270" s="1186">
        <v>148710</v>
      </c>
    </row>
    <row r="271" spans="1:7" x14ac:dyDescent="0.2">
      <c r="A271" s="1186" t="s">
        <v>311</v>
      </c>
      <c r="B271" s="1186" t="s">
        <v>30</v>
      </c>
      <c r="C271" s="1186">
        <v>1197</v>
      </c>
      <c r="D271" s="1186">
        <v>28</v>
      </c>
      <c r="E271" s="1186">
        <v>915</v>
      </c>
      <c r="F271" s="1186">
        <v>254</v>
      </c>
      <c r="G271" s="1186">
        <v>121940</v>
      </c>
    </row>
    <row r="272" spans="1:7" x14ac:dyDescent="0.2">
      <c r="A272" s="1186" t="s">
        <v>311</v>
      </c>
      <c r="B272" s="1186" t="s">
        <v>31</v>
      </c>
      <c r="C272" s="1186">
        <v>648</v>
      </c>
      <c r="D272" s="1186">
        <v>10</v>
      </c>
      <c r="E272" s="1186">
        <v>507</v>
      </c>
      <c r="F272" s="1186">
        <v>131</v>
      </c>
      <c r="G272" s="1186">
        <v>108130</v>
      </c>
    </row>
    <row r="273" spans="1:7" x14ac:dyDescent="0.2">
      <c r="A273" s="1186" t="s">
        <v>311</v>
      </c>
      <c r="B273" s="1186" t="s">
        <v>32</v>
      </c>
      <c r="C273" s="1186">
        <v>930</v>
      </c>
      <c r="D273" s="1186">
        <v>29</v>
      </c>
      <c r="E273" s="1186">
        <v>723</v>
      </c>
      <c r="F273" s="1186">
        <v>178</v>
      </c>
      <c r="G273" s="1186">
        <v>104840</v>
      </c>
    </row>
    <row r="274" spans="1:7" x14ac:dyDescent="0.2">
      <c r="A274" s="1186" t="s">
        <v>311</v>
      </c>
      <c r="B274" s="1186" t="s">
        <v>33</v>
      </c>
      <c r="C274" s="1186">
        <v>630</v>
      </c>
      <c r="D274" s="1186">
        <v>18</v>
      </c>
      <c r="E274" s="1186">
        <v>502</v>
      </c>
      <c r="F274" s="1186">
        <v>110</v>
      </c>
      <c r="G274" s="1186">
        <v>94760</v>
      </c>
    </row>
    <row r="275" spans="1:7" x14ac:dyDescent="0.2">
      <c r="A275" s="1186" t="s">
        <v>311</v>
      </c>
      <c r="B275" s="1186" t="s">
        <v>34</v>
      </c>
      <c r="C275" s="1186">
        <v>1197</v>
      </c>
      <c r="D275" s="1186">
        <v>71</v>
      </c>
      <c r="E275" s="1186">
        <v>819</v>
      </c>
      <c r="F275" s="1186">
        <v>307</v>
      </c>
      <c r="G275" s="1186">
        <v>160130</v>
      </c>
    </row>
    <row r="276" spans="1:7" x14ac:dyDescent="0.2">
      <c r="A276" s="1186" t="s">
        <v>311</v>
      </c>
      <c r="B276" s="1186" t="s">
        <v>35</v>
      </c>
      <c r="C276" s="1186">
        <v>2849</v>
      </c>
      <c r="D276" s="1186">
        <v>100</v>
      </c>
      <c r="E276" s="1186">
        <v>2341</v>
      </c>
      <c r="F276" s="1186">
        <v>408</v>
      </c>
      <c r="G276" s="1186">
        <v>371410</v>
      </c>
    </row>
    <row r="277" spans="1:7" x14ac:dyDescent="0.2">
      <c r="A277" s="1186" t="s">
        <v>311</v>
      </c>
      <c r="B277" s="1186" t="s">
        <v>36</v>
      </c>
      <c r="C277" s="1186">
        <v>8352</v>
      </c>
      <c r="D277" s="1186">
        <v>498</v>
      </c>
      <c r="E277" s="1186">
        <v>6607</v>
      </c>
      <c r="F277" s="1186">
        <v>1247</v>
      </c>
      <c r="G277" s="1186">
        <v>621020</v>
      </c>
    </row>
    <row r="278" spans="1:7" x14ac:dyDescent="0.2">
      <c r="A278" s="1186" t="s">
        <v>311</v>
      </c>
      <c r="B278" s="1186" t="s">
        <v>37</v>
      </c>
      <c r="C278" s="1186">
        <v>2195</v>
      </c>
      <c r="D278" s="1186">
        <v>90</v>
      </c>
      <c r="E278" s="1186">
        <v>1544</v>
      </c>
      <c r="F278" s="1186">
        <v>561</v>
      </c>
      <c r="G278" s="1186">
        <v>235180</v>
      </c>
    </row>
    <row r="279" spans="1:7" x14ac:dyDescent="0.2">
      <c r="A279" s="1186" t="s">
        <v>311</v>
      </c>
      <c r="B279" s="1186" t="s">
        <v>38</v>
      </c>
      <c r="C279" s="1186">
        <v>784</v>
      </c>
      <c r="D279" s="1186">
        <v>46</v>
      </c>
      <c r="E279" s="1186">
        <v>556</v>
      </c>
      <c r="F279" s="1186">
        <v>182</v>
      </c>
      <c r="G279" s="1186">
        <v>78760</v>
      </c>
    </row>
    <row r="280" spans="1:7" x14ac:dyDescent="0.2">
      <c r="A280" s="1186" t="s">
        <v>311</v>
      </c>
      <c r="B280" s="1186" t="s">
        <v>39</v>
      </c>
      <c r="C280" s="1186">
        <v>648</v>
      </c>
      <c r="D280" s="1186">
        <v>38</v>
      </c>
      <c r="E280" s="1186">
        <v>496</v>
      </c>
      <c r="F280" s="1186">
        <v>114</v>
      </c>
      <c r="G280" s="1186">
        <v>90090</v>
      </c>
    </row>
    <row r="281" spans="1:7" x14ac:dyDescent="0.2">
      <c r="A281" s="1186" t="s">
        <v>311</v>
      </c>
      <c r="B281" s="1186" t="s">
        <v>40</v>
      </c>
      <c r="C281" s="1186">
        <v>571</v>
      </c>
      <c r="D281" s="1186">
        <v>16</v>
      </c>
      <c r="E281" s="1186">
        <v>470</v>
      </c>
      <c r="F281" s="1186">
        <v>85</v>
      </c>
      <c r="G281" s="1186">
        <v>95780</v>
      </c>
    </row>
    <row r="282" spans="1:7" x14ac:dyDescent="0.2">
      <c r="A282" s="1186" t="s">
        <v>311</v>
      </c>
      <c r="B282" s="1186" t="s">
        <v>295</v>
      </c>
      <c r="C282" s="1186">
        <v>233</v>
      </c>
      <c r="D282" s="1186">
        <v>2</v>
      </c>
      <c r="E282" s="1186">
        <v>176</v>
      </c>
      <c r="F282" s="1186">
        <v>55</v>
      </c>
      <c r="G282" s="1186">
        <v>26950</v>
      </c>
    </row>
    <row r="283" spans="1:7" x14ac:dyDescent="0.2">
      <c r="A283" s="1186" t="s">
        <v>311</v>
      </c>
      <c r="B283" s="1186" t="s">
        <v>41</v>
      </c>
      <c r="C283" s="1186">
        <v>1296</v>
      </c>
      <c r="D283" s="1186">
        <v>45</v>
      </c>
      <c r="E283" s="1186">
        <v>975</v>
      </c>
      <c r="F283" s="1186">
        <v>276</v>
      </c>
      <c r="G283" s="1186">
        <v>135790</v>
      </c>
    </row>
    <row r="284" spans="1:7" x14ac:dyDescent="0.2">
      <c r="A284" s="1186" t="s">
        <v>311</v>
      </c>
      <c r="B284" s="1186" t="s">
        <v>42</v>
      </c>
      <c r="C284" s="1186">
        <v>2856</v>
      </c>
      <c r="D284" s="1186">
        <v>134</v>
      </c>
      <c r="E284" s="1186">
        <v>2125</v>
      </c>
      <c r="F284" s="1186">
        <v>597</v>
      </c>
      <c r="G284" s="1186">
        <v>339960</v>
      </c>
    </row>
    <row r="285" spans="1:7" x14ac:dyDescent="0.2">
      <c r="A285" s="1186" t="s">
        <v>311</v>
      </c>
      <c r="B285" s="1186" t="s">
        <v>43</v>
      </c>
      <c r="C285" s="1186">
        <v>83</v>
      </c>
      <c r="D285" s="1186">
        <v>3</v>
      </c>
      <c r="E285" s="1186">
        <v>55</v>
      </c>
      <c r="F285" s="1186">
        <v>25</v>
      </c>
      <c r="G285" s="1186">
        <v>22000</v>
      </c>
    </row>
    <row r="286" spans="1:7" x14ac:dyDescent="0.2">
      <c r="A286" s="1186" t="s">
        <v>311</v>
      </c>
      <c r="B286" s="1186" t="s">
        <v>44</v>
      </c>
      <c r="C286" s="1186">
        <v>1097</v>
      </c>
      <c r="D286" s="1186">
        <v>33</v>
      </c>
      <c r="E286" s="1186">
        <v>891</v>
      </c>
      <c r="F286" s="1186">
        <v>173</v>
      </c>
      <c r="G286" s="1186">
        <v>151100</v>
      </c>
    </row>
    <row r="287" spans="1:7" x14ac:dyDescent="0.2">
      <c r="A287" s="1186" t="s">
        <v>311</v>
      </c>
      <c r="B287" s="1186" t="s">
        <v>45</v>
      </c>
      <c r="C287" s="1186">
        <v>1658</v>
      </c>
      <c r="D287" s="1186">
        <v>62</v>
      </c>
      <c r="E287" s="1186">
        <v>1240</v>
      </c>
      <c r="F287" s="1186">
        <v>356</v>
      </c>
      <c r="G287" s="1186">
        <v>176830</v>
      </c>
    </row>
    <row r="288" spans="1:7" x14ac:dyDescent="0.2">
      <c r="A288" s="1186" t="s">
        <v>311</v>
      </c>
      <c r="B288" s="1186" t="s">
        <v>46</v>
      </c>
      <c r="C288" s="1186">
        <v>893</v>
      </c>
      <c r="D288" s="1186">
        <v>42</v>
      </c>
      <c r="E288" s="1186">
        <v>614</v>
      </c>
      <c r="F288" s="1186">
        <v>237</v>
      </c>
      <c r="G288" s="1186">
        <v>115020</v>
      </c>
    </row>
    <row r="289" spans="1:7" x14ac:dyDescent="0.2">
      <c r="A289" s="1186" t="s">
        <v>311</v>
      </c>
      <c r="B289" s="1186" t="s">
        <v>47</v>
      </c>
      <c r="C289" s="1186">
        <v>131</v>
      </c>
      <c r="D289" s="1186">
        <v>1</v>
      </c>
      <c r="E289" s="1186">
        <v>102</v>
      </c>
      <c r="F289" s="1186">
        <v>28</v>
      </c>
      <c r="G289" s="1186">
        <v>23080</v>
      </c>
    </row>
    <row r="290" spans="1:7" x14ac:dyDescent="0.2">
      <c r="A290" s="1186" t="s">
        <v>311</v>
      </c>
      <c r="B290" s="1186" t="s">
        <v>48</v>
      </c>
      <c r="C290" s="1186">
        <v>1232</v>
      </c>
      <c r="D290" s="1186">
        <v>46</v>
      </c>
      <c r="E290" s="1186">
        <v>978</v>
      </c>
      <c r="F290" s="1186">
        <v>208</v>
      </c>
      <c r="G290" s="1186">
        <v>112680</v>
      </c>
    </row>
    <row r="291" spans="1:7" x14ac:dyDescent="0.2">
      <c r="A291" s="1186" t="s">
        <v>311</v>
      </c>
      <c r="B291" s="1186" t="s">
        <v>49</v>
      </c>
      <c r="C291" s="1186">
        <v>2770</v>
      </c>
      <c r="D291" s="1186">
        <v>100</v>
      </c>
      <c r="E291" s="1186">
        <v>2228</v>
      </c>
      <c r="F291" s="1186">
        <v>442</v>
      </c>
      <c r="G291" s="1186">
        <v>318170</v>
      </c>
    </row>
    <row r="292" spans="1:7" x14ac:dyDescent="0.2">
      <c r="A292" s="1186" t="s">
        <v>311</v>
      </c>
      <c r="B292" s="1186" t="s">
        <v>50</v>
      </c>
      <c r="C292" s="1186">
        <v>913</v>
      </c>
      <c r="D292" s="1186">
        <v>18</v>
      </c>
      <c r="E292" s="1186">
        <v>702</v>
      </c>
      <c r="F292" s="1186">
        <v>193</v>
      </c>
      <c r="G292" s="1186">
        <v>94000</v>
      </c>
    </row>
    <row r="293" spans="1:7" x14ac:dyDescent="0.2">
      <c r="A293" s="1186" t="s">
        <v>311</v>
      </c>
      <c r="B293" s="1186" t="s">
        <v>51</v>
      </c>
      <c r="C293" s="1186">
        <v>691</v>
      </c>
      <c r="D293" s="1186">
        <v>41</v>
      </c>
      <c r="E293" s="1186">
        <v>501</v>
      </c>
      <c r="F293" s="1186">
        <v>149</v>
      </c>
      <c r="G293" s="1186">
        <v>89610</v>
      </c>
    </row>
    <row r="294" spans="1:7" x14ac:dyDescent="0.2">
      <c r="A294" s="1186" t="s">
        <v>311</v>
      </c>
      <c r="B294" s="1186" t="s">
        <v>52</v>
      </c>
      <c r="C294" s="1186">
        <v>1995</v>
      </c>
      <c r="D294" s="1186">
        <v>92</v>
      </c>
      <c r="E294" s="1186">
        <v>1497</v>
      </c>
      <c r="F294" s="1186">
        <v>406</v>
      </c>
      <c r="G294" s="1186">
        <v>181310</v>
      </c>
    </row>
    <row r="295" spans="1:7" x14ac:dyDescent="0.2">
      <c r="A295" s="1186" t="s">
        <v>621</v>
      </c>
      <c r="B295" s="1186" t="s">
        <v>23</v>
      </c>
      <c r="C295" s="1186">
        <v>2538</v>
      </c>
      <c r="D295" s="1186">
        <v>185</v>
      </c>
      <c r="E295" s="1186">
        <v>2092</v>
      </c>
      <c r="F295" s="1186">
        <v>261</v>
      </c>
      <c r="G295" s="1186">
        <v>227560</v>
      </c>
    </row>
    <row r="296" spans="1:7" x14ac:dyDescent="0.2">
      <c r="A296" s="1186" t="s">
        <v>621</v>
      </c>
      <c r="B296" s="1186" t="s">
        <v>24</v>
      </c>
      <c r="C296" s="1186">
        <v>1212</v>
      </c>
      <c r="D296" s="1186">
        <v>38</v>
      </c>
      <c r="E296" s="1186">
        <v>890</v>
      </c>
      <c r="F296" s="1186">
        <v>284</v>
      </c>
      <c r="G296" s="1186">
        <v>261470</v>
      </c>
    </row>
    <row r="297" spans="1:7" x14ac:dyDescent="0.2">
      <c r="A297" s="1186" t="s">
        <v>621</v>
      </c>
      <c r="B297" s="1186" t="s">
        <v>25</v>
      </c>
      <c r="C297" s="1186">
        <v>981</v>
      </c>
      <c r="D297" s="1186">
        <v>35</v>
      </c>
      <c r="E297" s="1186">
        <v>813</v>
      </c>
      <c r="F297" s="1186">
        <v>133</v>
      </c>
      <c r="G297" s="1186">
        <v>116040</v>
      </c>
    </row>
    <row r="298" spans="1:7" x14ac:dyDescent="0.2">
      <c r="A298" s="1186" t="s">
        <v>621</v>
      </c>
      <c r="B298" s="1186" t="s">
        <v>26</v>
      </c>
      <c r="C298" s="1186">
        <v>1147</v>
      </c>
      <c r="D298" s="1186">
        <v>38</v>
      </c>
      <c r="E298" s="1186">
        <v>958</v>
      </c>
      <c r="F298" s="1186">
        <v>151</v>
      </c>
      <c r="G298" s="1186">
        <v>86260</v>
      </c>
    </row>
    <row r="299" spans="1:7" x14ac:dyDescent="0.2">
      <c r="A299" s="1186" t="s">
        <v>621</v>
      </c>
      <c r="B299" s="1186" t="s">
        <v>619</v>
      </c>
      <c r="C299" s="1186">
        <v>6613</v>
      </c>
      <c r="D299" s="1186">
        <v>251</v>
      </c>
      <c r="E299" s="1186">
        <v>5373</v>
      </c>
      <c r="F299" s="1186">
        <v>989</v>
      </c>
      <c r="G299" s="1186">
        <v>518500</v>
      </c>
    </row>
    <row r="300" spans="1:7" x14ac:dyDescent="0.2">
      <c r="A300" s="1186" t="s">
        <v>621</v>
      </c>
      <c r="B300" s="1186" t="s">
        <v>27</v>
      </c>
      <c r="C300" s="1186">
        <v>427</v>
      </c>
      <c r="D300" s="1186">
        <v>14</v>
      </c>
      <c r="E300" s="1186">
        <v>326</v>
      </c>
      <c r="F300" s="1186">
        <v>87</v>
      </c>
      <c r="G300" s="1186">
        <v>51400</v>
      </c>
    </row>
    <row r="301" spans="1:7" x14ac:dyDescent="0.2">
      <c r="A301" s="1186" t="s">
        <v>621</v>
      </c>
      <c r="B301" s="1186" t="s">
        <v>28</v>
      </c>
      <c r="C301" s="1186">
        <v>1009</v>
      </c>
      <c r="D301" s="1186">
        <v>28</v>
      </c>
      <c r="E301" s="1186">
        <v>790</v>
      </c>
      <c r="F301" s="1186">
        <v>191</v>
      </c>
      <c r="G301" s="1186">
        <v>148790</v>
      </c>
    </row>
    <row r="302" spans="1:7" x14ac:dyDescent="0.2">
      <c r="A302" s="1186" t="s">
        <v>621</v>
      </c>
      <c r="B302" s="1186" t="s">
        <v>29</v>
      </c>
      <c r="C302" s="1186">
        <v>2141</v>
      </c>
      <c r="D302" s="1186">
        <v>123</v>
      </c>
      <c r="E302" s="1186">
        <v>1793</v>
      </c>
      <c r="F302" s="1186">
        <v>225</v>
      </c>
      <c r="G302" s="1186">
        <v>148750</v>
      </c>
    </row>
    <row r="303" spans="1:7" x14ac:dyDescent="0.2">
      <c r="A303" s="1186" t="s">
        <v>621</v>
      </c>
      <c r="B303" s="1186" t="s">
        <v>30</v>
      </c>
      <c r="C303" s="1186">
        <v>1302</v>
      </c>
      <c r="D303" s="1186">
        <v>51</v>
      </c>
      <c r="E303" s="1186">
        <v>954</v>
      </c>
      <c r="F303" s="1186">
        <v>297</v>
      </c>
      <c r="G303" s="1186">
        <v>121840</v>
      </c>
    </row>
    <row r="304" spans="1:7" x14ac:dyDescent="0.2">
      <c r="A304" s="1186" t="s">
        <v>621</v>
      </c>
      <c r="B304" s="1186" t="s">
        <v>31</v>
      </c>
      <c r="C304" s="1186">
        <v>585</v>
      </c>
      <c r="D304" s="1186">
        <v>17</v>
      </c>
      <c r="E304" s="1186">
        <v>435</v>
      </c>
      <c r="F304" s="1186">
        <v>133</v>
      </c>
      <c r="G304" s="1186">
        <v>108330</v>
      </c>
    </row>
    <row r="305" spans="1:7" x14ac:dyDescent="0.2">
      <c r="A305" s="1186" t="s">
        <v>621</v>
      </c>
      <c r="B305" s="1186" t="s">
        <v>32</v>
      </c>
      <c r="C305" s="1186">
        <v>926</v>
      </c>
      <c r="D305" s="1186">
        <v>46</v>
      </c>
      <c r="E305" s="1186">
        <v>712</v>
      </c>
      <c r="F305" s="1186">
        <v>168</v>
      </c>
      <c r="G305" s="1186">
        <v>105790</v>
      </c>
    </row>
    <row r="306" spans="1:7" x14ac:dyDescent="0.2">
      <c r="A306" s="1186" t="s">
        <v>621</v>
      </c>
      <c r="B306" s="1186" t="s">
        <v>33</v>
      </c>
      <c r="C306" s="1186">
        <v>620</v>
      </c>
      <c r="D306" s="1186">
        <v>19</v>
      </c>
      <c r="E306" s="1186">
        <v>481</v>
      </c>
      <c r="F306" s="1186">
        <v>120</v>
      </c>
      <c r="G306" s="1186">
        <v>95170</v>
      </c>
    </row>
    <row r="307" spans="1:7" x14ac:dyDescent="0.2">
      <c r="A307" s="1186" t="s">
        <v>621</v>
      </c>
      <c r="B307" s="1186" t="s">
        <v>34</v>
      </c>
      <c r="C307" s="1186">
        <v>1050</v>
      </c>
      <c r="D307" s="1186">
        <v>35</v>
      </c>
      <c r="E307" s="1186">
        <v>719</v>
      </c>
      <c r="F307" s="1186">
        <v>296</v>
      </c>
      <c r="G307" s="1186">
        <v>160340</v>
      </c>
    </row>
    <row r="308" spans="1:7" x14ac:dyDescent="0.2">
      <c r="A308" s="1186" t="s">
        <v>621</v>
      </c>
      <c r="B308" s="1186" t="s">
        <v>35</v>
      </c>
      <c r="C308" s="1186">
        <v>3075</v>
      </c>
      <c r="D308" s="1186">
        <v>125</v>
      </c>
      <c r="E308" s="1186">
        <v>2512</v>
      </c>
      <c r="F308" s="1186">
        <v>438</v>
      </c>
      <c r="G308" s="1186">
        <v>371910</v>
      </c>
    </row>
    <row r="309" spans="1:7" x14ac:dyDescent="0.2">
      <c r="A309" s="1186" t="s">
        <v>621</v>
      </c>
      <c r="B309" s="1186" t="s">
        <v>36</v>
      </c>
      <c r="C309" s="1186">
        <v>8441</v>
      </c>
      <c r="D309" s="1186">
        <v>418</v>
      </c>
      <c r="E309" s="1186">
        <v>6821</v>
      </c>
      <c r="F309" s="1186">
        <v>1202</v>
      </c>
      <c r="G309" s="1186">
        <v>626410</v>
      </c>
    </row>
    <row r="310" spans="1:7" x14ac:dyDescent="0.2">
      <c r="A310" s="1186" t="s">
        <v>621</v>
      </c>
      <c r="B310" s="1186" t="s">
        <v>37</v>
      </c>
      <c r="C310" s="1186">
        <v>2236</v>
      </c>
      <c r="D310" s="1186">
        <v>100</v>
      </c>
      <c r="E310" s="1186">
        <v>1610</v>
      </c>
      <c r="F310" s="1186">
        <v>526</v>
      </c>
      <c r="G310" s="1186">
        <v>235540</v>
      </c>
    </row>
    <row r="311" spans="1:7" x14ac:dyDescent="0.2">
      <c r="A311" s="1186" t="s">
        <v>621</v>
      </c>
      <c r="B311" s="1186" t="s">
        <v>38</v>
      </c>
      <c r="C311" s="1186">
        <v>833</v>
      </c>
      <c r="D311" s="1186">
        <v>39</v>
      </c>
      <c r="E311" s="1186">
        <v>596</v>
      </c>
      <c r="F311" s="1186">
        <v>198</v>
      </c>
      <c r="G311" s="1186">
        <v>78150</v>
      </c>
    </row>
    <row r="312" spans="1:7" x14ac:dyDescent="0.2">
      <c r="A312" s="1186" t="s">
        <v>621</v>
      </c>
      <c r="B312" s="1186" t="s">
        <v>39</v>
      </c>
      <c r="C312" s="1186">
        <v>634</v>
      </c>
      <c r="D312" s="1186">
        <v>26</v>
      </c>
      <c r="E312" s="1186">
        <v>469</v>
      </c>
      <c r="F312" s="1186">
        <v>139</v>
      </c>
      <c r="G312" s="1186">
        <v>91340</v>
      </c>
    </row>
    <row r="313" spans="1:7" x14ac:dyDescent="0.2">
      <c r="A313" s="1186" t="s">
        <v>621</v>
      </c>
      <c r="B313" s="1186" t="s">
        <v>40</v>
      </c>
      <c r="C313" s="1186">
        <v>610</v>
      </c>
      <c r="D313" s="1186">
        <v>14</v>
      </c>
      <c r="E313" s="1186">
        <v>458</v>
      </c>
      <c r="F313" s="1186">
        <v>138</v>
      </c>
      <c r="G313" s="1186">
        <v>95520</v>
      </c>
    </row>
    <row r="314" spans="1:7" x14ac:dyDescent="0.2">
      <c r="A314" s="1186" t="s">
        <v>621</v>
      </c>
      <c r="B314" s="1186" t="s">
        <v>295</v>
      </c>
      <c r="C314" s="1186">
        <v>242</v>
      </c>
      <c r="D314" s="1186">
        <v>2</v>
      </c>
      <c r="E314" s="1186">
        <v>179</v>
      </c>
      <c r="F314" s="1186">
        <v>61</v>
      </c>
      <c r="G314" s="1186">
        <v>26830</v>
      </c>
    </row>
    <row r="315" spans="1:7" x14ac:dyDescent="0.2">
      <c r="A315" s="1186" t="s">
        <v>621</v>
      </c>
      <c r="B315" s="1186" t="s">
        <v>41</v>
      </c>
      <c r="C315" s="1186">
        <v>1387</v>
      </c>
      <c r="D315" s="1186">
        <v>47</v>
      </c>
      <c r="E315" s="1186">
        <v>1043</v>
      </c>
      <c r="F315" s="1186">
        <v>297</v>
      </c>
      <c r="G315" s="1186">
        <v>135280</v>
      </c>
    </row>
    <row r="316" spans="1:7" x14ac:dyDescent="0.2">
      <c r="A316" s="1186" t="s">
        <v>621</v>
      </c>
      <c r="B316" s="1186" t="s">
        <v>42</v>
      </c>
      <c r="C316" s="1186">
        <v>2672</v>
      </c>
      <c r="D316" s="1186">
        <v>105</v>
      </c>
      <c r="E316" s="1186">
        <v>1932</v>
      </c>
      <c r="F316" s="1186">
        <v>635</v>
      </c>
      <c r="G316" s="1186">
        <v>340180</v>
      </c>
    </row>
    <row r="317" spans="1:7" x14ac:dyDescent="0.2">
      <c r="A317" s="1186" t="s">
        <v>621</v>
      </c>
      <c r="B317" s="1186" t="s">
        <v>43</v>
      </c>
      <c r="C317" s="1186">
        <v>91</v>
      </c>
      <c r="D317" s="1186">
        <v>2</v>
      </c>
      <c r="E317" s="1186">
        <v>64</v>
      </c>
      <c r="F317" s="1186">
        <v>25</v>
      </c>
      <c r="G317" s="1186">
        <v>22190</v>
      </c>
    </row>
    <row r="318" spans="1:7" x14ac:dyDescent="0.2">
      <c r="A318" s="1186" t="s">
        <v>621</v>
      </c>
      <c r="B318" s="1186" t="s">
        <v>44</v>
      </c>
      <c r="C318" s="1186">
        <v>1163</v>
      </c>
      <c r="D318" s="1186">
        <v>36</v>
      </c>
      <c r="E318" s="1186">
        <v>930</v>
      </c>
      <c r="F318" s="1186">
        <v>197</v>
      </c>
      <c r="G318" s="1186">
        <v>151290</v>
      </c>
    </row>
    <row r="319" spans="1:7" x14ac:dyDescent="0.2">
      <c r="A319" s="1186" t="s">
        <v>621</v>
      </c>
      <c r="B319" s="1186" t="s">
        <v>45</v>
      </c>
      <c r="C319" s="1186">
        <v>1690</v>
      </c>
      <c r="D319" s="1186">
        <v>93</v>
      </c>
      <c r="E319" s="1186">
        <v>1226</v>
      </c>
      <c r="F319" s="1186">
        <v>371</v>
      </c>
      <c r="G319" s="1186">
        <v>177790</v>
      </c>
    </row>
    <row r="320" spans="1:7" x14ac:dyDescent="0.2">
      <c r="A320" s="1186" t="s">
        <v>621</v>
      </c>
      <c r="B320" s="1186" t="s">
        <v>46</v>
      </c>
      <c r="C320" s="1186">
        <v>956</v>
      </c>
      <c r="D320" s="1186">
        <v>66</v>
      </c>
      <c r="E320" s="1186">
        <v>654</v>
      </c>
      <c r="F320" s="1186">
        <v>236</v>
      </c>
      <c r="G320" s="1186">
        <v>115270</v>
      </c>
    </row>
    <row r="321" spans="1:7" x14ac:dyDescent="0.2">
      <c r="A321" s="1186" t="s">
        <v>621</v>
      </c>
      <c r="B321" s="1186" t="s">
        <v>47</v>
      </c>
      <c r="C321" s="1186">
        <v>134</v>
      </c>
      <c r="D321" s="1186">
        <v>5</v>
      </c>
      <c r="E321" s="1186">
        <v>105</v>
      </c>
      <c r="F321" s="1186">
        <v>24</v>
      </c>
      <c r="G321" s="1186">
        <v>22990</v>
      </c>
    </row>
    <row r="322" spans="1:7" x14ac:dyDescent="0.2">
      <c r="A322" s="1186" t="s">
        <v>621</v>
      </c>
      <c r="B322" s="1186" t="s">
        <v>48</v>
      </c>
      <c r="C322" s="1186">
        <v>1202</v>
      </c>
      <c r="D322" s="1186">
        <v>47</v>
      </c>
      <c r="E322" s="1186">
        <v>973</v>
      </c>
      <c r="F322" s="1186">
        <v>182</v>
      </c>
      <c r="G322" s="1186">
        <v>112550</v>
      </c>
    </row>
    <row r="323" spans="1:7" x14ac:dyDescent="0.2">
      <c r="A323" s="1186" t="s">
        <v>621</v>
      </c>
      <c r="B323" s="1186" t="s">
        <v>49</v>
      </c>
      <c r="C323" s="1186">
        <v>2798</v>
      </c>
      <c r="D323" s="1186">
        <v>107</v>
      </c>
      <c r="E323" s="1186">
        <v>2255</v>
      </c>
      <c r="F323" s="1186">
        <v>436</v>
      </c>
      <c r="G323" s="1186">
        <v>319020</v>
      </c>
    </row>
    <row r="324" spans="1:7" x14ac:dyDescent="0.2">
      <c r="A324" s="1186" t="s">
        <v>621</v>
      </c>
      <c r="B324" s="1186" t="s">
        <v>50</v>
      </c>
      <c r="C324" s="1186">
        <v>909</v>
      </c>
      <c r="D324" s="1186">
        <v>21</v>
      </c>
      <c r="E324" s="1186">
        <v>682</v>
      </c>
      <c r="F324" s="1186">
        <v>206</v>
      </c>
      <c r="G324" s="1186">
        <v>94330</v>
      </c>
    </row>
    <row r="325" spans="1:7" x14ac:dyDescent="0.2">
      <c r="A325" s="1186" t="s">
        <v>621</v>
      </c>
      <c r="B325" s="1186" t="s">
        <v>51</v>
      </c>
      <c r="C325" s="1186">
        <v>641</v>
      </c>
      <c r="D325" s="1186">
        <v>28</v>
      </c>
      <c r="E325" s="1186">
        <v>420</v>
      </c>
      <c r="F325" s="1186">
        <v>193</v>
      </c>
      <c r="G325" s="1186">
        <v>89130</v>
      </c>
    </row>
    <row r="326" spans="1:7" x14ac:dyDescent="0.2">
      <c r="A326" s="1186" t="s">
        <v>621</v>
      </c>
      <c r="B326" s="1186" t="s">
        <v>52</v>
      </c>
      <c r="C326" s="1186">
        <v>1891</v>
      </c>
      <c r="D326" s="1186">
        <v>118</v>
      </c>
      <c r="E326" s="1186">
        <v>1374</v>
      </c>
      <c r="F326" s="1186">
        <v>399</v>
      </c>
      <c r="G326" s="1186">
        <v>182140</v>
      </c>
    </row>
    <row r="327" spans="1:7" x14ac:dyDescent="0.2">
      <c r="A327" s="1186" t="s">
        <v>621</v>
      </c>
      <c r="B327" s="1186" t="s">
        <v>1521</v>
      </c>
      <c r="C327" s="1186">
        <v>2</v>
      </c>
      <c r="D327" s="1186"/>
      <c r="E327" s="1186">
        <v>2</v>
      </c>
      <c r="F327" s="1186"/>
      <c r="G327" s="1186"/>
    </row>
    <row r="328" spans="1:7" x14ac:dyDescent="0.2">
      <c r="A328" s="1186" t="s">
        <v>1419</v>
      </c>
      <c r="B328" s="1186" t="s">
        <v>23</v>
      </c>
      <c r="C328" s="1186">
        <v>2376</v>
      </c>
      <c r="D328" s="1186">
        <v>161</v>
      </c>
      <c r="E328" s="1186">
        <v>1963</v>
      </c>
      <c r="F328" s="1186">
        <v>252</v>
      </c>
      <c r="G328" s="1186">
        <v>228670</v>
      </c>
    </row>
    <row r="329" spans="1:7" x14ac:dyDescent="0.2">
      <c r="A329" s="1186" t="s">
        <v>1419</v>
      </c>
      <c r="B329" s="1186" t="s">
        <v>24</v>
      </c>
      <c r="C329" s="1186">
        <v>1102</v>
      </c>
      <c r="D329" s="1186">
        <v>30</v>
      </c>
      <c r="E329" s="1186">
        <v>849</v>
      </c>
      <c r="F329" s="1186">
        <v>223</v>
      </c>
      <c r="G329" s="1186">
        <v>261210</v>
      </c>
    </row>
    <row r="330" spans="1:7" x14ac:dyDescent="0.2">
      <c r="A330" s="1186" t="s">
        <v>1419</v>
      </c>
      <c r="B330" s="1186" t="s">
        <v>25</v>
      </c>
      <c r="C330" s="1186">
        <v>903</v>
      </c>
      <c r="D330" s="1186">
        <v>39</v>
      </c>
      <c r="E330" s="1186">
        <v>750</v>
      </c>
      <c r="F330" s="1186">
        <v>114</v>
      </c>
      <c r="G330" s="1186">
        <v>116200</v>
      </c>
    </row>
    <row r="331" spans="1:7" x14ac:dyDescent="0.2">
      <c r="A331" s="1186" t="s">
        <v>1419</v>
      </c>
      <c r="B331" s="1186" t="s">
        <v>26</v>
      </c>
      <c r="C331" s="1186">
        <v>1183</v>
      </c>
      <c r="D331" s="1186">
        <v>43</v>
      </c>
      <c r="E331" s="1186">
        <v>981</v>
      </c>
      <c r="F331" s="1186">
        <v>159</v>
      </c>
      <c r="G331" s="1186">
        <v>85870</v>
      </c>
    </row>
    <row r="332" spans="1:7" x14ac:dyDescent="0.2">
      <c r="A332" s="1186" t="s">
        <v>1419</v>
      </c>
      <c r="B332" s="1186" t="s">
        <v>619</v>
      </c>
      <c r="C332" s="1186">
        <v>6522</v>
      </c>
      <c r="D332" s="1186">
        <v>285</v>
      </c>
      <c r="E332" s="1186">
        <v>5360</v>
      </c>
      <c r="F332" s="1186">
        <v>877</v>
      </c>
      <c r="G332" s="1186">
        <v>524930</v>
      </c>
    </row>
    <row r="333" spans="1:7" x14ac:dyDescent="0.2">
      <c r="A333" s="1186" t="s">
        <v>1419</v>
      </c>
      <c r="B333" s="1186" t="s">
        <v>27</v>
      </c>
      <c r="C333" s="1186">
        <v>396</v>
      </c>
      <c r="D333" s="1186">
        <v>18</v>
      </c>
      <c r="E333" s="1186">
        <v>279</v>
      </c>
      <c r="F333" s="1186">
        <v>99</v>
      </c>
      <c r="G333" s="1186">
        <v>51540</v>
      </c>
    </row>
    <row r="334" spans="1:7" x14ac:dyDescent="0.2">
      <c r="A334" s="1186" t="s">
        <v>1419</v>
      </c>
      <c r="B334" s="1186" t="s">
        <v>28</v>
      </c>
      <c r="C334" s="1186">
        <v>940</v>
      </c>
      <c r="D334" s="1186">
        <v>35</v>
      </c>
      <c r="E334" s="1186">
        <v>726</v>
      </c>
      <c r="F334" s="1186">
        <v>179</v>
      </c>
      <c r="G334" s="1186">
        <v>148860</v>
      </c>
    </row>
    <row r="335" spans="1:7" x14ac:dyDescent="0.2">
      <c r="A335" s="1186" t="s">
        <v>1419</v>
      </c>
      <c r="B335" s="1186" t="s">
        <v>29</v>
      </c>
      <c r="C335" s="1186">
        <v>2106</v>
      </c>
      <c r="D335" s="1186">
        <v>127</v>
      </c>
      <c r="E335" s="1186">
        <v>1736</v>
      </c>
      <c r="F335" s="1186">
        <v>243</v>
      </c>
      <c r="G335" s="1186">
        <v>149320</v>
      </c>
    </row>
    <row r="336" spans="1:7" x14ac:dyDescent="0.2">
      <c r="A336" s="1186" t="s">
        <v>1419</v>
      </c>
      <c r="B336" s="1186" t="s">
        <v>30</v>
      </c>
      <c r="C336" s="1186">
        <v>1228</v>
      </c>
      <c r="D336" s="1186">
        <v>54</v>
      </c>
      <c r="E336" s="1186">
        <v>929</v>
      </c>
      <c r="F336" s="1186">
        <v>245</v>
      </c>
      <c r="G336" s="1186">
        <v>122010</v>
      </c>
    </row>
    <row r="337" spans="1:7" x14ac:dyDescent="0.2">
      <c r="A337" s="1186" t="s">
        <v>1419</v>
      </c>
      <c r="B337" s="1186" t="s">
        <v>31</v>
      </c>
      <c r="C337" s="1186">
        <v>622</v>
      </c>
      <c r="D337" s="1186">
        <v>15</v>
      </c>
      <c r="E337" s="1186">
        <v>487</v>
      </c>
      <c r="F337" s="1186">
        <v>120</v>
      </c>
      <c r="G337" s="1186">
        <v>108640</v>
      </c>
    </row>
    <row r="338" spans="1:7" x14ac:dyDescent="0.2">
      <c r="A338" s="1186" t="s">
        <v>1419</v>
      </c>
      <c r="B338" s="1186" t="s">
        <v>32</v>
      </c>
      <c r="C338" s="1186">
        <v>910</v>
      </c>
      <c r="D338" s="1186">
        <v>30</v>
      </c>
      <c r="E338" s="1186">
        <v>769</v>
      </c>
      <c r="F338" s="1186">
        <v>111</v>
      </c>
      <c r="G338" s="1186">
        <v>107090</v>
      </c>
    </row>
    <row r="339" spans="1:7" x14ac:dyDescent="0.2">
      <c r="A339" s="1186" t="s">
        <v>1419</v>
      </c>
      <c r="B339" s="1186" t="s">
        <v>33</v>
      </c>
      <c r="C339" s="1186">
        <v>631</v>
      </c>
      <c r="D339" s="1186">
        <v>14</v>
      </c>
      <c r="E339" s="1186">
        <v>501</v>
      </c>
      <c r="F339" s="1186">
        <v>116</v>
      </c>
      <c r="G339" s="1186">
        <v>95530</v>
      </c>
    </row>
    <row r="340" spans="1:7" x14ac:dyDescent="0.2">
      <c r="A340" s="1186" t="s">
        <v>1419</v>
      </c>
      <c r="B340" s="1186" t="s">
        <v>34</v>
      </c>
      <c r="C340" s="1186">
        <v>1208</v>
      </c>
      <c r="D340" s="1186">
        <v>57</v>
      </c>
      <c r="E340" s="1186">
        <v>863</v>
      </c>
      <c r="F340" s="1186">
        <v>288</v>
      </c>
      <c r="G340" s="1186">
        <v>160890</v>
      </c>
    </row>
    <row r="341" spans="1:7" x14ac:dyDescent="0.2">
      <c r="A341" s="1186" t="s">
        <v>1419</v>
      </c>
      <c r="B341" s="1186" t="s">
        <v>35</v>
      </c>
      <c r="C341" s="1186">
        <v>3059</v>
      </c>
      <c r="D341" s="1186">
        <v>106</v>
      </c>
      <c r="E341" s="1186">
        <v>2532</v>
      </c>
      <c r="F341" s="1186">
        <v>421</v>
      </c>
      <c r="G341" s="1186">
        <v>373550</v>
      </c>
    </row>
    <row r="342" spans="1:7" x14ac:dyDescent="0.2">
      <c r="A342" s="1186" t="s">
        <v>1419</v>
      </c>
      <c r="B342" s="1186" t="s">
        <v>36</v>
      </c>
      <c r="C342" s="1186">
        <v>8820</v>
      </c>
      <c r="D342" s="1186">
        <v>399</v>
      </c>
      <c r="E342" s="1186">
        <v>7214</v>
      </c>
      <c r="F342" s="1186">
        <v>1207</v>
      </c>
      <c r="G342" s="1186">
        <v>633120</v>
      </c>
    </row>
    <row r="343" spans="1:7" x14ac:dyDescent="0.2">
      <c r="A343" s="1186" t="s">
        <v>1419</v>
      </c>
      <c r="B343" s="1186" t="s">
        <v>37</v>
      </c>
      <c r="C343" s="1186">
        <v>2195</v>
      </c>
      <c r="D343" s="1186">
        <v>75</v>
      </c>
      <c r="E343" s="1186">
        <v>1641</v>
      </c>
      <c r="F343" s="1186">
        <v>479</v>
      </c>
      <c r="G343" s="1186">
        <v>235830</v>
      </c>
    </row>
    <row r="344" spans="1:7" x14ac:dyDescent="0.2">
      <c r="A344" s="1186" t="s">
        <v>1419</v>
      </c>
      <c r="B344" s="1186" t="s">
        <v>38</v>
      </c>
      <c r="C344" s="1186">
        <v>828</v>
      </c>
      <c r="D344" s="1186">
        <v>27</v>
      </c>
      <c r="E344" s="1186">
        <v>611</v>
      </c>
      <c r="F344" s="1186">
        <v>190</v>
      </c>
      <c r="G344" s="1186">
        <v>77800</v>
      </c>
    </row>
    <row r="345" spans="1:7" x14ac:dyDescent="0.2">
      <c r="A345" s="1186" t="s">
        <v>1419</v>
      </c>
      <c r="B345" s="1186" t="s">
        <v>39</v>
      </c>
      <c r="C345" s="1186">
        <v>668</v>
      </c>
      <c r="D345" s="1186">
        <v>30</v>
      </c>
      <c r="E345" s="1186">
        <v>506</v>
      </c>
      <c r="F345" s="1186">
        <v>132</v>
      </c>
      <c r="G345" s="1186">
        <v>92460</v>
      </c>
    </row>
    <row r="346" spans="1:7" x14ac:dyDescent="0.2">
      <c r="A346" s="1186" t="s">
        <v>1419</v>
      </c>
      <c r="B346" s="1186" t="s">
        <v>40</v>
      </c>
      <c r="C346" s="1186">
        <v>662</v>
      </c>
      <c r="D346" s="1186">
        <v>20</v>
      </c>
      <c r="E346" s="1186">
        <v>530</v>
      </c>
      <c r="F346" s="1186">
        <v>112</v>
      </c>
      <c r="G346" s="1186">
        <v>95820</v>
      </c>
    </row>
    <row r="347" spans="1:7" x14ac:dyDescent="0.2">
      <c r="A347" s="1186" t="s">
        <v>1419</v>
      </c>
      <c r="B347" s="1186" t="s">
        <v>295</v>
      </c>
      <c r="C347" s="1186">
        <v>267</v>
      </c>
      <c r="D347" s="1186">
        <v>9</v>
      </c>
      <c r="E347" s="1186">
        <v>188</v>
      </c>
      <c r="F347" s="1186">
        <v>70</v>
      </c>
      <c r="G347" s="1186">
        <v>26720</v>
      </c>
    </row>
    <row r="348" spans="1:7" x14ac:dyDescent="0.2">
      <c r="A348" s="1186" t="s">
        <v>1419</v>
      </c>
      <c r="B348" s="1186" t="s">
        <v>41</v>
      </c>
      <c r="C348" s="1186">
        <v>1478</v>
      </c>
      <c r="D348" s="1186">
        <v>53</v>
      </c>
      <c r="E348" s="1186">
        <v>1147</v>
      </c>
      <c r="F348" s="1186">
        <v>278</v>
      </c>
      <c r="G348" s="1186">
        <v>134740</v>
      </c>
    </row>
    <row r="349" spans="1:7" x14ac:dyDescent="0.2">
      <c r="A349" s="1186" t="s">
        <v>1419</v>
      </c>
      <c r="B349" s="1186" t="s">
        <v>42</v>
      </c>
      <c r="C349" s="1186">
        <v>2673</v>
      </c>
      <c r="D349" s="1186">
        <v>96</v>
      </c>
      <c r="E349" s="1186">
        <v>2000</v>
      </c>
      <c r="F349" s="1186">
        <v>577</v>
      </c>
      <c r="G349" s="1186">
        <v>341370</v>
      </c>
    </row>
    <row r="350" spans="1:7" x14ac:dyDescent="0.2">
      <c r="A350" s="1186" t="s">
        <v>1419</v>
      </c>
      <c r="B350" s="1186" t="s">
        <v>43</v>
      </c>
      <c r="C350" s="1186">
        <v>90</v>
      </c>
      <c r="D350" s="1186">
        <v>2</v>
      </c>
      <c r="E350" s="1186">
        <v>71</v>
      </c>
      <c r="F350" s="1186">
        <v>17</v>
      </c>
      <c r="G350" s="1186">
        <v>22270</v>
      </c>
    </row>
    <row r="351" spans="1:7" x14ac:dyDescent="0.2">
      <c r="A351" s="1186" t="s">
        <v>1419</v>
      </c>
      <c r="B351" s="1186" t="s">
        <v>44</v>
      </c>
      <c r="C351" s="1186">
        <v>1128</v>
      </c>
      <c r="D351" s="1186">
        <v>47</v>
      </c>
      <c r="E351" s="1186">
        <v>908</v>
      </c>
      <c r="F351" s="1186">
        <v>173</v>
      </c>
      <c r="G351" s="1186">
        <v>151950</v>
      </c>
    </row>
    <row r="352" spans="1:7" x14ac:dyDescent="0.2">
      <c r="A352" s="1186" t="s">
        <v>1419</v>
      </c>
      <c r="B352" s="1186" t="s">
        <v>45</v>
      </c>
      <c r="C352" s="1186">
        <v>1728</v>
      </c>
      <c r="D352" s="1186">
        <v>69</v>
      </c>
      <c r="E352" s="1186">
        <v>1357</v>
      </c>
      <c r="F352" s="1186">
        <v>302</v>
      </c>
      <c r="G352" s="1186">
        <v>179100</v>
      </c>
    </row>
    <row r="353" spans="1:7" x14ac:dyDescent="0.2">
      <c r="A353" s="1186" t="s">
        <v>1419</v>
      </c>
      <c r="B353" s="1186" t="s">
        <v>46</v>
      </c>
      <c r="C353" s="1186">
        <v>889</v>
      </c>
      <c r="D353" s="1186">
        <v>43</v>
      </c>
      <c r="E353" s="1186">
        <v>658</v>
      </c>
      <c r="F353" s="1186">
        <v>188</v>
      </c>
      <c r="G353" s="1186">
        <v>115510</v>
      </c>
    </row>
    <row r="354" spans="1:7" x14ac:dyDescent="0.2">
      <c r="A354" s="1186" t="s">
        <v>1419</v>
      </c>
      <c r="B354" s="1186" t="s">
        <v>47</v>
      </c>
      <c r="C354" s="1186">
        <v>128</v>
      </c>
      <c r="D354" s="1186">
        <v>5</v>
      </c>
      <c r="E354" s="1186">
        <v>94</v>
      </c>
      <c r="F354" s="1186">
        <v>29</v>
      </c>
      <c r="G354" s="1186">
        <v>22920</v>
      </c>
    </row>
    <row r="355" spans="1:7" x14ac:dyDescent="0.2">
      <c r="A355" s="1186" t="s">
        <v>1419</v>
      </c>
      <c r="B355" s="1186" t="s">
        <v>48</v>
      </c>
      <c r="C355" s="1186">
        <v>1256</v>
      </c>
      <c r="D355" s="1186">
        <v>55</v>
      </c>
      <c r="E355" s="1186">
        <v>984</v>
      </c>
      <c r="F355" s="1186">
        <v>217</v>
      </c>
      <c r="G355" s="1186">
        <v>112610</v>
      </c>
    </row>
    <row r="356" spans="1:7" x14ac:dyDescent="0.2">
      <c r="A356" s="1186" t="s">
        <v>1419</v>
      </c>
      <c r="B356" s="1186" t="s">
        <v>49</v>
      </c>
      <c r="C356" s="1186">
        <v>2862</v>
      </c>
      <c r="D356" s="1186">
        <v>97</v>
      </c>
      <c r="E356" s="1186">
        <v>2288</v>
      </c>
      <c r="F356" s="1186">
        <v>477</v>
      </c>
      <c r="G356" s="1186">
        <v>320530</v>
      </c>
    </row>
    <row r="357" spans="1:7" x14ac:dyDescent="0.2">
      <c r="A357" s="1186" t="s">
        <v>1419</v>
      </c>
      <c r="B357" s="1186" t="s">
        <v>50</v>
      </c>
      <c r="C357" s="1186">
        <v>971</v>
      </c>
      <c r="D357" s="1186">
        <v>27</v>
      </c>
      <c r="E357" s="1186">
        <v>744</v>
      </c>
      <c r="F357" s="1186">
        <v>200</v>
      </c>
      <c r="G357" s="1186">
        <v>94210</v>
      </c>
    </row>
    <row r="358" spans="1:7" x14ac:dyDescent="0.2">
      <c r="A358" s="1186" t="s">
        <v>1419</v>
      </c>
      <c r="B358" s="1186" t="s">
        <v>51</v>
      </c>
      <c r="C358" s="1186">
        <v>627</v>
      </c>
      <c r="D358" s="1186">
        <v>31</v>
      </c>
      <c r="E358" s="1186">
        <v>427</v>
      </c>
      <c r="F358" s="1186">
        <v>169</v>
      </c>
      <c r="G358" s="1186">
        <v>88930</v>
      </c>
    </row>
    <row r="359" spans="1:7" x14ac:dyDescent="0.2">
      <c r="A359" s="1186" t="s">
        <v>1419</v>
      </c>
      <c r="B359" s="1186" t="s">
        <v>52</v>
      </c>
      <c r="C359" s="1186">
        <v>1846</v>
      </c>
      <c r="D359" s="1186">
        <v>99</v>
      </c>
      <c r="E359" s="1186">
        <v>1374</v>
      </c>
      <c r="F359" s="1186">
        <v>373</v>
      </c>
      <c r="G359" s="1186">
        <v>183100</v>
      </c>
    </row>
    <row r="360" spans="1:7" x14ac:dyDescent="0.2">
      <c r="A360" s="1186" t="s">
        <v>1572</v>
      </c>
      <c r="B360" s="1186" t="s">
        <v>23</v>
      </c>
      <c r="C360" s="1186">
        <v>2115</v>
      </c>
      <c r="D360" s="1186">
        <v>86</v>
      </c>
      <c r="E360" s="1186">
        <v>1717</v>
      </c>
      <c r="F360" s="1186">
        <v>312</v>
      </c>
      <c r="G360" s="1186">
        <v>229060</v>
      </c>
    </row>
    <row r="361" spans="1:7" x14ac:dyDescent="0.2">
      <c r="A361" s="1186" t="s">
        <v>1572</v>
      </c>
      <c r="B361" s="1186" t="s">
        <v>24</v>
      </c>
      <c r="C361" s="1186">
        <v>1143</v>
      </c>
      <c r="D361" s="1186">
        <v>36</v>
      </c>
      <c r="E361" s="1186">
        <v>822</v>
      </c>
      <c r="F361" s="1186">
        <v>285</v>
      </c>
      <c r="G361" s="1186">
        <v>260780</v>
      </c>
    </row>
    <row r="362" spans="1:7" x14ac:dyDescent="0.2">
      <c r="A362" s="1186" t="s">
        <v>1572</v>
      </c>
      <c r="B362" s="1186" t="s">
        <v>25</v>
      </c>
      <c r="C362" s="1186">
        <v>796</v>
      </c>
      <c r="D362" s="1186">
        <v>21</v>
      </c>
      <c r="E362" s="1186">
        <v>636</v>
      </c>
      <c r="F362" s="1186">
        <v>139</v>
      </c>
      <c r="G362" s="1186">
        <v>115820</v>
      </c>
    </row>
    <row r="363" spans="1:7" x14ac:dyDescent="0.2">
      <c r="A363" s="1186" t="s">
        <v>1572</v>
      </c>
      <c r="B363" s="1186" t="s">
        <v>26</v>
      </c>
      <c r="C363" s="1186">
        <v>993</v>
      </c>
      <c r="D363" s="1186">
        <v>7</v>
      </c>
      <c r="E363" s="1186">
        <v>855</v>
      </c>
      <c r="F363" s="1186">
        <v>131</v>
      </c>
      <c r="G363" s="1186">
        <v>85430</v>
      </c>
    </row>
    <row r="364" spans="1:7" x14ac:dyDescent="0.2">
      <c r="A364" s="1186" t="s">
        <v>1572</v>
      </c>
      <c r="B364" s="1186" t="s">
        <v>619</v>
      </c>
      <c r="C364" s="1186">
        <v>5401</v>
      </c>
      <c r="D364" s="1186">
        <v>218</v>
      </c>
      <c r="E364" s="1186">
        <v>4235</v>
      </c>
      <c r="F364" s="1186">
        <v>948</v>
      </c>
      <c r="G364" s="1186">
        <v>527620</v>
      </c>
    </row>
    <row r="365" spans="1:7" x14ac:dyDescent="0.2">
      <c r="A365" s="1186" t="s">
        <v>1572</v>
      </c>
      <c r="B365" s="1186" t="s">
        <v>27</v>
      </c>
      <c r="C365" s="1186">
        <v>416</v>
      </c>
      <c r="D365" s="1186">
        <v>11</v>
      </c>
      <c r="E365" s="1186">
        <v>286</v>
      </c>
      <c r="F365" s="1186">
        <v>119</v>
      </c>
      <c r="G365" s="1186">
        <v>51290</v>
      </c>
    </row>
    <row r="366" spans="1:7" x14ac:dyDescent="0.2">
      <c r="A366" s="1186" t="s">
        <v>1572</v>
      </c>
      <c r="B366" s="1186" t="s">
        <v>28</v>
      </c>
      <c r="C366" s="1186">
        <v>877</v>
      </c>
      <c r="D366" s="1186">
        <v>24</v>
      </c>
      <c r="E366" s="1186">
        <v>655</v>
      </c>
      <c r="F366" s="1186">
        <v>198</v>
      </c>
      <c r="G366" s="1186">
        <v>148290</v>
      </c>
    </row>
    <row r="367" spans="1:7" x14ac:dyDescent="0.2">
      <c r="A367" s="1186" t="s">
        <v>1572</v>
      </c>
      <c r="B367" s="1186" t="s">
        <v>29</v>
      </c>
      <c r="C367" s="1186">
        <v>1826</v>
      </c>
      <c r="D367" s="1186">
        <v>79</v>
      </c>
      <c r="E367" s="1186">
        <v>1516</v>
      </c>
      <c r="F367" s="1186">
        <v>231</v>
      </c>
      <c r="G367" s="1186">
        <v>148820</v>
      </c>
    </row>
    <row r="368" spans="1:7" x14ac:dyDescent="0.2">
      <c r="A368" s="1186" t="s">
        <v>1572</v>
      </c>
      <c r="B368" s="1186" t="s">
        <v>30</v>
      </c>
      <c r="C368" s="1186">
        <v>1161</v>
      </c>
      <c r="D368" s="1186">
        <v>29</v>
      </c>
      <c r="E368" s="1186">
        <v>813</v>
      </c>
      <c r="F368" s="1186">
        <v>319</v>
      </c>
      <c r="G368" s="1186">
        <v>121600</v>
      </c>
    </row>
    <row r="369" spans="1:7" x14ac:dyDescent="0.2">
      <c r="A369" s="1186" t="s">
        <v>1572</v>
      </c>
      <c r="B369" s="1186" t="s">
        <v>31</v>
      </c>
      <c r="C369" s="1186">
        <v>571</v>
      </c>
      <c r="D369" s="1186">
        <v>18</v>
      </c>
      <c r="E369" s="1186">
        <v>389</v>
      </c>
      <c r="F369" s="1186">
        <v>164</v>
      </c>
      <c r="G369" s="1186">
        <v>108750</v>
      </c>
    </row>
    <row r="370" spans="1:7" x14ac:dyDescent="0.2">
      <c r="A370" s="1186" t="s">
        <v>1572</v>
      </c>
      <c r="B370" s="1186" t="s">
        <v>32</v>
      </c>
      <c r="C370" s="1186">
        <v>826</v>
      </c>
      <c r="D370" s="1186">
        <v>38</v>
      </c>
      <c r="E370" s="1186">
        <v>615</v>
      </c>
      <c r="F370" s="1186">
        <v>173</v>
      </c>
      <c r="G370" s="1186">
        <v>107900</v>
      </c>
    </row>
    <row r="371" spans="1:7" x14ac:dyDescent="0.2">
      <c r="A371" s="1186" t="s">
        <v>1572</v>
      </c>
      <c r="B371" s="1186" t="s">
        <v>33</v>
      </c>
      <c r="C371" s="1186">
        <v>610</v>
      </c>
      <c r="D371" s="1186">
        <v>7</v>
      </c>
      <c r="E371" s="1186">
        <v>459</v>
      </c>
      <c r="F371" s="1186">
        <v>144</v>
      </c>
      <c r="G371" s="1186">
        <v>96060</v>
      </c>
    </row>
    <row r="372" spans="1:7" x14ac:dyDescent="0.2">
      <c r="A372" s="1186" t="s">
        <v>1572</v>
      </c>
      <c r="B372" s="1186" t="s">
        <v>34</v>
      </c>
      <c r="C372" s="1186">
        <v>1121</v>
      </c>
      <c r="D372" s="1186">
        <v>34</v>
      </c>
      <c r="E372" s="1186">
        <v>705</v>
      </c>
      <c r="F372" s="1186">
        <v>382</v>
      </c>
      <c r="G372" s="1186">
        <v>160560</v>
      </c>
    </row>
    <row r="373" spans="1:7" x14ac:dyDescent="0.2">
      <c r="A373" s="1186" t="s">
        <v>1572</v>
      </c>
      <c r="B373" s="1186" t="s">
        <v>35</v>
      </c>
      <c r="C373" s="1186">
        <v>2783</v>
      </c>
      <c r="D373" s="1186">
        <v>93</v>
      </c>
      <c r="E373" s="1186">
        <v>2132</v>
      </c>
      <c r="F373" s="1186">
        <v>558</v>
      </c>
      <c r="G373" s="1186">
        <v>374130</v>
      </c>
    </row>
    <row r="374" spans="1:7" x14ac:dyDescent="0.2">
      <c r="A374" s="1186" t="s">
        <v>1572</v>
      </c>
      <c r="B374" s="1186" t="s">
        <v>36</v>
      </c>
      <c r="C374" s="1186">
        <v>7294</v>
      </c>
      <c r="D374" s="1186">
        <v>190</v>
      </c>
      <c r="E374" s="1186">
        <v>5878</v>
      </c>
      <c r="F374" s="1186">
        <v>1226</v>
      </c>
      <c r="G374" s="1186">
        <v>635640</v>
      </c>
    </row>
    <row r="375" spans="1:7" x14ac:dyDescent="0.2">
      <c r="A375" s="1186" t="s">
        <v>1572</v>
      </c>
      <c r="B375" s="1186" t="s">
        <v>37</v>
      </c>
      <c r="C375" s="1186">
        <v>2046</v>
      </c>
      <c r="D375" s="1186">
        <v>73</v>
      </c>
      <c r="E375" s="1186">
        <v>1531</v>
      </c>
      <c r="F375" s="1186">
        <v>442</v>
      </c>
      <c r="G375" s="1186">
        <v>235430</v>
      </c>
    </row>
    <row r="376" spans="1:7" x14ac:dyDescent="0.2">
      <c r="A376" s="1186" t="s">
        <v>1572</v>
      </c>
      <c r="B376" s="1186" t="s">
        <v>38</v>
      </c>
      <c r="C376" s="1186">
        <v>700</v>
      </c>
      <c r="D376" s="1186">
        <v>20</v>
      </c>
      <c r="E376" s="1186">
        <v>490</v>
      </c>
      <c r="F376" s="1186">
        <v>190</v>
      </c>
      <c r="G376" s="1186">
        <v>77060</v>
      </c>
    </row>
    <row r="377" spans="1:7" x14ac:dyDescent="0.2">
      <c r="A377" s="1186" t="s">
        <v>1572</v>
      </c>
      <c r="B377" s="1186" t="s">
        <v>39</v>
      </c>
      <c r="C377" s="1186">
        <v>632</v>
      </c>
      <c r="D377" s="1186">
        <v>24</v>
      </c>
      <c r="E377" s="1186">
        <v>454</v>
      </c>
      <c r="F377" s="1186">
        <v>154</v>
      </c>
      <c r="G377" s="1186">
        <v>93150</v>
      </c>
    </row>
    <row r="378" spans="1:7" x14ac:dyDescent="0.2">
      <c r="A378" s="1186" t="s">
        <v>1572</v>
      </c>
      <c r="B378" s="1186" t="s">
        <v>40</v>
      </c>
      <c r="C378" s="1186">
        <v>591</v>
      </c>
      <c r="D378" s="1186">
        <v>13</v>
      </c>
      <c r="E378" s="1186">
        <v>472</v>
      </c>
      <c r="F378" s="1186">
        <v>106</v>
      </c>
      <c r="G378" s="1186">
        <v>95710</v>
      </c>
    </row>
    <row r="379" spans="1:7" x14ac:dyDescent="0.2">
      <c r="A379" s="1186" t="s">
        <v>1572</v>
      </c>
      <c r="B379" s="1186" t="s">
        <v>295</v>
      </c>
      <c r="C379" s="1186">
        <v>221</v>
      </c>
      <c r="D379" s="1186">
        <v>1</v>
      </c>
      <c r="E379" s="1186">
        <v>148</v>
      </c>
      <c r="F379" s="1186">
        <v>72</v>
      </c>
      <c r="G379" s="1186">
        <v>26500</v>
      </c>
    </row>
    <row r="380" spans="1:7" x14ac:dyDescent="0.2">
      <c r="A380" s="1186" t="s">
        <v>1572</v>
      </c>
      <c r="B380" s="1186" t="s">
        <v>41</v>
      </c>
      <c r="C380" s="1186">
        <v>1516</v>
      </c>
      <c r="D380" s="1186">
        <v>30</v>
      </c>
      <c r="E380" s="1186">
        <v>1137</v>
      </c>
      <c r="F380" s="1186">
        <v>349</v>
      </c>
      <c r="G380" s="1186">
        <v>134250</v>
      </c>
    </row>
    <row r="381" spans="1:7" x14ac:dyDescent="0.2">
      <c r="A381" s="1186" t="s">
        <v>1572</v>
      </c>
      <c r="B381" s="1186" t="s">
        <v>42</v>
      </c>
      <c r="C381" s="1186">
        <v>2531</v>
      </c>
      <c r="D381" s="1186">
        <v>74</v>
      </c>
      <c r="E381" s="1186">
        <v>1849</v>
      </c>
      <c r="F381" s="1186">
        <v>608</v>
      </c>
      <c r="G381" s="1186">
        <v>341140</v>
      </c>
    </row>
    <row r="382" spans="1:7" x14ac:dyDescent="0.2">
      <c r="A382" s="1186" t="s">
        <v>1572</v>
      </c>
      <c r="B382" s="1186" t="s">
        <v>43</v>
      </c>
      <c r="C382" s="1186">
        <v>63</v>
      </c>
      <c r="D382" s="1186"/>
      <c r="E382" s="1186">
        <v>44</v>
      </c>
      <c r="F382" s="1186">
        <v>19</v>
      </c>
      <c r="G382" s="1186">
        <v>22400</v>
      </c>
    </row>
    <row r="383" spans="1:7" x14ac:dyDescent="0.2">
      <c r="A383" s="1186" t="s">
        <v>1572</v>
      </c>
      <c r="B383" s="1186" t="s">
        <v>44</v>
      </c>
      <c r="C383" s="1186">
        <v>1158</v>
      </c>
      <c r="D383" s="1186">
        <v>37</v>
      </c>
      <c r="E383" s="1186">
        <v>892</v>
      </c>
      <c r="F383" s="1186">
        <v>229</v>
      </c>
      <c r="G383" s="1186">
        <v>151910</v>
      </c>
    </row>
    <row r="384" spans="1:7" x14ac:dyDescent="0.2">
      <c r="A384" s="1186" t="s">
        <v>1572</v>
      </c>
      <c r="B384" s="1186" t="s">
        <v>45</v>
      </c>
      <c r="C384" s="1186">
        <v>1532</v>
      </c>
      <c r="D384" s="1186">
        <v>70</v>
      </c>
      <c r="E384" s="1186">
        <v>1143</v>
      </c>
      <c r="F384" s="1186">
        <v>319</v>
      </c>
      <c r="G384" s="1186">
        <v>179390</v>
      </c>
    </row>
    <row r="385" spans="1:7" x14ac:dyDescent="0.2">
      <c r="A385" s="1186" t="s">
        <v>1572</v>
      </c>
      <c r="B385" s="1186" t="s">
        <v>46</v>
      </c>
      <c r="C385" s="1186">
        <v>835</v>
      </c>
      <c r="D385" s="1186">
        <v>33</v>
      </c>
      <c r="E385" s="1186">
        <v>600</v>
      </c>
      <c r="F385" s="1186">
        <v>202</v>
      </c>
      <c r="G385" s="1186">
        <v>115240</v>
      </c>
    </row>
    <row r="386" spans="1:7" x14ac:dyDescent="0.2">
      <c r="A386" s="1186" t="s">
        <v>1572</v>
      </c>
      <c r="B386" s="1186" t="s">
        <v>47</v>
      </c>
      <c r="C386" s="1186">
        <v>132</v>
      </c>
      <c r="D386" s="1186">
        <v>2</v>
      </c>
      <c r="E386" s="1186">
        <v>100</v>
      </c>
      <c r="F386" s="1186">
        <v>30</v>
      </c>
      <c r="G386" s="1186">
        <v>22870</v>
      </c>
    </row>
    <row r="387" spans="1:7" x14ac:dyDescent="0.2">
      <c r="A387" s="1186" t="s">
        <v>1572</v>
      </c>
      <c r="B387" s="1186" t="s">
        <v>48</v>
      </c>
      <c r="C387" s="1186">
        <v>1106</v>
      </c>
      <c r="D387" s="1186">
        <v>34</v>
      </c>
      <c r="E387" s="1186">
        <v>914</v>
      </c>
      <c r="F387" s="1186">
        <v>158</v>
      </c>
      <c r="G387" s="1186">
        <v>112140</v>
      </c>
    </row>
    <row r="388" spans="1:7" x14ac:dyDescent="0.2">
      <c r="A388" s="1186" t="s">
        <v>1572</v>
      </c>
      <c r="B388" s="1186" t="s">
        <v>49</v>
      </c>
      <c r="C388" s="1186">
        <v>2645</v>
      </c>
      <c r="D388" s="1186">
        <v>80</v>
      </c>
      <c r="E388" s="1186">
        <v>2034</v>
      </c>
      <c r="F388" s="1186">
        <v>531</v>
      </c>
      <c r="G388" s="1186">
        <v>320820</v>
      </c>
    </row>
    <row r="389" spans="1:7" x14ac:dyDescent="0.2">
      <c r="A389" s="1186" t="s">
        <v>1572</v>
      </c>
      <c r="B389" s="1186" t="s">
        <v>50</v>
      </c>
      <c r="C389" s="1186">
        <v>846</v>
      </c>
      <c r="D389" s="1186">
        <v>11</v>
      </c>
      <c r="E389" s="1186">
        <v>649</v>
      </c>
      <c r="F389" s="1186">
        <v>186</v>
      </c>
      <c r="G389" s="1186">
        <v>94080</v>
      </c>
    </row>
    <row r="390" spans="1:7" x14ac:dyDescent="0.2">
      <c r="A390" s="1186" t="s">
        <v>1572</v>
      </c>
      <c r="B390" s="1186" t="s">
        <v>51</v>
      </c>
      <c r="C390" s="1186">
        <v>609</v>
      </c>
      <c r="D390" s="1186">
        <v>45</v>
      </c>
      <c r="E390" s="1186">
        <v>394</v>
      </c>
      <c r="F390" s="1186">
        <v>170</v>
      </c>
      <c r="G390" s="1186">
        <v>88340</v>
      </c>
    </row>
    <row r="391" spans="1:7" x14ac:dyDescent="0.2">
      <c r="A391" s="1186" t="s">
        <v>1572</v>
      </c>
      <c r="B391" s="1186" t="s">
        <v>52</v>
      </c>
      <c r="C391" s="1186">
        <v>1723</v>
      </c>
      <c r="D391" s="1186">
        <v>56</v>
      </c>
      <c r="E391" s="1186">
        <v>1244</v>
      </c>
      <c r="F391" s="1186">
        <v>423</v>
      </c>
      <c r="G391" s="1186">
        <v>183820</v>
      </c>
    </row>
    <row r="392" spans="1:7" x14ac:dyDescent="0.2">
      <c r="A392" s="1186" t="s">
        <v>1572</v>
      </c>
      <c r="B392" s="1186" t="s">
        <v>1521</v>
      </c>
      <c r="C392" s="1186">
        <v>1</v>
      </c>
      <c r="D392" s="1186"/>
      <c r="E392" s="1186">
        <v>1</v>
      </c>
      <c r="F392" s="1186"/>
      <c r="G392" s="1186"/>
    </row>
  </sheetData>
  <pageMargins left="0.7" right="0.7" top="0.75" bottom="0.75" header="0.3" footer="0.3"/>
  <pageSetup paperSize="9" fitToHeight="50" orientation="landscape" r:id="rId1"/>
  <legacyDrawing r:id="rId2"/>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pageSetUpPr fitToPage="1"/>
  </sheetPr>
  <dimension ref="A1:H40"/>
  <sheetViews>
    <sheetView zoomScale="85" zoomScaleNormal="85" workbookViewId="0">
      <pane ySplit="4" topLeftCell="A17"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23.42578125" bestFit="1" customWidth="1"/>
    <col min="3" max="3" width="5.85546875" bestFit="1" customWidth="1"/>
    <col min="4" max="4" width="9" bestFit="1" customWidth="1"/>
    <col min="5" max="5" width="14.5703125" bestFit="1" customWidth="1"/>
    <col min="6" max="6" width="13" bestFit="1" customWidth="1"/>
    <col min="7" max="7" width="7.85546875" bestFit="1" customWidth="1"/>
    <col min="8" max="8" width="27.28515625" bestFit="1" customWidth="1"/>
  </cols>
  <sheetData>
    <row r="1" spans="1:8" x14ac:dyDescent="0.2"/>
    <row r="4" spans="1:8" x14ac:dyDescent="0.2">
      <c r="A4" s="1223" t="s">
        <v>4</v>
      </c>
      <c r="B4" s="1223" t="s">
        <v>1643</v>
      </c>
      <c r="C4" s="1223" t="s">
        <v>11</v>
      </c>
      <c r="D4" s="1223" t="s">
        <v>828</v>
      </c>
      <c r="E4" s="1223" t="s">
        <v>850</v>
      </c>
      <c r="F4" s="1223" t="s">
        <v>851</v>
      </c>
      <c r="G4" s="1223" t="s">
        <v>852</v>
      </c>
      <c r="H4" s="1223" t="s">
        <v>1644</v>
      </c>
    </row>
    <row r="5" spans="1:8" x14ac:dyDescent="0.2">
      <c r="A5" s="1186" t="s">
        <v>19</v>
      </c>
      <c r="B5" s="1186" t="s">
        <v>853</v>
      </c>
      <c r="C5" s="1186">
        <v>36311</v>
      </c>
      <c r="D5" s="1186">
        <v>9142</v>
      </c>
      <c r="E5" s="1186">
        <v>27103</v>
      </c>
      <c r="F5" s="1186">
        <v>9</v>
      </c>
      <c r="G5" s="1186">
        <v>51</v>
      </c>
      <c r="H5" s="1186">
        <v>6</v>
      </c>
    </row>
    <row r="6" spans="1:8" x14ac:dyDescent="0.2">
      <c r="A6" s="1186" t="s">
        <v>20</v>
      </c>
      <c r="B6" s="1186" t="s">
        <v>853</v>
      </c>
      <c r="C6" s="1186">
        <v>35291</v>
      </c>
      <c r="D6" s="1186">
        <v>9321</v>
      </c>
      <c r="E6" s="1186">
        <v>25912</v>
      </c>
      <c r="F6" s="1186">
        <v>2</v>
      </c>
      <c r="G6" s="1186">
        <v>51</v>
      </c>
      <c r="H6" s="1186">
        <v>5</v>
      </c>
    </row>
    <row r="7" spans="1:8" x14ac:dyDescent="0.2">
      <c r="A7" s="1186" t="s">
        <v>13</v>
      </c>
      <c r="B7" s="1186" t="s">
        <v>853</v>
      </c>
      <c r="C7" s="1186">
        <v>34954</v>
      </c>
      <c r="D7" s="1186">
        <v>9778</v>
      </c>
      <c r="E7" s="1186">
        <v>25108</v>
      </c>
      <c r="F7" s="1186">
        <v>7</v>
      </c>
      <c r="G7" s="1186">
        <v>54</v>
      </c>
      <c r="H7" s="1186">
        <v>7</v>
      </c>
    </row>
    <row r="8" spans="1:8" x14ac:dyDescent="0.2">
      <c r="A8" s="1186" t="s">
        <v>15</v>
      </c>
      <c r="B8" s="1186" t="s">
        <v>853</v>
      </c>
      <c r="C8" s="1186">
        <v>35110</v>
      </c>
      <c r="D8" s="1186">
        <v>10430</v>
      </c>
      <c r="E8" s="1186">
        <v>24619</v>
      </c>
      <c r="F8" s="1186">
        <v>10</v>
      </c>
      <c r="G8" s="1186">
        <v>43</v>
      </c>
      <c r="H8" s="1186">
        <v>8</v>
      </c>
    </row>
    <row r="9" spans="1:8" x14ac:dyDescent="0.2">
      <c r="A9" s="1186" t="s">
        <v>17</v>
      </c>
      <c r="B9" s="1186" t="s">
        <v>853</v>
      </c>
      <c r="C9" s="1186">
        <v>35213</v>
      </c>
      <c r="D9" s="1186">
        <v>10643</v>
      </c>
      <c r="E9" s="1186">
        <v>24518</v>
      </c>
      <c r="F9" s="1186">
        <v>3</v>
      </c>
      <c r="G9" s="1186">
        <v>44</v>
      </c>
      <c r="H9" s="1186">
        <v>5</v>
      </c>
    </row>
    <row r="10" spans="1:8" x14ac:dyDescent="0.2">
      <c r="A10" s="1186" t="s">
        <v>133</v>
      </c>
      <c r="B10" s="1186" t="s">
        <v>853</v>
      </c>
      <c r="C10" s="1186">
        <v>37337</v>
      </c>
      <c r="D10" s="1186">
        <v>11640</v>
      </c>
      <c r="E10" s="1186">
        <v>25628</v>
      </c>
      <c r="F10" s="1186">
        <v>11</v>
      </c>
      <c r="G10" s="1186">
        <v>51</v>
      </c>
      <c r="H10" s="1186">
        <v>7</v>
      </c>
    </row>
    <row r="11" spans="1:8" x14ac:dyDescent="0.2">
      <c r="A11" s="1186" t="s">
        <v>144</v>
      </c>
      <c r="B11" s="1186" t="s">
        <v>853</v>
      </c>
      <c r="C11" s="1186">
        <v>37621</v>
      </c>
      <c r="D11" s="1186">
        <v>11615</v>
      </c>
      <c r="E11" s="1186">
        <v>25953</v>
      </c>
      <c r="F11" s="1186">
        <v>9</v>
      </c>
      <c r="G11" s="1186">
        <v>39</v>
      </c>
      <c r="H11" s="1186">
        <v>5</v>
      </c>
    </row>
    <row r="12" spans="1:8" x14ac:dyDescent="0.2">
      <c r="A12" s="1186" t="s">
        <v>282</v>
      </c>
      <c r="B12" s="1186" t="s">
        <v>853</v>
      </c>
      <c r="C12" s="1186">
        <v>39630</v>
      </c>
      <c r="D12" s="1186">
        <v>12603</v>
      </c>
      <c r="E12" s="1186">
        <v>26972</v>
      </c>
      <c r="F12" s="1186">
        <v>6</v>
      </c>
      <c r="G12" s="1186">
        <v>35</v>
      </c>
      <c r="H12" s="1186">
        <v>14</v>
      </c>
    </row>
    <row r="13" spans="1:8" x14ac:dyDescent="0.2">
      <c r="A13" s="1186" t="s">
        <v>311</v>
      </c>
      <c r="B13" s="1186" t="s">
        <v>853</v>
      </c>
      <c r="C13" s="1186">
        <v>40436</v>
      </c>
      <c r="D13" s="1186">
        <v>13443</v>
      </c>
      <c r="E13" s="1186">
        <v>26933</v>
      </c>
      <c r="F13" s="1186">
        <v>10</v>
      </c>
      <c r="G13" s="1186">
        <v>41</v>
      </c>
      <c r="H13" s="1186">
        <v>9</v>
      </c>
    </row>
    <row r="14" spans="1:8" x14ac:dyDescent="0.2">
      <c r="A14" s="1186" t="s">
        <v>621</v>
      </c>
      <c r="B14" s="1186" t="s">
        <v>853</v>
      </c>
      <c r="C14" s="1186">
        <v>40641</v>
      </c>
      <c r="D14" s="1186">
        <v>13668</v>
      </c>
      <c r="E14" s="1186">
        <v>26897</v>
      </c>
      <c r="F14" s="1186">
        <v>10</v>
      </c>
      <c r="G14" s="1186">
        <v>52</v>
      </c>
      <c r="H14" s="1186">
        <v>14</v>
      </c>
    </row>
    <row r="15" spans="1:8" x14ac:dyDescent="0.2">
      <c r="A15" s="1186" t="s">
        <v>1419</v>
      </c>
      <c r="B15" s="1186" t="s">
        <v>853</v>
      </c>
      <c r="C15" s="1186">
        <v>41467</v>
      </c>
      <c r="D15" s="1186">
        <v>13859</v>
      </c>
      <c r="E15" s="1186">
        <v>27518</v>
      </c>
      <c r="F15" s="1186">
        <v>11</v>
      </c>
      <c r="G15" s="1186">
        <v>63</v>
      </c>
      <c r="H15" s="1186">
        <v>16</v>
      </c>
    </row>
    <row r="16" spans="1:8" x14ac:dyDescent="0.2">
      <c r="A16" s="1186" t="s">
        <v>1572</v>
      </c>
      <c r="B16" s="1186" t="s">
        <v>853</v>
      </c>
      <c r="C16" s="1186">
        <v>35809</v>
      </c>
      <c r="D16" s="1186">
        <v>13325</v>
      </c>
      <c r="E16" s="1186">
        <v>22426</v>
      </c>
      <c r="F16" s="1186">
        <v>4</v>
      </c>
      <c r="G16" s="1186">
        <v>36</v>
      </c>
      <c r="H16" s="1186">
        <v>18</v>
      </c>
    </row>
    <row r="17" spans="1:8" x14ac:dyDescent="0.2">
      <c r="A17" s="1186" t="s">
        <v>19</v>
      </c>
      <c r="B17" s="1186" t="s">
        <v>854</v>
      </c>
      <c r="C17" s="1186">
        <v>12827</v>
      </c>
      <c r="D17" s="1186">
        <v>4644</v>
      </c>
      <c r="E17" s="1186">
        <v>4669</v>
      </c>
      <c r="F17" s="1186">
        <v>460</v>
      </c>
      <c r="G17" s="1186">
        <v>2844</v>
      </c>
      <c r="H17" s="1186">
        <v>210</v>
      </c>
    </row>
    <row r="18" spans="1:8" x14ac:dyDescent="0.2">
      <c r="A18" s="1186" t="s">
        <v>20</v>
      </c>
      <c r="B18" s="1186" t="s">
        <v>854</v>
      </c>
      <c r="C18" s="1186">
        <v>11807</v>
      </c>
      <c r="D18" s="1186">
        <v>4479</v>
      </c>
      <c r="E18" s="1186">
        <v>3817</v>
      </c>
      <c r="F18" s="1186">
        <v>395</v>
      </c>
      <c r="G18" s="1186">
        <v>2913</v>
      </c>
      <c r="H18" s="1186">
        <v>203</v>
      </c>
    </row>
    <row r="19" spans="1:8" x14ac:dyDescent="0.2">
      <c r="A19" s="1186" t="s">
        <v>13</v>
      </c>
      <c r="B19" s="1186" t="s">
        <v>854</v>
      </c>
      <c r="C19" s="1186">
        <v>10346</v>
      </c>
      <c r="D19" s="1186">
        <v>3896</v>
      </c>
      <c r="E19" s="1186">
        <v>3164</v>
      </c>
      <c r="F19" s="1186">
        <v>359</v>
      </c>
      <c r="G19" s="1186">
        <v>2757</v>
      </c>
      <c r="H19" s="1186">
        <v>170</v>
      </c>
    </row>
    <row r="20" spans="1:8" x14ac:dyDescent="0.2">
      <c r="A20" s="1186" t="s">
        <v>15</v>
      </c>
      <c r="B20" s="1186" t="s">
        <v>854</v>
      </c>
      <c r="C20" s="1186">
        <v>9871</v>
      </c>
      <c r="D20" s="1186">
        <v>3880</v>
      </c>
      <c r="E20" s="1186">
        <v>3102</v>
      </c>
      <c r="F20" s="1186">
        <v>417</v>
      </c>
      <c r="G20" s="1186">
        <v>2337</v>
      </c>
      <c r="H20" s="1186">
        <v>135</v>
      </c>
    </row>
    <row r="21" spans="1:8" x14ac:dyDescent="0.2">
      <c r="A21" s="1186" t="s">
        <v>17</v>
      </c>
      <c r="B21" s="1186" t="s">
        <v>854</v>
      </c>
      <c r="C21" s="1186">
        <v>9617</v>
      </c>
      <c r="D21" s="1186">
        <v>3648</v>
      </c>
      <c r="E21" s="1186">
        <v>2737</v>
      </c>
      <c r="F21" s="1186">
        <v>366</v>
      </c>
      <c r="G21" s="1186">
        <v>2683</v>
      </c>
      <c r="H21" s="1186">
        <v>183</v>
      </c>
    </row>
    <row r="22" spans="1:8" x14ac:dyDescent="0.2">
      <c r="A22" s="1186" t="s">
        <v>133</v>
      </c>
      <c r="B22" s="1186" t="s">
        <v>854</v>
      </c>
      <c r="C22" s="1186">
        <v>9256</v>
      </c>
      <c r="D22" s="1186">
        <v>3687</v>
      </c>
      <c r="E22" s="1186">
        <v>2436</v>
      </c>
      <c r="F22" s="1186">
        <v>399</v>
      </c>
      <c r="G22" s="1186">
        <v>2537</v>
      </c>
      <c r="H22" s="1186">
        <v>197</v>
      </c>
    </row>
    <row r="23" spans="1:8" x14ac:dyDescent="0.2">
      <c r="A23" s="1186" t="s">
        <v>144</v>
      </c>
      <c r="B23" s="1186" t="s">
        <v>854</v>
      </c>
      <c r="C23" s="1186">
        <v>8850</v>
      </c>
      <c r="D23" s="1186">
        <v>3565</v>
      </c>
      <c r="E23" s="1186">
        <v>2158</v>
      </c>
      <c r="F23" s="1186">
        <v>396</v>
      </c>
      <c r="G23" s="1186">
        <v>2532</v>
      </c>
      <c r="H23" s="1186">
        <v>199</v>
      </c>
    </row>
    <row r="24" spans="1:8" x14ac:dyDescent="0.2">
      <c r="A24" s="1186" t="s">
        <v>282</v>
      </c>
      <c r="B24" s="1186" t="s">
        <v>854</v>
      </c>
      <c r="C24" s="1186">
        <v>8957</v>
      </c>
      <c r="D24" s="1186">
        <v>3487</v>
      </c>
      <c r="E24" s="1186">
        <v>2162</v>
      </c>
      <c r="F24" s="1186">
        <v>414</v>
      </c>
      <c r="G24" s="1186">
        <v>2680</v>
      </c>
      <c r="H24" s="1186">
        <v>214</v>
      </c>
    </row>
    <row r="25" spans="1:8" x14ac:dyDescent="0.2">
      <c r="A25" s="1186" t="s">
        <v>311</v>
      </c>
      <c r="B25" s="1186" t="s">
        <v>854</v>
      </c>
      <c r="C25" s="1186">
        <v>9111</v>
      </c>
      <c r="D25" s="1186">
        <v>3720</v>
      </c>
      <c r="E25" s="1186">
        <v>2178</v>
      </c>
      <c r="F25" s="1186">
        <v>340</v>
      </c>
      <c r="G25" s="1186">
        <v>2659</v>
      </c>
      <c r="H25" s="1186">
        <v>214</v>
      </c>
    </row>
    <row r="26" spans="1:8" x14ac:dyDescent="0.2">
      <c r="A26" s="1186" t="s">
        <v>621</v>
      </c>
      <c r="B26" s="1186" t="s">
        <v>854</v>
      </c>
      <c r="C26" s="1186">
        <v>9238</v>
      </c>
      <c r="D26" s="1186">
        <v>3483</v>
      </c>
      <c r="E26" s="1186">
        <v>1994</v>
      </c>
      <c r="F26" s="1186">
        <v>359</v>
      </c>
      <c r="G26" s="1186">
        <v>3140</v>
      </c>
      <c r="H26" s="1186">
        <v>262</v>
      </c>
    </row>
    <row r="27" spans="1:8" x14ac:dyDescent="0.2">
      <c r="A27" s="1186" t="s">
        <v>1419</v>
      </c>
      <c r="B27" s="1186" t="s">
        <v>854</v>
      </c>
      <c r="C27" s="1186">
        <v>8637</v>
      </c>
      <c r="D27" s="1186">
        <v>3385</v>
      </c>
      <c r="E27" s="1186">
        <v>1918</v>
      </c>
      <c r="F27" s="1186">
        <v>365</v>
      </c>
      <c r="G27" s="1186">
        <v>2709</v>
      </c>
      <c r="H27" s="1186">
        <v>260</v>
      </c>
    </row>
    <row r="28" spans="1:8" x14ac:dyDescent="0.2">
      <c r="A28" s="1186" t="s">
        <v>1572</v>
      </c>
      <c r="B28" s="1186" t="s">
        <v>854</v>
      </c>
      <c r="C28" s="1186">
        <v>9517</v>
      </c>
      <c r="D28" s="1186">
        <v>3535</v>
      </c>
      <c r="E28" s="1186">
        <v>1680</v>
      </c>
      <c r="F28" s="1186">
        <v>262</v>
      </c>
      <c r="G28" s="1186">
        <v>3713</v>
      </c>
      <c r="H28" s="1186">
        <v>327</v>
      </c>
    </row>
    <row r="29" spans="1:8" x14ac:dyDescent="0.2">
      <c r="A29" s="1186" t="s">
        <v>19</v>
      </c>
      <c r="B29" s="1186" t="s">
        <v>855</v>
      </c>
      <c r="C29" s="1186">
        <v>2937</v>
      </c>
      <c r="D29" s="1186">
        <v>860</v>
      </c>
      <c r="E29" s="1186">
        <v>1161</v>
      </c>
      <c r="F29" s="1186">
        <v>57</v>
      </c>
      <c r="G29" s="1186">
        <v>676</v>
      </c>
      <c r="H29" s="1186">
        <v>183</v>
      </c>
    </row>
    <row r="30" spans="1:8" x14ac:dyDescent="0.2">
      <c r="A30" s="1186" t="s">
        <v>20</v>
      </c>
      <c r="B30" s="1186" t="s">
        <v>855</v>
      </c>
      <c r="C30" s="1186">
        <v>2753</v>
      </c>
      <c r="D30" s="1186">
        <v>782</v>
      </c>
      <c r="E30" s="1186">
        <v>1176</v>
      </c>
      <c r="F30" s="1186">
        <v>44</v>
      </c>
      <c r="G30" s="1186">
        <v>571</v>
      </c>
      <c r="H30" s="1186">
        <v>180</v>
      </c>
    </row>
    <row r="31" spans="1:8" x14ac:dyDescent="0.2">
      <c r="A31" s="1186" t="s">
        <v>13</v>
      </c>
      <c r="B31" s="1186" t="s">
        <v>855</v>
      </c>
      <c r="C31" s="1186">
        <v>2622</v>
      </c>
      <c r="D31" s="1186">
        <v>811</v>
      </c>
      <c r="E31" s="1186">
        <v>1106</v>
      </c>
      <c r="F31" s="1186">
        <v>39</v>
      </c>
      <c r="G31" s="1186">
        <v>510</v>
      </c>
      <c r="H31" s="1186">
        <v>156</v>
      </c>
    </row>
    <row r="32" spans="1:8" x14ac:dyDescent="0.2">
      <c r="A32" s="1186" t="s">
        <v>15</v>
      </c>
      <c r="B32" s="1186" t="s">
        <v>855</v>
      </c>
      <c r="C32" s="1186">
        <v>2307</v>
      </c>
      <c r="D32" s="1186">
        <v>677</v>
      </c>
      <c r="E32" s="1186">
        <v>1158</v>
      </c>
      <c r="F32" s="1186">
        <v>18</v>
      </c>
      <c r="G32" s="1186">
        <v>329</v>
      </c>
      <c r="H32" s="1186">
        <v>125</v>
      </c>
    </row>
    <row r="33" spans="1:8" x14ac:dyDescent="0.2">
      <c r="A33" s="1186" t="s">
        <v>17</v>
      </c>
      <c r="B33" s="1186" t="s">
        <v>855</v>
      </c>
      <c r="C33" s="1186">
        <v>2365</v>
      </c>
      <c r="D33" s="1186">
        <v>651</v>
      </c>
      <c r="E33" s="1186">
        <v>1219</v>
      </c>
      <c r="F33" s="1186">
        <v>31</v>
      </c>
      <c r="G33" s="1186">
        <v>339</v>
      </c>
      <c r="H33" s="1186">
        <v>125</v>
      </c>
    </row>
    <row r="34" spans="1:8" x14ac:dyDescent="0.2">
      <c r="A34" s="1186" t="s">
        <v>133</v>
      </c>
      <c r="B34" s="1186" t="s">
        <v>855</v>
      </c>
      <c r="C34" s="1186">
        <v>2056</v>
      </c>
      <c r="D34" s="1186">
        <v>512</v>
      </c>
      <c r="E34" s="1186">
        <v>1104</v>
      </c>
      <c r="F34" s="1186">
        <v>33</v>
      </c>
      <c r="G34" s="1186">
        <v>291</v>
      </c>
      <c r="H34" s="1186">
        <v>116</v>
      </c>
    </row>
    <row r="35" spans="1:8" x14ac:dyDescent="0.2">
      <c r="A35" s="1186" t="s">
        <v>144</v>
      </c>
      <c r="B35" s="1186" t="s">
        <v>855</v>
      </c>
      <c r="C35" s="1186">
        <v>2375</v>
      </c>
      <c r="D35" s="1186">
        <v>524</v>
      </c>
      <c r="E35" s="1186">
        <v>1349</v>
      </c>
      <c r="F35" s="1186">
        <v>33</v>
      </c>
      <c r="G35" s="1186">
        <v>350</v>
      </c>
      <c r="H35" s="1186">
        <v>119</v>
      </c>
    </row>
    <row r="36" spans="1:8" x14ac:dyDescent="0.2">
      <c r="A36" s="1186" t="s">
        <v>282</v>
      </c>
      <c r="B36" s="1186" t="s">
        <v>855</v>
      </c>
      <c r="C36" s="1186">
        <v>2281</v>
      </c>
      <c r="D36" s="1186">
        <v>497</v>
      </c>
      <c r="E36" s="1186">
        <v>1318</v>
      </c>
      <c r="F36" s="1186">
        <v>25</v>
      </c>
      <c r="G36" s="1186">
        <v>309</v>
      </c>
      <c r="H36" s="1186">
        <v>132</v>
      </c>
    </row>
    <row r="37" spans="1:8" x14ac:dyDescent="0.2">
      <c r="A37" s="1186" t="s">
        <v>311</v>
      </c>
      <c r="B37" s="1186" t="s">
        <v>855</v>
      </c>
      <c r="C37" s="1186">
        <v>2337</v>
      </c>
      <c r="D37" s="1186">
        <v>424</v>
      </c>
      <c r="E37" s="1186">
        <v>1449</v>
      </c>
      <c r="F37" s="1186">
        <v>35</v>
      </c>
      <c r="G37" s="1186">
        <v>299</v>
      </c>
      <c r="H37" s="1186">
        <v>130</v>
      </c>
    </row>
    <row r="38" spans="1:8" x14ac:dyDescent="0.2">
      <c r="A38" s="1186" t="s">
        <v>621</v>
      </c>
      <c r="B38" s="1186" t="s">
        <v>855</v>
      </c>
      <c r="C38" s="1186">
        <v>2279</v>
      </c>
      <c r="D38" s="1186">
        <v>427</v>
      </c>
      <c r="E38" s="1186">
        <v>1542</v>
      </c>
      <c r="F38" s="1186">
        <v>12</v>
      </c>
      <c r="G38" s="1186">
        <v>204</v>
      </c>
      <c r="H38" s="1186">
        <v>94</v>
      </c>
    </row>
    <row r="39" spans="1:8" x14ac:dyDescent="0.2">
      <c r="A39" s="1186" t="s">
        <v>1419</v>
      </c>
      <c r="B39" s="1186" t="s">
        <v>855</v>
      </c>
      <c r="C39" s="1186">
        <v>2198</v>
      </c>
      <c r="D39" s="1186">
        <v>435</v>
      </c>
      <c r="E39" s="1186">
        <v>1455</v>
      </c>
      <c r="F39" s="1186">
        <v>12</v>
      </c>
      <c r="G39" s="1186">
        <v>190</v>
      </c>
      <c r="H39" s="1186">
        <v>106</v>
      </c>
    </row>
    <row r="40" spans="1:8" x14ac:dyDescent="0.2">
      <c r="A40" s="1186" t="s">
        <v>1572</v>
      </c>
      <c r="B40" s="1186" t="s">
        <v>855</v>
      </c>
      <c r="C40" s="1186">
        <v>1494</v>
      </c>
      <c r="D40" s="1186">
        <v>300</v>
      </c>
      <c r="E40" s="1186">
        <v>934</v>
      </c>
      <c r="F40" s="1186">
        <v>24</v>
      </c>
      <c r="G40" s="1186">
        <v>143</v>
      </c>
      <c r="H40" s="1186">
        <v>93</v>
      </c>
    </row>
  </sheetData>
  <pageMargins left="0.7" right="0.7" top="0.75" bottom="0.75" header="0.3" footer="0.3"/>
  <pageSetup paperSize="9" fitToHeight="50" orientation="landscape" r:id="rId1"/>
  <legacyDrawing r:id="rId2"/>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pageSetUpPr fitToPage="1"/>
  </sheetPr>
  <dimension ref="A1:D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25.42578125" bestFit="1" customWidth="1"/>
    <col min="3" max="3" width="19.42578125" bestFit="1" customWidth="1"/>
    <col min="4" max="4" width="20.85546875" bestFit="1" customWidth="1"/>
  </cols>
  <sheetData>
    <row r="1" spans="1:4" x14ac:dyDescent="0.2"/>
    <row r="4" spans="1:4" x14ac:dyDescent="0.2">
      <c r="A4" s="1223" t="s">
        <v>4</v>
      </c>
      <c r="B4" s="1223" t="s">
        <v>1645</v>
      </c>
      <c r="C4" s="1223" t="s">
        <v>1640</v>
      </c>
      <c r="D4" s="1223" t="s">
        <v>1642</v>
      </c>
    </row>
    <row r="5" spans="1:4" x14ac:dyDescent="0.2">
      <c r="A5" s="1186" t="s">
        <v>19</v>
      </c>
      <c r="B5" s="1186">
        <v>1502</v>
      </c>
      <c r="C5" s="1186">
        <v>145</v>
      </c>
      <c r="D5" s="1186">
        <v>1357</v>
      </c>
    </row>
    <row r="6" spans="1:4" x14ac:dyDescent="0.2">
      <c r="A6" s="1186" t="s">
        <v>20</v>
      </c>
      <c r="B6" s="1186">
        <v>1312</v>
      </c>
      <c r="C6" s="1186">
        <v>87</v>
      </c>
      <c r="D6" s="1186">
        <v>1225</v>
      </c>
    </row>
    <row r="7" spans="1:4" x14ac:dyDescent="0.2">
      <c r="A7" s="1186" t="s">
        <v>13</v>
      </c>
      <c r="B7" s="1186">
        <v>1186</v>
      </c>
      <c r="C7" s="1186">
        <v>63</v>
      </c>
      <c r="D7" s="1186">
        <v>1123</v>
      </c>
    </row>
    <row r="8" spans="1:4" x14ac:dyDescent="0.2">
      <c r="A8" s="1186" t="s">
        <v>15</v>
      </c>
      <c r="B8" s="1186">
        <v>638</v>
      </c>
      <c r="C8" s="1186">
        <v>18</v>
      </c>
      <c r="D8" s="1186">
        <v>620</v>
      </c>
    </row>
    <row r="9" spans="1:4" x14ac:dyDescent="0.2">
      <c r="A9" s="1186" t="s">
        <v>17</v>
      </c>
      <c r="B9" s="1186">
        <v>532</v>
      </c>
      <c r="C9" s="1186">
        <v>15</v>
      </c>
      <c r="D9" s="1186">
        <v>517</v>
      </c>
    </row>
    <row r="10" spans="1:4" x14ac:dyDescent="0.2">
      <c r="A10" s="1186" t="s">
        <v>133</v>
      </c>
      <c r="B10" s="1186">
        <v>635</v>
      </c>
      <c r="C10" s="1186">
        <v>19</v>
      </c>
      <c r="D10" s="1186">
        <v>616</v>
      </c>
    </row>
    <row r="11" spans="1:4" x14ac:dyDescent="0.2">
      <c r="A11" s="1186" t="s">
        <v>144</v>
      </c>
      <c r="B11" s="1186">
        <v>556</v>
      </c>
      <c r="C11" s="1186">
        <v>24</v>
      </c>
      <c r="D11" s="1186">
        <v>532</v>
      </c>
    </row>
    <row r="12" spans="1:4" x14ac:dyDescent="0.2">
      <c r="A12" s="1186" t="s">
        <v>282</v>
      </c>
      <c r="B12" s="1186">
        <v>717</v>
      </c>
      <c r="C12" s="1186">
        <v>19</v>
      </c>
      <c r="D12" s="1186">
        <v>698</v>
      </c>
    </row>
    <row r="13" spans="1:4" x14ac:dyDescent="0.2">
      <c r="A13" s="1186" t="s">
        <v>311</v>
      </c>
      <c r="B13" s="1186">
        <v>668</v>
      </c>
      <c r="C13" s="1186">
        <v>19</v>
      </c>
      <c r="D13" s="1186">
        <v>649</v>
      </c>
    </row>
    <row r="14" spans="1:4" x14ac:dyDescent="0.2">
      <c r="A14" s="1186" t="s">
        <v>621</v>
      </c>
      <c r="B14" s="1186">
        <v>782</v>
      </c>
      <c r="C14" s="1186">
        <v>13</v>
      </c>
      <c r="D14" s="1186">
        <v>769</v>
      </c>
    </row>
    <row r="15" spans="1:4" x14ac:dyDescent="0.2">
      <c r="A15" s="1186" t="s">
        <v>1419</v>
      </c>
      <c r="B15" s="1186">
        <v>875</v>
      </c>
      <c r="C15" s="1186">
        <v>21</v>
      </c>
      <c r="D15" s="1186">
        <v>854</v>
      </c>
    </row>
    <row r="16" spans="1:4" x14ac:dyDescent="0.2">
      <c r="A16" s="1186" t="s">
        <v>1572</v>
      </c>
      <c r="B16" s="1186">
        <v>922</v>
      </c>
      <c r="C16" s="1186">
        <v>31</v>
      </c>
      <c r="D16" s="1186">
        <v>891</v>
      </c>
    </row>
  </sheetData>
  <pageMargins left="0.7" right="0.7" top="0.75" bottom="0.75" header="0.3" footer="0.3"/>
  <pageSetup paperSize="9" fitToHeight="50" orientation="landscape" r:id="rId1"/>
  <legacyDrawing r:id="rId2"/>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pageSetUpPr fitToPage="1"/>
  </sheetPr>
  <dimension ref="A1:E384"/>
  <sheetViews>
    <sheetView zoomScale="85" zoomScaleNormal="85" workbookViewId="0">
      <pane ySplit="4" topLeftCell="A340"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9.5703125" bestFit="1" customWidth="1"/>
    <col min="3" max="3" width="22.7109375" bestFit="1" customWidth="1"/>
    <col min="4" max="4" width="19.42578125" bestFit="1" customWidth="1"/>
    <col min="5" max="5" width="20.85546875" bestFit="1" customWidth="1"/>
  </cols>
  <sheetData>
    <row r="1" spans="1:5" x14ac:dyDescent="0.2"/>
    <row r="4" spans="1:5" x14ac:dyDescent="0.2">
      <c r="A4" s="1223" t="s">
        <v>4</v>
      </c>
      <c r="B4" s="1223" t="s">
        <v>1627</v>
      </c>
      <c r="C4" s="1223" t="s">
        <v>1646</v>
      </c>
      <c r="D4" s="1223" t="s">
        <v>1640</v>
      </c>
      <c r="E4" s="1223" t="s">
        <v>1642</v>
      </c>
    </row>
    <row r="5" spans="1:5" x14ac:dyDescent="0.2">
      <c r="A5" s="1186" t="s">
        <v>19</v>
      </c>
      <c r="B5" s="1186" t="s">
        <v>23</v>
      </c>
      <c r="C5" s="1186">
        <v>16</v>
      </c>
      <c r="D5" s="1186">
        <v>0</v>
      </c>
      <c r="E5" s="1186">
        <v>16</v>
      </c>
    </row>
    <row r="6" spans="1:5" x14ac:dyDescent="0.2">
      <c r="A6" s="1186" t="s">
        <v>19</v>
      </c>
      <c r="B6" s="1186" t="s">
        <v>24</v>
      </c>
      <c r="C6" s="1186">
        <v>9</v>
      </c>
      <c r="D6" s="1186">
        <v>0</v>
      </c>
      <c r="E6" s="1186">
        <v>9</v>
      </c>
    </row>
    <row r="7" spans="1:5" x14ac:dyDescent="0.2">
      <c r="A7" s="1186" t="s">
        <v>19</v>
      </c>
      <c r="B7" s="1186" t="s">
        <v>25</v>
      </c>
      <c r="C7" s="1186">
        <v>40</v>
      </c>
      <c r="D7" s="1186">
        <v>5</v>
      </c>
      <c r="E7" s="1186">
        <v>35</v>
      </c>
    </row>
    <row r="8" spans="1:5" x14ac:dyDescent="0.2">
      <c r="A8" s="1186" t="s">
        <v>19</v>
      </c>
      <c r="B8" s="1186" t="s">
        <v>26</v>
      </c>
      <c r="C8" s="1186">
        <v>30</v>
      </c>
      <c r="D8" s="1186">
        <v>1</v>
      </c>
      <c r="E8" s="1186">
        <v>29</v>
      </c>
    </row>
    <row r="9" spans="1:5" x14ac:dyDescent="0.2">
      <c r="A9" s="1186" t="s">
        <v>19</v>
      </c>
      <c r="B9" s="1186" t="s">
        <v>619</v>
      </c>
      <c r="C9" s="1186">
        <v>195</v>
      </c>
      <c r="D9" s="1186">
        <v>24</v>
      </c>
      <c r="E9" s="1186">
        <v>171</v>
      </c>
    </row>
    <row r="10" spans="1:5" x14ac:dyDescent="0.2">
      <c r="A10" s="1186" t="s">
        <v>19</v>
      </c>
      <c r="B10" s="1186" t="s">
        <v>27</v>
      </c>
      <c r="C10" s="1186">
        <v>6</v>
      </c>
      <c r="D10" s="1186">
        <v>0</v>
      </c>
      <c r="E10" s="1186">
        <v>6</v>
      </c>
    </row>
    <row r="11" spans="1:5" x14ac:dyDescent="0.2">
      <c r="A11" s="1186" t="s">
        <v>19</v>
      </c>
      <c r="B11" s="1186" t="s">
        <v>28</v>
      </c>
      <c r="C11" s="1186">
        <v>13</v>
      </c>
      <c r="D11" s="1186">
        <v>0</v>
      </c>
      <c r="E11" s="1186">
        <v>13</v>
      </c>
    </row>
    <row r="12" spans="1:5" x14ac:dyDescent="0.2">
      <c r="A12" s="1186" t="s">
        <v>19</v>
      </c>
      <c r="B12" s="1186" t="s">
        <v>29</v>
      </c>
      <c r="C12" s="1186">
        <v>97</v>
      </c>
      <c r="D12" s="1186">
        <v>16</v>
      </c>
      <c r="E12" s="1186">
        <v>81</v>
      </c>
    </row>
    <row r="13" spans="1:5" x14ac:dyDescent="0.2">
      <c r="A13" s="1186" t="s">
        <v>19</v>
      </c>
      <c r="B13" s="1186" t="s">
        <v>30</v>
      </c>
      <c r="C13" s="1186">
        <v>26</v>
      </c>
      <c r="D13" s="1186">
        <v>0</v>
      </c>
      <c r="E13" s="1186">
        <v>26</v>
      </c>
    </row>
    <row r="14" spans="1:5" x14ac:dyDescent="0.2">
      <c r="A14" s="1186" t="s">
        <v>19</v>
      </c>
      <c r="B14" s="1186" t="s">
        <v>31</v>
      </c>
      <c r="C14" s="1186">
        <v>17</v>
      </c>
      <c r="D14" s="1186">
        <v>1</v>
      </c>
      <c r="E14" s="1186">
        <v>16</v>
      </c>
    </row>
    <row r="15" spans="1:5" x14ac:dyDescent="0.2">
      <c r="A15" s="1186" t="s">
        <v>19</v>
      </c>
      <c r="B15" s="1186" t="s">
        <v>32</v>
      </c>
      <c r="C15" s="1186">
        <v>30</v>
      </c>
      <c r="D15" s="1186">
        <v>2</v>
      </c>
      <c r="E15" s="1186">
        <v>28</v>
      </c>
    </row>
    <row r="16" spans="1:5" x14ac:dyDescent="0.2">
      <c r="A16" s="1186" t="s">
        <v>19</v>
      </c>
      <c r="B16" s="1186" t="s">
        <v>33</v>
      </c>
      <c r="C16" s="1186">
        <v>18</v>
      </c>
      <c r="D16" s="1186">
        <v>0</v>
      </c>
      <c r="E16" s="1186">
        <v>18</v>
      </c>
    </row>
    <row r="17" spans="1:5" x14ac:dyDescent="0.2">
      <c r="A17" s="1186" t="s">
        <v>19</v>
      </c>
      <c r="B17" s="1186" t="s">
        <v>34</v>
      </c>
      <c r="C17" s="1186">
        <v>17</v>
      </c>
      <c r="D17" s="1186">
        <v>1</v>
      </c>
      <c r="E17" s="1186">
        <v>16</v>
      </c>
    </row>
    <row r="18" spans="1:5" x14ac:dyDescent="0.2">
      <c r="A18" s="1186" t="s">
        <v>19</v>
      </c>
      <c r="B18" s="1186" t="s">
        <v>35</v>
      </c>
      <c r="C18" s="1186">
        <v>7</v>
      </c>
      <c r="D18" s="1186">
        <v>4</v>
      </c>
      <c r="E18" s="1186">
        <v>3</v>
      </c>
    </row>
    <row r="19" spans="1:5" x14ac:dyDescent="0.2">
      <c r="A19" s="1186" t="s">
        <v>19</v>
      </c>
      <c r="B19" s="1186" t="s">
        <v>36</v>
      </c>
      <c r="C19" s="1186">
        <v>181</v>
      </c>
      <c r="D19" s="1186">
        <v>13</v>
      </c>
      <c r="E19" s="1186">
        <v>168</v>
      </c>
    </row>
    <row r="20" spans="1:5" x14ac:dyDescent="0.2">
      <c r="A20" s="1186" t="s">
        <v>19</v>
      </c>
      <c r="B20" s="1186" t="s">
        <v>37</v>
      </c>
      <c r="C20" s="1186">
        <v>257</v>
      </c>
      <c r="D20" s="1186">
        <v>47</v>
      </c>
      <c r="E20" s="1186">
        <v>210</v>
      </c>
    </row>
    <row r="21" spans="1:5" x14ac:dyDescent="0.2">
      <c r="A21" s="1186" t="s">
        <v>19</v>
      </c>
      <c r="B21" s="1186" t="s">
        <v>38</v>
      </c>
      <c r="C21" s="1186">
        <v>14</v>
      </c>
      <c r="D21" s="1186">
        <v>1</v>
      </c>
      <c r="E21" s="1186">
        <v>13</v>
      </c>
    </row>
    <row r="22" spans="1:5" x14ac:dyDescent="0.2">
      <c r="A22" s="1186" t="s">
        <v>19</v>
      </c>
      <c r="B22" s="1186" t="s">
        <v>39</v>
      </c>
      <c r="C22" s="1186">
        <v>13</v>
      </c>
      <c r="D22" s="1186">
        <v>0</v>
      </c>
      <c r="E22" s="1186">
        <v>13</v>
      </c>
    </row>
    <row r="23" spans="1:5" x14ac:dyDescent="0.2">
      <c r="A23" s="1186" t="s">
        <v>19</v>
      </c>
      <c r="B23" s="1186" t="s">
        <v>40</v>
      </c>
      <c r="C23" s="1186">
        <v>1</v>
      </c>
      <c r="D23" s="1186">
        <v>0</v>
      </c>
      <c r="E23" s="1186">
        <v>1</v>
      </c>
    </row>
    <row r="24" spans="1:5" x14ac:dyDescent="0.2">
      <c r="A24" s="1186" t="s">
        <v>19</v>
      </c>
      <c r="B24" s="1186" t="s">
        <v>295</v>
      </c>
      <c r="C24" s="1186">
        <v>21</v>
      </c>
      <c r="D24" s="1186">
        <v>0</v>
      </c>
      <c r="E24" s="1186">
        <v>21</v>
      </c>
    </row>
    <row r="25" spans="1:5" x14ac:dyDescent="0.2">
      <c r="A25" s="1186" t="s">
        <v>19</v>
      </c>
      <c r="B25" s="1186" t="s">
        <v>41</v>
      </c>
      <c r="C25" s="1186">
        <v>40</v>
      </c>
      <c r="D25" s="1186">
        <v>3</v>
      </c>
      <c r="E25" s="1186">
        <v>37</v>
      </c>
    </row>
    <row r="26" spans="1:5" x14ac:dyDescent="0.2">
      <c r="A26" s="1186" t="s">
        <v>19</v>
      </c>
      <c r="B26" s="1186" t="s">
        <v>42</v>
      </c>
      <c r="C26" s="1186">
        <v>57</v>
      </c>
      <c r="D26" s="1186">
        <v>2</v>
      </c>
      <c r="E26" s="1186">
        <v>55</v>
      </c>
    </row>
    <row r="27" spans="1:5" x14ac:dyDescent="0.2">
      <c r="A27" s="1186" t="s">
        <v>19</v>
      </c>
      <c r="B27" s="1186" t="s">
        <v>43</v>
      </c>
      <c r="C27" s="1186">
        <v>17</v>
      </c>
      <c r="D27" s="1186">
        <v>1</v>
      </c>
      <c r="E27" s="1186">
        <v>16</v>
      </c>
    </row>
    <row r="28" spans="1:5" x14ac:dyDescent="0.2">
      <c r="A28" s="1186" t="s">
        <v>19</v>
      </c>
      <c r="B28" s="1186" t="s">
        <v>44</v>
      </c>
      <c r="C28" s="1186">
        <v>80</v>
      </c>
      <c r="D28" s="1186">
        <v>6</v>
      </c>
      <c r="E28" s="1186">
        <v>74</v>
      </c>
    </row>
    <row r="29" spans="1:5" x14ac:dyDescent="0.2">
      <c r="A29" s="1186" t="s">
        <v>19</v>
      </c>
      <c r="B29" s="1186" t="s">
        <v>45</v>
      </c>
      <c r="C29" s="1186">
        <v>81</v>
      </c>
      <c r="D29" s="1186">
        <v>4</v>
      </c>
      <c r="E29" s="1186">
        <v>77</v>
      </c>
    </row>
    <row r="30" spans="1:5" x14ac:dyDescent="0.2">
      <c r="A30" s="1186" t="s">
        <v>19</v>
      </c>
      <c r="B30" s="1186" t="s">
        <v>46</v>
      </c>
      <c r="C30" s="1186">
        <v>39</v>
      </c>
      <c r="D30" s="1186">
        <v>3</v>
      </c>
      <c r="E30" s="1186">
        <v>36</v>
      </c>
    </row>
    <row r="31" spans="1:5" x14ac:dyDescent="0.2">
      <c r="A31" s="1186" t="s">
        <v>19</v>
      </c>
      <c r="B31" s="1186" t="s">
        <v>47</v>
      </c>
      <c r="C31" s="1186">
        <v>10</v>
      </c>
      <c r="D31" s="1186">
        <v>1</v>
      </c>
      <c r="E31" s="1186">
        <v>9</v>
      </c>
    </row>
    <row r="32" spans="1:5" x14ac:dyDescent="0.2">
      <c r="A32" s="1186" t="s">
        <v>19</v>
      </c>
      <c r="B32" s="1186" t="s">
        <v>48</v>
      </c>
      <c r="C32" s="1186">
        <v>26</v>
      </c>
      <c r="D32" s="1186">
        <v>1</v>
      </c>
      <c r="E32" s="1186">
        <v>25</v>
      </c>
    </row>
    <row r="33" spans="1:5" x14ac:dyDescent="0.2">
      <c r="A33" s="1186" t="s">
        <v>19</v>
      </c>
      <c r="B33" s="1186" t="s">
        <v>49</v>
      </c>
      <c r="C33" s="1186">
        <v>60</v>
      </c>
      <c r="D33" s="1186">
        <v>3</v>
      </c>
      <c r="E33" s="1186">
        <v>57</v>
      </c>
    </row>
    <row r="34" spans="1:5" x14ac:dyDescent="0.2">
      <c r="A34" s="1186" t="s">
        <v>19</v>
      </c>
      <c r="B34" s="1186" t="s">
        <v>50</v>
      </c>
      <c r="C34" s="1186">
        <v>6</v>
      </c>
      <c r="D34" s="1186">
        <v>0</v>
      </c>
      <c r="E34" s="1186">
        <v>6</v>
      </c>
    </row>
    <row r="35" spans="1:5" x14ac:dyDescent="0.2">
      <c r="A35" s="1186" t="s">
        <v>19</v>
      </c>
      <c r="B35" s="1186" t="s">
        <v>51</v>
      </c>
      <c r="C35" s="1186">
        <v>20</v>
      </c>
      <c r="D35" s="1186">
        <v>0</v>
      </c>
      <c r="E35" s="1186">
        <v>20</v>
      </c>
    </row>
    <row r="36" spans="1:5" x14ac:dyDescent="0.2">
      <c r="A36" s="1186" t="s">
        <v>19</v>
      </c>
      <c r="B36" s="1186" t="s">
        <v>52</v>
      </c>
      <c r="C36" s="1186">
        <v>58</v>
      </c>
      <c r="D36" s="1186">
        <v>6</v>
      </c>
      <c r="E36" s="1186">
        <v>52</v>
      </c>
    </row>
    <row r="37" spans="1:5" x14ac:dyDescent="0.2">
      <c r="A37" s="1186" t="s">
        <v>20</v>
      </c>
      <c r="B37" s="1186" t="s">
        <v>23</v>
      </c>
      <c r="C37" s="1186">
        <v>13</v>
      </c>
      <c r="D37" s="1186">
        <v>1</v>
      </c>
      <c r="E37" s="1186">
        <v>12</v>
      </c>
    </row>
    <row r="38" spans="1:5" x14ac:dyDescent="0.2">
      <c r="A38" s="1186" t="s">
        <v>20</v>
      </c>
      <c r="B38" s="1186" t="s">
        <v>24</v>
      </c>
      <c r="C38" s="1186">
        <v>8</v>
      </c>
      <c r="D38" s="1186">
        <v>0</v>
      </c>
      <c r="E38" s="1186">
        <v>8</v>
      </c>
    </row>
    <row r="39" spans="1:5" x14ac:dyDescent="0.2">
      <c r="A39" s="1186" t="s">
        <v>20</v>
      </c>
      <c r="B39" s="1186" t="s">
        <v>25</v>
      </c>
      <c r="C39" s="1186">
        <v>43</v>
      </c>
      <c r="D39" s="1186">
        <v>7</v>
      </c>
      <c r="E39" s="1186">
        <v>36</v>
      </c>
    </row>
    <row r="40" spans="1:5" x14ac:dyDescent="0.2">
      <c r="A40" s="1186" t="s">
        <v>20</v>
      </c>
      <c r="B40" s="1186" t="s">
        <v>26</v>
      </c>
      <c r="C40" s="1186">
        <v>9</v>
      </c>
      <c r="D40" s="1186">
        <v>0</v>
      </c>
      <c r="E40" s="1186">
        <v>9</v>
      </c>
    </row>
    <row r="41" spans="1:5" x14ac:dyDescent="0.2">
      <c r="A41" s="1186" t="s">
        <v>20</v>
      </c>
      <c r="B41" s="1186" t="s">
        <v>619</v>
      </c>
      <c r="C41" s="1186">
        <v>142</v>
      </c>
      <c r="D41" s="1186">
        <v>11</v>
      </c>
      <c r="E41" s="1186">
        <v>131</v>
      </c>
    </row>
    <row r="42" spans="1:5" x14ac:dyDescent="0.2">
      <c r="A42" s="1186" t="s">
        <v>20</v>
      </c>
      <c r="B42" s="1186" t="s">
        <v>27</v>
      </c>
      <c r="C42" s="1186">
        <v>3</v>
      </c>
      <c r="D42" s="1186">
        <v>0</v>
      </c>
      <c r="E42" s="1186">
        <v>3</v>
      </c>
    </row>
    <row r="43" spans="1:5" x14ac:dyDescent="0.2">
      <c r="A43" s="1186" t="s">
        <v>20</v>
      </c>
      <c r="B43" s="1186" t="s">
        <v>28</v>
      </c>
      <c r="C43" s="1186">
        <v>11</v>
      </c>
      <c r="D43" s="1186">
        <v>0</v>
      </c>
      <c r="E43" s="1186">
        <v>11</v>
      </c>
    </row>
    <row r="44" spans="1:5" x14ac:dyDescent="0.2">
      <c r="A44" s="1186" t="s">
        <v>20</v>
      </c>
      <c r="B44" s="1186" t="s">
        <v>29</v>
      </c>
      <c r="C44" s="1186">
        <v>96</v>
      </c>
      <c r="D44" s="1186">
        <v>16</v>
      </c>
      <c r="E44" s="1186">
        <v>80</v>
      </c>
    </row>
    <row r="45" spans="1:5" x14ac:dyDescent="0.2">
      <c r="A45" s="1186" t="s">
        <v>20</v>
      </c>
      <c r="B45" s="1186" t="s">
        <v>30</v>
      </c>
      <c r="C45" s="1186">
        <v>31</v>
      </c>
      <c r="D45" s="1186">
        <v>0</v>
      </c>
      <c r="E45" s="1186">
        <v>31</v>
      </c>
    </row>
    <row r="46" spans="1:5" x14ac:dyDescent="0.2">
      <c r="A46" s="1186" t="s">
        <v>20</v>
      </c>
      <c r="B46" s="1186" t="s">
        <v>31</v>
      </c>
      <c r="C46" s="1186">
        <v>7</v>
      </c>
      <c r="D46" s="1186">
        <v>0</v>
      </c>
      <c r="E46" s="1186">
        <v>7</v>
      </c>
    </row>
    <row r="47" spans="1:5" x14ac:dyDescent="0.2">
      <c r="A47" s="1186" t="s">
        <v>20</v>
      </c>
      <c r="B47" s="1186" t="s">
        <v>32</v>
      </c>
      <c r="C47" s="1186">
        <v>23</v>
      </c>
      <c r="D47" s="1186">
        <v>1</v>
      </c>
      <c r="E47" s="1186">
        <v>22</v>
      </c>
    </row>
    <row r="48" spans="1:5" x14ac:dyDescent="0.2">
      <c r="A48" s="1186" t="s">
        <v>20</v>
      </c>
      <c r="B48" s="1186" t="s">
        <v>33</v>
      </c>
      <c r="C48" s="1186">
        <v>6</v>
      </c>
      <c r="D48" s="1186">
        <v>0</v>
      </c>
      <c r="E48" s="1186">
        <v>6</v>
      </c>
    </row>
    <row r="49" spans="1:5" x14ac:dyDescent="0.2">
      <c r="A49" s="1186" t="s">
        <v>20</v>
      </c>
      <c r="B49" s="1186" t="s">
        <v>34</v>
      </c>
      <c r="C49" s="1186">
        <v>18</v>
      </c>
      <c r="D49" s="1186">
        <v>0</v>
      </c>
      <c r="E49" s="1186">
        <v>18</v>
      </c>
    </row>
    <row r="50" spans="1:5" x14ac:dyDescent="0.2">
      <c r="A50" s="1186" t="s">
        <v>20</v>
      </c>
      <c r="B50" s="1186" t="s">
        <v>35</v>
      </c>
      <c r="C50" s="1186">
        <v>10</v>
      </c>
      <c r="D50" s="1186">
        <v>10</v>
      </c>
      <c r="E50" s="1186">
        <v>0</v>
      </c>
    </row>
    <row r="51" spans="1:5" x14ac:dyDescent="0.2">
      <c r="A51" s="1186" t="s">
        <v>20</v>
      </c>
      <c r="B51" s="1186" t="s">
        <v>36</v>
      </c>
      <c r="C51" s="1186">
        <v>115</v>
      </c>
      <c r="D51" s="1186">
        <v>1</v>
      </c>
      <c r="E51" s="1186">
        <v>114</v>
      </c>
    </row>
    <row r="52" spans="1:5" x14ac:dyDescent="0.2">
      <c r="A52" s="1186" t="s">
        <v>20</v>
      </c>
      <c r="B52" s="1186" t="s">
        <v>37</v>
      </c>
      <c r="C52" s="1186">
        <v>307</v>
      </c>
      <c r="D52" s="1186">
        <v>17</v>
      </c>
      <c r="E52" s="1186">
        <v>290</v>
      </c>
    </row>
    <row r="53" spans="1:5" x14ac:dyDescent="0.2">
      <c r="A53" s="1186" t="s">
        <v>20</v>
      </c>
      <c r="B53" s="1186" t="s">
        <v>38</v>
      </c>
      <c r="C53" s="1186">
        <v>11</v>
      </c>
      <c r="D53" s="1186">
        <v>0</v>
      </c>
      <c r="E53" s="1186">
        <v>11</v>
      </c>
    </row>
    <row r="54" spans="1:5" x14ac:dyDescent="0.2">
      <c r="A54" s="1186" t="s">
        <v>20</v>
      </c>
      <c r="B54" s="1186" t="s">
        <v>39</v>
      </c>
      <c r="C54" s="1186">
        <v>39</v>
      </c>
      <c r="D54" s="1186">
        <v>5</v>
      </c>
      <c r="E54" s="1186">
        <v>34</v>
      </c>
    </row>
    <row r="55" spans="1:5" x14ac:dyDescent="0.2">
      <c r="A55" s="1186" t="s">
        <v>20</v>
      </c>
      <c r="B55" s="1186" t="s">
        <v>40</v>
      </c>
      <c r="C55" s="1186">
        <v>6</v>
      </c>
      <c r="D55" s="1186">
        <v>0</v>
      </c>
      <c r="E55" s="1186">
        <v>6</v>
      </c>
    </row>
    <row r="56" spans="1:5" x14ac:dyDescent="0.2">
      <c r="A56" s="1186" t="s">
        <v>20</v>
      </c>
      <c r="B56" s="1186" t="s">
        <v>295</v>
      </c>
      <c r="C56" s="1186">
        <v>5</v>
      </c>
      <c r="D56" s="1186">
        <v>0</v>
      </c>
      <c r="E56" s="1186">
        <v>5</v>
      </c>
    </row>
    <row r="57" spans="1:5" x14ac:dyDescent="0.2">
      <c r="A57" s="1186" t="s">
        <v>20</v>
      </c>
      <c r="B57" s="1186" t="s">
        <v>41</v>
      </c>
      <c r="C57" s="1186">
        <v>21</v>
      </c>
      <c r="D57" s="1186">
        <v>0</v>
      </c>
      <c r="E57" s="1186">
        <v>21</v>
      </c>
    </row>
    <row r="58" spans="1:5" x14ac:dyDescent="0.2">
      <c r="A58" s="1186" t="s">
        <v>20</v>
      </c>
      <c r="B58" s="1186" t="s">
        <v>42</v>
      </c>
      <c r="C58" s="1186">
        <v>39</v>
      </c>
      <c r="D58" s="1186">
        <v>1</v>
      </c>
      <c r="E58" s="1186">
        <v>38</v>
      </c>
    </row>
    <row r="59" spans="1:5" x14ac:dyDescent="0.2">
      <c r="A59" s="1186" t="s">
        <v>20</v>
      </c>
      <c r="B59" s="1186" t="s">
        <v>43</v>
      </c>
      <c r="C59" s="1186">
        <v>18</v>
      </c>
      <c r="D59" s="1186">
        <v>1</v>
      </c>
      <c r="E59" s="1186">
        <v>17</v>
      </c>
    </row>
    <row r="60" spans="1:5" x14ac:dyDescent="0.2">
      <c r="A60" s="1186" t="s">
        <v>20</v>
      </c>
      <c r="B60" s="1186" t="s">
        <v>44</v>
      </c>
      <c r="C60" s="1186">
        <v>68</v>
      </c>
      <c r="D60" s="1186">
        <v>4</v>
      </c>
      <c r="E60" s="1186">
        <v>64</v>
      </c>
    </row>
    <row r="61" spans="1:5" x14ac:dyDescent="0.2">
      <c r="A61" s="1186" t="s">
        <v>20</v>
      </c>
      <c r="B61" s="1186" t="s">
        <v>45</v>
      </c>
      <c r="C61" s="1186">
        <v>62</v>
      </c>
      <c r="D61" s="1186">
        <v>3</v>
      </c>
      <c r="E61" s="1186">
        <v>59</v>
      </c>
    </row>
    <row r="62" spans="1:5" x14ac:dyDescent="0.2">
      <c r="A62" s="1186" t="s">
        <v>20</v>
      </c>
      <c r="B62" s="1186" t="s">
        <v>46</v>
      </c>
      <c r="C62" s="1186">
        <v>58</v>
      </c>
      <c r="D62" s="1186">
        <v>2</v>
      </c>
      <c r="E62" s="1186">
        <v>56</v>
      </c>
    </row>
    <row r="63" spans="1:5" x14ac:dyDescent="0.2">
      <c r="A63" s="1186" t="s">
        <v>20</v>
      </c>
      <c r="B63" s="1186" t="s">
        <v>47</v>
      </c>
      <c r="C63" s="1186">
        <v>9</v>
      </c>
      <c r="D63" s="1186">
        <v>2</v>
      </c>
      <c r="E63" s="1186">
        <v>7</v>
      </c>
    </row>
    <row r="64" spans="1:5" x14ac:dyDescent="0.2">
      <c r="A64" s="1186" t="s">
        <v>20</v>
      </c>
      <c r="B64" s="1186" t="s">
        <v>48</v>
      </c>
      <c r="C64" s="1186">
        <v>12</v>
      </c>
      <c r="D64" s="1186">
        <v>1</v>
      </c>
      <c r="E64" s="1186">
        <v>11</v>
      </c>
    </row>
    <row r="65" spans="1:5" x14ac:dyDescent="0.2">
      <c r="A65" s="1186" t="s">
        <v>20</v>
      </c>
      <c r="B65" s="1186" t="s">
        <v>49</v>
      </c>
      <c r="C65" s="1186">
        <v>47</v>
      </c>
      <c r="D65" s="1186">
        <v>2</v>
      </c>
      <c r="E65" s="1186">
        <v>45</v>
      </c>
    </row>
    <row r="66" spans="1:5" x14ac:dyDescent="0.2">
      <c r="A66" s="1186" t="s">
        <v>20</v>
      </c>
      <c r="B66" s="1186" t="s">
        <v>50</v>
      </c>
      <c r="C66" s="1186">
        <v>12</v>
      </c>
      <c r="D66" s="1186">
        <v>0</v>
      </c>
      <c r="E66" s="1186">
        <v>12</v>
      </c>
    </row>
    <row r="67" spans="1:5" x14ac:dyDescent="0.2">
      <c r="A67" s="1186" t="s">
        <v>20</v>
      </c>
      <c r="B67" s="1186" t="s">
        <v>51</v>
      </c>
      <c r="C67" s="1186">
        <v>26</v>
      </c>
      <c r="D67" s="1186">
        <v>0</v>
      </c>
      <c r="E67" s="1186">
        <v>26</v>
      </c>
    </row>
    <row r="68" spans="1:5" x14ac:dyDescent="0.2">
      <c r="A68" s="1186" t="s">
        <v>20</v>
      </c>
      <c r="B68" s="1186" t="s">
        <v>52</v>
      </c>
      <c r="C68" s="1186">
        <v>37</v>
      </c>
      <c r="D68" s="1186">
        <v>2</v>
      </c>
      <c r="E68" s="1186">
        <v>35</v>
      </c>
    </row>
    <row r="69" spans="1:5" x14ac:dyDescent="0.2">
      <c r="A69" s="1186" t="s">
        <v>13</v>
      </c>
      <c r="B69" s="1186" t="s">
        <v>23</v>
      </c>
      <c r="C69" s="1186">
        <v>11</v>
      </c>
      <c r="D69" s="1186">
        <v>1</v>
      </c>
      <c r="E69" s="1186">
        <v>10</v>
      </c>
    </row>
    <row r="70" spans="1:5" x14ac:dyDescent="0.2">
      <c r="A70" s="1186" t="s">
        <v>13</v>
      </c>
      <c r="B70" s="1186" t="s">
        <v>24</v>
      </c>
      <c r="C70" s="1186">
        <v>9</v>
      </c>
      <c r="D70" s="1186">
        <v>1</v>
      </c>
      <c r="E70" s="1186">
        <v>8</v>
      </c>
    </row>
    <row r="71" spans="1:5" x14ac:dyDescent="0.2">
      <c r="A71" s="1186" t="s">
        <v>13</v>
      </c>
      <c r="B71" s="1186" t="s">
        <v>25</v>
      </c>
      <c r="C71" s="1186">
        <v>58</v>
      </c>
      <c r="D71" s="1186">
        <v>3</v>
      </c>
      <c r="E71" s="1186">
        <v>55</v>
      </c>
    </row>
    <row r="72" spans="1:5" x14ac:dyDescent="0.2">
      <c r="A72" s="1186" t="s">
        <v>13</v>
      </c>
      <c r="B72" s="1186" t="s">
        <v>26</v>
      </c>
      <c r="C72" s="1186">
        <v>26</v>
      </c>
      <c r="D72" s="1186">
        <v>0</v>
      </c>
      <c r="E72" s="1186">
        <v>26</v>
      </c>
    </row>
    <row r="73" spans="1:5" x14ac:dyDescent="0.2">
      <c r="A73" s="1186" t="s">
        <v>13</v>
      </c>
      <c r="B73" s="1186" t="s">
        <v>619</v>
      </c>
      <c r="C73" s="1186">
        <v>119</v>
      </c>
      <c r="D73" s="1186">
        <v>3</v>
      </c>
      <c r="E73" s="1186">
        <v>116</v>
      </c>
    </row>
    <row r="74" spans="1:5" x14ac:dyDescent="0.2">
      <c r="A74" s="1186" t="s">
        <v>13</v>
      </c>
      <c r="B74" s="1186" t="s">
        <v>27</v>
      </c>
      <c r="C74" s="1186">
        <v>4</v>
      </c>
      <c r="D74" s="1186">
        <v>1</v>
      </c>
      <c r="E74" s="1186">
        <v>3</v>
      </c>
    </row>
    <row r="75" spans="1:5" x14ac:dyDescent="0.2">
      <c r="A75" s="1186" t="s">
        <v>13</v>
      </c>
      <c r="B75" s="1186" t="s">
        <v>28</v>
      </c>
      <c r="C75" s="1186">
        <v>4</v>
      </c>
      <c r="D75" s="1186">
        <v>0</v>
      </c>
      <c r="E75" s="1186">
        <v>4</v>
      </c>
    </row>
    <row r="76" spans="1:5" x14ac:dyDescent="0.2">
      <c r="A76" s="1186" t="s">
        <v>13</v>
      </c>
      <c r="B76" s="1186" t="s">
        <v>29</v>
      </c>
      <c r="C76" s="1186">
        <v>69</v>
      </c>
      <c r="D76" s="1186">
        <v>9</v>
      </c>
      <c r="E76" s="1186">
        <v>60</v>
      </c>
    </row>
    <row r="77" spans="1:5" x14ac:dyDescent="0.2">
      <c r="A77" s="1186" t="s">
        <v>13</v>
      </c>
      <c r="B77" s="1186" t="s">
        <v>30</v>
      </c>
      <c r="C77" s="1186">
        <v>22</v>
      </c>
      <c r="D77" s="1186">
        <v>1</v>
      </c>
      <c r="E77" s="1186">
        <v>21</v>
      </c>
    </row>
    <row r="78" spans="1:5" x14ac:dyDescent="0.2">
      <c r="A78" s="1186" t="s">
        <v>13</v>
      </c>
      <c r="B78" s="1186" t="s">
        <v>31</v>
      </c>
      <c r="C78" s="1186">
        <v>10</v>
      </c>
      <c r="D78" s="1186">
        <v>1</v>
      </c>
      <c r="E78" s="1186">
        <v>9</v>
      </c>
    </row>
    <row r="79" spans="1:5" x14ac:dyDescent="0.2">
      <c r="A79" s="1186" t="s">
        <v>13</v>
      </c>
      <c r="B79" s="1186" t="s">
        <v>32</v>
      </c>
      <c r="C79" s="1186">
        <v>30</v>
      </c>
      <c r="D79" s="1186">
        <v>1</v>
      </c>
      <c r="E79" s="1186">
        <v>29</v>
      </c>
    </row>
    <row r="80" spans="1:5" x14ac:dyDescent="0.2">
      <c r="A80" s="1186" t="s">
        <v>13</v>
      </c>
      <c r="B80" s="1186" t="s">
        <v>33</v>
      </c>
      <c r="C80" s="1186">
        <v>2</v>
      </c>
      <c r="D80" s="1186">
        <v>0</v>
      </c>
      <c r="E80" s="1186">
        <v>2</v>
      </c>
    </row>
    <row r="81" spans="1:5" x14ac:dyDescent="0.2">
      <c r="A81" s="1186" t="s">
        <v>13</v>
      </c>
      <c r="B81" s="1186" t="s">
        <v>34</v>
      </c>
      <c r="C81" s="1186">
        <v>17</v>
      </c>
      <c r="D81" s="1186">
        <v>0</v>
      </c>
      <c r="E81" s="1186">
        <v>17</v>
      </c>
    </row>
    <row r="82" spans="1:5" x14ac:dyDescent="0.2">
      <c r="A82" s="1186" t="s">
        <v>13</v>
      </c>
      <c r="B82" s="1186" t="s">
        <v>35</v>
      </c>
      <c r="C82" s="1186">
        <v>9</v>
      </c>
      <c r="D82" s="1186">
        <v>7</v>
      </c>
      <c r="E82" s="1186">
        <v>2</v>
      </c>
    </row>
    <row r="83" spans="1:5" x14ac:dyDescent="0.2">
      <c r="A83" s="1186" t="s">
        <v>13</v>
      </c>
      <c r="B83" s="1186" t="s">
        <v>36</v>
      </c>
      <c r="C83" s="1186">
        <v>139</v>
      </c>
      <c r="D83" s="1186">
        <v>3</v>
      </c>
      <c r="E83" s="1186">
        <v>136</v>
      </c>
    </row>
    <row r="84" spans="1:5" x14ac:dyDescent="0.2">
      <c r="A84" s="1186" t="s">
        <v>13</v>
      </c>
      <c r="B84" s="1186" t="s">
        <v>37</v>
      </c>
      <c r="C84" s="1186">
        <v>250</v>
      </c>
      <c r="D84" s="1186">
        <v>18</v>
      </c>
      <c r="E84" s="1186">
        <v>232</v>
      </c>
    </row>
    <row r="85" spans="1:5" x14ac:dyDescent="0.2">
      <c r="A85" s="1186" t="s">
        <v>13</v>
      </c>
      <c r="B85" s="1186" t="s">
        <v>38</v>
      </c>
      <c r="C85" s="1186">
        <v>18</v>
      </c>
      <c r="D85" s="1186">
        <v>0</v>
      </c>
      <c r="E85" s="1186">
        <v>18</v>
      </c>
    </row>
    <row r="86" spans="1:5" x14ac:dyDescent="0.2">
      <c r="A86" s="1186" t="s">
        <v>13</v>
      </c>
      <c r="B86" s="1186" t="s">
        <v>39</v>
      </c>
      <c r="C86" s="1186">
        <v>26</v>
      </c>
      <c r="D86" s="1186">
        <v>1</v>
      </c>
      <c r="E86" s="1186">
        <v>25</v>
      </c>
    </row>
    <row r="87" spans="1:5" x14ac:dyDescent="0.2">
      <c r="A87" s="1186" t="s">
        <v>13</v>
      </c>
      <c r="B87" s="1186" t="s">
        <v>40</v>
      </c>
      <c r="C87" s="1186">
        <v>1</v>
      </c>
      <c r="D87" s="1186">
        <v>1</v>
      </c>
      <c r="E87" s="1186">
        <v>0</v>
      </c>
    </row>
    <row r="88" spans="1:5" x14ac:dyDescent="0.2">
      <c r="A88" s="1186" t="s">
        <v>13</v>
      </c>
      <c r="B88" s="1186" t="s">
        <v>295</v>
      </c>
      <c r="C88" s="1186">
        <v>16</v>
      </c>
      <c r="D88" s="1186">
        <v>0</v>
      </c>
      <c r="E88" s="1186">
        <v>16</v>
      </c>
    </row>
    <row r="89" spans="1:5" x14ac:dyDescent="0.2">
      <c r="A89" s="1186" t="s">
        <v>13</v>
      </c>
      <c r="B89" s="1186" t="s">
        <v>41</v>
      </c>
      <c r="C89" s="1186">
        <v>22</v>
      </c>
      <c r="D89" s="1186">
        <v>0</v>
      </c>
      <c r="E89" s="1186">
        <v>22</v>
      </c>
    </row>
    <row r="90" spans="1:5" x14ac:dyDescent="0.2">
      <c r="A90" s="1186" t="s">
        <v>13</v>
      </c>
      <c r="B90" s="1186" t="s">
        <v>42</v>
      </c>
      <c r="C90" s="1186">
        <v>46</v>
      </c>
      <c r="D90" s="1186">
        <v>0</v>
      </c>
      <c r="E90" s="1186">
        <v>46</v>
      </c>
    </row>
    <row r="91" spans="1:5" x14ac:dyDescent="0.2">
      <c r="A91" s="1186" t="s">
        <v>13</v>
      </c>
      <c r="B91" s="1186" t="s">
        <v>43</v>
      </c>
      <c r="C91" s="1186">
        <v>15</v>
      </c>
      <c r="D91" s="1186">
        <v>0</v>
      </c>
      <c r="E91" s="1186">
        <v>15</v>
      </c>
    </row>
    <row r="92" spans="1:5" x14ac:dyDescent="0.2">
      <c r="A92" s="1186" t="s">
        <v>13</v>
      </c>
      <c r="B92" s="1186" t="s">
        <v>44</v>
      </c>
      <c r="C92" s="1186">
        <v>50</v>
      </c>
      <c r="D92" s="1186">
        <v>0</v>
      </c>
      <c r="E92" s="1186">
        <v>50</v>
      </c>
    </row>
    <row r="93" spans="1:5" x14ac:dyDescent="0.2">
      <c r="A93" s="1186" t="s">
        <v>13</v>
      </c>
      <c r="B93" s="1186" t="s">
        <v>45</v>
      </c>
      <c r="C93" s="1186">
        <v>33</v>
      </c>
      <c r="D93" s="1186">
        <v>1</v>
      </c>
      <c r="E93" s="1186">
        <v>32</v>
      </c>
    </row>
    <row r="94" spans="1:5" x14ac:dyDescent="0.2">
      <c r="A94" s="1186" t="s">
        <v>13</v>
      </c>
      <c r="B94" s="1186" t="s">
        <v>46</v>
      </c>
      <c r="C94" s="1186">
        <v>41</v>
      </c>
      <c r="D94" s="1186">
        <v>3</v>
      </c>
      <c r="E94" s="1186">
        <v>38</v>
      </c>
    </row>
    <row r="95" spans="1:5" x14ac:dyDescent="0.2">
      <c r="A95" s="1186" t="s">
        <v>13</v>
      </c>
      <c r="B95" s="1186" t="s">
        <v>47</v>
      </c>
      <c r="C95" s="1186">
        <v>8</v>
      </c>
      <c r="D95" s="1186">
        <v>0</v>
      </c>
      <c r="E95" s="1186">
        <v>8</v>
      </c>
    </row>
    <row r="96" spans="1:5" x14ac:dyDescent="0.2">
      <c r="A96" s="1186" t="s">
        <v>13</v>
      </c>
      <c r="B96" s="1186" t="s">
        <v>48</v>
      </c>
      <c r="C96" s="1186">
        <v>9</v>
      </c>
      <c r="D96" s="1186">
        <v>1</v>
      </c>
      <c r="E96" s="1186">
        <v>8</v>
      </c>
    </row>
    <row r="97" spans="1:5" x14ac:dyDescent="0.2">
      <c r="A97" s="1186" t="s">
        <v>13</v>
      </c>
      <c r="B97" s="1186" t="s">
        <v>49</v>
      </c>
      <c r="C97" s="1186">
        <v>37</v>
      </c>
      <c r="D97" s="1186">
        <v>0</v>
      </c>
      <c r="E97" s="1186">
        <v>37</v>
      </c>
    </row>
    <row r="98" spans="1:5" x14ac:dyDescent="0.2">
      <c r="A98" s="1186" t="s">
        <v>13</v>
      </c>
      <c r="B98" s="1186" t="s">
        <v>50</v>
      </c>
      <c r="C98" s="1186">
        <v>17</v>
      </c>
      <c r="D98" s="1186">
        <v>0</v>
      </c>
      <c r="E98" s="1186">
        <v>17</v>
      </c>
    </row>
    <row r="99" spans="1:5" x14ac:dyDescent="0.2">
      <c r="A99" s="1186" t="s">
        <v>13</v>
      </c>
      <c r="B99" s="1186" t="s">
        <v>51</v>
      </c>
      <c r="C99" s="1186">
        <v>35</v>
      </c>
      <c r="D99" s="1186">
        <v>3</v>
      </c>
      <c r="E99" s="1186">
        <v>32</v>
      </c>
    </row>
    <row r="100" spans="1:5" x14ac:dyDescent="0.2">
      <c r="A100" s="1186" t="s">
        <v>13</v>
      </c>
      <c r="B100" s="1186" t="s">
        <v>52</v>
      </c>
      <c r="C100" s="1186">
        <v>33</v>
      </c>
      <c r="D100" s="1186">
        <v>4</v>
      </c>
      <c r="E100" s="1186">
        <v>29</v>
      </c>
    </row>
    <row r="101" spans="1:5" x14ac:dyDescent="0.2">
      <c r="A101" s="1186" t="s">
        <v>15</v>
      </c>
      <c r="B101" s="1186" t="s">
        <v>23</v>
      </c>
      <c r="C101" s="1186">
        <v>8</v>
      </c>
      <c r="D101" s="1186">
        <v>0</v>
      </c>
      <c r="E101" s="1186">
        <v>8</v>
      </c>
    </row>
    <row r="102" spans="1:5" x14ac:dyDescent="0.2">
      <c r="A102" s="1186" t="s">
        <v>15</v>
      </c>
      <c r="B102" s="1186" t="s">
        <v>24</v>
      </c>
      <c r="C102" s="1186">
        <v>3</v>
      </c>
      <c r="D102" s="1186">
        <v>0</v>
      </c>
      <c r="E102" s="1186">
        <v>3</v>
      </c>
    </row>
    <row r="103" spans="1:5" x14ac:dyDescent="0.2">
      <c r="A103" s="1186" t="s">
        <v>15</v>
      </c>
      <c r="B103" s="1186" t="s">
        <v>25</v>
      </c>
      <c r="C103" s="1186">
        <v>10</v>
      </c>
      <c r="D103" s="1186">
        <v>1</v>
      </c>
      <c r="E103" s="1186">
        <v>9</v>
      </c>
    </row>
    <row r="104" spans="1:5" x14ac:dyDescent="0.2">
      <c r="A104" s="1186" t="s">
        <v>15</v>
      </c>
      <c r="B104" s="1186" t="s">
        <v>26</v>
      </c>
      <c r="C104" s="1186">
        <v>44</v>
      </c>
      <c r="D104" s="1186">
        <v>0</v>
      </c>
      <c r="E104" s="1186">
        <v>44</v>
      </c>
    </row>
    <row r="105" spans="1:5" x14ac:dyDescent="0.2">
      <c r="A105" s="1186" t="s">
        <v>15</v>
      </c>
      <c r="B105" s="1186" t="s">
        <v>619</v>
      </c>
      <c r="C105" s="1186">
        <v>77</v>
      </c>
      <c r="D105" s="1186">
        <v>3</v>
      </c>
      <c r="E105" s="1186">
        <v>74</v>
      </c>
    </row>
    <row r="106" spans="1:5" x14ac:dyDescent="0.2">
      <c r="A106" s="1186" t="s">
        <v>15</v>
      </c>
      <c r="B106" s="1186" t="s">
        <v>27</v>
      </c>
      <c r="C106" s="1186">
        <v>2</v>
      </c>
      <c r="D106" s="1186">
        <v>0</v>
      </c>
      <c r="E106" s="1186">
        <v>2</v>
      </c>
    </row>
    <row r="107" spans="1:5" x14ac:dyDescent="0.2">
      <c r="A107" s="1186" t="s">
        <v>15</v>
      </c>
      <c r="B107" s="1186" t="s">
        <v>28</v>
      </c>
      <c r="C107" s="1186">
        <v>2</v>
      </c>
      <c r="D107" s="1186">
        <v>0</v>
      </c>
      <c r="E107" s="1186">
        <v>2</v>
      </c>
    </row>
    <row r="108" spans="1:5" x14ac:dyDescent="0.2">
      <c r="A108" s="1186" t="s">
        <v>15</v>
      </c>
      <c r="B108" s="1186" t="s">
        <v>29</v>
      </c>
      <c r="C108" s="1186">
        <v>14</v>
      </c>
      <c r="D108" s="1186">
        <v>2</v>
      </c>
      <c r="E108" s="1186">
        <v>12</v>
      </c>
    </row>
    <row r="109" spans="1:5" x14ac:dyDescent="0.2">
      <c r="A109" s="1186" t="s">
        <v>15</v>
      </c>
      <c r="B109" s="1186" t="s">
        <v>30</v>
      </c>
      <c r="C109" s="1186">
        <v>11</v>
      </c>
      <c r="D109" s="1186">
        <v>0</v>
      </c>
      <c r="E109" s="1186">
        <v>11</v>
      </c>
    </row>
    <row r="110" spans="1:5" x14ac:dyDescent="0.2">
      <c r="A110" s="1186" t="s">
        <v>15</v>
      </c>
      <c r="B110" s="1186" t="s">
        <v>31</v>
      </c>
      <c r="C110" s="1186">
        <v>13</v>
      </c>
      <c r="D110" s="1186">
        <v>0</v>
      </c>
      <c r="E110" s="1186">
        <v>13</v>
      </c>
    </row>
    <row r="111" spans="1:5" x14ac:dyDescent="0.2">
      <c r="A111" s="1186" t="s">
        <v>15</v>
      </c>
      <c r="B111" s="1186" t="s">
        <v>32</v>
      </c>
      <c r="C111" s="1186">
        <v>4</v>
      </c>
      <c r="D111" s="1186">
        <v>0</v>
      </c>
      <c r="E111" s="1186">
        <v>4</v>
      </c>
    </row>
    <row r="112" spans="1:5" x14ac:dyDescent="0.2">
      <c r="A112" s="1186" t="s">
        <v>15</v>
      </c>
      <c r="B112" s="1186" t="s">
        <v>33</v>
      </c>
      <c r="C112" s="1186">
        <v>6</v>
      </c>
      <c r="D112" s="1186">
        <v>0</v>
      </c>
      <c r="E112" s="1186">
        <v>6</v>
      </c>
    </row>
    <row r="113" spans="1:5" x14ac:dyDescent="0.2">
      <c r="A113" s="1186" t="s">
        <v>15</v>
      </c>
      <c r="B113" s="1186" t="s">
        <v>34</v>
      </c>
      <c r="C113" s="1186">
        <v>13</v>
      </c>
      <c r="D113" s="1186">
        <v>0</v>
      </c>
      <c r="E113" s="1186">
        <v>13</v>
      </c>
    </row>
    <row r="114" spans="1:5" x14ac:dyDescent="0.2">
      <c r="A114" s="1186" t="s">
        <v>15</v>
      </c>
      <c r="B114" s="1186" t="s">
        <v>35</v>
      </c>
      <c r="C114" s="1186">
        <v>1</v>
      </c>
      <c r="D114" s="1186">
        <v>0</v>
      </c>
      <c r="E114" s="1186">
        <v>1</v>
      </c>
    </row>
    <row r="115" spans="1:5" x14ac:dyDescent="0.2">
      <c r="A115" s="1186" t="s">
        <v>15</v>
      </c>
      <c r="B115" s="1186" t="s">
        <v>36</v>
      </c>
      <c r="C115" s="1186">
        <v>93</v>
      </c>
      <c r="D115" s="1186">
        <v>3</v>
      </c>
      <c r="E115" s="1186">
        <v>90</v>
      </c>
    </row>
    <row r="116" spans="1:5" x14ac:dyDescent="0.2">
      <c r="A116" s="1186" t="s">
        <v>15</v>
      </c>
      <c r="B116" s="1186" t="s">
        <v>37</v>
      </c>
      <c r="C116" s="1186">
        <v>98</v>
      </c>
      <c r="D116" s="1186">
        <v>2</v>
      </c>
      <c r="E116" s="1186">
        <v>96</v>
      </c>
    </row>
    <row r="117" spans="1:5" x14ac:dyDescent="0.2">
      <c r="A117" s="1186" t="s">
        <v>15</v>
      </c>
      <c r="B117" s="1186" t="s">
        <v>38</v>
      </c>
      <c r="C117" s="1186">
        <v>3</v>
      </c>
      <c r="D117" s="1186">
        <v>0</v>
      </c>
      <c r="E117" s="1186">
        <v>3</v>
      </c>
    </row>
    <row r="118" spans="1:5" x14ac:dyDescent="0.2">
      <c r="A118" s="1186" t="s">
        <v>15</v>
      </c>
      <c r="B118" s="1186" t="s">
        <v>39</v>
      </c>
      <c r="C118" s="1186">
        <v>4</v>
      </c>
      <c r="D118" s="1186">
        <v>1</v>
      </c>
      <c r="E118" s="1186">
        <v>3</v>
      </c>
    </row>
    <row r="119" spans="1:5" x14ac:dyDescent="0.2">
      <c r="A119" s="1186" t="s">
        <v>15</v>
      </c>
      <c r="B119" s="1186" t="s">
        <v>40</v>
      </c>
      <c r="C119" s="1186">
        <v>7</v>
      </c>
      <c r="D119" s="1186">
        <v>0</v>
      </c>
      <c r="E119" s="1186">
        <v>7</v>
      </c>
    </row>
    <row r="120" spans="1:5" x14ac:dyDescent="0.2">
      <c r="A120" s="1186" t="s">
        <v>15</v>
      </c>
      <c r="B120" s="1186" t="s">
        <v>41</v>
      </c>
      <c r="C120" s="1186">
        <v>10</v>
      </c>
      <c r="D120" s="1186">
        <v>0</v>
      </c>
      <c r="E120" s="1186">
        <v>10</v>
      </c>
    </row>
    <row r="121" spans="1:5" x14ac:dyDescent="0.2">
      <c r="A121" s="1186" t="s">
        <v>15</v>
      </c>
      <c r="B121" s="1186" t="s">
        <v>42</v>
      </c>
      <c r="C121" s="1186">
        <v>38</v>
      </c>
      <c r="D121" s="1186">
        <v>0</v>
      </c>
      <c r="E121" s="1186">
        <v>38</v>
      </c>
    </row>
    <row r="122" spans="1:5" x14ac:dyDescent="0.2">
      <c r="A122" s="1186" t="s">
        <v>15</v>
      </c>
      <c r="B122" s="1186" t="s">
        <v>43</v>
      </c>
      <c r="C122" s="1186">
        <v>9</v>
      </c>
      <c r="D122" s="1186">
        <v>0</v>
      </c>
      <c r="E122" s="1186">
        <v>9</v>
      </c>
    </row>
    <row r="123" spans="1:5" x14ac:dyDescent="0.2">
      <c r="A123" s="1186" t="s">
        <v>15</v>
      </c>
      <c r="B123" s="1186" t="s">
        <v>44</v>
      </c>
      <c r="C123" s="1186">
        <v>7</v>
      </c>
      <c r="D123" s="1186">
        <v>0</v>
      </c>
      <c r="E123" s="1186">
        <v>7</v>
      </c>
    </row>
    <row r="124" spans="1:5" x14ac:dyDescent="0.2">
      <c r="A124" s="1186" t="s">
        <v>15</v>
      </c>
      <c r="B124" s="1186" t="s">
        <v>45</v>
      </c>
      <c r="C124" s="1186">
        <v>46</v>
      </c>
      <c r="D124" s="1186">
        <v>2</v>
      </c>
      <c r="E124" s="1186">
        <v>44</v>
      </c>
    </row>
    <row r="125" spans="1:5" x14ac:dyDescent="0.2">
      <c r="A125" s="1186" t="s">
        <v>15</v>
      </c>
      <c r="B125" s="1186" t="s">
        <v>46</v>
      </c>
      <c r="C125" s="1186">
        <v>26</v>
      </c>
      <c r="D125" s="1186">
        <v>0</v>
      </c>
      <c r="E125" s="1186">
        <v>26</v>
      </c>
    </row>
    <row r="126" spans="1:5" x14ac:dyDescent="0.2">
      <c r="A126" s="1186" t="s">
        <v>15</v>
      </c>
      <c r="B126" s="1186" t="s">
        <v>47</v>
      </c>
      <c r="C126" s="1186">
        <v>3</v>
      </c>
      <c r="D126" s="1186">
        <v>0</v>
      </c>
      <c r="E126" s="1186">
        <v>3</v>
      </c>
    </row>
    <row r="127" spans="1:5" x14ac:dyDescent="0.2">
      <c r="A127" s="1186" t="s">
        <v>15</v>
      </c>
      <c r="B127" s="1186" t="s">
        <v>48</v>
      </c>
      <c r="C127" s="1186">
        <v>10</v>
      </c>
      <c r="D127" s="1186">
        <v>0</v>
      </c>
      <c r="E127" s="1186">
        <v>10</v>
      </c>
    </row>
    <row r="128" spans="1:5" x14ac:dyDescent="0.2">
      <c r="A128" s="1186" t="s">
        <v>15</v>
      </c>
      <c r="B128" s="1186" t="s">
        <v>49</v>
      </c>
      <c r="C128" s="1186">
        <v>39</v>
      </c>
      <c r="D128" s="1186">
        <v>1</v>
      </c>
      <c r="E128" s="1186">
        <v>38</v>
      </c>
    </row>
    <row r="129" spans="1:5" x14ac:dyDescent="0.2">
      <c r="A129" s="1186" t="s">
        <v>15</v>
      </c>
      <c r="B129" s="1186" t="s">
        <v>50</v>
      </c>
      <c r="C129" s="1186">
        <v>5</v>
      </c>
      <c r="D129" s="1186">
        <v>2</v>
      </c>
      <c r="E129" s="1186">
        <v>3</v>
      </c>
    </row>
    <row r="130" spans="1:5" x14ac:dyDescent="0.2">
      <c r="A130" s="1186" t="s">
        <v>15</v>
      </c>
      <c r="B130" s="1186" t="s">
        <v>51</v>
      </c>
      <c r="C130" s="1186">
        <v>14</v>
      </c>
      <c r="D130" s="1186">
        <v>1</v>
      </c>
      <c r="E130" s="1186">
        <v>13</v>
      </c>
    </row>
    <row r="131" spans="1:5" x14ac:dyDescent="0.2">
      <c r="A131" s="1186" t="s">
        <v>15</v>
      </c>
      <c r="B131" s="1186" t="s">
        <v>52</v>
      </c>
      <c r="C131" s="1186">
        <v>18</v>
      </c>
      <c r="D131" s="1186">
        <v>0</v>
      </c>
      <c r="E131" s="1186">
        <v>18</v>
      </c>
    </row>
    <row r="132" spans="1:5" x14ac:dyDescent="0.2">
      <c r="A132" s="1186" t="s">
        <v>17</v>
      </c>
      <c r="B132" s="1186" t="s">
        <v>23</v>
      </c>
      <c r="C132" s="1186">
        <v>20</v>
      </c>
      <c r="D132" s="1186">
        <v>2</v>
      </c>
      <c r="E132" s="1186">
        <v>18</v>
      </c>
    </row>
    <row r="133" spans="1:5" x14ac:dyDescent="0.2">
      <c r="A133" s="1186" t="s">
        <v>17</v>
      </c>
      <c r="B133" s="1186" t="s">
        <v>24</v>
      </c>
      <c r="C133" s="1186">
        <v>5</v>
      </c>
      <c r="D133" s="1186">
        <v>0</v>
      </c>
      <c r="E133" s="1186">
        <v>5</v>
      </c>
    </row>
    <row r="134" spans="1:5" x14ac:dyDescent="0.2">
      <c r="A134" s="1186" t="s">
        <v>17</v>
      </c>
      <c r="B134" s="1186" t="s">
        <v>25</v>
      </c>
      <c r="C134" s="1186">
        <v>9</v>
      </c>
      <c r="D134" s="1186">
        <v>0</v>
      </c>
      <c r="E134" s="1186">
        <v>9</v>
      </c>
    </row>
    <row r="135" spans="1:5" x14ac:dyDescent="0.2">
      <c r="A135" s="1186" t="s">
        <v>17</v>
      </c>
      <c r="B135" s="1186" t="s">
        <v>26</v>
      </c>
      <c r="C135" s="1186">
        <v>21</v>
      </c>
      <c r="D135" s="1186">
        <v>0</v>
      </c>
      <c r="E135" s="1186">
        <v>21</v>
      </c>
    </row>
    <row r="136" spans="1:5" x14ac:dyDescent="0.2">
      <c r="A136" s="1186" t="s">
        <v>17</v>
      </c>
      <c r="B136" s="1186" t="s">
        <v>619</v>
      </c>
      <c r="C136" s="1186">
        <v>55</v>
      </c>
      <c r="D136" s="1186">
        <v>2</v>
      </c>
      <c r="E136" s="1186">
        <v>53</v>
      </c>
    </row>
    <row r="137" spans="1:5" x14ac:dyDescent="0.2">
      <c r="A137" s="1186" t="s">
        <v>17</v>
      </c>
      <c r="B137" s="1186" t="s">
        <v>27</v>
      </c>
      <c r="C137" s="1186">
        <v>3</v>
      </c>
      <c r="D137" s="1186">
        <v>0</v>
      </c>
      <c r="E137" s="1186">
        <v>3</v>
      </c>
    </row>
    <row r="138" spans="1:5" x14ac:dyDescent="0.2">
      <c r="A138" s="1186" t="s">
        <v>17</v>
      </c>
      <c r="B138" s="1186" t="s">
        <v>28</v>
      </c>
      <c r="C138" s="1186">
        <v>4</v>
      </c>
      <c r="D138" s="1186">
        <v>0</v>
      </c>
      <c r="E138" s="1186">
        <v>4</v>
      </c>
    </row>
    <row r="139" spans="1:5" x14ac:dyDescent="0.2">
      <c r="A139" s="1186" t="s">
        <v>17</v>
      </c>
      <c r="B139" s="1186" t="s">
        <v>29</v>
      </c>
      <c r="C139" s="1186">
        <v>10</v>
      </c>
      <c r="D139" s="1186">
        <v>0</v>
      </c>
      <c r="E139" s="1186">
        <v>10</v>
      </c>
    </row>
    <row r="140" spans="1:5" x14ac:dyDescent="0.2">
      <c r="A140" s="1186" t="s">
        <v>17</v>
      </c>
      <c r="B140" s="1186" t="s">
        <v>30</v>
      </c>
      <c r="C140" s="1186">
        <v>11</v>
      </c>
      <c r="D140" s="1186">
        <v>0</v>
      </c>
      <c r="E140" s="1186">
        <v>11</v>
      </c>
    </row>
    <row r="141" spans="1:5" x14ac:dyDescent="0.2">
      <c r="A141" s="1186" t="s">
        <v>17</v>
      </c>
      <c r="B141" s="1186" t="s">
        <v>31</v>
      </c>
      <c r="C141" s="1186">
        <v>5</v>
      </c>
      <c r="D141" s="1186">
        <v>1</v>
      </c>
      <c r="E141" s="1186">
        <v>4</v>
      </c>
    </row>
    <row r="142" spans="1:5" x14ac:dyDescent="0.2">
      <c r="A142" s="1186" t="s">
        <v>17</v>
      </c>
      <c r="B142" s="1186" t="s">
        <v>32</v>
      </c>
      <c r="C142" s="1186">
        <v>7</v>
      </c>
      <c r="D142" s="1186">
        <v>0</v>
      </c>
      <c r="E142" s="1186">
        <v>7</v>
      </c>
    </row>
    <row r="143" spans="1:5" x14ac:dyDescent="0.2">
      <c r="A143" s="1186" t="s">
        <v>17</v>
      </c>
      <c r="B143" s="1186" t="s">
        <v>33</v>
      </c>
      <c r="C143" s="1186">
        <v>6</v>
      </c>
      <c r="D143" s="1186">
        <v>0</v>
      </c>
      <c r="E143" s="1186">
        <v>6</v>
      </c>
    </row>
    <row r="144" spans="1:5" x14ac:dyDescent="0.2">
      <c r="A144" s="1186" t="s">
        <v>17</v>
      </c>
      <c r="B144" s="1186" t="s">
        <v>34</v>
      </c>
      <c r="C144" s="1186">
        <v>10</v>
      </c>
      <c r="D144" s="1186">
        <v>0</v>
      </c>
      <c r="E144" s="1186">
        <v>10</v>
      </c>
    </row>
    <row r="145" spans="1:5" x14ac:dyDescent="0.2">
      <c r="A145" s="1186" t="s">
        <v>17</v>
      </c>
      <c r="B145" s="1186" t="s">
        <v>35</v>
      </c>
      <c r="C145" s="1186">
        <v>1</v>
      </c>
      <c r="D145" s="1186">
        <v>0</v>
      </c>
      <c r="E145" s="1186">
        <v>1</v>
      </c>
    </row>
    <row r="146" spans="1:5" x14ac:dyDescent="0.2">
      <c r="A146" s="1186" t="s">
        <v>17</v>
      </c>
      <c r="B146" s="1186" t="s">
        <v>36</v>
      </c>
      <c r="C146" s="1186">
        <v>102</v>
      </c>
      <c r="D146" s="1186">
        <v>7</v>
      </c>
      <c r="E146" s="1186">
        <v>95</v>
      </c>
    </row>
    <row r="147" spans="1:5" x14ac:dyDescent="0.2">
      <c r="A147" s="1186" t="s">
        <v>17</v>
      </c>
      <c r="B147" s="1186" t="s">
        <v>37</v>
      </c>
      <c r="C147" s="1186">
        <v>45</v>
      </c>
      <c r="D147" s="1186">
        <v>0</v>
      </c>
      <c r="E147" s="1186">
        <v>45</v>
      </c>
    </row>
    <row r="148" spans="1:5" x14ac:dyDescent="0.2">
      <c r="A148" s="1186" t="s">
        <v>17</v>
      </c>
      <c r="B148" s="1186" t="s">
        <v>38</v>
      </c>
      <c r="C148" s="1186">
        <v>7</v>
      </c>
      <c r="D148" s="1186">
        <v>0</v>
      </c>
      <c r="E148" s="1186">
        <v>7</v>
      </c>
    </row>
    <row r="149" spans="1:5" x14ac:dyDescent="0.2">
      <c r="A149" s="1186" t="s">
        <v>17</v>
      </c>
      <c r="B149" s="1186" t="s">
        <v>39</v>
      </c>
      <c r="C149" s="1186">
        <v>3</v>
      </c>
      <c r="D149" s="1186">
        <v>0</v>
      </c>
      <c r="E149" s="1186">
        <v>3</v>
      </c>
    </row>
    <row r="150" spans="1:5" x14ac:dyDescent="0.2">
      <c r="A150" s="1186" t="s">
        <v>17</v>
      </c>
      <c r="B150" s="1186" t="s">
        <v>40</v>
      </c>
      <c r="C150" s="1186">
        <v>1</v>
      </c>
      <c r="D150" s="1186">
        <v>1</v>
      </c>
      <c r="E150" s="1186">
        <v>0</v>
      </c>
    </row>
    <row r="151" spans="1:5" x14ac:dyDescent="0.2">
      <c r="A151" s="1186" t="s">
        <v>17</v>
      </c>
      <c r="B151" s="1186" t="s">
        <v>295</v>
      </c>
      <c r="C151" s="1186">
        <v>2</v>
      </c>
      <c r="D151" s="1186">
        <v>0</v>
      </c>
      <c r="E151" s="1186">
        <v>2</v>
      </c>
    </row>
    <row r="152" spans="1:5" x14ac:dyDescent="0.2">
      <c r="A152" s="1186" t="s">
        <v>17</v>
      </c>
      <c r="B152" s="1186" t="s">
        <v>41</v>
      </c>
      <c r="C152" s="1186">
        <v>13</v>
      </c>
      <c r="D152" s="1186">
        <v>0</v>
      </c>
      <c r="E152" s="1186">
        <v>13</v>
      </c>
    </row>
    <row r="153" spans="1:5" x14ac:dyDescent="0.2">
      <c r="A153" s="1186" t="s">
        <v>17</v>
      </c>
      <c r="B153" s="1186" t="s">
        <v>42</v>
      </c>
      <c r="C153" s="1186">
        <v>37</v>
      </c>
      <c r="D153" s="1186">
        <v>0</v>
      </c>
      <c r="E153" s="1186">
        <v>37</v>
      </c>
    </row>
    <row r="154" spans="1:5" x14ac:dyDescent="0.2">
      <c r="A154" s="1186" t="s">
        <v>17</v>
      </c>
      <c r="B154" s="1186" t="s">
        <v>43</v>
      </c>
      <c r="C154" s="1186">
        <v>7</v>
      </c>
      <c r="D154" s="1186">
        <v>0</v>
      </c>
      <c r="E154" s="1186">
        <v>7</v>
      </c>
    </row>
    <row r="155" spans="1:5" x14ac:dyDescent="0.2">
      <c r="A155" s="1186" t="s">
        <v>17</v>
      </c>
      <c r="B155" s="1186" t="s">
        <v>44</v>
      </c>
      <c r="C155" s="1186">
        <v>10</v>
      </c>
      <c r="D155" s="1186">
        <v>0</v>
      </c>
      <c r="E155" s="1186">
        <v>10</v>
      </c>
    </row>
    <row r="156" spans="1:5" x14ac:dyDescent="0.2">
      <c r="A156" s="1186" t="s">
        <v>17</v>
      </c>
      <c r="B156" s="1186" t="s">
        <v>45</v>
      </c>
      <c r="C156" s="1186">
        <v>47</v>
      </c>
      <c r="D156" s="1186">
        <v>1</v>
      </c>
      <c r="E156" s="1186">
        <v>46</v>
      </c>
    </row>
    <row r="157" spans="1:5" x14ac:dyDescent="0.2">
      <c r="A157" s="1186" t="s">
        <v>17</v>
      </c>
      <c r="B157" s="1186" t="s">
        <v>46</v>
      </c>
      <c r="C157" s="1186">
        <v>14</v>
      </c>
      <c r="D157" s="1186">
        <v>1</v>
      </c>
      <c r="E157" s="1186">
        <v>13</v>
      </c>
    </row>
    <row r="158" spans="1:5" x14ac:dyDescent="0.2">
      <c r="A158" s="1186" t="s">
        <v>17</v>
      </c>
      <c r="B158" s="1186" t="s">
        <v>47</v>
      </c>
      <c r="C158" s="1186">
        <v>2</v>
      </c>
      <c r="D158" s="1186">
        <v>0</v>
      </c>
      <c r="E158" s="1186">
        <v>2</v>
      </c>
    </row>
    <row r="159" spans="1:5" x14ac:dyDescent="0.2">
      <c r="A159" s="1186" t="s">
        <v>17</v>
      </c>
      <c r="B159" s="1186" t="s">
        <v>48</v>
      </c>
      <c r="C159" s="1186">
        <v>15</v>
      </c>
      <c r="D159" s="1186">
        <v>0</v>
      </c>
      <c r="E159" s="1186">
        <v>15</v>
      </c>
    </row>
    <row r="160" spans="1:5" x14ac:dyDescent="0.2">
      <c r="A160" s="1186" t="s">
        <v>17</v>
      </c>
      <c r="B160" s="1186" t="s">
        <v>49</v>
      </c>
      <c r="C160" s="1186">
        <v>26</v>
      </c>
      <c r="D160" s="1186">
        <v>0</v>
      </c>
      <c r="E160" s="1186">
        <v>26</v>
      </c>
    </row>
    <row r="161" spans="1:5" x14ac:dyDescent="0.2">
      <c r="A161" s="1186" t="s">
        <v>17</v>
      </c>
      <c r="B161" s="1186" t="s">
        <v>50</v>
      </c>
      <c r="C161" s="1186">
        <v>8</v>
      </c>
      <c r="D161" s="1186">
        <v>0</v>
      </c>
      <c r="E161" s="1186">
        <v>8</v>
      </c>
    </row>
    <row r="162" spans="1:5" x14ac:dyDescent="0.2">
      <c r="A162" s="1186" t="s">
        <v>17</v>
      </c>
      <c r="B162" s="1186" t="s">
        <v>51</v>
      </c>
      <c r="C162" s="1186">
        <v>11</v>
      </c>
      <c r="D162" s="1186">
        <v>0</v>
      </c>
      <c r="E162" s="1186">
        <v>11</v>
      </c>
    </row>
    <row r="163" spans="1:5" x14ac:dyDescent="0.2">
      <c r="A163" s="1186" t="s">
        <v>17</v>
      </c>
      <c r="B163" s="1186" t="s">
        <v>52</v>
      </c>
      <c r="C163" s="1186">
        <v>15</v>
      </c>
      <c r="D163" s="1186">
        <v>0</v>
      </c>
      <c r="E163" s="1186">
        <v>15</v>
      </c>
    </row>
    <row r="164" spans="1:5" x14ac:dyDescent="0.2">
      <c r="A164" s="1186" t="s">
        <v>133</v>
      </c>
      <c r="B164" s="1186" t="s">
        <v>23</v>
      </c>
      <c r="C164" s="1186">
        <v>27</v>
      </c>
      <c r="D164" s="1186">
        <v>4</v>
      </c>
      <c r="E164" s="1186">
        <v>23</v>
      </c>
    </row>
    <row r="165" spans="1:5" x14ac:dyDescent="0.2">
      <c r="A165" s="1186" t="s">
        <v>133</v>
      </c>
      <c r="B165" s="1186" t="s">
        <v>24</v>
      </c>
      <c r="C165" s="1186">
        <v>9</v>
      </c>
      <c r="D165" s="1186">
        <v>0</v>
      </c>
      <c r="E165" s="1186">
        <v>9</v>
      </c>
    </row>
    <row r="166" spans="1:5" x14ac:dyDescent="0.2">
      <c r="A166" s="1186" t="s">
        <v>133</v>
      </c>
      <c r="B166" s="1186" t="s">
        <v>25</v>
      </c>
      <c r="C166" s="1186">
        <v>6</v>
      </c>
      <c r="D166" s="1186">
        <v>0</v>
      </c>
      <c r="E166" s="1186">
        <v>6</v>
      </c>
    </row>
    <row r="167" spans="1:5" x14ac:dyDescent="0.2">
      <c r="A167" s="1186" t="s">
        <v>133</v>
      </c>
      <c r="B167" s="1186" t="s">
        <v>26</v>
      </c>
      <c r="C167" s="1186">
        <v>16</v>
      </c>
      <c r="D167" s="1186">
        <v>0</v>
      </c>
      <c r="E167" s="1186">
        <v>16</v>
      </c>
    </row>
    <row r="168" spans="1:5" x14ac:dyDescent="0.2">
      <c r="A168" s="1186" t="s">
        <v>133</v>
      </c>
      <c r="B168" s="1186" t="s">
        <v>619</v>
      </c>
      <c r="C168" s="1186">
        <v>63</v>
      </c>
      <c r="D168" s="1186">
        <v>3</v>
      </c>
      <c r="E168" s="1186">
        <v>60</v>
      </c>
    </row>
    <row r="169" spans="1:5" x14ac:dyDescent="0.2">
      <c r="A169" s="1186" t="s">
        <v>133</v>
      </c>
      <c r="B169" s="1186" t="s">
        <v>27</v>
      </c>
      <c r="C169" s="1186">
        <v>5</v>
      </c>
      <c r="D169" s="1186">
        <v>0</v>
      </c>
      <c r="E169" s="1186">
        <v>5</v>
      </c>
    </row>
    <row r="170" spans="1:5" x14ac:dyDescent="0.2">
      <c r="A170" s="1186" t="s">
        <v>133</v>
      </c>
      <c r="B170" s="1186" t="s">
        <v>28</v>
      </c>
      <c r="C170" s="1186">
        <v>15</v>
      </c>
      <c r="D170" s="1186">
        <v>0</v>
      </c>
      <c r="E170" s="1186">
        <v>15</v>
      </c>
    </row>
    <row r="171" spans="1:5" x14ac:dyDescent="0.2">
      <c r="A171" s="1186" t="s">
        <v>133</v>
      </c>
      <c r="B171" s="1186" t="s">
        <v>29</v>
      </c>
      <c r="C171" s="1186">
        <v>13</v>
      </c>
      <c r="D171" s="1186">
        <v>0</v>
      </c>
      <c r="E171" s="1186">
        <v>13</v>
      </c>
    </row>
    <row r="172" spans="1:5" x14ac:dyDescent="0.2">
      <c r="A172" s="1186" t="s">
        <v>133</v>
      </c>
      <c r="B172" s="1186" t="s">
        <v>30</v>
      </c>
      <c r="C172" s="1186">
        <v>12</v>
      </c>
      <c r="D172" s="1186">
        <v>1</v>
      </c>
      <c r="E172" s="1186">
        <v>11</v>
      </c>
    </row>
    <row r="173" spans="1:5" x14ac:dyDescent="0.2">
      <c r="A173" s="1186" t="s">
        <v>133</v>
      </c>
      <c r="B173" s="1186" t="s">
        <v>31</v>
      </c>
      <c r="C173" s="1186">
        <v>7</v>
      </c>
      <c r="D173" s="1186">
        <v>0</v>
      </c>
      <c r="E173" s="1186">
        <v>7</v>
      </c>
    </row>
    <row r="174" spans="1:5" x14ac:dyDescent="0.2">
      <c r="A174" s="1186" t="s">
        <v>133</v>
      </c>
      <c r="B174" s="1186" t="s">
        <v>32</v>
      </c>
      <c r="C174" s="1186">
        <v>6</v>
      </c>
      <c r="D174" s="1186">
        <v>1</v>
      </c>
      <c r="E174" s="1186">
        <v>5</v>
      </c>
    </row>
    <row r="175" spans="1:5" x14ac:dyDescent="0.2">
      <c r="A175" s="1186" t="s">
        <v>133</v>
      </c>
      <c r="B175" s="1186" t="s">
        <v>33</v>
      </c>
      <c r="C175" s="1186">
        <v>6</v>
      </c>
      <c r="D175" s="1186">
        <v>0</v>
      </c>
      <c r="E175" s="1186">
        <v>6</v>
      </c>
    </row>
    <row r="176" spans="1:5" x14ac:dyDescent="0.2">
      <c r="A176" s="1186" t="s">
        <v>133</v>
      </c>
      <c r="B176" s="1186" t="s">
        <v>34</v>
      </c>
      <c r="C176" s="1186">
        <v>13</v>
      </c>
      <c r="D176" s="1186">
        <v>0</v>
      </c>
      <c r="E176" s="1186">
        <v>13</v>
      </c>
    </row>
    <row r="177" spans="1:5" x14ac:dyDescent="0.2">
      <c r="A177" s="1186" t="s">
        <v>133</v>
      </c>
      <c r="B177" s="1186" t="s">
        <v>35</v>
      </c>
      <c r="C177" s="1186">
        <v>19</v>
      </c>
      <c r="D177" s="1186">
        <v>2</v>
      </c>
      <c r="E177" s="1186">
        <v>17</v>
      </c>
    </row>
    <row r="178" spans="1:5" x14ac:dyDescent="0.2">
      <c r="A178" s="1186" t="s">
        <v>133</v>
      </c>
      <c r="B178" s="1186" t="s">
        <v>36</v>
      </c>
      <c r="C178" s="1186">
        <v>109</v>
      </c>
      <c r="D178" s="1186">
        <v>4</v>
      </c>
      <c r="E178" s="1186">
        <v>105</v>
      </c>
    </row>
    <row r="179" spans="1:5" x14ac:dyDescent="0.2">
      <c r="A179" s="1186" t="s">
        <v>133</v>
      </c>
      <c r="B179" s="1186" t="s">
        <v>37</v>
      </c>
      <c r="C179" s="1186">
        <v>46</v>
      </c>
      <c r="D179" s="1186">
        <v>0</v>
      </c>
      <c r="E179" s="1186">
        <v>46</v>
      </c>
    </row>
    <row r="180" spans="1:5" x14ac:dyDescent="0.2">
      <c r="A180" s="1186" t="s">
        <v>133</v>
      </c>
      <c r="B180" s="1186" t="s">
        <v>38</v>
      </c>
      <c r="C180" s="1186">
        <v>8</v>
      </c>
      <c r="D180" s="1186">
        <v>0</v>
      </c>
      <c r="E180" s="1186">
        <v>8</v>
      </c>
    </row>
    <row r="181" spans="1:5" x14ac:dyDescent="0.2">
      <c r="A181" s="1186" t="s">
        <v>133</v>
      </c>
      <c r="B181" s="1186" t="s">
        <v>39</v>
      </c>
      <c r="C181" s="1186">
        <v>4</v>
      </c>
      <c r="D181" s="1186">
        <v>0</v>
      </c>
      <c r="E181" s="1186">
        <v>4</v>
      </c>
    </row>
    <row r="182" spans="1:5" x14ac:dyDescent="0.2">
      <c r="A182" s="1186" t="s">
        <v>133</v>
      </c>
      <c r="B182" s="1186" t="s">
        <v>295</v>
      </c>
      <c r="C182" s="1186">
        <v>4</v>
      </c>
      <c r="D182" s="1186">
        <v>0</v>
      </c>
      <c r="E182" s="1186">
        <v>4</v>
      </c>
    </row>
    <row r="183" spans="1:5" x14ac:dyDescent="0.2">
      <c r="A183" s="1186" t="s">
        <v>133</v>
      </c>
      <c r="B183" s="1186" t="s">
        <v>41</v>
      </c>
      <c r="C183" s="1186">
        <v>40</v>
      </c>
      <c r="D183" s="1186">
        <v>1</v>
      </c>
      <c r="E183" s="1186">
        <v>39</v>
      </c>
    </row>
    <row r="184" spans="1:5" x14ac:dyDescent="0.2">
      <c r="A184" s="1186" t="s">
        <v>133</v>
      </c>
      <c r="B184" s="1186" t="s">
        <v>42</v>
      </c>
      <c r="C184" s="1186">
        <v>45</v>
      </c>
      <c r="D184" s="1186">
        <v>0</v>
      </c>
      <c r="E184" s="1186">
        <v>45</v>
      </c>
    </row>
    <row r="185" spans="1:5" x14ac:dyDescent="0.2">
      <c r="A185" s="1186" t="s">
        <v>133</v>
      </c>
      <c r="B185" s="1186" t="s">
        <v>43</v>
      </c>
      <c r="C185" s="1186">
        <v>14</v>
      </c>
      <c r="D185" s="1186">
        <v>1</v>
      </c>
      <c r="E185" s="1186">
        <v>13</v>
      </c>
    </row>
    <row r="186" spans="1:5" x14ac:dyDescent="0.2">
      <c r="A186" s="1186" t="s">
        <v>133</v>
      </c>
      <c r="B186" s="1186" t="s">
        <v>44</v>
      </c>
      <c r="C186" s="1186">
        <v>8</v>
      </c>
      <c r="D186" s="1186">
        <v>0</v>
      </c>
      <c r="E186" s="1186">
        <v>8</v>
      </c>
    </row>
    <row r="187" spans="1:5" x14ac:dyDescent="0.2">
      <c r="A187" s="1186" t="s">
        <v>133</v>
      </c>
      <c r="B187" s="1186" t="s">
        <v>45</v>
      </c>
      <c r="C187" s="1186">
        <v>21</v>
      </c>
      <c r="D187" s="1186">
        <v>0</v>
      </c>
      <c r="E187" s="1186">
        <v>21</v>
      </c>
    </row>
    <row r="188" spans="1:5" x14ac:dyDescent="0.2">
      <c r="A188" s="1186" t="s">
        <v>133</v>
      </c>
      <c r="B188" s="1186" t="s">
        <v>46</v>
      </c>
      <c r="C188" s="1186">
        <v>11</v>
      </c>
      <c r="D188" s="1186">
        <v>0</v>
      </c>
      <c r="E188" s="1186">
        <v>11</v>
      </c>
    </row>
    <row r="189" spans="1:5" x14ac:dyDescent="0.2">
      <c r="A189" s="1186" t="s">
        <v>133</v>
      </c>
      <c r="B189" s="1186" t="s">
        <v>47</v>
      </c>
      <c r="C189" s="1186">
        <v>3</v>
      </c>
      <c r="D189" s="1186">
        <v>0</v>
      </c>
      <c r="E189" s="1186">
        <v>3</v>
      </c>
    </row>
    <row r="190" spans="1:5" x14ac:dyDescent="0.2">
      <c r="A190" s="1186" t="s">
        <v>133</v>
      </c>
      <c r="B190" s="1186" t="s">
        <v>48</v>
      </c>
      <c r="C190" s="1186">
        <v>13</v>
      </c>
      <c r="D190" s="1186">
        <v>0</v>
      </c>
      <c r="E190" s="1186">
        <v>13</v>
      </c>
    </row>
    <row r="191" spans="1:5" x14ac:dyDescent="0.2">
      <c r="A191" s="1186" t="s">
        <v>133</v>
      </c>
      <c r="B191" s="1186" t="s">
        <v>49</v>
      </c>
      <c r="C191" s="1186">
        <v>43</v>
      </c>
      <c r="D191" s="1186">
        <v>1</v>
      </c>
      <c r="E191" s="1186">
        <v>42</v>
      </c>
    </row>
    <row r="192" spans="1:5" x14ac:dyDescent="0.2">
      <c r="A192" s="1186" t="s">
        <v>133</v>
      </c>
      <c r="B192" s="1186" t="s">
        <v>50</v>
      </c>
      <c r="C192" s="1186">
        <v>18</v>
      </c>
      <c r="D192" s="1186">
        <v>1</v>
      </c>
      <c r="E192" s="1186">
        <v>17</v>
      </c>
    </row>
    <row r="193" spans="1:5" x14ac:dyDescent="0.2">
      <c r="A193" s="1186" t="s">
        <v>133</v>
      </c>
      <c r="B193" s="1186" t="s">
        <v>51</v>
      </c>
      <c r="C193" s="1186">
        <v>21</v>
      </c>
      <c r="D193" s="1186">
        <v>0</v>
      </c>
      <c r="E193" s="1186">
        <v>21</v>
      </c>
    </row>
    <row r="194" spans="1:5" x14ac:dyDescent="0.2">
      <c r="A194" s="1186" t="s">
        <v>133</v>
      </c>
      <c r="B194" s="1186" t="s">
        <v>52</v>
      </c>
      <c r="C194" s="1186">
        <v>10</v>
      </c>
      <c r="D194" s="1186">
        <v>0</v>
      </c>
      <c r="E194" s="1186">
        <v>10</v>
      </c>
    </row>
    <row r="195" spans="1:5" x14ac:dyDescent="0.2">
      <c r="A195" s="1186" t="s">
        <v>144</v>
      </c>
      <c r="B195" s="1186" t="s">
        <v>23</v>
      </c>
      <c r="C195" s="1186">
        <v>27</v>
      </c>
      <c r="D195" s="1186">
        <v>3</v>
      </c>
      <c r="E195" s="1186">
        <v>24</v>
      </c>
    </row>
    <row r="196" spans="1:5" x14ac:dyDescent="0.2">
      <c r="A196" s="1186" t="s">
        <v>144</v>
      </c>
      <c r="B196" s="1186" t="s">
        <v>24</v>
      </c>
      <c r="C196" s="1186">
        <v>7</v>
      </c>
      <c r="D196" s="1186">
        <v>2</v>
      </c>
      <c r="E196" s="1186">
        <v>5</v>
      </c>
    </row>
    <row r="197" spans="1:5" x14ac:dyDescent="0.2">
      <c r="A197" s="1186" t="s">
        <v>144</v>
      </c>
      <c r="B197" s="1186" t="s">
        <v>25</v>
      </c>
      <c r="C197" s="1186">
        <v>4</v>
      </c>
      <c r="D197" s="1186">
        <v>0</v>
      </c>
      <c r="E197" s="1186">
        <v>4</v>
      </c>
    </row>
    <row r="198" spans="1:5" x14ac:dyDescent="0.2">
      <c r="A198" s="1186" t="s">
        <v>144</v>
      </c>
      <c r="B198" s="1186" t="s">
        <v>26</v>
      </c>
      <c r="C198" s="1186">
        <v>14</v>
      </c>
      <c r="D198" s="1186">
        <v>0</v>
      </c>
      <c r="E198" s="1186">
        <v>14</v>
      </c>
    </row>
    <row r="199" spans="1:5" x14ac:dyDescent="0.2">
      <c r="A199" s="1186" t="s">
        <v>144</v>
      </c>
      <c r="B199" s="1186" t="s">
        <v>619</v>
      </c>
      <c r="C199" s="1186">
        <v>56</v>
      </c>
      <c r="D199" s="1186">
        <v>4</v>
      </c>
      <c r="E199" s="1186">
        <v>52</v>
      </c>
    </row>
    <row r="200" spans="1:5" x14ac:dyDescent="0.2">
      <c r="A200" s="1186" t="s">
        <v>144</v>
      </c>
      <c r="B200" s="1186" t="s">
        <v>27</v>
      </c>
      <c r="C200" s="1186">
        <v>3</v>
      </c>
      <c r="D200" s="1186">
        <v>0</v>
      </c>
      <c r="E200" s="1186">
        <v>3</v>
      </c>
    </row>
    <row r="201" spans="1:5" x14ac:dyDescent="0.2">
      <c r="A201" s="1186" t="s">
        <v>144</v>
      </c>
      <c r="B201" s="1186" t="s">
        <v>28</v>
      </c>
      <c r="C201" s="1186">
        <v>15</v>
      </c>
      <c r="D201" s="1186">
        <v>0</v>
      </c>
      <c r="E201" s="1186">
        <v>15</v>
      </c>
    </row>
    <row r="202" spans="1:5" x14ac:dyDescent="0.2">
      <c r="A202" s="1186" t="s">
        <v>144</v>
      </c>
      <c r="B202" s="1186" t="s">
        <v>29</v>
      </c>
      <c r="C202" s="1186">
        <v>9</v>
      </c>
      <c r="D202" s="1186">
        <v>0</v>
      </c>
      <c r="E202" s="1186">
        <v>9</v>
      </c>
    </row>
    <row r="203" spans="1:5" x14ac:dyDescent="0.2">
      <c r="A203" s="1186" t="s">
        <v>144</v>
      </c>
      <c r="B203" s="1186" t="s">
        <v>30</v>
      </c>
      <c r="C203" s="1186">
        <v>9</v>
      </c>
      <c r="D203" s="1186">
        <v>1</v>
      </c>
      <c r="E203" s="1186">
        <v>8</v>
      </c>
    </row>
    <row r="204" spans="1:5" x14ac:dyDescent="0.2">
      <c r="A204" s="1186" t="s">
        <v>144</v>
      </c>
      <c r="B204" s="1186" t="s">
        <v>31</v>
      </c>
      <c r="C204" s="1186">
        <v>8</v>
      </c>
      <c r="D204" s="1186">
        <v>0</v>
      </c>
      <c r="E204" s="1186">
        <v>8</v>
      </c>
    </row>
    <row r="205" spans="1:5" x14ac:dyDescent="0.2">
      <c r="A205" s="1186" t="s">
        <v>144</v>
      </c>
      <c r="B205" s="1186" t="s">
        <v>32</v>
      </c>
      <c r="C205" s="1186">
        <v>7</v>
      </c>
      <c r="D205" s="1186">
        <v>0</v>
      </c>
      <c r="E205" s="1186">
        <v>7</v>
      </c>
    </row>
    <row r="206" spans="1:5" x14ac:dyDescent="0.2">
      <c r="A206" s="1186" t="s">
        <v>144</v>
      </c>
      <c r="B206" s="1186" t="s">
        <v>33</v>
      </c>
      <c r="C206" s="1186">
        <v>10</v>
      </c>
      <c r="D206" s="1186">
        <v>0</v>
      </c>
      <c r="E206" s="1186">
        <v>10</v>
      </c>
    </row>
    <row r="207" spans="1:5" x14ac:dyDescent="0.2">
      <c r="A207" s="1186" t="s">
        <v>144</v>
      </c>
      <c r="B207" s="1186" t="s">
        <v>34</v>
      </c>
      <c r="C207" s="1186">
        <v>15</v>
      </c>
      <c r="D207" s="1186">
        <v>0</v>
      </c>
      <c r="E207" s="1186">
        <v>15</v>
      </c>
    </row>
    <row r="208" spans="1:5" x14ac:dyDescent="0.2">
      <c r="A208" s="1186" t="s">
        <v>144</v>
      </c>
      <c r="B208" s="1186" t="s">
        <v>35</v>
      </c>
      <c r="C208" s="1186">
        <v>22</v>
      </c>
      <c r="D208" s="1186">
        <v>0</v>
      </c>
      <c r="E208" s="1186">
        <v>22</v>
      </c>
    </row>
    <row r="209" spans="1:5" x14ac:dyDescent="0.2">
      <c r="A209" s="1186" t="s">
        <v>144</v>
      </c>
      <c r="B209" s="1186" t="s">
        <v>36</v>
      </c>
      <c r="C209" s="1186">
        <v>86</v>
      </c>
      <c r="D209" s="1186">
        <v>8</v>
      </c>
      <c r="E209" s="1186">
        <v>78</v>
      </c>
    </row>
    <row r="210" spans="1:5" x14ac:dyDescent="0.2">
      <c r="A210" s="1186" t="s">
        <v>144</v>
      </c>
      <c r="B210" s="1186" t="s">
        <v>37</v>
      </c>
      <c r="C210" s="1186">
        <v>53</v>
      </c>
      <c r="D210" s="1186">
        <v>0</v>
      </c>
      <c r="E210" s="1186">
        <v>53</v>
      </c>
    </row>
    <row r="211" spans="1:5" x14ac:dyDescent="0.2">
      <c r="A211" s="1186" t="s">
        <v>144</v>
      </c>
      <c r="B211" s="1186" t="s">
        <v>38</v>
      </c>
      <c r="C211" s="1186">
        <v>8</v>
      </c>
      <c r="D211" s="1186">
        <v>0</v>
      </c>
      <c r="E211" s="1186">
        <v>8</v>
      </c>
    </row>
    <row r="212" spans="1:5" x14ac:dyDescent="0.2">
      <c r="A212" s="1186" t="s">
        <v>144</v>
      </c>
      <c r="B212" s="1186" t="s">
        <v>39</v>
      </c>
      <c r="C212" s="1186">
        <v>6</v>
      </c>
      <c r="D212" s="1186">
        <v>0</v>
      </c>
      <c r="E212" s="1186">
        <v>6</v>
      </c>
    </row>
    <row r="213" spans="1:5" x14ac:dyDescent="0.2">
      <c r="A213" s="1186" t="s">
        <v>144</v>
      </c>
      <c r="B213" s="1186" t="s">
        <v>40</v>
      </c>
      <c r="C213" s="1186">
        <v>5</v>
      </c>
      <c r="D213" s="1186">
        <v>0</v>
      </c>
      <c r="E213" s="1186">
        <v>5</v>
      </c>
    </row>
    <row r="214" spans="1:5" x14ac:dyDescent="0.2">
      <c r="A214" s="1186" t="s">
        <v>144</v>
      </c>
      <c r="B214" s="1186" t="s">
        <v>295</v>
      </c>
      <c r="C214" s="1186">
        <v>5</v>
      </c>
      <c r="D214" s="1186">
        <v>0</v>
      </c>
      <c r="E214" s="1186">
        <v>5</v>
      </c>
    </row>
    <row r="215" spans="1:5" x14ac:dyDescent="0.2">
      <c r="A215" s="1186" t="s">
        <v>144</v>
      </c>
      <c r="B215" s="1186" t="s">
        <v>41</v>
      </c>
      <c r="C215" s="1186">
        <v>16</v>
      </c>
      <c r="D215" s="1186">
        <v>0</v>
      </c>
      <c r="E215" s="1186">
        <v>16</v>
      </c>
    </row>
    <row r="216" spans="1:5" x14ac:dyDescent="0.2">
      <c r="A216" s="1186" t="s">
        <v>144</v>
      </c>
      <c r="B216" s="1186" t="s">
        <v>42</v>
      </c>
      <c r="C216" s="1186">
        <v>42</v>
      </c>
      <c r="D216" s="1186">
        <v>3</v>
      </c>
      <c r="E216" s="1186">
        <v>39</v>
      </c>
    </row>
    <row r="217" spans="1:5" x14ac:dyDescent="0.2">
      <c r="A217" s="1186" t="s">
        <v>144</v>
      </c>
      <c r="B217" s="1186" t="s">
        <v>43</v>
      </c>
      <c r="C217" s="1186">
        <v>15</v>
      </c>
      <c r="D217" s="1186">
        <v>0</v>
      </c>
      <c r="E217" s="1186">
        <v>15</v>
      </c>
    </row>
    <row r="218" spans="1:5" x14ac:dyDescent="0.2">
      <c r="A218" s="1186" t="s">
        <v>144</v>
      </c>
      <c r="B218" s="1186" t="s">
        <v>44</v>
      </c>
      <c r="C218" s="1186">
        <v>8</v>
      </c>
      <c r="D218" s="1186">
        <v>0</v>
      </c>
      <c r="E218" s="1186">
        <v>8</v>
      </c>
    </row>
    <row r="219" spans="1:5" x14ac:dyDescent="0.2">
      <c r="A219" s="1186" t="s">
        <v>144</v>
      </c>
      <c r="B219" s="1186" t="s">
        <v>45</v>
      </c>
      <c r="C219" s="1186">
        <v>19</v>
      </c>
      <c r="D219" s="1186">
        <v>0</v>
      </c>
      <c r="E219" s="1186">
        <v>19</v>
      </c>
    </row>
    <row r="220" spans="1:5" x14ac:dyDescent="0.2">
      <c r="A220" s="1186" t="s">
        <v>144</v>
      </c>
      <c r="B220" s="1186" t="s">
        <v>46</v>
      </c>
      <c r="C220" s="1186">
        <v>12</v>
      </c>
      <c r="D220" s="1186">
        <v>0</v>
      </c>
      <c r="E220" s="1186">
        <v>12</v>
      </c>
    </row>
    <row r="221" spans="1:5" x14ac:dyDescent="0.2">
      <c r="A221" s="1186" t="s">
        <v>144</v>
      </c>
      <c r="B221" s="1186" t="s">
        <v>47</v>
      </c>
      <c r="C221" s="1186">
        <v>2</v>
      </c>
      <c r="D221" s="1186">
        <v>0</v>
      </c>
      <c r="E221" s="1186">
        <v>2</v>
      </c>
    </row>
    <row r="222" spans="1:5" x14ac:dyDescent="0.2">
      <c r="A222" s="1186" t="s">
        <v>144</v>
      </c>
      <c r="B222" s="1186" t="s">
        <v>48</v>
      </c>
      <c r="C222" s="1186">
        <v>19</v>
      </c>
      <c r="D222" s="1186">
        <v>2</v>
      </c>
      <c r="E222" s="1186">
        <v>17</v>
      </c>
    </row>
    <row r="223" spans="1:5" x14ac:dyDescent="0.2">
      <c r="A223" s="1186" t="s">
        <v>144</v>
      </c>
      <c r="B223" s="1186" t="s">
        <v>49</v>
      </c>
      <c r="C223" s="1186">
        <v>26</v>
      </c>
      <c r="D223" s="1186">
        <v>0</v>
      </c>
      <c r="E223" s="1186">
        <v>26</v>
      </c>
    </row>
    <row r="224" spans="1:5" x14ac:dyDescent="0.2">
      <c r="A224" s="1186" t="s">
        <v>144</v>
      </c>
      <c r="B224" s="1186" t="s">
        <v>50</v>
      </c>
      <c r="C224" s="1186">
        <v>10</v>
      </c>
      <c r="D224" s="1186">
        <v>0</v>
      </c>
      <c r="E224" s="1186">
        <v>10</v>
      </c>
    </row>
    <row r="225" spans="1:5" x14ac:dyDescent="0.2">
      <c r="A225" s="1186" t="s">
        <v>144</v>
      </c>
      <c r="B225" s="1186" t="s">
        <v>51</v>
      </c>
      <c r="C225" s="1186">
        <v>10</v>
      </c>
      <c r="D225" s="1186">
        <v>1</v>
      </c>
      <c r="E225" s="1186">
        <v>9</v>
      </c>
    </row>
    <row r="226" spans="1:5" x14ac:dyDescent="0.2">
      <c r="A226" s="1186" t="s">
        <v>144</v>
      </c>
      <c r="B226" s="1186" t="s">
        <v>52</v>
      </c>
      <c r="C226" s="1186">
        <v>8</v>
      </c>
      <c r="D226" s="1186">
        <v>0</v>
      </c>
      <c r="E226" s="1186">
        <v>8</v>
      </c>
    </row>
    <row r="227" spans="1:5" x14ac:dyDescent="0.2">
      <c r="A227" s="1186" t="s">
        <v>282</v>
      </c>
      <c r="B227" s="1186" t="s">
        <v>23</v>
      </c>
      <c r="C227" s="1186">
        <v>25</v>
      </c>
      <c r="D227" s="1186">
        <v>2</v>
      </c>
      <c r="E227" s="1186">
        <v>23</v>
      </c>
    </row>
    <row r="228" spans="1:5" x14ac:dyDescent="0.2">
      <c r="A228" s="1186" t="s">
        <v>282</v>
      </c>
      <c r="B228" s="1186" t="s">
        <v>24</v>
      </c>
      <c r="C228" s="1186">
        <v>14</v>
      </c>
      <c r="D228" s="1186">
        <v>0</v>
      </c>
      <c r="E228" s="1186">
        <v>14</v>
      </c>
    </row>
    <row r="229" spans="1:5" x14ac:dyDescent="0.2">
      <c r="A229" s="1186" t="s">
        <v>282</v>
      </c>
      <c r="B229" s="1186" t="s">
        <v>25</v>
      </c>
      <c r="C229" s="1186">
        <v>5</v>
      </c>
      <c r="D229" s="1186">
        <v>0</v>
      </c>
      <c r="E229" s="1186">
        <v>5</v>
      </c>
    </row>
    <row r="230" spans="1:5" x14ac:dyDescent="0.2">
      <c r="A230" s="1186" t="s">
        <v>282</v>
      </c>
      <c r="B230" s="1186" t="s">
        <v>26</v>
      </c>
      <c r="C230" s="1186">
        <v>12</v>
      </c>
      <c r="D230" s="1186">
        <v>0</v>
      </c>
      <c r="E230" s="1186">
        <v>12</v>
      </c>
    </row>
    <row r="231" spans="1:5" x14ac:dyDescent="0.2">
      <c r="A231" s="1186" t="s">
        <v>282</v>
      </c>
      <c r="B231" s="1186" t="s">
        <v>619</v>
      </c>
      <c r="C231" s="1186">
        <v>107</v>
      </c>
      <c r="D231" s="1186">
        <v>3</v>
      </c>
      <c r="E231" s="1186">
        <v>104</v>
      </c>
    </row>
    <row r="232" spans="1:5" x14ac:dyDescent="0.2">
      <c r="A232" s="1186" t="s">
        <v>282</v>
      </c>
      <c r="B232" s="1186" t="s">
        <v>27</v>
      </c>
      <c r="C232" s="1186">
        <v>5</v>
      </c>
      <c r="D232" s="1186">
        <v>0</v>
      </c>
      <c r="E232" s="1186">
        <v>5</v>
      </c>
    </row>
    <row r="233" spans="1:5" x14ac:dyDescent="0.2">
      <c r="A233" s="1186" t="s">
        <v>282</v>
      </c>
      <c r="B233" s="1186" t="s">
        <v>28</v>
      </c>
      <c r="C233" s="1186">
        <v>14</v>
      </c>
      <c r="D233" s="1186">
        <v>1</v>
      </c>
      <c r="E233" s="1186">
        <v>13</v>
      </c>
    </row>
    <row r="234" spans="1:5" x14ac:dyDescent="0.2">
      <c r="A234" s="1186" t="s">
        <v>282</v>
      </c>
      <c r="B234" s="1186" t="s">
        <v>29</v>
      </c>
      <c r="C234" s="1186">
        <v>14</v>
      </c>
      <c r="D234" s="1186">
        <v>0</v>
      </c>
      <c r="E234" s="1186">
        <v>14</v>
      </c>
    </row>
    <row r="235" spans="1:5" x14ac:dyDescent="0.2">
      <c r="A235" s="1186" t="s">
        <v>282</v>
      </c>
      <c r="B235" s="1186" t="s">
        <v>30</v>
      </c>
      <c r="C235" s="1186">
        <v>13</v>
      </c>
      <c r="D235" s="1186">
        <v>1</v>
      </c>
      <c r="E235" s="1186">
        <v>12</v>
      </c>
    </row>
    <row r="236" spans="1:5" x14ac:dyDescent="0.2">
      <c r="A236" s="1186" t="s">
        <v>282</v>
      </c>
      <c r="B236" s="1186" t="s">
        <v>31</v>
      </c>
      <c r="C236" s="1186">
        <v>7</v>
      </c>
      <c r="D236" s="1186">
        <v>0</v>
      </c>
      <c r="E236" s="1186">
        <v>7</v>
      </c>
    </row>
    <row r="237" spans="1:5" x14ac:dyDescent="0.2">
      <c r="A237" s="1186" t="s">
        <v>282</v>
      </c>
      <c r="B237" s="1186" t="s">
        <v>32</v>
      </c>
      <c r="C237" s="1186">
        <v>6</v>
      </c>
      <c r="D237" s="1186">
        <v>1</v>
      </c>
      <c r="E237" s="1186">
        <v>5</v>
      </c>
    </row>
    <row r="238" spans="1:5" x14ac:dyDescent="0.2">
      <c r="A238" s="1186" t="s">
        <v>282</v>
      </c>
      <c r="B238" s="1186" t="s">
        <v>33</v>
      </c>
      <c r="C238" s="1186">
        <v>3</v>
      </c>
      <c r="D238" s="1186">
        <v>0</v>
      </c>
      <c r="E238" s="1186">
        <v>3</v>
      </c>
    </row>
    <row r="239" spans="1:5" x14ac:dyDescent="0.2">
      <c r="A239" s="1186" t="s">
        <v>282</v>
      </c>
      <c r="B239" s="1186" t="s">
        <v>34</v>
      </c>
      <c r="C239" s="1186">
        <v>27</v>
      </c>
      <c r="D239" s="1186">
        <v>1</v>
      </c>
      <c r="E239" s="1186">
        <v>26</v>
      </c>
    </row>
    <row r="240" spans="1:5" x14ac:dyDescent="0.2">
      <c r="A240" s="1186" t="s">
        <v>282</v>
      </c>
      <c r="B240" s="1186" t="s">
        <v>35</v>
      </c>
      <c r="C240" s="1186">
        <v>52</v>
      </c>
      <c r="D240" s="1186">
        <v>2</v>
      </c>
      <c r="E240" s="1186">
        <v>50</v>
      </c>
    </row>
    <row r="241" spans="1:5" x14ac:dyDescent="0.2">
      <c r="A241" s="1186" t="s">
        <v>282</v>
      </c>
      <c r="B241" s="1186" t="s">
        <v>36</v>
      </c>
      <c r="C241" s="1186">
        <v>111</v>
      </c>
      <c r="D241" s="1186">
        <v>2</v>
      </c>
      <c r="E241" s="1186">
        <v>109</v>
      </c>
    </row>
    <row r="242" spans="1:5" x14ac:dyDescent="0.2">
      <c r="A242" s="1186" t="s">
        <v>282</v>
      </c>
      <c r="B242" s="1186" t="s">
        <v>37</v>
      </c>
      <c r="C242" s="1186">
        <v>45</v>
      </c>
      <c r="D242" s="1186">
        <v>0</v>
      </c>
      <c r="E242" s="1186">
        <v>45</v>
      </c>
    </row>
    <row r="243" spans="1:5" x14ac:dyDescent="0.2">
      <c r="A243" s="1186" t="s">
        <v>282</v>
      </c>
      <c r="B243" s="1186" t="s">
        <v>38</v>
      </c>
      <c r="C243" s="1186">
        <v>6</v>
      </c>
      <c r="D243" s="1186">
        <v>0</v>
      </c>
      <c r="E243" s="1186">
        <v>6</v>
      </c>
    </row>
    <row r="244" spans="1:5" x14ac:dyDescent="0.2">
      <c r="A244" s="1186" t="s">
        <v>282</v>
      </c>
      <c r="B244" s="1186" t="s">
        <v>39</v>
      </c>
      <c r="C244" s="1186">
        <v>11</v>
      </c>
      <c r="D244" s="1186">
        <v>0</v>
      </c>
      <c r="E244" s="1186">
        <v>11</v>
      </c>
    </row>
    <row r="245" spans="1:5" x14ac:dyDescent="0.2">
      <c r="A245" s="1186" t="s">
        <v>282</v>
      </c>
      <c r="B245" s="1186" t="s">
        <v>40</v>
      </c>
      <c r="C245" s="1186">
        <v>3</v>
      </c>
      <c r="D245" s="1186">
        <v>1</v>
      </c>
      <c r="E245" s="1186">
        <v>2</v>
      </c>
    </row>
    <row r="246" spans="1:5" x14ac:dyDescent="0.2">
      <c r="A246" s="1186" t="s">
        <v>282</v>
      </c>
      <c r="B246" s="1186" t="s">
        <v>295</v>
      </c>
      <c r="C246" s="1186">
        <v>10</v>
      </c>
      <c r="D246" s="1186">
        <v>0</v>
      </c>
      <c r="E246" s="1186">
        <v>10</v>
      </c>
    </row>
    <row r="247" spans="1:5" x14ac:dyDescent="0.2">
      <c r="A247" s="1186" t="s">
        <v>282</v>
      </c>
      <c r="B247" s="1186" t="s">
        <v>41</v>
      </c>
      <c r="C247" s="1186">
        <v>23</v>
      </c>
      <c r="D247" s="1186">
        <v>0</v>
      </c>
      <c r="E247" s="1186">
        <v>23</v>
      </c>
    </row>
    <row r="248" spans="1:5" x14ac:dyDescent="0.2">
      <c r="A248" s="1186" t="s">
        <v>282</v>
      </c>
      <c r="B248" s="1186" t="s">
        <v>42</v>
      </c>
      <c r="C248" s="1186">
        <v>45</v>
      </c>
      <c r="D248" s="1186">
        <v>2</v>
      </c>
      <c r="E248" s="1186">
        <v>43</v>
      </c>
    </row>
    <row r="249" spans="1:5" x14ac:dyDescent="0.2">
      <c r="A249" s="1186" t="s">
        <v>282</v>
      </c>
      <c r="B249" s="1186" t="s">
        <v>43</v>
      </c>
      <c r="C249" s="1186">
        <v>22</v>
      </c>
      <c r="D249" s="1186">
        <v>0</v>
      </c>
      <c r="E249" s="1186">
        <v>22</v>
      </c>
    </row>
    <row r="250" spans="1:5" x14ac:dyDescent="0.2">
      <c r="A250" s="1186" t="s">
        <v>282</v>
      </c>
      <c r="B250" s="1186" t="s">
        <v>44</v>
      </c>
      <c r="C250" s="1186">
        <v>9</v>
      </c>
      <c r="D250" s="1186">
        <v>0</v>
      </c>
      <c r="E250" s="1186">
        <v>9</v>
      </c>
    </row>
    <row r="251" spans="1:5" x14ac:dyDescent="0.2">
      <c r="A251" s="1186" t="s">
        <v>282</v>
      </c>
      <c r="B251" s="1186" t="s">
        <v>45</v>
      </c>
      <c r="C251" s="1186">
        <v>26</v>
      </c>
      <c r="D251" s="1186">
        <v>0</v>
      </c>
      <c r="E251" s="1186">
        <v>26</v>
      </c>
    </row>
    <row r="252" spans="1:5" x14ac:dyDescent="0.2">
      <c r="A252" s="1186" t="s">
        <v>282</v>
      </c>
      <c r="B252" s="1186" t="s">
        <v>46</v>
      </c>
      <c r="C252" s="1186">
        <v>5</v>
      </c>
      <c r="D252" s="1186">
        <v>0</v>
      </c>
      <c r="E252" s="1186">
        <v>5</v>
      </c>
    </row>
    <row r="253" spans="1:5" x14ac:dyDescent="0.2">
      <c r="A253" s="1186" t="s">
        <v>282</v>
      </c>
      <c r="B253" s="1186" t="s">
        <v>47</v>
      </c>
      <c r="C253" s="1186">
        <v>2</v>
      </c>
      <c r="D253" s="1186">
        <v>0</v>
      </c>
      <c r="E253" s="1186">
        <v>2</v>
      </c>
    </row>
    <row r="254" spans="1:5" x14ac:dyDescent="0.2">
      <c r="A254" s="1186" t="s">
        <v>282</v>
      </c>
      <c r="B254" s="1186" t="s">
        <v>48</v>
      </c>
      <c r="C254" s="1186">
        <v>12</v>
      </c>
      <c r="D254" s="1186">
        <v>0</v>
      </c>
      <c r="E254" s="1186">
        <v>12</v>
      </c>
    </row>
    <row r="255" spans="1:5" x14ac:dyDescent="0.2">
      <c r="A255" s="1186" t="s">
        <v>282</v>
      </c>
      <c r="B255" s="1186" t="s">
        <v>49</v>
      </c>
      <c r="C255" s="1186">
        <v>34</v>
      </c>
      <c r="D255" s="1186">
        <v>1</v>
      </c>
      <c r="E255" s="1186">
        <v>33</v>
      </c>
    </row>
    <row r="256" spans="1:5" x14ac:dyDescent="0.2">
      <c r="A256" s="1186" t="s">
        <v>282</v>
      </c>
      <c r="B256" s="1186" t="s">
        <v>50</v>
      </c>
      <c r="C256" s="1186">
        <v>12</v>
      </c>
      <c r="D256" s="1186">
        <v>0</v>
      </c>
      <c r="E256" s="1186">
        <v>12</v>
      </c>
    </row>
    <row r="257" spans="1:5" x14ac:dyDescent="0.2">
      <c r="A257" s="1186" t="s">
        <v>282</v>
      </c>
      <c r="B257" s="1186" t="s">
        <v>51</v>
      </c>
      <c r="C257" s="1186">
        <v>4</v>
      </c>
      <c r="D257" s="1186">
        <v>0</v>
      </c>
      <c r="E257" s="1186">
        <v>4</v>
      </c>
    </row>
    <row r="258" spans="1:5" x14ac:dyDescent="0.2">
      <c r="A258" s="1186" t="s">
        <v>282</v>
      </c>
      <c r="B258" s="1186" t="s">
        <v>52</v>
      </c>
      <c r="C258" s="1186">
        <v>33</v>
      </c>
      <c r="D258" s="1186">
        <v>2</v>
      </c>
      <c r="E258" s="1186">
        <v>31</v>
      </c>
    </row>
    <row r="259" spans="1:5" x14ac:dyDescent="0.2">
      <c r="A259" s="1186" t="s">
        <v>311</v>
      </c>
      <c r="B259" s="1186" t="s">
        <v>23</v>
      </c>
      <c r="C259" s="1186">
        <v>22</v>
      </c>
      <c r="D259" s="1186">
        <v>1</v>
      </c>
      <c r="E259" s="1186">
        <v>21</v>
      </c>
    </row>
    <row r="260" spans="1:5" x14ac:dyDescent="0.2">
      <c r="A260" s="1186" t="s">
        <v>311</v>
      </c>
      <c r="B260" s="1186" t="s">
        <v>24</v>
      </c>
      <c r="C260" s="1186">
        <v>16</v>
      </c>
      <c r="D260" s="1186">
        <v>0</v>
      </c>
      <c r="E260" s="1186">
        <v>16</v>
      </c>
    </row>
    <row r="261" spans="1:5" x14ac:dyDescent="0.2">
      <c r="A261" s="1186" t="s">
        <v>311</v>
      </c>
      <c r="B261" s="1186" t="s">
        <v>25</v>
      </c>
      <c r="C261" s="1186">
        <v>9</v>
      </c>
      <c r="D261" s="1186">
        <v>0</v>
      </c>
      <c r="E261" s="1186">
        <v>9</v>
      </c>
    </row>
    <row r="262" spans="1:5" x14ac:dyDescent="0.2">
      <c r="A262" s="1186" t="s">
        <v>311</v>
      </c>
      <c r="B262" s="1186" t="s">
        <v>26</v>
      </c>
      <c r="C262" s="1186">
        <v>23</v>
      </c>
      <c r="D262" s="1186">
        <v>0</v>
      </c>
      <c r="E262" s="1186">
        <v>23</v>
      </c>
    </row>
    <row r="263" spans="1:5" x14ac:dyDescent="0.2">
      <c r="A263" s="1186" t="s">
        <v>311</v>
      </c>
      <c r="B263" s="1186" t="s">
        <v>619</v>
      </c>
      <c r="C263" s="1186">
        <v>93</v>
      </c>
      <c r="D263" s="1186">
        <v>4</v>
      </c>
      <c r="E263" s="1186">
        <v>89</v>
      </c>
    </row>
    <row r="264" spans="1:5" x14ac:dyDescent="0.2">
      <c r="A264" s="1186" t="s">
        <v>311</v>
      </c>
      <c r="B264" s="1186" t="s">
        <v>27</v>
      </c>
      <c r="C264" s="1186">
        <v>5</v>
      </c>
      <c r="D264" s="1186">
        <v>0</v>
      </c>
      <c r="E264" s="1186">
        <v>5</v>
      </c>
    </row>
    <row r="265" spans="1:5" x14ac:dyDescent="0.2">
      <c r="A265" s="1186" t="s">
        <v>311</v>
      </c>
      <c r="B265" s="1186" t="s">
        <v>28</v>
      </c>
      <c r="C265" s="1186">
        <v>18</v>
      </c>
      <c r="D265" s="1186">
        <v>1</v>
      </c>
      <c r="E265" s="1186">
        <v>17</v>
      </c>
    </row>
    <row r="266" spans="1:5" x14ac:dyDescent="0.2">
      <c r="A266" s="1186" t="s">
        <v>311</v>
      </c>
      <c r="B266" s="1186" t="s">
        <v>29</v>
      </c>
      <c r="C266" s="1186">
        <v>14</v>
      </c>
      <c r="D266" s="1186">
        <v>0</v>
      </c>
      <c r="E266" s="1186">
        <v>14</v>
      </c>
    </row>
    <row r="267" spans="1:5" x14ac:dyDescent="0.2">
      <c r="A267" s="1186" t="s">
        <v>311</v>
      </c>
      <c r="B267" s="1186" t="s">
        <v>30</v>
      </c>
      <c r="C267" s="1186">
        <v>14</v>
      </c>
      <c r="D267" s="1186">
        <v>0</v>
      </c>
      <c r="E267" s="1186">
        <v>14</v>
      </c>
    </row>
    <row r="268" spans="1:5" x14ac:dyDescent="0.2">
      <c r="A268" s="1186" t="s">
        <v>311</v>
      </c>
      <c r="B268" s="1186" t="s">
        <v>31</v>
      </c>
      <c r="C268" s="1186">
        <v>5</v>
      </c>
      <c r="D268" s="1186">
        <v>0</v>
      </c>
      <c r="E268" s="1186">
        <v>5</v>
      </c>
    </row>
    <row r="269" spans="1:5" x14ac:dyDescent="0.2">
      <c r="A269" s="1186" t="s">
        <v>311</v>
      </c>
      <c r="B269" s="1186" t="s">
        <v>32</v>
      </c>
      <c r="C269" s="1186">
        <v>6</v>
      </c>
      <c r="D269" s="1186">
        <v>0</v>
      </c>
      <c r="E269" s="1186">
        <v>6</v>
      </c>
    </row>
    <row r="270" spans="1:5" x14ac:dyDescent="0.2">
      <c r="A270" s="1186" t="s">
        <v>311</v>
      </c>
      <c r="B270" s="1186" t="s">
        <v>33</v>
      </c>
      <c r="C270" s="1186">
        <v>6</v>
      </c>
      <c r="D270" s="1186">
        <v>1</v>
      </c>
      <c r="E270" s="1186">
        <v>5</v>
      </c>
    </row>
    <row r="271" spans="1:5" x14ac:dyDescent="0.2">
      <c r="A271" s="1186" t="s">
        <v>311</v>
      </c>
      <c r="B271" s="1186" t="s">
        <v>34</v>
      </c>
      <c r="C271" s="1186">
        <v>27</v>
      </c>
      <c r="D271" s="1186">
        <v>2</v>
      </c>
      <c r="E271" s="1186">
        <v>25</v>
      </c>
    </row>
    <row r="272" spans="1:5" x14ac:dyDescent="0.2">
      <c r="A272" s="1186" t="s">
        <v>311</v>
      </c>
      <c r="B272" s="1186" t="s">
        <v>35</v>
      </c>
      <c r="C272" s="1186">
        <v>55</v>
      </c>
      <c r="D272" s="1186">
        <v>1</v>
      </c>
      <c r="E272" s="1186">
        <v>54</v>
      </c>
    </row>
    <row r="273" spans="1:5" x14ac:dyDescent="0.2">
      <c r="A273" s="1186" t="s">
        <v>311</v>
      </c>
      <c r="B273" s="1186" t="s">
        <v>36</v>
      </c>
      <c r="C273" s="1186">
        <v>97</v>
      </c>
      <c r="D273" s="1186">
        <v>3</v>
      </c>
      <c r="E273" s="1186">
        <v>94</v>
      </c>
    </row>
    <row r="274" spans="1:5" x14ac:dyDescent="0.2">
      <c r="A274" s="1186" t="s">
        <v>311</v>
      </c>
      <c r="B274" s="1186" t="s">
        <v>37</v>
      </c>
      <c r="C274" s="1186">
        <v>46</v>
      </c>
      <c r="D274" s="1186">
        <v>2</v>
      </c>
      <c r="E274" s="1186">
        <v>44</v>
      </c>
    </row>
    <row r="275" spans="1:5" x14ac:dyDescent="0.2">
      <c r="A275" s="1186" t="s">
        <v>311</v>
      </c>
      <c r="B275" s="1186" t="s">
        <v>38</v>
      </c>
      <c r="C275" s="1186">
        <v>11</v>
      </c>
      <c r="D275" s="1186">
        <v>0</v>
      </c>
      <c r="E275" s="1186">
        <v>11</v>
      </c>
    </row>
    <row r="276" spans="1:5" x14ac:dyDescent="0.2">
      <c r="A276" s="1186" t="s">
        <v>311</v>
      </c>
      <c r="B276" s="1186" t="s">
        <v>39</v>
      </c>
      <c r="C276" s="1186">
        <v>11</v>
      </c>
      <c r="D276" s="1186">
        <v>0</v>
      </c>
      <c r="E276" s="1186">
        <v>11</v>
      </c>
    </row>
    <row r="277" spans="1:5" x14ac:dyDescent="0.2">
      <c r="A277" s="1186" t="s">
        <v>311</v>
      </c>
      <c r="B277" s="1186" t="s">
        <v>40</v>
      </c>
      <c r="C277" s="1186">
        <v>2</v>
      </c>
      <c r="D277" s="1186">
        <v>0</v>
      </c>
      <c r="E277" s="1186">
        <v>2</v>
      </c>
    </row>
    <row r="278" spans="1:5" x14ac:dyDescent="0.2">
      <c r="A278" s="1186" t="s">
        <v>311</v>
      </c>
      <c r="B278" s="1186" t="s">
        <v>41</v>
      </c>
      <c r="C278" s="1186">
        <v>16</v>
      </c>
      <c r="D278" s="1186">
        <v>0</v>
      </c>
      <c r="E278" s="1186">
        <v>16</v>
      </c>
    </row>
    <row r="279" spans="1:5" x14ac:dyDescent="0.2">
      <c r="A279" s="1186" t="s">
        <v>311</v>
      </c>
      <c r="B279" s="1186" t="s">
        <v>42</v>
      </c>
      <c r="C279" s="1186">
        <v>37</v>
      </c>
      <c r="D279" s="1186">
        <v>1</v>
      </c>
      <c r="E279" s="1186">
        <v>36</v>
      </c>
    </row>
    <row r="280" spans="1:5" x14ac:dyDescent="0.2">
      <c r="A280" s="1186" t="s">
        <v>311</v>
      </c>
      <c r="B280" s="1186" t="s">
        <v>43</v>
      </c>
      <c r="C280" s="1186">
        <v>12</v>
      </c>
      <c r="D280" s="1186">
        <v>0</v>
      </c>
      <c r="E280" s="1186">
        <v>12</v>
      </c>
    </row>
    <row r="281" spans="1:5" x14ac:dyDescent="0.2">
      <c r="A281" s="1186" t="s">
        <v>311</v>
      </c>
      <c r="B281" s="1186" t="s">
        <v>44</v>
      </c>
      <c r="C281" s="1186">
        <v>7</v>
      </c>
      <c r="D281" s="1186">
        <v>0</v>
      </c>
      <c r="E281" s="1186">
        <v>7</v>
      </c>
    </row>
    <row r="282" spans="1:5" x14ac:dyDescent="0.2">
      <c r="A282" s="1186" t="s">
        <v>311</v>
      </c>
      <c r="B282" s="1186" t="s">
        <v>45</v>
      </c>
      <c r="C282" s="1186">
        <v>24</v>
      </c>
      <c r="D282" s="1186">
        <v>0</v>
      </c>
      <c r="E282" s="1186">
        <v>24</v>
      </c>
    </row>
    <row r="283" spans="1:5" x14ac:dyDescent="0.2">
      <c r="A283" s="1186" t="s">
        <v>311</v>
      </c>
      <c r="B283" s="1186" t="s">
        <v>46</v>
      </c>
      <c r="C283" s="1186">
        <v>10</v>
      </c>
      <c r="D283" s="1186">
        <v>0</v>
      </c>
      <c r="E283" s="1186">
        <v>10</v>
      </c>
    </row>
    <row r="284" spans="1:5" x14ac:dyDescent="0.2">
      <c r="A284" s="1186" t="s">
        <v>311</v>
      </c>
      <c r="B284" s="1186" t="s">
        <v>48</v>
      </c>
      <c r="C284" s="1186">
        <v>12</v>
      </c>
      <c r="D284" s="1186">
        <v>1</v>
      </c>
      <c r="E284" s="1186">
        <v>11</v>
      </c>
    </row>
    <row r="285" spans="1:5" x14ac:dyDescent="0.2">
      <c r="A285" s="1186" t="s">
        <v>311</v>
      </c>
      <c r="B285" s="1186" t="s">
        <v>49</v>
      </c>
      <c r="C285" s="1186">
        <v>25</v>
      </c>
      <c r="D285" s="1186">
        <v>0</v>
      </c>
      <c r="E285" s="1186">
        <v>25</v>
      </c>
    </row>
    <row r="286" spans="1:5" x14ac:dyDescent="0.2">
      <c r="A286" s="1186" t="s">
        <v>311</v>
      </c>
      <c r="B286" s="1186" t="s">
        <v>50</v>
      </c>
      <c r="C286" s="1186">
        <v>12</v>
      </c>
      <c r="D286" s="1186">
        <v>0</v>
      </c>
      <c r="E286" s="1186">
        <v>12</v>
      </c>
    </row>
    <row r="287" spans="1:5" x14ac:dyDescent="0.2">
      <c r="A287" s="1186" t="s">
        <v>311</v>
      </c>
      <c r="B287" s="1186" t="s">
        <v>51</v>
      </c>
      <c r="C287" s="1186">
        <v>7</v>
      </c>
      <c r="D287" s="1186">
        <v>1</v>
      </c>
      <c r="E287" s="1186">
        <v>6</v>
      </c>
    </row>
    <row r="288" spans="1:5" x14ac:dyDescent="0.2">
      <c r="A288" s="1186" t="s">
        <v>311</v>
      </c>
      <c r="B288" s="1186" t="s">
        <v>52</v>
      </c>
      <c r="C288" s="1186">
        <v>26</v>
      </c>
      <c r="D288" s="1186">
        <v>1</v>
      </c>
      <c r="E288" s="1186">
        <v>25</v>
      </c>
    </row>
    <row r="289" spans="1:5" x14ac:dyDescent="0.2">
      <c r="A289" s="1186" t="s">
        <v>621</v>
      </c>
      <c r="B289" s="1186" t="s">
        <v>23</v>
      </c>
      <c r="C289" s="1186">
        <v>23</v>
      </c>
      <c r="D289" s="1186">
        <v>1</v>
      </c>
      <c r="E289" s="1186">
        <v>22</v>
      </c>
    </row>
    <row r="290" spans="1:5" x14ac:dyDescent="0.2">
      <c r="A290" s="1186" t="s">
        <v>621</v>
      </c>
      <c r="B290" s="1186" t="s">
        <v>24</v>
      </c>
      <c r="C290" s="1186">
        <v>17</v>
      </c>
      <c r="D290" s="1186">
        <v>0</v>
      </c>
      <c r="E290" s="1186">
        <v>17</v>
      </c>
    </row>
    <row r="291" spans="1:5" x14ac:dyDescent="0.2">
      <c r="A291" s="1186" t="s">
        <v>621</v>
      </c>
      <c r="B291" s="1186" t="s">
        <v>25</v>
      </c>
      <c r="C291" s="1186">
        <v>7</v>
      </c>
      <c r="D291" s="1186">
        <v>0</v>
      </c>
      <c r="E291" s="1186">
        <v>7</v>
      </c>
    </row>
    <row r="292" spans="1:5" x14ac:dyDescent="0.2">
      <c r="A292" s="1186" t="s">
        <v>621</v>
      </c>
      <c r="B292" s="1186" t="s">
        <v>26</v>
      </c>
      <c r="C292" s="1186">
        <v>29</v>
      </c>
      <c r="D292" s="1186">
        <v>0</v>
      </c>
      <c r="E292" s="1186">
        <v>29</v>
      </c>
    </row>
    <row r="293" spans="1:5" x14ac:dyDescent="0.2">
      <c r="A293" s="1186" t="s">
        <v>621</v>
      </c>
      <c r="B293" s="1186" t="s">
        <v>619</v>
      </c>
      <c r="C293" s="1186">
        <v>83</v>
      </c>
      <c r="D293" s="1186">
        <v>1</v>
      </c>
      <c r="E293" s="1186">
        <v>82</v>
      </c>
    </row>
    <row r="294" spans="1:5" x14ac:dyDescent="0.2">
      <c r="A294" s="1186" t="s">
        <v>621</v>
      </c>
      <c r="B294" s="1186" t="s">
        <v>27</v>
      </c>
      <c r="C294" s="1186">
        <v>6</v>
      </c>
      <c r="D294" s="1186">
        <v>0</v>
      </c>
      <c r="E294" s="1186">
        <v>6</v>
      </c>
    </row>
    <row r="295" spans="1:5" x14ac:dyDescent="0.2">
      <c r="A295" s="1186" t="s">
        <v>621</v>
      </c>
      <c r="B295" s="1186" t="s">
        <v>28</v>
      </c>
      <c r="C295" s="1186">
        <v>18</v>
      </c>
      <c r="D295" s="1186">
        <v>0</v>
      </c>
      <c r="E295" s="1186">
        <v>18</v>
      </c>
    </row>
    <row r="296" spans="1:5" x14ac:dyDescent="0.2">
      <c r="A296" s="1186" t="s">
        <v>621</v>
      </c>
      <c r="B296" s="1186" t="s">
        <v>29</v>
      </c>
      <c r="C296" s="1186">
        <v>23</v>
      </c>
      <c r="D296" s="1186">
        <v>1</v>
      </c>
      <c r="E296" s="1186">
        <v>22</v>
      </c>
    </row>
    <row r="297" spans="1:5" x14ac:dyDescent="0.2">
      <c r="A297" s="1186" t="s">
        <v>621</v>
      </c>
      <c r="B297" s="1186" t="s">
        <v>30</v>
      </c>
      <c r="C297" s="1186">
        <v>9</v>
      </c>
      <c r="D297" s="1186">
        <v>0</v>
      </c>
      <c r="E297" s="1186">
        <v>9</v>
      </c>
    </row>
    <row r="298" spans="1:5" x14ac:dyDescent="0.2">
      <c r="A298" s="1186" t="s">
        <v>621</v>
      </c>
      <c r="B298" s="1186" t="s">
        <v>31</v>
      </c>
      <c r="C298" s="1186">
        <v>4</v>
      </c>
      <c r="D298" s="1186">
        <v>0</v>
      </c>
      <c r="E298" s="1186">
        <v>4</v>
      </c>
    </row>
    <row r="299" spans="1:5" x14ac:dyDescent="0.2">
      <c r="A299" s="1186" t="s">
        <v>621</v>
      </c>
      <c r="B299" s="1186" t="s">
        <v>32</v>
      </c>
      <c r="C299" s="1186">
        <v>11</v>
      </c>
      <c r="D299" s="1186">
        <v>0</v>
      </c>
      <c r="E299" s="1186">
        <v>11</v>
      </c>
    </row>
    <row r="300" spans="1:5" x14ac:dyDescent="0.2">
      <c r="A300" s="1186" t="s">
        <v>621</v>
      </c>
      <c r="B300" s="1186" t="s">
        <v>33</v>
      </c>
      <c r="C300" s="1186">
        <v>8</v>
      </c>
      <c r="D300" s="1186">
        <v>0</v>
      </c>
      <c r="E300" s="1186">
        <v>8</v>
      </c>
    </row>
    <row r="301" spans="1:5" x14ac:dyDescent="0.2">
      <c r="A301" s="1186" t="s">
        <v>621</v>
      </c>
      <c r="B301" s="1186" t="s">
        <v>34</v>
      </c>
      <c r="C301" s="1186">
        <v>26</v>
      </c>
      <c r="D301" s="1186">
        <v>0</v>
      </c>
      <c r="E301" s="1186">
        <v>26</v>
      </c>
    </row>
    <row r="302" spans="1:5" x14ac:dyDescent="0.2">
      <c r="A302" s="1186" t="s">
        <v>621</v>
      </c>
      <c r="B302" s="1186" t="s">
        <v>35</v>
      </c>
      <c r="C302" s="1186">
        <v>46</v>
      </c>
      <c r="D302" s="1186">
        <v>0</v>
      </c>
      <c r="E302" s="1186">
        <v>46</v>
      </c>
    </row>
    <row r="303" spans="1:5" x14ac:dyDescent="0.2">
      <c r="A303" s="1186" t="s">
        <v>621</v>
      </c>
      <c r="B303" s="1186" t="s">
        <v>36</v>
      </c>
      <c r="C303" s="1186">
        <v>148</v>
      </c>
      <c r="D303" s="1186">
        <v>3</v>
      </c>
      <c r="E303" s="1186">
        <v>145</v>
      </c>
    </row>
    <row r="304" spans="1:5" x14ac:dyDescent="0.2">
      <c r="A304" s="1186" t="s">
        <v>621</v>
      </c>
      <c r="B304" s="1186" t="s">
        <v>37</v>
      </c>
      <c r="C304" s="1186">
        <v>46</v>
      </c>
      <c r="D304" s="1186">
        <v>0</v>
      </c>
      <c r="E304" s="1186">
        <v>46</v>
      </c>
    </row>
    <row r="305" spans="1:5" x14ac:dyDescent="0.2">
      <c r="A305" s="1186" t="s">
        <v>621</v>
      </c>
      <c r="B305" s="1186" t="s">
        <v>38</v>
      </c>
      <c r="C305" s="1186">
        <v>8</v>
      </c>
      <c r="D305" s="1186">
        <v>0</v>
      </c>
      <c r="E305" s="1186">
        <v>8</v>
      </c>
    </row>
    <row r="306" spans="1:5" x14ac:dyDescent="0.2">
      <c r="A306" s="1186" t="s">
        <v>621</v>
      </c>
      <c r="B306" s="1186" t="s">
        <v>39</v>
      </c>
      <c r="C306" s="1186">
        <v>7</v>
      </c>
      <c r="D306" s="1186">
        <v>0</v>
      </c>
      <c r="E306" s="1186">
        <v>7</v>
      </c>
    </row>
    <row r="307" spans="1:5" x14ac:dyDescent="0.2">
      <c r="A307" s="1186" t="s">
        <v>621</v>
      </c>
      <c r="B307" s="1186" t="s">
        <v>40</v>
      </c>
      <c r="C307" s="1186">
        <v>9</v>
      </c>
      <c r="D307" s="1186">
        <v>0</v>
      </c>
      <c r="E307" s="1186">
        <v>9</v>
      </c>
    </row>
    <row r="308" spans="1:5" x14ac:dyDescent="0.2">
      <c r="A308" s="1186" t="s">
        <v>621</v>
      </c>
      <c r="B308" s="1186" t="s">
        <v>295</v>
      </c>
      <c r="C308" s="1186">
        <v>5</v>
      </c>
      <c r="D308" s="1186">
        <v>0</v>
      </c>
      <c r="E308" s="1186">
        <v>5</v>
      </c>
    </row>
    <row r="309" spans="1:5" x14ac:dyDescent="0.2">
      <c r="A309" s="1186" t="s">
        <v>621</v>
      </c>
      <c r="B309" s="1186" t="s">
        <v>41</v>
      </c>
      <c r="C309" s="1186">
        <v>16</v>
      </c>
      <c r="D309" s="1186">
        <v>0</v>
      </c>
      <c r="E309" s="1186">
        <v>16</v>
      </c>
    </row>
    <row r="310" spans="1:5" x14ac:dyDescent="0.2">
      <c r="A310" s="1186" t="s">
        <v>621</v>
      </c>
      <c r="B310" s="1186" t="s">
        <v>42</v>
      </c>
      <c r="C310" s="1186">
        <v>66</v>
      </c>
      <c r="D310" s="1186">
        <v>2</v>
      </c>
      <c r="E310" s="1186">
        <v>64</v>
      </c>
    </row>
    <row r="311" spans="1:5" x14ac:dyDescent="0.2">
      <c r="A311" s="1186" t="s">
        <v>621</v>
      </c>
      <c r="B311" s="1186" t="s">
        <v>43</v>
      </c>
      <c r="C311" s="1186">
        <v>12</v>
      </c>
      <c r="D311" s="1186">
        <v>0</v>
      </c>
      <c r="E311" s="1186">
        <v>12</v>
      </c>
    </row>
    <row r="312" spans="1:5" x14ac:dyDescent="0.2">
      <c r="A312" s="1186" t="s">
        <v>621</v>
      </c>
      <c r="B312" s="1186" t="s">
        <v>44</v>
      </c>
      <c r="C312" s="1186">
        <v>7</v>
      </c>
      <c r="D312" s="1186">
        <v>0</v>
      </c>
      <c r="E312" s="1186">
        <v>7</v>
      </c>
    </row>
    <row r="313" spans="1:5" x14ac:dyDescent="0.2">
      <c r="A313" s="1186" t="s">
        <v>621</v>
      </c>
      <c r="B313" s="1186" t="s">
        <v>45</v>
      </c>
      <c r="C313" s="1186">
        <v>26</v>
      </c>
      <c r="D313" s="1186">
        <v>0</v>
      </c>
      <c r="E313" s="1186">
        <v>26</v>
      </c>
    </row>
    <row r="314" spans="1:5" x14ac:dyDescent="0.2">
      <c r="A314" s="1186" t="s">
        <v>621</v>
      </c>
      <c r="B314" s="1186" t="s">
        <v>46</v>
      </c>
      <c r="C314" s="1186">
        <v>8</v>
      </c>
      <c r="D314" s="1186">
        <v>0</v>
      </c>
      <c r="E314" s="1186">
        <v>8</v>
      </c>
    </row>
    <row r="315" spans="1:5" x14ac:dyDescent="0.2">
      <c r="A315" s="1186" t="s">
        <v>621</v>
      </c>
      <c r="B315" s="1186" t="s">
        <v>47</v>
      </c>
      <c r="C315" s="1186">
        <v>3</v>
      </c>
      <c r="D315" s="1186">
        <v>2</v>
      </c>
      <c r="E315" s="1186">
        <v>1</v>
      </c>
    </row>
    <row r="316" spans="1:5" x14ac:dyDescent="0.2">
      <c r="A316" s="1186" t="s">
        <v>621</v>
      </c>
      <c r="B316" s="1186" t="s">
        <v>48</v>
      </c>
      <c r="C316" s="1186">
        <v>8</v>
      </c>
      <c r="D316" s="1186">
        <v>0</v>
      </c>
      <c r="E316" s="1186">
        <v>8</v>
      </c>
    </row>
    <row r="317" spans="1:5" x14ac:dyDescent="0.2">
      <c r="A317" s="1186" t="s">
        <v>621</v>
      </c>
      <c r="B317" s="1186" t="s">
        <v>49</v>
      </c>
      <c r="C317" s="1186">
        <v>55</v>
      </c>
      <c r="D317" s="1186">
        <v>2</v>
      </c>
      <c r="E317" s="1186">
        <v>53</v>
      </c>
    </row>
    <row r="318" spans="1:5" x14ac:dyDescent="0.2">
      <c r="A318" s="1186" t="s">
        <v>621</v>
      </c>
      <c r="B318" s="1186" t="s">
        <v>50</v>
      </c>
      <c r="C318" s="1186">
        <v>9</v>
      </c>
      <c r="D318" s="1186">
        <v>0</v>
      </c>
      <c r="E318" s="1186">
        <v>9</v>
      </c>
    </row>
    <row r="319" spans="1:5" x14ac:dyDescent="0.2">
      <c r="A319" s="1186" t="s">
        <v>621</v>
      </c>
      <c r="B319" s="1186" t="s">
        <v>51</v>
      </c>
      <c r="C319" s="1186">
        <v>17</v>
      </c>
      <c r="D319" s="1186">
        <v>1</v>
      </c>
      <c r="E319" s="1186">
        <v>16</v>
      </c>
    </row>
    <row r="320" spans="1:5" x14ac:dyDescent="0.2">
      <c r="A320" s="1186" t="s">
        <v>621</v>
      </c>
      <c r="B320" s="1186" t="s">
        <v>52</v>
      </c>
      <c r="C320" s="1186">
        <v>22</v>
      </c>
      <c r="D320" s="1186">
        <v>0</v>
      </c>
      <c r="E320" s="1186">
        <v>22</v>
      </c>
    </row>
    <row r="321" spans="1:5" x14ac:dyDescent="0.2">
      <c r="A321" s="1186" t="s">
        <v>1419</v>
      </c>
      <c r="B321" s="1186" t="s">
        <v>23</v>
      </c>
      <c r="C321" s="1186">
        <v>22</v>
      </c>
      <c r="D321" s="1186">
        <v>1</v>
      </c>
      <c r="E321" s="1186">
        <v>21</v>
      </c>
    </row>
    <row r="322" spans="1:5" x14ac:dyDescent="0.2">
      <c r="A322" s="1186" t="s">
        <v>1419</v>
      </c>
      <c r="B322" s="1186" t="s">
        <v>24</v>
      </c>
      <c r="C322" s="1186">
        <v>17</v>
      </c>
      <c r="D322" s="1186">
        <v>0</v>
      </c>
      <c r="E322" s="1186">
        <v>17</v>
      </c>
    </row>
    <row r="323" spans="1:5" x14ac:dyDescent="0.2">
      <c r="A323" s="1186" t="s">
        <v>1419</v>
      </c>
      <c r="B323" s="1186" t="s">
        <v>25</v>
      </c>
      <c r="C323" s="1186">
        <v>4</v>
      </c>
      <c r="D323" s="1186">
        <v>0</v>
      </c>
      <c r="E323" s="1186">
        <v>4</v>
      </c>
    </row>
    <row r="324" spans="1:5" x14ac:dyDescent="0.2">
      <c r="A324" s="1186" t="s">
        <v>1419</v>
      </c>
      <c r="B324" s="1186" t="s">
        <v>26</v>
      </c>
      <c r="C324" s="1186">
        <v>26</v>
      </c>
      <c r="D324" s="1186">
        <v>1</v>
      </c>
      <c r="E324" s="1186">
        <v>25</v>
      </c>
    </row>
    <row r="325" spans="1:5" x14ac:dyDescent="0.2">
      <c r="A325" s="1186" t="s">
        <v>1419</v>
      </c>
      <c r="B325" s="1186" t="s">
        <v>619</v>
      </c>
      <c r="C325" s="1186">
        <v>107</v>
      </c>
      <c r="D325" s="1186">
        <v>3</v>
      </c>
      <c r="E325" s="1186">
        <v>104</v>
      </c>
    </row>
    <row r="326" spans="1:5" x14ac:dyDescent="0.2">
      <c r="A326" s="1186" t="s">
        <v>1419</v>
      </c>
      <c r="B326" s="1186" t="s">
        <v>27</v>
      </c>
      <c r="C326" s="1186">
        <v>6</v>
      </c>
      <c r="D326" s="1186">
        <v>0</v>
      </c>
      <c r="E326" s="1186">
        <v>6</v>
      </c>
    </row>
    <row r="327" spans="1:5" x14ac:dyDescent="0.2">
      <c r="A327" s="1186" t="s">
        <v>1419</v>
      </c>
      <c r="B327" s="1186" t="s">
        <v>28</v>
      </c>
      <c r="C327" s="1186">
        <v>12</v>
      </c>
      <c r="D327" s="1186">
        <v>1</v>
      </c>
      <c r="E327" s="1186">
        <v>11</v>
      </c>
    </row>
    <row r="328" spans="1:5" x14ac:dyDescent="0.2">
      <c r="A328" s="1186" t="s">
        <v>1419</v>
      </c>
      <c r="B328" s="1186" t="s">
        <v>29</v>
      </c>
      <c r="C328" s="1186">
        <v>23</v>
      </c>
      <c r="D328" s="1186">
        <v>1</v>
      </c>
      <c r="E328" s="1186">
        <v>22</v>
      </c>
    </row>
    <row r="329" spans="1:5" x14ac:dyDescent="0.2">
      <c r="A329" s="1186" t="s">
        <v>1419</v>
      </c>
      <c r="B329" s="1186" t="s">
        <v>30</v>
      </c>
      <c r="C329" s="1186">
        <v>8</v>
      </c>
      <c r="D329" s="1186">
        <v>0</v>
      </c>
      <c r="E329" s="1186">
        <v>8</v>
      </c>
    </row>
    <row r="330" spans="1:5" x14ac:dyDescent="0.2">
      <c r="A330" s="1186" t="s">
        <v>1419</v>
      </c>
      <c r="B330" s="1186" t="s">
        <v>31</v>
      </c>
      <c r="C330" s="1186">
        <v>8</v>
      </c>
      <c r="D330" s="1186">
        <v>0</v>
      </c>
      <c r="E330" s="1186">
        <v>8</v>
      </c>
    </row>
    <row r="331" spans="1:5" x14ac:dyDescent="0.2">
      <c r="A331" s="1186" t="s">
        <v>1419</v>
      </c>
      <c r="B331" s="1186" t="s">
        <v>32</v>
      </c>
      <c r="C331" s="1186">
        <v>16</v>
      </c>
      <c r="D331" s="1186">
        <v>0</v>
      </c>
      <c r="E331" s="1186">
        <v>16</v>
      </c>
    </row>
    <row r="332" spans="1:5" x14ac:dyDescent="0.2">
      <c r="A332" s="1186" t="s">
        <v>1419</v>
      </c>
      <c r="B332" s="1186" t="s">
        <v>33</v>
      </c>
      <c r="C332" s="1186">
        <v>6</v>
      </c>
      <c r="D332" s="1186">
        <v>0</v>
      </c>
      <c r="E332" s="1186">
        <v>6</v>
      </c>
    </row>
    <row r="333" spans="1:5" x14ac:dyDescent="0.2">
      <c r="A333" s="1186" t="s">
        <v>1419</v>
      </c>
      <c r="B333" s="1186" t="s">
        <v>34</v>
      </c>
      <c r="C333" s="1186">
        <v>34</v>
      </c>
      <c r="D333" s="1186">
        <v>0</v>
      </c>
      <c r="E333" s="1186">
        <v>34</v>
      </c>
    </row>
    <row r="334" spans="1:5" x14ac:dyDescent="0.2">
      <c r="A334" s="1186" t="s">
        <v>1419</v>
      </c>
      <c r="B334" s="1186" t="s">
        <v>35</v>
      </c>
      <c r="C334" s="1186">
        <v>45</v>
      </c>
      <c r="D334" s="1186">
        <v>0</v>
      </c>
      <c r="E334" s="1186">
        <v>45</v>
      </c>
    </row>
    <row r="335" spans="1:5" x14ac:dyDescent="0.2">
      <c r="A335" s="1186" t="s">
        <v>1419</v>
      </c>
      <c r="B335" s="1186" t="s">
        <v>36</v>
      </c>
      <c r="C335" s="1186">
        <v>137</v>
      </c>
      <c r="D335" s="1186">
        <v>5</v>
      </c>
      <c r="E335" s="1186">
        <v>132</v>
      </c>
    </row>
    <row r="336" spans="1:5" x14ac:dyDescent="0.2">
      <c r="A336" s="1186" t="s">
        <v>1419</v>
      </c>
      <c r="B336" s="1186" t="s">
        <v>37</v>
      </c>
      <c r="C336" s="1186">
        <v>49</v>
      </c>
      <c r="D336" s="1186">
        <v>1</v>
      </c>
      <c r="E336" s="1186">
        <v>48</v>
      </c>
    </row>
    <row r="337" spans="1:5" x14ac:dyDescent="0.2">
      <c r="A337" s="1186" t="s">
        <v>1419</v>
      </c>
      <c r="B337" s="1186" t="s">
        <v>38</v>
      </c>
      <c r="C337" s="1186">
        <v>20</v>
      </c>
      <c r="D337" s="1186">
        <v>0</v>
      </c>
      <c r="E337" s="1186">
        <v>20</v>
      </c>
    </row>
    <row r="338" spans="1:5" x14ac:dyDescent="0.2">
      <c r="A338" s="1186" t="s">
        <v>1419</v>
      </c>
      <c r="B338" s="1186" t="s">
        <v>39</v>
      </c>
      <c r="C338" s="1186">
        <v>17</v>
      </c>
      <c r="D338" s="1186">
        <v>0</v>
      </c>
      <c r="E338" s="1186">
        <v>17</v>
      </c>
    </row>
    <row r="339" spans="1:5" x14ac:dyDescent="0.2">
      <c r="A339" s="1186" t="s">
        <v>1419</v>
      </c>
      <c r="B339" s="1186" t="s">
        <v>40</v>
      </c>
      <c r="C339" s="1186">
        <v>10</v>
      </c>
      <c r="D339" s="1186">
        <v>0</v>
      </c>
      <c r="E339" s="1186">
        <v>10</v>
      </c>
    </row>
    <row r="340" spans="1:5" x14ac:dyDescent="0.2">
      <c r="A340" s="1186" t="s">
        <v>1419</v>
      </c>
      <c r="B340" s="1186" t="s">
        <v>295</v>
      </c>
      <c r="C340" s="1186">
        <v>6</v>
      </c>
      <c r="D340" s="1186">
        <v>0</v>
      </c>
      <c r="E340" s="1186">
        <v>6</v>
      </c>
    </row>
    <row r="341" spans="1:5" x14ac:dyDescent="0.2">
      <c r="A341" s="1186" t="s">
        <v>1419</v>
      </c>
      <c r="B341" s="1186" t="s">
        <v>41</v>
      </c>
      <c r="C341" s="1186">
        <v>21</v>
      </c>
      <c r="D341" s="1186">
        <v>2</v>
      </c>
      <c r="E341" s="1186">
        <v>19</v>
      </c>
    </row>
    <row r="342" spans="1:5" x14ac:dyDescent="0.2">
      <c r="A342" s="1186" t="s">
        <v>1419</v>
      </c>
      <c r="B342" s="1186" t="s">
        <v>42</v>
      </c>
      <c r="C342" s="1186">
        <v>48</v>
      </c>
      <c r="D342" s="1186">
        <v>2</v>
      </c>
      <c r="E342" s="1186">
        <v>46</v>
      </c>
    </row>
    <row r="343" spans="1:5" x14ac:dyDescent="0.2">
      <c r="A343" s="1186" t="s">
        <v>1419</v>
      </c>
      <c r="B343" s="1186" t="s">
        <v>43</v>
      </c>
      <c r="C343" s="1186">
        <v>8</v>
      </c>
      <c r="D343" s="1186">
        <v>0</v>
      </c>
      <c r="E343" s="1186">
        <v>8</v>
      </c>
    </row>
    <row r="344" spans="1:5" x14ac:dyDescent="0.2">
      <c r="A344" s="1186" t="s">
        <v>1419</v>
      </c>
      <c r="B344" s="1186" t="s">
        <v>44</v>
      </c>
      <c r="C344" s="1186">
        <v>13</v>
      </c>
      <c r="D344" s="1186">
        <v>0</v>
      </c>
      <c r="E344" s="1186">
        <v>13</v>
      </c>
    </row>
    <row r="345" spans="1:5" x14ac:dyDescent="0.2">
      <c r="A345" s="1186" t="s">
        <v>1419</v>
      </c>
      <c r="B345" s="1186" t="s">
        <v>45</v>
      </c>
      <c r="C345" s="1186">
        <v>49</v>
      </c>
      <c r="D345" s="1186">
        <v>0</v>
      </c>
      <c r="E345" s="1186">
        <v>49</v>
      </c>
    </row>
    <row r="346" spans="1:5" x14ac:dyDescent="0.2">
      <c r="A346" s="1186" t="s">
        <v>1419</v>
      </c>
      <c r="B346" s="1186" t="s">
        <v>46</v>
      </c>
      <c r="C346" s="1186">
        <v>12</v>
      </c>
      <c r="D346" s="1186">
        <v>0</v>
      </c>
      <c r="E346" s="1186">
        <v>12</v>
      </c>
    </row>
    <row r="347" spans="1:5" x14ac:dyDescent="0.2">
      <c r="A347" s="1186" t="s">
        <v>1419</v>
      </c>
      <c r="B347" s="1186" t="s">
        <v>47</v>
      </c>
      <c r="C347" s="1186">
        <v>2</v>
      </c>
      <c r="D347" s="1186">
        <v>0</v>
      </c>
      <c r="E347" s="1186">
        <v>2</v>
      </c>
    </row>
    <row r="348" spans="1:5" x14ac:dyDescent="0.2">
      <c r="A348" s="1186" t="s">
        <v>1419</v>
      </c>
      <c r="B348" s="1186" t="s">
        <v>48</v>
      </c>
      <c r="C348" s="1186">
        <v>20</v>
      </c>
      <c r="D348" s="1186">
        <v>1</v>
      </c>
      <c r="E348" s="1186">
        <v>19</v>
      </c>
    </row>
    <row r="349" spans="1:5" x14ac:dyDescent="0.2">
      <c r="A349" s="1186" t="s">
        <v>1419</v>
      </c>
      <c r="B349" s="1186" t="s">
        <v>49</v>
      </c>
      <c r="C349" s="1186">
        <v>61</v>
      </c>
      <c r="D349" s="1186">
        <v>1</v>
      </c>
      <c r="E349" s="1186">
        <v>60</v>
      </c>
    </row>
    <row r="350" spans="1:5" x14ac:dyDescent="0.2">
      <c r="A350" s="1186" t="s">
        <v>1419</v>
      </c>
      <c r="B350" s="1186" t="s">
        <v>50</v>
      </c>
      <c r="C350" s="1186">
        <v>14</v>
      </c>
      <c r="D350" s="1186">
        <v>0</v>
      </c>
      <c r="E350" s="1186">
        <v>14</v>
      </c>
    </row>
    <row r="351" spans="1:5" x14ac:dyDescent="0.2">
      <c r="A351" s="1186" t="s">
        <v>1419</v>
      </c>
      <c r="B351" s="1186" t="s">
        <v>51</v>
      </c>
      <c r="C351" s="1186">
        <v>22</v>
      </c>
      <c r="D351" s="1186">
        <v>1</v>
      </c>
      <c r="E351" s="1186">
        <v>21</v>
      </c>
    </row>
    <row r="352" spans="1:5" x14ac:dyDescent="0.2">
      <c r="A352" s="1186" t="s">
        <v>1419</v>
      </c>
      <c r="B352" s="1186" t="s">
        <v>52</v>
      </c>
      <c r="C352" s="1186">
        <v>32</v>
      </c>
      <c r="D352" s="1186">
        <v>1</v>
      </c>
      <c r="E352" s="1186">
        <v>31</v>
      </c>
    </row>
    <row r="353" spans="1:5" x14ac:dyDescent="0.2">
      <c r="A353" s="1186" t="s">
        <v>1572</v>
      </c>
      <c r="B353" s="1186" t="s">
        <v>23</v>
      </c>
      <c r="C353" s="1186">
        <v>29</v>
      </c>
      <c r="D353" s="1186">
        <v>2</v>
      </c>
      <c r="E353" s="1186">
        <v>27</v>
      </c>
    </row>
    <row r="354" spans="1:5" x14ac:dyDescent="0.2">
      <c r="A354" s="1186" t="s">
        <v>1572</v>
      </c>
      <c r="B354" s="1186" t="s">
        <v>24</v>
      </c>
      <c r="C354" s="1186">
        <v>21</v>
      </c>
      <c r="D354" s="1186">
        <v>1</v>
      </c>
      <c r="E354" s="1186">
        <v>20</v>
      </c>
    </row>
    <row r="355" spans="1:5" x14ac:dyDescent="0.2">
      <c r="A355" s="1186" t="s">
        <v>1572</v>
      </c>
      <c r="B355" s="1186" t="s">
        <v>25</v>
      </c>
      <c r="C355" s="1186">
        <v>6</v>
      </c>
      <c r="D355" s="1186">
        <v>0</v>
      </c>
      <c r="E355" s="1186">
        <v>6</v>
      </c>
    </row>
    <row r="356" spans="1:5" x14ac:dyDescent="0.2">
      <c r="A356" s="1186" t="s">
        <v>1572</v>
      </c>
      <c r="B356" s="1186" t="s">
        <v>26</v>
      </c>
      <c r="C356" s="1186">
        <v>13</v>
      </c>
      <c r="D356" s="1186">
        <v>0</v>
      </c>
      <c r="E356" s="1186">
        <v>13</v>
      </c>
    </row>
    <row r="357" spans="1:5" x14ac:dyDescent="0.2">
      <c r="A357" s="1186" t="s">
        <v>1572</v>
      </c>
      <c r="B357" s="1186" t="s">
        <v>619</v>
      </c>
      <c r="C357" s="1186">
        <v>141</v>
      </c>
      <c r="D357" s="1186">
        <v>5</v>
      </c>
      <c r="E357" s="1186">
        <v>136</v>
      </c>
    </row>
    <row r="358" spans="1:5" x14ac:dyDescent="0.2">
      <c r="A358" s="1186" t="s">
        <v>1572</v>
      </c>
      <c r="B358" s="1186" t="s">
        <v>27</v>
      </c>
      <c r="C358" s="1186">
        <v>6</v>
      </c>
      <c r="D358" s="1186">
        <v>0</v>
      </c>
      <c r="E358" s="1186">
        <v>6</v>
      </c>
    </row>
    <row r="359" spans="1:5" x14ac:dyDescent="0.2">
      <c r="A359" s="1186" t="s">
        <v>1572</v>
      </c>
      <c r="B359" s="1186" t="s">
        <v>28</v>
      </c>
      <c r="C359" s="1186">
        <v>14</v>
      </c>
      <c r="D359" s="1186">
        <v>0</v>
      </c>
      <c r="E359" s="1186">
        <v>14</v>
      </c>
    </row>
    <row r="360" spans="1:5" x14ac:dyDescent="0.2">
      <c r="A360" s="1186" t="s">
        <v>1572</v>
      </c>
      <c r="B360" s="1186" t="s">
        <v>29</v>
      </c>
      <c r="C360" s="1186">
        <v>28</v>
      </c>
      <c r="D360" s="1186">
        <v>1</v>
      </c>
      <c r="E360" s="1186">
        <v>27</v>
      </c>
    </row>
    <row r="361" spans="1:5" x14ac:dyDescent="0.2">
      <c r="A361" s="1186" t="s">
        <v>1572</v>
      </c>
      <c r="B361" s="1186" t="s">
        <v>30</v>
      </c>
      <c r="C361" s="1186">
        <v>16</v>
      </c>
      <c r="D361" s="1186">
        <v>2</v>
      </c>
      <c r="E361" s="1186">
        <v>14</v>
      </c>
    </row>
    <row r="362" spans="1:5" x14ac:dyDescent="0.2">
      <c r="A362" s="1186" t="s">
        <v>1572</v>
      </c>
      <c r="B362" s="1186" t="s">
        <v>31</v>
      </c>
      <c r="C362" s="1186">
        <v>8</v>
      </c>
      <c r="D362" s="1186">
        <v>0</v>
      </c>
      <c r="E362" s="1186">
        <v>8</v>
      </c>
    </row>
    <row r="363" spans="1:5" x14ac:dyDescent="0.2">
      <c r="A363" s="1186" t="s">
        <v>1572</v>
      </c>
      <c r="B363" s="1186" t="s">
        <v>32</v>
      </c>
      <c r="C363" s="1186">
        <v>9</v>
      </c>
      <c r="D363" s="1186">
        <v>2</v>
      </c>
      <c r="E363" s="1186">
        <v>7</v>
      </c>
    </row>
    <row r="364" spans="1:5" x14ac:dyDescent="0.2">
      <c r="A364" s="1186" t="s">
        <v>1572</v>
      </c>
      <c r="B364" s="1186" t="s">
        <v>33</v>
      </c>
      <c r="C364" s="1186">
        <v>5</v>
      </c>
      <c r="D364" s="1186">
        <v>0</v>
      </c>
      <c r="E364" s="1186">
        <v>5</v>
      </c>
    </row>
    <row r="365" spans="1:5" x14ac:dyDescent="0.2">
      <c r="A365" s="1186" t="s">
        <v>1572</v>
      </c>
      <c r="B365" s="1186" t="s">
        <v>34</v>
      </c>
      <c r="C365" s="1186">
        <v>24</v>
      </c>
      <c r="D365" s="1186">
        <v>0</v>
      </c>
      <c r="E365" s="1186">
        <v>24</v>
      </c>
    </row>
    <row r="366" spans="1:5" x14ac:dyDescent="0.2">
      <c r="A366" s="1186" t="s">
        <v>1572</v>
      </c>
      <c r="B366" s="1186" t="s">
        <v>35</v>
      </c>
      <c r="C366" s="1186">
        <v>40</v>
      </c>
      <c r="D366" s="1186">
        <v>1</v>
      </c>
      <c r="E366" s="1186">
        <v>39</v>
      </c>
    </row>
    <row r="367" spans="1:5" x14ac:dyDescent="0.2">
      <c r="A367" s="1186" t="s">
        <v>1572</v>
      </c>
      <c r="B367" s="1186" t="s">
        <v>36</v>
      </c>
      <c r="C367" s="1186">
        <v>147</v>
      </c>
      <c r="D367" s="1186">
        <v>6</v>
      </c>
      <c r="E367" s="1186">
        <v>141</v>
      </c>
    </row>
    <row r="368" spans="1:5" x14ac:dyDescent="0.2">
      <c r="A368" s="1186" t="s">
        <v>1572</v>
      </c>
      <c r="B368" s="1186" t="s">
        <v>37</v>
      </c>
      <c r="C368" s="1186">
        <v>42</v>
      </c>
      <c r="D368" s="1186">
        <v>3</v>
      </c>
      <c r="E368" s="1186">
        <v>39</v>
      </c>
    </row>
    <row r="369" spans="1:5" x14ac:dyDescent="0.2">
      <c r="A369" s="1186" t="s">
        <v>1572</v>
      </c>
      <c r="B369" s="1186" t="s">
        <v>38</v>
      </c>
      <c r="C369" s="1186">
        <v>19</v>
      </c>
      <c r="D369" s="1186">
        <v>1</v>
      </c>
      <c r="E369" s="1186">
        <v>18</v>
      </c>
    </row>
    <row r="370" spans="1:5" x14ac:dyDescent="0.2">
      <c r="A370" s="1186" t="s">
        <v>1572</v>
      </c>
      <c r="B370" s="1186" t="s">
        <v>39</v>
      </c>
      <c r="C370" s="1186">
        <v>15</v>
      </c>
      <c r="D370" s="1186">
        <v>0</v>
      </c>
      <c r="E370" s="1186">
        <v>15</v>
      </c>
    </row>
    <row r="371" spans="1:5" x14ac:dyDescent="0.2">
      <c r="A371" s="1186" t="s">
        <v>1572</v>
      </c>
      <c r="B371" s="1186" t="s">
        <v>40</v>
      </c>
      <c r="C371" s="1186">
        <v>9</v>
      </c>
      <c r="D371" s="1186">
        <v>0</v>
      </c>
      <c r="E371" s="1186">
        <v>9</v>
      </c>
    </row>
    <row r="372" spans="1:5" x14ac:dyDescent="0.2">
      <c r="A372" s="1186" t="s">
        <v>1572</v>
      </c>
      <c r="B372" s="1186" t="s">
        <v>295</v>
      </c>
      <c r="C372" s="1186">
        <v>2</v>
      </c>
      <c r="D372" s="1186">
        <v>0</v>
      </c>
      <c r="E372" s="1186">
        <v>2</v>
      </c>
    </row>
    <row r="373" spans="1:5" x14ac:dyDescent="0.2">
      <c r="A373" s="1186" t="s">
        <v>1572</v>
      </c>
      <c r="B373" s="1186" t="s">
        <v>41</v>
      </c>
      <c r="C373" s="1186">
        <v>57</v>
      </c>
      <c r="D373" s="1186">
        <v>1</v>
      </c>
      <c r="E373" s="1186">
        <v>56</v>
      </c>
    </row>
    <row r="374" spans="1:5" x14ac:dyDescent="0.2">
      <c r="A374" s="1186" t="s">
        <v>1572</v>
      </c>
      <c r="B374" s="1186" t="s">
        <v>42</v>
      </c>
      <c r="C374" s="1186">
        <v>49</v>
      </c>
      <c r="D374" s="1186">
        <v>1</v>
      </c>
      <c r="E374" s="1186">
        <v>48</v>
      </c>
    </row>
    <row r="375" spans="1:5" x14ac:dyDescent="0.2">
      <c r="A375" s="1186" t="s">
        <v>1572</v>
      </c>
      <c r="B375" s="1186" t="s">
        <v>43</v>
      </c>
      <c r="C375" s="1186">
        <v>10</v>
      </c>
      <c r="D375" s="1186">
        <v>0</v>
      </c>
      <c r="E375" s="1186">
        <v>10</v>
      </c>
    </row>
    <row r="376" spans="1:5" x14ac:dyDescent="0.2">
      <c r="A376" s="1186" t="s">
        <v>1572</v>
      </c>
      <c r="B376" s="1186" t="s">
        <v>44</v>
      </c>
      <c r="C376" s="1186">
        <v>13</v>
      </c>
      <c r="D376" s="1186">
        <v>1</v>
      </c>
      <c r="E376" s="1186">
        <v>12</v>
      </c>
    </row>
    <row r="377" spans="1:5" x14ac:dyDescent="0.2">
      <c r="A377" s="1186" t="s">
        <v>1572</v>
      </c>
      <c r="B377" s="1186" t="s">
        <v>45</v>
      </c>
      <c r="C377" s="1186">
        <v>46</v>
      </c>
      <c r="D377" s="1186">
        <v>1</v>
      </c>
      <c r="E377" s="1186">
        <v>45</v>
      </c>
    </row>
    <row r="378" spans="1:5" x14ac:dyDescent="0.2">
      <c r="A378" s="1186" t="s">
        <v>1572</v>
      </c>
      <c r="B378" s="1186" t="s">
        <v>46</v>
      </c>
      <c r="C378" s="1186">
        <v>16</v>
      </c>
      <c r="D378" s="1186">
        <v>0</v>
      </c>
      <c r="E378" s="1186">
        <v>16</v>
      </c>
    </row>
    <row r="379" spans="1:5" x14ac:dyDescent="0.2">
      <c r="A379" s="1186" t="s">
        <v>1572</v>
      </c>
      <c r="B379" s="1186" t="s">
        <v>47</v>
      </c>
      <c r="C379" s="1186">
        <v>3</v>
      </c>
      <c r="D379" s="1186">
        <v>0</v>
      </c>
      <c r="E379" s="1186">
        <v>3</v>
      </c>
    </row>
    <row r="380" spans="1:5" x14ac:dyDescent="0.2">
      <c r="A380" s="1186" t="s">
        <v>1572</v>
      </c>
      <c r="B380" s="1186" t="s">
        <v>48</v>
      </c>
      <c r="C380" s="1186">
        <v>14</v>
      </c>
      <c r="D380" s="1186">
        <v>1</v>
      </c>
      <c r="E380" s="1186">
        <v>13</v>
      </c>
    </row>
    <row r="381" spans="1:5" x14ac:dyDescent="0.2">
      <c r="A381" s="1186" t="s">
        <v>1572</v>
      </c>
      <c r="B381" s="1186" t="s">
        <v>49</v>
      </c>
      <c r="C381" s="1186">
        <v>62</v>
      </c>
      <c r="D381" s="1186">
        <v>2</v>
      </c>
      <c r="E381" s="1186">
        <v>60</v>
      </c>
    </row>
    <row r="382" spans="1:5" x14ac:dyDescent="0.2">
      <c r="A382" s="1186" t="s">
        <v>1572</v>
      </c>
      <c r="B382" s="1186" t="s">
        <v>50</v>
      </c>
      <c r="C382" s="1186">
        <v>14</v>
      </c>
      <c r="D382" s="1186">
        <v>0</v>
      </c>
      <c r="E382" s="1186">
        <v>14</v>
      </c>
    </row>
    <row r="383" spans="1:5" x14ac:dyDescent="0.2">
      <c r="A383" s="1186" t="s">
        <v>1572</v>
      </c>
      <c r="B383" s="1186" t="s">
        <v>51</v>
      </c>
      <c r="C383" s="1186">
        <v>25</v>
      </c>
      <c r="D383" s="1186">
        <v>0</v>
      </c>
      <c r="E383" s="1186">
        <v>25</v>
      </c>
    </row>
    <row r="384" spans="1:5" x14ac:dyDescent="0.2">
      <c r="A384" s="1186" t="s">
        <v>1572</v>
      </c>
      <c r="B384" s="1186" t="s">
        <v>52</v>
      </c>
      <c r="C384" s="1186">
        <v>19</v>
      </c>
      <c r="D384" s="1186">
        <v>0</v>
      </c>
      <c r="E384" s="1186">
        <v>19</v>
      </c>
    </row>
  </sheetData>
  <pageMargins left="0.7" right="0.7" top="0.75" bottom="0.75" header="0.3" footer="0.3"/>
  <pageSetup paperSize="9" fitToHeight="50" orientation="landscape" r:id="rId1"/>
  <legacyDrawing r:id="rId2"/>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pageSetUpPr fitToPage="1"/>
  </sheetPr>
  <dimension ref="A1:V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85546875" bestFit="1" customWidth="1"/>
    <col min="3" max="3" width="7" bestFit="1" customWidth="1"/>
    <col min="4" max="4" width="23" bestFit="1" customWidth="1"/>
    <col min="5" max="5" width="10.140625" bestFit="1" customWidth="1"/>
    <col min="6" max="6" width="30.28515625" bestFit="1" customWidth="1"/>
    <col min="7" max="7" width="29.7109375" bestFit="1" customWidth="1"/>
    <col min="8" max="8" width="19" bestFit="1" customWidth="1"/>
    <col min="9" max="9" width="13" bestFit="1" customWidth="1"/>
    <col min="10" max="10" width="42.42578125" bestFit="1" customWidth="1"/>
    <col min="11" max="11" width="16.7109375" bestFit="1" customWidth="1"/>
    <col min="12" max="12" width="26.5703125" bestFit="1" customWidth="1"/>
    <col min="13" max="13" width="25.140625" bestFit="1" customWidth="1"/>
    <col min="14" max="14" width="18.85546875" bestFit="1" customWidth="1"/>
    <col min="15" max="15" width="25.42578125" bestFit="1" customWidth="1"/>
    <col min="16" max="16" width="18.42578125" bestFit="1" customWidth="1"/>
    <col min="17" max="17" width="22.140625" bestFit="1" customWidth="1"/>
    <col min="18" max="18" width="24.7109375" bestFit="1" customWidth="1"/>
    <col min="19" max="19" width="15.85546875" bestFit="1" customWidth="1"/>
    <col min="20" max="20" width="10.5703125" bestFit="1" customWidth="1"/>
    <col min="21" max="21" width="20.5703125" bestFit="1" customWidth="1"/>
    <col min="22" max="22" width="12.85546875" bestFit="1" customWidth="1"/>
  </cols>
  <sheetData>
    <row r="1" spans="1:22" x14ac:dyDescent="0.2"/>
    <row r="4" spans="1:22" x14ac:dyDescent="0.2">
      <c r="A4" s="1223" t="s">
        <v>4</v>
      </c>
      <c r="B4" s="1223" t="s">
        <v>1647</v>
      </c>
      <c r="C4" s="1223" t="s">
        <v>1648</v>
      </c>
      <c r="D4" s="1223" t="s">
        <v>1649</v>
      </c>
      <c r="E4" s="1223" t="s">
        <v>1650</v>
      </c>
      <c r="F4" s="1223" t="s">
        <v>1651</v>
      </c>
      <c r="G4" s="1223" t="s">
        <v>1652</v>
      </c>
      <c r="H4" s="1223" t="s">
        <v>1653</v>
      </c>
      <c r="I4" s="1223" t="s">
        <v>1654</v>
      </c>
      <c r="J4" s="1223" t="s">
        <v>1655</v>
      </c>
      <c r="K4" s="1223" t="s">
        <v>1656</v>
      </c>
      <c r="L4" s="1223" t="s">
        <v>1657</v>
      </c>
      <c r="M4" s="1223" t="s">
        <v>1658</v>
      </c>
      <c r="N4" s="1223" t="s">
        <v>1659</v>
      </c>
      <c r="O4" s="1223" t="s">
        <v>1660</v>
      </c>
      <c r="P4" s="1223" t="s">
        <v>1661</v>
      </c>
      <c r="Q4" s="1223" t="s">
        <v>1662</v>
      </c>
      <c r="R4" s="1223" t="s">
        <v>1663</v>
      </c>
      <c r="S4" s="1223" t="s">
        <v>1664</v>
      </c>
      <c r="T4" s="1223" t="s">
        <v>1665</v>
      </c>
      <c r="U4" s="1223" t="s">
        <v>1666</v>
      </c>
      <c r="V4" s="1223" t="s">
        <v>1667</v>
      </c>
    </row>
    <row r="5" spans="1:22" x14ac:dyDescent="0.2">
      <c r="A5" s="1186" t="s">
        <v>19</v>
      </c>
      <c r="B5" s="1186">
        <v>1</v>
      </c>
      <c r="C5" s="1186">
        <v>2945</v>
      </c>
      <c r="D5" s="1186">
        <v>163</v>
      </c>
      <c r="E5" s="1186">
        <v>2038</v>
      </c>
      <c r="F5" s="1186">
        <v>192</v>
      </c>
      <c r="G5" s="1186">
        <v>763</v>
      </c>
      <c r="H5" s="1186">
        <v>64</v>
      </c>
      <c r="I5" s="1186">
        <v>769</v>
      </c>
      <c r="J5" s="1186">
        <v>388</v>
      </c>
      <c r="K5" s="1186">
        <v>130</v>
      </c>
      <c r="L5" s="1186">
        <v>133</v>
      </c>
      <c r="M5" s="1186">
        <v>378</v>
      </c>
      <c r="N5" s="1186">
        <v>187</v>
      </c>
      <c r="O5" s="1186">
        <v>403</v>
      </c>
      <c r="P5" s="1186">
        <v>843</v>
      </c>
      <c r="Q5" s="1186">
        <v>284</v>
      </c>
      <c r="R5" s="1186">
        <v>756</v>
      </c>
      <c r="S5" s="1186">
        <v>19</v>
      </c>
      <c r="T5" s="1186">
        <v>231</v>
      </c>
      <c r="U5" s="1186">
        <v>610</v>
      </c>
      <c r="V5" s="1186">
        <v>207</v>
      </c>
    </row>
    <row r="6" spans="1:22" x14ac:dyDescent="0.2">
      <c r="A6" s="1186" t="s">
        <v>20</v>
      </c>
      <c r="B6" s="1186"/>
      <c r="C6" s="1186">
        <v>2421</v>
      </c>
      <c r="D6" s="1186">
        <v>147</v>
      </c>
      <c r="E6" s="1186">
        <v>2475</v>
      </c>
      <c r="F6" s="1186">
        <v>140</v>
      </c>
      <c r="G6" s="1186">
        <v>664</v>
      </c>
      <c r="H6" s="1186">
        <v>51</v>
      </c>
      <c r="I6" s="1186">
        <v>705</v>
      </c>
      <c r="J6" s="1186">
        <v>326</v>
      </c>
      <c r="K6" s="1186">
        <v>149</v>
      </c>
      <c r="L6" s="1186">
        <v>131</v>
      </c>
      <c r="M6" s="1186">
        <v>430</v>
      </c>
      <c r="N6" s="1186">
        <v>170</v>
      </c>
      <c r="O6" s="1186">
        <v>341</v>
      </c>
      <c r="P6" s="1186">
        <v>900</v>
      </c>
      <c r="Q6" s="1186">
        <v>509</v>
      </c>
      <c r="R6" s="1186">
        <v>699</v>
      </c>
      <c r="S6" s="1186">
        <v>23</v>
      </c>
      <c r="T6" s="1186">
        <v>215</v>
      </c>
      <c r="U6" s="1186">
        <v>568</v>
      </c>
      <c r="V6" s="1186">
        <v>271</v>
      </c>
    </row>
    <row r="7" spans="1:22" x14ac:dyDescent="0.2">
      <c r="A7" s="1186" t="s">
        <v>13</v>
      </c>
      <c r="B7" s="1186"/>
      <c r="C7" s="1186">
        <v>2223</v>
      </c>
      <c r="D7" s="1186">
        <v>116</v>
      </c>
      <c r="E7" s="1186">
        <v>1136</v>
      </c>
      <c r="F7" s="1186">
        <v>161</v>
      </c>
      <c r="G7" s="1186">
        <v>688</v>
      </c>
      <c r="H7" s="1186">
        <v>72</v>
      </c>
      <c r="I7" s="1186">
        <v>678</v>
      </c>
      <c r="J7" s="1186">
        <v>283</v>
      </c>
      <c r="K7" s="1186">
        <v>146</v>
      </c>
      <c r="L7" s="1186">
        <v>140</v>
      </c>
      <c r="M7" s="1186">
        <v>287</v>
      </c>
      <c r="N7" s="1186">
        <v>154</v>
      </c>
      <c r="O7" s="1186">
        <v>321</v>
      </c>
      <c r="P7" s="1186">
        <v>882</v>
      </c>
      <c r="Q7" s="1186">
        <v>925</v>
      </c>
      <c r="R7" s="1186">
        <v>854</v>
      </c>
      <c r="S7" s="1186">
        <v>9</v>
      </c>
      <c r="T7" s="1186">
        <v>161</v>
      </c>
      <c r="U7" s="1186">
        <v>566</v>
      </c>
      <c r="V7" s="1186">
        <v>317</v>
      </c>
    </row>
    <row r="8" spans="1:22" x14ac:dyDescent="0.2">
      <c r="A8" s="1186" t="s">
        <v>15</v>
      </c>
      <c r="B8" s="1186"/>
      <c r="C8" s="1186">
        <v>2264</v>
      </c>
      <c r="D8" s="1186">
        <v>98</v>
      </c>
      <c r="E8" s="1186">
        <v>1357</v>
      </c>
      <c r="F8" s="1186">
        <v>166</v>
      </c>
      <c r="G8" s="1186">
        <v>556</v>
      </c>
      <c r="H8" s="1186">
        <v>63</v>
      </c>
      <c r="I8" s="1186">
        <v>617</v>
      </c>
      <c r="J8" s="1186">
        <v>245</v>
      </c>
      <c r="K8" s="1186">
        <v>116</v>
      </c>
      <c r="L8" s="1186">
        <v>174</v>
      </c>
      <c r="M8" s="1186">
        <v>286</v>
      </c>
      <c r="N8" s="1186">
        <v>218</v>
      </c>
      <c r="O8" s="1186">
        <v>350</v>
      </c>
      <c r="P8" s="1186">
        <v>884</v>
      </c>
      <c r="Q8" s="1186">
        <v>247</v>
      </c>
      <c r="R8" s="1186">
        <v>742</v>
      </c>
      <c r="S8" s="1186">
        <v>4</v>
      </c>
      <c r="T8" s="1186">
        <v>112</v>
      </c>
      <c r="U8" s="1186">
        <v>466</v>
      </c>
      <c r="V8" s="1186">
        <v>201</v>
      </c>
    </row>
    <row r="9" spans="1:22" x14ac:dyDescent="0.2">
      <c r="A9" s="1186" t="s">
        <v>17</v>
      </c>
      <c r="B9" s="1186"/>
      <c r="C9" s="1186">
        <v>2137</v>
      </c>
      <c r="D9" s="1186">
        <v>78</v>
      </c>
      <c r="E9" s="1186">
        <v>1066</v>
      </c>
      <c r="F9" s="1186">
        <v>149</v>
      </c>
      <c r="G9" s="1186">
        <v>454</v>
      </c>
      <c r="H9" s="1186">
        <v>59</v>
      </c>
      <c r="I9" s="1186">
        <v>667</v>
      </c>
      <c r="J9" s="1186">
        <v>277</v>
      </c>
      <c r="K9" s="1186">
        <v>103</v>
      </c>
      <c r="L9" s="1186">
        <v>192</v>
      </c>
      <c r="M9" s="1186">
        <v>252</v>
      </c>
      <c r="N9" s="1186">
        <v>248</v>
      </c>
      <c r="O9" s="1186">
        <v>365</v>
      </c>
      <c r="P9" s="1186">
        <v>1071</v>
      </c>
      <c r="Q9" s="1186">
        <v>418</v>
      </c>
      <c r="R9" s="1186">
        <v>758</v>
      </c>
      <c r="S9" s="1186">
        <v>18</v>
      </c>
      <c r="T9" s="1186">
        <v>81</v>
      </c>
      <c r="U9" s="1186">
        <v>558</v>
      </c>
      <c r="V9" s="1186">
        <v>215</v>
      </c>
    </row>
    <row r="10" spans="1:22" x14ac:dyDescent="0.2">
      <c r="A10" s="1186" t="s">
        <v>133</v>
      </c>
      <c r="B10" s="1186"/>
      <c r="C10" s="1186">
        <v>2293</v>
      </c>
      <c r="D10" s="1186">
        <v>96</v>
      </c>
      <c r="E10" s="1186">
        <v>1251</v>
      </c>
      <c r="F10" s="1186">
        <v>115</v>
      </c>
      <c r="G10" s="1186">
        <v>494</v>
      </c>
      <c r="H10" s="1186">
        <v>59</v>
      </c>
      <c r="I10" s="1186">
        <v>613</v>
      </c>
      <c r="J10" s="1186">
        <v>371</v>
      </c>
      <c r="K10" s="1186">
        <v>137</v>
      </c>
      <c r="L10" s="1186">
        <v>188</v>
      </c>
      <c r="M10" s="1186">
        <v>233</v>
      </c>
      <c r="N10" s="1186">
        <v>253</v>
      </c>
      <c r="O10" s="1186">
        <v>374</v>
      </c>
      <c r="P10" s="1186">
        <v>1776</v>
      </c>
      <c r="Q10" s="1186">
        <v>353</v>
      </c>
      <c r="R10" s="1186">
        <v>1073</v>
      </c>
      <c r="S10" s="1186">
        <v>8</v>
      </c>
      <c r="T10" s="1186">
        <v>79</v>
      </c>
      <c r="U10" s="1186">
        <v>777</v>
      </c>
      <c r="V10" s="1186">
        <v>200</v>
      </c>
    </row>
    <row r="11" spans="1:22" x14ac:dyDescent="0.2">
      <c r="A11" s="1186" t="s">
        <v>144</v>
      </c>
      <c r="B11" s="1186"/>
      <c r="C11" s="1186">
        <v>2445</v>
      </c>
      <c r="D11" s="1186">
        <v>89</v>
      </c>
      <c r="E11" s="1186">
        <v>1488</v>
      </c>
      <c r="F11" s="1186">
        <v>174</v>
      </c>
      <c r="G11" s="1186">
        <v>524</v>
      </c>
      <c r="H11" s="1186">
        <v>51</v>
      </c>
      <c r="I11" s="1186">
        <v>652</v>
      </c>
      <c r="J11" s="1186">
        <v>520</v>
      </c>
      <c r="K11" s="1186">
        <v>131</v>
      </c>
      <c r="L11" s="1186">
        <v>183</v>
      </c>
      <c r="M11" s="1186">
        <v>222</v>
      </c>
      <c r="N11" s="1186">
        <v>283</v>
      </c>
      <c r="O11" s="1186">
        <v>384</v>
      </c>
      <c r="P11" s="1186">
        <v>2489</v>
      </c>
      <c r="Q11" s="1186">
        <v>403</v>
      </c>
      <c r="R11" s="1186">
        <v>1324</v>
      </c>
      <c r="S11" s="1186">
        <v>8</v>
      </c>
      <c r="T11" s="1186">
        <v>76</v>
      </c>
      <c r="U11" s="1186">
        <v>1202</v>
      </c>
      <c r="V11" s="1186">
        <v>191</v>
      </c>
    </row>
    <row r="12" spans="1:22" x14ac:dyDescent="0.2">
      <c r="A12" s="1186" t="s">
        <v>282</v>
      </c>
      <c r="B12" s="1186"/>
      <c r="C12" s="1186">
        <v>2462</v>
      </c>
      <c r="D12" s="1186">
        <v>85</v>
      </c>
      <c r="E12" s="1186">
        <v>1005</v>
      </c>
      <c r="F12" s="1186">
        <v>118</v>
      </c>
      <c r="G12" s="1186">
        <v>541</v>
      </c>
      <c r="H12" s="1186">
        <v>71</v>
      </c>
      <c r="I12" s="1186">
        <v>695</v>
      </c>
      <c r="J12" s="1186">
        <v>538</v>
      </c>
      <c r="K12" s="1186">
        <v>168</v>
      </c>
      <c r="L12" s="1186">
        <v>193</v>
      </c>
      <c r="M12" s="1186">
        <v>255</v>
      </c>
      <c r="N12" s="1186">
        <v>273</v>
      </c>
      <c r="O12" s="1186">
        <v>402</v>
      </c>
      <c r="P12" s="1186">
        <v>2837</v>
      </c>
      <c r="Q12" s="1186">
        <v>216</v>
      </c>
      <c r="R12" s="1186">
        <v>1118</v>
      </c>
      <c r="S12" s="1186">
        <v>7</v>
      </c>
      <c r="T12" s="1186">
        <v>72</v>
      </c>
      <c r="U12" s="1186">
        <v>1164</v>
      </c>
      <c r="V12" s="1186">
        <v>151</v>
      </c>
    </row>
    <row r="13" spans="1:22" x14ac:dyDescent="0.2">
      <c r="A13" s="1186" t="s">
        <v>311</v>
      </c>
      <c r="B13" s="1186"/>
      <c r="C13" s="1186">
        <v>2533</v>
      </c>
      <c r="D13" s="1186">
        <v>84</v>
      </c>
      <c r="E13" s="1186">
        <v>1302</v>
      </c>
      <c r="F13" s="1186">
        <v>146</v>
      </c>
      <c r="G13" s="1186">
        <v>555</v>
      </c>
      <c r="H13" s="1186">
        <v>84</v>
      </c>
      <c r="I13" s="1186">
        <v>717</v>
      </c>
      <c r="J13" s="1186">
        <v>487</v>
      </c>
      <c r="K13" s="1186">
        <v>156</v>
      </c>
      <c r="L13" s="1186">
        <v>192</v>
      </c>
      <c r="M13" s="1186">
        <v>196</v>
      </c>
      <c r="N13" s="1186">
        <v>262</v>
      </c>
      <c r="O13" s="1186">
        <v>416</v>
      </c>
      <c r="P13" s="1186">
        <v>3122</v>
      </c>
      <c r="Q13" s="1186">
        <v>294</v>
      </c>
      <c r="R13" s="1186">
        <v>1213</v>
      </c>
      <c r="S13" s="1186">
        <v>3</v>
      </c>
      <c r="T13" s="1186">
        <v>77</v>
      </c>
      <c r="U13" s="1186">
        <v>1166</v>
      </c>
      <c r="V13" s="1186">
        <v>170</v>
      </c>
    </row>
    <row r="14" spans="1:22" x14ac:dyDescent="0.2">
      <c r="A14" s="1186" t="s">
        <v>621</v>
      </c>
      <c r="B14" s="1186"/>
      <c r="C14" s="1186">
        <v>2313</v>
      </c>
      <c r="D14" s="1186">
        <v>100</v>
      </c>
      <c r="E14" s="1186">
        <v>1156</v>
      </c>
      <c r="F14" s="1186">
        <v>172</v>
      </c>
      <c r="G14" s="1186">
        <v>494</v>
      </c>
      <c r="H14" s="1186">
        <v>76</v>
      </c>
      <c r="I14" s="1186">
        <v>793</v>
      </c>
      <c r="J14" s="1186">
        <v>463</v>
      </c>
      <c r="K14" s="1186">
        <v>233</v>
      </c>
      <c r="L14" s="1186">
        <v>184</v>
      </c>
      <c r="M14" s="1186">
        <v>108</v>
      </c>
      <c r="N14" s="1186">
        <v>277</v>
      </c>
      <c r="O14" s="1186">
        <v>440</v>
      </c>
      <c r="P14" s="1186">
        <v>3276</v>
      </c>
      <c r="Q14" s="1186">
        <v>385</v>
      </c>
      <c r="R14" s="1186">
        <v>1128</v>
      </c>
      <c r="S14" s="1186">
        <v>4</v>
      </c>
      <c r="T14" s="1186">
        <v>54</v>
      </c>
      <c r="U14" s="1186">
        <v>1191</v>
      </c>
      <c r="V14" s="1186">
        <v>149</v>
      </c>
    </row>
    <row r="15" spans="1:22" x14ac:dyDescent="0.2">
      <c r="A15" s="1186" t="s">
        <v>1419</v>
      </c>
      <c r="B15" s="1186"/>
      <c r="C15" s="1186">
        <v>2372</v>
      </c>
      <c r="D15" s="1186">
        <v>107</v>
      </c>
      <c r="E15" s="1186">
        <v>1627</v>
      </c>
      <c r="F15" s="1186">
        <v>218</v>
      </c>
      <c r="G15" s="1186">
        <v>599</v>
      </c>
      <c r="H15" s="1186">
        <v>82</v>
      </c>
      <c r="I15" s="1186">
        <v>748</v>
      </c>
      <c r="J15" s="1186">
        <v>484</v>
      </c>
      <c r="K15" s="1186">
        <v>222</v>
      </c>
      <c r="L15" s="1186">
        <v>187</v>
      </c>
      <c r="M15" s="1186">
        <v>71</v>
      </c>
      <c r="N15" s="1186">
        <v>344</v>
      </c>
      <c r="O15" s="1186">
        <v>447</v>
      </c>
      <c r="P15" s="1186">
        <v>3992</v>
      </c>
      <c r="Q15" s="1186">
        <v>310</v>
      </c>
      <c r="R15" s="1186">
        <v>1139</v>
      </c>
      <c r="S15" s="1186">
        <v>4</v>
      </c>
      <c r="T15" s="1186">
        <v>25</v>
      </c>
      <c r="U15" s="1186">
        <v>1259</v>
      </c>
      <c r="V15" s="1186">
        <v>160</v>
      </c>
    </row>
    <row r="16" spans="1:22" x14ac:dyDescent="0.2">
      <c r="A16" s="1186" t="s">
        <v>1572</v>
      </c>
      <c r="B16" s="1186"/>
      <c r="C16" s="1186">
        <v>1596</v>
      </c>
      <c r="D16" s="1186">
        <v>86</v>
      </c>
      <c r="E16" s="1186">
        <v>1617</v>
      </c>
      <c r="F16" s="1186">
        <v>230</v>
      </c>
      <c r="G16" s="1186">
        <v>631</v>
      </c>
      <c r="H16" s="1186">
        <v>109</v>
      </c>
      <c r="I16" s="1186">
        <v>415</v>
      </c>
      <c r="J16" s="1186">
        <v>342</v>
      </c>
      <c r="K16" s="1186">
        <v>210</v>
      </c>
      <c r="L16" s="1186">
        <v>158</v>
      </c>
      <c r="M16" s="1186">
        <v>81</v>
      </c>
      <c r="N16" s="1186">
        <v>392</v>
      </c>
      <c r="O16" s="1186">
        <v>470</v>
      </c>
      <c r="P16" s="1186">
        <v>3735</v>
      </c>
      <c r="Q16" s="1186">
        <v>326</v>
      </c>
      <c r="R16" s="1186">
        <v>923</v>
      </c>
      <c r="S16" s="1186">
        <v>3</v>
      </c>
      <c r="T16" s="1186">
        <v>18</v>
      </c>
      <c r="U16" s="1186">
        <v>1161</v>
      </c>
      <c r="V16" s="1186">
        <v>190</v>
      </c>
    </row>
  </sheetData>
  <pageMargins left="0.7" right="0.7" top="0.75" bottom="0.75" header="0.3" footer="0.3"/>
  <pageSetup paperSize="9" fitToHeight="50" orientation="landscape" r:id="rId1"/>
  <legacyDrawing r:id="rId2"/>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pageSetUpPr fitToPage="1"/>
  </sheetPr>
  <dimension ref="A1:X390"/>
  <sheetViews>
    <sheetView topLeftCell="O1" zoomScale="85" zoomScaleNormal="85" workbookViewId="0">
      <pane ySplit="4" topLeftCell="A346"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9.5703125" bestFit="1" customWidth="1"/>
    <col min="3" max="3" width="1.85546875" bestFit="1" customWidth="1"/>
    <col min="4" max="4" width="7" bestFit="1" customWidth="1"/>
    <col min="5" max="5" width="23" bestFit="1" customWidth="1"/>
    <col min="6" max="6" width="10.140625" bestFit="1" customWidth="1"/>
    <col min="7" max="7" width="30.28515625" bestFit="1" customWidth="1"/>
    <col min="8" max="8" width="29.7109375" bestFit="1" customWidth="1"/>
    <col min="9" max="9" width="19" bestFit="1" customWidth="1"/>
    <col min="10" max="10" width="13" bestFit="1" customWidth="1"/>
    <col min="11" max="11" width="42.42578125" bestFit="1" customWidth="1"/>
    <col min="12" max="12" width="16.7109375" bestFit="1" customWidth="1"/>
    <col min="13" max="13" width="26.5703125" bestFit="1" customWidth="1"/>
    <col min="14" max="14" width="25.140625" bestFit="1" customWidth="1"/>
    <col min="15" max="15" width="18.85546875" bestFit="1" customWidth="1"/>
    <col min="16" max="16" width="25.42578125" bestFit="1" customWidth="1"/>
    <col min="17" max="17" width="18.42578125" bestFit="1" customWidth="1"/>
    <col min="18" max="18" width="22.140625" bestFit="1" customWidth="1"/>
    <col min="19" max="19" width="24.7109375" bestFit="1" customWidth="1"/>
    <col min="20" max="20" width="15.85546875" bestFit="1" customWidth="1"/>
    <col min="21" max="21" width="10.5703125" bestFit="1" customWidth="1"/>
    <col min="22" max="22" width="20.5703125" bestFit="1" customWidth="1"/>
    <col min="23" max="23" width="12.85546875" bestFit="1" customWidth="1"/>
    <col min="24" max="24" width="6.85546875" bestFit="1" customWidth="1"/>
  </cols>
  <sheetData>
    <row r="1" spans="1:24" x14ac:dyDescent="0.2"/>
    <row r="4" spans="1:24" x14ac:dyDescent="0.2">
      <c r="A4" s="1223" t="s">
        <v>4</v>
      </c>
      <c r="B4" s="1223" t="s">
        <v>1627</v>
      </c>
      <c r="C4" s="1223" t="s">
        <v>1647</v>
      </c>
      <c r="D4" s="1223" t="s">
        <v>1648</v>
      </c>
      <c r="E4" s="1223" t="s">
        <v>1649</v>
      </c>
      <c r="F4" s="1223" t="s">
        <v>1650</v>
      </c>
      <c r="G4" s="1223" t="s">
        <v>1651</v>
      </c>
      <c r="H4" s="1223" t="s">
        <v>1652</v>
      </c>
      <c r="I4" s="1223" t="s">
        <v>1653</v>
      </c>
      <c r="J4" s="1223" t="s">
        <v>1654</v>
      </c>
      <c r="K4" s="1223" t="s">
        <v>1655</v>
      </c>
      <c r="L4" s="1223" t="s">
        <v>1656</v>
      </c>
      <c r="M4" s="1223" t="s">
        <v>1657</v>
      </c>
      <c r="N4" s="1223" t="s">
        <v>1658</v>
      </c>
      <c r="O4" s="1223" t="s">
        <v>1659</v>
      </c>
      <c r="P4" s="1223" t="s">
        <v>1660</v>
      </c>
      <c r="Q4" s="1223" t="s">
        <v>1661</v>
      </c>
      <c r="R4" s="1223" t="s">
        <v>1662</v>
      </c>
      <c r="S4" s="1223" t="s">
        <v>1663</v>
      </c>
      <c r="T4" s="1223" t="s">
        <v>1664</v>
      </c>
      <c r="U4" s="1223" t="s">
        <v>1665</v>
      </c>
      <c r="V4" s="1223" t="s">
        <v>1666</v>
      </c>
      <c r="W4" s="1223" t="s">
        <v>1667</v>
      </c>
      <c r="X4" s="1223" t="s">
        <v>1582</v>
      </c>
    </row>
    <row r="5" spans="1:24" x14ac:dyDescent="0.2">
      <c r="A5" s="1186" t="s">
        <v>19</v>
      </c>
      <c r="B5" s="1186" t="s">
        <v>23</v>
      </c>
      <c r="C5" s="1186">
        <v>1</v>
      </c>
      <c r="D5" s="1186">
        <v>82</v>
      </c>
      <c r="E5" s="1186">
        <v>21</v>
      </c>
      <c r="F5" s="1186">
        <v>68</v>
      </c>
      <c r="G5" s="1186">
        <v>5</v>
      </c>
      <c r="H5" s="1186">
        <v>36</v>
      </c>
      <c r="I5" s="1186">
        <v>2</v>
      </c>
      <c r="J5" s="1186">
        <v>130</v>
      </c>
      <c r="K5" s="1186">
        <v>5</v>
      </c>
      <c r="L5" s="1186">
        <v>2</v>
      </c>
      <c r="M5" s="1186">
        <v>9</v>
      </c>
      <c r="N5" s="1186">
        <v>21</v>
      </c>
      <c r="O5" s="1186">
        <v>2</v>
      </c>
      <c r="P5" s="1186">
        <v>8</v>
      </c>
      <c r="Q5" s="1186">
        <v>25</v>
      </c>
      <c r="R5" s="1186">
        <v>18</v>
      </c>
      <c r="S5" s="1186">
        <v>40</v>
      </c>
      <c r="T5" s="1186">
        <v>0</v>
      </c>
      <c r="U5" s="1186">
        <v>11</v>
      </c>
      <c r="V5" s="1186">
        <v>25</v>
      </c>
      <c r="W5" s="1186">
        <v>47</v>
      </c>
      <c r="X5" s="1186">
        <v>217020</v>
      </c>
    </row>
    <row r="6" spans="1:24" x14ac:dyDescent="0.2">
      <c r="A6" s="1186" t="s">
        <v>19</v>
      </c>
      <c r="B6" s="1186" t="s">
        <v>24</v>
      </c>
      <c r="C6" s="1186">
        <v>0</v>
      </c>
      <c r="D6" s="1186">
        <v>299</v>
      </c>
      <c r="E6" s="1186">
        <v>5</v>
      </c>
      <c r="F6" s="1186">
        <v>93</v>
      </c>
      <c r="G6" s="1186">
        <v>20</v>
      </c>
      <c r="H6" s="1186">
        <v>19</v>
      </c>
      <c r="I6" s="1186">
        <v>1</v>
      </c>
      <c r="J6" s="1186">
        <v>5</v>
      </c>
      <c r="K6" s="1186">
        <v>126</v>
      </c>
      <c r="L6" s="1186">
        <v>0</v>
      </c>
      <c r="M6" s="1186">
        <v>7</v>
      </c>
      <c r="N6" s="1186">
        <v>11</v>
      </c>
      <c r="O6" s="1186">
        <v>3</v>
      </c>
      <c r="P6" s="1186">
        <v>15</v>
      </c>
      <c r="Q6" s="1186">
        <v>4</v>
      </c>
      <c r="R6" s="1186">
        <v>8</v>
      </c>
      <c r="S6" s="1186">
        <v>40</v>
      </c>
      <c r="T6" s="1186">
        <v>0</v>
      </c>
      <c r="U6" s="1186">
        <v>1</v>
      </c>
      <c r="V6" s="1186">
        <v>17</v>
      </c>
      <c r="W6" s="1186">
        <v>8</v>
      </c>
      <c r="X6" s="1186">
        <v>249020</v>
      </c>
    </row>
    <row r="7" spans="1:24" x14ac:dyDescent="0.2">
      <c r="A7" s="1186" t="s">
        <v>19</v>
      </c>
      <c r="B7" s="1186" t="s">
        <v>25</v>
      </c>
      <c r="C7" s="1186">
        <v>0</v>
      </c>
      <c r="D7" s="1186">
        <v>43</v>
      </c>
      <c r="E7" s="1186">
        <v>1</v>
      </c>
      <c r="F7" s="1186">
        <v>98</v>
      </c>
      <c r="G7" s="1186">
        <v>3</v>
      </c>
      <c r="H7" s="1186">
        <v>12</v>
      </c>
      <c r="I7" s="1186">
        <v>0</v>
      </c>
      <c r="J7" s="1186">
        <v>5</v>
      </c>
      <c r="K7" s="1186">
        <v>2</v>
      </c>
      <c r="L7" s="1186">
        <v>0</v>
      </c>
      <c r="M7" s="1186">
        <v>2</v>
      </c>
      <c r="N7" s="1186">
        <v>13</v>
      </c>
      <c r="O7" s="1186">
        <v>1</v>
      </c>
      <c r="P7" s="1186">
        <v>9</v>
      </c>
      <c r="Q7" s="1186">
        <v>12</v>
      </c>
      <c r="R7" s="1186">
        <v>12</v>
      </c>
      <c r="S7" s="1186">
        <v>2</v>
      </c>
      <c r="T7" s="1186">
        <v>0</v>
      </c>
      <c r="U7" s="1186">
        <v>1</v>
      </c>
      <c r="V7" s="1186">
        <v>10</v>
      </c>
      <c r="W7" s="1186">
        <v>3</v>
      </c>
      <c r="X7" s="1186">
        <v>114830</v>
      </c>
    </row>
    <row r="8" spans="1:24" x14ac:dyDescent="0.2">
      <c r="A8" s="1186" t="s">
        <v>19</v>
      </c>
      <c r="B8" s="1186" t="s">
        <v>26</v>
      </c>
      <c r="C8" s="1186">
        <v>0</v>
      </c>
      <c r="D8" s="1186">
        <v>101</v>
      </c>
      <c r="E8" s="1186">
        <v>3</v>
      </c>
      <c r="F8" s="1186">
        <v>44</v>
      </c>
      <c r="G8" s="1186">
        <v>7</v>
      </c>
      <c r="H8" s="1186">
        <v>12</v>
      </c>
      <c r="I8" s="1186">
        <v>0</v>
      </c>
      <c r="J8" s="1186">
        <v>11</v>
      </c>
      <c r="K8" s="1186">
        <v>5</v>
      </c>
      <c r="L8" s="1186">
        <v>2</v>
      </c>
      <c r="M8" s="1186">
        <v>2</v>
      </c>
      <c r="N8" s="1186">
        <v>5</v>
      </c>
      <c r="O8" s="1186">
        <v>1</v>
      </c>
      <c r="P8" s="1186">
        <v>11</v>
      </c>
      <c r="Q8" s="1186">
        <v>4</v>
      </c>
      <c r="R8" s="1186">
        <v>6</v>
      </c>
      <c r="S8" s="1186">
        <v>19</v>
      </c>
      <c r="T8" s="1186">
        <v>3</v>
      </c>
      <c r="U8" s="1186">
        <v>3</v>
      </c>
      <c r="V8" s="1186">
        <v>27</v>
      </c>
      <c r="W8" s="1186">
        <v>3</v>
      </c>
      <c r="X8" s="1186">
        <v>89450</v>
      </c>
    </row>
    <row r="9" spans="1:24" x14ac:dyDescent="0.2">
      <c r="A9" s="1186" t="s">
        <v>19</v>
      </c>
      <c r="B9" s="1186" t="s">
        <v>619</v>
      </c>
      <c r="C9" s="1186">
        <v>0</v>
      </c>
      <c r="D9" s="1186">
        <v>167</v>
      </c>
      <c r="E9" s="1186">
        <v>19</v>
      </c>
      <c r="F9" s="1186">
        <v>24</v>
      </c>
      <c r="G9" s="1186">
        <v>3</v>
      </c>
      <c r="H9" s="1186">
        <v>67</v>
      </c>
      <c r="I9" s="1186">
        <v>12</v>
      </c>
      <c r="J9" s="1186">
        <v>67</v>
      </c>
      <c r="K9" s="1186">
        <v>30</v>
      </c>
      <c r="L9" s="1186">
        <v>16</v>
      </c>
      <c r="M9" s="1186">
        <v>30</v>
      </c>
      <c r="N9" s="1186">
        <v>47</v>
      </c>
      <c r="O9" s="1186">
        <v>21</v>
      </c>
      <c r="P9" s="1186">
        <v>22</v>
      </c>
      <c r="Q9" s="1186">
        <v>84</v>
      </c>
      <c r="R9" s="1186">
        <v>13</v>
      </c>
      <c r="S9" s="1186">
        <v>34</v>
      </c>
      <c r="T9" s="1186">
        <v>2</v>
      </c>
      <c r="U9" s="1186">
        <v>19</v>
      </c>
      <c r="V9" s="1186">
        <v>38</v>
      </c>
      <c r="W9" s="1186">
        <v>13</v>
      </c>
      <c r="X9" s="1186">
        <v>463230</v>
      </c>
    </row>
    <row r="10" spans="1:24" x14ac:dyDescent="0.2">
      <c r="A10" s="1186" t="s">
        <v>19</v>
      </c>
      <c r="B10" s="1186" t="s">
        <v>27</v>
      </c>
      <c r="C10" s="1186">
        <v>0</v>
      </c>
      <c r="D10" s="1186">
        <v>19</v>
      </c>
      <c r="E10" s="1186">
        <v>1</v>
      </c>
      <c r="F10" s="1186">
        <v>8</v>
      </c>
      <c r="G10" s="1186">
        <v>0</v>
      </c>
      <c r="H10" s="1186">
        <v>13</v>
      </c>
      <c r="I10" s="1186">
        <v>2</v>
      </c>
      <c r="J10" s="1186">
        <v>1</v>
      </c>
      <c r="K10" s="1186">
        <v>6</v>
      </c>
      <c r="L10" s="1186">
        <v>0</v>
      </c>
      <c r="M10" s="1186">
        <v>0</v>
      </c>
      <c r="N10" s="1186">
        <v>6</v>
      </c>
      <c r="O10" s="1186">
        <v>2</v>
      </c>
      <c r="P10" s="1186">
        <v>8</v>
      </c>
      <c r="Q10" s="1186">
        <v>5</v>
      </c>
      <c r="R10" s="1186">
        <v>1</v>
      </c>
      <c r="S10" s="1186">
        <v>2</v>
      </c>
      <c r="T10" s="1186">
        <v>0</v>
      </c>
      <c r="U10" s="1186">
        <v>0</v>
      </c>
      <c r="V10" s="1186">
        <v>13</v>
      </c>
      <c r="W10" s="1186">
        <v>1</v>
      </c>
      <c r="X10" s="1186">
        <v>51290</v>
      </c>
    </row>
    <row r="11" spans="1:24" x14ac:dyDescent="0.2">
      <c r="A11" s="1186" t="s">
        <v>19</v>
      </c>
      <c r="B11" s="1186" t="s">
        <v>28</v>
      </c>
      <c r="C11" s="1186">
        <v>0</v>
      </c>
      <c r="D11" s="1186">
        <v>110</v>
      </c>
      <c r="E11" s="1186">
        <v>2</v>
      </c>
      <c r="F11" s="1186">
        <v>50</v>
      </c>
      <c r="G11" s="1186">
        <v>12</v>
      </c>
      <c r="H11" s="1186">
        <v>17</v>
      </c>
      <c r="I11" s="1186">
        <v>1</v>
      </c>
      <c r="J11" s="1186">
        <v>11</v>
      </c>
      <c r="K11" s="1186">
        <v>2</v>
      </c>
      <c r="L11" s="1186">
        <v>1</v>
      </c>
      <c r="M11" s="1186">
        <v>1</v>
      </c>
      <c r="N11" s="1186">
        <v>6</v>
      </c>
      <c r="O11" s="1186">
        <v>3</v>
      </c>
      <c r="P11" s="1186">
        <v>11</v>
      </c>
      <c r="Q11" s="1186">
        <v>4</v>
      </c>
      <c r="R11" s="1186">
        <v>2</v>
      </c>
      <c r="S11" s="1186">
        <v>5</v>
      </c>
      <c r="T11" s="1186">
        <v>2</v>
      </c>
      <c r="U11" s="1186">
        <v>0</v>
      </c>
      <c r="V11" s="1186">
        <v>8</v>
      </c>
      <c r="W11" s="1186">
        <v>3</v>
      </c>
      <c r="X11" s="1186">
        <v>151160</v>
      </c>
    </row>
    <row r="12" spans="1:24" x14ac:dyDescent="0.2">
      <c r="A12" s="1186" t="s">
        <v>19</v>
      </c>
      <c r="B12" s="1186" t="s">
        <v>29</v>
      </c>
      <c r="C12" s="1186">
        <v>0</v>
      </c>
      <c r="D12" s="1186">
        <v>38</v>
      </c>
      <c r="E12" s="1186">
        <v>2</v>
      </c>
      <c r="F12" s="1186">
        <v>53</v>
      </c>
      <c r="G12" s="1186">
        <v>2</v>
      </c>
      <c r="H12" s="1186">
        <v>28</v>
      </c>
      <c r="I12" s="1186">
        <v>1</v>
      </c>
      <c r="J12" s="1186">
        <v>32</v>
      </c>
      <c r="K12" s="1186">
        <v>14</v>
      </c>
      <c r="L12" s="1186">
        <v>2</v>
      </c>
      <c r="M12" s="1186">
        <v>0</v>
      </c>
      <c r="N12" s="1186">
        <v>36</v>
      </c>
      <c r="O12" s="1186">
        <v>5</v>
      </c>
      <c r="P12" s="1186">
        <v>9</v>
      </c>
      <c r="Q12" s="1186">
        <v>42</v>
      </c>
      <c r="R12" s="1186">
        <v>38</v>
      </c>
      <c r="S12" s="1186">
        <v>7</v>
      </c>
      <c r="T12" s="1186">
        <v>0</v>
      </c>
      <c r="U12" s="1186">
        <v>4</v>
      </c>
      <c r="V12" s="1186">
        <v>16</v>
      </c>
      <c r="W12" s="1186">
        <v>3</v>
      </c>
      <c r="X12" s="1186">
        <v>145170</v>
      </c>
    </row>
    <row r="13" spans="1:24" x14ac:dyDescent="0.2">
      <c r="A13" s="1186" t="s">
        <v>19</v>
      </c>
      <c r="B13" s="1186" t="s">
        <v>30</v>
      </c>
      <c r="C13" s="1186">
        <v>0</v>
      </c>
      <c r="D13" s="1186">
        <v>80</v>
      </c>
      <c r="E13" s="1186">
        <v>7</v>
      </c>
      <c r="F13" s="1186">
        <v>54</v>
      </c>
      <c r="G13" s="1186">
        <v>8</v>
      </c>
      <c r="H13" s="1186">
        <v>13</v>
      </c>
      <c r="I13" s="1186">
        <v>1</v>
      </c>
      <c r="J13" s="1186">
        <v>9</v>
      </c>
      <c r="K13" s="1186">
        <v>3</v>
      </c>
      <c r="L13" s="1186">
        <v>4</v>
      </c>
      <c r="M13" s="1186">
        <v>1</v>
      </c>
      <c r="N13" s="1186">
        <v>3</v>
      </c>
      <c r="O13" s="1186">
        <v>3</v>
      </c>
      <c r="P13" s="1186">
        <v>11</v>
      </c>
      <c r="Q13" s="1186">
        <v>9</v>
      </c>
      <c r="R13" s="1186">
        <v>5</v>
      </c>
      <c r="S13" s="1186">
        <v>17</v>
      </c>
      <c r="T13" s="1186">
        <v>1</v>
      </c>
      <c r="U13" s="1186">
        <v>23</v>
      </c>
      <c r="V13" s="1186">
        <v>14</v>
      </c>
      <c r="W13" s="1186">
        <v>3</v>
      </c>
      <c r="X13" s="1186">
        <v>122110</v>
      </c>
    </row>
    <row r="14" spans="1:24" x14ac:dyDescent="0.2">
      <c r="A14" s="1186" t="s">
        <v>19</v>
      </c>
      <c r="B14" s="1186" t="s">
        <v>31</v>
      </c>
      <c r="C14" s="1186">
        <v>0</v>
      </c>
      <c r="D14" s="1186">
        <v>40</v>
      </c>
      <c r="E14" s="1186">
        <v>1</v>
      </c>
      <c r="F14" s="1186">
        <v>32</v>
      </c>
      <c r="G14" s="1186">
        <v>1</v>
      </c>
      <c r="H14" s="1186">
        <v>16</v>
      </c>
      <c r="I14" s="1186">
        <v>1</v>
      </c>
      <c r="J14" s="1186">
        <v>6</v>
      </c>
      <c r="K14" s="1186">
        <v>3</v>
      </c>
      <c r="L14" s="1186">
        <v>1</v>
      </c>
      <c r="M14" s="1186">
        <v>2</v>
      </c>
      <c r="N14" s="1186">
        <v>4</v>
      </c>
      <c r="O14" s="1186">
        <v>2</v>
      </c>
      <c r="P14" s="1186">
        <v>10</v>
      </c>
      <c r="Q14" s="1186">
        <v>21</v>
      </c>
      <c r="R14" s="1186">
        <v>4</v>
      </c>
      <c r="S14" s="1186">
        <v>6</v>
      </c>
      <c r="T14" s="1186">
        <v>0</v>
      </c>
      <c r="U14" s="1186">
        <v>1</v>
      </c>
      <c r="V14" s="1186">
        <v>9</v>
      </c>
      <c r="W14" s="1186">
        <v>1</v>
      </c>
      <c r="X14" s="1186">
        <v>104960</v>
      </c>
    </row>
    <row r="15" spans="1:24" x14ac:dyDescent="0.2">
      <c r="A15" s="1186" t="s">
        <v>19</v>
      </c>
      <c r="B15" s="1186" t="s">
        <v>32</v>
      </c>
      <c r="C15" s="1186">
        <v>0</v>
      </c>
      <c r="D15" s="1186">
        <v>45</v>
      </c>
      <c r="E15" s="1186">
        <v>0</v>
      </c>
      <c r="F15" s="1186">
        <v>12</v>
      </c>
      <c r="G15" s="1186">
        <v>1</v>
      </c>
      <c r="H15" s="1186">
        <v>9</v>
      </c>
      <c r="I15" s="1186">
        <v>2</v>
      </c>
      <c r="J15" s="1186">
        <v>2</v>
      </c>
      <c r="K15" s="1186">
        <v>14</v>
      </c>
      <c r="L15" s="1186">
        <v>1</v>
      </c>
      <c r="M15" s="1186">
        <v>5</v>
      </c>
      <c r="N15" s="1186">
        <v>8</v>
      </c>
      <c r="O15" s="1186">
        <v>2</v>
      </c>
      <c r="P15" s="1186">
        <v>2</v>
      </c>
      <c r="Q15" s="1186">
        <v>5</v>
      </c>
      <c r="R15" s="1186">
        <v>0</v>
      </c>
      <c r="S15" s="1186">
        <v>5</v>
      </c>
      <c r="T15" s="1186">
        <v>1</v>
      </c>
      <c r="U15" s="1186">
        <v>2</v>
      </c>
      <c r="V15" s="1186">
        <v>7</v>
      </c>
      <c r="W15" s="1186">
        <v>0</v>
      </c>
      <c r="X15" s="1186">
        <v>98340</v>
      </c>
    </row>
    <row r="16" spans="1:24" x14ac:dyDescent="0.2">
      <c r="A16" s="1186" t="s">
        <v>19</v>
      </c>
      <c r="B16" s="1186" t="s">
        <v>33</v>
      </c>
      <c r="C16" s="1186">
        <v>0</v>
      </c>
      <c r="D16" s="1186">
        <v>32</v>
      </c>
      <c r="E16" s="1186">
        <v>2</v>
      </c>
      <c r="F16" s="1186">
        <v>27</v>
      </c>
      <c r="G16" s="1186">
        <v>1</v>
      </c>
      <c r="H16" s="1186">
        <v>17</v>
      </c>
      <c r="I16" s="1186">
        <v>2</v>
      </c>
      <c r="J16" s="1186">
        <v>0</v>
      </c>
      <c r="K16" s="1186">
        <v>4</v>
      </c>
      <c r="L16" s="1186">
        <v>1</v>
      </c>
      <c r="M16" s="1186">
        <v>2</v>
      </c>
      <c r="N16" s="1186">
        <v>1</v>
      </c>
      <c r="O16" s="1186">
        <v>2</v>
      </c>
      <c r="P16" s="1186">
        <v>10</v>
      </c>
      <c r="Q16" s="1186">
        <v>14</v>
      </c>
      <c r="R16" s="1186">
        <v>2</v>
      </c>
      <c r="S16" s="1186">
        <v>14</v>
      </c>
      <c r="T16" s="1186">
        <v>2</v>
      </c>
      <c r="U16" s="1186">
        <v>1</v>
      </c>
      <c r="V16" s="1186">
        <v>10</v>
      </c>
      <c r="W16" s="1186">
        <v>1</v>
      </c>
      <c r="X16" s="1186">
        <v>89980</v>
      </c>
    </row>
    <row r="17" spans="1:24" x14ac:dyDescent="0.2">
      <c r="A17" s="1186" t="s">
        <v>19</v>
      </c>
      <c r="B17" s="1186" t="s">
        <v>34</v>
      </c>
      <c r="C17" s="1186">
        <v>0</v>
      </c>
      <c r="D17" s="1186">
        <v>66</v>
      </c>
      <c r="E17" s="1186">
        <v>1</v>
      </c>
      <c r="F17" s="1186">
        <v>39</v>
      </c>
      <c r="G17" s="1186">
        <v>5</v>
      </c>
      <c r="H17" s="1186">
        <v>21</v>
      </c>
      <c r="I17" s="1186">
        <v>0</v>
      </c>
      <c r="J17" s="1186">
        <v>5</v>
      </c>
      <c r="K17" s="1186">
        <v>6</v>
      </c>
      <c r="L17" s="1186">
        <v>1</v>
      </c>
      <c r="M17" s="1186">
        <v>5</v>
      </c>
      <c r="N17" s="1186">
        <v>5</v>
      </c>
      <c r="O17" s="1186">
        <v>1</v>
      </c>
      <c r="P17" s="1186">
        <v>14</v>
      </c>
      <c r="Q17" s="1186">
        <v>15</v>
      </c>
      <c r="R17" s="1186">
        <v>1</v>
      </c>
      <c r="S17" s="1186">
        <v>14</v>
      </c>
      <c r="T17" s="1186">
        <v>0</v>
      </c>
      <c r="U17" s="1186">
        <v>1</v>
      </c>
      <c r="V17" s="1186">
        <v>13</v>
      </c>
      <c r="W17" s="1186">
        <v>3</v>
      </c>
      <c r="X17" s="1186">
        <v>154210</v>
      </c>
    </row>
    <row r="18" spans="1:24" x14ac:dyDescent="0.2">
      <c r="A18" s="1186" t="s">
        <v>19</v>
      </c>
      <c r="B18" s="1186" t="s">
        <v>35</v>
      </c>
      <c r="C18" s="1186">
        <v>0</v>
      </c>
      <c r="D18" s="1186">
        <v>136</v>
      </c>
      <c r="E18" s="1186">
        <v>5</v>
      </c>
      <c r="F18" s="1186">
        <v>140</v>
      </c>
      <c r="G18" s="1186">
        <v>9</v>
      </c>
      <c r="H18" s="1186">
        <v>61</v>
      </c>
      <c r="I18" s="1186">
        <v>3</v>
      </c>
      <c r="J18" s="1186">
        <v>22</v>
      </c>
      <c r="K18" s="1186">
        <v>14</v>
      </c>
      <c r="L18" s="1186">
        <v>12</v>
      </c>
      <c r="M18" s="1186">
        <v>7</v>
      </c>
      <c r="N18" s="1186">
        <v>22</v>
      </c>
      <c r="O18" s="1186">
        <v>12</v>
      </c>
      <c r="P18" s="1186">
        <v>21</v>
      </c>
      <c r="Q18" s="1186">
        <v>33</v>
      </c>
      <c r="R18" s="1186">
        <v>22</v>
      </c>
      <c r="S18" s="1186">
        <v>27</v>
      </c>
      <c r="T18" s="1186">
        <v>0</v>
      </c>
      <c r="U18" s="1186">
        <v>4</v>
      </c>
      <c r="V18" s="1186">
        <v>36</v>
      </c>
      <c r="W18" s="1186">
        <v>14</v>
      </c>
      <c r="X18" s="1186">
        <v>361420</v>
      </c>
    </row>
    <row r="19" spans="1:24" x14ac:dyDescent="0.2">
      <c r="A19" s="1186" t="s">
        <v>19</v>
      </c>
      <c r="B19" s="1186" t="s">
        <v>36</v>
      </c>
      <c r="C19" s="1186">
        <v>0</v>
      </c>
      <c r="D19" s="1186">
        <v>265</v>
      </c>
      <c r="E19" s="1186">
        <v>29</v>
      </c>
      <c r="F19" s="1186">
        <v>470</v>
      </c>
      <c r="G19" s="1186">
        <v>42</v>
      </c>
      <c r="H19" s="1186">
        <v>117</v>
      </c>
      <c r="I19" s="1186">
        <v>11</v>
      </c>
      <c r="J19" s="1186">
        <v>202</v>
      </c>
      <c r="K19" s="1186">
        <v>38</v>
      </c>
      <c r="L19" s="1186">
        <v>19</v>
      </c>
      <c r="M19" s="1186">
        <v>11</v>
      </c>
      <c r="N19" s="1186">
        <v>45</v>
      </c>
      <c r="O19" s="1186">
        <v>46</v>
      </c>
      <c r="P19" s="1186">
        <v>62</v>
      </c>
      <c r="Q19" s="1186">
        <v>249</v>
      </c>
      <c r="R19" s="1186">
        <v>34</v>
      </c>
      <c r="S19" s="1186">
        <v>200</v>
      </c>
      <c r="T19" s="1186">
        <v>2</v>
      </c>
      <c r="U19" s="1186">
        <v>90</v>
      </c>
      <c r="V19" s="1186">
        <v>93</v>
      </c>
      <c r="W19" s="1186">
        <v>25</v>
      </c>
      <c r="X19" s="1186">
        <v>581620</v>
      </c>
    </row>
    <row r="20" spans="1:24" x14ac:dyDescent="0.2">
      <c r="A20" s="1186" t="s">
        <v>19</v>
      </c>
      <c r="B20" s="1186" t="s">
        <v>37</v>
      </c>
      <c r="C20" s="1186">
        <v>0</v>
      </c>
      <c r="D20" s="1186">
        <v>274</v>
      </c>
      <c r="E20" s="1186">
        <v>19</v>
      </c>
      <c r="F20" s="1186">
        <v>133</v>
      </c>
      <c r="G20" s="1186">
        <v>8</v>
      </c>
      <c r="H20" s="1186">
        <v>17</v>
      </c>
      <c r="I20" s="1186">
        <v>3</v>
      </c>
      <c r="J20" s="1186">
        <v>14</v>
      </c>
      <c r="K20" s="1186">
        <v>9</v>
      </c>
      <c r="L20" s="1186">
        <v>7</v>
      </c>
      <c r="M20" s="1186">
        <v>9</v>
      </c>
      <c r="N20" s="1186">
        <v>22</v>
      </c>
      <c r="O20" s="1186">
        <v>4</v>
      </c>
      <c r="P20" s="1186">
        <v>16</v>
      </c>
      <c r="Q20" s="1186">
        <v>31</v>
      </c>
      <c r="R20" s="1186">
        <v>30</v>
      </c>
      <c r="S20" s="1186">
        <v>40</v>
      </c>
      <c r="T20" s="1186">
        <v>1</v>
      </c>
      <c r="U20" s="1186">
        <v>6</v>
      </c>
      <c r="V20" s="1186">
        <v>31</v>
      </c>
      <c r="W20" s="1186">
        <v>7</v>
      </c>
      <c r="X20" s="1186">
        <v>228750</v>
      </c>
    </row>
    <row r="21" spans="1:24" x14ac:dyDescent="0.2">
      <c r="A21" s="1186" t="s">
        <v>19</v>
      </c>
      <c r="B21" s="1186" t="s">
        <v>38</v>
      </c>
      <c r="C21" s="1186">
        <v>0</v>
      </c>
      <c r="D21" s="1186">
        <v>43</v>
      </c>
      <c r="E21" s="1186">
        <v>1</v>
      </c>
      <c r="F21" s="1186">
        <v>54</v>
      </c>
      <c r="G21" s="1186">
        <v>2</v>
      </c>
      <c r="H21" s="1186">
        <v>13</v>
      </c>
      <c r="I21" s="1186">
        <v>2</v>
      </c>
      <c r="J21" s="1186">
        <v>54</v>
      </c>
      <c r="K21" s="1186">
        <v>6</v>
      </c>
      <c r="L21" s="1186">
        <v>3</v>
      </c>
      <c r="M21" s="1186">
        <v>1</v>
      </c>
      <c r="N21" s="1186">
        <v>4</v>
      </c>
      <c r="O21" s="1186">
        <v>2</v>
      </c>
      <c r="P21" s="1186">
        <v>10</v>
      </c>
      <c r="Q21" s="1186">
        <v>21</v>
      </c>
      <c r="R21" s="1186">
        <v>3</v>
      </c>
      <c r="S21" s="1186">
        <v>12</v>
      </c>
      <c r="T21" s="1186">
        <v>1</v>
      </c>
      <c r="U21" s="1186">
        <v>1</v>
      </c>
      <c r="V21" s="1186">
        <v>13</v>
      </c>
      <c r="W21" s="1186">
        <v>6</v>
      </c>
      <c r="X21" s="1186">
        <v>81670</v>
      </c>
    </row>
    <row r="22" spans="1:24" x14ac:dyDescent="0.2">
      <c r="A22" s="1186" t="s">
        <v>19</v>
      </c>
      <c r="B22" s="1186" t="s">
        <v>39</v>
      </c>
      <c r="C22" s="1186">
        <v>0</v>
      </c>
      <c r="D22" s="1186">
        <v>41</v>
      </c>
      <c r="E22" s="1186">
        <v>1</v>
      </c>
      <c r="F22" s="1186">
        <v>3</v>
      </c>
      <c r="G22" s="1186">
        <v>0</v>
      </c>
      <c r="H22" s="1186">
        <v>8</v>
      </c>
      <c r="I22" s="1186">
        <v>1</v>
      </c>
      <c r="J22" s="1186">
        <v>2</v>
      </c>
      <c r="K22" s="1186">
        <v>7</v>
      </c>
      <c r="L22" s="1186">
        <v>2</v>
      </c>
      <c r="M22" s="1186">
        <v>3</v>
      </c>
      <c r="N22" s="1186">
        <v>9</v>
      </c>
      <c r="O22" s="1186">
        <v>3</v>
      </c>
      <c r="P22" s="1186">
        <v>7</v>
      </c>
      <c r="Q22" s="1186">
        <v>6</v>
      </c>
      <c r="R22" s="1186">
        <v>1</v>
      </c>
      <c r="S22" s="1186">
        <v>3</v>
      </c>
      <c r="T22" s="1186">
        <v>0</v>
      </c>
      <c r="U22" s="1186">
        <v>0</v>
      </c>
      <c r="V22" s="1186">
        <v>2</v>
      </c>
      <c r="W22" s="1186">
        <v>1</v>
      </c>
      <c r="X22" s="1186">
        <v>81900</v>
      </c>
    </row>
    <row r="23" spans="1:24" x14ac:dyDescent="0.2">
      <c r="A23" s="1186" t="s">
        <v>19</v>
      </c>
      <c r="B23" s="1186" t="s">
        <v>40</v>
      </c>
      <c r="C23" s="1186">
        <v>0</v>
      </c>
      <c r="D23" s="1186">
        <v>58</v>
      </c>
      <c r="E23" s="1186">
        <v>2</v>
      </c>
      <c r="F23" s="1186">
        <v>37</v>
      </c>
      <c r="G23" s="1186">
        <v>5</v>
      </c>
      <c r="H23" s="1186">
        <v>17</v>
      </c>
      <c r="I23" s="1186">
        <v>1</v>
      </c>
      <c r="J23" s="1186">
        <v>3</v>
      </c>
      <c r="K23" s="1186">
        <v>2</v>
      </c>
      <c r="L23" s="1186">
        <v>1</v>
      </c>
      <c r="M23" s="1186">
        <v>2</v>
      </c>
      <c r="N23" s="1186">
        <v>2</v>
      </c>
      <c r="O23" s="1186">
        <v>1</v>
      </c>
      <c r="P23" s="1186">
        <v>7</v>
      </c>
      <c r="Q23" s="1186">
        <v>2</v>
      </c>
      <c r="R23" s="1186">
        <v>3</v>
      </c>
      <c r="S23" s="1186">
        <v>17</v>
      </c>
      <c r="T23" s="1186">
        <v>0</v>
      </c>
      <c r="U23" s="1186">
        <v>0</v>
      </c>
      <c r="V23" s="1186">
        <v>5</v>
      </c>
      <c r="W23" s="1186">
        <v>3</v>
      </c>
      <c r="X23" s="1186">
        <v>93160</v>
      </c>
    </row>
    <row r="24" spans="1:24" x14ac:dyDescent="0.2">
      <c r="A24" s="1186" t="s">
        <v>19</v>
      </c>
      <c r="B24" s="1186" t="s">
        <v>295</v>
      </c>
      <c r="C24" s="1186">
        <v>0</v>
      </c>
      <c r="D24" s="1186">
        <v>17</v>
      </c>
      <c r="E24" s="1186">
        <v>1</v>
      </c>
      <c r="F24" s="1186">
        <v>5</v>
      </c>
      <c r="G24" s="1186">
        <v>0</v>
      </c>
      <c r="H24" s="1186">
        <v>2</v>
      </c>
      <c r="I24" s="1186">
        <v>0</v>
      </c>
      <c r="J24" s="1186">
        <v>0</v>
      </c>
      <c r="K24" s="1186">
        <v>1</v>
      </c>
      <c r="L24" s="1186">
        <v>0</v>
      </c>
      <c r="M24" s="1186">
        <v>1</v>
      </c>
      <c r="N24" s="1186">
        <v>0</v>
      </c>
      <c r="O24" s="1186">
        <v>0</v>
      </c>
      <c r="P24" s="1186">
        <v>5</v>
      </c>
      <c r="Q24" s="1186">
        <v>2</v>
      </c>
      <c r="R24" s="1186">
        <v>1</v>
      </c>
      <c r="S24" s="1186">
        <v>5</v>
      </c>
      <c r="T24" s="1186">
        <v>0</v>
      </c>
      <c r="U24" s="1186">
        <v>2</v>
      </c>
      <c r="V24" s="1186">
        <v>1</v>
      </c>
      <c r="W24" s="1186">
        <v>2</v>
      </c>
      <c r="X24" s="1186">
        <v>27420</v>
      </c>
    </row>
    <row r="25" spans="1:24" x14ac:dyDescent="0.2">
      <c r="A25" s="1186" t="s">
        <v>19</v>
      </c>
      <c r="B25" s="1186" t="s">
        <v>41</v>
      </c>
      <c r="C25" s="1186">
        <v>0</v>
      </c>
      <c r="D25" s="1186">
        <v>54</v>
      </c>
      <c r="E25" s="1186">
        <v>7</v>
      </c>
      <c r="F25" s="1186">
        <v>58</v>
      </c>
      <c r="G25" s="1186">
        <v>3</v>
      </c>
      <c r="H25" s="1186">
        <v>32</v>
      </c>
      <c r="I25" s="1186">
        <v>1</v>
      </c>
      <c r="J25" s="1186">
        <v>13</v>
      </c>
      <c r="K25" s="1186">
        <v>13</v>
      </c>
      <c r="L25" s="1186">
        <v>8</v>
      </c>
      <c r="M25" s="1186">
        <v>0</v>
      </c>
      <c r="N25" s="1186">
        <v>4</v>
      </c>
      <c r="O25" s="1186">
        <v>2</v>
      </c>
      <c r="P25" s="1186">
        <v>18</v>
      </c>
      <c r="Q25" s="1186">
        <v>20</v>
      </c>
      <c r="R25" s="1186">
        <v>9</v>
      </c>
      <c r="S25" s="1186">
        <v>21</v>
      </c>
      <c r="T25" s="1186">
        <v>0</v>
      </c>
      <c r="U25" s="1186">
        <v>1</v>
      </c>
      <c r="V25" s="1186">
        <v>18</v>
      </c>
      <c r="W25" s="1186">
        <v>3</v>
      </c>
      <c r="X25" s="1186">
        <v>137830</v>
      </c>
    </row>
    <row r="26" spans="1:24" x14ac:dyDescent="0.2">
      <c r="A26" s="1186" t="s">
        <v>19</v>
      </c>
      <c r="B26" s="1186" t="s">
        <v>42</v>
      </c>
      <c r="C26" s="1186">
        <v>0</v>
      </c>
      <c r="D26" s="1186">
        <v>142</v>
      </c>
      <c r="E26" s="1186">
        <v>8</v>
      </c>
      <c r="F26" s="1186">
        <v>113</v>
      </c>
      <c r="G26" s="1186">
        <v>8</v>
      </c>
      <c r="H26" s="1186">
        <v>50</v>
      </c>
      <c r="I26" s="1186">
        <v>6</v>
      </c>
      <c r="J26" s="1186">
        <v>21</v>
      </c>
      <c r="K26" s="1186">
        <v>15</v>
      </c>
      <c r="L26" s="1186">
        <v>7</v>
      </c>
      <c r="M26" s="1186">
        <v>3</v>
      </c>
      <c r="N26" s="1186">
        <v>17</v>
      </c>
      <c r="O26" s="1186">
        <v>27</v>
      </c>
      <c r="P26" s="1186">
        <v>18</v>
      </c>
      <c r="Q26" s="1186">
        <v>66</v>
      </c>
      <c r="R26" s="1186">
        <v>10</v>
      </c>
      <c r="S26" s="1186">
        <v>59</v>
      </c>
      <c r="T26" s="1186">
        <v>0</v>
      </c>
      <c r="U26" s="1186">
        <v>4</v>
      </c>
      <c r="V26" s="1186">
        <v>49</v>
      </c>
      <c r="W26" s="1186">
        <v>10</v>
      </c>
      <c r="X26" s="1186">
        <v>335160</v>
      </c>
    </row>
    <row r="27" spans="1:24" x14ac:dyDescent="0.2">
      <c r="A27" s="1186" t="s">
        <v>19</v>
      </c>
      <c r="B27" s="1186" t="s">
        <v>43</v>
      </c>
      <c r="C27" s="1186">
        <v>0</v>
      </c>
      <c r="D27" s="1186">
        <v>4</v>
      </c>
      <c r="E27" s="1186">
        <v>0</v>
      </c>
      <c r="F27" s="1186">
        <v>5</v>
      </c>
      <c r="G27" s="1186">
        <v>0</v>
      </c>
      <c r="H27" s="1186">
        <v>1</v>
      </c>
      <c r="I27" s="1186">
        <v>0</v>
      </c>
      <c r="J27" s="1186">
        <v>0</v>
      </c>
      <c r="K27" s="1186">
        <v>1</v>
      </c>
      <c r="L27" s="1186">
        <v>0</v>
      </c>
      <c r="M27" s="1186">
        <v>2</v>
      </c>
      <c r="N27" s="1186">
        <v>1</v>
      </c>
      <c r="O27" s="1186">
        <v>0</v>
      </c>
      <c r="P27" s="1186">
        <v>2</v>
      </c>
      <c r="Q27" s="1186">
        <v>0</v>
      </c>
      <c r="R27" s="1186">
        <v>0</v>
      </c>
      <c r="S27" s="1186">
        <v>3</v>
      </c>
      <c r="T27" s="1186">
        <v>0</v>
      </c>
      <c r="U27" s="1186">
        <v>1</v>
      </c>
      <c r="V27" s="1186">
        <v>2</v>
      </c>
      <c r="W27" s="1186">
        <v>0</v>
      </c>
      <c r="X27" s="1186">
        <v>20940</v>
      </c>
    </row>
    <row r="28" spans="1:24" x14ac:dyDescent="0.2">
      <c r="A28" s="1186" t="s">
        <v>19</v>
      </c>
      <c r="B28" s="1186" t="s">
        <v>44</v>
      </c>
      <c r="C28" s="1186">
        <v>0</v>
      </c>
      <c r="D28" s="1186">
        <v>129</v>
      </c>
      <c r="E28" s="1186">
        <v>4</v>
      </c>
      <c r="F28" s="1186">
        <v>60</v>
      </c>
      <c r="G28" s="1186">
        <v>11</v>
      </c>
      <c r="H28" s="1186">
        <v>14</v>
      </c>
      <c r="I28" s="1186">
        <v>1</v>
      </c>
      <c r="J28" s="1186">
        <v>15</v>
      </c>
      <c r="K28" s="1186">
        <v>9</v>
      </c>
      <c r="L28" s="1186">
        <v>4</v>
      </c>
      <c r="M28" s="1186">
        <v>1</v>
      </c>
      <c r="N28" s="1186">
        <v>21</v>
      </c>
      <c r="O28" s="1186">
        <v>0</v>
      </c>
      <c r="P28" s="1186">
        <v>11</v>
      </c>
      <c r="Q28" s="1186">
        <v>19</v>
      </c>
      <c r="R28" s="1186">
        <v>22</v>
      </c>
      <c r="S28" s="1186">
        <v>7</v>
      </c>
      <c r="T28" s="1186">
        <v>1</v>
      </c>
      <c r="U28" s="1186">
        <v>1</v>
      </c>
      <c r="V28" s="1186">
        <v>15</v>
      </c>
      <c r="W28" s="1186">
        <v>6</v>
      </c>
      <c r="X28" s="1186">
        <v>144370</v>
      </c>
    </row>
    <row r="29" spans="1:24" x14ac:dyDescent="0.2">
      <c r="A29" s="1186" t="s">
        <v>19</v>
      </c>
      <c r="B29" s="1186" t="s">
        <v>45</v>
      </c>
      <c r="C29" s="1186">
        <v>0</v>
      </c>
      <c r="D29" s="1186">
        <v>68</v>
      </c>
      <c r="E29" s="1186">
        <v>7</v>
      </c>
      <c r="F29" s="1186">
        <v>63</v>
      </c>
      <c r="G29" s="1186">
        <v>8</v>
      </c>
      <c r="H29" s="1186">
        <v>28</v>
      </c>
      <c r="I29" s="1186">
        <v>4</v>
      </c>
      <c r="J29" s="1186">
        <v>20</v>
      </c>
      <c r="K29" s="1186">
        <v>11</v>
      </c>
      <c r="L29" s="1186">
        <v>8</v>
      </c>
      <c r="M29" s="1186">
        <v>4</v>
      </c>
      <c r="N29" s="1186">
        <v>10</v>
      </c>
      <c r="O29" s="1186">
        <v>8</v>
      </c>
      <c r="P29" s="1186">
        <v>14</v>
      </c>
      <c r="Q29" s="1186">
        <v>30</v>
      </c>
      <c r="R29" s="1186">
        <v>7</v>
      </c>
      <c r="S29" s="1186">
        <v>55</v>
      </c>
      <c r="T29" s="1186">
        <v>0</v>
      </c>
      <c r="U29" s="1186">
        <v>14</v>
      </c>
      <c r="V29" s="1186">
        <v>31</v>
      </c>
      <c r="W29" s="1186">
        <v>9</v>
      </c>
      <c r="X29" s="1186">
        <v>173020</v>
      </c>
    </row>
    <row r="30" spans="1:24" x14ac:dyDescent="0.2">
      <c r="A30" s="1186" t="s">
        <v>19</v>
      </c>
      <c r="B30" s="1186" t="s">
        <v>46</v>
      </c>
      <c r="C30" s="1186">
        <v>0</v>
      </c>
      <c r="D30" s="1186">
        <v>96</v>
      </c>
      <c r="E30" s="1186">
        <v>2</v>
      </c>
      <c r="F30" s="1186">
        <v>20</v>
      </c>
      <c r="G30" s="1186">
        <v>6</v>
      </c>
      <c r="H30" s="1186">
        <v>13</v>
      </c>
      <c r="I30" s="1186">
        <v>0</v>
      </c>
      <c r="J30" s="1186">
        <v>2</v>
      </c>
      <c r="K30" s="1186">
        <v>5</v>
      </c>
      <c r="L30" s="1186">
        <v>2</v>
      </c>
      <c r="M30" s="1186">
        <v>4</v>
      </c>
      <c r="N30" s="1186">
        <v>12</v>
      </c>
      <c r="O30" s="1186">
        <v>1</v>
      </c>
      <c r="P30" s="1186">
        <v>9</v>
      </c>
      <c r="Q30" s="1186">
        <v>6</v>
      </c>
      <c r="R30" s="1186">
        <v>2</v>
      </c>
      <c r="S30" s="1186">
        <v>7</v>
      </c>
      <c r="T30" s="1186">
        <v>1</v>
      </c>
      <c r="U30" s="1186">
        <v>29</v>
      </c>
      <c r="V30" s="1186">
        <v>12</v>
      </c>
      <c r="W30" s="1186">
        <v>7</v>
      </c>
      <c r="X30" s="1186">
        <v>113590</v>
      </c>
    </row>
    <row r="31" spans="1:24" x14ac:dyDescent="0.2">
      <c r="A31" s="1186" t="s">
        <v>19</v>
      </c>
      <c r="B31" s="1186" t="s">
        <v>47</v>
      </c>
      <c r="C31" s="1186">
        <v>0</v>
      </c>
      <c r="D31" s="1186">
        <v>10</v>
      </c>
      <c r="E31" s="1186">
        <v>0</v>
      </c>
      <c r="F31" s="1186">
        <v>3</v>
      </c>
      <c r="G31" s="1186">
        <v>0</v>
      </c>
      <c r="H31" s="1186">
        <v>2</v>
      </c>
      <c r="I31" s="1186">
        <v>0</v>
      </c>
      <c r="J31" s="1186">
        <v>0</v>
      </c>
      <c r="K31" s="1186">
        <v>0</v>
      </c>
      <c r="L31" s="1186">
        <v>2</v>
      </c>
      <c r="M31" s="1186">
        <v>2</v>
      </c>
      <c r="N31" s="1186">
        <v>1</v>
      </c>
      <c r="O31" s="1186">
        <v>0</v>
      </c>
      <c r="P31" s="1186">
        <v>2</v>
      </c>
      <c r="Q31" s="1186">
        <v>2</v>
      </c>
      <c r="R31" s="1186">
        <v>0</v>
      </c>
      <c r="S31" s="1186">
        <v>4</v>
      </c>
      <c r="T31" s="1186">
        <v>0</v>
      </c>
      <c r="U31" s="1186">
        <v>2</v>
      </c>
      <c r="V31" s="1186">
        <v>4</v>
      </c>
      <c r="W31" s="1186">
        <v>0</v>
      </c>
      <c r="X31" s="1186">
        <v>22800</v>
      </c>
    </row>
    <row r="32" spans="1:24" x14ac:dyDescent="0.2">
      <c r="A32" s="1186" t="s">
        <v>19</v>
      </c>
      <c r="B32" s="1186" t="s">
        <v>48</v>
      </c>
      <c r="C32" s="1186">
        <v>0</v>
      </c>
      <c r="D32" s="1186">
        <v>57</v>
      </c>
      <c r="E32" s="1186">
        <v>5</v>
      </c>
      <c r="F32" s="1186">
        <v>63</v>
      </c>
      <c r="G32" s="1186">
        <v>8</v>
      </c>
      <c r="H32" s="1186">
        <v>24</v>
      </c>
      <c r="I32" s="1186">
        <v>3</v>
      </c>
      <c r="J32" s="1186">
        <v>15</v>
      </c>
      <c r="K32" s="1186">
        <v>2</v>
      </c>
      <c r="L32" s="1186">
        <v>5</v>
      </c>
      <c r="M32" s="1186">
        <v>1</v>
      </c>
      <c r="N32" s="1186">
        <v>5</v>
      </c>
      <c r="O32" s="1186">
        <v>4</v>
      </c>
      <c r="P32" s="1186">
        <v>10</v>
      </c>
      <c r="Q32" s="1186">
        <v>13</v>
      </c>
      <c r="R32" s="1186">
        <v>6</v>
      </c>
      <c r="S32" s="1186">
        <v>23</v>
      </c>
      <c r="T32" s="1186">
        <v>0</v>
      </c>
      <c r="U32" s="1186">
        <v>2</v>
      </c>
      <c r="V32" s="1186">
        <v>16</v>
      </c>
      <c r="W32" s="1186">
        <v>2</v>
      </c>
      <c r="X32" s="1186">
        <v>112490</v>
      </c>
    </row>
    <row r="33" spans="1:24" x14ac:dyDescent="0.2">
      <c r="A33" s="1186" t="s">
        <v>19</v>
      </c>
      <c r="B33" s="1186" t="s">
        <v>49</v>
      </c>
      <c r="C33" s="1186">
        <v>0</v>
      </c>
      <c r="D33" s="1186">
        <v>210</v>
      </c>
      <c r="E33" s="1186">
        <v>3</v>
      </c>
      <c r="F33" s="1186">
        <v>120</v>
      </c>
      <c r="G33" s="1186">
        <v>3</v>
      </c>
      <c r="H33" s="1186">
        <v>30</v>
      </c>
      <c r="I33" s="1186">
        <v>1</v>
      </c>
      <c r="J33" s="1186">
        <v>33</v>
      </c>
      <c r="K33" s="1186">
        <v>18</v>
      </c>
      <c r="L33" s="1186">
        <v>7</v>
      </c>
      <c r="M33" s="1186">
        <v>7</v>
      </c>
      <c r="N33" s="1186">
        <v>17</v>
      </c>
      <c r="O33" s="1186">
        <v>19</v>
      </c>
      <c r="P33" s="1186">
        <v>29</v>
      </c>
      <c r="Q33" s="1186">
        <v>48</v>
      </c>
      <c r="R33" s="1186">
        <v>14</v>
      </c>
      <c r="S33" s="1186">
        <v>42</v>
      </c>
      <c r="T33" s="1186">
        <v>2</v>
      </c>
      <c r="U33" s="1186">
        <v>2</v>
      </c>
      <c r="V33" s="1186">
        <v>47</v>
      </c>
      <c r="W33" s="1186">
        <v>13</v>
      </c>
      <c r="X33" s="1186">
        <v>312180</v>
      </c>
    </row>
    <row r="34" spans="1:24" x14ac:dyDescent="0.2">
      <c r="A34" s="1186" t="s">
        <v>19</v>
      </c>
      <c r="B34" s="1186" t="s">
        <v>50</v>
      </c>
      <c r="C34" s="1186">
        <v>0</v>
      </c>
      <c r="D34" s="1186">
        <v>74</v>
      </c>
      <c r="E34" s="1186">
        <v>1</v>
      </c>
      <c r="F34" s="1186">
        <v>40</v>
      </c>
      <c r="G34" s="1186">
        <v>4</v>
      </c>
      <c r="H34" s="1186">
        <v>11</v>
      </c>
      <c r="I34" s="1186">
        <v>0</v>
      </c>
      <c r="J34" s="1186">
        <v>11</v>
      </c>
      <c r="K34" s="1186">
        <v>3</v>
      </c>
      <c r="L34" s="1186">
        <v>3</v>
      </c>
      <c r="M34" s="1186">
        <v>3</v>
      </c>
      <c r="N34" s="1186">
        <v>6</v>
      </c>
      <c r="O34" s="1186">
        <v>2</v>
      </c>
      <c r="P34" s="1186">
        <v>12</v>
      </c>
      <c r="Q34" s="1186">
        <v>16</v>
      </c>
      <c r="R34" s="1186">
        <v>2</v>
      </c>
      <c r="S34" s="1186">
        <v>4</v>
      </c>
      <c r="T34" s="1186">
        <v>0</v>
      </c>
      <c r="U34" s="1186">
        <v>1</v>
      </c>
      <c r="V34" s="1186">
        <v>7</v>
      </c>
      <c r="W34" s="1186">
        <v>3</v>
      </c>
      <c r="X34" s="1186">
        <v>88690</v>
      </c>
    </row>
    <row r="35" spans="1:24" x14ac:dyDescent="0.2">
      <c r="A35" s="1186" t="s">
        <v>19</v>
      </c>
      <c r="B35" s="1186" t="s">
        <v>51</v>
      </c>
      <c r="C35" s="1186">
        <v>0</v>
      </c>
      <c r="D35" s="1186">
        <v>41</v>
      </c>
      <c r="E35" s="1186">
        <v>2</v>
      </c>
      <c r="F35" s="1186">
        <v>43</v>
      </c>
      <c r="G35" s="1186">
        <v>5</v>
      </c>
      <c r="H35" s="1186">
        <v>14</v>
      </c>
      <c r="I35" s="1186">
        <v>0</v>
      </c>
      <c r="J35" s="1186">
        <v>50</v>
      </c>
      <c r="K35" s="1186">
        <v>3</v>
      </c>
      <c r="L35" s="1186">
        <v>2</v>
      </c>
      <c r="M35" s="1186">
        <v>4</v>
      </c>
      <c r="N35" s="1186">
        <v>3</v>
      </c>
      <c r="O35" s="1186">
        <v>6</v>
      </c>
      <c r="P35" s="1186">
        <v>6</v>
      </c>
      <c r="Q35" s="1186">
        <v>18</v>
      </c>
      <c r="R35" s="1186">
        <v>2</v>
      </c>
      <c r="S35" s="1186">
        <v>14</v>
      </c>
      <c r="T35" s="1186">
        <v>0</v>
      </c>
      <c r="U35" s="1186">
        <v>0</v>
      </c>
      <c r="V35" s="1186">
        <v>9</v>
      </c>
      <c r="W35" s="1186">
        <v>3</v>
      </c>
      <c r="X35" s="1186">
        <v>91080</v>
      </c>
    </row>
    <row r="36" spans="1:24" x14ac:dyDescent="0.2">
      <c r="A36" s="1186" t="s">
        <v>19</v>
      </c>
      <c r="B36" s="1186" t="s">
        <v>52</v>
      </c>
      <c r="C36" s="1186">
        <v>0</v>
      </c>
      <c r="D36" s="1186">
        <v>104</v>
      </c>
      <c r="E36" s="1186">
        <v>1</v>
      </c>
      <c r="F36" s="1186">
        <v>6</v>
      </c>
      <c r="G36" s="1186">
        <v>2</v>
      </c>
      <c r="H36" s="1186">
        <v>29</v>
      </c>
      <c r="I36" s="1186">
        <v>2</v>
      </c>
      <c r="J36" s="1186">
        <v>8</v>
      </c>
      <c r="K36" s="1186">
        <v>11</v>
      </c>
      <c r="L36" s="1186">
        <v>7</v>
      </c>
      <c r="M36" s="1186">
        <v>2</v>
      </c>
      <c r="N36" s="1186">
        <v>11</v>
      </c>
      <c r="O36" s="1186">
        <v>2</v>
      </c>
      <c r="P36" s="1186">
        <v>4</v>
      </c>
      <c r="Q36" s="1186">
        <v>17</v>
      </c>
      <c r="R36" s="1186">
        <v>6</v>
      </c>
      <c r="S36" s="1186">
        <v>8</v>
      </c>
      <c r="T36" s="1186">
        <v>0</v>
      </c>
      <c r="U36" s="1186">
        <v>4</v>
      </c>
      <c r="V36" s="1186">
        <v>12</v>
      </c>
      <c r="W36" s="1186">
        <v>4</v>
      </c>
      <c r="X36" s="1186">
        <v>173040</v>
      </c>
    </row>
    <row r="37" spans="1:24" x14ac:dyDescent="0.2">
      <c r="A37" s="1186" t="s">
        <v>20</v>
      </c>
      <c r="B37" s="1186" t="s">
        <v>23</v>
      </c>
      <c r="C37" s="1186">
        <v>0</v>
      </c>
      <c r="D37" s="1186">
        <v>80</v>
      </c>
      <c r="E37" s="1186">
        <v>2</v>
      </c>
      <c r="F37" s="1186">
        <v>57</v>
      </c>
      <c r="G37" s="1186">
        <v>1</v>
      </c>
      <c r="H37" s="1186">
        <v>39</v>
      </c>
      <c r="I37" s="1186">
        <v>1</v>
      </c>
      <c r="J37" s="1186">
        <v>144</v>
      </c>
      <c r="K37" s="1186">
        <v>11</v>
      </c>
      <c r="L37" s="1186">
        <v>2</v>
      </c>
      <c r="M37" s="1186">
        <v>10</v>
      </c>
      <c r="N37" s="1186">
        <v>16</v>
      </c>
      <c r="O37" s="1186">
        <v>2</v>
      </c>
      <c r="P37" s="1186">
        <v>5</v>
      </c>
      <c r="Q37" s="1186">
        <v>22</v>
      </c>
      <c r="R37" s="1186">
        <v>10</v>
      </c>
      <c r="S37" s="1186">
        <v>43</v>
      </c>
      <c r="T37" s="1186">
        <v>0</v>
      </c>
      <c r="U37" s="1186">
        <v>23</v>
      </c>
      <c r="V37" s="1186">
        <v>10</v>
      </c>
      <c r="W37" s="1186">
        <v>56</v>
      </c>
      <c r="X37" s="1186">
        <v>219730</v>
      </c>
    </row>
    <row r="38" spans="1:24" x14ac:dyDescent="0.2">
      <c r="A38" s="1186" t="s">
        <v>20</v>
      </c>
      <c r="B38" s="1186" t="s">
        <v>24</v>
      </c>
      <c r="C38" s="1186">
        <v>0</v>
      </c>
      <c r="D38" s="1186">
        <v>210</v>
      </c>
      <c r="E38" s="1186">
        <v>5</v>
      </c>
      <c r="F38" s="1186">
        <v>41</v>
      </c>
      <c r="G38" s="1186">
        <v>2</v>
      </c>
      <c r="H38" s="1186">
        <v>20</v>
      </c>
      <c r="I38" s="1186">
        <v>1</v>
      </c>
      <c r="J38" s="1186">
        <v>2</v>
      </c>
      <c r="K38" s="1186">
        <v>107</v>
      </c>
      <c r="L38" s="1186">
        <v>2</v>
      </c>
      <c r="M38" s="1186">
        <v>1</v>
      </c>
      <c r="N38" s="1186">
        <v>5</v>
      </c>
      <c r="O38" s="1186">
        <v>1</v>
      </c>
      <c r="P38" s="1186">
        <v>13</v>
      </c>
      <c r="Q38" s="1186">
        <v>8</v>
      </c>
      <c r="R38" s="1186">
        <v>5</v>
      </c>
      <c r="S38" s="1186">
        <v>11</v>
      </c>
      <c r="T38" s="1186">
        <v>1</v>
      </c>
      <c r="U38" s="1186">
        <v>3</v>
      </c>
      <c r="V38" s="1186">
        <v>24</v>
      </c>
      <c r="W38" s="1186">
        <v>12</v>
      </c>
      <c r="X38" s="1186">
        <v>251430</v>
      </c>
    </row>
    <row r="39" spans="1:24" x14ac:dyDescent="0.2">
      <c r="A39" s="1186" t="s">
        <v>20</v>
      </c>
      <c r="B39" s="1186" t="s">
        <v>25</v>
      </c>
      <c r="C39" s="1186">
        <v>0</v>
      </c>
      <c r="D39" s="1186">
        <v>50</v>
      </c>
      <c r="E39" s="1186">
        <v>2</v>
      </c>
      <c r="F39" s="1186">
        <v>23</v>
      </c>
      <c r="G39" s="1186">
        <v>1</v>
      </c>
      <c r="H39" s="1186">
        <v>5</v>
      </c>
      <c r="I39" s="1186">
        <v>1</v>
      </c>
      <c r="J39" s="1186">
        <v>4</v>
      </c>
      <c r="K39" s="1186">
        <v>4</v>
      </c>
      <c r="L39" s="1186">
        <v>1</v>
      </c>
      <c r="M39" s="1186">
        <v>3</v>
      </c>
      <c r="N39" s="1186">
        <v>20</v>
      </c>
      <c r="O39" s="1186">
        <v>2</v>
      </c>
      <c r="P39" s="1186">
        <v>5</v>
      </c>
      <c r="Q39" s="1186">
        <v>15</v>
      </c>
      <c r="R39" s="1186">
        <v>25</v>
      </c>
      <c r="S39" s="1186">
        <v>5</v>
      </c>
      <c r="T39" s="1186">
        <v>5</v>
      </c>
      <c r="U39" s="1186">
        <v>0</v>
      </c>
      <c r="V39" s="1186">
        <v>8</v>
      </c>
      <c r="W39" s="1186">
        <v>2</v>
      </c>
      <c r="X39" s="1186">
        <v>115410</v>
      </c>
    </row>
    <row r="40" spans="1:24" x14ac:dyDescent="0.2">
      <c r="A40" s="1186" t="s">
        <v>20</v>
      </c>
      <c r="B40" s="1186" t="s">
        <v>26</v>
      </c>
      <c r="C40" s="1186">
        <v>0</v>
      </c>
      <c r="D40" s="1186">
        <v>91</v>
      </c>
      <c r="E40" s="1186">
        <v>3</v>
      </c>
      <c r="F40" s="1186">
        <v>58</v>
      </c>
      <c r="G40" s="1186">
        <v>3</v>
      </c>
      <c r="H40" s="1186">
        <v>9</v>
      </c>
      <c r="I40" s="1186">
        <v>1</v>
      </c>
      <c r="J40" s="1186">
        <v>9</v>
      </c>
      <c r="K40" s="1186">
        <v>5</v>
      </c>
      <c r="L40" s="1186">
        <v>0</v>
      </c>
      <c r="M40" s="1186">
        <v>4</v>
      </c>
      <c r="N40" s="1186">
        <v>5</v>
      </c>
      <c r="O40" s="1186">
        <v>1</v>
      </c>
      <c r="P40" s="1186">
        <v>10</v>
      </c>
      <c r="Q40" s="1186">
        <v>6</v>
      </c>
      <c r="R40" s="1186">
        <v>7</v>
      </c>
      <c r="S40" s="1186">
        <v>15</v>
      </c>
      <c r="T40" s="1186">
        <v>2</v>
      </c>
      <c r="U40" s="1186">
        <v>6</v>
      </c>
      <c r="V40" s="1186">
        <v>18</v>
      </c>
      <c r="W40" s="1186">
        <v>7</v>
      </c>
      <c r="X40" s="1186">
        <v>88620</v>
      </c>
    </row>
    <row r="41" spans="1:24" x14ac:dyDescent="0.2">
      <c r="A41" s="1186" t="s">
        <v>20</v>
      </c>
      <c r="B41" s="1186" t="s">
        <v>619</v>
      </c>
      <c r="C41" s="1186">
        <v>0</v>
      </c>
      <c r="D41" s="1186">
        <v>137</v>
      </c>
      <c r="E41" s="1186">
        <v>14</v>
      </c>
      <c r="F41" s="1186">
        <v>22</v>
      </c>
      <c r="G41" s="1186">
        <v>5</v>
      </c>
      <c r="H41" s="1186">
        <v>66</v>
      </c>
      <c r="I41" s="1186">
        <v>10</v>
      </c>
      <c r="J41" s="1186">
        <v>51</v>
      </c>
      <c r="K41" s="1186">
        <v>23</v>
      </c>
      <c r="L41" s="1186">
        <v>18</v>
      </c>
      <c r="M41" s="1186">
        <v>25</v>
      </c>
      <c r="N41" s="1186">
        <v>49</v>
      </c>
      <c r="O41" s="1186">
        <v>25</v>
      </c>
      <c r="P41" s="1186">
        <v>14</v>
      </c>
      <c r="Q41" s="1186">
        <v>93</v>
      </c>
      <c r="R41" s="1186">
        <v>34</v>
      </c>
      <c r="S41" s="1186">
        <v>55</v>
      </c>
      <c r="T41" s="1186">
        <v>0</v>
      </c>
      <c r="U41" s="1186">
        <v>6</v>
      </c>
      <c r="V41" s="1186">
        <v>40</v>
      </c>
      <c r="W41" s="1186">
        <v>21</v>
      </c>
      <c r="X41" s="1186">
        <v>469930</v>
      </c>
    </row>
    <row r="42" spans="1:24" x14ac:dyDescent="0.2">
      <c r="A42" s="1186" t="s">
        <v>20</v>
      </c>
      <c r="B42" s="1186" t="s">
        <v>27</v>
      </c>
      <c r="C42" s="1186">
        <v>0</v>
      </c>
      <c r="D42" s="1186">
        <v>13</v>
      </c>
      <c r="E42" s="1186">
        <v>0</v>
      </c>
      <c r="F42" s="1186">
        <v>22</v>
      </c>
      <c r="G42" s="1186">
        <v>1</v>
      </c>
      <c r="H42" s="1186">
        <v>12</v>
      </c>
      <c r="I42" s="1186">
        <v>0</v>
      </c>
      <c r="J42" s="1186">
        <v>0</v>
      </c>
      <c r="K42" s="1186">
        <v>8</v>
      </c>
      <c r="L42" s="1186">
        <v>2</v>
      </c>
      <c r="M42" s="1186">
        <v>1</v>
      </c>
      <c r="N42" s="1186">
        <v>3</v>
      </c>
      <c r="O42" s="1186">
        <v>3</v>
      </c>
      <c r="P42" s="1186">
        <v>4</v>
      </c>
      <c r="Q42" s="1186">
        <v>6</v>
      </c>
      <c r="R42" s="1186">
        <v>5</v>
      </c>
      <c r="S42" s="1186">
        <v>1</v>
      </c>
      <c r="T42" s="1186">
        <v>0</v>
      </c>
      <c r="U42" s="1186">
        <v>0</v>
      </c>
      <c r="V42" s="1186">
        <v>15</v>
      </c>
      <c r="W42" s="1186">
        <v>0</v>
      </c>
      <c r="X42" s="1186">
        <v>51330</v>
      </c>
    </row>
    <row r="43" spans="1:24" x14ac:dyDescent="0.2">
      <c r="A43" s="1186" t="s">
        <v>20</v>
      </c>
      <c r="B43" s="1186" t="s">
        <v>28</v>
      </c>
      <c r="C43" s="1186">
        <v>0</v>
      </c>
      <c r="D43" s="1186">
        <v>85</v>
      </c>
      <c r="E43" s="1186">
        <v>4</v>
      </c>
      <c r="F43" s="1186">
        <v>19</v>
      </c>
      <c r="G43" s="1186">
        <v>8</v>
      </c>
      <c r="H43" s="1186">
        <v>14</v>
      </c>
      <c r="I43" s="1186">
        <v>0</v>
      </c>
      <c r="J43" s="1186">
        <v>9</v>
      </c>
      <c r="K43" s="1186">
        <v>3</v>
      </c>
      <c r="L43" s="1186">
        <v>4</v>
      </c>
      <c r="M43" s="1186">
        <v>4</v>
      </c>
      <c r="N43" s="1186">
        <v>9</v>
      </c>
      <c r="O43" s="1186">
        <v>2</v>
      </c>
      <c r="P43" s="1186">
        <v>20</v>
      </c>
      <c r="Q43" s="1186">
        <v>2</v>
      </c>
      <c r="R43" s="1186">
        <v>8</v>
      </c>
      <c r="S43" s="1186">
        <v>3</v>
      </c>
      <c r="T43" s="1186">
        <v>1</v>
      </c>
      <c r="U43" s="1186">
        <v>0</v>
      </c>
      <c r="V43" s="1186">
        <v>8</v>
      </c>
      <c r="W43" s="1186">
        <v>2</v>
      </c>
      <c r="X43" s="1186">
        <v>151100</v>
      </c>
    </row>
    <row r="44" spans="1:24" x14ac:dyDescent="0.2">
      <c r="A44" s="1186" t="s">
        <v>20</v>
      </c>
      <c r="B44" s="1186" t="s">
        <v>29</v>
      </c>
      <c r="C44" s="1186">
        <v>0</v>
      </c>
      <c r="D44" s="1186">
        <v>28</v>
      </c>
      <c r="E44" s="1186">
        <v>3</v>
      </c>
      <c r="F44" s="1186">
        <v>74</v>
      </c>
      <c r="G44" s="1186">
        <v>2</v>
      </c>
      <c r="H44" s="1186">
        <v>32</v>
      </c>
      <c r="I44" s="1186">
        <v>0</v>
      </c>
      <c r="J44" s="1186">
        <v>31</v>
      </c>
      <c r="K44" s="1186">
        <v>6</v>
      </c>
      <c r="L44" s="1186">
        <v>8</v>
      </c>
      <c r="M44" s="1186">
        <v>5</v>
      </c>
      <c r="N44" s="1186">
        <v>66</v>
      </c>
      <c r="O44" s="1186">
        <v>0</v>
      </c>
      <c r="P44" s="1186">
        <v>12</v>
      </c>
      <c r="Q44" s="1186">
        <v>45</v>
      </c>
      <c r="R44" s="1186">
        <v>123</v>
      </c>
      <c r="S44" s="1186">
        <v>9</v>
      </c>
      <c r="T44" s="1186">
        <v>0</v>
      </c>
      <c r="U44" s="1186">
        <v>1</v>
      </c>
      <c r="V44" s="1186">
        <v>29</v>
      </c>
      <c r="W44" s="1186">
        <v>9</v>
      </c>
      <c r="X44" s="1186">
        <v>146060</v>
      </c>
    </row>
    <row r="45" spans="1:24" x14ac:dyDescent="0.2">
      <c r="A45" s="1186" t="s">
        <v>20</v>
      </c>
      <c r="B45" s="1186" t="s">
        <v>30</v>
      </c>
      <c r="C45" s="1186">
        <v>0</v>
      </c>
      <c r="D45" s="1186">
        <v>71</v>
      </c>
      <c r="E45" s="1186">
        <v>4</v>
      </c>
      <c r="F45" s="1186">
        <v>44</v>
      </c>
      <c r="G45" s="1186">
        <v>5</v>
      </c>
      <c r="H45" s="1186">
        <v>14</v>
      </c>
      <c r="I45" s="1186">
        <v>1</v>
      </c>
      <c r="J45" s="1186">
        <v>4</v>
      </c>
      <c r="K45" s="1186">
        <v>7</v>
      </c>
      <c r="L45" s="1186">
        <v>3</v>
      </c>
      <c r="M45" s="1186">
        <v>4</v>
      </c>
      <c r="N45" s="1186">
        <v>3</v>
      </c>
      <c r="O45" s="1186">
        <v>1</v>
      </c>
      <c r="P45" s="1186">
        <v>9</v>
      </c>
      <c r="Q45" s="1186">
        <v>12</v>
      </c>
      <c r="R45" s="1186">
        <v>3</v>
      </c>
      <c r="S45" s="1186">
        <v>13</v>
      </c>
      <c r="T45" s="1186">
        <v>0</v>
      </c>
      <c r="U45" s="1186">
        <v>21</v>
      </c>
      <c r="V45" s="1186">
        <v>19</v>
      </c>
      <c r="W45" s="1186">
        <v>0</v>
      </c>
      <c r="X45" s="1186">
        <v>122410</v>
      </c>
    </row>
    <row r="46" spans="1:24" x14ac:dyDescent="0.2">
      <c r="A46" s="1186" t="s">
        <v>20</v>
      </c>
      <c r="B46" s="1186" t="s">
        <v>31</v>
      </c>
      <c r="C46" s="1186">
        <v>0</v>
      </c>
      <c r="D46" s="1186">
        <v>31</v>
      </c>
      <c r="E46" s="1186">
        <v>3</v>
      </c>
      <c r="F46" s="1186">
        <v>71</v>
      </c>
      <c r="G46" s="1186">
        <v>4</v>
      </c>
      <c r="H46" s="1186">
        <v>9</v>
      </c>
      <c r="I46" s="1186">
        <v>0</v>
      </c>
      <c r="J46" s="1186">
        <v>6</v>
      </c>
      <c r="K46" s="1186">
        <v>3</v>
      </c>
      <c r="L46" s="1186">
        <v>2</v>
      </c>
      <c r="M46" s="1186">
        <v>1</v>
      </c>
      <c r="N46" s="1186">
        <v>1</v>
      </c>
      <c r="O46" s="1186">
        <v>2</v>
      </c>
      <c r="P46" s="1186">
        <v>5</v>
      </c>
      <c r="Q46" s="1186">
        <v>20</v>
      </c>
      <c r="R46" s="1186">
        <v>3</v>
      </c>
      <c r="S46" s="1186">
        <v>13</v>
      </c>
      <c r="T46" s="1186">
        <v>0</v>
      </c>
      <c r="U46" s="1186">
        <v>0</v>
      </c>
      <c r="V46" s="1186">
        <v>5</v>
      </c>
      <c r="W46" s="1186">
        <v>7</v>
      </c>
      <c r="X46" s="1186">
        <v>104920</v>
      </c>
    </row>
    <row r="47" spans="1:24" x14ac:dyDescent="0.2">
      <c r="A47" s="1186" t="s">
        <v>20</v>
      </c>
      <c r="B47" s="1186" t="s">
        <v>32</v>
      </c>
      <c r="C47" s="1186">
        <v>0</v>
      </c>
      <c r="D47" s="1186">
        <v>39</v>
      </c>
      <c r="E47" s="1186">
        <v>0</v>
      </c>
      <c r="F47" s="1186">
        <v>7</v>
      </c>
      <c r="G47" s="1186">
        <v>1</v>
      </c>
      <c r="H47" s="1186">
        <v>16</v>
      </c>
      <c r="I47" s="1186">
        <v>1</v>
      </c>
      <c r="J47" s="1186">
        <v>1</v>
      </c>
      <c r="K47" s="1186">
        <v>4</v>
      </c>
      <c r="L47" s="1186">
        <v>1</v>
      </c>
      <c r="M47" s="1186">
        <v>2</v>
      </c>
      <c r="N47" s="1186">
        <v>4</v>
      </c>
      <c r="O47" s="1186">
        <v>4</v>
      </c>
      <c r="P47" s="1186">
        <v>6</v>
      </c>
      <c r="Q47" s="1186">
        <v>10</v>
      </c>
      <c r="R47" s="1186">
        <v>3</v>
      </c>
      <c r="S47" s="1186">
        <v>5</v>
      </c>
      <c r="T47" s="1186">
        <v>1</v>
      </c>
      <c r="U47" s="1186">
        <v>1</v>
      </c>
      <c r="V47" s="1186">
        <v>5</v>
      </c>
      <c r="W47" s="1186">
        <v>1</v>
      </c>
      <c r="X47" s="1186">
        <v>99140</v>
      </c>
    </row>
    <row r="48" spans="1:24" x14ac:dyDescent="0.2">
      <c r="A48" s="1186" t="s">
        <v>20</v>
      </c>
      <c r="B48" s="1186" t="s">
        <v>33</v>
      </c>
      <c r="C48" s="1186">
        <v>0</v>
      </c>
      <c r="D48" s="1186">
        <v>16</v>
      </c>
      <c r="E48" s="1186">
        <v>2</v>
      </c>
      <c r="F48" s="1186">
        <v>28</v>
      </c>
      <c r="G48" s="1186">
        <v>2</v>
      </c>
      <c r="H48" s="1186">
        <v>11</v>
      </c>
      <c r="I48" s="1186">
        <v>0</v>
      </c>
      <c r="J48" s="1186">
        <v>1</v>
      </c>
      <c r="K48" s="1186">
        <v>3</v>
      </c>
      <c r="L48" s="1186">
        <v>0</v>
      </c>
      <c r="M48" s="1186">
        <v>0</v>
      </c>
      <c r="N48" s="1186">
        <v>0</v>
      </c>
      <c r="O48" s="1186">
        <v>1</v>
      </c>
      <c r="P48" s="1186">
        <v>6</v>
      </c>
      <c r="Q48" s="1186">
        <v>9</v>
      </c>
      <c r="R48" s="1186">
        <v>5</v>
      </c>
      <c r="S48" s="1186">
        <v>7</v>
      </c>
      <c r="T48" s="1186">
        <v>0</v>
      </c>
      <c r="U48" s="1186">
        <v>2</v>
      </c>
      <c r="V48" s="1186">
        <v>6</v>
      </c>
      <c r="W48" s="1186">
        <v>1</v>
      </c>
      <c r="X48" s="1186">
        <v>90410</v>
      </c>
    </row>
    <row r="49" spans="1:24" x14ac:dyDescent="0.2">
      <c r="A49" s="1186" t="s">
        <v>20</v>
      </c>
      <c r="B49" s="1186" t="s">
        <v>34</v>
      </c>
      <c r="C49" s="1186">
        <v>0</v>
      </c>
      <c r="D49" s="1186">
        <v>51</v>
      </c>
      <c r="E49" s="1186">
        <v>3</v>
      </c>
      <c r="F49" s="1186">
        <v>94</v>
      </c>
      <c r="G49" s="1186">
        <v>3</v>
      </c>
      <c r="H49" s="1186">
        <v>17</v>
      </c>
      <c r="I49" s="1186">
        <v>0</v>
      </c>
      <c r="J49" s="1186">
        <v>8</v>
      </c>
      <c r="K49" s="1186">
        <v>7</v>
      </c>
      <c r="L49" s="1186">
        <v>4</v>
      </c>
      <c r="M49" s="1186">
        <v>4</v>
      </c>
      <c r="N49" s="1186">
        <v>7</v>
      </c>
      <c r="O49" s="1186">
        <v>3</v>
      </c>
      <c r="P49" s="1186">
        <v>13</v>
      </c>
      <c r="Q49" s="1186">
        <v>15</v>
      </c>
      <c r="R49" s="1186">
        <v>9</v>
      </c>
      <c r="S49" s="1186">
        <v>7</v>
      </c>
      <c r="T49" s="1186">
        <v>0</v>
      </c>
      <c r="U49" s="1186">
        <v>1</v>
      </c>
      <c r="V49" s="1186">
        <v>12</v>
      </c>
      <c r="W49" s="1186">
        <v>4</v>
      </c>
      <c r="X49" s="1186">
        <v>155130</v>
      </c>
    </row>
    <row r="50" spans="1:24" x14ac:dyDescent="0.2">
      <c r="A50" s="1186" t="s">
        <v>20</v>
      </c>
      <c r="B50" s="1186" t="s">
        <v>35</v>
      </c>
      <c r="C50" s="1186">
        <v>0</v>
      </c>
      <c r="D50" s="1186">
        <v>125</v>
      </c>
      <c r="E50" s="1186">
        <v>10</v>
      </c>
      <c r="F50" s="1186">
        <v>119</v>
      </c>
      <c r="G50" s="1186">
        <v>3</v>
      </c>
      <c r="H50" s="1186">
        <v>53</v>
      </c>
      <c r="I50" s="1186">
        <v>4</v>
      </c>
      <c r="J50" s="1186">
        <v>26</v>
      </c>
      <c r="K50" s="1186">
        <v>8</v>
      </c>
      <c r="L50" s="1186">
        <v>9</v>
      </c>
      <c r="M50" s="1186">
        <v>12</v>
      </c>
      <c r="N50" s="1186">
        <v>17</v>
      </c>
      <c r="O50" s="1186">
        <v>12</v>
      </c>
      <c r="P50" s="1186">
        <v>20</v>
      </c>
      <c r="Q50" s="1186">
        <v>35</v>
      </c>
      <c r="R50" s="1186">
        <v>34</v>
      </c>
      <c r="S50" s="1186">
        <v>23</v>
      </c>
      <c r="T50" s="1186">
        <v>0</v>
      </c>
      <c r="U50" s="1186">
        <v>2</v>
      </c>
      <c r="V50" s="1186">
        <v>62</v>
      </c>
      <c r="W50" s="1186">
        <v>16</v>
      </c>
      <c r="X50" s="1186">
        <v>362610</v>
      </c>
    </row>
    <row r="51" spans="1:24" x14ac:dyDescent="0.2">
      <c r="A51" s="1186" t="s">
        <v>20</v>
      </c>
      <c r="B51" s="1186" t="s">
        <v>36</v>
      </c>
      <c r="C51" s="1186">
        <v>0</v>
      </c>
      <c r="D51" s="1186">
        <v>210</v>
      </c>
      <c r="E51" s="1186">
        <v>27</v>
      </c>
      <c r="F51" s="1186">
        <v>652</v>
      </c>
      <c r="G51" s="1186">
        <v>42</v>
      </c>
      <c r="H51" s="1186">
        <v>88</v>
      </c>
      <c r="I51" s="1186">
        <v>4</v>
      </c>
      <c r="J51" s="1186">
        <v>198</v>
      </c>
      <c r="K51" s="1186">
        <v>34</v>
      </c>
      <c r="L51" s="1186">
        <v>28</v>
      </c>
      <c r="M51" s="1186">
        <v>14</v>
      </c>
      <c r="N51" s="1186">
        <v>45</v>
      </c>
      <c r="O51" s="1186">
        <v>39</v>
      </c>
      <c r="P51" s="1186">
        <v>51</v>
      </c>
      <c r="Q51" s="1186">
        <v>281</v>
      </c>
      <c r="R51" s="1186">
        <v>41</v>
      </c>
      <c r="S51" s="1186">
        <v>173</v>
      </c>
      <c r="T51" s="1186">
        <v>5</v>
      </c>
      <c r="U51" s="1186">
        <v>84</v>
      </c>
      <c r="V51" s="1186">
        <v>92</v>
      </c>
      <c r="W51" s="1186">
        <v>47</v>
      </c>
      <c r="X51" s="1186">
        <v>586500</v>
      </c>
    </row>
    <row r="52" spans="1:24" x14ac:dyDescent="0.2">
      <c r="A52" s="1186" t="s">
        <v>20</v>
      </c>
      <c r="B52" s="1186" t="s">
        <v>37</v>
      </c>
      <c r="C52" s="1186">
        <v>0</v>
      </c>
      <c r="D52" s="1186">
        <v>182</v>
      </c>
      <c r="E52" s="1186">
        <v>12</v>
      </c>
      <c r="F52" s="1186">
        <v>85</v>
      </c>
      <c r="G52" s="1186">
        <v>4</v>
      </c>
      <c r="H52" s="1186">
        <v>25</v>
      </c>
      <c r="I52" s="1186">
        <v>1</v>
      </c>
      <c r="J52" s="1186">
        <v>8</v>
      </c>
      <c r="K52" s="1186">
        <v>8</v>
      </c>
      <c r="L52" s="1186">
        <v>2</v>
      </c>
      <c r="M52" s="1186">
        <v>4</v>
      </c>
      <c r="N52" s="1186">
        <v>19</v>
      </c>
      <c r="O52" s="1186">
        <v>3</v>
      </c>
      <c r="P52" s="1186">
        <v>22</v>
      </c>
      <c r="Q52" s="1186">
        <v>12</v>
      </c>
      <c r="R52" s="1186">
        <v>13</v>
      </c>
      <c r="S52" s="1186">
        <v>6</v>
      </c>
      <c r="T52" s="1186">
        <v>1</v>
      </c>
      <c r="U52" s="1186">
        <v>4</v>
      </c>
      <c r="V52" s="1186">
        <v>21</v>
      </c>
      <c r="W52" s="1186">
        <v>5</v>
      </c>
      <c r="X52" s="1186">
        <v>230730</v>
      </c>
    </row>
    <row r="53" spans="1:24" x14ac:dyDescent="0.2">
      <c r="A53" s="1186" t="s">
        <v>20</v>
      </c>
      <c r="B53" s="1186" t="s">
        <v>38</v>
      </c>
      <c r="C53" s="1186">
        <v>0</v>
      </c>
      <c r="D53" s="1186">
        <v>35</v>
      </c>
      <c r="E53" s="1186">
        <v>2</v>
      </c>
      <c r="F53" s="1186">
        <v>53</v>
      </c>
      <c r="G53" s="1186">
        <v>1</v>
      </c>
      <c r="H53" s="1186">
        <v>14</v>
      </c>
      <c r="I53" s="1186">
        <v>2</v>
      </c>
      <c r="J53" s="1186">
        <v>34</v>
      </c>
      <c r="K53" s="1186">
        <v>2</v>
      </c>
      <c r="L53" s="1186">
        <v>2</v>
      </c>
      <c r="M53" s="1186">
        <v>1</v>
      </c>
      <c r="N53" s="1186">
        <v>2</v>
      </c>
      <c r="O53" s="1186">
        <v>6</v>
      </c>
      <c r="P53" s="1186">
        <v>1</v>
      </c>
      <c r="Q53" s="1186">
        <v>22</v>
      </c>
      <c r="R53" s="1186">
        <v>8</v>
      </c>
      <c r="S53" s="1186">
        <v>25</v>
      </c>
      <c r="T53" s="1186">
        <v>0</v>
      </c>
      <c r="U53" s="1186">
        <v>0</v>
      </c>
      <c r="V53" s="1186">
        <v>6</v>
      </c>
      <c r="W53" s="1186">
        <v>8</v>
      </c>
      <c r="X53" s="1186">
        <v>81510</v>
      </c>
    </row>
    <row r="54" spans="1:24" x14ac:dyDescent="0.2">
      <c r="A54" s="1186" t="s">
        <v>20</v>
      </c>
      <c r="B54" s="1186" t="s">
        <v>39</v>
      </c>
      <c r="C54" s="1186">
        <v>0</v>
      </c>
      <c r="D54" s="1186">
        <v>50</v>
      </c>
      <c r="E54" s="1186">
        <v>0</v>
      </c>
      <c r="F54" s="1186">
        <v>2</v>
      </c>
      <c r="G54" s="1186">
        <v>0</v>
      </c>
      <c r="H54" s="1186">
        <v>13</v>
      </c>
      <c r="I54" s="1186">
        <v>0</v>
      </c>
      <c r="J54" s="1186">
        <v>0</v>
      </c>
      <c r="K54" s="1186">
        <v>6</v>
      </c>
      <c r="L54" s="1186">
        <v>2</v>
      </c>
      <c r="M54" s="1186">
        <v>2</v>
      </c>
      <c r="N54" s="1186">
        <v>4</v>
      </c>
      <c r="O54" s="1186">
        <v>2</v>
      </c>
      <c r="P54" s="1186">
        <v>4</v>
      </c>
      <c r="Q54" s="1186">
        <v>8</v>
      </c>
      <c r="R54" s="1186">
        <v>1</v>
      </c>
      <c r="S54" s="1186">
        <v>4</v>
      </c>
      <c r="T54" s="1186">
        <v>0</v>
      </c>
      <c r="U54" s="1186">
        <v>0</v>
      </c>
      <c r="V54" s="1186">
        <v>2</v>
      </c>
      <c r="W54" s="1186">
        <v>0</v>
      </c>
      <c r="X54" s="1186">
        <v>82360</v>
      </c>
    </row>
    <row r="55" spans="1:24" x14ac:dyDescent="0.2">
      <c r="A55" s="1186" t="s">
        <v>20</v>
      </c>
      <c r="B55" s="1186" t="s">
        <v>40</v>
      </c>
      <c r="C55" s="1186">
        <v>0</v>
      </c>
      <c r="D55" s="1186">
        <v>55</v>
      </c>
      <c r="E55" s="1186">
        <v>0</v>
      </c>
      <c r="F55" s="1186">
        <v>4</v>
      </c>
      <c r="G55" s="1186">
        <v>0</v>
      </c>
      <c r="H55" s="1186">
        <v>11</v>
      </c>
      <c r="I55" s="1186">
        <v>1</v>
      </c>
      <c r="J55" s="1186">
        <v>2</v>
      </c>
      <c r="K55" s="1186">
        <v>2</v>
      </c>
      <c r="L55" s="1186">
        <v>1</v>
      </c>
      <c r="M55" s="1186">
        <v>1</v>
      </c>
      <c r="N55" s="1186">
        <v>4</v>
      </c>
      <c r="O55" s="1186">
        <v>0</v>
      </c>
      <c r="P55" s="1186">
        <v>10</v>
      </c>
      <c r="Q55" s="1186">
        <v>2</v>
      </c>
      <c r="R55" s="1186">
        <v>5</v>
      </c>
      <c r="S55" s="1186">
        <v>5</v>
      </c>
      <c r="T55" s="1186">
        <v>0</v>
      </c>
      <c r="U55" s="1186">
        <v>1</v>
      </c>
      <c r="V55" s="1186">
        <v>8</v>
      </c>
      <c r="W55" s="1186">
        <v>2</v>
      </c>
      <c r="X55" s="1186">
        <v>93690</v>
      </c>
    </row>
    <row r="56" spans="1:24" x14ac:dyDescent="0.2">
      <c r="A56" s="1186" t="s">
        <v>20</v>
      </c>
      <c r="B56" s="1186" t="s">
        <v>295</v>
      </c>
      <c r="C56" s="1186">
        <v>0</v>
      </c>
      <c r="D56" s="1186">
        <v>17</v>
      </c>
      <c r="E56" s="1186">
        <v>3</v>
      </c>
      <c r="F56" s="1186">
        <v>7</v>
      </c>
      <c r="G56" s="1186">
        <v>0</v>
      </c>
      <c r="H56" s="1186">
        <v>1</v>
      </c>
      <c r="I56" s="1186">
        <v>1</v>
      </c>
      <c r="J56" s="1186">
        <v>0</v>
      </c>
      <c r="K56" s="1186">
        <v>2</v>
      </c>
      <c r="L56" s="1186">
        <v>0</v>
      </c>
      <c r="M56" s="1186">
        <v>0</v>
      </c>
      <c r="N56" s="1186">
        <v>0</v>
      </c>
      <c r="O56" s="1186">
        <v>0</v>
      </c>
      <c r="P56" s="1186">
        <v>4</v>
      </c>
      <c r="Q56" s="1186">
        <v>1</v>
      </c>
      <c r="R56" s="1186">
        <v>4</v>
      </c>
      <c r="S56" s="1186">
        <v>1</v>
      </c>
      <c r="T56" s="1186">
        <v>0</v>
      </c>
      <c r="U56" s="1186">
        <v>2</v>
      </c>
      <c r="V56" s="1186">
        <v>5</v>
      </c>
      <c r="W56" s="1186">
        <v>0</v>
      </c>
      <c r="X56" s="1186">
        <v>27600</v>
      </c>
    </row>
    <row r="57" spans="1:24" x14ac:dyDescent="0.2">
      <c r="A57" s="1186" t="s">
        <v>20</v>
      </c>
      <c r="B57" s="1186" t="s">
        <v>41</v>
      </c>
      <c r="C57" s="1186">
        <v>0</v>
      </c>
      <c r="D57" s="1186">
        <v>39</v>
      </c>
      <c r="E57" s="1186">
        <v>3</v>
      </c>
      <c r="F57" s="1186">
        <v>124</v>
      </c>
      <c r="G57" s="1186">
        <v>8</v>
      </c>
      <c r="H57" s="1186">
        <v>23</v>
      </c>
      <c r="I57" s="1186">
        <v>1</v>
      </c>
      <c r="J57" s="1186">
        <v>17</v>
      </c>
      <c r="K57" s="1186">
        <v>3</v>
      </c>
      <c r="L57" s="1186">
        <v>6</v>
      </c>
      <c r="M57" s="1186">
        <v>0</v>
      </c>
      <c r="N57" s="1186">
        <v>7</v>
      </c>
      <c r="O57" s="1186">
        <v>4</v>
      </c>
      <c r="P57" s="1186">
        <v>14</v>
      </c>
      <c r="Q57" s="1186">
        <v>30</v>
      </c>
      <c r="R57" s="1186">
        <v>5</v>
      </c>
      <c r="S57" s="1186">
        <v>24</v>
      </c>
      <c r="T57" s="1186">
        <v>0</v>
      </c>
      <c r="U57" s="1186">
        <v>4</v>
      </c>
      <c r="V57" s="1186">
        <v>9</v>
      </c>
      <c r="W57" s="1186">
        <v>1</v>
      </c>
      <c r="X57" s="1186">
        <v>137800</v>
      </c>
    </row>
    <row r="58" spans="1:24" x14ac:dyDescent="0.2">
      <c r="A58" s="1186" t="s">
        <v>20</v>
      </c>
      <c r="B58" s="1186" t="s">
        <v>42</v>
      </c>
      <c r="C58" s="1186">
        <v>0</v>
      </c>
      <c r="D58" s="1186">
        <v>114</v>
      </c>
      <c r="E58" s="1186">
        <v>6</v>
      </c>
      <c r="F58" s="1186">
        <v>237</v>
      </c>
      <c r="G58" s="1186">
        <v>1</v>
      </c>
      <c r="H58" s="1186">
        <v>31</v>
      </c>
      <c r="I58" s="1186">
        <v>5</v>
      </c>
      <c r="J58" s="1186">
        <v>29</v>
      </c>
      <c r="K58" s="1186">
        <v>11</v>
      </c>
      <c r="L58" s="1186">
        <v>6</v>
      </c>
      <c r="M58" s="1186">
        <v>5</v>
      </c>
      <c r="N58" s="1186">
        <v>13</v>
      </c>
      <c r="O58" s="1186">
        <v>22</v>
      </c>
      <c r="P58" s="1186">
        <v>17</v>
      </c>
      <c r="Q58" s="1186">
        <v>76</v>
      </c>
      <c r="R58" s="1186">
        <v>14</v>
      </c>
      <c r="S58" s="1186">
        <v>63</v>
      </c>
      <c r="T58" s="1186">
        <v>3</v>
      </c>
      <c r="U58" s="1186">
        <v>2</v>
      </c>
      <c r="V58" s="1186">
        <v>42</v>
      </c>
      <c r="W58" s="1186">
        <v>14</v>
      </c>
      <c r="X58" s="1186">
        <v>336280</v>
      </c>
    </row>
    <row r="59" spans="1:24" x14ac:dyDescent="0.2">
      <c r="A59" s="1186" t="s">
        <v>20</v>
      </c>
      <c r="B59" s="1186" t="s">
        <v>43</v>
      </c>
      <c r="C59" s="1186">
        <v>0</v>
      </c>
      <c r="D59" s="1186">
        <v>8</v>
      </c>
      <c r="E59" s="1186">
        <v>1</v>
      </c>
      <c r="F59" s="1186">
        <v>0</v>
      </c>
      <c r="G59" s="1186">
        <v>0</v>
      </c>
      <c r="H59" s="1186">
        <v>1</v>
      </c>
      <c r="I59" s="1186">
        <v>0</v>
      </c>
      <c r="J59" s="1186">
        <v>0</v>
      </c>
      <c r="K59" s="1186">
        <v>0</v>
      </c>
      <c r="L59" s="1186">
        <v>0</v>
      </c>
      <c r="M59" s="1186">
        <v>0</v>
      </c>
      <c r="N59" s="1186">
        <v>0</v>
      </c>
      <c r="O59" s="1186">
        <v>0</v>
      </c>
      <c r="P59" s="1186">
        <v>0</v>
      </c>
      <c r="Q59" s="1186">
        <v>0</v>
      </c>
      <c r="R59" s="1186">
        <v>1</v>
      </c>
      <c r="S59" s="1186">
        <v>0</v>
      </c>
      <c r="T59" s="1186">
        <v>0</v>
      </c>
      <c r="U59" s="1186">
        <v>0</v>
      </c>
      <c r="V59" s="1186">
        <v>2</v>
      </c>
      <c r="W59" s="1186">
        <v>0</v>
      </c>
      <c r="X59" s="1186">
        <v>21220</v>
      </c>
    </row>
    <row r="60" spans="1:24" x14ac:dyDescent="0.2">
      <c r="A60" s="1186" t="s">
        <v>20</v>
      </c>
      <c r="B60" s="1186" t="s">
        <v>44</v>
      </c>
      <c r="C60" s="1186">
        <v>0</v>
      </c>
      <c r="D60" s="1186">
        <v>113</v>
      </c>
      <c r="E60" s="1186">
        <v>4</v>
      </c>
      <c r="F60" s="1186">
        <v>97</v>
      </c>
      <c r="G60" s="1186">
        <v>10</v>
      </c>
      <c r="H60" s="1186">
        <v>10</v>
      </c>
      <c r="I60" s="1186">
        <v>0</v>
      </c>
      <c r="J60" s="1186">
        <v>10</v>
      </c>
      <c r="K60" s="1186">
        <v>5</v>
      </c>
      <c r="L60" s="1186">
        <v>5</v>
      </c>
      <c r="M60" s="1186">
        <v>2</v>
      </c>
      <c r="N60" s="1186">
        <v>69</v>
      </c>
      <c r="O60" s="1186">
        <v>1</v>
      </c>
      <c r="P60" s="1186">
        <v>12</v>
      </c>
      <c r="Q60" s="1186">
        <v>9</v>
      </c>
      <c r="R60" s="1186">
        <v>81</v>
      </c>
      <c r="S60" s="1186">
        <v>3</v>
      </c>
      <c r="T60" s="1186">
        <v>0</v>
      </c>
      <c r="U60" s="1186">
        <v>0</v>
      </c>
      <c r="V60" s="1186">
        <v>15</v>
      </c>
      <c r="W60" s="1186">
        <v>11</v>
      </c>
      <c r="X60" s="1186">
        <v>145600</v>
      </c>
    </row>
    <row r="61" spans="1:24" x14ac:dyDescent="0.2">
      <c r="A61" s="1186" t="s">
        <v>20</v>
      </c>
      <c r="B61" s="1186" t="s">
        <v>45</v>
      </c>
      <c r="C61" s="1186">
        <v>0</v>
      </c>
      <c r="D61" s="1186">
        <v>72</v>
      </c>
      <c r="E61" s="1186">
        <v>12</v>
      </c>
      <c r="F61" s="1186">
        <v>141</v>
      </c>
      <c r="G61" s="1186">
        <v>8</v>
      </c>
      <c r="H61" s="1186">
        <v>21</v>
      </c>
      <c r="I61" s="1186">
        <v>5</v>
      </c>
      <c r="J61" s="1186">
        <v>22</v>
      </c>
      <c r="K61" s="1186">
        <v>10</v>
      </c>
      <c r="L61" s="1186">
        <v>17</v>
      </c>
      <c r="M61" s="1186">
        <v>4</v>
      </c>
      <c r="N61" s="1186">
        <v>7</v>
      </c>
      <c r="O61" s="1186">
        <v>7</v>
      </c>
      <c r="P61" s="1186">
        <v>13</v>
      </c>
      <c r="Q61" s="1186">
        <v>54</v>
      </c>
      <c r="R61" s="1186">
        <v>12</v>
      </c>
      <c r="S61" s="1186">
        <v>38</v>
      </c>
      <c r="T61" s="1186">
        <v>1</v>
      </c>
      <c r="U61" s="1186">
        <v>14</v>
      </c>
      <c r="V61" s="1186">
        <v>24</v>
      </c>
      <c r="W61" s="1186">
        <v>9</v>
      </c>
      <c r="X61" s="1186">
        <v>173700</v>
      </c>
    </row>
    <row r="62" spans="1:24" x14ac:dyDescent="0.2">
      <c r="A62" s="1186" t="s">
        <v>20</v>
      </c>
      <c r="B62" s="1186" t="s">
        <v>46</v>
      </c>
      <c r="C62" s="1186">
        <v>0</v>
      </c>
      <c r="D62" s="1186">
        <v>85</v>
      </c>
      <c r="E62" s="1186">
        <v>2</v>
      </c>
      <c r="F62" s="1186">
        <v>10</v>
      </c>
      <c r="G62" s="1186">
        <v>1</v>
      </c>
      <c r="H62" s="1186">
        <v>10</v>
      </c>
      <c r="I62" s="1186">
        <v>1</v>
      </c>
      <c r="J62" s="1186">
        <v>1</v>
      </c>
      <c r="K62" s="1186">
        <v>16</v>
      </c>
      <c r="L62" s="1186">
        <v>4</v>
      </c>
      <c r="M62" s="1186">
        <v>2</v>
      </c>
      <c r="N62" s="1186">
        <v>6</v>
      </c>
      <c r="O62" s="1186">
        <v>3</v>
      </c>
      <c r="P62" s="1186">
        <v>6</v>
      </c>
      <c r="Q62" s="1186">
        <v>8</v>
      </c>
      <c r="R62" s="1186">
        <v>3</v>
      </c>
      <c r="S62" s="1186">
        <v>3</v>
      </c>
      <c r="T62" s="1186">
        <v>0</v>
      </c>
      <c r="U62" s="1186">
        <v>20</v>
      </c>
      <c r="V62" s="1186">
        <v>7</v>
      </c>
      <c r="W62" s="1186">
        <v>6</v>
      </c>
      <c r="X62" s="1186">
        <v>113700</v>
      </c>
    </row>
    <row r="63" spans="1:24" x14ac:dyDescent="0.2">
      <c r="A63" s="1186" t="s">
        <v>20</v>
      </c>
      <c r="B63" s="1186" t="s">
        <v>47</v>
      </c>
      <c r="C63" s="1186">
        <v>0</v>
      </c>
      <c r="D63" s="1186">
        <v>13</v>
      </c>
      <c r="E63" s="1186">
        <v>3</v>
      </c>
      <c r="F63" s="1186">
        <v>4</v>
      </c>
      <c r="G63" s="1186">
        <v>2</v>
      </c>
      <c r="H63" s="1186">
        <v>0</v>
      </c>
      <c r="I63" s="1186">
        <v>0</v>
      </c>
      <c r="J63" s="1186">
        <v>0</v>
      </c>
      <c r="K63" s="1186">
        <v>0</v>
      </c>
      <c r="L63" s="1186">
        <v>0</v>
      </c>
      <c r="M63" s="1186">
        <v>0</v>
      </c>
      <c r="N63" s="1186">
        <v>1</v>
      </c>
      <c r="O63" s="1186">
        <v>0</v>
      </c>
      <c r="P63" s="1186">
        <v>0</v>
      </c>
      <c r="Q63" s="1186">
        <v>4</v>
      </c>
      <c r="R63" s="1186">
        <v>0</v>
      </c>
      <c r="S63" s="1186">
        <v>1</v>
      </c>
      <c r="T63" s="1186">
        <v>0</v>
      </c>
      <c r="U63" s="1186">
        <v>1</v>
      </c>
      <c r="V63" s="1186">
        <v>2</v>
      </c>
      <c r="W63" s="1186">
        <v>0</v>
      </c>
      <c r="X63" s="1186">
        <v>23060</v>
      </c>
    </row>
    <row r="64" spans="1:24" x14ac:dyDescent="0.2">
      <c r="A64" s="1186" t="s">
        <v>20</v>
      </c>
      <c r="B64" s="1186" t="s">
        <v>48</v>
      </c>
      <c r="C64" s="1186">
        <v>0</v>
      </c>
      <c r="D64" s="1186">
        <v>61</v>
      </c>
      <c r="E64" s="1186">
        <v>4</v>
      </c>
      <c r="F64" s="1186">
        <v>63</v>
      </c>
      <c r="G64" s="1186">
        <v>9</v>
      </c>
      <c r="H64" s="1186">
        <v>9</v>
      </c>
      <c r="I64" s="1186">
        <v>4</v>
      </c>
      <c r="J64" s="1186">
        <v>11</v>
      </c>
      <c r="K64" s="1186">
        <v>3</v>
      </c>
      <c r="L64" s="1186">
        <v>2</v>
      </c>
      <c r="M64" s="1186">
        <v>2</v>
      </c>
      <c r="N64" s="1186">
        <v>4</v>
      </c>
      <c r="O64" s="1186">
        <v>2</v>
      </c>
      <c r="P64" s="1186">
        <v>9</v>
      </c>
      <c r="Q64" s="1186">
        <v>15</v>
      </c>
      <c r="R64" s="1186">
        <v>8</v>
      </c>
      <c r="S64" s="1186">
        <v>28</v>
      </c>
      <c r="T64" s="1186">
        <v>0</v>
      </c>
      <c r="U64" s="1186">
        <v>7</v>
      </c>
      <c r="V64" s="1186">
        <v>16</v>
      </c>
      <c r="W64" s="1186">
        <v>3</v>
      </c>
      <c r="X64" s="1186">
        <v>112600</v>
      </c>
    </row>
    <row r="65" spans="1:24" x14ac:dyDescent="0.2">
      <c r="A65" s="1186" t="s">
        <v>20</v>
      </c>
      <c r="B65" s="1186" t="s">
        <v>49</v>
      </c>
      <c r="C65" s="1186">
        <v>0</v>
      </c>
      <c r="D65" s="1186">
        <v>162</v>
      </c>
      <c r="E65" s="1186">
        <v>10</v>
      </c>
      <c r="F65" s="1186">
        <v>191</v>
      </c>
      <c r="G65" s="1186">
        <v>2</v>
      </c>
      <c r="H65" s="1186">
        <v>28</v>
      </c>
      <c r="I65" s="1186">
        <v>2</v>
      </c>
      <c r="J65" s="1186">
        <v>18</v>
      </c>
      <c r="K65" s="1186">
        <v>5</v>
      </c>
      <c r="L65" s="1186">
        <v>8</v>
      </c>
      <c r="M65" s="1186">
        <v>6</v>
      </c>
      <c r="N65" s="1186">
        <v>20</v>
      </c>
      <c r="O65" s="1186">
        <v>13</v>
      </c>
      <c r="P65" s="1186">
        <v>19</v>
      </c>
      <c r="Q65" s="1186">
        <v>43</v>
      </c>
      <c r="R65" s="1186">
        <v>21</v>
      </c>
      <c r="S65" s="1186">
        <v>71</v>
      </c>
      <c r="T65" s="1186">
        <v>3</v>
      </c>
      <c r="U65" s="1186">
        <v>2</v>
      </c>
      <c r="V65" s="1186">
        <v>31</v>
      </c>
      <c r="W65" s="1186">
        <v>12</v>
      </c>
      <c r="X65" s="1186">
        <v>313180</v>
      </c>
    </row>
    <row r="66" spans="1:24" x14ac:dyDescent="0.2">
      <c r="A66" s="1186" t="s">
        <v>20</v>
      </c>
      <c r="B66" s="1186" t="s">
        <v>50</v>
      </c>
      <c r="C66" s="1186">
        <v>0</v>
      </c>
      <c r="D66" s="1186">
        <v>67</v>
      </c>
      <c r="E66" s="1186">
        <v>1</v>
      </c>
      <c r="F66" s="1186">
        <v>57</v>
      </c>
      <c r="G66" s="1186">
        <v>5</v>
      </c>
      <c r="H66" s="1186">
        <v>15</v>
      </c>
      <c r="I66" s="1186">
        <v>1</v>
      </c>
      <c r="J66" s="1186">
        <v>5</v>
      </c>
      <c r="K66" s="1186">
        <v>9</v>
      </c>
      <c r="L66" s="1186">
        <v>5</v>
      </c>
      <c r="M66" s="1186">
        <v>3</v>
      </c>
      <c r="N66" s="1186">
        <v>8</v>
      </c>
      <c r="O66" s="1186">
        <v>2</v>
      </c>
      <c r="P66" s="1186">
        <v>4</v>
      </c>
      <c r="Q66" s="1186">
        <v>8</v>
      </c>
      <c r="R66" s="1186">
        <v>5</v>
      </c>
      <c r="S66" s="1186">
        <v>1</v>
      </c>
      <c r="T66" s="1186">
        <v>0</v>
      </c>
      <c r="U66" s="1186">
        <v>2</v>
      </c>
      <c r="V66" s="1186">
        <v>9</v>
      </c>
      <c r="W66" s="1186">
        <v>2</v>
      </c>
      <c r="X66" s="1186">
        <v>89550</v>
      </c>
    </row>
    <row r="67" spans="1:24" x14ac:dyDescent="0.2">
      <c r="A67" s="1186" t="s">
        <v>20</v>
      </c>
      <c r="B67" s="1186" t="s">
        <v>51</v>
      </c>
      <c r="C67" s="1186">
        <v>0</v>
      </c>
      <c r="D67" s="1186">
        <v>40</v>
      </c>
      <c r="E67" s="1186">
        <v>1</v>
      </c>
      <c r="F67" s="1186">
        <v>61</v>
      </c>
      <c r="G67" s="1186">
        <v>4</v>
      </c>
      <c r="H67" s="1186">
        <v>16</v>
      </c>
      <c r="I67" s="1186">
        <v>3</v>
      </c>
      <c r="J67" s="1186">
        <v>52</v>
      </c>
      <c r="K67" s="1186">
        <v>3</v>
      </c>
      <c r="L67" s="1186">
        <v>5</v>
      </c>
      <c r="M67" s="1186">
        <v>0</v>
      </c>
      <c r="N67" s="1186">
        <v>3</v>
      </c>
      <c r="O67" s="1186">
        <v>5</v>
      </c>
      <c r="P67" s="1186">
        <v>6</v>
      </c>
      <c r="Q67" s="1186">
        <v>13</v>
      </c>
      <c r="R67" s="1186">
        <v>2</v>
      </c>
      <c r="S67" s="1186">
        <v>24</v>
      </c>
      <c r="T67" s="1186">
        <v>0</v>
      </c>
      <c r="U67" s="1186">
        <v>3</v>
      </c>
      <c r="V67" s="1186">
        <v>9</v>
      </c>
      <c r="W67" s="1186">
        <v>4</v>
      </c>
      <c r="X67" s="1186">
        <v>90800</v>
      </c>
    </row>
    <row r="68" spans="1:24" x14ac:dyDescent="0.2">
      <c r="A68" s="1186" t="s">
        <v>20</v>
      </c>
      <c r="B68" s="1186" t="s">
        <v>52</v>
      </c>
      <c r="C68" s="1186">
        <v>0</v>
      </c>
      <c r="D68" s="1186">
        <v>71</v>
      </c>
      <c r="E68" s="1186">
        <v>1</v>
      </c>
      <c r="F68" s="1186">
        <v>8</v>
      </c>
      <c r="G68" s="1186">
        <v>2</v>
      </c>
      <c r="H68" s="1186">
        <v>31</v>
      </c>
      <c r="I68" s="1186">
        <v>0</v>
      </c>
      <c r="J68" s="1186">
        <v>2</v>
      </c>
      <c r="K68" s="1186">
        <v>8</v>
      </c>
      <c r="L68" s="1186">
        <v>0</v>
      </c>
      <c r="M68" s="1186">
        <v>9</v>
      </c>
      <c r="N68" s="1186">
        <v>12</v>
      </c>
      <c r="O68" s="1186">
        <v>2</v>
      </c>
      <c r="P68" s="1186">
        <v>7</v>
      </c>
      <c r="Q68" s="1186">
        <v>16</v>
      </c>
      <c r="R68" s="1186">
        <v>11</v>
      </c>
      <c r="S68" s="1186">
        <v>19</v>
      </c>
      <c r="T68" s="1186">
        <v>0</v>
      </c>
      <c r="U68" s="1186">
        <v>3</v>
      </c>
      <c r="V68" s="1186">
        <v>7</v>
      </c>
      <c r="W68" s="1186">
        <v>9</v>
      </c>
      <c r="X68" s="1186">
        <v>174090</v>
      </c>
    </row>
    <row r="69" spans="1:24" x14ac:dyDescent="0.2">
      <c r="A69" s="1186" t="s">
        <v>20</v>
      </c>
      <c r="B69" s="1186" t="s">
        <v>1521</v>
      </c>
      <c r="C69" s="1186">
        <v>0</v>
      </c>
      <c r="D69" s="1186">
        <v>0</v>
      </c>
      <c r="E69" s="1186">
        <v>0</v>
      </c>
      <c r="F69" s="1186">
        <v>0</v>
      </c>
      <c r="G69" s="1186">
        <v>0</v>
      </c>
      <c r="H69" s="1186">
        <v>0</v>
      </c>
      <c r="I69" s="1186">
        <v>0</v>
      </c>
      <c r="J69" s="1186">
        <v>0</v>
      </c>
      <c r="K69" s="1186">
        <v>0</v>
      </c>
      <c r="L69" s="1186">
        <v>0</v>
      </c>
      <c r="M69" s="1186">
        <v>0</v>
      </c>
      <c r="N69" s="1186">
        <v>1</v>
      </c>
      <c r="O69" s="1186">
        <v>0</v>
      </c>
      <c r="P69" s="1186">
        <v>0</v>
      </c>
      <c r="Q69" s="1186">
        <v>0</v>
      </c>
      <c r="R69" s="1186">
        <v>0</v>
      </c>
      <c r="S69" s="1186">
        <v>0</v>
      </c>
      <c r="T69" s="1186">
        <v>0</v>
      </c>
      <c r="U69" s="1186">
        <v>0</v>
      </c>
      <c r="V69" s="1186">
        <v>0</v>
      </c>
      <c r="W69" s="1186">
        <v>0</v>
      </c>
      <c r="X69" s="1186"/>
    </row>
    <row r="70" spans="1:24" x14ac:dyDescent="0.2">
      <c r="A70" s="1186" t="s">
        <v>13</v>
      </c>
      <c r="B70" s="1186" t="s">
        <v>23</v>
      </c>
      <c r="C70" s="1186">
        <v>0</v>
      </c>
      <c r="D70" s="1186">
        <v>76</v>
      </c>
      <c r="E70" s="1186">
        <v>4</v>
      </c>
      <c r="F70" s="1186">
        <v>17</v>
      </c>
      <c r="G70" s="1186">
        <v>1</v>
      </c>
      <c r="H70" s="1186">
        <v>30</v>
      </c>
      <c r="I70" s="1186">
        <v>0</v>
      </c>
      <c r="J70" s="1186">
        <v>132</v>
      </c>
      <c r="K70" s="1186">
        <v>10</v>
      </c>
      <c r="L70" s="1186">
        <v>1</v>
      </c>
      <c r="M70" s="1186">
        <v>6</v>
      </c>
      <c r="N70" s="1186">
        <v>13</v>
      </c>
      <c r="O70" s="1186">
        <v>3</v>
      </c>
      <c r="P70" s="1186">
        <v>8</v>
      </c>
      <c r="Q70" s="1186">
        <v>27</v>
      </c>
      <c r="R70" s="1186">
        <v>21</v>
      </c>
      <c r="S70" s="1186">
        <v>39</v>
      </c>
      <c r="T70" s="1186">
        <v>0</v>
      </c>
      <c r="U70" s="1186">
        <v>37</v>
      </c>
      <c r="V70" s="1186">
        <v>16</v>
      </c>
      <c r="W70" s="1186">
        <v>69</v>
      </c>
      <c r="X70" s="1186">
        <v>222460</v>
      </c>
    </row>
    <row r="71" spans="1:24" x14ac:dyDescent="0.2">
      <c r="A71" s="1186" t="s">
        <v>13</v>
      </c>
      <c r="B71" s="1186" t="s">
        <v>24</v>
      </c>
      <c r="C71" s="1186">
        <v>0</v>
      </c>
      <c r="D71" s="1186">
        <v>176</v>
      </c>
      <c r="E71" s="1186">
        <v>1</v>
      </c>
      <c r="F71" s="1186">
        <v>10</v>
      </c>
      <c r="G71" s="1186">
        <v>1</v>
      </c>
      <c r="H71" s="1186">
        <v>16</v>
      </c>
      <c r="I71" s="1186">
        <v>0</v>
      </c>
      <c r="J71" s="1186">
        <v>2</v>
      </c>
      <c r="K71" s="1186">
        <v>68</v>
      </c>
      <c r="L71" s="1186">
        <v>0</v>
      </c>
      <c r="M71" s="1186">
        <v>7</v>
      </c>
      <c r="N71" s="1186">
        <v>6</v>
      </c>
      <c r="O71" s="1186">
        <v>1</v>
      </c>
      <c r="P71" s="1186">
        <v>6</v>
      </c>
      <c r="Q71" s="1186">
        <v>11</v>
      </c>
      <c r="R71" s="1186">
        <v>11</v>
      </c>
      <c r="S71" s="1186">
        <v>12</v>
      </c>
      <c r="T71" s="1186">
        <v>0</v>
      </c>
      <c r="U71" s="1186">
        <v>3</v>
      </c>
      <c r="V71" s="1186">
        <v>7</v>
      </c>
      <c r="W71" s="1186">
        <v>12</v>
      </c>
      <c r="X71" s="1186">
        <v>253650</v>
      </c>
    </row>
    <row r="72" spans="1:24" x14ac:dyDescent="0.2">
      <c r="A72" s="1186" t="s">
        <v>13</v>
      </c>
      <c r="B72" s="1186" t="s">
        <v>25</v>
      </c>
      <c r="C72" s="1186">
        <v>0</v>
      </c>
      <c r="D72" s="1186">
        <v>53</v>
      </c>
      <c r="E72" s="1186">
        <v>2</v>
      </c>
      <c r="F72" s="1186">
        <v>29</v>
      </c>
      <c r="G72" s="1186">
        <v>4</v>
      </c>
      <c r="H72" s="1186">
        <v>11</v>
      </c>
      <c r="I72" s="1186">
        <v>0</v>
      </c>
      <c r="J72" s="1186">
        <v>8</v>
      </c>
      <c r="K72" s="1186">
        <v>0</v>
      </c>
      <c r="L72" s="1186">
        <v>1</v>
      </c>
      <c r="M72" s="1186">
        <v>0</v>
      </c>
      <c r="N72" s="1186">
        <v>8</v>
      </c>
      <c r="O72" s="1186">
        <v>0</v>
      </c>
      <c r="P72" s="1186">
        <v>4</v>
      </c>
      <c r="Q72" s="1186">
        <v>6</v>
      </c>
      <c r="R72" s="1186">
        <v>24</v>
      </c>
      <c r="S72" s="1186">
        <v>5</v>
      </c>
      <c r="T72" s="1186">
        <v>0</v>
      </c>
      <c r="U72" s="1186">
        <v>0</v>
      </c>
      <c r="V72" s="1186">
        <v>4</v>
      </c>
      <c r="W72" s="1186">
        <v>2</v>
      </c>
      <c r="X72" s="1186">
        <v>116200</v>
      </c>
    </row>
    <row r="73" spans="1:24" x14ac:dyDescent="0.2">
      <c r="A73" s="1186" t="s">
        <v>13</v>
      </c>
      <c r="B73" s="1186" t="s">
        <v>26</v>
      </c>
      <c r="C73" s="1186">
        <v>0</v>
      </c>
      <c r="D73" s="1186">
        <v>82</v>
      </c>
      <c r="E73" s="1186">
        <v>7</v>
      </c>
      <c r="F73" s="1186">
        <v>34</v>
      </c>
      <c r="G73" s="1186">
        <v>5</v>
      </c>
      <c r="H73" s="1186">
        <v>9</v>
      </c>
      <c r="I73" s="1186">
        <v>0</v>
      </c>
      <c r="J73" s="1186">
        <v>7</v>
      </c>
      <c r="K73" s="1186">
        <v>8</v>
      </c>
      <c r="L73" s="1186">
        <v>0</v>
      </c>
      <c r="M73" s="1186">
        <v>4</v>
      </c>
      <c r="N73" s="1186">
        <v>5</v>
      </c>
      <c r="O73" s="1186">
        <v>3</v>
      </c>
      <c r="P73" s="1186">
        <v>4</v>
      </c>
      <c r="Q73" s="1186">
        <v>10</v>
      </c>
      <c r="R73" s="1186">
        <v>21</v>
      </c>
      <c r="S73" s="1186">
        <v>22</v>
      </c>
      <c r="T73" s="1186">
        <v>0</v>
      </c>
      <c r="U73" s="1186">
        <v>8</v>
      </c>
      <c r="V73" s="1186">
        <v>36</v>
      </c>
      <c r="W73" s="1186">
        <v>6</v>
      </c>
      <c r="X73" s="1186">
        <v>88930</v>
      </c>
    </row>
    <row r="74" spans="1:24" x14ac:dyDescent="0.2">
      <c r="A74" s="1186" t="s">
        <v>13</v>
      </c>
      <c r="B74" s="1186" t="s">
        <v>619</v>
      </c>
      <c r="C74" s="1186">
        <v>0</v>
      </c>
      <c r="D74" s="1186">
        <v>126</v>
      </c>
      <c r="E74" s="1186">
        <v>11</v>
      </c>
      <c r="F74" s="1186">
        <v>32</v>
      </c>
      <c r="G74" s="1186">
        <v>7</v>
      </c>
      <c r="H74" s="1186">
        <v>76</v>
      </c>
      <c r="I74" s="1186">
        <v>11</v>
      </c>
      <c r="J74" s="1186">
        <v>62</v>
      </c>
      <c r="K74" s="1186">
        <v>23</v>
      </c>
      <c r="L74" s="1186">
        <v>11</v>
      </c>
      <c r="M74" s="1186">
        <v>22</v>
      </c>
      <c r="N74" s="1186">
        <v>40</v>
      </c>
      <c r="O74" s="1186">
        <v>9</v>
      </c>
      <c r="P74" s="1186">
        <v>21</v>
      </c>
      <c r="Q74" s="1186">
        <v>88</v>
      </c>
      <c r="R74" s="1186">
        <v>40</v>
      </c>
      <c r="S74" s="1186">
        <v>40</v>
      </c>
      <c r="T74" s="1186">
        <v>1</v>
      </c>
      <c r="U74" s="1186">
        <v>9</v>
      </c>
      <c r="V74" s="1186">
        <v>27</v>
      </c>
      <c r="W74" s="1186">
        <v>20</v>
      </c>
      <c r="X74" s="1186">
        <v>477940</v>
      </c>
    </row>
    <row r="75" spans="1:24" x14ac:dyDescent="0.2">
      <c r="A75" s="1186" t="s">
        <v>13</v>
      </c>
      <c r="B75" s="1186" t="s">
        <v>27</v>
      </c>
      <c r="C75" s="1186">
        <v>0</v>
      </c>
      <c r="D75" s="1186">
        <v>19</v>
      </c>
      <c r="E75" s="1186">
        <v>0</v>
      </c>
      <c r="F75" s="1186">
        <v>7</v>
      </c>
      <c r="G75" s="1186">
        <v>1</v>
      </c>
      <c r="H75" s="1186">
        <v>9</v>
      </c>
      <c r="I75" s="1186">
        <v>0</v>
      </c>
      <c r="J75" s="1186">
        <v>1</v>
      </c>
      <c r="K75" s="1186">
        <v>6</v>
      </c>
      <c r="L75" s="1186">
        <v>0</v>
      </c>
      <c r="M75" s="1186">
        <v>0</v>
      </c>
      <c r="N75" s="1186">
        <v>1</v>
      </c>
      <c r="O75" s="1186">
        <v>4</v>
      </c>
      <c r="P75" s="1186">
        <v>7</v>
      </c>
      <c r="Q75" s="1186">
        <v>2</v>
      </c>
      <c r="R75" s="1186">
        <v>6</v>
      </c>
      <c r="S75" s="1186">
        <v>0</v>
      </c>
      <c r="T75" s="1186">
        <v>0</v>
      </c>
      <c r="U75" s="1186">
        <v>1</v>
      </c>
      <c r="V75" s="1186">
        <v>18</v>
      </c>
      <c r="W75" s="1186">
        <v>1</v>
      </c>
      <c r="X75" s="1186">
        <v>51500</v>
      </c>
    </row>
    <row r="76" spans="1:24" x14ac:dyDescent="0.2">
      <c r="A76" s="1186" t="s">
        <v>13</v>
      </c>
      <c r="B76" s="1186" t="s">
        <v>28</v>
      </c>
      <c r="C76" s="1186">
        <v>0</v>
      </c>
      <c r="D76" s="1186">
        <v>81</v>
      </c>
      <c r="E76" s="1186">
        <v>0</v>
      </c>
      <c r="F76" s="1186">
        <v>9</v>
      </c>
      <c r="G76" s="1186">
        <v>8</v>
      </c>
      <c r="H76" s="1186">
        <v>13</v>
      </c>
      <c r="I76" s="1186">
        <v>0</v>
      </c>
      <c r="J76" s="1186">
        <v>13</v>
      </c>
      <c r="K76" s="1186">
        <v>0</v>
      </c>
      <c r="L76" s="1186">
        <v>4</v>
      </c>
      <c r="M76" s="1186">
        <v>6</v>
      </c>
      <c r="N76" s="1186">
        <v>5</v>
      </c>
      <c r="O76" s="1186">
        <v>2</v>
      </c>
      <c r="P76" s="1186">
        <v>13</v>
      </c>
      <c r="Q76" s="1186">
        <v>1</v>
      </c>
      <c r="R76" s="1186">
        <v>5</v>
      </c>
      <c r="S76" s="1186">
        <v>1</v>
      </c>
      <c r="T76" s="1186">
        <v>1</v>
      </c>
      <c r="U76" s="1186">
        <v>1</v>
      </c>
      <c r="V76" s="1186">
        <v>12</v>
      </c>
      <c r="W76" s="1186">
        <v>4</v>
      </c>
      <c r="X76" s="1186">
        <v>151410</v>
      </c>
    </row>
    <row r="77" spans="1:24" x14ac:dyDescent="0.2">
      <c r="A77" s="1186" t="s">
        <v>13</v>
      </c>
      <c r="B77" s="1186" t="s">
        <v>29</v>
      </c>
      <c r="C77" s="1186">
        <v>0</v>
      </c>
      <c r="D77" s="1186">
        <v>32</v>
      </c>
      <c r="E77" s="1186">
        <v>2</v>
      </c>
      <c r="F77" s="1186">
        <v>34</v>
      </c>
      <c r="G77" s="1186">
        <v>1</v>
      </c>
      <c r="H77" s="1186">
        <v>28</v>
      </c>
      <c r="I77" s="1186">
        <v>3</v>
      </c>
      <c r="J77" s="1186">
        <v>47</v>
      </c>
      <c r="K77" s="1186">
        <v>6</v>
      </c>
      <c r="L77" s="1186">
        <v>6</v>
      </c>
      <c r="M77" s="1186">
        <v>3</v>
      </c>
      <c r="N77" s="1186">
        <v>33</v>
      </c>
      <c r="O77" s="1186">
        <v>4</v>
      </c>
      <c r="P77" s="1186">
        <v>9</v>
      </c>
      <c r="Q77" s="1186">
        <v>43</v>
      </c>
      <c r="R77" s="1186">
        <v>95</v>
      </c>
      <c r="S77" s="1186">
        <v>7</v>
      </c>
      <c r="T77" s="1186">
        <v>0</v>
      </c>
      <c r="U77" s="1186">
        <v>0</v>
      </c>
      <c r="V77" s="1186">
        <v>24</v>
      </c>
      <c r="W77" s="1186">
        <v>8</v>
      </c>
      <c r="X77" s="1186">
        <v>147200</v>
      </c>
    </row>
    <row r="78" spans="1:24" x14ac:dyDescent="0.2">
      <c r="A78" s="1186" t="s">
        <v>13</v>
      </c>
      <c r="B78" s="1186" t="s">
        <v>30</v>
      </c>
      <c r="C78" s="1186">
        <v>0</v>
      </c>
      <c r="D78" s="1186">
        <v>63</v>
      </c>
      <c r="E78" s="1186">
        <v>0</v>
      </c>
      <c r="F78" s="1186">
        <v>27</v>
      </c>
      <c r="G78" s="1186">
        <v>8</v>
      </c>
      <c r="H78" s="1186">
        <v>12</v>
      </c>
      <c r="I78" s="1186">
        <v>3</v>
      </c>
      <c r="J78" s="1186">
        <v>1</v>
      </c>
      <c r="K78" s="1186">
        <v>5</v>
      </c>
      <c r="L78" s="1186">
        <v>3</v>
      </c>
      <c r="M78" s="1186">
        <v>2</v>
      </c>
      <c r="N78" s="1186">
        <v>4</v>
      </c>
      <c r="O78" s="1186">
        <v>3</v>
      </c>
      <c r="P78" s="1186">
        <v>8</v>
      </c>
      <c r="Q78" s="1186">
        <v>12</v>
      </c>
      <c r="R78" s="1186">
        <v>12</v>
      </c>
      <c r="S78" s="1186">
        <v>27</v>
      </c>
      <c r="T78" s="1186">
        <v>1</v>
      </c>
      <c r="U78" s="1186">
        <v>23</v>
      </c>
      <c r="V78" s="1186">
        <v>17</v>
      </c>
      <c r="W78" s="1186">
        <v>0</v>
      </c>
      <c r="X78" s="1186">
        <v>122690</v>
      </c>
    </row>
    <row r="79" spans="1:24" x14ac:dyDescent="0.2">
      <c r="A79" s="1186" t="s">
        <v>13</v>
      </c>
      <c r="B79" s="1186" t="s">
        <v>31</v>
      </c>
      <c r="C79" s="1186">
        <v>0</v>
      </c>
      <c r="D79" s="1186">
        <v>30</v>
      </c>
      <c r="E79" s="1186">
        <v>1</v>
      </c>
      <c r="F79" s="1186">
        <v>13</v>
      </c>
      <c r="G79" s="1186">
        <v>1</v>
      </c>
      <c r="H79" s="1186">
        <v>8</v>
      </c>
      <c r="I79" s="1186">
        <v>3</v>
      </c>
      <c r="J79" s="1186">
        <v>1</v>
      </c>
      <c r="K79" s="1186">
        <v>1</v>
      </c>
      <c r="L79" s="1186">
        <v>1</v>
      </c>
      <c r="M79" s="1186">
        <v>2</v>
      </c>
      <c r="N79" s="1186">
        <v>1</v>
      </c>
      <c r="O79" s="1186">
        <v>1</v>
      </c>
      <c r="P79" s="1186">
        <v>6</v>
      </c>
      <c r="Q79" s="1186">
        <v>13</v>
      </c>
      <c r="R79" s="1186">
        <v>4</v>
      </c>
      <c r="S79" s="1186">
        <v>25</v>
      </c>
      <c r="T79" s="1186">
        <v>0</v>
      </c>
      <c r="U79" s="1186">
        <v>1</v>
      </c>
      <c r="V79" s="1186">
        <v>11</v>
      </c>
      <c r="W79" s="1186">
        <v>4</v>
      </c>
      <c r="X79" s="1186">
        <v>105000</v>
      </c>
    </row>
    <row r="80" spans="1:24" x14ac:dyDescent="0.2">
      <c r="A80" s="1186" t="s">
        <v>13</v>
      </c>
      <c r="B80" s="1186" t="s">
        <v>32</v>
      </c>
      <c r="C80" s="1186">
        <v>0</v>
      </c>
      <c r="D80" s="1186">
        <v>41</v>
      </c>
      <c r="E80" s="1186">
        <v>1</v>
      </c>
      <c r="F80" s="1186">
        <v>8</v>
      </c>
      <c r="G80" s="1186">
        <v>3</v>
      </c>
      <c r="H80" s="1186">
        <v>13</v>
      </c>
      <c r="I80" s="1186">
        <v>0</v>
      </c>
      <c r="J80" s="1186">
        <v>4</v>
      </c>
      <c r="K80" s="1186">
        <v>10</v>
      </c>
      <c r="L80" s="1186">
        <v>5</v>
      </c>
      <c r="M80" s="1186">
        <v>3</v>
      </c>
      <c r="N80" s="1186">
        <v>5</v>
      </c>
      <c r="O80" s="1186">
        <v>1</v>
      </c>
      <c r="P80" s="1186">
        <v>3</v>
      </c>
      <c r="Q80" s="1186">
        <v>5</v>
      </c>
      <c r="R80" s="1186">
        <v>5</v>
      </c>
      <c r="S80" s="1186">
        <v>4</v>
      </c>
      <c r="T80" s="1186">
        <v>0</v>
      </c>
      <c r="U80" s="1186">
        <v>0</v>
      </c>
      <c r="V80" s="1186">
        <v>4</v>
      </c>
      <c r="W80" s="1186">
        <v>3</v>
      </c>
      <c r="X80" s="1186">
        <v>99920</v>
      </c>
    </row>
    <row r="81" spans="1:24" x14ac:dyDescent="0.2">
      <c r="A81" s="1186" t="s">
        <v>13</v>
      </c>
      <c r="B81" s="1186" t="s">
        <v>33</v>
      </c>
      <c r="C81" s="1186">
        <v>0</v>
      </c>
      <c r="D81" s="1186">
        <v>25</v>
      </c>
      <c r="E81" s="1186">
        <v>2</v>
      </c>
      <c r="F81" s="1186">
        <v>15</v>
      </c>
      <c r="G81" s="1186">
        <v>1</v>
      </c>
      <c r="H81" s="1186">
        <v>5</v>
      </c>
      <c r="I81" s="1186">
        <v>3</v>
      </c>
      <c r="J81" s="1186">
        <v>3</v>
      </c>
      <c r="K81" s="1186">
        <v>3</v>
      </c>
      <c r="L81" s="1186">
        <v>0</v>
      </c>
      <c r="M81" s="1186">
        <v>2</v>
      </c>
      <c r="N81" s="1186">
        <v>3</v>
      </c>
      <c r="O81" s="1186">
        <v>3</v>
      </c>
      <c r="P81" s="1186">
        <v>4</v>
      </c>
      <c r="Q81" s="1186">
        <v>17</v>
      </c>
      <c r="R81" s="1186">
        <v>16</v>
      </c>
      <c r="S81" s="1186">
        <v>7</v>
      </c>
      <c r="T81" s="1186">
        <v>0</v>
      </c>
      <c r="U81" s="1186">
        <v>3</v>
      </c>
      <c r="V81" s="1186">
        <v>7</v>
      </c>
      <c r="W81" s="1186">
        <v>8</v>
      </c>
      <c r="X81" s="1186">
        <v>90810</v>
      </c>
    </row>
    <row r="82" spans="1:24" x14ac:dyDescent="0.2">
      <c r="A82" s="1186" t="s">
        <v>13</v>
      </c>
      <c r="B82" s="1186" t="s">
        <v>34</v>
      </c>
      <c r="C82" s="1186">
        <v>0</v>
      </c>
      <c r="D82" s="1186">
        <v>46</v>
      </c>
      <c r="E82" s="1186">
        <v>3</v>
      </c>
      <c r="F82" s="1186">
        <v>30</v>
      </c>
      <c r="G82" s="1186">
        <v>6</v>
      </c>
      <c r="H82" s="1186">
        <v>28</v>
      </c>
      <c r="I82" s="1186">
        <v>1</v>
      </c>
      <c r="J82" s="1186">
        <v>1</v>
      </c>
      <c r="K82" s="1186">
        <v>6</v>
      </c>
      <c r="L82" s="1186">
        <v>4</v>
      </c>
      <c r="M82" s="1186">
        <v>3</v>
      </c>
      <c r="N82" s="1186">
        <v>6</v>
      </c>
      <c r="O82" s="1186">
        <v>5</v>
      </c>
      <c r="P82" s="1186">
        <v>18</v>
      </c>
      <c r="Q82" s="1186">
        <v>24</v>
      </c>
      <c r="R82" s="1186">
        <v>16</v>
      </c>
      <c r="S82" s="1186">
        <v>9</v>
      </c>
      <c r="T82" s="1186">
        <v>0</v>
      </c>
      <c r="U82" s="1186">
        <v>2</v>
      </c>
      <c r="V82" s="1186">
        <v>12</v>
      </c>
      <c r="W82" s="1186">
        <v>2</v>
      </c>
      <c r="X82" s="1186">
        <v>156250</v>
      </c>
    </row>
    <row r="83" spans="1:24" x14ac:dyDescent="0.2">
      <c r="A83" s="1186" t="s">
        <v>13</v>
      </c>
      <c r="B83" s="1186" t="s">
        <v>35</v>
      </c>
      <c r="C83" s="1186">
        <v>0</v>
      </c>
      <c r="D83" s="1186">
        <v>109</v>
      </c>
      <c r="E83" s="1186">
        <v>9</v>
      </c>
      <c r="F83" s="1186">
        <v>52</v>
      </c>
      <c r="G83" s="1186">
        <v>2</v>
      </c>
      <c r="H83" s="1186">
        <v>45</v>
      </c>
      <c r="I83" s="1186">
        <v>2</v>
      </c>
      <c r="J83" s="1186">
        <v>12</v>
      </c>
      <c r="K83" s="1186">
        <v>10</v>
      </c>
      <c r="L83" s="1186">
        <v>8</v>
      </c>
      <c r="M83" s="1186">
        <v>10</v>
      </c>
      <c r="N83" s="1186">
        <v>16</v>
      </c>
      <c r="O83" s="1186">
        <v>7</v>
      </c>
      <c r="P83" s="1186">
        <v>17</v>
      </c>
      <c r="Q83" s="1186">
        <v>27</v>
      </c>
      <c r="R83" s="1186">
        <v>77</v>
      </c>
      <c r="S83" s="1186">
        <v>44</v>
      </c>
      <c r="T83" s="1186">
        <v>0</v>
      </c>
      <c r="U83" s="1186">
        <v>8</v>
      </c>
      <c r="V83" s="1186">
        <v>42</v>
      </c>
      <c r="W83" s="1186">
        <v>30</v>
      </c>
      <c r="X83" s="1186">
        <v>365300</v>
      </c>
    </row>
    <row r="84" spans="1:24" x14ac:dyDescent="0.2">
      <c r="A84" s="1186" t="s">
        <v>13</v>
      </c>
      <c r="B84" s="1186" t="s">
        <v>36</v>
      </c>
      <c r="C84" s="1186">
        <v>0</v>
      </c>
      <c r="D84" s="1186">
        <v>177</v>
      </c>
      <c r="E84" s="1186">
        <v>9</v>
      </c>
      <c r="F84" s="1186">
        <v>248</v>
      </c>
      <c r="G84" s="1186">
        <v>34</v>
      </c>
      <c r="H84" s="1186">
        <v>96</v>
      </c>
      <c r="I84" s="1186">
        <v>7</v>
      </c>
      <c r="J84" s="1186">
        <v>176</v>
      </c>
      <c r="K84" s="1186">
        <v>34</v>
      </c>
      <c r="L84" s="1186">
        <v>43</v>
      </c>
      <c r="M84" s="1186">
        <v>10</v>
      </c>
      <c r="N84" s="1186">
        <v>27</v>
      </c>
      <c r="O84" s="1186">
        <v>37</v>
      </c>
      <c r="P84" s="1186">
        <v>39</v>
      </c>
      <c r="Q84" s="1186">
        <v>269</v>
      </c>
      <c r="R84" s="1186">
        <v>168</v>
      </c>
      <c r="S84" s="1186">
        <v>234</v>
      </c>
      <c r="T84" s="1186">
        <v>1</v>
      </c>
      <c r="U84" s="1186">
        <v>10</v>
      </c>
      <c r="V84" s="1186">
        <v>82</v>
      </c>
      <c r="W84" s="1186">
        <v>46</v>
      </c>
      <c r="X84" s="1186">
        <v>593060</v>
      </c>
    </row>
    <row r="85" spans="1:24" x14ac:dyDescent="0.2">
      <c r="A85" s="1186" t="s">
        <v>13</v>
      </c>
      <c r="B85" s="1186" t="s">
        <v>37</v>
      </c>
      <c r="C85" s="1186">
        <v>0</v>
      </c>
      <c r="D85" s="1186">
        <v>209</v>
      </c>
      <c r="E85" s="1186">
        <v>11</v>
      </c>
      <c r="F85" s="1186">
        <v>132</v>
      </c>
      <c r="G85" s="1186">
        <v>3</v>
      </c>
      <c r="H85" s="1186">
        <v>31</v>
      </c>
      <c r="I85" s="1186">
        <v>3</v>
      </c>
      <c r="J85" s="1186">
        <v>8</v>
      </c>
      <c r="K85" s="1186">
        <v>6</v>
      </c>
      <c r="L85" s="1186">
        <v>2</v>
      </c>
      <c r="M85" s="1186">
        <v>11</v>
      </c>
      <c r="N85" s="1186">
        <v>20</v>
      </c>
      <c r="O85" s="1186">
        <v>1</v>
      </c>
      <c r="P85" s="1186">
        <v>25</v>
      </c>
      <c r="Q85" s="1186">
        <v>23</v>
      </c>
      <c r="R85" s="1186">
        <v>33</v>
      </c>
      <c r="S85" s="1186">
        <v>9</v>
      </c>
      <c r="T85" s="1186">
        <v>2</v>
      </c>
      <c r="U85" s="1186">
        <v>1</v>
      </c>
      <c r="V85" s="1186">
        <v>33</v>
      </c>
      <c r="W85" s="1186">
        <v>7</v>
      </c>
      <c r="X85" s="1186">
        <v>232730</v>
      </c>
    </row>
    <row r="86" spans="1:24" x14ac:dyDescent="0.2">
      <c r="A86" s="1186" t="s">
        <v>13</v>
      </c>
      <c r="B86" s="1186" t="s">
        <v>38</v>
      </c>
      <c r="C86" s="1186">
        <v>0</v>
      </c>
      <c r="D86" s="1186">
        <v>29</v>
      </c>
      <c r="E86" s="1186">
        <v>1</v>
      </c>
      <c r="F86" s="1186">
        <v>59</v>
      </c>
      <c r="G86" s="1186">
        <v>5</v>
      </c>
      <c r="H86" s="1186">
        <v>7</v>
      </c>
      <c r="I86" s="1186">
        <v>1</v>
      </c>
      <c r="J86" s="1186">
        <v>36</v>
      </c>
      <c r="K86" s="1186">
        <v>4</v>
      </c>
      <c r="L86" s="1186">
        <v>3</v>
      </c>
      <c r="M86" s="1186">
        <v>2</v>
      </c>
      <c r="N86" s="1186">
        <v>4</v>
      </c>
      <c r="O86" s="1186">
        <v>3</v>
      </c>
      <c r="P86" s="1186">
        <v>7</v>
      </c>
      <c r="Q86" s="1186">
        <v>30</v>
      </c>
      <c r="R86" s="1186">
        <v>19</v>
      </c>
      <c r="S86" s="1186">
        <v>21</v>
      </c>
      <c r="T86" s="1186">
        <v>0</v>
      </c>
      <c r="U86" s="1186">
        <v>2</v>
      </c>
      <c r="V86" s="1186">
        <v>10</v>
      </c>
      <c r="W86" s="1186">
        <v>7</v>
      </c>
      <c r="X86" s="1186">
        <v>81220</v>
      </c>
    </row>
    <row r="87" spans="1:24" x14ac:dyDescent="0.2">
      <c r="A87" s="1186" t="s">
        <v>13</v>
      </c>
      <c r="B87" s="1186" t="s">
        <v>39</v>
      </c>
      <c r="C87" s="1186">
        <v>0</v>
      </c>
      <c r="D87" s="1186">
        <v>41</v>
      </c>
      <c r="E87" s="1186">
        <v>0</v>
      </c>
      <c r="F87" s="1186">
        <v>0</v>
      </c>
      <c r="G87" s="1186">
        <v>0</v>
      </c>
      <c r="H87" s="1186">
        <v>10</v>
      </c>
      <c r="I87" s="1186">
        <v>0</v>
      </c>
      <c r="J87" s="1186">
        <v>2</v>
      </c>
      <c r="K87" s="1186">
        <v>4</v>
      </c>
      <c r="L87" s="1186">
        <v>2</v>
      </c>
      <c r="M87" s="1186">
        <v>1</v>
      </c>
      <c r="N87" s="1186">
        <v>3</v>
      </c>
      <c r="O87" s="1186">
        <v>2</v>
      </c>
      <c r="P87" s="1186">
        <v>1</v>
      </c>
      <c r="Q87" s="1186">
        <v>7</v>
      </c>
      <c r="R87" s="1186">
        <v>5</v>
      </c>
      <c r="S87" s="1186">
        <v>8</v>
      </c>
      <c r="T87" s="1186">
        <v>0</v>
      </c>
      <c r="U87" s="1186">
        <v>0</v>
      </c>
      <c r="V87" s="1186">
        <v>5</v>
      </c>
      <c r="W87" s="1186">
        <v>1</v>
      </c>
      <c r="X87" s="1186">
        <v>83450</v>
      </c>
    </row>
    <row r="88" spans="1:24" x14ac:dyDescent="0.2">
      <c r="A88" s="1186" t="s">
        <v>13</v>
      </c>
      <c r="B88" s="1186" t="s">
        <v>40</v>
      </c>
      <c r="C88" s="1186">
        <v>0</v>
      </c>
      <c r="D88" s="1186">
        <v>47</v>
      </c>
      <c r="E88" s="1186">
        <v>1</v>
      </c>
      <c r="F88" s="1186">
        <v>5</v>
      </c>
      <c r="G88" s="1186">
        <v>0</v>
      </c>
      <c r="H88" s="1186">
        <v>20</v>
      </c>
      <c r="I88" s="1186">
        <v>0</v>
      </c>
      <c r="J88" s="1186">
        <v>7</v>
      </c>
      <c r="K88" s="1186">
        <v>4</v>
      </c>
      <c r="L88" s="1186">
        <v>2</v>
      </c>
      <c r="M88" s="1186">
        <v>2</v>
      </c>
      <c r="N88" s="1186">
        <v>3</v>
      </c>
      <c r="O88" s="1186">
        <v>3</v>
      </c>
      <c r="P88" s="1186">
        <v>6</v>
      </c>
      <c r="Q88" s="1186">
        <v>2</v>
      </c>
      <c r="R88" s="1186">
        <v>8</v>
      </c>
      <c r="S88" s="1186">
        <v>1</v>
      </c>
      <c r="T88" s="1186">
        <v>0</v>
      </c>
      <c r="U88" s="1186">
        <v>0</v>
      </c>
      <c r="V88" s="1186">
        <v>4</v>
      </c>
      <c r="W88" s="1186">
        <v>3</v>
      </c>
      <c r="X88" s="1186">
        <v>93470</v>
      </c>
    </row>
    <row r="89" spans="1:24" x14ac:dyDescent="0.2">
      <c r="A89" s="1186" t="s">
        <v>13</v>
      </c>
      <c r="B89" s="1186" t="s">
        <v>295</v>
      </c>
      <c r="C89" s="1186">
        <v>0</v>
      </c>
      <c r="D89" s="1186">
        <v>14</v>
      </c>
      <c r="E89" s="1186">
        <v>2</v>
      </c>
      <c r="F89" s="1186">
        <v>5</v>
      </c>
      <c r="G89" s="1186">
        <v>0</v>
      </c>
      <c r="H89" s="1186">
        <v>2</v>
      </c>
      <c r="I89" s="1186">
        <v>0</v>
      </c>
      <c r="J89" s="1186">
        <v>2</v>
      </c>
      <c r="K89" s="1186">
        <v>0</v>
      </c>
      <c r="L89" s="1186">
        <v>1</v>
      </c>
      <c r="M89" s="1186">
        <v>1</v>
      </c>
      <c r="N89" s="1186">
        <v>1</v>
      </c>
      <c r="O89" s="1186">
        <v>0</v>
      </c>
      <c r="P89" s="1186">
        <v>7</v>
      </c>
      <c r="Q89" s="1186">
        <v>1</v>
      </c>
      <c r="R89" s="1186">
        <v>3</v>
      </c>
      <c r="S89" s="1186">
        <v>0</v>
      </c>
      <c r="T89" s="1186">
        <v>0</v>
      </c>
      <c r="U89" s="1186">
        <v>3</v>
      </c>
      <c r="V89" s="1186">
        <v>5</v>
      </c>
      <c r="W89" s="1186">
        <v>0</v>
      </c>
      <c r="X89" s="1186">
        <v>27690</v>
      </c>
    </row>
    <row r="90" spans="1:24" x14ac:dyDescent="0.2">
      <c r="A90" s="1186" t="s">
        <v>13</v>
      </c>
      <c r="B90" s="1186" t="s">
        <v>41</v>
      </c>
      <c r="C90" s="1186">
        <v>0</v>
      </c>
      <c r="D90" s="1186">
        <v>56</v>
      </c>
      <c r="E90" s="1186">
        <v>5</v>
      </c>
      <c r="F90" s="1186">
        <v>39</v>
      </c>
      <c r="G90" s="1186">
        <v>4</v>
      </c>
      <c r="H90" s="1186">
        <v>22</v>
      </c>
      <c r="I90" s="1186">
        <v>3</v>
      </c>
      <c r="J90" s="1186">
        <v>8</v>
      </c>
      <c r="K90" s="1186">
        <v>7</v>
      </c>
      <c r="L90" s="1186">
        <v>3</v>
      </c>
      <c r="M90" s="1186">
        <v>2</v>
      </c>
      <c r="N90" s="1186">
        <v>0</v>
      </c>
      <c r="O90" s="1186">
        <v>0</v>
      </c>
      <c r="P90" s="1186">
        <v>8</v>
      </c>
      <c r="Q90" s="1186">
        <v>21</v>
      </c>
      <c r="R90" s="1186">
        <v>22</v>
      </c>
      <c r="S90" s="1186">
        <v>23</v>
      </c>
      <c r="T90" s="1186">
        <v>0</v>
      </c>
      <c r="U90" s="1186">
        <v>2</v>
      </c>
      <c r="V90" s="1186">
        <v>16</v>
      </c>
      <c r="W90" s="1186">
        <v>5</v>
      </c>
      <c r="X90" s="1186">
        <v>138090</v>
      </c>
    </row>
    <row r="91" spans="1:24" x14ac:dyDescent="0.2">
      <c r="A91" s="1186" t="s">
        <v>13</v>
      </c>
      <c r="B91" s="1186" t="s">
        <v>42</v>
      </c>
      <c r="C91" s="1186">
        <v>0</v>
      </c>
      <c r="D91" s="1186">
        <v>113</v>
      </c>
      <c r="E91" s="1186">
        <v>2</v>
      </c>
      <c r="F91" s="1186">
        <v>47</v>
      </c>
      <c r="G91" s="1186">
        <v>3</v>
      </c>
      <c r="H91" s="1186">
        <v>36</v>
      </c>
      <c r="I91" s="1186">
        <v>7</v>
      </c>
      <c r="J91" s="1186">
        <v>20</v>
      </c>
      <c r="K91" s="1186">
        <v>5</v>
      </c>
      <c r="L91" s="1186">
        <v>7</v>
      </c>
      <c r="M91" s="1186">
        <v>5</v>
      </c>
      <c r="N91" s="1186">
        <v>18</v>
      </c>
      <c r="O91" s="1186">
        <v>22</v>
      </c>
      <c r="P91" s="1186">
        <v>14</v>
      </c>
      <c r="Q91" s="1186">
        <v>69</v>
      </c>
      <c r="R91" s="1186">
        <v>63</v>
      </c>
      <c r="S91" s="1186">
        <v>84</v>
      </c>
      <c r="T91" s="1186">
        <v>1</v>
      </c>
      <c r="U91" s="1186">
        <v>3</v>
      </c>
      <c r="V91" s="1186">
        <v>54</v>
      </c>
      <c r="W91" s="1186">
        <v>17</v>
      </c>
      <c r="X91" s="1186">
        <v>337720</v>
      </c>
    </row>
    <row r="92" spans="1:24" x14ac:dyDescent="0.2">
      <c r="A92" s="1186" t="s">
        <v>13</v>
      </c>
      <c r="B92" s="1186" t="s">
        <v>43</v>
      </c>
      <c r="C92" s="1186">
        <v>0</v>
      </c>
      <c r="D92" s="1186">
        <v>5</v>
      </c>
      <c r="E92" s="1186">
        <v>2</v>
      </c>
      <c r="F92" s="1186">
        <v>5</v>
      </c>
      <c r="G92" s="1186">
        <v>0</v>
      </c>
      <c r="H92" s="1186">
        <v>2</v>
      </c>
      <c r="I92" s="1186">
        <v>0</v>
      </c>
      <c r="J92" s="1186">
        <v>0</v>
      </c>
      <c r="K92" s="1186">
        <v>0</v>
      </c>
      <c r="L92" s="1186">
        <v>0</v>
      </c>
      <c r="M92" s="1186">
        <v>0</v>
      </c>
      <c r="N92" s="1186">
        <v>0</v>
      </c>
      <c r="O92" s="1186">
        <v>0</v>
      </c>
      <c r="P92" s="1186">
        <v>1</v>
      </c>
      <c r="Q92" s="1186">
        <v>0</v>
      </c>
      <c r="R92" s="1186">
        <v>3</v>
      </c>
      <c r="S92" s="1186">
        <v>4</v>
      </c>
      <c r="T92" s="1186">
        <v>0</v>
      </c>
      <c r="U92" s="1186">
        <v>0</v>
      </c>
      <c r="V92" s="1186">
        <v>3</v>
      </c>
      <c r="W92" s="1186">
        <v>1</v>
      </c>
      <c r="X92" s="1186">
        <v>21420</v>
      </c>
    </row>
    <row r="93" spans="1:24" x14ac:dyDescent="0.2">
      <c r="A93" s="1186" t="s">
        <v>13</v>
      </c>
      <c r="B93" s="1186" t="s">
        <v>44</v>
      </c>
      <c r="C93" s="1186">
        <v>0</v>
      </c>
      <c r="D93" s="1186">
        <v>77</v>
      </c>
      <c r="E93" s="1186">
        <v>5</v>
      </c>
      <c r="F93" s="1186">
        <v>42</v>
      </c>
      <c r="G93" s="1186">
        <v>18</v>
      </c>
      <c r="H93" s="1186">
        <v>10</v>
      </c>
      <c r="I93" s="1186">
        <v>2</v>
      </c>
      <c r="J93" s="1186">
        <v>9</v>
      </c>
      <c r="K93" s="1186">
        <v>9</v>
      </c>
      <c r="L93" s="1186">
        <v>4</v>
      </c>
      <c r="M93" s="1186">
        <v>4</v>
      </c>
      <c r="N93" s="1186">
        <v>17</v>
      </c>
      <c r="O93" s="1186">
        <v>3</v>
      </c>
      <c r="P93" s="1186">
        <v>17</v>
      </c>
      <c r="Q93" s="1186">
        <v>12</v>
      </c>
      <c r="R93" s="1186">
        <v>81</v>
      </c>
      <c r="S93" s="1186">
        <v>11</v>
      </c>
      <c r="T93" s="1186">
        <v>0</v>
      </c>
      <c r="U93" s="1186">
        <v>1</v>
      </c>
      <c r="V93" s="1186">
        <v>12</v>
      </c>
      <c r="W93" s="1186">
        <v>5</v>
      </c>
      <c r="X93" s="1186">
        <v>146850</v>
      </c>
    </row>
    <row r="94" spans="1:24" x14ac:dyDescent="0.2">
      <c r="A94" s="1186" t="s">
        <v>13</v>
      </c>
      <c r="B94" s="1186" t="s">
        <v>45</v>
      </c>
      <c r="C94" s="1186">
        <v>0</v>
      </c>
      <c r="D94" s="1186">
        <v>71</v>
      </c>
      <c r="E94" s="1186">
        <v>15</v>
      </c>
      <c r="F94" s="1186">
        <v>49</v>
      </c>
      <c r="G94" s="1186">
        <v>10</v>
      </c>
      <c r="H94" s="1186">
        <v>22</v>
      </c>
      <c r="I94" s="1186">
        <v>9</v>
      </c>
      <c r="J94" s="1186">
        <v>26</v>
      </c>
      <c r="K94" s="1186">
        <v>8</v>
      </c>
      <c r="L94" s="1186">
        <v>16</v>
      </c>
      <c r="M94" s="1186">
        <v>5</v>
      </c>
      <c r="N94" s="1186">
        <v>9</v>
      </c>
      <c r="O94" s="1186">
        <v>10</v>
      </c>
      <c r="P94" s="1186">
        <v>10</v>
      </c>
      <c r="Q94" s="1186">
        <v>53</v>
      </c>
      <c r="R94" s="1186">
        <v>30</v>
      </c>
      <c r="S94" s="1186">
        <v>58</v>
      </c>
      <c r="T94" s="1186">
        <v>0</v>
      </c>
      <c r="U94" s="1186">
        <v>27</v>
      </c>
      <c r="V94" s="1186">
        <v>27</v>
      </c>
      <c r="W94" s="1186">
        <v>12</v>
      </c>
      <c r="X94" s="1186">
        <v>174700</v>
      </c>
    </row>
    <row r="95" spans="1:24" x14ac:dyDescent="0.2">
      <c r="A95" s="1186" t="s">
        <v>13</v>
      </c>
      <c r="B95" s="1186" t="s">
        <v>46</v>
      </c>
      <c r="C95" s="1186">
        <v>0</v>
      </c>
      <c r="D95" s="1186">
        <v>77</v>
      </c>
      <c r="E95" s="1186">
        <v>3</v>
      </c>
      <c r="F95" s="1186">
        <v>1</v>
      </c>
      <c r="G95" s="1186">
        <v>1</v>
      </c>
      <c r="H95" s="1186">
        <v>18</v>
      </c>
      <c r="I95" s="1186">
        <v>1</v>
      </c>
      <c r="J95" s="1186">
        <v>3</v>
      </c>
      <c r="K95" s="1186">
        <v>5</v>
      </c>
      <c r="L95" s="1186">
        <v>3</v>
      </c>
      <c r="M95" s="1186">
        <v>11</v>
      </c>
      <c r="N95" s="1186">
        <v>4</v>
      </c>
      <c r="O95" s="1186">
        <v>5</v>
      </c>
      <c r="P95" s="1186">
        <v>9</v>
      </c>
      <c r="Q95" s="1186">
        <v>2</v>
      </c>
      <c r="R95" s="1186">
        <v>2</v>
      </c>
      <c r="S95" s="1186">
        <v>4</v>
      </c>
      <c r="T95" s="1186">
        <v>1</v>
      </c>
      <c r="U95" s="1186">
        <v>1</v>
      </c>
      <c r="V95" s="1186">
        <v>12</v>
      </c>
      <c r="W95" s="1186">
        <v>4</v>
      </c>
      <c r="X95" s="1186">
        <v>113880</v>
      </c>
    </row>
    <row r="96" spans="1:24" x14ac:dyDescent="0.2">
      <c r="A96" s="1186" t="s">
        <v>13</v>
      </c>
      <c r="B96" s="1186" t="s">
        <v>47</v>
      </c>
      <c r="C96" s="1186">
        <v>0</v>
      </c>
      <c r="D96" s="1186">
        <v>11</v>
      </c>
      <c r="E96" s="1186">
        <v>2</v>
      </c>
      <c r="F96" s="1186">
        <v>7</v>
      </c>
      <c r="G96" s="1186">
        <v>0</v>
      </c>
      <c r="H96" s="1186">
        <v>1</v>
      </c>
      <c r="I96" s="1186">
        <v>0</v>
      </c>
      <c r="J96" s="1186">
        <v>0</v>
      </c>
      <c r="K96" s="1186">
        <v>0</v>
      </c>
      <c r="L96" s="1186">
        <v>0</v>
      </c>
      <c r="M96" s="1186">
        <v>0</v>
      </c>
      <c r="N96" s="1186">
        <v>0</v>
      </c>
      <c r="O96" s="1186">
        <v>0</v>
      </c>
      <c r="P96" s="1186">
        <v>1</v>
      </c>
      <c r="Q96" s="1186">
        <v>0</v>
      </c>
      <c r="R96" s="1186">
        <v>11</v>
      </c>
      <c r="S96" s="1186">
        <v>0</v>
      </c>
      <c r="T96" s="1186">
        <v>0</v>
      </c>
      <c r="U96" s="1186">
        <v>4</v>
      </c>
      <c r="V96" s="1186">
        <v>0</v>
      </c>
      <c r="W96" s="1186">
        <v>0</v>
      </c>
      <c r="X96" s="1186">
        <v>23240</v>
      </c>
    </row>
    <row r="97" spans="1:24" x14ac:dyDescent="0.2">
      <c r="A97" s="1186" t="s">
        <v>13</v>
      </c>
      <c r="B97" s="1186" t="s">
        <v>48</v>
      </c>
      <c r="C97" s="1186">
        <v>0</v>
      </c>
      <c r="D97" s="1186">
        <v>48</v>
      </c>
      <c r="E97" s="1186">
        <v>3</v>
      </c>
      <c r="F97" s="1186">
        <v>33</v>
      </c>
      <c r="G97" s="1186">
        <v>8</v>
      </c>
      <c r="H97" s="1186">
        <v>15</v>
      </c>
      <c r="I97" s="1186">
        <v>2</v>
      </c>
      <c r="J97" s="1186">
        <v>16</v>
      </c>
      <c r="K97" s="1186">
        <v>7</v>
      </c>
      <c r="L97" s="1186">
        <v>3</v>
      </c>
      <c r="M97" s="1186">
        <v>4</v>
      </c>
      <c r="N97" s="1186">
        <v>4</v>
      </c>
      <c r="O97" s="1186">
        <v>3</v>
      </c>
      <c r="P97" s="1186">
        <v>7</v>
      </c>
      <c r="Q97" s="1186">
        <v>26</v>
      </c>
      <c r="R97" s="1186">
        <v>23</v>
      </c>
      <c r="S97" s="1186">
        <v>26</v>
      </c>
      <c r="T97" s="1186">
        <v>0</v>
      </c>
      <c r="U97" s="1186">
        <v>6</v>
      </c>
      <c r="V97" s="1186">
        <v>8</v>
      </c>
      <c r="W97" s="1186">
        <v>7</v>
      </c>
      <c r="X97" s="1186">
        <v>112980</v>
      </c>
    </row>
    <row r="98" spans="1:24" x14ac:dyDescent="0.2">
      <c r="A98" s="1186" t="s">
        <v>13</v>
      </c>
      <c r="B98" s="1186" t="s">
        <v>49</v>
      </c>
      <c r="C98" s="1186">
        <v>0</v>
      </c>
      <c r="D98" s="1186">
        <v>135</v>
      </c>
      <c r="E98" s="1186">
        <v>5</v>
      </c>
      <c r="F98" s="1186">
        <v>57</v>
      </c>
      <c r="G98" s="1186">
        <v>7</v>
      </c>
      <c r="H98" s="1186">
        <v>38</v>
      </c>
      <c r="I98" s="1186">
        <v>10</v>
      </c>
      <c r="J98" s="1186">
        <v>15</v>
      </c>
      <c r="K98" s="1186">
        <v>11</v>
      </c>
      <c r="L98" s="1186">
        <v>3</v>
      </c>
      <c r="M98" s="1186">
        <v>4</v>
      </c>
      <c r="N98" s="1186">
        <v>12</v>
      </c>
      <c r="O98" s="1186">
        <v>14</v>
      </c>
      <c r="P98" s="1186">
        <v>18</v>
      </c>
      <c r="Q98" s="1186">
        <v>40</v>
      </c>
      <c r="R98" s="1186">
        <v>63</v>
      </c>
      <c r="S98" s="1186">
        <v>80</v>
      </c>
      <c r="T98" s="1186">
        <v>0</v>
      </c>
      <c r="U98" s="1186">
        <v>3</v>
      </c>
      <c r="V98" s="1186">
        <v>34</v>
      </c>
      <c r="W98" s="1186">
        <v>16</v>
      </c>
      <c r="X98" s="1186">
        <v>313900</v>
      </c>
    </row>
    <row r="99" spans="1:24" x14ac:dyDescent="0.2">
      <c r="A99" s="1186" t="s">
        <v>13</v>
      </c>
      <c r="B99" s="1186" t="s">
        <v>50</v>
      </c>
      <c r="C99" s="1186">
        <v>0</v>
      </c>
      <c r="D99" s="1186">
        <v>51</v>
      </c>
      <c r="E99" s="1186">
        <v>1</v>
      </c>
      <c r="F99" s="1186">
        <v>36</v>
      </c>
      <c r="G99" s="1186">
        <v>7</v>
      </c>
      <c r="H99" s="1186">
        <v>17</v>
      </c>
      <c r="I99" s="1186">
        <v>0</v>
      </c>
      <c r="J99" s="1186">
        <v>6</v>
      </c>
      <c r="K99" s="1186">
        <v>6</v>
      </c>
      <c r="L99" s="1186">
        <v>2</v>
      </c>
      <c r="M99" s="1186">
        <v>3</v>
      </c>
      <c r="N99" s="1186">
        <v>7</v>
      </c>
      <c r="O99" s="1186">
        <v>0</v>
      </c>
      <c r="P99" s="1186">
        <v>8</v>
      </c>
      <c r="Q99" s="1186">
        <v>3</v>
      </c>
      <c r="R99" s="1186">
        <v>11</v>
      </c>
      <c r="S99" s="1186">
        <v>2</v>
      </c>
      <c r="T99" s="1186">
        <v>1</v>
      </c>
      <c r="U99" s="1186">
        <v>1</v>
      </c>
      <c r="V99" s="1186">
        <v>11</v>
      </c>
      <c r="W99" s="1186">
        <v>2</v>
      </c>
      <c r="X99" s="1186">
        <v>90330</v>
      </c>
    </row>
    <row r="100" spans="1:24" x14ac:dyDescent="0.2">
      <c r="A100" s="1186" t="s">
        <v>13</v>
      </c>
      <c r="B100" s="1186" t="s">
        <v>51</v>
      </c>
      <c r="C100" s="1186">
        <v>0</v>
      </c>
      <c r="D100" s="1186">
        <v>34</v>
      </c>
      <c r="E100" s="1186">
        <v>3</v>
      </c>
      <c r="F100" s="1186">
        <v>48</v>
      </c>
      <c r="G100" s="1186">
        <v>12</v>
      </c>
      <c r="H100" s="1186">
        <v>20</v>
      </c>
      <c r="I100" s="1186">
        <v>1</v>
      </c>
      <c r="J100" s="1186">
        <v>46</v>
      </c>
      <c r="K100" s="1186">
        <v>7</v>
      </c>
      <c r="L100" s="1186">
        <v>5</v>
      </c>
      <c r="M100" s="1186">
        <v>1</v>
      </c>
      <c r="N100" s="1186">
        <v>5</v>
      </c>
      <c r="O100" s="1186">
        <v>2</v>
      </c>
      <c r="P100" s="1186">
        <v>8</v>
      </c>
      <c r="Q100" s="1186">
        <v>24</v>
      </c>
      <c r="R100" s="1186">
        <v>17</v>
      </c>
      <c r="S100" s="1186">
        <v>34</v>
      </c>
      <c r="T100" s="1186">
        <v>0</v>
      </c>
      <c r="U100" s="1186">
        <v>1</v>
      </c>
      <c r="V100" s="1186">
        <v>5</v>
      </c>
      <c r="W100" s="1186">
        <v>8</v>
      </c>
      <c r="X100" s="1186">
        <v>90610</v>
      </c>
    </row>
    <row r="101" spans="1:24" x14ac:dyDescent="0.2">
      <c r="A101" s="1186" t="s">
        <v>13</v>
      </c>
      <c r="B101" s="1186" t="s">
        <v>52</v>
      </c>
      <c r="C101" s="1186">
        <v>0</v>
      </c>
      <c r="D101" s="1186">
        <v>69</v>
      </c>
      <c r="E101" s="1186">
        <v>3</v>
      </c>
      <c r="F101" s="1186">
        <v>6</v>
      </c>
      <c r="G101" s="1186">
        <v>0</v>
      </c>
      <c r="H101" s="1186">
        <v>18</v>
      </c>
      <c r="I101" s="1186">
        <v>0</v>
      </c>
      <c r="J101" s="1186">
        <v>4</v>
      </c>
      <c r="K101" s="1186">
        <v>10</v>
      </c>
      <c r="L101" s="1186">
        <v>3</v>
      </c>
      <c r="M101" s="1186">
        <v>4</v>
      </c>
      <c r="N101" s="1186">
        <v>7</v>
      </c>
      <c r="O101" s="1186">
        <v>3</v>
      </c>
      <c r="P101" s="1186">
        <v>7</v>
      </c>
      <c r="Q101" s="1186">
        <v>14</v>
      </c>
      <c r="R101" s="1186">
        <v>10</v>
      </c>
      <c r="S101" s="1186">
        <v>13</v>
      </c>
      <c r="T101" s="1186">
        <v>0</v>
      </c>
      <c r="U101" s="1186">
        <v>0</v>
      </c>
      <c r="V101" s="1186">
        <v>8</v>
      </c>
      <c r="W101" s="1186">
        <v>7</v>
      </c>
      <c r="X101" s="1186">
        <v>175300</v>
      </c>
    </row>
    <row r="102" spans="1:24" x14ac:dyDescent="0.2">
      <c r="A102" s="1186" t="s">
        <v>15</v>
      </c>
      <c r="B102" s="1186" t="s">
        <v>23</v>
      </c>
      <c r="C102" s="1186">
        <v>0</v>
      </c>
      <c r="D102" s="1186">
        <v>75</v>
      </c>
      <c r="E102" s="1186">
        <v>3</v>
      </c>
      <c r="F102" s="1186">
        <v>48</v>
      </c>
      <c r="G102" s="1186">
        <v>1</v>
      </c>
      <c r="H102" s="1186">
        <v>31</v>
      </c>
      <c r="I102" s="1186">
        <v>0</v>
      </c>
      <c r="J102" s="1186">
        <v>157</v>
      </c>
      <c r="K102" s="1186">
        <v>10</v>
      </c>
      <c r="L102" s="1186">
        <v>0</v>
      </c>
      <c r="M102" s="1186">
        <v>16</v>
      </c>
      <c r="N102" s="1186">
        <v>16</v>
      </c>
      <c r="O102" s="1186">
        <v>6</v>
      </c>
      <c r="P102" s="1186">
        <v>12</v>
      </c>
      <c r="Q102" s="1186">
        <v>27</v>
      </c>
      <c r="R102" s="1186">
        <v>11</v>
      </c>
      <c r="S102" s="1186">
        <v>31</v>
      </c>
      <c r="T102" s="1186">
        <v>0</v>
      </c>
      <c r="U102" s="1186">
        <v>23</v>
      </c>
      <c r="V102" s="1186">
        <v>18</v>
      </c>
      <c r="W102" s="1186">
        <v>64</v>
      </c>
      <c r="X102" s="1186">
        <v>224910</v>
      </c>
    </row>
    <row r="103" spans="1:24" x14ac:dyDescent="0.2">
      <c r="A103" s="1186" t="s">
        <v>15</v>
      </c>
      <c r="B103" s="1186" t="s">
        <v>24</v>
      </c>
      <c r="C103" s="1186">
        <v>0</v>
      </c>
      <c r="D103" s="1186">
        <v>172</v>
      </c>
      <c r="E103" s="1186">
        <v>2</v>
      </c>
      <c r="F103" s="1186">
        <v>29</v>
      </c>
      <c r="G103" s="1186">
        <v>10</v>
      </c>
      <c r="H103" s="1186">
        <v>18</v>
      </c>
      <c r="I103" s="1186">
        <v>1</v>
      </c>
      <c r="J103" s="1186">
        <v>5</v>
      </c>
      <c r="K103" s="1186">
        <v>50</v>
      </c>
      <c r="L103" s="1186">
        <v>0</v>
      </c>
      <c r="M103" s="1186">
        <v>5</v>
      </c>
      <c r="N103" s="1186">
        <v>11</v>
      </c>
      <c r="O103" s="1186">
        <v>1</v>
      </c>
      <c r="P103" s="1186">
        <v>12</v>
      </c>
      <c r="Q103" s="1186">
        <v>10</v>
      </c>
      <c r="R103" s="1186">
        <v>5</v>
      </c>
      <c r="S103" s="1186">
        <v>22</v>
      </c>
      <c r="T103" s="1186">
        <v>0</v>
      </c>
      <c r="U103" s="1186">
        <v>0</v>
      </c>
      <c r="V103" s="1186">
        <v>10</v>
      </c>
      <c r="W103" s="1186">
        <v>5</v>
      </c>
      <c r="X103" s="1186">
        <v>255560</v>
      </c>
    </row>
    <row r="104" spans="1:24" x14ac:dyDescent="0.2">
      <c r="A104" s="1186" t="s">
        <v>15</v>
      </c>
      <c r="B104" s="1186" t="s">
        <v>25</v>
      </c>
      <c r="C104" s="1186">
        <v>0</v>
      </c>
      <c r="D104" s="1186">
        <v>56</v>
      </c>
      <c r="E104" s="1186">
        <v>3</v>
      </c>
      <c r="F104" s="1186">
        <v>63</v>
      </c>
      <c r="G104" s="1186">
        <v>8</v>
      </c>
      <c r="H104" s="1186">
        <v>8</v>
      </c>
      <c r="I104" s="1186">
        <v>0</v>
      </c>
      <c r="J104" s="1186">
        <v>8</v>
      </c>
      <c r="K104" s="1186">
        <v>4</v>
      </c>
      <c r="L104" s="1186">
        <v>0</v>
      </c>
      <c r="M104" s="1186">
        <v>0</v>
      </c>
      <c r="N104" s="1186">
        <v>11</v>
      </c>
      <c r="O104" s="1186">
        <v>5</v>
      </c>
      <c r="P104" s="1186">
        <v>10</v>
      </c>
      <c r="Q104" s="1186">
        <v>14</v>
      </c>
      <c r="R104" s="1186">
        <v>8</v>
      </c>
      <c r="S104" s="1186">
        <v>4</v>
      </c>
      <c r="T104" s="1186">
        <v>0</v>
      </c>
      <c r="U104" s="1186">
        <v>0</v>
      </c>
      <c r="V104" s="1186">
        <v>6</v>
      </c>
      <c r="W104" s="1186">
        <v>2</v>
      </c>
      <c r="X104" s="1186">
        <v>116220</v>
      </c>
    </row>
    <row r="105" spans="1:24" x14ac:dyDescent="0.2">
      <c r="A105" s="1186" t="s">
        <v>15</v>
      </c>
      <c r="B105" s="1186" t="s">
        <v>26</v>
      </c>
      <c r="C105" s="1186">
        <v>0</v>
      </c>
      <c r="D105" s="1186">
        <v>63</v>
      </c>
      <c r="E105" s="1186">
        <v>3</v>
      </c>
      <c r="F105" s="1186">
        <v>39</v>
      </c>
      <c r="G105" s="1186">
        <v>6</v>
      </c>
      <c r="H105" s="1186">
        <v>4</v>
      </c>
      <c r="I105" s="1186">
        <v>1</v>
      </c>
      <c r="J105" s="1186">
        <v>6</v>
      </c>
      <c r="K105" s="1186">
        <v>2</v>
      </c>
      <c r="L105" s="1186">
        <v>0</v>
      </c>
      <c r="M105" s="1186">
        <v>0</v>
      </c>
      <c r="N105" s="1186">
        <v>8</v>
      </c>
      <c r="O105" s="1186">
        <v>0</v>
      </c>
      <c r="P105" s="1186">
        <v>5</v>
      </c>
      <c r="Q105" s="1186">
        <v>7</v>
      </c>
      <c r="R105" s="1186">
        <v>4</v>
      </c>
      <c r="S105" s="1186">
        <v>8</v>
      </c>
      <c r="T105" s="1186">
        <v>0</v>
      </c>
      <c r="U105" s="1186">
        <v>25</v>
      </c>
      <c r="V105" s="1186">
        <v>24</v>
      </c>
      <c r="W105" s="1186">
        <v>4</v>
      </c>
      <c r="X105" s="1186">
        <v>86910</v>
      </c>
    </row>
    <row r="106" spans="1:24" x14ac:dyDescent="0.2">
      <c r="A106" s="1186" t="s">
        <v>15</v>
      </c>
      <c r="B106" s="1186" t="s">
        <v>619</v>
      </c>
      <c r="C106" s="1186">
        <v>0</v>
      </c>
      <c r="D106" s="1186">
        <v>115</v>
      </c>
      <c r="E106" s="1186">
        <v>10</v>
      </c>
      <c r="F106" s="1186">
        <v>47</v>
      </c>
      <c r="G106" s="1186">
        <v>11</v>
      </c>
      <c r="H106" s="1186">
        <v>64</v>
      </c>
      <c r="I106" s="1186">
        <v>4</v>
      </c>
      <c r="J106" s="1186">
        <v>51</v>
      </c>
      <c r="K106" s="1186">
        <v>17</v>
      </c>
      <c r="L106" s="1186">
        <v>10</v>
      </c>
      <c r="M106" s="1186">
        <v>28</v>
      </c>
      <c r="N106" s="1186">
        <v>45</v>
      </c>
      <c r="O106" s="1186">
        <v>30</v>
      </c>
      <c r="P106" s="1186">
        <v>16</v>
      </c>
      <c r="Q106" s="1186">
        <v>78</v>
      </c>
      <c r="R106" s="1186">
        <v>11</v>
      </c>
      <c r="S106" s="1186">
        <v>56</v>
      </c>
      <c r="T106" s="1186">
        <v>0</v>
      </c>
      <c r="U106" s="1186">
        <v>6</v>
      </c>
      <c r="V106" s="1186">
        <v>27</v>
      </c>
      <c r="W106" s="1186">
        <v>11</v>
      </c>
      <c r="X106" s="1186">
        <v>482630</v>
      </c>
    </row>
    <row r="107" spans="1:24" x14ac:dyDescent="0.2">
      <c r="A107" s="1186" t="s">
        <v>15</v>
      </c>
      <c r="B107" s="1186" t="s">
        <v>27</v>
      </c>
      <c r="C107" s="1186">
        <v>0</v>
      </c>
      <c r="D107" s="1186">
        <v>20</v>
      </c>
      <c r="E107" s="1186">
        <v>1</v>
      </c>
      <c r="F107" s="1186">
        <v>16</v>
      </c>
      <c r="G107" s="1186">
        <v>0</v>
      </c>
      <c r="H107" s="1186">
        <v>6</v>
      </c>
      <c r="I107" s="1186">
        <v>2</v>
      </c>
      <c r="J107" s="1186">
        <v>1</v>
      </c>
      <c r="K107" s="1186">
        <v>3</v>
      </c>
      <c r="L107" s="1186">
        <v>4</v>
      </c>
      <c r="M107" s="1186">
        <v>5</v>
      </c>
      <c r="N107" s="1186">
        <v>1</v>
      </c>
      <c r="O107" s="1186">
        <v>7</v>
      </c>
      <c r="P107" s="1186">
        <v>8</v>
      </c>
      <c r="Q107" s="1186">
        <v>2</v>
      </c>
      <c r="R107" s="1186">
        <v>1</v>
      </c>
      <c r="S107" s="1186">
        <v>0</v>
      </c>
      <c r="T107" s="1186">
        <v>0</v>
      </c>
      <c r="U107" s="1186">
        <v>0</v>
      </c>
      <c r="V107" s="1186">
        <v>27</v>
      </c>
      <c r="W107" s="1186">
        <v>0</v>
      </c>
      <c r="X107" s="1186">
        <v>51280</v>
      </c>
    </row>
    <row r="108" spans="1:24" x14ac:dyDescent="0.2">
      <c r="A108" s="1186" t="s">
        <v>15</v>
      </c>
      <c r="B108" s="1186" t="s">
        <v>28</v>
      </c>
      <c r="C108" s="1186">
        <v>0</v>
      </c>
      <c r="D108" s="1186">
        <v>84</v>
      </c>
      <c r="E108" s="1186">
        <v>3</v>
      </c>
      <c r="F108" s="1186">
        <v>23</v>
      </c>
      <c r="G108" s="1186">
        <v>10</v>
      </c>
      <c r="H108" s="1186">
        <v>12</v>
      </c>
      <c r="I108" s="1186">
        <v>1</v>
      </c>
      <c r="J108" s="1186">
        <v>16</v>
      </c>
      <c r="K108" s="1186">
        <v>0</v>
      </c>
      <c r="L108" s="1186">
        <v>6</v>
      </c>
      <c r="M108" s="1186">
        <v>11</v>
      </c>
      <c r="N108" s="1186">
        <v>3</v>
      </c>
      <c r="O108" s="1186">
        <v>3</v>
      </c>
      <c r="P108" s="1186">
        <v>15</v>
      </c>
      <c r="Q108" s="1186">
        <v>3</v>
      </c>
      <c r="R108" s="1186">
        <v>3</v>
      </c>
      <c r="S108" s="1186">
        <v>8</v>
      </c>
      <c r="T108" s="1186">
        <v>0</v>
      </c>
      <c r="U108" s="1186">
        <v>0</v>
      </c>
      <c r="V108" s="1186">
        <v>18</v>
      </c>
      <c r="W108" s="1186">
        <v>1</v>
      </c>
      <c r="X108" s="1186">
        <v>150840</v>
      </c>
    </row>
    <row r="109" spans="1:24" x14ac:dyDescent="0.2">
      <c r="A109" s="1186" t="s">
        <v>15</v>
      </c>
      <c r="B109" s="1186" t="s">
        <v>29</v>
      </c>
      <c r="C109" s="1186">
        <v>0</v>
      </c>
      <c r="D109" s="1186">
        <v>47</v>
      </c>
      <c r="E109" s="1186">
        <v>4</v>
      </c>
      <c r="F109" s="1186">
        <v>38</v>
      </c>
      <c r="G109" s="1186">
        <v>1</v>
      </c>
      <c r="H109" s="1186">
        <v>17</v>
      </c>
      <c r="I109" s="1186">
        <v>3</v>
      </c>
      <c r="J109" s="1186">
        <v>31</v>
      </c>
      <c r="K109" s="1186">
        <v>15</v>
      </c>
      <c r="L109" s="1186">
        <v>0</v>
      </c>
      <c r="M109" s="1186">
        <v>5</v>
      </c>
      <c r="N109" s="1186">
        <v>26</v>
      </c>
      <c r="O109" s="1186">
        <v>11</v>
      </c>
      <c r="P109" s="1186">
        <v>16</v>
      </c>
      <c r="Q109" s="1186">
        <v>32</v>
      </c>
      <c r="R109" s="1186">
        <v>56</v>
      </c>
      <c r="S109" s="1186">
        <v>11</v>
      </c>
      <c r="T109" s="1186">
        <v>0</v>
      </c>
      <c r="U109" s="1186">
        <v>2</v>
      </c>
      <c r="V109" s="1186">
        <v>17</v>
      </c>
      <c r="W109" s="1186">
        <v>3</v>
      </c>
      <c r="X109" s="1186">
        <v>147780</v>
      </c>
    </row>
    <row r="110" spans="1:24" x14ac:dyDescent="0.2">
      <c r="A110" s="1186" t="s">
        <v>15</v>
      </c>
      <c r="B110" s="1186" t="s">
        <v>30</v>
      </c>
      <c r="C110" s="1186">
        <v>0</v>
      </c>
      <c r="D110" s="1186">
        <v>65</v>
      </c>
      <c r="E110" s="1186">
        <v>6</v>
      </c>
      <c r="F110" s="1186">
        <v>35</v>
      </c>
      <c r="G110" s="1186">
        <v>6</v>
      </c>
      <c r="H110" s="1186">
        <v>15</v>
      </c>
      <c r="I110" s="1186">
        <v>0</v>
      </c>
      <c r="J110" s="1186">
        <v>1</v>
      </c>
      <c r="K110" s="1186">
        <v>8</v>
      </c>
      <c r="L110" s="1186">
        <v>3</v>
      </c>
      <c r="M110" s="1186">
        <v>2</v>
      </c>
      <c r="N110" s="1186">
        <v>6</v>
      </c>
      <c r="O110" s="1186">
        <v>4</v>
      </c>
      <c r="P110" s="1186">
        <v>5</v>
      </c>
      <c r="Q110" s="1186">
        <v>16</v>
      </c>
      <c r="R110" s="1186">
        <v>5</v>
      </c>
      <c r="S110" s="1186">
        <v>15</v>
      </c>
      <c r="T110" s="1186">
        <v>0</v>
      </c>
      <c r="U110" s="1186">
        <v>12</v>
      </c>
      <c r="V110" s="1186">
        <v>7</v>
      </c>
      <c r="W110" s="1186">
        <v>4</v>
      </c>
      <c r="X110" s="1186">
        <v>122730</v>
      </c>
    </row>
    <row r="111" spans="1:24" x14ac:dyDescent="0.2">
      <c r="A111" s="1186" t="s">
        <v>15</v>
      </c>
      <c r="B111" s="1186" t="s">
        <v>31</v>
      </c>
      <c r="C111" s="1186">
        <v>0</v>
      </c>
      <c r="D111" s="1186">
        <v>23</v>
      </c>
      <c r="E111" s="1186">
        <v>3</v>
      </c>
      <c r="F111" s="1186">
        <v>19</v>
      </c>
      <c r="G111" s="1186">
        <v>0</v>
      </c>
      <c r="H111" s="1186">
        <v>7</v>
      </c>
      <c r="I111" s="1186">
        <v>2</v>
      </c>
      <c r="J111" s="1186">
        <v>0</v>
      </c>
      <c r="K111" s="1186">
        <v>3</v>
      </c>
      <c r="L111" s="1186">
        <v>3</v>
      </c>
      <c r="M111" s="1186">
        <v>3</v>
      </c>
      <c r="N111" s="1186">
        <v>4</v>
      </c>
      <c r="O111" s="1186">
        <v>5</v>
      </c>
      <c r="P111" s="1186">
        <v>4</v>
      </c>
      <c r="Q111" s="1186">
        <v>13</v>
      </c>
      <c r="R111" s="1186">
        <v>2</v>
      </c>
      <c r="S111" s="1186">
        <v>24</v>
      </c>
      <c r="T111" s="1186">
        <v>0</v>
      </c>
      <c r="U111" s="1186">
        <v>0</v>
      </c>
      <c r="V111" s="1186">
        <v>4</v>
      </c>
      <c r="W111" s="1186">
        <v>2</v>
      </c>
      <c r="X111" s="1186">
        <v>105880</v>
      </c>
    </row>
    <row r="112" spans="1:24" x14ac:dyDescent="0.2">
      <c r="A112" s="1186" t="s">
        <v>15</v>
      </c>
      <c r="B112" s="1186" t="s">
        <v>32</v>
      </c>
      <c r="C112" s="1186">
        <v>0</v>
      </c>
      <c r="D112" s="1186">
        <v>29</v>
      </c>
      <c r="E112" s="1186">
        <v>1</v>
      </c>
      <c r="F112" s="1186">
        <v>22</v>
      </c>
      <c r="G112" s="1186">
        <v>3</v>
      </c>
      <c r="H112" s="1186">
        <v>9</v>
      </c>
      <c r="I112" s="1186">
        <v>2</v>
      </c>
      <c r="J112" s="1186">
        <v>0</v>
      </c>
      <c r="K112" s="1186">
        <v>4</v>
      </c>
      <c r="L112" s="1186">
        <v>1</v>
      </c>
      <c r="M112" s="1186">
        <v>3</v>
      </c>
      <c r="N112" s="1186">
        <v>3</v>
      </c>
      <c r="O112" s="1186">
        <v>1</v>
      </c>
      <c r="P112" s="1186">
        <v>3</v>
      </c>
      <c r="Q112" s="1186">
        <v>8</v>
      </c>
      <c r="R112" s="1186">
        <v>3</v>
      </c>
      <c r="S112" s="1186">
        <v>2</v>
      </c>
      <c r="T112" s="1186">
        <v>0</v>
      </c>
      <c r="U112" s="1186">
        <v>0</v>
      </c>
      <c r="V112" s="1186">
        <v>5</v>
      </c>
      <c r="W112" s="1186">
        <v>1</v>
      </c>
      <c r="X112" s="1186">
        <v>100860</v>
      </c>
    </row>
    <row r="113" spans="1:24" x14ac:dyDescent="0.2">
      <c r="A113" s="1186" t="s">
        <v>15</v>
      </c>
      <c r="B113" s="1186" t="s">
        <v>33</v>
      </c>
      <c r="C113" s="1186">
        <v>0</v>
      </c>
      <c r="D113" s="1186">
        <v>25</v>
      </c>
      <c r="E113" s="1186">
        <v>0</v>
      </c>
      <c r="F113" s="1186">
        <v>10</v>
      </c>
      <c r="G113" s="1186">
        <v>4</v>
      </c>
      <c r="H113" s="1186">
        <v>8</v>
      </c>
      <c r="I113" s="1186">
        <v>1</v>
      </c>
      <c r="J113" s="1186">
        <v>5</v>
      </c>
      <c r="K113" s="1186">
        <v>1</v>
      </c>
      <c r="L113" s="1186">
        <v>0</v>
      </c>
      <c r="M113" s="1186">
        <v>1</v>
      </c>
      <c r="N113" s="1186">
        <v>1</v>
      </c>
      <c r="O113" s="1186">
        <v>1</v>
      </c>
      <c r="P113" s="1186">
        <v>2</v>
      </c>
      <c r="Q113" s="1186">
        <v>10</v>
      </c>
      <c r="R113" s="1186">
        <v>0</v>
      </c>
      <c r="S113" s="1186">
        <v>10</v>
      </c>
      <c r="T113" s="1186">
        <v>0</v>
      </c>
      <c r="U113" s="1186">
        <v>0</v>
      </c>
      <c r="V113" s="1186">
        <v>5</v>
      </c>
      <c r="W113" s="1186">
        <v>1</v>
      </c>
      <c r="X113" s="1186">
        <v>91040</v>
      </c>
    </row>
    <row r="114" spans="1:24" x14ac:dyDescent="0.2">
      <c r="A114" s="1186" t="s">
        <v>15</v>
      </c>
      <c r="B114" s="1186" t="s">
        <v>34</v>
      </c>
      <c r="C114" s="1186">
        <v>0</v>
      </c>
      <c r="D114" s="1186">
        <v>66</v>
      </c>
      <c r="E114" s="1186">
        <v>1</v>
      </c>
      <c r="F114" s="1186">
        <v>22</v>
      </c>
      <c r="G114" s="1186">
        <v>0</v>
      </c>
      <c r="H114" s="1186">
        <v>21</v>
      </c>
      <c r="I114" s="1186">
        <v>1</v>
      </c>
      <c r="J114" s="1186">
        <v>10</v>
      </c>
      <c r="K114" s="1186">
        <v>6</v>
      </c>
      <c r="L114" s="1186">
        <v>4</v>
      </c>
      <c r="M114" s="1186">
        <v>3</v>
      </c>
      <c r="N114" s="1186">
        <v>4</v>
      </c>
      <c r="O114" s="1186">
        <v>7</v>
      </c>
      <c r="P114" s="1186">
        <v>12</v>
      </c>
      <c r="Q114" s="1186">
        <v>26</v>
      </c>
      <c r="R114" s="1186">
        <v>1</v>
      </c>
      <c r="S114" s="1186">
        <v>7</v>
      </c>
      <c r="T114" s="1186">
        <v>0</v>
      </c>
      <c r="U114" s="1186">
        <v>0</v>
      </c>
      <c r="V114" s="1186">
        <v>10</v>
      </c>
      <c r="W114" s="1186">
        <v>4</v>
      </c>
      <c r="X114" s="1186">
        <v>156800</v>
      </c>
    </row>
    <row r="115" spans="1:24" x14ac:dyDescent="0.2">
      <c r="A115" s="1186" t="s">
        <v>15</v>
      </c>
      <c r="B115" s="1186" t="s">
        <v>35</v>
      </c>
      <c r="C115" s="1186">
        <v>0</v>
      </c>
      <c r="D115" s="1186">
        <v>107</v>
      </c>
      <c r="E115" s="1186">
        <v>8</v>
      </c>
      <c r="F115" s="1186">
        <v>123</v>
      </c>
      <c r="G115" s="1186">
        <v>11</v>
      </c>
      <c r="H115" s="1186">
        <v>36</v>
      </c>
      <c r="I115" s="1186">
        <v>1</v>
      </c>
      <c r="J115" s="1186">
        <v>13</v>
      </c>
      <c r="K115" s="1186">
        <v>11</v>
      </c>
      <c r="L115" s="1186">
        <v>12</v>
      </c>
      <c r="M115" s="1186">
        <v>19</v>
      </c>
      <c r="N115" s="1186">
        <v>19</v>
      </c>
      <c r="O115" s="1186">
        <v>14</v>
      </c>
      <c r="P115" s="1186">
        <v>21</v>
      </c>
      <c r="Q115" s="1186">
        <v>30</v>
      </c>
      <c r="R115" s="1186">
        <v>14</v>
      </c>
      <c r="S115" s="1186">
        <v>36</v>
      </c>
      <c r="T115" s="1186">
        <v>1</v>
      </c>
      <c r="U115" s="1186">
        <v>2</v>
      </c>
      <c r="V115" s="1186">
        <v>22</v>
      </c>
      <c r="W115" s="1186">
        <v>16</v>
      </c>
      <c r="X115" s="1186">
        <v>366210</v>
      </c>
    </row>
    <row r="116" spans="1:24" x14ac:dyDescent="0.2">
      <c r="A116" s="1186" t="s">
        <v>15</v>
      </c>
      <c r="B116" s="1186" t="s">
        <v>36</v>
      </c>
      <c r="C116" s="1186">
        <v>0</v>
      </c>
      <c r="D116" s="1186">
        <v>174</v>
      </c>
      <c r="E116" s="1186">
        <v>6</v>
      </c>
      <c r="F116" s="1186">
        <v>271</v>
      </c>
      <c r="G116" s="1186">
        <v>38</v>
      </c>
      <c r="H116" s="1186">
        <v>78</v>
      </c>
      <c r="I116" s="1186">
        <v>12</v>
      </c>
      <c r="J116" s="1186">
        <v>163</v>
      </c>
      <c r="K116" s="1186">
        <v>18</v>
      </c>
      <c r="L116" s="1186">
        <v>36</v>
      </c>
      <c r="M116" s="1186">
        <v>12</v>
      </c>
      <c r="N116" s="1186">
        <v>19</v>
      </c>
      <c r="O116" s="1186">
        <v>38</v>
      </c>
      <c r="P116" s="1186">
        <v>28</v>
      </c>
      <c r="Q116" s="1186">
        <v>245</v>
      </c>
      <c r="R116" s="1186">
        <v>26</v>
      </c>
      <c r="S116" s="1186">
        <v>204</v>
      </c>
      <c r="T116" s="1186">
        <v>1</v>
      </c>
      <c r="U116" s="1186">
        <v>9</v>
      </c>
      <c r="V116" s="1186">
        <v>59</v>
      </c>
      <c r="W116" s="1186">
        <v>24</v>
      </c>
      <c r="X116" s="1186">
        <v>595070</v>
      </c>
    </row>
    <row r="117" spans="1:24" x14ac:dyDescent="0.2">
      <c r="A117" s="1186" t="s">
        <v>15</v>
      </c>
      <c r="B117" s="1186" t="s">
        <v>37</v>
      </c>
      <c r="C117" s="1186">
        <v>0</v>
      </c>
      <c r="D117" s="1186">
        <v>213</v>
      </c>
      <c r="E117" s="1186">
        <v>14</v>
      </c>
      <c r="F117" s="1186">
        <v>63</v>
      </c>
      <c r="G117" s="1186">
        <v>1</v>
      </c>
      <c r="H117" s="1186">
        <v>23</v>
      </c>
      <c r="I117" s="1186">
        <v>0</v>
      </c>
      <c r="J117" s="1186">
        <v>18</v>
      </c>
      <c r="K117" s="1186">
        <v>10</v>
      </c>
      <c r="L117" s="1186">
        <v>6</v>
      </c>
      <c r="M117" s="1186">
        <v>8</v>
      </c>
      <c r="N117" s="1186">
        <v>15</v>
      </c>
      <c r="O117" s="1186">
        <v>1</v>
      </c>
      <c r="P117" s="1186">
        <v>29</v>
      </c>
      <c r="Q117" s="1186">
        <v>26</v>
      </c>
      <c r="R117" s="1186">
        <v>11</v>
      </c>
      <c r="S117" s="1186">
        <v>9</v>
      </c>
      <c r="T117" s="1186">
        <v>0</v>
      </c>
      <c r="U117" s="1186">
        <v>4</v>
      </c>
      <c r="V117" s="1186">
        <v>26</v>
      </c>
      <c r="W117" s="1186">
        <v>13</v>
      </c>
      <c r="X117" s="1186">
        <v>232890</v>
      </c>
    </row>
    <row r="118" spans="1:24" x14ac:dyDescent="0.2">
      <c r="A118" s="1186" t="s">
        <v>15</v>
      </c>
      <c r="B118" s="1186" t="s">
        <v>38</v>
      </c>
      <c r="C118" s="1186">
        <v>0</v>
      </c>
      <c r="D118" s="1186">
        <v>21</v>
      </c>
      <c r="E118" s="1186">
        <v>2</v>
      </c>
      <c r="F118" s="1186">
        <v>38</v>
      </c>
      <c r="G118" s="1186">
        <v>0</v>
      </c>
      <c r="H118" s="1186">
        <v>15</v>
      </c>
      <c r="I118" s="1186">
        <v>4</v>
      </c>
      <c r="J118" s="1186">
        <v>15</v>
      </c>
      <c r="K118" s="1186">
        <v>3</v>
      </c>
      <c r="L118" s="1186">
        <v>0</v>
      </c>
      <c r="M118" s="1186">
        <v>0</v>
      </c>
      <c r="N118" s="1186">
        <v>4</v>
      </c>
      <c r="O118" s="1186">
        <v>1</v>
      </c>
      <c r="P118" s="1186">
        <v>1</v>
      </c>
      <c r="Q118" s="1186">
        <v>23</v>
      </c>
      <c r="R118" s="1186">
        <v>6</v>
      </c>
      <c r="S118" s="1186">
        <v>17</v>
      </c>
      <c r="T118" s="1186">
        <v>0</v>
      </c>
      <c r="U118" s="1186">
        <v>1</v>
      </c>
      <c r="V118" s="1186">
        <v>10</v>
      </c>
      <c r="W118" s="1186">
        <v>1</v>
      </c>
      <c r="X118" s="1186">
        <v>80690</v>
      </c>
    </row>
    <row r="119" spans="1:24" x14ac:dyDescent="0.2">
      <c r="A119" s="1186" t="s">
        <v>15</v>
      </c>
      <c r="B119" s="1186" t="s">
        <v>39</v>
      </c>
      <c r="C119" s="1186">
        <v>0</v>
      </c>
      <c r="D119" s="1186">
        <v>41</v>
      </c>
      <c r="E119" s="1186">
        <v>0</v>
      </c>
      <c r="F119" s="1186">
        <v>6</v>
      </c>
      <c r="G119" s="1186">
        <v>4</v>
      </c>
      <c r="H119" s="1186">
        <v>11</v>
      </c>
      <c r="I119" s="1186">
        <v>1</v>
      </c>
      <c r="J119" s="1186">
        <v>0</v>
      </c>
      <c r="K119" s="1186">
        <v>1</v>
      </c>
      <c r="L119" s="1186">
        <v>3</v>
      </c>
      <c r="M119" s="1186">
        <v>3</v>
      </c>
      <c r="N119" s="1186">
        <v>6</v>
      </c>
      <c r="O119" s="1186">
        <v>5</v>
      </c>
      <c r="P119" s="1186">
        <v>3</v>
      </c>
      <c r="Q119" s="1186">
        <v>7</v>
      </c>
      <c r="R119" s="1186">
        <v>3</v>
      </c>
      <c r="S119" s="1186">
        <v>6</v>
      </c>
      <c r="T119" s="1186">
        <v>0</v>
      </c>
      <c r="U119" s="1186">
        <v>0</v>
      </c>
      <c r="V119" s="1186">
        <v>1</v>
      </c>
      <c r="W119" s="1186">
        <v>3</v>
      </c>
      <c r="X119" s="1186">
        <v>84240</v>
      </c>
    </row>
    <row r="120" spans="1:24" x14ac:dyDescent="0.2">
      <c r="A120" s="1186" t="s">
        <v>15</v>
      </c>
      <c r="B120" s="1186" t="s">
        <v>40</v>
      </c>
      <c r="C120" s="1186">
        <v>0</v>
      </c>
      <c r="D120" s="1186">
        <v>60</v>
      </c>
      <c r="E120" s="1186">
        <v>1</v>
      </c>
      <c r="F120" s="1186">
        <v>4</v>
      </c>
      <c r="G120" s="1186">
        <v>2</v>
      </c>
      <c r="H120" s="1186">
        <v>11</v>
      </c>
      <c r="I120" s="1186">
        <v>0</v>
      </c>
      <c r="J120" s="1186">
        <v>1</v>
      </c>
      <c r="K120" s="1186">
        <v>2</v>
      </c>
      <c r="L120" s="1186">
        <v>0</v>
      </c>
      <c r="M120" s="1186">
        <v>3</v>
      </c>
      <c r="N120" s="1186">
        <v>0</v>
      </c>
      <c r="O120" s="1186">
        <v>1</v>
      </c>
      <c r="P120" s="1186">
        <v>7</v>
      </c>
      <c r="Q120" s="1186">
        <v>4</v>
      </c>
      <c r="R120" s="1186">
        <v>3</v>
      </c>
      <c r="S120" s="1186">
        <v>4</v>
      </c>
      <c r="T120" s="1186">
        <v>0</v>
      </c>
      <c r="U120" s="1186">
        <v>1</v>
      </c>
      <c r="V120" s="1186">
        <v>7</v>
      </c>
      <c r="W120" s="1186">
        <v>1</v>
      </c>
      <c r="X120" s="1186">
        <v>92930</v>
      </c>
    </row>
    <row r="121" spans="1:24" x14ac:dyDescent="0.2">
      <c r="A121" s="1186" t="s">
        <v>15</v>
      </c>
      <c r="B121" s="1186" t="s">
        <v>295</v>
      </c>
      <c r="C121" s="1186">
        <v>0</v>
      </c>
      <c r="D121" s="1186">
        <v>18</v>
      </c>
      <c r="E121" s="1186">
        <v>0</v>
      </c>
      <c r="F121" s="1186">
        <v>2</v>
      </c>
      <c r="G121" s="1186">
        <v>0</v>
      </c>
      <c r="H121" s="1186">
        <v>2</v>
      </c>
      <c r="I121" s="1186">
        <v>0</v>
      </c>
      <c r="J121" s="1186">
        <v>0</v>
      </c>
      <c r="K121" s="1186">
        <v>0</v>
      </c>
      <c r="L121" s="1186">
        <v>0</v>
      </c>
      <c r="M121" s="1186">
        <v>4</v>
      </c>
      <c r="N121" s="1186">
        <v>1</v>
      </c>
      <c r="O121" s="1186">
        <v>0</v>
      </c>
      <c r="P121" s="1186">
        <v>6</v>
      </c>
      <c r="Q121" s="1186">
        <v>0</v>
      </c>
      <c r="R121" s="1186">
        <v>5</v>
      </c>
      <c r="S121" s="1186">
        <v>1</v>
      </c>
      <c r="T121" s="1186">
        <v>0</v>
      </c>
      <c r="U121" s="1186">
        <v>0</v>
      </c>
      <c r="V121" s="1186">
        <v>3</v>
      </c>
      <c r="W121" s="1186">
        <v>1</v>
      </c>
      <c r="X121" s="1186">
        <v>27560</v>
      </c>
    </row>
    <row r="122" spans="1:24" x14ac:dyDescent="0.2">
      <c r="A122" s="1186" t="s">
        <v>15</v>
      </c>
      <c r="B122" s="1186" t="s">
        <v>41</v>
      </c>
      <c r="C122" s="1186">
        <v>0</v>
      </c>
      <c r="D122" s="1186">
        <v>39</v>
      </c>
      <c r="E122" s="1186">
        <v>2</v>
      </c>
      <c r="F122" s="1186">
        <v>22</v>
      </c>
      <c r="G122" s="1186">
        <v>0</v>
      </c>
      <c r="H122" s="1186">
        <v>22</v>
      </c>
      <c r="I122" s="1186">
        <v>2</v>
      </c>
      <c r="J122" s="1186">
        <v>4</v>
      </c>
      <c r="K122" s="1186">
        <v>9</v>
      </c>
      <c r="L122" s="1186">
        <v>3</v>
      </c>
      <c r="M122" s="1186">
        <v>1</v>
      </c>
      <c r="N122" s="1186">
        <v>3</v>
      </c>
      <c r="O122" s="1186">
        <v>4</v>
      </c>
      <c r="P122" s="1186">
        <v>17</v>
      </c>
      <c r="Q122" s="1186">
        <v>38</v>
      </c>
      <c r="R122" s="1186">
        <v>4</v>
      </c>
      <c r="S122" s="1186">
        <v>24</v>
      </c>
      <c r="T122" s="1186">
        <v>0</v>
      </c>
      <c r="U122" s="1186">
        <v>3</v>
      </c>
      <c r="V122" s="1186">
        <v>12</v>
      </c>
      <c r="W122" s="1186">
        <v>3</v>
      </c>
      <c r="X122" s="1186">
        <v>137570</v>
      </c>
    </row>
    <row r="123" spans="1:24" x14ac:dyDescent="0.2">
      <c r="A123" s="1186" t="s">
        <v>15</v>
      </c>
      <c r="B123" s="1186" t="s">
        <v>42</v>
      </c>
      <c r="C123" s="1186">
        <v>0</v>
      </c>
      <c r="D123" s="1186">
        <v>133</v>
      </c>
      <c r="E123" s="1186">
        <v>2</v>
      </c>
      <c r="F123" s="1186">
        <v>84</v>
      </c>
      <c r="G123" s="1186">
        <v>7</v>
      </c>
      <c r="H123" s="1186">
        <v>35</v>
      </c>
      <c r="I123" s="1186">
        <v>5</v>
      </c>
      <c r="J123" s="1186">
        <v>21</v>
      </c>
      <c r="K123" s="1186">
        <v>11</v>
      </c>
      <c r="L123" s="1186">
        <v>4</v>
      </c>
      <c r="M123" s="1186">
        <v>4</v>
      </c>
      <c r="N123" s="1186">
        <v>10</v>
      </c>
      <c r="O123" s="1186">
        <v>25</v>
      </c>
      <c r="P123" s="1186">
        <v>21</v>
      </c>
      <c r="Q123" s="1186">
        <v>64</v>
      </c>
      <c r="R123" s="1186">
        <v>5</v>
      </c>
      <c r="S123" s="1186">
        <v>68</v>
      </c>
      <c r="T123" s="1186">
        <v>1</v>
      </c>
      <c r="U123" s="1186">
        <v>0</v>
      </c>
      <c r="V123" s="1186">
        <v>36</v>
      </c>
      <c r="W123" s="1186">
        <v>8</v>
      </c>
      <c r="X123" s="1186">
        <v>337890</v>
      </c>
    </row>
    <row r="124" spans="1:24" x14ac:dyDescent="0.2">
      <c r="A124" s="1186" t="s">
        <v>15</v>
      </c>
      <c r="B124" s="1186" t="s">
        <v>43</v>
      </c>
      <c r="C124" s="1186">
        <v>0</v>
      </c>
      <c r="D124" s="1186">
        <v>10</v>
      </c>
      <c r="E124" s="1186">
        <v>1</v>
      </c>
      <c r="F124" s="1186">
        <v>9</v>
      </c>
      <c r="G124" s="1186">
        <v>0</v>
      </c>
      <c r="H124" s="1186">
        <v>0</v>
      </c>
      <c r="I124" s="1186">
        <v>0</v>
      </c>
      <c r="J124" s="1186">
        <v>0</v>
      </c>
      <c r="K124" s="1186">
        <v>0</v>
      </c>
      <c r="L124" s="1186">
        <v>0</v>
      </c>
      <c r="M124" s="1186">
        <v>0</v>
      </c>
      <c r="N124" s="1186">
        <v>1</v>
      </c>
      <c r="O124" s="1186">
        <v>0</v>
      </c>
      <c r="P124" s="1186">
        <v>1</v>
      </c>
      <c r="Q124" s="1186">
        <v>0</v>
      </c>
      <c r="R124" s="1186">
        <v>0</v>
      </c>
      <c r="S124" s="1186">
        <v>0</v>
      </c>
      <c r="T124" s="1186">
        <v>0</v>
      </c>
      <c r="U124" s="1186">
        <v>0</v>
      </c>
      <c r="V124" s="1186">
        <v>3</v>
      </c>
      <c r="W124" s="1186">
        <v>1</v>
      </c>
      <c r="X124" s="1186">
        <v>21530</v>
      </c>
    </row>
    <row r="125" spans="1:24" x14ac:dyDescent="0.2">
      <c r="A125" s="1186" t="s">
        <v>15</v>
      </c>
      <c r="B125" s="1186" t="s">
        <v>44</v>
      </c>
      <c r="C125" s="1186">
        <v>0</v>
      </c>
      <c r="D125" s="1186">
        <v>106</v>
      </c>
      <c r="E125" s="1186">
        <v>2</v>
      </c>
      <c r="F125" s="1186">
        <v>57</v>
      </c>
      <c r="G125" s="1186">
        <v>15</v>
      </c>
      <c r="H125" s="1186">
        <v>9</v>
      </c>
      <c r="I125" s="1186">
        <v>1</v>
      </c>
      <c r="J125" s="1186">
        <v>9</v>
      </c>
      <c r="K125" s="1186">
        <v>7</v>
      </c>
      <c r="L125" s="1186">
        <v>3</v>
      </c>
      <c r="M125" s="1186">
        <v>3</v>
      </c>
      <c r="N125" s="1186">
        <v>16</v>
      </c>
      <c r="O125" s="1186">
        <v>7</v>
      </c>
      <c r="P125" s="1186">
        <v>19</v>
      </c>
      <c r="Q125" s="1186">
        <v>17</v>
      </c>
      <c r="R125" s="1186">
        <v>19</v>
      </c>
      <c r="S125" s="1186">
        <v>12</v>
      </c>
      <c r="T125" s="1186">
        <v>0</v>
      </c>
      <c r="U125" s="1186">
        <v>2</v>
      </c>
      <c r="V125" s="1186">
        <v>14</v>
      </c>
      <c r="W125" s="1186">
        <v>3</v>
      </c>
      <c r="X125" s="1186">
        <v>147740</v>
      </c>
    </row>
    <row r="126" spans="1:24" x14ac:dyDescent="0.2">
      <c r="A126" s="1186" t="s">
        <v>15</v>
      </c>
      <c r="B126" s="1186" t="s">
        <v>45</v>
      </c>
      <c r="C126" s="1186">
        <v>0</v>
      </c>
      <c r="D126" s="1186">
        <v>57</v>
      </c>
      <c r="E126" s="1186">
        <v>3</v>
      </c>
      <c r="F126" s="1186">
        <v>43</v>
      </c>
      <c r="G126" s="1186">
        <v>7</v>
      </c>
      <c r="H126" s="1186">
        <v>12</v>
      </c>
      <c r="I126" s="1186">
        <v>8</v>
      </c>
      <c r="J126" s="1186">
        <v>11</v>
      </c>
      <c r="K126" s="1186">
        <v>9</v>
      </c>
      <c r="L126" s="1186">
        <v>6</v>
      </c>
      <c r="M126" s="1186">
        <v>2</v>
      </c>
      <c r="N126" s="1186">
        <v>9</v>
      </c>
      <c r="O126" s="1186">
        <v>6</v>
      </c>
      <c r="P126" s="1186">
        <v>13</v>
      </c>
      <c r="Q126" s="1186">
        <v>40</v>
      </c>
      <c r="R126" s="1186">
        <v>6</v>
      </c>
      <c r="S126" s="1186">
        <v>41</v>
      </c>
      <c r="T126" s="1186">
        <v>0</v>
      </c>
      <c r="U126" s="1186">
        <v>13</v>
      </c>
      <c r="V126" s="1186">
        <v>27</v>
      </c>
      <c r="W126" s="1186">
        <v>7</v>
      </c>
      <c r="X126" s="1186">
        <v>174300</v>
      </c>
    </row>
    <row r="127" spans="1:24" x14ac:dyDescent="0.2">
      <c r="A127" s="1186" t="s">
        <v>15</v>
      </c>
      <c r="B127" s="1186" t="s">
        <v>46</v>
      </c>
      <c r="C127" s="1186">
        <v>0</v>
      </c>
      <c r="D127" s="1186">
        <v>86</v>
      </c>
      <c r="E127" s="1186">
        <v>3</v>
      </c>
      <c r="F127" s="1186">
        <v>33</v>
      </c>
      <c r="G127" s="1186">
        <v>5</v>
      </c>
      <c r="H127" s="1186">
        <v>11</v>
      </c>
      <c r="I127" s="1186">
        <v>2</v>
      </c>
      <c r="J127" s="1186">
        <v>12</v>
      </c>
      <c r="K127" s="1186">
        <v>4</v>
      </c>
      <c r="L127" s="1186">
        <v>1</v>
      </c>
      <c r="M127" s="1186">
        <v>6</v>
      </c>
      <c r="N127" s="1186">
        <v>5</v>
      </c>
      <c r="O127" s="1186">
        <v>5</v>
      </c>
      <c r="P127" s="1186">
        <v>15</v>
      </c>
      <c r="Q127" s="1186">
        <v>5</v>
      </c>
      <c r="R127" s="1186">
        <v>1</v>
      </c>
      <c r="S127" s="1186">
        <v>6</v>
      </c>
      <c r="T127" s="1186">
        <v>0</v>
      </c>
      <c r="U127" s="1186">
        <v>0</v>
      </c>
      <c r="V127" s="1186">
        <v>4</v>
      </c>
      <c r="W127" s="1186">
        <v>1</v>
      </c>
      <c r="X127" s="1186">
        <v>113720</v>
      </c>
    </row>
    <row r="128" spans="1:24" x14ac:dyDescent="0.2">
      <c r="A128" s="1186" t="s">
        <v>15</v>
      </c>
      <c r="B128" s="1186" t="s">
        <v>47</v>
      </c>
      <c r="C128" s="1186">
        <v>0</v>
      </c>
      <c r="D128" s="1186">
        <v>10</v>
      </c>
      <c r="E128" s="1186">
        <v>0</v>
      </c>
      <c r="F128" s="1186">
        <v>8</v>
      </c>
      <c r="G128" s="1186">
        <v>0</v>
      </c>
      <c r="H128" s="1186">
        <v>2</v>
      </c>
      <c r="I128" s="1186">
        <v>1</v>
      </c>
      <c r="J128" s="1186">
        <v>0</v>
      </c>
      <c r="K128" s="1186">
        <v>2</v>
      </c>
      <c r="L128" s="1186">
        <v>1</v>
      </c>
      <c r="M128" s="1186">
        <v>0</v>
      </c>
      <c r="N128" s="1186">
        <v>1</v>
      </c>
      <c r="O128" s="1186">
        <v>0</v>
      </c>
      <c r="P128" s="1186">
        <v>0</v>
      </c>
      <c r="Q128" s="1186">
        <v>2</v>
      </c>
      <c r="R128" s="1186">
        <v>3</v>
      </c>
      <c r="S128" s="1186">
        <v>0</v>
      </c>
      <c r="T128" s="1186">
        <v>0</v>
      </c>
      <c r="U128" s="1186">
        <v>0</v>
      </c>
      <c r="V128" s="1186">
        <v>3</v>
      </c>
      <c r="W128" s="1186">
        <v>0</v>
      </c>
      <c r="X128" s="1186">
        <v>23210</v>
      </c>
    </row>
    <row r="129" spans="1:24" x14ac:dyDescent="0.2">
      <c r="A129" s="1186" t="s">
        <v>15</v>
      </c>
      <c r="B129" s="1186" t="s">
        <v>48</v>
      </c>
      <c r="C129" s="1186">
        <v>0</v>
      </c>
      <c r="D129" s="1186">
        <v>40</v>
      </c>
      <c r="E129" s="1186">
        <v>3</v>
      </c>
      <c r="F129" s="1186">
        <v>39</v>
      </c>
      <c r="G129" s="1186">
        <v>3</v>
      </c>
      <c r="H129" s="1186">
        <v>8</v>
      </c>
      <c r="I129" s="1186">
        <v>0</v>
      </c>
      <c r="J129" s="1186">
        <v>12</v>
      </c>
      <c r="K129" s="1186">
        <v>4</v>
      </c>
      <c r="L129" s="1186">
        <v>1</v>
      </c>
      <c r="M129" s="1186">
        <v>0</v>
      </c>
      <c r="N129" s="1186">
        <v>6</v>
      </c>
      <c r="O129" s="1186">
        <v>1</v>
      </c>
      <c r="P129" s="1186">
        <v>1</v>
      </c>
      <c r="Q129" s="1186">
        <v>18</v>
      </c>
      <c r="R129" s="1186">
        <v>4</v>
      </c>
      <c r="S129" s="1186">
        <v>18</v>
      </c>
      <c r="T129" s="1186">
        <v>1</v>
      </c>
      <c r="U129" s="1186">
        <v>5</v>
      </c>
      <c r="V129" s="1186">
        <v>11</v>
      </c>
      <c r="W129" s="1186">
        <v>1</v>
      </c>
      <c r="X129" s="1186">
        <v>112920</v>
      </c>
    </row>
    <row r="130" spans="1:24" x14ac:dyDescent="0.2">
      <c r="A130" s="1186" t="s">
        <v>15</v>
      </c>
      <c r="B130" s="1186" t="s">
        <v>49</v>
      </c>
      <c r="C130" s="1186">
        <v>0</v>
      </c>
      <c r="D130" s="1186">
        <v>139</v>
      </c>
      <c r="E130" s="1186">
        <v>8</v>
      </c>
      <c r="F130" s="1186">
        <v>54</v>
      </c>
      <c r="G130" s="1186">
        <v>2</v>
      </c>
      <c r="H130" s="1186">
        <v>21</v>
      </c>
      <c r="I130" s="1186">
        <v>4</v>
      </c>
      <c r="J130" s="1186">
        <v>21</v>
      </c>
      <c r="K130" s="1186">
        <v>12</v>
      </c>
      <c r="L130" s="1186">
        <v>3</v>
      </c>
      <c r="M130" s="1186">
        <v>5</v>
      </c>
      <c r="N130" s="1186">
        <v>16</v>
      </c>
      <c r="O130" s="1186">
        <v>13</v>
      </c>
      <c r="P130" s="1186">
        <v>20</v>
      </c>
      <c r="Q130" s="1186">
        <v>63</v>
      </c>
      <c r="R130" s="1186">
        <v>12</v>
      </c>
      <c r="S130" s="1186">
        <v>57</v>
      </c>
      <c r="T130" s="1186">
        <v>0</v>
      </c>
      <c r="U130" s="1186">
        <v>1</v>
      </c>
      <c r="V130" s="1186">
        <v>17</v>
      </c>
      <c r="W130" s="1186">
        <v>7</v>
      </c>
      <c r="X130" s="1186">
        <v>314330</v>
      </c>
    </row>
    <row r="131" spans="1:24" x14ac:dyDescent="0.2">
      <c r="A131" s="1186" t="s">
        <v>15</v>
      </c>
      <c r="B131" s="1186" t="s">
        <v>50</v>
      </c>
      <c r="C131" s="1186">
        <v>0</v>
      </c>
      <c r="D131" s="1186">
        <v>60</v>
      </c>
      <c r="E131" s="1186">
        <v>0</v>
      </c>
      <c r="F131" s="1186">
        <v>65</v>
      </c>
      <c r="G131" s="1186">
        <v>5</v>
      </c>
      <c r="H131" s="1186">
        <v>13</v>
      </c>
      <c r="I131" s="1186">
        <v>0</v>
      </c>
      <c r="J131" s="1186">
        <v>9</v>
      </c>
      <c r="K131" s="1186">
        <v>8</v>
      </c>
      <c r="L131" s="1186">
        <v>1</v>
      </c>
      <c r="M131" s="1186">
        <v>7</v>
      </c>
      <c r="N131" s="1186">
        <v>4</v>
      </c>
      <c r="O131" s="1186">
        <v>0</v>
      </c>
      <c r="P131" s="1186">
        <v>14</v>
      </c>
      <c r="Q131" s="1186">
        <v>16</v>
      </c>
      <c r="R131" s="1186">
        <v>2</v>
      </c>
      <c r="S131" s="1186">
        <v>3</v>
      </c>
      <c r="T131" s="1186">
        <v>0</v>
      </c>
      <c r="U131" s="1186">
        <v>0</v>
      </c>
      <c r="V131" s="1186">
        <v>13</v>
      </c>
      <c r="W131" s="1186">
        <v>2</v>
      </c>
      <c r="X131" s="1186">
        <v>91010</v>
      </c>
    </row>
    <row r="132" spans="1:24" x14ac:dyDescent="0.2">
      <c r="A132" s="1186" t="s">
        <v>15</v>
      </c>
      <c r="B132" s="1186" t="s">
        <v>51</v>
      </c>
      <c r="C132" s="1186">
        <v>0</v>
      </c>
      <c r="D132" s="1186">
        <v>28</v>
      </c>
      <c r="E132" s="1186">
        <v>1</v>
      </c>
      <c r="F132" s="1186">
        <v>20</v>
      </c>
      <c r="G132" s="1186">
        <v>6</v>
      </c>
      <c r="H132" s="1186">
        <v>9</v>
      </c>
      <c r="I132" s="1186">
        <v>3</v>
      </c>
      <c r="J132" s="1186">
        <v>16</v>
      </c>
      <c r="K132" s="1186">
        <v>6</v>
      </c>
      <c r="L132" s="1186">
        <v>1</v>
      </c>
      <c r="M132" s="1186">
        <v>4</v>
      </c>
      <c r="N132" s="1186">
        <v>5</v>
      </c>
      <c r="O132" s="1186">
        <v>5</v>
      </c>
      <c r="P132" s="1186">
        <v>8</v>
      </c>
      <c r="Q132" s="1186">
        <v>21</v>
      </c>
      <c r="R132" s="1186">
        <v>5</v>
      </c>
      <c r="S132" s="1186">
        <v>26</v>
      </c>
      <c r="T132" s="1186">
        <v>0</v>
      </c>
      <c r="U132" s="1186">
        <v>2</v>
      </c>
      <c r="V132" s="1186">
        <v>15</v>
      </c>
      <c r="W132" s="1186">
        <v>4</v>
      </c>
      <c r="X132" s="1186">
        <v>90340</v>
      </c>
    </row>
    <row r="133" spans="1:24" x14ac:dyDescent="0.2">
      <c r="A133" s="1186" t="s">
        <v>15</v>
      </c>
      <c r="B133" s="1186" t="s">
        <v>52</v>
      </c>
      <c r="C133" s="1186">
        <v>0</v>
      </c>
      <c r="D133" s="1186">
        <v>82</v>
      </c>
      <c r="E133" s="1186">
        <v>2</v>
      </c>
      <c r="F133" s="1186">
        <v>5</v>
      </c>
      <c r="G133" s="1186">
        <v>0</v>
      </c>
      <c r="H133" s="1186">
        <v>18</v>
      </c>
      <c r="I133" s="1186">
        <v>1</v>
      </c>
      <c r="J133" s="1186">
        <v>1</v>
      </c>
      <c r="K133" s="1186">
        <v>5</v>
      </c>
      <c r="L133" s="1186">
        <v>4</v>
      </c>
      <c r="M133" s="1186">
        <v>11</v>
      </c>
      <c r="N133" s="1186">
        <v>7</v>
      </c>
      <c r="O133" s="1186">
        <v>11</v>
      </c>
      <c r="P133" s="1186">
        <v>6</v>
      </c>
      <c r="Q133" s="1186">
        <v>19</v>
      </c>
      <c r="R133" s="1186">
        <v>8</v>
      </c>
      <c r="S133" s="1186">
        <v>12</v>
      </c>
      <c r="T133" s="1186">
        <v>0</v>
      </c>
      <c r="U133" s="1186">
        <v>1</v>
      </c>
      <c r="V133" s="1186">
        <v>5</v>
      </c>
      <c r="W133" s="1186">
        <v>3</v>
      </c>
      <c r="X133" s="1186">
        <v>176010</v>
      </c>
    </row>
    <row r="134" spans="1:24" x14ac:dyDescent="0.2">
      <c r="A134" s="1186" t="s">
        <v>17</v>
      </c>
      <c r="B134" s="1186" t="s">
        <v>23</v>
      </c>
      <c r="C134" s="1186">
        <v>0</v>
      </c>
      <c r="D134" s="1186">
        <v>65</v>
      </c>
      <c r="E134" s="1186">
        <v>5</v>
      </c>
      <c r="F134" s="1186">
        <v>22</v>
      </c>
      <c r="G134" s="1186">
        <v>0</v>
      </c>
      <c r="H134" s="1186">
        <v>17</v>
      </c>
      <c r="I134" s="1186">
        <v>1</v>
      </c>
      <c r="J134" s="1186">
        <v>160</v>
      </c>
      <c r="K134" s="1186">
        <v>10</v>
      </c>
      <c r="L134" s="1186">
        <v>2</v>
      </c>
      <c r="M134" s="1186">
        <v>14</v>
      </c>
      <c r="N134" s="1186">
        <v>13</v>
      </c>
      <c r="O134" s="1186">
        <v>3</v>
      </c>
      <c r="P134" s="1186">
        <v>12</v>
      </c>
      <c r="Q134" s="1186">
        <v>79</v>
      </c>
      <c r="R134" s="1186">
        <v>21</v>
      </c>
      <c r="S134" s="1186">
        <v>64</v>
      </c>
      <c r="T134" s="1186">
        <v>0</v>
      </c>
      <c r="U134" s="1186">
        <v>19</v>
      </c>
      <c r="V134" s="1186">
        <v>24</v>
      </c>
      <c r="W134" s="1186">
        <v>60</v>
      </c>
      <c r="X134" s="1186">
        <v>227070</v>
      </c>
    </row>
    <row r="135" spans="1:24" x14ac:dyDescent="0.2">
      <c r="A135" s="1186" t="s">
        <v>17</v>
      </c>
      <c r="B135" s="1186" t="s">
        <v>24</v>
      </c>
      <c r="C135" s="1186">
        <v>0</v>
      </c>
      <c r="D135" s="1186">
        <v>173</v>
      </c>
      <c r="E135" s="1186">
        <v>3</v>
      </c>
      <c r="F135" s="1186">
        <v>11</v>
      </c>
      <c r="G135" s="1186">
        <v>3</v>
      </c>
      <c r="H135" s="1186">
        <v>25</v>
      </c>
      <c r="I135" s="1186">
        <v>2</v>
      </c>
      <c r="J135" s="1186">
        <v>7</v>
      </c>
      <c r="K135" s="1186">
        <v>62</v>
      </c>
      <c r="L135" s="1186">
        <v>2</v>
      </c>
      <c r="M135" s="1186">
        <v>7</v>
      </c>
      <c r="N135" s="1186">
        <v>8</v>
      </c>
      <c r="O135" s="1186">
        <v>8</v>
      </c>
      <c r="P135" s="1186">
        <v>12</v>
      </c>
      <c r="Q135" s="1186">
        <v>40</v>
      </c>
      <c r="R135" s="1186">
        <v>11</v>
      </c>
      <c r="S135" s="1186">
        <v>26</v>
      </c>
      <c r="T135" s="1186">
        <v>2</v>
      </c>
      <c r="U135" s="1186">
        <v>1</v>
      </c>
      <c r="V135" s="1186">
        <v>24</v>
      </c>
      <c r="W135" s="1186">
        <v>5</v>
      </c>
      <c r="X135" s="1186">
        <v>257770</v>
      </c>
    </row>
    <row r="136" spans="1:24" x14ac:dyDescent="0.2">
      <c r="A136" s="1186" t="s">
        <v>17</v>
      </c>
      <c r="B136" s="1186" t="s">
        <v>25</v>
      </c>
      <c r="C136" s="1186">
        <v>0</v>
      </c>
      <c r="D136" s="1186">
        <v>47</v>
      </c>
      <c r="E136" s="1186">
        <v>3</v>
      </c>
      <c r="F136" s="1186">
        <v>14</v>
      </c>
      <c r="G136" s="1186">
        <v>2</v>
      </c>
      <c r="H136" s="1186">
        <v>9</v>
      </c>
      <c r="I136" s="1186">
        <v>2</v>
      </c>
      <c r="J136" s="1186">
        <v>4</v>
      </c>
      <c r="K136" s="1186">
        <v>2</v>
      </c>
      <c r="L136" s="1186">
        <v>3</v>
      </c>
      <c r="M136" s="1186">
        <v>1</v>
      </c>
      <c r="N136" s="1186">
        <v>8</v>
      </c>
      <c r="O136" s="1186">
        <v>4</v>
      </c>
      <c r="P136" s="1186">
        <v>11</v>
      </c>
      <c r="Q136" s="1186">
        <v>12</v>
      </c>
      <c r="R136" s="1186">
        <v>15</v>
      </c>
      <c r="S136" s="1186">
        <v>2</v>
      </c>
      <c r="T136" s="1186">
        <v>0</v>
      </c>
      <c r="U136" s="1186">
        <v>1</v>
      </c>
      <c r="V136" s="1186">
        <v>10</v>
      </c>
      <c r="W136" s="1186">
        <v>4</v>
      </c>
      <c r="X136" s="1186">
        <v>116290</v>
      </c>
    </row>
    <row r="137" spans="1:24" x14ac:dyDescent="0.2">
      <c r="A137" s="1186" t="s">
        <v>17</v>
      </c>
      <c r="B137" s="1186" t="s">
        <v>26</v>
      </c>
      <c r="C137" s="1186">
        <v>0</v>
      </c>
      <c r="D137" s="1186">
        <v>79</v>
      </c>
      <c r="E137" s="1186">
        <v>2</v>
      </c>
      <c r="F137" s="1186">
        <v>34</v>
      </c>
      <c r="G137" s="1186">
        <v>2</v>
      </c>
      <c r="H137" s="1186">
        <v>9</v>
      </c>
      <c r="I137" s="1186">
        <v>0</v>
      </c>
      <c r="J137" s="1186">
        <v>6</v>
      </c>
      <c r="K137" s="1186">
        <v>7</v>
      </c>
      <c r="L137" s="1186">
        <v>1</v>
      </c>
      <c r="M137" s="1186">
        <v>2</v>
      </c>
      <c r="N137" s="1186">
        <v>7</v>
      </c>
      <c r="O137" s="1186">
        <v>1</v>
      </c>
      <c r="P137" s="1186">
        <v>6</v>
      </c>
      <c r="Q137" s="1186">
        <v>11</v>
      </c>
      <c r="R137" s="1186">
        <v>7</v>
      </c>
      <c r="S137" s="1186">
        <v>12</v>
      </c>
      <c r="T137" s="1186">
        <v>0</v>
      </c>
      <c r="U137" s="1186">
        <v>16</v>
      </c>
      <c r="V137" s="1186">
        <v>17</v>
      </c>
      <c r="W137" s="1186">
        <v>2</v>
      </c>
      <c r="X137" s="1186">
        <v>88050</v>
      </c>
    </row>
    <row r="138" spans="1:24" x14ac:dyDescent="0.2">
      <c r="A138" s="1186" t="s">
        <v>17</v>
      </c>
      <c r="B138" s="1186" t="s">
        <v>619</v>
      </c>
      <c r="C138" s="1186">
        <v>0</v>
      </c>
      <c r="D138" s="1186">
        <v>104</v>
      </c>
      <c r="E138" s="1186">
        <v>12</v>
      </c>
      <c r="F138" s="1186">
        <v>81</v>
      </c>
      <c r="G138" s="1186">
        <v>7</v>
      </c>
      <c r="H138" s="1186">
        <v>43</v>
      </c>
      <c r="I138" s="1186">
        <v>4</v>
      </c>
      <c r="J138" s="1186">
        <v>92</v>
      </c>
      <c r="K138" s="1186">
        <v>35</v>
      </c>
      <c r="L138" s="1186">
        <v>9</v>
      </c>
      <c r="M138" s="1186">
        <v>34</v>
      </c>
      <c r="N138" s="1186">
        <v>34</v>
      </c>
      <c r="O138" s="1186">
        <v>24</v>
      </c>
      <c r="P138" s="1186">
        <v>22</v>
      </c>
      <c r="Q138" s="1186">
        <v>122</v>
      </c>
      <c r="R138" s="1186">
        <v>36</v>
      </c>
      <c r="S138" s="1186">
        <v>55</v>
      </c>
      <c r="T138" s="1186">
        <v>7</v>
      </c>
      <c r="U138" s="1186">
        <v>2</v>
      </c>
      <c r="V138" s="1186">
        <v>33</v>
      </c>
      <c r="W138" s="1186">
        <v>13</v>
      </c>
      <c r="X138" s="1186">
        <v>487460</v>
      </c>
    </row>
    <row r="139" spans="1:24" x14ac:dyDescent="0.2">
      <c r="A139" s="1186" t="s">
        <v>17</v>
      </c>
      <c r="B139" s="1186" t="s">
        <v>27</v>
      </c>
      <c r="C139" s="1186">
        <v>0</v>
      </c>
      <c r="D139" s="1186">
        <v>7</v>
      </c>
      <c r="E139" s="1186">
        <v>1</v>
      </c>
      <c r="F139" s="1186">
        <v>7</v>
      </c>
      <c r="G139" s="1186">
        <v>0</v>
      </c>
      <c r="H139" s="1186">
        <v>3</v>
      </c>
      <c r="I139" s="1186">
        <v>1</v>
      </c>
      <c r="J139" s="1186">
        <v>1</v>
      </c>
      <c r="K139" s="1186">
        <v>4</v>
      </c>
      <c r="L139" s="1186">
        <v>2</v>
      </c>
      <c r="M139" s="1186">
        <v>2</v>
      </c>
      <c r="N139" s="1186">
        <v>1</v>
      </c>
      <c r="O139" s="1186">
        <v>3</v>
      </c>
      <c r="P139" s="1186">
        <v>4</v>
      </c>
      <c r="Q139" s="1186">
        <v>14</v>
      </c>
      <c r="R139" s="1186">
        <v>3</v>
      </c>
      <c r="S139" s="1186">
        <v>0</v>
      </c>
      <c r="T139" s="1186">
        <v>0</v>
      </c>
      <c r="U139" s="1186">
        <v>0</v>
      </c>
      <c r="V139" s="1186">
        <v>28</v>
      </c>
      <c r="W139" s="1186">
        <v>1</v>
      </c>
      <c r="X139" s="1186">
        <v>51280</v>
      </c>
    </row>
    <row r="140" spans="1:24" x14ac:dyDescent="0.2">
      <c r="A140" s="1186" t="s">
        <v>17</v>
      </c>
      <c r="B140" s="1186" t="s">
        <v>28</v>
      </c>
      <c r="C140" s="1186">
        <v>0</v>
      </c>
      <c r="D140" s="1186">
        <v>89</v>
      </c>
      <c r="E140" s="1186">
        <v>0</v>
      </c>
      <c r="F140" s="1186">
        <v>43</v>
      </c>
      <c r="G140" s="1186">
        <v>19</v>
      </c>
      <c r="H140" s="1186">
        <v>11</v>
      </c>
      <c r="I140" s="1186">
        <v>1</v>
      </c>
      <c r="J140" s="1186">
        <v>2</v>
      </c>
      <c r="K140" s="1186">
        <v>0</v>
      </c>
      <c r="L140" s="1186">
        <v>3</v>
      </c>
      <c r="M140" s="1186">
        <v>6</v>
      </c>
      <c r="N140" s="1186">
        <v>8</v>
      </c>
      <c r="O140" s="1186">
        <v>1</v>
      </c>
      <c r="P140" s="1186">
        <v>14</v>
      </c>
      <c r="Q140" s="1186">
        <v>5</v>
      </c>
      <c r="R140" s="1186">
        <v>19</v>
      </c>
      <c r="S140" s="1186">
        <v>4</v>
      </c>
      <c r="T140" s="1186">
        <v>0</v>
      </c>
      <c r="U140" s="1186">
        <v>0</v>
      </c>
      <c r="V140" s="1186">
        <v>16</v>
      </c>
      <c r="W140" s="1186">
        <v>1</v>
      </c>
      <c r="X140" s="1186">
        <v>150280</v>
      </c>
    </row>
    <row r="141" spans="1:24" x14ac:dyDescent="0.2">
      <c r="A141" s="1186" t="s">
        <v>17</v>
      </c>
      <c r="B141" s="1186" t="s">
        <v>29</v>
      </c>
      <c r="C141" s="1186">
        <v>0</v>
      </c>
      <c r="D141" s="1186">
        <v>29</v>
      </c>
      <c r="E141" s="1186">
        <v>1</v>
      </c>
      <c r="F141" s="1186">
        <v>34</v>
      </c>
      <c r="G141" s="1186">
        <v>3</v>
      </c>
      <c r="H141" s="1186">
        <v>15</v>
      </c>
      <c r="I141" s="1186">
        <v>1</v>
      </c>
      <c r="J141" s="1186">
        <v>39</v>
      </c>
      <c r="K141" s="1186">
        <v>7</v>
      </c>
      <c r="L141" s="1186">
        <v>2</v>
      </c>
      <c r="M141" s="1186">
        <v>3</v>
      </c>
      <c r="N141" s="1186">
        <v>24</v>
      </c>
      <c r="O141" s="1186">
        <v>14</v>
      </c>
      <c r="P141" s="1186">
        <v>12</v>
      </c>
      <c r="Q141" s="1186">
        <v>46</v>
      </c>
      <c r="R141" s="1186">
        <v>58</v>
      </c>
      <c r="S141" s="1186">
        <v>8</v>
      </c>
      <c r="T141" s="1186">
        <v>0</v>
      </c>
      <c r="U141" s="1186">
        <v>3</v>
      </c>
      <c r="V141" s="1186">
        <v>9</v>
      </c>
      <c r="W141" s="1186">
        <v>7</v>
      </c>
      <c r="X141" s="1186">
        <v>148100</v>
      </c>
    </row>
    <row r="142" spans="1:24" x14ac:dyDescent="0.2">
      <c r="A142" s="1186" t="s">
        <v>17</v>
      </c>
      <c r="B142" s="1186" t="s">
        <v>30</v>
      </c>
      <c r="C142" s="1186">
        <v>0</v>
      </c>
      <c r="D142" s="1186">
        <v>56</v>
      </c>
      <c r="E142" s="1186">
        <v>0</v>
      </c>
      <c r="F142" s="1186">
        <v>18</v>
      </c>
      <c r="G142" s="1186">
        <v>8</v>
      </c>
      <c r="H142" s="1186">
        <v>7</v>
      </c>
      <c r="I142" s="1186">
        <v>2</v>
      </c>
      <c r="J142" s="1186">
        <v>4</v>
      </c>
      <c r="K142" s="1186">
        <v>2</v>
      </c>
      <c r="L142" s="1186">
        <v>3</v>
      </c>
      <c r="M142" s="1186">
        <v>1</v>
      </c>
      <c r="N142" s="1186">
        <v>4</v>
      </c>
      <c r="O142" s="1186">
        <v>4</v>
      </c>
      <c r="P142" s="1186">
        <v>9</v>
      </c>
      <c r="Q142" s="1186">
        <v>17</v>
      </c>
      <c r="R142" s="1186">
        <v>12</v>
      </c>
      <c r="S142" s="1186">
        <v>26</v>
      </c>
      <c r="T142" s="1186">
        <v>0</v>
      </c>
      <c r="U142" s="1186">
        <v>1</v>
      </c>
      <c r="V142" s="1186">
        <v>3</v>
      </c>
      <c r="W142" s="1186">
        <v>4</v>
      </c>
      <c r="X142" s="1186">
        <v>122430</v>
      </c>
    </row>
    <row r="143" spans="1:24" x14ac:dyDescent="0.2">
      <c r="A143" s="1186" t="s">
        <v>17</v>
      </c>
      <c r="B143" s="1186" t="s">
        <v>31</v>
      </c>
      <c r="C143" s="1186">
        <v>0</v>
      </c>
      <c r="D143" s="1186">
        <v>31</v>
      </c>
      <c r="E143" s="1186">
        <v>3</v>
      </c>
      <c r="F143" s="1186">
        <v>9</v>
      </c>
      <c r="G143" s="1186">
        <v>3</v>
      </c>
      <c r="H143" s="1186">
        <v>3</v>
      </c>
      <c r="I143" s="1186">
        <v>1</v>
      </c>
      <c r="J143" s="1186">
        <v>1</v>
      </c>
      <c r="K143" s="1186">
        <v>3</v>
      </c>
      <c r="L143" s="1186">
        <v>2</v>
      </c>
      <c r="M143" s="1186">
        <v>0</v>
      </c>
      <c r="N143" s="1186">
        <v>4</v>
      </c>
      <c r="O143" s="1186">
        <v>5</v>
      </c>
      <c r="P143" s="1186">
        <v>7</v>
      </c>
      <c r="Q143" s="1186">
        <v>18</v>
      </c>
      <c r="R143" s="1186">
        <v>2</v>
      </c>
      <c r="S143" s="1186">
        <v>10</v>
      </c>
      <c r="T143" s="1186">
        <v>0</v>
      </c>
      <c r="U143" s="1186">
        <v>0</v>
      </c>
      <c r="V143" s="1186">
        <v>8</v>
      </c>
      <c r="W143" s="1186">
        <v>1</v>
      </c>
      <c r="X143" s="1186">
        <v>105840</v>
      </c>
    </row>
    <row r="144" spans="1:24" x14ac:dyDescent="0.2">
      <c r="A144" s="1186" t="s">
        <v>17</v>
      </c>
      <c r="B144" s="1186" t="s">
        <v>32</v>
      </c>
      <c r="C144" s="1186">
        <v>0</v>
      </c>
      <c r="D144" s="1186">
        <v>48</v>
      </c>
      <c r="E144" s="1186">
        <v>1</v>
      </c>
      <c r="F144" s="1186">
        <v>3</v>
      </c>
      <c r="G144" s="1186">
        <v>1</v>
      </c>
      <c r="H144" s="1186">
        <v>14</v>
      </c>
      <c r="I144" s="1186">
        <v>0</v>
      </c>
      <c r="J144" s="1186">
        <v>4</v>
      </c>
      <c r="K144" s="1186">
        <v>4</v>
      </c>
      <c r="L144" s="1186">
        <v>1</v>
      </c>
      <c r="M144" s="1186">
        <v>4</v>
      </c>
      <c r="N144" s="1186">
        <v>1</v>
      </c>
      <c r="O144" s="1186">
        <v>4</v>
      </c>
      <c r="P144" s="1186">
        <v>10</v>
      </c>
      <c r="Q144" s="1186">
        <v>18</v>
      </c>
      <c r="R144" s="1186">
        <v>4</v>
      </c>
      <c r="S144" s="1186">
        <v>3</v>
      </c>
      <c r="T144" s="1186">
        <v>0</v>
      </c>
      <c r="U144" s="1186">
        <v>1</v>
      </c>
      <c r="V144" s="1186">
        <v>5</v>
      </c>
      <c r="W144" s="1186">
        <v>1</v>
      </c>
      <c r="X144" s="1186">
        <v>101390</v>
      </c>
    </row>
    <row r="145" spans="1:24" x14ac:dyDescent="0.2">
      <c r="A145" s="1186" t="s">
        <v>17</v>
      </c>
      <c r="B145" s="1186" t="s">
        <v>33</v>
      </c>
      <c r="C145" s="1186">
        <v>0</v>
      </c>
      <c r="D145" s="1186">
        <v>22</v>
      </c>
      <c r="E145" s="1186">
        <v>0</v>
      </c>
      <c r="F145" s="1186">
        <v>15</v>
      </c>
      <c r="G145" s="1186">
        <v>1</v>
      </c>
      <c r="H145" s="1186">
        <v>4</v>
      </c>
      <c r="I145" s="1186">
        <v>1</v>
      </c>
      <c r="J145" s="1186">
        <v>1</v>
      </c>
      <c r="K145" s="1186">
        <v>2</v>
      </c>
      <c r="L145" s="1186">
        <v>0</v>
      </c>
      <c r="M145" s="1186">
        <v>1</v>
      </c>
      <c r="N145" s="1186">
        <v>2</v>
      </c>
      <c r="O145" s="1186">
        <v>2</v>
      </c>
      <c r="P145" s="1186">
        <v>4</v>
      </c>
      <c r="Q145" s="1186">
        <v>18</v>
      </c>
      <c r="R145" s="1186">
        <v>2</v>
      </c>
      <c r="S145" s="1186">
        <v>6</v>
      </c>
      <c r="T145" s="1186">
        <v>0</v>
      </c>
      <c r="U145" s="1186">
        <v>0</v>
      </c>
      <c r="V145" s="1186">
        <v>5</v>
      </c>
      <c r="W145" s="1186">
        <v>2</v>
      </c>
      <c r="X145" s="1186">
        <v>91530</v>
      </c>
    </row>
    <row r="146" spans="1:24" x14ac:dyDescent="0.2">
      <c r="A146" s="1186" t="s">
        <v>17</v>
      </c>
      <c r="B146" s="1186" t="s">
        <v>34</v>
      </c>
      <c r="C146" s="1186">
        <v>0</v>
      </c>
      <c r="D146" s="1186">
        <v>49</v>
      </c>
      <c r="E146" s="1186">
        <v>1</v>
      </c>
      <c r="F146" s="1186">
        <v>28</v>
      </c>
      <c r="G146" s="1186">
        <v>2</v>
      </c>
      <c r="H146" s="1186">
        <v>14</v>
      </c>
      <c r="I146" s="1186">
        <v>5</v>
      </c>
      <c r="J146" s="1186">
        <v>10</v>
      </c>
      <c r="K146" s="1186">
        <v>6</v>
      </c>
      <c r="L146" s="1186">
        <v>7</v>
      </c>
      <c r="M146" s="1186">
        <v>4</v>
      </c>
      <c r="N146" s="1186">
        <v>7</v>
      </c>
      <c r="O146" s="1186">
        <v>13</v>
      </c>
      <c r="P146" s="1186">
        <v>13</v>
      </c>
      <c r="Q146" s="1186">
        <v>27</v>
      </c>
      <c r="R146" s="1186">
        <v>8</v>
      </c>
      <c r="S146" s="1186">
        <v>7</v>
      </c>
      <c r="T146" s="1186">
        <v>0</v>
      </c>
      <c r="U146" s="1186">
        <v>1</v>
      </c>
      <c r="V146" s="1186">
        <v>28</v>
      </c>
      <c r="W146" s="1186">
        <v>7</v>
      </c>
      <c r="X146" s="1186">
        <v>157160</v>
      </c>
    </row>
    <row r="147" spans="1:24" x14ac:dyDescent="0.2">
      <c r="A147" s="1186" t="s">
        <v>17</v>
      </c>
      <c r="B147" s="1186" t="s">
        <v>35</v>
      </c>
      <c r="C147" s="1186">
        <v>0</v>
      </c>
      <c r="D147" s="1186">
        <v>113</v>
      </c>
      <c r="E147" s="1186">
        <v>10</v>
      </c>
      <c r="F147" s="1186">
        <v>40</v>
      </c>
      <c r="G147" s="1186">
        <v>2</v>
      </c>
      <c r="H147" s="1186">
        <v>22</v>
      </c>
      <c r="I147" s="1186">
        <v>4</v>
      </c>
      <c r="J147" s="1186">
        <v>17</v>
      </c>
      <c r="K147" s="1186">
        <v>7</v>
      </c>
      <c r="L147" s="1186">
        <v>2</v>
      </c>
      <c r="M147" s="1186">
        <v>19</v>
      </c>
      <c r="N147" s="1186">
        <v>6</v>
      </c>
      <c r="O147" s="1186">
        <v>31</v>
      </c>
      <c r="P147" s="1186">
        <v>32</v>
      </c>
      <c r="Q147" s="1186">
        <v>48</v>
      </c>
      <c r="R147" s="1186">
        <v>18</v>
      </c>
      <c r="S147" s="1186">
        <v>15</v>
      </c>
      <c r="T147" s="1186">
        <v>0</v>
      </c>
      <c r="U147" s="1186">
        <v>4</v>
      </c>
      <c r="V147" s="1186">
        <v>40</v>
      </c>
      <c r="W147" s="1186">
        <v>15</v>
      </c>
      <c r="X147" s="1186">
        <v>366900</v>
      </c>
    </row>
    <row r="148" spans="1:24" x14ac:dyDescent="0.2">
      <c r="A148" s="1186" t="s">
        <v>17</v>
      </c>
      <c r="B148" s="1186" t="s">
        <v>36</v>
      </c>
      <c r="C148" s="1186">
        <v>0</v>
      </c>
      <c r="D148" s="1186">
        <v>154</v>
      </c>
      <c r="E148" s="1186">
        <v>3</v>
      </c>
      <c r="F148" s="1186">
        <v>263</v>
      </c>
      <c r="G148" s="1186">
        <v>27</v>
      </c>
      <c r="H148" s="1186">
        <v>68</v>
      </c>
      <c r="I148" s="1186">
        <v>10</v>
      </c>
      <c r="J148" s="1186">
        <v>126</v>
      </c>
      <c r="K148" s="1186">
        <v>18</v>
      </c>
      <c r="L148" s="1186">
        <v>29</v>
      </c>
      <c r="M148" s="1186">
        <v>14</v>
      </c>
      <c r="N148" s="1186">
        <v>26</v>
      </c>
      <c r="O148" s="1186">
        <v>46</v>
      </c>
      <c r="P148" s="1186">
        <v>43</v>
      </c>
      <c r="Q148" s="1186">
        <v>209</v>
      </c>
      <c r="R148" s="1186">
        <v>39</v>
      </c>
      <c r="S148" s="1186">
        <v>184</v>
      </c>
      <c r="T148" s="1186">
        <v>3</v>
      </c>
      <c r="U148" s="1186">
        <v>0</v>
      </c>
      <c r="V148" s="1186">
        <v>81</v>
      </c>
      <c r="W148" s="1186">
        <v>24</v>
      </c>
      <c r="X148" s="1186">
        <v>596520</v>
      </c>
    </row>
    <row r="149" spans="1:24" x14ac:dyDescent="0.2">
      <c r="A149" s="1186" t="s">
        <v>17</v>
      </c>
      <c r="B149" s="1186" t="s">
        <v>37</v>
      </c>
      <c r="C149" s="1186">
        <v>0</v>
      </c>
      <c r="D149" s="1186">
        <v>211</v>
      </c>
      <c r="E149" s="1186">
        <v>4</v>
      </c>
      <c r="F149" s="1186">
        <v>46</v>
      </c>
      <c r="G149" s="1186">
        <v>3</v>
      </c>
      <c r="H149" s="1186">
        <v>10</v>
      </c>
      <c r="I149" s="1186">
        <v>2</v>
      </c>
      <c r="J149" s="1186">
        <v>26</v>
      </c>
      <c r="K149" s="1186">
        <v>9</v>
      </c>
      <c r="L149" s="1186">
        <v>0</v>
      </c>
      <c r="M149" s="1186">
        <v>17</v>
      </c>
      <c r="N149" s="1186">
        <v>16</v>
      </c>
      <c r="O149" s="1186">
        <v>6</v>
      </c>
      <c r="P149" s="1186">
        <v>27</v>
      </c>
      <c r="Q149" s="1186">
        <v>28</v>
      </c>
      <c r="R149" s="1186">
        <v>16</v>
      </c>
      <c r="S149" s="1186">
        <v>16</v>
      </c>
      <c r="T149" s="1186">
        <v>2</v>
      </c>
      <c r="U149" s="1186">
        <v>5</v>
      </c>
      <c r="V149" s="1186">
        <v>44</v>
      </c>
      <c r="W149" s="1186">
        <v>13</v>
      </c>
      <c r="X149" s="1186">
        <v>232930</v>
      </c>
    </row>
    <row r="150" spans="1:24" x14ac:dyDescent="0.2">
      <c r="A150" s="1186" t="s">
        <v>17</v>
      </c>
      <c r="B150" s="1186" t="s">
        <v>38</v>
      </c>
      <c r="C150" s="1186">
        <v>0</v>
      </c>
      <c r="D150" s="1186">
        <v>30</v>
      </c>
      <c r="E150" s="1186">
        <v>1</v>
      </c>
      <c r="F150" s="1186">
        <v>45</v>
      </c>
      <c r="G150" s="1186">
        <v>1</v>
      </c>
      <c r="H150" s="1186">
        <v>8</v>
      </c>
      <c r="I150" s="1186">
        <v>2</v>
      </c>
      <c r="J150" s="1186">
        <v>19</v>
      </c>
      <c r="K150" s="1186">
        <v>3</v>
      </c>
      <c r="L150" s="1186">
        <v>1</v>
      </c>
      <c r="M150" s="1186">
        <v>2</v>
      </c>
      <c r="N150" s="1186">
        <v>7</v>
      </c>
      <c r="O150" s="1186">
        <v>0</v>
      </c>
      <c r="P150" s="1186">
        <v>4</v>
      </c>
      <c r="Q150" s="1186">
        <v>32</v>
      </c>
      <c r="R150" s="1186">
        <v>12</v>
      </c>
      <c r="S150" s="1186">
        <v>10</v>
      </c>
      <c r="T150" s="1186">
        <v>0</v>
      </c>
      <c r="U150" s="1186">
        <v>0</v>
      </c>
      <c r="V150" s="1186">
        <v>5</v>
      </c>
      <c r="W150" s="1186">
        <v>2</v>
      </c>
      <c r="X150" s="1186">
        <v>80340</v>
      </c>
    </row>
    <row r="151" spans="1:24" x14ac:dyDescent="0.2">
      <c r="A151" s="1186" t="s">
        <v>17</v>
      </c>
      <c r="B151" s="1186" t="s">
        <v>39</v>
      </c>
      <c r="C151" s="1186">
        <v>0</v>
      </c>
      <c r="D151" s="1186">
        <v>36</v>
      </c>
      <c r="E151" s="1186">
        <v>0</v>
      </c>
      <c r="F151" s="1186">
        <v>3</v>
      </c>
      <c r="G151" s="1186">
        <v>1</v>
      </c>
      <c r="H151" s="1186">
        <v>3</v>
      </c>
      <c r="I151" s="1186">
        <v>3</v>
      </c>
      <c r="J151" s="1186">
        <v>3</v>
      </c>
      <c r="K151" s="1186">
        <v>13</v>
      </c>
      <c r="L151" s="1186">
        <v>0</v>
      </c>
      <c r="M151" s="1186">
        <v>3</v>
      </c>
      <c r="N151" s="1186">
        <v>5</v>
      </c>
      <c r="O151" s="1186">
        <v>3</v>
      </c>
      <c r="P151" s="1186">
        <v>6</v>
      </c>
      <c r="Q151" s="1186">
        <v>8</v>
      </c>
      <c r="R151" s="1186">
        <v>1</v>
      </c>
      <c r="S151" s="1186">
        <v>6</v>
      </c>
      <c r="T151" s="1186">
        <v>0</v>
      </c>
      <c r="U151" s="1186">
        <v>0</v>
      </c>
      <c r="V151" s="1186">
        <v>10</v>
      </c>
      <c r="W151" s="1186">
        <v>1</v>
      </c>
      <c r="X151" s="1186">
        <v>84710</v>
      </c>
    </row>
    <row r="152" spans="1:24" x14ac:dyDescent="0.2">
      <c r="A152" s="1186" t="s">
        <v>17</v>
      </c>
      <c r="B152" s="1186" t="s">
        <v>40</v>
      </c>
      <c r="C152" s="1186">
        <v>0</v>
      </c>
      <c r="D152" s="1186">
        <v>36</v>
      </c>
      <c r="E152" s="1186">
        <v>0</v>
      </c>
      <c r="F152" s="1186">
        <v>3</v>
      </c>
      <c r="G152" s="1186">
        <v>5</v>
      </c>
      <c r="H152" s="1186">
        <v>7</v>
      </c>
      <c r="I152" s="1186">
        <v>0</v>
      </c>
      <c r="J152" s="1186">
        <v>6</v>
      </c>
      <c r="K152" s="1186">
        <v>1</v>
      </c>
      <c r="L152" s="1186">
        <v>1</v>
      </c>
      <c r="M152" s="1186">
        <v>2</v>
      </c>
      <c r="N152" s="1186">
        <v>2</v>
      </c>
      <c r="O152" s="1186">
        <v>2</v>
      </c>
      <c r="P152" s="1186">
        <v>6</v>
      </c>
      <c r="Q152" s="1186">
        <v>19</v>
      </c>
      <c r="R152" s="1186">
        <v>4</v>
      </c>
      <c r="S152" s="1186">
        <v>14</v>
      </c>
      <c r="T152" s="1186">
        <v>0</v>
      </c>
      <c r="U152" s="1186">
        <v>1</v>
      </c>
      <c r="V152" s="1186">
        <v>7</v>
      </c>
      <c r="W152" s="1186">
        <v>1</v>
      </c>
      <c r="X152" s="1186">
        <v>94360</v>
      </c>
    </row>
    <row r="153" spans="1:24" x14ac:dyDescent="0.2">
      <c r="A153" s="1186" t="s">
        <v>17</v>
      </c>
      <c r="B153" s="1186" t="s">
        <v>295</v>
      </c>
      <c r="C153" s="1186">
        <v>0</v>
      </c>
      <c r="D153" s="1186">
        <v>16</v>
      </c>
      <c r="E153" s="1186">
        <v>0</v>
      </c>
      <c r="F153" s="1186">
        <v>1</v>
      </c>
      <c r="G153" s="1186">
        <v>0</v>
      </c>
      <c r="H153" s="1186">
        <v>0</v>
      </c>
      <c r="I153" s="1186">
        <v>0</v>
      </c>
      <c r="J153" s="1186">
        <v>2</v>
      </c>
      <c r="K153" s="1186">
        <v>0</v>
      </c>
      <c r="L153" s="1186">
        <v>1</v>
      </c>
      <c r="M153" s="1186">
        <v>2</v>
      </c>
      <c r="N153" s="1186">
        <v>0</v>
      </c>
      <c r="O153" s="1186">
        <v>0</v>
      </c>
      <c r="P153" s="1186">
        <v>4</v>
      </c>
      <c r="Q153" s="1186">
        <v>2</v>
      </c>
      <c r="R153" s="1186">
        <v>2</v>
      </c>
      <c r="S153" s="1186">
        <v>0</v>
      </c>
      <c r="T153" s="1186">
        <v>0</v>
      </c>
      <c r="U153" s="1186">
        <v>0</v>
      </c>
      <c r="V153" s="1186">
        <v>3</v>
      </c>
      <c r="W153" s="1186">
        <v>0</v>
      </c>
      <c r="X153" s="1186">
        <v>27400</v>
      </c>
    </row>
    <row r="154" spans="1:24" x14ac:dyDescent="0.2">
      <c r="A154" s="1186" t="s">
        <v>17</v>
      </c>
      <c r="B154" s="1186" t="s">
        <v>41</v>
      </c>
      <c r="C154" s="1186">
        <v>0</v>
      </c>
      <c r="D154" s="1186">
        <v>48</v>
      </c>
      <c r="E154" s="1186">
        <v>1</v>
      </c>
      <c r="F154" s="1186">
        <v>23</v>
      </c>
      <c r="G154" s="1186">
        <v>9</v>
      </c>
      <c r="H154" s="1186">
        <v>14</v>
      </c>
      <c r="I154" s="1186">
        <v>4</v>
      </c>
      <c r="J154" s="1186">
        <v>6</v>
      </c>
      <c r="K154" s="1186">
        <v>3</v>
      </c>
      <c r="L154" s="1186">
        <v>2</v>
      </c>
      <c r="M154" s="1186">
        <v>2</v>
      </c>
      <c r="N154" s="1186">
        <v>2</v>
      </c>
      <c r="O154" s="1186">
        <v>1</v>
      </c>
      <c r="P154" s="1186">
        <v>12</v>
      </c>
      <c r="Q154" s="1186">
        <v>35</v>
      </c>
      <c r="R154" s="1186">
        <v>13</v>
      </c>
      <c r="S154" s="1186">
        <v>23</v>
      </c>
      <c r="T154" s="1186">
        <v>0</v>
      </c>
      <c r="U154" s="1186">
        <v>0</v>
      </c>
      <c r="V154" s="1186">
        <v>19</v>
      </c>
      <c r="W154" s="1186">
        <v>2</v>
      </c>
      <c r="X154" s="1186">
        <v>136940</v>
      </c>
    </row>
    <row r="155" spans="1:24" x14ac:dyDescent="0.2">
      <c r="A155" s="1186" t="s">
        <v>17</v>
      </c>
      <c r="B155" s="1186" t="s">
        <v>42</v>
      </c>
      <c r="C155" s="1186">
        <v>0</v>
      </c>
      <c r="D155" s="1186">
        <v>116</v>
      </c>
      <c r="E155" s="1186">
        <v>3</v>
      </c>
      <c r="F155" s="1186">
        <v>64</v>
      </c>
      <c r="G155" s="1186">
        <v>0</v>
      </c>
      <c r="H155" s="1186">
        <v>25</v>
      </c>
      <c r="I155" s="1186">
        <v>4</v>
      </c>
      <c r="J155" s="1186">
        <v>24</v>
      </c>
      <c r="K155" s="1186">
        <v>7</v>
      </c>
      <c r="L155" s="1186">
        <v>6</v>
      </c>
      <c r="M155" s="1186">
        <v>8</v>
      </c>
      <c r="N155" s="1186">
        <v>15</v>
      </c>
      <c r="O155" s="1186">
        <v>20</v>
      </c>
      <c r="P155" s="1186">
        <v>22</v>
      </c>
      <c r="Q155" s="1186">
        <v>57</v>
      </c>
      <c r="R155" s="1186">
        <v>15</v>
      </c>
      <c r="S155" s="1186">
        <v>69</v>
      </c>
      <c r="T155" s="1186">
        <v>1</v>
      </c>
      <c r="U155" s="1186">
        <v>1</v>
      </c>
      <c r="V155" s="1186">
        <v>34</v>
      </c>
      <c r="W155" s="1186">
        <v>10</v>
      </c>
      <c r="X155" s="1186">
        <v>337780</v>
      </c>
    </row>
    <row r="156" spans="1:24" x14ac:dyDescent="0.2">
      <c r="A156" s="1186" t="s">
        <v>17</v>
      </c>
      <c r="B156" s="1186" t="s">
        <v>43</v>
      </c>
      <c r="C156" s="1186">
        <v>0</v>
      </c>
      <c r="D156" s="1186">
        <v>11</v>
      </c>
      <c r="E156" s="1186">
        <v>1</v>
      </c>
      <c r="F156" s="1186">
        <v>8</v>
      </c>
      <c r="G156" s="1186">
        <v>0</v>
      </c>
      <c r="H156" s="1186">
        <v>1</v>
      </c>
      <c r="I156" s="1186">
        <v>0</v>
      </c>
      <c r="J156" s="1186">
        <v>0</v>
      </c>
      <c r="K156" s="1186">
        <v>1</v>
      </c>
      <c r="L156" s="1186">
        <v>0</v>
      </c>
      <c r="M156" s="1186">
        <v>0</v>
      </c>
      <c r="N156" s="1186">
        <v>0</v>
      </c>
      <c r="O156" s="1186">
        <v>0</v>
      </c>
      <c r="P156" s="1186">
        <v>0</v>
      </c>
      <c r="Q156" s="1186">
        <v>1</v>
      </c>
      <c r="R156" s="1186">
        <v>0</v>
      </c>
      <c r="S156" s="1186">
        <v>1</v>
      </c>
      <c r="T156" s="1186">
        <v>0</v>
      </c>
      <c r="U156" s="1186">
        <v>1</v>
      </c>
      <c r="V156" s="1186">
        <v>3</v>
      </c>
      <c r="W156" s="1186">
        <v>0</v>
      </c>
      <c r="X156" s="1186">
        <v>21560</v>
      </c>
    </row>
    <row r="157" spans="1:24" x14ac:dyDescent="0.2">
      <c r="A157" s="1186" t="s">
        <v>17</v>
      </c>
      <c r="B157" s="1186" t="s">
        <v>44</v>
      </c>
      <c r="C157" s="1186">
        <v>0</v>
      </c>
      <c r="D157" s="1186">
        <v>75</v>
      </c>
      <c r="E157" s="1186">
        <v>3</v>
      </c>
      <c r="F157" s="1186">
        <v>43</v>
      </c>
      <c r="G157" s="1186">
        <v>13</v>
      </c>
      <c r="H157" s="1186">
        <v>12</v>
      </c>
      <c r="I157" s="1186">
        <v>0</v>
      </c>
      <c r="J157" s="1186">
        <v>7</v>
      </c>
      <c r="K157" s="1186">
        <v>9</v>
      </c>
      <c r="L157" s="1186">
        <v>4</v>
      </c>
      <c r="M157" s="1186">
        <v>10</v>
      </c>
      <c r="N157" s="1186">
        <v>20</v>
      </c>
      <c r="O157" s="1186">
        <v>4</v>
      </c>
      <c r="P157" s="1186">
        <v>10</v>
      </c>
      <c r="Q157" s="1186">
        <v>14</v>
      </c>
      <c r="R157" s="1186">
        <v>30</v>
      </c>
      <c r="S157" s="1186">
        <v>11</v>
      </c>
      <c r="T157" s="1186">
        <v>0</v>
      </c>
      <c r="U157" s="1186">
        <v>0</v>
      </c>
      <c r="V157" s="1186">
        <v>7</v>
      </c>
      <c r="W157" s="1186">
        <v>7</v>
      </c>
      <c r="X157" s="1186">
        <v>147770</v>
      </c>
    </row>
    <row r="158" spans="1:24" x14ac:dyDescent="0.2">
      <c r="A158" s="1186" t="s">
        <v>17</v>
      </c>
      <c r="B158" s="1186" t="s">
        <v>45</v>
      </c>
      <c r="C158" s="1186">
        <v>0</v>
      </c>
      <c r="D158" s="1186">
        <v>48</v>
      </c>
      <c r="E158" s="1186">
        <v>3</v>
      </c>
      <c r="F158" s="1186">
        <v>44</v>
      </c>
      <c r="G158" s="1186">
        <v>8</v>
      </c>
      <c r="H158" s="1186">
        <v>14</v>
      </c>
      <c r="I158" s="1186">
        <v>2</v>
      </c>
      <c r="J158" s="1186">
        <v>12</v>
      </c>
      <c r="K158" s="1186">
        <v>9</v>
      </c>
      <c r="L158" s="1186">
        <v>6</v>
      </c>
      <c r="M158" s="1186">
        <v>2</v>
      </c>
      <c r="N158" s="1186">
        <v>4</v>
      </c>
      <c r="O158" s="1186">
        <v>9</v>
      </c>
      <c r="P158" s="1186">
        <v>8</v>
      </c>
      <c r="Q158" s="1186">
        <v>44</v>
      </c>
      <c r="R158" s="1186">
        <v>5</v>
      </c>
      <c r="S158" s="1186">
        <v>44</v>
      </c>
      <c r="T158" s="1186">
        <v>0</v>
      </c>
      <c r="U158" s="1186">
        <v>8</v>
      </c>
      <c r="V158" s="1186">
        <v>15</v>
      </c>
      <c r="W158" s="1186">
        <v>3</v>
      </c>
      <c r="X158" s="1186">
        <v>173890</v>
      </c>
    </row>
    <row r="159" spans="1:24" x14ac:dyDescent="0.2">
      <c r="A159" s="1186" t="s">
        <v>17</v>
      </c>
      <c r="B159" s="1186" t="s">
        <v>46</v>
      </c>
      <c r="C159" s="1186">
        <v>0</v>
      </c>
      <c r="D159" s="1186">
        <v>77</v>
      </c>
      <c r="E159" s="1186">
        <v>0</v>
      </c>
      <c r="F159" s="1186">
        <v>20</v>
      </c>
      <c r="G159" s="1186">
        <v>7</v>
      </c>
      <c r="H159" s="1186">
        <v>13</v>
      </c>
      <c r="I159" s="1186">
        <v>0</v>
      </c>
      <c r="J159" s="1186">
        <v>7</v>
      </c>
      <c r="K159" s="1186">
        <v>11</v>
      </c>
      <c r="L159" s="1186">
        <v>0</v>
      </c>
      <c r="M159" s="1186">
        <v>9</v>
      </c>
      <c r="N159" s="1186">
        <v>5</v>
      </c>
      <c r="O159" s="1186">
        <v>7</v>
      </c>
      <c r="P159" s="1186">
        <v>7</v>
      </c>
      <c r="Q159" s="1186">
        <v>20</v>
      </c>
      <c r="R159" s="1186">
        <v>4</v>
      </c>
      <c r="S159" s="1186">
        <v>11</v>
      </c>
      <c r="T159" s="1186">
        <v>0</v>
      </c>
      <c r="U159" s="1186">
        <v>0</v>
      </c>
      <c r="V159" s="1186">
        <v>8</v>
      </c>
      <c r="W159" s="1186">
        <v>5</v>
      </c>
      <c r="X159" s="1186">
        <v>113880</v>
      </c>
    </row>
    <row r="160" spans="1:24" x14ac:dyDescent="0.2">
      <c r="A160" s="1186" t="s">
        <v>17</v>
      </c>
      <c r="B160" s="1186" t="s">
        <v>47</v>
      </c>
      <c r="C160" s="1186">
        <v>0</v>
      </c>
      <c r="D160" s="1186">
        <v>8</v>
      </c>
      <c r="E160" s="1186">
        <v>2</v>
      </c>
      <c r="F160" s="1186">
        <v>5</v>
      </c>
      <c r="G160" s="1186">
        <v>0</v>
      </c>
      <c r="H160" s="1186">
        <v>1</v>
      </c>
      <c r="I160" s="1186">
        <v>0</v>
      </c>
      <c r="J160" s="1186">
        <v>1</v>
      </c>
      <c r="K160" s="1186">
        <v>0</v>
      </c>
      <c r="L160" s="1186">
        <v>0</v>
      </c>
      <c r="M160" s="1186">
        <v>2</v>
      </c>
      <c r="N160" s="1186">
        <v>1</v>
      </c>
      <c r="O160" s="1186">
        <v>0</v>
      </c>
      <c r="P160" s="1186">
        <v>2</v>
      </c>
      <c r="Q160" s="1186">
        <v>0</v>
      </c>
      <c r="R160" s="1186">
        <v>2</v>
      </c>
      <c r="S160" s="1186">
        <v>0</v>
      </c>
      <c r="T160" s="1186">
        <v>0</v>
      </c>
      <c r="U160" s="1186">
        <v>8</v>
      </c>
      <c r="V160" s="1186">
        <v>1</v>
      </c>
      <c r="W160" s="1186">
        <v>2</v>
      </c>
      <c r="X160" s="1186">
        <v>23200</v>
      </c>
    </row>
    <row r="161" spans="1:24" x14ac:dyDescent="0.2">
      <c r="A161" s="1186" t="s">
        <v>17</v>
      </c>
      <c r="B161" s="1186" t="s">
        <v>48</v>
      </c>
      <c r="C161" s="1186">
        <v>0</v>
      </c>
      <c r="D161" s="1186">
        <v>52</v>
      </c>
      <c r="E161" s="1186">
        <v>2</v>
      </c>
      <c r="F161" s="1186">
        <v>7</v>
      </c>
      <c r="G161" s="1186">
        <v>4</v>
      </c>
      <c r="H161" s="1186">
        <v>8</v>
      </c>
      <c r="I161" s="1186">
        <v>3</v>
      </c>
      <c r="J161" s="1186">
        <v>16</v>
      </c>
      <c r="K161" s="1186">
        <v>3</v>
      </c>
      <c r="L161" s="1186">
        <v>0</v>
      </c>
      <c r="M161" s="1186">
        <v>2</v>
      </c>
      <c r="N161" s="1186">
        <v>3</v>
      </c>
      <c r="O161" s="1186">
        <v>0</v>
      </c>
      <c r="P161" s="1186">
        <v>11</v>
      </c>
      <c r="Q161" s="1186">
        <v>11</v>
      </c>
      <c r="R161" s="1186">
        <v>11</v>
      </c>
      <c r="S161" s="1186">
        <v>14</v>
      </c>
      <c r="T161" s="1186">
        <v>0</v>
      </c>
      <c r="U161" s="1186">
        <v>5</v>
      </c>
      <c r="V161" s="1186">
        <v>10</v>
      </c>
      <c r="W161" s="1186">
        <v>2</v>
      </c>
      <c r="X161" s="1186">
        <v>112870</v>
      </c>
    </row>
    <row r="162" spans="1:24" x14ac:dyDescent="0.2">
      <c r="A162" s="1186" t="s">
        <v>17</v>
      </c>
      <c r="B162" s="1186" t="s">
        <v>49</v>
      </c>
      <c r="C162" s="1186">
        <v>0</v>
      </c>
      <c r="D162" s="1186">
        <v>150</v>
      </c>
      <c r="E162" s="1186">
        <v>6</v>
      </c>
      <c r="F162" s="1186">
        <v>75</v>
      </c>
      <c r="G162" s="1186">
        <v>9</v>
      </c>
      <c r="H162" s="1186">
        <v>34</v>
      </c>
      <c r="I162" s="1186">
        <v>2</v>
      </c>
      <c r="J162" s="1186">
        <v>23</v>
      </c>
      <c r="K162" s="1186">
        <v>15</v>
      </c>
      <c r="L162" s="1186">
        <v>5</v>
      </c>
      <c r="M162" s="1186">
        <v>7</v>
      </c>
      <c r="N162" s="1186">
        <v>8</v>
      </c>
      <c r="O162" s="1186">
        <v>14</v>
      </c>
      <c r="P162" s="1186">
        <v>19</v>
      </c>
      <c r="Q162" s="1186">
        <v>48</v>
      </c>
      <c r="R162" s="1186">
        <v>26</v>
      </c>
      <c r="S162" s="1186">
        <v>80</v>
      </c>
      <c r="T162" s="1186">
        <v>1</v>
      </c>
      <c r="U162" s="1186">
        <v>2</v>
      </c>
      <c r="V162" s="1186">
        <v>32</v>
      </c>
      <c r="W162" s="1186">
        <v>7</v>
      </c>
      <c r="X162" s="1186">
        <v>314810</v>
      </c>
    </row>
    <row r="163" spans="1:24" x14ac:dyDescent="0.2">
      <c r="A163" s="1186" t="s">
        <v>17</v>
      </c>
      <c r="B163" s="1186" t="s">
        <v>50</v>
      </c>
      <c r="C163" s="1186">
        <v>0</v>
      </c>
      <c r="D163" s="1186">
        <v>64</v>
      </c>
      <c r="E163" s="1186">
        <v>1</v>
      </c>
      <c r="F163" s="1186">
        <v>21</v>
      </c>
      <c r="G163" s="1186">
        <v>2</v>
      </c>
      <c r="H163" s="1186">
        <v>11</v>
      </c>
      <c r="I163" s="1186">
        <v>0</v>
      </c>
      <c r="J163" s="1186">
        <v>11</v>
      </c>
      <c r="K163" s="1186">
        <v>5</v>
      </c>
      <c r="L163" s="1186">
        <v>4</v>
      </c>
      <c r="M163" s="1186">
        <v>4</v>
      </c>
      <c r="N163" s="1186">
        <v>4</v>
      </c>
      <c r="O163" s="1186">
        <v>6</v>
      </c>
      <c r="P163" s="1186">
        <v>7</v>
      </c>
      <c r="Q163" s="1186">
        <v>22</v>
      </c>
      <c r="R163" s="1186">
        <v>2</v>
      </c>
      <c r="S163" s="1186">
        <v>2</v>
      </c>
      <c r="T163" s="1186">
        <v>2</v>
      </c>
      <c r="U163" s="1186">
        <v>1</v>
      </c>
      <c r="V163" s="1186">
        <v>13</v>
      </c>
      <c r="W163" s="1186">
        <v>4</v>
      </c>
      <c r="X163" s="1186">
        <v>91230</v>
      </c>
    </row>
    <row r="164" spans="1:24" x14ac:dyDescent="0.2">
      <c r="A164" s="1186" t="s">
        <v>17</v>
      </c>
      <c r="B164" s="1186" t="s">
        <v>51</v>
      </c>
      <c r="C164" s="1186">
        <v>0</v>
      </c>
      <c r="D164" s="1186">
        <v>16</v>
      </c>
      <c r="E164" s="1186">
        <v>1</v>
      </c>
      <c r="F164" s="1186">
        <v>14</v>
      </c>
      <c r="G164" s="1186">
        <v>5</v>
      </c>
      <c r="H164" s="1186">
        <v>7</v>
      </c>
      <c r="I164" s="1186">
        <v>2</v>
      </c>
      <c r="J164" s="1186">
        <v>25</v>
      </c>
      <c r="K164" s="1186">
        <v>8</v>
      </c>
      <c r="L164" s="1186">
        <v>0</v>
      </c>
      <c r="M164" s="1186">
        <v>1</v>
      </c>
      <c r="N164" s="1186">
        <v>3</v>
      </c>
      <c r="O164" s="1186">
        <v>5</v>
      </c>
      <c r="P164" s="1186">
        <v>5</v>
      </c>
      <c r="Q164" s="1186">
        <v>18</v>
      </c>
      <c r="R164" s="1186">
        <v>7</v>
      </c>
      <c r="S164" s="1186">
        <v>26</v>
      </c>
      <c r="T164" s="1186">
        <v>0</v>
      </c>
      <c r="U164" s="1186">
        <v>0</v>
      </c>
      <c r="V164" s="1186">
        <v>12</v>
      </c>
      <c r="W164" s="1186">
        <v>4</v>
      </c>
      <c r="X164" s="1186">
        <v>89800</v>
      </c>
    </row>
    <row r="165" spans="1:24" x14ac:dyDescent="0.2">
      <c r="A165" s="1186" t="s">
        <v>17</v>
      </c>
      <c r="B165" s="1186" t="s">
        <v>52</v>
      </c>
      <c r="C165" s="1186">
        <v>0</v>
      </c>
      <c r="D165" s="1186">
        <v>77</v>
      </c>
      <c r="E165" s="1186">
        <v>5</v>
      </c>
      <c r="F165" s="1186">
        <v>22</v>
      </c>
      <c r="G165" s="1186">
        <v>2</v>
      </c>
      <c r="H165" s="1186">
        <v>22</v>
      </c>
      <c r="I165" s="1186">
        <v>0</v>
      </c>
      <c r="J165" s="1186">
        <v>5</v>
      </c>
      <c r="K165" s="1186">
        <v>11</v>
      </c>
      <c r="L165" s="1186">
        <v>5</v>
      </c>
      <c r="M165" s="1186">
        <v>7</v>
      </c>
      <c r="N165" s="1186">
        <v>4</v>
      </c>
      <c r="O165" s="1186">
        <v>8</v>
      </c>
      <c r="P165" s="1186">
        <v>4</v>
      </c>
      <c r="Q165" s="1186">
        <v>28</v>
      </c>
      <c r="R165" s="1186">
        <v>13</v>
      </c>
      <c r="S165" s="1186">
        <v>9</v>
      </c>
      <c r="T165" s="1186">
        <v>0</v>
      </c>
      <c r="U165" s="1186">
        <v>0</v>
      </c>
      <c r="V165" s="1186">
        <v>4</v>
      </c>
      <c r="W165" s="1186">
        <v>5</v>
      </c>
      <c r="X165" s="1186">
        <v>176160</v>
      </c>
    </row>
    <row r="166" spans="1:24" x14ac:dyDescent="0.2">
      <c r="A166" s="1186" t="s">
        <v>133</v>
      </c>
      <c r="B166" s="1186" t="s">
        <v>23</v>
      </c>
      <c r="C166" s="1186">
        <v>0</v>
      </c>
      <c r="D166" s="1186">
        <v>74</v>
      </c>
      <c r="E166" s="1186">
        <v>23</v>
      </c>
      <c r="F166" s="1186">
        <v>21</v>
      </c>
      <c r="G166" s="1186">
        <v>0</v>
      </c>
      <c r="H166" s="1186">
        <v>22</v>
      </c>
      <c r="I166" s="1186">
        <v>2</v>
      </c>
      <c r="J166" s="1186">
        <v>117</v>
      </c>
      <c r="K166" s="1186">
        <v>12</v>
      </c>
      <c r="L166" s="1186">
        <v>7</v>
      </c>
      <c r="M166" s="1186">
        <v>9</v>
      </c>
      <c r="N166" s="1186">
        <v>8</v>
      </c>
      <c r="O166" s="1186">
        <v>9</v>
      </c>
      <c r="P166" s="1186">
        <v>20</v>
      </c>
      <c r="Q166" s="1186">
        <v>96</v>
      </c>
      <c r="R166" s="1186">
        <v>11</v>
      </c>
      <c r="S166" s="1186">
        <v>65</v>
      </c>
      <c r="T166" s="1186">
        <v>1</v>
      </c>
      <c r="U166" s="1186">
        <v>12</v>
      </c>
      <c r="V166" s="1186">
        <v>13</v>
      </c>
      <c r="W166" s="1186">
        <v>42</v>
      </c>
      <c r="X166" s="1186">
        <v>228920</v>
      </c>
    </row>
    <row r="167" spans="1:24" x14ac:dyDescent="0.2">
      <c r="A167" s="1186" t="s">
        <v>133</v>
      </c>
      <c r="B167" s="1186" t="s">
        <v>24</v>
      </c>
      <c r="C167" s="1186">
        <v>0</v>
      </c>
      <c r="D167" s="1186">
        <v>198</v>
      </c>
      <c r="E167" s="1186">
        <v>2</v>
      </c>
      <c r="F167" s="1186">
        <v>16</v>
      </c>
      <c r="G167" s="1186">
        <v>3</v>
      </c>
      <c r="H167" s="1186">
        <v>15</v>
      </c>
      <c r="I167" s="1186">
        <v>2</v>
      </c>
      <c r="J167" s="1186">
        <v>10</v>
      </c>
      <c r="K167" s="1186">
        <v>68</v>
      </c>
      <c r="L167" s="1186">
        <v>1</v>
      </c>
      <c r="M167" s="1186">
        <v>5</v>
      </c>
      <c r="N167" s="1186">
        <v>10</v>
      </c>
      <c r="O167" s="1186">
        <v>5</v>
      </c>
      <c r="P167" s="1186">
        <v>14</v>
      </c>
      <c r="Q167" s="1186">
        <v>47</v>
      </c>
      <c r="R167" s="1186">
        <v>7</v>
      </c>
      <c r="S167" s="1186">
        <v>24</v>
      </c>
      <c r="T167" s="1186">
        <v>0</v>
      </c>
      <c r="U167" s="1186">
        <v>0</v>
      </c>
      <c r="V167" s="1186">
        <v>17</v>
      </c>
      <c r="W167" s="1186">
        <v>8</v>
      </c>
      <c r="X167" s="1186">
        <v>260530</v>
      </c>
    </row>
    <row r="168" spans="1:24" x14ac:dyDescent="0.2">
      <c r="A168" s="1186" t="s">
        <v>133</v>
      </c>
      <c r="B168" s="1186" t="s">
        <v>25</v>
      </c>
      <c r="C168" s="1186">
        <v>0</v>
      </c>
      <c r="D168" s="1186">
        <v>38</v>
      </c>
      <c r="E168" s="1186">
        <v>2</v>
      </c>
      <c r="F168" s="1186">
        <v>23</v>
      </c>
      <c r="G168" s="1186">
        <v>1</v>
      </c>
      <c r="H168" s="1186">
        <v>6</v>
      </c>
      <c r="I168" s="1186">
        <v>0</v>
      </c>
      <c r="J168" s="1186">
        <v>3</v>
      </c>
      <c r="K168" s="1186">
        <v>7</v>
      </c>
      <c r="L168" s="1186">
        <v>2</v>
      </c>
      <c r="M168" s="1186">
        <v>2</v>
      </c>
      <c r="N168" s="1186">
        <v>5</v>
      </c>
      <c r="O168" s="1186">
        <v>8</v>
      </c>
      <c r="P168" s="1186">
        <v>10</v>
      </c>
      <c r="Q168" s="1186">
        <v>24</v>
      </c>
      <c r="R168" s="1186">
        <v>10</v>
      </c>
      <c r="S168" s="1186">
        <v>6</v>
      </c>
      <c r="T168" s="1186">
        <v>0</v>
      </c>
      <c r="U168" s="1186">
        <v>0</v>
      </c>
      <c r="V168" s="1186">
        <v>16</v>
      </c>
      <c r="W168" s="1186">
        <v>2</v>
      </c>
      <c r="X168" s="1186">
        <v>116740</v>
      </c>
    </row>
    <row r="169" spans="1:24" x14ac:dyDescent="0.2">
      <c r="A169" s="1186" t="s">
        <v>133</v>
      </c>
      <c r="B169" s="1186" t="s">
        <v>26</v>
      </c>
      <c r="C169" s="1186">
        <v>0</v>
      </c>
      <c r="D169" s="1186">
        <v>80</v>
      </c>
      <c r="E169" s="1186">
        <v>1</v>
      </c>
      <c r="F169" s="1186">
        <v>44</v>
      </c>
      <c r="G169" s="1186">
        <v>4</v>
      </c>
      <c r="H169" s="1186">
        <v>6</v>
      </c>
      <c r="I169" s="1186">
        <v>0</v>
      </c>
      <c r="J169" s="1186">
        <v>10</v>
      </c>
      <c r="K169" s="1186">
        <v>8</v>
      </c>
      <c r="L169" s="1186">
        <v>3</v>
      </c>
      <c r="M169" s="1186">
        <v>1</v>
      </c>
      <c r="N169" s="1186">
        <v>3</v>
      </c>
      <c r="O169" s="1186">
        <v>1</v>
      </c>
      <c r="P169" s="1186">
        <v>7</v>
      </c>
      <c r="Q169" s="1186">
        <v>9</v>
      </c>
      <c r="R169" s="1186">
        <v>1</v>
      </c>
      <c r="S169" s="1186">
        <v>22</v>
      </c>
      <c r="T169" s="1186">
        <v>0</v>
      </c>
      <c r="U169" s="1186">
        <v>37</v>
      </c>
      <c r="V169" s="1186">
        <v>23</v>
      </c>
      <c r="W169" s="1186">
        <v>3</v>
      </c>
      <c r="X169" s="1186">
        <v>87650</v>
      </c>
    </row>
    <row r="170" spans="1:24" x14ac:dyDescent="0.2">
      <c r="A170" s="1186" t="s">
        <v>133</v>
      </c>
      <c r="B170" s="1186" t="s">
        <v>619</v>
      </c>
      <c r="C170" s="1186">
        <v>0</v>
      </c>
      <c r="D170" s="1186">
        <v>157</v>
      </c>
      <c r="E170" s="1186">
        <v>11</v>
      </c>
      <c r="F170" s="1186">
        <v>148</v>
      </c>
      <c r="G170" s="1186">
        <v>4</v>
      </c>
      <c r="H170" s="1186">
        <v>71</v>
      </c>
      <c r="I170" s="1186">
        <v>8</v>
      </c>
      <c r="J170" s="1186">
        <v>86</v>
      </c>
      <c r="K170" s="1186">
        <v>76</v>
      </c>
      <c r="L170" s="1186">
        <v>18</v>
      </c>
      <c r="M170" s="1186">
        <v>56</v>
      </c>
      <c r="N170" s="1186">
        <v>37</v>
      </c>
      <c r="O170" s="1186">
        <v>27</v>
      </c>
      <c r="P170" s="1186">
        <v>31</v>
      </c>
      <c r="Q170" s="1186">
        <v>314</v>
      </c>
      <c r="R170" s="1186">
        <v>35</v>
      </c>
      <c r="S170" s="1186">
        <v>102</v>
      </c>
      <c r="T170" s="1186">
        <v>0</v>
      </c>
      <c r="U170" s="1186">
        <v>1</v>
      </c>
      <c r="V170" s="1186">
        <v>72</v>
      </c>
      <c r="W170" s="1186">
        <v>19</v>
      </c>
      <c r="X170" s="1186">
        <v>492610</v>
      </c>
    </row>
    <row r="171" spans="1:24" x14ac:dyDescent="0.2">
      <c r="A171" s="1186" t="s">
        <v>133</v>
      </c>
      <c r="B171" s="1186" t="s">
        <v>27</v>
      </c>
      <c r="C171" s="1186">
        <v>0</v>
      </c>
      <c r="D171" s="1186">
        <v>19</v>
      </c>
      <c r="E171" s="1186">
        <v>1</v>
      </c>
      <c r="F171" s="1186">
        <v>6</v>
      </c>
      <c r="G171" s="1186">
        <v>0</v>
      </c>
      <c r="H171" s="1186">
        <v>11</v>
      </c>
      <c r="I171" s="1186">
        <v>0</v>
      </c>
      <c r="J171" s="1186">
        <v>0</v>
      </c>
      <c r="K171" s="1186">
        <v>2</v>
      </c>
      <c r="L171" s="1186">
        <v>0</v>
      </c>
      <c r="M171" s="1186">
        <v>6</v>
      </c>
      <c r="N171" s="1186">
        <v>1</v>
      </c>
      <c r="O171" s="1186">
        <v>2</v>
      </c>
      <c r="P171" s="1186">
        <v>9</v>
      </c>
      <c r="Q171" s="1186">
        <v>14</v>
      </c>
      <c r="R171" s="1186">
        <v>2</v>
      </c>
      <c r="S171" s="1186">
        <v>0</v>
      </c>
      <c r="T171" s="1186">
        <v>0</v>
      </c>
      <c r="U171" s="1186">
        <v>0</v>
      </c>
      <c r="V171" s="1186">
        <v>20</v>
      </c>
      <c r="W171" s="1186">
        <v>0</v>
      </c>
      <c r="X171" s="1186">
        <v>51190</v>
      </c>
    </row>
    <row r="172" spans="1:24" x14ac:dyDescent="0.2">
      <c r="A172" s="1186" t="s">
        <v>133</v>
      </c>
      <c r="B172" s="1186" t="s">
        <v>28</v>
      </c>
      <c r="C172" s="1186">
        <v>0</v>
      </c>
      <c r="D172" s="1186">
        <v>91</v>
      </c>
      <c r="E172" s="1186">
        <v>0</v>
      </c>
      <c r="F172" s="1186">
        <v>22</v>
      </c>
      <c r="G172" s="1186">
        <v>8</v>
      </c>
      <c r="H172" s="1186">
        <v>12</v>
      </c>
      <c r="I172" s="1186">
        <v>1</v>
      </c>
      <c r="J172" s="1186">
        <v>13</v>
      </c>
      <c r="K172" s="1186">
        <v>1</v>
      </c>
      <c r="L172" s="1186">
        <v>0</v>
      </c>
      <c r="M172" s="1186">
        <v>5</v>
      </c>
      <c r="N172" s="1186">
        <v>9</v>
      </c>
      <c r="O172" s="1186">
        <v>4</v>
      </c>
      <c r="P172" s="1186">
        <v>8</v>
      </c>
      <c r="Q172" s="1186">
        <v>14</v>
      </c>
      <c r="R172" s="1186">
        <v>8</v>
      </c>
      <c r="S172" s="1186">
        <v>14</v>
      </c>
      <c r="T172" s="1186">
        <v>1</v>
      </c>
      <c r="U172" s="1186">
        <v>0</v>
      </c>
      <c r="V172" s="1186">
        <v>23</v>
      </c>
      <c r="W172" s="1186">
        <v>2</v>
      </c>
      <c r="X172" s="1186">
        <v>149960</v>
      </c>
    </row>
    <row r="173" spans="1:24" x14ac:dyDescent="0.2">
      <c r="A173" s="1186" t="s">
        <v>133</v>
      </c>
      <c r="B173" s="1186" t="s">
        <v>29</v>
      </c>
      <c r="C173" s="1186">
        <v>0</v>
      </c>
      <c r="D173" s="1186">
        <v>28</v>
      </c>
      <c r="E173" s="1186">
        <v>4</v>
      </c>
      <c r="F173" s="1186">
        <v>30</v>
      </c>
      <c r="G173" s="1186">
        <v>2</v>
      </c>
      <c r="H173" s="1186">
        <v>15</v>
      </c>
      <c r="I173" s="1186">
        <v>2</v>
      </c>
      <c r="J173" s="1186">
        <v>29</v>
      </c>
      <c r="K173" s="1186">
        <v>6</v>
      </c>
      <c r="L173" s="1186">
        <v>1</v>
      </c>
      <c r="M173" s="1186">
        <v>0</v>
      </c>
      <c r="N173" s="1186">
        <v>22</v>
      </c>
      <c r="O173" s="1186">
        <v>15</v>
      </c>
      <c r="P173" s="1186">
        <v>8</v>
      </c>
      <c r="Q173" s="1186">
        <v>66</v>
      </c>
      <c r="R173" s="1186">
        <v>39</v>
      </c>
      <c r="S173" s="1186">
        <v>16</v>
      </c>
      <c r="T173" s="1186">
        <v>0</v>
      </c>
      <c r="U173" s="1186">
        <v>0</v>
      </c>
      <c r="V173" s="1186">
        <v>21</v>
      </c>
      <c r="W173" s="1186">
        <v>4</v>
      </c>
      <c r="X173" s="1186">
        <v>148130</v>
      </c>
    </row>
    <row r="174" spans="1:24" x14ac:dyDescent="0.2">
      <c r="A174" s="1186" t="s">
        <v>133</v>
      </c>
      <c r="B174" s="1186" t="s">
        <v>30</v>
      </c>
      <c r="C174" s="1186">
        <v>0</v>
      </c>
      <c r="D174" s="1186">
        <v>48</v>
      </c>
      <c r="E174" s="1186">
        <v>0</v>
      </c>
      <c r="F174" s="1186">
        <v>38</v>
      </c>
      <c r="G174" s="1186">
        <v>3</v>
      </c>
      <c r="H174" s="1186">
        <v>9</v>
      </c>
      <c r="I174" s="1186">
        <v>2</v>
      </c>
      <c r="J174" s="1186">
        <v>2</v>
      </c>
      <c r="K174" s="1186">
        <v>4</v>
      </c>
      <c r="L174" s="1186">
        <v>0</v>
      </c>
      <c r="M174" s="1186">
        <v>1</v>
      </c>
      <c r="N174" s="1186">
        <v>5</v>
      </c>
      <c r="O174" s="1186">
        <v>3</v>
      </c>
      <c r="P174" s="1186">
        <v>3</v>
      </c>
      <c r="Q174" s="1186">
        <v>30</v>
      </c>
      <c r="R174" s="1186">
        <v>9</v>
      </c>
      <c r="S174" s="1186">
        <v>27</v>
      </c>
      <c r="T174" s="1186">
        <v>0</v>
      </c>
      <c r="U174" s="1186">
        <v>2</v>
      </c>
      <c r="V174" s="1186">
        <v>16</v>
      </c>
      <c r="W174" s="1186">
        <v>5</v>
      </c>
      <c r="X174" s="1186">
        <v>122130</v>
      </c>
    </row>
    <row r="175" spans="1:24" x14ac:dyDescent="0.2">
      <c r="A175" s="1186" t="s">
        <v>133</v>
      </c>
      <c r="B175" s="1186" t="s">
        <v>31</v>
      </c>
      <c r="C175" s="1186">
        <v>0</v>
      </c>
      <c r="D175" s="1186">
        <v>22</v>
      </c>
      <c r="E175" s="1186">
        <v>1</v>
      </c>
      <c r="F175" s="1186">
        <v>7</v>
      </c>
      <c r="G175" s="1186">
        <v>1</v>
      </c>
      <c r="H175" s="1186">
        <v>6</v>
      </c>
      <c r="I175" s="1186">
        <v>1</v>
      </c>
      <c r="J175" s="1186">
        <v>6</v>
      </c>
      <c r="K175" s="1186">
        <v>2</v>
      </c>
      <c r="L175" s="1186">
        <v>1</v>
      </c>
      <c r="M175" s="1186">
        <v>0</v>
      </c>
      <c r="N175" s="1186">
        <v>2</v>
      </c>
      <c r="O175" s="1186">
        <v>5</v>
      </c>
      <c r="P175" s="1186">
        <v>3</v>
      </c>
      <c r="Q175" s="1186">
        <v>22</v>
      </c>
      <c r="R175" s="1186">
        <v>2</v>
      </c>
      <c r="S175" s="1186">
        <v>17</v>
      </c>
      <c r="T175" s="1186">
        <v>0</v>
      </c>
      <c r="U175" s="1186">
        <v>1</v>
      </c>
      <c r="V175" s="1186">
        <v>8</v>
      </c>
      <c r="W175" s="1186">
        <v>1</v>
      </c>
      <c r="X175" s="1186">
        <v>106710</v>
      </c>
    </row>
    <row r="176" spans="1:24" x14ac:dyDescent="0.2">
      <c r="A176" s="1186" t="s">
        <v>133</v>
      </c>
      <c r="B176" s="1186" t="s">
        <v>32</v>
      </c>
      <c r="C176" s="1186">
        <v>0</v>
      </c>
      <c r="D176" s="1186">
        <v>47</v>
      </c>
      <c r="E176" s="1186">
        <v>1</v>
      </c>
      <c r="F176" s="1186">
        <v>8</v>
      </c>
      <c r="G176" s="1186">
        <v>0</v>
      </c>
      <c r="H176" s="1186">
        <v>5</v>
      </c>
      <c r="I176" s="1186">
        <v>0</v>
      </c>
      <c r="J176" s="1186">
        <v>4</v>
      </c>
      <c r="K176" s="1186">
        <v>10</v>
      </c>
      <c r="L176" s="1186">
        <v>2</v>
      </c>
      <c r="M176" s="1186">
        <v>3</v>
      </c>
      <c r="N176" s="1186">
        <v>5</v>
      </c>
      <c r="O176" s="1186">
        <v>3</v>
      </c>
      <c r="P176" s="1186">
        <v>8</v>
      </c>
      <c r="Q176" s="1186">
        <v>30</v>
      </c>
      <c r="R176" s="1186">
        <v>2</v>
      </c>
      <c r="S176" s="1186">
        <v>4</v>
      </c>
      <c r="T176" s="1186">
        <v>0</v>
      </c>
      <c r="U176" s="1186">
        <v>1</v>
      </c>
      <c r="V176" s="1186">
        <v>4</v>
      </c>
      <c r="W176" s="1186">
        <v>1</v>
      </c>
      <c r="X176" s="1186">
        <v>102090</v>
      </c>
    </row>
    <row r="177" spans="1:24" x14ac:dyDescent="0.2">
      <c r="A177" s="1186" t="s">
        <v>133</v>
      </c>
      <c r="B177" s="1186" t="s">
        <v>33</v>
      </c>
      <c r="C177" s="1186">
        <v>0</v>
      </c>
      <c r="D177" s="1186">
        <v>35</v>
      </c>
      <c r="E177" s="1186">
        <v>1</v>
      </c>
      <c r="F177" s="1186">
        <v>11</v>
      </c>
      <c r="G177" s="1186">
        <v>0</v>
      </c>
      <c r="H177" s="1186">
        <v>6</v>
      </c>
      <c r="I177" s="1186">
        <v>1</v>
      </c>
      <c r="J177" s="1186">
        <v>3</v>
      </c>
      <c r="K177" s="1186">
        <v>1</v>
      </c>
      <c r="L177" s="1186">
        <v>1</v>
      </c>
      <c r="M177" s="1186">
        <v>1</v>
      </c>
      <c r="N177" s="1186">
        <v>1</v>
      </c>
      <c r="O177" s="1186">
        <v>2</v>
      </c>
      <c r="P177" s="1186">
        <v>3</v>
      </c>
      <c r="Q177" s="1186">
        <v>27</v>
      </c>
      <c r="R177" s="1186">
        <v>0</v>
      </c>
      <c r="S177" s="1186">
        <v>16</v>
      </c>
      <c r="T177" s="1186">
        <v>0</v>
      </c>
      <c r="U177" s="1186">
        <v>0</v>
      </c>
      <c r="V177" s="1186">
        <v>7</v>
      </c>
      <c r="W177" s="1186">
        <v>1</v>
      </c>
      <c r="X177" s="1186">
        <v>92410</v>
      </c>
    </row>
    <row r="178" spans="1:24" x14ac:dyDescent="0.2">
      <c r="A178" s="1186" t="s">
        <v>133</v>
      </c>
      <c r="B178" s="1186" t="s">
        <v>34</v>
      </c>
      <c r="C178" s="1186">
        <v>0</v>
      </c>
      <c r="D178" s="1186">
        <v>59</v>
      </c>
      <c r="E178" s="1186">
        <v>4</v>
      </c>
      <c r="F178" s="1186">
        <v>16</v>
      </c>
      <c r="G178" s="1186">
        <v>1</v>
      </c>
      <c r="H178" s="1186">
        <v>9</v>
      </c>
      <c r="I178" s="1186">
        <v>1</v>
      </c>
      <c r="J178" s="1186">
        <v>5</v>
      </c>
      <c r="K178" s="1186">
        <v>10</v>
      </c>
      <c r="L178" s="1186">
        <v>10</v>
      </c>
      <c r="M178" s="1186">
        <v>5</v>
      </c>
      <c r="N178" s="1186">
        <v>1</v>
      </c>
      <c r="O178" s="1186">
        <v>8</v>
      </c>
      <c r="P178" s="1186">
        <v>19</v>
      </c>
      <c r="Q178" s="1186">
        <v>42</v>
      </c>
      <c r="R178" s="1186">
        <v>4</v>
      </c>
      <c r="S178" s="1186">
        <v>11</v>
      </c>
      <c r="T178" s="1186">
        <v>0</v>
      </c>
      <c r="U178" s="1186">
        <v>1</v>
      </c>
      <c r="V178" s="1186">
        <v>38</v>
      </c>
      <c r="W178" s="1186">
        <v>5</v>
      </c>
      <c r="X178" s="1186">
        <v>157690</v>
      </c>
    </row>
    <row r="179" spans="1:24" x14ac:dyDescent="0.2">
      <c r="A179" s="1186" t="s">
        <v>133</v>
      </c>
      <c r="B179" s="1186" t="s">
        <v>35</v>
      </c>
      <c r="C179" s="1186">
        <v>0</v>
      </c>
      <c r="D179" s="1186">
        <v>92</v>
      </c>
      <c r="E179" s="1186">
        <v>7</v>
      </c>
      <c r="F179" s="1186">
        <v>44</v>
      </c>
      <c r="G179" s="1186">
        <v>3</v>
      </c>
      <c r="H179" s="1186">
        <v>31</v>
      </c>
      <c r="I179" s="1186">
        <v>1</v>
      </c>
      <c r="J179" s="1186">
        <v>27</v>
      </c>
      <c r="K179" s="1186">
        <v>10</v>
      </c>
      <c r="L179" s="1186">
        <v>14</v>
      </c>
      <c r="M179" s="1186">
        <v>9</v>
      </c>
      <c r="N179" s="1186">
        <v>9</v>
      </c>
      <c r="O179" s="1186">
        <v>26</v>
      </c>
      <c r="P179" s="1186">
        <v>26</v>
      </c>
      <c r="Q179" s="1186">
        <v>65</v>
      </c>
      <c r="R179" s="1186">
        <v>21</v>
      </c>
      <c r="S179" s="1186">
        <v>28</v>
      </c>
      <c r="T179" s="1186">
        <v>0</v>
      </c>
      <c r="U179" s="1186">
        <v>2</v>
      </c>
      <c r="V179" s="1186">
        <v>42</v>
      </c>
      <c r="W179" s="1186">
        <v>12</v>
      </c>
      <c r="X179" s="1186">
        <v>367250</v>
      </c>
    </row>
    <row r="180" spans="1:24" x14ac:dyDescent="0.2">
      <c r="A180" s="1186" t="s">
        <v>133</v>
      </c>
      <c r="B180" s="1186" t="s">
        <v>36</v>
      </c>
      <c r="C180" s="1186">
        <v>0</v>
      </c>
      <c r="D180" s="1186">
        <v>171</v>
      </c>
      <c r="E180" s="1186">
        <v>4</v>
      </c>
      <c r="F180" s="1186">
        <v>252</v>
      </c>
      <c r="G180" s="1186">
        <v>22</v>
      </c>
      <c r="H180" s="1186">
        <v>59</v>
      </c>
      <c r="I180" s="1186">
        <v>6</v>
      </c>
      <c r="J180" s="1186">
        <v>143</v>
      </c>
      <c r="K180" s="1186">
        <v>32</v>
      </c>
      <c r="L180" s="1186">
        <v>23</v>
      </c>
      <c r="M180" s="1186">
        <v>13</v>
      </c>
      <c r="N180" s="1186">
        <v>23</v>
      </c>
      <c r="O180" s="1186">
        <v>42</v>
      </c>
      <c r="P180" s="1186">
        <v>32</v>
      </c>
      <c r="Q180" s="1186">
        <v>324</v>
      </c>
      <c r="R180" s="1186">
        <v>48</v>
      </c>
      <c r="S180" s="1186">
        <v>254</v>
      </c>
      <c r="T180" s="1186">
        <v>3</v>
      </c>
      <c r="U180" s="1186">
        <v>2</v>
      </c>
      <c r="V180" s="1186">
        <v>116</v>
      </c>
      <c r="W180" s="1186">
        <v>32</v>
      </c>
      <c r="X180" s="1186">
        <v>599640</v>
      </c>
    </row>
    <row r="181" spans="1:24" x14ac:dyDescent="0.2">
      <c r="A181" s="1186" t="s">
        <v>133</v>
      </c>
      <c r="B181" s="1186" t="s">
        <v>37</v>
      </c>
      <c r="C181" s="1186">
        <v>0</v>
      </c>
      <c r="D181" s="1186">
        <v>198</v>
      </c>
      <c r="E181" s="1186">
        <v>7</v>
      </c>
      <c r="F181" s="1186">
        <v>140</v>
      </c>
      <c r="G181" s="1186">
        <v>9</v>
      </c>
      <c r="H181" s="1186">
        <v>23</v>
      </c>
      <c r="I181" s="1186">
        <v>4</v>
      </c>
      <c r="J181" s="1186">
        <v>24</v>
      </c>
      <c r="K181" s="1186">
        <v>4</v>
      </c>
      <c r="L181" s="1186">
        <v>6</v>
      </c>
      <c r="M181" s="1186">
        <v>11</v>
      </c>
      <c r="N181" s="1186">
        <v>15</v>
      </c>
      <c r="O181" s="1186">
        <v>7</v>
      </c>
      <c r="P181" s="1186">
        <v>34</v>
      </c>
      <c r="Q181" s="1186">
        <v>56</v>
      </c>
      <c r="R181" s="1186">
        <v>28</v>
      </c>
      <c r="S181" s="1186">
        <v>13</v>
      </c>
      <c r="T181" s="1186">
        <v>0</v>
      </c>
      <c r="U181" s="1186">
        <v>4</v>
      </c>
      <c r="V181" s="1186">
        <v>60</v>
      </c>
      <c r="W181" s="1186">
        <v>10</v>
      </c>
      <c r="X181" s="1186">
        <v>233080</v>
      </c>
    </row>
    <row r="182" spans="1:24" x14ac:dyDescent="0.2">
      <c r="A182" s="1186" t="s">
        <v>133</v>
      </c>
      <c r="B182" s="1186" t="s">
        <v>38</v>
      </c>
      <c r="C182" s="1186">
        <v>0</v>
      </c>
      <c r="D182" s="1186">
        <v>36</v>
      </c>
      <c r="E182" s="1186">
        <v>2</v>
      </c>
      <c r="F182" s="1186">
        <v>44</v>
      </c>
      <c r="G182" s="1186">
        <v>0</v>
      </c>
      <c r="H182" s="1186">
        <v>5</v>
      </c>
      <c r="I182" s="1186">
        <v>1</v>
      </c>
      <c r="J182" s="1186">
        <v>19</v>
      </c>
      <c r="K182" s="1186">
        <v>3</v>
      </c>
      <c r="L182" s="1186">
        <v>2</v>
      </c>
      <c r="M182" s="1186">
        <v>0</v>
      </c>
      <c r="N182" s="1186">
        <v>5</v>
      </c>
      <c r="O182" s="1186">
        <v>1</v>
      </c>
      <c r="P182" s="1186">
        <v>7</v>
      </c>
      <c r="Q182" s="1186">
        <v>41</v>
      </c>
      <c r="R182" s="1186">
        <v>7</v>
      </c>
      <c r="S182" s="1186">
        <v>20</v>
      </c>
      <c r="T182" s="1186">
        <v>0</v>
      </c>
      <c r="U182" s="1186">
        <v>0</v>
      </c>
      <c r="V182" s="1186">
        <v>15</v>
      </c>
      <c r="W182" s="1186">
        <v>2</v>
      </c>
      <c r="X182" s="1186">
        <v>79890</v>
      </c>
    </row>
    <row r="183" spans="1:24" x14ac:dyDescent="0.2">
      <c r="A183" s="1186" t="s">
        <v>133</v>
      </c>
      <c r="B183" s="1186" t="s">
        <v>39</v>
      </c>
      <c r="C183" s="1186">
        <v>0</v>
      </c>
      <c r="D183" s="1186">
        <v>46</v>
      </c>
      <c r="E183" s="1186">
        <v>0</v>
      </c>
      <c r="F183" s="1186">
        <v>12</v>
      </c>
      <c r="G183" s="1186">
        <v>1</v>
      </c>
      <c r="H183" s="1186">
        <v>9</v>
      </c>
      <c r="I183" s="1186">
        <v>1</v>
      </c>
      <c r="J183" s="1186">
        <v>0</v>
      </c>
      <c r="K183" s="1186">
        <v>24</v>
      </c>
      <c r="L183" s="1186">
        <v>3</v>
      </c>
      <c r="M183" s="1186">
        <v>8</v>
      </c>
      <c r="N183" s="1186">
        <v>2</v>
      </c>
      <c r="O183" s="1186">
        <v>5</v>
      </c>
      <c r="P183" s="1186">
        <v>8</v>
      </c>
      <c r="Q183" s="1186">
        <v>28</v>
      </c>
      <c r="R183" s="1186">
        <v>5</v>
      </c>
      <c r="S183" s="1186">
        <v>12</v>
      </c>
      <c r="T183" s="1186">
        <v>0</v>
      </c>
      <c r="U183" s="1186">
        <v>0</v>
      </c>
      <c r="V183" s="1186">
        <v>9</v>
      </c>
      <c r="W183" s="1186">
        <v>4</v>
      </c>
      <c r="X183" s="1186">
        <v>86220</v>
      </c>
    </row>
    <row r="184" spans="1:24" x14ac:dyDescent="0.2">
      <c r="A184" s="1186" t="s">
        <v>133</v>
      </c>
      <c r="B184" s="1186" t="s">
        <v>40</v>
      </c>
      <c r="C184" s="1186">
        <v>0</v>
      </c>
      <c r="D184" s="1186">
        <v>48</v>
      </c>
      <c r="E184" s="1186">
        <v>2</v>
      </c>
      <c r="F184" s="1186">
        <v>30</v>
      </c>
      <c r="G184" s="1186">
        <v>3</v>
      </c>
      <c r="H184" s="1186">
        <v>5</v>
      </c>
      <c r="I184" s="1186">
        <v>0</v>
      </c>
      <c r="J184" s="1186">
        <v>3</v>
      </c>
      <c r="K184" s="1186">
        <v>4</v>
      </c>
      <c r="L184" s="1186">
        <v>1</v>
      </c>
      <c r="M184" s="1186">
        <v>1</v>
      </c>
      <c r="N184" s="1186">
        <v>5</v>
      </c>
      <c r="O184" s="1186">
        <v>2</v>
      </c>
      <c r="P184" s="1186">
        <v>5</v>
      </c>
      <c r="Q184" s="1186">
        <v>22</v>
      </c>
      <c r="R184" s="1186">
        <v>2</v>
      </c>
      <c r="S184" s="1186">
        <v>12</v>
      </c>
      <c r="T184" s="1186">
        <v>0</v>
      </c>
      <c r="U184" s="1186">
        <v>0</v>
      </c>
      <c r="V184" s="1186">
        <v>10</v>
      </c>
      <c r="W184" s="1186">
        <v>1</v>
      </c>
      <c r="X184" s="1186">
        <v>94770</v>
      </c>
    </row>
    <row r="185" spans="1:24" x14ac:dyDescent="0.2">
      <c r="A185" s="1186" t="s">
        <v>133</v>
      </c>
      <c r="B185" s="1186" t="s">
        <v>295</v>
      </c>
      <c r="C185" s="1186">
        <v>0</v>
      </c>
      <c r="D185" s="1186">
        <v>21</v>
      </c>
      <c r="E185" s="1186">
        <v>0</v>
      </c>
      <c r="F185" s="1186">
        <v>9</v>
      </c>
      <c r="G185" s="1186">
        <v>0</v>
      </c>
      <c r="H185" s="1186">
        <v>4</v>
      </c>
      <c r="I185" s="1186">
        <v>0</v>
      </c>
      <c r="J185" s="1186">
        <v>3</v>
      </c>
      <c r="K185" s="1186">
        <v>0</v>
      </c>
      <c r="L185" s="1186">
        <v>0</v>
      </c>
      <c r="M185" s="1186">
        <v>2</v>
      </c>
      <c r="N185" s="1186">
        <v>0</v>
      </c>
      <c r="O185" s="1186">
        <v>0</v>
      </c>
      <c r="P185" s="1186">
        <v>8</v>
      </c>
      <c r="Q185" s="1186">
        <v>2</v>
      </c>
      <c r="R185" s="1186">
        <v>20</v>
      </c>
      <c r="S185" s="1186">
        <v>1</v>
      </c>
      <c r="T185" s="1186">
        <v>0</v>
      </c>
      <c r="U185" s="1186">
        <v>3</v>
      </c>
      <c r="V185" s="1186">
        <v>5</v>
      </c>
      <c r="W185" s="1186">
        <v>1</v>
      </c>
      <c r="X185" s="1186">
        <v>27250</v>
      </c>
    </row>
    <row r="186" spans="1:24" x14ac:dyDescent="0.2">
      <c r="A186" s="1186" t="s">
        <v>133</v>
      </c>
      <c r="B186" s="1186" t="s">
        <v>41</v>
      </c>
      <c r="C186" s="1186">
        <v>0</v>
      </c>
      <c r="D186" s="1186">
        <v>62</v>
      </c>
      <c r="E186" s="1186">
        <v>3</v>
      </c>
      <c r="F186" s="1186">
        <v>28</v>
      </c>
      <c r="G186" s="1186">
        <v>1</v>
      </c>
      <c r="H186" s="1186">
        <v>13</v>
      </c>
      <c r="I186" s="1186">
        <v>4</v>
      </c>
      <c r="J186" s="1186">
        <v>6</v>
      </c>
      <c r="K186" s="1186">
        <v>8</v>
      </c>
      <c r="L186" s="1186">
        <v>3</v>
      </c>
      <c r="M186" s="1186">
        <v>2</v>
      </c>
      <c r="N186" s="1186">
        <v>2</v>
      </c>
      <c r="O186" s="1186">
        <v>6</v>
      </c>
      <c r="P186" s="1186">
        <v>13</v>
      </c>
      <c r="Q186" s="1186">
        <v>43</v>
      </c>
      <c r="R186" s="1186">
        <v>15</v>
      </c>
      <c r="S186" s="1186">
        <v>39</v>
      </c>
      <c r="T186" s="1186">
        <v>0</v>
      </c>
      <c r="U186" s="1186">
        <v>1</v>
      </c>
      <c r="V186" s="1186">
        <v>24</v>
      </c>
      <c r="W186" s="1186">
        <v>1</v>
      </c>
      <c r="X186" s="1186">
        <v>136480</v>
      </c>
    </row>
    <row r="187" spans="1:24" x14ac:dyDescent="0.2">
      <c r="A187" s="1186" t="s">
        <v>133</v>
      </c>
      <c r="B187" s="1186" t="s">
        <v>42</v>
      </c>
      <c r="C187" s="1186">
        <v>0</v>
      </c>
      <c r="D187" s="1186">
        <v>87</v>
      </c>
      <c r="E187" s="1186">
        <v>0</v>
      </c>
      <c r="F187" s="1186">
        <v>60</v>
      </c>
      <c r="G187" s="1186">
        <v>3</v>
      </c>
      <c r="H187" s="1186">
        <v>38</v>
      </c>
      <c r="I187" s="1186">
        <v>5</v>
      </c>
      <c r="J187" s="1186">
        <v>16</v>
      </c>
      <c r="K187" s="1186">
        <v>6</v>
      </c>
      <c r="L187" s="1186">
        <v>5</v>
      </c>
      <c r="M187" s="1186">
        <v>9</v>
      </c>
      <c r="N187" s="1186">
        <v>9</v>
      </c>
      <c r="O187" s="1186">
        <v>20</v>
      </c>
      <c r="P187" s="1186">
        <v>15</v>
      </c>
      <c r="Q187" s="1186">
        <v>95</v>
      </c>
      <c r="R187" s="1186">
        <v>11</v>
      </c>
      <c r="S187" s="1186">
        <v>86</v>
      </c>
      <c r="T187" s="1186">
        <v>1</v>
      </c>
      <c r="U187" s="1186">
        <v>0</v>
      </c>
      <c r="V187" s="1186">
        <v>48</v>
      </c>
      <c r="W187" s="1186">
        <v>16</v>
      </c>
      <c r="X187" s="1186">
        <v>338000</v>
      </c>
    </row>
    <row r="188" spans="1:24" x14ac:dyDescent="0.2">
      <c r="A188" s="1186" t="s">
        <v>133</v>
      </c>
      <c r="B188" s="1186" t="s">
        <v>43</v>
      </c>
      <c r="C188" s="1186">
        <v>0</v>
      </c>
      <c r="D188" s="1186">
        <v>7</v>
      </c>
      <c r="E188" s="1186">
        <v>0</v>
      </c>
      <c r="F188" s="1186">
        <v>2</v>
      </c>
      <c r="G188" s="1186">
        <v>0</v>
      </c>
      <c r="H188" s="1186">
        <v>4</v>
      </c>
      <c r="I188" s="1186">
        <v>0</v>
      </c>
      <c r="J188" s="1186">
        <v>1</v>
      </c>
      <c r="K188" s="1186">
        <v>0</v>
      </c>
      <c r="L188" s="1186">
        <v>1</v>
      </c>
      <c r="M188" s="1186">
        <v>0</v>
      </c>
      <c r="N188" s="1186">
        <v>0</v>
      </c>
      <c r="O188" s="1186">
        <v>1</v>
      </c>
      <c r="P188" s="1186">
        <v>0</v>
      </c>
      <c r="Q188" s="1186">
        <v>3</v>
      </c>
      <c r="R188" s="1186">
        <v>0</v>
      </c>
      <c r="S188" s="1186">
        <v>0</v>
      </c>
      <c r="T188" s="1186">
        <v>0</v>
      </c>
      <c r="U188" s="1186">
        <v>0</v>
      </c>
      <c r="V188" s="1186">
        <v>8</v>
      </c>
      <c r="W188" s="1186">
        <v>0</v>
      </c>
      <c r="X188" s="1186">
        <v>21580</v>
      </c>
    </row>
    <row r="189" spans="1:24" x14ac:dyDescent="0.2">
      <c r="A189" s="1186" t="s">
        <v>133</v>
      </c>
      <c r="B189" s="1186" t="s">
        <v>44</v>
      </c>
      <c r="C189" s="1186">
        <v>0</v>
      </c>
      <c r="D189" s="1186">
        <v>94</v>
      </c>
      <c r="E189" s="1186">
        <v>7</v>
      </c>
      <c r="F189" s="1186">
        <v>27</v>
      </c>
      <c r="G189" s="1186">
        <v>11</v>
      </c>
      <c r="H189" s="1186">
        <v>9</v>
      </c>
      <c r="I189" s="1186">
        <v>1</v>
      </c>
      <c r="J189" s="1186">
        <v>8</v>
      </c>
      <c r="K189" s="1186">
        <v>6</v>
      </c>
      <c r="L189" s="1186">
        <v>4</v>
      </c>
      <c r="M189" s="1186">
        <v>4</v>
      </c>
      <c r="N189" s="1186">
        <v>10</v>
      </c>
      <c r="O189" s="1186">
        <v>8</v>
      </c>
      <c r="P189" s="1186">
        <v>9</v>
      </c>
      <c r="Q189" s="1186">
        <v>21</v>
      </c>
      <c r="R189" s="1186">
        <v>19</v>
      </c>
      <c r="S189" s="1186">
        <v>5</v>
      </c>
      <c r="T189" s="1186">
        <v>1</v>
      </c>
      <c r="U189" s="1186">
        <v>0</v>
      </c>
      <c r="V189" s="1186">
        <v>14</v>
      </c>
      <c r="W189" s="1186">
        <v>1</v>
      </c>
      <c r="X189" s="1186">
        <v>148930</v>
      </c>
    </row>
    <row r="190" spans="1:24" x14ac:dyDescent="0.2">
      <c r="A190" s="1186" t="s">
        <v>133</v>
      </c>
      <c r="B190" s="1186" t="s">
        <v>45</v>
      </c>
      <c r="C190" s="1186">
        <v>0</v>
      </c>
      <c r="D190" s="1186">
        <v>56</v>
      </c>
      <c r="E190" s="1186">
        <v>0</v>
      </c>
      <c r="F190" s="1186">
        <v>46</v>
      </c>
      <c r="G190" s="1186">
        <v>5</v>
      </c>
      <c r="H190" s="1186">
        <v>18</v>
      </c>
      <c r="I190" s="1186">
        <v>3</v>
      </c>
      <c r="J190" s="1186">
        <v>21</v>
      </c>
      <c r="K190" s="1186">
        <v>9</v>
      </c>
      <c r="L190" s="1186">
        <v>8</v>
      </c>
      <c r="M190" s="1186">
        <v>4</v>
      </c>
      <c r="N190" s="1186">
        <v>8</v>
      </c>
      <c r="O190" s="1186">
        <v>10</v>
      </c>
      <c r="P190" s="1186">
        <v>4</v>
      </c>
      <c r="Q190" s="1186">
        <v>66</v>
      </c>
      <c r="R190" s="1186">
        <v>9</v>
      </c>
      <c r="S190" s="1186">
        <v>79</v>
      </c>
      <c r="T190" s="1186">
        <v>0</v>
      </c>
      <c r="U190" s="1186">
        <v>6</v>
      </c>
      <c r="V190" s="1186">
        <v>29</v>
      </c>
      <c r="W190" s="1186">
        <v>3</v>
      </c>
      <c r="X190" s="1186">
        <v>174230</v>
      </c>
    </row>
    <row r="191" spans="1:24" x14ac:dyDescent="0.2">
      <c r="A191" s="1186" t="s">
        <v>133</v>
      </c>
      <c r="B191" s="1186" t="s">
        <v>46</v>
      </c>
      <c r="C191" s="1186">
        <v>0</v>
      </c>
      <c r="D191" s="1186">
        <v>92</v>
      </c>
      <c r="E191" s="1186">
        <v>1</v>
      </c>
      <c r="F191" s="1186">
        <v>17</v>
      </c>
      <c r="G191" s="1186">
        <v>5</v>
      </c>
      <c r="H191" s="1186">
        <v>13</v>
      </c>
      <c r="I191" s="1186">
        <v>2</v>
      </c>
      <c r="J191" s="1186">
        <v>3</v>
      </c>
      <c r="K191" s="1186">
        <v>21</v>
      </c>
      <c r="L191" s="1186">
        <v>2</v>
      </c>
      <c r="M191" s="1186">
        <v>3</v>
      </c>
      <c r="N191" s="1186">
        <v>4</v>
      </c>
      <c r="O191" s="1186">
        <v>5</v>
      </c>
      <c r="P191" s="1186">
        <v>10</v>
      </c>
      <c r="Q191" s="1186">
        <v>34</v>
      </c>
      <c r="R191" s="1186">
        <v>1</v>
      </c>
      <c r="S191" s="1186">
        <v>15</v>
      </c>
      <c r="T191" s="1186">
        <v>1</v>
      </c>
      <c r="U191" s="1186">
        <v>0</v>
      </c>
      <c r="V191" s="1186">
        <v>12</v>
      </c>
      <c r="W191" s="1186">
        <v>3</v>
      </c>
      <c r="X191" s="1186">
        <v>114040</v>
      </c>
    </row>
    <row r="192" spans="1:24" x14ac:dyDescent="0.2">
      <c r="A192" s="1186" t="s">
        <v>133</v>
      </c>
      <c r="B192" s="1186" t="s">
        <v>47</v>
      </c>
      <c r="C192" s="1186">
        <v>0</v>
      </c>
      <c r="D192" s="1186">
        <v>10</v>
      </c>
      <c r="E192" s="1186">
        <v>4</v>
      </c>
      <c r="F192" s="1186">
        <v>13</v>
      </c>
      <c r="G192" s="1186">
        <v>0</v>
      </c>
      <c r="H192" s="1186">
        <v>0</v>
      </c>
      <c r="I192" s="1186">
        <v>0</v>
      </c>
      <c r="J192" s="1186">
        <v>1</v>
      </c>
      <c r="K192" s="1186">
        <v>1</v>
      </c>
      <c r="L192" s="1186">
        <v>1</v>
      </c>
      <c r="M192" s="1186">
        <v>2</v>
      </c>
      <c r="N192" s="1186">
        <v>1</v>
      </c>
      <c r="O192" s="1186">
        <v>0</v>
      </c>
      <c r="P192" s="1186">
        <v>1</v>
      </c>
      <c r="Q192" s="1186">
        <v>3</v>
      </c>
      <c r="R192" s="1186">
        <v>3</v>
      </c>
      <c r="S192" s="1186">
        <v>1</v>
      </c>
      <c r="T192" s="1186">
        <v>0</v>
      </c>
      <c r="U192" s="1186">
        <v>2</v>
      </c>
      <c r="V192" s="1186">
        <v>1</v>
      </c>
      <c r="W192" s="1186">
        <v>1</v>
      </c>
      <c r="X192" s="1186">
        <v>23220</v>
      </c>
    </row>
    <row r="193" spans="1:24" x14ac:dyDescent="0.2">
      <c r="A193" s="1186" t="s">
        <v>133</v>
      </c>
      <c r="B193" s="1186" t="s">
        <v>48</v>
      </c>
      <c r="C193" s="1186">
        <v>0</v>
      </c>
      <c r="D193" s="1186">
        <v>44</v>
      </c>
      <c r="E193" s="1186">
        <v>3</v>
      </c>
      <c r="F193" s="1186">
        <v>14</v>
      </c>
      <c r="G193" s="1186">
        <v>9</v>
      </c>
      <c r="H193" s="1186">
        <v>6</v>
      </c>
      <c r="I193" s="1186">
        <v>1</v>
      </c>
      <c r="J193" s="1186">
        <v>18</v>
      </c>
      <c r="K193" s="1186">
        <v>5</v>
      </c>
      <c r="L193" s="1186">
        <v>2</v>
      </c>
      <c r="M193" s="1186">
        <v>2</v>
      </c>
      <c r="N193" s="1186">
        <v>6</v>
      </c>
      <c r="O193" s="1186">
        <v>2</v>
      </c>
      <c r="P193" s="1186">
        <v>7</v>
      </c>
      <c r="Q193" s="1186">
        <v>25</v>
      </c>
      <c r="R193" s="1186">
        <v>7</v>
      </c>
      <c r="S193" s="1186">
        <v>36</v>
      </c>
      <c r="T193" s="1186">
        <v>0</v>
      </c>
      <c r="U193" s="1186">
        <v>3</v>
      </c>
      <c r="V193" s="1186">
        <v>15</v>
      </c>
      <c r="W193" s="1186">
        <v>2</v>
      </c>
      <c r="X193" s="1186">
        <v>112530</v>
      </c>
    </row>
    <row r="194" spans="1:24" x14ac:dyDescent="0.2">
      <c r="A194" s="1186" t="s">
        <v>133</v>
      </c>
      <c r="B194" s="1186" t="s">
        <v>49</v>
      </c>
      <c r="C194" s="1186">
        <v>0</v>
      </c>
      <c r="D194" s="1186">
        <v>140</v>
      </c>
      <c r="E194" s="1186">
        <v>0</v>
      </c>
      <c r="F194" s="1186">
        <v>63</v>
      </c>
      <c r="G194" s="1186">
        <v>7</v>
      </c>
      <c r="H194" s="1186">
        <v>23</v>
      </c>
      <c r="I194" s="1186">
        <v>5</v>
      </c>
      <c r="J194" s="1186">
        <v>15</v>
      </c>
      <c r="K194" s="1186">
        <v>10</v>
      </c>
      <c r="L194" s="1186">
        <v>6</v>
      </c>
      <c r="M194" s="1186">
        <v>10</v>
      </c>
      <c r="N194" s="1186">
        <v>14</v>
      </c>
      <c r="O194" s="1186">
        <v>5</v>
      </c>
      <c r="P194" s="1186">
        <v>22</v>
      </c>
      <c r="Q194" s="1186">
        <v>97</v>
      </c>
      <c r="R194" s="1186">
        <v>17</v>
      </c>
      <c r="S194" s="1186">
        <v>100</v>
      </c>
      <c r="T194" s="1186">
        <v>0</v>
      </c>
      <c r="U194" s="1186">
        <v>1</v>
      </c>
      <c r="V194" s="1186">
        <v>34</v>
      </c>
      <c r="W194" s="1186">
        <v>11</v>
      </c>
      <c r="X194" s="1186">
        <v>315300</v>
      </c>
    </row>
    <row r="195" spans="1:24" x14ac:dyDescent="0.2">
      <c r="A195" s="1186" t="s">
        <v>133</v>
      </c>
      <c r="B195" s="1186" t="s">
        <v>50</v>
      </c>
      <c r="C195" s="1186">
        <v>0</v>
      </c>
      <c r="D195" s="1186">
        <v>56</v>
      </c>
      <c r="E195" s="1186">
        <v>3</v>
      </c>
      <c r="F195" s="1186">
        <v>15</v>
      </c>
      <c r="G195" s="1186">
        <v>5</v>
      </c>
      <c r="H195" s="1186">
        <v>11</v>
      </c>
      <c r="I195" s="1186">
        <v>0</v>
      </c>
      <c r="J195" s="1186">
        <v>6</v>
      </c>
      <c r="K195" s="1186">
        <v>6</v>
      </c>
      <c r="L195" s="1186">
        <v>4</v>
      </c>
      <c r="M195" s="1186">
        <v>4</v>
      </c>
      <c r="N195" s="1186">
        <v>3</v>
      </c>
      <c r="O195" s="1186">
        <v>4</v>
      </c>
      <c r="P195" s="1186">
        <v>13</v>
      </c>
      <c r="Q195" s="1186">
        <v>27</v>
      </c>
      <c r="R195" s="1186">
        <v>1</v>
      </c>
      <c r="S195" s="1186">
        <v>5</v>
      </c>
      <c r="T195" s="1186">
        <v>0</v>
      </c>
      <c r="U195" s="1186">
        <v>0</v>
      </c>
      <c r="V195" s="1186">
        <v>22</v>
      </c>
      <c r="W195" s="1186">
        <v>2</v>
      </c>
      <c r="X195" s="1186">
        <v>91520</v>
      </c>
    </row>
    <row r="196" spans="1:24" x14ac:dyDescent="0.2">
      <c r="A196" s="1186" t="s">
        <v>133</v>
      </c>
      <c r="B196" s="1186" t="s">
        <v>51</v>
      </c>
      <c r="C196" s="1186">
        <v>0</v>
      </c>
      <c r="D196" s="1186">
        <v>33</v>
      </c>
      <c r="E196" s="1186">
        <v>0</v>
      </c>
      <c r="F196" s="1186">
        <v>24</v>
      </c>
      <c r="G196" s="1186">
        <v>2</v>
      </c>
      <c r="H196" s="1186">
        <v>5</v>
      </c>
      <c r="I196" s="1186">
        <v>2</v>
      </c>
      <c r="J196" s="1186">
        <v>8</v>
      </c>
      <c r="K196" s="1186">
        <v>2</v>
      </c>
      <c r="L196" s="1186">
        <v>3</v>
      </c>
      <c r="M196" s="1186">
        <v>0</v>
      </c>
      <c r="N196" s="1186">
        <v>1</v>
      </c>
      <c r="O196" s="1186">
        <v>10</v>
      </c>
      <c r="P196" s="1186">
        <v>6</v>
      </c>
      <c r="Q196" s="1186">
        <v>25</v>
      </c>
      <c r="R196" s="1186">
        <v>2</v>
      </c>
      <c r="S196" s="1186">
        <v>24</v>
      </c>
      <c r="T196" s="1186">
        <v>0</v>
      </c>
      <c r="U196" s="1186">
        <v>0</v>
      </c>
      <c r="V196" s="1186">
        <v>24</v>
      </c>
      <c r="W196" s="1186">
        <v>3</v>
      </c>
      <c r="X196" s="1186">
        <v>89710</v>
      </c>
    </row>
    <row r="197" spans="1:24" x14ac:dyDescent="0.2">
      <c r="A197" s="1186" t="s">
        <v>133</v>
      </c>
      <c r="B197" s="1186" t="s">
        <v>52</v>
      </c>
      <c r="C197" s="1186">
        <v>0</v>
      </c>
      <c r="D197" s="1186">
        <v>104</v>
      </c>
      <c r="E197" s="1186">
        <v>2</v>
      </c>
      <c r="F197" s="1186">
        <v>21</v>
      </c>
      <c r="G197" s="1186">
        <v>2</v>
      </c>
      <c r="H197" s="1186">
        <v>25</v>
      </c>
      <c r="I197" s="1186">
        <v>3</v>
      </c>
      <c r="J197" s="1186">
        <v>3</v>
      </c>
      <c r="K197" s="1186">
        <v>13</v>
      </c>
      <c r="L197" s="1186">
        <v>3</v>
      </c>
      <c r="M197" s="1186">
        <v>10</v>
      </c>
      <c r="N197" s="1186">
        <v>7</v>
      </c>
      <c r="O197" s="1186">
        <v>7</v>
      </c>
      <c r="P197" s="1186">
        <v>11</v>
      </c>
      <c r="Q197" s="1186">
        <v>64</v>
      </c>
      <c r="R197" s="1186">
        <v>7</v>
      </c>
      <c r="S197" s="1186">
        <v>19</v>
      </c>
      <c r="T197" s="1186">
        <v>0</v>
      </c>
      <c r="U197" s="1186">
        <v>0</v>
      </c>
      <c r="V197" s="1186">
        <v>11</v>
      </c>
      <c r="W197" s="1186">
        <v>2</v>
      </c>
      <c r="X197" s="1186">
        <v>177200</v>
      </c>
    </row>
    <row r="198" spans="1:24" x14ac:dyDescent="0.2">
      <c r="A198" s="1186" t="s">
        <v>144</v>
      </c>
      <c r="B198" s="1186" t="s">
        <v>23</v>
      </c>
      <c r="C198" s="1186">
        <v>0</v>
      </c>
      <c r="D198" s="1186">
        <v>58</v>
      </c>
      <c r="E198" s="1186">
        <v>12</v>
      </c>
      <c r="F198" s="1186">
        <v>43</v>
      </c>
      <c r="G198" s="1186">
        <v>4</v>
      </c>
      <c r="H198" s="1186">
        <v>23</v>
      </c>
      <c r="I198" s="1186">
        <v>2</v>
      </c>
      <c r="J198" s="1186">
        <v>117</v>
      </c>
      <c r="K198" s="1186">
        <v>11</v>
      </c>
      <c r="L198" s="1186">
        <v>4</v>
      </c>
      <c r="M198" s="1186">
        <v>5</v>
      </c>
      <c r="N198" s="1186">
        <v>9</v>
      </c>
      <c r="O198" s="1186">
        <v>7</v>
      </c>
      <c r="P198" s="1186">
        <v>11</v>
      </c>
      <c r="Q198" s="1186">
        <v>113</v>
      </c>
      <c r="R198" s="1186">
        <v>21</v>
      </c>
      <c r="S198" s="1186">
        <v>57</v>
      </c>
      <c r="T198" s="1186">
        <v>0</v>
      </c>
      <c r="U198" s="1186">
        <v>15</v>
      </c>
      <c r="V198" s="1186">
        <v>27</v>
      </c>
      <c r="W198" s="1186">
        <v>39</v>
      </c>
      <c r="X198" s="1186">
        <v>230350</v>
      </c>
    </row>
    <row r="199" spans="1:24" x14ac:dyDescent="0.2">
      <c r="A199" s="1186" t="s">
        <v>144</v>
      </c>
      <c r="B199" s="1186" t="s">
        <v>24</v>
      </c>
      <c r="C199" s="1186">
        <v>0</v>
      </c>
      <c r="D199" s="1186">
        <v>187</v>
      </c>
      <c r="E199" s="1186">
        <v>5</v>
      </c>
      <c r="F199" s="1186">
        <v>84</v>
      </c>
      <c r="G199" s="1186">
        <v>14</v>
      </c>
      <c r="H199" s="1186">
        <v>13</v>
      </c>
      <c r="I199" s="1186">
        <v>0</v>
      </c>
      <c r="J199" s="1186">
        <v>11</v>
      </c>
      <c r="K199" s="1186">
        <v>68</v>
      </c>
      <c r="L199" s="1186">
        <v>8</v>
      </c>
      <c r="M199" s="1186">
        <v>2</v>
      </c>
      <c r="N199" s="1186">
        <v>4</v>
      </c>
      <c r="O199" s="1186">
        <v>4</v>
      </c>
      <c r="P199" s="1186">
        <v>16</v>
      </c>
      <c r="Q199" s="1186">
        <v>50</v>
      </c>
      <c r="R199" s="1186">
        <v>9</v>
      </c>
      <c r="S199" s="1186">
        <v>29</v>
      </c>
      <c r="T199" s="1186">
        <v>0</v>
      </c>
      <c r="U199" s="1186">
        <v>1</v>
      </c>
      <c r="V199" s="1186">
        <v>32</v>
      </c>
      <c r="W199" s="1186">
        <v>4</v>
      </c>
      <c r="X199" s="1186">
        <v>261960</v>
      </c>
    </row>
    <row r="200" spans="1:24" x14ac:dyDescent="0.2">
      <c r="A200" s="1186" t="s">
        <v>144</v>
      </c>
      <c r="B200" s="1186" t="s">
        <v>25</v>
      </c>
      <c r="C200" s="1186">
        <v>0</v>
      </c>
      <c r="D200" s="1186">
        <v>69</v>
      </c>
      <c r="E200" s="1186">
        <v>1</v>
      </c>
      <c r="F200" s="1186">
        <v>56</v>
      </c>
      <c r="G200" s="1186">
        <v>5</v>
      </c>
      <c r="H200" s="1186">
        <v>9</v>
      </c>
      <c r="I200" s="1186">
        <v>0</v>
      </c>
      <c r="J200" s="1186">
        <v>1</v>
      </c>
      <c r="K200" s="1186">
        <v>6</v>
      </c>
      <c r="L200" s="1186">
        <v>2</v>
      </c>
      <c r="M200" s="1186">
        <v>1</v>
      </c>
      <c r="N200" s="1186">
        <v>3</v>
      </c>
      <c r="O200" s="1186">
        <v>3</v>
      </c>
      <c r="P200" s="1186">
        <v>9</v>
      </c>
      <c r="Q200" s="1186">
        <v>39</v>
      </c>
      <c r="R200" s="1186">
        <v>15</v>
      </c>
      <c r="S200" s="1186">
        <v>2</v>
      </c>
      <c r="T200" s="1186">
        <v>0</v>
      </c>
      <c r="U200" s="1186">
        <v>0</v>
      </c>
      <c r="V200" s="1186">
        <v>17</v>
      </c>
      <c r="W200" s="1186">
        <v>2</v>
      </c>
      <c r="X200" s="1186">
        <v>116900</v>
      </c>
    </row>
    <row r="201" spans="1:24" x14ac:dyDescent="0.2">
      <c r="A201" s="1186" t="s">
        <v>144</v>
      </c>
      <c r="B201" s="1186" t="s">
        <v>26</v>
      </c>
      <c r="C201" s="1186">
        <v>0</v>
      </c>
      <c r="D201" s="1186">
        <v>70</v>
      </c>
      <c r="E201" s="1186">
        <v>1</v>
      </c>
      <c r="F201" s="1186">
        <v>34</v>
      </c>
      <c r="G201" s="1186">
        <v>4</v>
      </c>
      <c r="H201" s="1186">
        <v>5</v>
      </c>
      <c r="I201" s="1186">
        <v>0</v>
      </c>
      <c r="J201" s="1186">
        <v>7</v>
      </c>
      <c r="K201" s="1186">
        <v>9</v>
      </c>
      <c r="L201" s="1186">
        <v>1</v>
      </c>
      <c r="M201" s="1186">
        <v>0</v>
      </c>
      <c r="N201" s="1186">
        <v>4</v>
      </c>
      <c r="O201" s="1186">
        <v>3</v>
      </c>
      <c r="P201" s="1186">
        <v>8</v>
      </c>
      <c r="Q201" s="1186">
        <v>20</v>
      </c>
      <c r="R201" s="1186">
        <v>4</v>
      </c>
      <c r="S201" s="1186">
        <v>20</v>
      </c>
      <c r="T201" s="1186">
        <v>2</v>
      </c>
      <c r="U201" s="1186">
        <v>31</v>
      </c>
      <c r="V201" s="1186">
        <v>50</v>
      </c>
      <c r="W201" s="1186">
        <v>2</v>
      </c>
      <c r="X201" s="1186">
        <v>86890</v>
      </c>
    </row>
    <row r="202" spans="1:24" x14ac:dyDescent="0.2">
      <c r="A202" s="1186" t="s">
        <v>144</v>
      </c>
      <c r="B202" s="1186" t="s">
        <v>619</v>
      </c>
      <c r="C202" s="1186">
        <v>0</v>
      </c>
      <c r="D202" s="1186">
        <v>143</v>
      </c>
      <c r="E202" s="1186">
        <v>10</v>
      </c>
      <c r="F202" s="1186">
        <v>138</v>
      </c>
      <c r="G202" s="1186">
        <v>7</v>
      </c>
      <c r="H202" s="1186">
        <v>68</v>
      </c>
      <c r="I202" s="1186">
        <v>4</v>
      </c>
      <c r="J202" s="1186">
        <v>109</v>
      </c>
      <c r="K202" s="1186">
        <v>49</v>
      </c>
      <c r="L202" s="1186">
        <v>9</v>
      </c>
      <c r="M202" s="1186">
        <v>40</v>
      </c>
      <c r="N202" s="1186">
        <v>30</v>
      </c>
      <c r="O202" s="1186">
        <v>33</v>
      </c>
      <c r="P202" s="1186">
        <v>21</v>
      </c>
      <c r="Q202" s="1186">
        <v>485</v>
      </c>
      <c r="R202" s="1186">
        <v>57</v>
      </c>
      <c r="S202" s="1186">
        <v>143</v>
      </c>
      <c r="T202" s="1186">
        <v>1</v>
      </c>
      <c r="U202" s="1186">
        <v>2</v>
      </c>
      <c r="V202" s="1186">
        <v>78</v>
      </c>
      <c r="W202" s="1186">
        <v>20</v>
      </c>
      <c r="X202" s="1186">
        <v>498810</v>
      </c>
    </row>
    <row r="203" spans="1:24" x14ac:dyDescent="0.2">
      <c r="A203" s="1186" t="s">
        <v>144</v>
      </c>
      <c r="B203" s="1186" t="s">
        <v>27</v>
      </c>
      <c r="C203" s="1186">
        <v>0</v>
      </c>
      <c r="D203" s="1186">
        <v>19</v>
      </c>
      <c r="E203" s="1186">
        <v>1</v>
      </c>
      <c r="F203" s="1186">
        <v>6</v>
      </c>
      <c r="G203" s="1186">
        <v>0</v>
      </c>
      <c r="H203" s="1186">
        <v>6</v>
      </c>
      <c r="I203" s="1186">
        <v>0</v>
      </c>
      <c r="J203" s="1186">
        <v>0</v>
      </c>
      <c r="K203" s="1186">
        <v>6</v>
      </c>
      <c r="L203" s="1186">
        <v>2</v>
      </c>
      <c r="M203" s="1186">
        <v>1</v>
      </c>
      <c r="N203" s="1186">
        <v>2</v>
      </c>
      <c r="O203" s="1186">
        <v>5</v>
      </c>
      <c r="P203" s="1186">
        <v>7</v>
      </c>
      <c r="Q203" s="1186">
        <v>16</v>
      </c>
      <c r="R203" s="1186">
        <v>2</v>
      </c>
      <c r="S203" s="1186">
        <v>0</v>
      </c>
      <c r="T203" s="1186">
        <v>0</v>
      </c>
      <c r="U203" s="1186">
        <v>0</v>
      </c>
      <c r="V203" s="1186">
        <v>20</v>
      </c>
      <c r="W203" s="1186">
        <v>0</v>
      </c>
      <c r="X203" s="1186">
        <v>51360</v>
      </c>
    </row>
    <row r="204" spans="1:24" x14ac:dyDescent="0.2">
      <c r="A204" s="1186" t="s">
        <v>144</v>
      </c>
      <c r="B204" s="1186" t="s">
        <v>28</v>
      </c>
      <c r="C204" s="1186">
        <v>0</v>
      </c>
      <c r="D204" s="1186">
        <v>102</v>
      </c>
      <c r="E204" s="1186">
        <v>2</v>
      </c>
      <c r="F204" s="1186">
        <v>69</v>
      </c>
      <c r="G204" s="1186">
        <v>9</v>
      </c>
      <c r="H204" s="1186">
        <v>17</v>
      </c>
      <c r="I204" s="1186">
        <v>2</v>
      </c>
      <c r="J204" s="1186">
        <v>17</v>
      </c>
      <c r="K204" s="1186">
        <v>18</v>
      </c>
      <c r="L204" s="1186">
        <v>3</v>
      </c>
      <c r="M204" s="1186">
        <v>6</v>
      </c>
      <c r="N204" s="1186">
        <v>15</v>
      </c>
      <c r="O204" s="1186">
        <v>6</v>
      </c>
      <c r="P204" s="1186">
        <v>16</v>
      </c>
      <c r="Q204" s="1186">
        <v>48</v>
      </c>
      <c r="R204" s="1186">
        <v>9</v>
      </c>
      <c r="S204" s="1186">
        <v>7</v>
      </c>
      <c r="T204" s="1186">
        <v>0</v>
      </c>
      <c r="U204" s="1186">
        <v>0</v>
      </c>
      <c r="V204" s="1186">
        <v>24</v>
      </c>
      <c r="W204" s="1186">
        <v>5</v>
      </c>
      <c r="X204" s="1186">
        <v>149670</v>
      </c>
    </row>
    <row r="205" spans="1:24" x14ac:dyDescent="0.2">
      <c r="A205" s="1186" t="s">
        <v>144</v>
      </c>
      <c r="B205" s="1186" t="s">
        <v>29</v>
      </c>
      <c r="C205" s="1186">
        <v>0</v>
      </c>
      <c r="D205" s="1186">
        <v>40</v>
      </c>
      <c r="E205" s="1186">
        <v>4</v>
      </c>
      <c r="F205" s="1186">
        <v>35</v>
      </c>
      <c r="G205" s="1186">
        <v>3</v>
      </c>
      <c r="H205" s="1186">
        <v>20</v>
      </c>
      <c r="I205" s="1186">
        <v>4</v>
      </c>
      <c r="J205" s="1186">
        <v>34</v>
      </c>
      <c r="K205" s="1186">
        <v>11</v>
      </c>
      <c r="L205" s="1186">
        <v>1</v>
      </c>
      <c r="M205" s="1186">
        <v>9</v>
      </c>
      <c r="N205" s="1186">
        <v>20</v>
      </c>
      <c r="O205" s="1186">
        <v>13</v>
      </c>
      <c r="P205" s="1186">
        <v>15</v>
      </c>
      <c r="Q205" s="1186">
        <v>97</v>
      </c>
      <c r="R205" s="1186">
        <v>62</v>
      </c>
      <c r="S205" s="1186">
        <v>12</v>
      </c>
      <c r="T205" s="1186">
        <v>0</v>
      </c>
      <c r="U205" s="1186">
        <v>0</v>
      </c>
      <c r="V205" s="1186">
        <v>20</v>
      </c>
      <c r="W205" s="1186">
        <v>5</v>
      </c>
      <c r="X205" s="1186">
        <v>148210</v>
      </c>
    </row>
    <row r="206" spans="1:24" x14ac:dyDescent="0.2">
      <c r="A206" s="1186" t="s">
        <v>144</v>
      </c>
      <c r="B206" s="1186" t="s">
        <v>30</v>
      </c>
      <c r="C206" s="1186">
        <v>0</v>
      </c>
      <c r="D206" s="1186">
        <v>66</v>
      </c>
      <c r="E206" s="1186">
        <v>4</v>
      </c>
      <c r="F206" s="1186">
        <v>24</v>
      </c>
      <c r="G206" s="1186">
        <v>1</v>
      </c>
      <c r="H206" s="1186">
        <v>12</v>
      </c>
      <c r="I206" s="1186">
        <v>0</v>
      </c>
      <c r="J206" s="1186">
        <v>3</v>
      </c>
      <c r="K206" s="1186">
        <v>3</v>
      </c>
      <c r="L206" s="1186">
        <v>0</v>
      </c>
      <c r="M206" s="1186">
        <v>3</v>
      </c>
      <c r="N206" s="1186">
        <v>2</v>
      </c>
      <c r="O206" s="1186">
        <v>1</v>
      </c>
      <c r="P206" s="1186">
        <v>8</v>
      </c>
      <c r="Q206" s="1186">
        <v>24</v>
      </c>
      <c r="R206" s="1186">
        <v>4</v>
      </c>
      <c r="S206" s="1186">
        <v>41</v>
      </c>
      <c r="T206" s="1186">
        <v>0</v>
      </c>
      <c r="U206" s="1186">
        <v>1</v>
      </c>
      <c r="V206" s="1186">
        <v>15</v>
      </c>
      <c r="W206" s="1186">
        <v>3</v>
      </c>
      <c r="X206" s="1186">
        <v>122060</v>
      </c>
    </row>
    <row r="207" spans="1:24" x14ac:dyDescent="0.2">
      <c r="A207" s="1186" t="s">
        <v>144</v>
      </c>
      <c r="B207" s="1186" t="s">
        <v>31</v>
      </c>
      <c r="C207" s="1186">
        <v>0</v>
      </c>
      <c r="D207" s="1186">
        <v>24</v>
      </c>
      <c r="E207" s="1186">
        <v>1</v>
      </c>
      <c r="F207" s="1186">
        <v>20</v>
      </c>
      <c r="G207" s="1186">
        <v>3</v>
      </c>
      <c r="H207" s="1186">
        <v>4</v>
      </c>
      <c r="I207" s="1186">
        <v>0</v>
      </c>
      <c r="J207" s="1186">
        <v>3</v>
      </c>
      <c r="K207" s="1186">
        <v>8</v>
      </c>
      <c r="L207" s="1186">
        <v>0</v>
      </c>
      <c r="M207" s="1186">
        <v>0</v>
      </c>
      <c r="N207" s="1186">
        <v>1</v>
      </c>
      <c r="O207" s="1186">
        <v>16</v>
      </c>
      <c r="P207" s="1186">
        <v>7</v>
      </c>
      <c r="Q207" s="1186">
        <v>38</v>
      </c>
      <c r="R207" s="1186">
        <v>1</v>
      </c>
      <c r="S207" s="1186">
        <v>30</v>
      </c>
      <c r="T207" s="1186">
        <v>0</v>
      </c>
      <c r="U207" s="1186">
        <v>0</v>
      </c>
      <c r="V207" s="1186">
        <v>11</v>
      </c>
      <c r="W207" s="1186">
        <v>1</v>
      </c>
      <c r="X207" s="1186">
        <v>106960</v>
      </c>
    </row>
    <row r="208" spans="1:24" x14ac:dyDescent="0.2">
      <c r="A208" s="1186" t="s">
        <v>144</v>
      </c>
      <c r="B208" s="1186" t="s">
        <v>32</v>
      </c>
      <c r="C208" s="1186">
        <v>0</v>
      </c>
      <c r="D208" s="1186">
        <v>57</v>
      </c>
      <c r="E208" s="1186">
        <v>2</v>
      </c>
      <c r="F208" s="1186">
        <v>12</v>
      </c>
      <c r="G208" s="1186">
        <v>2</v>
      </c>
      <c r="H208" s="1186">
        <v>15</v>
      </c>
      <c r="I208" s="1186">
        <v>1</v>
      </c>
      <c r="J208" s="1186">
        <v>4</v>
      </c>
      <c r="K208" s="1186">
        <v>24</v>
      </c>
      <c r="L208" s="1186">
        <v>3</v>
      </c>
      <c r="M208" s="1186">
        <v>10</v>
      </c>
      <c r="N208" s="1186">
        <v>2</v>
      </c>
      <c r="O208" s="1186">
        <v>4</v>
      </c>
      <c r="P208" s="1186">
        <v>7</v>
      </c>
      <c r="Q208" s="1186">
        <v>34</v>
      </c>
      <c r="R208" s="1186">
        <v>8</v>
      </c>
      <c r="S208" s="1186">
        <v>12</v>
      </c>
      <c r="T208" s="1186">
        <v>0</v>
      </c>
      <c r="U208" s="1186">
        <v>0</v>
      </c>
      <c r="V208" s="1186">
        <v>15</v>
      </c>
      <c r="W208" s="1186">
        <v>2</v>
      </c>
      <c r="X208" s="1186">
        <v>103050</v>
      </c>
    </row>
    <row r="209" spans="1:24" x14ac:dyDescent="0.2">
      <c r="A209" s="1186" t="s">
        <v>144</v>
      </c>
      <c r="B209" s="1186" t="s">
        <v>33</v>
      </c>
      <c r="C209" s="1186">
        <v>0</v>
      </c>
      <c r="D209" s="1186">
        <v>22</v>
      </c>
      <c r="E209" s="1186">
        <v>0</v>
      </c>
      <c r="F209" s="1186">
        <v>14</v>
      </c>
      <c r="G209" s="1186">
        <v>1</v>
      </c>
      <c r="H209" s="1186">
        <v>9</v>
      </c>
      <c r="I209" s="1186">
        <v>0</v>
      </c>
      <c r="J209" s="1186">
        <v>3</v>
      </c>
      <c r="K209" s="1186">
        <v>3</v>
      </c>
      <c r="L209" s="1186">
        <v>0</v>
      </c>
      <c r="M209" s="1186">
        <v>1</v>
      </c>
      <c r="N209" s="1186">
        <v>1</v>
      </c>
      <c r="O209" s="1186">
        <v>4</v>
      </c>
      <c r="P209" s="1186">
        <v>5</v>
      </c>
      <c r="Q209" s="1186">
        <v>30</v>
      </c>
      <c r="R209" s="1186">
        <v>2</v>
      </c>
      <c r="S209" s="1186">
        <v>18</v>
      </c>
      <c r="T209" s="1186">
        <v>1</v>
      </c>
      <c r="U209" s="1186">
        <v>0</v>
      </c>
      <c r="V209" s="1186">
        <v>12</v>
      </c>
      <c r="W209" s="1186">
        <v>1</v>
      </c>
      <c r="X209" s="1186">
        <v>92940</v>
      </c>
    </row>
    <row r="210" spans="1:24" x14ac:dyDescent="0.2">
      <c r="A210" s="1186" t="s">
        <v>144</v>
      </c>
      <c r="B210" s="1186" t="s">
        <v>34</v>
      </c>
      <c r="C210" s="1186">
        <v>0</v>
      </c>
      <c r="D210" s="1186">
        <v>72</v>
      </c>
      <c r="E210" s="1186">
        <v>1</v>
      </c>
      <c r="F210" s="1186">
        <v>27</v>
      </c>
      <c r="G210" s="1186">
        <v>5</v>
      </c>
      <c r="H210" s="1186">
        <v>17</v>
      </c>
      <c r="I210" s="1186">
        <v>2</v>
      </c>
      <c r="J210" s="1186">
        <v>8</v>
      </c>
      <c r="K210" s="1186">
        <v>17</v>
      </c>
      <c r="L210" s="1186">
        <v>3</v>
      </c>
      <c r="M210" s="1186">
        <v>3</v>
      </c>
      <c r="N210" s="1186">
        <v>6</v>
      </c>
      <c r="O210" s="1186">
        <v>5</v>
      </c>
      <c r="P210" s="1186">
        <v>10</v>
      </c>
      <c r="Q210" s="1186">
        <v>50</v>
      </c>
      <c r="R210" s="1186">
        <v>6</v>
      </c>
      <c r="S210" s="1186">
        <v>25</v>
      </c>
      <c r="T210" s="1186">
        <v>0</v>
      </c>
      <c r="U210" s="1186">
        <v>2</v>
      </c>
      <c r="V210" s="1186">
        <v>67</v>
      </c>
      <c r="W210" s="1186">
        <v>3</v>
      </c>
      <c r="X210" s="1186">
        <v>158460</v>
      </c>
    </row>
    <row r="211" spans="1:24" x14ac:dyDescent="0.2">
      <c r="A211" s="1186" t="s">
        <v>144</v>
      </c>
      <c r="B211" s="1186" t="s">
        <v>35</v>
      </c>
      <c r="C211" s="1186">
        <v>0</v>
      </c>
      <c r="D211" s="1186">
        <v>149</v>
      </c>
      <c r="E211" s="1186">
        <v>3</v>
      </c>
      <c r="F211" s="1186">
        <v>63</v>
      </c>
      <c r="G211" s="1186">
        <v>6</v>
      </c>
      <c r="H211" s="1186">
        <v>53</v>
      </c>
      <c r="I211" s="1186">
        <v>3</v>
      </c>
      <c r="J211" s="1186">
        <v>26</v>
      </c>
      <c r="K211" s="1186">
        <v>34</v>
      </c>
      <c r="L211" s="1186">
        <v>15</v>
      </c>
      <c r="M211" s="1186">
        <v>16</v>
      </c>
      <c r="N211" s="1186">
        <v>11</v>
      </c>
      <c r="O211" s="1186">
        <v>16</v>
      </c>
      <c r="P211" s="1186">
        <v>28</v>
      </c>
      <c r="Q211" s="1186">
        <v>109</v>
      </c>
      <c r="R211" s="1186">
        <v>19</v>
      </c>
      <c r="S211" s="1186">
        <v>30</v>
      </c>
      <c r="T211" s="1186">
        <v>0</v>
      </c>
      <c r="U211" s="1186">
        <v>1</v>
      </c>
      <c r="V211" s="1186">
        <v>77</v>
      </c>
      <c r="W211" s="1186">
        <v>8</v>
      </c>
      <c r="X211" s="1186">
        <v>368080</v>
      </c>
    </row>
    <row r="212" spans="1:24" x14ac:dyDescent="0.2">
      <c r="A212" s="1186" t="s">
        <v>144</v>
      </c>
      <c r="B212" s="1186" t="s">
        <v>36</v>
      </c>
      <c r="C212" s="1186">
        <v>0</v>
      </c>
      <c r="D212" s="1186">
        <v>188</v>
      </c>
      <c r="E212" s="1186">
        <v>3</v>
      </c>
      <c r="F212" s="1186">
        <v>210</v>
      </c>
      <c r="G212" s="1186">
        <v>25</v>
      </c>
      <c r="H212" s="1186">
        <v>70</v>
      </c>
      <c r="I212" s="1186">
        <v>9</v>
      </c>
      <c r="J212" s="1186">
        <v>132</v>
      </c>
      <c r="K212" s="1186">
        <v>44</v>
      </c>
      <c r="L212" s="1186">
        <v>21</v>
      </c>
      <c r="M212" s="1186">
        <v>19</v>
      </c>
      <c r="N212" s="1186">
        <v>19</v>
      </c>
      <c r="O212" s="1186">
        <v>50</v>
      </c>
      <c r="P212" s="1186">
        <v>35</v>
      </c>
      <c r="Q212" s="1186">
        <v>425</v>
      </c>
      <c r="R212" s="1186">
        <v>37</v>
      </c>
      <c r="S212" s="1186">
        <v>317</v>
      </c>
      <c r="T212" s="1186">
        <v>1</v>
      </c>
      <c r="U212" s="1186">
        <v>0</v>
      </c>
      <c r="V212" s="1186">
        <v>246</v>
      </c>
      <c r="W212" s="1186">
        <v>28</v>
      </c>
      <c r="X212" s="1186">
        <v>606340</v>
      </c>
    </row>
    <row r="213" spans="1:24" x14ac:dyDescent="0.2">
      <c r="A213" s="1186" t="s">
        <v>144</v>
      </c>
      <c r="B213" s="1186" t="s">
        <v>37</v>
      </c>
      <c r="C213" s="1186">
        <v>0</v>
      </c>
      <c r="D213" s="1186">
        <v>202</v>
      </c>
      <c r="E213" s="1186">
        <v>7</v>
      </c>
      <c r="F213" s="1186">
        <v>88</v>
      </c>
      <c r="G213" s="1186">
        <v>3</v>
      </c>
      <c r="H213" s="1186">
        <v>12</v>
      </c>
      <c r="I213" s="1186">
        <v>3</v>
      </c>
      <c r="J213" s="1186">
        <v>30</v>
      </c>
      <c r="K213" s="1186">
        <v>12</v>
      </c>
      <c r="L213" s="1186">
        <v>8</v>
      </c>
      <c r="M213" s="1186">
        <v>13</v>
      </c>
      <c r="N213" s="1186">
        <v>13</v>
      </c>
      <c r="O213" s="1186">
        <v>6</v>
      </c>
      <c r="P213" s="1186">
        <v>40</v>
      </c>
      <c r="Q213" s="1186">
        <v>66</v>
      </c>
      <c r="R213" s="1186">
        <v>16</v>
      </c>
      <c r="S213" s="1186">
        <v>21</v>
      </c>
      <c r="T213" s="1186">
        <v>0</v>
      </c>
      <c r="U213" s="1186">
        <v>0</v>
      </c>
      <c r="V213" s="1186">
        <v>54</v>
      </c>
      <c r="W213" s="1186">
        <v>9</v>
      </c>
      <c r="X213" s="1186">
        <v>234110</v>
      </c>
    </row>
    <row r="214" spans="1:24" x14ac:dyDescent="0.2">
      <c r="A214" s="1186" t="s">
        <v>144</v>
      </c>
      <c r="B214" s="1186" t="s">
        <v>38</v>
      </c>
      <c r="C214" s="1186">
        <v>0</v>
      </c>
      <c r="D214" s="1186">
        <v>36</v>
      </c>
      <c r="E214" s="1186">
        <v>0</v>
      </c>
      <c r="F214" s="1186">
        <v>25</v>
      </c>
      <c r="G214" s="1186">
        <v>1</v>
      </c>
      <c r="H214" s="1186">
        <v>14</v>
      </c>
      <c r="I214" s="1186">
        <v>1</v>
      </c>
      <c r="J214" s="1186">
        <v>11</v>
      </c>
      <c r="K214" s="1186">
        <v>5</v>
      </c>
      <c r="L214" s="1186">
        <v>1</v>
      </c>
      <c r="M214" s="1186">
        <v>0</v>
      </c>
      <c r="N214" s="1186">
        <v>5</v>
      </c>
      <c r="O214" s="1186">
        <v>5</v>
      </c>
      <c r="P214" s="1186">
        <v>3</v>
      </c>
      <c r="Q214" s="1186">
        <v>59</v>
      </c>
      <c r="R214" s="1186">
        <v>13</v>
      </c>
      <c r="S214" s="1186">
        <v>26</v>
      </c>
      <c r="T214" s="1186">
        <v>0</v>
      </c>
      <c r="U214" s="1186">
        <v>1</v>
      </c>
      <c r="V214" s="1186">
        <v>20</v>
      </c>
      <c r="W214" s="1186">
        <v>3</v>
      </c>
      <c r="X214" s="1186">
        <v>79500</v>
      </c>
    </row>
    <row r="215" spans="1:24" x14ac:dyDescent="0.2">
      <c r="A215" s="1186" t="s">
        <v>144</v>
      </c>
      <c r="B215" s="1186" t="s">
        <v>39</v>
      </c>
      <c r="C215" s="1186">
        <v>0</v>
      </c>
      <c r="D215" s="1186">
        <v>47</v>
      </c>
      <c r="E215" s="1186">
        <v>2</v>
      </c>
      <c r="F215" s="1186">
        <v>13</v>
      </c>
      <c r="G215" s="1186">
        <v>4</v>
      </c>
      <c r="H215" s="1186">
        <v>8</v>
      </c>
      <c r="I215" s="1186">
        <v>2</v>
      </c>
      <c r="J215" s="1186">
        <v>2</v>
      </c>
      <c r="K215" s="1186">
        <v>12</v>
      </c>
      <c r="L215" s="1186">
        <v>1</v>
      </c>
      <c r="M215" s="1186">
        <v>7</v>
      </c>
      <c r="N215" s="1186">
        <v>4</v>
      </c>
      <c r="O215" s="1186">
        <v>5</v>
      </c>
      <c r="P215" s="1186">
        <v>10</v>
      </c>
      <c r="Q215" s="1186">
        <v>41</v>
      </c>
      <c r="R215" s="1186">
        <v>5</v>
      </c>
      <c r="S215" s="1186">
        <v>13</v>
      </c>
      <c r="T215" s="1186">
        <v>0</v>
      </c>
      <c r="U215" s="1186">
        <v>0</v>
      </c>
      <c r="V215" s="1186">
        <v>7</v>
      </c>
      <c r="W215" s="1186">
        <v>0</v>
      </c>
      <c r="X215" s="1186">
        <v>87390</v>
      </c>
    </row>
    <row r="216" spans="1:24" x14ac:dyDescent="0.2">
      <c r="A216" s="1186" t="s">
        <v>144</v>
      </c>
      <c r="B216" s="1186" t="s">
        <v>40</v>
      </c>
      <c r="C216" s="1186">
        <v>0</v>
      </c>
      <c r="D216" s="1186">
        <v>37</v>
      </c>
      <c r="E216" s="1186">
        <v>0</v>
      </c>
      <c r="F216" s="1186">
        <v>0</v>
      </c>
      <c r="G216" s="1186">
        <v>3</v>
      </c>
      <c r="H216" s="1186">
        <v>6</v>
      </c>
      <c r="I216" s="1186">
        <v>0</v>
      </c>
      <c r="J216" s="1186">
        <v>3</v>
      </c>
      <c r="K216" s="1186">
        <v>4</v>
      </c>
      <c r="L216" s="1186">
        <v>1</v>
      </c>
      <c r="M216" s="1186">
        <v>4</v>
      </c>
      <c r="N216" s="1186">
        <v>3</v>
      </c>
      <c r="O216" s="1186">
        <v>5</v>
      </c>
      <c r="P216" s="1186">
        <v>8</v>
      </c>
      <c r="Q216" s="1186">
        <v>23</v>
      </c>
      <c r="R216" s="1186">
        <v>1</v>
      </c>
      <c r="S216" s="1186">
        <v>16</v>
      </c>
      <c r="T216" s="1186">
        <v>0</v>
      </c>
      <c r="U216" s="1186">
        <v>1</v>
      </c>
      <c r="V216" s="1186">
        <v>14</v>
      </c>
      <c r="W216" s="1186">
        <v>0</v>
      </c>
      <c r="X216" s="1186">
        <v>95510</v>
      </c>
    </row>
    <row r="217" spans="1:24" x14ac:dyDescent="0.2">
      <c r="A217" s="1186" t="s">
        <v>144</v>
      </c>
      <c r="B217" s="1186" t="s">
        <v>295</v>
      </c>
      <c r="C217" s="1186">
        <v>0</v>
      </c>
      <c r="D217" s="1186">
        <v>16</v>
      </c>
      <c r="E217" s="1186">
        <v>0</v>
      </c>
      <c r="F217" s="1186">
        <v>7</v>
      </c>
      <c r="G217" s="1186">
        <v>0</v>
      </c>
      <c r="H217" s="1186">
        <v>1</v>
      </c>
      <c r="I217" s="1186">
        <v>1</v>
      </c>
      <c r="J217" s="1186">
        <v>0</v>
      </c>
      <c r="K217" s="1186">
        <v>1</v>
      </c>
      <c r="L217" s="1186">
        <v>0</v>
      </c>
      <c r="M217" s="1186">
        <v>1</v>
      </c>
      <c r="N217" s="1186">
        <v>0</v>
      </c>
      <c r="O217" s="1186">
        <v>1</v>
      </c>
      <c r="P217" s="1186">
        <v>6</v>
      </c>
      <c r="Q217" s="1186">
        <v>5</v>
      </c>
      <c r="R217" s="1186">
        <v>3</v>
      </c>
      <c r="S217" s="1186">
        <v>1</v>
      </c>
      <c r="T217" s="1186">
        <v>0</v>
      </c>
      <c r="U217" s="1186">
        <v>1</v>
      </c>
      <c r="V217" s="1186">
        <v>4</v>
      </c>
      <c r="W217" s="1186">
        <v>4</v>
      </c>
      <c r="X217" s="1186">
        <v>27070</v>
      </c>
    </row>
    <row r="218" spans="1:24" x14ac:dyDescent="0.2">
      <c r="A218" s="1186" t="s">
        <v>144</v>
      </c>
      <c r="B218" s="1186" t="s">
        <v>41</v>
      </c>
      <c r="C218" s="1186">
        <v>0</v>
      </c>
      <c r="D218" s="1186">
        <v>53</v>
      </c>
      <c r="E218" s="1186">
        <v>0</v>
      </c>
      <c r="F218" s="1186">
        <v>26</v>
      </c>
      <c r="G218" s="1186">
        <v>2</v>
      </c>
      <c r="H218" s="1186">
        <v>16</v>
      </c>
      <c r="I218" s="1186">
        <v>2</v>
      </c>
      <c r="J218" s="1186">
        <v>10</v>
      </c>
      <c r="K218" s="1186">
        <v>5</v>
      </c>
      <c r="L218" s="1186">
        <v>3</v>
      </c>
      <c r="M218" s="1186">
        <v>2</v>
      </c>
      <c r="N218" s="1186">
        <v>2</v>
      </c>
      <c r="O218" s="1186">
        <v>5</v>
      </c>
      <c r="P218" s="1186">
        <v>16</v>
      </c>
      <c r="Q218" s="1186">
        <v>75</v>
      </c>
      <c r="R218" s="1186">
        <v>9</v>
      </c>
      <c r="S218" s="1186">
        <v>47</v>
      </c>
      <c r="T218" s="1186">
        <v>0</v>
      </c>
      <c r="U218" s="1186">
        <v>0</v>
      </c>
      <c r="V218" s="1186">
        <v>51</v>
      </c>
      <c r="W218" s="1186">
        <v>1</v>
      </c>
      <c r="X218" s="1186">
        <v>136130</v>
      </c>
    </row>
    <row r="219" spans="1:24" x14ac:dyDescent="0.2">
      <c r="A219" s="1186" t="s">
        <v>144</v>
      </c>
      <c r="B219" s="1186" t="s">
        <v>42</v>
      </c>
      <c r="C219" s="1186">
        <v>0</v>
      </c>
      <c r="D219" s="1186">
        <v>124</v>
      </c>
      <c r="E219" s="1186">
        <v>3</v>
      </c>
      <c r="F219" s="1186">
        <v>83</v>
      </c>
      <c r="G219" s="1186">
        <v>3</v>
      </c>
      <c r="H219" s="1186">
        <v>25</v>
      </c>
      <c r="I219" s="1186">
        <v>7</v>
      </c>
      <c r="J219" s="1186">
        <v>29</v>
      </c>
      <c r="K219" s="1186">
        <v>11</v>
      </c>
      <c r="L219" s="1186">
        <v>8</v>
      </c>
      <c r="M219" s="1186">
        <v>6</v>
      </c>
      <c r="N219" s="1186">
        <v>15</v>
      </c>
      <c r="O219" s="1186">
        <v>30</v>
      </c>
      <c r="P219" s="1186">
        <v>17</v>
      </c>
      <c r="Q219" s="1186">
        <v>128</v>
      </c>
      <c r="R219" s="1186">
        <v>17</v>
      </c>
      <c r="S219" s="1186">
        <v>80</v>
      </c>
      <c r="T219" s="1186">
        <v>1</v>
      </c>
      <c r="U219" s="1186">
        <v>2</v>
      </c>
      <c r="V219" s="1186">
        <v>74</v>
      </c>
      <c r="W219" s="1186">
        <v>7</v>
      </c>
      <c r="X219" s="1186">
        <v>338260</v>
      </c>
    </row>
    <row r="220" spans="1:24" x14ac:dyDescent="0.2">
      <c r="A220" s="1186" t="s">
        <v>144</v>
      </c>
      <c r="B220" s="1186" t="s">
        <v>43</v>
      </c>
      <c r="C220" s="1186">
        <v>0</v>
      </c>
      <c r="D220" s="1186">
        <v>8</v>
      </c>
      <c r="E220" s="1186">
        <v>1</v>
      </c>
      <c r="F220" s="1186">
        <v>4</v>
      </c>
      <c r="G220" s="1186">
        <v>0</v>
      </c>
      <c r="H220" s="1186">
        <v>3</v>
      </c>
      <c r="I220" s="1186">
        <v>0</v>
      </c>
      <c r="J220" s="1186">
        <v>1</v>
      </c>
      <c r="K220" s="1186">
        <v>0</v>
      </c>
      <c r="L220" s="1186">
        <v>1</v>
      </c>
      <c r="M220" s="1186">
        <v>0</v>
      </c>
      <c r="N220" s="1186">
        <v>0</v>
      </c>
      <c r="O220" s="1186">
        <v>1</v>
      </c>
      <c r="P220" s="1186">
        <v>0</v>
      </c>
      <c r="Q220" s="1186">
        <v>2</v>
      </c>
      <c r="R220" s="1186">
        <v>0</v>
      </c>
      <c r="S220" s="1186">
        <v>0</v>
      </c>
      <c r="T220" s="1186">
        <v>0</v>
      </c>
      <c r="U220" s="1186">
        <v>3</v>
      </c>
      <c r="V220" s="1186">
        <v>3</v>
      </c>
      <c r="W220" s="1186">
        <v>0</v>
      </c>
      <c r="X220" s="1186">
        <v>21670</v>
      </c>
    </row>
    <row r="221" spans="1:24" x14ac:dyDescent="0.2">
      <c r="A221" s="1186" t="s">
        <v>144</v>
      </c>
      <c r="B221" s="1186" t="s">
        <v>44</v>
      </c>
      <c r="C221" s="1186">
        <v>0</v>
      </c>
      <c r="D221" s="1186">
        <v>91</v>
      </c>
      <c r="E221" s="1186">
        <v>4</v>
      </c>
      <c r="F221" s="1186">
        <v>104</v>
      </c>
      <c r="G221" s="1186">
        <v>18</v>
      </c>
      <c r="H221" s="1186">
        <v>7</v>
      </c>
      <c r="I221" s="1186">
        <v>1</v>
      </c>
      <c r="J221" s="1186">
        <v>8</v>
      </c>
      <c r="K221" s="1186">
        <v>13</v>
      </c>
      <c r="L221" s="1186">
        <v>2</v>
      </c>
      <c r="M221" s="1186">
        <v>4</v>
      </c>
      <c r="N221" s="1186">
        <v>17</v>
      </c>
      <c r="O221" s="1186">
        <v>7</v>
      </c>
      <c r="P221" s="1186">
        <v>14</v>
      </c>
      <c r="Q221" s="1186">
        <v>39</v>
      </c>
      <c r="R221" s="1186">
        <v>28</v>
      </c>
      <c r="S221" s="1186">
        <v>6</v>
      </c>
      <c r="T221" s="1186">
        <v>0</v>
      </c>
      <c r="U221" s="1186">
        <v>0</v>
      </c>
      <c r="V221" s="1186">
        <v>14</v>
      </c>
      <c r="W221" s="1186">
        <v>5</v>
      </c>
      <c r="X221" s="1186">
        <v>149930</v>
      </c>
    </row>
    <row r="222" spans="1:24" x14ac:dyDescent="0.2">
      <c r="A222" s="1186" t="s">
        <v>144</v>
      </c>
      <c r="B222" s="1186" t="s">
        <v>45</v>
      </c>
      <c r="C222" s="1186">
        <v>0</v>
      </c>
      <c r="D222" s="1186">
        <v>54</v>
      </c>
      <c r="E222" s="1186">
        <v>4</v>
      </c>
      <c r="F222" s="1186">
        <v>47</v>
      </c>
      <c r="G222" s="1186">
        <v>5</v>
      </c>
      <c r="H222" s="1186">
        <v>11</v>
      </c>
      <c r="I222" s="1186">
        <v>2</v>
      </c>
      <c r="J222" s="1186">
        <v>15</v>
      </c>
      <c r="K222" s="1186">
        <v>20</v>
      </c>
      <c r="L222" s="1186">
        <v>8</v>
      </c>
      <c r="M222" s="1186">
        <v>3</v>
      </c>
      <c r="N222" s="1186">
        <v>4</v>
      </c>
      <c r="O222" s="1186">
        <v>7</v>
      </c>
      <c r="P222" s="1186">
        <v>8</v>
      </c>
      <c r="Q222" s="1186">
        <v>94</v>
      </c>
      <c r="R222" s="1186">
        <v>9</v>
      </c>
      <c r="S222" s="1186">
        <v>127</v>
      </c>
      <c r="T222" s="1186">
        <v>0</v>
      </c>
      <c r="U222" s="1186">
        <v>6</v>
      </c>
      <c r="V222" s="1186">
        <v>60</v>
      </c>
      <c r="W222" s="1186">
        <v>8</v>
      </c>
      <c r="X222" s="1186">
        <v>174560</v>
      </c>
    </row>
    <row r="223" spans="1:24" x14ac:dyDescent="0.2">
      <c r="A223" s="1186" t="s">
        <v>144</v>
      </c>
      <c r="B223" s="1186" t="s">
        <v>46</v>
      </c>
      <c r="C223" s="1186">
        <v>0</v>
      </c>
      <c r="D223" s="1186">
        <v>108</v>
      </c>
      <c r="E223" s="1186">
        <v>5</v>
      </c>
      <c r="F223" s="1186">
        <v>80</v>
      </c>
      <c r="G223" s="1186">
        <v>13</v>
      </c>
      <c r="H223" s="1186">
        <v>19</v>
      </c>
      <c r="I223" s="1186">
        <v>0</v>
      </c>
      <c r="J223" s="1186">
        <v>2</v>
      </c>
      <c r="K223" s="1186">
        <v>41</v>
      </c>
      <c r="L223" s="1186">
        <v>6</v>
      </c>
      <c r="M223" s="1186">
        <v>8</v>
      </c>
      <c r="N223" s="1186">
        <v>6</v>
      </c>
      <c r="O223" s="1186">
        <v>2</v>
      </c>
      <c r="P223" s="1186">
        <v>19</v>
      </c>
      <c r="Q223" s="1186">
        <v>43</v>
      </c>
      <c r="R223" s="1186">
        <v>3</v>
      </c>
      <c r="S223" s="1186">
        <v>11</v>
      </c>
      <c r="T223" s="1186">
        <v>0</v>
      </c>
      <c r="U223" s="1186">
        <v>3</v>
      </c>
      <c r="V223" s="1186">
        <v>17</v>
      </c>
      <c r="W223" s="1186">
        <v>3</v>
      </c>
      <c r="X223" s="1186">
        <v>114030</v>
      </c>
    </row>
    <row r="224" spans="1:24" x14ac:dyDescent="0.2">
      <c r="A224" s="1186" t="s">
        <v>144</v>
      </c>
      <c r="B224" s="1186" t="s">
        <v>47</v>
      </c>
      <c r="C224" s="1186">
        <v>0</v>
      </c>
      <c r="D224" s="1186">
        <v>9</v>
      </c>
      <c r="E224" s="1186">
        <v>1</v>
      </c>
      <c r="F224" s="1186">
        <v>2</v>
      </c>
      <c r="G224" s="1186">
        <v>0</v>
      </c>
      <c r="H224" s="1186">
        <v>0</v>
      </c>
      <c r="I224" s="1186">
        <v>0</v>
      </c>
      <c r="J224" s="1186">
        <v>0</v>
      </c>
      <c r="K224" s="1186">
        <v>0</v>
      </c>
      <c r="L224" s="1186">
        <v>0</v>
      </c>
      <c r="M224" s="1186">
        <v>0</v>
      </c>
      <c r="N224" s="1186">
        <v>0</v>
      </c>
      <c r="O224" s="1186">
        <v>1</v>
      </c>
      <c r="P224" s="1186">
        <v>2</v>
      </c>
      <c r="Q224" s="1186">
        <v>3</v>
      </c>
      <c r="R224" s="1186">
        <v>3</v>
      </c>
      <c r="S224" s="1186">
        <v>3</v>
      </c>
      <c r="T224" s="1186">
        <v>0</v>
      </c>
      <c r="U224" s="1186">
        <v>4</v>
      </c>
      <c r="V224" s="1186">
        <v>4</v>
      </c>
      <c r="W224" s="1186">
        <v>0</v>
      </c>
      <c r="X224" s="1186">
        <v>23200</v>
      </c>
    </row>
    <row r="225" spans="1:24" x14ac:dyDescent="0.2">
      <c r="A225" s="1186" t="s">
        <v>144</v>
      </c>
      <c r="B225" s="1186" t="s">
        <v>48</v>
      </c>
      <c r="C225" s="1186">
        <v>0</v>
      </c>
      <c r="D225" s="1186">
        <v>61</v>
      </c>
      <c r="E225" s="1186">
        <v>4</v>
      </c>
      <c r="F225" s="1186">
        <v>22</v>
      </c>
      <c r="G225" s="1186">
        <v>9</v>
      </c>
      <c r="H225" s="1186">
        <v>10</v>
      </c>
      <c r="I225" s="1186">
        <v>1</v>
      </c>
      <c r="J225" s="1186">
        <v>12</v>
      </c>
      <c r="K225" s="1186">
        <v>7</v>
      </c>
      <c r="L225" s="1186">
        <v>4</v>
      </c>
      <c r="M225" s="1186">
        <v>2</v>
      </c>
      <c r="N225" s="1186">
        <v>3</v>
      </c>
      <c r="O225" s="1186">
        <v>6</v>
      </c>
      <c r="P225" s="1186">
        <v>4</v>
      </c>
      <c r="Q225" s="1186">
        <v>47</v>
      </c>
      <c r="R225" s="1186">
        <v>11</v>
      </c>
      <c r="S225" s="1186">
        <v>52</v>
      </c>
      <c r="T225" s="1186">
        <v>1</v>
      </c>
      <c r="U225" s="1186">
        <v>2</v>
      </c>
      <c r="V225" s="1186">
        <v>39</v>
      </c>
      <c r="W225" s="1186">
        <v>4</v>
      </c>
      <c r="X225" s="1186">
        <v>112400</v>
      </c>
    </row>
    <row r="226" spans="1:24" x14ac:dyDescent="0.2">
      <c r="A226" s="1186" t="s">
        <v>144</v>
      </c>
      <c r="B226" s="1186" t="s">
        <v>49</v>
      </c>
      <c r="C226" s="1186">
        <v>0</v>
      </c>
      <c r="D226" s="1186">
        <v>137</v>
      </c>
      <c r="E226" s="1186">
        <v>3</v>
      </c>
      <c r="F226" s="1186">
        <v>71</v>
      </c>
      <c r="G226" s="1186">
        <v>5</v>
      </c>
      <c r="H226" s="1186">
        <v>21</v>
      </c>
      <c r="I226" s="1186">
        <v>3</v>
      </c>
      <c r="J226" s="1186">
        <v>21</v>
      </c>
      <c r="K226" s="1186">
        <v>20</v>
      </c>
      <c r="L226" s="1186">
        <v>3</v>
      </c>
      <c r="M226" s="1186">
        <v>6</v>
      </c>
      <c r="N226" s="1186">
        <v>9</v>
      </c>
      <c r="O226" s="1186">
        <v>15</v>
      </c>
      <c r="P226" s="1186">
        <v>13</v>
      </c>
      <c r="Q226" s="1186">
        <v>117</v>
      </c>
      <c r="R226" s="1186">
        <v>17</v>
      </c>
      <c r="S226" s="1186">
        <v>95</v>
      </c>
      <c r="T226" s="1186">
        <v>0</v>
      </c>
      <c r="U226" s="1186">
        <v>0</v>
      </c>
      <c r="V226" s="1186">
        <v>65</v>
      </c>
      <c r="W226" s="1186">
        <v>15</v>
      </c>
      <c r="X226" s="1186">
        <v>316230</v>
      </c>
    </row>
    <row r="227" spans="1:24" x14ac:dyDescent="0.2">
      <c r="A227" s="1186" t="s">
        <v>144</v>
      </c>
      <c r="B227" s="1186" t="s">
        <v>50</v>
      </c>
      <c r="C227" s="1186">
        <v>0</v>
      </c>
      <c r="D227" s="1186">
        <v>71</v>
      </c>
      <c r="E227" s="1186">
        <v>2</v>
      </c>
      <c r="F227" s="1186">
        <v>35</v>
      </c>
      <c r="G227" s="1186">
        <v>14</v>
      </c>
      <c r="H227" s="1186">
        <v>7</v>
      </c>
      <c r="I227" s="1186">
        <v>0</v>
      </c>
      <c r="J227" s="1186">
        <v>7</v>
      </c>
      <c r="K227" s="1186">
        <v>18</v>
      </c>
      <c r="L227" s="1186">
        <v>1</v>
      </c>
      <c r="M227" s="1186">
        <v>0</v>
      </c>
      <c r="N227" s="1186">
        <v>4</v>
      </c>
      <c r="O227" s="1186">
        <v>5</v>
      </c>
      <c r="P227" s="1186">
        <v>10</v>
      </c>
      <c r="Q227" s="1186">
        <v>37</v>
      </c>
      <c r="R227" s="1186">
        <v>2</v>
      </c>
      <c r="S227" s="1186">
        <v>5</v>
      </c>
      <c r="T227" s="1186">
        <v>0</v>
      </c>
      <c r="U227" s="1186">
        <v>0</v>
      </c>
      <c r="V227" s="1186">
        <v>22</v>
      </c>
      <c r="W227" s="1186">
        <v>0</v>
      </c>
      <c r="X227" s="1186">
        <v>92830</v>
      </c>
    </row>
    <row r="228" spans="1:24" x14ac:dyDescent="0.2">
      <c r="A228" s="1186" t="s">
        <v>144</v>
      </c>
      <c r="B228" s="1186" t="s">
        <v>51</v>
      </c>
      <c r="C228" s="1186">
        <v>0</v>
      </c>
      <c r="D228" s="1186">
        <v>32</v>
      </c>
      <c r="E228" s="1186">
        <v>1</v>
      </c>
      <c r="F228" s="1186">
        <v>23</v>
      </c>
      <c r="G228" s="1186">
        <v>3</v>
      </c>
      <c r="H228" s="1186">
        <v>11</v>
      </c>
      <c r="I228" s="1186">
        <v>1</v>
      </c>
      <c r="J228" s="1186">
        <v>20</v>
      </c>
      <c r="K228" s="1186">
        <v>6</v>
      </c>
      <c r="L228" s="1186">
        <v>4</v>
      </c>
      <c r="M228" s="1186">
        <v>1</v>
      </c>
      <c r="N228" s="1186">
        <v>2</v>
      </c>
      <c r="O228" s="1186">
        <v>7</v>
      </c>
      <c r="P228" s="1186">
        <v>3</v>
      </c>
      <c r="Q228" s="1186">
        <v>27</v>
      </c>
      <c r="R228" s="1186">
        <v>4</v>
      </c>
      <c r="S228" s="1186">
        <v>37</v>
      </c>
      <c r="T228" s="1186">
        <v>1</v>
      </c>
      <c r="U228" s="1186">
        <v>0</v>
      </c>
      <c r="V228" s="1186">
        <v>25</v>
      </c>
      <c r="W228" s="1186">
        <v>6</v>
      </c>
      <c r="X228" s="1186">
        <v>89590</v>
      </c>
    </row>
    <row r="229" spans="1:24" x14ac:dyDescent="0.2">
      <c r="A229" s="1186" t="s">
        <v>144</v>
      </c>
      <c r="B229" s="1186" t="s">
        <v>52</v>
      </c>
      <c r="C229" s="1186">
        <v>0</v>
      </c>
      <c r="D229" s="1186">
        <v>93</v>
      </c>
      <c r="E229" s="1186">
        <v>2</v>
      </c>
      <c r="F229" s="1186">
        <v>23</v>
      </c>
      <c r="G229" s="1186">
        <v>2</v>
      </c>
      <c r="H229" s="1186">
        <v>12</v>
      </c>
      <c r="I229" s="1186">
        <v>0</v>
      </c>
      <c r="J229" s="1186">
        <v>6</v>
      </c>
      <c r="K229" s="1186">
        <v>34</v>
      </c>
      <c r="L229" s="1186">
        <v>8</v>
      </c>
      <c r="M229" s="1186">
        <v>10</v>
      </c>
      <c r="N229" s="1186">
        <v>6</v>
      </c>
      <c r="O229" s="1186">
        <v>5</v>
      </c>
      <c r="P229" s="1186">
        <v>8</v>
      </c>
      <c r="Q229" s="1186">
        <v>105</v>
      </c>
      <c r="R229" s="1186">
        <v>6</v>
      </c>
      <c r="S229" s="1186">
        <v>41</v>
      </c>
      <c r="T229" s="1186">
        <v>0</v>
      </c>
      <c r="U229" s="1186">
        <v>0</v>
      </c>
      <c r="V229" s="1186">
        <v>18</v>
      </c>
      <c r="W229" s="1186">
        <v>3</v>
      </c>
      <c r="X229" s="1186">
        <v>178550</v>
      </c>
    </row>
    <row r="230" spans="1:24" x14ac:dyDescent="0.2">
      <c r="A230" s="1186" t="s">
        <v>282</v>
      </c>
      <c r="B230" s="1186" t="s">
        <v>23</v>
      </c>
      <c r="C230" s="1186">
        <v>0</v>
      </c>
      <c r="D230" s="1186">
        <v>53</v>
      </c>
      <c r="E230" s="1186">
        <v>6</v>
      </c>
      <c r="F230" s="1186">
        <v>35</v>
      </c>
      <c r="G230" s="1186">
        <v>4</v>
      </c>
      <c r="H230" s="1186">
        <v>24</v>
      </c>
      <c r="I230" s="1186">
        <v>2</v>
      </c>
      <c r="J230" s="1186">
        <v>129</v>
      </c>
      <c r="K230" s="1186">
        <v>11</v>
      </c>
      <c r="L230" s="1186">
        <v>6</v>
      </c>
      <c r="M230" s="1186">
        <v>10</v>
      </c>
      <c r="N230" s="1186">
        <v>8</v>
      </c>
      <c r="O230" s="1186">
        <v>12</v>
      </c>
      <c r="P230" s="1186">
        <v>12</v>
      </c>
      <c r="Q230" s="1186">
        <v>121</v>
      </c>
      <c r="R230" s="1186">
        <v>3</v>
      </c>
      <c r="S230" s="1186">
        <v>42</v>
      </c>
      <c r="T230" s="1186">
        <v>0</v>
      </c>
      <c r="U230" s="1186">
        <v>2</v>
      </c>
      <c r="V230" s="1186">
        <v>25</v>
      </c>
      <c r="W230" s="1186">
        <v>11</v>
      </c>
      <c r="X230" s="1186">
        <v>229840</v>
      </c>
    </row>
    <row r="231" spans="1:24" x14ac:dyDescent="0.2">
      <c r="A231" s="1186" t="s">
        <v>282</v>
      </c>
      <c r="B231" s="1186" t="s">
        <v>24</v>
      </c>
      <c r="C231" s="1186">
        <v>0</v>
      </c>
      <c r="D231" s="1186">
        <v>159</v>
      </c>
      <c r="E231" s="1186">
        <v>3</v>
      </c>
      <c r="F231" s="1186">
        <v>17</v>
      </c>
      <c r="G231" s="1186">
        <v>3</v>
      </c>
      <c r="H231" s="1186">
        <v>13</v>
      </c>
      <c r="I231" s="1186">
        <v>1</v>
      </c>
      <c r="J231" s="1186">
        <v>13</v>
      </c>
      <c r="K231" s="1186">
        <v>65</v>
      </c>
      <c r="L231" s="1186">
        <v>5</v>
      </c>
      <c r="M231" s="1186">
        <v>9</v>
      </c>
      <c r="N231" s="1186">
        <v>10</v>
      </c>
      <c r="O231" s="1186">
        <v>5</v>
      </c>
      <c r="P231" s="1186">
        <v>18</v>
      </c>
      <c r="Q231" s="1186">
        <v>58</v>
      </c>
      <c r="R231" s="1186">
        <v>2</v>
      </c>
      <c r="S231" s="1186">
        <v>25</v>
      </c>
      <c r="T231" s="1186">
        <v>0</v>
      </c>
      <c r="U231" s="1186">
        <v>1</v>
      </c>
      <c r="V231" s="1186">
        <v>30</v>
      </c>
      <c r="W231" s="1186">
        <v>6</v>
      </c>
      <c r="X231" s="1186">
        <v>262190</v>
      </c>
    </row>
    <row r="232" spans="1:24" x14ac:dyDescent="0.2">
      <c r="A232" s="1186" t="s">
        <v>282</v>
      </c>
      <c r="B232" s="1186" t="s">
        <v>25</v>
      </c>
      <c r="C232" s="1186">
        <v>0</v>
      </c>
      <c r="D232" s="1186">
        <v>53</v>
      </c>
      <c r="E232" s="1186">
        <v>3</v>
      </c>
      <c r="F232" s="1186">
        <v>11</v>
      </c>
      <c r="G232" s="1186">
        <v>1</v>
      </c>
      <c r="H232" s="1186">
        <v>11</v>
      </c>
      <c r="I232" s="1186">
        <v>1</v>
      </c>
      <c r="J232" s="1186">
        <v>4</v>
      </c>
      <c r="K232" s="1186">
        <v>10</v>
      </c>
      <c r="L232" s="1186">
        <v>4</v>
      </c>
      <c r="M232" s="1186">
        <v>3</v>
      </c>
      <c r="N232" s="1186">
        <v>7</v>
      </c>
      <c r="O232" s="1186">
        <v>4</v>
      </c>
      <c r="P232" s="1186">
        <v>11</v>
      </c>
      <c r="Q232" s="1186">
        <v>39</v>
      </c>
      <c r="R232" s="1186">
        <v>5</v>
      </c>
      <c r="S232" s="1186">
        <v>7</v>
      </c>
      <c r="T232" s="1186">
        <v>1</v>
      </c>
      <c r="U232" s="1186">
        <v>1</v>
      </c>
      <c r="V232" s="1186">
        <v>18</v>
      </c>
      <c r="W232" s="1186">
        <v>3</v>
      </c>
      <c r="X232" s="1186">
        <v>116520</v>
      </c>
    </row>
    <row r="233" spans="1:24" x14ac:dyDescent="0.2">
      <c r="A233" s="1186" t="s">
        <v>282</v>
      </c>
      <c r="B233" s="1186" t="s">
        <v>26</v>
      </c>
      <c r="C233" s="1186">
        <v>0</v>
      </c>
      <c r="D233" s="1186">
        <v>79</v>
      </c>
      <c r="E233" s="1186">
        <v>4</v>
      </c>
      <c r="F233" s="1186">
        <v>18</v>
      </c>
      <c r="G233" s="1186">
        <v>3</v>
      </c>
      <c r="H233" s="1186">
        <v>7</v>
      </c>
      <c r="I233" s="1186">
        <v>0</v>
      </c>
      <c r="J233" s="1186">
        <v>4</v>
      </c>
      <c r="K233" s="1186">
        <v>20</v>
      </c>
      <c r="L233" s="1186">
        <v>1</v>
      </c>
      <c r="M233" s="1186">
        <v>2</v>
      </c>
      <c r="N233" s="1186">
        <v>2</v>
      </c>
      <c r="O233" s="1186">
        <v>2</v>
      </c>
      <c r="P233" s="1186">
        <v>6</v>
      </c>
      <c r="Q233" s="1186">
        <v>22</v>
      </c>
      <c r="R233" s="1186">
        <v>1</v>
      </c>
      <c r="S233" s="1186">
        <v>34</v>
      </c>
      <c r="T233" s="1186">
        <v>0</v>
      </c>
      <c r="U233" s="1186">
        <v>28</v>
      </c>
      <c r="V233" s="1186">
        <v>50</v>
      </c>
      <c r="W233" s="1186">
        <v>4</v>
      </c>
      <c r="X233" s="1186">
        <v>87130</v>
      </c>
    </row>
    <row r="234" spans="1:24" x14ac:dyDescent="0.2">
      <c r="A234" s="1186" t="s">
        <v>282</v>
      </c>
      <c r="B234" s="1186" t="s">
        <v>619</v>
      </c>
      <c r="C234" s="1186">
        <v>0</v>
      </c>
      <c r="D234" s="1186">
        <v>145</v>
      </c>
      <c r="E234" s="1186">
        <v>10</v>
      </c>
      <c r="F234" s="1186">
        <v>163</v>
      </c>
      <c r="G234" s="1186">
        <v>8</v>
      </c>
      <c r="H234" s="1186">
        <v>73</v>
      </c>
      <c r="I234" s="1186">
        <v>5</v>
      </c>
      <c r="J234" s="1186">
        <v>113</v>
      </c>
      <c r="K234" s="1186">
        <v>34</v>
      </c>
      <c r="L234" s="1186">
        <v>21</v>
      </c>
      <c r="M234" s="1186">
        <v>37</v>
      </c>
      <c r="N234" s="1186">
        <v>32</v>
      </c>
      <c r="O234" s="1186">
        <v>37</v>
      </c>
      <c r="P234" s="1186">
        <v>25</v>
      </c>
      <c r="Q234" s="1186">
        <v>516</v>
      </c>
      <c r="R234" s="1186">
        <v>20</v>
      </c>
      <c r="S234" s="1186">
        <v>120</v>
      </c>
      <c r="T234" s="1186">
        <v>1</v>
      </c>
      <c r="U234" s="1186">
        <v>5</v>
      </c>
      <c r="V234" s="1186">
        <v>81</v>
      </c>
      <c r="W234" s="1186">
        <v>24</v>
      </c>
      <c r="X234" s="1186">
        <v>507170</v>
      </c>
    </row>
    <row r="235" spans="1:24" x14ac:dyDescent="0.2">
      <c r="A235" s="1186" t="s">
        <v>282</v>
      </c>
      <c r="B235" s="1186" t="s">
        <v>27</v>
      </c>
      <c r="C235" s="1186">
        <v>0</v>
      </c>
      <c r="D235" s="1186">
        <v>16</v>
      </c>
      <c r="E235" s="1186">
        <v>0</v>
      </c>
      <c r="F235" s="1186">
        <v>6</v>
      </c>
      <c r="G235" s="1186">
        <v>1</v>
      </c>
      <c r="H235" s="1186">
        <v>8</v>
      </c>
      <c r="I235" s="1186">
        <v>0</v>
      </c>
      <c r="J235" s="1186">
        <v>3</v>
      </c>
      <c r="K235" s="1186">
        <v>3</v>
      </c>
      <c r="L235" s="1186">
        <v>4</v>
      </c>
      <c r="M235" s="1186">
        <v>3</v>
      </c>
      <c r="N235" s="1186">
        <v>1</v>
      </c>
      <c r="O235" s="1186">
        <v>7</v>
      </c>
      <c r="P235" s="1186">
        <v>3</v>
      </c>
      <c r="Q235" s="1186">
        <v>34</v>
      </c>
      <c r="R235" s="1186">
        <v>2</v>
      </c>
      <c r="S235" s="1186">
        <v>1</v>
      </c>
      <c r="T235" s="1186">
        <v>0</v>
      </c>
      <c r="U235" s="1186">
        <v>0</v>
      </c>
      <c r="V235" s="1186">
        <v>11</v>
      </c>
      <c r="W235" s="1186">
        <v>2</v>
      </c>
      <c r="X235" s="1186">
        <v>51350</v>
      </c>
    </row>
    <row r="236" spans="1:24" x14ac:dyDescent="0.2">
      <c r="A236" s="1186" t="s">
        <v>282</v>
      </c>
      <c r="B236" s="1186" t="s">
        <v>28</v>
      </c>
      <c r="C236" s="1186">
        <v>0</v>
      </c>
      <c r="D236" s="1186">
        <v>99</v>
      </c>
      <c r="E236" s="1186">
        <v>5</v>
      </c>
      <c r="F236" s="1186">
        <v>9</v>
      </c>
      <c r="G236" s="1186">
        <v>10</v>
      </c>
      <c r="H236" s="1186">
        <v>20</v>
      </c>
      <c r="I236" s="1186">
        <v>0</v>
      </c>
      <c r="J236" s="1186">
        <v>9</v>
      </c>
      <c r="K236" s="1186">
        <v>23</v>
      </c>
      <c r="L236" s="1186">
        <v>2</v>
      </c>
      <c r="M236" s="1186">
        <v>4</v>
      </c>
      <c r="N236" s="1186">
        <v>10</v>
      </c>
      <c r="O236" s="1186">
        <v>3</v>
      </c>
      <c r="P236" s="1186">
        <v>14</v>
      </c>
      <c r="Q236" s="1186">
        <v>57</v>
      </c>
      <c r="R236" s="1186">
        <v>8</v>
      </c>
      <c r="S236" s="1186">
        <v>5</v>
      </c>
      <c r="T236" s="1186">
        <v>0</v>
      </c>
      <c r="U236" s="1186">
        <v>1</v>
      </c>
      <c r="V236" s="1186">
        <v>40</v>
      </c>
      <c r="W236" s="1186">
        <v>0</v>
      </c>
      <c r="X236" s="1186">
        <v>149520</v>
      </c>
    </row>
    <row r="237" spans="1:24" x14ac:dyDescent="0.2">
      <c r="A237" s="1186" t="s">
        <v>282</v>
      </c>
      <c r="B237" s="1186" t="s">
        <v>29</v>
      </c>
      <c r="C237" s="1186">
        <v>0</v>
      </c>
      <c r="D237" s="1186">
        <v>34</v>
      </c>
      <c r="E237" s="1186">
        <v>2</v>
      </c>
      <c r="F237" s="1186">
        <v>35</v>
      </c>
      <c r="G237" s="1186">
        <v>2</v>
      </c>
      <c r="H237" s="1186">
        <v>30</v>
      </c>
      <c r="I237" s="1186">
        <v>3</v>
      </c>
      <c r="J237" s="1186">
        <v>42</v>
      </c>
      <c r="K237" s="1186">
        <v>6</v>
      </c>
      <c r="L237" s="1186">
        <v>4</v>
      </c>
      <c r="M237" s="1186">
        <v>3</v>
      </c>
      <c r="N237" s="1186">
        <v>18</v>
      </c>
      <c r="O237" s="1186">
        <v>11</v>
      </c>
      <c r="P237" s="1186">
        <v>11</v>
      </c>
      <c r="Q237" s="1186">
        <v>121</v>
      </c>
      <c r="R237" s="1186">
        <v>30</v>
      </c>
      <c r="S237" s="1186">
        <v>18</v>
      </c>
      <c r="T237" s="1186">
        <v>0</v>
      </c>
      <c r="U237" s="1186">
        <v>0</v>
      </c>
      <c r="V237" s="1186">
        <v>32</v>
      </c>
      <c r="W237" s="1186">
        <v>2</v>
      </c>
      <c r="X237" s="1186">
        <v>148270</v>
      </c>
    </row>
    <row r="238" spans="1:24" x14ac:dyDescent="0.2">
      <c r="A238" s="1186" t="s">
        <v>282</v>
      </c>
      <c r="B238" s="1186" t="s">
        <v>30</v>
      </c>
      <c r="C238" s="1186">
        <v>0</v>
      </c>
      <c r="D238" s="1186">
        <v>57</v>
      </c>
      <c r="E238" s="1186">
        <v>2</v>
      </c>
      <c r="F238" s="1186">
        <v>8</v>
      </c>
      <c r="G238" s="1186">
        <v>1</v>
      </c>
      <c r="H238" s="1186">
        <v>8</v>
      </c>
      <c r="I238" s="1186">
        <v>1</v>
      </c>
      <c r="J238" s="1186">
        <v>6</v>
      </c>
      <c r="K238" s="1186">
        <v>8</v>
      </c>
      <c r="L238" s="1186">
        <v>3</v>
      </c>
      <c r="M238" s="1186">
        <v>4</v>
      </c>
      <c r="N238" s="1186">
        <v>4</v>
      </c>
      <c r="O238" s="1186">
        <v>4</v>
      </c>
      <c r="P238" s="1186">
        <v>8</v>
      </c>
      <c r="Q238" s="1186">
        <v>26</v>
      </c>
      <c r="R238" s="1186">
        <v>1</v>
      </c>
      <c r="S238" s="1186">
        <v>25</v>
      </c>
      <c r="T238" s="1186">
        <v>0</v>
      </c>
      <c r="U238" s="1186">
        <v>1</v>
      </c>
      <c r="V238" s="1186">
        <v>28</v>
      </c>
      <c r="W238" s="1186">
        <v>3</v>
      </c>
      <c r="X238" s="1186">
        <v>122200</v>
      </c>
    </row>
    <row r="239" spans="1:24" x14ac:dyDescent="0.2">
      <c r="A239" s="1186" t="s">
        <v>282</v>
      </c>
      <c r="B239" s="1186" t="s">
        <v>31</v>
      </c>
      <c r="C239" s="1186">
        <v>0</v>
      </c>
      <c r="D239" s="1186">
        <v>30</v>
      </c>
      <c r="E239" s="1186">
        <v>1</v>
      </c>
      <c r="F239" s="1186">
        <v>14</v>
      </c>
      <c r="G239" s="1186">
        <v>1</v>
      </c>
      <c r="H239" s="1186">
        <v>5</v>
      </c>
      <c r="I239" s="1186">
        <v>1</v>
      </c>
      <c r="J239" s="1186">
        <v>4</v>
      </c>
      <c r="K239" s="1186">
        <v>2</v>
      </c>
      <c r="L239" s="1186">
        <v>0</v>
      </c>
      <c r="M239" s="1186">
        <v>0</v>
      </c>
      <c r="N239" s="1186">
        <v>4</v>
      </c>
      <c r="O239" s="1186">
        <v>35</v>
      </c>
      <c r="P239" s="1186">
        <v>10</v>
      </c>
      <c r="Q239" s="1186">
        <v>41</v>
      </c>
      <c r="R239" s="1186">
        <v>4</v>
      </c>
      <c r="S239" s="1186">
        <v>14</v>
      </c>
      <c r="T239" s="1186">
        <v>0</v>
      </c>
      <c r="U239" s="1186">
        <v>0</v>
      </c>
      <c r="V239" s="1186">
        <v>17</v>
      </c>
      <c r="W239" s="1186">
        <v>2</v>
      </c>
      <c r="X239" s="1186">
        <v>107540</v>
      </c>
    </row>
    <row r="240" spans="1:24" x14ac:dyDescent="0.2">
      <c r="A240" s="1186" t="s">
        <v>282</v>
      </c>
      <c r="B240" s="1186" t="s">
        <v>32</v>
      </c>
      <c r="C240" s="1186">
        <v>0</v>
      </c>
      <c r="D240" s="1186">
        <v>50</v>
      </c>
      <c r="E240" s="1186">
        <v>1</v>
      </c>
      <c r="F240" s="1186">
        <v>15</v>
      </c>
      <c r="G240" s="1186">
        <v>3</v>
      </c>
      <c r="H240" s="1186">
        <v>19</v>
      </c>
      <c r="I240" s="1186">
        <v>2</v>
      </c>
      <c r="J240" s="1186">
        <v>4</v>
      </c>
      <c r="K240" s="1186">
        <v>27</v>
      </c>
      <c r="L240" s="1186">
        <v>2</v>
      </c>
      <c r="M240" s="1186">
        <v>3</v>
      </c>
      <c r="N240" s="1186">
        <v>7</v>
      </c>
      <c r="O240" s="1186">
        <v>8</v>
      </c>
      <c r="P240" s="1186">
        <v>9</v>
      </c>
      <c r="Q240" s="1186">
        <v>46</v>
      </c>
      <c r="R240" s="1186">
        <v>0</v>
      </c>
      <c r="S240" s="1186">
        <v>13</v>
      </c>
      <c r="T240" s="1186">
        <v>0</v>
      </c>
      <c r="U240" s="1186">
        <v>0</v>
      </c>
      <c r="V240" s="1186">
        <v>19</v>
      </c>
      <c r="W240" s="1186">
        <v>1</v>
      </c>
      <c r="X240" s="1186">
        <v>104090</v>
      </c>
    </row>
    <row r="241" spans="1:24" x14ac:dyDescent="0.2">
      <c r="A241" s="1186" t="s">
        <v>282</v>
      </c>
      <c r="B241" s="1186" t="s">
        <v>33</v>
      </c>
      <c r="C241" s="1186">
        <v>0</v>
      </c>
      <c r="D241" s="1186">
        <v>28</v>
      </c>
      <c r="E241" s="1186">
        <v>3</v>
      </c>
      <c r="F241" s="1186">
        <v>10</v>
      </c>
      <c r="G241" s="1186">
        <v>0</v>
      </c>
      <c r="H241" s="1186">
        <v>3</v>
      </c>
      <c r="I241" s="1186">
        <v>1</v>
      </c>
      <c r="J241" s="1186">
        <v>2</v>
      </c>
      <c r="K241" s="1186">
        <v>8</v>
      </c>
      <c r="L241" s="1186">
        <v>0</v>
      </c>
      <c r="M241" s="1186">
        <v>1</v>
      </c>
      <c r="N241" s="1186">
        <v>1</v>
      </c>
      <c r="O241" s="1186">
        <v>3</v>
      </c>
      <c r="P241" s="1186">
        <v>5</v>
      </c>
      <c r="Q241" s="1186">
        <v>33</v>
      </c>
      <c r="R241" s="1186">
        <v>2</v>
      </c>
      <c r="S241" s="1186">
        <v>10</v>
      </c>
      <c r="T241" s="1186">
        <v>0</v>
      </c>
      <c r="U241" s="1186">
        <v>1</v>
      </c>
      <c r="V241" s="1186">
        <v>12</v>
      </c>
      <c r="W241" s="1186">
        <v>4</v>
      </c>
      <c r="X241" s="1186">
        <v>93810</v>
      </c>
    </row>
    <row r="242" spans="1:24" x14ac:dyDescent="0.2">
      <c r="A242" s="1186" t="s">
        <v>282</v>
      </c>
      <c r="B242" s="1186" t="s">
        <v>34</v>
      </c>
      <c r="C242" s="1186">
        <v>0</v>
      </c>
      <c r="D242" s="1186">
        <v>78</v>
      </c>
      <c r="E242" s="1186">
        <v>4</v>
      </c>
      <c r="F242" s="1186">
        <v>15</v>
      </c>
      <c r="G242" s="1186">
        <v>6</v>
      </c>
      <c r="H242" s="1186">
        <v>14</v>
      </c>
      <c r="I242" s="1186">
        <v>6</v>
      </c>
      <c r="J242" s="1186">
        <v>9</v>
      </c>
      <c r="K242" s="1186">
        <v>39</v>
      </c>
      <c r="L242" s="1186">
        <v>12</v>
      </c>
      <c r="M242" s="1186">
        <v>8</v>
      </c>
      <c r="N242" s="1186">
        <v>5</v>
      </c>
      <c r="O242" s="1186">
        <v>4</v>
      </c>
      <c r="P242" s="1186">
        <v>16</v>
      </c>
      <c r="Q242" s="1186">
        <v>118</v>
      </c>
      <c r="R242" s="1186">
        <v>4</v>
      </c>
      <c r="S242" s="1186">
        <v>14</v>
      </c>
      <c r="T242" s="1186">
        <v>0</v>
      </c>
      <c r="U242" s="1186">
        <v>1</v>
      </c>
      <c r="V242" s="1186">
        <v>39</v>
      </c>
      <c r="W242" s="1186">
        <v>2</v>
      </c>
      <c r="X242" s="1186">
        <v>159380</v>
      </c>
    </row>
    <row r="243" spans="1:24" x14ac:dyDescent="0.2">
      <c r="A243" s="1186" t="s">
        <v>282</v>
      </c>
      <c r="B243" s="1186" t="s">
        <v>35</v>
      </c>
      <c r="C243" s="1186">
        <v>0</v>
      </c>
      <c r="D243" s="1186">
        <v>169</v>
      </c>
      <c r="E243" s="1186">
        <v>4</v>
      </c>
      <c r="F243" s="1186">
        <v>54</v>
      </c>
      <c r="G243" s="1186">
        <v>1</v>
      </c>
      <c r="H243" s="1186">
        <v>49</v>
      </c>
      <c r="I243" s="1186">
        <v>5</v>
      </c>
      <c r="J243" s="1186">
        <v>27</v>
      </c>
      <c r="K243" s="1186">
        <v>18</v>
      </c>
      <c r="L243" s="1186">
        <v>14</v>
      </c>
      <c r="M243" s="1186">
        <v>12</v>
      </c>
      <c r="N243" s="1186">
        <v>19</v>
      </c>
      <c r="O243" s="1186">
        <v>11</v>
      </c>
      <c r="P243" s="1186">
        <v>35</v>
      </c>
      <c r="Q243" s="1186">
        <v>200</v>
      </c>
      <c r="R243" s="1186">
        <v>8</v>
      </c>
      <c r="S243" s="1186">
        <v>21</v>
      </c>
      <c r="T243" s="1186">
        <v>0</v>
      </c>
      <c r="U243" s="1186">
        <v>4</v>
      </c>
      <c r="V243" s="1186">
        <v>52</v>
      </c>
      <c r="W243" s="1186">
        <v>5</v>
      </c>
      <c r="X243" s="1186">
        <v>370330</v>
      </c>
    </row>
    <row r="244" spans="1:24" x14ac:dyDescent="0.2">
      <c r="A244" s="1186" t="s">
        <v>282</v>
      </c>
      <c r="B244" s="1186" t="s">
        <v>36</v>
      </c>
      <c r="C244" s="1186">
        <v>0</v>
      </c>
      <c r="D244" s="1186">
        <v>205</v>
      </c>
      <c r="E244" s="1186">
        <v>5</v>
      </c>
      <c r="F244" s="1186">
        <v>203</v>
      </c>
      <c r="G244" s="1186">
        <v>26</v>
      </c>
      <c r="H244" s="1186">
        <v>48</v>
      </c>
      <c r="I244" s="1186">
        <v>11</v>
      </c>
      <c r="J244" s="1186">
        <v>161</v>
      </c>
      <c r="K244" s="1186">
        <v>37</v>
      </c>
      <c r="L244" s="1186">
        <v>25</v>
      </c>
      <c r="M244" s="1186">
        <v>25</v>
      </c>
      <c r="N244" s="1186">
        <v>26</v>
      </c>
      <c r="O244" s="1186">
        <v>41</v>
      </c>
      <c r="P244" s="1186">
        <v>37</v>
      </c>
      <c r="Q244" s="1186">
        <v>368</v>
      </c>
      <c r="R244" s="1186">
        <v>39</v>
      </c>
      <c r="S244" s="1186">
        <v>292</v>
      </c>
      <c r="T244" s="1186">
        <v>2</v>
      </c>
      <c r="U244" s="1186">
        <v>1</v>
      </c>
      <c r="V244" s="1186">
        <v>224</v>
      </c>
      <c r="W244" s="1186">
        <v>27</v>
      </c>
      <c r="X244" s="1186">
        <v>615070</v>
      </c>
    </row>
    <row r="245" spans="1:24" x14ac:dyDescent="0.2">
      <c r="A245" s="1186" t="s">
        <v>282</v>
      </c>
      <c r="B245" s="1186" t="s">
        <v>37</v>
      </c>
      <c r="C245" s="1186">
        <v>0</v>
      </c>
      <c r="D245" s="1186">
        <v>215</v>
      </c>
      <c r="E245" s="1186">
        <v>3</v>
      </c>
      <c r="F245" s="1186">
        <v>36</v>
      </c>
      <c r="G245" s="1186">
        <v>6</v>
      </c>
      <c r="H245" s="1186">
        <v>15</v>
      </c>
      <c r="I245" s="1186">
        <v>0</v>
      </c>
      <c r="J245" s="1186">
        <v>26</v>
      </c>
      <c r="K245" s="1186">
        <v>8</v>
      </c>
      <c r="L245" s="1186">
        <v>10</v>
      </c>
      <c r="M245" s="1186">
        <v>16</v>
      </c>
      <c r="N245" s="1186">
        <v>16</v>
      </c>
      <c r="O245" s="1186">
        <v>5</v>
      </c>
      <c r="P245" s="1186">
        <v>33</v>
      </c>
      <c r="Q245" s="1186">
        <v>76</v>
      </c>
      <c r="R245" s="1186">
        <v>16</v>
      </c>
      <c r="S245" s="1186">
        <v>18</v>
      </c>
      <c r="T245" s="1186">
        <v>1</v>
      </c>
      <c r="U245" s="1186">
        <v>3</v>
      </c>
      <c r="V245" s="1186">
        <v>55</v>
      </c>
      <c r="W245" s="1186">
        <v>14</v>
      </c>
      <c r="X245" s="1186">
        <v>234770</v>
      </c>
    </row>
    <row r="246" spans="1:24" x14ac:dyDescent="0.2">
      <c r="A246" s="1186" t="s">
        <v>282</v>
      </c>
      <c r="B246" s="1186" t="s">
        <v>38</v>
      </c>
      <c r="C246" s="1186">
        <v>0</v>
      </c>
      <c r="D246" s="1186">
        <v>28</v>
      </c>
      <c r="E246" s="1186">
        <v>2</v>
      </c>
      <c r="F246" s="1186">
        <v>33</v>
      </c>
      <c r="G246" s="1186">
        <v>1</v>
      </c>
      <c r="H246" s="1186">
        <v>8</v>
      </c>
      <c r="I246" s="1186">
        <v>3</v>
      </c>
      <c r="J246" s="1186">
        <v>15</v>
      </c>
      <c r="K246" s="1186">
        <v>7</v>
      </c>
      <c r="L246" s="1186">
        <v>3</v>
      </c>
      <c r="M246" s="1186">
        <v>2</v>
      </c>
      <c r="N246" s="1186">
        <v>4</v>
      </c>
      <c r="O246" s="1186">
        <v>4</v>
      </c>
      <c r="P246" s="1186">
        <v>8</v>
      </c>
      <c r="Q246" s="1186">
        <v>54</v>
      </c>
      <c r="R246" s="1186">
        <v>8</v>
      </c>
      <c r="S246" s="1186">
        <v>23</v>
      </c>
      <c r="T246" s="1186">
        <v>1</v>
      </c>
      <c r="U246" s="1186">
        <v>2</v>
      </c>
      <c r="V246" s="1186">
        <v>16</v>
      </c>
      <c r="W246" s="1186">
        <v>0</v>
      </c>
      <c r="X246" s="1186">
        <v>79160</v>
      </c>
    </row>
    <row r="247" spans="1:24" x14ac:dyDescent="0.2">
      <c r="A247" s="1186" t="s">
        <v>282</v>
      </c>
      <c r="B247" s="1186" t="s">
        <v>39</v>
      </c>
      <c r="C247" s="1186">
        <v>0</v>
      </c>
      <c r="D247" s="1186">
        <v>39</v>
      </c>
      <c r="E247" s="1186">
        <v>0</v>
      </c>
      <c r="F247" s="1186">
        <v>20</v>
      </c>
      <c r="G247" s="1186">
        <v>2</v>
      </c>
      <c r="H247" s="1186">
        <v>11</v>
      </c>
      <c r="I247" s="1186">
        <v>3</v>
      </c>
      <c r="J247" s="1186">
        <v>0</v>
      </c>
      <c r="K247" s="1186">
        <v>6</v>
      </c>
      <c r="L247" s="1186">
        <v>2</v>
      </c>
      <c r="M247" s="1186">
        <v>3</v>
      </c>
      <c r="N247" s="1186">
        <v>1</v>
      </c>
      <c r="O247" s="1186">
        <v>3</v>
      </c>
      <c r="P247" s="1186">
        <v>8</v>
      </c>
      <c r="Q247" s="1186">
        <v>33</v>
      </c>
      <c r="R247" s="1186">
        <v>0</v>
      </c>
      <c r="S247" s="1186">
        <v>18</v>
      </c>
      <c r="T247" s="1186">
        <v>0</v>
      </c>
      <c r="U247" s="1186">
        <v>0</v>
      </c>
      <c r="V247" s="1186">
        <v>12</v>
      </c>
      <c r="W247" s="1186">
        <v>1</v>
      </c>
      <c r="X247" s="1186">
        <v>88610</v>
      </c>
    </row>
    <row r="248" spans="1:24" x14ac:dyDescent="0.2">
      <c r="A248" s="1186" t="s">
        <v>282</v>
      </c>
      <c r="B248" s="1186" t="s">
        <v>40</v>
      </c>
      <c r="C248" s="1186">
        <v>0</v>
      </c>
      <c r="D248" s="1186">
        <v>38</v>
      </c>
      <c r="E248" s="1186">
        <v>2</v>
      </c>
      <c r="F248" s="1186">
        <v>10</v>
      </c>
      <c r="G248" s="1186">
        <v>1</v>
      </c>
      <c r="H248" s="1186">
        <v>21</v>
      </c>
      <c r="I248" s="1186">
        <v>2</v>
      </c>
      <c r="J248" s="1186">
        <v>2</v>
      </c>
      <c r="K248" s="1186">
        <v>4</v>
      </c>
      <c r="L248" s="1186">
        <v>3</v>
      </c>
      <c r="M248" s="1186">
        <v>4</v>
      </c>
      <c r="N248" s="1186">
        <v>3</v>
      </c>
      <c r="O248" s="1186">
        <v>2</v>
      </c>
      <c r="P248" s="1186">
        <v>10</v>
      </c>
      <c r="Q248" s="1186">
        <v>35</v>
      </c>
      <c r="R248" s="1186">
        <v>1</v>
      </c>
      <c r="S248" s="1186">
        <v>8</v>
      </c>
      <c r="T248" s="1186">
        <v>0</v>
      </c>
      <c r="U248" s="1186">
        <v>1</v>
      </c>
      <c r="V248" s="1186">
        <v>16</v>
      </c>
      <c r="W248" s="1186">
        <v>2</v>
      </c>
      <c r="X248" s="1186">
        <v>96070</v>
      </c>
    </row>
    <row r="249" spans="1:24" x14ac:dyDescent="0.2">
      <c r="A249" s="1186" t="s">
        <v>282</v>
      </c>
      <c r="B249" s="1186" t="s">
        <v>295</v>
      </c>
      <c r="C249" s="1186">
        <v>0</v>
      </c>
      <c r="D249" s="1186">
        <v>14</v>
      </c>
      <c r="E249" s="1186">
        <v>1</v>
      </c>
      <c r="F249" s="1186">
        <v>2</v>
      </c>
      <c r="G249" s="1186">
        <v>0</v>
      </c>
      <c r="H249" s="1186">
        <v>1</v>
      </c>
      <c r="I249" s="1186">
        <v>0</v>
      </c>
      <c r="J249" s="1186">
        <v>4</v>
      </c>
      <c r="K249" s="1186">
        <v>1</v>
      </c>
      <c r="L249" s="1186">
        <v>0</v>
      </c>
      <c r="M249" s="1186">
        <v>0</v>
      </c>
      <c r="N249" s="1186">
        <v>0</v>
      </c>
      <c r="O249" s="1186">
        <v>1</v>
      </c>
      <c r="P249" s="1186">
        <v>4</v>
      </c>
      <c r="Q249" s="1186">
        <v>5</v>
      </c>
      <c r="R249" s="1186">
        <v>1</v>
      </c>
      <c r="S249" s="1186">
        <v>3</v>
      </c>
      <c r="T249" s="1186">
        <v>0</v>
      </c>
      <c r="U249" s="1186">
        <v>6</v>
      </c>
      <c r="V249" s="1186">
        <v>10</v>
      </c>
      <c r="W249" s="1186">
        <v>0</v>
      </c>
      <c r="X249" s="1186">
        <v>26900</v>
      </c>
    </row>
    <row r="250" spans="1:24" x14ac:dyDescent="0.2">
      <c r="A250" s="1186" t="s">
        <v>282</v>
      </c>
      <c r="B250" s="1186" t="s">
        <v>41</v>
      </c>
      <c r="C250" s="1186">
        <v>0</v>
      </c>
      <c r="D250" s="1186">
        <v>39</v>
      </c>
      <c r="E250" s="1186">
        <v>3</v>
      </c>
      <c r="F250" s="1186">
        <v>47</v>
      </c>
      <c r="G250" s="1186">
        <v>1</v>
      </c>
      <c r="H250" s="1186">
        <v>8</v>
      </c>
      <c r="I250" s="1186">
        <v>2</v>
      </c>
      <c r="J250" s="1186">
        <v>12</v>
      </c>
      <c r="K250" s="1186">
        <v>10</v>
      </c>
      <c r="L250" s="1186">
        <v>0</v>
      </c>
      <c r="M250" s="1186">
        <v>4</v>
      </c>
      <c r="N250" s="1186">
        <v>3</v>
      </c>
      <c r="O250" s="1186">
        <v>1</v>
      </c>
      <c r="P250" s="1186">
        <v>9</v>
      </c>
      <c r="Q250" s="1186">
        <v>65</v>
      </c>
      <c r="R250" s="1186">
        <v>4</v>
      </c>
      <c r="S250" s="1186">
        <v>31</v>
      </c>
      <c r="T250" s="1186">
        <v>0</v>
      </c>
      <c r="U250" s="1186">
        <v>0</v>
      </c>
      <c r="V250" s="1186">
        <v>45</v>
      </c>
      <c r="W250" s="1186">
        <v>1</v>
      </c>
      <c r="X250" s="1186">
        <v>135890</v>
      </c>
    </row>
    <row r="251" spans="1:24" x14ac:dyDescent="0.2">
      <c r="A251" s="1186" t="s">
        <v>282</v>
      </c>
      <c r="B251" s="1186" t="s">
        <v>42</v>
      </c>
      <c r="C251" s="1186">
        <v>0</v>
      </c>
      <c r="D251" s="1186">
        <v>153</v>
      </c>
      <c r="E251" s="1186">
        <v>2</v>
      </c>
      <c r="F251" s="1186">
        <v>52</v>
      </c>
      <c r="G251" s="1186">
        <v>1</v>
      </c>
      <c r="H251" s="1186">
        <v>30</v>
      </c>
      <c r="I251" s="1186">
        <v>6</v>
      </c>
      <c r="J251" s="1186">
        <v>25</v>
      </c>
      <c r="K251" s="1186">
        <v>15</v>
      </c>
      <c r="L251" s="1186">
        <v>9</v>
      </c>
      <c r="M251" s="1186">
        <v>4</v>
      </c>
      <c r="N251" s="1186">
        <v>15</v>
      </c>
      <c r="O251" s="1186">
        <v>22</v>
      </c>
      <c r="P251" s="1186">
        <v>15</v>
      </c>
      <c r="Q251" s="1186">
        <v>126</v>
      </c>
      <c r="R251" s="1186">
        <v>8</v>
      </c>
      <c r="S251" s="1186">
        <v>71</v>
      </c>
      <c r="T251" s="1186">
        <v>0</v>
      </c>
      <c r="U251" s="1186">
        <v>0</v>
      </c>
      <c r="V251" s="1186">
        <v>59</v>
      </c>
      <c r="W251" s="1186">
        <v>8</v>
      </c>
      <c r="X251" s="1186">
        <v>339390</v>
      </c>
    </row>
    <row r="252" spans="1:24" x14ac:dyDescent="0.2">
      <c r="A252" s="1186" t="s">
        <v>282</v>
      </c>
      <c r="B252" s="1186" t="s">
        <v>43</v>
      </c>
      <c r="C252" s="1186">
        <v>0</v>
      </c>
      <c r="D252" s="1186">
        <v>5</v>
      </c>
      <c r="E252" s="1186">
        <v>1</v>
      </c>
      <c r="F252" s="1186">
        <v>0</v>
      </c>
      <c r="G252" s="1186">
        <v>1</v>
      </c>
      <c r="H252" s="1186">
        <v>0</v>
      </c>
      <c r="I252" s="1186">
        <v>0</v>
      </c>
      <c r="J252" s="1186">
        <v>0</v>
      </c>
      <c r="K252" s="1186">
        <v>1</v>
      </c>
      <c r="L252" s="1186">
        <v>1</v>
      </c>
      <c r="M252" s="1186">
        <v>1</v>
      </c>
      <c r="N252" s="1186">
        <v>0</v>
      </c>
      <c r="O252" s="1186">
        <v>0</v>
      </c>
      <c r="P252" s="1186">
        <v>1</v>
      </c>
      <c r="Q252" s="1186">
        <v>1</v>
      </c>
      <c r="R252" s="1186">
        <v>1</v>
      </c>
      <c r="S252" s="1186">
        <v>3</v>
      </c>
      <c r="T252" s="1186">
        <v>0</v>
      </c>
      <c r="U252" s="1186">
        <v>0</v>
      </c>
      <c r="V252" s="1186">
        <v>7</v>
      </c>
      <c r="W252" s="1186">
        <v>1</v>
      </c>
      <c r="X252" s="1186">
        <v>21850</v>
      </c>
    </row>
    <row r="253" spans="1:24" x14ac:dyDescent="0.2">
      <c r="A253" s="1186" t="s">
        <v>282</v>
      </c>
      <c r="B253" s="1186" t="s">
        <v>44</v>
      </c>
      <c r="C253" s="1186">
        <v>0</v>
      </c>
      <c r="D253" s="1186">
        <v>86</v>
      </c>
      <c r="E253" s="1186">
        <v>2</v>
      </c>
      <c r="F253" s="1186">
        <v>19</v>
      </c>
      <c r="G253" s="1186">
        <v>18</v>
      </c>
      <c r="H253" s="1186">
        <v>13</v>
      </c>
      <c r="I253" s="1186">
        <v>1</v>
      </c>
      <c r="J253" s="1186">
        <v>10</v>
      </c>
      <c r="K253" s="1186">
        <v>11</v>
      </c>
      <c r="L253" s="1186">
        <v>1</v>
      </c>
      <c r="M253" s="1186">
        <v>5</v>
      </c>
      <c r="N253" s="1186">
        <v>6</v>
      </c>
      <c r="O253" s="1186">
        <v>2</v>
      </c>
      <c r="P253" s="1186">
        <v>8</v>
      </c>
      <c r="Q253" s="1186">
        <v>59</v>
      </c>
      <c r="R253" s="1186">
        <v>9</v>
      </c>
      <c r="S253" s="1186">
        <v>8</v>
      </c>
      <c r="T253" s="1186">
        <v>0</v>
      </c>
      <c r="U253" s="1186">
        <v>0</v>
      </c>
      <c r="V253" s="1186">
        <v>16</v>
      </c>
      <c r="W253" s="1186">
        <v>2</v>
      </c>
      <c r="X253" s="1186">
        <v>150680</v>
      </c>
    </row>
    <row r="254" spans="1:24" x14ac:dyDescent="0.2">
      <c r="A254" s="1186" t="s">
        <v>282</v>
      </c>
      <c r="B254" s="1186" t="s">
        <v>45</v>
      </c>
      <c r="C254" s="1186">
        <v>0</v>
      </c>
      <c r="D254" s="1186">
        <v>86</v>
      </c>
      <c r="E254" s="1186">
        <v>4</v>
      </c>
      <c r="F254" s="1186">
        <v>33</v>
      </c>
      <c r="G254" s="1186">
        <v>5</v>
      </c>
      <c r="H254" s="1186">
        <v>16</v>
      </c>
      <c r="I254" s="1186">
        <v>2</v>
      </c>
      <c r="J254" s="1186">
        <v>19</v>
      </c>
      <c r="K254" s="1186">
        <v>13</v>
      </c>
      <c r="L254" s="1186">
        <v>4</v>
      </c>
      <c r="M254" s="1186">
        <v>3</v>
      </c>
      <c r="N254" s="1186">
        <v>9</v>
      </c>
      <c r="O254" s="1186">
        <v>4</v>
      </c>
      <c r="P254" s="1186">
        <v>13</v>
      </c>
      <c r="Q254" s="1186">
        <v>116</v>
      </c>
      <c r="R254" s="1186">
        <v>2</v>
      </c>
      <c r="S254" s="1186">
        <v>78</v>
      </c>
      <c r="T254" s="1186">
        <v>0</v>
      </c>
      <c r="U254" s="1186">
        <v>4</v>
      </c>
      <c r="V254" s="1186">
        <v>39</v>
      </c>
      <c r="W254" s="1186">
        <v>7</v>
      </c>
      <c r="X254" s="1186">
        <v>175930</v>
      </c>
    </row>
    <row r="255" spans="1:24" x14ac:dyDescent="0.2">
      <c r="A255" s="1186" t="s">
        <v>282</v>
      </c>
      <c r="B255" s="1186" t="s">
        <v>46</v>
      </c>
      <c r="C255" s="1186">
        <v>0</v>
      </c>
      <c r="D255" s="1186">
        <v>99</v>
      </c>
      <c r="E255" s="1186">
        <v>3</v>
      </c>
      <c r="F255" s="1186">
        <v>19</v>
      </c>
      <c r="G255" s="1186">
        <v>2</v>
      </c>
      <c r="H255" s="1186">
        <v>14</v>
      </c>
      <c r="I255" s="1186">
        <v>0</v>
      </c>
      <c r="J255" s="1186">
        <v>6</v>
      </c>
      <c r="K255" s="1186">
        <v>38</v>
      </c>
      <c r="L255" s="1186">
        <v>7</v>
      </c>
      <c r="M255" s="1186">
        <v>8</v>
      </c>
      <c r="N255" s="1186">
        <v>4</v>
      </c>
      <c r="O255" s="1186">
        <v>5</v>
      </c>
      <c r="P255" s="1186">
        <v>12</v>
      </c>
      <c r="Q255" s="1186">
        <v>62</v>
      </c>
      <c r="R255" s="1186">
        <v>2</v>
      </c>
      <c r="S255" s="1186">
        <v>12</v>
      </c>
      <c r="T255" s="1186">
        <v>0</v>
      </c>
      <c r="U255" s="1186">
        <v>0</v>
      </c>
      <c r="V255" s="1186">
        <v>25</v>
      </c>
      <c r="W255" s="1186">
        <v>4</v>
      </c>
      <c r="X255" s="1186">
        <v>114530</v>
      </c>
    </row>
    <row r="256" spans="1:24" x14ac:dyDescent="0.2">
      <c r="A256" s="1186" t="s">
        <v>282</v>
      </c>
      <c r="B256" s="1186" t="s">
        <v>47</v>
      </c>
      <c r="C256" s="1186">
        <v>0</v>
      </c>
      <c r="D256" s="1186">
        <v>10</v>
      </c>
      <c r="E256" s="1186">
        <v>0</v>
      </c>
      <c r="F256" s="1186">
        <v>3</v>
      </c>
      <c r="G256" s="1186">
        <v>0</v>
      </c>
      <c r="H256" s="1186">
        <v>1</v>
      </c>
      <c r="I256" s="1186">
        <v>0</v>
      </c>
      <c r="J256" s="1186">
        <v>0</v>
      </c>
      <c r="K256" s="1186">
        <v>1</v>
      </c>
      <c r="L256" s="1186">
        <v>2</v>
      </c>
      <c r="M256" s="1186">
        <v>2</v>
      </c>
      <c r="N256" s="1186">
        <v>0</v>
      </c>
      <c r="O256" s="1186">
        <v>1</v>
      </c>
      <c r="P256" s="1186">
        <v>0</v>
      </c>
      <c r="Q256" s="1186">
        <v>2</v>
      </c>
      <c r="R256" s="1186">
        <v>3</v>
      </c>
      <c r="S256" s="1186">
        <v>2</v>
      </c>
      <c r="T256" s="1186">
        <v>0</v>
      </c>
      <c r="U256" s="1186">
        <v>6</v>
      </c>
      <c r="V256" s="1186">
        <v>5</v>
      </c>
      <c r="W256" s="1186">
        <v>0</v>
      </c>
      <c r="X256" s="1186">
        <v>23200</v>
      </c>
    </row>
    <row r="257" spans="1:24" x14ac:dyDescent="0.2">
      <c r="A257" s="1186" t="s">
        <v>282</v>
      </c>
      <c r="B257" s="1186" t="s">
        <v>48</v>
      </c>
      <c r="C257" s="1186">
        <v>0</v>
      </c>
      <c r="D257" s="1186">
        <v>62</v>
      </c>
      <c r="E257" s="1186">
        <v>1</v>
      </c>
      <c r="F257" s="1186">
        <v>14</v>
      </c>
      <c r="G257" s="1186">
        <v>2</v>
      </c>
      <c r="H257" s="1186">
        <v>12</v>
      </c>
      <c r="I257" s="1186">
        <v>1</v>
      </c>
      <c r="J257" s="1186">
        <v>12</v>
      </c>
      <c r="K257" s="1186">
        <v>9</v>
      </c>
      <c r="L257" s="1186">
        <v>2</v>
      </c>
      <c r="M257" s="1186">
        <v>3</v>
      </c>
      <c r="N257" s="1186">
        <v>7</v>
      </c>
      <c r="O257" s="1186">
        <v>5</v>
      </c>
      <c r="P257" s="1186">
        <v>12</v>
      </c>
      <c r="Q257" s="1186">
        <v>49</v>
      </c>
      <c r="R257" s="1186">
        <v>6</v>
      </c>
      <c r="S257" s="1186">
        <v>30</v>
      </c>
      <c r="T257" s="1186">
        <v>0</v>
      </c>
      <c r="U257" s="1186">
        <v>3</v>
      </c>
      <c r="V257" s="1186">
        <v>22</v>
      </c>
      <c r="W257" s="1186">
        <v>1</v>
      </c>
      <c r="X257" s="1186">
        <v>112470</v>
      </c>
    </row>
    <row r="258" spans="1:24" x14ac:dyDescent="0.2">
      <c r="A258" s="1186" t="s">
        <v>282</v>
      </c>
      <c r="B258" s="1186" t="s">
        <v>49</v>
      </c>
      <c r="C258" s="1186">
        <v>0</v>
      </c>
      <c r="D258" s="1186">
        <v>151</v>
      </c>
      <c r="E258" s="1186">
        <v>3</v>
      </c>
      <c r="F258" s="1186">
        <v>37</v>
      </c>
      <c r="G258" s="1186">
        <v>1</v>
      </c>
      <c r="H258" s="1186">
        <v>16</v>
      </c>
      <c r="I258" s="1186">
        <v>5</v>
      </c>
      <c r="J258" s="1186">
        <v>14</v>
      </c>
      <c r="K258" s="1186">
        <v>19</v>
      </c>
      <c r="L258" s="1186">
        <v>10</v>
      </c>
      <c r="M258" s="1186">
        <v>3</v>
      </c>
      <c r="N258" s="1186">
        <v>13</v>
      </c>
      <c r="O258" s="1186">
        <v>18</v>
      </c>
      <c r="P258" s="1186">
        <v>19</v>
      </c>
      <c r="Q258" s="1186">
        <v>124</v>
      </c>
      <c r="R258" s="1186">
        <v>9</v>
      </c>
      <c r="S258" s="1186">
        <v>105</v>
      </c>
      <c r="T258" s="1186">
        <v>1</v>
      </c>
      <c r="U258" s="1186">
        <v>0</v>
      </c>
      <c r="V258" s="1186">
        <v>79</v>
      </c>
      <c r="W258" s="1186">
        <v>8</v>
      </c>
      <c r="X258" s="1186">
        <v>317100</v>
      </c>
    </row>
    <row r="259" spans="1:24" x14ac:dyDescent="0.2">
      <c r="A259" s="1186" t="s">
        <v>282</v>
      </c>
      <c r="B259" s="1186" t="s">
        <v>50</v>
      </c>
      <c r="C259" s="1186">
        <v>0</v>
      </c>
      <c r="D259" s="1186">
        <v>67</v>
      </c>
      <c r="E259" s="1186">
        <v>1</v>
      </c>
      <c r="F259" s="1186">
        <v>23</v>
      </c>
      <c r="G259" s="1186">
        <v>4</v>
      </c>
      <c r="H259" s="1186">
        <v>11</v>
      </c>
      <c r="I259" s="1186">
        <v>1</v>
      </c>
      <c r="J259" s="1186">
        <v>6</v>
      </c>
      <c r="K259" s="1186">
        <v>18</v>
      </c>
      <c r="L259" s="1186">
        <v>3</v>
      </c>
      <c r="M259" s="1186">
        <v>3</v>
      </c>
      <c r="N259" s="1186">
        <v>7</v>
      </c>
      <c r="O259" s="1186">
        <v>2</v>
      </c>
      <c r="P259" s="1186">
        <v>12</v>
      </c>
      <c r="Q259" s="1186">
        <v>48</v>
      </c>
      <c r="R259" s="1186">
        <v>3</v>
      </c>
      <c r="S259" s="1186">
        <v>6</v>
      </c>
      <c r="T259" s="1186">
        <v>0</v>
      </c>
      <c r="U259" s="1186">
        <v>1</v>
      </c>
      <c r="V259" s="1186">
        <v>16</v>
      </c>
      <c r="W259" s="1186">
        <v>1</v>
      </c>
      <c r="X259" s="1186">
        <v>93750</v>
      </c>
    </row>
    <row r="260" spans="1:24" x14ac:dyDescent="0.2">
      <c r="A260" s="1186" t="s">
        <v>282</v>
      </c>
      <c r="B260" s="1186" t="s">
        <v>51</v>
      </c>
      <c r="C260" s="1186">
        <v>0</v>
      </c>
      <c r="D260" s="1186">
        <v>27</v>
      </c>
      <c r="E260" s="1186">
        <v>0</v>
      </c>
      <c r="F260" s="1186">
        <v>21</v>
      </c>
      <c r="G260" s="1186">
        <v>1</v>
      </c>
      <c r="H260" s="1186">
        <v>10</v>
      </c>
      <c r="I260" s="1186">
        <v>3</v>
      </c>
      <c r="J260" s="1186">
        <v>9</v>
      </c>
      <c r="K260" s="1186">
        <v>10</v>
      </c>
      <c r="L260" s="1186">
        <v>3</v>
      </c>
      <c r="M260" s="1186">
        <v>0</v>
      </c>
      <c r="N260" s="1186">
        <v>7</v>
      </c>
      <c r="O260" s="1186">
        <v>3</v>
      </c>
      <c r="P260" s="1186">
        <v>7</v>
      </c>
      <c r="Q260" s="1186">
        <v>46</v>
      </c>
      <c r="R260" s="1186">
        <v>5</v>
      </c>
      <c r="S260" s="1186">
        <v>20</v>
      </c>
      <c r="T260" s="1186">
        <v>0</v>
      </c>
      <c r="U260" s="1186">
        <v>0</v>
      </c>
      <c r="V260" s="1186">
        <v>28</v>
      </c>
      <c r="W260" s="1186">
        <v>4</v>
      </c>
      <c r="X260" s="1186">
        <v>89860</v>
      </c>
    </row>
    <row r="261" spans="1:24" x14ac:dyDescent="0.2">
      <c r="A261" s="1186" t="s">
        <v>282</v>
      </c>
      <c r="B261" s="1186" t="s">
        <v>52</v>
      </c>
      <c r="C261" s="1186">
        <v>0</v>
      </c>
      <c r="D261" s="1186">
        <v>88</v>
      </c>
      <c r="E261" s="1186">
        <v>4</v>
      </c>
      <c r="F261" s="1186">
        <v>23</v>
      </c>
      <c r="G261" s="1186">
        <v>2</v>
      </c>
      <c r="H261" s="1186">
        <v>22</v>
      </c>
      <c r="I261" s="1186">
        <v>3</v>
      </c>
      <c r="J261" s="1186">
        <v>5</v>
      </c>
      <c r="K261" s="1186">
        <v>56</v>
      </c>
      <c r="L261" s="1186">
        <v>5</v>
      </c>
      <c r="M261" s="1186">
        <v>8</v>
      </c>
      <c r="N261" s="1186">
        <v>6</v>
      </c>
      <c r="O261" s="1186">
        <v>8</v>
      </c>
      <c r="P261" s="1186">
        <v>11</v>
      </c>
      <c r="Q261" s="1186">
        <v>136</v>
      </c>
      <c r="R261" s="1186">
        <v>9</v>
      </c>
      <c r="S261" s="1186">
        <v>41</v>
      </c>
      <c r="T261" s="1186">
        <v>0</v>
      </c>
      <c r="U261" s="1186">
        <v>0</v>
      </c>
      <c r="V261" s="1186">
        <v>36</v>
      </c>
      <c r="W261" s="1186">
        <v>1</v>
      </c>
      <c r="X261" s="1186">
        <v>180130</v>
      </c>
    </row>
    <row r="262" spans="1:24" x14ac:dyDescent="0.2">
      <c r="A262" s="1186" t="s">
        <v>311</v>
      </c>
      <c r="B262" s="1186" t="s">
        <v>23</v>
      </c>
      <c r="C262" s="1186">
        <v>0</v>
      </c>
      <c r="D262" s="1186">
        <v>52</v>
      </c>
      <c r="E262" s="1186">
        <v>13</v>
      </c>
      <c r="F262" s="1186">
        <v>58</v>
      </c>
      <c r="G262" s="1186">
        <v>1</v>
      </c>
      <c r="H262" s="1186">
        <v>26</v>
      </c>
      <c r="I262" s="1186">
        <v>5</v>
      </c>
      <c r="J262" s="1186">
        <v>151</v>
      </c>
      <c r="K262" s="1186">
        <v>18</v>
      </c>
      <c r="L262" s="1186">
        <v>3</v>
      </c>
      <c r="M262" s="1186">
        <v>16</v>
      </c>
      <c r="N262" s="1186">
        <v>3</v>
      </c>
      <c r="O262" s="1186">
        <v>5</v>
      </c>
      <c r="P262" s="1186">
        <v>20</v>
      </c>
      <c r="Q262" s="1186">
        <v>146</v>
      </c>
      <c r="R262" s="1186">
        <v>11</v>
      </c>
      <c r="S262" s="1186">
        <v>29</v>
      </c>
      <c r="T262" s="1186">
        <v>0</v>
      </c>
      <c r="U262" s="1186">
        <v>1</v>
      </c>
      <c r="V262" s="1186">
        <v>28</v>
      </c>
      <c r="W262" s="1186">
        <v>8</v>
      </c>
      <c r="X262" s="1186">
        <v>228800</v>
      </c>
    </row>
    <row r="263" spans="1:24" x14ac:dyDescent="0.2">
      <c r="A263" s="1186" t="s">
        <v>311</v>
      </c>
      <c r="B263" s="1186" t="s">
        <v>24</v>
      </c>
      <c r="C263" s="1186">
        <v>0</v>
      </c>
      <c r="D263" s="1186">
        <v>182</v>
      </c>
      <c r="E263" s="1186">
        <v>0</v>
      </c>
      <c r="F263" s="1186">
        <v>26</v>
      </c>
      <c r="G263" s="1186">
        <v>5</v>
      </c>
      <c r="H263" s="1186">
        <v>17</v>
      </c>
      <c r="I263" s="1186">
        <v>1</v>
      </c>
      <c r="J263" s="1186">
        <v>14</v>
      </c>
      <c r="K263" s="1186">
        <v>26</v>
      </c>
      <c r="L263" s="1186">
        <v>0</v>
      </c>
      <c r="M263" s="1186">
        <v>7</v>
      </c>
      <c r="N263" s="1186">
        <v>4</v>
      </c>
      <c r="O263" s="1186">
        <v>6</v>
      </c>
      <c r="P263" s="1186">
        <v>24</v>
      </c>
      <c r="Q263" s="1186">
        <v>57</v>
      </c>
      <c r="R263" s="1186">
        <v>8</v>
      </c>
      <c r="S263" s="1186">
        <v>12</v>
      </c>
      <c r="T263" s="1186">
        <v>0</v>
      </c>
      <c r="U263" s="1186">
        <v>0</v>
      </c>
      <c r="V263" s="1186">
        <v>34</v>
      </c>
      <c r="W263" s="1186">
        <v>2</v>
      </c>
      <c r="X263" s="1186">
        <v>261800</v>
      </c>
    </row>
    <row r="264" spans="1:24" x14ac:dyDescent="0.2">
      <c r="A264" s="1186" t="s">
        <v>311</v>
      </c>
      <c r="B264" s="1186" t="s">
        <v>25</v>
      </c>
      <c r="C264" s="1186">
        <v>0</v>
      </c>
      <c r="D264" s="1186">
        <v>67</v>
      </c>
      <c r="E264" s="1186">
        <v>1</v>
      </c>
      <c r="F264" s="1186">
        <v>20</v>
      </c>
      <c r="G264" s="1186">
        <v>2</v>
      </c>
      <c r="H264" s="1186">
        <v>16</v>
      </c>
      <c r="I264" s="1186">
        <v>1</v>
      </c>
      <c r="J264" s="1186">
        <v>3</v>
      </c>
      <c r="K264" s="1186">
        <v>11</v>
      </c>
      <c r="L264" s="1186">
        <v>3</v>
      </c>
      <c r="M264" s="1186">
        <v>4</v>
      </c>
      <c r="N264" s="1186">
        <v>2</v>
      </c>
      <c r="O264" s="1186">
        <v>3</v>
      </c>
      <c r="P264" s="1186">
        <v>9</v>
      </c>
      <c r="Q264" s="1186">
        <v>76</v>
      </c>
      <c r="R264" s="1186">
        <v>7</v>
      </c>
      <c r="S264" s="1186">
        <v>21</v>
      </c>
      <c r="T264" s="1186">
        <v>0</v>
      </c>
      <c r="U264" s="1186">
        <v>0</v>
      </c>
      <c r="V264" s="1186">
        <v>28</v>
      </c>
      <c r="W264" s="1186">
        <v>4</v>
      </c>
      <c r="X264" s="1186">
        <v>116280</v>
      </c>
    </row>
    <row r="265" spans="1:24" x14ac:dyDescent="0.2">
      <c r="A265" s="1186" t="s">
        <v>311</v>
      </c>
      <c r="B265" s="1186" t="s">
        <v>26</v>
      </c>
      <c r="C265" s="1186">
        <v>0</v>
      </c>
      <c r="D265" s="1186">
        <v>77</v>
      </c>
      <c r="E265" s="1186">
        <v>2</v>
      </c>
      <c r="F265" s="1186">
        <v>22</v>
      </c>
      <c r="G265" s="1186">
        <v>3</v>
      </c>
      <c r="H265" s="1186">
        <v>6</v>
      </c>
      <c r="I265" s="1186">
        <v>2</v>
      </c>
      <c r="J265" s="1186">
        <v>8</v>
      </c>
      <c r="K265" s="1186">
        <v>16</v>
      </c>
      <c r="L265" s="1186">
        <v>4</v>
      </c>
      <c r="M265" s="1186">
        <v>2</v>
      </c>
      <c r="N265" s="1186">
        <v>6</v>
      </c>
      <c r="O265" s="1186">
        <v>3</v>
      </c>
      <c r="P265" s="1186">
        <v>10</v>
      </c>
      <c r="Q265" s="1186">
        <v>28</v>
      </c>
      <c r="R265" s="1186">
        <v>6</v>
      </c>
      <c r="S265" s="1186">
        <v>29</v>
      </c>
      <c r="T265" s="1186">
        <v>0</v>
      </c>
      <c r="U265" s="1186">
        <v>25</v>
      </c>
      <c r="V265" s="1186">
        <v>53</v>
      </c>
      <c r="W265" s="1186">
        <v>3</v>
      </c>
      <c r="X265" s="1186">
        <v>86810</v>
      </c>
    </row>
    <row r="266" spans="1:24" x14ac:dyDescent="0.2">
      <c r="A266" s="1186" t="s">
        <v>311</v>
      </c>
      <c r="B266" s="1186" t="s">
        <v>619</v>
      </c>
      <c r="C266" s="1186">
        <v>0</v>
      </c>
      <c r="D266" s="1186">
        <v>137</v>
      </c>
      <c r="E266" s="1186">
        <v>6</v>
      </c>
      <c r="F266" s="1186">
        <v>168</v>
      </c>
      <c r="G266" s="1186">
        <v>11</v>
      </c>
      <c r="H266" s="1186">
        <v>40</v>
      </c>
      <c r="I266" s="1186">
        <v>2</v>
      </c>
      <c r="J266" s="1186">
        <v>125</v>
      </c>
      <c r="K266" s="1186">
        <v>47</v>
      </c>
      <c r="L266" s="1186">
        <v>14</v>
      </c>
      <c r="M266" s="1186">
        <v>30</v>
      </c>
      <c r="N266" s="1186">
        <v>34</v>
      </c>
      <c r="O266" s="1186">
        <v>33</v>
      </c>
      <c r="P266" s="1186">
        <v>22</v>
      </c>
      <c r="Q266" s="1186">
        <v>513</v>
      </c>
      <c r="R266" s="1186">
        <v>30</v>
      </c>
      <c r="S266" s="1186">
        <v>129</v>
      </c>
      <c r="T266" s="1186">
        <v>0</v>
      </c>
      <c r="U266" s="1186">
        <v>7</v>
      </c>
      <c r="V266" s="1186">
        <v>91</v>
      </c>
      <c r="W266" s="1186">
        <v>20</v>
      </c>
      <c r="X266" s="1186">
        <v>513210</v>
      </c>
    </row>
    <row r="267" spans="1:24" x14ac:dyDescent="0.2">
      <c r="A267" s="1186" t="s">
        <v>311</v>
      </c>
      <c r="B267" s="1186" t="s">
        <v>27</v>
      </c>
      <c r="C267" s="1186">
        <v>0</v>
      </c>
      <c r="D267" s="1186">
        <v>12</v>
      </c>
      <c r="E267" s="1186">
        <v>0</v>
      </c>
      <c r="F267" s="1186">
        <v>11</v>
      </c>
      <c r="G267" s="1186">
        <v>1</v>
      </c>
      <c r="H267" s="1186">
        <v>8</v>
      </c>
      <c r="I267" s="1186">
        <v>1</v>
      </c>
      <c r="J267" s="1186">
        <v>1</v>
      </c>
      <c r="K267" s="1186">
        <v>4</v>
      </c>
      <c r="L267" s="1186">
        <v>3</v>
      </c>
      <c r="M267" s="1186">
        <v>1</v>
      </c>
      <c r="N267" s="1186">
        <v>2</v>
      </c>
      <c r="O267" s="1186">
        <v>6</v>
      </c>
      <c r="P267" s="1186">
        <v>4</v>
      </c>
      <c r="Q267" s="1186">
        <v>41</v>
      </c>
      <c r="R267" s="1186">
        <v>0</v>
      </c>
      <c r="S267" s="1186">
        <v>3</v>
      </c>
      <c r="T267" s="1186">
        <v>0</v>
      </c>
      <c r="U267" s="1186">
        <v>0</v>
      </c>
      <c r="V267" s="1186">
        <v>12</v>
      </c>
      <c r="W267" s="1186">
        <v>1</v>
      </c>
      <c r="X267" s="1186">
        <v>51450</v>
      </c>
    </row>
    <row r="268" spans="1:24" x14ac:dyDescent="0.2">
      <c r="A268" s="1186" t="s">
        <v>311</v>
      </c>
      <c r="B268" s="1186" t="s">
        <v>28</v>
      </c>
      <c r="C268" s="1186">
        <v>0</v>
      </c>
      <c r="D268" s="1186">
        <v>91</v>
      </c>
      <c r="E268" s="1186">
        <v>4</v>
      </c>
      <c r="F268" s="1186">
        <v>30</v>
      </c>
      <c r="G268" s="1186">
        <v>13</v>
      </c>
      <c r="H268" s="1186">
        <v>10</v>
      </c>
      <c r="I268" s="1186">
        <v>1</v>
      </c>
      <c r="J268" s="1186">
        <v>12</v>
      </c>
      <c r="K268" s="1186">
        <v>23</v>
      </c>
      <c r="L268" s="1186">
        <v>13</v>
      </c>
      <c r="M268" s="1186">
        <v>6</v>
      </c>
      <c r="N268" s="1186">
        <v>7</v>
      </c>
      <c r="O268" s="1186">
        <v>5</v>
      </c>
      <c r="P268" s="1186">
        <v>19</v>
      </c>
      <c r="Q268" s="1186">
        <v>44</v>
      </c>
      <c r="R268" s="1186">
        <v>7</v>
      </c>
      <c r="S268" s="1186">
        <v>6</v>
      </c>
      <c r="T268" s="1186">
        <v>0</v>
      </c>
      <c r="U268" s="1186">
        <v>1</v>
      </c>
      <c r="V268" s="1186">
        <v>34</v>
      </c>
      <c r="W268" s="1186">
        <v>5</v>
      </c>
      <c r="X268" s="1186">
        <v>149200</v>
      </c>
    </row>
    <row r="269" spans="1:24" x14ac:dyDescent="0.2">
      <c r="A269" s="1186" t="s">
        <v>311</v>
      </c>
      <c r="B269" s="1186" t="s">
        <v>29</v>
      </c>
      <c r="C269" s="1186">
        <v>0</v>
      </c>
      <c r="D269" s="1186">
        <v>34</v>
      </c>
      <c r="E269" s="1186">
        <v>3</v>
      </c>
      <c r="F269" s="1186">
        <v>45</v>
      </c>
      <c r="G269" s="1186">
        <v>2</v>
      </c>
      <c r="H269" s="1186">
        <v>12</v>
      </c>
      <c r="I269" s="1186">
        <v>6</v>
      </c>
      <c r="J269" s="1186">
        <v>54</v>
      </c>
      <c r="K269" s="1186">
        <v>8</v>
      </c>
      <c r="L269" s="1186">
        <v>5</v>
      </c>
      <c r="M269" s="1186">
        <v>5</v>
      </c>
      <c r="N269" s="1186">
        <v>6</v>
      </c>
      <c r="O269" s="1186">
        <v>3</v>
      </c>
      <c r="P269" s="1186">
        <v>12</v>
      </c>
      <c r="Q269" s="1186">
        <v>140</v>
      </c>
      <c r="R269" s="1186">
        <v>32</v>
      </c>
      <c r="S269" s="1186">
        <v>22</v>
      </c>
      <c r="T269" s="1186">
        <v>0</v>
      </c>
      <c r="U269" s="1186">
        <v>1</v>
      </c>
      <c r="V269" s="1186">
        <v>20</v>
      </c>
      <c r="W269" s="1186">
        <v>7</v>
      </c>
      <c r="X269" s="1186">
        <v>148710</v>
      </c>
    </row>
    <row r="270" spans="1:24" x14ac:dyDescent="0.2">
      <c r="A270" s="1186" t="s">
        <v>311</v>
      </c>
      <c r="B270" s="1186" t="s">
        <v>30</v>
      </c>
      <c r="C270" s="1186">
        <v>0</v>
      </c>
      <c r="D270" s="1186">
        <v>61</v>
      </c>
      <c r="E270" s="1186">
        <v>3</v>
      </c>
      <c r="F270" s="1186">
        <v>15</v>
      </c>
      <c r="G270" s="1186">
        <v>5</v>
      </c>
      <c r="H270" s="1186">
        <v>7</v>
      </c>
      <c r="I270" s="1186">
        <v>0</v>
      </c>
      <c r="J270" s="1186">
        <v>2</v>
      </c>
      <c r="K270" s="1186">
        <v>4</v>
      </c>
      <c r="L270" s="1186">
        <v>3</v>
      </c>
      <c r="M270" s="1186">
        <v>3</v>
      </c>
      <c r="N270" s="1186">
        <v>0</v>
      </c>
      <c r="O270" s="1186">
        <v>3</v>
      </c>
      <c r="P270" s="1186">
        <v>8</v>
      </c>
      <c r="Q270" s="1186">
        <v>46</v>
      </c>
      <c r="R270" s="1186">
        <v>5</v>
      </c>
      <c r="S270" s="1186">
        <v>25</v>
      </c>
      <c r="T270" s="1186">
        <v>0</v>
      </c>
      <c r="U270" s="1186">
        <v>0</v>
      </c>
      <c r="V270" s="1186">
        <v>23</v>
      </c>
      <c r="W270" s="1186">
        <v>3</v>
      </c>
      <c r="X270" s="1186">
        <v>121940</v>
      </c>
    </row>
    <row r="271" spans="1:24" x14ac:dyDescent="0.2">
      <c r="A271" s="1186" t="s">
        <v>311</v>
      </c>
      <c r="B271" s="1186" t="s">
        <v>31</v>
      </c>
      <c r="C271" s="1186">
        <v>0</v>
      </c>
      <c r="D271" s="1186">
        <v>38</v>
      </c>
      <c r="E271" s="1186">
        <v>0</v>
      </c>
      <c r="F271" s="1186">
        <v>26</v>
      </c>
      <c r="G271" s="1186">
        <v>2</v>
      </c>
      <c r="H271" s="1186">
        <v>3</v>
      </c>
      <c r="I271" s="1186">
        <v>1</v>
      </c>
      <c r="J271" s="1186">
        <v>8</v>
      </c>
      <c r="K271" s="1186">
        <v>5</v>
      </c>
      <c r="L271" s="1186">
        <v>0</v>
      </c>
      <c r="M271" s="1186">
        <v>5</v>
      </c>
      <c r="N271" s="1186">
        <v>3</v>
      </c>
      <c r="O271" s="1186">
        <v>19</v>
      </c>
      <c r="P271" s="1186">
        <v>6</v>
      </c>
      <c r="Q271" s="1186">
        <v>43</v>
      </c>
      <c r="R271" s="1186">
        <v>2</v>
      </c>
      <c r="S271" s="1186">
        <v>28</v>
      </c>
      <c r="T271" s="1186">
        <v>0</v>
      </c>
      <c r="U271" s="1186">
        <v>2</v>
      </c>
      <c r="V271" s="1186">
        <v>16</v>
      </c>
      <c r="W271" s="1186">
        <v>3</v>
      </c>
      <c r="X271" s="1186">
        <v>108130</v>
      </c>
    </row>
    <row r="272" spans="1:24" x14ac:dyDescent="0.2">
      <c r="A272" s="1186" t="s">
        <v>311</v>
      </c>
      <c r="B272" s="1186" t="s">
        <v>32</v>
      </c>
      <c r="C272" s="1186">
        <v>0</v>
      </c>
      <c r="D272" s="1186">
        <v>55</v>
      </c>
      <c r="E272" s="1186">
        <v>1</v>
      </c>
      <c r="F272" s="1186">
        <v>12</v>
      </c>
      <c r="G272" s="1186">
        <v>2</v>
      </c>
      <c r="H272" s="1186">
        <v>10</v>
      </c>
      <c r="I272" s="1186">
        <v>1</v>
      </c>
      <c r="J272" s="1186">
        <v>4</v>
      </c>
      <c r="K272" s="1186">
        <v>18</v>
      </c>
      <c r="L272" s="1186">
        <v>0</v>
      </c>
      <c r="M272" s="1186">
        <v>3</v>
      </c>
      <c r="N272" s="1186">
        <v>4</v>
      </c>
      <c r="O272" s="1186">
        <v>6</v>
      </c>
      <c r="P272" s="1186">
        <v>3</v>
      </c>
      <c r="Q272" s="1186">
        <v>69</v>
      </c>
      <c r="R272" s="1186">
        <v>3</v>
      </c>
      <c r="S272" s="1186">
        <v>13</v>
      </c>
      <c r="T272" s="1186">
        <v>0</v>
      </c>
      <c r="U272" s="1186">
        <v>1</v>
      </c>
      <c r="V272" s="1186">
        <v>9</v>
      </c>
      <c r="W272" s="1186">
        <v>3</v>
      </c>
      <c r="X272" s="1186">
        <v>104840</v>
      </c>
    </row>
    <row r="273" spans="1:24" x14ac:dyDescent="0.2">
      <c r="A273" s="1186" t="s">
        <v>311</v>
      </c>
      <c r="B273" s="1186" t="s">
        <v>33</v>
      </c>
      <c r="C273" s="1186">
        <v>0</v>
      </c>
      <c r="D273" s="1186">
        <v>29</v>
      </c>
      <c r="E273" s="1186">
        <v>1</v>
      </c>
      <c r="F273" s="1186">
        <v>14</v>
      </c>
      <c r="G273" s="1186">
        <v>0</v>
      </c>
      <c r="H273" s="1186">
        <v>8</v>
      </c>
      <c r="I273" s="1186">
        <v>0</v>
      </c>
      <c r="J273" s="1186">
        <v>4</v>
      </c>
      <c r="K273" s="1186">
        <v>5</v>
      </c>
      <c r="L273" s="1186">
        <v>1</v>
      </c>
      <c r="M273" s="1186">
        <v>2</v>
      </c>
      <c r="N273" s="1186">
        <v>1</v>
      </c>
      <c r="O273" s="1186">
        <v>3</v>
      </c>
      <c r="P273" s="1186">
        <v>5</v>
      </c>
      <c r="Q273" s="1186">
        <v>28</v>
      </c>
      <c r="R273" s="1186">
        <v>2</v>
      </c>
      <c r="S273" s="1186">
        <v>19</v>
      </c>
      <c r="T273" s="1186">
        <v>0</v>
      </c>
      <c r="U273" s="1186">
        <v>0</v>
      </c>
      <c r="V273" s="1186">
        <v>14</v>
      </c>
      <c r="W273" s="1186">
        <v>2</v>
      </c>
      <c r="X273" s="1186">
        <v>94760</v>
      </c>
    </row>
    <row r="274" spans="1:24" x14ac:dyDescent="0.2">
      <c r="A274" s="1186" t="s">
        <v>311</v>
      </c>
      <c r="B274" s="1186" t="s">
        <v>34</v>
      </c>
      <c r="C274" s="1186">
        <v>0</v>
      </c>
      <c r="D274" s="1186">
        <v>93</v>
      </c>
      <c r="E274" s="1186">
        <v>3</v>
      </c>
      <c r="F274" s="1186">
        <v>32</v>
      </c>
      <c r="G274" s="1186">
        <v>3</v>
      </c>
      <c r="H274" s="1186">
        <v>21</v>
      </c>
      <c r="I274" s="1186">
        <v>3</v>
      </c>
      <c r="J274" s="1186">
        <v>8</v>
      </c>
      <c r="K274" s="1186">
        <v>12</v>
      </c>
      <c r="L274" s="1186">
        <v>5</v>
      </c>
      <c r="M274" s="1186">
        <v>3</v>
      </c>
      <c r="N274" s="1186">
        <v>3</v>
      </c>
      <c r="O274" s="1186">
        <v>8</v>
      </c>
      <c r="P274" s="1186">
        <v>11</v>
      </c>
      <c r="Q274" s="1186">
        <v>122</v>
      </c>
      <c r="R274" s="1186">
        <v>4</v>
      </c>
      <c r="S274" s="1186">
        <v>22</v>
      </c>
      <c r="T274" s="1186">
        <v>0</v>
      </c>
      <c r="U274" s="1186">
        <v>1</v>
      </c>
      <c r="V274" s="1186">
        <v>40</v>
      </c>
      <c r="W274" s="1186">
        <v>4</v>
      </c>
      <c r="X274" s="1186">
        <v>160130</v>
      </c>
    </row>
    <row r="275" spans="1:24" x14ac:dyDescent="0.2">
      <c r="A275" s="1186" t="s">
        <v>311</v>
      </c>
      <c r="B275" s="1186" t="s">
        <v>35</v>
      </c>
      <c r="C275" s="1186">
        <v>0</v>
      </c>
      <c r="D275" s="1186">
        <v>171</v>
      </c>
      <c r="E275" s="1186">
        <v>8</v>
      </c>
      <c r="F275" s="1186">
        <v>85</v>
      </c>
      <c r="G275" s="1186">
        <v>8</v>
      </c>
      <c r="H275" s="1186">
        <v>48</v>
      </c>
      <c r="I275" s="1186">
        <v>10</v>
      </c>
      <c r="J275" s="1186">
        <v>22</v>
      </c>
      <c r="K275" s="1186">
        <v>31</v>
      </c>
      <c r="L275" s="1186">
        <v>19</v>
      </c>
      <c r="M275" s="1186">
        <v>13</v>
      </c>
      <c r="N275" s="1186">
        <v>23</v>
      </c>
      <c r="O275" s="1186">
        <v>19</v>
      </c>
      <c r="P275" s="1186">
        <v>29</v>
      </c>
      <c r="Q275" s="1186">
        <v>237</v>
      </c>
      <c r="R275" s="1186">
        <v>10</v>
      </c>
      <c r="S275" s="1186">
        <v>21</v>
      </c>
      <c r="T275" s="1186">
        <v>0</v>
      </c>
      <c r="U275" s="1186">
        <v>2</v>
      </c>
      <c r="V275" s="1186">
        <v>66</v>
      </c>
      <c r="W275" s="1186">
        <v>11</v>
      </c>
      <c r="X275" s="1186">
        <v>371410</v>
      </c>
    </row>
    <row r="276" spans="1:24" x14ac:dyDescent="0.2">
      <c r="A276" s="1186" t="s">
        <v>311</v>
      </c>
      <c r="B276" s="1186" t="s">
        <v>36</v>
      </c>
      <c r="C276" s="1186">
        <v>0</v>
      </c>
      <c r="D276" s="1186">
        <v>200</v>
      </c>
      <c r="E276" s="1186">
        <v>10</v>
      </c>
      <c r="F276" s="1186">
        <v>247</v>
      </c>
      <c r="G276" s="1186">
        <v>23</v>
      </c>
      <c r="H276" s="1186">
        <v>76</v>
      </c>
      <c r="I276" s="1186">
        <v>14</v>
      </c>
      <c r="J276" s="1186">
        <v>140</v>
      </c>
      <c r="K276" s="1186">
        <v>55</v>
      </c>
      <c r="L276" s="1186">
        <v>28</v>
      </c>
      <c r="M276" s="1186">
        <v>30</v>
      </c>
      <c r="N276" s="1186">
        <v>14</v>
      </c>
      <c r="O276" s="1186">
        <v>36</v>
      </c>
      <c r="P276" s="1186">
        <v>35</v>
      </c>
      <c r="Q276" s="1186">
        <v>409</v>
      </c>
      <c r="R276" s="1186">
        <v>39</v>
      </c>
      <c r="S276" s="1186">
        <v>315</v>
      </c>
      <c r="T276" s="1186">
        <v>1</v>
      </c>
      <c r="U276" s="1186">
        <v>4</v>
      </c>
      <c r="V276" s="1186">
        <v>218</v>
      </c>
      <c r="W276" s="1186">
        <v>43</v>
      </c>
      <c r="X276" s="1186">
        <v>621020</v>
      </c>
    </row>
    <row r="277" spans="1:24" x14ac:dyDescent="0.2">
      <c r="A277" s="1186" t="s">
        <v>311</v>
      </c>
      <c r="B277" s="1186" t="s">
        <v>37</v>
      </c>
      <c r="C277" s="1186">
        <v>0</v>
      </c>
      <c r="D277" s="1186">
        <v>236</v>
      </c>
      <c r="E277" s="1186">
        <v>5</v>
      </c>
      <c r="F277" s="1186">
        <v>51</v>
      </c>
      <c r="G277" s="1186">
        <v>8</v>
      </c>
      <c r="H277" s="1186">
        <v>30</v>
      </c>
      <c r="I277" s="1186">
        <v>2</v>
      </c>
      <c r="J277" s="1186">
        <v>19</v>
      </c>
      <c r="K277" s="1186">
        <v>18</v>
      </c>
      <c r="L277" s="1186">
        <v>4</v>
      </c>
      <c r="M277" s="1186">
        <v>9</v>
      </c>
      <c r="N277" s="1186">
        <v>8</v>
      </c>
      <c r="O277" s="1186">
        <v>6</v>
      </c>
      <c r="P277" s="1186">
        <v>29</v>
      </c>
      <c r="Q277" s="1186">
        <v>92</v>
      </c>
      <c r="R277" s="1186">
        <v>15</v>
      </c>
      <c r="S277" s="1186">
        <v>24</v>
      </c>
      <c r="T277" s="1186">
        <v>0</v>
      </c>
      <c r="U277" s="1186">
        <v>7</v>
      </c>
      <c r="V277" s="1186">
        <v>65</v>
      </c>
      <c r="W277" s="1186">
        <v>1</v>
      </c>
      <c r="X277" s="1186">
        <v>235180</v>
      </c>
    </row>
    <row r="278" spans="1:24" x14ac:dyDescent="0.2">
      <c r="A278" s="1186" t="s">
        <v>311</v>
      </c>
      <c r="B278" s="1186" t="s">
        <v>38</v>
      </c>
      <c r="C278" s="1186">
        <v>0</v>
      </c>
      <c r="D278" s="1186">
        <v>30</v>
      </c>
      <c r="E278" s="1186">
        <v>0</v>
      </c>
      <c r="F278" s="1186">
        <v>29</v>
      </c>
      <c r="G278" s="1186">
        <v>1</v>
      </c>
      <c r="H278" s="1186">
        <v>18</v>
      </c>
      <c r="I278" s="1186">
        <v>4</v>
      </c>
      <c r="J278" s="1186">
        <v>12</v>
      </c>
      <c r="K278" s="1186">
        <v>13</v>
      </c>
      <c r="L278" s="1186">
        <v>2</v>
      </c>
      <c r="M278" s="1186">
        <v>1</v>
      </c>
      <c r="N278" s="1186">
        <v>4</v>
      </c>
      <c r="O278" s="1186">
        <v>4</v>
      </c>
      <c r="P278" s="1186">
        <v>12</v>
      </c>
      <c r="Q278" s="1186">
        <v>52</v>
      </c>
      <c r="R278" s="1186">
        <v>9</v>
      </c>
      <c r="S278" s="1186">
        <v>29</v>
      </c>
      <c r="T278" s="1186">
        <v>0</v>
      </c>
      <c r="U278" s="1186">
        <v>1</v>
      </c>
      <c r="V278" s="1186">
        <v>22</v>
      </c>
      <c r="W278" s="1186">
        <v>4</v>
      </c>
      <c r="X278" s="1186">
        <v>78760</v>
      </c>
    </row>
    <row r="279" spans="1:24" x14ac:dyDescent="0.2">
      <c r="A279" s="1186" t="s">
        <v>311</v>
      </c>
      <c r="B279" s="1186" t="s">
        <v>39</v>
      </c>
      <c r="C279" s="1186">
        <v>0</v>
      </c>
      <c r="D279" s="1186">
        <v>42</v>
      </c>
      <c r="E279" s="1186">
        <v>1</v>
      </c>
      <c r="F279" s="1186">
        <v>18</v>
      </c>
      <c r="G279" s="1186">
        <v>1</v>
      </c>
      <c r="H279" s="1186">
        <v>11</v>
      </c>
      <c r="I279" s="1186">
        <v>2</v>
      </c>
      <c r="J279" s="1186">
        <v>2</v>
      </c>
      <c r="K279" s="1186">
        <v>10</v>
      </c>
      <c r="L279" s="1186">
        <v>4</v>
      </c>
      <c r="M279" s="1186">
        <v>3</v>
      </c>
      <c r="N279" s="1186">
        <v>4</v>
      </c>
      <c r="O279" s="1186">
        <v>5</v>
      </c>
      <c r="P279" s="1186">
        <v>10</v>
      </c>
      <c r="Q279" s="1186">
        <v>45</v>
      </c>
      <c r="R279" s="1186">
        <v>1</v>
      </c>
      <c r="S279" s="1186">
        <v>12</v>
      </c>
      <c r="T279" s="1186">
        <v>0</v>
      </c>
      <c r="U279" s="1186">
        <v>0</v>
      </c>
      <c r="V279" s="1186">
        <v>15</v>
      </c>
      <c r="W279" s="1186">
        <v>2</v>
      </c>
      <c r="X279" s="1186">
        <v>90090</v>
      </c>
    </row>
    <row r="280" spans="1:24" x14ac:dyDescent="0.2">
      <c r="A280" s="1186" t="s">
        <v>311</v>
      </c>
      <c r="B280" s="1186" t="s">
        <v>40</v>
      </c>
      <c r="C280" s="1186">
        <v>0</v>
      </c>
      <c r="D280" s="1186">
        <v>53</v>
      </c>
      <c r="E280" s="1186">
        <v>2</v>
      </c>
      <c r="F280" s="1186">
        <v>6</v>
      </c>
      <c r="G280" s="1186">
        <v>6</v>
      </c>
      <c r="H280" s="1186">
        <v>10</v>
      </c>
      <c r="I280" s="1186">
        <v>0</v>
      </c>
      <c r="J280" s="1186">
        <v>3</v>
      </c>
      <c r="K280" s="1186">
        <v>4</v>
      </c>
      <c r="L280" s="1186">
        <v>3</v>
      </c>
      <c r="M280" s="1186">
        <v>5</v>
      </c>
      <c r="N280" s="1186">
        <v>1</v>
      </c>
      <c r="O280" s="1186">
        <v>1</v>
      </c>
      <c r="P280" s="1186">
        <v>10</v>
      </c>
      <c r="Q280" s="1186">
        <v>31</v>
      </c>
      <c r="R280" s="1186">
        <v>3</v>
      </c>
      <c r="S280" s="1186">
        <v>5</v>
      </c>
      <c r="T280" s="1186">
        <v>0</v>
      </c>
      <c r="U280" s="1186">
        <v>0</v>
      </c>
      <c r="V280" s="1186">
        <v>7</v>
      </c>
      <c r="W280" s="1186">
        <v>0</v>
      </c>
      <c r="X280" s="1186">
        <v>95780</v>
      </c>
    </row>
    <row r="281" spans="1:24" x14ac:dyDescent="0.2">
      <c r="A281" s="1186" t="s">
        <v>311</v>
      </c>
      <c r="B281" s="1186" t="s">
        <v>295</v>
      </c>
      <c r="C281" s="1186">
        <v>0</v>
      </c>
      <c r="D281" s="1186">
        <v>16</v>
      </c>
      <c r="E281" s="1186">
        <v>0</v>
      </c>
      <c r="F281" s="1186">
        <v>5</v>
      </c>
      <c r="G281" s="1186">
        <v>0</v>
      </c>
      <c r="H281" s="1186">
        <v>0</v>
      </c>
      <c r="I281" s="1186">
        <v>0</v>
      </c>
      <c r="J281" s="1186">
        <v>5</v>
      </c>
      <c r="K281" s="1186">
        <v>1</v>
      </c>
      <c r="L281" s="1186">
        <v>0</v>
      </c>
      <c r="M281" s="1186">
        <v>1</v>
      </c>
      <c r="N281" s="1186">
        <v>0</v>
      </c>
      <c r="O281" s="1186">
        <v>0</v>
      </c>
      <c r="P281" s="1186">
        <v>5</v>
      </c>
      <c r="Q281" s="1186">
        <v>7</v>
      </c>
      <c r="R281" s="1186">
        <v>0</v>
      </c>
      <c r="S281" s="1186">
        <v>1</v>
      </c>
      <c r="T281" s="1186">
        <v>0</v>
      </c>
      <c r="U281" s="1186">
        <v>0</v>
      </c>
      <c r="V281" s="1186">
        <v>8</v>
      </c>
      <c r="W281" s="1186">
        <v>0</v>
      </c>
      <c r="X281" s="1186">
        <v>26950</v>
      </c>
    </row>
    <row r="282" spans="1:24" x14ac:dyDescent="0.2">
      <c r="A282" s="1186" t="s">
        <v>311</v>
      </c>
      <c r="B282" s="1186" t="s">
        <v>41</v>
      </c>
      <c r="C282" s="1186">
        <v>0</v>
      </c>
      <c r="D282" s="1186">
        <v>45</v>
      </c>
      <c r="E282" s="1186">
        <v>0</v>
      </c>
      <c r="F282" s="1186">
        <v>37</v>
      </c>
      <c r="G282" s="1186">
        <v>3</v>
      </c>
      <c r="H282" s="1186">
        <v>16</v>
      </c>
      <c r="I282" s="1186">
        <v>3</v>
      </c>
      <c r="J282" s="1186">
        <v>17</v>
      </c>
      <c r="K282" s="1186">
        <v>13</v>
      </c>
      <c r="L282" s="1186">
        <v>1</v>
      </c>
      <c r="M282" s="1186">
        <v>2</v>
      </c>
      <c r="N282" s="1186">
        <v>5</v>
      </c>
      <c r="O282" s="1186">
        <v>9</v>
      </c>
      <c r="P282" s="1186">
        <v>6</v>
      </c>
      <c r="Q282" s="1186">
        <v>68</v>
      </c>
      <c r="R282" s="1186">
        <v>5</v>
      </c>
      <c r="S282" s="1186">
        <v>37</v>
      </c>
      <c r="T282" s="1186">
        <v>0</v>
      </c>
      <c r="U282" s="1186">
        <v>0</v>
      </c>
      <c r="V282" s="1186">
        <v>40</v>
      </c>
      <c r="W282" s="1186">
        <v>4</v>
      </c>
      <c r="X282" s="1186">
        <v>135790</v>
      </c>
    </row>
    <row r="283" spans="1:24" x14ac:dyDescent="0.2">
      <c r="A283" s="1186" t="s">
        <v>311</v>
      </c>
      <c r="B283" s="1186" t="s">
        <v>42</v>
      </c>
      <c r="C283" s="1186">
        <v>0</v>
      </c>
      <c r="D283" s="1186">
        <v>128</v>
      </c>
      <c r="E283" s="1186">
        <v>5</v>
      </c>
      <c r="F283" s="1186">
        <v>88</v>
      </c>
      <c r="G283" s="1186">
        <v>1</v>
      </c>
      <c r="H283" s="1186">
        <v>37</v>
      </c>
      <c r="I283" s="1186">
        <v>5</v>
      </c>
      <c r="J283" s="1186">
        <v>21</v>
      </c>
      <c r="K283" s="1186">
        <v>13</v>
      </c>
      <c r="L283" s="1186">
        <v>7</v>
      </c>
      <c r="M283" s="1186">
        <v>10</v>
      </c>
      <c r="N283" s="1186">
        <v>10</v>
      </c>
      <c r="O283" s="1186">
        <v>26</v>
      </c>
      <c r="P283" s="1186">
        <v>25</v>
      </c>
      <c r="Q283" s="1186">
        <v>128</v>
      </c>
      <c r="R283" s="1186">
        <v>13</v>
      </c>
      <c r="S283" s="1186">
        <v>85</v>
      </c>
      <c r="T283" s="1186">
        <v>0</v>
      </c>
      <c r="U283" s="1186">
        <v>0</v>
      </c>
      <c r="V283" s="1186">
        <v>69</v>
      </c>
      <c r="W283" s="1186">
        <v>6</v>
      </c>
      <c r="X283" s="1186">
        <v>339960</v>
      </c>
    </row>
    <row r="284" spans="1:24" x14ac:dyDescent="0.2">
      <c r="A284" s="1186" t="s">
        <v>311</v>
      </c>
      <c r="B284" s="1186" t="s">
        <v>43</v>
      </c>
      <c r="C284" s="1186">
        <v>0</v>
      </c>
      <c r="D284" s="1186">
        <v>2</v>
      </c>
      <c r="E284" s="1186">
        <v>0</v>
      </c>
      <c r="F284" s="1186">
        <v>6</v>
      </c>
      <c r="G284" s="1186">
        <v>0</v>
      </c>
      <c r="H284" s="1186">
        <v>1</v>
      </c>
      <c r="I284" s="1186">
        <v>0</v>
      </c>
      <c r="J284" s="1186">
        <v>2</v>
      </c>
      <c r="K284" s="1186">
        <v>1</v>
      </c>
      <c r="L284" s="1186">
        <v>0</v>
      </c>
      <c r="M284" s="1186">
        <v>0</v>
      </c>
      <c r="N284" s="1186">
        <v>1</v>
      </c>
      <c r="O284" s="1186">
        <v>0</v>
      </c>
      <c r="P284" s="1186">
        <v>1</v>
      </c>
      <c r="Q284" s="1186">
        <v>1</v>
      </c>
      <c r="R284" s="1186">
        <v>0</v>
      </c>
      <c r="S284" s="1186">
        <v>0</v>
      </c>
      <c r="T284" s="1186">
        <v>0</v>
      </c>
      <c r="U284" s="1186">
        <v>3</v>
      </c>
      <c r="V284" s="1186">
        <v>4</v>
      </c>
      <c r="W284" s="1186">
        <v>0</v>
      </c>
      <c r="X284" s="1186">
        <v>22000</v>
      </c>
    </row>
    <row r="285" spans="1:24" x14ac:dyDescent="0.2">
      <c r="A285" s="1186" t="s">
        <v>311</v>
      </c>
      <c r="B285" s="1186" t="s">
        <v>44</v>
      </c>
      <c r="C285" s="1186">
        <v>0</v>
      </c>
      <c r="D285" s="1186">
        <v>118</v>
      </c>
      <c r="E285" s="1186">
        <v>1</v>
      </c>
      <c r="F285" s="1186">
        <v>29</v>
      </c>
      <c r="G285" s="1186">
        <v>8</v>
      </c>
      <c r="H285" s="1186">
        <v>11</v>
      </c>
      <c r="I285" s="1186">
        <v>0</v>
      </c>
      <c r="J285" s="1186">
        <v>10</v>
      </c>
      <c r="K285" s="1186">
        <v>9</v>
      </c>
      <c r="L285" s="1186">
        <v>4</v>
      </c>
      <c r="M285" s="1186">
        <v>0</v>
      </c>
      <c r="N285" s="1186">
        <v>5</v>
      </c>
      <c r="O285" s="1186">
        <v>3</v>
      </c>
      <c r="P285" s="1186">
        <v>15</v>
      </c>
      <c r="Q285" s="1186">
        <v>79</v>
      </c>
      <c r="R285" s="1186">
        <v>17</v>
      </c>
      <c r="S285" s="1186">
        <v>14</v>
      </c>
      <c r="T285" s="1186">
        <v>0</v>
      </c>
      <c r="U285" s="1186">
        <v>0</v>
      </c>
      <c r="V285" s="1186">
        <v>22</v>
      </c>
      <c r="W285" s="1186">
        <v>1</v>
      </c>
      <c r="X285" s="1186">
        <v>151100</v>
      </c>
    </row>
    <row r="286" spans="1:24" x14ac:dyDescent="0.2">
      <c r="A286" s="1186" t="s">
        <v>311</v>
      </c>
      <c r="B286" s="1186" t="s">
        <v>45</v>
      </c>
      <c r="C286" s="1186">
        <v>0</v>
      </c>
      <c r="D286" s="1186">
        <v>76</v>
      </c>
      <c r="E286" s="1186">
        <v>3</v>
      </c>
      <c r="F286" s="1186">
        <v>45</v>
      </c>
      <c r="G286" s="1186">
        <v>5</v>
      </c>
      <c r="H286" s="1186">
        <v>17</v>
      </c>
      <c r="I286" s="1186">
        <v>5</v>
      </c>
      <c r="J286" s="1186">
        <v>12</v>
      </c>
      <c r="K286" s="1186">
        <v>25</v>
      </c>
      <c r="L286" s="1186">
        <v>5</v>
      </c>
      <c r="M286" s="1186">
        <v>3</v>
      </c>
      <c r="N286" s="1186">
        <v>9</v>
      </c>
      <c r="O286" s="1186">
        <v>6</v>
      </c>
      <c r="P286" s="1186">
        <v>14</v>
      </c>
      <c r="Q286" s="1186">
        <v>107</v>
      </c>
      <c r="R286" s="1186">
        <v>14</v>
      </c>
      <c r="S286" s="1186">
        <v>91</v>
      </c>
      <c r="T286" s="1186">
        <v>1</v>
      </c>
      <c r="U286" s="1186">
        <v>10</v>
      </c>
      <c r="V286" s="1186">
        <v>64</v>
      </c>
      <c r="W286" s="1186">
        <v>11</v>
      </c>
      <c r="X286" s="1186">
        <v>176830</v>
      </c>
    </row>
    <row r="287" spans="1:24" x14ac:dyDescent="0.2">
      <c r="A287" s="1186" t="s">
        <v>311</v>
      </c>
      <c r="B287" s="1186" t="s">
        <v>46</v>
      </c>
      <c r="C287" s="1186">
        <v>0</v>
      </c>
      <c r="D287" s="1186">
        <v>93</v>
      </c>
      <c r="E287" s="1186">
        <v>1</v>
      </c>
      <c r="F287" s="1186">
        <v>23</v>
      </c>
      <c r="G287" s="1186">
        <v>7</v>
      </c>
      <c r="H287" s="1186">
        <v>9</v>
      </c>
      <c r="I287" s="1186">
        <v>2</v>
      </c>
      <c r="J287" s="1186">
        <v>5</v>
      </c>
      <c r="K287" s="1186">
        <v>21</v>
      </c>
      <c r="L287" s="1186">
        <v>3</v>
      </c>
      <c r="M287" s="1186">
        <v>4</v>
      </c>
      <c r="N287" s="1186">
        <v>8</v>
      </c>
      <c r="O287" s="1186">
        <v>6</v>
      </c>
      <c r="P287" s="1186">
        <v>14</v>
      </c>
      <c r="Q287" s="1186">
        <v>85</v>
      </c>
      <c r="R287" s="1186">
        <v>10</v>
      </c>
      <c r="S287" s="1186">
        <v>8</v>
      </c>
      <c r="T287" s="1186">
        <v>1</v>
      </c>
      <c r="U287" s="1186">
        <v>0</v>
      </c>
      <c r="V287" s="1186">
        <v>20</v>
      </c>
      <c r="W287" s="1186">
        <v>1</v>
      </c>
      <c r="X287" s="1186">
        <v>115020</v>
      </c>
    </row>
    <row r="288" spans="1:24" x14ac:dyDescent="0.2">
      <c r="A288" s="1186" t="s">
        <v>311</v>
      </c>
      <c r="B288" s="1186" t="s">
        <v>47</v>
      </c>
      <c r="C288" s="1186">
        <v>0</v>
      </c>
      <c r="D288" s="1186">
        <v>12</v>
      </c>
      <c r="E288" s="1186">
        <v>0</v>
      </c>
      <c r="F288" s="1186">
        <v>6</v>
      </c>
      <c r="G288" s="1186">
        <v>0</v>
      </c>
      <c r="H288" s="1186">
        <v>1</v>
      </c>
      <c r="I288" s="1186">
        <v>0</v>
      </c>
      <c r="J288" s="1186">
        <v>2</v>
      </c>
      <c r="K288" s="1186">
        <v>0</v>
      </c>
      <c r="L288" s="1186">
        <v>0</v>
      </c>
      <c r="M288" s="1186">
        <v>1</v>
      </c>
      <c r="N288" s="1186">
        <v>0</v>
      </c>
      <c r="O288" s="1186">
        <v>0</v>
      </c>
      <c r="P288" s="1186">
        <v>0</v>
      </c>
      <c r="Q288" s="1186">
        <v>2</v>
      </c>
      <c r="R288" s="1186">
        <v>2</v>
      </c>
      <c r="S288" s="1186">
        <v>1</v>
      </c>
      <c r="T288" s="1186">
        <v>0</v>
      </c>
      <c r="U288" s="1186">
        <v>5</v>
      </c>
      <c r="V288" s="1186">
        <v>5</v>
      </c>
      <c r="W288" s="1186">
        <v>1</v>
      </c>
      <c r="X288" s="1186">
        <v>23080</v>
      </c>
    </row>
    <row r="289" spans="1:24" x14ac:dyDescent="0.2">
      <c r="A289" s="1186" t="s">
        <v>311</v>
      </c>
      <c r="B289" s="1186" t="s">
        <v>48</v>
      </c>
      <c r="C289" s="1186">
        <v>0</v>
      </c>
      <c r="D289" s="1186">
        <v>69</v>
      </c>
      <c r="E289" s="1186">
        <v>6</v>
      </c>
      <c r="F289" s="1186">
        <v>14</v>
      </c>
      <c r="G289" s="1186">
        <v>6</v>
      </c>
      <c r="H289" s="1186">
        <v>18</v>
      </c>
      <c r="I289" s="1186">
        <v>5</v>
      </c>
      <c r="J289" s="1186">
        <v>7</v>
      </c>
      <c r="K289" s="1186">
        <v>10</v>
      </c>
      <c r="L289" s="1186">
        <v>4</v>
      </c>
      <c r="M289" s="1186">
        <v>0</v>
      </c>
      <c r="N289" s="1186">
        <v>4</v>
      </c>
      <c r="O289" s="1186">
        <v>3</v>
      </c>
      <c r="P289" s="1186">
        <v>6</v>
      </c>
      <c r="Q289" s="1186">
        <v>53</v>
      </c>
      <c r="R289" s="1186">
        <v>8</v>
      </c>
      <c r="S289" s="1186">
        <v>38</v>
      </c>
      <c r="T289" s="1186">
        <v>0</v>
      </c>
      <c r="U289" s="1186">
        <v>5</v>
      </c>
      <c r="V289" s="1186">
        <v>16</v>
      </c>
      <c r="W289" s="1186">
        <v>2</v>
      </c>
      <c r="X289" s="1186">
        <v>112680</v>
      </c>
    </row>
    <row r="290" spans="1:24" x14ac:dyDescent="0.2">
      <c r="A290" s="1186" t="s">
        <v>311</v>
      </c>
      <c r="B290" s="1186" t="s">
        <v>49</v>
      </c>
      <c r="C290" s="1186">
        <v>0</v>
      </c>
      <c r="D290" s="1186">
        <v>130</v>
      </c>
      <c r="E290" s="1186">
        <v>2</v>
      </c>
      <c r="F290" s="1186">
        <v>65</v>
      </c>
      <c r="G290" s="1186">
        <v>2</v>
      </c>
      <c r="H290" s="1186">
        <v>26</v>
      </c>
      <c r="I290" s="1186">
        <v>2</v>
      </c>
      <c r="J290" s="1186">
        <v>19</v>
      </c>
      <c r="K290" s="1186">
        <v>21</v>
      </c>
      <c r="L290" s="1186">
        <v>5</v>
      </c>
      <c r="M290" s="1186">
        <v>5</v>
      </c>
      <c r="N290" s="1186">
        <v>9</v>
      </c>
      <c r="O290" s="1186">
        <v>18</v>
      </c>
      <c r="P290" s="1186">
        <v>22</v>
      </c>
      <c r="Q290" s="1186">
        <v>103</v>
      </c>
      <c r="R290" s="1186">
        <v>17</v>
      </c>
      <c r="S290" s="1186">
        <v>79</v>
      </c>
      <c r="T290" s="1186">
        <v>0</v>
      </c>
      <c r="U290" s="1186">
        <v>0</v>
      </c>
      <c r="V290" s="1186">
        <v>50</v>
      </c>
      <c r="W290" s="1186">
        <v>12</v>
      </c>
      <c r="X290" s="1186">
        <v>318170</v>
      </c>
    </row>
    <row r="291" spans="1:24" x14ac:dyDescent="0.2">
      <c r="A291" s="1186" t="s">
        <v>311</v>
      </c>
      <c r="B291" s="1186" t="s">
        <v>50</v>
      </c>
      <c r="C291" s="1186">
        <v>0</v>
      </c>
      <c r="D291" s="1186">
        <v>60</v>
      </c>
      <c r="E291" s="1186">
        <v>1</v>
      </c>
      <c r="F291" s="1186">
        <v>22</v>
      </c>
      <c r="G291" s="1186">
        <v>12</v>
      </c>
      <c r="H291" s="1186">
        <v>9</v>
      </c>
      <c r="I291" s="1186">
        <v>0</v>
      </c>
      <c r="J291" s="1186">
        <v>8</v>
      </c>
      <c r="K291" s="1186">
        <v>13</v>
      </c>
      <c r="L291" s="1186">
        <v>3</v>
      </c>
      <c r="M291" s="1186">
        <v>3</v>
      </c>
      <c r="N291" s="1186">
        <v>3</v>
      </c>
      <c r="O291" s="1186">
        <v>4</v>
      </c>
      <c r="P291" s="1186">
        <v>13</v>
      </c>
      <c r="Q291" s="1186">
        <v>49</v>
      </c>
      <c r="R291" s="1186">
        <v>5</v>
      </c>
      <c r="S291" s="1186">
        <v>8</v>
      </c>
      <c r="T291" s="1186">
        <v>0</v>
      </c>
      <c r="U291" s="1186">
        <v>0</v>
      </c>
      <c r="V291" s="1186">
        <v>15</v>
      </c>
      <c r="W291" s="1186">
        <v>1</v>
      </c>
      <c r="X291" s="1186">
        <v>94000</v>
      </c>
    </row>
    <row r="292" spans="1:24" x14ac:dyDescent="0.2">
      <c r="A292" s="1186" t="s">
        <v>311</v>
      </c>
      <c r="B292" s="1186" t="s">
        <v>51</v>
      </c>
      <c r="C292" s="1186">
        <v>0</v>
      </c>
      <c r="D292" s="1186">
        <v>28</v>
      </c>
      <c r="E292" s="1186">
        <v>0</v>
      </c>
      <c r="F292" s="1186">
        <v>20</v>
      </c>
      <c r="G292" s="1186">
        <v>3</v>
      </c>
      <c r="H292" s="1186">
        <v>7</v>
      </c>
      <c r="I292" s="1186">
        <v>0</v>
      </c>
      <c r="J292" s="1186">
        <v>14</v>
      </c>
      <c r="K292" s="1186">
        <v>7</v>
      </c>
      <c r="L292" s="1186">
        <v>3</v>
      </c>
      <c r="M292" s="1186">
        <v>4</v>
      </c>
      <c r="N292" s="1186">
        <v>3</v>
      </c>
      <c r="O292" s="1186">
        <v>7</v>
      </c>
      <c r="P292" s="1186">
        <v>8</v>
      </c>
      <c r="Q292" s="1186">
        <v>42</v>
      </c>
      <c r="R292" s="1186">
        <v>3</v>
      </c>
      <c r="S292" s="1186">
        <v>42</v>
      </c>
      <c r="T292" s="1186">
        <v>0</v>
      </c>
      <c r="U292" s="1186">
        <v>1</v>
      </c>
      <c r="V292" s="1186">
        <v>24</v>
      </c>
      <c r="W292" s="1186">
        <v>5</v>
      </c>
      <c r="X292" s="1186">
        <v>89610</v>
      </c>
    </row>
    <row r="293" spans="1:24" x14ac:dyDescent="0.2">
      <c r="A293" s="1186" t="s">
        <v>311</v>
      </c>
      <c r="B293" s="1186" t="s">
        <v>52</v>
      </c>
      <c r="C293" s="1186">
        <v>0</v>
      </c>
      <c r="D293" s="1186">
        <v>96</v>
      </c>
      <c r="E293" s="1186">
        <v>2</v>
      </c>
      <c r="F293" s="1186">
        <v>27</v>
      </c>
      <c r="G293" s="1186">
        <v>2</v>
      </c>
      <c r="H293" s="1186">
        <v>26</v>
      </c>
      <c r="I293" s="1186">
        <v>6</v>
      </c>
      <c r="J293" s="1186">
        <v>3</v>
      </c>
      <c r="K293" s="1186">
        <v>25</v>
      </c>
      <c r="L293" s="1186">
        <v>7</v>
      </c>
      <c r="M293" s="1186">
        <v>11</v>
      </c>
      <c r="N293" s="1186">
        <v>10</v>
      </c>
      <c r="O293" s="1186">
        <v>6</v>
      </c>
      <c r="P293" s="1186">
        <v>9</v>
      </c>
      <c r="Q293" s="1186">
        <v>179</v>
      </c>
      <c r="R293" s="1186">
        <v>6</v>
      </c>
      <c r="S293" s="1186">
        <v>45</v>
      </c>
      <c r="T293" s="1186">
        <v>0</v>
      </c>
      <c r="U293" s="1186">
        <v>0</v>
      </c>
      <c r="V293" s="1186">
        <v>34</v>
      </c>
      <c r="W293" s="1186">
        <v>0</v>
      </c>
      <c r="X293" s="1186">
        <v>181310</v>
      </c>
    </row>
    <row r="294" spans="1:24" x14ac:dyDescent="0.2">
      <c r="A294" s="1186" t="s">
        <v>621</v>
      </c>
      <c r="B294" s="1186" t="s">
        <v>23</v>
      </c>
      <c r="C294" s="1186">
        <v>0</v>
      </c>
      <c r="D294" s="1186">
        <v>74</v>
      </c>
      <c r="E294" s="1186">
        <v>14</v>
      </c>
      <c r="F294" s="1186">
        <v>44</v>
      </c>
      <c r="G294" s="1186">
        <v>4</v>
      </c>
      <c r="H294" s="1186">
        <v>25</v>
      </c>
      <c r="I294" s="1186">
        <v>1</v>
      </c>
      <c r="J294" s="1186">
        <v>152</v>
      </c>
      <c r="K294" s="1186">
        <v>14</v>
      </c>
      <c r="L294" s="1186">
        <v>7</v>
      </c>
      <c r="M294" s="1186">
        <v>20</v>
      </c>
      <c r="N294" s="1186">
        <v>3</v>
      </c>
      <c r="O294" s="1186">
        <v>3</v>
      </c>
      <c r="P294" s="1186">
        <v>21</v>
      </c>
      <c r="Q294" s="1186">
        <v>146</v>
      </c>
      <c r="R294" s="1186">
        <v>23</v>
      </c>
      <c r="S294" s="1186">
        <v>37</v>
      </c>
      <c r="T294" s="1186">
        <v>1</v>
      </c>
      <c r="U294" s="1186">
        <v>0</v>
      </c>
      <c r="V294" s="1186">
        <v>24</v>
      </c>
      <c r="W294" s="1186">
        <v>6</v>
      </c>
      <c r="X294" s="1186">
        <v>227560</v>
      </c>
    </row>
    <row r="295" spans="1:24" x14ac:dyDescent="0.2">
      <c r="A295" s="1186" t="s">
        <v>621</v>
      </c>
      <c r="B295" s="1186" t="s">
        <v>24</v>
      </c>
      <c r="C295" s="1186">
        <v>0</v>
      </c>
      <c r="D295" s="1186">
        <v>168</v>
      </c>
      <c r="E295" s="1186">
        <v>1</v>
      </c>
      <c r="F295" s="1186">
        <v>18</v>
      </c>
      <c r="G295" s="1186">
        <v>4</v>
      </c>
      <c r="H295" s="1186">
        <v>21</v>
      </c>
      <c r="I295" s="1186">
        <v>2</v>
      </c>
      <c r="J295" s="1186">
        <v>12</v>
      </c>
      <c r="K295" s="1186">
        <v>36</v>
      </c>
      <c r="L295" s="1186">
        <v>6</v>
      </c>
      <c r="M295" s="1186">
        <v>8</v>
      </c>
      <c r="N295" s="1186">
        <v>2</v>
      </c>
      <c r="O295" s="1186">
        <v>3</v>
      </c>
      <c r="P295" s="1186">
        <v>24</v>
      </c>
      <c r="Q295" s="1186">
        <v>74</v>
      </c>
      <c r="R295" s="1186">
        <v>11</v>
      </c>
      <c r="S295" s="1186">
        <v>13</v>
      </c>
      <c r="T295" s="1186">
        <v>1</v>
      </c>
      <c r="U295" s="1186">
        <v>0</v>
      </c>
      <c r="V295" s="1186">
        <v>34</v>
      </c>
      <c r="W295" s="1186">
        <v>2</v>
      </c>
      <c r="X295" s="1186">
        <v>261470</v>
      </c>
    </row>
    <row r="296" spans="1:24" x14ac:dyDescent="0.2">
      <c r="A296" s="1186" t="s">
        <v>621</v>
      </c>
      <c r="B296" s="1186" t="s">
        <v>25</v>
      </c>
      <c r="C296" s="1186">
        <v>0</v>
      </c>
      <c r="D296" s="1186">
        <v>48</v>
      </c>
      <c r="E296" s="1186">
        <v>1</v>
      </c>
      <c r="F296" s="1186">
        <v>10</v>
      </c>
      <c r="G296" s="1186">
        <v>5</v>
      </c>
      <c r="H296" s="1186">
        <v>15</v>
      </c>
      <c r="I296" s="1186">
        <v>1</v>
      </c>
      <c r="J296" s="1186">
        <v>5</v>
      </c>
      <c r="K296" s="1186">
        <v>4</v>
      </c>
      <c r="L296" s="1186">
        <v>0</v>
      </c>
      <c r="M296" s="1186">
        <v>2</v>
      </c>
      <c r="N296" s="1186">
        <v>2</v>
      </c>
      <c r="O296" s="1186">
        <v>3</v>
      </c>
      <c r="P296" s="1186">
        <v>9</v>
      </c>
      <c r="Q296" s="1186">
        <v>92</v>
      </c>
      <c r="R296" s="1186">
        <v>15</v>
      </c>
      <c r="S296" s="1186">
        <v>7</v>
      </c>
      <c r="T296" s="1186">
        <v>0</v>
      </c>
      <c r="U296" s="1186">
        <v>0</v>
      </c>
      <c r="V296" s="1186">
        <v>36</v>
      </c>
      <c r="W296" s="1186">
        <v>0</v>
      </c>
      <c r="X296" s="1186">
        <v>116040</v>
      </c>
    </row>
    <row r="297" spans="1:24" x14ac:dyDescent="0.2">
      <c r="A297" s="1186" t="s">
        <v>621</v>
      </c>
      <c r="B297" s="1186" t="s">
        <v>26</v>
      </c>
      <c r="C297" s="1186">
        <v>0</v>
      </c>
      <c r="D297" s="1186">
        <v>71</v>
      </c>
      <c r="E297" s="1186">
        <v>2</v>
      </c>
      <c r="F297" s="1186">
        <v>17</v>
      </c>
      <c r="G297" s="1186">
        <v>3</v>
      </c>
      <c r="H297" s="1186">
        <v>8</v>
      </c>
      <c r="I297" s="1186">
        <v>1</v>
      </c>
      <c r="J297" s="1186">
        <v>10</v>
      </c>
      <c r="K297" s="1186">
        <v>12</v>
      </c>
      <c r="L297" s="1186">
        <v>5</v>
      </c>
      <c r="M297" s="1186">
        <v>5</v>
      </c>
      <c r="N297" s="1186">
        <v>3</v>
      </c>
      <c r="O297" s="1186">
        <v>5</v>
      </c>
      <c r="P297" s="1186">
        <v>13</v>
      </c>
      <c r="Q297" s="1186">
        <v>30</v>
      </c>
      <c r="R297" s="1186">
        <v>5</v>
      </c>
      <c r="S297" s="1186">
        <v>19</v>
      </c>
      <c r="T297" s="1186">
        <v>0</v>
      </c>
      <c r="U297" s="1186">
        <v>42</v>
      </c>
      <c r="V297" s="1186">
        <v>81</v>
      </c>
      <c r="W297" s="1186">
        <v>0</v>
      </c>
      <c r="X297" s="1186">
        <v>86260</v>
      </c>
    </row>
    <row r="298" spans="1:24" x14ac:dyDescent="0.2">
      <c r="A298" s="1186" t="s">
        <v>621</v>
      </c>
      <c r="B298" s="1186" t="s">
        <v>619</v>
      </c>
      <c r="C298" s="1186">
        <v>0</v>
      </c>
      <c r="D298" s="1186">
        <v>107</v>
      </c>
      <c r="E298" s="1186">
        <v>8</v>
      </c>
      <c r="F298" s="1186">
        <v>178</v>
      </c>
      <c r="G298" s="1186">
        <v>6</v>
      </c>
      <c r="H298" s="1186">
        <v>49</v>
      </c>
      <c r="I298" s="1186">
        <v>8</v>
      </c>
      <c r="J298" s="1186">
        <v>118</v>
      </c>
      <c r="K298" s="1186">
        <v>45</v>
      </c>
      <c r="L298" s="1186">
        <v>21</v>
      </c>
      <c r="M298" s="1186">
        <v>20</v>
      </c>
      <c r="N298" s="1186">
        <v>11</v>
      </c>
      <c r="O298" s="1186">
        <v>28</v>
      </c>
      <c r="P298" s="1186">
        <v>35</v>
      </c>
      <c r="Q298" s="1186">
        <v>448</v>
      </c>
      <c r="R298" s="1186">
        <v>30</v>
      </c>
      <c r="S298" s="1186">
        <v>113</v>
      </c>
      <c r="T298" s="1186">
        <v>1</v>
      </c>
      <c r="U298" s="1186">
        <v>2</v>
      </c>
      <c r="V298" s="1186">
        <v>63</v>
      </c>
      <c r="W298" s="1186">
        <v>20</v>
      </c>
      <c r="X298" s="1186">
        <v>518500</v>
      </c>
    </row>
    <row r="299" spans="1:24" x14ac:dyDescent="0.2">
      <c r="A299" s="1186" t="s">
        <v>621</v>
      </c>
      <c r="B299" s="1186" t="s">
        <v>27</v>
      </c>
      <c r="C299" s="1186">
        <v>0</v>
      </c>
      <c r="D299" s="1186">
        <v>13</v>
      </c>
      <c r="E299" s="1186">
        <v>1</v>
      </c>
      <c r="F299" s="1186">
        <v>7</v>
      </c>
      <c r="G299" s="1186">
        <v>1</v>
      </c>
      <c r="H299" s="1186">
        <v>6</v>
      </c>
      <c r="I299" s="1186">
        <v>0</v>
      </c>
      <c r="J299" s="1186">
        <v>1</v>
      </c>
      <c r="K299" s="1186">
        <v>3</v>
      </c>
      <c r="L299" s="1186">
        <v>1</v>
      </c>
      <c r="M299" s="1186">
        <v>2</v>
      </c>
      <c r="N299" s="1186">
        <v>2</v>
      </c>
      <c r="O299" s="1186">
        <v>4</v>
      </c>
      <c r="P299" s="1186">
        <v>7</v>
      </c>
      <c r="Q299" s="1186">
        <v>50</v>
      </c>
      <c r="R299" s="1186">
        <v>1</v>
      </c>
      <c r="S299" s="1186">
        <v>5</v>
      </c>
      <c r="T299" s="1186">
        <v>0</v>
      </c>
      <c r="U299" s="1186">
        <v>0</v>
      </c>
      <c r="V299" s="1186">
        <v>11</v>
      </c>
      <c r="W299" s="1186">
        <v>0</v>
      </c>
      <c r="X299" s="1186">
        <v>51400</v>
      </c>
    </row>
    <row r="300" spans="1:24" x14ac:dyDescent="0.2">
      <c r="A300" s="1186" t="s">
        <v>621</v>
      </c>
      <c r="B300" s="1186" t="s">
        <v>28</v>
      </c>
      <c r="C300" s="1186">
        <v>0</v>
      </c>
      <c r="D300" s="1186">
        <v>108</v>
      </c>
      <c r="E300" s="1186">
        <v>4</v>
      </c>
      <c r="F300" s="1186">
        <v>16</v>
      </c>
      <c r="G300" s="1186">
        <v>10</v>
      </c>
      <c r="H300" s="1186">
        <v>7</v>
      </c>
      <c r="I300" s="1186">
        <v>1</v>
      </c>
      <c r="J300" s="1186">
        <v>25</v>
      </c>
      <c r="K300" s="1186">
        <v>18</v>
      </c>
      <c r="L300" s="1186">
        <v>11</v>
      </c>
      <c r="M300" s="1186">
        <v>7</v>
      </c>
      <c r="N300" s="1186">
        <v>6</v>
      </c>
      <c r="O300" s="1186">
        <v>3</v>
      </c>
      <c r="P300" s="1186">
        <v>14</v>
      </c>
      <c r="Q300" s="1186">
        <v>63</v>
      </c>
      <c r="R300" s="1186">
        <v>38</v>
      </c>
      <c r="S300" s="1186">
        <v>9</v>
      </c>
      <c r="T300" s="1186">
        <v>0</v>
      </c>
      <c r="U300" s="1186">
        <v>0</v>
      </c>
      <c r="V300" s="1186">
        <v>34</v>
      </c>
      <c r="W300" s="1186">
        <v>2</v>
      </c>
      <c r="X300" s="1186">
        <v>148790</v>
      </c>
    </row>
    <row r="301" spans="1:24" x14ac:dyDescent="0.2">
      <c r="A301" s="1186" t="s">
        <v>621</v>
      </c>
      <c r="B301" s="1186" t="s">
        <v>29</v>
      </c>
      <c r="C301" s="1186">
        <v>0</v>
      </c>
      <c r="D301" s="1186">
        <v>38</v>
      </c>
      <c r="E301" s="1186">
        <v>5</v>
      </c>
      <c r="F301" s="1186">
        <v>54</v>
      </c>
      <c r="G301" s="1186">
        <v>6</v>
      </c>
      <c r="H301" s="1186">
        <v>17</v>
      </c>
      <c r="I301" s="1186">
        <v>2</v>
      </c>
      <c r="J301" s="1186">
        <v>38</v>
      </c>
      <c r="K301" s="1186">
        <v>5</v>
      </c>
      <c r="L301" s="1186">
        <v>11</v>
      </c>
      <c r="M301" s="1186">
        <v>3</v>
      </c>
      <c r="N301" s="1186">
        <v>4</v>
      </c>
      <c r="O301" s="1186">
        <v>7</v>
      </c>
      <c r="P301" s="1186">
        <v>9</v>
      </c>
      <c r="Q301" s="1186">
        <v>162</v>
      </c>
      <c r="R301" s="1186">
        <v>50</v>
      </c>
      <c r="S301" s="1186">
        <v>10</v>
      </c>
      <c r="T301" s="1186">
        <v>0</v>
      </c>
      <c r="U301" s="1186">
        <v>0</v>
      </c>
      <c r="V301" s="1186">
        <v>33</v>
      </c>
      <c r="W301" s="1186">
        <v>5</v>
      </c>
      <c r="X301" s="1186">
        <v>148750</v>
      </c>
    </row>
    <row r="302" spans="1:24" x14ac:dyDescent="0.2">
      <c r="A302" s="1186" t="s">
        <v>621</v>
      </c>
      <c r="B302" s="1186" t="s">
        <v>30</v>
      </c>
      <c r="C302" s="1186">
        <v>0</v>
      </c>
      <c r="D302" s="1186">
        <v>58</v>
      </c>
      <c r="E302" s="1186">
        <v>3</v>
      </c>
      <c r="F302" s="1186">
        <v>11</v>
      </c>
      <c r="G302" s="1186">
        <v>5</v>
      </c>
      <c r="H302" s="1186">
        <v>11</v>
      </c>
      <c r="I302" s="1186">
        <v>2</v>
      </c>
      <c r="J302" s="1186">
        <v>6</v>
      </c>
      <c r="K302" s="1186">
        <v>6</v>
      </c>
      <c r="L302" s="1186">
        <v>8</v>
      </c>
      <c r="M302" s="1186">
        <v>2</v>
      </c>
      <c r="N302" s="1186">
        <v>2</v>
      </c>
      <c r="O302" s="1186">
        <v>3</v>
      </c>
      <c r="P302" s="1186">
        <v>6</v>
      </c>
      <c r="Q302" s="1186">
        <v>39</v>
      </c>
      <c r="R302" s="1186">
        <v>3</v>
      </c>
      <c r="S302" s="1186">
        <v>24</v>
      </c>
      <c r="T302" s="1186">
        <v>0</v>
      </c>
      <c r="U302" s="1186">
        <v>0</v>
      </c>
      <c r="V302" s="1186">
        <v>27</v>
      </c>
      <c r="W302" s="1186">
        <v>2</v>
      </c>
      <c r="X302" s="1186">
        <v>121840</v>
      </c>
    </row>
    <row r="303" spans="1:24" x14ac:dyDescent="0.2">
      <c r="A303" s="1186" t="s">
        <v>621</v>
      </c>
      <c r="B303" s="1186" t="s">
        <v>31</v>
      </c>
      <c r="C303" s="1186">
        <v>0</v>
      </c>
      <c r="D303" s="1186">
        <v>30</v>
      </c>
      <c r="E303" s="1186">
        <v>3</v>
      </c>
      <c r="F303" s="1186">
        <v>23</v>
      </c>
      <c r="G303" s="1186">
        <v>2</v>
      </c>
      <c r="H303" s="1186">
        <v>7</v>
      </c>
      <c r="I303" s="1186">
        <v>0</v>
      </c>
      <c r="J303" s="1186">
        <v>6</v>
      </c>
      <c r="K303" s="1186">
        <v>2</v>
      </c>
      <c r="L303" s="1186">
        <v>3</v>
      </c>
      <c r="M303" s="1186">
        <v>4</v>
      </c>
      <c r="N303" s="1186">
        <v>5</v>
      </c>
      <c r="O303" s="1186">
        <v>25</v>
      </c>
      <c r="P303" s="1186">
        <v>2</v>
      </c>
      <c r="Q303" s="1186">
        <v>43</v>
      </c>
      <c r="R303" s="1186">
        <v>3</v>
      </c>
      <c r="S303" s="1186">
        <v>31</v>
      </c>
      <c r="T303" s="1186">
        <v>0</v>
      </c>
      <c r="U303" s="1186">
        <v>0</v>
      </c>
      <c r="V303" s="1186">
        <v>12</v>
      </c>
      <c r="W303" s="1186">
        <v>4</v>
      </c>
      <c r="X303" s="1186">
        <v>108330</v>
      </c>
    </row>
    <row r="304" spans="1:24" x14ac:dyDescent="0.2">
      <c r="A304" s="1186" t="s">
        <v>621</v>
      </c>
      <c r="B304" s="1186" t="s">
        <v>32</v>
      </c>
      <c r="C304" s="1186">
        <v>0</v>
      </c>
      <c r="D304" s="1186">
        <v>47</v>
      </c>
      <c r="E304" s="1186">
        <v>0</v>
      </c>
      <c r="F304" s="1186">
        <v>14</v>
      </c>
      <c r="G304" s="1186">
        <v>4</v>
      </c>
      <c r="H304" s="1186">
        <v>11</v>
      </c>
      <c r="I304" s="1186">
        <v>5</v>
      </c>
      <c r="J304" s="1186">
        <v>4</v>
      </c>
      <c r="K304" s="1186">
        <v>5</v>
      </c>
      <c r="L304" s="1186">
        <v>0</v>
      </c>
      <c r="M304" s="1186">
        <v>6</v>
      </c>
      <c r="N304" s="1186">
        <v>1</v>
      </c>
      <c r="O304" s="1186">
        <v>5</v>
      </c>
      <c r="P304" s="1186">
        <v>6</v>
      </c>
      <c r="Q304" s="1186">
        <v>34</v>
      </c>
      <c r="R304" s="1186">
        <v>4</v>
      </c>
      <c r="S304" s="1186">
        <v>10</v>
      </c>
      <c r="T304" s="1186">
        <v>0</v>
      </c>
      <c r="U304" s="1186">
        <v>0</v>
      </c>
      <c r="V304" s="1186">
        <v>15</v>
      </c>
      <c r="W304" s="1186">
        <v>3</v>
      </c>
      <c r="X304" s="1186">
        <v>105790</v>
      </c>
    </row>
    <row r="305" spans="1:24" x14ac:dyDescent="0.2">
      <c r="A305" s="1186" t="s">
        <v>621</v>
      </c>
      <c r="B305" s="1186" t="s">
        <v>33</v>
      </c>
      <c r="C305" s="1186">
        <v>0</v>
      </c>
      <c r="D305" s="1186">
        <v>19</v>
      </c>
      <c r="E305" s="1186">
        <v>1</v>
      </c>
      <c r="F305" s="1186">
        <v>13</v>
      </c>
      <c r="G305" s="1186">
        <v>0</v>
      </c>
      <c r="H305" s="1186">
        <v>8</v>
      </c>
      <c r="I305" s="1186">
        <v>1</v>
      </c>
      <c r="J305" s="1186">
        <v>6</v>
      </c>
      <c r="K305" s="1186">
        <v>3</v>
      </c>
      <c r="L305" s="1186">
        <v>1</v>
      </c>
      <c r="M305" s="1186">
        <v>1</v>
      </c>
      <c r="N305" s="1186">
        <v>0</v>
      </c>
      <c r="O305" s="1186">
        <v>1</v>
      </c>
      <c r="P305" s="1186">
        <v>4</v>
      </c>
      <c r="Q305" s="1186">
        <v>43</v>
      </c>
      <c r="R305" s="1186">
        <v>6</v>
      </c>
      <c r="S305" s="1186">
        <v>9</v>
      </c>
      <c r="T305" s="1186">
        <v>1</v>
      </c>
      <c r="U305" s="1186">
        <v>0</v>
      </c>
      <c r="V305" s="1186">
        <v>7</v>
      </c>
      <c r="W305" s="1186">
        <v>4</v>
      </c>
      <c r="X305" s="1186">
        <v>95170</v>
      </c>
    </row>
    <row r="306" spans="1:24" x14ac:dyDescent="0.2">
      <c r="A306" s="1186" t="s">
        <v>621</v>
      </c>
      <c r="B306" s="1186" t="s">
        <v>34</v>
      </c>
      <c r="C306" s="1186">
        <v>0</v>
      </c>
      <c r="D306" s="1186">
        <v>72</v>
      </c>
      <c r="E306" s="1186">
        <v>3</v>
      </c>
      <c r="F306" s="1186">
        <v>26</v>
      </c>
      <c r="G306" s="1186">
        <v>3</v>
      </c>
      <c r="H306" s="1186">
        <v>13</v>
      </c>
      <c r="I306" s="1186">
        <v>4</v>
      </c>
      <c r="J306" s="1186">
        <v>11</v>
      </c>
      <c r="K306" s="1186">
        <v>6</v>
      </c>
      <c r="L306" s="1186">
        <v>8</v>
      </c>
      <c r="M306" s="1186">
        <v>3</v>
      </c>
      <c r="N306" s="1186">
        <v>5</v>
      </c>
      <c r="O306" s="1186">
        <v>1</v>
      </c>
      <c r="P306" s="1186">
        <v>15</v>
      </c>
      <c r="Q306" s="1186">
        <v>138</v>
      </c>
      <c r="R306" s="1186">
        <v>9</v>
      </c>
      <c r="S306" s="1186">
        <v>17</v>
      </c>
      <c r="T306" s="1186">
        <v>0</v>
      </c>
      <c r="U306" s="1186">
        <v>0</v>
      </c>
      <c r="V306" s="1186">
        <v>24</v>
      </c>
      <c r="W306" s="1186">
        <v>3</v>
      </c>
      <c r="X306" s="1186">
        <v>160340</v>
      </c>
    </row>
    <row r="307" spans="1:24" x14ac:dyDescent="0.2">
      <c r="A307" s="1186" t="s">
        <v>621</v>
      </c>
      <c r="B307" s="1186" t="s">
        <v>35</v>
      </c>
      <c r="C307" s="1186">
        <v>0</v>
      </c>
      <c r="D307" s="1186">
        <v>161</v>
      </c>
      <c r="E307" s="1186">
        <v>3</v>
      </c>
      <c r="F307" s="1186">
        <v>55</v>
      </c>
      <c r="G307" s="1186">
        <v>14</v>
      </c>
      <c r="H307" s="1186">
        <v>38</v>
      </c>
      <c r="I307" s="1186">
        <v>3</v>
      </c>
      <c r="J307" s="1186">
        <v>23</v>
      </c>
      <c r="K307" s="1186">
        <v>32</v>
      </c>
      <c r="L307" s="1186">
        <v>12</v>
      </c>
      <c r="M307" s="1186">
        <v>22</v>
      </c>
      <c r="N307" s="1186">
        <v>8</v>
      </c>
      <c r="O307" s="1186">
        <v>24</v>
      </c>
      <c r="P307" s="1186">
        <v>40</v>
      </c>
      <c r="Q307" s="1186">
        <v>269</v>
      </c>
      <c r="R307" s="1186">
        <v>21</v>
      </c>
      <c r="S307" s="1186">
        <v>27</v>
      </c>
      <c r="T307" s="1186">
        <v>0</v>
      </c>
      <c r="U307" s="1186">
        <v>1</v>
      </c>
      <c r="V307" s="1186">
        <v>66</v>
      </c>
      <c r="W307" s="1186">
        <v>3</v>
      </c>
      <c r="X307" s="1186">
        <v>371910</v>
      </c>
    </row>
    <row r="308" spans="1:24" x14ac:dyDescent="0.2">
      <c r="A308" s="1186" t="s">
        <v>621</v>
      </c>
      <c r="B308" s="1186" t="s">
        <v>36</v>
      </c>
      <c r="C308" s="1186">
        <v>0</v>
      </c>
      <c r="D308" s="1186">
        <v>188</v>
      </c>
      <c r="E308" s="1186">
        <v>11</v>
      </c>
      <c r="F308" s="1186">
        <v>279</v>
      </c>
      <c r="G308" s="1186">
        <v>30</v>
      </c>
      <c r="H308" s="1186">
        <v>69</v>
      </c>
      <c r="I308" s="1186">
        <v>14</v>
      </c>
      <c r="J308" s="1186">
        <v>164</v>
      </c>
      <c r="K308" s="1186">
        <v>78</v>
      </c>
      <c r="L308" s="1186">
        <v>59</v>
      </c>
      <c r="M308" s="1186">
        <v>20</v>
      </c>
      <c r="N308" s="1186">
        <v>13</v>
      </c>
      <c r="O308" s="1186">
        <v>45</v>
      </c>
      <c r="P308" s="1186">
        <v>34</v>
      </c>
      <c r="Q308" s="1186">
        <v>501</v>
      </c>
      <c r="R308" s="1186">
        <v>34</v>
      </c>
      <c r="S308" s="1186">
        <v>306</v>
      </c>
      <c r="T308" s="1186">
        <v>0</v>
      </c>
      <c r="U308" s="1186">
        <v>2</v>
      </c>
      <c r="V308" s="1186">
        <v>229</v>
      </c>
      <c r="W308" s="1186">
        <v>45</v>
      </c>
      <c r="X308" s="1186">
        <v>626410</v>
      </c>
    </row>
    <row r="309" spans="1:24" x14ac:dyDescent="0.2">
      <c r="A309" s="1186" t="s">
        <v>621</v>
      </c>
      <c r="B309" s="1186" t="s">
        <v>37</v>
      </c>
      <c r="C309" s="1186">
        <v>0</v>
      </c>
      <c r="D309" s="1186">
        <v>177</v>
      </c>
      <c r="E309" s="1186">
        <v>8</v>
      </c>
      <c r="F309" s="1186">
        <v>36</v>
      </c>
      <c r="G309" s="1186">
        <v>12</v>
      </c>
      <c r="H309" s="1186">
        <v>20</v>
      </c>
      <c r="I309" s="1186">
        <v>2</v>
      </c>
      <c r="J309" s="1186">
        <v>15</v>
      </c>
      <c r="K309" s="1186">
        <v>19</v>
      </c>
      <c r="L309" s="1186">
        <v>5</v>
      </c>
      <c r="M309" s="1186">
        <v>8</v>
      </c>
      <c r="N309" s="1186">
        <v>5</v>
      </c>
      <c r="O309" s="1186">
        <v>12</v>
      </c>
      <c r="P309" s="1186">
        <v>30</v>
      </c>
      <c r="Q309" s="1186">
        <v>68</v>
      </c>
      <c r="R309" s="1186">
        <v>14</v>
      </c>
      <c r="S309" s="1186">
        <v>16</v>
      </c>
      <c r="T309" s="1186">
        <v>0</v>
      </c>
      <c r="U309" s="1186">
        <v>3</v>
      </c>
      <c r="V309" s="1186">
        <v>76</v>
      </c>
      <c r="W309" s="1186">
        <v>2</v>
      </c>
      <c r="X309" s="1186">
        <v>235540</v>
      </c>
    </row>
    <row r="310" spans="1:24" x14ac:dyDescent="0.2">
      <c r="A310" s="1186" t="s">
        <v>621</v>
      </c>
      <c r="B310" s="1186" t="s">
        <v>38</v>
      </c>
      <c r="C310" s="1186">
        <v>0</v>
      </c>
      <c r="D310" s="1186">
        <v>36</v>
      </c>
      <c r="E310" s="1186">
        <v>1</v>
      </c>
      <c r="F310" s="1186">
        <v>18</v>
      </c>
      <c r="G310" s="1186">
        <v>3</v>
      </c>
      <c r="H310" s="1186">
        <v>8</v>
      </c>
      <c r="I310" s="1186">
        <v>0</v>
      </c>
      <c r="J310" s="1186">
        <v>26</v>
      </c>
      <c r="K310" s="1186">
        <v>14</v>
      </c>
      <c r="L310" s="1186">
        <v>5</v>
      </c>
      <c r="M310" s="1186">
        <v>2</v>
      </c>
      <c r="N310" s="1186">
        <v>0</v>
      </c>
      <c r="O310" s="1186">
        <v>0</v>
      </c>
      <c r="P310" s="1186">
        <v>9</v>
      </c>
      <c r="Q310" s="1186">
        <v>53</v>
      </c>
      <c r="R310" s="1186">
        <v>7</v>
      </c>
      <c r="S310" s="1186">
        <v>18</v>
      </c>
      <c r="T310" s="1186">
        <v>0</v>
      </c>
      <c r="U310" s="1186">
        <v>0</v>
      </c>
      <c r="V310" s="1186">
        <v>24</v>
      </c>
      <c r="W310" s="1186">
        <v>1</v>
      </c>
      <c r="X310" s="1186">
        <v>78150</v>
      </c>
    </row>
    <row r="311" spans="1:24" x14ac:dyDescent="0.2">
      <c r="A311" s="1186" t="s">
        <v>621</v>
      </c>
      <c r="B311" s="1186" t="s">
        <v>39</v>
      </c>
      <c r="C311" s="1186">
        <v>0</v>
      </c>
      <c r="D311" s="1186">
        <v>29</v>
      </c>
      <c r="E311" s="1186">
        <v>1</v>
      </c>
      <c r="F311" s="1186">
        <v>14</v>
      </c>
      <c r="G311" s="1186">
        <v>3</v>
      </c>
      <c r="H311" s="1186">
        <v>11</v>
      </c>
      <c r="I311" s="1186">
        <v>0</v>
      </c>
      <c r="J311" s="1186">
        <v>3</v>
      </c>
      <c r="K311" s="1186">
        <v>3</v>
      </c>
      <c r="L311" s="1186">
        <v>4</v>
      </c>
      <c r="M311" s="1186">
        <v>3</v>
      </c>
      <c r="N311" s="1186">
        <v>3</v>
      </c>
      <c r="O311" s="1186">
        <v>4</v>
      </c>
      <c r="P311" s="1186">
        <v>12</v>
      </c>
      <c r="Q311" s="1186">
        <v>52</v>
      </c>
      <c r="R311" s="1186">
        <v>2</v>
      </c>
      <c r="S311" s="1186">
        <v>7</v>
      </c>
      <c r="T311" s="1186">
        <v>0</v>
      </c>
      <c r="U311" s="1186">
        <v>0</v>
      </c>
      <c r="V311" s="1186">
        <v>12</v>
      </c>
      <c r="W311" s="1186">
        <v>0</v>
      </c>
      <c r="X311" s="1186">
        <v>91340</v>
      </c>
    </row>
    <row r="312" spans="1:24" x14ac:dyDescent="0.2">
      <c r="A312" s="1186" t="s">
        <v>621</v>
      </c>
      <c r="B312" s="1186" t="s">
        <v>40</v>
      </c>
      <c r="C312" s="1186">
        <v>0</v>
      </c>
      <c r="D312" s="1186">
        <v>45</v>
      </c>
      <c r="E312" s="1186">
        <v>0</v>
      </c>
      <c r="F312" s="1186">
        <v>4</v>
      </c>
      <c r="G312" s="1186">
        <v>4</v>
      </c>
      <c r="H312" s="1186">
        <v>7</v>
      </c>
      <c r="I312" s="1186">
        <v>1</v>
      </c>
      <c r="J312" s="1186">
        <v>5</v>
      </c>
      <c r="K312" s="1186">
        <v>5</v>
      </c>
      <c r="L312" s="1186">
        <v>2</v>
      </c>
      <c r="M312" s="1186">
        <v>2</v>
      </c>
      <c r="N312" s="1186">
        <v>0</v>
      </c>
      <c r="O312" s="1186">
        <v>0</v>
      </c>
      <c r="P312" s="1186">
        <v>12</v>
      </c>
      <c r="Q312" s="1186">
        <v>43</v>
      </c>
      <c r="R312" s="1186">
        <v>5</v>
      </c>
      <c r="S312" s="1186">
        <v>7</v>
      </c>
      <c r="T312" s="1186">
        <v>0</v>
      </c>
      <c r="U312" s="1186">
        <v>0</v>
      </c>
      <c r="V312" s="1186">
        <v>16</v>
      </c>
      <c r="W312" s="1186">
        <v>1</v>
      </c>
      <c r="X312" s="1186">
        <v>95520</v>
      </c>
    </row>
    <row r="313" spans="1:24" x14ac:dyDescent="0.2">
      <c r="A313" s="1186" t="s">
        <v>621</v>
      </c>
      <c r="B313" s="1186" t="s">
        <v>295</v>
      </c>
      <c r="C313" s="1186">
        <v>0</v>
      </c>
      <c r="D313" s="1186">
        <v>21</v>
      </c>
      <c r="E313" s="1186">
        <v>0</v>
      </c>
      <c r="F313" s="1186">
        <v>7</v>
      </c>
      <c r="G313" s="1186">
        <v>0</v>
      </c>
      <c r="H313" s="1186">
        <v>1</v>
      </c>
      <c r="I313" s="1186">
        <v>0</v>
      </c>
      <c r="J313" s="1186">
        <v>7</v>
      </c>
      <c r="K313" s="1186">
        <v>0</v>
      </c>
      <c r="L313" s="1186">
        <v>2</v>
      </c>
      <c r="M313" s="1186">
        <v>4</v>
      </c>
      <c r="N313" s="1186">
        <v>0</v>
      </c>
      <c r="O313" s="1186">
        <v>0</v>
      </c>
      <c r="P313" s="1186">
        <v>11</v>
      </c>
      <c r="Q313" s="1186">
        <v>6</v>
      </c>
      <c r="R313" s="1186">
        <v>1</v>
      </c>
      <c r="S313" s="1186">
        <v>1</v>
      </c>
      <c r="T313" s="1186">
        <v>0</v>
      </c>
      <c r="U313" s="1186">
        <v>0</v>
      </c>
      <c r="V313" s="1186">
        <v>8</v>
      </c>
      <c r="W313" s="1186">
        <v>0</v>
      </c>
      <c r="X313" s="1186">
        <v>26830</v>
      </c>
    </row>
    <row r="314" spans="1:24" x14ac:dyDescent="0.2">
      <c r="A314" s="1186" t="s">
        <v>621</v>
      </c>
      <c r="B314" s="1186" t="s">
        <v>41</v>
      </c>
      <c r="C314" s="1186">
        <v>0</v>
      </c>
      <c r="D314" s="1186">
        <v>52</v>
      </c>
      <c r="E314" s="1186">
        <v>1</v>
      </c>
      <c r="F314" s="1186">
        <v>27</v>
      </c>
      <c r="G314" s="1186">
        <v>1</v>
      </c>
      <c r="H314" s="1186">
        <v>15</v>
      </c>
      <c r="I314" s="1186">
        <v>1</v>
      </c>
      <c r="J314" s="1186">
        <v>20</v>
      </c>
      <c r="K314" s="1186">
        <v>21</v>
      </c>
      <c r="L314" s="1186">
        <v>8</v>
      </c>
      <c r="M314" s="1186">
        <v>2</v>
      </c>
      <c r="N314" s="1186">
        <v>2</v>
      </c>
      <c r="O314" s="1186">
        <v>7</v>
      </c>
      <c r="P314" s="1186">
        <v>10</v>
      </c>
      <c r="Q314" s="1186">
        <v>92</v>
      </c>
      <c r="R314" s="1186">
        <v>17</v>
      </c>
      <c r="S314" s="1186">
        <v>50</v>
      </c>
      <c r="T314" s="1186">
        <v>0</v>
      </c>
      <c r="U314" s="1186">
        <v>1</v>
      </c>
      <c r="V314" s="1186">
        <v>48</v>
      </c>
      <c r="W314" s="1186">
        <v>1</v>
      </c>
      <c r="X314" s="1186">
        <v>135280</v>
      </c>
    </row>
    <row r="315" spans="1:24" x14ac:dyDescent="0.2">
      <c r="A315" s="1186" t="s">
        <v>621</v>
      </c>
      <c r="B315" s="1186" t="s">
        <v>42</v>
      </c>
      <c r="C315" s="1186">
        <v>0</v>
      </c>
      <c r="D315" s="1186">
        <v>137</v>
      </c>
      <c r="E315" s="1186">
        <v>5</v>
      </c>
      <c r="F315" s="1186">
        <v>57</v>
      </c>
      <c r="G315" s="1186">
        <v>4</v>
      </c>
      <c r="H315" s="1186">
        <v>25</v>
      </c>
      <c r="I315" s="1186">
        <v>2</v>
      </c>
      <c r="J315" s="1186">
        <v>30</v>
      </c>
      <c r="K315" s="1186">
        <v>23</v>
      </c>
      <c r="L315" s="1186">
        <v>7</v>
      </c>
      <c r="M315" s="1186">
        <v>10</v>
      </c>
      <c r="N315" s="1186">
        <v>5</v>
      </c>
      <c r="O315" s="1186">
        <v>34</v>
      </c>
      <c r="P315" s="1186">
        <v>27</v>
      </c>
      <c r="Q315" s="1186">
        <v>150</v>
      </c>
      <c r="R315" s="1186">
        <v>9</v>
      </c>
      <c r="S315" s="1186">
        <v>72</v>
      </c>
      <c r="T315" s="1186">
        <v>0</v>
      </c>
      <c r="U315" s="1186">
        <v>0</v>
      </c>
      <c r="V315" s="1186">
        <v>74</v>
      </c>
      <c r="W315" s="1186">
        <v>13</v>
      </c>
      <c r="X315" s="1186">
        <v>340180</v>
      </c>
    </row>
    <row r="316" spans="1:24" x14ac:dyDescent="0.2">
      <c r="A316" s="1186" t="s">
        <v>621</v>
      </c>
      <c r="B316" s="1186" t="s">
        <v>43</v>
      </c>
      <c r="C316" s="1186">
        <v>0</v>
      </c>
      <c r="D316" s="1186">
        <v>9</v>
      </c>
      <c r="E316" s="1186">
        <v>0</v>
      </c>
      <c r="F316" s="1186">
        <v>2</v>
      </c>
      <c r="G316" s="1186">
        <v>1</v>
      </c>
      <c r="H316" s="1186">
        <v>1</v>
      </c>
      <c r="I316" s="1186">
        <v>0</v>
      </c>
      <c r="J316" s="1186">
        <v>0</v>
      </c>
      <c r="K316" s="1186">
        <v>0</v>
      </c>
      <c r="L316" s="1186">
        <v>0</v>
      </c>
      <c r="M316" s="1186">
        <v>1</v>
      </c>
      <c r="N316" s="1186">
        <v>0</v>
      </c>
      <c r="O316" s="1186">
        <v>0</v>
      </c>
      <c r="P316" s="1186">
        <v>2</v>
      </c>
      <c r="Q316" s="1186">
        <v>1</v>
      </c>
      <c r="R316" s="1186">
        <v>0</v>
      </c>
      <c r="S316" s="1186">
        <v>1</v>
      </c>
      <c r="T316" s="1186">
        <v>0</v>
      </c>
      <c r="U316" s="1186">
        <v>0</v>
      </c>
      <c r="V316" s="1186">
        <v>9</v>
      </c>
      <c r="W316" s="1186">
        <v>0</v>
      </c>
      <c r="X316" s="1186">
        <v>22190</v>
      </c>
    </row>
    <row r="317" spans="1:24" x14ac:dyDescent="0.2">
      <c r="A317" s="1186" t="s">
        <v>621</v>
      </c>
      <c r="B317" s="1186" t="s">
        <v>44</v>
      </c>
      <c r="C317" s="1186">
        <v>0</v>
      </c>
      <c r="D317" s="1186">
        <v>83</v>
      </c>
      <c r="E317" s="1186">
        <v>4</v>
      </c>
      <c r="F317" s="1186">
        <v>27</v>
      </c>
      <c r="G317" s="1186">
        <v>10</v>
      </c>
      <c r="H317" s="1186">
        <v>17</v>
      </c>
      <c r="I317" s="1186">
        <v>0</v>
      </c>
      <c r="J317" s="1186">
        <v>11</v>
      </c>
      <c r="K317" s="1186">
        <v>13</v>
      </c>
      <c r="L317" s="1186">
        <v>8</v>
      </c>
      <c r="M317" s="1186">
        <v>3</v>
      </c>
      <c r="N317" s="1186">
        <v>2</v>
      </c>
      <c r="O317" s="1186">
        <v>0</v>
      </c>
      <c r="P317" s="1186">
        <v>20</v>
      </c>
      <c r="Q317" s="1186">
        <v>73</v>
      </c>
      <c r="R317" s="1186">
        <v>18</v>
      </c>
      <c r="S317" s="1186">
        <v>8</v>
      </c>
      <c r="T317" s="1186">
        <v>0</v>
      </c>
      <c r="U317" s="1186">
        <v>0</v>
      </c>
      <c r="V317" s="1186">
        <v>25</v>
      </c>
      <c r="W317" s="1186">
        <v>3</v>
      </c>
      <c r="X317" s="1186">
        <v>151290</v>
      </c>
    </row>
    <row r="318" spans="1:24" x14ac:dyDescent="0.2">
      <c r="A318" s="1186" t="s">
        <v>621</v>
      </c>
      <c r="B318" s="1186" t="s">
        <v>45</v>
      </c>
      <c r="C318" s="1186">
        <v>0</v>
      </c>
      <c r="D318" s="1186">
        <v>68</v>
      </c>
      <c r="E318" s="1186">
        <v>4</v>
      </c>
      <c r="F318" s="1186">
        <v>33</v>
      </c>
      <c r="G318" s="1186">
        <v>6</v>
      </c>
      <c r="H318" s="1186">
        <v>14</v>
      </c>
      <c r="I318" s="1186">
        <v>3</v>
      </c>
      <c r="J318" s="1186">
        <v>11</v>
      </c>
      <c r="K318" s="1186">
        <v>17</v>
      </c>
      <c r="L318" s="1186">
        <v>5</v>
      </c>
      <c r="M318" s="1186">
        <v>4</v>
      </c>
      <c r="N318" s="1186">
        <v>7</v>
      </c>
      <c r="O318" s="1186">
        <v>10</v>
      </c>
      <c r="P318" s="1186">
        <v>10</v>
      </c>
      <c r="Q318" s="1186">
        <v>110</v>
      </c>
      <c r="R318" s="1186">
        <v>12</v>
      </c>
      <c r="S318" s="1186">
        <v>90</v>
      </c>
      <c r="T318" s="1186">
        <v>0</v>
      </c>
      <c r="U318" s="1186">
        <v>0</v>
      </c>
      <c r="V318" s="1186">
        <v>42</v>
      </c>
      <c r="W318" s="1186">
        <v>9</v>
      </c>
      <c r="X318" s="1186">
        <v>177790</v>
      </c>
    </row>
    <row r="319" spans="1:24" x14ac:dyDescent="0.2">
      <c r="A319" s="1186" t="s">
        <v>621</v>
      </c>
      <c r="B319" s="1186" t="s">
        <v>46</v>
      </c>
      <c r="C319" s="1186">
        <v>0</v>
      </c>
      <c r="D319" s="1186">
        <v>87</v>
      </c>
      <c r="E319" s="1186">
        <v>2</v>
      </c>
      <c r="F319" s="1186">
        <v>22</v>
      </c>
      <c r="G319" s="1186">
        <v>6</v>
      </c>
      <c r="H319" s="1186">
        <v>13</v>
      </c>
      <c r="I319" s="1186">
        <v>4</v>
      </c>
      <c r="J319" s="1186">
        <v>17</v>
      </c>
      <c r="K319" s="1186">
        <v>8</v>
      </c>
      <c r="L319" s="1186">
        <v>6</v>
      </c>
      <c r="M319" s="1186">
        <v>4</v>
      </c>
      <c r="N319" s="1186">
        <v>1</v>
      </c>
      <c r="O319" s="1186">
        <v>1</v>
      </c>
      <c r="P319" s="1186">
        <v>10</v>
      </c>
      <c r="Q319" s="1186">
        <v>78</v>
      </c>
      <c r="R319" s="1186">
        <v>9</v>
      </c>
      <c r="S319" s="1186">
        <v>17</v>
      </c>
      <c r="T319" s="1186">
        <v>0</v>
      </c>
      <c r="U319" s="1186">
        <v>0</v>
      </c>
      <c r="V319" s="1186">
        <v>26</v>
      </c>
      <c r="W319" s="1186">
        <v>1</v>
      </c>
      <c r="X319" s="1186">
        <v>115270</v>
      </c>
    </row>
    <row r="320" spans="1:24" x14ac:dyDescent="0.2">
      <c r="A320" s="1186" t="s">
        <v>621</v>
      </c>
      <c r="B320" s="1186" t="s">
        <v>47</v>
      </c>
      <c r="C320" s="1186">
        <v>0</v>
      </c>
      <c r="D320" s="1186">
        <v>5</v>
      </c>
      <c r="E320" s="1186">
        <v>3</v>
      </c>
      <c r="F320" s="1186">
        <v>0</v>
      </c>
      <c r="G320" s="1186">
        <v>0</v>
      </c>
      <c r="H320" s="1186">
        <v>0</v>
      </c>
      <c r="I320" s="1186">
        <v>0</v>
      </c>
      <c r="J320" s="1186">
        <v>0</v>
      </c>
      <c r="K320" s="1186">
        <v>1</v>
      </c>
      <c r="L320" s="1186">
        <v>0</v>
      </c>
      <c r="M320" s="1186">
        <v>0</v>
      </c>
      <c r="N320" s="1186">
        <v>0</v>
      </c>
      <c r="O320" s="1186">
        <v>2</v>
      </c>
      <c r="P320" s="1186">
        <v>3</v>
      </c>
      <c r="Q320" s="1186">
        <v>0</v>
      </c>
      <c r="R320" s="1186">
        <v>0</v>
      </c>
      <c r="S320" s="1186">
        <v>0</v>
      </c>
      <c r="T320" s="1186">
        <v>0</v>
      </c>
      <c r="U320" s="1186">
        <v>0</v>
      </c>
      <c r="V320" s="1186">
        <v>2</v>
      </c>
      <c r="W320" s="1186">
        <v>0</v>
      </c>
      <c r="X320" s="1186">
        <v>22990</v>
      </c>
    </row>
    <row r="321" spans="1:24" x14ac:dyDescent="0.2">
      <c r="A321" s="1186" t="s">
        <v>621</v>
      </c>
      <c r="B321" s="1186" t="s">
        <v>48</v>
      </c>
      <c r="C321" s="1186">
        <v>0</v>
      </c>
      <c r="D321" s="1186">
        <v>54</v>
      </c>
      <c r="E321" s="1186">
        <v>2</v>
      </c>
      <c r="F321" s="1186">
        <v>31</v>
      </c>
      <c r="G321" s="1186">
        <v>2</v>
      </c>
      <c r="H321" s="1186">
        <v>6</v>
      </c>
      <c r="I321" s="1186">
        <v>3</v>
      </c>
      <c r="J321" s="1186">
        <v>15</v>
      </c>
      <c r="K321" s="1186">
        <v>14</v>
      </c>
      <c r="L321" s="1186">
        <v>4</v>
      </c>
      <c r="M321" s="1186">
        <v>2</v>
      </c>
      <c r="N321" s="1186">
        <v>4</v>
      </c>
      <c r="O321" s="1186">
        <v>4</v>
      </c>
      <c r="P321" s="1186">
        <v>8</v>
      </c>
      <c r="Q321" s="1186">
        <v>58</v>
      </c>
      <c r="R321" s="1186">
        <v>11</v>
      </c>
      <c r="S321" s="1186">
        <v>31</v>
      </c>
      <c r="T321" s="1186">
        <v>0</v>
      </c>
      <c r="U321" s="1186">
        <v>1</v>
      </c>
      <c r="V321" s="1186">
        <v>24</v>
      </c>
      <c r="W321" s="1186">
        <v>2</v>
      </c>
      <c r="X321" s="1186">
        <v>112550</v>
      </c>
    </row>
    <row r="322" spans="1:24" x14ac:dyDescent="0.2">
      <c r="A322" s="1186" t="s">
        <v>621</v>
      </c>
      <c r="B322" s="1186" t="s">
        <v>49</v>
      </c>
      <c r="C322" s="1186">
        <v>0</v>
      </c>
      <c r="D322" s="1186">
        <v>133</v>
      </c>
      <c r="E322" s="1186">
        <v>6</v>
      </c>
      <c r="F322" s="1186">
        <v>57</v>
      </c>
      <c r="G322" s="1186">
        <v>4</v>
      </c>
      <c r="H322" s="1186">
        <v>21</v>
      </c>
      <c r="I322" s="1186">
        <v>7</v>
      </c>
      <c r="J322" s="1186">
        <v>19</v>
      </c>
      <c r="K322" s="1186">
        <v>19</v>
      </c>
      <c r="L322" s="1186">
        <v>8</v>
      </c>
      <c r="M322" s="1186">
        <v>6</v>
      </c>
      <c r="N322" s="1186">
        <v>7</v>
      </c>
      <c r="O322" s="1186">
        <v>22</v>
      </c>
      <c r="P322" s="1186">
        <v>16</v>
      </c>
      <c r="Q322" s="1186">
        <v>131</v>
      </c>
      <c r="R322" s="1186">
        <v>14</v>
      </c>
      <c r="S322" s="1186">
        <v>94</v>
      </c>
      <c r="T322" s="1186">
        <v>0</v>
      </c>
      <c r="U322" s="1186">
        <v>1</v>
      </c>
      <c r="V322" s="1186">
        <v>59</v>
      </c>
      <c r="W322" s="1186">
        <v>9</v>
      </c>
      <c r="X322" s="1186">
        <v>319020</v>
      </c>
    </row>
    <row r="323" spans="1:24" x14ac:dyDescent="0.2">
      <c r="A323" s="1186" t="s">
        <v>621</v>
      </c>
      <c r="B323" s="1186" t="s">
        <v>50</v>
      </c>
      <c r="C323" s="1186">
        <v>0</v>
      </c>
      <c r="D323" s="1186">
        <v>66</v>
      </c>
      <c r="E323" s="1186">
        <v>0</v>
      </c>
      <c r="F323" s="1186">
        <v>14</v>
      </c>
      <c r="G323" s="1186">
        <v>10</v>
      </c>
      <c r="H323" s="1186">
        <v>11</v>
      </c>
      <c r="I323" s="1186">
        <v>4</v>
      </c>
      <c r="J323" s="1186">
        <v>6</v>
      </c>
      <c r="K323" s="1186">
        <v>20</v>
      </c>
      <c r="L323" s="1186">
        <v>5</v>
      </c>
      <c r="M323" s="1186">
        <v>3</v>
      </c>
      <c r="N323" s="1186">
        <v>2</v>
      </c>
      <c r="O323" s="1186">
        <v>4</v>
      </c>
      <c r="P323" s="1186">
        <v>5</v>
      </c>
      <c r="Q323" s="1186">
        <v>50</v>
      </c>
      <c r="R323" s="1186">
        <v>5</v>
      </c>
      <c r="S323" s="1186">
        <v>2</v>
      </c>
      <c r="T323" s="1186">
        <v>0</v>
      </c>
      <c r="U323" s="1186">
        <v>0</v>
      </c>
      <c r="V323" s="1186">
        <v>8</v>
      </c>
      <c r="W323" s="1186">
        <v>0</v>
      </c>
      <c r="X323" s="1186">
        <v>94330</v>
      </c>
    </row>
    <row r="324" spans="1:24" x14ac:dyDescent="0.2">
      <c r="A324" s="1186" t="s">
        <v>621</v>
      </c>
      <c r="B324" s="1186" t="s">
        <v>51</v>
      </c>
      <c r="C324" s="1186">
        <v>0</v>
      </c>
      <c r="D324" s="1186">
        <v>26</v>
      </c>
      <c r="E324" s="1186">
        <v>1</v>
      </c>
      <c r="F324" s="1186">
        <v>15</v>
      </c>
      <c r="G324" s="1186">
        <v>5</v>
      </c>
      <c r="H324" s="1186">
        <v>5</v>
      </c>
      <c r="I324" s="1186">
        <v>0</v>
      </c>
      <c r="J324" s="1186">
        <v>16</v>
      </c>
      <c r="K324" s="1186">
        <v>9</v>
      </c>
      <c r="L324" s="1186">
        <v>4</v>
      </c>
      <c r="M324" s="1186">
        <v>0</v>
      </c>
      <c r="N324" s="1186">
        <v>1</v>
      </c>
      <c r="O324" s="1186">
        <v>9</v>
      </c>
      <c r="P324" s="1186">
        <v>4</v>
      </c>
      <c r="Q324" s="1186">
        <v>40</v>
      </c>
      <c r="R324" s="1186">
        <v>5</v>
      </c>
      <c r="S324" s="1186">
        <v>41</v>
      </c>
      <c r="T324" s="1186">
        <v>0</v>
      </c>
      <c r="U324" s="1186">
        <v>1</v>
      </c>
      <c r="V324" s="1186">
        <v>19</v>
      </c>
      <c r="W324" s="1186">
        <v>5</v>
      </c>
      <c r="X324" s="1186">
        <v>89130</v>
      </c>
    </row>
    <row r="325" spans="1:24" x14ac:dyDescent="0.2">
      <c r="A325" s="1186" t="s">
        <v>621</v>
      </c>
      <c r="B325" s="1186" t="s">
        <v>52</v>
      </c>
      <c r="C325" s="1186">
        <v>0</v>
      </c>
      <c r="D325" s="1186">
        <v>83</v>
      </c>
      <c r="E325" s="1186">
        <v>2</v>
      </c>
      <c r="F325" s="1186">
        <v>27</v>
      </c>
      <c r="G325" s="1186">
        <v>4</v>
      </c>
      <c r="H325" s="1186">
        <v>14</v>
      </c>
      <c r="I325" s="1186">
        <v>4</v>
      </c>
      <c r="J325" s="1186">
        <v>11</v>
      </c>
      <c r="K325" s="1186">
        <v>8</v>
      </c>
      <c r="L325" s="1186">
        <v>7</v>
      </c>
      <c r="M325" s="1186">
        <v>5</v>
      </c>
      <c r="N325" s="1186">
        <v>2</v>
      </c>
      <c r="O325" s="1186">
        <v>8</v>
      </c>
      <c r="P325" s="1186">
        <v>12</v>
      </c>
      <c r="Q325" s="1186">
        <v>139</v>
      </c>
      <c r="R325" s="1186">
        <v>3</v>
      </c>
      <c r="S325" s="1186">
        <v>36</v>
      </c>
      <c r="T325" s="1186">
        <v>0</v>
      </c>
      <c r="U325" s="1186">
        <v>0</v>
      </c>
      <c r="V325" s="1186">
        <v>23</v>
      </c>
      <c r="W325" s="1186">
        <v>3</v>
      </c>
      <c r="X325" s="1186">
        <v>182140</v>
      </c>
    </row>
    <row r="326" spans="1:24" x14ac:dyDescent="0.2">
      <c r="A326" s="1186" t="s">
        <v>1419</v>
      </c>
      <c r="B326" s="1186" t="s">
        <v>23</v>
      </c>
      <c r="C326" s="1186">
        <v>0</v>
      </c>
      <c r="D326" s="1186">
        <v>60</v>
      </c>
      <c r="E326" s="1186">
        <v>12</v>
      </c>
      <c r="F326" s="1186">
        <v>63</v>
      </c>
      <c r="G326" s="1186">
        <v>7</v>
      </c>
      <c r="H326" s="1186">
        <v>47</v>
      </c>
      <c r="I326" s="1186">
        <v>2</v>
      </c>
      <c r="J326" s="1186">
        <v>142</v>
      </c>
      <c r="K326" s="1186">
        <v>14</v>
      </c>
      <c r="L326" s="1186">
        <v>8</v>
      </c>
      <c r="M326" s="1186">
        <v>15</v>
      </c>
      <c r="N326" s="1186">
        <v>3</v>
      </c>
      <c r="O326" s="1186">
        <v>10</v>
      </c>
      <c r="P326" s="1186">
        <v>24</v>
      </c>
      <c r="Q326" s="1186">
        <v>143</v>
      </c>
      <c r="R326" s="1186">
        <v>12</v>
      </c>
      <c r="S326" s="1186">
        <v>33</v>
      </c>
      <c r="T326" s="1186">
        <v>0</v>
      </c>
      <c r="U326" s="1186">
        <v>1</v>
      </c>
      <c r="V326" s="1186">
        <v>23</v>
      </c>
      <c r="W326" s="1186">
        <v>4</v>
      </c>
      <c r="X326" s="1186">
        <v>228670</v>
      </c>
    </row>
    <row r="327" spans="1:24" x14ac:dyDescent="0.2">
      <c r="A327" s="1186" t="s">
        <v>1419</v>
      </c>
      <c r="B327" s="1186" t="s">
        <v>24</v>
      </c>
      <c r="C327" s="1186">
        <v>0</v>
      </c>
      <c r="D327" s="1186">
        <v>159</v>
      </c>
      <c r="E327" s="1186">
        <v>1</v>
      </c>
      <c r="F327" s="1186">
        <v>32</v>
      </c>
      <c r="G327" s="1186">
        <v>5</v>
      </c>
      <c r="H327" s="1186">
        <v>23</v>
      </c>
      <c r="I327" s="1186">
        <v>0</v>
      </c>
      <c r="J327" s="1186">
        <v>16</v>
      </c>
      <c r="K327" s="1186">
        <v>60</v>
      </c>
      <c r="L327" s="1186">
        <v>8</v>
      </c>
      <c r="M327" s="1186">
        <v>6</v>
      </c>
      <c r="N327" s="1186">
        <v>4</v>
      </c>
      <c r="O327" s="1186">
        <v>4</v>
      </c>
      <c r="P327" s="1186">
        <v>20</v>
      </c>
      <c r="Q327" s="1186">
        <v>87</v>
      </c>
      <c r="R327" s="1186">
        <v>8</v>
      </c>
      <c r="S327" s="1186">
        <v>14</v>
      </c>
      <c r="T327" s="1186">
        <v>0</v>
      </c>
      <c r="U327" s="1186">
        <v>0</v>
      </c>
      <c r="V327" s="1186">
        <v>56</v>
      </c>
      <c r="W327" s="1186">
        <v>5</v>
      </c>
      <c r="X327" s="1186">
        <v>261210</v>
      </c>
    </row>
    <row r="328" spans="1:24" x14ac:dyDescent="0.2">
      <c r="A328" s="1186" t="s">
        <v>1419</v>
      </c>
      <c r="B328" s="1186" t="s">
        <v>25</v>
      </c>
      <c r="C328" s="1186">
        <v>0</v>
      </c>
      <c r="D328" s="1186">
        <v>50</v>
      </c>
      <c r="E328" s="1186">
        <v>0</v>
      </c>
      <c r="F328" s="1186">
        <v>25</v>
      </c>
      <c r="G328" s="1186">
        <v>2</v>
      </c>
      <c r="H328" s="1186">
        <v>12</v>
      </c>
      <c r="I328" s="1186">
        <v>0</v>
      </c>
      <c r="J328" s="1186">
        <v>7</v>
      </c>
      <c r="K328" s="1186">
        <v>7</v>
      </c>
      <c r="L328" s="1186">
        <v>1</v>
      </c>
      <c r="M328" s="1186">
        <v>3</v>
      </c>
      <c r="N328" s="1186">
        <v>1</v>
      </c>
      <c r="O328" s="1186">
        <v>2</v>
      </c>
      <c r="P328" s="1186">
        <v>8</v>
      </c>
      <c r="Q328" s="1186">
        <v>96</v>
      </c>
      <c r="R328" s="1186">
        <v>12</v>
      </c>
      <c r="S328" s="1186">
        <v>12</v>
      </c>
      <c r="T328" s="1186">
        <v>0</v>
      </c>
      <c r="U328" s="1186">
        <v>1</v>
      </c>
      <c r="V328" s="1186">
        <v>19</v>
      </c>
      <c r="W328" s="1186">
        <v>6</v>
      </c>
      <c r="X328" s="1186">
        <v>116200</v>
      </c>
    </row>
    <row r="329" spans="1:24" x14ac:dyDescent="0.2">
      <c r="A329" s="1186" t="s">
        <v>1419</v>
      </c>
      <c r="B329" s="1186" t="s">
        <v>26</v>
      </c>
      <c r="C329" s="1186">
        <v>0</v>
      </c>
      <c r="D329" s="1186">
        <v>60</v>
      </c>
      <c r="E329" s="1186">
        <v>4</v>
      </c>
      <c r="F329" s="1186">
        <v>26</v>
      </c>
      <c r="G329" s="1186">
        <v>3</v>
      </c>
      <c r="H329" s="1186">
        <v>9</v>
      </c>
      <c r="I329" s="1186">
        <v>0</v>
      </c>
      <c r="J329" s="1186">
        <v>9</v>
      </c>
      <c r="K329" s="1186">
        <v>12</v>
      </c>
      <c r="L329" s="1186">
        <v>4</v>
      </c>
      <c r="M329" s="1186">
        <v>3</v>
      </c>
      <c r="N329" s="1186">
        <v>1</v>
      </c>
      <c r="O329" s="1186">
        <v>8</v>
      </c>
      <c r="P329" s="1186">
        <v>9</v>
      </c>
      <c r="Q329" s="1186">
        <v>31</v>
      </c>
      <c r="R329" s="1186">
        <v>13</v>
      </c>
      <c r="S329" s="1186">
        <v>27</v>
      </c>
      <c r="T329" s="1186">
        <v>0</v>
      </c>
      <c r="U329" s="1186">
        <v>1</v>
      </c>
      <c r="V329" s="1186">
        <v>72</v>
      </c>
      <c r="W329" s="1186">
        <v>1</v>
      </c>
      <c r="X329" s="1186">
        <v>85870</v>
      </c>
    </row>
    <row r="330" spans="1:24" x14ac:dyDescent="0.2">
      <c r="A330" s="1186" t="s">
        <v>1419</v>
      </c>
      <c r="B330" s="1186" t="s">
        <v>619</v>
      </c>
      <c r="C330" s="1186">
        <v>0</v>
      </c>
      <c r="D330" s="1186">
        <v>118</v>
      </c>
      <c r="E330" s="1186">
        <v>9</v>
      </c>
      <c r="F330" s="1186">
        <v>279</v>
      </c>
      <c r="G330" s="1186">
        <v>7</v>
      </c>
      <c r="H330" s="1186">
        <v>66</v>
      </c>
      <c r="I330" s="1186">
        <v>4</v>
      </c>
      <c r="J330" s="1186">
        <v>115</v>
      </c>
      <c r="K330" s="1186">
        <v>38</v>
      </c>
      <c r="L330" s="1186">
        <v>32</v>
      </c>
      <c r="M330" s="1186">
        <v>26</v>
      </c>
      <c r="N330" s="1186">
        <v>8</v>
      </c>
      <c r="O330" s="1186">
        <v>34</v>
      </c>
      <c r="P330" s="1186">
        <v>36</v>
      </c>
      <c r="Q330" s="1186">
        <v>489</v>
      </c>
      <c r="R330" s="1186">
        <v>33</v>
      </c>
      <c r="S330" s="1186">
        <v>109</v>
      </c>
      <c r="T330" s="1186">
        <v>1</v>
      </c>
      <c r="U330" s="1186">
        <v>1</v>
      </c>
      <c r="V330" s="1186">
        <v>67</v>
      </c>
      <c r="W330" s="1186">
        <v>9</v>
      </c>
      <c r="X330" s="1186">
        <v>524930</v>
      </c>
    </row>
    <row r="331" spans="1:24" x14ac:dyDescent="0.2">
      <c r="A331" s="1186" t="s">
        <v>1419</v>
      </c>
      <c r="B331" s="1186" t="s">
        <v>27</v>
      </c>
      <c r="C331" s="1186">
        <v>0</v>
      </c>
      <c r="D331" s="1186">
        <v>21</v>
      </c>
      <c r="E331" s="1186">
        <v>0</v>
      </c>
      <c r="F331" s="1186">
        <v>10</v>
      </c>
      <c r="G331" s="1186">
        <v>5</v>
      </c>
      <c r="H331" s="1186">
        <v>9</v>
      </c>
      <c r="I331" s="1186">
        <v>0</v>
      </c>
      <c r="J331" s="1186">
        <v>0</v>
      </c>
      <c r="K331" s="1186">
        <v>7</v>
      </c>
      <c r="L331" s="1186">
        <v>0</v>
      </c>
      <c r="M331" s="1186">
        <v>0</v>
      </c>
      <c r="N331" s="1186">
        <v>1</v>
      </c>
      <c r="O331" s="1186">
        <v>3</v>
      </c>
      <c r="P331" s="1186">
        <v>7</v>
      </c>
      <c r="Q331" s="1186">
        <v>53</v>
      </c>
      <c r="R331" s="1186">
        <v>1</v>
      </c>
      <c r="S331" s="1186">
        <v>2</v>
      </c>
      <c r="T331" s="1186">
        <v>0</v>
      </c>
      <c r="U331" s="1186">
        <v>0</v>
      </c>
      <c r="V331" s="1186">
        <v>9</v>
      </c>
      <c r="W331" s="1186">
        <v>1</v>
      </c>
      <c r="X331" s="1186">
        <v>51540</v>
      </c>
    </row>
    <row r="332" spans="1:24" x14ac:dyDescent="0.2">
      <c r="A332" s="1186" t="s">
        <v>1419</v>
      </c>
      <c r="B332" s="1186" t="s">
        <v>28</v>
      </c>
      <c r="C332" s="1186">
        <v>0</v>
      </c>
      <c r="D332" s="1186">
        <v>89</v>
      </c>
      <c r="E332" s="1186">
        <v>4</v>
      </c>
      <c r="F332" s="1186">
        <v>34</v>
      </c>
      <c r="G332" s="1186">
        <v>10</v>
      </c>
      <c r="H332" s="1186">
        <v>10</v>
      </c>
      <c r="I332" s="1186">
        <v>2</v>
      </c>
      <c r="J332" s="1186">
        <v>8</v>
      </c>
      <c r="K332" s="1186">
        <v>17</v>
      </c>
      <c r="L332" s="1186">
        <v>3</v>
      </c>
      <c r="M332" s="1186">
        <v>9</v>
      </c>
      <c r="N332" s="1186">
        <v>0</v>
      </c>
      <c r="O332" s="1186">
        <v>7</v>
      </c>
      <c r="P332" s="1186">
        <v>18</v>
      </c>
      <c r="Q332" s="1186">
        <v>69</v>
      </c>
      <c r="R332" s="1186">
        <v>9</v>
      </c>
      <c r="S332" s="1186">
        <v>10</v>
      </c>
      <c r="T332" s="1186">
        <v>0</v>
      </c>
      <c r="U332" s="1186">
        <v>0</v>
      </c>
      <c r="V332" s="1186">
        <v>32</v>
      </c>
      <c r="W332" s="1186">
        <v>2</v>
      </c>
      <c r="X332" s="1186">
        <v>148860</v>
      </c>
    </row>
    <row r="333" spans="1:24" x14ac:dyDescent="0.2">
      <c r="A333" s="1186" t="s">
        <v>1419</v>
      </c>
      <c r="B333" s="1186" t="s">
        <v>29</v>
      </c>
      <c r="C333" s="1186">
        <v>0</v>
      </c>
      <c r="D333" s="1186">
        <v>54</v>
      </c>
      <c r="E333" s="1186">
        <v>5</v>
      </c>
      <c r="F333" s="1186">
        <v>57</v>
      </c>
      <c r="G333" s="1186">
        <v>4</v>
      </c>
      <c r="H333" s="1186">
        <v>20</v>
      </c>
      <c r="I333" s="1186">
        <v>5</v>
      </c>
      <c r="J333" s="1186">
        <v>38</v>
      </c>
      <c r="K333" s="1186">
        <v>3</v>
      </c>
      <c r="L333" s="1186">
        <v>6</v>
      </c>
      <c r="M333" s="1186">
        <v>7</v>
      </c>
      <c r="N333" s="1186">
        <v>4</v>
      </c>
      <c r="O333" s="1186">
        <v>10</v>
      </c>
      <c r="P333" s="1186">
        <v>7</v>
      </c>
      <c r="Q333" s="1186">
        <v>155</v>
      </c>
      <c r="R333" s="1186">
        <v>25</v>
      </c>
      <c r="S333" s="1186">
        <v>17</v>
      </c>
      <c r="T333" s="1186">
        <v>0</v>
      </c>
      <c r="U333" s="1186">
        <v>0</v>
      </c>
      <c r="V333" s="1186">
        <v>26</v>
      </c>
      <c r="W333" s="1186">
        <v>7</v>
      </c>
      <c r="X333" s="1186">
        <v>149320</v>
      </c>
    </row>
    <row r="334" spans="1:24" x14ac:dyDescent="0.2">
      <c r="A334" s="1186" t="s">
        <v>1419</v>
      </c>
      <c r="B334" s="1186" t="s">
        <v>30</v>
      </c>
      <c r="C334" s="1186">
        <v>0</v>
      </c>
      <c r="D334" s="1186">
        <v>67</v>
      </c>
      <c r="E334" s="1186">
        <v>1</v>
      </c>
      <c r="F334" s="1186">
        <v>40</v>
      </c>
      <c r="G334" s="1186">
        <v>7</v>
      </c>
      <c r="H334" s="1186">
        <v>19</v>
      </c>
      <c r="I334" s="1186">
        <v>2</v>
      </c>
      <c r="J334" s="1186">
        <v>2</v>
      </c>
      <c r="K334" s="1186">
        <v>7</v>
      </c>
      <c r="L334" s="1186">
        <v>6</v>
      </c>
      <c r="M334" s="1186">
        <v>0</v>
      </c>
      <c r="N334" s="1186">
        <v>1</v>
      </c>
      <c r="O334" s="1186">
        <v>4</v>
      </c>
      <c r="P334" s="1186">
        <v>7</v>
      </c>
      <c r="Q334" s="1186">
        <v>53</v>
      </c>
      <c r="R334" s="1186">
        <v>3</v>
      </c>
      <c r="S334" s="1186">
        <v>26</v>
      </c>
      <c r="T334" s="1186">
        <v>1</v>
      </c>
      <c r="U334" s="1186">
        <v>0</v>
      </c>
      <c r="V334" s="1186">
        <v>22</v>
      </c>
      <c r="W334" s="1186">
        <v>2</v>
      </c>
      <c r="X334" s="1186">
        <v>122010</v>
      </c>
    </row>
    <row r="335" spans="1:24" x14ac:dyDescent="0.2">
      <c r="A335" s="1186" t="s">
        <v>1419</v>
      </c>
      <c r="B335" s="1186" t="s">
        <v>31</v>
      </c>
      <c r="C335" s="1186">
        <v>0</v>
      </c>
      <c r="D335" s="1186">
        <v>38</v>
      </c>
      <c r="E335" s="1186">
        <v>5</v>
      </c>
      <c r="F335" s="1186">
        <v>12</v>
      </c>
      <c r="G335" s="1186">
        <v>1</v>
      </c>
      <c r="H335" s="1186">
        <v>6</v>
      </c>
      <c r="I335" s="1186">
        <v>2</v>
      </c>
      <c r="J335" s="1186">
        <v>12</v>
      </c>
      <c r="K335" s="1186">
        <v>4</v>
      </c>
      <c r="L335" s="1186">
        <v>1</v>
      </c>
      <c r="M335" s="1186">
        <v>5</v>
      </c>
      <c r="N335" s="1186">
        <v>2</v>
      </c>
      <c r="O335" s="1186">
        <v>45</v>
      </c>
      <c r="P335" s="1186">
        <v>7</v>
      </c>
      <c r="Q335" s="1186">
        <v>42</v>
      </c>
      <c r="R335" s="1186">
        <v>2</v>
      </c>
      <c r="S335" s="1186">
        <v>23</v>
      </c>
      <c r="T335" s="1186">
        <v>0</v>
      </c>
      <c r="U335" s="1186">
        <v>0</v>
      </c>
      <c r="V335" s="1186">
        <v>26</v>
      </c>
      <c r="W335" s="1186">
        <v>2</v>
      </c>
      <c r="X335" s="1186">
        <v>108640</v>
      </c>
    </row>
    <row r="336" spans="1:24" x14ac:dyDescent="0.2">
      <c r="A336" s="1186" t="s">
        <v>1419</v>
      </c>
      <c r="B336" s="1186" t="s">
        <v>32</v>
      </c>
      <c r="C336" s="1186">
        <v>0</v>
      </c>
      <c r="D336" s="1186">
        <v>36</v>
      </c>
      <c r="E336" s="1186">
        <v>0</v>
      </c>
      <c r="F336" s="1186">
        <v>25</v>
      </c>
      <c r="G336" s="1186">
        <v>1</v>
      </c>
      <c r="H336" s="1186">
        <v>5</v>
      </c>
      <c r="I336" s="1186">
        <v>1</v>
      </c>
      <c r="J336" s="1186">
        <v>9</v>
      </c>
      <c r="K336" s="1186">
        <v>5</v>
      </c>
      <c r="L336" s="1186">
        <v>1</v>
      </c>
      <c r="M336" s="1186">
        <v>5</v>
      </c>
      <c r="N336" s="1186">
        <v>1</v>
      </c>
      <c r="O336" s="1186">
        <v>6</v>
      </c>
      <c r="P336" s="1186">
        <v>6</v>
      </c>
      <c r="Q336" s="1186">
        <v>69</v>
      </c>
      <c r="R336" s="1186">
        <v>6</v>
      </c>
      <c r="S336" s="1186">
        <v>16</v>
      </c>
      <c r="T336" s="1186">
        <v>0</v>
      </c>
      <c r="U336" s="1186">
        <v>0</v>
      </c>
      <c r="V336" s="1186">
        <v>13</v>
      </c>
      <c r="W336" s="1186">
        <v>1</v>
      </c>
      <c r="X336" s="1186">
        <v>107090</v>
      </c>
    </row>
    <row r="337" spans="1:24" x14ac:dyDescent="0.2">
      <c r="A337" s="1186" t="s">
        <v>1419</v>
      </c>
      <c r="B337" s="1186" t="s">
        <v>33</v>
      </c>
      <c r="C337" s="1186">
        <v>0</v>
      </c>
      <c r="D337" s="1186">
        <v>20</v>
      </c>
      <c r="E337" s="1186">
        <v>2</v>
      </c>
      <c r="F337" s="1186">
        <v>7</v>
      </c>
      <c r="G337" s="1186">
        <v>1</v>
      </c>
      <c r="H337" s="1186">
        <v>4</v>
      </c>
      <c r="I337" s="1186">
        <v>1</v>
      </c>
      <c r="J337" s="1186">
        <v>4</v>
      </c>
      <c r="K337" s="1186">
        <v>5</v>
      </c>
      <c r="L337" s="1186">
        <v>1</v>
      </c>
      <c r="M337" s="1186">
        <v>1</v>
      </c>
      <c r="N337" s="1186">
        <v>0</v>
      </c>
      <c r="O337" s="1186">
        <v>2</v>
      </c>
      <c r="P337" s="1186">
        <v>6</v>
      </c>
      <c r="Q337" s="1186">
        <v>43</v>
      </c>
      <c r="R337" s="1186">
        <v>3</v>
      </c>
      <c r="S337" s="1186">
        <v>12</v>
      </c>
      <c r="T337" s="1186">
        <v>0</v>
      </c>
      <c r="U337" s="1186">
        <v>0</v>
      </c>
      <c r="V337" s="1186">
        <v>13</v>
      </c>
      <c r="W337" s="1186">
        <v>0</v>
      </c>
      <c r="X337" s="1186">
        <v>95530</v>
      </c>
    </row>
    <row r="338" spans="1:24" x14ac:dyDescent="0.2">
      <c r="A338" s="1186" t="s">
        <v>1419</v>
      </c>
      <c r="B338" s="1186" t="s">
        <v>34</v>
      </c>
      <c r="C338" s="1186">
        <v>0</v>
      </c>
      <c r="D338" s="1186">
        <v>86</v>
      </c>
      <c r="E338" s="1186">
        <v>2</v>
      </c>
      <c r="F338" s="1186">
        <v>45</v>
      </c>
      <c r="G338" s="1186">
        <v>3</v>
      </c>
      <c r="H338" s="1186">
        <v>16</v>
      </c>
      <c r="I338" s="1186">
        <v>5</v>
      </c>
      <c r="J338" s="1186">
        <v>15</v>
      </c>
      <c r="K338" s="1186">
        <v>13</v>
      </c>
      <c r="L338" s="1186">
        <v>2</v>
      </c>
      <c r="M338" s="1186">
        <v>6</v>
      </c>
      <c r="N338" s="1186">
        <v>3</v>
      </c>
      <c r="O338" s="1186">
        <v>14</v>
      </c>
      <c r="P338" s="1186">
        <v>15</v>
      </c>
      <c r="Q338" s="1186">
        <v>138</v>
      </c>
      <c r="R338" s="1186">
        <v>9</v>
      </c>
      <c r="S338" s="1186">
        <v>19</v>
      </c>
      <c r="T338" s="1186">
        <v>0</v>
      </c>
      <c r="U338" s="1186">
        <v>1</v>
      </c>
      <c r="V338" s="1186">
        <v>22</v>
      </c>
      <c r="W338" s="1186">
        <v>0</v>
      </c>
      <c r="X338" s="1186">
        <v>160890</v>
      </c>
    </row>
    <row r="339" spans="1:24" x14ac:dyDescent="0.2">
      <c r="A339" s="1186" t="s">
        <v>1419</v>
      </c>
      <c r="B339" s="1186" t="s">
        <v>35</v>
      </c>
      <c r="C339" s="1186">
        <v>0</v>
      </c>
      <c r="D339" s="1186">
        <v>150</v>
      </c>
      <c r="E339" s="1186">
        <v>2</v>
      </c>
      <c r="F339" s="1186">
        <v>121</v>
      </c>
      <c r="G339" s="1186">
        <v>13</v>
      </c>
      <c r="H339" s="1186">
        <v>52</v>
      </c>
      <c r="I339" s="1186">
        <v>2</v>
      </c>
      <c r="J339" s="1186">
        <v>36</v>
      </c>
      <c r="K339" s="1186">
        <v>24</v>
      </c>
      <c r="L339" s="1186">
        <v>16</v>
      </c>
      <c r="M339" s="1186">
        <v>18</v>
      </c>
      <c r="N339" s="1186">
        <v>3</v>
      </c>
      <c r="O339" s="1186">
        <v>24</v>
      </c>
      <c r="P339" s="1186">
        <v>42</v>
      </c>
      <c r="Q339" s="1186">
        <v>363</v>
      </c>
      <c r="R339" s="1186">
        <v>14</v>
      </c>
      <c r="S339" s="1186">
        <v>25</v>
      </c>
      <c r="T339" s="1186">
        <v>0</v>
      </c>
      <c r="U339" s="1186">
        <v>0</v>
      </c>
      <c r="V339" s="1186">
        <v>43</v>
      </c>
      <c r="W339" s="1186">
        <v>5</v>
      </c>
      <c r="X339" s="1186">
        <v>373550</v>
      </c>
    </row>
    <row r="340" spans="1:24" x14ac:dyDescent="0.2">
      <c r="A340" s="1186" t="s">
        <v>1419</v>
      </c>
      <c r="B340" s="1186" t="s">
        <v>36</v>
      </c>
      <c r="C340" s="1186">
        <v>0</v>
      </c>
      <c r="D340" s="1186">
        <v>210</v>
      </c>
      <c r="E340" s="1186">
        <v>16</v>
      </c>
      <c r="F340" s="1186">
        <v>286</v>
      </c>
      <c r="G340" s="1186">
        <v>50</v>
      </c>
      <c r="H340" s="1186">
        <v>74</v>
      </c>
      <c r="I340" s="1186">
        <v>17</v>
      </c>
      <c r="J340" s="1186">
        <v>147</v>
      </c>
      <c r="K340" s="1186">
        <v>78</v>
      </c>
      <c r="L340" s="1186">
        <v>48</v>
      </c>
      <c r="M340" s="1186">
        <v>13</v>
      </c>
      <c r="N340" s="1186">
        <v>7</v>
      </c>
      <c r="O340" s="1186">
        <v>48</v>
      </c>
      <c r="P340" s="1186">
        <v>42</v>
      </c>
      <c r="Q340" s="1186">
        <v>704</v>
      </c>
      <c r="R340" s="1186">
        <v>38</v>
      </c>
      <c r="S340" s="1186">
        <v>288</v>
      </c>
      <c r="T340" s="1186">
        <v>2</v>
      </c>
      <c r="U340" s="1186">
        <v>2</v>
      </c>
      <c r="V340" s="1186">
        <v>237</v>
      </c>
      <c r="W340" s="1186">
        <v>35</v>
      </c>
      <c r="X340" s="1186">
        <v>633120</v>
      </c>
    </row>
    <row r="341" spans="1:24" x14ac:dyDescent="0.2">
      <c r="A341" s="1186" t="s">
        <v>1419</v>
      </c>
      <c r="B341" s="1186" t="s">
        <v>37</v>
      </c>
      <c r="C341" s="1186">
        <v>0</v>
      </c>
      <c r="D341" s="1186">
        <v>211</v>
      </c>
      <c r="E341" s="1186">
        <v>4</v>
      </c>
      <c r="F341" s="1186">
        <v>60</v>
      </c>
      <c r="G341" s="1186">
        <v>13</v>
      </c>
      <c r="H341" s="1186">
        <v>19</v>
      </c>
      <c r="I341" s="1186">
        <v>2</v>
      </c>
      <c r="J341" s="1186">
        <v>13</v>
      </c>
      <c r="K341" s="1186">
        <v>12</v>
      </c>
      <c r="L341" s="1186">
        <v>9</v>
      </c>
      <c r="M341" s="1186">
        <v>11</v>
      </c>
      <c r="N341" s="1186">
        <v>0</v>
      </c>
      <c r="O341" s="1186">
        <v>7</v>
      </c>
      <c r="P341" s="1186">
        <v>28</v>
      </c>
      <c r="Q341" s="1186">
        <v>105</v>
      </c>
      <c r="R341" s="1186">
        <v>11</v>
      </c>
      <c r="S341" s="1186">
        <v>21</v>
      </c>
      <c r="T341" s="1186">
        <v>0</v>
      </c>
      <c r="U341" s="1186">
        <v>3</v>
      </c>
      <c r="V341" s="1186">
        <v>88</v>
      </c>
      <c r="W341" s="1186">
        <v>8</v>
      </c>
      <c r="X341" s="1186">
        <v>235830</v>
      </c>
    </row>
    <row r="342" spans="1:24" x14ac:dyDescent="0.2">
      <c r="A342" s="1186" t="s">
        <v>1419</v>
      </c>
      <c r="B342" s="1186" t="s">
        <v>38</v>
      </c>
      <c r="C342" s="1186">
        <v>0</v>
      </c>
      <c r="D342" s="1186">
        <v>28</v>
      </c>
      <c r="E342" s="1186">
        <v>0</v>
      </c>
      <c r="F342" s="1186">
        <v>25</v>
      </c>
      <c r="G342" s="1186">
        <v>3</v>
      </c>
      <c r="H342" s="1186">
        <v>13</v>
      </c>
      <c r="I342" s="1186">
        <v>1</v>
      </c>
      <c r="J342" s="1186">
        <v>10</v>
      </c>
      <c r="K342" s="1186">
        <v>8</v>
      </c>
      <c r="L342" s="1186">
        <v>3</v>
      </c>
      <c r="M342" s="1186">
        <v>3</v>
      </c>
      <c r="N342" s="1186">
        <v>1</v>
      </c>
      <c r="O342" s="1186">
        <v>9</v>
      </c>
      <c r="P342" s="1186">
        <v>7</v>
      </c>
      <c r="Q342" s="1186">
        <v>75</v>
      </c>
      <c r="R342" s="1186">
        <v>4</v>
      </c>
      <c r="S342" s="1186">
        <v>14</v>
      </c>
      <c r="T342" s="1186">
        <v>0</v>
      </c>
      <c r="U342" s="1186">
        <v>0</v>
      </c>
      <c r="V342" s="1186">
        <v>27</v>
      </c>
      <c r="W342" s="1186">
        <v>4</v>
      </c>
      <c r="X342" s="1186">
        <v>77800</v>
      </c>
    </row>
    <row r="343" spans="1:24" x14ac:dyDescent="0.2">
      <c r="A343" s="1186" t="s">
        <v>1419</v>
      </c>
      <c r="B343" s="1186" t="s">
        <v>39</v>
      </c>
      <c r="C343" s="1186">
        <v>0</v>
      </c>
      <c r="D343" s="1186">
        <v>37</v>
      </c>
      <c r="E343" s="1186">
        <v>1</v>
      </c>
      <c r="F343" s="1186">
        <v>10</v>
      </c>
      <c r="G343" s="1186">
        <v>3</v>
      </c>
      <c r="H343" s="1186">
        <v>7</v>
      </c>
      <c r="I343" s="1186">
        <v>0</v>
      </c>
      <c r="J343" s="1186">
        <v>6</v>
      </c>
      <c r="K343" s="1186">
        <v>4</v>
      </c>
      <c r="L343" s="1186">
        <v>2</v>
      </c>
      <c r="M343" s="1186">
        <v>2</v>
      </c>
      <c r="N343" s="1186">
        <v>2</v>
      </c>
      <c r="O343" s="1186">
        <v>4</v>
      </c>
      <c r="P343" s="1186">
        <v>16</v>
      </c>
      <c r="Q343" s="1186">
        <v>61</v>
      </c>
      <c r="R343" s="1186">
        <v>4</v>
      </c>
      <c r="S343" s="1186">
        <v>10</v>
      </c>
      <c r="T343" s="1186">
        <v>0</v>
      </c>
      <c r="U343" s="1186">
        <v>0</v>
      </c>
      <c r="V343" s="1186">
        <v>15</v>
      </c>
      <c r="W343" s="1186">
        <v>2</v>
      </c>
      <c r="X343" s="1186">
        <v>92460</v>
      </c>
    </row>
    <row r="344" spans="1:24" x14ac:dyDescent="0.2">
      <c r="A344" s="1186" t="s">
        <v>1419</v>
      </c>
      <c r="B344" s="1186" t="s">
        <v>40</v>
      </c>
      <c r="C344" s="1186">
        <v>0</v>
      </c>
      <c r="D344" s="1186">
        <v>51</v>
      </c>
      <c r="E344" s="1186">
        <v>0</v>
      </c>
      <c r="F344" s="1186">
        <v>15</v>
      </c>
      <c r="G344" s="1186">
        <v>7</v>
      </c>
      <c r="H344" s="1186">
        <v>10</v>
      </c>
      <c r="I344" s="1186">
        <v>1</v>
      </c>
      <c r="J344" s="1186">
        <v>5</v>
      </c>
      <c r="K344" s="1186">
        <v>6</v>
      </c>
      <c r="L344" s="1186">
        <v>2</v>
      </c>
      <c r="M344" s="1186">
        <v>4</v>
      </c>
      <c r="N344" s="1186">
        <v>1</v>
      </c>
      <c r="O344" s="1186">
        <v>1</v>
      </c>
      <c r="P344" s="1186">
        <v>7</v>
      </c>
      <c r="Q344" s="1186">
        <v>49</v>
      </c>
      <c r="R344" s="1186">
        <v>5</v>
      </c>
      <c r="S344" s="1186">
        <v>5</v>
      </c>
      <c r="T344" s="1186">
        <v>0</v>
      </c>
      <c r="U344" s="1186">
        <v>0</v>
      </c>
      <c r="V344" s="1186">
        <v>28</v>
      </c>
      <c r="W344" s="1186">
        <v>5</v>
      </c>
      <c r="X344" s="1186">
        <v>95820</v>
      </c>
    </row>
    <row r="345" spans="1:24" x14ac:dyDescent="0.2">
      <c r="A345" s="1186" t="s">
        <v>1419</v>
      </c>
      <c r="B345" s="1186" t="s">
        <v>295</v>
      </c>
      <c r="C345" s="1186">
        <v>0</v>
      </c>
      <c r="D345" s="1186">
        <v>14</v>
      </c>
      <c r="E345" s="1186">
        <v>2</v>
      </c>
      <c r="F345" s="1186">
        <v>2</v>
      </c>
      <c r="G345" s="1186">
        <v>0</v>
      </c>
      <c r="H345" s="1186">
        <v>5</v>
      </c>
      <c r="I345" s="1186">
        <v>0</v>
      </c>
      <c r="J345" s="1186">
        <v>1</v>
      </c>
      <c r="K345" s="1186">
        <v>0</v>
      </c>
      <c r="L345" s="1186">
        <v>0</v>
      </c>
      <c r="M345" s="1186">
        <v>2</v>
      </c>
      <c r="N345" s="1186">
        <v>0</v>
      </c>
      <c r="O345" s="1186">
        <v>0</v>
      </c>
      <c r="P345" s="1186">
        <v>9</v>
      </c>
      <c r="Q345" s="1186">
        <v>7</v>
      </c>
      <c r="R345" s="1186">
        <v>0</v>
      </c>
      <c r="S345" s="1186">
        <v>3</v>
      </c>
      <c r="T345" s="1186">
        <v>0</v>
      </c>
      <c r="U345" s="1186">
        <v>3</v>
      </c>
      <c r="V345" s="1186">
        <v>10</v>
      </c>
      <c r="W345" s="1186">
        <v>0</v>
      </c>
      <c r="X345" s="1186">
        <v>26720</v>
      </c>
    </row>
    <row r="346" spans="1:24" x14ac:dyDescent="0.2">
      <c r="A346" s="1186" t="s">
        <v>1419</v>
      </c>
      <c r="B346" s="1186" t="s">
        <v>41</v>
      </c>
      <c r="C346" s="1186">
        <v>0</v>
      </c>
      <c r="D346" s="1186">
        <v>43</v>
      </c>
      <c r="E346" s="1186">
        <v>0</v>
      </c>
      <c r="F346" s="1186">
        <v>36</v>
      </c>
      <c r="G346" s="1186">
        <v>3</v>
      </c>
      <c r="H346" s="1186">
        <v>20</v>
      </c>
      <c r="I346" s="1186">
        <v>5</v>
      </c>
      <c r="J346" s="1186">
        <v>19</v>
      </c>
      <c r="K346" s="1186">
        <v>12</v>
      </c>
      <c r="L346" s="1186">
        <v>3</v>
      </c>
      <c r="M346" s="1186">
        <v>1</v>
      </c>
      <c r="N346" s="1186">
        <v>8</v>
      </c>
      <c r="O346" s="1186">
        <v>7</v>
      </c>
      <c r="P346" s="1186">
        <v>9</v>
      </c>
      <c r="Q346" s="1186">
        <v>116</v>
      </c>
      <c r="R346" s="1186">
        <v>8</v>
      </c>
      <c r="S346" s="1186">
        <v>38</v>
      </c>
      <c r="T346" s="1186">
        <v>0</v>
      </c>
      <c r="U346" s="1186">
        <v>0</v>
      </c>
      <c r="V346" s="1186">
        <v>48</v>
      </c>
      <c r="W346" s="1186">
        <v>6</v>
      </c>
      <c r="X346" s="1186">
        <v>134740</v>
      </c>
    </row>
    <row r="347" spans="1:24" x14ac:dyDescent="0.2">
      <c r="A347" s="1186" t="s">
        <v>1419</v>
      </c>
      <c r="B347" s="1186" t="s">
        <v>42</v>
      </c>
      <c r="C347" s="1186">
        <v>0</v>
      </c>
      <c r="D347" s="1186">
        <v>121</v>
      </c>
      <c r="E347" s="1186">
        <v>6</v>
      </c>
      <c r="F347" s="1186">
        <v>65</v>
      </c>
      <c r="G347" s="1186">
        <v>4</v>
      </c>
      <c r="H347" s="1186">
        <v>27</v>
      </c>
      <c r="I347" s="1186">
        <v>9</v>
      </c>
      <c r="J347" s="1186">
        <v>17</v>
      </c>
      <c r="K347" s="1186">
        <v>34</v>
      </c>
      <c r="L347" s="1186">
        <v>11</v>
      </c>
      <c r="M347" s="1186">
        <v>6</v>
      </c>
      <c r="N347" s="1186">
        <v>5</v>
      </c>
      <c r="O347" s="1186">
        <v>30</v>
      </c>
      <c r="P347" s="1186">
        <v>18</v>
      </c>
      <c r="Q347" s="1186">
        <v>195</v>
      </c>
      <c r="R347" s="1186">
        <v>16</v>
      </c>
      <c r="S347" s="1186">
        <v>85</v>
      </c>
      <c r="T347" s="1186">
        <v>0</v>
      </c>
      <c r="U347" s="1186">
        <v>0</v>
      </c>
      <c r="V347" s="1186">
        <v>82</v>
      </c>
      <c r="W347" s="1186">
        <v>11</v>
      </c>
      <c r="X347" s="1186">
        <v>341370</v>
      </c>
    </row>
    <row r="348" spans="1:24" x14ac:dyDescent="0.2">
      <c r="A348" s="1186" t="s">
        <v>1419</v>
      </c>
      <c r="B348" s="1186" t="s">
        <v>43</v>
      </c>
      <c r="C348" s="1186">
        <v>0</v>
      </c>
      <c r="D348" s="1186">
        <v>9</v>
      </c>
      <c r="E348" s="1186">
        <v>2</v>
      </c>
      <c r="F348" s="1186">
        <v>0</v>
      </c>
      <c r="G348" s="1186">
        <v>0</v>
      </c>
      <c r="H348" s="1186">
        <v>1</v>
      </c>
      <c r="I348" s="1186">
        <v>0</v>
      </c>
      <c r="J348" s="1186">
        <v>0</v>
      </c>
      <c r="K348" s="1186">
        <v>1</v>
      </c>
      <c r="L348" s="1186">
        <v>0</v>
      </c>
      <c r="M348" s="1186">
        <v>1</v>
      </c>
      <c r="N348" s="1186">
        <v>0</v>
      </c>
      <c r="O348" s="1186">
        <v>0</v>
      </c>
      <c r="P348" s="1186">
        <v>3</v>
      </c>
      <c r="Q348" s="1186">
        <v>3</v>
      </c>
      <c r="R348" s="1186">
        <v>0</v>
      </c>
      <c r="S348" s="1186">
        <v>0</v>
      </c>
      <c r="T348" s="1186">
        <v>0</v>
      </c>
      <c r="U348" s="1186">
        <v>0</v>
      </c>
      <c r="V348" s="1186">
        <v>9</v>
      </c>
      <c r="W348" s="1186">
        <v>0</v>
      </c>
      <c r="X348" s="1186">
        <v>22270</v>
      </c>
    </row>
    <row r="349" spans="1:24" x14ac:dyDescent="0.2">
      <c r="A349" s="1186" t="s">
        <v>1419</v>
      </c>
      <c r="B349" s="1186" t="s">
        <v>44</v>
      </c>
      <c r="C349" s="1186">
        <v>0</v>
      </c>
      <c r="D349" s="1186">
        <v>88</v>
      </c>
      <c r="E349" s="1186">
        <v>2</v>
      </c>
      <c r="F349" s="1186">
        <v>35</v>
      </c>
      <c r="G349" s="1186">
        <v>24</v>
      </c>
      <c r="H349" s="1186">
        <v>13</v>
      </c>
      <c r="I349" s="1186">
        <v>0</v>
      </c>
      <c r="J349" s="1186">
        <v>12</v>
      </c>
      <c r="K349" s="1186">
        <v>13</v>
      </c>
      <c r="L349" s="1186">
        <v>8</v>
      </c>
      <c r="M349" s="1186">
        <v>1</v>
      </c>
      <c r="N349" s="1186">
        <v>3</v>
      </c>
      <c r="O349" s="1186">
        <v>3</v>
      </c>
      <c r="P349" s="1186">
        <v>13</v>
      </c>
      <c r="Q349" s="1186">
        <v>79</v>
      </c>
      <c r="R349" s="1186">
        <v>22</v>
      </c>
      <c r="S349" s="1186">
        <v>12</v>
      </c>
      <c r="T349" s="1186">
        <v>0</v>
      </c>
      <c r="U349" s="1186">
        <v>0</v>
      </c>
      <c r="V349" s="1186">
        <v>22</v>
      </c>
      <c r="W349" s="1186">
        <v>1</v>
      </c>
      <c r="X349" s="1186">
        <v>151950</v>
      </c>
    </row>
    <row r="350" spans="1:24" x14ac:dyDescent="0.2">
      <c r="A350" s="1186" t="s">
        <v>1419</v>
      </c>
      <c r="B350" s="1186" t="s">
        <v>45</v>
      </c>
      <c r="C350" s="1186">
        <v>0</v>
      </c>
      <c r="D350" s="1186">
        <v>71</v>
      </c>
      <c r="E350" s="1186">
        <v>9</v>
      </c>
      <c r="F350" s="1186">
        <v>57</v>
      </c>
      <c r="G350" s="1186">
        <v>4</v>
      </c>
      <c r="H350" s="1186">
        <v>12</v>
      </c>
      <c r="I350" s="1186">
        <v>5</v>
      </c>
      <c r="J350" s="1186">
        <v>19</v>
      </c>
      <c r="K350" s="1186">
        <v>12</v>
      </c>
      <c r="L350" s="1186">
        <v>8</v>
      </c>
      <c r="M350" s="1186">
        <v>3</v>
      </c>
      <c r="N350" s="1186">
        <v>3</v>
      </c>
      <c r="O350" s="1186">
        <v>11</v>
      </c>
      <c r="P350" s="1186">
        <v>9</v>
      </c>
      <c r="Q350" s="1186">
        <v>131</v>
      </c>
      <c r="R350" s="1186">
        <v>10</v>
      </c>
      <c r="S350" s="1186">
        <v>80</v>
      </c>
      <c r="T350" s="1186">
        <v>0</v>
      </c>
      <c r="U350" s="1186">
        <v>6</v>
      </c>
      <c r="V350" s="1186">
        <v>53</v>
      </c>
      <c r="W350" s="1186">
        <v>8</v>
      </c>
      <c r="X350" s="1186">
        <v>179100</v>
      </c>
    </row>
    <row r="351" spans="1:24" x14ac:dyDescent="0.2">
      <c r="A351" s="1186" t="s">
        <v>1419</v>
      </c>
      <c r="B351" s="1186" t="s">
        <v>46</v>
      </c>
      <c r="C351" s="1186">
        <v>0</v>
      </c>
      <c r="D351" s="1186">
        <v>99</v>
      </c>
      <c r="E351" s="1186">
        <v>3</v>
      </c>
      <c r="F351" s="1186">
        <v>56</v>
      </c>
      <c r="G351" s="1186">
        <v>6</v>
      </c>
      <c r="H351" s="1186">
        <v>17</v>
      </c>
      <c r="I351" s="1186">
        <v>5</v>
      </c>
      <c r="J351" s="1186">
        <v>10</v>
      </c>
      <c r="K351" s="1186">
        <v>14</v>
      </c>
      <c r="L351" s="1186">
        <v>5</v>
      </c>
      <c r="M351" s="1186">
        <v>13</v>
      </c>
      <c r="N351" s="1186">
        <v>1</v>
      </c>
      <c r="O351" s="1186">
        <v>5</v>
      </c>
      <c r="P351" s="1186">
        <v>18</v>
      </c>
      <c r="Q351" s="1186">
        <v>89</v>
      </c>
      <c r="R351" s="1186">
        <v>9</v>
      </c>
      <c r="S351" s="1186">
        <v>14</v>
      </c>
      <c r="T351" s="1186">
        <v>0</v>
      </c>
      <c r="U351" s="1186">
        <v>1</v>
      </c>
      <c r="V351" s="1186">
        <v>32</v>
      </c>
      <c r="W351" s="1186">
        <v>2</v>
      </c>
      <c r="X351" s="1186">
        <v>115510</v>
      </c>
    </row>
    <row r="352" spans="1:24" x14ac:dyDescent="0.2">
      <c r="A352" s="1186" t="s">
        <v>1419</v>
      </c>
      <c r="B352" s="1186" t="s">
        <v>47</v>
      </c>
      <c r="C352" s="1186">
        <v>0</v>
      </c>
      <c r="D352" s="1186">
        <v>6</v>
      </c>
      <c r="E352" s="1186">
        <v>3</v>
      </c>
      <c r="F352" s="1186">
        <v>2</v>
      </c>
      <c r="G352" s="1186">
        <v>0</v>
      </c>
      <c r="H352" s="1186">
        <v>0</v>
      </c>
      <c r="I352" s="1186">
        <v>1</v>
      </c>
      <c r="J352" s="1186">
        <v>0</v>
      </c>
      <c r="K352" s="1186">
        <v>1</v>
      </c>
      <c r="L352" s="1186">
        <v>1</v>
      </c>
      <c r="M352" s="1186">
        <v>0</v>
      </c>
      <c r="N352" s="1186">
        <v>0</v>
      </c>
      <c r="O352" s="1186">
        <v>2</v>
      </c>
      <c r="P352" s="1186">
        <v>0</v>
      </c>
      <c r="Q352" s="1186">
        <v>2</v>
      </c>
      <c r="R352" s="1186">
        <v>0</v>
      </c>
      <c r="S352" s="1186">
        <v>5</v>
      </c>
      <c r="T352" s="1186">
        <v>0</v>
      </c>
      <c r="U352" s="1186">
        <v>1</v>
      </c>
      <c r="V352" s="1186">
        <v>6</v>
      </c>
      <c r="W352" s="1186">
        <v>0</v>
      </c>
      <c r="X352" s="1186">
        <v>22920</v>
      </c>
    </row>
    <row r="353" spans="1:24" x14ac:dyDescent="0.2">
      <c r="A353" s="1186" t="s">
        <v>1419</v>
      </c>
      <c r="B353" s="1186" t="s">
        <v>48</v>
      </c>
      <c r="C353" s="1186">
        <v>0</v>
      </c>
      <c r="D353" s="1186">
        <v>56</v>
      </c>
      <c r="E353" s="1186">
        <v>2</v>
      </c>
      <c r="F353" s="1186">
        <v>31</v>
      </c>
      <c r="G353" s="1186">
        <v>5</v>
      </c>
      <c r="H353" s="1186">
        <v>15</v>
      </c>
      <c r="I353" s="1186">
        <v>2</v>
      </c>
      <c r="J353" s="1186">
        <v>19</v>
      </c>
      <c r="K353" s="1186">
        <v>15</v>
      </c>
      <c r="L353" s="1186">
        <v>6</v>
      </c>
      <c r="M353" s="1186">
        <v>3</v>
      </c>
      <c r="N353" s="1186">
        <v>1</v>
      </c>
      <c r="O353" s="1186">
        <v>6</v>
      </c>
      <c r="P353" s="1186">
        <v>13</v>
      </c>
      <c r="Q353" s="1186">
        <v>74</v>
      </c>
      <c r="R353" s="1186">
        <v>7</v>
      </c>
      <c r="S353" s="1186">
        <v>43</v>
      </c>
      <c r="T353" s="1186">
        <v>0</v>
      </c>
      <c r="U353" s="1186">
        <v>2</v>
      </c>
      <c r="V353" s="1186">
        <v>26</v>
      </c>
      <c r="W353" s="1186">
        <v>9</v>
      </c>
      <c r="X353" s="1186">
        <v>112610</v>
      </c>
    </row>
    <row r="354" spans="1:24" x14ac:dyDescent="0.2">
      <c r="A354" s="1186" t="s">
        <v>1419</v>
      </c>
      <c r="B354" s="1186" t="s">
        <v>49</v>
      </c>
      <c r="C354" s="1186">
        <v>0</v>
      </c>
      <c r="D354" s="1186">
        <v>151</v>
      </c>
      <c r="E354" s="1186">
        <v>9</v>
      </c>
      <c r="F354" s="1186">
        <v>78</v>
      </c>
      <c r="G354" s="1186">
        <v>11</v>
      </c>
      <c r="H354" s="1186">
        <v>26</v>
      </c>
      <c r="I354" s="1186">
        <v>5</v>
      </c>
      <c r="J354" s="1186">
        <v>29</v>
      </c>
      <c r="K354" s="1186">
        <v>31</v>
      </c>
      <c r="L354" s="1186">
        <v>13</v>
      </c>
      <c r="M354" s="1186">
        <v>9</v>
      </c>
      <c r="N354" s="1186">
        <v>5</v>
      </c>
      <c r="O354" s="1186">
        <v>13</v>
      </c>
      <c r="P354" s="1186">
        <v>14</v>
      </c>
      <c r="Q354" s="1186">
        <v>184</v>
      </c>
      <c r="R354" s="1186">
        <v>13</v>
      </c>
      <c r="S354" s="1186">
        <v>95</v>
      </c>
      <c r="T354" s="1186">
        <v>0</v>
      </c>
      <c r="U354" s="1186">
        <v>1</v>
      </c>
      <c r="V354" s="1186">
        <v>66</v>
      </c>
      <c r="W354" s="1186">
        <v>14</v>
      </c>
      <c r="X354" s="1186">
        <v>320530</v>
      </c>
    </row>
    <row r="355" spans="1:24" x14ac:dyDescent="0.2">
      <c r="A355" s="1186" t="s">
        <v>1419</v>
      </c>
      <c r="B355" s="1186" t="s">
        <v>50</v>
      </c>
      <c r="C355" s="1186">
        <v>0</v>
      </c>
      <c r="D355" s="1186">
        <v>56</v>
      </c>
      <c r="E355" s="1186">
        <v>0</v>
      </c>
      <c r="F355" s="1186">
        <v>39</v>
      </c>
      <c r="G355" s="1186">
        <v>12</v>
      </c>
      <c r="H355" s="1186">
        <v>15</v>
      </c>
      <c r="I355" s="1186">
        <v>2</v>
      </c>
      <c r="J355" s="1186">
        <v>11</v>
      </c>
      <c r="K355" s="1186">
        <v>8</v>
      </c>
      <c r="L355" s="1186">
        <v>4</v>
      </c>
      <c r="M355" s="1186">
        <v>1</v>
      </c>
      <c r="N355" s="1186">
        <v>0</v>
      </c>
      <c r="O355" s="1186">
        <v>6</v>
      </c>
      <c r="P355" s="1186">
        <v>11</v>
      </c>
      <c r="Q355" s="1186">
        <v>63</v>
      </c>
      <c r="R355" s="1186">
        <v>2</v>
      </c>
      <c r="S355" s="1186">
        <v>10</v>
      </c>
      <c r="T355" s="1186">
        <v>0</v>
      </c>
      <c r="U355" s="1186">
        <v>0</v>
      </c>
      <c r="V355" s="1186">
        <v>14</v>
      </c>
      <c r="W355" s="1186">
        <v>2</v>
      </c>
      <c r="X355" s="1186">
        <v>94210</v>
      </c>
    </row>
    <row r="356" spans="1:24" x14ac:dyDescent="0.2">
      <c r="A356" s="1186" t="s">
        <v>1419</v>
      </c>
      <c r="B356" s="1186" t="s">
        <v>51</v>
      </c>
      <c r="C356" s="1186">
        <v>0</v>
      </c>
      <c r="D356" s="1186">
        <v>25</v>
      </c>
      <c r="E356" s="1186">
        <v>1</v>
      </c>
      <c r="F356" s="1186">
        <v>27</v>
      </c>
      <c r="G356" s="1186">
        <v>2</v>
      </c>
      <c r="H356" s="1186">
        <v>7</v>
      </c>
      <c r="I356" s="1186">
        <v>0</v>
      </c>
      <c r="J356" s="1186">
        <v>13</v>
      </c>
      <c r="K356" s="1186">
        <v>14</v>
      </c>
      <c r="L356" s="1186">
        <v>8</v>
      </c>
      <c r="M356" s="1186">
        <v>2</v>
      </c>
      <c r="N356" s="1186">
        <v>1</v>
      </c>
      <c r="O356" s="1186">
        <v>5</v>
      </c>
      <c r="P356" s="1186">
        <v>5</v>
      </c>
      <c r="Q356" s="1186">
        <v>67</v>
      </c>
      <c r="R356" s="1186">
        <v>3</v>
      </c>
      <c r="S356" s="1186">
        <v>33</v>
      </c>
      <c r="T356" s="1186">
        <v>0</v>
      </c>
      <c r="U356" s="1186">
        <v>0</v>
      </c>
      <c r="V356" s="1186">
        <v>29</v>
      </c>
      <c r="W356" s="1186">
        <v>3</v>
      </c>
      <c r="X356" s="1186">
        <v>88930</v>
      </c>
    </row>
    <row r="357" spans="1:24" x14ac:dyDescent="0.2">
      <c r="A357" s="1186" t="s">
        <v>1419</v>
      </c>
      <c r="B357" s="1186" t="s">
        <v>52</v>
      </c>
      <c r="C357" s="1186">
        <v>0</v>
      </c>
      <c r="D357" s="1186">
        <v>87</v>
      </c>
      <c r="E357" s="1186">
        <v>0</v>
      </c>
      <c r="F357" s="1186">
        <v>27</v>
      </c>
      <c r="G357" s="1186">
        <v>2</v>
      </c>
      <c r="H357" s="1186">
        <v>20</v>
      </c>
      <c r="I357" s="1186">
        <v>1</v>
      </c>
      <c r="J357" s="1186">
        <v>4</v>
      </c>
      <c r="K357" s="1186">
        <v>5</v>
      </c>
      <c r="L357" s="1186">
        <v>2</v>
      </c>
      <c r="M357" s="1186">
        <v>8</v>
      </c>
      <c r="N357" s="1186">
        <v>1</v>
      </c>
      <c r="O357" s="1186">
        <v>14</v>
      </c>
      <c r="P357" s="1186">
        <v>13</v>
      </c>
      <c r="Q357" s="1186">
        <v>157</v>
      </c>
      <c r="R357" s="1186">
        <v>8</v>
      </c>
      <c r="S357" s="1186">
        <v>38</v>
      </c>
      <c r="T357" s="1186">
        <v>0</v>
      </c>
      <c r="U357" s="1186">
        <v>1</v>
      </c>
      <c r="V357" s="1186">
        <v>24</v>
      </c>
      <c r="W357" s="1186">
        <v>5</v>
      </c>
      <c r="X357" s="1186">
        <v>183100</v>
      </c>
    </row>
    <row r="358" spans="1:24" x14ac:dyDescent="0.2">
      <c r="A358" s="1186" t="s">
        <v>1419</v>
      </c>
      <c r="B358" s="1186" t="s">
        <v>1521</v>
      </c>
      <c r="C358" s="1186">
        <v>0</v>
      </c>
      <c r="D358" s="1186">
        <v>1</v>
      </c>
      <c r="E358" s="1186">
        <v>0</v>
      </c>
      <c r="F358" s="1186">
        <v>0</v>
      </c>
      <c r="G358" s="1186">
        <v>0</v>
      </c>
      <c r="H358" s="1186">
        <v>0</v>
      </c>
      <c r="I358" s="1186">
        <v>0</v>
      </c>
      <c r="J358" s="1186">
        <v>0</v>
      </c>
      <c r="K358" s="1186">
        <v>0</v>
      </c>
      <c r="L358" s="1186">
        <v>0</v>
      </c>
      <c r="M358" s="1186">
        <v>0</v>
      </c>
      <c r="N358" s="1186">
        <v>0</v>
      </c>
      <c r="O358" s="1186">
        <v>0</v>
      </c>
      <c r="P358" s="1186">
        <v>0</v>
      </c>
      <c r="Q358" s="1186">
        <v>0</v>
      </c>
      <c r="R358" s="1186">
        <v>0</v>
      </c>
      <c r="S358" s="1186">
        <v>0</v>
      </c>
      <c r="T358" s="1186">
        <v>0</v>
      </c>
      <c r="U358" s="1186">
        <v>0</v>
      </c>
      <c r="V358" s="1186">
        <v>0</v>
      </c>
      <c r="W358" s="1186">
        <v>0</v>
      </c>
      <c r="X358" s="1186"/>
    </row>
    <row r="359" spans="1:24" x14ac:dyDescent="0.2">
      <c r="A359" s="1186" t="s">
        <v>1572</v>
      </c>
      <c r="B359" s="1186" t="s">
        <v>23</v>
      </c>
      <c r="C359" s="1186">
        <v>0</v>
      </c>
      <c r="D359" s="1186">
        <v>58</v>
      </c>
      <c r="E359" s="1186">
        <v>11</v>
      </c>
      <c r="F359" s="1186">
        <v>78</v>
      </c>
      <c r="G359" s="1186">
        <v>6</v>
      </c>
      <c r="H359" s="1186">
        <v>38</v>
      </c>
      <c r="I359" s="1186">
        <v>5</v>
      </c>
      <c r="J359" s="1186">
        <v>97</v>
      </c>
      <c r="K359" s="1186">
        <v>7</v>
      </c>
      <c r="L359" s="1186">
        <v>9</v>
      </c>
      <c r="M359" s="1186">
        <v>12</v>
      </c>
      <c r="N359" s="1186">
        <v>4</v>
      </c>
      <c r="O359" s="1186">
        <v>10</v>
      </c>
      <c r="P359" s="1186">
        <v>20</v>
      </c>
      <c r="Q359" s="1186">
        <v>135</v>
      </c>
      <c r="R359" s="1186">
        <v>20</v>
      </c>
      <c r="S359" s="1186">
        <v>31</v>
      </c>
      <c r="T359" s="1186">
        <v>0</v>
      </c>
      <c r="U359" s="1186">
        <v>0</v>
      </c>
      <c r="V359" s="1186">
        <v>20</v>
      </c>
      <c r="W359" s="1186">
        <v>9</v>
      </c>
      <c r="X359" s="1186">
        <v>229060</v>
      </c>
    </row>
    <row r="360" spans="1:24" x14ac:dyDescent="0.2">
      <c r="A360" s="1186" t="s">
        <v>1572</v>
      </c>
      <c r="B360" s="1186" t="s">
        <v>24</v>
      </c>
      <c r="C360" s="1186">
        <v>0</v>
      </c>
      <c r="D360" s="1186">
        <v>149</v>
      </c>
      <c r="E360" s="1186">
        <v>5</v>
      </c>
      <c r="F360" s="1186">
        <v>44</v>
      </c>
      <c r="G360" s="1186">
        <v>7</v>
      </c>
      <c r="H360" s="1186">
        <v>16</v>
      </c>
      <c r="I360" s="1186">
        <v>3</v>
      </c>
      <c r="J360" s="1186">
        <v>5</v>
      </c>
      <c r="K360" s="1186">
        <v>8</v>
      </c>
      <c r="L360" s="1186">
        <v>8</v>
      </c>
      <c r="M360" s="1186">
        <v>6</v>
      </c>
      <c r="N360" s="1186">
        <v>1</v>
      </c>
      <c r="O360" s="1186">
        <v>5</v>
      </c>
      <c r="P360" s="1186">
        <v>37</v>
      </c>
      <c r="Q360" s="1186">
        <v>90</v>
      </c>
      <c r="R360" s="1186">
        <v>7</v>
      </c>
      <c r="S360" s="1186">
        <v>14</v>
      </c>
      <c r="T360" s="1186">
        <v>2</v>
      </c>
      <c r="U360" s="1186">
        <v>1</v>
      </c>
      <c r="V360" s="1186">
        <v>43</v>
      </c>
      <c r="W360" s="1186">
        <v>6</v>
      </c>
      <c r="X360" s="1186">
        <v>260780</v>
      </c>
    </row>
    <row r="361" spans="1:24" x14ac:dyDescent="0.2">
      <c r="A361" s="1186" t="s">
        <v>1572</v>
      </c>
      <c r="B361" s="1186" t="s">
        <v>25</v>
      </c>
      <c r="C361" s="1186">
        <v>0</v>
      </c>
      <c r="D361" s="1186">
        <v>49</v>
      </c>
      <c r="E361" s="1186">
        <v>1</v>
      </c>
      <c r="F361" s="1186">
        <v>20</v>
      </c>
      <c r="G361" s="1186">
        <v>7</v>
      </c>
      <c r="H361" s="1186">
        <v>20</v>
      </c>
      <c r="I361" s="1186">
        <v>0</v>
      </c>
      <c r="J361" s="1186">
        <v>11</v>
      </c>
      <c r="K361" s="1186">
        <v>5</v>
      </c>
      <c r="L361" s="1186">
        <v>5</v>
      </c>
      <c r="M361" s="1186">
        <v>0</v>
      </c>
      <c r="N361" s="1186">
        <v>4</v>
      </c>
      <c r="O361" s="1186">
        <v>1</v>
      </c>
      <c r="P361" s="1186">
        <v>14</v>
      </c>
      <c r="Q361" s="1186">
        <v>110</v>
      </c>
      <c r="R361" s="1186">
        <v>9</v>
      </c>
      <c r="S361" s="1186">
        <v>10</v>
      </c>
      <c r="T361" s="1186">
        <v>0</v>
      </c>
      <c r="U361" s="1186">
        <v>0</v>
      </c>
      <c r="V361" s="1186">
        <v>21</v>
      </c>
      <c r="W361" s="1186">
        <v>4</v>
      </c>
      <c r="X361" s="1186">
        <v>115820</v>
      </c>
    </row>
    <row r="362" spans="1:24" x14ac:dyDescent="0.2">
      <c r="A362" s="1186" t="s">
        <v>1572</v>
      </c>
      <c r="B362" s="1186" t="s">
        <v>26</v>
      </c>
      <c r="C362" s="1186">
        <v>0</v>
      </c>
      <c r="D362" s="1186">
        <v>28</v>
      </c>
      <c r="E362" s="1186">
        <v>4</v>
      </c>
      <c r="F362" s="1186">
        <v>17</v>
      </c>
      <c r="G362" s="1186">
        <v>2</v>
      </c>
      <c r="H362" s="1186">
        <v>8</v>
      </c>
      <c r="I362" s="1186">
        <v>1</v>
      </c>
      <c r="J362" s="1186">
        <v>4</v>
      </c>
      <c r="K362" s="1186">
        <v>12</v>
      </c>
      <c r="L362" s="1186">
        <v>1</v>
      </c>
      <c r="M362" s="1186">
        <v>1</v>
      </c>
      <c r="N362" s="1186">
        <v>3</v>
      </c>
      <c r="O362" s="1186">
        <v>6</v>
      </c>
      <c r="P362" s="1186">
        <v>4</v>
      </c>
      <c r="Q362" s="1186">
        <v>37</v>
      </c>
      <c r="R362" s="1186">
        <v>7</v>
      </c>
      <c r="S362" s="1186">
        <v>20</v>
      </c>
      <c r="T362" s="1186">
        <v>0</v>
      </c>
      <c r="U362" s="1186">
        <v>0</v>
      </c>
      <c r="V362" s="1186">
        <v>58</v>
      </c>
      <c r="W362" s="1186">
        <v>2</v>
      </c>
      <c r="X362" s="1186">
        <v>85430</v>
      </c>
    </row>
    <row r="363" spans="1:24" x14ac:dyDescent="0.2">
      <c r="A363" s="1186" t="s">
        <v>1572</v>
      </c>
      <c r="B363" s="1186" t="s">
        <v>619</v>
      </c>
      <c r="C363" s="1186">
        <v>0</v>
      </c>
      <c r="D363" s="1186">
        <v>81</v>
      </c>
      <c r="E363" s="1186">
        <v>6</v>
      </c>
      <c r="F363" s="1186">
        <v>190</v>
      </c>
      <c r="G363" s="1186">
        <v>12</v>
      </c>
      <c r="H363" s="1186">
        <v>62</v>
      </c>
      <c r="I363" s="1186">
        <v>10</v>
      </c>
      <c r="J363" s="1186">
        <v>56</v>
      </c>
      <c r="K363" s="1186">
        <v>21</v>
      </c>
      <c r="L363" s="1186">
        <v>25</v>
      </c>
      <c r="M363" s="1186">
        <v>24</v>
      </c>
      <c r="N363" s="1186">
        <v>7</v>
      </c>
      <c r="O363" s="1186">
        <v>24</v>
      </c>
      <c r="P363" s="1186">
        <v>38</v>
      </c>
      <c r="Q363" s="1186">
        <v>469</v>
      </c>
      <c r="R363" s="1186">
        <v>43</v>
      </c>
      <c r="S363" s="1186">
        <v>53</v>
      </c>
      <c r="T363" s="1186">
        <v>0</v>
      </c>
      <c r="U363" s="1186">
        <v>0</v>
      </c>
      <c r="V363" s="1186">
        <v>55</v>
      </c>
      <c r="W363" s="1186">
        <v>19</v>
      </c>
      <c r="X363" s="1186">
        <v>527620</v>
      </c>
    </row>
    <row r="364" spans="1:24" x14ac:dyDescent="0.2">
      <c r="A364" s="1186" t="s">
        <v>1572</v>
      </c>
      <c r="B364" s="1186" t="s">
        <v>27</v>
      </c>
      <c r="C364" s="1186">
        <v>0</v>
      </c>
      <c r="D364" s="1186">
        <v>11</v>
      </c>
      <c r="E364" s="1186">
        <v>0</v>
      </c>
      <c r="F364" s="1186">
        <v>15</v>
      </c>
      <c r="G364" s="1186">
        <v>0</v>
      </c>
      <c r="H364" s="1186">
        <v>8</v>
      </c>
      <c r="I364" s="1186">
        <v>0</v>
      </c>
      <c r="J364" s="1186">
        <v>0</v>
      </c>
      <c r="K364" s="1186">
        <v>2</v>
      </c>
      <c r="L364" s="1186">
        <v>0</v>
      </c>
      <c r="M364" s="1186">
        <v>1</v>
      </c>
      <c r="N364" s="1186">
        <v>2</v>
      </c>
      <c r="O364" s="1186">
        <v>6</v>
      </c>
      <c r="P364" s="1186">
        <v>7</v>
      </c>
      <c r="Q364" s="1186">
        <v>45</v>
      </c>
      <c r="R364" s="1186">
        <v>3</v>
      </c>
      <c r="S364" s="1186">
        <v>5</v>
      </c>
      <c r="T364" s="1186">
        <v>0</v>
      </c>
      <c r="U364" s="1186">
        <v>0</v>
      </c>
      <c r="V364" s="1186">
        <v>8</v>
      </c>
      <c r="W364" s="1186">
        <v>0</v>
      </c>
      <c r="X364" s="1186">
        <v>51290</v>
      </c>
    </row>
    <row r="365" spans="1:24" x14ac:dyDescent="0.2">
      <c r="A365" s="1186" t="s">
        <v>1572</v>
      </c>
      <c r="B365" s="1186" t="s">
        <v>28</v>
      </c>
      <c r="C365" s="1186">
        <v>0</v>
      </c>
      <c r="D365" s="1186">
        <v>51</v>
      </c>
      <c r="E365" s="1186">
        <v>3</v>
      </c>
      <c r="F365" s="1186">
        <v>14</v>
      </c>
      <c r="G365" s="1186">
        <v>12</v>
      </c>
      <c r="H365" s="1186">
        <v>17</v>
      </c>
      <c r="I365" s="1186">
        <v>1</v>
      </c>
      <c r="J365" s="1186">
        <v>13</v>
      </c>
      <c r="K365" s="1186">
        <v>18</v>
      </c>
      <c r="L365" s="1186">
        <v>9</v>
      </c>
      <c r="M365" s="1186">
        <v>12</v>
      </c>
      <c r="N365" s="1186">
        <v>2</v>
      </c>
      <c r="O365" s="1186">
        <v>4</v>
      </c>
      <c r="P365" s="1186">
        <v>14</v>
      </c>
      <c r="Q365" s="1186">
        <v>67</v>
      </c>
      <c r="R365" s="1186">
        <v>7</v>
      </c>
      <c r="S365" s="1186">
        <v>4</v>
      </c>
      <c r="T365" s="1186">
        <v>0</v>
      </c>
      <c r="U365" s="1186">
        <v>1</v>
      </c>
      <c r="V365" s="1186">
        <v>34</v>
      </c>
      <c r="W365" s="1186">
        <v>8</v>
      </c>
      <c r="X365" s="1186">
        <v>148290</v>
      </c>
    </row>
    <row r="366" spans="1:24" x14ac:dyDescent="0.2">
      <c r="A366" s="1186" t="s">
        <v>1572</v>
      </c>
      <c r="B366" s="1186" t="s">
        <v>29</v>
      </c>
      <c r="C366" s="1186">
        <v>0</v>
      </c>
      <c r="D366" s="1186">
        <v>31</v>
      </c>
      <c r="E366" s="1186">
        <v>2</v>
      </c>
      <c r="F366" s="1186">
        <v>55</v>
      </c>
      <c r="G366" s="1186">
        <v>2</v>
      </c>
      <c r="H366" s="1186">
        <v>30</v>
      </c>
      <c r="I366" s="1186">
        <v>4</v>
      </c>
      <c r="J366" s="1186">
        <v>22</v>
      </c>
      <c r="K366" s="1186">
        <v>8</v>
      </c>
      <c r="L366" s="1186">
        <v>10</v>
      </c>
      <c r="M366" s="1186">
        <v>5</v>
      </c>
      <c r="N366" s="1186">
        <v>3</v>
      </c>
      <c r="O366" s="1186">
        <v>12</v>
      </c>
      <c r="P366" s="1186">
        <v>18</v>
      </c>
      <c r="Q366" s="1186">
        <v>146</v>
      </c>
      <c r="R366" s="1186">
        <v>51</v>
      </c>
      <c r="S366" s="1186">
        <v>16</v>
      </c>
      <c r="T366" s="1186">
        <v>0</v>
      </c>
      <c r="U366" s="1186">
        <v>0</v>
      </c>
      <c r="V366" s="1186">
        <v>35</v>
      </c>
      <c r="W366" s="1186">
        <v>9</v>
      </c>
      <c r="X366" s="1186">
        <v>148820</v>
      </c>
    </row>
    <row r="367" spans="1:24" x14ac:dyDescent="0.2">
      <c r="A367" s="1186" t="s">
        <v>1572</v>
      </c>
      <c r="B367" s="1186" t="s">
        <v>30</v>
      </c>
      <c r="C367" s="1186">
        <v>0</v>
      </c>
      <c r="D367" s="1186">
        <v>44</v>
      </c>
      <c r="E367" s="1186">
        <v>0</v>
      </c>
      <c r="F367" s="1186">
        <v>29</v>
      </c>
      <c r="G367" s="1186">
        <v>6</v>
      </c>
      <c r="H367" s="1186">
        <v>15</v>
      </c>
      <c r="I367" s="1186">
        <v>5</v>
      </c>
      <c r="J367" s="1186">
        <v>2</v>
      </c>
      <c r="K367" s="1186">
        <v>8</v>
      </c>
      <c r="L367" s="1186">
        <v>3</v>
      </c>
      <c r="M367" s="1186">
        <v>0</v>
      </c>
      <c r="N367" s="1186">
        <v>1</v>
      </c>
      <c r="O367" s="1186">
        <v>8</v>
      </c>
      <c r="P367" s="1186">
        <v>5</v>
      </c>
      <c r="Q367" s="1186">
        <v>56</v>
      </c>
      <c r="R367" s="1186">
        <v>5</v>
      </c>
      <c r="S367" s="1186">
        <v>27</v>
      </c>
      <c r="T367" s="1186">
        <v>0</v>
      </c>
      <c r="U367" s="1186">
        <v>1</v>
      </c>
      <c r="V367" s="1186">
        <v>24</v>
      </c>
      <c r="W367" s="1186">
        <v>4</v>
      </c>
      <c r="X367" s="1186">
        <v>121600</v>
      </c>
    </row>
    <row r="368" spans="1:24" x14ac:dyDescent="0.2">
      <c r="A368" s="1186" t="s">
        <v>1572</v>
      </c>
      <c r="B368" s="1186" t="s">
        <v>31</v>
      </c>
      <c r="C368" s="1186">
        <v>0</v>
      </c>
      <c r="D368" s="1186">
        <v>13</v>
      </c>
      <c r="E368" s="1186">
        <v>3</v>
      </c>
      <c r="F368" s="1186">
        <v>13</v>
      </c>
      <c r="G368" s="1186">
        <v>2</v>
      </c>
      <c r="H368" s="1186">
        <v>11</v>
      </c>
      <c r="I368" s="1186">
        <v>1</v>
      </c>
      <c r="J368" s="1186">
        <v>1</v>
      </c>
      <c r="K368" s="1186">
        <v>6</v>
      </c>
      <c r="L368" s="1186">
        <v>2</v>
      </c>
      <c r="M368" s="1186">
        <v>2</v>
      </c>
      <c r="N368" s="1186">
        <v>1</v>
      </c>
      <c r="O368" s="1186">
        <v>22</v>
      </c>
      <c r="P368" s="1186">
        <v>4</v>
      </c>
      <c r="Q368" s="1186">
        <v>41</v>
      </c>
      <c r="R368" s="1186">
        <v>2</v>
      </c>
      <c r="S368" s="1186">
        <v>13</v>
      </c>
      <c r="T368" s="1186">
        <v>0</v>
      </c>
      <c r="U368" s="1186">
        <v>1</v>
      </c>
      <c r="V368" s="1186">
        <v>18</v>
      </c>
      <c r="W368" s="1186">
        <v>4</v>
      </c>
      <c r="X368" s="1186">
        <v>108750</v>
      </c>
    </row>
    <row r="369" spans="1:24" x14ac:dyDescent="0.2">
      <c r="A369" s="1186" t="s">
        <v>1572</v>
      </c>
      <c r="B369" s="1186" t="s">
        <v>32</v>
      </c>
      <c r="C369" s="1186">
        <v>0</v>
      </c>
      <c r="D369" s="1186">
        <v>25</v>
      </c>
      <c r="E369" s="1186">
        <v>1</v>
      </c>
      <c r="F369" s="1186">
        <v>15</v>
      </c>
      <c r="G369" s="1186">
        <v>3</v>
      </c>
      <c r="H369" s="1186">
        <v>15</v>
      </c>
      <c r="I369" s="1186">
        <v>0</v>
      </c>
      <c r="J369" s="1186">
        <v>1</v>
      </c>
      <c r="K369" s="1186">
        <v>9</v>
      </c>
      <c r="L369" s="1186">
        <v>5</v>
      </c>
      <c r="M369" s="1186">
        <v>2</v>
      </c>
      <c r="N369" s="1186">
        <v>2</v>
      </c>
      <c r="O369" s="1186">
        <v>12</v>
      </c>
      <c r="P369" s="1186">
        <v>5</v>
      </c>
      <c r="Q369" s="1186">
        <v>59</v>
      </c>
      <c r="R369" s="1186">
        <v>4</v>
      </c>
      <c r="S369" s="1186">
        <v>10</v>
      </c>
      <c r="T369" s="1186">
        <v>0</v>
      </c>
      <c r="U369" s="1186">
        <v>1</v>
      </c>
      <c r="V369" s="1186">
        <v>17</v>
      </c>
      <c r="W369" s="1186">
        <v>0</v>
      </c>
      <c r="X369" s="1186">
        <v>107900</v>
      </c>
    </row>
    <row r="370" spans="1:24" x14ac:dyDescent="0.2">
      <c r="A370" s="1186" t="s">
        <v>1572</v>
      </c>
      <c r="B370" s="1186" t="s">
        <v>33</v>
      </c>
      <c r="C370" s="1186">
        <v>0</v>
      </c>
      <c r="D370" s="1186">
        <v>11</v>
      </c>
      <c r="E370" s="1186">
        <v>1</v>
      </c>
      <c r="F370" s="1186">
        <v>13</v>
      </c>
      <c r="G370" s="1186">
        <v>0</v>
      </c>
      <c r="H370" s="1186">
        <v>3</v>
      </c>
      <c r="I370" s="1186">
        <v>2</v>
      </c>
      <c r="J370" s="1186">
        <v>5</v>
      </c>
      <c r="K370" s="1186">
        <v>2</v>
      </c>
      <c r="L370" s="1186">
        <v>1</v>
      </c>
      <c r="M370" s="1186">
        <v>0</v>
      </c>
      <c r="N370" s="1186">
        <v>0</v>
      </c>
      <c r="O370" s="1186">
        <v>5</v>
      </c>
      <c r="P370" s="1186">
        <v>11</v>
      </c>
      <c r="Q370" s="1186">
        <v>32</v>
      </c>
      <c r="R370" s="1186">
        <v>2</v>
      </c>
      <c r="S370" s="1186">
        <v>14</v>
      </c>
      <c r="T370" s="1186">
        <v>0</v>
      </c>
      <c r="U370" s="1186">
        <v>0</v>
      </c>
      <c r="V370" s="1186">
        <v>11</v>
      </c>
      <c r="W370" s="1186">
        <v>1</v>
      </c>
      <c r="X370" s="1186">
        <v>96060</v>
      </c>
    </row>
    <row r="371" spans="1:24" x14ac:dyDescent="0.2">
      <c r="A371" s="1186" t="s">
        <v>1572</v>
      </c>
      <c r="B371" s="1186" t="s">
        <v>34</v>
      </c>
      <c r="C371" s="1186">
        <v>0</v>
      </c>
      <c r="D371" s="1186">
        <v>53</v>
      </c>
      <c r="E371" s="1186">
        <v>1</v>
      </c>
      <c r="F371" s="1186">
        <v>43</v>
      </c>
      <c r="G371" s="1186">
        <v>13</v>
      </c>
      <c r="H371" s="1186">
        <v>16</v>
      </c>
      <c r="I371" s="1186">
        <v>6</v>
      </c>
      <c r="J371" s="1186">
        <v>7</v>
      </c>
      <c r="K371" s="1186">
        <v>9</v>
      </c>
      <c r="L371" s="1186">
        <v>2</v>
      </c>
      <c r="M371" s="1186">
        <v>9</v>
      </c>
      <c r="N371" s="1186">
        <v>2</v>
      </c>
      <c r="O371" s="1186">
        <v>10</v>
      </c>
      <c r="P371" s="1186">
        <v>18</v>
      </c>
      <c r="Q371" s="1186">
        <v>100</v>
      </c>
      <c r="R371" s="1186">
        <v>6</v>
      </c>
      <c r="S371" s="1186">
        <v>17</v>
      </c>
      <c r="T371" s="1186">
        <v>0</v>
      </c>
      <c r="U371" s="1186">
        <v>0</v>
      </c>
      <c r="V371" s="1186">
        <v>32</v>
      </c>
      <c r="W371" s="1186">
        <v>1</v>
      </c>
      <c r="X371" s="1186">
        <v>160560</v>
      </c>
    </row>
    <row r="372" spans="1:24" x14ac:dyDescent="0.2">
      <c r="A372" s="1186" t="s">
        <v>1572</v>
      </c>
      <c r="B372" s="1186" t="s">
        <v>35</v>
      </c>
      <c r="C372" s="1186">
        <v>0</v>
      </c>
      <c r="D372" s="1186">
        <v>100</v>
      </c>
      <c r="E372" s="1186">
        <v>0</v>
      </c>
      <c r="F372" s="1186">
        <v>145</v>
      </c>
      <c r="G372" s="1186">
        <v>11</v>
      </c>
      <c r="H372" s="1186">
        <v>56</v>
      </c>
      <c r="I372" s="1186">
        <v>3</v>
      </c>
      <c r="J372" s="1186">
        <v>16</v>
      </c>
      <c r="K372" s="1186">
        <v>23</v>
      </c>
      <c r="L372" s="1186">
        <v>16</v>
      </c>
      <c r="M372" s="1186">
        <v>12</v>
      </c>
      <c r="N372" s="1186">
        <v>7</v>
      </c>
      <c r="O372" s="1186">
        <v>28</v>
      </c>
      <c r="P372" s="1186">
        <v>34</v>
      </c>
      <c r="Q372" s="1186">
        <v>298</v>
      </c>
      <c r="R372" s="1186">
        <v>14</v>
      </c>
      <c r="S372" s="1186">
        <v>32</v>
      </c>
      <c r="T372" s="1186">
        <v>0</v>
      </c>
      <c r="U372" s="1186">
        <v>2</v>
      </c>
      <c r="V372" s="1186">
        <v>45</v>
      </c>
      <c r="W372" s="1186">
        <v>7</v>
      </c>
      <c r="X372" s="1186">
        <v>374130</v>
      </c>
    </row>
    <row r="373" spans="1:24" x14ac:dyDescent="0.2">
      <c r="A373" s="1186" t="s">
        <v>1572</v>
      </c>
      <c r="B373" s="1186" t="s">
        <v>36</v>
      </c>
      <c r="C373" s="1186">
        <v>0</v>
      </c>
      <c r="D373" s="1186">
        <v>151</v>
      </c>
      <c r="E373" s="1186">
        <v>12</v>
      </c>
      <c r="F373" s="1186">
        <v>329</v>
      </c>
      <c r="G373" s="1186">
        <v>34</v>
      </c>
      <c r="H373" s="1186">
        <v>64</v>
      </c>
      <c r="I373" s="1186">
        <v>16</v>
      </c>
      <c r="J373" s="1186">
        <v>86</v>
      </c>
      <c r="K373" s="1186">
        <v>56</v>
      </c>
      <c r="L373" s="1186">
        <v>36</v>
      </c>
      <c r="M373" s="1186">
        <v>18</v>
      </c>
      <c r="N373" s="1186">
        <v>8</v>
      </c>
      <c r="O373" s="1186">
        <v>67</v>
      </c>
      <c r="P373" s="1186">
        <v>53</v>
      </c>
      <c r="Q373" s="1186">
        <v>634</v>
      </c>
      <c r="R373" s="1186">
        <v>20</v>
      </c>
      <c r="S373" s="1186">
        <v>249</v>
      </c>
      <c r="T373" s="1186">
        <v>1</v>
      </c>
      <c r="U373" s="1186">
        <v>1</v>
      </c>
      <c r="V373" s="1186">
        <v>207</v>
      </c>
      <c r="W373" s="1186">
        <v>41</v>
      </c>
      <c r="X373" s="1186">
        <v>635640</v>
      </c>
    </row>
    <row r="374" spans="1:24" x14ac:dyDescent="0.2">
      <c r="A374" s="1186" t="s">
        <v>1572</v>
      </c>
      <c r="B374" s="1186" t="s">
        <v>37</v>
      </c>
      <c r="C374" s="1186">
        <v>0</v>
      </c>
      <c r="D374" s="1186">
        <v>140</v>
      </c>
      <c r="E374" s="1186">
        <v>3</v>
      </c>
      <c r="F374" s="1186">
        <v>41</v>
      </c>
      <c r="G374" s="1186">
        <v>17</v>
      </c>
      <c r="H374" s="1186">
        <v>31</v>
      </c>
      <c r="I374" s="1186">
        <v>6</v>
      </c>
      <c r="J374" s="1186">
        <v>4</v>
      </c>
      <c r="K374" s="1186">
        <v>10</v>
      </c>
      <c r="L374" s="1186">
        <v>6</v>
      </c>
      <c r="M374" s="1186">
        <v>6</v>
      </c>
      <c r="N374" s="1186">
        <v>2</v>
      </c>
      <c r="O374" s="1186">
        <v>6</v>
      </c>
      <c r="P374" s="1186">
        <v>23</v>
      </c>
      <c r="Q374" s="1186">
        <v>112</v>
      </c>
      <c r="R374" s="1186">
        <v>13</v>
      </c>
      <c r="S374" s="1186">
        <v>12</v>
      </c>
      <c r="T374" s="1186">
        <v>0</v>
      </c>
      <c r="U374" s="1186">
        <v>1</v>
      </c>
      <c r="V374" s="1186">
        <v>81</v>
      </c>
      <c r="W374" s="1186">
        <v>3</v>
      </c>
      <c r="X374" s="1186">
        <v>235430</v>
      </c>
    </row>
    <row r="375" spans="1:24" x14ac:dyDescent="0.2">
      <c r="A375" s="1186" t="s">
        <v>1572</v>
      </c>
      <c r="B375" s="1186" t="s">
        <v>38</v>
      </c>
      <c r="C375" s="1186">
        <v>0</v>
      </c>
      <c r="D375" s="1186">
        <v>26</v>
      </c>
      <c r="E375" s="1186">
        <v>1</v>
      </c>
      <c r="F375" s="1186">
        <v>23</v>
      </c>
      <c r="G375" s="1186">
        <v>2</v>
      </c>
      <c r="H375" s="1186">
        <v>10</v>
      </c>
      <c r="I375" s="1186">
        <v>4</v>
      </c>
      <c r="J375" s="1186">
        <v>5</v>
      </c>
      <c r="K375" s="1186">
        <v>6</v>
      </c>
      <c r="L375" s="1186">
        <v>2</v>
      </c>
      <c r="M375" s="1186">
        <v>6</v>
      </c>
      <c r="N375" s="1186">
        <v>0</v>
      </c>
      <c r="O375" s="1186">
        <v>5</v>
      </c>
      <c r="P375" s="1186">
        <v>6</v>
      </c>
      <c r="Q375" s="1186">
        <v>72</v>
      </c>
      <c r="R375" s="1186">
        <v>4</v>
      </c>
      <c r="S375" s="1186">
        <v>25</v>
      </c>
      <c r="T375" s="1186">
        <v>0</v>
      </c>
      <c r="U375" s="1186">
        <v>2</v>
      </c>
      <c r="V375" s="1186">
        <v>16</v>
      </c>
      <c r="W375" s="1186">
        <v>1</v>
      </c>
      <c r="X375" s="1186">
        <v>77060</v>
      </c>
    </row>
    <row r="376" spans="1:24" x14ac:dyDescent="0.2">
      <c r="A376" s="1186" t="s">
        <v>1572</v>
      </c>
      <c r="B376" s="1186" t="s">
        <v>39</v>
      </c>
      <c r="C376" s="1186">
        <v>0</v>
      </c>
      <c r="D376" s="1186">
        <v>21</v>
      </c>
      <c r="E376" s="1186">
        <v>0</v>
      </c>
      <c r="F376" s="1186">
        <v>20</v>
      </c>
      <c r="G376" s="1186">
        <v>6</v>
      </c>
      <c r="H376" s="1186">
        <v>5</v>
      </c>
      <c r="I376" s="1186">
        <v>0</v>
      </c>
      <c r="J376" s="1186">
        <v>1</v>
      </c>
      <c r="K376" s="1186">
        <v>7</v>
      </c>
      <c r="L376" s="1186">
        <v>4</v>
      </c>
      <c r="M376" s="1186">
        <v>2</v>
      </c>
      <c r="N376" s="1186">
        <v>0</v>
      </c>
      <c r="O376" s="1186">
        <v>10</v>
      </c>
      <c r="P376" s="1186">
        <v>6</v>
      </c>
      <c r="Q376" s="1186">
        <v>45</v>
      </c>
      <c r="R376" s="1186">
        <v>3</v>
      </c>
      <c r="S376" s="1186">
        <v>5</v>
      </c>
      <c r="T376" s="1186">
        <v>0</v>
      </c>
      <c r="U376" s="1186">
        <v>0</v>
      </c>
      <c r="V376" s="1186">
        <v>18</v>
      </c>
      <c r="W376" s="1186">
        <v>1</v>
      </c>
      <c r="X376" s="1186">
        <v>93150</v>
      </c>
    </row>
    <row r="377" spans="1:24" x14ac:dyDescent="0.2">
      <c r="A377" s="1186" t="s">
        <v>1572</v>
      </c>
      <c r="B377" s="1186" t="s">
        <v>40</v>
      </c>
      <c r="C377" s="1186">
        <v>0</v>
      </c>
      <c r="D377" s="1186">
        <v>29</v>
      </c>
      <c r="E377" s="1186">
        <v>1</v>
      </c>
      <c r="F377" s="1186">
        <v>9</v>
      </c>
      <c r="G377" s="1186">
        <v>5</v>
      </c>
      <c r="H377" s="1186">
        <v>5</v>
      </c>
      <c r="I377" s="1186">
        <v>0</v>
      </c>
      <c r="J377" s="1186">
        <v>2</v>
      </c>
      <c r="K377" s="1186">
        <v>1</v>
      </c>
      <c r="L377" s="1186">
        <v>0</v>
      </c>
      <c r="M377" s="1186">
        <v>4</v>
      </c>
      <c r="N377" s="1186">
        <v>1</v>
      </c>
      <c r="O377" s="1186">
        <v>2</v>
      </c>
      <c r="P377" s="1186">
        <v>8</v>
      </c>
      <c r="Q377" s="1186">
        <v>46</v>
      </c>
      <c r="R377" s="1186">
        <v>0</v>
      </c>
      <c r="S377" s="1186">
        <v>4</v>
      </c>
      <c r="T377" s="1186">
        <v>0</v>
      </c>
      <c r="U377" s="1186">
        <v>0</v>
      </c>
      <c r="V377" s="1186">
        <v>32</v>
      </c>
      <c r="W377" s="1186">
        <v>2</v>
      </c>
      <c r="X377" s="1186">
        <v>95710</v>
      </c>
    </row>
    <row r="378" spans="1:24" x14ac:dyDescent="0.2">
      <c r="A378" s="1186" t="s">
        <v>1572</v>
      </c>
      <c r="B378" s="1186" t="s">
        <v>295</v>
      </c>
      <c r="C378" s="1186">
        <v>0</v>
      </c>
      <c r="D378" s="1186">
        <v>16</v>
      </c>
      <c r="E378" s="1186">
        <v>1</v>
      </c>
      <c r="F378" s="1186">
        <v>6</v>
      </c>
      <c r="G378" s="1186">
        <v>0</v>
      </c>
      <c r="H378" s="1186">
        <v>3</v>
      </c>
      <c r="I378" s="1186">
        <v>1</v>
      </c>
      <c r="J378" s="1186">
        <v>0</v>
      </c>
      <c r="K378" s="1186">
        <v>0</v>
      </c>
      <c r="L378" s="1186">
        <v>2</v>
      </c>
      <c r="M378" s="1186">
        <v>0</v>
      </c>
      <c r="N378" s="1186">
        <v>0</v>
      </c>
      <c r="O378" s="1186">
        <v>0</v>
      </c>
      <c r="P378" s="1186">
        <v>4</v>
      </c>
      <c r="Q378" s="1186">
        <v>4</v>
      </c>
      <c r="R378" s="1186">
        <v>6</v>
      </c>
      <c r="S378" s="1186">
        <v>0</v>
      </c>
      <c r="T378" s="1186">
        <v>0</v>
      </c>
      <c r="U378" s="1186">
        <v>0</v>
      </c>
      <c r="V378" s="1186">
        <v>5</v>
      </c>
      <c r="W378" s="1186">
        <v>0</v>
      </c>
      <c r="X378" s="1186">
        <v>26500</v>
      </c>
    </row>
    <row r="379" spans="1:24" x14ac:dyDescent="0.2">
      <c r="A379" s="1186" t="s">
        <v>1572</v>
      </c>
      <c r="B379" s="1186" t="s">
        <v>41</v>
      </c>
      <c r="C379" s="1186">
        <v>0</v>
      </c>
      <c r="D379" s="1186">
        <v>35</v>
      </c>
      <c r="E379" s="1186">
        <v>4</v>
      </c>
      <c r="F379" s="1186">
        <v>56</v>
      </c>
      <c r="G379" s="1186">
        <v>4</v>
      </c>
      <c r="H379" s="1186">
        <v>22</v>
      </c>
      <c r="I379" s="1186">
        <v>4</v>
      </c>
      <c r="J379" s="1186">
        <v>8</v>
      </c>
      <c r="K379" s="1186">
        <v>8</v>
      </c>
      <c r="L379" s="1186">
        <v>3</v>
      </c>
      <c r="M379" s="1186">
        <v>3</v>
      </c>
      <c r="N379" s="1186">
        <v>3</v>
      </c>
      <c r="O379" s="1186">
        <v>13</v>
      </c>
      <c r="P379" s="1186">
        <v>10</v>
      </c>
      <c r="Q379" s="1186">
        <v>140</v>
      </c>
      <c r="R379" s="1186">
        <v>14</v>
      </c>
      <c r="S379" s="1186">
        <v>39</v>
      </c>
      <c r="T379" s="1186">
        <v>0</v>
      </c>
      <c r="U379" s="1186">
        <v>1</v>
      </c>
      <c r="V379" s="1186">
        <v>49</v>
      </c>
      <c r="W379" s="1186">
        <v>7</v>
      </c>
      <c r="X379" s="1186">
        <v>134250</v>
      </c>
    </row>
    <row r="380" spans="1:24" x14ac:dyDescent="0.2">
      <c r="A380" s="1186" t="s">
        <v>1572</v>
      </c>
      <c r="B380" s="1186" t="s">
        <v>42</v>
      </c>
      <c r="C380" s="1186">
        <v>0</v>
      </c>
      <c r="D380" s="1186">
        <v>73</v>
      </c>
      <c r="E380" s="1186">
        <v>6</v>
      </c>
      <c r="F380" s="1186">
        <v>56</v>
      </c>
      <c r="G380" s="1186">
        <v>12</v>
      </c>
      <c r="H380" s="1186">
        <v>37</v>
      </c>
      <c r="I380" s="1186">
        <v>6</v>
      </c>
      <c r="J380" s="1186">
        <v>16</v>
      </c>
      <c r="K380" s="1186">
        <v>27</v>
      </c>
      <c r="L380" s="1186">
        <v>10</v>
      </c>
      <c r="M380" s="1186">
        <v>7</v>
      </c>
      <c r="N380" s="1186">
        <v>6</v>
      </c>
      <c r="O380" s="1186">
        <v>23</v>
      </c>
      <c r="P380" s="1186">
        <v>28</v>
      </c>
      <c r="Q380" s="1186">
        <v>193</v>
      </c>
      <c r="R380" s="1186">
        <v>10</v>
      </c>
      <c r="S380" s="1186">
        <v>65</v>
      </c>
      <c r="T380" s="1186">
        <v>0</v>
      </c>
      <c r="U380" s="1186">
        <v>0</v>
      </c>
      <c r="V380" s="1186">
        <v>74</v>
      </c>
      <c r="W380" s="1186">
        <v>16</v>
      </c>
      <c r="X380" s="1186">
        <v>341140</v>
      </c>
    </row>
    <row r="381" spans="1:24" x14ac:dyDescent="0.2">
      <c r="A381" s="1186" t="s">
        <v>1572</v>
      </c>
      <c r="B381" s="1186" t="s">
        <v>43</v>
      </c>
      <c r="C381" s="1186">
        <v>0</v>
      </c>
      <c r="D381" s="1186">
        <v>12</v>
      </c>
      <c r="E381" s="1186">
        <v>0</v>
      </c>
      <c r="F381" s="1186">
        <v>2</v>
      </c>
      <c r="G381" s="1186">
        <v>0</v>
      </c>
      <c r="H381" s="1186">
        <v>1</v>
      </c>
      <c r="I381" s="1186">
        <v>0</v>
      </c>
      <c r="J381" s="1186">
        <v>0</v>
      </c>
      <c r="K381" s="1186">
        <v>3</v>
      </c>
      <c r="L381" s="1186">
        <v>0</v>
      </c>
      <c r="M381" s="1186">
        <v>0</v>
      </c>
      <c r="N381" s="1186">
        <v>1</v>
      </c>
      <c r="O381" s="1186">
        <v>1</v>
      </c>
      <c r="P381" s="1186">
        <v>3</v>
      </c>
      <c r="Q381" s="1186">
        <v>4</v>
      </c>
      <c r="R381" s="1186">
        <v>0</v>
      </c>
      <c r="S381" s="1186">
        <v>1</v>
      </c>
      <c r="T381" s="1186">
        <v>0</v>
      </c>
      <c r="U381" s="1186">
        <v>0</v>
      </c>
      <c r="V381" s="1186">
        <v>8</v>
      </c>
      <c r="W381" s="1186">
        <v>1</v>
      </c>
      <c r="X381" s="1186">
        <v>22400</v>
      </c>
    </row>
    <row r="382" spans="1:24" x14ac:dyDescent="0.2">
      <c r="A382" s="1186" t="s">
        <v>1572</v>
      </c>
      <c r="B382" s="1186" t="s">
        <v>44</v>
      </c>
      <c r="C382" s="1186">
        <v>0</v>
      </c>
      <c r="D382" s="1186">
        <v>59</v>
      </c>
      <c r="E382" s="1186">
        <v>3</v>
      </c>
      <c r="F382" s="1186">
        <v>88</v>
      </c>
      <c r="G382" s="1186">
        <v>19</v>
      </c>
      <c r="H382" s="1186">
        <v>13</v>
      </c>
      <c r="I382" s="1186">
        <v>4</v>
      </c>
      <c r="J382" s="1186">
        <v>17</v>
      </c>
      <c r="K382" s="1186">
        <v>5</v>
      </c>
      <c r="L382" s="1186">
        <v>9</v>
      </c>
      <c r="M382" s="1186">
        <v>3</v>
      </c>
      <c r="N382" s="1186">
        <v>1</v>
      </c>
      <c r="O382" s="1186">
        <v>6</v>
      </c>
      <c r="P382" s="1186">
        <v>12</v>
      </c>
      <c r="Q382" s="1186">
        <v>65</v>
      </c>
      <c r="R382" s="1186">
        <v>26</v>
      </c>
      <c r="S382" s="1186">
        <v>11</v>
      </c>
      <c r="T382" s="1186">
        <v>0</v>
      </c>
      <c r="U382" s="1186">
        <v>1</v>
      </c>
      <c r="V382" s="1186">
        <v>28</v>
      </c>
      <c r="W382" s="1186">
        <v>2</v>
      </c>
      <c r="X382" s="1186">
        <v>151910</v>
      </c>
    </row>
    <row r="383" spans="1:24" x14ac:dyDescent="0.2">
      <c r="A383" s="1186" t="s">
        <v>1572</v>
      </c>
      <c r="B383" s="1186" t="s">
        <v>45</v>
      </c>
      <c r="C383" s="1186">
        <v>0</v>
      </c>
      <c r="D383" s="1186">
        <v>49</v>
      </c>
      <c r="E383" s="1186">
        <v>3</v>
      </c>
      <c r="F383" s="1186">
        <v>67</v>
      </c>
      <c r="G383" s="1186">
        <v>6</v>
      </c>
      <c r="H383" s="1186">
        <v>22</v>
      </c>
      <c r="I383" s="1186">
        <v>3</v>
      </c>
      <c r="J383" s="1186">
        <v>9</v>
      </c>
      <c r="K383" s="1186">
        <v>12</v>
      </c>
      <c r="L383" s="1186">
        <v>7</v>
      </c>
      <c r="M383" s="1186">
        <v>6</v>
      </c>
      <c r="N383" s="1186">
        <v>5</v>
      </c>
      <c r="O383" s="1186">
        <v>19</v>
      </c>
      <c r="P383" s="1186">
        <v>13</v>
      </c>
      <c r="Q383" s="1186">
        <v>116</v>
      </c>
      <c r="R383" s="1186">
        <v>7</v>
      </c>
      <c r="S383" s="1186">
        <v>68</v>
      </c>
      <c r="T383" s="1186">
        <v>0</v>
      </c>
      <c r="U383" s="1186">
        <v>2</v>
      </c>
      <c r="V383" s="1186">
        <v>36</v>
      </c>
      <c r="W383" s="1186">
        <v>8</v>
      </c>
      <c r="X383" s="1186">
        <v>179390</v>
      </c>
    </row>
    <row r="384" spans="1:24" x14ac:dyDescent="0.2">
      <c r="A384" s="1186" t="s">
        <v>1572</v>
      </c>
      <c r="B384" s="1186" t="s">
        <v>46</v>
      </c>
      <c r="C384" s="1186">
        <v>0</v>
      </c>
      <c r="D384" s="1186">
        <v>52</v>
      </c>
      <c r="E384" s="1186">
        <v>2</v>
      </c>
      <c r="F384" s="1186">
        <v>29</v>
      </c>
      <c r="G384" s="1186">
        <v>6</v>
      </c>
      <c r="H384" s="1186">
        <v>18</v>
      </c>
      <c r="I384" s="1186">
        <v>3</v>
      </c>
      <c r="J384" s="1186">
        <v>5</v>
      </c>
      <c r="K384" s="1186">
        <v>16</v>
      </c>
      <c r="L384" s="1186">
        <v>4</v>
      </c>
      <c r="M384" s="1186">
        <v>2</v>
      </c>
      <c r="N384" s="1186">
        <v>2</v>
      </c>
      <c r="O384" s="1186">
        <v>7</v>
      </c>
      <c r="P384" s="1186">
        <v>14</v>
      </c>
      <c r="Q384" s="1186">
        <v>75</v>
      </c>
      <c r="R384" s="1186">
        <v>10</v>
      </c>
      <c r="S384" s="1186">
        <v>15</v>
      </c>
      <c r="T384" s="1186">
        <v>0</v>
      </c>
      <c r="U384" s="1186">
        <v>2</v>
      </c>
      <c r="V384" s="1186">
        <v>27</v>
      </c>
      <c r="W384" s="1186">
        <v>1</v>
      </c>
      <c r="X384" s="1186">
        <v>115240</v>
      </c>
    </row>
    <row r="385" spans="1:24" x14ac:dyDescent="0.2">
      <c r="A385" s="1186" t="s">
        <v>1572</v>
      </c>
      <c r="B385" s="1186" t="s">
        <v>47</v>
      </c>
      <c r="C385" s="1186">
        <v>0</v>
      </c>
      <c r="D385" s="1186">
        <v>4</v>
      </c>
      <c r="E385" s="1186">
        <v>4</v>
      </c>
      <c r="F385" s="1186">
        <v>3</v>
      </c>
      <c r="G385" s="1186">
        <v>0</v>
      </c>
      <c r="H385" s="1186">
        <v>1</v>
      </c>
      <c r="I385" s="1186">
        <v>1</v>
      </c>
      <c r="J385" s="1186">
        <v>1</v>
      </c>
      <c r="K385" s="1186">
        <v>1</v>
      </c>
      <c r="L385" s="1186">
        <v>4</v>
      </c>
      <c r="M385" s="1186">
        <v>0</v>
      </c>
      <c r="N385" s="1186">
        <v>0</v>
      </c>
      <c r="O385" s="1186">
        <v>0</v>
      </c>
      <c r="P385" s="1186">
        <v>2</v>
      </c>
      <c r="Q385" s="1186">
        <v>4</v>
      </c>
      <c r="R385" s="1186">
        <v>0</v>
      </c>
      <c r="S385" s="1186">
        <v>0</v>
      </c>
      <c r="T385" s="1186">
        <v>0</v>
      </c>
      <c r="U385" s="1186">
        <v>1</v>
      </c>
      <c r="V385" s="1186">
        <v>2</v>
      </c>
      <c r="W385" s="1186">
        <v>0</v>
      </c>
      <c r="X385" s="1186">
        <v>22870</v>
      </c>
    </row>
    <row r="386" spans="1:24" x14ac:dyDescent="0.2">
      <c r="A386" s="1186" t="s">
        <v>1572</v>
      </c>
      <c r="B386" s="1186" t="s">
        <v>48</v>
      </c>
      <c r="C386" s="1186">
        <v>0</v>
      </c>
      <c r="D386" s="1186">
        <v>23</v>
      </c>
      <c r="E386" s="1186">
        <v>0</v>
      </c>
      <c r="F386" s="1186">
        <v>17</v>
      </c>
      <c r="G386" s="1186">
        <v>7</v>
      </c>
      <c r="H386" s="1186">
        <v>15</v>
      </c>
      <c r="I386" s="1186">
        <v>5</v>
      </c>
      <c r="J386" s="1186">
        <v>4</v>
      </c>
      <c r="K386" s="1186">
        <v>7</v>
      </c>
      <c r="L386" s="1186">
        <v>6</v>
      </c>
      <c r="M386" s="1186">
        <v>1</v>
      </c>
      <c r="N386" s="1186">
        <v>2</v>
      </c>
      <c r="O386" s="1186">
        <v>2</v>
      </c>
      <c r="P386" s="1186">
        <v>8</v>
      </c>
      <c r="Q386" s="1186">
        <v>82</v>
      </c>
      <c r="R386" s="1186">
        <v>5</v>
      </c>
      <c r="S386" s="1186">
        <v>33</v>
      </c>
      <c r="T386" s="1186">
        <v>0</v>
      </c>
      <c r="U386" s="1186">
        <v>0</v>
      </c>
      <c r="V386" s="1186">
        <v>26</v>
      </c>
      <c r="W386" s="1186">
        <v>8</v>
      </c>
      <c r="X386" s="1186">
        <v>112140</v>
      </c>
    </row>
    <row r="387" spans="1:24" x14ac:dyDescent="0.2">
      <c r="A387" s="1186" t="s">
        <v>1572</v>
      </c>
      <c r="B387" s="1186" t="s">
        <v>49</v>
      </c>
      <c r="C387" s="1186">
        <v>0</v>
      </c>
      <c r="D387" s="1186">
        <v>77</v>
      </c>
      <c r="E387" s="1186">
        <v>6</v>
      </c>
      <c r="F387" s="1186">
        <v>78</v>
      </c>
      <c r="G387" s="1186">
        <v>7</v>
      </c>
      <c r="H387" s="1186">
        <v>31</v>
      </c>
      <c r="I387" s="1186">
        <v>6</v>
      </c>
      <c r="J387" s="1186">
        <v>5</v>
      </c>
      <c r="K387" s="1186">
        <v>22</v>
      </c>
      <c r="L387" s="1186">
        <v>7</v>
      </c>
      <c r="M387" s="1186">
        <v>2</v>
      </c>
      <c r="N387" s="1186">
        <v>6</v>
      </c>
      <c r="O387" s="1186">
        <v>30</v>
      </c>
      <c r="P387" s="1186">
        <v>22</v>
      </c>
      <c r="Q387" s="1186">
        <v>192</v>
      </c>
      <c r="R387" s="1186">
        <v>13</v>
      </c>
      <c r="S387" s="1186">
        <v>73</v>
      </c>
      <c r="T387" s="1186">
        <v>0</v>
      </c>
      <c r="U387" s="1186">
        <v>0</v>
      </c>
      <c r="V387" s="1186">
        <v>60</v>
      </c>
      <c r="W387" s="1186">
        <v>14</v>
      </c>
      <c r="X387" s="1186">
        <v>320820</v>
      </c>
    </row>
    <row r="388" spans="1:24" x14ac:dyDescent="0.2">
      <c r="A388" s="1186" t="s">
        <v>1572</v>
      </c>
      <c r="B388" s="1186" t="s">
        <v>50</v>
      </c>
      <c r="C388" s="1186">
        <v>0</v>
      </c>
      <c r="D388" s="1186">
        <v>44</v>
      </c>
      <c r="E388" s="1186">
        <v>0</v>
      </c>
      <c r="F388" s="1186">
        <v>22</v>
      </c>
      <c r="G388" s="1186">
        <v>15</v>
      </c>
      <c r="H388" s="1186">
        <v>7</v>
      </c>
      <c r="I388" s="1186">
        <v>0</v>
      </c>
      <c r="J388" s="1186">
        <v>3</v>
      </c>
      <c r="K388" s="1186">
        <v>8</v>
      </c>
      <c r="L388" s="1186">
        <v>3</v>
      </c>
      <c r="M388" s="1186">
        <v>1</v>
      </c>
      <c r="N388" s="1186">
        <v>2</v>
      </c>
      <c r="O388" s="1186">
        <v>10</v>
      </c>
      <c r="P388" s="1186">
        <v>11</v>
      </c>
      <c r="Q388" s="1186">
        <v>41</v>
      </c>
      <c r="R388" s="1186">
        <v>3</v>
      </c>
      <c r="S388" s="1186">
        <v>4</v>
      </c>
      <c r="T388" s="1186">
        <v>0</v>
      </c>
      <c r="U388" s="1186">
        <v>0</v>
      </c>
      <c r="V388" s="1186">
        <v>18</v>
      </c>
      <c r="W388" s="1186">
        <v>4</v>
      </c>
      <c r="X388" s="1186">
        <v>94080</v>
      </c>
    </row>
    <row r="389" spans="1:24" x14ac:dyDescent="0.2">
      <c r="A389" s="1186" t="s">
        <v>1572</v>
      </c>
      <c r="B389" s="1186" t="s">
        <v>51</v>
      </c>
      <c r="C389" s="1186">
        <v>0</v>
      </c>
      <c r="D389" s="1186">
        <v>18</v>
      </c>
      <c r="E389" s="1186">
        <v>1</v>
      </c>
      <c r="F389" s="1186">
        <v>32</v>
      </c>
      <c r="G389" s="1186">
        <v>3</v>
      </c>
      <c r="H389" s="1186">
        <v>6</v>
      </c>
      <c r="I389" s="1186">
        <v>6</v>
      </c>
      <c r="J389" s="1186">
        <v>7</v>
      </c>
      <c r="K389" s="1186">
        <v>8</v>
      </c>
      <c r="L389" s="1186">
        <v>1</v>
      </c>
      <c r="M389" s="1186">
        <v>2</v>
      </c>
      <c r="N389" s="1186">
        <v>1</v>
      </c>
      <c r="O389" s="1186">
        <v>14</v>
      </c>
      <c r="P389" s="1186">
        <v>6</v>
      </c>
      <c r="Q389" s="1186">
        <v>60</v>
      </c>
      <c r="R389" s="1186">
        <v>7</v>
      </c>
      <c r="S389" s="1186">
        <v>30</v>
      </c>
      <c r="T389" s="1186">
        <v>0</v>
      </c>
      <c r="U389" s="1186">
        <v>0</v>
      </c>
      <c r="V389" s="1186">
        <v>22</v>
      </c>
      <c r="W389" s="1186">
        <v>3</v>
      </c>
      <c r="X389" s="1186">
        <v>88340</v>
      </c>
    </row>
    <row r="390" spans="1:24" x14ac:dyDescent="0.2">
      <c r="A390" s="1186" t="s">
        <v>1572</v>
      </c>
      <c r="B390" s="1186" t="s">
        <v>52</v>
      </c>
      <c r="C390" s="1186">
        <v>0</v>
      </c>
      <c r="D390" s="1186">
        <v>63</v>
      </c>
      <c r="E390" s="1186">
        <v>1</v>
      </c>
      <c r="F390" s="1186">
        <v>48</v>
      </c>
      <c r="G390" s="1186">
        <v>4</v>
      </c>
      <c r="H390" s="1186">
        <v>25</v>
      </c>
      <c r="I390" s="1186">
        <v>3</v>
      </c>
      <c r="J390" s="1186">
        <v>2</v>
      </c>
      <c r="K390" s="1186">
        <v>7</v>
      </c>
      <c r="L390" s="1186">
        <v>10</v>
      </c>
      <c r="M390" s="1186">
        <v>9</v>
      </c>
      <c r="N390" s="1186">
        <v>2</v>
      </c>
      <c r="O390" s="1186">
        <v>24</v>
      </c>
      <c r="P390" s="1186">
        <v>12</v>
      </c>
      <c r="Q390" s="1186">
        <v>165</v>
      </c>
      <c r="R390" s="1186">
        <v>5</v>
      </c>
      <c r="S390" s="1186">
        <v>23</v>
      </c>
      <c r="T390" s="1186">
        <v>0</v>
      </c>
      <c r="U390" s="1186">
        <v>0</v>
      </c>
      <c r="V390" s="1186">
        <v>31</v>
      </c>
      <c r="W390" s="1186">
        <v>4</v>
      </c>
      <c r="X390" s="1186">
        <v>183820</v>
      </c>
    </row>
  </sheetData>
  <pageMargins left="0.7" right="0.7" top="0.75" bottom="0.75" header="0.3" footer="0.3"/>
  <pageSetup paperSize="9" fitToHeight="50" orientation="landscape" r:id="rId1"/>
  <legacyDrawing r:id="rId2"/>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pageSetUpPr fitToPage="1"/>
  </sheetPr>
  <dimension ref="A1:L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21.85546875" bestFit="1" customWidth="1"/>
    <col min="3" max="3" width="9.42578125" bestFit="1" customWidth="1"/>
    <col min="4" max="4" width="19.85546875" bestFit="1" customWidth="1"/>
    <col min="5" max="5" width="18.140625" bestFit="1" customWidth="1"/>
    <col min="6" max="6" width="16.28515625" bestFit="1" customWidth="1"/>
    <col min="7" max="7" width="15.5703125" bestFit="1" customWidth="1"/>
    <col min="8" max="8" width="20.85546875" bestFit="1" customWidth="1"/>
    <col min="9" max="9" width="18" bestFit="1" customWidth="1"/>
    <col min="10" max="10" width="15.42578125" bestFit="1" customWidth="1"/>
    <col min="11" max="11" width="10.85546875" bestFit="1" customWidth="1"/>
    <col min="12" max="12" width="6.42578125" bestFit="1" customWidth="1"/>
  </cols>
  <sheetData>
    <row r="1" spans="1:12" x14ac:dyDescent="0.2"/>
    <row r="4" spans="1:12" x14ac:dyDescent="0.2">
      <c r="A4" s="1223" t="s">
        <v>4</v>
      </c>
      <c r="B4" s="1223" t="s">
        <v>1668</v>
      </c>
      <c r="C4" s="1223" t="s">
        <v>1669</v>
      </c>
      <c r="D4" s="1223" t="s">
        <v>1670</v>
      </c>
      <c r="E4" s="1223" t="s">
        <v>1671</v>
      </c>
      <c r="F4" s="1223" t="s">
        <v>1672</v>
      </c>
      <c r="G4" s="1223" t="s">
        <v>1673</v>
      </c>
      <c r="H4" s="1223" t="s">
        <v>1674</v>
      </c>
      <c r="I4" s="1223" t="s">
        <v>1675</v>
      </c>
      <c r="J4" s="1223" t="s">
        <v>1676</v>
      </c>
      <c r="K4" s="1223" t="s">
        <v>1677</v>
      </c>
      <c r="L4" s="1223" t="s">
        <v>1678</v>
      </c>
    </row>
    <row r="5" spans="1:12" x14ac:dyDescent="0.2">
      <c r="A5" s="1186" t="s">
        <v>19</v>
      </c>
      <c r="B5" s="1186" t="s">
        <v>71</v>
      </c>
      <c r="C5" s="1186">
        <v>2945</v>
      </c>
      <c r="D5" s="1186">
        <v>800</v>
      </c>
      <c r="E5" s="1186">
        <v>2</v>
      </c>
      <c r="F5" s="1186">
        <v>1574</v>
      </c>
      <c r="G5" s="1186">
        <v>2</v>
      </c>
      <c r="H5" s="1186">
        <v>3</v>
      </c>
      <c r="I5" s="1186">
        <v>272</v>
      </c>
      <c r="J5" s="1186">
        <v>124</v>
      </c>
      <c r="K5" s="1186">
        <v>21</v>
      </c>
      <c r="L5" s="1186">
        <v>147</v>
      </c>
    </row>
    <row r="6" spans="1:12" x14ac:dyDescent="0.2">
      <c r="A6" s="1186" t="s">
        <v>20</v>
      </c>
      <c r="B6" s="1186" t="s">
        <v>71</v>
      </c>
      <c r="C6" s="1186">
        <v>2421</v>
      </c>
      <c r="D6" s="1186">
        <v>729</v>
      </c>
      <c r="E6" s="1186">
        <v>3</v>
      </c>
      <c r="F6" s="1186">
        <v>1211</v>
      </c>
      <c r="G6" s="1186">
        <v>3</v>
      </c>
      <c r="H6" s="1186">
        <v>2</v>
      </c>
      <c r="I6" s="1186">
        <v>197</v>
      </c>
      <c r="J6" s="1186">
        <v>109</v>
      </c>
      <c r="K6" s="1186">
        <v>21</v>
      </c>
      <c r="L6" s="1186">
        <v>146</v>
      </c>
    </row>
    <row r="7" spans="1:12" x14ac:dyDescent="0.2">
      <c r="A7" s="1186" t="s">
        <v>13</v>
      </c>
      <c r="B7" s="1186" t="s">
        <v>71</v>
      </c>
      <c r="C7" s="1186">
        <v>2223</v>
      </c>
      <c r="D7" s="1186">
        <v>635</v>
      </c>
      <c r="E7" s="1186">
        <v>1</v>
      </c>
      <c r="F7" s="1186">
        <v>1135</v>
      </c>
      <c r="G7" s="1186">
        <v>6</v>
      </c>
      <c r="H7" s="1186"/>
      <c r="I7" s="1186">
        <v>194</v>
      </c>
      <c r="J7" s="1186">
        <v>109</v>
      </c>
      <c r="K7" s="1186">
        <v>16</v>
      </c>
      <c r="L7" s="1186">
        <v>127</v>
      </c>
    </row>
    <row r="8" spans="1:12" x14ac:dyDescent="0.2">
      <c r="A8" s="1186" t="s">
        <v>15</v>
      </c>
      <c r="B8" s="1186" t="s">
        <v>71</v>
      </c>
      <c r="C8" s="1186">
        <v>2264</v>
      </c>
      <c r="D8" s="1186">
        <v>547</v>
      </c>
      <c r="E8" s="1186">
        <v>120</v>
      </c>
      <c r="F8" s="1186">
        <v>910</v>
      </c>
      <c r="G8" s="1186">
        <v>296</v>
      </c>
      <c r="H8" s="1186">
        <v>54</v>
      </c>
      <c r="I8" s="1186">
        <v>166</v>
      </c>
      <c r="J8" s="1186">
        <v>77</v>
      </c>
      <c r="K8" s="1186">
        <v>31</v>
      </c>
      <c r="L8" s="1186">
        <v>63</v>
      </c>
    </row>
    <row r="9" spans="1:12" x14ac:dyDescent="0.2">
      <c r="A9" s="1186" t="s">
        <v>17</v>
      </c>
      <c r="B9" s="1186" t="s">
        <v>71</v>
      </c>
      <c r="C9" s="1186">
        <v>2137</v>
      </c>
      <c r="D9" s="1186">
        <v>532</v>
      </c>
      <c r="E9" s="1186">
        <v>101</v>
      </c>
      <c r="F9" s="1186">
        <v>840</v>
      </c>
      <c r="G9" s="1186">
        <v>315</v>
      </c>
      <c r="H9" s="1186">
        <v>31</v>
      </c>
      <c r="I9" s="1186">
        <v>167</v>
      </c>
      <c r="J9" s="1186">
        <v>66</v>
      </c>
      <c r="K9" s="1186">
        <v>19</v>
      </c>
      <c r="L9" s="1186">
        <v>66</v>
      </c>
    </row>
    <row r="10" spans="1:12" x14ac:dyDescent="0.2">
      <c r="A10" s="1186" t="s">
        <v>133</v>
      </c>
      <c r="B10" s="1186" t="s">
        <v>71</v>
      </c>
      <c r="C10" s="1186">
        <v>2293</v>
      </c>
      <c r="D10" s="1186">
        <v>492</v>
      </c>
      <c r="E10" s="1186">
        <v>103</v>
      </c>
      <c r="F10" s="1186">
        <v>959</v>
      </c>
      <c r="G10" s="1186">
        <v>335</v>
      </c>
      <c r="H10" s="1186">
        <v>59</v>
      </c>
      <c r="I10" s="1186">
        <v>173</v>
      </c>
      <c r="J10" s="1186">
        <v>70</v>
      </c>
      <c r="K10" s="1186">
        <v>32</v>
      </c>
      <c r="L10" s="1186">
        <v>70</v>
      </c>
    </row>
    <row r="11" spans="1:12" x14ac:dyDescent="0.2">
      <c r="A11" s="1186" t="s">
        <v>144</v>
      </c>
      <c r="B11" s="1186" t="s">
        <v>71</v>
      </c>
      <c r="C11" s="1186">
        <v>2445</v>
      </c>
      <c r="D11" s="1186">
        <v>566</v>
      </c>
      <c r="E11" s="1186">
        <v>101</v>
      </c>
      <c r="F11" s="1186">
        <v>979</v>
      </c>
      <c r="G11" s="1186">
        <v>374</v>
      </c>
      <c r="H11" s="1186">
        <v>72</v>
      </c>
      <c r="I11" s="1186">
        <v>181</v>
      </c>
      <c r="J11" s="1186">
        <v>60</v>
      </c>
      <c r="K11" s="1186">
        <v>34</v>
      </c>
      <c r="L11" s="1186">
        <v>78</v>
      </c>
    </row>
    <row r="12" spans="1:12" x14ac:dyDescent="0.2">
      <c r="A12" s="1186" t="s">
        <v>282</v>
      </c>
      <c r="B12" s="1186" t="s">
        <v>71</v>
      </c>
      <c r="C12" s="1186">
        <v>2462</v>
      </c>
      <c r="D12" s="1186">
        <v>527</v>
      </c>
      <c r="E12" s="1186">
        <v>91</v>
      </c>
      <c r="F12" s="1186">
        <v>1034</v>
      </c>
      <c r="G12" s="1186">
        <v>381</v>
      </c>
      <c r="H12" s="1186">
        <v>79</v>
      </c>
      <c r="I12" s="1186">
        <v>200</v>
      </c>
      <c r="J12" s="1186">
        <v>40</v>
      </c>
      <c r="K12" s="1186">
        <v>33</v>
      </c>
      <c r="L12" s="1186">
        <v>77</v>
      </c>
    </row>
    <row r="13" spans="1:12" x14ac:dyDescent="0.2">
      <c r="A13" s="1186" t="s">
        <v>311</v>
      </c>
      <c r="B13" s="1186" t="s">
        <v>71</v>
      </c>
      <c r="C13" s="1186">
        <v>2533</v>
      </c>
      <c r="D13" s="1186">
        <v>546</v>
      </c>
      <c r="E13" s="1186">
        <v>112</v>
      </c>
      <c r="F13" s="1186">
        <v>1010</v>
      </c>
      <c r="G13" s="1186">
        <v>373</v>
      </c>
      <c r="H13" s="1186">
        <v>84</v>
      </c>
      <c r="I13" s="1186">
        <v>245</v>
      </c>
      <c r="J13" s="1186">
        <v>52</v>
      </c>
      <c r="K13" s="1186">
        <v>36</v>
      </c>
      <c r="L13" s="1186">
        <v>75</v>
      </c>
    </row>
    <row r="14" spans="1:12" x14ac:dyDescent="0.2">
      <c r="A14" s="1186" t="s">
        <v>621</v>
      </c>
      <c r="B14" s="1186" t="s">
        <v>71</v>
      </c>
      <c r="C14" s="1186">
        <v>2313</v>
      </c>
      <c r="D14" s="1186">
        <v>529</v>
      </c>
      <c r="E14" s="1186">
        <v>79</v>
      </c>
      <c r="F14" s="1186">
        <v>948</v>
      </c>
      <c r="G14" s="1186">
        <v>371</v>
      </c>
      <c r="H14" s="1186">
        <v>75</v>
      </c>
      <c r="I14" s="1186">
        <v>198</v>
      </c>
      <c r="J14" s="1186">
        <v>19</v>
      </c>
      <c r="K14" s="1186">
        <v>41</v>
      </c>
      <c r="L14" s="1186">
        <v>53</v>
      </c>
    </row>
    <row r="15" spans="1:12" x14ac:dyDescent="0.2">
      <c r="A15" s="1186" t="s">
        <v>1419</v>
      </c>
      <c r="B15" s="1186" t="s">
        <v>71</v>
      </c>
      <c r="C15" s="1186">
        <v>2372</v>
      </c>
      <c r="D15" s="1186">
        <v>575</v>
      </c>
      <c r="E15" s="1186">
        <v>68</v>
      </c>
      <c r="F15" s="1186">
        <v>889</v>
      </c>
      <c r="G15" s="1186">
        <v>417</v>
      </c>
      <c r="H15" s="1186">
        <v>79</v>
      </c>
      <c r="I15" s="1186">
        <v>210</v>
      </c>
      <c r="J15" s="1186">
        <v>18</v>
      </c>
      <c r="K15" s="1186">
        <v>53</v>
      </c>
      <c r="L15" s="1186">
        <v>63</v>
      </c>
    </row>
    <row r="16" spans="1:12" x14ac:dyDescent="0.2">
      <c r="A16" s="1186" t="s">
        <v>1572</v>
      </c>
      <c r="B16" s="1186" t="s">
        <v>71</v>
      </c>
      <c r="C16" s="1186">
        <v>1596</v>
      </c>
      <c r="D16" s="1186">
        <v>351</v>
      </c>
      <c r="E16" s="1186">
        <v>49</v>
      </c>
      <c r="F16" s="1186">
        <v>656</v>
      </c>
      <c r="G16" s="1186">
        <v>260</v>
      </c>
      <c r="H16" s="1186">
        <v>47</v>
      </c>
      <c r="I16" s="1186">
        <v>146</v>
      </c>
      <c r="J16" s="1186">
        <v>15</v>
      </c>
      <c r="K16" s="1186">
        <v>31</v>
      </c>
      <c r="L16" s="1186">
        <v>41</v>
      </c>
    </row>
  </sheetData>
  <pageMargins left="0.7" right="0.7" top="0.75" bottom="0.75" header="0.3" footer="0.3"/>
  <pageSetup paperSize="9" fitToHeight="5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AFF0"/>
  </sheetPr>
  <dimension ref="A1:T49"/>
  <sheetViews>
    <sheetView showGridLines="0" workbookViewId="0">
      <pane ySplit="2" topLeftCell="A3" activePane="bottomLeft" state="frozen"/>
      <selection activeCellId="1" sqref="A1 A1"/>
      <selection pane="bottomLeft" activeCell="E14" sqref="A1:XFD1048576"/>
    </sheetView>
  </sheetViews>
  <sheetFormatPr defaultRowHeight="12.75" x14ac:dyDescent="0.2"/>
  <cols>
    <col min="1" max="1" width="18" customWidth="1"/>
    <col min="2" max="2" width="22.7109375" customWidth="1"/>
    <col min="3" max="7" width="11.7109375" customWidth="1"/>
    <col min="8" max="8" width="12.28515625" customWidth="1"/>
    <col min="9" max="10" width="11.7109375" customWidth="1"/>
    <col min="11" max="11" width="14" customWidth="1"/>
    <col min="12" max="17" width="11.7109375" customWidth="1"/>
  </cols>
  <sheetData>
    <row r="1" spans="1:17" ht="17.25" customHeight="1" x14ac:dyDescent="0.2">
      <c r="A1" s="298" t="s">
        <v>1129</v>
      </c>
    </row>
    <row r="2" spans="1:17" ht="17.25" customHeight="1" x14ac:dyDescent="0.2">
      <c r="A2" s="106" t="s">
        <v>578</v>
      </c>
    </row>
    <row r="3" spans="1:17" ht="39" customHeight="1" x14ac:dyDescent="0.2">
      <c r="A3" s="120" t="s">
        <v>1030</v>
      </c>
      <c r="C3" s="120"/>
      <c r="D3" s="120"/>
      <c r="E3" s="120"/>
      <c r="F3" s="120"/>
      <c r="G3" s="120"/>
      <c r="H3" s="1"/>
      <c r="I3" s="1"/>
      <c r="J3" s="1"/>
      <c r="K3" s="1"/>
      <c r="L3" s="1"/>
      <c r="M3" s="1"/>
      <c r="N3" s="1"/>
      <c r="O3" s="1"/>
      <c r="P3" s="1"/>
      <c r="Q3" s="1"/>
    </row>
    <row r="4" spans="1:17" ht="15.75" x14ac:dyDescent="0.25">
      <c r="A4" s="351" t="s">
        <v>579</v>
      </c>
      <c r="B4" s="1043" t="s">
        <v>1305</v>
      </c>
      <c r="D4" s="120"/>
      <c r="E4" s="120"/>
      <c r="F4" s="120"/>
      <c r="G4" s="120"/>
      <c r="H4" s="120"/>
      <c r="I4" s="120"/>
      <c r="J4" s="120"/>
      <c r="K4" s="120"/>
      <c r="L4" s="120"/>
      <c r="M4" s="120"/>
      <c r="N4" s="120"/>
      <c r="O4" s="120"/>
      <c r="P4" s="120"/>
      <c r="Q4" s="1"/>
    </row>
    <row r="5" spans="1:17" ht="15.75" x14ac:dyDescent="0.25">
      <c r="A5" s="351" t="s">
        <v>580</v>
      </c>
      <c r="B5" s="351" t="s">
        <v>581</v>
      </c>
      <c r="C5" s="120"/>
      <c r="D5" s="120"/>
      <c r="E5" s="120"/>
      <c r="F5" s="120"/>
      <c r="G5" s="120"/>
      <c r="H5" s="120"/>
      <c r="I5" s="120"/>
      <c r="J5" s="120"/>
      <c r="K5" s="120"/>
      <c r="L5" s="120"/>
      <c r="M5" s="120"/>
      <c r="N5" s="120"/>
      <c r="O5" s="120"/>
      <c r="P5" s="120"/>
      <c r="Q5" s="1"/>
    </row>
    <row r="6" spans="1:17" ht="15.75" x14ac:dyDescent="0.25">
      <c r="A6" s="351" t="s">
        <v>582</v>
      </c>
      <c r="B6" s="351" t="s">
        <v>585</v>
      </c>
      <c r="C6" s="120"/>
      <c r="D6" s="120"/>
      <c r="E6" s="120"/>
      <c r="F6" s="120"/>
      <c r="G6" s="120"/>
      <c r="H6" s="120"/>
      <c r="I6" s="120"/>
      <c r="J6" s="120"/>
      <c r="K6" s="120"/>
      <c r="L6" s="120"/>
      <c r="M6" s="120"/>
      <c r="N6" s="120"/>
      <c r="O6" s="120"/>
      <c r="P6" s="120"/>
      <c r="Q6" s="1"/>
    </row>
    <row r="7" spans="1:17" ht="15.75" x14ac:dyDescent="0.2">
      <c r="C7" s="120"/>
      <c r="D7" s="120"/>
      <c r="E7" s="120"/>
      <c r="F7" s="120"/>
      <c r="G7" s="120"/>
      <c r="H7" s="120"/>
      <c r="I7" s="120"/>
      <c r="J7" s="120"/>
      <c r="K7" s="120"/>
      <c r="L7" s="120"/>
      <c r="M7" s="120"/>
      <c r="N7" s="120"/>
      <c r="O7" s="120"/>
      <c r="P7" s="120"/>
      <c r="Q7" s="1"/>
    </row>
    <row r="8" spans="1:17" ht="15" x14ac:dyDescent="0.25">
      <c r="C8" s="1"/>
      <c r="D8" s="1"/>
      <c r="E8" s="1"/>
      <c r="F8" s="1"/>
      <c r="G8" s="1"/>
      <c r="H8" s="1"/>
      <c r="I8" s="1"/>
      <c r="J8" s="1"/>
      <c r="K8" s="1"/>
      <c r="L8" s="1"/>
      <c r="M8" s="1"/>
      <c r="N8" s="1"/>
      <c r="O8" s="1"/>
      <c r="P8" s="1"/>
      <c r="Q8" s="83" t="s">
        <v>0</v>
      </c>
    </row>
    <row r="9" spans="1:17" x14ac:dyDescent="0.2">
      <c r="C9" s="1296" t="s">
        <v>5</v>
      </c>
      <c r="D9" s="1288" t="s">
        <v>6</v>
      </c>
      <c r="E9" s="1289"/>
      <c r="F9" s="1289"/>
      <c r="G9" s="1289"/>
      <c r="H9" s="1289"/>
      <c r="I9" s="1289"/>
      <c r="J9" s="1289"/>
      <c r="K9" s="1289"/>
      <c r="L9" s="1289"/>
      <c r="M9" s="1289"/>
      <c r="N9" s="1289"/>
      <c r="O9" s="1289"/>
      <c r="P9" s="1290"/>
      <c r="Q9" s="1277" t="s">
        <v>261</v>
      </c>
    </row>
    <row r="10" spans="1:17" ht="51" x14ac:dyDescent="0.2">
      <c r="A10" s="2" t="s">
        <v>586</v>
      </c>
      <c r="B10" s="2" t="s">
        <v>22</v>
      </c>
      <c r="C10" s="1300"/>
      <c r="D10" s="255" t="s">
        <v>74</v>
      </c>
      <c r="E10" s="256" t="s">
        <v>75</v>
      </c>
      <c r="F10" s="256" t="s">
        <v>76</v>
      </c>
      <c r="G10" s="256" t="s">
        <v>77</v>
      </c>
      <c r="H10" s="256" t="s">
        <v>531</v>
      </c>
      <c r="I10" s="256" t="s">
        <v>532</v>
      </c>
      <c r="J10" s="256" t="s">
        <v>533</v>
      </c>
      <c r="K10" s="256" t="s">
        <v>78</v>
      </c>
      <c r="L10" s="256" t="s">
        <v>79</v>
      </c>
      <c r="M10" s="256" t="s">
        <v>80</v>
      </c>
      <c r="N10" s="256" t="s">
        <v>81</v>
      </c>
      <c r="O10" s="256" t="s">
        <v>534</v>
      </c>
      <c r="P10" s="257" t="s">
        <v>8</v>
      </c>
      <c r="Q10" s="1291"/>
    </row>
    <row r="11" spans="1:17" x14ac:dyDescent="0.2">
      <c r="A11" s="414" t="s">
        <v>587</v>
      </c>
      <c r="B11" s="400" t="s">
        <v>23</v>
      </c>
      <c r="C11" s="481">
        <f>T_08!C5</f>
        <v>59</v>
      </c>
      <c r="D11" s="482">
        <f>T_08!D5</f>
        <v>112</v>
      </c>
      <c r="E11" s="483">
        <f>T_08!E5</f>
        <v>39</v>
      </c>
      <c r="F11" s="483">
        <f>T_08!F5</f>
        <v>0</v>
      </c>
      <c r="G11" s="483">
        <f>T_08!G5</f>
        <v>0</v>
      </c>
      <c r="H11" s="484">
        <f>T_08!H5</f>
        <v>26</v>
      </c>
      <c r="I11" s="483">
        <f>T_08!I5</f>
        <v>0</v>
      </c>
      <c r="J11" s="483">
        <f>T_08!J5</f>
        <v>7</v>
      </c>
      <c r="K11" s="483">
        <f>T_08!K5</f>
        <v>0</v>
      </c>
      <c r="L11" s="483">
        <f>T_08!L5</f>
        <v>0</v>
      </c>
      <c r="M11" s="483">
        <f>T_08!M5</f>
        <v>0</v>
      </c>
      <c r="N11" s="483">
        <f>T_08!N5</f>
        <v>0</v>
      </c>
      <c r="O11" s="483">
        <f>T_08!O5</f>
        <v>6</v>
      </c>
      <c r="P11" s="483">
        <f>T_08!P5</f>
        <v>11</v>
      </c>
      <c r="Q11" s="938">
        <f t="shared" ref="Q11:Q42" si="0">SUM(C11:P11)</f>
        <v>260</v>
      </c>
    </row>
    <row r="12" spans="1:17" x14ac:dyDescent="0.2">
      <c r="A12" s="1" t="s">
        <v>588</v>
      </c>
      <c r="B12" s="117" t="s">
        <v>24</v>
      </c>
      <c r="C12" s="481">
        <f>T_08!C6</f>
        <v>96</v>
      </c>
      <c r="D12" s="110">
        <f>T_08!D6</f>
        <v>15</v>
      </c>
      <c r="E12" s="111">
        <f>T_08!E6</f>
        <v>11</v>
      </c>
      <c r="F12" s="111">
        <f>T_08!F6</f>
        <v>0</v>
      </c>
      <c r="G12" s="111">
        <f>T_08!G6</f>
        <v>0</v>
      </c>
      <c r="H12" s="485">
        <f>T_08!H6</f>
        <v>40</v>
      </c>
      <c r="I12" s="111">
        <f>T_08!I6</f>
        <v>2</v>
      </c>
      <c r="J12" s="111">
        <f>T_08!J6</f>
        <v>8</v>
      </c>
      <c r="K12" s="111">
        <f>T_08!K6</f>
        <v>4</v>
      </c>
      <c r="L12" s="111">
        <f>T_08!L6</f>
        <v>0</v>
      </c>
      <c r="M12" s="111">
        <f>T_08!M6</f>
        <v>0</v>
      </c>
      <c r="N12" s="111">
        <f>T_08!N6</f>
        <v>0</v>
      </c>
      <c r="O12" s="111">
        <f>T_08!O6</f>
        <v>7</v>
      </c>
      <c r="P12" s="111">
        <f>T_08!P6</f>
        <v>0</v>
      </c>
      <c r="Q12" s="937">
        <f t="shared" si="0"/>
        <v>183</v>
      </c>
    </row>
    <row r="13" spans="1:17" x14ac:dyDescent="0.2">
      <c r="A13" s="1" t="s">
        <v>589</v>
      </c>
      <c r="B13" s="117" t="s">
        <v>25</v>
      </c>
      <c r="C13" s="481">
        <f>T_08!C7</f>
        <v>37</v>
      </c>
      <c r="D13" s="110">
        <f>T_08!D7</f>
        <v>14</v>
      </c>
      <c r="E13" s="111">
        <f>T_08!E7</f>
        <v>11</v>
      </c>
      <c r="F13" s="111">
        <f>T_08!F7</f>
        <v>0</v>
      </c>
      <c r="G13" s="111">
        <f>T_08!G7</f>
        <v>0</v>
      </c>
      <c r="H13" s="485">
        <f>T_08!H7</f>
        <v>12</v>
      </c>
      <c r="I13" s="485">
        <f>T_08!I7</f>
        <v>1</v>
      </c>
      <c r="J13" s="111">
        <f>T_08!J7</f>
        <v>5</v>
      </c>
      <c r="K13" s="111">
        <f>T_08!K7</f>
        <v>0</v>
      </c>
      <c r="L13" s="111">
        <f>T_08!L7</f>
        <v>0</v>
      </c>
      <c r="M13" s="111">
        <f>T_08!M7</f>
        <v>1</v>
      </c>
      <c r="N13" s="111">
        <f>T_08!N7</f>
        <v>0</v>
      </c>
      <c r="O13" s="111">
        <f>T_08!O7</f>
        <v>1</v>
      </c>
      <c r="P13" s="111">
        <f>T_08!P7</f>
        <v>0</v>
      </c>
      <c r="Q13" s="937">
        <f t="shared" si="0"/>
        <v>82</v>
      </c>
    </row>
    <row r="14" spans="1:17" x14ac:dyDescent="0.2">
      <c r="A14" s="1" t="s">
        <v>590</v>
      </c>
      <c r="B14" s="117" t="s">
        <v>26</v>
      </c>
      <c r="C14" s="481">
        <f>T_08!C8</f>
        <v>41</v>
      </c>
      <c r="D14" s="110">
        <f>T_08!D8</f>
        <v>24</v>
      </c>
      <c r="E14" s="111">
        <f>T_08!E8</f>
        <v>8</v>
      </c>
      <c r="F14" s="111">
        <f>T_08!F8</f>
        <v>0</v>
      </c>
      <c r="G14" s="111">
        <f>T_08!G8</f>
        <v>0</v>
      </c>
      <c r="H14" s="485">
        <f>T_08!H8</f>
        <v>12</v>
      </c>
      <c r="I14" s="111">
        <f>T_08!I8</f>
        <v>1</v>
      </c>
      <c r="J14" s="111">
        <f>T_08!J8</f>
        <v>0</v>
      </c>
      <c r="K14" s="111">
        <f>T_08!K8</f>
        <v>2</v>
      </c>
      <c r="L14" s="111">
        <f>T_08!L8</f>
        <v>0</v>
      </c>
      <c r="M14" s="111">
        <f>T_08!M8</f>
        <v>1</v>
      </c>
      <c r="N14" s="111">
        <f>T_08!N8</f>
        <v>3</v>
      </c>
      <c r="O14" s="111">
        <f>T_08!O8</f>
        <v>2</v>
      </c>
      <c r="P14" s="111">
        <f>T_08!P8</f>
        <v>1</v>
      </c>
      <c r="Q14" s="937">
        <f t="shared" si="0"/>
        <v>95</v>
      </c>
    </row>
    <row r="15" spans="1:17" x14ac:dyDescent="0.2">
      <c r="A15" s="1" t="s">
        <v>591</v>
      </c>
      <c r="B15" s="117" t="s">
        <v>619</v>
      </c>
      <c r="C15" s="481">
        <f>T_08!C9</f>
        <v>85</v>
      </c>
      <c r="D15" s="110">
        <f>T_08!D9</f>
        <v>182</v>
      </c>
      <c r="E15" s="111">
        <f>T_08!E9</f>
        <v>107</v>
      </c>
      <c r="F15" s="111">
        <f>T_08!F9</f>
        <v>2</v>
      </c>
      <c r="G15" s="111">
        <f>T_08!G9</f>
        <v>0</v>
      </c>
      <c r="H15" s="111">
        <f>T_08!H9</f>
        <v>38</v>
      </c>
      <c r="I15" s="485">
        <f>T_08!I9</f>
        <v>0</v>
      </c>
      <c r="J15" s="111">
        <f>T_08!J9</f>
        <v>8</v>
      </c>
      <c r="K15" s="111">
        <f>T_08!K9</f>
        <v>6</v>
      </c>
      <c r="L15" s="111">
        <f>T_08!L9</f>
        <v>12</v>
      </c>
      <c r="M15" s="111">
        <f>T_08!M9</f>
        <v>0</v>
      </c>
      <c r="N15" s="111">
        <f>T_08!N9</f>
        <v>0</v>
      </c>
      <c r="O15" s="111">
        <f>T_08!O9</f>
        <v>3</v>
      </c>
      <c r="P15" s="111">
        <f>T_08!P9</f>
        <v>16</v>
      </c>
      <c r="Q15" s="937">
        <f t="shared" si="0"/>
        <v>459</v>
      </c>
    </row>
    <row r="16" spans="1:17" x14ac:dyDescent="0.2">
      <c r="A16" s="1" t="s">
        <v>592</v>
      </c>
      <c r="B16" s="117" t="s">
        <v>27</v>
      </c>
      <c r="C16" s="481">
        <f>T_08!C10</f>
        <v>40</v>
      </c>
      <c r="D16" s="110">
        <f>T_08!D10</f>
        <v>10</v>
      </c>
      <c r="E16" s="111">
        <f>T_08!E10</f>
        <v>3</v>
      </c>
      <c r="F16" s="111">
        <f>T_08!F10</f>
        <v>0</v>
      </c>
      <c r="G16" s="111">
        <f>T_08!G10</f>
        <v>0</v>
      </c>
      <c r="H16" s="111">
        <f>T_08!H10</f>
        <v>0</v>
      </c>
      <c r="I16" s="111">
        <f>T_08!I10</f>
        <v>0</v>
      </c>
      <c r="J16" s="111">
        <f>T_08!J10</f>
        <v>2</v>
      </c>
      <c r="K16" s="111">
        <f>T_08!K10</f>
        <v>0</v>
      </c>
      <c r="L16" s="111">
        <f>T_08!L10</f>
        <v>0</v>
      </c>
      <c r="M16" s="111">
        <f>T_08!M10</f>
        <v>0</v>
      </c>
      <c r="N16" s="111">
        <f>T_08!N10</f>
        <v>0</v>
      </c>
      <c r="O16" s="111">
        <f>T_08!O10</f>
        <v>1</v>
      </c>
      <c r="P16" s="111">
        <f>T_08!P10</f>
        <v>0</v>
      </c>
      <c r="Q16" s="937">
        <f t="shared" si="0"/>
        <v>56</v>
      </c>
    </row>
    <row r="17" spans="1:17" x14ac:dyDescent="0.2">
      <c r="A17" s="1" t="s">
        <v>593</v>
      </c>
      <c r="B17" s="117" t="s">
        <v>28</v>
      </c>
      <c r="C17" s="481">
        <f>T_08!C11</f>
        <v>48</v>
      </c>
      <c r="D17" s="110">
        <f>T_08!D11</f>
        <v>16</v>
      </c>
      <c r="E17" s="111">
        <f>T_08!E11</f>
        <v>4</v>
      </c>
      <c r="F17" s="111">
        <f>T_08!F11</f>
        <v>1</v>
      </c>
      <c r="G17" s="111">
        <f>T_08!G11</f>
        <v>0</v>
      </c>
      <c r="H17" s="111">
        <f>T_08!H11</f>
        <v>1</v>
      </c>
      <c r="I17" s="111">
        <f>T_08!I11</f>
        <v>2</v>
      </c>
      <c r="J17" s="111">
        <f>T_08!J11</f>
        <v>2</v>
      </c>
      <c r="K17" s="111">
        <f>T_08!K11</f>
        <v>2</v>
      </c>
      <c r="L17" s="111">
        <f>T_08!L11</f>
        <v>0</v>
      </c>
      <c r="M17" s="111">
        <f>T_08!M11</f>
        <v>1</v>
      </c>
      <c r="N17" s="111">
        <f>T_08!N11</f>
        <v>0</v>
      </c>
      <c r="O17" s="111">
        <f>T_08!O11</f>
        <v>3</v>
      </c>
      <c r="P17" s="111">
        <f>T_08!P11</f>
        <v>0</v>
      </c>
      <c r="Q17" s="937">
        <f t="shared" si="0"/>
        <v>80</v>
      </c>
    </row>
    <row r="18" spans="1:17" x14ac:dyDescent="0.2">
      <c r="A18" s="1" t="s">
        <v>594</v>
      </c>
      <c r="B18" s="117" t="s">
        <v>29</v>
      </c>
      <c r="C18" s="481">
        <f>T_08!C12</f>
        <v>57</v>
      </c>
      <c r="D18" s="110">
        <f>T_08!D12</f>
        <v>80</v>
      </c>
      <c r="E18" s="111">
        <f>T_08!E12</f>
        <v>51</v>
      </c>
      <c r="F18" s="111">
        <f>T_08!F12</f>
        <v>1</v>
      </c>
      <c r="G18" s="111">
        <f>T_08!G12</f>
        <v>0</v>
      </c>
      <c r="H18" s="111">
        <f>T_08!H12</f>
        <v>14</v>
      </c>
      <c r="I18" s="111">
        <f>T_08!I12</f>
        <v>0</v>
      </c>
      <c r="J18" s="111">
        <f>T_08!J12</f>
        <v>6</v>
      </c>
      <c r="K18" s="111">
        <f>T_08!K12</f>
        <v>1</v>
      </c>
      <c r="L18" s="111">
        <f>T_08!L12</f>
        <v>1</v>
      </c>
      <c r="M18" s="111">
        <f>T_08!M12</f>
        <v>0</v>
      </c>
      <c r="N18" s="111">
        <f>T_08!N12</f>
        <v>0</v>
      </c>
      <c r="O18" s="111">
        <f>T_08!O12</f>
        <v>5</v>
      </c>
      <c r="P18" s="111">
        <f>T_08!P12</f>
        <v>3</v>
      </c>
      <c r="Q18" s="937">
        <f t="shared" si="0"/>
        <v>219</v>
      </c>
    </row>
    <row r="19" spans="1:17" x14ac:dyDescent="0.2">
      <c r="A19" s="1" t="s">
        <v>595</v>
      </c>
      <c r="B19" s="117" t="s">
        <v>30</v>
      </c>
      <c r="C19" s="481">
        <f>T_08!C13</f>
        <v>65</v>
      </c>
      <c r="D19" s="110">
        <f>T_08!D13</f>
        <v>33</v>
      </c>
      <c r="E19" s="111">
        <f>T_08!E13</f>
        <v>5</v>
      </c>
      <c r="F19" s="111">
        <f>T_08!F13</f>
        <v>0</v>
      </c>
      <c r="G19" s="111">
        <f>T_08!G13</f>
        <v>0</v>
      </c>
      <c r="H19" s="485">
        <f>T_08!H13</f>
        <v>2</v>
      </c>
      <c r="I19" s="111">
        <f>T_08!I13</f>
        <v>0</v>
      </c>
      <c r="J19" s="111">
        <f>T_08!J13</f>
        <v>4</v>
      </c>
      <c r="K19" s="111">
        <f>T_08!K13</f>
        <v>0</v>
      </c>
      <c r="L19" s="111">
        <f>T_08!L13</f>
        <v>0</v>
      </c>
      <c r="M19" s="111">
        <f>T_08!M13</f>
        <v>0</v>
      </c>
      <c r="N19" s="111">
        <f>T_08!N13</f>
        <v>1</v>
      </c>
      <c r="O19" s="111">
        <f>T_08!O13</f>
        <v>2</v>
      </c>
      <c r="P19" s="111">
        <f>T_08!P13</f>
        <v>0</v>
      </c>
      <c r="Q19" s="937">
        <f t="shared" si="0"/>
        <v>112</v>
      </c>
    </row>
    <row r="20" spans="1:17" x14ac:dyDescent="0.2">
      <c r="A20" s="1" t="s">
        <v>596</v>
      </c>
      <c r="B20" s="117" t="s">
        <v>31</v>
      </c>
      <c r="C20" s="481">
        <f>T_08!C14</f>
        <v>52</v>
      </c>
      <c r="D20" s="110">
        <f>T_08!D14</f>
        <v>15</v>
      </c>
      <c r="E20" s="111">
        <f>T_08!E14</f>
        <v>2</v>
      </c>
      <c r="F20" s="111">
        <f>T_08!F14</f>
        <v>0</v>
      </c>
      <c r="G20" s="111">
        <f>T_08!G14</f>
        <v>0</v>
      </c>
      <c r="H20" s="111">
        <f>T_08!H14</f>
        <v>5</v>
      </c>
      <c r="I20" s="111">
        <f>T_08!I14</f>
        <v>0</v>
      </c>
      <c r="J20" s="111">
        <f>T_08!J14</f>
        <v>0</v>
      </c>
      <c r="K20" s="111">
        <f>T_08!K14</f>
        <v>0</v>
      </c>
      <c r="L20" s="111">
        <f>T_08!L14</f>
        <v>0</v>
      </c>
      <c r="M20" s="111">
        <f>T_08!M14</f>
        <v>0</v>
      </c>
      <c r="N20" s="111">
        <f>T_08!N14</f>
        <v>0</v>
      </c>
      <c r="O20" s="111">
        <f>T_08!O14</f>
        <v>0</v>
      </c>
      <c r="P20" s="111">
        <f>T_08!P14</f>
        <v>0</v>
      </c>
      <c r="Q20" s="937">
        <f t="shared" si="0"/>
        <v>74</v>
      </c>
    </row>
    <row r="21" spans="1:17" x14ac:dyDescent="0.2">
      <c r="A21" s="1" t="s">
        <v>597</v>
      </c>
      <c r="B21" s="117" t="s">
        <v>32</v>
      </c>
      <c r="C21" s="481">
        <f>T_08!C15</f>
        <v>35</v>
      </c>
      <c r="D21" s="110">
        <f>T_08!D15</f>
        <v>8</v>
      </c>
      <c r="E21" s="111">
        <f>T_08!E15</f>
        <v>3</v>
      </c>
      <c r="F21" s="111">
        <f>T_08!F15</f>
        <v>0</v>
      </c>
      <c r="G21" s="111">
        <f>T_08!G15</f>
        <v>0</v>
      </c>
      <c r="H21" s="111">
        <f>T_08!H15</f>
        <v>2</v>
      </c>
      <c r="I21" s="111">
        <f>T_08!I15</f>
        <v>0</v>
      </c>
      <c r="J21" s="111">
        <f>T_08!J15</f>
        <v>1</v>
      </c>
      <c r="K21" s="111">
        <f>T_08!K15</f>
        <v>0</v>
      </c>
      <c r="L21" s="111">
        <f>T_08!L15</f>
        <v>0</v>
      </c>
      <c r="M21" s="111">
        <f>T_08!M15</f>
        <v>0</v>
      </c>
      <c r="N21" s="111">
        <f>T_08!N15</f>
        <v>0</v>
      </c>
      <c r="O21" s="111">
        <f>T_08!O15</f>
        <v>4</v>
      </c>
      <c r="P21" s="111">
        <f>T_08!P15</f>
        <v>2</v>
      </c>
      <c r="Q21" s="937">
        <f t="shared" si="0"/>
        <v>55</v>
      </c>
    </row>
    <row r="22" spans="1:17" x14ac:dyDescent="0.2">
      <c r="A22" s="1" t="s">
        <v>598</v>
      </c>
      <c r="B22" s="117" t="s">
        <v>33</v>
      </c>
      <c r="C22" s="481">
        <f>T_08!C16</f>
        <v>31</v>
      </c>
      <c r="D22" s="110">
        <f>T_08!D16</f>
        <v>13</v>
      </c>
      <c r="E22" s="111">
        <f>T_08!E16</f>
        <v>4</v>
      </c>
      <c r="F22" s="111">
        <f>T_08!F16</f>
        <v>0</v>
      </c>
      <c r="G22" s="111">
        <f>T_08!G16</f>
        <v>0</v>
      </c>
      <c r="H22" s="111">
        <f>T_08!H16</f>
        <v>5</v>
      </c>
      <c r="I22" s="111">
        <f>T_08!I16</f>
        <v>0</v>
      </c>
      <c r="J22" s="111">
        <f>T_08!J16</f>
        <v>0</v>
      </c>
      <c r="K22" s="111">
        <f>T_08!K16</f>
        <v>0</v>
      </c>
      <c r="L22" s="111">
        <f>T_08!L16</f>
        <v>0</v>
      </c>
      <c r="M22" s="111">
        <f>T_08!M16</f>
        <v>0</v>
      </c>
      <c r="N22" s="111">
        <f>T_08!N16</f>
        <v>0</v>
      </c>
      <c r="O22" s="111">
        <f>T_08!O16</f>
        <v>1</v>
      </c>
      <c r="P22" s="111">
        <f>T_08!P16</f>
        <v>0</v>
      </c>
      <c r="Q22" s="937">
        <f t="shared" si="0"/>
        <v>54</v>
      </c>
    </row>
    <row r="23" spans="1:17" x14ac:dyDescent="0.2">
      <c r="A23" s="1" t="s">
        <v>599</v>
      </c>
      <c r="B23" s="117" t="s">
        <v>34</v>
      </c>
      <c r="C23" s="481">
        <f>T_08!C17</f>
        <v>41</v>
      </c>
      <c r="D23" s="110">
        <f>T_08!D17</f>
        <v>49</v>
      </c>
      <c r="E23" s="111">
        <f>T_08!E17</f>
        <v>5</v>
      </c>
      <c r="F23" s="111">
        <f>T_08!F17</f>
        <v>0</v>
      </c>
      <c r="G23" s="111">
        <f>T_08!G17</f>
        <v>0</v>
      </c>
      <c r="H23" s="111">
        <f>T_08!H17</f>
        <v>11</v>
      </c>
      <c r="I23" s="111">
        <f>T_08!I17</f>
        <v>0</v>
      </c>
      <c r="J23" s="111">
        <f>T_08!J17</f>
        <v>3</v>
      </c>
      <c r="K23" s="111">
        <f>T_08!K17</f>
        <v>0</v>
      </c>
      <c r="L23" s="111">
        <f>T_08!L17</f>
        <v>0</v>
      </c>
      <c r="M23" s="111">
        <f>T_08!M17</f>
        <v>0</v>
      </c>
      <c r="N23" s="111">
        <f>T_08!N17</f>
        <v>0</v>
      </c>
      <c r="O23" s="111">
        <f>T_08!O17</f>
        <v>5</v>
      </c>
      <c r="P23" s="111">
        <f>T_08!P17</f>
        <v>0</v>
      </c>
      <c r="Q23" s="937">
        <f t="shared" si="0"/>
        <v>114</v>
      </c>
    </row>
    <row r="24" spans="1:17" x14ac:dyDescent="0.2">
      <c r="A24" s="1" t="s">
        <v>600</v>
      </c>
      <c r="B24" s="117" t="s">
        <v>35</v>
      </c>
      <c r="C24" s="481">
        <f>T_08!C18</f>
        <v>146</v>
      </c>
      <c r="D24" s="110">
        <f>T_08!D18</f>
        <v>78</v>
      </c>
      <c r="E24" s="111">
        <f>T_08!E18</f>
        <v>11</v>
      </c>
      <c r="F24" s="111">
        <f>T_08!F18</f>
        <v>1</v>
      </c>
      <c r="G24" s="111">
        <f>T_08!G18</f>
        <v>1</v>
      </c>
      <c r="H24" s="111">
        <f>T_08!H18</f>
        <v>9</v>
      </c>
      <c r="I24" s="111">
        <f>T_08!I18</f>
        <v>0</v>
      </c>
      <c r="J24" s="111">
        <f>T_08!J18</f>
        <v>1</v>
      </c>
      <c r="K24" s="111">
        <f>T_08!K18</f>
        <v>0</v>
      </c>
      <c r="L24" s="111">
        <f>T_08!L18</f>
        <v>0</v>
      </c>
      <c r="M24" s="111">
        <f>T_08!M18</f>
        <v>0</v>
      </c>
      <c r="N24" s="111">
        <f>T_08!N18</f>
        <v>1</v>
      </c>
      <c r="O24" s="111">
        <f>T_08!O18</f>
        <v>1</v>
      </c>
      <c r="P24" s="111">
        <f>T_08!P18</f>
        <v>2</v>
      </c>
      <c r="Q24" s="937">
        <f t="shared" si="0"/>
        <v>251</v>
      </c>
    </row>
    <row r="25" spans="1:17" x14ac:dyDescent="0.2">
      <c r="A25" s="1" t="s">
        <v>601</v>
      </c>
      <c r="B25" s="117" t="s">
        <v>36</v>
      </c>
      <c r="C25" s="481">
        <f>T_08!C19</f>
        <v>143</v>
      </c>
      <c r="D25" s="110">
        <f>T_08!D19</f>
        <v>382</v>
      </c>
      <c r="E25" s="111">
        <f>T_08!E19</f>
        <v>247</v>
      </c>
      <c r="F25" s="111">
        <f>T_08!F19</f>
        <v>2</v>
      </c>
      <c r="G25" s="111">
        <f>T_08!G19</f>
        <v>2</v>
      </c>
      <c r="H25" s="111">
        <f>T_08!H19</f>
        <v>17</v>
      </c>
      <c r="I25" s="111">
        <f>T_08!I19</f>
        <v>1</v>
      </c>
      <c r="J25" s="111">
        <f>T_08!J19</f>
        <v>1</v>
      </c>
      <c r="K25" s="111">
        <f>T_08!K19</f>
        <v>3</v>
      </c>
      <c r="L25" s="111">
        <f>T_08!L19</f>
        <v>10</v>
      </c>
      <c r="M25" s="111">
        <f>T_08!M19</f>
        <v>0</v>
      </c>
      <c r="N25" s="111">
        <f>T_08!N19</f>
        <v>0</v>
      </c>
      <c r="O25" s="111">
        <f>T_08!O19</f>
        <v>22</v>
      </c>
      <c r="P25" s="111">
        <f>T_08!P19</f>
        <v>7</v>
      </c>
      <c r="Q25" s="937">
        <f t="shared" si="0"/>
        <v>837</v>
      </c>
    </row>
    <row r="26" spans="1:17" x14ac:dyDescent="0.2">
      <c r="A26" s="1" t="s">
        <v>602</v>
      </c>
      <c r="B26" s="117" t="s">
        <v>37</v>
      </c>
      <c r="C26" s="481">
        <f>T_08!C20</f>
        <v>96</v>
      </c>
      <c r="D26" s="110">
        <f>T_08!D20</f>
        <v>21</v>
      </c>
      <c r="E26" s="111">
        <f>T_08!E20</f>
        <v>0</v>
      </c>
      <c r="F26" s="111">
        <f>T_08!F20</f>
        <v>3</v>
      </c>
      <c r="G26" s="111">
        <f>T_08!G20</f>
        <v>1</v>
      </c>
      <c r="H26" s="111">
        <f>T_08!H20</f>
        <v>8</v>
      </c>
      <c r="I26" s="111">
        <f>T_08!I20</f>
        <v>0</v>
      </c>
      <c r="J26" s="111">
        <f>T_08!J20</f>
        <v>3</v>
      </c>
      <c r="K26" s="111">
        <f>T_08!K20</f>
        <v>8</v>
      </c>
      <c r="L26" s="111">
        <f>T_08!L20</f>
        <v>0</v>
      </c>
      <c r="M26" s="111">
        <f>T_08!M20</f>
        <v>2</v>
      </c>
      <c r="N26" s="111">
        <f>T_08!N20</f>
        <v>0</v>
      </c>
      <c r="O26" s="111">
        <f>T_08!O20</f>
        <v>12</v>
      </c>
      <c r="P26" s="111">
        <f>T_08!P20</f>
        <v>0</v>
      </c>
      <c r="Q26" s="937">
        <f t="shared" si="0"/>
        <v>154</v>
      </c>
    </row>
    <row r="27" spans="1:17" x14ac:dyDescent="0.2">
      <c r="A27" s="1" t="s">
        <v>603</v>
      </c>
      <c r="B27" s="117" t="s">
        <v>38</v>
      </c>
      <c r="C27" s="481">
        <f>T_08!C21</f>
        <v>40</v>
      </c>
      <c r="D27" s="110">
        <f>T_08!D21</f>
        <v>33</v>
      </c>
      <c r="E27" s="111">
        <f>T_08!E21</f>
        <v>33</v>
      </c>
      <c r="F27" s="111">
        <f>T_08!F21</f>
        <v>0</v>
      </c>
      <c r="G27" s="111">
        <f>T_08!G21</f>
        <v>0</v>
      </c>
      <c r="H27" s="111">
        <f>T_08!H21</f>
        <v>4</v>
      </c>
      <c r="I27" s="111">
        <f>T_08!I21</f>
        <v>0</v>
      </c>
      <c r="J27" s="111">
        <f>T_08!J21</f>
        <v>0</v>
      </c>
      <c r="K27" s="111">
        <f>T_08!K21</f>
        <v>0</v>
      </c>
      <c r="L27" s="111">
        <f>T_08!L21</f>
        <v>0</v>
      </c>
      <c r="M27" s="111">
        <f>T_08!M21</f>
        <v>0</v>
      </c>
      <c r="N27" s="111">
        <f>T_08!N21</f>
        <v>0</v>
      </c>
      <c r="O27" s="111">
        <f>T_08!O21</f>
        <v>1</v>
      </c>
      <c r="P27" s="111">
        <f>T_08!P21</f>
        <v>0</v>
      </c>
      <c r="Q27" s="937">
        <f t="shared" si="0"/>
        <v>111</v>
      </c>
    </row>
    <row r="28" spans="1:17" x14ac:dyDescent="0.2">
      <c r="A28" s="1" t="s">
        <v>604</v>
      </c>
      <c r="B28" s="117" t="s">
        <v>39</v>
      </c>
      <c r="C28" s="481">
        <f>T_08!C22</f>
        <v>37</v>
      </c>
      <c r="D28" s="110">
        <f>T_08!D22</f>
        <v>6</v>
      </c>
      <c r="E28" s="111">
        <f>T_08!E22</f>
        <v>5</v>
      </c>
      <c r="F28" s="111">
        <f>T_08!F22</f>
        <v>0</v>
      </c>
      <c r="G28" s="111">
        <f>T_08!G22</f>
        <v>0</v>
      </c>
      <c r="H28" s="111">
        <f>T_08!H22</f>
        <v>11</v>
      </c>
      <c r="I28" s="111">
        <f>T_08!I22</f>
        <v>0</v>
      </c>
      <c r="J28" s="111">
        <f>T_08!J22</f>
        <v>0</v>
      </c>
      <c r="K28" s="111">
        <f>T_08!K22</f>
        <v>1</v>
      </c>
      <c r="L28" s="111">
        <f>T_08!L22</f>
        <v>1</v>
      </c>
      <c r="M28" s="111">
        <f>T_08!M22</f>
        <v>0</v>
      </c>
      <c r="N28" s="111">
        <f>T_08!N22</f>
        <v>0</v>
      </c>
      <c r="O28" s="111">
        <f>T_08!O22</f>
        <v>4</v>
      </c>
      <c r="P28" s="111">
        <f>T_08!P22</f>
        <v>0</v>
      </c>
      <c r="Q28" s="937">
        <f t="shared" si="0"/>
        <v>65</v>
      </c>
    </row>
    <row r="29" spans="1:17" x14ac:dyDescent="0.2">
      <c r="A29" s="1" t="s">
        <v>605</v>
      </c>
      <c r="B29" s="117" t="s">
        <v>40</v>
      </c>
      <c r="C29" s="481">
        <f>T_08!C23</f>
        <v>33</v>
      </c>
      <c r="D29" s="110">
        <f>T_08!D23</f>
        <v>9</v>
      </c>
      <c r="E29" s="111">
        <f>T_08!E23</f>
        <v>0</v>
      </c>
      <c r="F29" s="111">
        <f>T_08!F23</f>
        <v>1</v>
      </c>
      <c r="G29" s="111">
        <f>T_08!G23</f>
        <v>0</v>
      </c>
      <c r="H29" s="111">
        <f>T_08!H23</f>
        <v>8</v>
      </c>
      <c r="I29" s="111">
        <f>T_08!I23</f>
        <v>0</v>
      </c>
      <c r="J29" s="111">
        <f>T_08!J23</f>
        <v>0</v>
      </c>
      <c r="K29" s="111">
        <f>T_08!K23</f>
        <v>3</v>
      </c>
      <c r="L29" s="111">
        <f>T_08!L23</f>
        <v>0</v>
      </c>
      <c r="M29" s="111">
        <f>T_08!M23</f>
        <v>0</v>
      </c>
      <c r="N29" s="111">
        <f>T_08!N23</f>
        <v>0</v>
      </c>
      <c r="O29" s="111">
        <f>T_08!O23</f>
        <v>0</v>
      </c>
      <c r="P29" s="111">
        <f>T_08!P23</f>
        <v>0</v>
      </c>
      <c r="Q29" s="937">
        <f t="shared" si="0"/>
        <v>54</v>
      </c>
    </row>
    <row r="30" spans="1:17" x14ac:dyDescent="0.2">
      <c r="A30" s="1" t="s">
        <v>606</v>
      </c>
      <c r="B30" s="117" t="s">
        <v>295</v>
      </c>
      <c r="C30" s="481">
        <f>T_08!C24</f>
        <v>18</v>
      </c>
      <c r="D30" s="110">
        <f>T_08!D24</f>
        <v>2</v>
      </c>
      <c r="E30" s="111">
        <f>T_08!E24</f>
        <v>1</v>
      </c>
      <c r="F30" s="485">
        <f>T_08!F24</f>
        <v>0</v>
      </c>
      <c r="G30" s="485">
        <f>T_08!G24</f>
        <v>0</v>
      </c>
      <c r="H30" s="485">
        <f>T_08!H24</f>
        <v>0</v>
      </c>
      <c r="I30" s="485">
        <f>T_08!I24</f>
        <v>0</v>
      </c>
      <c r="J30" s="111">
        <f>T_08!J24</f>
        <v>1</v>
      </c>
      <c r="K30" s="111">
        <f>T_08!K24</f>
        <v>1</v>
      </c>
      <c r="L30" s="111">
        <f>T_08!L24</f>
        <v>0</v>
      </c>
      <c r="M30" s="111">
        <f>T_08!M24</f>
        <v>0</v>
      </c>
      <c r="N30" s="111">
        <f>T_08!N24</f>
        <v>0</v>
      </c>
      <c r="O30" s="111">
        <f>T_08!O24</f>
        <v>1</v>
      </c>
      <c r="P30" s="111">
        <f>T_08!P24</f>
        <v>0</v>
      </c>
      <c r="Q30" s="937">
        <f t="shared" si="0"/>
        <v>24</v>
      </c>
    </row>
    <row r="31" spans="1:17" x14ac:dyDescent="0.2">
      <c r="A31" s="1" t="s">
        <v>607</v>
      </c>
      <c r="B31" s="117" t="s">
        <v>41</v>
      </c>
      <c r="C31" s="481">
        <f>T_08!C25</f>
        <v>83</v>
      </c>
      <c r="D31" s="110">
        <f>T_08!D25</f>
        <v>49</v>
      </c>
      <c r="E31" s="111">
        <f>T_08!E25</f>
        <v>8</v>
      </c>
      <c r="F31" s="111">
        <f>T_08!F25</f>
        <v>0</v>
      </c>
      <c r="G31" s="111">
        <f>T_08!G25</f>
        <v>0</v>
      </c>
      <c r="H31" s="111">
        <f>T_08!H25</f>
        <v>12</v>
      </c>
      <c r="I31" s="111">
        <f>T_08!I25</f>
        <v>1</v>
      </c>
      <c r="J31" s="111">
        <f>T_08!J25</f>
        <v>0</v>
      </c>
      <c r="K31" s="111">
        <f>T_08!K25</f>
        <v>0</v>
      </c>
      <c r="L31" s="111">
        <f>T_08!L25</f>
        <v>0</v>
      </c>
      <c r="M31" s="111">
        <f>T_08!M25</f>
        <v>0</v>
      </c>
      <c r="N31" s="111">
        <f>T_08!N25</f>
        <v>1</v>
      </c>
      <c r="O31" s="111">
        <f>T_08!O25</f>
        <v>3</v>
      </c>
      <c r="P31" s="111">
        <f>T_08!P25</f>
        <v>0</v>
      </c>
      <c r="Q31" s="937">
        <f t="shared" si="0"/>
        <v>157</v>
      </c>
    </row>
    <row r="32" spans="1:17" x14ac:dyDescent="0.2">
      <c r="A32" s="1" t="s">
        <v>608</v>
      </c>
      <c r="B32" s="117" t="s">
        <v>42</v>
      </c>
      <c r="C32" s="481">
        <f>T_08!C26</f>
        <v>134</v>
      </c>
      <c r="D32" s="110">
        <f>T_08!D26</f>
        <v>150</v>
      </c>
      <c r="E32" s="111">
        <f>T_08!E26</f>
        <v>13</v>
      </c>
      <c r="F32" s="111">
        <f>T_08!F26</f>
        <v>1</v>
      </c>
      <c r="G32" s="111">
        <f>T_08!G26</f>
        <v>0</v>
      </c>
      <c r="H32" s="111">
        <f>T_08!H26</f>
        <v>20</v>
      </c>
      <c r="I32" s="111">
        <f>T_08!I26</f>
        <v>0</v>
      </c>
      <c r="J32" s="111">
        <f>T_08!J26</f>
        <v>0</v>
      </c>
      <c r="K32" s="111">
        <f>T_08!K26</f>
        <v>2</v>
      </c>
      <c r="L32" s="111">
        <f>T_08!L26</f>
        <v>4</v>
      </c>
      <c r="M32" s="111">
        <f>T_08!M26</f>
        <v>0</v>
      </c>
      <c r="N32" s="111">
        <f>T_08!N26</f>
        <v>0</v>
      </c>
      <c r="O32" s="111">
        <f>T_08!O26</f>
        <v>3</v>
      </c>
      <c r="P32" s="111">
        <f>T_08!P26</f>
        <v>0</v>
      </c>
      <c r="Q32" s="937">
        <f t="shared" si="0"/>
        <v>327</v>
      </c>
    </row>
    <row r="33" spans="1:20" x14ac:dyDescent="0.2">
      <c r="A33" s="1" t="s">
        <v>609</v>
      </c>
      <c r="B33" s="117" t="s">
        <v>43</v>
      </c>
      <c r="C33" s="481">
        <f>T_08!C27</f>
        <v>3</v>
      </c>
      <c r="D33" s="110">
        <f>T_08!D27</f>
        <v>0</v>
      </c>
      <c r="E33" s="111">
        <f>T_08!E27</f>
        <v>0</v>
      </c>
      <c r="F33" s="111">
        <f>T_08!F27</f>
        <v>0</v>
      </c>
      <c r="G33" s="111">
        <f>T_08!G27</f>
        <v>0</v>
      </c>
      <c r="H33" s="485">
        <f>T_08!H27</f>
        <v>0</v>
      </c>
      <c r="I33" s="485">
        <f>T_08!I27</f>
        <v>0</v>
      </c>
      <c r="J33" s="111">
        <f>T_08!J27</f>
        <v>1</v>
      </c>
      <c r="K33" s="111">
        <f>T_08!K27</f>
        <v>0</v>
      </c>
      <c r="L33" s="111">
        <f>T_08!L27</f>
        <v>1</v>
      </c>
      <c r="M33" s="111">
        <f>T_08!M27</f>
        <v>0</v>
      </c>
      <c r="N33" s="111">
        <f>T_08!N27</f>
        <v>0</v>
      </c>
      <c r="O33" s="111">
        <f>T_08!O27</f>
        <v>0</v>
      </c>
      <c r="P33" s="111">
        <f>T_08!P27</f>
        <v>0</v>
      </c>
      <c r="Q33" s="937">
        <f t="shared" si="0"/>
        <v>5</v>
      </c>
    </row>
    <row r="34" spans="1:20" x14ac:dyDescent="0.2">
      <c r="A34" s="1" t="s">
        <v>610</v>
      </c>
      <c r="B34" s="117" t="s">
        <v>44</v>
      </c>
      <c r="C34" s="481">
        <f>T_08!C28</f>
        <v>43</v>
      </c>
      <c r="D34" s="110">
        <f>T_08!D28</f>
        <v>21</v>
      </c>
      <c r="E34" s="111">
        <f>T_08!E28</f>
        <v>14</v>
      </c>
      <c r="F34" s="111">
        <f>T_08!F28</f>
        <v>0</v>
      </c>
      <c r="G34" s="111">
        <f>T_08!G28</f>
        <v>0</v>
      </c>
      <c r="H34" s="111">
        <f>T_08!H28</f>
        <v>19</v>
      </c>
      <c r="I34" s="111">
        <f>T_08!I28</f>
        <v>0</v>
      </c>
      <c r="J34" s="111">
        <f>T_08!J28</f>
        <v>7</v>
      </c>
      <c r="K34" s="111">
        <f>T_08!K28</f>
        <v>1</v>
      </c>
      <c r="L34" s="111">
        <f>T_08!L28</f>
        <v>0</v>
      </c>
      <c r="M34" s="111">
        <f>T_08!M28</f>
        <v>1</v>
      </c>
      <c r="N34" s="111">
        <f>T_08!N28</f>
        <v>0</v>
      </c>
      <c r="O34" s="111">
        <f>T_08!O28</f>
        <v>4</v>
      </c>
      <c r="P34" s="111">
        <f>T_08!P28</f>
        <v>0</v>
      </c>
      <c r="Q34" s="937">
        <f t="shared" si="0"/>
        <v>110</v>
      </c>
    </row>
    <row r="35" spans="1:20" x14ac:dyDescent="0.2">
      <c r="A35" s="1" t="s">
        <v>611</v>
      </c>
      <c r="B35" s="117" t="s">
        <v>45</v>
      </c>
      <c r="C35" s="481">
        <f>T_08!C29</f>
        <v>60</v>
      </c>
      <c r="D35" s="110">
        <f>T_08!D29</f>
        <v>63</v>
      </c>
      <c r="E35" s="111">
        <f>T_08!E29</f>
        <v>46</v>
      </c>
      <c r="F35" s="111">
        <f>T_08!F29</f>
        <v>1</v>
      </c>
      <c r="G35" s="111">
        <f>T_08!G29</f>
        <v>0</v>
      </c>
      <c r="H35" s="111">
        <f>T_08!H29</f>
        <v>14</v>
      </c>
      <c r="I35" s="111">
        <f>T_08!I29</f>
        <v>0</v>
      </c>
      <c r="J35" s="111">
        <f>T_08!J29</f>
        <v>1</v>
      </c>
      <c r="K35" s="111">
        <f>T_08!K29</f>
        <v>2</v>
      </c>
      <c r="L35" s="111">
        <f>T_08!L29</f>
        <v>0</v>
      </c>
      <c r="M35" s="111">
        <f>T_08!M29</f>
        <v>0</v>
      </c>
      <c r="N35" s="111">
        <f>T_08!N29</f>
        <v>0</v>
      </c>
      <c r="O35" s="111">
        <f>T_08!O29</f>
        <v>8</v>
      </c>
      <c r="P35" s="111">
        <f>T_08!P29</f>
        <v>3</v>
      </c>
      <c r="Q35" s="937">
        <f t="shared" si="0"/>
        <v>198</v>
      </c>
    </row>
    <row r="36" spans="1:20" x14ac:dyDescent="0.2">
      <c r="A36" s="1" t="s">
        <v>612</v>
      </c>
      <c r="B36" s="117" t="s">
        <v>46</v>
      </c>
      <c r="C36" s="481">
        <f>T_08!C30</f>
        <v>44</v>
      </c>
      <c r="D36" s="110">
        <f>T_08!D30</f>
        <v>29</v>
      </c>
      <c r="E36" s="111">
        <f>T_08!E30</f>
        <v>2</v>
      </c>
      <c r="F36" s="111">
        <f>T_08!F30</f>
        <v>0</v>
      </c>
      <c r="G36" s="111">
        <f>T_08!G30</f>
        <v>0</v>
      </c>
      <c r="H36" s="485">
        <f>T_08!H30</f>
        <v>8</v>
      </c>
      <c r="I36" s="111">
        <f>T_08!I30</f>
        <v>0</v>
      </c>
      <c r="J36" s="111">
        <f>T_08!J30</f>
        <v>2</v>
      </c>
      <c r="K36" s="111">
        <f>T_08!K30</f>
        <v>1</v>
      </c>
      <c r="L36" s="111">
        <f>T_08!L30</f>
        <v>0</v>
      </c>
      <c r="M36" s="111">
        <f>T_08!M30</f>
        <v>0</v>
      </c>
      <c r="N36" s="111">
        <f>T_08!N30</f>
        <v>0</v>
      </c>
      <c r="O36" s="111">
        <f>T_08!O30</f>
        <v>1</v>
      </c>
      <c r="P36" s="111">
        <f>T_08!P30</f>
        <v>0</v>
      </c>
      <c r="Q36" s="937">
        <f t="shared" si="0"/>
        <v>87</v>
      </c>
    </row>
    <row r="37" spans="1:20" x14ac:dyDescent="0.2">
      <c r="A37" s="1" t="s">
        <v>613</v>
      </c>
      <c r="B37" s="117" t="s">
        <v>47</v>
      </c>
      <c r="C37" s="481">
        <f>T_08!C31</f>
        <v>18</v>
      </c>
      <c r="D37" s="110">
        <f>T_08!D31</f>
        <v>2</v>
      </c>
      <c r="E37" s="111">
        <f>T_08!E31</f>
        <v>1</v>
      </c>
      <c r="F37" s="111">
        <f>T_08!F31</f>
        <v>0</v>
      </c>
      <c r="G37" s="111">
        <f>T_08!G31</f>
        <v>0</v>
      </c>
      <c r="H37" s="485">
        <f>T_08!H31</f>
        <v>0</v>
      </c>
      <c r="I37" s="485">
        <f>T_08!I31</f>
        <v>2</v>
      </c>
      <c r="J37" s="111">
        <f>T_08!J31</f>
        <v>2</v>
      </c>
      <c r="K37" s="111">
        <f>T_08!K31</f>
        <v>3</v>
      </c>
      <c r="L37" s="111">
        <f>T_08!L31</f>
        <v>0</v>
      </c>
      <c r="M37" s="111">
        <f>T_08!M31</f>
        <v>0</v>
      </c>
      <c r="N37" s="111">
        <f>T_08!N31</f>
        <v>0</v>
      </c>
      <c r="O37" s="111">
        <f>T_08!O31</f>
        <v>0</v>
      </c>
      <c r="P37" s="111">
        <f>T_08!P31</f>
        <v>0</v>
      </c>
      <c r="Q37" s="937">
        <f t="shared" si="0"/>
        <v>28</v>
      </c>
    </row>
    <row r="38" spans="1:20" x14ac:dyDescent="0.2">
      <c r="A38" s="1" t="s">
        <v>614</v>
      </c>
      <c r="B38" s="117" t="s">
        <v>48</v>
      </c>
      <c r="C38" s="481">
        <f>T_08!C32</f>
        <v>44</v>
      </c>
      <c r="D38" s="110">
        <f>T_08!D32</f>
        <v>39</v>
      </c>
      <c r="E38" s="111">
        <f>T_08!E32</f>
        <v>3</v>
      </c>
      <c r="F38" s="111">
        <f>T_08!F32</f>
        <v>0</v>
      </c>
      <c r="G38" s="111">
        <f>T_08!G32</f>
        <v>0</v>
      </c>
      <c r="H38" s="111">
        <f>T_08!H32</f>
        <v>4</v>
      </c>
      <c r="I38" s="111">
        <f>T_08!I32</f>
        <v>0</v>
      </c>
      <c r="J38" s="111">
        <f>T_08!J32</f>
        <v>0</v>
      </c>
      <c r="K38" s="111">
        <f>T_08!K32</f>
        <v>0</v>
      </c>
      <c r="L38" s="111">
        <f>T_08!L32</f>
        <v>1</v>
      </c>
      <c r="M38" s="111">
        <f>T_08!M32</f>
        <v>0</v>
      </c>
      <c r="N38" s="111">
        <f>T_08!N32</f>
        <v>0</v>
      </c>
      <c r="O38" s="111">
        <f>T_08!O32</f>
        <v>3</v>
      </c>
      <c r="P38" s="111">
        <f>T_08!P32</f>
        <v>0</v>
      </c>
      <c r="Q38" s="937">
        <f t="shared" si="0"/>
        <v>94</v>
      </c>
    </row>
    <row r="39" spans="1:20" x14ac:dyDescent="0.2">
      <c r="A39" s="1" t="s">
        <v>615</v>
      </c>
      <c r="B39" s="117" t="s">
        <v>49</v>
      </c>
      <c r="C39" s="481">
        <f>T_08!C33</f>
        <v>106</v>
      </c>
      <c r="D39" s="110">
        <f>T_08!D33</f>
        <v>123</v>
      </c>
      <c r="E39" s="111">
        <f>T_08!E33</f>
        <v>4</v>
      </c>
      <c r="F39" s="111">
        <f>T_08!F33</f>
        <v>0</v>
      </c>
      <c r="G39" s="111">
        <f>T_08!G33</f>
        <v>0</v>
      </c>
      <c r="H39" s="111">
        <f>T_08!H33</f>
        <v>16</v>
      </c>
      <c r="I39" s="111">
        <f>T_08!I33</f>
        <v>2</v>
      </c>
      <c r="J39" s="111">
        <f>T_08!J33</f>
        <v>4</v>
      </c>
      <c r="K39" s="111">
        <f>T_08!K33</f>
        <v>3</v>
      </c>
      <c r="L39" s="111">
        <f>T_08!L33</f>
        <v>1</v>
      </c>
      <c r="M39" s="111">
        <f>T_08!M33</f>
        <v>0</v>
      </c>
      <c r="N39" s="111">
        <f>T_08!N33</f>
        <v>0</v>
      </c>
      <c r="O39" s="111">
        <f>T_08!O33</f>
        <v>4</v>
      </c>
      <c r="P39" s="111">
        <f>T_08!P33</f>
        <v>0</v>
      </c>
      <c r="Q39" s="937">
        <f t="shared" si="0"/>
        <v>263</v>
      </c>
    </row>
    <row r="40" spans="1:20" x14ac:dyDescent="0.2">
      <c r="A40" s="1" t="s">
        <v>616</v>
      </c>
      <c r="B40" s="117" t="s">
        <v>50</v>
      </c>
      <c r="C40" s="481">
        <f>T_08!C34</f>
        <v>28</v>
      </c>
      <c r="D40" s="110">
        <f>T_08!D34</f>
        <v>25</v>
      </c>
      <c r="E40" s="111">
        <f>T_08!E34</f>
        <v>3</v>
      </c>
      <c r="F40" s="111">
        <f>T_08!F34</f>
        <v>0</v>
      </c>
      <c r="G40" s="111">
        <f>T_08!G34</f>
        <v>0</v>
      </c>
      <c r="H40" s="485">
        <f>T_08!H34</f>
        <v>1</v>
      </c>
      <c r="I40" s="111">
        <f>T_08!I34</f>
        <v>0</v>
      </c>
      <c r="J40" s="111">
        <f>T_08!J34</f>
        <v>2</v>
      </c>
      <c r="K40" s="111">
        <f>T_08!K34</f>
        <v>0</v>
      </c>
      <c r="L40" s="111">
        <f>T_08!L34</f>
        <v>1</v>
      </c>
      <c r="M40" s="111">
        <f>T_08!M34</f>
        <v>0</v>
      </c>
      <c r="N40" s="111">
        <f>T_08!N34</f>
        <v>0</v>
      </c>
      <c r="O40" s="111">
        <f>T_08!O34</f>
        <v>3</v>
      </c>
      <c r="P40" s="111">
        <f>T_08!P34</f>
        <v>3</v>
      </c>
      <c r="Q40" s="937">
        <f t="shared" si="0"/>
        <v>66</v>
      </c>
    </row>
    <row r="41" spans="1:20" x14ac:dyDescent="0.2">
      <c r="A41" s="1" t="s">
        <v>617</v>
      </c>
      <c r="B41" s="117" t="s">
        <v>51</v>
      </c>
      <c r="C41" s="481">
        <f>T_08!C35</f>
        <v>33</v>
      </c>
      <c r="D41" s="110">
        <f>T_08!D35</f>
        <v>67</v>
      </c>
      <c r="E41" s="111">
        <f>T_08!E35</f>
        <v>14</v>
      </c>
      <c r="F41" s="111">
        <f>T_08!F35</f>
        <v>0</v>
      </c>
      <c r="G41" s="111">
        <f>T_08!G35</f>
        <v>0</v>
      </c>
      <c r="H41" s="111">
        <f>T_08!H35</f>
        <v>3</v>
      </c>
      <c r="I41" s="111">
        <f>T_08!I35</f>
        <v>0</v>
      </c>
      <c r="J41" s="111">
        <f>T_08!J35</f>
        <v>0</v>
      </c>
      <c r="K41" s="111">
        <f>T_08!K35</f>
        <v>0</v>
      </c>
      <c r="L41" s="111">
        <f>T_08!L35</f>
        <v>0</v>
      </c>
      <c r="M41" s="111">
        <f>T_08!M35</f>
        <v>0</v>
      </c>
      <c r="N41" s="111">
        <f>T_08!N35</f>
        <v>0</v>
      </c>
      <c r="O41" s="111">
        <f>T_08!O35</f>
        <v>4</v>
      </c>
      <c r="P41" s="111">
        <f>T_08!P35</f>
        <v>0</v>
      </c>
      <c r="Q41" s="937">
        <f t="shared" si="0"/>
        <v>121</v>
      </c>
    </row>
    <row r="42" spans="1:20" x14ac:dyDescent="0.2">
      <c r="A42" s="1" t="s">
        <v>618</v>
      </c>
      <c r="B42" s="117" t="s">
        <v>52</v>
      </c>
      <c r="C42" s="481">
        <f>T_08!C36</f>
        <v>68</v>
      </c>
      <c r="D42" s="110">
        <f>T_08!D36</f>
        <v>31</v>
      </c>
      <c r="E42" s="111">
        <f>T_08!E36</f>
        <v>4</v>
      </c>
      <c r="F42" s="111">
        <f>T_08!F36</f>
        <v>1</v>
      </c>
      <c r="G42" s="111">
        <f>T_08!G36</f>
        <v>0</v>
      </c>
      <c r="H42" s="111">
        <f>T_08!H36</f>
        <v>9</v>
      </c>
      <c r="I42" s="111">
        <f>T_08!I36</f>
        <v>1</v>
      </c>
      <c r="J42" s="111">
        <f>T_08!J36</f>
        <v>1</v>
      </c>
      <c r="K42" s="111">
        <f>T_08!K36</f>
        <v>1</v>
      </c>
      <c r="L42" s="111">
        <f>T_08!L36</f>
        <v>0</v>
      </c>
      <c r="M42" s="111">
        <f>T_08!M36</f>
        <v>0</v>
      </c>
      <c r="N42" s="111">
        <f>T_08!N36</f>
        <v>0</v>
      </c>
      <c r="O42" s="111">
        <f>T_08!O36</f>
        <v>2</v>
      </c>
      <c r="P42" s="111">
        <f>T_08!P36</f>
        <v>0</v>
      </c>
      <c r="Q42" s="937">
        <f t="shared" si="0"/>
        <v>118</v>
      </c>
    </row>
    <row r="43" spans="1:20" x14ac:dyDescent="0.2">
      <c r="A43" s="1"/>
      <c r="B43" s="117" t="str">
        <f>IF(T_08!$A$37 = "Z_Not Known", "Not Known","")</f>
        <v/>
      </c>
      <c r="C43" s="481" t="str">
        <f>IF(B43="Not Known",T_08!C37,"")</f>
        <v/>
      </c>
      <c r="D43" s="110" t="str">
        <f>IF(B43="Not Known",T_08!D37,"")</f>
        <v/>
      </c>
      <c r="E43" s="111" t="str">
        <f>IF(B43="Not Known",T_08!E37,"")</f>
        <v/>
      </c>
      <c r="F43" s="111" t="str">
        <f>IF(B43="Not Known",T_08!F37,"")</f>
        <v/>
      </c>
      <c r="G43" s="111" t="str">
        <f>IF(B43="Not Known",T_08!G37,"")</f>
        <v/>
      </c>
      <c r="H43" s="111" t="str">
        <f>IF(B43="Not Known",T_08!H37,"")</f>
        <v/>
      </c>
      <c r="I43" s="111" t="str">
        <f>IF(B43="Not Known",T_08!I37,"")</f>
        <v/>
      </c>
      <c r="J43" s="111" t="str">
        <f>IF(B43="Not Known",T_08!J37,"")</f>
        <v/>
      </c>
      <c r="K43" s="111" t="str">
        <f>IF(B43="Not Known",T_08!K37,"")</f>
        <v/>
      </c>
      <c r="L43" s="111" t="str">
        <f>IF(B43="Not Known",T_08!L37,"")</f>
        <v/>
      </c>
      <c r="M43" s="111" t="str">
        <f>IF(B43="Not Known",T_08!M37,"")</f>
        <v/>
      </c>
      <c r="N43" s="111" t="str">
        <f>IF(B43="Not Known",T_08!N37,"")</f>
        <v/>
      </c>
      <c r="O43" s="111" t="str">
        <f>IF(B43="Not Known",T_08!O37,"")</f>
        <v/>
      </c>
      <c r="P43" s="111" t="str">
        <f>IF(B43="Not Known",T_08!P37,"")</f>
        <v/>
      </c>
      <c r="Q43" s="937" t="str">
        <f>IF(B43="Not Known",SUM(C43:P43),"")</f>
        <v/>
      </c>
      <c r="R43" s="211"/>
      <c r="S43" s="211"/>
      <c r="T43" s="211" t="str">
        <f>IFERROR(GETPIVOTDATA("Sum of 18:Stand By",T_06!$A$4,"PubLANAME","Z_Not Known"), "")</f>
        <v/>
      </c>
    </row>
    <row r="44" spans="1:20" ht="15.75" thickBot="1" x14ac:dyDescent="0.25">
      <c r="A44" s="359" t="s">
        <v>620</v>
      </c>
      <c r="B44" s="360" t="s">
        <v>143</v>
      </c>
      <c r="C44" s="865">
        <f t="shared" ref="C44:Q44" si="1">SUM(C11:C42)</f>
        <v>1864</v>
      </c>
      <c r="D44" s="865">
        <f t="shared" si="1"/>
        <v>1701</v>
      </c>
      <c r="E44" s="865">
        <f t="shared" si="1"/>
        <v>662</v>
      </c>
      <c r="F44" s="865">
        <f t="shared" si="1"/>
        <v>14</v>
      </c>
      <c r="G44" s="865">
        <f t="shared" si="1"/>
        <v>4</v>
      </c>
      <c r="H44" s="865">
        <f t="shared" si="1"/>
        <v>331</v>
      </c>
      <c r="I44" s="865">
        <f t="shared" si="1"/>
        <v>13</v>
      </c>
      <c r="J44" s="865">
        <f t="shared" si="1"/>
        <v>72</v>
      </c>
      <c r="K44" s="865">
        <f t="shared" si="1"/>
        <v>44</v>
      </c>
      <c r="L44" s="865">
        <f t="shared" si="1"/>
        <v>32</v>
      </c>
      <c r="M44" s="865">
        <f t="shared" si="1"/>
        <v>6</v>
      </c>
      <c r="N44" s="865">
        <f t="shared" si="1"/>
        <v>6</v>
      </c>
      <c r="O44" s="865">
        <f t="shared" si="1"/>
        <v>116</v>
      </c>
      <c r="P44" s="865">
        <f t="shared" si="1"/>
        <v>48</v>
      </c>
      <c r="Q44" s="865">
        <f t="shared" si="1"/>
        <v>4913</v>
      </c>
    </row>
    <row r="45" spans="1:20" x14ac:dyDescent="0.2">
      <c r="B45" s="1"/>
      <c r="C45" s="1"/>
      <c r="D45" s="1"/>
      <c r="E45" s="1"/>
      <c r="F45" s="1"/>
      <c r="G45" s="1"/>
      <c r="H45" s="1"/>
      <c r="I45" s="1"/>
      <c r="J45" s="1"/>
      <c r="K45" s="1"/>
      <c r="L45" s="1"/>
      <c r="M45" s="1"/>
      <c r="N45" s="1"/>
      <c r="O45" s="1"/>
      <c r="P45" s="1"/>
      <c r="Q45" s="1"/>
    </row>
    <row r="46" spans="1:20" x14ac:dyDescent="0.2">
      <c r="B46" s="211"/>
      <c r="C46" s="1"/>
      <c r="D46" s="1"/>
      <c r="E46" s="1"/>
      <c r="F46" s="1"/>
      <c r="G46" s="1"/>
      <c r="H46" s="1"/>
      <c r="I46" s="1"/>
      <c r="J46" s="1"/>
      <c r="K46" s="1"/>
      <c r="L46" s="1"/>
      <c r="M46" s="1"/>
      <c r="N46" s="1"/>
      <c r="O46" s="1"/>
      <c r="P46" s="1"/>
      <c r="Q46" s="1"/>
    </row>
    <row r="47" spans="1:20" x14ac:dyDescent="0.2">
      <c r="B47" s="1"/>
      <c r="C47" s="1"/>
      <c r="D47" s="1"/>
      <c r="E47" s="1"/>
      <c r="F47" s="1"/>
      <c r="G47" s="1"/>
      <c r="H47" s="1"/>
      <c r="I47" s="1"/>
      <c r="J47" s="1"/>
      <c r="K47" s="1"/>
      <c r="L47" s="1"/>
      <c r="M47" s="1"/>
      <c r="N47" s="1"/>
      <c r="O47" s="1"/>
      <c r="P47" s="1"/>
      <c r="Q47" s="1"/>
    </row>
    <row r="48" spans="1:20" x14ac:dyDescent="0.2">
      <c r="B48" s="1299"/>
      <c r="C48" s="1299"/>
      <c r="D48" s="1299"/>
      <c r="E48" s="1299"/>
      <c r="F48" s="1299"/>
      <c r="G48" s="1299"/>
      <c r="H48" s="1299"/>
      <c r="I48" s="1299"/>
      <c r="J48" s="1299"/>
      <c r="K48" s="1299"/>
      <c r="L48" s="1"/>
      <c r="M48" s="1"/>
      <c r="N48" s="1"/>
      <c r="O48" s="1"/>
      <c r="P48" s="1"/>
      <c r="Q48" s="1"/>
    </row>
    <row r="49" spans="2:17" x14ac:dyDescent="0.2">
      <c r="B49" s="18"/>
      <c r="C49" s="1"/>
      <c r="D49" s="1"/>
      <c r="E49" s="1"/>
      <c r="F49" s="1"/>
      <c r="G49" s="1"/>
      <c r="H49" s="1"/>
      <c r="I49" s="1"/>
      <c r="J49" s="1"/>
      <c r="K49" s="1"/>
      <c r="L49" s="1"/>
      <c r="M49" s="1"/>
      <c r="N49" s="1"/>
      <c r="O49" s="1"/>
      <c r="P49" s="1"/>
      <c r="Q49" s="1"/>
    </row>
  </sheetData>
  <mergeCells count="4">
    <mergeCell ref="B48:K48"/>
    <mergeCell ref="D9:P9"/>
    <mergeCell ref="C9:C10"/>
    <mergeCell ref="Q9:Q10"/>
  </mergeCells>
  <hyperlinks>
    <hyperlink ref="A2" location="'Table of Contents'!A1" display="Back to Table of Contents" xr:uid="{00000000-0004-0000-12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pageSetUpPr fitToPage="1"/>
  </sheetPr>
  <dimension ref="A1:H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2.5703125" bestFit="1" customWidth="1"/>
    <col min="3" max="3" width="10.42578125" bestFit="1" customWidth="1"/>
    <col min="4" max="4" width="11.5703125" bestFit="1" customWidth="1"/>
    <col min="5" max="5" width="18" bestFit="1" customWidth="1"/>
    <col min="6" max="6" width="10.85546875" bestFit="1" customWidth="1"/>
    <col min="7" max="7" width="10.28515625" bestFit="1" customWidth="1"/>
    <col min="8" max="8" width="6.42578125" bestFit="1" customWidth="1"/>
  </cols>
  <sheetData>
    <row r="1" spans="1:8" x14ac:dyDescent="0.2"/>
    <row r="4" spans="1:8" x14ac:dyDescent="0.2">
      <c r="A4" s="1223" t="s">
        <v>4</v>
      </c>
      <c r="B4" s="1223" t="s">
        <v>1679</v>
      </c>
      <c r="C4" s="1223" t="s">
        <v>1680</v>
      </c>
      <c r="D4" s="1223" t="s">
        <v>1681</v>
      </c>
      <c r="E4" s="1223" t="s">
        <v>1682</v>
      </c>
      <c r="F4" s="1223" t="s">
        <v>1683</v>
      </c>
      <c r="G4" s="1223" t="s">
        <v>1684</v>
      </c>
      <c r="H4" s="1223" t="s">
        <v>1685</v>
      </c>
    </row>
    <row r="5" spans="1:8" x14ac:dyDescent="0.2">
      <c r="A5" s="1186" t="s">
        <v>19</v>
      </c>
      <c r="B5" s="1186">
        <v>2038</v>
      </c>
      <c r="C5" s="1186">
        <v>30</v>
      </c>
      <c r="D5" s="1186">
        <v>403</v>
      </c>
      <c r="E5" s="1186">
        <v>154</v>
      </c>
      <c r="F5" s="1186">
        <v>436</v>
      </c>
      <c r="G5" s="1186"/>
      <c r="H5" s="1186">
        <v>1015</v>
      </c>
    </row>
    <row r="6" spans="1:8" x14ac:dyDescent="0.2">
      <c r="A6" s="1186" t="s">
        <v>20</v>
      </c>
      <c r="B6" s="1186">
        <v>2475</v>
      </c>
      <c r="C6" s="1186">
        <v>22</v>
      </c>
      <c r="D6" s="1186">
        <v>283</v>
      </c>
      <c r="E6" s="1186">
        <v>141</v>
      </c>
      <c r="F6" s="1186">
        <v>539</v>
      </c>
      <c r="G6" s="1186">
        <v>1</v>
      </c>
      <c r="H6" s="1186">
        <v>1489</v>
      </c>
    </row>
    <row r="7" spans="1:8" x14ac:dyDescent="0.2">
      <c r="A7" s="1186" t="s">
        <v>13</v>
      </c>
      <c r="B7" s="1186">
        <v>1136</v>
      </c>
      <c r="C7" s="1186">
        <v>10</v>
      </c>
      <c r="D7" s="1186">
        <v>249</v>
      </c>
      <c r="E7" s="1186">
        <v>71</v>
      </c>
      <c r="F7" s="1186">
        <v>324</v>
      </c>
      <c r="G7" s="1186">
        <v>5</v>
      </c>
      <c r="H7" s="1186">
        <v>477</v>
      </c>
    </row>
    <row r="8" spans="1:8" x14ac:dyDescent="0.2">
      <c r="A8" s="1186" t="s">
        <v>15</v>
      </c>
      <c r="B8" s="1186">
        <v>1357</v>
      </c>
      <c r="C8" s="1186">
        <v>24</v>
      </c>
      <c r="D8" s="1186">
        <v>328</v>
      </c>
      <c r="E8" s="1186">
        <v>75</v>
      </c>
      <c r="F8" s="1186">
        <v>353</v>
      </c>
      <c r="G8" s="1186">
        <v>160</v>
      </c>
      <c r="H8" s="1186">
        <v>417</v>
      </c>
    </row>
    <row r="9" spans="1:8" x14ac:dyDescent="0.2">
      <c r="A9" s="1186" t="s">
        <v>17</v>
      </c>
      <c r="B9" s="1186">
        <v>1066</v>
      </c>
      <c r="C9" s="1186">
        <v>10</v>
      </c>
      <c r="D9" s="1186">
        <v>165</v>
      </c>
      <c r="E9" s="1186">
        <v>44</v>
      </c>
      <c r="F9" s="1186">
        <v>283</v>
      </c>
      <c r="G9" s="1186">
        <v>215</v>
      </c>
      <c r="H9" s="1186">
        <v>349</v>
      </c>
    </row>
    <row r="10" spans="1:8" x14ac:dyDescent="0.2">
      <c r="A10" s="1186" t="s">
        <v>133</v>
      </c>
      <c r="B10" s="1186">
        <v>1251</v>
      </c>
      <c r="C10" s="1186">
        <v>20</v>
      </c>
      <c r="D10" s="1186">
        <v>206</v>
      </c>
      <c r="E10" s="1186">
        <v>59</v>
      </c>
      <c r="F10" s="1186">
        <v>275</v>
      </c>
      <c r="G10" s="1186">
        <v>299</v>
      </c>
      <c r="H10" s="1186">
        <v>392</v>
      </c>
    </row>
    <row r="11" spans="1:8" x14ac:dyDescent="0.2">
      <c r="A11" s="1186" t="s">
        <v>144</v>
      </c>
      <c r="B11" s="1186">
        <v>1488</v>
      </c>
      <c r="C11" s="1186">
        <v>52</v>
      </c>
      <c r="D11" s="1186">
        <v>360</v>
      </c>
      <c r="E11" s="1186">
        <v>88</v>
      </c>
      <c r="F11" s="1186">
        <v>321</v>
      </c>
      <c r="G11" s="1186">
        <v>308</v>
      </c>
      <c r="H11" s="1186">
        <v>359</v>
      </c>
    </row>
    <row r="12" spans="1:8" x14ac:dyDescent="0.2">
      <c r="A12" s="1186" t="s">
        <v>282</v>
      </c>
      <c r="B12" s="1186">
        <v>1005</v>
      </c>
      <c r="C12" s="1186">
        <v>3</v>
      </c>
      <c r="D12" s="1186">
        <v>94</v>
      </c>
      <c r="E12" s="1186">
        <v>38</v>
      </c>
      <c r="F12" s="1186">
        <v>232</v>
      </c>
      <c r="G12" s="1186">
        <v>316</v>
      </c>
      <c r="H12" s="1186">
        <v>322</v>
      </c>
    </row>
    <row r="13" spans="1:8" x14ac:dyDescent="0.2">
      <c r="A13" s="1186" t="s">
        <v>311</v>
      </c>
      <c r="B13" s="1186">
        <v>1302</v>
      </c>
      <c r="C13" s="1186">
        <v>13</v>
      </c>
      <c r="D13" s="1186">
        <v>98</v>
      </c>
      <c r="E13" s="1186">
        <v>46</v>
      </c>
      <c r="F13" s="1186">
        <v>251</v>
      </c>
      <c r="G13" s="1186">
        <v>458</v>
      </c>
      <c r="H13" s="1186">
        <v>436</v>
      </c>
    </row>
    <row r="14" spans="1:8" x14ac:dyDescent="0.2">
      <c r="A14" s="1186" t="s">
        <v>621</v>
      </c>
      <c r="B14" s="1186">
        <v>1156</v>
      </c>
      <c r="C14" s="1186">
        <v>6</v>
      </c>
      <c r="D14" s="1186">
        <v>64</v>
      </c>
      <c r="E14" s="1186">
        <v>31</v>
      </c>
      <c r="F14" s="1186">
        <v>308</v>
      </c>
      <c r="G14" s="1186">
        <v>392</v>
      </c>
      <c r="H14" s="1186">
        <v>355</v>
      </c>
    </row>
    <row r="15" spans="1:8" x14ac:dyDescent="0.2">
      <c r="A15" s="1186" t="s">
        <v>1419</v>
      </c>
      <c r="B15" s="1186">
        <v>1627</v>
      </c>
      <c r="C15" s="1186">
        <v>28</v>
      </c>
      <c r="D15" s="1186">
        <v>252</v>
      </c>
      <c r="E15" s="1186">
        <v>58</v>
      </c>
      <c r="F15" s="1186">
        <v>411</v>
      </c>
      <c r="G15" s="1186">
        <v>480</v>
      </c>
      <c r="H15" s="1186">
        <v>398</v>
      </c>
    </row>
    <row r="16" spans="1:8" x14ac:dyDescent="0.2">
      <c r="A16" s="1186" t="s">
        <v>1572</v>
      </c>
      <c r="B16" s="1186">
        <v>1617</v>
      </c>
      <c r="C16" s="1186">
        <v>30</v>
      </c>
      <c r="D16" s="1186">
        <v>169</v>
      </c>
      <c r="E16" s="1186">
        <v>61</v>
      </c>
      <c r="F16" s="1186">
        <v>503</v>
      </c>
      <c r="G16" s="1186">
        <v>439</v>
      </c>
      <c r="H16" s="1186">
        <v>415</v>
      </c>
    </row>
  </sheetData>
  <pageMargins left="0.7" right="0.7" top="0.75" bottom="0.75" header="0.3" footer="0.3"/>
  <pageSetup paperSize="9" fitToHeight="50" orientation="landscape" r:id="rId1"/>
  <legacyDrawing r:id="rId2"/>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pageSetUpPr fitToPage="1"/>
  </sheetPr>
  <dimension ref="A1:AC24"/>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39.85546875" bestFit="1" customWidth="1"/>
    <col min="2" max="2" width="10" bestFit="1" customWidth="1"/>
    <col min="3" max="3" width="39.85546875" bestFit="1" customWidth="1"/>
    <col min="4" max="15" width="9" bestFit="1" customWidth="1"/>
    <col min="16" max="16" width="9.85546875" bestFit="1" customWidth="1"/>
    <col min="17" max="17" width="39.85546875" bestFit="1" customWidth="1"/>
    <col min="18" max="29" width="8.85546875" bestFit="1" customWidth="1"/>
  </cols>
  <sheetData>
    <row r="1" spans="1:29" x14ac:dyDescent="0.2"/>
    <row r="4" spans="1:29" x14ac:dyDescent="0.2">
      <c r="A4" s="1223" t="s">
        <v>1686</v>
      </c>
      <c r="B4" s="1223" t="s">
        <v>1687</v>
      </c>
      <c r="C4" s="1223" t="s">
        <v>1688</v>
      </c>
      <c r="D4" s="1223" t="s">
        <v>1689</v>
      </c>
      <c r="E4" s="1223" t="s">
        <v>1690</v>
      </c>
      <c r="F4" s="1223" t="s">
        <v>1691</v>
      </c>
      <c r="G4" s="1223" t="s">
        <v>1692</v>
      </c>
      <c r="H4" s="1223" t="s">
        <v>1693</v>
      </c>
      <c r="I4" s="1223" t="s">
        <v>1694</v>
      </c>
      <c r="J4" s="1223" t="s">
        <v>1695</v>
      </c>
      <c r="K4" s="1223" t="s">
        <v>1696</v>
      </c>
      <c r="L4" s="1223" t="s">
        <v>1697</v>
      </c>
      <c r="M4" s="1223" t="s">
        <v>1698</v>
      </c>
      <c r="N4" s="1223" t="s">
        <v>1699</v>
      </c>
      <c r="O4" s="1223" t="s">
        <v>1700</v>
      </c>
      <c r="P4" s="1223" t="s">
        <v>1701</v>
      </c>
      <c r="Q4" s="1223" t="s">
        <v>1702</v>
      </c>
      <c r="R4" s="1223" t="s">
        <v>1703</v>
      </c>
      <c r="S4" s="1223" t="s">
        <v>1704</v>
      </c>
      <c r="T4" s="1223" t="s">
        <v>1705</v>
      </c>
      <c r="U4" s="1223" t="s">
        <v>1706</v>
      </c>
      <c r="V4" s="1223" t="s">
        <v>1707</v>
      </c>
      <c r="W4" s="1223" t="s">
        <v>1708</v>
      </c>
      <c r="X4" s="1223" t="s">
        <v>1709</v>
      </c>
      <c r="Y4" s="1223" t="s">
        <v>1710</v>
      </c>
      <c r="Z4" s="1223" t="s">
        <v>1711</v>
      </c>
      <c r="AA4" s="1223" t="s">
        <v>1712</v>
      </c>
      <c r="AB4" s="1223" t="s">
        <v>1713</v>
      </c>
      <c r="AC4" s="1223" t="s">
        <v>1714</v>
      </c>
    </row>
    <row r="5" spans="1:29" x14ac:dyDescent="0.2">
      <c r="A5" s="1186" t="s">
        <v>71</v>
      </c>
      <c r="B5" s="1186" t="s">
        <v>1715</v>
      </c>
      <c r="C5" s="1186" t="s">
        <v>71</v>
      </c>
      <c r="D5" s="1186">
        <v>117</v>
      </c>
      <c r="E5" s="1186">
        <v>123</v>
      </c>
      <c r="F5" s="1186">
        <v>98</v>
      </c>
      <c r="G5" s="1186">
        <v>90</v>
      </c>
      <c r="H5" s="1186">
        <v>110</v>
      </c>
      <c r="I5" s="1186">
        <v>105</v>
      </c>
      <c r="J5" s="1186">
        <v>105</v>
      </c>
      <c r="K5" s="1186">
        <v>96</v>
      </c>
      <c r="L5" s="1186">
        <v>81</v>
      </c>
      <c r="M5" s="1186">
        <v>83</v>
      </c>
      <c r="N5" s="1186">
        <v>82</v>
      </c>
      <c r="O5" s="1186">
        <v>60</v>
      </c>
      <c r="P5" s="1186" t="s">
        <v>1716</v>
      </c>
      <c r="Q5" s="1186" t="s">
        <v>71</v>
      </c>
      <c r="R5" s="1186">
        <v>2204</v>
      </c>
      <c r="S5" s="1186">
        <v>1880</v>
      </c>
      <c r="T5" s="1186">
        <v>1772</v>
      </c>
      <c r="U5" s="1186">
        <v>1796</v>
      </c>
      <c r="V5" s="1186">
        <v>1881</v>
      </c>
      <c r="W5" s="1186">
        <v>1846</v>
      </c>
      <c r="X5" s="1186">
        <v>2046</v>
      </c>
      <c r="Y5" s="1186">
        <v>2059</v>
      </c>
      <c r="Z5" s="1186">
        <v>2063</v>
      </c>
      <c r="AA5" s="1186">
        <v>1814</v>
      </c>
      <c r="AB5" s="1186">
        <v>1642</v>
      </c>
      <c r="AC5" s="1186">
        <v>895</v>
      </c>
    </row>
    <row r="6" spans="1:29" x14ac:dyDescent="0.2">
      <c r="A6" s="1186" t="s">
        <v>1717</v>
      </c>
      <c r="B6" s="1186" t="s">
        <v>1715</v>
      </c>
      <c r="C6" s="1186" t="s">
        <v>1717</v>
      </c>
      <c r="D6" s="1186">
        <v>3</v>
      </c>
      <c r="E6" s="1186">
        <v>2</v>
      </c>
      <c r="F6" s="1186">
        <v>3</v>
      </c>
      <c r="G6" s="1186">
        <v>7</v>
      </c>
      <c r="H6" s="1186">
        <v>1</v>
      </c>
      <c r="I6" s="1186">
        <v>2</v>
      </c>
      <c r="J6" s="1186">
        <v>1</v>
      </c>
      <c r="K6" s="1186">
        <v>3</v>
      </c>
      <c r="L6" s="1186">
        <v>3</v>
      </c>
      <c r="M6" s="1186">
        <v>5</v>
      </c>
      <c r="N6" s="1186"/>
      <c r="O6" s="1186">
        <v>3</v>
      </c>
      <c r="P6" s="1186" t="s">
        <v>1716</v>
      </c>
      <c r="Q6" s="1186" t="s">
        <v>1717</v>
      </c>
      <c r="R6" s="1186">
        <v>28</v>
      </c>
      <c r="S6" s="1186">
        <v>29</v>
      </c>
      <c r="T6" s="1186">
        <v>27</v>
      </c>
      <c r="U6" s="1186">
        <v>16</v>
      </c>
      <c r="V6" s="1186">
        <v>19</v>
      </c>
      <c r="W6" s="1186">
        <v>22</v>
      </c>
      <c r="X6" s="1186">
        <v>21</v>
      </c>
      <c r="Y6" s="1186">
        <v>22</v>
      </c>
      <c r="Z6" s="1186">
        <v>10</v>
      </c>
      <c r="AA6" s="1186">
        <v>16</v>
      </c>
      <c r="AB6" s="1186">
        <v>16</v>
      </c>
      <c r="AC6" s="1186">
        <v>19</v>
      </c>
    </row>
    <row r="7" spans="1:29" x14ac:dyDescent="0.2">
      <c r="A7" s="1186" t="s">
        <v>64</v>
      </c>
      <c r="B7" s="1186" t="s">
        <v>1715</v>
      </c>
      <c r="C7" s="1186" t="s">
        <v>64</v>
      </c>
      <c r="D7" s="1186"/>
      <c r="E7" s="1186"/>
      <c r="F7" s="1186"/>
      <c r="G7" s="1186"/>
      <c r="H7" s="1186"/>
      <c r="I7" s="1186"/>
      <c r="J7" s="1186"/>
      <c r="K7" s="1186"/>
      <c r="L7" s="1186"/>
      <c r="M7" s="1186"/>
      <c r="N7" s="1186">
        <v>2</v>
      </c>
      <c r="O7" s="1186"/>
      <c r="P7" s="1186" t="s">
        <v>1716</v>
      </c>
      <c r="Q7" s="1186" t="s">
        <v>64</v>
      </c>
      <c r="R7" s="1186">
        <v>2</v>
      </c>
      <c r="S7" s="1186">
        <v>3</v>
      </c>
      <c r="T7" s="1186">
        <v>3</v>
      </c>
      <c r="U7" s="1186">
        <v>2</v>
      </c>
      <c r="V7" s="1186">
        <v>6</v>
      </c>
      <c r="W7" s="1186">
        <v>6</v>
      </c>
      <c r="X7" s="1186">
        <v>5</v>
      </c>
      <c r="Y7" s="1186">
        <v>2</v>
      </c>
      <c r="Z7" s="1186">
        <v>6</v>
      </c>
      <c r="AA7" s="1186">
        <v>4</v>
      </c>
      <c r="AB7" s="1186">
        <v>4</v>
      </c>
      <c r="AC7" s="1186">
        <v>2</v>
      </c>
    </row>
    <row r="8" spans="1:29" x14ac:dyDescent="0.2">
      <c r="A8" s="1186" t="s">
        <v>1718</v>
      </c>
      <c r="B8" s="1186" t="s">
        <v>1715</v>
      </c>
      <c r="C8" s="1186" t="s">
        <v>1718</v>
      </c>
      <c r="D8" s="1186">
        <v>21</v>
      </c>
      <c r="E8" s="1186">
        <v>16</v>
      </c>
      <c r="F8" s="1186">
        <v>17</v>
      </c>
      <c r="G8" s="1186">
        <v>23</v>
      </c>
      <c r="H8" s="1186">
        <v>18</v>
      </c>
      <c r="I8" s="1186">
        <v>14</v>
      </c>
      <c r="J8" s="1186">
        <v>14</v>
      </c>
      <c r="K8" s="1186">
        <v>24</v>
      </c>
      <c r="L8" s="1186">
        <v>24</v>
      </c>
      <c r="M8" s="1186">
        <v>36</v>
      </c>
      <c r="N8" s="1186">
        <v>31</v>
      </c>
      <c r="O8" s="1186">
        <v>30</v>
      </c>
      <c r="P8" s="1186" t="s">
        <v>1716</v>
      </c>
      <c r="Q8" s="1186" t="s">
        <v>1718</v>
      </c>
      <c r="R8" s="1186">
        <v>53</v>
      </c>
      <c r="S8" s="1186">
        <v>33</v>
      </c>
      <c r="T8" s="1186">
        <v>31</v>
      </c>
      <c r="U8" s="1186">
        <v>41</v>
      </c>
      <c r="V8" s="1186">
        <v>45</v>
      </c>
      <c r="W8" s="1186">
        <v>34</v>
      </c>
      <c r="X8" s="1186">
        <v>54</v>
      </c>
      <c r="Y8" s="1186">
        <v>46</v>
      </c>
      <c r="Z8" s="1186">
        <v>58</v>
      </c>
      <c r="AA8" s="1186">
        <v>54</v>
      </c>
      <c r="AB8" s="1186">
        <v>52</v>
      </c>
      <c r="AC8" s="1186">
        <v>39</v>
      </c>
    </row>
    <row r="9" spans="1:29" x14ac:dyDescent="0.2">
      <c r="A9" s="1186" t="s">
        <v>1719</v>
      </c>
      <c r="B9" s="1186" t="s">
        <v>1715</v>
      </c>
      <c r="C9" s="1186" t="s">
        <v>1719</v>
      </c>
      <c r="D9" s="1186">
        <v>19</v>
      </c>
      <c r="E9" s="1186">
        <v>8</v>
      </c>
      <c r="F9" s="1186">
        <v>6</v>
      </c>
      <c r="G9" s="1186">
        <v>8</v>
      </c>
      <c r="H9" s="1186">
        <v>23</v>
      </c>
      <c r="I9" s="1186">
        <v>10</v>
      </c>
      <c r="J9" s="1186">
        <v>7</v>
      </c>
      <c r="K9" s="1186">
        <v>12</v>
      </c>
      <c r="L9" s="1186">
        <v>10</v>
      </c>
      <c r="M9" s="1186">
        <v>9</v>
      </c>
      <c r="N9" s="1186">
        <v>7</v>
      </c>
      <c r="O9" s="1186">
        <v>8</v>
      </c>
      <c r="P9" s="1186" t="s">
        <v>1716</v>
      </c>
      <c r="Q9" s="1186" t="s">
        <v>1719</v>
      </c>
      <c r="R9" s="1186">
        <v>141</v>
      </c>
      <c r="S9" s="1186">
        <v>141</v>
      </c>
      <c r="T9" s="1186">
        <v>150</v>
      </c>
      <c r="U9" s="1186">
        <v>142</v>
      </c>
      <c r="V9" s="1186">
        <v>119</v>
      </c>
      <c r="W9" s="1186">
        <v>129</v>
      </c>
      <c r="X9" s="1186">
        <v>129</v>
      </c>
      <c r="Y9" s="1186">
        <v>124</v>
      </c>
      <c r="Z9" s="1186">
        <v>150</v>
      </c>
      <c r="AA9" s="1186">
        <v>126</v>
      </c>
      <c r="AB9" s="1186">
        <v>125</v>
      </c>
      <c r="AC9" s="1186">
        <v>99</v>
      </c>
    </row>
    <row r="10" spans="1:29" x14ac:dyDescent="0.2">
      <c r="A10" s="1186" t="s">
        <v>65</v>
      </c>
      <c r="B10" s="1186" t="s">
        <v>1715</v>
      </c>
      <c r="C10" s="1186" t="s">
        <v>65</v>
      </c>
      <c r="D10" s="1186"/>
      <c r="E10" s="1186"/>
      <c r="F10" s="1186"/>
      <c r="G10" s="1186"/>
      <c r="H10" s="1186"/>
      <c r="I10" s="1186">
        <v>2</v>
      </c>
      <c r="J10" s="1186"/>
      <c r="K10" s="1186"/>
      <c r="L10" s="1186"/>
      <c r="M10" s="1186"/>
      <c r="N10" s="1186"/>
      <c r="O10" s="1186"/>
      <c r="P10" s="1186" t="s">
        <v>1716</v>
      </c>
      <c r="Q10" s="1186" t="s">
        <v>65</v>
      </c>
      <c r="R10" s="1186">
        <v>4</v>
      </c>
      <c r="S10" s="1186">
        <v>7</v>
      </c>
      <c r="T10" s="1186">
        <v>6</v>
      </c>
      <c r="U10" s="1186">
        <v>14</v>
      </c>
      <c r="V10" s="1186">
        <v>22</v>
      </c>
      <c r="W10" s="1186">
        <v>7</v>
      </c>
      <c r="X10" s="1186">
        <v>12</v>
      </c>
      <c r="Y10" s="1186">
        <v>30</v>
      </c>
      <c r="Z10" s="1186">
        <v>56</v>
      </c>
      <c r="AA10" s="1186">
        <v>21</v>
      </c>
      <c r="AB10" s="1186">
        <v>8</v>
      </c>
      <c r="AC10" s="1186">
        <v>12</v>
      </c>
    </row>
    <row r="11" spans="1:29" x14ac:dyDescent="0.2">
      <c r="A11" s="1186" t="s">
        <v>66</v>
      </c>
      <c r="B11" s="1186"/>
      <c r="C11" s="1186"/>
      <c r="D11" s="1186"/>
      <c r="E11" s="1186"/>
      <c r="F11" s="1186"/>
      <c r="G11" s="1186"/>
      <c r="H11" s="1186"/>
      <c r="I11" s="1186"/>
      <c r="J11" s="1186"/>
      <c r="K11" s="1186"/>
      <c r="L11" s="1186"/>
      <c r="M11" s="1186"/>
      <c r="N11" s="1186"/>
      <c r="O11" s="1186"/>
      <c r="P11" s="1186" t="s">
        <v>1716</v>
      </c>
      <c r="Q11" s="1186" t="s">
        <v>66</v>
      </c>
      <c r="R11" s="1186">
        <v>7</v>
      </c>
      <c r="S11" s="1186">
        <v>8</v>
      </c>
      <c r="T11" s="1186">
        <v>13</v>
      </c>
      <c r="U11" s="1186">
        <v>7</v>
      </c>
      <c r="V11" s="1186">
        <v>10</v>
      </c>
      <c r="W11" s="1186">
        <v>7</v>
      </c>
      <c r="X11" s="1186">
        <v>9</v>
      </c>
      <c r="Y11" s="1186">
        <v>5</v>
      </c>
      <c r="Z11" s="1186">
        <v>10</v>
      </c>
      <c r="AA11" s="1186">
        <v>13</v>
      </c>
      <c r="AB11" s="1186">
        <v>7</v>
      </c>
      <c r="AC11" s="1186">
        <v>1</v>
      </c>
    </row>
    <row r="12" spans="1:29" x14ac:dyDescent="0.2">
      <c r="A12" s="1186" t="s">
        <v>1720</v>
      </c>
      <c r="B12" s="1186" t="s">
        <v>1715</v>
      </c>
      <c r="C12" s="1186" t="s">
        <v>1720</v>
      </c>
      <c r="D12" s="1186">
        <v>15</v>
      </c>
      <c r="E12" s="1186">
        <v>15</v>
      </c>
      <c r="F12" s="1186">
        <v>15</v>
      </c>
      <c r="G12" s="1186">
        <v>7</v>
      </c>
      <c r="H12" s="1186">
        <v>7</v>
      </c>
      <c r="I12" s="1186">
        <v>20</v>
      </c>
      <c r="J12" s="1186">
        <v>79</v>
      </c>
      <c r="K12" s="1186">
        <v>130</v>
      </c>
      <c r="L12" s="1186">
        <v>59</v>
      </c>
      <c r="M12" s="1186">
        <v>23</v>
      </c>
      <c r="N12" s="1186">
        <v>28</v>
      </c>
      <c r="O12" s="1186">
        <v>15</v>
      </c>
      <c r="P12" s="1186" t="s">
        <v>1716</v>
      </c>
      <c r="Q12" s="1186" t="s">
        <v>1720</v>
      </c>
      <c r="R12" s="1186">
        <v>200</v>
      </c>
      <c r="S12" s="1186">
        <v>220</v>
      </c>
      <c r="T12" s="1186">
        <v>183</v>
      </c>
      <c r="U12" s="1186">
        <v>144</v>
      </c>
      <c r="V12" s="1186">
        <v>158</v>
      </c>
      <c r="W12" s="1186">
        <v>182</v>
      </c>
      <c r="X12" s="1186">
        <v>264</v>
      </c>
      <c r="Y12" s="1186">
        <v>270</v>
      </c>
      <c r="Z12" s="1186">
        <v>279</v>
      </c>
      <c r="AA12" s="1186">
        <v>274</v>
      </c>
      <c r="AB12" s="1186">
        <v>284</v>
      </c>
      <c r="AC12" s="1186">
        <v>121</v>
      </c>
    </row>
    <row r="13" spans="1:29" x14ac:dyDescent="0.2">
      <c r="A13" s="1186" t="s">
        <v>1721</v>
      </c>
      <c r="B13" s="1186" t="s">
        <v>1715</v>
      </c>
      <c r="C13" s="1186" t="s">
        <v>1721</v>
      </c>
      <c r="D13" s="1186">
        <v>19</v>
      </c>
      <c r="E13" s="1186">
        <v>34</v>
      </c>
      <c r="F13" s="1186">
        <v>37</v>
      </c>
      <c r="G13" s="1186">
        <v>22</v>
      </c>
      <c r="H13" s="1186">
        <v>12</v>
      </c>
      <c r="I13" s="1186">
        <v>30</v>
      </c>
      <c r="J13" s="1186">
        <v>33</v>
      </c>
      <c r="K13" s="1186">
        <v>37</v>
      </c>
      <c r="L13" s="1186">
        <v>27</v>
      </c>
      <c r="M13" s="1186">
        <v>33</v>
      </c>
      <c r="N13" s="1186">
        <v>51</v>
      </c>
      <c r="O13" s="1186">
        <v>34</v>
      </c>
      <c r="P13" s="1186" t="s">
        <v>1716</v>
      </c>
      <c r="Q13" s="1186" t="s">
        <v>1721</v>
      </c>
      <c r="R13" s="1186">
        <v>20</v>
      </c>
      <c r="S13" s="1186">
        <v>13</v>
      </c>
      <c r="T13" s="1186">
        <v>18</v>
      </c>
      <c r="U13" s="1186">
        <v>11</v>
      </c>
      <c r="V13" s="1186">
        <v>13</v>
      </c>
      <c r="W13" s="1186">
        <v>19</v>
      </c>
      <c r="X13" s="1186">
        <v>20</v>
      </c>
      <c r="Y13" s="1186">
        <v>37</v>
      </c>
      <c r="Z13" s="1186">
        <v>33</v>
      </c>
      <c r="AA13" s="1186">
        <v>44</v>
      </c>
      <c r="AB13" s="1186">
        <v>27</v>
      </c>
      <c r="AC13" s="1186">
        <v>17</v>
      </c>
    </row>
    <row r="14" spans="1:29" x14ac:dyDescent="0.2">
      <c r="A14" s="1186" t="s">
        <v>1722</v>
      </c>
      <c r="B14" s="1186" t="s">
        <v>1715</v>
      </c>
      <c r="C14" s="1186" t="s">
        <v>1722</v>
      </c>
      <c r="D14" s="1186"/>
      <c r="E14" s="1186"/>
      <c r="F14" s="1186">
        <v>1</v>
      </c>
      <c r="G14" s="1186">
        <v>1</v>
      </c>
      <c r="H14" s="1186">
        <v>1</v>
      </c>
      <c r="I14" s="1186">
        <v>2</v>
      </c>
      <c r="J14" s="1186">
        <v>7</v>
      </c>
      <c r="K14" s="1186"/>
      <c r="L14" s="1186">
        <v>1</v>
      </c>
      <c r="M14" s="1186">
        <v>5</v>
      </c>
      <c r="N14" s="1186">
        <v>1</v>
      </c>
      <c r="O14" s="1186">
        <v>1</v>
      </c>
      <c r="P14" s="1186" t="s">
        <v>1716</v>
      </c>
      <c r="Q14" s="1186" t="s">
        <v>1722</v>
      </c>
      <c r="R14" s="1186">
        <v>23</v>
      </c>
      <c r="S14" s="1186">
        <v>28</v>
      </c>
      <c r="T14" s="1186">
        <v>68</v>
      </c>
      <c r="U14" s="1186">
        <v>35</v>
      </c>
      <c r="V14" s="1186">
        <v>44</v>
      </c>
      <c r="W14" s="1186">
        <v>32</v>
      </c>
      <c r="X14" s="1186">
        <v>23</v>
      </c>
      <c r="Y14" s="1186">
        <v>37</v>
      </c>
      <c r="Z14" s="1186">
        <v>53</v>
      </c>
      <c r="AA14" s="1186">
        <v>96</v>
      </c>
      <c r="AB14" s="1186">
        <v>53</v>
      </c>
      <c r="AC14" s="1186">
        <v>19</v>
      </c>
    </row>
    <row r="15" spans="1:29" x14ac:dyDescent="0.2">
      <c r="A15" s="1186" t="s">
        <v>67</v>
      </c>
      <c r="B15" s="1186"/>
      <c r="C15" s="1186"/>
      <c r="D15" s="1186"/>
      <c r="E15" s="1186"/>
      <c r="F15" s="1186"/>
      <c r="G15" s="1186"/>
      <c r="H15" s="1186"/>
      <c r="I15" s="1186"/>
      <c r="J15" s="1186"/>
      <c r="K15" s="1186"/>
      <c r="L15" s="1186"/>
      <c r="M15" s="1186"/>
      <c r="N15" s="1186"/>
      <c r="O15" s="1186"/>
      <c r="P15" s="1186" t="s">
        <v>1716</v>
      </c>
      <c r="Q15" s="1186" t="s">
        <v>67</v>
      </c>
      <c r="R15" s="1186">
        <v>4</v>
      </c>
      <c r="S15" s="1186">
        <v>8</v>
      </c>
      <c r="T15" s="1186">
        <v>3</v>
      </c>
      <c r="U15" s="1186">
        <v>8</v>
      </c>
      <c r="V15" s="1186">
        <v>4</v>
      </c>
      <c r="W15" s="1186">
        <v>1</v>
      </c>
      <c r="X15" s="1186">
        <v>5</v>
      </c>
      <c r="Y15" s="1186">
        <v>4</v>
      </c>
      <c r="Z15" s="1186">
        <v>5</v>
      </c>
      <c r="AA15" s="1186">
        <v>7</v>
      </c>
      <c r="AB15" s="1186">
        <v>10</v>
      </c>
      <c r="AC15" s="1186">
        <v>2</v>
      </c>
    </row>
    <row r="16" spans="1:29" x14ac:dyDescent="0.2">
      <c r="A16" s="1186" t="s">
        <v>1723</v>
      </c>
      <c r="B16" s="1186" t="s">
        <v>1715</v>
      </c>
      <c r="C16" s="1186" t="s">
        <v>1723</v>
      </c>
      <c r="D16" s="1186"/>
      <c r="E16" s="1186"/>
      <c r="F16" s="1186"/>
      <c r="G16" s="1186"/>
      <c r="H16" s="1186"/>
      <c r="I16" s="1186">
        <v>1</v>
      </c>
      <c r="J16" s="1186"/>
      <c r="K16" s="1186">
        <v>1</v>
      </c>
      <c r="L16" s="1186">
        <v>1</v>
      </c>
      <c r="M16" s="1186"/>
      <c r="N16" s="1186">
        <v>4</v>
      </c>
      <c r="O16" s="1186">
        <v>1</v>
      </c>
      <c r="P16" s="1186" t="s">
        <v>1716</v>
      </c>
      <c r="Q16" s="1186" t="s">
        <v>1723</v>
      </c>
      <c r="R16" s="1186">
        <v>26</v>
      </c>
      <c r="S16" s="1186">
        <v>22</v>
      </c>
      <c r="T16" s="1186">
        <v>19</v>
      </c>
      <c r="U16" s="1186">
        <v>30</v>
      </c>
      <c r="V16" s="1186">
        <v>32</v>
      </c>
      <c r="W16" s="1186">
        <v>43</v>
      </c>
      <c r="X16" s="1186">
        <v>41</v>
      </c>
      <c r="Y16" s="1186">
        <v>32</v>
      </c>
      <c r="Z16" s="1186">
        <v>29</v>
      </c>
      <c r="AA16" s="1186">
        <v>35</v>
      </c>
      <c r="AB16" s="1186">
        <v>34</v>
      </c>
      <c r="AC16" s="1186">
        <v>32</v>
      </c>
    </row>
    <row r="17" spans="1:29" x14ac:dyDescent="0.2">
      <c r="A17" s="1186" t="s">
        <v>1724</v>
      </c>
      <c r="B17" s="1186"/>
      <c r="C17" s="1186"/>
      <c r="D17" s="1186"/>
      <c r="E17" s="1186"/>
      <c r="F17" s="1186"/>
      <c r="G17" s="1186"/>
      <c r="H17" s="1186"/>
      <c r="I17" s="1186"/>
      <c r="J17" s="1186"/>
      <c r="K17" s="1186"/>
      <c r="L17" s="1186"/>
      <c r="M17" s="1186"/>
      <c r="N17" s="1186"/>
      <c r="O17" s="1186"/>
      <c r="P17" s="1186" t="s">
        <v>1716</v>
      </c>
      <c r="Q17" s="1186" t="s">
        <v>1724</v>
      </c>
      <c r="R17" s="1186">
        <v>3</v>
      </c>
      <c r="S17" s="1186">
        <v>3</v>
      </c>
      <c r="T17" s="1186">
        <v>1</v>
      </c>
      <c r="U17" s="1186">
        <v>1</v>
      </c>
      <c r="V17" s="1186"/>
      <c r="W17" s="1186"/>
      <c r="X17" s="1186">
        <v>2</v>
      </c>
      <c r="Y17" s="1186">
        <v>2</v>
      </c>
      <c r="Z17" s="1186">
        <v>4</v>
      </c>
      <c r="AA17" s="1186">
        <v>1</v>
      </c>
      <c r="AB17" s="1186"/>
      <c r="AC17" s="1186">
        <v>2</v>
      </c>
    </row>
    <row r="18" spans="1:29" x14ac:dyDescent="0.2">
      <c r="A18" s="1186" t="s">
        <v>1725</v>
      </c>
      <c r="B18" s="1186" t="s">
        <v>1715</v>
      </c>
      <c r="C18" s="1186" t="s">
        <v>1725</v>
      </c>
      <c r="D18" s="1186">
        <v>10</v>
      </c>
      <c r="E18" s="1186">
        <v>6</v>
      </c>
      <c r="F18" s="1186">
        <v>5</v>
      </c>
      <c r="G18" s="1186">
        <v>5</v>
      </c>
      <c r="H18" s="1186">
        <v>18</v>
      </c>
      <c r="I18" s="1186">
        <v>33</v>
      </c>
      <c r="J18" s="1186">
        <v>76</v>
      </c>
      <c r="K18" s="1186">
        <v>115</v>
      </c>
      <c r="L18" s="1186">
        <v>128</v>
      </c>
      <c r="M18" s="1186">
        <v>133</v>
      </c>
      <c r="N18" s="1186">
        <v>150</v>
      </c>
      <c r="O18" s="1186">
        <v>125</v>
      </c>
      <c r="P18" s="1186" t="s">
        <v>1716</v>
      </c>
      <c r="Q18" s="1186" t="s">
        <v>1725</v>
      </c>
      <c r="R18" s="1186">
        <v>38</v>
      </c>
      <c r="S18" s="1186">
        <v>37</v>
      </c>
      <c r="T18" s="1186">
        <v>37</v>
      </c>
      <c r="U18" s="1186">
        <v>73</v>
      </c>
      <c r="V18" s="1186">
        <v>117</v>
      </c>
      <c r="W18" s="1186">
        <v>280</v>
      </c>
      <c r="X18" s="1186">
        <v>441</v>
      </c>
      <c r="Y18" s="1186">
        <v>545</v>
      </c>
      <c r="Z18" s="1186">
        <v>633</v>
      </c>
      <c r="AA18" s="1186">
        <v>605</v>
      </c>
      <c r="AB18" s="1186">
        <v>624</v>
      </c>
      <c r="AC18" s="1186">
        <v>414</v>
      </c>
    </row>
    <row r="19" spans="1:29" x14ac:dyDescent="0.2">
      <c r="A19" s="1186" t="s">
        <v>68</v>
      </c>
      <c r="B19" s="1186" t="s">
        <v>1715</v>
      </c>
      <c r="C19" s="1186" t="s">
        <v>68</v>
      </c>
      <c r="D19" s="1186">
        <v>2</v>
      </c>
      <c r="E19" s="1186">
        <v>4</v>
      </c>
      <c r="F19" s="1186">
        <v>4</v>
      </c>
      <c r="G19" s="1186">
        <v>4</v>
      </c>
      <c r="H19" s="1186">
        <v>6</v>
      </c>
      <c r="I19" s="1186">
        <v>6</v>
      </c>
      <c r="J19" s="1186">
        <v>2</v>
      </c>
      <c r="K19" s="1186"/>
      <c r="L19" s="1186">
        <v>1</v>
      </c>
      <c r="M19" s="1186">
        <v>2</v>
      </c>
      <c r="N19" s="1186"/>
      <c r="O19" s="1186">
        <v>2</v>
      </c>
      <c r="P19" s="1186" t="s">
        <v>1716</v>
      </c>
      <c r="Q19" s="1186" t="s">
        <v>68</v>
      </c>
      <c r="R19" s="1186">
        <v>6</v>
      </c>
      <c r="S19" s="1186">
        <v>8</v>
      </c>
      <c r="T19" s="1186">
        <v>7</v>
      </c>
      <c r="U19" s="1186">
        <v>8</v>
      </c>
      <c r="V19" s="1186">
        <v>10</v>
      </c>
      <c r="W19" s="1186">
        <v>3</v>
      </c>
      <c r="X19" s="1186">
        <v>11</v>
      </c>
      <c r="Y19" s="1186">
        <v>10</v>
      </c>
      <c r="Z19" s="1186">
        <v>16</v>
      </c>
      <c r="AA19" s="1186">
        <v>19</v>
      </c>
      <c r="AB19" s="1186">
        <v>18</v>
      </c>
      <c r="AC19" s="1186">
        <v>7</v>
      </c>
    </row>
    <row r="20" spans="1:29" x14ac:dyDescent="0.2">
      <c r="A20" s="1186" t="s">
        <v>1726</v>
      </c>
      <c r="B20" s="1186" t="s">
        <v>1715</v>
      </c>
      <c r="C20" s="1186" t="s">
        <v>1726</v>
      </c>
      <c r="D20" s="1186">
        <v>2</v>
      </c>
      <c r="E20" s="1186">
        <v>4</v>
      </c>
      <c r="F20" s="1186">
        <v>2</v>
      </c>
      <c r="G20" s="1186">
        <v>3</v>
      </c>
      <c r="H20" s="1186">
        <v>1</v>
      </c>
      <c r="I20" s="1186">
        <v>7</v>
      </c>
      <c r="J20" s="1186">
        <v>10</v>
      </c>
      <c r="K20" s="1186">
        <v>8</v>
      </c>
      <c r="L20" s="1186">
        <v>6</v>
      </c>
      <c r="M20" s="1186">
        <v>8</v>
      </c>
      <c r="N20" s="1186">
        <v>8</v>
      </c>
      <c r="O20" s="1186">
        <v>2</v>
      </c>
      <c r="P20" s="1186" t="s">
        <v>1716</v>
      </c>
      <c r="Q20" s="1186" t="s">
        <v>1726</v>
      </c>
      <c r="R20" s="1186">
        <v>30</v>
      </c>
      <c r="S20" s="1186">
        <v>14</v>
      </c>
      <c r="T20" s="1186">
        <v>19</v>
      </c>
      <c r="U20" s="1186">
        <v>31</v>
      </c>
      <c r="V20" s="1186">
        <v>26</v>
      </c>
      <c r="W20" s="1186">
        <v>28</v>
      </c>
      <c r="X20" s="1186">
        <v>24</v>
      </c>
      <c r="Y20" s="1186">
        <v>28</v>
      </c>
      <c r="Z20" s="1186">
        <v>36</v>
      </c>
      <c r="AA20" s="1186">
        <v>30</v>
      </c>
      <c r="AB20" s="1186">
        <v>37</v>
      </c>
      <c r="AC20" s="1186">
        <v>22</v>
      </c>
    </row>
    <row r="21" spans="1:29" x14ac:dyDescent="0.2">
      <c r="A21" s="1186" t="s">
        <v>1727</v>
      </c>
      <c r="B21" s="1186"/>
      <c r="C21" s="1186"/>
      <c r="D21" s="1186"/>
      <c r="E21" s="1186"/>
      <c r="F21" s="1186"/>
      <c r="G21" s="1186"/>
      <c r="H21" s="1186"/>
      <c r="I21" s="1186"/>
      <c r="J21" s="1186"/>
      <c r="K21" s="1186"/>
      <c r="L21" s="1186"/>
      <c r="M21" s="1186"/>
      <c r="N21" s="1186"/>
      <c r="O21" s="1186"/>
      <c r="P21" s="1186"/>
      <c r="Q21" s="1186"/>
      <c r="R21" s="1186"/>
      <c r="S21" s="1186"/>
      <c r="T21" s="1186"/>
      <c r="U21" s="1186"/>
      <c r="V21" s="1186"/>
      <c r="W21" s="1186"/>
      <c r="X21" s="1186"/>
      <c r="Y21" s="1186"/>
      <c r="Z21" s="1186"/>
      <c r="AA21" s="1186"/>
      <c r="AB21" s="1186"/>
      <c r="AC21" s="1186"/>
    </row>
    <row r="22" spans="1:29" x14ac:dyDescent="0.2">
      <c r="A22" s="1186" t="s">
        <v>69</v>
      </c>
      <c r="B22" s="1186" t="s">
        <v>1715</v>
      </c>
      <c r="C22" s="1186" t="s">
        <v>69</v>
      </c>
      <c r="D22" s="1186"/>
      <c r="E22" s="1186"/>
      <c r="F22" s="1186"/>
      <c r="G22" s="1186"/>
      <c r="H22" s="1186"/>
      <c r="I22" s="1186">
        <v>1</v>
      </c>
      <c r="J22" s="1186">
        <v>1</v>
      </c>
      <c r="K22" s="1186">
        <v>1</v>
      </c>
      <c r="L22" s="1186"/>
      <c r="M22" s="1186"/>
      <c r="N22" s="1186"/>
      <c r="O22" s="1186"/>
      <c r="P22" s="1186" t="s">
        <v>1716</v>
      </c>
      <c r="Q22" s="1186" t="s">
        <v>69</v>
      </c>
      <c r="R22" s="1186">
        <v>3</v>
      </c>
      <c r="S22" s="1186">
        <v>1</v>
      </c>
      <c r="T22" s="1186">
        <v>1</v>
      </c>
      <c r="U22" s="1186"/>
      <c r="V22" s="1186"/>
      <c r="W22" s="1186">
        <v>6</v>
      </c>
      <c r="X22" s="1186"/>
      <c r="Y22" s="1186"/>
      <c r="Z22" s="1186">
        <v>1</v>
      </c>
      <c r="AA22" s="1186">
        <v>1</v>
      </c>
      <c r="AB22" s="1186"/>
      <c r="AC22" s="1186"/>
    </row>
    <row r="23" spans="1:29" x14ac:dyDescent="0.2">
      <c r="A23" s="1186" t="s">
        <v>1728</v>
      </c>
      <c r="B23" s="1186" t="s">
        <v>1715</v>
      </c>
      <c r="C23" s="1186" t="s">
        <v>1728</v>
      </c>
      <c r="D23" s="1186">
        <v>36</v>
      </c>
      <c r="E23" s="1186">
        <v>28</v>
      </c>
      <c r="F23" s="1186">
        <v>27</v>
      </c>
      <c r="G23" s="1186">
        <v>24</v>
      </c>
      <c r="H23" s="1186">
        <v>29</v>
      </c>
      <c r="I23" s="1186">
        <v>43</v>
      </c>
      <c r="J23" s="1186">
        <v>76</v>
      </c>
      <c r="K23" s="1186">
        <v>76</v>
      </c>
      <c r="L23" s="1186">
        <v>72</v>
      </c>
      <c r="M23" s="1186">
        <v>54</v>
      </c>
      <c r="N23" s="1186">
        <v>74</v>
      </c>
      <c r="O23" s="1186">
        <v>42</v>
      </c>
      <c r="P23" s="1186" t="s">
        <v>1716</v>
      </c>
      <c r="Q23" s="1186" t="s">
        <v>1728</v>
      </c>
      <c r="R23" s="1186">
        <v>166</v>
      </c>
      <c r="S23" s="1186">
        <v>133</v>
      </c>
      <c r="T23" s="1186">
        <v>111</v>
      </c>
      <c r="U23" s="1186">
        <v>104</v>
      </c>
      <c r="V23" s="1186">
        <v>157</v>
      </c>
      <c r="W23" s="1186">
        <v>162</v>
      </c>
      <c r="X23" s="1186">
        <v>266</v>
      </c>
      <c r="Y23" s="1186">
        <v>333</v>
      </c>
      <c r="Z23" s="1186">
        <v>330</v>
      </c>
      <c r="AA23" s="1186">
        <v>322</v>
      </c>
      <c r="AB23" s="1186">
        <v>266</v>
      </c>
      <c r="AC23" s="1186">
        <v>161</v>
      </c>
    </row>
    <row r="24" spans="1:29" x14ac:dyDescent="0.2">
      <c r="A24" s="1186" t="s">
        <v>70</v>
      </c>
      <c r="B24" s="1186" t="s">
        <v>1715</v>
      </c>
      <c r="C24" s="1186" t="s">
        <v>70</v>
      </c>
      <c r="D24" s="1186"/>
      <c r="E24" s="1186"/>
      <c r="F24" s="1186"/>
      <c r="G24" s="1186"/>
      <c r="H24" s="1186"/>
      <c r="I24" s="1186"/>
      <c r="J24" s="1186"/>
      <c r="K24" s="1186">
        <v>2</v>
      </c>
      <c r="L24" s="1186"/>
      <c r="M24" s="1186"/>
      <c r="N24" s="1186"/>
      <c r="O24" s="1186"/>
      <c r="P24" s="1186" t="s">
        <v>1716</v>
      </c>
      <c r="Q24" s="1186" t="s">
        <v>70</v>
      </c>
      <c r="R24" s="1186"/>
      <c r="S24" s="1186"/>
      <c r="T24" s="1186">
        <v>1</v>
      </c>
      <c r="U24" s="1186">
        <v>3</v>
      </c>
      <c r="V24" s="1186">
        <v>5</v>
      </c>
      <c r="W24" s="1186">
        <v>1</v>
      </c>
      <c r="X24" s="1186"/>
      <c r="Y24" s="1186">
        <v>7</v>
      </c>
      <c r="Z24" s="1186">
        <v>6</v>
      </c>
      <c r="AA24" s="1186">
        <v>2</v>
      </c>
      <c r="AB24" s="1186">
        <v>4</v>
      </c>
      <c r="AC24" s="1186"/>
    </row>
  </sheetData>
  <pageMargins left="0.7" right="0.7" top="0.75" bottom="0.75" header="0.3" footer="0.3"/>
  <pageSetup paperSize="9" fitToHeight="50" orientation="landscape" r:id="rId1"/>
  <legacyDrawing r:id="rId2"/>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pageSetUpPr fitToPage="1"/>
  </sheetPr>
  <dimension ref="A1:P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2.85546875" bestFit="1" customWidth="1"/>
    <col min="3" max="3" width="17.42578125" bestFit="1" customWidth="1"/>
    <col min="4" max="4" width="25.7109375" bestFit="1" customWidth="1"/>
    <col min="5" max="5" width="21.5703125" bestFit="1" customWidth="1"/>
    <col min="6" max="6" width="10.5703125" bestFit="1" customWidth="1"/>
    <col min="7" max="7" width="27.5703125" bestFit="1" customWidth="1"/>
    <col min="8" max="8" width="22.42578125" bestFit="1" customWidth="1"/>
    <col min="9" max="9" width="30" bestFit="1" customWidth="1"/>
    <col min="10" max="10" width="29.85546875" bestFit="1" customWidth="1"/>
    <col min="11" max="11" width="15.5703125" bestFit="1" customWidth="1"/>
    <col min="12" max="12" width="7.85546875" bestFit="1" customWidth="1"/>
    <col min="13" max="13" width="11.140625" bestFit="1" customWidth="1"/>
    <col min="14" max="14" width="25.140625" bestFit="1" customWidth="1"/>
    <col min="15" max="15" width="8.85546875" bestFit="1" customWidth="1"/>
    <col min="16" max="16" width="7.42578125" bestFit="1" customWidth="1"/>
  </cols>
  <sheetData>
    <row r="1" spans="1:16" x14ac:dyDescent="0.2"/>
    <row r="4" spans="1:16" x14ac:dyDescent="0.2">
      <c r="A4" s="1223" t="s">
        <v>4</v>
      </c>
      <c r="B4" s="1223" t="s">
        <v>1729</v>
      </c>
      <c r="C4" s="1223" t="s">
        <v>1730</v>
      </c>
      <c r="D4" s="1223" t="s">
        <v>1731</v>
      </c>
      <c r="E4" s="1223" t="s">
        <v>1732</v>
      </c>
      <c r="F4" s="1223" t="s">
        <v>1733</v>
      </c>
      <c r="G4" s="1223" t="s">
        <v>1734</v>
      </c>
      <c r="H4" s="1223" t="s">
        <v>1735</v>
      </c>
      <c r="I4" s="1223" t="s">
        <v>1736</v>
      </c>
      <c r="J4" s="1223" t="s">
        <v>1737</v>
      </c>
      <c r="K4" s="1223" t="s">
        <v>1738</v>
      </c>
      <c r="L4" s="1223" t="s">
        <v>1739</v>
      </c>
      <c r="M4" s="1223" t="s">
        <v>1740</v>
      </c>
      <c r="N4" s="1223" t="s">
        <v>1741</v>
      </c>
      <c r="O4" s="1223" t="s">
        <v>1742</v>
      </c>
      <c r="P4" s="1223" t="s">
        <v>752</v>
      </c>
    </row>
    <row r="5" spans="1:16" x14ac:dyDescent="0.2">
      <c r="A5" s="1186" t="s">
        <v>19</v>
      </c>
      <c r="B5" s="1186">
        <v>9564</v>
      </c>
      <c r="C5" s="1186">
        <v>611</v>
      </c>
      <c r="D5" s="1186">
        <v>418</v>
      </c>
      <c r="E5" s="1186">
        <v>88</v>
      </c>
      <c r="F5" s="1186">
        <v>299</v>
      </c>
      <c r="G5" s="1186">
        <v>64</v>
      </c>
      <c r="H5" s="1186">
        <v>143</v>
      </c>
      <c r="I5" s="1186">
        <v>87</v>
      </c>
      <c r="J5" s="1186">
        <v>177</v>
      </c>
      <c r="K5" s="1186">
        <v>204</v>
      </c>
      <c r="L5" s="1186">
        <v>328</v>
      </c>
      <c r="M5" s="1186">
        <v>219</v>
      </c>
      <c r="N5" s="1186">
        <v>161</v>
      </c>
      <c r="O5" s="1186">
        <v>205</v>
      </c>
      <c r="P5" s="1186">
        <v>6560</v>
      </c>
    </row>
    <row r="6" spans="1:16" x14ac:dyDescent="0.2">
      <c r="A6" s="1186" t="s">
        <v>20</v>
      </c>
      <c r="B6" s="1186">
        <v>9088</v>
      </c>
      <c r="C6" s="1186">
        <v>581</v>
      </c>
      <c r="D6" s="1186">
        <v>393</v>
      </c>
      <c r="E6" s="1186">
        <v>88</v>
      </c>
      <c r="F6" s="1186">
        <v>324</v>
      </c>
      <c r="G6" s="1186">
        <v>53</v>
      </c>
      <c r="H6" s="1186">
        <v>144</v>
      </c>
      <c r="I6" s="1186">
        <v>110</v>
      </c>
      <c r="J6" s="1186">
        <v>142</v>
      </c>
      <c r="K6" s="1186">
        <v>196</v>
      </c>
      <c r="L6" s="1186">
        <v>301</v>
      </c>
      <c r="M6" s="1186">
        <v>187</v>
      </c>
      <c r="N6" s="1186">
        <v>140</v>
      </c>
      <c r="O6" s="1186">
        <v>136</v>
      </c>
      <c r="P6" s="1186">
        <v>6293</v>
      </c>
    </row>
    <row r="7" spans="1:16" x14ac:dyDescent="0.2">
      <c r="A7" s="1186" t="s">
        <v>13</v>
      </c>
      <c r="B7" s="1186">
        <v>8874</v>
      </c>
      <c r="C7" s="1186">
        <v>512</v>
      </c>
      <c r="D7" s="1186">
        <v>428</v>
      </c>
      <c r="E7" s="1186">
        <v>84</v>
      </c>
      <c r="F7" s="1186">
        <v>298</v>
      </c>
      <c r="G7" s="1186">
        <v>38</v>
      </c>
      <c r="H7" s="1186">
        <v>118</v>
      </c>
      <c r="I7" s="1186">
        <v>110</v>
      </c>
      <c r="J7" s="1186">
        <v>157</v>
      </c>
      <c r="K7" s="1186">
        <v>188</v>
      </c>
      <c r="L7" s="1186">
        <v>272</v>
      </c>
      <c r="M7" s="1186">
        <v>164</v>
      </c>
      <c r="N7" s="1186">
        <v>173</v>
      </c>
      <c r="O7" s="1186">
        <v>175</v>
      </c>
      <c r="P7" s="1186">
        <v>6157</v>
      </c>
    </row>
    <row r="8" spans="1:16" x14ac:dyDescent="0.2">
      <c r="A8" s="1186" t="s">
        <v>15</v>
      </c>
      <c r="B8" s="1186">
        <v>8237</v>
      </c>
      <c r="C8" s="1186">
        <v>475</v>
      </c>
      <c r="D8" s="1186">
        <v>350</v>
      </c>
      <c r="E8" s="1186">
        <v>86</v>
      </c>
      <c r="F8" s="1186">
        <v>234</v>
      </c>
      <c r="G8" s="1186">
        <v>37</v>
      </c>
      <c r="H8" s="1186">
        <v>107</v>
      </c>
      <c r="I8" s="1186">
        <v>122</v>
      </c>
      <c r="J8" s="1186">
        <v>126</v>
      </c>
      <c r="K8" s="1186">
        <v>145</v>
      </c>
      <c r="L8" s="1186">
        <v>234</v>
      </c>
      <c r="M8" s="1186">
        <v>160</v>
      </c>
      <c r="N8" s="1186">
        <v>152</v>
      </c>
      <c r="O8" s="1186">
        <v>180</v>
      </c>
      <c r="P8" s="1186">
        <v>5829</v>
      </c>
    </row>
    <row r="9" spans="1:16" x14ac:dyDescent="0.2">
      <c r="A9" s="1186" t="s">
        <v>17</v>
      </c>
      <c r="B9" s="1186">
        <v>7669</v>
      </c>
      <c r="C9" s="1186">
        <v>446</v>
      </c>
      <c r="D9" s="1186">
        <v>346</v>
      </c>
      <c r="E9" s="1186">
        <v>88</v>
      </c>
      <c r="F9" s="1186">
        <v>219</v>
      </c>
      <c r="G9" s="1186">
        <v>40</v>
      </c>
      <c r="H9" s="1186">
        <v>121</v>
      </c>
      <c r="I9" s="1186">
        <v>113</v>
      </c>
      <c r="J9" s="1186">
        <v>124</v>
      </c>
      <c r="K9" s="1186">
        <v>155</v>
      </c>
      <c r="L9" s="1186">
        <v>232</v>
      </c>
      <c r="M9" s="1186">
        <v>151</v>
      </c>
      <c r="N9" s="1186">
        <v>141</v>
      </c>
      <c r="O9" s="1186">
        <v>170</v>
      </c>
      <c r="P9" s="1186">
        <v>5323</v>
      </c>
    </row>
    <row r="10" spans="1:16" x14ac:dyDescent="0.2">
      <c r="A10" s="1186" t="s">
        <v>133</v>
      </c>
      <c r="B10" s="1186">
        <v>7898</v>
      </c>
      <c r="C10" s="1186">
        <v>429</v>
      </c>
      <c r="D10" s="1186">
        <v>358</v>
      </c>
      <c r="E10" s="1186">
        <v>91</v>
      </c>
      <c r="F10" s="1186">
        <v>223</v>
      </c>
      <c r="G10" s="1186">
        <v>30</v>
      </c>
      <c r="H10" s="1186">
        <v>120</v>
      </c>
      <c r="I10" s="1186">
        <v>99</v>
      </c>
      <c r="J10" s="1186">
        <v>102</v>
      </c>
      <c r="K10" s="1186">
        <v>160</v>
      </c>
      <c r="L10" s="1186">
        <v>234</v>
      </c>
      <c r="M10" s="1186">
        <v>158</v>
      </c>
      <c r="N10" s="1186">
        <v>156</v>
      </c>
      <c r="O10" s="1186">
        <v>164</v>
      </c>
      <c r="P10" s="1186">
        <v>5574</v>
      </c>
    </row>
    <row r="11" spans="1:16" x14ac:dyDescent="0.2">
      <c r="A11" s="1186" t="s">
        <v>144</v>
      </c>
      <c r="B11" s="1186">
        <v>8167</v>
      </c>
      <c r="C11" s="1186">
        <v>490</v>
      </c>
      <c r="D11" s="1186">
        <v>312</v>
      </c>
      <c r="E11" s="1186">
        <v>87</v>
      </c>
      <c r="F11" s="1186">
        <v>246</v>
      </c>
      <c r="G11" s="1186">
        <v>47</v>
      </c>
      <c r="H11" s="1186">
        <v>131</v>
      </c>
      <c r="I11" s="1186">
        <v>119</v>
      </c>
      <c r="J11" s="1186">
        <v>110</v>
      </c>
      <c r="K11" s="1186">
        <v>165</v>
      </c>
      <c r="L11" s="1186">
        <v>257</v>
      </c>
      <c r="M11" s="1186">
        <v>175</v>
      </c>
      <c r="N11" s="1186">
        <v>167</v>
      </c>
      <c r="O11" s="1186">
        <v>188</v>
      </c>
      <c r="P11" s="1186">
        <v>5673</v>
      </c>
    </row>
    <row r="12" spans="1:16" x14ac:dyDescent="0.2">
      <c r="A12" s="1186" t="s">
        <v>282</v>
      </c>
      <c r="B12" s="1186">
        <v>7817</v>
      </c>
      <c r="C12" s="1186">
        <v>415</v>
      </c>
      <c r="D12" s="1186">
        <v>317</v>
      </c>
      <c r="E12" s="1186">
        <v>72</v>
      </c>
      <c r="F12" s="1186">
        <v>235</v>
      </c>
      <c r="G12" s="1186">
        <v>52</v>
      </c>
      <c r="H12" s="1186">
        <v>120</v>
      </c>
      <c r="I12" s="1186">
        <v>99</v>
      </c>
      <c r="J12" s="1186">
        <v>106</v>
      </c>
      <c r="K12" s="1186">
        <v>171</v>
      </c>
      <c r="L12" s="1186">
        <v>225</v>
      </c>
      <c r="M12" s="1186">
        <v>165</v>
      </c>
      <c r="N12" s="1186">
        <v>145</v>
      </c>
      <c r="O12" s="1186">
        <v>155</v>
      </c>
      <c r="P12" s="1186">
        <v>5540</v>
      </c>
    </row>
    <row r="13" spans="1:16" x14ac:dyDescent="0.2">
      <c r="A13" s="1186" t="s">
        <v>311</v>
      </c>
      <c r="B13" s="1186">
        <v>7598</v>
      </c>
      <c r="C13" s="1186">
        <v>385</v>
      </c>
      <c r="D13" s="1186">
        <v>355</v>
      </c>
      <c r="E13" s="1186">
        <v>68</v>
      </c>
      <c r="F13" s="1186">
        <v>228</v>
      </c>
      <c r="G13" s="1186">
        <v>35</v>
      </c>
      <c r="H13" s="1186">
        <v>107</v>
      </c>
      <c r="I13" s="1186">
        <v>155</v>
      </c>
      <c r="J13" s="1186">
        <v>115</v>
      </c>
      <c r="K13" s="1186">
        <v>156</v>
      </c>
      <c r="L13" s="1186">
        <v>205</v>
      </c>
      <c r="M13" s="1186">
        <v>177</v>
      </c>
      <c r="N13" s="1186">
        <v>128</v>
      </c>
      <c r="O13" s="1186">
        <v>173</v>
      </c>
      <c r="P13" s="1186">
        <v>5311</v>
      </c>
    </row>
    <row r="14" spans="1:16" x14ac:dyDescent="0.2">
      <c r="A14" s="1186" t="s">
        <v>621</v>
      </c>
      <c r="B14" s="1186">
        <v>7397</v>
      </c>
      <c r="C14" s="1186">
        <v>422</v>
      </c>
      <c r="D14" s="1186">
        <v>333</v>
      </c>
      <c r="E14" s="1186">
        <v>79</v>
      </c>
      <c r="F14" s="1186">
        <v>197</v>
      </c>
      <c r="G14" s="1186">
        <v>38</v>
      </c>
      <c r="H14" s="1186">
        <v>107</v>
      </c>
      <c r="I14" s="1186">
        <v>160</v>
      </c>
      <c r="J14" s="1186">
        <v>95</v>
      </c>
      <c r="K14" s="1186">
        <v>165</v>
      </c>
      <c r="L14" s="1186">
        <v>210</v>
      </c>
      <c r="M14" s="1186">
        <v>155</v>
      </c>
      <c r="N14" s="1186">
        <v>132</v>
      </c>
      <c r="O14" s="1186">
        <v>159</v>
      </c>
      <c r="P14" s="1186">
        <v>5145</v>
      </c>
    </row>
    <row r="15" spans="1:16" x14ac:dyDescent="0.2">
      <c r="A15" s="1186" t="s">
        <v>1419</v>
      </c>
      <c r="B15" s="1186">
        <v>6870</v>
      </c>
      <c r="C15" s="1186">
        <v>389</v>
      </c>
      <c r="D15" s="1186">
        <v>295</v>
      </c>
      <c r="E15" s="1186">
        <v>54</v>
      </c>
      <c r="F15" s="1186">
        <v>171</v>
      </c>
      <c r="G15" s="1186">
        <v>30</v>
      </c>
      <c r="H15" s="1186">
        <v>112</v>
      </c>
      <c r="I15" s="1186">
        <v>93</v>
      </c>
      <c r="J15" s="1186">
        <v>99</v>
      </c>
      <c r="K15" s="1186">
        <v>142</v>
      </c>
      <c r="L15" s="1186">
        <v>187</v>
      </c>
      <c r="M15" s="1186">
        <v>157</v>
      </c>
      <c r="N15" s="1186">
        <v>111</v>
      </c>
      <c r="O15" s="1186">
        <v>140</v>
      </c>
      <c r="P15" s="1186">
        <v>4890</v>
      </c>
    </row>
    <row r="16" spans="1:16" x14ac:dyDescent="0.2">
      <c r="A16" s="1186" t="s">
        <v>1572</v>
      </c>
      <c r="B16" s="1186">
        <v>6379</v>
      </c>
      <c r="C16" s="1186">
        <v>340</v>
      </c>
      <c r="D16" s="1186">
        <v>316</v>
      </c>
      <c r="E16" s="1186">
        <v>73</v>
      </c>
      <c r="F16" s="1186">
        <v>197</v>
      </c>
      <c r="G16" s="1186">
        <v>31</v>
      </c>
      <c r="H16" s="1186">
        <v>65</v>
      </c>
      <c r="I16" s="1186">
        <v>83</v>
      </c>
      <c r="J16" s="1186">
        <v>72</v>
      </c>
      <c r="K16" s="1186">
        <v>112</v>
      </c>
      <c r="L16" s="1186">
        <v>140</v>
      </c>
      <c r="M16" s="1186">
        <v>89</v>
      </c>
      <c r="N16" s="1186">
        <v>95</v>
      </c>
      <c r="O16" s="1186">
        <v>105</v>
      </c>
      <c r="P16" s="1186">
        <v>4661</v>
      </c>
    </row>
  </sheetData>
  <pageMargins left="0.7" right="0.7" top="0.75" bottom="0.75" header="0.3" footer="0.3"/>
  <pageSetup paperSize="9" fitToHeight="50" orientation="landscape" r:id="rId1"/>
  <legacyDrawing r:id="rId2"/>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pageSetUpPr fitToPage="1"/>
  </sheetPr>
  <dimension ref="A1:Q389"/>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9.5703125" bestFit="1" customWidth="1"/>
    <col min="2" max="2" width="7.42578125" bestFit="1" customWidth="1"/>
    <col min="3" max="3" width="12.85546875" bestFit="1" customWidth="1"/>
    <col min="4" max="4" width="17.42578125" bestFit="1" customWidth="1"/>
    <col min="5" max="5" width="25.7109375" bestFit="1" customWidth="1"/>
    <col min="6" max="6" width="21.5703125" bestFit="1" customWidth="1"/>
    <col min="7" max="7" width="10.5703125" bestFit="1" customWidth="1"/>
    <col min="8" max="8" width="27.5703125" bestFit="1" customWidth="1"/>
    <col min="9" max="9" width="22.42578125" bestFit="1" customWidth="1"/>
    <col min="10" max="10" width="30" bestFit="1" customWidth="1"/>
    <col min="11" max="11" width="29.85546875" bestFit="1" customWidth="1"/>
    <col min="12" max="12" width="15.5703125" bestFit="1" customWidth="1"/>
    <col min="13" max="13" width="7.85546875" bestFit="1" customWidth="1"/>
    <col min="14" max="14" width="11.140625" bestFit="1" customWidth="1"/>
    <col min="15" max="15" width="25.140625" bestFit="1" customWidth="1"/>
    <col min="16" max="16" width="8.85546875" bestFit="1" customWidth="1"/>
    <col min="17" max="17" width="7.42578125" bestFit="1" customWidth="1"/>
  </cols>
  <sheetData>
    <row r="1" spans="1:17" x14ac:dyDescent="0.2"/>
    <row r="4" spans="1:17" x14ac:dyDescent="0.2">
      <c r="A4" s="1223" t="s">
        <v>1627</v>
      </c>
      <c r="B4" s="1223" t="s">
        <v>4</v>
      </c>
      <c r="C4" s="1223" t="s">
        <v>1729</v>
      </c>
      <c r="D4" s="1223" t="s">
        <v>1730</v>
      </c>
      <c r="E4" s="1223" t="s">
        <v>1731</v>
      </c>
      <c r="F4" s="1223" t="s">
        <v>1732</v>
      </c>
      <c r="G4" s="1223" t="s">
        <v>1733</v>
      </c>
      <c r="H4" s="1223" t="s">
        <v>1734</v>
      </c>
      <c r="I4" s="1223" t="s">
        <v>1735</v>
      </c>
      <c r="J4" s="1223" t="s">
        <v>1736</v>
      </c>
      <c r="K4" s="1223" t="s">
        <v>1737</v>
      </c>
      <c r="L4" s="1223" t="s">
        <v>1738</v>
      </c>
      <c r="M4" s="1223" t="s">
        <v>1739</v>
      </c>
      <c r="N4" s="1223" t="s">
        <v>1740</v>
      </c>
      <c r="O4" s="1223" t="s">
        <v>1741</v>
      </c>
      <c r="P4" s="1223" t="s">
        <v>1742</v>
      </c>
      <c r="Q4" s="1223" t="s">
        <v>752</v>
      </c>
    </row>
    <row r="5" spans="1:17" x14ac:dyDescent="0.2">
      <c r="A5" s="1186" t="s">
        <v>23</v>
      </c>
      <c r="B5" s="1186" t="s">
        <v>19</v>
      </c>
      <c r="C5" s="1186">
        <v>537</v>
      </c>
      <c r="D5" s="1186">
        <v>37</v>
      </c>
      <c r="E5" s="1186">
        <v>11</v>
      </c>
      <c r="F5" s="1186"/>
      <c r="G5" s="1186">
        <v>15</v>
      </c>
      <c r="H5" s="1186">
        <v>1</v>
      </c>
      <c r="I5" s="1186">
        <v>14</v>
      </c>
      <c r="J5" s="1186">
        <v>6</v>
      </c>
      <c r="K5" s="1186">
        <v>6</v>
      </c>
      <c r="L5" s="1186">
        <v>8</v>
      </c>
      <c r="M5" s="1186">
        <v>18</v>
      </c>
      <c r="N5" s="1186">
        <v>7</v>
      </c>
      <c r="O5" s="1186">
        <v>14</v>
      </c>
      <c r="P5" s="1186">
        <v>9</v>
      </c>
      <c r="Q5" s="1186">
        <v>391</v>
      </c>
    </row>
    <row r="6" spans="1:17" x14ac:dyDescent="0.2">
      <c r="A6" s="1186" t="s">
        <v>24</v>
      </c>
      <c r="B6" s="1186" t="s">
        <v>19</v>
      </c>
      <c r="C6" s="1186">
        <v>293</v>
      </c>
      <c r="D6" s="1186">
        <v>13</v>
      </c>
      <c r="E6" s="1186">
        <v>14</v>
      </c>
      <c r="F6" s="1186">
        <v>15</v>
      </c>
      <c r="G6" s="1186">
        <v>10</v>
      </c>
      <c r="H6" s="1186"/>
      <c r="I6" s="1186">
        <v>4</v>
      </c>
      <c r="J6" s="1186">
        <v>5</v>
      </c>
      <c r="K6" s="1186">
        <v>6</v>
      </c>
      <c r="L6" s="1186">
        <v>4</v>
      </c>
      <c r="M6" s="1186">
        <v>5</v>
      </c>
      <c r="N6" s="1186">
        <v>6</v>
      </c>
      <c r="O6" s="1186">
        <v>6</v>
      </c>
      <c r="P6" s="1186">
        <v>1</v>
      </c>
      <c r="Q6" s="1186">
        <v>204</v>
      </c>
    </row>
    <row r="7" spans="1:17" x14ac:dyDescent="0.2">
      <c r="A7" s="1186" t="s">
        <v>25</v>
      </c>
      <c r="B7" s="1186" t="s">
        <v>19</v>
      </c>
      <c r="C7" s="1186">
        <v>145</v>
      </c>
      <c r="D7" s="1186">
        <v>8</v>
      </c>
      <c r="E7" s="1186">
        <v>6</v>
      </c>
      <c r="F7" s="1186">
        <v>2</v>
      </c>
      <c r="G7" s="1186">
        <v>5</v>
      </c>
      <c r="H7" s="1186">
        <v>1</v>
      </c>
      <c r="I7" s="1186"/>
      <c r="J7" s="1186">
        <v>1</v>
      </c>
      <c r="K7" s="1186">
        <v>2</v>
      </c>
      <c r="L7" s="1186">
        <v>2</v>
      </c>
      <c r="M7" s="1186">
        <v>6</v>
      </c>
      <c r="N7" s="1186">
        <v>4</v>
      </c>
      <c r="O7" s="1186">
        <v>1</v>
      </c>
      <c r="P7" s="1186">
        <v>5</v>
      </c>
      <c r="Q7" s="1186">
        <v>102</v>
      </c>
    </row>
    <row r="8" spans="1:17" x14ac:dyDescent="0.2">
      <c r="A8" s="1186" t="s">
        <v>26</v>
      </c>
      <c r="B8" s="1186" t="s">
        <v>19</v>
      </c>
      <c r="C8" s="1186">
        <v>136</v>
      </c>
      <c r="D8" s="1186">
        <v>16</v>
      </c>
      <c r="E8" s="1186">
        <v>5</v>
      </c>
      <c r="F8" s="1186">
        <v>1</v>
      </c>
      <c r="G8" s="1186">
        <v>5</v>
      </c>
      <c r="H8" s="1186"/>
      <c r="I8" s="1186">
        <v>2</v>
      </c>
      <c r="J8" s="1186">
        <v>1</v>
      </c>
      <c r="K8" s="1186">
        <v>1</v>
      </c>
      <c r="L8" s="1186">
        <v>4</v>
      </c>
      <c r="M8" s="1186">
        <v>7</v>
      </c>
      <c r="N8" s="1186">
        <v>5</v>
      </c>
      <c r="O8" s="1186">
        <v>1</v>
      </c>
      <c r="P8" s="1186">
        <v>2</v>
      </c>
      <c r="Q8" s="1186">
        <v>86</v>
      </c>
    </row>
    <row r="9" spans="1:17" x14ac:dyDescent="0.2">
      <c r="A9" s="1186" t="s">
        <v>619</v>
      </c>
      <c r="B9" s="1186" t="s">
        <v>19</v>
      </c>
      <c r="C9" s="1186">
        <v>1135</v>
      </c>
      <c r="D9" s="1186">
        <v>88</v>
      </c>
      <c r="E9" s="1186">
        <v>22</v>
      </c>
      <c r="F9" s="1186">
        <v>3</v>
      </c>
      <c r="G9" s="1186">
        <v>25</v>
      </c>
      <c r="H9" s="1186">
        <v>5</v>
      </c>
      <c r="I9" s="1186">
        <v>17</v>
      </c>
      <c r="J9" s="1186">
        <v>8</v>
      </c>
      <c r="K9" s="1186">
        <v>25</v>
      </c>
      <c r="L9" s="1186">
        <v>36</v>
      </c>
      <c r="M9" s="1186">
        <v>43</v>
      </c>
      <c r="N9" s="1186">
        <v>23</v>
      </c>
      <c r="O9" s="1186">
        <v>14</v>
      </c>
      <c r="P9" s="1186">
        <v>31</v>
      </c>
      <c r="Q9" s="1186">
        <v>795</v>
      </c>
    </row>
    <row r="10" spans="1:17" x14ac:dyDescent="0.2">
      <c r="A10" s="1186" t="s">
        <v>27</v>
      </c>
      <c r="B10" s="1186" t="s">
        <v>19</v>
      </c>
      <c r="C10" s="1186">
        <v>64</v>
      </c>
      <c r="D10" s="1186">
        <v>4</v>
      </c>
      <c r="E10" s="1186">
        <v>2</v>
      </c>
      <c r="F10" s="1186"/>
      <c r="G10" s="1186">
        <v>7</v>
      </c>
      <c r="H10" s="1186">
        <v>3</v>
      </c>
      <c r="I10" s="1186">
        <v>1</v>
      </c>
      <c r="J10" s="1186">
        <v>4</v>
      </c>
      <c r="K10" s="1186"/>
      <c r="L10" s="1186"/>
      <c r="M10" s="1186">
        <v>2</v>
      </c>
      <c r="N10" s="1186">
        <v>1</v>
      </c>
      <c r="O10" s="1186"/>
      <c r="P10" s="1186"/>
      <c r="Q10" s="1186">
        <v>40</v>
      </c>
    </row>
    <row r="11" spans="1:17" x14ac:dyDescent="0.2">
      <c r="A11" s="1186" t="s">
        <v>28</v>
      </c>
      <c r="B11" s="1186" t="s">
        <v>19</v>
      </c>
      <c r="C11" s="1186">
        <v>199</v>
      </c>
      <c r="D11" s="1186">
        <v>9</v>
      </c>
      <c r="E11" s="1186">
        <v>9</v>
      </c>
      <c r="F11" s="1186">
        <v>10</v>
      </c>
      <c r="G11" s="1186">
        <v>11</v>
      </c>
      <c r="H11" s="1186">
        <v>3</v>
      </c>
      <c r="I11" s="1186">
        <v>3</v>
      </c>
      <c r="J11" s="1186">
        <v>2</v>
      </c>
      <c r="K11" s="1186">
        <v>6</v>
      </c>
      <c r="L11" s="1186">
        <v>2</v>
      </c>
      <c r="M11" s="1186">
        <v>7</v>
      </c>
      <c r="N11" s="1186">
        <v>3</v>
      </c>
      <c r="O11" s="1186"/>
      <c r="P11" s="1186">
        <v>2</v>
      </c>
      <c r="Q11" s="1186">
        <v>132</v>
      </c>
    </row>
    <row r="12" spans="1:17" x14ac:dyDescent="0.2">
      <c r="A12" s="1186" t="s">
        <v>29</v>
      </c>
      <c r="B12" s="1186" t="s">
        <v>19</v>
      </c>
      <c r="C12" s="1186">
        <v>432</v>
      </c>
      <c r="D12" s="1186">
        <v>35</v>
      </c>
      <c r="E12" s="1186">
        <v>11</v>
      </c>
      <c r="F12" s="1186"/>
      <c r="G12" s="1186">
        <v>11</v>
      </c>
      <c r="H12" s="1186">
        <v>1</v>
      </c>
      <c r="I12" s="1186">
        <v>4</v>
      </c>
      <c r="J12" s="1186"/>
      <c r="K12" s="1186">
        <v>4</v>
      </c>
      <c r="L12" s="1186">
        <v>9</v>
      </c>
      <c r="M12" s="1186">
        <v>14</v>
      </c>
      <c r="N12" s="1186">
        <v>4</v>
      </c>
      <c r="O12" s="1186">
        <v>9</v>
      </c>
      <c r="P12" s="1186">
        <v>5</v>
      </c>
      <c r="Q12" s="1186">
        <v>325</v>
      </c>
    </row>
    <row r="13" spans="1:17" x14ac:dyDescent="0.2">
      <c r="A13" s="1186" t="s">
        <v>30</v>
      </c>
      <c r="B13" s="1186" t="s">
        <v>19</v>
      </c>
      <c r="C13" s="1186">
        <v>191</v>
      </c>
      <c r="D13" s="1186">
        <v>10</v>
      </c>
      <c r="E13" s="1186">
        <v>14</v>
      </c>
      <c r="F13" s="1186">
        <v>3</v>
      </c>
      <c r="G13" s="1186">
        <v>12</v>
      </c>
      <c r="H13" s="1186"/>
      <c r="I13" s="1186">
        <v>4</v>
      </c>
      <c r="J13" s="1186">
        <v>2</v>
      </c>
      <c r="K13" s="1186">
        <v>6</v>
      </c>
      <c r="L13" s="1186">
        <v>3</v>
      </c>
      <c r="M13" s="1186">
        <v>5</v>
      </c>
      <c r="N13" s="1186">
        <v>2</v>
      </c>
      <c r="O13" s="1186">
        <v>1</v>
      </c>
      <c r="P13" s="1186">
        <v>4</v>
      </c>
      <c r="Q13" s="1186">
        <v>125</v>
      </c>
    </row>
    <row r="14" spans="1:17" x14ac:dyDescent="0.2">
      <c r="A14" s="1186" t="s">
        <v>31</v>
      </c>
      <c r="B14" s="1186" t="s">
        <v>19</v>
      </c>
      <c r="C14" s="1186">
        <v>118</v>
      </c>
      <c r="D14" s="1186">
        <v>2</v>
      </c>
      <c r="E14" s="1186">
        <v>9</v>
      </c>
      <c r="F14" s="1186"/>
      <c r="G14" s="1186"/>
      <c r="H14" s="1186"/>
      <c r="I14" s="1186">
        <v>3</v>
      </c>
      <c r="J14" s="1186">
        <v>4</v>
      </c>
      <c r="K14" s="1186">
        <v>2</v>
      </c>
      <c r="L14" s="1186">
        <v>5</v>
      </c>
      <c r="M14" s="1186">
        <v>6</v>
      </c>
      <c r="N14" s="1186">
        <v>7</v>
      </c>
      <c r="O14" s="1186"/>
      <c r="P14" s="1186">
        <v>2</v>
      </c>
      <c r="Q14" s="1186">
        <v>78</v>
      </c>
    </row>
    <row r="15" spans="1:17" x14ac:dyDescent="0.2">
      <c r="A15" s="1186" t="s">
        <v>32</v>
      </c>
      <c r="B15" s="1186" t="s">
        <v>19</v>
      </c>
      <c r="C15" s="1186">
        <v>150</v>
      </c>
      <c r="D15" s="1186">
        <v>14</v>
      </c>
      <c r="E15" s="1186">
        <v>9</v>
      </c>
      <c r="F15" s="1186">
        <v>3</v>
      </c>
      <c r="G15" s="1186">
        <v>5</v>
      </c>
      <c r="H15" s="1186"/>
      <c r="I15" s="1186">
        <v>3</v>
      </c>
      <c r="J15" s="1186">
        <v>1</v>
      </c>
      <c r="K15" s="1186">
        <v>6</v>
      </c>
      <c r="L15" s="1186">
        <v>1</v>
      </c>
      <c r="M15" s="1186">
        <v>4</v>
      </c>
      <c r="N15" s="1186">
        <v>1</v>
      </c>
      <c r="O15" s="1186"/>
      <c r="P15" s="1186">
        <v>3</v>
      </c>
      <c r="Q15" s="1186">
        <v>100</v>
      </c>
    </row>
    <row r="16" spans="1:17" x14ac:dyDescent="0.2">
      <c r="A16" s="1186" t="s">
        <v>33</v>
      </c>
      <c r="B16" s="1186" t="s">
        <v>19</v>
      </c>
      <c r="C16" s="1186">
        <v>84</v>
      </c>
      <c r="D16" s="1186">
        <v>5</v>
      </c>
      <c r="E16" s="1186">
        <v>5</v>
      </c>
      <c r="F16" s="1186"/>
      <c r="G16" s="1186">
        <v>3</v>
      </c>
      <c r="H16" s="1186">
        <v>2</v>
      </c>
      <c r="I16" s="1186">
        <v>5</v>
      </c>
      <c r="J16" s="1186"/>
      <c r="K16" s="1186">
        <v>1</v>
      </c>
      <c r="L16" s="1186">
        <v>4</v>
      </c>
      <c r="M16" s="1186">
        <v>4</v>
      </c>
      <c r="N16" s="1186">
        <v>4</v>
      </c>
      <c r="O16" s="1186">
        <v>1</v>
      </c>
      <c r="P16" s="1186">
        <v>2</v>
      </c>
      <c r="Q16" s="1186">
        <v>48</v>
      </c>
    </row>
    <row r="17" spans="1:17" x14ac:dyDescent="0.2">
      <c r="A17" s="1186" t="s">
        <v>34</v>
      </c>
      <c r="B17" s="1186" t="s">
        <v>19</v>
      </c>
      <c r="C17" s="1186">
        <v>170</v>
      </c>
      <c r="D17" s="1186">
        <v>9</v>
      </c>
      <c r="E17" s="1186">
        <v>8</v>
      </c>
      <c r="F17" s="1186">
        <v>1</v>
      </c>
      <c r="G17" s="1186">
        <v>6</v>
      </c>
      <c r="H17" s="1186">
        <v>2</v>
      </c>
      <c r="I17" s="1186">
        <v>7</v>
      </c>
      <c r="J17" s="1186">
        <v>1</v>
      </c>
      <c r="K17" s="1186">
        <v>2</v>
      </c>
      <c r="L17" s="1186">
        <v>1</v>
      </c>
      <c r="M17" s="1186">
        <v>10</v>
      </c>
      <c r="N17" s="1186">
        <v>2</v>
      </c>
      <c r="O17" s="1186">
        <v>6</v>
      </c>
      <c r="P17" s="1186">
        <v>2</v>
      </c>
      <c r="Q17" s="1186">
        <v>113</v>
      </c>
    </row>
    <row r="18" spans="1:17" x14ac:dyDescent="0.2">
      <c r="A18" s="1186" t="s">
        <v>35</v>
      </c>
      <c r="B18" s="1186" t="s">
        <v>19</v>
      </c>
      <c r="C18" s="1186">
        <v>473</v>
      </c>
      <c r="D18" s="1186">
        <v>34</v>
      </c>
      <c r="E18" s="1186">
        <v>36</v>
      </c>
      <c r="F18" s="1186">
        <v>5</v>
      </c>
      <c r="G18" s="1186">
        <v>16</v>
      </c>
      <c r="H18" s="1186">
        <v>5</v>
      </c>
      <c r="I18" s="1186">
        <v>6</v>
      </c>
      <c r="J18" s="1186"/>
      <c r="K18" s="1186">
        <v>6</v>
      </c>
      <c r="L18" s="1186">
        <v>6</v>
      </c>
      <c r="M18" s="1186">
        <v>19</v>
      </c>
      <c r="N18" s="1186">
        <v>10</v>
      </c>
      <c r="O18" s="1186">
        <v>6</v>
      </c>
      <c r="P18" s="1186">
        <v>4</v>
      </c>
      <c r="Q18" s="1186">
        <v>320</v>
      </c>
    </row>
    <row r="19" spans="1:17" x14ac:dyDescent="0.2">
      <c r="A19" s="1186" t="s">
        <v>36</v>
      </c>
      <c r="B19" s="1186" t="s">
        <v>19</v>
      </c>
      <c r="C19" s="1186">
        <v>1800</v>
      </c>
      <c r="D19" s="1186">
        <v>143</v>
      </c>
      <c r="E19" s="1186">
        <v>43</v>
      </c>
      <c r="F19" s="1186"/>
      <c r="G19" s="1186">
        <v>28</v>
      </c>
      <c r="H19" s="1186">
        <v>8</v>
      </c>
      <c r="I19" s="1186">
        <v>21</v>
      </c>
      <c r="J19" s="1186">
        <v>16</v>
      </c>
      <c r="K19" s="1186">
        <v>27</v>
      </c>
      <c r="L19" s="1186">
        <v>35</v>
      </c>
      <c r="M19" s="1186">
        <v>55</v>
      </c>
      <c r="N19" s="1186">
        <v>56</v>
      </c>
      <c r="O19" s="1186">
        <v>50</v>
      </c>
      <c r="P19" s="1186">
        <v>34</v>
      </c>
      <c r="Q19" s="1186">
        <v>1284</v>
      </c>
    </row>
    <row r="20" spans="1:17" x14ac:dyDescent="0.2">
      <c r="A20" s="1186" t="s">
        <v>37</v>
      </c>
      <c r="B20" s="1186" t="s">
        <v>19</v>
      </c>
      <c r="C20" s="1186">
        <v>226</v>
      </c>
      <c r="D20" s="1186">
        <v>14</v>
      </c>
      <c r="E20" s="1186">
        <v>7</v>
      </c>
      <c r="F20" s="1186">
        <v>2</v>
      </c>
      <c r="G20" s="1186">
        <v>14</v>
      </c>
      <c r="H20" s="1186">
        <v>2</v>
      </c>
      <c r="I20" s="1186">
        <v>4</v>
      </c>
      <c r="J20" s="1186"/>
      <c r="K20" s="1186">
        <v>5</v>
      </c>
      <c r="L20" s="1186">
        <v>8</v>
      </c>
      <c r="M20" s="1186">
        <v>11</v>
      </c>
      <c r="N20" s="1186">
        <v>7</v>
      </c>
      <c r="O20" s="1186">
        <v>2</v>
      </c>
      <c r="P20" s="1186">
        <v>5</v>
      </c>
      <c r="Q20" s="1186">
        <v>145</v>
      </c>
    </row>
    <row r="21" spans="1:17" x14ac:dyDescent="0.2">
      <c r="A21" s="1186" t="s">
        <v>38</v>
      </c>
      <c r="B21" s="1186" t="s">
        <v>19</v>
      </c>
      <c r="C21" s="1186">
        <v>195</v>
      </c>
      <c r="D21" s="1186">
        <v>11</v>
      </c>
      <c r="E21" s="1186">
        <v>6</v>
      </c>
      <c r="F21" s="1186"/>
      <c r="G21" s="1186">
        <v>5</v>
      </c>
      <c r="H21" s="1186">
        <v>1</v>
      </c>
      <c r="I21" s="1186">
        <v>1</v>
      </c>
      <c r="J21" s="1186">
        <v>2</v>
      </c>
      <c r="K21" s="1186">
        <v>5</v>
      </c>
      <c r="L21" s="1186">
        <v>1</v>
      </c>
      <c r="M21" s="1186">
        <v>4</v>
      </c>
      <c r="N21" s="1186">
        <v>5</v>
      </c>
      <c r="O21" s="1186">
        <v>5</v>
      </c>
      <c r="P21" s="1186">
        <v>5</v>
      </c>
      <c r="Q21" s="1186">
        <v>144</v>
      </c>
    </row>
    <row r="22" spans="1:17" x14ac:dyDescent="0.2">
      <c r="A22" s="1186" t="s">
        <v>39</v>
      </c>
      <c r="B22" s="1186" t="s">
        <v>19</v>
      </c>
      <c r="C22" s="1186">
        <v>120</v>
      </c>
      <c r="D22" s="1186">
        <v>5</v>
      </c>
      <c r="E22" s="1186">
        <v>12</v>
      </c>
      <c r="F22" s="1186">
        <v>3</v>
      </c>
      <c r="G22" s="1186">
        <v>7</v>
      </c>
      <c r="H22" s="1186"/>
      <c r="I22" s="1186">
        <v>1</v>
      </c>
      <c r="J22" s="1186">
        <v>1</v>
      </c>
      <c r="K22" s="1186">
        <v>2</v>
      </c>
      <c r="L22" s="1186">
        <v>1</v>
      </c>
      <c r="M22" s="1186">
        <v>4</v>
      </c>
      <c r="N22" s="1186">
        <v>7</v>
      </c>
      <c r="O22" s="1186">
        <v>1</v>
      </c>
      <c r="P22" s="1186">
        <v>3</v>
      </c>
      <c r="Q22" s="1186">
        <v>73</v>
      </c>
    </row>
    <row r="23" spans="1:17" x14ac:dyDescent="0.2">
      <c r="A23" s="1186" t="s">
        <v>40</v>
      </c>
      <c r="B23" s="1186" t="s">
        <v>19</v>
      </c>
      <c r="C23" s="1186">
        <v>110</v>
      </c>
      <c r="D23" s="1186">
        <v>5</v>
      </c>
      <c r="E23" s="1186">
        <v>8</v>
      </c>
      <c r="F23" s="1186">
        <v>3</v>
      </c>
      <c r="G23" s="1186">
        <v>5</v>
      </c>
      <c r="H23" s="1186">
        <v>1</v>
      </c>
      <c r="I23" s="1186">
        <v>1</v>
      </c>
      <c r="J23" s="1186">
        <v>1</v>
      </c>
      <c r="K23" s="1186">
        <v>2</v>
      </c>
      <c r="L23" s="1186">
        <v>2</v>
      </c>
      <c r="M23" s="1186">
        <v>3</v>
      </c>
      <c r="N23" s="1186">
        <v>1</v>
      </c>
      <c r="O23" s="1186">
        <v>3</v>
      </c>
      <c r="P23" s="1186">
        <v>4</v>
      </c>
      <c r="Q23" s="1186">
        <v>71</v>
      </c>
    </row>
    <row r="24" spans="1:17" x14ac:dyDescent="0.2">
      <c r="A24" s="1186" t="s">
        <v>295</v>
      </c>
      <c r="B24" s="1186" t="s">
        <v>19</v>
      </c>
      <c r="C24" s="1186">
        <v>32</v>
      </c>
      <c r="D24" s="1186">
        <v>2</v>
      </c>
      <c r="E24" s="1186">
        <v>3</v>
      </c>
      <c r="F24" s="1186"/>
      <c r="G24" s="1186">
        <v>1</v>
      </c>
      <c r="H24" s="1186">
        <v>1</v>
      </c>
      <c r="I24" s="1186"/>
      <c r="J24" s="1186"/>
      <c r="K24" s="1186"/>
      <c r="L24" s="1186"/>
      <c r="M24" s="1186"/>
      <c r="N24" s="1186"/>
      <c r="O24" s="1186"/>
      <c r="P24" s="1186">
        <v>1</v>
      </c>
      <c r="Q24" s="1186">
        <v>24</v>
      </c>
    </row>
    <row r="25" spans="1:17" x14ac:dyDescent="0.2">
      <c r="A25" s="1186" t="s">
        <v>41</v>
      </c>
      <c r="B25" s="1186" t="s">
        <v>19</v>
      </c>
      <c r="C25" s="1186">
        <v>251</v>
      </c>
      <c r="D25" s="1186">
        <v>11</v>
      </c>
      <c r="E25" s="1186">
        <v>17</v>
      </c>
      <c r="F25" s="1186">
        <v>1</v>
      </c>
      <c r="G25" s="1186">
        <v>5</v>
      </c>
      <c r="H25" s="1186">
        <v>2</v>
      </c>
      <c r="I25" s="1186">
        <v>4</v>
      </c>
      <c r="J25" s="1186"/>
      <c r="K25" s="1186">
        <v>6</v>
      </c>
      <c r="L25" s="1186">
        <v>7</v>
      </c>
      <c r="M25" s="1186">
        <v>5</v>
      </c>
      <c r="N25" s="1186">
        <v>3</v>
      </c>
      <c r="O25" s="1186">
        <v>4</v>
      </c>
      <c r="P25" s="1186">
        <v>9</v>
      </c>
      <c r="Q25" s="1186">
        <v>177</v>
      </c>
    </row>
    <row r="26" spans="1:17" x14ac:dyDescent="0.2">
      <c r="A26" s="1186" t="s">
        <v>42</v>
      </c>
      <c r="B26" s="1186" t="s">
        <v>19</v>
      </c>
      <c r="C26" s="1186">
        <v>567</v>
      </c>
      <c r="D26" s="1186">
        <v>18</v>
      </c>
      <c r="E26" s="1186">
        <v>51</v>
      </c>
      <c r="F26" s="1186"/>
      <c r="G26" s="1186">
        <v>16</v>
      </c>
      <c r="H26" s="1186">
        <v>6</v>
      </c>
      <c r="I26" s="1186">
        <v>10</v>
      </c>
      <c r="J26" s="1186">
        <v>6</v>
      </c>
      <c r="K26" s="1186">
        <v>7</v>
      </c>
      <c r="L26" s="1186">
        <v>15</v>
      </c>
      <c r="M26" s="1186">
        <v>16</v>
      </c>
      <c r="N26" s="1186">
        <v>14</v>
      </c>
      <c r="O26" s="1186">
        <v>8</v>
      </c>
      <c r="P26" s="1186">
        <v>22</v>
      </c>
      <c r="Q26" s="1186">
        <v>378</v>
      </c>
    </row>
    <row r="27" spans="1:17" x14ac:dyDescent="0.2">
      <c r="A27" s="1186" t="s">
        <v>43</v>
      </c>
      <c r="B27" s="1186" t="s">
        <v>19</v>
      </c>
      <c r="C27" s="1186">
        <v>16</v>
      </c>
      <c r="D27" s="1186">
        <v>1</v>
      </c>
      <c r="E27" s="1186">
        <v>2</v>
      </c>
      <c r="F27" s="1186"/>
      <c r="G27" s="1186"/>
      <c r="H27" s="1186">
        <v>1</v>
      </c>
      <c r="I27" s="1186"/>
      <c r="J27" s="1186"/>
      <c r="K27" s="1186"/>
      <c r="L27" s="1186"/>
      <c r="M27" s="1186">
        <v>1</v>
      </c>
      <c r="N27" s="1186"/>
      <c r="O27" s="1186"/>
      <c r="P27" s="1186"/>
      <c r="Q27" s="1186">
        <v>11</v>
      </c>
    </row>
    <row r="28" spans="1:17" x14ac:dyDescent="0.2">
      <c r="A28" s="1186" t="s">
        <v>44</v>
      </c>
      <c r="B28" s="1186" t="s">
        <v>19</v>
      </c>
      <c r="C28" s="1186">
        <v>206</v>
      </c>
      <c r="D28" s="1186">
        <v>12</v>
      </c>
      <c r="E28" s="1186">
        <v>9</v>
      </c>
      <c r="F28" s="1186">
        <v>9</v>
      </c>
      <c r="G28" s="1186">
        <v>12</v>
      </c>
      <c r="H28" s="1186">
        <v>1</v>
      </c>
      <c r="I28" s="1186">
        <v>3</v>
      </c>
      <c r="J28" s="1186">
        <v>8</v>
      </c>
      <c r="K28" s="1186">
        <v>4</v>
      </c>
      <c r="L28" s="1186">
        <v>5</v>
      </c>
      <c r="M28" s="1186">
        <v>10</v>
      </c>
      <c r="N28" s="1186">
        <v>5</v>
      </c>
      <c r="O28" s="1186">
        <v>2</v>
      </c>
      <c r="P28" s="1186">
        <v>4</v>
      </c>
      <c r="Q28" s="1186">
        <v>122</v>
      </c>
    </row>
    <row r="29" spans="1:17" x14ac:dyDescent="0.2">
      <c r="A29" s="1186" t="s">
        <v>45</v>
      </c>
      <c r="B29" s="1186" t="s">
        <v>19</v>
      </c>
      <c r="C29" s="1186">
        <v>382</v>
      </c>
      <c r="D29" s="1186">
        <v>32</v>
      </c>
      <c r="E29" s="1186">
        <v>16</v>
      </c>
      <c r="F29" s="1186">
        <v>2</v>
      </c>
      <c r="G29" s="1186">
        <v>21</v>
      </c>
      <c r="H29" s="1186">
        <v>6</v>
      </c>
      <c r="I29" s="1186">
        <v>9</v>
      </c>
      <c r="J29" s="1186">
        <v>2</v>
      </c>
      <c r="K29" s="1186">
        <v>8</v>
      </c>
      <c r="L29" s="1186">
        <v>9</v>
      </c>
      <c r="M29" s="1186">
        <v>12</v>
      </c>
      <c r="N29" s="1186">
        <v>5</v>
      </c>
      <c r="O29" s="1186">
        <v>7</v>
      </c>
      <c r="P29" s="1186">
        <v>16</v>
      </c>
      <c r="Q29" s="1186">
        <v>237</v>
      </c>
    </row>
    <row r="30" spans="1:17" x14ac:dyDescent="0.2">
      <c r="A30" s="1186" t="s">
        <v>46</v>
      </c>
      <c r="B30" s="1186" t="s">
        <v>19</v>
      </c>
      <c r="C30" s="1186">
        <v>157</v>
      </c>
      <c r="D30" s="1186">
        <v>17</v>
      </c>
      <c r="E30" s="1186">
        <v>4</v>
      </c>
      <c r="F30" s="1186">
        <v>8</v>
      </c>
      <c r="G30" s="1186">
        <v>7</v>
      </c>
      <c r="H30" s="1186"/>
      <c r="I30" s="1186">
        <v>2</v>
      </c>
      <c r="J30" s="1186">
        <v>1</v>
      </c>
      <c r="K30" s="1186">
        <v>1</v>
      </c>
      <c r="L30" s="1186">
        <v>1</v>
      </c>
      <c r="M30" s="1186">
        <v>2</v>
      </c>
      <c r="N30" s="1186">
        <v>2</v>
      </c>
      <c r="O30" s="1186"/>
      <c r="P30" s="1186">
        <v>1</v>
      </c>
      <c r="Q30" s="1186">
        <v>111</v>
      </c>
    </row>
    <row r="31" spans="1:17" x14ac:dyDescent="0.2">
      <c r="A31" s="1186" t="s">
        <v>47</v>
      </c>
      <c r="B31" s="1186" t="s">
        <v>19</v>
      </c>
      <c r="C31" s="1186">
        <v>21</v>
      </c>
      <c r="D31" s="1186"/>
      <c r="E31" s="1186">
        <v>3</v>
      </c>
      <c r="F31" s="1186"/>
      <c r="G31" s="1186">
        <v>1</v>
      </c>
      <c r="H31" s="1186"/>
      <c r="I31" s="1186">
        <v>1</v>
      </c>
      <c r="J31" s="1186"/>
      <c r="K31" s="1186"/>
      <c r="L31" s="1186"/>
      <c r="M31" s="1186"/>
      <c r="N31" s="1186">
        <v>2</v>
      </c>
      <c r="O31" s="1186">
        <v>2</v>
      </c>
      <c r="P31" s="1186">
        <v>1</v>
      </c>
      <c r="Q31" s="1186">
        <v>11</v>
      </c>
    </row>
    <row r="32" spans="1:17" x14ac:dyDescent="0.2">
      <c r="A32" s="1186" t="s">
        <v>48</v>
      </c>
      <c r="B32" s="1186" t="s">
        <v>19</v>
      </c>
      <c r="C32" s="1186">
        <v>158</v>
      </c>
      <c r="D32" s="1186">
        <v>10</v>
      </c>
      <c r="E32" s="1186">
        <v>3</v>
      </c>
      <c r="F32" s="1186">
        <v>3</v>
      </c>
      <c r="G32" s="1186">
        <v>4</v>
      </c>
      <c r="H32" s="1186">
        <v>1</v>
      </c>
      <c r="I32" s="1186">
        <v>1</v>
      </c>
      <c r="J32" s="1186">
        <v>1</v>
      </c>
      <c r="K32" s="1186">
        <v>5</v>
      </c>
      <c r="L32" s="1186">
        <v>6</v>
      </c>
      <c r="M32" s="1186">
        <v>10</v>
      </c>
      <c r="N32" s="1186">
        <v>1</v>
      </c>
      <c r="O32" s="1186">
        <v>5</v>
      </c>
      <c r="P32" s="1186">
        <v>9</v>
      </c>
      <c r="Q32" s="1186">
        <v>99</v>
      </c>
    </row>
    <row r="33" spans="1:17" x14ac:dyDescent="0.2">
      <c r="A33" s="1186" t="s">
        <v>49</v>
      </c>
      <c r="B33" s="1186" t="s">
        <v>19</v>
      </c>
      <c r="C33" s="1186">
        <v>496</v>
      </c>
      <c r="D33" s="1186">
        <v>15</v>
      </c>
      <c r="E33" s="1186">
        <v>37</v>
      </c>
      <c r="F33" s="1186">
        <v>9</v>
      </c>
      <c r="G33" s="1186">
        <v>17</v>
      </c>
      <c r="H33" s="1186">
        <v>4</v>
      </c>
      <c r="I33" s="1186">
        <v>5</v>
      </c>
      <c r="J33" s="1186">
        <v>3</v>
      </c>
      <c r="K33" s="1186">
        <v>15</v>
      </c>
      <c r="L33" s="1186">
        <v>11</v>
      </c>
      <c r="M33" s="1186">
        <v>25</v>
      </c>
      <c r="N33" s="1186">
        <v>15</v>
      </c>
      <c r="O33" s="1186">
        <v>6</v>
      </c>
      <c r="P33" s="1186">
        <v>8</v>
      </c>
      <c r="Q33" s="1186">
        <v>326</v>
      </c>
    </row>
    <row r="34" spans="1:17" x14ac:dyDescent="0.2">
      <c r="A34" s="1186" t="s">
        <v>50</v>
      </c>
      <c r="B34" s="1186" t="s">
        <v>19</v>
      </c>
      <c r="C34" s="1186">
        <v>140</v>
      </c>
      <c r="D34" s="1186">
        <v>14</v>
      </c>
      <c r="E34" s="1186">
        <v>2</v>
      </c>
      <c r="F34" s="1186">
        <v>2</v>
      </c>
      <c r="G34" s="1186">
        <v>5</v>
      </c>
      <c r="H34" s="1186"/>
      <c r="I34" s="1186"/>
      <c r="J34" s="1186">
        <v>7</v>
      </c>
      <c r="K34" s="1186">
        <v>2</v>
      </c>
      <c r="L34" s="1186">
        <v>4</v>
      </c>
      <c r="M34" s="1186">
        <v>3</v>
      </c>
      <c r="N34" s="1186">
        <v>2</v>
      </c>
      <c r="O34" s="1186">
        <v>3</v>
      </c>
      <c r="P34" s="1186">
        <v>2</v>
      </c>
      <c r="Q34" s="1186">
        <v>94</v>
      </c>
    </row>
    <row r="35" spans="1:17" x14ac:dyDescent="0.2">
      <c r="A35" s="1186" t="s">
        <v>51</v>
      </c>
      <c r="B35" s="1186" t="s">
        <v>19</v>
      </c>
      <c r="C35" s="1186">
        <v>223</v>
      </c>
      <c r="D35" s="1186">
        <v>7</v>
      </c>
      <c r="E35" s="1186">
        <v>6</v>
      </c>
      <c r="F35" s="1186"/>
      <c r="G35" s="1186">
        <v>3</v>
      </c>
      <c r="H35" s="1186"/>
      <c r="I35" s="1186">
        <v>1</v>
      </c>
      <c r="J35" s="1186"/>
      <c r="K35" s="1186">
        <v>9</v>
      </c>
      <c r="L35" s="1186">
        <v>6</v>
      </c>
      <c r="M35" s="1186">
        <v>7</v>
      </c>
      <c r="N35" s="1186">
        <v>6</v>
      </c>
      <c r="O35" s="1186">
        <v>1</v>
      </c>
      <c r="P35" s="1186">
        <v>5</v>
      </c>
      <c r="Q35" s="1186">
        <v>172</v>
      </c>
    </row>
    <row r="36" spans="1:17" x14ac:dyDescent="0.2">
      <c r="A36" s="1186" t="s">
        <v>52</v>
      </c>
      <c r="B36" s="1186" t="s">
        <v>19</v>
      </c>
      <c r="C36" s="1186">
        <v>337</v>
      </c>
      <c r="D36" s="1186">
        <v>10</v>
      </c>
      <c r="E36" s="1186">
        <v>28</v>
      </c>
      <c r="F36" s="1186">
        <v>3</v>
      </c>
      <c r="G36" s="1186">
        <v>17</v>
      </c>
      <c r="H36" s="1186">
        <v>7</v>
      </c>
      <c r="I36" s="1186">
        <v>6</v>
      </c>
      <c r="J36" s="1186">
        <v>4</v>
      </c>
      <c r="K36" s="1186">
        <v>6</v>
      </c>
      <c r="L36" s="1186">
        <v>8</v>
      </c>
      <c r="M36" s="1186">
        <v>10</v>
      </c>
      <c r="N36" s="1186">
        <v>9</v>
      </c>
      <c r="O36" s="1186">
        <v>3</v>
      </c>
      <c r="P36" s="1186">
        <v>4</v>
      </c>
      <c r="Q36" s="1186">
        <v>222</v>
      </c>
    </row>
    <row r="37" spans="1:17" x14ac:dyDescent="0.2">
      <c r="A37" s="1186" t="s">
        <v>23</v>
      </c>
      <c r="B37" s="1186" t="s">
        <v>20</v>
      </c>
      <c r="C37" s="1186">
        <v>479</v>
      </c>
      <c r="D37" s="1186">
        <v>45</v>
      </c>
      <c r="E37" s="1186">
        <v>11</v>
      </c>
      <c r="F37" s="1186"/>
      <c r="G37" s="1186">
        <v>14</v>
      </c>
      <c r="H37" s="1186">
        <v>2</v>
      </c>
      <c r="I37" s="1186">
        <v>9</v>
      </c>
      <c r="J37" s="1186">
        <v>9</v>
      </c>
      <c r="K37" s="1186">
        <v>7</v>
      </c>
      <c r="L37" s="1186">
        <v>9</v>
      </c>
      <c r="M37" s="1186">
        <v>9</v>
      </c>
      <c r="N37" s="1186">
        <v>9</v>
      </c>
      <c r="O37" s="1186">
        <v>11</v>
      </c>
      <c r="P37" s="1186">
        <v>4</v>
      </c>
      <c r="Q37" s="1186">
        <v>340</v>
      </c>
    </row>
    <row r="38" spans="1:17" x14ac:dyDescent="0.2">
      <c r="A38" s="1186" t="s">
        <v>24</v>
      </c>
      <c r="B38" s="1186" t="s">
        <v>20</v>
      </c>
      <c r="C38" s="1186">
        <v>309</v>
      </c>
      <c r="D38" s="1186">
        <v>17</v>
      </c>
      <c r="E38" s="1186">
        <v>17</v>
      </c>
      <c r="F38" s="1186">
        <v>18</v>
      </c>
      <c r="G38" s="1186">
        <v>12</v>
      </c>
      <c r="H38" s="1186">
        <v>1</v>
      </c>
      <c r="I38" s="1186">
        <v>5</v>
      </c>
      <c r="J38" s="1186">
        <v>2</v>
      </c>
      <c r="K38" s="1186">
        <v>2</v>
      </c>
      <c r="L38" s="1186">
        <v>4</v>
      </c>
      <c r="M38" s="1186">
        <v>13</v>
      </c>
      <c r="N38" s="1186">
        <v>4</v>
      </c>
      <c r="O38" s="1186"/>
      <c r="P38" s="1186">
        <v>11</v>
      </c>
      <c r="Q38" s="1186">
        <v>203</v>
      </c>
    </row>
    <row r="39" spans="1:17" x14ac:dyDescent="0.2">
      <c r="A39" s="1186" t="s">
        <v>25</v>
      </c>
      <c r="B39" s="1186" t="s">
        <v>20</v>
      </c>
      <c r="C39" s="1186">
        <v>125</v>
      </c>
      <c r="D39" s="1186">
        <v>8</v>
      </c>
      <c r="E39" s="1186">
        <v>5</v>
      </c>
      <c r="F39" s="1186">
        <v>7</v>
      </c>
      <c r="G39" s="1186">
        <v>7</v>
      </c>
      <c r="H39" s="1186"/>
      <c r="I39" s="1186"/>
      <c r="J39" s="1186"/>
      <c r="K39" s="1186">
        <v>1</v>
      </c>
      <c r="L39" s="1186">
        <v>2</v>
      </c>
      <c r="M39" s="1186">
        <v>5</v>
      </c>
      <c r="N39" s="1186">
        <v>2</v>
      </c>
      <c r="O39" s="1186"/>
      <c r="P39" s="1186">
        <v>1</v>
      </c>
      <c r="Q39" s="1186">
        <v>87</v>
      </c>
    </row>
    <row r="40" spans="1:17" x14ac:dyDescent="0.2">
      <c r="A40" s="1186" t="s">
        <v>26</v>
      </c>
      <c r="B40" s="1186" t="s">
        <v>20</v>
      </c>
      <c r="C40" s="1186">
        <v>188</v>
      </c>
      <c r="D40" s="1186">
        <v>20</v>
      </c>
      <c r="E40" s="1186">
        <v>4</v>
      </c>
      <c r="F40" s="1186">
        <v>3</v>
      </c>
      <c r="G40" s="1186">
        <v>8</v>
      </c>
      <c r="H40" s="1186">
        <v>2</v>
      </c>
      <c r="I40" s="1186">
        <v>2</v>
      </c>
      <c r="J40" s="1186">
        <v>2</v>
      </c>
      <c r="K40" s="1186">
        <v>3</v>
      </c>
      <c r="L40" s="1186">
        <v>2</v>
      </c>
      <c r="M40" s="1186">
        <v>8</v>
      </c>
      <c r="N40" s="1186">
        <v>3</v>
      </c>
      <c r="O40" s="1186">
        <v>2</v>
      </c>
      <c r="P40" s="1186">
        <v>3</v>
      </c>
      <c r="Q40" s="1186">
        <v>126</v>
      </c>
    </row>
    <row r="41" spans="1:17" x14ac:dyDescent="0.2">
      <c r="A41" s="1186" t="s">
        <v>619</v>
      </c>
      <c r="B41" s="1186" t="s">
        <v>20</v>
      </c>
      <c r="C41" s="1186">
        <v>1061</v>
      </c>
      <c r="D41" s="1186">
        <v>103</v>
      </c>
      <c r="E41" s="1186">
        <v>28</v>
      </c>
      <c r="F41" s="1186">
        <v>3</v>
      </c>
      <c r="G41" s="1186">
        <v>21</v>
      </c>
      <c r="H41" s="1186">
        <v>3</v>
      </c>
      <c r="I41" s="1186">
        <v>20</v>
      </c>
      <c r="J41" s="1186">
        <v>4</v>
      </c>
      <c r="K41" s="1186">
        <v>20</v>
      </c>
      <c r="L41" s="1186">
        <v>32</v>
      </c>
      <c r="M41" s="1186">
        <v>38</v>
      </c>
      <c r="N41" s="1186">
        <v>23</v>
      </c>
      <c r="O41" s="1186">
        <v>24</v>
      </c>
      <c r="P41" s="1186">
        <v>14</v>
      </c>
      <c r="Q41" s="1186">
        <v>728</v>
      </c>
    </row>
    <row r="42" spans="1:17" x14ac:dyDescent="0.2">
      <c r="A42" s="1186" t="s">
        <v>27</v>
      </c>
      <c r="B42" s="1186" t="s">
        <v>20</v>
      </c>
      <c r="C42" s="1186">
        <v>74</v>
      </c>
      <c r="D42" s="1186"/>
      <c r="E42" s="1186">
        <v>6</v>
      </c>
      <c r="F42" s="1186"/>
      <c r="G42" s="1186">
        <v>11</v>
      </c>
      <c r="H42" s="1186"/>
      <c r="I42" s="1186"/>
      <c r="J42" s="1186">
        <v>2</v>
      </c>
      <c r="K42" s="1186">
        <v>1</v>
      </c>
      <c r="L42" s="1186">
        <v>1</v>
      </c>
      <c r="M42" s="1186">
        <v>1</v>
      </c>
      <c r="N42" s="1186">
        <v>3</v>
      </c>
      <c r="O42" s="1186"/>
      <c r="P42" s="1186"/>
      <c r="Q42" s="1186">
        <v>49</v>
      </c>
    </row>
    <row r="43" spans="1:17" x14ac:dyDescent="0.2">
      <c r="A43" s="1186" t="s">
        <v>28</v>
      </c>
      <c r="B43" s="1186" t="s">
        <v>20</v>
      </c>
      <c r="C43" s="1186">
        <v>191</v>
      </c>
      <c r="D43" s="1186">
        <v>5</v>
      </c>
      <c r="E43" s="1186">
        <v>21</v>
      </c>
      <c r="F43" s="1186">
        <v>12</v>
      </c>
      <c r="G43" s="1186">
        <v>10</v>
      </c>
      <c r="H43" s="1186">
        <v>2</v>
      </c>
      <c r="I43" s="1186">
        <v>1</v>
      </c>
      <c r="J43" s="1186">
        <v>6</v>
      </c>
      <c r="K43" s="1186">
        <v>2</v>
      </c>
      <c r="L43" s="1186">
        <v>3</v>
      </c>
      <c r="M43" s="1186">
        <v>9</v>
      </c>
      <c r="N43" s="1186">
        <v>2</v>
      </c>
      <c r="O43" s="1186">
        <v>3</v>
      </c>
      <c r="P43" s="1186">
        <v>5</v>
      </c>
      <c r="Q43" s="1186">
        <v>110</v>
      </c>
    </row>
    <row r="44" spans="1:17" x14ac:dyDescent="0.2">
      <c r="A44" s="1186" t="s">
        <v>29</v>
      </c>
      <c r="B44" s="1186" t="s">
        <v>20</v>
      </c>
      <c r="C44" s="1186">
        <v>435</v>
      </c>
      <c r="D44" s="1186">
        <v>32</v>
      </c>
      <c r="E44" s="1186">
        <v>14</v>
      </c>
      <c r="F44" s="1186">
        <v>1</v>
      </c>
      <c r="G44" s="1186">
        <v>11</v>
      </c>
      <c r="H44" s="1186">
        <v>1</v>
      </c>
      <c r="I44" s="1186">
        <v>4</v>
      </c>
      <c r="J44" s="1186">
        <v>1</v>
      </c>
      <c r="K44" s="1186">
        <v>3</v>
      </c>
      <c r="L44" s="1186">
        <v>9</v>
      </c>
      <c r="M44" s="1186">
        <v>11</v>
      </c>
      <c r="N44" s="1186">
        <v>5</v>
      </c>
      <c r="O44" s="1186">
        <v>8</v>
      </c>
      <c r="P44" s="1186">
        <v>3</v>
      </c>
      <c r="Q44" s="1186">
        <v>332</v>
      </c>
    </row>
    <row r="45" spans="1:17" x14ac:dyDescent="0.2">
      <c r="A45" s="1186" t="s">
        <v>30</v>
      </c>
      <c r="B45" s="1186" t="s">
        <v>20</v>
      </c>
      <c r="C45" s="1186">
        <v>162</v>
      </c>
      <c r="D45" s="1186">
        <v>3</v>
      </c>
      <c r="E45" s="1186">
        <v>7</v>
      </c>
      <c r="F45" s="1186">
        <v>1</v>
      </c>
      <c r="G45" s="1186">
        <v>6</v>
      </c>
      <c r="H45" s="1186">
        <v>5</v>
      </c>
      <c r="I45" s="1186">
        <v>1</v>
      </c>
      <c r="J45" s="1186">
        <v>8</v>
      </c>
      <c r="K45" s="1186">
        <v>1</v>
      </c>
      <c r="L45" s="1186">
        <v>2</v>
      </c>
      <c r="M45" s="1186">
        <v>2</v>
      </c>
      <c r="N45" s="1186">
        <v>3</v>
      </c>
      <c r="O45" s="1186">
        <v>1</v>
      </c>
      <c r="P45" s="1186">
        <v>4</v>
      </c>
      <c r="Q45" s="1186">
        <v>118</v>
      </c>
    </row>
    <row r="46" spans="1:17" x14ac:dyDescent="0.2">
      <c r="A46" s="1186" t="s">
        <v>31</v>
      </c>
      <c r="B46" s="1186" t="s">
        <v>20</v>
      </c>
      <c r="C46" s="1186">
        <v>106</v>
      </c>
      <c r="D46" s="1186">
        <v>7</v>
      </c>
      <c r="E46" s="1186">
        <v>10</v>
      </c>
      <c r="F46" s="1186">
        <v>2</v>
      </c>
      <c r="G46" s="1186">
        <v>1</v>
      </c>
      <c r="H46" s="1186"/>
      <c r="I46" s="1186">
        <v>2</v>
      </c>
      <c r="J46" s="1186">
        <v>1</v>
      </c>
      <c r="K46" s="1186">
        <v>2</v>
      </c>
      <c r="L46" s="1186">
        <v>3</v>
      </c>
      <c r="M46" s="1186">
        <v>1</v>
      </c>
      <c r="N46" s="1186">
        <v>4</v>
      </c>
      <c r="O46" s="1186"/>
      <c r="P46" s="1186">
        <v>4</v>
      </c>
      <c r="Q46" s="1186">
        <v>69</v>
      </c>
    </row>
    <row r="47" spans="1:17" x14ac:dyDescent="0.2">
      <c r="A47" s="1186" t="s">
        <v>32</v>
      </c>
      <c r="B47" s="1186" t="s">
        <v>20</v>
      </c>
      <c r="C47" s="1186">
        <v>129</v>
      </c>
      <c r="D47" s="1186">
        <v>13</v>
      </c>
      <c r="E47" s="1186">
        <v>7</v>
      </c>
      <c r="F47" s="1186">
        <v>2</v>
      </c>
      <c r="G47" s="1186">
        <v>1</v>
      </c>
      <c r="H47" s="1186">
        <v>2</v>
      </c>
      <c r="I47" s="1186">
        <v>1</v>
      </c>
      <c r="J47" s="1186">
        <v>2</v>
      </c>
      <c r="K47" s="1186">
        <v>2</v>
      </c>
      <c r="L47" s="1186">
        <v>1</v>
      </c>
      <c r="M47" s="1186">
        <v>4</v>
      </c>
      <c r="N47" s="1186">
        <v>3</v>
      </c>
      <c r="O47" s="1186">
        <v>1</v>
      </c>
      <c r="P47" s="1186">
        <v>2</v>
      </c>
      <c r="Q47" s="1186">
        <v>88</v>
      </c>
    </row>
    <row r="48" spans="1:17" x14ac:dyDescent="0.2">
      <c r="A48" s="1186" t="s">
        <v>33</v>
      </c>
      <c r="B48" s="1186" t="s">
        <v>20</v>
      </c>
      <c r="C48" s="1186">
        <v>84</v>
      </c>
      <c r="D48" s="1186">
        <v>4</v>
      </c>
      <c r="E48" s="1186">
        <v>4</v>
      </c>
      <c r="F48" s="1186"/>
      <c r="G48" s="1186">
        <v>6</v>
      </c>
      <c r="H48" s="1186"/>
      <c r="I48" s="1186">
        <v>1</v>
      </c>
      <c r="J48" s="1186"/>
      <c r="K48" s="1186">
        <v>3</v>
      </c>
      <c r="L48" s="1186">
        <v>2</v>
      </c>
      <c r="M48" s="1186">
        <v>2</v>
      </c>
      <c r="N48" s="1186">
        <v>4</v>
      </c>
      <c r="O48" s="1186"/>
      <c r="P48" s="1186"/>
      <c r="Q48" s="1186">
        <v>58</v>
      </c>
    </row>
    <row r="49" spans="1:17" x14ac:dyDescent="0.2">
      <c r="A49" s="1186" t="s">
        <v>34</v>
      </c>
      <c r="B49" s="1186" t="s">
        <v>20</v>
      </c>
      <c r="C49" s="1186">
        <v>212</v>
      </c>
      <c r="D49" s="1186">
        <v>9</v>
      </c>
      <c r="E49" s="1186">
        <v>8</v>
      </c>
      <c r="F49" s="1186">
        <v>1</v>
      </c>
      <c r="G49" s="1186">
        <v>12</v>
      </c>
      <c r="H49" s="1186">
        <v>3</v>
      </c>
      <c r="I49" s="1186">
        <v>3</v>
      </c>
      <c r="J49" s="1186">
        <v>8</v>
      </c>
      <c r="K49" s="1186">
        <v>3</v>
      </c>
      <c r="L49" s="1186">
        <v>6</v>
      </c>
      <c r="M49" s="1186">
        <v>11</v>
      </c>
      <c r="N49" s="1186">
        <v>10</v>
      </c>
      <c r="O49" s="1186">
        <v>5</v>
      </c>
      <c r="P49" s="1186">
        <v>3</v>
      </c>
      <c r="Q49" s="1186">
        <v>130</v>
      </c>
    </row>
    <row r="50" spans="1:17" x14ac:dyDescent="0.2">
      <c r="A50" s="1186" t="s">
        <v>35</v>
      </c>
      <c r="B50" s="1186" t="s">
        <v>20</v>
      </c>
      <c r="C50" s="1186">
        <v>438</v>
      </c>
      <c r="D50" s="1186">
        <v>15</v>
      </c>
      <c r="E50" s="1186">
        <v>24</v>
      </c>
      <c r="F50" s="1186">
        <v>4</v>
      </c>
      <c r="G50" s="1186">
        <v>27</v>
      </c>
      <c r="H50" s="1186">
        <v>3</v>
      </c>
      <c r="I50" s="1186">
        <v>7</v>
      </c>
      <c r="J50" s="1186">
        <v>1</v>
      </c>
      <c r="K50" s="1186">
        <v>6</v>
      </c>
      <c r="L50" s="1186">
        <v>13</v>
      </c>
      <c r="M50" s="1186">
        <v>19</v>
      </c>
      <c r="N50" s="1186">
        <v>10</v>
      </c>
      <c r="O50" s="1186">
        <v>2</v>
      </c>
      <c r="P50" s="1186">
        <v>6</v>
      </c>
      <c r="Q50" s="1186">
        <v>301</v>
      </c>
    </row>
    <row r="51" spans="1:17" x14ac:dyDescent="0.2">
      <c r="A51" s="1186" t="s">
        <v>36</v>
      </c>
      <c r="B51" s="1186" t="s">
        <v>20</v>
      </c>
      <c r="C51" s="1186">
        <v>1619</v>
      </c>
      <c r="D51" s="1186">
        <v>102</v>
      </c>
      <c r="E51" s="1186">
        <v>29</v>
      </c>
      <c r="F51" s="1186"/>
      <c r="G51" s="1186">
        <v>32</v>
      </c>
      <c r="H51" s="1186">
        <v>5</v>
      </c>
      <c r="I51" s="1186">
        <v>39</v>
      </c>
      <c r="J51" s="1186">
        <v>14</v>
      </c>
      <c r="K51" s="1186">
        <v>27</v>
      </c>
      <c r="L51" s="1186">
        <v>43</v>
      </c>
      <c r="M51" s="1186">
        <v>52</v>
      </c>
      <c r="N51" s="1186">
        <v>34</v>
      </c>
      <c r="O51" s="1186">
        <v>44</v>
      </c>
      <c r="P51" s="1186">
        <v>19</v>
      </c>
      <c r="Q51" s="1186">
        <v>1179</v>
      </c>
    </row>
    <row r="52" spans="1:17" x14ac:dyDescent="0.2">
      <c r="A52" s="1186" t="s">
        <v>37</v>
      </c>
      <c r="B52" s="1186" t="s">
        <v>20</v>
      </c>
      <c r="C52" s="1186">
        <v>252</v>
      </c>
      <c r="D52" s="1186">
        <v>21</v>
      </c>
      <c r="E52" s="1186">
        <v>11</v>
      </c>
      <c r="F52" s="1186">
        <v>7</v>
      </c>
      <c r="G52" s="1186">
        <v>10</v>
      </c>
      <c r="H52" s="1186">
        <v>2</v>
      </c>
      <c r="I52" s="1186">
        <v>1</v>
      </c>
      <c r="J52" s="1186">
        <v>2</v>
      </c>
      <c r="K52" s="1186">
        <v>4</v>
      </c>
      <c r="L52" s="1186">
        <v>9</v>
      </c>
      <c r="M52" s="1186">
        <v>7</v>
      </c>
      <c r="N52" s="1186">
        <v>10</v>
      </c>
      <c r="O52" s="1186">
        <v>2</v>
      </c>
      <c r="P52" s="1186">
        <v>4</v>
      </c>
      <c r="Q52" s="1186">
        <v>162</v>
      </c>
    </row>
    <row r="53" spans="1:17" x14ac:dyDescent="0.2">
      <c r="A53" s="1186" t="s">
        <v>38</v>
      </c>
      <c r="B53" s="1186" t="s">
        <v>20</v>
      </c>
      <c r="C53" s="1186">
        <v>193</v>
      </c>
      <c r="D53" s="1186">
        <v>13</v>
      </c>
      <c r="E53" s="1186">
        <v>8</v>
      </c>
      <c r="F53" s="1186"/>
      <c r="G53" s="1186">
        <v>12</v>
      </c>
      <c r="H53" s="1186">
        <v>1</v>
      </c>
      <c r="I53" s="1186">
        <v>4</v>
      </c>
      <c r="J53" s="1186">
        <v>1</v>
      </c>
      <c r="K53" s="1186">
        <v>3</v>
      </c>
      <c r="L53" s="1186">
        <v>4</v>
      </c>
      <c r="M53" s="1186">
        <v>3</v>
      </c>
      <c r="N53" s="1186">
        <v>5</v>
      </c>
      <c r="O53" s="1186">
        <v>4</v>
      </c>
      <c r="P53" s="1186">
        <v>3</v>
      </c>
      <c r="Q53" s="1186">
        <v>132</v>
      </c>
    </row>
    <row r="54" spans="1:17" x14ac:dyDescent="0.2">
      <c r="A54" s="1186" t="s">
        <v>39</v>
      </c>
      <c r="B54" s="1186" t="s">
        <v>20</v>
      </c>
      <c r="C54" s="1186">
        <v>106</v>
      </c>
      <c r="D54" s="1186">
        <v>4</v>
      </c>
      <c r="E54" s="1186">
        <v>3</v>
      </c>
      <c r="F54" s="1186"/>
      <c r="G54" s="1186">
        <v>5</v>
      </c>
      <c r="H54" s="1186">
        <v>2</v>
      </c>
      <c r="I54" s="1186">
        <v>3</v>
      </c>
      <c r="J54" s="1186"/>
      <c r="K54" s="1186">
        <v>1</v>
      </c>
      <c r="L54" s="1186">
        <v>3</v>
      </c>
      <c r="M54" s="1186">
        <v>5</v>
      </c>
      <c r="N54" s="1186">
        <v>5</v>
      </c>
      <c r="O54" s="1186">
        <v>1</v>
      </c>
      <c r="P54" s="1186">
        <v>1</v>
      </c>
      <c r="Q54" s="1186">
        <v>73</v>
      </c>
    </row>
    <row r="55" spans="1:17" x14ac:dyDescent="0.2">
      <c r="A55" s="1186" t="s">
        <v>40</v>
      </c>
      <c r="B55" s="1186" t="s">
        <v>20</v>
      </c>
      <c r="C55" s="1186">
        <v>122</v>
      </c>
      <c r="D55" s="1186">
        <v>4</v>
      </c>
      <c r="E55" s="1186">
        <v>12</v>
      </c>
      <c r="F55" s="1186">
        <v>2</v>
      </c>
      <c r="G55" s="1186">
        <v>7</v>
      </c>
      <c r="H55" s="1186">
        <v>1</v>
      </c>
      <c r="I55" s="1186">
        <v>1</v>
      </c>
      <c r="J55" s="1186">
        <v>2</v>
      </c>
      <c r="K55" s="1186">
        <v>2</v>
      </c>
      <c r="L55" s="1186">
        <v>2</v>
      </c>
      <c r="M55" s="1186">
        <v>5</v>
      </c>
      <c r="N55" s="1186">
        <v>3</v>
      </c>
      <c r="O55" s="1186">
        <v>4</v>
      </c>
      <c r="P55" s="1186">
        <v>1</v>
      </c>
      <c r="Q55" s="1186">
        <v>76</v>
      </c>
    </row>
    <row r="56" spans="1:17" x14ac:dyDescent="0.2">
      <c r="A56" s="1186" t="s">
        <v>295</v>
      </c>
      <c r="B56" s="1186" t="s">
        <v>20</v>
      </c>
      <c r="C56" s="1186">
        <v>27</v>
      </c>
      <c r="D56" s="1186">
        <v>3</v>
      </c>
      <c r="E56" s="1186">
        <v>1</v>
      </c>
      <c r="F56" s="1186">
        <v>1</v>
      </c>
      <c r="G56" s="1186"/>
      <c r="H56" s="1186">
        <v>1</v>
      </c>
      <c r="I56" s="1186">
        <v>1</v>
      </c>
      <c r="J56" s="1186"/>
      <c r="K56" s="1186">
        <v>2</v>
      </c>
      <c r="L56" s="1186"/>
      <c r="M56" s="1186">
        <v>1</v>
      </c>
      <c r="N56" s="1186"/>
      <c r="O56" s="1186"/>
      <c r="P56" s="1186"/>
      <c r="Q56" s="1186">
        <v>17</v>
      </c>
    </row>
    <row r="57" spans="1:17" x14ac:dyDescent="0.2">
      <c r="A57" s="1186" t="s">
        <v>41</v>
      </c>
      <c r="B57" s="1186" t="s">
        <v>20</v>
      </c>
      <c r="C57" s="1186">
        <v>245</v>
      </c>
      <c r="D57" s="1186">
        <v>13</v>
      </c>
      <c r="E57" s="1186">
        <v>18</v>
      </c>
      <c r="F57" s="1186">
        <v>1</v>
      </c>
      <c r="G57" s="1186">
        <v>16</v>
      </c>
      <c r="H57" s="1186">
        <v>1</v>
      </c>
      <c r="I57" s="1186">
        <v>1</v>
      </c>
      <c r="J57" s="1186"/>
      <c r="K57" s="1186">
        <v>8</v>
      </c>
      <c r="L57" s="1186">
        <v>2</v>
      </c>
      <c r="M57" s="1186">
        <v>12</v>
      </c>
      <c r="N57" s="1186">
        <v>2</v>
      </c>
      <c r="O57" s="1186"/>
      <c r="P57" s="1186">
        <v>4</v>
      </c>
      <c r="Q57" s="1186">
        <v>167</v>
      </c>
    </row>
    <row r="58" spans="1:17" x14ac:dyDescent="0.2">
      <c r="A58" s="1186" t="s">
        <v>42</v>
      </c>
      <c r="B58" s="1186" t="s">
        <v>20</v>
      </c>
      <c r="C58" s="1186">
        <v>499</v>
      </c>
      <c r="D58" s="1186">
        <v>15</v>
      </c>
      <c r="E58" s="1186">
        <v>38</v>
      </c>
      <c r="F58" s="1186">
        <v>1</v>
      </c>
      <c r="G58" s="1186">
        <v>10</v>
      </c>
      <c r="H58" s="1186">
        <v>3</v>
      </c>
      <c r="I58" s="1186">
        <v>6</v>
      </c>
      <c r="J58" s="1186">
        <v>4</v>
      </c>
      <c r="K58" s="1186">
        <v>7</v>
      </c>
      <c r="L58" s="1186">
        <v>9</v>
      </c>
      <c r="M58" s="1186">
        <v>18</v>
      </c>
      <c r="N58" s="1186">
        <v>5</v>
      </c>
      <c r="O58" s="1186">
        <v>3</v>
      </c>
      <c r="P58" s="1186">
        <v>10</v>
      </c>
      <c r="Q58" s="1186">
        <v>370</v>
      </c>
    </row>
    <row r="59" spans="1:17" x14ac:dyDescent="0.2">
      <c r="A59" s="1186" t="s">
        <v>43</v>
      </c>
      <c r="B59" s="1186" t="s">
        <v>20</v>
      </c>
      <c r="C59" s="1186">
        <v>17</v>
      </c>
      <c r="D59" s="1186">
        <v>3</v>
      </c>
      <c r="E59" s="1186">
        <v>1</v>
      </c>
      <c r="F59" s="1186"/>
      <c r="G59" s="1186">
        <v>1</v>
      </c>
      <c r="H59" s="1186"/>
      <c r="I59" s="1186"/>
      <c r="J59" s="1186"/>
      <c r="K59" s="1186"/>
      <c r="L59" s="1186">
        <v>1</v>
      </c>
      <c r="M59" s="1186">
        <v>1</v>
      </c>
      <c r="N59" s="1186"/>
      <c r="O59" s="1186"/>
      <c r="P59" s="1186">
        <v>1</v>
      </c>
      <c r="Q59" s="1186">
        <v>9</v>
      </c>
    </row>
    <row r="60" spans="1:17" x14ac:dyDescent="0.2">
      <c r="A60" s="1186" t="s">
        <v>44</v>
      </c>
      <c r="B60" s="1186" t="s">
        <v>20</v>
      </c>
      <c r="C60" s="1186">
        <v>207</v>
      </c>
      <c r="D60" s="1186">
        <v>19</v>
      </c>
      <c r="E60" s="1186">
        <v>2</v>
      </c>
      <c r="F60" s="1186">
        <v>9</v>
      </c>
      <c r="G60" s="1186">
        <v>9</v>
      </c>
      <c r="H60" s="1186"/>
      <c r="I60" s="1186">
        <v>3</v>
      </c>
      <c r="J60" s="1186">
        <v>10</v>
      </c>
      <c r="K60" s="1186">
        <v>4</v>
      </c>
      <c r="L60" s="1186">
        <v>1</v>
      </c>
      <c r="M60" s="1186">
        <v>4</v>
      </c>
      <c r="N60" s="1186">
        <v>2</v>
      </c>
      <c r="O60" s="1186">
        <v>4</v>
      </c>
      <c r="P60" s="1186">
        <v>2</v>
      </c>
      <c r="Q60" s="1186">
        <v>138</v>
      </c>
    </row>
    <row r="61" spans="1:17" x14ac:dyDescent="0.2">
      <c r="A61" s="1186" t="s">
        <v>45</v>
      </c>
      <c r="B61" s="1186" t="s">
        <v>20</v>
      </c>
      <c r="C61" s="1186">
        <v>344</v>
      </c>
      <c r="D61" s="1186">
        <v>24</v>
      </c>
      <c r="E61" s="1186">
        <v>16</v>
      </c>
      <c r="F61" s="1186"/>
      <c r="G61" s="1186">
        <v>13</v>
      </c>
      <c r="H61" s="1186">
        <v>2</v>
      </c>
      <c r="I61" s="1186">
        <v>6</v>
      </c>
      <c r="J61" s="1186">
        <v>1</v>
      </c>
      <c r="K61" s="1186">
        <v>8</v>
      </c>
      <c r="L61" s="1186">
        <v>6</v>
      </c>
      <c r="M61" s="1186">
        <v>12</v>
      </c>
      <c r="N61" s="1186">
        <v>4</v>
      </c>
      <c r="O61" s="1186">
        <v>2</v>
      </c>
      <c r="P61" s="1186">
        <v>4</v>
      </c>
      <c r="Q61" s="1186">
        <v>246</v>
      </c>
    </row>
    <row r="62" spans="1:17" x14ac:dyDescent="0.2">
      <c r="A62" s="1186" t="s">
        <v>46</v>
      </c>
      <c r="B62" s="1186" t="s">
        <v>20</v>
      </c>
      <c r="C62" s="1186">
        <v>162</v>
      </c>
      <c r="D62" s="1186">
        <v>9</v>
      </c>
      <c r="E62" s="1186">
        <v>5</v>
      </c>
      <c r="F62" s="1186">
        <v>4</v>
      </c>
      <c r="G62" s="1186">
        <v>5</v>
      </c>
      <c r="H62" s="1186"/>
      <c r="I62" s="1186">
        <v>2</v>
      </c>
      <c r="J62" s="1186">
        <v>1</v>
      </c>
      <c r="K62" s="1186">
        <v>1</v>
      </c>
      <c r="L62" s="1186">
        <v>4</v>
      </c>
      <c r="M62" s="1186">
        <v>7</v>
      </c>
      <c r="N62" s="1186">
        <v>4</v>
      </c>
      <c r="O62" s="1186">
        <v>1</v>
      </c>
      <c r="P62" s="1186">
        <v>6</v>
      </c>
      <c r="Q62" s="1186">
        <v>113</v>
      </c>
    </row>
    <row r="63" spans="1:17" x14ac:dyDescent="0.2">
      <c r="A63" s="1186" t="s">
        <v>47</v>
      </c>
      <c r="B63" s="1186" t="s">
        <v>20</v>
      </c>
      <c r="C63" s="1186">
        <v>12</v>
      </c>
      <c r="D63" s="1186"/>
      <c r="E63" s="1186"/>
      <c r="F63" s="1186"/>
      <c r="G63" s="1186">
        <v>1</v>
      </c>
      <c r="H63" s="1186"/>
      <c r="I63" s="1186"/>
      <c r="J63" s="1186"/>
      <c r="K63" s="1186"/>
      <c r="L63" s="1186"/>
      <c r="M63" s="1186">
        <v>1</v>
      </c>
      <c r="N63" s="1186"/>
      <c r="O63" s="1186"/>
      <c r="P63" s="1186"/>
      <c r="Q63" s="1186">
        <v>10</v>
      </c>
    </row>
    <row r="64" spans="1:17" x14ac:dyDescent="0.2">
      <c r="A64" s="1186" t="s">
        <v>48</v>
      </c>
      <c r="B64" s="1186" t="s">
        <v>20</v>
      </c>
      <c r="C64" s="1186">
        <v>166</v>
      </c>
      <c r="D64" s="1186">
        <v>9</v>
      </c>
      <c r="E64" s="1186">
        <v>10</v>
      </c>
      <c r="F64" s="1186">
        <v>3</v>
      </c>
      <c r="G64" s="1186">
        <v>6</v>
      </c>
      <c r="H64" s="1186">
        <v>1</v>
      </c>
      <c r="I64" s="1186">
        <v>3</v>
      </c>
      <c r="J64" s="1186">
        <v>2</v>
      </c>
      <c r="K64" s="1186">
        <v>5</v>
      </c>
      <c r="L64" s="1186">
        <v>4</v>
      </c>
      <c r="M64" s="1186">
        <v>6</v>
      </c>
      <c r="N64" s="1186">
        <v>4</v>
      </c>
      <c r="O64" s="1186">
        <v>3</v>
      </c>
      <c r="P64" s="1186">
        <v>3</v>
      </c>
      <c r="Q64" s="1186">
        <v>107</v>
      </c>
    </row>
    <row r="65" spans="1:17" x14ac:dyDescent="0.2">
      <c r="A65" s="1186" t="s">
        <v>49</v>
      </c>
      <c r="B65" s="1186" t="s">
        <v>20</v>
      </c>
      <c r="C65" s="1186">
        <v>481</v>
      </c>
      <c r="D65" s="1186">
        <v>27</v>
      </c>
      <c r="E65" s="1186">
        <v>46</v>
      </c>
      <c r="F65" s="1186">
        <v>6</v>
      </c>
      <c r="G65" s="1186">
        <v>22</v>
      </c>
      <c r="H65" s="1186">
        <v>3</v>
      </c>
      <c r="I65" s="1186">
        <v>8</v>
      </c>
      <c r="J65" s="1186">
        <v>4</v>
      </c>
      <c r="K65" s="1186">
        <v>8</v>
      </c>
      <c r="L65" s="1186">
        <v>7</v>
      </c>
      <c r="M65" s="1186">
        <v>16</v>
      </c>
      <c r="N65" s="1186">
        <v>3</v>
      </c>
      <c r="O65" s="1186">
        <v>4</v>
      </c>
      <c r="P65" s="1186">
        <v>11</v>
      </c>
      <c r="Q65" s="1186">
        <v>316</v>
      </c>
    </row>
    <row r="66" spans="1:17" x14ac:dyDescent="0.2">
      <c r="A66" s="1186" t="s">
        <v>50</v>
      </c>
      <c r="B66" s="1186" t="s">
        <v>20</v>
      </c>
      <c r="C66" s="1186">
        <v>136</v>
      </c>
      <c r="D66" s="1186">
        <v>15</v>
      </c>
      <c r="E66" s="1186">
        <v>4</v>
      </c>
      <c r="F66" s="1186"/>
      <c r="G66" s="1186">
        <v>5</v>
      </c>
      <c r="H66" s="1186"/>
      <c r="I66" s="1186">
        <v>2</v>
      </c>
      <c r="J66" s="1186">
        <v>13</v>
      </c>
      <c r="K66" s="1186">
        <v>2</v>
      </c>
      <c r="L66" s="1186">
        <v>3</v>
      </c>
      <c r="M66" s="1186">
        <v>9</v>
      </c>
      <c r="N66" s="1186">
        <v>5</v>
      </c>
      <c r="O66" s="1186">
        <v>1</v>
      </c>
      <c r="P66" s="1186">
        <v>2</v>
      </c>
      <c r="Q66" s="1186">
        <v>75</v>
      </c>
    </row>
    <row r="67" spans="1:17" x14ac:dyDescent="0.2">
      <c r="A67" s="1186" t="s">
        <v>51</v>
      </c>
      <c r="B67" s="1186" t="s">
        <v>20</v>
      </c>
      <c r="C67" s="1186">
        <v>196</v>
      </c>
      <c r="D67" s="1186">
        <v>9</v>
      </c>
      <c r="E67" s="1186">
        <v>7</v>
      </c>
      <c r="F67" s="1186"/>
      <c r="G67" s="1186">
        <v>8</v>
      </c>
      <c r="H67" s="1186">
        <v>2</v>
      </c>
      <c r="I67" s="1186">
        <v>3</v>
      </c>
      <c r="J67" s="1186"/>
      <c r="K67" s="1186">
        <v>1</v>
      </c>
      <c r="L67" s="1186"/>
      <c r="M67" s="1186">
        <v>5</v>
      </c>
      <c r="N67" s="1186">
        <v>6</v>
      </c>
      <c r="O67" s="1186">
        <v>3</v>
      </c>
      <c r="P67" s="1186">
        <v>1</v>
      </c>
      <c r="Q67" s="1186">
        <v>151</v>
      </c>
    </row>
    <row r="68" spans="1:17" x14ac:dyDescent="0.2">
      <c r="A68" s="1186" t="s">
        <v>52</v>
      </c>
      <c r="B68" s="1186" t="s">
        <v>20</v>
      </c>
      <c r="C68" s="1186">
        <v>311</v>
      </c>
      <c r="D68" s="1186">
        <v>10</v>
      </c>
      <c r="E68" s="1186">
        <v>16</v>
      </c>
      <c r="F68" s="1186"/>
      <c r="G68" s="1186">
        <v>15</v>
      </c>
      <c r="H68" s="1186">
        <v>5</v>
      </c>
      <c r="I68" s="1186">
        <v>5</v>
      </c>
      <c r="J68" s="1186">
        <v>10</v>
      </c>
      <c r="K68" s="1186">
        <v>3</v>
      </c>
      <c r="L68" s="1186">
        <v>9</v>
      </c>
      <c r="M68" s="1186">
        <v>4</v>
      </c>
      <c r="N68" s="1186">
        <v>10</v>
      </c>
      <c r="O68" s="1186">
        <v>7</v>
      </c>
      <c r="P68" s="1186">
        <v>4</v>
      </c>
      <c r="Q68" s="1186">
        <v>213</v>
      </c>
    </row>
    <row r="69" spans="1:17" x14ac:dyDescent="0.2">
      <c r="A69" s="1186" t="s">
        <v>23</v>
      </c>
      <c r="B69" s="1186" t="s">
        <v>13</v>
      </c>
      <c r="C69" s="1186">
        <v>530</v>
      </c>
      <c r="D69" s="1186">
        <v>34</v>
      </c>
      <c r="E69" s="1186">
        <v>21</v>
      </c>
      <c r="F69" s="1186">
        <v>2</v>
      </c>
      <c r="G69" s="1186">
        <v>9</v>
      </c>
      <c r="H69" s="1186">
        <v>1</v>
      </c>
      <c r="I69" s="1186">
        <v>10</v>
      </c>
      <c r="J69" s="1186">
        <v>7</v>
      </c>
      <c r="K69" s="1186">
        <v>4</v>
      </c>
      <c r="L69" s="1186">
        <v>6</v>
      </c>
      <c r="M69" s="1186">
        <v>19</v>
      </c>
      <c r="N69" s="1186">
        <v>15</v>
      </c>
      <c r="O69" s="1186">
        <v>14</v>
      </c>
      <c r="P69" s="1186">
        <v>13</v>
      </c>
      <c r="Q69" s="1186">
        <v>375</v>
      </c>
    </row>
    <row r="70" spans="1:17" x14ac:dyDescent="0.2">
      <c r="A70" s="1186" t="s">
        <v>24</v>
      </c>
      <c r="B70" s="1186" t="s">
        <v>13</v>
      </c>
      <c r="C70" s="1186">
        <v>300</v>
      </c>
      <c r="D70" s="1186">
        <v>10</v>
      </c>
      <c r="E70" s="1186">
        <v>21</v>
      </c>
      <c r="F70" s="1186">
        <v>11</v>
      </c>
      <c r="G70" s="1186">
        <v>18</v>
      </c>
      <c r="H70" s="1186">
        <v>2</v>
      </c>
      <c r="I70" s="1186">
        <v>1</v>
      </c>
      <c r="J70" s="1186">
        <v>2</v>
      </c>
      <c r="K70" s="1186">
        <v>3</v>
      </c>
      <c r="L70" s="1186">
        <v>4</v>
      </c>
      <c r="M70" s="1186">
        <v>7</v>
      </c>
      <c r="N70" s="1186">
        <v>4</v>
      </c>
      <c r="O70" s="1186">
        <v>2</v>
      </c>
      <c r="P70" s="1186">
        <v>8</v>
      </c>
      <c r="Q70" s="1186">
        <v>207</v>
      </c>
    </row>
    <row r="71" spans="1:17" x14ac:dyDescent="0.2">
      <c r="A71" s="1186" t="s">
        <v>25</v>
      </c>
      <c r="B71" s="1186" t="s">
        <v>13</v>
      </c>
      <c r="C71" s="1186">
        <v>133</v>
      </c>
      <c r="D71" s="1186">
        <v>10</v>
      </c>
      <c r="E71" s="1186">
        <v>10</v>
      </c>
      <c r="F71" s="1186">
        <v>1</v>
      </c>
      <c r="G71" s="1186">
        <v>3</v>
      </c>
      <c r="H71" s="1186"/>
      <c r="I71" s="1186">
        <v>1</v>
      </c>
      <c r="J71" s="1186">
        <v>3</v>
      </c>
      <c r="K71" s="1186"/>
      <c r="L71" s="1186">
        <v>2</v>
      </c>
      <c r="M71" s="1186">
        <v>2</v>
      </c>
      <c r="N71" s="1186"/>
      <c r="O71" s="1186"/>
      <c r="P71" s="1186"/>
      <c r="Q71" s="1186">
        <v>101</v>
      </c>
    </row>
    <row r="72" spans="1:17" x14ac:dyDescent="0.2">
      <c r="A72" s="1186" t="s">
        <v>26</v>
      </c>
      <c r="B72" s="1186" t="s">
        <v>13</v>
      </c>
      <c r="C72" s="1186">
        <v>148</v>
      </c>
      <c r="D72" s="1186">
        <v>19</v>
      </c>
      <c r="E72" s="1186">
        <v>3</v>
      </c>
      <c r="F72" s="1186">
        <v>1</v>
      </c>
      <c r="G72" s="1186">
        <v>4</v>
      </c>
      <c r="H72" s="1186">
        <v>1</v>
      </c>
      <c r="I72" s="1186">
        <v>3</v>
      </c>
      <c r="J72" s="1186"/>
      <c r="K72" s="1186"/>
      <c r="L72" s="1186">
        <v>8</v>
      </c>
      <c r="M72" s="1186">
        <v>1</v>
      </c>
      <c r="N72" s="1186">
        <v>4</v>
      </c>
      <c r="O72" s="1186">
        <v>4</v>
      </c>
      <c r="P72" s="1186">
        <v>8</v>
      </c>
      <c r="Q72" s="1186">
        <v>92</v>
      </c>
    </row>
    <row r="73" spans="1:17" x14ac:dyDescent="0.2">
      <c r="A73" s="1186" t="s">
        <v>619</v>
      </c>
      <c r="B73" s="1186" t="s">
        <v>13</v>
      </c>
      <c r="C73" s="1186">
        <v>1062</v>
      </c>
      <c r="D73" s="1186">
        <v>77</v>
      </c>
      <c r="E73" s="1186">
        <v>27</v>
      </c>
      <c r="F73" s="1186">
        <v>2</v>
      </c>
      <c r="G73" s="1186">
        <v>13</v>
      </c>
      <c r="H73" s="1186">
        <v>3</v>
      </c>
      <c r="I73" s="1186">
        <v>26</v>
      </c>
      <c r="J73" s="1186">
        <v>10</v>
      </c>
      <c r="K73" s="1186">
        <v>25</v>
      </c>
      <c r="L73" s="1186">
        <v>32</v>
      </c>
      <c r="M73" s="1186">
        <v>37</v>
      </c>
      <c r="N73" s="1186">
        <v>19</v>
      </c>
      <c r="O73" s="1186">
        <v>24</v>
      </c>
      <c r="P73" s="1186">
        <v>21</v>
      </c>
      <c r="Q73" s="1186">
        <v>746</v>
      </c>
    </row>
    <row r="74" spans="1:17" x14ac:dyDescent="0.2">
      <c r="A74" s="1186" t="s">
        <v>27</v>
      </c>
      <c r="B74" s="1186" t="s">
        <v>13</v>
      </c>
      <c r="C74" s="1186">
        <v>74</v>
      </c>
      <c r="D74" s="1186">
        <v>1</v>
      </c>
      <c r="E74" s="1186">
        <v>7</v>
      </c>
      <c r="F74" s="1186"/>
      <c r="G74" s="1186">
        <v>2</v>
      </c>
      <c r="H74" s="1186"/>
      <c r="I74" s="1186">
        <v>1</v>
      </c>
      <c r="J74" s="1186"/>
      <c r="K74" s="1186">
        <v>1</v>
      </c>
      <c r="L74" s="1186">
        <v>1</v>
      </c>
      <c r="M74" s="1186">
        <v>2</v>
      </c>
      <c r="N74" s="1186">
        <v>1</v>
      </c>
      <c r="O74" s="1186"/>
      <c r="P74" s="1186"/>
      <c r="Q74" s="1186">
        <v>58</v>
      </c>
    </row>
    <row r="75" spans="1:17" x14ac:dyDescent="0.2">
      <c r="A75" s="1186" t="s">
        <v>28</v>
      </c>
      <c r="B75" s="1186" t="s">
        <v>13</v>
      </c>
      <c r="C75" s="1186">
        <v>163</v>
      </c>
      <c r="D75" s="1186">
        <v>8</v>
      </c>
      <c r="E75" s="1186">
        <v>8</v>
      </c>
      <c r="F75" s="1186">
        <v>7</v>
      </c>
      <c r="G75" s="1186">
        <v>10</v>
      </c>
      <c r="H75" s="1186"/>
      <c r="I75" s="1186"/>
      <c r="J75" s="1186">
        <v>2</v>
      </c>
      <c r="K75" s="1186">
        <v>2</v>
      </c>
      <c r="L75" s="1186">
        <v>1</v>
      </c>
      <c r="M75" s="1186">
        <v>2</v>
      </c>
      <c r="N75" s="1186">
        <v>5</v>
      </c>
      <c r="O75" s="1186">
        <v>2</v>
      </c>
      <c r="P75" s="1186">
        <v>10</v>
      </c>
      <c r="Q75" s="1186">
        <v>106</v>
      </c>
    </row>
    <row r="76" spans="1:17" x14ac:dyDescent="0.2">
      <c r="A76" s="1186" t="s">
        <v>29</v>
      </c>
      <c r="B76" s="1186" t="s">
        <v>13</v>
      </c>
      <c r="C76" s="1186">
        <v>361</v>
      </c>
      <c r="D76" s="1186">
        <v>28</v>
      </c>
      <c r="E76" s="1186">
        <v>7</v>
      </c>
      <c r="F76" s="1186"/>
      <c r="G76" s="1186">
        <v>14</v>
      </c>
      <c r="H76" s="1186"/>
      <c r="I76" s="1186">
        <v>5</v>
      </c>
      <c r="J76" s="1186"/>
      <c r="K76" s="1186">
        <v>3</v>
      </c>
      <c r="L76" s="1186">
        <v>10</v>
      </c>
      <c r="M76" s="1186">
        <v>4</v>
      </c>
      <c r="N76" s="1186">
        <v>7</v>
      </c>
      <c r="O76" s="1186">
        <v>6</v>
      </c>
      <c r="P76" s="1186">
        <v>1</v>
      </c>
      <c r="Q76" s="1186">
        <v>276</v>
      </c>
    </row>
    <row r="77" spans="1:17" x14ac:dyDescent="0.2">
      <c r="A77" s="1186" t="s">
        <v>30</v>
      </c>
      <c r="B77" s="1186" t="s">
        <v>13</v>
      </c>
      <c r="C77" s="1186">
        <v>179</v>
      </c>
      <c r="D77" s="1186">
        <v>9</v>
      </c>
      <c r="E77" s="1186">
        <v>16</v>
      </c>
      <c r="F77" s="1186">
        <v>3</v>
      </c>
      <c r="G77" s="1186">
        <v>7</v>
      </c>
      <c r="H77" s="1186">
        <v>1</v>
      </c>
      <c r="I77" s="1186">
        <v>4</v>
      </c>
      <c r="J77" s="1186">
        <v>6</v>
      </c>
      <c r="K77" s="1186">
        <v>5</v>
      </c>
      <c r="L77" s="1186"/>
      <c r="M77" s="1186">
        <v>4</v>
      </c>
      <c r="N77" s="1186">
        <v>5</v>
      </c>
      <c r="O77" s="1186">
        <v>1</v>
      </c>
      <c r="P77" s="1186">
        <v>2</v>
      </c>
      <c r="Q77" s="1186">
        <v>116</v>
      </c>
    </row>
    <row r="78" spans="1:17" x14ac:dyDescent="0.2">
      <c r="A78" s="1186" t="s">
        <v>31</v>
      </c>
      <c r="B78" s="1186" t="s">
        <v>13</v>
      </c>
      <c r="C78" s="1186">
        <v>96</v>
      </c>
      <c r="D78" s="1186">
        <v>4</v>
      </c>
      <c r="E78" s="1186">
        <v>4</v>
      </c>
      <c r="F78" s="1186">
        <v>3</v>
      </c>
      <c r="G78" s="1186">
        <v>4</v>
      </c>
      <c r="H78" s="1186"/>
      <c r="I78" s="1186">
        <v>5</v>
      </c>
      <c r="J78" s="1186">
        <v>2</v>
      </c>
      <c r="K78" s="1186">
        <v>3</v>
      </c>
      <c r="L78" s="1186">
        <v>3</v>
      </c>
      <c r="M78" s="1186"/>
      <c r="N78" s="1186">
        <v>2</v>
      </c>
      <c r="O78" s="1186"/>
      <c r="P78" s="1186">
        <v>1</v>
      </c>
      <c r="Q78" s="1186">
        <v>65</v>
      </c>
    </row>
    <row r="79" spans="1:17" x14ac:dyDescent="0.2">
      <c r="A79" s="1186" t="s">
        <v>32</v>
      </c>
      <c r="B79" s="1186" t="s">
        <v>13</v>
      </c>
      <c r="C79" s="1186">
        <v>140</v>
      </c>
      <c r="D79" s="1186">
        <v>4</v>
      </c>
      <c r="E79" s="1186">
        <v>11</v>
      </c>
      <c r="F79" s="1186">
        <v>2</v>
      </c>
      <c r="G79" s="1186">
        <v>10</v>
      </c>
      <c r="H79" s="1186"/>
      <c r="I79" s="1186">
        <v>1</v>
      </c>
      <c r="J79" s="1186">
        <v>2</v>
      </c>
      <c r="K79" s="1186">
        <v>3</v>
      </c>
      <c r="L79" s="1186">
        <v>2</v>
      </c>
      <c r="M79" s="1186">
        <v>4</v>
      </c>
      <c r="N79" s="1186">
        <v>2</v>
      </c>
      <c r="O79" s="1186"/>
      <c r="P79" s="1186">
        <v>1</v>
      </c>
      <c r="Q79" s="1186">
        <v>98</v>
      </c>
    </row>
    <row r="80" spans="1:17" x14ac:dyDescent="0.2">
      <c r="A80" s="1186" t="s">
        <v>33</v>
      </c>
      <c r="B80" s="1186" t="s">
        <v>13</v>
      </c>
      <c r="C80" s="1186">
        <v>98</v>
      </c>
      <c r="D80" s="1186">
        <v>3</v>
      </c>
      <c r="E80" s="1186">
        <v>3</v>
      </c>
      <c r="F80" s="1186"/>
      <c r="G80" s="1186">
        <v>4</v>
      </c>
      <c r="H80" s="1186">
        <v>1</v>
      </c>
      <c r="I80" s="1186">
        <v>1</v>
      </c>
      <c r="J80" s="1186"/>
      <c r="K80" s="1186">
        <v>3</v>
      </c>
      <c r="L80" s="1186"/>
      <c r="M80" s="1186">
        <v>4</v>
      </c>
      <c r="N80" s="1186">
        <v>5</v>
      </c>
      <c r="O80" s="1186"/>
      <c r="P80" s="1186">
        <v>6</v>
      </c>
      <c r="Q80" s="1186">
        <v>68</v>
      </c>
    </row>
    <row r="81" spans="1:17" x14ac:dyDescent="0.2">
      <c r="A81" s="1186" t="s">
        <v>34</v>
      </c>
      <c r="B81" s="1186" t="s">
        <v>13</v>
      </c>
      <c r="C81" s="1186">
        <v>194</v>
      </c>
      <c r="D81" s="1186">
        <v>9</v>
      </c>
      <c r="E81" s="1186">
        <v>12</v>
      </c>
      <c r="F81" s="1186">
        <v>2</v>
      </c>
      <c r="G81" s="1186">
        <v>14</v>
      </c>
      <c r="H81" s="1186">
        <v>2</v>
      </c>
      <c r="I81" s="1186">
        <v>2</v>
      </c>
      <c r="J81" s="1186">
        <v>8</v>
      </c>
      <c r="K81" s="1186">
        <v>4</v>
      </c>
      <c r="L81" s="1186">
        <v>3</v>
      </c>
      <c r="M81" s="1186">
        <v>8</v>
      </c>
      <c r="N81" s="1186">
        <v>7</v>
      </c>
      <c r="O81" s="1186">
        <v>1</v>
      </c>
      <c r="P81" s="1186">
        <v>3</v>
      </c>
      <c r="Q81" s="1186">
        <v>119</v>
      </c>
    </row>
    <row r="82" spans="1:17" x14ac:dyDescent="0.2">
      <c r="A82" s="1186" t="s">
        <v>35</v>
      </c>
      <c r="B82" s="1186" t="s">
        <v>13</v>
      </c>
      <c r="C82" s="1186">
        <v>436</v>
      </c>
      <c r="D82" s="1186">
        <v>15</v>
      </c>
      <c r="E82" s="1186">
        <v>34</v>
      </c>
      <c r="F82" s="1186">
        <v>6</v>
      </c>
      <c r="G82" s="1186">
        <v>25</v>
      </c>
      <c r="H82" s="1186">
        <v>2</v>
      </c>
      <c r="I82" s="1186">
        <v>3</v>
      </c>
      <c r="J82" s="1186"/>
      <c r="K82" s="1186">
        <v>9</v>
      </c>
      <c r="L82" s="1186">
        <v>9</v>
      </c>
      <c r="M82" s="1186">
        <v>9</v>
      </c>
      <c r="N82" s="1186">
        <v>7</v>
      </c>
      <c r="O82" s="1186">
        <v>7</v>
      </c>
      <c r="P82" s="1186">
        <v>7</v>
      </c>
      <c r="Q82" s="1186">
        <v>303</v>
      </c>
    </row>
    <row r="83" spans="1:17" x14ac:dyDescent="0.2">
      <c r="A83" s="1186" t="s">
        <v>36</v>
      </c>
      <c r="B83" s="1186" t="s">
        <v>13</v>
      </c>
      <c r="C83" s="1186">
        <v>1724</v>
      </c>
      <c r="D83" s="1186">
        <v>127</v>
      </c>
      <c r="E83" s="1186">
        <v>30</v>
      </c>
      <c r="F83" s="1186">
        <v>1</v>
      </c>
      <c r="G83" s="1186">
        <v>28</v>
      </c>
      <c r="H83" s="1186">
        <v>3</v>
      </c>
      <c r="I83" s="1186">
        <v>30</v>
      </c>
      <c r="J83" s="1186">
        <v>14</v>
      </c>
      <c r="K83" s="1186">
        <v>39</v>
      </c>
      <c r="L83" s="1186">
        <v>46</v>
      </c>
      <c r="M83" s="1186">
        <v>61</v>
      </c>
      <c r="N83" s="1186">
        <v>37</v>
      </c>
      <c r="O83" s="1186">
        <v>70</v>
      </c>
      <c r="P83" s="1186">
        <v>25</v>
      </c>
      <c r="Q83" s="1186">
        <v>1213</v>
      </c>
    </row>
    <row r="84" spans="1:17" x14ac:dyDescent="0.2">
      <c r="A84" s="1186" t="s">
        <v>37</v>
      </c>
      <c r="B84" s="1186" t="s">
        <v>13</v>
      </c>
      <c r="C84" s="1186">
        <v>231</v>
      </c>
      <c r="D84" s="1186">
        <v>17</v>
      </c>
      <c r="E84" s="1186">
        <v>14</v>
      </c>
      <c r="F84" s="1186">
        <v>5</v>
      </c>
      <c r="G84" s="1186">
        <v>15</v>
      </c>
      <c r="H84" s="1186">
        <v>2</v>
      </c>
      <c r="I84" s="1186">
        <v>1</v>
      </c>
      <c r="J84" s="1186">
        <v>2</v>
      </c>
      <c r="K84" s="1186">
        <v>3</v>
      </c>
      <c r="L84" s="1186">
        <v>6</v>
      </c>
      <c r="M84" s="1186">
        <v>14</v>
      </c>
      <c r="N84" s="1186"/>
      <c r="O84" s="1186">
        <v>1</v>
      </c>
      <c r="P84" s="1186">
        <v>8</v>
      </c>
      <c r="Q84" s="1186">
        <v>143</v>
      </c>
    </row>
    <row r="85" spans="1:17" x14ac:dyDescent="0.2">
      <c r="A85" s="1186" t="s">
        <v>38</v>
      </c>
      <c r="B85" s="1186" t="s">
        <v>13</v>
      </c>
      <c r="C85" s="1186">
        <v>151</v>
      </c>
      <c r="D85" s="1186">
        <v>2</v>
      </c>
      <c r="E85" s="1186">
        <v>14</v>
      </c>
      <c r="F85" s="1186"/>
      <c r="G85" s="1186">
        <v>4</v>
      </c>
      <c r="H85" s="1186">
        <v>1</v>
      </c>
      <c r="I85" s="1186">
        <v>1</v>
      </c>
      <c r="J85" s="1186">
        <v>4</v>
      </c>
      <c r="K85" s="1186">
        <v>3</v>
      </c>
      <c r="L85" s="1186"/>
      <c r="M85" s="1186">
        <v>6</v>
      </c>
      <c r="N85" s="1186">
        <v>2</v>
      </c>
      <c r="O85" s="1186">
        <v>4</v>
      </c>
      <c r="P85" s="1186">
        <v>2</v>
      </c>
      <c r="Q85" s="1186">
        <v>108</v>
      </c>
    </row>
    <row r="86" spans="1:17" x14ac:dyDescent="0.2">
      <c r="A86" s="1186" t="s">
        <v>39</v>
      </c>
      <c r="B86" s="1186" t="s">
        <v>13</v>
      </c>
      <c r="C86" s="1186">
        <v>119</v>
      </c>
      <c r="D86" s="1186">
        <v>7</v>
      </c>
      <c r="E86" s="1186">
        <v>8</v>
      </c>
      <c r="F86" s="1186">
        <v>3</v>
      </c>
      <c r="G86" s="1186">
        <v>6</v>
      </c>
      <c r="H86" s="1186"/>
      <c r="I86" s="1186">
        <v>1</v>
      </c>
      <c r="J86" s="1186">
        <v>1</v>
      </c>
      <c r="K86" s="1186">
        <v>3</v>
      </c>
      <c r="L86" s="1186">
        <v>2</v>
      </c>
      <c r="M86" s="1186">
        <v>2</v>
      </c>
      <c r="N86" s="1186">
        <v>5</v>
      </c>
      <c r="O86" s="1186">
        <v>1</v>
      </c>
      <c r="P86" s="1186">
        <v>1</v>
      </c>
      <c r="Q86" s="1186">
        <v>79</v>
      </c>
    </row>
    <row r="87" spans="1:17" x14ac:dyDescent="0.2">
      <c r="A87" s="1186" t="s">
        <v>40</v>
      </c>
      <c r="B87" s="1186" t="s">
        <v>13</v>
      </c>
      <c r="C87" s="1186">
        <v>110</v>
      </c>
      <c r="D87" s="1186">
        <v>6</v>
      </c>
      <c r="E87" s="1186">
        <v>6</v>
      </c>
      <c r="F87" s="1186">
        <v>3</v>
      </c>
      <c r="G87" s="1186">
        <v>7</v>
      </c>
      <c r="H87" s="1186"/>
      <c r="I87" s="1186"/>
      <c r="J87" s="1186">
        <v>2</v>
      </c>
      <c r="K87" s="1186">
        <v>2</v>
      </c>
      <c r="L87" s="1186">
        <v>1</v>
      </c>
      <c r="M87" s="1186">
        <v>1</v>
      </c>
      <c r="N87" s="1186">
        <v>1</v>
      </c>
      <c r="O87" s="1186">
        <v>2</v>
      </c>
      <c r="P87" s="1186">
        <v>4</v>
      </c>
      <c r="Q87" s="1186">
        <v>75</v>
      </c>
    </row>
    <row r="88" spans="1:17" x14ac:dyDescent="0.2">
      <c r="A88" s="1186" t="s">
        <v>295</v>
      </c>
      <c r="B88" s="1186" t="s">
        <v>13</v>
      </c>
      <c r="C88" s="1186">
        <v>22</v>
      </c>
      <c r="D88" s="1186">
        <v>3</v>
      </c>
      <c r="E88" s="1186"/>
      <c r="F88" s="1186"/>
      <c r="G88" s="1186"/>
      <c r="H88" s="1186"/>
      <c r="I88" s="1186"/>
      <c r="J88" s="1186"/>
      <c r="K88" s="1186"/>
      <c r="L88" s="1186"/>
      <c r="M88" s="1186">
        <v>1</v>
      </c>
      <c r="N88" s="1186"/>
      <c r="O88" s="1186"/>
      <c r="P88" s="1186">
        <v>1</v>
      </c>
      <c r="Q88" s="1186">
        <v>17</v>
      </c>
    </row>
    <row r="89" spans="1:17" x14ac:dyDescent="0.2">
      <c r="A89" s="1186" t="s">
        <v>41</v>
      </c>
      <c r="B89" s="1186" t="s">
        <v>13</v>
      </c>
      <c r="C89" s="1186">
        <v>210</v>
      </c>
      <c r="D89" s="1186">
        <v>14</v>
      </c>
      <c r="E89" s="1186">
        <v>21</v>
      </c>
      <c r="F89" s="1186">
        <v>3</v>
      </c>
      <c r="G89" s="1186">
        <v>8</v>
      </c>
      <c r="H89" s="1186"/>
      <c r="I89" s="1186"/>
      <c r="J89" s="1186"/>
      <c r="K89" s="1186">
        <v>2</v>
      </c>
      <c r="L89" s="1186">
        <v>2</v>
      </c>
      <c r="M89" s="1186">
        <v>6</v>
      </c>
      <c r="N89" s="1186">
        <v>3</v>
      </c>
      <c r="O89" s="1186">
        <v>2</v>
      </c>
      <c r="P89" s="1186">
        <v>7</v>
      </c>
      <c r="Q89" s="1186">
        <v>142</v>
      </c>
    </row>
    <row r="90" spans="1:17" x14ac:dyDescent="0.2">
      <c r="A90" s="1186" t="s">
        <v>42</v>
      </c>
      <c r="B90" s="1186" t="s">
        <v>13</v>
      </c>
      <c r="C90" s="1186">
        <v>509</v>
      </c>
      <c r="D90" s="1186">
        <v>15</v>
      </c>
      <c r="E90" s="1186">
        <v>56</v>
      </c>
      <c r="F90" s="1186">
        <v>1</v>
      </c>
      <c r="G90" s="1186">
        <v>19</v>
      </c>
      <c r="H90" s="1186">
        <v>7</v>
      </c>
      <c r="I90" s="1186">
        <v>4</v>
      </c>
      <c r="J90" s="1186">
        <v>3</v>
      </c>
      <c r="K90" s="1186">
        <v>15</v>
      </c>
      <c r="L90" s="1186">
        <v>10</v>
      </c>
      <c r="M90" s="1186">
        <v>10</v>
      </c>
      <c r="N90" s="1186">
        <v>9</v>
      </c>
      <c r="O90" s="1186">
        <v>3</v>
      </c>
      <c r="P90" s="1186">
        <v>12</v>
      </c>
      <c r="Q90" s="1186">
        <v>345</v>
      </c>
    </row>
    <row r="91" spans="1:17" x14ac:dyDescent="0.2">
      <c r="A91" s="1186" t="s">
        <v>43</v>
      </c>
      <c r="B91" s="1186" t="s">
        <v>13</v>
      </c>
      <c r="C91" s="1186">
        <v>17</v>
      </c>
      <c r="D91" s="1186"/>
      <c r="E91" s="1186"/>
      <c r="F91" s="1186">
        <v>2</v>
      </c>
      <c r="G91" s="1186">
        <v>3</v>
      </c>
      <c r="H91" s="1186"/>
      <c r="I91" s="1186"/>
      <c r="J91" s="1186"/>
      <c r="K91" s="1186"/>
      <c r="L91" s="1186"/>
      <c r="M91" s="1186"/>
      <c r="N91" s="1186"/>
      <c r="O91" s="1186"/>
      <c r="P91" s="1186"/>
      <c r="Q91" s="1186">
        <v>12</v>
      </c>
    </row>
    <row r="92" spans="1:17" x14ac:dyDescent="0.2">
      <c r="A92" s="1186" t="s">
        <v>44</v>
      </c>
      <c r="B92" s="1186" t="s">
        <v>13</v>
      </c>
      <c r="C92" s="1186">
        <v>199</v>
      </c>
      <c r="D92" s="1186">
        <v>13</v>
      </c>
      <c r="E92" s="1186">
        <v>9</v>
      </c>
      <c r="F92" s="1186">
        <v>6</v>
      </c>
      <c r="G92" s="1186">
        <v>12</v>
      </c>
      <c r="H92" s="1186"/>
      <c r="I92" s="1186"/>
      <c r="J92" s="1186">
        <v>9</v>
      </c>
      <c r="K92" s="1186">
        <v>2</v>
      </c>
      <c r="L92" s="1186">
        <v>4</v>
      </c>
      <c r="M92" s="1186">
        <v>3</v>
      </c>
      <c r="N92" s="1186">
        <v>6</v>
      </c>
      <c r="O92" s="1186">
        <v>4</v>
      </c>
      <c r="P92" s="1186">
        <v>4</v>
      </c>
      <c r="Q92" s="1186">
        <v>127</v>
      </c>
    </row>
    <row r="93" spans="1:17" x14ac:dyDescent="0.2">
      <c r="A93" s="1186" t="s">
        <v>45</v>
      </c>
      <c r="B93" s="1186" t="s">
        <v>13</v>
      </c>
      <c r="C93" s="1186">
        <v>355</v>
      </c>
      <c r="D93" s="1186">
        <v>19</v>
      </c>
      <c r="E93" s="1186">
        <v>17</v>
      </c>
      <c r="F93" s="1186">
        <v>2</v>
      </c>
      <c r="G93" s="1186">
        <v>8</v>
      </c>
      <c r="H93" s="1186">
        <v>4</v>
      </c>
      <c r="I93" s="1186">
        <v>3</v>
      </c>
      <c r="J93" s="1186">
        <v>2</v>
      </c>
      <c r="K93" s="1186">
        <v>4</v>
      </c>
      <c r="L93" s="1186">
        <v>4</v>
      </c>
      <c r="M93" s="1186">
        <v>11</v>
      </c>
      <c r="N93" s="1186">
        <v>5</v>
      </c>
      <c r="O93" s="1186">
        <v>7</v>
      </c>
      <c r="P93" s="1186">
        <v>5</v>
      </c>
      <c r="Q93" s="1186">
        <v>264</v>
      </c>
    </row>
    <row r="94" spans="1:17" x14ac:dyDescent="0.2">
      <c r="A94" s="1186" t="s">
        <v>46</v>
      </c>
      <c r="B94" s="1186" t="s">
        <v>13</v>
      </c>
      <c r="C94" s="1186">
        <v>139</v>
      </c>
      <c r="D94" s="1186">
        <v>7</v>
      </c>
      <c r="E94" s="1186">
        <v>4</v>
      </c>
      <c r="F94" s="1186">
        <v>7</v>
      </c>
      <c r="G94" s="1186">
        <v>10</v>
      </c>
      <c r="H94" s="1186"/>
      <c r="I94" s="1186">
        <v>3</v>
      </c>
      <c r="J94" s="1186"/>
      <c r="K94" s="1186">
        <v>1</v>
      </c>
      <c r="L94" s="1186">
        <v>1</v>
      </c>
      <c r="M94" s="1186">
        <v>4</v>
      </c>
      <c r="N94" s="1186">
        <v>2</v>
      </c>
      <c r="O94" s="1186">
        <v>2</v>
      </c>
      <c r="P94" s="1186">
        <v>3</v>
      </c>
      <c r="Q94" s="1186">
        <v>95</v>
      </c>
    </row>
    <row r="95" spans="1:17" x14ac:dyDescent="0.2">
      <c r="A95" s="1186" t="s">
        <v>47</v>
      </c>
      <c r="B95" s="1186" t="s">
        <v>13</v>
      </c>
      <c r="C95" s="1186">
        <v>18</v>
      </c>
      <c r="D95" s="1186">
        <v>2</v>
      </c>
      <c r="E95" s="1186">
        <v>2</v>
      </c>
      <c r="F95" s="1186"/>
      <c r="G95" s="1186">
        <v>1</v>
      </c>
      <c r="H95" s="1186"/>
      <c r="I95" s="1186"/>
      <c r="J95" s="1186"/>
      <c r="K95" s="1186"/>
      <c r="L95" s="1186"/>
      <c r="M95" s="1186"/>
      <c r="N95" s="1186"/>
      <c r="O95" s="1186">
        <v>1</v>
      </c>
      <c r="P95" s="1186">
        <v>2</v>
      </c>
      <c r="Q95" s="1186">
        <v>10</v>
      </c>
    </row>
    <row r="96" spans="1:17" x14ac:dyDescent="0.2">
      <c r="A96" s="1186" t="s">
        <v>48</v>
      </c>
      <c r="B96" s="1186" t="s">
        <v>13</v>
      </c>
      <c r="C96" s="1186">
        <v>126</v>
      </c>
      <c r="D96" s="1186">
        <v>10</v>
      </c>
      <c r="E96" s="1186">
        <v>4</v>
      </c>
      <c r="F96" s="1186">
        <v>3</v>
      </c>
      <c r="G96" s="1186">
        <v>2</v>
      </c>
      <c r="H96" s="1186"/>
      <c r="I96" s="1186">
        <v>1</v>
      </c>
      <c r="J96" s="1186"/>
      <c r="K96" s="1186"/>
      <c r="L96" s="1186">
        <v>7</v>
      </c>
      <c r="M96" s="1186">
        <v>9</v>
      </c>
      <c r="N96" s="1186"/>
      <c r="O96" s="1186">
        <v>2</v>
      </c>
      <c r="P96" s="1186">
        <v>2</v>
      </c>
      <c r="Q96" s="1186">
        <v>86</v>
      </c>
    </row>
    <row r="97" spans="1:17" x14ac:dyDescent="0.2">
      <c r="A97" s="1186" t="s">
        <v>49</v>
      </c>
      <c r="B97" s="1186" t="s">
        <v>13</v>
      </c>
      <c r="C97" s="1186">
        <v>428</v>
      </c>
      <c r="D97" s="1186">
        <v>6</v>
      </c>
      <c r="E97" s="1186">
        <v>33</v>
      </c>
      <c r="F97" s="1186">
        <v>3</v>
      </c>
      <c r="G97" s="1186">
        <v>15</v>
      </c>
      <c r="H97" s="1186"/>
      <c r="I97" s="1186">
        <v>5</v>
      </c>
      <c r="J97" s="1186">
        <v>1</v>
      </c>
      <c r="K97" s="1186">
        <v>4</v>
      </c>
      <c r="L97" s="1186">
        <v>15</v>
      </c>
      <c r="M97" s="1186">
        <v>15</v>
      </c>
      <c r="N97" s="1186">
        <v>5</v>
      </c>
      <c r="O97" s="1186">
        <v>6</v>
      </c>
      <c r="P97" s="1186">
        <v>8</v>
      </c>
      <c r="Q97" s="1186">
        <v>312</v>
      </c>
    </row>
    <row r="98" spans="1:17" x14ac:dyDescent="0.2">
      <c r="A98" s="1186" t="s">
        <v>50</v>
      </c>
      <c r="B98" s="1186" t="s">
        <v>13</v>
      </c>
      <c r="C98" s="1186">
        <v>123</v>
      </c>
      <c r="D98" s="1186">
        <v>14</v>
      </c>
      <c r="E98" s="1186">
        <v>5</v>
      </c>
      <c r="F98" s="1186">
        <v>2</v>
      </c>
      <c r="G98" s="1186">
        <v>6</v>
      </c>
      <c r="H98" s="1186">
        <v>1</v>
      </c>
      <c r="I98" s="1186">
        <v>3</v>
      </c>
      <c r="J98" s="1186">
        <v>16</v>
      </c>
      <c r="K98" s="1186">
        <v>1</v>
      </c>
      <c r="L98" s="1186"/>
      <c r="M98" s="1186">
        <v>4</v>
      </c>
      <c r="N98" s="1186"/>
      <c r="O98" s="1186">
        <v>1</v>
      </c>
      <c r="P98" s="1186">
        <v>1</v>
      </c>
      <c r="Q98" s="1186">
        <v>69</v>
      </c>
    </row>
    <row r="99" spans="1:17" x14ac:dyDescent="0.2">
      <c r="A99" s="1186" t="s">
        <v>51</v>
      </c>
      <c r="B99" s="1186" t="s">
        <v>13</v>
      </c>
      <c r="C99" s="1186">
        <v>194</v>
      </c>
      <c r="D99" s="1186">
        <v>9</v>
      </c>
      <c r="E99" s="1186">
        <v>7</v>
      </c>
      <c r="F99" s="1186"/>
      <c r="G99" s="1186">
        <v>4</v>
      </c>
      <c r="H99" s="1186">
        <v>3</v>
      </c>
      <c r="I99" s="1186">
        <v>1</v>
      </c>
      <c r="J99" s="1186"/>
      <c r="K99" s="1186">
        <v>3</v>
      </c>
      <c r="L99" s="1186">
        <v>3</v>
      </c>
      <c r="M99" s="1186">
        <v>7</v>
      </c>
      <c r="N99" s="1186">
        <v>3</v>
      </c>
      <c r="O99" s="1186">
        <v>1</v>
      </c>
      <c r="P99" s="1186">
        <v>5</v>
      </c>
      <c r="Q99" s="1186">
        <v>148</v>
      </c>
    </row>
    <row r="100" spans="1:17" x14ac:dyDescent="0.2">
      <c r="A100" s="1186" t="s">
        <v>52</v>
      </c>
      <c r="B100" s="1186" t="s">
        <v>13</v>
      </c>
      <c r="C100" s="1186">
        <v>285</v>
      </c>
      <c r="D100" s="1186">
        <v>10</v>
      </c>
      <c r="E100" s="1186">
        <v>14</v>
      </c>
      <c r="F100" s="1186">
        <v>3</v>
      </c>
      <c r="G100" s="1186">
        <v>13</v>
      </c>
      <c r="H100" s="1186">
        <v>4</v>
      </c>
      <c r="I100" s="1186">
        <v>2</v>
      </c>
      <c r="J100" s="1186">
        <v>14</v>
      </c>
      <c r="K100" s="1186">
        <v>10</v>
      </c>
      <c r="L100" s="1186">
        <v>6</v>
      </c>
      <c r="M100" s="1186">
        <v>15</v>
      </c>
      <c r="N100" s="1186">
        <v>3</v>
      </c>
      <c r="O100" s="1186">
        <v>5</v>
      </c>
      <c r="P100" s="1186">
        <v>4</v>
      </c>
      <c r="Q100" s="1186">
        <v>182</v>
      </c>
    </row>
    <row r="101" spans="1:17" x14ac:dyDescent="0.2">
      <c r="A101" s="1186" t="s">
        <v>23</v>
      </c>
      <c r="B101" s="1186" t="s">
        <v>15</v>
      </c>
      <c r="C101" s="1186">
        <v>452</v>
      </c>
      <c r="D101" s="1186">
        <v>30</v>
      </c>
      <c r="E101" s="1186">
        <v>4</v>
      </c>
      <c r="F101" s="1186">
        <v>2</v>
      </c>
      <c r="G101" s="1186">
        <v>12</v>
      </c>
      <c r="H101" s="1186">
        <v>1</v>
      </c>
      <c r="I101" s="1186">
        <v>9</v>
      </c>
      <c r="J101" s="1186">
        <v>10</v>
      </c>
      <c r="K101" s="1186">
        <v>8</v>
      </c>
      <c r="L101" s="1186">
        <v>10</v>
      </c>
      <c r="M101" s="1186">
        <v>13</v>
      </c>
      <c r="N101" s="1186">
        <v>10</v>
      </c>
      <c r="O101" s="1186">
        <v>14</v>
      </c>
      <c r="P101" s="1186">
        <v>9</v>
      </c>
      <c r="Q101" s="1186">
        <v>320</v>
      </c>
    </row>
    <row r="102" spans="1:17" x14ac:dyDescent="0.2">
      <c r="A102" s="1186" t="s">
        <v>24</v>
      </c>
      <c r="B102" s="1186" t="s">
        <v>15</v>
      </c>
      <c r="C102" s="1186">
        <v>268</v>
      </c>
      <c r="D102" s="1186">
        <v>9</v>
      </c>
      <c r="E102" s="1186">
        <v>11</v>
      </c>
      <c r="F102" s="1186">
        <v>25</v>
      </c>
      <c r="G102" s="1186">
        <v>13</v>
      </c>
      <c r="H102" s="1186"/>
      <c r="I102" s="1186">
        <v>2</v>
      </c>
      <c r="J102" s="1186">
        <v>1</v>
      </c>
      <c r="K102" s="1186">
        <v>4</v>
      </c>
      <c r="L102" s="1186">
        <v>5</v>
      </c>
      <c r="M102" s="1186">
        <v>6</v>
      </c>
      <c r="N102" s="1186">
        <v>7</v>
      </c>
      <c r="O102" s="1186">
        <v>3</v>
      </c>
      <c r="P102" s="1186">
        <v>3</v>
      </c>
      <c r="Q102" s="1186">
        <v>179</v>
      </c>
    </row>
    <row r="103" spans="1:17" x14ac:dyDescent="0.2">
      <c r="A103" s="1186" t="s">
        <v>25</v>
      </c>
      <c r="B103" s="1186" t="s">
        <v>15</v>
      </c>
      <c r="C103" s="1186">
        <v>134</v>
      </c>
      <c r="D103" s="1186">
        <v>7</v>
      </c>
      <c r="E103" s="1186">
        <v>12</v>
      </c>
      <c r="F103" s="1186">
        <v>7</v>
      </c>
      <c r="G103" s="1186">
        <v>7</v>
      </c>
      <c r="H103" s="1186"/>
      <c r="I103" s="1186"/>
      <c r="J103" s="1186">
        <v>2</v>
      </c>
      <c r="K103" s="1186">
        <v>2</v>
      </c>
      <c r="L103" s="1186">
        <v>3</v>
      </c>
      <c r="M103" s="1186">
        <v>3</v>
      </c>
      <c r="N103" s="1186"/>
      <c r="O103" s="1186">
        <v>2</v>
      </c>
      <c r="P103" s="1186">
        <v>3</v>
      </c>
      <c r="Q103" s="1186">
        <v>86</v>
      </c>
    </row>
    <row r="104" spans="1:17" x14ac:dyDescent="0.2">
      <c r="A104" s="1186" t="s">
        <v>26</v>
      </c>
      <c r="B104" s="1186" t="s">
        <v>15</v>
      </c>
      <c r="C104" s="1186">
        <v>134</v>
      </c>
      <c r="D104" s="1186">
        <v>16</v>
      </c>
      <c r="E104" s="1186">
        <v>6</v>
      </c>
      <c r="F104" s="1186">
        <v>1</v>
      </c>
      <c r="G104" s="1186">
        <v>4</v>
      </c>
      <c r="H104" s="1186">
        <v>2</v>
      </c>
      <c r="I104" s="1186">
        <v>1</v>
      </c>
      <c r="J104" s="1186"/>
      <c r="K104" s="1186">
        <v>3</v>
      </c>
      <c r="L104" s="1186">
        <v>1</v>
      </c>
      <c r="M104" s="1186">
        <v>3</v>
      </c>
      <c r="N104" s="1186">
        <v>2</v>
      </c>
      <c r="O104" s="1186">
        <v>3</v>
      </c>
      <c r="P104" s="1186">
        <v>4</v>
      </c>
      <c r="Q104" s="1186">
        <v>88</v>
      </c>
    </row>
    <row r="105" spans="1:17" x14ac:dyDescent="0.2">
      <c r="A105" s="1186" t="s">
        <v>619</v>
      </c>
      <c r="B105" s="1186" t="s">
        <v>15</v>
      </c>
      <c r="C105" s="1186">
        <v>957</v>
      </c>
      <c r="D105" s="1186">
        <v>77</v>
      </c>
      <c r="E105" s="1186">
        <v>19</v>
      </c>
      <c r="F105" s="1186"/>
      <c r="G105" s="1186">
        <v>8</v>
      </c>
      <c r="H105" s="1186">
        <v>1</v>
      </c>
      <c r="I105" s="1186">
        <v>18</v>
      </c>
      <c r="J105" s="1186">
        <v>16</v>
      </c>
      <c r="K105" s="1186">
        <v>11</v>
      </c>
      <c r="L105" s="1186">
        <v>23</v>
      </c>
      <c r="M105" s="1186">
        <v>29</v>
      </c>
      <c r="N105" s="1186">
        <v>15</v>
      </c>
      <c r="O105" s="1186">
        <v>23</v>
      </c>
      <c r="P105" s="1186">
        <v>17</v>
      </c>
      <c r="Q105" s="1186">
        <v>700</v>
      </c>
    </row>
    <row r="106" spans="1:17" x14ac:dyDescent="0.2">
      <c r="A106" s="1186" t="s">
        <v>27</v>
      </c>
      <c r="B106" s="1186" t="s">
        <v>15</v>
      </c>
      <c r="C106" s="1186">
        <v>66</v>
      </c>
      <c r="D106" s="1186">
        <v>3</v>
      </c>
      <c r="E106" s="1186">
        <v>3</v>
      </c>
      <c r="F106" s="1186">
        <v>1</v>
      </c>
      <c r="G106" s="1186">
        <v>4</v>
      </c>
      <c r="H106" s="1186">
        <v>1</v>
      </c>
      <c r="I106" s="1186"/>
      <c r="J106" s="1186">
        <v>1</v>
      </c>
      <c r="K106" s="1186"/>
      <c r="L106" s="1186">
        <v>3</v>
      </c>
      <c r="M106" s="1186">
        <v>2</v>
      </c>
      <c r="N106" s="1186"/>
      <c r="O106" s="1186">
        <v>2</v>
      </c>
      <c r="P106" s="1186">
        <v>2</v>
      </c>
      <c r="Q106" s="1186">
        <v>44</v>
      </c>
    </row>
    <row r="107" spans="1:17" x14ac:dyDescent="0.2">
      <c r="A107" s="1186" t="s">
        <v>28</v>
      </c>
      <c r="B107" s="1186" t="s">
        <v>15</v>
      </c>
      <c r="C107" s="1186">
        <v>171</v>
      </c>
      <c r="D107" s="1186">
        <v>5</v>
      </c>
      <c r="E107" s="1186">
        <v>9</v>
      </c>
      <c r="F107" s="1186">
        <v>8</v>
      </c>
      <c r="G107" s="1186">
        <v>12</v>
      </c>
      <c r="H107" s="1186">
        <v>1</v>
      </c>
      <c r="I107" s="1186">
        <v>3</v>
      </c>
      <c r="J107" s="1186">
        <v>3</v>
      </c>
      <c r="K107" s="1186">
        <v>3</v>
      </c>
      <c r="L107" s="1186">
        <v>5</v>
      </c>
      <c r="M107" s="1186">
        <v>8</v>
      </c>
      <c r="N107" s="1186">
        <v>4</v>
      </c>
      <c r="O107" s="1186">
        <v>1</v>
      </c>
      <c r="P107" s="1186">
        <v>3</v>
      </c>
      <c r="Q107" s="1186">
        <v>106</v>
      </c>
    </row>
    <row r="108" spans="1:17" x14ac:dyDescent="0.2">
      <c r="A108" s="1186" t="s">
        <v>29</v>
      </c>
      <c r="B108" s="1186" t="s">
        <v>15</v>
      </c>
      <c r="C108" s="1186">
        <v>343</v>
      </c>
      <c r="D108" s="1186">
        <v>22</v>
      </c>
      <c r="E108" s="1186">
        <v>4</v>
      </c>
      <c r="F108" s="1186"/>
      <c r="G108" s="1186">
        <v>6</v>
      </c>
      <c r="H108" s="1186">
        <v>1</v>
      </c>
      <c r="I108" s="1186">
        <v>1</v>
      </c>
      <c r="J108" s="1186">
        <v>4</v>
      </c>
      <c r="K108" s="1186">
        <v>4</v>
      </c>
      <c r="L108" s="1186">
        <v>4</v>
      </c>
      <c r="M108" s="1186">
        <v>8</v>
      </c>
      <c r="N108" s="1186">
        <v>5</v>
      </c>
      <c r="O108" s="1186">
        <v>8</v>
      </c>
      <c r="P108" s="1186">
        <v>7</v>
      </c>
      <c r="Q108" s="1186">
        <v>269</v>
      </c>
    </row>
    <row r="109" spans="1:17" x14ac:dyDescent="0.2">
      <c r="A109" s="1186" t="s">
        <v>30</v>
      </c>
      <c r="B109" s="1186" t="s">
        <v>15</v>
      </c>
      <c r="C109" s="1186">
        <v>161</v>
      </c>
      <c r="D109" s="1186">
        <v>5</v>
      </c>
      <c r="E109" s="1186">
        <v>12</v>
      </c>
      <c r="F109" s="1186">
        <v>4</v>
      </c>
      <c r="G109" s="1186">
        <v>7</v>
      </c>
      <c r="H109" s="1186"/>
      <c r="I109" s="1186">
        <v>2</v>
      </c>
      <c r="J109" s="1186">
        <v>3</v>
      </c>
      <c r="K109" s="1186">
        <v>1</v>
      </c>
      <c r="L109" s="1186">
        <v>1</v>
      </c>
      <c r="M109" s="1186">
        <v>9</v>
      </c>
      <c r="N109" s="1186">
        <v>5</v>
      </c>
      <c r="O109" s="1186">
        <v>1</v>
      </c>
      <c r="P109" s="1186">
        <v>3</v>
      </c>
      <c r="Q109" s="1186">
        <v>108</v>
      </c>
    </row>
    <row r="110" spans="1:17" x14ac:dyDescent="0.2">
      <c r="A110" s="1186" t="s">
        <v>31</v>
      </c>
      <c r="B110" s="1186" t="s">
        <v>15</v>
      </c>
      <c r="C110" s="1186">
        <v>112</v>
      </c>
      <c r="D110" s="1186">
        <v>8</v>
      </c>
      <c r="E110" s="1186">
        <v>7</v>
      </c>
      <c r="F110" s="1186"/>
      <c r="G110" s="1186">
        <v>2</v>
      </c>
      <c r="H110" s="1186"/>
      <c r="I110" s="1186">
        <v>3</v>
      </c>
      <c r="J110" s="1186">
        <v>6</v>
      </c>
      <c r="K110" s="1186">
        <v>3</v>
      </c>
      <c r="L110" s="1186">
        <v>2</v>
      </c>
      <c r="M110" s="1186">
        <v>4</v>
      </c>
      <c r="N110" s="1186">
        <v>4</v>
      </c>
      <c r="O110" s="1186"/>
      <c r="P110" s="1186">
        <v>3</v>
      </c>
      <c r="Q110" s="1186">
        <v>70</v>
      </c>
    </row>
    <row r="111" spans="1:17" x14ac:dyDescent="0.2">
      <c r="A111" s="1186" t="s">
        <v>32</v>
      </c>
      <c r="B111" s="1186" t="s">
        <v>15</v>
      </c>
      <c r="C111" s="1186">
        <v>139</v>
      </c>
      <c r="D111" s="1186">
        <v>5</v>
      </c>
      <c r="E111" s="1186">
        <v>4</v>
      </c>
      <c r="F111" s="1186">
        <v>2</v>
      </c>
      <c r="G111" s="1186">
        <v>5</v>
      </c>
      <c r="H111" s="1186"/>
      <c r="I111" s="1186"/>
      <c r="J111" s="1186">
        <v>1</v>
      </c>
      <c r="K111" s="1186">
        <v>7</v>
      </c>
      <c r="L111" s="1186">
        <v>2</v>
      </c>
      <c r="M111" s="1186">
        <v>5</v>
      </c>
      <c r="N111" s="1186">
        <v>3</v>
      </c>
      <c r="O111" s="1186">
        <v>1</v>
      </c>
      <c r="P111" s="1186">
        <v>1</v>
      </c>
      <c r="Q111" s="1186">
        <v>103</v>
      </c>
    </row>
    <row r="112" spans="1:17" x14ac:dyDescent="0.2">
      <c r="A112" s="1186" t="s">
        <v>33</v>
      </c>
      <c r="B112" s="1186" t="s">
        <v>15</v>
      </c>
      <c r="C112" s="1186">
        <v>105</v>
      </c>
      <c r="D112" s="1186">
        <v>2</v>
      </c>
      <c r="E112" s="1186">
        <v>9</v>
      </c>
      <c r="F112" s="1186"/>
      <c r="G112" s="1186"/>
      <c r="H112" s="1186">
        <v>1</v>
      </c>
      <c r="I112" s="1186">
        <v>3</v>
      </c>
      <c r="J112" s="1186"/>
      <c r="K112" s="1186">
        <v>1</v>
      </c>
      <c r="L112" s="1186">
        <v>1</v>
      </c>
      <c r="M112" s="1186">
        <v>5</v>
      </c>
      <c r="N112" s="1186">
        <v>6</v>
      </c>
      <c r="O112" s="1186"/>
      <c r="P112" s="1186">
        <v>2</v>
      </c>
      <c r="Q112" s="1186">
        <v>75</v>
      </c>
    </row>
    <row r="113" spans="1:17" x14ac:dyDescent="0.2">
      <c r="A113" s="1186" t="s">
        <v>34</v>
      </c>
      <c r="B113" s="1186" t="s">
        <v>15</v>
      </c>
      <c r="C113" s="1186">
        <v>156</v>
      </c>
      <c r="D113" s="1186">
        <v>5</v>
      </c>
      <c r="E113" s="1186">
        <v>10</v>
      </c>
      <c r="F113" s="1186"/>
      <c r="G113" s="1186">
        <v>5</v>
      </c>
      <c r="H113" s="1186">
        <v>3</v>
      </c>
      <c r="I113" s="1186">
        <v>2</v>
      </c>
      <c r="J113" s="1186">
        <v>12</v>
      </c>
      <c r="K113" s="1186">
        <v>2</v>
      </c>
      <c r="L113" s="1186">
        <v>3</v>
      </c>
      <c r="M113" s="1186">
        <v>3</v>
      </c>
      <c r="N113" s="1186">
        <v>5</v>
      </c>
      <c r="O113" s="1186">
        <v>1</v>
      </c>
      <c r="P113" s="1186">
        <v>2</v>
      </c>
      <c r="Q113" s="1186">
        <v>103</v>
      </c>
    </row>
    <row r="114" spans="1:17" x14ac:dyDescent="0.2">
      <c r="A114" s="1186" t="s">
        <v>35</v>
      </c>
      <c r="B114" s="1186" t="s">
        <v>15</v>
      </c>
      <c r="C114" s="1186">
        <v>430</v>
      </c>
      <c r="D114" s="1186">
        <v>16</v>
      </c>
      <c r="E114" s="1186">
        <v>35</v>
      </c>
      <c r="F114" s="1186">
        <v>4</v>
      </c>
      <c r="G114" s="1186">
        <v>25</v>
      </c>
      <c r="H114" s="1186">
        <v>2</v>
      </c>
      <c r="I114" s="1186">
        <v>2</v>
      </c>
      <c r="J114" s="1186">
        <v>2</v>
      </c>
      <c r="K114" s="1186">
        <v>5</v>
      </c>
      <c r="L114" s="1186">
        <v>9</v>
      </c>
      <c r="M114" s="1186">
        <v>12</v>
      </c>
      <c r="N114" s="1186">
        <v>6</v>
      </c>
      <c r="O114" s="1186">
        <v>6</v>
      </c>
      <c r="P114" s="1186">
        <v>8</v>
      </c>
      <c r="Q114" s="1186">
        <v>298</v>
      </c>
    </row>
    <row r="115" spans="1:17" x14ac:dyDescent="0.2">
      <c r="A115" s="1186" t="s">
        <v>36</v>
      </c>
      <c r="B115" s="1186" t="s">
        <v>15</v>
      </c>
      <c r="C115" s="1186">
        <v>1468</v>
      </c>
      <c r="D115" s="1186">
        <v>104</v>
      </c>
      <c r="E115" s="1186">
        <v>39</v>
      </c>
      <c r="F115" s="1186"/>
      <c r="G115" s="1186">
        <v>22</v>
      </c>
      <c r="H115" s="1186">
        <v>10</v>
      </c>
      <c r="I115" s="1186">
        <v>28</v>
      </c>
      <c r="J115" s="1186">
        <v>14</v>
      </c>
      <c r="K115" s="1186">
        <v>20</v>
      </c>
      <c r="L115" s="1186">
        <v>25</v>
      </c>
      <c r="M115" s="1186">
        <v>47</v>
      </c>
      <c r="N115" s="1186">
        <v>33</v>
      </c>
      <c r="O115" s="1186">
        <v>49</v>
      </c>
      <c r="P115" s="1186">
        <v>37</v>
      </c>
      <c r="Q115" s="1186">
        <v>1040</v>
      </c>
    </row>
    <row r="116" spans="1:17" x14ac:dyDescent="0.2">
      <c r="A116" s="1186" t="s">
        <v>37</v>
      </c>
      <c r="B116" s="1186" t="s">
        <v>15</v>
      </c>
      <c r="C116" s="1186">
        <v>220</v>
      </c>
      <c r="D116" s="1186">
        <v>22</v>
      </c>
      <c r="E116" s="1186">
        <v>19</v>
      </c>
      <c r="F116" s="1186">
        <v>5</v>
      </c>
      <c r="G116" s="1186">
        <v>10</v>
      </c>
      <c r="H116" s="1186">
        <v>1</v>
      </c>
      <c r="I116" s="1186">
        <v>1</v>
      </c>
      <c r="J116" s="1186">
        <v>3</v>
      </c>
      <c r="K116" s="1186">
        <v>2</v>
      </c>
      <c r="L116" s="1186">
        <v>7</v>
      </c>
      <c r="M116" s="1186">
        <v>4</v>
      </c>
      <c r="N116" s="1186">
        <v>5</v>
      </c>
      <c r="O116" s="1186">
        <v>5</v>
      </c>
      <c r="P116" s="1186">
        <v>4</v>
      </c>
      <c r="Q116" s="1186">
        <v>132</v>
      </c>
    </row>
    <row r="117" spans="1:17" x14ac:dyDescent="0.2">
      <c r="A117" s="1186" t="s">
        <v>38</v>
      </c>
      <c r="B117" s="1186" t="s">
        <v>15</v>
      </c>
      <c r="C117" s="1186">
        <v>125</v>
      </c>
      <c r="D117" s="1186">
        <v>7</v>
      </c>
      <c r="E117" s="1186"/>
      <c r="F117" s="1186"/>
      <c r="G117" s="1186">
        <v>4</v>
      </c>
      <c r="H117" s="1186"/>
      <c r="I117" s="1186"/>
      <c r="J117" s="1186">
        <v>2</v>
      </c>
      <c r="K117" s="1186">
        <v>2</v>
      </c>
      <c r="L117" s="1186">
        <v>1</v>
      </c>
      <c r="M117" s="1186">
        <v>4</v>
      </c>
      <c r="N117" s="1186">
        <v>2</v>
      </c>
      <c r="O117" s="1186">
        <v>1</v>
      </c>
      <c r="P117" s="1186">
        <v>4</v>
      </c>
      <c r="Q117" s="1186">
        <v>98</v>
      </c>
    </row>
    <row r="118" spans="1:17" x14ac:dyDescent="0.2">
      <c r="A118" s="1186" t="s">
        <v>39</v>
      </c>
      <c r="B118" s="1186" t="s">
        <v>15</v>
      </c>
      <c r="C118" s="1186">
        <v>122</v>
      </c>
      <c r="D118" s="1186">
        <v>4</v>
      </c>
      <c r="E118" s="1186">
        <v>5</v>
      </c>
      <c r="F118" s="1186"/>
      <c r="G118" s="1186">
        <v>4</v>
      </c>
      <c r="H118" s="1186"/>
      <c r="I118" s="1186"/>
      <c r="J118" s="1186"/>
      <c r="K118" s="1186"/>
      <c r="L118" s="1186">
        <v>2</v>
      </c>
      <c r="M118" s="1186">
        <v>5</v>
      </c>
      <c r="N118" s="1186">
        <v>4</v>
      </c>
      <c r="O118" s="1186">
        <v>1</v>
      </c>
      <c r="P118" s="1186">
        <v>4</v>
      </c>
      <c r="Q118" s="1186">
        <v>93</v>
      </c>
    </row>
    <row r="119" spans="1:17" x14ac:dyDescent="0.2">
      <c r="A119" s="1186" t="s">
        <v>40</v>
      </c>
      <c r="B119" s="1186" t="s">
        <v>15</v>
      </c>
      <c r="C119" s="1186">
        <v>89</v>
      </c>
      <c r="D119" s="1186">
        <v>6</v>
      </c>
      <c r="E119" s="1186">
        <v>2</v>
      </c>
      <c r="F119" s="1186">
        <v>4</v>
      </c>
      <c r="G119" s="1186">
        <v>8</v>
      </c>
      <c r="H119" s="1186"/>
      <c r="I119" s="1186"/>
      <c r="J119" s="1186">
        <v>1</v>
      </c>
      <c r="K119" s="1186">
        <v>1</v>
      </c>
      <c r="L119" s="1186">
        <v>1</v>
      </c>
      <c r="M119" s="1186">
        <v>2</v>
      </c>
      <c r="N119" s="1186">
        <v>4</v>
      </c>
      <c r="O119" s="1186">
        <v>2</v>
      </c>
      <c r="P119" s="1186">
        <v>1</v>
      </c>
      <c r="Q119" s="1186">
        <v>57</v>
      </c>
    </row>
    <row r="120" spans="1:17" x14ac:dyDescent="0.2">
      <c r="A120" s="1186" t="s">
        <v>295</v>
      </c>
      <c r="B120" s="1186" t="s">
        <v>15</v>
      </c>
      <c r="C120" s="1186">
        <v>32</v>
      </c>
      <c r="D120" s="1186">
        <v>1</v>
      </c>
      <c r="E120" s="1186">
        <v>1</v>
      </c>
      <c r="F120" s="1186"/>
      <c r="G120" s="1186">
        <v>1</v>
      </c>
      <c r="H120" s="1186"/>
      <c r="I120" s="1186">
        <v>1</v>
      </c>
      <c r="J120" s="1186"/>
      <c r="K120" s="1186"/>
      <c r="L120" s="1186">
        <v>1</v>
      </c>
      <c r="M120" s="1186">
        <v>1</v>
      </c>
      <c r="N120" s="1186">
        <v>3</v>
      </c>
      <c r="O120" s="1186"/>
      <c r="P120" s="1186"/>
      <c r="Q120" s="1186">
        <v>23</v>
      </c>
    </row>
    <row r="121" spans="1:17" x14ac:dyDescent="0.2">
      <c r="A121" s="1186" t="s">
        <v>41</v>
      </c>
      <c r="B121" s="1186" t="s">
        <v>15</v>
      </c>
      <c r="C121" s="1186">
        <v>200</v>
      </c>
      <c r="D121" s="1186">
        <v>11</v>
      </c>
      <c r="E121" s="1186">
        <v>11</v>
      </c>
      <c r="F121" s="1186">
        <v>1</v>
      </c>
      <c r="G121" s="1186">
        <v>8</v>
      </c>
      <c r="H121" s="1186"/>
      <c r="I121" s="1186"/>
      <c r="J121" s="1186"/>
      <c r="K121" s="1186">
        <v>5</v>
      </c>
      <c r="L121" s="1186">
        <v>1</v>
      </c>
      <c r="M121" s="1186">
        <v>4</v>
      </c>
      <c r="N121" s="1186">
        <v>2</v>
      </c>
      <c r="O121" s="1186"/>
      <c r="P121" s="1186">
        <v>3</v>
      </c>
      <c r="Q121" s="1186">
        <v>154</v>
      </c>
    </row>
    <row r="122" spans="1:17" x14ac:dyDescent="0.2">
      <c r="A122" s="1186" t="s">
        <v>42</v>
      </c>
      <c r="B122" s="1186" t="s">
        <v>15</v>
      </c>
      <c r="C122" s="1186">
        <v>503</v>
      </c>
      <c r="D122" s="1186">
        <v>14</v>
      </c>
      <c r="E122" s="1186">
        <v>36</v>
      </c>
      <c r="F122" s="1186">
        <v>2</v>
      </c>
      <c r="G122" s="1186">
        <v>15</v>
      </c>
      <c r="H122" s="1186">
        <v>1</v>
      </c>
      <c r="I122" s="1186">
        <v>7</v>
      </c>
      <c r="J122" s="1186">
        <v>7</v>
      </c>
      <c r="K122" s="1186">
        <v>9</v>
      </c>
      <c r="L122" s="1186">
        <v>9</v>
      </c>
      <c r="M122" s="1186">
        <v>15</v>
      </c>
      <c r="N122" s="1186">
        <v>10</v>
      </c>
      <c r="O122" s="1186">
        <v>3</v>
      </c>
      <c r="P122" s="1186">
        <v>15</v>
      </c>
      <c r="Q122" s="1186">
        <v>360</v>
      </c>
    </row>
    <row r="123" spans="1:17" x14ac:dyDescent="0.2">
      <c r="A123" s="1186" t="s">
        <v>43</v>
      </c>
      <c r="B123" s="1186" t="s">
        <v>15</v>
      </c>
      <c r="C123" s="1186">
        <v>16</v>
      </c>
      <c r="D123" s="1186">
        <v>1</v>
      </c>
      <c r="E123" s="1186">
        <v>2</v>
      </c>
      <c r="F123" s="1186"/>
      <c r="G123" s="1186"/>
      <c r="H123" s="1186"/>
      <c r="I123" s="1186"/>
      <c r="J123" s="1186"/>
      <c r="K123" s="1186">
        <v>1</v>
      </c>
      <c r="L123" s="1186">
        <v>1</v>
      </c>
      <c r="M123" s="1186"/>
      <c r="N123" s="1186"/>
      <c r="O123" s="1186"/>
      <c r="P123" s="1186">
        <v>1</v>
      </c>
      <c r="Q123" s="1186">
        <v>10</v>
      </c>
    </row>
    <row r="124" spans="1:17" x14ac:dyDescent="0.2">
      <c r="A124" s="1186" t="s">
        <v>44</v>
      </c>
      <c r="B124" s="1186" t="s">
        <v>15</v>
      </c>
      <c r="C124" s="1186">
        <v>189</v>
      </c>
      <c r="D124" s="1186">
        <v>15</v>
      </c>
      <c r="E124" s="1186">
        <v>4</v>
      </c>
      <c r="F124" s="1186">
        <v>7</v>
      </c>
      <c r="G124" s="1186">
        <v>8</v>
      </c>
      <c r="H124" s="1186"/>
      <c r="I124" s="1186">
        <v>5</v>
      </c>
      <c r="J124" s="1186">
        <v>6</v>
      </c>
      <c r="K124" s="1186">
        <v>2</v>
      </c>
      <c r="L124" s="1186">
        <v>4</v>
      </c>
      <c r="M124" s="1186">
        <v>7</v>
      </c>
      <c r="N124" s="1186">
        <v>2</v>
      </c>
      <c r="O124" s="1186">
        <v>4</v>
      </c>
      <c r="P124" s="1186">
        <v>4</v>
      </c>
      <c r="Q124" s="1186">
        <v>121</v>
      </c>
    </row>
    <row r="125" spans="1:17" x14ac:dyDescent="0.2">
      <c r="A125" s="1186" t="s">
        <v>45</v>
      </c>
      <c r="B125" s="1186" t="s">
        <v>15</v>
      </c>
      <c r="C125" s="1186">
        <v>342</v>
      </c>
      <c r="D125" s="1186">
        <v>19</v>
      </c>
      <c r="E125" s="1186">
        <v>15</v>
      </c>
      <c r="F125" s="1186">
        <v>2</v>
      </c>
      <c r="G125" s="1186">
        <v>4</v>
      </c>
      <c r="H125" s="1186">
        <v>3</v>
      </c>
      <c r="I125" s="1186">
        <v>2</v>
      </c>
      <c r="J125" s="1186">
        <v>5</v>
      </c>
      <c r="K125" s="1186">
        <v>7</v>
      </c>
      <c r="L125" s="1186">
        <v>5</v>
      </c>
      <c r="M125" s="1186">
        <v>3</v>
      </c>
      <c r="N125" s="1186">
        <v>5</v>
      </c>
      <c r="O125" s="1186">
        <v>5</v>
      </c>
      <c r="P125" s="1186">
        <v>7</v>
      </c>
      <c r="Q125" s="1186">
        <v>260</v>
      </c>
    </row>
    <row r="126" spans="1:17" x14ac:dyDescent="0.2">
      <c r="A126" s="1186" t="s">
        <v>46</v>
      </c>
      <c r="B126" s="1186" t="s">
        <v>15</v>
      </c>
      <c r="C126" s="1186">
        <v>132</v>
      </c>
      <c r="D126" s="1186">
        <v>8</v>
      </c>
      <c r="E126" s="1186">
        <v>4</v>
      </c>
      <c r="F126" s="1186">
        <v>4</v>
      </c>
      <c r="G126" s="1186">
        <v>3</v>
      </c>
      <c r="H126" s="1186"/>
      <c r="I126" s="1186"/>
      <c r="J126" s="1186"/>
      <c r="K126" s="1186">
        <v>2</v>
      </c>
      <c r="L126" s="1186">
        <v>2</v>
      </c>
      <c r="M126" s="1186">
        <v>1</v>
      </c>
      <c r="N126" s="1186"/>
      <c r="O126" s="1186"/>
      <c r="P126" s="1186">
        <v>1</v>
      </c>
      <c r="Q126" s="1186">
        <v>107</v>
      </c>
    </row>
    <row r="127" spans="1:17" x14ac:dyDescent="0.2">
      <c r="A127" s="1186" t="s">
        <v>47</v>
      </c>
      <c r="B127" s="1186" t="s">
        <v>15</v>
      </c>
      <c r="C127" s="1186">
        <v>24</v>
      </c>
      <c r="D127" s="1186"/>
      <c r="E127" s="1186">
        <v>2</v>
      </c>
      <c r="F127" s="1186"/>
      <c r="G127" s="1186">
        <v>1</v>
      </c>
      <c r="H127" s="1186"/>
      <c r="I127" s="1186"/>
      <c r="J127" s="1186"/>
      <c r="K127" s="1186"/>
      <c r="L127" s="1186">
        <v>1</v>
      </c>
      <c r="M127" s="1186"/>
      <c r="N127" s="1186">
        <v>1</v>
      </c>
      <c r="O127" s="1186"/>
      <c r="P127" s="1186">
        <v>1</v>
      </c>
      <c r="Q127" s="1186">
        <v>18</v>
      </c>
    </row>
    <row r="128" spans="1:17" x14ac:dyDescent="0.2">
      <c r="A128" s="1186" t="s">
        <v>48</v>
      </c>
      <c r="B128" s="1186" t="s">
        <v>15</v>
      </c>
      <c r="C128" s="1186">
        <v>162</v>
      </c>
      <c r="D128" s="1186">
        <v>9</v>
      </c>
      <c r="E128" s="1186">
        <v>13</v>
      </c>
      <c r="F128" s="1186"/>
      <c r="G128" s="1186">
        <v>6</v>
      </c>
      <c r="H128" s="1186">
        <v>1</v>
      </c>
      <c r="I128" s="1186">
        <v>2</v>
      </c>
      <c r="J128" s="1186"/>
      <c r="K128" s="1186">
        <v>4</v>
      </c>
      <c r="L128" s="1186"/>
      <c r="M128" s="1186">
        <v>7</v>
      </c>
      <c r="N128" s="1186">
        <v>1</v>
      </c>
      <c r="O128" s="1186">
        <v>2</v>
      </c>
      <c r="P128" s="1186">
        <v>6</v>
      </c>
      <c r="Q128" s="1186">
        <v>111</v>
      </c>
    </row>
    <row r="129" spans="1:17" x14ac:dyDescent="0.2">
      <c r="A129" s="1186" t="s">
        <v>49</v>
      </c>
      <c r="B129" s="1186" t="s">
        <v>15</v>
      </c>
      <c r="C129" s="1186">
        <v>419</v>
      </c>
      <c r="D129" s="1186">
        <v>12</v>
      </c>
      <c r="E129" s="1186">
        <v>33</v>
      </c>
      <c r="F129" s="1186">
        <v>3</v>
      </c>
      <c r="G129" s="1186">
        <v>17</v>
      </c>
      <c r="H129" s="1186">
        <v>4</v>
      </c>
      <c r="I129" s="1186">
        <v>8</v>
      </c>
      <c r="J129" s="1186"/>
      <c r="K129" s="1186">
        <v>10</v>
      </c>
      <c r="L129" s="1186">
        <v>4</v>
      </c>
      <c r="M129" s="1186">
        <v>14</v>
      </c>
      <c r="N129" s="1186">
        <v>4</v>
      </c>
      <c r="O129" s="1186">
        <v>8</v>
      </c>
      <c r="P129" s="1186">
        <v>10</v>
      </c>
      <c r="Q129" s="1186">
        <v>292</v>
      </c>
    </row>
    <row r="130" spans="1:17" x14ac:dyDescent="0.2">
      <c r="A130" s="1186" t="s">
        <v>50</v>
      </c>
      <c r="B130" s="1186" t="s">
        <v>15</v>
      </c>
      <c r="C130" s="1186">
        <v>100</v>
      </c>
      <c r="D130" s="1186">
        <v>9</v>
      </c>
      <c r="E130" s="1186">
        <v>5</v>
      </c>
      <c r="F130" s="1186"/>
      <c r="G130" s="1186">
        <v>5</v>
      </c>
      <c r="H130" s="1186"/>
      <c r="I130" s="1186">
        <v>1</v>
      </c>
      <c r="J130" s="1186">
        <v>11</v>
      </c>
      <c r="K130" s="1186">
        <v>1</v>
      </c>
      <c r="L130" s="1186">
        <v>4</v>
      </c>
      <c r="M130" s="1186">
        <v>1</v>
      </c>
      <c r="N130" s="1186">
        <v>4</v>
      </c>
      <c r="O130" s="1186"/>
      <c r="P130" s="1186">
        <v>2</v>
      </c>
      <c r="Q130" s="1186">
        <v>57</v>
      </c>
    </row>
    <row r="131" spans="1:17" x14ac:dyDescent="0.2">
      <c r="A131" s="1186" t="s">
        <v>51</v>
      </c>
      <c r="B131" s="1186" t="s">
        <v>15</v>
      </c>
      <c r="C131" s="1186">
        <v>190</v>
      </c>
      <c r="D131" s="1186">
        <v>12</v>
      </c>
      <c r="E131" s="1186">
        <v>8</v>
      </c>
      <c r="F131" s="1186">
        <v>2</v>
      </c>
      <c r="G131" s="1186">
        <v>2</v>
      </c>
      <c r="H131" s="1186">
        <v>1</v>
      </c>
      <c r="I131" s="1186">
        <v>3</v>
      </c>
      <c r="J131" s="1186"/>
      <c r="K131" s="1186"/>
      <c r="L131" s="1186">
        <v>4</v>
      </c>
      <c r="M131" s="1186">
        <v>2</v>
      </c>
      <c r="N131" s="1186">
        <v>3</v>
      </c>
      <c r="O131" s="1186">
        <v>1</v>
      </c>
      <c r="P131" s="1186">
        <v>6</v>
      </c>
      <c r="Q131" s="1186">
        <v>146</v>
      </c>
    </row>
    <row r="132" spans="1:17" x14ac:dyDescent="0.2">
      <c r="A132" s="1186" t="s">
        <v>52</v>
      </c>
      <c r="B132" s="1186" t="s">
        <v>15</v>
      </c>
      <c r="C132" s="1186">
        <v>276</v>
      </c>
      <c r="D132" s="1186">
        <v>11</v>
      </c>
      <c r="E132" s="1186">
        <v>6</v>
      </c>
      <c r="F132" s="1186">
        <v>2</v>
      </c>
      <c r="G132" s="1186">
        <v>6</v>
      </c>
      <c r="H132" s="1186">
        <v>3</v>
      </c>
      <c r="I132" s="1186">
        <v>3</v>
      </c>
      <c r="J132" s="1186">
        <v>12</v>
      </c>
      <c r="K132" s="1186">
        <v>6</v>
      </c>
      <c r="L132" s="1186">
        <v>1</v>
      </c>
      <c r="M132" s="1186">
        <v>7</v>
      </c>
      <c r="N132" s="1186">
        <v>5</v>
      </c>
      <c r="O132" s="1186">
        <v>6</v>
      </c>
      <c r="P132" s="1186">
        <v>7</v>
      </c>
      <c r="Q132" s="1186">
        <v>201</v>
      </c>
    </row>
    <row r="133" spans="1:17" x14ac:dyDescent="0.2">
      <c r="A133" s="1186" t="s">
        <v>23</v>
      </c>
      <c r="B133" s="1186" t="s">
        <v>17</v>
      </c>
      <c r="C133" s="1186">
        <v>436</v>
      </c>
      <c r="D133" s="1186">
        <v>30</v>
      </c>
      <c r="E133" s="1186">
        <v>4</v>
      </c>
      <c r="F133" s="1186"/>
      <c r="G133" s="1186">
        <v>18</v>
      </c>
      <c r="H133" s="1186">
        <v>2</v>
      </c>
      <c r="I133" s="1186">
        <v>15</v>
      </c>
      <c r="J133" s="1186">
        <v>5</v>
      </c>
      <c r="K133" s="1186">
        <v>7</v>
      </c>
      <c r="L133" s="1186">
        <v>10</v>
      </c>
      <c r="M133" s="1186">
        <v>13</v>
      </c>
      <c r="N133" s="1186">
        <v>15</v>
      </c>
      <c r="O133" s="1186">
        <v>12</v>
      </c>
      <c r="P133" s="1186">
        <v>11</v>
      </c>
      <c r="Q133" s="1186">
        <v>294</v>
      </c>
    </row>
    <row r="134" spans="1:17" x14ac:dyDescent="0.2">
      <c r="A134" s="1186" t="s">
        <v>24</v>
      </c>
      <c r="B134" s="1186" t="s">
        <v>17</v>
      </c>
      <c r="C134" s="1186">
        <v>270</v>
      </c>
      <c r="D134" s="1186">
        <v>18</v>
      </c>
      <c r="E134" s="1186">
        <v>15</v>
      </c>
      <c r="F134" s="1186">
        <v>17</v>
      </c>
      <c r="G134" s="1186">
        <v>4</v>
      </c>
      <c r="H134" s="1186">
        <v>1</v>
      </c>
      <c r="I134" s="1186">
        <v>3</v>
      </c>
      <c r="J134" s="1186">
        <v>1</v>
      </c>
      <c r="K134" s="1186">
        <v>2</v>
      </c>
      <c r="L134" s="1186">
        <v>4</v>
      </c>
      <c r="M134" s="1186">
        <v>12</v>
      </c>
      <c r="N134" s="1186">
        <v>6</v>
      </c>
      <c r="O134" s="1186">
        <v>4</v>
      </c>
      <c r="P134" s="1186">
        <v>1</v>
      </c>
      <c r="Q134" s="1186">
        <v>182</v>
      </c>
    </row>
    <row r="135" spans="1:17" x14ac:dyDescent="0.2">
      <c r="A135" s="1186" t="s">
        <v>25</v>
      </c>
      <c r="B135" s="1186" t="s">
        <v>17</v>
      </c>
      <c r="C135" s="1186">
        <v>125</v>
      </c>
      <c r="D135" s="1186">
        <v>8</v>
      </c>
      <c r="E135" s="1186">
        <v>6</v>
      </c>
      <c r="F135" s="1186">
        <v>5</v>
      </c>
      <c r="G135" s="1186">
        <v>5</v>
      </c>
      <c r="H135" s="1186"/>
      <c r="I135" s="1186">
        <v>2</v>
      </c>
      <c r="J135" s="1186">
        <v>1</v>
      </c>
      <c r="K135" s="1186">
        <v>3</v>
      </c>
      <c r="L135" s="1186">
        <v>4</v>
      </c>
      <c r="M135" s="1186">
        <v>2</v>
      </c>
      <c r="N135" s="1186">
        <v>4</v>
      </c>
      <c r="O135" s="1186">
        <v>3</v>
      </c>
      <c r="P135" s="1186">
        <v>2</v>
      </c>
      <c r="Q135" s="1186">
        <v>80</v>
      </c>
    </row>
    <row r="136" spans="1:17" x14ac:dyDescent="0.2">
      <c r="A136" s="1186" t="s">
        <v>26</v>
      </c>
      <c r="B136" s="1186" t="s">
        <v>17</v>
      </c>
      <c r="C136" s="1186">
        <v>134</v>
      </c>
      <c r="D136" s="1186">
        <v>11</v>
      </c>
      <c r="E136" s="1186">
        <v>6</v>
      </c>
      <c r="F136" s="1186">
        <v>1</v>
      </c>
      <c r="G136" s="1186">
        <v>5</v>
      </c>
      <c r="H136" s="1186"/>
      <c r="I136" s="1186">
        <v>2</v>
      </c>
      <c r="J136" s="1186"/>
      <c r="K136" s="1186">
        <v>7</v>
      </c>
      <c r="L136" s="1186">
        <v>2</v>
      </c>
      <c r="M136" s="1186">
        <v>6</v>
      </c>
      <c r="N136" s="1186">
        <v>3</v>
      </c>
      <c r="O136" s="1186">
        <v>1</v>
      </c>
      <c r="P136" s="1186">
        <v>2</v>
      </c>
      <c r="Q136" s="1186">
        <v>88</v>
      </c>
    </row>
    <row r="137" spans="1:17" x14ac:dyDescent="0.2">
      <c r="A137" s="1186" t="s">
        <v>619</v>
      </c>
      <c r="B137" s="1186" t="s">
        <v>17</v>
      </c>
      <c r="C137" s="1186">
        <v>874</v>
      </c>
      <c r="D137" s="1186">
        <v>74</v>
      </c>
      <c r="E137" s="1186">
        <v>22</v>
      </c>
      <c r="F137" s="1186">
        <v>3</v>
      </c>
      <c r="G137" s="1186">
        <v>11</v>
      </c>
      <c r="H137" s="1186">
        <v>1</v>
      </c>
      <c r="I137" s="1186">
        <v>15</v>
      </c>
      <c r="J137" s="1186">
        <v>9</v>
      </c>
      <c r="K137" s="1186">
        <v>18</v>
      </c>
      <c r="L137" s="1186">
        <v>29</v>
      </c>
      <c r="M137" s="1186">
        <v>33</v>
      </c>
      <c r="N137" s="1186">
        <v>18</v>
      </c>
      <c r="O137" s="1186">
        <v>20</v>
      </c>
      <c r="P137" s="1186">
        <v>14</v>
      </c>
      <c r="Q137" s="1186">
        <v>607</v>
      </c>
    </row>
    <row r="138" spans="1:17" x14ac:dyDescent="0.2">
      <c r="A138" s="1186" t="s">
        <v>27</v>
      </c>
      <c r="B138" s="1186" t="s">
        <v>17</v>
      </c>
      <c r="C138" s="1186">
        <v>63</v>
      </c>
      <c r="D138" s="1186">
        <v>4</v>
      </c>
      <c r="E138" s="1186">
        <v>3</v>
      </c>
      <c r="F138" s="1186">
        <v>3</v>
      </c>
      <c r="G138" s="1186">
        <v>1</v>
      </c>
      <c r="H138" s="1186"/>
      <c r="I138" s="1186">
        <v>1</v>
      </c>
      <c r="J138" s="1186">
        <v>4</v>
      </c>
      <c r="K138" s="1186"/>
      <c r="L138" s="1186">
        <v>3</v>
      </c>
      <c r="M138" s="1186"/>
      <c r="N138" s="1186">
        <v>1</v>
      </c>
      <c r="O138" s="1186"/>
      <c r="P138" s="1186">
        <v>1</v>
      </c>
      <c r="Q138" s="1186">
        <v>42</v>
      </c>
    </row>
    <row r="139" spans="1:17" x14ac:dyDescent="0.2">
      <c r="A139" s="1186" t="s">
        <v>28</v>
      </c>
      <c r="B139" s="1186" t="s">
        <v>17</v>
      </c>
      <c r="C139" s="1186">
        <v>169</v>
      </c>
      <c r="D139" s="1186">
        <v>8</v>
      </c>
      <c r="E139" s="1186">
        <v>9</v>
      </c>
      <c r="F139" s="1186">
        <v>5</v>
      </c>
      <c r="G139" s="1186">
        <v>7</v>
      </c>
      <c r="H139" s="1186">
        <v>1</v>
      </c>
      <c r="I139" s="1186">
        <v>4</v>
      </c>
      <c r="J139" s="1186">
        <v>3</v>
      </c>
      <c r="K139" s="1186">
        <v>3</v>
      </c>
      <c r="L139" s="1186">
        <v>1</v>
      </c>
      <c r="M139" s="1186">
        <v>5</v>
      </c>
      <c r="N139" s="1186">
        <v>4</v>
      </c>
      <c r="O139" s="1186">
        <v>1</v>
      </c>
      <c r="P139" s="1186">
        <v>6</v>
      </c>
      <c r="Q139" s="1186">
        <v>112</v>
      </c>
    </row>
    <row r="140" spans="1:17" x14ac:dyDescent="0.2">
      <c r="A140" s="1186" t="s">
        <v>29</v>
      </c>
      <c r="B140" s="1186" t="s">
        <v>17</v>
      </c>
      <c r="C140" s="1186">
        <v>279</v>
      </c>
      <c r="D140" s="1186">
        <v>20</v>
      </c>
      <c r="E140" s="1186">
        <v>6</v>
      </c>
      <c r="F140" s="1186"/>
      <c r="G140" s="1186">
        <v>6</v>
      </c>
      <c r="H140" s="1186"/>
      <c r="I140" s="1186">
        <v>2</v>
      </c>
      <c r="J140" s="1186">
        <v>1</v>
      </c>
      <c r="K140" s="1186">
        <v>3</v>
      </c>
      <c r="L140" s="1186">
        <v>2</v>
      </c>
      <c r="M140" s="1186">
        <v>6</v>
      </c>
      <c r="N140" s="1186">
        <v>4</v>
      </c>
      <c r="O140" s="1186">
        <v>4</v>
      </c>
      <c r="P140" s="1186">
        <v>5</v>
      </c>
      <c r="Q140" s="1186">
        <v>220</v>
      </c>
    </row>
    <row r="141" spans="1:17" x14ac:dyDescent="0.2">
      <c r="A141" s="1186" t="s">
        <v>30</v>
      </c>
      <c r="B141" s="1186" t="s">
        <v>17</v>
      </c>
      <c r="C141" s="1186">
        <v>151</v>
      </c>
      <c r="D141" s="1186">
        <v>5</v>
      </c>
      <c r="E141" s="1186">
        <v>10</v>
      </c>
      <c r="F141" s="1186">
        <v>7</v>
      </c>
      <c r="G141" s="1186">
        <v>3</v>
      </c>
      <c r="H141" s="1186">
        <v>1</v>
      </c>
      <c r="I141" s="1186">
        <v>2</v>
      </c>
      <c r="J141" s="1186">
        <v>3</v>
      </c>
      <c r="K141" s="1186">
        <v>1</v>
      </c>
      <c r="L141" s="1186">
        <v>2</v>
      </c>
      <c r="M141" s="1186">
        <v>3</v>
      </c>
      <c r="N141" s="1186">
        <v>3</v>
      </c>
      <c r="O141" s="1186">
        <v>1</v>
      </c>
      <c r="P141" s="1186">
        <v>3</v>
      </c>
      <c r="Q141" s="1186">
        <v>107</v>
      </c>
    </row>
    <row r="142" spans="1:17" x14ac:dyDescent="0.2">
      <c r="A142" s="1186" t="s">
        <v>31</v>
      </c>
      <c r="B142" s="1186" t="s">
        <v>17</v>
      </c>
      <c r="C142" s="1186">
        <v>85</v>
      </c>
      <c r="D142" s="1186">
        <v>6</v>
      </c>
      <c r="E142" s="1186">
        <v>4</v>
      </c>
      <c r="F142" s="1186"/>
      <c r="G142" s="1186">
        <v>3</v>
      </c>
      <c r="H142" s="1186"/>
      <c r="I142" s="1186">
        <v>2</v>
      </c>
      <c r="J142" s="1186">
        <v>3</v>
      </c>
      <c r="K142" s="1186">
        <v>5</v>
      </c>
      <c r="L142" s="1186">
        <v>1</v>
      </c>
      <c r="M142" s="1186">
        <v>1</v>
      </c>
      <c r="N142" s="1186"/>
      <c r="O142" s="1186"/>
      <c r="P142" s="1186">
        <v>3</v>
      </c>
      <c r="Q142" s="1186">
        <v>57</v>
      </c>
    </row>
    <row r="143" spans="1:17" x14ac:dyDescent="0.2">
      <c r="A143" s="1186" t="s">
        <v>32</v>
      </c>
      <c r="B143" s="1186" t="s">
        <v>17</v>
      </c>
      <c r="C143" s="1186">
        <v>120</v>
      </c>
      <c r="D143" s="1186">
        <v>10</v>
      </c>
      <c r="E143" s="1186">
        <v>9</v>
      </c>
      <c r="F143" s="1186">
        <v>5</v>
      </c>
      <c r="G143" s="1186"/>
      <c r="H143" s="1186"/>
      <c r="I143" s="1186">
        <v>1</v>
      </c>
      <c r="J143" s="1186"/>
      <c r="K143" s="1186">
        <v>2</v>
      </c>
      <c r="L143" s="1186">
        <v>2</v>
      </c>
      <c r="M143" s="1186">
        <v>2</v>
      </c>
      <c r="N143" s="1186">
        <v>1</v>
      </c>
      <c r="O143" s="1186">
        <v>1</v>
      </c>
      <c r="P143" s="1186">
        <v>4</v>
      </c>
      <c r="Q143" s="1186">
        <v>83</v>
      </c>
    </row>
    <row r="144" spans="1:17" x14ac:dyDescent="0.2">
      <c r="A144" s="1186" t="s">
        <v>33</v>
      </c>
      <c r="B144" s="1186" t="s">
        <v>17</v>
      </c>
      <c r="C144" s="1186">
        <v>89</v>
      </c>
      <c r="D144" s="1186">
        <v>2</v>
      </c>
      <c r="E144" s="1186">
        <v>7</v>
      </c>
      <c r="F144" s="1186">
        <v>1</v>
      </c>
      <c r="G144" s="1186">
        <v>1</v>
      </c>
      <c r="H144" s="1186">
        <v>2</v>
      </c>
      <c r="I144" s="1186"/>
      <c r="J144" s="1186">
        <v>1</v>
      </c>
      <c r="K144" s="1186">
        <v>3</v>
      </c>
      <c r="L144" s="1186">
        <v>1</v>
      </c>
      <c r="M144" s="1186">
        <v>3</v>
      </c>
      <c r="N144" s="1186"/>
      <c r="O144" s="1186">
        <v>1</v>
      </c>
      <c r="P144" s="1186">
        <v>3</v>
      </c>
      <c r="Q144" s="1186">
        <v>64</v>
      </c>
    </row>
    <row r="145" spans="1:17" x14ac:dyDescent="0.2">
      <c r="A145" s="1186" t="s">
        <v>34</v>
      </c>
      <c r="B145" s="1186" t="s">
        <v>17</v>
      </c>
      <c r="C145" s="1186">
        <v>200</v>
      </c>
      <c r="D145" s="1186">
        <v>4</v>
      </c>
      <c r="E145" s="1186">
        <v>12</v>
      </c>
      <c r="F145" s="1186"/>
      <c r="G145" s="1186">
        <v>13</v>
      </c>
      <c r="H145" s="1186">
        <v>2</v>
      </c>
      <c r="I145" s="1186">
        <v>3</v>
      </c>
      <c r="J145" s="1186">
        <v>11</v>
      </c>
      <c r="K145" s="1186">
        <v>2</v>
      </c>
      <c r="L145" s="1186">
        <v>3</v>
      </c>
      <c r="M145" s="1186">
        <v>4</v>
      </c>
      <c r="N145" s="1186">
        <v>3</v>
      </c>
      <c r="O145" s="1186">
        <v>8</v>
      </c>
      <c r="P145" s="1186">
        <v>5</v>
      </c>
      <c r="Q145" s="1186">
        <v>130</v>
      </c>
    </row>
    <row r="146" spans="1:17" x14ac:dyDescent="0.2">
      <c r="A146" s="1186" t="s">
        <v>35</v>
      </c>
      <c r="B146" s="1186" t="s">
        <v>17</v>
      </c>
      <c r="C146" s="1186">
        <v>358</v>
      </c>
      <c r="D146" s="1186">
        <v>14</v>
      </c>
      <c r="E146" s="1186">
        <v>33</v>
      </c>
      <c r="F146" s="1186">
        <v>6</v>
      </c>
      <c r="G146" s="1186">
        <v>22</v>
      </c>
      <c r="H146" s="1186">
        <v>3</v>
      </c>
      <c r="I146" s="1186">
        <v>2</v>
      </c>
      <c r="J146" s="1186">
        <v>2</v>
      </c>
      <c r="K146" s="1186">
        <v>4</v>
      </c>
      <c r="L146" s="1186">
        <v>9</v>
      </c>
      <c r="M146" s="1186">
        <v>12</v>
      </c>
      <c r="N146" s="1186">
        <v>11</v>
      </c>
      <c r="O146" s="1186">
        <v>2</v>
      </c>
      <c r="P146" s="1186">
        <v>7</v>
      </c>
      <c r="Q146" s="1186">
        <v>231</v>
      </c>
    </row>
    <row r="147" spans="1:17" x14ac:dyDescent="0.2">
      <c r="A147" s="1186" t="s">
        <v>36</v>
      </c>
      <c r="B147" s="1186" t="s">
        <v>17</v>
      </c>
      <c r="C147" s="1186">
        <v>1341</v>
      </c>
      <c r="D147" s="1186">
        <v>86</v>
      </c>
      <c r="E147" s="1186">
        <v>29</v>
      </c>
      <c r="F147" s="1186"/>
      <c r="G147" s="1186">
        <v>26</v>
      </c>
      <c r="H147" s="1186">
        <v>10</v>
      </c>
      <c r="I147" s="1186">
        <v>38</v>
      </c>
      <c r="J147" s="1186">
        <v>21</v>
      </c>
      <c r="K147" s="1186">
        <v>20</v>
      </c>
      <c r="L147" s="1186">
        <v>23</v>
      </c>
      <c r="M147" s="1186">
        <v>51</v>
      </c>
      <c r="N147" s="1186">
        <v>33</v>
      </c>
      <c r="O147" s="1186">
        <v>45</v>
      </c>
      <c r="P147" s="1186">
        <v>43</v>
      </c>
      <c r="Q147" s="1186">
        <v>916</v>
      </c>
    </row>
    <row r="148" spans="1:17" x14ac:dyDescent="0.2">
      <c r="A148" s="1186" t="s">
        <v>37</v>
      </c>
      <c r="B148" s="1186" t="s">
        <v>17</v>
      </c>
      <c r="C148" s="1186">
        <v>228</v>
      </c>
      <c r="D148" s="1186">
        <v>21</v>
      </c>
      <c r="E148" s="1186">
        <v>9</v>
      </c>
      <c r="F148" s="1186">
        <v>6</v>
      </c>
      <c r="G148" s="1186">
        <v>15</v>
      </c>
      <c r="H148" s="1186">
        <v>1</v>
      </c>
      <c r="I148" s="1186"/>
      <c r="J148" s="1186">
        <v>2</v>
      </c>
      <c r="K148" s="1186">
        <v>7</v>
      </c>
      <c r="L148" s="1186">
        <v>8</v>
      </c>
      <c r="M148" s="1186">
        <v>6</v>
      </c>
      <c r="N148" s="1186">
        <v>1</v>
      </c>
      <c r="O148" s="1186">
        <v>3</v>
      </c>
      <c r="P148" s="1186">
        <v>6</v>
      </c>
      <c r="Q148" s="1186">
        <v>143</v>
      </c>
    </row>
    <row r="149" spans="1:17" x14ac:dyDescent="0.2">
      <c r="A149" s="1186" t="s">
        <v>38</v>
      </c>
      <c r="B149" s="1186" t="s">
        <v>17</v>
      </c>
      <c r="C149" s="1186">
        <v>137</v>
      </c>
      <c r="D149" s="1186">
        <v>3</v>
      </c>
      <c r="E149" s="1186">
        <v>5</v>
      </c>
      <c r="F149" s="1186"/>
      <c r="G149" s="1186">
        <v>2</v>
      </c>
      <c r="H149" s="1186"/>
      <c r="I149" s="1186">
        <v>2</v>
      </c>
      <c r="J149" s="1186"/>
      <c r="K149" s="1186">
        <v>1</v>
      </c>
      <c r="L149" s="1186">
        <v>2</v>
      </c>
      <c r="M149" s="1186">
        <v>3</v>
      </c>
      <c r="N149" s="1186">
        <v>5</v>
      </c>
      <c r="O149" s="1186">
        <v>2</v>
      </c>
      <c r="P149" s="1186">
        <v>6</v>
      </c>
      <c r="Q149" s="1186">
        <v>106</v>
      </c>
    </row>
    <row r="150" spans="1:17" x14ac:dyDescent="0.2">
      <c r="A150" s="1186" t="s">
        <v>39</v>
      </c>
      <c r="B150" s="1186" t="s">
        <v>17</v>
      </c>
      <c r="C150" s="1186">
        <v>96</v>
      </c>
      <c r="D150" s="1186">
        <v>5</v>
      </c>
      <c r="E150" s="1186">
        <v>10</v>
      </c>
      <c r="F150" s="1186">
        <v>4</v>
      </c>
      <c r="G150" s="1186"/>
      <c r="H150" s="1186"/>
      <c r="I150" s="1186"/>
      <c r="J150" s="1186"/>
      <c r="K150" s="1186">
        <v>1</v>
      </c>
      <c r="L150" s="1186">
        <v>1</v>
      </c>
      <c r="M150" s="1186">
        <v>3</v>
      </c>
      <c r="N150" s="1186">
        <v>4</v>
      </c>
      <c r="O150" s="1186">
        <v>1</v>
      </c>
      <c r="P150" s="1186">
        <v>1</v>
      </c>
      <c r="Q150" s="1186">
        <v>66</v>
      </c>
    </row>
    <row r="151" spans="1:17" x14ac:dyDescent="0.2">
      <c r="A151" s="1186" t="s">
        <v>40</v>
      </c>
      <c r="B151" s="1186" t="s">
        <v>17</v>
      </c>
      <c r="C151" s="1186">
        <v>119</v>
      </c>
      <c r="D151" s="1186">
        <v>9</v>
      </c>
      <c r="E151" s="1186">
        <v>5</v>
      </c>
      <c r="F151" s="1186">
        <v>6</v>
      </c>
      <c r="G151" s="1186">
        <v>5</v>
      </c>
      <c r="H151" s="1186"/>
      <c r="I151" s="1186">
        <v>1</v>
      </c>
      <c r="J151" s="1186">
        <v>2</v>
      </c>
      <c r="K151" s="1186"/>
      <c r="L151" s="1186">
        <v>3</v>
      </c>
      <c r="M151" s="1186">
        <v>6</v>
      </c>
      <c r="N151" s="1186">
        <v>1</v>
      </c>
      <c r="O151" s="1186"/>
      <c r="P151" s="1186">
        <v>7</v>
      </c>
      <c r="Q151" s="1186">
        <v>74</v>
      </c>
    </row>
    <row r="152" spans="1:17" x14ac:dyDescent="0.2">
      <c r="A152" s="1186" t="s">
        <v>295</v>
      </c>
      <c r="B152" s="1186" t="s">
        <v>17</v>
      </c>
      <c r="C152" s="1186">
        <v>20</v>
      </c>
      <c r="D152" s="1186">
        <v>4</v>
      </c>
      <c r="E152" s="1186">
        <v>2</v>
      </c>
      <c r="F152" s="1186">
        <v>1</v>
      </c>
      <c r="G152" s="1186"/>
      <c r="H152" s="1186"/>
      <c r="I152" s="1186"/>
      <c r="J152" s="1186"/>
      <c r="K152" s="1186"/>
      <c r="L152" s="1186">
        <v>1</v>
      </c>
      <c r="M152" s="1186"/>
      <c r="N152" s="1186"/>
      <c r="O152" s="1186">
        <v>1</v>
      </c>
      <c r="P152" s="1186"/>
      <c r="Q152" s="1186">
        <v>11</v>
      </c>
    </row>
    <row r="153" spans="1:17" x14ac:dyDescent="0.2">
      <c r="A153" s="1186" t="s">
        <v>41</v>
      </c>
      <c r="B153" s="1186" t="s">
        <v>17</v>
      </c>
      <c r="C153" s="1186">
        <v>190</v>
      </c>
      <c r="D153" s="1186">
        <v>8</v>
      </c>
      <c r="E153" s="1186">
        <v>5</v>
      </c>
      <c r="F153" s="1186">
        <v>3</v>
      </c>
      <c r="G153" s="1186">
        <v>5</v>
      </c>
      <c r="H153" s="1186">
        <v>2</v>
      </c>
      <c r="I153" s="1186">
        <v>1</v>
      </c>
      <c r="J153" s="1186">
        <v>1</v>
      </c>
      <c r="K153" s="1186">
        <v>2</v>
      </c>
      <c r="L153" s="1186">
        <v>3</v>
      </c>
      <c r="M153" s="1186">
        <v>3</v>
      </c>
      <c r="N153" s="1186">
        <v>5</v>
      </c>
      <c r="O153" s="1186">
        <v>1</v>
      </c>
      <c r="P153" s="1186">
        <v>3</v>
      </c>
      <c r="Q153" s="1186">
        <v>148</v>
      </c>
    </row>
    <row r="154" spans="1:17" x14ac:dyDescent="0.2">
      <c r="A154" s="1186" t="s">
        <v>42</v>
      </c>
      <c r="B154" s="1186" t="s">
        <v>17</v>
      </c>
      <c r="C154" s="1186">
        <v>450</v>
      </c>
      <c r="D154" s="1186">
        <v>15</v>
      </c>
      <c r="E154" s="1186">
        <v>36</v>
      </c>
      <c r="F154" s="1186">
        <v>3</v>
      </c>
      <c r="G154" s="1186">
        <v>14</v>
      </c>
      <c r="H154" s="1186">
        <v>7</v>
      </c>
      <c r="I154" s="1186">
        <v>10</v>
      </c>
      <c r="J154" s="1186">
        <v>9</v>
      </c>
      <c r="K154" s="1186">
        <v>8</v>
      </c>
      <c r="L154" s="1186">
        <v>6</v>
      </c>
      <c r="M154" s="1186">
        <v>9</v>
      </c>
      <c r="N154" s="1186">
        <v>5</v>
      </c>
      <c r="O154" s="1186">
        <v>5</v>
      </c>
      <c r="P154" s="1186">
        <v>8</v>
      </c>
      <c r="Q154" s="1186">
        <v>315</v>
      </c>
    </row>
    <row r="155" spans="1:17" x14ac:dyDescent="0.2">
      <c r="A155" s="1186" t="s">
        <v>43</v>
      </c>
      <c r="B155" s="1186" t="s">
        <v>17</v>
      </c>
      <c r="C155" s="1186">
        <v>21</v>
      </c>
      <c r="D155" s="1186">
        <v>3</v>
      </c>
      <c r="E155" s="1186">
        <v>3</v>
      </c>
      <c r="F155" s="1186">
        <v>1</v>
      </c>
      <c r="G155" s="1186">
        <v>1</v>
      </c>
      <c r="H155" s="1186"/>
      <c r="I155" s="1186"/>
      <c r="J155" s="1186"/>
      <c r="K155" s="1186"/>
      <c r="L155" s="1186"/>
      <c r="M155" s="1186">
        <v>3</v>
      </c>
      <c r="N155" s="1186"/>
      <c r="O155" s="1186"/>
      <c r="P155" s="1186"/>
      <c r="Q155" s="1186">
        <v>10</v>
      </c>
    </row>
    <row r="156" spans="1:17" x14ac:dyDescent="0.2">
      <c r="A156" s="1186" t="s">
        <v>44</v>
      </c>
      <c r="B156" s="1186" t="s">
        <v>17</v>
      </c>
      <c r="C156" s="1186">
        <v>163</v>
      </c>
      <c r="D156" s="1186">
        <v>9</v>
      </c>
      <c r="E156" s="1186">
        <v>5</v>
      </c>
      <c r="F156" s="1186">
        <v>2</v>
      </c>
      <c r="G156" s="1186">
        <v>5</v>
      </c>
      <c r="H156" s="1186">
        <v>1</v>
      </c>
      <c r="I156" s="1186"/>
      <c r="J156" s="1186">
        <v>12</v>
      </c>
      <c r="K156" s="1186"/>
      <c r="L156" s="1186">
        <v>7</v>
      </c>
      <c r="M156" s="1186">
        <v>5</v>
      </c>
      <c r="N156" s="1186">
        <v>1</v>
      </c>
      <c r="O156" s="1186">
        <v>5</v>
      </c>
      <c r="P156" s="1186">
        <v>6</v>
      </c>
      <c r="Q156" s="1186">
        <v>105</v>
      </c>
    </row>
    <row r="157" spans="1:17" x14ac:dyDescent="0.2">
      <c r="A157" s="1186" t="s">
        <v>45</v>
      </c>
      <c r="B157" s="1186" t="s">
        <v>17</v>
      </c>
      <c r="C157" s="1186">
        <v>339</v>
      </c>
      <c r="D157" s="1186">
        <v>15</v>
      </c>
      <c r="E157" s="1186">
        <v>13</v>
      </c>
      <c r="F157" s="1186">
        <v>2</v>
      </c>
      <c r="G157" s="1186">
        <v>9</v>
      </c>
      <c r="H157" s="1186">
        <v>1</v>
      </c>
      <c r="I157" s="1186">
        <v>2</v>
      </c>
      <c r="J157" s="1186">
        <v>2</v>
      </c>
      <c r="K157" s="1186">
        <v>4</v>
      </c>
      <c r="L157" s="1186">
        <v>5</v>
      </c>
      <c r="M157" s="1186">
        <v>5</v>
      </c>
      <c r="N157" s="1186">
        <v>5</v>
      </c>
      <c r="O157" s="1186">
        <v>7</v>
      </c>
      <c r="P157" s="1186">
        <v>7</v>
      </c>
      <c r="Q157" s="1186">
        <v>262</v>
      </c>
    </row>
    <row r="158" spans="1:17" x14ac:dyDescent="0.2">
      <c r="A158" s="1186" t="s">
        <v>46</v>
      </c>
      <c r="B158" s="1186" t="s">
        <v>17</v>
      </c>
      <c r="C158" s="1186">
        <v>139</v>
      </c>
      <c r="D158" s="1186">
        <v>8</v>
      </c>
      <c r="E158" s="1186">
        <v>3</v>
      </c>
      <c r="F158" s="1186">
        <v>2</v>
      </c>
      <c r="G158" s="1186">
        <v>4</v>
      </c>
      <c r="H158" s="1186"/>
      <c r="I158" s="1186">
        <v>2</v>
      </c>
      <c r="J158" s="1186">
        <v>1</v>
      </c>
      <c r="K158" s="1186">
        <v>1</v>
      </c>
      <c r="L158" s="1186">
        <v>2</v>
      </c>
      <c r="M158" s="1186">
        <v>2</v>
      </c>
      <c r="N158" s="1186">
        <v>2</v>
      </c>
      <c r="O158" s="1186">
        <v>1</v>
      </c>
      <c r="P158" s="1186">
        <v>1</v>
      </c>
      <c r="Q158" s="1186">
        <v>110</v>
      </c>
    </row>
    <row r="159" spans="1:17" x14ac:dyDescent="0.2">
      <c r="A159" s="1186" t="s">
        <v>47</v>
      </c>
      <c r="B159" s="1186" t="s">
        <v>17</v>
      </c>
      <c r="C159" s="1186">
        <v>15</v>
      </c>
      <c r="D159" s="1186">
        <v>1</v>
      </c>
      <c r="E159" s="1186">
        <v>3</v>
      </c>
      <c r="F159" s="1186"/>
      <c r="G159" s="1186"/>
      <c r="H159" s="1186"/>
      <c r="I159" s="1186"/>
      <c r="J159" s="1186"/>
      <c r="K159" s="1186"/>
      <c r="L159" s="1186"/>
      <c r="M159" s="1186"/>
      <c r="N159" s="1186"/>
      <c r="O159" s="1186"/>
      <c r="P159" s="1186"/>
      <c r="Q159" s="1186">
        <v>11</v>
      </c>
    </row>
    <row r="160" spans="1:17" x14ac:dyDescent="0.2">
      <c r="A160" s="1186" t="s">
        <v>48</v>
      </c>
      <c r="B160" s="1186" t="s">
        <v>17</v>
      </c>
      <c r="C160" s="1186">
        <v>141</v>
      </c>
      <c r="D160" s="1186">
        <v>13</v>
      </c>
      <c r="E160" s="1186">
        <v>8</v>
      </c>
      <c r="F160" s="1186"/>
      <c r="G160" s="1186">
        <v>3</v>
      </c>
      <c r="H160" s="1186"/>
      <c r="I160" s="1186">
        <v>2</v>
      </c>
      <c r="J160" s="1186">
        <v>1</v>
      </c>
      <c r="K160" s="1186">
        <v>2</v>
      </c>
      <c r="L160" s="1186">
        <v>3</v>
      </c>
      <c r="M160" s="1186">
        <v>5</v>
      </c>
      <c r="N160" s="1186">
        <v>5</v>
      </c>
      <c r="O160" s="1186">
        <v>2</v>
      </c>
      <c r="P160" s="1186">
        <v>4</v>
      </c>
      <c r="Q160" s="1186">
        <v>93</v>
      </c>
    </row>
    <row r="161" spans="1:17" x14ac:dyDescent="0.2">
      <c r="A161" s="1186" t="s">
        <v>49</v>
      </c>
      <c r="B161" s="1186" t="s">
        <v>17</v>
      </c>
      <c r="C161" s="1186">
        <v>360</v>
      </c>
      <c r="D161" s="1186">
        <v>10</v>
      </c>
      <c r="E161" s="1186">
        <v>33</v>
      </c>
      <c r="F161" s="1186">
        <v>2</v>
      </c>
      <c r="G161" s="1186">
        <v>10</v>
      </c>
      <c r="H161" s="1186">
        <v>1</v>
      </c>
      <c r="I161" s="1186">
        <v>5</v>
      </c>
      <c r="J161" s="1186">
        <v>1</v>
      </c>
      <c r="K161" s="1186">
        <v>8</v>
      </c>
      <c r="L161" s="1186">
        <v>8</v>
      </c>
      <c r="M161" s="1186">
        <v>14</v>
      </c>
      <c r="N161" s="1186">
        <v>3</v>
      </c>
      <c r="O161" s="1186">
        <v>1</v>
      </c>
      <c r="P161" s="1186">
        <v>1</v>
      </c>
      <c r="Q161" s="1186">
        <v>263</v>
      </c>
    </row>
    <row r="162" spans="1:17" x14ac:dyDescent="0.2">
      <c r="A162" s="1186" t="s">
        <v>50</v>
      </c>
      <c r="B162" s="1186" t="s">
        <v>17</v>
      </c>
      <c r="C162" s="1186">
        <v>118</v>
      </c>
      <c r="D162" s="1186">
        <v>11</v>
      </c>
      <c r="E162" s="1186">
        <v>4</v>
      </c>
      <c r="F162" s="1186">
        <v>1</v>
      </c>
      <c r="G162" s="1186">
        <v>10</v>
      </c>
      <c r="H162" s="1186">
        <v>1</v>
      </c>
      <c r="I162" s="1186"/>
      <c r="J162" s="1186">
        <v>5</v>
      </c>
      <c r="K162" s="1186">
        <v>3</v>
      </c>
      <c r="L162" s="1186">
        <v>1</v>
      </c>
      <c r="M162" s="1186">
        <v>6</v>
      </c>
      <c r="N162" s="1186"/>
      <c r="O162" s="1186">
        <v>1</v>
      </c>
      <c r="P162" s="1186">
        <v>3</v>
      </c>
      <c r="Q162" s="1186">
        <v>72</v>
      </c>
    </row>
    <row r="163" spans="1:17" x14ac:dyDescent="0.2">
      <c r="A163" s="1186" t="s">
        <v>51</v>
      </c>
      <c r="B163" s="1186" t="s">
        <v>17</v>
      </c>
      <c r="C163" s="1186">
        <v>170</v>
      </c>
      <c r="D163" s="1186">
        <v>5</v>
      </c>
      <c r="E163" s="1186">
        <v>8</v>
      </c>
      <c r="F163" s="1186">
        <v>1</v>
      </c>
      <c r="G163" s="1186">
        <v>2</v>
      </c>
      <c r="H163" s="1186"/>
      <c r="I163" s="1186">
        <v>1</v>
      </c>
      <c r="J163" s="1186">
        <v>1</v>
      </c>
      <c r="K163" s="1186">
        <v>3</v>
      </c>
      <c r="L163" s="1186">
        <v>3</v>
      </c>
      <c r="M163" s="1186">
        <v>3</v>
      </c>
      <c r="N163" s="1186">
        <v>3</v>
      </c>
      <c r="O163" s="1186">
        <v>3</v>
      </c>
      <c r="P163" s="1186">
        <v>4</v>
      </c>
      <c r="Q163" s="1186">
        <v>133</v>
      </c>
    </row>
    <row r="164" spans="1:17" x14ac:dyDescent="0.2">
      <c r="A164" s="1186" t="s">
        <v>52</v>
      </c>
      <c r="B164" s="1186" t="s">
        <v>17</v>
      </c>
      <c r="C164" s="1186">
        <v>269</v>
      </c>
      <c r="D164" s="1186">
        <v>6</v>
      </c>
      <c r="E164" s="1186">
        <v>19</v>
      </c>
      <c r="F164" s="1186">
        <v>1</v>
      </c>
      <c r="G164" s="1186">
        <v>9</v>
      </c>
      <c r="H164" s="1186">
        <v>3</v>
      </c>
      <c r="I164" s="1186">
        <v>3</v>
      </c>
      <c r="J164" s="1186">
        <v>11</v>
      </c>
      <c r="K164" s="1186">
        <v>4</v>
      </c>
      <c r="L164" s="1186">
        <v>6</v>
      </c>
      <c r="M164" s="1186">
        <v>6</v>
      </c>
      <c r="N164" s="1186">
        <v>5</v>
      </c>
      <c r="O164" s="1186">
        <v>5</v>
      </c>
      <c r="P164" s="1186">
        <v>3</v>
      </c>
      <c r="Q164" s="1186">
        <v>188</v>
      </c>
    </row>
    <row r="165" spans="1:17" x14ac:dyDescent="0.2">
      <c r="A165" s="1186" t="s">
        <v>23</v>
      </c>
      <c r="B165" s="1186" t="s">
        <v>133</v>
      </c>
      <c r="C165" s="1186">
        <v>445</v>
      </c>
      <c r="D165" s="1186">
        <v>29</v>
      </c>
      <c r="E165" s="1186">
        <v>10</v>
      </c>
      <c r="F165" s="1186"/>
      <c r="G165" s="1186">
        <v>14</v>
      </c>
      <c r="H165" s="1186">
        <v>1</v>
      </c>
      <c r="I165" s="1186">
        <v>7</v>
      </c>
      <c r="J165" s="1186">
        <v>3</v>
      </c>
      <c r="K165" s="1186">
        <v>5</v>
      </c>
      <c r="L165" s="1186">
        <v>14</v>
      </c>
      <c r="M165" s="1186">
        <v>16</v>
      </c>
      <c r="N165" s="1186">
        <v>12</v>
      </c>
      <c r="O165" s="1186">
        <v>10</v>
      </c>
      <c r="P165" s="1186">
        <v>4</v>
      </c>
      <c r="Q165" s="1186">
        <v>320</v>
      </c>
    </row>
    <row r="166" spans="1:17" x14ac:dyDescent="0.2">
      <c r="A166" s="1186" t="s">
        <v>24</v>
      </c>
      <c r="B166" s="1186" t="s">
        <v>133</v>
      </c>
      <c r="C166" s="1186">
        <v>308</v>
      </c>
      <c r="D166" s="1186">
        <v>18</v>
      </c>
      <c r="E166" s="1186">
        <v>19</v>
      </c>
      <c r="F166" s="1186">
        <v>13</v>
      </c>
      <c r="G166" s="1186">
        <v>17</v>
      </c>
      <c r="H166" s="1186">
        <v>2</v>
      </c>
      <c r="I166" s="1186">
        <v>4</v>
      </c>
      <c r="J166" s="1186">
        <v>6</v>
      </c>
      <c r="K166" s="1186">
        <v>4</v>
      </c>
      <c r="L166" s="1186">
        <v>4</v>
      </c>
      <c r="M166" s="1186">
        <v>7</v>
      </c>
      <c r="N166" s="1186">
        <v>6</v>
      </c>
      <c r="O166" s="1186">
        <v>3</v>
      </c>
      <c r="P166" s="1186">
        <v>5</v>
      </c>
      <c r="Q166" s="1186">
        <v>200</v>
      </c>
    </row>
    <row r="167" spans="1:17" x14ac:dyDescent="0.2">
      <c r="A167" s="1186" t="s">
        <v>25</v>
      </c>
      <c r="B167" s="1186" t="s">
        <v>133</v>
      </c>
      <c r="C167" s="1186">
        <v>148</v>
      </c>
      <c r="D167" s="1186">
        <v>7</v>
      </c>
      <c r="E167" s="1186">
        <v>6</v>
      </c>
      <c r="F167" s="1186">
        <v>2</v>
      </c>
      <c r="G167" s="1186">
        <v>5</v>
      </c>
      <c r="H167" s="1186"/>
      <c r="I167" s="1186">
        <v>1</v>
      </c>
      <c r="J167" s="1186">
        <v>1</v>
      </c>
      <c r="K167" s="1186">
        <v>2</v>
      </c>
      <c r="L167" s="1186">
        <v>2</v>
      </c>
      <c r="M167" s="1186">
        <v>3</v>
      </c>
      <c r="N167" s="1186">
        <v>2</v>
      </c>
      <c r="O167" s="1186">
        <v>1</v>
      </c>
      <c r="P167" s="1186">
        <v>3</v>
      </c>
      <c r="Q167" s="1186">
        <v>113</v>
      </c>
    </row>
    <row r="168" spans="1:17" x14ac:dyDescent="0.2">
      <c r="A168" s="1186" t="s">
        <v>26</v>
      </c>
      <c r="B168" s="1186" t="s">
        <v>133</v>
      </c>
      <c r="C168" s="1186">
        <v>124</v>
      </c>
      <c r="D168" s="1186">
        <v>8</v>
      </c>
      <c r="E168" s="1186">
        <v>5</v>
      </c>
      <c r="F168" s="1186">
        <v>2</v>
      </c>
      <c r="G168" s="1186">
        <v>5</v>
      </c>
      <c r="H168" s="1186"/>
      <c r="I168" s="1186">
        <v>2</v>
      </c>
      <c r="J168" s="1186"/>
      <c r="K168" s="1186">
        <v>3</v>
      </c>
      <c r="L168" s="1186">
        <v>3</v>
      </c>
      <c r="M168" s="1186">
        <v>4</v>
      </c>
      <c r="N168" s="1186">
        <v>1</v>
      </c>
      <c r="O168" s="1186">
        <v>1</v>
      </c>
      <c r="P168" s="1186">
        <v>2</v>
      </c>
      <c r="Q168" s="1186">
        <v>88</v>
      </c>
    </row>
    <row r="169" spans="1:17" x14ac:dyDescent="0.2">
      <c r="A169" s="1186" t="s">
        <v>619</v>
      </c>
      <c r="B169" s="1186" t="s">
        <v>133</v>
      </c>
      <c r="C169" s="1186">
        <v>936</v>
      </c>
      <c r="D169" s="1186">
        <v>74</v>
      </c>
      <c r="E169" s="1186">
        <v>15</v>
      </c>
      <c r="F169" s="1186">
        <v>2</v>
      </c>
      <c r="G169" s="1186">
        <v>18</v>
      </c>
      <c r="H169" s="1186"/>
      <c r="I169" s="1186">
        <v>20</v>
      </c>
      <c r="J169" s="1186">
        <v>5</v>
      </c>
      <c r="K169" s="1186">
        <v>14</v>
      </c>
      <c r="L169" s="1186">
        <v>38</v>
      </c>
      <c r="M169" s="1186">
        <v>26</v>
      </c>
      <c r="N169" s="1186">
        <v>18</v>
      </c>
      <c r="O169" s="1186">
        <v>24</v>
      </c>
      <c r="P169" s="1186">
        <v>19</v>
      </c>
      <c r="Q169" s="1186">
        <v>663</v>
      </c>
    </row>
    <row r="170" spans="1:17" x14ac:dyDescent="0.2">
      <c r="A170" s="1186" t="s">
        <v>27</v>
      </c>
      <c r="B170" s="1186" t="s">
        <v>133</v>
      </c>
      <c r="C170" s="1186">
        <v>72</v>
      </c>
      <c r="D170" s="1186">
        <v>3</v>
      </c>
      <c r="E170" s="1186">
        <v>4</v>
      </c>
      <c r="F170" s="1186"/>
      <c r="G170" s="1186">
        <v>4</v>
      </c>
      <c r="H170" s="1186"/>
      <c r="I170" s="1186"/>
      <c r="J170" s="1186">
        <v>2</v>
      </c>
      <c r="K170" s="1186">
        <v>1</v>
      </c>
      <c r="L170" s="1186">
        <v>2</v>
      </c>
      <c r="M170" s="1186">
        <v>1</v>
      </c>
      <c r="N170" s="1186">
        <v>3</v>
      </c>
      <c r="O170" s="1186"/>
      <c r="P170" s="1186">
        <v>3</v>
      </c>
      <c r="Q170" s="1186">
        <v>49</v>
      </c>
    </row>
    <row r="171" spans="1:17" x14ac:dyDescent="0.2">
      <c r="A171" s="1186" t="s">
        <v>28</v>
      </c>
      <c r="B171" s="1186" t="s">
        <v>133</v>
      </c>
      <c r="C171" s="1186">
        <v>147</v>
      </c>
      <c r="D171" s="1186">
        <v>6</v>
      </c>
      <c r="E171" s="1186">
        <v>7</v>
      </c>
      <c r="F171" s="1186">
        <v>8</v>
      </c>
      <c r="G171" s="1186">
        <v>4</v>
      </c>
      <c r="H171" s="1186"/>
      <c r="I171" s="1186">
        <v>4</v>
      </c>
      <c r="J171" s="1186">
        <v>5</v>
      </c>
      <c r="K171" s="1186">
        <v>1</v>
      </c>
      <c r="L171" s="1186">
        <v>2</v>
      </c>
      <c r="M171" s="1186">
        <v>5</v>
      </c>
      <c r="N171" s="1186">
        <v>2</v>
      </c>
      <c r="O171" s="1186">
        <v>2</v>
      </c>
      <c r="P171" s="1186">
        <v>3</v>
      </c>
      <c r="Q171" s="1186">
        <v>98</v>
      </c>
    </row>
    <row r="172" spans="1:17" x14ac:dyDescent="0.2">
      <c r="A172" s="1186" t="s">
        <v>29</v>
      </c>
      <c r="B172" s="1186" t="s">
        <v>133</v>
      </c>
      <c r="C172" s="1186">
        <v>283</v>
      </c>
      <c r="D172" s="1186">
        <v>15</v>
      </c>
      <c r="E172" s="1186">
        <v>8</v>
      </c>
      <c r="F172" s="1186"/>
      <c r="G172" s="1186">
        <v>6</v>
      </c>
      <c r="H172" s="1186">
        <v>1</v>
      </c>
      <c r="I172" s="1186">
        <v>1</v>
      </c>
      <c r="J172" s="1186">
        <v>3</v>
      </c>
      <c r="K172" s="1186">
        <v>2</v>
      </c>
      <c r="L172" s="1186">
        <v>2</v>
      </c>
      <c r="M172" s="1186">
        <v>6</v>
      </c>
      <c r="N172" s="1186">
        <v>11</v>
      </c>
      <c r="O172" s="1186">
        <v>8</v>
      </c>
      <c r="P172" s="1186">
        <v>6</v>
      </c>
      <c r="Q172" s="1186">
        <v>214</v>
      </c>
    </row>
    <row r="173" spans="1:17" x14ac:dyDescent="0.2">
      <c r="A173" s="1186" t="s">
        <v>30</v>
      </c>
      <c r="B173" s="1186" t="s">
        <v>133</v>
      </c>
      <c r="C173" s="1186">
        <v>150</v>
      </c>
      <c r="D173" s="1186">
        <v>3</v>
      </c>
      <c r="E173" s="1186">
        <v>9</v>
      </c>
      <c r="F173" s="1186">
        <v>2</v>
      </c>
      <c r="G173" s="1186">
        <v>1</v>
      </c>
      <c r="H173" s="1186"/>
      <c r="I173" s="1186">
        <v>1</v>
      </c>
      <c r="J173" s="1186">
        <v>4</v>
      </c>
      <c r="K173" s="1186">
        <v>3</v>
      </c>
      <c r="L173" s="1186"/>
      <c r="M173" s="1186">
        <v>5</v>
      </c>
      <c r="N173" s="1186">
        <v>1</v>
      </c>
      <c r="O173" s="1186">
        <v>3</v>
      </c>
      <c r="P173" s="1186">
        <v>5</v>
      </c>
      <c r="Q173" s="1186">
        <v>113</v>
      </c>
    </row>
    <row r="174" spans="1:17" x14ac:dyDescent="0.2">
      <c r="A174" s="1186" t="s">
        <v>31</v>
      </c>
      <c r="B174" s="1186" t="s">
        <v>133</v>
      </c>
      <c r="C174" s="1186">
        <v>98</v>
      </c>
      <c r="D174" s="1186">
        <v>2</v>
      </c>
      <c r="E174" s="1186">
        <v>6</v>
      </c>
      <c r="F174" s="1186"/>
      <c r="G174" s="1186">
        <v>1</v>
      </c>
      <c r="H174" s="1186"/>
      <c r="I174" s="1186"/>
      <c r="J174" s="1186">
        <v>4</v>
      </c>
      <c r="K174" s="1186"/>
      <c r="L174" s="1186">
        <v>1</v>
      </c>
      <c r="M174" s="1186">
        <v>2</v>
      </c>
      <c r="N174" s="1186">
        <v>4</v>
      </c>
      <c r="O174" s="1186"/>
      <c r="P174" s="1186">
        <v>5</v>
      </c>
      <c r="Q174" s="1186">
        <v>73</v>
      </c>
    </row>
    <row r="175" spans="1:17" x14ac:dyDescent="0.2">
      <c r="A175" s="1186" t="s">
        <v>32</v>
      </c>
      <c r="B175" s="1186" t="s">
        <v>133</v>
      </c>
      <c r="C175" s="1186">
        <v>119</v>
      </c>
      <c r="D175" s="1186">
        <v>14</v>
      </c>
      <c r="E175" s="1186">
        <v>3</v>
      </c>
      <c r="F175" s="1186">
        <v>4</v>
      </c>
      <c r="G175" s="1186">
        <v>9</v>
      </c>
      <c r="H175" s="1186"/>
      <c r="I175" s="1186"/>
      <c r="J175" s="1186"/>
      <c r="K175" s="1186">
        <v>1</v>
      </c>
      <c r="L175" s="1186">
        <v>4</v>
      </c>
      <c r="M175" s="1186">
        <v>3</v>
      </c>
      <c r="N175" s="1186">
        <v>3</v>
      </c>
      <c r="O175" s="1186">
        <v>1</v>
      </c>
      <c r="P175" s="1186">
        <v>2</v>
      </c>
      <c r="Q175" s="1186">
        <v>75</v>
      </c>
    </row>
    <row r="176" spans="1:17" x14ac:dyDescent="0.2">
      <c r="A176" s="1186" t="s">
        <v>33</v>
      </c>
      <c r="B176" s="1186" t="s">
        <v>133</v>
      </c>
      <c r="C176" s="1186">
        <v>87</v>
      </c>
      <c r="D176" s="1186">
        <v>1</v>
      </c>
      <c r="E176" s="1186">
        <v>4</v>
      </c>
      <c r="F176" s="1186">
        <v>1</v>
      </c>
      <c r="G176" s="1186">
        <v>1</v>
      </c>
      <c r="H176" s="1186">
        <v>1</v>
      </c>
      <c r="I176" s="1186"/>
      <c r="J176" s="1186"/>
      <c r="K176" s="1186">
        <v>2</v>
      </c>
      <c r="L176" s="1186">
        <v>1</v>
      </c>
      <c r="M176" s="1186">
        <v>2</v>
      </c>
      <c r="N176" s="1186">
        <v>4</v>
      </c>
      <c r="O176" s="1186"/>
      <c r="P176" s="1186"/>
      <c r="Q176" s="1186">
        <v>70</v>
      </c>
    </row>
    <row r="177" spans="1:17" x14ac:dyDescent="0.2">
      <c r="A177" s="1186" t="s">
        <v>34</v>
      </c>
      <c r="B177" s="1186" t="s">
        <v>133</v>
      </c>
      <c r="C177" s="1186">
        <v>169</v>
      </c>
      <c r="D177" s="1186">
        <v>1</v>
      </c>
      <c r="E177" s="1186">
        <v>6</v>
      </c>
      <c r="F177" s="1186">
        <v>1</v>
      </c>
      <c r="G177" s="1186">
        <v>8</v>
      </c>
      <c r="H177" s="1186">
        <v>1</v>
      </c>
      <c r="I177" s="1186">
        <v>1</v>
      </c>
      <c r="J177" s="1186">
        <v>2</v>
      </c>
      <c r="K177" s="1186">
        <v>3</v>
      </c>
      <c r="L177" s="1186">
        <v>6</v>
      </c>
      <c r="M177" s="1186">
        <v>2</v>
      </c>
      <c r="N177" s="1186"/>
      <c r="O177" s="1186">
        <v>11</v>
      </c>
      <c r="P177" s="1186">
        <v>4</v>
      </c>
      <c r="Q177" s="1186">
        <v>123</v>
      </c>
    </row>
    <row r="178" spans="1:17" x14ac:dyDescent="0.2">
      <c r="A178" s="1186" t="s">
        <v>35</v>
      </c>
      <c r="B178" s="1186" t="s">
        <v>133</v>
      </c>
      <c r="C178" s="1186">
        <v>372</v>
      </c>
      <c r="D178" s="1186">
        <v>13</v>
      </c>
      <c r="E178" s="1186">
        <v>33</v>
      </c>
      <c r="F178" s="1186">
        <v>3</v>
      </c>
      <c r="G178" s="1186">
        <v>21</v>
      </c>
      <c r="H178" s="1186">
        <v>1</v>
      </c>
      <c r="I178" s="1186">
        <v>2</v>
      </c>
      <c r="J178" s="1186">
        <v>5</v>
      </c>
      <c r="K178" s="1186">
        <v>6</v>
      </c>
      <c r="L178" s="1186">
        <v>7</v>
      </c>
      <c r="M178" s="1186">
        <v>10</v>
      </c>
      <c r="N178" s="1186">
        <v>5</v>
      </c>
      <c r="O178" s="1186">
        <v>9</v>
      </c>
      <c r="P178" s="1186">
        <v>6</v>
      </c>
      <c r="Q178" s="1186">
        <v>251</v>
      </c>
    </row>
    <row r="179" spans="1:17" x14ac:dyDescent="0.2">
      <c r="A179" s="1186" t="s">
        <v>36</v>
      </c>
      <c r="B179" s="1186" t="s">
        <v>133</v>
      </c>
      <c r="C179" s="1186">
        <v>1337</v>
      </c>
      <c r="D179" s="1186">
        <v>95</v>
      </c>
      <c r="E179" s="1186">
        <v>37</v>
      </c>
      <c r="F179" s="1186">
        <v>2</v>
      </c>
      <c r="G179" s="1186">
        <v>26</v>
      </c>
      <c r="H179" s="1186">
        <v>5</v>
      </c>
      <c r="I179" s="1186">
        <v>28</v>
      </c>
      <c r="J179" s="1186">
        <v>15</v>
      </c>
      <c r="K179" s="1186">
        <v>20</v>
      </c>
      <c r="L179" s="1186">
        <v>26</v>
      </c>
      <c r="M179" s="1186">
        <v>41</v>
      </c>
      <c r="N179" s="1186">
        <v>31</v>
      </c>
      <c r="O179" s="1186">
        <v>41</v>
      </c>
      <c r="P179" s="1186">
        <v>27</v>
      </c>
      <c r="Q179" s="1186">
        <v>943</v>
      </c>
    </row>
    <row r="180" spans="1:17" x14ac:dyDescent="0.2">
      <c r="A180" s="1186" t="s">
        <v>37</v>
      </c>
      <c r="B180" s="1186" t="s">
        <v>133</v>
      </c>
      <c r="C180" s="1186">
        <v>234</v>
      </c>
      <c r="D180" s="1186">
        <v>14</v>
      </c>
      <c r="E180" s="1186">
        <v>15</v>
      </c>
      <c r="F180" s="1186">
        <v>5</v>
      </c>
      <c r="G180" s="1186">
        <v>6</v>
      </c>
      <c r="H180" s="1186"/>
      <c r="I180" s="1186">
        <v>3</v>
      </c>
      <c r="J180" s="1186">
        <v>1</v>
      </c>
      <c r="K180" s="1186">
        <v>1</v>
      </c>
      <c r="L180" s="1186">
        <v>5</v>
      </c>
      <c r="M180" s="1186">
        <v>7</v>
      </c>
      <c r="N180" s="1186">
        <v>2</v>
      </c>
      <c r="O180" s="1186">
        <v>3</v>
      </c>
      <c r="P180" s="1186">
        <v>9</v>
      </c>
      <c r="Q180" s="1186">
        <v>163</v>
      </c>
    </row>
    <row r="181" spans="1:17" x14ac:dyDescent="0.2">
      <c r="A181" s="1186" t="s">
        <v>38</v>
      </c>
      <c r="B181" s="1186" t="s">
        <v>133</v>
      </c>
      <c r="C181" s="1186">
        <v>148</v>
      </c>
      <c r="D181" s="1186">
        <v>5</v>
      </c>
      <c r="E181" s="1186">
        <v>7</v>
      </c>
      <c r="F181" s="1186"/>
      <c r="G181" s="1186">
        <v>1</v>
      </c>
      <c r="H181" s="1186">
        <v>2</v>
      </c>
      <c r="I181" s="1186">
        <v>3</v>
      </c>
      <c r="J181" s="1186">
        <v>2</v>
      </c>
      <c r="K181" s="1186">
        <v>5</v>
      </c>
      <c r="L181" s="1186">
        <v>3</v>
      </c>
      <c r="M181" s="1186">
        <v>1</v>
      </c>
      <c r="N181" s="1186">
        <v>3</v>
      </c>
      <c r="O181" s="1186">
        <v>1</v>
      </c>
      <c r="P181" s="1186">
        <v>2</v>
      </c>
      <c r="Q181" s="1186">
        <v>113</v>
      </c>
    </row>
    <row r="182" spans="1:17" x14ac:dyDescent="0.2">
      <c r="A182" s="1186" t="s">
        <v>39</v>
      </c>
      <c r="B182" s="1186" t="s">
        <v>133</v>
      </c>
      <c r="C182" s="1186">
        <v>107</v>
      </c>
      <c r="D182" s="1186">
        <v>8</v>
      </c>
      <c r="E182" s="1186">
        <v>9</v>
      </c>
      <c r="F182" s="1186">
        <v>2</v>
      </c>
      <c r="G182" s="1186">
        <v>2</v>
      </c>
      <c r="H182" s="1186"/>
      <c r="I182" s="1186"/>
      <c r="J182" s="1186"/>
      <c r="K182" s="1186"/>
      <c r="L182" s="1186">
        <v>2</v>
      </c>
      <c r="M182" s="1186">
        <v>6</v>
      </c>
      <c r="N182" s="1186">
        <v>1</v>
      </c>
      <c r="O182" s="1186">
        <v>2</v>
      </c>
      <c r="P182" s="1186">
        <v>4</v>
      </c>
      <c r="Q182" s="1186">
        <v>71</v>
      </c>
    </row>
    <row r="183" spans="1:17" x14ac:dyDescent="0.2">
      <c r="A183" s="1186" t="s">
        <v>40</v>
      </c>
      <c r="B183" s="1186" t="s">
        <v>133</v>
      </c>
      <c r="C183" s="1186">
        <v>102</v>
      </c>
      <c r="D183" s="1186">
        <v>7</v>
      </c>
      <c r="E183" s="1186">
        <v>10</v>
      </c>
      <c r="F183" s="1186">
        <v>5</v>
      </c>
      <c r="G183" s="1186">
        <v>6</v>
      </c>
      <c r="H183" s="1186"/>
      <c r="I183" s="1186">
        <v>2</v>
      </c>
      <c r="J183" s="1186"/>
      <c r="K183" s="1186">
        <v>1</v>
      </c>
      <c r="L183" s="1186">
        <v>5</v>
      </c>
      <c r="M183" s="1186">
        <v>6</v>
      </c>
      <c r="N183" s="1186"/>
      <c r="O183" s="1186">
        <v>1</v>
      </c>
      <c r="P183" s="1186"/>
      <c r="Q183" s="1186">
        <v>59</v>
      </c>
    </row>
    <row r="184" spans="1:17" x14ac:dyDescent="0.2">
      <c r="A184" s="1186" t="s">
        <v>295</v>
      </c>
      <c r="B184" s="1186" t="s">
        <v>133</v>
      </c>
      <c r="C184" s="1186">
        <v>29</v>
      </c>
      <c r="D184" s="1186">
        <v>2</v>
      </c>
      <c r="E184" s="1186"/>
      <c r="F184" s="1186">
        <v>1</v>
      </c>
      <c r="G184" s="1186">
        <v>1</v>
      </c>
      <c r="H184" s="1186"/>
      <c r="I184" s="1186"/>
      <c r="J184" s="1186"/>
      <c r="K184" s="1186"/>
      <c r="L184" s="1186"/>
      <c r="M184" s="1186">
        <v>1</v>
      </c>
      <c r="N184" s="1186"/>
      <c r="O184" s="1186">
        <v>1</v>
      </c>
      <c r="P184" s="1186">
        <v>1</v>
      </c>
      <c r="Q184" s="1186">
        <v>22</v>
      </c>
    </row>
    <row r="185" spans="1:17" x14ac:dyDescent="0.2">
      <c r="A185" s="1186" t="s">
        <v>41</v>
      </c>
      <c r="B185" s="1186" t="s">
        <v>133</v>
      </c>
      <c r="C185" s="1186">
        <v>224</v>
      </c>
      <c r="D185" s="1186">
        <v>10</v>
      </c>
      <c r="E185" s="1186">
        <v>19</v>
      </c>
      <c r="F185" s="1186">
        <v>2</v>
      </c>
      <c r="G185" s="1186">
        <v>2</v>
      </c>
      <c r="H185" s="1186">
        <v>3</v>
      </c>
      <c r="I185" s="1186">
        <v>3</v>
      </c>
      <c r="J185" s="1186"/>
      <c r="K185" s="1186">
        <v>1</v>
      </c>
      <c r="L185" s="1186"/>
      <c r="M185" s="1186">
        <v>5</v>
      </c>
      <c r="N185" s="1186">
        <v>9</v>
      </c>
      <c r="O185" s="1186">
        <v>1</v>
      </c>
      <c r="P185" s="1186">
        <v>1</v>
      </c>
      <c r="Q185" s="1186">
        <v>168</v>
      </c>
    </row>
    <row r="186" spans="1:17" x14ac:dyDescent="0.2">
      <c r="A186" s="1186" t="s">
        <v>42</v>
      </c>
      <c r="B186" s="1186" t="s">
        <v>133</v>
      </c>
      <c r="C186" s="1186">
        <v>471</v>
      </c>
      <c r="D186" s="1186">
        <v>10</v>
      </c>
      <c r="E186" s="1186">
        <v>29</v>
      </c>
      <c r="F186" s="1186">
        <v>5</v>
      </c>
      <c r="G186" s="1186">
        <v>13</v>
      </c>
      <c r="H186" s="1186">
        <v>5</v>
      </c>
      <c r="I186" s="1186">
        <v>6</v>
      </c>
      <c r="J186" s="1186">
        <v>7</v>
      </c>
      <c r="K186" s="1186">
        <v>6</v>
      </c>
      <c r="L186" s="1186">
        <v>5</v>
      </c>
      <c r="M186" s="1186">
        <v>11</v>
      </c>
      <c r="N186" s="1186">
        <v>7</v>
      </c>
      <c r="O186" s="1186">
        <v>6</v>
      </c>
      <c r="P186" s="1186">
        <v>16</v>
      </c>
      <c r="Q186" s="1186">
        <v>345</v>
      </c>
    </row>
    <row r="187" spans="1:17" x14ac:dyDescent="0.2">
      <c r="A187" s="1186" t="s">
        <v>43</v>
      </c>
      <c r="B187" s="1186" t="s">
        <v>133</v>
      </c>
      <c r="C187" s="1186">
        <v>21</v>
      </c>
      <c r="D187" s="1186"/>
      <c r="E187" s="1186">
        <v>1</v>
      </c>
      <c r="F187" s="1186"/>
      <c r="G187" s="1186">
        <v>1</v>
      </c>
      <c r="H187" s="1186"/>
      <c r="I187" s="1186"/>
      <c r="J187" s="1186"/>
      <c r="K187" s="1186"/>
      <c r="L187" s="1186"/>
      <c r="M187" s="1186"/>
      <c r="N187" s="1186">
        <v>1</v>
      </c>
      <c r="O187" s="1186"/>
      <c r="P187" s="1186">
        <v>3</v>
      </c>
      <c r="Q187" s="1186">
        <v>15</v>
      </c>
    </row>
    <row r="188" spans="1:17" x14ac:dyDescent="0.2">
      <c r="A188" s="1186" t="s">
        <v>44</v>
      </c>
      <c r="B188" s="1186" t="s">
        <v>133</v>
      </c>
      <c r="C188" s="1186">
        <v>201</v>
      </c>
      <c r="D188" s="1186">
        <v>16</v>
      </c>
      <c r="E188" s="1186">
        <v>4</v>
      </c>
      <c r="F188" s="1186">
        <v>11</v>
      </c>
      <c r="G188" s="1186">
        <v>7</v>
      </c>
      <c r="H188" s="1186"/>
      <c r="I188" s="1186">
        <v>3</v>
      </c>
      <c r="J188" s="1186">
        <v>14</v>
      </c>
      <c r="K188" s="1186"/>
      <c r="L188" s="1186">
        <v>2</v>
      </c>
      <c r="M188" s="1186">
        <v>8</v>
      </c>
      <c r="N188" s="1186">
        <v>1</v>
      </c>
      <c r="O188" s="1186">
        <v>1</v>
      </c>
      <c r="P188" s="1186">
        <v>3</v>
      </c>
      <c r="Q188" s="1186">
        <v>131</v>
      </c>
    </row>
    <row r="189" spans="1:17" x14ac:dyDescent="0.2">
      <c r="A189" s="1186" t="s">
        <v>45</v>
      </c>
      <c r="B189" s="1186" t="s">
        <v>133</v>
      </c>
      <c r="C189" s="1186">
        <v>333</v>
      </c>
      <c r="D189" s="1186">
        <v>15</v>
      </c>
      <c r="E189" s="1186">
        <v>12</v>
      </c>
      <c r="F189" s="1186">
        <v>1</v>
      </c>
      <c r="G189" s="1186">
        <v>9</v>
      </c>
      <c r="H189" s="1186">
        <v>3</v>
      </c>
      <c r="I189" s="1186">
        <v>6</v>
      </c>
      <c r="J189" s="1186">
        <v>3</v>
      </c>
      <c r="K189" s="1186">
        <v>4</v>
      </c>
      <c r="L189" s="1186">
        <v>5</v>
      </c>
      <c r="M189" s="1186">
        <v>9</v>
      </c>
      <c r="N189" s="1186">
        <v>7</v>
      </c>
      <c r="O189" s="1186">
        <v>6</v>
      </c>
      <c r="P189" s="1186">
        <v>6</v>
      </c>
      <c r="Q189" s="1186">
        <v>247</v>
      </c>
    </row>
    <row r="190" spans="1:17" x14ac:dyDescent="0.2">
      <c r="A190" s="1186" t="s">
        <v>46</v>
      </c>
      <c r="B190" s="1186" t="s">
        <v>133</v>
      </c>
      <c r="C190" s="1186">
        <v>125</v>
      </c>
      <c r="D190" s="1186">
        <v>7</v>
      </c>
      <c r="E190" s="1186">
        <v>3</v>
      </c>
      <c r="F190" s="1186">
        <v>12</v>
      </c>
      <c r="G190" s="1186">
        <v>4</v>
      </c>
      <c r="H190" s="1186">
        <v>1</v>
      </c>
      <c r="I190" s="1186"/>
      <c r="J190" s="1186"/>
      <c r="K190" s="1186">
        <v>2</v>
      </c>
      <c r="L190" s="1186">
        <v>1</v>
      </c>
      <c r="M190" s="1186">
        <v>4</v>
      </c>
      <c r="N190" s="1186">
        <v>2</v>
      </c>
      <c r="O190" s="1186"/>
      <c r="P190" s="1186">
        <v>6</v>
      </c>
      <c r="Q190" s="1186">
        <v>83</v>
      </c>
    </row>
    <row r="191" spans="1:17" x14ac:dyDescent="0.2">
      <c r="A191" s="1186" t="s">
        <v>47</v>
      </c>
      <c r="B191" s="1186" t="s">
        <v>133</v>
      </c>
      <c r="C191" s="1186">
        <v>28</v>
      </c>
      <c r="D191" s="1186">
        <v>5</v>
      </c>
      <c r="E191" s="1186">
        <v>2</v>
      </c>
      <c r="F191" s="1186">
        <v>1</v>
      </c>
      <c r="G191" s="1186">
        <v>2</v>
      </c>
      <c r="H191" s="1186"/>
      <c r="I191" s="1186">
        <v>2</v>
      </c>
      <c r="J191" s="1186"/>
      <c r="K191" s="1186">
        <v>1</v>
      </c>
      <c r="L191" s="1186"/>
      <c r="M191" s="1186"/>
      <c r="N191" s="1186">
        <v>2</v>
      </c>
      <c r="O191" s="1186">
        <v>1</v>
      </c>
      <c r="P191" s="1186">
        <v>1</v>
      </c>
      <c r="Q191" s="1186">
        <v>11</v>
      </c>
    </row>
    <row r="192" spans="1:17" x14ac:dyDescent="0.2">
      <c r="A192" s="1186" t="s">
        <v>48</v>
      </c>
      <c r="B192" s="1186" t="s">
        <v>133</v>
      </c>
      <c r="C192" s="1186">
        <v>144</v>
      </c>
      <c r="D192" s="1186">
        <v>7</v>
      </c>
      <c r="E192" s="1186">
        <v>12</v>
      </c>
      <c r="F192" s="1186">
        <v>4</v>
      </c>
      <c r="G192" s="1186">
        <v>4</v>
      </c>
      <c r="H192" s="1186">
        <v>2</v>
      </c>
      <c r="I192" s="1186">
        <v>2</v>
      </c>
      <c r="J192" s="1186">
        <v>1</v>
      </c>
      <c r="K192" s="1186">
        <v>2</v>
      </c>
      <c r="L192" s="1186">
        <v>1</v>
      </c>
      <c r="M192" s="1186">
        <v>8</v>
      </c>
      <c r="N192" s="1186">
        <v>4</v>
      </c>
      <c r="O192" s="1186">
        <v>2</v>
      </c>
      <c r="P192" s="1186">
        <v>4</v>
      </c>
      <c r="Q192" s="1186">
        <v>91</v>
      </c>
    </row>
    <row r="193" spans="1:17" x14ac:dyDescent="0.2">
      <c r="A193" s="1186" t="s">
        <v>49</v>
      </c>
      <c r="B193" s="1186" t="s">
        <v>133</v>
      </c>
      <c r="C193" s="1186">
        <v>417</v>
      </c>
      <c r="D193" s="1186">
        <v>6</v>
      </c>
      <c r="E193" s="1186">
        <v>39</v>
      </c>
      <c r="F193" s="1186"/>
      <c r="G193" s="1186">
        <v>7</v>
      </c>
      <c r="H193" s="1186"/>
      <c r="I193" s="1186">
        <v>8</v>
      </c>
      <c r="J193" s="1186">
        <v>3</v>
      </c>
      <c r="K193" s="1186">
        <v>7</v>
      </c>
      <c r="L193" s="1186">
        <v>9</v>
      </c>
      <c r="M193" s="1186">
        <v>13</v>
      </c>
      <c r="N193" s="1186">
        <v>4</v>
      </c>
      <c r="O193" s="1186">
        <v>7</v>
      </c>
      <c r="P193" s="1186">
        <v>10</v>
      </c>
      <c r="Q193" s="1186">
        <v>304</v>
      </c>
    </row>
    <row r="194" spans="1:17" x14ac:dyDescent="0.2">
      <c r="A194" s="1186" t="s">
        <v>50</v>
      </c>
      <c r="B194" s="1186" t="s">
        <v>133</v>
      </c>
      <c r="C194" s="1186">
        <v>127</v>
      </c>
      <c r="D194" s="1186">
        <v>7</v>
      </c>
      <c r="E194" s="1186">
        <v>4</v>
      </c>
      <c r="F194" s="1186">
        <v>1</v>
      </c>
      <c r="G194" s="1186">
        <v>4</v>
      </c>
      <c r="H194" s="1186"/>
      <c r="I194" s="1186">
        <v>2</v>
      </c>
      <c r="J194" s="1186">
        <v>7</v>
      </c>
      <c r="K194" s="1186">
        <v>3</v>
      </c>
      <c r="L194" s="1186">
        <v>5</v>
      </c>
      <c r="M194" s="1186">
        <v>6</v>
      </c>
      <c r="N194" s="1186">
        <v>1</v>
      </c>
      <c r="O194" s="1186"/>
      <c r="P194" s="1186"/>
      <c r="Q194" s="1186">
        <v>87</v>
      </c>
    </row>
    <row r="195" spans="1:17" x14ac:dyDescent="0.2">
      <c r="A195" s="1186" t="s">
        <v>51</v>
      </c>
      <c r="B195" s="1186" t="s">
        <v>133</v>
      </c>
      <c r="C195" s="1186">
        <v>132</v>
      </c>
      <c r="D195" s="1186">
        <v>5</v>
      </c>
      <c r="E195" s="1186">
        <v>8</v>
      </c>
      <c r="F195" s="1186"/>
      <c r="G195" s="1186">
        <v>4</v>
      </c>
      <c r="H195" s="1186"/>
      <c r="I195" s="1186">
        <v>3</v>
      </c>
      <c r="J195" s="1186">
        <v>3</v>
      </c>
      <c r="K195" s="1186">
        <v>1</v>
      </c>
      <c r="L195" s="1186"/>
      <c r="M195" s="1186">
        <v>3</v>
      </c>
      <c r="N195" s="1186">
        <v>4</v>
      </c>
      <c r="O195" s="1186">
        <v>1</v>
      </c>
      <c r="P195" s="1186">
        <v>2</v>
      </c>
      <c r="Q195" s="1186">
        <v>98</v>
      </c>
    </row>
    <row r="196" spans="1:17" x14ac:dyDescent="0.2">
      <c r="A196" s="1186" t="s">
        <v>52</v>
      </c>
      <c r="B196" s="1186" t="s">
        <v>133</v>
      </c>
      <c r="C196" s="1186">
        <v>260</v>
      </c>
      <c r="D196" s="1186">
        <v>16</v>
      </c>
      <c r="E196" s="1186">
        <v>12</v>
      </c>
      <c r="F196" s="1186">
        <v>1</v>
      </c>
      <c r="G196" s="1186">
        <v>10</v>
      </c>
      <c r="H196" s="1186">
        <v>2</v>
      </c>
      <c r="I196" s="1186">
        <v>6</v>
      </c>
      <c r="J196" s="1186">
        <v>3</v>
      </c>
      <c r="K196" s="1186">
        <v>1</v>
      </c>
      <c r="L196" s="1186">
        <v>5</v>
      </c>
      <c r="M196" s="1186">
        <v>13</v>
      </c>
      <c r="N196" s="1186">
        <v>7</v>
      </c>
      <c r="O196" s="1186">
        <v>9</v>
      </c>
      <c r="P196" s="1186">
        <v>2</v>
      </c>
      <c r="Q196" s="1186">
        <v>173</v>
      </c>
    </row>
    <row r="197" spans="1:17" x14ac:dyDescent="0.2">
      <c r="A197" s="1186" t="s">
        <v>23</v>
      </c>
      <c r="B197" s="1186" t="s">
        <v>144</v>
      </c>
      <c r="C197" s="1186">
        <v>455</v>
      </c>
      <c r="D197" s="1186">
        <v>22</v>
      </c>
      <c r="E197" s="1186">
        <v>7</v>
      </c>
      <c r="F197" s="1186"/>
      <c r="G197" s="1186">
        <v>13</v>
      </c>
      <c r="H197" s="1186"/>
      <c r="I197" s="1186">
        <v>12</v>
      </c>
      <c r="J197" s="1186">
        <v>2</v>
      </c>
      <c r="K197" s="1186">
        <v>6</v>
      </c>
      <c r="L197" s="1186">
        <v>10</v>
      </c>
      <c r="M197" s="1186">
        <v>13</v>
      </c>
      <c r="N197" s="1186">
        <v>10</v>
      </c>
      <c r="O197" s="1186">
        <v>16</v>
      </c>
      <c r="P197" s="1186">
        <v>10</v>
      </c>
      <c r="Q197" s="1186">
        <v>334</v>
      </c>
    </row>
    <row r="198" spans="1:17" x14ac:dyDescent="0.2">
      <c r="A198" s="1186" t="s">
        <v>24</v>
      </c>
      <c r="B198" s="1186" t="s">
        <v>144</v>
      </c>
      <c r="C198" s="1186">
        <v>275</v>
      </c>
      <c r="D198" s="1186">
        <v>13</v>
      </c>
      <c r="E198" s="1186">
        <v>7</v>
      </c>
      <c r="F198" s="1186">
        <v>5</v>
      </c>
      <c r="G198" s="1186">
        <v>17</v>
      </c>
      <c r="H198" s="1186">
        <v>1</v>
      </c>
      <c r="I198" s="1186">
        <v>3</v>
      </c>
      <c r="J198" s="1186">
        <v>8</v>
      </c>
      <c r="K198" s="1186">
        <v>3</v>
      </c>
      <c r="L198" s="1186">
        <v>4</v>
      </c>
      <c r="M198" s="1186">
        <v>6</v>
      </c>
      <c r="N198" s="1186">
        <v>8</v>
      </c>
      <c r="O198" s="1186">
        <v>3</v>
      </c>
      <c r="P198" s="1186">
        <v>5</v>
      </c>
      <c r="Q198" s="1186">
        <v>192</v>
      </c>
    </row>
    <row r="199" spans="1:17" x14ac:dyDescent="0.2">
      <c r="A199" s="1186" t="s">
        <v>25</v>
      </c>
      <c r="B199" s="1186" t="s">
        <v>144</v>
      </c>
      <c r="C199" s="1186">
        <v>137</v>
      </c>
      <c r="D199" s="1186">
        <v>3</v>
      </c>
      <c r="E199" s="1186">
        <v>11</v>
      </c>
      <c r="F199" s="1186">
        <v>5</v>
      </c>
      <c r="G199" s="1186">
        <v>5</v>
      </c>
      <c r="H199" s="1186"/>
      <c r="I199" s="1186"/>
      <c r="J199" s="1186">
        <v>1</v>
      </c>
      <c r="K199" s="1186"/>
      <c r="L199" s="1186">
        <v>2</v>
      </c>
      <c r="M199" s="1186">
        <v>6</v>
      </c>
      <c r="N199" s="1186">
        <v>5</v>
      </c>
      <c r="O199" s="1186">
        <v>2</v>
      </c>
      <c r="P199" s="1186">
        <v>2</v>
      </c>
      <c r="Q199" s="1186">
        <v>95</v>
      </c>
    </row>
    <row r="200" spans="1:17" x14ac:dyDescent="0.2">
      <c r="A200" s="1186" t="s">
        <v>26</v>
      </c>
      <c r="B200" s="1186" t="s">
        <v>144</v>
      </c>
      <c r="C200" s="1186">
        <v>102</v>
      </c>
      <c r="D200" s="1186">
        <v>10</v>
      </c>
      <c r="E200" s="1186">
        <v>2</v>
      </c>
      <c r="F200" s="1186">
        <v>4</v>
      </c>
      <c r="G200" s="1186">
        <v>4</v>
      </c>
      <c r="H200" s="1186"/>
      <c r="I200" s="1186">
        <v>1</v>
      </c>
      <c r="J200" s="1186"/>
      <c r="K200" s="1186">
        <v>1</v>
      </c>
      <c r="L200" s="1186">
        <v>2</v>
      </c>
      <c r="M200" s="1186">
        <v>3</v>
      </c>
      <c r="N200" s="1186">
        <v>2</v>
      </c>
      <c r="O200" s="1186"/>
      <c r="P200" s="1186">
        <v>9</v>
      </c>
      <c r="Q200" s="1186">
        <v>64</v>
      </c>
    </row>
    <row r="201" spans="1:17" x14ac:dyDescent="0.2">
      <c r="A201" s="1186" t="s">
        <v>619</v>
      </c>
      <c r="B201" s="1186" t="s">
        <v>144</v>
      </c>
      <c r="C201" s="1186">
        <v>921</v>
      </c>
      <c r="D201" s="1186">
        <v>67</v>
      </c>
      <c r="E201" s="1186">
        <v>23</v>
      </c>
      <c r="F201" s="1186">
        <v>3</v>
      </c>
      <c r="G201" s="1186">
        <v>9</v>
      </c>
      <c r="H201" s="1186">
        <v>4</v>
      </c>
      <c r="I201" s="1186">
        <v>30</v>
      </c>
      <c r="J201" s="1186">
        <v>13</v>
      </c>
      <c r="K201" s="1186">
        <v>14</v>
      </c>
      <c r="L201" s="1186">
        <v>35</v>
      </c>
      <c r="M201" s="1186">
        <v>25</v>
      </c>
      <c r="N201" s="1186">
        <v>18</v>
      </c>
      <c r="O201" s="1186">
        <v>22</v>
      </c>
      <c r="P201" s="1186">
        <v>25</v>
      </c>
      <c r="Q201" s="1186">
        <v>633</v>
      </c>
    </row>
    <row r="202" spans="1:17" x14ac:dyDescent="0.2">
      <c r="A202" s="1186" t="s">
        <v>27</v>
      </c>
      <c r="B202" s="1186" t="s">
        <v>144</v>
      </c>
      <c r="C202" s="1186">
        <v>98</v>
      </c>
      <c r="D202" s="1186"/>
      <c r="E202" s="1186">
        <v>1</v>
      </c>
      <c r="F202" s="1186"/>
      <c r="G202" s="1186">
        <v>3</v>
      </c>
      <c r="H202" s="1186">
        <v>2</v>
      </c>
      <c r="I202" s="1186"/>
      <c r="J202" s="1186">
        <v>5</v>
      </c>
      <c r="K202" s="1186"/>
      <c r="L202" s="1186">
        <v>3</v>
      </c>
      <c r="M202" s="1186">
        <v>1</v>
      </c>
      <c r="N202" s="1186">
        <v>3</v>
      </c>
      <c r="O202" s="1186">
        <v>3</v>
      </c>
      <c r="P202" s="1186">
        <v>2</v>
      </c>
      <c r="Q202" s="1186">
        <v>75</v>
      </c>
    </row>
    <row r="203" spans="1:17" x14ac:dyDescent="0.2">
      <c r="A203" s="1186" t="s">
        <v>28</v>
      </c>
      <c r="B203" s="1186" t="s">
        <v>144</v>
      </c>
      <c r="C203" s="1186">
        <v>138</v>
      </c>
      <c r="D203" s="1186">
        <v>5</v>
      </c>
      <c r="E203" s="1186">
        <v>8</v>
      </c>
      <c r="F203" s="1186">
        <v>8</v>
      </c>
      <c r="G203" s="1186"/>
      <c r="H203" s="1186"/>
      <c r="I203" s="1186">
        <v>1</v>
      </c>
      <c r="J203" s="1186">
        <v>1</v>
      </c>
      <c r="K203" s="1186">
        <v>5</v>
      </c>
      <c r="L203" s="1186">
        <v>6</v>
      </c>
      <c r="M203" s="1186">
        <v>1</v>
      </c>
      <c r="N203" s="1186">
        <v>5</v>
      </c>
      <c r="O203" s="1186">
        <v>1</v>
      </c>
      <c r="P203" s="1186">
        <v>3</v>
      </c>
      <c r="Q203" s="1186">
        <v>94</v>
      </c>
    </row>
    <row r="204" spans="1:17" x14ac:dyDescent="0.2">
      <c r="A204" s="1186" t="s">
        <v>29</v>
      </c>
      <c r="B204" s="1186" t="s">
        <v>144</v>
      </c>
      <c r="C204" s="1186">
        <v>334</v>
      </c>
      <c r="D204" s="1186">
        <v>14</v>
      </c>
      <c r="E204" s="1186">
        <v>9</v>
      </c>
      <c r="F204" s="1186">
        <v>1</v>
      </c>
      <c r="G204" s="1186">
        <v>9</v>
      </c>
      <c r="H204" s="1186">
        <v>4</v>
      </c>
      <c r="I204" s="1186">
        <v>3</v>
      </c>
      <c r="J204" s="1186">
        <v>1</v>
      </c>
      <c r="K204" s="1186">
        <v>3</v>
      </c>
      <c r="L204" s="1186">
        <v>5</v>
      </c>
      <c r="M204" s="1186">
        <v>12</v>
      </c>
      <c r="N204" s="1186">
        <v>4</v>
      </c>
      <c r="O204" s="1186">
        <v>8</v>
      </c>
      <c r="P204" s="1186">
        <v>5</v>
      </c>
      <c r="Q204" s="1186">
        <v>256</v>
      </c>
    </row>
    <row r="205" spans="1:17" x14ac:dyDescent="0.2">
      <c r="A205" s="1186" t="s">
        <v>30</v>
      </c>
      <c r="B205" s="1186" t="s">
        <v>144</v>
      </c>
      <c r="C205" s="1186">
        <v>158</v>
      </c>
      <c r="D205" s="1186">
        <v>5</v>
      </c>
      <c r="E205" s="1186">
        <v>14</v>
      </c>
      <c r="F205" s="1186">
        <v>1</v>
      </c>
      <c r="G205" s="1186">
        <v>2</v>
      </c>
      <c r="H205" s="1186">
        <v>1</v>
      </c>
      <c r="I205" s="1186">
        <v>3</v>
      </c>
      <c r="J205" s="1186">
        <v>9</v>
      </c>
      <c r="K205" s="1186">
        <v>2</v>
      </c>
      <c r="L205" s="1186">
        <v>2</v>
      </c>
      <c r="M205" s="1186">
        <v>7</v>
      </c>
      <c r="N205" s="1186">
        <v>3</v>
      </c>
      <c r="O205" s="1186">
        <v>2</v>
      </c>
      <c r="P205" s="1186">
        <v>3</v>
      </c>
      <c r="Q205" s="1186">
        <v>104</v>
      </c>
    </row>
    <row r="206" spans="1:17" x14ac:dyDescent="0.2">
      <c r="A206" s="1186" t="s">
        <v>31</v>
      </c>
      <c r="B206" s="1186" t="s">
        <v>144</v>
      </c>
      <c r="C206" s="1186">
        <v>106</v>
      </c>
      <c r="D206" s="1186">
        <v>5</v>
      </c>
      <c r="E206" s="1186">
        <v>4</v>
      </c>
      <c r="F206" s="1186"/>
      <c r="G206" s="1186">
        <v>2</v>
      </c>
      <c r="H206" s="1186"/>
      <c r="I206" s="1186">
        <v>2</v>
      </c>
      <c r="J206" s="1186">
        <v>8</v>
      </c>
      <c r="K206" s="1186"/>
      <c r="L206" s="1186"/>
      <c r="M206" s="1186">
        <v>1</v>
      </c>
      <c r="N206" s="1186">
        <v>4</v>
      </c>
      <c r="O206" s="1186"/>
      <c r="P206" s="1186">
        <v>3</v>
      </c>
      <c r="Q206" s="1186">
        <v>77</v>
      </c>
    </row>
    <row r="207" spans="1:17" x14ac:dyDescent="0.2">
      <c r="A207" s="1186" t="s">
        <v>32</v>
      </c>
      <c r="B207" s="1186" t="s">
        <v>144</v>
      </c>
      <c r="C207" s="1186">
        <v>120</v>
      </c>
      <c r="D207" s="1186">
        <v>6</v>
      </c>
      <c r="E207" s="1186">
        <v>2</v>
      </c>
      <c r="F207" s="1186">
        <v>3</v>
      </c>
      <c r="G207" s="1186">
        <v>4</v>
      </c>
      <c r="H207" s="1186">
        <v>1</v>
      </c>
      <c r="I207" s="1186">
        <v>2</v>
      </c>
      <c r="J207" s="1186"/>
      <c r="K207" s="1186">
        <v>3</v>
      </c>
      <c r="L207" s="1186">
        <v>3</v>
      </c>
      <c r="M207" s="1186">
        <v>2</v>
      </c>
      <c r="N207" s="1186">
        <v>4</v>
      </c>
      <c r="O207" s="1186">
        <v>1</v>
      </c>
      <c r="P207" s="1186">
        <v>4</v>
      </c>
      <c r="Q207" s="1186">
        <v>85</v>
      </c>
    </row>
    <row r="208" spans="1:17" x14ac:dyDescent="0.2">
      <c r="A208" s="1186" t="s">
        <v>33</v>
      </c>
      <c r="B208" s="1186" t="s">
        <v>144</v>
      </c>
      <c r="C208" s="1186">
        <v>104</v>
      </c>
      <c r="D208" s="1186">
        <v>5</v>
      </c>
      <c r="E208" s="1186">
        <v>9</v>
      </c>
      <c r="F208" s="1186">
        <v>1</v>
      </c>
      <c r="G208" s="1186">
        <v>2</v>
      </c>
      <c r="H208" s="1186">
        <v>1</v>
      </c>
      <c r="I208" s="1186">
        <v>2</v>
      </c>
      <c r="J208" s="1186">
        <v>2</v>
      </c>
      <c r="K208" s="1186"/>
      <c r="L208" s="1186">
        <v>1</v>
      </c>
      <c r="M208" s="1186"/>
      <c r="N208" s="1186">
        <v>5</v>
      </c>
      <c r="O208" s="1186">
        <v>1</v>
      </c>
      <c r="P208" s="1186">
        <v>4</v>
      </c>
      <c r="Q208" s="1186">
        <v>71</v>
      </c>
    </row>
    <row r="209" spans="1:17" x14ac:dyDescent="0.2">
      <c r="A209" s="1186" t="s">
        <v>34</v>
      </c>
      <c r="B209" s="1186" t="s">
        <v>144</v>
      </c>
      <c r="C209" s="1186">
        <v>205</v>
      </c>
      <c r="D209" s="1186">
        <v>9</v>
      </c>
      <c r="E209" s="1186">
        <v>4</v>
      </c>
      <c r="F209" s="1186">
        <v>7</v>
      </c>
      <c r="G209" s="1186">
        <v>6</v>
      </c>
      <c r="H209" s="1186">
        <v>2</v>
      </c>
      <c r="I209" s="1186">
        <v>1</v>
      </c>
      <c r="J209" s="1186">
        <v>5</v>
      </c>
      <c r="K209" s="1186">
        <v>3</v>
      </c>
      <c r="L209" s="1186">
        <v>5</v>
      </c>
      <c r="M209" s="1186">
        <v>14</v>
      </c>
      <c r="N209" s="1186">
        <v>4</v>
      </c>
      <c r="O209" s="1186">
        <v>11</v>
      </c>
      <c r="P209" s="1186"/>
      <c r="Q209" s="1186">
        <v>134</v>
      </c>
    </row>
    <row r="210" spans="1:17" x14ac:dyDescent="0.2">
      <c r="A210" s="1186" t="s">
        <v>35</v>
      </c>
      <c r="B210" s="1186" t="s">
        <v>144</v>
      </c>
      <c r="C210" s="1186">
        <v>412</v>
      </c>
      <c r="D210" s="1186">
        <v>19</v>
      </c>
      <c r="E210" s="1186">
        <v>21</v>
      </c>
      <c r="F210" s="1186">
        <v>3</v>
      </c>
      <c r="G210" s="1186">
        <v>21</v>
      </c>
      <c r="H210" s="1186">
        <v>3</v>
      </c>
      <c r="I210" s="1186">
        <v>6</v>
      </c>
      <c r="J210" s="1186">
        <v>4</v>
      </c>
      <c r="K210" s="1186">
        <v>7</v>
      </c>
      <c r="L210" s="1186">
        <v>9</v>
      </c>
      <c r="M210" s="1186">
        <v>18</v>
      </c>
      <c r="N210" s="1186">
        <v>7</v>
      </c>
      <c r="O210" s="1186">
        <v>8</v>
      </c>
      <c r="P210" s="1186">
        <v>8</v>
      </c>
      <c r="Q210" s="1186">
        <v>278</v>
      </c>
    </row>
    <row r="211" spans="1:17" x14ac:dyDescent="0.2">
      <c r="A211" s="1186" t="s">
        <v>36</v>
      </c>
      <c r="B211" s="1186" t="s">
        <v>144</v>
      </c>
      <c r="C211" s="1186">
        <v>1368</v>
      </c>
      <c r="D211" s="1186">
        <v>118</v>
      </c>
      <c r="E211" s="1186">
        <v>42</v>
      </c>
      <c r="F211" s="1186">
        <v>1</v>
      </c>
      <c r="G211" s="1186">
        <v>34</v>
      </c>
      <c r="H211" s="1186">
        <v>4</v>
      </c>
      <c r="I211" s="1186">
        <v>23</v>
      </c>
      <c r="J211" s="1186">
        <v>5</v>
      </c>
      <c r="K211" s="1186">
        <v>18</v>
      </c>
      <c r="L211" s="1186">
        <v>20</v>
      </c>
      <c r="M211" s="1186">
        <v>38</v>
      </c>
      <c r="N211" s="1186">
        <v>28</v>
      </c>
      <c r="O211" s="1186">
        <v>37</v>
      </c>
      <c r="P211" s="1186">
        <v>40</v>
      </c>
      <c r="Q211" s="1186">
        <v>960</v>
      </c>
    </row>
    <row r="212" spans="1:17" x14ac:dyDescent="0.2">
      <c r="A212" s="1186" t="s">
        <v>37</v>
      </c>
      <c r="B212" s="1186" t="s">
        <v>144</v>
      </c>
      <c r="C212" s="1186">
        <v>231</v>
      </c>
      <c r="D212" s="1186">
        <v>31</v>
      </c>
      <c r="E212" s="1186">
        <v>12</v>
      </c>
      <c r="F212" s="1186">
        <v>11</v>
      </c>
      <c r="G212" s="1186">
        <v>9</v>
      </c>
      <c r="H212" s="1186">
        <v>3</v>
      </c>
      <c r="I212" s="1186">
        <v>1</v>
      </c>
      <c r="J212" s="1186">
        <v>1</v>
      </c>
      <c r="K212" s="1186">
        <v>4</v>
      </c>
      <c r="L212" s="1186">
        <v>9</v>
      </c>
      <c r="M212" s="1186">
        <v>5</v>
      </c>
      <c r="N212" s="1186">
        <v>3</v>
      </c>
      <c r="O212" s="1186">
        <v>6</v>
      </c>
      <c r="P212" s="1186">
        <v>7</v>
      </c>
      <c r="Q212" s="1186">
        <v>129</v>
      </c>
    </row>
    <row r="213" spans="1:17" x14ac:dyDescent="0.2">
      <c r="A213" s="1186" t="s">
        <v>38</v>
      </c>
      <c r="B213" s="1186" t="s">
        <v>144</v>
      </c>
      <c r="C213" s="1186">
        <v>166</v>
      </c>
      <c r="D213" s="1186">
        <v>5</v>
      </c>
      <c r="E213" s="1186">
        <v>6</v>
      </c>
      <c r="F213" s="1186">
        <v>1</v>
      </c>
      <c r="G213" s="1186">
        <v>2</v>
      </c>
      <c r="H213" s="1186">
        <v>1</v>
      </c>
      <c r="I213" s="1186">
        <v>2</v>
      </c>
      <c r="J213" s="1186">
        <v>1</v>
      </c>
      <c r="K213" s="1186">
        <v>2</v>
      </c>
      <c r="L213" s="1186">
        <v>1</v>
      </c>
      <c r="M213" s="1186">
        <v>3</v>
      </c>
      <c r="N213" s="1186">
        <v>2</v>
      </c>
      <c r="O213" s="1186">
        <v>4</v>
      </c>
      <c r="P213" s="1186">
        <v>7</v>
      </c>
      <c r="Q213" s="1186">
        <v>129</v>
      </c>
    </row>
    <row r="214" spans="1:17" x14ac:dyDescent="0.2">
      <c r="A214" s="1186" t="s">
        <v>39</v>
      </c>
      <c r="B214" s="1186" t="s">
        <v>144</v>
      </c>
      <c r="C214" s="1186">
        <v>101</v>
      </c>
      <c r="D214" s="1186">
        <v>6</v>
      </c>
      <c r="E214" s="1186">
        <v>6</v>
      </c>
      <c r="F214" s="1186">
        <v>3</v>
      </c>
      <c r="G214" s="1186">
        <v>1</v>
      </c>
      <c r="H214" s="1186">
        <v>2</v>
      </c>
      <c r="I214" s="1186">
        <v>1</v>
      </c>
      <c r="J214" s="1186"/>
      <c r="K214" s="1186">
        <v>1</v>
      </c>
      <c r="L214" s="1186">
        <v>2</v>
      </c>
      <c r="M214" s="1186">
        <v>5</v>
      </c>
      <c r="N214" s="1186">
        <v>2</v>
      </c>
      <c r="O214" s="1186"/>
      <c r="P214" s="1186">
        <v>3</v>
      </c>
      <c r="Q214" s="1186">
        <v>69</v>
      </c>
    </row>
    <row r="215" spans="1:17" x14ac:dyDescent="0.2">
      <c r="A215" s="1186" t="s">
        <v>40</v>
      </c>
      <c r="B215" s="1186" t="s">
        <v>144</v>
      </c>
      <c r="C215" s="1186">
        <v>86</v>
      </c>
      <c r="D215" s="1186">
        <v>7</v>
      </c>
      <c r="E215" s="1186">
        <v>6</v>
      </c>
      <c r="F215" s="1186">
        <v>2</v>
      </c>
      <c r="G215" s="1186">
        <v>7</v>
      </c>
      <c r="H215" s="1186">
        <v>1</v>
      </c>
      <c r="I215" s="1186">
        <v>2</v>
      </c>
      <c r="J215" s="1186">
        <v>1</v>
      </c>
      <c r="K215" s="1186">
        <v>2</v>
      </c>
      <c r="L215" s="1186">
        <v>3</v>
      </c>
      <c r="M215" s="1186">
        <v>1</v>
      </c>
      <c r="N215" s="1186">
        <v>1</v>
      </c>
      <c r="O215" s="1186">
        <v>3</v>
      </c>
      <c r="P215" s="1186"/>
      <c r="Q215" s="1186">
        <v>50</v>
      </c>
    </row>
    <row r="216" spans="1:17" x14ac:dyDescent="0.2">
      <c r="A216" s="1186" t="s">
        <v>295</v>
      </c>
      <c r="B216" s="1186" t="s">
        <v>144</v>
      </c>
      <c r="C216" s="1186">
        <v>27</v>
      </c>
      <c r="D216" s="1186">
        <v>2</v>
      </c>
      <c r="E216" s="1186"/>
      <c r="F216" s="1186"/>
      <c r="G216" s="1186">
        <v>1</v>
      </c>
      <c r="H216" s="1186"/>
      <c r="I216" s="1186">
        <v>1</v>
      </c>
      <c r="J216" s="1186"/>
      <c r="K216" s="1186"/>
      <c r="L216" s="1186">
        <v>1</v>
      </c>
      <c r="M216" s="1186">
        <v>1</v>
      </c>
      <c r="N216" s="1186"/>
      <c r="O216" s="1186"/>
      <c r="P216" s="1186">
        <v>1</v>
      </c>
      <c r="Q216" s="1186">
        <v>20</v>
      </c>
    </row>
    <row r="217" spans="1:17" x14ac:dyDescent="0.2">
      <c r="A217" s="1186" t="s">
        <v>41</v>
      </c>
      <c r="B217" s="1186" t="s">
        <v>144</v>
      </c>
      <c r="C217" s="1186">
        <v>239</v>
      </c>
      <c r="D217" s="1186">
        <v>9</v>
      </c>
      <c r="E217" s="1186">
        <v>11</v>
      </c>
      <c r="F217" s="1186">
        <v>2</v>
      </c>
      <c r="G217" s="1186">
        <v>9</v>
      </c>
      <c r="H217" s="1186">
        <v>1</v>
      </c>
      <c r="I217" s="1186">
        <v>2</v>
      </c>
      <c r="J217" s="1186"/>
      <c r="K217" s="1186">
        <v>4</v>
      </c>
      <c r="L217" s="1186">
        <v>2</v>
      </c>
      <c r="M217" s="1186">
        <v>10</v>
      </c>
      <c r="N217" s="1186">
        <v>7</v>
      </c>
      <c r="O217" s="1186">
        <v>1</v>
      </c>
      <c r="P217" s="1186">
        <v>5</v>
      </c>
      <c r="Q217" s="1186">
        <v>176</v>
      </c>
    </row>
    <row r="218" spans="1:17" x14ac:dyDescent="0.2">
      <c r="A218" s="1186" t="s">
        <v>42</v>
      </c>
      <c r="B218" s="1186" t="s">
        <v>144</v>
      </c>
      <c r="C218" s="1186">
        <v>476</v>
      </c>
      <c r="D218" s="1186">
        <v>15</v>
      </c>
      <c r="E218" s="1186">
        <v>28</v>
      </c>
      <c r="F218" s="1186">
        <v>3</v>
      </c>
      <c r="G218" s="1186">
        <v>17</v>
      </c>
      <c r="H218" s="1186">
        <v>3</v>
      </c>
      <c r="I218" s="1186">
        <v>7</v>
      </c>
      <c r="J218" s="1186">
        <v>6</v>
      </c>
      <c r="K218" s="1186">
        <v>5</v>
      </c>
      <c r="L218" s="1186">
        <v>13</v>
      </c>
      <c r="M218" s="1186">
        <v>15</v>
      </c>
      <c r="N218" s="1186">
        <v>16</v>
      </c>
      <c r="O218" s="1186">
        <v>7</v>
      </c>
      <c r="P218" s="1186">
        <v>5</v>
      </c>
      <c r="Q218" s="1186">
        <v>336</v>
      </c>
    </row>
    <row r="219" spans="1:17" x14ac:dyDescent="0.2">
      <c r="A219" s="1186" t="s">
        <v>43</v>
      </c>
      <c r="B219" s="1186" t="s">
        <v>144</v>
      </c>
      <c r="C219" s="1186">
        <v>20</v>
      </c>
      <c r="D219" s="1186">
        <v>1</v>
      </c>
      <c r="E219" s="1186">
        <v>3</v>
      </c>
      <c r="F219" s="1186">
        <v>3</v>
      </c>
      <c r="G219" s="1186"/>
      <c r="H219" s="1186"/>
      <c r="I219" s="1186"/>
      <c r="J219" s="1186"/>
      <c r="K219" s="1186"/>
      <c r="L219" s="1186"/>
      <c r="M219" s="1186">
        <v>1</v>
      </c>
      <c r="N219" s="1186"/>
      <c r="O219" s="1186"/>
      <c r="P219" s="1186">
        <v>1</v>
      </c>
      <c r="Q219" s="1186">
        <v>11</v>
      </c>
    </row>
    <row r="220" spans="1:17" x14ac:dyDescent="0.2">
      <c r="A220" s="1186" t="s">
        <v>44</v>
      </c>
      <c r="B220" s="1186" t="s">
        <v>144</v>
      </c>
      <c r="C220" s="1186">
        <v>196</v>
      </c>
      <c r="D220" s="1186">
        <v>9</v>
      </c>
      <c r="E220" s="1186">
        <v>8</v>
      </c>
      <c r="F220" s="1186">
        <v>3</v>
      </c>
      <c r="G220" s="1186">
        <v>16</v>
      </c>
      <c r="H220" s="1186"/>
      <c r="I220" s="1186">
        <v>1</v>
      </c>
      <c r="J220" s="1186">
        <v>7</v>
      </c>
      <c r="K220" s="1186">
        <v>5</v>
      </c>
      <c r="L220" s="1186">
        <v>6</v>
      </c>
      <c r="M220" s="1186">
        <v>8</v>
      </c>
      <c r="N220" s="1186">
        <v>2</v>
      </c>
      <c r="O220" s="1186">
        <v>5</v>
      </c>
      <c r="P220" s="1186">
        <v>4</v>
      </c>
      <c r="Q220" s="1186">
        <v>122</v>
      </c>
    </row>
    <row r="221" spans="1:17" x14ac:dyDescent="0.2">
      <c r="A221" s="1186" t="s">
        <v>45</v>
      </c>
      <c r="B221" s="1186" t="s">
        <v>144</v>
      </c>
      <c r="C221" s="1186">
        <v>331</v>
      </c>
      <c r="D221" s="1186">
        <v>14</v>
      </c>
      <c r="E221" s="1186">
        <v>11</v>
      </c>
      <c r="F221" s="1186"/>
      <c r="G221" s="1186">
        <v>8</v>
      </c>
      <c r="H221" s="1186">
        <v>7</v>
      </c>
      <c r="I221" s="1186">
        <v>3</v>
      </c>
      <c r="J221" s="1186">
        <v>2</v>
      </c>
      <c r="K221" s="1186"/>
      <c r="L221" s="1186">
        <v>6</v>
      </c>
      <c r="M221" s="1186">
        <v>14</v>
      </c>
      <c r="N221" s="1186">
        <v>8</v>
      </c>
      <c r="O221" s="1186">
        <v>9</v>
      </c>
      <c r="P221" s="1186">
        <v>7</v>
      </c>
      <c r="Q221" s="1186">
        <v>242</v>
      </c>
    </row>
    <row r="222" spans="1:17" x14ac:dyDescent="0.2">
      <c r="A222" s="1186" t="s">
        <v>46</v>
      </c>
      <c r="B222" s="1186" t="s">
        <v>144</v>
      </c>
      <c r="C222" s="1186">
        <v>157</v>
      </c>
      <c r="D222" s="1186">
        <v>10</v>
      </c>
      <c r="E222" s="1186">
        <v>3</v>
      </c>
      <c r="F222" s="1186">
        <v>7</v>
      </c>
      <c r="G222" s="1186">
        <v>6</v>
      </c>
      <c r="H222" s="1186"/>
      <c r="I222" s="1186">
        <v>2</v>
      </c>
      <c r="J222" s="1186">
        <v>1</v>
      </c>
      <c r="K222" s="1186">
        <v>2</v>
      </c>
      <c r="L222" s="1186">
        <v>2</v>
      </c>
      <c r="M222" s="1186">
        <v>5</v>
      </c>
      <c r="N222" s="1186">
        <v>4</v>
      </c>
      <c r="O222" s="1186">
        <v>3</v>
      </c>
      <c r="P222" s="1186">
        <v>3</v>
      </c>
      <c r="Q222" s="1186">
        <v>109</v>
      </c>
    </row>
    <row r="223" spans="1:17" x14ac:dyDescent="0.2">
      <c r="A223" s="1186" t="s">
        <v>47</v>
      </c>
      <c r="B223" s="1186" t="s">
        <v>144</v>
      </c>
      <c r="C223" s="1186">
        <v>23</v>
      </c>
      <c r="D223" s="1186">
        <v>2</v>
      </c>
      <c r="E223" s="1186"/>
      <c r="F223" s="1186"/>
      <c r="G223" s="1186"/>
      <c r="H223" s="1186"/>
      <c r="I223" s="1186"/>
      <c r="J223" s="1186"/>
      <c r="K223" s="1186"/>
      <c r="L223" s="1186">
        <v>1</v>
      </c>
      <c r="M223" s="1186">
        <v>1</v>
      </c>
      <c r="N223" s="1186"/>
      <c r="O223" s="1186"/>
      <c r="P223" s="1186"/>
      <c r="Q223" s="1186">
        <v>19</v>
      </c>
    </row>
    <row r="224" spans="1:17" x14ac:dyDescent="0.2">
      <c r="A224" s="1186" t="s">
        <v>48</v>
      </c>
      <c r="B224" s="1186" t="s">
        <v>144</v>
      </c>
      <c r="C224" s="1186">
        <v>155</v>
      </c>
      <c r="D224" s="1186">
        <v>9</v>
      </c>
      <c r="E224" s="1186">
        <v>12</v>
      </c>
      <c r="F224" s="1186">
        <v>1</v>
      </c>
      <c r="G224" s="1186">
        <v>6</v>
      </c>
      <c r="H224" s="1186"/>
      <c r="I224" s="1186">
        <v>1</v>
      </c>
      <c r="J224" s="1186">
        <v>1</v>
      </c>
      <c r="K224" s="1186">
        <v>3</v>
      </c>
      <c r="L224" s="1186"/>
      <c r="M224" s="1186">
        <v>10</v>
      </c>
      <c r="N224" s="1186">
        <v>3</v>
      </c>
      <c r="O224" s="1186">
        <v>5</v>
      </c>
      <c r="P224" s="1186">
        <v>3</v>
      </c>
      <c r="Q224" s="1186">
        <v>101</v>
      </c>
    </row>
    <row r="225" spans="1:17" x14ac:dyDescent="0.2">
      <c r="A225" s="1186" t="s">
        <v>49</v>
      </c>
      <c r="B225" s="1186" t="s">
        <v>144</v>
      </c>
      <c r="C225" s="1186">
        <v>393</v>
      </c>
      <c r="D225" s="1186">
        <v>22</v>
      </c>
      <c r="E225" s="1186">
        <v>23</v>
      </c>
      <c r="F225" s="1186">
        <v>3</v>
      </c>
      <c r="G225" s="1186">
        <v>5</v>
      </c>
      <c r="H225" s="1186">
        <v>2</v>
      </c>
      <c r="I225" s="1186">
        <v>4</v>
      </c>
      <c r="J225" s="1186">
        <v>2</v>
      </c>
      <c r="K225" s="1186">
        <v>8</v>
      </c>
      <c r="L225" s="1186">
        <v>3</v>
      </c>
      <c r="M225" s="1186">
        <v>14</v>
      </c>
      <c r="N225" s="1186">
        <v>4</v>
      </c>
      <c r="O225" s="1186">
        <v>1</v>
      </c>
      <c r="P225" s="1186">
        <v>8</v>
      </c>
      <c r="Q225" s="1186">
        <v>294</v>
      </c>
    </row>
    <row r="226" spans="1:17" x14ac:dyDescent="0.2">
      <c r="A226" s="1186" t="s">
        <v>50</v>
      </c>
      <c r="B226" s="1186" t="s">
        <v>144</v>
      </c>
      <c r="C226" s="1186">
        <v>180</v>
      </c>
      <c r="D226" s="1186">
        <v>13</v>
      </c>
      <c r="E226" s="1186">
        <v>2</v>
      </c>
      <c r="F226" s="1186">
        <v>2</v>
      </c>
      <c r="G226" s="1186">
        <v>4</v>
      </c>
      <c r="H226" s="1186"/>
      <c r="I226" s="1186">
        <v>2</v>
      </c>
      <c r="J226" s="1186">
        <v>30</v>
      </c>
      <c r="K226" s="1186">
        <v>1</v>
      </c>
      <c r="L226" s="1186">
        <v>4</v>
      </c>
      <c r="M226" s="1186">
        <v>2</v>
      </c>
      <c r="N226" s="1186">
        <v>7</v>
      </c>
      <c r="O226" s="1186">
        <v>2</v>
      </c>
      <c r="P226" s="1186">
        <v>3</v>
      </c>
      <c r="Q226" s="1186">
        <v>108</v>
      </c>
    </row>
    <row r="227" spans="1:17" x14ac:dyDescent="0.2">
      <c r="A227" s="1186" t="s">
        <v>51</v>
      </c>
      <c r="B227" s="1186" t="s">
        <v>144</v>
      </c>
      <c r="C227" s="1186">
        <v>215</v>
      </c>
      <c r="D227" s="1186">
        <v>24</v>
      </c>
      <c r="E227" s="1186">
        <v>5</v>
      </c>
      <c r="F227" s="1186"/>
      <c r="G227" s="1186">
        <v>5</v>
      </c>
      <c r="H227" s="1186"/>
      <c r="I227" s="1186">
        <v>4</v>
      </c>
      <c r="J227" s="1186">
        <v>2</v>
      </c>
      <c r="K227" s="1186">
        <v>4</v>
      </c>
      <c r="L227" s="1186">
        <v>2</v>
      </c>
      <c r="M227" s="1186">
        <v>4</v>
      </c>
      <c r="N227" s="1186">
        <v>1</v>
      </c>
      <c r="O227" s="1186">
        <v>4</v>
      </c>
      <c r="P227" s="1186">
        <v>4</v>
      </c>
      <c r="Q227" s="1186">
        <v>156</v>
      </c>
    </row>
    <row r="228" spans="1:17" x14ac:dyDescent="0.2">
      <c r="A228" s="1186" t="s">
        <v>52</v>
      </c>
      <c r="B228" s="1186" t="s">
        <v>144</v>
      </c>
      <c r="C228" s="1186">
        <v>238</v>
      </c>
      <c r="D228" s="1186">
        <v>10</v>
      </c>
      <c r="E228" s="1186">
        <v>12</v>
      </c>
      <c r="F228" s="1186">
        <v>4</v>
      </c>
      <c r="G228" s="1186">
        <v>19</v>
      </c>
      <c r="H228" s="1186">
        <v>4</v>
      </c>
      <c r="I228" s="1186">
        <v>9</v>
      </c>
      <c r="J228" s="1186">
        <v>1</v>
      </c>
      <c r="K228" s="1186">
        <v>4</v>
      </c>
      <c r="L228" s="1186">
        <v>3</v>
      </c>
      <c r="M228" s="1186">
        <v>11</v>
      </c>
      <c r="N228" s="1186">
        <v>5</v>
      </c>
      <c r="O228" s="1186">
        <v>2</v>
      </c>
      <c r="P228" s="1186">
        <v>4</v>
      </c>
      <c r="Q228" s="1186">
        <v>150</v>
      </c>
    </row>
    <row r="229" spans="1:17" x14ac:dyDescent="0.2">
      <c r="A229" s="1186" t="s">
        <v>23</v>
      </c>
      <c r="B229" s="1186" t="s">
        <v>282</v>
      </c>
      <c r="C229" s="1186">
        <v>458</v>
      </c>
      <c r="D229" s="1186">
        <v>31</v>
      </c>
      <c r="E229" s="1186">
        <v>10</v>
      </c>
      <c r="F229" s="1186"/>
      <c r="G229" s="1186">
        <v>10</v>
      </c>
      <c r="H229" s="1186">
        <v>4</v>
      </c>
      <c r="I229" s="1186">
        <v>9</v>
      </c>
      <c r="J229" s="1186">
        <v>1</v>
      </c>
      <c r="K229" s="1186">
        <v>5</v>
      </c>
      <c r="L229" s="1186">
        <v>6</v>
      </c>
      <c r="M229" s="1186">
        <v>11</v>
      </c>
      <c r="N229" s="1186">
        <v>7</v>
      </c>
      <c r="O229" s="1186">
        <v>11</v>
      </c>
      <c r="P229" s="1186">
        <v>3</v>
      </c>
      <c r="Q229" s="1186">
        <v>350</v>
      </c>
    </row>
    <row r="230" spans="1:17" x14ac:dyDescent="0.2">
      <c r="A230" s="1186" t="s">
        <v>24</v>
      </c>
      <c r="B230" s="1186" t="s">
        <v>282</v>
      </c>
      <c r="C230" s="1186">
        <v>272</v>
      </c>
      <c r="D230" s="1186">
        <v>17</v>
      </c>
      <c r="E230" s="1186">
        <v>11</v>
      </c>
      <c r="F230" s="1186">
        <v>5</v>
      </c>
      <c r="G230" s="1186">
        <v>10</v>
      </c>
      <c r="H230" s="1186">
        <v>4</v>
      </c>
      <c r="I230" s="1186">
        <v>2</v>
      </c>
      <c r="J230" s="1186">
        <v>7</v>
      </c>
      <c r="K230" s="1186">
        <v>3</v>
      </c>
      <c r="L230" s="1186">
        <v>5</v>
      </c>
      <c r="M230" s="1186">
        <v>6</v>
      </c>
      <c r="N230" s="1186">
        <v>6</v>
      </c>
      <c r="O230" s="1186">
        <v>6</v>
      </c>
      <c r="P230" s="1186">
        <v>6</v>
      </c>
      <c r="Q230" s="1186">
        <v>184</v>
      </c>
    </row>
    <row r="231" spans="1:17" x14ac:dyDescent="0.2">
      <c r="A231" s="1186" t="s">
        <v>25</v>
      </c>
      <c r="B231" s="1186" t="s">
        <v>282</v>
      </c>
      <c r="C231" s="1186">
        <v>126</v>
      </c>
      <c r="D231" s="1186">
        <v>4</v>
      </c>
      <c r="E231" s="1186">
        <v>6</v>
      </c>
      <c r="F231" s="1186">
        <v>1</v>
      </c>
      <c r="G231" s="1186">
        <v>5</v>
      </c>
      <c r="H231" s="1186"/>
      <c r="I231" s="1186">
        <v>1</v>
      </c>
      <c r="J231" s="1186">
        <v>2</v>
      </c>
      <c r="K231" s="1186">
        <v>1</v>
      </c>
      <c r="L231" s="1186">
        <v>1</v>
      </c>
      <c r="M231" s="1186">
        <v>2</v>
      </c>
      <c r="N231" s="1186">
        <v>2</v>
      </c>
      <c r="O231" s="1186">
        <v>3</v>
      </c>
      <c r="P231" s="1186"/>
      <c r="Q231" s="1186">
        <v>98</v>
      </c>
    </row>
    <row r="232" spans="1:17" x14ac:dyDescent="0.2">
      <c r="A232" s="1186" t="s">
        <v>26</v>
      </c>
      <c r="B232" s="1186" t="s">
        <v>282</v>
      </c>
      <c r="C232" s="1186">
        <v>111</v>
      </c>
      <c r="D232" s="1186">
        <v>6</v>
      </c>
      <c r="E232" s="1186">
        <v>5</v>
      </c>
      <c r="F232" s="1186"/>
      <c r="G232" s="1186">
        <v>3</v>
      </c>
      <c r="H232" s="1186"/>
      <c r="I232" s="1186">
        <v>2</v>
      </c>
      <c r="J232" s="1186">
        <v>1</v>
      </c>
      <c r="K232" s="1186">
        <v>4</v>
      </c>
      <c r="L232" s="1186">
        <v>2</v>
      </c>
      <c r="M232" s="1186">
        <v>1</v>
      </c>
      <c r="N232" s="1186"/>
      <c r="O232" s="1186">
        <v>1</v>
      </c>
      <c r="P232" s="1186">
        <v>6</v>
      </c>
      <c r="Q232" s="1186">
        <v>80</v>
      </c>
    </row>
    <row r="233" spans="1:17" x14ac:dyDescent="0.2">
      <c r="A233" s="1186" t="s">
        <v>619</v>
      </c>
      <c r="B233" s="1186" t="s">
        <v>282</v>
      </c>
      <c r="C233" s="1186">
        <v>838</v>
      </c>
      <c r="D233" s="1186">
        <v>61</v>
      </c>
      <c r="E233" s="1186">
        <v>15</v>
      </c>
      <c r="F233" s="1186">
        <v>1</v>
      </c>
      <c r="G233" s="1186">
        <v>16</v>
      </c>
      <c r="H233" s="1186">
        <v>2</v>
      </c>
      <c r="I233" s="1186">
        <v>19</v>
      </c>
      <c r="J233" s="1186">
        <v>9</v>
      </c>
      <c r="K233" s="1186">
        <v>12</v>
      </c>
      <c r="L233" s="1186">
        <v>34</v>
      </c>
      <c r="M233" s="1186">
        <v>28</v>
      </c>
      <c r="N233" s="1186">
        <v>19</v>
      </c>
      <c r="O233" s="1186">
        <v>17</v>
      </c>
      <c r="P233" s="1186">
        <v>26</v>
      </c>
      <c r="Q233" s="1186">
        <v>579</v>
      </c>
    </row>
    <row r="234" spans="1:17" x14ac:dyDescent="0.2">
      <c r="A234" s="1186" t="s">
        <v>27</v>
      </c>
      <c r="B234" s="1186" t="s">
        <v>282</v>
      </c>
      <c r="C234" s="1186">
        <v>92</v>
      </c>
      <c r="D234" s="1186">
        <v>3</v>
      </c>
      <c r="E234" s="1186"/>
      <c r="F234" s="1186">
        <v>2</v>
      </c>
      <c r="G234" s="1186">
        <v>7</v>
      </c>
      <c r="H234" s="1186"/>
      <c r="I234" s="1186">
        <v>1</v>
      </c>
      <c r="J234" s="1186">
        <v>1</v>
      </c>
      <c r="K234" s="1186"/>
      <c r="L234" s="1186"/>
      <c r="M234" s="1186">
        <v>3</v>
      </c>
      <c r="N234" s="1186">
        <v>2</v>
      </c>
      <c r="O234" s="1186">
        <v>1</v>
      </c>
      <c r="P234" s="1186"/>
      <c r="Q234" s="1186">
        <v>72</v>
      </c>
    </row>
    <row r="235" spans="1:17" x14ac:dyDescent="0.2">
      <c r="A235" s="1186" t="s">
        <v>28</v>
      </c>
      <c r="B235" s="1186" t="s">
        <v>282</v>
      </c>
      <c r="C235" s="1186">
        <v>172</v>
      </c>
      <c r="D235" s="1186">
        <v>9</v>
      </c>
      <c r="E235" s="1186">
        <v>8</v>
      </c>
      <c r="F235" s="1186">
        <v>6</v>
      </c>
      <c r="G235" s="1186">
        <v>6</v>
      </c>
      <c r="H235" s="1186">
        <v>2</v>
      </c>
      <c r="I235" s="1186">
        <v>4</v>
      </c>
      <c r="J235" s="1186">
        <v>3</v>
      </c>
      <c r="K235" s="1186">
        <v>2</v>
      </c>
      <c r="L235" s="1186">
        <v>4</v>
      </c>
      <c r="M235" s="1186">
        <v>4</v>
      </c>
      <c r="N235" s="1186">
        <v>3</v>
      </c>
      <c r="O235" s="1186">
        <v>2</v>
      </c>
      <c r="P235" s="1186">
        <v>1</v>
      </c>
      <c r="Q235" s="1186">
        <v>118</v>
      </c>
    </row>
    <row r="236" spans="1:17" x14ac:dyDescent="0.2">
      <c r="A236" s="1186" t="s">
        <v>29</v>
      </c>
      <c r="B236" s="1186" t="s">
        <v>282</v>
      </c>
      <c r="C236" s="1186">
        <v>324</v>
      </c>
      <c r="D236" s="1186">
        <v>12</v>
      </c>
      <c r="E236" s="1186">
        <v>12</v>
      </c>
      <c r="F236" s="1186"/>
      <c r="G236" s="1186">
        <v>12</v>
      </c>
      <c r="H236" s="1186">
        <v>3</v>
      </c>
      <c r="I236" s="1186">
        <v>2</v>
      </c>
      <c r="J236" s="1186">
        <v>2</v>
      </c>
      <c r="K236" s="1186"/>
      <c r="L236" s="1186">
        <v>4</v>
      </c>
      <c r="M236" s="1186">
        <v>5</v>
      </c>
      <c r="N236" s="1186">
        <v>6</v>
      </c>
      <c r="O236" s="1186">
        <v>5</v>
      </c>
      <c r="P236" s="1186">
        <v>4</v>
      </c>
      <c r="Q236" s="1186">
        <v>257</v>
      </c>
    </row>
    <row r="237" spans="1:17" x14ac:dyDescent="0.2">
      <c r="A237" s="1186" t="s">
        <v>30</v>
      </c>
      <c r="B237" s="1186" t="s">
        <v>282</v>
      </c>
      <c r="C237" s="1186">
        <v>201</v>
      </c>
      <c r="D237" s="1186">
        <v>7</v>
      </c>
      <c r="E237" s="1186">
        <v>19</v>
      </c>
      <c r="F237" s="1186">
        <v>1</v>
      </c>
      <c r="G237" s="1186">
        <v>4</v>
      </c>
      <c r="H237" s="1186">
        <v>1</v>
      </c>
      <c r="I237" s="1186"/>
      <c r="J237" s="1186">
        <v>5</v>
      </c>
      <c r="K237" s="1186">
        <v>5</v>
      </c>
      <c r="L237" s="1186"/>
      <c r="M237" s="1186">
        <v>6</v>
      </c>
      <c r="N237" s="1186">
        <v>2</v>
      </c>
      <c r="O237" s="1186">
        <v>2</v>
      </c>
      <c r="P237" s="1186">
        <v>3</v>
      </c>
      <c r="Q237" s="1186">
        <v>146</v>
      </c>
    </row>
    <row r="238" spans="1:17" x14ac:dyDescent="0.2">
      <c r="A238" s="1186" t="s">
        <v>31</v>
      </c>
      <c r="B238" s="1186" t="s">
        <v>282</v>
      </c>
      <c r="C238" s="1186">
        <v>118</v>
      </c>
      <c r="D238" s="1186">
        <v>3</v>
      </c>
      <c r="E238" s="1186">
        <v>9</v>
      </c>
      <c r="F238" s="1186"/>
      <c r="G238" s="1186">
        <v>2</v>
      </c>
      <c r="H238" s="1186"/>
      <c r="I238" s="1186">
        <v>1</v>
      </c>
      <c r="J238" s="1186">
        <v>10</v>
      </c>
      <c r="K238" s="1186">
        <v>1</v>
      </c>
      <c r="L238" s="1186">
        <v>1</v>
      </c>
      <c r="M238" s="1186">
        <v>2</v>
      </c>
      <c r="N238" s="1186">
        <v>7</v>
      </c>
      <c r="O238" s="1186"/>
      <c r="P238" s="1186"/>
      <c r="Q238" s="1186">
        <v>82</v>
      </c>
    </row>
    <row r="239" spans="1:17" x14ac:dyDescent="0.2">
      <c r="A239" s="1186" t="s">
        <v>32</v>
      </c>
      <c r="B239" s="1186" t="s">
        <v>282</v>
      </c>
      <c r="C239" s="1186">
        <v>103</v>
      </c>
      <c r="D239" s="1186">
        <v>8</v>
      </c>
      <c r="E239" s="1186">
        <v>6</v>
      </c>
      <c r="F239" s="1186">
        <v>2</v>
      </c>
      <c r="G239" s="1186">
        <v>4</v>
      </c>
      <c r="H239" s="1186">
        <v>1</v>
      </c>
      <c r="I239" s="1186">
        <v>3</v>
      </c>
      <c r="J239" s="1186">
        <v>1</v>
      </c>
      <c r="K239" s="1186">
        <v>6</v>
      </c>
      <c r="L239" s="1186">
        <v>4</v>
      </c>
      <c r="M239" s="1186"/>
      <c r="N239" s="1186">
        <v>3</v>
      </c>
      <c r="O239" s="1186">
        <v>3</v>
      </c>
      <c r="P239" s="1186">
        <v>3</v>
      </c>
      <c r="Q239" s="1186">
        <v>59</v>
      </c>
    </row>
    <row r="240" spans="1:17" x14ac:dyDescent="0.2">
      <c r="A240" s="1186" t="s">
        <v>33</v>
      </c>
      <c r="B240" s="1186" t="s">
        <v>282</v>
      </c>
      <c r="C240" s="1186">
        <v>82</v>
      </c>
      <c r="D240" s="1186">
        <v>2</v>
      </c>
      <c r="E240" s="1186">
        <v>6</v>
      </c>
      <c r="F240" s="1186"/>
      <c r="G240" s="1186">
        <v>2</v>
      </c>
      <c r="H240" s="1186"/>
      <c r="I240" s="1186">
        <v>1</v>
      </c>
      <c r="J240" s="1186"/>
      <c r="K240" s="1186">
        <v>1</v>
      </c>
      <c r="L240" s="1186"/>
      <c r="M240" s="1186">
        <v>2</v>
      </c>
      <c r="N240" s="1186">
        <v>3</v>
      </c>
      <c r="O240" s="1186"/>
      <c r="P240" s="1186">
        <v>1</v>
      </c>
      <c r="Q240" s="1186">
        <v>64</v>
      </c>
    </row>
    <row r="241" spans="1:17" x14ac:dyDescent="0.2">
      <c r="A241" s="1186" t="s">
        <v>34</v>
      </c>
      <c r="B241" s="1186" t="s">
        <v>282</v>
      </c>
      <c r="C241" s="1186">
        <v>182</v>
      </c>
      <c r="D241" s="1186">
        <v>8</v>
      </c>
      <c r="E241" s="1186">
        <v>13</v>
      </c>
      <c r="F241" s="1186">
        <v>1</v>
      </c>
      <c r="G241" s="1186">
        <v>7</v>
      </c>
      <c r="H241" s="1186">
        <v>1</v>
      </c>
      <c r="I241" s="1186">
        <v>2</v>
      </c>
      <c r="J241" s="1186">
        <v>6</v>
      </c>
      <c r="K241" s="1186">
        <v>1</v>
      </c>
      <c r="L241" s="1186">
        <v>8</v>
      </c>
      <c r="M241" s="1186">
        <v>3</v>
      </c>
      <c r="N241" s="1186">
        <v>6</v>
      </c>
      <c r="O241" s="1186">
        <v>7</v>
      </c>
      <c r="P241" s="1186">
        <v>2</v>
      </c>
      <c r="Q241" s="1186">
        <v>117</v>
      </c>
    </row>
    <row r="242" spans="1:17" x14ac:dyDescent="0.2">
      <c r="A242" s="1186" t="s">
        <v>35</v>
      </c>
      <c r="B242" s="1186" t="s">
        <v>282</v>
      </c>
      <c r="C242" s="1186">
        <v>417</v>
      </c>
      <c r="D242" s="1186">
        <v>17</v>
      </c>
      <c r="E242" s="1186">
        <v>20</v>
      </c>
      <c r="F242" s="1186">
        <v>6</v>
      </c>
      <c r="G242" s="1186">
        <v>26</v>
      </c>
      <c r="H242" s="1186">
        <v>4</v>
      </c>
      <c r="I242" s="1186">
        <v>4</v>
      </c>
      <c r="J242" s="1186">
        <v>4</v>
      </c>
      <c r="K242" s="1186">
        <v>4</v>
      </c>
      <c r="L242" s="1186">
        <v>11</v>
      </c>
      <c r="M242" s="1186">
        <v>13</v>
      </c>
      <c r="N242" s="1186">
        <v>17</v>
      </c>
      <c r="O242" s="1186">
        <v>8</v>
      </c>
      <c r="P242" s="1186">
        <v>11</v>
      </c>
      <c r="Q242" s="1186">
        <v>272</v>
      </c>
    </row>
    <row r="243" spans="1:17" x14ac:dyDescent="0.2">
      <c r="A243" s="1186" t="s">
        <v>36</v>
      </c>
      <c r="B243" s="1186" t="s">
        <v>282</v>
      </c>
      <c r="C243" s="1186">
        <v>1324</v>
      </c>
      <c r="D243" s="1186">
        <v>81</v>
      </c>
      <c r="E243" s="1186">
        <v>28</v>
      </c>
      <c r="F243" s="1186">
        <v>1</v>
      </c>
      <c r="G243" s="1186">
        <v>29</v>
      </c>
      <c r="H243" s="1186">
        <v>7</v>
      </c>
      <c r="I243" s="1186">
        <v>41</v>
      </c>
      <c r="J243" s="1186">
        <v>16</v>
      </c>
      <c r="K243" s="1186">
        <v>20</v>
      </c>
      <c r="L243" s="1186">
        <v>19</v>
      </c>
      <c r="M243" s="1186">
        <v>51</v>
      </c>
      <c r="N243" s="1186">
        <v>34</v>
      </c>
      <c r="O243" s="1186">
        <v>41</v>
      </c>
      <c r="P243" s="1186">
        <v>27</v>
      </c>
      <c r="Q243" s="1186">
        <v>929</v>
      </c>
    </row>
    <row r="244" spans="1:17" x14ac:dyDescent="0.2">
      <c r="A244" s="1186" t="s">
        <v>37</v>
      </c>
      <c r="B244" s="1186" t="s">
        <v>282</v>
      </c>
      <c r="C244" s="1186">
        <v>247</v>
      </c>
      <c r="D244" s="1186">
        <v>20</v>
      </c>
      <c r="E244" s="1186">
        <v>16</v>
      </c>
      <c r="F244" s="1186">
        <v>6</v>
      </c>
      <c r="G244" s="1186">
        <v>12</v>
      </c>
      <c r="H244" s="1186">
        <v>1</v>
      </c>
      <c r="I244" s="1186">
        <v>1</v>
      </c>
      <c r="J244" s="1186"/>
      <c r="K244" s="1186">
        <v>2</v>
      </c>
      <c r="L244" s="1186">
        <v>13</v>
      </c>
      <c r="M244" s="1186">
        <v>9</v>
      </c>
      <c r="N244" s="1186">
        <v>1</v>
      </c>
      <c r="O244" s="1186">
        <v>5</v>
      </c>
      <c r="P244" s="1186">
        <v>5</v>
      </c>
      <c r="Q244" s="1186">
        <v>156</v>
      </c>
    </row>
    <row r="245" spans="1:17" x14ac:dyDescent="0.2">
      <c r="A245" s="1186" t="s">
        <v>38</v>
      </c>
      <c r="B245" s="1186" t="s">
        <v>282</v>
      </c>
      <c r="C245" s="1186">
        <v>163</v>
      </c>
      <c r="D245" s="1186">
        <v>4</v>
      </c>
      <c r="E245" s="1186">
        <v>4</v>
      </c>
      <c r="F245" s="1186"/>
      <c r="G245" s="1186">
        <v>3</v>
      </c>
      <c r="H245" s="1186">
        <v>1</v>
      </c>
      <c r="I245" s="1186"/>
      <c r="J245" s="1186">
        <v>1</v>
      </c>
      <c r="K245" s="1186">
        <v>3</v>
      </c>
      <c r="L245" s="1186">
        <v>2</v>
      </c>
      <c r="M245" s="1186">
        <v>4</v>
      </c>
      <c r="N245" s="1186">
        <v>2</v>
      </c>
      <c r="O245" s="1186">
        <v>5</v>
      </c>
      <c r="P245" s="1186">
        <v>3</v>
      </c>
      <c r="Q245" s="1186">
        <v>131</v>
      </c>
    </row>
    <row r="246" spans="1:17" x14ac:dyDescent="0.2">
      <c r="A246" s="1186" t="s">
        <v>39</v>
      </c>
      <c r="B246" s="1186" t="s">
        <v>282</v>
      </c>
      <c r="C246" s="1186">
        <v>109</v>
      </c>
      <c r="D246" s="1186">
        <v>7</v>
      </c>
      <c r="E246" s="1186">
        <v>6</v>
      </c>
      <c r="F246" s="1186">
        <v>1</v>
      </c>
      <c r="G246" s="1186">
        <v>6</v>
      </c>
      <c r="H246" s="1186"/>
      <c r="I246" s="1186"/>
      <c r="J246" s="1186"/>
      <c r="K246" s="1186">
        <v>2</v>
      </c>
      <c r="L246" s="1186">
        <v>4</v>
      </c>
      <c r="M246" s="1186"/>
      <c r="N246" s="1186">
        <v>2</v>
      </c>
      <c r="O246" s="1186">
        <v>1</v>
      </c>
      <c r="P246" s="1186">
        <v>3</v>
      </c>
      <c r="Q246" s="1186">
        <v>77</v>
      </c>
    </row>
    <row r="247" spans="1:17" x14ac:dyDescent="0.2">
      <c r="A247" s="1186" t="s">
        <v>40</v>
      </c>
      <c r="B247" s="1186" t="s">
        <v>282</v>
      </c>
      <c r="C247" s="1186">
        <v>84</v>
      </c>
      <c r="D247" s="1186">
        <v>5</v>
      </c>
      <c r="E247" s="1186">
        <v>3</v>
      </c>
      <c r="F247" s="1186">
        <v>1</v>
      </c>
      <c r="G247" s="1186">
        <v>5</v>
      </c>
      <c r="H247" s="1186"/>
      <c r="I247" s="1186">
        <v>2</v>
      </c>
      <c r="J247" s="1186">
        <v>1</v>
      </c>
      <c r="K247" s="1186">
        <v>1</v>
      </c>
      <c r="L247" s="1186">
        <v>3</v>
      </c>
      <c r="M247" s="1186">
        <v>1</v>
      </c>
      <c r="N247" s="1186">
        <v>3</v>
      </c>
      <c r="O247" s="1186">
        <v>1</v>
      </c>
      <c r="P247" s="1186">
        <v>3</v>
      </c>
      <c r="Q247" s="1186">
        <v>55</v>
      </c>
    </row>
    <row r="248" spans="1:17" x14ac:dyDescent="0.2">
      <c r="A248" s="1186" t="s">
        <v>295</v>
      </c>
      <c r="B248" s="1186" t="s">
        <v>282</v>
      </c>
      <c r="C248" s="1186">
        <v>27</v>
      </c>
      <c r="D248" s="1186">
        <v>2</v>
      </c>
      <c r="E248" s="1186">
        <v>1</v>
      </c>
      <c r="F248" s="1186"/>
      <c r="G248" s="1186"/>
      <c r="H248" s="1186"/>
      <c r="I248" s="1186"/>
      <c r="J248" s="1186"/>
      <c r="K248" s="1186"/>
      <c r="L248" s="1186"/>
      <c r="M248" s="1186">
        <v>2</v>
      </c>
      <c r="N248" s="1186"/>
      <c r="O248" s="1186"/>
      <c r="P248" s="1186"/>
      <c r="Q248" s="1186">
        <v>22</v>
      </c>
    </row>
    <row r="249" spans="1:17" x14ac:dyDescent="0.2">
      <c r="A249" s="1186" t="s">
        <v>41</v>
      </c>
      <c r="B249" s="1186" t="s">
        <v>282</v>
      </c>
      <c r="C249" s="1186">
        <v>210</v>
      </c>
      <c r="D249" s="1186">
        <v>4</v>
      </c>
      <c r="E249" s="1186">
        <v>7</v>
      </c>
      <c r="F249" s="1186">
        <v>1</v>
      </c>
      <c r="G249" s="1186">
        <v>6</v>
      </c>
      <c r="H249" s="1186">
        <v>1</v>
      </c>
      <c r="I249" s="1186">
        <v>2</v>
      </c>
      <c r="J249" s="1186"/>
      <c r="K249" s="1186">
        <v>2</v>
      </c>
      <c r="L249" s="1186">
        <v>4</v>
      </c>
      <c r="M249" s="1186">
        <v>7</v>
      </c>
      <c r="N249" s="1186">
        <v>2</v>
      </c>
      <c r="O249" s="1186">
        <v>1</v>
      </c>
      <c r="P249" s="1186">
        <v>6</v>
      </c>
      <c r="Q249" s="1186">
        <v>167</v>
      </c>
    </row>
    <row r="250" spans="1:17" x14ac:dyDescent="0.2">
      <c r="A250" s="1186" t="s">
        <v>42</v>
      </c>
      <c r="B250" s="1186" t="s">
        <v>282</v>
      </c>
      <c r="C250" s="1186">
        <v>465</v>
      </c>
      <c r="D250" s="1186">
        <v>12</v>
      </c>
      <c r="E250" s="1186">
        <v>27</v>
      </c>
      <c r="F250" s="1186">
        <v>2</v>
      </c>
      <c r="G250" s="1186">
        <v>10</v>
      </c>
      <c r="H250" s="1186">
        <v>4</v>
      </c>
      <c r="I250" s="1186">
        <v>4</v>
      </c>
      <c r="J250" s="1186">
        <v>5</v>
      </c>
      <c r="K250" s="1186">
        <v>9</v>
      </c>
      <c r="L250" s="1186">
        <v>8</v>
      </c>
      <c r="M250" s="1186">
        <v>11</v>
      </c>
      <c r="N250" s="1186">
        <v>8</v>
      </c>
      <c r="O250" s="1186">
        <v>5</v>
      </c>
      <c r="P250" s="1186">
        <v>7</v>
      </c>
      <c r="Q250" s="1186">
        <v>353</v>
      </c>
    </row>
    <row r="251" spans="1:17" x14ac:dyDescent="0.2">
      <c r="A251" s="1186" t="s">
        <v>43</v>
      </c>
      <c r="B251" s="1186" t="s">
        <v>282</v>
      </c>
      <c r="C251" s="1186">
        <v>12</v>
      </c>
      <c r="D251" s="1186"/>
      <c r="E251" s="1186">
        <v>1</v>
      </c>
      <c r="F251" s="1186">
        <v>2</v>
      </c>
      <c r="G251" s="1186"/>
      <c r="H251" s="1186"/>
      <c r="I251" s="1186"/>
      <c r="J251" s="1186"/>
      <c r="K251" s="1186"/>
      <c r="L251" s="1186"/>
      <c r="M251" s="1186"/>
      <c r="N251" s="1186">
        <v>1</v>
      </c>
      <c r="O251" s="1186"/>
      <c r="P251" s="1186">
        <v>1</v>
      </c>
      <c r="Q251" s="1186">
        <v>7</v>
      </c>
    </row>
    <row r="252" spans="1:17" x14ac:dyDescent="0.2">
      <c r="A252" s="1186" t="s">
        <v>44</v>
      </c>
      <c r="B252" s="1186" t="s">
        <v>282</v>
      </c>
      <c r="C252" s="1186">
        <v>216</v>
      </c>
      <c r="D252" s="1186">
        <v>14</v>
      </c>
      <c r="E252" s="1186">
        <v>11</v>
      </c>
      <c r="F252" s="1186">
        <v>10</v>
      </c>
      <c r="G252" s="1186">
        <v>6</v>
      </c>
      <c r="H252" s="1186">
        <v>4</v>
      </c>
      <c r="I252" s="1186">
        <v>2</v>
      </c>
      <c r="J252" s="1186">
        <v>6</v>
      </c>
      <c r="K252" s="1186">
        <v>1</v>
      </c>
      <c r="L252" s="1186">
        <v>9</v>
      </c>
      <c r="M252" s="1186">
        <v>4</v>
      </c>
      <c r="N252" s="1186">
        <v>2</v>
      </c>
      <c r="O252" s="1186"/>
      <c r="P252" s="1186">
        <v>1</v>
      </c>
      <c r="Q252" s="1186">
        <v>146</v>
      </c>
    </row>
    <row r="253" spans="1:17" x14ac:dyDescent="0.2">
      <c r="A253" s="1186" t="s">
        <v>45</v>
      </c>
      <c r="B253" s="1186" t="s">
        <v>282</v>
      </c>
      <c r="C253" s="1186">
        <v>283</v>
      </c>
      <c r="D253" s="1186">
        <v>17</v>
      </c>
      <c r="E253" s="1186">
        <v>10</v>
      </c>
      <c r="F253" s="1186">
        <v>1</v>
      </c>
      <c r="G253" s="1186">
        <v>8</v>
      </c>
      <c r="H253" s="1186">
        <v>3</v>
      </c>
      <c r="I253" s="1186">
        <v>6</v>
      </c>
      <c r="J253" s="1186"/>
      <c r="K253" s="1186">
        <v>5</v>
      </c>
      <c r="L253" s="1186">
        <v>2</v>
      </c>
      <c r="M253" s="1186">
        <v>13</v>
      </c>
      <c r="N253" s="1186">
        <v>2</v>
      </c>
      <c r="O253" s="1186">
        <v>3</v>
      </c>
      <c r="P253" s="1186">
        <v>8</v>
      </c>
      <c r="Q253" s="1186">
        <v>205</v>
      </c>
    </row>
    <row r="254" spans="1:17" x14ac:dyDescent="0.2">
      <c r="A254" s="1186" t="s">
        <v>46</v>
      </c>
      <c r="B254" s="1186" t="s">
        <v>282</v>
      </c>
      <c r="C254" s="1186">
        <v>133</v>
      </c>
      <c r="D254" s="1186">
        <v>2</v>
      </c>
      <c r="E254" s="1186">
        <v>12</v>
      </c>
      <c r="F254" s="1186">
        <v>9</v>
      </c>
      <c r="G254" s="1186">
        <v>3</v>
      </c>
      <c r="H254" s="1186"/>
      <c r="I254" s="1186"/>
      <c r="J254" s="1186"/>
      <c r="K254" s="1186"/>
      <c r="L254" s="1186">
        <v>2</v>
      </c>
      <c r="M254" s="1186">
        <v>4</v>
      </c>
      <c r="N254" s="1186">
        <v>5</v>
      </c>
      <c r="O254" s="1186">
        <v>2</v>
      </c>
      <c r="P254" s="1186">
        <v>3</v>
      </c>
      <c r="Q254" s="1186">
        <v>91</v>
      </c>
    </row>
    <row r="255" spans="1:17" x14ac:dyDescent="0.2">
      <c r="A255" s="1186" t="s">
        <v>47</v>
      </c>
      <c r="B255" s="1186" t="s">
        <v>282</v>
      </c>
      <c r="C255" s="1186">
        <v>17</v>
      </c>
      <c r="D255" s="1186"/>
      <c r="E255" s="1186">
        <v>1</v>
      </c>
      <c r="F255" s="1186"/>
      <c r="G255" s="1186">
        <v>2</v>
      </c>
      <c r="H255" s="1186"/>
      <c r="I255" s="1186"/>
      <c r="J255" s="1186"/>
      <c r="K255" s="1186">
        <v>1</v>
      </c>
      <c r="L255" s="1186"/>
      <c r="M255" s="1186"/>
      <c r="N255" s="1186">
        <v>1</v>
      </c>
      <c r="O255" s="1186">
        <v>2</v>
      </c>
      <c r="P255" s="1186">
        <v>1</v>
      </c>
      <c r="Q255" s="1186">
        <v>9</v>
      </c>
    </row>
    <row r="256" spans="1:17" x14ac:dyDescent="0.2">
      <c r="A256" s="1186" t="s">
        <v>48</v>
      </c>
      <c r="B256" s="1186" t="s">
        <v>282</v>
      </c>
      <c r="C256" s="1186">
        <v>141</v>
      </c>
      <c r="D256" s="1186">
        <v>10</v>
      </c>
      <c r="E256" s="1186">
        <v>5</v>
      </c>
      <c r="F256" s="1186">
        <v>3</v>
      </c>
      <c r="G256" s="1186">
        <v>3</v>
      </c>
      <c r="H256" s="1186">
        <v>1</v>
      </c>
      <c r="I256" s="1186">
        <v>1</v>
      </c>
      <c r="J256" s="1186">
        <v>1</v>
      </c>
      <c r="K256" s="1186">
        <v>3</v>
      </c>
      <c r="L256" s="1186">
        <v>4</v>
      </c>
      <c r="M256" s="1186">
        <v>6</v>
      </c>
      <c r="N256" s="1186">
        <v>3</v>
      </c>
      <c r="O256" s="1186">
        <v>1</v>
      </c>
      <c r="P256" s="1186">
        <v>3</v>
      </c>
      <c r="Q256" s="1186">
        <v>97</v>
      </c>
    </row>
    <row r="257" spans="1:17" x14ac:dyDescent="0.2">
      <c r="A257" s="1186" t="s">
        <v>49</v>
      </c>
      <c r="B257" s="1186" t="s">
        <v>282</v>
      </c>
      <c r="C257" s="1186">
        <v>361</v>
      </c>
      <c r="D257" s="1186">
        <v>12</v>
      </c>
      <c r="E257" s="1186">
        <v>27</v>
      </c>
      <c r="F257" s="1186">
        <v>6</v>
      </c>
      <c r="G257" s="1186">
        <v>12</v>
      </c>
      <c r="H257" s="1186">
        <v>4</v>
      </c>
      <c r="I257" s="1186">
        <v>6</v>
      </c>
      <c r="J257" s="1186">
        <v>2</v>
      </c>
      <c r="K257" s="1186">
        <v>6</v>
      </c>
      <c r="L257" s="1186">
        <v>6</v>
      </c>
      <c r="M257" s="1186">
        <v>14</v>
      </c>
      <c r="N257" s="1186">
        <v>3</v>
      </c>
      <c r="O257" s="1186">
        <v>3</v>
      </c>
      <c r="P257" s="1186">
        <v>10</v>
      </c>
      <c r="Q257" s="1186">
        <v>250</v>
      </c>
    </row>
    <row r="258" spans="1:17" x14ac:dyDescent="0.2">
      <c r="A258" s="1186" t="s">
        <v>50</v>
      </c>
      <c r="B258" s="1186" t="s">
        <v>282</v>
      </c>
      <c r="C258" s="1186">
        <v>130</v>
      </c>
      <c r="D258" s="1186">
        <v>8</v>
      </c>
      <c r="E258" s="1186">
        <v>6</v>
      </c>
      <c r="F258" s="1186">
        <v>1</v>
      </c>
      <c r="G258" s="1186">
        <v>5</v>
      </c>
      <c r="H258" s="1186"/>
      <c r="I258" s="1186">
        <v>2</v>
      </c>
      <c r="J258" s="1186">
        <v>10</v>
      </c>
      <c r="K258" s="1186">
        <v>1</v>
      </c>
      <c r="L258" s="1186">
        <v>4</v>
      </c>
      <c r="M258" s="1186">
        <v>2</v>
      </c>
      <c r="N258" s="1186">
        <v>2</v>
      </c>
      <c r="O258" s="1186">
        <v>1</v>
      </c>
      <c r="P258" s="1186">
        <v>2</v>
      </c>
      <c r="Q258" s="1186">
        <v>86</v>
      </c>
    </row>
    <row r="259" spans="1:17" x14ac:dyDescent="0.2">
      <c r="A259" s="1186" t="s">
        <v>51</v>
      </c>
      <c r="B259" s="1186" t="s">
        <v>282</v>
      </c>
      <c r="C259" s="1186">
        <v>187</v>
      </c>
      <c r="D259" s="1186">
        <v>15</v>
      </c>
      <c r="E259" s="1186">
        <v>4</v>
      </c>
      <c r="F259" s="1186"/>
      <c r="G259" s="1186">
        <v>2</v>
      </c>
      <c r="H259" s="1186">
        <v>1</v>
      </c>
      <c r="I259" s="1186">
        <v>2</v>
      </c>
      <c r="J259" s="1186"/>
      <c r="K259" s="1186">
        <v>2</v>
      </c>
      <c r="L259" s="1186">
        <v>2</v>
      </c>
      <c r="M259" s="1186">
        <v>7</v>
      </c>
      <c r="N259" s="1186">
        <v>7</v>
      </c>
      <c r="O259" s="1186">
        <v>1</v>
      </c>
      <c r="P259" s="1186">
        <v>1</v>
      </c>
      <c r="Q259" s="1186">
        <v>143</v>
      </c>
    </row>
    <row r="260" spans="1:17" x14ac:dyDescent="0.2">
      <c r="A260" s="1186" t="s">
        <v>52</v>
      </c>
      <c r="B260" s="1186" t="s">
        <v>282</v>
      </c>
      <c r="C260" s="1186">
        <v>212</v>
      </c>
      <c r="D260" s="1186">
        <v>14</v>
      </c>
      <c r="E260" s="1186">
        <v>8</v>
      </c>
      <c r="F260" s="1186">
        <v>3</v>
      </c>
      <c r="G260" s="1186">
        <v>9</v>
      </c>
      <c r="H260" s="1186">
        <v>3</v>
      </c>
      <c r="I260" s="1186"/>
      <c r="J260" s="1186">
        <v>5</v>
      </c>
      <c r="K260" s="1186">
        <v>3</v>
      </c>
      <c r="L260" s="1186">
        <v>9</v>
      </c>
      <c r="M260" s="1186">
        <v>4</v>
      </c>
      <c r="N260" s="1186">
        <v>4</v>
      </c>
      <c r="O260" s="1186">
        <v>7</v>
      </c>
      <c r="P260" s="1186">
        <v>5</v>
      </c>
      <c r="Q260" s="1186">
        <v>138</v>
      </c>
    </row>
    <row r="261" spans="1:17" x14ac:dyDescent="0.2">
      <c r="A261" s="1186" t="s">
        <v>23</v>
      </c>
      <c r="B261" s="1186" t="s">
        <v>311</v>
      </c>
      <c r="C261" s="1186">
        <v>375</v>
      </c>
      <c r="D261" s="1186">
        <v>17</v>
      </c>
      <c r="E261" s="1186">
        <v>10</v>
      </c>
      <c r="F261" s="1186"/>
      <c r="G261" s="1186">
        <v>6</v>
      </c>
      <c r="H261" s="1186">
        <v>3</v>
      </c>
      <c r="I261" s="1186">
        <v>9</v>
      </c>
      <c r="J261" s="1186">
        <v>2</v>
      </c>
      <c r="K261" s="1186">
        <v>1</v>
      </c>
      <c r="L261" s="1186">
        <v>9</v>
      </c>
      <c r="M261" s="1186">
        <v>10</v>
      </c>
      <c r="N261" s="1186">
        <v>12</v>
      </c>
      <c r="O261" s="1186">
        <v>14</v>
      </c>
      <c r="P261" s="1186">
        <v>5</v>
      </c>
      <c r="Q261" s="1186">
        <v>277</v>
      </c>
    </row>
    <row r="262" spans="1:17" x14ac:dyDescent="0.2">
      <c r="A262" s="1186" t="s">
        <v>24</v>
      </c>
      <c r="B262" s="1186" t="s">
        <v>311</v>
      </c>
      <c r="C262" s="1186">
        <v>273</v>
      </c>
      <c r="D262" s="1186">
        <v>11</v>
      </c>
      <c r="E262" s="1186">
        <v>11</v>
      </c>
      <c r="F262" s="1186">
        <v>12</v>
      </c>
      <c r="G262" s="1186">
        <v>16</v>
      </c>
      <c r="H262" s="1186"/>
      <c r="I262" s="1186">
        <v>5</v>
      </c>
      <c r="J262" s="1186">
        <v>18</v>
      </c>
      <c r="K262" s="1186">
        <v>4</v>
      </c>
      <c r="L262" s="1186">
        <v>4</v>
      </c>
      <c r="M262" s="1186">
        <v>6</v>
      </c>
      <c r="N262" s="1186">
        <v>9</v>
      </c>
      <c r="O262" s="1186">
        <v>3</v>
      </c>
      <c r="P262" s="1186">
        <v>7</v>
      </c>
      <c r="Q262" s="1186">
        <v>167</v>
      </c>
    </row>
    <row r="263" spans="1:17" x14ac:dyDescent="0.2">
      <c r="A263" s="1186" t="s">
        <v>25</v>
      </c>
      <c r="B263" s="1186" t="s">
        <v>311</v>
      </c>
      <c r="C263" s="1186">
        <v>113</v>
      </c>
      <c r="D263" s="1186">
        <v>3</v>
      </c>
      <c r="E263" s="1186">
        <v>8</v>
      </c>
      <c r="F263" s="1186">
        <v>4</v>
      </c>
      <c r="G263" s="1186">
        <v>4</v>
      </c>
      <c r="H263" s="1186"/>
      <c r="I263" s="1186"/>
      <c r="J263" s="1186">
        <v>4</v>
      </c>
      <c r="K263" s="1186"/>
      <c r="L263" s="1186">
        <v>5</v>
      </c>
      <c r="M263" s="1186">
        <v>2</v>
      </c>
      <c r="N263" s="1186">
        <v>1</v>
      </c>
      <c r="O263" s="1186"/>
      <c r="P263" s="1186">
        <v>3</v>
      </c>
      <c r="Q263" s="1186">
        <v>79</v>
      </c>
    </row>
    <row r="264" spans="1:17" x14ac:dyDescent="0.2">
      <c r="A264" s="1186" t="s">
        <v>26</v>
      </c>
      <c r="B264" s="1186" t="s">
        <v>311</v>
      </c>
      <c r="C264" s="1186">
        <v>138</v>
      </c>
      <c r="D264" s="1186">
        <v>16</v>
      </c>
      <c r="E264" s="1186">
        <v>3</v>
      </c>
      <c r="F264" s="1186">
        <v>6</v>
      </c>
      <c r="G264" s="1186">
        <v>5</v>
      </c>
      <c r="H264" s="1186">
        <v>2</v>
      </c>
      <c r="I264" s="1186">
        <v>2</v>
      </c>
      <c r="J264" s="1186"/>
      <c r="K264" s="1186">
        <v>1</v>
      </c>
      <c r="L264" s="1186">
        <v>2</v>
      </c>
      <c r="M264" s="1186">
        <v>3</v>
      </c>
      <c r="N264" s="1186">
        <v>4</v>
      </c>
      <c r="O264" s="1186">
        <v>1</v>
      </c>
      <c r="P264" s="1186">
        <v>6</v>
      </c>
      <c r="Q264" s="1186">
        <v>87</v>
      </c>
    </row>
    <row r="265" spans="1:17" x14ac:dyDescent="0.2">
      <c r="A265" s="1186" t="s">
        <v>619</v>
      </c>
      <c r="B265" s="1186" t="s">
        <v>311</v>
      </c>
      <c r="C265" s="1186">
        <v>766</v>
      </c>
      <c r="D265" s="1186">
        <v>56</v>
      </c>
      <c r="E265" s="1186">
        <v>18</v>
      </c>
      <c r="F265" s="1186"/>
      <c r="G265" s="1186">
        <v>6</v>
      </c>
      <c r="H265" s="1186"/>
      <c r="I265" s="1186">
        <v>17</v>
      </c>
      <c r="J265" s="1186">
        <v>17</v>
      </c>
      <c r="K265" s="1186">
        <v>11</v>
      </c>
      <c r="L265" s="1186">
        <v>30</v>
      </c>
      <c r="M265" s="1186">
        <v>23</v>
      </c>
      <c r="N265" s="1186">
        <v>23</v>
      </c>
      <c r="O265" s="1186">
        <v>25</v>
      </c>
      <c r="P265" s="1186">
        <v>14</v>
      </c>
      <c r="Q265" s="1186">
        <v>526</v>
      </c>
    </row>
    <row r="266" spans="1:17" x14ac:dyDescent="0.2">
      <c r="A266" s="1186" t="s">
        <v>27</v>
      </c>
      <c r="B266" s="1186" t="s">
        <v>311</v>
      </c>
      <c r="C266" s="1186">
        <v>72</v>
      </c>
      <c r="D266" s="1186">
        <v>3</v>
      </c>
      <c r="E266" s="1186">
        <v>4</v>
      </c>
      <c r="F266" s="1186">
        <v>1</v>
      </c>
      <c r="G266" s="1186">
        <v>7</v>
      </c>
      <c r="H266" s="1186"/>
      <c r="I266" s="1186">
        <v>1</v>
      </c>
      <c r="J266" s="1186">
        <v>1</v>
      </c>
      <c r="K266" s="1186"/>
      <c r="L266" s="1186"/>
      <c r="M266" s="1186"/>
      <c r="N266" s="1186">
        <v>2</v>
      </c>
      <c r="O266" s="1186"/>
      <c r="P266" s="1186">
        <v>2</v>
      </c>
      <c r="Q266" s="1186">
        <v>51</v>
      </c>
    </row>
    <row r="267" spans="1:17" x14ac:dyDescent="0.2">
      <c r="A267" s="1186" t="s">
        <v>28</v>
      </c>
      <c r="B267" s="1186" t="s">
        <v>311</v>
      </c>
      <c r="C267" s="1186">
        <v>152</v>
      </c>
      <c r="D267" s="1186">
        <v>6</v>
      </c>
      <c r="E267" s="1186">
        <v>9</v>
      </c>
      <c r="F267" s="1186">
        <v>5</v>
      </c>
      <c r="G267" s="1186">
        <v>6</v>
      </c>
      <c r="H267" s="1186">
        <v>1</v>
      </c>
      <c r="I267" s="1186"/>
      <c r="J267" s="1186">
        <v>1</v>
      </c>
      <c r="K267" s="1186">
        <v>3</v>
      </c>
      <c r="L267" s="1186">
        <v>8</v>
      </c>
      <c r="M267" s="1186">
        <v>1</v>
      </c>
      <c r="N267" s="1186">
        <v>4</v>
      </c>
      <c r="O267" s="1186">
        <v>2</v>
      </c>
      <c r="P267" s="1186">
        <v>3</v>
      </c>
      <c r="Q267" s="1186">
        <v>103</v>
      </c>
    </row>
    <row r="268" spans="1:17" x14ac:dyDescent="0.2">
      <c r="A268" s="1186" t="s">
        <v>29</v>
      </c>
      <c r="B268" s="1186" t="s">
        <v>311</v>
      </c>
      <c r="C268" s="1186">
        <v>275</v>
      </c>
      <c r="D268" s="1186">
        <v>17</v>
      </c>
      <c r="E268" s="1186">
        <v>10</v>
      </c>
      <c r="F268" s="1186"/>
      <c r="G268" s="1186">
        <v>6</v>
      </c>
      <c r="H268" s="1186">
        <v>2</v>
      </c>
      <c r="I268" s="1186">
        <v>1</v>
      </c>
      <c r="J268" s="1186">
        <v>4</v>
      </c>
      <c r="K268" s="1186">
        <v>3</v>
      </c>
      <c r="L268" s="1186">
        <v>3</v>
      </c>
      <c r="M268" s="1186">
        <v>5</v>
      </c>
      <c r="N268" s="1186">
        <v>6</v>
      </c>
      <c r="O268" s="1186"/>
      <c r="P268" s="1186">
        <v>3</v>
      </c>
      <c r="Q268" s="1186">
        <v>215</v>
      </c>
    </row>
    <row r="269" spans="1:17" x14ac:dyDescent="0.2">
      <c r="A269" s="1186" t="s">
        <v>30</v>
      </c>
      <c r="B269" s="1186" t="s">
        <v>311</v>
      </c>
      <c r="C269" s="1186">
        <v>120</v>
      </c>
      <c r="D269" s="1186">
        <v>1</v>
      </c>
      <c r="E269" s="1186">
        <v>9</v>
      </c>
      <c r="F269" s="1186">
        <v>1</v>
      </c>
      <c r="G269" s="1186">
        <v>3</v>
      </c>
      <c r="H269" s="1186">
        <v>1</v>
      </c>
      <c r="I269" s="1186"/>
      <c r="J269" s="1186">
        <v>10</v>
      </c>
      <c r="K269" s="1186">
        <v>4</v>
      </c>
      <c r="L269" s="1186">
        <v>1</v>
      </c>
      <c r="M269" s="1186">
        <v>1</v>
      </c>
      <c r="N269" s="1186">
        <v>1</v>
      </c>
      <c r="O269" s="1186"/>
      <c r="P269" s="1186">
        <v>1</v>
      </c>
      <c r="Q269" s="1186">
        <v>87</v>
      </c>
    </row>
    <row r="270" spans="1:17" x14ac:dyDescent="0.2">
      <c r="A270" s="1186" t="s">
        <v>31</v>
      </c>
      <c r="B270" s="1186" t="s">
        <v>311</v>
      </c>
      <c r="C270" s="1186">
        <v>101</v>
      </c>
      <c r="D270" s="1186">
        <v>6</v>
      </c>
      <c r="E270" s="1186">
        <v>6</v>
      </c>
      <c r="F270" s="1186"/>
      <c r="G270" s="1186">
        <v>1</v>
      </c>
      <c r="H270" s="1186"/>
      <c r="I270" s="1186"/>
      <c r="J270" s="1186">
        <v>5</v>
      </c>
      <c r="K270" s="1186">
        <v>3</v>
      </c>
      <c r="L270" s="1186">
        <v>1</v>
      </c>
      <c r="M270" s="1186">
        <v>5</v>
      </c>
      <c r="N270" s="1186">
        <v>3</v>
      </c>
      <c r="O270" s="1186">
        <v>1</v>
      </c>
      <c r="P270" s="1186">
        <v>3</v>
      </c>
      <c r="Q270" s="1186">
        <v>67</v>
      </c>
    </row>
    <row r="271" spans="1:17" x14ac:dyDescent="0.2">
      <c r="A271" s="1186" t="s">
        <v>32</v>
      </c>
      <c r="B271" s="1186" t="s">
        <v>311</v>
      </c>
      <c r="C271" s="1186">
        <v>114</v>
      </c>
      <c r="D271" s="1186">
        <v>5</v>
      </c>
      <c r="E271" s="1186">
        <v>7</v>
      </c>
      <c r="F271" s="1186">
        <v>3</v>
      </c>
      <c r="G271" s="1186">
        <v>5</v>
      </c>
      <c r="H271" s="1186"/>
      <c r="I271" s="1186">
        <v>2</v>
      </c>
      <c r="J271" s="1186"/>
      <c r="K271" s="1186">
        <v>1</v>
      </c>
      <c r="L271" s="1186">
        <v>2</v>
      </c>
      <c r="M271" s="1186">
        <v>3</v>
      </c>
      <c r="N271" s="1186">
        <v>8</v>
      </c>
      <c r="O271" s="1186">
        <v>2</v>
      </c>
      <c r="P271" s="1186"/>
      <c r="Q271" s="1186">
        <v>76</v>
      </c>
    </row>
    <row r="272" spans="1:17" x14ac:dyDescent="0.2">
      <c r="A272" s="1186" t="s">
        <v>33</v>
      </c>
      <c r="B272" s="1186" t="s">
        <v>311</v>
      </c>
      <c r="C272" s="1186">
        <v>107</v>
      </c>
      <c r="D272" s="1186">
        <v>2</v>
      </c>
      <c r="E272" s="1186">
        <v>5</v>
      </c>
      <c r="F272" s="1186"/>
      <c r="G272" s="1186">
        <v>3</v>
      </c>
      <c r="H272" s="1186">
        <v>2</v>
      </c>
      <c r="I272" s="1186"/>
      <c r="J272" s="1186"/>
      <c r="K272" s="1186">
        <v>2</v>
      </c>
      <c r="L272" s="1186">
        <v>2</v>
      </c>
      <c r="M272" s="1186">
        <v>3</v>
      </c>
      <c r="N272" s="1186">
        <v>3</v>
      </c>
      <c r="O272" s="1186">
        <v>1</v>
      </c>
      <c r="P272" s="1186"/>
      <c r="Q272" s="1186">
        <v>84</v>
      </c>
    </row>
    <row r="273" spans="1:17" x14ac:dyDescent="0.2">
      <c r="A273" s="1186" t="s">
        <v>34</v>
      </c>
      <c r="B273" s="1186" t="s">
        <v>311</v>
      </c>
      <c r="C273" s="1186">
        <v>218</v>
      </c>
      <c r="D273" s="1186">
        <v>6</v>
      </c>
      <c r="E273" s="1186">
        <v>15</v>
      </c>
      <c r="F273" s="1186">
        <v>3</v>
      </c>
      <c r="G273" s="1186">
        <v>13</v>
      </c>
      <c r="H273" s="1186"/>
      <c r="I273" s="1186">
        <v>1</v>
      </c>
      <c r="J273" s="1186">
        <v>33</v>
      </c>
      <c r="K273" s="1186">
        <v>4</v>
      </c>
      <c r="L273" s="1186">
        <v>3</v>
      </c>
      <c r="M273" s="1186">
        <v>7</v>
      </c>
      <c r="N273" s="1186">
        <v>2</v>
      </c>
      <c r="O273" s="1186">
        <v>6</v>
      </c>
      <c r="P273" s="1186">
        <v>3</v>
      </c>
      <c r="Q273" s="1186">
        <v>122</v>
      </c>
    </row>
    <row r="274" spans="1:17" x14ac:dyDescent="0.2">
      <c r="A274" s="1186" t="s">
        <v>35</v>
      </c>
      <c r="B274" s="1186" t="s">
        <v>311</v>
      </c>
      <c r="C274" s="1186">
        <v>459</v>
      </c>
      <c r="D274" s="1186">
        <v>23</v>
      </c>
      <c r="E274" s="1186">
        <v>34</v>
      </c>
      <c r="F274" s="1186">
        <v>5</v>
      </c>
      <c r="G274" s="1186">
        <v>15</v>
      </c>
      <c r="H274" s="1186">
        <v>3</v>
      </c>
      <c r="I274" s="1186">
        <v>8</v>
      </c>
      <c r="J274" s="1186">
        <v>1</v>
      </c>
      <c r="K274" s="1186">
        <v>8</v>
      </c>
      <c r="L274" s="1186">
        <v>8</v>
      </c>
      <c r="M274" s="1186">
        <v>9</v>
      </c>
      <c r="N274" s="1186">
        <v>17</v>
      </c>
      <c r="O274" s="1186">
        <v>8</v>
      </c>
      <c r="P274" s="1186">
        <v>16</v>
      </c>
      <c r="Q274" s="1186">
        <v>304</v>
      </c>
    </row>
    <row r="275" spans="1:17" x14ac:dyDescent="0.2">
      <c r="A275" s="1186" t="s">
        <v>36</v>
      </c>
      <c r="B275" s="1186" t="s">
        <v>311</v>
      </c>
      <c r="C275" s="1186">
        <v>1330</v>
      </c>
      <c r="D275" s="1186">
        <v>79</v>
      </c>
      <c r="E275" s="1186">
        <v>39</v>
      </c>
      <c r="F275" s="1186"/>
      <c r="G275" s="1186">
        <v>18</v>
      </c>
      <c r="H275" s="1186">
        <v>8</v>
      </c>
      <c r="I275" s="1186">
        <v>31</v>
      </c>
      <c r="J275" s="1186">
        <v>18</v>
      </c>
      <c r="K275" s="1186">
        <v>17</v>
      </c>
      <c r="L275" s="1186">
        <v>20</v>
      </c>
      <c r="M275" s="1186">
        <v>40</v>
      </c>
      <c r="N275" s="1186">
        <v>28</v>
      </c>
      <c r="O275" s="1186">
        <v>28</v>
      </c>
      <c r="P275" s="1186">
        <v>42</v>
      </c>
      <c r="Q275" s="1186">
        <v>962</v>
      </c>
    </row>
    <row r="276" spans="1:17" x14ac:dyDescent="0.2">
      <c r="A276" s="1186" t="s">
        <v>37</v>
      </c>
      <c r="B276" s="1186" t="s">
        <v>311</v>
      </c>
      <c r="C276" s="1186">
        <v>238</v>
      </c>
      <c r="D276" s="1186">
        <v>13</v>
      </c>
      <c r="E276" s="1186">
        <v>17</v>
      </c>
      <c r="F276" s="1186">
        <v>1</v>
      </c>
      <c r="G276" s="1186">
        <v>9</v>
      </c>
      <c r="H276" s="1186">
        <v>1</v>
      </c>
      <c r="I276" s="1186">
        <v>2</v>
      </c>
      <c r="J276" s="1186">
        <v>1</v>
      </c>
      <c r="K276" s="1186">
        <v>5</v>
      </c>
      <c r="L276" s="1186">
        <v>11</v>
      </c>
      <c r="M276" s="1186">
        <v>5</v>
      </c>
      <c r="N276" s="1186">
        <v>3</v>
      </c>
      <c r="O276" s="1186">
        <v>8</v>
      </c>
      <c r="P276" s="1186">
        <v>12</v>
      </c>
      <c r="Q276" s="1186">
        <v>150</v>
      </c>
    </row>
    <row r="277" spans="1:17" x14ac:dyDescent="0.2">
      <c r="A277" s="1186" t="s">
        <v>38</v>
      </c>
      <c r="B277" s="1186" t="s">
        <v>311</v>
      </c>
      <c r="C277" s="1186">
        <v>136</v>
      </c>
      <c r="D277" s="1186">
        <v>3</v>
      </c>
      <c r="E277" s="1186">
        <v>5</v>
      </c>
      <c r="F277" s="1186">
        <v>2</v>
      </c>
      <c r="G277" s="1186">
        <v>3</v>
      </c>
      <c r="H277" s="1186"/>
      <c r="I277" s="1186"/>
      <c r="J277" s="1186">
        <v>1</v>
      </c>
      <c r="K277" s="1186">
        <v>4</v>
      </c>
      <c r="L277" s="1186">
        <v>3</v>
      </c>
      <c r="M277" s="1186">
        <v>6</v>
      </c>
      <c r="N277" s="1186">
        <v>1</v>
      </c>
      <c r="O277" s="1186">
        <v>1</v>
      </c>
      <c r="P277" s="1186">
        <v>4</v>
      </c>
      <c r="Q277" s="1186">
        <v>103</v>
      </c>
    </row>
    <row r="278" spans="1:17" x14ac:dyDescent="0.2">
      <c r="A278" s="1186" t="s">
        <v>39</v>
      </c>
      <c r="B278" s="1186" t="s">
        <v>311</v>
      </c>
      <c r="C278" s="1186">
        <v>107</v>
      </c>
      <c r="D278" s="1186">
        <v>12</v>
      </c>
      <c r="E278" s="1186">
        <v>6</v>
      </c>
      <c r="F278" s="1186">
        <v>2</v>
      </c>
      <c r="G278" s="1186">
        <v>1</v>
      </c>
      <c r="H278" s="1186"/>
      <c r="I278" s="1186">
        <v>1</v>
      </c>
      <c r="J278" s="1186"/>
      <c r="K278" s="1186">
        <v>1</v>
      </c>
      <c r="L278" s="1186">
        <v>3</v>
      </c>
      <c r="M278" s="1186">
        <v>2</v>
      </c>
      <c r="N278" s="1186">
        <v>3</v>
      </c>
      <c r="O278" s="1186">
        <v>1</v>
      </c>
      <c r="P278" s="1186">
        <v>5</v>
      </c>
      <c r="Q278" s="1186">
        <v>70</v>
      </c>
    </row>
    <row r="279" spans="1:17" x14ac:dyDescent="0.2">
      <c r="A279" s="1186" t="s">
        <v>40</v>
      </c>
      <c r="B279" s="1186" t="s">
        <v>311</v>
      </c>
      <c r="C279" s="1186">
        <v>75</v>
      </c>
      <c r="D279" s="1186">
        <v>1</v>
      </c>
      <c r="E279" s="1186">
        <v>10</v>
      </c>
      <c r="F279" s="1186">
        <v>4</v>
      </c>
      <c r="G279" s="1186">
        <v>4</v>
      </c>
      <c r="H279" s="1186"/>
      <c r="I279" s="1186">
        <v>1</v>
      </c>
      <c r="J279" s="1186"/>
      <c r="K279" s="1186">
        <v>1</v>
      </c>
      <c r="L279" s="1186">
        <v>6</v>
      </c>
      <c r="M279" s="1186">
        <v>3</v>
      </c>
      <c r="N279" s="1186">
        <v>1</v>
      </c>
      <c r="O279" s="1186">
        <v>1</v>
      </c>
      <c r="P279" s="1186">
        <v>4</v>
      </c>
      <c r="Q279" s="1186">
        <v>39</v>
      </c>
    </row>
    <row r="280" spans="1:17" x14ac:dyDescent="0.2">
      <c r="A280" s="1186" t="s">
        <v>295</v>
      </c>
      <c r="B280" s="1186" t="s">
        <v>311</v>
      </c>
      <c r="C280" s="1186">
        <v>23</v>
      </c>
      <c r="D280" s="1186"/>
      <c r="E280" s="1186"/>
      <c r="F280" s="1186"/>
      <c r="G280" s="1186">
        <v>3</v>
      </c>
      <c r="H280" s="1186"/>
      <c r="I280" s="1186"/>
      <c r="J280" s="1186"/>
      <c r="K280" s="1186"/>
      <c r="L280" s="1186">
        <v>3</v>
      </c>
      <c r="M280" s="1186"/>
      <c r="N280" s="1186">
        <v>1</v>
      </c>
      <c r="O280" s="1186"/>
      <c r="P280" s="1186">
        <v>1</v>
      </c>
      <c r="Q280" s="1186">
        <v>15</v>
      </c>
    </row>
    <row r="281" spans="1:17" x14ac:dyDescent="0.2">
      <c r="A281" s="1186" t="s">
        <v>41</v>
      </c>
      <c r="B281" s="1186" t="s">
        <v>311</v>
      </c>
      <c r="C281" s="1186">
        <v>214</v>
      </c>
      <c r="D281" s="1186">
        <v>19</v>
      </c>
      <c r="E281" s="1186">
        <v>10</v>
      </c>
      <c r="F281" s="1186"/>
      <c r="G281" s="1186">
        <v>6</v>
      </c>
      <c r="H281" s="1186"/>
      <c r="I281" s="1186">
        <v>1</v>
      </c>
      <c r="J281" s="1186"/>
      <c r="K281" s="1186">
        <v>2</v>
      </c>
      <c r="L281" s="1186">
        <v>1</v>
      </c>
      <c r="M281" s="1186">
        <v>5</v>
      </c>
      <c r="N281" s="1186">
        <v>4</v>
      </c>
      <c r="O281" s="1186">
        <v>2</v>
      </c>
      <c r="P281" s="1186">
        <v>2</v>
      </c>
      <c r="Q281" s="1186">
        <v>162</v>
      </c>
    </row>
    <row r="282" spans="1:17" x14ac:dyDescent="0.2">
      <c r="A282" s="1186" t="s">
        <v>42</v>
      </c>
      <c r="B282" s="1186" t="s">
        <v>311</v>
      </c>
      <c r="C282" s="1186">
        <v>434</v>
      </c>
      <c r="D282" s="1186">
        <v>13</v>
      </c>
      <c r="E282" s="1186">
        <v>33</v>
      </c>
      <c r="F282" s="1186">
        <v>2</v>
      </c>
      <c r="G282" s="1186">
        <v>20</v>
      </c>
      <c r="H282" s="1186">
        <v>4</v>
      </c>
      <c r="I282" s="1186">
        <v>10</v>
      </c>
      <c r="J282" s="1186">
        <v>7</v>
      </c>
      <c r="K282" s="1186">
        <v>9</v>
      </c>
      <c r="L282" s="1186">
        <v>7</v>
      </c>
      <c r="M282" s="1186">
        <v>10</v>
      </c>
      <c r="N282" s="1186">
        <v>3</v>
      </c>
      <c r="O282" s="1186">
        <v>5</v>
      </c>
      <c r="P282" s="1186">
        <v>4</v>
      </c>
      <c r="Q282" s="1186">
        <v>307</v>
      </c>
    </row>
    <row r="283" spans="1:17" x14ac:dyDescent="0.2">
      <c r="A283" s="1186" t="s">
        <v>43</v>
      </c>
      <c r="B283" s="1186" t="s">
        <v>311</v>
      </c>
      <c r="C283" s="1186">
        <v>8</v>
      </c>
      <c r="D283" s="1186"/>
      <c r="E283" s="1186"/>
      <c r="F283" s="1186"/>
      <c r="G283" s="1186">
        <v>2</v>
      </c>
      <c r="H283" s="1186"/>
      <c r="I283" s="1186"/>
      <c r="J283" s="1186"/>
      <c r="K283" s="1186"/>
      <c r="L283" s="1186"/>
      <c r="M283" s="1186"/>
      <c r="N283" s="1186"/>
      <c r="O283" s="1186"/>
      <c r="P283" s="1186"/>
      <c r="Q283" s="1186">
        <v>6</v>
      </c>
    </row>
    <row r="284" spans="1:17" x14ac:dyDescent="0.2">
      <c r="A284" s="1186" t="s">
        <v>44</v>
      </c>
      <c r="B284" s="1186" t="s">
        <v>311</v>
      </c>
      <c r="C284" s="1186">
        <v>173</v>
      </c>
      <c r="D284" s="1186">
        <v>7</v>
      </c>
      <c r="E284" s="1186">
        <v>5</v>
      </c>
      <c r="F284" s="1186">
        <v>7</v>
      </c>
      <c r="G284" s="1186">
        <v>5</v>
      </c>
      <c r="H284" s="1186">
        <v>2</v>
      </c>
      <c r="I284" s="1186">
        <v>1</v>
      </c>
      <c r="J284" s="1186">
        <v>9</v>
      </c>
      <c r="K284" s="1186">
        <v>3</v>
      </c>
      <c r="L284" s="1186">
        <v>3</v>
      </c>
      <c r="M284" s="1186">
        <v>8</v>
      </c>
      <c r="N284" s="1186">
        <v>2</v>
      </c>
      <c r="O284" s="1186">
        <v>1</v>
      </c>
      <c r="P284" s="1186">
        <v>4</v>
      </c>
      <c r="Q284" s="1186">
        <v>116</v>
      </c>
    </row>
    <row r="285" spans="1:17" x14ac:dyDescent="0.2">
      <c r="A285" s="1186" t="s">
        <v>45</v>
      </c>
      <c r="B285" s="1186" t="s">
        <v>311</v>
      </c>
      <c r="C285" s="1186">
        <v>293</v>
      </c>
      <c r="D285" s="1186">
        <v>11</v>
      </c>
      <c r="E285" s="1186">
        <v>12</v>
      </c>
      <c r="F285" s="1186"/>
      <c r="G285" s="1186">
        <v>6</v>
      </c>
      <c r="H285" s="1186">
        <v>1</v>
      </c>
      <c r="I285" s="1186">
        <v>2</v>
      </c>
      <c r="J285" s="1186">
        <v>1</v>
      </c>
      <c r="K285" s="1186">
        <v>7</v>
      </c>
      <c r="L285" s="1186">
        <v>3</v>
      </c>
      <c r="M285" s="1186">
        <v>6</v>
      </c>
      <c r="N285" s="1186">
        <v>9</v>
      </c>
      <c r="O285" s="1186">
        <v>9</v>
      </c>
      <c r="P285" s="1186">
        <v>3</v>
      </c>
      <c r="Q285" s="1186">
        <v>223</v>
      </c>
    </row>
    <row r="286" spans="1:17" x14ac:dyDescent="0.2">
      <c r="A286" s="1186" t="s">
        <v>46</v>
      </c>
      <c r="B286" s="1186" t="s">
        <v>311</v>
      </c>
      <c r="C286" s="1186">
        <v>135</v>
      </c>
      <c r="D286" s="1186">
        <v>8</v>
      </c>
      <c r="E286" s="1186">
        <v>4</v>
      </c>
      <c r="F286" s="1186">
        <v>4</v>
      </c>
      <c r="G286" s="1186">
        <v>6</v>
      </c>
      <c r="H286" s="1186"/>
      <c r="I286" s="1186">
        <v>1</v>
      </c>
      <c r="J286" s="1186"/>
      <c r="K286" s="1186">
        <v>3</v>
      </c>
      <c r="L286" s="1186"/>
      <c r="M286" s="1186">
        <v>3</v>
      </c>
      <c r="N286" s="1186">
        <v>5</v>
      </c>
      <c r="O286" s="1186"/>
      <c r="P286" s="1186">
        <v>1</v>
      </c>
      <c r="Q286" s="1186">
        <v>100</v>
      </c>
    </row>
    <row r="287" spans="1:17" x14ac:dyDescent="0.2">
      <c r="A287" s="1186" t="s">
        <v>47</v>
      </c>
      <c r="B287" s="1186" t="s">
        <v>311</v>
      </c>
      <c r="C287" s="1186">
        <v>20</v>
      </c>
      <c r="D287" s="1186">
        <v>1</v>
      </c>
      <c r="E287" s="1186">
        <v>1</v>
      </c>
      <c r="F287" s="1186"/>
      <c r="G287" s="1186"/>
      <c r="H287" s="1186"/>
      <c r="I287" s="1186"/>
      <c r="J287" s="1186">
        <v>1</v>
      </c>
      <c r="K287" s="1186">
        <v>1</v>
      </c>
      <c r="L287" s="1186">
        <v>1</v>
      </c>
      <c r="M287" s="1186"/>
      <c r="N287" s="1186">
        <v>2</v>
      </c>
      <c r="O287" s="1186"/>
      <c r="P287" s="1186"/>
      <c r="Q287" s="1186">
        <v>13</v>
      </c>
    </row>
    <row r="288" spans="1:17" x14ac:dyDescent="0.2">
      <c r="A288" s="1186" t="s">
        <v>48</v>
      </c>
      <c r="B288" s="1186" t="s">
        <v>311</v>
      </c>
      <c r="C288" s="1186">
        <v>150</v>
      </c>
      <c r="D288" s="1186">
        <v>3</v>
      </c>
      <c r="E288" s="1186">
        <v>11</v>
      </c>
      <c r="F288" s="1186"/>
      <c r="G288" s="1186">
        <v>7</v>
      </c>
      <c r="H288" s="1186">
        <v>2</v>
      </c>
      <c r="I288" s="1186">
        <v>2</v>
      </c>
      <c r="J288" s="1186"/>
      <c r="K288" s="1186">
        <v>3</v>
      </c>
      <c r="L288" s="1186">
        <v>2</v>
      </c>
      <c r="M288" s="1186">
        <v>8</v>
      </c>
      <c r="N288" s="1186">
        <v>3</v>
      </c>
      <c r="O288" s="1186">
        <v>1</v>
      </c>
      <c r="P288" s="1186">
        <v>2</v>
      </c>
      <c r="Q288" s="1186">
        <v>106</v>
      </c>
    </row>
    <row r="289" spans="1:17" x14ac:dyDescent="0.2">
      <c r="A289" s="1186" t="s">
        <v>49</v>
      </c>
      <c r="B289" s="1186" t="s">
        <v>311</v>
      </c>
      <c r="C289" s="1186">
        <v>393</v>
      </c>
      <c r="D289" s="1186">
        <v>12</v>
      </c>
      <c r="E289" s="1186">
        <v>32</v>
      </c>
      <c r="F289" s="1186">
        <v>2</v>
      </c>
      <c r="G289" s="1186">
        <v>18</v>
      </c>
      <c r="H289" s="1186">
        <v>2</v>
      </c>
      <c r="I289" s="1186">
        <v>6</v>
      </c>
      <c r="J289" s="1186"/>
      <c r="K289" s="1186">
        <v>2</v>
      </c>
      <c r="L289" s="1186">
        <v>1</v>
      </c>
      <c r="M289" s="1186">
        <v>18</v>
      </c>
      <c r="N289" s="1186">
        <v>6</v>
      </c>
      <c r="O289" s="1186">
        <v>2</v>
      </c>
      <c r="P289" s="1186">
        <v>14</v>
      </c>
      <c r="Q289" s="1186">
        <v>278</v>
      </c>
    </row>
    <row r="290" spans="1:17" x14ac:dyDescent="0.2">
      <c r="A290" s="1186" t="s">
        <v>50</v>
      </c>
      <c r="B290" s="1186" t="s">
        <v>311</v>
      </c>
      <c r="C290" s="1186">
        <v>137</v>
      </c>
      <c r="D290" s="1186">
        <v>9</v>
      </c>
      <c r="E290" s="1186">
        <v>7</v>
      </c>
      <c r="F290" s="1186">
        <v>2</v>
      </c>
      <c r="G290" s="1186">
        <v>3</v>
      </c>
      <c r="H290" s="1186"/>
      <c r="I290" s="1186"/>
      <c r="J290" s="1186">
        <v>10</v>
      </c>
      <c r="K290" s="1186">
        <v>4</v>
      </c>
      <c r="L290" s="1186">
        <v>5</v>
      </c>
      <c r="M290" s="1186">
        <v>2</v>
      </c>
      <c r="N290" s="1186">
        <v>2</v>
      </c>
      <c r="O290" s="1186"/>
      <c r="P290" s="1186">
        <v>4</v>
      </c>
      <c r="Q290" s="1186">
        <v>89</v>
      </c>
    </row>
    <row r="291" spans="1:17" x14ac:dyDescent="0.2">
      <c r="A291" s="1186" t="s">
        <v>51</v>
      </c>
      <c r="B291" s="1186" t="s">
        <v>311</v>
      </c>
      <c r="C291" s="1186">
        <v>205</v>
      </c>
      <c r="D291" s="1186">
        <v>16</v>
      </c>
      <c r="E291" s="1186">
        <v>4</v>
      </c>
      <c r="F291" s="1186"/>
      <c r="G291" s="1186">
        <v>6</v>
      </c>
      <c r="H291" s="1186"/>
      <c r="I291" s="1186">
        <v>2</v>
      </c>
      <c r="J291" s="1186">
        <v>1</v>
      </c>
      <c r="K291" s="1186">
        <v>3</v>
      </c>
      <c r="L291" s="1186">
        <v>6</v>
      </c>
      <c r="M291" s="1186">
        <v>5</v>
      </c>
      <c r="N291" s="1186">
        <v>2</v>
      </c>
      <c r="O291" s="1186"/>
      <c r="P291" s="1186">
        <v>2</v>
      </c>
      <c r="Q291" s="1186">
        <v>158</v>
      </c>
    </row>
    <row r="292" spans="1:17" x14ac:dyDescent="0.2">
      <c r="A292" s="1186" t="s">
        <v>52</v>
      </c>
      <c r="B292" s="1186" t="s">
        <v>311</v>
      </c>
      <c r="C292" s="1186">
        <v>244</v>
      </c>
      <c r="D292" s="1186">
        <v>6</v>
      </c>
      <c r="E292" s="1186">
        <v>10</v>
      </c>
      <c r="F292" s="1186">
        <v>2</v>
      </c>
      <c r="G292" s="1186">
        <v>15</v>
      </c>
      <c r="H292" s="1186">
        <v>1</v>
      </c>
      <c r="I292" s="1186">
        <v>1</v>
      </c>
      <c r="J292" s="1186">
        <v>10</v>
      </c>
      <c r="K292" s="1186">
        <v>5</v>
      </c>
      <c r="L292" s="1186">
        <v>3</v>
      </c>
      <c r="M292" s="1186">
        <v>6</v>
      </c>
      <c r="N292" s="1186">
        <v>7</v>
      </c>
      <c r="O292" s="1186">
        <v>6</v>
      </c>
      <c r="P292" s="1186">
        <v>3</v>
      </c>
      <c r="Q292" s="1186">
        <v>169</v>
      </c>
    </row>
    <row r="293" spans="1:17" x14ac:dyDescent="0.2">
      <c r="A293" s="1186" t="s">
        <v>23</v>
      </c>
      <c r="B293" s="1186" t="s">
        <v>621</v>
      </c>
      <c r="C293" s="1186">
        <v>407</v>
      </c>
      <c r="D293" s="1186">
        <v>34</v>
      </c>
      <c r="E293" s="1186">
        <v>10</v>
      </c>
      <c r="F293" s="1186"/>
      <c r="G293" s="1186">
        <v>11</v>
      </c>
      <c r="H293" s="1186">
        <v>3</v>
      </c>
      <c r="I293" s="1186">
        <v>7</v>
      </c>
      <c r="J293" s="1186"/>
      <c r="K293" s="1186">
        <v>6</v>
      </c>
      <c r="L293" s="1186">
        <v>9</v>
      </c>
      <c r="M293" s="1186">
        <v>11</v>
      </c>
      <c r="N293" s="1186">
        <v>9</v>
      </c>
      <c r="O293" s="1186">
        <v>15</v>
      </c>
      <c r="P293" s="1186">
        <v>3</v>
      </c>
      <c r="Q293" s="1186">
        <v>289</v>
      </c>
    </row>
    <row r="294" spans="1:17" x14ac:dyDescent="0.2">
      <c r="A294" s="1186" t="s">
        <v>24</v>
      </c>
      <c r="B294" s="1186" t="s">
        <v>621</v>
      </c>
      <c r="C294" s="1186">
        <v>276</v>
      </c>
      <c r="D294" s="1186">
        <v>16</v>
      </c>
      <c r="E294" s="1186">
        <v>19</v>
      </c>
      <c r="F294" s="1186">
        <v>15</v>
      </c>
      <c r="G294" s="1186">
        <v>13</v>
      </c>
      <c r="H294" s="1186">
        <v>1</v>
      </c>
      <c r="I294" s="1186">
        <v>2</v>
      </c>
      <c r="J294" s="1186">
        <v>19</v>
      </c>
      <c r="K294" s="1186">
        <v>1</v>
      </c>
      <c r="L294" s="1186">
        <v>5</v>
      </c>
      <c r="M294" s="1186">
        <v>3</v>
      </c>
      <c r="N294" s="1186">
        <v>6</v>
      </c>
      <c r="O294" s="1186">
        <v>3</v>
      </c>
      <c r="P294" s="1186">
        <v>3</v>
      </c>
      <c r="Q294" s="1186">
        <v>170</v>
      </c>
    </row>
    <row r="295" spans="1:17" x14ac:dyDescent="0.2">
      <c r="A295" s="1186" t="s">
        <v>25</v>
      </c>
      <c r="B295" s="1186" t="s">
        <v>621</v>
      </c>
      <c r="C295" s="1186">
        <v>118</v>
      </c>
      <c r="D295" s="1186">
        <v>4</v>
      </c>
      <c r="E295" s="1186">
        <v>7</v>
      </c>
      <c r="F295" s="1186">
        <v>9</v>
      </c>
      <c r="G295" s="1186">
        <v>2</v>
      </c>
      <c r="H295" s="1186"/>
      <c r="I295" s="1186"/>
      <c r="J295" s="1186">
        <v>1</v>
      </c>
      <c r="K295" s="1186"/>
      <c r="L295" s="1186">
        <v>3</v>
      </c>
      <c r="M295" s="1186">
        <v>3</v>
      </c>
      <c r="N295" s="1186">
        <v>2</v>
      </c>
      <c r="O295" s="1186">
        <v>2</v>
      </c>
      <c r="P295" s="1186">
        <v>2</v>
      </c>
      <c r="Q295" s="1186">
        <v>83</v>
      </c>
    </row>
    <row r="296" spans="1:17" x14ac:dyDescent="0.2">
      <c r="A296" s="1186" t="s">
        <v>26</v>
      </c>
      <c r="B296" s="1186" t="s">
        <v>621</v>
      </c>
      <c r="C296" s="1186">
        <v>131</v>
      </c>
      <c r="D296" s="1186">
        <v>11</v>
      </c>
      <c r="E296" s="1186">
        <v>5</v>
      </c>
      <c r="F296" s="1186">
        <v>1</v>
      </c>
      <c r="G296" s="1186">
        <v>10</v>
      </c>
      <c r="H296" s="1186">
        <v>1</v>
      </c>
      <c r="I296" s="1186">
        <v>1</v>
      </c>
      <c r="J296" s="1186"/>
      <c r="K296" s="1186">
        <v>4</v>
      </c>
      <c r="L296" s="1186"/>
      <c r="M296" s="1186">
        <v>4</v>
      </c>
      <c r="N296" s="1186">
        <v>1</v>
      </c>
      <c r="O296" s="1186"/>
      <c r="P296" s="1186">
        <v>2</v>
      </c>
      <c r="Q296" s="1186">
        <v>91</v>
      </c>
    </row>
    <row r="297" spans="1:17" x14ac:dyDescent="0.2">
      <c r="A297" s="1186" t="s">
        <v>619</v>
      </c>
      <c r="B297" s="1186" t="s">
        <v>621</v>
      </c>
      <c r="C297" s="1186">
        <v>750</v>
      </c>
      <c r="D297" s="1186">
        <v>57</v>
      </c>
      <c r="E297" s="1186">
        <v>10</v>
      </c>
      <c r="F297" s="1186">
        <v>1</v>
      </c>
      <c r="G297" s="1186">
        <v>10</v>
      </c>
      <c r="H297" s="1186"/>
      <c r="I297" s="1186">
        <v>23</v>
      </c>
      <c r="J297" s="1186">
        <v>11</v>
      </c>
      <c r="K297" s="1186">
        <v>11</v>
      </c>
      <c r="L297" s="1186">
        <v>42</v>
      </c>
      <c r="M297" s="1186">
        <v>22</v>
      </c>
      <c r="N297" s="1186">
        <v>13</v>
      </c>
      <c r="O297" s="1186">
        <v>19</v>
      </c>
      <c r="P297" s="1186">
        <v>16</v>
      </c>
      <c r="Q297" s="1186">
        <v>515</v>
      </c>
    </row>
    <row r="298" spans="1:17" x14ac:dyDescent="0.2">
      <c r="A298" s="1186" t="s">
        <v>27</v>
      </c>
      <c r="B298" s="1186" t="s">
        <v>621</v>
      </c>
      <c r="C298" s="1186">
        <v>63</v>
      </c>
      <c r="D298" s="1186">
        <v>4</v>
      </c>
      <c r="E298" s="1186">
        <v>2</v>
      </c>
      <c r="F298" s="1186">
        <v>1</v>
      </c>
      <c r="G298" s="1186">
        <v>3</v>
      </c>
      <c r="H298" s="1186"/>
      <c r="I298" s="1186"/>
      <c r="J298" s="1186">
        <v>5</v>
      </c>
      <c r="K298" s="1186"/>
      <c r="L298" s="1186"/>
      <c r="M298" s="1186"/>
      <c r="N298" s="1186">
        <v>1</v>
      </c>
      <c r="O298" s="1186"/>
      <c r="P298" s="1186">
        <v>1</v>
      </c>
      <c r="Q298" s="1186">
        <v>46</v>
      </c>
    </row>
    <row r="299" spans="1:17" x14ac:dyDescent="0.2">
      <c r="A299" s="1186" t="s">
        <v>28</v>
      </c>
      <c r="B299" s="1186" t="s">
        <v>621</v>
      </c>
      <c r="C299" s="1186">
        <v>136</v>
      </c>
      <c r="D299" s="1186">
        <v>10</v>
      </c>
      <c r="E299" s="1186">
        <v>6</v>
      </c>
      <c r="F299" s="1186">
        <v>5</v>
      </c>
      <c r="G299" s="1186">
        <v>6</v>
      </c>
      <c r="H299" s="1186">
        <v>1</v>
      </c>
      <c r="I299" s="1186">
        <v>1</v>
      </c>
      <c r="J299" s="1186"/>
      <c r="K299" s="1186">
        <v>2</v>
      </c>
      <c r="L299" s="1186">
        <v>3</v>
      </c>
      <c r="M299" s="1186">
        <v>7</v>
      </c>
      <c r="N299" s="1186">
        <v>7</v>
      </c>
      <c r="O299" s="1186"/>
      <c r="P299" s="1186">
        <v>4</v>
      </c>
      <c r="Q299" s="1186">
        <v>84</v>
      </c>
    </row>
    <row r="300" spans="1:17" x14ac:dyDescent="0.2">
      <c r="A300" s="1186" t="s">
        <v>29</v>
      </c>
      <c r="B300" s="1186" t="s">
        <v>621</v>
      </c>
      <c r="C300" s="1186">
        <v>270</v>
      </c>
      <c r="D300" s="1186">
        <v>20</v>
      </c>
      <c r="E300" s="1186">
        <v>6</v>
      </c>
      <c r="F300" s="1186"/>
      <c r="G300" s="1186">
        <v>10</v>
      </c>
      <c r="H300" s="1186"/>
      <c r="I300" s="1186">
        <v>5</v>
      </c>
      <c r="J300" s="1186"/>
      <c r="K300" s="1186">
        <v>4</v>
      </c>
      <c r="L300" s="1186">
        <v>7</v>
      </c>
      <c r="M300" s="1186">
        <v>7</v>
      </c>
      <c r="N300" s="1186">
        <v>5</v>
      </c>
      <c r="O300" s="1186">
        <v>3</v>
      </c>
      <c r="P300" s="1186"/>
      <c r="Q300" s="1186">
        <v>203</v>
      </c>
    </row>
    <row r="301" spans="1:17" x14ac:dyDescent="0.2">
      <c r="A301" s="1186" t="s">
        <v>30</v>
      </c>
      <c r="B301" s="1186" t="s">
        <v>621</v>
      </c>
      <c r="C301" s="1186">
        <v>141</v>
      </c>
      <c r="D301" s="1186">
        <v>4</v>
      </c>
      <c r="E301" s="1186">
        <v>18</v>
      </c>
      <c r="F301" s="1186">
        <v>4</v>
      </c>
      <c r="G301" s="1186">
        <v>6</v>
      </c>
      <c r="H301" s="1186">
        <v>1</v>
      </c>
      <c r="I301" s="1186">
        <v>1</v>
      </c>
      <c r="J301" s="1186">
        <v>3</v>
      </c>
      <c r="K301" s="1186">
        <v>1</v>
      </c>
      <c r="L301" s="1186">
        <v>6</v>
      </c>
      <c r="M301" s="1186">
        <v>7</v>
      </c>
      <c r="N301" s="1186">
        <v>1</v>
      </c>
      <c r="O301" s="1186">
        <v>1</v>
      </c>
      <c r="P301" s="1186"/>
      <c r="Q301" s="1186">
        <v>88</v>
      </c>
    </row>
    <row r="302" spans="1:17" x14ac:dyDescent="0.2">
      <c r="A302" s="1186" t="s">
        <v>31</v>
      </c>
      <c r="B302" s="1186" t="s">
        <v>621</v>
      </c>
      <c r="C302" s="1186">
        <v>113</v>
      </c>
      <c r="D302" s="1186">
        <v>5</v>
      </c>
      <c r="E302" s="1186">
        <v>7</v>
      </c>
      <c r="F302" s="1186"/>
      <c r="G302" s="1186"/>
      <c r="H302" s="1186"/>
      <c r="I302" s="1186"/>
      <c r="J302" s="1186">
        <v>8</v>
      </c>
      <c r="K302" s="1186">
        <v>3</v>
      </c>
      <c r="L302" s="1186">
        <v>1</v>
      </c>
      <c r="M302" s="1186">
        <v>8</v>
      </c>
      <c r="N302" s="1186">
        <v>3</v>
      </c>
      <c r="O302" s="1186">
        <v>1</v>
      </c>
      <c r="P302" s="1186">
        <v>7</v>
      </c>
      <c r="Q302" s="1186">
        <v>70</v>
      </c>
    </row>
    <row r="303" spans="1:17" x14ac:dyDescent="0.2">
      <c r="A303" s="1186" t="s">
        <v>32</v>
      </c>
      <c r="B303" s="1186" t="s">
        <v>621</v>
      </c>
      <c r="C303" s="1186">
        <v>120</v>
      </c>
      <c r="D303" s="1186">
        <v>7</v>
      </c>
      <c r="E303" s="1186">
        <v>14</v>
      </c>
      <c r="F303" s="1186"/>
      <c r="G303" s="1186">
        <v>5</v>
      </c>
      <c r="H303" s="1186">
        <v>2</v>
      </c>
      <c r="I303" s="1186">
        <v>1</v>
      </c>
      <c r="J303" s="1186"/>
      <c r="K303" s="1186">
        <v>4</v>
      </c>
      <c r="L303" s="1186">
        <v>4</v>
      </c>
      <c r="M303" s="1186">
        <v>2</v>
      </c>
      <c r="N303" s="1186">
        <v>3</v>
      </c>
      <c r="O303" s="1186">
        <v>2</v>
      </c>
      <c r="P303" s="1186">
        <v>1</v>
      </c>
      <c r="Q303" s="1186">
        <v>75</v>
      </c>
    </row>
    <row r="304" spans="1:17" x14ac:dyDescent="0.2">
      <c r="A304" s="1186" t="s">
        <v>33</v>
      </c>
      <c r="B304" s="1186" t="s">
        <v>621</v>
      </c>
      <c r="C304" s="1186">
        <v>83</v>
      </c>
      <c r="D304" s="1186">
        <v>5</v>
      </c>
      <c r="E304" s="1186">
        <v>6</v>
      </c>
      <c r="F304" s="1186"/>
      <c r="G304" s="1186">
        <v>2</v>
      </c>
      <c r="H304" s="1186"/>
      <c r="I304" s="1186">
        <v>1</v>
      </c>
      <c r="J304" s="1186"/>
      <c r="K304" s="1186">
        <v>1</v>
      </c>
      <c r="L304" s="1186">
        <v>3</v>
      </c>
      <c r="M304" s="1186">
        <v>1</v>
      </c>
      <c r="N304" s="1186">
        <v>4</v>
      </c>
      <c r="O304" s="1186"/>
      <c r="P304" s="1186"/>
      <c r="Q304" s="1186">
        <v>60</v>
      </c>
    </row>
    <row r="305" spans="1:17" x14ac:dyDescent="0.2">
      <c r="A305" s="1186" t="s">
        <v>34</v>
      </c>
      <c r="B305" s="1186" t="s">
        <v>621</v>
      </c>
      <c r="C305" s="1186">
        <v>196</v>
      </c>
      <c r="D305" s="1186">
        <v>6</v>
      </c>
      <c r="E305" s="1186">
        <v>7</v>
      </c>
      <c r="F305" s="1186">
        <v>2</v>
      </c>
      <c r="G305" s="1186">
        <v>4</v>
      </c>
      <c r="H305" s="1186">
        <v>1</v>
      </c>
      <c r="I305" s="1186">
        <v>3</v>
      </c>
      <c r="J305" s="1186">
        <v>27</v>
      </c>
      <c r="K305" s="1186">
        <v>2</v>
      </c>
      <c r="L305" s="1186">
        <v>3</v>
      </c>
      <c r="M305" s="1186">
        <v>3</v>
      </c>
      <c r="N305" s="1186">
        <v>4</v>
      </c>
      <c r="O305" s="1186">
        <v>5</v>
      </c>
      <c r="P305" s="1186">
        <v>3</v>
      </c>
      <c r="Q305" s="1186">
        <v>126</v>
      </c>
    </row>
    <row r="306" spans="1:17" x14ac:dyDescent="0.2">
      <c r="A306" s="1186" t="s">
        <v>35</v>
      </c>
      <c r="B306" s="1186" t="s">
        <v>621</v>
      </c>
      <c r="C306" s="1186">
        <v>390</v>
      </c>
      <c r="D306" s="1186">
        <v>17</v>
      </c>
      <c r="E306" s="1186">
        <v>31</v>
      </c>
      <c r="F306" s="1186">
        <v>4</v>
      </c>
      <c r="G306" s="1186">
        <v>11</v>
      </c>
      <c r="H306" s="1186">
        <v>4</v>
      </c>
      <c r="I306" s="1186">
        <v>2</v>
      </c>
      <c r="J306" s="1186">
        <v>3</v>
      </c>
      <c r="K306" s="1186">
        <v>7</v>
      </c>
      <c r="L306" s="1186">
        <v>12</v>
      </c>
      <c r="M306" s="1186">
        <v>7</v>
      </c>
      <c r="N306" s="1186">
        <v>10</v>
      </c>
      <c r="O306" s="1186">
        <v>4</v>
      </c>
      <c r="P306" s="1186">
        <v>11</v>
      </c>
      <c r="Q306" s="1186">
        <v>267</v>
      </c>
    </row>
    <row r="307" spans="1:17" x14ac:dyDescent="0.2">
      <c r="A307" s="1186" t="s">
        <v>36</v>
      </c>
      <c r="B307" s="1186" t="s">
        <v>621</v>
      </c>
      <c r="C307" s="1186">
        <v>1257</v>
      </c>
      <c r="D307" s="1186">
        <v>77</v>
      </c>
      <c r="E307" s="1186">
        <v>32</v>
      </c>
      <c r="F307" s="1186"/>
      <c r="G307" s="1186">
        <v>22</v>
      </c>
      <c r="H307" s="1186">
        <v>6</v>
      </c>
      <c r="I307" s="1186">
        <v>19</v>
      </c>
      <c r="J307" s="1186">
        <v>23</v>
      </c>
      <c r="K307" s="1186">
        <v>14</v>
      </c>
      <c r="L307" s="1186">
        <v>19</v>
      </c>
      <c r="M307" s="1186">
        <v>44</v>
      </c>
      <c r="N307" s="1186">
        <v>28</v>
      </c>
      <c r="O307" s="1186">
        <v>38</v>
      </c>
      <c r="P307" s="1186">
        <v>40</v>
      </c>
      <c r="Q307" s="1186">
        <v>895</v>
      </c>
    </row>
    <row r="308" spans="1:17" x14ac:dyDescent="0.2">
      <c r="A308" s="1186" t="s">
        <v>37</v>
      </c>
      <c r="B308" s="1186" t="s">
        <v>621</v>
      </c>
      <c r="C308" s="1186">
        <v>252</v>
      </c>
      <c r="D308" s="1186">
        <v>23</v>
      </c>
      <c r="E308" s="1186">
        <v>16</v>
      </c>
      <c r="F308" s="1186">
        <v>11</v>
      </c>
      <c r="G308" s="1186">
        <v>7</v>
      </c>
      <c r="H308" s="1186"/>
      <c r="I308" s="1186">
        <v>1</v>
      </c>
      <c r="J308" s="1186">
        <v>5</v>
      </c>
      <c r="K308" s="1186">
        <v>2</v>
      </c>
      <c r="L308" s="1186">
        <v>11</v>
      </c>
      <c r="M308" s="1186">
        <v>8</v>
      </c>
      <c r="N308" s="1186">
        <v>7</v>
      </c>
      <c r="O308" s="1186">
        <v>6</v>
      </c>
      <c r="P308" s="1186">
        <v>3</v>
      </c>
      <c r="Q308" s="1186">
        <v>152</v>
      </c>
    </row>
    <row r="309" spans="1:17" x14ac:dyDescent="0.2">
      <c r="A309" s="1186" t="s">
        <v>38</v>
      </c>
      <c r="B309" s="1186" t="s">
        <v>621</v>
      </c>
      <c r="C309" s="1186">
        <v>115</v>
      </c>
      <c r="D309" s="1186">
        <v>4</v>
      </c>
      <c r="E309" s="1186">
        <v>2</v>
      </c>
      <c r="F309" s="1186"/>
      <c r="G309" s="1186">
        <v>2</v>
      </c>
      <c r="H309" s="1186">
        <v>1</v>
      </c>
      <c r="I309" s="1186">
        <v>1</v>
      </c>
      <c r="J309" s="1186">
        <v>1</v>
      </c>
      <c r="K309" s="1186">
        <v>1</v>
      </c>
      <c r="L309" s="1186">
        <v>2</v>
      </c>
      <c r="M309" s="1186">
        <v>4</v>
      </c>
      <c r="N309" s="1186">
        <v>5</v>
      </c>
      <c r="O309" s="1186"/>
      <c r="P309" s="1186"/>
      <c r="Q309" s="1186">
        <v>92</v>
      </c>
    </row>
    <row r="310" spans="1:17" x14ac:dyDescent="0.2">
      <c r="A310" s="1186" t="s">
        <v>39</v>
      </c>
      <c r="B310" s="1186" t="s">
        <v>621</v>
      </c>
      <c r="C310" s="1186">
        <v>89</v>
      </c>
      <c r="D310" s="1186">
        <v>9</v>
      </c>
      <c r="E310" s="1186">
        <v>8</v>
      </c>
      <c r="F310" s="1186">
        <v>2</v>
      </c>
      <c r="G310" s="1186"/>
      <c r="H310" s="1186"/>
      <c r="I310" s="1186">
        <v>3</v>
      </c>
      <c r="J310" s="1186">
        <v>1</v>
      </c>
      <c r="K310" s="1186">
        <v>2</v>
      </c>
      <c r="L310" s="1186">
        <v>2</v>
      </c>
      <c r="M310" s="1186">
        <v>2</v>
      </c>
      <c r="N310" s="1186"/>
      <c r="O310" s="1186"/>
      <c r="P310" s="1186">
        <v>3</v>
      </c>
      <c r="Q310" s="1186">
        <v>57</v>
      </c>
    </row>
    <row r="311" spans="1:17" x14ac:dyDescent="0.2">
      <c r="A311" s="1186" t="s">
        <v>40</v>
      </c>
      <c r="B311" s="1186" t="s">
        <v>621</v>
      </c>
      <c r="C311" s="1186">
        <v>99</v>
      </c>
      <c r="D311" s="1186">
        <v>10</v>
      </c>
      <c r="E311" s="1186">
        <v>9</v>
      </c>
      <c r="F311" s="1186">
        <v>3</v>
      </c>
      <c r="G311" s="1186">
        <v>4</v>
      </c>
      <c r="H311" s="1186"/>
      <c r="I311" s="1186"/>
      <c r="J311" s="1186"/>
      <c r="K311" s="1186"/>
      <c r="L311" s="1186">
        <v>4</v>
      </c>
      <c r="M311" s="1186">
        <v>7</v>
      </c>
      <c r="N311" s="1186">
        <v>1</v>
      </c>
      <c r="O311" s="1186">
        <v>1</v>
      </c>
      <c r="P311" s="1186">
        <v>2</v>
      </c>
      <c r="Q311" s="1186">
        <v>58</v>
      </c>
    </row>
    <row r="312" spans="1:17" x14ac:dyDescent="0.2">
      <c r="A312" s="1186" t="s">
        <v>295</v>
      </c>
      <c r="B312" s="1186" t="s">
        <v>621</v>
      </c>
      <c r="C312" s="1186">
        <v>32</v>
      </c>
      <c r="D312" s="1186">
        <v>3</v>
      </c>
      <c r="E312" s="1186">
        <v>2</v>
      </c>
      <c r="F312" s="1186"/>
      <c r="G312" s="1186">
        <v>1</v>
      </c>
      <c r="H312" s="1186"/>
      <c r="I312" s="1186">
        <v>1</v>
      </c>
      <c r="J312" s="1186"/>
      <c r="K312" s="1186"/>
      <c r="L312" s="1186"/>
      <c r="M312" s="1186"/>
      <c r="N312" s="1186">
        <v>2</v>
      </c>
      <c r="O312" s="1186"/>
      <c r="P312" s="1186"/>
      <c r="Q312" s="1186">
        <v>23</v>
      </c>
    </row>
    <row r="313" spans="1:17" x14ac:dyDescent="0.2">
      <c r="A313" s="1186" t="s">
        <v>41</v>
      </c>
      <c r="B313" s="1186" t="s">
        <v>621</v>
      </c>
      <c r="C313" s="1186">
        <v>244</v>
      </c>
      <c r="D313" s="1186">
        <v>10</v>
      </c>
      <c r="E313" s="1186">
        <v>14</v>
      </c>
      <c r="F313" s="1186">
        <v>1</v>
      </c>
      <c r="G313" s="1186">
        <v>8</v>
      </c>
      <c r="H313" s="1186">
        <v>1</v>
      </c>
      <c r="I313" s="1186">
        <v>4</v>
      </c>
      <c r="J313" s="1186">
        <v>2</v>
      </c>
      <c r="K313" s="1186">
        <v>1</v>
      </c>
      <c r="L313" s="1186">
        <v>2</v>
      </c>
      <c r="M313" s="1186">
        <v>9</v>
      </c>
      <c r="N313" s="1186">
        <v>4</v>
      </c>
      <c r="O313" s="1186">
        <v>1</v>
      </c>
      <c r="P313" s="1186">
        <v>7</v>
      </c>
      <c r="Q313" s="1186">
        <v>180</v>
      </c>
    </row>
    <row r="314" spans="1:17" x14ac:dyDescent="0.2">
      <c r="A314" s="1186" t="s">
        <v>42</v>
      </c>
      <c r="B314" s="1186" t="s">
        <v>621</v>
      </c>
      <c r="C314" s="1186">
        <v>481</v>
      </c>
      <c r="D314" s="1186">
        <v>15</v>
      </c>
      <c r="E314" s="1186">
        <v>26</v>
      </c>
      <c r="F314" s="1186">
        <v>3</v>
      </c>
      <c r="G314" s="1186">
        <v>13</v>
      </c>
      <c r="H314" s="1186">
        <v>7</v>
      </c>
      <c r="I314" s="1186">
        <v>10</v>
      </c>
      <c r="J314" s="1186">
        <v>13</v>
      </c>
      <c r="K314" s="1186">
        <v>9</v>
      </c>
      <c r="L314" s="1186">
        <v>7</v>
      </c>
      <c r="M314" s="1186">
        <v>12</v>
      </c>
      <c r="N314" s="1186">
        <v>5</v>
      </c>
      <c r="O314" s="1186">
        <v>7</v>
      </c>
      <c r="P314" s="1186">
        <v>11</v>
      </c>
      <c r="Q314" s="1186">
        <v>343</v>
      </c>
    </row>
    <row r="315" spans="1:17" x14ac:dyDescent="0.2">
      <c r="A315" s="1186" t="s">
        <v>43</v>
      </c>
      <c r="B315" s="1186" t="s">
        <v>621</v>
      </c>
      <c r="C315" s="1186">
        <v>12</v>
      </c>
      <c r="D315" s="1186">
        <v>1</v>
      </c>
      <c r="E315" s="1186">
        <v>2</v>
      </c>
      <c r="F315" s="1186">
        <v>1</v>
      </c>
      <c r="G315" s="1186"/>
      <c r="H315" s="1186"/>
      <c r="I315" s="1186"/>
      <c r="J315" s="1186"/>
      <c r="K315" s="1186"/>
      <c r="L315" s="1186"/>
      <c r="M315" s="1186"/>
      <c r="N315" s="1186">
        <v>1</v>
      </c>
      <c r="O315" s="1186"/>
      <c r="P315" s="1186"/>
      <c r="Q315" s="1186">
        <v>7</v>
      </c>
    </row>
    <row r="316" spans="1:17" x14ac:dyDescent="0.2">
      <c r="A316" s="1186" t="s">
        <v>44</v>
      </c>
      <c r="B316" s="1186" t="s">
        <v>621</v>
      </c>
      <c r="C316" s="1186">
        <v>166</v>
      </c>
      <c r="D316" s="1186">
        <v>11</v>
      </c>
      <c r="E316" s="1186">
        <v>4</v>
      </c>
      <c r="F316" s="1186">
        <v>2</v>
      </c>
      <c r="G316" s="1186">
        <v>6</v>
      </c>
      <c r="H316" s="1186">
        <v>2</v>
      </c>
      <c r="I316" s="1186">
        <v>3</v>
      </c>
      <c r="J316" s="1186">
        <v>13</v>
      </c>
      <c r="K316" s="1186"/>
      <c r="L316" s="1186">
        <v>2</v>
      </c>
      <c r="M316" s="1186">
        <v>4</v>
      </c>
      <c r="N316" s="1186">
        <v>3</v>
      </c>
      <c r="O316" s="1186">
        <v>2</v>
      </c>
      <c r="P316" s="1186">
        <v>1</v>
      </c>
      <c r="Q316" s="1186">
        <v>113</v>
      </c>
    </row>
    <row r="317" spans="1:17" x14ac:dyDescent="0.2">
      <c r="A317" s="1186" t="s">
        <v>45</v>
      </c>
      <c r="B317" s="1186" t="s">
        <v>621</v>
      </c>
      <c r="C317" s="1186">
        <v>292</v>
      </c>
      <c r="D317" s="1186">
        <v>5</v>
      </c>
      <c r="E317" s="1186">
        <v>9</v>
      </c>
      <c r="F317" s="1186">
        <v>2</v>
      </c>
      <c r="G317" s="1186">
        <v>8</v>
      </c>
      <c r="H317" s="1186">
        <v>3</v>
      </c>
      <c r="I317" s="1186">
        <v>6</v>
      </c>
      <c r="J317" s="1186">
        <v>3</v>
      </c>
      <c r="K317" s="1186">
        <v>8</v>
      </c>
      <c r="L317" s="1186">
        <v>1</v>
      </c>
      <c r="M317" s="1186">
        <v>5</v>
      </c>
      <c r="N317" s="1186">
        <v>6</v>
      </c>
      <c r="O317" s="1186">
        <v>6</v>
      </c>
      <c r="P317" s="1186">
        <v>10</v>
      </c>
      <c r="Q317" s="1186">
        <v>220</v>
      </c>
    </row>
    <row r="318" spans="1:17" x14ac:dyDescent="0.2">
      <c r="A318" s="1186" t="s">
        <v>46</v>
      </c>
      <c r="B318" s="1186" t="s">
        <v>621</v>
      </c>
      <c r="C318" s="1186">
        <v>146</v>
      </c>
      <c r="D318" s="1186">
        <v>8</v>
      </c>
      <c r="E318" s="1186">
        <v>7</v>
      </c>
      <c r="F318" s="1186">
        <v>2</v>
      </c>
      <c r="G318" s="1186">
        <v>4</v>
      </c>
      <c r="H318" s="1186"/>
      <c r="I318" s="1186"/>
      <c r="J318" s="1186">
        <v>1</v>
      </c>
      <c r="K318" s="1186"/>
      <c r="L318" s="1186">
        <v>2</v>
      </c>
      <c r="M318" s="1186">
        <v>4</v>
      </c>
      <c r="N318" s="1186">
        <v>8</v>
      </c>
      <c r="O318" s="1186">
        <v>2</v>
      </c>
      <c r="P318" s="1186">
        <v>4</v>
      </c>
      <c r="Q318" s="1186">
        <v>104</v>
      </c>
    </row>
    <row r="319" spans="1:17" x14ac:dyDescent="0.2">
      <c r="A319" s="1186" t="s">
        <v>47</v>
      </c>
      <c r="B319" s="1186" t="s">
        <v>621</v>
      </c>
      <c r="C319" s="1186">
        <v>11</v>
      </c>
      <c r="D319" s="1186">
        <v>2</v>
      </c>
      <c r="E319" s="1186"/>
      <c r="F319" s="1186"/>
      <c r="G319" s="1186"/>
      <c r="H319" s="1186"/>
      <c r="I319" s="1186"/>
      <c r="J319" s="1186"/>
      <c r="K319" s="1186"/>
      <c r="L319" s="1186"/>
      <c r="M319" s="1186">
        <v>2</v>
      </c>
      <c r="N319" s="1186">
        <v>2</v>
      </c>
      <c r="O319" s="1186">
        <v>1</v>
      </c>
      <c r="P319" s="1186"/>
      <c r="Q319" s="1186">
        <v>4</v>
      </c>
    </row>
    <row r="320" spans="1:17" x14ac:dyDescent="0.2">
      <c r="A320" s="1186" t="s">
        <v>48</v>
      </c>
      <c r="B320" s="1186" t="s">
        <v>621</v>
      </c>
      <c r="C320" s="1186">
        <v>145</v>
      </c>
      <c r="D320" s="1186">
        <v>12</v>
      </c>
      <c r="E320" s="1186">
        <v>7</v>
      </c>
      <c r="F320" s="1186">
        <v>1</v>
      </c>
      <c r="G320" s="1186">
        <v>3</v>
      </c>
      <c r="H320" s="1186">
        <v>1</v>
      </c>
      <c r="I320" s="1186">
        <v>1</v>
      </c>
      <c r="J320" s="1186"/>
      <c r="K320" s="1186">
        <v>4</v>
      </c>
      <c r="L320" s="1186">
        <v>2</v>
      </c>
      <c r="M320" s="1186">
        <v>4</v>
      </c>
      <c r="N320" s="1186">
        <v>6</v>
      </c>
      <c r="O320" s="1186">
        <v>3</v>
      </c>
      <c r="P320" s="1186">
        <v>6</v>
      </c>
      <c r="Q320" s="1186">
        <v>95</v>
      </c>
    </row>
    <row r="321" spans="1:17" x14ac:dyDescent="0.2">
      <c r="A321" s="1186" t="s">
        <v>49</v>
      </c>
      <c r="B321" s="1186" t="s">
        <v>621</v>
      </c>
      <c r="C321" s="1186">
        <v>348</v>
      </c>
      <c r="D321" s="1186">
        <v>10</v>
      </c>
      <c r="E321" s="1186">
        <v>23</v>
      </c>
      <c r="F321" s="1186">
        <v>5</v>
      </c>
      <c r="G321" s="1186">
        <v>13</v>
      </c>
      <c r="H321" s="1186"/>
      <c r="I321" s="1186">
        <v>6</v>
      </c>
      <c r="J321" s="1186">
        <v>3</v>
      </c>
      <c r="K321" s="1186">
        <v>2</v>
      </c>
      <c r="L321" s="1186">
        <v>5</v>
      </c>
      <c r="M321" s="1186">
        <v>9</v>
      </c>
      <c r="N321" s="1186">
        <v>2</v>
      </c>
      <c r="O321" s="1186">
        <v>3</v>
      </c>
      <c r="P321" s="1186">
        <v>8</v>
      </c>
      <c r="Q321" s="1186">
        <v>259</v>
      </c>
    </row>
    <row r="322" spans="1:17" x14ac:dyDescent="0.2">
      <c r="A322" s="1186" t="s">
        <v>50</v>
      </c>
      <c r="B322" s="1186" t="s">
        <v>621</v>
      </c>
      <c r="C322" s="1186">
        <v>102</v>
      </c>
      <c r="D322" s="1186">
        <v>9</v>
      </c>
      <c r="E322" s="1186">
        <v>4</v>
      </c>
      <c r="F322" s="1186"/>
      <c r="G322" s="1186">
        <v>3</v>
      </c>
      <c r="H322" s="1186">
        <v>1</v>
      </c>
      <c r="I322" s="1186"/>
      <c r="J322" s="1186">
        <v>5</v>
      </c>
      <c r="K322" s="1186">
        <v>1</v>
      </c>
      <c r="L322" s="1186">
        <v>1</v>
      </c>
      <c r="M322" s="1186">
        <v>2</v>
      </c>
      <c r="N322" s="1186">
        <v>1</v>
      </c>
      <c r="O322" s="1186"/>
      <c r="P322" s="1186">
        <v>5</v>
      </c>
      <c r="Q322" s="1186">
        <v>70</v>
      </c>
    </row>
    <row r="323" spans="1:17" x14ac:dyDescent="0.2">
      <c r="A323" s="1186" t="s">
        <v>51</v>
      </c>
      <c r="B323" s="1186" t="s">
        <v>621</v>
      </c>
      <c r="C323" s="1186">
        <v>180</v>
      </c>
      <c r="D323" s="1186">
        <v>5</v>
      </c>
      <c r="E323" s="1186">
        <v>7</v>
      </c>
      <c r="F323" s="1186">
        <v>2</v>
      </c>
      <c r="G323" s="1186">
        <v>4</v>
      </c>
      <c r="H323" s="1186">
        <v>1</v>
      </c>
      <c r="I323" s="1186">
        <v>1</v>
      </c>
      <c r="J323" s="1186"/>
      <c r="K323" s="1186">
        <v>3</v>
      </c>
      <c r="L323" s="1186">
        <v>3</v>
      </c>
      <c r="M323" s="1186">
        <v>4</v>
      </c>
      <c r="N323" s="1186">
        <v>2</v>
      </c>
      <c r="O323" s="1186">
        <v>1</v>
      </c>
      <c r="P323" s="1186">
        <v>1</v>
      </c>
      <c r="Q323" s="1186">
        <v>146</v>
      </c>
    </row>
    <row r="324" spans="1:17" x14ac:dyDescent="0.2">
      <c r="A324" s="1186" t="s">
        <v>52</v>
      </c>
      <c r="B324" s="1186" t="s">
        <v>621</v>
      </c>
      <c r="C324" s="1186">
        <v>232</v>
      </c>
      <c r="D324" s="1186">
        <v>8</v>
      </c>
      <c r="E324" s="1186">
        <v>13</v>
      </c>
      <c r="F324" s="1186">
        <v>2</v>
      </c>
      <c r="G324" s="1186">
        <v>6</v>
      </c>
      <c r="H324" s="1186">
        <v>1</v>
      </c>
      <c r="I324" s="1186">
        <v>4</v>
      </c>
      <c r="J324" s="1186">
        <v>13</v>
      </c>
      <c r="K324" s="1186">
        <v>2</v>
      </c>
      <c r="L324" s="1186">
        <v>4</v>
      </c>
      <c r="M324" s="1186">
        <v>5</v>
      </c>
      <c r="N324" s="1186">
        <v>3</v>
      </c>
      <c r="O324" s="1186">
        <v>6</v>
      </c>
      <c r="P324" s="1186">
        <v>5</v>
      </c>
      <c r="Q324" s="1186">
        <v>160</v>
      </c>
    </row>
    <row r="325" spans="1:17" x14ac:dyDescent="0.2">
      <c r="A325" s="1186" t="s">
        <v>23</v>
      </c>
      <c r="B325" s="1186" t="s">
        <v>1419</v>
      </c>
      <c r="C325" s="1186">
        <v>397</v>
      </c>
      <c r="D325" s="1186">
        <v>21</v>
      </c>
      <c r="E325" s="1186">
        <v>10</v>
      </c>
      <c r="F325" s="1186">
        <v>1</v>
      </c>
      <c r="G325" s="1186">
        <v>15</v>
      </c>
      <c r="H325" s="1186">
        <v>3</v>
      </c>
      <c r="I325" s="1186">
        <v>13</v>
      </c>
      <c r="J325" s="1186">
        <v>1</v>
      </c>
      <c r="K325" s="1186">
        <v>7</v>
      </c>
      <c r="L325" s="1186">
        <v>9</v>
      </c>
      <c r="M325" s="1186">
        <v>6</v>
      </c>
      <c r="N325" s="1186">
        <v>9</v>
      </c>
      <c r="O325" s="1186">
        <v>6</v>
      </c>
      <c r="P325" s="1186">
        <v>4</v>
      </c>
      <c r="Q325" s="1186">
        <v>292</v>
      </c>
    </row>
    <row r="326" spans="1:17" x14ac:dyDescent="0.2">
      <c r="A326" s="1186" t="s">
        <v>24</v>
      </c>
      <c r="B326" s="1186" t="s">
        <v>1419</v>
      </c>
      <c r="C326" s="1186">
        <v>247</v>
      </c>
      <c r="D326" s="1186">
        <v>16</v>
      </c>
      <c r="E326" s="1186">
        <v>10</v>
      </c>
      <c r="F326" s="1186">
        <v>9</v>
      </c>
      <c r="G326" s="1186">
        <v>7</v>
      </c>
      <c r="H326" s="1186">
        <v>2</v>
      </c>
      <c r="I326" s="1186">
        <v>3</v>
      </c>
      <c r="J326" s="1186">
        <v>11</v>
      </c>
      <c r="K326" s="1186">
        <v>2</v>
      </c>
      <c r="L326" s="1186">
        <v>3</v>
      </c>
      <c r="M326" s="1186">
        <v>7</v>
      </c>
      <c r="N326" s="1186">
        <v>5</v>
      </c>
      <c r="O326" s="1186"/>
      <c r="P326" s="1186">
        <v>5</v>
      </c>
      <c r="Q326" s="1186">
        <v>167</v>
      </c>
    </row>
    <row r="327" spans="1:17" x14ac:dyDescent="0.2">
      <c r="A327" s="1186" t="s">
        <v>25</v>
      </c>
      <c r="B327" s="1186" t="s">
        <v>1419</v>
      </c>
      <c r="C327" s="1186">
        <v>124</v>
      </c>
      <c r="D327" s="1186">
        <v>5</v>
      </c>
      <c r="E327" s="1186">
        <v>7</v>
      </c>
      <c r="F327" s="1186">
        <v>2</v>
      </c>
      <c r="G327" s="1186">
        <v>2</v>
      </c>
      <c r="H327" s="1186">
        <v>1</v>
      </c>
      <c r="I327" s="1186">
        <v>2</v>
      </c>
      <c r="J327" s="1186">
        <v>2</v>
      </c>
      <c r="K327" s="1186">
        <v>2</v>
      </c>
      <c r="L327" s="1186">
        <v>3</v>
      </c>
      <c r="M327" s="1186">
        <v>2</v>
      </c>
      <c r="N327" s="1186">
        <v>3</v>
      </c>
      <c r="O327" s="1186">
        <v>3</v>
      </c>
      <c r="P327" s="1186">
        <v>1</v>
      </c>
      <c r="Q327" s="1186">
        <v>89</v>
      </c>
    </row>
    <row r="328" spans="1:17" x14ac:dyDescent="0.2">
      <c r="A328" s="1186" t="s">
        <v>26</v>
      </c>
      <c r="B328" s="1186" t="s">
        <v>1419</v>
      </c>
      <c r="C328" s="1186">
        <v>117</v>
      </c>
      <c r="D328" s="1186">
        <v>6</v>
      </c>
      <c r="E328" s="1186">
        <v>3</v>
      </c>
      <c r="F328" s="1186">
        <v>3</v>
      </c>
      <c r="G328" s="1186">
        <v>4</v>
      </c>
      <c r="H328" s="1186"/>
      <c r="I328" s="1186">
        <v>1</v>
      </c>
      <c r="J328" s="1186"/>
      <c r="K328" s="1186">
        <v>1</v>
      </c>
      <c r="L328" s="1186">
        <v>1</v>
      </c>
      <c r="M328" s="1186">
        <v>2</v>
      </c>
      <c r="N328" s="1186">
        <v>3</v>
      </c>
      <c r="O328" s="1186">
        <v>1</v>
      </c>
      <c r="P328" s="1186">
        <v>4</v>
      </c>
      <c r="Q328" s="1186">
        <v>88</v>
      </c>
    </row>
    <row r="329" spans="1:17" x14ac:dyDescent="0.2">
      <c r="A329" s="1186" t="s">
        <v>619</v>
      </c>
      <c r="B329" s="1186" t="s">
        <v>1419</v>
      </c>
      <c r="C329" s="1186">
        <v>679</v>
      </c>
      <c r="D329" s="1186">
        <v>53</v>
      </c>
      <c r="E329" s="1186">
        <v>11</v>
      </c>
      <c r="F329" s="1186">
        <v>1</v>
      </c>
      <c r="G329" s="1186">
        <v>9</v>
      </c>
      <c r="H329" s="1186">
        <v>1</v>
      </c>
      <c r="I329" s="1186">
        <v>17</v>
      </c>
      <c r="J329" s="1186">
        <v>10</v>
      </c>
      <c r="K329" s="1186">
        <v>14</v>
      </c>
      <c r="L329" s="1186">
        <v>21</v>
      </c>
      <c r="M329" s="1186">
        <v>22</v>
      </c>
      <c r="N329" s="1186">
        <v>14</v>
      </c>
      <c r="O329" s="1186">
        <v>15</v>
      </c>
      <c r="P329" s="1186">
        <v>8</v>
      </c>
      <c r="Q329" s="1186">
        <v>483</v>
      </c>
    </row>
    <row r="330" spans="1:17" x14ac:dyDescent="0.2">
      <c r="A330" s="1186" t="s">
        <v>27</v>
      </c>
      <c r="B330" s="1186" t="s">
        <v>1419</v>
      </c>
      <c r="C330" s="1186">
        <v>67</v>
      </c>
      <c r="D330" s="1186">
        <v>2</v>
      </c>
      <c r="E330" s="1186">
        <v>3</v>
      </c>
      <c r="F330" s="1186"/>
      <c r="G330" s="1186">
        <v>2</v>
      </c>
      <c r="H330" s="1186"/>
      <c r="I330" s="1186">
        <v>1</v>
      </c>
      <c r="J330" s="1186">
        <v>5</v>
      </c>
      <c r="K330" s="1186"/>
      <c r="L330" s="1186">
        <v>1</v>
      </c>
      <c r="M330" s="1186">
        <v>1</v>
      </c>
      <c r="N330" s="1186">
        <v>1</v>
      </c>
      <c r="O330" s="1186"/>
      <c r="P330" s="1186">
        <v>1</v>
      </c>
      <c r="Q330" s="1186">
        <v>50</v>
      </c>
    </row>
    <row r="331" spans="1:17" x14ac:dyDescent="0.2">
      <c r="A331" s="1186" t="s">
        <v>28</v>
      </c>
      <c r="B331" s="1186" t="s">
        <v>1419</v>
      </c>
      <c r="C331" s="1186">
        <v>147</v>
      </c>
      <c r="D331" s="1186">
        <v>5</v>
      </c>
      <c r="E331" s="1186">
        <v>8</v>
      </c>
      <c r="F331" s="1186">
        <v>3</v>
      </c>
      <c r="G331" s="1186">
        <v>7</v>
      </c>
      <c r="H331" s="1186">
        <v>2</v>
      </c>
      <c r="I331" s="1186">
        <v>1</v>
      </c>
      <c r="J331" s="1186">
        <v>2</v>
      </c>
      <c r="K331" s="1186">
        <v>2</v>
      </c>
      <c r="L331" s="1186">
        <v>9</v>
      </c>
      <c r="M331" s="1186">
        <v>4</v>
      </c>
      <c r="N331" s="1186">
        <v>5</v>
      </c>
      <c r="O331" s="1186"/>
      <c r="P331" s="1186">
        <v>1</v>
      </c>
      <c r="Q331" s="1186">
        <v>98</v>
      </c>
    </row>
    <row r="332" spans="1:17" x14ac:dyDescent="0.2">
      <c r="A332" s="1186" t="s">
        <v>29</v>
      </c>
      <c r="B332" s="1186" t="s">
        <v>1419</v>
      </c>
      <c r="C332" s="1186">
        <v>243</v>
      </c>
      <c r="D332" s="1186">
        <v>12</v>
      </c>
      <c r="E332" s="1186">
        <v>10</v>
      </c>
      <c r="F332" s="1186"/>
      <c r="G332" s="1186">
        <v>7</v>
      </c>
      <c r="H332" s="1186"/>
      <c r="I332" s="1186">
        <v>3</v>
      </c>
      <c r="J332" s="1186">
        <v>1</v>
      </c>
      <c r="K332" s="1186">
        <v>3</v>
      </c>
      <c r="L332" s="1186">
        <v>5</v>
      </c>
      <c r="M332" s="1186">
        <v>6</v>
      </c>
      <c r="N332" s="1186">
        <v>2</v>
      </c>
      <c r="O332" s="1186">
        <v>6</v>
      </c>
      <c r="P332" s="1186"/>
      <c r="Q332" s="1186">
        <v>188</v>
      </c>
    </row>
    <row r="333" spans="1:17" x14ac:dyDescent="0.2">
      <c r="A333" s="1186" t="s">
        <v>30</v>
      </c>
      <c r="B333" s="1186" t="s">
        <v>1419</v>
      </c>
      <c r="C333" s="1186">
        <v>135</v>
      </c>
      <c r="D333" s="1186">
        <v>2</v>
      </c>
      <c r="E333" s="1186">
        <v>12</v>
      </c>
      <c r="F333" s="1186">
        <v>1</v>
      </c>
      <c r="G333" s="1186">
        <v>2</v>
      </c>
      <c r="H333" s="1186">
        <v>1</v>
      </c>
      <c r="I333" s="1186"/>
      <c r="J333" s="1186">
        <v>1</v>
      </c>
      <c r="K333" s="1186">
        <v>1</v>
      </c>
      <c r="L333" s="1186"/>
      <c r="M333" s="1186"/>
      <c r="N333" s="1186"/>
      <c r="O333" s="1186">
        <v>5</v>
      </c>
      <c r="P333" s="1186">
        <v>3</v>
      </c>
      <c r="Q333" s="1186">
        <v>107</v>
      </c>
    </row>
    <row r="334" spans="1:17" x14ac:dyDescent="0.2">
      <c r="A334" s="1186" t="s">
        <v>31</v>
      </c>
      <c r="B334" s="1186" t="s">
        <v>1419</v>
      </c>
      <c r="C334" s="1186">
        <v>97</v>
      </c>
      <c r="D334" s="1186">
        <v>7</v>
      </c>
      <c r="E334" s="1186">
        <v>6</v>
      </c>
      <c r="F334" s="1186"/>
      <c r="G334" s="1186">
        <v>2</v>
      </c>
      <c r="H334" s="1186"/>
      <c r="I334" s="1186"/>
      <c r="J334" s="1186">
        <v>4</v>
      </c>
      <c r="K334" s="1186">
        <v>1</v>
      </c>
      <c r="L334" s="1186">
        <v>2</v>
      </c>
      <c r="M334" s="1186">
        <v>1</v>
      </c>
      <c r="N334" s="1186">
        <v>2</v>
      </c>
      <c r="O334" s="1186"/>
      <c r="P334" s="1186">
        <v>2</v>
      </c>
      <c r="Q334" s="1186">
        <v>70</v>
      </c>
    </row>
    <row r="335" spans="1:17" x14ac:dyDescent="0.2">
      <c r="A335" s="1186" t="s">
        <v>32</v>
      </c>
      <c r="B335" s="1186" t="s">
        <v>1419</v>
      </c>
      <c r="C335" s="1186">
        <v>88</v>
      </c>
      <c r="D335" s="1186">
        <v>4</v>
      </c>
      <c r="E335" s="1186">
        <v>8</v>
      </c>
      <c r="F335" s="1186"/>
      <c r="G335" s="1186">
        <v>2</v>
      </c>
      <c r="H335" s="1186"/>
      <c r="I335" s="1186">
        <v>1</v>
      </c>
      <c r="J335" s="1186">
        <v>1</v>
      </c>
      <c r="K335" s="1186">
        <v>3</v>
      </c>
      <c r="L335" s="1186">
        <v>4</v>
      </c>
      <c r="M335" s="1186">
        <v>2</v>
      </c>
      <c r="N335" s="1186">
        <v>4</v>
      </c>
      <c r="O335" s="1186"/>
      <c r="P335" s="1186"/>
      <c r="Q335" s="1186">
        <v>59</v>
      </c>
    </row>
    <row r="336" spans="1:17" x14ac:dyDescent="0.2">
      <c r="A336" s="1186" t="s">
        <v>33</v>
      </c>
      <c r="B336" s="1186" t="s">
        <v>1419</v>
      </c>
      <c r="C336" s="1186">
        <v>89</v>
      </c>
      <c r="D336" s="1186">
        <v>2</v>
      </c>
      <c r="E336" s="1186">
        <v>4</v>
      </c>
      <c r="F336" s="1186"/>
      <c r="G336" s="1186"/>
      <c r="H336" s="1186"/>
      <c r="I336" s="1186">
        <v>1</v>
      </c>
      <c r="J336" s="1186">
        <v>1</v>
      </c>
      <c r="K336" s="1186">
        <v>2</v>
      </c>
      <c r="L336" s="1186"/>
      <c r="M336" s="1186">
        <v>3</v>
      </c>
      <c r="N336" s="1186">
        <v>5</v>
      </c>
      <c r="O336" s="1186"/>
      <c r="P336" s="1186">
        <v>4</v>
      </c>
      <c r="Q336" s="1186">
        <v>67</v>
      </c>
    </row>
    <row r="337" spans="1:17" x14ac:dyDescent="0.2">
      <c r="A337" s="1186" t="s">
        <v>34</v>
      </c>
      <c r="B337" s="1186" t="s">
        <v>1419</v>
      </c>
      <c r="C337" s="1186">
        <v>186</v>
      </c>
      <c r="D337" s="1186">
        <v>6</v>
      </c>
      <c r="E337" s="1186">
        <v>15</v>
      </c>
      <c r="F337" s="1186">
        <v>1</v>
      </c>
      <c r="G337" s="1186">
        <v>10</v>
      </c>
      <c r="H337" s="1186">
        <v>1</v>
      </c>
      <c r="I337" s="1186"/>
      <c r="J337" s="1186">
        <v>10</v>
      </c>
      <c r="K337" s="1186">
        <v>3</v>
      </c>
      <c r="L337" s="1186">
        <v>6</v>
      </c>
      <c r="M337" s="1186">
        <v>4</v>
      </c>
      <c r="N337" s="1186">
        <v>4</v>
      </c>
      <c r="O337" s="1186">
        <v>6</v>
      </c>
      <c r="P337" s="1186">
        <v>3</v>
      </c>
      <c r="Q337" s="1186">
        <v>117</v>
      </c>
    </row>
    <row r="338" spans="1:17" x14ac:dyDescent="0.2">
      <c r="A338" s="1186" t="s">
        <v>35</v>
      </c>
      <c r="B338" s="1186" t="s">
        <v>1419</v>
      </c>
      <c r="C338" s="1186">
        <v>332</v>
      </c>
      <c r="D338" s="1186">
        <v>17</v>
      </c>
      <c r="E338" s="1186">
        <v>22</v>
      </c>
      <c r="F338" s="1186">
        <v>1</v>
      </c>
      <c r="G338" s="1186">
        <v>11</v>
      </c>
      <c r="H338" s="1186">
        <v>1</v>
      </c>
      <c r="I338" s="1186">
        <v>3</v>
      </c>
      <c r="J338" s="1186">
        <v>2</v>
      </c>
      <c r="K338" s="1186">
        <v>4</v>
      </c>
      <c r="L338" s="1186">
        <v>6</v>
      </c>
      <c r="M338" s="1186">
        <v>11</v>
      </c>
      <c r="N338" s="1186">
        <v>7</v>
      </c>
      <c r="O338" s="1186">
        <v>2</v>
      </c>
      <c r="P338" s="1186">
        <v>9</v>
      </c>
      <c r="Q338" s="1186">
        <v>236</v>
      </c>
    </row>
    <row r="339" spans="1:17" x14ac:dyDescent="0.2">
      <c r="A339" s="1186" t="s">
        <v>36</v>
      </c>
      <c r="B339" s="1186" t="s">
        <v>1419</v>
      </c>
      <c r="C339" s="1186">
        <v>1235</v>
      </c>
      <c r="D339" s="1186">
        <v>88</v>
      </c>
      <c r="E339" s="1186">
        <v>24</v>
      </c>
      <c r="F339" s="1186">
        <v>2</v>
      </c>
      <c r="G339" s="1186">
        <v>13</v>
      </c>
      <c r="H339" s="1186">
        <v>6</v>
      </c>
      <c r="I339" s="1186">
        <v>25</v>
      </c>
      <c r="J339" s="1186">
        <v>4</v>
      </c>
      <c r="K339" s="1186">
        <v>15</v>
      </c>
      <c r="L339" s="1186">
        <v>20</v>
      </c>
      <c r="M339" s="1186">
        <v>35</v>
      </c>
      <c r="N339" s="1186">
        <v>37</v>
      </c>
      <c r="O339" s="1186">
        <v>33</v>
      </c>
      <c r="P339" s="1186">
        <v>30</v>
      </c>
      <c r="Q339" s="1186">
        <v>903</v>
      </c>
    </row>
    <row r="340" spans="1:17" x14ac:dyDescent="0.2">
      <c r="A340" s="1186" t="s">
        <v>37</v>
      </c>
      <c r="B340" s="1186" t="s">
        <v>1419</v>
      </c>
      <c r="C340" s="1186">
        <v>198</v>
      </c>
      <c r="D340" s="1186">
        <v>15</v>
      </c>
      <c r="E340" s="1186">
        <v>7</v>
      </c>
      <c r="F340" s="1186">
        <v>2</v>
      </c>
      <c r="G340" s="1186">
        <v>10</v>
      </c>
      <c r="H340" s="1186">
        <v>1</v>
      </c>
      <c r="I340" s="1186">
        <v>2</v>
      </c>
      <c r="J340" s="1186">
        <v>3</v>
      </c>
      <c r="K340" s="1186">
        <v>3</v>
      </c>
      <c r="L340" s="1186">
        <v>11</v>
      </c>
      <c r="M340" s="1186">
        <v>6</v>
      </c>
      <c r="N340" s="1186">
        <v>4</v>
      </c>
      <c r="O340" s="1186">
        <v>6</v>
      </c>
      <c r="P340" s="1186">
        <v>7</v>
      </c>
      <c r="Q340" s="1186">
        <v>121</v>
      </c>
    </row>
    <row r="341" spans="1:17" x14ac:dyDescent="0.2">
      <c r="A341" s="1186" t="s">
        <v>38</v>
      </c>
      <c r="B341" s="1186" t="s">
        <v>1419</v>
      </c>
      <c r="C341" s="1186">
        <v>117</v>
      </c>
      <c r="D341" s="1186">
        <v>2</v>
      </c>
      <c r="E341" s="1186">
        <v>7</v>
      </c>
      <c r="F341" s="1186"/>
      <c r="G341" s="1186">
        <v>1</v>
      </c>
      <c r="H341" s="1186"/>
      <c r="I341" s="1186">
        <v>2</v>
      </c>
      <c r="J341" s="1186">
        <v>2</v>
      </c>
      <c r="K341" s="1186">
        <v>1</v>
      </c>
      <c r="L341" s="1186">
        <v>1</v>
      </c>
      <c r="M341" s="1186">
        <v>4</v>
      </c>
      <c r="N341" s="1186"/>
      <c r="O341" s="1186">
        <v>2</v>
      </c>
      <c r="P341" s="1186">
        <v>6</v>
      </c>
      <c r="Q341" s="1186">
        <v>89</v>
      </c>
    </row>
    <row r="342" spans="1:17" x14ac:dyDescent="0.2">
      <c r="A342" s="1186" t="s">
        <v>39</v>
      </c>
      <c r="B342" s="1186" t="s">
        <v>1419</v>
      </c>
      <c r="C342" s="1186">
        <v>104</v>
      </c>
      <c r="D342" s="1186">
        <v>5</v>
      </c>
      <c r="E342" s="1186">
        <v>8</v>
      </c>
      <c r="F342" s="1186">
        <v>2</v>
      </c>
      <c r="G342" s="1186">
        <v>1</v>
      </c>
      <c r="H342" s="1186"/>
      <c r="I342" s="1186">
        <v>1</v>
      </c>
      <c r="J342" s="1186">
        <v>1</v>
      </c>
      <c r="K342" s="1186">
        <v>2</v>
      </c>
      <c r="L342" s="1186"/>
      <c r="M342" s="1186">
        <v>5</v>
      </c>
      <c r="N342" s="1186">
        <v>2</v>
      </c>
      <c r="O342" s="1186">
        <v>2</v>
      </c>
      <c r="P342" s="1186">
        <v>1</v>
      </c>
      <c r="Q342" s="1186">
        <v>74</v>
      </c>
    </row>
    <row r="343" spans="1:17" x14ac:dyDescent="0.2">
      <c r="A343" s="1186" t="s">
        <v>40</v>
      </c>
      <c r="B343" s="1186" t="s">
        <v>1419</v>
      </c>
      <c r="C343" s="1186">
        <v>105</v>
      </c>
      <c r="D343" s="1186">
        <v>1</v>
      </c>
      <c r="E343" s="1186">
        <v>6</v>
      </c>
      <c r="F343" s="1186"/>
      <c r="G343" s="1186">
        <v>1</v>
      </c>
      <c r="H343" s="1186"/>
      <c r="I343" s="1186">
        <v>1</v>
      </c>
      <c r="J343" s="1186"/>
      <c r="K343" s="1186">
        <v>2</v>
      </c>
      <c r="L343" s="1186">
        <v>1</v>
      </c>
      <c r="M343" s="1186">
        <v>2</v>
      </c>
      <c r="N343" s="1186">
        <v>3</v>
      </c>
      <c r="O343" s="1186">
        <v>2</v>
      </c>
      <c r="P343" s="1186">
        <v>4</v>
      </c>
      <c r="Q343" s="1186">
        <v>82</v>
      </c>
    </row>
    <row r="344" spans="1:17" x14ac:dyDescent="0.2">
      <c r="A344" s="1186" t="s">
        <v>295</v>
      </c>
      <c r="B344" s="1186" t="s">
        <v>1419</v>
      </c>
      <c r="C344" s="1186">
        <v>25</v>
      </c>
      <c r="D344" s="1186">
        <v>1</v>
      </c>
      <c r="E344" s="1186"/>
      <c r="F344" s="1186"/>
      <c r="G344" s="1186">
        <v>1</v>
      </c>
      <c r="H344" s="1186"/>
      <c r="I344" s="1186">
        <v>1</v>
      </c>
      <c r="J344" s="1186"/>
      <c r="K344" s="1186">
        <v>1</v>
      </c>
      <c r="L344" s="1186"/>
      <c r="M344" s="1186"/>
      <c r="N344" s="1186">
        <v>1</v>
      </c>
      <c r="O344" s="1186"/>
      <c r="P344" s="1186"/>
      <c r="Q344" s="1186">
        <v>20</v>
      </c>
    </row>
    <row r="345" spans="1:17" x14ac:dyDescent="0.2">
      <c r="A345" s="1186" t="s">
        <v>41</v>
      </c>
      <c r="B345" s="1186" t="s">
        <v>1419</v>
      </c>
      <c r="C345" s="1186">
        <v>228</v>
      </c>
      <c r="D345" s="1186">
        <v>9</v>
      </c>
      <c r="E345" s="1186">
        <v>11</v>
      </c>
      <c r="F345" s="1186"/>
      <c r="G345" s="1186">
        <v>5</v>
      </c>
      <c r="H345" s="1186">
        <v>1</v>
      </c>
      <c r="I345" s="1186">
        <v>7</v>
      </c>
      <c r="J345" s="1186">
        <v>1</v>
      </c>
      <c r="K345" s="1186">
        <v>6</v>
      </c>
      <c r="L345" s="1186">
        <v>5</v>
      </c>
      <c r="M345" s="1186">
        <v>3</v>
      </c>
      <c r="N345" s="1186">
        <v>4</v>
      </c>
      <c r="O345" s="1186">
        <v>4</v>
      </c>
      <c r="P345" s="1186">
        <v>4</v>
      </c>
      <c r="Q345" s="1186">
        <v>168</v>
      </c>
    </row>
    <row r="346" spans="1:17" x14ac:dyDescent="0.2">
      <c r="A346" s="1186" t="s">
        <v>42</v>
      </c>
      <c r="B346" s="1186" t="s">
        <v>1419</v>
      </c>
      <c r="C346" s="1186">
        <v>377</v>
      </c>
      <c r="D346" s="1186">
        <v>12</v>
      </c>
      <c r="E346" s="1186">
        <v>21</v>
      </c>
      <c r="F346" s="1186">
        <v>4</v>
      </c>
      <c r="G346" s="1186">
        <v>12</v>
      </c>
      <c r="H346" s="1186">
        <v>3</v>
      </c>
      <c r="I346" s="1186">
        <v>6</v>
      </c>
      <c r="J346" s="1186">
        <v>3</v>
      </c>
      <c r="K346" s="1186">
        <v>10</v>
      </c>
      <c r="L346" s="1186">
        <v>6</v>
      </c>
      <c r="M346" s="1186">
        <v>10</v>
      </c>
      <c r="N346" s="1186">
        <v>2</v>
      </c>
      <c r="O346" s="1186">
        <v>3</v>
      </c>
      <c r="P346" s="1186">
        <v>9</v>
      </c>
      <c r="Q346" s="1186">
        <v>276</v>
      </c>
    </row>
    <row r="347" spans="1:17" x14ac:dyDescent="0.2">
      <c r="A347" s="1186" t="s">
        <v>43</v>
      </c>
      <c r="B347" s="1186" t="s">
        <v>1419</v>
      </c>
      <c r="C347" s="1186">
        <v>17</v>
      </c>
      <c r="D347" s="1186"/>
      <c r="E347" s="1186">
        <v>1</v>
      </c>
      <c r="F347" s="1186">
        <v>2</v>
      </c>
      <c r="G347" s="1186">
        <v>1</v>
      </c>
      <c r="H347" s="1186"/>
      <c r="I347" s="1186"/>
      <c r="J347" s="1186"/>
      <c r="K347" s="1186"/>
      <c r="L347" s="1186"/>
      <c r="M347" s="1186"/>
      <c r="N347" s="1186">
        <v>1</v>
      </c>
      <c r="O347" s="1186"/>
      <c r="P347" s="1186">
        <v>1</v>
      </c>
      <c r="Q347" s="1186">
        <v>11</v>
      </c>
    </row>
    <row r="348" spans="1:17" x14ac:dyDescent="0.2">
      <c r="A348" s="1186" t="s">
        <v>44</v>
      </c>
      <c r="B348" s="1186" t="s">
        <v>1419</v>
      </c>
      <c r="C348" s="1186">
        <v>174</v>
      </c>
      <c r="D348" s="1186">
        <v>12</v>
      </c>
      <c r="E348" s="1186">
        <v>9</v>
      </c>
      <c r="F348" s="1186">
        <v>5</v>
      </c>
      <c r="G348" s="1186">
        <v>6</v>
      </c>
      <c r="H348" s="1186"/>
      <c r="I348" s="1186">
        <v>5</v>
      </c>
      <c r="J348" s="1186">
        <v>5</v>
      </c>
      <c r="K348" s="1186">
        <v>1</v>
      </c>
      <c r="L348" s="1186">
        <v>6</v>
      </c>
      <c r="M348" s="1186">
        <v>6</v>
      </c>
      <c r="N348" s="1186">
        <v>5</v>
      </c>
      <c r="O348" s="1186">
        <v>2</v>
      </c>
      <c r="P348" s="1186">
        <v>1</v>
      </c>
      <c r="Q348" s="1186">
        <v>111</v>
      </c>
    </row>
    <row r="349" spans="1:17" x14ac:dyDescent="0.2">
      <c r="A349" s="1186" t="s">
        <v>45</v>
      </c>
      <c r="B349" s="1186" t="s">
        <v>1419</v>
      </c>
      <c r="C349" s="1186">
        <v>243</v>
      </c>
      <c r="D349" s="1186">
        <v>22</v>
      </c>
      <c r="E349" s="1186">
        <v>14</v>
      </c>
      <c r="F349" s="1186">
        <v>1</v>
      </c>
      <c r="G349" s="1186">
        <v>9</v>
      </c>
      <c r="H349" s="1186">
        <v>3</v>
      </c>
      <c r="I349" s="1186">
        <v>2</v>
      </c>
      <c r="J349" s="1186">
        <v>1</v>
      </c>
      <c r="K349" s="1186">
        <v>2</v>
      </c>
      <c r="L349" s="1186">
        <v>3</v>
      </c>
      <c r="M349" s="1186">
        <v>11</v>
      </c>
      <c r="N349" s="1186">
        <v>4</v>
      </c>
      <c r="O349" s="1186">
        <v>4</v>
      </c>
      <c r="P349" s="1186">
        <v>3</v>
      </c>
      <c r="Q349" s="1186">
        <v>164</v>
      </c>
    </row>
    <row r="350" spans="1:17" x14ac:dyDescent="0.2">
      <c r="A350" s="1186" t="s">
        <v>46</v>
      </c>
      <c r="B350" s="1186" t="s">
        <v>1419</v>
      </c>
      <c r="C350" s="1186">
        <v>144</v>
      </c>
      <c r="D350" s="1186">
        <v>8</v>
      </c>
      <c r="E350" s="1186">
        <v>2</v>
      </c>
      <c r="F350" s="1186">
        <v>10</v>
      </c>
      <c r="G350" s="1186">
        <v>4</v>
      </c>
      <c r="H350" s="1186">
        <v>1</v>
      </c>
      <c r="I350" s="1186"/>
      <c r="J350" s="1186"/>
      <c r="K350" s="1186">
        <v>2</v>
      </c>
      <c r="L350" s="1186"/>
      <c r="M350" s="1186">
        <v>1</v>
      </c>
      <c r="N350" s="1186">
        <v>6</v>
      </c>
      <c r="O350" s="1186">
        <v>2</v>
      </c>
      <c r="P350" s="1186">
        <v>6</v>
      </c>
      <c r="Q350" s="1186">
        <v>102</v>
      </c>
    </row>
    <row r="351" spans="1:17" x14ac:dyDescent="0.2">
      <c r="A351" s="1186" t="s">
        <v>47</v>
      </c>
      <c r="B351" s="1186" t="s">
        <v>1419</v>
      </c>
      <c r="C351" s="1186">
        <v>19</v>
      </c>
      <c r="D351" s="1186">
        <v>1</v>
      </c>
      <c r="E351" s="1186">
        <v>1</v>
      </c>
      <c r="F351" s="1186"/>
      <c r="G351" s="1186"/>
      <c r="H351" s="1186">
        <v>1</v>
      </c>
      <c r="I351" s="1186">
        <v>1</v>
      </c>
      <c r="J351" s="1186"/>
      <c r="K351" s="1186"/>
      <c r="L351" s="1186"/>
      <c r="M351" s="1186"/>
      <c r="N351" s="1186">
        <v>2</v>
      </c>
      <c r="O351" s="1186">
        <v>1</v>
      </c>
      <c r="P351" s="1186"/>
      <c r="Q351" s="1186">
        <v>12</v>
      </c>
    </row>
    <row r="352" spans="1:17" x14ac:dyDescent="0.2">
      <c r="A352" s="1186" t="s">
        <v>48</v>
      </c>
      <c r="B352" s="1186" t="s">
        <v>1419</v>
      </c>
      <c r="C352" s="1186">
        <v>142</v>
      </c>
      <c r="D352" s="1186">
        <v>7</v>
      </c>
      <c r="E352" s="1186">
        <v>11</v>
      </c>
      <c r="F352" s="1186">
        <v>2</v>
      </c>
      <c r="G352" s="1186">
        <v>6</v>
      </c>
      <c r="H352" s="1186"/>
      <c r="I352" s="1186">
        <v>2</v>
      </c>
      <c r="J352" s="1186"/>
      <c r="K352" s="1186"/>
      <c r="L352" s="1186">
        <v>2</v>
      </c>
      <c r="M352" s="1186">
        <v>2</v>
      </c>
      <c r="N352" s="1186">
        <v>6</v>
      </c>
      <c r="O352" s="1186">
        <v>1</v>
      </c>
      <c r="P352" s="1186">
        <v>5</v>
      </c>
      <c r="Q352" s="1186">
        <v>98</v>
      </c>
    </row>
    <row r="353" spans="1:17" x14ac:dyDescent="0.2">
      <c r="A353" s="1186" t="s">
        <v>49</v>
      </c>
      <c r="B353" s="1186" t="s">
        <v>1419</v>
      </c>
      <c r="C353" s="1186">
        <v>334</v>
      </c>
      <c r="D353" s="1186">
        <v>15</v>
      </c>
      <c r="E353" s="1186">
        <v>21</v>
      </c>
      <c r="F353" s="1186">
        <v>1</v>
      </c>
      <c r="G353" s="1186">
        <v>8</v>
      </c>
      <c r="H353" s="1186"/>
      <c r="I353" s="1186">
        <v>4</v>
      </c>
      <c r="J353" s="1186"/>
      <c r="K353" s="1186">
        <v>1</v>
      </c>
      <c r="L353" s="1186">
        <v>6</v>
      </c>
      <c r="M353" s="1186">
        <v>14</v>
      </c>
      <c r="N353" s="1186">
        <v>5</v>
      </c>
      <c r="O353" s="1186">
        <v>3</v>
      </c>
      <c r="P353" s="1186">
        <v>7</v>
      </c>
      <c r="Q353" s="1186">
        <v>249</v>
      </c>
    </row>
    <row r="354" spans="1:17" x14ac:dyDescent="0.2">
      <c r="A354" s="1186" t="s">
        <v>50</v>
      </c>
      <c r="B354" s="1186" t="s">
        <v>1419</v>
      </c>
      <c r="C354" s="1186">
        <v>101</v>
      </c>
      <c r="D354" s="1186">
        <v>14</v>
      </c>
      <c r="E354" s="1186">
        <v>9</v>
      </c>
      <c r="F354" s="1186"/>
      <c r="G354" s="1186">
        <v>1</v>
      </c>
      <c r="H354" s="1186">
        <v>1</v>
      </c>
      <c r="I354" s="1186">
        <v>3</v>
      </c>
      <c r="J354" s="1186">
        <v>1</v>
      </c>
      <c r="K354" s="1186">
        <v>2</v>
      </c>
      <c r="L354" s="1186">
        <v>4</v>
      </c>
      <c r="M354" s="1186">
        <v>9</v>
      </c>
      <c r="N354" s="1186">
        <v>3</v>
      </c>
      <c r="O354" s="1186"/>
      <c r="P354" s="1186">
        <v>2</v>
      </c>
      <c r="Q354" s="1186">
        <v>52</v>
      </c>
    </row>
    <row r="355" spans="1:17" x14ac:dyDescent="0.2">
      <c r="A355" s="1186" t="s">
        <v>51</v>
      </c>
      <c r="B355" s="1186" t="s">
        <v>1419</v>
      </c>
      <c r="C355" s="1186">
        <v>152</v>
      </c>
      <c r="D355" s="1186">
        <v>10</v>
      </c>
      <c r="E355" s="1186">
        <v>7</v>
      </c>
      <c r="F355" s="1186"/>
      <c r="G355" s="1186">
        <v>5</v>
      </c>
      <c r="H355" s="1186"/>
      <c r="I355" s="1186">
        <v>2</v>
      </c>
      <c r="J355" s="1186">
        <v>2</v>
      </c>
      <c r="K355" s="1186">
        <v>2</v>
      </c>
      <c r="L355" s="1186"/>
      <c r="M355" s="1186">
        <v>5</v>
      </c>
      <c r="N355" s="1186">
        <v>1</v>
      </c>
      <c r="O355" s="1186">
        <v>2</v>
      </c>
      <c r="P355" s="1186">
        <v>1</v>
      </c>
      <c r="Q355" s="1186">
        <v>115</v>
      </c>
    </row>
    <row r="356" spans="1:17" x14ac:dyDescent="0.2">
      <c r="A356" s="1186" t="s">
        <v>52</v>
      </c>
      <c r="B356" s="1186" t="s">
        <v>1419</v>
      </c>
      <c r="C356" s="1186">
        <v>206</v>
      </c>
      <c r="D356" s="1186">
        <v>9</v>
      </c>
      <c r="E356" s="1186">
        <v>7</v>
      </c>
      <c r="F356" s="1186">
        <v>1</v>
      </c>
      <c r="G356" s="1186">
        <v>7</v>
      </c>
      <c r="H356" s="1186">
        <v>1</v>
      </c>
      <c r="I356" s="1186">
        <v>2</v>
      </c>
      <c r="J356" s="1186">
        <v>19</v>
      </c>
      <c r="K356" s="1186">
        <v>4</v>
      </c>
      <c r="L356" s="1186">
        <v>7</v>
      </c>
      <c r="M356" s="1186">
        <v>3</v>
      </c>
      <c r="N356" s="1186">
        <v>7</v>
      </c>
      <c r="O356" s="1186"/>
      <c r="P356" s="1186">
        <v>8</v>
      </c>
      <c r="Q356" s="1186">
        <v>131</v>
      </c>
    </row>
    <row r="357" spans="1:17" x14ac:dyDescent="0.2">
      <c r="A357" s="1186" t="s">
        <v>1521</v>
      </c>
      <c r="B357" s="1186" t="s">
        <v>1419</v>
      </c>
      <c r="C357" s="1186">
        <v>1</v>
      </c>
      <c r="D357" s="1186"/>
      <c r="E357" s="1186"/>
      <c r="F357" s="1186"/>
      <c r="G357" s="1186"/>
      <c r="H357" s="1186"/>
      <c r="I357" s="1186"/>
      <c r="J357" s="1186"/>
      <c r="K357" s="1186"/>
      <c r="L357" s="1186"/>
      <c r="M357" s="1186"/>
      <c r="N357" s="1186"/>
      <c r="O357" s="1186"/>
      <c r="P357" s="1186"/>
      <c r="Q357" s="1186">
        <v>1</v>
      </c>
    </row>
    <row r="358" spans="1:17" x14ac:dyDescent="0.2">
      <c r="A358" s="1186" t="s">
        <v>23</v>
      </c>
      <c r="B358" s="1186" t="s">
        <v>1572</v>
      </c>
      <c r="C358" s="1186">
        <v>333</v>
      </c>
      <c r="D358" s="1186">
        <v>22</v>
      </c>
      <c r="E358" s="1186">
        <v>9</v>
      </c>
      <c r="F358" s="1186">
        <v>1</v>
      </c>
      <c r="G358" s="1186">
        <v>8</v>
      </c>
      <c r="H358" s="1186">
        <v>2</v>
      </c>
      <c r="I358" s="1186">
        <v>4</v>
      </c>
      <c r="J358" s="1186">
        <v>2</v>
      </c>
      <c r="K358" s="1186">
        <v>3</v>
      </c>
      <c r="L358" s="1186">
        <v>9</v>
      </c>
      <c r="M358" s="1186">
        <v>7</v>
      </c>
      <c r="N358" s="1186">
        <v>5</v>
      </c>
      <c r="O358" s="1186">
        <v>13</v>
      </c>
      <c r="P358" s="1186">
        <v>5</v>
      </c>
      <c r="Q358" s="1186">
        <v>243</v>
      </c>
    </row>
    <row r="359" spans="1:17" x14ac:dyDescent="0.2">
      <c r="A359" s="1186" t="s">
        <v>24</v>
      </c>
      <c r="B359" s="1186" t="s">
        <v>1572</v>
      </c>
      <c r="C359" s="1186">
        <v>263</v>
      </c>
      <c r="D359" s="1186">
        <v>16</v>
      </c>
      <c r="E359" s="1186">
        <v>19</v>
      </c>
      <c r="F359" s="1186">
        <v>7</v>
      </c>
      <c r="G359" s="1186">
        <v>19</v>
      </c>
      <c r="H359" s="1186"/>
      <c r="I359" s="1186">
        <v>1</v>
      </c>
      <c r="J359" s="1186">
        <v>8</v>
      </c>
      <c r="K359" s="1186">
        <v>4</v>
      </c>
      <c r="L359" s="1186">
        <v>4</v>
      </c>
      <c r="M359" s="1186">
        <v>1</v>
      </c>
      <c r="N359" s="1186">
        <v>2</v>
      </c>
      <c r="O359" s="1186">
        <v>2</v>
      </c>
      <c r="P359" s="1186">
        <v>8</v>
      </c>
      <c r="Q359" s="1186">
        <v>172</v>
      </c>
    </row>
    <row r="360" spans="1:17" x14ac:dyDescent="0.2">
      <c r="A360" s="1186" t="s">
        <v>25</v>
      </c>
      <c r="B360" s="1186" t="s">
        <v>1572</v>
      </c>
      <c r="C360" s="1186">
        <v>113</v>
      </c>
      <c r="D360" s="1186">
        <v>3</v>
      </c>
      <c r="E360" s="1186">
        <v>13</v>
      </c>
      <c r="F360" s="1186">
        <v>3</v>
      </c>
      <c r="G360" s="1186">
        <v>2</v>
      </c>
      <c r="H360" s="1186">
        <v>1</v>
      </c>
      <c r="I360" s="1186">
        <v>1</v>
      </c>
      <c r="J360" s="1186">
        <v>6</v>
      </c>
      <c r="K360" s="1186">
        <v>1</v>
      </c>
      <c r="L360" s="1186"/>
      <c r="M360" s="1186">
        <v>1</v>
      </c>
      <c r="N360" s="1186"/>
      <c r="O360" s="1186">
        <v>1</v>
      </c>
      <c r="P360" s="1186">
        <v>1</v>
      </c>
      <c r="Q360" s="1186">
        <v>80</v>
      </c>
    </row>
    <row r="361" spans="1:17" x14ac:dyDescent="0.2">
      <c r="A361" s="1186" t="s">
        <v>26</v>
      </c>
      <c r="B361" s="1186" t="s">
        <v>1572</v>
      </c>
      <c r="C361" s="1186">
        <v>118</v>
      </c>
      <c r="D361" s="1186">
        <v>10</v>
      </c>
      <c r="E361" s="1186">
        <v>5</v>
      </c>
      <c r="F361" s="1186">
        <v>2</v>
      </c>
      <c r="G361" s="1186">
        <v>4</v>
      </c>
      <c r="H361" s="1186">
        <v>1</v>
      </c>
      <c r="I361" s="1186"/>
      <c r="J361" s="1186"/>
      <c r="K361" s="1186"/>
      <c r="L361" s="1186">
        <v>2</v>
      </c>
      <c r="M361" s="1186">
        <v>1</v>
      </c>
      <c r="N361" s="1186">
        <v>1</v>
      </c>
      <c r="O361" s="1186">
        <v>3</v>
      </c>
      <c r="P361" s="1186">
        <v>3</v>
      </c>
      <c r="Q361" s="1186">
        <v>86</v>
      </c>
    </row>
    <row r="362" spans="1:17" x14ac:dyDescent="0.2">
      <c r="A362" s="1186" t="s">
        <v>619</v>
      </c>
      <c r="B362" s="1186" t="s">
        <v>1572</v>
      </c>
      <c r="C362" s="1186">
        <v>575</v>
      </c>
      <c r="D362" s="1186">
        <v>43</v>
      </c>
      <c r="E362" s="1186">
        <v>15</v>
      </c>
      <c r="F362" s="1186">
        <v>1</v>
      </c>
      <c r="G362" s="1186">
        <v>7</v>
      </c>
      <c r="H362" s="1186"/>
      <c r="I362" s="1186">
        <v>15</v>
      </c>
      <c r="J362" s="1186">
        <v>6</v>
      </c>
      <c r="K362" s="1186">
        <v>8</v>
      </c>
      <c r="L362" s="1186">
        <v>14</v>
      </c>
      <c r="M362" s="1186">
        <v>11</v>
      </c>
      <c r="N362" s="1186">
        <v>7</v>
      </c>
      <c r="O362" s="1186">
        <v>16</v>
      </c>
      <c r="P362" s="1186">
        <v>10</v>
      </c>
      <c r="Q362" s="1186">
        <v>422</v>
      </c>
    </row>
    <row r="363" spans="1:17" x14ac:dyDescent="0.2">
      <c r="A363" s="1186" t="s">
        <v>27</v>
      </c>
      <c r="B363" s="1186" t="s">
        <v>1572</v>
      </c>
      <c r="C363" s="1186">
        <v>76</v>
      </c>
      <c r="D363" s="1186">
        <v>1</v>
      </c>
      <c r="E363" s="1186">
        <v>5</v>
      </c>
      <c r="F363" s="1186"/>
      <c r="G363" s="1186">
        <v>3</v>
      </c>
      <c r="H363" s="1186">
        <v>1</v>
      </c>
      <c r="I363" s="1186">
        <v>1</v>
      </c>
      <c r="J363" s="1186">
        <v>5</v>
      </c>
      <c r="K363" s="1186">
        <v>1</v>
      </c>
      <c r="L363" s="1186">
        <v>1</v>
      </c>
      <c r="M363" s="1186"/>
      <c r="N363" s="1186">
        <v>3</v>
      </c>
      <c r="O363" s="1186"/>
      <c r="P363" s="1186"/>
      <c r="Q363" s="1186">
        <v>55</v>
      </c>
    </row>
    <row r="364" spans="1:17" x14ac:dyDescent="0.2">
      <c r="A364" s="1186" t="s">
        <v>28</v>
      </c>
      <c r="B364" s="1186" t="s">
        <v>1572</v>
      </c>
      <c r="C364" s="1186">
        <v>119</v>
      </c>
      <c r="D364" s="1186">
        <v>6</v>
      </c>
      <c r="E364" s="1186">
        <v>9</v>
      </c>
      <c r="F364" s="1186">
        <v>12</v>
      </c>
      <c r="G364" s="1186">
        <v>6</v>
      </c>
      <c r="H364" s="1186"/>
      <c r="I364" s="1186"/>
      <c r="J364" s="1186"/>
      <c r="K364" s="1186"/>
      <c r="L364" s="1186">
        <v>2</v>
      </c>
      <c r="M364" s="1186">
        <v>5</v>
      </c>
      <c r="N364" s="1186">
        <v>1</v>
      </c>
      <c r="O364" s="1186">
        <v>1</v>
      </c>
      <c r="P364" s="1186">
        <v>3</v>
      </c>
      <c r="Q364" s="1186">
        <v>74</v>
      </c>
    </row>
    <row r="365" spans="1:17" x14ac:dyDescent="0.2">
      <c r="A365" s="1186" t="s">
        <v>29</v>
      </c>
      <c r="B365" s="1186" t="s">
        <v>1572</v>
      </c>
      <c r="C365" s="1186">
        <v>263</v>
      </c>
      <c r="D365" s="1186">
        <v>14</v>
      </c>
      <c r="E365" s="1186">
        <v>2</v>
      </c>
      <c r="F365" s="1186"/>
      <c r="G365" s="1186">
        <v>13</v>
      </c>
      <c r="H365" s="1186">
        <v>2</v>
      </c>
      <c r="I365" s="1186"/>
      <c r="J365" s="1186"/>
      <c r="K365" s="1186">
        <v>2</v>
      </c>
      <c r="L365" s="1186">
        <v>5</v>
      </c>
      <c r="M365" s="1186">
        <v>3</v>
      </c>
      <c r="N365" s="1186">
        <v>6</v>
      </c>
      <c r="O365" s="1186">
        <v>4</v>
      </c>
      <c r="P365" s="1186">
        <v>3</v>
      </c>
      <c r="Q365" s="1186">
        <v>209</v>
      </c>
    </row>
    <row r="366" spans="1:17" x14ac:dyDescent="0.2">
      <c r="A366" s="1186" t="s">
        <v>30</v>
      </c>
      <c r="B366" s="1186" t="s">
        <v>1572</v>
      </c>
      <c r="C366" s="1186">
        <v>140</v>
      </c>
      <c r="D366" s="1186">
        <v>3</v>
      </c>
      <c r="E366" s="1186">
        <v>12</v>
      </c>
      <c r="F366" s="1186">
        <v>3</v>
      </c>
      <c r="G366" s="1186"/>
      <c r="H366" s="1186"/>
      <c r="I366" s="1186">
        <v>2</v>
      </c>
      <c r="J366" s="1186">
        <v>1</v>
      </c>
      <c r="K366" s="1186">
        <v>2</v>
      </c>
      <c r="L366" s="1186">
        <v>4</v>
      </c>
      <c r="M366" s="1186">
        <v>2</v>
      </c>
      <c r="N366" s="1186"/>
      <c r="O366" s="1186">
        <v>1</v>
      </c>
      <c r="P366" s="1186">
        <v>1</v>
      </c>
      <c r="Q366" s="1186">
        <v>109</v>
      </c>
    </row>
    <row r="367" spans="1:17" x14ac:dyDescent="0.2">
      <c r="A367" s="1186" t="s">
        <v>31</v>
      </c>
      <c r="B367" s="1186" t="s">
        <v>1572</v>
      </c>
      <c r="C367" s="1186">
        <v>95</v>
      </c>
      <c r="D367" s="1186">
        <v>5</v>
      </c>
      <c r="E367" s="1186">
        <v>4</v>
      </c>
      <c r="F367" s="1186">
        <v>1</v>
      </c>
      <c r="G367" s="1186">
        <v>2</v>
      </c>
      <c r="H367" s="1186"/>
      <c r="I367" s="1186">
        <v>2</v>
      </c>
      <c r="J367" s="1186">
        <v>1</v>
      </c>
      <c r="K367" s="1186"/>
      <c r="L367" s="1186">
        <v>1</v>
      </c>
      <c r="M367" s="1186">
        <v>3</v>
      </c>
      <c r="N367" s="1186">
        <v>2</v>
      </c>
      <c r="O367" s="1186"/>
      <c r="P367" s="1186"/>
      <c r="Q367" s="1186">
        <v>74</v>
      </c>
    </row>
    <row r="368" spans="1:17" x14ac:dyDescent="0.2">
      <c r="A368" s="1186" t="s">
        <v>32</v>
      </c>
      <c r="B368" s="1186" t="s">
        <v>1572</v>
      </c>
      <c r="C368" s="1186">
        <v>76</v>
      </c>
      <c r="D368" s="1186">
        <v>7</v>
      </c>
      <c r="E368" s="1186">
        <v>5</v>
      </c>
      <c r="F368" s="1186">
        <v>3</v>
      </c>
      <c r="G368" s="1186">
        <v>3</v>
      </c>
      <c r="H368" s="1186"/>
      <c r="I368" s="1186">
        <v>1</v>
      </c>
      <c r="J368" s="1186">
        <v>1</v>
      </c>
      <c r="K368" s="1186">
        <v>2</v>
      </c>
      <c r="L368" s="1186">
        <v>2</v>
      </c>
      <c r="M368" s="1186">
        <v>1</v>
      </c>
      <c r="N368" s="1186">
        <v>2</v>
      </c>
      <c r="O368" s="1186"/>
      <c r="P368" s="1186"/>
      <c r="Q368" s="1186">
        <v>49</v>
      </c>
    </row>
    <row r="369" spans="1:17" x14ac:dyDescent="0.2">
      <c r="A369" s="1186" t="s">
        <v>33</v>
      </c>
      <c r="B369" s="1186" t="s">
        <v>1572</v>
      </c>
      <c r="C369" s="1186">
        <v>65</v>
      </c>
      <c r="D369" s="1186">
        <v>2</v>
      </c>
      <c r="E369" s="1186">
        <v>3</v>
      </c>
      <c r="F369" s="1186">
        <v>1</v>
      </c>
      <c r="G369" s="1186">
        <v>1</v>
      </c>
      <c r="H369" s="1186"/>
      <c r="I369" s="1186">
        <v>1</v>
      </c>
      <c r="J369" s="1186"/>
      <c r="K369" s="1186"/>
      <c r="L369" s="1186">
        <v>2</v>
      </c>
      <c r="M369" s="1186">
        <v>1</v>
      </c>
      <c r="N369" s="1186">
        <v>1</v>
      </c>
      <c r="O369" s="1186"/>
      <c r="P369" s="1186"/>
      <c r="Q369" s="1186">
        <v>53</v>
      </c>
    </row>
    <row r="370" spans="1:17" x14ac:dyDescent="0.2">
      <c r="A370" s="1186" t="s">
        <v>34</v>
      </c>
      <c r="B370" s="1186" t="s">
        <v>1572</v>
      </c>
      <c r="C370" s="1186">
        <v>167</v>
      </c>
      <c r="D370" s="1186">
        <v>6</v>
      </c>
      <c r="E370" s="1186">
        <v>16</v>
      </c>
      <c r="F370" s="1186">
        <v>2</v>
      </c>
      <c r="G370" s="1186">
        <v>8</v>
      </c>
      <c r="H370" s="1186">
        <v>1</v>
      </c>
      <c r="I370" s="1186"/>
      <c r="J370" s="1186">
        <v>10</v>
      </c>
      <c r="K370" s="1186">
        <v>1</v>
      </c>
      <c r="L370" s="1186">
        <v>3</v>
      </c>
      <c r="M370" s="1186">
        <v>5</v>
      </c>
      <c r="N370" s="1186">
        <v>2</v>
      </c>
      <c r="O370" s="1186">
        <v>1</v>
      </c>
      <c r="P370" s="1186">
        <v>3</v>
      </c>
      <c r="Q370" s="1186">
        <v>109</v>
      </c>
    </row>
    <row r="371" spans="1:17" x14ac:dyDescent="0.2">
      <c r="A371" s="1186" t="s">
        <v>35</v>
      </c>
      <c r="B371" s="1186" t="s">
        <v>1572</v>
      </c>
      <c r="C371" s="1186">
        <v>346</v>
      </c>
      <c r="D371" s="1186">
        <v>6</v>
      </c>
      <c r="E371" s="1186">
        <v>28</v>
      </c>
      <c r="F371" s="1186">
        <v>7</v>
      </c>
      <c r="G371" s="1186">
        <v>20</v>
      </c>
      <c r="H371" s="1186">
        <v>2</v>
      </c>
      <c r="I371" s="1186">
        <v>1</v>
      </c>
      <c r="J371" s="1186">
        <v>2</v>
      </c>
      <c r="K371" s="1186">
        <v>9</v>
      </c>
      <c r="L371" s="1186">
        <v>2</v>
      </c>
      <c r="M371" s="1186">
        <v>7</v>
      </c>
      <c r="N371" s="1186">
        <v>4</v>
      </c>
      <c r="O371" s="1186">
        <v>1</v>
      </c>
      <c r="P371" s="1186">
        <v>10</v>
      </c>
      <c r="Q371" s="1186">
        <v>247</v>
      </c>
    </row>
    <row r="372" spans="1:17" x14ac:dyDescent="0.2">
      <c r="A372" s="1186" t="s">
        <v>36</v>
      </c>
      <c r="B372" s="1186" t="s">
        <v>1572</v>
      </c>
      <c r="C372" s="1186">
        <v>1030</v>
      </c>
      <c r="D372" s="1186">
        <v>55</v>
      </c>
      <c r="E372" s="1186">
        <v>18</v>
      </c>
      <c r="F372" s="1186">
        <v>1</v>
      </c>
      <c r="G372" s="1186">
        <v>13</v>
      </c>
      <c r="H372" s="1186">
        <v>4</v>
      </c>
      <c r="I372" s="1186">
        <v>16</v>
      </c>
      <c r="J372" s="1186">
        <v>8</v>
      </c>
      <c r="K372" s="1186">
        <v>12</v>
      </c>
      <c r="L372" s="1186">
        <v>17</v>
      </c>
      <c r="M372" s="1186">
        <v>32</v>
      </c>
      <c r="N372" s="1186">
        <v>17</v>
      </c>
      <c r="O372" s="1186">
        <v>25</v>
      </c>
      <c r="P372" s="1186">
        <v>17</v>
      </c>
      <c r="Q372" s="1186">
        <v>795</v>
      </c>
    </row>
    <row r="373" spans="1:17" x14ac:dyDescent="0.2">
      <c r="A373" s="1186" t="s">
        <v>37</v>
      </c>
      <c r="B373" s="1186" t="s">
        <v>1572</v>
      </c>
      <c r="C373" s="1186">
        <v>238</v>
      </c>
      <c r="D373" s="1186">
        <v>30</v>
      </c>
      <c r="E373" s="1186">
        <v>21</v>
      </c>
      <c r="F373" s="1186">
        <v>6</v>
      </c>
      <c r="G373" s="1186">
        <v>16</v>
      </c>
      <c r="H373" s="1186">
        <v>2</v>
      </c>
      <c r="I373" s="1186">
        <v>4</v>
      </c>
      <c r="J373" s="1186">
        <v>1</v>
      </c>
      <c r="K373" s="1186">
        <v>2</v>
      </c>
      <c r="L373" s="1186">
        <v>6</v>
      </c>
      <c r="M373" s="1186">
        <v>3</v>
      </c>
      <c r="N373" s="1186">
        <v>5</v>
      </c>
      <c r="O373" s="1186">
        <v>6</v>
      </c>
      <c r="P373" s="1186">
        <v>4</v>
      </c>
      <c r="Q373" s="1186">
        <v>132</v>
      </c>
    </row>
    <row r="374" spans="1:17" x14ac:dyDescent="0.2">
      <c r="A374" s="1186" t="s">
        <v>38</v>
      </c>
      <c r="B374" s="1186" t="s">
        <v>1572</v>
      </c>
      <c r="C374" s="1186">
        <v>130</v>
      </c>
      <c r="D374" s="1186">
        <v>1</v>
      </c>
      <c r="E374" s="1186">
        <v>5</v>
      </c>
      <c r="F374" s="1186">
        <v>1</v>
      </c>
      <c r="G374" s="1186">
        <v>1</v>
      </c>
      <c r="H374" s="1186"/>
      <c r="I374" s="1186"/>
      <c r="J374" s="1186">
        <v>1</v>
      </c>
      <c r="K374" s="1186">
        <v>3</v>
      </c>
      <c r="L374" s="1186">
        <v>1</v>
      </c>
      <c r="M374" s="1186">
        <v>2</v>
      </c>
      <c r="N374" s="1186"/>
      <c r="O374" s="1186">
        <v>2</v>
      </c>
      <c r="P374" s="1186">
        <v>3</v>
      </c>
      <c r="Q374" s="1186">
        <v>110</v>
      </c>
    </row>
    <row r="375" spans="1:17" x14ac:dyDescent="0.2">
      <c r="A375" s="1186" t="s">
        <v>39</v>
      </c>
      <c r="B375" s="1186" t="s">
        <v>1572</v>
      </c>
      <c r="C375" s="1186">
        <v>94</v>
      </c>
      <c r="D375" s="1186">
        <v>12</v>
      </c>
      <c r="E375" s="1186">
        <v>6</v>
      </c>
      <c r="F375" s="1186">
        <v>1</v>
      </c>
      <c r="G375" s="1186">
        <v>3</v>
      </c>
      <c r="H375" s="1186">
        <v>1</v>
      </c>
      <c r="I375" s="1186"/>
      <c r="J375" s="1186"/>
      <c r="K375" s="1186">
        <v>1</v>
      </c>
      <c r="L375" s="1186">
        <v>3</v>
      </c>
      <c r="M375" s="1186">
        <v>2</v>
      </c>
      <c r="N375" s="1186">
        <v>3</v>
      </c>
      <c r="O375" s="1186">
        <v>1</v>
      </c>
      <c r="P375" s="1186">
        <v>2</v>
      </c>
      <c r="Q375" s="1186">
        <v>59</v>
      </c>
    </row>
    <row r="376" spans="1:17" x14ac:dyDescent="0.2">
      <c r="A376" s="1186" t="s">
        <v>40</v>
      </c>
      <c r="B376" s="1186" t="s">
        <v>1572</v>
      </c>
      <c r="C376" s="1186">
        <v>78</v>
      </c>
      <c r="D376" s="1186">
        <v>4</v>
      </c>
      <c r="E376" s="1186">
        <v>8</v>
      </c>
      <c r="F376" s="1186">
        <v>2</v>
      </c>
      <c r="G376" s="1186">
        <v>6</v>
      </c>
      <c r="H376" s="1186">
        <v>1</v>
      </c>
      <c r="I376" s="1186"/>
      <c r="J376" s="1186"/>
      <c r="K376" s="1186">
        <v>1</v>
      </c>
      <c r="L376" s="1186">
        <v>1</v>
      </c>
      <c r="M376" s="1186">
        <v>2</v>
      </c>
      <c r="N376" s="1186">
        <v>1</v>
      </c>
      <c r="O376" s="1186"/>
      <c r="P376" s="1186">
        <v>1</v>
      </c>
      <c r="Q376" s="1186">
        <v>51</v>
      </c>
    </row>
    <row r="377" spans="1:17" x14ac:dyDescent="0.2">
      <c r="A377" s="1186" t="s">
        <v>295</v>
      </c>
      <c r="B377" s="1186" t="s">
        <v>1572</v>
      </c>
      <c r="C377" s="1186">
        <v>28</v>
      </c>
      <c r="D377" s="1186">
        <v>2</v>
      </c>
      <c r="E377" s="1186">
        <v>2</v>
      </c>
      <c r="F377" s="1186"/>
      <c r="G377" s="1186">
        <v>1</v>
      </c>
      <c r="H377" s="1186"/>
      <c r="I377" s="1186"/>
      <c r="J377" s="1186"/>
      <c r="K377" s="1186">
        <v>1</v>
      </c>
      <c r="L377" s="1186"/>
      <c r="M377" s="1186"/>
      <c r="N377" s="1186"/>
      <c r="O377" s="1186"/>
      <c r="P377" s="1186"/>
      <c r="Q377" s="1186">
        <v>22</v>
      </c>
    </row>
    <row r="378" spans="1:17" x14ac:dyDescent="0.2">
      <c r="A378" s="1186" t="s">
        <v>41</v>
      </c>
      <c r="B378" s="1186" t="s">
        <v>1572</v>
      </c>
      <c r="C378" s="1186">
        <v>188</v>
      </c>
      <c r="D378" s="1186">
        <v>4</v>
      </c>
      <c r="E378" s="1186">
        <v>8</v>
      </c>
      <c r="F378" s="1186">
        <v>2</v>
      </c>
      <c r="G378" s="1186">
        <v>7</v>
      </c>
      <c r="H378" s="1186"/>
      <c r="I378" s="1186"/>
      <c r="J378" s="1186">
        <v>1</v>
      </c>
      <c r="K378" s="1186">
        <v>1</v>
      </c>
      <c r="L378" s="1186">
        <v>2</v>
      </c>
      <c r="M378" s="1186">
        <v>6</v>
      </c>
      <c r="N378" s="1186">
        <v>1</v>
      </c>
      <c r="O378" s="1186">
        <v>1</v>
      </c>
      <c r="P378" s="1186">
        <v>2</v>
      </c>
      <c r="Q378" s="1186">
        <v>153</v>
      </c>
    </row>
    <row r="379" spans="1:17" x14ac:dyDescent="0.2">
      <c r="A379" s="1186" t="s">
        <v>42</v>
      </c>
      <c r="B379" s="1186" t="s">
        <v>1572</v>
      </c>
      <c r="C379" s="1186">
        <v>424</v>
      </c>
      <c r="D379" s="1186">
        <v>15</v>
      </c>
      <c r="E379" s="1186">
        <v>25</v>
      </c>
      <c r="F379" s="1186">
        <v>1</v>
      </c>
      <c r="G379" s="1186">
        <v>15</v>
      </c>
      <c r="H379" s="1186">
        <v>4</v>
      </c>
      <c r="I379" s="1186">
        <v>3</v>
      </c>
      <c r="J379" s="1186">
        <v>13</v>
      </c>
      <c r="K379" s="1186">
        <v>6</v>
      </c>
      <c r="L379" s="1186">
        <v>6</v>
      </c>
      <c r="M379" s="1186">
        <v>9</v>
      </c>
      <c r="N379" s="1186">
        <v>5</v>
      </c>
      <c r="O379" s="1186">
        <v>1</v>
      </c>
      <c r="P379" s="1186">
        <v>3</v>
      </c>
      <c r="Q379" s="1186">
        <v>318</v>
      </c>
    </row>
    <row r="380" spans="1:17" x14ac:dyDescent="0.2">
      <c r="A380" s="1186" t="s">
        <v>43</v>
      </c>
      <c r="B380" s="1186" t="s">
        <v>1572</v>
      </c>
      <c r="C380" s="1186">
        <v>6</v>
      </c>
      <c r="D380" s="1186">
        <v>1</v>
      </c>
      <c r="E380" s="1186">
        <v>1</v>
      </c>
      <c r="F380" s="1186"/>
      <c r="G380" s="1186"/>
      <c r="H380" s="1186"/>
      <c r="I380" s="1186"/>
      <c r="J380" s="1186"/>
      <c r="K380" s="1186"/>
      <c r="L380" s="1186"/>
      <c r="M380" s="1186"/>
      <c r="N380" s="1186"/>
      <c r="O380" s="1186"/>
      <c r="P380" s="1186"/>
      <c r="Q380" s="1186">
        <v>4</v>
      </c>
    </row>
    <row r="381" spans="1:17" x14ac:dyDescent="0.2">
      <c r="A381" s="1186" t="s">
        <v>44</v>
      </c>
      <c r="B381" s="1186" t="s">
        <v>1572</v>
      </c>
      <c r="C381" s="1186">
        <v>148</v>
      </c>
      <c r="D381" s="1186">
        <v>9</v>
      </c>
      <c r="E381" s="1186">
        <v>9</v>
      </c>
      <c r="F381" s="1186">
        <v>5</v>
      </c>
      <c r="G381" s="1186">
        <v>2</v>
      </c>
      <c r="H381" s="1186"/>
      <c r="I381" s="1186">
        <v>1</v>
      </c>
      <c r="J381" s="1186">
        <v>5</v>
      </c>
      <c r="K381" s="1186">
        <v>2</v>
      </c>
      <c r="L381" s="1186">
        <v>6</v>
      </c>
      <c r="M381" s="1186">
        <v>2</v>
      </c>
      <c r="N381" s="1186">
        <v>1</v>
      </c>
      <c r="O381" s="1186">
        <v>1</v>
      </c>
      <c r="P381" s="1186">
        <v>1</v>
      </c>
      <c r="Q381" s="1186">
        <v>104</v>
      </c>
    </row>
    <row r="382" spans="1:17" x14ac:dyDescent="0.2">
      <c r="A382" s="1186" t="s">
        <v>45</v>
      </c>
      <c r="B382" s="1186" t="s">
        <v>1572</v>
      </c>
      <c r="C382" s="1186">
        <v>247</v>
      </c>
      <c r="D382" s="1186">
        <v>15</v>
      </c>
      <c r="E382" s="1186">
        <v>11</v>
      </c>
      <c r="F382" s="1186"/>
      <c r="G382" s="1186">
        <v>5</v>
      </c>
      <c r="H382" s="1186">
        <v>1</v>
      </c>
      <c r="I382" s="1186">
        <v>3</v>
      </c>
      <c r="J382" s="1186">
        <v>1</v>
      </c>
      <c r="K382" s="1186">
        <v>2</v>
      </c>
      <c r="L382" s="1186">
        <v>2</v>
      </c>
      <c r="M382" s="1186">
        <v>6</v>
      </c>
      <c r="N382" s="1186">
        <v>7</v>
      </c>
      <c r="O382" s="1186">
        <v>2</v>
      </c>
      <c r="P382" s="1186">
        <v>7</v>
      </c>
      <c r="Q382" s="1186">
        <v>185</v>
      </c>
    </row>
    <row r="383" spans="1:17" x14ac:dyDescent="0.2">
      <c r="A383" s="1186" t="s">
        <v>46</v>
      </c>
      <c r="B383" s="1186" t="s">
        <v>1572</v>
      </c>
      <c r="C383" s="1186">
        <v>126</v>
      </c>
      <c r="D383" s="1186">
        <v>7</v>
      </c>
      <c r="E383" s="1186">
        <v>1</v>
      </c>
      <c r="F383" s="1186">
        <v>6</v>
      </c>
      <c r="G383" s="1186">
        <v>10</v>
      </c>
      <c r="H383" s="1186">
        <v>1</v>
      </c>
      <c r="I383" s="1186">
        <v>1</v>
      </c>
      <c r="J383" s="1186">
        <v>1</v>
      </c>
      <c r="K383" s="1186">
        <v>1</v>
      </c>
      <c r="L383" s="1186">
        <v>1</v>
      </c>
      <c r="M383" s="1186">
        <v>4</v>
      </c>
      <c r="N383" s="1186">
        <v>2</v>
      </c>
      <c r="O383" s="1186">
        <v>4</v>
      </c>
      <c r="P383" s="1186">
        <v>2</v>
      </c>
      <c r="Q383" s="1186">
        <v>85</v>
      </c>
    </row>
    <row r="384" spans="1:17" x14ac:dyDescent="0.2">
      <c r="A384" s="1186" t="s">
        <v>47</v>
      </c>
      <c r="B384" s="1186" t="s">
        <v>1572</v>
      </c>
      <c r="C384" s="1186">
        <v>34</v>
      </c>
      <c r="D384" s="1186">
        <v>4</v>
      </c>
      <c r="E384" s="1186">
        <v>2</v>
      </c>
      <c r="F384" s="1186"/>
      <c r="G384" s="1186">
        <v>2</v>
      </c>
      <c r="H384" s="1186"/>
      <c r="I384" s="1186"/>
      <c r="J384" s="1186"/>
      <c r="K384" s="1186"/>
      <c r="L384" s="1186"/>
      <c r="M384" s="1186">
        <v>1</v>
      </c>
      <c r="N384" s="1186"/>
      <c r="O384" s="1186"/>
      <c r="P384" s="1186"/>
      <c r="Q384" s="1186">
        <v>25</v>
      </c>
    </row>
    <row r="385" spans="1:17" x14ac:dyDescent="0.2">
      <c r="A385" s="1186" t="s">
        <v>48</v>
      </c>
      <c r="B385" s="1186" t="s">
        <v>1572</v>
      </c>
      <c r="C385" s="1186">
        <v>119</v>
      </c>
      <c r="D385" s="1186">
        <v>4</v>
      </c>
      <c r="E385" s="1186">
        <v>8</v>
      </c>
      <c r="F385" s="1186">
        <v>1</v>
      </c>
      <c r="G385" s="1186">
        <v>2</v>
      </c>
      <c r="H385" s="1186"/>
      <c r="I385" s="1186">
        <v>1</v>
      </c>
      <c r="J385" s="1186"/>
      <c r="K385" s="1186"/>
      <c r="L385" s="1186">
        <v>1</v>
      </c>
      <c r="M385" s="1186">
        <v>4</v>
      </c>
      <c r="N385" s="1186">
        <v>4</v>
      </c>
      <c r="O385" s="1186">
        <v>1</v>
      </c>
      <c r="P385" s="1186">
        <v>3</v>
      </c>
      <c r="Q385" s="1186">
        <v>90</v>
      </c>
    </row>
    <row r="386" spans="1:17" x14ac:dyDescent="0.2">
      <c r="A386" s="1186" t="s">
        <v>49</v>
      </c>
      <c r="B386" s="1186" t="s">
        <v>1572</v>
      </c>
      <c r="C386" s="1186">
        <v>326</v>
      </c>
      <c r="D386" s="1186">
        <v>11</v>
      </c>
      <c r="E386" s="1186">
        <v>25</v>
      </c>
      <c r="F386" s="1186">
        <v>1</v>
      </c>
      <c r="G386" s="1186">
        <v>8</v>
      </c>
      <c r="H386" s="1186">
        <v>3</v>
      </c>
      <c r="I386" s="1186">
        <v>2</v>
      </c>
      <c r="J386" s="1186">
        <v>1</v>
      </c>
      <c r="K386" s="1186"/>
      <c r="L386" s="1186">
        <v>3</v>
      </c>
      <c r="M386" s="1186">
        <v>8</v>
      </c>
      <c r="N386" s="1186"/>
      <c r="O386" s="1186">
        <v>3</v>
      </c>
      <c r="P386" s="1186">
        <v>6</v>
      </c>
      <c r="Q386" s="1186">
        <v>255</v>
      </c>
    </row>
    <row r="387" spans="1:17" x14ac:dyDescent="0.2">
      <c r="A387" s="1186" t="s">
        <v>50</v>
      </c>
      <c r="B387" s="1186" t="s">
        <v>1572</v>
      </c>
      <c r="C387" s="1186">
        <v>97</v>
      </c>
      <c r="D387" s="1186">
        <v>10</v>
      </c>
      <c r="E387" s="1186">
        <v>4</v>
      </c>
      <c r="F387" s="1186">
        <v>3</v>
      </c>
      <c r="G387" s="1186">
        <v>3</v>
      </c>
      <c r="H387" s="1186">
        <v>1</v>
      </c>
      <c r="I387" s="1186">
        <v>2</v>
      </c>
      <c r="J387" s="1186"/>
      <c r="K387" s="1186">
        <v>3</v>
      </c>
      <c r="L387" s="1186">
        <v>7</v>
      </c>
      <c r="M387" s="1186">
        <v>3</v>
      </c>
      <c r="N387" s="1186">
        <v>1</v>
      </c>
      <c r="O387" s="1186"/>
      <c r="P387" s="1186">
        <v>1</v>
      </c>
      <c r="Q387" s="1186">
        <v>59</v>
      </c>
    </row>
    <row r="388" spans="1:17" x14ac:dyDescent="0.2">
      <c r="A388" s="1186" t="s">
        <v>51</v>
      </c>
      <c r="B388" s="1186" t="s">
        <v>1572</v>
      </c>
      <c r="C388" s="1186">
        <v>143</v>
      </c>
      <c r="D388" s="1186">
        <v>6</v>
      </c>
      <c r="E388" s="1186">
        <v>5</v>
      </c>
      <c r="F388" s="1186"/>
      <c r="G388" s="1186">
        <v>2</v>
      </c>
      <c r="H388" s="1186"/>
      <c r="I388" s="1186">
        <v>1</v>
      </c>
      <c r="J388" s="1186">
        <v>1</v>
      </c>
      <c r="K388" s="1186">
        <v>1</v>
      </c>
      <c r="L388" s="1186"/>
      <c r="M388" s="1186">
        <v>2</v>
      </c>
      <c r="N388" s="1186">
        <v>4</v>
      </c>
      <c r="O388" s="1186">
        <v>1</v>
      </c>
      <c r="P388" s="1186">
        <v>3</v>
      </c>
      <c r="Q388" s="1186">
        <v>117</v>
      </c>
    </row>
    <row r="389" spans="1:17" x14ac:dyDescent="0.2">
      <c r="A389" s="1186" t="s">
        <v>52</v>
      </c>
      <c r="B389" s="1186" t="s">
        <v>1572</v>
      </c>
      <c r="C389" s="1186">
        <v>174</v>
      </c>
      <c r="D389" s="1186">
        <v>6</v>
      </c>
      <c r="E389" s="1186">
        <v>12</v>
      </c>
      <c r="F389" s="1186"/>
      <c r="G389" s="1186">
        <v>5</v>
      </c>
      <c r="H389" s="1186">
        <v>3</v>
      </c>
      <c r="I389" s="1186">
        <v>2</v>
      </c>
      <c r="J389" s="1186">
        <v>8</v>
      </c>
      <c r="K389" s="1186">
        <v>3</v>
      </c>
      <c r="L389" s="1186">
        <v>5</v>
      </c>
      <c r="M389" s="1186">
        <v>6</v>
      </c>
      <c r="N389" s="1186">
        <v>2</v>
      </c>
      <c r="O389" s="1186">
        <v>4</v>
      </c>
      <c r="P389" s="1186">
        <v>3</v>
      </c>
      <c r="Q389" s="1186">
        <v>115</v>
      </c>
    </row>
  </sheetData>
  <pageMargins left="0.7" right="0.7" top="0.75" bottom="0.75" header="0.3" footer="0.3"/>
  <pageSetup paperSize="9" fitToHeight="50" orientation="landscape" r:id="rId1"/>
  <legacyDrawing r:id="rId2"/>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pageSetUpPr fitToPage="1"/>
  </sheetPr>
  <dimension ref="A1:M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7.140625" bestFit="1" customWidth="1"/>
    <col min="3" max="3" width="24.85546875" bestFit="1" customWidth="1"/>
    <col min="4" max="4" width="18.5703125" bestFit="1" customWidth="1"/>
    <col min="5" max="5" width="31.140625" bestFit="1" customWidth="1"/>
    <col min="6" max="6" width="20.140625" bestFit="1" customWidth="1"/>
    <col min="7" max="7" width="11.42578125" bestFit="1" customWidth="1"/>
    <col min="8" max="8" width="22.7109375" bestFit="1" customWidth="1"/>
    <col min="9" max="9" width="28.140625" bestFit="1" customWidth="1"/>
    <col min="10" max="10" width="6.28515625" bestFit="1" customWidth="1"/>
    <col min="11" max="11" width="15.85546875" bestFit="1" customWidth="1"/>
    <col min="12" max="12" width="19.140625" bestFit="1" customWidth="1"/>
    <col min="13" max="13" width="28.85546875" bestFit="1" customWidth="1"/>
  </cols>
  <sheetData>
    <row r="1" spans="1:13" x14ac:dyDescent="0.2"/>
    <row r="4" spans="1:13" x14ac:dyDescent="0.2">
      <c r="A4" s="1223" t="s">
        <v>4</v>
      </c>
      <c r="B4" s="1223" t="s">
        <v>1743</v>
      </c>
      <c r="C4" s="1223" t="s">
        <v>1744</v>
      </c>
      <c r="D4" s="1223" t="s">
        <v>1745</v>
      </c>
      <c r="E4" s="1223" t="s">
        <v>1746</v>
      </c>
      <c r="F4" s="1223" t="s">
        <v>1747</v>
      </c>
      <c r="G4" s="1223" t="s">
        <v>1748</v>
      </c>
      <c r="H4" s="1223" t="s">
        <v>1749</v>
      </c>
      <c r="I4" s="1223" t="s">
        <v>1750</v>
      </c>
      <c r="J4" s="1223" t="s">
        <v>1751</v>
      </c>
      <c r="K4" s="1223" t="s">
        <v>1752</v>
      </c>
      <c r="L4" s="1223" t="s">
        <v>1753</v>
      </c>
      <c r="M4" s="1223" t="s">
        <v>1754</v>
      </c>
    </row>
    <row r="5" spans="1:13" x14ac:dyDescent="0.2">
      <c r="A5" s="1186" t="s">
        <v>19</v>
      </c>
      <c r="B5" s="1186" t="s">
        <v>496</v>
      </c>
      <c r="C5" s="1186">
        <v>4428</v>
      </c>
      <c r="D5" s="1186">
        <v>715</v>
      </c>
      <c r="E5" s="1186">
        <v>207</v>
      </c>
      <c r="F5" s="1186">
        <v>143</v>
      </c>
      <c r="G5" s="1186">
        <v>335</v>
      </c>
      <c r="H5" s="1186">
        <v>28</v>
      </c>
      <c r="I5" s="1186">
        <v>15</v>
      </c>
      <c r="J5" s="1186">
        <v>1587</v>
      </c>
      <c r="K5" s="1186">
        <v>399</v>
      </c>
      <c r="L5" s="1186">
        <v>841</v>
      </c>
      <c r="M5" s="1186">
        <v>158</v>
      </c>
    </row>
    <row r="6" spans="1:13" x14ac:dyDescent="0.2">
      <c r="A6" s="1186" t="s">
        <v>20</v>
      </c>
      <c r="B6" s="1186" t="s">
        <v>496</v>
      </c>
      <c r="C6" s="1186">
        <v>4056</v>
      </c>
      <c r="D6" s="1186">
        <v>678</v>
      </c>
      <c r="E6" s="1186">
        <v>180</v>
      </c>
      <c r="F6" s="1186">
        <v>141</v>
      </c>
      <c r="G6" s="1186">
        <v>316</v>
      </c>
      <c r="H6" s="1186">
        <v>39</v>
      </c>
      <c r="I6" s="1186">
        <v>18</v>
      </c>
      <c r="J6" s="1186">
        <v>1431</v>
      </c>
      <c r="K6" s="1186">
        <v>338</v>
      </c>
      <c r="L6" s="1186">
        <v>776</v>
      </c>
      <c r="M6" s="1186">
        <v>139</v>
      </c>
    </row>
    <row r="7" spans="1:13" x14ac:dyDescent="0.2">
      <c r="A7" s="1186" t="s">
        <v>13</v>
      </c>
      <c r="B7" s="1186" t="s">
        <v>496</v>
      </c>
      <c r="C7" s="1186">
        <v>3537</v>
      </c>
      <c r="D7" s="1186">
        <v>578</v>
      </c>
      <c r="E7" s="1186">
        <v>173</v>
      </c>
      <c r="F7" s="1186">
        <v>157</v>
      </c>
      <c r="G7" s="1186">
        <v>219</v>
      </c>
      <c r="H7" s="1186">
        <v>26</v>
      </c>
      <c r="I7" s="1186">
        <v>22</v>
      </c>
      <c r="J7" s="1186">
        <v>1243</v>
      </c>
      <c r="K7" s="1186">
        <v>281</v>
      </c>
      <c r="L7" s="1186">
        <v>724</v>
      </c>
      <c r="M7" s="1186">
        <v>114</v>
      </c>
    </row>
    <row r="8" spans="1:13" x14ac:dyDescent="0.2">
      <c r="A8" s="1186" t="s">
        <v>15</v>
      </c>
      <c r="B8" s="1186" t="s">
        <v>496</v>
      </c>
      <c r="C8" s="1186">
        <v>2849</v>
      </c>
      <c r="D8" s="1186">
        <v>403</v>
      </c>
      <c r="E8" s="1186">
        <v>157</v>
      </c>
      <c r="F8" s="1186">
        <v>78</v>
      </c>
      <c r="G8" s="1186">
        <v>129</v>
      </c>
      <c r="H8" s="1186">
        <v>34</v>
      </c>
      <c r="I8" s="1186">
        <v>14</v>
      </c>
      <c r="J8" s="1186">
        <v>1150</v>
      </c>
      <c r="K8" s="1186">
        <v>177</v>
      </c>
      <c r="L8" s="1186">
        <v>613</v>
      </c>
      <c r="M8" s="1186">
        <v>94</v>
      </c>
    </row>
    <row r="9" spans="1:13" x14ac:dyDescent="0.2">
      <c r="A9" s="1186" t="s">
        <v>17</v>
      </c>
      <c r="B9" s="1186" t="s">
        <v>496</v>
      </c>
      <c r="C9" s="1186">
        <v>2852</v>
      </c>
      <c r="D9" s="1186">
        <v>370</v>
      </c>
      <c r="E9" s="1186">
        <v>164</v>
      </c>
      <c r="F9" s="1186">
        <v>104</v>
      </c>
      <c r="G9" s="1186">
        <v>236</v>
      </c>
      <c r="H9" s="1186">
        <v>31</v>
      </c>
      <c r="I9" s="1186">
        <v>9</v>
      </c>
      <c r="J9" s="1186">
        <v>980</v>
      </c>
      <c r="K9" s="1186">
        <v>173</v>
      </c>
      <c r="L9" s="1186">
        <v>646</v>
      </c>
      <c r="M9" s="1186">
        <v>139</v>
      </c>
    </row>
    <row r="10" spans="1:13" x14ac:dyDescent="0.2">
      <c r="A10" s="1186" t="s">
        <v>133</v>
      </c>
      <c r="B10" s="1186" t="s">
        <v>496</v>
      </c>
      <c r="C10" s="1186">
        <v>2735</v>
      </c>
      <c r="D10" s="1186">
        <v>342</v>
      </c>
      <c r="E10" s="1186">
        <v>182</v>
      </c>
      <c r="F10" s="1186">
        <v>108</v>
      </c>
      <c r="G10" s="1186">
        <v>175</v>
      </c>
      <c r="H10" s="1186">
        <v>19</v>
      </c>
      <c r="I10" s="1186">
        <v>12</v>
      </c>
      <c r="J10" s="1186">
        <v>954</v>
      </c>
      <c r="K10" s="1186">
        <v>207</v>
      </c>
      <c r="L10" s="1186">
        <v>587</v>
      </c>
      <c r="M10" s="1186">
        <v>149</v>
      </c>
    </row>
    <row r="11" spans="1:13" x14ac:dyDescent="0.2">
      <c r="A11" s="1186" t="s">
        <v>144</v>
      </c>
      <c r="B11" s="1186" t="s">
        <v>496</v>
      </c>
      <c r="C11" s="1186">
        <v>2839</v>
      </c>
      <c r="D11" s="1186">
        <v>329</v>
      </c>
      <c r="E11" s="1186">
        <v>155</v>
      </c>
      <c r="F11" s="1186">
        <v>118</v>
      </c>
      <c r="G11" s="1186">
        <v>227</v>
      </c>
      <c r="H11" s="1186">
        <v>31</v>
      </c>
      <c r="I11" s="1186">
        <v>14</v>
      </c>
      <c r="J11" s="1186">
        <v>1009</v>
      </c>
      <c r="K11" s="1186">
        <v>217</v>
      </c>
      <c r="L11" s="1186">
        <v>619</v>
      </c>
      <c r="M11" s="1186">
        <v>120</v>
      </c>
    </row>
    <row r="12" spans="1:13" x14ac:dyDescent="0.2">
      <c r="A12" s="1186" t="s">
        <v>282</v>
      </c>
      <c r="B12" s="1186" t="s">
        <v>496</v>
      </c>
      <c r="C12" s="1186">
        <v>3077</v>
      </c>
      <c r="D12" s="1186">
        <v>365</v>
      </c>
      <c r="E12" s="1186">
        <v>159</v>
      </c>
      <c r="F12" s="1186">
        <v>115</v>
      </c>
      <c r="G12" s="1186">
        <v>278</v>
      </c>
      <c r="H12" s="1186">
        <v>28</v>
      </c>
      <c r="I12" s="1186">
        <v>12</v>
      </c>
      <c r="J12" s="1186">
        <v>1065</v>
      </c>
      <c r="K12" s="1186">
        <v>318</v>
      </c>
      <c r="L12" s="1186">
        <v>600</v>
      </c>
      <c r="M12" s="1186">
        <v>137</v>
      </c>
    </row>
    <row r="13" spans="1:13" x14ac:dyDescent="0.2">
      <c r="A13" s="1186" t="s">
        <v>311</v>
      </c>
      <c r="B13" s="1186" t="s">
        <v>496</v>
      </c>
      <c r="C13" s="1186">
        <v>3074</v>
      </c>
      <c r="D13" s="1186">
        <v>334</v>
      </c>
      <c r="E13" s="1186">
        <v>165</v>
      </c>
      <c r="F13" s="1186">
        <v>102</v>
      </c>
      <c r="G13" s="1186">
        <v>421</v>
      </c>
      <c r="H13" s="1186">
        <v>28</v>
      </c>
      <c r="I13" s="1186">
        <v>8</v>
      </c>
      <c r="J13" s="1186">
        <v>1070</v>
      </c>
      <c r="K13" s="1186">
        <v>252</v>
      </c>
      <c r="L13" s="1186">
        <v>576</v>
      </c>
      <c r="M13" s="1186">
        <v>118</v>
      </c>
    </row>
    <row r="14" spans="1:13" x14ac:dyDescent="0.2">
      <c r="A14" s="1186" t="s">
        <v>621</v>
      </c>
      <c r="B14" s="1186" t="s">
        <v>496</v>
      </c>
      <c r="C14" s="1186">
        <v>3076</v>
      </c>
      <c r="D14" s="1186">
        <v>318</v>
      </c>
      <c r="E14" s="1186">
        <v>156</v>
      </c>
      <c r="F14" s="1186">
        <v>163</v>
      </c>
      <c r="G14" s="1186">
        <v>440</v>
      </c>
      <c r="H14" s="1186">
        <v>31</v>
      </c>
      <c r="I14" s="1186">
        <v>16</v>
      </c>
      <c r="J14" s="1186">
        <v>981</v>
      </c>
      <c r="K14" s="1186">
        <v>237</v>
      </c>
      <c r="L14" s="1186">
        <v>621</v>
      </c>
      <c r="M14" s="1186">
        <v>113</v>
      </c>
    </row>
    <row r="15" spans="1:13" x14ac:dyDescent="0.2">
      <c r="A15" s="1186" t="s">
        <v>1419</v>
      </c>
      <c r="B15" s="1186" t="s">
        <v>496</v>
      </c>
      <c r="C15" s="1186">
        <v>2982</v>
      </c>
      <c r="D15" s="1186">
        <v>267</v>
      </c>
      <c r="E15" s="1186">
        <v>118</v>
      </c>
      <c r="F15" s="1186">
        <v>140</v>
      </c>
      <c r="G15" s="1186">
        <v>324</v>
      </c>
      <c r="H15" s="1186">
        <v>27</v>
      </c>
      <c r="I15" s="1186">
        <v>7</v>
      </c>
      <c r="J15" s="1186">
        <v>1108</v>
      </c>
      <c r="K15" s="1186">
        <v>219</v>
      </c>
      <c r="L15" s="1186">
        <v>643</v>
      </c>
      <c r="M15" s="1186">
        <v>129</v>
      </c>
    </row>
    <row r="16" spans="1:13" x14ac:dyDescent="0.2">
      <c r="A16" s="1186" t="s">
        <v>1572</v>
      </c>
      <c r="B16" s="1186" t="s">
        <v>496</v>
      </c>
      <c r="C16" s="1186">
        <v>3037</v>
      </c>
      <c r="D16" s="1186">
        <v>393</v>
      </c>
      <c r="E16" s="1186">
        <v>126</v>
      </c>
      <c r="F16" s="1186">
        <v>136</v>
      </c>
      <c r="G16" s="1186">
        <v>530</v>
      </c>
      <c r="H16" s="1186">
        <v>22</v>
      </c>
      <c r="I16" s="1186">
        <v>14</v>
      </c>
      <c r="J16" s="1186">
        <v>989</v>
      </c>
      <c r="K16" s="1186">
        <v>176</v>
      </c>
      <c r="L16" s="1186">
        <v>558</v>
      </c>
      <c r="M16" s="1186">
        <v>93</v>
      </c>
    </row>
  </sheetData>
  <pageMargins left="0.7" right="0.7" top="0.75" bottom="0.75" header="0.3" footer="0.3"/>
  <pageSetup paperSize="9" fitToHeight="50" orientation="landscape" r:id="rId1"/>
  <legacyDrawing r:id="rId2"/>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pageSetUpPr fitToPage="1"/>
  </sheetPr>
  <dimension ref="A1:K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27.28515625" bestFit="1" customWidth="1"/>
    <col min="3" max="3" width="16.28515625" bestFit="1" customWidth="1"/>
    <col min="4" max="4" width="11.5703125" bestFit="1" customWidth="1"/>
    <col min="5" max="5" width="25.28515625" bestFit="1" customWidth="1"/>
    <col min="6" max="6" width="18.5703125" bestFit="1" customWidth="1"/>
    <col min="7" max="7" width="15.85546875" bestFit="1" customWidth="1"/>
    <col min="8" max="8" width="28.140625" bestFit="1" customWidth="1"/>
    <col min="9" max="9" width="29.42578125" bestFit="1" customWidth="1"/>
    <col min="10" max="10" width="29.28515625" bestFit="1" customWidth="1"/>
    <col min="11" max="11" width="24" bestFit="1" customWidth="1"/>
  </cols>
  <sheetData>
    <row r="1" spans="1:11" x14ac:dyDescent="0.2"/>
    <row r="4" spans="1:11" x14ac:dyDescent="0.2">
      <c r="A4" s="1223" t="s">
        <v>4</v>
      </c>
      <c r="B4" s="1223" t="s">
        <v>1755</v>
      </c>
      <c r="C4" s="1223" t="s">
        <v>1756</v>
      </c>
      <c r="D4" s="1223" t="s">
        <v>1757</v>
      </c>
      <c r="E4" s="1223" t="s">
        <v>1758</v>
      </c>
      <c r="F4" s="1223" t="s">
        <v>1759</v>
      </c>
      <c r="G4" s="1223" t="s">
        <v>1760</v>
      </c>
      <c r="H4" s="1223" t="s">
        <v>1750</v>
      </c>
      <c r="I4" s="1223" t="s">
        <v>1761</v>
      </c>
      <c r="J4" s="1223" t="s">
        <v>1762</v>
      </c>
      <c r="K4" s="1223" t="s">
        <v>1763</v>
      </c>
    </row>
    <row r="5" spans="1:11" x14ac:dyDescent="0.2">
      <c r="A5" s="1186" t="s">
        <v>19</v>
      </c>
      <c r="B5" s="1186">
        <v>23005</v>
      </c>
      <c r="C5" s="1186">
        <v>711</v>
      </c>
      <c r="D5" s="1186">
        <v>6979</v>
      </c>
      <c r="E5" s="1186">
        <v>198</v>
      </c>
      <c r="F5" s="1186">
        <v>368</v>
      </c>
      <c r="G5" s="1186">
        <v>185</v>
      </c>
      <c r="H5" s="1186">
        <v>2735</v>
      </c>
      <c r="I5" s="1186">
        <v>4402</v>
      </c>
      <c r="J5" s="1186">
        <v>875</v>
      </c>
      <c r="K5" s="1186">
        <v>6552</v>
      </c>
    </row>
    <row r="6" spans="1:11" x14ac:dyDescent="0.2">
      <c r="A6" s="1186" t="s">
        <v>20</v>
      </c>
      <c r="B6" s="1186">
        <v>24217</v>
      </c>
      <c r="C6" s="1186">
        <v>746</v>
      </c>
      <c r="D6" s="1186">
        <v>8628</v>
      </c>
      <c r="E6" s="1186">
        <v>127</v>
      </c>
      <c r="F6" s="1186">
        <v>431</v>
      </c>
      <c r="G6" s="1186">
        <v>159</v>
      </c>
      <c r="H6" s="1186">
        <v>3055</v>
      </c>
      <c r="I6" s="1186">
        <v>4660</v>
      </c>
      <c r="J6" s="1186">
        <v>879</v>
      </c>
      <c r="K6" s="1186">
        <v>5532</v>
      </c>
    </row>
    <row r="7" spans="1:11" x14ac:dyDescent="0.2">
      <c r="A7" s="1186" t="s">
        <v>13</v>
      </c>
      <c r="B7" s="1186">
        <v>18683</v>
      </c>
      <c r="C7" s="1186">
        <v>642</v>
      </c>
      <c r="D7" s="1186">
        <v>5218</v>
      </c>
      <c r="E7" s="1186">
        <v>120</v>
      </c>
      <c r="F7" s="1186">
        <v>392</v>
      </c>
      <c r="G7" s="1186">
        <v>101</v>
      </c>
      <c r="H7" s="1186">
        <v>2283</v>
      </c>
      <c r="I7" s="1186">
        <v>4473</v>
      </c>
      <c r="J7" s="1186">
        <v>705</v>
      </c>
      <c r="K7" s="1186">
        <v>4749</v>
      </c>
    </row>
    <row r="8" spans="1:11" x14ac:dyDescent="0.2">
      <c r="A8" s="1186" t="s">
        <v>15</v>
      </c>
      <c r="B8" s="1186">
        <v>14273</v>
      </c>
      <c r="C8" s="1186">
        <v>482</v>
      </c>
      <c r="D8" s="1186">
        <v>3474</v>
      </c>
      <c r="E8" s="1186">
        <v>61</v>
      </c>
      <c r="F8" s="1186">
        <v>336</v>
      </c>
      <c r="G8" s="1186">
        <v>69</v>
      </c>
      <c r="H8" s="1186">
        <v>1905</v>
      </c>
      <c r="I8" s="1186">
        <v>3722</v>
      </c>
      <c r="J8" s="1186">
        <v>625</v>
      </c>
      <c r="K8" s="1186">
        <v>3599</v>
      </c>
    </row>
    <row r="9" spans="1:11" x14ac:dyDescent="0.2">
      <c r="A9" s="1186" t="s">
        <v>17</v>
      </c>
      <c r="B9" s="1186">
        <v>16361</v>
      </c>
      <c r="C9" s="1186">
        <v>379</v>
      </c>
      <c r="D9" s="1186">
        <v>6087</v>
      </c>
      <c r="E9" s="1186">
        <v>68</v>
      </c>
      <c r="F9" s="1186">
        <v>375</v>
      </c>
      <c r="G9" s="1186">
        <v>81</v>
      </c>
      <c r="H9" s="1186">
        <v>1816</v>
      </c>
      <c r="I9" s="1186">
        <v>3462</v>
      </c>
      <c r="J9" s="1186">
        <v>648</v>
      </c>
      <c r="K9" s="1186">
        <v>3445</v>
      </c>
    </row>
    <row r="10" spans="1:11" x14ac:dyDescent="0.2">
      <c r="A10" s="1186" t="s">
        <v>133</v>
      </c>
      <c r="B10" s="1186">
        <v>13406</v>
      </c>
      <c r="C10" s="1186">
        <v>343</v>
      </c>
      <c r="D10" s="1186">
        <v>3763</v>
      </c>
      <c r="E10" s="1186">
        <v>78</v>
      </c>
      <c r="F10" s="1186">
        <v>321</v>
      </c>
      <c r="G10" s="1186">
        <v>56</v>
      </c>
      <c r="H10" s="1186">
        <v>1703</v>
      </c>
      <c r="I10" s="1186">
        <v>3425</v>
      </c>
      <c r="J10" s="1186">
        <v>516</v>
      </c>
      <c r="K10" s="1186">
        <v>3201</v>
      </c>
    </row>
    <row r="11" spans="1:11" x14ac:dyDescent="0.2">
      <c r="A11" s="1186" t="s">
        <v>144</v>
      </c>
      <c r="B11" s="1186">
        <v>14732</v>
      </c>
      <c r="C11" s="1186">
        <v>368</v>
      </c>
      <c r="D11" s="1186">
        <v>4566</v>
      </c>
      <c r="E11" s="1186">
        <v>71</v>
      </c>
      <c r="F11" s="1186">
        <v>334</v>
      </c>
      <c r="G11" s="1186">
        <v>65</v>
      </c>
      <c r="H11" s="1186">
        <v>1894</v>
      </c>
      <c r="I11" s="1186">
        <v>3671</v>
      </c>
      <c r="J11" s="1186">
        <v>588</v>
      </c>
      <c r="K11" s="1186">
        <v>3175</v>
      </c>
    </row>
    <row r="12" spans="1:11" x14ac:dyDescent="0.2">
      <c r="A12" s="1186" t="s">
        <v>282</v>
      </c>
      <c r="B12" s="1186">
        <v>15660</v>
      </c>
      <c r="C12" s="1186">
        <v>304</v>
      </c>
      <c r="D12" s="1186">
        <v>4926</v>
      </c>
      <c r="E12" s="1186">
        <v>60</v>
      </c>
      <c r="F12" s="1186">
        <v>353</v>
      </c>
      <c r="G12" s="1186">
        <v>62</v>
      </c>
      <c r="H12" s="1186">
        <v>2021</v>
      </c>
      <c r="I12" s="1186">
        <v>3903</v>
      </c>
      <c r="J12" s="1186">
        <v>556</v>
      </c>
      <c r="K12" s="1186">
        <v>3475</v>
      </c>
    </row>
    <row r="13" spans="1:11" x14ac:dyDescent="0.2">
      <c r="A13" s="1186" t="s">
        <v>311</v>
      </c>
      <c r="B13" s="1186">
        <v>14728</v>
      </c>
      <c r="C13" s="1186">
        <v>307</v>
      </c>
      <c r="D13" s="1186">
        <v>5070</v>
      </c>
      <c r="E13" s="1186">
        <v>69</v>
      </c>
      <c r="F13" s="1186">
        <v>396</v>
      </c>
      <c r="G13" s="1186">
        <v>60</v>
      </c>
      <c r="H13" s="1186">
        <v>1923</v>
      </c>
      <c r="I13" s="1186">
        <v>3445</v>
      </c>
      <c r="J13" s="1186">
        <v>505</v>
      </c>
      <c r="K13" s="1186">
        <v>2953</v>
      </c>
    </row>
    <row r="14" spans="1:11" x14ac:dyDescent="0.2">
      <c r="A14" s="1186" t="s">
        <v>621</v>
      </c>
      <c r="B14" s="1186">
        <v>15697</v>
      </c>
      <c r="C14" s="1186">
        <v>222</v>
      </c>
      <c r="D14" s="1186">
        <v>6197</v>
      </c>
      <c r="E14" s="1186">
        <v>77</v>
      </c>
      <c r="F14" s="1186">
        <v>347</v>
      </c>
      <c r="G14" s="1186">
        <v>67</v>
      </c>
      <c r="H14" s="1186">
        <v>1421</v>
      </c>
      <c r="I14" s="1186">
        <v>3567</v>
      </c>
      <c r="J14" s="1186">
        <v>452</v>
      </c>
      <c r="K14" s="1186">
        <v>3347</v>
      </c>
    </row>
    <row r="15" spans="1:11" x14ac:dyDescent="0.2">
      <c r="A15" s="1186" t="s">
        <v>1419</v>
      </c>
      <c r="B15" s="1186">
        <v>14090</v>
      </c>
      <c r="C15" s="1186">
        <v>265</v>
      </c>
      <c r="D15" s="1186">
        <v>4387</v>
      </c>
      <c r="E15" s="1186">
        <v>77</v>
      </c>
      <c r="F15" s="1186">
        <v>369</v>
      </c>
      <c r="G15" s="1186">
        <v>59</v>
      </c>
      <c r="H15" s="1186">
        <v>981</v>
      </c>
      <c r="I15" s="1186">
        <v>3763</v>
      </c>
      <c r="J15" s="1186">
        <v>447</v>
      </c>
      <c r="K15" s="1186">
        <v>3742</v>
      </c>
    </row>
    <row r="16" spans="1:11" x14ac:dyDescent="0.2">
      <c r="A16" s="1186" t="s">
        <v>1572</v>
      </c>
      <c r="B16" s="1186">
        <v>15130</v>
      </c>
      <c r="C16" s="1186">
        <v>185</v>
      </c>
      <c r="D16" s="1186">
        <v>5027</v>
      </c>
      <c r="E16" s="1186">
        <v>95</v>
      </c>
      <c r="F16" s="1186">
        <v>351</v>
      </c>
      <c r="G16" s="1186">
        <v>101</v>
      </c>
      <c r="H16" s="1186">
        <v>1941</v>
      </c>
      <c r="I16" s="1186">
        <v>3382</v>
      </c>
      <c r="J16" s="1186">
        <v>441</v>
      </c>
      <c r="K16" s="1186">
        <v>3607</v>
      </c>
    </row>
  </sheetData>
  <pageMargins left="0.7" right="0.7" top="0.75" bottom="0.75" header="0.3" footer="0.3"/>
  <pageSetup paperSize="9" fitToHeight="50" orientation="landscape" r:id="rId1"/>
  <legacyDrawing r:id="rId2"/>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pageSetUpPr fitToPage="1"/>
  </sheetPr>
  <dimension ref="A1:O388"/>
  <sheetViews>
    <sheetView topLeftCell="F1" zoomScale="85" zoomScaleNormal="85" workbookViewId="0">
      <pane ySplit="4" topLeftCell="A344"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7.140625" bestFit="1" customWidth="1"/>
    <col min="3" max="3" width="19.5703125" bestFit="1" customWidth="1"/>
    <col min="4" max="4" width="24.85546875" bestFit="1" customWidth="1"/>
    <col min="5" max="5" width="18.5703125" bestFit="1" customWidth="1"/>
    <col min="6" max="6" width="31.140625" bestFit="1" customWidth="1"/>
    <col min="7" max="7" width="20.140625" bestFit="1" customWidth="1"/>
    <col min="8" max="8" width="11.42578125" bestFit="1" customWidth="1"/>
    <col min="9" max="9" width="22.7109375" bestFit="1" customWidth="1"/>
    <col min="10" max="10" width="28.140625" bestFit="1" customWidth="1"/>
    <col min="11" max="11" width="6.28515625" bestFit="1" customWidth="1"/>
    <col min="12" max="12" width="15.85546875" bestFit="1" customWidth="1"/>
    <col min="13" max="13" width="19.140625" bestFit="1" customWidth="1"/>
    <col min="14" max="14" width="28.85546875" bestFit="1" customWidth="1"/>
    <col min="15" max="15" width="6.85546875" bestFit="1" customWidth="1"/>
  </cols>
  <sheetData>
    <row r="1" spans="1:15" x14ac:dyDescent="0.2"/>
    <row r="4" spans="1:15" x14ac:dyDescent="0.2">
      <c r="A4" s="1223" t="s">
        <v>4</v>
      </c>
      <c r="B4" s="1223" t="s">
        <v>1743</v>
      </c>
      <c r="C4" s="1223" t="s">
        <v>1627</v>
      </c>
      <c r="D4" s="1223" t="s">
        <v>1744</v>
      </c>
      <c r="E4" s="1223" t="s">
        <v>1745</v>
      </c>
      <c r="F4" s="1223" t="s">
        <v>1746</v>
      </c>
      <c r="G4" s="1223" t="s">
        <v>1747</v>
      </c>
      <c r="H4" s="1223" t="s">
        <v>1748</v>
      </c>
      <c r="I4" s="1223" t="s">
        <v>1749</v>
      </c>
      <c r="J4" s="1223" t="s">
        <v>1750</v>
      </c>
      <c r="K4" s="1223" t="s">
        <v>1751</v>
      </c>
      <c r="L4" s="1223" t="s">
        <v>1752</v>
      </c>
      <c r="M4" s="1223" t="s">
        <v>1753</v>
      </c>
      <c r="N4" s="1223" t="s">
        <v>1754</v>
      </c>
      <c r="O4" s="1223" t="s">
        <v>1582</v>
      </c>
    </row>
    <row r="5" spans="1:15" x14ac:dyDescent="0.2">
      <c r="A5" s="1186" t="s">
        <v>19</v>
      </c>
      <c r="B5" s="1186" t="s">
        <v>496</v>
      </c>
      <c r="C5" s="1186" t="s">
        <v>23</v>
      </c>
      <c r="D5" s="1186">
        <v>166</v>
      </c>
      <c r="E5" s="1186">
        <v>23</v>
      </c>
      <c r="F5" s="1186">
        <v>4</v>
      </c>
      <c r="G5" s="1186">
        <v>2</v>
      </c>
      <c r="H5" s="1186"/>
      <c r="I5" s="1186"/>
      <c r="J5" s="1186"/>
      <c r="K5" s="1186">
        <v>59</v>
      </c>
      <c r="L5" s="1186">
        <v>16</v>
      </c>
      <c r="M5" s="1186">
        <v>29</v>
      </c>
      <c r="N5" s="1186">
        <v>33</v>
      </c>
      <c r="O5" s="1186">
        <v>217020</v>
      </c>
    </row>
    <row r="6" spans="1:15" x14ac:dyDescent="0.2">
      <c r="A6" s="1186" t="s">
        <v>19</v>
      </c>
      <c r="B6" s="1186" t="s">
        <v>496</v>
      </c>
      <c r="C6" s="1186" t="s">
        <v>24</v>
      </c>
      <c r="D6" s="1186">
        <v>158</v>
      </c>
      <c r="E6" s="1186">
        <v>15</v>
      </c>
      <c r="F6" s="1186">
        <v>25</v>
      </c>
      <c r="G6" s="1186">
        <v>14</v>
      </c>
      <c r="H6" s="1186">
        <v>1</v>
      </c>
      <c r="I6" s="1186">
        <v>2</v>
      </c>
      <c r="J6" s="1186">
        <v>1</v>
      </c>
      <c r="K6" s="1186">
        <v>56</v>
      </c>
      <c r="L6" s="1186">
        <v>5</v>
      </c>
      <c r="M6" s="1186">
        <v>36</v>
      </c>
      <c r="N6" s="1186">
        <v>3</v>
      </c>
      <c r="O6" s="1186">
        <v>249020</v>
      </c>
    </row>
    <row r="7" spans="1:15" x14ac:dyDescent="0.2">
      <c r="A7" s="1186" t="s">
        <v>19</v>
      </c>
      <c r="B7" s="1186" t="s">
        <v>496</v>
      </c>
      <c r="C7" s="1186" t="s">
        <v>25</v>
      </c>
      <c r="D7" s="1186">
        <v>46</v>
      </c>
      <c r="E7" s="1186">
        <v>2</v>
      </c>
      <c r="F7" s="1186">
        <v>1</v>
      </c>
      <c r="G7" s="1186">
        <v>3</v>
      </c>
      <c r="H7" s="1186">
        <v>1</v>
      </c>
      <c r="I7" s="1186"/>
      <c r="J7" s="1186"/>
      <c r="K7" s="1186">
        <v>23</v>
      </c>
      <c r="L7" s="1186">
        <v>7</v>
      </c>
      <c r="M7" s="1186">
        <v>9</v>
      </c>
      <c r="N7" s="1186"/>
      <c r="O7" s="1186">
        <v>114830</v>
      </c>
    </row>
    <row r="8" spans="1:15" x14ac:dyDescent="0.2">
      <c r="A8" s="1186" t="s">
        <v>19</v>
      </c>
      <c r="B8" s="1186" t="s">
        <v>496</v>
      </c>
      <c r="C8" s="1186" t="s">
        <v>26</v>
      </c>
      <c r="D8" s="1186">
        <v>51</v>
      </c>
      <c r="E8" s="1186">
        <v>7</v>
      </c>
      <c r="F8" s="1186"/>
      <c r="G8" s="1186"/>
      <c r="H8" s="1186">
        <v>3</v>
      </c>
      <c r="I8" s="1186">
        <v>3</v>
      </c>
      <c r="J8" s="1186"/>
      <c r="K8" s="1186">
        <v>18</v>
      </c>
      <c r="L8" s="1186">
        <v>5</v>
      </c>
      <c r="M8" s="1186">
        <v>15</v>
      </c>
      <c r="N8" s="1186"/>
      <c r="O8" s="1186">
        <v>89450</v>
      </c>
    </row>
    <row r="9" spans="1:15" x14ac:dyDescent="0.2">
      <c r="A9" s="1186" t="s">
        <v>19</v>
      </c>
      <c r="B9" s="1186" t="s">
        <v>496</v>
      </c>
      <c r="C9" s="1186" t="s">
        <v>619</v>
      </c>
      <c r="D9" s="1186">
        <v>437</v>
      </c>
      <c r="E9" s="1186">
        <v>106</v>
      </c>
      <c r="F9" s="1186">
        <v>18</v>
      </c>
      <c r="G9" s="1186">
        <v>8</v>
      </c>
      <c r="H9" s="1186">
        <v>43</v>
      </c>
      <c r="I9" s="1186">
        <v>3</v>
      </c>
      <c r="J9" s="1186">
        <v>3</v>
      </c>
      <c r="K9" s="1186">
        <v>119</v>
      </c>
      <c r="L9" s="1186">
        <v>31</v>
      </c>
      <c r="M9" s="1186">
        <v>69</v>
      </c>
      <c r="N9" s="1186">
        <v>37</v>
      </c>
      <c r="O9" s="1186">
        <v>463230</v>
      </c>
    </row>
    <row r="10" spans="1:15" x14ac:dyDescent="0.2">
      <c r="A10" s="1186" t="s">
        <v>19</v>
      </c>
      <c r="B10" s="1186" t="s">
        <v>496</v>
      </c>
      <c r="C10" s="1186" t="s">
        <v>27</v>
      </c>
      <c r="D10" s="1186">
        <v>51</v>
      </c>
      <c r="E10" s="1186">
        <v>6</v>
      </c>
      <c r="F10" s="1186">
        <v>3</v>
      </c>
      <c r="G10" s="1186">
        <v>19</v>
      </c>
      <c r="H10" s="1186">
        <v>2</v>
      </c>
      <c r="I10" s="1186"/>
      <c r="J10" s="1186"/>
      <c r="K10" s="1186">
        <v>12</v>
      </c>
      <c r="L10" s="1186"/>
      <c r="M10" s="1186">
        <v>8</v>
      </c>
      <c r="N10" s="1186">
        <v>1</v>
      </c>
      <c r="O10" s="1186">
        <v>51290</v>
      </c>
    </row>
    <row r="11" spans="1:15" x14ac:dyDescent="0.2">
      <c r="A11" s="1186" t="s">
        <v>19</v>
      </c>
      <c r="B11" s="1186" t="s">
        <v>496</v>
      </c>
      <c r="C11" s="1186" t="s">
        <v>28</v>
      </c>
      <c r="D11" s="1186">
        <v>107</v>
      </c>
      <c r="E11" s="1186">
        <v>6</v>
      </c>
      <c r="F11" s="1186">
        <v>6</v>
      </c>
      <c r="G11" s="1186">
        <v>1</v>
      </c>
      <c r="H11" s="1186">
        <v>4</v>
      </c>
      <c r="I11" s="1186">
        <v>1</v>
      </c>
      <c r="J11" s="1186">
        <v>1</v>
      </c>
      <c r="K11" s="1186">
        <v>39</v>
      </c>
      <c r="L11" s="1186">
        <v>3</v>
      </c>
      <c r="M11" s="1186">
        <v>40</v>
      </c>
      <c r="N11" s="1186">
        <v>6</v>
      </c>
      <c r="O11" s="1186">
        <v>151160</v>
      </c>
    </row>
    <row r="12" spans="1:15" x14ac:dyDescent="0.2">
      <c r="A12" s="1186" t="s">
        <v>19</v>
      </c>
      <c r="B12" s="1186" t="s">
        <v>496</v>
      </c>
      <c r="C12" s="1186" t="s">
        <v>29</v>
      </c>
      <c r="D12" s="1186">
        <v>73</v>
      </c>
      <c r="E12" s="1186">
        <v>12</v>
      </c>
      <c r="F12" s="1186">
        <v>5</v>
      </c>
      <c r="G12" s="1186">
        <v>2</v>
      </c>
      <c r="H12" s="1186">
        <v>1</v>
      </c>
      <c r="I12" s="1186">
        <v>1</v>
      </c>
      <c r="J12" s="1186"/>
      <c r="K12" s="1186">
        <v>25</v>
      </c>
      <c r="L12" s="1186">
        <v>8</v>
      </c>
      <c r="M12" s="1186">
        <v>17</v>
      </c>
      <c r="N12" s="1186">
        <v>2</v>
      </c>
      <c r="O12" s="1186">
        <v>145170</v>
      </c>
    </row>
    <row r="13" spans="1:15" x14ac:dyDescent="0.2">
      <c r="A13" s="1186" t="s">
        <v>19</v>
      </c>
      <c r="B13" s="1186" t="s">
        <v>496</v>
      </c>
      <c r="C13" s="1186" t="s">
        <v>30</v>
      </c>
      <c r="D13" s="1186">
        <v>105</v>
      </c>
      <c r="E13" s="1186">
        <v>26</v>
      </c>
      <c r="F13" s="1186">
        <v>6</v>
      </c>
      <c r="G13" s="1186">
        <v>1</v>
      </c>
      <c r="H13" s="1186">
        <v>8</v>
      </c>
      <c r="I13" s="1186"/>
      <c r="J13" s="1186"/>
      <c r="K13" s="1186">
        <v>33</v>
      </c>
      <c r="L13" s="1186">
        <v>12</v>
      </c>
      <c r="M13" s="1186">
        <v>14</v>
      </c>
      <c r="N13" s="1186">
        <v>5</v>
      </c>
      <c r="O13" s="1186">
        <v>122110</v>
      </c>
    </row>
    <row r="14" spans="1:15" x14ac:dyDescent="0.2">
      <c r="A14" s="1186" t="s">
        <v>19</v>
      </c>
      <c r="B14" s="1186" t="s">
        <v>496</v>
      </c>
      <c r="C14" s="1186" t="s">
        <v>31</v>
      </c>
      <c r="D14" s="1186">
        <v>71</v>
      </c>
      <c r="E14" s="1186">
        <v>9</v>
      </c>
      <c r="F14" s="1186">
        <v>1</v>
      </c>
      <c r="G14" s="1186">
        <v>2</v>
      </c>
      <c r="H14" s="1186">
        <v>7</v>
      </c>
      <c r="I14" s="1186"/>
      <c r="J14" s="1186"/>
      <c r="K14" s="1186">
        <v>29</v>
      </c>
      <c r="L14" s="1186">
        <v>7</v>
      </c>
      <c r="M14" s="1186">
        <v>12</v>
      </c>
      <c r="N14" s="1186">
        <v>4</v>
      </c>
      <c r="O14" s="1186">
        <v>104960</v>
      </c>
    </row>
    <row r="15" spans="1:15" x14ac:dyDescent="0.2">
      <c r="A15" s="1186" t="s">
        <v>19</v>
      </c>
      <c r="B15" s="1186" t="s">
        <v>496</v>
      </c>
      <c r="C15" s="1186" t="s">
        <v>32</v>
      </c>
      <c r="D15" s="1186">
        <v>96</v>
      </c>
      <c r="E15" s="1186">
        <v>15</v>
      </c>
      <c r="F15" s="1186">
        <v>2</v>
      </c>
      <c r="G15" s="1186">
        <v>17</v>
      </c>
      <c r="H15" s="1186">
        <v>7</v>
      </c>
      <c r="I15" s="1186"/>
      <c r="J15" s="1186"/>
      <c r="K15" s="1186">
        <v>25</v>
      </c>
      <c r="L15" s="1186">
        <v>6</v>
      </c>
      <c r="M15" s="1186">
        <v>21</v>
      </c>
      <c r="N15" s="1186">
        <v>3</v>
      </c>
      <c r="O15" s="1186">
        <v>98340</v>
      </c>
    </row>
    <row r="16" spans="1:15" x14ac:dyDescent="0.2">
      <c r="A16" s="1186" t="s">
        <v>19</v>
      </c>
      <c r="B16" s="1186" t="s">
        <v>496</v>
      </c>
      <c r="C16" s="1186" t="s">
        <v>33</v>
      </c>
      <c r="D16" s="1186">
        <v>70</v>
      </c>
      <c r="E16" s="1186">
        <v>6</v>
      </c>
      <c r="F16" s="1186">
        <v>8</v>
      </c>
      <c r="G16" s="1186"/>
      <c r="H16" s="1186">
        <v>15</v>
      </c>
      <c r="I16" s="1186">
        <v>1</v>
      </c>
      <c r="J16" s="1186"/>
      <c r="K16" s="1186">
        <v>21</v>
      </c>
      <c r="L16" s="1186">
        <v>7</v>
      </c>
      <c r="M16" s="1186">
        <v>11</v>
      </c>
      <c r="N16" s="1186">
        <v>1</v>
      </c>
      <c r="O16" s="1186">
        <v>89980</v>
      </c>
    </row>
    <row r="17" spans="1:15" x14ac:dyDescent="0.2">
      <c r="A17" s="1186" t="s">
        <v>19</v>
      </c>
      <c r="B17" s="1186" t="s">
        <v>496</v>
      </c>
      <c r="C17" s="1186" t="s">
        <v>34</v>
      </c>
      <c r="D17" s="1186">
        <v>87</v>
      </c>
      <c r="E17" s="1186">
        <v>15</v>
      </c>
      <c r="F17" s="1186">
        <v>5</v>
      </c>
      <c r="G17" s="1186">
        <v>1</v>
      </c>
      <c r="H17" s="1186">
        <v>1</v>
      </c>
      <c r="I17" s="1186"/>
      <c r="J17" s="1186"/>
      <c r="K17" s="1186">
        <v>32</v>
      </c>
      <c r="L17" s="1186">
        <v>6</v>
      </c>
      <c r="M17" s="1186">
        <v>25</v>
      </c>
      <c r="N17" s="1186">
        <v>2</v>
      </c>
      <c r="O17" s="1186">
        <v>154210</v>
      </c>
    </row>
    <row r="18" spans="1:15" x14ac:dyDescent="0.2">
      <c r="A18" s="1186" t="s">
        <v>19</v>
      </c>
      <c r="B18" s="1186" t="s">
        <v>496</v>
      </c>
      <c r="C18" s="1186" t="s">
        <v>35</v>
      </c>
      <c r="D18" s="1186">
        <v>207</v>
      </c>
      <c r="E18" s="1186">
        <v>36</v>
      </c>
      <c r="F18" s="1186">
        <v>6</v>
      </c>
      <c r="G18" s="1186">
        <v>12</v>
      </c>
      <c r="H18" s="1186">
        <v>3</v>
      </c>
      <c r="I18" s="1186">
        <v>2</v>
      </c>
      <c r="J18" s="1186">
        <v>1</v>
      </c>
      <c r="K18" s="1186">
        <v>79</v>
      </c>
      <c r="L18" s="1186">
        <v>18</v>
      </c>
      <c r="M18" s="1186">
        <v>41</v>
      </c>
      <c r="N18" s="1186">
        <v>9</v>
      </c>
      <c r="O18" s="1186">
        <v>361420</v>
      </c>
    </row>
    <row r="19" spans="1:15" x14ac:dyDescent="0.2">
      <c r="A19" s="1186" t="s">
        <v>19</v>
      </c>
      <c r="B19" s="1186" t="s">
        <v>496</v>
      </c>
      <c r="C19" s="1186" t="s">
        <v>36</v>
      </c>
      <c r="D19" s="1186">
        <v>619</v>
      </c>
      <c r="E19" s="1186">
        <v>108</v>
      </c>
      <c r="F19" s="1186">
        <v>22</v>
      </c>
      <c r="G19" s="1186">
        <v>1</v>
      </c>
      <c r="H19" s="1186">
        <v>27</v>
      </c>
      <c r="I19" s="1186">
        <v>3</v>
      </c>
      <c r="J19" s="1186">
        <v>1</v>
      </c>
      <c r="K19" s="1186">
        <v>281</v>
      </c>
      <c r="L19" s="1186">
        <v>68</v>
      </c>
      <c r="M19" s="1186">
        <v>98</v>
      </c>
      <c r="N19" s="1186">
        <v>10</v>
      </c>
      <c r="O19" s="1186">
        <v>581620</v>
      </c>
    </row>
    <row r="20" spans="1:15" x14ac:dyDescent="0.2">
      <c r="A20" s="1186" t="s">
        <v>19</v>
      </c>
      <c r="B20" s="1186" t="s">
        <v>496</v>
      </c>
      <c r="C20" s="1186" t="s">
        <v>37</v>
      </c>
      <c r="D20" s="1186">
        <v>131</v>
      </c>
      <c r="E20" s="1186">
        <v>18</v>
      </c>
      <c r="F20" s="1186">
        <v>6</v>
      </c>
      <c r="G20" s="1186">
        <v>12</v>
      </c>
      <c r="H20" s="1186">
        <v>9</v>
      </c>
      <c r="I20" s="1186">
        <v>3</v>
      </c>
      <c r="J20" s="1186">
        <v>1</v>
      </c>
      <c r="K20" s="1186">
        <v>44</v>
      </c>
      <c r="L20" s="1186">
        <v>2</v>
      </c>
      <c r="M20" s="1186">
        <v>36</v>
      </c>
      <c r="N20" s="1186"/>
      <c r="O20" s="1186">
        <v>228750</v>
      </c>
    </row>
    <row r="21" spans="1:15" x14ac:dyDescent="0.2">
      <c r="A21" s="1186" t="s">
        <v>19</v>
      </c>
      <c r="B21" s="1186" t="s">
        <v>496</v>
      </c>
      <c r="C21" s="1186" t="s">
        <v>38</v>
      </c>
      <c r="D21" s="1186">
        <v>107</v>
      </c>
      <c r="E21" s="1186">
        <v>21</v>
      </c>
      <c r="F21" s="1186">
        <v>1</v>
      </c>
      <c r="G21" s="1186">
        <v>1</v>
      </c>
      <c r="H21" s="1186">
        <v>2</v>
      </c>
      <c r="I21" s="1186">
        <v>3</v>
      </c>
      <c r="J21" s="1186"/>
      <c r="K21" s="1186">
        <v>40</v>
      </c>
      <c r="L21" s="1186">
        <v>14</v>
      </c>
      <c r="M21" s="1186">
        <v>22</v>
      </c>
      <c r="N21" s="1186">
        <v>3</v>
      </c>
      <c r="O21" s="1186">
        <v>81670</v>
      </c>
    </row>
    <row r="22" spans="1:15" x14ac:dyDescent="0.2">
      <c r="A22" s="1186" t="s">
        <v>19</v>
      </c>
      <c r="B22" s="1186" t="s">
        <v>496</v>
      </c>
      <c r="C22" s="1186" t="s">
        <v>39</v>
      </c>
      <c r="D22" s="1186">
        <v>78</v>
      </c>
      <c r="E22" s="1186">
        <v>10</v>
      </c>
      <c r="F22" s="1186">
        <v>8</v>
      </c>
      <c r="G22" s="1186">
        <v>5</v>
      </c>
      <c r="H22" s="1186">
        <v>9</v>
      </c>
      <c r="I22" s="1186"/>
      <c r="J22" s="1186">
        <v>1</v>
      </c>
      <c r="K22" s="1186">
        <v>26</v>
      </c>
      <c r="L22" s="1186">
        <v>4</v>
      </c>
      <c r="M22" s="1186">
        <v>13</v>
      </c>
      <c r="N22" s="1186">
        <v>2</v>
      </c>
      <c r="O22" s="1186">
        <v>81900</v>
      </c>
    </row>
    <row r="23" spans="1:15" x14ac:dyDescent="0.2">
      <c r="A23" s="1186" t="s">
        <v>19</v>
      </c>
      <c r="B23" s="1186" t="s">
        <v>496</v>
      </c>
      <c r="C23" s="1186" t="s">
        <v>40</v>
      </c>
      <c r="D23" s="1186">
        <v>56</v>
      </c>
      <c r="E23" s="1186">
        <v>9</v>
      </c>
      <c r="F23" s="1186">
        <v>5</v>
      </c>
      <c r="G23" s="1186">
        <v>5</v>
      </c>
      <c r="H23" s="1186">
        <v>2</v>
      </c>
      <c r="I23" s="1186"/>
      <c r="J23" s="1186"/>
      <c r="K23" s="1186">
        <v>14</v>
      </c>
      <c r="L23" s="1186">
        <v>7</v>
      </c>
      <c r="M23" s="1186">
        <v>13</v>
      </c>
      <c r="N23" s="1186">
        <v>1</v>
      </c>
      <c r="O23" s="1186">
        <v>93160</v>
      </c>
    </row>
    <row r="24" spans="1:15" x14ac:dyDescent="0.2">
      <c r="A24" s="1186" t="s">
        <v>19</v>
      </c>
      <c r="B24" s="1186" t="s">
        <v>496</v>
      </c>
      <c r="C24" s="1186" t="s">
        <v>295</v>
      </c>
      <c r="D24" s="1186">
        <v>7</v>
      </c>
      <c r="E24" s="1186">
        <v>1</v>
      </c>
      <c r="F24" s="1186"/>
      <c r="G24" s="1186">
        <v>1</v>
      </c>
      <c r="H24" s="1186">
        <v>1</v>
      </c>
      <c r="I24" s="1186">
        <v>1</v>
      </c>
      <c r="J24" s="1186"/>
      <c r="K24" s="1186">
        <v>2</v>
      </c>
      <c r="L24" s="1186"/>
      <c r="M24" s="1186">
        <v>1</v>
      </c>
      <c r="N24" s="1186"/>
      <c r="O24" s="1186">
        <v>27420</v>
      </c>
    </row>
    <row r="25" spans="1:15" x14ac:dyDescent="0.2">
      <c r="A25" s="1186" t="s">
        <v>19</v>
      </c>
      <c r="B25" s="1186" t="s">
        <v>496</v>
      </c>
      <c r="C25" s="1186" t="s">
        <v>41</v>
      </c>
      <c r="D25" s="1186">
        <v>122</v>
      </c>
      <c r="E25" s="1186">
        <v>29</v>
      </c>
      <c r="F25" s="1186">
        <v>9</v>
      </c>
      <c r="G25" s="1186"/>
      <c r="H25" s="1186">
        <v>6</v>
      </c>
      <c r="I25" s="1186">
        <v>1</v>
      </c>
      <c r="J25" s="1186">
        <v>1</v>
      </c>
      <c r="K25" s="1186">
        <v>37</v>
      </c>
      <c r="L25" s="1186">
        <v>11</v>
      </c>
      <c r="M25" s="1186">
        <v>23</v>
      </c>
      <c r="N25" s="1186">
        <v>5</v>
      </c>
      <c r="O25" s="1186">
        <v>137830</v>
      </c>
    </row>
    <row r="26" spans="1:15" x14ac:dyDescent="0.2">
      <c r="A26" s="1186" t="s">
        <v>19</v>
      </c>
      <c r="B26" s="1186" t="s">
        <v>496</v>
      </c>
      <c r="C26" s="1186" t="s">
        <v>42</v>
      </c>
      <c r="D26" s="1186">
        <v>449</v>
      </c>
      <c r="E26" s="1186">
        <v>61</v>
      </c>
      <c r="F26" s="1186">
        <v>12</v>
      </c>
      <c r="G26" s="1186">
        <v>8</v>
      </c>
      <c r="H26" s="1186">
        <v>56</v>
      </c>
      <c r="I26" s="1186"/>
      <c r="J26" s="1186">
        <v>2</v>
      </c>
      <c r="K26" s="1186">
        <v>172</v>
      </c>
      <c r="L26" s="1186">
        <v>49</v>
      </c>
      <c r="M26" s="1186">
        <v>80</v>
      </c>
      <c r="N26" s="1186">
        <v>9</v>
      </c>
      <c r="O26" s="1186">
        <v>335160</v>
      </c>
    </row>
    <row r="27" spans="1:15" x14ac:dyDescent="0.2">
      <c r="A27" s="1186" t="s">
        <v>19</v>
      </c>
      <c r="B27" s="1186" t="s">
        <v>496</v>
      </c>
      <c r="C27" s="1186" t="s">
        <v>43</v>
      </c>
      <c r="D27" s="1186">
        <v>5</v>
      </c>
      <c r="E27" s="1186">
        <v>1</v>
      </c>
      <c r="F27" s="1186"/>
      <c r="G27" s="1186"/>
      <c r="H27" s="1186"/>
      <c r="I27" s="1186"/>
      <c r="J27" s="1186"/>
      <c r="K27" s="1186">
        <v>3</v>
      </c>
      <c r="L27" s="1186"/>
      <c r="M27" s="1186">
        <v>1</v>
      </c>
      <c r="N27" s="1186"/>
      <c r="O27" s="1186">
        <v>20940</v>
      </c>
    </row>
    <row r="28" spans="1:15" x14ac:dyDescent="0.2">
      <c r="A28" s="1186" t="s">
        <v>19</v>
      </c>
      <c r="B28" s="1186" t="s">
        <v>496</v>
      </c>
      <c r="C28" s="1186" t="s">
        <v>44</v>
      </c>
      <c r="D28" s="1186">
        <v>78</v>
      </c>
      <c r="E28" s="1186">
        <v>9</v>
      </c>
      <c r="F28" s="1186">
        <v>3</v>
      </c>
      <c r="G28" s="1186">
        <v>5</v>
      </c>
      <c r="H28" s="1186">
        <v>1</v>
      </c>
      <c r="I28" s="1186"/>
      <c r="J28" s="1186">
        <v>1</v>
      </c>
      <c r="K28" s="1186">
        <v>36</v>
      </c>
      <c r="L28" s="1186">
        <v>3</v>
      </c>
      <c r="M28" s="1186">
        <v>19</v>
      </c>
      <c r="N28" s="1186">
        <v>1</v>
      </c>
      <c r="O28" s="1186">
        <v>144370</v>
      </c>
    </row>
    <row r="29" spans="1:15" x14ac:dyDescent="0.2">
      <c r="A29" s="1186" t="s">
        <v>19</v>
      </c>
      <c r="B29" s="1186" t="s">
        <v>496</v>
      </c>
      <c r="C29" s="1186" t="s">
        <v>45</v>
      </c>
      <c r="D29" s="1186">
        <v>153</v>
      </c>
      <c r="E29" s="1186">
        <v>25</v>
      </c>
      <c r="F29" s="1186">
        <v>12</v>
      </c>
      <c r="G29" s="1186">
        <v>1</v>
      </c>
      <c r="H29" s="1186">
        <v>12</v>
      </c>
      <c r="I29" s="1186">
        <v>1</v>
      </c>
      <c r="J29" s="1186"/>
      <c r="K29" s="1186">
        <v>49</v>
      </c>
      <c r="L29" s="1186">
        <v>17</v>
      </c>
      <c r="M29" s="1186">
        <v>32</v>
      </c>
      <c r="N29" s="1186">
        <v>4</v>
      </c>
      <c r="O29" s="1186">
        <v>173020</v>
      </c>
    </row>
    <row r="30" spans="1:15" x14ac:dyDescent="0.2">
      <c r="A30" s="1186" t="s">
        <v>19</v>
      </c>
      <c r="B30" s="1186" t="s">
        <v>496</v>
      </c>
      <c r="C30" s="1186" t="s">
        <v>46</v>
      </c>
      <c r="D30" s="1186">
        <v>78</v>
      </c>
      <c r="E30" s="1186">
        <v>5</v>
      </c>
      <c r="F30" s="1186">
        <v>7</v>
      </c>
      <c r="G30" s="1186">
        <v>1</v>
      </c>
      <c r="H30" s="1186">
        <v>17</v>
      </c>
      <c r="I30" s="1186"/>
      <c r="J30" s="1186"/>
      <c r="K30" s="1186">
        <v>28</v>
      </c>
      <c r="L30" s="1186">
        <v>2</v>
      </c>
      <c r="M30" s="1186">
        <v>18</v>
      </c>
      <c r="N30" s="1186"/>
      <c r="O30" s="1186">
        <v>113590</v>
      </c>
    </row>
    <row r="31" spans="1:15" x14ac:dyDescent="0.2">
      <c r="A31" s="1186" t="s">
        <v>19</v>
      </c>
      <c r="B31" s="1186" t="s">
        <v>496</v>
      </c>
      <c r="C31" s="1186" t="s">
        <v>47</v>
      </c>
      <c r="D31" s="1186">
        <v>12</v>
      </c>
      <c r="E31" s="1186">
        <v>2</v>
      </c>
      <c r="F31" s="1186">
        <v>2</v>
      </c>
      <c r="G31" s="1186"/>
      <c r="H31" s="1186"/>
      <c r="I31" s="1186">
        <v>2</v>
      </c>
      <c r="J31" s="1186"/>
      <c r="K31" s="1186">
        <v>4</v>
      </c>
      <c r="L31" s="1186"/>
      <c r="M31" s="1186">
        <v>2</v>
      </c>
      <c r="N31" s="1186"/>
      <c r="O31" s="1186">
        <v>22800</v>
      </c>
    </row>
    <row r="32" spans="1:15" x14ac:dyDescent="0.2">
      <c r="A32" s="1186" t="s">
        <v>19</v>
      </c>
      <c r="B32" s="1186" t="s">
        <v>496</v>
      </c>
      <c r="C32" s="1186" t="s">
        <v>48</v>
      </c>
      <c r="D32" s="1186">
        <v>53</v>
      </c>
      <c r="E32" s="1186">
        <v>10</v>
      </c>
      <c r="F32" s="1186">
        <v>3</v>
      </c>
      <c r="G32" s="1186">
        <v>1</v>
      </c>
      <c r="H32" s="1186">
        <v>3</v>
      </c>
      <c r="I32" s="1186"/>
      <c r="J32" s="1186"/>
      <c r="K32" s="1186">
        <v>17</v>
      </c>
      <c r="L32" s="1186">
        <v>8</v>
      </c>
      <c r="M32" s="1186">
        <v>9</v>
      </c>
      <c r="N32" s="1186">
        <v>2</v>
      </c>
      <c r="O32" s="1186">
        <v>112490</v>
      </c>
    </row>
    <row r="33" spans="1:15" x14ac:dyDescent="0.2">
      <c r="A33" s="1186" t="s">
        <v>19</v>
      </c>
      <c r="B33" s="1186" t="s">
        <v>496</v>
      </c>
      <c r="C33" s="1186" t="s">
        <v>49</v>
      </c>
      <c r="D33" s="1186">
        <v>330</v>
      </c>
      <c r="E33" s="1186">
        <v>61</v>
      </c>
      <c r="F33" s="1186">
        <v>12</v>
      </c>
      <c r="G33" s="1186">
        <v>7</v>
      </c>
      <c r="H33" s="1186">
        <v>49</v>
      </c>
      <c r="I33" s="1186"/>
      <c r="J33" s="1186">
        <v>1</v>
      </c>
      <c r="K33" s="1186">
        <v>102</v>
      </c>
      <c r="L33" s="1186">
        <v>38</v>
      </c>
      <c r="M33" s="1186">
        <v>53</v>
      </c>
      <c r="N33" s="1186">
        <v>7</v>
      </c>
      <c r="O33" s="1186">
        <v>312180</v>
      </c>
    </row>
    <row r="34" spans="1:15" x14ac:dyDescent="0.2">
      <c r="A34" s="1186" t="s">
        <v>19</v>
      </c>
      <c r="B34" s="1186" t="s">
        <v>496</v>
      </c>
      <c r="C34" s="1186" t="s">
        <v>50</v>
      </c>
      <c r="D34" s="1186">
        <v>59</v>
      </c>
      <c r="E34" s="1186">
        <v>7</v>
      </c>
      <c r="F34" s="1186">
        <v>1</v>
      </c>
      <c r="G34" s="1186">
        <v>2</v>
      </c>
      <c r="H34" s="1186">
        <v>1</v>
      </c>
      <c r="I34" s="1186"/>
      <c r="J34" s="1186"/>
      <c r="K34" s="1186">
        <v>19</v>
      </c>
      <c r="L34" s="1186">
        <v>8</v>
      </c>
      <c r="M34" s="1186">
        <v>20</v>
      </c>
      <c r="N34" s="1186">
        <v>1</v>
      </c>
      <c r="O34" s="1186">
        <v>88690</v>
      </c>
    </row>
    <row r="35" spans="1:15" x14ac:dyDescent="0.2">
      <c r="A35" s="1186" t="s">
        <v>19</v>
      </c>
      <c r="B35" s="1186" t="s">
        <v>496</v>
      </c>
      <c r="C35" s="1186" t="s">
        <v>51</v>
      </c>
      <c r="D35" s="1186">
        <v>133</v>
      </c>
      <c r="E35" s="1186">
        <v>22</v>
      </c>
      <c r="F35" s="1186">
        <v>5</v>
      </c>
      <c r="G35" s="1186">
        <v>1</v>
      </c>
      <c r="H35" s="1186">
        <v>10</v>
      </c>
      <c r="I35" s="1186">
        <v>1</v>
      </c>
      <c r="J35" s="1186">
        <v>1</v>
      </c>
      <c r="K35" s="1186">
        <v>49</v>
      </c>
      <c r="L35" s="1186">
        <v>10</v>
      </c>
      <c r="M35" s="1186">
        <v>30</v>
      </c>
      <c r="N35" s="1186">
        <v>4</v>
      </c>
      <c r="O35" s="1186">
        <v>91080</v>
      </c>
    </row>
    <row r="36" spans="1:15" x14ac:dyDescent="0.2">
      <c r="A36" s="1186" t="s">
        <v>19</v>
      </c>
      <c r="B36" s="1186" t="s">
        <v>496</v>
      </c>
      <c r="C36" s="1186" t="s">
        <v>52</v>
      </c>
      <c r="D36" s="1186">
        <v>233</v>
      </c>
      <c r="E36" s="1186">
        <v>32</v>
      </c>
      <c r="F36" s="1186">
        <v>9</v>
      </c>
      <c r="G36" s="1186">
        <v>10</v>
      </c>
      <c r="H36" s="1186">
        <v>34</v>
      </c>
      <c r="I36" s="1186"/>
      <c r="J36" s="1186"/>
      <c r="K36" s="1186">
        <v>94</v>
      </c>
      <c r="L36" s="1186">
        <v>27</v>
      </c>
      <c r="M36" s="1186">
        <v>24</v>
      </c>
      <c r="N36" s="1186">
        <v>3</v>
      </c>
      <c r="O36" s="1186">
        <v>173040</v>
      </c>
    </row>
    <row r="37" spans="1:15" x14ac:dyDescent="0.2">
      <c r="A37" s="1186" t="s">
        <v>20</v>
      </c>
      <c r="B37" s="1186" t="s">
        <v>496</v>
      </c>
      <c r="C37" s="1186" t="s">
        <v>23</v>
      </c>
      <c r="D37" s="1186">
        <v>159</v>
      </c>
      <c r="E37" s="1186">
        <v>11</v>
      </c>
      <c r="F37" s="1186">
        <v>2</v>
      </c>
      <c r="G37" s="1186"/>
      <c r="H37" s="1186">
        <v>1</v>
      </c>
      <c r="I37" s="1186">
        <v>1</v>
      </c>
      <c r="J37" s="1186">
        <v>1</v>
      </c>
      <c r="K37" s="1186">
        <v>73</v>
      </c>
      <c r="L37" s="1186">
        <v>12</v>
      </c>
      <c r="M37" s="1186">
        <v>35</v>
      </c>
      <c r="N37" s="1186">
        <v>23</v>
      </c>
      <c r="O37" s="1186">
        <v>219730</v>
      </c>
    </row>
    <row r="38" spans="1:15" x14ac:dyDescent="0.2">
      <c r="A38" s="1186" t="s">
        <v>20</v>
      </c>
      <c r="B38" s="1186" t="s">
        <v>496</v>
      </c>
      <c r="C38" s="1186" t="s">
        <v>24</v>
      </c>
      <c r="D38" s="1186">
        <v>137</v>
      </c>
      <c r="E38" s="1186">
        <v>20</v>
      </c>
      <c r="F38" s="1186">
        <v>16</v>
      </c>
      <c r="G38" s="1186">
        <v>5</v>
      </c>
      <c r="H38" s="1186">
        <v>4</v>
      </c>
      <c r="I38" s="1186">
        <v>2</v>
      </c>
      <c r="J38" s="1186"/>
      <c r="K38" s="1186">
        <v>53</v>
      </c>
      <c r="L38" s="1186">
        <v>4</v>
      </c>
      <c r="M38" s="1186">
        <v>30</v>
      </c>
      <c r="N38" s="1186">
        <v>3</v>
      </c>
      <c r="O38" s="1186">
        <v>251430</v>
      </c>
    </row>
    <row r="39" spans="1:15" x14ac:dyDescent="0.2">
      <c r="A39" s="1186" t="s">
        <v>20</v>
      </c>
      <c r="B39" s="1186" t="s">
        <v>496</v>
      </c>
      <c r="C39" s="1186" t="s">
        <v>25</v>
      </c>
      <c r="D39" s="1186">
        <v>59</v>
      </c>
      <c r="E39" s="1186">
        <v>7</v>
      </c>
      <c r="F39" s="1186">
        <v>6</v>
      </c>
      <c r="G39" s="1186">
        <v>4</v>
      </c>
      <c r="H39" s="1186">
        <v>1</v>
      </c>
      <c r="I39" s="1186">
        <v>1</v>
      </c>
      <c r="J39" s="1186"/>
      <c r="K39" s="1186">
        <v>20</v>
      </c>
      <c r="L39" s="1186">
        <v>4</v>
      </c>
      <c r="M39" s="1186">
        <v>15</v>
      </c>
      <c r="N39" s="1186">
        <v>1</v>
      </c>
      <c r="O39" s="1186">
        <v>115410</v>
      </c>
    </row>
    <row r="40" spans="1:15" x14ac:dyDescent="0.2">
      <c r="A40" s="1186" t="s">
        <v>20</v>
      </c>
      <c r="B40" s="1186" t="s">
        <v>496</v>
      </c>
      <c r="C40" s="1186" t="s">
        <v>26</v>
      </c>
      <c r="D40" s="1186">
        <v>56</v>
      </c>
      <c r="E40" s="1186">
        <v>7</v>
      </c>
      <c r="F40" s="1186">
        <v>4</v>
      </c>
      <c r="G40" s="1186">
        <v>2</v>
      </c>
      <c r="H40" s="1186">
        <v>8</v>
      </c>
      <c r="I40" s="1186">
        <v>3</v>
      </c>
      <c r="J40" s="1186"/>
      <c r="K40" s="1186">
        <v>19</v>
      </c>
      <c r="L40" s="1186">
        <v>1</v>
      </c>
      <c r="M40" s="1186">
        <v>10</v>
      </c>
      <c r="N40" s="1186">
        <v>2</v>
      </c>
      <c r="O40" s="1186">
        <v>88620</v>
      </c>
    </row>
    <row r="41" spans="1:15" x14ac:dyDescent="0.2">
      <c r="A41" s="1186" t="s">
        <v>20</v>
      </c>
      <c r="B41" s="1186" t="s">
        <v>496</v>
      </c>
      <c r="C41" s="1186" t="s">
        <v>619</v>
      </c>
      <c r="D41" s="1186">
        <v>342</v>
      </c>
      <c r="E41" s="1186">
        <v>79</v>
      </c>
      <c r="F41" s="1186">
        <v>11</v>
      </c>
      <c r="G41" s="1186">
        <v>11</v>
      </c>
      <c r="H41" s="1186">
        <v>43</v>
      </c>
      <c r="I41" s="1186">
        <v>2</v>
      </c>
      <c r="J41" s="1186"/>
      <c r="K41" s="1186">
        <v>85</v>
      </c>
      <c r="L41" s="1186">
        <v>25</v>
      </c>
      <c r="M41" s="1186">
        <v>59</v>
      </c>
      <c r="N41" s="1186">
        <v>27</v>
      </c>
      <c r="O41" s="1186">
        <v>469930</v>
      </c>
    </row>
    <row r="42" spans="1:15" x14ac:dyDescent="0.2">
      <c r="A42" s="1186" t="s">
        <v>20</v>
      </c>
      <c r="B42" s="1186" t="s">
        <v>496</v>
      </c>
      <c r="C42" s="1186" t="s">
        <v>27</v>
      </c>
      <c r="D42" s="1186">
        <v>41</v>
      </c>
      <c r="E42" s="1186">
        <v>8</v>
      </c>
      <c r="F42" s="1186">
        <v>3</v>
      </c>
      <c r="G42" s="1186">
        <v>11</v>
      </c>
      <c r="H42" s="1186"/>
      <c r="I42" s="1186"/>
      <c r="J42" s="1186"/>
      <c r="K42" s="1186">
        <v>8</v>
      </c>
      <c r="L42" s="1186"/>
      <c r="M42" s="1186">
        <v>8</v>
      </c>
      <c r="N42" s="1186">
        <v>3</v>
      </c>
      <c r="O42" s="1186">
        <v>51330</v>
      </c>
    </row>
    <row r="43" spans="1:15" x14ac:dyDescent="0.2">
      <c r="A43" s="1186" t="s">
        <v>20</v>
      </c>
      <c r="B43" s="1186" t="s">
        <v>496</v>
      </c>
      <c r="C43" s="1186" t="s">
        <v>28</v>
      </c>
      <c r="D43" s="1186">
        <v>78</v>
      </c>
      <c r="E43" s="1186">
        <v>6</v>
      </c>
      <c r="F43" s="1186">
        <v>2</v>
      </c>
      <c r="G43" s="1186">
        <v>3</v>
      </c>
      <c r="H43" s="1186">
        <v>2</v>
      </c>
      <c r="I43" s="1186"/>
      <c r="J43" s="1186"/>
      <c r="K43" s="1186">
        <v>30</v>
      </c>
      <c r="L43" s="1186">
        <v>5</v>
      </c>
      <c r="M43" s="1186">
        <v>28</v>
      </c>
      <c r="N43" s="1186">
        <v>2</v>
      </c>
      <c r="O43" s="1186">
        <v>151100</v>
      </c>
    </row>
    <row r="44" spans="1:15" x14ac:dyDescent="0.2">
      <c r="A44" s="1186" t="s">
        <v>20</v>
      </c>
      <c r="B44" s="1186" t="s">
        <v>496</v>
      </c>
      <c r="C44" s="1186" t="s">
        <v>29</v>
      </c>
      <c r="D44" s="1186">
        <v>95</v>
      </c>
      <c r="E44" s="1186">
        <v>17</v>
      </c>
      <c r="F44" s="1186">
        <v>3</v>
      </c>
      <c r="G44" s="1186">
        <v>1</v>
      </c>
      <c r="H44" s="1186">
        <v>4</v>
      </c>
      <c r="I44" s="1186"/>
      <c r="J44" s="1186">
        <v>1</v>
      </c>
      <c r="K44" s="1186">
        <v>43</v>
      </c>
      <c r="L44" s="1186">
        <v>4</v>
      </c>
      <c r="M44" s="1186">
        <v>17</v>
      </c>
      <c r="N44" s="1186">
        <v>5</v>
      </c>
      <c r="O44" s="1186">
        <v>146060</v>
      </c>
    </row>
    <row r="45" spans="1:15" x14ac:dyDescent="0.2">
      <c r="A45" s="1186" t="s">
        <v>20</v>
      </c>
      <c r="B45" s="1186" t="s">
        <v>496</v>
      </c>
      <c r="C45" s="1186" t="s">
        <v>30</v>
      </c>
      <c r="D45" s="1186">
        <v>106</v>
      </c>
      <c r="E45" s="1186">
        <v>29</v>
      </c>
      <c r="F45" s="1186">
        <v>3</v>
      </c>
      <c r="G45" s="1186">
        <v>1</v>
      </c>
      <c r="H45" s="1186">
        <v>11</v>
      </c>
      <c r="I45" s="1186"/>
      <c r="J45" s="1186"/>
      <c r="K45" s="1186">
        <v>29</v>
      </c>
      <c r="L45" s="1186">
        <v>13</v>
      </c>
      <c r="M45" s="1186">
        <v>14</v>
      </c>
      <c r="N45" s="1186">
        <v>6</v>
      </c>
      <c r="O45" s="1186">
        <v>122410</v>
      </c>
    </row>
    <row r="46" spans="1:15" x14ac:dyDescent="0.2">
      <c r="A46" s="1186" t="s">
        <v>20</v>
      </c>
      <c r="B46" s="1186" t="s">
        <v>496</v>
      </c>
      <c r="C46" s="1186" t="s">
        <v>31</v>
      </c>
      <c r="D46" s="1186">
        <v>50</v>
      </c>
      <c r="E46" s="1186">
        <v>8</v>
      </c>
      <c r="F46" s="1186"/>
      <c r="G46" s="1186"/>
      <c r="H46" s="1186">
        <v>6</v>
      </c>
      <c r="I46" s="1186"/>
      <c r="J46" s="1186">
        <v>1</v>
      </c>
      <c r="K46" s="1186">
        <v>22</v>
      </c>
      <c r="L46" s="1186">
        <v>5</v>
      </c>
      <c r="M46" s="1186">
        <v>7</v>
      </c>
      <c r="N46" s="1186">
        <v>1</v>
      </c>
      <c r="O46" s="1186">
        <v>104920</v>
      </c>
    </row>
    <row r="47" spans="1:15" x14ac:dyDescent="0.2">
      <c r="A47" s="1186" t="s">
        <v>20</v>
      </c>
      <c r="B47" s="1186" t="s">
        <v>496</v>
      </c>
      <c r="C47" s="1186" t="s">
        <v>32</v>
      </c>
      <c r="D47" s="1186">
        <v>80</v>
      </c>
      <c r="E47" s="1186">
        <v>11</v>
      </c>
      <c r="F47" s="1186">
        <v>5</v>
      </c>
      <c r="G47" s="1186">
        <v>14</v>
      </c>
      <c r="H47" s="1186">
        <v>8</v>
      </c>
      <c r="I47" s="1186"/>
      <c r="J47" s="1186"/>
      <c r="K47" s="1186">
        <v>21</v>
      </c>
      <c r="L47" s="1186">
        <v>5</v>
      </c>
      <c r="M47" s="1186">
        <v>15</v>
      </c>
      <c r="N47" s="1186">
        <v>1</v>
      </c>
      <c r="O47" s="1186">
        <v>99140</v>
      </c>
    </row>
    <row r="48" spans="1:15" x14ac:dyDescent="0.2">
      <c r="A48" s="1186" t="s">
        <v>20</v>
      </c>
      <c r="B48" s="1186" t="s">
        <v>496</v>
      </c>
      <c r="C48" s="1186" t="s">
        <v>33</v>
      </c>
      <c r="D48" s="1186">
        <v>48</v>
      </c>
      <c r="E48" s="1186">
        <v>9</v>
      </c>
      <c r="F48" s="1186">
        <v>1</v>
      </c>
      <c r="G48" s="1186"/>
      <c r="H48" s="1186">
        <v>4</v>
      </c>
      <c r="I48" s="1186"/>
      <c r="J48" s="1186"/>
      <c r="K48" s="1186">
        <v>25</v>
      </c>
      <c r="L48" s="1186">
        <v>6</v>
      </c>
      <c r="M48" s="1186">
        <v>2</v>
      </c>
      <c r="N48" s="1186">
        <v>1</v>
      </c>
      <c r="O48" s="1186">
        <v>90410</v>
      </c>
    </row>
    <row r="49" spans="1:15" x14ac:dyDescent="0.2">
      <c r="A49" s="1186" t="s">
        <v>20</v>
      </c>
      <c r="B49" s="1186" t="s">
        <v>496</v>
      </c>
      <c r="C49" s="1186" t="s">
        <v>34</v>
      </c>
      <c r="D49" s="1186">
        <v>99</v>
      </c>
      <c r="E49" s="1186">
        <v>21</v>
      </c>
      <c r="F49" s="1186">
        <v>11</v>
      </c>
      <c r="G49" s="1186">
        <v>12</v>
      </c>
      <c r="H49" s="1186">
        <v>2</v>
      </c>
      <c r="I49" s="1186"/>
      <c r="J49" s="1186">
        <v>1</v>
      </c>
      <c r="K49" s="1186">
        <v>30</v>
      </c>
      <c r="L49" s="1186">
        <v>8</v>
      </c>
      <c r="M49" s="1186">
        <v>13</v>
      </c>
      <c r="N49" s="1186">
        <v>1</v>
      </c>
      <c r="O49" s="1186">
        <v>155130</v>
      </c>
    </row>
    <row r="50" spans="1:15" x14ac:dyDescent="0.2">
      <c r="A50" s="1186" t="s">
        <v>20</v>
      </c>
      <c r="B50" s="1186" t="s">
        <v>496</v>
      </c>
      <c r="C50" s="1186" t="s">
        <v>35</v>
      </c>
      <c r="D50" s="1186">
        <v>221</v>
      </c>
      <c r="E50" s="1186">
        <v>33</v>
      </c>
      <c r="F50" s="1186">
        <v>13</v>
      </c>
      <c r="G50" s="1186">
        <v>10</v>
      </c>
      <c r="H50" s="1186">
        <v>2</v>
      </c>
      <c r="I50" s="1186">
        <v>7</v>
      </c>
      <c r="J50" s="1186">
        <v>1</v>
      </c>
      <c r="K50" s="1186">
        <v>73</v>
      </c>
      <c r="L50" s="1186">
        <v>34</v>
      </c>
      <c r="M50" s="1186">
        <v>45</v>
      </c>
      <c r="N50" s="1186">
        <v>3</v>
      </c>
      <c r="O50" s="1186">
        <v>362610</v>
      </c>
    </row>
    <row r="51" spans="1:15" x14ac:dyDescent="0.2">
      <c r="A51" s="1186" t="s">
        <v>20</v>
      </c>
      <c r="B51" s="1186" t="s">
        <v>496</v>
      </c>
      <c r="C51" s="1186" t="s">
        <v>36</v>
      </c>
      <c r="D51" s="1186">
        <v>586</v>
      </c>
      <c r="E51" s="1186">
        <v>115</v>
      </c>
      <c r="F51" s="1186">
        <v>17</v>
      </c>
      <c r="G51" s="1186">
        <v>2</v>
      </c>
      <c r="H51" s="1186">
        <v>16</v>
      </c>
      <c r="I51" s="1186">
        <v>2</v>
      </c>
      <c r="J51" s="1186"/>
      <c r="K51" s="1186">
        <v>244</v>
      </c>
      <c r="L51" s="1186">
        <v>71</v>
      </c>
      <c r="M51" s="1186">
        <v>98</v>
      </c>
      <c r="N51" s="1186">
        <v>21</v>
      </c>
      <c r="O51" s="1186">
        <v>586500</v>
      </c>
    </row>
    <row r="52" spans="1:15" x14ac:dyDescent="0.2">
      <c r="A52" s="1186" t="s">
        <v>20</v>
      </c>
      <c r="B52" s="1186" t="s">
        <v>496</v>
      </c>
      <c r="C52" s="1186" t="s">
        <v>37</v>
      </c>
      <c r="D52" s="1186">
        <v>164</v>
      </c>
      <c r="E52" s="1186">
        <v>10</v>
      </c>
      <c r="F52" s="1186">
        <v>19</v>
      </c>
      <c r="G52" s="1186">
        <v>18</v>
      </c>
      <c r="H52" s="1186">
        <v>21</v>
      </c>
      <c r="I52" s="1186">
        <v>7</v>
      </c>
      <c r="J52" s="1186">
        <v>1</v>
      </c>
      <c r="K52" s="1186">
        <v>39</v>
      </c>
      <c r="L52" s="1186"/>
      <c r="M52" s="1186">
        <v>46</v>
      </c>
      <c r="N52" s="1186">
        <v>3</v>
      </c>
      <c r="O52" s="1186">
        <v>230730</v>
      </c>
    </row>
    <row r="53" spans="1:15" x14ac:dyDescent="0.2">
      <c r="A53" s="1186" t="s">
        <v>20</v>
      </c>
      <c r="B53" s="1186" t="s">
        <v>496</v>
      </c>
      <c r="C53" s="1186" t="s">
        <v>38</v>
      </c>
      <c r="D53" s="1186">
        <v>86</v>
      </c>
      <c r="E53" s="1186">
        <v>20</v>
      </c>
      <c r="F53" s="1186">
        <v>3</v>
      </c>
      <c r="G53" s="1186"/>
      <c r="H53" s="1186">
        <v>5</v>
      </c>
      <c r="I53" s="1186">
        <v>2</v>
      </c>
      <c r="J53" s="1186">
        <v>1</v>
      </c>
      <c r="K53" s="1186">
        <v>30</v>
      </c>
      <c r="L53" s="1186">
        <v>9</v>
      </c>
      <c r="M53" s="1186">
        <v>16</v>
      </c>
      <c r="N53" s="1186"/>
      <c r="O53" s="1186">
        <v>81510</v>
      </c>
    </row>
    <row r="54" spans="1:15" x14ac:dyDescent="0.2">
      <c r="A54" s="1186" t="s">
        <v>20</v>
      </c>
      <c r="B54" s="1186" t="s">
        <v>496</v>
      </c>
      <c r="C54" s="1186" t="s">
        <v>39</v>
      </c>
      <c r="D54" s="1186">
        <v>83</v>
      </c>
      <c r="E54" s="1186">
        <v>12</v>
      </c>
      <c r="F54" s="1186">
        <v>2</v>
      </c>
      <c r="G54" s="1186">
        <v>4</v>
      </c>
      <c r="H54" s="1186">
        <v>18</v>
      </c>
      <c r="I54" s="1186"/>
      <c r="J54" s="1186">
        <v>2</v>
      </c>
      <c r="K54" s="1186">
        <v>13</v>
      </c>
      <c r="L54" s="1186">
        <v>7</v>
      </c>
      <c r="M54" s="1186">
        <v>20</v>
      </c>
      <c r="N54" s="1186">
        <v>5</v>
      </c>
      <c r="O54" s="1186">
        <v>82360</v>
      </c>
    </row>
    <row r="55" spans="1:15" x14ac:dyDescent="0.2">
      <c r="A55" s="1186" t="s">
        <v>20</v>
      </c>
      <c r="B55" s="1186" t="s">
        <v>496</v>
      </c>
      <c r="C55" s="1186" t="s">
        <v>40</v>
      </c>
      <c r="D55" s="1186">
        <v>38</v>
      </c>
      <c r="E55" s="1186">
        <v>7</v>
      </c>
      <c r="F55" s="1186"/>
      <c r="G55" s="1186">
        <v>3</v>
      </c>
      <c r="H55" s="1186">
        <v>1</v>
      </c>
      <c r="I55" s="1186">
        <v>1</v>
      </c>
      <c r="J55" s="1186"/>
      <c r="K55" s="1186">
        <v>13</v>
      </c>
      <c r="L55" s="1186">
        <v>2</v>
      </c>
      <c r="M55" s="1186">
        <v>11</v>
      </c>
      <c r="N55" s="1186"/>
      <c r="O55" s="1186">
        <v>93690</v>
      </c>
    </row>
    <row r="56" spans="1:15" x14ac:dyDescent="0.2">
      <c r="A56" s="1186" t="s">
        <v>20</v>
      </c>
      <c r="B56" s="1186" t="s">
        <v>496</v>
      </c>
      <c r="C56" s="1186" t="s">
        <v>295</v>
      </c>
      <c r="D56" s="1186">
        <v>18</v>
      </c>
      <c r="E56" s="1186">
        <v>1</v>
      </c>
      <c r="F56" s="1186">
        <v>2</v>
      </c>
      <c r="G56" s="1186">
        <v>2</v>
      </c>
      <c r="H56" s="1186">
        <v>1</v>
      </c>
      <c r="I56" s="1186">
        <v>1</v>
      </c>
      <c r="J56" s="1186"/>
      <c r="K56" s="1186">
        <v>7</v>
      </c>
      <c r="L56" s="1186">
        <v>1</v>
      </c>
      <c r="M56" s="1186">
        <v>2</v>
      </c>
      <c r="N56" s="1186">
        <v>1</v>
      </c>
      <c r="O56" s="1186">
        <v>27600</v>
      </c>
    </row>
    <row r="57" spans="1:15" x14ac:dyDescent="0.2">
      <c r="A57" s="1186" t="s">
        <v>20</v>
      </c>
      <c r="B57" s="1186" t="s">
        <v>496</v>
      </c>
      <c r="C57" s="1186" t="s">
        <v>41</v>
      </c>
      <c r="D57" s="1186">
        <v>104</v>
      </c>
      <c r="E57" s="1186">
        <v>31</v>
      </c>
      <c r="F57" s="1186">
        <v>6</v>
      </c>
      <c r="G57" s="1186">
        <v>2</v>
      </c>
      <c r="H57" s="1186">
        <v>3</v>
      </c>
      <c r="I57" s="1186">
        <v>1</v>
      </c>
      <c r="J57" s="1186"/>
      <c r="K57" s="1186">
        <v>37</v>
      </c>
      <c r="L57" s="1186">
        <v>12</v>
      </c>
      <c r="M57" s="1186">
        <v>11</v>
      </c>
      <c r="N57" s="1186">
        <v>1</v>
      </c>
      <c r="O57" s="1186">
        <v>137800</v>
      </c>
    </row>
    <row r="58" spans="1:15" x14ac:dyDescent="0.2">
      <c r="A58" s="1186" t="s">
        <v>20</v>
      </c>
      <c r="B58" s="1186" t="s">
        <v>496</v>
      </c>
      <c r="C58" s="1186" t="s">
        <v>42</v>
      </c>
      <c r="D58" s="1186">
        <v>342</v>
      </c>
      <c r="E58" s="1186">
        <v>63</v>
      </c>
      <c r="F58" s="1186">
        <v>8</v>
      </c>
      <c r="G58" s="1186">
        <v>3</v>
      </c>
      <c r="H58" s="1186">
        <v>27</v>
      </c>
      <c r="I58" s="1186">
        <v>3</v>
      </c>
      <c r="J58" s="1186">
        <v>2</v>
      </c>
      <c r="K58" s="1186">
        <v>147</v>
      </c>
      <c r="L58" s="1186">
        <v>32</v>
      </c>
      <c r="M58" s="1186">
        <v>52</v>
      </c>
      <c r="N58" s="1186">
        <v>5</v>
      </c>
      <c r="O58" s="1186">
        <v>336280</v>
      </c>
    </row>
    <row r="59" spans="1:15" x14ac:dyDescent="0.2">
      <c r="A59" s="1186" t="s">
        <v>20</v>
      </c>
      <c r="B59" s="1186" t="s">
        <v>496</v>
      </c>
      <c r="C59" s="1186" t="s">
        <v>43</v>
      </c>
      <c r="D59" s="1186">
        <v>18</v>
      </c>
      <c r="E59" s="1186">
        <v>1</v>
      </c>
      <c r="F59" s="1186">
        <v>2</v>
      </c>
      <c r="G59" s="1186"/>
      <c r="H59" s="1186">
        <v>2</v>
      </c>
      <c r="I59" s="1186"/>
      <c r="J59" s="1186"/>
      <c r="K59" s="1186">
        <v>6</v>
      </c>
      <c r="L59" s="1186"/>
      <c r="M59" s="1186">
        <v>7</v>
      </c>
      <c r="N59" s="1186"/>
      <c r="O59" s="1186">
        <v>21220</v>
      </c>
    </row>
    <row r="60" spans="1:15" x14ac:dyDescent="0.2">
      <c r="A60" s="1186" t="s">
        <v>20</v>
      </c>
      <c r="B60" s="1186" t="s">
        <v>496</v>
      </c>
      <c r="C60" s="1186" t="s">
        <v>44</v>
      </c>
      <c r="D60" s="1186">
        <v>114</v>
      </c>
      <c r="E60" s="1186">
        <v>4</v>
      </c>
      <c r="F60" s="1186">
        <v>3</v>
      </c>
      <c r="G60" s="1186">
        <v>4</v>
      </c>
      <c r="H60" s="1186">
        <v>5</v>
      </c>
      <c r="I60" s="1186">
        <v>1</v>
      </c>
      <c r="J60" s="1186"/>
      <c r="K60" s="1186">
        <v>42</v>
      </c>
      <c r="L60" s="1186">
        <v>4</v>
      </c>
      <c r="M60" s="1186">
        <v>49</v>
      </c>
      <c r="N60" s="1186">
        <v>2</v>
      </c>
      <c r="O60" s="1186">
        <v>145600</v>
      </c>
    </row>
    <row r="61" spans="1:15" x14ac:dyDescent="0.2">
      <c r="A61" s="1186" t="s">
        <v>20</v>
      </c>
      <c r="B61" s="1186" t="s">
        <v>496</v>
      </c>
      <c r="C61" s="1186" t="s">
        <v>45</v>
      </c>
      <c r="D61" s="1186">
        <v>152</v>
      </c>
      <c r="E61" s="1186">
        <v>23</v>
      </c>
      <c r="F61" s="1186">
        <v>9</v>
      </c>
      <c r="G61" s="1186">
        <v>1</v>
      </c>
      <c r="H61" s="1186">
        <v>10</v>
      </c>
      <c r="I61" s="1186">
        <v>1</v>
      </c>
      <c r="J61" s="1186">
        <v>4</v>
      </c>
      <c r="K61" s="1186">
        <v>51</v>
      </c>
      <c r="L61" s="1186">
        <v>18</v>
      </c>
      <c r="M61" s="1186">
        <v>32</v>
      </c>
      <c r="N61" s="1186">
        <v>3</v>
      </c>
      <c r="O61" s="1186">
        <v>173700</v>
      </c>
    </row>
    <row r="62" spans="1:15" x14ac:dyDescent="0.2">
      <c r="A62" s="1186" t="s">
        <v>20</v>
      </c>
      <c r="B62" s="1186" t="s">
        <v>496</v>
      </c>
      <c r="C62" s="1186" t="s">
        <v>46</v>
      </c>
      <c r="D62" s="1186">
        <v>87</v>
      </c>
      <c r="E62" s="1186">
        <v>6</v>
      </c>
      <c r="F62" s="1186">
        <v>8</v>
      </c>
      <c r="G62" s="1186">
        <v>4</v>
      </c>
      <c r="H62" s="1186">
        <v>30</v>
      </c>
      <c r="I62" s="1186"/>
      <c r="J62" s="1186">
        <v>1</v>
      </c>
      <c r="K62" s="1186">
        <v>18</v>
      </c>
      <c r="L62" s="1186">
        <v>1</v>
      </c>
      <c r="M62" s="1186">
        <v>16</v>
      </c>
      <c r="N62" s="1186">
        <v>3</v>
      </c>
      <c r="O62" s="1186">
        <v>113700</v>
      </c>
    </row>
    <row r="63" spans="1:15" x14ac:dyDescent="0.2">
      <c r="A63" s="1186" t="s">
        <v>20</v>
      </c>
      <c r="B63" s="1186" t="s">
        <v>496</v>
      </c>
      <c r="C63" s="1186" t="s">
        <v>47</v>
      </c>
      <c r="D63" s="1186">
        <v>9</v>
      </c>
      <c r="E63" s="1186">
        <v>2</v>
      </c>
      <c r="F63" s="1186">
        <v>2</v>
      </c>
      <c r="G63" s="1186"/>
      <c r="H63" s="1186"/>
      <c r="I63" s="1186">
        <v>1</v>
      </c>
      <c r="J63" s="1186"/>
      <c r="K63" s="1186">
        <v>2</v>
      </c>
      <c r="L63" s="1186"/>
      <c r="M63" s="1186">
        <v>2</v>
      </c>
      <c r="N63" s="1186"/>
      <c r="O63" s="1186">
        <v>23060</v>
      </c>
    </row>
    <row r="64" spans="1:15" x14ac:dyDescent="0.2">
      <c r="A64" s="1186" t="s">
        <v>20</v>
      </c>
      <c r="B64" s="1186" t="s">
        <v>496</v>
      </c>
      <c r="C64" s="1186" t="s">
        <v>48</v>
      </c>
      <c r="D64" s="1186">
        <v>52</v>
      </c>
      <c r="E64" s="1186">
        <v>10</v>
      </c>
      <c r="F64" s="1186">
        <v>2</v>
      </c>
      <c r="G64" s="1186">
        <v>4</v>
      </c>
      <c r="H64" s="1186">
        <v>2</v>
      </c>
      <c r="I64" s="1186">
        <v>1</v>
      </c>
      <c r="J64" s="1186"/>
      <c r="K64" s="1186">
        <v>18</v>
      </c>
      <c r="L64" s="1186">
        <v>4</v>
      </c>
      <c r="M64" s="1186">
        <v>11</v>
      </c>
      <c r="N64" s="1186"/>
      <c r="O64" s="1186">
        <v>112600</v>
      </c>
    </row>
    <row r="65" spans="1:15" x14ac:dyDescent="0.2">
      <c r="A65" s="1186" t="s">
        <v>20</v>
      </c>
      <c r="B65" s="1186" t="s">
        <v>496</v>
      </c>
      <c r="C65" s="1186" t="s">
        <v>49</v>
      </c>
      <c r="D65" s="1186">
        <v>292</v>
      </c>
      <c r="E65" s="1186">
        <v>58</v>
      </c>
      <c r="F65" s="1186">
        <v>9</v>
      </c>
      <c r="G65" s="1186">
        <v>5</v>
      </c>
      <c r="H65" s="1186">
        <v>27</v>
      </c>
      <c r="I65" s="1186"/>
      <c r="J65" s="1186">
        <v>1</v>
      </c>
      <c r="K65" s="1186">
        <v>106</v>
      </c>
      <c r="L65" s="1186">
        <v>24</v>
      </c>
      <c r="M65" s="1186">
        <v>55</v>
      </c>
      <c r="N65" s="1186">
        <v>7</v>
      </c>
      <c r="O65" s="1186">
        <v>313180</v>
      </c>
    </row>
    <row r="66" spans="1:15" x14ac:dyDescent="0.2">
      <c r="A66" s="1186" t="s">
        <v>20</v>
      </c>
      <c r="B66" s="1186" t="s">
        <v>496</v>
      </c>
      <c r="C66" s="1186" t="s">
        <v>50</v>
      </c>
      <c r="D66" s="1186">
        <v>52</v>
      </c>
      <c r="E66" s="1186">
        <v>7</v>
      </c>
      <c r="F66" s="1186">
        <v>2</v>
      </c>
      <c r="G66" s="1186">
        <v>4</v>
      </c>
      <c r="H66" s="1186">
        <v>2</v>
      </c>
      <c r="I66" s="1186"/>
      <c r="J66" s="1186"/>
      <c r="K66" s="1186">
        <v>21</v>
      </c>
      <c r="L66" s="1186">
        <v>4</v>
      </c>
      <c r="M66" s="1186">
        <v>11</v>
      </c>
      <c r="N66" s="1186">
        <v>1</v>
      </c>
      <c r="O66" s="1186">
        <v>89550</v>
      </c>
    </row>
    <row r="67" spans="1:15" x14ac:dyDescent="0.2">
      <c r="A67" s="1186" t="s">
        <v>20</v>
      </c>
      <c r="B67" s="1186" t="s">
        <v>496</v>
      </c>
      <c r="C67" s="1186" t="s">
        <v>51</v>
      </c>
      <c r="D67" s="1186">
        <v>92</v>
      </c>
      <c r="E67" s="1186">
        <v>11</v>
      </c>
      <c r="F67" s="1186">
        <v>3</v>
      </c>
      <c r="G67" s="1186">
        <v>2</v>
      </c>
      <c r="H67" s="1186">
        <v>3</v>
      </c>
      <c r="I67" s="1186">
        <v>2</v>
      </c>
      <c r="J67" s="1186"/>
      <c r="K67" s="1186">
        <v>47</v>
      </c>
      <c r="L67" s="1186">
        <v>8</v>
      </c>
      <c r="M67" s="1186">
        <v>15</v>
      </c>
      <c r="N67" s="1186">
        <v>1</v>
      </c>
      <c r="O67" s="1186">
        <v>90800</v>
      </c>
    </row>
    <row r="68" spans="1:15" x14ac:dyDescent="0.2">
      <c r="A68" s="1186" t="s">
        <v>20</v>
      </c>
      <c r="B68" s="1186" t="s">
        <v>496</v>
      </c>
      <c r="C68" s="1186" t="s">
        <v>52</v>
      </c>
      <c r="D68" s="1186">
        <v>196</v>
      </c>
      <c r="E68" s="1186">
        <v>31</v>
      </c>
      <c r="F68" s="1186">
        <v>3</v>
      </c>
      <c r="G68" s="1186">
        <v>9</v>
      </c>
      <c r="H68" s="1186">
        <v>47</v>
      </c>
      <c r="I68" s="1186"/>
      <c r="J68" s="1186">
        <v>1</v>
      </c>
      <c r="K68" s="1186">
        <v>59</v>
      </c>
      <c r="L68" s="1186">
        <v>15</v>
      </c>
      <c r="M68" s="1186">
        <v>24</v>
      </c>
      <c r="N68" s="1186">
        <v>7</v>
      </c>
      <c r="O68" s="1186">
        <v>174090</v>
      </c>
    </row>
    <row r="69" spans="1:15" x14ac:dyDescent="0.2">
      <c r="A69" s="1186" t="s">
        <v>13</v>
      </c>
      <c r="B69" s="1186" t="s">
        <v>496</v>
      </c>
      <c r="C69" s="1186" t="s">
        <v>23</v>
      </c>
      <c r="D69" s="1186">
        <v>119</v>
      </c>
      <c r="E69" s="1186">
        <v>16</v>
      </c>
      <c r="F69" s="1186">
        <v>3</v>
      </c>
      <c r="G69" s="1186">
        <v>2</v>
      </c>
      <c r="H69" s="1186">
        <v>2</v>
      </c>
      <c r="I69" s="1186"/>
      <c r="J69" s="1186"/>
      <c r="K69" s="1186">
        <v>51</v>
      </c>
      <c r="L69" s="1186">
        <v>9</v>
      </c>
      <c r="M69" s="1186">
        <v>27</v>
      </c>
      <c r="N69" s="1186">
        <v>9</v>
      </c>
      <c r="O69" s="1186">
        <v>222460</v>
      </c>
    </row>
    <row r="70" spans="1:15" x14ac:dyDescent="0.2">
      <c r="A70" s="1186" t="s">
        <v>13</v>
      </c>
      <c r="B70" s="1186" t="s">
        <v>496</v>
      </c>
      <c r="C70" s="1186" t="s">
        <v>24</v>
      </c>
      <c r="D70" s="1186">
        <v>133</v>
      </c>
      <c r="E70" s="1186">
        <v>11</v>
      </c>
      <c r="F70" s="1186">
        <v>20</v>
      </c>
      <c r="G70" s="1186">
        <v>14</v>
      </c>
      <c r="H70" s="1186">
        <v>3</v>
      </c>
      <c r="I70" s="1186">
        <v>3</v>
      </c>
      <c r="J70" s="1186"/>
      <c r="K70" s="1186">
        <v>49</v>
      </c>
      <c r="L70" s="1186">
        <v>7</v>
      </c>
      <c r="M70" s="1186">
        <v>25</v>
      </c>
      <c r="N70" s="1186">
        <v>1</v>
      </c>
      <c r="O70" s="1186">
        <v>253650</v>
      </c>
    </row>
    <row r="71" spans="1:15" x14ac:dyDescent="0.2">
      <c r="A71" s="1186" t="s">
        <v>13</v>
      </c>
      <c r="B71" s="1186" t="s">
        <v>496</v>
      </c>
      <c r="C71" s="1186" t="s">
        <v>25</v>
      </c>
      <c r="D71" s="1186">
        <v>49</v>
      </c>
      <c r="E71" s="1186">
        <v>6</v>
      </c>
      <c r="F71" s="1186">
        <v>6</v>
      </c>
      <c r="G71" s="1186">
        <v>1</v>
      </c>
      <c r="H71" s="1186"/>
      <c r="I71" s="1186"/>
      <c r="J71" s="1186">
        <v>1</v>
      </c>
      <c r="K71" s="1186">
        <v>19</v>
      </c>
      <c r="L71" s="1186">
        <v>3</v>
      </c>
      <c r="M71" s="1186">
        <v>13</v>
      </c>
      <c r="N71" s="1186"/>
      <c r="O71" s="1186">
        <v>116200</v>
      </c>
    </row>
    <row r="72" spans="1:15" x14ac:dyDescent="0.2">
      <c r="A72" s="1186" t="s">
        <v>13</v>
      </c>
      <c r="B72" s="1186" t="s">
        <v>496</v>
      </c>
      <c r="C72" s="1186" t="s">
        <v>26</v>
      </c>
      <c r="D72" s="1186">
        <v>54</v>
      </c>
      <c r="E72" s="1186">
        <v>9</v>
      </c>
      <c r="F72" s="1186">
        <v>2</v>
      </c>
      <c r="G72" s="1186">
        <v>6</v>
      </c>
      <c r="H72" s="1186">
        <v>3</v>
      </c>
      <c r="I72" s="1186">
        <v>1</v>
      </c>
      <c r="J72" s="1186"/>
      <c r="K72" s="1186">
        <v>22</v>
      </c>
      <c r="L72" s="1186">
        <v>2</v>
      </c>
      <c r="M72" s="1186">
        <v>9</v>
      </c>
      <c r="N72" s="1186"/>
      <c r="O72" s="1186">
        <v>88930</v>
      </c>
    </row>
    <row r="73" spans="1:15" x14ac:dyDescent="0.2">
      <c r="A73" s="1186" t="s">
        <v>13</v>
      </c>
      <c r="B73" s="1186" t="s">
        <v>496</v>
      </c>
      <c r="C73" s="1186" t="s">
        <v>619</v>
      </c>
      <c r="D73" s="1186">
        <v>336</v>
      </c>
      <c r="E73" s="1186">
        <v>88</v>
      </c>
      <c r="F73" s="1186">
        <v>8</v>
      </c>
      <c r="G73" s="1186">
        <v>15</v>
      </c>
      <c r="H73" s="1186">
        <v>27</v>
      </c>
      <c r="I73" s="1186">
        <v>1</v>
      </c>
      <c r="J73" s="1186">
        <v>2</v>
      </c>
      <c r="K73" s="1186">
        <v>80</v>
      </c>
      <c r="L73" s="1186">
        <v>26</v>
      </c>
      <c r="M73" s="1186">
        <v>60</v>
      </c>
      <c r="N73" s="1186">
        <v>29</v>
      </c>
      <c r="O73" s="1186">
        <v>477940</v>
      </c>
    </row>
    <row r="74" spans="1:15" x14ac:dyDescent="0.2">
      <c r="A74" s="1186" t="s">
        <v>13</v>
      </c>
      <c r="B74" s="1186" t="s">
        <v>496</v>
      </c>
      <c r="C74" s="1186" t="s">
        <v>27</v>
      </c>
      <c r="D74" s="1186">
        <v>16</v>
      </c>
      <c r="E74" s="1186">
        <v>2</v>
      </c>
      <c r="F74" s="1186">
        <v>1</v>
      </c>
      <c r="G74" s="1186">
        <v>1</v>
      </c>
      <c r="H74" s="1186">
        <v>1</v>
      </c>
      <c r="I74" s="1186"/>
      <c r="J74" s="1186"/>
      <c r="K74" s="1186">
        <v>5</v>
      </c>
      <c r="L74" s="1186">
        <v>2</v>
      </c>
      <c r="M74" s="1186">
        <v>3</v>
      </c>
      <c r="N74" s="1186">
        <v>1</v>
      </c>
      <c r="O74" s="1186">
        <v>51500</v>
      </c>
    </row>
    <row r="75" spans="1:15" x14ac:dyDescent="0.2">
      <c r="A75" s="1186" t="s">
        <v>13</v>
      </c>
      <c r="B75" s="1186" t="s">
        <v>496</v>
      </c>
      <c r="C75" s="1186" t="s">
        <v>28</v>
      </c>
      <c r="D75" s="1186">
        <v>103</v>
      </c>
      <c r="E75" s="1186">
        <v>5</v>
      </c>
      <c r="F75" s="1186">
        <v>6</v>
      </c>
      <c r="G75" s="1186">
        <v>6</v>
      </c>
      <c r="H75" s="1186">
        <v>1</v>
      </c>
      <c r="I75" s="1186">
        <v>1</v>
      </c>
      <c r="J75" s="1186"/>
      <c r="K75" s="1186">
        <v>35</v>
      </c>
      <c r="L75" s="1186">
        <v>5</v>
      </c>
      <c r="M75" s="1186">
        <v>40</v>
      </c>
      <c r="N75" s="1186">
        <v>4</v>
      </c>
      <c r="O75" s="1186">
        <v>151410</v>
      </c>
    </row>
    <row r="76" spans="1:15" x14ac:dyDescent="0.2">
      <c r="A76" s="1186" t="s">
        <v>13</v>
      </c>
      <c r="B76" s="1186" t="s">
        <v>496</v>
      </c>
      <c r="C76" s="1186" t="s">
        <v>29</v>
      </c>
      <c r="D76" s="1186">
        <v>82</v>
      </c>
      <c r="E76" s="1186">
        <v>19</v>
      </c>
      <c r="F76" s="1186">
        <v>5</v>
      </c>
      <c r="G76" s="1186"/>
      <c r="H76" s="1186"/>
      <c r="I76" s="1186"/>
      <c r="J76" s="1186"/>
      <c r="K76" s="1186">
        <v>29</v>
      </c>
      <c r="L76" s="1186">
        <v>2</v>
      </c>
      <c r="M76" s="1186">
        <v>19</v>
      </c>
      <c r="N76" s="1186">
        <v>8</v>
      </c>
      <c r="O76" s="1186">
        <v>147200</v>
      </c>
    </row>
    <row r="77" spans="1:15" x14ac:dyDescent="0.2">
      <c r="A77" s="1186" t="s">
        <v>13</v>
      </c>
      <c r="B77" s="1186" t="s">
        <v>496</v>
      </c>
      <c r="C77" s="1186" t="s">
        <v>30</v>
      </c>
      <c r="D77" s="1186">
        <v>82</v>
      </c>
      <c r="E77" s="1186">
        <v>12</v>
      </c>
      <c r="F77" s="1186">
        <v>4</v>
      </c>
      <c r="G77" s="1186">
        <v>1</v>
      </c>
      <c r="H77" s="1186">
        <v>7</v>
      </c>
      <c r="I77" s="1186"/>
      <c r="J77" s="1186">
        <v>1</v>
      </c>
      <c r="K77" s="1186">
        <v>24</v>
      </c>
      <c r="L77" s="1186">
        <v>15</v>
      </c>
      <c r="M77" s="1186">
        <v>17</v>
      </c>
      <c r="N77" s="1186">
        <v>1</v>
      </c>
      <c r="O77" s="1186">
        <v>122690</v>
      </c>
    </row>
    <row r="78" spans="1:15" x14ac:dyDescent="0.2">
      <c r="A78" s="1186" t="s">
        <v>13</v>
      </c>
      <c r="B78" s="1186" t="s">
        <v>496</v>
      </c>
      <c r="C78" s="1186" t="s">
        <v>31</v>
      </c>
      <c r="D78" s="1186">
        <v>38</v>
      </c>
      <c r="E78" s="1186">
        <v>4</v>
      </c>
      <c r="F78" s="1186">
        <v>1</v>
      </c>
      <c r="G78" s="1186">
        <v>1</v>
      </c>
      <c r="H78" s="1186">
        <v>1</v>
      </c>
      <c r="I78" s="1186"/>
      <c r="J78" s="1186"/>
      <c r="K78" s="1186">
        <v>15</v>
      </c>
      <c r="L78" s="1186">
        <v>6</v>
      </c>
      <c r="M78" s="1186">
        <v>9</v>
      </c>
      <c r="N78" s="1186">
        <v>1</v>
      </c>
      <c r="O78" s="1186">
        <v>105000</v>
      </c>
    </row>
    <row r="79" spans="1:15" x14ac:dyDescent="0.2">
      <c r="A79" s="1186" t="s">
        <v>13</v>
      </c>
      <c r="B79" s="1186" t="s">
        <v>496</v>
      </c>
      <c r="C79" s="1186" t="s">
        <v>32</v>
      </c>
      <c r="D79" s="1186">
        <v>79</v>
      </c>
      <c r="E79" s="1186">
        <v>12</v>
      </c>
      <c r="F79" s="1186">
        <v>7</v>
      </c>
      <c r="G79" s="1186">
        <v>16</v>
      </c>
      <c r="H79" s="1186">
        <v>20</v>
      </c>
      <c r="I79" s="1186"/>
      <c r="J79" s="1186"/>
      <c r="K79" s="1186">
        <v>16</v>
      </c>
      <c r="L79" s="1186">
        <v>1</v>
      </c>
      <c r="M79" s="1186">
        <v>5</v>
      </c>
      <c r="N79" s="1186">
        <v>2</v>
      </c>
      <c r="O79" s="1186">
        <v>99920</v>
      </c>
    </row>
    <row r="80" spans="1:15" x14ac:dyDescent="0.2">
      <c r="A80" s="1186" t="s">
        <v>13</v>
      </c>
      <c r="B80" s="1186" t="s">
        <v>496</v>
      </c>
      <c r="C80" s="1186" t="s">
        <v>33</v>
      </c>
      <c r="D80" s="1186">
        <v>49</v>
      </c>
      <c r="E80" s="1186">
        <v>9</v>
      </c>
      <c r="F80" s="1186">
        <v>1</v>
      </c>
      <c r="G80" s="1186"/>
      <c r="H80" s="1186">
        <v>5</v>
      </c>
      <c r="I80" s="1186"/>
      <c r="J80" s="1186"/>
      <c r="K80" s="1186">
        <v>16</v>
      </c>
      <c r="L80" s="1186">
        <v>6</v>
      </c>
      <c r="M80" s="1186">
        <v>12</v>
      </c>
      <c r="N80" s="1186"/>
      <c r="O80" s="1186">
        <v>90810</v>
      </c>
    </row>
    <row r="81" spans="1:15" x14ac:dyDescent="0.2">
      <c r="A81" s="1186" t="s">
        <v>13</v>
      </c>
      <c r="B81" s="1186" t="s">
        <v>496</v>
      </c>
      <c r="C81" s="1186" t="s">
        <v>34</v>
      </c>
      <c r="D81" s="1186">
        <v>89</v>
      </c>
      <c r="E81" s="1186">
        <v>19</v>
      </c>
      <c r="F81" s="1186">
        <v>3</v>
      </c>
      <c r="G81" s="1186">
        <v>10</v>
      </c>
      <c r="H81" s="1186">
        <v>3</v>
      </c>
      <c r="I81" s="1186"/>
      <c r="J81" s="1186">
        <v>1</v>
      </c>
      <c r="K81" s="1186">
        <v>24</v>
      </c>
      <c r="L81" s="1186">
        <v>5</v>
      </c>
      <c r="M81" s="1186">
        <v>22</v>
      </c>
      <c r="N81" s="1186">
        <v>2</v>
      </c>
      <c r="O81" s="1186">
        <v>156250</v>
      </c>
    </row>
    <row r="82" spans="1:15" x14ac:dyDescent="0.2">
      <c r="A82" s="1186" t="s">
        <v>13</v>
      </c>
      <c r="B82" s="1186" t="s">
        <v>496</v>
      </c>
      <c r="C82" s="1186" t="s">
        <v>35</v>
      </c>
      <c r="D82" s="1186">
        <v>196</v>
      </c>
      <c r="E82" s="1186">
        <v>38</v>
      </c>
      <c r="F82" s="1186">
        <v>11</v>
      </c>
      <c r="G82" s="1186">
        <v>16</v>
      </c>
      <c r="H82" s="1186">
        <v>4</v>
      </c>
      <c r="I82" s="1186">
        <v>5</v>
      </c>
      <c r="J82" s="1186">
        <v>2</v>
      </c>
      <c r="K82" s="1186">
        <v>67</v>
      </c>
      <c r="L82" s="1186">
        <v>11</v>
      </c>
      <c r="M82" s="1186">
        <v>35</v>
      </c>
      <c r="N82" s="1186">
        <v>7</v>
      </c>
      <c r="O82" s="1186">
        <v>365300</v>
      </c>
    </row>
    <row r="83" spans="1:15" x14ac:dyDescent="0.2">
      <c r="A83" s="1186" t="s">
        <v>13</v>
      </c>
      <c r="B83" s="1186" t="s">
        <v>496</v>
      </c>
      <c r="C83" s="1186" t="s">
        <v>36</v>
      </c>
      <c r="D83" s="1186">
        <v>455</v>
      </c>
      <c r="E83" s="1186">
        <v>79</v>
      </c>
      <c r="F83" s="1186">
        <v>15</v>
      </c>
      <c r="G83" s="1186">
        <v>1</v>
      </c>
      <c r="H83" s="1186">
        <v>7</v>
      </c>
      <c r="I83" s="1186">
        <v>2</v>
      </c>
      <c r="J83" s="1186"/>
      <c r="K83" s="1186">
        <v>200</v>
      </c>
      <c r="L83" s="1186">
        <v>54</v>
      </c>
      <c r="M83" s="1186">
        <v>86</v>
      </c>
      <c r="N83" s="1186">
        <v>11</v>
      </c>
      <c r="O83" s="1186">
        <v>593060</v>
      </c>
    </row>
    <row r="84" spans="1:15" x14ac:dyDescent="0.2">
      <c r="A84" s="1186" t="s">
        <v>13</v>
      </c>
      <c r="B84" s="1186" t="s">
        <v>496</v>
      </c>
      <c r="C84" s="1186" t="s">
        <v>37</v>
      </c>
      <c r="D84" s="1186">
        <v>174</v>
      </c>
      <c r="E84" s="1186">
        <v>25</v>
      </c>
      <c r="F84" s="1186">
        <v>9</v>
      </c>
      <c r="G84" s="1186">
        <v>17</v>
      </c>
      <c r="H84" s="1186">
        <v>28</v>
      </c>
      <c r="I84" s="1186">
        <v>6</v>
      </c>
      <c r="J84" s="1186">
        <v>2</v>
      </c>
      <c r="K84" s="1186">
        <v>40</v>
      </c>
      <c r="L84" s="1186">
        <v>3</v>
      </c>
      <c r="M84" s="1186">
        <v>40</v>
      </c>
      <c r="N84" s="1186">
        <v>4</v>
      </c>
      <c r="O84" s="1186">
        <v>232730</v>
      </c>
    </row>
    <row r="85" spans="1:15" x14ac:dyDescent="0.2">
      <c r="A85" s="1186" t="s">
        <v>13</v>
      </c>
      <c r="B85" s="1186" t="s">
        <v>496</v>
      </c>
      <c r="C85" s="1186" t="s">
        <v>38</v>
      </c>
      <c r="D85" s="1186">
        <v>72</v>
      </c>
      <c r="E85" s="1186">
        <v>15</v>
      </c>
      <c r="F85" s="1186"/>
      <c r="G85" s="1186"/>
      <c r="H85" s="1186">
        <v>2</v>
      </c>
      <c r="I85" s="1186">
        <v>2</v>
      </c>
      <c r="J85" s="1186"/>
      <c r="K85" s="1186">
        <v>30</v>
      </c>
      <c r="L85" s="1186">
        <v>6</v>
      </c>
      <c r="M85" s="1186">
        <v>14</v>
      </c>
      <c r="N85" s="1186">
        <v>3</v>
      </c>
      <c r="O85" s="1186">
        <v>81220</v>
      </c>
    </row>
    <row r="86" spans="1:15" x14ac:dyDescent="0.2">
      <c r="A86" s="1186" t="s">
        <v>13</v>
      </c>
      <c r="B86" s="1186" t="s">
        <v>496</v>
      </c>
      <c r="C86" s="1186" t="s">
        <v>39</v>
      </c>
      <c r="D86" s="1186">
        <v>80</v>
      </c>
      <c r="E86" s="1186">
        <v>13</v>
      </c>
      <c r="F86" s="1186">
        <v>2</v>
      </c>
      <c r="G86" s="1186">
        <v>3</v>
      </c>
      <c r="H86" s="1186">
        <v>16</v>
      </c>
      <c r="I86" s="1186"/>
      <c r="J86" s="1186">
        <v>2</v>
      </c>
      <c r="K86" s="1186">
        <v>16</v>
      </c>
      <c r="L86" s="1186">
        <v>6</v>
      </c>
      <c r="M86" s="1186">
        <v>18</v>
      </c>
      <c r="N86" s="1186">
        <v>4</v>
      </c>
      <c r="O86" s="1186">
        <v>83450</v>
      </c>
    </row>
    <row r="87" spans="1:15" x14ac:dyDescent="0.2">
      <c r="A87" s="1186" t="s">
        <v>13</v>
      </c>
      <c r="B87" s="1186" t="s">
        <v>496</v>
      </c>
      <c r="C87" s="1186" t="s">
        <v>40</v>
      </c>
      <c r="D87" s="1186">
        <v>36</v>
      </c>
      <c r="E87" s="1186">
        <v>5</v>
      </c>
      <c r="F87" s="1186">
        <v>5</v>
      </c>
      <c r="G87" s="1186">
        <v>3</v>
      </c>
      <c r="H87" s="1186"/>
      <c r="I87" s="1186"/>
      <c r="J87" s="1186">
        <v>1</v>
      </c>
      <c r="K87" s="1186">
        <v>9</v>
      </c>
      <c r="L87" s="1186">
        <v>1</v>
      </c>
      <c r="M87" s="1186">
        <v>10</v>
      </c>
      <c r="N87" s="1186">
        <v>2</v>
      </c>
      <c r="O87" s="1186">
        <v>93470</v>
      </c>
    </row>
    <row r="88" spans="1:15" x14ac:dyDescent="0.2">
      <c r="A88" s="1186" t="s">
        <v>13</v>
      </c>
      <c r="B88" s="1186" t="s">
        <v>496</v>
      </c>
      <c r="C88" s="1186" t="s">
        <v>295</v>
      </c>
      <c r="D88" s="1186">
        <v>17</v>
      </c>
      <c r="E88" s="1186">
        <v>5</v>
      </c>
      <c r="F88" s="1186">
        <v>2</v>
      </c>
      <c r="G88" s="1186">
        <v>1</v>
      </c>
      <c r="H88" s="1186"/>
      <c r="I88" s="1186">
        <v>2</v>
      </c>
      <c r="J88" s="1186"/>
      <c r="K88" s="1186">
        <v>4</v>
      </c>
      <c r="L88" s="1186"/>
      <c r="M88" s="1186">
        <v>3</v>
      </c>
      <c r="N88" s="1186"/>
      <c r="O88" s="1186">
        <v>27690</v>
      </c>
    </row>
    <row r="89" spans="1:15" x14ac:dyDescent="0.2">
      <c r="A89" s="1186" t="s">
        <v>13</v>
      </c>
      <c r="B89" s="1186" t="s">
        <v>496</v>
      </c>
      <c r="C89" s="1186" t="s">
        <v>41</v>
      </c>
      <c r="D89" s="1186">
        <v>72</v>
      </c>
      <c r="E89" s="1186">
        <v>12</v>
      </c>
      <c r="F89" s="1186">
        <v>4</v>
      </c>
      <c r="G89" s="1186">
        <v>2</v>
      </c>
      <c r="H89" s="1186">
        <v>3</v>
      </c>
      <c r="I89" s="1186">
        <v>1</v>
      </c>
      <c r="J89" s="1186">
        <v>1</v>
      </c>
      <c r="K89" s="1186">
        <v>27</v>
      </c>
      <c r="L89" s="1186">
        <v>6</v>
      </c>
      <c r="M89" s="1186">
        <v>16</v>
      </c>
      <c r="N89" s="1186"/>
      <c r="O89" s="1186">
        <v>138090</v>
      </c>
    </row>
    <row r="90" spans="1:15" x14ac:dyDescent="0.2">
      <c r="A90" s="1186" t="s">
        <v>13</v>
      </c>
      <c r="B90" s="1186" t="s">
        <v>496</v>
      </c>
      <c r="C90" s="1186" t="s">
        <v>42</v>
      </c>
      <c r="D90" s="1186">
        <v>275</v>
      </c>
      <c r="E90" s="1186">
        <v>47</v>
      </c>
      <c r="F90" s="1186">
        <v>11</v>
      </c>
      <c r="G90" s="1186">
        <v>5</v>
      </c>
      <c r="H90" s="1186">
        <v>11</v>
      </c>
      <c r="I90" s="1186"/>
      <c r="J90" s="1186">
        <v>2</v>
      </c>
      <c r="K90" s="1186">
        <v>105</v>
      </c>
      <c r="L90" s="1186">
        <v>34</v>
      </c>
      <c r="M90" s="1186">
        <v>51</v>
      </c>
      <c r="N90" s="1186">
        <v>9</v>
      </c>
      <c r="O90" s="1186">
        <v>337720</v>
      </c>
    </row>
    <row r="91" spans="1:15" x14ac:dyDescent="0.2">
      <c r="A91" s="1186" t="s">
        <v>13</v>
      </c>
      <c r="B91" s="1186" t="s">
        <v>496</v>
      </c>
      <c r="C91" s="1186" t="s">
        <v>43</v>
      </c>
      <c r="D91" s="1186">
        <v>13</v>
      </c>
      <c r="E91" s="1186">
        <v>1</v>
      </c>
      <c r="F91" s="1186">
        <v>1</v>
      </c>
      <c r="G91" s="1186"/>
      <c r="H91" s="1186"/>
      <c r="I91" s="1186"/>
      <c r="J91" s="1186"/>
      <c r="K91" s="1186">
        <v>6</v>
      </c>
      <c r="L91" s="1186">
        <v>1</v>
      </c>
      <c r="M91" s="1186">
        <v>4</v>
      </c>
      <c r="N91" s="1186"/>
      <c r="O91" s="1186">
        <v>21420</v>
      </c>
    </row>
    <row r="92" spans="1:15" x14ac:dyDescent="0.2">
      <c r="A92" s="1186" t="s">
        <v>13</v>
      </c>
      <c r="B92" s="1186" t="s">
        <v>496</v>
      </c>
      <c r="C92" s="1186" t="s">
        <v>44</v>
      </c>
      <c r="D92" s="1186">
        <v>108</v>
      </c>
      <c r="E92" s="1186">
        <v>7</v>
      </c>
      <c r="F92" s="1186">
        <v>6</v>
      </c>
      <c r="G92" s="1186">
        <v>11</v>
      </c>
      <c r="H92" s="1186">
        <v>1</v>
      </c>
      <c r="I92" s="1186"/>
      <c r="J92" s="1186">
        <v>2</v>
      </c>
      <c r="K92" s="1186">
        <v>45</v>
      </c>
      <c r="L92" s="1186">
        <v>3</v>
      </c>
      <c r="M92" s="1186">
        <v>31</v>
      </c>
      <c r="N92" s="1186">
        <v>2</v>
      </c>
      <c r="O92" s="1186">
        <v>146850</v>
      </c>
    </row>
    <row r="93" spans="1:15" x14ac:dyDescent="0.2">
      <c r="A93" s="1186" t="s">
        <v>13</v>
      </c>
      <c r="B93" s="1186" t="s">
        <v>496</v>
      </c>
      <c r="C93" s="1186" t="s">
        <v>45</v>
      </c>
      <c r="D93" s="1186">
        <v>107</v>
      </c>
      <c r="E93" s="1186">
        <v>15</v>
      </c>
      <c r="F93" s="1186">
        <v>6</v>
      </c>
      <c r="G93" s="1186"/>
      <c r="H93" s="1186">
        <v>7</v>
      </c>
      <c r="I93" s="1186"/>
      <c r="J93" s="1186">
        <v>1</v>
      </c>
      <c r="K93" s="1186">
        <v>43</v>
      </c>
      <c r="L93" s="1186">
        <v>12</v>
      </c>
      <c r="M93" s="1186">
        <v>17</v>
      </c>
      <c r="N93" s="1186">
        <v>6</v>
      </c>
      <c r="O93" s="1186">
        <v>174700</v>
      </c>
    </row>
    <row r="94" spans="1:15" x14ac:dyDescent="0.2">
      <c r="A94" s="1186" t="s">
        <v>13</v>
      </c>
      <c r="B94" s="1186" t="s">
        <v>496</v>
      </c>
      <c r="C94" s="1186" t="s">
        <v>46</v>
      </c>
      <c r="D94" s="1186">
        <v>85</v>
      </c>
      <c r="E94" s="1186">
        <v>11</v>
      </c>
      <c r="F94" s="1186">
        <v>5</v>
      </c>
      <c r="G94" s="1186">
        <v>9</v>
      </c>
      <c r="H94" s="1186">
        <v>17</v>
      </c>
      <c r="I94" s="1186"/>
      <c r="J94" s="1186">
        <v>1</v>
      </c>
      <c r="K94" s="1186">
        <v>20</v>
      </c>
      <c r="L94" s="1186">
        <v>2</v>
      </c>
      <c r="M94" s="1186">
        <v>20</v>
      </c>
      <c r="N94" s="1186"/>
      <c r="O94" s="1186">
        <v>113880</v>
      </c>
    </row>
    <row r="95" spans="1:15" x14ac:dyDescent="0.2">
      <c r="A95" s="1186" t="s">
        <v>13</v>
      </c>
      <c r="B95" s="1186" t="s">
        <v>496</v>
      </c>
      <c r="C95" s="1186" t="s">
        <v>47</v>
      </c>
      <c r="D95" s="1186">
        <v>11</v>
      </c>
      <c r="E95" s="1186">
        <v>5</v>
      </c>
      <c r="F95" s="1186">
        <v>4</v>
      </c>
      <c r="G95" s="1186"/>
      <c r="H95" s="1186"/>
      <c r="I95" s="1186">
        <v>1</v>
      </c>
      <c r="J95" s="1186"/>
      <c r="K95" s="1186"/>
      <c r="L95" s="1186"/>
      <c r="M95" s="1186">
        <v>1</v>
      </c>
      <c r="N95" s="1186"/>
      <c r="O95" s="1186">
        <v>23240</v>
      </c>
    </row>
    <row r="96" spans="1:15" x14ac:dyDescent="0.2">
      <c r="A96" s="1186" t="s">
        <v>13</v>
      </c>
      <c r="B96" s="1186" t="s">
        <v>496</v>
      </c>
      <c r="C96" s="1186" t="s">
        <v>48</v>
      </c>
      <c r="D96" s="1186">
        <v>58</v>
      </c>
      <c r="E96" s="1186">
        <v>11</v>
      </c>
      <c r="F96" s="1186">
        <v>1</v>
      </c>
      <c r="G96" s="1186">
        <v>1</v>
      </c>
      <c r="H96" s="1186">
        <v>3</v>
      </c>
      <c r="I96" s="1186"/>
      <c r="J96" s="1186"/>
      <c r="K96" s="1186">
        <v>24</v>
      </c>
      <c r="L96" s="1186">
        <v>6</v>
      </c>
      <c r="M96" s="1186">
        <v>11</v>
      </c>
      <c r="N96" s="1186">
        <v>1</v>
      </c>
      <c r="O96" s="1186">
        <v>112980</v>
      </c>
    </row>
    <row r="97" spans="1:15" x14ac:dyDescent="0.2">
      <c r="A97" s="1186" t="s">
        <v>13</v>
      </c>
      <c r="B97" s="1186" t="s">
        <v>496</v>
      </c>
      <c r="C97" s="1186" t="s">
        <v>49</v>
      </c>
      <c r="D97" s="1186">
        <v>214</v>
      </c>
      <c r="E97" s="1186">
        <v>29</v>
      </c>
      <c r="F97" s="1186">
        <v>9</v>
      </c>
      <c r="G97" s="1186"/>
      <c r="H97" s="1186">
        <v>14</v>
      </c>
      <c r="I97" s="1186"/>
      <c r="J97" s="1186">
        <v>2</v>
      </c>
      <c r="K97" s="1186">
        <v>95</v>
      </c>
      <c r="L97" s="1186">
        <v>24</v>
      </c>
      <c r="M97" s="1186">
        <v>39</v>
      </c>
      <c r="N97" s="1186">
        <v>2</v>
      </c>
      <c r="O97" s="1186">
        <v>313900</v>
      </c>
    </row>
    <row r="98" spans="1:15" x14ac:dyDescent="0.2">
      <c r="A98" s="1186" t="s">
        <v>13</v>
      </c>
      <c r="B98" s="1186" t="s">
        <v>496</v>
      </c>
      <c r="C98" s="1186" t="s">
        <v>50</v>
      </c>
      <c r="D98" s="1186">
        <v>47</v>
      </c>
      <c r="E98" s="1186">
        <v>8</v>
      </c>
      <c r="F98" s="1186">
        <v>3</v>
      </c>
      <c r="G98" s="1186">
        <v>8</v>
      </c>
      <c r="H98" s="1186">
        <v>3</v>
      </c>
      <c r="I98" s="1186"/>
      <c r="J98" s="1186"/>
      <c r="K98" s="1186">
        <v>19</v>
      </c>
      <c r="L98" s="1186">
        <v>2</v>
      </c>
      <c r="M98" s="1186">
        <v>4</v>
      </c>
      <c r="N98" s="1186"/>
      <c r="O98" s="1186">
        <v>90330</v>
      </c>
    </row>
    <row r="99" spans="1:15" x14ac:dyDescent="0.2">
      <c r="A99" s="1186" t="s">
        <v>13</v>
      </c>
      <c r="B99" s="1186" t="s">
        <v>496</v>
      </c>
      <c r="C99" s="1186" t="s">
        <v>51</v>
      </c>
      <c r="D99" s="1186">
        <v>106</v>
      </c>
      <c r="E99" s="1186">
        <v>12</v>
      </c>
      <c r="F99" s="1186">
        <v>4</v>
      </c>
      <c r="G99" s="1186"/>
      <c r="H99" s="1186">
        <v>2</v>
      </c>
      <c r="I99" s="1186">
        <v>1</v>
      </c>
      <c r="J99" s="1186"/>
      <c r="K99" s="1186">
        <v>51</v>
      </c>
      <c r="L99" s="1186">
        <v>8</v>
      </c>
      <c r="M99" s="1186">
        <v>26</v>
      </c>
      <c r="N99" s="1186">
        <v>2</v>
      </c>
      <c r="O99" s="1186">
        <v>90610</v>
      </c>
    </row>
    <row r="100" spans="1:15" x14ac:dyDescent="0.2">
      <c r="A100" s="1186" t="s">
        <v>13</v>
      </c>
      <c r="B100" s="1186" t="s">
        <v>496</v>
      </c>
      <c r="C100" s="1186" t="s">
        <v>52</v>
      </c>
      <c r="D100" s="1186">
        <v>182</v>
      </c>
      <c r="E100" s="1186">
        <v>28</v>
      </c>
      <c r="F100" s="1186">
        <v>8</v>
      </c>
      <c r="G100" s="1186">
        <v>7</v>
      </c>
      <c r="H100" s="1186">
        <v>28</v>
      </c>
      <c r="I100" s="1186"/>
      <c r="J100" s="1186">
        <v>1</v>
      </c>
      <c r="K100" s="1186">
        <v>57</v>
      </c>
      <c r="L100" s="1186">
        <v>13</v>
      </c>
      <c r="M100" s="1186">
        <v>37</v>
      </c>
      <c r="N100" s="1186">
        <v>3</v>
      </c>
      <c r="O100" s="1186">
        <v>175300</v>
      </c>
    </row>
    <row r="101" spans="1:15" x14ac:dyDescent="0.2">
      <c r="A101" s="1186" t="s">
        <v>15</v>
      </c>
      <c r="B101" s="1186" t="s">
        <v>496</v>
      </c>
      <c r="C101" s="1186" t="s">
        <v>23</v>
      </c>
      <c r="D101" s="1186">
        <v>107</v>
      </c>
      <c r="E101" s="1186">
        <v>14</v>
      </c>
      <c r="F101" s="1186">
        <v>3</v>
      </c>
      <c r="G101" s="1186"/>
      <c r="H101" s="1186"/>
      <c r="I101" s="1186"/>
      <c r="J101" s="1186"/>
      <c r="K101" s="1186">
        <v>50</v>
      </c>
      <c r="L101" s="1186">
        <v>10</v>
      </c>
      <c r="M101" s="1186">
        <v>22</v>
      </c>
      <c r="N101" s="1186">
        <v>8</v>
      </c>
      <c r="O101" s="1186">
        <v>224910</v>
      </c>
    </row>
    <row r="102" spans="1:15" x14ac:dyDescent="0.2">
      <c r="A102" s="1186" t="s">
        <v>15</v>
      </c>
      <c r="B102" s="1186" t="s">
        <v>496</v>
      </c>
      <c r="C102" s="1186" t="s">
        <v>24</v>
      </c>
      <c r="D102" s="1186">
        <v>144</v>
      </c>
      <c r="E102" s="1186">
        <v>11</v>
      </c>
      <c r="F102" s="1186">
        <v>20</v>
      </c>
      <c r="G102" s="1186">
        <v>5</v>
      </c>
      <c r="H102" s="1186">
        <v>2</v>
      </c>
      <c r="I102" s="1186">
        <v>2</v>
      </c>
      <c r="J102" s="1186">
        <v>1</v>
      </c>
      <c r="K102" s="1186">
        <v>55</v>
      </c>
      <c r="L102" s="1186">
        <v>10</v>
      </c>
      <c r="M102" s="1186">
        <v>31</v>
      </c>
      <c r="N102" s="1186">
        <v>7</v>
      </c>
      <c r="O102" s="1186">
        <v>255560</v>
      </c>
    </row>
    <row r="103" spans="1:15" x14ac:dyDescent="0.2">
      <c r="A103" s="1186" t="s">
        <v>15</v>
      </c>
      <c r="B103" s="1186" t="s">
        <v>496</v>
      </c>
      <c r="C103" s="1186" t="s">
        <v>25</v>
      </c>
      <c r="D103" s="1186">
        <v>50</v>
      </c>
      <c r="E103" s="1186">
        <v>6</v>
      </c>
      <c r="F103" s="1186">
        <v>2</v>
      </c>
      <c r="G103" s="1186">
        <v>5</v>
      </c>
      <c r="H103" s="1186"/>
      <c r="I103" s="1186"/>
      <c r="J103" s="1186"/>
      <c r="K103" s="1186">
        <v>25</v>
      </c>
      <c r="L103" s="1186">
        <v>4</v>
      </c>
      <c r="M103" s="1186">
        <v>7</v>
      </c>
      <c r="N103" s="1186">
        <v>1</v>
      </c>
      <c r="O103" s="1186">
        <v>116220</v>
      </c>
    </row>
    <row r="104" spans="1:15" x14ac:dyDescent="0.2">
      <c r="A104" s="1186" t="s">
        <v>15</v>
      </c>
      <c r="B104" s="1186" t="s">
        <v>496</v>
      </c>
      <c r="C104" s="1186" t="s">
        <v>26</v>
      </c>
      <c r="D104" s="1186">
        <v>50</v>
      </c>
      <c r="E104" s="1186">
        <v>4</v>
      </c>
      <c r="F104" s="1186">
        <v>1</v>
      </c>
      <c r="G104" s="1186">
        <v>2</v>
      </c>
      <c r="H104" s="1186">
        <v>8</v>
      </c>
      <c r="I104" s="1186">
        <v>4</v>
      </c>
      <c r="J104" s="1186"/>
      <c r="K104" s="1186">
        <v>17</v>
      </c>
      <c r="L104" s="1186"/>
      <c r="M104" s="1186">
        <v>14</v>
      </c>
      <c r="N104" s="1186"/>
      <c r="O104" s="1186">
        <v>86910</v>
      </c>
    </row>
    <row r="105" spans="1:15" x14ac:dyDescent="0.2">
      <c r="A105" s="1186" t="s">
        <v>15</v>
      </c>
      <c r="B105" s="1186" t="s">
        <v>496</v>
      </c>
      <c r="C105" s="1186" t="s">
        <v>619</v>
      </c>
      <c r="D105" s="1186">
        <v>229</v>
      </c>
      <c r="E105" s="1186">
        <v>52</v>
      </c>
      <c r="F105" s="1186">
        <v>10</v>
      </c>
      <c r="G105" s="1186">
        <v>4</v>
      </c>
      <c r="H105" s="1186">
        <v>19</v>
      </c>
      <c r="I105" s="1186">
        <v>2</v>
      </c>
      <c r="J105" s="1186">
        <v>1</v>
      </c>
      <c r="K105" s="1186">
        <v>66</v>
      </c>
      <c r="L105" s="1186">
        <v>10</v>
      </c>
      <c r="M105" s="1186">
        <v>41</v>
      </c>
      <c r="N105" s="1186">
        <v>24</v>
      </c>
      <c r="O105" s="1186">
        <v>482630</v>
      </c>
    </row>
    <row r="106" spans="1:15" x14ac:dyDescent="0.2">
      <c r="A106" s="1186" t="s">
        <v>15</v>
      </c>
      <c r="B106" s="1186" t="s">
        <v>496</v>
      </c>
      <c r="C106" s="1186" t="s">
        <v>27</v>
      </c>
      <c r="D106" s="1186">
        <v>17</v>
      </c>
      <c r="E106" s="1186">
        <v>2</v>
      </c>
      <c r="F106" s="1186">
        <v>1</v>
      </c>
      <c r="G106" s="1186">
        <v>1</v>
      </c>
      <c r="H106" s="1186">
        <v>5</v>
      </c>
      <c r="I106" s="1186"/>
      <c r="J106" s="1186"/>
      <c r="K106" s="1186">
        <v>4</v>
      </c>
      <c r="L106" s="1186">
        <v>1</v>
      </c>
      <c r="M106" s="1186">
        <v>2</v>
      </c>
      <c r="N106" s="1186">
        <v>1</v>
      </c>
      <c r="O106" s="1186">
        <v>51280</v>
      </c>
    </row>
    <row r="107" spans="1:15" x14ac:dyDescent="0.2">
      <c r="A107" s="1186" t="s">
        <v>15</v>
      </c>
      <c r="B107" s="1186" t="s">
        <v>496</v>
      </c>
      <c r="C107" s="1186" t="s">
        <v>28</v>
      </c>
      <c r="D107" s="1186">
        <v>66</v>
      </c>
      <c r="E107" s="1186">
        <v>2</v>
      </c>
      <c r="F107" s="1186">
        <v>6</v>
      </c>
      <c r="G107" s="1186">
        <v>2</v>
      </c>
      <c r="H107" s="1186"/>
      <c r="I107" s="1186">
        <v>1</v>
      </c>
      <c r="J107" s="1186"/>
      <c r="K107" s="1186">
        <v>30</v>
      </c>
      <c r="L107" s="1186">
        <v>2</v>
      </c>
      <c r="M107" s="1186">
        <v>23</v>
      </c>
      <c r="N107" s="1186"/>
      <c r="O107" s="1186">
        <v>150840</v>
      </c>
    </row>
    <row r="108" spans="1:15" x14ac:dyDescent="0.2">
      <c r="A108" s="1186" t="s">
        <v>15</v>
      </c>
      <c r="B108" s="1186" t="s">
        <v>496</v>
      </c>
      <c r="C108" s="1186" t="s">
        <v>29</v>
      </c>
      <c r="D108" s="1186">
        <v>53</v>
      </c>
      <c r="E108" s="1186">
        <v>9</v>
      </c>
      <c r="F108" s="1186">
        <v>3</v>
      </c>
      <c r="G108" s="1186">
        <v>1</v>
      </c>
      <c r="H108" s="1186">
        <v>2</v>
      </c>
      <c r="I108" s="1186"/>
      <c r="J108" s="1186"/>
      <c r="K108" s="1186">
        <v>23</v>
      </c>
      <c r="L108" s="1186">
        <v>3</v>
      </c>
      <c r="M108" s="1186">
        <v>8</v>
      </c>
      <c r="N108" s="1186">
        <v>4</v>
      </c>
      <c r="O108" s="1186">
        <v>147780</v>
      </c>
    </row>
    <row r="109" spans="1:15" x14ac:dyDescent="0.2">
      <c r="A109" s="1186" t="s">
        <v>15</v>
      </c>
      <c r="B109" s="1186" t="s">
        <v>496</v>
      </c>
      <c r="C109" s="1186" t="s">
        <v>30</v>
      </c>
      <c r="D109" s="1186">
        <v>69</v>
      </c>
      <c r="E109" s="1186">
        <v>10</v>
      </c>
      <c r="F109" s="1186">
        <v>1</v>
      </c>
      <c r="G109" s="1186">
        <v>2</v>
      </c>
      <c r="H109" s="1186">
        <v>4</v>
      </c>
      <c r="I109" s="1186"/>
      <c r="J109" s="1186">
        <v>1</v>
      </c>
      <c r="K109" s="1186">
        <v>30</v>
      </c>
      <c r="L109" s="1186">
        <v>7</v>
      </c>
      <c r="M109" s="1186">
        <v>14</v>
      </c>
      <c r="N109" s="1186"/>
      <c r="O109" s="1186">
        <v>122730</v>
      </c>
    </row>
    <row r="110" spans="1:15" x14ac:dyDescent="0.2">
      <c r="A110" s="1186" t="s">
        <v>15</v>
      </c>
      <c r="B110" s="1186" t="s">
        <v>496</v>
      </c>
      <c r="C110" s="1186" t="s">
        <v>31</v>
      </c>
      <c r="D110" s="1186">
        <v>42</v>
      </c>
      <c r="E110" s="1186">
        <v>2</v>
      </c>
      <c r="F110" s="1186"/>
      <c r="G110" s="1186">
        <v>1</v>
      </c>
      <c r="H110" s="1186">
        <v>3</v>
      </c>
      <c r="I110" s="1186"/>
      <c r="J110" s="1186"/>
      <c r="K110" s="1186">
        <v>20</v>
      </c>
      <c r="L110" s="1186">
        <v>6</v>
      </c>
      <c r="M110" s="1186">
        <v>7</v>
      </c>
      <c r="N110" s="1186">
        <v>3</v>
      </c>
      <c r="O110" s="1186">
        <v>105880</v>
      </c>
    </row>
    <row r="111" spans="1:15" x14ac:dyDescent="0.2">
      <c r="A111" s="1186" t="s">
        <v>15</v>
      </c>
      <c r="B111" s="1186" t="s">
        <v>496</v>
      </c>
      <c r="C111" s="1186" t="s">
        <v>32</v>
      </c>
      <c r="D111" s="1186">
        <v>47</v>
      </c>
      <c r="E111" s="1186">
        <v>5</v>
      </c>
      <c r="F111" s="1186">
        <v>7</v>
      </c>
      <c r="G111" s="1186">
        <v>3</v>
      </c>
      <c r="H111" s="1186">
        <v>1</v>
      </c>
      <c r="I111" s="1186"/>
      <c r="J111" s="1186"/>
      <c r="K111" s="1186">
        <v>14</v>
      </c>
      <c r="L111" s="1186">
        <v>3</v>
      </c>
      <c r="M111" s="1186">
        <v>12</v>
      </c>
      <c r="N111" s="1186">
        <v>2</v>
      </c>
      <c r="O111" s="1186">
        <v>100860</v>
      </c>
    </row>
    <row r="112" spans="1:15" x14ac:dyDescent="0.2">
      <c r="A112" s="1186" t="s">
        <v>15</v>
      </c>
      <c r="B112" s="1186" t="s">
        <v>496</v>
      </c>
      <c r="C112" s="1186" t="s">
        <v>33</v>
      </c>
      <c r="D112" s="1186">
        <v>33</v>
      </c>
      <c r="E112" s="1186">
        <v>3</v>
      </c>
      <c r="F112" s="1186">
        <v>1</v>
      </c>
      <c r="G112" s="1186"/>
      <c r="H112" s="1186">
        <v>4</v>
      </c>
      <c r="I112" s="1186">
        <v>1</v>
      </c>
      <c r="J112" s="1186"/>
      <c r="K112" s="1186">
        <v>14</v>
      </c>
      <c r="L112" s="1186"/>
      <c r="M112" s="1186">
        <v>9</v>
      </c>
      <c r="N112" s="1186">
        <v>1</v>
      </c>
      <c r="O112" s="1186">
        <v>91040</v>
      </c>
    </row>
    <row r="113" spans="1:15" x14ac:dyDescent="0.2">
      <c r="A113" s="1186" t="s">
        <v>15</v>
      </c>
      <c r="B113" s="1186" t="s">
        <v>496</v>
      </c>
      <c r="C113" s="1186" t="s">
        <v>34</v>
      </c>
      <c r="D113" s="1186">
        <v>66</v>
      </c>
      <c r="E113" s="1186">
        <v>11</v>
      </c>
      <c r="F113" s="1186">
        <v>2</v>
      </c>
      <c r="G113" s="1186">
        <v>2</v>
      </c>
      <c r="H113" s="1186">
        <v>4</v>
      </c>
      <c r="I113" s="1186"/>
      <c r="J113" s="1186"/>
      <c r="K113" s="1186">
        <v>29</v>
      </c>
      <c r="L113" s="1186">
        <v>5</v>
      </c>
      <c r="M113" s="1186">
        <v>13</v>
      </c>
      <c r="N113" s="1186"/>
      <c r="O113" s="1186">
        <v>156800</v>
      </c>
    </row>
    <row r="114" spans="1:15" x14ac:dyDescent="0.2">
      <c r="A114" s="1186" t="s">
        <v>15</v>
      </c>
      <c r="B114" s="1186" t="s">
        <v>496</v>
      </c>
      <c r="C114" s="1186" t="s">
        <v>35</v>
      </c>
      <c r="D114" s="1186">
        <v>196</v>
      </c>
      <c r="E114" s="1186">
        <v>41</v>
      </c>
      <c r="F114" s="1186">
        <v>10</v>
      </c>
      <c r="G114" s="1186">
        <v>6</v>
      </c>
      <c r="H114" s="1186">
        <v>2</v>
      </c>
      <c r="I114" s="1186">
        <v>9</v>
      </c>
      <c r="J114" s="1186"/>
      <c r="K114" s="1186">
        <v>65</v>
      </c>
      <c r="L114" s="1186">
        <v>14</v>
      </c>
      <c r="M114" s="1186">
        <v>45</v>
      </c>
      <c r="N114" s="1186">
        <v>4</v>
      </c>
      <c r="O114" s="1186">
        <v>366210</v>
      </c>
    </row>
    <row r="115" spans="1:15" x14ac:dyDescent="0.2">
      <c r="A115" s="1186" t="s">
        <v>15</v>
      </c>
      <c r="B115" s="1186" t="s">
        <v>496</v>
      </c>
      <c r="C115" s="1186" t="s">
        <v>36</v>
      </c>
      <c r="D115" s="1186">
        <v>415</v>
      </c>
      <c r="E115" s="1186">
        <v>70</v>
      </c>
      <c r="F115" s="1186">
        <v>21</v>
      </c>
      <c r="G115" s="1186">
        <v>1</v>
      </c>
      <c r="H115" s="1186">
        <v>12</v>
      </c>
      <c r="I115" s="1186">
        <v>2</v>
      </c>
      <c r="J115" s="1186">
        <v>3</v>
      </c>
      <c r="K115" s="1186">
        <v>196</v>
      </c>
      <c r="L115" s="1186">
        <v>29</v>
      </c>
      <c r="M115" s="1186">
        <v>68</v>
      </c>
      <c r="N115" s="1186">
        <v>13</v>
      </c>
      <c r="O115" s="1186">
        <v>595070</v>
      </c>
    </row>
    <row r="116" spans="1:15" x14ac:dyDescent="0.2">
      <c r="A116" s="1186" t="s">
        <v>15</v>
      </c>
      <c r="B116" s="1186" t="s">
        <v>496</v>
      </c>
      <c r="C116" s="1186" t="s">
        <v>37</v>
      </c>
      <c r="D116" s="1186">
        <v>134</v>
      </c>
      <c r="E116" s="1186">
        <v>9</v>
      </c>
      <c r="F116" s="1186">
        <v>8</v>
      </c>
      <c r="G116" s="1186">
        <v>14</v>
      </c>
      <c r="H116" s="1186">
        <v>8</v>
      </c>
      <c r="I116" s="1186">
        <v>2</v>
      </c>
      <c r="J116" s="1186">
        <v>2</v>
      </c>
      <c r="K116" s="1186">
        <v>44</v>
      </c>
      <c r="L116" s="1186">
        <v>2</v>
      </c>
      <c r="M116" s="1186">
        <v>45</v>
      </c>
      <c r="N116" s="1186"/>
      <c r="O116" s="1186">
        <v>232890</v>
      </c>
    </row>
    <row r="117" spans="1:15" x14ac:dyDescent="0.2">
      <c r="A117" s="1186" t="s">
        <v>15</v>
      </c>
      <c r="B117" s="1186" t="s">
        <v>496</v>
      </c>
      <c r="C117" s="1186" t="s">
        <v>38</v>
      </c>
      <c r="D117" s="1186">
        <v>55</v>
      </c>
      <c r="E117" s="1186">
        <v>7</v>
      </c>
      <c r="F117" s="1186">
        <v>2</v>
      </c>
      <c r="G117" s="1186"/>
      <c r="H117" s="1186">
        <v>1</v>
      </c>
      <c r="I117" s="1186">
        <v>1</v>
      </c>
      <c r="J117" s="1186">
        <v>1</v>
      </c>
      <c r="K117" s="1186">
        <v>27</v>
      </c>
      <c r="L117" s="1186">
        <v>7</v>
      </c>
      <c r="M117" s="1186">
        <v>7</v>
      </c>
      <c r="N117" s="1186">
        <v>2</v>
      </c>
      <c r="O117" s="1186">
        <v>80690</v>
      </c>
    </row>
    <row r="118" spans="1:15" x14ac:dyDescent="0.2">
      <c r="A118" s="1186" t="s">
        <v>15</v>
      </c>
      <c r="B118" s="1186" t="s">
        <v>496</v>
      </c>
      <c r="C118" s="1186" t="s">
        <v>39</v>
      </c>
      <c r="D118" s="1186">
        <v>46</v>
      </c>
      <c r="E118" s="1186">
        <v>5</v>
      </c>
      <c r="F118" s="1186">
        <v>2</v>
      </c>
      <c r="G118" s="1186">
        <v>6</v>
      </c>
      <c r="H118" s="1186">
        <v>9</v>
      </c>
      <c r="I118" s="1186"/>
      <c r="J118" s="1186"/>
      <c r="K118" s="1186">
        <v>15</v>
      </c>
      <c r="L118" s="1186">
        <v>3</v>
      </c>
      <c r="M118" s="1186">
        <v>4</v>
      </c>
      <c r="N118" s="1186">
        <v>2</v>
      </c>
      <c r="O118" s="1186">
        <v>84240</v>
      </c>
    </row>
    <row r="119" spans="1:15" x14ac:dyDescent="0.2">
      <c r="A119" s="1186" t="s">
        <v>15</v>
      </c>
      <c r="B119" s="1186" t="s">
        <v>496</v>
      </c>
      <c r="C119" s="1186" t="s">
        <v>40</v>
      </c>
      <c r="D119" s="1186">
        <v>36</v>
      </c>
      <c r="E119" s="1186">
        <v>3</v>
      </c>
      <c r="F119" s="1186">
        <v>6</v>
      </c>
      <c r="G119" s="1186">
        <v>4</v>
      </c>
      <c r="H119" s="1186"/>
      <c r="I119" s="1186"/>
      <c r="J119" s="1186">
        <v>1</v>
      </c>
      <c r="K119" s="1186">
        <v>12</v>
      </c>
      <c r="L119" s="1186">
        <v>2</v>
      </c>
      <c r="M119" s="1186">
        <v>8</v>
      </c>
      <c r="N119" s="1186"/>
      <c r="O119" s="1186">
        <v>92930</v>
      </c>
    </row>
    <row r="120" spans="1:15" x14ac:dyDescent="0.2">
      <c r="A120" s="1186" t="s">
        <v>15</v>
      </c>
      <c r="B120" s="1186" t="s">
        <v>496</v>
      </c>
      <c r="C120" s="1186" t="s">
        <v>295</v>
      </c>
      <c r="D120" s="1186">
        <v>34</v>
      </c>
      <c r="E120" s="1186">
        <v>5</v>
      </c>
      <c r="F120" s="1186">
        <v>1</v>
      </c>
      <c r="G120" s="1186">
        <v>2</v>
      </c>
      <c r="H120" s="1186">
        <v>9</v>
      </c>
      <c r="I120" s="1186">
        <v>1</v>
      </c>
      <c r="J120" s="1186"/>
      <c r="K120" s="1186">
        <v>4</v>
      </c>
      <c r="L120" s="1186">
        <v>2</v>
      </c>
      <c r="M120" s="1186">
        <v>10</v>
      </c>
      <c r="N120" s="1186"/>
      <c r="O120" s="1186">
        <v>27560</v>
      </c>
    </row>
    <row r="121" spans="1:15" x14ac:dyDescent="0.2">
      <c r="A121" s="1186" t="s">
        <v>15</v>
      </c>
      <c r="B121" s="1186" t="s">
        <v>496</v>
      </c>
      <c r="C121" s="1186" t="s">
        <v>41</v>
      </c>
      <c r="D121" s="1186">
        <v>56</v>
      </c>
      <c r="E121" s="1186">
        <v>5</v>
      </c>
      <c r="F121" s="1186">
        <v>5</v>
      </c>
      <c r="G121" s="1186"/>
      <c r="H121" s="1186">
        <v>3</v>
      </c>
      <c r="I121" s="1186">
        <v>3</v>
      </c>
      <c r="J121" s="1186"/>
      <c r="K121" s="1186">
        <v>28</v>
      </c>
      <c r="L121" s="1186">
        <v>3</v>
      </c>
      <c r="M121" s="1186">
        <v>8</v>
      </c>
      <c r="N121" s="1186">
        <v>1</v>
      </c>
      <c r="O121" s="1186">
        <v>137570</v>
      </c>
    </row>
    <row r="122" spans="1:15" x14ac:dyDescent="0.2">
      <c r="A122" s="1186" t="s">
        <v>15</v>
      </c>
      <c r="B122" s="1186" t="s">
        <v>496</v>
      </c>
      <c r="C122" s="1186" t="s">
        <v>42</v>
      </c>
      <c r="D122" s="1186">
        <v>210</v>
      </c>
      <c r="E122" s="1186">
        <v>30</v>
      </c>
      <c r="F122" s="1186">
        <v>4</v>
      </c>
      <c r="G122" s="1186">
        <v>1</v>
      </c>
      <c r="H122" s="1186">
        <v>13</v>
      </c>
      <c r="I122" s="1186">
        <v>1</v>
      </c>
      <c r="J122" s="1186">
        <v>1</v>
      </c>
      <c r="K122" s="1186">
        <v>89</v>
      </c>
      <c r="L122" s="1186">
        <v>14</v>
      </c>
      <c r="M122" s="1186">
        <v>50</v>
      </c>
      <c r="N122" s="1186">
        <v>7</v>
      </c>
      <c r="O122" s="1186">
        <v>337890</v>
      </c>
    </row>
    <row r="123" spans="1:15" x14ac:dyDescent="0.2">
      <c r="A123" s="1186" t="s">
        <v>15</v>
      </c>
      <c r="B123" s="1186" t="s">
        <v>496</v>
      </c>
      <c r="C123" s="1186" t="s">
        <v>43</v>
      </c>
      <c r="D123" s="1186">
        <v>15</v>
      </c>
      <c r="E123" s="1186"/>
      <c r="F123" s="1186">
        <v>2</v>
      </c>
      <c r="G123" s="1186"/>
      <c r="H123" s="1186"/>
      <c r="I123" s="1186">
        <v>1</v>
      </c>
      <c r="J123" s="1186"/>
      <c r="K123" s="1186">
        <v>5</v>
      </c>
      <c r="L123" s="1186"/>
      <c r="M123" s="1186">
        <v>7</v>
      </c>
      <c r="N123" s="1186"/>
      <c r="O123" s="1186">
        <v>21530</v>
      </c>
    </row>
    <row r="124" spans="1:15" x14ac:dyDescent="0.2">
      <c r="A124" s="1186" t="s">
        <v>15</v>
      </c>
      <c r="B124" s="1186" t="s">
        <v>496</v>
      </c>
      <c r="C124" s="1186" t="s">
        <v>44</v>
      </c>
      <c r="D124" s="1186">
        <v>79</v>
      </c>
      <c r="E124" s="1186">
        <v>4</v>
      </c>
      <c r="F124" s="1186">
        <v>7</v>
      </c>
      <c r="G124" s="1186">
        <v>3</v>
      </c>
      <c r="H124" s="1186"/>
      <c r="I124" s="1186">
        <v>1</v>
      </c>
      <c r="J124" s="1186"/>
      <c r="K124" s="1186">
        <v>28</v>
      </c>
      <c r="L124" s="1186">
        <v>1</v>
      </c>
      <c r="M124" s="1186">
        <v>33</v>
      </c>
      <c r="N124" s="1186">
        <v>2</v>
      </c>
      <c r="O124" s="1186">
        <v>147740</v>
      </c>
    </row>
    <row r="125" spans="1:15" x14ac:dyDescent="0.2">
      <c r="A125" s="1186" t="s">
        <v>15</v>
      </c>
      <c r="B125" s="1186" t="s">
        <v>496</v>
      </c>
      <c r="C125" s="1186" t="s">
        <v>45</v>
      </c>
      <c r="D125" s="1186">
        <v>86</v>
      </c>
      <c r="E125" s="1186">
        <v>17</v>
      </c>
      <c r="F125" s="1186">
        <v>4</v>
      </c>
      <c r="G125" s="1186">
        <v>1</v>
      </c>
      <c r="H125" s="1186">
        <v>2</v>
      </c>
      <c r="I125" s="1186"/>
      <c r="J125" s="1186"/>
      <c r="K125" s="1186">
        <v>39</v>
      </c>
      <c r="L125" s="1186">
        <v>6</v>
      </c>
      <c r="M125" s="1186">
        <v>15</v>
      </c>
      <c r="N125" s="1186">
        <v>2</v>
      </c>
      <c r="O125" s="1186">
        <v>174300</v>
      </c>
    </row>
    <row r="126" spans="1:15" x14ac:dyDescent="0.2">
      <c r="A126" s="1186" t="s">
        <v>15</v>
      </c>
      <c r="B126" s="1186" t="s">
        <v>496</v>
      </c>
      <c r="C126" s="1186" t="s">
        <v>46</v>
      </c>
      <c r="D126" s="1186">
        <v>61</v>
      </c>
      <c r="E126" s="1186">
        <v>12</v>
      </c>
      <c r="F126" s="1186">
        <v>2</v>
      </c>
      <c r="G126" s="1186">
        <v>3</v>
      </c>
      <c r="H126" s="1186">
        <v>2</v>
      </c>
      <c r="I126" s="1186">
        <v>1</v>
      </c>
      <c r="J126" s="1186"/>
      <c r="K126" s="1186">
        <v>20</v>
      </c>
      <c r="L126" s="1186">
        <v>3</v>
      </c>
      <c r="M126" s="1186">
        <v>18</v>
      </c>
      <c r="N126" s="1186"/>
      <c r="O126" s="1186">
        <v>113720</v>
      </c>
    </row>
    <row r="127" spans="1:15" x14ac:dyDescent="0.2">
      <c r="A127" s="1186" t="s">
        <v>15</v>
      </c>
      <c r="B127" s="1186" t="s">
        <v>496</v>
      </c>
      <c r="C127" s="1186" t="s">
        <v>47</v>
      </c>
      <c r="D127" s="1186">
        <v>6</v>
      </c>
      <c r="E127" s="1186">
        <v>2</v>
      </c>
      <c r="F127" s="1186">
        <v>3</v>
      </c>
      <c r="G127" s="1186"/>
      <c r="H127" s="1186"/>
      <c r="I127" s="1186"/>
      <c r="J127" s="1186"/>
      <c r="K127" s="1186"/>
      <c r="L127" s="1186"/>
      <c r="M127" s="1186">
        <v>1</v>
      </c>
      <c r="N127" s="1186"/>
      <c r="O127" s="1186">
        <v>23210</v>
      </c>
    </row>
    <row r="128" spans="1:15" x14ac:dyDescent="0.2">
      <c r="A128" s="1186" t="s">
        <v>15</v>
      </c>
      <c r="B128" s="1186" t="s">
        <v>496</v>
      </c>
      <c r="C128" s="1186" t="s">
        <v>48</v>
      </c>
      <c r="D128" s="1186">
        <v>50</v>
      </c>
      <c r="E128" s="1186">
        <v>4</v>
      </c>
      <c r="F128" s="1186">
        <v>8</v>
      </c>
      <c r="G128" s="1186">
        <v>1</v>
      </c>
      <c r="H128" s="1186">
        <v>1</v>
      </c>
      <c r="I128" s="1186"/>
      <c r="J128" s="1186">
        <v>1</v>
      </c>
      <c r="K128" s="1186">
        <v>24</v>
      </c>
      <c r="L128" s="1186"/>
      <c r="M128" s="1186">
        <v>9</v>
      </c>
      <c r="N128" s="1186">
        <v>2</v>
      </c>
      <c r="O128" s="1186">
        <v>112920</v>
      </c>
    </row>
    <row r="129" spans="1:15" x14ac:dyDescent="0.2">
      <c r="A129" s="1186" t="s">
        <v>15</v>
      </c>
      <c r="B129" s="1186" t="s">
        <v>496</v>
      </c>
      <c r="C129" s="1186" t="s">
        <v>49</v>
      </c>
      <c r="D129" s="1186">
        <v>179</v>
      </c>
      <c r="E129" s="1186">
        <v>23</v>
      </c>
      <c r="F129" s="1186">
        <v>4</v>
      </c>
      <c r="G129" s="1186"/>
      <c r="H129" s="1186">
        <v>5</v>
      </c>
      <c r="I129" s="1186"/>
      <c r="J129" s="1186"/>
      <c r="K129" s="1186">
        <v>93</v>
      </c>
      <c r="L129" s="1186">
        <v>14</v>
      </c>
      <c r="M129" s="1186">
        <v>38</v>
      </c>
      <c r="N129" s="1186">
        <v>2</v>
      </c>
      <c r="O129" s="1186">
        <v>314330</v>
      </c>
    </row>
    <row r="130" spans="1:15" x14ac:dyDescent="0.2">
      <c r="A130" s="1186" t="s">
        <v>15</v>
      </c>
      <c r="B130" s="1186" t="s">
        <v>496</v>
      </c>
      <c r="C130" s="1186" t="s">
        <v>50</v>
      </c>
      <c r="D130" s="1186">
        <v>38</v>
      </c>
      <c r="E130" s="1186">
        <v>4</v>
      </c>
      <c r="F130" s="1186">
        <v>3</v>
      </c>
      <c r="G130" s="1186">
        <v>3</v>
      </c>
      <c r="H130" s="1186">
        <v>1</v>
      </c>
      <c r="I130" s="1186"/>
      <c r="J130" s="1186"/>
      <c r="K130" s="1186">
        <v>16</v>
      </c>
      <c r="L130" s="1186">
        <v>3</v>
      </c>
      <c r="M130" s="1186">
        <v>7</v>
      </c>
      <c r="N130" s="1186">
        <v>1</v>
      </c>
      <c r="O130" s="1186">
        <v>91010</v>
      </c>
    </row>
    <row r="131" spans="1:15" x14ac:dyDescent="0.2">
      <c r="A131" s="1186" t="s">
        <v>15</v>
      </c>
      <c r="B131" s="1186" t="s">
        <v>496</v>
      </c>
      <c r="C131" s="1186" t="s">
        <v>51</v>
      </c>
      <c r="D131" s="1186">
        <v>83</v>
      </c>
      <c r="E131" s="1186">
        <v>13</v>
      </c>
      <c r="F131" s="1186">
        <v>2</v>
      </c>
      <c r="G131" s="1186"/>
      <c r="H131" s="1186"/>
      <c r="I131" s="1186">
        <v>2</v>
      </c>
      <c r="J131" s="1186">
        <v>1</v>
      </c>
      <c r="K131" s="1186">
        <v>36</v>
      </c>
      <c r="L131" s="1186">
        <v>6</v>
      </c>
      <c r="M131" s="1186">
        <v>21</v>
      </c>
      <c r="N131" s="1186">
        <v>2</v>
      </c>
      <c r="O131" s="1186">
        <v>90340</v>
      </c>
    </row>
    <row r="132" spans="1:15" x14ac:dyDescent="0.2">
      <c r="A132" s="1186" t="s">
        <v>15</v>
      </c>
      <c r="B132" s="1186" t="s">
        <v>496</v>
      </c>
      <c r="C132" s="1186" t="s">
        <v>52</v>
      </c>
      <c r="D132" s="1186">
        <v>97</v>
      </c>
      <c r="E132" s="1186">
        <v>18</v>
      </c>
      <c r="F132" s="1186">
        <v>6</v>
      </c>
      <c r="G132" s="1186">
        <v>5</v>
      </c>
      <c r="H132" s="1186">
        <v>9</v>
      </c>
      <c r="I132" s="1186"/>
      <c r="J132" s="1186">
        <v>1</v>
      </c>
      <c r="K132" s="1186">
        <v>32</v>
      </c>
      <c r="L132" s="1186">
        <v>7</v>
      </c>
      <c r="M132" s="1186">
        <v>16</v>
      </c>
      <c r="N132" s="1186">
        <v>3</v>
      </c>
      <c r="O132" s="1186">
        <v>176010</v>
      </c>
    </row>
    <row r="133" spans="1:15" x14ac:dyDescent="0.2">
      <c r="A133" s="1186" t="s">
        <v>17</v>
      </c>
      <c r="B133" s="1186" t="s">
        <v>496</v>
      </c>
      <c r="C133" s="1186" t="s">
        <v>23</v>
      </c>
      <c r="D133" s="1186">
        <v>121</v>
      </c>
      <c r="E133" s="1186">
        <v>16</v>
      </c>
      <c r="F133" s="1186">
        <v>4</v>
      </c>
      <c r="G133" s="1186">
        <v>1</v>
      </c>
      <c r="H133" s="1186">
        <v>3</v>
      </c>
      <c r="I133" s="1186"/>
      <c r="J133" s="1186"/>
      <c r="K133" s="1186">
        <v>49</v>
      </c>
      <c r="L133" s="1186">
        <v>10</v>
      </c>
      <c r="M133" s="1186">
        <v>25</v>
      </c>
      <c r="N133" s="1186">
        <v>13</v>
      </c>
      <c r="O133" s="1186">
        <v>227070</v>
      </c>
    </row>
    <row r="134" spans="1:15" x14ac:dyDescent="0.2">
      <c r="A134" s="1186" t="s">
        <v>17</v>
      </c>
      <c r="B134" s="1186" t="s">
        <v>496</v>
      </c>
      <c r="C134" s="1186" t="s">
        <v>24</v>
      </c>
      <c r="D134" s="1186">
        <v>142</v>
      </c>
      <c r="E134" s="1186">
        <v>15</v>
      </c>
      <c r="F134" s="1186">
        <v>21</v>
      </c>
      <c r="G134" s="1186">
        <v>5</v>
      </c>
      <c r="H134" s="1186">
        <v>3</v>
      </c>
      <c r="I134" s="1186">
        <v>1</v>
      </c>
      <c r="J134" s="1186"/>
      <c r="K134" s="1186">
        <v>39</v>
      </c>
      <c r="L134" s="1186">
        <v>7</v>
      </c>
      <c r="M134" s="1186">
        <v>49</v>
      </c>
      <c r="N134" s="1186">
        <v>2</v>
      </c>
      <c r="O134" s="1186">
        <v>257770</v>
      </c>
    </row>
    <row r="135" spans="1:15" x14ac:dyDescent="0.2">
      <c r="A135" s="1186" t="s">
        <v>17</v>
      </c>
      <c r="B135" s="1186" t="s">
        <v>496</v>
      </c>
      <c r="C135" s="1186" t="s">
        <v>25</v>
      </c>
      <c r="D135" s="1186">
        <v>48</v>
      </c>
      <c r="E135" s="1186">
        <v>7</v>
      </c>
      <c r="F135" s="1186">
        <v>7</v>
      </c>
      <c r="G135" s="1186">
        <v>1</v>
      </c>
      <c r="H135" s="1186"/>
      <c r="I135" s="1186"/>
      <c r="J135" s="1186"/>
      <c r="K135" s="1186">
        <v>19</v>
      </c>
      <c r="L135" s="1186">
        <v>3</v>
      </c>
      <c r="M135" s="1186">
        <v>10</v>
      </c>
      <c r="N135" s="1186">
        <v>1</v>
      </c>
      <c r="O135" s="1186">
        <v>116290</v>
      </c>
    </row>
    <row r="136" spans="1:15" x14ac:dyDescent="0.2">
      <c r="A136" s="1186" t="s">
        <v>17</v>
      </c>
      <c r="B136" s="1186" t="s">
        <v>496</v>
      </c>
      <c r="C136" s="1186" t="s">
        <v>26</v>
      </c>
      <c r="D136" s="1186">
        <v>40</v>
      </c>
      <c r="E136" s="1186">
        <v>2</v>
      </c>
      <c r="F136" s="1186">
        <v>4</v>
      </c>
      <c r="G136" s="1186"/>
      <c r="H136" s="1186">
        <v>1</v>
      </c>
      <c r="I136" s="1186">
        <v>5</v>
      </c>
      <c r="J136" s="1186"/>
      <c r="K136" s="1186">
        <v>15</v>
      </c>
      <c r="L136" s="1186">
        <v>1</v>
      </c>
      <c r="M136" s="1186">
        <v>12</v>
      </c>
      <c r="N136" s="1186"/>
      <c r="O136" s="1186">
        <v>88050</v>
      </c>
    </row>
    <row r="137" spans="1:15" x14ac:dyDescent="0.2">
      <c r="A137" s="1186" t="s">
        <v>17</v>
      </c>
      <c r="B137" s="1186" t="s">
        <v>496</v>
      </c>
      <c r="C137" s="1186" t="s">
        <v>619</v>
      </c>
      <c r="D137" s="1186">
        <v>297</v>
      </c>
      <c r="E137" s="1186">
        <v>60</v>
      </c>
      <c r="F137" s="1186">
        <v>8</v>
      </c>
      <c r="G137" s="1186">
        <v>2</v>
      </c>
      <c r="H137" s="1186">
        <v>23</v>
      </c>
      <c r="I137" s="1186"/>
      <c r="J137" s="1186">
        <v>2</v>
      </c>
      <c r="K137" s="1186">
        <v>74</v>
      </c>
      <c r="L137" s="1186">
        <v>17</v>
      </c>
      <c r="M137" s="1186">
        <v>47</v>
      </c>
      <c r="N137" s="1186">
        <v>64</v>
      </c>
      <c r="O137" s="1186">
        <v>487460</v>
      </c>
    </row>
    <row r="138" spans="1:15" x14ac:dyDescent="0.2">
      <c r="A138" s="1186" t="s">
        <v>17</v>
      </c>
      <c r="B138" s="1186" t="s">
        <v>496</v>
      </c>
      <c r="C138" s="1186" t="s">
        <v>27</v>
      </c>
      <c r="D138" s="1186">
        <v>31</v>
      </c>
      <c r="E138" s="1186">
        <v>7</v>
      </c>
      <c r="F138" s="1186">
        <v>2</v>
      </c>
      <c r="G138" s="1186">
        <v>5</v>
      </c>
      <c r="H138" s="1186">
        <v>7</v>
      </c>
      <c r="I138" s="1186"/>
      <c r="J138" s="1186"/>
      <c r="K138" s="1186">
        <v>6</v>
      </c>
      <c r="L138" s="1186">
        <v>1</v>
      </c>
      <c r="M138" s="1186">
        <v>3</v>
      </c>
      <c r="N138" s="1186"/>
      <c r="O138" s="1186">
        <v>51280</v>
      </c>
    </row>
    <row r="139" spans="1:15" x14ac:dyDescent="0.2">
      <c r="A139" s="1186" t="s">
        <v>17</v>
      </c>
      <c r="B139" s="1186" t="s">
        <v>496</v>
      </c>
      <c r="C139" s="1186" t="s">
        <v>28</v>
      </c>
      <c r="D139" s="1186">
        <v>76</v>
      </c>
      <c r="E139" s="1186">
        <v>5</v>
      </c>
      <c r="F139" s="1186">
        <v>7</v>
      </c>
      <c r="G139" s="1186">
        <v>3</v>
      </c>
      <c r="H139" s="1186"/>
      <c r="I139" s="1186"/>
      <c r="J139" s="1186"/>
      <c r="K139" s="1186">
        <v>26</v>
      </c>
      <c r="L139" s="1186">
        <v>3</v>
      </c>
      <c r="M139" s="1186">
        <v>31</v>
      </c>
      <c r="N139" s="1186">
        <v>1</v>
      </c>
      <c r="O139" s="1186">
        <v>150280</v>
      </c>
    </row>
    <row r="140" spans="1:15" x14ac:dyDescent="0.2">
      <c r="A140" s="1186" t="s">
        <v>17</v>
      </c>
      <c r="B140" s="1186" t="s">
        <v>496</v>
      </c>
      <c r="C140" s="1186" t="s">
        <v>29</v>
      </c>
      <c r="D140" s="1186">
        <v>51</v>
      </c>
      <c r="E140" s="1186">
        <v>9</v>
      </c>
      <c r="F140" s="1186">
        <v>1</v>
      </c>
      <c r="G140" s="1186"/>
      <c r="H140" s="1186"/>
      <c r="I140" s="1186">
        <v>1</v>
      </c>
      <c r="J140" s="1186"/>
      <c r="K140" s="1186">
        <v>24</v>
      </c>
      <c r="L140" s="1186">
        <v>4</v>
      </c>
      <c r="M140" s="1186">
        <v>9</v>
      </c>
      <c r="N140" s="1186">
        <v>3</v>
      </c>
      <c r="O140" s="1186">
        <v>148100</v>
      </c>
    </row>
    <row r="141" spans="1:15" x14ac:dyDescent="0.2">
      <c r="A141" s="1186" t="s">
        <v>17</v>
      </c>
      <c r="B141" s="1186" t="s">
        <v>496</v>
      </c>
      <c r="C141" s="1186" t="s">
        <v>30</v>
      </c>
      <c r="D141" s="1186">
        <v>66</v>
      </c>
      <c r="E141" s="1186">
        <v>13</v>
      </c>
      <c r="F141" s="1186">
        <v>3</v>
      </c>
      <c r="G141" s="1186">
        <v>2</v>
      </c>
      <c r="H141" s="1186">
        <v>5</v>
      </c>
      <c r="I141" s="1186"/>
      <c r="J141" s="1186"/>
      <c r="K141" s="1186">
        <v>21</v>
      </c>
      <c r="L141" s="1186">
        <v>8</v>
      </c>
      <c r="M141" s="1186">
        <v>12</v>
      </c>
      <c r="N141" s="1186">
        <v>2</v>
      </c>
      <c r="O141" s="1186">
        <v>122430</v>
      </c>
    </row>
    <row r="142" spans="1:15" x14ac:dyDescent="0.2">
      <c r="A142" s="1186" t="s">
        <v>17</v>
      </c>
      <c r="B142" s="1186" t="s">
        <v>496</v>
      </c>
      <c r="C142" s="1186" t="s">
        <v>31</v>
      </c>
      <c r="D142" s="1186">
        <v>40</v>
      </c>
      <c r="E142" s="1186">
        <v>3</v>
      </c>
      <c r="F142" s="1186">
        <v>2</v>
      </c>
      <c r="G142" s="1186">
        <v>1</v>
      </c>
      <c r="H142" s="1186">
        <v>1</v>
      </c>
      <c r="I142" s="1186"/>
      <c r="J142" s="1186"/>
      <c r="K142" s="1186">
        <v>19</v>
      </c>
      <c r="L142" s="1186">
        <v>3</v>
      </c>
      <c r="M142" s="1186">
        <v>10</v>
      </c>
      <c r="N142" s="1186">
        <v>1</v>
      </c>
      <c r="O142" s="1186">
        <v>105840</v>
      </c>
    </row>
    <row r="143" spans="1:15" x14ac:dyDescent="0.2">
      <c r="A143" s="1186" t="s">
        <v>17</v>
      </c>
      <c r="B143" s="1186" t="s">
        <v>496</v>
      </c>
      <c r="C143" s="1186" t="s">
        <v>32</v>
      </c>
      <c r="D143" s="1186">
        <v>52</v>
      </c>
      <c r="E143" s="1186">
        <v>5</v>
      </c>
      <c r="F143" s="1186">
        <v>2</v>
      </c>
      <c r="G143" s="1186">
        <v>6</v>
      </c>
      <c r="H143" s="1186">
        <v>5</v>
      </c>
      <c r="I143" s="1186">
        <v>1</v>
      </c>
      <c r="J143" s="1186"/>
      <c r="K143" s="1186">
        <v>18</v>
      </c>
      <c r="L143" s="1186">
        <v>3</v>
      </c>
      <c r="M143" s="1186">
        <v>9</v>
      </c>
      <c r="N143" s="1186">
        <v>3</v>
      </c>
      <c r="O143" s="1186">
        <v>101390</v>
      </c>
    </row>
    <row r="144" spans="1:15" x14ac:dyDescent="0.2">
      <c r="A144" s="1186" t="s">
        <v>17</v>
      </c>
      <c r="B144" s="1186" t="s">
        <v>496</v>
      </c>
      <c r="C144" s="1186" t="s">
        <v>33</v>
      </c>
      <c r="D144" s="1186">
        <v>33</v>
      </c>
      <c r="E144" s="1186">
        <v>3</v>
      </c>
      <c r="F144" s="1186">
        <v>3</v>
      </c>
      <c r="G144" s="1186">
        <v>1</v>
      </c>
      <c r="H144" s="1186">
        <v>1</v>
      </c>
      <c r="I144" s="1186"/>
      <c r="J144" s="1186"/>
      <c r="K144" s="1186">
        <v>16</v>
      </c>
      <c r="L144" s="1186"/>
      <c r="M144" s="1186">
        <v>8</v>
      </c>
      <c r="N144" s="1186">
        <v>1</v>
      </c>
      <c r="O144" s="1186">
        <v>91530</v>
      </c>
    </row>
    <row r="145" spans="1:15" x14ac:dyDescent="0.2">
      <c r="A145" s="1186" t="s">
        <v>17</v>
      </c>
      <c r="B145" s="1186" t="s">
        <v>496</v>
      </c>
      <c r="C145" s="1186" t="s">
        <v>34</v>
      </c>
      <c r="D145" s="1186">
        <v>93</v>
      </c>
      <c r="E145" s="1186">
        <v>17</v>
      </c>
      <c r="F145" s="1186">
        <v>2</v>
      </c>
      <c r="G145" s="1186">
        <v>6</v>
      </c>
      <c r="H145" s="1186">
        <v>19</v>
      </c>
      <c r="I145" s="1186">
        <v>1</v>
      </c>
      <c r="J145" s="1186">
        <v>1</v>
      </c>
      <c r="K145" s="1186">
        <v>25</v>
      </c>
      <c r="L145" s="1186">
        <v>3</v>
      </c>
      <c r="M145" s="1186">
        <v>17</v>
      </c>
      <c r="N145" s="1186">
        <v>2</v>
      </c>
      <c r="O145" s="1186">
        <v>157160</v>
      </c>
    </row>
    <row r="146" spans="1:15" x14ac:dyDescent="0.2">
      <c r="A146" s="1186" t="s">
        <v>17</v>
      </c>
      <c r="B146" s="1186" t="s">
        <v>496</v>
      </c>
      <c r="C146" s="1186" t="s">
        <v>35</v>
      </c>
      <c r="D146" s="1186">
        <v>154</v>
      </c>
      <c r="E146" s="1186">
        <v>24</v>
      </c>
      <c r="F146" s="1186">
        <v>9</v>
      </c>
      <c r="G146" s="1186">
        <v>8</v>
      </c>
      <c r="H146" s="1186">
        <v>5</v>
      </c>
      <c r="I146" s="1186">
        <v>11</v>
      </c>
      <c r="J146" s="1186">
        <v>1</v>
      </c>
      <c r="K146" s="1186">
        <v>45</v>
      </c>
      <c r="L146" s="1186">
        <v>10</v>
      </c>
      <c r="M146" s="1186">
        <v>38</v>
      </c>
      <c r="N146" s="1186">
        <v>3</v>
      </c>
      <c r="O146" s="1186">
        <v>366900</v>
      </c>
    </row>
    <row r="147" spans="1:15" x14ac:dyDescent="0.2">
      <c r="A147" s="1186" t="s">
        <v>17</v>
      </c>
      <c r="B147" s="1186" t="s">
        <v>496</v>
      </c>
      <c r="C147" s="1186" t="s">
        <v>36</v>
      </c>
      <c r="D147" s="1186">
        <v>343</v>
      </c>
      <c r="E147" s="1186">
        <v>49</v>
      </c>
      <c r="F147" s="1186">
        <v>10</v>
      </c>
      <c r="G147" s="1186">
        <v>2</v>
      </c>
      <c r="H147" s="1186">
        <v>10</v>
      </c>
      <c r="I147" s="1186">
        <v>2</v>
      </c>
      <c r="J147" s="1186">
        <v>2</v>
      </c>
      <c r="K147" s="1186">
        <v>155</v>
      </c>
      <c r="L147" s="1186">
        <v>28</v>
      </c>
      <c r="M147" s="1186">
        <v>76</v>
      </c>
      <c r="N147" s="1186">
        <v>9</v>
      </c>
      <c r="O147" s="1186">
        <v>596520</v>
      </c>
    </row>
    <row r="148" spans="1:15" x14ac:dyDescent="0.2">
      <c r="A148" s="1186" t="s">
        <v>17</v>
      </c>
      <c r="B148" s="1186" t="s">
        <v>496</v>
      </c>
      <c r="C148" s="1186" t="s">
        <v>37</v>
      </c>
      <c r="D148" s="1186">
        <v>138</v>
      </c>
      <c r="E148" s="1186">
        <v>10</v>
      </c>
      <c r="F148" s="1186">
        <v>17</v>
      </c>
      <c r="G148" s="1186">
        <v>17</v>
      </c>
      <c r="H148" s="1186">
        <v>13</v>
      </c>
      <c r="I148" s="1186">
        <v>4</v>
      </c>
      <c r="J148" s="1186"/>
      <c r="K148" s="1186">
        <v>39</v>
      </c>
      <c r="L148" s="1186">
        <v>1</v>
      </c>
      <c r="M148" s="1186">
        <v>35</v>
      </c>
      <c r="N148" s="1186">
        <v>2</v>
      </c>
      <c r="O148" s="1186">
        <v>232930</v>
      </c>
    </row>
    <row r="149" spans="1:15" x14ac:dyDescent="0.2">
      <c r="A149" s="1186" t="s">
        <v>17</v>
      </c>
      <c r="B149" s="1186" t="s">
        <v>496</v>
      </c>
      <c r="C149" s="1186" t="s">
        <v>38</v>
      </c>
      <c r="D149" s="1186">
        <v>53</v>
      </c>
      <c r="E149" s="1186">
        <v>7</v>
      </c>
      <c r="F149" s="1186">
        <v>1</v>
      </c>
      <c r="G149" s="1186"/>
      <c r="H149" s="1186">
        <v>5</v>
      </c>
      <c r="I149" s="1186"/>
      <c r="J149" s="1186">
        <v>1</v>
      </c>
      <c r="K149" s="1186">
        <v>24</v>
      </c>
      <c r="L149" s="1186">
        <v>2</v>
      </c>
      <c r="M149" s="1186">
        <v>13</v>
      </c>
      <c r="N149" s="1186"/>
      <c r="O149" s="1186">
        <v>80340</v>
      </c>
    </row>
    <row r="150" spans="1:15" x14ac:dyDescent="0.2">
      <c r="A150" s="1186" t="s">
        <v>17</v>
      </c>
      <c r="B150" s="1186" t="s">
        <v>496</v>
      </c>
      <c r="C150" s="1186" t="s">
        <v>39</v>
      </c>
      <c r="D150" s="1186">
        <v>56</v>
      </c>
      <c r="E150" s="1186">
        <v>7</v>
      </c>
      <c r="F150" s="1186">
        <v>1</v>
      </c>
      <c r="G150" s="1186">
        <v>10</v>
      </c>
      <c r="H150" s="1186">
        <v>13</v>
      </c>
      <c r="I150" s="1186"/>
      <c r="J150" s="1186"/>
      <c r="K150" s="1186">
        <v>7</v>
      </c>
      <c r="L150" s="1186">
        <v>2</v>
      </c>
      <c r="M150" s="1186">
        <v>13</v>
      </c>
      <c r="N150" s="1186">
        <v>3</v>
      </c>
      <c r="O150" s="1186">
        <v>84710</v>
      </c>
    </row>
    <row r="151" spans="1:15" x14ac:dyDescent="0.2">
      <c r="A151" s="1186" t="s">
        <v>17</v>
      </c>
      <c r="B151" s="1186" t="s">
        <v>496</v>
      </c>
      <c r="C151" s="1186" t="s">
        <v>40</v>
      </c>
      <c r="D151" s="1186">
        <v>45</v>
      </c>
      <c r="E151" s="1186">
        <v>2</v>
      </c>
      <c r="F151" s="1186">
        <v>2</v>
      </c>
      <c r="G151" s="1186">
        <v>6</v>
      </c>
      <c r="H151" s="1186">
        <v>3</v>
      </c>
      <c r="I151" s="1186"/>
      <c r="J151" s="1186"/>
      <c r="K151" s="1186">
        <v>14</v>
      </c>
      <c r="L151" s="1186"/>
      <c r="M151" s="1186">
        <v>14</v>
      </c>
      <c r="N151" s="1186">
        <v>4</v>
      </c>
      <c r="O151" s="1186">
        <v>94360</v>
      </c>
    </row>
    <row r="152" spans="1:15" x14ac:dyDescent="0.2">
      <c r="A152" s="1186" t="s">
        <v>17</v>
      </c>
      <c r="B152" s="1186" t="s">
        <v>496</v>
      </c>
      <c r="C152" s="1186" t="s">
        <v>295</v>
      </c>
      <c r="D152" s="1186">
        <v>13</v>
      </c>
      <c r="E152" s="1186">
        <v>1</v>
      </c>
      <c r="F152" s="1186">
        <v>3</v>
      </c>
      <c r="G152" s="1186">
        <v>3</v>
      </c>
      <c r="H152" s="1186">
        <v>2</v>
      </c>
      <c r="I152" s="1186"/>
      <c r="J152" s="1186"/>
      <c r="K152" s="1186">
        <v>3</v>
      </c>
      <c r="L152" s="1186"/>
      <c r="M152" s="1186">
        <v>1</v>
      </c>
      <c r="N152" s="1186"/>
      <c r="O152" s="1186">
        <v>27400</v>
      </c>
    </row>
    <row r="153" spans="1:15" x14ac:dyDescent="0.2">
      <c r="A153" s="1186" t="s">
        <v>17</v>
      </c>
      <c r="B153" s="1186" t="s">
        <v>496</v>
      </c>
      <c r="C153" s="1186" t="s">
        <v>41</v>
      </c>
      <c r="D153" s="1186">
        <v>46</v>
      </c>
      <c r="E153" s="1186">
        <v>6</v>
      </c>
      <c r="F153" s="1186">
        <v>4</v>
      </c>
      <c r="G153" s="1186">
        <v>1</v>
      </c>
      <c r="H153" s="1186">
        <v>5</v>
      </c>
      <c r="I153" s="1186"/>
      <c r="J153" s="1186"/>
      <c r="K153" s="1186">
        <v>12</v>
      </c>
      <c r="L153" s="1186">
        <v>3</v>
      </c>
      <c r="M153" s="1186">
        <v>12</v>
      </c>
      <c r="N153" s="1186">
        <v>3</v>
      </c>
      <c r="O153" s="1186">
        <v>136940</v>
      </c>
    </row>
    <row r="154" spans="1:15" x14ac:dyDescent="0.2">
      <c r="A154" s="1186" t="s">
        <v>17</v>
      </c>
      <c r="B154" s="1186" t="s">
        <v>496</v>
      </c>
      <c r="C154" s="1186" t="s">
        <v>42</v>
      </c>
      <c r="D154" s="1186">
        <v>225</v>
      </c>
      <c r="E154" s="1186">
        <v>29</v>
      </c>
      <c r="F154" s="1186">
        <v>10</v>
      </c>
      <c r="G154" s="1186">
        <v>3</v>
      </c>
      <c r="H154" s="1186">
        <v>15</v>
      </c>
      <c r="I154" s="1186">
        <v>1</v>
      </c>
      <c r="J154" s="1186"/>
      <c r="K154" s="1186">
        <v>86</v>
      </c>
      <c r="L154" s="1186">
        <v>23</v>
      </c>
      <c r="M154" s="1186">
        <v>52</v>
      </c>
      <c r="N154" s="1186">
        <v>6</v>
      </c>
      <c r="O154" s="1186">
        <v>337780</v>
      </c>
    </row>
    <row r="155" spans="1:15" x14ac:dyDescent="0.2">
      <c r="A155" s="1186" t="s">
        <v>17</v>
      </c>
      <c r="B155" s="1186" t="s">
        <v>496</v>
      </c>
      <c r="C155" s="1186" t="s">
        <v>43</v>
      </c>
      <c r="D155" s="1186">
        <v>9</v>
      </c>
      <c r="E155" s="1186"/>
      <c r="F155" s="1186">
        <v>5</v>
      </c>
      <c r="G155" s="1186"/>
      <c r="H155" s="1186"/>
      <c r="I155" s="1186">
        <v>1</v>
      </c>
      <c r="J155" s="1186"/>
      <c r="K155" s="1186">
        <v>3</v>
      </c>
      <c r="L155" s="1186"/>
      <c r="M155" s="1186"/>
      <c r="N155" s="1186"/>
      <c r="O155" s="1186">
        <v>21560</v>
      </c>
    </row>
    <row r="156" spans="1:15" x14ac:dyDescent="0.2">
      <c r="A156" s="1186" t="s">
        <v>17</v>
      </c>
      <c r="B156" s="1186" t="s">
        <v>496</v>
      </c>
      <c r="C156" s="1186" t="s">
        <v>44</v>
      </c>
      <c r="D156" s="1186">
        <v>63</v>
      </c>
      <c r="E156" s="1186">
        <v>3</v>
      </c>
      <c r="F156" s="1186">
        <v>7</v>
      </c>
      <c r="G156" s="1186">
        <v>4</v>
      </c>
      <c r="H156" s="1186">
        <v>1</v>
      </c>
      <c r="I156" s="1186">
        <v>1</v>
      </c>
      <c r="J156" s="1186">
        <v>1</v>
      </c>
      <c r="K156" s="1186">
        <v>19</v>
      </c>
      <c r="L156" s="1186">
        <v>2</v>
      </c>
      <c r="M156" s="1186">
        <v>24</v>
      </c>
      <c r="N156" s="1186">
        <v>1</v>
      </c>
      <c r="O156" s="1186">
        <v>147770</v>
      </c>
    </row>
    <row r="157" spans="1:15" x14ac:dyDescent="0.2">
      <c r="A157" s="1186" t="s">
        <v>17</v>
      </c>
      <c r="B157" s="1186" t="s">
        <v>496</v>
      </c>
      <c r="C157" s="1186" t="s">
        <v>45</v>
      </c>
      <c r="D157" s="1186">
        <v>108</v>
      </c>
      <c r="E157" s="1186">
        <v>7</v>
      </c>
      <c r="F157" s="1186">
        <v>5</v>
      </c>
      <c r="G157" s="1186"/>
      <c r="H157" s="1186">
        <v>11</v>
      </c>
      <c r="I157" s="1186"/>
      <c r="J157" s="1186"/>
      <c r="K157" s="1186">
        <v>53</v>
      </c>
      <c r="L157" s="1186">
        <v>10</v>
      </c>
      <c r="M157" s="1186">
        <v>19</v>
      </c>
      <c r="N157" s="1186">
        <v>3</v>
      </c>
      <c r="O157" s="1186">
        <v>173890</v>
      </c>
    </row>
    <row r="158" spans="1:15" x14ac:dyDescent="0.2">
      <c r="A158" s="1186" t="s">
        <v>17</v>
      </c>
      <c r="B158" s="1186" t="s">
        <v>496</v>
      </c>
      <c r="C158" s="1186" t="s">
        <v>46</v>
      </c>
      <c r="D158" s="1186">
        <v>65</v>
      </c>
      <c r="E158" s="1186">
        <v>6</v>
      </c>
      <c r="F158" s="1186">
        <v>4</v>
      </c>
      <c r="G158" s="1186">
        <v>4</v>
      </c>
      <c r="H158" s="1186">
        <v>16</v>
      </c>
      <c r="I158" s="1186"/>
      <c r="J158" s="1186">
        <v>1</v>
      </c>
      <c r="K158" s="1186">
        <v>17</v>
      </c>
      <c r="L158" s="1186">
        <v>1</v>
      </c>
      <c r="M158" s="1186">
        <v>16</v>
      </c>
      <c r="N158" s="1186"/>
      <c r="O158" s="1186">
        <v>113880</v>
      </c>
    </row>
    <row r="159" spans="1:15" x14ac:dyDescent="0.2">
      <c r="A159" s="1186" t="s">
        <v>17</v>
      </c>
      <c r="B159" s="1186" t="s">
        <v>496</v>
      </c>
      <c r="C159" s="1186" t="s">
        <v>47</v>
      </c>
      <c r="D159" s="1186">
        <v>11</v>
      </c>
      <c r="E159" s="1186">
        <v>1</v>
      </c>
      <c r="F159" s="1186">
        <v>3</v>
      </c>
      <c r="G159" s="1186"/>
      <c r="H159" s="1186"/>
      <c r="I159" s="1186"/>
      <c r="J159" s="1186"/>
      <c r="K159" s="1186">
        <v>2</v>
      </c>
      <c r="L159" s="1186"/>
      <c r="M159" s="1186">
        <v>5</v>
      </c>
      <c r="N159" s="1186"/>
      <c r="O159" s="1186">
        <v>23200</v>
      </c>
    </row>
    <row r="160" spans="1:15" x14ac:dyDescent="0.2">
      <c r="A160" s="1186" t="s">
        <v>17</v>
      </c>
      <c r="B160" s="1186" t="s">
        <v>496</v>
      </c>
      <c r="C160" s="1186" t="s">
        <v>48</v>
      </c>
      <c r="D160" s="1186">
        <v>40</v>
      </c>
      <c r="E160" s="1186">
        <v>3</v>
      </c>
      <c r="F160" s="1186">
        <v>4</v>
      </c>
      <c r="G160" s="1186"/>
      <c r="H160" s="1186">
        <v>2</v>
      </c>
      <c r="I160" s="1186">
        <v>1</v>
      </c>
      <c r="J160" s="1186"/>
      <c r="K160" s="1186">
        <v>14</v>
      </c>
      <c r="L160" s="1186">
        <v>3</v>
      </c>
      <c r="M160" s="1186">
        <v>12</v>
      </c>
      <c r="N160" s="1186">
        <v>1</v>
      </c>
      <c r="O160" s="1186">
        <v>112870</v>
      </c>
    </row>
    <row r="161" spans="1:15" x14ac:dyDescent="0.2">
      <c r="A161" s="1186" t="s">
        <v>17</v>
      </c>
      <c r="B161" s="1186" t="s">
        <v>496</v>
      </c>
      <c r="C161" s="1186" t="s">
        <v>49</v>
      </c>
      <c r="D161" s="1186">
        <v>140</v>
      </c>
      <c r="E161" s="1186">
        <v>22</v>
      </c>
      <c r="F161" s="1186">
        <v>7</v>
      </c>
      <c r="G161" s="1186">
        <v>3</v>
      </c>
      <c r="H161" s="1186">
        <v>11</v>
      </c>
      <c r="I161" s="1186"/>
      <c r="J161" s="1186"/>
      <c r="K161" s="1186">
        <v>61</v>
      </c>
      <c r="L161" s="1186">
        <v>10</v>
      </c>
      <c r="M161" s="1186">
        <v>26</v>
      </c>
      <c r="N161" s="1186"/>
      <c r="O161" s="1186">
        <v>314810</v>
      </c>
    </row>
    <row r="162" spans="1:15" x14ac:dyDescent="0.2">
      <c r="A162" s="1186" t="s">
        <v>17</v>
      </c>
      <c r="B162" s="1186" t="s">
        <v>496</v>
      </c>
      <c r="C162" s="1186" t="s">
        <v>50</v>
      </c>
      <c r="D162" s="1186">
        <v>42</v>
      </c>
      <c r="E162" s="1186">
        <v>3</v>
      </c>
      <c r="F162" s="1186">
        <v>2</v>
      </c>
      <c r="G162" s="1186">
        <v>1</v>
      </c>
      <c r="H162" s="1186">
        <v>7</v>
      </c>
      <c r="I162" s="1186"/>
      <c r="J162" s="1186"/>
      <c r="K162" s="1186">
        <v>17</v>
      </c>
      <c r="L162" s="1186">
        <v>1</v>
      </c>
      <c r="M162" s="1186">
        <v>11</v>
      </c>
      <c r="N162" s="1186"/>
      <c r="O162" s="1186">
        <v>91230</v>
      </c>
    </row>
    <row r="163" spans="1:15" x14ac:dyDescent="0.2">
      <c r="A163" s="1186" t="s">
        <v>17</v>
      </c>
      <c r="B163" s="1186" t="s">
        <v>496</v>
      </c>
      <c r="C163" s="1186" t="s">
        <v>51</v>
      </c>
      <c r="D163" s="1186">
        <v>66</v>
      </c>
      <c r="E163" s="1186">
        <v>8</v>
      </c>
      <c r="F163" s="1186">
        <v>2</v>
      </c>
      <c r="G163" s="1186"/>
      <c r="H163" s="1186">
        <v>3</v>
      </c>
      <c r="I163" s="1186">
        <v>1</v>
      </c>
      <c r="J163" s="1186"/>
      <c r="K163" s="1186">
        <v>29</v>
      </c>
      <c r="L163" s="1186">
        <v>3</v>
      </c>
      <c r="M163" s="1186">
        <v>17</v>
      </c>
      <c r="N163" s="1186">
        <v>3</v>
      </c>
      <c r="O163" s="1186">
        <v>89800</v>
      </c>
    </row>
    <row r="164" spans="1:15" x14ac:dyDescent="0.2">
      <c r="A164" s="1186" t="s">
        <v>17</v>
      </c>
      <c r="B164" s="1186" t="s">
        <v>496</v>
      </c>
      <c r="C164" s="1186" t="s">
        <v>52</v>
      </c>
      <c r="D164" s="1186">
        <v>145</v>
      </c>
      <c r="E164" s="1186">
        <v>20</v>
      </c>
      <c r="F164" s="1186">
        <v>2</v>
      </c>
      <c r="G164" s="1186">
        <v>9</v>
      </c>
      <c r="H164" s="1186">
        <v>46</v>
      </c>
      <c r="I164" s="1186"/>
      <c r="J164" s="1186"/>
      <c r="K164" s="1186">
        <v>29</v>
      </c>
      <c r="L164" s="1186">
        <v>11</v>
      </c>
      <c r="M164" s="1186">
        <v>20</v>
      </c>
      <c r="N164" s="1186">
        <v>8</v>
      </c>
      <c r="O164" s="1186">
        <v>176160</v>
      </c>
    </row>
    <row r="165" spans="1:15" x14ac:dyDescent="0.2">
      <c r="A165" s="1186" t="s">
        <v>133</v>
      </c>
      <c r="B165" s="1186" t="s">
        <v>496</v>
      </c>
      <c r="C165" s="1186" t="s">
        <v>23</v>
      </c>
      <c r="D165" s="1186">
        <v>102</v>
      </c>
      <c r="E165" s="1186">
        <v>15</v>
      </c>
      <c r="F165" s="1186">
        <v>2</v>
      </c>
      <c r="G165" s="1186">
        <v>1</v>
      </c>
      <c r="H165" s="1186"/>
      <c r="I165" s="1186">
        <v>1</v>
      </c>
      <c r="J165" s="1186">
        <v>1</v>
      </c>
      <c r="K165" s="1186">
        <v>28</v>
      </c>
      <c r="L165" s="1186">
        <v>14</v>
      </c>
      <c r="M165" s="1186">
        <v>24</v>
      </c>
      <c r="N165" s="1186">
        <v>16</v>
      </c>
      <c r="O165" s="1186">
        <v>228920</v>
      </c>
    </row>
    <row r="166" spans="1:15" x14ac:dyDescent="0.2">
      <c r="A166" s="1186" t="s">
        <v>133</v>
      </c>
      <c r="B166" s="1186" t="s">
        <v>496</v>
      </c>
      <c r="C166" s="1186" t="s">
        <v>24</v>
      </c>
      <c r="D166" s="1186">
        <v>125</v>
      </c>
      <c r="E166" s="1186">
        <v>8</v>
      </c>
      <c r="F166" s="1186">
        <v>11</v>
      </c>
      <c r="G166" s="1186">
        <v>13</v>
      </c>
      <c r="H166" s="1186">
        <v>1</v>
      </c>
      <c r="I166" s="1186">
        <v>2</v>
      </c>
      <c r="J166" s="1186">
        <v>1</v>
      </c>
      <c r="K166" s="1186">
        <v>38</v>
      </c>
      <c r="L166" s="1186">
        <v>7</v>
      </c>
      <c r="M166" s="1186">
        <v>42</v>
      </c>
      <c r="N166" s="1186">
        <v>2</v>
      </c>
      <c r="O166" s="1186">
        <v>260530</v>
      </c>
    </row>
    <row r="167" spans="1:15" x14ac:dyDescent="0.2">
      <c r="A167" s="1186" t="s">
        <v>133</v>
      </c>
      <c r="B167" s="1186" t="s">
        <v>496</v>
      </c>
      <c r="C167" s="1186" t="s">
        <v>25</v>
      </c>
      <c r="D167" s="1186">
        <v>42</v>
      </c>
      <c r="E167" s="1186">
        <v>1</v>
      </c>
      <c r="F167" s="1186">
        <v>5</v>
      </c>
      <c r="G167" s="1186">
        <v>7</v>
      </c>
      <c r="H167" s="1186"/>
      <c r="I167" s="1186"/>
      <c r="J167" s="1186"/>
      <c r="K167" s="1186">
        <v>8</v>
      </c>
      <c r="L167" s="1186">
        <v>6</v>
      </c>
      <c r="M167" s="1186">
        <v>15</v>
      </c>
      <c r="N167" s="1186"/>
      <c r="O167" s="1186">
        <v>116740</v>
      </c>
    </row>
    <row r="168" spans="1:15" x14ac:dyDescent="0.2">
      <c r="A168" s="1186" t="s">
        <v>133</v>
      </c>
      <c r="B168" s="1186" t="s">
        <v>496</v>
      </c>
      <c r="C168" s="1186" t="s">
        <v>26</v>
      </c>
      <c r="D168" s="1186">
        <v>35</v>
      </c>
      <c r="E168" s="1186">
        <v>2</v>
      </c>
      <c r="F168" s="1186">
        <v>6</v>
      </c>
      <c r="G168" s="1186"/>
      <c r="H168" s="1186">
        <v>2</v>
      </c>
      <c r="I168" s="1186">
        <v>1</v>
      </c>
      <c r="J168" s="1186"/>
      <c r="K168" s="1186">
        <v>10</v>
      </c>
      <c r="L168" s="1186">
        <v>2</v>
      </c>
      <c r="M168" s="1186">
        <v>10</v>
      </c>
      <c r="N168" s="1186">
        <v>2</v>
      </c>
      <c r="O168" s="1186">
        <v>87650</v>
      </c>
    </row>
    <row r="169" spans="1:15" x14ac:dyDescent="0.2">
      <c r="A169" s="1186" t="s">
        <v>133</v>
      </c>
      <c r="B169" s="1186" t="s">
        <v>496</v>
      </c>
      <c r="C169" s="1186" t="s">
        <v>619</v>
      </c>
      <c r="D169" s="1186">
        <v>285</v>
      </c>
      <c r="E169" s="1186">
        <v>53</v>
      </c>
      <c r="F169" s="1186">
        <v>7</v>
      </c>
      <c r="G169" s="1186">
        <v>3</v>
      </c>
      <c r="H169" s="1186">
        <v>22</v>
      </c>
      <c r="I169" s="1186">
        <v>1</v>
      </c>
      <c r="J169" s="1186">
        <v>1</v>
      </c>
      <c r="K169" s="1186">
        <v>61</v>
      </c>
      <c r="L169" s="1186">
        <v>28</v>
      </c>
      <c r="M169" s="1186">
        <v>52</v>
      </c>
      <c r="N169" s="1186">
        <v>57</v>
      </c>
      <c r="O169" s="1186">
        <v>492610</v>
      </c>
    </row>
    <row r="170" spans="1:15" x14ac:dyDescent="0.2">
      <c r="A170" s="1186" t="s">
        <v>133</v>
      </c>
      <c r="B170" s="1186" t="s">
        <v>496</v>
      </c>
      <c r="C170" s="1186" t="s">
        <v>27</v>
      </c>
      <c r="D170" s="1186">
        <v>25</v>
      </c>
      <c r="E170" s="1186">
        <v>1</v>
      </c>
      <c r="F170" s="1186">
        <v>1</v>
      </c>
      <c r="G170" s="1186">
        <v>4</v>
      </c>
      <c r="H170" s="1186">
        <v>7</v>
      </c>
      <c r="I170" s="1186"/>
      <c r="J170" s="1186"/>
      <c r="K170" s="1186">
        <v>3</v>
      </c>
      <c r="L170" s="1186"/>
      <c r="M170" s="1186">
        <v>8</v>
      </c>
      <c r="N170" s="1186">
        <v>1</v>
      </c>
      <c r="O170" s="1186">
        <v>51190</v>
      </c>
    </row>
    <row r="171" spans="1:15" x14ac:dyDescent="0.2">
      <c r="A171" s="1186" t="s">
        <v>133</v>
      </c>
      <c r="B171" s="1186" t="s">
        <v>496</v>
      </c>
      <c r="C171" s="1186" t="s">
        <v>28</v>
      </c>
      <c r="D171" s="1186">
        <v>58</v>
      </c>
      <c r="E171" s="1186">
        <v>4</v>
      </c>
      <c r="F171" s="1186">
        <v>6</v>
      </c>
      <c r="G171" s="1186"/>
      <c r="H171" s="1186">
        <v>1</v>
      </c>
      <c r="I171" s="1186"/>
      <c r="J171" s="1186"/>
      <c r="K171" s="1186">
        <v>17</v>
      </c>
      <c r="L171" s="1186"/>
      <c r="M171" s="1186">
        <v>27</v>
      </c>
      <c r="N171" s="1186">
        <v>3</v>
      </c>
      <c r="O171" s="1186">
        <v>149960</v>
      </c>
    </row>
    <row r="172" spans="1:15" x14ac:dyDescent="0.2">
      <c r="A172" s="1186" t="s">
        <v>133</v>
      </c>
      <c r="B172" s="1186" t="s">
        <v>496</v>
      </c>
      <c r="C172" s="1186" t="s">
        <v>29</v>
      </c>
      <c r="D172" s="1186">
        <v>60</v>
      </c>
      <c r="E172" s="1186">
        <v>21</v>
      </c>
      <c r="F172" s="1186">
        <v>1</v>
      </c>
      <c r="G172" s="1186">
        <v>1</v>
      </c>
      <c r="H172" s="1186"/>
      <c r="I172" s="1186"/>
      <c r="J172" s="1186"/>
      <c r="K172" s="1186">
        <v>19</v>
      </c>
      <c r="L172" s="1186">
        <v>2</v>
      </c>
      <c r="M172" s="1186">
        <v>8</v>
      </c>
      <c r="N172" s="1186">
        <v>8</v>
      </c>
      <c r="O172" s="1186">
        <v>148130</v>
      </c>
    </row>
    <row r="173" spans="1:15" x14ac:dyDescent="0.2">
      <c r="A173" s="1186" t="s">
        <v>133</v>
      </c>
      <c r="B173" s="1186" t="s">
        <v>496</v>
      </c>
      <c r="C173" s="1186" t="s">
        <v>30</v>
      </c>
      <c r="D173" s="1186">
        <v>52</v>
      </c>
      <c r="E173" s="1186">
        <v>2</v>
      </c>
      <c r="F173" s="1186">
        <v>5</v>
      </c>
      <c r="G173" s="1186"/>
      <c r="H173" s="1186">
        <v>8</v>
      </c>
      <c r="I173" s="1186"/>
      <c r="J173" s="1186"/>
      <c r="K173" s="1186">
        <v>18</v>
      </c>
      <c r="L173" s="1186">
        <v>8</v>
      </c>
      <c r="M173" s="1186">
        <v>11</v>
      </c>
      <c r="N173" s="1186"/>
      <c r="O173" s="1186">
        <v>122130</v>
      </c>
    </row>
    <row r="174" spans="1:15" x14ac:dyDescent="0.2">
      <c r="A174" s="1186" t="s">
        <v>133</v>
      </c>
      <c r="B174" s="1186" t="s">
        <v>496</v>
      </c>
      <c r="C174" s="1186" t="s">
        <v>31</v>
      </c>
      <c r="D174" s="1186">
        <v>43</v>
      </c>
      <c r="E174" s="1186">
        <v>4</v>
      </c>
      <c r="F174" s="1186">
        <v>4</v>
      </c>
      <c r="G174" s="1186"/>
      <c r="H174" s="1186">
        <v>4</v>
      </c>
      <c r="I174" s="1186"/>
      <c r="J174" s="1186"/>
      <c r="K174" s="1186">
        <v>17</v>
      </c>
      <c r="L174" s="1186">
        <v>7</v>
      </c>
      <c r="M174" s="1186">
        <v>5</v>
      </c>
      <c r="N174" s="1186">
        <v>2</v>
      </c>
      <c r="O174" s="1186">
        <v>106710</v>
      </c>
    </row>
    <row r="175" spans="1:15" x14ac:dyDescent="0.2">
      <c r="A175" s="1186" t="s">
        <v>133</v>
      </c>
      <c r="B175" s="1186" t="s">
        <v>496</v>
      </c>
      <c r="C175" s="1186" t="s">
        <v>32</v>
      </c>
      <c r="D175" s="1186">
        <v>72</v>
      </c>
      <c r="E175" s="1186">
        <v>11</v>
      </c>
      <c r="F175" s="1186">
        <v>1</v>
      </c>
      <c r="G175" s="1186">
        <v>15</v>
      </c>
      <c r="H175" s="1186">
        <v>8</v>
      </c>
      <c r="I175" s="1186"/>
      <c r="J175" s="1186"/>
      <c r="K175" s="1186">
        <v>11</v>
      </c>
      <c r="L175" s="1186">
        <v>5</v>
      </c>
      <c r="M175" s="1186">
        <v>18</v>
      </c>
      <c r="N175" s="1186">
        <v>3</v>
      </c>
      <c r="O175" s="1186">
        <v>102090</v>
      </c>
    </row>
    <row r="176" spans="1:15" x14ac:dyDescent="0.2">
      <c r="A176" s="1186" t="s">
        <v>133</v>
      </c>
      <c r="B176" s="1186" t="s">
        <v>496</v>
      </c>
      <c r="C176" s="1186" t="s">
        <v>33</v>
      </c>
      <c r="D176" s="1186">
        <v>17</v>
      </c>
      <c r="E176" s="1186">
        <v>1</v>
      </c>
      <c r="F176" s="1186">
        <v>1</v>
      </c>
      <c r="G176" s="1186"/>
      <c r="H176" s="1186">
        <v>2</v>
      </c>
      <c r="I176" s="1186"/>
      <c r="J176" s="1186"/>
      <c r="K176" s="1186">
        <v>8</v>
      </c>
      <c r="L176" s="1186">
        <v>1</v>
      </c>
      <c r="M176" s="1186">
        <v>4</v>
      </c>
      <c r="N176" s="1186"/>
      <c r="O176" s="1186">
        <v>92410</v>
      </c>
    </row>
    <row r="177" spans="1:15" x14ac:dyDescent="0.2">
      <c r="A177" s="1186" t="s">
        <v>133</v>
      </c>
      <c r="B177" s="1186" t="s">
        <v>496</v>
      </c>
      <c r="C177" s="1186" t="s">
        <v>34</v>
      </c>
      <c r="D177" s="1186">
        <v>102</v>
      </c>
      <c r="E177" s="1186">
        <v>16</v>
      </c>
      <c r="F177" s="1186">
        <v>6</v>
      </c>
      <c r="G177" s="1186">
        <v>7</v>
      </c>
      <c r="H177" s="1186">
        <v>27</v>
      </c>
      <c r="I177" s="1186"/>
      <c r="J177" s="1186"/>
      <c r="K177" s="1186">
        <v>19</v>
      </c>
      <c r="L177" s="1186">
        <v>6</v>
      </c>
      <c r="M177" s="1186">
        <v>20</v>
      </c>
      <c r="N177" s="1186">
        <v>1</v>
      </c>
      <c r="O177" s="1186">
        <v>157690</v>
      </c>
    </row>
    <row r="178" spans="1:15" x14ac:dyDescent="0.2">
      <c r="A178" s="1186" t="s">
        <v>133</v>
      </c>
      <c r="B178" s="1186" t="s">
        <v>496</v>
      </c>
      <c r="C178" s="1186" t="s">
        <v>35</v>
      </c>
      <c r="D178" s="1186">
        <v>145</v>
      </c>
      <c r="E178" s="1186">
        <v>23</v>
      </c>
      <c r="F178" s="1186">
        <v>10</v>
      </c>
      <c r="G178" s="1186">
        <v>4</v>
      </c>
      <c r="H178" s="1186">
        <v>1</v>
      </c>
      <c r="I178" s="1186">
        <v>4</v>
      </c>
      <c r="J178" s="1186"/>
      <c r="K178" s="1186">
        <v>57</v>
      </c>
      <c r="L178" s="1186">
        <v>7</v>
      </c>
      <c r="M178" s="1186">
        <v>35</v>
      </c>
      <c r="N178" s="1186">
        <v>4</v>
      </c>
      <c r="O178" s="1186">
        <v>367250</v>
      </c>
    </row>
    <row r="179" spans="1:15" x14ac:dyDescent="0.2">
      <c r="A179" s="1186" t="s">
        <v>133</v>
      </c>
      <c r="B179" s="1186" t="s">
        <v>496</v>
      </c>
      <c r="C179" s="1186" t="s">
        <v>36</v>
      </c>
      <c r="D179" s="1186">
        <v>354</v>
      </c>
      <c r="E179" s="1186">
        <v>44</v>
      </c>
      <c r="F179" s="1186">
        <v>14</v>
      </c>
      <c r="G179" s="1186">
        <v>2</v>
      </c>
      <c r="H179" s="1186">
        <v>4</v>
      </c>
      <c r="I179" s="1186">
        <v>2</v>
      </c>
      <c r="J179" s="1186">
        <v>2</v>
      </c>
      <c r="K179" s="1186">
        <v>175</v>
      </c>
      <c r="L179" s="1186">
        <v>31</v>
      </c>
      <c r="M179" s="1186">
        <v>66</v>
      </c>
      <c r="N179" s="1186">
        <v>14</v>
      </c>
      <c r="O179" s="1186">
        <v>599640</v>
      </c>
    </row>
    <row r="180" spans="1:15" x14ac:dyDescent="0.2">
      <c r="A180" s="1186" t="s">
        <v>133</v>
      </c>
      <c r="B180" s="1186" t="s">
        <v>496</v>
      </c>
      <c r="C180" s="1186" t="s">
        <v>37</v>
      </c>
      <c r="D180" s="1186">
        <v>133</v>
      </c>
      <c r="E180" s="1186">
        <v>10</v>
      </c>
      <c r="F180" s="1186">
        <v>14</v>
      </c>
      <c r="G180" s="1186">
        <v>14</v>
      </c>
      <c r="H180" s="1186">
        <v>15</v>
      </c>
      <c r="I180" s="1186"/>
      <c r="J180" s="1186"/>
      <c r="K180" s="1186">
        <v>41</v>
      </c>
      <c r="L180" s="1186">
        <v>4</v>
      </c>
      <c r="M180" s="1186">
        <v>33</v>
      </c>
      <c r="N180" s="1186">
        <v>2</v>
      </c>
      <c r="O180" s="1186">
        <v>233080</v>
      </c>
    </row>
    <row r="181" spans="1:15" x14ac:dyDescent="0.2">
      <c r="A181" s="1186" t="s">
        <v>133</v>
      </c>
      <c r="B181" s="1186" t="s">
        <v>496</v>
      </c>
      <c r="C181" s="1186" t="s">
        <v>38</v>
      </c>
      <c r="D181" s="1186">
        <v>52</v>
      </c>
      <c r="E181" s="1186">
        <v>15</v>
      </c>
      <c r="F181" s="1186">
        <v>1</v>
      </c>
      <c r="G181" s="1186"/>
      <c r="H181" s="1186">
        <v>1</v>
      </c>
      <c r="I181" s="1186">
        <v>2</v>
      </c>
      <c r="J181" s="1186"/>
      <c r="K181" s="1186">
        <v>19</v>
      </c>
      <c r="L181" s="1186">
        <v>5</v>
      </c>
      <c r="M181" s="1186">
        <v>7</v>
      </c>
      <c r="N181" s="1186">
        <v>2</v>
      </c>
      <c r="O181" s="1186">
        <v>79890</v>
      </c>
    </row>
    <row r="182" spans="1:15" x14ac:dyDescent="0.2">
      <c r="A182" s="1186" t="s">
        <v>133</v>
      </c>
      <c r="B182" s="1186" t="s">
        <v>496</v>
      </c>
      <c r="C182" s="1186" t="s">
        <v>39</v>
      </c>
      <c r="D182" s="1186">
        <v>62</v>
      </c>
      <c r="E182" s="1186">
        <v>10</v>
      </c>
      <c r="F182" s="1186">
        <v>3</v>
      </c>
      <c r="G182" s="1186">
        <v>4</v>
      </c>
      <c r="H182" s="1186">
        <v>16</v>
      </c>
      <c r="I182" s="1186"/>
      <c r="J182" s="1186">
        <v>1</v>
      </c>
      <c r="K182" s="1186">
        <v>10</v>
      </c>
      <c r="L182" s="1186">
        <v>1</v>
      </c>
      <c r="M182" s="1186">
        <v>11</v>
      </c>
      <c r="N182" s="1186">
        <v>6</v>
      </c>
      <c r="O182" s="1186">
        <v>86220</v>
      </c>
    </row>
    <row r="183" spans="1:15" x14ac:dyDescent="0.2">
      <c r="A183" s="1186" t="s">
        <v>133</v>
      </c>
      <c r="B183" s="1186" t="s">
        <v>496</v>
      </c>
      <c r="C183" s="1186" t="s">
        <v>40</v>
      </c>
      <c r="D183" s="1186">
        <v>40</v>
      </c>
      <c r="E183" s="1186">
        <v>4</v>
      </c>
      <c r="F183" s="1186">
        <v>2</v>
      </c>
      <c r="G183" s="1186">
        <v>7</v>
      </c>
      <c r="H183" s="1186">
        <v>2</v>
      </c>
      <c r="I183" s="1186"/>
      <c r="J183" s="1186"/>
      <c r="K183" s="1186">
        <v>12</v>
      </c>
      <c r="L183" s="1186">
        <v>1</v>
      </c>
      <c r="M183" s="1186">
        <v>10</v>
      </c>
      <c r="N183" s="1186">
        <v>2</v>
      </c>
      <c r="O183" s="1186">
        <v>94770</v>
      </c>
    </row>
    <row r="184" spans="1:15" x14ac:dyDescent="0.2">
      <c r="A184" s="1186" t="s">
        <v>133</v>
      </c>
      <c r="B184" s="1186" t="s">
        <v>496</v>
      </c>
      <c r="C184" s="1186" t="s">
        <v>295</v>
      </c>
      <c r="D184" s="1186">
        <v>24</v>
      </c>
      <c r="E184" s="1186">
        <v>1</v>
      </c>
      <c r="F184" s="1186">
        <v>15</v>
      </c>
      <c r="G184" s="1186"/>
      <c r="H184" s="1186">
        <v>1</v>
      </c>
      <c r="I184" s="1186"/>
      <c r="J184" s="1186"/>
      <c r="K184" s="1186">
        <v>6</v>
      </c>
      <c r="L184" s="1186"/>
      <c r="M184" s="1186">
        <v>1</v>
      </c>
      <c r="N184" s="1186"/>
      <c r="O184" s="1186">
        <v>27250</v>
      </c>
    </row>
    <row r="185" spans="1:15" x14ac:dyDescent="0.2">
      <c r="A185" s="1186" t="s">
        <v>133</v>
      </c>
      <c r="B185" s="1186" t="s">
        <v>496</v>
      </c>
      <c r="C185" s="1186" t="s">
        <v>41</v>
      </c>
      <c r="D185" s="1186">
        <v>60</v>
      </c>
      <c r="E185" s="1186">
        <v>6</v>
      </c>
      <c r="F185" s="1186">
        <v>11</v>
      </c>
      <c r="G185" s="1186"/>
      <c r="H185" s="1186">
        <v>2</v>
      </c>
      <c r="I185" s="1186">
        <v>1</v>
      </c>
      <c r="J185" s="1186">
        <v>2</v>
      </c>
      <c r="K185" s="1186">
        <v>25</v>
      </c>
      <c r="L185" s="1186">
        <v>2</v>
      </c>
      <c r="M185" s="1186">
        <v>7</v>
      </c>
      <c r="N185" s="1186">
        <v>4</v>
      </c>
      <c r="O185" s="1186">
        <v>136480</v>
      </c>
    </row>
    <row r="186" spans="1:15" x14ac:dyDescent="0.2">
      <c r="A186" s="1186" t="s">
        <v>133</v>
      </c>
      <c r="B186" s="1186" t="s">
        <v>496</v>
      </c>
      <c r="C186" s="1186" t="s">
        <v>42</v>
      </c>
      <c r="D186" s="1186">
        <v>190</v>
      </c>
      <c r="E186" s="1186">
        <v>22</v>
      </c>
      <c r="F186" s="1186">
        <v>11</v>
      </c>
      <c r="G186" s="1186">
        <v>1</v>
      </c>
      <c r="H186" s="1186">
        <v>7</v>
      </c>
      <c r="I186" s="1186"/>
      <c r="J186" s="1186"/>
      <c r="K186" s="1186">
        <v>75</v>
      </c>
      <c r="L186" s="1186">
        <v>20</v>
      </c>
      <c r="M186" s="1186">
        <v>44</v>
      </c>
      <c r="N186" s="1186">
        <v>10</v>
      </c>
      <c r="O186" s="1186">
        <v>338000</v>
      </c>
    </row>
    <row r="187" spans="1:15" x14ac:dyDescent="0.2">
      <c r="A187" s="1186" t="s">
        <v>133</v>
      </c>
      <c r="B187" s="1186" t="s">
        <v>496</v>
      </c>
      <c r="C187" s="1186" t="s">
        <v>43</v>
      </c>
      <c r="D187" s="1186">
        <v>18</v>
      </c>
      <c r="E187" s="1186">
        <v>1</v>
      </c>
      <c r="F187" s="1186">
        <v>4</v>
      </c>
      <c r="G187" s="1186"/>
      <c r="H187" s="1186"/>
      <c r="I187" s="1186"/>
      <c r="J187" s="1186"/>
      <c r="K187" s="1186">
        <v>10</v>
      </c>
      <c r="L187" s="1186"/>
      <c r="M187" s="1186">
        <v>3</v>
      </c>
      <c r="N187" s="1186"/>
      <c r="O187" s="1186">
        <v>21580</v>
      </c>
    </row>
    <row r="188" spans="1:15" x14ac:dyDescent="0.2">
      <c r="A188" s="1186" t="s">
        <v>133</v>
      </c>
      <c r="B188" s="1186" t="s">
        <v>496</v>
      </c>
      <c r="C188" s="1186" t="s">
        <v>44</v>
      </c>
      <c r="D188" s="1186">
        <v>61</v>
      </c>
      <c r="E188" s="1186">
        <v>2</v>
      </c>
      <c r="F188" s="1186">
        <v>5</v>
      </c>
      <c r="G188" s="1186">
        <v>6</v>
      </c>
      <c r="H188" s="1186"/>
      <c r="I188" s="1186"/>
      <c r="J188" s="1186"/>
      <c r="K188" s="1186">
        <v>24</v>
      </c>
      <c r="L188" s="1186">
        <v>2</v>
      </c>
      <c r="M188" s="1186">
        <v>22</v>
      </c>
      <c r="N188" s="1186"/>
      <c r="O188" s="1186">
        <v>148930</v>
      </c>
    </row>
    <row r="189" spans="1:15" x14ac:dyDescent="0.2">
      <c r="A189" s="1186" t="s">
        <v>133</v>
      </c>
      <c r="B189" s="1186" t="s">
        <v>496</v>
      </c>
      <c r="C189" s="1186" t="s">
        <v>45</v>
      </c>
      <c r="D189" s="1186">
        <v>85</v>
      </c>
      <c r="E189" s="1186">
        <v>14</v>
      </c>
      <c r="F189" s="1186">
        <v>1</v>
      </c>
      <c r="G189" s="1186"/>
      <c r="H189" s="1186">
        <v>8</v>
      </c>
      <c r="I189" s="1186"/>
      <c r="J189" s="1186">
        <v>1</v>
      </c>
      <c r="K189" s="1186">
        <v>41</v>
      </c>
      <c r="L189" s="1186">
        <v>4</v>
      </c>
      <c r="M189" s="1186">
        <v>15</v>
      </c>
      <c r="N189" s="1186">
        <v>1</v>
      </c>
      <c r="O189" s="1186">
        <v>174230</v>
      </c>
    </row>
    <row r="190" spans="1:15" x14ac:dyDescent="0.2">
      <c r="A190" s="1186" t="s">
        <v>133</v>
      </c>
      <c r="B190" s="1186" t="s">
        <v>496</v>
      </c>
      <c r="C190" s="1186" t="s">
        <v>46</v>
      </c>
      <c r="D190" s="1186">
        <v>54</v>
      </c>
      <c r="E190" s="1186">
        <v>3</v>
      </c>
      <c r="F190" s="1186">
        <v>1</v>
      </c>
      <c r="G190" s="1186">
        <v>5</v>
      </c>
      <c r="H190" s="1186">
        <v>10</v>
      </c>
      <c r="I190" s="1186"/>
      <c r="J190" s="1186">
        <v>1</v>
      </c>
      <c r="K190" s="1186">
        <v>15</v>
      </c>
      <c r="L190" s="1186"/>
      <c r="M190" s="1186">
        <v>18</v>
      </c>
      <c r="N190" s="1186">
        <v>1</v>
      </c>
      <c r="O190" s="1186">
        <v>114040</v>
      </c>
    </row>
    <row r="191" spans="1:15" x14ac:dyDescent="0.2">
      <c r="A191" s="1186" t="s">
        <v>133</v>
      </c>
      <c r="B191" s="1186" t="s">
        <v>496</v>
      </c>
      <c r="C191" s="1186" t="s">
        <v>47</v>
      </c>
      <c r="D191" s="1186">
        <v>14</v>
      </c>
      <c r="E191" s="1186">
        <v>3</v>
      </c>
      <c r="F191" s="1186">
        <v>5</v>
      </c>
      <c r="G191" s="1186"/>
      <c r="H191" s="1186"/>
      <c r="I191" s="1186">
        <v>1</v>
      </c>
      <c r="J191" s="1186"/>
      <c r="K191" s="1186">
        <v>2</v>
      </c>
      <c r="L191" s="1186"/>
      <c r="M191" s="1186">
        <v>3</v>
      </c>
      <c r="N191" s="1186"/>
      <c r="O191" s="1186">
        <v>23220</v>
      </c>
    </row>
    <row r="192" spans="1:15" x14ac:dyDescent="0.2">
      <c r="A192" s="1186" t="s">
        <v>133</v>
      </c>
      <c r="B192" s="1186" t="s">
        <v>496</v>
      </c>
      <c r="C192" s="1186" t="s">
        <v>48</v>
      </c>
      <c r="D192" s="1186">
        <v>44</v>
      </c>
      <c r="E192" s="1186">
        <v>2</v>
      </c>
      <c r="F192" s="1186">
        <v>5</v>
      </c>
      <c r="G192" s="1186"/>
      <c r="H192" s="1186">
        <v>1</v>
      </c>
      <c r="I192" s="1186">
        <v>2</v>
      </c>
      <c r="J192" s="1186"/>
      <c r="K192" s="1186">
        <v>12</v>
      </c>
      <c r="L192" s="1186">
        <v>9</v>
      </c>
      <c r="M192" s="1186">
        <v>12</v>
      </c>
      <c r="N192" s="1186">
        <v>1</v>
      </c>
      <c r="O192" s="1186">
        <v>112530</v>
      </c>
    </row>
    <row r="193" spans="1:15" x14ac:dyDescent="0.2">
      <c r="A193" s="1186" t="s">
        <v>133</v>
      </c>
      <c r="B193" s="1186" t="s">
        <v>496</v>
      </c>
      <c r="C193" s="1186" t="s">
        <v>49</v>
      </c>
      <c r="D193" s="1186">
        <v>168</v>
      </c>
      <c r="E193" s="1186">
        <v>21</v>
      </c>
      <c r="F193" s="1186">
        <v>15</v>
      </c>
      <c r="G193" s="1186">
        <v>2</v>
      </c>
      <c r="H193" s="1186">
        <v>4</v>
      </c>
      <c r="I193" s="1186"/>
      <c r="J193" s="1186"/>
      <c r="K193" s="1186">
        <v>84</v>
      </c>
      <c r="L193" s="1186">
        <v>15</v>
      </c>
      <c r="M193" s="1186">
        <v>25</v>
      </c>
      <c r="N193" s="1186">
        <v>2</v>
      </c>
      <c r="O193" s="1186">
        <v>315300</v>
      </c>
    </row>
    <row r="194" spans="1:15" x14ac:dyDescent="0.2">
      <c r="A194" s="1186" t="s">
        <v>133</v>
      </c>
      <c r="B194" s="1186" t="s">
        <v>496</v>
      </c>
      <c r="C194" s="1186" t="s">
        <v>50</v>
      </c>
      <c r="D194" s="1186">
        <v>52</v>
      </c>
      <c r="E194" s="1186">
        <v>5</v>
      </c>
      <c r="F194" s="1186">
        <v>3</v>
      </c>
      <c r="G194" s="1186">
        <v>3</v>
      </c>
      <c r="H194" s="1186">
        <v>6</v>
      </c>
      <c r="I194" s="1186"/>
      <c r="J194" s="1186"/>
      <c r="K194" s="1186">
        <v>23</v>
      </c>
      <c r="L194" s="1186">
        <v>5</v>
      </c>
      <c r="M194" s="1186">
        <v>7</v>
      </c>
      <c r="N194" s="1186"/>
      <c r="O194" s="1186">
        <v>91520</v>
      </c>
    </row>
    <row r="195" spans="1:15" x14ac:dyDescent="0.2">
      <c r="A195" s="1186" t="s">
        <v>133</v>
      </c>
      <c r="B195" s="1186" t="s">
        <v>496</v>
      </c>
      <c r="C195" s="1186" t="s">
        <v>51</v>
      </c>
      <c r="D195" s="1186">
        <v>44</v>
      </c>
      <c r="E195" s="1186">
        <v>2</v>
      </c>
      <c r="F195" s="1186">
        <v>3</v>
      </c>
      <c r="G195" s="1186">
        <v>1</v>
      </c>
      <c r="H195" s="1186"/>
      <c r="I195" s="1186">
        <v>1</v>
      </c>
      <c r="J195" s="1186">
        <v>1</v>
      </c>
      <c r="K195" s="1186">
        <v>23</v>
      </c>
      <c r="L195" s="1186">
        <v>4</v>
      </c>
      <c r="M195" s="1186">
        <v>7</v>
      </c>
      <c r="N195" s="1186">
        <v>2</v>
      </c>
      <c r="O195" s="1186">
        <v>89710</v>
      </c>
    </row>
    <row r="196" spans="1:15" x14ac:dyDescent="0.2">
      <c r="A196" s="1186" t="s">
        <v>133</v>
      </c>
      <c r="B196" s="1186" t="s">
        <v>496</v>
      </c>
      <c r="C196" s="1186" t="s">
        <v>52</v>
      </c>
      <c r="D196" s="1186">
        <v>117</v>
      </c>
      <c r="E196" s="1186">
        <v>15</v>
      </c>
      <c r="F196" s="1186">
        <v>3</v>
      </c>
      <c r="G196" s="1186">
        <v>8</v>
      </c>
      <c r="H196" s="1186">
        <v>15</v>
      </c>
      <c r="I196" s="1186">
        <v>1</v>
      </c>
      <c r="J196" s="1186">
        <v>1</v>
      </c>
      <c r="K196" s="1186">
        <v>43</v>
      </c>
      <c r="L196" s="1186">
        <v>11</v>
      </c>
      <c r="M196" s="1186">
        <v>17</v>
      </c>
      <c r="N196" s="1186">
        <v>3</v>
      </c>
      <c r="O196" s="1186">
        <v>177200</v>
      </c>
    </row>
    <row r="197" spans="1:15" x14ac:dyDescent="0.2">
      <c r="A197" s="1186" t="s">
        <v>144</v>
      </c>
      <c r="B197" s="1186" t="s">
        <v>496</v>
      </c>
      <c r="C197" s="1186" t="s">
        <v>23</v>
      </c>
      <c r="D197" s="1186">
        <v>98</v>
      </c>
      <c r="E197" s="1186">
        <v>14</v>
      </c>
      <c r="F197" s="1186"/>
      <c r="G197" s="1186">
        <v>1</v>
      </c>
      <c r="H197" s="1186">
        <v>2</v>
      </c>
      <c r="I197" s="1186">
        <v>1</v>
      </c>
      <c r="J197" s="1186"/>
      <c r="K197" s="1186">
        <v>30</v>
      </c>
      <c r="L197" s="1186">
        <v>8</v>
      </c>
      <c r="M197" s="1186">
        <v>29</v>
      </c>
      <c r="N197" s="1186">
        <v>13</v>
      </c>
      <c r="O197" s="1186">
        <v>230350</v>
      </c>
    </row>
    <row r="198" spans="1:15" x14ac:dyDescent="0.2">
      <c r="A198" s="1186" t="s">
        <v>144</v>
      </c>
      <c r="B198" s="1186" t="s">
        <v>496</v>
      </c>
      <c r="C198" s="1186" t="s">
        <v>24</v>
      </c>
      <c r="D198" s="1186">
        <v>129</v>
      </c>
      <c r="E198" s="1186">
        <v>5</v>
      </c>
      <c r="F198" s="1186">
        <v>14</v>
      </c>
      <c r="G198" s="1186">
        <v>16</v>
      </c>
      <c r="H198" s="1186">
        <v>1</v>
      </c>
      <c r="I198" s="1186">
        <v>2</v>
      </c>
      <c r="J198" s="1186">
        <v>1</v>
      </c>
      <c r="K198" s="1186">
        <v>41</v>
      </c>
      <c r="L198" s="1186">
        <v>5</v>
      </c>
      <c r="M198" s="1186">
        <v>38</v>
      </c>
      <c r="N198" s="1186">
        <v>6</v>
      </c>
      <c r="O198" s="1186">
        <v>261960</v>
      </c>
    </row>
    <row r="199" spans="1:15" x14ac:dyDescent="0.2">
      <c r="A199" s="1186" t="s">
        <v>144</v>
      </c>
      <c r="B199" s="1186" t="s">
        <v>496</v>
      </c>
      <c r="C199" s="1186" t="s">
        <v>25</v>
      </c>
      <c r="D199" s="1186">
        <v>44</v>
      </c>
      <c r="E199" s="1186">
        <v>4</v>
      </c>
      <c r="F199" s="1186">
        <v>5</v>
      </c>
      <c r="G199" s="1186">
        <v>1</v>
      </c>
      <c r="H199" s="1186">
        <v>1</v>
      </c>
      <c r="I199" s="1186"/>
      <c r="J199" s="1186">
        <v>1</v>
      </c>
      <c r="K199" s="1186">
        <v>13</v>
      </c>
      <c r="L199" s="1186">
        <v>3</v>
      </c>
      <c r="M199" s="1186">
        <v>15</v>
      </c>
      <c r="N199" s="1186">
        <v>1</v>
      </c>
      <c r="O199" s="1186">
        <v>116900</v>
      </c>
    </row>
    <row r="200" spans="1:15" x14ac:dyDescent="0.2">
      <c r="A200" s="1186" t="s">
        <v>144</v>
      </c>
      <c r="B200" s="1186" t="s">
        <v>496</v>
      </c>
      <c r="C200" s="1186" t="s">
        <v>26</v>
      </c>
      <c r="D200" s="1186">
        <v>35</v>
      </c>
      <c r="E200" s="1186">
        <v>6</v>
      </c>
      <c r="F200" s="1186">
        <v>4</v>
      </c>
      <c r="G200" s="1186"/>
      <c r="H200" s="1186"/>
      <c r="I200" s="1186">
        <v>4</v>
      </c>
      <c r="J200" s="1186"/>
      <c r="K200" s="1186">
        <v>9</v>
      </c>
      <c r="L200" s="1186">
        <v>2</v>
      </c>
      <c r="M200" s="1186">
        <v>9</v>
      </c>
      <c r="N200" s="1186">
        <v>1</v>
      </c>
      <c r="O200" s="1186">
        <v>86890</v>
      </c>
    </row>
    <row r="201" spans="1:15" x14ac:dyDescent="0.2">
      <c r="A201" s="1186" t="s">
        <v>144</v>
      </c>
      <c r="B201" s="1186" t="s">
        <v>496</v>
      </c>
      <c r="C201" s="1186" t="s">
        <v>619</v>
      </c>
      <c r="D201" s="1186">
        <v>302</v>
      </c>
      <c r="E201" s="1186">
        <v>61</v>
      </c>
      <c r="F201" s="1186">
        <v>9</v>
      </c>
      <c r="G201" s="1186">
        <v>2</v>
      </c>
      <c r="H201" s="1186">
        <v>24</v>
      </c>
      <c r="I201" s="1186">
        <v>3</v>
      </c>
      <c r="J201" s="1186"/>
      <c r="K201" s="1186">
        <v>75</v>
      </c>
      <c r="L201" s="1186">
        <v>28</v>
      </c>
      <c r="M201" s="1186">
        <v>47</v>
      </c>
      <c r="N201" s="1186">
        <v>53</v>
      </c>
      <c r="O201" s="1186">
        <v>498810</v>
      </c>
    </row>
    <row r="202" spans="1:15" x14ac:dyDescent="0.2">
      <c r="A202" s="1186" t="s">
        <v>144</v>
      </c>
      <c r="B202" s="1186" t="s">
        <v>496</v>
      </c>
      <c r="C202" s="1186" t="s">
        <v>27</v>
      </c>
      <c r="D202" s="1186">
        <v>14</v>
      </c>
      <c r="E202" s="1186">
        <v>4</v>
      </c>
      <c r="F202" s="1186">
        <v>1</v>
      </c>
      <c r="G202" s="1186">
        <v>2</v>
      </c>
      <c r="H202" s="1186">
        <v>3</v>
      </c>
      <c r="I202" s="1186"/>
      <c r="J202" s="1186"/>
      <c r="K202" s="1186">
        <v>3</v>
      </c>
      <c r="L202" s="1186"/>
      <c r="M202" s="1186">
        <v>1</v>
      </c>
      <c r="N202" s="1186"/>
      <c r="O202" s="1186">
        <v>51360</v>
      </c>
    </row>
    <row r="203" spans="1:15" x14ac:dyDescent="0.2">
      <c r="A203" s="1186" t="s">
        <v>144</v>
      </c>
      <c r="B203" s="1186" t="s">
        <v>496</v>
      </c>
      <c r="C203" s="1186" t="s">
        <v>28</v>
      </c>
      <c r="D203" s="1186">
        <v>90</v>
      </c>
      <c r="E203" s="1186">
        <v>15</v>
      </c>
      <c r="F203" s="1186">
        <v>3</v>
      </c>
      <c r="G203" s="1186">
        <v>3</v>
      </c>
      <c r="H203" s="1186">
        <v>1</v>
      </c>
      <c r="I203" s="1186"/>
      <c r="J203" s="1186">
        <v>1</v>
      </c>
      <c r="K203" s="1186">
        <v>34</v>
      </c>
      <c r="L203" s="1186">
        <v>3</v>
      </c>
      <c r="M203" s="1186">
        <v>28</v>
      </c>
      <c r="N203" s="1186">
        <v>2</v>
      </c>
      <c r="O203" s="1186">
        <v>149670</v>
      </c>
    </row>
    <row r="204" spans="1:15" x14ac:dyDescent="0.2">
      <c r="A204" s="1186" t="s">
        <v>144</v>
      </c>
      <c r="B204" s="1186" t="s">
        <v>496</v>
      </c>
      <c r="C204" s="1186" t="s">
        <v>29</v>
      </c>
      <c r="D204" s="1186">
        <v>49</v>
      </c>
      <c r="E204" s="1186">
        <v>6</v>
      </c>
      <c r="F204" s="1186"/>
      <c r="G204" s="1186">
        <v>2</v>
      </c>
      <c r="H204" s="1186">
        <v>1</v>
      </c>
      <c r="I204" s="1186"/>
      <c r="J204" s="1186"/>
      <c r="K204" s="1186">
        <v>16</v>
      </c>
      <c r="L204" s="1186">
        <v>5</v>
      </c>
      <c r="M204" s="1186">
        <v>14</v>
      </c>
      <c r="N204" s="1186">
        <v>5</v>
      </c>
      <c r="O204" s="1186">
        <v>148210</v>
      </c>
    </row>
    <row r="205" spans="1:15" x14ac:dyDescent="0.2">
      <c r="A205" s="1186" t="s">
        <v>144</v>
      </c>
      <c r="B205" s="1186" t="s">
        <v>496</v>
      </c>
      <c r="C205" s="1186" t="s">
        <v>30</v>
      </c>
      <c r="D205" s="1186">
        <v>61</v>
      </c>
      <c r="E205" s="1186">
        <v>8</v>
      </c>
      <c r="F205" s="1186">
        <v>3</v>
      </c>
      <c r="G205" s="1186">
        <v>3</v>
      </c>
      <c r="H205" s="1186">
        <v>5</v>
      </c>
      <c r="I205" s="1186"/>
      <c r="J205" s="1186"/>
      <c r="K205" s="1186">
        <v>19</v>
      </c>
      <c r="L205" s="1186">
        <v>7</v>
      </c>
      <c r="M205" s="1186">
        <v>15</v>
      </c>
      <c r="N205" s="1186">
        <v>1</v>
      </c>
      <c r="O205" s="1186">
        <v>122060</v>
      </c>
    </row>
    <row r="206" spans="1:15" x14ac:dyDescent="0.2">
      <c r="A206" s="1186" t="s">
        <v>144</v>
      </c>
      <c r="B206" s="1186" t="s">
        <v>496</v>
      </c>
      <c r="C206" s="1186" t="s">
        <v>31</v>
      </c>
      <c r="D206" s="1186">
        <v>41</v>
      </c>
      <c r="E206" s="1186">
        <v>4</v>
      </c>
      <c r="F206" s="1186">
        <v>1</v>
      </c>
      <c r="G206" s="1186">
        <v>1</v>
      </c>
      <c r="H206" s="1186">
        <v>4</v>
      </c>
      <c r="I206" s="1186"/>
      <c r="J206" s="1186"/>
      <c r="K206" s="1186">
        <v>16</v>
      </c>
      <c r="L206" s="1186">
        <v>11</v>
      </c>
      <c r="M206" s="1186">
        <v>4</v>
      </c>
      <c r="N206" s="1186"/>
      <c r="O206" s="1186">
        <v>106960</v>
      </c>
    </row>
    <row r="207" spans="1:15" x14ac:dyDescent="0.2">
      <c r="A207" s="1186" t="s">
        <v>144</v>
      </c>
      <c r="B207" s="1186" t="s">
        <v>496</v>
      </c>
      <c r="C207" s="1186" t="s">
        <v>32</v>
      </c>
      <c r="D207" s="1186">
        <v>77</v>
      </c>
      <c r="E207" s="1186">
        <v>4</v>
      </c>
      <c r="F207" s="1186">
        <v>4</v>
      </c>
      <c r="G207" s="1186">
        <v>10</v>
      </c>
      <c r="H207" s="1186">
        <v>6</v>
      </c>
      <c r="I207" s="1186">
        <v>3</v>
      </c>
      <c r="J207" s="1186"/>
      <c r="K207" s="1186">
        <v>29</v>
      </c>
      <c r="L207" s="1186">
        <v>4</v>
      </c>
      <c r="M207" s="1186">
        <v>14</v>
      </c>
      <c r="N207" s="1186">
        <v>3</v>
      </c>
      <c r="O207" s="1186">
        <v>103050</v>
      </c>
    </row>
    <row r="208" spans="1:15" x14ac:dyDescent="0.2">
      <c r="A208" s="1186" t="s">
        <v>144</v>
      </c>
      <c r="B208" s="1186" t="s">
        <v>496</v>
      </c>
      <c r="C208" s="1186" t="s">
        <v>33</v>
      </c>
      <c r="D208" s="1186">
        <v>27</v>
      </c>
      <c r="E208" s="1186">
        <v>5</v>
      </c>
      <c r="F208" s="1186">
        <v>1</v>
      </c>
      <c r="G208" s="1186">
        <v>1</v>
      </c>
      <c r="H208" s="1186">
        <v>4</v>
      </c>
      <c r="I208" s="1186"/>
      <c r="J208" s="1186"/>
      <c r="K208" s="1186">
        <v>10</v>
      </c>
      <c r="L208" s="1186"/>
      <c r="M208" s="1186">
        <v>6</v>
      </c>
      <c r="N208" s="1186"/>
      <c r="O208" s="1186">
        <v>92940</v>
      </c>
    </row>
    <row r="209" spans="1:15" x14ac:dyDescent="0.2">
      <c r="A209" s="1186" t="s">
        <v>144</v>
      </c>
      <c r="B209" s="1186" t="s">
        <v>496</v>
      </c>
      <c r="C209" s="1186" t="s">
        <v>34</v>
      </c>
      <c r="D209" s="1186">
        <v>102</v>
      </c>
      <c r="E209" s="1186">
        <v>9</v>
      </c>
      <c r="F209" s="1186">
        <v>2</v>
      </c>
      <c r="G209" s="1186">
        <v>6</v>
      </c>
      <c r="H209" s="1186">
        <v>26</v>
      </c>
      <c r="I209" s="1186">
        <v>1</v>
      </c>
      <c r="J209" s="1186">
        <v>3</v>
      </c>
      <c r="K209" s="1186">
        <v>33</v>
      </c>
      <c r="L209" s="1186">
        <v>4</v>
      </c>
      <c r="M209" s="1186">
        <v>17</v>
      </c>
      <c r="N209" s="1186">
        <v>1</v>
      </c>
      <c r="O209" s="1186">
        <v>158460</v>
      </c>
    </row>
    <row r="210" spans="1:15" x14ac:dyDescent="0.2">
      <c r="A210" s="1186" t="s">
        <v>144</v>
      </c>
      <c r="B210" s="1186" t="s">
        <v>496</v>
      </c>
      <c r="C210" s="1186" t="s">
        <v>35</v>
      </c>
      <c r="D210" s="1186">
        <v>165</v>
      </c>
      <c r="E210" s="1186">
        <v>17</v>
      </c>
      <c r="F210" s="1186">
        <v>8</v>
      </c>
      <c r="G210" s="1186">
        <v>10</v>
      </c>
      <c r="H210" s="1186">
        <v>9</v>
      </c>
      <c r="I210" s="1186">
        <v>4</v>
      </c>
      <c r="J210" s="1186"/>
      <c r="K210" s="1186">
        <v>62</v>
      </c>
      <c r="L210" s="1186">
        <v>13</v>
      </c>
      <c r="M210" s="1186">
        <v>41</v>
      </c>
      <c r="N210" s="1186">
        <v>1</v>
      </c>
      <c r="O210" s="1186">
        <v>368080</v>
      </c>
    </row>
    <row r="211" spans="1:15" x14ac:dyDescent="0.2">
      <c r="A211" s="1186" t="s">
        <v>144</v>
      </c>
      <c r="B211" s="1186" t="s">
        <v>496</v>
      </c>
      <c r="C211" s="1186" t="s">
        <v>36</v>
      </c>
      <c r="D211" s="1186">
        <v>370</v>
      </c>
      <c r="E211" s="1186">
        <v>52</v>
      </c>
      <c r="F211" s="1186">
        <v>18</v>
      </c>
      <c r="G211" s="1186">
        <v>2</v>
      </c>
      <c r="H211" s="1186">
        <v>3</v>
      </c>
      <c r="I211" s="1186">
        <v>1</v>
      </c>
      <c r="J211" s="1186">
        <v>3</v>
      </c>
      <c r="K211" s="1186">
        <v>182</v>
      </c>
      <c r="L211" s="1186">
        <v>38</v>
      </c>
      <c r="M211" s="1186">
        <v>63</v>
      </c>
      <c r="N211" s="1186">
        <v>8</v>
      </c>
      <c r="O211" s="1186">
        <v>606340</v>
      </c>
    </row>
    <row r="212" spans="1:15" x14ac:dyDescent="0.2">
      <c r="A212" s="1186" t="s">
        <v>144</v>
      </c>
      <c r="B212" s="1186" t="s">
        <v>496</v>
      </c>
      <c r="C212" s="1186" t="s">
        <v>37</v>
      </c>
      <c r="D212" s="1186">
        <v>143</v>
      </c>
      <c r="E212" s="1186">
        <v>9</v>
      </c>
      <c r="F212" s="1186">
        <v>17</v>
      </c>
      <c r="G212" s="1186">
        <v>22</v>
      </c>
      <c r="H212" s="1186">
        <v>7</v>
      </c>
      <c r="I212" s="1186">
        <v>1</v>
      </c>
      <c r="J212" s="1186"/>
      <c r="K212" s="1186">
        <v>43</v>
      </c>
      <c r="L212" s="1186">
        <v>3</v>
      </c>
      <c r="M212" s="1186">
        <v>38</v>
      </c>
      <c r="N212" s="1186">
        <v>3</v>
      </c>
      <c r="O212" s="1186">
        <v>234110</v>
      </c>
    </row>
    <row r="213" spans="1:15" x14ac:dyDescent="0.2">
      <c r="A213" s="1186" t="s">
        <v>144</v>
      </c>
      <c r="B213" s="1186" t="s">
        <v>496</v>
      </c>
      <c r="C213" s="1186" t="s">
        <v>38</v>
      </c>
      <c r="D213" s="1186">
        <v>49</v>
      </c>
      <c r="E213" s="1186">
        <v>9</v>
      </c>
      <c r="F213" s="1186">
        <v>4</v>
      </c>
      <c r="G213" s="1186"/>
      <c r="H213" s="1186">
        <v>1</v>
      </c>
      <c r="I213" s="1186">
        <v>3</v>
      </c>
      <c r="J213" s="1186"/>
      <c r="K213" s="1186">
        <v>23</v>
      </c>
      <c r="L213" s="1186">
        <v>4</v>
      </c>
      <c r="M213" s="1186">
        <v>5</v>
      </c>
      <c r="N213" s="1186"/>
      <c r="O213" s="1186">
        <v>79500</v>
      </c>
    </row>
    <row r="214" spans="1:15" x14ac:dyDescent="0.2">
      <c r="A214" s="1186" t="s">
        <v>144</v>
      </c>
      <c r="B214" s="1186" t="s">
        <v>496</v>
      </c>
      <c r="C214" s="1186" t="s">
        <v>39</v>
      </c>
      <c r="D214" s="1186">
        <v>69</v>
      </c>
      <c r="E214" s="1186">
        <v>11</v>
      </c>
      <c r="F214" s="1186">
        <v>1</v>
      </c>
      <c r="G214" s="1186">
        <v>9</v>
      </c>
      <c r="H214" s="1186">
        <v>19</v>
      </c>
      <c r="I214" s="1186"/>
      <c r="J214" s="1186"/>
      <c r="K214" s="1186">
        <v>13</v>
      </c>
      <c r="L214" s="1186">
        <v>5</v>
      </c>
      <c r="M214" s="1186">
        <v>9</v>
      </c>
      <c r="N214" s="1186">
        <v>2</v>
      </c>
      <c r="O214" s="1186">
        <v>87390</v>
      </c>
    </row>
    <row r="215" spans="1:15" x14ac:dyDescent="0.2">
      <c r="A215" s="1186" t="s">
        <v>144</v>
      </c>
      <c r="B215" s="1186" t="s">
        <v>496</v>
      </c>
      <c r="C215" s="1186" t="s">
        <v>40</v>
      </c>
      <c r="D215" s="1186">
        <v>39</v>
      </c>
      <c r="E215" s="1186">
        <v>4</v>
      </c>
      <c r="F215" s="1186">
        <v>2</v>
      </c>
      <c r="G215" s="1186">
        <v>3</v>
      </c>
      <c r="H215" s="1186">
        <v>1</v>
      </c>
      <c r="I215" s="1186">
        <v>1</v>
      </c>
      <c r="J215" s="1186"/>
      <c r="K215" s="1186">
        <v>12</v>
      </c>
      <c r="L215" s="1186">
        <v>1</v>
      </c>
      <c r="M215" s="1186">
        <v>15</v>
      </c>
      <c r="N215" s="1186"/>
      <c r="O215" s="1186">
        <v>95510</v>
      </c>
    </row>
    <row r="216" spans="1:15" x14ac:dyDescent="0.2">
      <c r="A216" s="1186" t="s">
        <v>144</v>
      </c>
      <c r="B216" s="1186" t="s">
        <v>496</v>
      </c>
      <c r="C216" s="1186" t="s">
        <v>295</v>
      </c>
      <c r="D216" s="1186">
        <v>14</v>
      </c>
      <c r="E216" s="1186">
        <v>1</v>
      </c>
      <c r="F216" s="1186">
        <v>2</v>
      </c>
      <c r="G216" s="1186"/>
      <c r="H216" s="1186">
        <v>1</v>
      </c>
      <c r="I216" s="1186"/>
      <c r="J216" s="1186">
        <v>1</v>
      </c>
      <c r="K216" s="1186">
        <v>6</v>
      </c>
      <c r="L216" s="1186"/>
      <c r="M216" s="1186">
        <v>2</v>
      </c>
      <c r="N216" s="1186">
        <v>1</v>
      </c>
      <c r="O216" s="1186">
        <v>27070</v>
      </c>
    </row>
    <row r="217" spans="1:15" x14ac:dyDescent="0.2">
      <c r="A217" s="1186" t="s">
        <v>144</v>
      </c>
      <c r="B217" s="1186" t="s">
        <v>496</v>
      </c>
      <c r="C217" s="1186" t="s">
        <v>41</v>
      </c>
      <c r="D217" s="1186">
        <v>45</v>
      </c>
      <c r="E217" s="1186">
        <v>1</v>
      </c>
      <c r="F217" s="1186">
        <v>6</v>
      </c>
      <c r="G217" s="1186">
        <v>1</v>
      </c>
      <c r="H217" s="1186">
        <v>3</v>
      </c>
      <c r="I217" s="1186"/>
      <c r="J217" s="1186"/>
      <c r="K217" s="1186">
        <v>19</v>
      </c>
      <c r="L217" s="1186">
        <v>3</v>
      </c>
      <c r="M217" s="1186">
        <v>11</v>
      </c>
      <c r="N217" s="1186">
        <v>1</v>
      </c>
      <c r="O217" s="1186">
        <v>136130</v>
      </c>
    </row>
    <row r="218" spans="1:15" x14ac:dyDescent="0.2">
      <c r="A218" s="1186" t="s">
        <v>144</v>
      </c>
      <c r="B218" s="1186" t="s">
        <v>496</v>
      </c>
      <c r="C218" s="1186" t="s">
        <v>42</v>
      </c>
      <c r="D218" s="1186">
        <v>179</v>
      </c>
      <c r="E218" s="1186">
        <v>18</v>
      </c>
      <c r="F218" s="1186">
        <v>7</v>
      </c>
      <c r="G218" s="1186">
        <v>3</v>
      </c>
      <c r="H218" s="1186">
        <v>5</v>
      </c>
      <c r="I218" s="1186"/>
      <c r="J218" s="1186"/>
      <c r="K218" s="1186">
        <v>72</v>
      </c>
      <c r="L218" s="1186">
        <v>28</v>
      </c>
      <c r="M218" s="1186">
        <v>40</v>
      </c>
      <c r="N218" s="1186">
        <v>6</v>
      </c>
      <c r="O218" s="1186">
        <v>338260</v>
      </c>
    </row>
    <row r="219" spans="1:15" x14ac:dyDescent="0.2">
      <c r="A219" s="1186" t="s">
        <v>144</v>
      </c>
      <c r="B219" s="1186" t="s">
        <v>496</v>
      </c>
      <c r="C219" s="1186" t="s">
        <v>43</v>
      </c>
      <c r="D219" s="1186">
        <v>17</v>
      </c>
      <c r="E219" s="1186">
        <v>1</v>
      </c>
      <c r="F219" s="1186">
        <v>2</v>
      </c>
      <c r="G219" s="1186"/>
      <c r="H219" s="1186"/>
      <c r="I219" s="1186">
        <v>3</v>
      </c>
      <c r="J219" s="1186"/>
      <c r="K219" s="1186">
        <v>6</v>
      </c>
      <c r="L219" s="1186"/>
      <c r="M219" s="1186">
        <v>5</v>
      </c>
      <c r="N219" s="1186"/>
      <c r="O219" s="1186">
        <v>21670</v>
      </c>
    </row>
    <row r="220" spans="1:15" x14ac:dyDescent="0.2">
      <c r="A220" s="1186" t="s">
        <v>144</v>
      </c>
      <c r="B220" s="1186" t="s">
        <v>496</v>
      </c>
      <c r="C220" s="1186" t="s">
        <v>44</v>
      </c>
      <c r="D220" s="1186">
        <v>73</v>
      </c>
      <c r="E220" s="1186">
        <v>4</v>
      </c>
      <c r="F220" s="1186">
        <v>12</v>
      </c>
      <c r="G220" s="1186">
        <v>4</v>
      </c>
      <c r="H220" s="1186">
        <v>2</v>
      </c>
      <c r="I220" s="1186"/>
      <c r="J220" s="1186">
        <v>1</v>
      </c>
      <c r="K220" s="1186">
        <v>25</v>
      </c>
      <c r="L220" s="1186">
        <v>1</v>
      </c>
      <c r="M220" s="1186">
        <v>24</v>
      </c>
      <c r="N220" s="1186"/>
      <c r="O220" s="1186">
        <v>149930</v>
      </c>
    </row>
    <row r="221" spans="1:15" x14ac:dyDescent="0.2">
      <c r="A221" s="1186" t="s">
        <v>144</v>
      </c>
      <c r="B221" s="1186" t="s">
        <v>496</v>
      </c>
      <c r="C221" s="1186" t="s">
        <v>45</v>
      </c>
      <c r="D221" s="1186">
        <v>75</v>
      </c>
      <c r="E221" s="1186">
        <v>7</v>
      </c>
      <c r="F221" s="1186">
        <v>5</v>
      </c>
      <c r="G221" s="1186"/>
      <c r="H221" s="1186">
        <v>6</v>
      </c>
      <c r="I221" s="1186">
        <v>1</v>
      </c>
      <c r="J221" s="1186"/>
      <c r="K221" s="1186">
        <v>28</v>
      </c>
      <c r="L221" s="1186">
        <v>9</v>
      </c>
      <c r="M221" s="1186">
        <v>19</v>
      </c>
      <c r="N221" s="1186"/>
      <c r="O221" s="1186">
        <v>174560</v>
      </c>
    </row>
    <row r="222" spans="1:15" x14ac:dyDescent="0.2">
      <c r="A222" s="1186" t="s">
        <v>144</v>
      </c>
      <c r="B222" s="1186" t="s">
        <v>496</v>
      </c>
      <c r="C222" s="1186" t="s">
        <v>46</v>
      </c>
      <c r="D222" s="1186">
        <v>69</v>
      </c>
      <c r="E222" s="1186">
        <v>7</v>
      </c>
      <c r="F222" s="1186">
        <v>8</v>
      </c>
      <c r="G222" s="1186">
        <v>4</v>
      </c>
      <c r="H222" s="1186">
        <v>18</v>
      </c>
      <c r="I222" s="1186"/>
      <c r="J222" s="1186"/>
      <c r="K222" s="1186">
        <v>13</v>
      </c>
      <c r="L222" s="1186">
        <v>1</v>
      </c>
      <c r="M222" s="1186">
        <v>15</v>
      </c>
      <c r="N222" s="1186">
        <v>3</v>
      </c>
      <c r="O222" s="1186">
        <v>114030</v>
      </c>
    </row>
    <row r="223" spans="1:15" x14ac:dyDescent="0.2">
      <c r="A223" s="1186" t="s">
        <v>144</v>
      </c>
      <c r="B223" s="1186" t="s">
        <v>496</v>
      </c>
      <c r="C223" s="1186" t="s">
        <v>47</v>
      </c>
      <c r="D223" s="1186">
        <v>14</v>
      </c>
      <c r="E223" s="1186">
        <v>2</v>
      </c>
      <c r="F223" s="1186">
        <v>4</v>
      </c>
      <c r="G223" s="1186"/>
      <c r="H223" s="1186"/>
      <c r="I223" s="1186"/>
      <c r="J223" s="1186">
        <v>1</v>
      </c>
      <c r="K223" s="1186">
        <v>5</v>
      </c>
      <c r="L223" s="1186"/>
      <c r="M223" s="1186">
        <v>2</v>
      </c>
      <c r="N223" s="1186"/>
      <c r="O223" s="1186">
        <v>23200</v>
      </c>
    </row>
    <row r="224" spans="1:15" x14ac:dyDescent="0.2">
      <c r="A224" s="1186" t="s">
        <v>144</v>
      </c>
      <c r="B224" s="1186" t="s">
        <v>496</v>
      </c>
      <c r="C224" s="1186" t="s">
        <v>48</v>
      </c>
      <c r="D224" s="1186">
        <v>34</v>
      </c>
      <c r="E224" s="1186">
        <v>2</v>
      </c>
      <c r="F224" s="1186">
        <v>2</v>
      </c>
      <c r="G224" s="1186"/>
      <c r="H224" s="1186"/>
      <c r="I224" s="1186"/>
      <c r="J224" s="1186"/>
      <c r="K224" s="1186">
        <v>13</v>
      </c>
      <c r="L224" s="1186">
        <v>6</v>
      </c>
      <c r="M224" s="1186">
        <v>11</v>
      </c>
      <c r="N224" s="1186"/>
      <c r="O224" s="1186">
        <v>112400</v>
      </c>
    </row>
    <row r="225" spans="1:15" x14ac:dyDescent="0.2">
      <c r="A225" s="1186" t="s">
        <v>144</v>
      </c>
      <c r="B225" s="1186" t="s">
        <v>496</v>
      </c>
      <c r="C225" s="1186" t="s">
        <v>49</v>
      </c>
      <c r="D225" s="1186">
        <v>146</v>
      </c>
      <c r="E225" s="1186">
        <v>9</v>
      </c>
      <c r="F225" s="1186">
        <v>6</v>
      </c>
      <c r="G225" s="1186">
        <v>1</v>
      </c>
      <c r="H225" s="1186">
        <v>7</v>
      </c>
      <c r="I225" s="1186"/>
      <c r="J225" s="1186"/>
      <c r="K225" s="1186">
        <v>71</v>
      </c>
      <c r="L225" s="1186">
        <v>11</v>
      </c>
      <c r="M225" s="1186">
        <v>37</v>
      </c>
      <c r="N225" s="1186">
        <v>4</v>
      </c>
      <c r="O225" s="1186">
        <v>316230</v>
      </c>
    </row>
    <row r="226" spans="1:15" x14ac:dyDescent="0.2">
      <c r="A226" s="1186" t="s">
        <v>144</v>
      </c>
      <c r="B226" s="1186" t="s">
        <v>496</v>
      </c>
      <c r="C226" s="1186" t="s">
        <v>50</v>
      </c>
      <c r="D226" s="1186">
        <v>52</v>
      </c>
      <c r="E226" s="1186">
        <v>7</v>
      </c>
      <c r="F226" s="1186">
        <v>1</v>
      </c>
      <c r="G226" s="1186">
        <v>6</v>
      </c>
      <c r="H226" s="1186">
        <v>4</v>
      </c>
      <c r="I226" s="1186"/>
      <c r="J226" s="1186"/>
      <c r="K226" s="1186">
        <v>17</v>
      </c>
      <c r="L226" s="1186">
        <v>2</v>
      </c>
      <c r="M226" s="1186">
        <v>15</v>
      </c>
      <c r="N226" s="1186"/>
      <c r="O226" s="1186">
        <v>92830</v>
      </c>
    </row>
    <row r="227" spans="1:15" x14ac:dyDescent="0.2">
      <c r="A227" s="1186" t="s">
        <v>144</v>
      </c>
      <c r="B227" s="1186" t="s">
        <v>496</v>
      </c>
      <c r="C227" s="1186" t="s">
        <v>51</v>
      </c>
      <c r="D227" s="1186">
        <v>55</v>
      </c>
      <c r="E227" s="1186">
        <v>10</v>
      </c>
      <c r="F227" s="1186">
        <v>1</v>
      </c>
      <c r="G227" s="1186"/>
      <c r="H227" s="1186">
        <v>1</v>
      </c>
      <c r="I227" s="1186">
        <v>3</v>
      </c>
      <c r="J227" s="1186"/>
      <c r="K227" s="1186">
        <v>28</v>
      </c>
      <c r="L227" s="1186">
        <v>4</v>
      </c>
      <c r="M227" s="1186">
        <v>8</v>
      </c>
      <c r="N227" s="1186"/>
      <c r="O227" s="1186">
        <v>89590</v>
      </c>
    </row>
    <row r="228" spans="1:15" x14ac:dyDescent="0.2">
      <c r="A228" s="1186" t="s">
        <v>144</v>
      </c>
      <c r="B228" s="1186" t="s">
        <v>496</v>
      </c>
      <c r="C228" s="1186" t="s">
        <v>52</v>
      </c>
      <c r="D228" s="1186">
        <v>162</v>
      </c>
      <c r="E228" s="1186">
        <v>13</v>
      </c>
      <c r="F228" s="1186">
        <v>2</v>
      </c>
      <c r="G228" s="1186">
        <v>5</v>
      </c>
      <c r="H228" s="1186">
        <v>62</v>
      </c>
      <c r="I228" s="1186"/>
      <c r="J228" s="1186">
        <v>2</v>
      </c>
      <c r="K228" s="1186">
        <v>43</v>
      </c>
      <c r="L228" s="1186">
        <v>8</v>
      </c>
      <c r="M228" s="1186">
        <v>22</v>
      </c>
      <c r="N228" s="1186">
        <v>5</v>
      </c>
      <c r="O228" s="1186">
        <v>178550</v>
      </c>
    </row>
    <row r="229" spans="1:15" x14ac:dyDescent="0.2">
      <c r="A229" s="1186" t="s">
        <v>282</v>
      </c>
      <c r="B229" s="1186" t="s">
        <v>496</v>
      </c>
      <c r="C229" s="1186" t="s">
        <v>23</v>
      </c>
      <c r="D229" s="1186">
        <v>106</v>
      </c>
      <c r="E229" s="1186">
        <v>9</v>
      </c>
      <c r="F229" s="1186">
        <v>5</v>
      </c>
      <c r="G229" s="1186">
        <v>2</v>
      </c>
      <c r="H229" s="1186">
        <v>4</v>
      </c>
      <c r="I229" s="1186">
        <v>2</v>
      </c>
      <c r="J229" s="1186"/>
      <c r="K229" s="1186">
        <v>33</v>
      </c>
      <c r="L229" s="1186">
        <v>14</v>
      </c>
      <c r="M229" s="1186">
        <v>17</v>
      </c>
      <c r="N229" s="1186">
        <v>20</v>
      </c>
      <c r="O229" s="1186">
        <v>229840</v>
      </c>
    </row>
    <row r="230" spans="1:15" x14ac:dyDescent="0.2">
      <c r="A230" s="1186" t="s">
        <v>282</v>
      </c>
      <c r="B230" s="1186" t="s">
        <v>496</v>
      </c>
      <c r="C230" s="1186" t="s">
        <v>24</v>
      </c>
      <c r="D230" s="1186">
        <v>127</v>
      </c>
      <c r="E230" s="1186">
        <v>10</v>
      </c>
      <c r="F230" s="1186">
        <v>12</v>
      </c>
      <c r="G230" s="1186">
        <v>10</v>
      </c>
      <c r="H230" s="1186">
        <v>4</v>
      </c>
      <c r="I230" s="1186">
        <v>2</v>
      </c>
      <c r="J230" s="1186"/>
      <c r="K230" s="1186">
        <v>32</v>
      </c>
      <c r="L230" s="1186">
        <v>10</v>
      </c>
      <c r="M230" s="1186">
        <v>38</v>
      </c>
      <c r="N230" s="1186">
        <v>9</v>
      </c>
      <c r="O230" s="1186">
        <v>262190</v>
      </c>
    </row>
    <row r="231" spans="1:15" x14ac:dyDescent="0.2">
      <c r="A231" s="1186" t="s">
        <v>282</v>
      </c>
      <c r="B231" s="1186" t="s">
        <v>496</v>
      </c>
      <c r="C231" s="1186" t="s">
        <v>25</v>
      </c>
      <c r="D231" s="1186">
        <v>60</v>
      </c>
      <c r="E231" s="1186">
        <v>3</v>
      </c>
      <c r="F231" s="1186">
        <v>3</v>
      </c>
      <c r="G231" s="1186">
        <v>5</v>
      </c>
      <c r="H231" s="1186">
        <v>1</v>
      </c>
      <c r="I231" s="1186">
        <v>1</v>
      </c>
      <c r="J231" s="1186"/>
      <c r="K231" s="1186">
        <v>21</v>
      </c>
      <c r="L231" s="1186">
        <v>7</v>
      </c>
      <c r="M231" s="1186">
        <v>17</v>
      </c>
      <c r="N231" s="1186">
        <v>2</v>
      </c>
      <c r="O231" s="1186">
        <v>116520</v>
      </c>
    </row>
    <row r="232" spans="1:15" x14ac:dyDescent="0.2">
      <c r="A232" s="1186" t="s">
        <v>282</v>
      </c>
      <c r="B232" s="1186" t="s">
        <v>496</v>
      </c>
      <c r="C232" s="1186" t="s">
        <v>26</v>
      </c>
      <c r="D232" s="1186">
        <v>39</v>
      </c>
      <c r="E232" s="1186">
        <v>5</v>
      </c>
      <c r="F232" s="1186">
        <v>3</v>
      </c>
      <c r="G232" s="1186">
        <v>3</v>
      </c>
      <c r="H232" s="1186">
        <v>1</v>
      </c>
      <c r="I232" s="1186">
        <v>1</v>
      </c>
      <c r="J232" s="1186"/>
      <c r="K232" s="1186">
        <v>16</v>
      </c>
      <c r="L232" s="1186">
        <v>2</v>
      </c>
      <c r="M232" s="1186">
        <v>8</v>
      </c>
      <c r="N232" s="1186"/>
      <c r="O232" s="1186">
        <v>87130</v>
      </c>
    </row>
    <row r="233" spans="1:15" x14ac:dyDescent="0.2">
      <c r="A233" s="1186" t="s">
        <v>282</v>
      </c>
      <c r="B233" s="1186" t="s">
        <v>496</v>
      </c>
      <c r="C233" s="1186" t="s">
        <v>619</v>
      </c>
      <c r="D233" s="1186">
        <v>331</v>
      </c>
      <c r="E233" s="1186">
        <v>73</v>
      </c>
      <c r="F233" s="1186">
        <v>9</v>
      </c>
      <c r="G233" s="1186">
        <v>4</v>
      </c>
      <c r="H233" s="1186">
        <v>25</v>
      </c>
      <c r="I233" s="1186">
        <v>4</v>
      </c>
      <c r="J233" s="1186">
        <v>3</v>
      </c>
      <c r="K233" s="1186">
        <v>77</v>
      </c>
      <c r="L233" s="1186">
        <v>37</v>
      </c>
      <c r="M233" s="1186">
        <v>48</v>
      </c>
      <c r="N233" s="1186">
        <v>51</v>
      </c>
      <c r="O233" s="1186">
        <v>507170</v>
      </c>
    </row>
    <row r="234" spans="1:15" x14ac:dyDescent="0.2">
      <c r="A234" s="1186" t="s">
        <v>282</v>
      </c>
      <c r="B234" s="1186" t="s">
        <v>496</v>
      </c>
      <c r="C234" s="1186" t="s">
        <v>27</v>
      </c>
      <c r="D234" s="1186">
        <v>17</v>
      </c>
      <c r="E234" s="1186">
        <v>1</v>
      </c>
      <c r="F234" s="1186"/>
      <c r="G234" s="1186">
        <v>1</v>
      </c>
      <c r="H234" s="1186">
        <v>2</v>
      </c>
      <c r="I234" s="1186"/>
      <c r="J234" s="1186"/>
      <c r="K234" s="1186">
        <v>7</v>
      </c>
      <c r="L234" s="1186">
        <v>2</v>
      </c>
      <c r="M234" s="1186">
        <v>4</v>
      </c>
      <c r="N234" s="1186"/>
      <c r="O234" s="1186">
        <v>51350</v>
      </c>
    </row>
    <row r="235" spans="1:15" x14ac:dyDescent="0.2">
      <c r="A235" s="1186" t="s">
        <v>282</v>
      </c>
      <c r="B235" s="1186" t="s">
        <v>496</v>
      </c>
      <c r="C235" s="1186" t="s">
        <v>28</v>
      </c>
      <c r="D235" s="1186">
        <v>74</v>
      </c>
      <c r="E235" s="1186">
        <v>11</v>
      </c>
      <c r="F235" s="1186">
        <v>2</v>
      </c>
      <c r="G235" s="1186">
        <v>5</v>
      </c>
      <c r="H235" s="1186"/>
      <c r="I235" s="1186">
        <v>2</v>
      </c>
      <c r="J235" s="1186"/>
      <c r="K235" s="1186">
        <v>23</v>
      </c>
      <c r="L235" s="1186">
        <v>10</v>
      </c>
      <c r="M235" s="1186">
        <v>21</v>
      </c>
      <c r="N235" s="1186"/>
      <c r="O235" s="1186">
        <v>149520</v>
      </c>
    </row>
    <row r="236" spans="1:15" x14ac:dyDescent="0.2">
      <c r="A236" s="1186" t="s">
        <v>282</v>
      </c>
      <c r="B236" s="1186" t="s">
        <v>496</v>
      </c>
      <c r="C236" s="1186" t="s">
        <v>29</v>
      </c>
      <c r="D236" s="1186">
        <v>58</v>
      </c>
      <c r="E236" s="1186">
        <v>9</v>
      </c>
      <c r="F236" s="1186">
        <v>2</v>
      </c>
      <c r="G236" s="1186">
        <v>2</v>
      </c>
      <c r="H236" s="1186">
        <v>5</v>
      </c>
      <c r="I236" s="1186">
        <v>1</v>
      </c>
      <c r="J236" s="1186"/>
      <c r="K236" s="1186">
        <v>24</v>
      </c>
      <c r="L236" s="1186">
        <v>4</v>
      </c>
      <c r="M236" s="1186">
        <v>8</v>
      </c>
      <c r="N236" s="1186">
        <v>3</v>
      </c>
      <c r="O236" s="1186">
        <v>148270</v>
      </c>
    </row>
    <row r="237" spans="1:15" x14ac:dyDescent="0.2">
      <c r="A237" s="1186" t="s">
        <v>282</v>
      </c>
      <c r="B237" s="1186" t="s">
        <v>496</v>
      </c>
      <c r="C237" s="1186" t="s">
        <v>30</v>
      </c>
      <c r="D237" s="1186">
        <v>54</v>
      </c>
      <c r="E237" s="1186">
        <v>4</v>
      </c>
      <c r="F237" s="1186">
        <v>3</v>
      </c>
      <c r="G237" s="1186"/>
      <c r="H237" s="1186">
        <v>1</v>
      </c>
      <c r="I237" s="1186"/>
      <c r="J237" s="1186"/>
      <c r="K237" s="1186">
        <v>25</v>
      </c>
      <c r="L237" s="1186">
        <v>9</v>
      </c>
      <c r="M237" s="1186">
        <v>11</v>
      </c>
      <c r="N237" s="1186">
        <v>1</v>
      </c>
      <c r="O237" s="1186">
        <v>122200</v>
      </c>
    </row>
    <row r="238" spans="1:15" x14ac:dyDescent="0.2">
      <c r="A238" s="1186" t="s">
        <v>282</v>
      </c>
      <c r="B238" s="1186" t="s">
        <v>496</v>
      </c>
      <c r="C238" s="1186" t="s">
        <v>31</v>
      </c>
      <c r="D238" s="1186">
        <v>48</v>
      </c>
      <c r="E238" s="1186">
        <v>2</v>
      </c>
      <c r="F238" s="1186">
        <v>2</v>
      </c>
      <c r="G238" s="1186">
        <v>1</v>
      </c>
      <c r="H238" s="1186">
        <v>5</v>
      </c>
      <c r="I238" s="1186"/>
      <c r="J238" s="1186"/>
      <c r="K238" s="1186">
        <v>19</v>
      </c>
      <c r="L238" s="1186">
        <v>8</v>
      </c>
      <c r="M238" s="1186">
        <v>9</v>
      </c>
      <c r="N238" s="1186">
        <v>2</v>
      </c>
      <c r="O238" s="1186">
        <v>107540</v>
      </c>
    </row>
    <row r="239" spans="1:15" x14ac:dyDescent="0.2">
      <c r="A239" s="1186" t="s">
        <v>282</v>
      </c>
      <c r="B239" s="1186" t="s">
        <v>496</v>
      </c>
      <c r="C239" s="1186" t="s">
        <v>32</v>
      </c>
      <c r="D239" s="1186">
        <v>52</v>
      </c>
      <c r="E239" s="1186">
        <v>6</v>
      </c>
      <c r="F239" s="1186">
        <v>4</v>
      </c>
      <c r="G239" s="1186">
        <v>7</v>
      </c>
      <c r="H239" s="1186">
        <v>7</v>
      </c>
      <c r="I239" s="1186"/>
      <c r="J239" s="1186">
        <v>1</v>
      </c>
      <c r="K239" s="1186">
        <v>17</v>
      </c>
      <c r="L239" s="1186">
        <v>4</v>
      </c>
      <c r="M239" s="1186">
        <v>5</v>
      </c>
      <c r="N239" s="1186">
        <v>1</v>
      </c>
      <c r="O239" s="1186">
        <v>104090</v>
      </c>
    </row>
    <row r="240" spans="1:15" x14ac:dyDescent="0.2">
      <c r="A240" s="1186" t="s">
        <v>282</v>
      </c>
      <c r="B240" s="1186" t="s">
        <v>496</v>
      </c>
      <c r="C240" s="1186" t="s">
        <v>33</v>
      </c>
      <c r="D240" s="1186">
        <v>24</v>
      </c>
      <c r="E240" s="1186">
        <v>4</v>
      </c>
      <c r="F240" s="1186">
        <v>2</v>
      </c>
      <c r="G240" s="1186">
        <v>1</v>
      </c>
      <c r="H240" s="1186">
        <v>1</v>
      </c>
      <c r="I240" s="1186"/>
      <c r="J240" s="1186"/>
      <c r="K240" s="1186">
        <v>9</v>
      </c>
      <c r="L240" s="1186">
        <v>4</v>
      </c>
      <c r="M240" s="1186">
        <v>3</v>
      </c>
      <c r="N240" s="1186"/>
      <c r="O240" s="1186">
        <v>93810</v>
      </c>
    </row>
    <row r="241" spans="1:15" x14ac:dyDescent="0.2">
      <c r="A241" s="1186" t="s">
        <v>282</v>
      </c>
      <c r="B241" s="1186" t="s">
        <v>496</v>
      </c>
      <c r="C241" s="1186" t="s">
        <v>34</v>
      </c>
      <c r="D241" s="1186">
        <v>99</v>
      </c>
      <c r="E241" s="1186">
        <v>5</v>
      </c>
      <c r="F241" s="1186">
        <v>2</v>
      </c>
      <c r="G241" s="1186">
        <v>5</v>
      </c>
      <c r="H241" s="1186">
        <v>37</v>
      </c>
      <c r="I241" s="1186"/>
      <c r="J241" s="1186"/>
      <c r="K241" s="1186">
        <v>24</v>
      </c>
      <c r="L241" s="1186">
        <v>9</v>
      </c>
      <c r="M241" s="1186">
        <v>15</v>
      </c>
      <c r="N241" s="1186">
        <v>2</v>
      </c>
      <c r="O241" s="1186">
        <v>159380</v>
      </c>
    </row>
    <row r="242" spans="1:15" x14ac:dyDescent="0.2">
      <c r="A242" s="1186" t="s">
        <v>282</v>
      </c>
      <c r="B242" s="1186" t="s">
        <v>496</v>
      </c>
      <c r="C242" s="1186" t="s">
        <v>35</v>
      </c>
      <c r="D242" s="1186">
        <v>214</v>
      </c>
      <c r="E242" s="1186">
        <v>37</v>
      </c>
      <c r="F242" s="1186">
        <v>4</v>
      </c>
      <c r="G242" s="1186">
        <v>15</v>
      </c>
      <c r="H242" s="1186">
        <v>51</v>
      </c>
      <c r="I242" s="1186">
        <v>3</v>
      </c>
      <c r="J242" s="1186">
        <v>1</v>
      </c>
      <c r="K242" s="1186">
        <v>51</v>
      </c>
      <c r="L242" s="1186">
        <v>12</v>
      </c>
      <c r="M242" s="1186">
        <v>37</v>
      </c>
      <c r="N242" s="1186">
        <v>3</v>
      </c>
      <c r="O242" s="1186">
        <v>370330</v>
      </c>
    </row>
    <row r="243" spans="1:15" x14ac:dyDescent="0.2">
      <c r="A243" s="1186" t="s">
        <v>282</v>
      </c>
      <c r="B243" s="1186" t="s">
        <v>496</v>
      </c>
      <c r="C243" s="1186" t="s">
        <v>36</v>
      </c>
      <c r="D243" s="1186">
        <v>384</v>
      </c>
      <c r="E243" s="1186">
        <v>35</v>
      </c>
      <c r="F243" s="1186">
        <v>24</v>
      </c>
      <c r="G243" s="1186"/>
      <c r="H243" s="1186">
        <v>5</v>
      </c>
      <c r="I243" s="1186"/>
      <c r="J243" s="1186">
        <v>1</v>
      </c>
      <c r="K243" s="1186">
        <v>189</v>
      </c>
      <c r="L243" s="1186">
        <v>57</v>
      </c>
      <c r="M243" s="1186">
        <v>63</v>
      </c>
      <c r="N243" s="1186">
        <v>10</v>
      </c>
      <c r="O243" s="1186">
        <v>615070</v>
      </c>
    </row>
    <row r="244" spans="1:15" x14ac:dyDescent="0.2">
      <c r="A244" s="1186" t="s">
        <v>282</v>
      </c>
      <c r="B244" s="1186" t="s">
        <v>496</v>
      </c>
      <c r="C244" s="1186" t="s">
        <v>37</v>
      </c>
      <c r="D244" s="1186">
        <v>125</v>
      </c>
      <c r="E244" s="1186">
        <v>9</v>
      </c>
      <c r="F244" s="1186">
        <v>10</v>
      </c>
      <c r="G244" s="1186">
        <v>13</v>
      </c>
      <c r="H244" s="1186"/>
      <c r="I244" s="1186">
        <v>2</v>
      </c>
      <c r="J244" s="1186">
        <v>2</v>
      </c>
      <c r="K244" s="1186">
        <v>42</v>
      </c>
      <c r="L244" s="1186">
        <v>6</v>
      </c>
      <c r="M244" s="1186">
        <v>39</v>
      </c>
      <c r="N244" s="1186">
        <v>2</v>
      </c>
      <c r="O244" s="1186">
        <v>234770</v>
      </c>
    </row>
    <row r="245" spans="1:15" x14ac:dyDescent="0.2">
      <c r="A245" s="1186" t="s">
        <v>282</v>
      </c>
      <c r="B245" s="1186" t="s">
        <v>496</v>
      </c>
      <c r="C245" s="1186" t="s">
        <v>38</v>
      </c>
      <c r="D245" s="1186">
        <v>52</v>
      </c>
      <c r="E245" s="1186">
        <v>4</v>
      </c>
      <c r="F245" s="1186">
        <v>3</v>
      </c>
      <c r="G245" s="1186">
        <v>2</v>
      </c>
      <c r="H245" s="1186"/>
      <c r="I245" s="1186"/>
      <c r="J245" s="1186"/>
      <c r="K245" s="1186">
        <v>28</v>
      </c>
      <c r="L245" s="1186">
        <v>6</v>
      </c>
      <c r="M245" s="1186">
        <v>8</v>
      </c>
      <c r="N245" s="1186">
        <v>1</v>
      </c>
      <c r="O245" s="1186">
        <v>79160</v>
      </c>
    </row>
    <row r="246" spans="1:15" x14ac:dyDescent="0.2">
      <c r="A246" s="1186" t="s">
        <v>282</v>
      </c>
      <c r="B246" s="1186" t="s">
        <v>496</v>
      </c>
      <c r="C246" s="1186" t="s">
        <v>39</v>
      </c>
      <c r="D246" s="1186">
        <v>95</v>
      </c>
      <c r="E246" s="1186">
        <v>11</v>
      </c>
      <c r="F246" s="1186">
        <v>3</v>
      </c>
      <c r="G246" s="1186">
        <v>8</v>
      </c>
      <c r="H246" s="1186">
        <v>28</v>
      </c>
      <c r="I246" s="1186"/>
      <c r="J246" s="1186"/>
      <c r="K246" s="1186">
        <v>20</v>
      </c>
      <c r="L246" s="1186">
        <v>7</v>
      </c>
      <c r="M246" s="1186">
        <v>11</v>
      </c>
      <c r="N246" s="1186">
        <v>7</v>
      </c>
      <c r="O246" s="1186">
        <v>88610</v>
      </c>
    </row>
    <row r="247" spans="1:15" x14ac:dyDescent="0.2">
      <c r="A247" s="1186" t="s">
        <v>282</v>
      </c>
      <c r="B247" s="1186" t="s">
        <v>496</v>
      </c>
      <c r="C247" s="1186" t="s">
        <v>40</v>
      </c>
      <c r="D247" s="1186">
        <v>44</v>
      </c>
      <c r="E247" s="1186">
        <v>2</v>
      </c>
      <c r="F247" s="1186">
        <v>1</v>
      </c>
      <c r="G247" s="1186">
        <v>4</v>
      </c>
      <c r="H247" s="1186">
        <v>1</v>
      </c>
      <c r="I247" s="1186"/>
      <c r="J247" s="1186"/>
      <c r="K247" s="1186">
        <v>18</v>
      </c>
      <c r="L247" s="1186">
        <v>3</v>
      </c>
      <c r="M247" s="1186">
        <v>15</v>
      </c>
      <c r="N247" s="1186"/>
      <c r="O247" s="1186">
        <v>96070</v>
      </c>
    </row>
    <row r="248" spans="1:15" x14ac:dyDescent="0.2">
      <c r="A248" s="1186" t="s">
        <v>282</v>
      </c>
      <c r="B248" s="1186" t="s">
        <v>496</v>
      </c>
      <c r="C248" s="1186" t="s">
        <v>295</v>
      </c>
      <c r="D248" s="1186">
        <v>8</v>
      </c>
      <c r="E248" s="1186"/>
      <c r="F248" s="1186">
        <v>5</v>
      </c>
      <c r="G248" s="1186"/>
      <c r="H248" s="1186">
        <v>1</v>
      </c>
      <c r="I248" s="1186">
        <v>1</v>
      </c>
      <c r="J248" s="1186"/>
      <c r="K248" s="1186"/>
      <c r="L248" s="1186"/>
      <c r="M248" s="1186">
        <v>1</v>
      </c>
      <c r="N248" s="1186"/>
      <c r="O248" s="1186">
        <v>26900</v>
      </c>
    </row>
    <row r="249" spans="1:15" x14ac:dyDescent="0.2">
      <c r="A249" s="1186" t="s">
        <v>282</v>
      </c>
      <c r="B249" s="1186" t="s">
        <v>496</v>
      </c>
      <c r="C249" s="1186" t="s">
        <v>41</v>
      </c>
      <c r="D249" s="1186">
        <v>59</v>
      </c>
      <c r="E249" s="1186">
        <v>13</v>
      </c>
      <c r="F249" s="1186">
        <v>8</v>
      </c>
      <c r="G249" s="1186"/>
      <c r="H249" s="1186">
        <v>5</v>
      </c>
      <c r="I249" s="1186">
        <v>1</v>
      </c>
      <c r="J249" s="1186"/>
      <c r="K249" s="1186">
        <v>24</v>
      </c>
      <c r="L249" s="1186">
        <v>2</v>
      </c>
      <c r="M249" s="1186">
        <v>5</v>
      </c>
      <c r="N249" s="1186">
        <v>1</v>
      </c>
      <c r="O249" s="1186">
        <v>135890</v>
      </c>
    </row>
    <row r="250" spans="1:15" x14ac:dyDescent="0.2">
      <c r="A250" s="1186" t="s">
        <v>282</v>
      </c>
      <c r="B250" s="1186" t="s">
        <v>496</v>
      </c>
      <c r="C250" s="1186" t="s">
        <v>42</v>
      </c>
      <c r="D250" s="1186">
        <v>222</v>
      </c>
      <c r="E250" s="1186">
        <v>18</v>
      </c>
      <c r="F250" s="1186">
        <v>9</v>
      </c>
      <c r="G250" s="1186">
        <v>5</v>
      </c>
      <c r="H250" s="1186">
        <v>9</v>
      </c>
      <c r="I250" s="1186">
        <v>2</v>
      </c>
      <c r="J250" s="1186">
        <v>2</v>
      </c>
      <c r="K250" s="1186">
        <v>87</v>
      </c>
      <c r="L250" s="1186">
        <v>38</v>
      </c>
      <c r="M250" s="1186">
        <v>46</v>
      </c>
      <c r="N250" s="1186">
        <v>6</v>
      </c>
      <c r="O250" s="1186">
        <v>339390</v>
      </c>
    </row>
    <row r="251" spans="1:15" x14ac:dyDescent="0.2">
      <c r="A251" s="1186" t="s">
        <v>282</v>
      </c>
      <c r="B251" s="1186" t="s">
        <v>496</v>
      </c>
      <c r="C251" s="1186" t="s">
        <v>43</v>
      </c>
      <c r="D251" s="1186">
        <v>11</v>
      </c>
      <c r="E251" s="1186">
        <v>1</v>
      </c>
      <c r="F251" s="1186">
        <v>2</v>
      </c>
      <c r="G251" s="1186"/>
      <c r="H251" s="1186"/>
      <c r="I251" s="1186"/>
      <c r="J251" s="1186"/>
      <c r="K251" s="1186">
        <v>4</v>
      </c>
      <c r="L251" s="1186">
        <v>1</v>
      </c>
      <c r="M251" s="1186">
        <v>3</v>
      </c>
      <c r="N251" s="1186"/>
      <c r="O251" s="1186">
        <v>21850</v>
      </c>
    </row>
    <row r="252" spans="1:15" x14ac:dyDescent="0.2">
      <c r="A252" s="1186" t="s">
        <v>282</v>
      </c>
      <c r="B252" s="1186" t="s">
        <v>496</v>
      </c>
      <c r="C252" s="1186" t="s">
        <v>44</v>
      </c>
      <c r="D252" s="1186">
        <v>72</v>
      </c>
      <c r="E252" s="1186">
        <v>7</v>
      </c>
      <c r="F252" s="1186">
        <v>5</v>
      </c>
      <c r="G252" s="1186">
        <v>6</v>
      </c>
      <c r="H252" s="1186">
        <v>4</v>
      </c>
      <c r="I252" s="1186">
        <v>1</v>
      </c>
      <c r="J252" s="1186"/>
      <c r="K252" s="1186">
        <v>27</v>
      </c>
      <c r="L252" s="1186">
        <v>1</v>
      </c>
      <c r="M252" s="1186">
        <v>20</v>
      </c>
      <c r="N252" s="1186">
        <v>1</v>
      </c>
      <c r="O252" s="1186">
        <v>150680</v>
      </c>
    </row>
    <row r="253" spans="1:15" x14ac:dyDescent="0.2">
      <c r="A253" s="1186" t="s">
        <v>282</v>
      </c>
      <c r="B253" s="1186" t="s">
        <v>496</v>
      </c>
      <c r="C253" s="1186" t="s">
        <v>45</v>
      </c>
      <c r="D253" s="1186">
        <v>102</v>
      </c>
      <c r="E253" s="1186">
        <v>13</v>
      </c>
      <c r="F253" s="1186">
        <v>1</v>
      </c>
      <c r="G253" s="1186">
        <v>1</v>
      </c>
      <c r="H253" s="1186">
        <v>12</v>
      </c>
      <c r="I253" s="1186"/>
      <c r="J253" s="1186"/>
      <c r="K253" s="1186">
        <v>37</v>
      </c>
      <c r="L253" s="1186">
        <v>15</v>
      </c>
      <c r="M253" s="1186">
        <v>23</v>
      </c>
      <c r="N253" s="1186"/>
      <c r="O253" s="1186">
        <v>175930</v>
      </c>
    </row>
    <row r="254" spans="1:15" x14ac:dyDescent="0.2">
      <c r="A254" s="1186" t="s">
        <v>282</v>
      </c>
      <c r="B254" s="1186" t="s">
        <v>496</v>
      </c>
      <c r="C254" s="1186" t="s">
        <v>46</v>
      </c>
      <c r="D254" s="1186">
        <v>62</v>
      </c>
      <c r="E254" s="1186">
        <v>10</v>
      </c>
      <c r="F254" s="1186">
        <v>5</v>
      </c>
      <c r="G254" s="1186">
        <v>4</v>
      </c>
      <c r="H254" s="1186">
        <v>6</v>
      </c>
      <c r="I254" s="1186">
        <v>1</v>
      </c>
      <c r="J254" s="1186"/>
      <c r="K254" s="1186">
        <v>16</v>
      </c>
      <c r="L254" s="1186">
        <v>1</v>
      </c>
      <c r="M254" s="1186">
        <v>17</v>
      </c>
      <c r="N254" s="1186">
        <v>2</v>
      </c>
      <c r="O254" s="1186">
        <v>114530</v>
      </c>
    </row>
    <row r="255" spans="1:15" x14ac:dyDescent="0.2">
      <c r="A255" s="1186" t="s">
        <v>282</v>
      </c>
      <c r="B255" s="1186" t="s">
        <v>496</v>
      </c>
      <c r="C255" s="1186" t="s">
        <v>47</v>
      </c>
      <c r="D255" s="1186">
        <v>9</v>
      </c>
      <c r="E255" s="1186">
        <v>2</v>
      </c>
      <c r="F255" s="1186">
        <v>4</v>
      </c>
      <c r="G255" s="1186"/>
      <c r="H255" s="1186"/>
      <c r="I255" s="1186"/>
      <c r="J255" s="1186"/>
      <c r="K255" s="1186">
        <v>2</v>
      </c>
      <c r="L255" s="1186"/>
      <c r="M255" s="1186">
        <v>1</v>
      </c>
      <c r="N255" s="1186"/>
      <c r="O255" s="1186">
        <v>23200</v>
      </c>
    </row>
    <row r="256" spans="1:15" x14ac:dyDescent="0.2">
      <c r="A256" s="1186" t="s">
        <v>282</v>
      </c>
      <c r="B256" s="1186" t="s">
        <v>496</v>
      </c>
      <c r="C256" s="1186" t="s">
        <v>48</v>
      </c>
      <c r="D256" s="1186">
        <v>47</v>
      </c>
      <c r="E256" s="1186">
        <v>5</v>
      </c>
      <c r="F256" s="1186">
        <v>8</v>
      </c>
      <c r="G256" s="1186"/>
      <c r="H256" s="1186">
        <v>3</v>
      </c>
      <c r="I256" s="1186">
        <v>1</v>
      </c>
      <c r="J256" s="1186"/>
      <c r="K256" s="1186">
        <v>12</v>
      </c>
      <c r="L256" s="1186">
        <v>5</v>
      </c>
      <c r="M256" s="1186">
        <v>13</v>
      </c>
      <c r="N256" s="1186"/>
      <c r="O256" s="1186">
        <v>112470</v>
      </c>
    </row>
    <row r="257" spans="1:15" x14ac:dyDescent="0.2">
      <c r="A257" s="1186" t="s">
        <v>282</v>
      </c>
      <c r="B257" s="1186" t="s">
        <v>496</v>
      </c>
      <c r="C257" s="1186" t="s">
        <v>49</v>
      </c>
      <c r="D257" s="1186">
        <v>197</v>
      </c>
      <c r="E257" s="1186">
        <v>10</v>
      </c>
      <c r="F257" s="1186">
        <v>5</v>
      </c>
      <c r="G257" s="1186">
        <v>2</v>
      </c>
      <c r="H257" s="1186">
        <v>11</v>
      </c>
      <c r="I257" s="1186"/>
      <c r="J257" s="1186">
        <v>2</v>
      </c>
      <c r="K257" s="1186">
        <v>81</v>
      </c>
      <c r="L257" s="1186">
        <v>25</v>
      </c>
      <c r="M257" s="1186">
        <v>55</v>
      </c>
      <c r="N257" s="1186">
        <v>6</v>
      </c>
      <c r="O257" s="1186">
        <v>317100</v>
      </c>
    </row>
    <row r="258" spans="1:15" x14ac:dyDescent="0.2">
      <c r="A258" s="1186" t="s">
        <v>282</v>
      </c>
      <c r="B258" s="1186" t="s">
        <v>496</v>
      </c>
      <c r="C258" s="1186" t="s">
        <v>50</v>
      </c>
      <c r="D258" s="1186">
        <v>74</v>
      </c>
      <c r="E258" s="1186">
        <v>8</v>
      </c>
      <c r="F258" s="1186">
        <v>6</v>
      </c>
      <c r="G258" s="1186">
        <v>7</v>
      </c>
      <c r="H258" s="1186">
        <v>8</v>
      </c>
      <c r="I258" s="1186">
        <v>1</v>
      </c>
      <c r="J258" s="1186"/>
      <c r="K258" s="1186">
        <v>19</v>
      </c>
      <c r="L258" s="1186">
        <v>5</v>
      </c>
      <c r="M258" s="1186">
        <v>17</v>
      </c>
      <c r="N258" s="1186">
        <v>3</v>
      </c>
      <c r="O258" s="1186">
        <v>93750</v>
      </c>
    </row>
    <row r="259" spans="1:15" x14ac:dyDescent="0.2">
      <c r="A259" s="1186" t="s">
        <v>282</v>
      </c>
      <c r="B259" s="1186" t="s">
        <v>496</v>
      </c>
      <c r="C259" s="1186" t="s">
        <v>51</v>
      </c>
      <c r="D259" s="1186">
        <v>73</v>
      </c>
      <c r="E259" s="1186">
        <v>13</v>
      </c>
      <c r="F259" s="1186">
        <v>3</v>
      </c>
      <c r="G259" s="1186"/>
      <c r="H259" s="1186">
        <v>5</v>
      </c>
      <c r="I259" s="1186">
        <v>2</v>
      </c>
      <c r="J259" s="1186"/>
      <c r="K259" s="1186">
        <v>40</v>
      </c>
      <c r="L259" s="1186">
        <v>5</v>
      </c>
      <c r="M259" s="1186">
        <v>4</v>
      </c>
      <c r="N259" s="1186">
        <v>1</v>
      </c>
      <c r="O259" s="1186">
        <v>89860</v>
      </c>
    </row>
    <row r="260" spans="1:15" x14ac:dyDescent="0.2">
      <c r="A260" s="1186" t="s">
        <v>282</v>
      </c>
      <c r="B260" s="1186" t="s">
        <v>496</v>
      </c>
      <c r="C260" s="1186" t="s">
        <v>52</v>
      </c>
      <c r="D260" s="1186">
        <v>138</v>
      </c>
      <c r="E260" s="1186">
        <v>25</v>
      </c>
      <c r="F260" s="1186">
        <v>4</v>
      </c>
      <c r="G260" s="1186">
        <v>2</v>
      </c>
      <c r="H260" s="1186">
        <v>36</v>
      </c>
      <c r="I260" s="1186"/>
      <c r="J260" s="1186"/>
      <c r="K260" s="1186">
        <v>41</v>
      </c>
      <c r="L260" s="1186">
        <v>9</v>
      </c>
      <c r="M260" s="1186">
        <v>18</v>
      </c>
      <c r="N260" s="1186">
        <v>3</v>
      </c>
      <c r="O260" s="1186">
        <v>180130</v>
      </c>
    </row>
    <row r="261" spans="1:15" x14ac:dyDescent="0.2">
      <c r="A261" s="1186" t="s">
        <v>311</v>
      </c>
      <c r="B261" s="1186" t="s">
        <v>496</v>
      </c>
      <c r="C261" s="1186" t="s">
        <v>23</v>
      </c>
      <c r="D261" s="1186">
        <v>80</v>
      </c>
      <c r="E261" s="1186">
        <v>8</v>
      </c>
      <c r="F261" s="1186">
        <v>5</v>
      </c>
      <c r="G261" s="1186">
        <v>1</v>
      </c>
      <c r="H261" s="1186">
        <v>2</v>
      </c>
      <c r="I261" s="1186"/>
      <c r="J261" s="1186"/>
      <c r="K261" s="1186">
        <v>29</v>
      </c>
      <c r="L261" s="1186">
        <v>11</v>
      </c>
      <c r="M261" s="1186">
        <v>17</v>
      </c>
      <c r="N261" s="1186">
        <v>7</v>
      </c>
      <c r="O261" s="1186">
        <v>228800</v>
      </c>
    </row>
    <row r="262" spans="1:15" x14ac:dyDescent="0.2">
      <c r="A262" s="1186" t="s">
        <v>311</v>
      </c>
      <c r="B262" s="1186" t="s">
        <v>496</v>
      </c>
      <c r="C262" s="1186" t="s">
        <v>24</v>
      </c>
      <c r="D262" s="1186">
        <v>119</v>
      </c>
      <c r="E262" s="1186">
        <v>11</v>
      </c>
      <c r="F262" s="1186">
        <v>19</v>
      </c>
      <c r="G262" s="1186">
        <v>9</v>
      </c>
      <c r="H262" s="1186"/>
      <c r="I262" s="1186">
        <v>2</v>
      </c>
      <c r="J262" s="1186"/>
      <c r="K262" s="1186">
        <v>37</v>
      </c>
      <c r="L262" s="1186">
        <v>4</v>
      </c>
      <c r="M262" s="1186">
        <v>37</v>
      </c>
      <c r="N262" s="1186"/>
      <c r="O262" s="1186">
        <v>261800</v>
      </c>
    </row>
    <row r="263" spans="1:15" x14ac:dyDescent="0.2">
      <c r="A263" s="1186" t="s">
        <v>311</v>
      </c>
      <c r="B263" s="1186" t="s">
        <v>496</v>
      </c>
      <c r="C263" s="1186" t="s">
        <v>25</v>
      </c>
      <c r="D263" s="1186">
        <v>48</v>
      </c>
      <c r="E263" s="1186">
        <v>7</v>
      </c>
      <c r="F263" s="1186">
        <v>3</v>
      </c>
      <c r="G263" s="1186">
        <v>4</v>
      </c>
      <c r="H263" s="1186">
        <v>4</v>
      </c>
      <c r="I263" s="1186"/>
      <c r="J263" s="1186"/>
      <c r="K263" s="1186">
        <v>11</v>
      </c>
      <c r="L263" s="1186">
        <v>3</v>
      </c>
      <c r="M263" s="1186">
        <v>16</v>
      </c>
      <c r="N263" s="1186"/>
      <c r="O263" s="1186">
        <v>116280</v>
      </c>
    </row>
    <row r="264" spans="1:15" x14ac:dyDescent="0.2">
      <c r="A264" s="1186" t="s">
        <v>311</v>
      </c>
      <c r="B264" s="1186" t="s">
        <v>496</v>
      </c>
      <c r="C264" s="1186" t="s">
        <v>26</v>
      </c>
      <c r="D264" s="1186">
        <v>50</v>
      </c>
      <c r="E264" s="1186">
        <v>4</v>
      </c>
      <c r="F264" s="1186">
        <v>5</v>
      </c>
      <c r="G264" s="1186">
        <v>1</v>
      </c>
      <c r="H264" s="1186">
        <v>2</v>
      </c>
      <c r="I264" s="1186">
        <v>4</v>
      </c>
      <c r="J264" s="1186"/>
      <c r="K264" s="1186">
        <v>20</v>
      </c>
      <c r="L264" s="1186">
        <v>4</v>
      </c>
      <c r="M264" s="1186">
        <v>10</v>
      </c>
      <c r="N264" s="1186"/>
      <c r="O264" s="1186">
        <v>86810</v>
      </c>
    </row>
    <row r="265" spans="1:15" x14ac:dyDescent="0.2">
      <c r="A265" s="1186" t="s">
        <v>311</v>
      </c>
      <c r="B265" s="1186" t="s">
        <v>496</v>
      </c>
      <c r="C265" s="1186" t="s">
        <v>619</v>
      </c>
      <c r="D265" s="1186">
        <v>279</v>
      </c>
      <c r="E265" s="1186">
        <v>49</v>
      </c>
      <c r="F265" s="1186">
        <v>6</v>
      </c>
      <c r="G265" s="1186">
        <v>7</v>
      </c>
      <c r="H265" s="1186">
        <v>30</v>
      </c>
      <c r="I265" s="1186">
        <v>2</v>
      </c>
      <c r="J265" s="1186">
        <v>1</v>
      </c>
      <c r="K265" s="1186">
        <v>76</v>
      </c>
      <c r="L265" s="1186">
        <v>20</v>
      </c>
      <c r="M265" s="1186">
        <v>38</v>
      </c>
      <c r="N265" s="1186">
        <v>50</v>
      </c>
      <c r="O265" s="1186">
        <v>513210</v>
      </c>
    </row>
    <row r="266" spans="1:15" x14ac:dyDescent="0.2">
      <c r="A266" s="1186" t="s">
        <v>311</v>
      </c>
      <c r="B266" s="1186" t="s">
        <v>496</v>
      </c>
      <c r="C266" s="1186" t="s">
        <v>27</v>
      </c>
      <c r="D266" s="1186">
        <v>21</v>
      </c>
      <c r="E266" s="1186"/>
      <c r="F266" s="1186"/>
      <c r="G266" s="1186">
        <v>4</v>
      </c>
      <c r="H266" s="1186">
        <v>7</v>
      </c>
      <c r="I266" s="1186"/>
      <c r="J266" s="1186"/>
      <c r="K266" s="1186">
        <v>5</v>
      </c>
      <c r="L266" s="1186">
        <v>2</v>
      </c>
      <c r="M266" s="1186">
        <v>2</v>
      </c>
      <c r="N266" s="1186">
        <v>1</v>
      </c>
      <c r="O266" s="1186">
        <v>51450</v>
      </c>
    </row>
    <row r="267" spans="1:15" x14ac:dyDescent="0.2">
      <c r="A267" s="1186" t="s">
        <v>311</v>
      </c>
      <c r="B267" s="1186" t="s">
        <v>496</v>
      </c>
      <c r="C267" s="1186" t="s">
        <v>28</v>
      </c>
      <c r="D267" s="1186">
        <v>83</v>
      </c>
      <c r="E267" s="1186">
        <v>12</v>
      </c>
      <c r="F267" s="1186">
        <v>4</v>
      </c>
      <c r="G267" s="1186">
        <v>2</v>
      </c>
      <c r="H267" s="1186">
        <v>5</v>
      </c>
      <c r="I267" s="1186"/>
      <c r="J267" s="1186"/>
      <c r="K267" s="1186">
        <v>29</v>
      </c>
      <c r="L267" s="1186">
        <v>3</v>
      </c>
      <c r="M267" s="1186">
        <v>27</v>
      </c>
      <c r="N267" s="1186">
        <v>1</v>
      </c>
      <c r="O267" s="1186">
        <v>149200</v>
      </c>
    </row>
    <row r="268" spans="1:15" x14ac:dyDescent="0.2">
      <c r="A268" s="1186" t="s">
        <v>311</v>
      </c>
      <c r="B268" s="1186" t="s">
        <v>496</v>
      </c>
      <c r="C268" s="1186" t="s">
        <v>29</v>
      </c>
      <c r="D268" s="1186">
        <v>70</v>
      </c>
      <c r="E268" s="1186">
        <v>17</v>
      </c>
      <c r="F268" s="1186">
        <v>2</v>
      </c>
      <c r="G268" s="1186"/>
      <c r="H268" s="1186">
        <v>5</v>
      </c>
      <c r="I268" s="1186"/>
      <c r="J268" s="1186"/>
      <c r="K268" s="1186">
        <v>25</v>
      </c>
      <c r="L268" s="1186">
        <v>7</v>
      </c>
      <c r="M268" s="1186">
        <v>10</v>
      </c>
      <c r="N268" s="1186">
        <v>4</v>
      </c>
      <c r="O268" s="1186">
        <v>148710</v>
      </c>
    </row>
    <row r="269" spans="1:15" x14ac:dyDescent="0.2">
      <c r="A269" s="1186" t="s">
        <v>311</v>
      </c>
      <c r="B269" s="1186" t="s">
        <v>496</v>
      </c>
      <c r="C269" s="1186" t="s">
        <v>30</v>
      </c>
      <c r="D269" s="1186">
        <v>60</v>
      </c>
      <c r="E269" s="1186">
        <v>4</v>
      </c>
      <c r="F269" s="1186">
        <v>2</v>
      </c>
      <c r="G269" s="1186">
        <v>1</v>
      </c>
      <c r="H269" s="1186">
        <v>4</v>
      </c>
      <c r="I269" s="1186"/>
      <c r="J269" s="1186"/>
      <c r="K269" s="1186">
        <v>33</v>
      </c>
      <c r="L269" s="1186">
        <v>4</v>
      </c>
      <c r="M269" s="1186">
        <v>11</v>
      </c>
      <c r="N269" s="1186">
        <v>1</v>
      </c>
      <c r="O269" s="1186">
        <v>121940</v>
      </c>
    </row>
    <row r="270" spans="1:15" x14ac:dyDescent="0.2">
      <c r="A270" s="1186" t="s">
        <v>311</v>
      </c>
      <c r="B270" s="1186" t="s">
        <v>496</v>
      </c>
      <c r="C270" s="1186" t="s">
        <v>31</v>
      </c>
      <c r="D270" s="1186">
        <v>57</v>
      </c>
      <c r="E270" s="1186">
        <v>5</v>
      </c>
      <c r="F270" s="1186"/>
      <c r="G270" s="1186"/>
      <c r="H270" s="1186">
        <v>5</v>
      </c>
      <c r="I270" s="1186"/>
      <c r="J270" s="1186"/>
      <c r="K270" s="1186">
        <v>25</v>
      </c>
      <c r="L270" s="1186">
        <v>13</v>
      </c>
      <c r="M270" s="1186">
        <v>7</v>
      </c>
      <c r="N270" s="1186">
        <v>2</v>
      </c>
      <c r="O270" s="1186">
        <v>108130</v>
      </c>
    </row>
    <row r="271" spans="1:15" x14ac:dyDescent="0.2">
      <c r="A271" s="1186" t="s">
        <v>311</v>
      </c>
      <c r="B271" s="1186" t="s">
        <v>496</v>
      </c>
      <c r="C271" s="1186" t="s">
        <v>32</v>
      </c>
      <c r="D271" s="1186">
        <v>75</v>
      </c>
      <c r="E271" s="1186">
        <v>15</v>
      </c>
      <c r="F271" s="1186">
        <v>3</v>
      </c>
      <c r="G271" s="1186">
        <v>7</v>
      </c>
      <c r="H271" s="1186">
        <v>19</v>
      </c>
      <c r="I271" s="1186">
        <v>1</v>
      </c>
      <c r="J271" s="1186"/>
      <c r="K271" s="1186">
        <v>12</v>
      </c>
      <c r="L271" s="1186">
        <v>3</v>
      </c>
      <c r="M271" s="1186">
        <v>12</v>
      </c>
      <c r="N271" s="1186">
        <v>3</v>
      </c>
      <c r="O271" s="1186">
        <v>104840</v>
      </c>
    </row>
    <row r="272" spans="1:15" x14ac:dyDescent="0.2">
      <c r="A272" s="1186" t="s">
        <v>311</v>
      </c>
      <c r="B272" s="1186" t="s">
        <v>496</v>
      </c>
      <c r="C272" s="1186" t="s">
        <v>33</v>
      </c>
      <c r="D272" s="1186">
        <v>23</v>
      </c>
      <c r="E272" s="1186">
        <v>1</v>
      </c>
      <c r="F272" s="1186">
        <v>2</v>
      </c>
      <c r="G272" s="1186"/>
      <c r="H272" s="1186">
        <v>1</v>
      </c>
      <c r="I272" s="1186"/>
      <c r="J272" s="1186"/>
      <c r="K272" s="1186">
        <v>11</v>
      </c>
      <c r="L272" s="1186">
        <v>4</v>
      </c>
      <c r="M272" s="1186">
        <v>4</v>
      </c>
      <c r="N272" s="1186"/>
      <c r="O272" s="1186">
        <v>94760</v>
      </c>
    </row>
    <row r="273" spans="1:15" x14ac:dyDescent="0.2">
      <c r="A273" s="1186" t="s">
        <v>311</v>
      </c>
      <c r="B273" s="1186" t="s">
        <v>496</v>
      </c>
      <c r="C273" s="1186" t="s">
        <v>34</v>
      </c>
      <c r="D273" s="1186">
        <v>125</v>
      </c>
      <c r="E273" s="1186">
        <v>16</v>
      </c>
      <c r="F273" s="1186">
        <v>2</v>
      </c>
      <c r="G273" s="1186">
        <v>6</v>
      </c>
      <c r="H273" s="1186">
        <v>48</v>
      </c>
      <c r="I273" s="1186"/>
      <c r="J273" s="1186">
        <v>1</v>
      </c>
      <c r="K273" s="1186">
        <v>22</v>
      </c>
      <c r="L273" s="1186">
        <v>5</v>
      </c>
      <c r="M273" s="1186">
        <v>20</v>
      </c>
      <c r="N273" s="1186">
        <v>5</v>
      </c>
      <c r="O273" s="1186">
        <v>160130</v>
      </c>
    </row>
    <row r="274" spans="1:15" x14ac:dyDescent="0.2">
      <c r="A274" s="1186" t="s">
        <v>311</v>
      </c>
      <c r="B274" s="1186" t="s">
        <v>496</v>
      </c>
      <c r="C274" s="1186" t="s">
        <v>35</v>
      </c>
      <c r="D274" s="1186">
        <v>205</v>
      </c>
      <c r="E274" s="1186">
        <v>24</v>
      </c>
      <c r="F274" s="1186">
        <v>14</v>
      </c>
      <c r="G274" s="1186">
        <v>11</v>
      </c>
      <c r="H274" s="1186">
        <v>58</v>
      </c>
      <c r="I274" s="1186">
        <v>3</v>
      </c>
      <c r="J274" s="1186"/>
      <c r="K274" s="1186">
        <v>55</v>
      </c>
      <c r="L274" s="1186">
        <v>10</v>
      </c>
      <c r="M274" s="1186">
        <v>26</v>
      </c>
      <c r="N274" s="1186">
        <v>4</v>
      </c>
      <c r="O274" s="1186">
        <v>371410</v>
      </c>
    </row>
    <row r="275" spans="1:15" x14ac:dyDescent="0.2">
      <c r="A275" s="1186" t="s">
        <v>311</v>
      </c>
      <c r="B275" s="1186" t="s">
        <v>496</v>
      </c>
      <c r="C275" s="1186" t="s">
        <v>36</v>
      </c>
      <c r="D275" s="1186">
        <v>380</v>
      </c>
      <c r="E275" s="1186">
        <v>42</v>
      </c>
      <c r="F275" s="1186">
        <v>22</v>
      </c>
      <c r="G275" s="1186"/>
      <c r="H275" s="1186">
        <v>11</v>
      </c>
      <c r="I275" s="1186">
        <v>3</v>
      </c>
      <c r="J275" s="1186">
        <v>2</v>
      </c>
      <c r="K275" s="1186">
        <v>174</v>
      </c>
      <c r="L275" s="1186">
        <v>47</v>
      </c>
      <c r="M275" s="1186">
        <v>73</v>
      </c>
      <c r="N275" s="1186">
        <v>6</v>
      </c>
      <c r="O275" s="1186">
        <v>621020</v>
      </c>
    </row>
    <row r="276" spans="1:15" x14ac:dyDescent="0.2">
      <c r="A276" s="1186" t="s">
        <v>311</v>
      </c>
      <c r="B276" s="1186" t="s">
        <v>496</v>
      </c>
      <c r="C276" s="1186" t="s">
        <v>37</v>
      </c>
      <c r="D276" s="1186">
        <v>119</v>
      </c>
      <c r="E276" s="1186">
        <v>7</v>
      </c>
      <c r="F276" s="1186">
        <v>15</v>
      </c>
      <c r="G276" s="1186">
        <v>16</v>
      </c>
      <c r="H276" s="1186">
        <v>6</v>
      </c>
      <c r="I276" s="1186">
        <v>3</v>
      </c>
      <c r="J276" s="1186"/>
      <c r="K276" s="1186">
        <v>30</v>
      </c>
      <c r="L276" s="1186">
        <v>9</v>
      </c>
      <c r="M276" s="1186">
        <v>31</v>
      </c>
      <c r="N276" s="1186">
        <v>2</v>
      </c>
      <c r="O276" s="1186">
        <v>235180</v>
      </c>
    </row>
    <row r="277" spans="1:15" x14ac:dyDescent="0.2">
      <c r="A277" s="1186" t="s">
        <v>311</v>
      </c>
      <c r="B277" s="1186" t="s">
        <v>496</v>
      </c>
      <c r="C277" s="1186" t="s">
        <v>38</v>
      </c>
      <c r="D277" s="1186">
        <v>53</v>
      </c>
      <c r="E277" s="1186">
        <v>6</v>
      </c>
      <c r="F277" s="1186">
        <v>3</v>
      </c>
      <c r="G277" s="1186">
        <v>1</v>
      </c>
      <c r="H277" s="1186"/>
      <c r="I277" s="1186">
        <v>1</v>
      </c>
      <c r="J277" s="1186"/>
      <c r="K277" s="1186">
        <v>21</v>
      </c>
      <c r="L277" s="1186">
        <v>8</v>
      </c>
      <c r="M277" s="1186">
        <v>12</v>
      </c>
      <c r="N277" s="1186">
        <v>1</v>
      </c>
      <c r="O277" s="1186">
        <v>78760</v>
      </c>
    </row>
    <row r="278" spans="1:15" x14ac:dyDescent="0.2">
      <c r="A278" s="1186" t="s">
        <v>311</v>
      </c>
      <c r="B278" s="1186" t="s">
        <v>496</v>
      </c>
      <c r="C278" s="1186" t="s">
        <v>39</v>
      </c>
      <c r="D278" s="1186">
        <v>104</v>
      </c>
      <c r="E278" s="1186">
        <v>13</v>
      </c>
      <c r="F278" s="1186"/>
      <c r="G278" s="1186">
        <v>7</v>
      </c>
      <c r="H278" s="1186">
        <v>41</v>
      </c>
      <c r="I278" s="1186"/>
      <c r="J278" s="1186"/>
      <c r="K278" s="1186">
        <v>20</v>
      </c>
      <c r="L278" s="1186">
        <v>4</v>
      </c>
      <c r="M278" s="1186">
        <v>15</v>
      </c>
      <c r="N278" s="1186">
        <v>4</v>
      </c>
      <c r="O278" s="1186">
        <v>90090</v>
      </c>
    </row>
    <row r="279" spans="1:15" x14ac:dyDescent="0.2">
      <c r="A279" s="1186" t="s">
        <v>311</v>
      </c>
      <c r="B279" s="1186" t="s">
        <v>496</v>
      </c>
      <c r="C279" s="1186" t="s">
        <v>40</v>
      </c>
      <c r="D279" s="1186">
        <v>39</v>
      </c>
      <c r="E279" s="1186">
        <v>5</v>
      </c>
      <c r="F279" s="1186">
        <v>4</v>
      </c>
      <c r="G279" s="1186">
        <v>3</v>
      </c>
      <c r="H279" s="1186">
        <v>1</v>
      </c>
      <c r="I279" s="1186">
        <v>1</v>
      </c>
      <c r="J279" s="1186">
        <v>1</v>
      </c>
      <c r="K279" s="1186">
        <v>10</v>
      </c>
      <c r="L279" s="1186">
        <v>4</v>
      </c>
      <c r="M279" s="1186">
        <v>9</v>
      </c>
      <c r="N279" s="1186">
        <v>1</v>
      </c>
      <c r="O279" s="1186">
        <v>95780</v>
      </c>
    </row>
    <row r="280" spans="1:15" x14ac:dyDescent="0.2">
      <c r="A280" s="1186" t="s">
        <v>311</v>
      </c>
      <c r="B280" s="1186" t="s">
        <v>496</v>
      </c>
      <c r="C280" s="1186" t="s">
        <v>295</v>
      </c>
      <c r="D280" s="1186">
        <v>14</v>
      </c>
      <c r="E280" s="1186"/>
      <c r="F280" s="1186">
        <v>4</v>
      </c>
      <c r="G280" s="1186">
        <v>1</v>
      </c>
      <c r="H280" s="1186"/>
      <c r="I280" s="1186"/>
      <c r="J280" s="1186"/>
      <c r="K280" s="1186">
        <v>5</v>
      </c>
      <c r="L280" s="1186">
        <v>1</v>
      </c>
      <c r="M280" s="1186">
        <v>3</v>
      </c>
      <c r="N280" s="1186"/>
      <c r="O280" s="1186">
        <v>26950</v>
      </c>
    </row>
    <row r="281" spans="1:15" x14ac:dyDescent="0.2">
      <c r="A281" s="1186" t="s">
        <v>311</v>
      </c>
      <c r="B281" s="1186" t="s">
        <v>496</v>
      </c>
      <c r="C281" s="1186" t="s">
        <v>41</v>
      </c>
      <c r="D281" s="1186">
        <v>58</v>
      </c>
      <c r="E281" s="1186">
        <v>6</v>
      </c>
      <c r="F281" s="1186">
        <v>3</v>
      </c>
      <c r="G281" s="1186">
        <v>2</v>
      </c>
      <c r="H281" s="1186">
        <v>5</v>
      </c>
      <c r="I281" s="1186">
        <v>1</v>
      </c>
      <c r="J281" s="1186"/>
      <c r="K281" s="1186">
        <v>27</v>
      </c>
      <c r="L281" s="1186">
        <v>3</v>
      </c>
      <c r="M281" s="1186">
        <v>9</v>
      </c>
      <c r="N281" s="1186">
        <v>2</v>
      </c>
      <c r="O281" s="1186">
        <v>135790</v>
      </c>
    </row>
    <row r="282" spans="1:15" x14ac:dyDescent="0.2">
      <c r="A282" s="1186" t="s">
        <v>311</v>
      </c>
      <c r="B282" s="1186" t="s">
        <v>496</v>
      </c>
      <c r="C282" s="1186" t="s">
        <v>42</v>
      </c>
      <c r="D282" s="1186">
        <v>224</v>
      </c>
      <c r="E282" s="1186">
        <v>12</v>
      </c>
      <c r="F282" s="1186">
        <v>8</v>
      </c>
      <c r="G282" s="1186"/>
      <c r="H282" s="1186">
        <v>10</v>
      </c>
      <c r="I282" s="1186">
        <v>2</v>
      </c>
      <c r="J282" s="1186">
        <v>1</v>
      </c>
      <c r="K282" s="1186">
        <v>101</v>
      </c>
      <c r="L282" s="1186">
        <v>27</v>
      </c>
      <c r="M282" s="1186">
        <v>53</v>
      </c>
      <c r="N282" s="1186">
        <v>10</v>
      </c>
      <c r="O282" s="1186">
        <v>339960</v>
      </c>
    </row>
    <row r="283" spans="1:15" x14ac:dyDescent="0.2">
      <c r="A283" s="1186" t="s">
        <v>311</v>
      </c>
      <c r="B283" s="1186" t="s">
        <v>496</v>
      </c>
      <c r="C283" s="1186" t="s">
        <v>43</v>
      </c>
      <c r="D283" s="1186">
        <v>6</v>
      </c>
      <c r="E283" s="1186"/>
      <c r="F283" s="1186">
        <v>1</v>
      </c>
      <c r="G283" s="1186"/>
      <c r="H283" s="1186"/>
      <c r="I283" s="1186"/>
      <c r="J283" s="1186"/>
      <c r="K283" s="1186">
        <v>1</v>
      </c>
      <c r="L283" s="1186"/>
      <c r="M283" s="1186">
        <v>4</v>
      </c>
      <c r="N283" s="1186"/>
      <c r="O283" s="1186">
        <v>22000</v>
      </c>
    </row>
    <row r="284" spans="1:15" x14ac:dyDescent="0.2">
      <c r="A284" s="1186" t="s">
        <v>311</v>
      </c>
      <c r="B284" s="1186" t="s">
        <v>496</v>
      </c>
      <c r="C284" s="1186" t="s">
        <v>44</v>
      </c>
      <c r="D284" s="1186">
        <v>62</v>
      </c>
      <c r="E284" s="1186">
        <v>4</v>
      </c>
      <c r="F284" s="1186">
        <v>3</v>
      </c>
      <c r="G284" s="1186">
        <v>2</v>
      </c>
      <c r="H284" s="1186">
        <v>9</v>
      </c>
      <c r="I284" s="1186"/>
      <c r="J284" s="1186"/>
      <c r="K284" s="1186">
        <v>21</v>
      </c>
      <c r="L284" s="1186">
        <v>2</v>
      </c>
      <c r="M284" s="1186">
        <v>21</v>
      </c>
      <c r="N284" s="1186"/>
      <c r="O284" s="1186">
        <v>151100</v>
      </c>
    </row>
    <row r="285" spans="1:15" x14ac:dyDescent="0.2">
      <c r="A285" s="1186" t="s">
        <v>311</v>
      </c>
      <c r="B285" s="1186" t="s">
        <v>496</v>
      </c>
      <c r="C285" s="1186" t="s">
        <v>45</v>
      </c>
      <c r="D285" s="1186">
        <v>103</v>
      </c>
      <c r="E285" s="1186">
        <v>12</v>
      </c>
      <c r="F285" s="1186">
        <v>6</v>
      </c>
      <c r="G285" s="1186">
        <v>2</v>
      </c>
      <c r="H285" s="1186">
        <v>12</v>
      </c>
      <c r="I285" s="1186"/>
      <c r="J285" s="1186"/>
      <c r="K285" s="1186">
        <v>47</v>
      </c>
      <c r="L285" s="1186">
        <v>11</v>
      </c>
      <c r="M285" s="1186">
        <v>12</v>
      </c>
      <c r="N285" s="1186">
        <v>1</v>
      </c>
      <c r="O285" s="1186">
        <v>176830</v>
      </c>
    </row>
    <row r="286" spans="1:15" x14ac:dyDescent="0.2">
      <c r="A286" s="1186" t="s">
        <v>311</v>
      </c>
      <c r="B286" s="1186" t="s">
        <v>496</v>
      </c>
      <c r="C286" s="1186" t="s">
        <v>46</v>
      </c>
      <c r="D286" s="1186">
        <v>70</v>
      </c>
      <c r="E286" s="1186">
        <v>3</v>
      </c>
      <c r="F286" s="1186">
        <v>3</v>
      </c>
      <c r="G286" s="1186">
        <v>2</v>
      </c>
      <c r="H286" s="1186">
        <v>37</v>
      </c>
      <c r="I286" s="1186"/>
      <c r="J286" s="1186">
        <v>1</v>
      </c>
      <c r="K286" s="1186">
        <v>13</v>
      </c>
      <c r="L286" s="1186">
        <v>3</v>
      </c>
      <c r="M286" s="1186">
        <v>7</v>
      </c>
      <c r="N286" s="1186">
        <v>1</v>
      </c>
      <c r="O286" s="1186">
        <v>115020</v>
      </c>
    </row>
    <row r="287" spans="1:15" x14ac:dyDescent="0.2">
      <c r="A287" s="1186" t="s">
        <v>311</v>
      </c>
      <c r="B287" s="1186" t="s">
        <v>496</v>
      </c>
      <c r="C287" s="1186" t="s">
        <v>47</v>
      </c>
      <c r="D287" s="1186">
        <v>13</v>
      </c>
      <c r="E287" s="1186"/>
      <c r="F287" s="1186">
        <v>7</v>
      </c>
      <c r="G287" s="1186"/>
      <c r="H287" s="1186"/>
      <c r="I287" s="1186">
        <v>1</v>
      </c>
      <c r="J287" s="1186"/>
      <c r="K287" s="1186">
        <v>3</v>
      </c>
      <c r="L287" s="1186"/>
      <c r="M287" s="1186">
        <v>2</v>
      </c>
      <c r="N287" s="1186"/>
      <c r="O287" s="1186">
        <v>23080</v>
      </c>
    </row>
    <row r="288" spans="1:15" x14ac:dyDescent="0.2">
      <c r="A288" s="1186" t="s">
        <v>311</v>
      </c>
      <c r="B288" s="1186" t="s">
        <v>496</v>
      </c>
      <c r="C288" s="1186" t="s">
        <v>48</v>
      </c>
      <c r="D288" s="1186">
        <v>55</v>
      </c>
      <c r="E288" s="1186">
        <v>4</v>
      </c>
      <c r="F288" s="1186">
        <v>5</v>
      </c>
      <c r="G288" s="1186">
        <v>2</v>
      </c>
      <c r="H288" s="1186">
        <v>3</v>
      </c>
      <c r="I288" s="1186">
        <v>1</v>
      </c>
      <c r="J288" s="1186"/>
      <c r="K288" s="1186">
        <v>22</v>
      </c>
      <c r="L288" s="1186">
        <v>4</v>
      </c>
      <c r="M288" s="1186">
        <v>14</v>
      </c>
      <c r="N288" s="1186"/>
      <c r="O288" s="1186">
        <v>112680</v>
      </c>
    </row>
    <row r="289" spans="1:15" x14ac:dyDescent="0.2">
      <c r="A289" s="1186" t="s">
        <v>311</v>
      </c>
      <c r="B289" s="1186" t="s">
        <v>496</v>
      </c>
      <c r="C289" s="1186" t="s">
        <v>49</v>
      </c>
      <c r="D289" s="1186">
        <v>191</v>
      </c>
      <c r="E289" s="1186">
        <v>21</v>
      </c>
      <c r="F289" s="1186">
        <v>4</v>
      </c>
      <c r="G289" s="1186">
        <v>4</v>
      </c>
      <c r="H289" s="1186">
        <v>10</v>
      </c>
      <c r="I289" s="1186">
        <v>1</v>
      </c>
      <c r="J289" s="1186">
        <v>1</v>
      </c>
      <c r="K289" s="1186">
        <v>81</v>
      </c>
      <c r="L289" s="1186">
        <v>22</v>
      </c>
      <c r="M289" s="1186">
        <v>42</v>
      </c>
      <c r="N289" s="1186">
        <v>5</v>
      </c>
      <c r="O289" s="1186">
        <v>318170</v>
      </c>
    </row>
    <row r="290" spans="1:15" x14ac:dyDescent="0.2">
      <c r="A290" s="1186" t="s">
        <v>311</v>
      </c>
      <c r="B290" s="1186" t="s">
        <v>496</v>
      </c>
      <c r="C290" s="1186" t="s">
        <v>50</v>
      </c>
      <c r="D290" s="1186">
        <v>45</v>
      </c>
      <c r="E290" s="1186">
        <v>6</v>
      </c>
      <c r="F290" s="1186">
        <v>2</v>
      </c>
      <c r="G290" s="1186">
        <v>2</v>
      </c>
      <c r="H290" s="1186">
        <v>7</v>
      </c>
      <c r="I290" s="1186">
        <v>1</v>
      </c>
      <c r="J290" s="1186"/>
      <c r="K290" s="1186">
        <v>18</v>
      </c>
      <c r="L290" s="1186">
        <v>3</v>
      </c>
      <c r="M290" s="1186">
        <v>5</v>
      </c>
      <c r="N290" s="1186">
        <v>1</v>
      </c>
      <c r="O290" s="1186">
        <v>94000</v>
      </c>
    </row>
    <row r="291" spans="1:15" x14ac:dyDescent="0.2">
      <c r="A291" s="1186" t="s">
        <v>311</v>
      </c>
      <c r="B291" s="1186" t="s">
        <v>496</v>
      </c>
      <c r="C291" s="1186" t="s">
        <v>51</v>
      </c>
      <c r="D291" s="1186">
        <v>64</v>
      </c>
      <c r="E291" s="1186">
        <v>5</v>
      </c>
      <c r="F291" s="1186">
        <v>2</v>
      </c>
      <c r="G291" s="1186">
        <v>3</v>
      </c>
      <c r="H291" s="1186"/>
      <c r="I291" s="1186">
        <v>1</v>
      </c>
      <c r="J291" s="1186"/>
      <c r="K291" s="1186">
        <v>41</v>
      </c>
      <c r="L291" s="1186"/>
      <c r="M291" s="1186">
        <v>11</v>
      </c>
      <c r="N291" s="1186">
        <v>1</v>
      </c>
      <c r="O291" s="1186">
        <v>89610</v>
      </c>
    </row>
    <row r="292" spans="1:15" x14ac:dyDescent="0.2">
      <c r="A292" s="1186" t="s">
        <v>311</v>
      </c>
      <c r="B292" s="1186" t="s">
        <v>496</v>
      </c>
      <c r="C292" s="1186" t="s">
        <v>52</v>
      </c>
      <c r="D292" s="1186">
        <v>179</v>
      </c>
      <c r="E292" s="1186">
        <v>15</v>
      </c>
      <c r="F292" s="1186">
        <v>6</v>
      </c>
      <c r="G292" s="1186">
        <v>2</v>
      </c>
      <c r="H292" s="1186">
        <v>79</v>
      </c>
      <c r="I292" s="1186"/>
      <c r="J292" s="1186"/>
      <c r="K292" s="1186">
        <v>45</v>
      </c>
      <c r="L292" s="1186">
        <v>11</v>
      </c>
      <c r="M292" s="1186">
        <v>16</v>
      </c>
      <c r="N292" s="1186">
        <v>5</v>
      </c>
      <c r="O292" s="1186">
        <v>181310</v>
      </c>
    </row>
    <row r="293" spans="1:15" x14ac:dyDescent="0.2">
      <c r="A293" s="1186" t="s">
        <v>621</v>
      </c>
      <c r="B293" s="1186" t="s">
        <v>496</v>
      </c>
      <c r="C293" s="1186" t="s">
        <v>23</v>
      </c>
      <c r="D293" s="1186">
        <v>87</v>
      </c>
      <c r="E293" s="1186">
        <v>7</v>
      </c>
      <c r="F293" s="1186">
        <v>6</v>
      </c>
      <c r="G293" s="1186">
        <v>12</v>
      </c>
      <c r="H293" s="1186">
        <v>3</v>
      </c>
      <c r="I293" s="1186">
        <v>1</v>
      </c>
      <c r="J293" s="1186"/>
      <c r="K293" s="1186">
        <v>27</v>
      </c>
      <c r="L293" s="1186">
        <v>5</v>
      </c>
      <c r="M293" s="1186">
        <v>19</v>
      </c>
      <c r="N293" s="1186">
        <v>7</v>
      </c>
      <c r="O293" s="1186">
        <v>227560</v>
      </c>
    </row>
    <row r="294" spans="1:15" x14ac:dyDescent="0.2">
      <c r="A294" s="1186" t="s">
        <v>621</v>
      </c>
      <c r="B294" s="1186" t="s">
        <v>496</v>
      </c>
      <c r="C294" s="1186" t="s">
        <v>24</v>
      </c>
      <c r="D294" s="1186">
        <v>117</v>
      </c>
      <c r="E294" s="1186">
        <v>12</v>
      </c>
      <c r="F294" s="1186">
        <v>9</v>
      </c>
      <c r="G294" s="1186">
        <v>9</v>
      </c>
      <c r="H294" s="1186">
        <v>11</v>
      </c>
      <c r="I294" s="1186">
        <v>4</v>
      </c>
      <c r="J294" s="1186">
        <v>1</v>
      </c>
      <c r="K294" s="1186">
        <v>30</v>
      </c>
      <c r="L294" s="1186">
        <v>3</v>
      </c>
      <c r="M294" s="1186">
        <v>37</v>
      </c>
      <c r="N294" s="1186">
        <v>1</v>
      </c>
      <c r="O294" s="1186">
        <v>261470</v>
      </c>
    </row>
    <row r="295" spans="1:15" x14ac:dyDescent="0.2">
      <c r="A295" s="1186" t="s">
        <v>621</v>
      </c>
      <c r="B295" s="1186" t="s">
        <v>496</v>
      </c>
      <c r="C295" s="1186" t="s">
        <v>25</v>
      </c>
      <c r="D295" s="1186">
        <v>50</v>
      </c>
      <c r="E295" s="1186">
        <v>2</v>
      </c>
      <c r="F295" s="1186">
        <v>9</v>
      </c>
      <c r="G295" s="1186">
        <v>5</v>
      </c>
      <c r="H295" s="1186">
        <v>3</v>
      </c>
      <c r="I295" s="1186"/>
      <c r="J295" s="1186"/>
      <c r="K295" s="1186">
        <v>8</v>
      </c>
      <c r="L295" s="1186">
        <v>4</v>
      </c>
      <c r="M295" s="1186">
        <v>19</v>
      </c>
      <c r="N295" s="1186"/>
      <c r="O295" s="1186">
        <v>116040</v>
      </c>
    </row>
    <row r="296" spans="1:15" x14ac:dyDescent="0.2">
      <c r="A296" s="1186" t="s">
        <v>621</v>
      </c>
      <c r="B296" s="1186" t="s">
        <v>496</v>
      </c>
      <c r="C296" s="1186" t="s">
        <v>26</v>
      </c>
      <c r="D296" s="1186">
        <v>43</v>
      </c>
      <c r="E296" s="1186">
        <v>2</v>
      </c>
      <c r="F296" s="1186">
        <v>2</v>
      </c>
      <c r="G296" s="1186"/>
      <c r="H296" s="1186">
        <v>3</v>
      </c>
      <c r="I296" s="1186">
        <v>6</v>
      </c>
      <c r="J296" s="1186"/>
      <c r="K296" s="1186">
        <v>16</v>
      </c>
      <c r="L296" s="1186">
        <v>2</v>
      </c>
      <c r="M296" s="1186">
        <v>10</v>
      </c>
      <c r="N296" s="1186">
        <v>2</v>
      </c>
      <c r="O296" s="1186">
        <v>86260</v>
      </c>
    </row>
    <row r="297" spans="1:15" x14ac:dyDescent="0.2">
      <c r="A297" s="1186" t="s">
        <v>621</v>
      </c>
      <c r="B297" s="1186" t="s">
        <v>496</v>
      </c>
      <c r="C297" s="1186" t="s">
        <v>619</v>
      </c>
      <c r="D297" s="1186">
        <v>246</v>
      </c>
      <c r="E297" s="1186">
        <v>38</v>
      </c>
      <c r="F297" s="1186">
        <v>9</v>
      </c>
      <c r="G297" s="1186">
        <v>11</v>
      </c>
      <c r="H297" s="1186">
        <v>42</v>
      </c>
      <c r="I297" s="1186">
        <v>3</v>
      </c>
      <c r="J297" s="1186">
        <v>1</v>
      </c>
      <c r="K297" s="1186">
        <v>58</v>
      </c>
      <c r="L297" s="1186">
        <v>16</v>
      </c>
      <c r="M297" s="1186">
        <v>36</v>
      </c>
      <c r="N297" s="1186">
        <v>32</v>
      </c>
      <c r="O297" s="1186">
        <v>518500</v>
      </c>
    </row>
    <row r="298" spans="1:15" x14ac:dyDescent="0.2">
      <c r="A298" s="1186" t="s">
        <v>621</v>
      </c>
      <c r="B298" s="1186" t="s">
        <v>496</v>
      </c>
      <c r="C298" s="1186" t="s">
        <v>27</v>
      </c>
      <c r="D298" s="1186">
        <v>18</v>
      </c>
      <c r="E298" s="1186">
        <v>2</v>
      </c>
      <c r="F298" s="1186"/>
      <c r="G298" s="1186"/>
      <c r="H298" s="1186">
        <v>6</v>
      </c>
      <c r="I298" s="1186"/>
      <c r="J298" s="1186"/>
      <c r="K298" s="1186">
        <v>9</v>
      </c>
      <c r="L298" s="1186"/>
      <c r="M298" s="1186">
        <v>1</v>
      </c>
      <c r="N298" s="1186"/>
      <c r="O298" s="1186">
        <v>51400</v>
      </c>
    </row>
    <row r="299" spans="1:15" x14ac:dyDescent="0.2">
      <c r="A299" s="1186" t="s">
        <v>621</v>
      </c>
      <c r="B299" s="1186" t="s">
        <v>496</v>
      </c>
      <c r="C299" s="1186" t="s">
        <v>28</v>
      </c>
      <c r="D299" s="1186">
        <v>82</v>
      </c>
      <c r="E299" s="1186">
        <v>8</v>
      </c>
      <c r="F299" s="1186">
        <v>2</v>
      </c>
      <c r="G299" s="1186">
        <v>2</v>
      </c>
      <c r="H299" s="1186">
        <v>5</v>
      </c>
      <c r="I299" s="1186"/>
      <c r="J299" s="1186"/>
      <c r="K299" s="1186">
        <v>30</v>
      </c>
      <c r="L299" s="1186">
        <v>2</v>
      </c>
      <c r="M299" s="1186">
        <v>30</v>
      </c>
      <c r="N299" s="1186">
        <v>3</v>
      </c>
      <c r="O299" s="1186">
        <v>148790</v>
      </c>
    </row>
    <row r="300" spans="1:15" x14ac:dyDescent="0.2">
      <c r="A300" s="1186" t="s">
        <v>621</v>
      </c>
      <c r="B300" s="1186" t="s">
        <v>496</v>
      </c>
      <c r="C300" s="1186" t="s">
        <v>29</v>
      </c>
      <c r="D300" s="1186">
        <v>63</v>
      </c>
      <c r="E300" s="1186">
        <v>12</v>
      </c>
      <c r="F300" s="1186">
        <v>3</v>
      </c>
      <c r="G300" s="1186">
        <v>2</v>
      </c>
      <c r="H300" s="1186">
        <v>3</v>
      </c>
      <c r="I300" s="1186"/>
      <c r="J300" s="1186"/>
      <c r="K300" s="1186">
        <v>18</v>
      </c>
      <c r="L300" s="1186">
        <v>7</v>
      </c>
      <c r="M300" s="1186">
        <v>14</v>
      </c>
      <c r="N300" s="1186">
        <v>4</v>
      </c>
      <c r="O300" s="1186">
        <v>148750</v>
      </c>
    </row>
    <row r="301" spans="1:15" x14ac:dyDescent="0.2">
      <c r="A301" s="1186" t="s">
        <v>621</v>
      </c>
      <c r="B301" s="1186" t="s">
        <v>496</v>
      </c>
      <c r="C301" s="1186" t="s">
        <v>30</v>
      </c>
      <c r="D301" s="1186">
        <v>76</v>
      </c>
      <c r="E301" s="1186">
        <v>6</v>
      </c>
      <c r="F301" s="1186">
        <v>3</v>
      </c>
      <c r="G301" s="1186">
        <v>3</v>
      </c>
      <c r="H301" s="1186">
        <v>13</v>
      </c>
      <c r="I301" s="1186"/>
      <c r="J301" s="1186">
        <v>1</v>
      </c>
      <c r="K301" s="1186">
        <v>20</v>
      </c>
      <c r="L301" s="1186">
        <v>13</v>
      </c>
      <c r="M301" s="1186">
        <v>16</v>
      </c>
      <c r="N301" s="1186">
        <v>1</v>
      </c>
      <c r="O301" s="1186">
        <v>121840</v>
      </c>
    </row>
    <row r="302" spans="1:15" x14ac:dyDescent="0.2">
      <c r="A302" s="1186" t="s">
        <v>621</v>
      </c>
      <c r="B302" s="1186" t="s">
        <v>496</v>
      </c>
      <c r="C302" s="1186" t="s">
        <v>31</v>
      </c>
      <c r="D302" s="1186">
        <v>52</v>
      </c>
      <c r="E302" s="1186">
        <v>11</v>
      </c>
      <c r="F302" s="1186">
        <v>2</v>
      </c>
      <c r="G302" s="1186"/>
      <c r="H302" s="1186">
        <v>5</v>
      </c>
      <c r="I302" s="1186"/>
      <c r="J302" s="1186"/>
      <c r="K302" s="1186">
        <v>16</v>
      </c>
      <c r="L302" s="1186">
        <v>10</v>
      </c>
      <c r="M302" s="1186">
        <v>5</v>
      </c>
      <c r="N302" s="1186">
        <v>3</v>
      </c>
      <c r="O302" s="1186">
        <v>108330</v>
      </c>
    </row>
    <row r="303" spans="1:15" x14ac:dyDescent="0.2">
      <c r="A303" s="1186" t="s">
        <v>621</v>
      </c>
      <c r="B303" s="1186" t="s">
        <v>496</v>
      </c>
      <c r="C303" s="1186" t="s">
        <v>32</v>
      </c>
      <c r="D303" s="1186">
        <v>94</v>
      </c>
      <c r="E303" s="1186">
        <v>9</v>
      </c>
      <c r="F303" s="1186">
        <v>7</v>
      </c>
      <c r="G303" s="1186">
        <v>14</v>
      </c>
      <c r="H303" s="1186">
        <v>28</v>
      </c>
      <c r="I303" s="1186">
        <v>1</v>
      </c>
      <c r="J303" s="1186"/>
      <c r="K303" s="1186">
        <v>12</v>
      </c>
      <c r="L303" s="1186">
        <v>7</v>
      </c>
      <c r="M303" s="1186">
        <v>11</v>
      </c>
      <c r="N303" s="1186">
        <v>5</v>
      </c>
      <c r="O303" s="1186">
        <v>105790</v>
      </c>
    </row>
    <row r="304" spans="1:15" x14ac:dyDescent="0.2">
      <c r="A304" s="1186" t="s">
        <v>621</v>
      </c>
      <c r="B304" s="1186" t="s">
        <v>496</v>
      </c>
      <c r="C304" s="1186" t="s">
        <v>33</v>
      </c>
      <c r="D304" s="1186">
        <v>38</v>
      </c>
      <c r="E304" s="1186">
        <v>8</v>
      </c>
      <c r="F304" s="1186">
        <v>2</v>
      </c>
      <c r="G304" s="1186"/>
      <c r="H304" s="1186">
        <v>3</v>
      </c>
      <c r="I304" s="1186"/>
      <c r="J304" s="1186"/>
      <c r="K304" s="1186">
        <v>16</v>
      </c>
      <c r="L304" s="1186">
        <v>3</v>
      </c>
      <c r="M304" s="1186">
        <v>6</v>
      </c>
      <c r="N304" s="1186"/>
      <c r="O304" s="1186">
        <v>95170</v>
      </c>
    </row>
    <row r="305" spans="1:15" x14ac:dyDescent="0.2">
      <c r="A305" s="1186" t="s">
        <v>621</v>
      </c>
      <c r="B305" s="1186" t="s">
        <v>496</v>
      </c>
      <c r="C305" s="1186" t="s">
        <v>34</v>
      </c>
      <c r="D305" s="1186">
        <v>100</v>
      </c>
      <c r="E305" s="1186">
        <v>6</v>
      </c>
      <c r="F305" s="1186">
        <v>4</v>
      </c>
      <c r="G305" s="1186">
        <v>6</v>
      </c>
      <c r="H305" s="1186">
        <v>24</v>
      </c>
      <c r="I305" s="1186"/>
      <c r="J305" s="1186">
        <v>1</v>
      </c>
      <c r="K305" s="1186">
        <v>41</v>
      </c>
      <c r="L305" s="1186">
        <v>1</v>
      </c>
      <c r="M305" s="1186">
        <v>15</v>
      </c>
      <c r="N305" s="1186">
        <v>2</v>
      </c>
      <c r="O305" s="1186">
        <v>160340</v>
      </c>
    </row>
    <row r="306" spans="1:15" x14ac:dyDescent="0.2">
      <c r="A306" s="1186" t="s">
        <v>621</v>
      </c>
      <c r="B306" s="1186" t="s">
        <v>496</v>
      </c>
      <c r="C306" s="1186" t="s">
        <v>35</v>
      </c>
      <c r="D306" s="1186">
        <v>219</v>
      </c>
      <c r="E306" s="1186">
        <v>25</v>
      </c>
      <c r="F306" s="1186">
        <v>16</v>
      </c>
      <c r="G306" s="1186">
        <v>17</v>
      </c>
      <c r="H306" s="1186">
        <v>66</v>
      </c>
      <c r="I306" s="1186">
        <v>2</v>
      </c>
      <c r="J306" s="1186"/>
      <c r="K306" s="1186">
        <v>40</v>
      </c>
      <c r="L306" s="1186">
        <v>9</v>
      </c>
      <c r="M306" s="1186">
        <v>37</v>
      </c>
      <c r="N306" s="1186">
        <v>7</v>
      </c>
      <c r="O306" s="1186">
        <v>371910</v>
      </c>
    </row>
    <row r="307" spans="1:15" x14ac:dyDescent="0.2">
      <c r="A307" s="1186" t="s">
        <v>621</v>
      </c>
      <c r="B307" s="1186" t="s">
        <v>496</v>
      </c>
      <c r="C307" s="1186" t="s">
        <v>36</v>
      </c>
      <c r="D307" s="1186">
        <v>393</v>
      </c>
      <c r="E307" s="1186">
        <v>39</v>
      </c>
      <c r="F307" s="1186">
        <v>20</v>
      </c>
      <c r="G307" s="1186">
        <v>3</v>
      </c>
      <c r="H307" s="1186">
        <v>4</v>
      </c>
      <c r="I307" s="1186">
        <v>3</v>
      </c>
      <c r="J307" s="1186">
        <v>2</v>
      </c>
      <c r="K307" s="1186">
        <v>181</v>
      </c>
      <c r="L307" s="1186">
        <v>49</v>
      </c>
      <c r="M307" s="1186">
        <v>74</v>
      </c>
      <c r="N307" s="1186">
        <v>18</v>
      </c>
      <c r="O307" s="1186">
        <v>626410</v>
      </c>
    </row>
    <row r="308" spans="1:15" x14ac:dyDescent="0.2">
      <c r="A308" s="1186" t="s">
        <v>621</v>
      </c>
      <c r="B308" s="1186" t="s">
        <v>496</v>
      </c>
      <c r="C308" s="1186" t="s">
        <v>37</v>
      </c>
      <c r="D308" s="1186">
        <v>167</v>
      </c>
      <c r="E308" s="1186">
        <v>11</v>
      </c>
      <c r="F308" s="1186">
        <v>8</v>
      </c>
      <c r="G308" s="1186">
        <v>14</v>
      </c>
      <c r="H308" s="1186">
        <v>40</v>
      </c>
      <c r="I308" s="1186">
        <v>4</v>
      </c>
      <c r="J308" s="1186"/>
      <c r="K308" s="1186">
        <v>41</v>
      </c>
      <c r="L308" s="1186">
        <v>1</v>
      </c>
      <c r="M308" s="1186">
        <v>47</v>
      </c>
      <c r="N308" s="1186">
        <v>1</v>
      </c>
      <c r="O308" s="1186">
        <v>235540</v>
      </c>
    </row>
    <row r="309" spans="1:15" x14ac:dyDescent="0.2">
      <c r="A309" s="1186" t="s">
        <v>621</v>
      </c>
      <c r="B309" s="1186" t="s">
        <v>496</v>
      </c>
      <c r="C309" s="1186" t="s">
        <v>38</v>
      </c>
      <c r="D309" s="1186">
        <v>43</v>
      </c>
      <c r="E309" s="1186">
        <v>8</v>
      </c>
      <c r="F309" s="1186">
        <v>3</v>
      </c>
      <c r="G309" s="1186">
        <v>2</v>
      </c>
      <c r="H309" s="1186">
        <v>2</v>
      </c>
      <c r="I309" s="1186">
        <v>2</v>
      </c>
      <c r="J309" s="1186"/>
      <c r="K309" s="1186">
        <v>15</v>
      </c>
      <c r="L309" s="1186">
        <v>4</v>
      </c>
      <c r="M309" s="1186">
        <v>6</v>
      </c>
      <c r="N309" s="1186">
        <v>1</v>
      </c>
      <c r="O309" s="1186">
        <v>78150</v>
      </c>
    </row>
    <row r="310" spans="1:15" x14ac:dyDescent="0.2">
      <c r="A310" s="1186" t="s">
        <v>621</v>
      </c>
      <c r="B310" s="1186" t="s">
        <v>496</v>
      </c>
      <c r="C310" s="1186" t="s">
        <v>39</v>
      </c>
      <c r="D310" s="1186">
        <v>80</v>
      </c>
      <c r="E310" s="1186">
        <v>12</v>
      </c>
      <c r="F310" s="1186">
        <v>1</v>
      </c>
      <c r="G310" s="1186">
        <v>15</v>
      </c>
      <c r="H310" s="1186">
        <v>18</v>
      </c>
      <c r="I310" s="1186"/>
      <c r="J310" s="1186"/>
      <c r="K310" s="1186">
        <v>19</v>
      </c>
      <c r="L310" s="1186">
        <v>2</v>
      </c>
      <c r="M310" s="1186">
        <v>12</v>
      </c>
      <c r="N310" s="1186">
        <v>1</v>
      </c>
      <c r="O310" s="1186">
        <v>91340</v>
      </c>
    </row>
    <row r="311" spans="1:15" x14ac:dyDescent="0.2">
      <c r="A311" s="1186" t="s">
        <v>621</v>
      </c>
      <c r="B311" s="1186" t="s">
        <v>496</v>
      </c>
      <c r="C311" s="1186" t="s">
        <v>40</v>
      </c>
      <c r="D311" s="1186">
        <v>52</v>
      </c>
      <c r="E311" s="1186">
        <v>3</v>
      </c>
      <c r="F311" s="1186">
        <v>2</v>
      </c>
      <c r="G311" s="1186">
        <v>12</v>
      </c>
      <c r="H311" s="1186">
        <v>9</v>
      </c>
      <c r="I311" s="1186"/>
      <c r="J311" s="1186"/>
      <c r="K311" s="1186">
        <v>12</v>
      </c>
      <c r="L311" s="1186">
        <v>3</v>
      </c>
      <c r="M311" s="1186">
        <v>10</v>
      </c>
      <c r="N311" s="1186">
        <v>1</v>
      </c>
      <c r="O311" s="1186">
        <v>95520</v>
      </c>
    </row>
    <row r="312" spans="1:15" x14ac:dyDescent="0.2">
      <c r="A312" s="1186" t="s">
        <v>621</v>
      </c>
      <c r="B312" s="1186" t="s">
        <v>496</v>
      </c>
      <c r="C312" s="1186" t="s">
        <v>295</v>
      </c>
      <c r="D312" s="1186">
        <v>16</v>
      </c>
      <c r="E312" s="1186">
        <v>6</v>
      </c>
      <c r="F312" s="1186">
        <v>1</v>
      </c>
      <c r="G312" s="1186">
        <v>1</v>
      </c>
      <c r="H312" s="1186"/>
      <c r="I312" s="1186">
        <v>1</v>
      </c>
      <c r="J312" s="1186"/>
      <c r="K312" s="1186">
        <v>4</v>
      </c>
      <c r="L312" s="1186">
        <v>1</v>
      </c>
      <c r="M312" s="1186">
        <v>2</v>
      </c>
      <c r="N312" s="1186"/>
      <c r="O312" s="1186">
        <v>26830</v>
      </c>
    </row>
    <row r="313" spans="1:15" x14ac:dyDescent="0.2">
      <c r="A313" s="1186" t="s">
        <v>621</v>
      </c>
      <c r="B313" s="1186" t="s">
        <v>496</v>
      </c>
      <c r="C313" s="1186" t="s">
        <v>41</v>
      </c>
      <c r="D313" s="1186">
        <v>64</v>
      </c>
      <c r="E313" s="1186">
        <v>9</v>
      </c>
      <c r="F313" s="1186">
        <v>4</v>
      </c>
      <c r="G313" s="1186">
        <v>5</v>
      </c>
      <c r="H313" s="1186">
        <v>9</v>
      </c>
      <c r="I313" s="1186"/>
      <c r="J313" s="1186">
        <v>1</v>
      </c>
      <c r="K313" s="1186">
        <v>15</v>
      </c>
      <c r="L313" s="1186">
        <v>10</v>
      </c>
      <c r="M313" s="1186">
        <v>10</v>
      </c>
      <c r="N313" s="1186">
        <v>1</v>
      </c>
      <c r="O313" s="1186">
        <v>135280</v>
      </c>
    </row>
    <row r="314" spans="1:15" x14ac:dyDescent="0.2">
      <c r="A314" s="1186" t="s">
        <v>621</v>
      </c>
      <c r="B314" s="1186" t="s">
        <v>496</v>
      </c>
      <c r="C314" s="1186" t="s">
        <v>42</v>
      </c>
      <c r="D314" s="1186">
        <v>233</v>
      </c>
      <c r="E314" s="1186">
        <v>20</v>
      </c>
      <c r="F314" s="1186">
        <v>4</v>
      </c>
      <c r="G314" s="1186">
        <v>4</v>
      </c>
      <c r="H314" s="1186">
        <v>16</v>
      </c>
      <c r="I314" s="1186">
        <v>1</v>
      </c>
      <c r="J314" s="1186">
        <v>4</v>
      </c>
      <c r="K314" s="1186">
        <v>98</v>
      </c>
      <c r="L314" s="1186">
        <v>31</v>
      </c>
      <c r="M314" s="1186">
        <v>48</v>
      </c>
      <c r="N314" s="1186">
        <v>7</v>
      </c>
      <c r="O314" s="1186">
        <v>340180</v>
      </c>
    </row>
    <row r="315" spans="1:15" x14ac:dyDescent="0.2">
      <c r="A315" s="1186" t="s">
        <v>621</v>
      </c>
      <c r="B315" s="1186" t="s">
        <v>496</v>
      </c>
      <c r="C315" s="1186" t="s">
        <v>43</v>
      </c>
      <c r="D315" s="1186">
        <v>12</v>
      </c>
      <c r="E315" s="1186"/>
      <c r="F315" s="1186">
        <v>1</v>
      </c>
      <c r="G315" s="1186"/>
      <c r="H315" s="1186"/>
      <c r="I315" s="1186"/>
      <c r="J315" s="1186"/>
      <c r="K315" s="1186">
        <v>5</v>
      </c>
      <c r="L315" s="1186">
        <v>1</v>
      </c>
      <c r="M315" s="1186">
        <v>5</v>
      </c>
      <c r="N315" s="1186"/>
      <c r="O315" s="1186">
        <v>22190</v>
      </c>
    </row>
    <row r="316" spans="1:15" x14ac:dyDescent="0.2">
      <c r="A316" s="1186" t="s">
        <v>621</v>
      </c>
      <c r="B316" s="1186" t="s">
        <v>496</v>
      </c>
      <c r="C316" s="1186" t="s">
        <v>44</v>
      </c>
      <c r="D316" s="1186">
        <v>77</v>
      </c>
      <c r="E316" s="1186">
        <v>9</v>
      </c>
      <c r="F316" s="1186">
        <v>2</v>
      </c>
      <c r="G316" s="1186">
        <v>2</v>
      </c>
      <c r="H316" s="1186">
        <v>7</v>
      </c>
      <c r="I316" s="1186">
        <v>1</v>
      </c>
      <c r="J316" s="1186"/>
      <c r="K316" s="1186">
        <v>22</v>
      </c>
      <c r="L316" s="1186">
        <v>2</v>
      </c>
      <c r="M316" s="1186">
        <v>29</v>
      </c>
      <c r="N316" s="1186">
        <v>3</v>
      </c>
      <c r="O316" s="1186">
        <v>151290</v>
      </c>
    </row>
    <row r="317" spans="1:15" x14ac:dyDescent="0.2">
      <c r="A317" s="1186" t="s">
        <v>621</v>
      </c>
      <c r="B317" s="1186" t="s">
        <v>496</v>
      </c>
      <c r="C317" s="1186" t="s">
        <v>45</v>
      </c>
      <c r="D317" s="1186">
        <v>100</v>
      </c>
      <c r="E317" s="1186">
        <v>9</v>
      </c>
      <c r="F317" s="1186">
        <v>5</v>
      </c>
      <c r="G317" s="1186">
        <v>5</v>
      </c>
      <c r="H317" s="1186">
        <v>18</v>
      </c>
      <c r="I317" s="1186"/>
      <c r="J317" s="1186"/>
      <c r="K317" s="1186">
        <v>36</v>
      </c>
      <c r="L317" s="1186">
        <v>7</v>
      </c>
      <c r="M317" s="1186">
        <v>18</v>
      </c>
      <c r="N317" s="1186">
        <v>2</v>
      </c>
      <c r="O317" s="1186">
        <v>177790</v>
      </c>
    </row>
    <row r="318" spans="1:15" x14ac:dyDescent="0.2">
      <c r="A318" s="1186" t="s">
        <v>621</v>
      </c>
      <c r="B318" s="1186" t="s">
        <v>496</v>
      </c>
      <c r="C318" s="1186" t="s">
        <v>46</v>
      </c>
      <c r="D318" s="1186">
        <v>76</v>
      </c>
      <c r="E318" s="1186">
        <v>6</v>
      </c>
      <c r="F318" s="1186">
        <v>7</v>
      </c>
      <c r="G318" s="1186">
        <v>8</v>
      </c>
      <c r="H318" s="1186">
        <v>25</v>
      </c>
      <c r="I318" s="1186"/>
      <c r="J318" s="1186">
        <v>1</v>
      </c>
      <c r="K318" s="1186">
        <v>18</v>
      </c>
      <c r="L318" s="1186">
        <v>1</v>
      </c>
      <c r="M318" s="1186">
        <v>10</v>
      </c>
      <c r="N318" s="1186"/>
      <c r="O318" s="1186">
        <v>115270</v>
      </c>
    </row>
    <row r="319" spans="1:15" x14ac:dyDescent="0.2">
      <c r="A319" s="1186" t="s">
        <v>621</v>
      </c>
      <c r="B319" s="1186" t="s">
        <v>496</v>
      </c>
      <c r="C319" s="1186" t="s">
        <v>47</v>
      </c>
      <c r="D319" s="1186">
        <v>7</v>
      </c>
      <c r="E319" s="1186"/>
      <c r="F319" s="1186"/>
      <c r="G319" s="1186"/>
      <c r="H319" s="1186"/>
      <c r="I319" s="1186">
        <v>1</v>
      </c>
      <c r="J319" s="1186"/>
      <c r="K319" s="1186">
        <v>2</v>
      </c>
      <c r="L319" s="1186"/>
      <c r="M319" s="1186">
        <v>4</v>
      </c>
      <c r="N319" s="1186"/>
      <c r="O319" s="1186">
        <v>22990</v>
      </c>
    </row>
    <row r="320" spans="1:15" x14ac:dyDescent="0.2">
      <c r="A320" s="1186" t="s">
        <v>621</v>
      </c>
      <c r="B320" s="1186" t="s">
        <v>496</v>
      </c>
      <c r="C320" s="1186" t="s">
        <v>48</v>
      </c>
      <c r="D320" s="1186">
        <v>31</v>
      </c>
      <c r="E320" s="1186">
        <v>1</v>
      </c>
      <c r="F320" s="1186">
        <v>3</v>
      </c>
      <c r="G320" s="1186"/>
      <c r="H320" s="1186">
        <v>1</v>
      </c>
      <c r="I320" s="1186"/>
      <c r="J320" s="1186"/>
      <c r="K320" s="1186">
        <v>15</v>
      </c>
      <c r="L320" s="1186">
        <v>5</v>
      </c>
      <c r="M320" s="1186">
        <v>6</v>
      </c>
      <c r="N320" s="1186"/>
      <c r="O320" s="1186">
        <v>112550</v>
      </c>
    </row>
    <row r="321" spans="1:15" x14ac:dyDescent="0.2">
      <c r="A321" s="1186" t="s">
        <v>621</v>
      </c>
      <c r="B321" s="1186" t="s">
        <v>496</v>
      </c>
      <c r="C321" s="1186" t="s">
        <v>49</v>
      </c>
      <c r="D321" s="1186">
        <v>169</v>
      </c>
      <c r="E321" s="1186">
        <v>10</v>
      </c>
      <c r="F321" s="1186">
        <v>8</v>
      </c>
      <c r="G321" s="1186">
        <v>3</v>
      </c>
      <c r="H321" s="1186">
        <v>9</v>
      </c>
      <c r="I321" s="1186">
        <v>1</v>
      </c>
      <c r="J321" s="1186"/>
      <c r="K321" s="1186">
        <v>74</v>
      </c>
      <c r="L321" s="1186">
        <v>21</v>
      </c>
      <c r="M321" s="1186">
        <v>38</v>
      </c>
      <c r="N321" s="1186">
        <v>5</v>
      </c>
      <c r="O321" s="1186">
        <v>319020</v>
      </c>
    </row>
    <row r="322" spans="1:15" x14ac:dyDescent="0.2">
      <c r="A322" s="1186" t="s">
        <v>621</v>
      </c>
      <c r="B322" s="1186" t="s">
        <v>496</v>
      </c>
      <c r="C322" s="1186" t="s">
        <v>50</v>
      </c>
      <c r="D322" s="1186">
        <v>55</v>
      </c>
      <c r="E322" s="1186">
        <v>4</v>
      </c>
      <c r="F322" s="1186">
        <v>6</v>
      </c>
      <c r="G322" s="1186">
        <v>4</v>
      </c>
      <c r="H322" s="1186">
        <v>12</v>
      </c>
      <c r="I322" s="1186"/>
      <c r="J322" s="1186">
        <v>2</v>
      </c>
      <c r="K322" s="1186">
        <v>12</v>
      </c>
      <c r="L322" s="1186">
        <v>3</v>
      </c>
      <c r="M322" s="1186">
        <v>11</v>
      </c>
      <c r="N322" s="1186">
        <v>1</v>
      </c>
      <c r="O322" s="1186">
        <v>94330</v>
      </c>
    </row>
    <row r="323" spans="1:15" x14ac:dyDescent="0.2">
      <c r="A323" s="1186" t="s">
        <v>621</v>
      </c>
      <c r="B323" s="1186" t="s">
        <v>496</v>
      </c>
      <c r="C323" s="1186" t="s">
        <v>51</v>
      </c>
      <c r="D323" s="1186">
        <v>71</v>
      </c>
      <c r="E323" s="1186">
        <v>7</v>
      </c>
      <c r="F323" s="1186">
        <v>5</v>
      </c>
      <c r="G323" s="1186">
        <v>3</v>
      </c>
      <c r="H323" s="1186">
        <v>7</v>
      </c>
      <c r="I323" s="1186"/>
      <c r="J323" s="1186"/>
      <c r="K323" s="1186">
        <v>30</v>
      </c>
      <c r="L323" s="1186">
        <v>2</v>
      </c>
      <c r="M323" s="1186">
        <v>15</v>
      </c>
      <c r="N323" s="1186">
        <v>2</v>
      </c>
      <c r="O323" s="1186">
        <v>89130</v>
      </c>
    </row>
    <row r="324" spans="1:15" x14ac:dyDescent="0.2">
      <c r="A324" s="1186" t="s">
        <v>621</v>
      </c>
      <c r="B324" s="1186" t="s">
        <v>496</v>
      </c>
      <c r="C324" s="1186" t="s">
        <v>52</v>
      </c>
      <c r="D324" s="1186">
        <v>145</v>
      </c>
      <c r="E324" s="1186">
        <v>16</v>
      </c>
      <c r="F324" s="1186">
        <v>2</v>
      </c>
      <c r="G324" s="1186">
        <v>1</v>
      </c>
      <c r="H324" s="1186">
        <v>48</v>
      </c>
      <c r="I324" s="1186"/>
      <c r="J324" s="1186">
        <v>2</v>
      </c>
      <c r="K324" s="1186">
        <v>41</v>
      </c>
      <c r="L324" s="1186">
        <v>12</v>
      </c>
      <c r="M324" s="1186">
        <v>20</v>
      </c>
      <c r="N324" s="1186">
        <v>3</v>
      </c>
      <c r="O324" s="1186">
        <v>182140</v>
      </c>
    </row>
    <row r="325" spans="1:15" x14ac:dyDescent="0.2">
      <c r="A325" s="1186" t="s">
        <v>1419</v>
      </c>
      <c r="B325" s="1186" t="s">
        <v>496</v>
      </c>
      <c r="C325" s="1186" t="s">
        <v>23</v>
      </c>
      <c r="D325" s="1186">
        <v>89</v>
      </c>
      <c r="E325" s="1186">
        <v>14</v>
      </c>
      <c r="F325" s="1186">
        <v>4</v>
      </c>
      <c r="G325" s="1186">
        <v>2</v>
      </c>
      <c r="H325" s="1186">
        <v>14</v>
      </c>
      <c r="I325" s="1186"/>
      <c r="J325" s="1186"/>
      <c r="K325" s="1186">
        <v>27</v>
      </c>
      <c r="L325" s="1186">
        <v>5</v>
      </c>
      <c r="M325" s="1186">
        <v>18</v>
      </c>
      <c r="N325" s="1186">
        <v>5</v>
      </c>
      <c r="O325" s="1186">
        <v>228670</v>
      </c>
    </row>
    <row r="326" spans="1:15" x14ac:dyDescent="0.2">
      <c r="A326" s="1186" t="s">
        <v>1419</v>
      </c>
      <c r="B326" s="1186" t="s">
        <v>496</v>
      </c>
      <c r="C326" s="1186" t="s">
        <v>24</v>
      </c>
      <c r="D326" s="1186">
        <v>162</v>
      </c>
      <c r="E326" s="1186">
        <v>15</v>
      </c>
      <c r="F326" s="1186">
        <v>5</v>
      </c>
      <c r="G326" s="1186">
        <v>23</v>
      </c>
      <c r="H326" s="1186">
        <v>20</v>
      </c>
      <c r="I326" s="1186">
        <v>3</v>
      </c>
      <c r="J326" s="1186"/>
      <c r="K326" s="1186">
        <v>44</v>
      </c>
      <c r="L326" s="1186">
        <v>8</v>
      </c>
      <c r="M326" s="1186">
        <v>41</v>
      </c>
      <c r="N326" s="1186">
        <v>3</v>
      </c>
      <c r="O326" s="1186">
        <v>261210</v>
      </c>
    </row>
    <row r="327" spans="1:15" x14ac:dyDescent="0.2">
      <c r="A327" s="1186" t="s">
        <v>1419</v>
      </c>
      <c r="B327" s="1186" t="s">
        <v>496</v>
      </c>
      <c r="C327" s="1186" t="s">
        <v>25</v>
      </c>
      <c r="D327" s="1186">
        <v>55</v>
      </c>
      <c r="E327" s="1186">
        <v>7</v>
      </c>
      <c r="F327" s="1186">
        <v>7</v>
      </c>
      <c r="G327" s="1186">
        <v>4</v>
      </c>
      <c r="H327" s="1186">
        <v>5</v>
      </c>
      <c r="I327" s="1186"/>
      <c r="J327" s="1186"/>
      <c r="K327" s="1186">
        <v>11</v>
      </c>
      <c r="L327" s="1186">
        <v>3</v>
      </c>
      <c r="M327" s="1186">
        <v>17</v>
      </c>
      <c r="N327" s="1186">
        <v>1</v>
      </c>
      <c r="O327" s="1186">
        <v>116200</v>
      </c>
    </row>
    <row r="328" spans="1:15" x14ac:dyDescent="0.2">
      <c r="A328" s="1186" t="s">
        <v>1419</v>
      </c>
      <c r="B328" s="1186" t="s">
        <v>496</v>
      </c>
      <c r="C328" s="1186" t="s">
        <v>26</v>
      </c>
      <c r="D328" s="1186">
        <v>45</v>
      </c>
      <c r="E328" s="1186">
        <v>1</v>
      </c>
      <c r="F328" s="1186">
        <v>1</v>
      </c>
      <c r="G328" s="1186">
        <v>5</v>
      </c>
      <c r="H328" s="1186">
        <v>10</v>
      </c>
      <c r="I328" s="1186">
        <v>4</v>
      </c>
      <c r="J328" s="1186"/>
      <c r="K328" s="1186">
        <v>7</v>
      </c>
      <c r="L328" s="1186"/>
      <c r="M328" s="1186">
        <v>17</v>
      </c>
      <c r="N328" s="1186"/>
      <c r="O328" s="1186">
        <v>85870</v>
      </c>
    </row>
    <row r="329" spans="1:15" x14ac:dyDescent="0.2">
      <c r="A329" s="1186" t="s">
        <v>1419</v>
      </c>
      <c r="B329" s="1186" t="s">
        <v>496</v>
      </c>
      <c r="C329" s="1186" t="s">
        <v>619</v>
      </c>
      <c r="D329" s="1186">
        <v>237</v>
      </c>
      <c r="E329" s="1186">
        <v>41</v>
      </c>
      <c r="F329" s="1186">
        <v>10</v>
      </c>
      <c r="G329" s="1186">
        <v>5</v>
      </c>
      <c r="H329" s="1186">
        <v>29</v>
      </c>
      <c r="I329" s="1186">
        <v>1</v>
      </c>
      <c r="J329" s="1186"/>
      <c r="K329" s="1186">
        <v>65</v>
      </c>
      <c r="L329" s="1186">
        <v>12</v>
      </c>
      <c r="M329" s="1186">
        <v>46</v>
      </c>
      <c r="N329" s="1186">
        <v>28</v>
      </c>
      <c r="O329" s="1186">
        <v>524930</v>
      </c>
    </row>
    <row r="330" spans="1:15" x14ac:dyDescent="0.2">
      <c r="A330" s="1186" t="s">
        <v>1419</v>
      </c>
      <c r="B330" s="1186" t="s">
        <v>496</v>
      </c>
      <c r="C330" s="1186" t="s">
        <v>27</v>
      </c>
      <c r="D330" s="1186">
        <v>15</v>
      </c>
      <c r="E330" s="1186">
        <v>1</v>
      </c>
      <c r="F330" s="1186">
        <v>2</v>
      </c>
      <c r="G330" s="1186">
        <v>3</v>
      </c>
      <c r="H330" s="1186">
        <v>1</v>
      </c>
      <c r="I330" s="1186"/>
      <c r="J330" s="1186"/>
      <c r="K330" s="1186">
        <v>6</v>
      </c>
      <c r="L330" s="1186"/>
      <c r="M330" s="1186">
        <v>2</v>
      </c>
      <c r="N330" s="1186"/>
      <c r="O330" s="1186">
        <v>51540</v>
      </c>
    </row>
    <row r="331" spans="1:15" x14ac:dyDescent="0.2">
      <c r="A331" s="1186" t="s">
        <v>1419</v>
      </c>
      <c r="B331" s="1186" t="s">
        <v>496</v>
      </c>
      <c r="C331" s="1186" t="s">
        <v>28</v>
      </c>
      <c r="D331" s="1186">
        <v>75</v>
      </c>
      <c r="E331" s="1186">
        <v>5</v>
      </c>
      <c r="F331" s="1186">
        <v>5</v>
      </c>
      <c r="G331" s="1186">
        <v>4</v>
      </c>
      <c r="H331" s="1186">
        <v>3</v>
      </c>
      <c r="I331" s="1186">
        <v>1</v>
      </c>
      <c r="J331" s="1186"/>
      <c r="K331" s="1186">
        <v>26</v>
      </c>
      <c r="L331" s="1186">
        <v>1</v>
      </c>
      <c r="M331" s="1186">
        <v>30</v>
      </c>
      <c r="N331" s="1186"/>
      <c r="O331" s="1186">
        <v>148860</v>
      </c>
    </row>
    <row r="332" spans="1:15" x14ac:dyDescent="0.2">
      <c r="A332" s="1186" t="s">
        <v>1419</v>
      </c>
      <c r="B332" s="1186" t="s">
        <v>496</v>
      </c>
      <c r="C332" s="1186" t="s">
        <v>29</v>
      </c>
      <c r="D332" s="1186">
        <v>71</v>
      </c>
      <c r="E332" s="1186">
        <v>10</v>
      </c>
      <c r="F332" s="1186">
        <v>1</v>
      </c>
      <c r="G332" s="1186">
        <v>2</v>
      </c>
      <c r="H332" s="1186">
        <v>2</v>
      </c>
      <c r="I332" s="1186">
        <v>1</v>
      </c>
      <c r="J332" s="1186">
        <v>1</v>
      </c>
      <c r="K332" s="1186">
        <v>27</v>
      </c>
      <c r="L332" s="1186">
        <v>4</v>
      </c>
      <c r="M332" s="1186">
        <v>15</v>
      </c>
      <c r="N332" s="1186">
        <v>8</v>
      </c>
      <c r="O332" s="1186">
        <v>149320</v>
      </c>
    </row>
    <row r="333" spans="1:15" x14ac:dyDescent="0.2">
      <c r="A333" s="1186" t="s">
        <v>1419</v>
      </c>
      <c r="B333" s="1186" t="s">
        <v>496</v>
      </c>
      <c r="C333" s="1186" t="s">
        <v>30</v>
      </c>
      <c r="D333" s="1186">
        <v>69</v>
      </c>
      <c r="E333" s="1186">
        <v>6</v>
      </c>
      <c r="F333" s="1186">
        <v>4</v>
      </c>
      <c r="G333" s="1186">
        <v>1</v>
      </c>
      <c r="H333" s="1186">
        <v>7</v>
      </c>
      <c r="I333" s="1186"/>
      <c r="J333" s="1186"/>
      <c r="K333" s="1186">
        <v>26</v>
      </c>
      <c r="L333" s="1186">
        <v>10</v>
      </c>
      <c r="M333" s="1186">
        <v>10</v>
      </c>
      <c r="N333" s="1186">
        <v>5</v>
      </c>
      <c r="O333" s="1186">
        <v>122010</v>
      </c>
    </row>
    <row r="334" spans="1:15" x14ac:dyDescent="0.2">
      <c r="A334" s="1186" t="s">
        <v>1419</v>
      </c>
      <c r="B334" s="1186" t="s">
        <v>496</v>
      </c>
      <c r="C334" s="1186" t="s">
        <v>31</v>
      </c>
      <c r="D334" s="1186">
        <v>57</v>
      </c>
      <c r="E334" s="1186">
        <v>4</v>
      </c>
      <c r="F334" s="1186">
        <v>3</v>
      </c>
      <c r="G334" s="1186"/>
      <c r="H334" s="1186">
        <v>5</v>
      </c>
      <c r="I334" s="1186"/>
      <c r="J334" s="1186"/>
      <c r="K334" s="1186">
        <v>27</v>
      </c>
      <c r="L334" s="1186">
        <v>10</v>
      </c>
      <c r="M334" s="1186">
        <v>7</v>
      </c>
      <c r="N334" s="1186">
        <v>1</v>
      </c>
      <c r="O334" s="1186">
        <v>108640</v>
      </c>
    </row>
    <row r="335" spans="1:15" x14ac:dyDescent="0.2">
      <c r="A335" s="1186" t="s">
        <v>1419</v>
      </c>
      <c r="B335" s="1186" t="s">
        <v>496</v>
      </c>
      <c r="C335" s="1186" t="s">
        <v>32</v>
      </c>
      <c r="D335" s="1186">
        <v>61</v>
      </c>
      <c r="E335" s="1186">
        <v>2</v>
      </c>
      <c r="F335" s="1186">
        <v>1</v>
      </c>
      <c r="G335" s="1186">
        <v>8</v>
      </c>
      <c r="H335" s="1186">
        <v>12</v>
      </c>
      <c r="I335" s="1186"/>
      <c r="J335" s="1186"/>
      <c r="K335" s="1186">
        <v>18</v>
      </c>
      <c r="L335" s="1186">
        <v>2</v>
      </c>
      <c r="M335" s="1186">
        <v>15</v>
      </c>
      <c r="N335" s="1186">
        <v>3</v>
      </c>
      <c r="O335" s="1186">
        <v>107090</v>
      </c>
    </row>
    <row r="336" spans="1:15" x14ac:dyDescent="0.2">
      <c r="A336" s="1186" t="s">
        <v>1419</v>
      </c>
      <c r="B336" s="1186" t="s">
        <v>496</v>
      </c>
      <c r="C336" s="1186" t="s">
        <v>33</v>
      </c>
      <c r="D336" s="1186">
        <v>48</v>
      </c>
      <c r="E336" s="1186">
        <v>1</v>
      </c>
      <c r="F336" s="1186">
        <v>3</v>
      </c>
      <c r="G336" s="1186">
        <v>1</v>
      </c>
      <c r="H336" s="1186">
        <v>6</v>
      </c>
      <c r="I336" s="1186"/>
      <c r="J336" s="1186">
        <v>2</v>
      </c>
      <c r="K336" s="1186">
        <v>25</v>
      </c>
      <c r="L336" s="1186">
        <v>5</v>
      </c>
      <c r="M336" s="1186">
        <v>4</v>
      </c>
      <c r="N336" s="1186">
        <v>1</v>
      </c>
      <c r="O336" s="1186">
        <v>95530</v>
      </c>
    </row>
    <row r="337" spans="1:15" x14ac:dyDescent="0.2">
      <c r="A337" s="1186" t="s">
        <v>1419</v>
      </c>
      <c r="B337" s="1186" t="s">
        <v>496</v>
      </c>
      <c r="C337" s="1186" t="s">
        <v>34</v>
      </c>
      <c r="D337" s="1186">
        <v>112</v>
      </c>
      <c r="E337" s="1186">
        <v>7</v>
      </c>
      <c r="F337" s="1186">
        <v>4</v>
      </c>
      <c r="G337" s="1186">
        <v>5</v>
      </c>
      <c r="H337" s="1186">
        <v>26</v>
      </c>
      <c r="I337" s="1186"/>
      <c r="J337" s="1186"/>
      <c r="K337" s="1186">
        <v>43</v>
      </c>
      <c r="L337" s="1186">
        <v>3</v>
      </c>
      <c r="M337" s="1186">
        <v>20</v>
      </c>
      <c r="N337" s="1186">
        <v>4</v>
      </c>
      <c r="O337" s="1186">
        <v>160890</v>
      </c>
    </row>
    <row r="338" spans="1:15" x14ac:dyDescent="0.2">
      <c r="A338" s="1186" t="s">
        <v>1419</v>
      </c>
      <c r="B338" s="1186" t="s">
        <v>496</v>
      </c>
      <c r="C338" s="1186" t="s">
        <v>35</v>
      </c>
      <c r="D338" s="1186">
        <v>190</v>
      </c>
      <c r="E338" s="1186">
        <v>11</v>
      </c>
      <c r="F338" s="1186">
        <v>7</v>
      </c>
      <c r="G338" s="1186">
        <v>14</v>
      </c>
      <c r="H338" s="1186">
        <v>61</v>
      </c>
      <c r="I338" s="1186">
        <v>2</v>
      </c>
      <c r="J338" s="1186"/>
      <c r="K338" s="1186">
        <v>53</v>
      </c>
      <c r="L338" s="1186">
        <v>8</v>
      </c>
      <c r="M338" s="1186">
        <v>30</v>
      </c>
      <c r="N338" s="1186">
        <v>4</v>
      </c>
      <c r="O338" s="1186">
        <v>373550</v>
      </c>
    </row>
    <row r="339" spans="1:15" x14ac:dyDescent="0.2">
      <c r="A339" s="1186" t="s">
        <v>1419</v>
      </c>
      <c r="B339" s="1186" t="s">
        <v>496</v>
      </c>
      <c r="C339" s="1186" t="s">
        <v>36</v>
      </c>
      <c r="D339" s="1186">
        <v>391</v>
      </c>
      <c r="E339" s="1186">
        <v>36</v>
      </c>
      <c r="F339" s="1186">
        <v>11</v>
      </c>
      <c r="G339" s="1186">
        <v>2</v>
      </c>
      <c r="H339" s="1186">
        <v>3</v>
      </c>
      <c r="I339" s="1186">
        <v>2</v>
      </c>
      <c r="J339" s="1186">
        <v>1</v>
      </c>
      <c r="K339" s="1186">
        <v>200</v>
      </c>
      <c r="L339" s="1186">
        <v>38</v>
      </c>
      <c r="M339" s="1186">
        <v>71</v>
      </c>
      <c r="N339" s="1186">
        <v>27</v>
      </c>
      <c r="O339" s="1186">
        <v>633120</v>
      </c>
    </row>
    <row r="340" spans="1:15" x14ac:dyDescent="0.2">
      <c r="A340" s="1186" t="s">
        <v>1419</v>
      </c>
      <c r="B340" s="1186" t="s">
        <v>496</v>
      </c>
      <c r="C340" s="1186" t="s">
        <v>37</v>
      </c>
      <c r="D340" s="1186">
        <v>132</v>
      </c>
      <c r="E340" s="1186">
        <v>13</v>
      </c>
      <c r="F340" s="1186">
        <v>10</v>
      </c>
      <c r="G340" s="1186">
        <v>16</v>
      </c>
      <c r="H340" s="1186">
        <v>11</v>
      </c>
      <c r="I340" s="1186">
        <v>3</v>
      </c>
      <c r="J340" s="1186"/>
      <c r="K340" s="1186">
        <v>34</v>
      </c>
      <c r="L340" s="1186">
        <v>3</v>
      </c>
      <c r="M340" s="1186">
        <v>36</v>
      </c>
      <c r="N340" s="1186">
        <v>6</v>
      </c>
      <c r="O340" s="1186">
        <v>235830</v>
      </c>
    </row>
    <row r="341" spans="1:15" x14ac:dyDescent="0.2">
      <c r="A341" s="1186" t="s">
        <v>1419</v>
      </c>
      <c r="B341" s="1186" t="s">
        <v>496</v>
      </c>
      <c r="C341" s="1186" t="s">
        <v>38</v>
      </c>
      <c r="D341" s="1186">
        <v>44</v>
      </c>
      <c r="E341" s="1186">
        <v>3</v>
      </c>
      <c r="F341" s="1186">
        <v>2</v>
      </c>
      <c r="G341" s="1186">
        <v>1</v>
      </c>
      <c r="H341" s="1186"/>
      <c r="I341" s="1186">
        <v>1</v>
      </c>
      <c r="J341" s="1186"/>
      <c r="K341" s="1186">
        <v>18</v>
      </c>
      <c r="L341" s="1186">
        <v>6</v>
      </c>
      <c r="M341" s="1186">
        <v>11</v>
      </c>
      <c r="N341" s="1186">
        <v>2</v>
      </c>
      <c r="O341" s="1186">
        <v>77800</v>
      </c>
    </row>
    <row r="342" spans="1:15" x14ac:dyDescent="0.2">
      <c r="A342" s="1186" t="s">
        <v>1419</v>
      </c>
      <c r="B342" s="1186" t="s">
        <v>496</v>
      </c>
      <c r="C342" s="1186" t="s">
        <v>39</v>
      </c>
      <c r="D342" s="1186">
        <v>51</v>
      </c>
      <c r="E342" s="1186">
        <v>3</v>
      </c>
      <c r="F342" s="1186">
        <v>1</v>
      </c>
      <c r="G342" s="1186">
        <v>6</v>
      </c>
      <c r="H342" s="1186">
        <v>14</v>
      </c>
      <c r="I342" s="1186"/>
      <c r="J342" s="1186"/>
      <c r="K342" s="1186">
        <v>12</v>
      </c>
      <c r="L342" s="1186">
        <v>2</v>
      </c>
      <c r="M342" s="1186">
        <v>8</v>
      </c>
      <c r="N342" s="1186">
        <v>5</v>
      </c>
      <c r="O342" s="1186">
        <v>92460</v>
      </c>
    </row>
    <row r="343" spans="1:15" x14ac:dyDescent="0.2">
      <c r="A343" s="1186" t="s">
        <v>1419</v>
      </c>
      <c r="B343" s="1186" t="s">
        <v>496</v>
      </c>
      <c r="C343" s="1186" t="s">
        <v>40</v>
      </c>
      <c r="D343" s="1186">
        <v>55</v>
      </c>
      <c r="E343" s="1186">
        <v>4</v>
      </c>
      <c r="F343" s="1186">
        <v>1</v>
      </c>
      <c r="G343" s="1186">
        <v>7</v>
      </c>
      <c r="H343" s="1186">
        <v>12</v>
      </c>
      <c r="I343" s="1186"/>
      <c r="J343" s="1186"/>
      <c r="K343" s="1186">
        <v>17</v>
      </c>
      <c r="L343" s="1186">
        <v>4</v>
      </c>
      <c r="M343" s="1186">
        <v>10</v>
      </c>
      <c r="N343" s="1186"/>
      <c r="O343" s="1186">
        <v>95820</v>
      </c>
    </row>
    <row r="344" spans="1:15" x14ac:dyDescent="0.2">
      <c r="A344" s="1186" t="s">
        <v>1419</v>
      </c>
      <c r="B344" s="1186" t="s">
        <v>496</v>
      </c>
      <c r="C344" s="1186" t="s">
        <v>295</v>
      </c>
      <c r="D344" s="1186">
        <v>11</v>
      </c>
      <c r="E344" s="1186"/>
      <c r="F344" s="1186">
        <v>2</v>
      </c>
      <c r="G344" s="1186"/>
      <c r="H344" s="1186"/>
      <c r="I344" s="1186">
        <v>1</v>
      </c>
      <c r="J344" s="1186"/>
      <c r="K344" s="1186">
        <v>5</v>
      </c>
      <c r="L344" s="1186"/>
      <c r="M344" s="1186">
        <v>3</v>
      </c>
      <c r="N344" s="1186"/>
      <c r="O344" s="1186">
        <v>26720</v>
      </c>
    </row>
    <row r="345" spans="1:15" x14ac:dyDescent="0.2">
      <c r="A345" s="1186" t="s">
        <v>1419</v>
      </c>
      <c r="B345" s="1186" t="s">
        <v>496</v>
      </c>
      <c r="C345" s="1186" t="s">
        <v>41</v>
      </c>
      <c r="D345" s="1186">
        <v>39</v>
      </c>
      <c r="E345" s="1186">
        <v>3</v>
      </c>
      <c r="F345" s="1186">
        <v>3</v>
      </c>
      <c r="G345" s="1186">
        <v>2</v>
      </c>
      <c r="H345" s="1186">
        <v>1</v>
      </c>
      <c r="I345" s="1186">
        <v>1</v>
      </c>
      <c r="J345" s="1186"/>
      <c r="K345" s="1186">
        <v>15</v>
      </c>
      <c r="L345" s="1186">
        <v>5</v>
      </c>
      <c r="M345" s="1186">
        <v>7</v>
      </c>
      <c r="N345" s="1186">
        <v>2</v>
      </c>
      <c r="O345" s="1186">
        <v>134740</v>
      </c>
    </row>
    <row r="346" spans="1:15" x14ac:dyDescent="0.2">
      <c r="A346" s="1186" t="s">
        <v>1419</v>
      </c>
      <c r="B346" s="1186" t="s">
        <v>496</v>
      </c>
      <c r="C346" s="1186" t="s">
        <v>42</v>
      </c>
      <c r="D346" s="1186">
        <v>258</v>
      </c>
      <c r="E346" s="1186">
        <v>18</v>
      </c>
      <c r="F346" s="1186">
        <v>4</v>
      </c>
      <c r="G346" s="1186">
        <v>2</v>
      </c>
      <c r="H346" s="1186">
        <v>11</v>
      </c>
      <c r="I346" s="1186">
        <v>1</v>
      </c>
      <c r="J346" s="1186">
        <v>1</v>
      </c>
      <c r="K346" s="1186">
        <v>127</v>
      </c>
      <c r="L346" s="1186">
        <v>33</v>
      </c>
      <c r="M346" s="1186">
        <v>57</v>
      </c>
      <c r="N346" s="1186">
        <v>4</v>
      </c>
      <c r="O346" s="1186">
        <v>341370</v>
      </c>
    </row>
    <row r="347" spans="1:15" x14ac:dyDescent="0.2">
      <c r="A347" s="1186" t="s">
        <v>1419</v>
      </c>
      <c r="B347" s="1186" t="s">
        <v>496</v>
      </c>
      <c r="C347" s="1186" t="s">
        <v>43</v>
      </c>
      <c r="D347" s="1186">
        <v>17</v>
      </c>
      <c r="E347" s="1186">
        <v>2</v>
      </c>
      <c r="F347" s="1186">
        <v>2</v>
      </c>
      <c r="G347" s="1186">
        <v>1</v>
      </c>
      <c r="H347" s="1186"/>
      <c r="I347" s="1186">
        <v>1</v>
      </c>
      <c r="J347" s="1186"/>
      <c r="K347" s="1186">
        <v>4</v>
      </c>
      <c r="L347" s="1186"/>
      <c r="M347" s="1186">
        <v>7</v>
      </c>
      <c r="N347" s="1186"/>
      <c r="O347" s="1186">
        <v>22270</v>
      </c>
    </row>
    <row r="348" spans="1:15" x14ac:dyDescent="0.2">
      <c r="A348" s="1186" t="s">
        <v>1419</v>
      </c>
      <c r="B348" s="1186" t="s">
        <v>496</v>
      </c>
      <c r="C348" s="1186" t="s">
        <v>44</v>
      </c>
      <c r="D348" s="1186">
        <v>76</v>
      </c>
      <c r="E348" s="1186">
        <v>9</v>
      </c>
      <c r="F348" s="1186">
        <v>5</v>
      </c>
      <c r="G348" s="1186">
        <v>6</v>
      </c>
      <c r="H348" s="1186">
        <v>4</v>
      </c>
      <c r="I348" s="1186"/>
      <c r="J348" s="1186"/>
      <c r="K348" s="1186">
        <v>26</v>
      </c>
      <c r="L348" s="1186">
        <v>1</v>
      </c>
      <c r="M348" s="1186">
        <v>25</v>
      </c>
      <c r="N348" s="1186"/>
      <c r="O348" s="1186">
        <v>151950</v>
      </c>
    </row>
    <row r="349" spans="1:15" x14ac:dyDescent="0.2">
      <c r="A349" s="1186" t="s">
        <v>1419</v>
      </c>
      <c r="B349" s="1186" t="s">
        <v>496</v>
      </c>
      <c r="C349" s="1186" t="s">
        <v>45</v>
      </c>
      <c r="D349" s="1186">
        <v>97</v>
      </c>
      <c r="E349" s="1186">
        <v>11</v>
      </c>
      <c r="F349" s="1186">
        <v>2</v>
      </c>
      <c r="G349" s="1186">
        <v>2</v>
      </c>
      <c r="H349" s="1186">
        <v>8</v>
      </c>
      <c r="I349" s="1186"/>
      <c r="J349" s="1186">
        <v>1</v>
      </c>
      <c r="K349" s="1186">
        <v>43</v>
      </c>
      <c r="L349" s="1186">
        <v>9</v>
      </c>
      <c r="M349" s="1186">
        <v>17</v>
      </c>
      <c r="N349" s="1186">
        <v>4</v>
      </c>
      <c r="O349" s="1186">
        <v>179100</v>
      </c>
    </row>
    <row r="350" spans="1:15" x14ac:dyDescent="0.2">
      <c r="A350" s="1186" t="s">
        <v>1419</v>
      </c>
      <c r="B350" s="1186" t="s">
        <v>496</v>
      </c>
      <c r="C350" s="1186" t="s">
        <v>46</v>
      </c>
      <c r="D350" s="1186">
        <v>74</v>
      </c>
      <c r="E350" s="1186">
        <v>10</v>
      </c>
      <c r="F350" s="1186">
        <v>4</v>
      </c>
      <c r="G350" s="1186">
        <v>9</v>
      </c>
      <c r="H350" s="1186">
        <v>19</v>
      </c>
      <c r="I350" s="1186"/>
      <c r="J350" s="1186"/>
      <c r="K350" s="1186">
        <v>13</v>
      </c>
      <c r="L350" s="1186">
        <v>2</v>
      </c>
      <c r="M350" s="1186">
        <v>17</v>
      </c>
      <c r="N350" s="1186"/>
      <c r="O350" s="1186">
        <v>115510</v>
      </c>
    </row>
    <row r="351" spans="1:15" x14ac:dyDescent="0.2">
      <c r="A351" s="1186" t="s">
        <v>1419</v>
      </c>
      <c r="B351" s="1186" t="s">
        <v>496</v>
      </c>
      <c r="C351" s="1186" t="s">
        <v>47</v>
      </c>
      <c r="D351" s="1186">
        <v>9</v>
      </c>
      <c r="E351" s="1186">
        <v>2</v>
      </c>
      <c r="F351" s="1186">
        <v>3</v>
      </c>
      <c r="G351" s="1186"/>
      <c r="H351" s="1186"/>
      <c r="I351" s="1186">
        <v>1</v>
      </c>
      <c r="J351" s="1186"/>
      <c r="K351" s="1186">
        <v>1</v>
      </c>
      <c r="L351" s="1186"/>
      <c r="M351" s="1186">
        <v>2</v>
      </c>
      <c r="N351" s="1186"/>
      <c r="O351" s="1186">
        <v>22920</v>
      </c>
    </row>
    <row r="352" spans="1:15" x14ac:dyDescent="0.2">
      <c r="A352" s="1186" t="s">
        <v>1419</v>
      </c>
      <c r="B352" s="1186" t="s">
        <v>496</v>
      </c>
      <c r="C352" s="1186" t="s">
        <v>48</v>
      </c>
      <c r="D352" s="1186">
        <v>44</v>
      </c>
      <c r="E352" s="1186">
        <v>1</v>
      </c>
      <c r="F352" s="1186">
        <v>2</v>
      </c>
      <c r="G352" s="1186">
        <v>1</v>
      </c>
      <c r="H352" s="1186"/>
      <c r="I352" s="1186">
        <v>2</v>
      </c>
      <c r="J352" s="1186"/>
      <c r="K352" s="1186">
        <v>21</v>
      </c>
      <c r="L352" s="1186">
        <v>8</v>
      </c>
      <c r="M352" s="1186">
        <v>9</v>
      </c>
      <c r="N352" s="1186"/>
      <c r="O352" s="1186">
        <v>112610</v>
      </c>
    </row>
    <row r="353" spans="1:15" x14ac:dyDescent="0.2">
      <c r="A353" s="1186" t="s">
        <v>1419</v>
      </c>
      <c r="B353" s="1186" t="s">
        <v>496</v>
      </c>
      <c r="C353" s="1186" t="s">
        <v>49</v>
      </c>
      <c r="D353" s="1186">
        <v>189</v>
      </c>
      <c r="E353" s="1186">
        <v>8</v>
      </c>
      <c r="F353" s="1186">
        <v>5</v>
      </c>
      <c r="G353" s="1186">
        <v>2</v>
      </c>
      <c r="H353" s="1186">
        <v>15</v>
      </c>
      <c r="I353" s="1186"/>
      <c r="J353" s="1186"/>
      <c r="K353" s="1186">
        <v>93</v>
      </c>
      <c r="L353" s="1186">
        <v>20</v>
      </c>
      <c r="M353" s="1186">
        <v>39</v>
      </c>
      <c r="N353" s="1186">
        <v>7</v>
      </c>
      <c r="O353" s="1186">
        <v>320530</v>
      </c>
    </row>
    <row r="354" spans="1:15" x14ac:dyDescent="0.2">
      <c r="A354" s="1186" t="s">
        <v>1419</v>
      </c>
      <c r="B354" s="1186" t="s">
        <v>496</v>
      </c>
      <c r="C354" s="1186" t="s">
        <v>50</v>
      </c>
      <c r="D354" s="1186">
        <v>48</v>
      </c>
      <c r="E354" s="1186">
        <v>5</v>
      </c>
      <c r="F354" s="1186">
        <v>2</v>
      </c>
      <c r="G354" s="1186">
        <v>1</v>
      </c>
      <c r="H354" s="1186">
        <v>10</v>
      </c>
      <c r="I354" s="1186"/>
      <c r="J354" s="1186"/>
      <c r="K354" s="1186">
        <v>11</v>
      </c>
      <c r="L354" s="1186">
        <v>2</v>
      </c>
      <c r="M354" s="1186">
        <v>17</v>
      </c>
      <c r="N354" s="1186"/>
      <c r="O354" s="1186">
        <v>94210</v>
      </c>
    </row>
    <row r="355" spans="1:15" x14ac:dyDescent="0.2">
      <c r="A355" s="1186" t="s">
        <v>1419</v>
      </c>
      <c r="B355" s="1186" t="s">
        <v>496</v>
      </c>
      <c r="C355" s="1186" t="s">
        <v>51</v>
      </c>
      <c r="D355" s="1186">
        <v>53</v>
      </c>
      <c r="E355" s="1186">
        <v>1</v>
      </c>
      <c r="F355" s="1186"/>
      <c r="G355" s="1186">
        <v>1</v>
      </c>
      <c r="H355" s="1186">
        <v>2</v>
      </c>
      <c r="I355" s="1186">
        <v>2</v>
      </c>
      <c r="J355" s="1186">
        <v>1</v>
      </c>
      <c r="K355" s="1186">
        <v>28</v>
      </c>
      <c r="L355" s="1186">
        <v>3</v>
      </c>
      <c r="M355" s="1186">
        <v>14</v>
      </c>
      <c r="N355" s="1186">
        <v>1</v>
      </c>
      <c r="O355" s="1186">
        <v>88930</v>
      </c>
    </row>
    <row r="356" spans="1:15" x14ac:dyDescent="0.2">
      <c r="A356" s="1186" t="s">
        <v>1419</v>
      </c>
      <c r="B356" s="1186" t="s">
        <v>496</v>
      </c>
      <c r="C356" s="1186" t="s">
        <v>52</v>
      </c>
      <c r="D356" s="1186">
        <v>108</v>
      </c>
      <c r="E356" s="1186">
        <v>13</v>
      </c>
      <c r="F356" s="1186">
        <v>2</v>
      </c>
      <c r="G356" s="1186">
        <v>4</v>
      </c>
      <c r="H356" s="1186">
        <v>13</v>
      </c>
      <c r="I356" s="1186"/>
      <c r="J356" s="1186"/>
      <c r="K356" s="1186">
        <v>35</v>
      </c>
      <c r="L356" s="1186">
        <v>12</v>
      </c>
      <c r="M356" s="1186">
        <v>21</v>
      </c>
      <c r="N356" s="1186">
        <v>8</v>
      </c>
      <c r="O356" s="1186">
        <v>183100</v>
      </c>
    </row>
    <row r="357" spans="1:15" x14ac:dyDescent="0.2">
      <c r="A357" s="1186" t="s">
        <v>1572</v>
      </c>
      <c r="B357" s="1186" t="s">
        <v>496</v>
      </c>
      <c r="C357" s="1186" t="s">
        <v>23</v>
      </c>
      <c r="D357" s="1186">
        <v>94</v>
      </c>
      <c r="E357" s="1186">
        <v>10</v>
      </c>
      <c r="F357" s="1186">
        <v>5</v>
      </c>
      <c r="G357" s="1186"/>
      <c r="H357" s="1186">
        <v>41</v>
      </c>
      <c r="I357" s="1186">
        <v>1</v>
      </c>
      <c r="J357" s="1186"/>
      <c r="K357" s="1186">
        <v>15</v>
      </c>
      <c r="L357" s="1186">
        <v>7</v>
      </c>
      <c r="M357" s="1186">
        <v>9</v>
      </c>
      <c r="N357" s="1186">
        <v>6</v>
      </c>
      <c r="O357" s="1186">
        <v>229060</v>
      </c>
    </row>
    <row r="358" spans="1:15" x14ac:dyDescent="0.2">
      <c r="A358" s="1186" t="s">
        <v>1572</v>
      </c>
      <c r="B358" s="1186" t="s">
        <v>496</v>
      </c>
      <c r="C358" s="1186" t="s">
        <v>24</v>
      </c>
      <c r="D358" s="1186">
        <v>143</v>
      </c>
      <c r="E358" s="1186">
        <v>11</v>
      </c>
      <c r="F358" s="1186">
        <v>11</v>
      </c>
      <c r="G358" s="1186">
        <v>20</v>
      </c>
      <c r="H358" s="1186">
        <v>24</v>
      </c>
      <c r="I358" s="1186">
        <v>3</v>
      </c>
      <c r="J358" s="1186">
        <v>2</v>
      </c>
      <c r="K358" s="1186">
        <v>25</v>
      </c>
      <c r="L358" s="1186">
        <v>4</v>
      </c>
      <c r="M358" s="1186">
        <v>38</v>
      </c>
      <c r="N358" s="1186">
        <v>5</v>
      </c>
      <c r="O358" s="1186">
        <v>260780</v>
      </c>
    </row>
    <row r="359" spans="1:15" x14ac:dyDescent="0.2">
      <c r="A359" s="1186" t="s">
        <v>1572</v>
      </c>
      <c r="B359" s="1186" t="s">
        <v>496</v>
      </c>
      <c r="C359" s="1186" t="s">
        <v>25</v>
      </c>
      <c r="D359" s="1186">
        <v>59</v>
      </c>
      <c r="E359" s="1186">
        <v>9</v>
      </c>
      <c r="F359" s="1186">
        <v>4</v>
      </c>
      <c r="G359" s="1186">
        <v>7</v>
      </c>
      <c r="H359" s="1186">
        <v>13</v>
      </c>
      <c r="I359" s="1186"/>
      <c r="J359" s="1186"/>
      <c r="K359" s="1186">
        <v>7</v>
      </c>
      <c r="L359" s="1186">
        <v>6</v>
      </c>
      <c r="M359" s="1186">
        <v>12</v>
      </c>
      <c r="N359" s="1186">
        <v>1</v>
      </c>
      <c r="O359" s="1186">
        <v>115820</v>
      </c>
    </row>
    <row r="360" spans="1:15" x14ac:dyDescent="0.2">
      <c r="A360" s="1186" t="s">
        <v>1572</v>
      </c>
      <c r="B360" s="1186" t="s">
        <v>496</v>
      </c>
      <c r="C360" s="1186" t="s">
        <v>26</v>
      </c>
      <c r="D360" s="1186">
        <v>40</v>
      </c>
      <c r="E360" s="1186">
        <v>7</v>
      </c>
      <c r="F360" s="1186">
        <v>5</v>
      </c>
      <c r="G360" s="1186"/>
      <c r="H360" s="1186">
        <v>7</v>
      </c>
      <c r="I360" s="1186">
        <v>1</v>
      </c>
      <c r="J360" s="1186"/>
      <c r="K360" s="1186">
        <v>8</v>
      </c>
      <c r="L360" s="1186">
        <v>2</v>
      </c>
      <c r="M360" s="1186">
        <v>10</v>
      </c>
      <c r="N360" s="1186"/>
      <c r="O360" s="1186">
        <v>85430</v>
      </c>
    </row>
    <row r="361" spans="1:15" x14ac:dyDescent="0.2">
      <c r="A361" s="1186" t="s">
        <v>1572</v>
      </c>
      <c r="B361" s="1186" t="s">
        <v>496</v>
      </c>
      <c r="C361" s="1186" t="s">
        <v>619</v>
      </c>
      <c r="D361" s="1186">
        <v>241</v>
      </c>
      <c r="E361" s="1186">
        <v>39</v>
      </c>
      <c r="F361" s="1186">
        <v>5</v>
      </c>
      <c r="G361" s="1186">
        <v>8</v>
      </c>
      <c r="H361" s="1186">
        <v>52</v>
      </c>
      <c r="I361" s="1186">
        <v>1</v>
      </c>
      <c r="J361" s="1186">
        <v>1</v>
      </c>
      <c r="K361" s="1186">
        <v>65</v>
      </c>
      <c r="L361" s="1186">
        <v>13</v>
      </c>
      <c r="M361" s="1186">
        <v>36</v>
      </c>
      <c r="N361" s="1186">
        <v>21</v>
      </c>
      <c r="O361" s="1186">
        <v>527620</v>
      </c>
    </row>
    <row r="362" spans="1:15" x14ac:dyDescent="0.2">
      <c r="A362" s="1186" t="s">
        <v>1572</v>
      </c>
      <c r="B362" s="1186" t="s">
        <v>496</v>
      </c>
      <c r="C362" s="1186" t="s">
        <v>27</v>
      </c>
      <c r="D362" s="1186">
        <v>11</v>
      </c>
      <c r="E362" s="1186">
        <v>1</v>
      </c>
      <c r="F362" s="1186">
        <v>3</v>
      </c>
      <c r="G362" s="1186"/>
      <c r="H362" s="1186">
        <v>4</v>
      </c>
      <c r="I362" s="1186"/>
      <c r="J362" s="1186"/>
      <c r="K362" s="1186">
        <v>2</v>
      </c>
      <c r="L362" s="1186">
        <v>1</v>
      </c>
      <c r="M362" s="1186"/>
      <c r="N362" s="1186"/>
      <c r="O362" s="1186">
        <v>51290</v>
      </c>
    </row>
    <row r="363" spans="1:15" x14ac:dyDescent="0.2">
      <c r="A363" s="1186" t="s">
        <v>1572</v>
      </c>
      <c r="B363" s="1186" t="s">
        <v>496</v>
      </c>
      <c r="C363" s="1186" t="s">
        <v>28</v>
      </c>
      <c r="D363" s="1186">
        <v>74</v>
      </c>
      <c r="E363" s="1186">
        <v>11</v>
      </c>
      <c r="F363" s="1186">
        <v>4</v>
      </c>
      <c r="G363" s="1186">
        <v>4</v>
      </c>
      <c r="H363" s="1186">
        <v>10</v>
      </c>
      <c r="I363" s="1186">
        <v>1</v>
      </c>
      <c r="J363" s="1186"/>
      <c r="K363" s="1186">
        <v>15</v>
      </c>
      <c r="L363" s="1186">
        <v>2</v>
      </c>
      <c r="M363" s="1186">
        <v>26</v>
      </c>
      <c r="N363" s="1186">
        <v>1</v>
      </c>
      <c r="O363" s="1186">
        <v>148290</v>
      </c>
    </row>
    <row r="364" spans="1:15" x14ac:dyDescent="0.2">
      <c r="A364" s="1186" t="s">
        <v>1572</v>
      </c>
      <c r="B364" s="1186" t="s">
        <v>496</v>
      </c>
      <c r="C364" s="1186" t="s">
        <v>29</v>
      </c>
      <c r="D364" s="1186">
        <v>70</v>
      </c>
      <c r="E364" s="1186">
        <v>16</v>
      </c>
      <c r="F364" s="1186">
        <v>2</v>
      </c>
      <c r="G364" s="1186">
        <v>2</v>
      </c>
      <c r="H364" s="1186">
        <v>17</v>
      </c>
      <c r="I364" s="1186"/>
      <c r="J364" s="1186">
        <v>1</v>
      </c>
      <c r="K364" s="1186">
        <v>12</v>
      </c>
      <c r="L364" s="1186">
        <v>11</v>
      </c>
      <c r="M364" s="1186">
        <v>7</v>
      </c>
      <c r="N364" s="1186">
        <v>2</v>
      </c>
      <c r="O364" s="1186">
        <v>148820</v>
      </c>
    </row>
    <row r="365" spans="1:15" x14ac:dyDescent="0.2">
      <c r="A365" s="1186" t="s">
        <v>1572</v>
      </c>
      <c r="B365" s="1186" t="s">
        <v>496</v>
      </c>
      <c r="C365" s="1186" t="s">
        <v>30</v>
      </c>
      <c r="D365" s="1186">
        <v>80</v>
      </c>
      <c r="E365" s="1186">
        <v>15</v>
      </c>
      <c r="F365" s="1186">
        <v>2</v>
      </c>
      <c r="G365" s="1186">
        <v>1</v>
      </c>
      <c r="H365" s="1186">
        <v>16</v>
      </c>
      <c r="I365" s="1186"/>
      <c r="J365" s="1186"/>
      <c r="K365" s="1186">
        <v>28</v>
      </c>
      <c r="L365" s="1186">
        <v>6</v>
      </c>
      <c r="M365" s="1186">
        <v>11</v>
      </c>
      <c r="N365" s="1186">
        <v>1</v>
      </c>
      <c r="O365" s="1186">
        <v>121600</v>
      </c>
    </row>
    <row r="366" spans="1:15" x14ac:dyDescent="0.2">
      <c r="A366" s="1186" t="s">
        <v>1572</v>
      </c>
      <c r="B366" s="1186" t="s">
        <v>496</v>
      </c>
      <c r="C366" s="1186" t="s">
        <v>31</v>
      </c>
      <c r="D366" s="1186">
        <v>35</v>
      </c>
      <c r="E366" s="1186">
        <v>5</v>
      </c>
      <c r="F366" s="1186"/>
      <c r="G366" s="1186">
        <v>1</v>
      </c>
      <c r="H366" s="1186">
        <v>2</v>
      </c>
      <c r="I366" s="1186"/>
      <c r="J366" s="1186"/>
      <c r="K366" s="1186">
        <v>16</v>
      </c>
      <c r="L366" s="1186">
        <v>4</v>
      </c>
      <c r="M366" s="1186">
        <v>7</v>
      </c>
      <c r="N366" s="1186"/>
      <c r="O366" s="1186">
        <v>108750</v>
      </c>
    </row>
    <row r="367" spans="1:15" x14ac:dyDescent="0.2">
      <c r="A367" s="1186" t="s">
        <v>1572</v>
      </c>
      <c r="B367" s="1186" t="s">
        <v>496</v>
      </c>
      <c r="C367" s="1186" t="s">
        <v>32</v>
      </c>
      <c r="D367" s="1186">
        <v>63</v>
      </c>
      <c r="E367" s="1186">
        <v>9</v>
      </c>
      <c r="F367" s="1186"/>
      <c r="G367" s="1186">
        <v>2</v>
      </c>
      <c r="H367" s="1186">
        <v>15</v>
      </c>
      <c r="I367" s="1186"/>
      <c r="J367" s="1186">
        <v>1</v>
      </c>
      <c r="K367" s="1186">
        <v>22</v>
      </c>
      <c r="L367" s="1186">
        <v>3</v>
      </c>
      <c r="M367" s="1186">
        <v>9</v>
      </c>
      <c r="N367" s="1186">
        <v>2</v>
      </c>
      <c r="O367" s="1186">
        <v>107900</v>
      </c>
    </row>
    <row r="368" spans="1:15" x14ac:dyDescent="0.2">
      <c r="A368" s="1186" t="s">
        <v>1572</v>
      </c>
      <c r="B368" s="1186" t="s">
        <v>496</v>
      </c>
      <c r="C368" s="1186" t="s">
        <v>33</v>
      </c>
      <c r="D368" s="1186">
        <v>33</v>
      </c>
      <c r="E368" s="1186">
        <v>5</v>
      </c>
      <c r="F368" s="1186">
        <v>1</v>
      </c>
      <c r="G368" s="1186">
        <v>1</v>
      </c>
      <c r="H368" s="1186">
        <v>1</v>
      </c>
      <c r="I368" s="1186"/>
      <c r="J368" s="1186">
        <v>1</v>
      </c>
      <c r="K368" s="1186">
        <v>15</v>
      </c>
      <c r="L368" s="1186">
        <v>3</v>
      </c>
      <c r="M368" s="1186">
        <v>6</v>
      </c>
      <c r="N368" s="1186"/>
      <c r="O368" s="1186">
        <v>96060</v>
      </c>
    </row>
    <row r="369" spans="1:15" x14ac:dyDescent="0.2">
      <c r="A369" s="1186" t="s">
        <v>1572</v>
      </c>
      <c r="B369" s="1186" t="s">
        <v>496</v>
      </c>
      <c r="C369" s="1186" t="s">
        <v>34</v>
      </c>
      <c r="D369" s="1186">
        <v>117</v>
      </c>
      <c r="E369" s="1186">
        <v>19</v>
      </c>
      <c r="F369" s="1186">
        <v>4</v>
      </c>
      <c r="G369" s="1186">
        <v>5</v>
      </c>
      <c r="H369" s="1186">
        <v>38</v>
      </c>
      <c r="I369" s="1186">
        <v>1</v>
      </c>
      <c r="J369" s="1186"/>
      <c r="K369" s="1186">
        <v>30</v>
      </c>
      <c r="L369" s="1186">
        <v>3</v>
      </c>
      <c r="M369" s="1186">
        <v>17</v>
      </c>
      <c r="N369" s="1186"/>
      <c r="O369" s="1186">
        <v>160560</v>
      </c>
    </row>
    <row r="370" spans="1:15" x14ac:dyDescent="0.2">
      <c r="A370" s="1186" t="s">
        <v>1572</v>
      </c>
      <c r="B370" s="1186" t="s">
        <v>496</v>
      </c>
      <c r="C370" s="1186" t="s">
        <v>35</v>
      </c>
      <c r="D370" s="1186">
        <v>238</v>
      </c>
      <c r="E370" s="1186">
        <v>30</v>
      </c>
      <c r="F370" s="1186">
        <v>11</v>
      </c>
      <c r="G370" s="1186">
        <v>8</v>
      </c>
      <c r="H370" s="1186">
        <v>78</v>
      </c>
      <c r="I370" s="1186">
        <v>2</v>
      </c>
      <c r="J370" s="1186"/>
      <c r="K370" s="1186">
        <v>57</v>
      </c>
      <c r="L370" s="1186">
        <v>8</v>
      </c>
      <c r="M370" s="1186">
        <v>37</v>
      </c>
      <c r="N370" s="1186">
        <v>7</v>
      </c>
      <c r="O370" s="1186">
        <v>374130</v>
      </c>
    </row>
    <row r="371" spans="1:15" x14ac:dyDescent="0.2">
      <c r="A371" s="1186" t="s">
        <v>1572</v>
      </c>
      <c r="B371" s="1186" t="s">
        <v>496</v>
      </c>
      <c r="C371" s="1186" t="s">
        <v>36</v>
      </c>
      <c r="D371" s="1186">
        <v>380</v>
      </c>
      <c r="E371" s="1186">
        <v>52</v>
      </c>
      <c r="F371" s="1186">
        <v>7</v>
      </c>
      <c r="G371" s="1186">
        <v>5</v>
      </c>
      <c r="H371" s="1186">
        <v>12</v>
      </c>
      <c r="I371" s="1186">
        <v>3</v>
      </c>
      <c r="J371" s="1186">
        <v>3</v>
      </c>
      <c r="K371" s="1186">
        <v>188</v>
      </c>
      <c r="L371" s="1186">
        <v>23</v>
      </c>
      <c r="M371" s="1186">
        <v>71</v>
      </c>
      <c r="N371" s="1186">
        <v>16</v>
      </c>
      <c r="O371" s="1186">
        <v>635640</v>
      </c>
    </row>
    <row r="372" spans="1:15" x14ac:dyDescent="0.2">
      <c r="A372" s="1186" t="s">
        <v>1572</v>
      </c>
      <c r="B372" s="1186" t="s">
        <v>496</v>
      </c>
      <c r="C372" s="1186" t="s">
        <v>37</v>
      </c>
      <c r="D372" s="1186">
        <v>142</v>
      </c>
      <c r="E372" s="1186">
        <v>15</v>
      </c>
      <c r="F372" s="1186">
        <v>11</v>
      </c>
      <c r="G372" s="1186">
        <v>15</v>
      </c>
      <c r="H372" s="1186">
        <v>38</v>
      </c>
      <c r="I372" s="1186">
        <v>1</v>
      </c>
      <c r="J372" s="1186">
        <v>1</v>
      </c>
      <c r="K372" s="1186">
        <v>25</v>
      </c>
      <c r="L372" s="1186">
        <v>4</v>
      </c>
      <c r="M372" s="1186">
        <v>31</v>
      </c>
      <c r="N372" s="1186">
        <v>1</v>
      </c>
      <c r="O372" s="1186">
        <v>235430</v>
      </c>
    </row>
    <row r="373" spans="1:15" x14ac:dyDescent="0.2">
      <c r="A373" s="1186" t="s">
        <v>1572</v>
      </c>
      <c r="B373" s="1186" t="s">
        <v>496</v>
      </c>
      <c r="C373" s="1186" t="s">
        <v>38</v>
      </c>
      <c r="D373" s="1186">
        <v>36</v>
      </c>
      <c r="E373" s="1186">
        <v>6</v>
      </c>
      <c r="F373" s="1186"/>
      <c r="G373" s="1186"/>
      <c r="H373" s="1186"/>
      <c r="I373" s="1186">
        <v>1</v>
      </c>
      <c r="J373" s="1186"/>
      <c r="K373" s="1186">
        <v>17</v>
      </c>
      <c r="L373" s="1186">
        <v>5</v>
      </c>
      <c r="M373" s="1186">
        <v>7</v>
      </c>
      <c r="N373" s="1186"/>
      <c r="O373" s="1186">
        <v>77060</v>
      </c>
    </row>
    <row r="374" spans="1:15" x14ac:dyDescent="0.2">
      <c r="A374" s="1186" t="s">
        <v>1572</v>
      </c>
      <c r="B374" s="1186" t="s">
        <v>496</v>
      </c>
      <c r="C374" s="1186" t="s">
        <v>39</v>
      </c>
      <c r="D374" s="1186">
        <v>64</v>
      </c>
      <c r="E374" s="1186">
        <v>12</v>
      </c>
      <c r="F374" s="1186">
        <v>9</v>
      </c>
      <c r="G374" s="1186">
        <v>3</v>
      </c>
      <c r="H374" s="1186">
        <v>20</v>
      </c>
      <c r="I374" s="1186"/>
      <c r="J374" s="1186">
        <v>1</v>
      </c>
      <c r="K374" s="1186">
        <v>8</v>
      </c>
      <c r="L374" s="1186"/>
      <c r="M374" s="1186">
        <v>6</v>
      </c>
      <c r="N374" s="1186">
        <v>5</v>
      </c>
      <c r="O374" s="1186">
        <v>93150</v>
      </c>
    </row>
    <row r="375" spans="1:15" x14ac:dyDescent="0.2">
      <c r="A375" s="1186" t="s">
        <v>1572</v>
      </c>
      <c r="B375" s="1186" t="s">
        <v>496</v>
      </c>
      <c r="C375" s="1186" t="s">
        <v>40</v>
      </c>
      <c r="D375" s="1186">
        <v>65</v>
      </c>
      <c r="E375" s="1186">
        <v>10</v>
      </c>
      <c r="F375" s="1186">
        <v>1</v>
      </c>
      <c r="G375" s="1186">
        <v>7</v>
      </c>
      <c r="H375" s="1186">
        <v>24</v>
      </c>
      <c r="I375" s="1186"/>
      <c r="J375" s="1186"/>
      <c r="K375" s="1186">
        <v>18</v>
      </c>
      <c r="L375" s="1186"/>
      <c r="M375" s="1186">
        <v>5</v>
      </c>
      <c r="N375" s="1186"/>
      <c r="O375" s="1186">
        <v>95710</v>
      </c>
    </row>
    <row r="376" spans="1:15" x14ac:dyDescent="0.2">
      <c r="A376" s="1186" t="s">
        <v>1572</v>
      </c>
      <c r="B376" s="1186" t="s">
        <v>496</v>
      </c>
      <c r="C376" s="1186" t="s">
        <v>295</v>
      </c>
      <c r="D376" s="1186">
        <v>13</v>
      </c>
      <c r="E376" s="1186">
        <v>1</v>
      </c>
      <c r="F376" s="1186">
        <v>1</v>
      </c>
      <c r="G376" s="1186">
        <v>3</v>
      </c>
      <c r="H376" s="1186"/>
      <c r="I376" s="1186"/>
      <c r="J376" s="1186"/>
      <c r="K376" s="1186">
        <v>4</v>
      </c>
      <c r="L376" s="1186">
        <v>1</v>
      </c>
      <c r="M376" s="1186">
        <v>3</v>
      </c>
      <c r="N376" s="1186"/>
      <c r="O376" s="1186">
        <v>26500</v>
      </c>
    </row>
    <row r="377" spans="1:15" x14ac:dyDescent="0.2">
      <c r="A377" s="1186" t="s">
        <v>1572</v>
      </c>
      <c r="B377" s="1186" t="s">
        <v>496</v>
      </c>
      <c r="C377" s="1186" t="s">
        <v>41</v>
      </c>
      <c r="D377" s="1186">
        <v>51</v>
      </c>
      <c r="E377" s="1186">
        <v>10</v>
      </c>
      <c r="F377" s="1186">
        <v>1</v>
      </c>
      <c r="G377" s="1186">
        <v>2</v>
      </c>
      <c r="H377" s="1186">
        <v>2</v>
      </c>
      <c r="I377" s="1186">
        <v>1</v>
      </c>
      <c r="J377" s="1186"/>
      <c r="K377" s="1186">
        <v>24</v>
      </c>
      <c r="L377" s="1186"/>
      <c r="M377" s="1186">
        <v>10</v>
      </c>
      <c r="N377" s="1186">
        <v>1</v>
      </c>
      <c r="O377" s="1186">
        <v>134250</v>
      </c>
    </row>
    <row r="378" spans="1:15" x14ac:dyDescent="0.2">
      <c r="A378" s="1186" t="s">
        <v>1572</v>
      </c>
      <c r="B378" s="1186" t="s">
        <v>496</v>
      </c>
      <c r="C378" s="1186" t="s">
        <v>42</v>
      </c>
      <c r="D378" s="1186">
        <v>259</v>
      </c>
      <c r="E378" s="1186">
        <v>17</v>
      </c>
      <c r="F378" s="1186">
        <v>7</v>
      </c>
      <c r="G378" s="1186">
        <v>8</v>
      </c>
      <c r="H378" s="1186">
        <v>8</v>
      </c>
      <c r="I378" s="1186">
        <v>1</v>
      </c>
      <c r="J378" s="1186">
        <v>1</v>
      </c>
      <c r="K378" s="1186">
        <v>131</v>
      </c>
      <c r="L378" s="1186">
        <v>25</v>
      </c>
      <c r="M378" s="1186">
        <v>58</v>
      </c>
      <c r="N378" s="1186">
        <v>3</v>
      </c>
      <c r="O378" s="1186">
        <v>341140</v>
      </c>
    </row>
    <row r="379" spans="1:15" x14ac:dyDescent="0.2">
      <c r="A379" s="1186" t="s">
        <v>1572</v>
      </c>
      <c r="B379" s="1186" t="s">
        <v>496</v>
      </c>
      <c r="C379" s="1186" t="s">
        <v>43</v>
      </c>
      <c r="D379" s="1186">
        <v>11</v>
      </c>
      <c r="E379" s="1186">
        <v>2</v>
      </c>
      <c r="F379" s="1186">
        <v>1</v>
      </c>
      <c r="G379" s="1186"/>
      <c r="H379" s="1186"/>
      <c r="I379" s="1186">
        <v>1</v>
      </c>
      <c r="J379" s="1186"/>
      <c r="K379" s="1186">
        <v>4</v>
      </c>
      <c r="L379" s="1186"/>
      <c r="M379" s="1186">
        <v>3</v>
      </c>
      <c r="N379" s="1186"/>
      <c r="O379" s="1186">
        <v>22400</v>
      </c>
    </row>
    <row r="380" spans="1:15" x14ac:dyDescent="0.2">
      <c r="A380" s="1186" t="s">
        <v>1572</v>
      </c>
      <c r="B380" s="1186" t="s">
        <v>496</v>
      </c>
      <c r="C380" s="1186" t="s">
        <v>44</v>
      </c>
      <c r="D380" s="1186">
        <v>79</v>
      </c>
      <c r="E380" s="1186">
        <v>5</v>
      </c>
      <c r="F380" s="1186">
        <v>2</v>
      </c>
      <c r="G380" s="1186">
        <v>8</v>
      </c>
      <c r="H380" s="1186">
        <v>11</v>
      </c>
      <c r="I380" s="1186"/>
      <c r="J380" s="1186">
        <v>1</v>
      </c>
      <c r="K380" s="1186">
        <v>24</v>
      </c>
      <c r="L380" s="1186">
        <v>3</v>
      </c>
      <c r="M380" s="1186">
        <v>23</v>
      </c>
      <c r="N380" s="1186">
        <v>2</v>
      </c>
      <c r="O380" s="1186">
        <v>151910</v>
      </c>
    </row>
    <row r="381" spans="1:15" x14ac:dyDescent="0.2">
      <c r="A381" s="1186" t="s">
        <v>1572</v>
      </c>
      <c r="B381" s="1186" t="s">
        <v>496</v>
      </c>
      <c r="C381" s="1186" t="s">
        <v>45</v>
      </c>
      <c r="D381" s="1186">
        <v>85</v>
      </c>
      <c r="E381" s="1186">
        <v>12</v>
      </c>
      <c r="F381" s="1186">
        <v>3</v>
      </c>
      <c r="G381" s="1186">
        <v>1</v>
      </c>
      <c r="H381" s="1186">
        <v>14</v>
      </c>
      <c r="I381" s="1186"/>
      <c r="J381" s="1186"/>
      <c r="K381" s="1186">
        <v>31</v>
      </c>
      <c r="L381" s="1186">
        <v>8</v>
      </c>
      <c r="M381" s="1186">
        <v>15</v>
      </c>
      <c r="N381" s="1186">
        <v>1</v>
      </c>
      <c r="O381" s="1186">
        <v>179390</v>
      </c>
    </row>
    <row r="382" spans="1:15" x14ac:dyDescent="0.2">
      <c r="A382" s="1186" t="s">
        <v>1572</v>
      </c>
      <c r="B382" s="1186" t="s">
        <v>496</v>
      </c>
      <c r="C382" s="1186" t="s">
        <v>46</v>
      </c>
      <c r="D382" s="1186">
        <v>61</v>
      </c>
      <c r="E382" s="1186">
        <v>5</v>
      </c>
      <c r="F382" s="1186">
        <v>5</v>
      </c>
      <c r="G382" s="1186">
        <v>6</v>
      </c>
      <c r="H382" s="1186">
        <v>12</v>
      </c>
      <c r="I382" s="1186"/>
      <c r="J382" s="1186"/>
      <c r="K382" s="1186">
        <v>17</v>
      </c>
      <c r="L382" s="1186">
        <v>2</v>
      </c>
      <c r="M382" s="1186">
        <v>12</v>
      </c>
      <c r="N382" s="1186">
        <v>2</v>
      </c>
      <c r="O382" s="1186">
        <v>115240</v>
      </c>
    </row>
    <row r="383" spans="1:15" x14ac:dyDescent="0.2">
      <c r="A383" s="1186" t="s">
        <v>1572</v>
      </c>
      <c r="B383" s="1186" t="s">
        <v>496</v>
      </c>
      <c r="C383" s="1186" t="s">
        <v>47</v>
      </c>
      <c r="D383" s="1186">
        <v>19</v>
      </c>
      <c r="E383" s="1186">
        <v>5</v>
      </c>
      <c r="F383" s="1186"/>
      <c r="G383" s="1186"/>
      <c r="H383" s="1186"/>
      <c r="I383" s="1186">
        <v>1</v>
      </c>
      <c r="J383" s="1186"/>
      <c r="K383" s="1186">
        <v>8</v>
      </c>
      <c r="L383" s="1186"/>
      <c r="M383" s="1186">
        <v>5</v>
      </c>
      <c r="N383" s="1186"/>
      <c r="O383" s="1186">
        <v>22870</v>
      </c>
    </row>
    <row r="384" spans="1:15" x14ac:dyDescent="0.2">
      <c r="A384" s="1186" t="s">
        <v>1572</v>
      </c>
      <c r="B384" s="1186" t="s">
        <v>496</v>
      </c>
      <c r="C384" s="1186" t="s">
        <v>48</v>
      </c>
      <c r="D384" s="1186">
        <v>40</v>
      </c>
      <c r="E384" s="1186">
        <v>5</v>
      </c>
      <c r="F384" s="1186"/>
      <c r="G384" s="1186">
        <v>2</v>
      </c>
      <c r="H384" s="1186">
        <v>7</v>
      </c>
      <c r="I384" s="1186"/>
      <c r="J384" s="1186"/>
      <c r="K384" s="1186">
        <v>13</v>
      </c>
      <c r="L384" s="1186">
        <v>1</v>
      </c>
      <c r="M384" s="1186">
        <v>12</v>
      </c>
      <c r="N384" s="1186"/>
      <c r="O384" s="1186">
        <v>112140</v>
      </c>
    </row>
    <row r="385" spans="1:15" x14ac:dyDescent="0.2">
      <c r="A385" s="1186" t="s">
        <v>1572</v>
      </c>
      <c r="B385" s="1186" t="s">
        <v>496</v>
      </c>
      <c r="C385" s="1186" t="s">
        <v>49</v>
      </c>
      <c r="D385" s="1186">
        <v>190</v>
      </c>
      <c r="E385" s="1186">
        <v>13</v>
      </c>
      <c r="F385" s="1186">
        <v>5</v>
      </c>
      <c r="G385" s="1186">
        <v>4</v>
      </c>
      <c r="H385" s="1186">
        <v>14</v>
      </c>
      <c r="I385" s="1186">
        <v>1</v>
      </c>
      <c r="J385" s="1186">
        <v>1</v>
      </c>
      <c r="K385" s="1186">
        <v>90</v>
      </c>
      <c r="L385" s="1186">
        <v>20</v>
      </c>
      <c r="M385" s="1186">
        <v>34</v>
      </c>
      <c r="N385" s="1186">
        <v>8</v>
      </c>
      <c r="O385" s="1186">
        <v>320820</v>
      </c>
    </row>
    <row r="386" spans="1:15" x14ac:dyDescent="0.2">
      <c r="A386" s="1186" t="s">
        <v>1572</v>
      </c>
      <c r="B386" s="1186" t="s">
        <v>496</v>
      </c>
      <c r="C386" s="1186" t="s">
        <v>50</v>
      </c>
      <c r="D386" s="1186">
        <v>66</v>
      </c>
      <c r="E386" s="1186">
        <v>10</v>
      </c>
      <c r="F386" s="1186">
        <v>4</v>
      </c>
      <c r="G386" s="1186">
        <v>3</v>
      </c>
      <c r="H386" s="1186">
        <v>16</v>
      </c>
      <c r="I386" s="1186"/>
      <c r="J386" s="1186"/>
      <c r="K386" s="1186">
        <v>17</v>
      </c>
      <c r="L386" s="1186">
        <v>3</v>
      </c>
      <c r="M386" s="1186">
        <v>12</v>
      </c>
      <c r="N386" s="1186">
        <v>1</v>
      </c>
      <c r="O386" s="1186">
        <v>94080</v>
      </c>
    </row>
    <row r="387" spans="1:15" x14ac:dyDescent="0.2">
      <c r="A387" s="1186" t="s">
        <v>1572</v>
      </c>
      <c r="B387" s="1186" t="s">
        <v>496</v>
      </c>
      <c r="C387" s="1186" t="s">
        <v>51</v>
      </c>
      <c r="D387" s="1186">
        <v>57</v>
      </c>
      <c r="E387" s="1186">
        <v>12</v>
      </c>
      <c r="F387" s="1186">
        <v>3</v>
      </c>
      <c r="G387" s="1186">
        <v>2</v>
      </c>
      <c r="H387" s="1186">
        <v>6</v>
      </c>
      <c r="I387" s="1186">
        <v>2</v>
      </c>
      <c r="J387" s="1186"/>
      <c r="K387" s="1186">
        <v>23</v>
      </c>
      <c r="L387" s="1186"/>
      <c r="M387" s="1186">
        <v>9</v>
      </c>
      <c r="N387" s="1186"/>
      <c r="O387" s="1186">
        <v>88340</v>
      </c>
    </row>
    <row r="388" spans="1:15" x14ac:dyDescent="0.2">
      <c r="A388" s="1186" t="s">
        <v>1572</v>
      </c>
      <c r="B388" s="1186" t="s">
        <v>496</v>
      </c>
      <c r="C388" s="1186" t="s">
        <v>52</v>
      </c>
      <c r="D388" s="1186">
        <v>121</v>
      </c>
      <c r="E388" s="1186">
        <v>14</v>
      </c>
      <c r="F388" s="1186">
        <v>9</v>
      </c>
      <c r="G388" s="1186">
        <v>8</v>
      </c>
      <c r="H388" s="1186">
        <v>28</v>
      </c>
      <c r="I388" s="1186"/>
      <c r="J388" s="1186"/>
      <c r="K388" s="1186">
        <v>30</v>
      </c>
      <c r="L388" s="1186">
        <v>8</v>
      </c>
      <c r="M388" s="1186">
        <v>17</v>
      </c>
      <c r="N388" s="1186">
        <v>7</v>
      </c>
      <c r="O388" s="1186">
        <v>183820</v>
      </c>
    </row>
  </sheetData>
  <pageMargins left="0.7" right="0.7" top="0.75" bottom="0.75" header="0.3" footer="0.3"/>
  <pageSetup paperSize="9" fitToHeight="50" orientation="landscape" r:id="rId1"/>
  <legacyDrawing r:id="rId2"/>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pageSetUpPr fitToPage="1"/>
  </sheetPr>
  <dimension ref="A1:M388"/>
  <sheetViews>
    <sheetView topLeftCell="E1" zoomScale="85" zoomScaleNormal="85" workbookViewId="0">
      <pane ySplit="4" topLeftCell="A344" activePane="bottomLeft" state="frozen"/>
      <selection activeCell="A5" sqref="A5"/>
      <selection pane="bottomLeft" activeCell="A5" sqref="A5"/>
    </sheetView>
  </sheetViews>
  <sheetFormatPr defaultColWidth="8.7109375" defaultRowHeight="12.75" x14ac:dyDescent="0.2"/>
  <cols>
    <col min="1" max="1" width="19.5703125" bestFit="1" customWidth="1"/>
    <col min="2" max="2" width="7.42578125" bestFit="1" customWidth="1"/>
    <col min="3" max="3" width="27.28515625" bestFit="1" customWidth="1"/>
    <col min="4" max="4" width="16.28515625" bestFit="1" customWidth="1"/>
    <col min="5" max="5" width="11.5703125" bestFit="1" customWidth="1"/>
    <col min="6" max="6" width="25.28515625" bestFit="1" customWidth="1"/>
    <col min="7" max="7" width="18.5703125" bestFit="1" customWidth="1"/>
    <col min="8" max="8" width="15.85546875" bestFit="1" customWidth="1"/>
    <col min="9" max="9" width="28.140625" bestFit="1" customWidth="1"/>
    <col min="10" max="10" width="29.42578125" bestFit="1" customWidth="1"/>
    <col min="11" max="11" width="29.28515625" bestFit="1" customWidth="1"/>
    <col min="12" max="12" width="24" bestFit="1" customWidth="1"/>
    <col min="13" max="13" width="6.85546875" bestFit="1" customWidth="1"/>
  </cols>
  <sheetData>
    <row r="1" spans="1:13" x14ac:dyDescent="0.2"/>
    <row r="4" spans="1:13" x14ac:dyDescent="0.2">
      <c r="A4" s="1223" t="s">
        <v>1627</v>
      </c>
      <c r="B4" s="1223" t="s">
        <v>4</v>
      </c>
      <c r="C4" s="1223" t="s">
        <v>1755</v>
      </c>
      <c r="D4" s="1223" t="s">
        <v>1756</v>
      </c>
      <c r="E4" s="1223" t="s">
        <v>1757</v>
      </c>
      <c r="F4" s="1223" t="s">
        <v>1758</v>
      </c>
      <c r="G4" s="1223" t="s">
        <v>1759</v>
      </c>
      <c r="H4" s="1223" t="s">
        <v>1760</v>
      </c>
      <c r="I4" s="1223" t="s">
        <v>1750</v>
      </c>
      <c r="J4" s="1223" t="s">
        <v>1761</v>
      </c>
      <c r="K4" s="1223" t="s">
        <v>1762</v>
      </c>
      <c r="L4" s="1223" t="s">
        <v>1763</v>
      </c>
      <c r="M4" s="1223" t="s">
        <v>1582</v>
      </c>
    </row>
    <row r="5" spans="1:13" x14ac:dyDescent="0.2">
      <c r="A5" s="1186" t="s">
        <v>23</v>
      </c>
      <c r="B5" s="1186" t="s">
        <v>19</v>
      </c>
      <c r="C5" s="1186">
        <v>658</v>
      </c>
      <c r="D5" s="1186">
        <v>12</v>
      </c>
      <c r="E5" s="1186">
        <v>166</v>
      </c>
      <c r="F5" s="1186">
        <v>1</v>
      </c>
      <c r="G5" s="1186">
        <v>23</v>
      </c>
      <c r="H5" s="1186">
        <v>5</v>
      </c>
      <c r="I5" s="1186">
        <v>23</v>
      </c>
      <c r="J5" s="1186">
        <v>206</v>
      </c>
      <c r="K5" s="1186">
        <v>18</v>
      </c>
      <c r="L5" s="1186">
        <v>204</v>
      </c>
      <c r="M5" s="1186">
        <v>217020</v>
      </c>
    </row>
    <row r="6" spans="1:13" x14ac:dyDescent="0.2">
      <c r="A6" s="1186" t="s">
        <v>24</v>
      </c>
      <c r="B6" s="1186" t="s">
        <v>19</v>
      </c>
      <c r="C6" s="1186">
        <v>254</v>
      </c>
      <c r="D6" s="1186">
        <v>7</v>
      </c>
      <c r="E6" s="1186">
        <v>106</v>
      </c>
      <c r="F6" s="1186">
        <v>6</v>
      </c>
      <c r="G6" s="1186">
        <v>9</v>
      </c>
      <c r="H6" s="1186">
        <v>1</v>
      </c>
      <c r="I6" s="1186">
        <v>6</v>
      </c>
      <c r="J6" s="1186">
        <v>28</v>
      </c>
      <c r="K6" s="1186">
        <v>15</v>
      </c>
      <c r="L6" s="1186">
        <v>76</v>
      </c>
      <c r="M6" s="1186">
        <v>249020</v>
      </c>
    </row>
    <row r="7" spans="1:13" x14ac:dyDescent="0.2">
      <c r="A7" s="1186" t="s">
        <v>25</v>
      </c>
      <c r="B7" s="1186" t="s">
        <v>19</v>
      </c>
      <c r="C7" s="1186">
        <v>191</v>
      </c>
      <c r="D7" s="1186">
        <v>7</v>
      </c>
      <c r="E7" s="1186">
        <v>85</v>
      </c>
      <c r="F7" s="1186">
        <v>14</v>
      </c>
      <c r="G7" s="1186">
        <v>4</v>
      </c>
      <c r="H7" s="1186">
        <v>1</v>
      </c>
      <c r="I7" s="1186">
        <v>16</v>
      </c>
      <c r="J7" s="1186">
        <v>28</v>
      </c>
      <c r="K7" s="1186">
        <v>6</v>
      </c>
      <c r="L7" s="1186">
        <v>30</v>
      </c>
      <c r="M7" s="1186">
        <v>114830</v>
      </c>
    </row>
    <row r="8" spans="1:13" x14ac:dyDescent="0.2">
      <c r="A8" s="1186" t="s">
        <v>26</v>
      </c>
      <c r="B8" s="1186" t="s">
        <v>19</v>
      </c>
      <c r="C8" s="1186">
        <v>156</v>
      </c>
      <c r="D8" s="1186">
        <v>8</v>
      </c>
      <c r="E8" s="1186">
        <v>76</v>
      </c>
      <c r="F8" s="1186"/>
      <c r="G8" s="1186">
        <v>5</v>
      </c>
      <c r="H8" s="1186">
        <v>5</v>
      </c>
      <c r="I8" s="1186">
        <v>15</v>
      </c>
      <c r="J8" s="1186">
        <v>22</v>
      </c>
      <c r="K8" s="1186">
        <v>7</v>
      </c>
      <c r="L8" s="1186">
        <v>18</v>
      </c>
      <c r="M8" s="1186">
        <v>89450</v>
      </c>
    </row>
    <row r="9" spans="1:13" x14ac:dyDescent="0.2">
      <c r="A9" s="1186" t="s">
        <v>619</v>
      </c>
      <c r="B9" s="1186" t="s">
        <v>19</v>
      </c>
      <c r="C9" s="1186">
        <v>2220</v>
      </c>
      <c r="D9" s="1186">
        <v>40</v>
      </c>
      <c r="E9" s="1186">
        <v>552</v>
      </c>
      <c r="F9" s="1186">
        <v>9</v>
      </c>
      <c r="G9" s="1186">
        <v>30</v>
      </c>
      <c r="H9" s="1186">
        <v>16</v>
      </c>
      <c r="I9" s="1186">
        <v>397</v>
      </c>
      <c r="J9" s="1186">
        <v>611</v>
      </c>
      <c r="K9" s="1186">
        <v>88</v>
      </c>
      <c r="L9" s="1186">
        <v>477</v>
      </c>
      <c r="M9" s="1186">
        <v>463230</v>
      </c>
    </row>
    <row r="10" spans="1:13" x14ac:dyDescent="0.2">
      <c r="A10" s="1186" t="s">
        <v>27</v>
      </c>
      <c r="B10" s="1186" t="s">
        <v>19</v>
      </c>
      <c r="C10" s="1186">
        <v>218</v>
      </c>
      <c r="D10" s="1186">
        <v>6</v>
      </c>
      <c r="E10" s="1186">
        <v>73</v>
      </c>
      <c r="F10" s="1186">
        <v>5</v>
      </c>
      <c r="G10" s="1186">
        <v>6</v>
      </c>
      <c r="H10" s="1186">
        <v>3</v>
      </c>
      <c r="I10" s="1186">
        <v>17</v>
      </c>
      <c r="J10" s="1186">
        <v>36</v>
      </c>
      <c r="K10" s="1186">
        <v>2</v>
      </c>
      <c r="L10" s="1186">
        <v>70</v>
      </c>
      <c r="M10" s="1186">
        <v>51290</v>
      </c>
    </row>
    <row r="11" spans="1:13" x14ac:dyDescent="0.2">
      <c r="A11" s="1186" t="s">
        <v>28</v>
      </c>
      <c r="B11" s="1186" t="s">
        <v>19</v>
      </c>
      <c r="C11" s="1186">
        <v>239</v>
      </c>
      <c r="D11" s="1186">
        <v>5</v>
      </c>
      <c r="E11" s="1186">
        <v>71</v>
      </c>
      <c r="F11" s="1186"/>
      <c r="G11" s="1186">
        <v>21</v>
      </c>
      <c r="H11" s="1186"/>
      <c r="I11" s="1186">
        <v>11</v>
      </c>
      <c r="J11" s="1186">
        <v>47</v>
      </c>
      <c r="K11" s="1186">
        <v>11</v>
      </c>
      <c r="L11" s="1186">
        <v>73</v>
      </c>
      <c r="M11" s="1186">
        <v>151160</v>
      </c>
    </row>
    <row r="12" spans="1:13" x14ac:dyDescent="0.2">
      <c r="A12" s="1186" t="s">
        <v>29</v>
      </c>
      <c r="B12" s="1186" t="s">
        <v>19</v>
      </c>
      <c r="C12" s="1186">
        <v>1009</v>
      </c>
      <c r="D12" s="1186">
        <v>23</v>
      </c>
      <c r="E12" s="1186">
        <v>259</v>
      </c>
      <c r="F12" s="1186">
        <v>9</v>
      </c>
      <c r="G12" s="1186">
        <v>15</v>
      </c>
      <c r="H12" s="1186">
        <v>6</v>
      </c>
      <c r="I12" s="1186">
        <v>108</v>
      </c>
      <c r="J12" s="1186">
        <v>251</v>
      </c>
      <c r="K12" s="1186">
        <v>34</v>
      </c>
      <c r="L12" s="1186">
        <v>304</v>
      </c>
      <c r="M12" s="1186">
        <v>145170</v>
      </c>
    </row>
    <row r="13" spans="1:13" x14ac:dyDescent="0.2">
      <c r="A13" s="1186" t="s">
        <v>30</v>
      </c>
      <c r="B13" s="1186" t="s">
        <v>19</v>
      </c>
      <c r="C13" s="1186">
        <v>868</v>
      </c>
      <c r="D13" s="1186">
        <v>37</v>
      </c>
      <c r="E13" s="1186">
        <v>213</v>
      </c>
      <c r="F13" s="1186">
        <v>2</v>
      </c>
      <c r="G13" s="1186">
        <v>11</v>
      </c>
      <c r="H13" s="1186">
        <v>18</v>
      </c>
      <c r="I13" s="1186">
        <v>93</v>
      </c>
      <c r="J13" s="1186">
        <v>185</v>
      </c>
      <c r="K13" s="1186">
        <v>42</v>
      </c>
      <c r="L13" s="1186">
        <v>267</v>
      </c>
      <c r="M13" s="1186">
        <v>122110</v>
      </c>
    </row>
    <row r="14" spans="1:13" x14ac:dyDescent="0.2">
      <c r="A14" s="1186" t="s">
        <v>31</v>
      </c>
      <c r="B14" s="1186" t="s">
        <v>19</v>
      </c>
      <c r="C14" s="1186">
        <v>314</v>
      </c>
      <c r="D14" s="1186">
        <v>15</v>
      </c>
      <c r="E14" s="1186">
        <v>120</v>
      </c>
      <c r="F14" s="1186">
        <v>2</v>
      </c>
      <c r="G14" s="1186">
        <v>8</v>
      </c>
      <c r="H14" s="1186">
        <v>5</v>
      </c>
      <c r="I14" s="1186">
        <v>29</v>
      </c>
      <c r="J14" s="1186">
        <v>36</v>
      </c>
      <c r="K14" s="1186">
        <v>9</v>
      </c>
      <c r="L14" s="1186">
        <v>90</v>
      </c>
      <c r="M14" s="1186">
        <v>104960</v>
      </c>
    </row>
    <row r="15" spans="1:13" x14ac:dyDescent="0.2">
      <c r="A15" s="1186" t="s">
        <v>32</v>
      </c>
      <c r="B15" s="1186" t="s">
        <v>19</v>
      </c>
      <c r="C15" s="1186">
        <v>345</v>
      </c>
      <c r="D15" s="1186">
        <v>11</v>
      </c>
      <c r="E15" s="1186">
        <v>139</v>
      </c>
      <c r="F15" s="1186">
        <v>16</v>
      </c>
      <c r="G15" s="1186">
        <v>4</v>
      </c>
      <c r="H15" s="1186">
        <v>1</v>
      </c>
      <c r="I15" s="1186">
        <v>52</v>
      </c>
      <c r="J15" s="1186">
        <v>49</v>
      </c>
      <c r="K15" s="1186">
        <v>7</v>
      </c>
      <c r="L15" s="1186">
        <v>66</v>
      </c>
      <c r="M15" s="1186">
        <v>98340</v>
      </c>
    </row>
    <row r="16" spans="1:13" x14ac:dyDescent="0.2">
      <c r="A16" s="1186" t="s">
        <v>33</v>
      </c>
      <c r="B16" s="1186" t="s">
        <v>19</v>
      </c>
      <c r="C16" s="1186">
        <v>283</v>
      </c>
      <c r="D16" s="1186">
        <v>12</v>
      </c>
      <c r="E16" s="1186">
        <v>91</v>
      </c>
      <c r="F16" s="1186">
        <v>6</v>
      </c>
      <c r="G16" s="1186">
        <v>6</v>
      </c>
      <c r="H16" s="1186"/>
      <c r="I16" s="1186">
        <v>38</v>
      </c>
      <c r="J16" s="1186">
        <v>36</v>
      </c>
      <c r="K16" s="1186">
        <v>7</v>
      </c>
      <c r="L16" s="1186">
        <v>87</v>
      </c>
      <c r="M16" s="1186">
        <v>89980</v>
      </c>
    </row>
    <row r="17" spans="1:13" x14ac:dyDescent="0.2">
      <c r="A17" s="1186" t="s">
        <v>34</v>
      </c>
      <c r="B17" s="1186" t="s">
        <v>19</v>
      </c>
      <c r="C17" s="1186">
        <v>751</v>
      </c>
      <c r="D17" s="1186">
        <v>12</v>
      </c>
      <c r="E17" s="1186">
        <v>227</v>
      </c>
      <c r="F17" s="1186">
        <v>10</v>
      </c>
      <c r="G17" s="1186">
        <v>21</v>
      </c>
      <c r="H17" s="1186">
        <v>3</v>
      </c>
      <c r="I17" s="1186">
        <v>107</v>
      </c>
      <c r="J17" s="1186">
        <v>166</v>
      </c>
      <c r="K17" s="1186">
        <v>14</v>
      </c>
      <c r="L17" s="1186">
        <v>191</v>
      </c>
      <c r="M17" s="1186">
        <v>154210</v>
      </c>
    </row>
    <row r="18" spans="1:13" x14ac:dyDescent="0.2">
      <c r="A18" s="1186" t="s">
        <v>35</v>
      </c>
      <c r="B18" s="1186" t="s">
        <v>19</v>
      </c>
      <c r="C18" s="1186">
        <v>1315</v>
      </c>
      <c r="D18" s="1186">
        <v>35</v>
      </c>
      <c r="E18" s="1186">
        <v>490</v>
      </c>
      <c r="F18" s="1186">
        <v>24</v>
      </c>
      <c r="G18" s="1186">
        <v>26</v>
      </c>
      <c r="H18" s="1186">
        <v>19</v>
      </c>
      <c r="I18" s="1186">
        <v>96</v>
      </c>
      <c r="J18" s="1186">
        <v>214</v>
      </c>
      <c r="K18" s="1186">
        <v>32</v>
      </c>
      <c r="L18" s="1186">
        <v>379</v>
      </c>
      <c r="M18" s="1186">
        <v>361420</v>
      </c>
    </row>
    <row r="19" spans="1:13" x14ac:dyDescent="0.2">
      <c r="A19" s="1186" t="s">
        <v>36</v>
      </c>
      <c r="B19" s="1186" t="s">
        <v>19</v>
      </c>
      <c r="C19" s="1186">
        <v>3810</v>
      </c>
      <c r="D19" s="1186">
        <v>161</v>
      </c>
      <c r="E19" s="1186">
        <v>692</v>
      </c>
      <c r="F19" s="1186">
        <v>8</v>
      </c>
      <c r="G19" s="1186">
        <v>49</v>
      </c>
      <c r="H19" s="1186">
        <v>25</v>
      </c>
      <c r="I19" s="1186">
        <v>534</v>
      </c>
      <c r="J19" s="1186">
        <v>885</v>
      </c>
      <c r="K19" s="1186">
        <v>166</v>
      </c>
      <c r="L19" s="1186">
        <v>1290</v>
      </c>
      <c r="M19" s="1186">
        <v>581620</v>
      </c>
    </row>
    <row r="20" spans="1:13" x14ac:dyDescent="0.2">
      <c r="A20" s="1186" t="s">
        <v>37</v>
      </c>
      <c r="B20" s="1186" t="s">
        <v>19</v>
      </c>
      <c r="C20" s="1186">
        <v>570</v>
      </c>
      <c r="D20" s="1186">
        <v>7</v>
      </c>
      <c r="E20" s="1186">
        <v>349</v>
      </c>
      <c r="F20" s="1186">
        <v>5</v>
      </c>
      <c r="G20" s="1186">
        <v>7</v>
      </c>
      <c r="H20" s="1186">
        <v>13</v>
      </c>
      <c r="I20" s="1186">
        <v>24</v>
      </c>
      <c r="J20" s="1186">
        <v>69</v>
      </c>
      <c r="K20" s="1186">
        <v>15</v>
      </c>
      <c r="L20" s="1186">
        <v>81</v>
      </c>
      <c r="M20" s="1186">
        <v>228750</v>
      </c>
    </row>
    <row r="21" spans="1:13" x14ac:dyDescent="0.2">
      <c r="A21" s="1186" t="s">
        <v>38</v>
      </c>
      <c r="B21" s="1186" t="s">
        <v>19</v>
      </c>
      <c r="C21" s="1186">
        <v>625</v>
      </c>
      <c r="D21" s="1186">
        <v>40</v>
      </c>
      <c r="E21" s="1186">
        <v>192</v>
      </c>
      <c r="F21" s="1186">
        <v>8</v>
      </c>
      <c r="G21" s="1186">
        <v>6</v>
      </c>
      <c r="H21" s="1186">
        <v>4</v>
      </c>
      <c r="I21" s="1186">
        <v>87</v>
      </c>
      <c r="J21" s="1186">
        <v>95</v>
      </c>
      <c r="K21" s="1186">
        <v>17</v>
      </c>
      <c r="L21" s="1186">
        <v>176</v>
      </c>
      <c r="M21" s="1186">
        <v>81670</v>
      </c>
    </row>
    <row r="22" spans="1:13" x14ac:dyDescent="0.2">
      <c r="A22" s="1186" t="s">
        <v>39</v>
      </c>
      <c r="B22" s="1186" t="s">
        <v>19</v>
      </c>
      <c r="C22" s="1186">
        <v>371</v>
      </c>
      <c r="D22" s="1186">
        <v>6</v>
      </c>
      <c r="E22" s="1186">
        <v>131</v>
      </c>
      <c r="F22" s="1186">
        <v>12</v>
      </c>
      <c r="G22" s="1186">
        <v>5</v>
      </c>
      <c r="H22" s="1186">
        <v>1</v>
      </c>
      <c r="I22" s="1186">
        <v>59</v>
      </c>
      <c r="J22" s="1186">
        <v>57</v>
      </c>
      <c r="K22" s="1186">
        <v>13</v>
      </c>
      <c r="L22" s="1186">
        <v>87</v>
      </c>
      <c r="M22" s="1186">
        <v>81900</v>
      </c>
    </row>
    <row r="23" spans="1:13" x14ac:dyDescent="0.2">
      <c r="A23" s="1186" t="s">
        <v>40</v>
      </c>
      <c r="B23" s="1186" t="s">
        <v>19</v>
      </c>
      <c r="C23" s="1186">
        <v>167</v>
      </c>
      <c r="D23" s="1186">
        <v>3</v>
      </c>
      <c r="E23" s="1186">
        <v>103</v>
      </c>
      <c r="F23" s="1186">
        <v>3</v>
      </c>
      <c r="G23" s="1186">
        <v>3</v>
      </c>
      <c r="H23" s="1186">
        <v>1</v>
      </c>
      <c r="I23" s="1186">
        <v>6</v>
      </c>
      <c r="J23" s="1186">
        <v>15</v>
      </c>
      <c r="K23" s="1186">
        <v>2</v>
      </c>
      <c r="L23" s="1186">
        <v>31</v>
      </c>
      <c r="M23" s="1186">
        <v>93160</v>
      </c>
    </row>
    <row r="24" spans="1:13" x14ac:dyDescent="0.2">
      <c r="A24" s="1186" t="s">
        <v>295</v>
      </c>
      <c r="B24" s="1186" t="s">
        <v>19</v>
      </c>
      <c r="C24" s="1186">
        <v>33</v>
      </c>
      <c r="D24" s="1186"/>
      <c r="E24" s="1186">
        <v>23</v>
      </c>
      <c r="F24" s="1186"/>
      <c r="G24" s="1186">
        <v>1</v>
      </c>
      <c r="H24" s="1186">
        <v>2</v>
      </c>
      <c r="I24" s="1186">
        <v>1</v>
      </c>
      <c r="J24" s="1186">
        <v>4</v>
      </c>
      <c r="K24" s="1186">
        <v>2</v>
      </c>
      <c r="L24" s="1186"/>
      <c r="M24" s="1186">
        <v>27420</v>
      </c>
    </row>
    <row r="25" spans="1:13" x14ac:dyDescent="0.2">
      <c r="A25" s="1186" t="s">
        <v>41</v>
      </c>
      <c r="B25" s="1186" t="s">
        <v>19</v>
      </c>
      <c r="C25" s="1186">
        <v>907</v>
      </c>
      <c r="D25" s="1186">
        <v>24</v>
      </c>
      <c r="E25" s="1186">
        <v>325</v>
      </c>
      <c r="F25" s="1186">
        <v>6</v>
      </c>
      <c r="G25" s="1186">
        <v>7</v>
      </c>
      <c r="H25" s="1186">
        <v>12</v>
      </c>
      <c r="I25" s="1186">
        <v>149</v>
      </c>
      <c r="J25" s="1186">
        <v>116</v>
      </c>
      <c r="K25" s="1186">
        <v>29</v>
      </c>
      <c r="L25" s="1186">
        <v>239</v>
      </c>
      <c r="M25" s="1186">
        <v>137830</v>
      </c>
    </row>
    <row r="26" spans="1:13" x14ac:dyDescent="0.2">
      <c r="A26" s="1186" t="s">
        <v>42</v>
      </c>
      <c r="B26" s="1186" t="s">
        <v>19</v>
      </c>
      <c r="C26" s="1186">
        <v>2211</v>
      </c>
      <c r="D26" s="1186">
        <v>61</v>
      </c>
      <c r="E26" s="1186">
        <v>695</v>
      </c>
      <c r="F26" s="1186">
        <v>8</v>
      </c>
      <c r="G26" s="1186">
        <v>26</v>
      </c>
      <c r="H26" s="1186">
        <v>12</v>
      </c>
      <c r="I26" s="1186">
        <v>246</v>
      </c>
      <c r="J26" s="1186">
        <v>326</v>
      </c>
      <c r="K26" s="1186">
        <v>135</v>
      </c>
      <c r="L26" s="1186">
        <v>702</v>
      </c>
      <c r="M26" s="1186">
        <v>335160</v>
      </c>
    </row>
    <row r="27" spans="1:13" x14ac:dyDescent="0.2">
      <c r="A27" s="1186" t="s">
        <v>43</v>
      </c>
      <c r="B27" s="1186" t="s">
        <v>19</v>
      </c>
      <c r="C27" s="1186">
        <v>18</v>
      </c>
      <c r="D27" s="1186"/>
      <c r="E27" s="1186">
        <v>10</v>
      </c>
      <c r="F27" s="1186"/>
      <c r="G27" s="1186"/>
      <c r="H27" s="1186"/>
      <c r="I27" s="1186">
        <v>1</v>
      </c>
      <c r="J27" s="1186">
        <v>2</v>
      </c>
      <c r="K27" s="1186"/>
      <c r="L27" s="1186">
        <v>5</v>
      </c>
      <c r="M27" s="1186">
        <v>20940</v>
      </c>
    </row>
    <row r="28" spans="1:13" x14ac:dyDescent="0.2">
      <c r="A28" s="1186" t="s">
        <v>44</v>
      </c>
      <c r="B28" s="1186" t="s">
        <v>19</v>
      </c>
      <c r="C28" s="1186">
        <v>225</v>
      </c>
      <c r="D28" s="1186">
        <v>6</v>
      </c>
      <c r="E28" s="1186">
        <v>69</v>
      </c>
      <c r="F28" s="1186">
        <v>7</v>
      </c>
      <c r="G28" s="1186">
        <v>6</v>
      </c>
      <c r="H28" s="1186">
        <v>1</v>
      </c>
      <c r="I28" s="1186">
        <v>14</v>
      </c>
      <c r="J28" s="1186">
        <v>45</v>
      </c>
      <c r="K28" s="1186">
        <v>12</v>
      </c>
      <c r="L28" s="1186">
        <v>65</v>
      </c>
      <c r="M28" s="1186">
        <v>144370</v>
      </c>
    </row>
    <row r="29" spans="1:13" x14ac:dyDescent="0.2">
      <c r="A29" s="1186" t="s">
        <v>45</v>
      </c>
      <c r="B29" s="1186" t="s">
        <v>19</v>
      </c>
      <c r="C29" s="1186">
        <v>871</v>
      </c>
      <c r="D29" s="1186">
        <v>44</v>
      </c>
      <c r="E29" s="1186">
        <v>222</v>
      </c>
      <c r="F29" s="1186">
        <v>8</v>
      </c>
      <c r="G29" s="1186">
        <v>9</v>
      </c>
      <c r="H29" s="1186">
        <v>4</v>
      </c>
      <c r="I29" s="1186">
        <v>100</v>
      </c>
      <c r="J29" s="1186">
        <v>175</v>
      </c>
      <c r="K29" s="1186">
        <v>35</v>
      </c>
      <c r="L29" s="1186">
        <v>274</v>
      </c>
      <c r="M29" s="1186">
        <v>173020</v>
      </c>
    </row>
    <row r="30" spans="1:13" x14ac:dyDescent="0.2">
      <c r="A30" s="1186" t="s">
        <v>46</v>
      </c>
      <c r="B30" s="1186" t="s">
        <v>19</v>
      </c>
      <c r="C30" s="1186">
        <v>147</v>
      </c>
      <c r="D30" s="1186">
        <v>4</v>
      </c>
      <c r="E30" s="1186">
        <v>61</v>
      </c>
      <c r="F30" s="1186"/>
      <c r="G30" s="1186">
        <v>6</v>
      </c>
      <c r="H30" s="1186"/>
      <c r="I30" s="1186">
        <v>20</v>
      </c>
      <c r="J30" s="1186">
        <v>22</v>
      </c>
      <c r="K30" s="1186">
        <v>3</v>
      </c>
      <c r="L30" s="1186">
        <v>31</v>
      </c>
      <c r="M30" s="1186">
        <v>113590</v>
      </c>
    </row>
    <row r="31" spans="1:13" x14ac:dyDescent="0.2">
      <c r="A31" s="1186" t="s">
        <v>47</v>
      </c>
      <c r="B31" s="1186" t="s">
        <v>19</v>
      </c>
      <c r="C31" s="1186">
        <v>14</v>
      </c>
      <c r="D31" s="1186">
        <v>1</v>
      </c>
      <c r="E31" s="1186">
        <v>5</v>
      </c>
      <c r="F31" s="1186"/>
      <c r="G31" s="1186">
        <v>1</v>
      </c>
      <c r="H31" s="1186"/>
      <c r="I31" s="1186">
        <v>2</v>
      </c>
      <c r="J31" s="1186">
        <v>3</v>
      </c>
      <c r="K31" s="1186">
        <v>1</v>
      </c>
      <c r="L31" s="1186">
        <v>1</v>
      </c>
      <c r="M31" s="1186">
        <v>22800</v>
      </c>
    </row>
    <row r="32" spans="1:13" x14ac:dyDescent="0.2">
      <c r="A32" s="1186" t="s">
        <v>48</v>
      </c>
      <c r="B32" s="1186" t="s">
        <v>19</v>
      </c>
      <c r="C32" s="1186">
        <v>415</v>
      </c>
      <c r="D32" s="1186">
        <v>8</v>
      </c>
      <c r="E32" s="1186">
        <v>153</v>
      </c>
      <c r="F32" s="1186"/>
      <c r="G32" s="1186">
        <v>5</v>
      </c>
      <c r="H32" s="1186">
        <v>3</v>
      </c>
      <c r="I32" s="1186">
        <v>48</v>
      </c>
      <c r="J32" s="1186">
        <v>64</v>
      </c>
      <c r="K32" s="1186">
        <v>22</v>
      </c>
      <c r="L32" s="1186">
        <v>112</v>
      </c>
      <c r="M32" s="1186">
        <v>112490</v>
      </c>
    </row>
    <row r="33" spans="1:13" x14ac:dyDescent="0.2">
      <c r="A33" s="1186" t="s">
        <v>49</v>
      </c>
      <c r="B33" s="1186" t="s">
        <v>19</v>
      </c>
      <c r="C33" s="1186">
        <v>1788</v>
      </c>
      <c r="D33" s="1186">
        <v>55</v>
      </c>
      <c r="E33" s="1186">
        <v>546</v>
      </c>
      <c r="F33" s="1186">
        <v>9</v>
      </c>
      <c r="G33" s="1186">
        <v>25</v>
      </c>
      <c r="H33" s="1186">
        <v>8</v>
      </c>
      <c r="I33" s="1186">
        <v>153</v>
      </c>
      <c r="J33" s="1186">
        <v>280</v>
      </c>
      <c r="K33" s="1186">
        <v>71</v>
      </c>
      <c r="L33" s="1186">
        <v>641</v>
      </c>
      <c r="M33" s="1186">
        <v>312180</v>
      </c>
    </row>
    <row r="34" spans="1:13" x14ac:dyDescent="0.2">
      <c r="A34" s="1186" t="s">
        <v>50</v>
      </c>
      <c r="B34" s="1186" t="s">
        <v>19</v>
      </c>
      <c r="C34" s="1186">
        <v>249</v>
      </c>
      <c r="D34" s="1186">
        <v>3</v>
      </c>
      <c r="E34" s="1186">
        <v>86</v>
      </c>
      <c r="F34" s="1186">
        <v>2</v>
      </c>
      <c r="G34" s="1186">
        <v>4</v>
      </c>
      <c r="H34" s="1186"/>
      <c r="I34" s="1186">
        <v>39</v>
      </c>
      <c r="J34" s="1186">
        <v>37</v>
      </c>
      <c r="K34" s="1186">
        <v>7</v>
      </c>
      <c r="L34" s="1186">
        <v>71</v>
      </c>
      <c r="M34" s="1186">
        <v>88690</v>
      </c>
    </row>
    <row r="35" spans="1:13" x14ac:dyDescent="0.2">
      <c r="A35" s="1186" t="s">
        <v>51</v>
      </c>
      <c r="B35" s="1186" t="s">
        <v>19</v>
      </c>
      <c r="C35" s="1186">
        <v>795</v>
      </c>
      <c r="D35" s="1186">
        <v>29</v>
      </c>
      <c r="E35" s="1186">
        <v>264</v>
      </c>
      <c r="F35" s="1186">
        <v>5</v>
      </c>
      <c r="G35" s="1186">
        <v>5</v>
      </c>
      <c r="H35" s="1186">
        <v>9</v>
      </c>
      <c r="I35" s="1186">
        <v>93</v>
      </c>
      <c r="J35" s="1186">
        <v>143</v>
      </c>
      <c r="K35" s="1186">
        <v>28</v>
      </c>
      <c r="L35" s="1186">
        <v>219</v>
      </c>
      <c r="M35" s="1186">
        <v>91080</v>
      </c>
    </row>
    <row r="36" spans="1:13" x14ac:dyDescent="0.2">
      <c r="A36" s="1186" t="s">
        <v>52</v>
      </c>
      <c r="B36" s="1186" t="s">
        <v>19</v>
      </c>
      <c r="C36" s="1186">
        <v>968</v>
      </c>
      <c r="D36" s="1186">
        <v>29</v>
      </c>
      <c r="E36" s="1186">
        <v>385</v>
      </c>
      <c r="F36" s="1186">
        <v>13</v>
      </c>
      <c r="G36" s="1186">
        <v>14</v>
      </c>
      <c r="H36" s="1186">
        <v>7</v>
      </c>
      <c r="I36" s="1186">
        <v>151</v>
      </c>
      <c r="J36" s="1186">
        <v>149</v>
      </c>
      <c r="K36" s="1186">
        <v>25</v>
      </c>
      <c r="L36" s="1186">
        <v>195</v>
      </c>
      <c r="M36" s="1186">
        <v>173040</v>
      </c>
    </row>
    <row r="37" spans="1:13" x14ac:dyDescent="0.2">
      <c r="A37" s="1186" t="s">
        <v>23</v>
      </c>
      <c r="B37" s="1186" t="s">
        <v>20</v>
      </c>
      <c r="C37" s="1186">
        <v>522</v>
      </c>
      <c r="D37" s="1186">
        <v>14</v>
      </c>
      <c r="E37" s="1186">
        <v>129</v>
      </c>
      <c r="F37" s="1186">
        <v>2</v>
      </c>
      <c r="G37" s="1186">
        <v>19</v>
      </c>
      <c r="H37" s="1186">
        <v>3</v>
      </c>
      <c r="I37" s="1186">
        <v>16</v>
      </c>
      <c r="J37" s="1186">
        <v>158</v>
      </c>
      <c r="K37" s="1186">
        <v>24</v>
      </c>
      <c r="L37" s="1186">
        <v>157</v>
      </c>
      <c r="M37" s="1186">
        <v>219730</v>
      </c>
    </row>
    <row r="38" spans="1:13" x14ac:dyDescent="0.2">
      <c r="A38" s="1186" t="s">
        <v>24</v>
      </c>
      <c r="B38" s="1186" t="s">
        <v>20</v>
      </c>
      <c r="C38" s="1186">
        <v>264</v>
      </c>
      <c r="D38" s="1186">
        <v>8</v>
      </c>
      <c r="E38" s="1186">
        <v>98</v>
      </c>
      <c r="F38" s="1186">
        <v>5</v>
      </c>
      <c r="G38" s="1186">
        <v>12</v>
      </c>
      <c r="H38" s="1186">
        <v>2</v>
      </c>
      <c r="I38" s="1186">
        <v>17</v>
      </c>
      <c r="J38" s="1186">
        <v>39</v>
      </c>
      <c r="K38" s="1186">
        <v>8</v>
      </c>
      <c r="L38" s="1186">
        <v>75</v>
      </c>
      <c r="M38" s="1186">
        <v>251430</v>
      </c>
    </row>
    <row r="39" spans="1:13" x14ac:dyDescent="0.2">
      <c r="A39" s="1186" t="s">
        <v>25</v>
      </c>
      <c r="B39" s="1186" t="s">
        <v>20</v>
      </c>
      <c r="C39" s="1186">
        <v>197</v>
      </c>
      <c r="D39" s="1186">
        <v>8</v>
      </c>
      <c r="E39" s="1186">
        <v>90</v>
      </c>
      <c r="F39" s="1186">
        <v>11</v>
      </c>
      <c r="G39" s="1186">
        <v>8</v>
      </c>
      <c r="H39" s="1186">
        <v>1</v>
      </c>
      <c r="I39" s="1186">
        <v>19</v>
      </c>
      <c r="J39" s="1186">
        <v>30</v>
      </c>
      <c r="K39" s="1186">
        <v>4</v>
      </c>
      <c r="L39" s="1186">
        <v>26</v>
      </c>
      <c r="M39" s="1186">
        <v>115410</v>
      </c>
    </row>
    <row r="40" spans="1:13" x14ac:dyDescent="0.2">
      <c r="A40" s="1186" t="s">
        <v>26</v>
      </c>
      <c r="B40" s="1186" t="s">
        <v>20</v>
      </c>
      <c r="C40" s="1186">
        <v>260</v>
      </c>
      <c r="D40" s="1186">
        <v>7</v>
      </c>
      <c r="E40" s="1186">
        <v>164</v>
      </c>
      <c r="F40" s="1186">
        <v>3</v>
      </c>
      <c r="G40" s="1186">
        <v>7</v>
      </c>
      <c r="H40" s="1186">
        <v>6</v>
      </c>
      <c r="I40" s="1186">
        <v>24</v>
      </c>
      <c r="J40" s="1186">
        <v>27</v>
      </c>
      <c r="K40" s="1186">
        <v>9</v>
      </c>
      <c r="L40" s="1186">
        <v>13</v>
      </c>
      <c r="M40" s="1186">
        <v>88620</v>
      </c>
    </row>
    <row r="41" spans="1:13" x14ac:dyDescent="0.2">
      <c r="A41" s="1186" t="s">
        <v>619</v>
      </c>
      <c r="B41" s="1186" t="s">
        <v>20</v>
      </c>
      <c r="C41" s="1186">
        <v>1886</v>
      </c>
      <c r="D41" s="1186">
        <v>44</v>
      </c>
      <c r="E41" s="1186">
        <v>507</v>
      </c>
      <c r="F41" s="1186">
        <v>7</v>
      </c>
      <c r="G41" s="1186">
        <v>39</v>
      </c>
      <c r="H41" s="1186">
        <v>4</v>
      </c>
      <c r="I41" s="1186">
        <v>254</v>
      </c>
      <c r="J41" s="1186">
        <v>564</v>
      </c>
      <c r="K41" s="1186">
        <v>96</v>
      </c>
      <c r="L41" s="1186">
        <v>371</v>
      </c>
      <c r="M41" s="1186">
        <v>469930</v>
      </c>
    </row>
    <row r="42" spans="1:13" x14ac:dyDescent="0.2">
      <c r="A42" s="1186" t="s">
        <v>27</v>
      </c>
      <c r="B42" s="1186" t="s">
        <v>20</v>
      </c>
      <c r="C42" s="1186">
        <v>196</v>
      </c>
      <c r="D42" s="1186">
        <v>5</v>
      </c>
      <c r="E42" s="1186">
        <v>94</v>
      </c>
      <c r="F42" s="1186">
        <v>4</v>
      </c>
      <c r="G42" s="1186">
        <v>7</v>
      </c>
      <c r="H42" s="1186"/>
      <c r="I42" s="1186">
        <v>27</v>
      </c>
      <c r="J42" s="1186">
        <v>17</v>
      </c>
      <c r="K42" s="1186">
        <v>4</v>
      </c>
      <c r="L42" s="1186">
        <v>38</v>
      </c>
      <c r="M42" s="1186">
        <v>51330</v>
      </c>
    </row>
    <row r="43" spans="1:13" x14ac:dyDescent="0.2">
      <c r="A43" s="1186" t="s">
        <v>28</v>
      </c>
      <c r="B43" s="1186" t="s">
        <v>20</v>
      </c>
      <c r="C43" s="1186">
        <v>260</v>
      </c>
      <c r="D43" s="1186">
        <v>3</v>
      </c>
      <c r="E43" s="1186">
        <v>117</v>
      </c>
      <c r="F43" s="1186"/>
      <c r="G43" s="1186">
        <v>8</v>
      </c>
      <c r="H43" s="1186"/>
      <c r="I43" s="1186">
        <v>20</v>
      </c>
      <c r="J43" s="1186">
        <v>42</v>
      </c>
      <c r="K43" s="1186">
        <v>6</v>
      </c>
      <c r="L43" s="1186">
        <v>64</v>
      </c>
      <c r="M43" s="1186">
        <v>151100</v>
      </c>
    </row>
    <row r="44" spans="1:13" x14ac:dyDescent="0.2">
      <c r="A44" s="1186" t="s">
        <v>29</v>
      </c>
      <c r="B44" s="1186" t="s">
        <v>20</v>
      </c>
      <c r="C44" s="1186">
        <v>914</v>
      </c>
      <c r="D44" s="1186">
        <v>11</v>
      </c>
      <c r="E44" s="1186">
        <v>242</v>
      </c>
      <c r="F44" s="1186">
        <v>6</v>
      </c>
      <c r="G44" s="1186">
        <v>22</v>
      </c>
      <c r="H44" s="1186">
        <v>2</v>
      </c>
      <c r="I44" s="1186">
        <v>70</v>
      </c>
      <c r="J44" s="1186">
        <v>311</v>
      </c>
      <c r="K44" s="1186">
        <v>40</v>
      </c>
      <c r="L44" s="1186">
        <v>210</v>
      </c>
      <c r="M44" s="1186">
        <v>146060</v>
      </c>
    </row>
    <row r="45" spans="1:13" x14ac:dyDescent="0.2">
      <c r="A45" s="1186" t="s">
        <v>30</v>
      </c>
      <c r="B45" s="1186" t="s">
        <v>20</v>
      </c>
      <c r="C45" s="1186">
        <v>1076</v>
      </c>
      <c r="D45" s="1186">
        <v>36</v>
      </c>
      <c r="E45" s="1186">
        <v>398</v>
      </c>
      <c r="F45" s="1186"/>
      <c r="G45" s="1186">
        <v>11</v>
      </c>
      <c r="H45" s="1186">
        <v>13</v>
      </c>
      <c r="I45" s="1186">
        <v>123</v>
      </c>
      <c r="J45" s="1186">
        <v>230</v>
      </c>
      <c r="K45" s="1186">
        <v>52</v>
      </c>
      <c r="L45" s="1186">
        <v>213</v>
      </c>
      <c r="M45" s="1186">
        <v>122410</v>
      </c>
    </row>
    <row r="46" spans="1:13" x14ac:dyDescent="0.2">
      <c r="A46" s="1186" t="s">
        <v>31</v>
      </c>
      <c r="B46" s="1186" t="s">
        <v>20</v>
      </c>
      <c r="C46" s="1186">
        <v>342</v>
      </c>
      <c r="D46" s="1186">
        <v>17</v>
      </c>
      <c r="E46" s="1186">
        <v>138</v>
      </c>
      <c r="F46" s="1186"/>
      <c r="G46" s="1186">
        <v>9</v>
      </c>
      <c r="H46" s="1186">
        <v>4</v>
      </c>
      <c r="I46" s="1186">
        <v>46</v>
      </c>
      <c r="J46" s="1186">
        <v>49</v>
      </c>
      <c r="K46" s="1186">
        <v>8</v>
      </c>
      <c r="L46" s="1186">
        <v>71</v>
      </c>
      <c r="M46" s="1186">
        <v>104920</v>
      </c>
    </row>
    <row r="47" spans="1:13" x14ac:dyDescent="0.2">
      <c r="A47" s="1186" t="s">
        <v>32</v>
      </c>
      <c r="B47" s="1186" t="s">
        <v>20</v>
      </c>
      <c r="C47" s="1186">
        <v>286</v>
      </c>
      <c r="D47" s="1186">
        <v>2</v>
      </c>
      <c r="E47" s="1186">
        <v>117</v>
      </c>
      <c r="F47" s="1186">
        <v>6</v>
      </c>
      <c r="G47" s="1186">
        <v>9</v>
      </c>
      <c r="H47" s="1186">
        <v>3</v>
      </c>
      <c r="I47" s="1186">
        <v>49</v>
      </c>
      <c r="J47" s="1186">
        <v>43</v>
      </c>
      <c r="K47" s="1186">
        <v>5</v>
      </c>
      <c r="L47" s="1186">
        <v>52</v>
      </c>
      <c r="M47" s="1186">
        <v>99140</v>
      </c>
    </row>
    <row r="48" spans="1:13" x14ac:dyDescent="0.2">
      <c r="A48" s="1186" t="s">
        <v>33</v>
      </c>
      <c r="B48" s="1186" t="s">
        <v>20</v>
      </c>
      <c r="C48" s="1186">
        <v>293</v>
      </c>
      <c r="D48" s="1186">
        <v>11</v>
      </c>
      <c r="E48" s="1186">
        <v>124</v>
      </c>
      <c r="F48" s="1186">
        <v>1</v>
      </c>
      <c r="G48" s="1186">
        <v>4</v>
      </c>
      <c r="H48" s="1186">
        <v>1</v>
      </c>
      <c r="I48" s="1186">
        <v>40</v>
      </c>
      <c r="J48" s="1186">
        <v>47</v>
      </c>
      <c r="K48" s="1186">
        <v>8</v>
      </c>
      <c r="L48" s="1186">
        <v>57</v>
      </c>
      <c r="M48" s="1186">
        <v>90410</v>
      </c>
    </row>
    <row r="49" spans="1:13" x14ac:dyDescent="0.2">
      <c r="A49" s="1186" t="s">
        <v>34</v>
      </c>
      <c r="B49" s="1186" t="s">
        <v>20</v>
      </c>
      <c r="C49" s="1186">
        <v>728</v>
      </c>
      <c r="D49" s="1186">
        <v>18</v>
      </c>
      <c r="E49" s="1186">
        <v>323</v>
      </c>
      <c r="F49" s="1186"/>
      <c r="G49" s="1186">
        <v>8</v>
      </c>
      <c r="H49" s="1186"/>
      <c r="I49" s="1186">
        <v>67</v>
      </c>
      <c r="J49" s="1186">
        <v>155</v>
      </c>
      <c r="K49" s="1186">
        <v>17</v>
      </c>
      <c r="L49" s="1186">
        <v>140</v>
      </c>
      <c r="M49" s="1186">
        <v>155130</v>
      </c>
    </row>
    <row r="50" spans="1:13" x14ac:dyDescent="0.2">
      <c r="A50" s="1186" t="s">
        <v>35</v>
      </c>
      <c r="B50" s="1186" t="s">
        <v>20</v>
      </c>
      <c r="C50" s="1186">
        <v>1125</v>
      </c>
      <c r="D50" s="1186">
        <v>28</v>
      </c>
      <c r="E50" s="1186">
        <v>453</v>
      </c>
      <c r="F50" s="1186">
        <v>19</v>
      </c>
      <c r="G50" s="1186">
        <v>22</v>
      </c>
      <c r="H50" s="1186">
        <v>9</v>
      </c>
      <c r="I50" s="1186">
        <v>78</v>
      </c>
      <c r="J50" s="1186">
        <v>179</v>
      </c>
      <c r="K50" s="1186">
        <v>34</v>
      </c>
      <c r="L50" s="1186">
        <v>303</v>
      </c>
      <c r="M50" s="1186">
        <v>362610</v>
      </c>
    </row>
    <row r="51" spans="1:13" x14ac:dyDescent="0.2">
      <c r="A51" s="1186" t="s">
        <v>36</v>
      </c>
      <c r="B51" s="1186" t="s">
        <v>20</v>
      </c>
      <c r="C51" s="1186">
        <v>3958</v>
      </c>
      <c r="D51" s="1186">
        <v>170</v>
      </c>
      <c r="E51" s="1186">
        <v>819</v>
      </c>
      <c r="F51" s="1186">
        <v>8</v>
      </c>
      <c r="G51" s="1186">
        <v>74</v>
      </c>
      <c r="H51" s="1186">
        <v>26</v>
      </c>
      <c r="I51" s="1186">
        <v>636</v>
      </c>
      <c r="J51" s="1186">
        <v>973</v>
      </c>
      <c r="K51" s="1186">
        <v>176</v>
      </c>
      <c r="L51" s="1186">
        <v>1076</v>
      </c>
      <c r="M51" s="1186">
        <v>586500</v>
      </c>
    </row>
    <row r="52" spans="1:13" x14ac:dyDescent="0.2">
      <c r="A52" s="1186" t="s">
        <v>37</v>
      </c>
      <c r="B52" s="1186" t="s">
        <v>20</v>
      </c>
      <c r="C52" s="1186">
        <v>597</v>
      </c>
      <c r="D52" s="1186">
        <v>6</v>
      </c>
      <c r="E52" s="1186">
        <v>379</v>
      </c>
      <c r="F52" s="1186">
        <v>2</v>
      </c>
      <c r="G52" s="1186">
        <v>9</v>
      </c>
      <c r="H52" s="1186">
        <v>1</v>
      </c>
      <c r="I52" s="1186">
        <v>58</v>
      </c>
      <c r="J52" s="1186">
        <v>44</v>
      </c>
      <c r="K52" s="1186">
        <v>9</v>
      </c>
      <c r="L52" s="1186">
        <v>89</v>
      </c>
      <c r="M52" s="1186">
        <v>230730</v>
      </c>
    </row>
    <row r="53" spans="1:13" x14ac:dyDescent="0.2">
      <c r="A53" s="1186" t="s">
        <v>38</v>
      </c>
      <c r="B53" s="1186" t="s">
        <v>20</v>
      </c>
      <c r="C53" s="1186">
        <v>899</v>
      </c>
      <c r="D53" s="1186">
        <v>28</v>
      </c>
      <c r="E53" s="1186">
        <v>413</v>
      </c>
      <c r="F53" s="1186">
        <v>1</v>
      </c>
      <c r="G53" s="1186">
        <v>10</v>
      </c>
      <c r="H53" s="1186">
        <v>5</v>
      </c>
      <c r="I53" s="1186">
        <v>124</v>
      </c>
      <c r="J53" s="1186">
        <v>135</v>
      </c>
      <c r="K53" s="1186">
        <v>14</v>
      </c>
      <c r="L53" s="1186">
        <v>169</v>
      </c>
      <c r="M53" s="1186">
        <v>81510</v>
      </c>
    </row>
    <row r="54" spans="1:13" x14ac:dyDescent="0.2">
      <c r="A54" s="1186" t="s">
        <v>39</v>
      </c>
      <c r="B54" s="1186" t="s">
        <v>20</v>
      </c>
      <c r="C54" s="1186">
        <v>360</v>
      </c>
      <c r="D54" s="1186">
        <v>16</v>
      </c>
      <c r="E54" s="1186">
        <v>120</v>
      </c>
      <c r="F54" s="1186">
        <v>7</v>
      </c>
      <c r="G54" s="1186">
        <v>7</v>
      </c>
      <c r="H54" s="1186">
        <v>3</v>
      </c>
      <c r="I54" s="1186">
        <v>82</v>
      </c>
      <c r="J54" s="1186">
        <v>43</v>
      </c>
      <c r="K54" s="1186">
        <v>12</v>
      </c>
      <c r="L54" s="1186">
        <v>70</v>
      </c>
      <c r="M54" s="1186">
        <v>82360</v>
      </c>
    </row>
    <row r="55" spans="1:13" x14ac:dyDescent="0.2">
      <c r="A55" s="1186" t="s">
        <v>40</v>
      </c>
      <c r="B55" s="1186" t="s">
        <v>20</v>
      </c>
      <c r="C55" s="1186">
        <v>173</v>
      </c>
      <c r="D55" s="1186">
        <v>2</v>
      </c>
      <c r="E55" s="1186">
        <v>84</v>
      </c>
      <c r="F55" s="1186">
        <v>1</v>
      </c>
      <c r="G55" s="1186">
        <v>6</v>
      </c>
      <c r="H55" s="1186">
        <v>3</v>
      </c>
      <c r="I55" s="1186">
        <v>8</v>
      </c>
      <c r="J55" s="1186">
        <v>30</v>
      </c>
      <c r="K55" s="1186">
        <v>3</v>
      </c>
      <c r="L55" s="1186">
        <v>36</v>
      </c>
      <c r="M55" s="1186">
        <v>93690</v>
      </c>
    </row>
    <row r="56" spans="1:13" x14ac:dyDescent="0.2">
      <c r="A56" s="1186" t="s">
        <v>295</v>
      </c>
      <c r="B56" s="1186" t="s">
        <v>20</v>
      </c>
      <c r="C56" s="1186">
        <v>46</v>
      </c>
      <c r="D56" s="1186">
        <v>1</v>
      </c>
      <c r="E56" s="1186">
        <v>31</v>
      </c>
      <c r="F56" s="1186">
        <v>1</v>
      </c>
      <c r="G56" s="1186">
        <v>2</v>
      </c>
      <c r="H56" s="1186">
        <v>1</v>
      </c>
      <c r="I56" s="1186"/>
      <c r="J56" s="1186">
        <v>3</v>
      </c>
      <c r="K56" s="1186"/>
      <c r="L56" s="1186">
        <v>7</v>
      </c>
      <c r="M56" s="1186">
        <v>27600</v>
      </c>
    </row>
    <row r="57" spans="1:13" x14ac:dyDescent="0.2">
      <c r="A57" s="1186" t="s">
        <v>41</v>
      </c>
      <c r="B57" s="1186" t="s">
        <v>20</v>
      </c>
      <c r="C57" s="1186">
        <v>1023</v>
      </c>
      <c r="D57" s="1186">
        <v>31</v>
      </c>
      <c r="E57" s="1186">
        <v>492</v>
      </c>
      <c r="F57" s="1186">
        <v>3</v>
      </c>
      <c r="G57" s="1186">
        <v>9</v>
      </c>
      <c r="H57" s="1186">
        <v>6</v>
      </c>
      <c r="I57" s="1186">
        <v>164</v>
      </c>
      <c r="J57" s="1186">
        <v>131</v>
      </c>
      <c r="K57" s="1186">
        <v>50</v>
      </c>
      <c r="L57" s="1186">
        <v>137</v>
      </c>
      <c r="M57" s="1186">
        <v>137800</v>
      </c>
    </row>
    <row r="58" spans="1:13" x14ac:dyDescent="0.2">
      <c r="A58" s="1186" t="s">
        <v>42</v>
      </c>
      <c r="B58" s="1186" t="s">
        <v>20</v>
      </c>
      <c r="C58" s="1186">
        <v>2719</v>
      </c>
      <c r="D58" s="1186">
        <v>52</v>
      </c>
      <c r="E58" s="1186">
        <v>966</v>
      </c>
      <c r="F58" s="1186">
        <v>6</v>
      </c>
      <c r="G58" s="1186">
        <v>34</v>
      </c>
      <c r="H58" s="1186">
        <v>13</v>
      </c>
      <c r="I58" s="1186">
        <v>365</v>
      </c>
      <c r="J58" s="1186">
        <v>391</v>
      </c>
      <c r="K58" s="1186">
        <v>101</v>
      </c>
      <c r="L58" s="1186">
        <v>791</v>
      </c>
      <c r="M58" s="1186">
        <v>336280</v>
      </c>
    </row>
    <row r="59" spans="1:13" x14ac:dyDescent="0.2">
      <c r="A59" s="1186" t="s">
        <v>43</v>
      </c>
      <c r="B59" s="1186" t="s">
        <v>20</v>
      </c>
      <c r="C59" s="1186">
        <v>11</v>
      </c>
      <c r="D59" s="1186">
        <v>2</v>
      </c>
      <c r="E59" s="1186">
        <v>2</v>
      </c>
      <c r="F59" s="1186"/>
      <c r="G59" s="1186"/>
      <c r="H59" s="1186"/>
      <c r="I59" s="1186">
        <v>2</v>
      </c>
      <c r="J59" s="1186">
        <v>1</v>
      </c>
      <c r="K59" s="1186"/>
      <c r="L59" s="1186">
        <v>4</v>
      </c>
      <c r="M59" s="1186">
        <v>21220</v>
      </c>
    </row>
    <row r="60" spans="1:13" x14ac:dyDescent="0.2">
      <c r="A60" s="1186" t="s">
        <v>44</v>
      </c>
      <c r="B60" s="1186" t="s">
        <v>20</v>
      </c>
      <c r="C60" s="1186">
        <v>270</v>
      </c>
      <c r="D60" s="1186">
        <v>6</v>
      </c>
      <c r="E60" s="1186">
        <v>115</v>
      </c>
      <c r="F60" s="1186">
        <v>3</v>
      </c>
      <c r="G60" s="1186">
        <v>9</v>
      </c>
      <c r="H60" s="1186">
        <v>7</v>
      </c>
      <c r="I60" s="1186">
        <v>25</v>
      </c>
      <c r="J60" s="1186">
        <v>59</v>
      </c>
      <c r="K60" s="1186">
        <v>11</v>
      </c>
      <c r="L60" s="1186">
        <v>35</v>
      </c>
      <c r="M60" s="1186">
        <v>145600</v>
      </c>
    </row>
    <row r="61" spans="1:13" x14ac:dyDescent="0.2">
      <c r="A61" s="1186" t="s">
        <v>45</v>
      </c>
      <c r="B61" s="1186" t="s">
        <v>20</v>
      </c>
      <c r="C61" s="1186">
        <v>1080</v>
      </c>
      <c r="D61" s="1186">
        <v>84</v>
      </c>
      <c r="E61" s="1186">
        <v>358</v>
      </c>
      <c r="F61" s="1186">
        <v>6</v>
      </c>
      <c r="G61" s="1186">
        <v>14</v>
      </c>
      <c r="H61" s="1186">
        <v>10</v>
      </c>
      <c r="I61" s="1186">
        <v>136</v>
      </c>
      <c r="J61" s="1186">
        <v>146</v>
      </c>
      <c r="K61" s="1186">
        <v>39</v>
      </c>
      <c r="L61" s="1186">
        <v>287</v>
      </c>
      <c r="M61" s="1186">
        <v>173700</v>
      </c>
    </row>
    <row r="62" spans="1:13" x14ac:dyDescent="0.2">
      <c r="A62" s="1186" t="s">
        <v>46</v>
      </c>
      <c r="B62" s="1186" t="s">
        <v>20</v>
      </c>
      <c r="C62" s="1186">
        <v>150</v>
      </c>
      <c r="D62" s="1186">
        <v>2</v>
      </c>
      <c r="E62" s="1186">
        <v>72</v>
      </c>
      <c r="F62" s="1186">
        <v>3</v>
      </c>
      <c r="G62" s="1186">
        <v>5</v>
      </c>
      <c r="H62" s="1186"/>
      <c r="I62" s="1186">
        <v>31</v>
      </c>
      <c r="J62" s="1186">
        <v>18</v>
      </c>
      <c r="K62" s="1186">
        <v>3</v>
      </c>
      <c r="L62" s="1186">
        <v>16</v>
      </c>
      <c r="M62" s="1186">
        <v>113700</v>
      </c>
    </row>
    <row r="63" spans="1:13" x14ac:dyDescent="0.2">
      <c r="A63" s="1186" t="s">
        <v>47</v>
      </c>
      <c r="B63" s="1186" t="s">
        <v>20</v>
      </c>
      <c r="C63" s="1186">
        <v>17</v>
      </c>
      <c r="D63" s="1186"/>
      <c r="E63" s="1186">
        <v>11</v>
      </c>
      <c r="F63" s="1186"/>
      <c r="G63" s="1186"/>
      <c r="H63" s="1186"/>
      <c r="I63" s="1186">
        <v>2</v>
      </c>
      <c r="J63" s="1186">
        <v>1</v>
      </c>
      <c r="K63" s="1186">
        <v>1</v>
      </c>
      <c r="L63" s="1186">
        <v>2</v>
      </c>
      <c r="M63" s="1186">
        <v>23060</v>
      </c>
    </row>
    <row r="64" spans="1:13" x14ac:dyDescent="0.2">
      <c r="A64" s="1186" t="s">
        <v>48</v>
      </c>
      <c r="B64" s="1186" t="s">
        <v>20</v>
      </c>
      <c r="C64" s="1186">
        <v>620</v>
      </c>
      <c r="D64" s="1186">
        <v>29</v>
      </c>
      <c r="E64" s="1186">
        <v>188</v>
      </c>
      <c r="F64" s="1186"/>
      <c r="G64" s="1186">
        <v>8</v>
      </c>
      <c r="H64" s="1186">
        <v>11</v>
      </c>
      <c r="I64" s="1186">
        <v>146</v>
      </c>
      <c r="J64" s="1186">
        <v>132</v>
      </c>
      <c r="K64" s="1186">
        <v>19</v>
      </c>
      <c r="L64" s="1186">
        <v>87</v>
      </c>
      <c r="M64" s="1186">
        <v>112600</v>
      </c>
    </row>
    <row r="65" spans="1:13" x14ac:dyDescent="0.2">
      <c r="A65" s="1186" t="s">
        <v>49</v>
      </c>
      <c r="B65" s="1186" t="s">
        <v>20</v>
      </c>
      <c r="C65" s="1186">
        <v>1944</v>
      </c>
      <c r="D65" s="1186">
        <v>38</v>
      </c>
      <c r="E65" s="1186">
        <v>691</v>
      </c>
      <c r="F65" s="1186">
        <v>16</v>
      </c>
      <c r="G65" s="1186">
        <v>35</v>
      </c>
      <c r="H65" s="1186">
        <v>14</v>
      </c>
      <c r="I65" s="1186">
        <v>200</v>
      </c>
      <c r="J65" s="1186">
        <v>313</v>
      </c>
      <c r="K65" s="1186">
        <v>56</v>
      </c>
      <c r="L65" s="1186">
        <v>581</v>
      </c>
      <c r="M65" s="1186">
        <v>313180</v>
      </c>
    </row>
    <row r="66" spans="1:13" x14ac:dyDescent="0.2">
      <c r="A66" s="1186" t="s">
        <v>50</v>
      </c>
      <c r="B66" s="1186" t="s">
        <v>20</v>
      </c>
      <c r="C66" s="1186">
        <v>227</v>
      </c>
      <c r="D66" s="1186">
        <v>9</v>
      </c>
      <c r="E66" s="1186">
        <v>91</v>
      </c>
      <c r="F66" s="1186">
        <v>2</v>
      </c>
      <c r="G66" s="1186">
        <v>3</v>
      </c>
      <c r="H66" s="1186"/>
      <c r="I66" s="1186">
        <v>32</v>
      </c>
      <c r="J66" s="1186">
        <v>35</v>
      </c>
      <c r="K66" s="1186">
        <v>3</v>
      </c>
      <c r="L66" s="1186">
        <v>52</v>
      </c>
      <c r="M66" s="1186">
        <v>89550</v>
      </c>
    </row>
    <row r="67" spans="1:13" x14ac:dyDescent="0.2">
      <c r="A67" s="1186" t="s">
        <v>51</v>
      </c>
      <c r="B67" s="1186" t="s">
        <v>20</v>
      </c>
      <c r="C67" s="1186">
        <v>856</v>
      </c>
      <c r="D67" s="1186">
        <v>38</v>
      </c>
      <c r="E67" s="1186">
        <v>332</v>
      </c>
      <c r="F67" s="1186">
        <v>3</v>
      </c>
      <c r="G67" s="1186">
        <v>6</v>
      </c>
      <c r="H67" s="1186">
        <v>9</v>
      </c>
      <c r="I67" s="1186">
        <v>94</v>
      </c>
      <c r="J67" s="1186">
        <v>168</v>
      </c>
      <c r="K67" s="1186">
        <v>33</v>
      </c>
      <c r="L67" s="1186">
        <v>173</v>
      </c>
      <c r="M67" s="1186">
        <v>90800</v>
      </c>
    </row>
    <row r="68" spans="1:13" x14ac:dyDescent="0.2">
      <c r="A68" s="1186" t="s">
        <v>52</v>
      </c>
      <c r="B68" s="1186" t="s">
        <v>20</v>
      </c>
      <c r="C68" s="1186">
        <v>918</v>
      </c>
      <c r="D68" s="1186">
        <v>20</v>
      </c>
      <c r="E68" s="1186">
        <v>470</v>
      </c>
      <c r="F68" s="1186">
        <v>1</v>
      </c>
      <c r="G68" s="1186">
        <v>15</v>
      </c>
      <c r="H68" s="1186">
        <v>2</v>
      </c>
      <c r="I68" s="1186">
        <v>100</v>
      </c>
      <c r="J68" s="1186">
        <v>146</v>
      </c>
      <c r="K68" s="1186">
        <v>34</v>
      </c>
      <c r="L68" s="1186">
        <v>130</v>
      </c>
      <c r="M68" s="1186">
        <v>174090</v>
      </c>
    </row>
    <row r="69" spans="1:13" x14ac:dyDescent="0.2">
      <c r="A69" s="1186" t="s">
        <v>23</v>
      </c>
      <c r="B69" s="1186" t="s">
        <v>13</v>
      </c>
      <c r="C69" s="1186">
        <v>605</v>
      </c>
      <c r="D69" s="1186">
        <v>23</v>
      </c>
      <c r="E69" s="1186">
        <v>138</v>
      </c>
      <c r="F69" s="1186">
        <v>1</v>
      </c>
      <c r="G69" s="1186">
        <v>20</v>
      </c>
      <c r="H69" s="1186"/>
      <c r="I69" s="1186">
        <v>5</v>
      </c>
      <c r="J69" s="1186">
        <v>214</v>
      </c>
      <c r="K69" s="1186">
        <v>17</v>
      </c>
      <c r="L69" s="1186">
        <v>187</v>
      </c>
      <c r="M69" s="1186">
        <v>222460</v>
      </c>
    </row>
    <row r="70" spans="1:13" x14ac:dyDescent="0.2">
      <c r="A70" s="1186" t="s">
        <v>24</v>
      </c>
      <c r="B70" s="1186" t="s">
        <v>13</v>
      </c>
      <c r="C70" s="1186">
        <v>293</v>
      </c>
      <c r="D70" s="1186">
        <v>5</v>
      </c>
      <c r="E70" s="1186">
        <v>134</v>
      </c>
      <c r="F70" s="1186">
        <v>6</v>
      </c>
      <c r="G70" s="1186">
        <v>13</v>
      </c>
      <c r="H70" s="1186">
        <v>2</v>
      </c>
      <c r="I70" s="1186">
        <v>12</v>
      </c>
      <c r="J70" s="1186">
        <v>31</v>
      </c>
      <c r="K70" s="1186">
        <v>9</v>
      </c>
      <c r="L70" s="1186">
        <v>81</v>
      </c>
      <c r="M70" s="1186">
        <v>253650</v>
      </c>
    </row>
    <row r="71" spans="1:13" x14ac:dyDescent="0.2">
      <c r="A71" s="1186" t="s">
        <v>25</v>
      </c>
      <c r="B71" s="1186" t="s">
        <v>13</v>
      </c>
      <c r="C71" s="1186">
        <v>201</v>
      </c>
      <c r="D71" s="1186">
        <v>5</v>
      </c>
      <c r="E71" s="1186">
        <v>85</v>
      </c>
      <c r="F71" s="1186">
        <v>8</v>
      </c>
      <c r="G71" s="1186">
        <v>10</v>
      </c>
      <c r="H71" s="1186">
        <v>1</v>
      </c>
      <c r="I71" s="1186">
        <v>18</v>
      </c>
      <c r="J71" s="1186">
        <v>23</v>
      </c>
      <c r="K71" s="1186">
        <v>5</v>
      </c>
      <c r="L71" s="1186">
        <v>46</v>
      </c>
      <c r="M71" s="1186">
        <v>116200</v>
      </c>
    </row>
    <row r="72" spans="1:13" x14ac:dyDescent="0.2">
      <c r="A72" s="1186" t="s">
        <v>26</v>
      </c>
      <c r="B72" s="1186" t="s">
        <v>13</v>
      </c>
      <c r="C72" s="1186">
        <v>160</v>
      </c>
      <c r="D72" s="1186">
        <v>4</v>
      </c>
      <c r="E72" s="1186">
        <v>75</v>
      </c>
      <c r="F72" s="1186">
        <v>1</v>
      </c>
      <c r="G72" s="1186">
        <v>8</v>
      </c>
      <c r="H72" s="1186">
        <v>2</v>
      </c>
      <c r="I72" s="1186">
        <v>21</v>
      </c>
      <c r="J72" s="1186">
        <v>20</v>
      </c>
      <c r="K72" s="1186">
        <v>6</v>
      </c>
      <c r="L72" s="1186">
        <v>23</v>
      </c>
      <c r="M72" s="1186">
        <v>88930</v>
      </c>
    </row>
    <row r="73" spans="1:13" x14ac:dyDescent="0.2">
      <c r="A73" s="1186" t="s">
        <v>619</v>
      </c>
      <c r="B73" s="1186" t="s">
        <v>13</v>
      </c>
      <c r="C73" s="1186">
        <v>1815</v>
      </c>
      <c r="D73" s="1186">
        <v>47</v>
      </c>
      <c r="E73" s="1186">
        <v>419</v>
      </c>
      <c r="F73" s="1186">
        <v>5</v>
      </c>
      <c r="G73" s="1186">
        <v>21</v>
      </c>
      <c r="H73" s="1186">
        <v>6</v>
      </c>
      <c r="I73" s="1186">
        <v>242</v>
      </c>
      <c r="J73" s="1186">
        <v>591</v>
      </c>
      <c r="K73" s="1186">
        <v>92</v>
      </c>
      <c r="L73" s="1186">
        <v>392</v>
      </c>
      <c r="M73" s="1186">
        <v>477940</v>
      </c>
    </row>
    <row r="74" spans="1:13" x14ac:dyDescent="0.2">
      <c r="A74" s="1186" t="s">
        <v>27</v>
      </c>
      <c r="B74" s="1186" t="s">
        <v>13</v>
      </c>
      <c r="C74" s="1186">
        <v>120</v>
      </c>
      <c r="D74" s="1186">
        <v>3</v>
      </c>
      <c r="E74" s="1186">
        <v>38</v>
      </c>
      <c r="F74" s="1186">
        <v>3</v>
      </c>
      <c r="G74" s="1186">
        <v>3</v>
      </c>
      <c r="H74" s="1186"/>
      <c r="I74" s="1186">
        <v>9</v>
      </c>
      <c r="J74" s="1186">
        <v>20</v>
      </c>
      <c r="K74" s="1186">
        <v>4</v>
      </c>
      <c r="L74" s="1186">
        <v>40</v>
      </c>
      <c r="M74" s="1186">
        <v>51500</v>
      </c>
    </row>
    <row r="75" spans="1:13" x14ac:dyDescent="0.2">
      <c r="A75" s="1186" t="s">
        <v>28</v>
      </c>
      <c r="B75" s="1186" t="s">
        <v>13</v>
      </c>
      <c r="C75" s="1186">
        <v>184</v>
      </c>
      <c r="D75" s="1186">
        <v>2</v>
      </c>
      <c r="E75" s="1186">
        <v>54</v>
      </c>
      <c r="F75" s="1186"/>
      <c r="G75" s="1186">
        <v>16</v>
      </c>
      <c r="H75" s="1186"/>
      <c r="I75" s="1186">
        <v>5</v>
      </c>
      <c r="J75" s="1186">
        <v>44</v>
      </c>
      <c r="K75" s="1186">
        <v>4</v>
      </c>
      <c r="L75" s="1186">
        <v>59</v>
      </c>
      <c r="M75" s="1186">
        <v>151410</v>
      </c>
    </row>
    <row r="76" spans="1:13" x14ac:dyDescent="0.2">
      <c r="A76" s="1186" t="s">
        <v>29</v>
      </c>
      <c r="B76" s="1186" t="s">
        <v>13</v>
      </c>
      <c r="C76" s="1186">
        <v>716</v>
      </c>
      <c r="D76" s="1186">
        <v>21</v>
      </c>
      <c r="E76" s="1186">
        <v>174</v>
      </c>
      <c r="F76" s="1186">
        <v>8</v>
      </c>
      <c r="G76" s="1186">
        <v>12</v>
      </c>
      <c r="H76" s="1186">
        <v>1</v>
      </c>
      <c r="I76" s="1186">
        <v>47</v>
      </c>
      <c r="J76" s="1186">
        <v>215</v>
      </c>
      <c r="K76" s="1186">
        <v>28</v>
      </c>
      <c r="L76" s="1186">
        <v>210</v>
      </c>
      <c r="M76" s="1186">
        <v>147200</v>
      </c>
    </row>
    <row r="77" spans="1:13" x14ac:dyDescent="0.2">
      <c r="A77" s="1186" t="s">
        <v>30</v>
      </c>
      <c r="B77" s="1186" t="s">
        <v>13</v>
      </c>
      <c r="C77" s="1186">
        <v>753</v>
      </c>
      <c r="D77" s="1186">
        <v>36</v>
      </c>
      <c r="E77" s="1186">
        <v>163</v>
      </c>
      <c r="F77" s="1186">
        <v>3</v>
      </c>
      <c r="G77" s="1186">
        <v>8</v>
      </c>
      <c r="H77" s="1186">
        <v>13</v>
      </c>
      <c r="I77" s="1186">
        <v>68</v>
      </c>
      <c r="J77" s="1186">
        <v>203</v>
      </c>
      <c r="K77" s="1186">
        <v>40</v>
      </c>
      <c r="L77" s="1186">
        <v>219</v>
      </c>
      <c r="M77" s="1186">
        <v>122690</v>
      </c>
    </row>
    <row r="78" spans="1:13" x14ac:dyDescent="0.2">
      <c r="A78" s="1186" t="s">
        <v>31</v>
      </c>
      <c r="B78" s="1186" t="s">
        <v>13</v>
      </c>
      <c r="C78" s="1186">
        <v>201</v>
      </c>
      <c r="D78" s="1186">
        <v>11</v>
      </c>
      <c r="E78" s="1186">
        <v>70</v>
      </c>
      <c r="F78" s="1186">
        <v>3</v>
      </c>
      <c r="G78" s="1186">
        <v>7</v>
      </c>
      <c r="H78" s="1186">
        <v>4</v>
      </c>
      <c r="I78" s="1186">
        <v>21</v>
      </c>
      <c r="J78" s="1186">
        <v>24</v>
      </c>
      <c r="K78" s="1186">
        <v>4</v>
      </c>
      <c r="L78" s="1186">
        <v>57</v>
      </c>
      <c r="M78" s="1186">
        <v>105000</v>
      </c>
    </row>
    <row r="79" spans="1:13" x14ac:dyDescent="0.2">
      <c r="A79" s="1186" t="s">
        <v>32</v>
      </c>
      <c r="B79" s="1186" t="s">
        <v>13</v>
      </c>
      <c r="C79" s="1186">
        <v>289</v>
      </c>
      <c r="D79" s="1186">
        <v>6</v>
      </c>
      <c r="E79" s="1186">
        <v>108</v>
      </c>
      <c r="F79" s="1186">
        <v>13</v>
      </c>
      <c r="G79" s="1186">
        <v>6</v>
      </c>
      <c r="H79" s="1186">
        <v>1</v>
      </c>
      <c r="I79" s="1186">
        <v>26</v>
      </c>
      <c r="J79" s="1186">
        <v>38</v>
      </c>
      <c r="K79" s="1186">
        <v>4</v>
      </c>
      <c r="L79" s="1186">
        <v>87</v>
      </c>
      <c r="M79" s="1186">
        <v>99920</v>
      </c>
    </row>
    <row r="80" spans="1:13" x14ac:dyDescent="0.2">
      <c r="A80" s="1186" t="s">
        <v>33</v>
      </c>
      <c r="B80" s="1186" t="s">
        <v>13</v>
      </c>
      <c r="C80" s="1186">
        <v>190</v>
      </c>
      <c r="D80" s="1186">
        <v>13</v>
      </c>
      <c r="E80" s="1186">
        <v>58</v>
      </c>
      <c r="F80" s="1186"/>
      <c r="G80" s="1186">
        <v>8</v>
      </c>
      <c r="H80" s="1186">
        <v>2</v>
      </c>
      <c r="I80" s="1186">
        <v>27</v>
      </c>
      <c r="J80" s="1186">
        <v>28</v>
      </c>
      <c r="K80" s="1186">
        <v>4</v>
      </c>
      <c r="L80" s="1186">
        <v>50</v>
      </c>
      <c r="M80" s="1186">
        <v>90810</v>
      </c>
    </row>
    <row r="81" spans="1:13" x14ac:dyDescent="0.2">
      <c r="A81" s="1186" t="s">
        <v>34</v>
      </c>
      <c r="B81" s="1186" t="s">
        <v>13</v>
      </c>
      <c r="C81" s="1186">
        <v>571</v>
      </c>
      <c r="D81" s="1186">
        <v>15</v>
      </c>
      <c r="E81" s="1186">
        <v>174</v>
      </c>
      <c r="F81" s="1186">
        <v>4</v>
      </c>
      <c r="G81" s="1186">
        <v>8</v>
      </c>
      <c r="H81" s="1186">
        <v>1</v>
      </c>
      <c r="I81" s="1186">
        <v>80</v>
      </c>
      <c r="J81" s="1186">
        <v>165</v>
      </c>
      <c r="K81" s="1186">
        <v>12</v>
      </c>
      <c r="L81" s="1186">
        <v>112</v>
      </c>
      <c r="M81" s="1186">
        <v>156250</v>
      </c>
    </row>
    <row r="82" spans="1:13" x14ac:dyDescent="0.2">
      <c r="A82" s="1186" t="s">
        <v>35</v>
      </c>
      <c r="B82" s="1186" t="s">
        <v>13</v>
      </c>
      <c r="C82" s="1186">
        <v>986</v>
      </c>
      <c r="D82" s="1186">
        <v>29</v>
      </c>
      <c r="E82" s="1186">
        <v>279</v>
      </c>
      <c r="F82" s="1186">
        <v>14</v>
      </c>
      <c r="G82" s="1186">
        <v>42</v>
      </c>
      <c r="H82" s="1186">
        <v>4</v>
      </c>
      <c r="I82" s="1186">
        <v>55</v>
      </c>
      <c r="J82" s="1186">
        <v>225</v>
      </c>
      <c r="K82" s="1186">
        <v>16</v>
      </c>
      <c r="L82" s="1186">
        <v>322</v>
      </c>
      <c r="M82" s="1186">
        <v>365300</v>
      </c>
    </row>
    <row r="83" spans="1:13" x14ac:dyDescent="0.2">
      <c r="A83" s="1186" t="s">
        <v>36</v>
      </c>
      <c r="B83" s="1186" t="s">
        <v>13</v>
      </c>
      <c r="C83" s="1186">
        <v>2828</v>
      </c>
      <c r="D83" s="1186">
        <v>113</v>
      </c>
      <c r="E83" s="1186">
        <v>428</v>
      </c>
      <c r="F83" s="1186">
        <v>3</v>
      </c>
      <c r="G83" s="1186">
        <v>51</v>
      </c>
      <c r="H83" s="1186">
        <v>10</v>
      </c>
      <c r="I83" s="1186">
        <v>450</v>
      </c>
      <c r="J83" s="1186">
        <v>897</v>
      </c>
      <c r="K83" s="1186">
        <v>132</v>
      </c>
      <c r="L83" s="1186">
        <v>744</v>
      </c>
      <c r="M83" s="1186">
        <v>593060</v>
      </c>
    </row>
    <row r="84" spans="1:13" x14ac:dyDescent="0.2">
      <c r="A84" s="1186" t="s">
        <v>37</v>
      </c>
      <c r="B84" s="1186" t="s">
        <v>13</v>
      </c>
      <c r="C84" s="1186">
        <v>664</v>
      </c>
      <c r="D84" s="1186">
        <v>13</v>
      </c>
      <c r="E84" s="1186">
        <v>430</v>
      </c>
      <c r="F84" s="1186">
        <v>5</v>
      </c>
      <c r="G84" s="1186">
        <v>14</v>
      </c>
      <c r="H84" s="1186">
        <v>3</v>
      </c>
      <c r="I84" s="1186">
        <v>52</v>
      </c>
      <c r="J84" s="1186">
        <v>56</v>
      </c>
      <c r="K84" s="1186">
        <v>13</v>
      </c>
      <c r="L84" s="1186">
        <v>78</v>
      </c>
      <c r="M84" s="1186">
        <v>232730</v>
      </c>
    </row>
    <row r="85" spans="1:13" x14ac:dyDescent="0.2">
      <c r="A85" s="1186" t="s">
        <v>38</v>
      </c>
      <c r="B85" s="1186" t="s">
        <v>13</v>
      </c>
      <c r="C85" s="1186">
        <v>648</v>
      </c>
      <c r="D85" s="1186">
        <v>49</v>
      </c>
      <c r="E85" s="1186">
        <v>193</v>
      </c>
      <c r="F85" s="1186">
        <v>2</v>
      </c>
      <c r="G85" s="1186">
        <v>13</v>
      </c>
      <c r="H85" s="1186">
        <v>3</v>
      </c>
      <c r="I85" s="1186">
        <v>89</v>
      </c>
      <c r="J85" s="1186">
        <v>124</v>
      </c>
      <c r="K85" s="1186">
        <v>12</v>
      </c>
      <c r="L85" s="1186">
        <v>163</v>
      </c>
      <c r="M85" s="1186">
        <v>81220</v>
      </c>
    </row>
    <row r="86" spans="1:13" x14ac:dyDescent="0.2">
      <c r="A86" s="1186" t="s">
        <v>39</v>
      </c>
      <c r="B86" s="1186" t="s">
        <v>13</v>
      </c>
      <c r="C86" s="1186">
        <v>376</v>
      </c>
      <c r="D86" s="1186">
        <v>13</v>
      </c>
      <c r="E86" s="1186">
        <v>86</v>
      </c>
      <c r="F86" s="1186">
        <v>6</v>
      </c>
      <c r="G86" s="1186">
        <v>6</v>
      </c>
      <c r="H86" s="1186">
        <v>2</v>
      </c>
      <c r="I86" s="1186">
        <v>96</v>
      </c>
      <c r="J86" s="1186">
        <v>55</v>
      </c>
      <c r="K86" s="1186">
        <v>14</v>
      </c>
      <c r="L86" s="1186">
        <v>98</v>
      </c>
      <c r="M86" s="1186">
        <v>83450</v>
      </c>
    </row>
    <row r="87" spans="1:13" x14ac:dyDescent="0.2">
      <c r="A87" s="1186" t="s">
        <v>40</v>
      </c>
      <c r="B87" s="1186" t="s">
        <v>13</v>
      </c>
      <c r="C87" s="1186">
        <v>191</v>
      </c>
      <c r="D87" s="1186">
        <v>12</v>
      </c>
      <c r="E87" s="1186">
        <v>118</v>
      </c>
      <c r="F87" s="1186">
        <v>4</v>
      </c>
      <c r="G87" s="1186">
        <v>2</v>
      </c>
      <c r="H87" s="1186">
        <v>2</v>
      </c>
      <c r="I87" s="1186">
        <v>7</v>
      </c>
      <c r="J87" s="1186">
        <v>12</v>
      </c>
      <c r="K87" s="1186">
        <v>4</v>
      </c>
      <c r="L87" s="1186">
        <v>30</v>
      </c>
      <c r="M87" s="1186">
        <v>93470</v>
      </c>
    </row>
    <row r="88" spans="1:13" x14ac:dyDescent="0.2">
      <c r="A88" s="1186" t="s">
        <v>295</v>
      </c>
      <c r="B88" s="1186" t="s">
        <v>13</v>
      </c>
      <c r="C88" s="1186">
        <v>74</v>
      </c>
      <c r="D88" s="1186">
        <v>1</v>
      </c>
      <c r="E88" s="1186">
        <v>63</v>
      </c>
      <c r="F88" s="1186">
        <v>1</v>
      </c>
      <c r="G88" s="1186">
        <v>1</v>
      </c>
      <c r="H88" s="1186"/>
      <c r="I88" s="1186"/>
      <c r="J88" s="1186">
        <v>3</v>
      </c>
      <c r="K88" s="1186">
        <v>1</v>
      </c>
      <c r="L88" s="1186">
        <v>4</v>
      </c>
      <c r="M88" s="1186">
        <v>27690</v>
      </c>
    </row>
    <row r="89" spans="1:13" x14ac:dyDescent="0.2">
      <c r="A89" s="1186" t="s">
        <v>41</v>
      </c>
      <c r="B89" s="1186" t="s">
        <v>13</v>
      </c>
      <c r="C89" s="1186">
        <v>641</v>
      </c>
      <c r="D89" s="1186">
        <v>15</v>
      </c>
      <c r="E89" s="1186">
        <v>174</v>
      </c>
      <c r="F89" s="1186">
        <v>2</v>
      </c>
      <c r="G89" s="1186">
        <v>10</v>
      </c>
      <c r="H89" s="1186">
        <v>4</v>
      </c>
      <c r="I89" s="1186">
        <v>165</v>
      </c>
      <c r="J89" s="1186">
        <v>154</v>
      </c>
      <c r="K89" s="1186">
        <v>19</v>
      </c>
      <c r="L89" s="1186">
        <v>98</v>
      </c>
      <c r="M89" s="1186">
        <v>138090</v>
      </c>
    </row>
    <row r="90" spans="1:13" x14ac:dyDescent="0.2">
      <c r="A90" s="1186" t="s">
        <v>42</v>
      </c>
      <c r="B90" s="1186" t="s">
        <v>13</v>
      </c>
      <c r="C90" s="1186">
        <v>1962</v>
      </c>
      <c r="D90" s="1186">
        <v>40</v>
      </c>
      <c r="E90" s="1186">
        <v>504</v>
      </c>
      <c r="F90" s="1186">
        <v>1</v>
      </c>
      <c r="G90" s="1186">
        <v>30</v>
      </c>
      <c r="H90" s="1186">
        <v>14</v>
      </c>
      <c r="I90" s="1186">
        <v>284</v>
      </c>
      <c r="J90" s="1186">
        <v>385</v>
      </c>
      <c r="K90" s="1186">
        <v>83</v>
      </c>
      <c r="L90" s="1186">
        <v>621</v>
      </c>
      <c r="M90" s="1186">
        <v>337720</v>
      </c>
    </row>
    <row r="91" spans="1:13" x14ac:dyDescent="0.2">
      <c r="A91" s="1186" t="s">
        <v>43</v>
      </c>
      <c r="B91" s="1186" t="s">
        <v>13</v>
      </c>
      <c r="C91" s="1186">
        <v>6</v>
      </c>
      <c r="D91" s="1186"/>
      <c r="E91" s="1186">
        <v>3</v>
      </c>
      <c r="F91" s="1186">
        <v>1</v>
      </c>
      <c r="G91" s="1186"/>
      <c r="H91" s="1186"/>
      <c r="I91" s="1186"/>
      <c r="J91" s="1186"/>
      <c r="K91" s="1186"/>
      <c r="L91" s="1186">
        <v>2</v>
      </c>
      <c r="M91" s="1186">
        <v>21420</v>
      </c>
    </row>
    <row r="92" spans="1:13" x14ac:dyDescent="0.2">
      <c r="A92" s="1186" t="s">
        <v>44</v>
      </c>
      <c r="B92" s="1186" t="s">
        <v>13</v>
      </c>
      <c r="C92" s="1186">
        <v>234</v>
      </c>
      <c r="D92" s="1186">
        <v>9</v>
      </c>
      <c r="E92" s="1186">
        <v>81</v>
      </c>
      <c r="F92" s="1186">
        <v>3</v>
      </c>
      <c r="G92" s="1186">
        <v>11</v>
      </c>
      <c r="H92" s="1186">
        <v>1</v>
      </c>
      <c r="I92" s="1186">
        <v>13</v>
      </c>
      <c r="J92" s="1186">
        <v>63</v>
      </c>
      <c r="K92" s="1186">
        <v>7</v>
      </c>
      <c r="L92" s="1186">
        <v>46</v>
      </c>
      <c r="M92" s="1186">
        <v>146850</v>
      </c>
    </row>
    <row r="93" spans="1:13" x14ac:dyDescent="0.2">
      <c r="A93" s="1186" t="s">
        <v>45</v>
      </c>
      <c r="B93" s="1186" t="s">
        <v>13</v>
      </c>
      <c r="C93" s="1186">
        <v>759</v>
      </c>
      <c r="D93" s="1186">
        <v>49</v>
      </c>
      <c r="E93" s="1186">
        <v>196</v>
      </c>
      <c r="F93" s="1186">
        <v>4</v>
      </c>
      <c r="G93" s="1186">
        <v>19</v>
      </c>
      <c r="H93" s="1186">
        <v>4</v>
      </c>
      <c r="I93" s="1186">
        <v>113</v>
      </c>
      <c r="J93" s="1186">
        <v>147</v>
      </c>
      <c r="K93" s="1186">
        <v>52</v>
      </c>
      <c r="L93" s="1186">
        <v>175</v>
      </c>
      <c r="M93" s="1186">
        <v>174700</v>
      </c>
    </row>
    <row r="94" spans="1:13" x14ac:dyDescent="0.2">
      <c r="A94" s="1186" t="s">
        <v>46</v>
      </c>
      <c r="B94" s="1186" t="s">
        <v>13</v>
      </c>
      <c r="C94" s="1186">
        <v>126</v>
      </c>
      <c r="D94" s="1186">
        <v>5</v>
      </c>
      <c r="E94" s="1186">
        <v>53</v>
      </c>
      <c r="F94" s="1186">
        <v>2</v>
      </c>
      <c r="G94" s="1186"/>
      <c r="H94" s="1186"/>
      <c r="I94" s="1186">
        <v>23</v>
      </c>
      <c r="J94" s="1186">
        <v>21</v>
      </c>
      <c r="K94" s="1186"/>
      <c r="L94" s="1186">
        <v>22</v>
      </c>
      <c r="M94" s="1186">
        <v>113880</v>
      </c>
    </row>
    <row r="95" spans="1:13" x14ac:dyDescent="0.2">
      <c r="A95" s="1186" t="s">
        <v>47</v>
      </c>
      <c r="B95" s="1186" t="s">
        <v>13</v>
      </c>
      <c r="C95" s="1186">
        <v>13</v>
      </c>
      <c r="D95" s="1186">
        <v>1</v>
      </c>
      <c r="E95" s="1186">
        <v>2</v>
      </c>
      <c r="F95" s="1186"/>
      <c r="G95" s="1186">
        <v>3</v>
      </c>
      <c r="H95" s="1186">
        <v>1</v>
      </c>
      <c r="I95" s="1186"/>
      <c r="J95" s="1186">
        <v>2</v>
      </c>
      <c r="K95" s="1186"/>
      <c r="L95" s="1186">
        <v>4</v>
      </c>
      <c r="M95" s="1186">
        <v>23240</v>
      </c>
    </row>
    <row r="96" spans="1:13" x14ac:dyDescent="0.2">
      <c r="A96" s="1186" t="s">
        <v>48</v>
      </c>
      <c r="B96" s="1186" t="s">
        <v>13</v>
      </c>
      <c r="C96" s="1186">
        <v>359</v>
      </c>
      <c r="D96" s="1186">
        <v>18</v>
      </c>
      <c r="E96" s="1186">
        <v>93</v>
      </c>
      <c r="F96" s="1186">
        <v>2</v>
      </c>
      <c r="G96" s="1186">
        <v>10</v>
      </c>
      <c r="H96" s="1186">
        <v>3</v>
      </c>
      <c r="I96" s="1186">
        <v>69</v>
      </c>
      <c r="J96" s="1186">
        <v>86</v>
      </c>
      <c r="K96" s="1186">
        <v>14</v>
      </c>
      <c r="L96" s="1186">
        <v>64</v>
      </c>
      <c r="M96" s="1186">
        <v>112980</v>
      </c>
    </row>
    <row r="97" spans="1:13" x14ac:dyDescent="0.2">
      <c r="A97" s="1186" t="s">
        <v>49</v>
      </c>
      <c r="B97" s="1186" t="s">
        <v>13</v>
      </c>
      <c r="C97" s="1186">
        <v>1293</v>
      </c>
      <c r="D97" s="1186">
        <v>28</v>
      </c>
      <c r="E97" s="1186">
        <v>345</v>
      </c>
      <c r="F97" s="1186">
        <v>5</v>
      </c>
      <c r="G97" s="1186">
        <v>19</v>
      </c>
      <c r="H97" s="1186">
        <v>9</v>
      </c>
      <c r="I97" s="1186">
        <v>127</v>
      </c>
      <c r="J97" s="1186">
        <v>308</v>
      </c>
      <c r="K97" s="1186">
        <v>66</v>
      </c>
      <c r="L97" s="1186">
        <v>386</v>
      </c>
      <c r="M97" s="1186">
        <v>313900</v>
      </c>
    </row>
    <row r="98" spans="1:13" x14ac:dyDescent="0.2">
      <c r="A98" s="1186" t="s">
        <v>50</v>
      </c>
      <c r="B98" s="1186" t="s">
        <v>13</v>
      </c>
      <c r="C98" s="1186">
        <v>168</v>
      </c>
      <c r="D98" s="1186">
        <v>4</v>
      </c>
      <c r="E98" s="1186">
        <v>48</v>
      </c>
      <c r="F98" s="1186">
        <v>4</v>
      </c>
      <c r="G98" s="1186">
        <v>4</v>
      </c>
      <c r="H98" s="1186">
        <v>1</v>
      </c>
      <c r="I98" s="1186">
        <v>29</v>
      </c>
      <c r="J98" s="1186">
        <v>35</v>
      </c>
      <c r="K98" s="1186">
        <v>4</v>
      </c>
      <c r="L98" s="1186">
        <v>39</v>
      </c>
      <c r="M98" s="1186">
        <v>90330</v>
      </c>
    </row>
    <row r="99" spans="1:13" x14ac:dyDescent="0.2">
      <c r="A99" s="1186" t="s">
        <v>51</v>
      </c>
      <c r="B99" s="1186" t="s">
        <v>13</v>
      </c>
      <c r="C99" s="1186">
        <v>510</v>
      </c>
      <c r="D99" s="1186">
        <v>43</v>
      </c>
      <c r="E99" s="1186">
        <v>127</v>
      </c>
      <c r="F99" s="1186">
        <v>2</v>
      </c>
      <c r="G99" s="1186">
        <v>9</v>
      </c>
      <c r="H99" s="1186">
        <v>5</v>
      </c>
      <c r="I99" s="1186">
        <v>61</v>
      </c>
      <c r="J99" s="1186">
        <v>111</v>
      </c>
      <c r="K99" s="1186">
        <v>21</v>
      </c>
      <c r="L99" s="1186">
        <v>131</v>
      </c>
      <c r="M99" s="1186">
        <v>90610</v>
      </c>
    </row>
    <row r="100" spans="1:13" x14ac:dyDescent="0.2">
      <c r="A100" s="1186" t="s">
        <v>52</v>
      </c>
      <c r="B100" s="1186" t="s">
        <v>13</v>
      </c>
      <c r="C100" s="1186">
        <v>747</v>
      </c>
      <c r="D100" s="1186">
        <v>9</v>
      </c>
      <c r="E100" s="1186">
        <v>305</v>
      </c>
      <c r="F100" s="1186">
        <v>4</v>
      </c>
      <c r="G100" s="1186">
        <v>8</v>
      </c>
      <c r="H100" s="1186">
        <v>2</v>
      </c>
      <c r="I100" s="1186">
        <v>69</v>
      </c>
      <c r="J100" s="1186">
        <v>173</v>
      </c>
      <c r="K100" s="1186">
        <v>18</v>
      </c>
      <c r="L100" s="1186">
        <v>159</v>
      </c>
      <c r="M100" s="1186">
        <v>175300</v>
      </c>
    </row>
    <row r="101" spans="1:13" x14ac:dyDescent="0.2">
      <c r="A101" s="1186" t="s">
        <v>23</v>
      </c>
      <c r="B101" s="1186" t="s">
        <v>15</v>
      </c>
      <c r="C101" s="1186">
        <v>447</v>
      </c>
      <c r="D101" s="1186">
        <v>26</v>
      </c>
      <c r="E101" s="1186">
        <v>67</v>
      </c>
      <c r="F101" s="1186">
        <v>1</v>
      </c>
      <c r="G101" s="1186">
        <v>10</v>
      </c>
      <c r="H101" s="1186"/>
      <c r="I101" s="1186">
        <v>5</v>
      </c>
      <c r="J101" s="1186">
        <v>161</v>
      </c>
      <c r="K101" s="1186">
        <v>23</v>
      </c>
      <c r="L101" s="1186">
        <v>154</v>
      </c>
      <c r="M101" s="1186">
        <v>224910</v>
      </c>
    </row>
    <row r="102" spans="1:13" x14ac:dyDescent="0.2">
      <c r="A102" s="1186" t="s">
        <v>24</v>
      </c>
      <c r="B102" s="1186" t="s">
        <v>15</v>
      </c>
      <c r="C102" s="1186">
        <v>205</v>
      </c>
      <c r="D102" s="1186">
        <v>6</v>
      </c>
      <c r="E102" s="1186">
        <v>48</v>
      </c>
      <c r="F102" s="1186">
        <v>6</v>
      </c>
      <c r="G102" s="1186">
        <v>10</v>
      </c>
      <c r="H102" s="1186"/>
      <c r="I102" s="1186">
        <v>4</v>
      </c>
      <c r="J102" s="1186">
        <v>35</v>
      </c>
      <c r="K102" s="1186">
        <v>12</v>
      </c>
      <c r="L102" s="1186">
        <v>84</v>
      </c>
      <c r="M102" s="1186">
        <v>255560</v>
      </c>
    </row>
    <row r="103" spans="1:13" x14ac:dyDescent="0.2">
      <c r="A103" s="1186" t="s">
        <v>25</v>
      </c>
      <c r="B103" s="1186" t="s">
        <v>15</v>
      </c>
      <c r="C103" s="1186">
        <v>137</v>
      </c>
      <c r="D103" s="1186">
        <v>3</v>
      </c>
      <c r="E103" s="1186">
        <v>49</v>
      </c>
      <c r="F103" s="1186">
        <v>4</v>
      </c>
      <c r="G103" s="1186">
        <v>5</v>
      </c>
      <c r="H103" s="1186"/>
      <c r="I103" s="1186">
        <v>18</v>
      </c>
      <c r="J103" s="1186">
        <v>31</v>
      </c>
      <c r="K103" s="1186">
        <v>7</v>
      </c>
      <c r="L103" s="1186">
        <v>20</v>
      </c>
      <c r="M103" s="1186">
        <v>116220</v>
      </c>
    </row>
    <row r="104" spans="1:13" x14ac:dyDescent="0.2">
      <c r="A104" s="1186" t="s">
        <v>26</v>
      </c>
      <c r="B104" s="1186" t="s">
        <v>15</v>
      </c>
      <c r="C104" s="1186">
        <v>148</v>
      </c>
      <c r="D104" s="1186">
        <v>5</v>
      </c>
      <c r="E104" s="1186">
        <v>79</v>
      </c>
      <c r="F104" s="1186">
        <v>2</v>
      </c>
      <c r="G104" s="1186">
        <v>2</v>
      </c>
      <c r="H104" s="1186"/>
      <c r="I104" s="1186">
        <v>15</v>
      </c>
      <c r="J104" s="1186">
        <v>26</v>
      </c>
      <c r="K104" s="1186"/>
      <c r="L104" s="1186">
        <v>19</v>
      </c>
      <c r="M104" s="1186">
        <v>86910</v>
      </c>
    </row>
    <row r="105" spans="1:13" x14ac:dyDescent="0.2">
      <c r="A105" s="1186" t="s">
        <v>619</v>
      </c>
      <c r="B105" s="1186" t="s">
        <v>15</v>
      </c>
      <c r="C105" s="1186">
        <v>1223</v>
      </c>
      <c r="D105" s="1186">
        <v>13</v>
      </c>
      <c r="E105" s="1186">
        <v>215</v>
      </c>
      <c r="F105" s="1186">
        <v>1</v>
      </c>
      <c r="G105" s="1186">
        <v>19</v>
      </c>
      <c r="H105" s="1186">
        <v>3</v>
      </c>
      <c r="I105" s="1186">
        <v>230</v>
      </c>
      <c r="J105" s="1186">
        <v>461</v>
      </c>
      <c r="K105" s="1186">
        <v>94</v>
      </c>
      <c r="L105" s="1186">
        <v>187</v>
      </c>
      <c r="M105" s="1186">
        <v>482630</v>
      </c>
    </row>
    <row r="106" spans="1:13" x14ac:dyDescent="0.2">
      <c r="A106" s="1186" t="s">
        <v>27</v>
      </c>
      <c r="B106" s="1186" t="s">
        <v>15</v>
      </c>
      <c r="C106" s="1186">
        <v>96</v>
      </c>
      <c r="D106" s="1186">
        <v>2</v>
      </c>
      <c r="E106" s="1186">
        <v>22</v>
      </c>
      <c r="F106" s="1186">
        <v>3</v>
      </c>
      <c r="G106" s="1186">
        <v>7</v>
      </c>
      <c r="H106" s="1186"/>
      <c r="I106" s="1186">
        <v>10</v>
      </c>
      <c r="J106" s="1186">
        <v>28</v>
      </c>
      <c r="K106" s="1186">
        <v>5</v>
      </c>
      <c r="L106" s="1186">
        <v>19</v>
      </c>
      <c r="M106" s="1186">
        <v>51280</v>
      </c>
    </row>
    <row r="107" spans="1:13" x14ac:dyDescent="0.2">
      <c r="A107" s="1186" t="s">
        <v>28</v>
      </c>
      <c r="B107" s="1186" t="s">
        <v>15</v>
      </c>
      <c r="C107" s="1186">
        <v>125</v>
      </c>
      <c r="D107" s="1186">
        <v>4</v>
      </c>
      <c r="E107" s="1186">
        <v>29</v>
      </c>
      <c r="F107" s="1186"/>
      <c r="G107" s="1186">
        <v>13</v>
      </c>
      <c r="H107" s="1186">
        <v>1</v>
      </c>
      <c r="I107" s="1186">
        <v>3</v>
      </c>
      <c r="J107" s="1186">
        <v>22</v>
      </c>
      <c r="K107" s="1186">
        <v>4</v>
      </c>
      <c r="L107" s="1186">
        <v>49</v>
      </c>
      <c r="M107" s="1186">
        <v>150840</v>
      </c>
    </row>
    <row r="108" spans="1:13" x14ac:dyDescent="0.2">
      <c r="A108" s="1186" t="s">
        <v>29</v>
      </c>
      <c r="B108" s="1186" t="s">
        <v>15</v>
      </c>
      <c r="C108" s="1186">
        <v>413</v>
      </c>
      <c r="D108" s="1186">
        <v>7</v>
      </c>
      <c r="E108" s="1186">
        <v>66</v>
      </c>
      <c r="F108" s="1186">
        <v>1</v>
      </c>
      <c r="G108" s="1186">
        <v>9</v>
      </c>
      <c r="H108" s="1186">
        <v>1</v>
      </c>
      <c r="I108" s="1186">
        <v>48</v>
      </c>
      <c r="J108" s="1186">
        <v>145</v>
      </c>
      <c r="K108" s="1186">
        <v>28</v>
      </c>
      <c r="L108" s="1186">
        <v>108</v>
      </c>
      <c r="M108" s="1186">
        <v>147780</v>
      </c>
    </row>
    <row r="109" spans="1:13" x14ac:dyDescent="0.2">
      <c r="A109" s="1186" t="s">
        <v>30</v>
      </c>
      <c r="B109" s="1186" t="s">
        <v>15</v>
      </c>
      <c r="C109" s="1186">
        <v>675</v>
      </c>
      <c r="D109" s="1186">
        <v>15</v>
      </c>
      <c r="E109" s="1186">
        <v>180</v>
      </c>
      <c r="F109" s="1186">
        <v>4</v>
      </c>
      <c r="G109" s="1186">
        <v>12</v>
      </c>
      <c r="H109" s="1186">
        <v>4</v>
      </c>
      <c r="I109" s="1186">
        <v>89</v>
      </c>
      <c r="J109" s="1186">
        <v>166</v>
      </c>
      <c r="K109" s="1186">
        <v>30</v>
      </c>
      <c r="L109" s="1186">
        <v>175</v>
      </c>
      <c r="M109" s="1186">
        <v>122730</v>
      </c>
    </row>
    <row r="110" spans="1:13" x14ac:dyDescent="0.2">
      <c r="A110" s="1186" t="s">
        <v>31</v>
      </c>
      <c r="B110" s="1186" t="s">
        <v>15</v>
      </c>
      <c r="C110" s="1186">
        <v>145</v>
      </c>
      <c r="D110" s="1186">
        <v>5</v>
      </c>
      <c r="E110" s="1186">
        <v>27</v>
      </c>
      <c r="F110" s="1186"/>
      <c r="G110" s="1186">
        <v>6</v>
      </c>
      <c r="H110" s="1186">
        <v>2</v>
      </c>
      <c r="I110" s="1186">
        <v>20</v>
      </c>
      <c r="J110" s="1186">
        <v>33</v>
      </c>
      <c r="K110" s="1186">
        <v>7</v>
      </c>
      <c r="L110" s="1186">
        <v>45</v>
      </c>
      <c r="M110" s="1186">
        <v>105880</v>
      </c>
    </row>
    <row r="111" spans="1:13" x14ac:dyDescent="0.2">
      <c r="A111" s="1186" t="s">
        <v>32</v>
      </c>
      <c r="B111" s="1186" t="s">
        <v>15</v>
      </c>
      <c r="C111" s="1186">
        <v>128</v>
      </c>
      <c r="D111" s="1186">
        <v>3</v>
      </c>
      <c r="E111" s="1186">
        <v>29</v>
      </c>
      <c r="F111" s="1186">
        <v>3</v>
      </c>
      <c r="G111" s="1186">
        <v>4</v>
      </c>
      <c r="H111" s="1186">
        <v>1</v>
      </c>
      <c r="I111" s="1186">
        <v>30</v>
      </c>
      <c r="J111" s="1186">
        <v>16</v>
      </c>
      <c r="K111" s="1186">
        <v>12</v>
      </c>
      <c r="L111" s="1186">
        <v>30</v>
      </c>
      <c r="M111" s="1186">
        <v>100860</v>
      </c>
    </row>
    <row r="112" spans="1:13" x14ac:dyDescent="0.2">
      <c r="A112" s="1186" t="s">
        <v>33</v>
      </c>
      <c r="B112" s="1186" t="s">
        <v>15</v>
      </c>
      <c r="C112" s="1186">
        <v>177</v>
      </c>
      <c r="D112" s="1186">
        <v>9</v>
      </c>
      <c r="E112" s="1186">
        <v>45</v>
      </c>
      <c r="F112" s="1186"/>
      <c r="G112" s="1186">
        <v>3</v>
      </c>
      <c r="H112" s="1186">
        <v>3</v>
      </c>
      <c r="I112" s="1186">
        <v>27</v>
      </c>
      <c r="J112" s="1186">
        <v>35</v>
      </c>
      <c r="K112" s="1186">
        <v>10</v>
      </c>
      <c r="L112" s="1186">
        <v>45</v>
      </c>
      <c r="M112" s="1186">
        <v>91040</v>
      </c>
    </row>
    <row r="113" spans="1:13" x14ac:dyDescent="0.2">
      <c r="A113" s="1186" t="s">
        <v>34</v>
      </c>
      <c r="B113" s="1186" t="s">
        <v>15</v>
      </c>
      <c r="C113" s="1186">
        <v>374</v>
      </c>
      <c r="D113" s="1186">
        <v>4</v>
      </c>
      <c r="E113" s="1186">
        <v>111</v>
      </c>
      <c r="F113" s="1186"/>
      <c r="G113" s="1186">
        <v>9</v>
      </c>
      <c r="H113" s="1186"/>
      <c r="I113" s="1186">
        <v>81</v>
      </c>
      <c r="J113" s="1186">
        <v>91</v>
      </c>
      <c r="K113" s="1186">
        <v>12</v>
      </c>
      <c r="L113" s="1186">
        <v>66</v>
      </c>
      <c r="M113" s="1186">
        <v>156800</v>
      </c>
    </row>
    <row r="114" spans="1:13" x14ac:dyDescent="0.2">
      <c r="A114" s="1186" t="s">
        <v>35</v>
      </c>
      <c r="B114" s="1186" t="s">
        <v>15</v>
      </c>
      <c r="C114" s="1186">
        <v>693</v>
      </c>
      <c r="D114" s="1186">
        <v>15</v>
      </c>
      <c r="E114" s="1186">
        <v>133</v>
      </c>
      <c r="F114" s="1186">
        <v>5</v>
      </c>
      <c r="G114" s="1186">
        <v>19</v>
      </c>
      <c r="H114" s="1186">
        <v>5</v>
      </c>
      <c r="I114" s="1186">
        <v>5</v>
      </c>
      <c r="J114" s="1186">
        <v>198</v>
      </c>
      <c r="K114" s="1186">
        <v>27</v>
      </c>
      <c r="L114" s="1186">
        <v>286</v>
      </c>
      <c r="M114" s="1186">
        <v>366210</v>
      </c>
    </row>
    <row r="115" spans="1:13" x14ac:dyDescent="0.2">
      <c r="A115" s="1186" t="s">
        <v>36</v>
      </c>
      <c r="B115" s="1186" t="s">
        <v>15</v>
      </c>
      <c r="C115" s="1186">
        <v>2475</v>
      </c>
      <c r="D115" s="1186">
        <v>105</v>
      </c>
      <c r="E115" s="1186">
        <v>388</v>
      </c>
      <c r="F115" s="1186">
        <v>3</v>
      </c>
      <c r="G115" s="1186">
        <v>53</v>
      </c>
      <c r="H115" s="1186">
        <v>11</v>
      </c>
      <c r="I115" s="1186">
        <v>320</v>
      </c>
      <c r="J115" s="1186">
        <v>805</v>
      </c>
      <c r="K115" s="1186">
        <v>98</v>
      </c>
      <c r="L115" s="1186">
        <v>692</v>
      </c>
      <c r="M115" s="1186">
        <v>595070</v>
      </c>
    </row>
    <row r="116" spans="1:13" x14ac:dyDescent="0.2">
      <c r="A116" s="1186" t="s">
        <v>37</v>
      </c>
      <c r="B116" s="1186" t="s">
        <v>15</v>
      </c>
      <c r="C116" s="1186">
        <v>504</v>
      </c>
      <c r="D116" s="1186">
        <v>9</v>
      </c>
      <c r="E116" s="1186">
        <v>341</v>
      </c>
      <c r="F116" s="1186">
        <v>1</v>
      </c>
      <c r="G116" s="1186">
        <v>9</v>
      </c>
      <c r="H116" s="1186">
        <v>4</v>
      </c>
      <c r="I116" s="1186">
        <v>47</v>
      </c>
      <c r="J116" s="1186">
        <v>44</v>
      </c>
      <c r="K116" s="1186">
        <v>6</v>
      </c>
      <c r="L116" s="1186">
        <v>43</v>
      </c>
      <c r="M116" s="1186">
        <v>232890</v>
      </c>
    </row>
    <row r="117" spans="1:13" x14ac:dyDescent="0.2">
      <c r="A117" s="1186" t="s">
        <v>38</v>
      </c>
      <c r="B117" s="1186" t="s">
        <v>15</v>
      </c>
      <c r="C117" s="1186">
        <v>513</v>
      </c>
      <c r="D117" s="1186">
        <v>32</v>
      </c>
      <c r="E117" s="1186">
        <v>152</v>
      </c>
      <c r="F117" s="1186"/>
      <c r="G117" s="1186">
        <v>7</v>
      </c>
      <c r="H117" s="1186">
        <v>1</v>
      </c>
      <c r="I117" s="1186">
        <v>84</v>
      </c>
      <c r="J117" s="1186">
        <v>81</v>
      </c>
      <c r="K117" s="1186">
        <v>10</v>
      </c>
      <c r="L117" s="1186">
        <v>146</v>
      </c>
      <c r="M117" s="1186">
        <v>80690</v>
      </c>
    </row>
    <row r="118" spans="1:13" x14ac:dyDescent="0.2">
      <c r="A118" s="1186" t="s">
        <v>39</v>
      </c>
      <c r="B118" s="1186" t="s">
        <v>15</v>
      </c>
      <c r="C118" s="1186">
        <v>166</v>
      </c>
      <c r="D118" s="1186">
        <v>1</v>
      </c>
      <c r="E118" s="1186">
        <v>48</v>
      </c>
      <c r="F118" s="1186">
        <v>3</v>
      </c>
      <c r="G118" s="1186">
        <v>2</v>
      </c>
      <c r="H118" s="1186"/>
      <c r="I118" s="1186">
        <v>39</v>
      </c>
      <c r="J118" s="1186">
        <v>27</v>
      </c>
      <c r="K118" s="1186">
        <v>5</v>
      </c>
      <c r="L118" s="1186">
        <v>41</v>
      </c>
      <c r="M118" s="1186">
        <v>84240</v>
      </c>
    </row>
    <row r="119" spans="1:13" x14ac:dyDescent="0.2">
      <c r="A119" s="1186" t="s">
        <v>40</v>
      </c>
      <c r="B119" s="1186" t="s">
        <v>15</v>
      </c>
      <c r="C119" s="1186">
        <v>105</v>
      </c>
      <c r="D119" s="1186">
        <v>3</v>
      </c>
      <c r="E119" s="1186">
        <v>59</v>
      </c>
      <c r="F119" s="1186">
        <v>1</v>
      </c>
      <c r="G119" s="1186">
        <v>4</v>
      </c>
      <c r="H119" s="1186">
        <v>2</v>
      </c>
      <c r="I119" s="1186">
        <v>1</v>
      </c>
      <c r="J119" s="1186">
        <v>18</v>
      </c>
      <c r="K119" s="1186">
        <v>2</v>
      </c>
      <c r="L119" s="1186">
        <v>15</v>
      </c>
      <c r="M119" s="1186">
        <v>92930</v>
      </c>
    </row>
    <row r="120" spans="1:13" x14ac:dyDescent="0.2">
      <c r="A120" s="1186" t="s">
        <v>295</v>
      </c>
      <c r="B120" s="1186" t="s">
        <v>15</v>
      </c>
      <c r="C120" s="1186">
        <v>130</v>
      </c>
      <c r="D120" s="1186">
        <v>1</v>
      </c>
      <c r="E120" s="1186">
        <v>119</v>
      </c>
      <c r="F120" s="1186"/>
      <c r="G120" s="1186">
        <v>2</v>
      </c>
      <c r="H120" s="1186"/>
      <c r="I120" s="1186">
        <v>4</v>
      </c>
      <c r="J120" s="1186">
        <v>1</v>
      </c>
      <c r="K120" s="1186">
        <v>1</v>
      </c>
      <c r="L120" s="1186">
        <v>2</v>
      </c>
      <c r="M120" s="1186">
        <v>27560</v>
      </c>
    </row>
    <row r="121" spans="1:13" x14ac:dyDescent="0.2">
      <c r="A121" s="1186" t="s">
        <v>41</v>
      </c>
      <c r="B121" s="1186" t="s">
        <v>15</v>
      </c>
      <c r="C121" s="1186">
        <v>632</v>
      </c>
      <c r="D121" s="1186">
        <v>18</v>
      </c>
      <c r="E121" s="1186">
        <v>167</v>
      </c>
      <c r="F121" s="1186">
        <v>4</v>
      </c>
      <c r="G121" s="1186">
        <v>14</v>
      </c>
      <c r="H121" s="1186">
        <v>5</v>
      </c>
      <c r="I121" s="1186">
        <v>157</v>
      </c>
      <c r="J121" s="1186">
        <v>99</v>
      </c>
      <c r="K121" s="1186">
        <v>17</v>
      </c>
      <c r="L121" s="1186">
        <v>151</v>
      </c>
      <c r="M121" s="1186">
        <v>137570</v>
      </c>
    </row>
    <row r="122" spans="1:13" x14ac:dyDescent="0.2">
      <c r="A122" s="1186" t="s">
        <v>42</v>
      </c>
      <c r="B122" s="1186" t="s">
        <v>15</v>
      </c>
      <c r="C122" s="1186">
        <v>1513</v>
      </c>
      <c r="D122" s="1186">
        <v>40</v>
      </c>
      <c r="E122" s="1186">
        <v>348</v>
      </c>
      <c r="F122" s="1186">
        <v>3</v>
      </c>
      <c r="G122" s="1186">
        <v>20</v>
      </c>
      <c r="H122" s="1186">
        <v>5</v>
      </c>
      <c r="I122" s="1186">
        <v>235</v>
      </c>
      <c r="J122" s="1186">
        <v>366</v>
      </c>
      <c r="K122" s="1186">
        <v>58</v>
      </c>
      <c r="L122" s="1186">
        <v>438</v>
      </c>
      <c r="M122" s="1186">
        <v>337890</v>
      </c>
    </row>
    <row r="123" spans="1:13" x14ac:dyDescent="0.2">
      <c r="A123" s="1186" t="s">
        <v>43</v>
      </c>
      <c r="B123" s="1186" t="s">
        <v>15</v>
      </c>
      <c r="C123" s="1186">
        <v>7</v>
      </c>
      <c r="D123" s="1186"/>
      <c r="E123" s="1186">
        <v>4</v>
      </c>
      <c r="F123" s="1186"/>
      <c r="G123" s="1186"/>
      <c r="H123" s="1186"/>
      <c r="I123" s="1186"/>
      <c r="J123" s="1186">
        <v>1</v>
      </c>
      <c r="K123" s="1186"/>
      <c r="L123" s="1186">
        <v>2</v>
      </c>
      <c r="M123" s="1186">
        <v>21530</v>
      </c>
    </row>
    <row r="124" spans="1:13" x14ac:dyDescent="0.2">
      <c r="A124" s="1186" t="s">
        <v>44</v>
      </c>
      <c r="B124" s="1186" t="s">
        <v>15</v>
      </c>
      <c r="C124" s="1186">
        <v>131</v>
      </c>
      <c r="D124" s="1186">
        <v>10</v>
      </c>
      <c r="E124" s="1186">
        <v>33</v>
      </c>
      <c r="F124" s="1186">
        <v>2</v>
      </c>
      <c r="G124" s="1186">
        <v>10</v>
      </c>
      <c r="H124" s="1186"/>
      <c r="I124" s="1186">
        <v>15</v>
      </c>
      <c r="J124" s="1186">
        <v>31</v>
      </c>
      <c r="K124" s="1186">
        <v>11</v>
      </c>
      <c r="L124" s="1186">
        <v>19</v>
      </c>
      <c r="M124" s="1186">
        <v>147740</v>
      </c>
    </row>
    <row r="125" spans="1:13" x14ac:dyDescent="0.2">
      <c r="A125" s="1186" t="s">
        <v>45</v>
      </c>
      <c r="B125" s="1186" t="s">
        <v>15</v>
      </c>
      <c r="C125" s="1186">
        <v>634</v>
      </c>
      <c r="D125" s="1186">
        <v>34</v>
      </c>
      <c r="E125" s="1186">
        <v>132</v>
      </c>
      <c r="F125" s="1186">
        <v>1</v>
      </c>
      <c r="G125" s="1186">
        <v>19</v>
      </c>
      <c r="H125" s="1186">
        <v>3</v>
      </c>
      <c r="I125" s="1186">
        <v>84</v>
      </c>
      <c r="J125" s="1186">
        <v>150</v>
      </c>
      <c r="K125" s="1186">
        <v>43</v>
      </c>
      <c r="L125" s="1186">
        <v>168</v>
      </c>
      <c r="M125" s="1186">
        <v>174300</v>
      </c>
    </row>
    <row r="126" spans="1:13" x14ac:dyDescent="0.2">
      <c r="A126" s="1186" t="s">
        <v>46</v>
      </c>
      <c r="B126" s="1186" t="s">
        <v>15</v>
      </c>
      <c r="C126" s="1186">
        <v>65</v>
      </c>
      <c r="D126" s="1186">
        <v>1</v>
      </c>
      <c r="E126" s="1186">
        <v>27</v>
      </c>
      <c r="F126" s="1186">
        <v>3</v>
      </c>
      <c r="G126" s="1186">
        <v>6</v>
      </c>
      <c r="H126" s="1186"/>
      <c r="I126" s="1186">
        <v>9</v>
      </c>
      <c r="J126" s="1186">
        <v>8</v>
      </c>
      <c r="K126" s="1186">
        <v>6</v>
      </c>
      <c r="L126" s="1186">
        <v>5</v>
      </c>
      <c r="M126" s="1186">
        <v>113720</v>
      </c>
    </row>
    <row r="127" spans="1:13" x14ac:dyDescent="0.2">
      <c r="A127" s="1186" t="s">
        <v>47</v>
      </c>
      <c r="B127" s="1186" t="s">
        <v>15</v>
      </c>
      <c r="C127" s="1186">
        <v>13</v>
      </c>
      <c r="D127" s="1186">
        <v>1</v>
      </c>
      <c r="E127" s="1186">
        <v>8</v>
      </c>
      <c r="F127" s="1186"/>
      <c r="G127" s="1186">
        <v>2</v>
      </c>
      <c r="H127" s="1186">
        <v>2</v>
      </c>
      <c r="I127" s="1186"/>
      <c r="J127" s="1186"/>
      <c r="K127" s="1186"/>
      <c r="L127" s="1186"/>
      <c r="M127" s="1186">
        <v>23210</v>
      </c>
    </row>
    <row r="128" spans="1:13" x14ac:dyDescent="0.2">
      <c r="A128" s="1186" t="s">
        <v>48</v>
      </c>
      <c r="B128" s="1186" t="s">
        <v>15</v>
      </c>
      <c r="C128" s="1186">
        <v>299</v>
      </c>
      <c r="D128" s="1186">
        <v>13</v>
      </c>
      <c r="E128" s="1186">
        <v>67</v>
      </c>
      <c r="F128" s="1186">
        <v>6</v>
      </c>
      <c r="G128" s="1186">
        <v>13</v>
      </c>
      <c r="H128" s="1186">
        <v>4</v>
      </c>
      <c r="I128" s="1186">
        <v>32</v>
      </c>
      <c r="J128" s="1186">
        <v>88</v>
      </c>
      <c r="K128" s="1186">
        <v>15</v>
      </c>
      <c r="L128" s="1186">
        <v>61</v>
      </c>
      <c r="M128" s="1186">
        <v>112920</v>
      </c>
    </row>
    <row r="129" spans="1:13" x14ac:dyDescent="0.2">
      <c r="A129" s="1186" t="s">
        <v>49</v>
      </c>
      <c r="B129" s="1186" t="s">
        <v>15</v>
      </c>
      <c r="C129" s="1186">
        <v>1087</v>
      </c>
      <c r="D129" s="1186">
        <v>30</v>
      </c>
      <c r="E129" s="1186">
        <v>215</v>
      </c>
      <c r="F129" s="1186">
        <v>1</v>
      </c>
      <c r="G129" s="1186">
        <v>20</v>
      </c>
      <c r="H129" s="1186">
        <v>6</v>
      </c>
      <c r="I129" s="1186">
        <v>132</v>
      </c>
      <c r="J129" s="1186">
        <v>311</v>
      </c>
      <c r="K129" s="1186">
        <v>37</v>
      </c>
      <c r="L129" s="1186">
        <v>335</v>
      </c>
      <c r="M129" s="1186">
        <v>314330</v>
      </c>
    </row>
    <row r="130" spans="1:13" x14ac:dyDescent="0.2">
      <c r="A130" s="1186" t="s">
        <v>50</v>
      </c>
      <c r="B130" s="1186" t="s">
        <v>15</v>
      </c>
      <c r="C130" s="1186">
        <v>127</v>
      </c>
      <c r="D130" s="1186">
        <v>6</v>
      </c>
      <c r="E130" s="1186">
        <v>35</v>
      </c>
      <c r="F130" s="1186"/>
      <c r="G130" s="1186">
        <v>5</v>
      </c>
      <c r="H130" s="1186"/>
      <c r="I130" s="1186">
        <v>14</v>
      </c>
      <c r="J130" s="1186">
        <v>26</v>
      </c>
      <c r="K130" s="1186">
        <v>5</v>
      </c>
      <c r="L130" s="1186">
        <v>36</v>
      </c>
      <c r="M130" s="1186">
        <v>91010</v>
      </c>
    </row>
    <row r="131" spans="1:13" x14ac:dyDescent="0.2">
      <c r="A131" s="1186" t="s">
        <v>51</v>
      </c>
      <c r="B131" s="1186" t="s">
        <v>15</v>
      </c>
      <c r="C131" s="1186">
        <v>446</v>
      </c>
      <c r="D131" s="1186">
        <v>53</v>
      </c>
      <c r="E131" s="1186">
        <v>107</v>
      </c>
      <c r="F131" s="1186">
        <v>1</v>
      </c>
      <c r="G131" s="1186">
        <v>8</v>
      </c>
      <c r="H131" s="1186">
        <v>4</v>
      </c>
      <c r="I131" s="1186">
        <v>62</v>
      </c>
      <c r="J131" s="1186">
        <v>104</v>
      </c>
      <c r="K131" s="1186">
        <v>22</v>
      </c>
      <c r="L131" s="1186">
        <v>85</v>
      </c>
      <c r="M131" s="1186">
        <v>90340</v>
      </c>
    </row>
    <row r="132" spans="1:13" x14ac:dyDescent="0.2">
      <c r="A132" s="1186" t="s">
        <v>52</v>
      </c>
      <c r="B132" s="1186" t="s">
        <v>15</v>
      </c>
      <c r="C132" s="1186">
        <v>440</v>
      </c>
      <c r="D132" s="1186">
        <v>8</v>
      </c>
      <c r="E132" s="1186">
        <v>124</v>
      </c>
      <c r="F132" s="1186">
        <v>2</v>
      </c>
      <c r="G132" s="1186">
        <v>14</v>
      </c>
      <c r="H132" s="1186">
        <v>2</v>
      </c>
      <c r="I132" s="1186">
        <v>85</v>
      </c>
      <c r="J132" s="1186">
        <v>114</v>
      </c>
      <c r="K132" s="1186">
        <v>18</v>
      </c>
      <c r="L132" s="1186">
        <v>73</v>
      </c>
      <c r="M132" s="1186">
        <v>176010</v>
      </c>
    </row>
    <row r="133" spans="1:13" x14ac:dyDescent="0.2">
      <c r="A133" s="1186" t="s">
        <v>23</v>
      </c>
      <c r="B133" s="1186" t="s">
        <v>17</v>
      </c>
      <c r="C133" s="1186">
        <v>430</v>
      </c>
      <c r="D133" s="1186">
        <v>9</v>
      </c>
      <c r="E133" s="1186">
        <v>100</v>
      </c>
      <c r="F133" s="1186"/>
      <c r="G133" s="1186">
        <v>14</v>
      </c>
      <c r="H133" s="1186"/>
      <c r="I133" s="1186">
        <v>6</v>
      </c>
      <c r="J133" s="1186">
        <v>149</v>
      </c>
      <c r="K133" s="1186">
        <v>14</v>
      </c>
      <c r="L133" s="1186">
        <v>138</v>
      </c>
      <c r="M133" s="1186">
        <v>227070</v>
      </c>
    </row>
    <row r="134" spans="1:13" x14ac:dyDescent="0.2">
      <c r="A134" s="1186" t="s">
        <v>24</v>
      </c>
      <c r="B134" s="1186" t="s">
        <v>17</v>
      </c>
      <c r="C134" s="1186">
        <v>301</v>
      </c>
      <c r="D134" s="1186">
        <v>16</v>
      </c>
      <c r="E134" s="1186">
        <v>120</v>
      </c>
      <c r="F134" s="1186">
        <v>6</v>
      </c>
      <c r="G134" s="1186">
        <v>12</v>
      </c>
      <c r="H134" s="1186">
        <v>2</v>
      </c>
      <c r="I134" s="1186">
        <v>2</v>
      </c>
      <c r="J134" s="1186">
        <v>30</v>
      </c>
      <c r="K134" s="1186">
        <v>14</v>
      </c>
      <c r="L134" s="1186">
        <v>99</v>
      </c>
      <c r="M134" s="1186">
        <v>257770</v>
      </c>
    </row>
    <row r="135" spans="1:13" x14ac:dyDescent="0.2">
      <c r="A135" s="1186" t="s">
        <v>25</v>
      </c>
      <c r="B135" s="1186" t="s">
        <v>17</v>
      </c>
      <c r="C135" s="1186">
        <v>199</v>
      </c>
      <c r="D135" s="1186">
        <v>4</v>
      </c>
      <c r="E135" s="1186">
        <v>96</v>
      </c>
      <c r="F135" s="1186">
        <v>2</v>
      </c>
      <c r="G135" s="1186">
        <v>9</v>
      </c>
      <c r="H135" s="1186">
        <v>1</v>
      </c>
      <c r="I135" s="1186">
        <v>41</v>
      </c>
      <c r="J135" s="1186">
        <v>22</v>
      </c>
      <c r="K135" s="1186">
        <v>1</v>
      </c>
      <c r="L135" s="1186">
        <v>23</v>
      </c>
      <c r="M135" s="1186">
        <v>116290</v>
      </c>
    </row>
    <row r="136" spans="1:13" x14ac:dyDescent="0.2">
      <c r="A136" s="1186" t="s">
        <v>26</v>
      </c>
      <c r="B136" s="1186" t="s">
        <v>17</v>
      </c>
      <c r="C136" s="1186">
        <v>133</v>
      </c>
      <c r="D136" s="1186">
        <v>3</v>
      </c>
      <c r="E136" s="1186">
        <v>66</v>
      </c>
      <c r="F136" s="1186">
        <v>2</v>
      </c>
      <c r="G136" s="1186">
        <v>5</v>
      </c>
      <c r="H136" s="1186">
        <v>2</v>
      </c>
      <c r="I136" s="1186">
        <v>27</v>
      </c>
      <c r="J136" s="1186">
        <v>14</v>
      </c>
      <c r="K136" s="1186">
        <v>2</v>
      </c>
      <c r="L136" s="1186">
        <v>12</v>
      </c>
      <c r="M136" s="1186">
        <v>88050</v>
      </c>
    </row>
    <row r="137" spans="1:13" x14ac:dyDescent="0.2">
      <c r="A137" s="1186" t="s">
        <v>619</v>
      </c>
      <c r="B137" s="1186" t="s">
        <v>17</v>
      </c>
      <c r="C137" s="1186">
        <v>1460</v>
      </c>
      <c r="D137" s="1186">
        <v>16</v>
      </c>
      <c r="E137" s="1186">
        <v>355</v>
      </c>
      <c r="F137" s="1186">
        <v>1</v>
      </c>
      <c r="G137" s="1186">
        <v>31</v>
      </c>
      <c r="H137" s="1186">
        <v>4</v>
      </c>
      <c r="I137" s="1186">
        <v>250</v>
      </c>
      <c r="J137" s="1186">
        <v>497</v>
      </c>
      <c r="K137" s="1186">
        <v>117</v>
      </c>
      <c r="L137" s="1186">
        <v>189</v>
      </c>
      <c r="M137" s="1186">
        <v>487460</v>
      </c>
    </row>
    <row r="138" spans="1:13" x14ac:dyDescent="0.2">
      <c r="A138" s="1186" t="s">
        <v>27</v>
      </c>
      <c r="B138" s="1186" t="s">
        <v>17</v>
      </c>
      <c r="C138" s="1186">
        <v>110</v>
      </c>
      <c r="D138" s="1186">
        <v>3</v>
      </c>
      <c r="E138" s="1186">
        <v>60</v>
      </c>
      <c r="F138" s="1186">
        <v>1</v>
      </c>
      <c r="G138" s="1186">
        <v>1</v>
      </c>
      <c r="H138" s="1186">
        <v>1</v>
      </c>
      <c r="I138" s="1186">
        <v>15</v>
      </c>
      <c r="J138" s="1186">
        <v>13</v>
      </c>
      <c r="K138" s="1186">
        <v>4</v>
      </c>
      <c r="L138" s="1186">
        <v>12</v>
      </c>
      <c r="M138" s="1186">
        <v>51280</v>
      </c>
    </row>
    <row r="139" spans="1:13" x14ac:dyDescent="0.2">
      <c r="A139" s="1186" t="s">
        <v>28</v>
      </c>
      <c r="B139" s="1186" t="s">
        <v>17</v>
      </c>
      <c r="C139" s="1186">
        <v>172</v>
      </c>
      <c r="D139" s="1186">
        <v>2</v>
      </c>
      <c r="E139" s="1186">
        <v>62</v>
      </c>
      <c r="F139" s="1186"/>
      <c r="G139" s="1186">
        <v>14</v>
      </c>
      <c r="H139" s="1186">
        <v>2</v>
      </c>
      <c r="I139" s="1186">
        <v>3</v>
      </c>
      <c r="J139" s="1186">
        <v>26</v>
      </c>
      <c r="K139" s="1186">
        <v>5</v>
      </c>
      <c r="L139" s="1186">
        <v>58</v>
      </c>
      <c r="M139" s="1186">
        <v>150280</v>
      </c>
    </row>
    <row r="140" spans="1:13" x14ac:dyDescent="0.2">
      <c r="A140" s="1186" t="s">
        <v>29</v>
      </c>
      <c r="B140" s="1186" t="s">
        <v>17</v>
      </c>
      <c r="C140" s="1186">
        <v>647</v>
      </c>
      <c r="D140" s="1186">
        <v>21</v>
      </c>
      <c r="E140" s="1186">
        <v>205</v>
      </c>
      <c r="F140" s="1186"/>
      <c r="G140" s="1186">
        <v>14</v>
      </c>
      <c r="H140" s="1186">
        <v>3</v>
      </c>
      <c r="I140" s="1186">
        <v>65</v>
      </c>
      <c r="J140" s="1186">
        <v>182</v>
      </c>
      <c r="K140" s="1186">
        <v>31</v>
      </c>
      <c r="L140" s="1186">
        <v>126</v>
      </c>
      <c r="M140" s="1186">
        <v>148100</v>
      </c>
    </row>
    <row r="141" spans="1:13" x14ac:dyDescent="0.2">
      <c r="A141" s="1186" t="s">
        <v>30</v>
      </c>
      <c r="B141" s="1186" t="s">
        <v>17</v>
      </c>
      <c r="C141" s="1186">
        <v>693</v>
      </c>
      <c r="D141" s="1186">
        <v>14</v>
      </c>
      <c r="E141" s="1186">
        <v>306</v>
      </c>
      <c r="F141" s="1186">
        <v>3</v>
      </c>
      <c r="G141" s="1186">
        <v>5</v>
      </c>
      <c r="H141" s="1186">
        <v>3</v>
      </c>
      <c r="I141" s="1186">
        <v>49</v>
      </c>
      <c r="J141" s="1186">
        <v>131</v>
      </c>
      <c r="K141" s="1186">
        <v>23</v>
      </c>
      <c r="L141" s="1186">
        <v>159</v>
      </c>
      <c r="M141" s="1186">
        <v>122430</v>
      </c>
    </row>
    <row r="142" spans="1:13" x14ac:dyDescent="0.2">
      <c r="A142" s="1186" t="s">
        <v>31</v>
      </c>
      <c r="B142" s="1186" t="s">
        <v>17</v>
      </c>
      <c r="C142" s="1186">
        <v>221</v>
      </c>
      <c r="D142" s="1186">
        <v>5</v>
      </c>
      <c r="E142" s="1186">
        <v>74</v>
      </c>
      <c r="F142" s="1186">
        <v>1</v>
      </c>
      <c r="G142" s="1186">
        <v>10</v>
      </c>
      <c r="H142" s="1186">
        <v>4</v>
      </c>
      <c r="I142" s="1186">
        <v>23</v>
      </c>
      <c r="J142" s="1186">
        <v>42</v>
      </c>
      <c r="K142" s="1186">
        <v>10</v>
      </c>
      <c r="L142" s="1186">
        <v>52</v>
      </c>
      <c r="M142" s="1186">
        <v>105840</v>
      </c>
    </row>
    <row r="143" spans="1:13" x14ac:dyDescent="0.2">
      <c r="A143" s="1186" t="s">
        <v>32</v>
      </c>
      <c r="B143" s="1186" t="s">
        <v>17</v>
      </c>
      <c r="C143" s="1186">
        <v>237</v>
      </c>
      <c r="D143" s="1186">
        <v>2</v>
      </c>
      <c r="E143" s="1186">
        <v>121</v>
      </c>
      <c r="F143" s="1186">
        <v>2</v>
      </c>
      <c r="G143" s="1186">
        <v>4</v>
      </c>
      <c r="H143" s="1186">
        <v>1</v>
      </c>
      <c r="I143" s="1186">
        <v>41</v>
      </c>
      <c r="J143" s="1186">
        <v>30</v>
      </c>
      <c r="K143" s="1186">
        <v>8</v>
      </c>
      <c r="L143" s="1186">
        <v>28</v>
      </c>
      <c r="M143" s="1186">
        <v>101390</v>
      </c>
    </row>
    <row r="144" spans="1:13" x14ac:dyDescent="0.2">
      <c r="A144" s="1186" t="s">
        <v>33</v>
      </c>
      <c r="B144" s="1186" t="s">
        <v>17</v>
      </c>
      <c r="C144" s="1186">
        <v>154</v>
      </c>
      <c r="D144" s="1186">
        <v>9</v>
      </c>
      <c r="E144" s="1186">
        <v>63</v>
      </c>
      <c r="F144" s="1186"/>
      <c r="G144" s="1186">
        <v>5</v>
      </c>
      <c r="H144" s="1186">
        <v>3</v>
      </c>
      <c r="I144" s="1186">
        <v>23</v>
      </c>
      <c r="J144" s="1186">
        <v>15</v>
      </c>
      <c r="K144" s="1186">
        <v>7</v>
      </c>
      <c r="L144" s="1186">
        <v>29</v>
      </c>
      <c r="M144" s="1186">
        <v>91530</v>
      </c>
    </row>
    <row r="145" spans="1:13" x14ac:dyDescent="0.2">
      <c r="A145" s="1186" t="s">
        <v>34</v>
      </c>
      <c r="B145" s="1186" t="s">
        <v>17</v>
      </c>
      <c r="C145" s="1186">
        <v>499</v>
      </c>
      <c r="D145" s="1186">
        <v>2</v>
      </c>
      <c r="E145" s="1186">
        <v>191</v>
      </c>
      <c r="F145" s="1186">
        <v>2</v>
      </c>
      <c r="G145" s="1186">
        <v>24</v>
      </c>
      <c r="H145" s="1186">
        <v>1</v>
      </c>
      <c r="I145" s="1186">
        <v>101</v>
      </c>
      <c r="J145" s="1186">
        <v>103</v>
      </c>
      <c r="K145" s="1186">
        <v>20</v>
      </c>
      <c r="L145" s="1186">
        <v>55</v>
      </c>
      <c r="M145" s="1186">
        <v>157160</v>
      </c>
    </row>
    <row r="146" spans="1:13" x14ac:dyDescent="0.2">
      <c r="A146" s="1186" t="s">
        <v>35</v>
      </c>
      <c r="B146" s="1186" t="s">
        <v>17</v>
      </c>
      <c r="C146" s="1186">
        <v>801</v>
      </c>
      <c r="D146" s="1186">
        <v>19</v>
      </c>
      <c r="E146" s="1186">
        <v>305</v>
      </c>
      <c r="F146" s="1186">
        <v>11</v>
      </c>
      <c r="G146" s="1186">
        <v>26</v>
      </c>
      <c r="H146" s="1186">
        <v>2</v>
      </c>
      <c r="I146" s="1186">
        <v>8</v>
      </c>
      <c r="J146" s="1186">
        <v>120</v>
      </c>
      <c r="K146" s="1186">
        <v>22</v>
      </c>
      <c r="L146" s="1186">
        <v>288</v>
      </c>
      <c r="M146" s="1186">
        <v>366900</v>
      </c>
    </row>
    <row r="147" spans="1:13" x14ac:dyDescent="0.2">
      <c r="A147" s="1186" t="s">
        <v>36</v>
      </c>
      <c r="B147" s="1186" t="s">
        <v>17</v>
      </c>
      <c r="C147" s="1186">
        <v>2842</v>
      </c>
      <c r="D147" s="1186">
        <v>88</v>
      </c>
      <c r="E147" s="1186">
        <v>753</v>
      </c>
      <c r="F147" s="1186">
        <v>4</v>
      </c>
      <c r="G147" s="1186">
        <v>59</v>
      </c>
      <c r="H147" s="1186">
        <v>7</v>
      </c>
      <c r="I147" s="1186">
        <v>290</v>
      </c>
      <c r="J147" s="1186">
        <v>780</v>
      </c>
      <c r="K147" s="1186">
        <v>143</v>
      </c>
      <c r="L147" s="1186">
        <v>718</v>
      </c>
      <c r="M147" s="1186">
        <v>596520</v>
      </c>
    </row>
    <row r="148" spans="1:13" x14ac:dyDescent="0.2">
      <c r="A148" s="1186" t="s">
        <v>37</v>
      </c>
      <c r="B148" s="1186" t="s">
        <v>17</v>
      </c>
      <c r="C148" s="1186">
        <v>556</v>
      </c>
      <c r="D148" s="1186">
        <v>12</v>
      </c>
      <c r="E148" s="1186">
        <v>391</v>
      </c>
      <c r="F148" s="1186">
        <v>1</v>
      </c>
      <c r="G148" s="1186">
        <v>17</v>
      </c>
      <c r="H148" s="1186">
        <v>4</v>
      </c>
      <c r="I148" s="1186">
        <v>44</v>
      </c>
      <c r="J148" s="1186">
        <v>41</v>
      </c>
      <c r="K148" s="1186">
        <v>10</v>
      </c>
      <c r="L148" s="1186">
        <v>36</v>
      </c>
      <c r="M148" s="1186">
        <v>232930</v>
      </c>
    </row>
    <row r="149" spans="1:13" x14ac:dyDescent="0.2">
      <c r="A149" s="1186" t="s">
        <v>38</v>
      </c>
      <c r="B149" s="1186" t="s">
        <v>17</v>
      </c>
      <c r="C149" s="1186">
        <v>447</v>
      </c>
      <c r="D149" s="1186">
        <v>18</v>
      </c>
      <c r="E149" s="1186">
        <v>210</v>
      </c>
      <c r="F149" s="1186">
        <v>2</v>
      </c>
      <c r="G149" s="1186">
        <v>9</v>
      </c>
      <c r="H149" s="1186"/>
      <c r="I149" s="1186">
        <v>44</v>
      </c>
      <c r="J149" s="1186">
        <v>65</v>
      </c>
      <c r="K149" s="1186">
        <v>8</v>
      </c>
      <c r="L149" s="1186">
        <v>91</v>
      </c>
      <c r="M149" s="1186">
        <v>80340</v>
      </c>
    </row>
    <row r="150" spans="1:13" x14ac:dyDescent="0.2">
      <c r="A150" s="1186" t="s">
        <v>39</v>
      </c>
      <c r="B150" s="1186" t="s">
        <v>17</v>
      </c>
      <c r="C150" s="1186">
        <v>336</v>
      </c>
      <c r="D150" s="1186">
        <v>11</v>
      </c>
      <c r="E150" s="1186">
        <v>145</v>
      </c>
      <c r="F150" s="1186">
        <v>7</v>
      </c>
      <c r="G150" s="1186">
        <v>9</v>
      </c>
      <c r="H150" s="1186">
        <v>2</v>
      </c>
      <c r="I150" s="1186">
        <v>71</v>
      </c>
      <c r="J150" s="1186">
        <v>37</v>
      </c>
      <c r="K150" s="1186">
        <v>11</v>
      </c>
      <c r="L150" s="1186">
        <v>43</v>
      </c>
      <c r="M150" s="1186">
        <v>84710</v>
      </c>
    </row>
    <row r="151" spans="1:13" x14ac:dyDescent="0.2">
      <c r="A151" s="1186" t="s">
        <v>40</v>
      </c>
      <c r="B151" s="1186" t="s">
        <v>17</v>
      </c>
      <c r="C151" s="1186">
        <v>128</v>
      </c>
      <c r="D151" s="1186">
        <v>3</v>
      </c>
      <c r="E151" s="1186">
        <v>84</v>
      </c>
      <c r="F151" s="1186">
        <v>2</v>
      </c>
      <c r="G151" s="1186">
        <v>4</v>
      </c>
      <c r="H151" s="1186">
        <v>4</v>
      </c>
      <c r="I151" s="1186">
        <v>1</v>
      </c>
      <c r="J151" s="1186">
        <v>11</v>
      </c>
      <c r="K151" s="1186">
        <v>2</v>
      </c>
      <c r="L151" s="1186">
        <v>17</v>
      </c>
      <c r="M151" s="1186">
        <v>94360</v>
      </c>
    </row>
    <row r="152" spans="1:13" x14ac:dyDescent="0.2">
      <c r="A152" s="1186" t="s">
        <v>295</v>
      </c>
      <c r="B152" s="1186" t="s">
        <v>17</v>
      </c>
      <c r="C152" s="1186">
        <v>87</v>
      </c>
      <c r="D152" s="1186">
        <v>1</v>
      </c>
      <c r="E152" s="1186">
        <v>75</v>
      </c>
      <c r="F152" s="1186"/>
      <c r="G152" s="1186">
        <v>2</v>
      </c>
      <c r="H152" s="1186">
        <v>1</v>
      </c>
      <c r="I152" s="1186">
        <v>1</v>
      </c>
      <c r="J152" s="1186">
        <v>4</v>
      </c>
      <c r="K152" s="1186"/>
      <c r="L152" s="1186">
        <v>3</v>
      </c>
      <c r="M152" s="1186">
        <v>27400</v>
      </c>
    </row>
    <row r="153" spans="1:13" x14ac:dyDescent="0.2">
      <c r="A153" s="1186" t="s">
        <v>41</v>
      </c>
      <c r="B153" s="1186" t="s">
        <v>17</v>
      </c>
      <c r="C153" s="1186">
        <v>553</v>
      </c>
      <c r="D153" s="1186">
        <v>5</v>
      </c>
      <c r="E153" s="1186">
        <v>215</v>
      </c>
      <c r="F153" s="1186">
        <v>2</v>
      </c>
      <c r="G153" s="1186">
        <v>7</v>
      </c>
      <c r="H153" s="1186">
        <v>6</v>
      </c>
      <c r="I153" s="1186">
        <v>114</v>
      </c>
      <c r="J153" s="1186">
        <v>103</v>
      </c>
      <c r="K153" s="1186">
        <v>11</v>
      </c>
      <c r="L153" s="1186">
        <v>90</v>
      </c>
      <c r="M153" s="1186">
        <v>136940</v>
      </c>
    </row>
    <row r="154" spans="1:13" x14ac:dyDescent="0.2">
      <c r="A154" s="1186" t="s">
        <v>42</v>
      </c>
      <c r="B154" s="1186" t="s">
        <v>17</v>
      </c>
      <c r="C154" s="1186">
        <v>1844</v>
      </c>
      <c r="D154" s="1186">
        <v>14</v>
      </c>
      <c r="E154" s="1186">
        <v>739</v>
      </c>
      <c r="F154" s="1186">
        <v>5</v>
      </c>
      <c r="G154" s="1186">
        <v>29</v>
      </c>
      <c r="H154" s="1186">
        <v>5</v>
      </c>
      <c r="I154" s="1186">
        <v>212</v>
      </c>
      <c r="J154" s="1186">
        <v>343</v>
      </c>
      <c r="K154" s="1186">
        <v>56</v>
      </c>
      <c r="L154" s="1186">
        <v>441</v>
      </c>
      <c r="M154" s="1186">
        <v>337780</v>
      </c>
    </row>
    <row r="155" spans="1:13" x14ac:dyDescent="0.2">
      <c r="A155" s="1186" t="s">
        <v>43</v>
      </c>
      <c r="B155" s="1186" t="s">
        <v>17</v>
      </c>
      <c r="C155" s="1186">
        <v>13</v>
      </c>
      <c r="D155" s="1186"/>
      <c r="E155" s="1186">
        <v>10</v>
      </c>
      <c r="F155" s="1186"/>
      <c r="G155" s="1186">
        <v>1</v>
      </c>
      <c r="H155" s="1186"/>
      <c r="I155" s="1186"/>
      <c r="J155" s="1186">
        <v>1</v>
      </c>
      <c r="K155" s="1186"/>
      <c r="L155" s="1186">
        <v>1</v>
      </c>
      <c r="M155" s="1186">
        <v>21560</v>
      </c>
    </row>
    <row r="156" spans="1:13" x14ac:dyDescent="0.2">
      <c r="A156" s="1186" t="s">
        <v>44</v>
      </c>
      <c r="B156" s="1186" t="s">
        <v>17</v>
      </c>
      <c r="C156" s="1186">
        <v>128</v>
      </c>
      <c r="D156" s="1186">
        <v>1</v>
      </c>
      <c r="E156" s="1186">
        <v>54</v>
      </c>
      <c r="F156" s="1186">
        <v>1</v>
      </c>
      <c r="G156" s="1186">
        <v>2</v>
      </c>
      <c r="H156" s="1186">
        <v>3</v>
      </c>
      <c r="I156" s="1186">
        <v>21</v>
      </c>
      <c r="J156" s="1186">
        <v>21</v>
      </c>
      <c r="K156" s="1186">
        <v>5</v>
      </c>
      <c r="L156" s="1186">
        <v>20</v>
      </c>
      <c r="M156" s="1186">
        <v>147770</v>
      </c>
    </row>
    <row r="157" spans="1:13" x14ac:dyDescent="0.2">
      <c r="A157" s="1186" t="s">
        <v>45</v>
      </c>
      <c r="B157" s="1186" t="s">
        <v>17</v>
      </c>
      <c r="C157" s="1186">
        <v>523</v>
      </c>
      <c r="D157" s="1186">
        <v>19</v>
      </c>
      <c r="E157" s="1186">
        <v>183</v>
      </c>
      <c r="F157" s="1186">
        <v>2</v>
      </c>
      <c r="G157" s="1186">
        <v>6</v>
      </c>
      <c r="H157" s="1186">
        <v>3</v>
      </c>
      <c r="I157" s="1186">
        <v>49</v>
      </c>
      <c r="J157" s="1186">
        <v>112</v>
      </c>
      <c r="K157" s="1186">
        <v>22</v>
      </c>
      <c r="L157" s="1186">
        <v>127</v>
      </c>
      <c r="M157" s="1186">
        <v>173890</v>
      </c>
    </row>
    <row r="158" spans="1:13" x14ac:dyDescent="0.2">
      <c r="A158" s="1186" t="s">
        <v>46</v>
      </c>
      <c r="B158" s="1186" t="s">
        <v>17</v>
      </c>
      <c r="C158" s="1186">
        <v>107</v>
      </c>
      <c r="D158" s="1186">
        <v>2</v>
      </c>
      <c r="E158" s="1186">
        <v>56</v>
      </c>
      <c r="F158" s="1186">
        <v>1</v>
      </c>
      <c r="G158" s="1186">
        <v>8</v>
      </c>
      <c r="H158" s="1186">
        <v>1</v>
      </c>
      <c r="I158" s="1186">
        <v>14</v>
      </c>
      <c r="J158" s="1186">
        <v>14</v>
      </c>
      <c r="K158" s="1186">
        <v>5</v>
      </c>
      <c r="L158" s="1186">
        <v>6</v>
      </c>
      <c r="M158" s="1186">
        <v>113880</v>
      </c>
    </row>
    <row r="159" spans="1:13" x14ac:dyDescent="0.2">
      <c r="A159" s="1186" t="s">
        <v>47</v>
      </c>
      <c r="B159" s="1186" t="s">
        <v>17</v>
      </c>
      <c r="C159" s="1186">
        <v>9</v>
      </c>
      <c r="D159" s="1186"/>
      <c r="E159" s="1186">
        <v>2</v>
      </c>
      <c r="F159" s="1186"/>
      <c r="G159" s="1186">
        <v>1</v>
      </c>
      <c r="H159" s="1186"/>
      <c r="I159" s="1186">
        <v>1</v>
      </c>
      <c r="J159" s="1186">
        <v>1</v>
      </c>
      <c r="K159" s="1186">
        <v>2</v>
      </c>
      <c r="L159" s="1186">
        <v>2</v>
      </c>
      <c r="M159" s="1186">
        <v>23200</v>
      </c>
    </row>
    <row r="160" spans="1:13" x14ac:dyDescent="0.2">
      <c r="A160" s="1186" t="s">
        <v>48</v>
      </c>
      <c r="B160" s="1186" t="s">
        <v>17</v>
      </c>
      <c r="C160" s="1186">
        <v>294</v>
      </c>
      <c r="D160" s="1186">
        <v>13</v>
      </c>
      <c r="E160" s="1186">
        <v>93</v>
      </c>
      <c r="F160" s="1186">
        <v>2</v>
      </c>
      <c r="G160" s="1186">
        <v>4</v>
      </c>
      <c r="H160" s="1186">
        <v>4</v>
      </c>
      <c r="I160" s="1186">
        <v>36</v>
      </c>
      <c r="J160" s="1186">
        <v>69</v>
      </c>
      <c r="K160" s="1186">
        <v>14</v>
      </c>
      <c r="L160" s="1186">
        <v>59</v>
      </c>
      <c r="M160" s="1186">
        <v>112870</v>
      </c>
    </row>
    <row r="161" spans="1:13" x14ac:dyDescent="0.2">
      <c r="A161" s="1186" t="s">
        <v>49</v>
      </c>
      <c r="B161" s="1186" t="s">
        <v>17</v>
      </c>
      <c r="C161" s="1186">
        <v>1209</v>
      </c>
      <c r="D161" s="1186">
        <v>39</v>
      </c>
      <c r="E161" s="1186">
        <v>408</v>
      </c>
      <c r="F161" s="1186">
        <v>4</v>
      </c>
      <c r="G161" s="1186">
        <v>22</v>
      </c>
      <c r="H161" s="1186">
        <v>7</v>
      </c>
      <c r="I161" s="1186">
        <v>110</v>
      </c>
      <c r="J161" s="1186">
        <v>227</v>
      </c>
      <c r="K161" s="1186">
        <v>56</v>
      </c>
      <c r="L161" s="1186">
        <v>336</v>
      </c>
      <c r="M161" s="1186">
        <v>314810</v>
      </c>
    </row>
    <row r="162" spans="1:13" x14ac:dyDescent="0.2">
      <c r="A162" s="1186" t="s">
        <v>50</v>
      </c>
      <c r="B162" s="1186" t="s">
        <v>17</v>
      </c>
      <c r="C162" s="1186">
        <v>130</v>
      </c>
      <c r="D162" s="1186">
        <v>2</v>
      </c>
      <c r="E162" s="1186">
        <v>54</v>
      </c>
      <c r="F162" s="1186">
        <v>1</v>
      </c>
      <c r="G162" s="1186">
        <v>6</v>
      </c>
      <c r="H162" s="1186"/>
      <c r="I162" s="1186">
        <v>20</v>
      </c>
      <c r="J162" s="1186">
        <v>20</v>
      </c>
      <c r="K162" s="1186">
        <v>4</v>
      </c>
      <c r="L162" s="1186">
        <v>23</v>
      </c>
      <c r="M162" s="1186">
        <v>91230</v>
      </c>
    </row>
    <row r="163" spans="1:13" x14ac:dyDescent="0.2">
      <c r="A163" s="1186" t="s">
        <v>51</v>
      </c>
      <c r="B163" s="1186" t="s">
        <v>17</v>
      </c>
      <c r="C163" s="1186">
        <v>496</v>
      </c>
      <c r="D163" s="1186">
        <v>19</v>
      </c>
      <c r="E163" s="1186">
        <v>215</v>
      </c>
      <c r="F163" s="1186">
        <v>1</v>
      </c>
      <c r="G163" s="1186">
        <v>1</v>
      </c>
      <c r="H163" s="1186">
        <v>3</v>
      </c>
      <c r="I163" s="1186">
        <v>51</v>
      </c>
      <c r="J163" s="1186">
        <v>101</v>
      </c>
      <c r="K163" s="1186">
        <v>5</v>
      </c>
      <c r="L163" s="1186">
        <v>100</v>
      </c>
      <c r="M163" s="1186">
        <v>89800</v>
      </c>
    </row>
    <row r="164" spans="1:13" x14ac:dyDescent="0.2">
      <c r="A164" s="1186" t="s">
        <v>52</v>
      </c>
      <c r="B164" s="1186" t="s">
        <v>17</v>
      </c>
      <c r="C164" s="1186">
        <v>602</v>
      </c>
      <c r="D164" s="1186">
        <v>7</v>
      </c>
      <c r="E164" s="1186">
        <v>276</v>
      </c>
      <c r="F164" s="1186">
        <v>2</v>
      </c>
      <c r="G164" s="1186">
        <v>14</v>
      </c>
      <c r="H164" s="1186">
        <v>2</v>
      </c>
      <c r="I164" s="1186">
        <v>83</v>
      </c>
      <c r="J164" s="1186">
        <v>138</v>
      </c>
      <c r="K164" s="1186">
        <v>16</v>
      </c>
      <c r="L164" s="1186">
        <v>64</v>
      </c>
      <c r="M164" s="1186">
        <v>176160</v>
      </c>
    </row>
    <row r="165" spans="1:13" x14ac:dyDescent="0.2">
      <c r="A165" s="1186" t="s">
        <v>23</v>
      </c>
      <c r="B165" s="1186" t="s">
        <v>133</v>
      </c>
      <c r="C165" s="1186">
        <v>402</v>
      </c>
      <c r="D165" s="1186">
        <v>18</v>
      </c>
      <c r="E165" s="1186">
        <v>67</v>
      </c>
      <c r="F165" s="1186"/>
      <c r="G165" s="1186">
        <v>13</v>
      </c>
      <c r="H165" s="1186">
        <v>2</v>
      </c>
      <c r="I165" s="1186">
        <v>1</v>
      </c>
      <c r="J165" s="1186">
        <v>182</v>
      </c>
      <c r="K165" s="1186">
        <v>18</v>
      </c>
      <c r="L165" s="1186">
        <v>101</v>
      </c>
      <c r="M165" s="1186">
        <v>228920</v>
      </c>
    </row>
    <row r="166" spans="1:13" x14ac:dyDescent="0.2">
      <c r="A166" s="1186" t="s">
        <v>24</v>
      </c>
      <c r="B166" s="1186" t="s">
        <v>133</v>
      </c>
      <c r="C166" s="1186">
        <v>221</v>
      </c>
      <c r="D166" s="1186">
        <v>10</v>
      </c>
      <c r="E166" s="1186">
        <v>68</v>
      </c>
      <c r="F166" s="1186">
        <v>8</v>
      </c>
      <c r="G166" s="1186">
        <v>9</v>
      </c>
      <c r="H166" s="1186">
        <v>4</v>
      </c>
      <c r="I166" s="1186">
        <v>1</v>
      </c>
      <c r="J166" s="1186">
        <v>29</v>
      </c>
      <c r="K166" s="1186">
        <v>9</v>
      </c>
      <c r="L166" s="1186">
        <v>83</v>
      </c>
      <c r="M166" s="1186">
        <v>260530</v>
      </c>
    </row>
    <row r="167" spans="1:13" x14ac:dyDescent="0.2">
      <c r="A167" s="1186" t="s">
        <v>25</v>
      </c>
      <c r="B167" s="1186" t="s">
        <v>133</v>
      </c>
      <c r="C167" s="1186">
        <v>161</v>
      </c>
      <c r="D167" s="1186">
        <v>6</v>
      </c>
      <c r="E167" s="1186">
        <v>57</v>
      </c>
      <c r="F167" s="1186">
        <v>9</v>
      </c>
      <c r="G167" s="1186">
        <v>4</v>
      </c>
      <c r="H167" s="1186">
        <v>3</v>
      </c>
      <c r="I167" s="1186">
        <v>27</v>
      </c>
      <c r="J167" s="1186">
        <v>30</v>
      </c>
      <c r="K167" s="1186">
        <v>6</v>
      </c>
      <c r="L167" s="1186">
        <v>19</v>
      </c>
      <c r="M167" s="1186">
        <v>116740</v>
      </c>
    </row>
    <row r="168" spans="1:13" x14ac:dyDescent="0.2">
      <c r="A168" s="1186" t="s">
        <v>26</v>
      </c>
      <c r="B168" s="1186" t="s">
        <v>133</v>
      </c>
      <c r="C168" s="1186">
        <v>88</v>
      </c>
      <c r="D168" s="1186">
        <v>1</v>
      </c>
      <c r="E168" s="1186">
        <v>24</v>
      </c>
      <c r="F168" s="1186">
        <v>1</v>
      </c>
      <c r="G168" s="1186">
        <v>8</v>
      </c>
      <c r="H168" s="1186">
        <v>4</v>
      </c>
      <c r="I168" s="1186">
        <v>18</v>
      </c>
      <c r="J168" s="1186">
        <v>11</v>
      </c>
      <c r="K168" s="1186">
        <v>4</v>
      </c>
      <c r="L168" s="1186">
        <v>17</v>
      </c>
      <c r="M168" s="1186">
        <v>87650</v>
      </c>
    </row>
    <row r="169" spans="1:13" x14ac:dyDescent="0.2">
      <c r="A169" s="1186" t="s">
        <v>619</v>
      </c>
      <c r="B169" s="1186" t="s">
        <v>133</v>
      </c>
      <c r="C169" s="1186">
        <v>1354</v>
      </c>
      <c r="D169" s="1186">
        <v>9</v>
      </c>
      <c r="E169" s="1186">
        <v>260</v>
      </c>
      <c r="F169" s="1186">
        <v>3</v>
      </c>
      <c r="G169" s="1186">
        <v>35</v>
      </c>
      <c r="H169" s="1186">
        <v>1</v>
      </c>
      <c r="I169" s="1186">
        <v>225</v>
      </c>
      <c r="J169" s="1186">
        <v>513</v>
      </c>
      <c r="K169" s="1186">
        <v>88</v>
      </c>
      <c r="L169" s="1186">
        <v>220</v>
      </c>
      <c r="M169" s="1186">
        <v>492610</v>
      </c>
    </row>
    <row r="170" spans="1:13" x14ac:dyDescent="0.2">
      <c r="A170" s="1186" t="s">
        <v>27</v>
      </c>
      <c r="B170" s="1186" t="s">
        <v>133</v>
      </c>
      <c r="C170" s="1186">
        <v>85</v>
      </c>
      <c r="D170" s="1186"/>
      <c r="E170" s="1186">
        <v>41</v>
      </c>
      <c r="F170" s="1186">
        <v>3</v>
      </c>
      <c r="G170" s="1186">
        <v>1</v>
      </c>
      <c r="H170" s="1186"/>
      <c r="I170" s="1186">
        <v>5</v>
      </c>
      <c r="J170" s="1186">
        <v>18</v>
      </c>
      <c r="K170" s="1186">
        <v>2</v>
      </c>
      <c r="L170" s="1186">
        <v>15</v>
      </c>
      <c r="M170" s="1186">
        <v>51190</v>
      </c>
    </row>
    <row r="171" spans="1:13" x14ac:dyDescent="0.2">
      <c r="A171" s="1186" t="s">
        <v>28</v>
      </c>
      <c r="B171" s="1186" t="s">
        <v>133</v>
      </c>
      <c r="C171" s="1186">
        <v>143</v>
      </c>
      <c r="D171" s="1186">
        <v>1</v>
      </c>
      <c r="E171" s="1186">
        <v>42</v>
      </c>
      <c r="F171" s="1186"/>
      <c r="G171" s="1186">
        <v>12</v>
      </c>
      <c r="H171" s="1186">
        <v>1</v>
      </c>
      <c r="I171" s="1186">
        <v>10</v>
      </c>
      <c r="J171" s="1186">
        <v>23</v>
      </c>
      <c r="K171" s="1186">
        <v>3</v>
      </c>
      <c r="L171" s="1186">
        <v>51</v>
      </c>
      <c r="M171" s="1186">
        <v>149960</v>
      </c>
    </row>
    <row r="172" spans="1:13" x14ac:dyDescent="0.2">
      <c r="A172" s="1186" t="s">
        <v>29</v>
      </c>
      <c r="B172" s="1186" t="s">
        <v>133</v>
      </c>
      <c r="C172" s="1186">
        <v>598</v>
      </c>
      <c r="D172" s="1186">
        <v>12</v>
      </c>
      <c r="E172" s="1186">
        <v>176</v>
      </c>
      <c r="F172" s="1186">
        <v>1</v>
      </c>
      <c r="G172" s="1186">
        <v>9</v>
      </c>
      <c r="H172" s="1186">
        <v>3</v>
      </c>
      <c r="I172" s="1186">
        <v>67</v>
      </c>
      <c r="J172" s="1186">
        <v>182</v>
      </c>
      <c r="K172" s="1186">
        <v>32</v>
      </c>
      <c r="L172" s="1186">
        <v>116</v>
      </c>
      <c r="M172" s="1186">
        <v>148130</v>
      </c>
    </row>
    <row r="173" spans="1:13" x14ac:dyDescent="0.2">
      <c r="A173" s="1186" t="s">
        <v>30</v>
      </c>
      <c r="B173" s="1186" t="s">
        <v>133</v>
      </c>
      <c r="C173" s="1186">
        <v>444</v>
      </c>
      <c r="D173" s="1186">
        <v>16</v>
      </c>
      <c r="E173" s="1186">
        <v>116</v>
      </c>
      <c r="F173" s="1186">
        <v>1</v>
      </c>
      <c r="G173" s="1186">
        <v>5</v>
      </c>
      <c r="H173" s="1186">
        <v>2</v>
      </c>
      <c r="I173" s="1186">
        <v>54</v>
      </c>
      <c r="J173" s="1186">
        <v>88</v>
      </c>
      <c r="K173" s="1186">
        <v>17</v>
      </c>
      <c r="L173" s="1186">
        <v>145</v>
      </c>
      <c r="M173" s="1186">
        <v>122130</v>
      </c>
    </row>
    <row r="174" spans="1:13" x14ac:dyDescent="0.2">
      <c r="A174" s="1186" t="s">
        <v>31</v>
      </c>
      <c r="B174" s="1186" t="s">
        <v>133</v>
      </c>
      <c r="C174" s="1186">
        <v>178</v>
      </c>
      <c r="D174" s="1186">
        <v>5</v>
      </c>
      <c r="E174" s="1186">
        <v>48</v>
      </c>
      <c r="F174" s="1186"/>
      <c r="G174" s="1186">
        <v>6</v>
      </c>
      <c r="H174" s="1186"/>
      <c r="I174" s="1186">
        <v>25</v>
      </c>
      <c r="J174" s="1186">
        <v>35</v>
      </c>
      <c r="K174" s="1186">
        <v>6</v>
      </c>
      <c r="L174" s="1186">
        <v>53</v>
      </c>
      <c r="M174" s="1186">
        <v>106710</v>
      </c>
    </row>
    <row r="175" spans="1:13" x14ac:dyDescent="0.2">
      <c r="A175" s="1186" t="s">
        <v>32</v>
      </c>
      <c r="B175" s="1186" t="s">
        <v>133</v>
      </c>
      <c r="C175" s="1186">
        <v>144</v>
      </c>
      <c r="D175" s="1186">
        <v>10</v>
      </c>
      <c r="E175" s="1186">
        <v>45</v>
      </c>
      <c r="F175" s="1186">
        <v>11</v>
      </c>
      <c r="G175" s="1186">
        <v>3</v>
      </c>
      <c r="H175" s="1186"/>
      <c r="I175" s="1186">
        <v>24</v>
      </c>
      <c r="J175" s="1186">
        <v>25</v>
      </c>
      <c r="K175" s="1186">
        <v>11</v>
      </c>
      <c r="L175" s="1186">
        <v>15</v>
      </c>
      <c r="M175" s="1186">
        <v>102090</v>
      </c>
    </row>
    <row r="176" spans="1:13" x14ac:dyDescent="0.2">
      <c r="A176" s="1186" t="s">
        <v>33</v>
      </c>
      <c r="B176" s="1186" t="s">
        <v>133</v>
      </c>
      <c r="C176" s="1186">
        <v>132</v>
      </c>
      <c r="D176" s="1186">
        <v>7</v>
      </c>
      <c r="E176" s="1186">
        <v>32</v>
      </c>
      <c r="F176" s="1186"/>
      <c r="G176" s="1186">
        <v>6</v>
      </c>
      <c r="H176" s="1186"/>
      <c r="I176" s="1186">
        <v>24</v>
      </c>
      <c r="J176" s="1186">
        <v>18</v>
      </c>
      <c r="K176" s="1186">
        <v>12</v>
      </c>
      <c r="L176" s="1186">
        <v>33</v>
      </c>
      <c r="M176" s="1186">
        <v>92410</v>
      </c>
    </row>
    <row r="177" spans="1:13" x14ac:dyDescent="0.2">
      <c r="A177" s="1186" t="s">
        <v>34</v>
      </c>
      <c r="B177" s="1186" t="s">
        <v>133</v>
      </c>
      <c r="C177" s="1186">
        <v>383</v>
      </c>
      <c r="D177" s="1186">
        <v>6</v>
      </c>
      <c r="E177" s="1186">
        <v>135</v>
      </c>
      <c r="F177" s="1186"/>
      <c r="G177" s="1186">
        <v>8</v>
      </c>
      <c r="H177" s="1186">
        <v>2</v>
      </c>
      <c r="I177" s="1186">
        <v>64</v>
      </c>
      <c r="J177" s="1186">
        <v>102</v>
      </c>
      <c r="K177" s="1186">
        <v>6</v>
      </c>
      <c r="L177" s="1186">
        <v>60</v>
      </c>
      <c r="M177" s="1186">
        <v>157690</v>
      </c>
    </row>
    <row r="178" spans="1:13" x14ac:dyDescent="0.2">
      <c r="A178" s="1186" t="s">
        <v>35</v>
      </c>
      <c r="B178" s="1186" t="s">
        <v>133</v>
      </c>
      <c r="C178" s="1186">
        <v>681</v>
      </c>
      <c r="D178" s="1186">
        <v>18</v>
      </c>
      <c r="E178" s="1186">
        <v>201</v>
      </c>
      <c r="F178" s="1186">
        <v>8</v>
      </c>
      <c r="G178" s="1186">
        <v>30</v>
      </c>
      <c r="H178" s="1186">
        <v>1</v>
      </c>
      <c r="I178" s="1186">
        <v>23</v>
      </c>
      <c r="J178" s="1186">
        <v>123</v>
      </c>
      <c r="K178" s="1186">
        <v>21</v>
      </c>
      <c r="L178" s="1186">
        <v>256</v>
      </c>
      <c r="M178" s="1186">
        <v>367250</v>
      </c>
    </row>
    <row r="179" spans="1:13" x14ac:dyDescent="0.2">
      <c r="A179" s="1186" t="s">
        <v>36</v>
      </c>
      <c r="B179" s="1186" t="s">
        <v>133</v>
      </c>
      <c r="C179" s="1186">
        <v>2626</v>
      </c>
      <c r="D179" s="1186">
        <v>82</v>
      </c>
      <c r="E179" s="1186">
        <v>557</v>
      </c>
      <c r="F179" s="1186">
        <v>5</v>
      </c>
      <c r="G179" s="1186">
        <v>41</v>
      </c>
      <c r="H179" s="1186">
        <v>10</v>
      </c>
      <c r="I179" s="1186">
        <v>302</v>
      </c>
      <c r="J179" s="1186">
        <v>876</v>
      </c>
      <c r="K179" s="1186">
        <v>115</v>
      </c>
      <c r="L179" s="1186">
        <v>638</v>
      </c>
      <c r="M179" s="1186">
        <v>599640</v>
      </c>
    </row>
    <row r="180" spans="1:13" x14ac:dyDescent="0.2">
      <c r="A180" s="1186" t="s">
        <v>37</v>
      </c>
      <c r="B180" s="1186" t="s">
        <v>133</v>
      </c>
      <c r="C180" s="1186">
        <v>337</v>
      </c>
      <c r="D180" s="1186">
        <v>9</v>
      </c>
      <c r="E180" s="1186">
        <v>202</v>
      </c>
      <c r="F180" s="1186">
        <v>2</v>
      </c>
      <c r="G180" s="1186">
        <v>11</v>
      </c>
      <c r="H180" s="1186"/>
      <c r="I180" s="1186">
        <v>30</v>
      </c>
      <c r="J180" s="1186">
        <v>46</v>
      </c>
      <c r="K180" s="1186">
        <v>7</v>
      </c>
      <c r="L180" s="1186">
        <v>30</v>
      </c>
      <c r="M180" s="1186">
        <v>233080</v>
      </c>
    </row>
    <row r="181" spans="1:13" x14ac:dyDescent="0.2">
      <c r="A181" s="1186" t="s">
        <v>38</v>
      </c>
      <c r="B181" s="1186" t="s">
        <v>133</v>
      </c>
      <c r="C181" s="1186">
        <v>391</v>
      </c>
      <c r="D181" s="1186">
        <v>19</v>
      </c>
      <c r="E181" s="1186">
        <v>144</v>
      </c>
      <c r="F181" s="1186"/>
      <c r="G181" s="1186">
        <v>11</v>
      </c>
      <c r="H181" s="1186"/>
      <c r="I181" s="1186">
        <v>52</v>
      </c>
      <c r="J181" s="1186">
        <v>60</v>
      </c>
      <c r="K181" s="1186">
        <v>9</v>
      </c>
      <c r="L181" s="1186">
        <v>96</v>
      </c>
      <c r="M181" s="1186">
        <v>79890</v>
      </c>
    </row>
    <row r="182" spans="1:13" x14ac:dyDescent="0.2">
      <c r="A182" s="1186" t="s">
        <v>39</v>
      </c>
      <c r="B182" s="1186" t="s">
        <v>133</v>
      </c>
      <c r="C182" s="1186">
        <v>257</v>
      </c>
      <c r="D182" s="1186">
        <v>1</v>
      </c>
      <c r="E182" s="1186">
        <v>82</v>
      </c>
      <c r="F182" s="1186">
        <v>2</v>
      </c>
      <c r="G182" s="1186">
        <v>6</v>
      </c>
      <c r="H182" s="1186"/>
      <c r="I182" s="1186">
        <v>79</v>
      </c>
      <c r="J182" s="1186">
        <v>40</v>
      </c>
      <c r="K182" s="1186">
        <v>9</v>
      </c>
      <c r="L182" s="1186">
        <v>38</v>
      </c>
      <c r="M182" s="1186">
        <v>86220</v>
      </c>
    </row>
    <row r="183" spans="1:13" x14ac:dyDescent="0.2">
      <c r="A183" s="1186" t="s">
        <v>40</v>
      </c>
      <c r="B183" s="1186" t="s">
        <v>133</v>
      </c>
      <c r="C183" s="1186">
        <v>104</v>
      </c>
      <c r="D183" s="1186">
        <v>4</v>
      </c>
      <c r="E183" s="1186">
        <v>45</v>
      </c>
      <c r="F183" s="1186">
        <v>2</v>
      </c>
      <c r="G183" s="1186">
        <v>2</v>
      </c>
      <c r="H183" s="1186">
        <v>1</v>
      </c>
      <c r="I183" s="1186">
        <v>1</v>
      </c>
      <c r="J183" s="1186">
        <v>16</v>
      </c>
      <c r="K183" s="1186">
        <v>1</v>
      </c>
      <c r="L183" s="1186">
        <v>32</v>
      </c>
      <c r="M183" s="1186">
        <v>94770</v>
      </c>
    </row>
    <row r="184" spans="1:13" x14ac:dyDescent="0.2">
      <c r="A184" s="1186" t="s">
        <v>295</v>
      </c>
      <c r="B184" s="1186" t="s">
        <v>133</v>
      </c>
      <c r="C184" s="1186">
        <v>41</v>
      </c>
      <c r="D184" s="1186"/>
      <c r="E184" s="1186">
        <v>33</v>
      </c>
      <c r="F184" s="1186"/>
      <c r="G184" s="1186">
        <v>1</v>
      </c>
      <c r="H184" s="1186"/>
      <c r="I184" s="1186"/>
      <c r="J184" s="1186">
        <v>3</v>
      </c>
      <c r="K184" s="1186"/>
      <c r="L184" s="1186">
        <v>4</v>
      </c>
      <c r="M184" s="1186">
        <v>27250</v>
      </c>
    </row>
    <row r="185" spans="1:13" x14ac:dyDescent="0.2">
      <c r="A185" s="1186" t="s">
        <v>41</v>
      </c>
      <c r="B185" s="1186" t="s">
        <v>133</v>
      </c>
      <c r="C185" s="1186">
        <v>419</v>
      </c>
      <c r="D185" s="1186">
        <v>11</v>
      </c>
      <c r="E185" s="1186">
        <v>117</v>
      </c>
      <c r="F185" s="1186">
        <v>2</v>
      </c>
      <c r="G185" s="1186">
        <v>11</v>
      </c>
      <c r="H185" s="1186">
        <v>4</v>
      </c>
      <c r="I185" s="1186">
        <v>92</v>
      </c>
      <c r="J185" s="1186">
        <v>94</v>
      </c>
      <c r="K185" s="1186">
        <v>14</v>
      </c>
      <c r="L185" s="1186">
        <v>74</v>
      </c>
      <c r="M185" s="1186">
        <v>136480</v>
      </c>
    </row>
    <row r="186" spans="1:13" x14ac:dyDescent="0.2">
      <c r="A186" s="1186" t="s">
        <v>42</v>
      </c>
      <c r="B186" s="1186" t="s">
        <v>133</v>
      </c>
      <c r="C186" s="1186">
        <v>1415</v>
      </c>
      <c r="D186" s="1186">
        <v>15</v>
      </c>
      <c r="E186" s="1186">
        <v>432</v>
      </c>
      <c r="F186" s="1186">
        <v>3</v>
      </c>
      <c r="G186" s="1186">
        <v>20</v>
      </c>
      <c r="H186" s="1186">
        <v>2</v>
      </c>
      <c r="I186" s="1186">
        <v>189</v>
      </c>
      <c r="J186" s="1186">
        <v>275</v>
      </c>
      <c r="K186" s="1186">
        <v>33</v>
      </c>
      <c r="L186" s="1186">
        <v>446</v>
      </c>
      <c r="M186" s="1186">
        <v>338000</v>
      </c>
    </row>
    <row r="187" spans="1:13" x14ac:dyDescent="0.2">
      <c r="A187" s="1186" t="s">
        <v>43</v>
      </c>
      <c r="B187" s="1186" t="s">
        <v>133</v>
      </c>
      <c r="C187" s="1186">
        <v>7</v>
      </c>
      <c r="D187" s="1186"/>
      <c r="E187" s="1186">
        <v>2</v>
      </c>
      <c r="F187" s="1186"/>
      <c r="G187" s="1186"/>
      <c r="H187" s="1186"/>
      <c r="I187" s="1186">
        <v>3</v>
      </c>
      <c r="J187" s="1186">
        <v>1</v>
      </c>
      <c r="K187" s="1186"/>
      <c r="L187" s="1186">
        <v>1</v>
      </c>
      <c r="M187" s="1186">
        <v>21580</v>
      </c>
    </row>
    <row r="188" spans="1:13" x14ac:dyDescent="0.2">
      <c r="A188" s="1186" t="s">
        <v>44</v>
      </c>
      <c r="B188" s="1186" t="s">
        <v>133</v>
      </c>
      <c r="C188" s="1186">
        <v>116</v>
      </c>
      <c r="D188" s="1186">
        <v>6</v>
      </c>
      <c r="E188" s="1186">
        <v>40</v>
      </c>
      <c r="F188" s="1186">
        <v>4</v>
      </c>
      <c r="G188" s="1186">
        <v>8</v>
      </c>
      <c r="H188" s="1186">
        <v>3</v>
      </c>
      <c r="I188" s="1186">
        <v>15</v>
      </c>
      <c r="J188" s="1186">
        <v>20</v>
      </c>
      <c r="K188" s="1186">
        <v>3</v>
      </c>
      <c r="L188" s="1186">
        <v>17</v>
      </c>
      <c r="M188" s="1186">
        <v>148930</v>
      </c>
    </row>
    <row r="189" spans="1:13" x14ac:dyDescent="0.2">
      <c r="A189" s="1186" t="s">
        <v>45</v>
      </c>
      <c r="B189" s="1186" t="s">
        <v>133</v>
      </c>
      <c r="C189" s="1186">
        <v>492</v>
      </c>
      <c r="D189" s="1186">
        <v>24</v>
      </c>
      <c r="E189" s="1186">
        <v>104</v>
      </c>
      <c r="F189" s="1186"/>
      <c r="G189" s="1186">
        <v>10</v>
      </c>
      <c r="H189" s="1186">
        <v>5</v>
      </c>
      <c r="I189" s="1186">
        <v>75</v>
      </c>
      <c r="J189" s="1186">
        <v>112</v>
      </c>
      <c r="K189" s="1186">
        <v>31</v>
      </c>
      <c r="L189" s="1186">
        <v>131</v>
      </c>
      <c r="M189" s="1186">
        <v>174230</v>
      </c>
    </row>
    <row r="190" spans="1:13" x14ac:dyDescent="0.2">
      <c r="A190" s="1186" t="s">
        <v>46</v>
      </c>
      <c r="B190" s="1186" t="s">
        <v>133</v>
      </c>
      <c r="C190" s="1186">
        <v>93</v>
      </c>
      <c r="D190" s="1186">
        <v>2</v>
      </c>
      <c r="E190" s="1186">
        <v>46</v>
      </c>
      <c r="F190" s="1186">
        <v>2</v>
      </c>
      <c r="G190" s="1186">
        <v>8</v>
      </c>
      <c r="H190" s="1186"/>
      <c r="I190" s="1186">
        <v>11</v>
      </c>
      <c r="J190" s="1186">
        <v>10</v>
      </c>
      <c r="K190" s="1186">
        <v>2</v>
      </c>
      <c r="L190" s="1186">
        <v>12</v>
      </c>
      <c r="M190" s="1186">
        <v>114040</v>
      </c>
    </row>
    <row r="191" spans="1:13" x14ac:dyDescent="0.2">
      <c r="A191" s="1186" t="s">
        <v>47</v>
      </c>
      <c r="B191" s="1186" t="s">
        <v>133</v>
      </c>
      <c r="C191" s="1186">
        <v>9</v>
      </c>
      <c r="D191" s="1186">
        <v>1</v>
      </c>
      <c r="E191" s="1186">
        <v>2</v>
      </c>
      <c r="F191" s="1186"/>
      <c r="G191" s="1186">
        <v>1</v>
      </c>
      <c r="H191" s="1186"/>
      <c r="I191" s="1186">
        <v>2</v>
      </c>
      <c r="J191" s="1186">
        <v>3</v>
      </c>
      <c r="K191" s="1186"/>
      <c r="L191" s="1186"/>
      <c r="M191" s="1186">
        <v>23220</v>
      </c>
    </row>
    <row r="192" spans="1:13" x14ac:dyDescent="0.2">
      <c r="A192" s="1186" t="s">
        <v>48</v>
      </c>
      <c r="B192" s="1186" t="s">
        <v>133</v>
      </c>
      <c r="C192" s="1186">
        <v>222</v>
      </c>
      <c r="D192" s="1186">
        <v>6</v>
      </c>
      <c r="E192" s="1186">
        <v>64</v>
      </c>
      <c r="F192" s="1186">
        <v>1</v>
      </c>
      <c r="G192" s="1186">
        <v>7</v>
      </c>
      <c r="H192" s="1186">
        <v>1</v>
      </c>
      <c r="I192" s="1186">
        <v>36</v>
      </c>
      <c r="J192" s="1186">
        <v>64</v>
      </c>
      <c r="K192" s="1186">
        <v>7</v>
      </c>
      <c r="L192" s="1186">
        <v>36</v>
      </c>
      <c r="M192" s="1186">
        <v>112530</v>
      </c>
    </row>
    <row r="193" spans="1:13" x14ac:dyDescent="0.2">
      <c r="A193" s="1186" t="s">
        <v>49</v>
      </c>
      <c r="B193" s="1186" t="s">
        <v>133</v>
      </c>
      <c r="C193" s="1186">
        <v>884</v>
      </c>
      <c r="D193" s="1186">
        <v>20</v>
      </c>
      <c r="E193" s="1186">
        <v>225</v>
      </c>
      <c r="F193" s="1186">
        <v>4</v>
      </c>
      <c r="G193" s="1186">
        <v>16</v>
      </c>
      <c r="H193" s="1186">
        <v>3</v>
      </c>
      <c r="I193" s="1186">
        <v>98</v>
      </c>
      <c r="J193" s="1186">
        <v>208</v>
      </c>
      <c r="K193" s="1186">
        <v>20</v>
      </c>
      <c r="L193" s="1186">
        <v>290</v>
      </c>
      <c r="M193" s="1186">
        <v>315300</v>
      </c>
    </row>
    <row r="194" spans="1:13" x14ac:dyDescent="0.2">
      <c r="A194" s="1186" t="s">
        <v>50</v>
      </c>
      <c r="B194" s="1186" t="s">
        <v>133</v>
      </c>
      <c r="C194" s="1186">
        <v>126</v>
      </c>
      <c r="D194" s="1186">
        <v>8</v>
      </c>
      <c r="E194" s="1186">
        <v>43</v>
      </c>
      <c r="F194" s="1186">
        <v>1</v>
      </c>
      <c r="G194" s="1186">
        <v>4</v>
      </c>
      <c r="H194" s="1186">
        <v>1</v>
      </c>
      <c r="I194" s="1186">
        <v>19</v>
      </c>
      <c r="J194" s="1186">
        <v>25</v>
      </c>
      <c r="K194" s="1186">
        <v>4</v>
      </c>
      <c r="L194" s="1186">
        <v>21</v>
      </c>
      <c r="M194" s="1186">
        <v>91520</v>
      </c>
    </row>
    <row r="195" spans="1:13" x14ac:dyDescent="0.2">
      <c r="A195" s="1186" t="s">
        <v>51</v>
      </c>
      <c r="B195" s="1186" t="s">
        <v>133</v>
      </c>
      <c r="C195" s="1186">
        <v>326</v>
      </c>
      <c r="D195" s="1186">
        <v>8</v>
      </c>
      <c r="E195" s="1186">
        <v>112</v>
      </c>
      <c r="F195" s="1186">
        <v>4</v>
      </c>
      <c r="G195" s="1186">
        <v>5</v>
      </c>
      <c r="H195" s="1186">
        <v>2</v>
      </c>
      <c r="I195" s="1186">
        <v>49</v>
      </c>
      <c r="J195" s="1186">
        <v>67</v>
      </c>
      <c r="K195" s="1186">
        <v>7</v>
      </c>
      <c r="L195" s="1186">
        <v>72</v>
      </c>
      <c r="M195" s="1186">
        <v>89710</v>
      </c>
    </row>
    <row r="196" spans="1:13" x14ac:dyDescent="0.2">
      <c r="A196" s="1186" t="s">
        <v>52</v>
      </c>
      <c r="B196" s="1186" t="s">
        <v>133</v>
      </c>
      <c r="C196" s="1186">
        <v>527</v>
      </c>
      <c r="D196" s="1186">
        <v>8</v>
      </c>
      <c r="E196" s="1186">
        <v>201</v>
      </c>
      <c r="F196" s="1186">
        <v>1</v>
      </c>
      <c r="G196" s="1186">
        <v>10</v>
      </c>
      <c r="H196" s="1186">
        <v>1</v>
      </c>
      <c r="I196" s="1186">
        <v>82</v>
      </c>
      <c r="J196" s="1186">
        <v>126</v>
      </c>
      <c r="K196" s="1186">
        <v>19</v>
      </c>
      <c r="L196" s="1186">
        <v>79</v>
      </c>
      <c r="M196" s="1186">
        <v>177200</v>
      </c>
    </row>
    <row r="197" spans="1:13" x14ac:dyDescent="0.2">
      <c r="A197" s="1186" t="s">
        <v>23</v>
      </c>
      <c r="B197" s="1186" t="s">
        <v>144</v>
      </c>
      <c r="C197" s="1186">
        <v>441</v>
      </c>
      <c r="D197" s="1186">
        <v>22</v>
      </c>
      <c r="E197" s="1186">
        <v>75</v>
      </c>
      <c r="F197" s="1186"/>
      <c r="G197" s="1186">
        <v>9</v>
      </c>
      <c r="H197" s="1186">
        <v>2</v>
      </c>
      <c r="I197" s="1186"/>
      <c r="J197" s="1186">
        <v>194</v>
      </c>
      <c r="K197" s="1186">
        <v>20</v>
      </c>
      <c r="L197" s="1186">
        <v>119</v>
      </c>
      <c r="M197" s="1186">
        <v>230350</v>
      </c>
    </row>
    <row r="198" spans="1:13" x14ac:dyDescent="0.2">
      <c r="A198" s="1186" t="s">
        <v>24</v>
      </c>
      <c r="B198" s="1186" t="s">
        <v>144</v>
      </c>
      <c r="C198" s="1186">
        <v>184</v>
      </c>
      <c r="D198" s="1186">
        <v>8</v>
      </c>
      <c r="E198" s="1186">
        <v>59</v>
      </c>
      <c r="F198" s="1186">
        <v>4</v>
      </c>
      <c r="G198" s="1186">
        <v>13</v>
      </c>
      <c r="H198" s="1186">
        <v>3</v>
      </c>
      <c r="I198" s="1186">
        <v>1</v>
      </c>
      <c r="J198" s="1186">
        <v>16</v>
      </c>
      <c r="K198" s="1186">
        <v>7</v>
      </c>
      <c r="L198" s="1186">
        <v>73</v>
      </c>
      <c r="M198" s="1186">
        <v>261960</v>
      </c>
    </row>
    <row r="199" spans="1:13" x14ac:dyDescent="0.2">
      <c r="A199" s="1186" t="s">
        <v>25</v>
      </c>
      <c r="B199" s="1186" t="s">
        <v>144</v>
      </c>
      <c r="C199" s="1186">
        <v>147</v>
      </c>
      <c r="D199" s="1186">
        <v>5</v>
      </c>
      <c r="E199" s="1186">
        <v>70</v>
      </c>
      <c r="F199" s="1186">
        <v>2</v>
      </c>
      <c r="G199" s="1186">
        <v>6</v>
      </c>
      <c r="H199" s="1186">
        <v>1</v>
      </c>
      <c r="I199" s="1186">
        <v>19</v>
      </c>
      <c r="J199" s="1186">
        <v>27</v>
      </c>
      <c r="K199" s="1186">
        <v>5</v>
      </c>
      <c r="L199" s="1186">
        <v>12</v>
      </c>
      <c r="M199" s="1186">
        <v>116900</v>
      </c>
    </row>
    <row r="200" spans="1:13" x14ac:dyDescent="0.2">
      <c r="A200" s="1186" t="s">
        <v>26</v>
      </c>
      <c r="B200" s="1186" t="s">
        <v>144</v>
      </c>
      <c r="C200" s="1186">
        <v>68</v>
      </c>
      <c r="D200" s="1186">
        <v>3</v>
      </c>
      <c r="E200" s="1186">
        <v>26</v>
      </c>
      <c r="F200" s="1186"/>
      <c r="G200" s="1186">
        <v>5</v>
      </c>
      <c r="H200" s="1186">
        <v>2</v>
      </c>
      <c r="I200" s="1186">
        <v>12</v>
      </c>
      <c r="J200" s="1186">
        <v>10</v>
      </c>
      <c r="K200" s="1186">
        <v>3</v>
      </c>
      <c r="L200" s="1186">
        <v>7</v>
      </c>
      <c r="M200" s="1186">
        <v>86890</v>
      </c>
    </row>
    <row r="201" spans="1:13" x14ac:dyDescent="0.2">
      <c r="A201" s="1186" t="s">
        <v>619</v>
      </c>
      <c r="B201" s="1186" t="s">
        <v>144</v>
      </c>
      <c r="C201" s="1186">
        <v>1893</v>
      </c>
      <c r="D201" s="1186">
        <v>22</v>
      </c>
      <c r="E201" s="1186">
        <v>419</v>
      </c>
      <c r="F201" s="1186">
        <v>1</v>
      </c>
      <c r="G201" s="1186">
        <v>34</v>
      </c>
      <c r="H201" s="1186">
        <v>2</v>
      </c>
      <c r="I201" s="1186">
        <v>310</v>
      </c>
      <c r="J201" s="1186">
        <v>726</v>
      </c>
      <c r="K201" s="1186">
        <v>143</v>
      </c>
      <c r="L201" s="1186">
        <v>236</v>
      </c>
      <c r="M201" s="1186">
        <v>498810</v>
      </c>
    </row>
    <row r="202" spans="1:13" x14ac:dyDescent="0.2">
      <c r="A202" s="1186" t="s">
        <v>27</v>
      </c>
      <c r="B202" s="1186" t="s">
        <v>144</v>
      </c>
      <c r="C202" s="1186">
        <v>102</v>
      </c>
      <c r="D202" s="1186">
        <v>3</v>
      </c>
      <c r="E202" s="1186">
        <v>31</v>
      </c>
      <c r="F202" s="1186">
        <v>2</v>
      </c>
      <c r="G202" s="1186">
        <v>2</v>
      </c>
      <c r="H202" s="1186"/>
      <c r="I202" s="1186">
        <v>12</v>
      </c>
      <c r="J202" s="1186">
        <v>22</v>
      </c>
      <c r="K202" s="1186">
        <v>6</v>
      </c>
      <c r="L202" s="1186">
        <v>24</v>
      </c>
      <c r="M202" s="1186">
        <v>51360</v>
      </c>
    </row>
    <row r="203" spans="1:13" x14ac:dyDescent="0.2">
      <c r="A203" s="1186" t="s">
        <v>28</v>
      </c>
      <c r="B203" s="1186" t="s">
        <v>144</v>
      </c>
      <c r="C203" s="1186">
        <v>155</v>
      </c>
      <c r="D203" s="1186">
        <v>8</v>
      </c>
      <c r="E203" s="1186">
        <v>64</v>
      </c>
      <c r="F203" s="1186"/>
      <c r="G203" s="1186">
        <v>11</v>
      </c>
      <c r="H203" s="1186">
        <v>3</v>
      </c>
      <c r="I203" s="1186">
        <v>8</v>
      </c>
      <c r="J203" s="1186">
        <v>24</v>
      </c>
      <c r="K203" s="1186">
        <v>5</v>
      </c>
      <c r="L203" s="1186">
        <v>32</v>
      </c>
      <c r="M203" s="1186">
        <v>149670</v>
      </c>
    </row>
    <row r="204" spans="1:13" x14ac:dyDescent="0.2">
      <c r="A204" s="1186" t="s">
        <v>29</v>
      </c>
      <c r="B204" s="1186" t="s">
        <v>144</v>
      </c>
      <c r="C204" s="1186">
        <v>680</v>
      </c>
      <c r="D204" s="1186">
        <v>28</v>
      </c>
      <c r="E204" s="1186">
        <v>211</v>
      </c>
      <c r="F204" s="1186">
        <v>5</v>
      </c>
      <c r="G204" s="1186">
        <v>15</v>
      </c>
      <c r="H204" s="1186">
        <v>3</v>
      </c>
      <c r="I204" s="1186">
        <v>74</v>
      </c>
      <c r="J204" s="1186">
        <v>212</v>
      </c>
      <c r="K204" s="1186">
        <v>35</v>
      </c>
      <c r="L204" s="1186">
        <v>97</v>
      </c>
      <c r="M204" s="1186">
        <v>148210</v>
      </c>
    </row>
    <row r="205" spans="1:13" x14ac:dyDescent="0.2">
      <c r="A205" s="1186" t="s">
        <v>30</v>
      </c>
      <c r="B205" s="1186" t="s">
        <v>144</v>
      </c>
      <c r="C205" s="1186">
        <v>616</v>
      </c>
      <c r="D205" s="1186">
        <v>12</v>
      </c>
      <c r="E205" s="1186">
        <v>216</v>
      </c>
      <c r="F205" s="1186">
        <v>3</v>
      </c>
      <c r="G205" s="1186">
        <v>12</v>
      </c>
      <c r="H205" s="1186">
        <v>4</v>
      </c>
      <c r="I205" s="1186">
        <v>65</v>
      </c>
      <c r="J205" s="1186">
        <v>124</v>
      </c>
      <c r="K205" s="1186">
        <v>34</v>
      </c>
      <c r="L205" s="1186">
        <v>146</v>
      </c>
      <c r="M205" s="1186">
        <v>122060</v>
      </c>
    </row>
    <row r="206" spans="1:13" x14ac:dyDescent="0.2">
      <c r="A206" s="1186" t="s">
        <v>31</v>
      </c>
      <c r="B206" s="1186" t="s">
        <v>144</v>
      </c>
      <c r="C206" s="1186">
        <v>171</v>
      </c>
      <c r="D206" s="1186">
        <v>4</v>
      </c>
      <c r="E206" s="1186">
        <v>56</v>
      </c>
      <c r="F206" s="1186">
        <v>3</v>
      </c>
      <c r="G206" s="1186">
        <v>5</v>
      </c>
      <c r="H206" s="1186">
        <v>1</v>
      </c>
      <c r="I206" s="1186">
        <v>31</v>
      </c>
      <c r="J206" s="1186">
        <v>21</v>
      </c>
      <c r="K206" s="1186">
        <v>7</v>
      </c>
      <c r="L206" s="1186">
        <v>43</v>
      </c>
      <c r="M206" s="1186">
        <v>106960</v>
      </c>
    </row>
    <row r="207" spans="1:13" x14ac:dyDescent="0.2">
      <c r="A207" s="1186" t="s">
        <v>32</v>
      </c>
      <c r="B207" s="1186" t="s">
        <v>144</v>
      </c>
      <c r="C207" s="1186">
        <v>195</v>
      </c>
      <c r="D207" s="1186">
        <v>4</v>
      </c>
      <c r="E207" s="1186">
        <v>69</v>
      </c>
      <c r="F207" s="1186">
        <v>8</v>
      </c>
      <c r="G207" s="1186">
        <v>6</v>
      </c>
      <c r="H207" s="1186">
        <v>1</v>
      </c>
      <c r="I207" s="1186">
        <v>41</v>
      </c>
      <c r="J207" s="1186">
        <v>34</v>
      </c>
      <c r="K207" s="1186">
        <v>5</v>
      </c>
      <c r="L207" s="1186">
        <v>27</v>
      </c>
      <c r="M207" s="1186">
        <v>103050</v>
      </c>
    </row>
    <row r="208" spans="1:13" x14ac:dyDescent="0.2">
      <c r="A208" s="1186" t="s">
        <v>33</v>
      </c>
      <c r="B208" s="1186" t="s">
        <v>144</v>
      </c>
      <c r="C208" s="1186">
        <v>147</v>
      </c>
      <c r="D208" s="1186">
        <v>6</v>
      </c>
      <c r="E208" s="1186">
        <v>41</v>
      </c>
      <c r="F208" s="1186">
        <v>1</v>
      </c>
      <c r="G208" s="1186">
        <v>10</v>
      </c>
      <c r="H208" s="1186"/>
      <c r="I208" s="1186">
        <v>27</v>
      </c>
      <c r="J208" s="1186">
        <v>26</v>
      </c>
      <c r="K208" s="1186">
        <v>8</v>
      </c>
      <c r="L208" s="1186">
        <v>28</v>
      </c>
      <c r="M208" s="1186">
        <v>92940</v>
      </c>
    </row>
    <row r="209" spans="1:13" x14ac:dyDescent="0.2">
      <c r="A209" s="1186" t="s">
        <v>34</v>
      </c>
      <c r="B209" s="1186" t="s">
        <v>144</v>
      </c>
      <c r="C209" s="1186">
        <v>343</v>
      </c>
      <c r="D209" s="1186">
        <v>6</v>
      </c>
      <c r="E209" s="1186">
        <v>143</v>
      </c>
      <c r="F209" s="1186">
        <v>5</v>
      </c>
      <c r="G209" s="1186">
        <v>8</v>
      </c>
      <c r="H209" s="1186">
        <v>1</v>
      </c>
      <c r="I209" s="1186">
        <v>62</v>
      </c>
      <c r="J209" s="1186">
        <v>64</v>
      </c>
      <c r="K209" s="1186">
        <v>6</v>
      </c>
      <c r="L209" s="1186">
        <v>48</v>
      </c>
      <c r="M209" s="1186">
        <v>158460</v>
      </c>
    </row>
    <row r="210" spans="1:13" x14ac:dyDescent="0.2">
      <c r="A210" s="1186" t="s">
        <v>35</v>
      </c>
      <c r="B210" s="1186" t="s">
        <v>144</v>
      </c>
      <c r="C210" s="1186">
        <v>740</v>
      </c>
      <c r="D210" s="1186">
        <v>17</v>
      </c>
      <c r="E210" s="1186">
        <v>270</v>
      </c>
      <c r="F210" s="1186">
        <v>2</v>
      </c>
      <c r="G210" s="1186">
        <v>25</v>
      </c>
      <c r="H210" s="1186">
        <v>6</v>
      </c>
      <c r="I210" s="1186">
        <v>65</v>
      </c>
      <c r="J210" s="1186">
        <v>119</v>
      </c>
      <c r="K210" s="1186">
        <v>16</v>
      </c>
      <c r="L210" s="1186">
        <v>220</v>
      </c>
      <c r="M210" s="1186">
        <v>368080</v>
      </c>
    </row>
    <row r="211" spans="1:13" x14ac:dyDescent="0.2">
      <c r="A211" s="1186" t="s">
        <v>36</v>
      </c>
      <c r="B211" s="1186" t="s">
        <v>144</v>
      </c>
      <c r="C211" s="1186">
        <v>2436</v>
      </c>
      <c r="D211" s="1186">
        <v>72</v>
      </c>
      <c r="E211" s="1186">
        <v>499</v>
      </c>
      <c r="F211" s="1186">
        <v>3</v>
      </c>
      <c r="G211" s="1186">
        <v>45</v>
      </c>
      <c r="H211" s="1186">
        <v>9</v>
      </c>
      <c r="I211" s="1186">
        <v>301</v>
      </c>
      <c r="J211" s="1186">
        <v>793</v>
      </c>
      <c r="K211" s="1186">
        <v>76</v>
      </c>
      <c r="L211" s="1186">
        <v>638</v>
      </c>
      <c r="M211" s="1186">
        <v>606340</v>
      </c>
    </row>
    <row r="212" spans="1:13" x14ac:dyDescent="0.2">
      <c r="A212" s="1186" t="s">
        <v>37</v>
      </c>
      <c r="B212" s="1186" t="s">
        <v>144</v>
      </c>
      <c r="C212" s="1186">
        <v>342</v>
      </c>
      <c r="D212" s="1186">
        <v>9</v>
      </c>
      <c r="E212" s="1186">
        <v>214</v>
      </c>
      <c r="F212" s="1186">
        <v>2</v>
      </c>
      <c r="G212" s="1186">
        <v>12</v>
      </c>
      <c r="H212" s="1186">
        <v>1</v>
      </c>
      <c r="I212" s="1186">
        <v>24</v>
      </c>
      <c r="J212" s="1186">
        <v>46</v>
      </c>
      <c r="K212" s="1186">
        <v>2</v>
      </c>
      <c r="L212" s="1186">
        <v>32</v>
      </c>
      <c r="M212" s="1186">
        <v>234110</v>
      </c>
    </row>
    <row r="213" spans="1:13" x14ac:dyDescent="0.2">
      <c r="A213" s="1186" t="s">
        <v>38</v>
      </c>
      <c r="B213" s="1186" t="s">
        <v>144</v>
      </c>
      <c r="C213" s="1186">
        <v>405</v>
      </c>
      <c r="D213" s="1186">
        <v>16</v>
      </c>
      <c r="E213" s="1186">
        <v>161</v>
      </c>
      <c r="F213" s="1186"/>
      <c r="G213" s="1186">
        <v>8</v>
      </c>
      <c r="H213" s="1186"/>
      <c r="I213" s="1186">
        <v>50</v>
      </c>
      <c r="J213" s="1186">
        <v>66</v>
      </c>
      <c r="K213" s="1186">
        <v>19</v>
      </c>
      <c r="L213" s="1186">
        <v>85</v>
      </c>
      <c r="M213" s="1186">
        <v>79500</v>
      </c>
    </row>
    <row r="214" spans="1:13" x14ac:dyDescent="0.2">
      <c r="A214" s="1186" t="s">
        <v>39</v>
      </c>
      <c r="B214" s="1186" t="s">
        <v>144</v>
      </c>
      <c r="C214" s="1186">
        <v>301</v>
      </c>
      <c r="D214" s="1186">
        <v>4</v>
      </c>
      <c r="E214" s="1186">
        <v>112</v>
      </c>
      <c r="F214" s="1186">
        <v>6</v>
      </c>
      <c r="G214" s="1186">
        <v>6</v>
      </c>
      <c r="H214" s="1186"/>
      <c r="I214" s="1186">
        <v>49</v>
      </c>
      <c r="J214" s="1186">
        <v>53</v>
      </c>
      <c r="K214" s="1186">
        <v>18</v>
      </c>
      <c r="L214" s="1186">
        <v>53</v>
      </c>
      <c r="M214" s="1186">
        <v>87390</v>
      </c>
    </row>
    <row r="215" spans="1:13" x14ac:dyDescent="0.2">
      <c r="A215" s="1186" t="s">
        <v>40</v>
      </c>
      <c r="B215" s="1186" t="s">
        <v>144</v>
      </c>
      <c r="C215" s="1186">
        <v>95</v>
      </c>
      <c r="D215" s="1186">
        <v>3</v>
      </c>
      <c r="E215" s="1186">
        <v>46</v>
      </c>
      <c r="F215" s="1186">
        <v>1</v>
      </c>
      <c r="G215" s="1186"/>
      <c r="H215" s="1186">
        <v>1</v>
      </c>
      <c r="I215" s="1186">
        <v>2</v>
      </c>
      <c r="J215" s="1186">
        <v>12</v>
      </c>
      <c r="K215" s="1186"/>
      <c r="L215" s="1186">
        <v>30</v>
      </c>
      <c r="M215" s="1186">
        <v>95510</v>
      </c>
    </row>
    <row r="216" spans="1:13" x14ac:dyDescent="0.2">
      <c r="A216" s="1186" t="s">
        <v>295</v>
      </c>
      <c r="B216" s="1186" t="s">
        <v>144</v>
      </c>
      <c r="C216" s="1186">
        <v>30</v>
      </c>
      <c r="D216" s="1186"/>
      <c r="E216" s="1186">
        <v>26</v>
      </c>
      <c r="F216" s="1186"/>
      <c r="G216" s="1186"/>
      <c r="H216" s="1186"/>
      <c r="I216" s="1186">
        <v>1</v>
      </c>
      <c r="J216" s="1186"/>
      <c r="K216" s="1186">
        <v>2</v>
      </c>
      <c r="L216" s="1186">
        <v>1</v>
      </c>
      <c r="M216" s="1186">
        <v>27070</v>
      </c>
    </row>
    <row r="217" spans="1:13" x14ac:dyDescent="0.2">
      <c r="A217" s="1186" t="s">
        <v>41</v>
      </c>
      <c r="B217" s="1186" t="s">
        <v>144</v>
      </c>
      <c r="C217" s="1186">
        <v>507</v>
      </c>
      <c r="D217" s="1186">
        <v>11</v>
      </c>
      <c r="E217" s="1186">
        <v>180</v>
      </c>
      <c r="F217" s="1186">
        <v>1</v>
      </c>
      <c r="G217" s="1186">
        <v>10</v>
      </c>
      <c r="H217" s="1186"/>
      <c r="I217" s="1186">
        <v>98</v>
      </c>
      <c r="J217" s="1186">
        <v>106</v>
      </c>
      <c r="K217" s="1186">
        <v>18</v>
      </c>
      <c r="L217" s="1186">
        <v>83</v>
      </c>
      <c r="M217" s="1186">
        <v>136130</v>
      </c>
    </row>
    <row r="218" spans="1:13" x14ac:dyDescent="0.2">
      <c r="A218" s="1186" t="s">
        <v>42</v>
      </c>
      <c r="B218" s="1186" t="s">
        <v>144</v>
      </c>
      <c r="C218" s="1186">
        <v>1540</v>
      </c>
      <c r="D218" s="1186">
        <v>17</v>
      </c>
      <c r="E218" s="1186">
        <v>514</v>
      </c>
      <c r="F218" s="1186">
        <v>6</v>
      </c>
      <c r="G218" s="1186">
        <v>28</v>
      </c>
      <c r="H218" s="1186">
        <v>4</v>
      </c>
      <c r="I218" s="1186">
        <v>211</v>
      </c>
      <c r="J218" s="1186">
        <v>267</v>
      </c>
      <c r="K218" s="1186">
        <v>49</v>
      </c>
      <c r="L218" s="1186">
        <v>444</v>
      </c>
      <c r="M218" s="1186">
        <v>338260</v>
      </c>
    </row>
    <row r="219" spans="1:13" x14ac:dyDescent="0.2">
      <c r="A219" s="1186" t="s">
        <v>43</v>
      </c>
      <c r="B219" s="1186" t="s">
        <v>144</v>
      </c>
      <c r="C219" s="1186">
        <v>13</v>
      </c>
      <c r="D219" s="1186">
        <v>4</v>
      </c>
      <c r="E219" s="1186">
        <v>3</v>
      </c>
      <c r="F219" s="1186"/>
      <c r="G219" s="1186">
        <v>2</v>
      </c>
      <c r="H219" s="1186"/>
      <c r="I219" s="1186">
        <v>1</v>
      </c>
      <c r="J219" s="1186">
        <v>1</v>
      </c>
      <c r="K219" s="1186">
        <v>1</v>
      </c>
      <c r="L219" s="1186">
        <v>1</v>
      </c>
      <c r="M219" s="1186">
        <v>21670</v>
      </c>
    </row>
    <row r="220" spans="1:13" x14ac:dyDescent="0.2">
      <c r="A220" s="1186" t="s">
        <v>44</v>
      </c>
      <c r="B220" s="1186" t="s">
        <v>144</v>
      </c>
      <c r="C220" s="1186">
        <v>144</v>
      </c>
      <c r="D220" s="1186">
        <v>5</v>
      </c>
      <c r="E220" s="1186">
        <v>62</v>
      </c>
      <c r="F220" s="1186">
        <v>4</v>
      </c>
      <c r="G220" s="1186">
        <v>3</v>
      </c>
      <c r="H220" s="1186">
        <v>2</v>
      </c>
      <c r="I220" s="1186">
        <v>21</v>
      </c>
      <c r="J220" s="1186">
        <v>24</v>
      </c>
      <c r="K220" s="1186">
        <v>7</v>
      </c>
      <c r="L220" s="1186">
        <v>16</v>
      </c>
      <c r="M220" s="1186">
        <v>149930</v>
      </c>
    </row>
    <row r="221" spans="1:13" x14ac:dyDescent="0.2">
      <c r="A221" s="1186" t="s">
        <v>45</v>
      </c>
      <c r="B221" s="1186" t="s">
        <v>144</v>
      </c>
      <c r="C221" s="1186">
        <v>566</v>
      </c>
      <c r="D221" s="1186">
        <v>15</v>
      </c>
      <c r="E221" s="1186">
        <v>147</v>
      </c>
      <c r="F221" s="1186">
        <v>1</v>
      </c>
      <c r="G221" s="1186">
        <v>9</v>
      </c>
      <c r="H221" s="1186">
        <v>3</v>
      </c>
      <c r="I221" s="1186">
        <v>99</v>
      </c>
      <c r="J221" s="1186">
        <v>139</v>
      </c>
      <c r="K221" s="1186">
        <v>28</v>
      </c>
      <c r="L221" s="1186">
        <v>125</v>
      </c>
      <c r="M221" s="1186">
        <v>174560</v>
      </c>
    </row>
    <row r="222" spans="1:13" x14ac:dyDescent="0.2">
      <c r="A222" s="1186" t="s">
        <v>46</v>
      </c>
      <c r="B222" s="1186" t="s">
        <v>144</v>
      </c>
      <c r="C222" s="1186">
        <v>92</v>
      </c>
      <c r="D222" s="1186">
        <v>2</v>
      </c>
      <c r="E222" s="1186">
        <v>36</v>
      </c>
      <c r="F222" s="1186">
        <v>1</v>
      </c>
      <c r="G222" s="1186">
        <v>5</v>
      </c>
      <c r="H222" s="1186"/>
      <c r="I222" s="1186">
        <v>11</v>
      </c>
      <c r="J222" s="1186">
        <v>11</v>
      </c>
      <c r="K222" s="1186">
        <v>4</v>
      </c>
      <c r="L222" s="1186">
        <v>22</v>
      </c>
      <c r="M222" s="1186">
        <v>114030</v>
      </c>
    </row>
    <row r="223" spans="1:13" x14ac:dyDescent="0.2">
      <c r="A223" s="1186" t="s">
        <v>47</v>
      </c>
      <c r="B223" s="1186" t="s">
        <v>144</v>
      </c>
      <c r="C223" s="1186">
        <v>11</v>
      </c>
      <c r="D223" s="1186">
        <v>1</v>
      </c>
      <c r="E223" s="1186">
        <v>4</v>
      </c>
      <c r="F223" s="1186"/>
      <c r="G223" s="1186"/>
      <c r="H223" s="1186"/>
      <c r="I223" s="1186">
        <v>3</v>
      </c>
      <c r="J223" s="1186">
        <v>2</v>
      </c>
      <c r="K223" s="1186">
        <v>1</v>
      </c>
      <c r="L223" s="1186"/>
      <c r="M223" s="1186">
        <v>23200</v>
      </c>
    </row>
    <row r="224" spans="1:13" x14ac:dyDescent="0.2">
      <c r="A224" s="1186" t="s">
        <v>48</v>
      </c>
      <c r="B224" s="1186" t="s">
        <v>144</v>
      </c>
      <c r="C224" s="1186">
        <v>211</v>
      </c>
      <c r="D224" s="1186">
        <v>5</v>
      </c>
      <c r="E224" s="1186">
        <v>70</v>
      </c>
      <c r="F224" s="1186">
        <v>2</v>
      </c>
      <c r="G224" s="1186"/>
      <c r="H224" s="1186"/>
      <c r="I224" s="1186">
        <v>23</v>
      </c>
      <c r="J224" s="1186">
        <v>57</v>
      </c>
      <c r="K224" s="1186">
        <v>10</v>
      </c>
      <c r="L224" s="1186">
        <v>44</v>
      </c>
      <c r="M224" s="1186">
        <v>112400</v>
      </c>
    </row>
    <row r="225" spans="1:13" x14ac:dyDescent="0.2">
      <c r="A225" s="1186" t="s">
        <v>49</v>
      </c>
      <c r="B225" s="1186" t="s">
        <v>144</v>
      </c>
      <c r="C225" s="1186">
        <v>906</v>
      </c>
      <c r="D225" s="1186">
        <v>17</v>
      </c>
      <c r="E225" s="1186">
        <v>269</v>
      </c>
      <c r="F225" s="1186"/>
      <c r="G225" s="1186">
        <v>18</v>
      </c>
      <c r="H225" s="1186">
        <v>11</v>
      </c>
      <c r="I225" s="1186">
        <v>85</v>
      </c>
      <c r="J225" s="1186">
        <v>177</v>
      </c>
      <c r="K225" s="1186">
        <v>27</v>
      </c>
      <c r="L225" s="1186">
        <v>302</v>
      </c>
      <c r="M225" s="1186">
        <v>316230</v>
      </c>
    </row>
    <row r="226" spans="1:13" x14ac:dyDescent="0.2">
      <c r="A226" s="1186" t="s">
        <v>50</v>
      </c>
      <c r="B226" s="1186" t="s">
        <v>144</v>
      </c>
      <c r="C226" s="1186">
        <v>209</v>
      </c>
      <c r="D226" s="1186">
        <v>4</v>
      </c>
      <c r="E226" s="1186">
        <v>92</v>
      </c>
      <c r="F226" s="1186">
        <v>3</v>
      </c>
      <c r="G226" s="1186">
        <v>7</v>
      </c>
      <c r="H226" s="1186"/>
      <c r="I226" s="1186">
        <v>26</v>
      </c>
      <c r="J226" s="1186">
        <v>37</v>
      </c>
      <c r="K226" s="1186">
        <v>5</v>
      </c>
      <c r="L226" s="1186">
        <v>35</v>
      </c>
      <c r="M226" s="1186">
        <v>92830</v>
      </c>
    </row>
    <row r="227" spans="1:13" x14ac:dyDescent="0.2">
      <c r="A227" s="1186" t="s">
        <v>51</v>
      </c>
      <c r="B227" s="1186" t="s">
        <v>144</v>
      </c>
      <c r="C227" s="1186">
        <v>312</v>
      </c>
      <c r="D227" s="1186">
        <v>13</v>
      </c>
      <c r="E227" s="1186">
        <v>114</v>
      </c>
      <c r="F227" s="1186">
        <v>2</v>
      </c>
      <c r="G227" s="1186">
        <v>4</v>
      </c>
      <c r="H227" s="1186">
        <v>1</v>
      </c>
      <c r="I227" s="1186">
        <v>34</v>
      </c>
      <c r="J227" s="1186">
        <v>55</v>
      </c>
      <c r="K227" s="1186">
        <v>1</v>
      </c>
      <c r="L227" s="1186">
        <v>88</v>
      </c>
      <c r="M227" s="1186">
        <v>89590</v>
      </c>
    </row>
    <row r="228" spans="1:13" x14ac:dyDescent="0.2">
      <c r="A228" s="1186" t="s">
        <v>52</v>
      </c>
      <c r="B228" s="1186" t="s">
        <v>144</v>
      </c>
      <c r="C228" s="1186">
        <v>730</v>
      </c>
      <c r="D228" s="1186">
        <v>22</v>
      </c>
      <c r="E228" s="1186">
        <v>267</v>
      </c>
      <c r="F228" s="1186">
        <v>3</v>
      </c>
      <c r="G228" s="1186">
        <v>16</v>
      </c>
      <c r="H228" s="1186">
        <v>4</v>
      </c>
      <c r="I228" s="1186">
        <v>128</v>
      </c>
      <c r="J228" s="1186">
        <v>206</v>
      </c>
      <c r="K228" s="1186">
        <v>20</v>
      </c>
      <c r="L228" s="1186">
        <v>64</v>
      </c>
      <c r="M228" s="1186">
        <v>178550</v>
      </c>
    </row>
    <row r="229" spans="1:13" x14ac:dyDescent="0.2">
      <c r="A229" s="1186" t="s">
        <v>23</v>
      </c>
      <c r="B229" s="1186" t="s">
        <v>282</v>
      </c>
      <c r="C229" s="1186">
        <v>315</v>
      </c>
      <c r="D229" s="1186">
        <v>11</v>
      </c>
      <c r="E229" s="1186">
        <v>69</v>
      </c>
      <c r="F229" s="1186"/>
      <c r="G229" s="1186">
        <v>11</v>
      </c>
      <c r="H229" s="1186"/>
      <c r="I229" s="1186">
        <v>7</v>
      </c>
      <c r="J229" s="1186">
        <v>117</v>
      </c>
      <c r="K229" s="1186">
        <v>17</v>
      </c>
      <c r="L229" s="1186">
        <v>83</v>
      </c>
      <c r="M229" s="1186">
        <v>229840</v>
      </c>
    </row>
    <row r="230" spans="1:13" x14ac:dyDescent="0.2">
      <c r="A230" s="1186" t="s">
        <v>24</v>
      </c>
      <c r="B230" s="1186" t="s">
        <v>282</v>
      </c>
      <c r="C230" s="1186">
        <v>264</v>
      </c>
      <c r="D230" s="1186">
        <v>4</v>
      </c>
      <c r="E230" s="1186">
        <v>106</v>
      </c>
      <c r="F230" s="1186">
        <v>1</v>
      </c>
      <c r="G230" s="1186">
        <v>9</v>
      </c>
      <c r="H230" s="1186">
        <v>2</v>
      </c>
      <c r="I230" s="1186">
        <v>17</v>
      </c>
      <c r="J230" s="1186">
        <v>39</v>
      </c>
      <c r="K230" s="1186">
        <v>13</v>
      </c>
      <c r="L230" s="1186">
        <v>73</v>
      </c>
      <c r="M230" s="1186">
        <v>262190</v>
      </c>
    </row>
    <row r="231" spans="1:13" x14ac:dyDescent="0.2">
      <c r="A231" s="1186" t="s">
        <v>25</v>
      </c>
      <c r="B231" s="1186" t="s">
        <v>282</v>
      </c>
      <c r="C231" s="1186">
        <v>126</v>
      </c>
      <c r="D231" s="1186">
        <v>5</v>
      </c>
      <c r="E231" s="1186">
        <v>50</v>
      </c>
      <c r="F231" s="1186">
        <v>3</v>
      </c>
      <c r="G231" s="1186">
        <v>4</v>
      </c>
      <c r="H231" s="1186">
        <v>1</v>
      </c>
      <c r="I231" s="1186">
        <v>18</v>
      </c>
      <c r="J231" s="1186">
        <v>23</v>
      </c>
      <c r="K231" s="1186">
        <v>4</v>
      </c>
      <c r="L231" s="1186">
        <v>18</v>
      </c>
      <c r="M231" s="1186">
        <v>116520</v>
      </c>
    </row>
    <row r="232" spans="1:13" x14ac:dyDescent="0.2">
      <c r="A232" s="1186" t="s">
        <v>26</v>
      </c>
      <c r="B232" s="1186" t="s">
        <v>282</v>
      </c>
      <c r="C232" s="1186">
        <v>122</v>
      </c>
      <c r="D232" s="1186">
        <v>5</v>
      </c>
      <c r="E232" s="1186">
        <v>64</v>
      </c>
      <c r="F232" s="1186">
        <v>2</v>
      </c>
      <c r="G232" s="1186">
        <v>2</v>
      </c>
      <c r="H232" s="1186">
        <v>3</v>
      </c>
      <c r="I232" s="1186">
        <v>18</v>
      </c>
      <c r="J232" s="1186">
        <v>20</v>
      </c>
      <c r="K232" s="1186">
        <v>1</v>
      </c>
      <c r="L232" s="1186">
        <v>7</v>
      </c>
      <c r="M232" s="1186">
        <v>87130</v>
      </c>
    </row>
    <row r="233" spans="1:13" x14ac:dyDescent="0.2">
      <c r="A233" s="1186" t="s">
        <v>619</v>
      </c>
      <c r="B233" s="1186" t="s">
        <v>282</v>
      </c>
      <c r="C233" s="1186">
        <v>1875</v>
      </c>
      <c r="D233" s="1186">
        <v>9</v>
      </c>
      <c r="E233" s="1186">
        <v>388</v>
      </c>
      <c r="F233" s="1186"/>
      <c r="G233" s="1186">
        <v>46</v>
      </c>
      <c r="H233" s="1186">
        <v>3</v>
      </c>
      <c r="I233" s="1186">
        <v>324</v>
      </c>
      <c r="J233" s="1186">
        <v>710</v>
      </c>
      <c r="K233" s="1186">
        <v>120</v>
      </c>
      <c r="L233" s="1186">
        <v>275</v>
      </c>
      <c r="M233" s="1186">
        <v>507170</v>
      </c>
    </row>
    <row r="234" spans="1:13" x14ac:dyDescent="0.2">
      <c r="A234" s="1186" t="s">
        <v>27</v>
      </c>
      <c r="B234" s="1186" t="s">
        <v>282</v>
      </c>
      <c r="C234" s="1186">
        <v>84</v>
      </c>
      <c r="D234" s="1186">
        <v>3</v>
      </c>
      <c r="E234" s="1186">
        <v>25</v>
      </c>
      <c r="F234" s="1186"/>
      <c r="G234" s="1186">
        <v>6</v>
      </c>
      <c r="H234" s="1186">
        <v>1</v>
      </c>
      <c r="I234" s="1186">
        <v>11</v>
      </c>
      <c r="J234" s="1186">
        <v>19</v>
      </c>
      <c r="K234" s="1186"/>
      <c r="L234" s="1186">
        <v>19</v>
      </c>
      <c r="M234" s="1186">
        <v>51350</v>
      </c>
    </row>
    <row r="235" spans="1:13" x14ac:dyDescent="0.2">
      <c r="A235" s="1186" t="s">
        <v>28</v>
      </c>
      <c r="B235" s="1186" t="s">
        <v>282</v>
      </c>
      <c r="C235" s="1186">
        <v>169</v>
      </c>
      <c r="D235" s="1186">
        <v>4</v>
      </c>
      <c r="E235" s="1186">
        <v>58</v>
      </c>
      <c r="F235" s="1186"/>
      <c r="G235" s="1186">
        <v>6</v>
      </c>
      <c r="H235" s="1186">
        <v>1</v>
      </c>
      <c r="I235" s="1186">
        <v>19</v>
      </c>
      <c r="J235" s="1186">
        <v>36</v>
      </c>
      <c r="K235" s="1186">
        <v>9</v>
      </c>
      <c r="L235" s="1186">
        <v>36</v>
      </c>
      <c r="M235" s="1186">
        <v>149520</v>
      </c>
    </row>
    <row r="236" spans="1:13" x14ac:dyDescent="0.2">
      <c r="A236" s="1186" t="s">
        <v>29</v>
      </c>
      <c r="B236" s="1186" t="s">
        <v>282</v>
      </c>
      <c r="C236" s="1186">
        <v>818</v>
      </c>
      <c r="D236" s="1186">
        <v>15</v>
      </c>
      <c r="E236" s="1186">
        <v>272</v>
      </c>
      <c r="F236" s="1186">
        <v>2</v>
      </c>
      <c r="G236" s="1186">
        <v>26</v>
      </c>
      <c r="H236" s="1186"/>
      <c r="I236" s="1186">
        <v>79</v>
      </c>
      <c r="J236" s="1186">
        <v>301</v>
      </c>
      <c r="K236" s="1186">
        <v>40</v>
      </c>
      <c r="L236" s="1186">
        <v>83</v>
      </c>
      <c r="M236" s="1186">
        <v>148270</v>
      </c>
    </row>
    <row r="237" spans="1:13" x14ac:dyDescent="0.2">
      <c r="A237" s="1186" t="s">
        <v>30</v>
      </c>
      <c r="B237" s="1186" t="s">
        <v>282</v>
      </c>
      <c r="C237" s="1186">
        <v>640</v>
      </c>
      <c r="D237" s="1186">
        <v>10</v>
      </c>
      <c r="E237" s="1186">
        <v>199</v>
      </c>
      <c r="F237" s="1186">
        <v>6</v>
      </c>
      <c r="G237" s="1186">
        <v>9</v>
      </c>
      <c r="H237" s="1186">
        <v>1</v>
      </c>
      <c r="I237" s="1186">
        <v>69</v>
      </c>
      <c r="J237" s="1186">
        <v>165</v>
      </c>
      <c r="K237" s="1186">
        <v>23</v>
      </c>
      <c r="L237" s="1186">
        <v>158</v>
      </c>
      <c r="M237" s="1186">
        <v>122200</v>
      </c>
    </row>
    <row r="238" spans="1:13" x14ac:dyDescent="0.2">
      <c r="A238" s="1186" t="s">
        <v>31</v>
      </c>
      <c r="B238" s="1186" t="s">
        <v>282</v>
      </c>
      <c r="C238" s="1186">
        <v>180</v>
      </c>
      <c r="D238" s="1186">
        <v>7</v>
      </c>
      <c r="E238" s="1186">
        <v>54</v>
      </c>
      <c r="F238" s="1186"/>
      <c r="G238" s="1186">
        <v>4</v>
      </c>
      <c r="H238" s="1186">
        <v>2</v>
      </c>
      <c r="I238" s="1186">
        <v>20</v>
      </c>
      <c r="J238" s="1186">
        <v>44</v>
      </c>
      <c r="K238" s="1186">
        <v>4</v>
      </c>
      <c r="L238" s="1186">
        <v>45</v>
      </c>
      <c r="M238" s="1186">
        <v>107540</v>
      </c>
    </row>
    <row r="239" spans="1:13" x14ac:dyDescent="0.2">
      <c r="A239" s="1186" t="s">
        <v>32</v>
      </c>
      <c r="B239" s="1186" t="s">
        <v>282</v>
      </c>
      <c r="C239" s="1186">
        <v>255</v>
      </c>
      <c r="D239" s="1186">
        <v>3</v>
      </c>
      <c r="E239" s="1186">
        <v>79</v>
      </c>
      <c r="F239" s="1186">
        <v>4</v>
      </c>
      <c r="G239" s="1186">
        <v>8</v>
      </c>
      <c r="H239" s="1186"/>
      <c r="I239" s="1186">
        <v>54</v>
      </c>
      <c r="J239" s="1186">
        <v>43</v>
      </c>
      <c r="K239" s="1186">
        <v>14</v>
      </c>
      <c r="L239" s="1186">
        <v>50</v>
      </c>
      <c r="M239" s="1186">
        <v>104090</v>
      </c>
    </row>
    <row r="240" spans="1:13" x14ac:dyDescent="0.2">
      <c r="A240" s="1186" t="s">
        <v>33</v>
      </c>
      <c r="B240" s="1186" t="s">
        <v>282</v>
      </c>
      <c r="C240" s="1186">
        <v>152</v>
      </c>
      <c r="D240" s="1186">
        <v>7</v>
      </c>
      <c r="E240" s="1186">
        <v>57</v>
      </c>
      <c r="F240" s="1186">
        <v>2</v>
      </c>
      <c r="G240" s="1186">
        <v>8</v>
      </c>
      <c r="H240" s="1186"/>
      <c r="I240" s="1186">
        <v>23</v>
      </c>
      <c r="J240" s="1186">
        <v>19</v>
      </c>
      <c r="K240" s="1186">
        <v>3</v>
      </c>
      <c r="L240" s="1186">
        <v>33</v>
      </c>
      <c r="M240" s="1186">
        <v>93810</v>
      </c>
    </row>
    <row r="241" spans="1:13" x14ac:dyDescent="0.2">
      <c r="A241" s="1186" t="s">
        <v>34</v>
      </c>
      <c r="B241" s="1186" t="s">
        <v>282</v>
      </c>
      <c r="C241" s="1186">
        <v>412</v>
      </c>
      <c r="D241" s="1186">
        <v>7</v>
      </c>
      <c r="E241" s="1186">
        <v>179</v>
      </c>
      <c r="F241" s="1186"/>
      <c r="G241" s="1186">
        <v>6</v>
      </c>
      <c r="H241" s="1186"/>
      <c r="I241" s="1186">
        <v>58</v>
      </c>
      <c r="J241" s="1186">
        <v>79</v>
      </c>
      <c r="K241" s="1186">
        <v>20</v>
      </c>
      <c r="L241" s="1186">
        <v>63</v>
      </c>
      <c r="M241" s="1186">
        <v>159380</v>
      </c>
    </row>
    <row r="242" spans="1:13" x14ac:dyDescent="0.2">
      <c r="A242" s="1186" t="s">
        <v>35</v>
      </c>
      <c r="B242" s="1186" t="s">
        <v>282</v>
      </c>
      <c r="C242" s="1186">
        <v>737</v>
      </c>
      <c r="D242" s="1186">
        <v>17</v>
      </c>
      <c r="E242" s="1186">
        <v>287</v>
      </c>
      <c r="F242" s="1186">
        <v>5</v>
      </c>
      <c r="G242" s="1186">
        <v>23</v>
      </c>
      <c r="H242" s="1186">
        <v>2</v>
      </c>
      <c r="I242" s="1186">
        <v>84</v>
      </c>
      <c r="J242" s="1186">
        <v>116</v>
      </c>
      <c r="K242" s="1186">
        <v>22</v>
      </c>
      <c r="L242" s="1186">
        <v>181</v>
      </c>
      <c r="M242" s="1186">
        <v>370330</v>
      </c>
    </row>
    <row r="243" spans="1:13" x14ac:dyDescent="0.2">
      <c r="A243" s="1186" t="s">
        <v>36</v>
      </c>
      <c r="B243" s="1186" t="s">
        <v>282</v>
      </c>
      <c r="C243" s="1186">
        <v>2559</v>
      </c>
      <c r="D243" s="1186">
        <v>41</v>
      </c>
      <c r="E243" s="1186">
        <v>488</v>
      </c>
      <c r="F243" s="1186">
        <v>3</v>
      </c>
      <c r="G243" s="1186">
        <v>33</v>
      </c>
      <c r="H243" s="1186">
        <v>7</v>
      </c>
      <c r="I243" s="1186">
        <v>306</v>
      </c>
      <c r="J243" s="1186">
        <v>892</v>
      </c>
      <c r="K243" s="1186">
        <v>70</v>
      </c>
      <c r="L243" s="1186">
        <v>719</v>
      </c>
      <c r="M243" s="1186">
        <v>615070</v>
      </c>
    </row>
    <row r="244" spans="1:13" x14ac:dyDescent="0.2">
      <c r="A244" s="1186" t="s">
        <v>37</v>
      </c>
      <c r="B244" s="1186" t="s">
        <v>282</v>
      </c>
      <c r="C244" s="1186">
        <v>360</v>
      </c>
      <c r="D244" s="1186">
        <v>11</v>
      </c>
      <c r="E244" s="1186">
        <v>242</v>
      </c>
      <c r="F244" s="1186">
        <v>4</v>
      </c>
      <c r="G244" s="1186">
        <v>2</v>
      </c>
      <c r="H244" s="1186">
        <v>2</v>
      </c>
      <c r="I244" s="1186">
        <v>27</v>
      </c>
      <c r="J244" s="1186">
        <v>40</v>
      </c>
      <c r="K244" s="1186">
        <v>8</v>
      </c>
      <c r="L244" s="1186">
        <v>24</v>
      </c>
      <c r="M244" s="1186">
        <v>234770</v>
      </c>
    </row>
    <row r="245" spans="1:13" x14ac:dyDescent="0.2">
      <c r="A245" s="1186" t="s">
        <v>38</v>
      </c>
      <c r="B245" s="1186" t="s">
        <v>282</v>
      </c>
      <c r="C245" s="1186">
        <v>569</v>
      </c>
      <c r="D245" s="1186">
        <v>13</v>
      </c>
      <c r="E245" s="1186">
        <v>281</v>
      </c>
      <c r="F245" s="1186"/>
      <c r="G245" s="1186">
        <v>7</v>
      </c>
      <c r="H245" s="1186">
        <v>3</v>
      </c>
      <c r="I245" s="1186">
        <v>57</v>
      </c>
      <c r="J245" s="1186">
        <v>101</v>
      </c>
      <c r="K245" s="1186">
        <v>11</v>
      </c>
      <c r="L245" s="1186">
        <v>96</v>
      </c>
      <c r="M245" s="1186">
        <v>79160</v>
      </c>
    </row>
    <row r="246" spans="1:13" x14ac:dyDescent="0.2">
      <c r="A246" s="1186" t="s">
        <v>39</v>
      </c>
      <c r="B246" s="1186" t="s">
        <v>282</v>
      </c>
      <c r="C246" s="1186">
        <v>371</v>
      </c>
      <c r="D246" s="1186">
        <v>5</v>
      </c>
      <c r="E246" s="1186">
        <v>106</v>
      </c>
      <c r="F246" s="1186">
        <v>8</v>
      </c>
      <c r="G246" s="1186">
        <v>19</v>
      </c>
      <c r="H246" s="1186">
        <v>1</v>
      </c>
      <c r="I246" s="1186">
        <v>69</v>
      </c>
      <c r="J246" s="1186">
        <v>62</v>
      </c>
      <c r="K246" s="1186">
        <v>22</v>
      </c>
      <c r="L246" s="1186">
        <v>79</v>
      </c>
      <c r="M246" s="1186">
        <v>88610</v>
      </c>
    </row>
    <row r="247" spans="1:13" x14ac:dyDescent="0.2">
      <c r="A247" s="1186" t="s">
        <v>40</v>
      </c>
      <c r="B247" s="1186" t="s">
        <v>282</v>
      </c>
      <c r="C247" s="1186">
        <v>127</v>
      </c>
      <c r="D247" s="1186">
        <v>5</v>
      </c>
      <c r="E247" s="1186">
        <v>66</v>
      </c>
      <c r="F247" s="1186">
        <v>1</v>
      </c>
      <c r="G247" s="1186">
        <v>6</v>
      </c>
      <c r="H247" s="1186">
        <v>3</v>
      </c>
      <c r="I247" s="1186">
        <v>6</v>
      </c>
      <c r="J247" s="1186">
        <v>12</v>
      </c>
      <c r="K247" s="1186">
        <v>3</v>
      </c>
      <c r="L247" s="1186">
        <v>25</v>
      </c>
      <c r="M247" s="1186">
        <v>96070</v>
      </c>
    </row>
    <row r="248" spans="1:13" x14ac:dyDescent="0.2">
      <c r="A248" s="1186" t="s">
        <v>295</v>
      </c>
      <c r="B248" s="1186" t="s">
        <v>282</v>
      </c>
      <c r="C248" s="1186">
        <v>52</v>
      </c>
      <c r="D248" s="1186">
        <v>1</v>
      </c>
      <c r="E248" s="1186">
        <v>44</v>
      </c>
      <c r="F248" s="1186">
        <v>1</v>
      </c>
      <c r="G248" s="1186"/>
      <c r="H248" s="1186"/>
      <c r="I248" s="1186"/>
      <c r="J248" s="1186">
        <v>1</v>
      </c>
      <c r="K248" s="1186"/>
      <c r="L248" s="1186">
        <v>5</v>
      </c>
      <c r="M248" s="1186">
        <v>26900</v>
      </c>
    </row>
    <row r="249" spans="1:13" x14ac:dyDescent="0.2">
      <c r="A249" s="1186" t="s">
        <v>41</v>
      </c>
      <c r="B249" s="1186" t="s">
        <v>282</v>
      </c>
      <c r="C249" s="1186">
        <v>621</v>
      </c>
      <c r="D249" s="1186">
        <v>16</v>
      </c>
      <c r="E249" s="1186">
        <v>203</v>
      </c>
      <c r="F249" s="1186">
        <v>3</v>
      </c>
      <c r="G249" s="1186">
        <v>14</v>
      </c>
      <c r="H249" s="1186">
        <v>2</v>
      </c>
      <c r="I249" s="1186">
        <v>108</v>
      </c>
      <c r="J249" s="1186">
        <v>103</v>
      </c>
      <c r="K249" s="1186">
        <v>19</v>
      </c>
      <c r="L249" s="1186">
        <v>153</v>
      </c>
      <c r="M249" s="1186">
        <v>135890</v>
      </c>
    </row>
    <row r="250" spans="1:13" x14ac:dyDescent="0.2">
      <c r="A250" s="1186" t="s">
        <v>42</v>
      </c>
      <c r="B250" s="1186" t="s">
        <v>282</v>
      </c>
      <c r="C250" s="1186">
        <v>1484</v>
      </c>
      <c r="D250" s="1186">
        <v>14</v>
      </c>
      <c r="E250" s="1186">
        <v>479</v>
      </c>
      <c r="F250" s="1186">
        <v>2</v>
      </c>
      <c r="G250" s="1186">
        <v>20</v>
      </c>
      <c r="H250" s="1186">
        <v>3</v>
      </c>
      <c r="I250" s="1186">
        <v>216</v>
      </c>
      <c r="J250" s="1186">
        <v>208</v>
      </c>
      <c r="K250" s="1186">
        <v>47</v>
      </c>
      <c r="L250" s="1186">
        <v>495</v>
      </c>
      <c r="M250" s="1186">
        <v>339390</v>
      </c>
    </row>
    <row r="251" spans="1:13" x14ac:dyDescent="0.2">
      <c r="A251" s="1186" t="s">
        <v>43</v>
      </c>
      <c r="B251" s="1186" t="s">
        <v>282</v>
      </c>
      <c r="C251" s="1186">
        <v>10</v>
      </c>
      <c r="D251" s="1186"/>
      <c r="E251" s="1186">
        <v>5</v>
      </c>
      <c r="F251" s="1186"/>
      <c r="G251" s="1186">
        <v>1</v>
      </c>
      <c r="H251" s="1186"/>
      <c r="I251" s="1186">
        <v>1</v>
      </c>
      <c r="J251" s="1186">
        <v>2</v>
      </c>
      <c r="K251" s="1186"/>
      <c r="L251" s="1186">
        <v>1</v>
      </c>
      <c r="M251" s="1186">
        <v>21850</v>
      </c>
    </row>
    <row r="252" spans="1:13" x14ac:dyDescent="0.2">
      <c r="A252" s="1186" t="s">
        <v>44</v>
      </c>
      <c r="B252" s="1186" t="s">
        <v>282</v>
      </c>
      <c r="C252" s="1186">
        <v>143</v>
      </c>
      <c r="D252" s="1186">
        <v>3</v>
      </c>
      <c r="E252" s="1186">
        <v>70</v>
      </c>
      <c r="F252" s="1186"/>
      <c r="G252" s="1186">
        <v>9</v>
      </c>
      <c r="H252" s="1186">
        <v>3</v>
      </c>
      <c r="I252" s="1186">
        <v>14</v>
      </c>
      <c r="J252" s="1186">
        <v>23</v>
      </c>
      <c r="K252" s="1186">
        <v>4</v>
      </c>
      <c r="L252" s="1186">
        <v>17</v>
      </c>
      <c r="M252" s="1186">
        <v>150680</v>
      </c>
    </row>
    <row r="253" spans="1:13" x14ac:dyDescent="0.2">
      <c r="A253" s="1186" t="s">
        <v>45</v>
      </c>
      <c r="B253" s="1186" t="s">
        <v>282</v>
      </c>
      <c r="C253" s="1186">
        <v>693</v>
      </c>
      <c r="D253" s="1186">
        <v>30</v>
      </c>
      <c r="E253" s="1186">
        <v>205</v>
      </c>
      <c r="F253" s="1186">
        <v>3</v>
      </c>
      <c r="G253" s="1186">
        <v>13</v>
      </c>
      <c r="H253" s="1186">
        <v>7</v>
      </c>
      <c r="I253" s="1186">
        <v>110</v>
      </c>
      <c r="J253" s="1186">
        <v>142</v>
      </c>
      <c r="K253" s="1186">
        <v>12</v>
      </c>
      <c r="L253" s="1186">
        <v>171</v>
      </c>
      <c r="M253" s="1186">
        <v>175930</v>
      </c>
    </row>
    <row r="254" spans="1:13" x14ac:dyDescent="0.2">
      <c r="A254" s="1186" t="s">
        <v>46</v>
      </c>
      <c r="B254" s="1186" t="s">
        <v>282</v>
      </c>
      <c r="C254" s="1186">
        <v>102</v>
      </c>
      <c r="D254" s="1186">
        <v>3</v>
      </c>
      <c r="E254" s="1186">
        <v>43</v>
      </c>
      <c r="F254" s="1186">
        <v>2</v>
      </c>
      <c r="G254" s="1186">
        <v>8</v>
      </c>
      <c r="H254" s="1186"/>
      <c r="I254" s="1186">
        <v>14</v>
      </c>
      <c r="J254" s="1186">
        <v>6</v>
      </c>
      <c r="K254" s="1186">
        <v>8</v>
      </c>
      <c r="L254" s="1186">
        <v>18</v>
      </c>
      <c r="M254" s="1186">
        <v>114530</v>
      </c>
    </row>
    <row r="255" spans="1:13" x14ac:dyDescent="0.2">
      <c r="A255" s="1186" t="s">
        <v>47</v>
      </c>
      <c r="B255" s="1186" t="s">
        <v>282</v>
      </c>
      <c r="C255" s="1186">
        <v>5</v>
      </c>
      <c r="D255" s="1186"/>
      <c r="E255" s="1186">
        <v>3</v>
      </c>
      <c r="F255" s="1186"/>
      <c r="G255" s="1186">
        <v>1</v>
      </c>
      <c r="H255" s="1186"/>
      <c r="I255" s="1186"/>
      <c r="J255" s="1186"/>
      <c r="K255" s="1186">
        <v>1</v>
      </c>
      <c r="L255" s="1186"/>
      <c r="M255" s="1186">
        <v>23200</v>
      </c>
    </row>
    <row r="256" spans="1:13" x14ac:dyDescent="0.2">
      <c r="A256" s="1186" t="s">
        <v>48</v>
      </c>
      <c r="B256" s="1186" t="s">
        <v>282</v>
      </c>
      <c r="C256" s="1186">
        <v>231</v>
      </c>
      <c r="D256" s="1186">
        <v>1</v>
      </c>
      <c r="E256" s="1186">
        <v>58</v>
      </c>
      <c r="F256" s="1186">
        <v>2</v>
      </c>
      <c r="G256" s="1186">
        <v>5</v>
      </c>
      <c r="H256" s="1186">
        <v>3</v>
      </c>
      <c r="I256" s="1186">
        <v>38</v>
      </c>
      <c r="J256" s="1186">
        <v>71</v>
      </c>
      <c r="K256" s="1186">
        <v>8</v>
      </c>
      <c r="L256" s="1186">
        <v>45</v>
      </c>
      <c r="M256" s="1186">
        <v>112470</v>
      </c>
    </row>
    <row r="257" spans="1:13" x14ac:dyDescent="0.2">
      <c r="A257" s="1186" t="s">
        <v>49</v>
      </c>
      <c r="B257" s="1186" t="s">
        <v>282</v>
      </c>
      <c r="C257" s="1186">
        <v>891</v>
      </c>
      <c r="D257" s="1186">
        <v>16</v>
      </c>
      <c r="E257" s="1186">
        <v>241</v>
      </c>
      <c r="F257" s="1186">
        <v>3</v>
      </c>
      <c r="G257" s="1186">
        <v>20</v>
      </c>
      <c r="H257" s="1186">
        <v>6</v>
      </c>
      <c r="I257" s="1186">
        <v>82</v>
      </c>
      <c r="J257" s="1186">
        <v>213</v>
      </c>
      <c r="K257" s="1186">
        <v>22</v>
      </c>
      <c r="L257" s="1186">
        <v>288</v>
      </c>
      <c r="M257" s="1186">
        <v>317100</v>
      </c>
    </row>
    <row r="258" spans="1:13" x14ac:dyDescent="0.2">
      <c r="A258" s="1186" t="s">
        <v>50</v>
      </c>
      <c r="B258" s="1186" t="s">
        <v>282</v>
      </c>
      <c r="C258" s="1186">
        <v>185</v>
      </c>
      <c r="D258" s="1186">
        <v>3</v>
      </c>
      <c r="E258" s="1186">
        <v>94</v>
      </c>
      <c r="F258" s="1186"/>
      <c r="G258" s="1186">
        <v>4</v>
      </c>
      <c r="H258" s="1186">
        <v>1</v>
      </c>
      <c r="I258" s="1186">
        <v>24</v>
      </c>
      <c r="J258" s="1186">
        <v>25</v>
      </c>
      <c r="K258" s="1186">
        <v>8</v>
      </c>
      <c r="L258" s="1186">
        <v>26</v>
      </c>
      <c r="M258" s="1186">
        <v>93750</v>
      </c>
    </row>
    <row r="259" spans="1:13" x14ac:dyDescent="0.2">
      <c r="A259" s="1186" t="s">
        <v>51</v>
      </c>
      <c r="B259" s="1186" t="s">
        <v>282</v>
      </c>
      <c r="C259" s="1186">
        <v>425</v>
      </c>
      <c r="D259" s="1186">
        <v>18</v>
      </c>
      <c r="E259" s="1186">
        <v>138</v>
      </c>
      <c r="F259" s="1186">
        <v>2</v>
      </c>
      <c r="G259" s="1186">
        <v>8</v>
      </c>
      <c r="H259" s="1186">
        <v>1</v>
      </c>
      <c r="I259" s="1186">
        <v>47</v>
      </c>
      <c r="J259" s="1186">
        <v>95</v>
      </c>
      <c r="K259" s="1186">
        <v>4</v>
      </c>
      <c r="L259" s="1186">
        <v>112</v>
      </c>
      <c r="M259" s="1186">
        <v>89860</v>
      </c>
    </row>
    <row r="260" spans="1:13" x14ac:dyDescent="0.2">
      <c r="A260" s="1186" t="s">
        <v>52</v>
      </c>
      <c r="B260" s="1186" t="s">
        <v>282</v>
      </c>
      <c r="C260" s="1186">
        <v>683</v>
      </c>
      <c r="D260" s="1186">
        <v>17</v>
      </c>
      <c r="E260" s="1186">
        <v>273</v>
      </c>
      <c r="F260" s="1186">
        <v>1</v>
      </c>
      <c r="G260" s="1186">
        <v>15</v>
      </c>
      <c r="H260" s="1186">
        <v>4</v>
      </c>
      <c r="I260" s="1186">
        <v>101</v>
      </c>
      <c r="J260" s="1186">
        <v>176</v>
      </c>
      <c r="K260" s="1186">
        <v>19</v>
      </c>
      <c r="L260" s="1186">
        <v>77</v>
      </c>
      <c r="M260" s="1186">
        <v>180130</v>
      </c>
    </row>
    <row r="261" spans="1:13" x14ac:dyDescent="0.2">
      <c r="A261" s="1186" t="s">
        <v>23</v>
      </c>
      <c r="B261" s="1186" t="s">
        <v>311</v>
      </c>
      <c r="C261" s="1186">
        <v>342</v>
      </c>
      <c r="D261" s="1186">
        <v>4</v>
      </c>
      <c r="E261" s="1186">
        <v>107</v>
      </c>
      <c r="F261" s="1186"/>
      <c r="G261" s="1186">
        <v>13</v>
      </c>
      <c r="H261" s="1186">
        <v>1</v>
      </c>
      <c r="I261" s="1186">
        <v>11</v>
      </c>
      <c r="J261" s="1186">
        <v>126</v>
      </c>
      <c r="K261" s="1186">
        <v>14</v>
      </c>
      <c r="L261" s="1186">
        <v>66</v>
      </c>
      <c r="M261" s="1186">
        <v>228800</v>
      </c>
    </row>
    <row r="262" spans="1:13" x14ac:dyDescent="0.2">
      <c r="A262" s="1186" t="s">
        <v>24</v>
      </c>
      <c r="B262" s="1186" t="s">
        <v>311</v>
      </c>
      <c r="C262" s="1186">
        <v>215</v>
      </c>
      <c r="D262" s="1186">
        <v>9</v>
      </c>
      <c r="E262" s="1186">
        <v>106</v>
      </c>
      <c r="F262" s="1186">
        <v>1</v>
      </c>
      <c r="G262" s="1186">
        <v>5</v>
      </c>
      <c r="H262" s="1186">
        <v>1</v>
      </c>
      <c r="I262" s="1186">
        <v>17</v>
      </c>
      <c r="J262" s="1186">
        <v>26</v>
      </c>
      <c r="K262" s="1186">
        <v>6</v>
      </c>
      <c r="L262" s="1186">
        <v>44</v>
      </c>
      <c r="M262" s="1186">
        <v>261800</v>
      </c>
    </row>
    <row r="263" spans="1:13" x14ac:dyDescent="0.2">
      <c r="A263" s="1186" t="s">
        <v>25</v>
      </c>
      <c r="B263" s="1186" t="s">
        <v>311</v>
      </c>
      <c r="C263" s="1186">
        <v>182</v>
      </c>
      <c r="D263" s="1186">
        <v>8</v>
      </c>
      <c r="E263" s="1186">
        <v>74</v>
      </c>
      <c r="F263" s="1186">
        <v>3</v>
      </c>
      <c r="G263" s="1186">
        <v>5</v>
      </c>
      <c r="H263" s="1186"/>
      <c r="I263" s="1186">
        <v>27</v>
      </c>
      <c r="J263" s="1186">
        <v>35</v>
      </c>
      <c r="K263" s="1186">
        <v>5</v>
      </c>
      <c r="L263" s="1186">
        <v>25</v>
      </c>
      <c r="M263" s="1186">
        <v>116280</v>
      </c>
    </row>
    <row r="264" spans="1:13" x14ac:dyDescent="0.2">
      <c r="A264" s="1186" t="s">
        <v>26</v>
      </c>
      <c r="B264" s="1186" t="s">
        <v>311</v>
      </c>
      <c r="C264" s="1186">
        <v>80</v>
      </c>
      <c r="D264" s="1186">
        <v>6</v>
      </c>
      <c r="E264" s="1186">
        <v>41</v>
      </c>
      <c r="F264" s="1186">
        <v>1</v>
      </c>
      <c r="G264" s="1186">
        <v>5</v>
      </c>
      <c r="H264" s="1186">
        <v>3</v>
      </c>
      <c r="I264" s="1186">
        <v>4</v>
      </c>
      <c r="J264" s="1186">
        <v>14</v>
      </c>
      <c r="K264" s="1186">
        <v>2</v>
      </c>
      <c r="L264" s="1186">
        <v>4</v>
      </c>
      <c r="M264" s="1186">
        <v>86810</v>
      </c>
    </row>
    <row r="265" spans="1:13" x14ac:dyDescent="0.2">
      <c r="A265" s="1186" t="s">
        <v>619</v>
      </c>
      <c r="B265" s="1186" t="s">
        <v>311</v>
      </c>
      <c r="C265" s="1186">
        <v>1791</v>
      </c>
      <c r="D265" s="1186">
        <v>17</v>
      </c>
      <c r="E265" s="1186">
        <v>453</v>
      </c>
      <c r="F265" s="1186"/>
      <c r="G265" s="1186">
        <v>41</v>
      </c>
      <c r="H265" s="1186">
        <v>3</v>
      </c>
      <c r="I265" s="1186">
        <v>303</v>
      </c>
      <c r="J265" s="1186">
        <v>612</v>
      </c>
      <c r="K265" s="1186">
        <v>122</v>
      </c>
      <c r="L265" s="1186">
        <v>240</v>
      </c>
      <c r="M265" s="1186">
        <v>513210</v>
      </c>
    </row>
    <row r="266" spans="1:13" x14ac:dyDescent="0.2">
      <c r="A266" s="1186" t="s">
        <v>27</v>
      </c>
      <c r="B266" s="1186" t="s">
        <v>311</v>
      </c>
      <c r="C266" s="1186">
        <v>111</v>
      </c>
      <c r="D266" s="1186">
        <v>5</v>
      </c>
      <c r="E266" s="1186">
        <v>57</v>
      </c>
      <c r="F266" s="1186">
        <v>2</v>
      </c>
      <c r="G266" s="1186">
        <v>3</v>
      </c>
      <c r="H266" s="1186"/>
      <c r="I266" s="1186">
        <v>15</v>
      </c>
      <c r="J266" s="1186">
        <v>9</v>
      </c>
      <c r="K266" s="1186">
        <v>1</v>
      </c>
      <c r="L266" s="1186">
        <v>19</v>
      </c>
      <c r="M266" s="1186">
        <v>51450</v>
      </c>
    </row>
    <row r="267" spans="1:13" x14ac:dyDescent="0.2">
      <c r="A267" s="1186" t="s">
        <v>28</v>
      </c>
      <c r="B267" s="1186" t="s">
        <v>311</v>
      </c>
      <c r="C267" s="1186">
        <v>178</v>
      </c>
      <c r="D267" s="1186">
        <v>4</v>
      </c>
      <c r="E267" s="1186">
        <v>74</v>
      </c>
      <c r="F267" s="1186">
        <v>2</v>
      </c>
      <c r="G267" s="1186">
        <v>5</v>
      </c>
      <c r="H267" s="1186">
        <v>1</v>
      </c>
      <c r="I267" s="1186">
        <v>24</v>
      </c>
      <c r="J267" s="1186">
        <v>27</v>
      </c>
      <c r="K267" s="1186">
        <v>3</v>
      </c>
      <c r="L267" s="1186">
        <v>38</v>
      </c>
      <c r="M267" s="1186">
        <v>149200</v>
      </c>
    </row>
    <row r="268" spans="1:13" x14ac:dyDescent="0.2">
      <c r="A268" s="1186" t="s">
        <v>29</v>
      </c>
      <c r="B268" s="1186" t="s">
        <v>311</v>
      </c>
      <c r="C268" s="1186">
        <v>774</v>
      </c>
      <c r="D268" s="1186">
        <v>13</v>
      </c>
      <c r="E268" s="1186">
        <v>271</v>
      </c>
      <c r="F268" s="1186">
        <v>1</v>
      </c>
      <c r="G268" s="1186">
        <v>19</v>
      </c>
      <c r="H268" s="1186">
        <v>3</v>
      </c>
      <c r="I268" s="1186">
        <v>78</v>
      </c>
      <c r="J268" s="1186">
        <v>262</v>
      </c>
      <c r="K268" s="1186">
        <v>53</v>
      </c>
      <c r="L268" s="1186">
        <v>74</v>
      </c>
      <c r="M268" s="1186">
        <v>148710</v>
      </c>
    </row>
    <row r="269" spans="1:13" x14ac:dyDescent="0.2">
      <c r="A269" s="1186" t="s">
        <v>30</v>
      </c>
      <c r="B269" s="1186" t="s">
        <v>311</v>
      </c>
      <c r="C269" s="1186">
        <v>592</v>
      </c>
      <c r="D269" s="1186">
        <v>10</v>
      </c>
      <c r="E269" s="1186">
        <v>224</v>
      </c>
      <c r="F269" s="1186">
        <v>1</v>
      </c>
      <c r="G269" s="1186">
        <v>17</v>
      </c>
      <c r="H269" s="1186">
        <v>3</v>
      </c>
      <c r="I269" s="1186">
        <v>65</v>
      </c>
      <c r="J269" s="1186">
        <v>132</v>
      </c>
      <c r="K269" s="1186">
        <v>15</v>
      </c>
      <c r="L269" s="1186">
        <v>125</v>
      </c>
      <c r="M269" s="1186">
        <v>121940</v>
      </c>
    </row>
    <row r="270" spans="1:13" x14ac:dyDescent="0.2">
      <c r="A270" s="1186" t="s">
        <v>31</v>
      </c>
      <c r="B270" s="1186" t="s">
        <v>311</v>
      </c>
      <c r="C270" s="1186">
        <v>175</v>
      </c>
      <c r="D270" s="1186">
        <v>4</v>
      </c>
      <c r="E270" s="1186">
        <v>58</v>
      </c>
      <c r="F270" s="1186">
        <v>2</v>
      </c>
      <c r="G270" s="1186">
        <v>5</v>
      </c>
      <c r="H270" s="1186"/>
      <c r="I270" s="1186">
        <v>16</v>
      </c>
      <c r="J270" s="1186">
        <v>39</v>
      </c>
      <c r="K270" s="1186">
        <v>11</v>
      </c>
      <c r="L270" s="1186">
        <v>40</v>
      </c>
      <c r="M270" s="1186">
        <v>108130</v>
      </c>
    </row>
    <row r="271" spans="1:13" x14ac:dyDescent="0.2">
      <c r="A271" s="1186" t="s">
        <v>32</v>
      </c>
      <c r="B271" s="1186" t="s">
        <v>311</v>
      </c>
      <c r="C271" s="1186">
        <v>244</v>
      </c>
      <c r="D271" s="1186">
        <v>2</v>
      </c>
      <c r="E271" s="1186">
        <v>119</v>
      </c>
      <c r="F271" s="1186">
        <v>2</v>
      </c>
      <c r="G271" s="1186">
        <v>5</v>
      </c>
      <c r="H271" s="1186">
        <v>1</v>
      </c>
      <c r="I271" s="1186">
        <v>53</v>
      </c>
      <c r="J271" s="1186">
        <v>25</v>
      </c>
      <c r="K271" s="1186">
        <v>13</v>
      </c>
      <c r="L271" s="1186">
        <v>24</v>
      </c>
      <c r="M271" s="1186">
        <v>104840</v>
      </c>
    </row>
    <row r="272" spans="1:13" x14ac:dyDescent="0.2">
      <c r="A272" s="1186" t="s">
        <v>33</v>
      </c>
      <c r="B272" s="1186" t="s">
        <v>311</v>
      </c>
      <c r="C272" s="1186">
        <v>165</v>
      </c>
      <c r="D272" s="1186">
        <v>6</v>
      </c>
      <c r="E272" s="1186">
        <v>37</v>
      </c>
      <c r="F272" s="1186">
        <v>1</v>
      </c>
      <c r="G272" s="1186">
        <v>8</v>
      </c>
      <c r="H272" s="1186"/>
      <c r="I272" s="1186">
        <v>24</v>
      </c>
      <c r="J272" s="1186">
        <v>40</v>
      </c>
      <c r="K272" s="1186">
        <v>6</v>
      </c>
      <c r="L272" s="1186">
        <v>43</v>
      </c>
      <c r="M272" s="1186">
        <v>94760</v>
      </c>
    </row>
    <row r="273" spans="1:13" x14ac:dyDescent="0.2">
      <c r="A273" s="1186" t="s">
        <v>34</v>
      </c>
      <c r="B273" s="1186" t="s">
        <v>311</v>
      </c>
      <c r="C273" s="1186">
        <v>428</v>
      </c>
      <c r="D273" s="1186">
        <v>18</v>
      </c>
      <c r="E273" s="1186">
        <v>221</v>
      </c>
      <c r="F273" s="1186">
        <v>3</v>
      </c>
      <c r="G273" s="1186">
        <v>11</v>
      </c>
      <c r="H273" s="1186">
        <v>2</v>
      </c>
      <c r="I273" s="1186">
        <v>47</v>
      </c>
      <c r="J273" s="1186">
        <v>57</v>
      </c>
      <c r="K273" s="1186">
        <v>14</v>
      </c>
      <c r="L273" s="1186">
        <v>55</v>
      </c>
      <c r="M273" s="1186">
        <v>160130</v>
      </c>
    </row>
    <row r="274" spans="1:13" x14ac:dyDescent="0.2">
      <c r="A274" s="1186" t="s">
        <v>35</v>
      </c>
      <c r="B274" s="1186" t="s">
        <v>311</v>
      </c>
      <c r="C274" s="1186">
        <v>949</v>
      </c>
      <c r="D274" s="1186">
        <v>33</v>
      </c>
      <c r="E274" s="1186">
        <v>346</v>
      </c>
      <c r="F274" s="1186">
        <v>11</v>
      </c>
      <c r="G274" s="1186">
        <v>38</v>
      </c>
      <c r="H274" s="1186">
        <v>7</v>
      </c>
      <c r="I274" s="1186">
        <v>132</v>
      </c>
      <c r="J274" s="1186">
        <v>134</v>
      </c>
      <c r="K274" s="1186">
        <v>24</v>
      </c>
      <c r="L274" s="1186">
        <v>224</v>
      </c>
      <c r="M274" s="1186">
        <v>371410</v>
      </c>
    </row>
    <row r="275" spans="1:13" x14ac:dyDescent="0.2">
      <c r="A275" s="1186" t="s">
        <v>36</v>
      </c>
      <c r="B275" s="1186" t="s">
        <v>311</v>
      </c>
      <c r="C275" s="1186">
        <v>2350</v>
      </c>
      <c r="D275" s="1186">
        <v>49</v>
      </c>
      <c r="E275" s="1186">
        <v>419</v>
      </c>
      <c r="F275" s="1186">
        <v>7</v>
      </c>
      <c r="G275" s="1186">
        <v>55</v>
      </c>
      <c r="H275" s="1186">
        <v>4</v>
      </c>
      <c r="I275" s="1186">
        <v>287</v>
      </c>
      <c r="J275" s="1186">
        <v>829</v>
      </c>
      <c r="K275" s="1186">
        <v>71</v>
      </c>
      <c r="L275" s="1186">
        <v>629</v>
      </c>
      <c r="M275" s="1186">
        <v>621020</v>
      </c>
    </row>
    <row r="276" spans="1:13" x14ac:dyDescent="0.2">
      <c r="A276" s="1186" t="s">
        <v>37</v>
      </c>
      <c r="B276" s="1186" t="s">
        <v>311</v>
      </c>
      <c r="C276" s="1186">
        <v>470</v>
      </c>
      <c r="D276" s="1186">
        <v>11</v>
      </c>
      <c r="E276" s="1186">
        <v>320</v>
      </c>
      <c r="F276" s="1186">
        <v>2</v>
      </c>
      <c r="G276" s="1186">
        <v>10</v>
      </c>
      <c r="H276" s="1186">
        <v>6</v>
      </c>
      <c r="I276" s="1186">
        <v>36</v>
      </c>
      <c r="J276" s="1186">
        <v>48</v>
      </c>
      <c r="K276" s="1186">
        <v>8</v>
      </c>
      <c r="L276" s="1186">
        <v>29</v>
      </c>
      <c r="M276" s="1186">
        <v>235180</v>
      </c>
    </row>
    <row r="277" spans="1:13" x14ac:dyDescent="0.2">
      <c r="A277" s="1186" t="s">
        <v>38</v>
      </c>
      <c r="B277" s="1186" t="s">
        <v>311</v>
      </c>
      <c r="C277" s="1186">
        <v>348</v>
      </c>
      <c r="D277" s="1186">
        <v>5</v>
      </c>
      <c r="E277" s="1186">
        <v>197</v>
      </c>
      <c r="F277" s="1186">
        <v>1</v>
      </c>
      <c r="G277" s="1186">
        <v>3</v>
      </c>
      <c r="H277" s="1186">
        <v>1</v>
      </c>
      <c r="I277" s="1186">
        <v>29</v>
      </c>
      <c r="J277" s="1186">
        <v>42</v>
      </c>
      <c r="K277" s="1186">
        <v>2</v>
      </c>
      <c r="L277" s="1186">
        <v>68</v>
      </c>
      <c r="M277" s="1186">
        <v>78760</v>
      </c>
    </row>
    <row r="278" spans="1:13" x14ac:dyDescent="0.2">
      <c r="A278" s="1186" t="s">
        <v>39</v>
      </c>
      <c r="B278" s="1186" t="s">
        <v>311</v>
      </c>
      <c r="C278" s="1186">
        <v>391</v>
      </c>
      <c r="D278" s="1186">
        <v>6</v>
      </c>
      <c r="E278" s="1186">
        <v>171</v>
      </c>
      <c r="F278" s="1186">
        <v>5</v>
      </c>
      <c r="G278" s="1186">
        <v>12</v>
      </c>
      <c r="H278" s="1186">
        <v>1</v>
      </c>
      <c r="I278" s="1186">
        <v>84</v>
      </c>
      <c r="J278" s="1186">
        <v>46</v>
      </c>
      <c r="K278" s="1186">
        <v>13</v>
      </c>
      <c r="L278" s="1186">
        <v>53</v>
      </c>
      <c r="M278" s="1186">
        <v>90090</v>
      </c>
    </row>
    <row r="279" spans="1:13" x14ac:dyDescent="0.2">
      <c r="A279" s="1186" t="s">
        <v>40</v>
      </c>
      <c r="B279" s="1186" t="s">
        <v>311</v>
      </c>
      <c r="C279" s="1186">
        <v>83</v>
      </c>
      <c r="D279" s="1186">
        <v>5</v>
      </c>
      <c r="E279" s="1186">
        <v>48</v>
      </c>
      <c r="F279" s="1186">
        <v>1</v>
      </c>
      <c r="G279" s="1186">
        <v>4</v>
      </c>
      <c r="H279" s="1186"/>
      <c r="I279" s="1186">
        <v>9</v>
      </c>
      <c r="J279" s="1186">
        <v>9</v>
      </c>
      <c r="K279" s="1186"/>
      <c r="L279" s="1186">
        <v>7</v>
      </c>
      <c r="M279" s="1186">
        <v>95780</v>
      </c>
    </row>
    <row r="280" spans="1:13" x14ac:dyDescent="0.2">
      <c r="A280" s="1186" t="s">
        <v>295</v>
      </c>
      <c r="B280" s="1186" t="s">
        <v>311</v>
      </c>
      <c r="C280" s="1186">
        <v>65</v>
      </c>
      <c r="D280" s="1186"/>
      <c r="E280" s="1186">
        <v>61</v>
      </c>
      <c r="F280" s="1186"/>
      <c r="G280" s="1186">
        <v>1</v>
      </c>
      <c r="H280" s="1186"/>
      <c r="I280" s="1186">
        <v>1</v>
      </c>
      <c r="J280" s="1186">
        <v>1</v>
      </c>
      <c r="K280" s="1186"/>
      <c r="L280" s="1186">
        <v>1</v>
      </c>
      <c r="M280" s="1186">
        <v>26950</v>
      </c>
    </row>
    <row r="281" spans="1:13" x14ac:dyDescent="0.2">
      <c r="A281" s="1186" t="s">
        <v>41</v>
      </c>
      <c r="B281" s="1186" t="s">
        <v>311</v>
      </c>
      <c r="C281" s="1186">
        <v>569</v>
      </c>
      <c r="D281" s="1186">
        <v>16</v>
      </c>
      <c r="E281" s="1186">
        <v>218</v>
      </c>
      <c r="F281" s="1186">
        <v>3</v>
      </c>
      <c r="G281" s="1186">
        <v>7</v>
      </c>
      <c r="H281" s="1186">
        <v>1</v>
      </c>
      <c r="I281" s="1186">
        <v>124</v>
      </c>
      <c r="J281" s="1186">
        <v>89</v>
      </c>
      <c r="K281" s="1186">
        <v>11</v>
      </c>
      <c r="L281" s="1186">
        <v>100</v>
      </c>
      <c r="M281" s="1186">
        <v>135790</v>
      </c>
    </row>
    <row r="282" spans="1:13" x14ac:dyDescent="0.2">
      <c r="A282" s="1186" t="s">
        <v>42</v>
      </c>
      <c r="B282" s="1186" t="s">
        <v>311</v>
      </c>
      <c r="C282" s="1186">
        <v>1206</v>
      </c>
      <c r="D282" s="1186">
        <v>22</v>
      </c>
      <c r="E282" s="1186">
        <v>364</v>
      </c>
      <c r="F282" s="1186">
        <v>4</v>
      </c>
      <c r="G282" s="1186">
        <v>43</v>
      </c>
      <c r="H282" s="1186">
        <v>7</v>
      </c>
      <c r="I282" s="1186">
        <v>168</v>
      </c>
      <c r="J282" s="1186">
        <v>188</v>
      </c>
      <c r="K282" s="1186">
        <v>27</v>
      </c>
      <c r="L282" s="1186">
        <v>383</v>
      </c>
      <c r="M282" s="1186">
        <v>339960</v>
      </c>
    </row>
    <row r="283" spans="1:13" x14ac:dyDescent="0.2">
      <c r="A283" s="1186" t="s">
        <v>43</v>
      </c>
      <c r="B283" s="1186" t="s">
        <v>311</v>
      </c>
      <c r="C283" s="1186">
        <v>9</v>
      </c>
      <c r="D283" s="1186"/>
      <c r="E283" s="1186">
        <v>4</v>
      </c>
      <c r="F283" s="1186"/>
      <c r="G283" s="1186"/>
      <c r="H283" s="1186">
        <v>1</v>
      </c>
      <c r="I283" s="1186">
        <v>2</v>
      </c>
      <c r="J283" s="1186">
        <v>2</v>
      </c>
      <c r="K283" s="1186"/>
      <c r="L283" s="1186"/>
      <c r="M283" s="1186">
        <v>22000</v>
      </c>
    </row>
    <row r="284" spans="1:13" x14ac:dyDescent="0.2">
      <c r="A284" s="1186" t="s">
        <v>44</v>
      </c>
      <c r="B284" s="1186" t="s">
        <v>311</v>
      </c>
      <c r="C284" s="1186">
        <v>181</v>
      </c>
      <c r="D284" s="1186">
        <v>5</v>
      </c>
      <c r="E284" s="1186">
        <v>76</v>
      </c>
      <c r="F284" s="1186"/>
      <c r="G284" s="1186">
        <v>10</v>
      </c>
      <c r="H284" s="1186">
        <v>1</v>
      </c>
      <c r="I284" s="1186">
        <v>19</v>
      </c>
      <c r="J284" s="1186">
        <v>27</v>
      </c>
      <c r="K284" s="1186">
        <v>5</v>
      </c>
      <c r="L284" s="1186">
        <v>38</v>
      </c>
      <c r="M284" s="1186">
        <v>151100</v>
      </c>
    </row>
    <row r="285" spans="1:13" x14ac:dyDescent="0.2">
      <c r="A285" s="1186" t="s">
        <v>45</v>
      </c>
      <c r="B285" s="1186" t="s">
        <v>311</v>
      </c>
      <c r="C285" s="1186">
        <v>503</v>
      </c>
      <c r="D285" s="1186">
        <v>12</v>
      </c>
      <c r="E285" s="1186">
        <v>135</v>
      </c>
      <c r="F285" s="1186">
        <v>2</v>
      </c>
      <c r="G285" s="1186">
        <v>22</v>
      </c>
      <c r="H285" s="1186">
        <v>1</v>
      </c>
      <c r="I285" s="1186">
        <v>73</v>
      </c>
      <c r="J285" s="1186">
        <v>114</v>
      </c>
      <c r="K285" s="1186">
        <v>13</v>
      </c>
      <c r="L285" s="1186">
        <v>131</v>
      </c>
      <c r="M285" s="1186">
        <v>176830</v>
      </c>
    </row>
    <row r="286" spans="1:13" x14ac:dyDescent="0.2">
      <c r="A286" s="1186" t="s">
        <v>46</v>
      </c>
      <c r="B286" s="1186" t="s">
        <v>311</v>
      </c>
      <c r="C286" s="1186">
        <v>133</v>
      </c>
      <c r="D286" s="1186">
        <v>3</v>
      </c>
      <c r="E286" s="1186">
        <v>57</v>
      </c>
      <c r="F286" s="1186">
        <v>3</v>
      </c>
      <c r="G286" s="1186">
        <v>6</v>
      </c>
      <c r="H286" s="1186"/>
      <c r="I286" s="1186">
        <v>30</v>
      </c>
      <c r="J286" s="1186">
        <v>18</v>
      </c>
      <c r="K286" s="1186">
        <v>3</v>
      </c>
      <c r="L286" s="1186">
        <v>13</v>
      </c>
      <c r="M286" s="1186">
        <v>115020</v>
      </c>
    </row>
    <row r="287" spans="1:13" x14ac:dyDescent="0.2">
      <c r="A287" s="1186" t="s">
        <v>47</v>
      </c>
      <c r="B287" s="1186" t="s">
        <v>311</v>
      </c>
      <c r="C287" s="1186">
        <v>11</v>
      </c>
      <c r="D287" s="1186">
        <v>1</v>
      </c>
      <c r="E287" s="1186">
        <v>7</v>
      </c>
      <c r="F287" s="1186"/>
      <c r="G287" s="1186">
        <v>1</v>
      </c>
      <c r="H287" s="1186"/>
      <c r="I287" s="1186"/>
      <c r="J287" s="1186"/>
      <c r="K287" s="1186">
        <v>1</v>
      </c>
      <c r="L287" s="1186">
        <v>1</v>
      </c>
      <c r="M287" s="1186">
        <v>23080</v>
      </c>
    </row>
    <row r="288" spans="1:13" x14ac:dyDescent="0.2">
      <c r="A288" s="1186" t="s">
        <v>48</v>
      </c>
      <c r="B288" s="1186" t="s">
        <v>311</v>
      </c>
      <c r="C288" s="1186">
        <v>251</v>
      </c>
      <c r="D288" s="1186">
        <v>4</v>
      </c>
      <c r="E288" s="1186">
        <v>108</v>
      </c>
      <c r="F288" s="1186">
        <v>1</v>
      </c>
      <c r="G288" s="1186">
        <v>5</v>
      </c>
      <c r="H288" s="1186">
        <v>2</v>
      </c>
      <c r="I288" s="1186">
        <v>46</v>
      </c>
      <c r="J288" s="1186">
        <v>54</v>
      </c>
      <c r="K288" s="1186">
        <v>2</v>
      </c>
      <c r="L288" s="1186">
        <v>29</v>
      </c>
      <c r="M288" s="1186">
        <v>112680</v>
      </c>
    </row>
    <row r="289" spans="1:13" x14ac:dyDescent="0.2">
      <c r="A289" s="1186" t="s">
        <v>49</v>
      </c>
      <c r="B289" s="1186" t="s">
        <v>311</v>
      </c>
      <c r="C289" s="1186">
        <v>797</v>
      </c>
      <c r="D289" s="1186">
        <v>20</v>
      </c>
      <c r="E289" s="1186">
        <v>209</v>
      </c>
      <c r="F289" s="1186">
        <v>6</v>
      </c>
      <c r="G289" s="1186">
        <v>14</v>
      </c>
      <c r="H289" s="1186">
        <v>4</v>
      </c>
      <c r="I289" s="1186">
        <v>73</v>
      </c>
      <c r="J289" s="1186">
        <v>187</v>
      </c>
      <c r="K289" s="1186">
        <v>28</v>
      </c>
      <c r="L289" s="1186">
        <v>256</v>
      </c>
      <c r="M289" s="1186">
        <v>318170</v>
      </c>
    </row>
    <row r="290" spans="1:13" x14ac:dyDescent="0.2">
      <c r="A290" s="1186" t="s">
        <v>50</v>
      </c>
      <c r="B290" s="1186" t="s">
        <v>311</v>
      </c>
      <c r="C290" s="1186">
        <v>171</v>
      </c>
      <c r="D290" s="1186">
        <v>2</v>
      </c>
      <c r="E290" s="1186">
        <v>80</v>
      </c>
      <c r="F290" s="1186">
        <v>1</v>
      </c>
      <c r="G290" s="1186">
        <v>7</v>
      </c>
      <c r="H290" s="1186"/>
      <c r="I290" s="1186">
        <v>17</v>
      </c>
      <c r="J290" s="1186">
        <v>35</v>
      </c>
      <c r="K290" s="1186">
        <v>4</v>
      </c>
      <c r="L290" s="1186">
        <v>25</v>
      </c>
      <c r="M290" s="1186">
        <v>94000</v>
      </c>
    </row>
    <row r="291" spans="1:13" x14ac:dyDescent="0.2">
      <c r="A291" s="1186" t="s">
        <v>51</v>
      </c>
      <c r="B291" s="1186" t="s">
        <v>311</v>
      </c>
      <c r="C291" s="1186">
        <v>241</v>
      </c>
      <c r="D291" s="1186">
        <v>3</v>
      </c>
      <c r="E291" s="1186">
        <v>69</v>
      </c>
      <c r="F291" s="1186">
        <v>2</v>
      </c>
      <c r="G291" s="1186">
        <v>2</v>
      </c>
      <c r="H291" s="1186">
        <v>1</v>
      </c>
      <c r="I291" s="1186">
        <v>35</v>
      </c>
      <c r="J291" s="1186">
        <v>57</v>
      </c>
      <c r="K291" s="1186">
        <v>6</v>
      </c>
      <c r="L291" s="1186">
        <v>66</v>
      </c>
      <c r="M291" s="1186">
        <v>89610</v>
      </c>
    </row>
    <row r="292" spans="1:13" x14ac:dyDescent="0.2">
      <c r="A292" s="1186" t="s">
        <v>52</v>
      </c>
      <c r="B292" s="1186" t="s">
        <v>311</v>
      </c>
      <c r="C292" s="1186">
        <v>723</v>
      </c>
      <c r="D292" s="1186">
        <v>4</v>
      </c>
      <c r="E292" s="1186">
        <v>339</v>
      </c>
      <c r="F292" s="1186">
        <v>1</v>
      </c>
      <c r="G292" s="1186">
        <v>14</v>
      </c>
      <c r="H292" s="1186">
        <v>5</v>
      </c>
      <c r="I292" s="1186">
        <v>74</v>
      </c>
      <c r="J292" s="1186">
        <v>161</v>
      </c>
      <c r="K292" s="1186">
        <v>22</v>
      </c>
      <c r="L292" s="1186">
        <v>103</v>
      </c>
      <c r="M292" s="1186">
        <v>181310</v>
      </c>
    </row>
    <row r="293" spans="1:13" x14ac:dyDescent="0.2">
      <c r="A293" s="1186" t="s">
        <v>23</v>
      </c>
      <c r="B293" s="1186" t="s">
        <v>621</v>
      </c>
      <c r="C293" s="1186">
        <v>527</v>
      </c>
      <c r="D293" s="1186">
        <v>8</v>
      </c>
      <c r="E293" s="1186">
        <v>247</v>
      </c>
      <c r="F293" s="1186">
        <v>1</v>
      </c>
      <c r="G293" s="1186">
        <v>16</v>
      </c>
      <c r="H293" s="1186">
        <v>1</v>
      </c>
      <c r="I293" s="1186">
        <v>26</v>
      </c>
      <c r="J293" s="1186">
        <v>138</v>
      </c>
      <c r="K293" s="1186">
        <v>23</v>
      </c>
      <c r="L293" s="1186">
        <v>67</v>
      </c>
      <c r="M293" s="1186">
        <v>227560</v>
      </c>
    </row>
    <row r="294" spans="1:13" x14ac:dyDescent="0.2">
      <c r="A294" s="1186" t="s">
        <v>24</v>
      </c>
      <c r="B294" s="1186" t="s">
        <v>621</v>
      </c>
      <c r="C294" s="1186">
        <v>335</v>
      </c>
      <c r="D294" s="1186">
        <v>4</v>
      </c>
      <c r="E294" s="1186">
        <v>197</v>
      </c>
      <c r="F294" s="1186">
        <v>7</v>
      </c>
      <c r="G294" s="1186">
        <v>8</v>
      </c>
      <c r="H294" s="1186">
        <v>2</v>
      </c>
      <c r="I294" s="1186">
        <v>19</v>
      </c>
      <c r="J294" s="1186">
        <v>22</v>
      </c>
      <c r="K294" s="1186">
        <v>12</v>
      </c>
      <c r="L294" s="1186">
        <v>64</v>
      </c>
      <c r="M294" s="1186">
        <v>261470</v>
      </c>
    </row>
    <row r="295" spans="1:13" x14ac:dyDescent="0.2">
      <c r="A295" s="1186" t="s">
        <v>25</v>
      </c>
      <c r="B295" s="1186" t="s">
        <v>621</v>
      </c>
      <c r="C295" s="1186">
        <v>201</v>
      </c>
      <c r="D295" s="1186">
        <v>11</v>
      </c>
      <c r="E295" s="1186">
        <v>109</v>
      </c>
      <c r="F295" s="1186">
        <v>6</v>
      </c>
      <c r="G295" s="1186">
        <v>8</v>
      </c>
      <c r="H295" s="1186">
        <v>3</v>
      </c>
      <c r="I295" s="1186">
        <v>9</v>
      </c>
      <c r="J295" s="1186">
        <v>24</v>
      </c>
      <c r="K295" s="1186">
        <v>4</v>
      </c>
      <c r="L295" s="1186">
        <v>27</v>
      </c>
      <c r="M295" s="1186">
        <v>116040</v>
      </c>
    </row>
    <row r="296" spans="1:13" x14ac:dyDescent="0.2">
      <c r="A296" s="1186" t="s">
        <v>26</v>
      </c>
      <c r="B296" s="1186" t="s">
        <v>621</v>
      </c>
      <c r="C296" s="1186">
        <v>120</v>
      </c>
      <c r="D296" s="1186">
        <v>3</v>
      </c>
      <c r="E296" s="1186">
        <v>57</v>
      </c>
      <c r="F296" s="1186">
        <v>1</v>
      </c>
      <c r="G296" s="1186">
        <v>5</v>
      </c>
      <c r="H296" s="1186">
        <v>4</v>
      </c>
      <c r="I296" s="1186">
        <v>17</v>
      </c>
      <c r="J296" s="1186">
        <v>18</v>
      </c>
      <c r="K296" s="1186">
        <v>1</v>
      </c>
      <c r="L296" s="1186">
        <v>14</v>
      </c>
      <c r="M296" s="1186">
        <v>86260</v>
      </c>
    </row>
    <row r="297" spans="1:13" x14ac:dyDescent="0.2">
      <c r="A297" s="1186" t="s">
        <v>619</v>
      </c>
      <c r="B297" s="1186" t="s">
        <v>621</v>
      </c>
      <c r="C297" s="1186">
        <v>1850</v>
      </c>
      <c r="D297" s="1186">
        <v>12</v>
      </c>
      <c r="E297" s="1186">
        <v>469</v>
      </c>
      <c r="F297" s="1186">
        <v>3</v>
      </c>
      <c r="G297" s="1186">
        <v>41</v>
      </c>
      <c r="H297" s="1186">
        <v>4</v>
      </c>
      <c r="I297" s="1186">
        <v>126</v>
      </c>
      <c r="J297" s="1186">
        <v>722</v>
      </c>
      <c r="K297" s="1186">
        <v>104</v>
      </c>
      <c r="L297" s="1186">
        <v>369</v>
      </c>
      <c r="M297" s="1186">
        <v>518500</v>
      </c>
    </row>
    <row r="298" spans="1:13" x14ac:dyDescent="0.2">
      <c r="A298" s="1186" t="s">
        <v>27</v>
      </c>
      <c r="B298" s="1186" t="s">
        <v>621</v>
      </c>
      <c r="C298" s="1186">
        <v>88</v>
      </c>
      <c r="D298" s="1186">
        <v>3</v>
      </c>
      <c r="E298" s="1186">
        <v>33</v>
      </c>
      <c r="F298" s="1186">
        <v>1</v>
      </c>
      <c r="G298" s="1186">
        <v>5</v>
      </c>
      <c r="H298" s="1186">
        <v>2</v>
      </c>
      <c r="I298" s="1186">
        <v>2</v>
      </c>
      <c r="J298" s="1186">
        <v>19</v>
      </c>
      <c r="K298" s="1186">
        <v>1</v>
      </c>
      <c r="L298" s="1186">
        <v>22</v>
      </c>
      <c r="M298" s="1186">
        <v>51400</v>
      </c>
    </row>
    <row r="299" spans="1:13" x14ac:dyDescent="0.2">
      <c r="A299" s="1186" t="s">
        <v>28</v>
      </c>
      <c r="B299" s="1186" t="s">
        <v>621</v>
      </c>
      <c r="C299" s="1186">
        <v>199</v>
      </c>
      <c r="D299" s="1186">
        <v>8</v>
      </c>
      <c r="E299" s="1186">
        <v>95</v>
      </c>
      <c r="F299" s="1186"/>
      <c r="G299" s="1186">
        <v>9</v>
      </c>
      <c r="H299" s="1186">
        <v>3</v>
      </c>
      <c r="I299" s="1186">
        <v>12</v>
      </c>
      <c r="J299" s="1186">
        <v>30</v>
      </c>
      <c r="K299" s="1186">
        <v>3</v>
      </c>
      <c r="L299" s="1186">
        <v>39</v>
      </c>
      <c r="M299" s="1186">
        <v>148790</v>
      </c>
    </row>
    <row r="300" spans="1:13" x14ac:dyDescent="0.2">
      <c r="A300" s="1186" t="s">
        <v>29</v>
      </c>
      <c r="B300" s="1186" t="s">
        <v>621</v>
      </c>
      <c r="C300" s="1186">
        <v>606</v>
      </c>
      <c r="D300" s="1186">
        <v>12</v>
      </c>
      <c r="E300" s="1186">
        <v>254</v>
      </c>
      <c r="F300" s="1186">
        <v>2</v>
      </c>
      <c r="G300" s="1186">
        <v>13</v>
      </c>
      <c r="H300" s="1186">
        <v>1</v>
      </c>
      <c r="I300" s="1186">
        <v>53</v>
      </c>
      <c r="J300" s="1186">
        <v>168</v>
      </c>
      <c r="K300" s="1186">
        <v>21</v>
      </c>
      <c r="L300" s="1186">
        <v>82</v>
      </c>
      <c r="M300" s="1186">
        <v>148750</v>
      </c>
    </row>
    <row r="301" spans="1:13" x14ac:dyDescent="0.2">
      <c r="A301" s="1186" t="s">
        <v>30</v>
      </c>
      <c r="B301" s="1186" t="s">
        <v>621</v>
      </c>
      <c r="C301" s="1186">
        <v>586</v>
      </c>
      <c r="D301" s="1186">
        <v>12</v>
      </c>
      <c r="E301" s="1186">
        <v>250</v>
      </c>
      <c r="F301" s="1186">
        <v>1</v>
      </c>
      <c r="G301" s="1186">
        <v>8</v>
      </c>
      <c r="H301" s="1186">
        <v>4</v>
      </c>
      <c r="I301" s="1186">
        <v>58</v>
      </c>
      <c r="J301" s="1186">
        <v>131</v>
      </c>
      <c r="K301" s="1186">
        <v>8</v>
      </c>
      <c r="L301" s="1186">
        <v>114</v>
      </c>
      <c r="M301" s="1186">
        <v>121840</v>
      </c>
    </row>
    <row r="302" spans="1:13" x14ac:dyDescent="0.2">
      <c r="A302" s="1186" t="s">
        <v>31</v>
      </c>
      <c r="B302" s="1186" t="s">
        <v>621</v>
      </c>
      <c r="C302" s="1186">
        <v>232</v>
      </c>
      <c r="D302" s="1186"/>
      <c r="E302" s="1186">
        <v>62</v>
      </c>
      <c r="F302" s="1186">
        <v>2</v>
      </c>
      <c r="G302" s="1186">
        <v>4</v>
      </c>
      <c r="H302" s="1186">
        <v>1</v>
      </c>
      <c r="I302" s="1186">
        <v>34</v>
      </c>
      <c r="J302" s="1186">
        <v>72</v>
      </c>
      <c r="K302" s="1186">
        <v>10</v>
      </c>
      <c r="L302" s="1186">
        <v>47</v>
      </c>
      <c r="M302" s="1186">
        <v>108330</v>
      </c>
    </row>
    <row r="303" spans="1:13" x14ac:dyDescent="0.2">
      <c r="A303" s="1186" t="s">
        <v>32</v>
      </c>
      <c r="B303" s="1186" t="s">
        <v>621</v>
      </c>
      <c r="C303" s="1186">
        <v>303</v>
      </c>
      <c r="D303" s="1186">
        <v>3</v>
      </c>
      <c r="E303" s="1186">
        <v>138</v>
      </c>
      <c r="F303" s="1186">
        <v>2</v>
      </c>
      <c r="G303" s="1186">
        <v>7</v>
      </c>
      <c r="H303" s="1186"/>
      <c r="I303" s="1186">
        <v>32</v>
      </c>
      <c r="J303" s="1186">
        <v>28</v>
      </c>
      <c r="K303" s="1186">
        <v>15</v>
      </c>
      <c r="L303" s="1186">
        <v>78</v>
      </c>
      <c r="M303" s="1186">
        <v>105790</v>
      </c>
    </row>
    <row r="304" spans="1:13" x14ac:dyDescent="0.2">
      <c r="A304" s="1186" t="s">
        <v>33</v>
      </c>
      <c r="B304" s="1186" t="s">
        <v>621</v>
      </c>
      <c r="C304" s="1186">
        <v>123</v>
      </c>
      <c r="D304" s="1186">
        <v>1</v>
      </c>
      <c r="E304" s="1186">
        <v>47</v>
      </c>
      <c r="F304" s="1186"/>
      <c r="G304" s="1186">
        <v>8</v>
      </c>
      <c r="H304" s="1186">
        <v>1</v>
      </c>
      <c r="I304" s="1186">
        <v>14</v>
      </c>
      <c r="J304" s="1186">
        <v>23</v>
      </c>
      <c r="K304" s="1186">
        <v>4</v>
      </c>
      <c r="L304" s="1186">
        <v>25</v>
      </c>
      <c r="M304" s="1186">
        <v>95170</v>
      </c>
    </row>
    <row r="305" spans="1:13" x14ac:dyDescent="0.2">
      <c r="A305" s="1186" t="s">
        <v>34</v>
      </c>
      <c r="B305" s="1186" t="s">
        <v>621</v>
      </c>
      <c r="C305" s="1186">
        <v>359</v>
      </c>
      <c r="D305" s="1186">
        <v>9</v>
      </c>
      <c r="E305" s="1186">
        <v>208</v>
      </c>
      <c r="F305" s="1186">
        <v>5</v>
      </c>
      <c r="G305" s="1186">
        <v>7</v>
      </c>
      <c r="H305" s="1186"/>
      <c r="I305" s="1186">
        <v>20</v>
      </c>
      <c r="J305" s="1186">
        <v>44</v>
      </c>
      <c r="K305" s="1186">
        <v>7</v>
      </c>
      <c r="L305" s="1186">
        <v>59</v>
      </c>
      <c r="M305" s="1186">
        <v>160340</v>
      </c>
    </row>
    <row r="306" spans="1:13" x14ac:dyDescent="0.2">
      <c r="A306" s="1186" t="s">
        <v>35</v>
      </c>
      <c r="B306" s="1186" t="s">
        <v>621</v>
      </c>
      <c r="C306" s="1186">
        <v>1034</v>
      </c>
      <c r="D306" s="1186">
        <v>16</v>
      </c>
      <c r="E306" s="1186">
        <v>408</v>
      </c>
      <c r="F306" s="1186">
        <v>6</v>
      </c>
      <c r="G306" s="1186">
        <v>27</v>
      </c>
      <c r="H306" s="1186">
        <v>5</v>
      </c>
      <c r="I306" s="1186">
        <v>98</v>
      </c>
      <c r="J306" s="1186">
        <v>200</v>
      </c>
      <c r="K306" s="1186">
        <v>24</v>
      </c>
      <c r="L306" s="1186">
        <v>250</v>
      </c>
      <c r="M306" s="1186">
        <v>371910</v>
      </c>
    </row>
    <row r="307" spans="1:13" x14ac:dyDescent="0.2">
      <c r="A307" s="1186" t="s">
        <v>36</v>
      </c>
      <c r="B307" s="1186" t="s">
        <v>621</v>
      </c>
      <c r="C307" s="1186">
        <v>2500</v>
      </c>
      <c r="D307" s="1186">
        <v>31</v>
      </c>
      <c r="E307" s="1186">
        <v>572</v>
      </c>
      <c r="F307" s="1186">
        <v>7</v>
      </c>
      <c r="G307" s="1186">
        <v>43</v>
      </c>
      <c r="H307" s="1186">
        <v>4</v>
      </c>
      <c r="I307" s="1186">
        <v>215</v>
      </c>
      <c r="J307" s="1186">
        <v>826</v>
      </c>
      <c r="K307" s="1186">
        <v>71</v>
      </c>
      <c r="L307" s="1186">
        <v>731</v>
      </c>
      <c r="M307" s="1186">
        <v>626410</v>
      </c>
    </row>
    <row r="308" spans="1:13" x14ac:dyDescent="0.2">
      <c r="A308" s="1186" t="s">
        <v>37</v>
      </c>
      <c r="B308" s="1186" t="s">
        <v>621</v>
      </c>
      <c r="C308" s="1186">
        <v>522</v>
      </c>
      <c r="D308" s="1186">
        <v>6</v>
      </c>
      <c r="E308" s="1186">
        <v>381</v>
      </c>
      <c r="F308" s="1186">
        <v>1</v>
      </c>
      <c r="G308" s="1186">
        <v>15</v>
      </c>
      <c r="H308" s="1186">
        <v>5</v>
      </c>
      <c r="I308" s="1186">
        <v>23</v>
      </c>
      <c r="J308" s="1186">
        <v>46</v>
      </c>
      <c r="K308" s="1186">
        <v>4</v>
      </c>
      <c r="L308" s="1186">
        <v>41</v>
      </c>
      <c r="M308" s="1186">
        <v>235540</v>
      </c>
    </row>
    <row r="309" spans="1:13" x14ac:dyDescent="0.2">
      <c r="A309" s="1186" t="s">
        <v>38</v>
      </c>
      <c r="B309" s="1186" t="s">
        <v>621</v>
      </c>
      <c r="C309" s="1186">
        <v>372</v>
      </c>
      <c r="D309" s="1186">
        <v>8</v>
      </c>
      <c r="E309" s="1186">
        <v>255</v>
      </c>
      <c r="F309" s="1186"/>
      <c r="G309" s="1186">
        <v>6</v>
      </c>
      <c r="H309" s="1186">
        <v>2</v>
      </c>
      <c r="I309" s="1186">
        <v>23</v>
      </c>
      <c r="J309" s="1186">
        <v>27</v>
      </c>
      <c r="K309" s="1186">
        <v>4</v>
      </c>
      <c r="L309" s="1186">
        <v>47</v>
      </c>
      <c r="M309" s="1186">
        <v>78150</v>
      </c>
    </row>
    <row r="310" spans="1:13" x14ac:dyDescent="0.2">
      <c r="A310" s="1186" t="s">
        <v>39</v>
      </c>
      <c r="B310" s="1186" t="s">
        <v>621</v>
      </c>
      <c r="C310" s="1186">
        <v>317</v>
      </c>
      <c r="D310" s="1186">
        <v>2</v>
      </c>
      <c r="E310" s="1186">
        <v>135</v>
      </c>
      <c r="F310" s="1186">
        <v>6</v>
      </c>
      <c r="G310" s="1186">
        <v>13</v>
      </c>
      <c r="H310" s="1186">
        <v>1</v>
      </c>
      <c r="I310" s="1186">
        <v>39</v>
      </c>
      <c r="J310" s="1186">
        <v>50</v>
      </c>
      <c r="K310" s="1186">
        <v>13</v>
      </c>
      <c r="L310" s="1186">
        <v>58</v>
      </c>
      <c r="M310" s="1186">
        <v>91340</v>
      </c>
    </row>
    <row r="311" spans="1:13" x14ac:dyDescent="0.2">
      <c r="A311" s="1186" t="s">
        <v>40</v>
      </c>
      <c r="B311" s="1186" t="s">
        <v>621</v>
      </c>
      <c r="C311" s="1186">
        <v>237</v>
      </c>
      <c r="D311" s="1186">
        <v>3</v>
      </c>
      <c r="E311" s="1186">
        <v>189</v>
      </c>
      <c r="F311" s="1186">
        <v>1</v>
      </c>
      <c r="G311" s="1186">
        <v>5</v>
      </c>
      <c r="H311" s="1186"/>
      <c r="I311" s="1186">
        <v>5</v>
      </c>
      <c r="J311" s="1186">
        <v>6</v>
      </c>
      <c r="K311" s="1186">
        <v>1</v>
      </c>
      <c r="L311" s="1186">
        <v>27</v>
      </c>
      <c r="M311" s="1186">
        <v>95520</v>
      </c>
    </row>
    <row r="312" spans="1:13" x14ac:dyDescent="0.2">
      <c r="A312" s="1186" t="s">
        <v>295</v>
      </c>
      <c r="B312" s="1186" t="s">
        <v>621</v>
      </c>
      <c r="C312" s="1186">
        <v>47</v>
      </c>
      <c r="D312" s="1186"/>
      <c r="E312" s="1186">
        <v>41</v>
      </c>
      <c r="F312" s="1186"/>
      <c r="G312" s="1186"/>
      <c r="H312" s="1186"/>
      <c r="I312" s="1186">
        <v>1</v>
      </c>
      <c r="J312" s="1186">
        <v>2</v>
      </c>
      <c r="K312" s="1186">
        <v>1</v>
      </c>
      <c r="L312" s="1186">
        <v>2</v>
      </c>
      <c r="M312" s="1186">
        <v>26830</v>
      </c>
    </row>
    <row r="313" spans="1:13" x14ac:dyDescent="0.2">
      <c r="A313" s="1186" t="s">
        <v>41</v>
      </c>
      <c r="B313" s="1186" t="s">
        <v>621</v>
      </c>
      <c r="C313" s="1186">
        <v>588</v>
      </c>
      <c r="D313" s="1186">
        <v>7</v>
      </c>
      <c r="E313" s="1186">
        <v>273</v>
      </c>
      <c r="F313" s="1186">
        <v>6</v>
      </c>
      <c r="G313" s="1186">
        <v>6</v>
      </c>
      <c r="H313" s="1186"/>
      <c r="I313" s="1186">
        <v>110</v>
      </c>
      <c r="J313" s="1186">
        <v>83</v>
      </c>
      <c r="K313" s="1186">
        <v>15</v>
      </c>
      <c r="L313" s="1186">
        <v>88</v>
      </c>
      <c r="M313" s="1186">
        <v>135280</v>
      </c>
    </row>
    <row r="314" spans="1:13" x14ac:dyDescent="0.2">
      <c r="A314" s="1186" t="s">
        <v>42</v>
      </c>
      <c r="B314" s="1186" t="s">
        <v>621</v>
      </c>
      <c r="C314" s="1186">
        <v>1293</v>
      </c>
      <c r="D314" s="1186">
        <v>10</v>
      </c>
      <c r="E314" s="1186">
        <v>399</v>
      </c>
      <c r="F314" s="1186">
        <v>5</v>
      </c>
      <c r="G314" s="1186">
        <v>27</v>
      </c>
      <c r="H314" s="1186">
        <v>8</v>
      </c>
      <c r="I314" s="1186">
        <v>188</v>
      </c>
      <c r="J314" s="1186">
        <v>214</v>
      </c>
      <c r="K314" s="1186">
        <v>34</v>
      </c>
      <c r="L314" s="1186">
        <v>408</v>
      </c>
      <c r="M314" s="1186">
        <v>340180</v>
      </c>
    </row>
    <row r="315" spans="1:13" x14ac:dyDescent="0.2">
      <c r="A315" s="1186" t="s">
        <v>43</v>
      </c>
      <c r="B315" s="1186" t="s">
        <v>621</v>
      </c>
      <c r="C315" s="1186">
        <v>23</v>
      </c>
      <c r="D315" s="1186">
        <v>2</v>
      </c>
      <c r="E315" s="1186">
        <v>11</v>
      </c>
      <c r="F315" s="1186"/>
      <c r="G315" s="1186">
        <v>1</v>
      </c>
      <c r="H315" s="1186"/>
      <c r="I315" s="1186">
        <v>3</v>
      </c>
      <c r="J315" s="1186">
        <v>2</v>
      </c>
      <c r="K315" s="1186">
        <v>1</v>
      </c>
      <c r="L315" s="1186">
        <v>3</v>
      </c>
      <c r="M315" s="1186">
        <v>22190</v>
      </c>
    </row>
    <row r="316" spans="1:13" x14ac:dyDescent="0.2">
      <c r="A316" s="1186" t="s">
        <v>44</v>
      </c>
      <c r="B316" s="1186" t="s">
        <v>621</v>
      </c>
      <c r="C316" s="1186">
        <v>164</v>
      </c>
      <c r="D316" s="1186">
        <v>9</v>
      </c>
      <c r="E316" s="1186">
        <v>92</v>
      </c>
      <c r="F316" s="1186">
        <v>1</v>
      </c>
      <c r="G316" s="1186">
        <v>4</v>
      </c>
      <c r="H316" s="1186">
        <v>1</v>
      </c>
      <c r="I316" s="1186">
        <v>13</v>
      </c>
      <c r="J316" s="1186">
        <v>16</v>
      </c>
      <c r="K316" s="1186">
        <v>4</v>
      </c>
      <c r="L316" s="1186">
        <v>24</v>
      </c>
      <c r="M316" s="1186">
        <v>151290</v>
      </c>
    </row>
    <row r="317" spans="1:13" x14ac:dyDescent="0.2">
      <c r="A317" s="1186" t="s">
        <v>45</v>
      </c>
      <c r="B317" s="1186" t="s">
        <v>621</v>
      </c>
      <c r="C317" s="1186">
        <v>617</v>
      </c>
      <c r="D317" s="1186">
        <v>16</v>
      </c>
      <c r="E317" s="1186">
        <v>218</v>
      </c>
      <c r="F317" s="1186">
        <v>4</v>
      </c>
      <c r="G317" s="1186">
        <v>10</v>
      </c>
      <c r="H317" s="1186">
        <v>3</v>
      </c>
      <c r="I317" s="1186">
        <v>62</v>
      </c>
      <c r="J317" s="1186">
        <v>140</v>
      </c>
      <c r="K317" s="1186">
        <v>16</v>
      </c>
      <c r="L317" s="1186">
        <v>148</v>
      </c>
      <c r="M317" s="1186">
        <v>177790</v>
      </c>
    </row>
    <row r="318" spans="1:13" x14ac:dyDescent="0.2">
      <c r="A318" s="1186" t="s">
        <v>46</v>
      </c>
      <c r="B318" s="1186" t="s">
        <v>621</v>
      </c>
      <c r="C318" s="1186">
        <v>133</v>
      </c>
      <c r="D318" s="1186">
        <v>1</v>
      </c>
      <c r="E318" s="1186">
        <v>78</v>
      </c>
      <c r="F318" s="1186">
        <v>2</v>
      </c>
      <c r="G318" s="1186">
        <v>3</v>
      </c>
      <c r="H318" s="1186">
        <v>1</v>
      </c>
      <c r="I318" s="1186">
        <v>19</v>
      </c>
      <c r="J318" s="1186">
        <v>12</v>
      </c>
      <c r="K318" s="1186">
        <v>3</v>
      </c>
      <c r="L318" s="1186">
        <v>14</v>
      </c>
      <c r="M318" s="1186">
        <v>115270</v>
      </c>
    </row>
    <row r="319" spans="1:13" x14ac:dyDescent="0.2">
      <c r="A319" s="1186" t="s">
        <v>47</v>
      </c>
      <c r="B319" s="1186" t="s">
        <v>621</v>
      </c>
      <c r="C319" s="1186">
        <v>18</v>
      </c>
      <c r="D319" s="1186">
        <v>2</v>
      </c>
      <c r="E319" s="1186">
        <v>9</v>
      </c>
      <c r="F319" s="1186"/>
      <c r="G319" s="1186">
        <v>1</v>
      </c>
      <c r="H319" s="1186"/>
      <c r="I319" s="1186">
        <v>2</v>
      </c>
      <c r="J319" s="1186">
        <v>3</v>
      </c>
      <c r="K319" s="1186"/>
      <c r="L319" s="1186">
        <v>1</v>
      </c>
      <c r="M319" s="1186">
        <v>22990</v>
      </c>
    </row>
    <row r="320" spans="1:13" x14ac:dyDescent="0.2">
      <c r="A320" s="1186" t="s">
        <v>48</v>
      </c>
      <c r="B320" s="1186" t="s">
        <v>621</v>
      </c>
      <c r="C320" s="1186">
        <v>254</v>
      </c>
      <c r="D320" s="1186">
        <v>3</v>
      </c>
      <c r="E320" s="1186">
        <v>111</v>
      </c>
      <c r="F320" s="1186">
        <v>3</v>
      </c>
      <c r="G320" s="1186">
        <v>2</v>
      </c>
      <c r="H320" s="1186">
        <v>2</v>
      </c>
      <c r="I320" s="1186">
        <v>35</v>
      </c>
      <c r="J320" s="1186">
        <v>54</v>
      </c>
      <c r="K320" s="1186">
        <v>5</v>
      </c>
      <c r="L320" s="1186">
        <v>39</v>
      </c>
      <c r="M320" s="1186">
        <v>112550</v>
      </c>
    </row>
    <row r="321" spans="1:13" x14ac:dyDescent="0.2">
      <c r="A321" s="1186" t="s">
        <v>49</v>
      </c>
      <c r="B321" s="1186" t="s">
        <v>621</v>
      </c>
      <c r="C321" s="1186">
        <v>753</v>
      </c>
      <c r="D321" s="1186">
        <v>9</v>
      </c>
      <c r="E321" s="1186">
        <v>243</v>
      </c>
      <c r="F321" s="1186">
        <v>2</v>
      </c>
      <c r="G321" s="1186">
        <v>12</v>
      </c>
      <c r="H321" s="1186">
        <v>3</v>
      </c>
      <c r="I321" s="1186">
        <v>76</v>
      </c>
      <c r="J321" s="1186">
        <v>139</v>
      </c>
      <c r="K321" s="1186">
        <v>21</v>
      </c>
      <c r="L321" s="1186">
        <v>248</v>
      </c>
      <c r="M321" s="1186">
        <v>319020</v>
      </c>
    </row>
    <row r="322" spans="1:13" x14ac:dyDescent="0.2">
      <c r="A322" s="1186" t="s">
        <v>50</v>
      </c>
      <c r="B322" s="1186" t="s">
        <v>621</v>
      </c>
      <c r="C322" s="1186">
        <v>175</v>
      </c>
      <c r="D322" s="1186">
        <v>4</v>
      </c>
      <c r="E322" s="1186">
        <v>101</v>
      </c>
      <c r="F322" s="1186"/>
      <c r="G322" s="1186">
        <v>5</v>
      </c>
      <c r="H322" s="1186"/>
      <c r="I322" s="1186">
        <v>10</v>
      </c>
      <c r="J322" s="1186">
        <v>18</v>
      </c>
      <c r="K322" s="1186">
        <v>3</v>
      </c>
      <c r="L322" s="1186">
        <v>34</v>
      </c>
      <c r="M322" s="1186">
        <v>94330</v>
      </c>
    </row>
    <row r="323" spans="1:13" x14ac:dyDescent="0.2">
      <c r="A323" s="1186" t="s">
        <v>51</v>
      </c>
      <c r="B323" s="1186" t="s">
        <v>621</v>
      </c>
      <c r="C323" s="1186">
        <v>262</v>
      </c>
      <c r="D323" s="1186">
        <v>3</v>
      </c>
      <c r="E323" s="1186">
        <v>91</v>
      </c>
      <c r="F323" s="1186">
        <v>2</v>
      </c>
      <c r="G323" s="1186">
        <v>5</v>
      </c>
      <c r="H323" s="1186">
        <v>2</v>
      </c>
      <c r="I323" s="1186">
        <v>25</v>
      </c>
      <c r="J323" s="1186">
        <v>73</v>
      </c>
      <c r="K323" s="1186">
        <v>6</v>
      </c>
      <c r="L323" s="1186">
        <v>55</v>
      </c>
      <c r="M323" s="1186">
        <v>89130</v>
      </c>
    </row>
    <row r="324" spans="1:13" x14ac:dyDescent="0.2">
      <c r="A324" s="1186" t="s">
        <v>52</v>
      </c>
      <c r="B324" s="1186" t="s">
        <v>621</v>
      </c>
      <c r="C324" s="1186">
        <v>859</v>
      </c>
      <c r="D324" s="1186">
        <v>4</v>
      </c>
      <c r="E324" s="1186">
        <v>424</v>
      </c>
      <c r="F324" s="1186"/>
      <c r="G324" s="1186">
        <v>23</v>
      </c>
      <c r="H324" s="1186">
        <v>4</v>
      </c>
      <c r="I324" s="1186">
        <v>52</v>
      </c>
      <c r="J324" s="1186">
        <v>217</v>
      </c>
      <c r="K324" s="1186">
        <v>13</v>
      </c>
      <c r="L324" s="1186">
        <v>122</v>
      </c>
      <c r="M324" s="1186">
        <v>182140</v>
      </c>
    </row>
    <row r="325" spans="1:13" x14ac:dyDescent="0.2">
      <c r="A325" s="1186" t="s">
        <v>23</v>
      </c>
      <c r="B325" s="1186" t="s">
        <v>1419</v>
      </c>
      <c r="C325" s="1186">
        <v>341</v>
      </c>
      <c r="D325" s="1186">
        <v>9</v>
      </c>
      <c r="E325" s="1186">
        <v>112</v>
      </c>
      <c r="F325" s="1186">
        <v>1</v>
      </c>
      <c r="G325" s="1186">
        <v>16</v>
      </c>
      <c r="H325" s="1186"/>
      <c r="I325" s="1186">
        <v>18</v>
      </c>
      <c r="J325" s="1186">
        <v>114</v>
      </c>
      <c r="K325" s="1186">
        <v>14</v>
      </c>
      <c r="L325" s="1186">
        <v>57</v>
      </c>
      <c r="M325" s="1186">
        <v>228670</v>
      </c>
    </row>
    <row r="326" spans="1:13" x14ac:dyDescent="0.2">
      <c r="A326" s="1186" t="s">
        <v>24</v>
      </c>
      <c r="B326" s="1186" t="s">
        <v>1419</v>
      </c>
      <c r="C326" s="1186">
        <v>234</v>
      </c>
      <c r="D326" s="1186">
        <v>10</v>
      </c>
      <c r="E326" s="1186">
        <v>104</v>
      </c>
      <c r="F326" s="1186">
        <v>2</v>
      </c>
      <c r="G326" s="1186">
        <v>13</v>
      </c>
      <c r="H326" s="1186">
        <v>3</v>
      </c>
      <c r="I326" s="1186">
        <v>19</v>
      </c>
      <c r="J326" s="1186">
        <v>19</v>
      </c>
      <c r="K326" s="1186">
        <v>4</v>
      </c>
      <c r="L326" s="1186">
        <v>60</v>
      </c>
      <c r="M326" s="1186">
        <v>261210</v>
      </c>
    </row>
    <row r="327" spans="1:13" x14ac:dyDescent="0.2">
      <c r="A327" s="1186" t="s">
        <v>25</v>
      </c>
      <c r="B327" s="1186" t="s">
        <v>1419</v>
      </c>
      <c r="C327" s="1186">
        <v>145</v>
      </c>
      <c r="D327" s="1186"/>
      <c r="E327" s="1186">
        <v>64</v>
      </c>
      <c r="F327" s="1186">
        <v>5</v>
      </c>
      <c r="G327" s="1186">
        <v>3</v>
      </c>
      <c r="H327" s="1186">
        <v>1</v>
      </c>
      <c r="I327" s="1186">
        <v>18</v>
      </c>
      <c r="J327" s="1186">
        <v>22</v>
      </c>
      <c r="K327" s="1186"/>
      <c r="L327" s="1186">
        <v>32</v>
      </c>
      <c r="M327" s="1186">
        <v>116200</v>
      </c>
    </row>
    <row r="328" spans="1:13" x14ac:dyDescent="0.2">
      <c r="A328" s="1186" t="s">
        <v>26</v>
      </c>
      <c r="B328" s="1186" t="s">
        <v>1419</v>
      </c>
      <c r="C328" s="1186">
        <v>153</v>
      </c>
      <c r="D328" s="1186">
        <v>5</v>
      </c>
      <c r="E328" s="1186">
        <v>86</v>
      </c>
      <c r="F328" s="1186">
        <v>1</v>
      </c>
      <c r="G328" s="1186">
        <v>9</v>
      </c>
      <c r="H328" s="1186">
        <v>2</v>
      </c>
      <c r="I328" s="1186">
        <v>11</v>
      </c>
      <c r="J328" s="1186">
        <v>13</v>
      </c>
      <c r="K328" s="1186">
        <v>2</v>
      </c>
      <c r="L328" s="1186">
        <v>24</v>
      </c>
      <c r="M328" s="1186">
        <v>85870</v>
      </c>
    </row>
    <row r="329" spans="1:13" x14ac:dyDescent="0.2">
      <c r="A329" s="1186" t="s">
        <v>619</v>
      </c>
      <c r="B329" s="1186" t="s">
        <v>1419</v>
      </c>
      <c r="C329" s="1186">
        <v>1580</v>
      </c>
      <c r="D329" s="1186">
        <v>14</v>
      </c>
      <c r="E329" s="1186">
        <v>334</v>
      </c>
      <c r="F329" s="1186">
        <v>2</v>
      </c>
      <c r="G329" s="1186">
        <v>30</v>
      </c>
      <c r="H329" s="1186">
        <v>2</v>
      </c>
      <c r="I329" s="1186">
        <v>88</v>
      </c>
      <c r="J329" s="1186">
        <v>684</v>
      </c>
      <c r="K329" s="1186">
        <v>89</v>
      </c>
      <c r="L329" s="1186">
        <v>337</v>
      </c>
      <c r="M329" s="1186">
        <v>524930</v>
      </c>
    </row>
    <row r="330" spans="1:13" x14ac:dyDescent="0.2">
      <c r="A330" s="1186" t="s">
        <v>27</v>
      </c>
      <c r="B330" s="1186" t="s">
        <v>1419</v>
      </c>
      <c r="C330" s="1186">
        <v>80</v>
      </c>
      <c r="D330" s="1186">
        <v>2</v>
      </c>
      <c r="E330" s="1186">
        <v>21</v>
      </c>
      <c r="F330" s="1186">
        <v>1</v>
      </c>
      <c r="G330" s="1186">
        <v>3</v>
      </c>
      <c r="H330" s="1186">
        <v>1</v>
      </c>
      <c r="I330" s="1186"/>
      <c r="J330" s="1186">
        <v>24</v>
      </c>
      <c r="K330" s="1186">
        <v>2</v>
      </c>
      <c r="L330" s="1186">
        <v>26</v>
      </c>
      <c r="M330" s="1186">
        <v>51540</v>
      </c>
    </row>
    <row r="331" spans="1:13" x14ac:dyDescent="0.2">
      <c r="A331" s="1186" t="s">
        <v>28</v>
      </c>
      <c r="B331" s="1186" t="s">
        <v>1419</v>
      </c>
      <c r="C331" s="1186">
        <v>212</v>
      </c>
      <c r="D331" s="1186">
        <v>14</v>
      </c>
      <c r="E331" s="1186">
        <v>85</v>
      </c>
      <c r="F331" s="1186">
        <v>1</v>
      </c>
      <c r="G331" s="1186">
        <v>6</v>
      </c>
      <c r="H331" s="1186">
        <v>3</v>
      </c>
      <c r="I331" s="1186">
        <v>5</v>
      </c>
      <c r="J331" s="1186">
        <v>32</v>
      </c>
      <c r="K331" s="1186">
        <v>6</v>
      </c>
      <c r="L331" s="1186">
        <v>60</v>
      </c>
      <c r="M331" s="1186">
        <v>148860</v>
      </c>
    </row>
    <row r="332" spans="1:13" x14ac:dyDescent="0.2">
      <c r="A332" s="1186" t="s">
        <v>29</v>
      </c>
      <c r="B332" s="1186" t="s">
        <v>1419</v>
      </c>
      <c r="C332" s="1186">
        <v>500</v>
      </c>
      <c r="D332" s="1186">
        <v>1</v>
      </c>
      <c r="E332" s="1186">
        <v>148</v>
      </c>
      <c r="F332" s="1186">
        <v>1</v>
      </c>
      <c r="G332" s="1186">
        <v>10</v>
      </c>
      <c r="H332" s="1186">
        <v>3</v>
      </c>
      <c r="I332" s="1186">
        <v>37</v>
      </c>
      <c r="J332" s="1186">
        <v>198</v>
      </c>
      <c r="K332" s="1186">
        <v>30</v>
      </c>
      <c r="L332" s="1186">
        <v>72</v>
      </c>
      <c r="M332" s="1186">
        <v>149320</v>
      </c>
    </row>
    <row r="333" spans="1:13" x14ac:dyDescent="0.2">
      <c r="A333" s="1186" t="s">
        <v>30</v>
      </c>
      <c r="B333" s="1186" t="s">
        <v>1419</v>
      </c>
      <c r="C333" s="1186">
        <v>475</v>
      </c>
      <c r="D333" s="1186">
        <v>12</v>
      </c>
      <c r="E333" s="1186">
        <v>131</v>
      </c>
      <c r="F333" s="1186">
        <v>3</v>
      </c>
      <c r="G333" s="1186">
        <v>7</v>
      </c>
      <c r="H333" s="1186">
        <v>2</v>
      </c>
      <c r="I333" s="1186">
        <v>49</v>
      </c>
      <c r="J333" s="1186">
        <v>142</v>
      </c>
      <c r="K333" s="1186">
        <v>8</v>
      </c>
      <c r="L333" s="1186">
        <v>121</v>
      </c>
      <c r="M333" s="1186">
        <v>122010</v>
      </c>
    </row>
    <row r="334" spans="1:13" x14ac:dyDescent="0.2">
      <c r="A334" s="1186" t="s">
        <v>31</v>
      </c>
      <c r="B334" s="1186" t="s">
        <v>1419</v>
      </c>
      <c r="C334" s="1186">
        <v>153</v>
      </c>
      <c r="D334" s="1186">
        <v>1</v>
      </c>
      <c r="E334" s="1186">
        <v>51</v>
      </c>
      <c r="F334" s="1186">
        <v>1</v>
      </c>
      <c r="G334" s="1186">
        <v>3</v>
      </c>
      <c r="H334" s="1186"/>
      <c r="I334" s="1186">
        <v>12</v>
      </c>
      <c r="J334" s="1186">
        <v>36</v>
      </c>
      <c r="K334" s="1186">
        <v>9</v>
      </c>
      <c r="L334" s="1186">
        <v>40</v>
      </c>
      <c r="M334" s="1186">
        <v>108640</v>
      </c>
    </row>
    <row r="335" spans="1:13" x14ac:dyDescent="0.2">
      <c r="A335" s="1186" t="s">
        <v>32</v>
      </c>
      <c r="B335" s="1186" t="s">
        <v>1419</v>
      </c>
      <c r="C335" s="1186">
        <v>197</v>
      </c>
      <c r="D335" s="1186"/>
      <c r="E335" s="1186">
        <v>86</v>
      </c>
      <c r="F335" s="1186">
        <v>2</v>
      </c>
      <c r="G335" s="1186">
        <v>4</v>
      </c>
      <c r="H335" s="1186"/>
      <c r="I335" s="1186">
        <v>19</v>
      </c>
      <c r="J335" s="1186">
        <v>29</v>
      </c>
      <c r="K335" s="1186">
        <v>3</v>
      </c>
      <c r="L335" s="1186">
        <v>54</v>
      </c>
      <c r="M335" s="1186">
        <v>107090</v>
      </c>
    </row>
    <row r="336" spans="1:13" x14ac:dyDescent="0.2">
      <c r="A336" s="1186" t="s">
        <v>33</v>
      </c>
      <c r="B336" s="1186" t="s">
        <v>1419</v>
      </c>
      <c r="C336" s="1186">
        <v>166</v>
      </c>
      <c r="D336" s="1186">
        <v>3</v>
      </c>
      <c r="E336" s="1186">
        <v>53</v>
      </c>
      <c r="F336" s="1186"/>
      <c r="G336" s="1186">
        <v>5</v>
      </c>
      <c r="H336" s="1186"/>
      <c r="I336" s="1186">
        <v>11</v>
      </c>
      <c r="J336" s="1186">
        <v>39</v>
      </c>
      <c r="K336" s="1186">
        <v>10</v>
      </c>
      <c r="L336" s="1186">
        <v>45</v>
      </c>
      <c r="M336" s="1186">
        <v>95530</v>
      </c>
    </row>
    <row r="337" spans="1:13" x14ac:dyDescent="0.2">
      <c r="A337" s="1186" t="s">
        <v>34</v>
      </c>
      <c r="B337" s="1186" t="s">
        <v>1419</v>
      </c>
      <c r="C337" s="1186">
        <v>357</v>
      </c>
      <c r="D337" s="1186">
        <v>7</v>
      </c>
      <c r="E337" s="1186">
        <v>149</v>
      </c>
      <c r="F337" s="1186">
        <v>1</v>
      </c>
      <c r="G337" s="1186">
        <v>15</v>
      </c>
      <c r="H337" s="1186"/>
      <c r="I337" s="1186">
        <v>27</v>
      </c>
      <c r="J337" s="1186">
        <v>72</v>
      </c>
      <c r="K337" s="1186">
        <v>10</v>
      </c>
      <c r="L337" s="1186">
        <v>76</v>
      </c>
      <c r="M337" s="1186">
        <v>160890</v>
      </c>
    </row>
    <row r="338" spans="1:13" x14ac:dyDescent="0.2">
      <c r="A338" s="1186" t="s">
        <v>35</v>
      </c>
      <c r="B338" s="1186" t="s">
        <v>1419</v>
      </c>
      <c r="C338" s="1186">
        <v>762</v>
      </c>
      <c r="D338" s="1186">
        <v>31</v>
      </c>
      <c r="E338" s="1186">
        <v>278</v>
      </c>
      <c r="F338" s="1186">
        <v>5</v>
      </c>
      <c r="G338" s="1186">
        <v>35</v>
      </c>
      <c r="H338" s="1186">
        <v>3</v>
      </c>
      <c r="I338" s="1186">
        <v>38</v>
      </c>
      <c r="J338" s="1186">
        <v>135</v>
      </c>
      <c r="K338" s="1186">
        <v>30</v>
      </c>
      <c r="L338" s="1186">
        <v>207</v>
      </c>
      <c r="M338" s="1186">
        <v>373550</v>
      </c>
    </row>
    <row r="339" spans="1:13" x14ac:dyDescent="0.2">
      <c r="A339" s="1186" t="s">
        <v>36</v>
      </c>
      <c r="B339" s="1186" t="s">
        <v>1419</v>
      </c>
      <c r="C339" s="1186">
        <v>2617</v>
      </c>
      <c r="D339" s="1186">
        <v>29</v>
      </c>
      <c r="E339" s="1186">
        <v>377</v>
      </c>
      <c r="F339" s="1186">
        <v>6</v>
      </c>
      <c r="G339" s="1186">
        <v>62</v>
      </c>
      <c r="H339" s="1186">
        <v>9</v>
      </c>
      <c r="I339" s="1186">
        <v>152</v>
      </c>
      <c r="J339" s="1186">
        <v>979</v>
      </c>
      <c r="K339" s="1186">
        <v>73</v>
      </c>
      <c r="L339" s="1186">
        <v>930</v>
      </c>
      <c r="M339" s="1186">
        <v>633120</v>
      </c>
    </row>
    <row r="340" spans="1:13" x14ac:dyDescent="0.2">
      <c r="A340" s="1186" t="s">
        <v>37</v>
      </c>
      <c r="B340" s="1186" t="s">
        <v>1419</v>
      </c>
      <c r="C340" s="1186">
        <v>427</v>
      </c>
      <c r="D340" s="1186">
        <v>14</v>
      </c>
      <c r="E340" s="1186">
        <v>305</v>
      </c>
      <c r="F340" s="1186"/>
      <c r="G340" s="1186">
        <v>6</v>
      </c>
      <c r="H340" s="1186">
        <v>1</v>
      </c>
      <c r="I340" s="1186">
        <v>13</v>
      </c>
      <c r="J340" s="1186">
        <v>46</v>
      </c>
      <c r="K340" s="1186">
        <v>2</v>
      </c>
      <c r="L340" s="1186">
        <v>40</v>
      </c>
      <c r="M340" s="1186">
        <v>235830</v>
      </c>
    </row>
    <row r="341" spans="1:13" x14ac:dyDescent="0.2">
      <c r="A341" s="1186" t="s">
        <v>38</v>
      </c>
      <c r="B341" s="1186" t="s">
        <v>1419</v>
      </c>
      <c r="C341" s="1186">
        <v>411</v>
      </c>
      <c r="D341" s="1186">
        <v>20</v>
      </c>
      <c r="E341" s="1186">
        <v>209</v>
      </c>
      <c r="F341" s="1186">
        <v>3</v>
      </c>
      <c r="G341" s="1186">
        <v>10</v>
      </c>
      <c r="H341" s="1186">
        <v>2</v>
      </c>
      <c r="I341" s="1186">
        <v>19</v>
      </c>
      <c r="J341" s="1186">
        <v>76</v>
      </c>
      <c r="K341" s="1186">
        <v>9</v>
      </c>
      <c r="L341" s="1186">
        <v>63</v>
      </c>
      <c r="M341" s="1186">
        <v>77800</v>
      </c>
    </row>
    <row r="342" spans="1:13" x14ac:dyDescent="0.2">
      <c r="A342" s="1186" t="s">
        <v>39</v>
      </c>
      <c r="B342" s="1186" t="s">
        <v>1419</v>
      </c>
      <c r="C342" s="1186">
        <v>230</v>
      </c>
      <c r="D342" s="1186">
        <v>2</v>
      </c>
      <c r="E342" s="1186">
        <v>112</v>
      </c>
      <c r="F342" s="1186">
        <v>6</v>
      </c>
      <c r="G342" s="1186">
        <v>9</v>
      </c>
      <c r="H342" s="1186"/>
      <c r="I342" s="1186">
        <v>16</v>
      </c>
      <c r="J342" s="1186">
        <v>30</v>
      </c>
      <c r="K342" s="1186">
        <v>11</v>
      </c>
      <c r="L342" s="1186">
        <v>44</v>
      </c>
      <c r="M342" s="1186">
        <v>92460</v>
      </c>
    </row>
    <row r="343" spans="1:13" x14ac:dyDescent="0.2">
      <c r="A343" s="1186" t="s">
        <v>40</v>
      </c>
      <c r="B343" s="1186" t="s">
        <v>1419</v>
      </c>
      <c r="C343" s="1186">
        <v>103</v>
      </c>
      <c r="D343" s="1186">
        <v>3</v>
      </c>
      <c r="E343" s="1186">
        <v>67</v>
      </c>
      <c r="F343" s="1186">
        <v>1</v>
      </c>
      <c r="G343" s="1186">
        <v>2</v>
      </c>
      <c r="H343" s="1186"/>
      <c r="I343" s="1186">
        <v>5</v>
      </c>
      <c r="J343" s="1186">
        <v>12</v>
      </c>
      <c r="K343" s="1186"/>
      <c r="L343" s="1186">
        <v>13</v>
      </c>
      <c r="M343" s="1186">
        <v>95820</v>
      </c>
    </row>
    <row r="344" spans="1:13" x14ac:dyDescent="0.2">
      <c r="A344" s="1186" t="s">
        <v>295</v>
      </c>
      <c r="B344" s="1186" t="s">
        <v>1419</v>
      </c>
      <c r="C344" s="1186">
        <v>35</v>
      </c>
      <c r="D344" s="1186"/>
      <c r="E344" s="1186">
        <v>29</v>
      </c>
      <c r="F344" s="1186"/>
      <c r="G344" s="1186"/>
      <c r="H344" s="1186"/>
      <c r="I344" s="1186">
        <v>2</v>
      </c>
      <c r="J344" s="1186">
        <v>1</v>
      </c>
      <c r="K344" s="1186">
        <v>1</v>
      </c>
      <c r="L344" s="1186">
        <v>2</v>
      </c>
      <c r="M344" s="1186">
        <v>26720</v>
      </c>
    </row>
    <row r="345" spans="1:13" x14ac:dyDescent="0.2">
      <c r="A345" s="1186" t="s">
        <v>41</v>
      </c>
      <c r="B345" s="1186" t="s">
        <v>1419</v>
      </c>
      <c r="C345" s="1186">
        <v>597</v>
      </c>
      <c r="D345" s="1186">
        <v>15</v>
      </c>
      <c r="E345" s="1186">
        <v>207</v>
      </c>
      <c r="F345" s="1186">
        <v>7</v>
      </c>
      <c r="G345" s="1186">
        <v>6</v>
      </c>
      <c r="H345" s="1186">
        <v>2</v>
      </c>
      <c r="I345" s="1186">
        <v>88</v>
      </c>
      <c r="J345" s="1186">
        <v>140</v>
      </c>
      <c r="K345" s="1186">
        <v>12</v>
      </c>
      <c r="L345" s="1186">
        <v>120</v>
      </c>
      <c r="M345" s="1186">
        <v>134740</v>
      </c>
    </row>
    <row r="346" spans="1:13" x14ac:dyDescent="0.2">
      <c r="A346" s="1186" t="s">
        <v>42</v>
      </c>
      <c r="B346" s="1186" t="s">
        <v>1419</v>
      </c>
      <c r="C346" s="1186">
        <v>1352</v>
      </c>
      <c r="D346" s="1186">
        <v>13</v>
      </c>
      <c r="E346" s="1186">
        <v>424</v>
      </c>
      <c r="F346" s="1186">
        <v>5</v>
      </c>
      <c r="G346" s="1186">
        <v>29</v>
      </c>
      <c r="H346" s="1186">
        <v>4</v>
      </c>
      <c r="I346" s="1186">
        <v>112</v>
      </c>
      <c r="J346" s="1186">
        <v>231</v>
      </c>
      <c r="K346" s="1186">
        <v>30</v>
      </c>
      <c r="L346" s="1186">
        <v>504</v>
      </c>
      <c r="M346" s="1186">
        <v>341370</v>
      </c>
    </row>
    <row r="347" spans="1:13" x14ac:dyDescent="0.2">
      <c r="A347" s="1186" t="s">
        <v>43</v>
      </c>
      <c r="B347" s="1186" t="s">
        <v>1419</v>
      </c>
      <c r="C347" s="1186">
        <v>10</v>
      </c>
      <c r="D347" s="1186"/>
      <c r="E347" s="1186">
        <v>4</v>
      </c>
      <c r="F347" s="1186"/>
      <c r="G347" s="1186"/>
      <c r="H347" s="1186"/>
      <c r="I347" s="1186">
        <v>1</v>
      </c>
      <c r="J347" s="1186">
        <v>1</v>
      </c>
      <c r="K347" s="1186">
        <v>1</v>
      </c>
      <c r="L347" s="1186">
        <v>3</v>
      </c>
      <c r="M347" s="1186">
        <v>22270</v>
      </c>
    </row>
    <row r="348" spans="1:13" x14ac:dyDescent="0.2">
      <c r="A348" s="1186" t="s">
        <v>44</v>
      </c>
      <c r="B348" s="1186" t="s">
        <v>1419</v>
      </c>
      <c r="C348" s="1186">
        <v>144</v>
      </c>
      <c r="D348" s="1186">
        <v>2</v>
      </c>
      <c r="E348" s="1186">
        <v>54</v>
      </c>
      <c r="F348" s="1186">
        <v>7</v>
      </c>
      <c r="G348" s="1186">
        <v>4</v>
      </c>
      <c r="H348" s="1186">
        <v>4</v>
      </c>
      <c r="I348" s="1186">
        <v>6</v>
      </c>
      <c r="J348" s="1186">
        <v>32</v>
      </c>
      <c r="K348" s="1186">
        <v>9</v>
      </c>
      <c r="L348" s="1186">
        <v>26</v>
      </c>
      <c r="M348" s="1186">
        <v>151950</v>
      </c>
    </row>
    <row r="349" spans="1:13" x14ac:dyDescent="0.2">
      <c r="A349" s="1186" t="s">
        <v>45</v>
      </c>
      <c r="B349" s="1186" t="s">
        <v>1419</v>
      </c>
      <c r="C349" s="1186">
        <v>506</v>
      </c>
      <c r="D349" s="1186">
        <v>9</v>
      </c>
      <c r="E349" s="1186">
        <v>98</v>
      </c>
      <c r="F349" s="1186">
        <v>3</v>
      </c>
      <c r="G349" s="1186">
        <v>12</v>
      </c>
      <c r="H349" s="1186">
        <v>1</v>
      </c>
      <c r="I349" s="1186">
        <v>43</v>
      </c>
      <c r="J349" s="1186">
        <v>156</v>
      </c>
      <c r="K349" s="1186">
        <v>18</v>
      </c>
      <c r="L349" s="1186">
        <v>166</v>
      </c>
      <c r="M349" s="1186">
        <v>179100</v>
      </c>
    </row>
    <row r="350" spans="1:13" x14ac:dyDescent="0.2">
      <c r="A350" s="1186" t="s">
        <v>46</v>
      </c>
      <c r="B350" s="1186" t="s">
        <v>1419</v>
      </c>
      <c r="C350" s="1186">
        <v>112</v>
      </c>
      <c r="D350" s="1186">
        <v>1</v>
      </c>
      <c r="E350" s="1186">
        <v>59</v>
      </c>
      <c r="F350" s="1186">
        <v>6</v>
      </c>
      <c r="G350" s="1186">
        <v>2</v>
      </c>
      <c r="H350" s="1186"/>
      <c r="I350" s="1186">
        <v>9</v>
      </c>
      <c r="J350" s="1186">
        <v>15</v>
      </c>
      <c r="K350" s="1186">
        <v>1</v>
      </c>
      <c r="L350" s="1186">
        <v>19</v>
      </c>
      <c r="M350" s="1186">
        <v>115510</v>
      </c>
    </row>
    <row r="351" spans="1:13" x14ac:dyDescent="0.2">
      <c r="A351" s="1186" t="s">
        <v>47</v>
      </c>
      <c r="B351" s="1186" t="s">
        <v>1419</v>
      </c>
      <c r="C351" s="1186">
        <v>9</v>
      </c>
      <c r="D351" s="1186">
        <v>1</v>
      </c>
      <c r="E351" s="1186">
        <v>2</v>
      </c>
      <c r="F351" s="1186"/>
      <c r="G351" s="1186">
        <v>2</v>
      </c>
      <c r="H351" s="1186"/>
      <c r="I351" s="1186"/>
      <c r="J351" s="1186"/>
      <c r="K351" s="1186">
        <v>1</v>
      </c>
      <c r="L351" s="1186">
        <v>3</v>
      </c>
      <c r="M351" s="1186">
        <v>22920</v>
      </c>
    </row>
    <row r="352" spans="1:13" x14ac:dyDescent="0.2">
      <c r="A352" s="1186" t="s">
        <v>48</v>
      </c>
      <c r="B352" s="1186" t="s">
        <v>1419</v>
      </c>
      <c r="C352" s="1186">
        <v>260</v>
      </c>
      <c r="D352" s="1186">
        <v>6</v>
      </c>
      <c r="E352" s="1186">
        <v>85</v>
      </c>
      <c r="F352" s="1186"/>
      <c r="G352" s="1186">
        <v>9</v>
      </c>
      <c r="H352" s="1186">
        <v>2</v>
      </c>
      <c r="I352" s="1186">
        <v>24</v>
      </c>
      <c r="J352" s="1186">
        <v>69</v>
      </c>
      <c r="K352" s="1186">
        <v>5</v>
      </c>
      <c r="L352" s="1186">
        <v>60</v>
      </c>
      <c r="M352" s="1186">
        <v>112610</v>
      </c>
    </row>
    <row r="353" spans="1:13" x14ac:dyDescent="0.2">
      <c r="A353" s="1186" t="s">
        <v>49</v>
      </c>
      <c r="B353" s="1186" t="s">
        <v>1419</v>
      </c>
      <c r="C353" s="1186">
        <v>793</v>
      </c>
      <c r="D353" s="1186">
        <v>10</v>
      </c>
      <c r="E353" s="1186">
        <v>220</v>
      </c>
      <c r="F353" s="1186">
        <v>5</v>
      </c>
      <c r="G353" s="1186">
        <v>31</v>
      </c>
      <c r="H353" s="1186">
        <v>7</v>
      </c>
      <c r="I353" s="1186">
        <v>61</v>
      </c>
      <c r="J353" s="1186">
        <v>141</v>
      </c>
      <c r="K353" s="1186">
        <v>26</v>
      </c>
      <c r="L353" s="1186">
        <v>292</v>
      </c>
      <c r="M353" s="1186">
        <v>320530</v>
      </c>
    </row>
    <row r="354" spans="1:13" x14ac:dyDescent="0.2">
      <c r="A354" s="1186" t="s">
        <v>50</v>
      </c>
      <c r="B354" s="1186" t="s">
        <v>1419</v>
      </c>
      <c r="C354" s="1186">
        <v>118</v>
      </c>
      <c r="D354" s="1186">
        <v>6</v>
      </c>
      <c r="E354" s="1186">
        <v>60</v>
      </c>
      <c r="F354" s="1186"/>
      <c r="G354" s="1186">
        <v>4</v>
      </c>
      <c r="H354" s="1186">
        <v>2</v>
      </c>
      <c r="I354" s="1186">
        <v>1</v>
      </c>
      <c r="J354" s="1186">
        <v>22</v>
      </c>
      <c r="K354" s="1186">
        <v>4</v>
      </c>
      <c r="L354" s="1186">
        <v>19</v>
      </c>
      <c r="M354" s="1186">
        <v>94210</v>
      </c>
    </row>
    <row r="355" spans="1:13" x14ac:dyDescent="0.2">
      <c r="A355" s="1186" t="s">
        <v>51</v>
      </c>
      <c r="B355" s="1186" t="s">
        <v>1419</v>
      </c>
      <c r="C355" s="1186">
        <v>293</v>
      </c>
      <c r="D355" s="1186">
        <v>8</v>
      </c>
      <c r="E355" s="1186">
        <v>79</v>
      </c>
      <c r="F355" s="1186"/>
      <c r="G355" s="1186">
        <v>5</v>
      </c>
      <c r="H355" s="1186"/>
      <c r="I355" s="1186">
        <v>26</v>
      </c>
      <c r="J355" s="1186">
        <v>79</v>
      </c>
      <c r="K355" s="1186">
        <v>5</v>
      </c>
      <c r="L355" s="1186">
        <v>91</v>
      </c>
      <c r="M355" s="1186">
        <v>88930</v>
      </c>
    </row>
    <row r="356" spans="1:13" x14ac:dyDescent="0.2">
      <c r="A356" s="1186" t="s">
        <v>52</v>
      </c>
      <c r="B356" s="1186" t="s">
        <v>1419</v>
      </c>
      <c r="C356" s="1186">
        <v>718</v>
      </c>
      <c r="D356" s="1186">
        <v>17</v>
      </c>
      <c r="E356" s="1186">
        <v>294</v>
      </c>
      <c r="F356" s="1186">
        <v>2</v>
      </c>
      <c r="G356" s="1186">
        <v>17</v>
      </c>
      <c r="H356" s="1186">
        <v>5</v>
      </c>
      <c r="I356" s="1186">
        <v>51</v>
      </c>
      <c r="J356" s="1186">
        <v>174</v>
      </c>
      <c r="K356" s="1186">
        <v>22</v>
      </c>
      <c r="L356" s="1186">
        <v>136</v>
      </c>
      <c r="M356" s="1186">
        <v>183100</v>
      </c>
    </row>
    <row r="357" spans="1:13" x14ac:dyDescent="0.2">
      <c r="A357" s="1186" t="s">
        <v>23</v>
      </c>
      <c r="B357" s="1186" t="s">
        <v>1572</v>
      </c>
      <c r="C357" s="1186">
        <v>328</v>
      </c>
      <c r="D357" s="1186">
        <v>4</v>
      </c>
      <c r="E357" s="1186">
        <v>116</v>
      </c>
      <c r="F357" s="1186"/>
      <c r="G357" s="1186">
        <v>15</v>
      </c>
      <c r="H357" s="1186"/>
      <c r="I357" s="1186">
        <v>32</v>
      </c>
      <c r="J357" s="1186">
        <v>91</v>
      </c>
      <c r="K357" s="1186">
        <v>19</v>
      </c>
      <c r="L357" s="1186">
        <v>51</v>
      </c>
      <c r="M357" s="1186">
        <v>229060</v>
      </c>
    </row>
    <row r="358" spans="1:13" x14ac:dyDescent="0.2">
      <c r="A358" s="1186" t="s">
        <v>24</v>
      </c>
      <c r="B358" s="1186" t="s">
        <v>1572</v>
      </c>
      <c r="C358" s="1186">
        <v>295</v>
      </c>
      <c r="D358" s="1186">
        <v>6</v>
      </c>
      <c r="E358" s="1186">
        <v>151</v>
      </c>
      <c r="F358" s="1186">
        <v>9</v>
      </c>
      <c r="G358" s="1186">
        <v>18</v>
      </c>
      <c r="H358" s="1186"/>
      <c r="I358" s="1186">
        <v>40</v>
      </c>
      <c r="J358" s="1186">
        <v>18</v>
      </c>
      <c r="K358" s="1186">
        <v>2</v>
      </c>
      <c r="L358" s="1186">
        <v>51</v>
      </c>
      <c r="M358" s="1186">
        <v>260780</v>
      </c>
    </row>
    <row r="359" spans="1:13" x14ac:dyDescent="0.2">
      <c r="A359" s="1186" t="s">
        <v>25</v>
      </c>
      <c r="B359" s="1186" t="s">
        <v>1572</v>
      </c>
      <c r="C359" s="1186">
        <v>204</v>
      </c>
      <c r="D359" s="1186">
        <v>8</v>
      </c>
      <c r="E359" s="1186">
        <v>91</v>
      </c>
      <c r="F359" s="1186">
        <v>3</v>
      </c>
      <c r="G359" s="1186">
        <v>7</v>
      </c>
      <c r="H359" s="1186"/>
      <c r="I359" s="1186">
        <v>27</v>
      </c>
      <c r="J359" s="1186">
        <v>40</v>
      </c>
      <c r="K359" s="1186"/>
      <c r="L359" s="1186">
        <v>28</v>
      </c>
      <c r="M359" s="1186">
        <v>115820</v>
      </c>
    </row>
    <row r="360" spans="1:13" x14ac:dyDescent="0.2">
      <c r="A360" s="1186" t="s">
        <v>26</v>
      </c>
      <c r="B360" s="1186" t="s">
        <v>1572</v>
      </c>
      <c r="C360" s="1186">
        <v>133</v>
      </c>
      <c r="D360" s="1186">
        <v>3</v>
      </c>
      <c r="E360" s="1186">
        <v>62</v>
      </c>
      <c r="F360" s="1186"/>
      <c r="G360" s="1186">
        <v>5</v>
      </c>
      <c r="H360" s="1186">
        <v>1</v>
      </c>
      <c r="I360" s="1186">
        <v>27</v>
      </c>
      <c r="J360" s="1186">
        <v>16</v>
      </c>
      <c r="K360" s="1186">
        <v>3</v>
      </c>
      <c r="L360" s="1186">
        <v>16</v>
      </c>
      <c r="M360" s="1186">
        <v>85430</v>
      </c>
    </row>
    <row r="361" spans="1:13" x14ac:dyDescent="0.2">
      <c r="A361" s="1186" t="s">
        <v>619</v>
      </c>
      <c r="B361" s="1186" t="s">
        <v>1572</v>
      </c>
      <c r="C361" s="1186">
        <v>1466</v>
      </c>
      <c r="D361" s="1186">
        <v>5</v>
      </c>
      <c r="E361" s="1186">
        <v>377</v>
      </c>
      <c r="F361" s="1186">
        <v>4</v>
      </c>
      <c r="G361" s="1186">
        <v>33</v>
      </c>
      <c r="H361" s="1186">
        <v>1</v>
      </c>
      <c r="I361" s="1186">
        <v>212</v>
      </c>
      <c r="J361" s="1186">
        <v>478</v>
      </c>
      <c r="K361" s="1186">
        <v>111</v>
      </c>
      <c r="L361" s="1186">
        <v>245</v>
      </c>
      <c r="M361" s="1186">
        <v>527620</v>
      </c>
    </row>
    <row r="362" spans="1:13" x14ac:dyDescent="0.2">
      <c r="A362" s="1186" t="s">
        <v>27</v>
      </c>
      <c r="B362" s="1186" t="s">
        <v>1572</v>
      </c>
      <c r="C362" s="1186">
        <v>112</v>
      </c>
      <c r="D362" s="1186">
        <v>5</v>
      </c>
      <c r="E362" s="1186">
        <v>34</v>
      </c>
      <c r="F362" s="1186">
        <v>4</v>
      </c>
      <c r="G362" s="1186">
        <v>9</v>
      </c>
      <c r="H362" s="1186">
        <v>4</v>
      </c>
      <c r="I362" s="1186">
        <v>8</v>
      </c>
      <c r="J362" s="1186">
        <v>16</v>
      </c>
      <c r="K362" s="1186">
        <v>1</v>
      </c>
      <c r="L362" s="1186">
        <v>31</v>
      </c>
      <c r="M362" s="1186">
        <v>51290</v>
      </c>
    </row>
    <row r="363" spans="1:13" x14ac:dyDescent="0.2">
      <c r="A363" s="1186" t="s">
        <v>28</v>
      </c>
      <c r="B363" s="1186" t="s">
        <v>1572</v>
      </c>
      <c r="C363" s="1186">
        <v>205</v>
      </c>
      <c r="D363" s="1186">
        <v>4</v>
      </c>
      <c r="E363" s="1186">
        <v>98</v>
      </c>
      <c r="F363" s="1186">
        <v>1</v>
      </c>
      <c r="G363" s="1186">
        <v>10</v>
      </c>
      <c r="H363" s="1186">
        <v>6</v>
      </c>
      <c r="I363" s="1186">
        <v>6</v>
      </c>
      <c r="J363" s="1186">
        <v>26</v>
      </c>
      <c r="K363" s="1186">
        <v>5</v>
      </c>
      <c r="L363" s="1186">
        <v>49</v>
      </c>
      <c r="M363" s="1186">
        <v>148290</v>
      </c>
    </row>
    <row r="364" spans="1:13" x14ac:dyDescent="0.2">
      <c r="A364" s="1186" t="s">
        <v>29</v>
      </c>
      <c r="B364" s="1186" t="s">
        <v>1572</v>
      </c>
      <c r="C364" s="1186">
        <v>698</v>
      </c>
      <c r="D364" s="1186">
        <v>7</v>
      </c>
      <c r="E364" s="1186">
        <v>232</v>
      </c>
      <c r="F364" s="1186">
        <v>3</v>
      </c>
      <c r="G364" s="1186">
        <v>19</v>
      </c>
      <c r="H364" s="1186">
        <v>2</v>
      </c>
      <c r="I364" s="1186">
        <v>110</v>
      </c>
      <c r="J364" s="1186">
        <v>229</v>
      </c>
      <c r="K364" s="1186">
        <v>30</v>
      </c>
      <c r="L364" s="1186">
        <v>66</v>
      </c>
      <c r="M364" s="1186">
        <v>148820</v>
      </c>
    </row>
    <row r="365" spans="1:13" x14ac:dyDescent="0.2">
      <c r="A365" s="1186" t="s">
        <v>30</v>
      </c>
      <c r="B365" s="1186" t="s">
        <v>1572</v>
      </c>
      <c r="C365" s="1186">
        <v>584</v>
      </c>
      <c r="D365" s="1186">
        <v>5</v>
      </c>
      <c r="E365" s="1186">
        <v>172</v>
      </c>
      <c r="F365" s="1186">
        <v>2</v>
      </c>
      <c r="G365" s="1186">
        <v>7</v>
      </c>
      <c r="H365" s="1186">
        <v>4</v>
      </c>
      <c r="I365" s="1186">
        <v>92</v>
      </c>
      <c r="J365" s="1186">
        <v>128</v>
      </c>
      <c r="K365" s="1186">
        <v>5</v>
      </c>
      <c r="L365" s="1186">
        <v>169</v>
      </c>
      <c r="M365" s="1186">
        <v>121600</v>
      </c>
    </row>
    <row r="366" spans="1:13" x14ac:dyDescent="0.2">
      <c r="A366" s="1186" t="s">
        <v>31</v>
      </c>
      <c r="B366" s="1186" t="s">
        <v>1572</v>
      </c>
      <c r="C366" s="1186">
        <v>241</v>
      </c>
      <c r="D366" s="1186">
        <v>2</v>
      </c>
      <c r="E366" s="1186">
        <v>105</v>
      </c>
      <c r="F366" s="1186">
        <v>3</v>
      </c>
      <c r="G366" s="1186">
        <v>2</v>
      </c>
      <c r="H366" s="1186">
        <v>1</v>
      </c>
      <c r="I366" s="1186">
        <v>40</v>
      </c>
      <c r="J366" s="1186">
        <v>42</v>
      </c>
      <c r="K366" s="1186">
        <v>5</v>
      </c>
      <c r="L366" s="1186">
        <v>41</v>
      </c>
      <c r="M366" s="1186">
        <v>108750</v>
      </c>
    </row>
    <row r="367" spans="1:13" x14ac:dyDescent="0.2">
      <c r="A367" s="1186" t="s">
        <v>32</v>
      </c>
      <c r="B367" s="1186" t="s">
        <v>1572</v>
      </c>
      <c r="C367" s="1186">
        <v>195</v>
      </c>
      <c r="D367" s="1186">
        <v>1</v>
      </c>
      <c r="E367" s="1186">
        <v>67</v>
      </c>
      <c r="F367" s="1186"/>
      <c r="G367" s="1186">
        <v>5</v>
      </c>
      <c r="H367" s="1186"/>
      <c r="I367" s="1186">
        <v>37</v>
      </c>
      <c r="J367" s="1186">
        <v>30</v>
      </c>
      <c r="K367" s="1186">
        <v>4</v>
      </c>
      <c r="L367" s="1186">
        <v>51</v>
      </c>
      <c r="M367" s="1186">
        <v>107900</v>
      </c>
    </row>
    <row r="368" spans="1:13" x14ac:dyDescent="0.2">
      <c r="A368" s="1186" t="s">
        <v>33</v>
      </c>
      <c r="B368" s="1186" t="s">
        <v>1572</v>
      </c>
      <c r="C368" s="1186">
        <v>182</v>
      </c>
      <c r="D368" s="1186">
        <v>6</v>
      </c>
      <c r="E368" s="1186">
        <v>68</v>
      </c>
      <c r="F368" s="1186">
        <v>3</v>
      </c>
      <c r="G368" s="1186">
        <v>5</v>
      </c>
      <c r="H368" s="1186">
        <v>1</v>
      </c>
      <c r="I368" s="1186">
        <v>35</v>
      </c>
      <c r="J368" s="1186">
        <v>34</v>
      </c>
      <c r="K368" s="1186">
        <v>3</v>
      </c>
      <c r="L368" s="1186">
        <v>27</v>
      </c>
      <c r="M368" s="1186">
        <v>96060</v>
      </c>
    </row>
    <row r="369" spans="1:13" x14ac:dyDescent="0.2">
      <c r="A369" s="1186" t="s">
        <v>34</v>
      </c>
      <c r="B369" s="1186" t="s">
        <v>1572</v>
      </c>
      <c r="C369" s="1186">
        <v>423</v>
      </c>
      <c r="D369" s="1186">
        <v>5</v>
      </c>
      <c r="E369" s="1186">
        <v>206</v>
      </c>
      <c r="F369" s="1186">
        <v>1</v>
      </c>
      <c r="G369" s="1186">
        <v>11</v>
      </c>
      <c r="H369" s="1186">
        <v>1</v>
      </c>
      <c r="I369" s="1186">
        <v>70</v>
      </c>
      <c r="J369" s="1186">
        <v>59</v>
      </c>
      <c r="K369" s="1186">
        <v>15</v>
      </c>
      <c r="L369" s="1186">
        <v>55</v>
      </c>
      <c r="M369" s="1186">
        <v>160560</v>
      </c>
    </row>
    <row r="370" spans="1:13" x14ac:dyDescent="0.2">
      <c r="A370" s="1186" t="s">
        <v>35</v>
      </c>
      <c r="B370" s="1186" t="s">
        <v>1572</v>
      </c>
      <c r="C370" s="1186">
        <v>1019</v>
      </c>
      <c r="D370" s="1186">
        <v>25</v>
      </c>
      <c r="E370" s="1186">
        <v>311</v>
      </c>
      <c r="F370" s="1186">
        <v>6</v>
      </c>
      <c r="G370" s="1186">
        <v>42</v>
      </c>
      <c r="H370" s="1186">
        <v>5</v>
      </c>
      <c r="I370" s="1186">
        <v>136</v>
      </c>
      <c r="J370" s="1186">
        <v>211</v>
      </c>
      <c r="K370" s="1186">
        <v>31</v>
      </c>
      <c r="L370" s="1186">
        <v>252</v>
      </c>
      <c r="M370" s="1186">
        <v>374130</v>
      </c>
    </row>
    <row r="371" spans="1:13" x14ac:dyDescent="0.2">
      <c r="A371" s="1186" t="s">
        <v>36</v>
      </c>
      <c r="B371" s="1186" t="s">
        <v>1572</v>
      </c>
      <c r="C371" s="1186">
        <v>2440</v>
      </c>
      <c r="D371" s="1186">
        <v>18</v>
      </c>
      <c r="E371" s="1186">
        <v>423</v>
      </c>
      <c r="F371" s="1186">
        <v>6</v>
      </c>
      <c r="G371" s="1186">
        <v>37</v>
      </c>
      <c r="H371" s="1186">
        <v>18</v>
      </c>
      <c r="I371" s="1186">
        <v>284</v>
      </c>
      <c r="J371" s="1186">
        <v>777</v>
      </c>
      <c r="K371" s="1186">
        <v>61</v>
      </c>
      <c r="L371" s="1186">
        <v>816</v>
      </c>
      <c r="M371" s="1186">
        <v>635640</v>
      </c>
    </row>
    <row r="372" spans="1:13" x14ac:dyDescent="0.2">
      <c r="A372" s="1186" t="s">
        <v>37</v>
      </c>
      <c r="B372" s="1186" t="s">
        <v>1572</v>
      </c>
      <c r="C372" s="1186">
        <v>396</v>
      </c>
      <c r="D372" s="1186">
        <v>6</v>
      </c>
      <c r="E372" s="1186">
        <v>252</v>
      </c>
      <c r="F372" s="1186">
        <v>7</v>
      </c>
      <c r="G372" s="1186">
        <v>8</v>
      </c>
      <c r="H372" s="1186">
        <v>3</v>
      </c>
      <c r="I372" s="1186">
        <v>45</v>
      </c>
      <c r="J372" s="1186">
        <v>20</v>
      </c>
      <c r="K372" s="1186">
        <v>6</v>
      </c>
      <c r="L372" s="1186">
        <v>49</v>
      </c>
      <c r="M372" s="1186">
        <v>235430</v>
      </c>
    </row>
    <row r="373" spans="1:13" x14ac:dyDescent="0.2">
      <c r="A373" s="1186" t="s">
        <v>38</v>
      </c>
      <c r="B373" s="1186" t="s">
        <v>1572</v>
      </c>
      <c r="C373" s="1186">
        <v>417</v>
      </c>
      <c r="D373" s="1186">
        <v>8</v>
      </c>
      <c r="E373" s="1186">
        <v>204</v>
      </c>
      <c r="F373" s="1186"/>
      <c r="G373" s="1186">
        <v>3</v>
      </c>
      <c r="H373" s="1186">
        <v>3</v>
      </c>
      <c r="I373" s="1186">
        <v>37</v>
      </c>
      <c r="J373" s="1186">
        <v>80</v>
      </c>
      <c r="K373" s="1186">
        <v>6</v>
      </c>
      <c r="L373" s="1186">
        <v>76</v>
      </c>
      <c r="M373" s="1186">
        <v>77060</v>
      </c>
    </row>
    <row r="374" spans="1:13" x14ac:dyDescent="0.2">
      <c r="A374" s="1186" t="s">
        <v>39</v>
      </c>
      <c r="B374" s="1186" t="s">
        <v>1572</v>
      </c>
      <c r="C374" s="1186">
        <v>203</v>
      </c>
      <c r="D374" s="1186">
        <v>2</v>
      </c>
      <c r="E374" s="1186">
        <v>86</v>
      </c>
      <c r="F374" s="1186">
        <v>4</v>
      </c>
      <c r="G374" s="1186">
        <v>7</v>
      </c>
      <c r="H374" s="1186"/>
      <c r="I374" s="1186">
        <v>24</v>
      </c>
      <c r="J374" s="1186">
        <v>33</v>
      </c>
      <c r="K374" s="1186">
        <v>6</v>
      </c>
      <c r="L374" s="1186">
        <v>41</v>
      </c>
      <c r="M374" s="1186">
        <v>93150</v>
      </c>
    </row>
    <row r="375" spans="1:13" x14ac:dyDescent="0.2">
      <c r="A375" s="1186" t="s">
        <v>40</v>
      </c>
      <c r="B375" s="1186" t="s">
        <v>1572</v>
      </c>
      <c r="C375" s="1186">
        <v>128</v>
      </c>
      <c r="D375" s="1186">
        <v>1</v>
      </c>
      <c r="E375" s="1186">
        <v>69</v>
      </c>
      <c r="F375" s="1186">
        <v>2</v>
      </c>
      <c r="G375" s="1186">
        <v>6</v>
      </c>
      <c r="H375" s="1186"/>
      <c r="I375" s="1186">
        <v>13</v>
      </c>
      <c r="J375" s="1186">
        <v>17</v>
      </c>
      <c r="K375" s="1186">
        <v>1</v>
      </c>
      <c r="L375" s="1186">
        <v>19</v>
      </c>
      <c r="M375" s="1186">
        <v>95710</v>
      </c>
    </row>
    <row r="376" spans="1:13" x14ac:dyDescent="0.2">
      <c r="A376" s="1186" t="s">
        <v>295</v>
      </c>
      <c r="B376" s="1186" t="s">
        <v>1572</v>
      </c>
      <c r="C376" s="1186">
        <v>76</v>
      </c>
      <c r="D376" s="1186">
        <v>3</v>
      </c>
      <c r="E376" s="1186">
        <v>70</v>
      </c>
      <c r="F376" s="1186"/>
      <c r="G376" s="1186">
        <v>1</v>
      </c>
      <c r="H376" s="1186"/>
      <c r="I376" s="1186">
        <v>1</v>
      </c>
      <c r="J376" s="1186"/>
      <c r="K376" s="1186"/>
      <c r="L376" s="1186">
        <v>1</v>
      </c>
      <c r="M376" s="1186">
        <v>26500</v>
      </c>
    </row>
    <row r="377" spans="1:13" x14ac:dyDescent="0.2">
      <c r="A377" s="1186" t="s">
        <v>41</v>
      </c>
      <c r="B377" s="1186" t="s">
        <v>1572</v>
      </c>
      <c r="C377" s="1186">
        <v>491</v>
      </c>
      <c r="D377" s="1186">
        <v>9</v>
      </c>
      <c r="E377" s="1186">
        <v>156</v>
      </c>
      <c r="F377" s="1186">
        <v>5</v>
      </c>
      <c r="G377" s="1186">
        <v>9</v>
      </c>
      <c r="H377" s="1186">
        <v>12</v>
      </c>
      <c r="I377" s="1186">
        <v>91</v>
      </c>
      <c r="J377" s="1186">
        <v>101</v>
      </c>
      <c r="K377" s="1186">
        <v>11</v>
      </c>
      <c r="L377" s="1186">
        <v>97</v>
      </c>
      <c r="M377" s="1186">
        <v>134250</v>
      </c>
    </row>
    <row r="378" spans="1:13" x14ac:dyDescent="0.2">
      <c r="A378" s="1186" t="s">
        <v>42</v>
      </c>
      <c r="B378" s="1186" t="s">
        <v>1572</v>
      </c>
      <c r="C378" s="1186">
        <v>1475</v>
      </c>
      <c r="D378" s="1186">
        <v>14</v>
      </c>
      <c r="E378" s="1186">
        <v>460</v>
      </c>
      <c r="F378" s="1186">
        <v>8</v>
      </c>
      <c r="G378" s="1186">
        <v>29</v>
      </c>
      <c r="H378" s="1186">
        <v>18</v>
      </c>
      <c r="I378" s="1186">
        <v>164</v>
      </c>
      <c r="J378" s="1186">
        <v>179</v>
      </c>
      <c r="K378" s="1186">
        <v>29</v>
      </c>
      <c r="L378" s="1186">
        <v>574</v>
      </c>
      <c r="M378" s="1186">
        <v>341140</v>
      </c>
    </row>
    <row r="379" spans="1:13" x14ac:dyDescent="0.2">
      <c r="A379" s="1186" t="s">
        <v>43</v>
      </c>
      <c r="B379" s="1186" t="s">
        <v>1572</v>
      </c>
      <c r="C379" s="1186">
        <v>14</v>
      </c>
      <c r="D379" s="1186"/>
      <c r="E379" s="1186">
        <v>6</v>
      </c>
      <c r="F379" s="1186">
        <v>1</v>
      </c>
      <c r="G379" s="1186">
        <v>1</v>
      </c>
      <c r="H379" s="1186"/>
      <c r="I379" s="1186">
        <v>3</v>
      </c>
      <c r="J379" s="1186">
        <v>1</v>
      </c>
      <c r="K379" s="1186"/>
      <c r="L379" s="1186">
        <v>2</v>
      </c>
      <c r="M379" s="1186">
        <v>22400</v>
      </c>
    </row>
    <row r="380" spans="1:13" x14ac:dyDescent="0.2">
      <c r="A380" s="1186" t="s">
        <v>44</v>
      </c>
      <c r="B380" s="1186" t="s">
        <v>1572</v>
      </c>
      <c r="C380" s="1186">
        <v>145</v>
      </c>
      <c r="D380" s="1186">
        <v>2</v>
      </c>
      <c r="E380" s="1186">
        <v>62</v>
      </c>
      <c r="F380" s="1186">
        <v>4</v>
      </c>
      <c r="G380" s="1186">
        <v>5</v>
      </c>
      <c r="H380" s="1186">
        <v>5</v>
      </c>
      <c r="I380" s="1186">
        <v>11</v>
      </c>
      <c r="J380" s="1186">
        <v>34</v>
      </c>
      <c r="K380" s="1186">
        <v>5</v>
      </c>
      <c r="L380" s="1186">
        <v>17</v>
      </c>
      <c r="M380" s="1186">
        <v>151910</v>
      </c>
    </row>
    <row r="381" spans="1:13" x14ac:dyDescent="0.2">
      <c r="A381" s="1186" t="s">
        <v>45</v>
      </c>
      <c r="B381" s="1186" t="s">
        <v>1572</v>
      </c>
      <c r="C381" s="1186">
        <v>503</v>
      </c>
      <c r="D381" s="1186">
        <v>3</v>
      </c>
      <c r="E381" s="1186">
        <v>137</v>
      </c>
      <c r="F381" s="1186">
        <v>1</v>
      </c>
      <c r="G381" s="1186">
        <v>11</v>
      </c>
      <c r="H381" s="1186">
        <v>3</v>
      </c>
      <c r="I381" s="1186">
        <v>63</v>
      </c>
      <c r="J381" s="1186">
        <v>122</v>
      </c>
      <c r="K381" s="1186">
        <v>17</v>
      </c>
      <c r="L381" s="1186">
        <v>146</v>
      </c>
      <c r="M381" s="1186">
        <v>179390</v>
      </c>
    </row>
    <row r="382" spans="1:13" x14ac:dyDescent="0.2">
      <c r="A382" s="1186" t="s">
        <v>46</v>
      </c>
      <c r="B382" s="1186" t="s">
        <v>1572</v>
      </c>
      <c r="C382" s="1186">
        <v>124</v>
      </c>
      <c r="D382" s="1186">
        <v>1</v>
      </c>
      <c r="E382" s="1186">
        <v>64</v>
      </c>
      <c r="F382" s="1186">
        <v>2</v>
      </c>
      <c r="G382" s="1186">
        <v>4</v>
      </c>
      <c r="H382" s="1186">
        <v>1</v>
      </c>
      <c r="I382" s="1186">
        <v>12</v>
      </c>
      <c r="J382" s="1186">
        <v>23</v>
      </c>
      <c r="K382" s="1186">
        <v>4</v>
      </c>
      <c r="L382" s="1186">
        <v>13</v>
      </c>
      <c r="M382" s="1186">
        <v>115240</v>
      </c>
    </row>
    <row r="383" spans="1:13" x14ac:dyDescent="0.2">
      <c r="A383" s="1186" t="s">
        <v>47</v>
      </c>
      <c r="B383" s="1186" t="s">
        <v>1572</v>
      </c>
      <c r="C383" s="1186">
        <v>15</v>
      </c>
      <c r="D383" s="1186"/>
      <c r="E383" s="1186">
        <v>6</v>
      </c>
      <c r="F383" s="1186"/>
      <c r="G383" s="1186">
        <v>2</v>
      </c>
      <c r="H383" s="1186"/>
      <c r="I383" s="1186">
        <v>3</v>
      </c>
      <c r="J383" s="1186">
        <v>1</v>
      </c>
      <c r="K383" s="1186"/>
      <c r="L383" s="1186">
        <v>3</v>
      </c>
      <c r="M383" s="1186">
        <v>22870</v>
      </c>
    </row>
    <row r="384" spans="1:13" x14ac:dyDescent="0.2">
      <c r="A384" s="1186" t="s">
        <v>48</v>
      </c>
      <c r="B384" s="1186" t="s">
        <v>1572</v>
      </c>
      <c r="C384" s="1186">
        <v>304</v>
      </c>
      <c r="D384" s="1186">
        <v>2</v>
      </c>
      <c r="E384" s="1186">
        <v>102</v>
      </c>
      <c r="F384" s="1186">
        <v>2</v>
      </c>
      <c r="G384" s="1186">
        <v>4</v>
      </c>
      <c r="H384" s="1186">
        <v>1</v>
      </c>
      <c r="I384" s="1186">
        <v>66</v>
      </c>
      <c r="J384" s="1186">
        <v>74</v>
      </c>
      <c r="K384" s="1186">
        <v>2</v>
      </c>
      <c r="L384" s="1186">
        <v>51</v>
      </c>
      <c r="M384" s="1186">
        <v>112140</v>
      </c>
    </row>
    <row r="385" spans="1:13" x14ac:dyDescent="0.2">
      <c r="A385" s="1186" t="s">
        <v>49</v>
      </c>
      <c r="B385" s="1186" t="s">
        <v>1572</v>
      </c>
      <c r="C385" s="1186">
        <v>1018</v>
      </c>
      <c r="D385" s="1186">
        <v>5</v>
      </c>
      <c r="E385" s="1186">
        <v>349</v>
      </c>
      <c r="F385" s="1186">
        <v>8</v>
      </c>
      <c r="G385" s="1186">
        <v>7</v>
      </c>
      <c r="H385" s="1186">
        <v>4</v>
      </c>
      <c r="I385" s="1186">
        <v>97</v>
      </c>
      <c r="J385" s="1186">
        <v>171</v>
      </c>
      <c r="K385" s="1186">
        <v>26</v>
      </c>
      <c r="L385" s="1186">
        <v>351</v>
      </c>
      <c r="M385" s="1186">
        <v>320820</v>
      </c>
    </row>
    <row r="386" spans="1:13" x14ac:dyDescent="0.2">
      <c r="A386" s="1186" t="s">
        <v>50</v>
      </c>
      <c r="B386" s="1186" t="s">
        <v>1572</v>
      </c>
      <c r="C386" s="1186">
        <v>196</v>
      </c>
      <c r="D386" s="1186">
        <v>2</v>
      </c>
      <c r="E386" s="1186">
        <v>89</v>
      </c>
      <c r="F386" s="1186"/>
      <c r="G386" s="1186">
        <v>8</v>
      </c>
      <c r="H386" s="1186">
        <v>1</v>
      </c>
      <c r="I386" s="1186">
        <v>19</v>
      </c>
      <c r="J386" s="1186">
        <v>46</v>
      </c>
      <c r="K386" s="1186">
        <v>4</v>
      </c>
      <c r="L386" s="1186">
        <v>27</v>
      </c>
      <c r="M386" s="1186">
        <v>94080</v>
      </c>
    </row>
    <row r="387" spans="1:13" x14ac:dyDescent="0.2">
      <c r="A387" s="1186" t="s">
        <v>51</v>
      </c>
      <c r="B387" s="1186" t="s">
        <v>1572</v>
      </c>
      <c r="C387" s="1186">
        <v>408</v>
      </c>
      <c r="D387" s="1186">
        <v>12</v>
      </c>
      <c r="E387" s="1186">
        <v>119</v>
      </c>
      <c r="F387" s="1186">
        <v>3</v>
      </c>
      <c r="G387" s="1186">
        <v>6</v>
      </c>
      <c r="H387" s="1186"/>
      <c r="I387" s="1186">
        <v>54</v>
      </c>
      <c r="J387" s="1186">
        <v>121</v>
      </c>
      <c r="K387" s="1186">
        <v>7</v>
      </c>
      <c r="L387" s="1186">
        <v>86</v>
      </c>
      <c r="M387" s="1186">
        <v>88340</v>
      </c>
    </row>
    <row r="388" spans="1:13" x14ac:dyDescent="0.2">
      <c r="A388" s="1186" t="s">
        <v>52</v>
      </c>
      <c r="B388" s="1186" t="s">
        <v>1572</v>
      </c>
      <c r="C388" s="1186">
        <v>692</v>
      </c>
      <c r="D388" s="1186">
        <v>11</v>
      </c>
      <c r="E388" s="1186">
        <v>283</v>
      </c>
      <c r="F388" s="1186">
        <v>3</v>
      </c>
      <c r="G388" s="1186">
        <v>15</v>
      </c>
      <c r="H388" s="1186">
        <v>6</v>
      </c>
      <c r="I388" s="1186">
        <v>82</v>
      </c>
      <c r="J388" s="1186">
        <v>164</v>
      </c>
      <c r="K388" s="1186">
        <v>22</v>
      </c>
      <c r="L388" s="1186">
        <v>106</v>
      </c>
      <c r="M388" s="1186">
        <v>183820</v>
      </c>
    </row>
  </sheetData>
  <pageMargins left="0.7" right="0.7" top="0.75" bottom="0.75" header="0.3" footer="0.3"/>
  <pageSetup paperSize="9" fitToHeight="50" orientation="landscape" r:id="rId1"/>
  <legacyDrawing r:id="rId2"/>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pageSetUpPr fitToPage="1"/>
  </sheetPr>
  <dimension ref="A1:G2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2.5703125" bestFit="1" customWidth="1"/>
    <col min="3" max="3" width="17.140625" bestFit="1" customWidth="1"/>
    <col min="4" max="4" width="9" bestFit="1" customWidth="1"/>
    <col min="5" max="5" width="14.5703125" bestFit="1" customWidth="1"/>
    <col min="6" max="6" width="13" bestFit="1" customWidth="1"/>
    <col min="7" max="7" width="7.85546875" bestFit="1" customWidth="1"/>
  </cols>
  <sheetData>
    <row r="1" spans="1:7" x14ac:dyDescent="0.2"/>
    <row r="4" spans="1:7" x14ac:dyDescent="0.2">
      <c r="A4" s="1223" t="s">
        <v>4</v>
      </c>
      <c r="B4" s="1223" t="s">
        <v>1764</v>
      </c>
      <c r="C4" s="1223" t="s">
        <v>1765</v>
      </c>
      <c r="D4" s="1223" t="s">
        <v>828</v>
      </c>
      <c r="E4" s="1223" t="s">
        <v>850</v>
      </c>
      <c r="F4" s="1223" t="s">
        <v>851</v>
      </c>
      <c r="G4" s="1223" t="s">
        <v>852</v>
      </c>
    </row>
    <row r="5" spans="1:7" x14ac:dyDescent="0.2">
      <c r="A5" s="1186" t="s">
        <v>19</v>
      </c>
      <c r="B5" s="1186" t="s">
        <v>61</v>
      </c>
      <c r="C5" s="1186">
        <v>9377</v>
      </c>
      <c r="D5" s="1186">
        <v>5367</v>
      </c>
      <c r="E5" s="1186">
        <v>2031</v>
      </c>
      <c r="F5" s="1186">
        <v>1507</v>
      </c>
      <c r="G5" s="1186">
        <v>472</v>
      </c>
    </row>
    <row r="6" spans="1:7" x14ac:dyDescent="0.2">
      <c r="A6" s="1186" t="s">
        <v>20</v>
      </c>
      <c r="B6" s="1186" t="s">
        <v>61</v>
      </c>
      <c r="C6" s="1186">
        <v>9060</v>
      </c>
      <c r="D6" s="1186">
        <v>5209</v>
      </c>
      <c r="E6" s="1186">
        <v>1980</v>
      </c>
      <c r="F6" s="1186">
        <v>1433</v>
      </c>
      <c r="G6" s="1186">
        <v>438</v>
      </c>
    </row>
    <row r="7" spans="1:7" x14ac:dyDescent="0.2">
      <c r="A7" s="1186" t="s">
        <v>13</v>
      </c>
      <c r="B7" s="1186" t="s">
        <v>61</v>
      </c>
      <c r="C7" s="1186">
        <v>8631</v>
      </c>
      <c r="D7" s="1186">
        <v>5117</v>
      </c>
      <c r="E7" s="1186">
        <v>1854</v>
      </c>
      <c r="F7" s="1186">
        <v>1247</v>
      </c>
      <c r="G7" s="1186">
        <v>413</v>
      </c>
    </row>
    <row r="8" spans="1:7" x14ac:dyDescent="0.2">
      <c r="A8" s="1186" t="s">
        <v>15</v>
      </c>
      <c r="B8" s="1186" t="s">
        <v>61</v>
      </c>
      <c r="C8" s="1186">
        <v>8253</v>
      </c>
      <c r="D8" s="1186">
        <v>4997</v>
      </c>
      <c r="E8" s="1186">
        <v>1719</v>
      </c>
      <c r="F8" s="1186">
        <v>1220</v>
      </c>
      <c r="G8" s="1186">
        <v>317</v>
      </c>
    </row>
    <row r="9" spans="1:7" x14ac:dyDescent="0.2">
      <c r="A9" s="1186" t="s">
        <v>17</v>
      </c>
      <c r="B9" s="1186" t="s">
        <v>61</v>
      </c>
      <c r="C9" s="1186">
        <v>7941</v>
      </c>
      <c r="D9" s="1186">
        <v>4673</v>
      </c>
      <c r="E9" s="1186">
        <v>1711</v>
      </c>
      <c r="F9" s="1186">
        <v>1169</v>
      </c>
      <c r="G9" s="1186">
        <v>388</v>
      </c>
    </row>
    <row r="10" spans="1:7" x14ac:dyDescent="0.2">
      <c r="A10" s="1186" t="s">
        <v>133</v>
      </c>
      <c r="B10" s="1186" t="s">
        <v>61</v>
      </c>
      <c r="C10" s="1186">
        <v>8220</v>
      </c>
      <c r="D10" s="1186">
        <v>4953</v>
      </c>
      <c r="E10" s="1186">
        <v>1759</v>
      </c>
      <c r="F10" s="1186">
        <v>1148</v>
      </c>
      <c r="G10" s="1186">
        <v>360</v>
      </c>
    </row>
    <row r="11" spans="1:7" x14ac:dyDescent="0.2">
      <c r="A11" s="1186" t="s">
        <v>144</v>
      </c>
      <c r="B11" s="1186" t="s">
        <v>61</v>
      </c>
      <c r="C11" s="1186">
        <v>8419</v>
      </c>
      <c r="D11" s="1186">
        <v>5068</v>
      </c>
      <c r="E11" s="1186">
        <v>1850</v>
      </c>
      <c r="F11" s="1186">
        <v>1165</v>
      </c>
      <c r="G11" s="1186">
        <v>336</v>
      </c>
    </row>
    <row r="12" spans="1:7" x14ac:dyDescent="0.2">
      <c r="A12" s="1186" t="s">
        <v>282</v>
      </c>
      <c r="B12" s="1186" t="s">
        <v>61</v>
      </c>
      <c r="C12" s="1186">
        <v>8199</v>
      </c>
      <c r="D12" s="1186">
        <v>4922</v>
      </c>
      <c r="E12" s="1186">
        <v>1720</v>
      </c>
      <c r="F12" s="1186">
        <v>1211</v>
      </c>
      <c r="G12" s="1186">
        <v>346</v>
      </c>
    </row>
    <row r="13" spans="1:7" x14ac:dyDescent="0.2">
      <c r="A13" s="1186" t="s">
        <v>311</v>
      </c>
      <c r="B13" s="1186" t="s">
        <v>61</v>
      </c>
      <c r="C13" s="1186">
        <v>7941</v>
      </c>
      <c r="D13" s="1186">
        <v>4751</v>
      </c>
      <c r="E13" s="1186">
        <v>1639</v>
      </c>
      <c r="F13" s="1186">
        <v>1153</v>
      </c>
      <c r="G13" s="1186">
        <v>398</v>
      </c>
    </row>
    <row r="14" spans="1:7" x14ac:dyDescent="0.2">
      <c r="A14" s="1186" t="s">
        <v>621</v>
      </c>
      <c r="B14" s="1186" t="s">
        <v>61</v>
      </c>
      <c r="C14" s="1186">
        <v>7969</v>
      </c>
      <c r="D14" s="1186">
        <v>4635</v>
      </c>
      <c r="E14" s="1186">
        <v>1703</v>
      </c>
      <c r="F14" s="1186">
        <v>1165</v>
      </c>
      <c r="G14" s="1186">
        <v>466</v>
      </c>
    </row>
    <row r="15" spans="1:7" x14ac:dyDescent="0.2">
      <c r="A15" s="1186" t="s">
        <v>1419</v>
      </c>
      <c r="B15" s="1186" t="s">
        <v>61</v>
      </c>
      <c r="C15" s="1186">
        <v>7409</v>
      </c>
      <c r="D15" s="1186">
        <v>4365</v>
      </c>
      <c r="E15" s="1186">
        <v>1506</v>
      </c>
      <c r="F15" s="1186">
        <v>1207</v>
      </c>
      <c r="G15" s="1186">
        <v>331</v>
      </c>
    </row>
    <row r="16" spans="1:7" x14ac:dyDescent="0.2">
      <c r="A16" s="1186" t="s">
        <v>1572</v>
      </c>
      <c r="B16" s="1186" t="s">
        <v>61</v>
      </c>
      <c r="C16" s="1186">
        <v>7011</v>
      </c>
      <c r="D16" s="1186">
        <v>4141</v>
      </c>
      <c r="E16" s="1186">
        <v>1335</v>
      </c>
      <c r="F16" s="1186">
        <v>1055</v>
      </c>
      <c r="G16" s="1186">
        <v>480</v>
      </c>
    </row>
    <row r="17" spans="1:7" x14ac:dyDescent="0.2">
      <c r="A17" s="1186" t="s">
        <v>19</v>
      </c>
      <c r="B17" s="1186" t="s">
        <v>116</v>
      </c>
      <c r="C17" s="1186">
        <v>4615</v>
      </c>
      <c r="D17" s="1186">
        <v>1193</v>
      </c>
      <c r="E17" s="1186">
        <v>973</v>
      </c>
      <c r="F17" s="1186">
        <v>1478</v>
      </c>
      <c r="G17" s="1186">
        <v>971</v>
      </c>
    </row>
    <row r="18" spans="1:7" x14ac:dyDescent="0.2">
      <c r="A18" s="1186" t="s">
        <v>20</v>
      </c>
      <c r="B18" s="1186" t="s">
        <v>116</v>
      </c>
      <c r="C18" s="1186">
        <v>4084</v>
      </c>
      <c r="D18" s="1186">
        <v>1084</v>
      </c>
      <c r="E18" s="1186">
        <v>815</v>
      </c>
      <c r="F18" s="1186">
        <v>1251</v>
      </c>
      <c r="G18" s="1186">
        <v>934</v>
      </c>
    </row>
    <row r="19" spans="1:7" x14ac:dyDescent="0.2">
      <c r="A19" s="1186" t="s">
        <v>13</v>
      </c>
      <c r="B19" s="1186" t="s">
        <v>116</v>
      </c>
      <c r="C19" s="1186">
        <v>3780</v>
      </c>
      <c r="D19" s="1186">
        <v>1040</v>
      </c>
      <c r="E19" s="1186">
        <v>863</v>
      </c>
      <c r="F19" s="1186">
        <v>1115</v>
      </c>
      <c r="G19" s="1186">
        <v>762</v>
      </c>
    </row>
    <row r="20" spans="1:7" x14ac:dyDescent="0.2">
      <c r="A20" s="1186" t="s">
        <v>15</v>
      </c>
      <c r="B20" s="1186" t="s">
        <v>116</v>
      </c>
      <c r="C20" s="1186">
        <v>2833</v>
      </c>
      <c r="D20" s="1186">
        <v>832</v>
      </c>
      <c r="E20" s="1186">
        <v>689</v>
      </c>
      <c r="F20" s="1186">
        <v>814</v>
      </c>
      <c r="G20" s="1186">
        <v>498</v>
      </c>
    </row>
    <row r="21" spans="1:7" x14ac:dyDescent="0.2">
      <c r="A21" s="1186" t="s">
        <v>17</v>
      </c>
      <c r="B21" s="1186" t="s">
        <v>116</v>
      </c>
      <c r="C21" s="1186">
        <v>2580</v>
      </c>
      <c r="D21" s="1186">
        <v>650</v>
      </c>
      <c r="E21" s="1186">
        <v>635</v>
      </c>
      <c r="F21" s="1186">
        <v>769</v>
      </c>
      <c r="G21" s="1186">
        <v>526</v>
      </c>
    </row>
    <row r="22" spans="1:7" x14ac:dyDescent="0.2">
      <c r="A22" s="1186" t="s">
        <v>133</v>
      </c>
      <c r="B22" s="1186" t="s">
        <v>116</v>
      </c>
      <c r="C22" s="1186">
        <v>2413</v>
      </c>
      <c r="D22" s="1186">
        <v>621</v>
      </c>
      <c r="E22" s="1186">
        <v>565</v>
      </c>
      <c r="F22" s="1186">
        <v>749</v>
      </c>
      <c r="G22" s="1186">
        <v>478</v>
      </c>
    </row>
    <row r="23" spans="1:7" x14ac:dyDescent="0.2">
      <c r="A23" s="1186" t="s">
        <v>144</v>
      </c>
      <c r="B23" s="1186" t="s">
        <v>116</v>
      </c>
      <c r="C23" s="1186">
        <v>2587</v>
      </c>
      <c r="D23" s="1186">
        <v>605</v>
      </c>
      <c r="E23" s="1186">
        <v>644</v>
      </c>
      <c r="F23" s="1186">
        <v>800</v>
      </c>
      <c r="G23" s="1186">
        <v>538</v>
      </c>
    </row>
    <row r="24" spans="1:7" x14ac:dyDescent="0.2">
      <c r="A24" s="1186" t="s">
        <v>282</v>
      </c>
      <c r="B24" s="1186" t="s">
        <v>116</v>
      </c>
      <c r="C24" s="1186">
        <v>2695</v>
      </c>
      <c r="D24" s="1186">
        <v>618</v>
      </c>
      <c r="E24" s="1186">
        <v>557</v>
      </c>
      <c r="F24" s="1186">
        <v>909</v>
      </c>
      <c r="G24" s="1186">
        <v>611</v>
      </c>
    </row>
    <row r="25" spans="1:7" x14ac:dyDescent="0.2">
      <c r="A25" s="1186" t="s">
        <v>311</v>
      </c>
      <c r="B25" s="1186" t="s">
        <v>116</v>
      </c>
      <c r="C25" s="1186">
        <v>2731</v>
      </c>
      <c r="D25" s="1186">
        <v>560</v>
      </c>
      <c r="E25" s="1186">
        <v>648</v>
      </c>
      <c r="F25" s="1186">
        <v>863</v>
      </c>
      <c r="G25" s="1186">
        <v>660</v>
      </c>
    </row>
    <row r="26" spans="1:7" x14ac:dyDescent="0.2">
      <c r="A26" s="1186" t="s">
        <v>621</v>
      </c>
      <c r="B26" s="1186" t="s">
        <v>116</v>
      </c>
      <c r="C26" s="1186">
        <v>2504</v>
      </c>
      <c r="D26" s="1186">
        <v>510</v>
      </c>
      <c r="E26" s="1186">
        <v>549</v>
      </c>
      <c r="F26" s="1186">
        <v>787</v>
      </c>
      <c r="G26" s="1186">
        <v>658</v>
      </c>
    </row>
    <row r="27" spans="1:7" x14ac:dyDescent="0.2">
      <c r="A27" s="1186" t="s">
        <v>1419</v>
      </c>
      <c r="B27" s="1186" t="s">
        <v>116</v>
      </c>
      <c r="C27" s="1186">
        <v>2443</v>
      </c>
      <c r="D27" s="1186">
        <v>525</v>
      </c>
      <c r="E27" s="1186">
        <v>474</v>
      </c>
      <c r="F27" s="1186">
        <v>892</v>
      </c>
      <c r="G27" s="1186">
        <v>552</v>
      </c>
    </row>
    <row r="28" spans="1:7" x14ac:dyDescent="0.2">
      <c r="A28" s="1186" t="s">
        <v>1572</v>
      </c>
      <c r="B28" s="1186" t="s">
        <v>116</v>
      </c>
      <c r="C28" s="1186">
        <v>2405</v>
      </c>
      <c r="D28" s="1186">
        <v>520</v>
      </c>
      <c r="E28" s="1186">
        <v>383</v>
      </c>
      <c r="F28" s="1186">
        <v>761</v>
      </c>
      <c r="G28" s="1186">
        <v>741</v>
      </c>
    </row>
  </sheetData>
  <pageMargins left="0.7" right="0.7" top="0.75" bottom="0.75" header="0.3" footer="0.3"/>
  <pageSetup paperSize="9" fitToHeight="50" orientation="landscape" r:id="rId1"/>
  <legacyDrawing r:id="rId2"/>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pageSetUpPr fitToPage="1"/>
  </sheetPr>
  <dimension ref="A1:G2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2.5703125" bestFit="1" customWidth="1"/>
    <col min="2" max="2" width="7.42578125" bestFit="1" customWidth="1"/>
    <col min="3" max="3" width="19.28515625" bestFit="1" customWidth="1"/>
    <col min="4" max="4" width="9" bestFit="1" customWidth="1"/>
    <col min="5" max="5" width="14.5703125" bestFit="1" customWidth="1"/>
    <col min="6" max="6" width="13" bestFit="1" customWidth="1"/>
    <col min="7" max="7" width="7.85546875" bestFit="1" customWidth="1"/>
  </cols>
  <sheetData>
    <row r="1" spans="1:7" x14ac:dyDescent="0.2"/>
    <row r="4" spans="1:7" x14ac:dyDescent="0.2">
      <c r="A4" s="1223" t="s">
        <v>1764</v>
      </c>
      <c r="B4" s="1223" t="s">
        <v>4</v>
      </c>
      <c r="C4" s="1223" t="s">
        <v>1766</v>
      </c>
      <c r="D4" s="1223" t="s">
        <v>828</v>
      </c>
      <c r="E4" s="1223" t="s">
        <v>850</v>
      </c>
      <c r="F4" s="1223" t="s">
        <v>851</v>
      </c>
      <c r="G4" s="1223" t="s">
        <v>852</v>
      </c>
    </row>
    <row r="5" spans="1:7" x14ac:dyDescent="0.2">
      <c r="A5" s="1186" t="s">
        <v>61</v>
      </c>
      <c r="B5" s="1186" t="s">
        <v>19</v>
      </c>
      <c r="C5" s="1186">
        <v>55</v>
      </c>
      <c r="D5" s="1186">
        <v>48</v>
      </c>
      <c r="E5" s="1186">
        <v>4</v>
      </c>
      <c r="F5" s="1186">
        <v>2</v>
      </c>
      <c r="G5" s="1186">
        <v>1</v>
      </c>
    </row>
    <row r="6" spans="1:7" x14ac:dyDescent="0.2">
      <c r="A6" s="1186" t="s">
        <v>61</v>
      </c>
      <c r="B6" s="1186" t="s">
        <v>20</v>
      </c>
      <c r="C6" s="1186">
        <v>48</v>
      </c>
      <c r="D6" s="1186">
        <v>43</v>
      </c>
      <c r="E6" s="1186">
        <v>2</v>
      </c>
      <c r="F6" s="1186">
        <v>2</v>
      </c>
      <c r="G6" s="1186">
        <v>1</v>
      </c>
    </row>
    <row r="7" spans="1:7" x14ac:dyDescent="0.2">
      <c r="A7" s="1186" t="s">
        <v>61</v>
      </c>
      <c r="B7" s="1186" t="s">
        <v>13</v>
      </c>
      <c r="C7" s="1186">
        <v>51</v>
      </c>
      <c r="D7" s="1186">
        <v>44</v>
      </c>
      <c r="E7" s="1186">
        <v>4</v>
      </c>
      <c r="F7" s="1186">
        <v>2</v>
      </c>
      <c r="G7" s="1186">
        <v>1</v>
      </c>
    </row>
    <row r="8" spans="1:7" x14ac:dyDescent="0.2">
      <c r="A8" s="1186" t="s">
        <v>61</v>
      </c>
      <c r="B8" s="1186" t="s">
        <v>15</v>
      </c>
      <c r="C8" s="1186">
        <v>39</v>
      </c>
      <c r="D8" s="1186">
        <v>36</v>
      </c>
      <c r="E8" s="1186">
        <v>2</v>
      </c>
      <c r="F8" s="1186"/>
      <c r="G8" s="1186">
        <v>1</v>
      </c>
    </row>
    <row r="9" spans="1:7" x14ac:dyDescent="0.2">
      <c r="A9" s="1186" t="s">
        <v>61</v>
      </c>
      <c r="B9" s="1186" t="s">
        <v>17</v>
      </c>
      <c r="C9" s="1186">
        <v>26</v>
      </c>
      <c r="D9" s="1186">
        <v>25</v>
      </c>
      <c r="E9" s="1186"/>
      <c r="F9" s="1186">
        <v>1</v>
      </c>
      <c r="G9" s="1186"/>
    </row>
    <row r="10" spans="1:7" x14ac:dyDescent="0.2">
      <c r="A10" s="1186" t="s">
        <v>61</v>
      </c>
      <c r="B10" s="1186" t="s">
        <v>133</v>
      </c>
      <c r="C10" s="1186">
        <v>32</v>
      </c>
      <c r="D10" s="1186">
        <v>27</v>
      </c>
      <c r="E10" s="1186">
        <v>2</v>
      </c>
      <c r="F10" s="1186"/>
      <c r="G10" s="1186">
        <v>3</v>
      </c>
    </row>
    <row r="11" spans="1:7" x14ac:dyDescent="0.2">
      <c r="A11" s="1186" t="s">
        <v>61</v>
      </c>
      <c r="B11" s="1186" t="s">
        <v>144</v>
      </c>
      <c r="C11" s="1186">
        <v>37</v>
      </c>
      <c r="D11" s="1186">
        <v>33</v>
      </c>
      <c r="E11" s="1186">
        <v>2</v>
      </c>
      <c r="F11" s="1186">
        <v>2</v>
      </c>
      <c r="G11" s="1186"/>
    </row>
    <row r="12" spans="1:7" x14ac:dyDescent="0.2">
      <c r="A12" s="1186" t="s">
        <v>61</v>
      </c>
      <c r="B12" s="1186" t="s">
        <v>282</v>
      </c>
      <c r="C12" s="1186">
        <v>35</v>
      </c>
      <c r="D12" s="1186">
        <v>31</v>
      </c>
      <c r="E12" s="1186">
        <v>3</v>
      </c>
      <c r="F12" s="1186">
        <v>1</v>
      </c>
      <c r="G12" s="1186"/>
    </row>
    <row r="13" spans="1:7" x14ac:dyDescent="0.2">
      <c r="A13" s="1186" t="s">
        <v>61</v>
      </c>
      <c r="B13" s="1186" t="s">
        <v>311</v>
      </c>
      <c r="C13" s="1186">
        <v>41</v>
      </c>
      <c r="D13" s="1186">
        <v>34</v>
      </c>
      <c r="E13" s="1186">
        <v>3</v>
      </c>
      <c r="F13" s="1186">
        <v>3</v>
      </c>
      <c r="G13" s="1186">
        <v>1</v>
      </c>
    </row>
    <row r="14" spans="1:7" x14ac:dyDescent="0.2">
      <c r="A14" s="1186" t="s">
        <v>61</v>
      </c>
      <c r="B14" s="1186" t="s">
        <v>621</v>
      </c>
      <c r="C14" s="1186">
        <v>38</v>
      </c>
      <c r="D14" s="1186">
        <v>36</v>
      </c>
      <c r="E14" s="1186">
        <v>1</v>
      </c>
      <c r="F14" s="1186"/>
      <c r="G14" s="1186">
        <v>1</v>
      </c>
    </row>
    <row r="15" spans="1:7" x14ac:dyDescent="0.2">
      <c r="A15" s="1186" t="s">
        <v>61</v>
      </c>
      <c r="B15" s="1186" t="s">
        <v>1419</v>
      </c>
      <c r="C15" s="1186">
        <v>25</v>
      </c>
      <c r="D15" s="1186">
        <v>21</v>
      </c>
      <c r="E15" s="1186">
        <v>2</v>
      </c>
      <c r="F15" s="1186">
        <v>2</v>
      </c>
      <c r="G15" s="1186"/>
    </row>
    <row r="16" spans="1:7" x14ac:dyDescent="0.2">
      <c r="A16" s="1186" t="s">
        <v>61</v>
      </c>
      <c r="B16" s="1186" t="s">
        <v>1572</v>
      </c>
      <c r="C16" s="1186">
        <v>43</v>
      </c>
      <c r="D16" s="1186">
        <v>36</v>
      </c>
      <c r="E16" s="1186">
        <v>2</v>
      </c>
      <c r="F16" s="1186">
        <v>4</v>
      </c>
      <c r="G16" s="1186">
        <v>1</v>
      </c>
    </row>
    <row r="17" spans="1:7" x14ac:dyDescent="0.2">
      <c r="A17" s="1186" t="s">
        <v>116</v>
      </c>
      <c r="B17" s="1186" t="s">
        <v>19</v>
      </c>
      <c r="C17" s="1186">
        <v>7</v>
      </c>
      <c r="D17" s="1186">
        <v>5</v>
      </c>
      <c r="E17" s="1186"/>
      <c r="F17" s="1186">
        <v>2</v>
      </c>
      <c r="G17" s="1186"/>
    </row>
    <row r="18" spans="1:7" x14ac:dyDescent="0.2">
      <c r="A18" s="1186" t="s">
        <v>116</v>
      </c>
      <c r="B18" s="1186" t="s">
        <v>20</v>
      </c>
      <c r="C18" s="1186">
        <v>4</v>
      </c>
      <c r="D18" s="1186">
        <v>2</v>
      </c>
      <c r="E18" s="1186">
        <v>1</v>
      </c>
      <c r="F18" s="1186">
        <v>1</v>
      </c>
      <c r="G18" s="1186"/>
    </row>
    <row r="19" spans="1:7" x14ac:dyDescent="0.2">
      <c r="A19" s="1186" t="s">
        <v>116</v>
      </c>
      <c r="B19" s="1186" t="s">
        <v>13</v>
      </c>
      <c r="C19" s="1186">
        <v>8</v>
      </c>
      <c r="D19" s="1186">
        <v>7</v>
      </c>
      <c r="E19" s="1186"/>
      <c r="F19" s="1186">
        <v>1</v>
      </c>
      <c r="G19" s="1186"/>
    </row>
    <row r="20" spans="1:7" x14ac:dyDescent="0.2">
      <c r="A20" s="1186" t="s">
        <v>116</v>
      </c>
      <c r="B20" s="1186" t="s">
        <v>15</v>
      </c>
      <c r="C20" s="1186">
        <v>7</v>
      </c>
      <c r="D20" s="1186">
        <v>4</v>
      </c>
      <c r="E20" s="1186"/>
      <c r="F20" s="1186">
        <v>2</v>
      </c>
      <c r="G20" s="1186">
        <v>1</v>
      </c>
    </row>
    <row r="21" spans="1:7" x14ac:dyDescent="0.2">
      <c r="A21" s="1186" t="s">
        <v>116</v>
      </c>
      <c r="B21" s="1186" t="s">
        <v>17</v>
      </c>
      <c r="C21" s="1186">
        <v>5</v>
      </c>
      <c r="D21" s="1186">
        <v>4</v>
      </c>
      <c r="E21" s="1186">
        <v>1</v>
      </c>
      <c r="F21" s="1186"/>
      <c r="G21" s="1186"/>
    </row>
    <row r="22" spans="1:7" x14ac:dyDescent="0.2">
      <c r="A22" s="1186" t="s">
        <v>116</v>
      </c>
      <c r="B22" s="1186" t="s">
        <v>133</v>
      </c>
      <c r="C22" s="1186">
        <v>8</v>
      </c>
      <c r="D22" s="1186">
        <v>4</v>
      </c>
      <c r="E22" s="1186">
        <v>1</v>
      </c>
      <c r="F22" s="1186">
        <v>1</v>
      </c>
      <c r="G22" s="1186">
        <v>2</v>
      </c>
    </row>
    <row r="23" spans="1:7" x14ac:dyDescent="0.2">
      <c r="A23" s="1186" t="s">
        <v>116</v>
      </c>
      <c r="B23" s="1186" t="s">
        <v>144</v>
      </c>
      <c r="C23" s="1186">
        <v>8</v>
      </c>
      <c r="D23" s="1186">
        <v>6</v>
      </c>
      <c r="E23" s="1186">
        <v>1</v>
      </c>
      <c r="F23" s="1186">
        <v>1</v>
      </c>
      <c r="G23" s="1186"/>
    </row>
    <row r="24" spans="1:7" x14ac:dyDescent="0.2">
      <c r="A24" s="1186" t="s">
        <v>116</v>
      </c>
      <c r="B24" s="1186" t="s">
        <v>282</v>
      </c>
      <c r="C24" s="1186">
        <v>9</v>
      </c>
      <c r="D24" s="1186">
        <v>5</v>
      </c>
      <c r="E24" s="1186"/>
      <c r="F24" s="1186">
        <v>4</v>
      </c>
      <c r="G24" s="1186"/>
    </row>
    <row r="25" spans="1:7" x14ac:dyDescent="0.2">
      <c r="A25" s="1186" t="s">
        <v>116</v>
      </c>
      <c r="B25" s="1186" t="s">
        <v>311</v>
      </c>
      <c r="C25" s="1186">
        <v>3</v>
      </c>
      <c r="D25" s="1186">
        <v>3</v>
      </c>
      <c r="E25" s="1186"/>
      <c r="F25" s="1186"/>
      <c r="G25" s="1186"/>
    </row>
    <row r="26" spans="1:7" x14ac:dyDescent="0.2">
      <c r="A26" s="1186" t="s">
        <v>116</v>
      </c>
      <c r="B26" s="1186" t="s">
        <v>621</v>
      </c>
      <c r="C26" s="1186">
        <v>6</v>
      </c>
      <c r="D26" s="1186">
        <v>4</v>
      </c>
      <c r="E26" s="1186"/>
      <c r="F26" s="1186">
        <v>1</v>
      </c>
      <c r="G26" s="1186">
        <v>1</v>
      </c>
    </row>
    <row r="27" spans="1:7" x14ac:dyDescent="0.2">
      <c r="A27" s="1186" t="s">
        <v>116</v>
      </c>
      <c r="B27" s="1186" t="s">
        <v>1419</v>
      </c>
      <c r="C27" s="1186">
        <v>2</v>
      </c>
      <c r="D27" s="1186"/>
      <c r="E27" s="1186">
        <v>1</v>
      </c>
      <c r="F27" s="1186">
        <v>1</v>
      </c>
      <c r="G27" s="1186"/>
    </row>
    <row r="28" spans="1:7" x14ac:dyDescent="0.2">
      <c r="A28" s="1186" t="s">
        <v>116</v>
      </c>
      <c r="B28" s="1186" t="s">
        <v>1572</v>
      </c>
      <c r="C28" s="1186">
        <v>10</v>
      </c>
      <c r="D28" s="1186">
        <v>8</v>
      </c>
      <c r="E28" s="1186"/>
      <c r="F28" s="1186">
        <v>1</v>
      </c>
      <c r="G28" s="1186">
        <v>1</v>
      </c>
    </row>
  </sheetData>
  <pageMargins left="0.7" right="0.7" top="0.75" bottom="0.75" header="0.3" footer="0.3"/>
  <pageSetup paperSize="9" fitToHeight="5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048574"/>
  <sheetViews>
    <sheetView showGridLines="0" zoomScaleNormal="100" workbookViewId="0">
      <pane ySplit="5" topLeftCell="A6" activePane="bottomLeft" state="frozen"/>
      <selection activeCellId="1" sqref="A1 A1"/>
      <selection pane="bottomLeft"/>
    </sheetView>
  </sheetViews>
  <sheetFormatPr defaultColWidth="9.140625" defaultRowHeight="15" x14ac:dyDescent="0.25"/>
  <cols>
    <col min="1" max="1" width="33.7109375" style="1043" customWidth="1"/>
    <col min="2" max="2" width="24.28515625" style="1043" bestFit="1" customWidth="1"/>
    <col min="3" max="3" width="27.5703125" style="1043" bestFit="1" customWidth="1"/>
    <col min="4" max="4" width="24.42578125" style="1043" bestFit="1" customWidth="1"/>
    <col min="5" max="5" width="15.85546875" style="1043" customWidth="1"/>
    <col min="6" max="6" width="24" style="1043" bestFit="1" customWidth="1"/>
    <col min="7" max="7" width="8.85546875" style="1069" customWidth="1"/>
    <col min="8" max="8" width="15.5703125" style="1043" bestFit="1" customWidth="1"/>
    <col min="9" max="9" width="12.5703125" style="1043" customWidth="1"/>
    <col min="10" max="10" width="11.42578125" style="1043" customWidth="1"/>
    <col min="11" max="16384" width="9.140625" style="1043"/>
  </cols>
  <sheetData>
    <row r="1" spans="1:11" ht="15.75" x14ac:dyDescent="0.25">
      <c r="A1" s="373" t="s">
        <v>1120</v>
      </c>
    </row>
    <row r="3" spans="1:11" x14ac:dyDescent="0.25">
      <c r="A3" s="1043" t="s">
        <v>1121</v>
      </c>
    </row>
    <row r="5" spans="1:11" s="956" customFormat="1" x14ac:dyDescent="0.25">
      <c r="A5" s="956" t="s">
        <v>1122</v>
      </c>
      <c r="F5" s="956" t="s">
        <v>1123</v>
      </c>
      <c r="G5" s="956" t="s">
        <v>1124</v>
      </c>
      <c r="H5" s="956" t="s">
        <v>1125</v>
      </c>
      <c r="I5" s="956" t="s">
        <v>1440</v>
      </c>
      <c r="J5" s="956" t="s">
        <v>1442</v>
      </c>
    </row>
    <row r="6" spans="1:11" x14ac:dyDescent="0.25">
      <c r="A6" s="967" t="s">
        <v>577</v>
      </c>
      <c r="B6" s="1048" t="s">
        <v>1138</v>
      </c>
      <c r="C6" s="1048"/>
      <c r="D6" s="1048"/>
      <c r="E6" s="1048"/>
      <c r="F6" s="1048" t="s">
        <v>1127</v>
      </c>
      <c r="G6" s="1070" t="s">
        <v>1126</v>
      </c>
      <c r="H6" s="1043" t="s">
        <v>1293</v>
      </c>
      <c r="J6" s="1049"/>
      <c r="K6" s="1048"/>
    </row>
    <row r="7" spans="1:11" x14ac:dyDescent="0.25">
      <c r="A7" s="1058"/>
      <c r="B7" s="1044" t="s">
        <v>1139</v>
      </c>
      <c r="C7" s="1044"/>
      <c r="D7" s="1044"/>
      <c r="E7" s="1044"/>
      <c r="F7" s="1044" t="s">
        <v>1127</v>
      </c>
      <c r="G7" s="1071" t="s">
        <v>1126</v>
      </c>
      <c r="H7" s="1044" t="s">
        <v>1294</v>
      </c>
      <c r="I7" s="1044"/>
      <c r="J7" s="1045"/>
      <c r="K7" s="1044"/>
    </row>
    <row r="8" spans="1:11" x14ac:dyDescent="0.25">
      <c r="A8" s="1050" t="s">
        <v>1247</v>
      </c>
      <c r="B8" s="1044" t="s">
        <v>1138</v>
      </c>
      <c r="C8" s="1047" t="s">
        <v>103</v>
      </c>
      <c r="D8" s="1044"/>
      <c r="E8" s="1044"/>
      <c r="F8" s="1047" t="s">
        <v>1277</v>
      </c>
      <c r="G8" s="1071" t="s">
        <v>1126</v>
      </c>
      <c r="H8" s="1044" t="s">
        <v>1295</v>
      </c>
      <c r="I8" s="1044"/>
      <c r="J8" s="1045"/>
      <c r="K8" s="1044"/>
    </row>
    <row r="9" spans="1:11" x14ac:dyDescent="0.25">
      <c r="A9" s="1059"/>
      <c r="B9" s="1044" t="s">
        <v>1138</v>
      </c>
      <c r="C9" s="1047" t="s">
        <v>114</v>
      </c>
      <c r="D9" s="1044"/>
      <c r="E9" s="1044"/>
      <c r="F9" s="1047" t="s">
        <v>1277</v>
      </c>
      <c r="G9" s="1071" t="s">
        <v>1126</v>
      </c>
      <c r="H9" s="1044" t="s">
        <v>1412</v>
      </c>
      <c r="I9" s="1044"/>
      <c r="J9" s="1045"/>
      <c r="K9" s="1044"/>
    </row>
    <row r="10" spans="1:11" x14ac:dyDescent="0.25">
      <c r="A10" s="1059"/>
      <c r="B10" s="1044" t="s">
        <v>1138</v>
      </c>
      <c r="C10" s="1047" t="s">
        <v>276</v>
      </c>
      <c r="D10" s="1044"/>
      <c r="E10" s="1044"/>
      <c r="F10" s="1047" t="s">
        <v>1277</v>
      </c>
      <c r="G10" s="1071" t="s">
        <v>1126</v>
      </c>
      <c r="H10" s="1044" t="s">
        <v>1296</v>
      </c>
      <c r="I10" s="1044"/>
      <c r="J10" s="1045"/>
      <c r="K10" s="1044"/>
    </row>
    <row r="11" spans="1:11" x14ac:dyDescent="0.25">
      <c r="A11" s="1059"/>
      <c r="B11" s="1044" t="s">
        <v>1138</v>
      </c>
      <c r="C11" s="1044"/>
      <c r="D11" s="1047"/>
      <c r="E11" s="1044"/>
      <c r="F11" s="1047" t="s">
        <v>1278</v>
      </c>
      <c r="G11" s="1071" t="s">
        <v>1126</v>
      </c>
      <c r="H11" s="1044" t="s">
        <v>1413</v>
      </c>
      <c r="I11" s="1044"/>
      <c r="J11" s="1045"/>
      <c r="K11" s="1044"/>
    </row>
    <row r="12" spans="1:11" x14ac:dyDescent="0.25">
      <c r="A12" s="1059"/>
      <c r="B12" s="1044" t="s">
        <v>1139</v>
      </c>
      <c r="C12" s="1047" t="s">
        <v>97</v>
      </c>
      <c r="D12" s="1044"/>
      <c r="E12" s="1044"/>
      <c r="F12" s="1047" t="s">
        <v>1278</v>
      </c>
      <c r="G12" s="1071" t="s">
        <v>1126</v>
      </c>
      <c r="H12" s="1044" t="s">
        <v>1299</v>
      </c>
      <c r="I12" s="1044"/>
      <c r="J12" s="1045"/>
      <c r="K12" s="1044"/>
    </row>
    <row r="13" spans="1:11" x14ac:dyDescent="0.25">
      <c r="A13" s="1059"/>
      <c r="B13" s="1044" t="s">
        <v>1139</v>
      </c>
      <c r="C13" s="1047" t="s">
        <v>671</v>
      </c>
      <c r="D13" s="1044"/>
      <c r="E13" s="1044"/>
      <c r="F13" s="1047" t="s">
        <v>1278</v>
      </c>
      <c r="G13" s="1071" t="s">
        <v>1126</v>
      </c>
      <c r="H13" s="1044" t="s">
        <v>1300</v>
      </c>
      <c r="I13" s="1044"/>
      <c r="J13" s="1045"/>
      <c r="K13" s="1044"/>
    </row>
    <row r="14" spans="1:11" x14ac:dyDescent="0.25">
      <c r="A14" s="1059"/>
      <c r="B14" s="1044" t="s">
        <v>1139</v>
      </c>
      <c r="C14" s="1047" t="s">
        <v>97</v>
      </c>
      <c r="D14" s="1044"/>
      <c r="E14" s="1044"/>
      <c r="F14" s="1047" t="s">
        <v>1277</v>
      </c>
      <c r="G14" s="1071" t="s">
        <v>1126</v>
      </c>
      <c r="H14" s="1044" t="s">
        <v>1298</v>
      </c>
      <c r="I14" s="1044"/>
      <c r="J14" s="1045"/>
      <c r="K14" s="1044"/>
    </row>
    <row r="15" spans="1:11" x14ac:dyDescent="0.25">
      <c r="A15" s="1059"/>
      <c r="B15" s="1044" t="s">
        <v>1139</v>
      </c>
      <c r="C15" s="1218" t="s">
        <v>1618</v>
      </c>
      <c r="D15" s="1044"/>
      <c r="E15" s="1044"/>
      <c r="F15" s="1218" t="s">
        <v>1277</v>
      </c>
      <c r="G15" s="1196" t="s">
        <v>1126</v>
      </c>
      <c r="H15" s="1216" t="s">
        <v>1617</v>
      </c>
      <c r="I15" s="1107"/>
      <c r="J15" s="1045"/>
      <c r="K15" s="1044"/>
    </row>
    <row r="16" spans="1:11" x14ac:dyDescent="0.25">
      <c r="A16" s="1059"/>
      <c r="B16" s="1044" t="s">
        <v>1139</v>
      </c>
      <c r="C16" s="1047" t="s">
        <v>671</v>
      </c>
      <c r="D16" s="1044"/>
      <c r="E16" s="1044"/>
      <c r="F16" s="1047" t="s">
        <v>1277</v>
      </c>
      <c r="G16" s="1071" t="s">
        <v>1126</v>
      </c>
      <c r="H16" s="1044" t="s">
        <v>1297</v>
      </c>
      <c r="I16" s="1044"/>
      <c r="J16" s="1045"/>
      <c r="K16" s="1044"/>
    </row>
    <row r="17" spans="1:14" x14ac:dyDescent="0.25">
      <c r="A17" s="1061"/>
      <c r="B17" s="1044" t="s">
        <v>1139</v>
      </c>
      <c r="C17" s="1110" t="s">
        <v>276</v>
      </c>
      <c r="D17" s="1044"/>
      <c r="E17" s="1044"/>
      <c r="F17" s="1047" t="s">
        <v>1277</v>
      </c>
      <c r="G17" s="1071" t="s">
        <v>1126</v>
      </c>
      <c r="H17" s="1044" t="s">
        <v>1357</v>
      </c>
      <c r="I17" s="1044"/>
      <c r="J17" s="1045"/>
      <c r="K17" s="1044"/>
    </row>
    <row r="18" spans="1:14" x14ac:dyDescent="0.25">
      <c r="A18" s="968" t="s">
        <v>1279</v>
      </c>
      <c r="B18" s="1044" t="s">
        <v>1140</v>
      </c>
      <c r="C18" s="1044"/>
      <c r="D18" s="1044"/>
      <c r="E18" s="1044"/>
      <c r="F18" s="1044" t="s">
        <v>1127</v>
      </c>
      <c r="G18" s="1071" t="s">
        <v>1126</v>
      </c>
      <c r="H18" s="1044" t="s">
        <v>1301</v>
      </c>
      <c r="I18" s="1044"/>
      <c r="J18" s="1045">
        <v>1</v>
      </c>
      <c r="K18" s="1044"/>
    </row>
    <row r="19" spans="1:14" x14ac:dyDescent="0.25">
      <c r="A19" s="1051"/>
      <c r="B19" s="1044" t="s">
        <v>1140</v>
      </c>
      <c r="C19" s="1044" t="s">
        <v>22</v>
      </c>
      <c r="D19" s="1044"/>
      <c r="E19" s="1044"/>
      <c r="F19" s="1044" t="s">
        <v>1127</v>
      </c>
      <c r="G19" s="1106" t="s">
        <v>1126</v>
      </c>
      <c r="H19" s="1044" t="s">
        <v>1302</v>
      </c>
      <c r="I19" s="1044"/>
      <c r="J19" s="1045" t="s">
        <v>1175</v>
      </c>
      <c r="K19" s="1044"/>
    </row>
    <row r="20" spans="1:14" x14ac:dyDescent="0.25">
      <c r="A20" s="1051"/>
      <c r="B20" s="1044" t="s">
        <v>1140</v>
      </c>
      <c r="C20" s="1044" t="s">
        <v>22</v>
      </c>
      <c r="D20" s="1044"/>
      <c r="E20" s="1044"/>
      <c r="F20" s="1044" t="s">
        <v>1141</v>
      </c>
      <c r="G20" s="1106" t="s">
        <v>1126</v>
      </c>
      <c r="H20" s="1044" t="s">
        <v>1303</v>
      </c>
      <c r="I20" s="1044"/>
      <c r="J20" s="1045" t="s">
        <v>1176</v>
      </c>
      <c r="K20" s="1046"/>
      <c r="L20"/>
      <c r="M20"/>
      <c r="N20"/>
    </row>
    <row r="21" spans="1:14" x14ac:dyDescent="0.25">
      <c r="A21" s="968"/>
      <c r="B21" s="1044" t="s">
        <v>1142</v>
      </c>
      <c r="C21" s="1044" t="s">
        <v>1143</v>
      </c>
      <c r="D21" s="1044"/>
      <c r="E21" s="1044"/>
      <c r="F21" s="1044" t="s">
        <v>1127</v>
      </c>
      <c r="G21" s="1106" t="s">
        <v>1126</v>
      </c>
      <c r="H21" s="1105" t="s">
        <v>1468</v>
      </c>
      <c r="I21" s="1044"/>
      <c r="J21" s="1045">
        <v>8</v>
      </c>
      <c r="K21" s="1046"/>
      <c r="L21"/>
      <c r="M21"/>
      <c r="N21"/>
    </row>
    <row r="22" spans="1:14" x14ac:dyDescent="0.25">
      <c r="A22" s="1051"/>
      <c r="B22" s="1044" t="s">
        <v>1142</v>
      </c>
      <c r="C22" s="1044" t="s">
        <v>1143</v>
      </c>
      <c r="D22" s="1044" t="s">
        <v>22</v>
      </c>
      <c r="E22" s="1044"/>
      <c r="F22" s="1044" t="s">
        <v>1127</v>
      </c>
      <c r="G22" s="1106" t="s">
        <v>1126</v>
      </c>
      <c r="H22" s="1105" t="s">
        <v>1479</v>
      </c>
      <c r="I22" s="1044"/>
      <c r="J22" s="1045" t="s">
        <v>1177</v>
      </c>
      <c r="K22" s="1046"/>
      <c r="L22"/>
      <c r="M22"/>
      <c r="N22"/>
    </row>
    <row r="23" spans="1:14" x14ac:dyDescent="0.25">
      <c r="A23" s="1051"/>
      <c r="B23" s="1105" t="s">
        <v>1142</v>
      </c>
      <c r="C23" s="1105" t="s">
        <v>1518</v>
      </c>
      <c r="D23" s="1044"/>
      <c r="E23" s="1044"/>
      <c r="F23" s="1044"/>
      <c r="G23" s="1106" t="s">
        <v>1126</v>
      </c>
      <c r="H23" s="1105" t="s">
        <v>1481</v>
      </c>
      <c r="I23" s="1107" t="s">
        <v>1441</v>
      </c>
      <c r="J23" s="1045"/>
      <c r="K23" s="1046"/>
      <c r="L23"/>
      <c r="M23"/>
      <c r="N23"/>
    </row>
    <row r="24" spans="1:14" x14ac:dyDescent="0.25">
      <c r="A24" s="968"/>
      <c r="B24" s="1044" t="s">
        <v>1142</v>
      </c>
      <c r="C24" s="1044" t="s">
        <v>1144</v>
      </c>
      <c r="D24" s="1044"/>
      <c r="E24" s="1044"/>
      <c r="F24" s="1044" t="s">
        <v>1127</v>
      </c>
      <c r="G24" s="1106" t="s">
        <v>1126</v>
      </c>
      <c r="H24" s="1044" t="s">
        <v>1306</v>
      </c>
      <c r="I24" s="1044"/>
      <c r="J24" s="1045">
        <v>22</v>
      </c>
      <c r="K24" s="1046"/>
      <c r="L24"/>
      <c r="M24"/>
      <c r="N24"/>
    </row>
    <row r="25" spans="1:14" x14ac:dyDescent="0.25">
      <c r="A25" s="1051"/>
      <c r="B25" s="1044" t="s">
        <v>1142</v>
      </c>
      <c r="C25" s="1044" t="s">
        <v>1145</v>
      </c>
      <c r="D25" s="1044"/>
      <c r="E25" s="1044"/>
      <c r="F25" s="1044" t="s">
        <v>1127</v>
      </c>
      <c r="G25" s="1106" t="s">
        <v>1126</v>
      </c>
      <c r="H25" s="1105" t="s">
        <v>1480</v>
      </c>
      <c r="I25" s="1107" t="s">
        <v>1441</v>
      </c>
      <c r="J25" s="1045"/>
      <c r="K25" s="1046"/>
      <c r="L25"/>
      <c r="M25"/>
      <c r="N25"/>
    </row>
    <row r="26" spans="1:14" x14ac:dyDescent="0.25">
      <c r="A26" s="1051"/>
      <c r="B26" s="1044" t="s">
        <v>651</v>
      </c>
      <c r="C26" s="1044" t="s">
        <v>1146</v>
      </c>
      <c r="D26" s="1044" t="s">
        <v>22</v>
      </c>
      <c r="E26" s="1044"/>
      <c r="F26" s="1044" t="s">
        <v>1147</v>
      </c>
      <c r="G26" s="1071" t="s">
        <v>1126</v>
      </c>
      <c r="H26" s="1044" t="s">
        <v>1308</v>
      </c>
      <c r="I26" s="1044"/>
      <c r="J26" s="1045" t="s">
        <v>1178</v>
      </c>
      <c r="K26" s="1046"/>
      <c r="L26"/>
      <c r="M26"/>
      <c r="N26"/>
    </row>
    <row r="27" spans="1:14" x14ac:dyDescent="0.25">
      <c r="A27" s="1051"/>
      <c r="B27" s="1044" t="s">
        <v>651</v>
      </c>
      <c r="C27" s="1044" t="s">
        <v>1148</v>
      </c>
      <c r="D27" s="1044"/>
      <c r="E27" s="1044"/>
      <c r="F27" s="1044" t="s">
        <v>1149</v>
      </c>
      <c r="G27" s="1071" t="s">
        <v>1126</v>
      </c>
      <c r="H27" s="1044" t="s">
        <v>1309</v>
      </c>
      <c r="I27" s="1044"/>
      <c r="J27" s="1045">
        <v>19</v>
      </c>
      <c r="K27" s="1046"/>
      <c r="L27"/>
      <c r="M27"/>
      <c r="N27"/>
    </row>
    <row r="28" spans="1:14" x14ac:dyDescent="0.25">
      <c r="A28" s="1051"/>
      <c r="B28" s="1044" t="s">
        <v>651</v>
      </c>
      <c r="C28" s="1044" t="s">
        <v>1148</v>
      </c>
      <c r="D28" s="1044" t="s">
        <v>22</v>
      </c>
      <c r="E28" s="1044"/>
      <c r="F28" s="1044" t="s">
        <v>1149</v>
      </c>
      <c r="G28" s="1071" t="s">
        <v>1126</v>
      </c>
      <c r="H28" s="1044" t="s">
        <v>1310</v>
      </c>
      <c r="I28" s="1044"/>
      <c r="J28" s="1045" t="s">
        <v>1179</v>
      </c>
      <c r="K28" s="1046"/>
      <c r="L28"/>
      <c r="M28"/>
      <c r="N28"/>
    </row>
    <row r="29" spans="1:14" x14ac:dyDescent="0.25">
      <c r="A29" s="1051"/>
      <c r="B29" s="1044" t="s">
        <v>651</v>
      </c>
      <c r="C29" s="1044" t="s">
        <v>1148</v>
      </c>
      <c r="D29" s="1044" t="s">
        <v>1150</v>
      </c>
      <c r="E29" s="1044"/>
      <c r="F29" s="1044" t="s">
        <v>1127</v>
      </c>
      <c r="G29" s="1071" t="s">
        <v>1126</v>
      </c>
      <c r="H29" s="1044" t="s">
        <v>1311</v>
      </c>
      <c r="I29" s="1044"/>
      <c r="J29" s="1045" t="s">
        <v>1180</v>
      </c>
      <c r="K29" s="1046"/>
      <c r="L29"/>
      <c r="M29"/>
      <c r="N29"/>
    </row>
    <row r="30" spans="1:14" x14ac:dyDescent="0.25">
      <c r="A30" s="1051"/>
      <c r="B30" s="1044" t="s">
        <v>58</v>
      </c>
      <c r="C30" s="1044" t="s">
        <v>1151</v>
      </c>
      <c r="D30" s="1044"/>
      <c r="E30" s="1044"/>
      <c r="F30" s="1044" t="s">
        <v>1127</v>
      </c>
      <c r="G30" s="1071" t="s">
        <v>1126</v>
      </c>
      <c r="H30" s="1044" t="s">
        <v>1312</v>
      </c>
      <c r="I30" s="1044"/>
      <c r="J30" s="1045">
        <v>20</v>
      </c>
      <c r="K30" s="1046"/>
      <c r="L30"/>
      <c r="M30"/>
      <c r="N30"/>
    </row>
    <row r="31" spans="1:14" x14ac:dyDescent="0.25">
      <c r="A31" s="1051"/>
      <c r="B31" s="1044" t="s">
        <v>58</v>
      </c>
      <c r="C31" s="1044" t="s">
        <v>1152</v>
      </c>
      <c r="D31" s="1044"/>
      <c r="E31" s="1044"/>
      <c r="F31" s="1044" t="s">
        <v>1127</v>
      </c>
      <c r="G31" s="1071" t="s">
        <v>1126</v>
      </c>
      <c r="H31" s="1044" t="s">
        <v>1313</v>
      </c>
      <c r="I31" s="1044"/>
      <c r="J31" s="1045">
        <v>21</v>
      </c>
      <c r="K31" s="1046"/>
      <c r="L31"/>
      <c r="M31"/>
      <c r="N31"/>
    </row>
    <row r="32" spans="1:14" x14ac:dyDescent="0.25">
      <c r="A32" s="1051"/>
      <c r="B32" s="1044" t="s">
        <v>58</v>
      </c>
      <c r="C32" s="1044" t="s">
        <v>1152</v>
      </c>
      <c r="D32" s="1044" t="s">
        <v>22</v>
      </c>
      <c r="E32" s="1044"/>
      <c r="F32" s="1044" t="s">
        <v>1127</v>
      </c>
      <c r="G32" s="1071" t="s">
        <v>1126</v>
      </c>
      <c r="H32" s="1044" t="s">
        <v>1314</v>
      </c>
      <c r="I32" s="1044"/>
      <c r="J32" s="1045" t="s">
        <v>1181</v>
      </c>
      <c r="K32" s="1046"/>
      <c r="L32"/>
      <c r="M32"/>
      <c r="N32"/>
    </row>
    <row r="33" spans="1:14" x14ac:dyDescent="0.25">
      <c r="A33" s="1051"/>
      <c r="B33" s="1044" t="s">
        <v>1153</v>
      </c>
      <c r="C33" s="1044" t="s">
        <v>1143</v>
      </c>
      <c r="D33" s="1044"/>
      <c r="E33" s="1044"/>
      <c r="F33" s="1044" t="s">
        <v>1127</v>
      </c>
      <c r="G33" s="1071" t="s">
        <v>1126</v>
      </c>
      <c r="H33" s="1044" t="s">
        <v>1315</v>
      </c>
      <c r="I33" s="1044"/>
      <c r="J33" s="1045">
        <v>9</v>
      </c>
      <c r="K33" s="1046"/>
      <c r="L33"/>
      <c r="M33"/>
      <c r="N33"/>
    </row>
    <row r="34" spans="1:14" x14ac:dyDescent="0.25">
      <c r="A34" s="1051"/>
      <c r="B34" s="1044" t="s">
        <v>1154</v>
      </c>
      <c r="C34" s="1044" t="s">
        <v>1143</v>
      </c>
      <c r="D34" s="1044" t="s">
        <v>22</v>
      </c>
      <c r="E34" s="1044"/>
      <c r="F34" s="1044" t="s">
        <v>1127</v>
      </c>
      <c r="G34" s="1071" t="s">
        <v>1126</v>
      </c>
      <c r="H34" s="1044" t="s">
        <v>1316</v>
      </c>
      <c r="I34" s="1044"/>
      <c r="J34" s="1045" t="s">
        <v>1182</v>
      </c>
      <c r="K34" s="1046"/>
      <c r="L34"/>
      <c r="M34"/>
      <c r="N34"/>
    </row>
    <row r="35" spans="1:14" x14ac:dyDescent="0.25">
      <c r="A35" s="1051"/>
      <c r="B35" s="1044" t="s">
        <v>1155</v>
      </c>
      <c r="C35" s="1044" t="s">
        <v>1143</v>
      </c>
      <c r="D35" s="1044" t="s">
        <v>22</v>
      </c>
      <c r="E35" s="1044"/>
      <c r="F35" s="1044" t="s">
        <v>1127</v>
      </c>
      <c r="G35" s="1071" t="s">
        <v>1126</v>
      </c>
      <c r="H35" s="1044" t="s">
        <v>1317</v>
      </c>
      <c r="I35" s="1044"/>
      <c r="J35" s="1045" t="s">
        <v>1183</v>
      </c>
      <c r="K35" s="1046"/>
      <c r="L35"/>
      <c r="M35"/>
      <c r="N35"/>
    </row>
    <row r="36" spans="1:14" x14ac:dyDescent="0.25">
      <c r="A36" s="1051"/>
      <c r="B36" s="1044" t="s">
        <v>1146</v>
      </c>
      <c r="C36" s="1044" t="s">
        <v>1140</v>
      </c>
      <c r="D36" s="1044"/>
      <c r="E36" s="1044"/>
      <c r="F36" s="1044" t="s">
        <v>1127</v>
      </c>
      <c r="G36" s="1071" t="s">
        <v>1126</v>
      </c>
      <c r="H36" s="1044" t="s">
        <v>1318</v>
      </c>
      <c r="I36" s="1044"/>
      <c r="J36" s="1045"/>
      <c r="K36" s="1044"/>
    </row>
    <row r="37" spans="1:14" x14ac:dyDescent="0.25">
      <c r="A37" s="1051"/>
      <c r="B37" s="1044" t="s">
        <v>1146</v>
      </c>
      <c r="C37" s="1044" t="s">
        <v>1140</v>
      </c>
      <c r="D37" s="1044" t="s">
        <v>22</v>
      </c>
      <c r="E37" s="1044"/>
      <c r="F37" s="1044" t="s">
        <v>1127</v>
      </c>
      <c r="G37" s="1071" t="s">
        <v>1126</v>
      </c>
      <c r="H37" s="1044" t="s">
        <v>1319</v>
      </c>
      <c r="I37" s="1044"/>
      <c r="J37" s="1045"/>
      <c r="K37" s="1044"/>
    </row>
    <row r="38" spans="1:14" x14ac:dyDescent="0.25">
      <c r="A38" s="1051"/>
      <c r="B38" s="1044" t="s">
        <v>1146</v>
      </c>
      <c r="C38" s="1044" t="s">
        <v>651</v>
      </c>
      <c r="D38" s="1044" t="s">
        <v>22</v>
      </c>
      <c r="E38" s="1044"/>
      <c r="F38" s="1044" t="s">
        <v>1147</v>
      </c>
      <c r="G38" s="1071" t="s">
        <v>1126</v>
      </c>
      <c r="H38" s="1044" t="s">
        <v>1308</v>
      </c>
      <c r="I38" s="1044"/>
      <c r="J38" s="1045" t="s">
        <v>1178</v>
      </c>
      <c r="K38" s="1044"/>
    </row>
    <row r="39" spans="1:14" x14ac:dyDescent="0.25">
      <c r="A39" s="1051"/>
      <c r="B39" s="1044" t="s">
        <v>1146</v>
      </c>
      <c r="C39" s="1044" t="s">
        <v>21</v>
      </c>
      <c r="D39" s="1044" t="s">
        <v>22</v>
      </c>
      <c r="E39" s="1044"/>
      <c r="F39" s="1044" t="s">
        <v>1141</v>
      </c>
      <c r="G39" s="1071" t="s">
        <v>1126</v>
      </c>
      <c r="H39" s="1044" t="s">
        <v>1320</v>
      </c>
      <c r="I39" s="1044"/>
      <c r="J39" s="1045" t="s">
        <v>1184</v>
      </c>
      <c r="K39" s="1044"/>
    </row>
    <row r="40" spans="1:14" x14ac:dyDescent="0.25">
      <c r="A40" s="1051"/>
      <c r="B40" s="1044" t="s">
        <v>1146</v>
      </c>
      <c r="C40" s="1044" t="s">
        <v>2</v>
      </c>
      <c r="D40" s="1044" t="s">
        <v>1143</v>
      </c>
      <c r="E40" s="1044"/>
      <c r="F40" s="1044" t="s">
        <v>1127</v>
      </c>
      <c r="G40" s="1071" t="s">
        <v>1126</v>
      </c>
      <c r="H40" s="1044" t="s">
        <v>1321</v>
      </c>
      <c r="I40" s="1044"/>
      <c r="J40" s="1045">
        <v>13</v>
      </c>
      <c r="K40" s="1044"/>
    </row>
    <row r="41" spans="1:14" x14ac:dyDescent="0.25">
      <c r="A41" s="1051"/>
      <c r="B41" s="1044" t="s">
        <v>1146</v>
      </c>
      <c r="C41" s="1044" t="s">
        <v>2</v>
      </c>
      <c r="D41" s="1044" t="s">
        <v>1143</v>
      </c>
      <c r="E41" s="1044" t="s">
        <v>22</v>
      </c>
      <c r="F41" s="1044" t="s">
        <v>1127</v>
      </c>
      <c r="G41" s="1071" t="s">
        <v>1126</v>
      </c>
      <c r="H41" s="1044" t="s">
        <v>1322</v>
      </c>
      <c r="I41" s="1044"/>
      <c r="J41" s="1045" t="s">
        <v>1186</v>
      </c>
      <c r="K41" s="1044"/>
    </row>
    <row r="42" spans="1:14" x14ac:dyDescent="0.25">
      <c r="A42" s="1051"/>
      <c r="B42" s="1044" t="s">
        <v>1146</v>
      </c>
      <c r="C42" s="1044" t="s">
        <v>2</v>
      </c>
      <c r="D42" s="1044" t="s">
        <v>22</v>
      </c>
      <c r="E42" s="1044"/>
      <c r="F42" s="1044" t="s">
        <v>1141</v>
      </c>
      <c r="G42" s="1071" t="s">
        <v>1126</v>
      </c>
      <c r="H42" s="1044" t="s">
        <v>1323</v>
      </c>
      <c r="I42" s="1044"/>
      <c r="J42" s="1045" t="s">
        <v>1187</v>
      </c>
      <c r="K42" s="1044"/>
    </row>
    <row r="43" spans="1:14" x14ac:dyDescent="0.25">
      <c r="A43" s="1051"/>
      <c r="B43" s="1044" t="s">
        <v>1156</v>
      </c>
      <c r="C43" s="1044"/>
      <c r="D43" s="1044"/>
      <c r="E43" s="1044"/>
      <c r="F43" s="1044" t="s">
        <v>1149</v>
      </c>
      <c r="G43" s="1071" t="s">
        <v>1126</v>
      </c>
      <c r="H43" s="1044" t="s">
        <v>1324</v>
      </c>
      <c r="I43" s="1044"/>
      <c r="J43" s="1045">
        <v>23</v>
      </c>
      <c r="K43" s="1044"/>
    </row>
    <row r="44" spans="1:14" x14ac:dyDescent="0.25">
      <c r="A44" s="1051"/>
      <c r="B44" s="1044" t="s">
        <v>1156</v>
      </c>
      <c r="C44" s="1044" t="s">
        <v>22</v>
      </c>
      <c r="D44" s="1044"/>
      <c r="E44" s="1044"/>
      <c r="F44" s="1044" t="s">
        <v>1149</v>
      </c>
      <c r="G44" s="1071" t="s">
        <v>1126</v>
      </c>
      <c r="H44" s="1044" t="s">
        <v>1325</v>
      </c>
      <c r="I44" s="1044"/>
      <c r="J44" s="1045" t="s">
        <v>1185</v>
      </c>
      <c r="K44" s="1044"/>
    </row>
    <row r="45" spans="1:14" x14ac:dyDescent="0.25">
      <c r="A45" s="1051"/>
      <c r="B45" s="1044" t="s">
        <v>1157</v>
      </c>
      <c r="C45" s="1044" t="s">
        <v>21</v>
      </c>
      <c r="D45" s="1044" t="s">
        <v>1140</v>
      </c>
      <c r="E45" s="1044"/>
      <c r="F45" s="1044" t="s">
        <v>1127</v>
      </c>
      <c r="G45" s="1071" t="s">
        <v>1126</v>
      </c>
      <c r="H45" s="1044" t="s">
        <v>1326</v>
      </c>
      <c r="I45" s="1044"/>
      <c r="J45" s="1045">
        <v>24</v>
      </c>
      <c r="K45" s="1044"/>
    </row>
    <row r="46" spans="1:14" x14ac:dyDescent="0.25">
      <c r="A46" s="968" t="s">
        <v>1280</v>
      </c>
      <c r="B46" s="1044" t="s">
        <v>21</v>
      </c>
      <c r="C46" s="1044"/>
      <c r="D46" s="1044"/>
      <c r="E46" s="1044"/>
      <c r="F46" s="1044" t="s">
        <v>1277</v>
      </c>
      <c r="G46" s="1071" t="s">
        <v>1126</v>
      </c>
      <c r="H46" s="1044" t="s">
        <v>1327</v>
      </c>
      <c r="I46" s="1044"/>
      <c r="J46" s="1045"/>
      <c r="K46" s="1044"/>
    </row>
    <row r="47" spans="1:14" x14ac:dyDescent="0.25">
      <c r="A47" s="1051"/>
      <c r="B47" s="1044" t="s">
        <v>2</v>
      </c>
      <c r="C47" s="1044"/>
      <c r="D47" s="1044"/>
      <c r="E47" s="1044"/>
      <c r="F47" s="1044" t="s">
        <v>1277</v>
      </c>
      <c r="G47" s="1071" t="s">
        <v>1126</v>
      </c>
      <c r="H47" s="1044" t="s">
        <v>1328</v>
      </c>
      <c r="I47" s="1044"/>
      <c r="J47" s="1045"/>
      <c r="K47" s="1044"/>
    </row>
    <row r="48" spans="1:14" x14ac:dyDescent="0.25">
      <c r="A48" s="1051"/>
      <c r="B48" s="1044" t="s">
        <v>1146</v>
      </c>
      <c r="C48" s="1044"/>
      <c r="D48" s="1044"/>
      <c r="E48" s="1044"/>
      <c r="F48" s="1044" t="s">
        <v>1278</v>
      </c>
      <c r="G48" s="1071" t="s">
        <v>1126</v>
      </c>
      <c r="H48" s="1044" t="s">
        <v>1329</v>
      </c>
      <c r="I48" s="1044"/>
      <c r="J48" s="1045"/>
      <c r="K48" s="1044"/>
    </row>
    <row r="49" spans="1:11" x14ac:dyDescent="0.25">
      <c r="A49" s="1051"/>
      <c r="B49" s="1044" t="s">
        <v>103</v>
      </c>
      <c r="C49" s="1044"/>
      <c r="D49" s="1044"/>
      <c r="E49" s="1044"/>
      <c r="F49" s="1044" t="s">
        <v>1281</v>
      </c>
      <c r="G49" s="1071" t="s">
        <v>1126</v>
      </c>
      <c r="H49" s="1044" t="s">
        <v>1330</v>
      </c>
      <c r="I49" s="1044"/>
      <c r="J49" s="1045"/>
      <c r="K49" s="1044"/>
    </row>
    <row r="50" spans="1:11" x14ac:dyDescent="0.25">
      <c r="A50" s="1051"/>
      <c r="B50" s="1044" t="s">
        <v>21</v>
      </c>
      <c r="C50" s="1044"/>
      <c r="D50" s="1044"/>
      <c r="E50" s="1044"/>
      <c r="F50" s="1044" t="s">
        <v>1281</v>
      </c>
      <c r="G50" s="1071" t="s">
        <v>1126</v>
      </c>
      <c r="H50" s="1044" t="s">
        <v>1331</v>
      </c>
      <c r="I50" s="1044"/>
      <c r="J50" s="1045"/>
      <c r="K50" s="1044"/>
    </row>
    <row r="51" spans="1:11" x14ac:dyDescent="0.25">
      <c r="A51" s="1051"/>
      <c r="B51" s="1044" t="s">
        <v>2</v>
      </c>
      <c r="C51" s="1044"/>
      <c r="D51" s="1044"/>
      <c r="E51" s="1044"/>
      <c r="F51" s="1044" t="s">
        <v>1281</v>
      </c>
      <c r="G51" s="1071" t="s">
        <v>1126</v>
      </c>
      <c r="H51" s="1044" t="s">
        <v>1332</v>
      </c>
      <c r="I51" s="1044"/>
      <c r="J51" s="1045"/>
      <c r="K51" s="1044"/>
    </row>
    <row r="52" spans="1:11" x14ac:dyDescent="0.25">
      <c r="A52" s="1051"/>
      <c r="B52" s="1044" t="s">
        <v>1282</v>
      </c>
      <c r="C52" s="1044"/>
      <c r="D52" s="1044"/>
      <c r="E52" s="1044"/>
      <c r="F52" s="1044" t="s">
        <v>1281</v>
      </c>
      <c r="G52" s="1071" t="s">
        <v>1126</v>
      </c>
      <c r="H52" s="1044" t="s">
        <v>1333</v>
      </c>
      <c r="I52" s="1044"/>
      <c r="J52" s="1045"/>
      <c r="K52" s="1044"/>
    </row>
    <row r="53" spans="1:11" x14ac:dyDescent="0.25">
      <c r="A53" s="1051"/>
      <c r="B53" s="1044" t="s">
        <v>58</v>
      </c>
      <c r="C53" s="1044"/>
      <c r="D53" s="1044"/>
      <c r="E53" s="1044"/>
      <c r="F53" s="1044" t="s">
        <v>1281</v>
      </c>
      <c r="G53" s="1071" t="s">
        <v>1126</v>
      </c>
      <c r="H53" s="1044" t="s">
        <v>1334</v>
      </c>
      <c r="I53" s="1044"/>
      <c r="J53" s="1045"/>
      <c r="K53" s="1044"/>
    </row>
    <row r="54" spans="1:11" x14ac:dyDescent="0.25">
      <c r="A54" s="1062" t="s">
        <v>1283</v>
      </c>
      <c r="B54" s="1044" t="s">
        <v>114</v>
      </c>
      <c r="C54" s="1044" t="s">
        <v>1158</v>
      </c>
      <c r="D54" s="1044"/>
      <c r="E54" s="1044"/>
      <c r="F54" s="1044" t="s">
        <v>1149</v>
      </c>
      <c r="G54" s="1071" t="s">
        <v>1126</v>
      </c>
      <c r="H54" s="1044" t="s">
        <v>1335</v>
      </c>
      <c r="I54" s="1044"/>
      <c r="J54" s="1045">
        <v>4</v>
      </c>
      <c r="K54" s="1044"/>
    </row>
    <row r="55" spans="1:11" x14ac:dyDescent="0.25">
      <c r="A55" s="1052"/>
      <c r="B55" s="1044" t="s">
        <v>114</v>
      </c>
      <c r="C55" s="1044" t="s">
        <v>1158</v>
      </c>
      <c r="D55" s="1044" t="s">
        <v>22</v>
      </c>
      <c r="E55" s="1044"/>
      <c r="F55" s="1044" t="s">
        <v>1149</v>
      </c>
      <c r="G55" s="1071" t="s">
        <v>1126</v>
      </c>
      <c r="H55" s="1044" t="s">
        <v>1336</v>
      </c>
      <c r="I55" s="1044"/>
      <c r="J55" s="1045" t="s">
        <v>1188</v>
      </c>
      <c r="K55" s="1044"/>
    </row>
    <row r="56" spans="1:11" x14ac:dyDescent="0.25">
      <c r="A56" s="1052"/>
      <c r="B56" s="1195" t="s">
        <v>1586</v>
      </c>
      <c r="C56" s="1195" t="s">
        <v>1158</v>
      </c>
      <c r="D56" s="1044"/>
      <c r="E56" s="1044"/>
      <c r="F56" s="1195" t="s">
        <v>1277</v>
      </c>
      <c r="G56" s="1196" t="s">
        <v>1126</v>
      </c>
      <c r="H56" s="1214" t="s">
        <v>1587</v>
      </c>
      <c r="I56" s="1107" t="s">
        <v>1441</v>
      </c>
      <c r="J56" s="1045"/>
      <c r="K56" s="1044"/>
    </row>
    <row r="57" spans="1:11" x14ac:dyDescent="0.25">
      <c r="A57" s="1052"/>
      <c r="B57" s="1195" t="s">
        <v>1586</v>
      </c>
      <c r="C57" s="1195" t="s">
        <v>1158</v>
      </c>
      <c r="D57" s="1195" t="s">
        <v>22</v>
      </c>
      <c r="E57" s="1044"/>
      <c r="F57" s="1195" t="s">
        <v>1141</v>
      </c>
      <c r="G57" s="1196" t="s">
        <v>1126</v>
      </c>
      <c r="H57" s="1214" t="s">
        <v>1588</v>
      </c>
      <c r="I57" s="1107" t="s">
        <v>1441</v>
      </c>
      <c r="J57" s="1045"/>
      <c r="K57" s="1044"/>
    </row>
    <row r="58" spans="1:11" x14ac:dyDescent="0.25">
      <c r="A58" s="1052"/>
      <c r="B58" s="1044" t="s">
        <v>114</v>
      </c>
      <c r="C58" s="1044" t="s">
        <v>1158</v>
      </c>
      <c r="D58" s="1044" t="s">
        <v>22</v>
      </c>
      <c r="E58" s="1044"/>
      <c r="F58" s="1044" t="s">
        <v>1141</v>
      </c>
      <c r="G58" s="1071" t="s">
        <v>1126</v>
      </c>
      <c r="H58" s="1044" t="s">
        <v>1337</v>
      </c>
      <c r="I58" s="1044"/>
      <c r="J58" s="1045" t="s">
        <v>1189</v>
      </c>
      <c r="K58" s="1044"/>
    </row>
    <row r="59" spans="1:11" x14ac:dyDescent="0.25">
      <c r="A59" s="1052"/>
      <c r="B59" s="1044" t="s">
        <v>114</v>
      </c>
      <c r="C59" s="1044" t="s">
        <v>1158</v>
      </c>
      <c r="D59" s="1044" t="s">
        <v>1140</v>
      </c>
      <c r="E59" s="1044"/>
      <c r="F59" s="1044" t="s">
        <v>1127</v>
      </c>
      <c r="G59" s="1071" t="s">
        <v>1126</v>
      </c>
      <c r="H59" s="1044" t="s">
        <v>1338</v>
      </c>
      <c r="I59" s="1044"/>
      <c r="J59" s="1045" t="s">
        <v>1190</v>
      </c>
      <c r="K59" s="1044"/>
    </row>
    <row r="60" spans="1:11" x14ac:dyDescent="0.25">
      <c r="A60" s="1052"/>
      <c r="B60" s="1044" t="s">
        <v>1021</v>
      </c>
      <c r="C60" s="1044" t="s">
        <v>1158</v>
      </c>
      <c r="D60" s="1044"/>
      <c r="E60" s="1044"/>
      <c r="F60" s="1044" t="s">
        <v>1149</v>
      </c>
      <c r="G60" s="1071" t="s">
        <v>1126</v>
      </c>
      <c r="H60" s="1044" t="s">
        <v>1339</v>
      </c>
      <c r="I60" s="1044"/>
      <c r="J60" s="1045">
        <v>5</v>
      </c>
      <c r="K60" s="1044"/>
    </row>
    <row r="61" spans="1:11" x14ac:dyDescent="0.25">
      <c r="A61" s="1052"/>
      <c r="B61" s="1044" t="s">
        <v>1021</v>
      </c>
      <c r="C61" s="1044" t="s">
        <v>1158</v>
      </c>
      <c r="D61" s="1044" t="s">
        <v>22</v>
      </c>
      <c r="E61" s="1044"/>
      <c r="F61" s="1044" t="s">
        <v>1149</v>
      </c>
      <c r="G61" s="1071" t="s">
        <v>1126</v>
      </c>
      <c r="H61" s="1044" t="s">
        <v>1340</v>
      </c>
      <c r="I61" s="1044"/>
      <c r="J61" s="1045" t="s">
        <v>1191</v>
      </c>
      <c r="K61" s="1044"/>
    </row>
    <row r="62" spans="1:11" x14ac:dyDescent="0.25">
      <c r="A62" s="970" t="s">
        <v>1284</v>
      </c>
      <c r="B62" s="1044" t="s">
        <v>114</v>
      </c>
      <c r="C62" s="1044"/>
      <c r="D62" s="1044"/>
      <c r="E62" s="1044"/>
      <c r="F62" s="1044" t="s">
        <v>1277</v>
      </c>
      <c r="G62" s="1071" t="s">
        <v>1126</v>
      </c>
      <c r="H62" s="1044" t="s">
        <v>1343</v>
      </c>
      <c r="I62" s="1044"/>
      <c r="J62" s="1045"/>
      <c r="K62" s="1044"/>
    </row>
    <row r="63" spans="1:11" x14ac:dyDescent="0.25">
      <c r="A63" s="970"/>
      <c r="B63" s="1195" t="s">
        <v>1586</v>
      </c>
      <c r="C63" s="1044"/>
      <c r="D63" s="1044"/>
      <c r="E63" s="1044"/>
      <c r="F63" s="1195" t="s">
        <v>1277</v>
      </c>
      <c r="G63" s="1196" t="s">
        <v>1126</v>
      </c>
      <c r="H63" s="1216" t="s">
        <v>1604</v>
      </c>
      <c r="I63" s="1107" t="s">
        <v>1441</v>
      </c>
      <c r="J63" s="1045"/>
      <c r="K63" s="1044"/>
    </row>
    <row r="64" spans="1:11" x14ac:dyDescent="0.25">
      <c r="A64" s="970"/>
      <c r="B64" s="1195" t="s">
        <v>1601</v>
      </c>
      <c r="C64" s="1044"/>
      <c r="D64" s="1044"/>
      <c r="E64" s="1044"/>
      <c r="F64" s="1195" t="s">
        <v>1281</v>
      </c>
      <c r="G64" s="1196" t="s">
        <v>1126</v>
      </c>
      <c r="H64" s="1216" t="s">
        <v>1605</v>
      </c>
      <c r="I64" s="1107" t="s">
        <v>1441</v>
      </c>
      <c r="J64" s="1045"/>
      <c r="K64" s="1044"/>
    </row>
    <row r="65" spans="1:11" x14ac:dyDescent="0.25">
      <c r="A65" s="1052"/>
      <c r="B65" s="1044" t="s">
        <v>145</v>
      </c>
      <c r="C65" s="1044"/>
      <c r="D65" s="1044"/>
      <c r="E65" s="1044"/>
      <c r="F65" s="1044" t="s">
        <v>1277</v>
      </c>
      <c r="G65" s="1071" t="s">
        <v>1126</v>
      </c>
      <c r="H65" s="1044" t="s">
        <v>1342</v>
      </c>
      <c r="I65" s="1044"/>
      <c r="J65" s="1045"/>
      <c r="K65" s="1044"/>
    </row>
    <row r="66" spans="1:11" x14ac:dyDescent="0.25">
      <c r="A66" s="1052"/>
      <c r="B66" s="1044" t="s">
        <v>145</v>
      </c>
      <c r="C66" s="1044"/>
      <c r="D66" s="1044"/>
      <c r="E66" s="1044"/>
      <c r="F66" s="1044" t="s">
        <v>1281</v>
      </c>
      <c r="G66" s="1071" t="s">
        <v>1126</v>
      </c>
      <c r="H66" s="1044" t="s">
        <v>1341</v>
      </c>
      <c r="I66" s="1044"/>
      <c r="J66" s="1045"/>
      <c r="K66" s="1044"/>
    </row>
    <row r="67" spans="1:11" x14ac:dyDescent="0.25">
      <c r="A67" s="1064" t="s">
        <v>1285</v>
      </c>
      <c r="B67" s="1044" t="s">
        <v>1159</v>
      </c>
      <c r="C67" s="1044"/>
      <c r="D67" s="1044"/>
      <c r="E67" s="1044"/>
      <c r="F67" s="1044" t="s">
        <v>1127</v>
      </c>
      <c r="G67" s="1071" t="s">
        <v>1126</v>
      </c>
      <c r="H67" s="1044" t="s">
        <v>1344</v>
      </c>
      <c r="I67" s="1044"/>
      <c r="J67" s="1045">
        <v>6</v>
      </c>
      <c r="K67" s="1044"/>
    </row>
    <row r="68" spans="1:11" x14ac:dyDescent="0.25">
      <c r="A68" s="1053"/>
      <c r="B68" s="1044" t="s">
        <v>1159</v>
      </c>
      <c r="C68" s="1044"/>
      <c r="D68" s="1044" t="s">
        <v>22</v>
      </c>
      <c r="E68" s="1044"/>
      <c r="F68" s="1044" t="s">
        <v>1127</v>
      </c>
      <c r="G68" s="1071" t="s">
        <v>1126</v>
      </c>
      <c r="H68" s="1044" t="s">
        <v>1345</v>
      </c>
      <c r="I68" s="1044"/>
      <c r="J68" s="1045" t="s">
        <v>1192</v>
      </c>
      <c r="K68" s="1044"/>
    </row>
    <row r="69" spans="1:11" x14ac:dyDescent="0.25">
      <c r="A69" s="1053"/>
      <c r="B69" s="1044" t="s">
        <v>1159</v>
      </c>
      <c r="C69" s="1044"/>
      <c r="D69" s="1044" t="s">
        <v>22</v>
      </c>
      <c r="E69" s="1044"/>
      <c r="F69" s="1044" t="s">
        <v>1141</v>
      </c>
      <c r="G69" s="1071" t="s">
        <v>1126</v>
      </c>
      <c r="H69" s="1044" t="s">
        <v>1346</v>
      </c>
      <c r="I69" s="1044"/>
      <c r="J69" s="1045" t="s">
        <v>1193</v>
      </c>
      <c r="K69" s="1044"/>
    </row>
    <row r="70" spans="1:11" x14ac:dyDescent="0.25">
      <c r="A70" s="1053"/>
      <c r="B70" s="1044" t="s">
        <v>1160</v>
      </c>
      <c r="C70" s="1044" t="s">
        <v>1161</v>
      </c>
      <c r="D70" s="1044"/>
      <c r="E70" s="1044"/>
      <c r="F70" s="1044" t="s">
        <v>1127</v>
      </c>
      <c r="G70" s="1071" t="s">
        <v>1126</v>
      </c>
      <c r="H70" s="1044" t="s">
        <v>1347</v>
      </c>
      <c r="I70" s="1044"/>
      <c r="J70" s="1045" t="s">
        <v>1194</v>
      </c>
      <c r="K70" s="1044"/>
    </row>
    <row r="71" spans="1:11" x14ac:dyDescent="0.25">
      <c r="A71" s="1053"/>
      <c r="B71" s="1044" t="s">
        <v>64</v>
      </c>
      <c r="C71" s="1044" t="s">
        <v>1161</v>
      </c>
      <c r="D71" s="1044"/>
      <c r="E71" s="1044"/>
      <c r="F71" s="1044" t="s">
        <v>1127</v>
      </c>
      <c r="G71" s="1196" t="s">
        <v>1126</v>
      </c>
      <c r="H71" s="1044" t="s">
        <v>1348</v>
      </c>
      <c r="I71" s="1044"/>
      <c r="J71" s="1045" t="s">
        <v>1195</v>
      </c>
      <c r="K71" s="1044"/>
    </row>
    <row r="72" spans="1:11" x14ac:dyDescent="0.25">
      <c r="A72" s="971" t="s">
        <v>1286</v>
      </c>
      <c r="B72" s="1044" t="s">
        <v>1159</v>
      </c>
      <c r="C72" s="1044"/>
      <c r="D72" s="1044"/>
      <c r="E72" s="1044"/>
      <c r="F72" s="1044" t="s">
        <v>1277</v>
      </c>
      <c r="G72" s="1071" t="s">
        <v>1126</v>
      </c>
      <c r="H72" s="1044" t="s">
        <v>1349</v>
      </c>
      <c r="I72" s="1044"/>
      <c r="J72" s="1045"/>
      <c r="K72" s="1044"/>
    </row>
    <row r="73" spans="1:11" x14ac:dyDescent="0.25">
      <c r="A73" s="1053"/>
      <c r="B73" s="1044" t="s">
        <v>276</v>
      </c>
      <c r="C73" s="1044"/>
      <c r="D73" s="1044"/>
      <c r="E73" s="1044"/>
      <c r="F73" s="1044" t="s">
        <v>1281</v>
      </c>
      <c r="G73" s="1071" t="s">
        <v>1126</v>
      </c>
      <c r="H73" s="1044" t="s">
        <v>1350</v>
      </c>
      <c r="I73" s="1044"/>
      <c r="J73" s="1045"/>
      <c r="K73" s="1044"/>
    </row>
    <row r="74" spans="1:11" x14ac:dyDescent="0.25">
      <c r="A74" s="1053"/>
      <c r="B74" s="1044" t="s">
        <v>1160</v>
      </c>
      <c r="C74" s="1044"/>
      <c r="D74" s="1044"/>
      <c r="E74" s="1044"/>
      <c r="F74" s="1044" t="s">
        <v>1281</v>
      </c>
      <c r="G74" s="1071" t="s">
        <v>1126</v>
      </c>
      <c r="H74" s="1044" t="s">
        <v>1351</v>
      </c>
      <c r="I74" s="1044"/>
      <c r="J74" s="1045"/>
      <c r="K74" s="1044"/>
    </row>
    <row r="75" spans="1:11" x14ac:dyDescent="0.25">
      <c r="A75" s="1077"/>
      <c r="B75" s="1044" t="s">
        <v>1287</v>
      </c>
      <c r="C75" s="1044"/>
      <c r="D75" s="1044"/>
      <c r="E75" s="1044"/>
      <c r="F75" s="1044" t="s">
        <v>1281</v>
      </c>
      <c r="G75" s="1071" t="s">
        <v>1126</v>
      </c>
      <c r="H75" s="1044" t="s">
        <v>1352</v>
      </c>
      <c r="I75" s="1044"/>
      <c r="J75" s="1045"/>
      <c r="K75" s="1044"/>
    </row>
    <row r="76" spans="1:11" x14ac:dyDescent="0.25">
      <c r="A76" s="1076" t="s">
        <v>1288</v>
      </c>
      <c r="B76" s="1044" t="s">
        <v>1159</v>
      </c>
      <c r="C76" s="1044"/>
      <c r="D76" s="1044"/>
      <c r="E76" s="1044"/>
      <c r="F76" s="1044" t="s">
        <v>1127</v>
      </c>
      <c r="G76" s="1071" t="s">
        <v>1126</v>
      </c>
      <c r="H76" s="1044" t="s">
        <v>1353</v>
      </c>
      <c r="I76" s="1044"/>
      <c r="J76" s="1045">
        <v>7</v>
      </c>
      <c r="K76" s="1044"/>
    </row>
    <row r="77" spans="1:11" x14ac:dyDescent="0.25">
      <c r="A77" s="1076" t="s">
        <v>1354</v>
      </c>
      <c r="B77" s="1044" t="s">
        <v>97</v>
      </c>
      <c r="C77" s="1044" t="s">
        <v>1159</v>
      </c>
      <c r="D77" s="1044"/>
      <c r="E77" s="1044"/>
      <c r="F77" s="1044" t="s">
        <v>1277</v>
      </c>
      <c r="G77" s="1071" t="s">
        <v>1126</v>
      </c>
      <c r="H77" s="1044" t="s">
        <v>1355</v>
      </c>
      <c r="I77" s="1044"/>
      <c r="J77" s="1045"/>
      <c r="K77" s="1044"/>
    </row>
    <row r="78" spans="1:11" x14ac:dyDescent="0.25">
      <c r="A78" s="1060"/>
      <c r="B78" s="1044" t="s">
        <v>671</v>
      </c>
      <c r="C78" s="1044" t="s">
        <v>1159</v>
      </c>
      <c r="D78" s="1044"/>
      <c r="E78" s="1044"/>
      <c r="F78" s="1044" t="s">
        <v>1277</v>
      </c>
      <c r="G78" s="1071" t="s">
        <v>1126</v>
      </c>
      <c r="H78" s="1044" t="s">
        <v>1356</v>
      </c>
      <c r="I78" s="1044"/>
      <c r="J78" s="1045"/>
      <c r="K78" s="1044"/>
    </row>
    <row r="79" spans="1:11" x14ac:dyDescent="0.25">
      <c r="A79" s="1063" t="s">
        <v>1289</v>
      </c>
      <c r="B79" s="1044" t="s">
        <v>1140</v>
      </c>
      <c r="C79" s="1044"/>
      <c r="D79" s="1044"/>
      <c r="E79" s="1044"/>
      <c r="F79" s="1044" t="s">
        <v>1127</v>
      </c>
      <c r="G79" s="1071" t="s">
        <v>1126</v>
      </c>
      <c r="H79" s="1044" t="s">
        <v>1358</v>
      </c>
      <c r="I79" s="1044"/>
      <c r="J79" s="1045">
        <v>2</v>
      </c>
      <c r="K79" s="1044"/>
    </row>
    <row r="80" spans="1:11" x14ac:dyDescent="0.25">
      <c r="A80" s="1054"/>
      <c r="B80" s="1044" t="s">
        <v>1140</v>
      </c>
      <c r="C80" s="1044"/>
      <c r="D80" s="1044"/>
      <c r="E80" s="1044"/>
      <c r="F80" s="1044" t="s">
        <v>1164</v>
      </c>
      <c r="G80" s="1196" t="s">
        <v>1126</v>
      </c>
      <c r="H80" s="1044" t="s">
        <v>1359</v>
      </c>
      <c r="I80" s="1044"/>
      <c r="J80" s="1045" t="s">
        <v>1196</v>
      </c>
      <c r="K80" s="1044"/>
    </row>
    <row r="81" spans="1:11" x14ac:dyDescent="0.25">
      <c r="A81" s="1054"/>
      <c r="B81" s="1044" t="s">
        <v>1140</v>
      </c>
      <c r="C81" s="1044" t="s">
        <v>22</v>
      </c>
      <c r="D81" s="1044"/>
      <c r="E81" s="1044"/>
      <c r="F81" s="1044" t="s">
        <v>1127</v>
      </c>
      <c r="G81" s="1071" t="s">
        <v>1126</v>
      </c>
      <c r="H81" s="1044" t="s">
        <v>1360</v>
      </c>
      <c r="I81" s="1044"/>
      <c r="J81" s="1045" t="s">
        <v>1197</v>
      </c>
      <c r="K81" s="1044"/>
    </row>
    <row r="82" spans="1:11" x14ac:dyDescent="0.25">
      <c r="A82" s="1054"/>
      <c r="B82" s="1105" t="s">
        <v>1142</v>
      </c>
      <c r="C82" s="1105" t="s">
        <v>1143</v>
      </c>
      <c r="D82" s="1044"/>
      <c r="E82" s="1044"/>
      <c r="F82" s="1105" t="s">
        <v>1127</v>
      </c>
      <c r="G82" s="1106" t="s">
        <v>1126</v>
      </c>
      <c r="H82" s="1105" t="s">
        <v>1483</v>
      </c>
      <c r="I82" s="1044"/>
      <c r="J82" s="1045"/>
      <c r="K82" s="1044"/>
    </row>
    <row r="83" spans="1:11" x14ac:dyDescent="0.25">
      <c r="A83" s="1054"/>
      <c r="B83" s="1105" t="s">
        <v>1142</v>
      </c>
      <c r="C83" s="1105" t="s">
        <v>1518</v>
      </c>
      <c r="D83" s="1044"/>
      <c r="E83" s="1044"/>
      <c r="F83" s="1105" t="s">
        <v>1127</v>
      </c>
      <c r="G83" s="1106" t="s">
        <v>1126</v>
      </c>
      <c r="H83" s="1105" t="s">
        <v>1482</v>
      </c>
      <c r="I83" s="1107" t="s">
        <v>1441</v>
      </c>
      <c r="J83" s="1045"/>
      <c r="K83" s="1044"/>
    </row>
    <row r="84" spans="1:11" x14ac:dyDescent="0.25">
      <c r="A84" s="972"/>
      <c r="B84" s="1044" t="s">
        <v>1140</v>
      </c>
      <c r="C84" s="1044" t="s">
        <v>1146</v>
      </c>
      <c r="D84" s="1044"/>
      <c r="E84" s="1044"/>
      <c r="F84" s="1044" t="s">
        <v>1127</v>
      </c>
      <c r="G84" s="1071" t="s">
        <v>1126</v>
      </c>
      <c r="H84" s="1044" t="s">
        <v>1362</v>
      </c>
      <c r="I84" s="1044"/>
      <c r="J84" s="1045">
        <v>11</v>
      </c>
      <c r="K84" s="1044"/>
    </row>
    <row r="85" spans="1:11" x14ac:dyDescent="0.25">
      <c r="A85" s="1054"/>
      <c r="B85" s="1044" t="s">
        <v>1146</v>
      </c>
      <c r="C85" s="1044" t="s">
        <v>22</v>
      </c>
      <c r="D85" s="1044"/>
      <c r="E85" s="1044"/>
      <c r="F85" s="1044" t="s">
        <v>1127</v>
      </c>
      <c r="G85" s="1071" t="s">
        <v>1126</v>
      </c>
      <c r="H85" s="1044" t="s">
        <v>1361</v>
      </c>
      <c r="I85" s="1044"/>
      <c r="J85" s="1045">
        <v>12</v>
      </c>
      <c r="K85" s="1044"/>
    </row>
    <row r="86" spans="1:11" x14ac:dyDescent="0.25">
      <c r="A86" s="1054"/>
      <c r="B86" s="1044" t="s">
        <v>1146</v>
      </c>
      <c r="C86" s="1044" t="s">
        <v>22</v>
      </c>
      <c r="D86" s="1044" t="s">
        <v>73</v>
      </c>
      <c r="E86" s="1044"/>
      <c r="F86" s="1044" t="s">
        <v>1164</v>
      </c>
      <c r="G86" s="1071" t="s">
        <v>1126</v>
      </c>
      <c r="H86" s="1044" t="s">
        <v>1363</v>
      </c>
      <c r="I86" s="1044"/>
      <c r="J86" s="1045" t="s">
        <v>1198</v>
      </c>
      <c r="K86" s="1044"/>
    </row>
    <row r="87" spans="1:11" x14ac:dyDescent="0.25">
      <c r="A87" s="972"/>
      <c r="B87" s="1044" t="s">
        <v>1146</v>
      </c>
      <c r="C87" s="1044" t="s">
        <v>73</v>
      </c>
      <c r="D87" s="1044" t="s">
        <v>651</v>
      </c>
      <c r="E87" s="1044"/>
      <c r="F87" s="1044" t="s">
        <v>1164</v>
      </c>
      <c r="G87" s="1071" t="s">
        <v>1126</v>
      </c>
      <c r="H87" s="1044" t="s">
        <v>1364</v>
      </c>
      <c r="I87" s="1044"/>
      <c r="J87" s="1045" t="s">
        <v>1223</v>
      </c>
      <c r="K87" s="1044"/>
    </row>
    <row r="88" spans="1:11" x14ac:dyDescent="0.25">
      <c r="A88" s="1054"/>
      <c r="B88" s="1044" t="s">
        <v>58</v>
      </c>
      <c r="C88" s="1044"/>
      <c r="D88" s="1044"/>
      <c r="E88" s="1044"/>
      <c r="F88" s="1044" t="s">
        <v>1165</v>
      </c>
      <c r="G88" s="1071" t="s">
        <v>1126</v>
      </c>
      <c r="H88" s="1044" t="s">
        <v>1365</v>
      </c>
      <c r="I88" s="1044"/>
      <c r="J88" s="1045">
        <v>3</v>
      </c>
      <c r="K88" s="1044"/>
    </row>
    <row r="89" spans="1:11" x14ac:dyDescent="0.25">
      <c r="A89" s="972"/>
      <c r="B89" s="1044" t="s">
        <v>58</v>
      </c>
      <c r="C89" s="1044" t="s">
        <v>22</v>
      </c>
      <c r="D89" s="1044"/>
      <c r="E89" s="1044"/>
      <c r="F89" s="1044" t="s">
        <v>1165</v>
      </c>
      <c r="G89" s="1071" t="s">
        <v>1126</v>
      </c>
      <c r="H89" s="1044" t="s">
        <v>1366</v>
      </c>
      <c r="I89" s="1044"/>
      <c r="J89" s="1045" t="s">
        <v>1199</v>
      </c>
      <c r="K89" s="1044"/>
    </row>
    <row r="90" spans="1:11" x14ac:dyDescent="0.25">
      <c r="A90" s="1054"/>
      <c r="B90" s="1044" t="s">
        <v>58</v>
      </c>
      <c r="C90" s="1044" t="s">
        <v>1152</v>
      </c>
      <c r="D90" s="1044"/>
      <c r="E90" s="1044"/>
      <c r="F90" s="1044" t="s">
        <v>1127</v>
      </c>
      <c r="G90" s="1071" t="s">
        <v>1126</v>
      </c>
      <c r="H90" s="1044" t="s">
        <v>1367</v>
      </c>
      <c r="I90" s="1044"/>
      <c r="J90" s="1045" t="s">
        <v>1200</v>
      </c>
      <c r="K90" s="1044"/>
    </row>
    <row r="91" spans="1:11" x14ac:dyDescent="0.25">
      <c r="A91" s="1054"/>
      <c r="B91" s="1044" t="s">
        <v>58</v>
      </c>
      <c r="C91" s="1044" t="s">
        <v>1152</v>
      </c>
      <c r="D91" s="1044"/>
      <c r="E91" s="1044"/>
      <c r="F91" s="1044" t="s">
        <v>1164</v>
      </c>
      <c r="G91" s="1196" t="s">
        <v>1126</v>
      </c>
      <c r="H91" s="1044" t="s">
        <v>1368</v>
      </c>
      <c r="I91" s="1044"/>
      <c r="J91" s="1045" t="s">
        <v>1201</v>
      </c>
      <c r="K91" s="1044"/>
    </row>
    <row r="92" spans="1:11" x14ac:dyDescent="0.25">
      <c r="A92" s="1054"/>
      <c r="B92" s="1044" t="s">
        <v>73</v>
      </c>
      <c r="C92" s="1044" t="s">
        <v>171</v>
      </c>
      <c r="D92" s="1044"/>
      <c r="E92" s="1044"/>
      <c r="F92" s="1044" t="s">
        <v>1127</v>
      </c>
      <c r="G92" s="1071" t="s">
        <v>1126</v>
      </c>
      <c r="H92" s="1044" t="s">
        <v>1369</v>
      </c>
      <c r="I92" s="1044"/>
      <c r="J92" s="1045" t="s">
        <v>1202</v>
      </c>
      <c r="K92" s="1044"/>
    </row>
    <row r="93" spans="1:11" x14ac:dyDescent="0.25">
      <c r="A93" s="1054"/>
      <c r="B93" s="1044" t="s">
        <v>73</v>
      </c>
      <c r="C93" s="1044" t="s">
        <v>651</v>
      </c>
      <c r="D93" s="1044" t="s">
        <v>171</v>
      </c>
      <c r="E93" s="1044"/>
      <c r="F93" s="1044" t="s">
        <v>1127</v>
      </c>
      <c r="G93" s="106" t="s">
        <v>1126</v>
      </c>
      <c r="H93" s="1044" t="s">
        <v>1370</v>
      </c>
      <c r="I93" s="1044"/>
      <c r="J93" s="1045" t="s">
        <v>1203</v>
      </c>
      <c r="K93" s="1044"/>
    </row>
    <row r="94" spans="1:11" x14ac:dyDescent="0.25">
      <c r="A94" s="1054"/>
      <c r="B94" s="1044" t="s">
        <v>73</v>
      </c>
      <c r="C94" s="1044" t="s">
        <v>651</v>
      </c>
      <c r="D94" s="1044" t="s">
        <v>171</v>
      </c>
      <c r="E94" s="1044"/>
      <c r="F94" s="1044" t="s">
        <v>1164</v>
      </c>
      <c r="G94" s="1196" t="s">
        <v>1126</v>
      </c>
      <c r="H94" s="1044" t="s">
        <v>1371</v>
      </c>
      <c r="I94" s="1044"/>
      <c r="J94" s="1045" t="s">
        <v>1204</v>
      </c>
      <c r="K94" s="1044"/>
    </row>
    <row r="95" spans="1:11" x14ac:dyDescent="0.25">
      <c r="A95" s="1054"/>
      <c r="B95" s="1044" t="s">
        <v>1128</v>
      </c>
      <c r="C95" s="1044"/>
      <c r="D95" s="1044"/>
      <c r="E95" s="1044"/>
      <c r="F95" s="1044" t="s">
        <v>1127</v>
      </c>
      <c r="G95" s="1071" t="s">
        <v>1126</v>
      </c>
      <c r="H95" s="1044" t="s">
        <v>1372</v>
      </c>
      <c r="I95" s="1044"/>
      <c r="J95" s="1045">
        <v>14</v>
      </c>
      <c r="K95" s="1044"/>
    </row>
    <row r="96" spans="1:11" x14ac:dyDescent="0.25">
      <c r="A96" s="1054"/>
      <c r="B96" s="1044" t="s">
        <v>1128</v>
      </c>
      <c r="C96" s="1044"/>
      <c r="D96" s="1044"/>
      <c r="E96" s="1044"/>
      <c r="F96" s="1044" t="s">
        <v>1141</v>
      </c>
      <c r="G96" s="1072" t="s">
        <v>1126</v>
      </c>
      <c r="H96" s="1044" t="s">
        <v>1373</v>
      </c>
      <c r="I96" s="1044"/>
      <c r="J96" s="1045">
        <v>15</v>
      </c>
      <c r="K96" s="1044"/>
    </row>
    <row r="97" spans="1:11" x14ac:dyDescent="0.25">
      <c r="A97" s="1054"/>
      <c r="B97" s="1044" t="s">
        <v>1128</v>
      </c>
      <c r="C97" s="1044" t="s">
        <v>171</v>
      </c>
      <c r="D97" s="1044" t="s">
        <v>73</v>
      </c>
      <c r="E97" s="1044"/>
      <c r="F97" s="1044" t="s">
        <v>1127</v>
      </c>
      <c r="G97" s="1071" t="s">
        <v>1126</v>
      </c>
      <c r="H97" s="1044" t="s">
        <v>1374</v>
      </c>
      <c r="I97" s="1044"/>
      <c r="J97" s="1045" t="s">
        <v>1205</v>
      </c>
      <c r="K97" s="1044"/>
    </row>
    <row r="98" spans="1:11" x14ac:dyDescent="0.25">
      <c r="A98" s="1054"/>
      <c r="B98" s="1044" t="s">
        <v>1128</v>
      </c>
      <c r="C98" s="1044" t="s">
        <v>171</v>
      </c>
      <c r="D98" s="1044" t="s">
        <v>73</v>
      </c>
      <c r="E98" s="1044"/>
      <c r="F98" s="1044" t="s">
        <v>1141</v>
      </c>
      <c r="G98" s="1071" t="s">
        <v>1126</v>
      </c>
      <c r="H98" s="1044" t="s">
        <v>1375</v>
      </c>
      <c r="I98" s="1044"/>
      <c r="J98" s="1045" t="s">
        <v>1206</v>
      </c>
      <c r="K98" s="1044"/>
    </row>
    <row r="99" spans="1:11" x14ac:dyDescent="0.25">
      <c r="A99" s="1054"/>
      <c r="B99" s="1044" t="s">
        <v>1128</v>
      </c>
      <c r="C99" s="1044" t="s">
        <v>1166</v>
      </c>
      <c r="D99" s="1044" t="s">
        <v>59</v>
      </c>
      <c r="E99" s="1044"/>
      <c r="F99" s="1044" t="s">
        <v>1127</v>
      </c>
      <c r="G99" s="1071" t="s">
        <v>1126</v>
      </c>
      <c r="H99" s="1044" t="s">
        <v>1382</v>
      </c>
      <c r="I99" s="1044"/>
      <c r="J99" s="1045" t="s">
        <v>1207</v>
      </c>
      <c r="K99" s="1044"/>
    </row>
    <row r="100" spans="1:11" x14ac:dyDescent="0.25">
      <c r="A100" s="1054"/>
      <c r="B100" s="1044" t="s">
        <v>1128</v>
      </c>
      <c r="C100" s="1044" t="s">
        <v>1166</v>
      </c>
      <c r="D100" s="1044" t="s">
        <v>73</v>
      </c>
      <c r="E100" s="1044"/>
      <c r="F100" s="1044" t="s">
        <v>1127</v>
      </c>
      <c r="G100" s="1071" t="s">
        <v>1126</v>
      </c>
      <c r="H100" s="1044" t="s">
        <v>1383</v>
      </c>
      <c r="I100" s="1044"/>
      <c r="J100" s="1045" t="s">
        <v>1208</v>
      </c>
      <c r="K100" s="1044"/>
    </row>
    <row r="101" spans="1:11" x14ac:dyDescent="0.25">
      <c r="A101" s="1054"/>
      <c r="B101" s="1044" t="s">
        <v>1128</v>
      </c>
      <c r="C101" s="1044" t="s">
        <v>1166</v>
      </c>
      <c r="D101" s="1044" t="s">
        <v>59</v>
      </c>
      <c r="E101" s="1044"/>
      <c r="F101" s="1044" t="s">
        <v>1141</v>
      </c>
      <c r="G101" s="1071" t="s">
        <v>1126</v>
      </c>
      <c r="H101" s="1044" t="s">
        <v>1384</v>
      </c>
      <c r="I101" s="1044"/>
      <c r="J101" s="1045" t="s">
        <v>1209</v>
      </c>
      <c r="K101" s="1044"/>
    </row>
    <row r="102" spans="1:11" x14ac:dyDescent="0.25">
      <c r="A102" s="1054"/>
      <c r="B102" s="1044" t="s">
        <v>1128</v>
      </c>
      <c r="C102" s="1044" t="s">
        <v>1166</v>
      </c>
      <c r="D102" s="1044" t="s">
        <v>73</v>
      </c>
      <c r="E102" s="1044"/>
      <c r="F102" s="1044" t="s">
        <v>1141</v>
      </c>
      <c r="G102" s="1071" t="s">
        <v>1126</v>
      </c>
      <c r="H102" s="1044" t="s">
        <v>1385</v>
      </c>
      <c r="I102" s="1044"/>
      <c r="J102" s="1045" t="s">
        <v>1210</v>
      </c>
      <c r="K102" s="1044"/>
    </row>
    <row r="103" spans="1:11" x14ac:dyDescent="0.25">
      <c r="A103" s="1054"/>
      <c r="B103" s="1044" t="s">
        <v>1167</v>
      </c>
      <c r="C103" s="1044"/>
      <c r="D103" s="1044"/>
      <c r="E103" s="1044"/>
      <c r="F103" s="1044" t="s">
        <v>1127</v>
      </c>
      <c r="G103" s="1071" t="s">
        <v>1126</v>
      </c>
      <c r="H103" s="1044" t="s">
        <v>1376</v>
      </c>
      <c r="I103" s="1044"/>
      <c r="J103" s="1045">
        <v>16</v>
      </c>
      <c r="K103" s="1044"/>
    </row>
    <row r="104" spans="1:11" x14ac:dyDescent="0.25">
      <c r="A104" s="1054"/>
      <c r="B104" s="1044" t="s">
        <v>1167</v>
      </c>
      <c r="C104" s="1044" t="s">
        <v>59</v>
      </c>
      <c r="D104" s="1044"/>
      <c r="E104" s="1044"/>
      <c r="F104" s="1044" t="s">
        <v>1141</v>
      </c>
      <c r="G104" s="1071" t="s">
        <v>1126</v>
      </c>
      <c r="H104" s="1044" t="s">
        <v>1377</v>
      </c>
      <c r="I104" s="1044"/>
      <c r="J104" s="1045">
        <v>17</v>
      </c>
      <c r="K104" s="1044"/>
    </row>
    <row r="105" spans="1:11" x14ac:dyDescent="0.25">
      <c r="A105" s="972"/>
      <c r="B105" s="1044" t="s">
        <v>1167</v>
      </c>
      <c r="C105" s="1044" t="s">
        <v>1166</v>
      </c>
      <c r="D105" s="1044" t="s">
        <v>59</v>
      </c>
      <c r="E105" s="1044"/>
      <c r="F105" s="1044" t="s">
        <v>1127</v>
      </c>
      <c r="G105" s="1071" t="s">
        <v>1126</v>
      </c>
      <c r="H105" s="1044" t="s">
        <v>1378</v>
      </c>
      <c r="I105" s="1044"/>
      <c r="J105" s="1045" t="s">
        <v>1211</v>
      </c>
      <c r="K105" s="1044"/>
    </row>
    <row r="106" spans="1:11" x14ac:dyDescent="0.25">
      <c r="A106" s="1054"/>
      <c r="B106" s="1044" t="s">
        <v>1167</v>
      </c>
      <c r="C106" s="1044" t="s">
        <v>1166</v>
      </c>
      <c r="D106" s="1044" t="s">
        <v>73</v>
      </c>
      <c r="E106" s="1044"/>
      <c r="F106" s="1044" t="s">
        <v>1127</v>
      </c>
      <c r="G106" s="1072" t="s">
        <v>1126</v>
      </c>
      <c r="H106" s="1044" t="s">
        <v>1380</v>
      </c>
      <c r="I106" s="1044"/>
      <c r="J106" s="1045" t="s">
        <v>1213</v>
      </c>
      <c r="K106" s="1044"/>
    </row>
    <row r="107" spans="1:11" x14ac:dyDescent="0.25">
      <c r="A107" s="1054"/>
      <c r="B107" s="1044" t="s">
        <v>1167</v>
      </c>
      <c r="C107" s="1044" t="s">
        <v>1166</v>
      </c>
      <c r="D107" s="1044" t="s">
        <v>59</v>
      </c>
      <c r="E107" s="1044"/>
      <c r="F107" s="1044" t="s">
        <v>1141</v>
      </c>
      <c r="G107" s="1072" t="s">
        <v>1126</v>
      </c>
      <c r="H107" s="1044" t="s">
        <v>1379</v>
      </c>
      <c r="I107" s="1044"/>
      <c r="J107" s="1045" t="s">
        <v>1212</v>
      </c>
      <c r="K107" s="1044"/>
    </row>
    <row r="108" spans="1:11" x14ac:dyDescent="0.25">
      <c r="A108" s="1054"/>
      <c r="B108" s="1044" t="s">
        <v>1167</v>
      </c>
      <c r="C108" s="1044" t="s">
        <v>1166</v>
      </c>
      <c r="D108" s="1044" t="s">
        <v>73</v>
      </c>
      <c r="E108" s="1044"/>
      <c r="F108" s="1044" t="s">
        <v>1141</v>
      </c>
      <c r="G108" s="1071" t="s">
        <v>1126</v>
      </c>
      <c r="H108" s="1044" t="s">
        <v>1381</v>
      </c>
      <c r="I108" s="1044"/>
      <c r="J108" s="1045" t="s">
        <v>1214</v>
      </c>
      <c r="K108" s="1044"/>
    </row>
    <row r="109" spans="1:11" x14ac:dyDescent="0.25">
      <c r="A109" s="1054"/>
      <c r="B109" s="1044" t="s">
        <v>1167</v>
      </c>
      <c r="C109" s="1044" t="s">
        <v>171</v>
      </c>
      <c r="D109" s="1044" t="s">
        <v>73</v>
      </c>
      <c r="E109" s="1044"/>
      <c r="F109" s="1044" t="s">
        <v>1127</v>
      </c>
      <c r="G109" s="1071" t="s">
        <v>1126</v>
      </c>
      <c r="H109" s="1044" t="s">
        <v>1386</v>
      </c>
      <c r="I109" s="1044"/>
      <c r="J109" s="1045" t="s">
        <v>1215</v>
      </c>
      <c r="K109" s="1044"/>
    </row>
    <row r="110" spans="1:11" x14ac:dyDescent="0.25">
      <c r="A110" s="972"/>
      <c r="B110" s="1044" t="s">
        <v>1167</v>
      </c>
      <c r="C110" s="1044" t="s">
        <v>171</v>
      </c>
      <c r="D110" s="1044" t="s">
        <v>73</v>
      </c>
      <c r="E110" s="1044"/>
      <c r="F110" s="1044" t="s">
        <v>1141</v>
      </c>
      <c r="G110" s="1071" t="s">
        <v>1126</v>
      </c>
      <c r="H110" s="1044" t="s">
        <v>1387</v>
      </c>
      <c r="I110" s="1044"/>
      <c r="J110" s="1045" t="s">
        <v>1216</v>
      </c>
      <c r="K110" s="1044"/>
    </row>
    <row r="111" spans="1:11" x14ac:dyDescent="0.25">
      <c r="A111" s="1054"/>
      <c r="B111" s="1044" t="s">
        <v>281</v>
      </c>
      <c r="C111" s="1044"/>
      <c r="D111" s="1044"/>
      <c r="E111" s="1044"/>
      <c r="F111" s="1044" t="s">
        <v>1127</v>
      </c>
      <c r="G111" s="1071" t="s">
        <v>1126</v>
      </c>
      <c r="H111" s="1044" t="s">
        <v>1388</v>
      </c>
      <c r="I111" s="1044"/>
      <c r="J111" s="1045">
        <v>18</v>
      </c>
      <c r="K111" s="1044"/>
    </row>
    <row r="112" spans="1:11" x14ac:dyDescent="0.25">
      <c r="A112" s="1054"/>
      <c r="B112" s="1044" t="s">
        <v>281</v>
      </c>
      <c r="C112" s="1044" t="s">
        <v>1167</v>
      </c>
      <c r="D112" s="1044"/>
      <c r="E112" s="1044"/>
      <c r="F112" s="1044" t="s">
        <v>1127</v>
      </c>
      <c r="G112" s="1196" t="s">
        <v>1126</v>
      </c>
      <c r="H112" s="1044" t="s">
        <v>1389</v>
      </c>
      <c r="I112" s="1044"/>
      <c r="J112" s="1045" t="s">
        <v>1217</v>
      </c>
      <c r="K112" s="1044"/>
    </row>
    <row r="113" spans="1:11" x14ac:dyDescent="0.25">
      <c r="A113" s="1054"/>
      <c r="B113" s="1044" t="s">
        <v>281</v>
      </c>
      <c r="C113" s="1044" t="s">
        <v>1167</v>
      </c>
      <c r="D113" s="1044"/>
      <c r="E113" s="1044"/>
      <c r="F113" s="1044" t="s">
        <v>1141</v>
      </c>
      <c r="G113" s="1196" t="s">
        <v>1126</v>
      </c>
      <c r="H113" s="1044" t="s">
        <v>1390</v>
      </c>
      <c r="I113" s="1044"/>
      <c r="J113" s="1045" t="s">
        <v>1218</v>
      </c>
      <c r="K113" s="1044"/>
    </row>
    <row r="114" spans="1:11" x14ac:dyDescent="0.25">
      <c r="A114" s="1054"/>
      <c r="B114" s="1044" t="s">
        <v>651</v>
      </c>
      <c r="C114" s="1044" t="s">
        <v>1157</v>
      </c>
      <c r="D114" s="1044"/>
      <c r="E114" s="1044"/>
      <c r="F114" s="1044" t="s">
        <v>1165</v>
      </c>
      <c r="G114" s="1071" t="s">
        <v>1126</v>
      </c>
      <c r="H114" s="1044" t="s">
        <v>1391</v>
      </c>
      <c r="I114" s="1044"/>
      <c r="J114" s="1045">
        <v>24</v>
      </c>
      <c r="K114" s="1044"/>
    </row>
    <row r="115" spans="1:11" x14ac:dyDescent="0.25">
      <c r="A115" s="972" t="s">
        <v>1290</v>
      </c>
      <c r="B115" s="1044" t="s">
        <v>1291</v>
      </c>
      <c r="C115" s="1044"/>
      <c r="D115" s="1044"/>
      <c r="E115" s="1044"/>
      <c r="F115" s="1044" t="s">
        <v>1278</v>
      </c>
      <c r="G115" s="1071" t="s">
        <v>1126</v>
      </c>
      <c r="H115" s="1044" t="s">
        <v>1392</v>
      </c>
      <c r="I115" s="1044"/>
      <c r="J115" s="1045"/>
      <c r="K115" s="1044"/>
    </row>
    <row r="116" spans="1:11" x14ac:dyDescent="0.25">
      <c r="A116" s="1054"/>
      <c r="B116" s="1044" t="s">
        <v>97</v>
      </c>
      <c r="C116" s="1044" t="s">
        <v>1167</v>
      </c>
      <c r="D116" s="1044"/>
      <c r="E116" s="1044"/>
      <c r="F116" s="1044" t="s">
        <v>1141</v>
      </c>
      <c r="G116" s="1071" t="s">
        <v>1126</v>
      </c>
      <c r="H116" s="1044" t="s">
        <v>1393</v>
      </c>
      <c r="I116" s="1044"/>
      <c r="J116" s="1045"/>
      <c r="K116" s="1044"/>
    </row>
    <row r="117" spans="1:11" x14ac:dyDescent="0.25">
      <c r="A117" s="1054"/>
      <c r="B117" s="1044" t="s">
        <v>671</v>
      </c>
      <c r="C117" s="1044" t="s">
        <v>1167</v>
      </c>
      <c r="D117" s="1044"/>
      <c r="E117" s="1044"/>
      <c r="F117" s="1044" t="s">
        <v>1141</v>
      </c>
      <c r="G117" s="1071" t="s">
        <v>1126</v>
      </c>
      <c r="H117" s="1044" t="s">
        <v>1394</v>
      </c>
      <c r="I117" s="1044"/>
      <c r="J117" s="1045"/>
      <c r="K117" s="1044"/>
    </row>
    <row r="118" spans="1:11" x14ac:dyDescent="0.25">
      <c r="A118" s="1065" t="s">
        <v>1137</v>
      </c>
      <c r="B118" s="1044" t="s">
        <v>1168</v>
      </c>
      <c r="C118" s="1044" t="s">
        <v>1169</v>
      </c>
      <c r="D118" s="1044"/>
      <c r="E118" s="1044"/>
      <c r="F118" s="1044" t="s">
        <v>1127</v>
      </c>
      <c r="G118" s="1071" t="s">
        <v>1126</v>
      </c>
      <c r="H118" s="1044" t="s">
        <v>1395</v>
      </c>
      <c r="I118" s="1044"/>
      <c r="J118" s="1045"/>
      <c r="K118" s="1044"/>
    </row>
    <row r="119" spans="1:11" ht="15.75" x14ac:dyDescent="0.25">
      <c r="A119" s="1055"/>
      <c r="B119" s="1044" t="s">
        <v>1168</v>
      </c>
      <c r="C119" s="1044" t="s">
        <v>1169</v>
      </c>
      <c r="D119" s="1044"/>
      <c r="E119" s="1044"/>
      <c r="F119" s="1044" t="s">
        <v>1141</v>
      </c>
      <c r="G119" s="1071" t="s">
        <v>1126</v>
      </c>
      <c r="H119" s="1044" t="s">
        <v>1396</v>
      </c>
      <c r="I119" s="1103"/>
      <c r="J119" s="1045"/>
      <c r="K119" s="1044"/>
    </row>
    <row r="120" spans="1:11" x14ac:dyDescent="0.25">
      <c r="A120" s="1055"/>
      <c r="B120" s="1044" t="s">
        <v>1168</v>
      </c>
      <c r="C120" s="1044" t="s">
        <v>1163</v>
      </c>
      <c r="D120" s="1044"/>
      <c r="E120" s="1044"/>
      <c r="F120" s="1044" t="s">
        <v>1127</v>
      </c>
      <c r="G120" s="1071" t="s">
        <v>1126</v>
      </c>
      <c r="H120" s="1044" t="s">
        <v>1397</v>
      </c>
      <c r="I120" s="1104"/>
      <c r="J120" s="1045"/>
      <c r="K120" s="1044"/>
    </row>
    <row r="121" spans="1:11" x14ac:dyDescent="0.25">
      <c r="A121" s="1055"/>
      <c r="B121" s="1044" t="s">
        <v>1168</v>
      </c>
      <c r="C121" s="1044" t="s">
        <v>1163</v>
      </c>
      <c r="D121" s="1044"/>
      <c r="E121" s="1044"/>
      <c r="F121" s="1044" t="s">
        <v>1141</v>
      </c>
      <c r="G121" s="1071" t="s">
        <v>1126</v>
      </c>
      <c r="H121" s="1044" t="s">
        <v>1398</v>
      </c>
      <c r="I121" s="1104"/>
      <c r="J121" s="1045"/>
      <c r="K121" s="1044"/>
    </row>
    <row r="122" spans="1:11" x14ac:dyDescent="0.25">
      <c r="A122" s="969"/>
      <c r="B122" s="1044" t="s">
        <v>1170</v>
      </c>
      <c r="C122" s="1044" t="s">
        <v>1169</v>
      </c>
      <c r="D122" s="1044"/>
      <c r="E122" s="1044"/>
      <c r="F122" s="1044" t="s">
        <v>1127</v>
      </c>
      <c r="G122" s="1071" t="s">
        <v>1126</v>
      </c>
      <c r="H122" s="1044" t="s">
        <v>1399</v>
      </c>
      <c r="I122" s="1104"/>
      <c r="J122" s="1045"/>
      <c r="K122" s="1044"/>
    </row>
    <row r="123" spans="1:11" x14ac:dyDescent="0.25">
      <c r="A123" s="1055"/>
      <c r="B123" s="1044" t="s">
        <v>1170</v>
      </c>
      <c r="C123" s="1044" t="s">
        <v>1169</v>
      </c>
      <c r="D123" s="1044"/>
      <c r="E123" s="1044"/>
      <c r="F123" s="1044" t="s">
        <v>1141</v>
      </c>
      <c r="G123" s="1071" t="s">
        <v>1126</v>
      </c>
      <c r="H123" s="1044" t="s">
        <v>1400</v>
      </c>
      <c r="I123" s="1104"/>
      <c r="J123" s="1045"/>
      <c r="K123" s="1044"/>
    </row>
    <row r="124" spans="1:11" x14ac:dyDescent="0.25">
      <c r="A124" s="1055"/>
      <c r="B124" s="1044" t="s">
        <v>1170</v>
      </c>
      <c r="C124" s="1044" t="s">
        <v>1163</v>
      </c>
      <c r="D124" s="1044"/>
      <c r="E124" s="1044"/>
      <c r="F124" s="1044" t="s">
        <v>1127</v>
      </c>
      <c r="G124" s="1071" t="s">
        <v>1126</v>
      </c>
      <c r="H124" s="1044" t="s">
        <v>1401</v>
      </c>
      <c r="I124" s="1104"/>
      <c r="J124" s="1045"/>
      <c r="K124" s="1044"/>
    </row>
    <row r="125" spans="1:11" x14ac:dyDescent="0.25">
      <c r="A125" s="1055"/>
      <c r="B125" s="1044" t="s">
        <v>1170</v>
      </c>
      <c r="C125" s="1044" t="s">
        <v>1163</v>
      </c>
      <c r="D125" s="1044"/>
      <c r="E125" s="1044"/>
      <c r="F125" s="1044" t="s">
        <v>1141</v>
      </c>
      <c r="G125" s="1071" t="s">
        <v>1126</v>
      </c>
      <c r="H125" s="1044" t="s">
        <v>1402</v>
      </c>
      <c r="I125" s="1104"/>
      <c r="J125" s="1045"/>
      <c r="K125" s="1044"/>
    </row>
    <row r="126" spans="1:11" x14ac:dyDescent="0.25">
      <c r="A126" s="969" t="s">
        <v>1257</v>
      </c>
      <c r="B126" s="1044" t="s">
        <v>1168</v>
      </c>
      <c r="C126" s="1044" t="s">
        <v>1292</v>
      </c>
      <c r="D126" s="1044"/>
      <c r="E126" s="1044"/>
      <c r="F126" s="1044" t="s">
        <v>1141</v>
      </c>
      <c r="G126" s="1071" t="s">
        <v>1126</v>
      </c>
      <c r="H126" s="1044" t="s">
        <v>1404</v>
      </c>
      <c r="I126" s="1104"/>
      <c r="J126" s="1045"/>
      <c r="K126" s="1044"/>
    </row>
    <row r="127" spans="1:11" x14ac:dyDescent="0.25">
      <c r="A127" s="969"/>
      <c r="B127" s="1044" t="s">
        <v>1168</v>
      </c>
      <c r="C127" s="1109" t="s">
        <v>1569</v>
      </c>
      <c r="D127" s="1124" t="s">
        <v>59</v>
      </c>
      <c r="E127" s="1044"/>
      <c r="F127" s="1044" t="s">
        <v>1141</v>
      </c>
      <c r="G127" s="1071" t="s">
        <v>1126</v>
      </c>
      <c r="H127" s="1109" t="s">
        <v>1565</v>
      </c>
      <c r="I127" s="1104"/>
      <c r="J127" s="1045"/>
      <c r="K127" s="1044"/>
    </row>
    <row r="128" spans="1:11" x14ac:dyDescent="0.25">
      <c r="A128" s="969"/>
      <c r="B128" s="1044" t="s">
        <v>1168</v>
      </c>
      <c r="C128" s="1109" t="s">
        <v>1569</v>
      </c>
      <c r="D128" s="1124" t="s">
        <v>1568</v>
      </c>
      <c r="E128" s="1044"/>
      <c r="F128" s="1044" t="s">
        <v>1141</v>
      </c>
      <c r="G128" s="1071" t="s">
        <v>1126</v>
      </c>
      <c r="H128" s="1109" t="s">
        <v>1567</v>
      </c>
      <c r="I128" s="1104"/>
      <c r="J128" s="1045"/>
      <c r="K128" s="1044"/>
    </row>
    <row r="129" spans="1:11" x14ac:dyDescent="0.25">
      <c r="A129" s="1055"/>
      <c r="B129" s="1044" t="s">
        <v>1170</v>
      </c>
      <c r="C129" s="1044" t="s">
        <v>1292</v>
      </c>
      <c r="D129" s="1044"/>
      <c r="E129" s="1044"/>
      <c r="F129" s="1044" t="s">
        <v>1141</v>
      </c>
      <c r="G129" s="1071" t="s">
        <v>1126</v>
      </c>
      <c r="H129" s="1044" t="s">
        <v>1403</v>
      </c>
      <c r="I129" s="1044"/>
      <c r="J129" s="1045"/>
      <c r="K129" s="1044"/>
    </row>
    <row r="130" spans="1:11" x14ac:dyDescent="0.25">
      <c r="A130" s="1066" t="s">
        <v>627</v>
      </c>
      <c r="B130" s="1044" t="s">
        <v>1159</v>
      </c>
      <c r="C130" s="1044"/>
      <c r="D130" s="1044"/>
      <c r="E130" s="1044"/>
      <c r="F130" s="1044" t="s">
        <v>1174</v>
      </c>
      <c r="G130" s="1071" t="s">
        <v>1126</v>
      </c>
      <c r="H130" s="1044" t="s">
        <v>1405</v>
      </c>
      <c r="I130" s="1044"/>
      <c r="J130" s="1045" t="s">
        <v>1219</v>
      </c>
      <c r="K130" s="1044"/>
    </row>
    <row r="131" spans="1:11" x14ac:dyDescent="0.25">
      <c r="A131" s="1056"/>
      <c r="B131" s="1044" t="s">
        <v>103</v>
      </c>
      <c r="C131" s="1044"/>
      <c r="D131" s="1044"/>
      <c r="E131" s="1044"/>
      <c r="F131" s="1044" t="s">
        <v>1174</v>
      </c>
      <c r="G131" s="1071" t="s">
        <v>1126</v>
      </c>
      <c r="H131" s="1044" t="s">
        <v>1406</v>
      </c>
      <c r="I131" s="1044"/>
      <c r="J131" s="1045"/>
      <c r="K131" s="1044"/>
    </row>
    <row r="132" spans="1:11" x14ac:dyDescent="0.25">
      <c r="A132" s="1056"/>
      <c r="B132" s="1044" t="s">
        <v>1171</v>
      </c>
      <c r="C132" s="1044"/>
      <c r="D132" s="1044"/>
      <c r="E132" s="1044"/>
      <c r="F132" s="1044" t="s">
        <v>1174</v>
      </c>
      <c r="G132" s="1071" t="s">
        <v>1126</v>
      </c>
      <c r="H132" s="1044" t="s">
        <v>1407</v>
      </c>
      <c r="I132" s="1044"/>
      <c r="J132" s="1045">
        <v>10</v>
      </c>
      <c r="K132" s="1044"/>
    </row>
    <row r="133" spans="1:11" x14ac:dyDescent="0.25">
      <c r="A133" s="973" t="s">
        <v>1258</v>
      </c>
      <c r="B133" s="1044" t="s">
        <v>1159</v>
      </c>
      <c r="C133" s="1044"/>
      <c r="D133" s="1044"/>
      <c r="E133" s="1044"/>
      <c r="F133" s="1044" t="s">
        <v>1277</v>
      </c>
      <c r="G133" s="1071" t="s">
        <v>1126</v>
      </c>
      <c r="H133" s="1044" t="s">
        <v>1408</v>
      </c>
      <c r="I133" s="1044"/>
      <c r="J133" s="1045"/>
      <c r="K133" s="1044"/>
    </row>
    <row r="134" spans="1:11" x14ac:dyDescent="0.25">
      <c r="A134" s="1056"/>
      <c r="B134" s="1044" t="s">
        <v>103</v>
      </c>
      <c r="C134" s="1044"/>
      <c r="D134" s="1044"/>
      <c r="E134" s="1044"/>
      <c r="F134" s="1044" t="s">
        <v>1277</v>
      </c>
      <c r="G134" s="1071" t="s">
        <v>1126</v>
      </c>
      <c r="H134" s="1044" t="s">
        <v>1409</v>
      </c>
      <c r="I134" s="1044"/>
      <c r="J134" s="1045"/>
      <c r="K134" s="1044"/>
    </row>
    <row r="135" spans="1:11" x14ac:dyDescent="0.25">
      <c r="A135" s="1056"/>
      <c r="B135" s="1044" t="s">
        <v>1171</v>
      </c>
      <c r="C135" s="1044"/>
      <c r="D135" s="1044"/>
      <c r="E135" s="1044"/>
      <c r="F135" s="1044" t="s">
        <v>1277</v>
      </c>
      <c r="G135" s="1071" t="s">
        <v>1126</v>
      </c>
      <c r="H135" s="1044" t="s">
        <v>1410</v>
      </c>
      <c r="I135" s="1044"/>
      <c r="J135" s="1045"/>
      <c r="K135" s="1044"/>
    </row>
    <row r="136" spans="1:11" x14ac:dyDescent="0.25">
      <c r="A136" s="1067" t="s">
        <v>1135</v>
      </c>
      <c r="B136" s="1044" t="s">
        <v>141</v>
      </c>
      <c r="C136" s="1044" t="s">
        <v>53</v>
      </c>
      <c r="D136" s="1044" t="s">
        <v>1128</v>
      </c>
      <c r="E136" s="1044"/>
      <c r="F136" s="1044" t="s">
        <v>1127</v>
      </c>
      <c r="G136" s="1071" t="s">
        <v>1126</v>
      </c>
      <c r="H136" s="1068" t="s">
        <v>1415</v>
      </c>
      <c r="I136" s="1068"/>
      <c r="J136" s="1045"/>
      <c r="K136" s="1044"/>
    </row>
    <row r="137" spans="1:11" x14ac:dyDescent="0.25">
      <c r="A137" s="1057"/>
      <c r="B137" s="1044" t="s">
        <v>141</v>
      </c>
      <c r="C137" s="1044" t="s">
        <v>53</v>
      </c>
      <c r="D137" s="1044" t="s">
        <v>1167</v>
      </c>
      <c r="E137" s="1044"/>
      <c r="F137" s="1044" t="s">
        <v>1127</v>
      </c>
      <c r="G137" s="1196" t="s">
        <v>1126</v>
      </c>
      <c r="H137" s="1068" t="s">
        <v>1415</v>
      </c>
      <c r="I137" s="1068"/>
      <c r="J137" s="1045"/>
      <c r="K137" s="1044"/>
    </row>
    <row r="138" spans="1:11" x14ac:dyDescent="0.25">
      <c r="A138" s="1057"/>
      <c r="B138" s="1044" t="s">
        <v>141</v>
      </c>
      <c r="C138" s="1044" t="s">
        <v>53</v>
      </c>
      <c r="D138" s="1044" t="s">
        <v>1168</v>
      </c>
      <c r="E138" s="1044"/>
      <c r="F138" s="1044" t="s">
        <v>1127</v>
      </c>
      <c r="G138" s="1196" t="s">
        <v>1126</v>
      </c>
      <c r="H138" s="1068" t="s">
        <v>1415</v>
      </c>
      <c r="I138" s="1068"/>
      <c r="J138" s="1045"/>
      <c r="K138" s="1044"/>
    </row>
    <row r="139" spans="1:11" x14ac:dyDescent="0.25">
      <c r="A139" s="1057"/>
      <c r="B139" s="1044" t="s">
        <v>141</v>
      </c>
      <c r="C139" s="1044" t="s">
        <v>53</v>
      </c>
      <c r="D139" s="1044" t="s">
        <v>1170</v>
      </c>
      <c r="E139" s="1044"/>
      <c r="F139" s="1044" t="s">
        <v>1127</v>
      </c>
      <c r="G139" s="1196" t="s">
        <v>1126</v>
      </c>
      <c r="H139" s="1068" t="s">
        <v>1415</v>
      </c>
      <c r="I139" s="1068"/>
      <c r="J139" s="1045"/>
      <c r="K139" s="1044"/>
    </row>
    <row r="140" spans="1:11" x14ac:dyDescent="0.25">
      <c r="A140" s="1057"/>
      <c r="B140" s="1044" t="s">
        <v>141</v>
      </c>
      <c r="C140" s="1044" t="s">
        <v>53</v>
      </c>
      <c r="D140" s="1044" t="s">
        <v>22</v>
      </c>
      <c r="E140" s="1044"/>
      <c r="F140" s="1044" t="s">
        <v>1127</v>
      </c>
      <c r="G140" s="1071" t="s">
        <v>1126</v>
      </c>
      <c r="H140" s="1068" t="s">
        <v>1416</v>
      </c>
      <c r="I140" s="1068"/>
      <c r="J140" s="1045"/>
      <c r="K140" s="1044"/>
    </row>
    <row r="141" spans="1:11" x14ac:dyDescent="0.25">
      <c r="A141" s="1057"/>
      <c r="B141" s="1044" t="s">
        <v>141</v>
      </c>
      <c r="C141" s="1044" t="s">
        <v>1172</v>
      </c>
      <c r="D141" s="1044" t="s">
        <v>1173</v>
      </c>
      <c r="E141" s="1044"/>
      <c r="F141" s="1044" t="s">
        <v>1127</v>
      </c>
      <c r="G141" s="1071" t="s">
        <v>1126</v>
      </c>
      <c r="H141" s="1068" t="s">
        <v>1416</v>
      </c>
      <c r="I141" s="1068"/>
      <c r="J141" s="1045"/>
      <c r="K141" s="1044"/>
    </row>
    <row r="142" spans="1:11" x14ac:dyDescent="0.25">
      <c r="A142" s="1057"/>
      <c r="B142" s="1044" t="s">
        <v>5</v>
      </c>
      <c r="C142" s="1044" t="s">
        <v>53</v>
      </c>
      <c r="D142" s="1044" t="s">
        <v>22</v>
      </c>
      <c r="E142" s="1044"/>
      <c r="F142" s="1044" t="s">
        <v>1127</v>
      </c>
      <c r="G142" s="1071" t="s">
        <v>1126</v>
      </c>
      <c r="H142" s="1044" t="s">
        <v>1411</v>
      </c>
      <c r="I142" s="1044"/>
      <c r="J142" s="1045"/>
      <c r="K142" s="1044"/>
    </row>
    <row r="1048574" spans="8:8" x14ac:dyDescent="0.25">
      <c r="H1048574" s="1044"/>
    </row>
  </sheetData>
  <sheetProtection algorithmName="SHA-512" hashValue="j8ThknDVv5ytpSuvWSp8SeUDgz2rNDkxW1xdDXImh4heyN/iL3Ps58xrnEZQB+MDED9er3EfAywll3dFKjdk1A==" saltValue="3J2h67PD+4wN7yLeyuug1w==" spinCount="100000" sheet="1" scenarios="1" formatCells="0" formatColumns="0" formatRows="0" sort="0" autoFilter="0" pivotTables="0"/>
  <hyperlinks>
    <hyperlink ref="F18" location="'Chart - Station Type'!A4" display="link" xr:uid="{00000000-0004-0000-0100-000000000000}"/>
    <hyperlink ref="F19" location="'Chart - Area'!A4" display="link" xr:uid="{00000000-0004-0000-0100-000001000000}"/>
    <hyperlink ref="G6" location="'Incidents Timeseries'!A3" display="link" xr:uid="{00000000-0004-0000-0100-000002000000}"/>
    <hyperlink ref="G7" location="'Casualties Timeseries'!A3" display="link" xr:uid="{00000000-0004-0000-0100-000003000000}"/>
    <hyperlink ref="G8" location="'Chart Fires'!A3" display="link" xr:uid="{00000000-0004-0000-0100-000004000000}"/>
    <hyperlink ref="G9" location="'Chart Fire False Alarms'!A3" display="link" xr:uid="{00000000-0004-0000-0100-000005000000}"/>
    <hyperlink ref="G10" location="'Chart Non-fire'!A3" display="link" xr:uid="{00000000-0004-0000-0100-000006000000}"/>
    <hyperlink ref="G11" location="'Chart Share Incidents'!A3" display="link" xr:uid="{00000000-0004-0000-0100-000007000000}"/>
    <hyperlink ref="G12" location="'Chart Share Fatal'!A3" display="link" xr:uid="{00000000-0004-0000-0100-000008000000}"/>
    <hyperlink ref="G13" location="'Chart Share Non-fatal'!A3" display="link" xr:uid="{00000000-0004-0000-0100-000009000000}"/>
    <hyperlink ref="G14" location="'Chart Fatal Fire Casualties'!A3" display="link" xr:uid="{00000000-0004-0000-0100-00000A000000}"/>
    <hyperlink ref="G18" location="Fires!A3" display="link" xr:uid="{00000000-0004-0000-0100-00000B000000}"/>
    <hyperlink ref="G19" location="'Fires LA'!A3" display="link" xr:uid="{00000000-0004-0000-0100-00000C000000}"/>
    <hyperlink ref="G20" location="'Fires LA'!A47" display="link" xr:uid="{00000000-0004-0000-0100-00000D000000}"/>
    <hyperlink ref="G21" location="'Building Fires'!A3" display="link" xr:uid="{00000000-0004-0000-0100-00000E000000}"/>
    <hyperlink ref="G22" location="'Building Fires LA'!A3" display="link" xr:uid="{00000000-0004-0000-0100-00000F000000}"/>
    <hyperlink ref="G24" location="'Building Fires Spread'!A3" display="link" xr:uid="{00000000-0004-0000-0100-000010000000}"/>
    <hyperlink ref="G142" location="Dwellings!A3" display="link" xr:uid="{00000000-0004-0000-0100-000011000000}"/>
    <hyperlink ref="G141" location="PopulationOtherArea!A3" display="link" xr:uid="{00000000-0004-0000-0100-000012000000}"/>
    <hyperlink ref="G140" location="PopulationOtherArea!A3" display="link" xr:uid="{00000000-0004-0000-0100-000013000000}"/>
    <hyperlink ref="G139" location="PopulationScotland!A49" display="link" xr:uid="{00000000-0004-0000-0100-000014000000}"/>
    <hyperlink ref="G138" location="PopulationScotland!A37" display="link" xr:uid="{00000000-0004-0000-0100-000015000000}"/>
    <hyperlink ref="G137" location="PopulationScotland!A22" display="link" xr:uid="{00000000-0004-0000-0100-000016000000}"/>
    <hyperlink ref="G136" location="PopulationScotland!A3" display="link" xr:uid="{00000000-0004-0000-0100-000017000000}"/>
    <hyperlink ref="G135" location="'Chart Casualties GB'!A3" display="link" xr:uid="{00000000-0004-0000-0100-000018000000}"/>
    <hyperlink ref="G134" location="'Chart Fire Types GB'!A3" display="link" xr:uid="{00000000-0004-0000-0100-000019000000}"/>
    <hyperlink ref="G133" location="'Chart Incidents GB'!A3" display="link" xr:uid="{00000000-0004-0000-0100-00001A000000}"/>
    <hyperlink ref="G132" location="'GB Casualties'!A3" display="link" xr:uid="{00000000-0004-0000-0100-00001B000000}"/>
    <hyperlink ref="G131" location="'GB Fires'!A3" display="link" xr:uid="{00000000-0004-0000-0100-00001C000000}"/>
    <hyperlink ref="G130" location="'GB Incident'!A3" display="link" xr:uid="{00000000-0004-0000-0100-00001D000000}"/>
    <hyperlink ref="G129" location="'Chart Rurality'!A3" display="link" xr:uid="{00000000-0004-0000-0100-00001E000000}"/>
    <hyperlink ref="G126" location="'Chart Deprivation'!A3" display="link" xr:uid="{00000000-0004-0000-0100-00001F000000}"/>
    <hyperlink ref="G125" location="'Rurality Casualty Rate'!A3" display="link" xr:uid="{00000000-0004-0000-0100-000020000000}"/>
    <hyperlink ref="G124" location="'Rurality Casualty'!A3" display="link" xr:uid="{00000000-0004-0000-0100-000021000000}"/>
    <hyperlink ref="G123" location="'Rurality Incident Rate'!A3" display="link" xr:uid="{00000000-0004-0000-0100-000022000000}"/>
    <hyperlink ref="G122" location="'Rurality Incident'!A3" display="link" xr:uid="{00000000-0004-0000-0100-000023000000}"/>
    <hyperlink ref="G121" location="'Deprivation Casualty Rate'!A3" display="link" xr:uid="{00000000-0004-0000-0100-000024000000}"/>
    <hyperlink ref="G120" location="'Deprivation Casualty'!A3" display="link" xr:uid="{00000000-0004-0000-0100-000025000000}"/>
    <hyperlink ref="G119" location="'Deprivation Incident Rate'!A3" display="link" xr:uid="{00000000-0004-0000-0100-000026000000}"/>
    <hyperlink ref="G118" location="'Deprivation Incident'!A3" display="link" xr:uid="{00000000-0004-0000-0100-000027000000}"/>
    <hyperlink ref="G117" location="'Chart Non-fatal Age'!A3" display="link" xr:uid="{00000000-0004-0000-0100-000028000000}"/>
    <hyperlink ref="G116" location="'Chart Fatal Age'!A3" display="link" xr:uid="{00000000-0004-0000-0100-000029000000}"/>
    <hyperlink ref="G115" location="'Chart Casualty Treatment'!A3" display="link" xr:uid="{00000000-0004-0000-0100-00002A000000}"/>
    <hyperlink ref="G114" location="'Time of Call Casualty'!A3" display="link" xr:uid="{00000000-0004-0000-0100-00002B000000}"/>
    <hyperlink ref="G113" location="Rescues!A44" display="link" xr:uid="{00000000-0004-0000-0100-00002C000000}"/>
    <hyperlink ref="G112" location="Rescues!A24" display="link" xr:uid="{00000000-0004-0000-0100-00002D000000}"/>
    <hyperlink ref="G111" location="Rescues!A3" display="link" xr:uid="{00000000-0004-0000-0100-00002E000000}"/>
    <hyperlink ref="G110" location="'Treatment Age Rate'!A3" display="link" xr:uid="{00000000-0004-0000-0100-00002F000000}"/>
    <hyperlink ref="G109" location="'Treatment Age'!A3" display="link" xr:uid="{00000000-0004-0000-0100-000030000000}"/>
    <hyperlink ref="G108" location="'Type of Injury Age Rate'!A29" display="link" xr:uid="{00000000-0004-0000-0100-000031000000}"/>
    <hyperlink ref="G107" location="'Type of Injury Age Rate'!A3" display="link" xr:uid="{00000000-0004-0000-0100-000032000000}"/>
    <hyperlink ref="G106" location="'Type of Injury Age'!A24" display="link" xr:uid="{00000000-0004-0000-0100-000033000000}"/>
    <hyperlink ref="G105" location="'Type of Injury Age'!A3" display="link" xr:uid="{00000000-0004-0000-0100-000034000000}"/>
    <hyperlink ref="G104" location="'Casualty Age Rate'!A3" display="link" xr:uid="{00000000-0004-0000-0100-000035000000}"/>
    <hyperlink ref="G103" location="'Casualty Age'!A3" display="link" xr:uid="{00000000-0004-0000-0100-000036000000}"/>
    <hyperlink ref="G102" location="'Type of Injury Gender Rate'!A29" display="link" xr:uid="{00000000-0004-0000-0100-000037000000}"/>
    <hyperlink ref="G100" location="'Type of Injury Gender'!A27" display="link" xr:uid="{00000000-0004-0000-0100-000038000000}"/>
    <hyperlink ref="G101" location="'Type of Injury Gender Rate'!A3" display="link" xr:uid="{00000000-0004-0000-0100-000039000000}"/>
    <hyperlink ref="G99" location="'Type of Injury Gender'!A3" display="link" xr:uid="{00000000-0004-0000-0100-00003A000000}"/>
    <hyperlink ref="G98" location="'Treatment Gender Rate'!A3" display="link" xr:uid="{00000000-0004-0000-0100-00003B000000}"/>
    <hyperlink ref="G97" location="'Treatment Gender'!A3" display="link" xr:uid="{00000000-0004-0000-0100-00003C000000}"/>
    <hyperlink ref="G96" location="'Casualty Gender Rate'!A3" display="link" xr:uid="{00000000-0004-0000-0100-00003D000000}"/>
    <hyperlink ref="G95" location="'Casualty Gender'!A3" display="link" xr:uid="{00000000-0004-0000-0100-00003E000000}"/>
    <hyperlink ref="G94" location="Treatment!A45" display="link" xr:uid="{00000000-0004-0000-0100-00003F000000}"/>
    <hyperlink ref="G93" location="Treatment!A24" display="link" xr:uid="{00000000-0004-0000-0100-000040000000}"/>
    <hyperlink ref="G92" location="Treatment!A3" display="link" xr:uid="{00000000-0004-0000-0100-000041000000}"/>
    <hyperlink ref="G91" location="'ADF Casualty AlcoholDrugs'!A26" display="link" xr:uid="{00000000-0004-0000-0100-000042000000}"/>
    <hyperlink ref="G90" location="'ADF Casualty AlcoholDrugs'!A3" display="link" xr:uid="{00000000-0004-0000-0100-000043000000}"/>
    <hyperlink ref="G89" location="'ADF Casualty LA'!A3" display="link" xr:uid="{00000000-0004-0000-0100-000044000000}"/>
    <hyperlink ref="G88" location="'ADF Casualty'!A3" display="link" xr:uid="{00000000-0004-0000-0100-000045000000}"/>
    <hyperlink ref="G87" location="'Dwelling Non-fatal Rate'!A3" display="link" xr:uid="{00000000-0004-0000-0100-000046000000}"/>
    <hyperlink ref="G86" location="'Casualties Motive LA'!A49" display="link" xr:uid="{00000000-0004-0000-0100-000047000000}"/>
    <hyperlink ref="G85" location="'Casualties Motive LA'!A3" display="link" xr:uid="{00000000-0004-0000-0100-000048000000}"/>
    <hyperlink ref="G84" location="'Casualties Motive'!A3" display="link" xr:uid="{00000000-0004-0000-0100-000049000000}"/>
    <hyperlink ref="G81" location="'Casualties Fire LA'!A3" display="link" xr:uid="{00000000-0004-0000-0100-00004A000000}"/>
    <hyperlink ref="G80" location="'Casualties Fire'!A29" display="link" xr:uid="{00000000-0004-0000-0100-00004B000000}"/>
    <hyperlink ref="G79" location="'Casualties Fire'!A3" display="link" xr:uid="{00000000-0004-0000-0100-00004C000000}"/>
    <hyperlink ref="G78" location="'Chart Non-fire Non-fatal'!A3" display="link" xr:uid="{00000000-0004-0000-0100-00004D000000}"/>
    <hyperlink ref="G76" location="'Casualties Non-fire'!A3" display="link" xr:uid="{00000000-0004-0000-0100-00004E000000}"/>
    <hyperlink ref="G75" location="'Chart EEE Map'!A3" display="link" xr:uid="{00000000-0004-0000-0100-00004F000000}"/>
    <hyperlink ref="G74" location="'Chart RTC Map'!A3" display="link" xr:uid="{00000000-0004-0000-0100-000050000000}"/>
    <hyperlink ref="G73" location="'Chart Non-fire Map'!A3" display="link" xr:uid="{00000000-0004-0000-0100-000051000000}"/>
    <hyperlink ref="G72" location="'Chart Non-fire Type'!A3" display="link" xr:uid="{00000000-0004-0000-0100-000052000000}"/>
    <hyperlink ref="G71" location="'RTC Flooding'!A26" display="link" xr:uid="{00000000-0004-0000-0100-000053000000}"/>
    <hyperlink ref="G70" location="'RTC Flooding'!A3" display="link" xr:uid="{00000000-0004-0000-0100-000054000000}"/>
    <hyperlink ref="G69" location="'Non-fire LA Rate'!A3" display="link" xr:uid="{00000000-0004-0000-0100-000055000000}"/>
    <hyperlink ref="G68" location="'Non-fire LA'!A3" display="link" xr:uid="{00000000-0004-0000-0100-000056000000}"/>
    <hyperlink ref="G67" location="'Non-fire'!A3" display="link" xr:uid="{00000000-0004-0000-0100-000057000000}"/>
    <hyperlink ref="G66" location="'Chart False Alarm App Map'!A3" display="link" xr:uid="{00000000-0004-0000-0100-000058000000}"/>
    <hyperlink ref="G65" location="'Chart FFA Apparatus'!A3" display="link" xr:uid="{00000000-0004-0000-0100-000059000000}"/>
    <hyperlink ref="G62" location="'Chart FFA Type'!A3" display="link" xr:uid="{00000000-0004-0000-0100-00005A000000}"/>
    <hyperlink ref="G61" location="'Non-fire False Alarms LA'!A3" display="link" xr:uid="{00000000-0004-0000-0100-00005B000000}"/>
    <hyperlink ref="G60" location="'Non-fire False Alarms'!A3" display="link" xr:uid="{00000000-0004-0000-0100-00005C000000}"/>
    <hyperlink ref="G59" location="'Fire False Alarms Location'!A3" display="link" xr:uid="{00000000-0004-0000-0100-00005D000000}"/>
    <hyperlink ref="G58" location="'Fire False Alarms LA'!A47" display="link" xr:uid="{00000000-0004-0000-0100-00005E000000}"/>
    <hyperlink ref="G55" location="'Fire False Alarms LA'!A3" display="link" xr:uid="{00000000-0004-0000-0100-00005F000000}"/>
    <hyperlink ref="G54" location="'Fire False Alarms'!A3" display="link" xr:uid="{00000000-0004-0000-0100-000060000000}"/>
    <hyperlink ref="G53" location="'Chart ADF Map'!A3" display="link" xr:uid="{00000000-0004-0000-0100-000061000000}"/>
    <hyperlink ref="G52" location="'Chart Deliberate Fire Map'!A3" display="link" xr:uid="{00000000-0004-0000-0100-000062000000}"/>
    <hyperlink ref="G51" location="'Chart Secondary Fire Map'!A3" display="link" xr:uid="{00000000-0004-0000-0100-000063000000}"/>
    <hyperlink ref="G50" location="'Chart Primary Fire Map'!A3" display="link" xr:uid="{00000000-0004-0000-0100-000064000000}"/>
    <hyperlink ref="G49" location="'Chart Fire Map'!A3" display="link" xr:uid="{00000000-0004-0000-0100-000065000000}"/>
    <hyperlink ref="G48" location="'Chart Fire Motive'!A3" display="link" xr:uid="{00000000-0004-0000-0100-000066000000}"/>
    <hyperlink ref="G47" location="'Chart Secondary Fire'!A3" display="link" xr:uid="{00000000-0004-0000-0100-000067000000}"/>
    <hyperlink ref="G46" location="'Chart Primary Fire'!A3" display="link" xr:uid="{00000000-0004-0000-0100-000068000000}"/>
    <hyperlink ref="G45" location="'Time of Call'!A3" display="link" xr:uid="{00000000-0004-0000-0100-000069000000}"/>
    <hyperlink ref="G44" location="'Appliances LA'!A3" display="link" xr:uid="{00000000-0004-0000-0100-00006A000000}"/>
    <hyperlink ref="G43" location="Appliances!A3" display="link" xr:uid="{00000000-0004-0000-0100-00006B000000}"/>
    <hyperlink ref="G42" location="'Motive Secondary LA Rate'!A3" display="link" xr:uid="{00000000-0004-0000-0100-00006C000000}"/>
    <hyperlink ref="G41" location="'Motive Secondary LA'!A3" display="link" xr:uid="{00000000-0004-0000-0100-00006D000000}"/>
    <hyperlink ref="G40" location="'Motive Secondary'!A3" display="link" xr:uid="{00000000-0004-0000-0100-00006E000000}"/>
    <hyperlink ref="G39" location="'Motive Primary LA Rate'!A3" display="link" xr:uid="{00000000-0004-0000-0100-00006F000000}"/>
    <hyperlink ref="G37" location="'Motive LA'!A3" display="link" xr:uid="{00000000-0004-0000-0100-000070000000}"/>
    <hyperlink ref="G36" location="Motive!A3" display="link" xr:uid="{00000000-0004-0000-0100-000071000000}"/>
    <hyperlink ref="G35" location="'Outdoor Fires Sec LA'!A3" display="link" xr:uid="{00000000-0004-0000-0100-000072000000}"/>
    <hyperlink ref="G34" location="'Outdoor Fires Prim LA'!A3" display="link" xr:uid="{00000000-0004-0000-0100-000073000000}"/>
    <hyperlink ref="G33" location="'Outdoor Fires'!A3" display="link" xr:uid="{00000000-0004-0000-0100-000074000000}"/>
    <hyperlink ref="G32" location="'ADF AlcoholDrugs LA'!A3" display="link" xr:uid="{00000000-0004-0000-0100-000075000000}"/>
    <hyperlink ref="G31" location="'ADF AlcoholDrugs'!A3" display="link" xr:uid="{00000000-0004-0000-0100-000076000000}"/>
    <hyperlink ref="G30" location="'ADF Source'!A3" display="link" xr:uid="{00000000-0004-0000-0100-000077000000}"/>
    <hyperlink ref="G29" location="'Alarms Non-op Reason'!A3" display="link" xr:uid="{00000000-0004-0000-0100-000078000000}"/>
    <hyperlink ref="G28" location="'Smoke Alarms LA'!A3" display="link" xr:uid="{00000000-0004-0000-0100-000079000000}"/>
    <hyperlink ref="G27" location="'Smoke Alarms'!A3" display="link" xr:uid="{00000000-0004-0000-0100-00007A000000}"/>
    <hyperlink ref="G38" location="'Dwelling Fires Motive LA'!A3" display="link" xr:uid="{00000000-0004-0000-0100-00007B000000}"/>
    <hyperlink ref="G26" location="'Dwelling Fires Motive LA'!A3" display="link" xr:uid="{00000000-0004-0000-0100-00007C000000}"/>
    <hyperlink ref="G25" location="'Building Fires Area'!A1" display="link" xr:uid="{00000000-0004-0000-0100-00007D000000}"/>
    <hyperlink ref="G23" location="Multistorey!A3" display="link" xr:uid="{00000000-0004-0000-0100-00007E000000}"/>
    <hyperlink ref="G82" location="'Casualties Building'!A3" display="link" xr:uid="{00000000-0004-0000-0100-00007F000000}"/>
    <hyperlink ref="G83" location="'Casualties Multistorey'!A3" display="link" xr:uid="{00000000-0004-0000-0100-000080000000}"/>
    <hyperlink ref="G16" location="'Chart Non-fatal Fire Casualties'!A3" display="link" xr:uid="{00000000-0004-0000-0100-000081000000}"/>
    <hyperlink ref="G17" location="'Chart Non-fire Casualties'!A3" display="link" xr:uid="{00000000-0004-0000-0100-000082000000}"/>
    <hyperlink ref="G77" location="'Chart Non-fire Fatal'!A3" display="link" xr:uid="{00000000-0004-0000-0100-000083000000}"/>
    <hyperlink ref="G128" location="'Chart Hospitalised Profile'!A3" display="link" xr:uid="{00000000-0004-0000-0100-000084000000}"/>
    <hyperlink ref="G127" location="'Chart Fatality Profile'!A3" display="link" xr:uid="{00000000-0004-0000-0100-000085000000}"/>
    <hyperlink ref="G56" location="UFAS!A4" display="link" xr:uid="{00000000-0004-0000-0100-000086000000}"/>
    <hyperlink ref="G57" location="'UFAS LA'!A4" display="link" xr:uid="{00000000-0004-0000-0100-000087000000}"/>
    <hyperlink ref="G63" location="'Chart UFAS'!A3" display="link" xr:uid="{00000000-0004-0000-0100-000088000000}"/>
    <hyperlink ref="G64" location="'Chart UFAS Map'!A1" display="link" xr:uid="{00000000-0004-0000-0100-000089000000}"/>
    <hyperlink ref="G15" location="'Chart Fatal Fire Casualties'!A31" display="link" xr:uid="{00000000-0004-0000-0100-00008A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AFF0"/>
  </sheetPr>
  <dimension ref="A1:T125"/>
  <sheetViews>
    <sheetView showGridLines="0" zoomScaleNormal="100" workbookViewId="0">
      <pane ySplit="2" topLeftCell="A3" activePane="bottomLeft" state="frozen"/>
      <selection pane="bottomLeft"/>
    </sheetView>
  </sheetViews>
  <sheetFormatPr defaultColWidth="9.140625" defaultRowHeight="12.75" x14ac:dyDescent="0.2"/>
  <cols>
    <col min="1" max="1" width="18" customWidth="1"/>
    <col min="2" max="2" width="22.7109375" customWidth="1"/>
    <col min="3" max="3" width="11.85546875" customWidth="1"/>
    <col min="4" max="7" width="11.7109375" customWidth="1"/>
    <col min="8" max="8" width="12.28515625" customWidth="1"/>
    <col min="9" max="10" width="11.7109375" customWidth="1"/>
    <col min="11" max="11" width="14" customWidth="1"/>
    <col min="12" max="17" width="11.7109375" customWidth="1"/>
  </cols>
  <sheetData>
    <row r="1" spans="1:17" ht="17.25" customHeight="1" x14ac:dyDescent="0.2">
      <c r="A1" s="298" t="s">
        <v>1129</v>
      </c>
    </row>
    <row r="2" spans="1:17" ht="17.25" customHeight="1" x14ac:dyDescent="0.2">
      <c r="A2" s="106" t="s">
        <v>578</v>
      </c>
    </row>
    <row r="3" spans="1:17" ht="39" customHeight="1" x14ac:dyDescent="0.2">
      <c r="A3" s="120" t="s">
        <v>1030</v>
      </c>
      <c r="C3" s="120"/>
      <c r="D3" s="237"/>
      <c r="E3" s="237"/>
      <c r="F3" s="237"/>
      <c r="G3" s="237"/>
      <c r="Q3" s="1"/>
    </row>
    <row r="4" spans="1:17" ht="15.75" x14ac:dyDescent="0.25">
      <c r="A4" s="351" t="s">
        <v>579</v>
      </c>
      <c r="B4" s="1109" t="s">
        <v>1479</v>
      </c>
      <c r="D4" s="237"/>
      <c r="E4" s="237"/>
      <c r="F4" s="237"/>
      <c r="G4" s="237"/>
      <c r="H4" s="237"/>
      <c r="I4" s="237"/>
      <c r="J4" s="237"/>
      <c r="K4" s="237"/>
      <c r="L4" s="237"/>
      <c r="M4" s="237"/>
      <c r="N4" s="237"/>
      <c r="O4" s="237"/>
      <c r="P4" s="237"/>
      <c r="Q4" s="1"/>
    </row>
    <row r="5" spans="1:17" ht="15.75" x14ac:dyDescent="0.25">
      <c r="A5" s="351" t="s">
        <v>580</v>
      </c>
      <c r="B5" s="351" t="s">
        <v>581</v>
      </c>
      <c r="C5" s="120"/>
      <c r="D5" s="237"/>
      <c r="E5" s="237"/>
      <c r="F5" s="237"/>
      <c r="G5" s="237"/>
      <c r="H5" s="237"/>
      <c r="I5" s="237"/>
      <c r="J5" s="237"/>
      <c r="K5" s="237"/>
      <c r="L5" s="237"/>
      <c r="M5" s="237"/>
      <c r="N5" s="237"/>
      <c r="O5" s="237"/>
      <c r="P5" s="237"/>
      <c r="Q5" s="1"/>
    </row>
    <row r="6" spans="1:17" ht="15.75" x14ac:dyDescent="0.25">
      <c r="A6" s="351" t="s">
        <v>582</v>
      </c>
      <c r="B6" s="351" t="s">
        <v>585</v>
      </c>
      <c r="C6" s="120"/>
      <c r="D6" s="237"/>
      <c r="E6" s="237"/>
      <c r="F6" s="237"/>
      <c r="G6" s="237"/>
      <c r="H6" s="237"/>
      <c r="I6" s="237"/>
      <c r="J6" s="237"/>
      <c r="K6" s="237"/>
      <c r="L6" s="237"/>
      <c r="M6" s="237"/>
      <c r="N6" s="237"/>
      <c r="O6" s="237"/>
      <c r="P6" s="237"/>
      <c r="Q6" s="1"/>
    </row>
    <row r="7" spans="1:17" ht="15" customHeight="1" x14ac:dyDescent="0.2">
      <c r="C7" s="120"/>
      <c r="D7" s="120"/>
      <c r="E7" s="120"/>
      <c r="F7" s="120"/>
      <c r="G7" s="120"/>
      <c r="H7" s="120"/>
      <c r="I7" s="120"/>
      <c r="J7" s="120"/>
      <c r="K7" s="120"/>
    </row>
    <row r="8" spans="1:17" ht="15" customHeight="1" x14ac:dyDescent="0.2"/>
    <row r="9" spans="1:17" ht="15" customHeight="1" x14ac:dyDescent="0.2">
      <c r="C9" s="1095" t="s">
        <v>1446</v>
      </c>
      <c r="D9" s="1094"/>
      <c r="E9" s="1094"/>
      <c r="F9" s="1094"/>
      <c r="G9" s="1094"/>
      <c r="H9" s="1094"/>
      <c r="I9" s="1094"/>
      <c r="J9" s="1094"/>
      <c r="K9" s="100"/>
    </row>
    <row r="10" spans="1:17" ht="52.5" customHeight="1" x14ac:dyDescent="0.2">
      <c r="A10" s="2" t="s">
        <v>586</v>
      </c>
      <c r="B10" s="2" t="s">
        <v>22</v>
      </c>
      <c r="C10" s="1090" t="s">
        <v>1461</v>
      </c>
      <c r="D10" s="1091" t="s">
        <v>1460</v>
      </c>
      <c r="E10" s="1091" t="s">
        <v>1447</v>
      </c>
      <c r="F10" s="1091" t="s">
        <v>1448</v>
      </c>
      <c r="G10" s="1091" t="s">
        <v>1449</v>
      </c>
      <c r="H10" s="1091" t="s">
        <v>1450</v>
      </c>
      <c r="I10" s="1091" t="s">
        <v>1462</v>
      </c>
      <c r="J10" s="1092" t="s">
        <v>72</v>
      </c>
      <c r="K10" s="1092" t="s">
        <v>1465</v>
      </c>
    </row>
    <row r="11" spans="1:17" ht="15" customHeight="1" x14ac:dyDescent="0.2">
      <c r="A11" s="414" t="s">
        <v>587</v>
      </c>
      <c r="B11" s="400" t="s">
        <v>23</v>
      </c>
      <c r="C11" s="1112">
        <f>T_08!C5</f>
        <v>59</v>
      </c>
      <c r="D11" s="483">
        <f>T_08!D5</f>
        <v>112</v>
      </c>
      <c r="E11" s="483">
        <f>T_08!E5</f>
        <v>39</v>
      </c>
      <c r="F11" s="483">
        <f>T_08!F5</f>
        <v>0</v>
      </c>
      <c r="G11" s="483">
        <f>T_08!G5</f>
        <v>0</v>
      </c>
      <c r="H11" s="484">
        <f>T_08!H5</f>
        <v>26</v>
      </c>
      <c r="I11" s="483">
        <f>T_08!I5</f>
        <v>0</v>
      </c>
      <c r="J11" s="483">
        <f>T_08!J5</f>
        <v>7</v>
      </c>
      <c r="K11" s="1113">
        <f>SUM(C11:J11)</f>
        <v>243</v>
      </c>
    </row>
    <row r="12" spans="1:17" ht="15" customHeight="1" x14ac:dyDescent="0.2">
      <c r="A12" s="1" t="s">
        <v>588</v>
      </c>
      <c r="B12" s="117" t="s">
        <v>24</v>
      </c>
      <c r="C12" s="1112">
        <f>T_08!C6</f>
        <v>96</v>
      </c>
      <c r="D12" s="111">
        <f>T_08!D6</f>
        <v>15</v>
      </c>
      <c r="E12" s="111">
        <f>T_08!E6</f>
        <v>11</v>
      </c>
      <c r="F12" s="111">
        <f>T_08!F6</f>
        <v>0</v>
      </c>
      <c r="G12" s="111">
        <f>T_08!G6</f>
        <v>0</v>
      </c>
      <c r="H12" s="485">
        <f>T_08!H6</f>
        <v>40</v>
      </c>
      <c r="I12" s="111">
        <f>T_08!I6</f>
        <v>2</v>
      </c>
      <c r="J12" s="111">
        <f>T_08!J6</f>
        <v>8</v>
      </c>
      <c r="K12" s="1114">
        <f t="shared" ref="K12:K42" si="0">SUM(C12:J12)</f>
        <v>172</v>
      </c>
    </row>
    <row r="13" spans="1:17" ht="15" customHeight="1" x14ac:dyDescent="0.2">
      <c r="A13" s="1" t="s">
        <v>589</v>
      </c>
      <c r="B13" s="117" t="s">
        <v>25</v>
      </c>
      <c r="C13" s="1112">
        <f>T_08!C7</f>
        <v>37</v>
      </c>
      <c r="D13" s="111">
        <f>T_08!D7</f>
        <v>14</v>
      </c>
      <c r="E13" s="111">
        <f>T_08!E7</f>
        <v>11</v>
      </c>
      <c r="F13" s="111">
        <f>T_08!F7</f>
        <v>0</v>
      </c>
      <c r="G13" s="111">
        <f>T_08!G7</f>
        <v>0</v>
      </c>
      <c r="H13" s="485">
        <f>T_08!H7</f>
        <v>12</v>
      </c>
      <c r="I13" s="485">
        <f>T_08!I7</f>
        <v>1</v>
      </c>
      <c r="J13" s="111">
        <f>T_08!J7</f>
        <v>5</v>
      </c>
      <c r="K13" s="1114">
        <f t="shared" si="0"/>
        <v>80</v>
      </c>
    </row>
    <row r="14" spans="1:17" ht="15" customHeight="1" x14ac:dyDescent="0.2">
      <c r="A14" s="1" t="s">
        <v>590</v>
      </c>
      <c r="B14" s="117" t="s">
        <v>26</v>
      </c>
      <c r="C14" s="1112">
        <f>T_08!C8</f>
        <v>41</v>
      </c>
      <c r="D14" s="111">
        <f>T_08!D8</f>
        <v>24</v>
      </c>
      <c r="E14" s="111">
        <f>T_08!E8</f>
        <v>8</v>
      </c>
      <c r="F14" s="111">
        <f>T_08!F8</f>
        <v>0</v>
      </c>
      <c r="G14" s="111">
        <f>T_08!G8</f>
        <v>0</v>
      </c>
      <c r="H14" s="485">
        <f>T_08!H8</f>
        <v>12</v>
      </c>
      <c r="I14" s="111">
        <f>T_08!I8</f>
        <v>1</v>
      </c>
      <c r="J14" s="111">
        <f>T_08!J8</f>
        <v>0</v>
      </c>
      <c r="K14" s="1114">
        <f t="shared" si="0"/>
        <v>86</v>
      </c>
    </row>
    <row r="15" spans="1:17" ht="15" customHeight="1" x14ac:dyDescent="0.2">
      <c r="A15" s="1" t="s">
        <v>591</v>
      </c>
      <c r="B15" s="117" t="s">
        <v>619</v>
      </c>
      <c r="C15" s="1112">
        <f>T_08!C9</f>
        <v>85</v>
      </c>
      <c r="D15" s="111">
        <f>T_08!D9</f>
        <v>182</v>
      </c>
      <c r="E15" s="111">
        <f>T_08!E9</f>
        <v>107</v>
      </c>
      <c r="F15" s="111">
        <f>T_08!F9</f>
        <v>2</v>
      </c>
      <c r="G15" s="111">
        <f>T_08!G9</f>
        <v>0</v>
      </c>
      <c r="H15" s="111">
        <f>T_08!H9</f>
        <v>38</v>
      </c>
      <c r="I15" s="485">
        <f>T_08!I9</f>
        <v>0</v>
      </c>
      <c r="J15" s="111">
        <f>T_08!J9</f>
        <v>8</v>
      </c>
      <c r="K15" s="1114">
        <f t="shared" si="0"/>
        <v>422</v>
      </c>
    </row>
    <row r="16" spans="1:17" ht="15" customHeight="1" x14ac:dyDescent="0.2">
      <c r="A16" s="1" t="s">
        <v>592</v>
      </c>
      <c r="B16" s="117" t="s">
        <v>27</v>
      </c>
      <c r="C16" s="1112">
        <f>T_08!C10</f>
        <v>40</v>
      </c>
      <c r="D16" s="111">
        <f>T_08!D10</f>
        <v>10</v>
      </c>
      <c r="E16" s="111">
        <f>T_08!E10</f>
        <v>3</v>
      </c>
      <c r="F16" s="111">
        <f>T_08!F10</f>
        <v>0</v>
      </c>
      <c r="G16" s="111">
        <f>T_08!G10</f>
        <v>0</v>
      </c>
      <c r="H16" s="111">
        <f>T_08!H10</f>
        <v>0</v>
      </c>
      <c r="I16" s="111">
        <f>T_08!I10</f>
        <v>0</v>
      </c>
      <c r="J16" s="111">
        <f>T_08!J10</f>
        <v>2</v>
      </c>
      <c r="K16" s="1114">
        <f t="shared" si="0"/>
        <v>55</v>
      </c>
    </row>
    <row r="17" spans="1:11" ht="15" customHeight="1" x14ac:dyDescent="0.2">
      <c r="A17" s="1" t="s">
        <v>593</v>
      </c>
      <c r="B17" s="117" t="s">
        <v>28</v>
      </c>
      <c r="C17" s="1112">
        <f>T_08!C11</f>
        <v>48</v>
      </c>
      <c r="D17" s="111">
        <f>T_08!D11</f>
        <v>16</v>
      </c>
      <c r="E17" s="111">
        <f>T_08!E11</f>
        <v>4</v>
      </c>
      <c r="F17" s="111">
        <f>T_08!F11</f>
        <v>1</v>
      </c>
      <c r="G17" s="111">
        <f>T_08!G11</f>
        <v>0</v>
      </c>
      <c r="H17" s="111">
        <f>T_08!H11</f>
        <v>1</v>
      </c>
      <c r="I17" s="111">
        <f>T_08!I11</f>
        <v>2</v>
      </c>
      <c r="J17" s="111">
        <f>T_08!J11</f>
        <v>2</v>
      </c>
      <c r="K17" s="1114">
        <f t="shared" si="0"/>
        <v>74</v>
      </c>
    </row>
    <row r="18" spans="1:11" ht="15" customHeight="1" x14ac:dyDescent="0.2">
      <c r="A18" s="1" t="s">
        <v>594</v>
      </c>
      <c r="B18" s="117" t="s">
        <v>29</v>
      </c>
      <c r="C18" s="1112">
        <f>T_08!C12</f>
        <v>57</v>
      </c>
      <c r="D18" s="111">
        <f>T_08!D12</f>
        <v>80</v>
      </c>
      <c r="E18" s="111">
        <f>T_08!E12</f>
        <v>51</v>
      </c>
      <c r="F18" s="111">
        <f>T_08!F12</f>
        <v>1</v>
      </c>
      <c r="G18" s="111">
        <f>T_08!G12</f>
        <v>0</v>
      </c>
      <c r="H18" s="111">
        <f>T_08!H12</f>
        <v>14</v>
      </c>
      <c r="I18" s="111">
        <f>T_08!I12</f>
        <v>0</v>
      </c>
      <c r="J18" s="111">
        <f>T_08!J12</f>
        <v>6</v>
      </c>
      <c r="K18" s="1114">
        <f t="shared" si="0"/>
        <v>209</v>
      </c>
    </row>
    <row r="19" spans="1:11" ht="15" customHeight="1" x14ac:dyDescent="0.2">
      <c r="A19" s="1" t="s">
        <v>595</v>
      </c>
      <c r="B19" s="117" t="s">
        <v>30</v>
      </c>
      <c r="C19" s="1112">
        <f>T_08!C13</f>
        <v>65</v>
      </c>
      <c r="D19" s="111">
        <f>T_08!D13</f>
        <v>33</v>
      </c>
      <c r="E19" s="111">
        <f>T_08!E13</f>
        <v>5</v>
      </c>
      <c r="F19" s="111">
        <f>T_08!F13</f>
        <v>0</v>
      </c>
      <c r="G19" s="111">
        <f>T_08!G13</f>
        <v>0</v>
      </c>
      <c r="H19" s="485">
        <f>T_08!H13</f>
        <v>2</v>
      </c>
      <c r="I19" s="111">
        <f>T_08!I13</f>
        <v>0</v>
      </c>
      <c r="J19" s="111">
        <f>T_08!J13</f>
        <v>4</v>
      </c>
      <c r="K19" s="1114">
        <f t="shared" si="0"/>
        <v>109</v>
      </c>
    </row>
    <row r="20" spans="1:11" ht="15" customHeight="1" x14ac:dyDescent="0.2">
      <c r="A20" s="1" t="s">
        <v>596</v>
      </c>
      <c r="B20" s="117" t="s">
        <v>31</v>
      </c>
      <c r="C20" s="1112">
        <f>T_08!C14</f>
        <v>52</v>
      </c>
      <c r="D20" s="111">
        <f>T_08!D14</f>
        <v>15</v>
      </c>
      <c r="E20" s="111">
        <f>T_08!E14</f>
        <v>2</v>
      </c>
      <c r="F20" s="111">
        <f>T_08!F14</f>
        <v>0</v>
      </c>
      <c r="G20" s="111">
        <f>T_08!G14</f>
        <v>0</v>
      </c>
      <c r="H20" s="111">
        <f>T_08!H14</f>
        <v>5</v>
      </c>
      <c r="I20" s="111">
        <f>T_08!I14</f>
        <v>0</v>
      </c>
      <c r="J20" s="111">
        <f>T_08!J14</f>
        <v>0</v>
      </c>
      <c r="K20" s="1114">
        <f t="shared" si="0"/>
        <v>74</v>
      </c>
    </row>
    <row r="21" spans="1:11" ht="15" customHeight="1" x14ac:dyDescent="0.2">
      <c r="A21" s="1" t="s">
        <v>597</v>
      </c>
      <c r="B21" s="117" t="s">
        <v>32</v>
      </c>
      <c r="C21" s="1112">
        <f>T_08!C15</f>
        <v>35</v>
      </c>
      <c r="D21" s="111">
        <f>T_08!D15</f>
        <v>8</v>
      </c>
      <c r="E21" s="111">
        <f>T_08!E15</f>
        <v>3</v>
      </c>
      <c r="F21" s="111">
        <f>T_08!F15</f>
        <v>0</v>
      </c>
      <c r="G21" s="111">
        <f>T_08!G15</f>
        <v>0</v>
      </c>
      <c r="H21" s="111">
        <f>T_08!H15</f>
        <v>2</v>
      </c>
      <c r="I21" s="111">
        <f>T_08!I15</f>
        <v>0</v>
      </c>
      <c r="J21" s="111">
        <f>T_08!J15</f>
        <v>1</v>
      </c>
      <c r="K21" s="1114">
        <f t="shared" si="0"/>
        <v>49</v>
      </c>
    </row>
    <row r="22" spans="1:11" ht="15" customHeight="1" x14ac:dyDescent="0.2">
      <c r="A22" s="1" t="s">
        <v>598</v>
      </c>
      <c r="B22" s="117" t="s">
        <v>33</v>
      </c>
      <c r="C22" s="1112">
        <f>T_08!C16</f>
        <v>31</v>
      </c>
      <c r="D22" s="111">
        <f>T_08!D16</f>
        <v>13</v>
      </c>
      <c r="E22" s="111">
        <f>T_08!E16</f>
        <v>4</v>
      </c>
      <c r="F22" s="111">
        <f>T_08!F16</f>
        <v>0</v>
      </c>
      <c r="G22" s="111">
        <f>T_08!G16</f>
        <v>0</v>
      </c>
      <c r="H22" s="111">
        <f>T_08!H16</f>
        <v>5</v>
      </c>
      <c r="I22" s="111">
        <f>T_08!I16</f>
        <v>0</v>
      </c>
      <c r="J22" s="111">
        <f>T_08!J16</f>
        <v>0</v>
      </c>
      <c r="K22" s="1114">
        <f t="shared" si="0"/>
        <v>53</v>
      </c>
    </row>
    <row r="23" spans="1:11" ht="15" customHeight="1" x14ac:dyDescent="0.2">
      <c r="A23" s="1" t="s">
        <v>599</v>
      </c>
      <c r="B23" s="117" t="s">
        <v>34</v>
      </c>
      <c r="C23" s="1112">
        <f>T_08!C17</f>
        <v>41</v>
      </c>
      <c r="D23" s="111">
        <f>T_08!D17</f>
        <v>49</v>
      </c>
      <c r="E23" s="111">
        <f>T_08!E17</f>
        <v>5</v>
      </c>
      <c r="F23" s="111">
        <f>T_08!F17</f>
        <v>0</v>
      </c>
      <c r="G23" s="111">
        <f>T_08!G17</f>
        <v>0</v>
      </c>
      <c r="H23" s="111">
        <f>T_08!H17</f>
        <v>11</v>
      </c>
      <c r="I23" s="111">
        <f>T_08!I17</f>
        <v>0</v>
      </c>
      <c r="J23" s="111">
        <f>T_08!J17</f>
        <v>3</v>
      </c>
      <c r="K23" s="1114">
        <f t="shared" si="0"/>
        <v>109</v>
      </c>
    </row>
    <row r="24" spans="1:11" ht="15" customHeight="1" x14ac:dyDescent="0.2">
      <c r="A24" s="1" t="s">
        <v>600</v>
      </c>
      <c r="B24" s="117" t="s">
        <v>35</v>
      </c>
      <c r="C24" s="1112">
        <f>T_08!C18</f>
        <v>146</v>
      </c>
      <c r="D24" s="111">
        <f>T_08!D18</f>
        <v>78</v>
      </c>
      <c r="E24" s="111">
        <f>T_08!E18</f>
        <v>11</v>
      </c>
      <c r="F24" s="111">
        <f>T_08!F18</f>
        <v>1</v>
      </c>
      <c r="G24" s="111">
        <f>T_08!G18</f>
        <v>1</v>
      </c>
      <c r="H24" s="111">
        <f>T_08!H18</f>
        <v>9</v>
      </c>
      <c r="I24" s="111">
        <f>T_08!I18</f>
        <v>0</v>
      </c>
      <c r="J24" s="111">
        <f>T_08!J18</f>
        <v>1</v>
      </c>
      <c r="K24" s="1114">
        <f t="shared" si="0"/>
        <v>247</v>
      </c>
    </row>
    <row r="25" spans="1:11" ht="15" customHeight="1" x14ac:dyDescent="0.2">
      <c r="A25" s="1" t="s">
        <v>601</v>
      </c>
      <c r="B25" s="117" t="s">
        <v>36</v>
      </c>
      <c r="C25" s="1112">
        <f>T_08!C19</f>
        <v>143</v>
      </c>
      <c r="D25" s="111">
        <f>T_08!D19</f>
        <v>382</v>
      </c>
      <c r="E25" s="111">
        <f>T_08!E19</f>
        <v>247</v>
      </c>
      <c r="F25" s="111">
        <f>T_08!F19</f>
        <v>2</v>
      </c>
      <c r="G25" s="111">
        <f>T_08!G19</f>
        <v>2</v>
      </c>
      <c r="H25" s="111">
        <f>T_08!H19</f>
        <v>17</v>
      </c>
      <c r="I25" s="111">
        <f>T_08!I19</f>
        <v>1</v>
      </c>
      <c r="J25" s="111">
        <f>T_08!J19</f>
        <v>1</v>
      </c>
      <c r="K25" s="1114">
        <f t="shared" si="0"/>
        <v>795</v>
      </c>
    </row>
    <row r="26" spans="1:11" ht="15" customHeight="1" x14ac:dyDescent="0.2">
      <c r="A26" s="1" t="s">
        <v>602</v>
      </c>
      <c r="B26" s="117" t="s">
        <v>37</v>
      </c>
      <c r="C26" s="1112">
        <f>T_08!C20</f>
        <v>96</v>
      </c>
      <c r="D26" s="111">
        <f>T_08!D20</f>
        <v>21</v>
      </c>
      <c r="E26" s="111">
        <f>T_08!E20</f>
        <v>0</v>
      </c>
      <c r="F26" s="111">
        <f>T_08!F20</f>
        <v>3</v>
      </c>
      <c r="G26" s="111">
        <f>T_08!G20</f>
        <v>1</v>
      </c>
      <c r="H26" s="111">
        <f>T_08!H20</f>
        <v>8</v>
      </c>
      <c r="I26" s="111">
        <f>T_08!I20</f>
        <v>0</v>
      </c>
      <c r="J26" s="111">
        <f>T_08!J20</f>
        <v>3</v>
      </c>
      <c r="K26" s="1114">
        <f t="shared" si="0"/>
        <v>132</v>
      </c>
    </row>
    <row r="27" spans="1:11" ht="15" customHeight="1" x14ac:dyDescent="0.2">
      <c r="A27" s="1" t="s">
        <v>603</v>
      </c>
      <c r="B27" s="117" t="s">
        <v>38</v>
      </c>
      <c r="C27" s="1112">
        <f>T_08!C21</f>
        <v>40</v>
      </c>
      <c r="D27" s="111">
        <f>T_08!D21</f>
        <v>33</v>
      </c>
      <c r="E27" s="111">
        <f>T_08!E21</f>
        <v>33</v>
      </c>
      <c r="F27" s="111">
        <f>T_08!F21</f>
        <v>0</v>
      </c>
      <c r="G27" s="111">
        <f>T_08!G21</f>
        <v>0</v>
      </c>
      <c r="H27" s="111">
        <f>T_08!H21</f>
        <v>4</v>
      </c>
      <c r="I27" s="111">
        <f>T_08!I21</f>
        <v>0</v>
      </c>
      <c r="J27" s="111">
        <f>T_08!J21</f>
        <v>0</v>
      </c>
      <c r="K27" s="1114">
        <f t="shared" si="0"/>
        <v>110</v>
      </c>
    </row>
    <row r="28" spans="1:11" ht="15" customHeight="1" x14ac:dyDescent="0.2">
      <c r="A28" s="1" t="s">
        <v>604</v>
      </c>
      <c r="B28" s="117" t="s">
        <v>39</v>
      </c>
      <c r="C28" s="1112">
        <f>T_08!C22</f>
        <v>37</v>
      </c>
      <c r="D28" s="111">
        <f>T_08!D22</f>
        <v>6</v>
      </c>
      <c r="E28" s="111">
        <f>T_08!E22</f>
        <v>5</v>
      </c>
      <c r="F28" s="111">
        <f>T_08!F22</f>
        <v>0</v>
      </c>
      <c r="G28" s="111">
        <f>T_08!G22</f>
        <v>0</v>
      </c>
      <c r="H28" s="111">
        <f>T_08!H22</f>
        <v>11</v>
      </c>
      <c r="I28" s="111">
        <f>T_08!I22</f>
        <v>0</v>
      </c>
      <c r="J28" s="111">
        <f>T_08!J22</f>
        <v>0</v>
      </c>
      <c r="K28" s="1114">
        <f t="shared" si="0"/>
        <v>59</v>
      </c>
    </row>
    <row r="29" spans="1:11" ht="15" customHeight="1" x14ac:dyDescent="0.2">
      <c r="A29" s="1" t="s">
        <v>605</v>
      </c>
      <c r="B29" s="117" t="s">
        <v>40</v>
      </c>
      <c r="C29" s="1112">
        <f>T_08!C23</f>
        <v>33</v>
      </c>
      <c r="D29" s="111">
        <f>T_08!D23</f>
        <v>9</v>
      </c>
      <c r="E29" s="111">
        <f>T_08!E23</f>
        <v>0</v>
      </c>
      <c r="F29" s="111">
        <f>T_08!F23</f>
        <v>1</v>
      </c>
      <c r="G29" s="111">
        <f>T_08!G23</f>
        <v>0</v>
      </c>
      <c r="H29" s="111">
        <f>T_08!H23</f>
        <v>8</v>
      </c>
      <c r="I29" s="111">
        <f>T_08!I23</f>
        <v>0</v>
      </c>
      <c r="J29" s="111">
        <f>T_08!J23</f>
        <v>0</v>
      </c>
      <c r="K29" s="1114">
        <f t="shared" si="0"/>
        <v>51</v>
      </c>
    </row>
    <row r="30" spans="1:11" ht="15" customHeight="1" x14ac:dyDescent="0.2">
      <c r="A30" s="1" t="s">
        <v>606</v>
      </c>
      <c r="B30" s="117" t="s">
        <v>295</v>
      </c>
      <c r="C30" s="1112">
        <f>T_08!C24</f>
        <v>18</v>
      </c>
      <c r="D30" s="111">
        <f>T_08!D24</f>
        <v>2</v>
      </c>
      <c r="E30" s="111">
        <f>T_08!E24</f>
        <v>1</v>
      </c>
      <c r="F30" s="485">
        <f>T_08!F24</f>
        <v>0</v>
      </c>
      <c r="G30" s="485">
        <f>T_08!G24</f>
        <v>0</v>
      </c>
      <c r="H30" s="485">
        <f>T_08!H24</f>
        <v>0</v>
      </c>
      <c r="I30" s="485">
        <f>T_08!I24</f>
        <v>0</v>
      </c>
      <c r="J30" s="111">
        <f>T_08!J24</f>
        <v>1</v>
      </c>
      <c r="K30" s="1114">
        <f t="shared" si="0"/>
        <v>22</v>
      </c>
    </row>
    <row r="31" spans="1:11" ht="15" customHeight="1" x14ac:dyDescent="0.2">
      <c r="A31" s="1" t="s">
        <v>607</v>
      </c>
      <c r="B31" s="117" t="s">
        <v>41</v>
      </c>
      <c r="C31" s="1112">
        <f>T_08!C25</f>
        <v>83</v>
      </c>
      <c r="D31" s="111">
        <f>T_08!D25</f>
        <v>49</v>
      </c>
      <c r="E31" s="111">
        <f>T_08!E25</f>
        <v>8</v>
      </c>
      <c r="F31" s="111">
        <f>T_08!F25</f>
        <v>0</v>
      </c>
      <c r="G31" s="111">
        <f>T_08!G25</f>
        <v>0</v>
      </c>
      <c r="H31" s="111">
        <f>T_08!H25</f>
        <v>12</v>
      </c>
      <c r="I31" s="111">
        <f>T_08!I25</f>
        <v>1</v>
      </c>
      <c r="J31" s="111">
        <f>T_08!J25</f>
        <v>0</v>
      </c>
      <c r="K31" s="1114">
        <f t="shared" si="0"/>
        <v>153</v>
      </c>
    </row>
    <row r="32" spans="1:11" ht="15" customHeight="1" x14ac:dyDescent="0.2">
      <c r="A32" s="1" t="s">
        <v>608</v>
      </c>
      <c r="B32" s="117" t="s">
        <v>42</v>
      </c>
      <c r="C32" s="1112">
        <f>T_08!C26</f>
        <v>134</v>
      </c>
      <c r="D32" s="111">
        <f>T_08!D26</f>
        <v>150</v>
      </c>
      <c r="E32" s="111">
        <f>T_08!E26</f>
        <v>13</v>
      </c>
      <c r="F32" s="111">
        <f>T_08!F26</f>
        <v>1</v>
      </c>
      <c r="G32" s="111">
        <f>T_08!G26</f>
        <v>0</v>
      </c>
      <c r="H32" s="111">
        <f>T_08!H26</f>
        <v>20</v>
      </c>
      <c r="I32" s="111">
        <f>T_08!I26</f>
        <v>0</v>
      </c>
      <c r="J32" s="111">
        <f>T_08!J26</f>
        <v>0</v>
      </c>
      <c r="K32" s="1114">
        <f t="shared" si="0"/>
        <v>318</v>
      </c>
    </row>
    <row r="33" spans="1:17" ht="15" customHeight="1" x14ac:dyDescent="0.2">
      <c r="A33" s="1" t="s">
        <v>609</v>
      </c>
      <c r="B33" s="117" t="s">
        <v>43</v>
      </c>
      <c r="C33" s="1112">
        <f>T_08!C27</f>
        <v>3</v>
      </c>
      <c r="D33" s="111">
        <f>T_08!D27</f>
        <v>0</v>
      </c>
      <c r="E33" s="111">
        <f>T_08!E27</f>
        <v>0</v>
      </c>
      <c r="F33" s="111">
        <f>T_08!F27</f>
        <v>0</v>
      </c>
      <c r="G33" s="111">
        <f>T_08!G27</f>
        <v>0</v>
      </c>
      <c r="H33" s="485">
        <f>T_08!H27</f>
        <v>0</v>
      </c>
      <c r="I33" s="485">
        <f>T_08!I27</f>
        <v>0</v>
      </c>
      <c r="J33" s="111">
        <f>T_08!J27</f>
        <v>1</v>
      </c>
      <c r="K33" s="1114">
        <f t="shared" si="0"/>
        <v>4</v>
      </c>
    </row>
    <row r="34" spans="1:17" ht="15" customHeight="1" x14ac:dyDescent="0.2">
      <c r="A34" s="1" t="s">
        <v>610</v>
      </c>
      <c r="B34" s="117" t="s">
        <v>44</v>
      </c>
      <c r="C34" s="1112">
        <f>T_08!C28</f>
        <v>43</v>
      </c>
      <c r="D34" s="111">
        <f>T_08!D28</f>
        <v>21</v>
      </c>
      <c r="E34" s="111">
        <f>T_08!E28</f>
        <v>14</v>
      </c>
      <c r="F34" s="111">
        <f>T_08!F28</f>
        <v>0</v>
      </c>
      <c r="G34" s="111">
        <f>T_08!G28</f>
        <v>0</v>
      </c>
      <c r="H34" s="111">
        <f>T_08!H28</f>
        <v>19</v>
      </c>
      <c r="I34" s="111">
        <f>T_08!I28</f>
        <v>0</v>
      </c>
      <c r="J34" s="111">
        <f>T_08!J28</f>
        <v>7</v>
      </c>
      <c r="K34" s="1114">
        <f t="shared" si="0"/>
        <v>104</v>
      </c>
    </row>
    <row r="35" spans="1:17" ht="15" customHeight="1" x14ac:dyDescent="0.2">
      <c r="A35" s="1" t="s">
        <v>611</v>
      </c>
      <c r="B35" s="117" t="s">
        <v>45</v>
      </c>
      <c r="C35" s="1112">
        <f>T_08!C29</f>
        <v>60</v>
      </c>
      <c r="D35" s="111">
        <f>T_08!D29</f>
        <v>63</v>
      </c>
      <c r="E35" s="111">
        <f>T_08!E29</f>
        <v>46</v>
      </c>
      <c r="F35" s="111">
        <f>T_08!F29</f>
        <v>1</v>
      </c>
      <c r="G35" s="111">
        <f>T_08!G29</f>
        <v>0</v>
      </c>
      <c r="H35" s="111">
        <f>T_08!H29</f>
        <v>14</v>
      </c>
      <c r="I35" s="111">
        <f>T_08!I29</f>
        <v>0</v>
      </c>
      <c r="J35" s="111">
        <f>T_08!J29</f>
        <v>1</v>
      </c>
      <c r="K35" s="1114">
        <f t="shared" si="0"/>
        <v>185</v>
      </c>
    </row>
    <row r="36" spans="1:17" ht="15" customHeight="1" x14ac:dyDescent="0.2">
      <c r="A36" s="1" t="s">
        <v>612</v>
      </c>
      <c r="B36" s="117" t="s">
        <v>46</v>
      </c>
      <c r="C36" s="1112">
        <f>T_08!C30</f>
        <v>44</v>
      </c>
      <c r="D36" s="111">
        <f>T_08!D30</f>
        <v>29</v>
      </c>
      <c r="E36" s="111">
        <f>T_08!E30</f>
        <v>2</v>
      </c>
      <c r="F36" s="111">
        <f>T_08!F30</f>
        <v>0</v>
      </c>
      <c r="G36" s="111">
        <f>T_08!G30</f>
        <v>0</v>
      </c>
      <c r="H36" s="485">
        <f>T_08!H30</f>
        <v>8</v>
      </c>
      <c r="I36" s="111">
        <f>T_08!I30</f>
        <v>0</v>
      </c>
      <c r="J36" s="111">
        <f>T_08!J30</f>
        <v>2</v>
      </c>
      <c r="K36" s="1114">
        <f t="shared" si="0"/>
        <v>85</v>
      </c>
    </row>
    <row r="37" spans="1:17" ht="15" customHeight="1" x14ac:dyDescent="0.2">
      <c r="A37" s="1" t="s">
        <v>613</v>
      </c>
      <c r="B37" s="117" t="s">
        <v>47</v>
      </c>
      <c r="C37" s="1112">
        <f>T_08!C31</f>
        <v>18</v>
      </c>
      <c r="D37" s="111">
        <f>T_08!D31</f>
        <v>2</v>
      </c>
      <c r="E37" s="111">
        <f>T_08!E31</f>
        <v>1</v>
      </c>
      <c r="F37" s="111">
        <f>T_08!F31</f>
        <v>0</v>
      </c>
      <c r="G37" s="111">
        <f>T_08!G31</f>
        <v>0</v>
      </c>
      <c r="H37" s="485">
        <f>T_08!H31</f>
        <v>0</v>
      </c>
      <c r="I37" s="485">
        <f>T_08!I31</f>
        <v>2</v>
      </c>
      <c r="J37" s="111">
        <f>T_08!J31</f>
        <v>2</v>
      </c>
      <c r="K37" s="1114">
        <f t="shared" si="0"/>
        <v>25</v>
      </c>
    </row>
    <row r="38" spans="1:17" ht="15" customHeight="1" x14ac:dyDescent="0.2">
      <c r="A38" s="1" t="s">
        <v>614</v>
      </c>
      <c r="B38" s="117" t="s">
        <v>48</v>
      </c>
      <c r="C38" s="1112">
        <f>T_08!C32</f>
        <v>44</v>
      </c>
      <c r="D38" s="111">
        <f>T_08!D32</f>
        <v>39</v>
      </c>
      <c r="E38" s="111">
        <f>T_08!E32</f>
        <v>3</v>
      </c>
      <c r="F38" s="111">
        <f>T_08!F32</f>
        <v>0</v>
      </c>
      <c r="G38" s="111">
        <f>T_08!G32</f>
        <v>0</v>
      </c>
      <c r="H38" s="111">
        <f>T_08!H32</f>
        <v>4</v>
      </c>
      <c r="I38" s="111">
        <f>T_08!I32</f>
        <v>0</v>
      </c>
      <c r="J38" s="111">
        <f>T_08!J32</f>
        <v>0</v>
      </c>
      <c r="K38" s="1114">
        <f t="shared" si="0"/>
        <v>90</v>
      </c>
    </row>
    <row r="39" spans="1:17" ht="15" customHeight="1" x14ac:dyDescent="0.2">
      <c r="A39" s="1" t="s">
        <v>615</v>
      </c>
      <c r="B39" s="117" t="s">
        <v>49</v>
      </c>
      <c r="C39" s="1112">
        <f>T_08!C33</f>
        <v>106</v>
      </c>
      <c r="D39" s="111">
        <f>T_08!D33</f>
        <v>123</v>
      </c>
      <c r="E39" s="111">
        <f>T_08!E33</f>
        <v>4</v>
      </c>
      <c r="F39" s="111">
        <f>T_08!F33</f>
        <v>0</v>
      </c>
      <c r="G39" s="111">
        <f>T_08!G33</f>
        <v>0</v>
      </c>
      <c r="H39" s="111">
        <f>T_08!H33</f>
        <v>16</v>
      </c>
      <c r="I39" s="111">
        <f>T_08!I33</f>
        <v>2</v>
      </c>
      <c r="J39" s="111">
        <f>T_08!J33</f>
        <v>4</v>
      </c>
      <c r="K39" s="1114">
        <f t="shared" si="0"/>
        <v>255</v>
      </c>
    </row>
    <row r="40" spans="1:17" ht="15" customHeight="1" x14ac:dyDescent="0.2">
      <c r="A40" s="1" t="s">
        <v>616</v>
      </c>
      <c r="B40" s="117" t="s">
        <v>50</v>
      </c>
      <c r="C40" s="1112">
        <f>T_08!C34</f>
        <v>28</v>
      </c>
      <c r="D40" s="111">
        <f>T_08!D34</f>
        <v>25</v>
      </c>
      <c r="E40" s="111">
        <f>T_08!E34</f>
        <v>3</v>
      </c>
      <c r="F40" s="111">
        <f>T_08!F34</f>
        <v>0</v>
      </c>
      <c r="G40" s="111">
        <f>T_08!G34</f>
        <v>0</v>
      </c>
      <c r="H40" s="485">
        <f>T_08!H34</f>
        <v>1</v>
      </c>
      <c r="I40" s="111">
        <f>T_08!I34</f>
        <v>0</v>
      </c>
      <c r="J40" s="111">
        <f>T_08!J34</f>
        <v>2</v>
      </c>
      <c r="K40" s="1114">
        <f t="shared" si="0"/>
        <v>59</v>
      </c>
    </row>
    <row r="41" spans="1:17" ht="15" customHeight="1" x14ac:dyDescent="0.2">
      <c r="A41" s="1" t="s">
        <v>617</v>
      </c>
      <c r="B41" s="117" t="s">
        <v>51</v>
      </c>
      <c r="C41" s="1112">
        <f>T_08!C35</f>
        <v>33</v>
      </c>
      <c r="D41" s="111">
        <f>T_08!D35</f>
        <v>67</v>
      </c>
      <c r="E41" s="111">
        <f>T_08!E35</f>
        <v>14</v>
      </c>
      <c r="F41" s="111">
        <f>T_08!F35</f>
        <v>0</v>
      </c>
      <c r="G41" s="111">
        <f>T_08!G35</f>
        <v>0</v>
      </c>
      <c r="H41" s="111">
        <f>T_08!H35</f>
        <v>3</v>
      </c>
      <c r="I41" s="111">
        <f>T_08!I35</f>
        <v>0</v>
      </c>
      <c r="J41" s="111">
        <f>T_08!J35</f>
        <v>0</v>
      </c>
      <c r="K41" s="1114">
        <f t="shared" si="0"/>
        <v>117</v>
      </c>
    </row>
    <row r="42" spans="1:17" ht="15" customHeight="1" x14ac:dyDescent="0.2">
      <c r="A42" s="1" t="s">
        <v>618</v>
      </c>
      <c r="B42" s="117" t="s">
        <v>52</v>
      </c>
      <c r="C42" s="1112">
        <f>T_08!C36</f>
        <v>68</v>
      </c>
      <c r="D42" s="111">
        <f>T_08!D36</f>
        <v>31</v>
      </c>
      <c r="E42" s="111">
        <f>T_08!E36</f>
        <v>4</v>
      </c>
      <c r="F42" s="111">
        <f>T_08!F36</f>
        <v>1</v>
      </c>
      <c r="G42" s="111">
        <f>T_08!G36</f>
        <v>0</v>
      </c>
      <c r="H42" s="111">
        <f>T_08!H36</f>
        <v>9</v>
      </c>
      <c r="I42" s="111">
        <f>T_08!I36</f>
        <v>1</v>
      </c>
      <c r="J42" s="111">
        <f>T_08!J36</f>
        <v>1</v>
      </c>
      <c r="K42" s="1114">
        <f t="shared" si="0"/>
        <v>115</v>
      </c>
    </row>
    <row r="43" spans="1:17" ht="15" customHeight="1" x14ac:dyDescent="0.2">
      <c r="A43" s="1"/>
      <c r="B43" s="117" t="str">
        <f>IF(T_08!$A$37 = "Z_Not Known", "Not Known","")</f>
        <v/>
      </c>
      <c r="C43" s="1115">
        <f>T_08!C37</f>
        <v>0</v>
      </c>
      <c r="D43" s="111">
        <f>T_08!D37</f>
        <v>0</v>
      </c>
      <c r="E43" s="111">
        <f>T_08!E37</f>
        <v>0</v>
      </c>
      <c r="F43" s="111">
        <f>T_08!F37</f>
        <v>0</v>
      </c>
      <c r="G43" s="111">
        <f>T_08!G37</f>
        <v>0</v>
      </c>
      <c r="H43" s="111">
        <f>T_08!H37</f>
        <v>0</v>
      </c>
      <c r="I43" s="111">
        <f>T_08!I37</f>
        <v>0</v>
      </c>
      <c r="J43" s="111">
        <f>T_08!J37</f>
        <v>0</v>
      </c>
      <c r="K43" s="1114">
        <f>SUM(C43:J43)</f>
        <v>0</v>
      </c>
    </row>
    <row r="44" spans="1:17" ht="15" customHeight="1" thickBot="1" x14ac:dyDescent="0.25">
      <c r="A44" s="359" t="s">
        <v>620</v>
      </c>
      <c r="B44" s="360" t="s">
        <v>143</v>
      </c>
      <c r="C44" s="865">
        <f t="shared" ref="C44:K44" si="1">SUM(C11:C42)</f>
        <v>1864</v>
      </c>
      <c r="D44" s="865">
        <f t="shared" si="1"/>
        <v>1701</v>
      </c>
      <c r="E44" s="865">
        <f t="shared" si="1"/>
        <v>662</v>
      </c>
      <c r="F44" s="865">
        <f t="shared" si="1"/>
        <v>14</v>
      </c>
      <c r="G44" s="865">
        <f t="shared" si="1"/>
        <v>4</v>
      </c>
      <c r="H44" s="865">
        <f t="shared" si="1"/>
        <v>331</v>
      </c>
      <c r="I44" s="865">
        <f t="shared" si="1"/>
        <v>13</v>
      </c>
      <c r="J44" s="865">
        <f t="shared" si="1"/>
        <v>72</v>
      </c>
      <c r="K44" s="865">
        <f t="shared" si="1"/>
        <v>4661</v>
      </c>
    </row>
    <row r="45" spans="1:17" ht="15" customHeight="1" x14ac:dyDescent="0.2">
      <c r="B45" s="1"/>
      <c r="C45" s="120"/>
      <c r="D45" s="120"/>
      <c r="E45" s="120"/>
      <c r="F45" s="120"/>
      <c r="G45" s="120"/>
      <c r="H45" s="120"/>
      <c r="I45" s="120"/>
      <c r="J45" s="120"/>
      <c r="K45" s="120"/>
    </row>
    <row r="46" spans="1:17" ht="15" customHeight="1" x14ac:dyDescent="0.2">
      <c r="B46" s="1"/>
      <c r="C46" s="120"/>
      <c r="D46" s="120"/>
      <c r="E46" s="120"/>
      <c r="F46" s="120"/>
      <c r="G46" s="120"/>
      <c r="H46" s="120"/>
      <c r="I46" s="120"/>
      <c r="J46" s="120"/>
      <c r="K46" s="120"/>
    </row>
    <row r="47" spans="1:17" ht="15" customHeight="1" x14ac:dyDescent="0.2">
      <c r="C47" s="1095" t="s">
        <v>1463</v>
      </c>
      <c r="D47" s="1094"/>
      <c r="E47" s="1094"/>
      <c r="F47" s="1094"/>
      <c r="G47" s="1094"/>
      <c r="H47" s="1094"/>
      <c r="I47" s="1094"/>
      <c r="J47" s="1094"/>
      <c r="K47" s="1097"/>
      <c r="L47" s="1097"/>
      <c r="M47" s="1097"/>
    </row>
    <row r="48" spans="1:17" ht="52.5" customHeight="1" x14ac:dyDescent="0.2">
      <c r="A48" s="2" t="s">
        <v>586</v>
      </c>
      <c r="B48" s="2" t="s">
        <v>22</v>
      </c>
      <c r="C48" s="1090" t="s">
        <v>1459</v>
      </c>
      <c r="D48" s="1091" t="s">
        <v>1451</v>
      </c>
      <c r="E48" s="1091" t="s">
        <v>1452</v>
      </c>
      <c r="F48" s="1091" t="s">
        <v>1458</v>
      </c>
      <c r="G48" s="1091" t="s">
        <v>1453</v>
      </c>
      <c r="H48" s="1091" t="s">
        <v>1454</v>
      </c>
      <c r="I48" s="1091" t="s">
        <v>1457</v>
      </c>
      <c r="J48" s="1091" t="s">
        <v>1455</v>
      </c>
      <c r="K48" s="1091" t="s">
        <v>1456</v>
      </c>
      <c r="L48" s="1091" t="s">
        <v>72</v>
      </c>
      <c r="M48" s="186" t="s">
        <v>1466</v>
      </c>
      <c r="N48" s="120"/>
      <c r="O48" s="120"/>
      <c r="P48" s="120"/>
      <c r="Q48" s="1"/>
    </row>
    <row r="49" spans="1:17" ht="15" customHeight="1" x14ac:dyDescent="0.2">
      <c r="A49" s="414" t="s">
        <v>587</v>
      </c>
      <c r="B49" s="400" t="s">
        <v>23</v>
      </c>
      <c r="C49" s="482">
        <f>T_08!K5</f>
        <v>0</v>
      </c>
      <c r="D49" s="483">
        <f>T_08!L5</f>
        <v>0</v>
      </c>
      <c r="E49" s="483">
        <f>T_08!M5</f>
        <v>0</v>
      </c>
      <c r="F49" s="483">
        <f>T_08!N5</f>
        <v>0</v>
      </c>
      <c r="G49" s="483">
        <f>T_08!O5</f>
        <v>6</v>
      </c>
      <c r="H49" s="484">
        <f>T_08!P5</f>
        <v>11</v>
      </c>
      <c r="I49" s="483">
        <f>T_08!Q5</f>
        <v>0</v>
      </c>
      <c r="J49" s="483">
        <f>T_08!R5</f>
        <v>5</v>
      </c>
      <c r="K49" s="483">
        <f>T_08!S5</f>
        <v>0</v>
      </c>
      <c r="L49" s="483">
        <f>T_08!T5</f>
        <v>0</v>
      </c>
      <c r="M49" s="1113">
        <f>SUM(C49:L49)</f>
        <v>22</v>
      </c>
      <c r="N49" s="120"/>
      <c r="O49" s="120"/>
      <c r="P49" s="120"/>
      <c r="Q49" s="1"/>
    </row>
    <row r="50" spans="1:17" ht="15" customHeight="1" x14ac:dyDescent="0.2">
      <c r="A50" s="1" t="s">
        <v>588</v>
      </c>
      <c r="B50" s="117" t="s">
        <v>24</v>
      </c>
      <c r="C50" s="110">
        <f>T_08!K6</f>
        <v>4</v>
      </c>
      <c r="D50" s="111">
        <f>T_08!L6</f>
        <v>0</v>
      </c>
      <c r="E50" s="111">
        <f>T_08!M6</f>
        <v>0</v>
      </c>
      <c r="F50" s="111">
        <f>T_08!N6</f>
        <v>0</v>
      </c>
      <c r="G50" s="111">
        <f>T_08!O6</f>
        <v>7</v>
      </c>
      <c r="H50" s="485">
        <f>T_08!P6</f>
        <v>0</v>
      </c>
      <c r="I50" s="111">
        <f>T_08!Q6</f>
        <v>0</v>
      </c>
      <c r="J50" s="111">
        <f>T_08!R6</f>
        <v>4</v>
      </c>
      <c r="K50" s="111">
        <f>T_08!S6</f>
        <v>1</v>
      </c>
      <c r="L50" s="111">
        <f>T_08!T6</f>
        <v>0</v>
      </c>
      <c r="M50" s="1114">
        <f t="shared" ref="M50:M81" si="2">SUM(C50:L50)</f>
        <v>16</v>
      </c>
      <c r="N50" s="120"/>
      <c r="O50" s="120"/>
      <c r="P50" s="120"/>
      <c r="Q50" s="1"/>
    </row>
    <row r="51" spans="1:17" ht="15" customHeight="1" x14ac:dyDescent="0.2">
      <c r="A51" s="1" t="s">
        <v>589</v>
      </c>
      <c r="B51" s="117" t="s">
        <v>25</v>
      </c>
      <c r="C51" s="110">
        <f>T_08!K7</f>
        <v>0</v>
      </c>
      <c r="D51" s="111">
        <f>T_08!L7</f>
        <v>0</v>
      </c>
      <c r="E51" s="111">
        <f>T_08!M7</f>
        <v>1</v>
      </c>
      <c r="F51" s="111">
        <f>T_08!N7</f>
        <v>0</v>
      </c>
      <c r="G51" s="111">
        <f>T_08!O7</f>
        <v>1</v>
      </c>
      <c r="H51" s="485">
        <f>T_08!P7</f>
        <v>0</v>
      </c>
      <c r="I51" s="485">
        <f>T_08!Q7</f>
        <v>0</v>
      </c>
      <c r="J51" s="111">
        <f>T_08!R7</f>
        <v>1</v>
      </c>
      <c r="K51" s="111">
        <f>T_08!S7</f>
        <v>0</v>
      </c>
      <c r="L51" s="111">
        <f>T_08!T7</f>
        <v>0</v>
      </c>
      <c r="M51" s="1114">
        <f t="shared" si="2"/>
        <v>3</v>
      </c>
      <c r="N51" s="120"/>
      <c r="O51" s="120"/>
      <c r="P51" s="120"/>
      <c r="Q51" s="1"/>
    </row>
    <row r="52" spans="1:17" ht="15" customHeight="1" x14ac:dyDescent="0.2">
      <c r="A52" s="1" t="s">
        <v>590</v>
      </c>
      <c r="B52" s="117" t="s">
        <v>26</v>
      </c>
      <c r="C52" s="110">
        <f>T_08!K8</f>
        <v>2</v>
      </c>
      <c r="D52" s="111">
        <f>T_08!L8</f>
        <v>0</v>
      </c>
      <c r="E52" s="111">
        <f>T_08!M8</f>
        <v>1</v>
      </c>
      <c r="F52" s="111">
        <f>T_08!N8</f>
        <v>3</v>
      </c>
      <c r="G52" s="111">
        <f>T_08!O8</f>
        <v>2</v>
      </c>
      <c r="H52" s="485">
        <f>T_08!P8</f>
        <v>1</v>
      </c>
      <c r="I52" s="111">
        <f>T_08!Q8</f>
        <v>1</v>
      </c>
      <c r="J52" s="111">
        <f>T_08!R8</f>
        <v>0</v>
      </c>
      <c r="K52" s="111">
        <f>T_08!S8</f>
        <v>0</v>
      </c>
      <c r="L52" s="111">
        <f>T_08!T8</f>
        <v>0</v>
      </c>
      <c r="M52" s="1114">
        <f t="shared" si="2"/>
        <v>10</v>
      </c>
      <c r="N52" s="120"/>
      <c r="O52" s="120"/>
      <c r="P52" s="120"/>
      <c r="Q52" s="1"/>
    </row>
    <row r="53" spans="1:17" ht="15" customHeight="1" x14ac:dyDescent="0.2">
      <c r="A53" s="1" t="s">
        <v>591</v>
      </c>
      <c r="B53" s="117" t="s">
        <v>619</v>
      </c>
      <c r="C53" s="110">
        <f>T_08!K9</f>
        <v>6</v>
      </c>
      <c r="D53" s="111">
        <f>T_08!L9</f>
        <v>12</v>
      </c>
      <c r="E53" s="111">
        <f>T_08!M9</f>
        <v>0</v>
      </c>
      <c r="F53" s="111">
        <f>T_08!N9</f>
        <v>0</v>
      </c>
      <c r="G53" s="111">
        <f>T_08!O9</f>
        <v>3</v>
      </c>
      <c r="H53" s="111">
        <f>T_08!P9</f>
        <v>16</v>
      </c>
      <c r="I53" s="485">
        <f>T_08!Q9</f>
        <v>2</v>
      </c>
      <c r="J53" s="111">
        <f>T_08!R9</f>
        <v>3</v>
      </c>
      <c r="K53" s="111">
        <f>T_08!S9</f>
        <v>1</v>
      </c>
      <c r="L53" s="111">
        <f>T_08!T9</f>
        <v>0</v>
      </c>
      <c r="M53" s="1114">
        <f t="shared" si="2"/>
        <v>43</v>
      </c>
      <c r="N53" s="120"/>
      <c r="O53" s="120"/>
      <c r="P53" s="120"/>
      <c r="Q53" s="1"/>
    </row>
    <row r="54" spans="1:17" ht="15" customHeight="1" x14ac:dyDescent="0.2">
      <c r="A54" s="1" t="s">
        <v>592</v>
      </c>
      <c r="B54" s="117" t="s">
        <v>27</v>
      </c>
      <c r="C54" s="110">
        <f>T_08!K10</f>
        <v>0</v>
      </c>
      <c r="D54" s="111">
        <f>T_08!L10</f>
        <v>0</v>
      </c>
      <c r="E54" s="111">
        <f>T_08!M10</f>
        <v>0</v>
      </c>
      <c r="F54" s="111">
        <f>T_08!N10</f>
        <v>0</v>
      </c>
      <c r="G54" s="111">
        <f>T_08!O10</f>
        <v>1</v>
      </c>
      <c r="H54" s="111">
        <f>T_08!P10</f>
        <v>0</v>
      </c>
      <c r="I54" s="111">
        <f>T_08!Q10</f>
        <v>0</v>
      </c>
      <c r="J54" s="111">
        <f>T_08!R10</f>
        <v>0</v>
      </c>
      <c r="K54" s="111">
        <f>T_08!S10</f>
        <v>0</v>
      </c>
      <c r="L54" s="111">
        <f>T_08!T10</f>
        <v>0</v>
      </c>
      <c r="M54" s="1114">
        <f t="shared" si="2"/>
        <v>1</v>
      </c>
      <c r="N54" s="120"/>
      <c r="O54" s="120"/>
      <c r="P54" s="120"/>
      <c r="Q54" s="1"/>
    </row>
    <row r="55" spans="1:17" ht="15" customHeight="1" x14ac:dyDescent="0.2">
      <c r="A55" s="1" t="s">
        <v>593</v>
      </c>
      <c r="B55" s="117" t="s">
        <v>28</v>
      </c>
      <c r="C55" s="110">
        <f>T_08!K11</f>
        <v>2</v>
      </c>
      <c r="D55" s="111">
        <f>T_08!L11</f>
        <v>0</v>
      </c>
      <c r="E55" s="111">
        <f>T_08!M11</f>
        <v>1</v>
      </c>
      <c r="F55" s="111">
        <f>T_08!N11</f>
        <v>0</v>
      </c>
      <c r="G55" s="111">
        <f>T_08!O11</f>
        <v>3</v>
      </c>
      <c r="H55" s="111">
        <f>T_08!P11</f>
        <v>0</v>
      </c>
      <c r="I55" s="111">
        <f>T_08!Q11</f>
        <v>0</v>
      </c>
      <c r="J55" s="111">
        <f>T_08!R11</f>
        <v>0</v>
      </c>
      <c r="K55" s="111">
        <f>T_08!S11</f>
        <v>0</v>
      </c>
      <c r="L55" s="111">
        <f>T_08!T11</f>
        <v>0</v>
      </c>
      <c r="M55" s="1114">
        <f t="shared" si="2"/>
        <v>6</v>
      </c>
      <c r="N55" s="120"/>
      <c r="O55" s="120"/>
      <c r="P55" s="120"/>
      <c r="Q55" s="1"/>
    </row>
    <row r="56" spans="1:17" ht="15" customHeight="1" x14ac:dyDescent="0.2">
      <c r="A56" s="1" t="s">
        <v>594</v>
      </c>
      <c r="B56" s="117" t="s">
        <v>29</v>
      </c>
      <c r="C56" s="110">
        <f>T_08!K12</f>
        <v>1</v>
      </c>
      <c r="D56" s="111">
        <f>T_08!L12</f>
        <v>1</v>
      </c>
      <c r="E56" s="111">
        <f>T_08!M12</f>
        <v>0</v>
      </c>
      <c r="F56" s="111">
        <f>T_08!N12</f>
        <v>0</v>
      </c>
      <c r="G56" s="111">
        <f>T_08!O12</f>
        <v>5</v>
      </c>
      <c r="H56" s="111">
        <f>T_08!P12</f>
        <v>3</v>
      </c>
      <c r="I56" s="111">
        <f>T_08!Q12</f>
        <v>1</v>
      </c>
      <c r="J56" s="111">
        <f>T_08!R12</f>
        <v>2</v>
      </c>
      <c r="K56" s="111">
        <f>T_08!S12</f>
        <v>1</v>
      </c>
      <c r="L56" s="111">
        <f>T_08!T12</f>
        <v>0</v>
      </c>
      <c r="M56" s="1114">
        <f t="shared" si="2"/>
        <v>14</v>
      </c>
      <c r="N56" s="120"/>
      <c r="O56" s="120"/>
      <c r="P56" s="120"/>
      <c r="Q56" s="1"/>
    </row>
    <row r="57" spans="1:17" ht="15" customHeight="1" x14ac:dyDescent="0.2">
      <c r="A57" s="1" t="s">
        <v>595</v>
      </c>
      <c r="B57" s="117" t="s">
        <v>30</v>
      </c>
      <c r="C57" s="110">
        <f>T_08!K13</f>
        <v>0</v>
      </c>
      <c r="D57" s="111">
        <f>T_08!L13</f>
        <v>0</v>
      </c>
      <c r="E57" s="111">
        <f>T_08!M13</f>
        <v>0</v>
      </c>
      <c r="F57" s="111">
        <f>T_08!N13</f>
        <v>1</v>
      </c>
      <c r="G57" s="111">
        <f>T_08!O13</f>
        <v>2</v>
      </c>
      <c r="H57" s="485">
        <f>T_08!P13</f>
        <v>0</v>
      </c>
      <c r="I57" s="111">
        <f>T_08!Q13</f>
        <v>0</v>
      </c>
      <c r="J57" s="111">
        <f>T_08!R13</f>
        <v>0</v>
      </c>
      <c r="K57" s="111">
        <f>T_08!S13</f>
        <v>0</v>
      </c>
      <c r="L57" s="111">
        <f>T_08!T13</f>
        <v>0</v>
      </c>
      <c r="M57" s="1114">
        <f t="shared" si="2"/>
        <v>3</v>
      </c>
      <c r="N57" s="120"/>
      <c r="O57" s="120"/>
      <c r="P57" s="120"/>
      <c r="Q57" s="1"/>
    </row>
    <row r="58" spans="1:17" ht="15" customHeight="1" x14ac:dyDescent="0.2">
      <c r="A58" s="1" t="s">
        <v>596</v>
      </c>
      <c r="B58" s="117" t="s">
        <v>31</v>
      </c>
      <c r="C58" s="110">
        <f>T_08!K14</f>
        <v>0</v>
      </c>
      <c r="D58" s="111">
        <f>T_08!L14</f>
        <v>0</v>
      </c>
      <c r="E58" s="111">
        <f>T_08!M14</f>
        <v>0</v>
      </c>
      <c r="F58" s="111">
        <f>T_08!N14</f>
        <v>0</v>
      </c>
      <c r="G58" s="111">
        <f>T_08!O14</f>
        <v>0</v>
      </c>
      <c r="H58" s="111">
        <f>T_08!P14</f>
        <v>0</v>
      </c>
      <c r="I58" s="111">
        <f>T_08!Q14</f>
        <v>0</v>
      </c>
      <c r="J58" s="111">
        <f>T_08!R14</f>
        <v>5</v>
      </c>
      <c r="K58" s="111">
        <f>T_08!S14</f>
        <v>0</v>
      </c>
      <c r="L58" s="111">
        <f>T_08!T14</f>
        <v>0</v>
      </c>
      <c r="M58" s="1114">
        <f t="shared" si="2"/>
        <v>5</v>
      </c>
      <c r="N58" s="120"/>
      <c r="O58" s="120"/>
      <c r="P58" s="120"/>
      <c r="Q58" s="1"/>
    </row>
    <row r="59" spans="1:17" ht="15" customHeight="1" x14ac:dyDescent="0.2">
      <c r="A59" s="1" t="s">
        <v>597</v>
      </c>
      <c r="B59" s="117" t="s">
        <v>32</v>
      </c>
      <c r="C59" s="110">
        <f>T_08!K15</f>
        <v>0</v>
      </c>
      <c r="D59" s="111">
        <f>T_08!L15</f>
        <v>0</v>
      </c>
      <c r="E59" s="111">
        <f>T_08!M15</f>
        <v>0</v>
      </c>
      <c r="F59" s="111">
        <f>T_08!N15</f>
        <v>0</v>
      </c>
      <c r="G59" s="111">
        <f>T_08!O15</f>
        <v>4</v>
      </c>
      <c r="H59" s="111">
        <f>T_08!P15</f>
        <v>2</v>
      </c>
      <c r="I59" s="111">
        <f>T_08!Q15</f>
        <v>0</v>
      </c>
      <c r="J59" s="111">
        <f>T_08!R15</f>
        <v>0</v>
      </c>
      <c r="K59" s="111">
        <f>T_08!S15</f>
        <v>1</v>
      </c>
      <c r="L59" s="111">
        <f>T_08!T15</f>
        <v>0</v>
      </c>
      <c r="M59" s="1114">
        <f t="shared" si="2"/>
        <v>7</v>
      </c>
      <c r="N59" s="120"/>
      <c r="O59" s="120"/>
      <c r="P59" s="120"/>
      <c r="Q59" s="1"/>
    </row>
    <row r="60" spans="1:17" ht="15" customHeight="1" x14ac:dyDescent="0.2">
      <c r="A60" s="1" t="s">
        <v>598</v>
      </c>
      <c r="B60" s="117" t="s">
        <v>33</v>
      </c>
      <c r="C60" s="110">
        <f>T_08!K16</f>
        <v>0</v>
      </c>
      <c r="D60" s="111">
        <f>T_08!L16</f>
        <v>0</v>
      </c>
      <c r="E60" s="111">
        <f>T_08!M16</f>
        <v>0</v>
      </c>
      <c r="F60" s="111">
        <f>T_08!N16</f>
        <v>0</v>
      </c>
      <c r="G60" s="111">
        <f>T_08!O16</f>
        <v>1</v>
      </c>
      <c r="H60" s="111">
        <f>T_08!P16</f>
        <v>0</v>
      </c>
      <c r="I60" s="111">
        <f>T_08!Q16</f>
        <v>0</v>
      </c>
      <c r="J60" s="111">
        <f>T_08!R16</f>
        <v>1</v>
      </c>
      <c r="K60" s="111">
        <f>T_08!S16</f>
        <v>0</v>
      </c>
      <c r="L60" s="111">
        <f>T_08!T16</f>
        <v>0</v>
      </c>
      <c r="M60" s="1114">
        <f t="shared" si="2"/>
        <v>2</v>
      </c>
      <c r="N60" s="120"/>
      <c r="O60" s="120"/>
      <c r="P60" s="120"/>
      <c r="Q60" s="1"/>
    </row>
    <row r="61" spans="1:17" ht="15" customHeight="1" x14ac:dyDescent="0.2">
      <c r="A61" s="1" t="s">
        <v>599</v>
      </c>
      <c r="B61" s="117" t="s">
        <v>34</v>
      </c>
      <c r="C61" s="110">
        <f>T_08!K17</f>
        <v>0</v>
      </c>
      <c r="D61" s="111">
        <f>T_08!L17</f>
        <v>0</v>
      </c>
      <c r="E61" s="111">
        <f>T_08!M17</f>
        <v>0</v>
      </c>
      <c r="F61" s="111">
        <f>T_08!N17</f>
        <v>0</v>
      </c>
      <c r="G61" s="111">
        <f>T_08!O17</f>
        <v>5</v>
      </c>
      <c r="H61" s="111">
        <f>T_08!P17</f>
        <v>0</v>
      </c>
      <c r="I61" s="111">
        <f>T_08!Q17</f>
        <v>0</v>
      </c>
      <c r="J61" s="111">
        <f>T_08!R17</f>
        <v>1</v>
      </c>
      <c r="K61" s="111">
        <f>T_08!S17</f>
        <v>0</v>
      </c>
      <c r="L61" s="111">
        <f>T_08!T17</f>
        <v>0</v>
      </c>
      <c r="M61" s="1114">
        <f t="shared" si="2"/>
        <v>6</v>
      </c>
      <c r="N61" s="120"/>
      <c r="O61" s="120"/>
      <c r="P61" s="120"/>
      <c r="Q61" s="1"/>
    </row>
    <row r="62" spans="1:17" ht="15" customHeight="1" x14ac:dyDescent="0.2">
      <c r="A62" s="1" t="s">
        <v>600</v>
      </c>
      <c r="B62" s="117" t="s">
        <v>35</v>
      </c>
      <c r="C62" s="110">
        <f>T_08!K18</f>
        <v>0</v>
      </c>
      <c r="D62" s="111">
        <f>T_08!L18</f>
        <v>0</v>
      </c>
      <c r="E62" s="111">
        <f>T_08!M18</f>
        <v>0</v>
      </c>
      <c r="F62" s="111">
        <f>T_08!N18</f>
        <v>1</v>
      </c>
      <c r="G62" s="111">
        <f>T_08!O18</f>
        <v>1</v>
      </c>
      <c r="H62" s="111">
        <f>T_08!P18</f>
        <v>2</v>
      </c>
      <c r="I62" s="111">
        <f>T_08!Q18</f>
        <v>0</v>
      </c>
      <c r="J62" s="111">
        <f>T_08!R18</f>
        <v>1</v>
      </c>
      <c r="K62" s="111">
        <f>T_08!S18</f>
        <v>0</v>
      </c>
      <c r="L62" s="111">
        <f>T_08!T18</f>
        <v>1</v>
      </c>
      <c r="M62" s="1114">
        <f t="shared" si="2"/>
        <v>6</v>
      </c>
      <c r="N62" s="120"/>
      <c r="O62" s="120"/>
      <c r="P62" s="120"/>
      <c r="Q62" s="1"/>
    </row>
    <row r="63" spans="1:17" ht="15" customHeight="1" x14ac:dyDescent="0.2">
      <c r="A63" s="1" t="s">
        <v>601</v>
      </c>
      <c r="B63" s="117" t="s">
        <v>36</v>
      </c>
      <c r="C63" s="110">
        <f>T_08!K19</f>
        <v>3</v>
      </c>
      <c r="D63" s="111">
        <f>T_08!L19</f>
        <v>10</v>
      </c>
      <c r="E63" s="111">
        <f>T_08!M19</f>
        <v>0</v>
      </c>
      <c r="F63" s="111">
        <f>T_08!N19</f>
        <v>0</v>
      </c>
      <c r="G63" s="111">
        <f>T_08!O19</f>
        <v>22</v>
      </c>
      <c r="H63" s="111">
        <f>T_08!P19</f>
        <v>7</v>
      </c>
      <c r="I63" s="111">
        <f>T_08!Q19</f>
        <v>5</v>
      </c>
      <c r="J63" s="111">
        <f>T_08!R19</f>
        <v>6</v>
      </c>
      <c r="K63" s="111">
        <f>T_08!S19</f>
        <v>2</v>
      </c>
      <c r="L63" s="111">
        <f>T_08!T19</f>
        <v>0</v>
      </c>
      <c r="M63" s="1114">
        <f t="shared" si="2"/>
        <v>55</v>
      </c>
      <c r="N63" s="120"/>
      <c r="O63" s="120"/>
      <c r="P63" s="120"/>
      <c r="Q63" s="1"/>
    </row>
    <row r="64" spans="1:17" ht="15" customHeight="1" x14ac:dyDescent="0.2">
      <c r="A64" s="1" t="s">
        <v>602</v>
      </c>
      <c r="B64" s="117" t="s">
        <v>37</v>
      </c>
      <c r="C64" s="110">
        <f>T_08!K20</f>
        <v>8</v>
      </c>
      <c r="D64" s="111">
        <f>T_08!L20</f>
        <v>0</v>
      </c>
      <c r="E64" s="111">
        <f>T_08!M20</f>
        <v>2</v>
      </c>
      <c r="F64" s="111">
        <f>T_08!N20</f>
        <v>0</v>
      </c>
      <c r="G64" s="111">
        <f>T_08!O20</f>
        <v>12</v>
      </c>
      <c r="H64" s="111">
        <f>T_08!P20</f>
        <v>0</v>
      </c>
      <c r="I64" s="111">
        <f>T_08!Q20</f>
        <v>1</v>
      </c>
      <c r="J64" s="111">
        <f>T_08!R20</f>
        <v>2</v>
      </c>
      <c r="K64" s="111">
        <f>T_08!S20</f>
        <v>2</v>
      </c>
      <c r="L64" s="111">
        <f>T_08!T20</f>
        <v>3</v>
      </c>
      <c r="M64" s="1114">
        <f t="shared" si="2"/>
        <v>30</v>
      </c>
      <c r="N64" s="120"/>
      <c r="O64" s="120"/>
      <c r="P64" s="120"/>
      <c r="Q64" s="1"/>
    </row>
    <row r="65" spans="1:17" ht="15" customHeight="1" x14ac:dyDescent="0.2">
      <c r="A65" s="1" t="s">
        <v>603</v>
      </c>
      <c r="B65" s="117" t="s">
        <v>38</v>
      </c>
      <c r="C65" s="110">
        <f>T_08!K21</f>
        <v>0</v>
      </c>
      <c r="D65" s="111">
        <f>T_08!L21</f>
        <v>0</v>
      </c>
      <c r="E65" s="111">
        <f>T_08!M21</f>
        <v>0</v>
      </c>
      <c r="F65" s="111">
        <f>T_08!N21</f>
        <v>0</v>
      </c>
      <c r="G65" s="111">
        <f>T_08!O21</f>
        <v>1</v>
      </c>
      <c r="H65" s="111">
        <f>T_08!P21</f>
        <v>0</v>
      </c>
      <c r="I65" s="111">
        <f>T_08!Q21</f>
        <v>0</v>
      </c>
      <c r="J65" s="111">
        <f>T_08!R21</f>
        <v>0</v>
      </c>
      <c r="K65" s="111">
        <f>T_08!S21</f>
        <v>0</v>
      </c>
      <c r="L65" s="111">
        <f>T_08!T21</f>
        <v>0</v>
      </c>
      <c r="M65" s="1114">
        <f t="shared" si="2"/>
        <v>1</v>
      </c>
      <c r="N65" s="120"/>
      <c r="O65" s="120"/>
      <c r="P65" s="120"/>
      <c r="Q65" s="1"/>
    </row>
    <row r="66" spans="1:17" ht="15" customHeight="1" x14ac:dyDescent="0.2">
      <c r="A66" s="1" t="s">
        <v>604</v>
      </c>
      <c r="B66" s="117" t="s">
        <v>39</v>
      </c>
      <c r="C66" s="110">
        <f>T_08!K22</f>
        <v>1</v>
      </c>
      <c r="D66" s="111">
        <f>T_08!L22</f>
        <v>1</v>
      </c>
      <c r="E66" s="111">
        <f>T_08!M22</f>
        <v>0</v>
      </c>
      <c r="F66" s="111">
        <f>T_08!N22</f>
        <v>0</v>
      </c>
      <c r="G66" s="111">
        <f>T_08!O22</f>
        <v>4</v>
      </c>
      <c r="H66" s="111">
        <f>T_08!P22</f>
        <v>0</v>
      </c>
      <c r="I66" s="111">
        <f>T_08!Q22</f>
        <v>0</v>
      </c>
      <c r="J66" s="111">
        <f>T_08!R22</f>
        <v>2</v>
      </c>
      <c r="K66" s="111">
        <f>T_08!S22</f>
        <v>4</v>
      </c>
      <c r="L66" s="111">
        <f>T_08!T22</f>
        <v>0</v>
      </c>
      <c r="M66" s="1114">
        <f t="shared" si="2"/>
        <v>12</v>
      </c>
      <c r="N66" s="120"/>
      <c r="O66" s="120"/>
      <c r="P66" s="120"/>
      <c r="Q66" s="1"/>
    </row>
    <row r="67" spans="1:17" ht="15" customHeight="1" x14ac:dyDescent="0.2">
      <c r="A67" s="1" t="s">
        <v>605</v>
      </c>
      <c r="B67" s="117" t="s">
        <v>40</v>
      </c>
      <c r="C67" s="110">
        <f>T_08!K23</f>
        <v>3</v>
      </c>
      <c r="D67" s="111">
        <f>T_08!L23</f>
        <v>0</v>
      </c>
      <c r="E67" s="111">
        <f>T_08!M23</f>
        <v>0</v>
      </c>
      <c r="F67" s="111">
        <f>T_08!N23</f>
        <v>0</v>
      </c>
      <c r="G67" s="111">
        <f>T_08!O23</f>
        <v>0</v>
      </c>
      <c r="H67" s="111">
        <f>T_08!P23</f>
        <v>0</v>
      </c>
      <c r="I67" s="111">
        <f>T_08!Q23</f>
        <v>0</v>
      </c>
      <c r="J67" s="111">
        <f>T_08!R23</f>
        <v>1</v>
      </c>
      <c r="K67" s="111">
        <f>T_08!S23</f>
        <v>0</v>
      </c>
      <c r="L67" s="111">
        <f>T_08!T23</f>
        <v>0</v>
      </c>
      <c r="M67" s="1114">
        <f t="shared" si="2"/>
        <v>4</v>
      </c>
      <c r="N67" s="120"/>
      <c r="O67" s="120"/>
      <c r="P67" s="120"/>
      <c r="Q67" s="1"/>
    </row>
    <row r="68" spans="1:17" ht="15" customHeight="1" x14ac:dyDescent="0.2">
      <c r="A68" s="1" t="s">
        <v>606</v>
      </c>
      <c r="B68" s="117" t="s">
        <v>295</v>
      </c>
      <c r="C68" s="110">
        <f>T_08!K24</f>
        <v>1</v>
      </c>
      <c r="D68" s="111">
        <f>T_08!L24</f>
        <v>0</v>
      </c>
      <c r="E68" s="111">
        <f>T_08!M24</f>
        <v>0</v>
      </c>
      <c r="F68" s="485">
        <f>T_08!N24</f>
        <v>0</v>
      </c>
      <c r="G68" s="485">
        <f>T_08!O24</f>
        <v>1</v>
      </c>
      <c r="H68" s="485">
        <f>T_08!P24</f>
        <v>0</v>
      </c>
      <c r="I68" s="485">
        <f>T_08!Q24</f>
        <v>0</v>
      </c>
      <c r="J68" s="111">
        <f>T_08!R24</f>
        <v>0</v>
      </c>
      <c r="K68" s="111">
        <f>T_08!S24</f>
        <v>0</v>
      </c>
      <c r="L68" s="111">
        <f>T_08!T24</f>
        <v>0</v>
      </c>
      <c r="M68" s="1114">
        <f t="shared" si="2"/>
        <v>2</v>
      </c>
      <c r="N68" s="120"/>
      <c r="O68" s="120"/>
      <c r="P68" s="120"/>
      <c r="Q68" s="1"/>
    </row>
    <row r="69" spans="1:17" ht="15" customHeight="1" x14ac:dyDescent="0.2">
      <c r="A69" s="1" t="s">
        <v>607</v>
      </c>
      <c r="B69" s="117" t="s">
        <v>41</v>
      </c>
      <c r="C69" s="110">
        <f>T_08!K25</f>
        <v>0</v>
      </c>
      <c r="D69" s="111">
        <f>T_08!L25</f>
        <v>0</v>
      </c>
      <c r="E69" s="111">
        <f>T_08!M25</f>
        <v>0</v>
      </c>
      <c r="F69" s="111">
        <f>T_08!N25</f>
        <v>1</v>
      </c>
      <c r="G69" s="111">
        <f>T_08!O25</f>
        <v>3</v>
      </c>
      <c r="H69" s="111">
        <f>T_08!P25</f>
        <v>0</v>
      </c>
      <c r="I69" s="111">
        <f>T_08!Q25</f>
        <v>0</v>
      </c>
      <c r="J69" s="111">
        <f>T_08!R25</f>
        <v>0</v>
      </c>
      <c r="K69" s="111">
        <f>T_08!S25</f>
        <v>0</v>
      </c>
      <c r="L69" s="111">
        <f>T_08!T25</f>
        <v>0</v>
      </c>
      <c r="M69" s="1114">
        <f t="shared" si="2"/>
        <v>4</v>
      </c>
      <c r="N69" s="120"/>
      <c r="O69" s="120"/>
      <c r="P69" s="120"/>
      <c r="Q69" s="1"/>
    </row>
    <row r="70" spans="1:17" ht="15" customHeight="1" x14ac:dyDescent="0.2">
      <c r="A70" s="1" t="s">
        <v>608</v>
      </c>
      <c r="B70" s="117" t="s">
        <v>42</v>
      </c>
      <c r="C70" s="110">
        <f>T_08!K26</f>
        <v>2</v>
      </c>
      <c r="D70" s="111">
        <f>T_08!L26</f>
        <v>4</v>
      </c>
      <c r="E70" s="111">
        <f>T_08!M26</f>
        <v>0</v>
      </c>
      <c r="F70" s="111">
        <f>T_08!N26</f>
        <v>0</v>
      </c>
      <c r="G70" s="111">
        <f>T_08!O26</f>
        <v>3</v>
      </c>
      <c r="H70" s="111">
        <f>T_08!P26</f>
        <v>0</v>
      </c>
      <c r="I70" s="111">
        <f>T_08!Q26</f>
        <v>0</v>
      </c>
      <c r="J70" s="111">
        <f>T_08!R26</f>
        <v>5</v>
      </c>
      <c r="K70" s="111">
        <f>T_08!S26</f>
        <v>1</v>
      </c>
      <c r="L70" s="111">
        <f>T_08!T26</f>
        <v>0</v>
      </c>
      <c r="M70" s="1114">
        <f t="shared" si="2"/>
        <v>15</v>
      </c>
      <c r="N70" s="120"/>
      <c r="O70" s="120"/>
      <c r="P70" s="120"/>
      <c r="Q70" s="1"/>
    </row>
    <row r="71" spans="1:17" ht="15" customHeight="1" x14ac:dyDescent="0.2">
      <c r="A71" s="1" t="s">
        <v>609</v>
      </c>
      <c r="B71" s="117" t="s">
        <v>43</v>
      </c>
      <c r="C71" s="110">
        <f>T_08!K27</f>
        <v>0</v>
      </c>
      <c r="D71" s="111">
        <f>T_08!L27</f>
        <v>1</v>
      </c>
      <c r="E71" s="111">
        <f>T_08!M27</f>
        <v>0</v>
      </c>
      <c r="F71" s="111">
        <f>T_08!N27</f>
        <v>0</v>
      </c>
      <c r="G71" s="111">
        <f>T_08!O27</f>
        <v>0</v>
      </c>
      <c r="H71" s="485">
        <f>T_08!P27</f>
        <v>0</v>
      </c>
      <c r="I71" s="485">
        <f>T_08!Q27</f>
        <v>0</v>
      </c>
      <c r="J71" s="111">
        <f>T_08!R27</f>
        <v>0</v>
      </c>
      <c r="K71" s="111">
        <f>T_08!S27</f>
        <v>0</v>
      </c>
      <c r="L71" s="111">
        <f>T_08!T27</f>
        <v>0</v>
      </c>
      <c r="M71" s="1114">
        <f t="shared" si="2"/>
        <v>1</v>
      </c>
      <c r="N71" s="120"/>
      <c r="O71" s="120"/>
      <c r="P71" s="120"/>
      <c r="Q71" s="1"/>
    </row>
    <row r="72" spans="1:17" ht="15" customHeight="1" x14ac:dyDescent="0.2">
      <c r="A72" s="1" t="s">
        <v>610</v>
      </c>
      <c r="B72" s="117" t="s">
        <v>44</v>
      </c>
      <c r="C72" s="110">
        <f>T_08!K28</f>
        <v>1</v>
      </c>
      <c r="D72" s="111">
        <f>T_08!L28</f>
        <v>0</v>
      </c>
      <c r="E72" s="111">
        <f>T_08!M28</f>
        <v>1</v>
      </c>
      <c r="F72" s="111">
        <f>T_08!N28</f>
        <v>0</v>
      </c>
      <c r="G72" s="111">
        <f>T_08!O28</f>
        <v>4</v>
      </c>
      <c r="H72" s="111">
        <f>T_08!P28</f>
        <v>0</v>
      </c>
      <c r="I72" s="111">
        <f>T_08!Q28</f>
        <v>0</v>
      </c>
      <c r="J72" s="111">
        <f>T_08!R28</f>
        <v>3</v>
      </c>
      <c r="K72" s="111">
        <f>T_08!S28</f>
        <v>0</v>
      </c>
      <c r="L72" s="111">
        <f>T_08!T28</f>
        <v>0</v>
      </c>
      <c r="M72" s="1114">
        <f t="shared" si="2"/>
        <v>9</v>
      </c>
      <c r="N72" s="120"/>
      <c r="O72" s="120"/>
      <c r="P72" s="120"/>
      <c r="Q72" s="1"/>
    </row>
    <row r="73" spans="1:17" ht="15" customHeight="1" x14ac:dyDescent="0.2">
      <c r="A73" s="1" t="s">
        <v>611</v>
      </c>
      <c r="B73" s="117" t="s">
        <v>45</v>
      </c>
      <c r="C73" s="110">
        <f>T_08!K29</f>
        <v>2</v>
      </c>
      <c r="D73" s="111">
        <f>T_08!L29</f>
        <v>0</v>
      </c>
      <c r="E73" s="111">
        <f>T_08!M29</f>
        <v>0</v>
      </c>
      <c r="F73" s="111">
        <f>T_08!N29</f>
        <v>0</v>
      </c>
      <c r="G73" s="111">
        <f>T_08!O29</f>
        <v>8</v>
      </c>
      <c r="H73" s="111">
        <f>T_08!P29</f>
        <v>3</v>
      </c>
      <c r="I73" s="111">
        <f>T_08!Q29</f>
        <v>0</v>
      </c>
      <c r="J73" s="111">
        <f>T_08!R29</f>
        <v>1</v>
      </c>
      <c r="K73" s="111">
        <f>T_08!S29</f>
        <v>1</v>
      </c>
      <c r="L73" s="111">
        <f>T_08!T29</f>
        <v>0</v>
      </c>
      <c r="M73" s="1114">
        <f t="shared" si="2"/>
        <v>15</v>
      </c>
      <c r="N73" s="120"/>
      <c r="O73" s="120"/>
      <c r="P73" s="120"/>
      <c r="Q73" s="1"/>
    </row>
    <row r="74" spans="1:17" ht="15" customHeight="1" x14ac:dyDescent="0.2">
      <c r="A74" s="1" t="s">
        <v>612</v>
      </c>
      <c r="B74" s="117" t="s">
        <v>46</v>
      </c>
      <c r="C74" s="110">
        <f>T_08!K30</f>
        <v>1</v>
      </c>
      <c r="D74" s="111">
        <f>T_08!L30</f>
        <v>0</v>
      </c>
      <c r="E74" s="111">
        <f>T_08!M30</f>
        <v>0</v>
      </c>
      <c r="F74" s="111">
        <f>T_08!N30</f>
        <v>0</v>
      </c>
      <c r="G74" s="111">
        <f>T_08!O30</f>
        <v>1</v>
      </c>
      <c r="H74" s="485">
        <f>T_08!P30</f>
        <v>0</v>
      </c>
      <c r="I74" s="111">
        <f>T_08!Q30</f>
        <v>0</v>
      </c>
      <c r="J74" s="111">
        <f>T_08!R30</f>
        <v>3</v>
      </c>
      <c r="K74" s="111">
        <f>T_08!S30</f>
        <v>2</v>
      </c>
      <c r="L74" s="111">
        <f>T_08!T30</f>
        <v>0</v>
      </c>
      <c r="M74" s="1114">
        <f t="shared" si="2"/>
        <v>7</v>
      </c>
      <c r="N74" s="120"/>
      <c r="O74" s="120"/>
      <c r="P74" s="120"/>
      <c r="Q74" s="1"/>
    </row>
    <row r="75" spans="1:17" ht="15" customHeight="1" x14ac:dyDescent="0.2">
      <c r="A75" s="1" t="s">
        <v>613</v>
      </c>
      <c r="B75" s="117" t="s">
        <v>47</v>
      </c>
      <c r="C75" s="110">
        <f>T_08!K31</f>
        <v>3</v>
      </c>
      <c r="D75" s="111">
        <f>T_08!L31</f>
        <v>0</v>
      </c>
      <c r="E75" s="111">
        <f>T_08!M31</f>
        <v>0</v>
      </c>
      <c r="F75" s="111">
        <f>T_08!N31</f>
        <v>0</v>
      </c>
      <c r="G75" s="111">
        <f>T_08!O31</f>
        <v>0</v>
      </c>
      <c r="H75" s="485">
        <f>T_08!P31</f>
        <v>0</v>
      </c>
      <c r="I75" s="485">
        <f>T_08!Q31</f>
        <v>0</v>
      </c>
      <c r="J75" s="111">
        <f>T_08!R31</f>
        <v>0</v>
      </c>
      <c r="K75" s="111">
        <f>T_08!S31</f>
        <v>1</v>
      </c>
      <c r="L75" s="111">
        <f>T_08!T31</f>
        <v>0</v>
      </c>
      <c r="M75" s="1114">
        <f t="shared" si="2"/>
        <v>4</v>
      </c>
      <c r="N75" s="120"/>
      <c r="O75" s="120"/>
      <c r="P75" s="120"/>
      <c r="Q75" s="1"/>
    </row>
    <row r="76" spans="1:17" ht="15" customHeight="1" x14ac:dyDescent="0.2">
      <c r="A76" s="1" t="s">
        <v>614</v>
      </c>
      <c r="B76" s="117" t="s">
        <v>48</v>
      </c>
      <c r="C76" s="110">
        <f>T_08!K32</f>
        <v>0</v>
      </c>
      <c r="D76" s="111">
        <f>T_08!L32</f>
        <v>1</v>
      </c>
      <c r="E76" s="111">
        <f>T_08!M32</f>
        <v>0</v>
      </c>
      <c r="F76" s="111">
        <f>T_08!N32</f>
        <v>0</v>
      </c>
      <c r="G76" s="111">
        <f>T_08!O32</f>
        <v>3</v>
      </c>
      <c r="H76" s="111">
        <f>T_08!P32</f>
        <v>0</v>
      </c>
      <c r="I76" s="111">
        <f>T_08!Q32</f>
        <v>0</v>
      </c>
      <c r="J76" s="111">
        <f>T_08!R32</f>
        <v>0</v>
      </c>
      <c r="K76" s="111">
        <f>T_08!S32</f>
        <v>0</v>
      </c>
      <c r="L76" s="111">
        <f>T_08!T32</f>
        <v>0</v>
      </c>
      <c r="M76" s="1114">
        <f t="shared" si="2"/>
        <v>4</v>
      </c>
      <c r="N76" s="120"/>
      <c r="O76" s="120"/>
      <c r="P76" s="120"/>
      <c r="Q76" s="1"/>
    </row>
    <row r="77" spans="1:17" ht="15" customHeight="1" x14ac:dyDescent="0.2">
      <c r="A77" s="1" t="s">
        <v>615</v>
      </c>
      <c r="B77" s="117" t="s">
        <v>49</v>
      </c>
      <c r="C77" s="110">
        <f>T_08!K33</f>
        <v>3</v>
      </c>
      <c r="D77" s="111">
        <f>T_08!L33</f>
        <v>1</v>
      </c>
      <c r="E77" s="111">
        <f>T_08!M33</f>
        <v>0</v>
      </c>
      <c r="F77" s="111">
        <f>T_08!N33</f>
        <v>0</v>
      </c>
      <c r="G77" s="111">
        <f>T_08!O33</f>
        <v>4</v>
      </c>
      <c r="H77" s="111">
        <f>T_08!P33</f>
        <v>0</v>
      </c>
      <c r="I77" s="111">
        <f>T_08!Q33</f>
        <v>1</v>
      </c>
      <c r="J77" s="111">
        <f>T_08!R33</f>
        <v>2</v>
      </c>
      <c r="K77" s="111">
        <f>T_08!S33</f>
        <v>0</v>
      </c>
      <c r="L77" s="111">
        <f>T_08!T33</f>
        <v>0</v>
      </c>
      <c r="M77" s="1114">
        <f t="shared" si="2"/>
        <v>11</v>
      </c>
      <c r="N77" s="120"/>
      <c r="O77" s="120"/>
      <c r="P77" s="120"/>
      <c r="Q77" s="1"/>
    </row>
    <row r="78" spans="1:17" ht="15" customHeight="1" x14ac:dyDescent="0.2">
      <c r="A78" s="1" t="s">
        <v>616</v>
      </c>
      <c r="B78" s="117" t="s">
        <v>50</v>
      </c>
      <c r="C78" s="110">
        <f>T_08!K34</f>
        <v>0</v>
      </c>
      <c r="D78" s="111">
        <f>T_08!L34</f>
        <v>1</v>
      </c>
      <c r="E78" s="111">
        <f>T_08!M34</f>
        <v>0</v>
      </c>
      <c r="F78" s="111">
        <f>T_08!N34</f>
        <v>0</v>
      </c>
      <c r="G78" s="111">
        <f>T_08!O34</f>
        <v>3</v>
      </c>
      <c r="H78" s="485">
        <f>T_08!P34</f>
        <v>3</v>
      </c>
      <c r="I78" s="111">
        <f>T_08!Q34</f>
        <v>1</v>
      </c>
      <c r="J78" s="111">
        <f>T_08!R34</f>
        <v>1</v>
      </c>
      <c r="K78" s="111">
        <f>T_08!S34</f>
        <v>1</v>
      </c>
      <c r="L78" s="111">
        <f>T_08!T34</f>
        <v>0</v>
      </c>
      <c r="M78" s="1114">
        <f t="shared" si="2"/>
        <v>10</v>
      </c>
      <c r="N78" s="120"/>
      <c r="O78" s="120"/>
      <c r="P78" s="120"/>
      <c r="Q78" s="1"/>
    </row>
    <row r="79" spans="1:17" ht="15" customHeight="1" x14ac:dyDescent="0.2">
      <c r="A79" s="1" t="s">
        <v>617</v>
      </c>
      <c r="B79" s="117" t="s">
        <v>51</v>
      </c>
      <c r="C79" s="110">
        <f>T_08!K35</f>
        <v>0</v>
      </c>
      <c r="D79" s="111">
        <f>T_08!L35</f>
        <v>0</v>
      </c>
      <c r="E79" s="111">
        <f>T_08!M35</f>
        <v>0</v>
      </c>
      <c r="F79" s="111">
        <f>T_08!N35</f>
        <v>0</v>
      </c>
      <c r="G79" s="111">
        <f>T_08!O35</f>
        <v>4</v>
      </c>
      <c r="H79" s="111">
        <f>T_08!P35</f>
        <v>0</v>
      </c>
      <c r="I79" s="111">
        <f>T_08!Q35</f>
        <v>0</v>
      </c>
      <c r="J79" s="111">
        <f>T_08!R35</f>
        <v>2</v>
      </c>
      <c r="K79" s="111">
        <f>T_08!S35</f>
        <v>0</v>
      </c>
      <c r="L79" s="111">
        <f>T_08!T35</f>
        <v>0</v>
      </c>
      <c r="M79" s="1114">
        <f t="shared" si="2"/>
        <v>6</v>
      </c>
      <c r="N79" s="120"/>
      <c r="O79" s="120"/>
      <c r="P79" s="120"/>
      <c r="Q79" s="1"/>
    </row>
    <row r="80" spans="1:17" ht="15" customHeight="1" x14ac:dyDescent="0.2">
      <c r="A80" s="1" t="s">
        <v>618</v>
      </c>
      <c r="B80" s="117" t="s">
        <v>52</v>
      </c>
      <c r="C80" s="110">
        <f>T_08!K36</f>
        <v>1</v>
      </c>
      <c r="D80" s="111">
        <f>T_08!L36</f>
        <v>0</v>
      </c>
      <c r="E80" s="111">
        <f>T_08!M36</f>
        <v>0</v>
      </c>
      <c r="F80" s="111">
        <f>T_08!N36</f>
        <v>0</v>
      </c>
      <c r="G80" s="111">
        <f>T_08!O36</f>
        <v>2</v>
      </c>
      <c r="H80" s="111">
        <f>T_08!P36</f>
        <v>0</v>
      </c>
      <c r="I80" s="111">
        <f>T_08!Q36</f>
        <v>0</v>
      </c>
      <c r="J80" s="111">
        <f>T_08!R36</f>
        <v>3</v>
      </c>
      <c r="K80" s="111">
        <f>T_08!S36</f>
        <v>0</v>
      </c>
      <c r="L80" s="111">
        <f>T_08!T36</f>
        <v>0</v>
      </c>
      <c r="M80" s="1114">
        <f t="shared" si="2"/>
        <v>6</v>
      </c>
      <c r="N80" s="120"/>
      <c r="O80" s="120"/>
      <c r="P80" s="120"/>
      <c r="Q80" s="1"/>
    </row>
    <row r="81" spans="1:17" ht="15" customHeight="1" x14ac:dyDescent="0.2">
      <c r="A81" s="1"/>
      <c r="B81" s="117" t="str">
        <f>IF(T_08!$A$37 = "Z_Not Known", "Not Known","")</f>
        <v/>
      </c>
      <c r="C81" s="1115">
        <f>T_08!K37</f>
        <v>0</v>
      </c>
      <c r="D81" s="111">
        <f>T_08!L37</f>
        <v>0</v>
      </c>
      <c r="E81" s="111">
        <f>T_08!M37</f>
        <v>0</v>
      </c>
      <c r="F81" s="111">
        <f>T_08!N37</f>
        <v>0</v>
      </c>
      <c r="G81" s="111">
        <f>T_08!O37</f>
        <v>0</v>
      </c>
      <c r="H81" s="111">
        <f>T_08!P37</f>
        <v>0</v>
      </c>
      <c r="I81" s="111">
        <f>T_08!Q37</f>
        <v>0</v>
      </c>
      <c r="J81" s="111">
        <f>T_08!R37</f>
        <v>0</v>
      </c>
      <c r="K81" s="111">
        <f>T_08!S37</f>
        <v>0</v>
      </c>
      <c r="L81" s="111">
        <f>T_08!T37</f>
        <v>0</v>
      </c>
      <c r="M81" s="1114">
        <f t="shared" si="2"/>
        <v>0</v>
      </c>
      <c r="N81" s="120"/>
      <c r="O81" s="120"/>
      <c r="P81" s="120"/>
      <c r="Q81" s="1"/>
    </row>
    <row r="82" spans="1:17" ht="15" customHeight="1" thickBot="1" x14ac:dyDescent="0.25">
      <c r="A82" s="359" t="s">
        <v>620</v>
      </c>
      <c r="B82" s="360" t="s">
        <v>143</v>
      </c>
      <c r="C82" s="865">
        <f t="shared" ref="C82:M82" si="3">SUM(C49:C80)</f>
        <v>44</v>
      </c>
      <c r="D82" s="865">
        <f t="shared" si="3"/>
        <v>32</v>
      </c>
      <c r="E82" s="865">
        <f t="shared" si="3"/>
        <v>6</v>
      </c>
      <c r="F82" s="865">
        <f t="shared" si="3"/>
        <v>6</v>
      </c>
      <c r="G82" s="865">
        <f t="shared" si="3"/>
        <v>116</v>
      </c>
      <c r="H82" s="865">
        <f t="shared" si="3"/>
        <v>48</v>
      </c>
      <c r="I82" s="865">
        <f t="shared" si="3"/>
        <v>12</v>
      </c>
      <c r="J82" s="865">
        <f t="shared" si="3"/>
        <v>54</v>
      </c>
      <c r="K82" s="865">
        <f t="shared" si="3"/>
        <v>18</v>
      </c>
      <c r="L82" s="865">
        <f t="shared" si="3"/>
        <v>4</v>
      </c>
      <c r="M82" s="865">
        <f t="shared" si="3"/>
        <v>340</v>
      </c>
      <c r="N82" s="120"/>
      <c r="O82" s="120"/>
      <c r="P82" s="120"/>
      <c r="Q82" s="1"/>
    </row>
    <row r="83" spans="1:17" ht="15" customHeight="1" x14ac:dyDescent="0.2">
      <c r="C83" s="120"/>
      <c r="D83" s="120"/>
      <c r="E83" s="120"/>
      <c r="F83" s="120"/>
      <c r="G83" s="120"/>
      <c r="H83" s="120"/>
      <c r="I83" s="120"/>
      <c r="J83" s="120"/>
      <c r="K83" s="120"/>
      <c r="L83" s="120"/>
      <c r="M83" s="120"/>
      <c r="N83" s="120"/>
      <c r="O83" s="120"/>
      <c r="P83" s="120"/>
      <c r="Q83" s="1"/>
    </row>
    <row r="84" spans="1:17" ht="15" customHeight="1" x14ac:dyDescent="0.2">
      <c r="C84" s="120"/>
      <c r="D84" s="120"/>
      <c r="E84" s="120"/>
      <c r="F84" s="120"/>
      <c r="G84" s="120"/>
      <c r="H84" s="120"/>
      <c r="I84" s="120"/>
      <c r="J84" s="120"/>
      <c r="K84" s="120"/>
      <c r="L84" s="120"/>
      <c r="M84" s="120"/>
      <c r="N84" s="120"/>
      <c r="O84" s="120"/>
      <c r="P84" s="120"/>
      <c r="Q84" s="1"/>
    </row>
    <row r="85" spans="1:17" ht="15" customHeight="1" x14ac:dyDescent="0.2">
      <c r="B85" s="1"/>
      <c r="C85" s="120"/>
      <c r="D85" s="120"/>
      <c r="E85" s="120"/>
      <c r="F85" s="120"/>
      <c r="G85" s="120"/>
      <c r="H85" s="120"/>
      <c r="I85" s="120"/>
      <c r="J85" s="120"/>
      <c r="K85" s="120"/>
      <c r="L85" s="120"/>
      <c r="M85" s="120"/>
      <c r="N85" s="120"/>
      <c r="O85" s="120"/>
      <c r="P85" s="120"/>
      <c r="Q85" s="1"/>
    </row>
    <row r="86" spans="1:17" ht="15" customHeight="1" x14ac:dyDescent="0.2">
      <c r="C86" s="1095" t="s">
        <v>1464</v>
      </c>
      <c r="D86" s="1094"/>
      <c r="E86" s="1094"/>
      <c r="F86" s="1094"/>
      <c r="G86" s="1094"/>
      <c r="H86" s="1094"/>
      <c r="I86" s="1094"/>
      <c r="J86" s="1094"/>
      <c r="K86" s="1094"/>
      <c r="L86" s="1094"/>
      <c r="M86" s="1094"/>
      <c r="N86" s="1094"/>
      <c r="O86" s="1"/>
      <c r="P86" s="120"/>
      <c r="Q86" s="1"/>
    </row>
    <row r="87" spans="1:17" ht="52.5" customHeight="1" x14ac:dyDescent="0.2">
      <c r="A87" s="2" t="s">
        <v>586</v>
      </c>
      <c r="B87" s="2" t="s">
        <v>22</v>
      </c>
      <c r="C87" s="255" t="s">
        <v>75</v>
      </c>
      <c r="D87" s="256" t="s">
        <v>76</v>
      </c>
      <c r="E87" s="256" t="s">
        <v>77</v>
      </c>
      <c r="F87" s="256" t="s">
        <v>531</v>
      </c>
      <c r="G87" s="256" t="s">
        <v>532</v>
      </c>
      <c r="H87" s="256" t="s">
        <v>533</v>
      </c>
      <c r="I87" s="256" t="s">
        <v>78</v>
      </c>
      <c r="J87" s="256" t="s">
        <v>79</v>
      </c>
      <c r="K87" s="256" t="s">
        <v>80</v>
      </c>
      <c r="L87" s="256" t="s">
        <v>81</v>
      </c>
      <c r="M87" s="256" t="s">
        <v>534</v>
      </c>
      <c r="N87" s="257" t="s">
        <v>8</v>
      </c>
      <c r="O87" s="1092" t="s">
        <v>1467</v>
      </c>
      <c r="P87" s="120"/>
      <c r="Q87" s="1"/>
    </row>
    <row r="88" spans="1:17" ht="15" customHeight="1" x14ac:dyDescent="0.2">
      <c r="A88" s="414" t="s">
        <v>587</v>
      </c>
      <c r="B88" s="400" t="s">
        <v>23</v>
      </c>
      <c r="C88" s="482">
        <f>T_08!U5</f>
        <v>9</v>
      </c>
      <c r="D88" s="483">
        <f>T_08!V5</f>
        <v>1</v>
      </c>
      <c r="E88" s="483">
        <f>T_08!W5</f>
        <v>8</v>
      </c>
      <c r="F88" s="483">
        <f>T_08!X5</f>
        <v>2</v>
      </c>
      <c r="G88" s="483">
        <f>T_08!Y5</f>
        <v>4</v>
      </c>
      <c r="H88" s="483">
        <f>T_08!Z5</f>
        <v>2</v>
      </c>
      <c r="I88" s="483">
        <f>T_08!AA5</f>
        <v>3</v>
      </c>
      <c r="J88" s="483">
        <f>T_08!AB5</f>
        <v>9</v>
      </c>
      <c r="K88" s="483">
        <f>T_08!AC5</f>
        <v>7</v>
      </c>
      <c r="L88" s="483">
        <f>T_08!AD5</f>
        <v>5</v>
      </c>
      <c r="M88" s="483">
        <f>T_08!AE5</f>
        <v>13</v>
      </c>
      <c r="N88" s="483">
        <f>T_08!AF5</f>
        <v>5</v>
      </c>
      <c r="O88" s="1113">
        <f>SUM(C88:N88)</f>
        <v>68</v>
      </c>
    </row>
    <row r="89" spans="1:17" ht="15" customHeight="1" x14ac:dyDescent="0.2">
      <c r="A89" s="1" t="s">
        <v>588</v>
      </c>
      <c r="B89" s="117" t="s">
        <v>24</v>
      </c>
      <c r="C89" s="110">
        <f>T_08!U6</f>
        <v>19</v>
      </c>
      <c r="D89" s="111">
        <f>T_08!V6</f>
        <v>7</v>
      </c>
      <c r="E89" s="111">
        <f>T_08!W6</f>
        <v>19</v>
      </c>
      <c r="F89" s="111">
        <f>T_08!X6</f>
        <v>0</v>
      </c>
      <c r="G89" s="111">
        <f>T_08!Y6</f>
        <v>1</v>
      </c>
      <c r="H89" s="111">
        <f>T_08!Z6</f>
        <v>8</v>
      </c>
      <c r="I89" s="111">
        <f>T_08!AA6</f>
        <v>4</v>
      </c>
      <c r="J89" s="111">
        <f>T_08!AB6</f>
        <v>4</v>
      </c>
      <c r="K89" s="111">
        <f>T_08!AC6</f>
        <v>1</v>
      </c>
      <c r="L89" s="111">
        <f>T_08!AD6</f>
        <v>2</v>
      </c>
      <c r="M89" s="111">
        <f>T_08!AE6</f>
        <v>2</v>
      </c>
      <c r="N89" s="111">
        <f>T_08!AF6</f>
        <v>8</v>
      </c>
      <c r="O89" s="1114">
        <f t="shared" ref="O89:O120" si="4">SUM(C89:N89)</f>
        <v>75</v>
      </c>
    </row>
    <row r="90" spans="1:17" ht="15" customHeight="1" x14ac:dyDescent="0.2">
      <c r="A90" s="1" t="s">
        <v>589</v>
      </c>
      <c r="B90" s="117" t="s">
        <v>25</v>
      </c>
      <c r="C90" s="110">
        <f>T_08!U7</f>
        <v>13</v>
      </c>
      <c r="D90" s="111">
        <f>T_08!V7</f>
        <v>3</v>
      </c>
      <c r="E90" s="111">
        <f>T_08!W7</f>
        <v>2</v>
      </c>
      <c r="F90" s="111">
        <f>T_08!X7</f>
        <v>1</v>
      </c>
      <c r="G90" s="111">
        <f>T_08!Y7</f>
        <v>1</v>
      </c>
      <c r="H90" s="111">
        <f>T_08!Z7</f>
        <v>6</v>
      </c>
      <c r="I90" s="111">
        <f>T_08!AA7</f>
        <v>1</v>
      </c>
      <c r="J90" s="111">
        <f>T_08!AB7</f>
        <v>0</v>
      </c>
      <c r="K90" s="111">
        <f>T_08!AC7</f>
        <v>1</v>
      </c>
      <c r="L90" s="111">
        <f>T_08!AD7</f>
        <v>0</v>
      </c>
      <c r="M90" s="111">
        <f>T_08!AE7</f>
        <v>1</v>
      </c>
      <c r="N90" s="111">
        <f>T_08!AF7</f>
        <v>1</v>
      </c>
      <c r="O90" s="1114">
        <f t="shared" si="4"/>
        <v>30</v>
      </c>
    </row>
    <row r="91" spans="1:17" ht="15" customHeight="1" x14ac:dyDescent="0.2">
      <c r="A91" s="1" t="s">
        <v>590</v>
      </c>
      <c r="B91" s="117" t="s">
        <v>26</v>
      </c>
      <c r="C91" s="110">
        <f>T_08!U8</f>
        <v>5</v>
      </c>
      <c r="D91" s="111">
        <f>T_08!V8</f>
        <v>2</v>
      </c>
      <c r="E91" s="111">
        <f>T_08!W8</f>
        <v>4</v>
      </c>
      <c r="F91" s="111">
        <f>T_08!X8</f>
        <v>1</v>
      </c>
      <c r="G91" s="111">
        <f>T_08!Y8</f>
        <v>0</v>
      </c>
      <c r="H91" s="111">
        <f>T_08!Z8</f>
        <v>0</v>
      </c>
      <c r="I91" s="111">
        <f>T_08!AA8</f>
        <v>0</v>
      </c>
      <c r="J91" s="111">
        <f>T_08!AB8</f>
        <v>2</v>
      </c>
      <c r="K91" s="111">
        <f>T_08!AC8</f>
        <v>1</v>
      </c>
      <c r="L91" s="111">
        <f>T_08!AD8</f>
        <v>1</v>
      </c>
      <c r="M91" s="111">
        <f>T_08!AE8</f>
        <v>3</v>
      </c>
      <c r="N91" s="111">
        <f>T_08!AF8</f>
        <v>3</v>
      </c>
      <c r="O91" s="1114">
        <f t="shared" si="4"/>
        <v>22</v>
      </c>
    </row>
    <row r="92" spans="1:17" x14ac:dyDescent="0.2">
      <c r="A92" s="1" t="s">
        <v>591</v>
      </c>
      <c r="B92" s="117" t="s">
        <v>619</v>
      </c>
      <c r="C92" s="110">
        <f>T_08!U9</f>
        <v>15</v>
      </c>
      <c r="D92" s="111">
        <f>T_08!V9</f>
        <v>1</v>
      </c>
      <c r="E92" s="111">
        <f>T_08!W9</f>
        <v>7</v>
      </c>
      <c r="F92" s="111">
        <f>T_08!X9</f>
        <v>0</v>
      </c>
      <c r="G92" s="111">
        <f>T_08!Y9</f>
        <v>15</v>
      </c>
      <c r="H92" s="111">
        <f>T_08!Z9</f>
        <v>6</v>
      </c>
      <c r="I92" s="111">
        <f>T_08!AA9</f>
        <v>8</v>
      </c>
      <c r="J92" s="111">
        <f>T_08!AB9</f>
        <v>14</v>
      </c>
      <c r="K92" s="111">
        <f>T_08!AC9</f>
        <v>11</v>
      </c>
      <c r="L92" s="111">
        <f>T_08!AD9</f>
        <v>7</v>
      </c>
      <c r="M92" s="111">
        <f>T_08!AE9</f>
        <v>16</v>
      </c>
      <c r="N92" s="111">
        <f>T_08!AF9</f>
        <v>10</v>
      </c>
      <c r="O92" s="1114">
        <f t="shared" si="4"/>
        <v>110</v>
      </c>
    </row>
    <row r="93" spans="1:17" x14ac:dyDescent="0.2">
      <c r="A93" s="1" t="s">
        <v>592</v>
      </c>
      <c r="B93" s="117" t="s">
        <v>27</v>
      </c>
      <c r="C93" s="110">
        <f>T_08!U10</f>
        <v>5</v>
      </c>
      <c r="D93" s="111">
        <f>T_08!V10</f>
        <v>0</v>
      </c>
      <c r="E93" s="111">
        <f>T_08!W10</f>
        <v>3</v>
      </c>
      <c r="F93" s="111">
        <f>T_08!X10</f>
        <v>1</v>
      </c>
      <c r="G93" s="111">
        <f>T_08!Y10</f>
        <v>1</v>
      </c>
      <c r="H93" s="111">
        <f>T_08!Z10</f>
        <v>5</v>
      </c>
      <c r="I93" s="111">
        <f>T_08!AA10</f>
        <v>1</v>
      </c>
      <c r="J93" s="111">
        <f>T_08!AB10</f>
        <v>1</v>
      </c>
      <c r="K93" s="111">
        <f>T_08!AC10</f>
        <v>0</v>
      </c>
      <c r="L93" s="111">
        <f>T_08!AD10</f>
        <v>3</v>
      </c>
      <c r="M93" s="111">
        <f>T_08!AE10</f>
        <v>0</v>
      </c>
      <c r="N93" s="111">
        <f>T_08!AF10</f>
        <v>0</v>
      </c>
      <c r="O93" s="1114">
        <f t="shared" si="4"/>
        <v>20</v>
      </c>
    </row>
    <row r="94" spans="1:17" x14ac:dyDescent="0.2">
      <c r="A94" s="1" t="s">
        <v>593</v>
      </c>
      <c r="B94" s="117" t="s">
        <v>28</v>
      </c>
      <c r="C94" s="110">
        <f>T_08!U11</f>
        <v>9</v>
      </c>
      <c r="D94" s="111">
        <f>T_08!V11</f>
        <v>12</v>
      </c>
      <c r="E94" s="111">
        <f>T_08!W11</f>
        <v>6</v>
      </c>
      <c r="F94" s="111">
        <f>T_08!X11</f>
        <v>0</v>
      </c>
      <c r="G94" s="111">
        <f>T_08!Y11</f>
        <v>0</v>
      </c>
      <c r="H94" s="111">
        <f>T_08!Z11</f>
        <v>0</v>
      </c>
      <c r="I94" s="111">
        <f>T_08!AA11</f>
        <v>0</v>
      </c>
      <c r="J94" s="111">
        <f>T_08!AB11</f>
        <v>2</v>
      </c>
      <c r="K94" s="111">
        <f>T_08!AC11</f>
        <v>5</v>
      </c>
      <c r="L94" s="111">
        <f>T_08!AD11</f>
        <v>1</v>
      </c>
      <c r="M94" s="111">
        <f>T_08!AE11</f>
        <v>1</v>
      </c>
      <c r="N94" s="111">
        <f>T_08!AF11</f>
        <v>3</v>
      </c>
      <c r="O94" s="1114">
        <f t="shared" si="4"/>
        <v>39</v>
      </c>
    </row>
    <row r="95" spans="1:17" x14ac:dyDescent="0.2">
      <c r="A95" s="1" t="s">
        <v>594</v>
      </c>
      <c r="B95" s="117" t="s">
        <v>29</v>
      </c>
      <c r="C95" s="110">
        <f>T_08!U12</f>
        <v>2</v>
      </c>
      <c r="D95" s="111">
        <f>T_08!V12</f>
        <v>0</v>
      </c>
      <c r="E95" s="111">
        <f>T_08!W12</f>
        <v>13</v>
      </c>
      <c r="F95" s="111">
        <f>T_08!X12</f>
        <v>2</v>
      </c>
      <c r="G95" s="111">
        <f>T_08!Y12</f>
        <v>0</v>
      </c>
      <c r="H95" s="111">
        <f>T_08!Z12</f>
        <v>0</v>
      </c>
      <c r="I95" s="111">
        <f>T_08!AA12</f>
        <v>2</v>
      </c>
      <c r="J95" s="111">
        <f>T_08!AB12</f>
        <v>5</v>
      </c>
      <c r="K95" s="111">
        <f>T_08!AC12</f>
        <v>3</v>
      </c>
      <c r="L95" s="111">
        <f>T_08!AD12</f>
        <v>6</v>
      </c>
      <c r="M95" s="111">
        <f>T_08!AE12</f>
        <v>4</v>
      </c>
      <c r="N95" s="111">
        <f>T_08!AF12</f>
        <v>3</v>
      </c>
      <c r="O95" s="1114">
        <f t="shared" si="4"/>
        <v>40</v>
      </c>
    </row>
    <row r="96" spans="1:17" x14ac:dyDescent="0.2">
      <c r="A96" s="1" t="s">
        <v>595</v>
      </c>
      <c r="B96" s="117" t="s">
        <v>30</v>
      </c>
      <c r="C96" s="110">
        <f>T_08!U13</f>
        <v>12</v>
      </c>
      <c r="D96" s="111">
        <f>T_08!V13</f>
        <v>3</v>
      </c>
      <c r="E96" s="111">
        <f>T_08!W13</f>
        <v>0</v>
      </c>
      <c r="F96" s="111">
        <f>T_08!X13</f>
        <v>0</v>
      </c>
      <c r="G96" s="111">
        <f>T_08!Y13</f>
        <v>2</v>
      </c>
      <c r="H96" s="111">
        <f>T_08!Z13</f>
        <v>1</v>
      </c>
      <c r="I96" s="111">
        <f>T_08!AA13</f>
        <v>2</v>
      </c>
      <c r="J96" s="111">
        <f>T_08!AB13</f>
        <v>4</v>
      </c>
      <c r="K96" s="111">
        <f>T_08!AC13</f>
        <v>2</v>
      </c>
      <c r="L96" s="111">
        <f>T_08!AD13</f>
        <v>0</v>
      </c>
      <c r="M96" s="111">
        <f>T_08!AE13</f>
        <v>1</v>
      </c>
      <c r="N96" s="111">
        <f>T_08!AF13</f>
        <v>1</v>
      </c>
      <c r="O96" s="1114">
        <f t="shared" si="4"/>
        <v>28</v>
      </c>
    </row>
    <row r="97" spans="1:15" x14ac:dyDescent="0.2">
      <c r="A97" s="1" t="s">
        <v>596</v>
      </c>
      <c r="B97" s="117" t="s">
        <v>31</v>
      </c>
      <c r="C97" s="110">
        <f>T_08!U14</f>
        <v>4</v>
      </c>
      <c r="D97" s="111">
        <f>T_08!V14</f>
        <v>1</v>
      </c>
      <c r="E97" s="111">
        <f>T_08!W14</f>
        <v>2</v>
      </c>
      <c r="F97" s="111">
        <f>T_08!X14</f>
        <v>0</v>
      </c>
      <c r="G97" s="111">
        <f>T_08!Y14</f>
        <v>2</v>
      </c>
      <c r="H97" s="111">
        <f>T_08!Z14</f>
        <v>1</v>
      </c>
      <c r="I97" s="111">
        <f>T_08!AA14</f>
        <v>0</v>
      </c>
      <c r="J97" s="111">
        <f>T_08!AB14</f>
        <v>1</v>
      </c>
      <c r="K97" s="111">
        <f>T_08!AC14</f>
        <v>3</v>
      </c>
      <c r="L97" s="111">
        <f>T_08!AD14</f>
        <v>2</v>
      </c>
      <c r="M97" s="111">
        <f>T_08!AE14</f>
        <v>0</v>
      </c>
      <c r="N97" s="111">
        <f>T_08!AF14</f>
        <v>0</v>
      </c>
      <c r="O97" s="1114">
        <f t="shared" si="4"/>
        <v>16</v>
      </c>
    </row>
    <row r="98" spans="1:15" x14ac:dyDescent="0.2">
      <c r="A98" s="1" t="s">
        <v>597</v>
      </c>
      <c r="B98" s="117" t="s">
        <v>32</v>
      </c>
      <c r="C98" s="110">
        <f>T_08!U15</f>
        <v>5</v>
      </c>
      <c r="D98" s="111">
        <f>T_08!V15</f>
        <v>3</v>
      </c>
      <c r="E98" s="111">
        <f>T_08!W15</f>
        <v>3</v>
      </c>
      <c r="F98" s="111">
        <f>T_08!X15</f>
        <v>0</v>
      </c>
      <c r="G98" s="111">
        <f>T_08!Y15</f>
        <v>1</v>
      </c>
      <c r="H98" s="111">
        <f>T_08!Z15</f>
        <v>1</v>
      </c>
      <c r="I98" s="111">
        <f>T_08!AA15</f>
        <v>2</v>
      </c>
      <c r="J98" s="111">
        <f>T_08!AB15</f>
        <v>2</v>
      </c>
      <c r="K98" s="111">
        <f>T_08!AC15</f>
        <v>1</v>
      </c>
      <c r="L98" s="111">
        <f>T_08!AD15</f>
        <v>2</v>
      </c>
      <c r="M98" s="111">
        <f>T_08!AE15</f>
        <v>0</v>
      </c>
      <c r="N98" s="111">
        <f>T_08!AF15</f>
        <v>0</v>
      </c>
      <c r="O98" s="1114">
        <f t="shared" si="4"/>
        <v>20</v>
      </c>
    </row>
    <row r="99" spans="1:15" x14ac:dyDescent="0.2">
      <c r="A99" s="1" t="s">
        <v>598</v>
      </c>
      <c r="B99" s="117" t="s">
        <v>33</v>
      </c>
      <c r="C99" s="110">
        <f>T_08!U16</f>
        <v>3</v>
      </c>
      <c r="D99" s="111">
        <f>T_08!V16</f>
        <v>1</v>
      </c>
      <c r="E99" s="111">
        <f>T_08!W16</f>
        <v>1</v>
      </c>
      <c r="F99" s="111">
        <f>T_08!X16</f>
        <v>0</v>
      </c>
      <c r="G99" s="111">
        <f>T_08!Y16</f>
        <v>1</v>
      </c>
      <c r="H99" s="111">
        <f>T_08!Z16</f>
        <v>0</v>
      </c>
      <c r="I99" s="111">
        <f>T_08!AA16</f>
        <v>0</v>
      </c>
      <c r="J99" s="111">
        <f>T_08!AB16</f>
        <v>2</v>
      </c>
      <c r="K99" s="111">
        <f>T_08!AC16</f>
        <v>1</v>
      </c>
      <c r="L99" s="111">
        <f>T_08!AD16</f>
        <v>1</v>
      </c>
      <c r="M99" s="111">
        <f>T_08!AE16</f>
        <v>0</v>
      </c>
      <c r="N99" s="111">
        <f>T_08!AF16</f>
        <v>0</v>
      </c>
      <c r="O99" s="1114">
        <f t="shared" si="4"/>
        <v>10</v>
      </c>
    </row>
    <row r="100" spans="1:15" x14ac:dyDescent="0.2">
      <c r="A100" s="1" t="s">
        <v>599</v>
      </c>
      <c r="B100" s="117" t="s">
        <v>34</v>
      </c>
      <c r="C100" s="110">
        <f>T_08!U17</f>
        <v>16</v>
      </c>
      <c r="D100" s="111">
        <f>T_08!V17</f>
        <v>2</v>
      </c>
      <c r="E100" s="111">
        <f>T_08!W17</f>
        <v>8</v>
      </c>
      <c r="F100" s="111">
        <f>T_08!X17</f>
        <v>1</v>
      </c>
      <c r="G100" s="111">
        <f>T_08!Y17</f>
        <v>0</v>
      </c>
      <c r="H100" s="111">
        <f>T_08!Z17</f>
        <v>10</v>
      </c>
      <c r="I100" s="111">
        <f>T_08!AA17</f>
        <v>1</v>
      </c>
      <c r="J100" s="111">
        <f>T_08!AB17</f>
        <v>3</v>
      </c>
      <c r="K100" s="111">
        <f>T_08!AC17</f>
        <v>5</v>
      </c>
      <c r="L100" s="111">
        <f>T_08!AD17</f>
        <v>2</v>
      </c>
      <c r="M100" s="111">
        <f>T_08!AE17</f>
        <v>1</v>
      </c>
      <c r="N100" s="111">
        <f>T_08!AF17</f>
        <v>3</v>
      </c>
      <c r="O100" s="1114">
        <f t="shared" si="4"/>
        <v>52</v>
      </c>
    </row>
    <row r="101" spans="1:15" x14ac:dyDescent="0.2">
      <c r="A101" s="1" t="s">
        <v>600</v>
      </c>
      <c r="B101" s="117" t="s">
        <v>35</v>
      </c>
      <c r="C101" s="110">
        <f>T_08!U18</f>
        <v>28</v>
      </c>
      <c r="D101" s="111">
        <f>T_08!V18</f>
        <v>7</v>
      </c>
      <c r="E101" s="111">
        <f>T_08!W18</f>
        <v>20</v>
      </c>
      <c r="F101" s="111">
        <f>T_08!X18</f>
        <v>2</v>
      </c>
      <c r="G101" s="111">
        <f>T_08!Y18</f>
        <v>1</v>
      </c>
      <c r="H101" s="111">
        <f>T_08!Z18</f>
        <v>2</v>
      </c>
      <c r="I101" s="111">
        <f>T_08!AA18</f>
        <v>9</v>
      </c>
      <c r="J101" s="111">
        <f>T_08!AB18</f>
        <v>2</v>
      </c>
      <c r="K101" s="111">
        <f>T_08!AC18</f>
        <v>7</v>
      </c>
      <c r="L101" s="111">
        <f>T_08!AD18</f>
        <v>4</v>
      </c>
      <c r="M101" s="111">
        <f>T_08!AE18</f>
        <v>1</v>
      </c>
      <c r="N101" s="111">
        <f>T_08!AF18</f>
        <v>10</v>
      </c>
      <c r="O101" s="1114">
        <f t="shared" si="4"/>
        <v>93</v>
      </c>
    </row>
    <row r="102" spans="1:15" x14ac:dyDescent="0.2">
      <c r="A102" s="1" t="s">
        <v>601</v>
      </c>
      <c r="B102" s="117" t="s">
        <v>36</v>
      </c>
      <c r="C102" s="110">
        <f>T_08!U19</f>
        <v>18</v>
      </c>
      <c r="D102" s="111">
        <f>T_08!V19</f>
        <v>1</v>
      </c>
      <c r="E102" s="111">
        <f>T_08!W19</f>
        <v>13</v>
      </c>
      <c r="F102" s="111">
        <f>T_08!X19</f>
        <v>4</v>
      </c>
      <c r="G102" s="111">
        <f>T_08!Y19</f>
        <v>16</v>
      </c>
      <c r="H102" s="111">
        <f>T_08!Z19</f>
        <v>8</v>
      </c>
      <c r="I102" s="111">
        <f>T_08!AA19</f>
        <v>12</v>
      </c>
      <c r="J102" s="111">
        <f>T_08!AB19</f>
        <v>17</v>
      </c>
      <c r="K102" s="111">
        <f>T_08!AC19</f>
        <v>32</v>
      </c>
      <c r="L102" s="111">
        <f>T_08!AD19</f>
        <v>17</v>
      </c>
      <c r="M102" s="111">
        <f>T_08!AE19</f>
        <v>25</v>
      </c>
      <c r="N102" s="111">
        <f>T_08!AF19</f>
        <v>17</v>
      </c>
      <c r="O102" s="1114">
        <f t="shared" si="4"/>
        <v>180</v>
      </c>
    </row>
    <row r="103" spans="1:15" x14ac:dyDescent="0.2">
      <c r="A103" s="1" t="s">
        <v>602</v>
      </c>
      <c r="B103" s="117" t="s">
        <v>37</v>
      </c>
      <c r="C103" s="110">
        <f>T_08!U20</f>
        <v>21</v>
      </c>
      <c r="D103" s="111">
        <f>T_08!V20</f>
        <v>6</v>
      </c>
      <c r="E103" s="111">
        <f>T_08!W20</f>
        <v>16</v>
      </c>
      <c r="F103" s="111">
        <f>T_08!X20</f>
        <v>2</v>
      </c>
      <c r="G103" s="111">
        <f>T_08!Y20</f>
        <v>4</v>
      </c>
      <c r="H103" s="111">
        <f>T_08!Z20</f>
        <v>1</v>
      </c>
      <c r="I103" s="111">
        <f>T_08!AA20</f>
        <v>2</v>
      </c>
      <c r="J103" s="111">
        <f>T_08!AB20</f>
        <v>6</v>
      </c>
      <c r="K103" s="111">
        <f>T_08!AC20</f>
        <v>3</v>
      </c>
      <c r="L103" s="111">
        <f>T_08!AD20</f>
        <v>5</v>
      </c>
      <c r="M103" s="111">
        <f>T_08!AE20</f>
        <v>6</v>
      </c>
      <c r="N103" s="111">
        <f>T_08!AF20</f>
        <v>4</v>
      </c>
      <c r="O103" s="1114">
        <f t="shared" si="4"/>
        <v>76</v>
      </c>
    </row>
    <row r="104" spans="1:15" x14ac:dyDescent="0.2">
      <c r="A104" s="1" t="s">
        <v>603</v>
      </c>
      <c r="B104" s="117" t="s">
        <v>38</v>
      </c>
      <c r="C104" s="110">
        <f>T_08!U21</f>
        <v>5</v>
      </c>
      <c r="D104" s="111">
        <f>T_08!V21</f>
        <v>1</v>
      </c>
      <c r="E104" s="111">
        <f>T_08!W21</f>
        <v>1</v>
      </c>
      <c r="F104" s="111">
        <f>T_08!X21</f>
        <v>0</v>
      </c>
      <c r="G104" s="111">
        <f>T_08!Y21</f>
        <v>0</v>
      </c>
      <c r="H104" s="111">
        <f>T_08!Z21</f>
        <v>1</v>
      </c>
      <c r="I104" s="111">
        <f>T_08!AA21</f>
        <v>3</v>
      </c>
      <c r="J104" s="111">
        <f>T_08!AB21</f>
        <v>1</v>
      </c>
      <c r="K104" s="111">
        <f>T_08!AC21</f>
        <v>2</v>
      </c>
      <c r="L104" s="111">
        <f>T_08!AD21</f>
        <v>0</v>
      </c>
      <c r="M104" s="111">
        <f>T_08!AE21</f>
        <v>2</v>
      </c>
      <c r="N104" s="111">
        <f>T_08!AF21</f>
        <v>3</v>
      </c>
      <c r="O104" s="1114">
        <f t="shared" si="4"/>
        <v>19</v>
      </c>
    </row>
    <row r="105" spans="1:15" x14ac:dyDescent="0.2">
      <c r="A105" s="1" t="s">
        <v>604</v>
      </c>
      <c r="B105" s="117" t="s">
        <v>39</v>
      </c>
      <c r="C105" s="110">
        <f>T_08!U22</f>
        <v>6</v>
      </c>
      <c r="D105" s="111">
        <f>T_08!V22</f>
        <v>1</v>
      </c>
      <c r="E105" s="111">
        <f>T_08!W22</f>
        <v>3</v>
      </c>
      <c r="F105" s="111">
        <f>T_08!X22</f>
        <v>1</v>
      </c>
      <c r="G105" s="111">
        <f>T_08!Y22</f>
        <v>0</v>
      </c>
      <c r="H105" s="111">
        <f>T_08!Z22</f>
        <v>0</v>
      </c>
      <c r="I105" s="111">
        <f>T_08!AA22</f>
        <v>1</v>
      </c>
      <c r="J105" s="111">
        <f>T_08!AB22</f>
        <v>3</v>
      </c>
      <c r="K105" s="111">
        <f>T_08!AC22</f>
        <v>2</v>
      </c>
      <c r="L105" s="111">
        <f>T_08!AD22</f>
        <v>3</v>
      </c>
      <c r="M105" s="111">
        <f>T_08!AE22</f>
        <v>1</v>
      </c>
      <c r="N105" s="111">
        <f>T_08!AF22</f>
        <v>2</v>
      </c>
      <c r="O105" s="1114">
        <f t="shared" si="4"/>
        <v>23</v>
      </c>
    </row>
    <row r="106" spans="1:15" x14ac:dyDescent="0.2">
      <c r="A106" s="1" t="s">
        <v>605</v>
      </c>
      <c r="B106" s="117" t="s">
        <v>40</v>
      </c>
      <c r="C106" s="110">
        <f>T_08!U23</f>
        <v>8</v>
      </c>
      <c r="D106" s="111">
        <f>T_08!V23</f>
        <v>2</v>
      </c>
      <c r="E106" s="111">
        <f>T_08!W23</f>
        <v>6</v>
      </c>
      <c r="F106" s="111">
        <f>T_08!X23</f>
        <v>1</v>
      </c>
      <c r="G106" s="111">
        <f>T_08!Y23</f>
        <v>0</v>
      </c>
      <c r="H106" s="111">
        <f>T_08!Z23</f>
        <v>0</v>
      </c>
      <c r="I106" s="111">
        <f>T_08!AA23</f>
        <v>1</v>
      </c>
      <c r="J106" s="111">
        <f>T_08!AB23</f>
        <v>1</v>
      </c>
      <c r="K106" s="111">
        <f>T_08!AC23</f>
        <v>2</v>
      </c>
      <c r="L106" s="111">
        <f>T_08!AD23</f>
        <v>1</v>
      </c>
      <c r="M106" s="111">
        <f>T_08!AE23</f>
        <v>0</v>
      </c>
      <c r="N106" s="111">
        <f>T_08!AF23</f>
        <v>1</v>
      </c>
      <c r="O106" s="1114">
        <f t="shared" si="4"/>
        <v>23</v>
      </c>
    </row>
    <row r="107" spans="1:15" x14ac:dyDescent="0.2">
      <c r="A107" s="1" t="s">
        <v>606</v>
      </c>
      <c r="B107" s="117" t="s">
        <v>295</v>
      </c>
      <c r="C107" s="110">
        <f>T_08!U24</f>
        <v>2</v>
      </c>
      <c r="D107" s="111">
        <f>T_08!V24</f>
        <v>0</v>
      </c>
      <c r="E107" s="111">
        <f>T_08!W24</f>
        <v>1</v>
      </c>
      <c r="F107" s="111">
        <f>T_08!X24</f>
        <v>0</v>
      </c>
      <c r="G107" s="111">
        <f>T_08!Y24</f>
        <v>0</v>
      </c>
      <c r="H107" s="111">
        <f>T_08!Z24</f>
        <v>0</v>
      </c>
      <c r="I107" s="111">
        <f>T_08!AA24</f>
        <v>1</v>
      </c>
      <c r="J107" s="111">
        <f>T_08!AB24</f>
        <v>0</v>
      </c>
      <c r="K107" s="111">
        <f>T_08!AC24</f>
        <v>0</v>
      </c>
      <c r="L107" s="111">
        <f>T_08!AD24</f>
        <v>0</v>
      </c>
      <c r="M107" s="111">
        <f>T_08!AE24</f>
        <v>0</v>
      </c>
      <c r="N107" s="111">
        <f>T_08!AF24</f>
        <v>0</v>
      </c>
      <c r="O107" s="1114">
        <f t="shared" si="4"/>
        <v>4</v>
      </c>
    </row>
    <row r="108" spans="1:15" x14ac:dyDescent="0.2">
      <c r="A108" s="1" t="s">
        <v>607</v>
      </c>
      <c r="B108" s="117" t="s">
        <v>41</v>
      </c>
      <c r="C108" s="110">
        <f>T_08!U25</f>
        <v>8</v>
      </c>
      <c r="D108" s="111">
        <f>T_08!V25</f>
        <v>2</v>
      </c>
      <c r="E108" s="111">
        <f>T_08!W25</f>
        <v>7</v>
      </c>
      <c r="F108" s="111">
        <f>T_08!X25</f>
        <v>0</v>
      </c>
      <c r="G108" s="111">
        <f>T_08!Y25</f>
        <v>0</v>
      </c>
      <c r="H108" s="111">
        <f>T_08!Z25</f>
        <v>1</v>
      </c>
      <c r="I108" s="111">
        <f>T_08!AA25</f>
        <v>1</v>
      </c>
      <c r="J108" s="111">
        <f>T_08!AB25</f>
        <v>2</v>
      </c>
      <c r="K108" s="111">
        <f>T_08!AC25</f>
        <v>6</v>
      </c>
      <c r="L108" s="111">
        <f>T_08!AD25</f>
        <v>1</v>
      </c>
      <c r="M108" s="111">
        <f>T_08!AE25</f>
        <v>1</v>
      </c>
      <c r="N108" s="111">
        <f>T_08!AF25</f>
        <v>2</v>
      </c>
      <c r="O108" s="1114">
        <f t="shared" si="4"/>
        <v>31</v>
      </c>
    </row>
    <row r="109" spans="1:15" x14ac:dyDescent="0.2">
      <c r="A109" s="1" t="s">
        <v>608</v>
      </c>
      <c r="B109" s="117" t="s">
        <v>42</v>
      </c>
      <c r="C109" s="110">
        <f>T_08!U26</f>
        <v>25</v>
      </c>
      <c r="D109" s="111">
        <f>T_08!V26</f>
        <v>1</v>
      </c>
      <c r="E109" s="111">
        <f>T_08!W26</f>
        <v>15</v>
      </c>
      <c r="F109" s="111">
        <f>T_08!X26</f>
        <v>4</v>
      </c>
      <c r="G109" s="111">
        <f>T_08!Y26</f>
        <v>3</v>
      </c>
      <c r="H109" s="111">
        <f>T_08!Z26</f>
        <v>13</v>
      </c>
      <c r="I109" s="111">
        <f>T_08!AA26</f>
        <v>6</v>
      </c>
      <c r="J109" s="111">
        <f>T_08!AB26</f>
        <v>6</v>
      </c>
      <c r="K109" s="111">
        <f>T_08!AC26</f>
        <v>9</v>
      </c>
      <c r="L109" s="111">
        <f>T_08!AD26</f>
        <v>5</v>
      </c>
      <c r="M109" s="111">
        <f>T_08!AE26</f>
        <v>1</v>
      </c>
      <c r="N109" s="111">
        <f>T_08!AF26</f>
        <v>3</v>
      </c>
      <c r="O109" s="1114">
        <f t="shared" si="4"/>
        <v>91</v>
      </c>
    </row>
    <row r="110" spans="1:15" x14ac:dyDescent="0.2">
      <c r="A110" s="1" t="s">
        <v>609</v>
      </c>
      <c r="B110" s="117" t="s">
        <v>43</v>
      </c>
      <c r="C110" s="110">
        <f>T_08!U27</f>
        <v>1</v>
      </c>
      <c r="D110" s="111">
        <f>T_08!V27</f>
        <v>0</v>
      </c>
      <c r="E110" s="111">
        <f>T_08!W27</f>
        <v>0</v>
      </c>
      <c r="F110" s="111">
        <f>T_08!X27</f>
        <v>0</v>
      </c>
      <c r="G110" s="111">
        <f>T_08!Y27</f>
        <v>0</v>
      </c>
      <c r="H110" s="111">
        <f>T_08!Z27</f>
        <v>0</v>
      </c>
      <c r="I110" s="111">
        <f>T_08!AA27</f>
        <v>0</v>
      </c>
      <c r="J110" s="111">
        <f>T_08!AB27</f>
        <v>0</v>
      </c>
      <c r="K110" s="111">
        <f>T_08!AC27</f>
        <v>0</v>
      </c>
      <c r="L110" s="111">
        <f>T_08!AD27</f>
        <v>0</v>
      </c>
      <c r="M110" s="111">
        <f>T_08!AE27</f>
        <v>0</v>
      </c>
      <c r="N110" s="111">
        <f>T_08!AF27</f>
        <v>0</v>
      </c>
      <c r="O110" s="1114">
        <f t="shared" si="4"/>
        <v>1</v>
      </c>
    </row>
    <row r="111" spans="1:15" x14ac:dyDescent="0.2">
      <c r="A111" s="1" t="s">
        <v>610</v>
      </c>
      <c r="B111" s="117" t="s">
        <v>44</v>
      </c>
      <c r="C111" s="110">
        <f>T_08!U28</f>
        <v>9</v>
      </c>
      <c r="D111" s="111">
        <f>T_08!V28</f>
        <v>5</v>
      </c>
      <c r="E111" s="111">
        <f>T_08!W28</f>
        <v>2</v>
      </c>
      <c r="F111" s="111">
        <f>T_08!X28</f>
        <v>0</v>
      </c>
      <c r="G111" s="111">
        <f>T_08!Y28</f>
        <v>1</v>
      </c>
      <c r="H111" s="111">
        <f>T_08!Z28</f>
        <v>5</v>
      </c>
      <c r="I111" s="111">
        <f>T_08!AA28</f>
        <v>2</v>
      </c>
      <c r="J111" s="111">
        <f>T_08!AB28</f>
        <v>6</v>
      </c>
      <c r="K111" s="111">
        <f>T_08!AC28</f>
        <v>2</v>
      </c>
      <c r="L111" s="111">
        <f>T_08!AD28</f>
        <v>1</v>
      </c>
      <c r="M111" s="111">
        <f>T_08!AE28</f>
        <v>1</v>
      </c>
      <c r="N111" s="111">
        <f>T_08!AF28</f>
        <v>1</v>
      </c>
      <c r="O111" s="1114">
        <f t="shared" si="4"/>
        <v>35</v>
      </c>
    </row>
    <row r="112" spans="1:15" x14ac:dyDescent="0.2">
      <c r="A112" s="1" t="s">
        <v>611</v>
      </c>
      <c r="B112" s="117" t="s">
        <v>45</v>
      </c>
      <c r="C112" s="110">
        <f>T_08!U29</f>
        <v>11</v>
      </c>
      <c r="D112" s="111">
        <f>T_08!V29</f>
        <v>0</v>
      </c>
      <c r="E112" s="111">
        <f>T_08!W29</f>
        <v>5</v>
      </c>
      <c r="F112" s="111">
        <f>T_08!X29</f>
        <v>1</v>
      </c>
      <c r="G112" s="111">
        <f>T_08!Y29</f>
        <v>3</v>
      </c>
      <c r="H112" s="111">
        <f>T_08!Z29</f>
        <v>1</v>
      </c>
      <c r="I112" s="111">
        <f>T_08!AA29</f>
        <v>2</v>
      </c>
      <c r="J112" s="111">
        <f>T_08!AB29</f>
        <v>2</v>
      </c>
      <c r="K112" s="111">
        <f>T_08!AC29</f>
        <v>6</v>
      </c>
      <c r="L112" s="111">
        <f>T_08!AD29</f>
        <v>7</v>
      </c>
      <c r="M112" s="111">
        <f>T_08!AE29</f>
        <v>2</v>
      </c>
      <c r="N112" s="111">
        <f>T_08!AF29</f>
        <v>7</v>
      </c>
      <c r="O112" s="1114">
        <f t="shared" si="4"/>
        <v>47</v>
      </c>
    </row>
    <row r="113" spans="1:20" x14ac:dyDescent="0.2">
      <c r="A113" s="1" t="s">
        <v>612</v>
      </c>
      <c r="B113" s="117" t="s">
        <v>46</v>
      </c>
      <c r="C113" s="110">
        <f>T_08!U30</f>
        <v>1</v>
      </c>
      <c r="D113" s="111">
        <f>T_08!V30</f>
        <v>6</v>
      </c>
      <c r="E113" s="111">
        <f>T_08!W30</f>
        <v>10</v>
      </c>
      <c r="F113" s="111">
        <f>T_08!X30</f>
        <v>1</v>
      </c>
      <c r="G113" s="111">
        <f>T_08!Y30</f>
        <v>1</v>
      </c>
      <c r="H113" s="111">
        <f>T_08!Z30</f>
        <v>1</v>
      </c>
      <c r="I113" s="111">
        <f>T_08!AA30</f>
        <v>1</v>
      </c>
      <c r="J113" s="111">
        <f>T_08!AB30</f>
        <v>1</v>
      </c>
      <c r="K113" s="111">
        <f>T_08!AC30</f>
        <v>4</v>
      </c>
      <c r="L113" s="111">
        <f>T_08!AD30</f>
        <v>2</v>
      </c>
      <c r="M113" s="111">
        <f>T_08!AE30</f>
        <v>4</v>
      </c>
      <c r="N113" s="111">
        <f>T_08!AF30</f>
        <v>2</v>
      </c>
      <c r="O113" s="1114">
        <f t="shared" si="4"/>
        <v>34</v>
      </c>
    </row>
    <row r="114" spans="1:20" x14ac:dyDescent="0.2">
      <c r="A114" s="1" t="s">
        <v>613</v>
      </c>
      <c r="B114" s="117" t="s">
        <v>47</v>
      </c>
      <c r="C114" s="110">
        <f>T_08!U31</f>
        <v>2</v>
      </c>
      <c r="D114" s="111">
        <f>T_08!V31</f>
        <v>0</v>
      </c>
      <c r="E114" s="111">
        <f>T_08!W31</f>
        <v>2</v>
      </c>
      <c r="F114" s="111">
        <f>T_08!X31</f>
        <v>0</v>
      </c>
      <c r="G114" s="111">
        <f>T_08!Y31</f>
        <v>0</v>
      </c>
      <c r="H114" s="111">
        <f>T_08!Z31</f>
        <v>0</v>
      </c>
      <c r="I114" s="111">
        <f>T_08!AA31</f>
        <v>0</v>
      </c>
      <c r="J114" s="111">
        <f>T_08!AB31</f>
        <v>0</v>
      </c>
      <c r="K114" s="111">
        <f>T_08!AC31</f>
        <v>1</v>
      </c>
      <c r="L114" s="111">
        <f>T_08!AD31</f>
        <v>0</v>
      </c>
      <c r="M114" s="111">
        <f>T_08!AE31</f>
        <v>0</v>
      </c>
      <c r="N114" s="111">
        <f>T_08!AF31</f>
        <v>0</v>
      </c>
      <c r="O114" s="1114">
        <f t="shared" si="4"/>
        <v>5</v>
      </c>
    </row>
    <row r="115" spans="1:20" x14ac:dyDescent="0.2">
      <c r="A115" s="1" t="s">
        <v>614</v>
      </c>
      <c r="B115" s="117" t="s">
        <v>48</v>
      </c>
      <c r="C115" s="110">
        <f>T_08!U32</f>
        <v>8</v>
      </c>
      <c r="D115" s="111">
        <f>T_08!V32</f>
        <v>1</v>
      </c>
      <c r="E115" s="111">
        <f>T_08!W32</f>
        <v>2</v>
      </c>
      <c r="F115" s="111">
        <f>T_08!X32</f>
        <v>0</v>
      </c>
      <c r="G115" s="111">
        <f>T_08!Y32</f>
        <v>1</v>
      </c>
      <c r="H115" s="111">
        <f>T_08!Z32</f>
        <v>0</v>
      </c>
      <c r="I115" s="111">
        <f>T_08!AA32</f>
        <v>0</v>
      </c>
      <c r="J115" s="111">
        <f>T_08!AB32</f>
        <v>1</v>
      </c>
      <c r="K115" s="111">
        <f>T_08!AC32</f>
        <v>4</v>
      </c>
      <c r="L115" s="111">
        <f>T_08!AD32</f>
        <v>4</v>
      </c>
      <c r="M115" s="111">
        <f>T_08!AE32</f>
        <v>1</v>
      </c>
      <c r="N115" s="111">
        <f>T_08!AF32</f>
        <v>3</v>
      </c>
      <c r="O115" s="1114">
        <f t="shared" si="4"/>
        <v>25</v>
      </c>
    </row>
    <row r="116" spans="1:20" x14ac:dyDescent="0.2">
      <c r="A116" s="1" t="s">
        <v>615</v>
      </c>
      <c r="B116" s="117" t="s">
        <v>49</v>
      </c>
      <c r="C116" s="110">
        <f>T_08!U33</f>
        <v>25</v>
      </c>
      <c r="D116" s="111">
        <f>T_08!V33</f>
        <v>1</v>
      </c>
      <c r="E116" s="111">
        <f>T_08!W33</f>
        <v>8</v>
      </c>
      <c r="F116" s="111">
        <f>T_08!X33</f>
        <v>3</v>
      </c>
      <c r="G116" s="111">
        <f>T_08!Y33</f>
        <v>2</v>
      </c>
      <c r="H116" s="111">
        <f>T_08!Z33</f>
        <v>1</v>
      </c>
      <c r="I116" s="111">
        <f>T_08!AA33</f>
        <v>0</v>
      </c>
      <c r="J116" s="111">
        <f>T_08!AB33</f>
        <v>3</v>
      </c>
      <c r="K116" s="111">
        <f>T_08!AC33</f>
        <v>8</v>
      </c>
      <c r="L116" s="111">
        <f>T_08!AD33</f>
        <v>0</v>
      </c>
      <c r="M116" s="111">
        <f>T_08!AE33</f>
        <v>3</v>
      </c>
      <c r="N116" s="111">
        <f>T_08!AF33</f>
        <v>6</v>
      </c>
      <c r="O116" s="1114">
        <f t="shared" si="4"/>
        <v>60</v>
      </c>
    </row>
    <row r="117" spans="1:20" x14ac:dyDescent="0.2">
      <c r="A117" s="1" t="s">
        <v>616</v>
      </c>
      <c r="B117" s="117" t="s">
        <v>50</v>
      </c>
      <c r="C117" s="110">
        <f>T_08!U34</f>
        <v>4</v>
      </c>
      <c r="D117" s="111">
        <f>T_08!V34</f>
        <v>3</v>
      </c>
      <c r="E117" s="111">
        <f>T_08!W34</f>
        <v>3</v>
      </c>
      <c r="F117" s="111">
        <f>T_08!X34</f>
        <v>1</v>
      </c>
      <c r="G117" s="111">
        <f>T_08!Y34</f>
        <v>2</v>
      </c>
      <c r="H117" s="111">
        <f>T_08!Z34</f>
        <v>0</v>
      </c>
      <c r="I117" s="111">
        <f>T_08!AA34</f>
        <v>3</v>
      </c>
      <c r="J117" s="111">
        <f>T_08!AB34</f>
        <v>7</v>
      </c>
      <c r="K117" s="111">
        <f>T_08!AC34</f>
        <v>3</v>
      </c>
      <c r="L117" s="111">
        <f>T_08!AD34</f>
        <v>1</v>
      </c>
      <c r="M117" s="111">
        <f>T_08!AE34</f>
        <v>0</v>
      </c>
      <c r="N117" s="111">
        <f>T_08!AF34</f>
        <v>1</v>
      </c>
      <c r="O117" s="1114">
        <f t="shared" si="4"/>
        <v>28</v>
      </c>
    </row>
    <row r="118" spans="1:20" x14ac:dyDescent="0.2">
      <c r="A118" s="1" t="s">
        <v>617</v>
      </c>
      <c r="B118" s="117" t="s">
        <v>51</v>
      </c>
      <c r="C118" s="110">
        <f>T_08!U35</f>
        <v>5</v>
      </c>
      <c r="D118" s="111">
        <f>T_08!V35</f>
        <v>0</v>
      </c>
      <c r="E118" s="111">
        <f>T_08!W35</f>
        <v>2</v>
      </c>
      <c r="F118" s="111">
        <f>T_08!X35</f>
        <v>0</v>
      </c>
      <c r="G118" s="111">
        <f>T_08!Y35</f>
        <v>1</v>
      </c>
      <c r="H118" s="111">
        <f>T_08!Z35</f>
        <v>1</v>
      </c>
      <c r="I118" s="111">
        <f>T_08!AA35</f>
        <v>1</v>
      </c>
      <c r="J118" s="111">
        <f>T_08!AB35</f>
        <v>0</v>
      </c>
      <c r="K118" s="111">
        <f>T_08!AC35</f>
        <v>2</v>
      </c>
      <c r="L118" s="111">
        <f>T_08!AD35</f>
        <v>4</v>
      </c>
      <c r="M118" s="111">
        <f>T_08!AE35</f>
        <v>1</v>
      </c>
      <c r="N118" s="111">
        <f>T_08!AF35</f>
        <v>3</v>
      </c>
      <c r="O118" s="1114">
        <f t="shared" si="4"/>
        <v>20</v>
      </c>
    </row>
    <row r="119" spans="1:20" x14ac:dyDescent="0.2">
      <c r="A119" s="1" t="s">
        <v>618</v>
      </c>
      <c r="B119" s="117" t="s">
        <v>52</v>
      </c>
      <c r="C119" s="110">
        <f>T_08!U36</f>
        <v>12</v>
      </c>
      <c r="D119" s="111">
        <f>T_08!V36</f>
        <v>0</v>
      </c>
      <c r="E119" s="111">
        <f>T_08!W36</f>
        <v>5</v>
      </c>
      <c r="F119" s="111">
        <f>T_08!X36</f>
        <v>3</v>
      </c>
      <c r="G119" s="111">
        <f>T_08!Y36</f>
        <v>2</v>
      </c>
      <c r="H119" s="111">
        <f>T_08!Z36</f>
        <v>8</v>
      </c>
      <c r="I119" s="111">
        <f>T_08!AA36</f>
        <v>3</v>
      </c>
      <c r="J119" s="111">
        <f>T_08!AB36</f>
        <v>5</v>
      </c>
      <c r="K119" s="111">
        <f>T_08!AC36</f>
        <v>6</v>
      </c>
      <c r="L119" s="111">
        <f>T_08!AD36</f>
        <v>2</v>
      </c>
      <c r="M119" s="111">
        <f>T_08!AE36</f>
        <v>4</v>
      </c>
      <c r="N119" s="111">
        <f>T_08!AF36</f>
        <v>3</v>
      </c>
      <c r="O119" s="1114">
        <f t="shared" si="4"/>
        <v>53</v>
      </c>
    </row>
    <row r="120" spans="1:20" x14ac:dyDescent="0.2">
      <c r="A120" s="1"/>
      <c r="B120" s="117" t="str">
        <f>IF(T_08!$A$37 = "Z_Not Known", "Not Known","")</f>
        <v/>
      </c>
      <c r="C120" s="1115">
        <f>T_08!U37</f>
        <v>0</v>
      </c>
      <c r="D120" s="111">
        <f>T_08!V37</f>
        <v>0</v>
      </c>
      <c r="E120" s="111">
        <f>T_08!W37</f>
        <v>0</v>
      </c>
      <c r="F120" s="111">
        <f>T_08!X37</f>
        <v>0</v>
      </c>
      <c r="G120" s="111">
        <f>T_08!Y37</f>
        <v>0</v>
      </c>
      <c r="H120" s="111">
        <f>T_08!Z37</f>
        <v>0</v>
      </c>
      <c r="I120" s="111">
        <f>T_08!AA37</f>
        <v>0</v>
      </c>
      <c r="J120" s="111">
        <f>T_08!AB37</f>
        <v>0</v>
      </c>
      <c r="K120" s="111">
        <f>T_08!AC37</f>
        <v>0</v>
      </c>
      <c r="L120" s="111">
        <f>T_08!AD37</f>
        <v>0</v>
      </c>
      <c r="M120" s="111">
        <f>T_08!AE37</f>
        <v>0</v>
      </c>
      <c r="N120" s="111">
        <f>T_08!AF37</f>
        <v>0</v>
      </c>
      <c r="O120" s="1114">
        <f t="shared" si="4"/>
        <v>0</v>
      </c>
    </row>
    <row r="121" spans="1:20" ht="15.75" thickBot="1" x14ac:dyDescent="0.25">
      <c r="A121" s="359" t="s">
        <v>620</v>
      </c>
      <c r="B121" s="360" t="s">
        <v>143</v>
      </c>
      <c r="C121" s="865">
        <f t="shared" ref="C121:O121" si="5">SUM(C88:C119)</f>
        <v>316</v>
      </c>
      <c r="D121" s="865">
        <f t="shared" si="5"/>
        <v>73</v>
      </c>
      <c r="E121" s="865">
        <f t="shared" si="5"/>
        <v>197</v>
      </c>
      <c r="F121" s="865">
        <f t="shared" si="5"/>
        <v>31</v>
      </c>
      <c r="G121" s="865">
        <f t="shared" si="5"/>
        <v>65</v>
      </c>
      <c r="H121" s="865">
        <f t="shared" si="5"/>
        <v>83</v>
      </c>
      <c r="I121" s="865">
        <f t="shared" si="5"/>
        <v>72</v>
      </c>
      <c r="J121" s="865">
        <f t="shared" si="5"/>
        <v>112</v>
      </c>
      <c r="K121" s="865">
        <f t="shared" si="5"/>
        <v>140</v>
      </c>
      <c r="L121" s="865">
        <f t="shared" si="5"/>
        <v>89</v>
      </c>
      <c r="M121" s="865">
        <f t="shared" si="5"/>
        <v>95</v>
      </c>
      <c r="N121" s="865">
        <f t="shared" si="5"/>
        <v>105</v>
      </c>
      <c r="O121" s="865">
        <f t="shared" si="5"/>
        <v>1378</v>
      </c>
    </row>
    <row r="123" spans="1:20" x14ac:dyDescent="0.2">
      <c r="A123" s="5" t="s">
        <v>146</v>
      </c>
    </row>
    <row r="124" spans="1:20" ht="15" x14ac:dyDescent="0.25">
      <c r="A124" s="966" t="s">
        <v>1523</v>
      </c>
    </row>
    <row r="125" spans="1:20" x14ac:dyDescent="0.2">
      <c r="S125" s="211"/>
      <c r="T125" s="211" t="str">
        <f>IFERROR(GETPIVOTDATA("Sum of 18:Stand By",T_06!$A$4,"PubLANAME","Z_Not Known"), "")</f>
        <v/>
      </c>
    </row>
  </sheetData>
  <sheetProtection algorithmName="SHA-512" hashValue="S03Em66+qjvJ4F26LGIwC02xMK54SEtGA9tezE+Z/a6p2HNqqZgiDZ2AnfHDlYagTJrbMLxqdW+6XbhGogf5Lg==" saltValue="zCJGFBBtgiBuQSX6s+tNGw==" spinCount="100000" sheet="1" scenarios="1" formatCells="0" formatColumns="0" formatRows="0" sort="0" autoFilter="0" pivotTables="0"/>
  <hyperlinks>
    <hyperlink ref="A2" location="'Table of Contents'!A1" display="Back to Table of Contents" xr:uid="{00000000-0004-0000-13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pageSetUpPr fitToPage="1"/>
  </sheetPr>
  <dimension ref="A1:G2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2.5703125" bestFit="1" customWidth="1"/>
    <col min="2" max="2" width="7.42578125" bestFit="1" customWidth="1"/>
    <col min="3" max="3" width="22" bestFit="1" customWidth="1"/>
    <col min="4" max="4" width="9" bestFit="1" customWidth="1"/>
    <col min="5" max="5" width="14.5703125" bestFit="1" customWidth="1"/>
    <col min="6" max="6" width="13" bestFit="1" customWidth="1"/>
    <col min="7" max="7" width="7.85546875" bestFit="1" customWidth="1"/>
  </cols>
  <sheetData>
    <row r="1" spans="1:7" x14ac:dyDescent="0.2"/>
    <row r="4" spans="1:7" x14ac:dyDescent="0.2">
      <c r="A4" s="1223" t="s">
        <v>1764</v>
      </c>
      <c r="B4" s="1223" t="s">
        <v>4</v>
      </c>
      <c r="C4" s="1223" t="s">
        <v>1767</v>
      </c>
      <c r="D4" s="1223" t="s">
        <v>828</v>
      </c>
      <c r="E4" s="1223" t="s">
        <v>850</v>
      </c>
      <c r="F4" s="1223" t="s">
        <v>851</v>
      </c>
      <c r="G4" s="1223" t="s">
        <v>852</v>
      </c>
    </row>
    <row r="5" spans="1:7" x14ac:dyDescent="0.2">
      <c r="A5" s="1186" t="s">
        <v>61</v>
      </c>
      <c r="B5" s="1186" t="s">
        <v>19</v>
      </c>
      <c r="C5" s="1186">
        <v>1042</v>
      </c>
      <c r="D5" s="1186">
        <v>892</v>
      </c>
      <c r="E5" s="1186">
        <v>74</v>
      </c>
      <c r="F5" s="1186">
        <v>57</v>
      </c>
      <c r="G5" s="1186">
        <v>19</v>
      </c>
    </row>
    <row r="6" spans="1:7" x14ac:dyDescent="0.2">
      <c r="A6" s="1186" t="s">
        <v>61</v>
      </c>
      <c r="B6" s="1186" t="s">
        <v>20</v>
      </c>
      <c r="C6" s="1186">
        <v>1101</v>
      </c>
      <c r="D6" s="1186">
        <v>975</v>
      </c>
      <c r="E6" s="1186">
        <v>70</v>
      </c>
      <c r="F6" s="1186">
        <v>38</v>
      </c>
      <c r="G6" s="1186">
        <v>18</v>
      </c>
    </row>
    <row r="7" spans="1:7" x14ac:dyDescent="0.2">
      <c r="A7" s="1186" t="s">
        <v>61</v>
      </c>
      <c r="B7" s="1186" t="s">
        <v>13</v>
      </c>
      <c r="C7" s="1186">
        <v>1133</v>
      </c>
      <c r="D7" s="1186">
        <v>982</v>
      </c>
      <c r="E7" s="1186">
        <v>82</v>
      </c>
      <c r="F7" s="1186">
        <v>53</v>
      </c>
      <c r="G7" s="1186">
        <v>16</v>
      </c>
    </row>
    <row r="8" spans="1:7" x14ac:dyDescent="0.2">
      <c r="A8" s="1186" t="s">
        <v>61</v>
      </c>
      <c r="B8" s="1186" t="s">
        <v>15</v>
      </c>
      <c r="C8" s="1186">
        <v>1125</v>
      </c>
      <c r="D8" s="1186">
        <v>1014</v>
      </c>
      <c r="E8" s="1186">
        <v>62</v>
      </c>
      <c r="F8" s="1186">
        <v>34</v>
      </c>
      <c r="G8" s="1186">
        <v>15</v>
      </c>
    </row>
    <row r="9" spans="1:7" x14ac:dyDescent="0.2">
      <c r="A9" s="1186" t="s">
        <v>61</v>
      </c>
      <c r="B9" s="1186" t="s">
        <v>17</v>
      </c>
      <c r="C9" s="1186">
        <v>1118</v>
      </c>
      <c r="D9" s="1186">
        <v>986</v>
      </c>
      <c r="E9" s="1186">
        <v>62</v>
      </c>
      <c r="F9" s="1186">
        <v>48</v>
      </c>
      <c r="G9" s="1186">
        <v>22</v>
      </c>
    </row>
    <row r="10" spans="1:7" x14ac:dyDescent="0.2">
      <c r="A10" s="1186" t="s">
        <v>61</v>
      </c>
      <c r="B10" s="1186" t="s">
        <v>133</v>
      </c>
      <c r="C10" s="1186">
        <v>940</v>
      </c>
      <c r="D10" s="1186">
        <v>826</v>
      </c>
      <c r="E10" s="1186">
        <v>66</v>
      </c>
      <c r="F10" s="1186">
        <v>35</v>
      </c>
      <c r="G10" s="1186">
        <v>13</v>
      </c>
    </row>
    <row r="11" spans="1:7" x14ac:dyDescent="0.2">
      <c r="A11" s="1186" t="s">
        <v>61</v>
      </c>
      <c r="B11" s="1186" t="s">
        <v>144</v>
      </c>
      <c r="C11" s="1186">
        <v>1093</v>
      </c>
      <c r="D11" s="1186">
        <v>925</v>
      </c>
      <c r="E11" s="1186">
        <v>94</v>
      </c>
      <c r="F11" s="1186">
        <v>57</v>
      </c>
      <c r="G11" s="1186">
        <v>17</v>
      </c>
    </row>
    <row r="12" spans="1:7" x14ac:dyDescent="0.2">
      <c r="A12" s="1186" t="s">
        <v>61</v>
      </c>
      <c r="B12" s="1186" t="s">
        <v>282</v>
      </c>
      <c r="C12" s="1186">
        <v>1053</v>
      </c>
      <c r="D12" s="1186">
        <v>940</v>
      </c>
      <c r="E12" s="1186">
        <v>55</v>
      </c>
      <c r="F12" s="1186">
        <v>38</v>
      </c>
      <c r="G12" s="1186">
        <v>20</v>
      </c>
    </row>
    <row r="13" spans="1:7" x14ac:dyDescent="0.2">
      <c r="A13" s="1186" t="s">
        <v>61</v>
      </c>
      <c r="B13" s="1186" t="s">
        <v>311</v>
      </c>
      <c r="C13" s="1186">
        <v>935</v>
      </c>
      <c r="D13" s="1186">
        <v>797</v>
      </c>
      <c r="E13" s="1186">
        <v>74</v>
      </c>
      <c r="F13" s="1186">
        <v>48</v>
      </c>
      <c r="G13" s="1186">
        <v>16</v>
      </c>
    </row>
    <row r="14" spans="1:7" x14ac:dyDescent="0.2">
      <c r="A14" s="1186" t="s">
        <v>61</v>
      </c>
      <c r="B14" s="1186" t="s">
        <v>621</v>
      </c>
      <c r="C14" s="1186">
        <v>1008</v>
      </c>
      <c r="D14" s="1186">
        <v>886</v>
      </c>
      <c r="E14" s="1186">
        <v>75</v>
      </c>
      <c r="F14" s="1186">
        <v>26</v>
      </c>
      <c r="G14" s="1186">
        <v>21</v>
      </c>
    </row>
    <row r="15" spans="1:7" x14ac:dyDescent="0.2">
      <c r="A15" s="1186" t="s">
        <v>61</v>
      </c>
      <c r="B15" s="1186" t="s">
        <v>1419</v>
      </c>
      <c r="C15" s="1186">
        <v>860</v>
      </c>
      <c r="D15" s="1186">
        <v>743</v>
      </c>
      <c r="E15" s="1186">
        <v>71</v>
      </c>
      <c r="F15" s="1186">
        <v>27</v>
      </c>
      <c r="G15" s="1186">
        <v>19</v>
      </c>
    </row>
    <row r="16" spans="1:7" x14ac:dyDescent="0.2">
      <c r="A16" s="1186" t="s">
        <v>61</v>
      </c>
      <c r="B16" s="1186" t="s">
        <v>1572</v>
      </c>
      <c r="C16" s="1186">
        <v>861</v>
      </c>
      <c r="D16" s="1186">
        <v>751</v>
      </c>
      <c r="E16" s="1186">
        <v>61</v>
      </c>
      <c r="F16" s="1186">
        <v>18</v>
      </c>
      <c r="G16" s="1186">
        <v>31</v>
      </c>
    </row>
    <row r="17" spans="1:7" x14ac:dyDescent="0.2">
      <c r="A17" s="1186" t="s">
        <v>116</v>
      </c>
      <c r="B17" s="1186" t="s">
        <v>19</v>
      </c>
      <c r="C17" s="1186">
        <v>181</v>
      </c>
      <c r="D17" s="1186">
        <v>140</v>
      </c>
      <c r="E17" s="1186">
        <v>21</v>
      </c>
      <c r="F17" s="1186">
        <v>9</v>
      </c>
      <c r="G17" s="1186">
        <v>11</v>
      </c>
    </row>
    <row r="18" spans="1:7" x14ac:dyDescent="0.2">
      <c r="A18" s="1186" t="s">
        <v>116</v>
      </c>
      <c r="B18" s="1186" t="s">
        <v>20</v>
      </c>
      <c r="C18" s="1186">
        <v>231</v>
      </c>
      <c r="D18" s="1186">
        <v>167</v>
      </c>
      <c r="E18" s="1186">
        <v>39</v>
      </c>
      <c r="F18" s="1186">
        <v>5</v>
      </c>
      <c r="G18" s="1186">
        <v>20</v>
      </c>
    </row>
    <row r="19" spans="1:7" x14ac:dyDescent="0.2">
      <c r="A19" s="1186" t="s">
        <v>116</v>
      </c>
      <c r="B19" s="1186" t="s">
        <v>13</v>
      </c>
      <c r="C19" s="1186">
        <v>281</v>
      </c>
      <c r="D19" s="1186">
        <v>237</v>
      </c>
      <c r="E19" s="1186">
        <v>17</v>
      </c>
      <c r="F19" s="1186">
        <v>5</v>
      </c>
      <c r="G19" s="1186">
        <v>22</v>
      </c>
    </row>
    <row r="20" spans="1:7" x14ac:dyDescent="0.2">
      <c r="A20" s="1186" t="s">
        <v>116</v>
      </c>
      <c r="B20" s="1186" t="s">
        <v>15</v>
      </c>
      <c r="C20" s="1186">
        <v>194</v>
      </c>
      <c r="D20" s="1186">
        <v>152</v>
      </c>
      <c r="E20" s="1186">
        <v>30</v>
      </c>
      <c r="F20" s="1186">
        <v>1</v>
      </c>
      <c r="G20" s="1186">
        <v>11</v>
      </c>
    </row>
    <row r="21" spans="1:7" x14ac:dyDescent="0.2">
      <c r="A21" s="1186" t="s">
        <v>116</v>
      </c>
      <c r="B21" s="1186" t="s">
        <v>17</v>
      </c>
      <c r="C21" s="1186">
        <v>192</v>
      </c>
      <c r="D21" s="1186">
        <v>154</v>
      </c>
      <c r="E21" s="1186">
        <v>24</v>
      </c>
      <c r="F21" s="1186">
        <v>2</v>
      </c>
      <c r="G21" s="1186">
        <v>12</v>
      </c>
    </row>
    <row r="22" spans="1:7" x14ac:dyDescent="0.2">
      <c r="A22" s="1186" t="s">
        <v>116</v>
      </c>
      <c r="B22" s="1186" t="s">
        <v>133</v>
      </c>
      <c r="C22" s="1186">
        <v>159</v>
      </c>
      <c r="D22" s="1186">
        <v>121</v>
      </c>
      <c r="E22" s="1186">
        <v>25</v>
      </c>
      <c r="F22" s="1186">
        <v>5</v>
      </c>
      <c r="G22" s="1186">
        <v>8</v>
      </c>
    </row>
    <row r="23" spans="1:7" x14ac:dyDescent="0.2">
      <c r="A23" s="1186" t="s">
        <v>116</v>
      </c>
      <c r="B23" s="1186" t="s">
        <v>144</v>
      </c>
      <c r="C23" s="1186">
        <v>183</v>
      </c>
      <c r="D23" s="1186">
        <v>138</v>
      </c>
      <c r="E23" s="1186">
        <v>23</v>
      </c>
      <c r="F23" s="1186">
        <v>4</v>
      </c>
      <c r="G23" s="1186">
        <v>18</v>
      </c>
    </row>
    <row r="24" spans="1:7" x14ac:dyDescent="0.2">
      <c r="A24" s="1186" t="s">
        <v>116</v>
      </c>
      <c r="B24" s="1186" t="s">
        <v>282</v>
      </c>
      <c r="C24" s="1186">
        <v>213</v>
      </c>
      <c r="D24" s="1186">
        <v>175</v>
      </c>
      <c r="E24" s="1186">
        <v>17</v>
      </c>
      <c r="F24" s="1186">
        <v>10</v>
      </c>
      <c r="G24" s="1186">
        <v>11</v>
      </c>
    </row>
    <row r="25" spans="1:7" x14ac:dyDescent="0.2">
      <c r="A25" s="1186" t="s">
        <v>116</v>
      </c>
      <c r="B25" s="1186" t="s">
        <v>311</v>
      </c>
      <c r="C25" s="1186">
        <v>181</v>
      </c>
      <c r="D25" s="1186">
        <v>124</v>
      </c>
      <c r="E25" s="1186">
        <v>45</v>
      </c>
      <c r="F25" s="1186">
        <v>3</v>
      </c>
      <c r="G25" s="1186">
        <v>9</v>
      </c>
    </row>
    <row r="26" spans="1:7" x14ac:dyDescent="0.2">
      <c r="A26" s="1186" t="s">
        <v>116</v>
      </c>
      <c r="B26" s="1186" t="s">
        <v>621</v>
      </c>
      <c r="C26" s="1186">
        <v>189</v>
      </c>
      <c r="D26" s="1186">
        <v>130</v>
      </c>
      <c r="E26" s="1186">
        <v>34</v>
      </c>
      <c r="F26" s="1186">
        <v>8</v>
      </c>
      <c r="G26" s="1186">
        <v>17</v>
      </c>
    </row>
    <row r="27" spans="1:7" x14ac:dyDescent="0.2">
      <c r="A27" s="1186" t="s">
        <v>116</v>
      </c>
      <c r="B27" s="1186" t="s">
        <v>1419</v>
      </c>
      <c r="C27" s="1186">
        <v>167</v>
      </c>
      <c r="D27" s="1186">
        <v>134</v>
      </c>
      <c r="E27" s="1186">
        <v>20</v>
      </c>
      <c r="F27" s="1186">
        <v>2</v>
      </c>
      <c r="G27" s="1186">
        <v>11</v>
      </c>
    </row>
    <row r="28" spans="1:7" x14ac:dyDescent="0.2">
      <c r="A28" s="1186" t="s">
        <v>116</v>
      </c>
      <c r="B28" s="1186" t="s">
        <v>1572</v>
      </c>
      <c r="C28" s="1186">
        <v>156</v>
      </c>
      <c r="D28" s="1186">
        <v>125</v>
      </c>
      <c r="E28" s="1186">
        <v>13</v>
      </c>
      <c r="F28" s="1186">
        <v>4</v>
      </c>
      <c r="G28" s="1186">
        <v>14</v>
      </c>
    </row>
  </sheetData>
  <pageMargins left="0.7" right="0.7" top="0.75" bottom="0.75" header="0.3" footer="0.3"/>
  <pageSetup paperSize="9" fitToHeight="50" orientation="landscape" r:id="rId1"/>
  <legacyDrawing r:id="rId2"/>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pageSetUpPr fitToPage="1"/>
  </sheetPr>
  <dimension ref="A1:E389"/>
  <sheetViews>
    <sheetView zoomScale="85" zoomScaleNormal="85" workbookViewId="0">
      <pane ySplit="4" topLeftCell="A34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9.5703125" bestFit="1" customWidth="1"/>
    <col min="3" max="3" width="9.140625" bestFit="1" customWidth="1"/>
    <col min="4" max="4" width="9" bestFit="1" customWidth="1"/>
    <col min="5" max="5" width="6.85546875" bestFit="1" customWidth="1"/>
  </cols>
  <sheetData>
    <row r="1" spans="1:5" x14ac:dyDescent="0.2"/>
    <row r="4" spans="1:5" x14ac:dyDescent="0.2">
      <c r="A4" s="1223" t="s">
        <v>4</v>
      </c>
      <c r="B4" s="1223" t="s">
        <v>1627</v>
      </c>
      <c r="C4" s="1223" t="s">
        <v>61</v>
      </c>
      <c r="D4" s="1223" t="s">
        <v>116</v>
      </c>
      <c r="E4" s="1223" t="s">
        <v>1582</v>
      </c>
    </row>
    <row r="5" spans="1:5" x14ac:dyDescent="0.2">
      <c r="A5" s="1186" t="s">
        <v>19</v>
      </c>
      <c r="B5" s="1186" t="s">
        <v>23</v>
      </c>
      <c r="C5" s="1186">
        <v>505</v>
      </c>
      <c r="D5" s="1186">
        <v>198</v>
      </c>
      <c r="E5" s="1186">
        <v>217020</v>
      </c>
    </row>
    <row r="6" spans="1:5" x14ac:dyDescent="0.2">
      <c r="A6" s="1186" t="s">
        <v>19</v>
      </c>
      <c r="B6" s="1186" t="s">
        <v>24</v>
      </c>
      <c r="C6" s="1186">
        <v>387</v>
      </c>
      <c r="D6" s="1186">
        <v>64</v>
      </c>
      <c r="E6" s="1186">
        <v>249020</v>
      </c>
    </row>
    <row r="7" spans="1:5" x14ac:dyDescent="0.2">
      <c r="A7" s="1186" t="s">
        <v>19</v>
      </c>
      <c r="B7" s="1186" t="s">
        <v>25</v>
      </c>
      <c r="C7" s="1186">
        <v>166</v>
      </c>
      <c r="D7" s="1186">
        <v>25</v>
      </c>
      <c r="E7" s="1186">
        <v>114830</v>
      </c>
    </row>
    <row r="8" spans="1:5" x14ac:dyDescent="0.2">
      <c r="A8" s="1186" t="s">
        <v>19</v>
      </c>
      <c r="B8" s="1186" t="s">
        <v>26</v>
      </c>
      <c r="C8" s="1186">
        <v>152</v>
      </c>
      <c r="D8" s="1186">
        <v>35</v>
      </c>
      <c r="E8" s="1186">
        <v>89450</v>
      </c>
    </row>
    <row r="9" spans="1:5" x14ac:dyDescent="0.2">
      <c r="A9" s="1186" t="s">
        <v>19</v>
      </c>
      <c r="B9" s="1186" t="s">
        <v>619</v>
      </c>
      <c r="C9" s="1186">
        <v>949</v>
      </c>
      <c r="D9" s="1186">
        <v>623</v>
      </c>
      <c r="E9" s="1186">
        <v>463230</v>
      </c>
    </row>
    <row r="10" spans="1:5" x14ac:dyDescent="0.2">
      <c r="A10" s="1186" t="s">
        <v>19</v>
      </c>
      <c r="B10" s="1186" t="s">
        <v>27</v>
      </c>
      <c r="C10" s="1186">
        <v>73</v>
      </c>
      <c r="D10" s="1186">
        <v>42</v>
      </c>
      <c r="E10" s="1186">
        <v>51290</v>
      </c>
    </row>
    <row r="11" spans="1:5" x14ac:dyDescent="0.2">
      <c r="A11" s="1186" t="s">
        <v>19</v>
      </c>
      <c r="B11" s="1186" t="s">
        <v>28</v>
      </c>
      <c r="C11" s="1186">
        <v>253</v>
      </c>
      <c r="D11" s="1186">
        <v>53</v>
      </c>
      <c r="E11" s="1186">
        <v>151160</v>
      </c>
    </row>
    <row r="12" spans="1:5" x14ac:dyDescent="0.2">
      <c r="A12" s="1186" t="s">
        <v>19</v>
      </c>
      <c r="B12" s="1186" t="s">
        <v>29</v>
      </c>
      <c r="C12" s="1186">
        <v>403</v>
      </c>
      <c r="D12" s="1186">
        <v>102</v>
      </c>
      <c r="E12" s="1186">
        <v>145170</v>
      </c>
    </row>
    <row r="13" spans="1:5" x14ac:dyDescent="0.2">
      <c r="A13" s="1186" t="s">
        <v>19</v>
      </c>
      <c r="B13" s="1186" t="s">
        <v>30</v>
      </c>
      <c r="C13" s="1186">
        <v>178</v>
      </c>
      <c r="D13" s="1186">
        <v>118</v>
      </c>
      <c r="E13" s="1186">
        <v>122110</v>
      </c>
    </row>
    <row r="14" spans="1:5" x14ac:dyDescent="0.2">
      <c r="A14" s="1186" t="s">
        <v>19</v>
      </c>
      <c r="B14" s="1186" t="s">
        <v>31</v>
      </c>
      <c r="C14" s="1186">
        <v>107</v>
      </c>
      <c r="D14" s="1186">
        <v>82</v>
      </c>
      <c r="E14" s="1186">
        <v>104960</v>
      </c>
    </row>
    <row r="15" spans="1:5" x14ac:dyDescent="0.2">
      <c r="A15" s="1186" t="s">
        <v>19</v>
      </c>
      <c r="B15" s="1186" t="s">
        <v>32</v>
      </c>
      <c r="C15" s="1186">
        <v>160</v>
      </c>
      <c r="D15" s="1186">
        <v>86</v>
      </c>
      <c r="E15" s="1186">
        <v>98340</v>
      </c>
    </row>
    <row r="16" spans="1:5" x14ac:dyDescent="0.2">
      <c r="A16" s="1186" t="s">
        <v>19</v>
      </c>
      <c r="B16" s="1186" t="s">
        <v>33</v>
      </c>
      <c r="C16" s="1186">
        <v>90</v>
      </c>
      <c r="D16" s="1186">
        <v>64</v>
      </c>
      <c r="E16" s="1186">
        <v>89980</v>
      </c>
    </row>
    <row r="17" spans="1:5" x14ac:dyDescent="0.2">
      <c r="A17" s="1186" t="s">
        <v>19</v>
      </c>
      <c r="B17" s="1186" t="s">
        <v>34</v>
      </c>
      <c r="C17" s="1186">
        <v>184</v>
      </c>
      <c r="D17" s="1186">
        <v>73</v>
      </c>
      <c r="E17" s="1186">
        <v>154210</v>
      </c>
    </row>
    <row r="18" spans="1:5" x14ac:dyDescent="0.2">
      <c r="A18" s="1186" t="s">
        <v>19</v>
      </c>
      <c r="B18" s="1186" t="s">
        <v>35</v>
      </c>
      <c r="C18" s="1186">
        <v>492</v>
      </c>
      <c r="D18" s="1186">
        <v>188</v>
      </c>
      <c r="E18" s="1186">
        <v>361420</v>
      </c>
    </row>
    <row r="19" spans="1:5" x14ac:dyDescent="0.2">
      <c r="A19" s="1186" t="s">
        <v>19</v>
      </c>
      <c r="B19" s="1186" t="s">
        <v>36</v>
      </c>
      <c r="C19" s="1186">
        <v>1573</v>
      </c>
      <c r="D19" s="1186">
        <v>846</v>
      </c>
      <c r="E19" s="1186">
        <v>581620</v>
      </c>
    </row>
    <row r="20" spans="1:5" x14ac:dyDescent="0.2">
      <c r="A20" s="1186" t="s">
        <v>19</v>
      </c>
      <c r="B20" s="1186" t="s">
        <v>37</v>
      </c>
      <c r="C20" s="1186">
        <v>305</v>
      </c>
      <c r="D20" s="1186">
        <v>52</v>
      </c>
      <c r="E20" s="1186">
        <v>228750</v>
      </c>
    </row>
    <row r="21" spans="1:5" x14ac:dyDescent="0.2">
      <c r="A21" s="1186" t="s">
        <v>19</v>
      </c>
      <c r="B21" s="1186" t="s">
        <v>38</v>
      </c>
      <c r="C21" s="1186">
        <v>152</v>
      </c>
      <c r="D21" s="1186">
        <v>150</v>
      </c>
      <c r="E21" s="1186">
        <v>81670</v>
      </c>
    </row>
    <row r="22" spans="1:5" x14ac:dyDescent="0.2">
      <c r="A22" s="1186" t="s">
        <v>19</v>
      </c>
      <c r="B22" s="1186" t="s">
        <v>39</v>
      </c>
      <c r="C22" s="1186">
        <v>117</v>
      </c>
      <c r="D22" s="1186">
        <v>81</v>
      </c>
      <c r="E22" s="1186">
        <v>81900</v>
      </c>
    </row>
    <row r="23" spans="1:5" x14ac:dyDescent="0.2">
      <c r="A23" s="1186" t="s">
        <v>19</v>
      </c>
      <c r="B23" s="1186" t="s">
        <v>40</v>
      </c>
      <c r="C23" s="1186">
        <v>135</v>
      </c>
      <c r="D23" s="1186">
        <v>31</v>
      </c>
      <c r="E23" s="1186">
        <v>93160</v>
      </c>
    </row>
    <row r="24" spans="1:5" x14ac:dyDescent="0.2">
      <c r="A24" s="1186" t="s">
        <v>19</v>
      </c>
      <c r="B24" s="1186" t="s">
        <v>295</v>
      </c>
      <c r="C24" s="1186">
        <v>36</v>
      </c>
      <c r="D24" s="1186">
        <v>3</v>
      </c>
      <c r="E24" s="1186">
        <v>27420</v>
      </c>
    </row>
    <row r="25" spans="1:5" x14ac:dyDescent="0.2">
      <c r="A25" s="1186" t="s">
        <v>19</v>
      </c>
      <c r="B25" s="1186" t="s">
        <v>41</v>
      </c>
      <c r="C25" s="1186">
        <v>256</v>
      </c>
      <c r="D25" s="1186">
        <v>117</v>
      </c>
      <c r="E25" s="1186">
        <v>137830</v>
      </c>
    </row>
    <row r="26" spans="1:5" x14ac:dyDescent="0.2">
      <c r="A26" s="1186" t="s">
        <v>19</v>
      </c>
      <c r="B26" s="1186" t="s">
        <v>42</v>
      </c>
      <c r="C26" s="1186">
        <v>537</v>
      </c>
      <c r="D26" s="1186">
        <v>479</v>
      </c>
      <c r="E26" s="1186">
        <v>335160</v>
      </c>
    </row>
    <row r="27" spans="1:5" x14ac:dyDescent="0.2">
      <c r="A27" s="1186" t="s">
        <v>19</v>
      </c>
      <c r="B27" s="1186" t="s">
        <v>43</v>
      </c>
      <c r="C27" s="1186">
        <v>20</v>
      </c>
      <c r="D27" s="1186">
        <v>1</v>
      </c>
      <c r="E27" s="1186">
        <v>20940</v>
      </c>
    </row>
    <row r="28" spans="1:5" x14ac:dyDescent="0.2">
      <c r="A28" s="1186" t="s">
        <v>19</v>
      </c>
      <c r="B28" s="1186" t="s">
        <v>44</v>
      </c>
      <c r="C28" s="1186">
        <v>246</v>
      </c>
      <c r="D28" s="1186">
        <v>38</v>
      </c>
      <c r="E28" s="1186">
        <v>144370</v>
      </c>
    </row>
    <row r="29" spans="1:5" x14ac:dyDescent="0.2">
      <c r="A29" s="1186" t="s">
        <v>19</v>
      </c>
      <c r="B29" s="1186" t="s">
        <v>45</v>
      </c>
      <c r="C29" s="1186">
        <v>338</v>
      </c>
      <c r="D29" s="1186">
        <v>197</v>
      </c>
      <c r="E29" s="1186">
        <v>173020</v>
      </c>
    </row>
    <row r="30" spans="1:5" x14ac:dyDescent="0.2">
      <c r="A30" s="1186" t="s">
        <v>19</v>
      </c>
      <c r="B30" s="1186" t="s">
        <v>46</v>
      </c>
      <c r="C30" s="1186">
        <v>193</v>
      </c>
      <c r="D30" s="1186">
        <v>42</v>
      </c>
      <c r="E30" s="1186">
        <v>113590</v>
      </c>
    </row>
    <row r="31" spans="1:5" x14ac:dyDescent="0.2">
      <c r="A31" s="1186" t="s">
        <v>19</v>
      </c>
      <c r="B31" s="1186" t="s">
        <v>47</v>
      </c>
      <c r="C31" s="1186">
        <v>31</v>
      </c>
      <c r="D31" s="1186">
        <v>2</v>
      </c>
      <c r="E31" s="1186">
        <v>22800</v>
      </c>
    </row>
    <row r="32" spans="1:5" x14ac:dyDescent="0.2">
      <c r="A32" s="1186" t="s">
        <v>19</v>
      </c>
      <c r="B32" s="1186" t="s">
        <v>48</v>
      </c>
      <c r="C32" s="1186">
        <v>151</v>
      </c>
      <c r="D32" s="1186">
        <v>60</v>
      </c>
      <c r="E32" s="1186">
        <v>112490</v>
      </c>
    </row>
    <row r="33" spans="1:5" x14ac:dyDescent="0.2">
      <c r="A33" s="1186" t="s">
        <v>19</v>
      </c>
      <c r="B33" s="1186" t="s">
        <v>49</v>
      </c>
      <c r="C33" s="1186">
        <v>529</v>
      </c>
      <c r="D33" s="1186">
        <v>297</v>
      </c>
      <c r="E33" s="1186">
        <v>312180</v>
      </c>
    </row>
    <row r="34" spans="1:5" x14ac:dyDescent="0.2">
      <c r="A34" s="1186" t="s">
        <v>19</v>
      </c>
      <c r="B34" s="1186" t="s">
        <v>50</v>
      </c>
      <c r="C34" s="1186">
        <v>157</v>
      </c>
      <c r="D34" s="1186">
        <v>42</v>
      </c>
      <c r="E34" s="1186">
        <v>88690</v>
      </c>
    </row>
    <row r="35" spans="1:5" x14ac:dyDescent="0.2">
      <c r="A35" s="1186" t="s">
        <v>19</v>
      </c>
      <c r="B35" s="1186" t="s">
        <v>51</v>
      </c>
      <c r="C35" s="1186">
        <v>193</v>
      </c>
      <c r="D35" s="1186">
        <v>163</v>
      </c>
      <c r="E35" s="1186">
        <v>91080</v>
      </c>
    </row>
    <row r="36" spans="1:5" x14ac:dyDescent="0.2">
      <c r="A36" s="1186" t="s">
        <v>19</v>
      </c>
      <c r="B36" s="1186" t="s">
        <v>52</v>
      </c>
      <c r="C36" s="1186">
        <v>309</v>
      </c>
      <c r="D36" s="1186">
        <v>261</v>
      </c>
      <c r="E36" s="1186">
        <v>173040</v>
      </c>
    </row>
    <row r="37" spans="1:5" x14ac:dyDescent="0.2">
      <c r="A37" s="1186" t="s">
        <v>20</v>
      </c>
      <c r="B37" s="1186" t="s">
        <v>23</v>
      </c>
      <c r="C37" s="1186">
        <v>428</v>
      </c>
      <c r="D37" s="1186">
        <v>210</v>
      </c>
      <c r="E37" s="1186">
        <v>219730</v>
      </c>
    </row>
    <row r="38" spans="1:5" x14ac:dyDescent="0.2">
      <c r="A38" s="1186" t="s">
        <v>20</v>
      </c>
      <c r="B38" s="1186" t="s">
        <v>24</v>
      </c>
      <c r="C38" s="1186">
        <v>380</v>
      </c>
      <c r="D38" s="1186">
        <v>66</v>
      </c>
      <c r="E38" s="1186">
        <v>251430</v>
      </c>
    </row>
    <row r="39" spans="1:5" x14ac:dyDescent="0.2">
      <c r="A39" s="1186" t="s">
        <v>20</v>
      </c>
      <c r="B39" s="1186" t="s">
        <v>25</v>
      </c>
      <c r="C39" s="1186">
        <v>155</v>
      </c>
      <c r="D39" s="1186">
        <v>29</v>
      </c>
      <c r="E39" s="1186">
        <v>115410</v>
      </c>
    </row>
    <row r="40" spans="1:5" x14ac:dyDescent="0.2">
      <c r="A40" s="1186" t="s">
        <v>20</v>
      </c>
      <c r="B40" s="1186" t="s">
        <v>26</v>
      </c>
      <c r="C40" s="1186">
        <v>203</v>
      </c>
      <c r="D40" s="1186">
        <v>41</v>
      </c>
      <c r="E40" s="1186">
        <v>88620</v>
      </c>
    </row>
    <row r="41" spans="1:5" x14ac:dyDescent="0.2">
      <c r="A41" s="1186" t="s">
        <v>20</v>
      </c>
      <c r="B41" s="1186" t="s">
        <v>619</v>
      </c>
      <c r="C41" s="1186">
        <v>959</v>
      </c>
      <c r="D41" s="1186">
        <v>444</v>
      </c>
      <c r="E41" s="1186">
        <v>469930</v>
      </c>
    </row>
    <row r="42" spans="1:5" x14ac:dyDescent="0.2">
      <c r="A42" s="1186" t="s">
        <v>20</v>
      </c>
      <c r="B42" s="1186" t="s">
        <v>27</v>
      </c>
      <c r="C42" s="1186">
        <v>70</v>
      </c>
      <c r="D42" s="1186">
        <v>45</v>
      </c>
      <c r="E42" s="1186">
        <v>51330</v>
      </c>
    </row>
    <row r="43" spans="1:5" x14ac:dyDescent="0.2">
      <c r="A43" s="1186" t="s">
        <v>20</v>
      </c>
      <c r="B43" s="1186" t="s">
        <v>28</v>
      </c>
      <c r="C43" s="1186">
        <v>201</v>
      </c>
      <c r="D43" s="1186">
        <v>68</v>
      </c>
      <c r="E43" s="1186">
        <v>151100</v>
      </c>
    </row>
    <row r="44" spans="1:5" x14ac:dyDescent="0.2">
      <c r="A44" s="1186" t="s">
        <v>20</v>
      </c>
      <c r="B44" s="1186" t="s">
        <v>29</v>
      </c>
      <c r="C44" s="1186">
        <v>426</v>
      </c>
      <c r="D44" s="1186">
        <v>104</v>
      </c>
      <c r="E44" s="1186">
        <v>146060</v>
      </c>
    </row>
    <row r="45" spans="1:5" x14ac:dyDescent="0.2">
      <c r="A45" s="1186" t="s">
        <v>20</v>
      </c>
      <c r="B45" s="1186" t="s">
        <v>30</v>
      </c>
      <c r="C45" s="1186">
        <v>174</v>
      </c>
      <c r="D45" s="1186">
        <v>94</v>
      </c>
      <c r="E45" s="1186">
        <v>122410</v>
      </c>
    </row>
    <row r="46" spans="1:5" x14ac:dyDescent="0.2">
      <c r="A46" s="1186" t="s">
        <v>20</v>
      </c>
      <c r="B46" s="1186" t="s">
        <v>31</v>
      </c>
      <c r="C46" s="1186">
        <v>104</v>
      </c>
      <c r="D46" s="1186">
        <v>52</v>
      </c>
      <c r="E46" s="1186">
        <v>104920</v>
      </c>
    </row>
    <row r="47" spans="1:5" x14ac:dyDescent="0.2">
      <c r="A47" s="1186" t="s">
        <v>20</v>
      </c>
      <c r="B47" s="1186" t="s">
        <v>32</v>
      </c>
      <c r="C47" s="1186">
        <v>150</v>
      </c>
      <c r="D47" s="1186">
        <v>59</v>
      </c>
      <c r="E47" s="1186">
        <v>99140</v>
      </c>
    </row>
    <row r="48" spans="1:5" x14ac:dyDescent="0.2">
      <c r="A48" s="1186" t="s">
        <v>20</v>
      </c>
      <c r="B48" s="1186" t="s">
        <v>33</v>
      </c>
      <c r="C48" s="1186">
        <v>91</v>
      </c>
      <c r="D48" s="1186">
        <v>41</v>
      </c>
      <c r="E48" s="1186">
        <v>90410</v>
      </c>
    </row>
    <row r="49" spans="1:5" x14ac:dyDescent="0.2">
      <c r="A49" s="1186" t="s">
        <v>20</v>
      </c>
      <c r="B49" s="1186" t="s">
        <v>34</v>
      </c>
      <c r="C49" s="1186">
        <v>225</v>
      </c>
      <c r="D49" s="1186">
        <v>86</v>
      </c>
      <c r="E49" s="1186">
        <v>155130</v>
      </c>
    </row>
    <row r="50" spans="1:5" x14ac:dyDescent="0.2">
      <c r="A50" s="1186" t="s">
        <v>20</v>
      </c>
      <c r="B50" s="1186" t="s">
        <v>35</v>
      </c>
      <c r="C50" s="1186">
        <v>481</v>
      </c>
      <c r="D50" s="1186">
        <v>178</v>
      </c>
      <c r="E50" s="1186">
        <v>362610</v>
      </c>
    </row>
    <row r="51" spans="1:5" x14ac:dyDescent="0.2">
      <c r="A51" s="1186" t="s">
        <v>20</v>
      </c>
      <c r="B51" s="1186" t="s">
        <v>36</v>
      </c>
      <c r="C51" s="1186">
        <v>1428</v>
      </c>
      <c r="D51" s="1186">
        <v>777</v>
      </c>
      <c r="E51" s="1186">
        <v>586500</v>
      </c>
    </row>
    <row r="52" spans="1:5" x14ac:dyDescent="0.2">
      <c r="A52" s="1186" t="s">
        <v>20</v>
      </c>
      <c r="B52" s="1186" t="s">
        <v>37</v>
      </c>
      <c r="C52" s="1186">
        <v>366</v>
      </c>
      <c r="D52" s="1186">
        <v>50</v>
      </c>
      <c r="E52" s="1186">
        <v>230730</v>
      </c>
    </row>
    <row r="53" spans="1:5" x14ac:dyDescent="0.2">
      <c r="A53" s="1186" t="s">
        <v>20</v>
      </c>
      <c r="B53" s="1186" t="s">
        <v>38</v>
      </c>
      <c r="C53" s="1186">
        <v>133</v>
      </c>
      <c r="D53" s="1186">
        <v>146</v>
      </c>
      <c r="E53" s="1186">
        <v>81510</v>
      </c>
    </row>
    <row r="54" spans="1:5" x14ac:dyDescent="0.2">
      <c r="A54" s="1186" t="s">
        <v>20</v>
      </c>
      <c r="B54" s="1186" t="s">
        <v>39</v>
      </c>
      <c r="C54" s="1186">
        <v>116</v>
      </c>
      <c r="D54" s="1186">
        <v>73</v>
      </c>
      <c r="E54" s="1186">
        <v>82360</v>
      </c>
    </row>
    <row r="55" spans="1:5" x14ac:dyDescent="0.2">
      <c r="A55" s="1186" t="s">
        <v>20</v>
      </c>
      <c r="B55" s="1186" t="s">
        <v>40</v>
      </c>
      <c r="C55" s="1186">
        <v>136</v>
      </c>
      <c r="D55" s="1186">
        <v>24</v>
      </c>
      <c r="E55" s="1186">
        <v>93690</v>
      </c>
    </row>
    <row r="56" spans="1:5" x14ac:dyDescent="0.2">
      <c r="A56" s="1186" t="s">
        <v>20</v>
      </c>
      <c r="B56" s="1186" t="s">
        <v>295</v>
      </c>
      <c r="C56" s="1186">
        <v>41</v>
      </c>
      <c r="D56" s="1186">
        <v>4</v>
      </c>
      <c r="E56" s="1186">
        <v>27600</v>
      </c>
    </row>
    <row r="57" spans="1:5" x14ac:dyDescent="0.2">
      <c r="A57" s="1186" t="s">
        <v>20</v>
      </c>
      <c r="B57" s="1186" t="s">
        <v>41</v>
      </c>
      <c r="C57" s="1186">
        <v>226</v>
      </c>
      <c r="D57" s="1186">
        <v>123</v>
      </c>
      <c r="E57" s="1186">
        <v>137800</v>
      </c>
    </row>
    <row r="58" spans="1:5" x14ac:dyDescent="0.2">
      <c r="A58" s="1186" t="s">
        <v>20</v>
      </c>
      <c r="B58" s="1186" t="s">
        <v>42</v>
      </c>
      <c r="C58" s="1186">
        <v>483</v>
      </c>
      <c r="D58" s="1186">
        <v>358</v>
      </c>
      <c r="E58" s="1186">
        <v>336280</v>
      </c>
    </row>
    <row r="59" spans="1:5" x14ac:dyDescent="0.2">
      <c r="A59" s="1186" t="s">
        <v>20</v>
      </c>
      <c r="B59" s="1186" t="s">
        <v>43</v>
      </c>
      <c r="C59" s="1186">
        <v>31</v>
      </c>
      <c r="D59" s="1186">
        <v>4</v>
      </c>
      <c r="E59" s="1186">
        <v>21220</v>
      </c>
    </row>
    <row r="60" spans="1:5" x14ac:dyDescent="0.2">
      <c r="A60" s="1186" t="s">
        <v>20</v>
      </c>
      <c r="B60" s="1186" t="s">
        <v>44</v>
      </c>
      <c r="C60" s="1186">
        <v>295</v>
      </c>
      <c r="D60" s="1186">
        <v>26</v>
      </c>
      <c r="E60" s="1186">
        <v>145600</v>
      </c>
    </row>
    <row r="61" spans="1:5" x14ac:dyDescent="0.2">
      <c r="A61" s="1186" t="s">
        <v>20</v>
      </c>
      <c r="B61" s="1186" t="s">
        <v>45</v>
      </c>
      <c r="C61" s="1186">
        <v>301</v>
      </c>
      <c r="D61" s="1186">
        <v>195</v>
      </c>
      <c r="E61" s="1186">
        <v>173700</v>
      </c>
    </row>
    <row r="62" spans="1:5" x14ac:dyDescent="0.2">
      <c r="A62" s="1186" t="s">
        <v>20</v>
      </c>
      <c r="B62" s="1186" t="s">
        <v>46</v>
      </c>
      <c r="C62" s="1186">
        <v>187</v>
      </c>
      <c r="D62" s="1186">
        <v>62</v>
      </c>
      <c r="E62" s="1186">
        <v>113700</v>
      </c>
    </row>
    <row r="63" spans="1:5" x14ac:dyDescent="0.2">
      <c r="A63" s="1186" t="s">
        <v>20</v>
      </c>
      <c r="B63" s="1186" t="s">
        <v>47</v>
      </c>
      <c r="C63" s="1186">
        <v>19</v>
      </c>
      <c r="D63" s="1186">
        <v>2</v>
      </c>
      <c r="E63" s="1186">
        <v>23060</v>
      </c>
    </row>
    <row r="64" spans="1:5" x14ac:dyDescent="0.2">
      <c r="A64" s="1186" t="s">
        <v>20</v>
      </c>
      <c r="B64" s="1186" t="s">
        <v>48</v>
      </c>
      <c r="C64" s="1186">
        <v>169</v>
      </c>
      <c r="D64" s="1186">
        <v>49</v>
      </c>
      <c r="E64" s="1186">
        <v>112600</v>
      </c>
    </row>
    <row r="65" spans="1:5" x14ac:dyDescent="0.2">
      <c r="A65" s="1186" t="s">
        <v>20</v>
      </c>
      <c r="B65" s="1186" t="s">
        <v>49</v>
      </c>
      <c r="C65" s="1186">
        <v>460</v>
      </c>
      <c r="D65" s="1186">
        <v>313</v>
      </c>
      <c r="E65" s="1186">
        <v>313180</v>
      </c>
    </row>
    <row r="66" spans="1:5" x14ac:dyDescent="0.2">
      <c r="A66" s="1186" t="s">
        <v>20</v>
      </c>
      <c r="B66" s="1186" t="s">
        <v>50</v>
      </c>
      <c r="C66" s="1186">
        <v>156</v>
      </c>
      <c r="D66" s="1186">
        <v>32</v>
      </c>
      <c r="E66" s="1186">
        <v>89550</v>
      </c>
    </row>
    <row r="67" spans="1:5" x14ac:dyDescent="0.2">
      <c r="A67" s="1186" t="s">
        <v>20</v>
      </c>
      <c r="B67" s="1186" t="s">
        <v>51</v>
      </c>
      <c r="C67" s="1186">
        <v>174</v>
      </c>
      <c r="D67" s="1186">
        <v>114</v>
      </c>
      <c r="E67" s="1186">
        <v>90800</v>
      </c>
    </row>
    <row r="68" spans="1:5" x14ac:dyDescent="0.2">
      <c r="A68" s="1186" t="s">
        <v>20</v>
      </c>
      <c r="B68" s="1186" t="s">
        <v>52</v>
      </c>
      <c r="C68" s="1186">
        <v>292</v>
      </c>
      <c r="D68" s="1186">
        <v>215</v>
      </c>
      <c r="E68" s="1186">
        <v>174090</v>
      </c>
    </row>
    <row r="69" spans="1:5" x14ac:dyDescent="0.2">
      <c r="A69" s="1186" t="s">
        <v>13</v>
      </c>
      <c r="B69" s="1186" t="s">
        <v>23</v>
      </c>
      <c r="C69" s="1186">
        <v>469</v>
      </c>
      <c r="D69" s="1186">
        <v>180</v>
      </c>
      <c r="E69" s="1186">
        <v>222460</v>
      </c>
    </row>
    <row r="70" spans="1:5" x14ac:dyDescent="0.2">
      <c r="A70" s="1186" t="s">
        <v>13</v>
      </c>
      <c r="B70" s="1186" t="s">
        <v>24</v>
      </c>
      <c r="C70" s="1186">
        <v>369</v>
      </c>
      <c r="D70" s="1186">
        <v>64</v>
      </c>
      <c r="E70" s="1186">
        <v>253650</v>
      </c>
    </row>
    <row r="71" spans="1:5" x14ac:dyDescent="0.2">
      <c r="A71" s="1186" t="s">
        <v>13</v>
      </c>
      <c r="B71" s="1186" t="s">
        <v>25</v>
      </c>
      <c r="C71" s="1186">
        <v>161</v>
      </c>
      <c r="D71" s="1186">
        <v>21</v>
      </c>
      <c r="E71" s="1186">
        <v>116200</v>
      </c>
    </row>
    <row r="72" spans="1:5" x14ac:dyDescent="0.2">
      <c r="A72" s="1186" t="s">
        <v>13</v>
      </c>
      <c r="B72" s="1186" t="s">
        <v>26</v>
      </c>
      <c r="C72" s="1186">
        <v>171</v>
      </c>
      <c r="D72" s="1186">
        <v>31</v>
      </c>
      <c r="E72" s="1186">
        <v>88930</v>
      </c>
    </row>
    <row r="73" spans="1:5" x14ac:dyDescent="0.2">
      <c r="A73" s="1186" t="s">
        <v>13</v>
      </c>
      <c r="B73" s="1186" t="s">
        <v>619</v>
      </c>
      <c r="C73" s="1186">
        <v>960</v>
      </c>
      <c r="D73" s="1186">
        <v>438</v>
      </c>
      <c r="E73" s="1186">
        <v>477940</v>
      </c>
    </row>
    <row r="74" spans="1:5" x14ac:dyDescent="0.2">
      <c r="A74" s="1186" t="s">
        <v>13</v>
      </c>
      <c r="B74" s="1186" t="s">
        <v>27</v>
      </c>
      <c r="C74" s="1186">
        <v>70</v>
      </c>
      <c r="D74" s="1186">
        <v>20</v>
      </c>
      <c r="E74" s="1186">
        <v>51500</v>
      </c>
    </row>
    <row r="75" spans="1:5" x14ac:dyDescent="0.2">
      <c r="A75" s="1186" t="s">
        <v>13</v>
      </c>
      <c r="B75" s="1186" t="s">
        <v>28</v>
      </c>
      <c r="C75" s="1186">
        <v>204</v>
      </c>
      <c r="D75" s="1186">
        <v>62</v>
      </c>
      <c r="E75" s="1186">
        <v>151410</v>
      </c>
    </row>
    <row r="76" spans="1:5" x14ac:dyDescent="0.2">
      <c r="A76" s="1186" t="s">
        <v>13</v>
      </c>
      <c r="B76" s="1186" t="s">
        <v>29</v>
      </c>
      <c r="C76" s="1186">
        <v>348</v>
      </c>
      <c r="D76" s="1186">
        <v>95</v>
      </c>
      <c r="E76" s="1186">
        <v>147200</v>
      </c>
    </row>
    <row r="77" spans="1:5" x14ac:dyDescent="0.2">
      <c r="A77" s="1186" t="s">
        <v>13</v>
      </c>
      <c r="B77" s="1186" t="s">
        <v>30</v>
      </c>
      <c r="C77" s="1186">
        <v>163</v>
      </c>
      <c r="D77" s="1186">
        <v>98</v>
      </c>
      <c r="E77" s="1186">
        <v>122690</v>
      </c>
    </row>
    <row r="78" spans="1:5" x14ac:dyDescent="0.2">
      <c r="A78" s="1186" t="s">
        <v>13</v>
      </c>
      <c r="B78" s="1186" t="s">
        <v>31</v>
      </c>
      <c r="C78" s="1186">
        <v>94</v>
      </c>
      <c r="D78" s="1186">
        <v>40</v>
      </c>
      <c r="E78" s="1186">
        <v>105000</v>
      </c>
    </row>
    <row r="79" spans="1:5" x14ac:dyDescent="0.2">
      <c r="A79" s="1186" t="s">
        <v>13</v>
      </c>
      <c r="B79" s="1186" t="s">
        <v>32</v>
      </c>
      <c r="C79" s="1186">
        <v>151</v>
      </c>
      <c r="D79" s="1186">
        <v>68</v>
      </c>
      <c r="E79" s="1186">
        <v>99920</v>
      </c>
    </row>
    <row r="80" spans="1:5" x14ac:dyDescent="0.2">
      <c r="A80" s="1186" t="s">
        <v>13</v>
      </c>
      <c r="B80" s="1186" t="s">
        <v>33</v>
      </c>
      <c r="C80" s="1186">
        <v>101</v>
      </c>
      <c r="D80" s="1186">
        <v>46</v>
      </c>
      <c r="E80" s="1186">
        <v>90810</v>
      </c>
    </row>
    <row r="81" spans="1:5" x14ac:dyDescent="0.2">
      <c r="A81" s="1186" t="s">
        <v>13</v>
      </c>
      <c r="B81" s="1186" t="s">
        <v>34</v>
      </c>
      <c r="C81" s="1186">
        <v>185</v>
      </c>
      <c r="D81" s="1186">
        <v>98</v>
      </c>
      <c r="E81" s="1186">
        <v>156250</v>
      </c>
    </row>
    <row r="82" spans="1:5" x14ac:dyDescent="0.2">
      <c r="A82" s="1186" t="s">
        <v>13</v>
      </c>
      <c r="B82" s="1186" t="s">
        <v>35</v>
      </c>
      <c r="C82" s="1186">
        <v>446</v>
      </c>
      <c r="D82" s="1186">
        <v>186</v>
      </c>
      <c r="E82" s="1186">
        <v>365300</v>
      </c>
    </row>
    <row r="83" spans="1:5" x14ac:dyDescent="0.2">
      <c r="A83" s="1186" t="s">
        <v>13</v>
      </c>
      <c r="B83" s="1186" t="s">
        <v>36</v>
      </c>
      <c r="C83" s="1186">
        <v>1457</v>
      </c>
      <c r="D83" s="1186">
        <v>722</v>
      </c>
      <c r="E83" s="1186">
        <v>593060</v>
      </c>
    </row>
    <row r="84" spans="1:5" x14ac:dyDescent="0.2">
      <c r="A84" s="1186" t="s">
        <v>13</v>
      </c>
      <c r="B84" s="1186" t="s">
        <v>37</v>
      </c>
      <c r="C84" s="1186">
        <v>359</v>
      </c>
      <c r="D84" s="1186">
        <v>46</v>
      </c>
      <c r="E84" s="1186">
        <v>232730</v>
      </c>
    </row>
    <row r="85" spans="1:5" x14ac:dyDescent="0.2">
      <c r="A85" s="1186" t="s">
        <v>13</v>
      </c>
      <c r="B85" s="1186" t="s">
        <v>38</v>
      </c>
      <c r="C85" s="1186">
        <v>102</v>
      </c>
      <c r="D85" s="1186">
        <v>121</v>
      </c>
      <c r="E85" s="1186">
        <v>81220</v>
      </c>
    </row>
    <row r="86" spans="1:5" x14ac:dyDescent="0.2">
      <c r="A86" s="1186" t="s">
        <v>13</v>
      </c>
      <c r="B86" s="1186" t="s">
        <v>39</v>
      </c>
      <c r="C86" s="1186">
        <v>107</v>
      </c>
      <c r="D86" s="1186">
        <v>92</v>
      </c>
      <c r="E86" s="1186">
        <v>83450</v>
      </c>
    </row>
    <row r="87" spans="1:5" x14ac:dyDescent="0.2">
      <c r="A87" s="1186" t="s">
        <v>13</v>
      </c>
      <c r="B87" s="1186" t="s">
        <v>40</v>
      </c>
      <c r="C87" s="1186">
        <v>113</v>
      </c>
      <c r="D87" s="1186">
        <v>33</v>
      </c>
      <c r="E87" s="1186">
        <v>93470</v>
      </c>
    </row>
    <row r="88" spans="1:5" x14ac:dyDescent="0.2">
      <c r="A88" s="1186" t="s">
        <v>13</v>
      </c>
      <c r="B88" s="1186" t="s">
        <v>295</v>
      </c>
      <c r="C88" s="1186">
        <v>39</v>
      </c>
      <c r="D88" s="1186"/>
      <c r="E88" s="1186">
        <v>27690</v>
      </c>
    </row>
    <row r="89" spans="1:5" x14ac:dyDescent="0.2">
      <c r="A89" s="1186" t="s">
        <v>13</v>
      </c>
      <c r="B89" s="1186" t="s">
        <v>41</v>
      </c>
      <c r="C89" s="1186">
        <v>191</v>
      </c>
      <c r="D89" s="1186">
        <v>91</v>
      </c>
      <c r="E89" s="1186">
        <v>138090</v>
      </c>
    </row>
    <row r="90" spans="1:5" x14ac:dyDescent="0.2">
      <c r="A90" s="1186" t="s">
        <v>13</v>
      </c>
      <c r="B90" s="1186" t="s">
        <v>42</v>
      </c>
      <c r="C90" s="1186">
        <v>448</v>
      </c>
      <c r="D90" s="1186">
        <v>336</v>
      </c>
      <c r="E90" s="1186">
        <v>337720</v>
      </c>
    </row>
    <row r="91" spans="1:5" x14ac:dyDescent="0.2">
      <c r="A91" s="1186" t="s">
        <v>13</v>
      </c>
      <c r="B91" s="1186" t="s">
        <v>43</v>
      </c>
      <c r="C91" s="1186">
        <v>29</v>
      </c>
      <c r="D91" s="1186">
        <v>1</v>
      </c>
      <c r="E91" s="1186">
        <v>21420</v>
      </c>
    </row>
    <row r="92" spans="1:5" x14ac:dyDescent="0.2">
      <c r="A92" s="1186" t="s">
        <v>13</v>
      </c>
      <c r="B92" s="1186" t="s">
        <v>44</v>
      </c>
      <c r="C92" s="1186">
        <v>254</v>
      </c>
      <c r="D92" s="1186">
        <v>53</v>
      </c>
      <c r="E92" s="1186">
        <v>146850</v>
      </c>
    </row>
    <row r="93" spans="1:5" x14ac:dyDescent="0.2">
      <c r="A93" s="1186" t="s">
        <v>13</v>
      </c>
      <c r="B93" s="1186" t="s">
        <v>45</v>
      </c>
      <c r="C93" s="1186">
        <v>302</v>
      </c>
      <c r="D93" s="1186">
        <v>160</v>
      </c>
      <c r="E93" s="1186">
        <v>174700</v>
      </c>
    </row>
    <row r="94" spans="1:5" x14ac:dyDescent="0.2">
      <c r="A94" s="1186" t="s">
        <v>13</v>
      </c>
      <c r="B94" s="1186" t="s">
        <v>46</v>
      </c>
      <c r="C94" s="1186">
        <v>185</v>
      </c>
      <c r="D94" s="1186">
        <v>39</v>
      </c>
      <c r="E94" s="1186">
        <v>113880</v>
      </c>
    </row>
    <row r="95" spans="1:5" x14ac:dyDescent="0.2">
      <c r="A95" s="1186" t="s">
        <v>13</v>
      </c>
      <c r="B95" s="1186" t="s">
        <v>47</v>
      </c>
      <c r="C95" s="1186">
        <v>29</v>
      </c>
      <c r="D95" s="1186"/>
      <c r="E95" s="1186">
        <v>23240</v>
      </c>
    </row>
    <row r="96" spans="1:5" x14ac:dyDescent="0.2">
      <c r="A96" s="1186" t="s">
        <v>13</v>
      </c>
      <c r="B96" s="1186" t="s">
        <v>48</v>
      </c>
      <c r="C96" s="1186">
        <v>145</v>
      </c>
      <c r="D96" s="1186">
        <v>39</v>
      </c>
      <c r="E96" s="1186">
        <v>112980</v>
      </c>
    </row>
    <row r="97" spans="1:5" x14ac:dyDescent="0.2">
      <c r="A97" s="1186" t="s">
        <v>13</v>
      </c>
      <c r="B97" s="1186" t="s">
        <v>49</v>
      </c>
      <c r="C97" s="1186">
        <v>402</v>
      </c>
      <c r="D97" s="1186">
        <v>240</v>
      </c>
      <c r="E97" s="1186">
        <v>313900</v>
      </c>
    </row>
    <row r="98" spans="1:5" x14ac:dyDescent="0.2">
      <c r="A98" s="1186" t="s">
        <v>13</v>
      </c>
      <c r="B98" s="1186" t="s">
        <v>50</v>
      </c>
      <c r="C98" s="1186">
        <v>127</v>
      </c>
      <c r="D98" s="1186">
        <v>43</v>
      </c>
      <c r="E98" s="1186">
        <v>90330</v>
      </c>
    </row>
    <row r="99" spans="1:5" x14ac:dyDescent="0.2">
      <c r="A99" s="1186" t="s">
        <v>13</v>
      </c>
      <c r="B99" s="1186" t="s">
        <v>51</v>
      </c>
      <c r="C99" s="1186">
        <v>169</v>
      </c>
      <c r="D99" s="1186">
        <v>131</v>
      </c>
      <c r="E99" s="1186">
        <v>90610</v>
      </c>
    </row>
    <row r="100" spans="1:5" x14ac:dyDescent="0.2">
      <c r="A100" s="1186" t="s">
        <v>13</v>
      </c>
      <c r="B100" s="1186" t="s">
        <v>52</v>
      </c>
      <c r="C100" s="1186">
        <v>281</v>
      </c>
      <c r="D100" s="1186">
        <v>186</v>
      </c>
      <c r="E100" s="1186">
        <v>175300</v>
      </c>
    </row>
    <row r="101" spans="1:5" x14ac:dyDescent="0.2">
      <c r="A101" s="1186" t="s">
        <v>15</v>
      </c>
      <c r="B101" s="1186" t="s">
        <v>23</v>
      </c>
      <c r="C101" s="1186">
        <v>425</v>
      </c>
      <c r="D101" s="1186">
        <v>134</v>
      </c>
      <c r="E101" s="1186">
        <v>224910</v>
      </c>
    </row>
    <row r="102" spans="1:5" x14ac:dyDescent="0.2">
      <c r="A102" s="1186" t="s">
        <v>15</v>
      </c>
      <c r="B102" s="1186" t="s">
        <v>24</v>
      </c>
      <c r="C102" s="1186">
        <v>354</v>
      </c>
      <c r="D102" s="1186">
        <v>58</v>
      </c>
      <c r="E102" s="1186">
        <v>255560</v>
      </c>
    </row>
    <row r="103" spans="1:5" x14ac:dyDescent="0.2">
      <c r="A103" s="1186" t="s">
        <v>15</v>
      </c>
      <c r="B103" s="1186" t="s">
        <v>25</v>
      </c>
      <c r="C103" s="1186">
        <v>157</v>
      </c>
      <c r="D103" s="1186">
        <v>27</v>
      </c>
      <c r="E103" s="1186">
        <v>116220</v>
      </c>
    </row>
    <row r="104" spans="1:5" x14ac:dyDescent="0.2">
      <c r="A104" s="1186" t="s">
        <v>15</v>
      </c>
      <c r="B104" s="1186" t="s">
        <v>26</v>
      </c>
      <c r="C104" s="1186">
        <v>162</v>
      </c>
      <c r="D104" s="1186">
        <v>22</v>
      </c>
      <c r="E104" s="1186">
        <v>86910</v>
      </c>
    </row>
    <row r="105" spans="1:5" x14ac:dyDescent="0.2">
      <c r="A105" s="1186" t="s">
        <v>15</v>
      </c>
      <c r="B105" s="1186" t="s">
        <v>619</v>
      </c>
      <c r="C105" s="1186">
        <v>900</v>
      </c>
      <c r="D105" s="1186">
        <v>286</v>
      </c>
      <c r="E105" s="1186">
        <v>482630</v>
      </c>
    </row>
    <row r="106" spans="1:5" x14ac:dyDescent="0.2">
      <c r="A106" s="1186" t="s">
        <v>15</v>
      </c>
      <c r="B106" s="1186" t="s">
        <v>27</v>
      </c>
      <c r="C106" s="1186">
        <v>58</v>
      </c>
      <c r="D106" s="1186">
        <v>25</v>
      </c>
      <c r="E106" s="1186">
        <v>51280</v>
      </c>
    </row>
    <row r="107" spans="1:5" x14ac:dyDescent="0.2">
      <c r="A107" s="1186" t="s">
        <v>15</v>
      </c>
      <c r="B107" s="1186" t="s">
        <v>28</v>
      </c>
      <c r="C107" s="1186">
        <v>199</v>
      </c>
      <c r="D107" s="1186">
        <v>38</v>
      </c>
      <c r="E107" s="1186">
        <v>150840</v>
      </c>
    </row>
    <row r="108" spans="1:5" x14ac:dyDescent="0.2">
      <c r="A108" s="1186" t="s">
        <v>15</v>
      </c>
      <c r="B108" s="1186" t="s">
        <v>29</v>
      </c>
      <c r="C108" s="1186">
        <v>323</v>
      </c>
      <c r="D108" s="1186">
        <v>73</v>
      </c>
      <c r="E108" s="1186">
        <v>147780</v>
      </c>
    </row>
    <row r="109" spans="1:5" x14ac:dyDescent="0.2">
      <c r="A109" s="1186" t="s">
        <v>15</v>
      </c>
      <c r="B109" s="1186" t="s">
        <v>30</v>
      </c>
      <c r="C109" s="1186">
        <v>168</v>
      </c>
      <c r="D109" s="1186">
        <v>62</v>
      </c>
      <c r="E109" s="1186">
        <v>122730</v>
      </c>
    </row>
    <row r="110" spans="1:5" x14ac:dyDescent="0.2">
      <c r="A110" s="1186" t="s">
        <v>15</v>
      </c>
      <c r="B110" s="1186" t="s">
        <v>31</v>
      </c>
      <c r="C110" s="1186">
        <v>97</v>
      </c>
      <c r="D110" s="1186">
        <v>57</v>
      </c>
      <c r="E110" s="1186">
        <v>105880</v>
      </c>
    </row>
    <row r="111" spans="1:5" x14ac:dyDescent="0.2">
      <c r="A111" s="1186" t="s">
        <v>15</v>
      </c>
      <c r="B111" s="1186" t="s">
        <v>32</v>
      </c>
      <c r="C111" s="1186">
        <v>142</v>
      </c>
      <c r="D111" s="1186">
        <v>44</v>
      </c>
      <c r="E111" s="1186">
        <v>100860</v>
      </c>
    </row>
    <row r="112" spans="1:5" x14ac:dyDescent="0.2">
      <c r="A112" s="1186" t="s">
        <v>15</v>
      </c>
      <c r="B112" s="1186" t="s">
        <v>33</v>
      </c>
      <c r="C112" s="1186">
        <v>95</v>
      </c>
      <c r="D112" s="1186">
        <v>43</v>
      </c>
      <c r="E112" s="1186">
        <v>91040</v>
      </c>
    </row>
    <row r="113" spans="1:5" x14ac:dyDescent="0.2">
      <c r="A113" s="1186" t="s">
        <v>15</v>
      </c>
      <c r="B113" s="1186" t="s">
        <v>34</v>
      </c>
      <c r="C113" s="1186">
        <v>152</v>
      </c>
      <c r="D113" s="1186">
        <v>70</v>
      </c>
      <c r="E113" s="1186">
        <v>156800</v>
      </c>
    </row>
    <row r="114" spans="1:5" x14ac:dyDescent="0.2">
      <c r="A114" s="1186" t="s">
        <v>15</v>
      </c>
      <c r="B114" s="1186" t="s">
        <v>35</v>
      </c>
      <c r="C114" s="1186">
        <v>470</v>
      </c>
      <c r="D114" s="1186">
        <v>156</v>
      </c>
      <c r="E114" s="1186">
        <v>366210</v>
      </c>
    </row>
    <row r="115" spans="1:5" x14ac:dyDescent="0.2">
      <c r="A115" s="1186" t="s">
        <v>15</v>
      </c>
      <c r="B115" s="1186" t="s">
        <v>36</v>
      </c>
      <c r="C115" s="1186">
        <v>1290</v>
      </c>
      <c r="D115" s="1186">
        <v>593</v>
      </c>
      <c r="E115" s="1186">
        <v>595070</v>
      </c>
    </row>
    <row r="116" spans="1:5" x14ac:dyDescent="0.2">
      <c r="A116" s="1186" t="s">
        <v>15</v>
      </c>
      <c r="B116" s="1186" t="s">
        <v>37</v>
      </c>
      <c r="C116" s="1186">
        <v>328</v>
      </c>
      <c r="D116" s="1186">
        <v>26</v>
      </c>
      <c r="E116" s="1186">
        <v>232890</v>
      </c>
    </row>
    <row r="117" spans="1:5" x14ac:dyDescent="0.2">
      <c r="A117" s="1186" t="s">
        <v>15</v>
      </c>
      <c r="B117" s="1186" t="s">
        <v>38</v>
      </c>
      <c r="C117" s="1186">
        <v>121</v>
      </c>
      <c r="D117" s="1186">
        <v>59</v>
      </c>
      <c r="E117" s="1186">
        <v>80690</v>
      </c>
    </row>
    <row r="118" spans="1:5" x14ac:dyDescent="0.2">
      <c r="A118" s="1186" t="s">
        <v>15</v>
      </c>
      <c r="B118" s="1186" t="s">
        <v>39</v>
      </c>
      <c r="C118" s="1186">
        <v>125</v>
      </c>
      <c r="D118" s="1186">
        <v>43</v>
      </c>
      <c r="E118" s="1186">
        <v>84240</v>
      </c>
    </row>
    <row r="119" spans="1:5" x14ac:dyDescent="0.2">
      <c r="A119" s="1186" t="s">
        <v>15</v>
      </c>
      <c r="B119" s="1186" t="s">
        <v>40</v>
      </c>
      <c r="C119" s="1186">
        <v>109</v>
      </c>
      <c r="D119" s="1186">
        <v>16</v>
      </c>
      <c r="E119" s="1186">
        <v>92930</v>
      </c>
    </row>
    <row r="120" spans="1:5" x14ac:dyDescent="0.2">
      <c r="A120" s="1186" t="s">
        <v>15</v>
      </c>
      <c r="B120" s="1186" t="s">
        <v>295</v>
      </c>
      <c r="C120" s="1186">
        <v>56</v>
      </c>
      <c r="D120" s="1186">
        <v>10</v>
      </c>
      <c r="E120" s="1186">
        <v>27560</v>
      </c>
    </row>
    <row r="121" spans="1:5" x14ac:dyDescent="0.2">
      <c r="A121" s="1186" t="s">
        <v>15</v>
      </c>
      <c r="B121" s="1186" t="s">
        <v>41</v>
      </c>
      <c r="C121" s="1186">
        <v>203</v>
      </c>
      <c r="D121" s="1186">
        <v>53</v>
      </c>
      <c r="E121" s="1186">
        <v>137570</v>
      </c>
    </row>
    <row r="122" spans="1:5" x14ac:dyDescent="0.2">
      <c r="A122" s="1186" t="s">
        <v>15</v>
      </c>
      <c r="B122" s="1186" t="s">
        <v>42</v>
      </c>
      <c r="C122" s="1186">
        <v>429</v>
      </c>
      <c r="D122" s="1186">
        <v>284</v>
      </c>
      <c r="E122" s="1186">
        <v>337890</v>
      </c>
    </row>
    <row r="123" spans="1:5" x14ac:dyDescent="0.2">
      <c r="A123" s="1186" t="s">
        <v>15</v>
      </c>
      <c r="B123" s="1186" t="s">
        <v>43</v>
      </c>
      <c r="C123" s="1186">
        <v>30</v>
      </c>
      <c r="D123" s="1186">
        <v>1</v>
      </c>
      <c r="E123" s="1186">
        <v>21530</v>
      </c>
    </row>
    <row r="124" spans="1:5" x14ac:dyDescent="0.2">
      <c r="A124" s="1186" t="s">
        <v>15</v>
      </c>
      <c r="B124" s="1186" t="s">
        <v>44</v>
      </c>
      <c r="C124" s="1186">
        <v>237</v>
      </c>
      <c r="D124" s="1186">
        <v>31</v>
      </c>
      <c r="E124" s="1186">
        <v>147740</v>
      </c>
    </row>
    <row r="125" spans="1:5" x14ac:dyDescent="0.2">
      <c r="A125" s="1186" t="s">
        <v>15</v>
      </c>
      <c r="B125" s="1186" t="s">
        <v>45</v>
      </c>
      <c r="C125" s="1186">
        <v>300</v>
      </c>
      <c r="D125" s="1186">
        <v>128</v>
      </c>
      <c r="E125" s="1186">
        <v>174300</v>
      </c>
    </row>
    <row r="126" spans="1:5" x14ac:dyDescent="0.2">
      <c r="A126" s="1186" t="s">
        <v>15</v>
      </c>
      <c r="B126" s="1186" t="s">
        <v>46</v>
      </c>
      <c r="C126" s="1186">
        <v>169</v>
      </c>
      <c r="D126" s="1186">
        <v>24</v>
      </c>
      <c r="E126" s="1186">
        <v>113720</v>
      </c>
    </row>
    <row r="127" spans="1:5" x14ac:dyDescent="0.2">
      <c r="A127" s="1186" t="s">
        <v>15</v>
      </c>
      <c r="B127" s="1186" t="s">
        <v>47</v>
      </c>
      <c r="C127" s="1186">
        <v>29</v>
      </c>
      <c r="D127" s="1186">
        <v>1</v>
      </c>
      <c r="E127" s="1186">
        <v>23210</v>
      </c>
    </row>
    <row r="128" spans="1:5" x14ac:dyDescent="0.2">
      <c r="A128" s="1186" t="s">
        <v>15</v>
      </c>
      <c r="B128" s="1186" t="s">
        <v>48</v>
      </c>
      <c r="C128" s="1186">
        <v>174</v>
      </c>
      <c r="D128" s="1186">
        <v>38</v>
      </c>
      <c r="E128" s="1186">
        <v>112920</v>
      </c>
    </row>
    <row r="129" spans="1:5" x14ac:dyDescent="0.2">
      <c r="A129" s="1186" t="s">
        <v>15</v>
      </c>
      <c r="B129" s="1186" t="s">
        <v>49</v>
      </c>
      <c r="C129" s="1186">
        <v>411</v>
      </c>
      <c r="D129" s="1186">
        <v>187</v>
      </c>
      <c r="E129" s="1186">
        <v>314330</v>
      </c>
    </row>
    <row r="130" spans="1:5" x14ac:dyDescent="0.2">
      <c r="A130" s="1186" t="s">
        <v>15</v>
      </c>
      <c r="B130" s="1186" t="s">
        <v>50</v>
      </c>
      <c r="C130" s="1186">
        <v>111</v>
      </c>
      <c r="D130" s="1186">
        <v>27</v>
      </c>
      <c r="E130" s="1186">
        <v>91010</v>
      </c>
    </row>
    <row r="131" spans="1:5" x14ac:dyDescent="0.2">
      <c r="A131" s="1186" t="s">
        <v>15</v>
      </c>
      <c r="B131" s="1186" t="s">
        <v>51</v>
      </c>
      <c r="C131" s="1186">
        <v>152</v>
      </c>
      <c r="D131" s="1186">
        <v>121</v>
      </c>
      <c r="E131" s="1186">
        <v>90340</v>
      </c>
    </row>
    <row r="132" spans="1:5" x14ac:dyDescent="0.2">
      <c r="A132" s="1186" t="s">
        <v>15</v>
      </c>
      <c r="B132" s="1186" t="s">
        <v>52</v>
      </c>
      <c r="C132" s="1186">
        <v>277</v>
      </c>
      <c r="D132" s="1186">
        <v>96</v>
      </c>
      <c r="E132" s="1186">
        <v>176010</v>
      </c>
    </row>
    <row r="133" spans="1:5" x14ac:dyDescent="0.2">
      <c r="A133" s="1186" t="s">
        <v>17</v>
      </c>
      <c r="B133" s="1186" t="s">
        <v>23</v>
      </c>
      <c r="C133" s="1186">
        <v>415</v>
      </c>
      <c r="D133" s="1186">
        <v>142</v>
      </c>
      <c r="E133" s="1186">
        <v>227070</v>
      </c>
    </row>
    <row r="134" spans="1:5" x14ac:dyDescent="0.2">
      <c r="A134" s="1186" t="s">
        <v>17</v>
      </c>
      <c r="B134" s="1186" t="s">
        <v>24</v>
      </c>
      <c r="C134" s="1186">
        <v>365</v>
      </c>
      <c r="D134" s="1186">
        <v>47</v>
      </c>
      <c r="E134" s="1186">
        <v>257770</v>
      </c>
    </row>
    <row r="135" spans="1:5" x14ac:dyDescent="0.2">
      <c r="A135" s="1186" t="s">
        <v>17</v>
      </c>
      <c r="B135" s="1186" t="s">
        <v>25</v>
      </c>
      <c r="C135" s="1186">
        <v>150</v>
      </c>
      <c r="D135" s="1186">
        <v>23</v>
      </c>
      <c r="E135" s="1186">
        <v>116290</v>
      </c>
    </row>
    <row r="136" spans="1:5" x14ac:dyDescent="0.2">
      <c r="A136" s="1186" t="s">
        <v>17</v>
      </c>
      <c r="B136" s="1186" t="s">
        <v>26</v>
      </c>
      <c r="C136" s="1186">
        <v>157</v>
      </c>
      <c r="D136" s="1186">
        <v>17</v>
      </c>
      <c r="E136" s="1186">
        <v>88050</v>
      </c>
    </row>
    <row r="137" spans="1:5" x14ac:dyDescent="0.2">
      <c r="A137" s="1186" t="s">
        <v>17</v>
      </c>
      <c r="B137" s="1186" t="s">
        <v>619</v>
      </c>
      <c r="C137" s="1186">
        <v>819</v>
      </c>
      <c r="D137" s="1186">
        <v>352</v>
      </c>
      <c r="E137" s="1186">
        <v>487460</v>
      </c>
    </row>
    <row r="138" spans="1:5" x14ac:dyDescent="0.2">
      <c r="A138" s="1186" t="s">
        <v>17</v>
      </c>
      <c r="B138" s="1186" t="s">
        <v>27</v>
      </c>
      <c r="C138" s="1186">
        <v>73</v>
      </c>
      <c r="D138" s="1186">
        <v>21</v>
      </c>
      <c r="E138" s="1186">
        <v>51280</v>
      </c>
    </row>
    <row r="139" spans="1:5" x14ac:dyDescent="0.2">
      <c r="A139" s="1186" t="s">
        <v>17</v>
      </c>
      <c r="B139" s="1186" t="s">
        <v>28</v>
      </c>
      <c r="C139" s="1186">
        <v>212</v>
      </c>
      <c r="D139" s="1186">
        <v>33</v>
      </c>
      <c r="E139" s="1186">
        <v>150280</v>
      </c>
    </row>
    <row r="140" spans="1:5" x14ac:dyDescent="0.2">
      <c r="A140" s="1186" t="s">
        <v>17</v>
      </c>
      <c r="B140" s="1186" t="s">
        <v>29</v>
      </c>
      <c r="C140" s="1186">
        <v>278</v>
      </c>
      <c r="D140" s="1186">
        <v>52</v>
      </c>
      <c r="E140" s="1186">
        <v>148100</v>
      </c>
    </row>
    <row r="141" spans="1:5" x14ac:dyDescent="0.2">
      <c r="A141" s="1186" t="s">
        <v>17</v>
      </c>
      <c r="B141" s="1186" t="s">
        <v>30</v>
      </c>
      <c r="C141" s="1186">
        <v>153</v>
      </c>
      <c r="D141" s="1186">
        <v>64</v>
      </c>
      <c r="E141" s="1186">
        <v>122430</v>
      </c>
    </row>
    <row r="142" spans="1:5" x14ac:dyDescent="0.2">
      <c r="A142" s="1186" t="s">
        <v>17</v>
      </c>
      <c r="B142" s="1186" t="s">
        <v>31</v>
      </c>
      <c r="C142" s="1186">
        <v>91</v>
      </c>
      <c r="D142" s="1186">
        <v>34</v>
      </c>
      <c r="E142" s="1186">
        <v>105840</v>
      </c>
    </row>
    <row r="143" spans="1:5" x14ac:dyDescent="0.2">
      <c r="A143" s="1186" t="s">
        <v>17</v>
      </c>
      <c r="B143" s="1186" t="s">
        <v>32</v>
      </c>
      <c r="C143" s="1186">
        <v>136</v>
      </c>
      <c r="D143" s="1186">
        <v>36</v>
      </c>
      <c r="E143" s="1186">
        <v>101390</v>
      </c>
    </row>
    <row r="144" spans="1:5" x14ac:dyDescent="0.2">
      <c r="A144" s="1186" t="s">
        <v>17</v>
      </c>
      <c r="B144" s="1186" t="s">
        <v>33</v>
      </c>
      <c r="C144" s="1186">
        <v>96</v>
      </c>
      <c r="D144" s="1186">
        <v>26</v>
      </c>
      <c r="E144" s="1186">
        <v>91530</v>
      </c>
    </row>
    <row r="145" spans="1:5" x14ac:dyDescent="0.2">
      <c r="A145" s="1186" t="s">
        <v>17</v>
      </c>
      <c r="B145" s="1186" t="s">
        <v>34</v>
      </c>
      <c r="C145" s="1186">
        <v>215</v>
      </c>
      <c r="D145" s="1186">
        <v>78</v>
      </c>
      <c r="E145" s="1186">
        <v>157160</v>
      </c>
    </row>
    <row r="146" spans="1:5" x14ac:dyDescent="0.2">
      <c r="A146" s="1186" t="s">
        <v>17</v>
      </c>
      <c r="B146" s="1186" t="s">
        <v>35</v>
      </c>
      <c r="C146" s="1186">
        <v>414</v>
      </c>
      <c r="D146" s="1186">
        <v>98</v>
      </c>
      <c r="E146" s="1186">
        <v>366900</v>
      </c>
    </row>
    <row r="147" spans="1:5" x14ac:dyDescent="0.2">
      <c r="A147" s="1186" t="s">
        <v>17</v>
      </c>
      <c r="B147" s="1186" t="s">
        <v>36</v>
      </c>
      <c r="C147" s="1186">
        <v>1201</v>
      </c>
      <c r="D147" s="1186">
        <v>483</v>
      </c>
      <c r="E147" s="1186">
        <v>596520</v>
      </c>
    </row>
    <row r="148" spans="1:5" x14ac:dyDescent="0.2">
      <c r="A148" s="1186" t="s">
        <v>17</v>
      </c>
      <c r="B148" s="1186" t="s">
        <v>37</v>
      </c>
      <c r="C148" s="1186">
        <v>332</v>
      </c>
      <c r="D148" s="1186">
        <v>34</v>
      </c>
      <c r="E148" s="1186">
        <v>232930</v>
      </c>
    </row>
    <row r="149" spans="1:5" x14ac:dyDescent="0.2">
      <c r="A149" s="1186" t="s">
        <v>17</v>
      </c>
      <c r="B149" s="1186" t="s">
        <v>38</v>
      </c>
      <c r="C149" s="1186">
        <v>127</v>
      </c>
      <c r="D149" s="1186">
        <v>63</v>
      </c>
      <c r="E149" s="1186">
        <v>80340</v>
      </c>
    </row>
    <row r="150" spans="1:5" x14ac:dyDescent="0.2">
      <c r="A150" s="1186" t="s">
        <v>17</v>
      </c>
      <c r="B150" s="1186" t="s">
        <v>39</v>
      </c>
      <c r="C150" s="1186">
        <v>108</v>
      </c>
      <c r="D150" s="1186">
        <v>44</v>
      </c>
      <c r="E150" s="1186">
        <v>84710</v>
      </c>
    </row>
    <row r="151" spans="1:5" x14ac:dyDescent="0.2">
      <c r="A151" s="1186" t="s">
        <v>17</v>
      </c>
      <c r="B151" s="1186" t="s">
        <v>40</v>
      </c>
      <c r="C151" s="1186">
        <v>135</v>
      </c>
      <c r="D151" s="1186">
        <v>29</v>
      </c>
      <c r="E151" s="1186">
        <v>94360</v>
      </c>
    </row>
    <row r="152" spans="1:5" x14ac:dyDescent="0.2">
      <c r="A152" s="1186" t="s">
        <v>17</v>
      </c>
      <c r="B152" s="1186" t="s">
        <v>295</v>
      </c>
      <c r="C152" s="1186">
        <v>32</v>
      </c>
      <c r="D152" s="1186">
        <v>1</v>
      </c>
      <c r="E152" s="1186">
        <v>27400</v>
      </c>
    </row>
    <row r="153" spans="1:5" x14ac:dyDescent="0.2">
      <c r="A153" s="1186" t="s">
        <v>17</v>
      </c>
      <c r="B153" s="1186" t="s">
        <v>41</v>
      </c>
      <c r="C153" s="1186">
        <v>189</v>
      </c>
      <c r="D153" s="1186">
        <v>47</v>
      </c>
      <c r="E153" s="1186">
        <v>136940</v>
      </c>
    </row>
    <row r="154" spans="1:5" x14ac:dyDescent="0.2">
      <c r="A154" s="1186" t="s">
        <v>17</v>
      </c>
      <c r="B154" s="1186" t="s">
        <v>42</v>
      </c>
      <c r="C154" s="1186">
        <v>422</v>
      </c>
      <c r="D154" s="1186">
        <v>253</v>
      </c>
      <c r="E154" s="1186">
        <v>337780</v>
      </c>
    </row>
    <row r="155" spans="1:5" x14ac:dyDescent="0.2">
      <c r="A155" s="1186" t="s">
        <v>17</v>
      </c>
      <c r="B155" s="1186" t="s">
        <v>43</v>
      </c>
      <c r="C155" s="1186">
        <v>28</v>
      </c>
      <c r="D155" s="1186">
        <v>2</v>
      </c>
      <c r="E155" s="1186">
        <v>21560</v>
      </c>
    </row>
    <row r="156" spans="1:5" x14ac:dyDescent="0.2">
      <c r="A156" s="1186" t="s">
        <v>17</v>
      </c>
      <c r="B156" s="1186" t="s">
        <v>44</v>
      </c>
      <c r="C156" s="1186">
        <v>192</v>
      </c>
      <c r="D156" s="1186">
        <v>34</v>
      </c>
      <c r="E156" s="1186">
        <v>147770</v>
      </c>
    </row>
    <row r="157" spans="1:5" x14ac:dyDescent="0.2">
      <c r="A157" s="1186" t="s">
        <v>17</v>
      </c>
      <c r="B157" s="1186" t="s">
        <v>45</v>
      </c>
      <c r="C157" s="1186">
        <v>331</v>
      </c>
      <c r="D157" s="1186">
        <v>116</v>
      </c>
      <c r="E157" s="1186">
        <v>173890</v>
      </c>
    </row>
    <row r="158" spans="1:5" x14ac:dyDescent="0.2">
      <c r="A158" s="1186" t="s">
        <v>17</v>
      </c>
      <c r="B158" s="1186" t="s">
        <v>46</v>
      </c>
      <c r="C158" s="1186">
        <v>173</v>
      </c>
      <c r="D158" s="1186">
        <v>31</v>
      </c>
      <c r="E158" s="1186">
        <v>113880</v>
      </c>
    </row>
    <row r="159" spans="1:5" x14ac:dyDescent="0.2">
      <c r="A159" s="1186" t="s">
        <v>17</v>
      </c>
      <c r="B159" s="1186" t="s">
        <v>47</v>
      </c>
      <c r="C159" s="1186">
        <v>25</v>
      </c>
      <c r="D159" s="1186">
        <v>1</v>
      </c>
      <c r="E159" s="1186">
        <v>23200</v>
      </c>
    </row>
    <row r="160" spans="1:5" x14ac:dyDescent="0.2">
      <c r="A160" s="1186" t="s">
        <v>17</v>
      </c>
      <c r="B160" s="1186" t="s">
        <v>48</v>
      </c>
      <c r="C160" s="1186">
        <v>152</v>
      </c>
      <c r="D160" s="1186">
        <v>29</v>
      </c>
      <c r="E160" s="1186">
        <v>112870</v>
      </c>
    </row>
    <row r="161" spans="1:5" x14ac:dyDescent="0.2">
      <c r="A161" s="1186" t="s">
        <v>17</v>
      </c>
      <c r="B161" s="1186" t="s">
        <v>49</v>
      </c>
      <c r="C161" s="1186">
        <v>358</v>
      </c>
      <c r="D161" s="1186">
        <v>142</v>
      </c>
      <c r="E161" s="1186">
        <v>314810</v>
      </c>
    </row>
    <row r="162" spans="1:5" x14ac:dyDescent="0.2">
      <c r="A162" s="1186" t="s">
        <v>17</v>
      </c>
      <c r="B162" s="1186" t="s">
        <v>50</v>
      </c>
      <c r="C162" s="1186">
        <v>134</v>
      </c>
      <c r="D162" s="1186">
        <v>26</v>
      </c>
      <c r="E162" s="1186">
        <v>91230</v>
      </c>
    </row>
    <row r="163" spans="1:5" x14ac:dyDescent="0.2">
      <c r="A163" s="1186" t="s">
        <v>17</v>
      </c>
      <c r="B163" s="1186" t="s">
        <v>51</v>
      </c>
      <c r="C163" s="1186">
        <v>145</v>
      </c>
      <c r="D163" s="1186">
        <v>91</v>
      </c>
      <c r="E163" s="1186">
        <v>89800</v>
      </c>
    </row>
    <row r="164" spans="1:5" x14ac:dyDescent="0.2">
      <c r="A164" s="1186" t="s">
        <v>17</v>
      </c>
      <c r="B164" s="1186" t="s">
        <v>52</v>
      </c>
      <c r="C164" s="1186">
        <v>283</v>
      </c>
      <c r="D164" s="1186">
        <v>131</v>
      </c>
      <c r="E164" s="1186">
        <v>176160</v>
      </c>
    </row>
    <row r="165" spans="1:5" x14ac:dyDescent="0.2">
      <c r="A165" s="1186" t="s">
        <v>133</v>
      </c>
      <c r="B165" s="1186" t="s">
        <v>23</v>
      </c>
      <c r="C165" s="1186">
        <v>426</v>
      </c>
      <c r="D165" s="1186">
        <v>121</v>
      </c>
      <c r="E165" s="1186">
        <v>228920</v>
      </c>
    </row>
    <row r="166" spans="1:5" x14ac:dyDescent="0.2">
      <c r="A166" s="1186" t="s">
        <v>133</v>
      </c>
      <c r="B166" s="1186" t="s">
        <v>24</v>
      </c>
      <c r="C166" s="1186">
        <v>370</v>
      </c>
      <c r="D166" s="1186">
        <v>63</v>
      </c>
      <c r="E166" s="1186">
        <v>260530</v>
      </c>
    </row>
    <row r="167" spans="1:5" x14ac:dyDescent="0.2">
      <c r="A167" s="1186" t="s">
        <v>133</v>
      </c>
      <c r="B167" s="1186" t="s">
        <v>25</v>
      </c>
      <c r="C167" s="1186">
        <v>161</v>
      </c>
      <c r="D167" s="1186">
        <v>29</v>
      </c>
      <c r="E167" s="1186">
        <v>116740</v>
      </c>
    </row>
    <row r="168" spans="1:5" x14ac:dyDescent="0.2">
      <c r="A168" s="1186" t="s">
        <v>133</v>
      </c>
      <c r="B168" s="1186" t="s">
        <v>26</v>
      </c>
      <c r="C168" s="1186">
        <v>145</v>
      </c>
      <c r="D168" s="1186">
        <v>14</v>
      </c>
      <c r="E168" s="1186">
        <v>87650</v>
      </c>
    </row>
    <row r="169" spans="1:5" x14ac:dyDescent="0.2">
      <c r="A169" s="1186" t="s">
        <v>133</v>
      </c>
      <c r="B169" s="1186" t="s">
        <v>619</v>
      </c>
      <c r="C169" s="1186">
        <v>903</v>
      </c>
      <c r="D169" s="1186">
        <v>318</v>
      </c>
      <c r="E169" s="1186">
        <v>492610</v>
      </c>
    </row>
    <row r="170" spans="1:5" x14ac:dyDescent="0.2">
      <c r="A170" s="1186" t="s">
        <v>133</v>
      </c>
      <c r="B170" s="1186" t="s">
        <v>27</v>
      </c>
      <c r="C170" s="1186">
        <v>72</v>
      </c>
      <c r="D170" s="1186">
        <v>25</v>
      </c>
      <c r="E170" s="1186">
        <v>51190</v>
      </c>
    </row>
    <row r="171" spans="1:5" x14ac:dyDescent="0.2">
      <c r="A171" s="1186" t="s">
        <v>133</v>
      </c>
      <c r="B171" s="1186" t="s">
        <v>28</v>
      </c>
      <c r="C171" s="1186">
        <v>183</v>
      </c>
      <c r="D171" s="1186">
        <v>22</v>
      </c>
      <c r="E171" s="1186">
        <v>149960</v>
      </c>
    </row>
    <row r="172" spans="1:5" x14ac:dyDescent="0.2">
      <c r="A172" s="1186" t="s">
        <v>133</v>
      </c>
      <c r="B172" s="1186" t="s">
        <v>29</v>
      </c>
      <c r="C172" s="1186">
        <v>259</v>
      </c>
      <c r="D172" s="1186">
        <v>84</v>
      </c>
      <c r="E172" s="1186">
        <v>148130</v>
      </c>
    </row>
    <row r="173" spans="1:5" x14ac:dyDescent="0.2">
      <c r="A173" s="1186" t="s">
        <v>133</v>
      </c>
      <c r="B173" s="1186" t="s">
        <v>30</v>
      </c>
      <c r="C173" s="1186">
        <v>159</v>
      </c>
      <c r="D173" s="1186">
        <v>43</v>
      </c>
      <c r="E173" s="1186">
        <v>122130</v>
      </c>
    </row>
    <row r="174" spans="1:5" x14ac:dyDescent="0.2">
      <c r="A174" s="1186" t="s">
        <v>133</v>
      </c>
      <c r="B174" s="1186" t="s">
        <v>31</v>
      </c>
      <c r="C174" s="1186">
        <v>101</v>
      </c>
      <c r="D174" s="1186">
        <v>40</v>
      </c>
      <c r="E174" s="1186">
        <v>106710</v>
      </c>
    </row>
    <row r="175" spans="1:5" x14ac:dyDescent="0.2">
      <c r="A175" s="1186" t="s">
        <v>133</v>
      </c>
      <c r="B175" s="1186" t="s">
        <v>32</v>
      </c>
      <c r="C175" s="1186">
        <v>147</v>
      </c>
      <c r="D175" s="1186">
        <v>44</v>
      </c>
      <c r="E175" s="1186">
        <v>102090</v>
      </c>
    </row>
    <row r="176" spans="1:5" x14ac:dyDescent="0.2">
      <c r="A176" s="1186" t="s">
        <v>133</v>
      </c>
      <c r="B176" s="1186" t="s">
        <v>33</v>
      </c>
      <c r="C176" s="1186">
        <v>86</v>
      </c>
      <c r="D176" s="1186">
        <v>18</v>
      </c>
      <c r="E176" s="1186">
        <v>92410</v>
      </c>
    </row>
    <row r="177" spans="1:5" x14ac:dyDescent="0.2">
      <c r="A177" s="1186" t="s">
        <v>133</v>
      </c>
      <c r="B177" s="1186" t="s">
        <v>34</v>
      </c>
      <c r="C177" s="1186">
        <v>200</v>
      </c>
      <c r="D177" s="1186">
        <v>71</v>
      </c>
      <c r="E177" s="1186">
        <v>157690</v>
      </c>
    </row>
    <row r="178" spans="1:5" x14ac:dyDescent="0.2">
      <c r="A178" s="1186" t="s">
        <v>133</v>
      </c>
      <c r="B178" s="1186" t="s">
        <v>35</v>
      </c>
      <c r="C178" s="1186">
        <v>416</v>
      </c>
      <c r="D178" s="1186">
        <v>101</v>
      </c>
      <c r="E178" s="1186">
        <v>367250</v>
      </c>
    </row>
    <row r="179" spans="1:5" x14ac:dyDescent="0.2">
      <c r="A179" s="1186" t="s">
        <v>133</v>
      </c>
      <c r="B179" s="1186" t="s">
        <v>36</v>
      </c>
      <c r="C179" s="1186">
        <v>1275</v>
      </c>
      <c r="D179" s="1186">
        <v>416</v>
      </c>
      <c r="E179" s="1186">
        <v>599640</v>
      </c>
    </row>
    <row r="180" spans="1:5" x14ac:dyDescent="0.2">
      <c r="A180" s="1186" t="s">
        <v>133</v>
      </c>
      <c r="B180" s="1186" t="s">
        <v>37</v>
      </c>
      <c r="C180" s="1186">
        <v>336</v>
      </c>
      <c r="D180" s="1186">
        <v>31</v>
      </c>
      <c r="E180" s="1186">
        <v>233080</v>
      </c>
    </row>
    <row r="181" spans="1:5" x14ac:dyDescent="0.2">
      <c r="A181" s="1186" t="s">
        <v>133</v>
      </c>
      <c r="B181" s="1186" t="s">
        <v>38</v>
      </c>
      <c r="C181" s="1186">
        <v>131</v>
      </c>
      <c r="D181" s="1186">
        <v>69</v>
      </c>
      <c r="E181" s="1186">
        <v>79890</v>
      </c>
    </row>
    <row r="182" spans="1:5" x14ac:dyDescent="0.2">
      <c r="A182" s="1186" t="s">
        <v>133</v>
      </c>
      <c r="B182" s="1186" t="s">
        <v>39</v>
      </c>
      <c r="C182" s="1186">
        <v>104</v>
      </c>
      <c r="D182" s="1186">
        <v>65</v>
      </c>
      <c r="E182" s="1186">
        <v>86220</v>
      </c>
    </row>
    <row r="183" spans="1:5" x14ac:dyDescent="0.2">
      <c r="A183" s="1186" t="s">
        <v>133</v>
      </c>
      <c r="B183" s="1186" t="s">
        <v>40</v>
      </c>
      <c r="C183" s="1186">
        <v>123</v>
      </c>
      <c r="D183" s="1186">
        <v>19</v>
      </c>
      <c r="E183" s="1186">
        <v>94770</v>
      </c>
    </row>
    <row r="184" spans="1:5" x14ac:dyDescent="0.2">
      <c r="A184" s="1186" t="s">
        <v>133</v>
      </c>
      <c r="B184" s="1186" t="s">
        <v>295</v>
      </c>
      <c r="C184" s="1186">
        <v>51</v>
      </c>
      <c r="D184" s="1186">
        <v>2</v>
      </c>
      <c r="E184" s="1186">
        <v>27250</v>
      </c>
    </row>
    <row r="185" spans="1:5" x14ac:dyDescent="0.2">
      <c r="A185" s="1186" t="s">
        <v>133</v>
      </c>
      <c r="B185" s="1186" t="s">
        <v>41</v>
      </c>
      <c r="C185" s="1186">
        <v>225</v>
      </c>
      <c r="D185" s="1186">
        <v>59</v>
      </c>
      <c r="E185" s="1186">
        <v>136480</v>
      </c>
    </row>
    <row r="186" spans="1:5" x14ac:dyDescent="0.2">
      <c r="A186" s="1186" t="s">
        <v>133</v>
      </c>
      <c r="B186" s="1186" t="s">
        <v>42</v>
      </c>
      <c r="C186" s="1186">
        <v>452</v>
      </c>
      <c r="D186" s="1186">
        <v>209</v>
      </c>
      <c r="E186" s="1186">
        <v>338000</v>
      </c>
    </row>
    <row r="187" spans="1:5" x14ac:dyDescent="0.2">
      <c r="A187" s="1186" t="s">
        <v>133</v>
      </c>
      <c r="B187" s="1186" t="s">
        <v>43</v>
      </c>
      <c r="C187" s="1186">
        <v>33</v>
      </c>
      <c r="D187" s="1186">
        <v>6</v>
      </c>
      <c r="E187" s="1186">
        <v>21580</v>
      </c>
    </row>
    <row r="188" spans="1:5" x14ac:dyDescent="0.2">
      <c r="A188" s="1186" t="s">
        <v>133</v>
      </c>
      <c r="B188" s="1186" t="s">
        <v>44</v>
      </c>
      <c r="C188" s="1186">
        <v>230</v>
      </c>
      <c r="D188" s="1186">
        <v>32</v>
      </c>
      <c r="E188" s="1186">
        <v>148930</v>
      </c>
    </row>
    <row r="189" spans="1:5" x14ac:dyDescent="0.2">
      <c r="A189" s="1186" t="s">
        <v>133</v>
      </c>
      <c r="B189" s="1186" t="s">
        <v>45</v>
      </c>
      <c r="C189" s="1186">
        <v>319</v>
      </c>
      <c r="D189" s="1186">
        <v>99</v>
      </c>
      <c r="E189" s="1186">
        <v>174230</v>
      </c>
    </row>
    <row r="190" spans="1:5" x14ac:dyDescent="0.2">
      <c r="A190" s="1186" t="s">
        <v>133</v>
      </c>
      <c r="B190" s="1186" t="s">
        <v>46</v>
      </c>
      <c r="C190" s="1186">
        <v>149</v>
      </c>
      <c r="D190" s="1186">
        <v>30</v>
      </c>
      <c r="E190" s="1186">
        <v>114040</v>
      </c>
    </row>
    <row r="191" spans="1:5" x14ac:dyDescent="0.2">
      <c r="A191" s="1186" t="s">
        <v>133</v>
      </c>
      <c r="B191" s="1186" t="s">
        <v>47</v>
      </c>
      <c r="C191" s="1186">
        <v>39</v>
      </c>
      <c r="D191" s="1186">
        <v>3</v>
      </c>
      <c r="E191" s="1186">
        <v>23220</v>
      </c>
    </row>
    <row r="192" spans="1:5" x14ac:dyDescent="0.2">
      <c r="A192" s="1186" t="s">
        <v>133</v>
      </c>
      <c r="B192" s="1186" t="s">
        <v>48</v>
      </c>
      <c r="C192" s="1186">
        <v>152</v>
      </c>
      <c r="D192" s="1186">
        <v>36</v>
      </c>
      <c r="E192" s="1186">
        <v>112530</v>
      </c>
    </row>
    <row r="193" spans="1:5" x14ac:dyDescent="0.2">
      <c r="A193" s="1186" t="s">
        <v>133</v>
      </c>
      <c r="B193" s="1186" t="s">
        <v>49</v>
      </c>
      <c r="C193" s="1186">
        <v>425</v>
      </c>
      <c r="D193" s="1186">
        <v>160</v>
      </c>
      <c r="E193" s="1186">
        <v>315300</v>
      </c>
    </row>
    <row r="194" spans="1:5" x14ac:dyDescent="0.2">
      <c r="A194" s="1186" t="s">
        <v>133</v>
      </c>
      <c r="B194" s="1186" t="s">
        <v>50</v>
      </c>
      <c r="C194" s="1186">
        <v>148</v>
      </c>
      <c r="D194" s="1186">
        <v>31</v>
      </c>
      <c r="E194" s="1186">
        <v>91520</v>
      </c>
    </row>
    <row r="195" spans="1:5" x14ac:dyDescent="0.2">
      <c r="A195" s="1186" t="s">
        <v>133</v>
      </c>
      <c r="B195" s="1186" t="s">
        <v>51</v>
      </c>
      <c r="C195" s="1186">
        <v>124</v>
      </c>
      <c r="D195" s="1186">
        <v>52</v>
      </c>
      <c r="E195" s="1186">
        <v>89710</v>
      </c>
    </row>
    <row r="196" spans="1:5" x14ac:dyDescent="0.2">
      <c r="A196" s="1186" t="s">
        <v>133</v>
      </c>
      <c r="B196" s="1186" t="s">
        <v>52</v>
      </c>
      <c r="C196" s="1186">
        <v>276</v>
      </c>
      <c r="D196" s="1186">
        <v>101</v>
      </c>
      <c r="E196" s="1186">
        <v>177200</v>
      </c>
    </row>
    <row r="197" spans="1:5" x14ac:dyDescent="0.2">
      <c r="A197" s="1186" t="s">
        <v>144</v>
      </c>
      <c r="B197" s="1186" t="s">
        <v>23</v>
      </c>
      <c r="C197" s="1186">
        <v>435</v>
      </c>
      <c r="D197" s="1186">
        <v>118</v>
      </c>
      <c r="E197" s="1186">
        <v>230350</v>
      </c>
    </row>
    <row r="198" spans="1:5" x14ac:dyDescent="0.2">
      <c r="A198" s="1186" t="s">
        <v>144</v>
      </c>
      <c r="B198" s="1186" t="s">
        <v>24</v>
      </c>
      <c r="C198" s="1186">
        <v>348</v>
      </c>
      <c r="D198" s="1186">
        <v>56</v>
      </c>
      <c r="E198" s="1186">
        <v>261960</v>
      </c>
    </row>
    <row r="199" spans="1:5" x14ac:dyDescent="0.2">
      <c r="A199" s="1186" t="s">
        <v>144</v>
      </c>
      <c r="B199" s="1186" t="s">
        <v>25</v>
      </c>
      <c r="C199" s="1186">
        <v>156</v>
      </c>
      <c r="D199" s="1186">
        <v>25</v>
      </c>
      <c r="E199" s="1186">
        <v>116900</v>
      </c>
    </row>
    <row r="200" spans="1:5" x14ac:dyDescent="0.2">
      <c r="A200" s="1186" t="s">
        <v>144</v>
      </c>
      <c r="B200" s="1186" t="s">
        <v>26</v>
      </c>
      <c r="C200" s="1186">
        <v>128</v>
      </c>
      <c r="D200" s="1186">
        <v>9</v>
      </c>
      <c r="E200" s="1186">
        <v>86890</v>
      </c>
    </row>
    <row r="201" spans="1:5" x14ac:dyDescent="0.2">
      <c r="A201" s="1186" t="s">
        <v>144</v>
      </c>
      <c r="B201" s="1186" t="s">
        <v>619</v>
      </c>
      <c r="C201" s="1186">
        <v>886</v>
      </c>
      <c r="D201" s="1186">
        <v>337</v>
      </c>
      <c r="E201" s="1186">
        <v>498810</v>
      </c>
    </row>
    <row r="202" spans="1:5" x14ac:dyDescent="0.2">
      <c r="A202" s="1186" t="s">
        <v>144</v>
      </c>
      <c r="B202" s="1186" t="s">
        <v>27</v>
      </c>
      <c r="C202" s="1186">
        <v>92</v>
      </c>
      <c r="D202" s="1186">
        <v>20</v>
      </c>
      <c r="E202" s="1186">
        <v>51360</v>
      </c>
    </row>
    <row r="203" spans="1:5" x14ac:dyDescent="0.2">
      <c r="A203" s="1186" t="s">
        <v>144</v>
      </c>
      <c r="B203" s="1186" t="s">
        <v>28</v>
      </c>
      <c r="C203" s="1186">
        <v>194</v>
      </c>
      <c r="D203" s="1186">
        <v>34</v>
      </c>
      <c r="E203" s="1186">
        <v>149670</v>
      </c>
    </row>
    <row r="204" spans="1:5" x14ac:dyDescent="0.2">
      <c r="A204" s="1186" t="s">
        <v>144</v>
      </c>
      <c r="B204" s="1186" t="s">
        <v>29</v>
      </c>
      <c r="C204" s="1186">
        <v>308</v>
      </c>
      <c r="D204" s="1186">
        <v>75</v>
      </c>
      <c r="E204" s="1186">
        <v>148210</v>
      </c>
    </row>
    <row r="205" spans="1:5" x14ac:dyDescent="0.2">
      <c r="A205" s="1186" t="s">
        <v>144</v>
      </c>
      <c r="B205" s="1186" t="s">
        <v>30</v>
      </c>
      <c r="C205" s="1186">
        <v>157</v>
      </c>
      <c r="D205" s="1186">
        <v>62</v>
      </c>
      <c r="E205" s="1186">
        <v>122060</v>
      </c>
    </row>
    <row r="206" spans="1:5" x14ac:dyDescent="0.2">
      <c r="A206" s="1186" t="s">
        <v>144</v>
      </c>
      <c r="B206" s="1186" t="s">
        <v>31</v>
      </c>
      <c r="C206" s="1186">
        <v>102</v>
      </c>
      <c r="D206" s="1186">
        <v>45</v>
      </c>
      <c r="E206" s="1186">
        <v>106960</v>
      </c>
    </row>
    <row r="207" spans="1:5" x14ac:dyDescent="0.2">
      <c r="A207" s="1186" t="s">
        <v>144</v>
      </c>
      <c r="B207" s="1186" t="s">
        <v>32</v>
      </c>
      <c r="C207" s="1186">
        <v>134</v>
      </c>
      <c r="D207" s="1186">
        <v>63</v>
      </c>
      <c r="E207" s="1186">
        <v>103050</v>
      </c>
    </row>
    <row r="208" spans="1:5" x14ac:dyDescent="0.2">
      <c r="A208" s="1186" t="s">
        <v>144</v>
      </c>
      <c r="B208" s="1186" t="s">
        <v>33</v>
      </c>
      <c r="C208" s="1186">
        <v>97</v>
      </c>
      <c r="D208" s="1186">
        <v>34</v>
      </c>
      <c r="E208" s="1186">
        <v>92940</v>
      </c>
    </row>
    <row r="209" spans="1:5" x14ac:dyDescent="0.2">
      <c r="A209" s="1186" t="s">
        <v>144</v>
      </c>
      <c r="B209" s="1186" t="s">
        <v>34</v>
      </c>
      <c r="C209" s="1186">
        <v>225</v>
      </c>
      <c r="D209" s="1186">
        <v>82</v>
      </c>
      <c r="E209" s="1186">
        <v>158460</v>
      </c>
    </row>
    <row r="210" spans="1:5" x14ac:dyDescent="0.2">
      <c r="A210" s="1186" t="s">
        <v>144</v>
      </c>
      <c r="B210" s="1186" t="s">
        <v>35</v>
      </c>
      <c r="C210" s="1186">
        <v>452</v>
      </c>
      <c r="D210" s="1186">
        <v>125</v>
      </c>
      <c r="E210" s="1186">
        <v>368080</v>
      </c>
    </row>
    <row r="211" spans="1:5" x14ac:dyDescent="0.2">
      <c r="A211" s="1186" t="s">
        <v>144</v>
      </c>
      <c r="B211" s="1186" t="s">
        <v>36</v>
      </c>
      <c r="C211" s="1186">
        <v>1298</v>
      </c>
      <c r="D211" s="1186">
        <v>440</v>
      </c>
      <c r="E211" s="1186">
        <v>606340</v>
      </c>
    </row>
    <row r="212" spans="1:5" x14ac:dyDescent="0.2">
      <c r="A212" s="1186" t="s">
        <v>144</v>
      </c>
      <c r="B212" s="1186" t="s">
        <v>37</v>
      </c>
      <c r="C212" s="1186">
        <v>326</v>
      </c>
      <c r="D212" s="1186">
        <v>48</v>
      </c>
      <c r="E212" s="1186">
        <v>234110</v>
      </c>
    </row>
    <row r="213" spans="1:5" x14ac:dyDescent="0.2">
      <c r="A213" s="1186" t="s">
        <v>144</v>
      </c>
      <c r="B213" s="1186" t="s">
        <v>38</v>
      </c>
      <c r="C213" s="1186">
        <v>153</v>
      </c>
      <c r="D213" s="1186">
        <v>62</v>
      </c>
      <c r="E213" s="1186">
        <v>79500</v>
      </c>
    </row>
    <row r="214" spans="1:5" x14ac:dyDescent="0.2">
      <c r="A214" s="1186" t="s">
        <v>144</v>
      </c>
      <c r="B214" s="1186" t="s">
        <v>39</v>
      </c>
      <c r="C214" s="1186">
        <v>105</v>
      </c>
      <c r="D214" s="1186">
        <v>65</v>
      </c>
      <c r="E214" s="1186">
        <v>87390</v>
      </c>
    </row>
    <row r="215" spans="1:5" x14ac:dyDescent="0.2">
      <c r="A215" s="1186" t="s">
        <v>144</v>
      </c>
      <c r="B215" s="1186" t="s">
        <v>40</v>
      </c>
      <c r="C215" s="1186">
        <v>109</v>
      </c>
      <c r="D215" s="1186">
        <v>16</v>
      </c>
      <c r="E215" s="1186">
        <v>95510</v>
      </c>
    </row>
    <row r="216" spans="1:5" x14ac:dyDescent="0.2">
      <c r="A216" s="1186" t="s">
        <v>144</v>
      </c>
      <c r="B216" s="1186" t="s">
        <v>295</v>
      </c>
      <c r="C216" s="1186">
        <v>38</v>
      </c>
      <c r="D216" s="1186">
        <v>3</v>
      </c>
      <c r="E216" s="1186">
        <v>27070</v>
      </c>
    </row>
    <row r="217" spans="1:5" x14ac:dyDescent="0.2">
      <c r="A217" s="1186" t="s">
        <v>144</v>
      </c>
      <c r="B217" s="1186" t="s">
        <v>41</v>
      </c>
      <c r="C217" s="1186">
        <v>232</v>
      </c>
      <c r="D217" s="1186">
        <v>52</v>
      </c>
      <c r="E217" s="1186">
        <v>136130</v>
      </c>
    </row>
    <row r="218" spans="1:5" x14ac:dyDescent="0.2">
      <c r="A218" s="1186" t="s">
        <v>144</v>
      </c>
      <c r="B218" s="1186" t="s">
        <v>42</v>
      </c>
      <c r="C218" s="1186">
        <v>439</v>
      </c>
      <c r="D218" s="1186">
        <v>216</v>
      </c>
      <c r="E218" s="1186">
        <v>338260</v>
      </c>
    </row>
    <row r="219" spans="1:5" x14ac:dyDescent="0.2">
      <c r="A219" s="1186" t="s">
        <v>144</v>
      </c>
      <c r="B219" s="1186" t="s">
        <v>43</v>
      </c>
      <c r="C219" s="1186">
        <v>37</v>
      </c>
      <c r="D219" s="1186"/>
      <c r="E219" s="1186">
        <v>21670</v>
      </c>
    </row>
    <row r="220" spans="1:5" x14ac:dyDescent="0.2">
      <c r="A220" s="1186" t="s">
        <v>144</v>
      </c>
      <c r="B220" s="1186" t="s">
        <v>44</v>
      </c>
      <c r="C220" s="1186">
        <v>237</v>
      </c>
      <c r="D220" s="1186">
        <v>32</v>
      </c>
      <c r="E220" s="1186">
        <v>149930</v>
      </c>
    </row>
    <row r="221" spans="1:5" x14ac:dyDescent="0.2">
      <c r="A221" s="1186" t="s">
        <v>144</v>
      </c>
      <c r="B221" s="1186" t="s">
        <v>45</v>
      </c>
      <c r="C221" s="1186">
        <v>305</v>
      </c>
      <c r="D221" s="1186">
        <v>101</v>
      </c>
      <c r="E221" s="1186">
        <v>174560</v>
      </c>
    </row>
    <row r="222" spans="1:5" x14ac:dyDescent="0.2">
      <c r="A222" s="1186" t="s">
        <v>144</v>
      </c>
      <c r="B222" s="1186" t="s">
        <v>46</v>
      </c>
      <c r="C222" s="1186">
        <v>184</v>
      </c>
      <c r="D222" s="1186">
        <v>42</v>
      </c>
      <c r="E222" s="1186">
        <v>114030</v>
      </c>
    </row>
    <row r="223" spans="1:5" x14ac:dyDescent="0.2">
      <c r="A223" s="1186" t="s">
        <v>144</v>
      </c>
      <c r="B223" s="1186" t="s">
        <v>47</v>
      </c>
      <c r="C223" s="1186">
        <v>34</v>
      </c>
      <c r="D223" s="1186">
        <v>3</v>
      </c>
      <c r="E223" s="1186">
        <v>23200</v>
      </c>
    </row>
    <row r="224" spans="1:5" x14ac:dyDescent="0.2">
      <c r="A224" s="1186" t="s">
        <v>144</v>
      </c>
      <c r="B224" s="1186" t="s">
        <v>48</v>
      </c>
      <c r="C224" s="1186">
        <v>154</v>
      </c>
      <c r="D224" s="1186">
        <v>35</v>
      </c>
      <c r="E224" s="1186">
        <v>112400</v>
      </c>
    </row>
    <row r="225" spans="1:5" x14ac:dyDescent="0.2">
      <c r="A225" s="1186" t="s">
        <v>144</v>
      </c>
      <c r="B225" s="1186" t="s">
        <v>49</v>
      </c>
      <c r="C225" s="1186">
        <v>416</v>
      </c>
      <c r="D225" s="1186">
        <v>123</v>
      </c>
      <c r="E225" s="1186">
        <v>316230</v>
      </c>
    </row>
    <row r="226" spans="1:5" x14ac:dyDescent="0.2">
      <c r="A226" s="1186" t="s">
        <v>144</v>
      </c>
      <c r="B226" s="1186" t="s">
        <v>50</v>
      </c>
      <c r="C226" s="1186">
        <v>183</v>
      </c>
      <c r="D226" s="1186">
        <v>49</v>
      </c>
      <c r="E226" s="1186">
        <v>92830</v>
      </c>
    </row>
    <row r="227" spans="1:5" x14ac:dyDescent="0.2">
      <c r="A227" s="1186" t="s">
        <v>144</v>
      </c>
      <c r="B227" s="1186" t="s">
        <v>51</v>
      </c>
      <c r="C227" s="1186">
        <v>208</v>
      </c>
      <c r="D227" s="1186">
        <v>62</v>
      </c>
      <c r="E227" s="1186">
        <v>89590</v>
      </c>
    </row>
    <row r="228" spans="1:5" x14ac:dyDescent="0.2">
      <c r="A228" s="1186" t="s">
        <v>144</v>
      </c>
      <c r="B228" s="1186" t="s">
        <v>52</v>
      </c>
      <c r="C228" s="1186">
        <v>247</v>
      </c>
      <c r="D228" s="1186">
        <v>153</v>
      </c>
      <c r="E228" s="1186">
        <v>178550</v>
      </c>
    </row>
    <row r="229" spans="1:5" x14ac:dyDescent="0.2">
      <c r="A229" s="1186" t="s">
        <v>282</v>
      </c>
      <c r="B229" s="1186" t="s">
        <v>23</v>
      </c>
      <c r="C229" s="1186">
        <v>439</v>
      </c>
      <c r="D229" s="1186">
        <v>125</v>
      </c>
      <c r="E229" s="1186">
        <v>229840</v>
      </c>
    </row>
    <row r="230" spans="1:5" x14ac:dyDescent="0.2">
      <c r="A230" s="1186" t="s">
        <v>282</v>
      </c>
      <c r="B230" s="1186" t="s">
        <v>24</v>
      </c>
      <c r="C230" s="1186">
        <v>344</v>
      </c>
      <c r="D230" s="1186">
        <v>55</v>
      </c>
      <c r="E230" s="1186">
        <v>262190</v>
      </c>
    </row>
    <row r="231" spans="1:5" x14ac:dyDescent="0.2">
      <c r="A231" s="1186" t="s">
        <v>282</v>
      </c>
      <c r="B231" s="1186" t="s">
        <v>25</v>
      </c>
      <c r="C231" s="1186">
        <v>163</v>
      </c>
      <c r="D231" s="1186">
        <v>23</v>
      </c>
      <c r="E231" s="1186">
        <v>116520</v>
      </c>
    </row>
    <row r="232" spans="1:5" x14ac:dyDescent="0.2">
      <c r="A232" s="1186" t="s">
        <v>282</v>
      </c>
      <c r="B232" s="1186" t="s">
        <v>26</v>
      </c>
      <c r="C232" s="1186">
        <v>141</v>
      </c>
      <c r="D232" s="1186">
        <v>9</v>
      </c>
      <c r="E232" s="1186">
        <v>87130</v>
      </c>
    </row>
    <row r="233" spans="1:5" x14ac:dyDescent="0.2">
      <c r="A233" s="1186" t="s">
        <v>282</v>
      </c>
      <c r="B233" s="1186" t="s">
        <v>619</v>
      </c>
      <c r="C233" s="1186">
        <v>791</v>
      </c>
      <c r="D233" s="1186">
        <v>378</v>
      </c>
      <c r="E233" s="1186">
        <v>507170</v>
      </c>
    </row>
    <row r="234" spans="1:5" x14ac:dyDescent="0.2">
      <c r="A234" s="1186" t="s">
        <v>282</v>
      </c>
      <c r="B234" s="1186" t="s">
        <v>27</v>
      </c>
      <c r="C234" s="1186">
        <v>96</v>
      </c>
      <c r="D234" s="1186">
        <v>13</v>
      </c>
      <c r="E234" s="1186">
        <v>51350</v>
      </c>
    </row>
    <row r="235" spans="1:5" x14ac:dyDescent="0.2">
      <c r="A235" s="1186" t="s">
        <v>282</v>
      </c>
      <c r="B235" s="1186" t="s">
        <v>28</v>
      </c>
      <c r="C235" s="1186">
        <v>202</v>
      </c>
      <c r="D235" s="1186">
        <v>44</v>
      </c>
      <c r="E235" s="1186">
        <v>149520</v>
      </c>
    </row>
    <row r="236" spans="1:5" x14ac:dyDescent="0.2">
      <c r="A236" s="1186" t="s">
        <v>282</v>
      </c>
      <c r="B236" s="1186" t="s">
        <v>29</v>
      </c>
      <c r="C236" s="1186">
        <v>311</v>
      </c>
      <c r="D236" s="1186">
        <v>71</v>
      </c>
      <c r="E236" s="1186">
        <v>148270</v>
      </c>
    </row>
    <row r="237" spans="1:5" x14ac:dyDescent="0.2">
      <c r="A237" s="1186" t="s">
        <v>282</v>
      </c>
      <c r="B237" s="1186" t="s">
        <v>30</v>
      </c>
      <c r="C237" s="1186">
        <v>202</v>
      </c>
      <c r="D237" s="1186">
        <v>53</v>
      </c>
      <c r="E237" s="1186">
        <v>122200</v>
      </c>
    </row>
    <row r="238" spans="1:5" x14ac:dyDescent="0.2">
      <c r="A238" s="1186" t="s">
        <v>282</v>
      </c>
      <c r="B238" s="1186" t="s">
        <v>31</v>
      </c>
      <c r="C238" s="1186">
        <v>117</v>
      </c>
      <c r="D238" s="1186">
        <v>49</v>
      </c>
      <c r="E238" s="1186">
        <v>107540</v>
      </c>
    </row>
    <row r="239" spans="1:5" x14ac:dyDescent="0.2">
      <c r="A239" s="1186" t="s">
        <v>282</v>
      </c>
      <c r="B239" s="1186" t="s">
        <v>32</v>
      </c>
      <c r="C239" s="1186">
        <v>116</v>
      </c>
      <c r="D239" s="1186">
        <v>39</v>
      </c>
      <c r="E239" s="1186">
        <v>104090</v>
      </c>
    </row>
    <row r="240" spans="1:5" x14ac:dyDescent="0.2">
      <c r="A240" s="1186" t="s">
        <v>282</v>
      </c>
      <c r="B240" s="1186" t="s">
        <v>33</v>
      </c>
      <c r="C240" s="1186">
        <v>80</v>
      </c>
      <c r="D240" s="1186">
        <v>26</v>
      </c>
      <c r="E240" s="1186">
        <v>93810</v>
      </c>
    </row>
    <row r="241" spans="1:5" x14ac:dyDescent="0.2">
      <c r="A241" s="1186" t="s">
        <v>282</v>
      </c>
      <c r="B241" s="1186" t="s">
        <v>34</v>
      </c>
      <c r="C241" s="1186">
        <v>202</v>
      </c>
      <c r="D241" s="1186">
        <v>79</v>
      </c>
      <c r="E241" s="1186">
        <v>159380</v>
      </c>
    </row>
    <row r="242" spans="1:5" x14ac:dyDescent="0.2">
      <c r="A242" s="1186" t="s">
        <v>282</v>
      </c>
      <c r="B242" s="1186" t="s">
        <v>35</v>
      </c>
      <c r="C242" s="1186">
        <v>451</v>
      </c>
      <c r="D242" s="1186">
        <v>180</v>
      </c>
      <c r="E242" s="1186">
        <v>370330</v>
      </c>
    </row>
    <row r="243" spans="1:5" x14ac:dyDescent="0.2">
      <c r="A243" s="1186" t="s">
        <v>282</v>
      </c>
      <c r="B243" s="1186" t="s">
        <v>36</v>
      </c>
      <c r="C243" s="1186">
        <v>1256</v>
      </c>
      <c r="D243" s="1186">
        <v>452</v>
      </c>
      <c r="E243" s="1186">
        <v>615070</v>
      </c>
    </row>
    <row r="244" spans="1:5" x14ac:dyDescent="0.2">
      <c r="A244" s="1186" t="s">
        <v>282</v>
      </c>
      <c r="B244" s="1186" t="s">
        <v>37</v>
      </c>
      <c r="C244" s="1186">
        <v>340</v>
      </c>
      <c r="D244" s="1186">
        <v>32</v>
      </c>
      <c r="E244" s="1186">
        <v>234770</v>
      </c>
    </row>
    <row r="245" spans="1:5" x14ac:dyDescent="0.2">
      <c r="A245" s="1186" t="s">
        <v>282</v>
      </c>
      <c r="B245" s="1186" t="s">
        <v>38</v>
      </c>
      <c r="C245" s="1186">
        <v>162</v>
      </c>
      <c r="D245" s="1186">
        <v>53</v>
      </c>
      <c r="E245" s="1186">
        <v>79160</v>
      </c>
    </row>
    <row r="246" spans="1:5" x14ac:dyDescent="0.2">
      <c r="A246" s="1186" t="s">
        <v>282</v>
      </c>
      <c r="B246" s="1186" t="s">
        <v>39</v>
      </c>
      <c r="C246" s="1186">
        <v>126</v>
      </c>
      <c r="D246" s="1186">
        <v>78</v>
      </c>
      <c r="E246" s="1186">
        <v>88610</v>
      </c>
    </row>
    <row r="247" spans="1:5" x14ac:dyDescent="0.2">
      <c r="A247" s="1186" t="s">
        <v>282</v>
      </c>
      <c r="B247" s="1186" t="s">
        <v>40</v>
      </c>
      <c r="C247" s="1186">
        <v>110</v>
      </c>
      <c r="D247" s="1186">
        <v>18</v>
      </c>
      <c r="E247" s="1186">
        <v>96070</v>
      </c>
    </row>
    <row r="248" spans="1:5" x14ac:dyDescent="0.2">
      <c r="A248" s="1186" t="s">
        <v>282</v>
      </c>
      <c r="B248" s="1186" t="s">
        <v>295</v>
      </c>
      <c r="C248" s="1186">
        <v>34</v>
      </c>
      <c r="D248" s="1186">
        <v>1</v>
      </c>
      <c r="E248" s="1186">
        <v>26900</v>
      </c>
    </row>
    <row r="249" spans="1:5" x14ac:dyDescent="0.2">
      <c r="A249" s="1186" t="s">
        <v>282</v>
      </c>
      <c r="B249" s="1186" t="s">
        <v>41</v>
      </c>
      <c r="C249" s="1186">
        <v>220</v>
      </c>
      <c r="D249" s="1186">
        <v>49</v>
      </c>
      <c r="E249" s="1186">
        <v>135890</v>
      </c>
    </row>
    <row r="250" spans="1:5" x14ac:dyDescent="0.2">
      <c r="A250" s="1186" t="s">
        <v>282</v>
      </c>
      <c r="B250" s="1186" t="s">
        <v>42</v>
      </c>
      <c r="C250" s="1186">
        <v>463</v>
      </c>
      <c r="D250" s="1186">
        <v>224</v>
      </c>
      <c r="E250" s="1186">
        <v>339390</v>
      </c>
    </row>
    <row r="251" spans="1:5" x14ac:dyDescent="0.2">
      <c r="A251" s="1186" t="s">
        <v>282</v>
      </c>
      <c r="B251" s="1186" t="s">
        <v>43</v>
      </c>
      <c r="C251" s="1186">
        <v>21</v>
      </c>
      <c r="D251" s="1186">
        <v>2</v>
      </c>
      <c r="E251" s="1186">
        <v>21850</v>
      </c>
    </row>
    <row r="252" spans="1:5" x14ac:dyDescent="0.2">
      <c r="A252" s="1186" t="s">
        <v>282</v>
      </c>
      <c r="B252" s="1186" t="s">
        <v>44</v>
      </c>
      <c r="C252" s="1186">
        <v>255</v>
      </c>
      <c r="D252" s="1186">
        <v>33</v>
      </c>
      <c r="E252" s="1186">
        <v>150680</v>
      </c>
    </row>
    <row r="253" spans="1:5" x14ac:dyDescent="0.2">
      <c r="A253" s="1186" t="s">
        <v>282</v>
      </c>
      <c r="B253" s="1186" t="s">
        <v>45</v>
      </c>
      <c r="C253" s="1186">
        <v>276</v>
      </c>
      <c r="D253" s="1186">
        <v>109</v>
      </c>
      <c r="E253" s="1186">
        <v>175930</v>
      </c>
    </row>
    <row r="254" spans="1:5" x14ac:dyDescent="0.2">
      <c r="A254" s="1186" t="s">
        <v>282</v>
      </c>
      <c r="B254" s="1186" t="s">
        <v>46</v>
      </c>
      <c r="C254" s="1186">
        <v>162</v>
      </c>
      <c r="D254" s="1186">
        <v>33</v>
      </c>
      <c r="E254" s="1186">
        <v>114530</v>
      </c>
    </row>
    <row r="255" spans="1:5" x14ac:dyDescent="0.2">
      <c r="A255" s="1186" t="s">
        <v>282</v>
      </c>
      <c r="B255" s="1186" t="s">
        <v>47</v>
      </c>
      <c r="C255" s="1186">
        <v>24</v>
      </c>
      <c r="D255" s="1186">
        <v>2</v>
      </c>
      <c r="E255" s="1186">
        <v>23200</v>
      </c>
    </row>
    <row r="256" spans="1:5" x14ac:dyDescent="0.2">
      <c r="A256" s="1186" t="s">
        <v>282</v>
      </c>
      <c r="B256" s="1186" t="s">
        <v>48</v>
      </c>
      <c r="C256" s="1186">
        <v>152</v>
      </c>
      <c r="D256" s="1186">
        <v>36</v>
      </c>
      <c r="E256" s="1186">
        <v>112470</v>
      </c>
    </row>
    <row r="257" spans="1:5" x14ac:dyDescent="0.2">
      <c r="A257" s="1186" t="s">
        <v>282</v>
      </c>
      <c r="B257" s="1186" t="s">
        <v>49</v>
      </c>
      <c r="C257" s="1186">
        <v>389</v>
      </c>
      <c r="D257" s="1186">
        <v>169</v>
      </c>
      <c r="E257" s="1186">
        <v>317100</v>
      </c>
    </row>
    <row r="258" spans="1:5" x14ac:dyDescent="0.2">
      <c r="A258" s="1186" t="s">
        <v>282</v>
      </c>
      <c r="B258" s="1186" t="s">
        <v>50</v>
      </c>
      <c r="C258" s="1186">
        <v>151</v>
      </c>
      <c r="D258" s="1186">
        <v>53</v>
      </c>
      <c r="E258" s="1186">
        <v>93750</v>
      </c>
    </row>
    <row r="259" spans="1:5" x14ac:dyDescent="0.2">
      <c r="A259" s="1186" t="s">
        <v>282</v>
      </c>
      <c r="B259" s="1186" t="s">
        <v>51</v>
      </c>
      <c r="C259" s="1186">
        <v>179</v>
      </c>
      <c r="D259" s="1186">
        <v>81</v>
      </c>
      <c r="E259" s="1186">
        <v>89860</v>
      </c>
    </row>
    <row r="260" spans="1:5" x14ac:dyDescent="0.2">
      <c r="A260" s="1186" t="s">
        <v>282</v>
      </c>
      <c r="B260" s="1186" t="s">
        <v>52</v>
      </c>
      <c r="C260" s="1186">
        <v>224</v>
      </c>
      <c r="D260" s="1186">
        <v>126</v>
      </c>
      <c r="E260" s="1186">
        <v>180130</v>
      </c>
    </row>
    <row r="261" spans="1:5" x14ac:dyDescent="0.2">
      <c r="A261" s="1186" t="s">
        <v>311</v>
      </c>
      <c r="B261" s="1186" t="s">
        <v>23</v>
      </c>
      <c r="C261" s="1186">
        <v>355</v>
      </c>
      <c r="D261" s="1186">
        <v>100</v>
      </c>
      <c r="E261" s="1186">
        <v>228800</v>
      </c>
    </row>
    <row r="262" spans="1:5" x14ac:dyDescent="0.2">
      <c r="A262" s="1186" t="s">
        <v>311</v>
      </c>
      <c r="B262" s="1186" t="s">
        <v>24</v>
      </c>
      <c r="C262" s="1186">
        <v>343</v>
      </c>
      <c r="D262" s="1186">
        <v>49</v>
      </c>
      <c r="E262" s="1186">
        <v>261800</v>
      </c>
    </row>
    <row r="263" spans="1:5" x14ac:dyDescent="0.2">
      <c r="A263" s="1186" t="s">
        <v>311</v>
      </c>
      <c r="B263" s="1186" t="s">
        <v>25</v>
      </c>
      <c r="C263" s="1186">
        <v>131</v>
      </c>
      <c r="D263" s="1186">
        <v>30</v>
      </c>
      <c r="E263" s="1186">
        <v>116280</v>
      </c>
    </row>
    <row r="264" spans="1:5" x14ac:dyDescent="0.2">
      <c r="A264" s="1186" t="s">
        <v>311</v>
      </c>
      <c r="B264" s="1186" t="s">
        <v>26</v>
      </c>
      <c r="C264" s="1186">
        <v>161</v>
      </c>
      <c r="D264" s="1186">
        <v>27</v>
      </c>
      <c r="E264" s="1186">
        <v>86810</v>
      </c>
    </row>
    <row r="265" spans="1:5" x14ac:dyDescent="0.2">
      <c r="A265" s="1186" t="s">
        <v>311</v>
      </c>
      <c r="B265" s="1186" t="s">
        <v>619</v>
      </c>
      <c r="C265" s="1186">
        <v>747</v>
      </c>
      <c r="D265" s="1186">
        <v>298</v>
      </c>
      <c r="E265" s="1186">
        <v>513210</v>
      </c>
    </row>
    <row r="266" spans="1:5" x14ac:dyDescent="0.2">
      <c r="A266" s="1186" t="s">
        <v>311</v>
      </c>
      <c r="B266" s="1186" t="s">
        <v>27</v>
      </c>
      <c r="C266" s="1186">
        <v>69</v>
      </c>
      <c r="D266" s="1186">
        <v>24</v>
      </c>
      <c r="E266" s="1186">
        <v>51450</v>
      </c>
    </row>
    <row r="267" spans="1:5" x14ac:dyDescent="0.2">
      <c r="A267" s="1186" t="s">
        <v>311</v>
      </c>
      <c r="B267" s="1186" t="s">
        <v>28</v>
      </c>
      <c r="C267" s="1186">
        <v>197</v>
      </c>
      <c r="D267" s="1186">
        <v>38</v>
      </c>
      <c r="E267" s="1186">
        <v>149200</v>
      </c>
    </row>
    <row r="268" spans="1:5" x14ac:dyDescent="0.2">
      <c r="A268" s="1186" t="s">
        <v>311</v>
      </c>
      <c r="B268" s="1186" t="s">
        <v>29</v>
      </c>
      <c r="C268" s="1186">
        <v>272</v>
      </c>
      <c r="D268" s="1186">
        <v>73</v>
      </c>
      <c r="E268" s="1186">
        <v>148710</v>
      </c>
    </row>
    <row r="269" spans="1:5" x14ac:dyDescent="0.2">
      <c r="A269" s="1186" t="s">
        <v>311</v>
      </c>
      <c r="B269" s="1186" t="s">
        <v>30</v>
      </c>
      <c r="C269" s="1186">
        <v>133</v>
      </c>
      <c r="D269" s="1186">
        <v>47</v>
      </c>
      <c r="E269" s="1186">
        <v>121940</v>
      </c>
    </row>
    <row r="270" spans="1:5" x14ac:dyDescent="0.2">
      <c r="A270" s="1186" t="s">
        <v>311</v>
      </c>
      <c r="B270" s="1186" t="s">
        <v>31</v>
      </c>
      <c r="C270" s="1186">
        <v>101</v>
      </c>
      <c r="D270" s="1186">
        <v>57</v>
      </c>
      <c r="E270" s="1186">
        <v>108130</v>
      </c>
    </row>
    <row r="271" spans="1:5" x14ac:dyDescent="0.2">
      <c r="A271" s="1186" t="s">
        <v>311</v>
      </c>
      <c r="B271" s="1186" t="s">
        <v>32</v>
      </c>
      <c r="C271" s="1186">
        <v>130</v>
      </c>
      <c r="D271" s="1186">
        <v>59</v>
      </c>
      <c r="E271" s="1186">
        <v>104840</v>
      </c>
    </row>
    <row r="272" spans="1:5" x14ac:dyDescent="0.2">
      <c r="A272" s="1186" t="s">
        <v>311</v>
      </c>
      <c r="B272" s="1186" t="s">
        <v>33</v>
      </c>
      <c r="C272" s="1186">
        <v>111</v>
      </c>
      <c r="D272" s="1186">
        <v>19</v>
      </c>
      <c r="E272" s="1186">
        <v>94760</v>
      </c>
    </row>
    <row r="273" spans="1:5" x14ac:dyDescent="0.2">
      <c r="A273" s="1186" t="s">
        <v>311</v>
      </c>
      <c r="B273" s="1186" t="s">
        <v>34</v>
      </c>
      <c r="C273" s="1186">
        <v>199</v>
      </c>
      <c r="D273" s="1186">
        <v>144</v>
      </c>
      <c r="E273" s="1186">
        <v>160130</v>
      </c>
    </row>
    <row r="274" spans="1:5" x14ac:dyDescent="0.2">
      <c r="A274" s="1186" t="s">
        <v>311</v>
      </c>
      <c r="B274" s="1186" t="s">
        <v>35</v>
      </c>
      <c r="C274" s="1186">
        <v>513</v>
      </c>
      <c r="D274" s="1186">
        <v>151</v>
      </c>
      <c r="E274" s="1186">
        <v>371410</v>
      </c>
    </row>
    <row r="275" spans="1:5" x14ac:dyDescent="0.2">
      <c r="A275" s="1186" t="s">
        <v>311</v>
      </c>
      <c r="B275" s="1186" t="s">
        <v>36</v>
      </c>
      <c r="C275" s="1186">
        <v>1262</v>
      </c>
      <c r="D275" s="1186">
        <v>448</v>
      </c>
      <c r="E275" s="1186">
        <v>621020</v>
      </c>
    </row>
    <row r="276" spans="1:5" x14ac:dyDescent="0.2">
      <c r="A276" s="1186" t="s">
        <v>311</v>
      </c>
      <c r="B276" s="1186" t="s">
        <v>37</v>
      </c>
      <c r="C276" s="1186">
        <v>334</v>
      </c>
      <c r="D276" s="1186">
        <v>23</v>
      </c>
      <c r="E276" s="1186">
        <v>235180</v>
      </c>
    </row>
    <row r="277" spans="1:5" x14ac:dyDescent="0.2">
      <c r="A277" s="1186" t="s">
        <v>311</v>
      </c>
      <c r="B277" s="1186" t="s">
        <v>38</v>
      </c>
      <c r="C277" s="1186">
        <v>123</v>
      </c>
      <c r="D277" s="1186">
        <v>66</v>
      </c>
      <c r="E277" s="1186">
        <v>78760</v>
      </c>
    </row>
    <row r="278" spans="1:5" x14ac:dyDescent="0.2">
      <c r="A278" s="1186" t="s">
        <v>311</v>
      </c>
      <c r="B278" s="1186" t="s">
        <v>39</v>
      </c>
      <c r="C278" s="1186">
        <v>116</v>
      </c>
      <c r="D278" s="1186">
        <v>95</v>
      </c>
      <c r="E278" s="1186">
        <v>90090</v>
      </c>
    </row>
    <row r="279" spans="1:5" x14ac:dyDescent="0.2">
      <c r="A279" s="1186" t="s">
        <v>311</v>
      </c>
      <c r="B279" s="1186" t="s">
        <v>40</v>
      </c>
      <c r="C279" s="1186">
        <v>89</v>
      </c>
      <c r="D279" s="1186">
        <v>25</v>
      </c>
      <c r="E279" s="1186">
        <v>95780</v>
      </c>
    </row>
    <row r="280" spans="1:5" x14ac:dyDescent="0.2">
      <c r="A280" s="1186" t="s">
        <v>311</v>
      </c>
      <c r="B280" s="1186" t="s">
        <v>295</v>
      </c>
      <c r="C280" s="1186">
        <v>34</v>
      </c>
      <c r="D280" s="1186">
        <v>3</v>
      </c>
      <c r="E280" s="1186">
        <v>26950</v>
      </c>
    </row>
    <row r="281" spans="1:5" x14ac:dyDescent="0.2">
      <c r="A281" s="1186" t="s">
        <v>311</v>
      </c>
      <c r="B281" s="1186" t="s">
        <v>41</v>
      </c>
      <c r="C281" s="1186">
        <v>222</v>
      </c>
      <c r="D281" s="1186">
        <v>50</v>
      </c>
      <c r="E281" s="1186">
        <v>135790</v>
      </c>
    </row>
    <row r="282" spans="1:5" x14ac:dyDescent="0.2">
      <c r="A282" s="1186" t="s">
        <v>311</v>
      </c>
      <c r="B282" s="1186" t="s">
        <v>42</v>
      </c>
      <c r="C282" s="1186">
        <v>449</v>
      </c>
      <c r="D282" s="1186">
        <v>209</v>
      </c>
      <c r="E282" s="1186">
        <v>339960</v>
      </c>
    </row>
    <row r="283" spans="1:5" x14ac:dyDescent="0.2">
      <c r="A283" s="1186" t="s">
        <v>311</v>
      </c>
      <c r="B283" s="1186" t="s">
        <v>43</v>
      </c>
      <c r="C283" s="1186">
        <v>14</v>
      </c>
      <c r="D283" s="1186"/>
      <c r="E283" s="1186">
        <v>22000</v>
      </c>
    </row>
    <row r="284" spans="1:5" x14ac:dyDescent="0.2">
      <c r="A284" s="1186" t="s">
        <v>311</v>
      </c>
      <c r="B284" s="1186" t="s">
        <v>44</v>
      </c>
      <c r="C284" s="1186">
        <v>207</v>
      </c>
      <c r="D284" s="1186">
        <v>28</v>
      </c>
      <c r="E284" s="1186">
        <v>151100</v>
      </c>
    </row>
    <row r="285" spans="1:5" x14ac:dyDescent="0.2">
      <c r="A285" s="1186" t="s">
        <v>311</v>
      </c>
      <c r="B285" s="1186" t="s">
        <v>45</v>
      </c>
      <c r="C285" s="1186">
        <v>283</v>
      </c>
      <c r="D285" s="1186">
        <v>113</v>
      </c>
      <c r="E285" s="1186">
        <v>176830</v>
      </c>
    </row>
    <row r="286" spans="1:5" x14ac:dyDescent="0.2">
      <c r="A286" s="1186" t="s">
        <v>311</v>
      </c>
      <c r="B286" s="1186" t="s">
        <v>46</v>
      </c>
      <c r="C286" s="1186">
        <v>149</v>
      </c>
      <c r="D286" s="1186">
        <v>56</v>
      </c>
      <c r="E286" s="1186">
        <v>115020</v>
      </c>
    </row>
    <row r="287" spans="1:5" x14ac:dyDescent="0.2">
      <c r="A287" s="1186" t="s">
        <v>311</v>
      </c>
      <c r="B287" s="1186" t="s">
        <v>47</v>
      </c>
      <c r="C287" s="1186">
        <v>32</v>
      </c>
      <c r="D287" s="1186">
        <v>1</v>
      </c>
      <c r="E287" s="1186">
        <v>23080</v>
      </c>
    </row>
    <row r="288" spans="1:5" x14ac:dyDescent="0.2">
      <c r="A288" s="1186" t="s">
        <v>311</v>
      </c>
      <c r="B288" s="1186" t="s">
        <v>48</v>
      </c>
      <c r="C288" s="1186">
        <v>165</v>
      </c>
      <c r="D288" s="1186">
        <v>40</v>
      </c>
      <c r="E288" s="1186">
        <v>112680</v>
      </c>
    </row>
    <row r="289" spans="1:5" x14ac:dyDescent="0.2">
      <c r="A289" s="1186" t="s">
        <v>311</v>
      </c>
      <c r="B289" s="1186" t="s">
        <v>49</v>
      </c>
      <c r="C289" s="1186">
        <v>401</v>
      </c>
      <c r="D289" s="1186">
        <v>183</v>
      </c>
      <c r="E289" s="1186">
        <v>318170</v>
      </c>
    </row>
    <row r="290" spans="1:5" x14ac:dyDescent="0.2">
      <c r="A290" s="1186" t="s">
        <v>311</v>
      </c>
      <c r="B290" s="1186" t="s">
        <v>50</v>
      </c>
      <c r="C290" s="1186">
        <v>142</v>
      </c>
      <c r="D290" s="1186">
        <v>40</v>
      </c>
      <c r="E290" s="1186">
        <v>94000</v>
      </c>
    </row>
    <row r="291" spans="1:5" x14ac:dyDescent="0.2">
      <c r="A291" s="1186" t="s">
        <v>311</v>
      </c>
      <c r="B291" s="1186" t="s">
        <v>51</v>
      </c>
      <c r="C291" s="1186">
        <v>199</v>
      </c>
      <c r="D291" s="1186">
        <v>70</v>
      </c>
      <c r="E291" s="1186">
        <v>89610</v>
      </c>
    </row>
    <row r="292" spans="1:5" x14ac:dyDescent="0.2">
      <c r="A292" s="1186" t="s">
        <v>311</v>
      </c>
      <c r="B292" s="1186" t="s">
        <v>52</v>
      </c>
      <c r="C292" s="1186">
        <v>258</v>
      </c>
      <c r="D292" s="1186">
        <v>165</v>
      </c>
      <c r="E292" s="1186">
        <v>181310</v>
      </c>
    </row>
    <row r="293" spans="1:5" x14ac:dyDescent="0.2">
      <c r="A293" s="1186" t="s">
        <v>621</v>
      </c>
      <c r="B293" s="1186" t="s">
        <v>23</v>
      </c>
      <c r="C293" s="1186">
        <v>408</v>
      </c>
      <c r="D293" s="1186">
        <v>86</v>
      </c>
      <c r="E293" s="1186">
        <v>227560</v>
      </c>
    </row>
    <row r="294" spans="1:5" x14ac:dyDescent="0.2">
      <c r="A294" s="1186" t="s">
        <v>621</v>
      </c>
      <c r="B294" s="1186" t="s">
        <v>24</v>
      </c>
      <c r="C294" s="1186">
        <v>327</v>
      </c>
      <c r="D294" s="1186">
        <v>66</v>
      </c>
      <c r="E294" s="1186">
        <v>261470</v>
      </c>
    </row>
    <row r="295" spans="1:5" x14ac:dyDescent="0.2">
      <c r="A295" s="1186" t="s">
        <v>621</v>
      </c>
      <c r="B295" s="1186" t="s">
        <v>25</v>
      </c>
      <c r="C295" s="1186">
        <v>152</v>
      </c>
      <c r="D295" s="1186">
        <v>16</v>
      </c>
      <c r="E295" s="1186">
        <v>116040</v>
      </c>
    </row>
    <row r="296" spans="1:5" x14ac:dyDescent="0.2">
      <c r="A296" s="1186" t="s">
        <v>621</v>
      </c>
      <c r="B296" s="1186" t="s">
        <v>26</v>
      </c>
      <c r="C296" s="1186">
        <v>155</v>
      </c>
      <c r="D296" s="1186">
        <v>19</v>
      </c>
      <c r="E296" s="1186">
        <v>86260</v>
      </c>
    </row>
    <row r="297" spans="1:5" x14ac:dyDescent="0.2">
      <c r="A297" s="1186" t="s">
        <v>621</v>
      </c>
      <c r="B297" s="1186" t="s">
        <v>619</v>
      </c>
      <c r="C297" s="1186">
        <v>742</v>
      </c>
      <c r="D297" s="1186">
        <v>254</v>
      </c>
      <c r="E297" s="1186">
        <v>518500</v>
      </c>
    </row>
    <row r="298" spans="1:5" x14ac:dyDescent="0.2">
      <c r="A298" s="1186" t="s">
        <v>621</v>
      </c>
      <c r="B298" s="1186" t="s">
        <v>27</v>
      </c>
      <c r="C298" s="1186">
        <v>66</v>
      </c>
      <c r="D298" s="1186">
        <v>15</v>
      </c>
      <c r="E298" s="1186">
        <v>51400</v>
      </c>
    </row>
    <row r="299" spans="1:5" x14ac:dyDescent="0.2">
      <c r="A299" s="1186" t="s">
        <v>621</v>
      </c>
      <c r="B299" s="1186" t="s">
        <v>28</v>
      </c>
      <c r="C299" s="1186">
        <v>185</v>
      </c>
      <c r="D299" s="1186">
        <v>33</v>
      </c>
      <c r="E299" s="1186">
        <v>148790</v>
      </c>
    </row>
    <row r="300" spans="1:5" x14ac:dyDescent="0.2">
      <c r="A300" s="1186" t="s">
        <v>621</v>
      </c>
      <c r="B300" s="1186" t="s">
        <v>29</v>
      </c>
      <c r="C300" s="1186">
        <v>263</v>
      </c>
      <c r="D300" s="1186">
        <v>70</v>
      </c>
      <c r="E300" s="1186">
        <v>148750</v>
      </c>
    </row>
    <row r="301" spans="1:5" x14ac:dyDescent="0.2">
      <c r="A301" s="1186" t="s">
        <v>621</v>
      </c>
      <c r="B301" s="1186" t="s">
        <v>30</v>
      </c>
      <c r="C301" s="1186">
        <v>158</v>
      </c>
      <c r="D301" s="1186">
        <v>59</v>
      </c>
      <c r="E301" s="1186">
        <v>121840</v>
      </c>
    </row>
    <row r="302" spans="1:5" x14ac:dyDescent="0.2">
      <c r="A302" s="1186" t="s">
        <v>621</v>
      </c>
      <c r="B302" s="1186" t="s">
        <v>31</v>
      </c>
      <c r="C302" s="1186">
        <v>112</v>
      </c>
      <c r="D302" s="1186">
        <v>53</v>
      </c>
      <c r="E302" s="1186">
        <v>108330</v>
      </c>
    </row>
    <row r="303" spans="1:5" x14ac:dyDescent="0.2">
      <c r="A303" s="1186" t="s">
        <v>621</v>
      </c>
      <c r="B303" s="1186" t="s">
        <v>32</v>
      </c>
      <c r="C303" s="1186">
        <v>144</v>
      </c>
      <c r="D303" s="1186">
        <v>70</v>
      </c>
      <c r="E303" s="1186">
        <v>105790</v>
      </c>
    </row>
    <row r="304" spans="1:5" x14ac:dyDescent="0.2">
      <c r="A304" s="1186" t="s">
        <v>621</v>
      </c>
      <c r="B304" s="1186" t="s">
        <v>33</v>
      </c>
      <c r="C304" s="1186">
        <v>99</v>
      </c>
      <c r="D304" s="1186">
        <v>22</v>
      </c>
      <c r="E304" s="1186">
        <v>95170</v>
      </c>
    </row>
    <row r="305" spans="1:5" x14ac:dyDescent="0.2">
      <c r="A305" s="1186" t="s">
        <v>621</v>
      </c>
      <c r="B305" s="1186" t="s">
        <v>34</v>
      </c>
      <c r="C305" s="1186">
        <v>208</v>
      </c>
      <c r="D305" s="1186">
        <v>88</v>
      </c>
      <c r="E305" s="1186">
        <v>160340</v>
      </c>
    </row>
    <row r="306" spans="1:5" x14ac:dyDescent="0.2">
      <c r="A306" s="1186" t="s">
        <v>621</v>
      </c>
      <c r="B306" s="1186" t="s">
        <v>35</v>
      </c>
      <c r="C306" s="1186">
        <v>452</v>
      </c>
      <c r="D306" s="1186">
        <v>157</v>
      </c>
      <c r="E306" s="1186">
        <v>371910</v>
      </c>
    </row>
    <row r="307" spans="1:5" x14ac:dyDescent="0.2">
      <c r="A307" s="1186" t="s">
        <v>621</v>
      </c>
      <c r="B307" s="1186" t="s">
        <v>36</v>
      </c>
      <c r="C307" s="1186">
        <v>1180</v>
      </c>
      <c r="D307" s="1186">
        <v>470</v>
      </c>
      <c r="E307" s="1186">
        <v>626410</v>
      </c>
    </row>
    <row r="308" spans="1:5" x14ac:dyDescent="0.2">
      <c r="A308" s="1186" t="s">
        <v>621</v>
      </c>
      <c r="B308" s="1186" t="s">
        <v>37</v>
      </c>
      <c r="C308" s="1186">
        <v>383</v>
      </c>
      <c r="D308" s="1186">
        <v>36</v>
      </c>
      <c r="E308" s="1186">
        <v>235540</v>
      </c>
    </row>
    <row r="309" spans="1:5" x14ac:dyDescent="0.2">
      <c r="A309" s="1186" t="s">
        <v>621</v>
      </c>
      <c r="B309" s="1186" t="s">
        <v>38</v>
      </c>
      <c r="C309" s="1186">
        <v>113</v>
      </c>
      <c r="D309" s="1186">
        <v>45</v>
      </c>
      <c r="E309" s="1186">
        <v>78150</v>
      </c>
    </row>
    <row r="310" spans="1:5" x14ac:dyDescent="0.2">
      <c r="A310" s="1186" t="s">
        <v>621</v>
      </c>
      <c r="B310" s="1186" t="s">
        <v>39</v>
      </c>
      <c r="C310" s="1186">
        <v>104</v>
      </c>
      <c r="D310" s="1186">
        <v>65</v>
      </c>
      <c r="E310" s="1186">
        <v>91340</v>
      </c>
    </row>
    <row r="311" spans="1:5" x14ac:dyDescent="0.2">
      <c r="A311" s="1186" t="s">
        <v>621</v>
      </c>
      <c r="B311" s="1186" t="s">
        <v>40</v>
      </c>
      <c r="C311" s="1186">
        <v>124</v>
      </c>
      <c r="D311" s="1186">
        <v>27</v>
      </c>
      <c r="E311" s="1186">
        <v>95520</v>
      </c>
    </row>
    <row r="312" spans="1:5" x14ac:dyDescent="0.2">
      <c r="A312" s="1186" t="s">
        <v>621</v>
      </c>
      <c r="B312" s="1186" t="s">
        <v>295</v>
      </c>
      <c r="C312" s="1186">
        <v>46</v>
      </c>
      <c r="D312" s="1186">
        <v>2</v>
      </c>
      <c r="E312" s="1186">
        <v>26830</v>
      </c>
    </row>
    <row r="313" spans="1:5" x14ac:dyDescent="0.2">
      <c r="A313" s="1186" t="s">
        <v>621</v>
      </c>
      <c r="B313" s="1186" t="s">
        <v>41</v>
      </c>
      <c r="C313" s="1186">
        <v>238</v>
      </c>
      <c r="D313" s="1186">
        <v>70</v>
      </c>
      <c r="E313" s="1186">
        <v>135280</v>
      </c>
    </row>
    <row r="314" spans="1:5" x14ac:dyDescent="0.2">
      <c r="A314" s="1186" t="s">
        <v>621</v>
      </c>
      <c r="B314" s="1186" t="s">
        <v>42</v>
      </c>
      <c r="C314" s="1186">
        <v>488</v>
      </c>
      <c r="D314" s="1186">
        <v>226</v>
      </c>
      <c r="E314" s="1186">
        <v>340180</v>
      </c>
    </row>
    <row r="315" spans="1:5" x14ac:dyDescent="0.2">
      <c r="A315" s="1186" t="s">
        <v>621</v>
      </c>
      <c r="B315" s="1186" t="s">
        <v>43</v>
      </c>
      <c r="C315" s="1186">
        <v>24</v>
      </c>
      <c r="D315" s="1186"/>
      <c r="E315" s="1186">
        <v>22190</v>
      </c>
    </row>
    <row r="316" spans="1:5" x14ac:dyDescent="0.2">
      <c r="A316" s="1186" t="s">
        <v>621</v>
      </c>
      <c r="B316" s="1186" t="s">
        <v>44</v>
      </c>
      <c r="C316" s="1186">
        <v>212</v>
      </c>
      <c r="D316" s="1186">
        <v>31</v>
      </c>
      <c r="E316" s="1186">
        <v>151290</v>
      </c>
    </row>
    <row r="317" spans="1:5" x14ac:dyDescent="0.2">
      <c r="A317" s="1186" t="s">
        <v>621</v>
      </c>
      <c r="B317" s="1186" t="s">
        <v>45</v>
      </c>
      <c r="C317" s="1186">
        <v>292</v>
      </c>
      <c r="D317" s="1186">
        <v>100</v>
      </c>
      <c r="E317" s="1186">
        <v>177790</v>
      </c>
    </row>
    <row r="318" spans="1:5" x14ac:dyDescent="0.2">
      <c r="A318" s="1186" t="s">
        <v>621</v>
      </c>
      <c r="B318" s="1186" t="s">
        <v>46</v>
      </c>
      <c r="C318" s="1186">
        <v>165</v>
      </c>
      <c r="D318" s="1186">
        <v>57</v>
      </c>
      <c r="E318" s="1186">
        <v>115270</v>
      </c>
    </row>
    <row r="319" spans="1:5" x14ac:dyDescent="0.2">
      <c r="A319" s="1186" t="s">
        <v>621</v>
      </c>
      <c r="B319" s="1186" t="s">
        <v>47</v>
      </c>
      <c r="C319" s="1186">
        <v>17</v>
      </c>
      <c r="D319" s="1186">
        <v>1</v>
      </c>
      <c r="E319" s="1186">
        <v>22990</v>
      </c>
    </row>
    <row r="320" spans="1:5" x14ac:dyDescent="0.2">
      <c r="A320" s="1186" t="s">
        <v>621</v>
      </c>
      <c r="B320" s="1186" t="s">
        <v>48</v>
      </c>
      <c r="C320" s="1186">
        <v>152</v>
      </c>
      <c r="D320" s="1186">
        <v>24</v>
      </c>
      <c r="E320" s="1186">
        <v>112550</v>
      </c>
    </row>
    <row r="321" spans="1:5" x14ac:dyDescent="0.2">
      <c r="A321" s="1186" t="s">
        <v>621</v>
      </c>
      <c r="B321" s="1186" t="s">
        <v>49</v>
      </c>
      <c r="C321" s="1186">
        <v>395</v>
      </c>
      <c r="D321" s="1186">
        <v>122</v>
      </c>
      <c r="E321" s="1186">
        <v>319020</v>
      </c>
    </row>
    <row r="322" spans="1:5" x14ac:dyDescent="0.2">
      <c r="A322" s="1186" t="s">
        <v>621</v>
      </c>
      <c r="B322" s="1186" t="s">
        <v>50</v>
      </c>
      <c r="C322" s="1186">
        <v>123</v>
      </c>
      <c r="D322" s="1186">
        <v>34</v>
      </c>
      <c r="E322" s="1186">
        <v>94330</v>
      </c>
    </row>
    <row r="323" spans="1:5" x14ac:dyDescent="0.2">
      <c r="A323" s="1186" t="s">
        <v>621</v>
      </c>
      <c r="B323" s="1186" t="s">
        <v>51</v>
      </c>
      <c r="C323" s="1186">
        <v>183</v>
      </c>
      <c r="D323" s="1186">
        <v>68</v>
      </c>
      <c r="E323" s="1186">
        <v>89130</v>
      </c>
    </row>
    <row r="324" spans="1:5" x14ac:dyDescent="0.2">
      <c r="A324" s="1186" t="s">
        <v>621</v>
      </c>
      <c r="B324" s="1186" t="s">
        <v>52</v>
      </c>
      <c r="C324" s="1186">
        <v>259</v>
      </c>
      <c r="D324" s="1186">
        <v>118</v>
      </c>
      <c r="E324" s="1186">
        <v>182140</v>
      </c>
    </row>
    <row r="325" spans="1:5" x14ac:dyDescent="0.2">
      <c r="A325" s="1186" t="s">
        <v>1419</v>
      </c>
      <c r="B325" s="1186" t="s">
        <v>23</v>
      </c>
      <c r="C325" s="1186">
        <v>380</v>
      </c>
      <c r="D325" s="1186">
        <v>106</v>
      </c>
      <c r="E325" s="1186">
        <v>228670</v>
      </c>
    </row>
    <row r="326" spans="1:5" x14ac:dyDescent="0.2">
      <c r="A326" s="1186" t="s">
        <v>1419</v>
      </c>
      <c r="B326" s="1186" t="s">
        <v>24</v>
      </c>
      <c r="C326" s="1186">
        <v>323</v>
      </c>
      <c r="D326" s="1186">
        <v>86</v>
      </c>
      <c r="E326" s="1186">
        <v>261210</v>
      </c>
    </row>
    <row r="327" spans="1:5" x14ac:dyDescent="0.2">
      <c r="A327" s="1186" t="s">
        <v>1419</v>
      </c>
      <c r="B327" s="1186" t="s">
        <v>25</v>
      </c>
      <c r="C327" s="1186">
        <v>142</v>
      </c>
      <c r="D327" s="1186">
        <v>37</v>
      </c>
      <c r="E327" s="1186">
        <v>116200</v>
      </c>
    </row>
    <row r="328" spans="1:5" x14ac:dyDescent="0.2">
      <c r="A328" s="1186" t="s">
        <v>1419</v>
      </c>
      <c r="B328" s="1186" t="s">
        <v>26</v>
      </c>
      <c r="C328" s="1186">
        <v>149</v>
      </c>
      <c r="D328" s="1186">
        <v>13</v>
      </c>
      <c r="E328" s="1186">
        <v>85870</v>
      </c>
    </row>
    <row r="329" spans="1:5" x14ac:dyDescent="0.2">
      <c r="A329" s="1186" t="s">
        <v>1419</v>
      </c>
      <c r="B329" s="1186" t="s">
        <v>619</v>
      </c>
      <c r="C329" s="1186">
        <v>693</v>
      </c>
      <c r="D329" s="1186">
        <v>223</v>
      </c>
      <c r="E329" s="1186">
        <v>524930</v>
      </c>
    </row>
    <row r="330" spans="1:5" x14ac:dyDescent="0.2">
      <c r="A330" s="1186" t="s">
        <v>1419</v>
      </c>
      <c r="B330" s="1186" t="s">
        <v>27</v>
      </c>
      <c r="C330" s="1186">
        <v>62</v>
      </c>
      <c r="D330" s="1186">
        <v>20</v>
      </c>
      <c r="E330" s="1186">
        <v>51540</v>
      </c>
    </row>
    <row r="331" spans="1:5" x14ac:dyDescent="0.2">
      <c r="A331" s="1186" t="s">
        <v>1419</v>
      </c>
      <c r="B331" s="1186" t="s">
        <v>28</v>
      </c>
      <c r="C331" s="1186">
        <v>199</v>
      </c>
      <c r="D331" s="1186">
        <v>23</v>
      </c>
      <c r="E331" s="1186">
        <v>148860</v>
      </c>
    </row>
    <row r="332" spans="1:5" x14ac:dyDescent="0.2">
      <c r="A332" s="1186" t="s">
        <v>1419</v>
      </c>
      <c r="B332" s="1186" t="s">
        <v>29</v>
      </c>
      <c r="C332" s="1186">
        <v>261</v>
      </c>
      <c r="D332" s="1186">
        <v>53</v>
      </c>
      <c r="E332" s="1186">
        <v>149320</v>
      </c>
    </row>
    <row r="333" spans="1:5" x14ac:dyDescent="0.2">
      <c r="A333" s="1186" t="s">
        <v>1419</v>
      </c>
      <c r="B333" s="1186" t="s">
        <v>30</v>
      </c>
      <c r="C333" s="1186">
        <v>144</v>
      </c>
      <c r="D333" s="1186">
        <v>60</v>
      </c>
      <c r="E333" s="1186">
        <v>122010</v>
      </c>
    </row>
    <row r="334" spans="1:5" x14ac:dyDescent="0.2">
      <c r="A334" s="1186" t="s">
        <v>1419</v>
      </c>
      <c r="B334" s="1186" t="s">
        <v>31</v>
      </c>
      <c r="C334" s="1186">
        <v>106</v>
      </c>
      <c r="D334" s="1186">
        <v>48</v>
      </c>
      <c r="E334" s="1186">
        <v>108640</v>
      </c>
    </row>
    <row r="335" spans="1:5" x14ac:dyDescent="0.2">
      <c r="A335" s="1186" t="s">
        <v>1419</v>
      </c>
      <c r="B335" s="1186" t="s">
        <v>32</v>
      </c>
      <c r="C335" s="1186">
        <v>104</v>
      </c>
      <c r="D335" s="1186">
        <v>45</v>
      </c>
      <c r="E335" s="1186">
        <v>107090</v>
      </c>
    </row>
    <row r="336" spans="1:5" x14ac:dyDescent="0.2">
      <c r="A336" s="1186" t="s">
        <v>1419</v>
      </c>
      <c r="B336" s="1186" t="s">
        <v>33</v>
      </c>
      <c r="C336" s="1186">
        <v>100</v>
      </c>
      <c r="D336" s="1186">
        <v>37</v>
      </c>
      <c r="E336" s="1186">
        <v>95530</v>
      </c>
    </row>
    <row r="337" spans="1:5" x14ac:dyDescent="0.2">
      <c r="A337" s="1186" t="s">
        <v>1419</v>
      </c>
      <c r="B337" s="1186" t="s">
        <v>34</v>
      </c>
      <c r="C337" s="1186">
        <v>216</v>
      </c>
      <c r="D337" s="1186">
        <v>82</v>
      </c>
      <c r="E337" s="1186">
        <v>160890</v>
      </c>
    </row>
    <row r="338" spans="1:5" x14ac:dyDescent="0.2">
      <c r="A338" s="1186" t="s">
        <v>1419</v>
      </c>
      <c r="B338" s="1186" t="s">
        <v>35</v>
      </c>
      <c r="C338" s="1186">
        <v>386</v>
      </c>
      <c r="D338" s="1186">
        <v>136</v>
      </c>
      <c r="E338" s="1186">
        <v>373550</v>
      </c>
    </row>
    <row r="339" spans="1:5" x14ac:dyDescent="0.2">
      <c r="A339" s="1186" t="s">
        <v>1419</v>
      </c>
      <c r="B339" s="1186" t="s">
        <v>36</v>
      </c>
      <c r="C339" s="1186">
        <v>1150</v>
      </c>
      <c r="D339" s="1186">
        <v>476</v>
      </c>
      <c r="E339" s="1186">
        <v>633120</v>
      </c>
    </row>
    <row r="340" spans="1:5" x14ac:dyDescent="0.2">
      <c r="A340" s="1186" t="s">
        <v>1419</v>
      </c>
      <c r="B340" s="1186" t="s">
        <v>37</v>
      </c>
      <c r="C340" s="1186">
        <v>287</v>
      </c>
      <c r="D340" s="1186">
        <v>43</v>
      </c>
      <c r="E340" s="1186">
        <v>235830</v>
      </c>
    </row>
    <row r="341" spans="1:5" x14ac:dyDescent="0.2">
      <c r="A341" s="1186" t="s">
        <v>1419</v>
      </c>
      <c r="B341" s="1186" t="s">
        <v>38</v>
      </c>
      <c r="C341" s="1186">
        <v>104</v>
      </c>
      <c r="D341" s="1186">
        <v>57</v>
      </c>
      <c r="E341" s="1186">
        <v>77800</v>
      </c>
    </row>
    <row r="342" spans="1:5" x14ac:dyDescent="0.2">
      <c r="A342" s="1186" t="s">
        <v>1419</v>
      </c>
      <c r="B342" s="1186" t="s">
        <v>39</v>
      </c>
      <c r="C342" s="1186">
        <v>110</v>
      </c>
      <c r="D342" s="1186">
        <v>45</v>
      </c>
      <c r="E342" s="1186">
        <v>92460</v>
      </c>
    </row>
    <row r="343" spans="1:5" x14ac:dyDescent="0.2">
      <c r="A343" s="1186" t="s">
        <v>1419</v>
      </c>
      <c r="B343" s="1186" t="s">
        <v>40</v>
      </c>
      <c r="C343" s="1186">
        <v>135</v>
      </c>
      <c r="D343" s="1186">
        <v>25</v>
      </c>
      <c r="E343" s="1186">
        <v>95820</v>
      </c>
    </row>
    <row r="344" spans="1:5" x14ac:dyDescent="0.2">
      <c r="A344" s="1186" t="s">
        <v>1419</v>
      </c>
      <c r="B344" s="1186" t="s">
        <v>295</v>
      </c>
      <c r="C344" s="1186">
        <v>36</v>
      </c>
      <c r="D344" s="1186"/>
      <c r="E344" s="1186">
        <v>26720</v>
      </c>
    </row>
    <row r="345" spans="1:5" x14ac:dyDescent="0.2">
      <c r="A345" s="1186" t="s">
        <v>1419</v>
      </c>
      <c r="B345" s="1186" t="s">
        <v>41</v>
      </c>
      <c r="C345" s="1186">
        <v>215</v>
      </c>
      <c r="D345" s="1186">
        <v>52</v>
      </c>
      <c r="E345" s="1186">
        <v>134740</v>
      </c>
    </row>
    <row r="346" spans="1:5" x14ac:dyDescent="0.2">
      <c r="A346" s="1186" t="s">
        <v>1419</v>
      </c>
      <c r="B346" s="1186" t="s">
        <v>42</v>
      </c>
      <c r="C346" s="1186">
        <v>401</v>
      </c>
      <c r="D346" s="1186">
        <v>234</v>
      </c>
      <c r="E346" s="1186">
        <v>341370</v>
      </c>
    </row>
    <row r="347" spans="1:5" x14ac:dyDescent="0.2">
      <c r="A347" s="1186" t="s">
        <v>1419</v>
      </c>
      <c r="B347" s="1186" t="s">
        <v>43</v>
      </c>
      <c r="C347" s="1186">
        <v>34</v>
      </c>
      <c r="D347" s="1186"/>
      <c r="E347" s="1186">
        <v>22270</v>
      </c>
    </row>
    <row r="348" spans="1:5" x14ac:dyDescent="0.2">
      <c r="A348" s="1186" t="s">
        <v>1419</v>
      </c>
      <c r="B348" s="1186" t="s">
        <v>44</v>
      </c>
      <c r="C348" s="1186">
        <v>221</v>
      </c>
      <c r="D348" s="1186">
        <v>29</v>
      </c>
      <c r="E348" s="1186">
        <v>151950</v>
      </c>
    </row>
    <row r="349" spans="1:5" x14ac:dyDescent="0.2">
      <c r="A349" s="1186" t="s">
        <v>1419</v>
      </c>
      <c r="B349" s="1186" t="s">
        <v>45</v>
      </c>
      <c r="C349" s="1186">
        <v>237</v>
      </c>
      <c r="D349" s="1186">
        <v>103</v>
      </c>
      <c r="E349" s="1186">
        <v>179100</v>
      </c>
    </row>
    <row r="350" spans="1:5" x14ac:dyDescent="0.2">
      <c r="A350" s="1186" t="s">
        <v>1419</v>
      </c>
      <c r="B350" s="1186" t="s">
        <v>46</v>
      </c>
      <c r="C350" s="1186">
        <v>169</v>
      </c>
      <c r="D350" s="1186">
        <v>49</v>
      </c>
      <c r="E350" s="1186">
        <v>115510</v>
      </c>
    </row>
    <row r="351" spans="1:5" x14ac:dyDescent="0.2">
      <c r="A351" s="1186" t="s">
        <v>1419</v>
      </c>
      <c r="B351" s="1186" t="s">
        <v>47</v>
      </c>
      <c r="C351" s="1186">
        <v>27</v>
      </c>
      <c r="D351" s="1186">
        <v>1</v>
      </c>
      <c r="E351" s="1186">
        <v>22920</v>
      </c>
    </row>
    <row r="352" spans="1:5" x14ac:dyDescent="0.2">
      <c r="A352" s="1186" t="s">
        <v>1419</v>
      </c>
      <c r="B352" s="1186" t="s">
        <v>48</v>
      </c>
      <c r="C352" s="1186">
        <v>158</v>
      </c>
      <c r="D352" s="1186">
        <v>28</v>
      </c>
      <c r="E352" s="1186">
        <v>112610</v>
      </c>
    </row>
    <row r="353" spans="1:5" x14ac:dyDescent="0.2">
      <c r="A353" s="1186" t="s">
        <v>1419</v>
      </c>
      <c r="B353" s="1186" t="s">
        <v>49</v>
      </c>
      <c r="C353" s="1186">
        <v>376</v>
      </c>
      <c r="D353" s="1186">
        <v>147</v>
      </c>
      <c r="E353" s="1186">
        <v>320530</v>
      </c>
    </row>
    <row r="354" spans="1:5" x14ac:dyDescent="0.2">
      <c r="A354" s="1186" t="s">
        <v>1419</v>
      </c>
      <c r="B354" s="1186" t="s">
        <v>50</v>
      </c>
      <c r="C354" s="1186">
        <v>125</v>
      </c>
      <c r="D354" s="1186">
        <v>24</v>
      </c>
      <c r="E354" s="1186">
        <v>94210</v>
      </c>
    </row>
    <row r="355" spans="1:5" x14ac:dyDescent="0.2">
      <c r="A355" s="1186" t="s">
        <v>1419</v>
      </c>
      <c r="B355" s="1186" t="s">
        <v>51</v>
      </c>
      <c r="C355" s="1186">
        <v>158</v>
      </c>
      <c r="D355" s="1186">
        <v>47</v>
      </c>
      <c r="E355" s="1186">
        <v>88930</v>
      </c>
    </row>
    <row r="356" spans="1:5" x14ac:dyDescent="0.2">
      <c r="A356" s="1186" t="s">
        <v>1419</v>
      </c>
      <c r="B356" s="1186" t="s">
        <v>52</v>
      </c>
      <c r="C356" s="1186">
        <v>200</v>
      </c>
      <c r="D356" s="1186">
        <v>114</v>
      </c>
      <c r="E356" s="1186">
        <v>183100</v>
      </c>
    </row>
    <row r="357" spans="1:5" x14ac:dyDescent="0.2">
      <c r="A357" s="1186" t="s">
        <v>1419</v>
      </c>
      <c r="B357" s="1186" t="s">
        <v>1521</v>
      </c>
      <c r="C357" s="1186">
        <v>1</v>
      </c>
      <c r="D357" s="1186"/>
      <c r="E357" s="1186"/>
    </row>
    <row r="358" spans="1:5" x14ac:dyDescent="0.2">
      <c r="A358" s="1186" t="s">
        <v>1572</v>
      </c>
      <c r="B358" s="1186" t="s">
        <v>23</v>
      </c>
      <c r="C358" s="1186">
        <v>330</v>
      </c>
      <c r="D358" s="1186">
        <v>97</v>
      </c>
      <c r="E358" s="1186">
        <v>229060</v>
      </c>
    </row>
    <row r="359" spans="1:5" x14ac:dyDescent="0.2">
      <c r="A359" s="1186" t="s">
        <v>1572</v>
      </c>
      <c r="B359" s="1186" t="s">
        <v>24</v>
      </c>
      <c r="C359" s="1186">
        <v>330</v>
      </c>
      <c r="D359" s="1186">
        <v>76</v>
      </c>
      <c r="E359" s="1186">
        <v>260780</v>
      </c>
    </row>
    <row r="360" spans="1:5" x14ac:dyDescent="0.2">
      <c r="A360" s="1186" t="s">
        <v>1572</v>
      </c>
      <c r="B360" s="1186" t="s">
        <v>25</v>
      </c>
      <c r="C360" s="1186">
        <v>130</v>
      </c>
      <c r="D360" s="1186">
        <v>42</v>
      </c>
      <c r="E360" s="1186">
        <v>115820</v>
      </c>
    </row>
    <row r="361" spans="1:5" x14ac:dyDescent="0.2">
      <c r="A361" s="1186" t="s">
        <v>1572</v>
      </c>
      <c r="B361" s="1186" t="s">
        <v>26</v>
      </c>
      <c r="C361" s="1186">
        <v>145</v>
      </c>
      <c r="D361" s="1186">
        <v>13</v>
      </c>
      <c r="E361" s="1186">
        <v>85430</v>
      </c>
    </row>
    <row r="362" spans="1:5" x14ac:dyDescent="0.2">
      <c r="A362" s="1186" t="s">
        <v>1572</v>
      </c>
      <c r="B362" s="1186" t="s">
        <v>619</v>
      </c>
      <c r="C362" s="1186">
        <v>579</v>
      </c>
      <c r="D362" s="1186">
        <v>237</v>
      </c>
      <c r="E362" s="1186">
        <v>527620</v>
      </c>
    </row>
    <row r="363" spans="1:5" x14ac:dyDescent="0.2">
      <c r="A363" s="1186" t="s">
        <v>1572</v>
      </c>
      <c r="B363" s="1186" t="s">
        <v>27</v>
      </c>
      <c r="C363" s="1186">
        <v>73</v>
      </c>
      <c r="D363" s="1186">
        <v>14</v>
      </c>
      <c r="E363" s="1186">
        <v>51290</v>
      </c>
    </row>
    <row r="364" spans="1:5" x14ac:dyDescent="0.2">
      <c r="A364" s="1186" t="s">
        <v>1572</v>
      </c>
      <c r="B364" s="1186" t="s">
        <v>28</v>
      </c>
      <c r="C364" s="1186">
        <v>164</v>
      </c>
      <c r="D364" s="1186">
        <v>29</v>
      </c>
      <c r="E364" s="1186">
        <v>148290</v>
      </c>
    </row>
    <row r="365" spans="1:5" x14ac:dyDescent="0.2">
      <c r="A365" s="1186" t="s">
        <v>1572</v>
      </c>
      <c r="B365" s="1186" t="s">
        <v>29</v>
      </c>
      <c r="C365" s="1186">
        <v>261</v>
      </c>
      <c r="D365" s="1186">
        <v>72</v>
      </c>
      <c r="E365" s="1186">
        <v>148820</v>
      </c>
    </row>
    <row r="366" spans="1:5" x14ac:dyDescent="0.2">
      <c r="A366" s="1186" t="s">
        <v>1572</v>
      </c>
      <c r="B366" s="1186" t="s">
        <v>30</v>
      </c>
      <c r="C366" s="1186">
        <v>155</v>
      </c>
      <c r="D366" s="1186">
        <v>65</v>
      </c>
      <c r="E366" s="1186">
        <v>121600</v>
      </c>
    </row>
    <row r="367" spans="1:5" x14ac:dyDescent="0.2">
      <c r="A367" s="1186" t="s">
        <v>1572</v>
      </c>
      <c r="B367" s="1186" t="s">
        <v>31</v>
      </c>
      <c r="C367" s="1186">
        <v>96</v>
      </c>
      <c r="D367" s="1186">
        <v>34</v>
      </c>
      <c r="E367" s="1186">
        <v>108750</v>
      </c>
    </row>
    <row r="368" spans="1:5" x14ac:dyDescent="0.2">
      <c r="A368" s="1186" t="s">
        <v>1572</v>
      </c>
      <c r="B368" s="1186" t="s">
        <v>32</v>
      </c>
      <c r="C368" s="1186">
        <v>108</v>
      </c>
      <c r="D368" s="1186">
        <v>31</v>
      </c>
      <c r="E368" s="1186">
        <v>107900</v>
      </c>
    </row>
    <row r="369" spans="1:5" x14ac:dyDescent="0.2">
      <c r="A369" s="1186" t="s">
        <v>1572</v>
      </c>
      <c r="B369" s="1186" t="s">
        <v>33</v>
      </c>
      <c r="C369" s="1186">
        <v>65</v>
      </c>
      <c r="D369" s="1186">
        <v>33</v>
      </c>
      <c r="E369" s="1186">
        <v>96060</v>
      </c>
    </row>
    <row r="370" spans="1:5" x14ac:dyDescent="0.2">
      <c r="A370" s="1186" t="s">
        <v>1572</v>
      </c>
      <c r="B370" s="1186" t="s">
        <v>34</v>
      </c>
      <c r="C370" s="1186">
        <v>203</v>
      </c>
      <c r="D370" s="1186">
        <v>81</v>
      </c>
      <c r="E370" s="1186">
        <v>160560</v>
      </c>
    </row>
    <row r="371" spans="1:5" x14ac:dyDescent="0.2">
      <c r="A371" s="1186" t="s">
        <v>1572</v>
      </c>
      <c r="B371" s="1186" t="s">
        <v>35</v>
      </c>
      <c r="C371" s="1186">
        <v>419</v>
      </c>
      <c r="D371" s="1186">
        <v>165</v>
      </c>
      <c r="E371" s="1186">
        <v>374130</v>
      </c>
    </row>
    <row r="372" spans="1:5" x14ac:dyDescent="0.2">
      <c r="A372" s="1186" t="s">
        <v>1572</v>
      </c>
      <c r="B372" s="1186" t="s">
        <v>36</v>
      </c>
      <c r="C372" s="1186">
        <v>991</v>
      </c>
      <c r="D372" s="1186">
        <v>419</v>
      </c>
      <c r="E372" s="1186">
        <v>635640</v>
      </c>
    </row>
    <row r="373" spans="1:5" x14ac:dyDescent="0.2">
      <c r="A373" s="1186" t="s">
        <v>1572</v>
      </c>
      <c r="B373" s="1186" t="s">
        <v>37</v>
      </c>
      <c r="C373" s="1186">
        <v>337</v>
      </c>
      <c r="D373" s="1186">
        <v>43</v>
      </c>
      <c r="E373" s="1186">
        <v>235430</v>
      </c>
    </row>
    <row r="374" spans="1:5" x14ac:dyDescent="0.2">
      <c r="A374" s="1186" t="s">
        <v>1572</v>
      </c>
      <c r="B374" s="1186" t="s">
        <v>38</v>
      </c>
      <c r="C374" s="1186">
        <v>111</v>
      </c>
      <c r="D374" s="1186">
        <v>55</v>
      </c>
      <c r="E374" s="1186">
        <v>77060</v>
      </c>
    </row>
    <row r="375" spans="1:5" x14ac:dyDescent="0.2">
      <c r="A375" s="1186" t="s">
        <v>1572</v>
      </c>
      <c r="B375" s="1186" t="s">
        <v>39</v>
      </c>
      <c r="C375" s="1186">
        <v>118</v>
      </c>
      <c r="D375" s="1186">
        <v>40</v>
      </c>
      <c r="E375" s="1186">
        <v>93150</v>
      </c>
    </row>
    <row r="376" spans="1:5" x14ac:dyDescent="0.2">
      <c r="A376" s="1186" t="s">
        <v>1572</v>
      </c>
      <c r="B376" s="1186" t="s">
        <v>40</v>
      </c>
      <c r="C376" s="1186">
        <v>113</v>
      </c>
      <c r="D376" s="1186">
        <v>30</v>
      </c>
      <c r="E376" s="1186">
        <v>95710</v>
      </c>
    </row>
    <row r="377" spans="1:5" x14ac:dyDescent="0.2">
      <c r="A377" s="1186" t="s">
        <v>1572</v>
      </c>
      <c r="B377" s="1186" t="s">
        <v>295</v>
      </c>
      <c r="C377" s="1186">
        <v>39</v>
      </c>
      <c r="D377" s="1186">
        <v>2</v>
      </c>
      <c r="E377" s="1186">
        <v>26500</v>
      </c>
    </row>
    <row r="378" spans="1:5" x14ac:dyDescent="0.2">
      <c r="A378" s="1186" t="s">
        <v>1572</v>
      </c>
      <c r="B378" s="1186" t="s">
        <v>41</v>
      </c>
      <c r="C378" s="1186">
        <v>193</v>
      </c>
      <c r="D378" s="1186">
        <v>46</v>
      </c>
      <c r="E378" s="1186">
        <v>134250</v>
      </c>
    </row>
    <row r="379" spans="1:5" x14ac:dyDescent="0.2">
      <c r="A379" s="1186" t="s">
        <v>1572</v>
      </c>
      <c r="B379" s="1186" t="s">
        <v>42</v>
      </c>
      <c r="C379" s="1186">
        <v>472</v>
      </c>
      <c r="D379" s="1186">
        <v>211</v>
      </c>
      <c r="E379" s="1186">
        <v>341140</v>
      </c>
    </row>
    <row r="380" spans="1:5" x14ac:dyDescent="0.2">
      <c r="A380" s="1186" t="s">
        <v>1572</v>
      </c>
      <c r="B380" s="1186" t="s">
        <v>43</v>
      </c>
      <c r="C380" s="1186">
        <v>17</v>
      </c>
      <c r="D380" s="1186"/>
      <c r="E380" s="1186">
        <v>22400</v>
      </c>
    </row>
    <row r="381" spans="1:5" x14ac:dyDescent="0.2">
      <c r="A381" s="1186" t="s">
        <v>1572</v>
      </c>
      <c r="B381" s="1186" t="s">
        <v>44</v>
      </c>
      <c r="C381" s="1186">
        <v>201</v>
      </c>
      <c r="D381" s="1186">
        <v>26</v>
      </c>
      <c r="E381" s="1186">
        <v>151910</v>
      </c>
    </row>
    <row r="382" spans="1:5" x14ac:dyDescent="0.2">
      <c r="A382" s="1186" t="s">
        <v>1572</v>
      </c>
      <c r="B382" s="1186" t="s">
        <v>45</v>
      </c>
      <c r="C382" s="1186">
        <v>217</v>
      </c>
      <c r="D382" s="1186">
        <v>115</v>
      </c>
      <c r="E382" s="1186">
        <v>179390</v>
      </c>
    </row>
    <row r="383" spans="1:5" x14ac:dyDescent="0.2">
      <c r="A383" s="1186" t="s">
        <v>1572</v>
      </c>
      <c r="B383" s="1186" t="s">
        <v>46</v>
      </c>
      <c r="C383" s="1186">
        <v>155</v>
      </c>
      <c r="D383" s="1186">
        <v>32</v>
      </c>
      <c r="E383" s="1186">
        <v>115240</v>
      </c>
    </row>
    <row r="384" spans="1:5" x14ac:dyDescent="0.2">
      <c r="A384" s="1186" t="s">
        <v>1572</v>
      </c>
      <c r="B384" s="1186" t="s">
        <v>47</v>
      </c>
      <c r="C384" s="1186">
        <v>51</v>
      </c>
      <c r="D384" s="1186">
        <v>2</v>
      </c>
      <c r="E384" s="1186">
        <v>22870</v>
      </c>
    </row>
    <row r="385" spans="1:5" x14ac:dyDescent="0.2">
      <c r="A385" s="1186" t="s">
        <v>1572</v>
      </c>
      <c r="B385" s="1186" t="s">
        <v>48</v>
      </c>
      <c r="C385" s="1186">
        <v>128</v>
      </c>
      <c r="D385" s="1186">
        <v>31</v>
      </c>
      <c r="E385" s="1186">
        <v>112140</v>
      </c>
    </row>
    <row r="386" spans="1:5" x14ac:dyDescent="0.2">
      <c r="A386" s="1186" t="s">
        <v>1572</v>
      </c>
      <c r="B386" s="1186" t="s">
        <v>49</v>
      </c>
      <c r="C386" s="1186">
        <v>368</v>
      </c>
      <c r="D386" s="1186">
        <v>148</v>
      </c>
      <c r="E386" s="1186">
        <v>320820</v>
      </c>
    </row>
    <row r="387" spans="1:5" x14ac:dyDescent="0.2">
      <c r="A387" s="1186" t="s">
        <v>1572</v>
      </c>
      <c r="B387" s="1186" t="s">
        <v>50</v>
      </c>
      <c r="C387" s="1186">
        <v>117</v>
      </c>
      <c r="D387" s="1186">
        <v>46</v>
      </c>
      <c r="E387" s="1186">
        <v>94080</v>
      </c>
    </row>
    <row r="388" spans="1:5" x14ac:dyDescent="0.2">
      <c r="A388" s="1186" t="s">
        <v>1572</v>
      </c>
      <c r="B388" s="1186" t="s">
        <v>51</v>
      </c>
      <c r="C388" s="1186">
        <v>138</v>
      </c>
      <c r="D388" s="1186">
        <v>62</v>
      </c>
      <c r="E388" s="1186">
        <v>88340</v>
      </c>
    </row>
    <row r="389" spans="1:5" x14ac:dyDescent="0.2">
      <c r="A389" s="1186" t="s">
        <v>1572</v>
      </c>
      <c r="B389" s="1186" t="s">
        <v>52</v>
      </c>
      <c r="C389" s="1186">
        <v>187</v>
      </c>
      <c r="D389" s="1186">
        <v>108</v>
      </c>
      <c r="E389" s="1186">
        <v>183820</v>
      </c>
    </row>
  </sheetData>
  <pageMargins left="0.7" right="0.7" top="0.75" bottom="0.75" header="0.3" footer="0.3"/>
  <pageSetup paperSize="9" fitToHeight="50" orientation="landscape" r:id="rId1"/>
  <legacyDrawing r:id="rId2"/>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pageSetUpPr fitToPage="1"/>
  </sheetPr>
  <dimension ref="A1:F765"/>
  <sheetViews>
    <sheetView zoomScale="85" zoomScaleNormal="85" workbookViewId="0">
      <pane ySplit="4" topLeftCell="A721" activePane="bottomLeft" state="frozen"/>
      <selection activeCell="A5" sqref="A5"/>
      <selection pane="bottomLeft" activeCell="A5" sqref="A5"/>
    </sheetView>
  </sheetViews>
  <sheetFormatPr defaultColWidth="8.7109375" defaultRowHeight="12.75" x14ac:dyDescent="0.2"/>
  <cols>
    <col min="1" max="1" width="12.5703125" bestFit="1" customWidth="1"/>
    <col min="2" max="2" width="7.42578125" bestFit="1" customWidth="1"/>
    <col min="3" max="3" width="19.5703125" bestFit="1" customWidth="1"/>
    <col min="4" max="5" width="5.85546875" bestFit="1" customWidth="1"/>
    <col min="6" max="6" width="8.5703125" bestFit="1" customWidth="1"/>
  </cols>
  <sheetData>
    <row r="1" spans="1:6" x14ac:dyDescent="0.2"/>
    <row r="4" spans="1:6" x14ac:dyDescent="0.2">
      <c r="A4" s="1223" t="s">
        <v>1764</v>
      </c>
      <c r="B4" s="1223" t="s">
        <v>4</v>
      </c>
      <c r="C4" s="1223" t="s">
        <v>1627</v>
      </c>
      <c r="D4" s="1223" t="s">
        <v>1768</v>
      </c>
      <c r="E4" s="1223" t="s">
        <v>1769</v>
      </c>
      <c r="F4" s="1223" t="s">
        <v>1770</v>
      </c>
    </row>
    <row r="5" spans="1:6" x14ac:dyDescent="0.2">
      <c r="A5" s="1186" t="s">
        <v>61</v>
      </c>
      <c r="B5" s="1186" t="s">
        <v>19</v>
      </c>
      <c r="C5" s="1186" t="s">
        <v>23</v>
      </c>
      <c r="D5" s="1186">
        <v>505</v>
      </c>
      <c r="E5" s="1186">
        <v>2</v>
      </c>
      <c r="F5" s="1186">
        <v>54</v>
      </c>
    </row>
    <row r="6" spans="1:6" x14ac:dyDescent="0.2">
      <c r="A6" s="1186" t="s">
        <v>61</v>
      </c>
      <c r="B6" s="1186" t="s">
        <v>19</v>
      </c>
      <c r="C6" s="1186" t="s">
        <v>24</v>
      </c>
      <c r="D6" s="1186">
        <v>387</v>
      </c>
      <c r="E6" s="1186">
        <v>1</v>
      </c>
      <c r="F6" s="1186">
        <v>54</v>
      </c>
    </row>
    <row r="7" spans="1:6" x14ac:dyDescent="0.2">
      <c r="A7" s="1186" t="s">
        <v>61</v>
      </c>
      <c r="B7" s="1186" t="s">
        <v>19</v>
      </c>
      <c r="C7" s="1186" t="s">
        <v>25</v>
      </c>
      <c r="D7" s="1186">
        <v>166</v>
      </c>
      <c r="E7" s="1186">
        <v>1</v>
      </c>
      <c r="F7" s="1186">
        <v>20</v>
      </c>
    </row>
    <row r="8" spans="1:6" x14ac:dyDescent="0.2">
      <c r="A8" s="1186" t="s">
        <v>61</v>
      </c>
      <c r="B8" s="1186" t="s">
        <v>19</v>
      </c>
      <c r="C8" s="1186" t="s">
        <v>26</v>
      </c>
      <c r="D8" s="1186">
        <v>152</v>
      </c>
      <c r="E8" s="1186"/>
      <c r="F8" s="1186">
        <v>8</v>
      </c>
    </row>
    <row r="9" spans="1:6" x14ac:dyDescent="0.2">
      <c r="A9" s="1186" t="s">
        <v>61</v>
      </c>
      <c r="B9" s="1186" t="s">
        <v>19</v>
      </c>
      <c r="C9" s="1186" t="s">
        <v>619</v>
      </c>
      <c r="D9" s="1186">
        <v>949</v>
      </c>
      <c r="E9" s="1186">
        <v>2</v>
      </c>
      <c r="F9" s="1186">
        <v>161</v>
      </c>
    </row>
    <row r="10" spans="1:6" x14ac:dyDescent="0.2">
      <c r="A10" s="1186" t="s">
        <v>61</v>
      </c>
      <c r="B10" s="1186" t="s">
        <v>19</v>
      </c>
      <c r="C10" s="1186" t="s">
        <v>27</v>
      </c>
      <c r="D10" s="1186">
        <v>73</v>
      </c>
      <c r="E10" s="1186"/>
      <c r="F10" s="1186">
        <v>12</v>
      </c>
    </row>
    <row r="11" spans="1:6" x14ac:dyDescent="0.2">
      <c r="A11" s="1186" t="s">
        <v>61</v>
      </c>
      <c r="B11" s="1186" t="s">
        <v>19</v>
      </c>
      <c r="C11" s="1186" t="s">
        <v>28</v>
      </c>
      <c r="D11" s="1186">
        <v>253</v>
      </c>
      <c r="E11" s="1186">
        <v>3</v>
      </c>
      <c r="F11" s="1186">
        <v>21</v>
      </c>
    </row>
    <row r="12" spans="1:6" x14ac:dyDescent="0.2">
      <c r="A12" s="1186" t="s">
        <v>61</v>
      </c>
      <c r="B12" s="1186" t="s">
        <v>19</v>
      </c>
      <c r="C12" s="1186" t="s">
        <v>29</v>
      </c>
      <c r="D12" s="1186">
        <v>403</v>
      </c>
      <c r="E12" s="1186">
        <v>4</v>
      </c>
      <c r="F12" s="1186">
        <v>43</v>
      </c>
    </row>
    <row r="13" spans="1:6" x14ac:dyDescent="0.2">
      <c r="A13" s="1186" t="s">
        <v>61</v>
      </c>
      <c r="B13" s="1186" t="s">
        <v>19</v>
      </c>
      <c r="C13" s="1186" t="s">
        <v>30</v>
      </c>
      <c r="D13" s="1186">
        <v>178</v>
      </c>
      <c r="E13" s="1186"/>
      <c r="F13" s="1186">
        <v>15</v>
      </c>
    </row>
    <row r="14" spans="1:6" x14ac:dyDescent="0.2">
      <c r="A14" s="1186" t="s">
        <v>61</v>
      </c>
      <c r="B14" s="1186" t="s">
        <v>19</v>
      </c>
      <c r="C14" s="1186" t="s">
        <v>31</v>
      </c>
      <c r="D14" s="1186">
        <v>107</v>
      </c>
      <c r="E14" s="1186"/>
      <c r="F14" s="1186">
        <v>8</v>
      </c>
    </row>
    <row r="15" spans="1:6" x14ac:dyDescent="0.2">
      <c r="A15" s="1186" t="s">
        <v>61</v>
      </c>
      <c r="B15" s="1186" t="s">
        <v>19</v>
      </c>
      <c r="C15" s="1186" t="s">
        <v>32</v>
      </c>
      <c r="D15" s="1186">
        <v>160</v>
      </c>
      <c r="E15" s="1186"/>
      <c r="F15" s="1186">
        <v>21</v>
      </c>
    </row>
    <row r="16" spans="1:6" x14ac:dyDescent="0.2">
      <c r="A16" s="1186" t="s">
        <v>61</v>
      </c>
      <c r="B16" s="1186" t="s">
        <v>19</v>
      </c>
      <c r="C16" s="1186" t="s">
        <v>33</v>
      </c>
      <c r="D16" s="1186">
        <v>90</v>
      </c>
      <c r="E16" s="1186">
        <v>3</v>
      </c>
      <c r="F16" s="1186">
        <v>7</v>
      </c>
    </row>
    <row r="17" spans="1:6" x14ac:dyDescent="0.2">
      <c r="A17" s="1186" t="s">
        <v>61</v>
      </c>
      <c r="B17" s="1186" t="s">
        <v>19</v>
      </c>
      <c r="C17" s="1186" t="s">
        <v>34</v>
      </c>
      <c r="D17" s="1186">
        <v>184</v>
      </c>
      <c r="E17" s="1186">
        <v>1</v>
      </c>
      <c r="F17" s="1186">
        <v>23</v>
      </c>
    </row>
    <row r="18" spans="1:6" x14ac:dyDescent="0.2">
      <c r="A18" s="1186" t="s">
        <v>61</v>
      </c>
      <c r="B18" s="1186" t="s">
        <v>19</v>
      </c>
      <c r="C18" s="1186" t="s">
        <v>35</v>
      </c>
      <c r="D18" s="1186">
        <v>492</v>
      </c>
      <c r="E18" s="1186">
        <v>4</v>
      </c>
      <c r="F18" s="1186">
        <v>87</v>
      </c>
    </row>
    <row r="19" spans="1:6" x14ac:dyDescent="0.2">
      <c r="A19" s="1186" t="s">
        <v>61</v>
      </c>
      <c r="B19" s="1186" t="s">
        <v>19</v>
      </c>
      <c r="C19" s="1186" t="s">
        <v>36</v>
      </c>
      <c r="D19" s="1186">
        <v>1573</v>
      </c>
      <c r="E19" s="1186">
        <v>11</v>
      </c>
      <c r="F19" s="1186">
        <v>144</v>
      </c>
    </row>
    <row r="20" spans="1:6" x14ac:dyDescent="0.2">
      <c r="A20" s="1186" t="s">
        <v>61</v>
      </c>
      <c r="B20" s="1186" t="s">
        <v>19</v>
      </c>
      <c r="C20" s="1186" t="s">
        <v>37</v>
      </c>
      <c r="D20" s="1186">
        <v>305</v>
      </c>
      <c r="E20" s="1186">
        <v>1</v>
      </c>
      <c r="F20" s="1186">
        <v>31</v>
      </c>
    </row>
    <row r="21" spans="1:6" x14ac:dyDescent="0.2">
      <c r="A21" s="1186" t="s">
        <v>61</v>
      </c>
      <c r="B21" s="1186" t="s">
        <v>19</v>
      </c>
      <c r="C21" s="1186" t="s">
        <v>38</v>
      </c>
      <c r="D21" s="1186">
        <v>152</v>
      </c>
      <c r="E21" s="1186">
        <v>2</v>
      </c>
      <c r="F21" s="1186">
        <v>18</v>
      </c>
    </row>
    <row r="22" spans="1:6" x14ac:dyDescent="0.2">
      <c r="A22" s="1186" t="s">
        <v>61</v>
      </c>
      <c r="B22" s="1186" t="s">
        <v>19</v>
      </c>
      <c r="C22" s="1186" t="s">
        <v>39</v>
      </c>
      <c r="D22" s="1186">
        <v>117</v>
      </c>
      <c r="E22" s="1186"/>
      <c r="F22" s="1186">
        <v>16</v>
      </c>
    </row>
    <row r="23" spans="1:6" x14ac:dyDescent="0.2">
      <c r="A23" s="1186" t="s">
        <v>61</v>
      </c>
      <c r="B23" s="1186" t="s">
        <v>19</v>
      </c>
      <c r="C23" s="1186" t="s">
        <v>40</v>
      </c>
      <c r="D23" s="1186">
        <v>135</v>
      </c>
      <c r="E23" s="1186"/>
      <c r="F23" s="1186">
        <v>29</v>
      </c>
    </row>
    <row r="24" spans="1:6" x14ac:dyDescent="0.2">
      <c r="A24" s="1186" t="s">
        <v>61</v>
      </c>
      <c r="B24" s="1186" t="s">
        <v>19</v>
      </c>
      <c r="C24" s="1186" t="s">
        <v>295</v>
      </c>
      <c r="D24" s="1186">
        <v>36</v>
      </c>
      <c r="E24" s="1186">
        <v>1</v>
      </c>
      <c r="F24" s="1186">
        <v>13</v>
      </c>
    </row>
    <row r="25" spans="1:6" x14ac:dyDescent="0.2">
      <c r="A25" s="1186" t="s">
        <v>61</v>
      </c>
      <c r="B25" s="1186" t="s">
        <v>19</v>
      </c>
      <c r="C25" s="1186" t="s">
        <v>41</v>
      </c>
      <c r="D25" s="1186">
        <v>256</v>
      </c>
      <c r="E25" s="1186">
        <v>1</v>
      </c>
      <c r="F25" s="1186">
        <v>19</v>
      </c>
    </row>
    <row r="26" spans="1:6" x14ac:dyDescent="0.2">
      <c r="A26" s="1186" t="s">
        <v>61</v>
      </c>
      <c r="B26" s="1186" t="s">
        <v>19</v>
      </c>
      <c r="C26" s="1186" t="s">
        <v>42</v>
      </c>
      <c r="D26" s="1186">
        <v>537</v>
      </c>
      <c r="E26" s="1186">
        <v>1</v>
      </c>
      <c r="F26" s="1186">
        <v>42</v>
      </c>
    </row>
    <row r="27" spans="1:6" x14ac:dyDescent="0.2">
      <c r="A27" s="1186" t="s">
        <v>61</v>
      </c>
      <c r="B27" s="1186" t="s">
        <v>19</v>
      </c>
      <c r="C27" s="1186" t="s">
        <v>43</v>
      </c>
      <c r="D27" s="1186">
        <v>20</v>
      </c>
      <c r="E27" s="1186">
        <v>1</v>
      </c>
      <c r="F27" s="1186">
        <v>1</v>
      </c>
    </row>
    <row r="28" spans="1:6" x14ac:dyDescent="0.2">
      <c r="A28" s="1186" t="s">
        <v>61</v>
      </c>
      <c r="B28" s="1186" t="s">
        <v>19</v>
      </c>
      <c r="C28" s="1186" t="s">
        <v>44</v>
      </c>
      <c r="D28" s="1186">
        <v>246</v>
      </c>
      <c r="E28" s="1186">
        <v>2</v>
      </c>
      <c r="F28" s="1186">
        <v>21</v>
      </c>
    </row>
    <row r="29" spans="1:6" x14ac:dyDescent="0.2">
      <c r="A29" s="1186" t="s">
        <v>61</v>
      </c>
      <c r="B29" s="1186" t="s">
        <v>19</v>
      </c>
      <c r="C29" s="1186" t="s">
        <v>45</v>
      </c>
      <c r="D29" s="1186">
        <v>338</v>
      </c>
      <c r="E29" s="1186">
        <v>1</v>
      </c>
      <c r="F29" s="1186">
        <v>27</v>
      </c>
    </row>
    <row r="30" spans="1:6" x14ac:dyDescent="0.2">
      <c r="A30" s="1186" t="s">
        <v>61</v>
      </c>
      <c r="B30" s="1186" t="s">
        <v>19</v>
      </c>
      <c r="C30" s="1186" t="s">
        <v>46</v>
      </c>
      <c r="D30" s="1186">
        <v>193</v>
      </c>
      <c r="E30" s="1186">
        <v>1</v>
      </c>
      <c r="F30" s="1186">
        <v>31</v>
      </c>
    </row>
    <row r="31" spans="1:6" x14ac:dyDescent="0.2">
      <c r="A31" s="1186" t="s">
        <v>61</v>
      </c>
      <c r="B31" s="1186" t="s">
        <v>19</v>
      </c>
      <c r="C31" s="1186" t="s">
        <v>47</v>
      </c>
      <c r="D31" s="1186">
        <v>31</v>
      </c>
      <c r="E31" s="1186"/>
      <c r="F31" s="1186">
        <v>2</v>
      </c>
    </row>
    <row r="32" spans="1:6" x14ac:dyDescent="0.2">
      <c r="A32" s="1186" t="s">
        <v>61</v>
      </c>
      <c r="B32" s="1186" t="s">
        <v>19</v>
      </c>
      <c r="C32" s="1186" t="s">
        <v>48</v>
      </c>
      <c r="D32" s="1186">
        <v>151</v>
      </c>
      <c r="E32" s="1186">
        <v>1</v>
      </c>
      <c r="F32" s="1186">
        <v>10</v>
      </c>
    </row>
    <row r="33" spans="1:6" x14ac:dyDescent="0.2">
      <c r="A33" s="1186" t="s">
        <v>61</v>
      </c>
      <c r="B33" s="1186" t="s">
        <v>19</v>
      </c>
      <c r="C33" s="1186" t="s">
        <v>49</v>
      </c>
      <c r="D33" s="1186">
        <v>529</v>
      </c>
      <c r="E33" s="1186">
        <v>3</v>
      </c>
      <c r="F33" s="1186">
        <v>35</v>
      </c>
    </row>
    <row r="34" spans="1:6" x14ac:dyDescent="0.2">
      <c r="A34" s="1186" t="s">
        <v>61</v>
      </c>
      <c r="B34" s="1186" t="s">
        <v>19</v>
      </c>
      <c r="C34" s="1186" t="s">
        <v>50</v>
      </c>
      <c r="D34" s="1186">
        <v>157</v>
      </c>
      <c r="E34" s="1186">
        <v>1</v>
      </c>
      <c r="F34" s="1186">
        <v>11</v>
      </c>
    </row>
    <row r="35" spans="1:6" x14ac:dyDescent="0.2">
      <c r="A35" s="1186" t="s">
        <v>61</v>
      </c>
      <c r="B35" s="1186" t="s">
        <v>19</v>
      </c>
      <c r="C35" s="1186" t="s">
        <v>51</v>
      </c>
      <c r="D35" s="1186">
        <v>193</v>
      </c>
      <c r="E35" s="1186">
        <v>4</v>
      </c>
      <c r="F35" s="1186">
        <v>13</v>
      </c>
    </row>
    <row r="36" spans="1:6" x14ac:dyDescent="0.2">
      <c r="A36" s="1186" t="s">
        <v>61</v>
      </c>
      <c r="B36" s="1186" t="s">
        <v>19</v>
      </c>
      <c r="C36" s="1186" t="s">
        <v>52</v>
      </c>
      <c r="D36" s="1186">
        <v>309</v>
      </c>
      <c r="E36" s="1186">
        <v>3</v>
      </c>
      <c r="F36" s="1186">
        <v>45</v>
      </c>
    </row>
    <row r="37" spans="1:6" x14ac:dyDescent="0.2">
      <c r="A37" s="1186" t="s">
        <v>61</v>
      </c>
      <c r="B37" s="1186" t="s">
        <v>20</v>
      </c>
      <c r="C37" s="1186" t="s">
        <v>23</v>
      </c>
      <c r="D37" s="1186">
        <v>428</v>
      </c>
      <c r="E37" s="1186">
        <v>1</v>
      </c>
      <c r="F37" s="1186">
        <v>71</v>
      </c>
    </row>
    <row r="38" spans="1:6" x14ac:dyDescent="0.2">
      <c r="A38" s="1186" t="s">
        <v>61</v>
      </c>
      <c r="B38" s="1186" t="s">
        <v>20</v>
      </c>
      <c r="C38" s="1186" t="s">
        <v>24</v>
      </c>
      <c r="D38" s="1186">
        <v>380</v>
      </c>
      <c r="E38" s="1186">
        <v>6</v>
      </c>
      <c r="F38" s="1186">
        <v>32</v>
      </c>
    </row>
    <row r="39" spans="1:6" x14ac:dyDescent="0.2">
      <c r="A39" s="1186" t="s">
        <v>61</v>
      </c>
      <c r="B39" s="1186" t="s">
        <v>20</v>
      </c>
      <c r="C39" s="1186" t="s">
        <v>25</v>
      </c>
      <c r="D39" s="1186">
        <v>155</v>
      </c>
      <c r="E39" s="1186">
        <v>1</v>
      </c>
      <c r="F39" s="1186">
        <v>7</v>
      </c>
    </row>
    <row r="40" spans="1:6" x14ac:dyDescent="0.2">
      <c r="A40" s="1186" t="s">
        <v>61</v>
      </c>
      <c r="B40" s="1186" t="s">
        <v>20</v>
      </c>
      <c r="C40" s="1186" t="s">
        <v>26</v>
      </c>
      <c r="D40" s="1186">
        <v>203</v>
      </c>
      <c r="E40" s="1186">
        <v>2</v>
      </c>
      <c r="F40" s="1186">
        <v>12</v>
      </c>
    </row>
    <row r="41" spans="1:6" x14ac:dyDescent="0.2">
      <c r="A41" s="1186" t="s">
        <v>61</v>
      </c>
      <c r="B41" s="1186" t="s">
        <v>20</v>
      </c>
      <c r="C41" s="1186" t="s">
        <v>619</v>
      </c>
      <c r="D41" s="1186">
        <v>959</v>
      </c>
      <c r="E41" s="1186">
        <v>6</v>
      </c>
      <c r="F41" s="1186">
        <v>217</v>
      </c>
    </row>
    <row r="42" spans="1:6" x14ac:dyDescent="0.2">
      <c r="A42" s="1186" t="s">
        <v>61</v>
      </c>
      <c r="B42" s="1186" t="s">
        <v>20</v>
      </c>
      <c r="C42" s="1186" t="s">
        <v>27</v>
      </c>
      <c r="D42" s="1186">
        <v>70</v>
      </c>
      <c r="E42" s="1186"/>
      <c r="F42" s="1186">
        <v>6</v>
      </c>
    </row>
    <row r="43" spans="1:6" x14ac:dyDescent="0.2">
      <c r="A43" s="1186" t="s">
        <v>61</v>
      </c>
      <c r="B43" s="1186" t="s">
        <v>20</v>
      </c>
      <c r="C43" s="1186" t="s">
        <v>28</v>
      </c>
      <c r="D43" s="1186">
        <v>201</v>
      </c>
      <c r="E43" s="1186"/>
      <c r="F43" s="1186">
        <v>11</v>
      </c>
    </row>
    <row r="44" spans="1:6" x14ac:dyDescent="0.2">
      <c r="A44" s="1186" t="s">
        <v>61</v>
      </c>
      <c r="B44" s="1186" t="s">
        <v>20</v>
      </c>
      <c r="C44" s="1186" t="s">
        <v>29</v>
      </c>
      <c r="D44" s="1186">
        <v>426</v>
      </c>
      <c r="E44" s="1186">
        <v>4</v>
      </c>
      <c r="F44" s="1186">
        <v>34</v>
      </c>
    </row>
    <row r="45" spans="1:6" x14ac:dyDescent="0.2">
      <c r="A45" s="1186" t="s">
        <v>61</v>
      </c>
      <c r="B45" s="1186" t="s">
        <v>20</v>
      </c>
      <c r="C45" s="1186" t="s">
        <v>30</v>
      </c>
      <c r="D45" s="1186">
        <v>174</v>
      </c>
      <c r="E45" s="1186"/>
      <c r="F45" s="1186">
        <v>9</v>
      </c>
    </row>
    <row r="46" spans="1:6" x14ac:dyDescent="0.2">
      <c r="A46" s="1186" t="s">
        <v>61</v>
      </c>
      <c r="B46" s="1186" t="s">
        <v>20</v>
      </c>
      <c r="C46" s="1186" t="s">
        <v>31</v>
      </c>
      <c r="D46" s="1186">
        <v>104</v>
      </c>
      <c r="E46" s="1186">
        <v>1</v>
      </c>
      <c r="F46" s="1186">
        <v>7</v>
      </c>
    </row>
    <row r="47" spans="1:6" x14ac:dyDescent="0.2">
      <c r="A47" s="1186" t="s">
        <v>61</v>
      </c>
      <c r="B47" s="1186" t="s">
        <v>20</v>
      </c>
      <c r="C47" s="1186" t="s">
        <v>32</v>
      </c>
      <c r="D47" s="1186">
        <v>150</v>
      </c>
      <c r="E47" s="1186"/>
      <c r="F47" s="1186">
        <v>21</v>
      </c>
    </row>
    <row r="48" spans="1:6" x14ac:dyDescent="0.2">
      <c r="A48" s="1186" t="s">
        <v>61</v>
      </c>
      <c r="B48" s="1186" t="s">
        <v>20</v>
      </c>
      <c r="C48" s="1186" t="s">
        <v>33</v>
      </c>
      <c r="D48" s="1186">
        <v>91</v>
      </c>
      <c r="E48" s="1186"/>
      <c r="F48" s="1186">
        <v>11</v>
      </c>
    </row>
    <row r="49" spans="1:6" x14ac:dyDescent="0.2">
      <c r="A49" s="1186" t="s">
        <v>61</v>
      </c>
      <c r="B49" s="1186" t="s">
        <v>20</v>
      </c>
      <c r="C49" s="1186" t="s">
        <v>34</v>
      </c>
      <c r="D49" s="1186">
        <v>225</v>
      </c>
      <c r="E49" s="1186">
        <v>2</v>
      </c>
      <c r="F49" s="1186">
        <v>23</v>
      </c>
    </row>
    <row r="50" spans="1:6" x14ac:dyDescent="0.2">
      <c r="A50" s="1186" t="s">
        <v>61</v>
      </c>
      <c r="B50" s="1186" t="s">
        <v>20</v>
      </c>
      <c r="C50" s="1186" t="s">
        <v>35</v>
      </c>
      <c r="D50" s="1186">
        <v>481</v>
      </c>
      <c r="E50" s="1186">
        <v>3</v>
      </c>
      <c r="F50" s="1186">
        <v>59</v>
      </c>
    </row>
    <row r="51" spans="1:6" x14ac:dyDescent="0.2">
      <c r="A51" s="1186" t="s">
        <v>61</v>
      </c>
      <c r="B51" s="1186" t="s">
        <v>20</v>
      </c>
      <c r="C51" s="1186" t="s">
        <v>36</v>
      </c>
      <c r="D51" s="1186">
        <v>1428</v>
      </c>
      <c r="E51" s="1186">
        <v>10</v>
      </c>
      <c r="F51" s="1186">
        <v>142</v>
      </c>
    </row>
    <row r="52" spans="1:6" x14ac:dyDescent="0.2">
      <c r="A52" s="1186" t="s">
        <v>61</v>
      </c>
      <c r="B52" s="1186" t="s">
        <v>20</v>
      </c>
      <c r="C52" s="1186" t="s">
        <v>37</v>
      </c>
      <c r="D52" s="1186">
        <v>366</v>
      </c>
      <c r="E52" s="1186">
        <v>1</v>
      </c>
      <c r="F52" s="1186">
        <v>54</v>
      </c>
    </row>
    <row r="53" spans="1:6" x14ac:dyDescent="0.2">
      <c r="A53" s="1186" t="s">
        <v>61</v>
      </c>
      <c r="B53" s="1186" t="s">
        <v>20</v>
      </c>
      <c r="C53" s="1186" t="s">
        <v>38</v>
      </c>
      <c r="D53" s="1186">
        <v>133</v>
      </c>
      <c r="E53" s="1186">
        <v>1</v>
      </c>
      <c r="F53" s="1186">
        <v>12</v>
      </c>
    </row>
    <row r="54" spans="1:6" x14ac:dyDescent="0.2">
      <c r="A54" s="1186" t="s">
        <v>61</v>
      </c>
      <c r="B54" s="1186" t="s">
        <v>20</v>
      </c>
      <c r="C54" s="1186" t="s">
        <v>39</v>
      </c>
      <c r="D54" s="1186">
        <v>116</v>
      </c>
      <c r="E54" s="1186">
        <v>1</v>
      </c>
      <c r="F54" s="1186">
        <v>22</v>
      </c>
    </row>
    <row r="55" spans="1:6" x14ac:dyDescent="0.2">
      <c r="A55" s="1186" t="s">
        <v>61</v>
      </c>
      <c r="B55" s="1186" t="s">
        <v>20</v>
      </c>
      <c r="C55" s="1186" t="s">
        <v>40</v>
      </c>
      <c r="D55" s="1186">
        <v>136</v>
      </c>
      <c r="E55" s="1186">
        <v>1</v>
      </c>
      <c r="F55" s="1186">
        <v>43</v>
      </c>
    </row>
    <row r="56" spans="1:6" x14ac:dyDescent="0.2">
      <c r="A56" s="1186" t="s">
        <v>61</v>
      </c>
      <c r="B56" s="1186" t="s">
        <v>20</v>
      </c>
      <c r="C56" s="1186" t="s">
        <v>295</v>
      </c>
      <c r="D56" s="1186">
        <v>41</v>
      </c>
      <c r="E56" s="1186"/>
      <c r="F56" s="1186">
        <v>4</v>
      </c>
    </row>
    <row r="57" spans="1:6" x14ac:dyDescent="0.2">
      <c r="A57" s="1186" t="s">
        <v>61</v>
      </c>
      <c r="B57" s="1186" t="s">
        <v>20</v>
      </c>
      <c r="C57" s="1186" t="s">
        <v>41</v>
      </c>
      <c r="D57" s="1186">
        <v>226</v>
      </c>
      <c r="E57" s="1186"/>
      <c r="F57" s="1186">
        <v>31</v>
      </c>
    </row>
    <row r="58" spans="1:6" x14ac:dyDescent="0.2">
      <c r="A58" s="1186" t="s">
        <v>61</v>
      </c>
      <c r="B58" s="1186" t="s">
        <v>20</v>
      </c>
      <c r="C58" s="1186" t="s">
        <v>42</v>
      </c>
      <c r="D58" s="1186">
        <v>483</v>
      </c>
      <c r="E58" s="1186">
        <v>1</v>
      </c>
      <c r="F58" s="1186">
        <v>49</v>
      </c>
    </row>
    <row r="59" spans="1:6" x14ac:dyDescent="0.2">
      <c r="A59" s="1186" t="s">
        <v>61</v>
      </c>
      <c r="B59" s="1186" t="s">
        <v>20</v>
      </c>
      <c r="C59" s="1186" t="s">
        <v>43</v>
      </c>
      <c r="D59" s="1186">
        <v>31</v>
      </c>
      <c r="E59" s="1186"/>
      <c r="F59" s="1186">
        <v>2</v>
      </c>
    </row>
    <row r="60" spans="1:6" x14ac:dyDescent="0.2">
      <c r="A60" s="1186" t="s">
        <v>61</v>
      </c>
      <c r="B60" s="1186" t="s">
        <v>20</v>
      </c>
      <c r="C60" s="1186" t="s">
        <v>44</v>
      </c>
      <c r="D60" s="1186">
        <v>295</v>
      </c>
      <c r="E60" s="1186"/>
      <c r="F60" s="1186">
        <v>20</v>
      </c>
    </row>
    <row r="61" spans="1:6" x14ac:dyDescent="0.2">
      <c r="A61" s="1186" t="s">
        <v>61</v>
      </c>
      <c r="B61" s="1186" t="s">
        <v>20</v>
      </c>
      <c r="C61" s="1186" t="s">
        <v>45</v>
      </c>
      <c r="D61" s="1186">
        <v>301</v>
      </c>
      <c r="E61" s="1186">
        <v>2</v>
      </c>
      <c r="F61" s="1186">
        <v>47</v>
      </c>
    </row>
    <row r="62" spans="1:6" x14ac:dyDescent="0.2">
      <c r="A62" s="1186" t="s">
        <v>61</v>
      </c>
      <c r="B62" s="1186" t="s">
        <v>20</v>
      </c>
      <c r="C62" s="1186" t="s">
        <v>46</v>
      </c>
      <c r="D62" s="1186">
        <v>187</v>
      </c>
      <c r="E62" s="1186"/>
      <c r="F62" s="1186">
        <v>24</v>
      </c>
    </row>
    <row r="63" spans="1:6" x14ac:dyDescent="0.2">
      <c r="A63" s="1186" t="s">
        <v>61</v>
      </c>
      <c r="B63" s="1186" t="s">
        <v>20</v>
      </c>
      <c r="C63" s="1186" t="s">
        <v>47</v>
      </c>
      <c r="D63" s="1186">
        <v>19</v>
      </c>
      <c r="E63" s="1186"/>
      <c r="F63" s="1186">
        <v>3</v>
      </c>
    </row>
    <row r="64" spans="1:6" x14ac:dyDescent="0.2">
      <c r="A64" s="1186" t="s">
        <v>61</v>
      </c>
      <c r="B64" s="1186" t="s">
        <v>20</v>
      </c>
      <c r="C64" s="1186" t="s">
        <v>48</v>
      </c>
      <c r="D64" s="1186">
        <v>169</v>
      </c>
      <c r="E64" s="1186">
        <v>1</v>
      </c>
      <c r="F64" s="1186">
        <v>24</v>
      </c>
    </row>
    <row r="65" spans="1:6" x14ac:dyDescent="0.2">
      <c r="A65" s="1186" t="s">
        <v>61</v>
      </c>
      <c r="B65" s="1186" t="s">
        <v>20</v>
      </c>
      <c r="C65" s="1186" t="s">
        <v>49</v>
      </c>
      <c r="D65" s="1186">
        <v>460</v>
      </c>
      <c r="E65" s="1186"/>
      <c r="F65" s="1186">
        <v>34</v>
      </c>
    </row>
    <row r="66" spans="1:6" x14ac:dyDescent="0.2">
      <c r="A66" s="1186" t="s">
        <v>61</v>
      </c>
      <c r="B66" s="1186" t="s">
        <v>20</v>
      </c>
      <c r="C66" s="1186" t="s">
        <v>50</v>
      </c>
      <c r="D66" s="1186">
        <v>156</v>
      </c>
      <c r="E66" s="1186"/>
      <c r="F66" s="1186">
        <v>10</v>
      </c>
    </row>
    <row r="67" spans="1:6" x14ac:dyDescent="0.2">
      <c r="A67" s="1186" t="s">
        <v>61</v>
      </c>
      <c r="B67" s="1186" t="s">
        <v>20</v>
      </c>
      <c r="C67" s="1186" t="s">
        <v>51</v>
      </c>
      <c r="D67" s="1186">
        <v>174</v>
      </c>
      <c r="E67" s="1186">
        <v>3</v>
      </c>
      <c r="F67" s="1186">
        <v>15</v>
      </c>
    </row>
    <row r="68" spans="1:6" x14ac:dyDescent="0.2">
      <c r="A68" s="1186" t="s">
        <v>61</v>
      </c>
      <c r="B68" s="1186" t="s">
        <v>20</v>
      </c>
      <c r="C68" s="1186" t="s">
        <v>52</v>
      </c>
      <c r="D68" s="1186">
        <v>292</v>
      </c>
      <c r="E68" s="1186">
        <v>1</v>
      </c>
      <c r="F68" s="1186">
        <v>45</v>
      </c>
    </row>
    <row r="69" spans="1:6" x14ac:dyDescent="0.2">
      <c r="A69" s="1186" t="s">
        <v>61</v>
      </c>
      <c r="B69" s="1186" t="s">
        <v>13</v>
      </c>
      <c r="C69" s="1186" t="s">
        <v>23</v>
      </c>
      <c r="D69" s="1186">
        <v>469</v>
      </c>
      <c r="E69" s="1186">
        <v>2</v>
      </c>
      <c r="F69" s="1186">
        <v>68</v>
      </c>
    </row>
    <row r="70" spans="1:6" x14ac:dyDescent="0.2">
      <c r="A70" s="1186" t="s">
        <v>61</v>
      </c>
      <c r="B70" s="1186" t="s">
        <v>13</v>
      </c>
      <c r="C70" s="1186" t="s">
        <v>24</v>
      </c>
      <c r="D70" s="1186">
        <v>369</v>
      </c>
      <c r="E70" s="1186">
        <v>2</v>
      </c>
      <c r="F70" s="1186">
        <v>33</v>
      </c>
    </row>
    <row r="71" spans="1:6" x14ac:dyDescent="0.2">
      <c r="A71" s="1186" t="s">
        <v>61</v>
      </c>
      <c r="B71" s="1186" t="s">
        <v>13</v>
      </c>
      <c r="C71" s="1186" t="s">
        <v>25</v>
      </c>
      <c r="D71" s="1186">
        <v>161</v>
      </c>
      <c r="E71" s="1186">
        <v>2</v>
      </c>
      <c r="F71" s="1186">
        <v>18</v>
      </c>
    </row>
    <row r="72" spans="1:6" x14ac:dyDescent="0.2">
      <c r="A72" s="1186" t="s">
        <v>61</v>
      </c>
      <c r="B72" s="1186" t="s">
        <v>13</v>
      </c>
      <c r="C72" s="1186" t="s">
        <v>26</v>
      </c>
      <c r="D72" s="1186">
        <v>171</v>
      </c>
      <c r="E72" s="1186">
        <v>2</v>
      </c>
      <c r="F72" s="1186">
        <v>10</v>
      </c>
    </row>
    <row r="73" spans="1:6" x14ac:dyDescent="0.2">
      <c r="A73" s="1186" t="s">
        <v>61</v>
      </c>
      <c r="B73" s="1186" t="s">
        <v>13</v>
      </c>
      <c r="C73" s="1186" t="s">
        <v>619</v>
      </c>
      <c r="D73" s="1186">
        <v>960</v>
      </c>
      <c r="E73" s="1186">
        <v>3</v>
      </c>
      <c r="F73" s="1186">
        <v>192</v>
      </c>
    </row>
    <row r="74" spans="1:6" x14ac:dyDescent="0.2">
      <c r="A74" s="1186" t="s">
        <v>61</v>
      </c>
      <c r="B74" s="1186" t="s">
        <v>13</v>
      </c>
      <c r="C74" s="1186" t="s">
        <v>27</v>
      </c>
      <c r="D74" s="1186">
        <v>70</v>
      </c>
      <c r="E74" s="1186"/>
      <c r="F74" s="1186">
        <v>16</v>
      </c>
    </row>
    <row r="75" spans="1:6" x14ac:dyDescent="0.2">
      <c r="A75" s="1186" t="s">
        <v>61</v>
      </c>
      <c r="B75" s="1186" t="s">
        <v>13</v>
      </c>
      <c r="C75" s="1186" t="s">
        <v>28</v>
      </c>
      <c r="D75" s="1186">
        <v>204</v>
      </c>
      <c r="E75" s="1186">
        <v>1</v>
      </c>
      <c r="F75" s="1186">
        <v>23</v>
      </c>
    </row>
    <row r="76" spans="1:6" x14ac:dyDescent="0.2">
      <c r="A76" s="1186" t="s">
        <v>61</v>
      </c>
      <c r="B76" s="1186" t="s">
        <v>13</v>
      </c>
      <c r="C76" s="1186" t="s">
        <v>29</v>
      </c>
      <c r="D76" s="1186">
        <v>348</v>
      </c>
      <c r="E76" s="1186">
        <v>2</v>
      </c>
      <c r="F76" s="1186">
        <v>41</v>
      </c>
    </row>
    <row r="77" spans="1:6" x14ac:dyDescent="0.2">
      <c r="A77" s="1186" t="s">
        <v>61</v>
      </c>
      <c r="B77" s="1186" t="s">
        <v>13</v>
      </c>
      <c r="C77" s="1186" t="s">
        <v>30</v>
      </c>
      <c r="D77" s="1186">
        <v>163</v>
      </c>
      <c r="E77" s="1186">
        <v>3</v>
      </c>
      <c r="F77" s="1186">
        <v>17</v>
      </c>
    </row>
    <row r="78" spans="1:6" x14ac:dyDescent="0.2">
      <c r="A78" s="1186" t="s">
        <v>61</v>
      </c>
      <c r="B78" s="1186" t="s">
        <v>13</v>
      </c>
      <c r="C78" s="1186" t="s">
        <v>31</v>
      </c>
      <c r="D78" s="1186">
        <v>94</v>
      </c>
      <c r="E78" s="1186"/>
      <c r="F78" s="1186">
        <v>7</v>
      </c>
    </row>
    <row r="79" spans="1:6" x14ac:dyDescent="0.2">
      <c r="A79" s="1186" t="s">
        <v>61</v>
      </c>
      <c r="B79" s="1186" t="s">
        <v>13</v>
      </c>
      <c r="C79" s="1186" t="s">
        <v>32</v>
      </c>
      <c r="D79" s="1186">
        <v>151</v>
      </c>
      <c r="E79" s="1186">
        <v>1</v>
      </c>
      <c r="F79" s="1186">
        <v>19</v>
      </c>
    </row>
    <row r="80" spans="1:6" x14ac:dyDescent="0.2">
      <c r="A80" s="1186" t="s">
        <v>61</v>
      </c>
      <c r="B80" s="1186" t="s">
        <v>13</v>
      </c>
      <c r="C80" s="1186" t="s">
        <v>33</v>
      </c>
      <c r="D80" s="1186">
        <v>101</v>
      </c>
      <c r="E80" s="1186"/>
      <c r="F80" s="1186">
        <v>14</v>
      </c>
    </row>
    <row r="81" spans="1:6" x14ac:dyDescent="0.2">
      <c r="A81" s="1186" t="s">
        <v>61</v>
      </c>
      <c r="B81" s="1186" t="s">
        <v>13</v>
      </c>
      <c r="C81" s="1186" t="s">
        <v>34</v>
      </c>
      <c r="D81" s="1186">
        <v>185</v>
      </c>
      <c r="E81" s="1186">
        <v>2</v>
      </c>
      <c r="F81" s="1186">
        <v>24</v>
      </c>
    </row>
    <row r="82" spans="1:6" x14ac:dyDescent="0.2">
      <c r="A82" s="1186" t="s">
        <v>61</v>
      </c>
      <c r="B82" s="1186" t="s">
        <v>13</v>
      </c>
      <c r="C82" s="1186" t="s">
        <v>35</v>
      </c>
      <c r="D82" s="1186">
        <v>446</v>
      </c>
      <c r="E82" s="1186">
        <v>3</v>
      </c>
      <c r="F82" s="1186">
        <v>61</v>
      </c>
    </row>
    <row r="83" spans="1:6" x14ac:dyDescent="0.2">
      <c r="A83" s="1186" t="s">
        <v>61</v>
      </c>
      <c r="B83" s="1186" t="s">
        <v>13</v>
      </c>
      <c r="C83" s="1186" t="s">
        <v>36</v>
      </c>
      <c r="D83" s="1186">
        <v>1457</v>
      </c>
      <c r="E83" s="1186">
        <v>7</v>
      </c>
      <c r="F83" s="1186">
        <v>157</v>
      </c>
    </row>
    <row r="84" spans="1:6" x14ac:dyDescent="0.2">
      <c r="A84" s="1186" t="s">
        <v>61</v>
      </c>
      <c r="B84" s="1186" t="s">
        <v>13</v>
      </c>
      <c r="C84" s="1186" t="s">
        <v>37</v>
      </c>
      <c r="D84" s="1186">
        <v>359</v>
      </c>
      <c r="E84" s="1186">
        <v>6</v>
      </c>
      <c r="F84" s="1186">
        <v>69</v>
      </c>
    </row>
    <row r="85" spans="1:6" x14ac:dyDescent="0.2">
      <c r="A85" s="1186" t="s">
        <v>61</v>
      </c>
      <c r="B85" s="1186" t="s">
        <v>13</v>
      </c>
      <c r="C85" s="1186" t="s">
        <v>38</v>
      </c>
      <c r="D85" s="1186">
        <v>102</v>
      </c>
      <c r="E85" s="1186">
        <v>1</v>
      </c>
      <c r="F85" s="1186">
        <v>8</v>
      </c>
    </row>
    <row r="86" spans="1:6" x14ac:dyDescent="0.2">
      <c r="A86" s="1186" t="s">
        <v>61</v>
      </c>
      <c r="B86" s="1186" t="s">
        <v>13</v>
      </c>
      <c r="C86" s="1186" t="s">
        <v>39</v>
      </c>
      <c r="D86" s="1186">
        <v>107</v>
      </c>
      <c r="E86" s="1186">
        <v>2</v>
      </c>
      <c r="F86" s="1186">
        <v>21</v>
      </c>
    </row>
    <row r="87" spans="1:6" x14ac:dyDescent="0.2">
      <c r="A87" s="1186" t="s">
        <v>61</v>
      </c>
      <c r="B87" s="1186" t="s">
        <v>13</v>
      </c>
      <c r="C87" s="1186" t="s">
        <v>40</v>
      </c>
      <c r="D87" s="1186">
        <v>113</v>
      </c>
      <c r="E87" s="1186"/>
      <c r="F87" s="1186">
        <v>22</v>
      </c>
    </row>
    <row r="88" spans="1:6" x14ac:dyDescent="0.2">
      <c r="A88" s="1186" t="s">
        <v>61</v>
      </c>
      <c r="B88" s="1186" t="s">
        <v>13</v>
      </c>
      <c r="C88" s="1186" t="s">
        <v>295</v>
      </c>
      <c r="D88" s="1186">
        <v>39</v>
      </c>
      <c r="E88" s="1186">
        <v>2</v>
      </c>
      <c r="F88" s="1186">
        <v>5</v>
      </c>
    </row>
    <row r="89" spans="1:6" x14ac:dyDescent="0.2">
      <c r="A89" s="1186" t="s">
        <v>61</v>
      </c>
      <c r="B89" s="1186" t="s">
        <v>13</v>
      </c>
      <c r="C89" s="1186" t="s">
        <v>41</v>
      </c>
      <c r="D89" s="1186">
        <v>191</v>
      </c>
      <c r="E89" s="1186">
        <v>1</v>
      </c>
      <c r="F89" s="1186">
        <v>26</v>
      </c>
    </row>
    <row r="90" spans="1:6" x14ac:dyDescent="0.2">
      <c r="A90" s="1186" t="s">
        <v>61</v>
      </c>
      <c r="B90" s="1186" t="s">
        <v>13</v>
      </c>
      <c r="C90" s="1186" t="s">
        <v>42</v>
      </c>
      <c r="D90" s="1186">
        <v>448</v>
      </c>
      <c r="E90" s="1186">
        <v>1</v>
      </c>
      <c r="F90" s="1186">
        <v>68</v>
      </c>
    </row>
    <row r="91" spans="1:6" x14ac:dyDescent="0.2">
      <c r="A91" s="1186" t="s">
        <v>61</v>
      </c>
      <c r="B91" s="1186" t="s">
        <v>13</v>
      </c>
      <c r="C91" s="1186" t="s">
        <v>43</v>
      </c>
      <c r="D91" s="1186">
        <v>29</v>
      </c>
      <c r="E91" s="1186"/>
      <c r="F91" s="1186">
        <v>2</v>
      </c>
    </row>
    <row r="92" spans="1:6" x14ac:dyDescent="0.2">
      <c r="A92" s="1186" t="s">
        <v>61</v>
      </c>
      <c r="B92" s="1186" t="s">
        <v>13</v>
      </c>
      <c r="C92" s="1186" t="s">
        <v>44</v>
      </c>
      <c r="D92" s="1186">
        <v>254</v>
      </c>
      <c r="E92" s="1186">
        <v>1</v>
      </c>
      <c r="F92" s="1186">
        <v>19</v>
      </c>
    </row>
    <row r="93" spans="1:6" x14ac:dyDescent="0.2">
      <c r="A93" s="1186" t="s">
        <v>61</v>
      </c>
      <c r="B93" s="1186" t="s">
        <v>13</v>
      </c>
      <c r="C93" s="1186" t="s">
        <v>45</v>
      </c>
      <c r="D93" s="1186">
        <v>302</v>
      </c>
      <c r="E93" s="1186"/>
      <c r="F93" s="1186">
        <v>33</v>
      </c>
    </row>
    <row r="94" spans="1:6" x14ac:dyDescent="0.2">
      <c r="A94" s="1186" t="s">
        <v>61</v>
      </c>
      <c r="B94" s="1186" t="s">
        <v>13</v>
      </c>
      <c r="C94" s="1186" t="s">
        <v>46</v>
      </c>
      <c r="D94" s="1186">
        <v>185</v>
      </c>
      <c r="E94" s="1186">
        <v>3</v>
      </c>
      <c r="F94" s="1186">
        <v>20</v>
      </c>
    </row>
    <row r="95" spans="1:6" x14ac:dyDescent="0.2">
      <c r="A95" s="1186" t="s">
        <v>61</v>
      </c>
      <c r="B95" s="1186" t="s">
        <v>13</v>
      </c>
      <c r="C95" s="1186" t="s">
        <v>47</v>
      </c>
      <c r="D95" s="1186">
        <v>29</v>
      </c>
      <c r="E95" s="1186"/>
      <c r="F95" s="1186">
        <v>1</v>
      </c>
    </row>
    <row r="96" spans="1:6" x14ac:dyDescent="0.2">
      <c r="A96" s="1186" t="s">
        <v>61</v>
      </c>
      <c r="B96" s="1186" t="s">
        <v>13</v>
      </c>
      <c r="C96" s="1186" t="s">
        <v>48</v>
      </c>
      <c r="D96" s="1186">
        <v>145</v>
      </c>
      <c r="E96" s="1186"/>
      <c r="F96" s="1186">
        <v>22</v>
      </c>
    </row>
    <row r="97" spans="1:6" x14ac:dyDescent="0.2">
      <c r="A97" s="1186" t="s">
        <v>61</v>
      </c>
      <c r="B97" s="1186" t="s">
        <v>13</v>
      </c>
      <c r="C97" s="1186" t="s">
        <v>49</v>
      </c>
      <c r="D97" s="1186">
        <v>402</v>
      </c>
      <c r="E97" s="1186">
        <v>1</v>
      </c>
      <c r="F97" s="1186">
        <v>35</v>
      </c>
    </row>
    <row r="98" spans="1:6" x14ac:dyDescent="0.2">
      <c r="A98" s="1186" t="s">
        <v>61</v>
      </c>
      <c r="B98" s="1186" t="s">
        <v>13</v>
      </c>
      <c r="C98" s="1186" t="s">
        <v>50</v>
      </c>
      <c r="D98" s="1186">
        <v>127</v>
      </c>
      <c r="E98" s="1186">
        <v>1</v>
      </c>
      <c r="F98" s="1186">
        <v>13</v>
      </c>
    </row>
    <row r="99" spans="1:6" x14ac:dyDescent="0.2">
      <c r="A99" s="1186" t="s">
        <v>61</v>
      </c>
      <c r="B99" s="1186" t="s">
        <v>13</v>
      </c>
      <c r="C99" s="1186" t="s">
        <v>51</v>
      </c>
      <c r="D99" s="1186">
        <v>169</v>
      </c>
      <c r="E99" s="1186"/>
      <c r="F99" s="1186">
        <v>17</v>
      </c>
    </row>
    <row r="100" spans="1:6" x14ac:dyDescent="0.2">
      <c r="A100" s="1186" t="s">
        <v>61</v>
      </c>
      <c r="B100" s="1186" t="s">
        <v>13</v>
      </c>
      <c r="C100" s="1186" t="s">
        <v>52</v>
      </c>
      <c r="D100" s="1186">
        <v>281</v>
      </c>
      <c r="E100" s="1186">
        <v>2</v>
      </c>
      <c r="F100" s="1186">
        <v>52</v>
      </c>
    </row>
    <row r="101" spans="1:6" x14ac:dyDescent="0.2">
      <c r="A101" s="1186" t="s">
        <v>61</v>
      </c>
      <c r="B101" s="1186" t="s">
        <v>15</v>
      </c>
      <c r="C101" s="1186" t="s">
        <v>23</v>
      </c>
      <c r="D101" s="1186">
        <v>425</v>
      </c>
      <c r="E101" s="1186">
        <v>3</v>
      </c>
      <c r="F101" s="1186">
        <v>53</v>
      </c>
    </row>
    <row r="102" spans="1:6" x14ac:dyDescent="0.2">
      <c r="A102" s="1186" t="s">
        <v>61</v>
      </c>
      <c r="B102" s="1186" t="s">
        <v>15</v>
      </c>
      <c r="C102" s="1186" t="s">
        <v>24</v>
      </c>
      <c r="D102" s="1186">
        <v>354</v>
      </c>
      <c r="E102" s="1186">
        <v>2</v>
      </c>
      <c r="F102" s="1186">
        <v>40</v>
      </c>
    </row>
    <row r="103" spans="1:6" x14ac:dyDescent="0.2">
      <c r="A103" s="1186" t="s">
        <v>61</v>
      </c>
      <c r="B103" s="1186" t="s">
        <v>15</v>
      </c>
      <c r="C103" s="1186" t="s">
        <v>25</v>
      </c>
      <c r="D103" s="1186">
        <v>157</v>
      </c>
      <c r="E103" s="1186"/>
      <c r="F103" s="1186">
        <v>13</v>
      </c>
    </row>
    <row r="104" spans="1:6" x14ac:dyDescent="0.2">
      <c r="A104" s="1186" t="s">
        <v>61</v>
      </c>
      <c r="B104" s="1186" t="s">
        <v>15</v>
      </c>
      <c r="C104" s="1186" t="s">
        <v>26</v>
      </c>
      <c r="D104" s="1186">
        <v>162</v>
      </c>
      <c r="E104" s="1186"/>
      <c r="F104" s="1186">
        <v>17</v>
      </c>
    </row>
    <row r="105" spans="1:6" x14ac:dyDescent="0.2">
      <c r="A105" s="1186" t="s">
        <v>61</v>
      </c>
      <c r="B105" s="1186" t="s">
        <v>15</v>
      </c>
      <c r="C105" s="1186" t="s">
        <v>619</v>
      </c>
      <c r="D105" s="1186">
        <v>900</v>
      </c>
      <c r="E105" s="1186">
        <v>5</v>
      </c>
      <c r="F105" s="1186">
        <v>137</v>
      </c>
    </row>
    <row r="106" spans="1:6" x14ac:dyDescent="0.2">
      <c r="A106" s="1186" t="s">
        <v>61</v>
      </c>
      <c r="B106" s="1186" t="s">
        <v>15</v>
      </c>
      <c r="C106" s="1186" t="s">
        <v>27</v>
      </c>
      <c r="D106" s="1186">
        <v>58</v>
      </c>
      <c r="E106" s="1186"/>
      <c r="F106" s="1186">
        <v>6</v>
      </c>
    </row>
    <row r="107" spans="1:6" x14ac:dyDescent="0.2">
      <c r="A107" s="1186" t="s">
        <v>61</v>
      </c>
      <c r="B107" s="1186" t="s">
        <v>15</v>
      </c>
      <c r="C107" s="1186" t="s">
        <v>28</v>
      </c>
      <c r="D107" s="1186">
        <v>199</v>
      </c>
      <c r="E107" s="1186"/>
      <c r="F107" s="1186">
        <v>31</v>
      </c>
    </row>
    <row r="108" spans="1:6" x14ac:dyDescent="0.2">
      <c r="A108" s="1186" t="s">
        <v>61</v>
      </c>
      <c r="B108" s="1186" t="s">
        <v>15</v>
      </c>
      <c r="C108" s="1186" t="s">
        <v>29</v>
      </c>
      <c r="D108" s="1186">
        <v>323</v>
      </c>
      <c r="E108" s="1186">
        <v>1</v>
      </c>
      <c r="F108" s="1186">
        <v>54</v>
      </c>
    </row>
    <row r="109" spans="1:6" x14ac:dyDescent="0.2">
      <c r="A109" s="1186" t="s">
        <v>61</v>
      </c>
      <c r="B109" s="1186" t="s">
        <v>15</v>
      </c>
      <c r="C109" s="1186" t="s">
        <v>30</v>
      </c>
      <c r="D109" s="1186">
        <v>168</v>
      </c>
      <c r="E109" s="1186"/>
      <c r="F109" s="1186">
        <v>11</v>
      </c>
    </row>
    <row r="110" spans="1:6" x14ac:dyDescent="0.2">
      <c r="A110" s="1186" t="s">
        <v>61</v>
      </c>
      <c r="B110" s="1186" t="s">
        <v>15</v>
      </c>
      <c r="C110" s="1186" t="s">
        <v>31</v>
      </c>
      <c r="D110" s="1186">
        <v>97</v>
      </c>
      <c r="E110" s="1186">
        <v>1</v>
      </c>
      <c r="F110" s="1186">
        <v>26</v>
      </c>
    </row>
    <row r="111" spans="1:6" x14ac:dyDescent="0.2">
      <c r="A111" s="1186" t="s">
        <v>61</v>
      </c>
      <c r="B111" s="1186" t="s">
        <v>15</v>
      </c>
      <c r="C111" s="1186" t="s">
        <v>32</v>
      </c>
      <c r="D111" s="1186">
        <v>142</v>
      </c>
      <c r="E111" s="1186"/>
      <c r="F111" s="1186">
        <v>12</v>
      </c>
    </row>
    <row r="112" spans="1:6" x14ac:dyDescent="0.2">
      <c r="A112" s="1186" t="s">
        <v>61</v>
      </c>
      <c r="B112" s="1186" t="s">
        <v>15</v>
      </c>
      <c r="C112" s="1186" t="s">
        <v>33</v>
      </c>
      <c r="D112" s="1186">
        <v>95</v>
      </c>
      <c r="E112" s="1186"/>
      <c r="F112" s="1186">
        <v>6</v>
      </c>
    </row>
    <row r="113" spans="1:6" x14ac:dyDescent="0.2">
      <c r="A113" s="1186" t="s">
        <v>61</v>
      </c>
      <c r="B113" s="1186" t="s">
        <v>15</v>
      </c>
      <c r="C113" s="1186" t="s">
        <v>34</v>
      </c>
      <c r="D113" s="1186">
        <v>152</v>
      </c>
      <c r="E113" s="1186">
        <v>1</v>
      </c>
      <c r="F113" s="1186">
        <v>10</v>
      </c>
    </row>
    <row r="114" spans="1:6" x14ac:dyDescent="0.2">
      <c r="A114" s="1186" t="s">
        <v>61</v>
      </c>
      <c r="B114" s="1186" t="s">
        <v>15</v>
      </c>
      <c r="C114" s="1186" t="s">
        <v>35</v>
      </c>
      <c r="D114" s="1186">
        <v>470</v>
      </c>
      <c r="E114" s="1186">
        <v>2</v>
      </c>
      <c r="F114" s="1186">
        <v>67</v>
      </c>
    </row>
    <row r="115" spans="1:6" x14ac:dyDescent="0.2">
      <c r="A115" s="1186" t="s">
        <v>61</v>
      </c>
      <c r="B115" s="1186" t="s">
        <v>15</v>
      </c>
      <c r="C115" s="1186" t="s">
        <v>36</v>
      </c>
      <c r="D115" s="1186">
        <v>1290</v>
      </c>
      <c r="E115" s="1186">
        <v>6</v>
      </c>
      <c r="F115" s="1186">
        <v>171</v>
      </c>
    </row>
    <row r="116" spans="1:6" x14ac:dyDescent="0.2">
      <c r="A116" s="1186" t="s">
        <v>61</v>
      </c>
      <c r="B116" s="1186" t="s">
        <v>15</v>
      </c>
      <c r="C116" s="1186" t="s">
        <v>37</v>
      </c>
      <c r="D116" s="1186">
        <v>328</v>
      </c>
      <c r="E116" s="1186">
        <v>1</v>
      </c>
      <c r="F116" s="1186">
        <v>47</v>
      </c>
    </row>
    <row r="117" spans="1:6" x14ac:dyDescent="0.2">
      <c r="A117" s="1186" t="s">
        <v>61</v>
      </c>
      <c r="B117" s="1186" t="s">
        <v>15</v>
      </c>
      <c r="C117" s="1186" t="s">
        <v>38</v>
      </c>
      <c r="D117" s="1186">
        <v>121</v>
      </c>
      <c r="E117" s="1186"/>
      <c r="F117" s="1186">
        <v>19</v>
      </c>
    </row>
    <row r="118" spans="1:6" x14ac:dyDescent="0.2">
      <c r="A118" s="1186" t="s">
        <v>61</v>
      </c>
      <c r="B118" s="1186" t="s">
        <v>15</v>
      </c>
      <c r="C118" s="1186" t="s">
        <v>39</v>
      </c>
      <c r="D118" s="1186">
        <v>125</v>
      </c>
      <c r="E118" s="1186">
        <v>1</v>
      </c>
      <c r="F118" s="1186">
        <v>17</v>
      </c>
    </row>
    <row r="119" spans="1:6" x14ac:dyDescent="0.2">
      <c r="A119" s="1186" t="s">
        <v>61</v>
      </c>
      <c r="B119" s="1186" t="s">
        <v>15</v>
      </c>
      <c r="C119" s="1186" t="s">
        <v>40</v>
      </c>
      <c r="D119" s="1186">
        <v>109</v>
      </c>
      <c r="E119" s="1186">
        <v>1</v>
      </c>
      <c r="F119" s="1186">
        <v>28</v>
      </c>
    </row>
    <row r="120" spans="1:6" x14ac:dyDescent="0.2">
      <c r="A120" s="1186" t="s">
        <v>61</v>
      </c>
      <c r="B120" s="1186" t="s">
        <v>15</v>
      </c>
      <c r="C120" s="1186" t="s">
        <v>295</v>
      </c>
      <c r="D120" s="1186">
        <v>56</v>
      </c>
      <c r="E120" s="1186">
        <v>1</v>
      </c>
      <c r="F120" s="1186">
        <v>14</v>
      </c>
    </row>
    <row r="121" spans="1:6" x14ac:dyDescent="0.2">
      <c r="A121" s="1186" t="s">
        <v>61</v>
      </c>
      <c r="B121" s="1186" t="s">
        <v>15</v>
      </c>
      <c r="C121" s="1186" t="s">
        <v>41</v>
      </c>
      <c r="D121" s="1186">
        <v>203</v>
      </c>
      <c r="E121" s="1186"/>
      <c r="F121" s="1186">
        <v>29</v>
      </c>
    </row>
    <row r="122" spans="1:6" x14ac:dyDescent="0.2">
      <c r="A122" s="1186" t="s">
        <v>61</v>
      </c>
      <c r="B122" s="1186" t="s">
        <v>15</v>
      </c>
      <c r="C122" s="1186" t="s">
        <v>42</v>
      </c>
      <c r="D122" s="1186">
        <v>429</v>
      </c>
      <c r="E122" s="1186">
        <v>2</v>
      </c>
      <c r="F122" s="1186">
        <v>66</v>
      </c>
    </row>
    <row r="123" spans="1:6" x14ac:dyDescent="0.2">
      <c r="A123" s="1186" t="s">
        <v>61</v>
      </c>
      <c r="B123" s="1186" t="s">
        <v>15</v>
      </c>
      <c r="C123" s="1186" t="s">
        <v>43</v>
      </c>
      <c r="D123" s="1186">
        <v>30</v>
      </c>
      <c r="E123" s="1186"/>
      <c r="F123" s="1186"/>
    </row>
    <row r="124" spans="1:6" x14ac:dyDescent="0.2">
      <c r="A124" s="1186" t="s">
        <v>61</v>
      </c>
      <c r="B124" s="1186" t="s">
        <v>15</v>
      </c>
      <c r="C124" s="1186" t="s">
        <v>44</v>
      </c>
      <c r="D124" s="1186">
        <v>237</v>
      </c>
      <c r="E124" s="1186">
        <v>1</v>
      </c>
      <c r="F124" s="1186">
        <v>29</v>
      </c>
    </row>
    <row r="125" spans="1:6" x14ac:dyDescent="0.2">
      <c r="A125" s="1186" t="s">
        <v>61</v>
      </c>
      <c r="B125" s="1186" t="s">
        <v>15</v>
      </c>
      <c r="C125" s="1186" t="s">
        <v>45</v>
      </c>
      <c r="D125" s="1186">
        <v>300</v>
      </c>
      <c r="E125" s="1186"/>
      <c r="F125" s="1186">
        <v>48</v>
      </c>
    </row>
    <row r="126" spans="1:6" x14ac:dyDescent="0.2">
      <c r="A126" s="1186" t="s">
        <v>61</v>
      </c>
      <c r="B126" s="1186" t="s">
        <v>15</v>
      </c>
      <c r="C126" s="1186" t="s">
        <v>46</v>
      </c>
      <c r="D126" s="1186">
        <v>169</v>
      </c>
      <c r="E126" s="1186">
        <v>1</v>
      </c>
      <c r="F126" s="1186">
        <v>14</v>
      </c>
    </row>
    <row r="127" spans="1:6" x14ac:dyDescent="0.2">
      <c r="A127" s="1186" t="s">
        <v>61</v>
      </c>
      <c r="B127" s="1186" t="s">
        <v>15</v>
      </c>
      <c r="C127" s="1186" t="s">
        <v>47</v>
      </c>
      <c r="D127" s="1186">
        <v>29</v>
      </c>
      <c r="E127" s="1186">
        <v>1</v>
      </c>
      <c r="F127" s="1186">
        <v>3</v>
      </c>
    </row>
    <row r="128" spans="1:6" x14ac:dyDescent="0.2">
      <c r="A128" s="1186" t="s">
        <v>61</v>
      </c>
      <c r="B128" s="1186" t="s">
        <v>15</v>
      </c>
      <c r="C128" s="1186" t="s">
        <v>48</v>
      </c>
      <c r="D128" s="1186">
        <v>174</v>
      </c>
      <c r="E128" s="1186">
        <v>2</v>
      </c>
      <c r="F128" s="1186">
        <v>25</v>
      </c>
    </row>
    <row r="129" spans="1:6" x14ac:dyDescent="0.2">
      <c r="A129" s="1186" t="s">
        <v>61</v>
      </c>
      <c r="B129" s="1186" t="s">
        <v>15</v>
      </c>
      <c r="C129" s="1186" t="s">
        <v>49</v>
      </c>
      <c r="D129" s="1186">
        <v>411</v>
      </c>
      <c r="E129" s="1186">
        <v>4</v>
      </c>
      <c r="F129" s="1186">
        <v>57</v>
      </c>
    </row>
    <row r="130" spans="1:6" x14ac:dyDescent="0.2">
      <c r="A130" s="1186" t="s">
        <v>61</v>
      </c>
      <c r="B130" s="1186" t="s">
        <v>15</v>
      </c>
      <c r="C130" s="1186" t="s">
        <v>50</v>
      </c>
      <c r="D130" s="1186">
        <v>111</v>
      </c>
      <c r="E130" s="1186">
        <v>1</v>
      </c>
      <c r="F130" s="1186">
        <v>8</v>
      </c>
    </row>
    <row r="131" spans="1:6" x14ac:dyDescent="0.2">
      <c r="A131" s="1186" t="s">
        <v>61</v>
      </c>
      <c r="B131" s="1186" t="s">
        <v>15</v>
      </c>
      <c r="C131" s="1186" t="s">
        <v>51</v>
      </c>
      <c r="D131" s="1186">
        <v>152</v>
      </c>
      <c r="E131" s="1186">
        <v>1</v>
      </c>
      <c r="F131" s="1186">
        <v>16</v>
      </c>
    </row>
    <row r="132" spans="1:6" x14ac:dyDescent="0.2">
      <c r="A132" s="1186" t="s">
        <v>61</v>
      </c>
      <c r="B132" s="1186" t="s">
        <v>15</v>
      </c>
      <c r="C132" s="1186" t="s">
        <v>52</v>
      </c>
      <c r="D132" s="1186">
        <v>277</v>
      </c>
      <c r="E132" s="1186">
        <v>1</v>
      </c>
      <c r="F132" s="1186">
        <v>51</v>
      </c>
    </row>
    <row r="133" spans="1:6" x14ac:dyDescent="0.2">
      <c r="A133" s="1186" t="s">
        <v>61</v>
      </c>
      <c r="B133" s="1186" t="s">
        <v>17</v>
      </c>
      <c r="C133" s="1186" t="s">
        <v>23</v>
      </c>
      <c r="D133" s="1186">
        <v>415</v>
      </c>
      <c r="E133" s="1186">
        <v>1</v>
      </c>
      <c r="F133" s="1186">
        <v>54</v>
      </c>
    </row>
    <row r="134" spans="1:6" x14ac:dyDescent="0.2">
      <c r="A134" s="1186" t="s">
        <v>61</v>
      </c>
      <c r="B134" s="1186" t="s">
        <v>17</v>
      </c>
      <c r="C134" s="1186" t="s">
        <v>24</v>
      </c>
      <c r="D134" s="1186">
        <v>365</v>
      </c>
      <c r="E134" s="1186">
        <v>3</v>
      </c>
      <c r="F134" s="1186">
        <v>39</v>
      </c>
    </row>
    <row r="135" spans="1:6" x14ac:dyDescent="0.2">
      <c r="A135" s="1186" t="s">
        <v>61</v>
      </c>
      <c r="B135" s="1186" t="s">
        <v>17</v>
      </c>
      <c r="C135" s="1186" t="s">
        <v>25</v>
      </c>
      <c r="D135" s="1186">
        <v>150</v>
      </c>
      <c r="E135" s="1186">
        <v>1</v>
      </c>
      <c r="F135" s="1186">
        <v>20</v>
      </c>
    </row>
    <row r="136" spans="1:6" x14ac:dyDescent="0.2">
      <c r="A136" s="1186" t="s">
        <v>61</v>
      </c>
      <c r="B136" s="1186" t="s">
        <v>17</v>
      </c>
      <c r="C136" s="1186" t="s">
        <v>26</v>
      </c>
      <c r="D136" s="1186">
        <v>157</v>
      </c>
      <c r="E136" s="1186"/>
      <c r="F136" s="1186">
        <v>10</v>
      </c>
    </row>
    <row r="137" spans="1:6" x14ac:dyDescent="0.2">
      <c r="A137" s="1186" t="s">
        <v>61</v>
      </c>
      <c r="B137" s="1186" t="s">
        <v>17</v>
      </c>
      <c r="C137" s="1186" t="s">
        <v>619</v>
      </c>
      <c r="D137" s="1186">
        <v>819</v>
      </c>
      <c r="E137" s="1186">
        <v>3</v>
      </c>
      <c r="F137" s="1186">
        <v>125</v>
      </c>
    </row>
    <row r="138" spans="1:6" x14ac:dyDescent="0.2">
      <c r="A138" s="1186" t="s">
        <v>61</v>
      </c>
      <c r="B138" s="1186" t="s">
        <v>17</v>
      </c>
      <c r="C138" s="1186" t="s">
        <v>27</v>
      </c>
      <c r="D138" s="1186">
        <v>73</v>
      </c>
      <c r="E138" s="1186"/>
      <c r="F138" s="1186">
        <v>3</v>
      </c>
    </row>
    <row r="139" spans="1:6" x14ac:dyDescent="0.2">
      <c r="A139" s="1186" t="s">
        <v>61</v>
      </c>
      <c r="B139" s="1186" t="s">
        <v>17</v>
      </c>
      <c r="C139" s="1186" t="s">
        <v>28</v>
      </c>
      <c r="D139" s="1186">
        <v>212</v>
      </c>
      <c r="E139" s="1186"/>
      <c r="F139" s="1186">
        <v>27</v>
      </c>
    </row>
    <row r="140" spans="1:6" x14ac:dyDescent="0.2">
      <c r="A140" s="1186" t="s">
        <v>61</v>
      </c>
      <c r="B140" s="1186" t="s">
        <v>17</v>
      </c>
      <c r="C140" s="1186" t="s">
        <v>29</v>
      </c>
      <c r="D140" s="1186">
        <v>278</v>
      </c>
      <c r="E140" s="1186"/>
      <c r="F140" s="1186">
        <v>68</v>
      </c>
    </row>
    <row r="141" spans="1:6" x14ac:dyDescent="0.2">
      <c r="A141" s="1186" t="s">
        <v>61</v>
      </c>
      <c r="B141" s="1186" t="s">
        <v>17</v>
      </c>
      <c r="C141" s="1186" t="s">
        <v>30</v>
      </c>
      <c r="D141" s="1186">
        <v>153</v>
      </c>
      <c r="E141" s="1186"/>
      <c r="F141" s="1186">
        <v>10</v>
      </c>
    </row>
    <row r="142" spans="1:6" x14ac:dyDescent="0.2">
      <c r="A142" s="1186" t="s">
        <v>61</v>
      </c>
      <c r="B142" s="1186" t="s">
        <v>17</v>
      </c>
      <c r="C142" s="1186" t="s">
        <v>31</v>
      </c>
      <c r="D142" s="1186">
        <v>91</v>
      </c>
      <c r="E142" s="1186"/>
      <c r="F142" s="1186">
        <v>9</v>
      </c>
    </row>
    <row r="143" spans="1:6" x14ac:dyDescent="0.2">
      <c r="A143" s="1186" t="s">
        <v>61</v>
      </c>
      <c r="B143" s="1186" t="s">
        <v>17</v>
      </c>
      <c r="C143" s="1186" t="s">
        <v>32</v>
      </c>
      <c r="D143" s="1186">
        <v>136</v>
      </c>
      <c r="E143" s="1186">
        <v>1</v>
      </c>
      <c r="F143" s="1186">
        <v>13</v>
      </c>
    </row>
    <row r="144" spans="1:6" x14ac:dyDescent="0.2">
      <c r="A144" s="1186" t="s">
        <v>61</v>
      </c>
      <c r="B144" s="1186" t="s">
        <v>17</v>
      </c>
      <c r="C144" s="1186" t="s">
        <v>33</v>
      </c>
      <c r="D144" s="1186">
        <v>96</v>
      </c>
      <c r="E144" s="1186"/>
      <c r="F144" s="1186">
        <v>12</v>
      </c>
    </row>
    <row r="145" spans="1:6" x14ac:dyDescent="0.2">
      <c r="A145" s="1186" t="s">
        <v>61</v>
      </c>
      <c r="B145" s="1186" t="s">
        <v>17</v>
      </c>
      <c r="C145" s="1186" t="s">
        <v>34</v>
      </c>
      <c r="D145" s="1186">
        <v>215</v>
      </c>
      <c r="E145" s="1186">
        <v>2</v>
      </c>
      <c r="F145" s="1186">
        <v>28</v>
      </c>
    </row>
    <row r="146" spans="1:6" x14ac:dyDescent="0.2">
      <c r="A146" s="1186" t="s">
        <v>61</v>
      </c>
      <c r="B146" s="1186" t="s">
        <v>17</v>
      </c>
      <c r="C146" s="1186" t="s">
        <v>35</v>
      </c>
      <c r="D146" s="1186">
        <v>414</v>
      </c>
      <c r="E146" s="1186">
        <v>2</v>
      </c>
      <c r="F146" s="1186">
        <v>47</v>
      </c>
    </row>
    <row r="147" spans="1:6" x14ac:dyDescent="0.2">
      <c r="A147" s="1186" t="s">
        <v>61</v>
      </c>
      <c r="B147" s="1186" t="s">
        <v>17</v>
      </c>
      <c r="C147" s="1186" t="s">
        <v>36</v>
      </c>
      <c r="D147" s="1186">
        <v>1201</v>
      </c>
      <c r="E147" s="1186">
        <v>3</v>
      </c>
      <c r="F147" s="1186">
        <v>167</v>
      </c>
    </row>
    <row r="148" spans="1:6" x14ac:dyDescent="0.2">
      <c r="A148" s="1186" t="s">
        <v>61</v>
      </c>
      <c r="B148" s="1186" t="s">
        <v>17</v>
      </c>
      <c r="C148" s="1186" t="s">
        <v>37</v>
      </c>
      <c r="D148" s="1186">
        <v>332</v>
      </c>
      <c r="E148" s="1186">
        <v>1</v>
      </c>
      <c r="F148" s="1186">
        <v>63</v>
      </c>
    </row>
    <row r="149" spans="1:6" x14ac:dyDescent="0.2">
      <c r="A149" s="1186" t="s">
        <v>61</v>
      </c>
      <c r="B149" s="1186" t="s">
        <v>17</v>
      </c>
      <c r="C149" s="1186" t="s">
        <v>38</v>
      </c>
      <c r="D149" s="1186">
        <v>127</v>
      </c>
      <c r="E149" s="1186">
        <v>1</v>
      </c>
      <c r="F149" s="1186">
        <v>26</v>
      </c>
    </row>
    <row r="150" spans="1:6" x14ac:dyDescent="0.2">
      <c r="A150" s="1186" t="s">
        <v>61</v>
      </c>
      <c r="B150" s="1186" t="s">
        <v>17</v>
      </c>
      <c r="C150" s="1186" t="s">
        <v>39</v>
      </c>
      <c r="D150" s="1186">
        <v>108</v>
      </c>
      <c r="E150" s="1186"/>
      <c r="F150" s="1186">
        <v>33</v>
      </c>
    </row>
    <row r="151" spans="1:6" x14ac:dyDescent="0.2">
      <c r="A151" s="1186" t="s">
        <v>61</v>
      </c>
      <c r="B151" s="1186" t="s">
        <v>17</v>
      </c>
      <c r="C151" s="1186" t="s">
        <v>40</v>
      </c>
      <c r="D151" s="1186">
        <v>135</v>
      </c>
      <c r="E151" s="1186"/>
      <c r="F151" s="1186">
        <v>29</v>
      </c>
    </row>
    <row r="152" spans="1:6" x14ac:dyDescent="0.2">
      <c r="A152" s="1186" t="s">
        <v>61</v>
      </c>
      <c r="B152" s="1186" t="s">
        <v>17</v>
      </c>
      <c r="C152" s="1186" t="s">
        <v>295</v>
      </c>
      <c r="D152" s="1186">
        <v>32</v>
      </c>
      <c r="E152" s="1186"/>
      <c r="F152" s="1186">
        <v>6</v>
      </c>
    </row>
    <row r="153" spans="1:6" x14ac:dyDescent="0.2">
      <c r="A153" s="1186" t="s">
        <v>61</v>
      </c>
      <c r="B153" s="1186" t="s">
        <v>17</v>
      </c>
      <c r="C153" s="1186" t="s">
        <v>41</v>
      </c>
      <c r="D153" s="1186">
        <v>189</v>
      </c>
      <c r="E153" s="1186">
        <v>1</v>
      </c>
      <c r="F153" s="1186">
        <v>29</v>
      </c>
    </row>
    <row r="154" spans="1:6" x14ac:dyDescent="0.2">
      <c r="A154" s="1186" t="s">
        <v>61</v>
      </c>
      <c r="B154" s="1186" t="s">
        <v>17</v>
      </c>
      <c r="C154" s="1186" t="s">
        <v>42</v>
      </c>
      <c r="D154" s="1186">
        <v>422</v>
      </c>
      <c r="E154" s="1186">
        <v>1</v>
      </c>
      <c r="F154" s="1186">
        <v>72</v>
      </c>
    </row>
    <row r="155" spans="1:6" x14ac:dyDescent="0.2">
      <c r="A155" s="1186" t="s">
        <v>61</v>
      </c>
      <c r="B155" s="1186" t="s">
        <v>17</v>
      </c>
      <c r="C155" s="1186" t="s">
        <v>43</v>
      </c>
      <c r="D155" s="1186">
        <v>28</v>
      </c>
      <c r="E155" s="1186"/>
      <c r="F155" s="1186">
        <v>1</v>
      </c>
    </row>
    <row r="156" spans="1:6" x14ac:dyDescent="0.2">
      <c r="A156" s="1186" t="s">
        <v>61</v>
      </c>
      <c r="B156" s="1186" t="s">
        <v>17</v>
      </c>
      <c r="C156" s="1186" t="s">
        <v>44</v>
      </c>
      <c r="D156" s="1186">
        <v>192</v>
      </c>
      <c r="E156" s="1186"/>
      <c r="F156" s="1186">
        <v>36</v>
      </c>
    </row>
    <row r="157" spans="1:6" x14ac:dyDescent="0.2">
      <c r="A157" s="1186" t="s">
        <v>61</v>
      </c>
      <c r="B157" s="1186" t="s">
        <v>17</v>
      </c>
      <c r="C157" s="1186" t="s">
        <v>45</v>
      </c>
      <c r="D157" s="1186">
        <v>331</v>
      </c>
      <c r="E157" s="1186"/>
      <c r="F157" s="1186">
        <v>48</v>
      </c>
    </row>
    <row r="158" spans="1:6" x14ac:dyDescent="0.2">
      <c r="A158" s="1186" t="s">
        <v>61</v>
      </c>
      <c r="B158" s="1186" t="s">
        <v>17</v>
      </c>
      <c r="C158" s="1186" t="s">
        <v>46</v>
      </c>
      <c r="D158" s="1186">
        <v>173</v>
      </c>
      <c r="E158" s="1186">
        <v>1</v>
      </c>
      <c r="F158" s="1186">
        <v>25</v>
      </c>
    </row>
    <row r="159" spans="1:6" x14ac:dyDescent="0.2">
      <c r="A159" s="1186" t="s">
        <v>61</v>
      </c>
      <c r="B159" s="1186" t="s">
        <v>17</v>
      </c>
      <c r="C159" s="1186" t="s">
        <v>47</v>
      </c>
      <c r="D159" s="1186">
        <v>25</v>
      </c>
      <c r="E159" s="1186"/>
      <c r="F159" s="1186">
        <v>1</v>
      </c>
    </row>
    <row r="160" spans="1:6" x14ac:dyDescent="0.2">
      <c r="A160" s="1186" t="s">
        <v>61</v>
      </c>
      <c r="B160" s="1186" t="s">
        <v>17</v>
      </c>
      <c r="C160" s="1186" t="s">
        <v>48</v>
      </c>
      <c r="D160" s="1186">
        <v>152</v>
      </c>
      <c r="E160" s="1186">
        <v>2</v>
      </c>
      <c r="F160" s="1186">
        <v>14</v>
      </c>
    </row>
    <row r="161" spans="1:6" x14ac:dyDescent="0.2">
      <c r="A161" s="1186" t="s">
        <v>61</v>
      </c>
      <c r="B161" s="1186" t="s">
        <v>17</v>
      </c>
      <c r="C161" s="1186" t="s">
        <v>49</v>
      </c>
      <c r="D161" s="1186">
        <v>358</v>
      </c>
      <c r="E161" s="1186">
        <v>2</v>
      </c>
      <c r="F161" s="1186">
        <v>49</v>
      </c>
    </row>
    <row r="162" spans="1:6" x14ac:dyDescent="0.2">
      <c r="A162" s="1186" t="s">
        <v>61</v>
      </c>
      <c r="B162" s="1186" t="s">
        <v>17</v>
      </c>
      <c r="C162" s="1186" t="s">
        <v>50</v>
      </c>
      <c r="D162" s="1186">
        <v>134</v>
      </c>
      <c r="E162" s="1186"/>
      <c r="F162" s="1186">
        <v>13</v>
      </c>
    </row>
    <row r="163" spans="1:6" x14ac:dyDescent="0.2">
      <c r="A163" s="1186" t="s">
        <v>61</v>
      </c>
      <c r="B163" s="1186" t="s">
        <v>17</v>
      </c>
      <c r="C163" s="1186" t="s">
        <v>51</v>
      </c>
      <c r="D163" s="1186">
        <v>145</v>
      </c>
      <c r="E163" s="1186"/>
      <c r="F163" s="1186">
        <v>12</v>
      </c>
    </row>
    <row r="164" spans="1:6" x14ac:dyDescent="0.2">
      <c r="A164" s="1186" t="s">
        <v>61</v>
      </c>
      <c r="B164" s="1186" t="s">
        <v>17</v>
      </c>
      <c r="C164" s="1186" t="s">
        <v>52</v>
      </c>
      <c r="D164" s="1186">
        <v>283</v>
      </c>
      <c r="E164" s="1186">
        <v>1</v>
      </c>
      <c r="F164" s="1186">
        <v>29</v>
      </c>
    </row>
    <row r="165" spans="1:6" x14ac:dyDescent="0.2">
      <c r="A165" s="1186" t="s">
        <v>61</v>
      </c>
      <c r="B165" s="1186" t="s">
        <v>133</v>
      </c>
      <c r="C165" s="1186" t="s">
        <v>23</v>
      </c>
      <c r="D165" s="1186">
        <v>426</v>
      </c>
      <c r="E165" s="1186">
        <v>2</v>
      </c>
      <c r="F165" s="1186">
        <v>54</v>
      </c>
    </row>
    <row r="166" spans="1:6" x14ac:dyDescent="0.2">
      <c r="A166" s="1186" t="s">
        <v>61</v>
      </c>
      <c r="B166" s="1186" t="s">
        <v>133</v>
      </c>
      <c r="C166" s="1186" t="s">
        <v>24</v>
      </c>
      <c r="D166" s="1186">
        <v>370</v>
      </c>
      <c r="E166" s="1186">
        <v>2</v>
      </c>
      <c r="F166" s="1186">
        <v>40</v>
      </c>
    </row>
    <row r="167" spans="1:6" x14ac:dyDescent="0.2">
      <c r="A167" s="1186" t="s">
        <v>61</v>
      </c>
      <c r="B167" s="1186" t="s">
        <v>133</v>
      </c>
      <c r="C167" s="1186" t="s">
        <v>25</v>
      </c>
      <c r="D167" s="1186">
        <v>161</v>
      </c>
      <c r="E167" s="1186">
        <v>1</v>
      </c>
      <c r="F167" s="1186">
        <v>24</v>
      </c>
    </row>
    <row r="168" spans="1:6" x14ac:dyDescent="0.2">
      <c r="A168" s="1186" t="s">
        <v>61</v>
      </c>
      <c r="B168" s="1186" t="s">
        <v>133</v>
      </c>
      <c r="C168" s="1186" t="s">
        <v>26</v>
      </c>
      <c r="D168" s="1186">
        <v>145</v>
      </c>
      <c r="E168" s="1186">
        <v>1</v>
      </c>
      <c r="F168" s="1186">
        <v>12</v>
      </c>
    </row>
    <row r="169" spans="1:6" x14ac:dyDescent="0.2">
      <c r="A169" s="1186" t="s">
        <v>61</v>
      </c>
      <c r="B169" s="1186" t="s">
        <v>133</v>
      </c>
      <c r="C169" s="1186" t="s">
        <v>619</v>
      </c>
      <c r="D169" s="1186">
        <v>903</v>
      </c>
      <c r="E169" s="1186">
        <v>4</v>
      </c>
      <c r="F169" s="1186">
        <v>117</v>
      </c>
    </row>
    <row r="170" spans="1:6" x14ac:dyDescent="0.2">
      <c r="A170" s="1186" t="s">
        <v>61</v>
      </c>
      <c r="B170" s="1186" t="s">
        <v>133</v>
      </c>
      <c r="C170" s="1186" t="s">
        <v>27</v>
      </c>
      <c r="D170" s="1186">
        <v>72</v>
      </c>
      <c r="E170" s="1186"/>
      <c r="F170" s="1186">
        <v>10</v>
      </c>
    </row>
    <row r="171" spans="1:6" x14ac:dyDescent="0.2">
      <c r="A171" s="1186" t="s">
        <v>61</v>
      </c>
      <c r="B171" s="1186" t="s">
        <v>133</v>
      </c>
      <c r="C171" s="1186" t="s">
        <v>28</v>
      </c>
      <c r="D171" s="1186">
        <v>183</v>
      </c>
      <c r="E171" s="1186">
        <v>3</v>
      </c>
      <c r="F171" s="1186">
        <v>11</v>
      </c>
    </row>
    <row r="172" spans="1:6" x14ac:dyDescent="0.2">
      <c r="A172" s="1186" t="s">
        <v>61</v>
      </c>
      <c r="B172" s="1186" t="s">
        <v>133</v>
      </c>
      <c r="C172" s="1186" t="s">
        <v>29</v>
      </c>
      <c r="D172" s="1186">
        <v>259</v>
      </c>
      <c r="E172" s="1186">
        <v>2</v>
      </c>
      <c r="F172" s="1186">
        <v>36</v>
      </c>
    </row>
    <row r="173" spans="1:6" x14ac:dyDescent="0.2">
      <c r="A173" s="1186" t="s">
        <v>61</v>
      </c>
      <c r="B173" s="1186" t="s">
        <v>133</v>
      </c>
      <c r="C173" s="1186" t="s">
        <v>30</v>
      </c>
      <c r="D173" s="1186">
        <v>159</v>
      </c>
      <c r="E173" s="1186"/>
      <c r="F173" s="1186">
        <v>22</v>
      </c>
    </row>
    <row r="174" spans="1:6" x14ac:dyDescent="0.2">
      <c r="A174" s="1186" t="s">
        <v>61</v>
      </c>
      <c r="B174" s="1186" t="s">
        <v>133</v>
      </c>
      <c r="C174" s="1186" t="s">
        <v>31</v>
      </c>
      <c r="D174" s="1186">
        <v>101</v>
      </c>
      <c r="E174" s="1186"/>
      <c r="F174" s="1186">
        <v>12</v>
      </c>
    </row>
    <row r="175" spans="1:6" x14ac:dyDescent="0.2">
      <c r="A175" s="1186" t="s">
        <v>61</v>
      </c>
      <c r="B175" s="1186" t="s">
        <v>133</v>
      </c>
      <c r="C175" s="1186" t="s">
        <v>32</v>
      </c>
      <c r="D175" s="1186">
        <v>147</v>
      </c>
      <c r="E175" s="1186"/>
      <c r="F175" s="1186">
        <v>12</v>
      </c>
    </row>
    <row r="176" spans="1:6" x14ac:dyDescent="0.2">
      <c r="A176" s="1186" t="s">
        <v>61</v>
      </c>
      <c r="B176" s="1186" t="s">
        <v>133</v>
      </c>
      <c r="C176" s="1186" t="s">
        <v>33</v>
      </c>
      <c r="D176" s="1186">
        <v>86</v>
      </c>
      <c r="E176" s="1186"/>
      <c r="F176" s="1186">
        <v>7</v>
      </c>
    </row>
    <row r="177" spans="1:6" x14ac:dyDescent="0.2">
      <c r="A177" s="1186" t="s">
        <v>61</v>
      </c>
      <c r="B177" s="1186" t="s">
        <v>133</v>
      </c>
      <c r="C177" s="1186" t="s">
        <v>34</v>
      </c>
      <c r="D177" s="1186">
        <v>200</v>
      </c>
      <c r="E177" s="1186"/>
      <c r="F177" s="1186">
        <v>23</v>
      </c>
    </row>
    <row r="178" spans="1:6" x14ac:dyDescent="0.2">
      <c r="A178" s="1186" t="s">
        <v>61</v>
      </c>
      <c r="B178" s="1186" t="s">
        <v>133</v>
      </c>
      <c r="C178" s="1186" t="s">
        <v>35</v>
      </c>
      <c r="D178" s="1186">
        <v>416</v>
      </c>
      <c r="E178" s="1186">
        <v>2</v>
      </c>
      <c r="F178" s="1186">
        <v>55</v>
      </c>
    </row>
    <row r="179" spans="1:6" x14ac:dyDescent="0.2">
      <c r="A179" s="1186" t="s">
        <v>61</v>
      </c>
      <c r="B179" s="1186" t="s">
        <v>133</v>
      </c>
      <c r="C179" s="1186" t="s">
        <v>36</v>
      </c>
      <c r="D179" s="1186">
        <v>1275</v>
      </c>
      <c r="E179" s="1186">
        <v>1</v>
      </c>
      <c r="F179" s="1186">
        <v>119</v>
      </c>
    </row>
    <row r="180" spans="1:6" x14ac:dyDescent="0.2">
      <c r="A180" s="1186" t="s">
        <v>61</v>
      </c>
      <c r="B180" s="1186" t="s">
        <v>133</v>
      </c>
      <c r="C180" s="1186" t="s">
        <v>37</v>
      </c>
      <c r="D180" s="1186">
        <v>336</v>
      </c>
      <c r="E180" s="1186">
        <v>4</v>
      </c>
      <c r="F180" s="1186">
        <v>59</v>
      </c>
    </row>
    <row r="181" spans="1:6" x14ac:dyDescent="0.2">
      <c r="A181" s="1186" t="s">
        <v>61</v>
      </c>
      <c r="B181" s="1186" t="s">
        <v>133</v>
      </c>
      <c r="C181" s="1186" t="s">
        <v>38</v>
      </c>
      <c r="D181" s="1186">
        <v>131</v>
      </c>
      <c r="E181" s="1186"/>
      <c r="F181" s="1186">
        <v>23</v>
      </c>
    </row>
    <row r="182" spans="1:6" x14ac:dyDescent="0.2">
      <c r="A182" s="1186" t="s">
        <v>61</v>
      </c>
      <c r="B182" s="1186" t="s">
        <v>133</v>
      </c>
      <c r="C182" s="1186" t="s">
        <v>39</v>
      </c>
      <c r="D182" s="1186">
        <v>104</v>
      </c>
      <c r="E182" s="1186">
        <v>1</v>
      </c>
      <c r="F182" s="1186">
        <v>13</v>
      </c>
    </row>
    <row r="183" spans="1:6" x14ac:dyDescent="0.2">
      <c r="A183" s="1186" t="s">
        <v>61</v>
      </c>
      <c r="B183" s="1186" t="s">
        <v>133</v>
      </c>
      <c r="C183" s="1186" t="s">
        <v>40</v>
      </c>
      <c r="D183" s="1186">
        <v>123</v>
      </c>
      <c r="E183" s="1186">
        <v>1</v>
      </c>
      <c r="F183" s="1186">
        <v>19</v>
      </c>
    </row>
    <row r="184" spans="1:6" x14ac:dyDescent="0.2">
      <c r="A184" s="1186" t="s">
        <v>61</v>
      </c>
      <c r="B184" s="1186" t="s">
        <v>133</v>
      </c>
      <c r="C184" s="1186" t="s">
        <v>295</v>
      </c>
      <c r="D184" s="1186">
        <v>51</v>
      </c>
      <c r="E184" s="1186"/>
      <c r="F184" s="1186">
        <v>7</v>
      </c>
    </row>
    <row r="185" spans="1:6" x14ac:dyDescent="0.2">
      <c r="A185" s="1186" t="s">
        <v>61</v>
      </c>
      <c r="B185" s="1186" t="s">
        <v>133</v>
      </c>
      <c r="C185" s="1186" t="s">
        <v>41</v>
      </c>
      <c r="D185" s="1186">
        <v>225</v>
      </c>
      <c r="E185" s="1186"/>
      <c r="F185" s="1186">
        <v>41</v>
      </c>
    </row>
    <row r="186" spans="1:6" x14ac:dyDescent="0.2">
      <c r="A186" s="1186" t="s">
        <v>61</v>
      </c>
      <c r="B186" s="1186" t="s">
        <v>133</v>
      </c>
      <c r="C186" s="1186" t="s">
        <v>42</v>
      </c>
      <c r="D186" s="1186">
        <v>452</v>
      </c>
      <c r="E186" s="1186">
        <v>2</v>
      </c>
      <c r="F186" s="1186">
        <v>50</v>
      </c>
    </row>
    <row r="187" spans="1:6" x14ac:dyDescent="0.2">
      <c r="A187" s="1186" t="s">
        <v>61</v>
      </c>
      <c r="B187" s="1186" t="s">
        <v>133</v>
      </c>
      <c r="C187" s="1186" t="s">
        <v>43</v>
      </c>
      <c r="D187" s="1186">
        <v>33</v>
      </c>
      <c r="E187" s="1186"/>
      <c r="F187" s="1186">
        <v>1</v>
      </c>
    </row>
    <row r="188" spans="1:6" x14ac:dyDescent="0.2">
      <c r="A188" s="1186" t="s">
        <v>61</v>
      </c>
      <c r="B188" s="1186" t="s">
        <v>133</v>
      </c>
      <c r="C188" s="1186" t="s">
        <v>44</v>
      </c>
      <c r="D188" s="1186">
        <v>230</v>
      </c>
      <c r="E188" s="1186"/>
      <c r="F188" s="1186">
        <v>27</v>
      </c>
    </row>
    <row r="189" spans="1:6" x14ac:dyDescent="0.2">
      <c r="A189" s="1186" t="s">
        <v>61</v>
      </c>
      <c r="B189" s="1186" t="s">
        <v>133</v>
      </c>
      <c r="C189" s="1186" t="s">
        <v>45</v>
      </c>
      <c r="D189" s="1186">
        <v>319</v>
      </c>
      <c r="E189" s="1186">
        <v>1</v>
      </c>
      <c r="F189" s="1186">
        <v>26</v>
      </c>
    </row>
    <row r="190" spans="1:6" x14ac:dyDescent="0.2">
      <c r="A190" s="1186" t="s">
        <v>61</v>
      </c>
      <c r="B190" s="1186" t="s">
        <v>133</v>
      </c>
      <c r="C190" s="1186" t="s">
        <v>46</v>
      </c>
      <c r="D190" s="1186">
        <v>149</v>
      </c>
      <c r="E190" s="1186">
        <v>1</v>
      </c>
      <c r="F190" s="1186">
        <v>13</v>
      </c>
    </row>
    <row r="191" spans="1:6" x14ac:dyDescent="0.2">
      <c r="A191" s="1186" t="s">
        <v>61</v>
      </c>
      <c r="B191" s="1186" t="s">
        <v>133</v>
      </c>
      <c r="C191" s="1186" t="s">
        <v>47</v>
      </c>
      <c r="D191" s="1186">
        <v>39</v>
      </c>
      <c r="E191" s="1186"/>
      <c r="F191" s="1186">
        <v>2</v>
      </c>
    </row>
    <row r="192" spans="1:6" x14ac:dyDescent="0.2">
      <c r="A192" s="1186" t="s">
        <v>61</v>
      </c>
      <c r="B192" s="1186" t="s">
        <v>133</v>
      </c>
      <c r="C192" s="1186" t="s">
        <v>48</v>
      </c>
      <c r="D192" s="1186">
        <v>152</v>
      </c>
      <c r="E192" s="1186">
        <v>2</v>
      </c>
      <c r="F192" s="1186">
        <v>18</v>
      </c>
    </row>
    <row r="193" spans="1:6" x14ac:dyDescent="0.2">
      <c r="A193" s="1186" t="s">
        <v>61</v>
      </c>
      <c r="B193" s="1186" t="s">
        <v>133</v>
      </c>
      <c r="C193" s="1186" t="s">
        <v>49</v>
      </c>
      <c r="D193" s="1186">
        <v>425</v>
      </c>
      <c r="E193" s="1186">
        <v>1</v>
      </c>
      <c r="F193" s="1186">
        <v>46</v>
      </c>
    </row>
    <row r="194" spans="1:6" x14ac:dyDescent="0.2">
      <c r="A194" s="1186" t="s">
        <v>61</v>
      </c>
      <c r="B194" s="1186" t="s">
        <v>133</v>
      </c>
      <c r="C194" s="1186" t="s">
        <v>50</v>
      </c>
      <c r="D194" s="1186">
        <v>148</v>
      </c>
      <c r="E194" s="1186">
        <v>1</v>
      </c>
      <c r="F194" s="1186">
        <v>12</v>
      </c>
    </row>
    <row r="195" spans="1:6" x14ac:dyDescent="0.2">
      <c r="A195" s="1186" t="s">
        <v>61</v>
      </c>
      <c r="B195" s="1186" t="s">
        <v>133</v>
      </c>
      <c r="C195" s="1186" t="s">
        <v>51</v>
      </c>
      <c r="D195" s="1186">
        <v>124</v>
      </c>
      <c r="E195" s="1186"/>
      <c r="F195" s="1186">
        <v>5</v>
      </c>
    </row>
    <row r="196" spans="1:6" x14ac:dyDescent="0.2">
      <c r="A196" s="1186" t="s">
        <v>61</v>
      </c>
      <c r="B196" s="1186" t="s">
        <v>133</v>
      </c>
      <c r="C196" s="1186" t="s">
        <v>52</v>
      </c>
      <c r="D196" s="1186">
        <v>276</v>
      </c>
      <c r="E196" s="1186"/>
      <c r="F196" s="1186">
        <v>24</v>
      </c>
    </row>
    <row r="197" spans="1:6" x14ac:dyDescent="0.2">
      <c r="A197" s="1186" t="s">
        <v>61</v>
      </c>
      <c r="B197" s="1186" t="s">
        <v>144</v>
      </c>
      <c r="C197" s="1186" t="s">
        <v>23</v>
      </c>
      <c r="D197" s="1186">
        <v>435</v>
      </c>
      <c r="E197" s="1186">
        <v>1</v>
      </c>
      <c r="F197" s="1186">
        <v>59</v>
      </c>
    </row>
    <row r="198" spans="1:6" x14ac:dyDescent="0.2">
      <c r="A198" s="1186" t="s">
        <v>61</v>
      </c>
      <c r="B198" s="1186" t="s">
        <v>144</v>
      </c>
      <c r="C198" s="1186" t="s">
        <v>24</v>
      </c>
      <c r="D198" s="1186">
        <v>348</v>
      </c>
      <c r="E198" s="1186"/>
      <c r="F198" s="1186">
        <v>37</v>
      </c>
    </row>
    <row r="199" spans="1:6" x14ac:dyDescent="0.2">
      <c r="A199" s="1186" t="s">
        <v>61</v>
      </c>
      <c r="B199" s="1186" t="s">
        <v>144</v>
      </c>
      <c r="C199" s="1186" t="s">
        <v>25</v>
      </c>
      <c r="D199" s="1186">
        <v>156</v>
      </c>
      <c r="E199" s="1186">
        <v>1</v>
      </c>
      <c r="F199" s="1186">
        <v>29</v>
      </c>
    </row>
    <row r="200" spans="1:6" x14ac:dyDescent="0.2">
      <c r="A200" s="1186" t="s">
        <v>61</v>
      </c>
      <c r="B200" s="1186" t="s">
        <v>144</v>
      </c>
      <c r="C200" s="1186" t="s">
        <v>26</v>
      </c>
      <c r="D200" s="1186">
        <v>128</v>
      </c>
      <c r="E200" s="1186">
        <v>1</v>
      </c>
      <c r="F200" s="1186">
        <v>16</v>
      </c>
    </row>
    <row r="201" spans="1:6" x14ac:dyDescent="0.2">
      <c r="A201" s="1186" t="s">
        <v>61</v>
      </c>
      <c r="B201" s="1186" t="s">
        <v>144</v>
      </c>
      <c r="C201" s="1186" t="s">
        <v>619</v>
      </c>
      <c r="D201" s="1186">
        <v>886</v>
      </c>
      <c r="E201" s="1186">
        <v>4</v>
      </c>
      <c r="F201" s="1186">
        <v>91</v>
      </c>
    </row>
    <row r="202" spans="1:6" x14ac:dyDescent="0.2">
      <c r="A202" s="1186" t="s">
        <v>61</v>
      </c>
      <c r="B202" s="1186" t="s">
        <v>144</v>
      </c>
      <c r="C202" s="1186" t="s">
        <v>27</v>
      </c>
      <c r="D202" s="1186">
        <v>92</v>
      </c>
      <c r="E202" s="1186"/>
      <c r="F202" s="1186">
        <v>10</v>
      </c>
    </row>
    <row r="203" spans="1:6" x14ac:dyDescent="0.2">
      <c r="A203" s="1186" t="s">
        <v>61</v>
      </c>
      <c r="B203" s="1186" t="s">
        <v>144</v>
      </c>
      <c r="C203" s="1186" t="s">
        <v>28</v>
      </c>
      <c r="D203" s="1186">
        <v>194</v>
      </c>
      <c r="E203" s="1186">
        <v>1</v>
      </c>
      <c r="F203" s="1186">
        <v>13</v>
      </c>
    </row>
    <row r="204" spans="1:6" x14ac:dyDescent="0.2">
      <c r="A204" s="1186" t="s">
        <v>61</v>
      </c>
      <c r="B204" s="1186" t="s">
        <v>144</v>
      </c>
      <c r="C204" s="1186" t="s">
        <v>29</v>
      </c>
      <c r="D204" s="1186">
        <v>308</v>
      </c>
      <c r="E204" s="1186">
        <v>2</v>
      </c>
      <c r="F204" s="1186">
        <v>76</v>
      </c>
    </row>
    <row r="205" spans="1:6" x14ac:dyDescent="0.2">
      <c r="A205" s="1186" t="s">
        <v>61</v>
      </c>
      <c r="B205" s="1186" t="s">
        <v>144</v>
      </c>
      <c r="C205" s="1186" t="s">
        <v>30</v>
      </c>
      <c r="D205" s="1186">
        <v>157</v>
      </c>
      <c r="E205" s="1186"/>
      <c r="F205" s="1186">
        <v>38</v>
      </c>
    </row>
    <row r="206" spans="1:6" x14ac:dyDescent="0.2">
      <c r="A206" s="1186" t="s">
        <v>61</v>
      </c>
      <c r="B206" s="1186" t="s">
        <v>144</v>
      </c>
      <c r="C206" s="1186" t="s">
        <v>31</v>
      </c>
      <c r="D206" s="1186">
        <v>102</v>
      </c>
      <c r="E206" s="1186"/>
      <c r="F206" s="1186">
        <v>12</v>
      </c>
    </row>
    <row r="207" spans="1:6" x14ac:dyDescent="0.2">
      <c r="A207" s="1186" t="s">
        <v>61</v>
      </c>
      <c r="B207" s="1186" t="s">
        <v>144</v>
      </c>
      <c r="C207" s="1186" t="s">
        <v>32</v>
      </c>
      <c r="D207" s="1186">
        <v>134</v>
      </c>
      <c r="E207" s="1186">
        <v>1</v>
      </c>
      <c r="F207" s="1186">
        <v>8</v>
      </c>
    </row>
    <row r="208" spans="1:6" x14ac:dyDescent="0.2">
      <c r="A208" s="1186" t="s">
        <v>61</v>
      </c>
      <c r="B208" s="1186" t="s">
        <v>144</v>
      </c>
      <c r="C208" s="1186" t="s">
        <v>33</v>
      </c>
      <c r="D208" s="1186">
        <v>97</v>
      </c>
      <c r="E208" s="1186">
        <v>1</v>
      </c>
      <c r="F208" s="1186">
        <v>12</v>
      </c>
    </row>
    <row r="209" spans="1:6" x14ac:dyDescent="0.2">
      <c r="A209" s="1186" t="s">
        <v>61</v>
      </c>
      <c r="B209" s="1186" t="s">
        <v>144</v>
      </c>
      <c r="C209" s="1186" t="s">
        <v>34</v>
      </c>
      <c r="D209" s="1186">
        <v>225</v>
      </c>
      <c r="E209" s="1186">
        <v>2</v>
      </c>
      <c r="F209" s="1186">
        <v>29</v>
      </c>
    </row>
    <row r="210" spans="1:6" x14ac:dyDescent="0.2">
      <c r="A210" s="1186" t="s">
        <v>61</v>
      </c>
      <c r="B210" s="1186" t="s">
        <v>144</v>
      </c>
      <c r="C210" s="1186" t="s">
        <v>35</v>
      </c>
      <c r="D210" s="1186">
        <v>452</v>
      </c>
      <c r="E210" s="1186">
        <v>1</v>
      </c>
      <c r="F210" s="1186">
        <v>30</v>
      </c>
    </row>
    <row r="211" spans="1:6" x14ac:dyDescent="0.2">
      <c r="A211" s="1186" t="s">
        <v>61</v>
      </c>
      <c r="B211" s="1186" t="s">
        <v>144</v>
      </c>
      <c r="C211" s="1186" t="s">
        <v>36</v>
      </c>
      <c r="D211" s="1186">
        <v>1298</v>
      </c>
      <c r="E211" s="1186">
        <v>3</v>
      </c>
      <c r="F211" s="1186">
        <v>166</v>
      </c>
    </row>
    <row r="212" spans="1:6" x14ac:dyDescent="0.2">
      <c r="A212" s="1186" t="s">
        <v>61</v>
      </c>
      <c r="B212" s="1186" t="s">
        <v>144</v>
      </c>
      <c r="C212" s="1186" t="s">
        <v>37</v>
      </c>
      <c r="D212" s="1186">
        <v>326</v>
      </c>
      <c r="E212" s="1186">
        <v>6</v>
      </c>
      <c r="F212" s="1186">
        <v>53</v>
      </c>
    </row>
    <row r="213" spans="1:6" x14ac:dyDescent="0.2">
      <c r="A213" s="1186" t="s">
        <v>61</v>
      </c>
      <c r="B213" s="1186" t="s">
        <v>144</v>
      </c>
      <c r="C213" s="1186" t="s">
        <v>38</v>
      </c>
      <c r="D213" s="1186">
        <v>153</v>
      </c>
      <c r="E213" s="1186">
        <v>1</v>
      </c>
      <c r="F213" s="1186">
        <v>39</v>
      </c>
    </row>
    <row r="214" spans="1:6" x14ac:dyDescent="0.2">
      <c r="A214" s="1186" t="s">
        <v>61</v>
      </c>
      <c r="B214" s="1186" t="s">
        <v>144</v>
      </c>
      <c r="C214" s="1186" t="s">
        <v>39</v>
      </c>
      <c r="D214" s="1186">
        <v>105</v>
      </c>
      <c r="E214" s="1186"/>
      <c r="F214" s="1186">
        <v>10</v>
      </c>
    </row>
    <row r="215" spans="1:6" x14ac:dyDescent="0.2">
      <c r="A215" s="1186" t="s">
        <v>61</v>
      </c>
      <c r="B215" s="1186" t="s">
        <v>144</v>
      </c>
      <c r="C215" s="1186" t="s">
        <v>40</v>
      </c>
      <c r="D215" s="1186">
        <v>109</v>
      </c>
      <c r="E215" s="1186"/>
      <c r="F215" s="1186">
        <v>16</v>
      </c>
    </row>
    <row r="216" spans="1:6" x14ac:dyDescent="0.2">
      <c r="A216" s="1186" t="s">
        <v>61</v>
      </c>
      <c r="B216" s="1186" t="s">
        <v>144</v>
      </c>
      <c r="C216" s="1186" t="s">
        <v>295</v>
      </c>
      <c r="D216" s="1186">
        <v>38</v>
      </c>
      <c r="E216" s="1186"/>
      <c r="F216" s="1186">
        <v>8</v>
      </c>
    </row>
    <row r="217" spans="1:6" x14ac:dyDescent="0.2">
      <c r="A217" s="1186" t="s">
        <v>61</v>
      </c>
      <c r="B217" s="1186" t="s">
        <v>144</v>
      </c>
      <c r="C217" s="1186" t="s">
        <v>41</v>
      </c>
      <c r="D217" s="1186">
        <v>232</v>
      </c>
      <c r="E217" s="1186">
        <v>1</v>
      </c>
      <c r="F217" s="1186">
        <v>42</v>
      </c>
    </row>
    <row r="218" spans="1:6" x14ac:dyDescent="0.2">
      <c r="A218" s="1186" t="s">
        <v>61</v>
      </c>
      <c r="B218" s="1186" t="s">
        <v>144</v>
      </c>
      <c r="C218" s="1186" t="s">
        <v>42</v>
      </c>
      <c r="D218" s="1186">
        <v>439</v>
      </c>
      <c r="E218" s="1186">
        <v>4</v>
      </c>
      <c r="F218" s="1186">
        <v>65</v>
      </c>
    </row>
    <row r="219" spans="1:6" x14ac:dyDescent="0.2">
      <c r="A219" s="1186" t="s">
        <v>61</v>
      </c>
      <c r="B219" s="1186" t="s">
        <v>144</v>
      </c>
      <c r="C219" s="1186" t="s">
        <v>43</v>
      </c>
      <c r="D219" s="1186">
        <v>37</v>
      </c>
      <c r="E219" s="1186"/>
      <c r="F219" s="1186">
        <v>2</v>
      </c>
    </row>
    <row r="220" spans="1:6" x14ac:dyDescent="0.2">
      <c r="A220" s="1186" t="s">
        <v>61</v>
      </c>
      <c r="B220" s="1186" t="s">
        <v>144</v>
      </c>
      <c r="C220" s="1186" t="s">
        <v>44</v>
      </c>
      <c r="D220" s="1186">
        <v>237</v>
      </c>
      <c r="E220" s="1186"/>
      <c r="F220" s="1186">
        <v>31</v>
      </c>
    </row>
    <row r="221" spans="1:6" x14ac:dyDescent="0.2">
      <c r="A221" s="1186" t="s">
        <v>61</v>
      </c>
      <c r="B221" s="1186" t="s">
        <v>144</v>
      </c>
      <c r="C221" s="1186" t="s">
        <v>45</v>
      </c>
      <c r="D221" s="1186">
        <v>305</v>
      </c>
      <c r="E221" s="1186"/>
      <c r="F221" s="1186">
        <v>31</v>
      </c>
    </row>
    <row r="222" spans="1:6" x14ac:dyDescent="0.2">
      <c r="A222" s="1186" t="s">
        <v>61</v>
      </c>
      <c r="B222" s="1186" t="s">
        <v>144</v>
      </c>
      <c r="C222" s="1186" t="s">
        <v>46</v>
      </c>
      <c r="D222" s="1186">
        <v>184</v>
      </c>
      <c r="E222" s="1186">
        <v>1</v>
      </c>
      <c r="F222" s="1186">
        <v>16</v>
      </c>
    </row>
    <row r="223" spans="1:6" x14ac:dyDescent="0.2">
      <c r="A223" s="1186" t="s">
        <v>61</v>
      </c>
      <c r="B223" s="1186" t="s">
        <v>144</v>
      </c>
      <c r="C223" s="1186" t="s">
        <v>47</v>
      </c>
      <c r="D223" s="1186">
        <v>34</v>
      </c>
      <c r="E223" s="1186"/>
      <c r="F223" s="1186">
        <v>2</v>
      </c>
    </row>
    <row r="224" spans="1:6" x14ac:dyDescent="0.2">
      <c r="A224" s="1186" t="s">
        <v>61</v>
      </c>
      <c r="B224" s="1186" t="s">
        <v>144</v>
      </c>
      <c r="C224" s="1186" t="s">
        <v>48</v>
      </c>
      <c r="D224" s="1186">
        <v>154</v>
      </c>
      <c r="E224" s="1186">
        <v>1</v>
      </c>
      <c r="F224" s="1186">
        <v>24</v>
      </c>
    </row>
    <row r="225" spans="1:6" x14ac:dyDescent="0.2">
      <c r="A225" s="1186" t="s">
        <v>61</v>
      </c>
      <c r="B225" s="1186" t="s">
        <v>144</v>
      </c>
      <c r="C225" s="1186" t="s">
        <v>49</v>
      </c>
      <c r="D225" s="1186">
        <v>416</v>
      </c>
      <c r="E225" s="1186">
        <v>4</v>
      </c>
      <c r="F225" s="1186">
        <v>61</v>
      </c>
    </row>
    <row r="226" spans="1:6" x14ac:dyDescent="0.2">
      <c r="A226" s="1186" t="s">
        <v>61</v>
      </c>
      <c r="B226" s="1186" t="s">
        <v>144</v>
      </c>
      <c r="C226" s="1186" t="s">
        <v>50</v>
      </c>
      <c r="D226" s="1186">
        <v>183</v>
      </c>
      <c r="E226" s="1186">
        <v>1</v>
      </c>
      <c r="F226" s="1186">
        <v>10</v>
      </c>
    </row>
    <row r="227" spans="1:6" x14ac:dyDescent="0.2">
      <c r="A227" s="1186" t="s">
        <v>61</v>
      </c>
      <c r="B227" s="1186" t="s">
        <v>144</v>
      </c>
      <c r="C227" s="1186" t="s">
        <v>51</v>
      </c>
      <c r="D227" s="1186">
        <v>208</v>
      </c>
      <c r="E227" s="1186"/>
      <c r="F227" s="1186">
        <v>25</v>
      </c>
    </row>
    <row r="228" spans="1:6" x14ac:dyDescent="0.2">
      <c r="A228" s="1186" t="s">
        <v>61</v>
      </c>
      <c r="B228" s="1186" t="s">
        <v>144</v>
      </c>
      <c r="C228" s="1186" t="s">
        <v>52</v>
      </c>
      <c r="D228" s="1186">
        <v>247</v>
      </c>
      <c r="E228" s="1186"/>
      <c r="F228" s="1186">
        <v>32</v>
      </c>
    </row>
    <row r="229" spans="1:6" x14ac:dyDescent="0.2">
      <c r="A229" s="1186" t="s">
        <v>61</v>
      </c>
      <c r="B229" s="1186" t="s">
        <v>282</v>
      </c>
      <c r="C229" s="1186" t="s">
        <v>23</v>
      </c>
      <c r="D229" s="1186">
        <v>439</v>
      </c>
      <c r="E229" s="1186">
        <v>2</v>
      </c>
      <c r="F229" s="1186">
        <v>34</v>
      </c>
    </row>
    <row r="230" spans="1:6" x14ac:dyDescent="0.2">
      <c r="A230" s="1186" t="s">
        <v>61</v>
      </c>
      <c r="B230" s="1186" t="s">
        <v>282</v>
      </c>
      <c r="C230" s="1186" t="s">
        <v>24</v>
      </c>
      <c r="D230" s="1186">
        <v>344</v>
      </c>
      <c r="E230" s="1186">
        <v>2</v>
      </c>
      <c r="F230" s="1186">
        <v>24</v>
      </c>
    </row>
    <row r="231" spans="1:6" x14ac:dyDescent="0.2">
      <c r="A231" s="1186" t="s">
        <v>61</v>
      </c>
      <c r="B231" s="1186" t="s">
        <v>282</v>
      </c>
      <c r="C231" s="1186" t="s">
        <v>25</v>
      </c>
      <c r="D231" s="1186">
        <v>163</v>
      </c>
      <c r="E231" s="1186"/>
      <c r="F231" s="1186">
        <v>21</v>
      </c>
    </row>
    <row r="232" spans="1:6" x14ac:dyDescent="0.2">
      <c r="A232" s="1186" t="s">
        <v>61</v>
      </c>
      <c r="B232" s="1186" t="s">
        <v>282</v>
      </c>
      <c r="C232" s="1186" t="s">
        <v>26</v>
      </c>
      <c r="D232" s="1186">
        <v>141</v>
      </c>
      <c r="E232" s="1186"/>
      <c r="F232" s="1186">
        <v>9</v>
      </c>
    </row>
    <row r="233" spans="1:6" x14ac:dyDescent="0.2">
      <c r="A233" s="1186" t="s">
        <v>61</v>
      </c>
      <c r="B233" s="1186" t="s">
        <v>282</v>
      </c>
      <c r="C233" s="1186" t="s">
        <v>619</v>
      </c>
      <c r="D233" s="1186">
        <v>791</v>
      </c>
      <c r="E233" s="1186">
        <v>3</v>
      </c>
      <c r="F233" s="1186">
        <v>111</v>
      </c>
    </row>
    <row r="234" spans="1:6" x14ac:dyDescent="0.2">
      <c r="A234" s="1186" t="s">
        <v>61</v>
      </c>
      <c r="B234" s="1186" t="s">
        <v>282</v>
      </c>
      <c r="C234" s="1186" t="s">
        <v>27</v>
      </c>
      <c r="D234" s="1186">
        <v>96</v>
      </c>
      <c r="E234" s="1186"/>
      <c r="F234" s="1186">
        <v>22</v>
      </c>
    </row>
    <row r="235" spans="1:6" x14ac:dyDescent="0.2">
      <c r="A235" s="1186" t="s">
        <v>61</v>
      </c>
      <c r="B235" s="1186" t="s">
        <v>282</v>
      </c>
      <c r="C235" s="1186" t="s">
        <v>28</v>
      </c>
      <c r="D235" s="1186">
        <v>202</v>
      </c>
      <c r="E235" s="1186"/>
      <c r="F235" s="1186">
        <v>8</v>
      </c>
    </row>
    <row r="236" spans="1:6" x14ac:dyDescent="0.2">
      <c r="A236" s="1186" t="s">
        <v>61</v>
      </c>
      <c r="B236" s="1186" t="s">
        <v>282</v>
      </c>
      <c r="C236" s="1186" t="s">
        <v>29</v>
      </c>
      <c r="D236" s="1186">
        <v>311</v>
      </c>
      <c r="E236" s="1186"/>
      <c r="F236" s="1186">
        <v>50</v>
      </c>
    </row>
    <row r="237" spans="1:6" x14ac:dyDescent="0.2">
      <c r="A237" s="1186" t="s">
        <v>61</v>
      </c>
      <c r="B237" s="1186" t="s">
        <v>282</v>
      </c>
      <c r="C237" s="1186" t="s">
        <v>30</v>
      </c>
      <c r="D237" s="1186">
        <v>202</v>
      </c>
      <c r="E237" s="1186">
        <v>2</v>
      </c>
      <c r="F237" s="1186">
        <v>29</v>
      </c>
    </row>
    <row r="238" spans="1:6" x14ac:dyDescent="0.2">
      <c r="A238" s="1186" t="s">
        <v>61</v>
      </c>
      <c r="B238" s="1186" t="s">
        <v>282</v>
      </c>
      <c r="C238" s="1186" t="s">
        <v>31</v>
      </c>
      <c r="D238" s="1186">
        <v>117</v>
      </c>
      <c r="E238" s="1186">
        <v>1</v>
      </c>
      <c r="F238" s="1186">
        <v>21</v>
      </c>
    </row>
    <row r="239" spans="1:6" x14ac:dyDescent="0.2">
      <c r="A239" s="1186" t="s">
        <v>61</v>
      </c>
      <c r="B239" s="1186" t="s">
        <v>282</v>
      </c>
      <c r="C239" s="1186" t="s">
        <v>32</v>
      </c>
      <c r="D239" s="1186">
        <v>116</v>
      </c>
      <c r="E239" s="1186"/>
      <c r="F239" s="1186">
        <v>6</v>
      </c>
    </row>
    <row r="240" spans="1:6" x14ac:dyDescent="0.2">
      <c r="A240" s="1186" t="s">
        <v>61</v>
      </c>
      <c r="B240" s="1186" t="s">
        <v>282</v>
      </c>
      <c r="C240" s="1186" t="s">
        <v>33</v>
      </c>
      <c r="D240" s="1186">
        <v>80</v>
      </c>
      <c r="E240" s="1186"/>
      <c r="F240" s="1186">
        <v>6</v>
      </c>
    </row>
    <row r="241" spans="1:6" x14ac:dyDescent="0.2">
      <c r="A241" s="1186" t="s">
        <v>61</v>
      </c>
      <c r="B241" s="1186" t="s">
        <v>282</v>
      </c>
      <c r="C241" s="1186" t="s">
        <v>34</v>
      </c>
      <c r="D241" s="1186">
        <v>202</v>
      </c>
      <c r="E241" s="1186">
        <v>1</v>
      </c>
      <c r="F241" s="1186">
        <v>32</v>
      </c>
    </row>
    <row r="242" spans="1:6" x14ac:dyDescent="0.2">
      <c r="A242" s="1186" t="s">
        <v>61</v>
      </c>
      <c r="B242" s="1186" t="s">
        <v>282</v>
      </c>
      <c r="C242" s="1186" t="s">
        <v>35</v>
      </c>
      <c r="D242" s="1186">
        <v>451</v>
      </c>
      <c r="E242" s="1186">
        <v>4</v>
      </c>
      <c r="F242" s="1186">
        <v>64</v>
      </c>
    </row>
    <row r="243" spans="1:6" x14ac:dyDescent="0.2">
      <c r="A243" s="1186" t="s">
        <v>61</v>
      </c>
      <c r="B243" s="1186" t="s">
        <v>282</v>
      </c>
      <c r="C243" s="1186" t="s">
        <v>36</v>
      </c>
      <c r="D243" s="1186">
        <v>1256</v>
      </c>
      <c r="E243" s="1186">
        <v>7</v>
      </c>
      <c r="F243" s="1186">
        <v>176</v>
      </c>
    </row>
    <row r="244" spans="1:6" x14ac:dyDescent="0.2">
      <c r="A244" s="1186" t="s">
        <v>61</v>
      </c>
      <c r="B244" s="1186" t="s">
        <v>282</v>
      </c>
      <c r="C244" s="1186" t="s">
        <v>37</v>
      </c>
      <c r="D244" s="1186">
        <v>340</v>
      </c>
      <c r="E244" s="1186">
        <v>2</v>
      </c>
      <c r="F244" s="1186">
        <v>59</v>
      </c>
    </row>
    <row r="245" spans="1:6" x14ac:dyDescent="0.2">
      <c r="A245" s="1186" t="s">
        <v>61</v>
      </c>
      <c r="B245" s="1186" t="s">
        <v>282</v>
      </c>
      <c r="C245" s="1186" t="s">
        <v>38</v>
      </c>
      <c r="D245" s="1186">
        <v>162</v>
      </c>
      <c r="E245" s="1186">
        <v>1</v>
      </c>
      <c r="F245" s="1186">
        <v>38</v>
      </c>
    </row>
    <row r="246" spans="1:6" x14ac:dyDescent="0.2">
      <c r="A246" s="1186" t="s">
        <v>61</v>
      </c>
      <c r="B246" s="1186" t="s">
        <v>282</v>
      </c>
      <c r="C246" s="1186" t="s">
        <v>39</v>
      </c>
      <c r="D246" s="1186">
        <v>126</v>
      </c>
      <c r="E246" s="1186">
        <v>1</v>
      </c>
      <c r="F246" s="1186">
        <v>16</v>
      </c>
    </row>
    <row r="247" spans="1:6" x14ac:dyDescent="0.2">
      <c r="A247" s="1186" t="s">
        <v>61</v>
      </c>
      <c r="B247" s="1186" t="s">
        <v>282</v>
      </c>
      <c r="C247" s="1186" t="s">
        <v>40</v>
      </c>
      <c r="D247" s="1186">
        <v>110</v>
      </c>
      <c r="E247" s="1186">
        <v>1</v>
      </c>
      <c r="F247" s="1186">
        <v>16</v>
      </c>
    </row>
    <row r="248" spans="1:6" x14ac:dyDescent="0.2">
      <c r="A248" s="1186" t="s">
        <v>61</v>
      </c>
      <c r="B248" s="1186" t="s">
        <v>282</v>
      </c>
      <c r="C248" s="1186" t="s">
        <v>295</v>
      </c>
      <c r="D248" s="1186">
        <v>34</v>
      </c>
      <c r="E248" s="1186">
        <v>3</v>
      </c>
      <c r="F248" s="1186">
        <v>8</v>
      </c>
    </row>
    <row r="249" spans="1:6" x14ac:dyDescent="0.2">
      <c r="A249" s="1186" t="s">
        <v>61</v>
      </c>
      <c r="B249" s="1186" t="s">
        <v>282</v>
      </c>
      <c r="C249" s="1186" t="s">
        <v>41</v>
      </c>
      <c r="D249" s="1186">
        <v>220</v>
      </c>
      <c r="E249" s="1186"/>
      <c r="F249" s="1186">
        <v>25</v>
      </c>
    </row>
    <row r="250" spans="1:6" x14ac:dyDescent="0.2">
      <c r="A250" s="1186" t="s">
        <v>61</v>
      </c>
      <c r="B250" s="1186" t="s">
        <v>282</v>
      </c>
      <c r="C250" s="1186" t="s">
        <v>42</v>
      </c>
      <c r="D250" s="1186">
        <v>463</v>
      </c>
      <c r="E250" s="1186">
        <v>1</v>
      </c>
      <c r="F250" s="1186">
        <v>65</v>
      </c>
    </row>
    <row r="251" spans="1:6" x14ac:dyDescent="0.2">
      <c r="A251" s="1186" t="s">
        <v>61</v>
      </c>
      <c r="B251" s="1186" t="s">
        <v>282</v>
      </c>
      <c r="C251" s="1186" t="s">
        <v>43</v>
      </c>
      <c r="D251" s="1186">
        <v>21</v>
      </c>
      <c r="E251" s="1186"/>
      <c r="F251" s="1186">
        <v>5</v>
      </c>
    </row>
    <row r="252" spans="1:6" x14ac:dyDescent="0.2">
      <c r="A252" s="1186" t="s">
        <v>61</v>
      </c>
      <c r="B252" s="1186" t="s">
        <v>282</v>
      </c>
      <c r="C252" s="1186" t="s">
        <v>44</v>
      </c>
      <c r="D252" s="1186">
        <v>255</v>
      </c>
      <c r="E252" s="1186">
        <v>1</v>
      </c>
      <c r="F252" s="1186">
        <v>23</v>
      </c>
    </row>
    <row r="253" spans="1:6" x14ac:dyDescent="0.2">
      <c r="A253" s="1186" t="s">
        <v>61</v>
      </c>
      <c r="B253" s="1186" t="s">
        <v>282</v>
      </c>
      <c r="C253" s="1186" t="s">
        <v>45</v>
      </c>
      <c r="D253" s="1186">
        <v>276</v>
      </c>
      <c r="E253" s="1186">
        <v>1</v>
      </c>
      <c r="F253" s="1186">
        <v>27</v>
      </c>
    </row>
    <row r="254" spans="1:6" x14ac:dyDescent="0.2">
      <c r="A254" s="1186" t="s">
        <v>61</v>
      </c>
      <c r="B254" s="1186" t="s">
        <v>282</v>
      </c>
      <c r="C254" s="1186" t="s">
        <v>46</v>
      </c>
      <c r="D254" s="1186">
        <v>162</v>
      </c>
      <c r="E254" s="1186">
        <v>1</v>
      </c>
      <c r="F254" s="1186">
        <v>26</v>
      </c>
    </row>
    <row r="255" spans="1:6" x14ac:dyDescent="0.2">
      <c r="A255" s="1186" t="s">
        <v>61</v>
      </c>
      <c r="B255" s="1186" t="s">
        <v>282</v>
      </c>
      <c r="C255" s="1186" t="s">
        <v>47</v>
      </c>
      <c r="D255" s="1186">
        <v>24</v>
      </c>
      <c r="E255" s="1186"/>
      <c r="F255" s="1186">
        <v>4</v>
      </c>
    </row>
    <row r="256" spans="1:6" x14ac:dyDescent="0.2">
      <c r="A256" s="1186" t="s">
        <v>61</v>
      </c>
      <c r="B256" s="1186" t="s">
        <v>282</v>
      </c>
      <c r="C256" s="1186" t="s">
        <v>48</v>
      </c>
      <c r="D256" s="1186">
        <v>152</v>
      </c>
      <c r="E256" s="1186"/>
      <c r="F256" s="1186">
        <v>23</v>
      </c>
    </row>
    <row r="257" spans="1:6" x14ac:dyDescent="0.2">
      <c r="A257" s="1186" t="s">
        <v>61</v>
      </c>
      <c r="B257" s="1186" t="s">
        <v>282</v>
      </c>
      <c r="C257" s="1186" t="s">
        <v>49</v>
      </c>
      <c r="D257" s="1186">
        <v>389</v>
      </c>
      <c r="E257" s="1186"/>
      <c r="F257" s="1186">
        <v>44</v>
      </c>
    </row>
    <row r="258" spans="1:6" x14ac:dyDescent="0.2">
      <c r="A258" s="1186" t="s">
        <v>61</v>
      </c>
      <c r="B258" s="1186" t="s">
        <v>282</v>
      </c>
      <c r="C258" s="1186" t="s">
        <v>50</v>
      </c>
      <c r="D258" s="1186">
        <v>151</v>
      </c>
      <c r="E258" s="1186">
        <v>1</v>
      </c>
      <c r="F258" s="1186">
        <v>13</v>
      </c>
    </row>
    <row r="259" spans="1:6" x14ac:dyDescent="0.2">
      <c r="A259" s="1186" t="s">
        <v>61</v>
      </c>
      <c r="B259" s="1186" t="s">
        <v>282</v>
      </c>
      <c r="C259" s="1186" t="s">
        <v>51</v>
      </c>
      <c r="D259" s="1186">
        <v>179</v>
      </c>
      <c r="E259" s="1186"/>
      <c r="F259" s="1186">
        <v>20</v>
      </c>
    </row>
    <row r="260" spans="1:6" x14ac:dyDescent="0.2">
      <c r="A260" s="1186" t="s">
        <v>61</v>
      </c>
      <c r="B260" s="1186" t="s">
        <v>282</v>
      </c>
      <c r="C260" s="1186" t="s">
        <v>52</v>
      </c>
      <c r="D260" s="1186">
        <v>224</v>
      </c>
      <c r="E260" s="1186"/>
      <c r="F260" s="1186">
        <v>28</v>
      </c>
    </row>
    <row r="261" spans="1:6" x14ac:dyDescent="0.2">
      <c r="A261" s="1186" t="s">
        <v>61</v>
      </c>
      <c r="B261" s="1186" t="s">
        <v>311</v>
      </c>
      <c r="C261" s="1186" t="s">
        <v>23</v>
      </c>
      <c r="D261" s="1186">
        <v>355</v>
      </c>
      <c r="E261" s="1186">
        <v>3</v>
      </c>
      <c r="F261" s="1186">
        <v>23</v>
      </c>
    </row>
    <row r="262" spans="1:6" x14ac:dyDescent="0.2">
      <c r="A262" s="1186" t="s">
        <v>61</v>
      </c>
      <c r="B262" s="1186" t="s">
        <v>311</v>
      </c>
      <c r="C262" s="1186" t="s">
        <v>24</v>
      </c>
      <c r="D262" s="1186">
        <v>343</v>
      </c>
      <c r="E262" s="1186">
        <v>1</v>
      </c>
      <c r="F262" s="1186">
        <v>44</v>
      </c>
    </row>
    <row r="263" spans="1:6" x14ac:dyDescent="0.2">
      <c r="A263" s="1186" t="s">
        <v>61</v>
      </c>
      <c r="B263" s="1186" t="s">
        <v>311</v>
      </c>
      <c r="C263" s="1186" t="s">
        <v>25</v>
      </c>
      <c r="D263" s="1186">
        <v>131</v>
      </c>
      <c r="E263" s="1186"/>
      <c r="F263" s="1186">
        <v>20</v>
      </c>
    </row>
    <row r="264" spans="1:6" x14ac:dyDescent="0.2">
      <c r="A264" s="1186" t="s">
        <v>61</v>
      </c>
      <c r="B264" s="1186" t="s">
        <v>311</v>
      </c>
      <c r="C264" s="1186" t="s">
        <v>26</v>
      </c>
      <c r="D264" s="1186">
        <v>161</v>
      </c>
      <c r="E264" s="1186">
        <v>1</v>
      </c>
      <c r="F264" s="1186">
        <v>18</v>
      </c>
    </row>
    <row r="265" spans="1:6" x14ac:dyDescent="0.2">
      <c r="A265" s="1186" t="s">
        <v>61</v>
      </c>
      <c r="B265" s="1186" t="s">
        <v>311</v>
      </c>
      <c r="C265" s="1186" t="s">
        <v>619</v>
      </c>
      <c r="D265" s="1186">
        <v>747</v>
      </c>
      <c r="E265" s="1186">
        <v>1</v>
      </c>
      <c r="F265" s="1186">
        <v>78</v>
      </c>
    </row>
    <row r="266" spans="1:6" x14ac:dyDescent="0.2">
      <c r="A266" s="1186" t="s">
        <v>61</v>
      </c>
      <c r="B266" s="1186" t="s">
        <v>311</v>
      </c>
      <c r="C266" s="1186" t="s">
        <v>27</v>
      </c>
      <c r="D266" s="1186">
        <v>69</v>
      </c>
      <c r="E266" s="1186"/>
      <c r="F266" s="1186">
        <v>8</v>
      </c>
    </row>
    <row r="267" spans="1:6" x14ac:dyDescent="0.2">
      <c r="A267" s="1186" t="s">
        <v>61</v>
      </c>
      <c r="B267" s="1186" t="s">
        <v>311</v>
      </c>
      <c r="C267" s="1186" t="s">
        <v>28</v>
      </c>
      <c r="D267" s="1186">
        <v>197</v>
      </c>
      <c r="E267" s="1186">
        <v>4</v>
      </c>
      <c r="F267" s="1186">
        <v>5</v>
      </c>
    </row>
    <row r="268" spans="1:6" x14ac:dyDescent="0.2">
      <c r="A268" s="1186" t="s">
        <v>61</v>
      </c>
      <c r="B268" s="1186" t="s">
        <v>311</v>
      </c>
      <c r="C268" s="1186" t="s">
        <v>29</v>
      </c>
      <c r="D268" s="1186">
        <v>272</v>
      </c>
      <c r="E268" s="1186"/>
      <c r="F268" s="1186">
        <v>34</v>
      </c>
    </row>
    <row r="269" spans="1:6" x14ac:dyDescent="0.2">
      <c r="A269" s="1186" t="s">
        <v>61</v>
      </c>
      <c r="B269" s="1186" t="s">
        <v>311</v>
      </c>
      <c r="C269" s="1186" t="s">
        <v>30</v>
      </c>
      <c r="D269" s="1186">
        <v>133</v>
      </c>
      <c r="E269" s="1186">
        <v>1</v>
      </c>
      <c r="F269" s="1186">
        <v>24</v>
      </c>
    </row>
    <row r="270" spans="1:6" x14ac:dyDescent="0.2">
      <c r="A270" s="1186" t="s">
        <v>61</v>
      </c>
      <c r="B270" s="1186" t="s">
        <v>311</v>
      </c>
      <c r="C270" s="1186" t="s">
        <v>31</v>
      </c>
      <c r="D270" s="1186">
        <v>101</v>
      </c>
      <c r="E270" s="1186"/>
      <c r="F270" s="1186">
        <v>16</v>
      </c>
    </row>
    <row r="271" spans="1:6" x14ac:dyDescent="0.2">
      <c r="A271" s="1186" t="s">
        <v>61</v>
      </c>
      <c r="B271" s="1186" t="s">
        <v>311</v>
      </c>
      <c r="C271" s="1186" t="s">
        <v>32</v>
      </c>
      <c r="D271" s="1186">
        <v>130</v>
      </c>
      <c r="E271" s="1186">
        <v>2</v>
      </c>
      <c r="F271" s="1186">
        <v>12</v>
      </c>
    </row>
    <row r="272" spans="1:6" x14ac:dyDescent="0.2">
      <c r="A272" s="1186" t="s">
        <v>61</v>
      </c>
      <c r="B272" s="1186" t="s">
        <v>311</v>
      </c>
      <c r="C272" s="1186" t="s">
        <v>33</v>
      </c>
      <c r="D272" s="1186">
        <v>111</v>
      </c>
      <c r="E272" s="1186"/>
      <c r="F272" s="1186">
        <v>7</v>
      </c>
    </row>
    <row r="273" spans="1:6" x14ac:dyDescent="0.2">
      <c r="A273" s="1186" t="s">
        <v>61</v>
      </c>
      <c r="B273" s="1186" t="s">
        <v>311</v>
      </c>
      <c r="C273" s="1186" t="s">
        <v>34</v>
      </c>
      <c r="D273" s="1186">
        <v>199</v>
      </c>
      <c r="E273" s="1186">
        <v>2</v>
      </c>
      <c r="F273" s="1186">
        <v>21</v>
      </c>
    </row>
    <row r="274" spans="1:6" x14ac:dyDescent="0.2">
      <c r="A274" s="1186" t="s">
        <v>61</v>
      </c>
      <c r="B274" s="1186" t="s">
        <v>311</v>
      </c>
      <c r="C274" s="1186" t="s">
        <v>35</v>
      </c>
      <c r="D274" s="1186">
        <v>513</v>
      </c>
      <c r="E274" s="1186">
        <v>2</v>
      </c>
      <c r="F274" s="1186">
        <v>39</v>
      </c>
    </row>
    <row r="275" spans="1:6" x14ac:dyDescent="0.2">
      <c r="A275" s="1186" t="s">
        <v>61</v>
      </c>
      <c r="B275" s="1186" t="s">
        <v>311</v>
      </c>
      <c r="C275" s="1186" t="s">
        <v>36</v>
      </c>
      <c r="D275" s="1186">
        <v>1262</v>
      </c>
      <c r="E275" s="1186">
        <v>4</v>
      </c>
      <c r="F275" s="1186">
        <v>172</v>
      </c>
    </row>
    <row r="276" spans="1:6" x14ac:dyDescent="0.2">
      <c r="A276" s="1186" t="s">
        <v>61</v>
      </c>
      <c r="B276" s="1186" t="s">
        <v>311</v>
      </c>
      <c r="C276" s="1186" t="s">
        <v>37</v>
      </c>
      <c r="D276" s="1186">
        <v>334</v>
      </c>
      <c r="E276" s="1186">
        <v>2</v>
      </c>
      <c r="F276" s="1186">
        <v>40</v>
      </c>
    </row>
    <row r="277" spans="1:6" x14ac:dyDescent="0.2">
      <c r="A277" s="1186" t="s">
        <v>61</v>
      </c>
      <c r="B277" s="1186" t="s">
        <v>311</v>
      </c>
      <c r="C277" s="1186" t="s">
        <v>38</v>
      </c>
      <c r="D277" s="1186">
        <v>123</v>
      </c>
      <c r="E277" s="1186"/>
      <c r="F277" s="1186">
        <v>14</v>
      </c>
    </row>
    <row r="278" spans="1:6" x14ac:dyDescent="0.2">
      <c r="A278" s="1186" t="s">
        <v>61</v>
      </c>
      <c r="B278" s="1186" t="s">
        <v>311</v>
      </c>
      <c r="C278" s="1186" t="s">
        <v>39</v>
      </c>
      <c r="D278" s="1186">
        <v>116</v>
      </c>
      <c r="E278" s="1186"/>
      <c r="F278" s="1186">
        <v>14</v>
      </c>
    </row>
    <row r="279" spans="1:6" x14ac:dyDescent="0.2">
      <c r="A279" s="1186" t="s">
        <v>61</v>
      </c>
      <c r="B279" s="1186" t="s">
        <v>311</v>
      </c>
      <c r="C279" s="1186" t="s">
        <v>40</v>
      </c>
      <c r="D279" s="1186">
        <v>89</v>
      </c>
      <c r="E279" s="1186">
        <v>1</v>
      </c>
      <c r="F279" s="1186">
        <v>17</v>
      </c>
    </row>
    <row r="280" spans="1:6" x14ac:dyDescent="0.2">
      <c r="A280" s="1186" t="s">
        <v>61</v>
      </c>
      <c r="B280" s="1186" t="s">
        <v>311</v>
      </c>
      <c r="C280" s="1186" t="s">
        <v>295</v>
      </c>
      <c r="D280" s="1186">
        <v>34</v>
      </c>
      <c r="E280" s="1186"/>
      <c r="F280" s="1186">
        <v>1</v>
      </c>
    </row>
    <row r="281" spans="1:6" x14ac:dyDescent="0.2">
      <c r="A281" s="1186" t="s">
        <v>61</v>
      </c>
      <c r="B281" s="1186" t="s">
        <v>311</v>
      </c>
      <c r="C281" s="1186" t="s">
        <v>41</v>
      </c>
      <c r="D281" s="1186">
        <v>222</v>
      </c>
      <c r="E281" s="1186"/>
      <c r="F281" s="1186">
        <v>20</v>
      </c>
    </row>
    <row r="282" spans="1:6" x14ac:dyDescent="0.2">
      <c r="A282" s="1186" t="s">
        <v>61</v>
      </c>
      <c r="B282" s="1186" t="s">
        <v>311</v>
      </c>
      <c r="C282" s="1186" t="s">
        <v>42</v>
      </c>
      <c r="D282" s="1186">
        <v>449</v>
      </c>
      <c r="E282" s="1186">
        <v>2</v>
      </c>
      <c r="F282" s="1186">
        <v>87</v>
      </c>
    </row>
    <row r="283" spans="1:6" x14ac:dyDescent="0.2">
      <c r="A283" s="1186" t="s">
        <v>61</v>
      </c>
      <c r="B283" s="1186" t="s">
        <v>311</v>
      </c>
      <c r="C283" s="1186" t="s">
        <v>43</v>
      </c>
      <c r="D283" s="1186">
        <v>14</v>
      </c>
      <c r="E283" s="1186"/>
      <c r="F283" s="1186">
        <v>4</v>
      </c>
    </row>
    <row r="284" spans="1:6" x14ac:dyDescent="0.2">
      <c r="A284" s="1186" t="s">
        <v>61</v>
      </c>
      <c r="B284" s="1186" t="s">
        <v>311</v>
      </c>
      <c r="C284" s="1186" t="s">
        <v>44</v>
      </c>
      <c r="D284" s="1186">
        <v>207</v>
      </c>
      <c r="E284" s="1186"/>
      <c r="F284" s="1186">
        <v>22</v>
      </c>
    </row>
    <row r="285" spans="1:6" x14ac:dyDescent="0.2">
      <c r="A285" s="1186" t="s">
        <v>61</v>
      </c>
      <c r="B285" s="1186" t="s">
        <v>311</v>
      </c>
      <c r="C285" s="1186" t="s">
        <v>45</v>
      </c>
      <c r="D285" s="1186">
        <v>283</v>
      </c>
      <c r="E285" s="1186">
        <v>1</v>
      </c>
      <c r="F285" s="1186">
        <v>31</v>
      </c>
    </row>
    <row r="286" spans="1:6" x14ac:dyDescent="0.2">
      <c r="A286" s="1186" t="s">
        <v>61</v>
      </c>
      <c r="B286" s="1186" t="s">
        <v>311</v>
      </c>
      <c r="C286" s="1186" t="s">
        <v>46</v>
      </c>
      <c r="D286" s="1186">
        <v>149</v>
      </c>
      <c r="E286" s="1186">
        <v>1</v>
      </c>
      <c r="F286" s="1186">
        <v>15</v>
      </c>
    </row>
    <row r="287" spans="1:6" x14ac:dyDescent="0.2">
      <c r="A287" s="1186" t="s">
        <v>61</v>
      </c>
      <c r="B287" s="1186" t="s">
        <v>311</v>
      </c>
      <c r="C287" s="1186" t="s">
        <v>47</v>
      </c>
      <c r="D287" s="1186">
        <v>32</v>
      </c>
      <c r="E287" s="1186"/>
      <c r="F287" s="1186">
        <v>6</v>
      </c>
    </row>
    <row r="288" spans="1:6" x14ac:dyDescent="0.2">
      <c r="A288" s="1186" t="s">
        <v>61</v>
      </c>
      <c r="B288" s="1186" t="s">
        <v>311</v>
      </c>
      <c r="C288" s="1186" t="s">
        <v>48</v>
      </c>
      <c r="D288" s="1186">
        <v>165</v>
      </c>
      <c r="E288" s="1186">
        <v>4</v>
      </c>
      <c r="F288" s="1186">
        <v>24</v>
      </c>
    </row>
    <row r="289" spans="1:6" x14ac:dyDescent="0.2">
      <c r="A289" s="1186" t="s">
        <v>61</v>
      </c>
      <c r="B289" s="1186" t="s">
        <v>311</v>
      </c>
      <c r="C289" s="1186" t="s">
        <v>49</v>
      </c>
      <c r="D289" s="1186">
        <v>401</v>
      </c>
      <c r="E289" s="1186">
        <v>4</v>
      </c>
      <c r="F289" s="1186">
        <v>52</v>
      </c>
    </row>
    <row r="290" spans="1:6" x14ac:dyDescent="0.2">
      <c r="A290" s="1186" t="s">
        <v>61</v>
      </c>
      <c r="B290" s="1186" t="s">
        <v>311</v>
      </c>
      <c r="C290" s="1186" t="s">
        <v>50</v>
      </c>
      <c r="D290" s="1186">
        <v>142</v>
      </c>
      <c r="E290" s="1186">
        <v>2</v>
      </c>
      <c r="F290" s="1186">
        <v>20</v>
      </c>
    </row>
    <row r="291" spans="1:6" x14ac:dyDescent="0.2">
      <c r="A291" s="1186" t="s">
        <v>61</v>
      </c>
      <c r="B291" s="1186" t="s">
        <v>311</v>
      </c>
      <c r="C291" s="1186" t="s">
        <v>51</v>
      </c>
      <c r="D291" s="1186">
        <v>199</v>
      </c>
      <c r="E291" s="1186">
        <v>3</v>
      </c>
      <c r="F291" s="1186">
        <v>18</v>
      </c>
    </row>
    <row r="292" spans="1:6" x14ac:dyDescent="0.2">
      <c r="A292" s="1186" t="s">
        <v>61</v>
      </c>
      <c r="B292" s="1186" t="s">
        <v>311</v>
      </c>
      <c r="C292" s="1186" t="s">
        <v>52</v>
      </c>
      <c r="D292" s="1186">
        <v>258</v>
      </c>
      <c r="E292" s="1186"/>
      <c r="F292" s="1186">
        <v>29</v>
      </c>
    </row>
    <row r="293" spans="1:6" x14ac:dyDescent="0.2">
      <c r="A293" s="1186" t="s">
        <v>61</v>
      </c>
      <c r="B293" s="1186" t="s">
        <v>621</v>
      </c>
      <c r="C293" s="1186" t="s">
        <v>23</v>
      </c>
      <c r="D293" s="1186">
        <v>408</v>
      </c>
      <c r="E293" s="1186">
        <v>2</v>
      </c>
      <c r="F293" s="1186">
        <v>43</v>
      </c>
    </row>
    <row r="294" spans="1:6" x14ac:dyDescent="0.2">
      <c r="A294" s="1186" t="s">
        <v>61</v>
      </c>
      <c r="B294" s="1186" t="s">
        <v>621</v>
      </c>
      <c r="C294" s="1186" t="s">
        <v>24</v>
      </c>
      <c r="D294" s="1186">
        <v>327</v>
      </c>
      <c r="E294" s="1186">
        <v>1</v>
      </c>
      <c r="F294" s="1186">
        <v>28</v>
      </c>
    </row>
    <row r="295" spans="1:6" x14ac:dyDescent="0.2">
      <c r="A295" s="1186" t="s">
        <v>61</v>
      </c>
      <c r="B295" s="1186" t="s">
        <v>621</v>
      </c>
      <c r="C295" s="1186" t="s">
        <v>25</v>
      </c>
      <c r="D295" s="1186">
        <v>152</v>
      </c>
      <c r="E295" s="1186">
        <v>2</v>
      </c>
      <c r="F295" s="1186">
        <v>15</v>
      </c>
    </row>
    <row r="296" spans="1:6" x14ac:dyDescent="0.2">
      <c r="A296" s="1186" t="s">
        <v>61</v>
      </c>
      <c r="B296" s="1186" t="s">
        <v>621</v>
      </c>
      <c r="C296" s="1186" t="s">
        <v>26</v>
      </c>
      <c r="D296" s="1186">
        <v>155</v>
      </c>
      <c r="E296" s="1186"/>
      <c r="F296" s="1186">
        <v>19</v>
      </c>
    </row>
    <row r="297" spans="1:6" x14ac:dyDescent="0.2">
      <c r="A297" s="1186" t="s">
        <v>61</v>
      </c>
      <c r="B297" s="1186" t="s">
        <v>621</v>
      </c>
      <c r="C297" s="1186" t="s">
        <v>619</v>
      </c>
      <c r="D297" s="1186">
        <v>742</v>
      </c>
      <c r="E297" s="1186">
        <v>2</v>
      </c>
      <c r="F297" s="1186">
        <v>106</v>
      </c>
    </row>
    <row r="298" spans="1:6" x14ac:dyDescent="0.2">
      <c r="A298" s="1186" t="s">
        <v>61</v>
      </c>
      <c r="B298" s="1186" t="s">
        <v>621</v>
      </c>
      <c r="C298" s="1186" t="s">
        <v>27</v>
      </c>
      <c r="D298" s="1186">
        <v>66</v>
      </c>
      <c r="E298" s="1186"/>
      <c r="F298" s="1186">
        <v>23</v>
      </c>
    </row>
    <row r="299" spans="1:6" x14ac:dyDescent="0.2">
      <c r="A299" s="1186" t="s">
        <v>61</v>
      </c>
      <c r="B299" s="1186" t="s">
        <v>621</v>
      </c>
      <c r="C299" s="1186" t="s">
        <v>28</v>
      </c>
      <c r="D299" s="1186">
        <v>185</v>
      </c>
      <c r="E299" s="1186"/>
      <c r="F299" s="1186">
        <v>13</v>
      </c>
    </row>
    <row r="300" spans="1:6" x14ac:dyDescent="0.2">
      <c r="A300" s="1186" t="s">
        <v>61</v>
      </c>
      <c r="B300" s="1186" t="s">
        <v>621</v>
      </c>
      <c r="C300" s="1186" t="s">
        <v>29</v>
      </c>
      <c r="D300" s="1186">
        <v>263</v>
      </c>
      <c r="E300" s="1186"/>
      <c r="F300" s="1186">
        <v>40</v>
      </c>
    </row>
    <row r="301" spans="1:6" x14ac:dyDescent="0.2">
      <c r="A301" s="1186" t="s">
        <v>61</v>
      </c>
      <c r="B301" s="1186" t="s">
        <v>621</v>
      </c>
      <c r="C301" s="1186" t="s">
        <v>30</v>
      </c>
      <c r="D301" s="1186">
        <v>158</v>
      </c>
      <c r="E301" s="1186"/>
      <c r="F301" s="1186">
        <v>31</v>
      </c>
    </row>
    <row r="302" spans="1:6" x14ac:dyDescent="0.2">
      <c r="A302" s="1186" t="s">
        <v>61</v>
      </c>
      <c r="B302" s="1186" t="s">
        <v>621</v>
      </c>
      <c r="C302" s="1186" t="s">
        <v>31</v>
      </c>
      <c r="D302" s="1186">
        <v>112</v>
      </c>
      <c r="E302" s="1186"/>
      <c r="F302" s="1186">
        <v>8</v>
      </c>
    </row>
    <row r="303" spans="1:6" x14ac:dyDescent="0.2">
      <c r="A303" s="1186" t="s">
        <v>61</v>
      </c>
      <c r="B303" s="1186" t="s">
        <v>621</v>
      </c>
      <c r="C303" s="1186" t="s">
        <v>32</v>
      </c>
      <c r="D303" s="1186">
        <v>144</v>
      </c>
      <c r="E303" s="1186">
        <v>1</v>
      </c>
      <c r="F303" s="1186">
        <v>7</v>
      </c>
    </row>
    <row r="304" spans="1:6" x14ac:dyDescent="0.2">
      <c r="A304" s="1186" t="s">
        <v>61</v>
      </c>
      <c r="B304" s="1186" t="s">
        <v>621</v>
      </c>
      <c r="C304" s="1186" t="s">
        <v>33</v>
      </c>
      <c r="D304" s="1186">
        <v>99</v>
      </c>
      <c r="E304" s="1186"/>
      <c r="F304" s="1186">
        <v>14</v>
      </c>
    </row>
    <row r="305" spans="1:6" x14ac:dyDescent="0.2">
      <c r="A305" s="1186" t="s">
        <v>61</v>
      </c>
      <c r="B305" s="1186" t="s">
        <v>621</v>
      </c>
      <c r="C305" s="1186" t="s">
        <v>34</v>
      </c>
      <c r="D305" s="1186">
        <v>208</v>
      </c>
      <c r="E305" s="1186">
        <v>1</v>
      </c>
      <c r="F305" s="1186">
        <v>25</v>
      </c>
    </row>
    <row r="306" spans="1:6" x14ac:dyDescent="0.2">
      <c r="A306" s="1186" t="s">
        <v>61</v>
      </c>
      <c r="B306" s="1186" t="s">
        <v>621</v>
      </c>
      <c r="C306" s="1186" t="s">
        <v>35</v>
      </c>
      <c r="D306" s="1186">
        <v>452</v>
      </c>
      <c r="E306" s="1186">
        <v>2</v>
      </c>
      <c r="F306" s="1186">
        <v>53</v>
      </c>
    </row>
    <row r="307" spans="1:6" x14ac:dyDescent="0.2">
      <c r="A307" s="1186" t="s">
        <v>61</v>
      </c>
      <c r="B307" s="1186" t="s">
        <v>621</v>
      </c>
      <c r="C307" s="1186" t="s">
        <v>36</v>
      </c>
      <c r="D307" s="1186">
        <v>1180</v>
      </c>
      <c r="E307" s="1186">
        <v>3</v>
      </c>
      <c r="F307" s="1186">
        <v>165</v>
      </c>
    </row>
    <row r="308" spans="1:6" x14ac:dyDescent="0.2">
      <c r="A308" s="1186" t="s">
        <v>61</v>
      </c>
      <c r="B308" s="1186" t="s">
        <v>621</v>
      </c>
      <c r="C308" s="1186" t="s">
        <v>37</v>
      </c>
      <c r="D308" s="1186">
        <v>383</v>
      </c>
      <c r="E308" s="1186">
        <v>2</v>
      </c>
      <c r="F308" s="1186">
        <v>33</v>
      </c>
    </row>
    <row r="309" spans="1:6" x14ac:dyDescent="0.2">
      <c r="A309" s="1186" t="s">
        <v>61</v>
      </c>
      <c r="B309" s="1186" t="s">
        <v>621</v>
      </c>
      <c r="C309" s="1186" t="s">
        <v>38</v>
      </c>
      <c r="D309" s="1186">
        <v>113</v>
      </c>
      <c r="E309" s="1186">
        <v>4</v>
      </c>
      <c r="F309" s="1186">
        <v>23</v>
      </c>
    </row>
    <row r="310" spans="1:6" x14ac:dyDescent="0.2">
      <c r="A310" s="1186" t="s">
        <v>61</v>
      </c>
      <c r="B310" s="1186" t="s">
        <v>621</v>
      </c>
      <c r="C310" s="1186" t="s">
        <v>39</v>
      </c>
      <c r="D310" s="1186">
        <v>104</v>
      </c>
      <c r="E310" s="1186">
        <v>1</v>
      </c>
      <c r="F310" s="1186">
        <v>10</v>
      </c>
    </row>
    <row r="311" spans="1:6" x14ac:dyDescent="0.2">
      <c r="A311" s="1186" t="s">
        <v>61</v>
      </c>
      <c r="B311" s="1186" t="s">
        <v>621</v>
      </c>
      <c r="C311" s="1186" t="s">
        <v>40</v>
      </c>
      <c r="D311" s="1186">
        <v>124</v>
      </c>
      <c r="E311" s="1186">
        <v>2</v>
      </c>
      <c r="F311" s="1186">
        <v>12</v>
      </c>
    </row>
    <row r="312" spans="1:6" x14ac:dyDescent="0.2">
      <c r="A312" s="1186" t="s">
        <v>61</v>
      </c>
      <c r="B312" s="1186" t="s">
        <v>621</v>
      </c>
      <c r="C312" s="1186" t="s">
        <v>295</v>
      </c>
      <c r="D312" s="1186">
        <v>46</v>
      </c>
      <c r="E312" s="1186"/>
      <c r="F312" s="1186">
        <v>4</v>
      </c>
    </row>
    <row r="313" spans="1:6" x14ac:dyDescent="0.2">
      <c r="A313" s="1186" t="s">
        <v>61</v>
      </c>
      <c r="B313" s="1186" t="s">
        <v>621</v>
      </c>
      <c r="C313" s="1186" t="s">
        <v>41</v>
      </c>
      <c r="D313" s="1186">
        <v>238</v>
      </c>
      <c r="E313" s="1186">
        <v>4</v>
      </c>
      <c r="F313" s="1186">
        <v>37</v>
      </c>
    </row>
    <row r="314" spans="1:6" x14ac:dyDescent="0.2">
      <c r="A314" s="1186" t="s">
        <v>61</v>
      </c>
      <c r="B314" s="1186" t="s">
        <v>621</v>
      </c>
      <c r="C314" s="1186" t="s">
        <v>42</v>
      </c>
      <c r="D314" s="1186">
        <v>488</v>
      </c>
      <c r="E314" s="1186">
        <v>2</v>
      </c>
      <c r="F314" s="1186">
        <v>95</v>
      </c>
    </row>
    <row r="315" spans="1:6" x14ac:dyDescent="0.2">
      <c r="A315" s="1186" t="s">
        <v>61</v>
      </c>
      <c r="B315" s="1186" t="s">
        <v>621</v>
      </c>
      <c r="C315" s="1186" t="s">
        <v>43</v>
      </c>
      <c r="D315" s="1186">
        <v>24</v>
      </c>
      <c r="E315" s="1186"/>
      <c r="F315" s="1186"/>
    </row>
    <row r="316" spans="1:6" x14ac:dyDescent="0.2">
      <c r="A316" s="1186" t="s">
        <v>61</v>
      </c>
      <c r="B316" s="1186" t="s">
        <v>621</v>
      </c>
      <c r="C316" s="1186" t="s">
        <v>44</v>
      </c>
      <c r="D316" s="1186">
        <v>212</v>
      </c>
      <c r="E316" s="1186">
        <v>1</v>
      </c>
      <c r="F316" s="1186">
        <v>20</v>
      </c>
    </row>
    <row r="317" spans="1:6" x14ac:dyDescent="0.2">
      <c r="A317" s="1186" t="s">
        <v>61</v>
      </c>
      <c r="B317" s="1186" t="s">
        <v>621</v>
      </c>
      <c r="C317" s="1186" t="s">
        <v>45</v>
      </c>
      <c r="D317" s="1186">
        <v>292</v>
      </c>
      <c r="E317" s="1186">
        <v>1</v>
      </c>
      <c r="F317" s="1186">
        <v>42</v>
      </c>
    </row>
    <row r="318" spans="1:6" x14ac:dyDescent="0.2">
      <c r="A318" s="1186" t="s">
        <v>61</v>
      </c>
      <c r="B318" s="1186" t="s">
        <v>621</v>
      </c>
      <c r="C318" s="1186" t="s">
        <v>46</v>
      </c>
      <c r="D318" s="1186">
        <v>165</v>
      </c>
      <c r="E318" s="1186">
        <v>1</v>
      </c>
      <c r="F318" s="1186">
        <v>18</v>
      </c>
    </row>
    <row r="319" spans="1:6" x14ac:dyDescent="0.2">
      <c r="A319" s="1186" t="s">
        <v>61</v>
      </c>
      <c r="B319" s="1186" t="s">
        <v>621</v>
      </c>
      <c r="C319" s="1186" t="s">
        <v>47</v>
      </c>
      <c r="D319" s="1186">
        <v>17</v>
      </c>
      <c r="E319" s="1186">
        <v>1</v>
      </c>
      <c r="F319" s="1186"/>
    </row>
    <row r="320" spans="1:6" x14ac:dyDescent="0.2">
      <c r="A320" s="1186" t="s">
        <v>61</v>
      </c>
      <c r="B320" s="1186" t="s">
        <v>621</v>
      </c>
      <c r="C320" s="1186" t="s">
        <v>48</v>
      </c>
      <c r="D320" s="1186">
        <v>152</v>
      </c>
      <c r="E320" s="1186">
        <v>1</v>
      </c>
      <c r="F320" s="1186">
        <v>17</v>
      </c>
    </row>
    <row r="321" spans="1:6" x14ac:dyDescent="0.2">
      <c r="A321" s="1186" t="s">
        <v>61</v>
      </c>
      <c r="B321" s="1186" t="s">
        <v>621</v>
      </c>
      <c r="C321" s="1186" t="s">
        <v>49</v>
      </c>
      <c r="D321" s="1186">
        <v>395</v>
      </c>
      <c r="E321" s="1186"/>
      <c r="F321" s="1186">
        <v>64</v>
      </c>
    </row>
    <row r="322" spans="1:6" x14ac:dyDescent="0.2">
      <c r="A322" s="1186" t="s">
        <v>61</v>
      </c>
      <c r="B322" s="1186" t="s">
        <v>621</v>
      </c>
      <c r="C322" s="1186" t="s">
        <v>50</v>
      </c>
      <c r="D322" s="1186">
        <v>123</v>
      </c>
      <c r="E322" s="1186">
        <v>2</v>
      </c>
      <c r="F322" s="1186">
        <v>4</v>
      </c>
    </row>
    <row r="323" spans="1:6" x14ac:dyDescent="0.2">
      <c r="A323" s="1186" t="s">
        <v>61</v>
      </c>
      <c r="B323" s="1186" t="s">
        <v>621</v>
      </c>
      <c r="C323" s="1186" t="s">
        <v>51</v>
      </c>
      <c r="D323" s="1186">
        <v>183</v>
      </c>
      <c r="E323" s="1186">
        <v>1</v>
      </c>
      <c r="F323" s="1186">
        <v>11</v>
      </c>
    </row>
    <row r="324" spans="1:6" x14ac:dyDescent="0.2">
      <c r="A324" s="1186" t="s">
        <v>61</v>
      </c>
      <c r="B324" s="1186" t="s">
        <v>621</v>
      </c>
      <c r="C324" s="1186" t="s">
        <v>52</v>
      </c>
      <c r="D324" s="1186">
        <v>259</v>
      </c>
      <c r="E324" s="1186">
        <v>1</v>
      </c>
      <c r="F324" s="1186">
        <v>28</v>
      </c>
    </row>
    <row r="325" spans="1:6" x14ac:dyDescent="0.2">
      <c r="A325" s="1186" t="s">
        <v>61</v>
      </c>
      <c r="B325" s="1186" t="s">
        <v>1419</v>
      </c>
      <c r="C325" s="1186" t="s">
        <v>23</v>
      </c>
      <c r="D325" s="1186">
        <v>380</v>
      </c>
      <c r="E325" s="1186"/>
      <c r="F325" s="1186">
        <v>45</v>
      </c>
    </row>
    <row r="326" spans="1:6" x14ac:dyDescent="0.2">
      <c r="A326" s="1186" t="s">
        <v>61</v>
      </c>
      <c r="B326" s="1186" t="s">
        <v>1419</v>
      </c>
      <c r="C326" s="1186" t="s">
        <v>24</v>
      </c>
      <c r="D326" s="1186">
        <v>323</v>
      </c>
      <c r="E326" s="1186">
        <v>2</v>
      </c>
      <c r="F326" s="1186">
        <v>31</v>
      </c>
    </row>
    <row r="327" spans="1:6" x14ac:dyDescent="0.2">
      <c r="A327" s="1186" t="s">
        <v>61</v>
      </c>
      <c r="B327" s="1186" t="s">
        <v>1419</v>
      </c>
      <c r="C327" s="1186" t="s">
        <v>25</v>
      </c>
      <c r="D327" s="1186">
        <v>142</v>
      </c>
      <c r="E327" s="1186"/>
      <c r="F327" s="1186">
        <v>12</v>
      </c>
    </row>
    <row r="328" spans="1:6" x14ac:dyDescent="0.2">
      <c r="A328" s="1186" t="s">
        <v>61</v>
      </c>
      <c r="B328" s="1186" t="s">
        <v>1419</v>
      </c>
      <c r="C328" s="1186" t="s">
        <v>26</v>
      </c>
      <c r="D328" s="1186">
        <v>149</v>
      </c>
      <c r="E328" s="1186">
        <v>1</v>
      </c>
      <c r="F328" s="1186">
        <v>14</v>
      </c>
    </row>
    <row r="329" spans="1:6" x14ac:dyDescent="0.2">
      <c r="A329" s="1186" t="s">
        <v>61</v>
      </c>
      <c r="B329" s="1186" t="s">
        <v>1419</v>
      </c>
      <c r="C329" s="1186" t="s">
        <v>619</v>
      </c>
      <c r="D329" s="1186">
        <v>693</v>
      </c>
      <c r="E329" s="1186">
        <v>1</v>
      </c>
      <c r="F329" s="1186">
        <v>90</v>
      </c>
    </row>
    <row r="330" spans="1:6" x14ac:dyDescent="0.2">
      <c r="A330" s="1186" t="s">
        <v>61</v>
      </c>
      <c r="B330" s="1186" t="s">
        <v>1419</v>
      </c>
      <c r="C330" s="1186" t="s">
        <v>27</v>
      </c>
      <c r="D330" s="1186">
        <v>62</v>
      </c>
      <c r="E330" s="1186"/>
      <c r="F330" s="1186">
        <v>8</v>
      </c>
    </row>
    <row r="331" spans="1:6" x14ac:dyDescent="0.2">
      <c r="A331" s="1186" t="s">
        <v>61</v>
      </c>
      <c r="B331" s="1186" t="s">
        <v>1419</v>
      </c>
      <c r="C331" s="1186" t="s">
        <v>28</v>
      </c>
      <c r="D331" s="1186">
        <v>199</v>
      </c>
      <c r="E331" s="1186"/>
      <c r="F331" s="1186">
        <v>8</v>
      </c>
    </row>
    <row r="332" spans="1:6" x14ac:dyDescent="0.2">
      <c r="A332" s="1186" t="s">
        <v>61</v>
      </c>
      <c r="B332" s="1186" t="s">
        <v>1419</v>
      </c>
      <c r="C332" s="1186" t="s">
        <v>29</v>
      </c>
      <c r="D332" s="1186">
        <v>261</v>
      </c>
      <c r="E332" s="1186"/>
      <c r="F332" s="1186">
        <v>25</v>
      </c>
    </row>
    <row r="333" spans="1:6" x14ac:dyDescent="0.2">
      <c r="A333" s="1186" t="s">
        <v>61</v>
      </c>
      <c r="B333" s="1186" t="s">
        <v>1419</v>
      </c>
      <c r="C333" s="1186" t="s">
        <v>30</v>
      </c>
      <c r="D333" s="1186">
        <v>144</v>
      </c>
      <c r="E333" s="1186">
        <v>1</v>
      </c>
      <c r="F333" s="1186">
        <v>14</v>
      </c>
    </row>
    <row r="334" spans="1:6" x14ac:dyDescent="0.2">
      <c r="A334" s="1186" t="s">
        <v>61</v>
      </c>
      <c r="B334" s="1186" t="s">
        <v>1419</v>
      </c>
      <c r="C334" s="1186" t="s">
        <v>31</v>
      </c>
      <c r="D334" s="1186">
        <v>106</v>
      </c>
      <c r="E334" s="1186"/>
      <c r="F334" s="1186">
        <v>14</v>
      </c>
    </row>
    <row r="335" spans="1:6" x14ac:dyDescent="0.2">
      <c r="A335" s="1186" t="s">
        <v>61</v>
      </c>
      <c r="B335" s="1186" t="s">
        <v>1419</v>
      </c>
      <c r="C335" s="1186" t="s">
        <v>32</v>
      </c>
      <c r="D335" s="1186">
        <v>104</v>
      </c>
      <c r="E335" s="1186"/>
      <c r="F335" s="1186">
        <v>7</v>
      </c>
    </row>
    <row r="336" spans="1:6" x14ac:dyDescent="0.2">
      <c r="A336" s="1186" t="s">
        <v>61</v>
      </c>
      <c r="B336" s="1186" t="s">
        <v>1419</v>
      </c>
      <c r="C336" s="1186" t="s">
        <v>33</v>
      </c>
      <c r="D336" s="1186">
        <v>100</v>
      </c>
      <c r="E336" s="1186"/>
      <c r="F336" s="1186">
        <v>12</v>
      </c>
    </row>
    <row r="337" spans="1:6" x14ac:dyDescent="0.2">
      <c r="A337" s="1186" t="s">
        <v>61</v>
      </c>
      <c r="B337" s="1186" t="s">
        <v>1419</v>
      </c>
      <c r="C337" s="1186" t="s">
        <v>34</v>
      </c>
      <c r="D337" s="1186">
        <v>216</v>
      </c>
      <c r="E337" s="1186">
        <v>2</v>
      </c>
      <c r="F337" s="1186">
        <v>15</v>
      </c>
    </row>
    <row r="338" spans="1:6" x14ac:dyDescent="0.2">
      <c r="A338" s="1186" t="s">
        <v>61</v>
      </c>
      <c r="B338" s="1186" t="s">
        <v>1419</v>
      </c>
      <c r="C338" s="1186" t="s">
        <v>35</v>
      </c>
      <c r="D338" s="1186">
        <v>386</v>
      </c>
      <c r="E338" s="1186">
        <v>1</v>
      </c>
      <c r="F338" s="1186">
        <v>38</v>
      </c>
    </row>
    <row r="339" spans="1:6" x14ac:dyDescent="0.2">
      <c r="A339" s="1186" t="s">
        <v>61</v>
      </c>
      <c r="B339" s="1186" t="s">
        <v>1419</v>
      </c>
      <c r="C339" s="1186" t="s">
        <v>36</v>
      </c>
      <c r="D339" s="1186">
        <v>1150</v>
      </c>
      <c r="E339" s="1186">
        <v>3</v>
      </c>
      <c r="F339" s="1186">
        <v>133</v>
      </c>
    </row>
    <row r="340" spans="1:6" x14ac:dyDescent="0.2">
      <c r="A340" s="1186" t="s">
        <v>61</v>
      </c>
      <c r="B340" s="1186" t="s">
        <v>1419</v>
      </c>
      <c r="C340" s="1186" t="s">
        <v>37</v>
      </c>
      <c r="D340" s="1186">
        <v>287</v>
      </c>
      <c r="E340" s="1186"/>
      <c r="F340" s="1186">
        <v>33</v>
      </c>
    </row>
    <row r="341" spans="1:6" x14ac:dyDescent="0.2">
      <c r="A341" s="1186" t="s">
        <v>61</v>
      </c>
      <c r="B341" s="1186" t="s">
        <v>1419</v>
      </c>
      <c r="C341" s="1186" t="s">
        <v>38</v>
      </c>
      <c r="D341" s="1186">
        <v>104</v>
      </c>
      <c r="E341" s="1186"/>
      <c r="F341" s="1186">
        <v>21</v>
      </c>
    </row>
    <row r="342" spans="1:6" x14ac:dyDescent="0.2">
      <c r="A342" s="1186" t="s">
        <v>61</v>
      </c>
      <c r="B342" s="1186" t="s">
        <v>1419</v>
      </c>
      <c r="C342" s="1186" t="s">
        <v>39</v>
      </c>
      <c r="D342" s="1186">
        <v>110</v>
      </c>
      <c r="E342" s="1186"/>
      <c r="F342" s="1186">
        <v>10</v>
      </c>
    </row>
    <row r="343" spans="1:6" x14ac:dyDescent="0.2">
      <c r="A343" s="1186" t="s">
        <v>61</v>
      </c>
      <c r="B343" s="1186" t="s">
        <v>1419</v>
      </c>
      <c r="C343" s="1186" t="s">
        <v>40</v>
      </c>
      <c r="D343" s="1186">
        <v>135</v>
      </c>
      <c r="E343" s="1186"/>
      <c r="F343" s="1186">
        <v>20</v>
      </c>
    </row>
    <row r="344" spans="1:6" x14ac:dyDescent="0.2">
      <c r="A344" s="1186" t="s">
        <v>61</v>
      </c>
      <c r="B344" s="1186" t="s">
        <v>1419</v>
      </c>
      <c r="C344" s="1186" t="s">
        <v>295</v>
      </c>
      <c r="D344" s="1186">
        <v>36</v>
      </c>
      <c r="E344" s="1186"/>
      <c r="F344" s="1186">
        <v>9</v>
      </c>
    </row>
    <row r="345" spans="1:6" x14ac:dyDescent="0.2">
      <c r="A345" s="1186" t="s">
        <v>61</v>
      </c>
      <c r="B345" s="1186" t="s">
        <v>1419</v>
      </c>
      <c r="C345" s="1186" t="s">
        <v>41</v>
      </c>
      <c r="D345" s="1186">
        <v>215</v>
      </c>
      <c r="E345" s="1186">
        <v>1</v>
      </c>
      <c r="F345" s="1186">
        <v>18</v>
      </c>
    </row>
    <row r="346" spans="1:6" x14ac:dyDescent="0.2">
      <c r="A346" s="1186" t="s">
        <v>61</v>
      </c>
      <c r="B346" s="1186" t="s">
        <v>1419</v>
      </c>
      <c r="C346" s="1186" t="s">
        <v>42</v>
      </c>
      <c r="D346" s="1186">
        <v>401</v>
      </c>
      <c r="E346" s="1186">
        <v>5</v>
      </c>
      <c r="F346" s="1186">
        <v>58</v>
      </c>
    </row>
    <row r="347" spans="1:6" x14ac:dyDescent="0.2">
      <c r="A347" s="1186" t="s">
        <v>61</v>
      </c>
      <c r="B347" s="1186" t="s">
        <v>1419</v>
      </c>
      <c r="C347" s="1186" t="s">
        <v>43</v>
      </c>
      <c r="D347" s="1186">
        <v>34</v>
      </c>
      <c r="E347" s="1186">
        <v>1</v>
      </c>
      <c r="F347" s="1186">
        <v>2</v>
      </c>
    </row>
    <row r="348" spans="1:6" x14ac:dyDescent="0.2">
      <c r="A348" s="1186" t="s">
        <v>61</v>
      </c>
      <c r="B348" s="1186" t="s">
        <v>1419</v>
      </c>
      <c r="C348" s="1186" t="s">
        <v>44</v>
      </c>
      <c r="D348" s="1186">
        <v>221</v>
      </c>
      <c r="E348" s="1186"/>
      <c r="F348" s="1186">
        <v>35</v>
      </c>
    </row>
    <row r="349" spans="1:6" x14ac:dyDescent="0.2">
      <c r="A349" s="1186" t="s">
        <v>61</v>
      </c>
      <c r="B349" s="1186" t="s">
        <v>1419</v>
      </c>
      <c r="C349" s="1186" t="s">
        <v>45</v>
      </c>
      <c r="D349" s="1186">
        <v>237</v>
      </c>
      <c r="E349" s="1186"/>
      <c r="F349" s="1186">
        <v>20</v>
      </c>
    </row>
    <row r="350" spans="1:6" x14ac:dyDescent="0.2">
      <c r="A350" s="1186" t="s">
        <v>61</v>
      </c>
      <c r="B350" s="1186" t="s">
        <v>1419</v>
      </c>
      <c r="C350" s="1186" t="s">
        <v>46</v>
      </c>
      <c r="D350" s="1186">
        <v>169</v>
      </c>
      <c r="E350" s="1186"/>
      <c r="F350" s="1186">
        <v>29</v>
      </c>
    </row>
    <row r="351" spans="1:6" x14ac:dyDescent="0.2">
      <c r="A351" s="1186" t="s">
        <v>61</v>
      </c>
      <c r="B351" s="1186" t="s">
        <v>1419</v>
      </c>
      <c r="C351" s="1186" t="s">
        <v>47</v>
      </c>
      <c r="D351" s="1186">
        <v>27</v>
      </c>
      <c r="E351" s="1186">
        <v>1</v>
      </c>
      <c r="F351" s="1186">
        <v>5</v>
      </c>
    </row>
    <row r="352" spans="1:6" x14ac:dyDescent="0.2">
      <c r="A352" s="1186" t="s">
        <v>61</v>
      </c>
      <c r="B352" s="1186" t="s">
        <v>1419</v>
      </c>
      <c r="C352" s="1186" t="s">
        <v>48</v>
      </c>
      <c r="D352" s="1186">
        <v>158</v>
      </c>
      <c r="E352" s="1186">
        <v>1</v>
      </c>
      <c r="F352" s="1186">
        <v>19</v>
      </c>
    </row>
    <row r="353" spans="1:6" x14ac:dyDescent="0.2">
      <c r="A353" s="1186" t="s">
        <v>61</v>
      </c>
      <c r="B353" s="1186" t="s">
        <v>1419</v>
      </c>
      <c r="C353" s="1186" t="s">
        <v>49</v>
      </c>
      <c r="D353" s="1186">
        <v>376</v>
      </c>
      <c r="E353" s="1186">
        <v>2</v>
      </c>
      <c r="F353" s="1186">
        <v>57</v>
      </c>
    </row>
    <row r="354" spans="1:6" x14ac:dyDescent="0.2">
      <c r="A354" s="1186" t="s">
        <v>61</v>
      </c>
      <c r="B354" s="1186" t="s">
        <v>1419</v>
      </c>
      <c r="C354" s="1186" t="s">
        <v>50</v>
      </c>
      <c r="D354" s="1186">
        <v>125</v>
      </c>
      <c r="E354" s="1186">
        <v>1</v>
      </c>
      <c r="F354" s="1186">
        <v>8</v>
      </c>
    </row>
    <row r="355" spans="1:6" x14ac:dyDescent="0.2">
      <c r="A355" s="1186" t="s">
        <v>61</v>
      </c>
      <c r="B355" s="1186" t="s">
        <v>1419</v>
      </c>
      <c r="C355" s="1186" t="s">
        <v>51</v>
      </c>
      <c r="D355" s="1186">
        <v>158</v>
      </c>
      <c r="E355" s="1186"/>
      <c r="F355" s="1186">
        <v>22</v>
      </c>
    </row>
    <row r="356" spans="1:6" x14ac:dyDescent="0.2">
      <c r="A356" s="1186" t="s">
        <v>61</v>
      </c>
      <c r="B356" s="1186" t="s">
        <v>1419</v>
      </c>
      <c r="C356" s="1186" t="s">
        <v>52</v>
      </c>
      <c r="D356" s="1186">
        <v>200</v>
      </c>
      <c r="E356" s="1186">
        <v>2</v>
      </c>
      <c r="F356" s="1186">
        <v>28</v>
      </c>
    </row>
    <row r="357" spans="1:6" x14ac:dyDescent="0.2">
      <c r="A357" s="1186" t="s">
        <v>61</v>
      </c>
      <c r="B357" s="1186" t="s">
        <v>1419</v>
      </c>
      <c r="C357" s="1186" t="s">
        <v>1521</v>
      </c>
      <c r="D357" s="1186">
        <v>1</v>
      </c>
      <c r="E357" s="1186"/>
      <c r="F357" s="1186"/>
    </row>
    <row r="358" spans="1:6" x14ac:dyDescent="0.2">
      <c r="A358" s="1186" t="s">
        <v>61</v>
      </c>
      <c r="B358" s="1186" t="s">
        <v>1572</v>
      </c>
      <c r="C358" s="1186" t="s">
        <v>23</v>
      </c>
      <c r="D358" s="1186">
        <v>330</v>
      </c>
      <c r="E358" s="1186">
        <v>3</v>
      </c>
      <c r="F358" s="1186">
        <v>26</v>
      </c>
    </row>
    <row r="359" spans="1:6" x14ac:dyDescent="0.2">
      <c r="A359" s="1186" t="s">
        <v>61</v>
      </c>
      <c r="B359" s="1186" t="s">
        <v>1572</v>
      </c>
      <c r="C359" s="1186" t="s">
        <v>24</v>
      </c>
      <c r="D359" s="1186">
        <v>330</v>
      </c>
      <c r="E359" s="1186">
        <v>1</v>
      </c>
      <c r="F359" s="1186">
        <v>23</v>
      </c>
    </row>
    <row r="360" spans="1:6" x14ac:dyDescent="0.2">
      <c r="A360" s="1186" t="s">
        <v>61</v>
      </c>
      <c r="B360" s="1186" t="s">
        <v>1572</v>
      </c>
      <c r="C360" s="1186" t="s">
        <v>25</v>
      </c>
      <c r="D360" s="1186">
        <v>130</v>
      </c>
      <c r="E360" s="1186"/>
      <c r="F360" s="1186">
        <v>20</v>
      </c>
    </row>
    <row r="361" spans="1:6" x14ac:dyDescent="0.2">
      <c r="A361" s="1186" t="s">
        <v>61</v>
      </c>
      <c r="B361" s="1186" t="s">
        <v>1572</v>
      </c>
      <c r="C361" s="1186" t="s">
        <v>26</v>
      </c>
      <c r="D361" s="1186">
        <v>145</v>
      </c>
      <c r="E361" s="1186">
        <v>1</v>
      </c>
      <c r="F361" s="1186">
        <v>10</v>
      </c>
    </row>
    <row r="362" spans="1:6" x14ac:dyDescent="0.2">
      <c r="A362" s="1186" t="s">
        <v>61</v>
      </c>
      <c r="B362" s="1186" t="s">
        <v>1572</v>
      </c>
      <c r="C362" s="1186" t="s">
        <v>619</v>
      </c>
      <c r="D362" s="1186">
        <v>579</v>
      </c>
      <c r="E362" s="1186">
        <v>2</v>
      </c>
      <c r="F362" s="1186">
        <v>60</v>
      </c>
    </row>
    <row r="363" spans="1:6" x14ac:dyDescent="0.2">
      <c r="A363" s="1186" t="s">
        <v>61</v>
      </c>
      <c r="B363" s="1186" t="s">
        <v>1572</v>
      </c>
      <c r="C363" s="1186" t="s">
        <v>27</v>
      </c>
      <c r="D363" s="1186">
        <v>73</v>
      </c>
      <c r="E363" s="1186">
        <v>2</v>
      </c>
      <c r="F363" s="1186">
        <v>19</v>
      </c>
    </row>
    <row r="364" spans="1:6" x14ac:dyDescent="0.2">
      <c r="A364" s="1186" t="s">
        <v>61</v>
      </c>
      <c r="B364" s="1186" t="s">
        <v>1572</v>
      </c>
      <c r="C364" s="1186" t="s">
        <v>28</v>
      </c>
      <c r="D364" s="1186">
        <v>164</v>
      </c>
      <c r="E364" s="1186">
        <v>1</v>
      </c>
      <c r="F364" s="1186">
        <v>5</v>
      </c>
    </row>
    <row r="365" spans="1:6" x14ac:dyDescent="0.2">
      <c r="A365" s="1186" t="s">
        <v>61</v>
      </c>
      <c r="B365" s="1186" t="s">
        <v>1572</v>
      </c>
      <c r="C365" s="1186" t="s">
        <v>29</v>
      </c>
      <c r="D365" s="1186">
        <v>261</v>
      </c>
      <c r="E365" s="1186">
        <v>3</v>
      </c>
      <c r="F365" s="1186">
        <v>32</v>
      </c>
    </row>
    <row r="366" spans="1:6" x14ac:dyDescent="0.2">
      <c r="A366" s="1186" t="s">
        <v>61</v>
      </c>
      <c r="B366" s="1186" t="s">
        <v>1572</v>
      </c>
      <c r="C366" s="1186" t="s">
        <v>30</v>
      </c>
      <c r="D366" s="1186">
        <v>155</v>
      </c>
      <c r="E366" s="1186">
        <v>2</v>
      </c>
      <c r="F366" s="1186">
        <v>22</v>
      </c>
    </row>
    <row r="367" spans="1:6" x14ac:dyDescent="0.2">
      <c r="A367" s="1186" t="s">
        <v>61</v>
      </c>
      <c r="B367" s="1186" t="s">
        <v>1572</v>
      </c>
      <c r="C367" s="1186" t="s">
        <v>31</v>
      </c>
      <c r="D367" s="1186">
        <v>96</v>
      </c>
      <c r="E367" s="1186">
        <v>1</v>
      </c>
      <c r="F367" s="1186">
        <v>7</v>
      </c>
    </row>
    <row r="368" spans="1:6" x14ac:dyDescent="0.2">
      <c r="A368" s="1186" t="s">
        <v>61</v>
      </c>
      <c r="B368" s="1186" t="s">
        <v>1572</v>
      </c>
      <c r="C368" s="1186" t="s">
        <v>32</v>
      </c>
      <c r="D368" s="1186">
        <v>108</v>
      </c>
      <c r="E368" s="1186">
        <v>1</v>
      </c>
      <c r="F368" s="1186">
        <v>7</v>
      </c>
    </row>
    <row r="369" spans="1:6" x14ac:dyDescent="0.2">
      <c r="A369" s="1186" t="s">
        <v>61</v>
      </c>
      <c r="B369" s="1186" t="s">
        <v>1572</v>
      </c>
      <c r="C369" s="1186" t="s">
        <v>33</v>
      </c>
      <c r="D369" s="1186">
        <v>65</v>
      </c>
      <c r="E369" s="1186"/>
      <c r="F369" s="1186">
        <v>5</v>
      </c>
    </row>
    <row r="370" spans="1:6" x14ac:dyDescent="0.2">
      <c r="A370" s="1186" t="s">
        <v>61</v>
      </c>
      <c r="B370" s="1186" t="s">
        <v>1572</v>
      </c>
      <c r="C370" s="1186" t="s">
        <v>34</v>
      </c>
      <c r="D370" s="1186">
        <v>203</v>
      </c>
      <c r="E370" s="1186"/>
      <c r="F370" s="1186">
        <v>34</v>
      </c>
    </row>
    <row r="371" spans="1:6" x14ac:dyDescent="0.2">
      <c r="A371" s="1186" t="s">
        <v>61</v>
      </c>
      <c r="B371" s="1186" t="s">
        <v>1572</v>
      </c>
      <c r="C371" s="1186" t="s">
        <v>35</v>
      </c>
      <c r="D371" s="1186">
        <v>419</v>
      </c>
      <c r="E371" s="1186">
        <v>2</v>
      </c>
      <c r="F371" s="1186">
        <v>47</v>
      </c>
    </row>
    <row r="372" spans="1:6" x14ac:dyDescent="0.2">
      <c r="A372" s="1186" t="s">
        <v>61</v>
      </c>
      <c r="B372" s="1186" t="s">
        <v>1572</v>
      </c>
      <c r="C372" s="1186" t="s">
        <v>36</v>
      </c>
      <c r="D372" s="1186">
        <v>991</v>
      </c>
      <c r="E372" s="1186">
        <v>9</v>
      </c>
      <c r="F372" s="1186">
        <v>157</v>
      </c>
    </row>
    <row r="373" spans="1:6" x14ac:dyDescent="0.2">
      <c r="A373" s="1186" t="s">
        <v>61</v>
      </c>
      <c r="B373" s="1186" t="s">
        <v>1572</v>
      </c>
      <c r="C373" s="1186" t="s">
        <v>37</v>
      </c>
      <c r="D373" s="1186">
        <v>337</v>
      </c>
      <c r="E373" s="1186">
        <v>1</v>
      </c>
      <c r="F373" s="1186">
        <v>24</v>
      </c>
    </row>
    <row r="374" spans="1:6" x14ac:dyDescent="0.2">
      <c r="A374" s="1186" t="s">
        <v>61</v>
      </c>
      <c r="B374" s="1186" t="s">
        <v>1572</v>
      </c>
      <c r="C374" s="1186" t="s">
        <v>38</v>
      </c>
      <c r="D374" s="1186">
        <v>111</v>
      </c>
      <c r="E374" s="1186">
        <v>1</v>
      </c>
      <c r="F374" s="1186">
        <v>24</v>
      </c>
    </row>
    <row r="375" spans="1:6" x14ac:dyDescent="0.2">
      <c r="A375" s="1186" t="s">
        <v>61</v>
      </c>
      <c r="B375" s="1186" t="s">
        <v>1572</v>
      </c>
      <c r="C375" s="1186" t="s">
        <v>39</v>
      </c>
      <c r="D375" s="1186">
        <v>118</v>
      </c>
      <c r="E375" s="1186">
        <v>2</v>
      </c>
      <c r="F375" s="1186">
        <v>11</v>
      </c>
    </row>
    <row r="376" spans="1:6" x14ac:dyDescent="0.2">
      <c r="A376" s="1186" t="s">
        <v>61</v>
      </c>
      <c r="B376" s="1186" t="s">
        <v>1572</v>
      </c>
      <c r="C376" s="1186" t="s">
        <v>40</v>
      </c>
      <c r="D376" s="1186">
        <v>113</v>
      </c>
      <c r="E376" s="1186">
        <v>1</v>
      </c>
      <c r="F376" s="1186">
        <v>10</v>
      </c>
    </row>
    <row r="377" spans="1:6" x14ac:dyDescent="0.2">
      <c r="A377" s="1186" t="s">
        <v>61</v>
      </c>
      <c r="B377" s="1186" t="s">
        <v>1572</v>
      </c>
      <c r="C377" s="1186" t="s">
        <v>295</v>
      </c>
      <c r="D377" s="1186">
        <v>39</v>
      </c>
      <c r="E377" s="1186"/>
      <c r="F377" s="1186">
        <v>4</v>
      </c>
    </row>
    <row r="378" spans="1:6" x14ac:dyDescent="0.2">
      <c r="A378" s="1186" t="s">
        <v>61</v>
      </c>
      <c r="B378" s="1186" t="s">
        <v>1572</v>
      </c>
      <c r="C378" s="1186" t="s">
        <v>41</v>
      </c>
      <c r="D378" s="1186">
        <v>193</v>
      </c>
      <c r="E378" s="1186"/>
      <c r="F378" s="1186">
        <v>34</v>
      </c>
    </row>
    <row r="379" spans="1:6" x14ac:dyDescent="0.2">
      <c r="A379" s="1186" t="s">
        <v>61</v>
      </c>
      <c r="B379" s="1186" t="s">
        <v>1572</v>
      </c>
      <c r="C379" s="1186" t="s">
        <v>42</v>
      </c>
      <c r="D379" s="1186">
        <v>472</v>
      </c>
      <c r="E379" s="1186">
        <v>1</v>
      </c>
      <c r="F379" s="1186">
        <v>70</v>
      </c>
    </row>
    <row r="380" spans="1:6" x14ac:dyDescent="0.2">
      <c r="A380" s="1186" t="s">
        <v>61</v>
      </c>
      <c r="B380" s="1186" t="s">
        <v>1572</v>
      </c>
      <c r="C380" s="1186" t="s">
        <v>43</v>
      </c>
      <c r="D380" s="1186">
        <v>17</v>
      </c>
      <c r="E380" s="1186"/>
      <c r="F380" s="1186">
        <v>1</v>
      </c>
    </row>
    <row r="381" spans="1:6" x14ac:dyDescent="0.2">
      <c r="A381" s="1186" t="s">
        <v>61</v>
      </c>
      <c r="B381" s="1186" t="s">
        <v>1572</v>
      </c>
      <c r="C381" s="1186" t="s">
        <v>44</v>
      </c>
      <c r="D381" s="1186">
        <v>201</v>
      </c>
      <c r="E381" s="1186"/>
      <c r="F381" s="1186">
        <v>27</v>
      </c>
    </row>
    <row r="382" spans="1:6" x14ac:dyDescent="0.2">
      <c r="A382" s="1186" t="s">
        <v>61</v>
      </c>
      <c r="B382" s="1186" t="s">
        <v>1572</v>
      </c>
      <c r="C382" s="1186" t="s">
        <v>45</v>
      </c>
      <c r="D382" s="1186">
        <v>217</v>
      </c>
      <c r="E382" s="1186"/>
      <c r="F382" s="1186">
        <v>37</v>
      </c>
    </row>
    <row r="383" spans="1:6" x14ac:dyDescent="0.2">
      <c r="A383" s="1186" t="s">
        <v>61</v>
      </c>
      <c r="B383" s="1186" t="s">
        <v>1572</v>
      </c>
      <c r="C383" s="1186" t="s">
        <v>46</v>
      </c>
      <c r="D383" s="1186">
        <v>155</v>
      </c>
      <c r="E383" s="1186">
        <v>2</v>
      </c>
      <c r="F383" s="1186">
        <v>15</v>
      </c>
    </row>
    <row r="384" spans="1:6" x14ac:dyDescent="0.2">
      <c r="A384" s="1186" t="s">
        <v>61</v>
      </c>
      <c r="B384" s="1186" t="s">
        <v>1572</v>
      </c>
      <c r="C384" s="1186" t="s">
        <v>47</v>
      </c>
      <c r="D384" s="1186">
        <v>51</v>
      </c>
      <c r="E384" s="1186">
        <v>1</v>
      </c>
      <c r="F384" s="1186">
        <v>3</v>
      </c>
    </row>
    <row r="385" spans="1:6" x14ac:dyDescent="0.2">
      <c r="A385" s="1186" t="s">
        <v>61</v>
      </c>
      <c r="B385" s="1186" t="s">
        <v>1572</v>
      </c>
      <c r="C385" s="1186" t="s">
        <v>48</v>
      </c>
      <c r="D385" s="1186">
        <v>128</v>
      </c>
      <c r="E385" s="1186">
        <v>1</v>
      </c>
      <c r="F385" s="1186">
        <v>20</v>
      </c>
    </row>
    <row r="386" spans="1:6" x14ac:dyDescent="0.2">
      <c r="A386" s="1186" t="s">
        <v>61</v>
      </c>
      <c r="B386" s="1186" t="s">
        <v>1572</v>
      </c>
      <c r="C386" s="1186" t="s">
        <v>49</v>
      </c>
      <c r="D386" s="1186">
        <v>368</v>
      </c>
      <c r="E386" s="1186">
        <v>2</v>
      </c>
      <c r="F386" s="1186">
        <v>54</v>
      </c>
    </row>
    <row r="387" spans="1:6" x14ac:dyDescent="0.2">
      <c r="A387" s="1186" t="s">
        <v>61</v>
      </c>
      <c r="B387" s="1186" t="s">
        <v>1572</v>
      </c>
      <c r="C387" s="1186" t="s">
        <v>50</v>
      </c>
      <c r="D387" s="1186">
        <v>117</v>
      </c>
      <c r="E387" s="1186"/>
      <c r="F387" s="1186">
        <v>8</v>
      </c>
    </row>
    <row r="388" spans="1:6" x14ac:dyDescent="0.2">
      <c r="A388" s="1186" t="s">
        <v>61</v>
      </c>
      <c r="B388" s="1186" t="s">
        <v>1572</v>
      </c>
      <c r="C388" s="1186" t="s">
        <v>51</v>
      </c>
      <c r="D388" s="1186">
        <v>138</v>
      </c>
      <c r="E388" s="1186">
        <v>1</v>
      </c>
      <c r="F388" s="1186">
        <v>20</v>
      </c>
    </row>
    <row r="389" spans="1:6" x14ac:dyDescent="0.2">
      <c r="A389" s="1186" t="s">
        <v>61</v>
      </c>
      <c r="B389" s="1186" t="s">
        <v>1572</v>
      </c>
      <c r="C389" s="1186" t="s">
        <v>52</v>
      </c>
      <c r="D389" s="1186">
        <v>187</v>
      </c>
      <c r="E389" s="1186">
        <v>2</v>
      </c>
      <c r="F389" s="1186">
        <v>25</v>
      </c>
    </row>
    <row r="390" spans="1:6" x14ac:dyDescent="0.2">
      <c r="A390" s="1186" t="s">
        <v>116</v>
      </c>
      <c r="B390" s="1186" t="s">
        <v>19</v>
      </c>
      <c r="C390" s="1186" t="s">
        <v>23</v>
      </c>
      <c r="D390" s="1186">
        <v>198</v>
      </c>
      <c r="E390" s="1186"/>
      <c r="F390" s="1186">
        <v>15</v>
      </c>
    </row>
    <row r="391" spans="1:6" x14ac:dyDescent="0.2">
      <c r="A391" s="1186" t="s">
        <v>116</v>
      </c>
      <c r="B391" s="1186" t="s">
        <v>19</v>
      </c>
      <c r="C391" s="1186" t="s">
        <v>24</v>
      </c>
      <c r="D391" s="1186">
        <v>64</v>
      </c>
      <c r="E391" s="1186"/>
      <c r="F391" s="1186">
        <v>6</v>
      </c>
    </row>
    <row r="392" spans="1:6" x14ac:dyDescent="0.2">
      <c r="A392" s="1186" t="s">
        <v>116</v>
      </c>
      <c r="B392" s="1186" t="s">
        <v>19</v>
      </c>
      <c r="C392" s="1186" t="s">
        <v>25</v>
      </c>
      <c r="D392" s="1186">
        <v>25</v>
      </c>
      <c r="E392" s="1186"/>
      <c r="F392" s="1186">
        <v>3</v>
      </c>
    </row>
    <row r="393" spans="1:6" x14ac:dyDescent="0.2">
      <c r="A393" s="1186" t="s">
        <v>116</v>
      </c>
      <c r="B393" s="1186" t="s">
        <v>19</v>
      </c>
      <c r="C393" s="1186" t="s">
        <v>26</v>
      </c>
      <c r="D393" s="1186">
        <v>35</v>
      </c>
      <c r="E393" s="1186"/>
      <c r="F393" s="1186"/>
    </row>
    <row r="394" spans="1:6" x14ac:dyDescent="0.2">
      <c r="A394" s="1186" t="s">
        <v>116</v>
      </c>
      <c r="B394" s="1186" t="s">
        <v>19</v>
      </c>
      <c r="C394" s="1186" t="s">
        <v>619</v>
      </c>
      <c r="D394" s="1186">
        <v>623</v>
      </c>
      <c r="E394" s="1186">
        <v>1</v>
      </c>
      <c r="F394" s="1186">
        <v>39</v>
      </c>
    </row>
    <row r="395" spans="1:6" x14ac:dyDescent="0.2">
      <c r="A395" s="1186" t="s">
        <v>116</v>
      </c>
      <c r="B395" s="1186" t="s">
        <v>19</v>
      </c>
      <c r="C395" s="1186" t="s">
        <v>27</v>
      </c>
      <c r="D395" s="1186">
        <v>42</v>
      </c>
      <c r="E395" s="1186"/>
      <c r="F395" s="1186"/>
    </row>
    <row r="396" spans="1:6" x14ac:dyDescent="0.2">
      <c r="A396" s="1186" t="s">
        <v>116</v>
      </c>
      <c r="B396" s="1186" t="s">
        <v>19</v>
      </c>
      <c r="C396" s="1186" t="s">
        <v>28</v>
      </c>
      <c r="D396" s="1186">
        <v>53</v>
      </c>
      <c r="E396" s="1186"/>
      <c r="F396" s="1186">
        <v>2</v>
      </c>
    </row>
    <row r="397" spans="1:6" x14ac:dyDescent="0.2">
      <c r="A397" s="1186" t="s">
        <v>116</v>
      </c>
      <c r="B397" s="1186" t="s">
        <v>19</v>
      </c>
      <c r="C397" s="1186" t="s">
        <v>29</v>
      </c>
      <c r="D397" s="1186">
        <v>102</v>
      </c>
      <c r="E397" s="1186"/>
      <c r="F397" s="1186">
        <v>6</v>
      </c>
    </row>
    <row r="398" spans="1:6" x14ac:dyDescent="0.2">
      <c r="A398" s="1186" t="s">
        <v>116</v>
      </c>
      <c r="B398" s="1186" t="s">
        <v>19</v>
      </c>
      <c r="C398" s="1186" t="s">
        <v>30</v>
      </c>
      <c r="D398" s="1186">
        <v>118</v>
      </c>
      <c r="E398" s="1186"/>
      <c r="F398" s="1186">
        <v>1</v>
      </c>
    </row>
    <row r="399" spans="1:6" x14ac:dyDescent="0.2">
      <c r="A399" s="1186" t="s">
        <v>116</v>
      </c>
      <c r="B399" s="1186" t="s">
        <v>19</v>
      </c>
      <c r="C399" s="1186" t="s">
        <v>31</v>
      </c>
      <c r="D399" s="1186">
        <v>82</v>
      </c>
      <c r="E399" s="1186"/>
      <c r="F399" s="1186">
        <v>4</v>
      </c>
    </row>
    <row r="400" spans="1:6" x14ac:dyDescent="0.2">
      <c r="A400" s="1186" t="s">
        <v>116</v>
      </c>
      <c r="B400" s="1186" t="s">
        <v>19</v>
      </c>
      <c r="C400" s="1186" t="s">
        <v>32</v>
      </c>
      <c r="D400" s="1186">
        <v>86</v>
      </c>
      <c r="E400" s="1186">
        <v>1</v>
      </c>
      <c r="F400" s="1186">
        <v>6</v>
      </c>
    </row>
    <row r="401" spans="1:6" x14ac:dyDescent="0.2">
      <c r="A401" s="1186" t="s">
        <v>116</v>
      </c>
      <c r="B401" s="1186" t="s">
        <v>19</v>
      </c>
      <c r="C401" s="1186" t="s">
        <v>33</v>
      </c>
      <c r="D401" s="1186">
        <v>64</v>
      </c>
      <c r="E401" s="1186"/>
      <c r="F401" s="1186"/>
    </row>
    <row r="402" spans="1:6" x14ac:dyDescent="0.2">
      <c r="A402" s="1186" t="s">
        <v>116</v>
      </c>
      <c r="B402" s="1186" t="s">
        <v>19</v>
      </c>
      <c r="C402" s="1186" t="s">
        <v>34</v>
      </c>
      <c r="D402" s="1186">
        <v>73</v>
      </c>
      <c r="E402" s="1186"/>
      <c r="F402" s="1186">
        <v>3</v>
      </c>
    </row>
    <row r="403" spans="1:6" x14ac:dyDescent="0.2">
      <c r="A403" s="1186" t="s">
        <v>116</v>
      </c>
      <c r="B403" s="1186" t="s">
        <v>19</v>
      </c>
      <c r="C403" s="1186" t="s">
        <v>35</v>
      </c>
      <c r="D403" s="1186">
        <v>188</v>
      </c>
      <c r="E403" s="1186"/>
      <c r="F403" s="1186">
        <v>6</v>
      </c>
    </row>
    <row r="404" spans="1:6" x14ac:dyDescent="0.2">
      <c r="A404" s="1186" t="s">
        <v>116</v>
      </c>
      <c r="B404" s="1186" t="s">
        <v>19</v>
      </c>
      <c r="C404" s="1186" t="s">
        <v>36</v>
      </c>
      <c r="D404" s="1186">
        <v>846</v>
      </c>
      <c r="E404" s="1186">
        <v>1</v>
      </c>
      <c r="F404" s="1186">
        <v>23</v>
      </c>
    </row>
    <row r="405" spans="1:6" x14ac:dyDescent="0.2">
      <c r="A405" s="1186" t="s">
        <v>116</v>
      </c>
      <c r="B405" s="1186" t="s">
        <v>19</v>
      </c>
      <c r="C405" s="1186" t="s">
        <v>37</v>
      </c>
      <c r="D405" s="1186">
        <v>52</v>
      </c>
      <c r="E405" s="1186"/>
      <c r="F405" s="1186">
        <v>5</v>
      </c>
    </row>
    <row r="406" spans="1:6" x14ac:dyDescent="0.2">
      <c r="A406" s="1186" t="s">
        <v>116</v>
      </c>
      <c r="B406" s="1186" t="s">
        <v>19</v>
      </c>
      <c r="C406" s="1186" t="s">
        <v>38</v>
      </c>
      <c r="D406" s="1186">
        <v>150</v>
      </c>
      <c r="E406" s="1186">
        <v>1</v>
      </c>
      <c r="F406" s="1186">
        <v>16</v>
      </c>
    </row>
    <row r="407" spans="1:6" x14ac:dyDescent="0.2">
      <c r="A407" s="1186" t="s">
        <v>116</v>
      </c>
      <c r="B407" s="1186" t="s">
        <v>19</v>
      </c>
      <c r="C407" s="1186" t="s">
        <v>39</v>
      </c>
      <c r="D407" s="1186">
        <v>81</v>
      </c>
      <c r="E407" s="1186"/>
      <c r="F407" s="1186">
        <v>6</v>
      </c>
    </row>
    <row r="408" spans="1:6" x14ac:dyDescent="0.2">
      <c r="A408" s="1186" t="s">
        <v>116</v>
      </c>
      <c r="B408" s="1186" t="s">
        <v>19</v>
      </c>
      <c r="C408" s="1186" t="s">
        <v>40</v>
      </c>
      <c r="D408" s="1186">
        <v>31</v>
      </c>
      <c r="E408" s="1186"/>
      <c r="F408" s="1186">
        <v>4</v>
      </c>
    </row>
    <row r="409" spans="1:6" x14ac:dyDescent="0.2">
      <c r="A409" s="1186" t="s">
        <v>116</v>
      </c>
      <c r="B409" s="1186" t="s">
        <v>19</v>
      </c>
      <c r="C409" s="1186" t="s">
        <v>295</v>
      </c>
      <c r="D409" s="1186">
        <v>3</v>
      </c>
      <c r="E409" s="1186"/>
      <c r="F409" s="1186"/>
    </row>
    <row r="410" spans="1:6" x14ac:dyDescent="0.2">
      <c r="A410" s="1186" t="s">
        <v>116</v>
      </c>
      <c r="B410" s="1186" t="s">
        <v>19</v>
      </c>
      <c r="C410" s="1186" t="s">
        <v>41</v>
      </c>
      <c r="D410" s="1186">
        <v>117</v>
      </c>
      <c r="E410" s="1186"/>
      <c r="F410" s="1186">
        <v>4</v>
      </c>
    </row>
    <row r="411" spans="1:6" x14ac:dyDescent="0.2">
      <c r="A411" s="1186" t="s">
        <v>116</v>
      </c>
      <c r="B411" s="1186" t="s">
        <v>19</v>
      </c>
      <c r="C411" s="1186" t="s">
        <v>42</v>
      </c>
      <c r="D411" s="1186">
        <v>479</v>
      </c>
      <c r="E411" s="1186">
        <v>1</v>
      </c>
      <c r="F411" s="1186">
        <v>6</v>
      </c>
    </row>
    <row r="412" spans="1:6" x14ac:dyDescent="0.2">
      <c r="A412" s="1186" t="s">
        <v>116</v>
      </c>
      <c r="B412" s="1186" t="s">
        <v>19</v>
      </c>
      <c r="C412" s="1186" t="s">
        <v>43</v>
      </c>
      <c r="D412" s="1186">
        <v>1</v>
      </c>
      <c r="E412" s="1186"/>
      <c r="F412" s="1186"/>
    </row>
    <row r="413" spans="1:6" x14ac:dyDescent="0.2">
      <c r="A413" s="1186" t="s">
        <v>116</v>
      </c>
      <c r="B413" s="1186" t="s">
        <v>19</v>
      </c>
      <c r="C413" s="1186" t="s">
        <v>44</v>
      </c>
      <c r="D413" s="1186">
        <v>38</v>
      </c>
      <c r="E413" s="1186">
        <v>1</v>
      </c>
      <c r="F413" s="1186"/>
    </row>
    <row r="414" spans="1:6" x14ac:dyDescent="0.2">
      <c r="A414" s="1186" t="s">
        <v>116</v>
      </c>
      <c r="B414" s="1186" t="s">
        <v>19</v>
      </c>
      <c r="C414" s="1186" t="s">
        <v>45</v>
      </c>
      <c r="D414" s="1186">
        <v>197</v>
      </c>
      <c r="E414" s="1186">
        <v>1</v>
      </c>
      <c r="F414" s="1186">
        <v>1</v>
      </c>
    </row>
    <row r="415" spans="1:6" x14ac:dyDescent="0.2">
      <c r="A415" s="1186" t="s">
        <v>116</v>
      </c>
      <c r="B415" s="1186" t="s">
        <v>19</v>
      </c>
      <c r="C415" s="1186" t="s">
        <v>46</v>
      </c>
      <c r="D415" s="1186">
        <v>42</v>
      </c>
      <c r="E415" s="1186"/>
      <c r="F415" s="1186">
        <v>2</v>
      </c>
    </row>
    <row r="416" spans="1:6" x14ac:dyDescent="0.2">
      <c r="A416" s="1186" t="s">
        <v>116</v>
      </c>
      <c r="B416" s="1186" t="s">
        <v>19</v>
      </c>
      <c r="C416" s="1186" t="s">
        <v>47</v>
      </c>
      <c r="D416" s="1186">
        <v>2</v>
      </c>
      <c r="E416" s="1186"/>
      <c r="F416" s="1186"/>
    </row>
    <row r="417" spans="1:6" x14ac:dyDescent="0.2">
      <c r="A417" s="1186" t="s">
        <v>116</v>
      </c>
      <c r="B417" s="1186" t="s">
        <v>19</v>
      </c>
      <c r="C417" s="1186" t="s">
        <v>48</v>
      </c>
      <c r="D417" s="1186">
        <v>60</v>
      </c>
      <c r="E417" s="1186"/>
      <c r="F417" s="1186">
        <v>1</v>
      </c>
    </row>
    <row r="418" spans="1:6" x14ac:dyDescent="0.2">
      <c r="A418" s="1186" t="s">
        <v>116</v>
      </c>
      <c r="B418" s="1186" t="s">
        <v>19</v>
      </c>
      <c r="C418" s="1186" t="s">
        <v>49</v>
      </c>
      <c r="D418" s="1186">
        <v>297</v>
      </c>
      <c r="E418" s="1186"/>
      <c r="F418" s="1186">
        <v>8</v>
      </c>
    </row>
    <row r="419" spans="1:6" x14ac:dyDescent="0.2">
      <c r="A419" s="1186" t="s">
        <v>116</v>
      </c>
      <c r="B419" s="1186" t="s">
        <v>19</v>
      </c>
      <c r="C419" s="1186" t="s">
        <v>50</v>
      </c>
      <c r="D419" s="1186">
        <v>42</v>
      </c>
      <c r="E419" s="1186"/>
      <c r="F419" s="1186">
        <v>2</v>
      </c>
    </row>
    <row r="420" spans="1:6" x14ac:dyDescent="0.2">
      <c r="A420" s="1186" t="s">
        <v>116</v>
      </c>
      <c r="B420" s="1186" t="s">
        <v>19</v>
      </c>
      <c r="C420" s="1186" t="s">
        <v>51</v>
      </c>
      <c r="D420" s="1186">
        <v>163</v>
      </c>
      <c r="E420" s="1186"/>
      <c r="F420" s="1186">
        <v>1</v>
      </c>
    </row>
    <row r="421" spans="1:6" x14ac:dyDescent="0.2">
      <c r="A421" s="1186" t="s">
        <v>116</v>
      </c>
      <c r="B421" s="1186" t="s">
        <v>19</v>
      </c>
      <c r="C421" s="1186" t="s">
        <v>52</v>
      </c>
      <c r="D421" s="1186">
        <v>261</v>
      </c>
      <c r="E421" s="1186"/>
      <c r="F421" s="1186">
        <v>11</v>
      </c>
    </row>
    <row r="422" spans="1:6" x14ac:dyDescent="0.2">
      <c r="A422" s="1186" t="s">
        <v>116</v>
      </c>
      <c r="B422" s="1186" t="s">
        <v>20</v>
      </c>
      <c r="C422" s="1186" t="s">
        <v>23</v>
      </c>
      <c r="D422" s="1186">
        <v>210</v>
      </c>
      <c r="E422" s="1186"/>
      <c r="F422" s="1186">
        <v>15</v>
      </c>
    </row>
    <row r="423" spans="1:6" x14ac:dyDescent="0.2">
      <c r="A423" s="1186" t="s">
        <v>116</v>
      </c>
      <c r="B423" s="1186" t="s">
        <v>20</v>
      </c>
      <c r="C423" s="1186" t="s">
        <v>24</v>
      </c>
      <c r="D423" s="1186">
        <v>66</v>
      </c>
      <c r="E423" s="1186"/>
      <c r="F423" s="1186">
        <v>5</v>
      </c>
    </row>
    <row r="424" spans="1:6" x14ac:dyDescent="0.2">
      <c r="A424" s="1186" t="s">
        <v>116</v>
      </c>
      <c r="B424" s="1186" t="s">
        <v>20</v>
      </c>
      <c r="C424" s="1186" t="s">
        <v>25</v>
      </c>
      <c r="D424" s="1186">
        <v>29</v>
      </c>
      <c r="E424" s="1186"/>
      <c r="F424" s="1186">
        <v>4</v>
      </c>
    </row>
    <row r="425" spans="1:6" x14ac:dyDescent="0.2">
      <c r="A425" s="1186" t="s">
        <v>116</v>
      </c>
      <c r="B425" s="1186" t="s">
        <v>20</v>
      </c>
      <c r="C425" s="1186" t="s">
        <v>26</v>
      </c>
      <c r="D425" s="1186">
        <v>41</v>
      </c>
      <c r="E425" s="1186"/>
      <c r="F425" s="1186">
        <v>3</v>
      </c>
    </row>
    <row r="426" spans="1:6" x14ac:dyDescent="0.2">
      <c r="A426" s="1186" t="s">
        <v>116</v>
      </c>
      <c r="B426" s="1186" t="s">
        <v>20</v>
      </c>
      <c r="C426" s="1186" t="s">
        <v>619</v>
      </c>
      <c r="D426" s="1186">
        <v>444</v>
      </c>
      <c r="E426" s="1186"/>
      <c r="F426" s="1186">
        <v>26</v>
      </c>
    </row>
    <row r="427" spans="1:6" x14ac:dyDescent="0.2">
      <c r="A427" s="1186" t="s">
        <v>116</v>
      </c>
      <c r="B427" s="1186" t="s">
        <v>20</v>
      </c>
      <c r="C427" s="1186" t="s">
        <v>27</v>
      </c>
      <c r="D427" s="1186">
        <v>45</v>
      </c>
      <c r="E427" s="1186"/>
      <c r="F427" s="1186">
        <v>1</v>
      </c>
    </row>
    <row r="428" spans="1:6" x14ac:dyDescent="0.2">
      <c r="A428" s="1186" t="s">
        <v>116</v>
      </c>
      <c r="B428" s="1186" t="s">
        <v>20</v>
      </c>
      <c r="C428" s="1186" t="s">
        <v>28</v>
      </c>
      <c r="D428" s="1186">
        <v>68</v>
      </c>
      <c r="E428" s="1186"/>
      <c r="F428" s="1186">
        <v>3</v>
      </c>
    </row>
    <row r="429" spans="1:6" x14ac:dyDescent="0.2">
      <c r="A429" s="1186" t="s">
        <v>116</v>
      </c>
      <c r="B429" s="1186" t="s">
        <v>20</v>
      </c>
      <c r="C429" s="1186" t="s">
        <v>29</v>
      </c>
      <c r="D429" s="1186">
        <v>104</v>
      </c>
      <c r="E429" s="1186"/>
      <c r="F429" s="1186">
        <v>9</v>
      </c>
    </row>
    <row r="430" spans="1:6" x14ac:dyDescent="0.2">
      <c r="A430" s="1186" t="s">
        <v>116</v>
      </c>
      <c r="B430" s="1186" t="s">
        <v>20</v>
      </c>
      <c r="C430" s="1186" t="s">
        <v>30</v>
      </c>
      <c r="D430" s="1186">
        <v>94</v>
      </c>
      <c r="E430" s="1186">
        <v>1</v>
      </c>
      <c r="F430" s="1186">
        <v>8</v>
      </c>
    </row>
    <row r="431" spans="1:6" x14ac:dyDescent="0.2">
      <c r="A431" s="1186" t="s">
        <v>116</v>
      </c>
      <c r="B431" s="1186" t="s">
        <v>20</v>
      </c>
      <c r="C431" s="1186" t="s">
        <v>31</v>
      </c>
      <c r="D431" s="1186">
        <v>52</v>
      </c>
      <c r="E431" s="1186"/>
      <c r="F431" s="1186">
        <v>5</v>
      </c>
    </row>
    <row r="432" spans="1:6" x14ac:dyDescent="0.2">
      <c r="A432" s="1186" t="s">
        <v>116</v>
      </c>
      <c r="B432" s="1186" t="s">
        <v>20</v>
      </c>
      <c r="C432" s="1186" t="s">
        <v>32</v>
      </c>
      <c r="D432" s="1186">
        <v>59</v>
      </c>
      <c r="E432" s="1186"/>
      <c r="F432" s="1186">
        <v>1</v>
      </c>
    </row>
    <row r="433" spans="1:6" x14ac:dyDescent="0.2">
      <c r="A433" s="1186" t="s">
        <v>116</v>
      </c>
      <c r="B433" s="1186" t="s">
        <v>20</v>
      </c>
      <c r="C433" s="1186" t="s">
        <v>33</v>
      </c>
      <c r="D433" s="1186">
        <v>41</v>
      </c>
      <c r="E433" s="1186"/>
      <c r="F433" s="1186">
        <v>5</v>
      </c>
    </row>
    <row r="434" spans="1:6" x14ac:dyDescent="0.2">
      <c r="A434" s="1186" t="s">
        <v>116</v>
      </c>
      <c r="B434" s="1186" t="s">
        <v>20</v>
      </c>
      <c r="C434" s="1186" t="s">
        <v>34</v>
      </c>
      <c r="D434" s="1186">
        <v>86</v>
      </c>
      <c r="E434" s="1186"/>
      <c r="F434" s="1186">
        <v>3</v>
      </c>
    </row>
    <row r="435" spans="1:6" x14ac:dyDescent="0.2">
      <c r="A435" s="1186" t="s">
        <v>116</v>
      </c>
      <c r="B435" s="1186" t="s">
        <v>20</v>
      </c>
      <c r="C435" s="1186" t="s">
        <v>35</v>
      </c>
      <c r="D435" s="1186">
        <v>178</v>
      </c>
      <c r="E435" s="1186">
        <v>1</v>
      </c>
      <c r="F435" s="1186">
        <v>4</v>
      </c>
    </row>
    <row r="436" spans="1:6" x14ac:dyDescent="0.2">
      <c r="A436" s="1186" t="s">
        <v>116</v>
      </c>
      <c r="B436" s="1186" t="s">
        <v>20</v>
      </c>
      <c r="C436" s="1186" t="s">
        <v>36</v>
      </c>
      <c r="D436" s="1186">
        <v>777</v>
      </c>
      <c r="E436" s="1186"/>
      <c r="F436" s="1186">
        <v>44</v>
      </c>
    </row>
    <row r="437" spans="1:6" x14ac:dyDescent="0.2">
      <c r="A437" s="1186" t="s">
        <v>116</v>
      </c>
      <c r="B437" s="1186" t="s">
        <v>20</v>
      </c>
      <c r="C437" s="1186" t="s">
        <v>37</v>
      </c>
      <c r="D437" s="1186">
        <v>50</v>
      </c>
      <c r="E437" s="1186"/>
      <c r="F437" s="1186">
        <v>4</v>
      </c>
    </row>
    <row r="438" spans="1:6" x14ac:dyDescent="0.2">
      <c r="A438" s="1186" t="s">
        <v>116</v>
      </c>
      <c r="B438" s="1186" t="s">
        <v>20</v>
      </c>
      <c r="C438" s="1186" t="s">
        <v>38</v>
      </c>
      <c r="D438" s="1186">
        <v>146</v>
      </c>
      <c r="E438" s="1186"/>
      <c r="F438" s="1186">
        <v>12</v>
      </c>
    </row>
    <row r="439" spans="1:6" x14ac:dyDescent="0.2">
      <c r="A439" s="1186" t="s">
        <v>116</v>
      </c>
      <c r="B439" s="1186" t="s">
        <v>20</v>
      </c>
      <c r="C439" s="1186" t="s">
        <v>39</v>
      </c>
      <c r="D439" s="1186">
        <v>73</v>
      </c>
      <c r="E439" s="1186"/>
      <c r="F439" s="1186">
        <v>3</v>
      </c>
    </row>
    <row r="440" spans="1:6" x14ac:dyDescent="0.2">
      <c r="A440" s="1186" t="s">
        <v>116</v>
      </c>
      <c r="B440" s="1186" t="s">
        <v>20</v>
      </c>
      <c r="C440" s="1186" t="s">
        <v>40</v>
      </c>
      <c r="D440" s="1186">
        <v>24</v>
      </c>
      <c r="E440" s="1186"/>
      <c r="F440" s="1186">
        <v>4</v>
      </c>
    </row>
    <row r="441" spans="1:6" x14ac:dyDescent="0.2">
      <c r="A441" s="1186" t="s">
        <v>116</v>
      </c>
      <c r="B441" s="1186" t="s">
        <v>20</v>
      </c>
      <c r="C441" s="1186" t="s">
        <v>295</v>
      </c>
      <c r="D441" s="1186">
        <v>4</v>
      </c>
      <c r="E441" s="1186"/>
      <c r="F441" s="1186"/>
    </row>
    <row r="442" spans="1:6" x14ac:dyDescent="0.2">
      <c r="A442" s="1186" t="s">
        <v>116</v>
      </c>
      <c r="B442" s="1186" t="s">
        <v>20</v>
      </c>
      <c r="C442" s="1186" t="s">
        <v>41</v>
      </c>
      <c r="D442" s="1186">
        <v>123</v>
      </c>
      <c r="E442" s="1186"/>
      <c r="F442" s="1186">
        <v>11</v>
      </c>
    </row>
    <row r="443" spans="1:6" x14ac:dyDescent="0.2">
      <c r="A443" s="1186" t="s">
        <v>116</v>
      </c>
      <c r="B443" s="1186" t="s">
        <v>20</v>
      </c>
      <c r="C443" s="1186" t="s">
        <v>42</v>
      </c>
      <c r="D443" s="1186">
        <v>358</v>
      </c>
      <c r="E443" s="1186"/>
      <c r="F443" s="1186">
        <v>20</v>
      </c>
    </row>
    <row r="444" spans="1:6" x14ac:dyDescent="0.2">
      <c r="A444" s="1186" t="s">
        <v>116</v>
      </c>
      <c r="B444" s="1186" t="s">
        <v>20</v>
      </c>
      <c r="C444" s="1186" t="s">
        <v>43</v>
      </c>
      <c r="D444" s="1186">
        <v>4</v>
      </c>
      <c r="E444" s="1186"/>
      <c r="F444" s="1186"/>
    </row>
    <row r="445" spans="1:6" x14ac:dyDescent="0.2">
      <c r="A445" s="1186" t="s">
        <v>116</v>
      </c>
      <c r="B445" s="1186" t="s">
        <v>20</v>
      </c>
      <c r="C445" s="1186" t="s">
        <v>44</v>
      </c>
      <c r="D445" s="1186">
        <v>26</v>
      </c>
      <c r="E445" s="1186"/>
      <c r="F445" s="1186"/>
    </row>
    <row r="446" spans="1:6" x14ac:dyDescent="0.2">
      <c r="A446" s="1186" t="s">
        <v>116</v>
      </c>
      <c r="B446" s="1186" t="s">
        <v>20</v>
      </c>
      <c r="C446" s="1186" t="s">
        <v>45</v>
      </c>
      <c r="D446" s="1186">
        <v>195</v>
      </c>
      <c r="E446" s="1186"/>
      <c r="F446" s="1186">
        <v>12</v>
      </c>
    </row>
    <row r="447" spans="1:6" x14ac:dyDescent="0.2">
      <c r="A447" s="1186" t="s">
        <v>116</v>
      </c>
      <c r="B447" s="1186" t="s">
        <v>20</v>
      </c>
      <c r="C447" s="1186" t="s">
        <v>46</v>
      </c>
      <c r="D447" s="1186">
        <v>62</v>
      </c>
      <c r="E447" s="1186"/>
      <c r="F447" s="1186">
        <v>4</v>
      </c>
    </row>
    <row r="448" spans="1:6" x14ac:dyDescent="0.2">
      <c r="A448" s="1186" t="s">
        <v>116</v>
      </c>
      <c r="B448" s="1186" t="s">
        <v>20</v>
      </c>
      <c r="C448" s="1186" t="s">
        <v>47</v>
      </c>
      <c r="D448" s="1186">
        <v>2</v>
      </c>
      <c r="E448" s="1186"/>
      <c r="F448" s="1186"/>
    </row>
    <row r="449" spans="1:6" x14ac:dyDescent="0.2">
      <c r="A449" s="1186" t="s">
        <v>116</v>
      </c>
      <c r="B449" s="1186" t="s">
        <v>20</v>
      </c>
      <c r="C449" s="1186" t="s">
        <v>48</v>
      </c>
      <c r="D449" s="1186">
        <v>49</v>
      </c>
      <c r="E449" s="1186"/>
      <c r="F449" s="1186">
        <v>2</v>
      </c>
    </row>
    <row r="450" spans="1:6" x14ac:dyDescent="0.2">
      <c r="A450" s="1186" t="s">
        <v>116</v>
      </c>
      <c r="B450" s="1186" t="s">
        <v>20</v>
      </c>
      <c r="C450" s="1186" t="s">
        <v>49</v>
      </c>
      <c r="D450" s="1186">
        <v>313</v>
      </c>
      <c r="E450" s="1186">
        <v>1</v>
      </c>
      <c r="F450" s="1186">
        <v>14</v>
      </c>
    </row>
    <row r="451" spans="1:6" x14ac:dyDescent="0.2">
      <c r="A451" s="1186" t="s">
        <v>116</v>
      </c>
      <c r="B451" s="1186" t="s">
        <v>20</v>
      </c>
      <c r="C451" s="1186" t="s">
        <v>50</v>
      </c>
      <c r="D451" s="1186">
        <v>32</v>
      </c>
      <c r="E451" s="1186"/>
      <c r="F451" s="1186">
        <v>1</v>
      </c>
    </row>
    <row r="452" spans="1:6" x14ac:dyDescent="0.2">
      <c r="A452" s="1186" t="s">
        <v>116</v>
      </c>
      <c r="B452" s="1186" t="s">
        <v>20</v>
      </c>
      <c r="C452" s="1186" t="s">
        <v>51</v>
      </c>
      <c r="D452" s="1186">
        <v>114</v>
      </c>
      <c r="E452" s="1186">
        <v>1</v>
      </c>
      <c r="F452" s="1186"/>
    </row>
    <row r="453" spans="1:6" x14ac:dyDescent="0.2">
      <c r="A453" s="1186" t="s">
        <v>116</v>
      </c>
      <c r="B453" s="1186" t="s">
        <v>20</v>
      </c>
      <c r="C453" s="1186" t="s">
        <v>52</v>
      </c>
      <c r="D453" s="1186">
        <v>215</v>
      </c>
      <c r="E453" s="1186"/>
      <c r="F453" s="1186">
        <v>8</v>
      </c>
    </row>
    <row r="454" spans="1:6" x14ac:dyDescent="0.2">
      <c r="A454" s="1186" t="s">
        <v>116</v>
      </c>
      <c r="B454" s="1186" t="s">
        <v>13</v>
      </c>
      <c r="C454" s="1186" t="s">
        <v>23</v>
      </c>
      <c r="D454" s="1186">
        <v>180</v>
      </c>
      <c r="E454" s="1186"/>
      <c r="F454" s="1186">
        <v>16</v>
      </c>
    </row>
    <row r="455" spans="1:6" x14ac:dyDescent="0.2">
      <c r="A455" s="1186" t="s">
        <v>116</v>
      </c>
      <c r="B455" s="1186" t="s">
        <v>13</v>
      </c>
      <c r="C455" s="1186" t="s">
        <v>24</v>
      </c>
      <c r="D455" s="1186">
        <v>64</v>
      </c>
      <c r="E455" s="1186"/>
      <c r="F455" s="1186">
        <v>3</v>
      </c>
    </row>
    <row r="456" spans="1:6" x14ac:dyDescent="0.2">
      <c r="A456" s="1186" t="s">
        <v>116</v>
      </c>
      <c r="B456" s="1186" t="s">
        <v>13</v>
      </c>
      <c r="C456" s="1186" t="s">
        <v>25</v>
      </c>
      <c r="D456" s="1186">
        <v>21</v>
      </c>
      <c r="E456" s="1186"/>
      <c r="F456" s="1186">
        <v>2</v>
      </c>
    </row>
    <row r="457" spans="1:6" x14ac:dyDescent="0.2">
      <c r="A457" s="1186" t="s">
        <v>116</v>
      </c>
      <c r="B457" s="1186" t="s">
        <v>13</v>
      </c>
      <c r="C457" s="1186" t="s">
        <v>26</v>
      </c>
      <c r="D457" s="1186">
        <v>31</v>
      </c>
      <c r="E457" s="1186">
        <v>3</v>
      </c>
      <c r="F457" s="1186">
        <v>2</v>
      </c>
    </row>
    <row r="458" spans="1:6" x14ac:dyDescent="0.2">
      <c r="A458" s="1186" t="s">
        <v>116</v>
      </c>
      <c r="B458" s="1186" t="s">
        <v>13</v>
      </c>
      <c r="C458" s="1186" t="s">
        <v>619</v>
      </c>
      <c r="D458" s="1186">
        <v>438</v>
      </c>
      <c r="E458" s="1186"/>
      <c r="F458" s="1186">
        <v>50</v>
      </c>
    </row>
    <row r="459" spans="1:6" x14ac:dyDescent="0.2">
      <c r="A459" s="1186" t="s">
        <v>116</v>
      </c>
      <c r="B459" s="1186" t="s">
        <v>13</v>
      </c>
      <c r="C459" s="1186" t="s">
        <v>27</v>
      </c>
      <c r="D459" s="1186">
        <v>20</v>
      </c>
      <c r="E459" s="1186"/>
      <c r="F459" s="1186">
        <v>1</v>
      </c>
    </row>
    <row r="460" spans="1:6" x14ac:dyDescent="0.2">
      <c r="A460" s="1186" t="s">
        <v>116</v>
      </c>
      <c r="B460" s="1186" t="s">
        <v>13</v>
      </c>
      <c r="C460" s="1186" t="s">
        <v>28</v>
      </c>
      <c r="D460" s="1186">
        <v>62</v>
      </c>
      <c r="E460" s="1186"/>
      <c r="F460" s="1186">
        <v>2</v>
      </c>
    </row>
    <row r="461" spans="1:6" x14ac:dyDescent="0.2">
      <c r="A461" s="1186" t="s">
        <v>116</v>
      </c>
      <c r="B461" s="1186" t="s">
        <v>13</v>
      </c>
      <c r="C461" s="1186" t="s">
        <v>29</v>
      </c>
      <c r="D461" s="1186">
        <v>95</v>
      </c>
      <c r="E461" s="1186"/>
      <c r="F461" s="1186">
        <v>9</v>
      </c>
    </row>
    <row r="462" spans="1:6" x14ac:dyDescent="0.2">
      <c r="A462" s="1186" t="s">
        <v>116</v>
      </c>
      <c r="B462" s="1186" t="s">
        <v>13</v>
      </c>
      <c r="C462" s="1186" t="s">
        <v>30</v>
      </c>
      <c r="D462" s="1186">
        <v>98</v>
      </c>
      <c r="E462" s="1186"/>
      <c r="F462" s="1186">
        <v>2</v>
      </c>
    </row>
    <row r="463" spans="1:6" x14ac:dyDescent="0.2">
      <c r="A463" s="1186" t="s">
        <v>116</v>
      </c>
      <c r="B463" s="1186" t="s">
        <v>13</v>
      </c>
      <c r="C463" s="1186" t="s">
        <v>31</v>
      </c>
      <c r="D463" s="1186">
        <v>40</v>
      </c>
      <c r="E463" s="1186"/>
      <c r="F463" s="1186"/>
    </row>
    <row r="464" spans="1:6" x14ac:dyDescent="0.2">
      <c r="A464" s="1186" t="s">
        <v>116</v>
      </c>
      <c r="B464" s="1186" t="s">
        <v>13</v>
      </c>
      <c r="C464" s="1186" t="s">
        <v>32</v>
      </c>
      <c r="D464" s="1186">
        <v>68</v>
      </c>
      <c r="E464" s="1186"/>
      <c r="F464" s="1186">
        <v>6</v>
      </c>
    </row>
    <row r="465" spans="1:6" x14ac:dyDescent="0.2">
      <c r="A465" s="1186" t="s">
        <v>116</v>
      </c>
      <c r="B465" s="1186" t="s">
        <v>13</v>
      </c>
      <c r="C465" s="1186" t="s">
        <v>33</v>
      </c>
      <c r="D465" s="1186">
        <v>46</v>
      </c>
      <c r="E465" s="1186"/>
      <c r="F465" s="1186">
        <v>6</v>
      </c>
    </row>
    <row r="466" spans="1:6" x14ac:dyDescent="0.2">
      <c r="A466" s="1186" t="s">
        <v>116</v>
      </c>
      <c r="B466" s="1186" t="s">
        <v>13</v>
      </c>
      <c r="C466" s="1186" t="s">
        <v>34</v>
      </c>
      <c r="D466" s="1186">
        <v>98</v>
      </c>
      <c r="E466" s="1186"/>
      <c r="F466" s="1186"/>
    </row>
    <row r="467" spans="1:6" x14ac:dyDescent="0.2">
      <c r="A467" s="1186" t="s">
        <v>116</v>
      </c>
      <c r="B467" s="1186" t="s">
        <v>13</v>
      </c>
      <c r="C467" s="1186" t="s">
        <v>35</v>
      </c>
      <c r="D467" s="1186">
        <v>186</v>
      </c>
      <c r="E467" s="1186">
        <v>1</v>
      </c>
      <c r="F467" s="1186">
        <v>9</v>
      </c>
    </row>
    <row r="468" spans="1:6" x14ac:dyDescent="0.2">
      <c r="A468" s="1186" t="s">
        <v>116</v>
      </c>
      <c r="B468" s="1186" t="s">
        <v>13</v>
      </c>
      <c r="C468" s="1186" t="s">
        <v>36</v>
      </c>
      <c r="D468" s="1186">
        <v>722</v>
      </c>
      <c r="E468" s="1186">
        <v>2</v>
      </c>
      <c r="F468" s="1186">
        <v>52</v>
      </c>
    </row>
    <row r="469" spans="1:6" x14ac:dyDescent="0.2">
      <c r="A469" s="1186" t="s">
        <v>116</v>
      </c>
      <c r="B469" s="1186" t="s">
        <v>13</v>
      </c>
      <c r="C469" s="1186" t="s">
        <v>37</v>
      </c>
      <c r="D469" s="1186">
        <v>46</v>
      </c>
      <c r="E469" s="1186"/>
      <c r="F469" s="1186"/>
    </row>
    <row r="470" spans="1:6" x14ac:dyDescent="0.2">
      <c r="A470" s="1186" t="s">
        <v>116</v>
      </c>
      <c r="B470" s="1186" t="s">
        <v>13</v>
      </c>
      <c r="C470" s="1186" t="s">
        <v>38</v>
      </c>
      <c r="D470" s="1186">
        <v>121</v>
      </c>
      <c r="E470" s="1186">
        <v>1</v>
      </c>
      <c r="F470" s="1186">
        <v>9</v>
      </c>
    </row>
    <row r="471" spans="1:6" x14ac:dyDescent="0.2">
      <c r="A471" s="1186" t="s">
        <v>116</v>
      </c>
      <c r="B471" s="1186" t="s">
        <v>13</v>
      </c>
      <c r="C471" s="1186" t="s">
        <v>39</v>
      </c>
      <c r="D471" s="1186">
        <v>92</v>
      </c>
      <c r="E471" s="1186"/>
      <c r="F471" s="1186">
        <v>6</v>
      </c>
    </row>
    <row r="472" spans="1:6" x14ac:dyDescent="0.2">
      <c r="A472" s="1186" t="s">
        <v>116</v>
      </c>
      <c r="B472" s="1186" t="s">
        <v>13</v>
      </c>
      <c r="C472" s="1186" t="s">
        <v>40</v>
      </c>
      <c r="D472" s="1186">
        <v>33</v>
      </c>
      <c r="E472" s="1186"/>
      <c r="F472" s="1186">
        <v>7</v>
      </c>
    </row>
    <row r="473" spans="1:6" x14ac:dyDescent="0.2">
      <c r="A473" s="1186" t="s">
        <v>116</v>
      </c>
      <c r="B473" s="1186" t="s">
        <v>13</v>
      </c>
      <c r="C473" s="1186" t="s">
        <v>41</v>
      </c>
      <c r="D473" s="1186">
        <v>91</v>
      </c>
      <c r="E473" s="1186"/>
      <c r="F473" s="1186">
        <v>4</v>
      </c>
    </row>
    <row r="474" spans="1:6" x14ac:dyDescent="0.2">
      <c r="A474" s="1186" t="s">
        <v>116</v>
      </c>
      <c r="B474" s="1186" t="s">
        <v>13</v>
      </c>
      <c r="C474" s="1186" t="s">
        <v>42</v>
      </c>
      <c r="D474" s="1186">
        <v>336</v>
      </c>
      <c r="E474" s="1186"/>
      <c r="F474" s="1186">
        <v>16</v>
      </c>
    </row>
    <row r="475" spans="1:6" x14ac:dyDescent="0.2">
      <c r="A475" s="1186" t="s">
        <v>116</v>
      </c>
      <c r="B475" s="1186" t="s">
        <v>13</v>
      </c>
      <c r="C475" s="1186" t="s">
        <v>43</v>
      </c>
      <c r="D475" s="1186">
        <v>1</v>
      </c>
      <c r="E475" s="1186"/>
      <c r="F475" s="1186"/>
    </row>
    <row r="476" spans="1:6" x14ac:dyDescent="0.2">
      <c r="A476" s="1186" t="s">
        <v>116</v>
      </c>
      <c r="B476" s="1186" t="s">
        <v>13</v>
      </c>
      <c r="C476" s="1186" t="s">
        <v>44</v>
      </c>
      <c r="D476" s="1186">
        <v>53</v>
      </c>
      <c r="E476" s="1186"/>
      <c r="F476" s="1186">
        <v>6</v>
      </c>
    </row>
    <row r="477" spans="1:6" x14ac:dyDescent="0.2">
      <c r="A477" s="1186" t="s">
        <v>116</v>
      </c>
      <c r="B477" s="1186" t="s">
        <v>13</v>
      </c>
      <c r="C477" s="1186" t="s">
        <v>45</v>
      </c>
      <c r="D477" s="1186">
        <v>160</v>
      </c>
      <c r="E477" s="1186"/>
      <c r="F477" s="1186">
        <v>9</v>
      </c>
    </row>
    <row r="478" spans="1:6" x14ac:dyDescent="0.2">
      <c r="A478" s="1186" t="s">
        <v>116</v>
      </c>
      <c r="B478" s="1186" t="s">
        <v>13</v>
      </c>
      <c r="C478" s="1186" t="s">
        <v>46</v>
      </c>
      <c r="D478" s="1186">
        <v>39</v>
      </c>
      <c r="E478" s="1186"/>
      <c r="F478" s="1186">
        <v>2</v>
      </c>
    </row>
    <row r="479" spans="1:6" x14ac:dyDescent="0.2">
      <c r="A479" s="1186" t="s">
        <v>116</v>
      </c>
      <c r="B479" s="1186" t="s">
        <v>13</v>
      </c>
      <c r="C479" s="1186" t="s">
        <v>48</v>
      </c>
      <c r="D479" s="1186">
        <v>39</v>
      </c>
      <c r="E479" s="1186">
        <v>1</v>
      </c>
      <c r="F479" s="1186">
        <v>5</v>
      </c>
    </row>
    <row r="480" spans="1:6" x14ac:dyDescent="0.2">
      <c r="A480" s="1186" t="s">
        <v>116</v>
      </c>
      <c r="B480" s="1186" t="s">
        <v>13</v>
      </c>
      <c r="C480" s="1186" t="s">
        <v>49</v>
      </c>
      <c r="D480" s="1186">
        <v>240</v>
      </c>
      <c r="E480" s="1186"/>
      <c r="F480" s="1186">
        <v>18</v>
      </c>
    </row>
    <row r="481" spans="1:6" x14ac:dyDescent="0.2">
      <c r="A481" s="1186" t="s">
        <v>116</v>
      </c>
      <c r="B481" s="1186" t="s">
        <v>13</v>
      </c>
      <c r="C481" s="1186" t="s">
        <v>50</v>
      </c>
      <c r="D481" s="1186">
        <v>43</v>
      </c>
      <c r="E481" s="1186"/>
      <c r="F481" s="1186">
        <v>8</v>
      </c>
    </row>
    <row r="482" spans="1:6" x14ac:dyDescent="0.2">
      <c r="A482" s="1186" t="s">
        <v>116</v>
      </c>
      <c r="B482" s="1186" t="s">
        <v>13</v>
      </c>
      <c r="C482" s="1186" t="s">
        <v>51</v>
      </c>
      <c r="D482" s="1186">
        <v>131</v>
      </c>
      <c r="E482" s="1186"/>
      <c r="F482" s="1186">
        <v>6</v>
      </c>
    </row>
    <row r="483" spans="1:6" x14ac:dyDescent="0.2">
      <c r="A483" s="1186" t="s">
        <v>116</v>
      </c>
      <c r="B483" s="1186" t="s">
        <v>13</v>
      </c>
      <c r="C483" s="1186" t="s">
        <v>52</v>
      </c>
      <c r="D483" s="1186">
        <v>186</v>
      </c>
      <c r="E483" s="1186"/>
      <c r="F483" s="1186">
        <v>25</v>
      </c>
    </row>
    <row r="484" spans="1:6" x14ac:dyDescent="0.2">
      <c r="A484" s="1186" t="s">
        <v>116</v>
      </c>
      <c r="B484" s="1186" t="s">
        <v>15</v>
      </c>
      <c r="C484" s="1186" t="s">
        <v>23</v>
      </c>
      <c r="D484" s="1186">
        <v>134</v>
      </c>
      <c r="E484" s="1186"/>
      <c r="F484" s="1186">
        <v>10</v>
      </c>
    </row>
    <row r="485" spans="1:6" x14ac:dyDescent="0.2">
      <c r="A485" s="1186" t="s">
        <v>116</v>
      </c>
      <c r="B485" s="1186" t="s">
        <v>15</v>
      </c>
      <c r="C485" s="1186" t="s">
        <v>24</v>
      </c>
      <c r="D485" s="1186">
        <v>58</v>
      </c>
      <c r="E485" s="1186">
        <v>1</v>
      </c>
      <c r="F485" s="1186">
        <v>3</v>
      </c>
    </row>
    <row r="486" spans="1:6" x14ac:dyDescent="0.2">
      <c r="A486" s="1186" t="s">
        <v>116</v>
      </c>
      <c r="B486" s="1186" t="s">
        <v>15</v>
      </c>
      <c r="C486" s="1186" t="s">
        <v>25</v>
      </c>
      <c r="D486" s="1186">
        <v>27</v>
      </c>
      <c r="E486" s="1186"/>
      <c r="F486" s="1186">
        <v>5</v>
      </c>
    </row>
    <row r="487" spans="1:6" x14ac:dyDescent="0.2">
      <c r="A487" s="1186" t="s">
        <v>116</v>
      </c>
      <c r="B487" s="1186" t="s">
        <v>15</v>
      </c>
      <c r="C487" s="1186" t="s">
        <v>26</v>
      </c>
      <c r="D487" s="1186">
        <v>22</v>
      </c>
      <c r="E487" s="1186"/>
      <c r="F487" s="1186"/>
    </row>
    <row r="488" spans="1:6" x14ac:dyDescent="0.2">
      <c r="A488" s="1186" t="s">
        <v>116</v>
      </c>
      <c r="B488" s="1186" t="s">
        <v>15</v>
      </c>
      <c r="C488" s="1186" t="s">
        <v>619</v>
      </c>
      <c r="D488" s="1186">
        <v>286</v>
      </c>
      <c r="E488" s="1186">
        <v>2</v>
      </c>
      <c r="F488" s="1186">
        <v>32</v>
      </c>
    </row>
    <row r="489" spans="1:6" x14ac:dyDescent="0.2">
      <c r="A489" s="1186" t="s">
        <v>116</v>
      </c>
      <c r="B489" s="1186" t="s">
        <v>15</v>
      </c>
      <c r="C489" s="1186" t="s">
        <v>27</v>
      </c>
      <c r="D489" s="1186">
        <v>25</v>
      </c>
      <c r="E489" s="1186"/>
      <c r="F489" s="1186">
        <v>2</v>
      </c>
    </row>
    <row r="490" spans="1:6" x14ac:dyDescent="0.2">
      <c r="A490" s="1186" t="s">
        <v>116</v>
      </c>
      <c r="B490" s="1186" t="s">
        <v>15</v>
      </c>
      <c r="C490" s="1186" t="s">
        <v>28</v>
      </c>
      <c r="D490" s="1186">
        <v>38</v>
      </c>
      <c r="E490" s="1186"/>
      <c r="F490" s="1186">
        <v>5</v>
      </c>
    </row>
    <row r="491" spans="1:6" x14ac:dyDescent="0.2">
      <c r="A491" s="1186" t="s">
        <v>116</v>
      </c>
      <c r="B491" s="1186" t="s">
        <v>15</v>
      </c>
      <c r="C491" s="1186" t="s">
        <v>29</v>
      </c>
      <c r="D491" s="1186">
        <v>73</v>
      </c>
      <c r="E491" s="1186"/>
      <c r="F491" s="1186">
        <v>2</v>
      </c>
    </row>
    <row r="492" spans="1:6" x14ac:dyDescent="0.2">
      <c r="A492" s="1186" t="s">
        <v>116</v>
      </c>
      <c r="B492" s="1186" t="s">
        <v>15</v>
      </c>
      <c r="C492" s="1186" t="s">
        <v>30</v>
      </c>
      <c r="D492" s="1186">
        <v>62</v>
      </c>
      <c r="E492" s="1186"/>
      <c r="F492" s="1186">
        <v>1</v>
      </c>
    </row>
    <row r="493" spans="1:6" x14ac:dyDescent="0.2">
      <c r="A493" s="1186" t="s">
        <v>116</v>
      </c>
      <c r="B493" s="1186" t="s">
        <v>15</v>
      </c>
      <c r="C493" s="1186" t="s">
        <v>31</v>
      </c>
      <c r="D493" s="1186">
        <v>57</v>
      </c>
      <c r="E493" s="1186"/>
      <c r="F493" s="1186">
        <v>3</v>
      </c>
    </row>
    <row r="494" spans="1:6" x14ac:dyDescent="0.2">
      <c r="A494" s="1186" t="s">
        <v>116</v>
      </c>
      <c r="B494" s="1186" t="s">
        <v>15</v>
      </c>
      <c r="C494" s="1186" t="s">
        <v>32</v>
      </c>
      <c r="D494" s="1186">
        <v>44</v>
      </c>
      <c r="E494" s="1186">
        <v>1</v>
      </c>
      <c r="F494" s="1186">
        <v>4</v>
      </c>
    </row>
    <row r="495" spans="1:6" x14ac:dyDescent="0.2">
      <c r="A495" s="1186" t="s">
        <v>116</v>
      </c>
      <c r="B495" s="1186" t="s">
        <v>15</v>
      </c>
      <c r="C495" s="1186" t="s">
        <v>33</v>
      </c>
      <c r="D495" s="1186">
        <v>43</v>
      </c>
      <c r="E495" s="1186"/>
      <c r="F495" s="1186">
        <v>6</v>
      </c>
    </row>
    <row r="496" spans="1:6" x14ac:dyDescent="0.2">
      <c r="A496" s="1186" t="s">
        <v>116</v>
      </c>
      <c r="B496" s="1186" t="s">
        <v>15</v>
      </c>
      <c r="C496" s="1186" t="s">
        <v>34</v>
      </c>
      <c r="D496" s="1186">
        <v>70</v>
      </c>
      <c r="E496" s="1186"/>
      <c r="F496" s="1186">
        <v>3</v>
      </c>
    </row>
    <row r="497" spans="1:6" x14ac:dyDescent="0.2">
      <c r="A497" s="1186" t="s">
        <v>116</v>
      </c>
      <c r="B497" s="1186" t="s">
        <v>15</v>
      </c>
      <c r="C497" s="1186" t="s">
        <v>35</v>
      </c>
      <c r="D497" s="1186">
        <v>156</v>
      </c>
      <c r="E497" s="1186"/>
      <c r="F497" s="1186">
        <v>4</v>
      </c>
    </row>
    <row r="498" spans="1:6" x14ac:dyDescent="0.2">
      <c r="A498" s="1186" t="s">
        <v>116</v>
      </c>
      <c r="B498" s="1186" t="s">
        <v>15</v>
      </c>
      <c r="C498" s="1186" t="s">
        <v>36</v>
      </c>
      <c r="D498" s="1186">
        <v>593</v>
      </c>
      <c r="E498" s="1186">
        <v>1</v>
      </c>
      <c r="F498" s="1186">
        <v>37</v>
      </c>
    </row>
    <row r="499" spans="1:6" x14ac:dyDescent="0.2">
      <c r="A499" s="1186" t="s">
        <v>116</v>
      </c>
      <c r="B499" s="1186" t="s">
        <v>15</v>
      </c>
      <c r="C499" s="1186" t="s">
        <v>37</v>
      </c>
      <c r="D499" s="1186">
        <v>26</v>
      </c>
      <c r="E499" s="1186"/>
      <c r="F499" s="1186">
        <v>2</v>
      </c>
    </row>
    <row r="500" spans="1:6" x14ac:dyDescent="0.2">
      <c r="A500" s="1186" t="s">
        <v>116</v>
      </c>
      <c r="B500" s="1186" t="s">
        <v>15</v>
      </c>
      <c r="C500" s="1186" t="s">
        <v>38</v>
      </c>
      <c r="D500" s="1186">
        <v>59</v>
      </c>
      <c r="E500" s="1186"/>
      <c r="F500" s="1186"/>
    </row>
    <row r="501" spans="1:6" x14ac:dyDescent="0.2">
      <c r="A501" s="1186" t="s">
        <v>116</v>
      </c>
      <c r="B501" s="1186" t="s">
        <v>15</v>
      </c>
      <c r="C501" s="1186" t="s">
        <v>39</v>
      </c>
      <c r="D501" s="1186">
        <v>43</v>
      </c>
      <c r="E501" s="1186">
        <v>1</v>
      </c>
      <c r="F501" s="1186">
        <v>1</v>
      </c>
    </row>
    <row r="502" spans="1:6" x14ac:dyDescent="0.2">
      <c r="A502" s="1186" t="s">
        <v>116</v>
      </c>
      <c r="B502" s="1186" t="s">
        <v>15</v>
      </c>
      <c r="C502" s="1186" t="s">
        <v>40</v>
      </c>
      <c r="D502" s="1186">
        <v>16</v>
      </c>
      <c r="E502" s="1186"/>
      <c r="F502" s="1186">
        <v>4</v>
      </c>
    </row>
    <row r="503" spans="1:6" x14ac:dyDescent="0.2">
      <c r="A503" s="1186" t="s">
        <v>116</v>
      </c>
      <c r="B503" s="1186" t="s">
        <v>15</v>
      </c>
      <c r="C503" s="1186" t="s">
        <v>295</v>
      </c>
      <c r="D503" s="1186">
        <v>10</v>
      </c>
      <c r="E503" s="1186"/>
      <c r="F503" s="1186"/>
    </row>
    <row r="504" spans="1:6" x14ac:dyDescent="0.2">
      <c r="A504" s="1186" t="s">
        <v>116</v>
      </c>
      <c r="B504" s="1186" t="s">
        <v>15</v>
      </c>
      <c r="C504" s="1186" t="s">
        <v>41</v>
      </c>
      <c r="D504" s="1186">
        <v>53</v>
      </c>
      <c r="E504" s="1186"/>
      <c r="F504" s="1186">
        <v>4</v>
      </c>
    </row>
    <row r="505" spans="1:6" x14ac:dyDescent="0.2">
      <c r="A505" s="1186" t="s">
        <v>116</v>
      </c>
      <c r="B505" s="1186" t="s">
        <v>15</v>
      </c>
      <c r="C505" s="1186" t="s">
        <v>42</v>
      </c>
      <c r="D505" s="1186">
        <v>284</v>
      </c>
      <c r="E505" s="1186"/>
      <c r="F505" s="1186">
        <v>17</v>
      </c>
    </row>
    <row r="506" spans="1:6" x14ac:dyDescent="0.2">
      <c r="A506" s="1186" t="s">
        <v>116</v>
      </c>
      <c r="B506" s="1186" t="s">
        <v>15</v>
      </c>
      <c r="C506" s="1186" t="s">
        <v>43</v>
      </c>
      <c r="D506" s="1186">
        <v>1</v>
      </c>
      <c r="E506" s="1186"/>
      <c r="F506" s="1186"/>
    </row>
    <row r="507" spans="1:6" x14ac:dyDescent="0.2">
      <c r="A507" s="1186" t="s">
        <v>116</v>
      </c>
      <c r="B507" s="1186" t="s">
        <v>15</v>
      </c>
      <c r="C507" s="1186" t="s">
        <v>44</v>
      </c>
      <c r="D507" s="1186">
        <v>31</v>
      </c>
      <c r="E507" s="1186"/>
      <c r="F507" s="1186"/>
    </row>
    <row r="508" spans="1:6" x14ac:dyDescent="0.2">
      <c r="A508" s="1186" t="s">
        <v>116</v>
      </c>
      <c r="B508" s="1186" t="s">
        <v>15</v>
      </c>
      <c r="C508" s="1186" t="s">
        <v>45</v>
      </c>
      <c r="D508" s="1186">
        <v>128</v>
      </c>
      <c r="E508" s="1186">
        <v>1</v>
      </c>
      <c r="F508" s="1186">
        <v>6</v>
      </c>
    </row>
    <row r="509" spans="1:6" x14ac:dyDescent="0.2">
      <c r="A509" s="1186" t="s">
        <v>116</v>
      </c>
      <c r="B509" s="1186" t="s">
        <v>15</v>
      </c>
      <c r="C509" s="1186" t="s">
        <v>46</v>
      </c>
      <c r="D509" s="1186">
        <v>24</v>
      </c>
      <c r="E509" s="1186"/>
      <c r="F509" s="1186">
        <v>3</v>
      </c>
    </row>
    <row r="510" spans="1:6" x14ac:dyDescent="0.2">
      <c r="A510" s="1186" t="s">
        <v>116</v>
      </c>
      <c r="B510" s="1186" t="s">
        <v>15</v>
      </c>
      <c r="C510" s="1186" t="s">
        <v>47</v>
      </c>
      <c r="D510" s="1186">
        <v>1</v>
      </c>
      <c r="E510" s="1186"/>
      <c r="F510" s="1186"/>
    </row>
    <row r="511" spans="1:6" x14ac:dyDescent="0.2">
      <c r="A511" s="1186" t="s">
        <v>116</v>
      </c>
      <c r="B511" s="1186" t="s">
        <v>15</v>
      </c>
      <c r="C511" s="1186" t="s">
        <v>48</v>
      </c>
      <c r="D511" s="1186">
        <v>38</v>
      </c>
      <c r="E511" s="1186"/>
      <c r="F511" s="1186">
        <v>3</v>
      </c>
    </row>
    <row r="512" spans="1:6" x14ac:dyDescent="0.2">
      <c r="A512" s="1186" t="s">
        <v>116</v>
      </c>
      <c r="B512" s="1186" t="s">
        <v>15</v>
      </c>
      <c r="C512" s="1186" t="s">
        <v>49</v>
      </c>
      <c r="D512" s="1186">
        <v>187</v>
      </c>
      <c r="E512" s="1186"/>
      <c r="F512" s="1186">
        <v>12</v>
      </c>
    </row>
    <row r="513" spans="1:6" x14ac:dyDescent="0.2">
      <c r="A513" s="1186" t="s">
        <v>116</v>
      </c>
      <c r="B513" s="1186" t="s">
        <v>15</v>
      </c>
      <c r="C513" s="1186" t="s">
        <v>50</v>
      </c>
      <c r="D513" s="1186">
        <v>27</v>
      </c>
      <c r="E513" s="1186"/>
      <c r="F513" s="1186">
        <v>1</v>
      </c>
    </row>
    <row r="514" spans="1:6" x14ac:dyDescent="0.2">
      <c r="A514" s="1186" t="s">
        <v>116</v>
      </c>
      <c r="B514" s="1186" t="s">
        <v>15</v>
      </c>
      <c r="C514" s="1186" t="s">
        <v>51</v>
      </c>
      <c r="D514" s="1186">
        <v>121</v>
      </c>
      <c r="E514" s="1186"/>
      <c r="F514" s="1186">
        <v>15</v>
      </c>
    </row>
    <row r="515" spans="1:6" x14ac:dyDescent="0.2">
      <c r="A515" s="1186" t="s">
        <v>116</v>
      </c>
      <c r="B515" s="1186" t="s">
        <v>15</v>
      </c>
      <c r="C515" s="1186" t="s">
        <v>52</v>
      </c>
      <c r="D515" s="1186">
        <v>96</v>
      </c>
      <c r="E515" s="1186"/>
      <c r="F515" s="1186">
        <v>9</v>
      </c>
    </row>
    <row r="516" spans="1:6" x14ac:dyDescent="0.2">
      <c r="A516" s="1186" t="s">
        <v>116</v>
      </c>
      <c r="B516" s="1186" t="s">
        <v>17</v>
      </c>
      <c r="C516" s="1186" t="s">
        <v>23</v>
      </c>
      <c r="D516" s="1186">
        <v>142</v>
      </c>
      <c r="E516" s="1186"/>
      <c r="F516" s="1186">
        <v>6</v>
      </c>
    </row>
    <row r="517" spans="1:6" x14ac:dyDescent="0.2">
      <c r="A517" s="1186" t="s">
        <v>116</v>
      </c>
      <c r="B517" s="1186" t="s">
        <v>17</v>
      </c>
      <c r="C517" s="1186" t="s">
        <v>24</v>
      </c>
      <c r="D517" s="1186">
        <v>47</v>
      </c>
      <c r="E517" s="1186"/>
      <c r="F517" s="1186">
        <v>2</v>
      </c>
    </row>
    <row r="518" spans="1:6" x14ac:dyDescent="0.2">
      <c r="A518" s="1186" t="s">
        <v>116</v>
      </c>
      <c r="B518" s="1186" t="s">
        <v>17</v>
      </c>
      <c r="C518" s="1186" t="s">
        <v>25</v>
      </c>
      <c r="D518" s="1186">
        <v>23</v>
      </c>
      <c r="E518" s="1186"/>
      <c r="F518" s="1186">
        <v>1</v>
      </c>
    </row>
    <row r="519" spans="1:6" x14ac:dyDescent="0.2">
      <c r="A519" s="1186" t="s">
        <v>116</v>
      </c>
      <c r="B519" s="1186" t="s">
        <v>17</v>
      </c>
      <c r="C519" s="1186" t="s">
        <v>26</v>
      </c>
      <c r="D519" s="1186">
        <v>17</v>
      </c>
      <c r="E519" s="1186"/>
      <c r="F519" s="1186">
        <v>2</v>
      </c>
    </row>
    <row r="520" spans="1:6" x14ac:dyDescent="0.2">
      <c r="A520" s="1186" t="s">
        <v>116</v>
      </c>
      <c r="B520" s="1186" t="s">
        <v>17</v>
      </c>
      <c r="C520" s="1186" t="s">
        <v>619</v>
      </c>
      <c r="D520" s="1186">
        <v>352</v>
      </c>
      <c r="E520" s="1186">
        <v>1</v>
      </c>
      <c r="F520" s="1186">
        <v>33</v>
      </c>
    </row>
    <row r="521" spans="1:6" x14ac:dyDescent="0.2">
      <c r="A521" s="1186" t="s">
        <v>116</v>
      </c>
      <c r="B521" s="1186" t="s">
        <v>17</v>
      </c>
      <c r="C521" s="1186" t="s">
        <v>27</v>
      </c>
      <c r="D521" s="1186">
        <v>21</v>
      </c>
      <c r="E521" s="1186"/>
      <c r="F521" s="1186">
        <v>1</v>
      </c>
    </row>
    <row r="522" spans="1:6" x14ac:dyDescent="0.2">
      <c r="A522" s="1186" t="s">
        <v>116</v>
      </c>
      <c r="B522" s="1186" t="s">
        <v>17</v>
      </c>
      <c r="C522" s="1186" t="s">
        <v>28</v>
      </c>
      <c r="D522" s="1186">
        <v>33</v>
      </c>
      <c r="E522" s="1186"/>
      <c r="F522" s="1186"/>
    </row>
    <row r="523" spans="1:6" x14ac:dyDescent="0.2">
      <c r="A523" s="1186" t="s">
        <v>116</v>
      </c>
      <c r="B523" s="1186" t="s">
        <v>17</v>
      </c>
      <c r="C523" s="1186" t="s">
        <v>29</v>
      </c>
      <c r="D523" s="1186">
        <v>52</v>
      </c>
      <c r="E523" s="1186"/>
      <c r="F523" s="1186">
        <v>4</v>
      </c>
    </row>
    <row r="524" spans="1:6" x14ac:dyDescent="0.2">
      <c r="A524" s="1186" t="s">
        <v>116</v>
      </c>
      <c r="B524" s="1186" t="s">
        <v>17</v>
      </c>
      <c r="C524" s="1186" t="s">
        <v>30</v>
      </c>
      <c r="D524" s="1186">
        <v>64</v>
      </c>
      <c r="E524" s="1186">
        <v>1</v>
      </c>
      <c r="F524" s="1186">
        <v>6</v>
      </c>
    </row>
    <row r="525" spans="1:6" x14ac:dyDescent="0.2">
      <c r="A525" s="1186" t="s">
        <v>116</v>
      </c>
      <c r="B525" s="1186" t="s">
        <v>17</v>
      </c>
      <c r="C525" s="1186" t="s">
        <v>31</v>
      </c>
      <c r="D525" s="1186">
        <v>34</v>
      </c>
      <c r="E525" s="1186"/>
      <c r="F525" s="1186">
        <v>5</v>
      </c>
    </row>
    <row r="526" spans="1:6" x14ac:dyDescent="0.2">
      <c r="A526" s="1186" t="s">
        <v>116</v>
      </c>
      <c r="B526" s="1186" t="s">
        <v>17</v>
      </c>
      <c r="C526" s="1186" t="s">
        <v>32</v>
      </c>
      <c r="D526" s="1186">
        <v>36</v>
      </c>
      <c r="E526" s="1186"/>
      <c r="F526" s="1186">
        <v>1</v>
      </c>
    </row>
    <row r="527" spans="1:6" x14ac:dyDescent="0.2">
      <c r="A527" s="1186" t="s">
        <v>116</v>
      </c>
      <c r="B527" s="1186" t="s">
        <v>17</v>
      </c>
      <c r="C527" s="1186" t="s">
        <v>33</v>
      </c>
      <c r="D527" s="1186">
        <v>26</v>
      </c>
      <c r="E527" s="1186"/>
      <c r="F527" s="1186"/>
    </row>
    <row r="528" spans="1:6" x14ac:dyDescent="0.2">
      <c r="A528" s="1186" t="s">
        <v>116</v>
      </c>
      <c r="B528" s="1186" t="s">
        <v>17</v>
      </c>
      <c r="C528" s="1186" t="s">
        <v>34</v>
      </c>
      <c r="D528" s="1186">
        <v>78</v>
      </c>
      <c r="E528" s="1186"/>
      <c r="F528" s="1186">
        <v>3</v>
      </c>
    </row>
    <row r="529" spans="1:6" x14ac:dyDescent="0.2">
      <c r="A529" s="1186" t="s">
        <v>116</v>
      </c>
      <c r="B529" s="1186" t="s">
        <v>17</v>
      </c>
      <c r="C529" s="1186" t="s">
        <v>35</v>
      </c>
      <c r="D529" s="1186">
        <v>98</v>
      </c>
      <c r="E529" s="1186"/>
      <c r="F529" s="1186">
        <v>5</v>
      </c>
    </row>
    <row r="530" spans="1:6" x14ac:dyDescent="0.2">
      <c r="A530" s="1186" t="s">
        <v>116</v>
      </c>
      <c r="B530" s="1186" t="s">
        <v>17</v>
      </c>
      <c r="C530" s="1186" t="s">
        <v>36</v>
      </c>
      <c r="D530" s="1186">
        <v>483</v>
      </c>
      <c r="E530" s="1186">
        <v>2</v>
      </c>
      <c r="F530" s="1186">
        <v>21</v>
      </c>
    </row>
    <row r="531" spans="1:6" x14ac:dyDescent="0.2">
      <c r="A531" s="1186" t="s">
        <v>116</v>
      </c>
      <c r="B531" s="1186" t="s">
        <v>17</v>
      </c>
      <c r="C531" s="1186" t="s">
        <v>37</v>
      </c>
      <c r="D531" s="1186">
        <v>34</v>
      </c>
      <c r="E531" s="1186"/>
      <c r="F531" s="1186">
        <v>1</v>
      </c>
    </row>
    <row r="532" spans="1:6" x14ac:dyDescent="0.2">
      <c r="A532" s="1186" t="s">
        <v>116</v>
      </c>
      <c r="B532" s="1186" t="s">
        <v>17</v>
      </c>
      <c r="C532" s="1186" t="s">
        <v>38</v>
      </c>
      <c r="D532" s="1186">
        <v>63</v>
      </c>
      <c r="E532" s="1186"/>
      <c r="F532" s="1186">
        <v>9</v>
      </c>
    </row>
    <row r="533" spans="1:6" x14ac:dyDescent="0.2">
      <c r="A533" s="1186" t="s">
        <v>116</v>
      </c>
      <c r="B533" s="1186" t="s">
        <v>17</v>
      </c>
      <c r="C533" s="1186" t="s">
        <v>39</v>
      </c>
      <c r="D533" s="1186">
        <v>44</v>
      </c>
      <c r="E533" s="1186"/>
      <c r="F533" s="1186">
        <v>2</v>
      </c>
    </row>
    <row r="534" spans="1:6" x14ac:dyDescent="0.2">
      <c r="A534" s="1186" t="s">
        <v>116</v>
      </c>
      <c r="B534" s="1186" t="s">
        <v>17</v>
      </c>
      <c r="C534" s="1186" t="s">
        <v>40</v>
      </c>
      <c r="D534" s="1186">
        <v>29</v>
      </c>
      <c r="E534" s="1186"/>
      <c r="F534" s="1186">
        <v>4</v>
      </c>
    </row>
    <row r="535" spans="1:6" x14ac:dyDescent="0.2">
      <c r="A535" s="1186" t="s">
        <v>116</v>
      </c>
      <c r="B535" s="1186" t="s">
        <v>17</v>
      </c>
      <c r="C535" s="1186" t="s">
        <v>295</v>
      </c>
      <c r="D535" s="1186">
        <v>1</v>
      </c>
      <c r="E535" s="1186"/>
      <c r="F535" s="1186"/>
    </row>
    <row r="536" spans="1:6" x14ac:dyDescent="0.2">
      <c r="A536" s="1186" t="s">
        <v>116</v>
      </c>
      <c r="B536" s="1186" t="s">
        <v>17</v>
      </c>
      <c r="C536" s="1186" t="s">
        <v>41</v>
      </c>
      <c r="D536" s="1186">
        <v>47</v>
      </c>
      <c r="E536" s="1186"/>
      <c r="F536" s="1186">
        <v>4</v>
      </c>
    </row>
    <row r="537" spans="1:6" x14ac:dyDescent="0.2">
      <c r="A537" s="1186" t="s">
        <v>116</v>
      </c>
      <c r="B537" s="1186" t="s">
        <v>17</v>
      </c>
      <c r="C537" s="1186" t="s">
        <v>42</v>
      </c>
      <c r="D537" s="1186">
        <v>253</v>
      </c>
      <c r="E537" s="1186"/>
      <c r="F537" s="1186">
        <v>32</v>
      </c>
    </row>
    <row r="538" spans="1:6" x14ac:dyDescent="0.2">
      <c r="A538" s="1186" t="s">
        <v>116</v>
      </c>
      <c r="B538" s="1186" t="s">
        <v>17</v>
      </c>
      <c r="C538" s="1186" t="s">
        <v>43</v>
      </c>
      <c r="D538" s="1186">
        <v>2</v>
      </c>
      <c r="E538" s="1186"/>
      <c r="F538" s="1186"/>
    </row>
    <row r="539" spans="1:6" x14ac:dyDescent="0.2">
      <c r="A539" s="1186" t="s">
        <v>116</v>
      </c>
      <c r="B539" s="1186" t="s">
        <v>17</v>
      </c>
      <c r="C539" s="1186" t="s">
        <v>44</v>
      </c>
      <c r="D539" s="1186">
        <v>34</v>
      </c>
      <c r="E539" s="1186"/>
      <c r="F539" s="1186">
        <v>10</v>
      </c>
    </row>
    <row r="540" spans="1:6" x14ac:dyDescent="0.2">
      <c r="A540" s="1186" t="s">
        <v>116</v>
      </c>
      <c r="B540" s="1186" t="s">
        <v>17</v>
      </c>
      <c r="C540" s="1186" t="s">
        <v>45</v>
      </c>
      <c r="D540" s="1186">
        <v>116</v>
      </c>
      <c r="E540" s="1186"/>
      <c r="F540" s="1186">
        <v>12</v>
      </c>
    </row>
    <row r="541" spans="1:6" x14ac:dyDescent="0.2">
      <c r="A541" s="1186" t="s">
        <v>116</v>
      </c>
      <c r="B541" s="1186" t="s">
        <v>17</v>
      </c>
      <c r="C541" s="1186" t="s">
        <v>46</v>
      </c>
      <c r="D541" s="1186">
        <v>31</v>
      </c>
      <c r="E541" s="1186"/>
      <c r="F541" s="1186">
        <v>2</v>
      </c>
    </row>
    <row r="542" spans="1:6" x14ac:dyDescent="0.2">
      <c r="A542" s="1186" t="s">
        <v>116</v>
      </c>
      <c r="B542" s="1186" t="s">
        <v>17</v>
      </c>
      <c r="C542" s="1186" t="s">
        <v>47</v>
      </c>
      <c r="D542" s="1186">
        <v>1</v>
      </c>
      <c r="E542" s="1186"/>
      <c r="F542" s="1186"/>
    </row>
    <row r="543" spans="1:6" x14ac:dyDescent="0.2">
      <c r="A543" s="1186" t="s">
        <v>116</v>
      </c>
      <c r="B543" s="1186" t="s">
        <v>17</v>
      </c>
      <c r="C543" s="1186" t="s">
        <v>48</v>
      </c>
      <c r="D543" s="1186">
        <v>29</v>
      </c>
      <c r="E543" s="1186"/>
      <c r="F543" s="1186">
        <v>3</v>
      </c>
    </row>
    <row r="544" spans="1:6" x14ac:dyDescent="0.2">
      <c r="A544" s="1186" t="s">
        <v>116</v>
      </c>
      <c r="B544" s="1186" t="s">
        <v>17</v>
      </c>
      <c r="C544" s="1186" t="s">
        <v>49</v>
      </c>
      <c r="D544" s="1186">
        <v>142</v>
      </c>
      <c r="E544" s="1186"/>
      <c r="F544" s="1186">
        <v>7</v>
      </c>
    </row>
    <row r="545" spans="1:6" x14ac:dyDescent="0.2">
      <c r="A545" s="1186" t="s">
        <v>116</v>
      </c>
      <c r="B545" s="1186" t="s">
        <v>17</v>
      </c>
      <c r="C545" s="1186" t="s">
        <v>50</v>
      </c>
      <c r="D545" s="1186">
        <v>26</v>
      </c>
      <c r="E545" s="1186">
        <v>1</v>
      </c>
      <c r="F545" s="1186">
        <v>5</v>
      </c>
    </row>
    <row r="546" spans="1:6" x14ac:dyDescent="0.2">
      <c r="A546" s="1186" t="s">
        <v>116</v>
      </c>
      <c r="B546" s="1186" t="s">
        <v>17</v>
      </c>
      <c r="C546" s="1186" t="s">
        <v>51</v>
      </c>
      <c r="D546" s="1186">
        <v>91</v>
      </c>
      <c r="E546" s="1186"/>
      <c r="F546" s="1186">
        <v>4</v>
      </c>
    </row>
    <row r="547" spans="1:6" x14ac:dyDescent="0.2">
      <c r="A547" s="1186" t="s">
        <v>116</v>
      </c>
      <c r="B547" s="1186" t="s">
        <v>17</v>
      </c>
      <c r="C547" s="1186" t="s">
        <v>52</v>
      </c>
      <c r="D547" s="1186">
        <v>131</v>
      </c>
      <c r="E547" s="1186"/>
      <c r="F547" s="1186">
        <v>7</v>
      </c>
    </row>
    <row r="548" spans="1:6" x14ac:dyDescent="0.2">
      <c r="A548" s="1186" t="s">
        <v>116</v>
      </c>
      <c r="B548" s="1186" t="s">
        <v>133</v>
      </c>
      <c r="C548" s="1186" t="s">
        <v>23</v>
      </c>
      <c r="D548" s="1186">
        <v>121</v>
      </c>
      <c r="E548" s="1186">
        <v>1</v>
      </c>
      <c r="F548" s="1186">
        <v>3</v>
      </c>
    </row>
    <row r="549" spans="1:6" x14ac:dyDescent="0.2">
      <c r="A549" s="1186" t="s">
        <v>116</v>
      </c>
      <c r="B549" s="1186" t="s">
        <v>133</v>
      </c>
      <c r="C549" s="1186" t="s">
        <v>24</v>
      </c>
      <c r="D549" s="1186">
        <v>63</v>
      </c>
      <c r="E549" s="1186"/>
      <c r="F549" s="1186">
        <v>3</v>
      </c>
    </row>
    <row r="550" spans="1:6" x14ac:dyDescent="0.2">
      <c r="A550" s="1186" t="s">
        <v>116</v>
      </c>
      <c r="B550" s="1186" t="s">
        <v>133</v>
      </c>
      <c r="C550" s="1186" t="s">
        <v>25</v>
      </c>
      <c r="D550" s="1186">
        <v>29</v>
      </c>
      <c r="E550" s="1186"/>
      <c r="F550" s="1186">
        <v>2</v>
      </c>
    </row>
    <row r="551" spans="1:6" x14ac:dyDescent="0.2">
      <c r="A551" s="1186" t="s">
        <v>116</v>
      </c>
      <c r="B551" s="1186" t="s">
        <v>133</v>
      </c>
      <c r="C551" s="1186" t="s">
        <v>26</v>
      </c>
      <c r="D551" s="1186">
        <v>14</v>
      </c>
      <c r="E551" s="1186"/>
      <c r="F551" s="1186">
        <v>1</v>
      </c>
    </row>
    <row r="552" spans="1:6" x14ac:dyDescent="0.2">
      <c r="A552" s="1186" t="s">
        <v>116</v>
      </c>
      <c r="B552" s="1186" t="s">
        <v>133</v>
      </c>
      <c r="C552" s="1186" t="s">
        <v>619</v>
      </c>
      <c r="D552" s="1186">
        <v>318</v>
      </c>
      <c r="E552" s="1186"/>
      <c r="F552" s="1186">
        <v>22</v>
      </c>
    </row>
    <row r="553" spans="1:6" x14ac:dyDescent="0.2">
      <c r="A553" s="1186" t="s">
        <v>116</v>
      </c>
      <c r="B553" s="1186" t="s">
        <v>133</v>
      </c>
      <c r="C553" s="1186" t="s">
        <v>27</v>
      </c>
      <c r="D553" s="1186">
        <v>25</v>
      </c>
      <c r="E553" s="1186"/>
      <c r="F553" s="1186"/>
    </row>
    <row r="554" spans="1:6" x14ac:dyDescent="0.2">
      <c r="A554" s="1186" t="s">
        <v>116</v>
      </c>
      <c r="B554" s="1186" t="s">
        <v>133</v>
      </c>
      <c r="C554" s="1186" t="s">
        <v>28</v>
      </c>
      <c r="D554" s="1186">
        <v>22</v>
      </c>
      <c r="E554" s="1186"/>
      <c r="F554" s="1186">
        <v>1</v>
      </c>
    </row>
    <row r="555" spans="1:6" x14ac:dyDescent="0.2">
      <c r="A555" s="1186" t="s">
        <v>116</v>
      </c>
      <c r="B555" s="1186" t="s">
        <v>133</v>
      </c>
      <c r="C555" s="1186" t="s">
        <v>29</v>
      </c>
      <c r="D555" s="1186">
        <v>84</v>
      </c>
      <c r="E555" s="1186"/>
      <c r="F555" s="1186">
        <v>3</v>
      </c>
    </row>
    <row r="556" spans="1:6" x14ac:dyDescent="0.2">
      <c r="A556" s="1186" t="s">
        <v>116</v>
      </c>
      <c r="B556" s="1186" t="s">
        <v>133</v>
      </c>
      <c r="C556" s="1186" t="s">
        <v>30</v>
      </c>
      <c r="D556" s="1186">
        <v>43</v>
      </c>
      <c r="E556" s="1186">
        <v>1</v>
      </c>
      <c r="F556" s="1186">
        <v>4</v>
      </c>
    </row>
    <row r="557" spans="1:6" x14ac:dyDescent="0.2">
      <c r="A557" s="1186" t="s">
        <v>116</v>
      </c>
      <c r="B557" s="1186" t="s">
        <v>133</v>
      </c>
      <c r="C557" s="1186" t="s">
        <v>31</v>
      </c>
      <c r="D557" s="1186">
        <v>40</v>
      </c>
      <c r="E557" s="1186"/>
      <c r="F557" s="1186">
        <v>6</v>
      </c>
    </row>
    <row r="558" spans="1:6" x14ac:dyDescent="0.2">
      <c r="A558" s="1186" t="s">
        <v>116</v>
      </c>
      <c r="B558" s="1186" t="s">
        <v>133</v>
      </c>
      <c r="C558" s="1186" t="s">
        <v>32</v>
      </c>
      <c r="D558" s="1186">
        <v>44</v>
      </c>
      <c r="E558" s="1186"/>
      <c r="F558" s="1186"/>
    </row>
    <row r="559" spans="1:6" x14ac:dyDescent="0.2">
      <c r="A559" s="1186" t="s">
        <v>116</v>
      </c>
      <c r="B559" s="1186" t="s">
        <v>133</v>
      </c>
      <c r="C559" s="1186" t="s">
        <v>33</v>
      </c>
      <c r="D559" s="1186">
        <v>18</v>
      </c>
      <c r="E559" s="1186"/>
      <c r="F559" s="1186"/>
    </row>
    <row r="560" spans="1:6" x14ac:dyDescent="0.2">
      <c r="A560" s="1186" t="s">
        <v>116</v>
      </c>
      <c r="B560" s="1186" t="s">
        <v>133</v>
      </c>
      <c r="C560" s="1186" t="s">
        <v>34</v>
      </c>
      <c r="D560" s="1186">
        <v>71</v>
      </c>
      <c r="E560" s="1186"/>
      <c r="F560" s="1186"/>
    </row>
    <row r="561" spans="1:6" x14ac:dyDescent="0.2">
      <c r="A561" s="1186" t="s">
        <v>116</v>
      </c>
      <c r="B561" s="1186" t="s">
        <v>133</v>
      </c>
      <c r="C561" s="1186" t="s">
        <v>35</v>
      </c>
      <c r="D561" s="1186">
        <v>101</v>
      </c>
      <c r="E561" s="1186">
        <v>1</v>
      </c>
      <c r="F561" s="1186">
        <v>4</v>
      </c>
    </row>
    <row r="562" spans="1:6" x14ac:dyDescent="0.2">
      <c r="A562" s="1186" t="s">
        <v>116</v>
      </c>
      <c r="B562" s="1186" t="s">
        <v>133</v>
      </c>
      <c r="C562" s="1186" t="s">
        <v>36</v>
      </c>
      <c r="D562" s="1186">
        <v>416</v>
      </c>
      <c r="E562" s="1186">
        <v>1</v>
      </c>
      <c r="F562" s="1186">
        <v>27</v>
      </c>
    </row>
    <row r="563" spans="1:6" x14ac:dyDescent="0.2">
      <c r="A563" s="1186" t="s">
        <v>116</v>
      </c>
      <c r="B563" s="1186" t="s">
        <v>133</v>
      </c>
      <c r="C563" s="1186" t="s">
        <v>37</v>
      </c>
      <c r="D563" s="1186">
        <v>31</v>
      </c>
      <c r="E563" s="1186"/>
      <c r="F563" s="1186">
        <v>5</v>
      </c>
    </row>
    <row r="564" spans="1:6" x14ac:dyDescent="0.2">
      <c r="A564" s="1186" t="s">
        <v>116</v>
      </c>
      <c r="B564" s="1186" t="s">
        <v>133</v>
      </c>
      <c r="C564" s="1186" t="s">
        <v>38</v>
      </c>
      <c r="D564" s="1186">
        <v>69</v>
      </c>
      <c r="E564" s="1186"/>
      <c r="F564" s="1186">
        <v>2</v>
      </c>
    </row>
    <row r="565" spans="1:6" x14ac:dyDescent="0.2">
      <c r="A565" s="1186" t="s">
        <v>116</v>
      </c>
      <c r="B565" s="1186" t="s">
        <v>133</v>
      </c>
      <c r="C565" s="1186" t="s">
        <v>39</v>
      </c>
      <c r="D565" s="1186">
        <v>65</v>
      </c>
      <c r="E565" s="1186"/>
      <c r="F565" s="1186">
        <v>6</v>
      </c>
    </row>
    <row r="566" spans="1:6" x14ac:dyDescent="0.2">
      <c r="A566" s="1186" t="s">
        <v>116</v>
      </c>
      <c r="B566" s="1186" t="s">
        <v>133</v>
      </c>
      <c r="C566" s="1186" t="s">
        <v>40</v>
      </c>
      <c r="D566" s="1186">
        <v>19</v>
      </c>
      <c r="E566" s="1186"/>
      <c r="F566" s="1186">
        <v>2</v>
      </c>
    </row>
    <row r="567" spans="1:6" x14ac:dyDescent="0.2">
      <c r="A567" s="1186" t="s">
        <v>116</v>
      </c>
      <c r="B567" s="1186" t="s">
        <v>133</v>
      </c>
      <c r="C567" s="1186" t="s">
        <v>295</v>
      </c>
      <c r="D567" s="1186">
        <v>2</v>
      </c>
      <c r="E567" s="1186"/>
      <c r="F567" s="1186"/>
    </row>
    <row r="568" spans="1:6" x14ac:dyDescent="0.2">
      <c r="A568" s="1186" t="s">
        <v>116</v>
      </c>
      <c r="B568" s="1186" t="s">
        <v>133</v>
      </c>
      <c r="C568" s="1186" t="s">
        <v>41</v>
      </c>
      <c r="D568" s="1186">
        <v>59</v>
      </c>
      <c r="E568" s="1186"/>
      <c r="F568" s="1186">
        <v>5</v>
      </c>
    </row>
    <row r="569" spans="1:6" x14ac:dyDescent="0.2">
      <c r="A569" s="1186" t="s">
        <v>116</v>
      </c>
      <c r="B569" s="1186" t="s">
        <v>133</v>
      </c>
      <c r="C569" s="1186" t="s">
        <v>42</v>
      </c>
      <c r="D569" s="1186">
        <v>209</v>
      </c>
      <c r="E569" s="1186">
        <v>1</v>
      </c>
      <c r="F569" s="1186">
        <v>25</v>
      </c>
    </row>
    <row r="570" spans="1:6" x14ac:dyDescent="0.2">
      <c r="A570" s="1186" t="s">
        <v>116</v>
      </c>
      <c r="B570" s="1186" t="s">
        <v>133</v>
      </c>
      <c r="C570" s="1186" t="s">
        <v>43</v>
      </c>
      <c r="D570" s="1186">
        <v>6</v>
      </c>
      <c r="E570" s="1186"/>
      <c r="F570" s="1186">
        <v>1</v>
      </c>
    </row>
    <row r="571" spans="1:6" x14ac:dyDescent="0.2">
      <c r="A571" s="1186" t="s">
        <v>116</v>
      </c>
      <c r="B571" s="1186" t="s">
        <v>133</v>
      </c>
      <c r="C571" s="1186" t="s">
        <v>44</v>
      </c>
      <c r="D571" s="1186">
        <v>32</v>
      </c>
      <c r="E571" s="1186"/>
      <c r="F571" s="1186">
        <v>1</v>
      </c>
    </row>
    <row r="572" spans="1:6" x14ac:dyDescent="0.2">
      <c r="A572" s="1186" t="s">
        <v>116</v>
      </c>
      <c r="B572" s="1186" t="s">
        <v>133</v>
      </c>
      <c r="C572" s="1186" t="s">
        <v>45</v>
      </c>
      <c r="D572" s="1186">
        <v>99</v>
      </c>
      <c r="E572" s="1186">
        <v>1</v>
      </c>
      <c r="F572" s="1186">
        <v>4</v>
      </c>
    </row>
    <row r="573" spans="1:6" x14ac:dyDescent="0.2">
      <c r="A573" s="1186" t="s">
        <v>116</v>
      </c>
      <c r="B573" s="1186" t="s">
        <v>133</v>
      </c>
      <c r="C573" s="1186" t="s">
        <v>46</v>
      </c>
      <c r="D573" s="1186">
        <v>30</v>
      </c>
      <c r="E573" s="1186"/>
      <c r="F573" s="1186">
        <v>1</v>
      </c>
    </row>
    <row r="574" spans="1:6" x14ac:dyDescent="0.2">
      <c r="A574" s="1186" t="s">
        <v>116</v>
      </c>
      <c r="B574" s="1186" t="s">
        <v>133</v>
      </c>
      <c r="C574" s="1186" t="s">
        <v>47</v>
      </c>
      <c r="D574" s="1186">
        <v>3</v>
      </c>
      <c r="E574" s="1186"/>
      <c r="F574" s="1186"/>
    </row>
    <row r="575" spans="1:6" x14ac:dyDescent="0.2">
      <c r="A575" s="1186" t="s">
        <v>116</v>
      </c>
      <c r="B575" s="1186" t="s">
        <v>133</v>
      </c>
      <c r="C575" s="1186" t="s">
        <v>48</v>
      </c>
      <c r="D575" s="1186">
        <v>36</v>
      </c>
      <c r="E575" s="1186">
        <v>1</v>
      </c>
      <c r="F575" s="1186">
        <v>6</v>
      </c>
    </row>
    <row r="576" spans="1:6" x14ac:dyDescent="0.2">
      <c r="A576" s="1186" t="s">
        <v>116</v>
      </c>
      <c r="B576" s="1186" t="s">
        <v>133</v>
      </c>
      <c r="C576" s="1186" t="s">
        <v>49</v>
      </c>
      <c r="D576" s="1186">
        <v>160</v>
      </c>
      <c r="E576" s="1186"/>
      <c r="F576" s="1186">
        <v>11</v>
      </c>
    </row>
    <row r="577" spans="1:6" x14ac:dyDescent="0.2">
      <c r="A577" s="1186" t="s">
        <v>116</v>
      </c>
      <c r="B577" s="1186" t="s">
        <v>133</v>
      </c>
      <c r="C577" s="1186" t="s">
        <v>50</v>
      </c>
      <c r="D577" s="1186">
        <v>31</v>
      </c>
      <c r="E577" s="1186"/>
      <c r="F577" s="1186">
        <v>3</v>
      </c>
    </row>
    <row r="578" spans="1:6" x14ac:dyDescent="0.2">
      <c r="A578" s="1186" t="s">
        <v>116</v>
      </c>
      <c r="B578" s="1186" t="s">
        <v>133</v>
      </c>
      <c r="C578" s="1186" t="s">
        <v>51</v>
      </c>
      <c r="D578" s="1186">
        <v>52</v>
      </c>
      <c r="E578" s="1186">
        <v>1</v>
      </c>
      <c r="F578" s="1186">
        <v>2</v>
      </c>
    </row>
    <row r="579" spans="1:6" x14ac:dyDescent="0.2">
      <c r="A579" s="1186" t="s">
        <v>116</v>
      </c>
      <c r="B579" s="1186" t="s">
        <v>133</v>
      </c>
      <c r="C579" s="1186" t="s">
        <v>52</v>
      </c>
      <c r="D579" s="1186">
        <v>101</v>
      </c>
      <c r="E579" s="1186"/>
      <c r="F579" s="1186">
        <v>9</v>
      </c>
    </row>
    <row r="580" spans="1:6" x14ac:dyDescent="0.2">
      <c r="A580" s="1186" t="s">
        <v>116</v>
      </c>
      <c r="B580" s="1186" t="s">
        <v>144</v>
      </c>
      <c r="C580" s="1186" t="s">
        <v>23</v>
      </c>
      <c r="D580" s="1186">
        <v>118</v>
      </c>
      <c r="E580" s="1186"/>
      <c r="F580" s="1186">
        <v>12</v>
      </c>
    </row>
    <row r="581" spans="1:6" x14ac:dyDescent="0.2">
      <c r="A581" s="1186" t="s">
        <v>116</v>
      </c>
      <c r="B581" s="1186" t="s">
        <v>144</v>
      </c>
      <c r="C581" s="1186" t="s">
        <v>24</v>
      </c>
      <c r="D581" s="1186">
        <v>56</v>
      </c>
      <c r="E581" s="1186">
        <v>2</v>
      </c>
      <c r="F581" s="1186">
        <v>3</v>
      </c>
    </row>
    <row r="582" spans="1:6" x14ac:dyDescent="0.2">
      <c r="A582" s="1186" t="s">
        <v>116</v>
      </c>
      <c r="B582" s="1186" t="s">
        <v>144</v>
      </c>
      <c r="C582" s="1186" t="s">
        <v>25</v>
      </c>
      <c r="D582" s="1186">
        <v>25</v>
      </c>
      <c r="E582" s="1186"/>
      <c r="F582" s="1186">
        <v>9</v>
      </c>
    </row>
    <row r="583" spans="1:6" x14ac:dyDescent="0.2">
      <c r="A583" s="1186" t="s">
        <v>116</v>
      </c>
      <c r="B583" s="1186" t="s">
        <v>144</v>
      </c>
      <c r="C583" s="1186" t="s">
        <v>26</v>
      </c>
      <c r="D583" s="1186">
        <v>9</v>
      </c>
      <c r="E583" s="1186"/>
      <c r="F583" s="1186"/>
    </row>
    <row r="584" spans="1:6" x14ac:dyDescent="0.2">
      <c r="A584" s="1186" t="s">
        <v>116</v>
      </c>
      <c r="B584" s="1186" t="s">
        <v>144</v>
      </c>
      <c r="C584" s="1186" t="s">
        <v>619</v>
      </c>
      <c r="D584" s="1186">
        <v>337</v>
      </c>
      <c r="E584" s="1186"/>
      <c r="F584" s="1186">
        <v>25</v>
      </c>
    </row>
    <row r="585" spans="1:6" x14ac:dyDescent="0.2">
      <c r="A585" s="1186" t="s">
        <v>116</v>
      </c>
      <c r="B585" s="1186" t="s">
        <v>144</v>
      </c>
      <c r="C585" s="1186" t="s">
        <v>27</v>
      </c>
      <c r="D585" s="1186">
        <v>20</v>
      </c>
      <c r="E585" s="1186"/>
      <c r="F585" s="1186">
        <v>3</v>
      </c>
    </row>
    <row r="586" spans="1:6" x14ac:dyDescent="0.2">
      <c r="A586" s="1186" t="s">
        <v>116</v>
      </c>
      <c r="B586" s="1186" t="s">
        <v>144</v>
      </c>
      <c r="C586" s="1186" t="s">
        <v>28</v>
      </c>
      <c r="D586" s="1186">
        <v>34</v>
      </c>
      <c r="E586" s="1186">
        <v>2</v>
      </c>
      <c r="F586" s="1186"/>
    </row>
    <row r="587" spans="1:6" x14ac:dyDescent="0.2">
      <c r="A587" s="1186" t="s">
        <v>116</v>
      </c>
      <c r="B587" s="1186" t="s">
        <v>144</v>
      </c>
      <c r="C587" s="1186" t="s">
        <v>29</v>
      </c>
      <c r="D587" s="1186">
        <v>75</v>
      </c>
      <c r="E587" s="1186"/>
      <c r="F587" s="1186">
        <v>1</v>
      </c>
    </row>
    <row r="588" spans="1:6" x14ac:dyDescent="0.2">
      <c r="A588" s="1186" t="s">
        <v>116</v>
      </c>
      <c r="B588" s="1186" t="s">
        <v>144</v>
      </c>
      <c r="C588" s="1186" t="s">
        <v>30</v>
      </c>
      <c r="D588" s="1186">
        <v>62</v>
      </c>
      <c r="E588" s="1186"/>
      <c r="F588" s="1186">
        <v>3</v>
      </c>
    </row>
    <row r="589" spans="1:6" x14ac:dyDescent="0.2">
      <c r="A589" s="1186" t="s">
        <v>116</v>
      </c>
      <c r="B589" s="1186" t="s">
        <v>144</v>
      </c>
      <c r="C589" s="1186" t="s">
        <v>31</v>
      </c>
      <c r="D589" s="1186">
        <v>45</v>
      </c>
      <c r="E589" s="1186"/>
      <c r="F589" s="1186">
        <v>2</v>
      </c>
    </row>
    <row r="590" spans="1:6" x14ac:dyDescent="0.2">
      <c r="A590" s="1186" t="s">
        <v>116</v>
      </c>
      <c r="B590" s="1186" t="s">
        <v>144</v>
      </c>
      <c r="C590" s="1186" t="s">
        <v>32</v>
      </c>
      <c r="D590" s="1186">
        <v>63</v>
      </c>
      <c r="E590" s="1186"/>
      <c r="F590" s="1186">
        <v>1</v>
      </c>
    </row>
    <row r="591" spans="1:6" x14ac:dyDescent="0.2">
      <c r="A591" s="1186" t="s">
        <v>116</v>
      </c>
      <c r="B591" s="1186" t="s">
        <v>144</v>
      </c>
      <c r="C591" s="1186" t="s">
        <v>33</v>
      </c>
      <c r="D591" s="1186">
        <v>34</v>
      </c>
      <c r="E591" s="1186">
        <v>1</v>
      </c>
      <c r="F591" s="1186">
        <v>1</v>
      </c>
    </row>
    <row r="592" spans="1:6" x14ac:dyDescent="0.2">
      <c r="A592" s="1186" t="s">
        <v>116</v>
      </c>
      <c r="B592" s="1186" t="s">
        <v>144</v>
      </c>
      <c r="C592" s="1186" t="s">
        <v>34</v>
      </c>
      <c r="D592" s="1186">
        <v>82</v>
      </c>
      <c r="E592" s="1186"/>
      <c r="F592" s="1186">
        <v>5</v>
      </c>
    </row>
    <row r="593" spans="1:6" x14ac:dyDescent="0.2">
      <c r="A593" s="1186" t="s">
        <v>116</v>
      </c>
      <c r="B593" s="1186" t="s">
        <v>144</v>
      </c>
      <c r="C593" s="1186" t="s">
        <v>35</v>
      </c>
      <c r="D593" s="1186">
        <v>125</v>
      </c>
      <c r="E593" s="1186"/>
      <c r="F593" s="1186">
        <v>4</v>
      </c>
    </row>
    <row r="594" spans="1:6" x14ac:dyDescent="0.2">
      <c r="A594" s="1186" t="s">
        <v>116</v>
      </c>
      <c r="B594" s="1186" t="s">
        <v>144</v>
      </c>
      <c r="C594" s="1186" t="s">
        <v>36</v>
      </c>
      <c r="D594" s="1186">
        <v>440</v>
      </c>
      <c r="E594" s="1186">
        <v>1</v>
      </c>
      <c r="F594" s="1186">
        <v>35</v>
      </c>
    </row>
    <row r="595" spans="1:6" x14ac:dyDescent="0.2">
      <c r="A595" s="1186" t="s">
        <v>116</v>
      </c>
      <c r="B595" s="1186" t="s">
        <v>144</v>
      </c>
      <c r="C595" s="1186" t="s">
        <v>37</v>
      </c>
      <c r="D595" s="1186">
        <v>48</v>
      </c>
      <c r="E595" s="1186"/>
      <c r="F595" s="1186">
        <v>2</v>
      </c>
    </row>
    <row r="596" spans="1:6" x14ac:dyDescent="0.2">
      <c r="A596" s="1186" t="s">
        <v>116</v>
      </c>
      <c r="B596" s="1186" t="s">
        <v>144</v>
      </c>
      <c r="C596" s="1186" t="s">
        <v>38</v>
      </c>
      <c r="D596" s="1186">
        <v>62</v>
      </c>
      <c r="E596" s="1186"/>
      <c r="F596" s="1186">
        <v>6</v>
      </c>
    </row>
    <row r="597" spans="1:6" x14ac:dyDescent="0.2">
      <c r="A597" s="1186" t="s">
        <v>116</v>
      </c>
      <c r="B597" s="1186" t="s">
        <v>144</v>
      </c>
      <c r="C597" s="1186" t="s">
        <v>39</v>
      </c>
      <c r="D597" s="1186">
        <v>65</v>
      </c>
      <c r="E597" s="1186"/>
      <c r="F597" s="1186"/>
    </row>
    <row r="598" spans="1:6" x14ac:dyDescent="0.2">
      <c r="A598" s="1186" t="s">
        <v>116</v>
      </c>
      <c r="B598" s="1186" t="s">
        <v>144</v>
      </c>
      <c r="C598" s="1186" t="s">
        <v>40</v>
      </c>
      <c r="D598" s="1186">
        <v>16</v>
      </c>
      <c r="E598" s="1186"/>
      <c r="F598" s="1186"/>
    </row>
    <row r="599" spans="1:6" x14ac:dyDescent="0.2">
      <c r="A599" s="1186" t="s">
        <v>116</v>
      </c>
      <c r="B599" s="1186" t="s">
        <v>144</v>
      </c>
      <c r="C599" s="1186" t="s">
        <v>295</v>
      </c>
      <c r="D599" s="1186">
        <v>3</v>
      </c>
      <c r="E599" s="1186"/>
      <c r="F599" s="1186"/>
    </row>
    <row r="600" spans="1:6" x14ac:dyDescent="0.2">
      <c r="A600" s="1186" t="s">
        <v>116</v>
      </c>
      <c r="B600" s="1186" t="s">
        <v>144</v>
      </c>
      <c r="C600" s="1186" t="s">
        <v>41</v>
      </c>
      <c r="D600" s="1186">
        <v>52</v>
      </c>
      <c r="E600" s="1186"/>
      <c r="F600" s="1186">
        <v>6</v>
      </c>
    </row>
    <row r="601" spans="1:6" x14ac:dyDescent="0.2">
      <c r="A601" s="1186" t="s">
        <v>116</v>
      </c>
      <c r="B601" s="1186" t="s">
        <v>144</v>
      </c>
      <c r="C601" s="1186" t="s">
        <v>42</v>
      </c>
      <c r="D601" s="1186">
        <v>216</v>
      </c>
      <c r="E601" s="1186"/>
      <c r="F601" s="1186">
        <v>20</v>
      </c>
    </row>
    <row r="602" spans="1:6" x14ac:dyDescent="0.2">
      <c r="A602" s="1186" t="s">
        <v>116</v>
      </c>
      <c r="B602" s="1186" t="s">
        <v>144</v>
      </c>
      <c r="C602" s="1186" t="s">
        <v>44</v>
      </c>
      <c r="D602" s="1186">
        <v>32</v>
      </c>
      <c r="E602" s="1186"/>
      <c r="F602" s="1186">
        <v>2</v>
      </c>
    </row>
    <row r="603" spans="1:6" x14ac:dyDescent="0.2">
      <c r="A603" s="1186" t="s">
        <v>116</v>
      </c>
      <c r="B603" s="1186" t="s">
        <v>144</v>
      </c>
      <c r="C603" s="1186" t="s">
        <v>45</v>
      </c>
      <c r="D603" s="1186">
        <v>101</v>
      </c>
      <c r="E603" s="1186"/>
      <c r="F603" s="1186">
        <v>8</v>
      </c>
    </row>
    <row r="604" spans="1:6" x14ac:dyDescent="0.2">
      <c r="A604" s="1186" t="s">
        <v>116</v>
      </c>
      <c r="B604" s="1186" t="s">
        <v>144</v>
      </c>
      <c r="C604" s="1186" t="s">
        <v>46</v>
      </c>
      <c r="D604" s="1186">
        <v>42</v>
      </c>
      <c r="E604" s="1186"/>
      <c r="F604" s="1186">
        <v>1</v>
      </c>
    </row>
    <row r="605" spans="1:6" x14ac:dyDescent="0.2">
      <c r="A605" s="1186" t="s">
        <v>116</v>
      </c>
      <c r="B605" s="1186" t="s">
        <v>144</v>
      </c>
      <c r="C605" s="1186" t="s">
        <v>47</v>
      </c>
      <c r="D605" s="1186">
        <v>3</v>
      </c>
      <c r="E605" s="1186">
        <v>1</v>
      </c>
      <c r="F605" s="1186"/>
    </row>
    <row r="606" spans="1:6" x14ac:dyDescent="0.2">
      <c r="A606" s="1186" t="s">
        <v>116</v>
      </c>
      <c r="B606" s="1186" t="s">
        <v>144</v>
      </c>
      <c r="C606" s="1186" t="s">
        <v>48</v>
      </c>
      <c r="D606" s="1186">
        <v>35</v>
      </c>
      <c r="E606" s="1186"/>
      <c r="F606" s="1186"/>
    </row>
    <row r="607" spans="1:6" x14ac:dyDescent="0.2">
      <c r="A607" s="1186" t="s">
        <v>116</v>
      </c>
      <c r="B607" s="1186" t="s">
        <v>144</v>
      </c>
      <c r="C607" s="1186" t="s">
        <v>49</v>
      </c>
      <c r="D607" s="1186">
        <v>123</v>
      </c>
      <c r="E607" s="1186"/>
      <c r="F607" s="1186">
        <v>12</v>
      </c>
    </row>
    <row r="608" spans="1:6" x14ac:dyDescent="0.2">
      <c r="A608" s="1186" t="s">
        <v>116</v>
      </c>
      <c r="B608" s="1186" t="s">
        <v>144</v>
      </c>
      <c r="C608" s="1186" t="s">
        <v>50</v>
      </c>
      <c r="D608" s="1186">
        <v>49</v>
      </c>
      <c r="E608" s="1186"/>
      <c r="F608" s="1186">
        <v>7</v>
      </c>
    </row>
    <row r="609" spans="1:6" x14ac:dyDescent="0.2">
      <c r="A609" s="1186" t="s">
        <v>116</v>
      </c>
      <c r="B609" s="1186" t="s">
        <v>144</v>
      </c>
      <c r="C609" s="1186" t="s">
        <v>51</v>
      </c>
      <c r="D609" s="1186">
        <v>62</v>
      </c>
      <c r="E609" s="1186"/>
      <c r="F609" s="1186">
        <v>10</v>
      </c>
    </row>
    <row r="610" spans="1:6" x14ac:dyDescent="0.2">
      <c r="A610" s="1186" t="s">
        <v>116</v>
      </c>
      <c r="B610" s="1186" t="s">
        <v>144</v>
      </c>
      <c r="C610" s="1186" t="s">
        <v>52</v>
      </c>
      <c r="D610" s="1186">
        <v>153</v>
      </c>
      <c r="E610" s="1186">
        <v>1</v>
      </c>
      <c r="F610" s="1186">
        <v>5</v>
      </c>
    </row>
    <row r="611" spans="1:6" x14ac:dyDescent="0.2">
      <c r="A611" s="1186" t="s">
        <v>116</v>
      </c>
      <c r="B611" s="1186" t="s">
        <v>282</v>
      </c>
      <c r="C611" s="1186" t="s">
        <v>23</v>
      </c>
      <c r="D611" s="1186">
        <v>125</v>
      </c>
      <c r="E611" s="1186"/>
      <c r="F611" s="1186">
        <v>4</v>
      </c>
    </row>
    <row r="612" spans="1:6" x14ac:dyDescent="0.2">
      <c r="A612" s="1186" t="s">
        <v>116</v>
      </c>
      <c r="B612" s="1186" t="s">
        <v>282</v>
      </c>
      <c r="C612" s="1186" t="s">
        <v>24</v>
      </c>
      <c r="D612" s="1186">
        <v>55</v>
      </c>
      <c r="E612" s="1186"/>
      <c r="F612" s="1186">
        <v>3</v>
      </c>
    </row>
    <row r="613" spans="1:6" x14ac:dyDescent="0.2">
      <c r="A613" s="1186" t="s">
        <v>116</v>
      </c>
      <c r="B613" s="1186" t="s">
        <v>282</v>
      </c>
      <c r="C613" s="1186" t="s">
        <v>25</v>
      </c>
      <c r="D613" s="1186">
        <v>23</v>
      </c>
      <c r="E613" s="1186"/>
      <c r="F613" s="1186"/>
    </row>
    <row r="614" spans="1:6" x14ac:dyDescent="0.2">
      <c r="A614" s="1186" t="s">
        <v>116</v>
      </c>
      <c r="B614" s="1186" t="s">
        <v>282</v>
      </c>
      <c r="C614" s="1186" t="s">
        <v>26</v>
      </c>
      <c r="D614" s="1186">
        <v>9</v>
      </c>
      <c r="E614" s="1186"/>
      <c r="F614" s="1186">
        <v>5</v>
      </c>
    </row>
    <row r="615" spans="1:6" x14ac:dyDescent="0.2">
      <c r="A615" s="1186" t="s">
        <v>116</v>
      </c>
      <c r="B615" s="1186" t="s">
        <v>282</v>
      </c>
      <c r="C615" s="1186" t="s">
        <v>619</v>
      </c>
      <c r="D615" s="1186">
        <v>378</v>
      </c>
      <c r="E615" s="1186"/>
      <c r="F615" s="1186">
        <v>32</v>
      </c>
    </row>
    <row r="616" spans="1:6" x14ac:dyDescent="0.2">
      <c r="A616" s="1186" t="s">
        <v>116</v>
      </c>
      <c r="B616" s="1186" t="s">
        <v>282</v>
      </c>
      <c r="C616" s="1186" t="s">
        <v>27</v>
      </c>
      <c r="D616" s="1186">
        <v>13</v>
      </c>
      <c r="E616" s="1186"/>
      <c r="F616" s="1186"/>
    </row>
    <row r="617" spans="1:6" x14ac:dyDescent="0.2">
      <c r="A617" s="1186" t="s">
        <v>116</v>
      </c>
      <c r="B617" s="1186" t="s">
        <v>282</v>
      </c>
      <c r="C617" s="1186" t="s">
        <v>28</v>
      </c>
      <c r="D617" s="1186">
        <v>44</v>
      </c>
      <c r="E617" s="1186">
        <v>1</v>
      </c>
      <c r="F617" s="1186"/>
    </row>
    <row r="618" spans="1:6" x14ac:dyDescent="0.2">
      <c r="A618" s="1186" t="s">
        <v>116</v>
      </c>
      <c r="B618" s="1186" t="s">
        <v>282</v>
      </c>
      <c r="C618" s="1186" t="s">
        <v>29</v>
      </c>
      <c r="D618" s="1186">
        <v>71</v>
      </c>
      <c r="E618" s="1186">
        <v>1</v>
      </c>
      <c r="F618" s="1186">
        <v>9</v>
      </c>
    </row>
    <row r="619" spans="1:6" x14ac:dyDescent="0.2">
      <c r="A619" s="1186" t="s">
        <v>116</v>
      </c>
      <c r="B619" s="1186" t="s">
        <v>282</v>
      </c>
      <c r="C619" s="1186" t="s">
        <v>30</v>
      </c>
      <c r="D619" s="1186">
        <v>53</v>
      </c>
      <c r="E619" s="1186">
        <v>1</v>
      </c>
      <c r="F619" s="1186">
        <v>4</v>
      </c>
    </row>
    <row r="620" spans="1:6" x14ac:dyDescent="0.2">
      <c r="A620" s="1186" t="s">
        <v>116</v>
      </c>
      <c r="B620" s="1186" t="s">
        <v>282</v>
      </c>
      <c r="C620" s="1186" t="s">
        <v>31</v>
      </c>
      <c r="D620" s="1186">
        <v>49</v>
      </c>
      <c r="E620" s="1186">
        <v>1</v>
      </c>
      <c r="F620" s="1186">
        <v>4</v>
      </c>
    </row>
    <row r="621" spans="1:6" x14ac:dyDescent="0.2">
      <c r="A621" s="1186" t="s">
        <v>116</v>
      </c>
      <c r="B621" s="1186" t="s">
        <v>282</v>
      </c>
      <c r="C621" s="1186" t="s">
        <v>32</v>
      </c>
      <c r="D621" s="1186">
        <v>39</v>
      </c>
      <c r="E621" s="1186"/>
      <c r="F621" s="1186">
        <v>2</v>
      </c>
    </row>
    <row r="622" spans="1:6" x14ac:dyDescent="0.2">
      <c r="A622" s="1186" t="s">
        <v>116</v>
      </c>
      <c r="B622" s="1186" t="s">
        <v>282</v>
      </c>
      <c r="C622" s="1186" t="s">
        <v>33</v>
      </c>
      <c r="D622" s="1186">
        <v>26</v>
      </c>
      <c r="E622" s="1186"/>
      <c r="F622" s="1186">
        <v>1</v>
      </c>
    </row>
    <row r="623" spans="1:6" x14ac:dyDescent="0.2">
      <c r="A623" s="1186" t="s">
        <v>116</v>
      </c>
      <c r="B623" s="1186" t="s">
        <v>282</v>
      </c>
      <c r="C623" s="1186" t="s">
        <v>34</v>
      </c>
      <c r="D623" s="1186">
        <v>79</v>
      </c>
      <c r="E623" s="1186">
        <v>1</v>
      </c>
      <c r="F623" s="1186"/>
    </row>
    <row r="624" spans="1:6" x14ac:dyDescent="0.2">
      <c r="A624" s="1186" t="s">
        <v>116</v>
      </c>
      <c r="B624" s="1186" t="s">
        <v>282</v>
      </c>
      <c r="C624" s="1186" t="s">
        <v>35</v>
      </c>
      <c r="D624" s="1186">
        <v>180</v>
      </c>
      <c r="E624" s="1186"/>
      <c r="F624" s="1186">
        <v>9</v>
      </c>
    </row>
    <row r="625" spans="1:6" x14ac:dyDescent="0.2">
      <c r="A625" s="1186" t="s">
        <v>116</v>
      </c>
      <c r="B625" s="1186" t="s">
        <v>282</v>
      </c>
      <c r="C625" s="1186" t="s">
        <v>36</v>
      </c>
      <c r="D625" s="1186">
        <v>452</v>
      </c>
      <c r="E625" s="1186">
        <v>1</v>
      </c>
      <c r="F625" s="1186">
        <v>43</v>
      </c>
    </row>
    <row r="626" spans="1:6" x14ac:dyDescent="0.2">
      <c r="A626" s="1186" t="s">
        <v>116</v>
      </c>
      <c r="B626" s="1186" t="s">
        <v>282</v>
      </c>
      <c r="C626" s="1186" t="s">
        <v>37</v>
      </c>
      <c r="D626" s="1186">
        <v>32</v>
      </c>
      <c r="E626" s="1186">
        <v>1</v>
      </c>
      <c r="F626" s="1186">
        <v>5</v>
      </c>
    </row>
    <row r="627" spans="1:6" x14ac:dyDescent="0.2">
      <c r="A627" s="1186" t="s">
        <v>116</v>
      </c>
      <c r="B627" s="1186" t="s">
        <v>282</v>
      </c>
      <c r="C627" s="1186" t="s">
        <v>38</v>
      </c>
      <c r="D627" s="1186">
        <v>53</v>
      </c>
      <c r="E627" s="1186"/>
      <c r="F627" s="1186">
        <v>4</v>
      </c>
    </row>
    <row r="628" spans="1:6" x14ac:dyDescent="0.2">
      <c r="A628" s="1186" t="s">
        <v>116</v>
      </c>
      <c r="B628" s="1186" t="s">
        <v>282</v>
      </c>
      <c r="C628" s="1186" t="s">
        <v>39</v>
      </c>
      <c r="D628" s="1186">
        <v>78</v>
      </c>
      <c r="E628" s="1186"/>
      <c r="F628" s="1186"/>
    </row>
    <row r="629" spans="1:6" x14ac:dyDescent="0.2">
      <c r="A629" s="1186" t="s">
        <v>116</v>
      </c>
      <c r="B629" s="1186" t="s">
        <v>282</v>
      </c>
      <c r="C629" s="1186" t="s">
        <v>40</v>
      </c>
      <c r="D629" s="1186">
        <v>18</v>
      </c>
      <c r="E629" s="1186"/>
      <c r="F629" s="1186">
        <v>2</v>
      </c>
    </row>
    <row r="630" spans="1:6" x14ac:dyDescent="0.2">
      <c r="A630" s="1186" t="s">
        <v>116</v>
      </c>
      <c r="B630" s="1186" t="s">
        <v>282</v>
      </c>
      <c r="C630" s="1186" t="s">
        <v>295</v>
      </c>
      <c r="D630" s="1186">
        <v>1</v>
      </c>
      <c r="E630" s="1186"/>
      <c r="F630" s="1186"/>
    </row>
    <row r="631" spans="1:6" x14ac:dyDescent="0.2">
      <c r="A631" s="1186" t="s">
        <v>116</v>
      </c>
      <c r="B631" s="1186" t="s">
        <v>282</v>
      </c>
      <c r="C631" s="1186" t="s">
        <v>41</v>
      </c>
      <c r="D631" s="1186">
        <v>49</v>
      </c>
      <c r="E631" s="1186">
        <v>1</v>
      </c>
      <c r="F631" s="1186">
        <v>1</v>
      </c>
    </row>
    <row r="632" spans="1:6" x14ac:dyDescent="0.2">
      <c r="A632" s="1186" t="s">
        <v>116</v>
      </c>
      <c r="B632" s="1186" t="s">
        <v>282</v>
      </c>
      <c r="C632" s="1186" t="s">
        <v>42</v>
      </c>
      <c r="D632" s="1186">
        <v>224</v>
      </c>
      <c r="E632" s="1186"/>
      <c r="F632" s="1186">
        <v>31</v>
      </c>
    </row>
    <row r="633" spans="1:6" x14ac:dyDescent="0.2">
      <c r="A633" s="1186" t="s">
        <v>116</v>
      </c>
      <c r="B633" s="1186" t="s">
        <v>282</v>
      </c>
      <c r="C633" s="1186" t="s">
        <v>43</v>
      </c>
      <c r="D633" s="1186">
        <v>2</v>
      </c>
      <c r="E633" s="1186"/>
      <c r="F633" s="1186"/>
    </row>
    <row r="634" spans="1:6" x14ac:dyDescent="0.2">
      <c r="A634" s="1186" t="s">
        <v>116</v>
      </c>
      <c r="B634" s="1186" t="s">
        <v>282</v>
      </c>
      <c r="C634" s="1186" t="s">
        <v>44</v>
      </c>
      <c r="D634" s="1186">
        <v>33</v>
      </c>
      <c r="E634" s="1186"/>
      <c r="F634" s="1186">
        <v>9</v>
      </c>
    </row>
    <row r="635" spans="1:6" x14ac:dyDescent="0.2">
      <c r="A635" s="1186" t="s">
        <v>116</v>
      </c>
      <c r="B635" s="1186" t="s">
        <v>282</v>
      </c>
      <c r="C635" s="1186" t="s">
        <v>45</v>
      </c>
      <c r="D635" s="1186">
        <v>109</v>
      </c>
      <c r="E635" s="1186"/>
      <c r="F635" s="1186">
        <v>10</v>
      </c>
    </row>
    <row r="636" spans="1:6" x14ac:dyDescent="0.2">
      <c r="A636" s="1186" t="s">
        <v>116</v>
      </c>
      <c r="B636" s="1186" t="s">
        <v>282</v>
      </c>
      <c r="C636" s="1186" t="s">
        <v>46</v>
      </c>
      <c r="D636" s="1186">
        <v>33</v>
      </c>
      <c r="E636" s="1186"/>
      <c r="F636" s="1186"/>
    </row>
    <row r="637" spans="1:6" x14ac:dyDescent="0.2">
      <c r="A637" s="1186" t="s">
        <v>116</v>
      </c>
      <c r="B637" s="1186" t="s">
        <v>282</v>
      </c>
      <c r="C637" s="1186" t="s">
        <v>47</v>
      </c>
      <c r="D637" s="1186">
        <v>2</v>
      </c>
      <c r="E637" s="1186"/>
      <c r="F637" s="1186"/>
    </row>
    <row r="638" spans="1:6" x14ac:dyDescent="0.2">
      <c r="A638" s="1186" t="s">
        <v>116</v>
      </c>
      <c r="B638" s="1186" t="s">
        <v>282</v>
      </c>
      <c r="C638" s="1186" t="s">
        <v>48</v>
      </c>
      <c r="D638" s="1186">
        <v>36</v>
      </c>
      <c r="E638" s="1186"/>
      <c r="F638" s="1186">
        <v>6</v>
      </c>
    </row>
    <row r="639" spans="1:6" x14ac:dyDescent="0.2">
      <c r="A639" s="1186" t="s">
        <v>116</v>
      </c>
      <c r="B639" s="1186" t="s">
        <v>282</v>
      </c>
      <c r="C639" s="1186" t="s">
        <v>49</v>
      </c>
      <c r="D639" s="1186">
        <v>169</v>
      </c>
      <c r="E639" s="1186">
        <v>1</v>
      </c>
      <c r="F639" s="1186">
        <v>14</v>
      </c>
    </row>
    <row r="640" spans="1:6" x14ac:dyDescent="0.2">
      <c r="A640" s="1186" t="s">
        <v>116</v>
      </c>
      <c r="B640" s="1186" t="s">
        <v>282</v>
      </c>
      <c r="C640" s="1186" t="s">
        <v>50</v>
      </c>
      <c r="D640" s="1186">
        <v>53</v>
      </c>
      <c r="E640" s="1186"/>
      <c r="F640" s="1186">
        <v>5</v>
      </c>
    </row>
    <row r="641" spans="1:6" x14ac:dyDescent="0.2">
      <c r="A641" s="1186" t="s">
        <v>116</v>
      </c>
      <c r="B641" s="1186" t="s">
        <v>282</v>
      </c>
      <c r="C641" s="1186" t="s">
        <v>51</v>
      </c>
      <c r="D641" s="1186">
        <v>81</v>
      </c>
      <c r="E641" s="1186"/>
      <c r="F641" s="1186">
        <v>1</v>
      </c>
    </row>
    <row r="642" spans="1:6" x14ac:dyDescent="0.2">
      <c r="A642" s="1186" t="s">
        <v>116</v>
      </c>
      <c r="B642" s="1186" t="s">
        <v>282</v>
      </c>
      <c r="C642" s="1186" t="s">
        <v>52</v>
      </c>
      <c r="D642" s="1186">
        <v>126</v>
      </c>
      <c r="E642" s="1186"/>
      <c r="F642" s="1186">
        <v>9</v>
      </c>
    </row>
    <row r="643" spans="1:6" x14ac:dyDescent="0.2">
      <c r="A643" s="1186" t="s">
        <v>116</v>
      </c>
      <c r="B643" s="1186" t="s">
        <v>311</v>
      </c>
      <c r="C643" s="1186" t="s">
        <v>23</v>
      </c>
      <c r="D643" s="1186">
        <v>100</v>
      </c>
      <c r="E643" s="1186"/>
      <c r="F643" s="1186">
        <v>9</v>
      </c>
    </row>
    <row r="644" spans="1:6" x14ac:dyDescent="0.2">
      <c r="A644" s="1186" t="s">
        <v>116</v>
      </c>
      <c r="B644" s="1186" t="s">
        <v>311</v>
      </c>
      <c r="C644" s="1186" t="s">
        <v>24</v>
      </c>
      <c r="D644" s="1186">
        <v>49</v>
      </c>
      <c r="E644" s="1186"/>
      <c r="F644" s="1186">
        <v>2</v>
      </c>
    </row>
    <row r="645" spans="1:6" x14ac:dyDescent="0.2">
      <c r="A645" s="1186" t="s">
        <v>116</v>
      </c>
      <c r="B645" s="1186" t="s">
        <v>311</v>
      </c>
      <c r="C645" s="1186" t="s">
        <v>25</v>
      </c>
      <c r="D645" s="1186">
        <v>30</v>
      </c>
      <c r="E645" s="1186"/>
      <c r="F645" s="1186">
        <v>1</v>
      </c>
    </row>
    <row r="646" spans="1:6" x14ac:dyDescent="0.2">
      <c r="A646" s="1186" t="s">
        <v>116</v>
      </c>
      <c r="B646" s="1186" t="s">
        <v>311</v>
      </c>
      <c r="C646" s="1186" t="s">
        <v>26</v>
      </c>
      <c r="D646" s="1186">
        <v>27</v>
      </c>
      <c r="E646" s="1186"/>
      <c r="F646" s="1186">
        <v>3</v>
      </c>
    </row>
    <row r="647" spans="1:6" x14ac:dyDescent="0.2">
      <c r="A647" s="1186" t="s">
        <v>116</v>
      </c>
      <c r="B647" s="1186" t="s">
        <v>311</v>
      </c>
      <c r="C647" s="1186" t="s">
        <v>619</v>
      </c>
      <c r="D647" s="1186">
        <v>298</v>
      </c>
      <c r="E647" s="1186"/>
      <c r="F647" s="1186">
        <v>13</v>
      </c>
    </row>
    <row r="648" spans="1:6" x14ac:dyDescent="0.2">
      <c r="A648" s="1186" t="s">
        <v>116</v>
      </c>
      <c r="B648" s="1186" t="s">
        <v>311</v>
      </c>
      <c r="C648" s="1186" t="s">
        <v>27</v>
      </c>
      <c r="D648" s="1186">
        <v>24</v>
      </c>
      <c r="E648" s="1186"/>
      <c r="F648" s="1186">
        <v>1</v>
      </c>
    </row>
    <row r="649" spans="1:6" x14ac:dyDescent="0.2">
      <c r="A649" s="1186" t="s">
        <v>116</v>
      </c>
      <c r="B649" s="1186" t="s">
        <v>311</v>
      </c>
      <c r="C649" s="1186" t="s">
        <v>28</v>
      </c>
      <c r="D649" s="1186">
        <v>38</v>
      </c>
      <c r="E649" s="1186">
        <v>1</v>
      </c>
      <c r="F649" s="1186">
        <v>1</v>
      </c>
    </row>
    <row r="650" spans="1:6" x14ac:dyDescent="0.2">
      <c r="A650" s="1186" t="s">
        <v>116</v>
      </c>
      <c r="B650" s="1186" t="s">
        <v>311</v>
      </c>
      <c r="C650" s="1186" t="s">
        <v>29</v>
      </c>
      <c r="D650" s="1186">
        <v>73</v>
      </c>
      <c r="E650" s="1186"/>
      <c r="F650" s="1186">
        <v>4</v>
      </c>
    </row>
    <row r="651" spans="1:6" x14ac:dyDescent="0.2">
      <c r="A651" s="1186" t="s">
        <v>116</v>
      </c>
      <c r="B651" s="1186" t="s">
        <v>311</v>
      </c>
      <c r="C651" s="1186" t="s">
        <v>30</v>
      </c>
      <c r="D651" s="1186">
        <v>47</v>
      </c>
      <c r="E651" s="1186"/>
      <c r="F651" s="1186">
        <v>7</v>
      </c>
    </row>
    <row r="652" spans="1:6" x14ac:dyDescent="0.2">
      <c r="A652" s="1186" t="s">
        <v>116</v>
      </c>
      <c r="B652" s="1186" t="s">
        <v>311</v>
      </c>
      <c r="C652" s="1186" t="s">
        <v>31</v>
      </c>
      <c r="D652" s="1186">
        <v>57</v>
      </c>
      <c r="E652" s="1186"/>
      <c r="F652" s="1186">
        <v>1</v>
      </c>
    </row>
    <row r="653" spans="1:6" x14ac:dyDescent="0.2">
      <c r="A653" s="1186" t="s">
        <v>116</v>
      </c>
      <c r="B653" s="1186" t="s">
        <v>311</v>
      </c>
      <c r="C653" s="1186" t="s">
        <v>32</v>
      </c>
      <c r="D653" s="1186">
        <v>59</v>
      </c>
      <c r="E653" s="1186"/>
      <c r="F653" s="1186"/>
    </row>
    <row r="654" spans="1:6" x14ac:dyDescent="0.2">
      <c r="A654" s="1186" t="s">
        <v>116</v>
      </c>
      <c r="B654" s="1186" t="s">
        <v>311</v>
      </c>
      <c r="C654" s="1186" t="s">
        <v>33</v>
      </c>
      <c r="D654" s="1186">
        <v>19</v>
      </c>
      <c r="E654" s="1186"/>
      <c r="F654" s="1186">
        <v>2</v>
      </c>
    </row>
    <row r="655" spans="1:6" x14ac:dyDescent="0.2">
      <c r="A655" s="1186" t="s">
        <v>116</v>
      </c>
      <c r="B655" s="1186" t="s">
        <v>311</v>
      </c>
      <c r="C655" s="1186" t="s">
        <v>34</v>
      </c>
      <c r="D655" s="1186">
        <v>144</v>
      </c>
      <c r="E655" s="1186"/>
      <c r="F655" s="1186">
        <v>8</v>
      </c>
    </row>
    <row r="656" spans="1:6" x14ac:dyDescent="0.2">
      <c r="A656" s="1186" t="s">
        <v>116</v>
      </c>
      <c r="B656" s="1186" t="s">
        <v>311</v>
      </c>
      <c r="C656" s="1186" t="s">
        <v>35</v>
      </c>
      <c r="D656" s="1186">
        <v>151</v>
      </c>
      <c r="E656" s="1186"/>
      <c r="F656" s="1186">
        <v>3</v>
      </c>
    </row>
    <row r="657" spans="1:6" x14ac:dyDescent="0.2">
      <c r="A657" s="1186" t="s">
        <v>116</v>
      </c>
      <c r="B657" s="1186" t="s">
        <v>311</v>
      </c>
      <c r="C657" s="1186" t="s">
        <v>36</v>
      </c>
      <c r="D657" s="1186">
        <v>448</v>
      </c>
      <c r="E657" s="1186">
        <v>1</v>
      </c>
      <c r="F657" s="1186">
        <v>41</v>
      </c>
    </row>
    <row r="658" spans="1:6" x14ac:dyDescent="0.2">
      <c r="A658" s="1186" t="s">
        <v>116</v>
      </c>
      <c r="B658" s="1186" t="s">
        <v>311</v>
      </c>
      <c r="C658" s="1186" t="s">
        <v>37</v>
      </c>
      <c r="D658" s="1186">
        <v>23</v>
      </c>
      <c r="E658" s="1186"/>
      <c r="F658" s="1186">
        <v>1</v>
      </c>
    </row>
    <row r="659" spans="1:6" x14ac:dyDescent="0.2">
      <c r="A659" s="1186" t="s">
        <v>116</v>
      </c>
      <c r="B659" s="1186" t="s">
        <v>311</v>
      </c>
      <c r="C659" s="1186" t="s">
        <v>38</v>
      </c>
      <c r="D659" s="1186">
        <v>66</v>
      </c>
      <c r="E659" s="1186"/>
      <c r="F659" s="1186">
        <v>9</v>
      </c>
    </row>
    <row r="660" spans="1:6" x14ac:dyDescent="0.2">
      <c r="A660" s="1186" t="s">
        <v>116</v>
      </c>
      <c r="B660" s="1186" t="s">
        <v>311</v>
      </c>
      <c r="C660" s="1186" t="s">
        <v>39</v>
      </c>
      <c r="D660" s="1186">
        <v>95</v>
      </c>
      <c r="E660" s="1186"/>
      <c r="F660" s="1186">
        <v>1</v>
      </c>
    </row>
    <row r="661" spans="1:6" x14ac:dyDescent="0.2">
      <c r="A661" s="1186" t="s">
        <v>116</v>
      </c>
      <c r="B661" s="1186" t="s">
        <v>311</v>
      </c>
      <c r="C661" s="1186" t="s">
        <v>40</v>
      </c>
      <c r="D661" s="1186">
        <v>25</v>
      </c>
      <c r="E661" s="1186"/>
      <c r="F661" s="1186">
        <v>4</v>
      </c>
    </row>
    <row r="662" spans="1:6" x14ac:dyDescent="0.2">
      <c r="A662" s="1186" t="s">
        <v>116</v>
      </c>
      <c r="B662" s="1186" t="s">
        <v>311</v>
      </c>
      <c r="C662" s="1186" t="s">
        <v>295</v>
      </c>
      <c r="D662" s="1186">
        <v>3</v>
      </c>
      <c r="E662" s="1186">
        <v>1</v>
      </c>
      <c r="F662" s="1186"/>
    </row>
    <row r="663" spans="1:6" x14ac:dyDescent="0.2">
      <c r="A663" s="1186" t="s">
        <v>116</v>
      </c>
      <c r="B663" s="1186" t="s">
        <v>311</v>
      </c>
      <c r="C663" s="1186" t="s">
        <v>41</v>
      </c>
      <c r="D663" s="1186">
        <v>50</v>
      </c>
      <c r="E663" s="1186"/>
      <c r="F663" s="1186"/>
    </row>
    <row r="664" spans="1:6" x14ac:dyDescent="0.2">
      <c r="A664" s="1186" t="s">
        <v>116</v>
      </c>
      <c r="B664" s="1186" t="s">
        <v>311</v>
      </c>
      <c r="C664" s="1186" t="s">
        <v>42</v>
      </c>
      <c r="D664" s="1186">
        <v>209</v>
      </c>
      <c r="E664" s="1186"/>
      <c r="F664" s="1186">
        <v>11</v>
      </c>
    </row>
    <row r="665" spans="1:6" x14ac:dyDescent="0.2">
      <c r="A665" s="1186" t="s">
        <v>116</v>
      </c>
      <c r="B665" s="1186" t="s">
        <v>311</v>
      </c>
      <c r="C665" s="1186" t="s">
        <v>44</v>
      </c>
      <c r="D665" s="1186">
        <v>28</v>
      </c>
      <c r="E665" s="1186"/>
      <c r="F665" s="1186"/>
    </row>
    <row r="666" spans="1:6" x14ac:dyDescent="0.2">
      <c r="A666" s="1186" t="s">
        <v>116</v>
      </c>
      <c r="B666" s="1186" t="s">
        <v>311</v>
      </c>
      <c r="C666" s="1186" t="s">
        <v>45</v>
      </c>
      <c r="D666" s="1186">
        <v>113</v>
      </c>
      <c r="E666" s="1186"/>
      <c r="F666" s="1186">
        <v>11</v>
      </c>
    </row>
    <row r="667" spans="1:6" x14ac:dyDescent="0.2">
      <c r="A667" s="1186" t="s">
        <v>116</v>
      </c>
      <c r="B667" s="1186" t="s">
        <v>311</v>
      </c>
      <c r="C667" s="1186" t="s">
        <v>46</v>
      </c>
      <c r="D667" s="1186">
        <v>56</v>
      </c>
      <c r="E667" s="1186"/>
      <c r="F667" s="1186">
        <v>2</v>
      </c>
    </row>
    <row r="668" spans="1:6" x14ac:dyDescent="0.2">
      <c r="A668" s="1186" t="s">
        <v>116</v>
      </c>
      <c r="B668" s="1186" t="s">
        <v>311</v>
      </c>
      <c r="C668" s="1186" t="s">
        <v>47</v>
      </c>
      <c r="D668" s="1186">
        <v>1</v>
      </c>
      <c r="E668" s="1186"/>
      <c r="F668" s="1186"/>
    </row>
    <row r="669" spans="1:6" x14ac:dyDescent="0.2">
      <c r="A669" s="1186" t="s">
        <v>116</v>
      </c>
      <c r="B669" s="1186" t="s">
        <v>311</v>
      </c>
      <c r="C669" s="1186" t="s">
        <v>48</v>
      </c>
      <c r="D669" s="1186">
        <v>40</v>
      </c>
      <c r="E669" s="1186"/>
      <c r="F669" s="1186">
        <v>5</v>
      </c>
    </row>
    <row r="670" spans="1:6" x14ac:dyDescent="0.2">
      <c r="A670" s="1186" t="s">
        <v>116</v>
      </c>
      <c r="B670" s="1186" t="s">
        <v>311</v>
      </c>
      <c r="C670" s="1186" t="s">
        <v>49</v>
      </c>
      <c r="D670" s="1186">
        <v>183</v>
      </c>
      <c r="E670" s="1186"/>
      <c r="F670" s="1186">
        <v>18</v>
      </c>
    </row>
    <row r="671" spans="1:6" x14ac:dyDescent="0.2">
      <c r="A671" s="1186" t="s">
        <v>116</v>
      </c>
      <c r="B671" s="1186" t="s">
        <v>311</v>
      </c>
      <c r="C671" s="1186" t="s">
        <v>50</v>
      </c>
      <c r="D671" s="1186">
        <v>40</v>
      </c>
      <c r="E671" s="1186"/>
      <c r="F671" s="1186">
        <v>4</v>
      </c>
    </row>
    <row r="672" spans="1:6" x14ac:dyDescent="0.2">
      <c r="A672" s="1186" t="s">
        <v>116</v>
      </c>
      <c r="B672" s="1186" t="s">
        <v>311</v>
      </c>
      <c r="C672" s="1186" t="s">
        <v>51</v>
      </c>
      <c r="D672" s="1186">
        <v>70</v>
      </c>
      <c r="E672" s="1186"/>
      <c r="F672" s="1186">
        <v>7</v>
      </c>
    </row>
    <row r="673" spans="1:6" x14ac:dyDescent="0.2">
      <c r="A673" s="1186" t="s">
        <v>116</v>
      </c>
      <c r="B673" s="1186" t="s">
        <v>311</v>
      </c>
      <c r="C673" s="1186" t="s">
        <v>52</v>
      </c>
      <c r="D673" s="1186">
        <v>165</v>
      </c>
      <c r="E673" s="1186"/>
      <c r="F673" s="1186">
        <v>12</v>
      </c>
    </row>
    <row r="674" spans="1:6" x14ac:dyDescent="0.2">
      <c r="A674" s="1186" t="s">
        <v>116</v>
      </c>
      <c r="B674" s="1186" t="s">
        <v>621</v>
      </c>
      <c r="C674" s="1186" t="s">
        <v>23</v>
      </c>
      <c r="D674" s="1186">
        <v>86</v>
      </c>
      <c r="E674" s="1186"/>
      <c r="F674" s="1186">
        <v>10</v>
      </c>
    </row>
    <row r="675" spans="1:6" x14ac:dyDescent="0.2">
      <c r="A675" s="1186" t="s">
        <v>116</v>
      </c>
      <c r="B675" s="1186" t="s">
        <v>621</v>
      </c>
      <c r="C675" s="1186" t="s">
        <v>24</v>
      </c>
      <c r="D675" s="1186">
        <v>66</v>
      </c>
      <c r="E675" s="1186"/>
      <c r="F675" s="1186"/>
    </row>
    <row r="676" spans="1:6" x14ac:dyDescent="0.2">
      <c r="A676" s="1186" t="s">
        <v>116</v>
      </c>
      <c r="B676" s="1186" t="s">
        <v>621</v>
      </c>
      <c r="C676" s="1186" t="s">
        <v>25</v>
      </c>
      <c r="D676" s="1186">
        <v>16</v>
      </c>
      <c r="E676" s="1186"/>
      <c r="F676" s="1186"/>
    </row>
    <row r="677" spans="1:6" x14ac:dyDescent="0.2">
      <c r="A677" s="1186" t="s">
        <v>116</v>
      </c>
      <c r="B677" s="1186" t="s">
        <v>621</v>
      </c>
      <c r="C677" s="1186" t="s">
        <v>26</v>
      </c>
      <c r="D677" s="1186">
        <v>19</v>
      </c>
      <c r="E677" s="1186"/>
      <c r="F677" s="1186">
        <v>2</v>
      </c>
    </row>
    <row r="678" spans="1:6" x14ac:dyDescent="0.2">
      <c r="A678" s="1186" t="s">
        <v>116</v>
      </c>
      <c r="B678" s="1186" t="s">
        <v>621</v>
      </c>
      <c r="C678" s="1186" t="s">
        <v>619</v>
      </c>
      <c r="D678" s="1186">
        <v>254</v>
      </c>
      <c r="E678" s="1186"/>
      <c r="F678" s="1186">
        <v>23</v>
      </c>
    </row>
    <row r="679" spans="1:6" x14ac:dyDescent="0.2">
      <c r="A679" s="1186" t="s">
        <v>116</v>
      </c>
      <c r="B679" s="1186" t="s">
        <v>621</v>
      </c>
      <c r="C679" s="1186" t="s">
        <v>27</v>
      </c>
      <c r="D679" s="1186">
        <v>15</v>
      </c>
      <c r="E679" s="1186"/>
      <c r="F679" s="1186">
        <v>3</v>
      </c>
    </row>
    <row r="680" spans="1:6" x14ac:dyDescent="0.2">
      <c r="A680" s="1186" t="s">
        <v>116</v>
      </c>
      <c r="B680" s="1186" t="s">
        <v>621</v>
      </c>
      <c r="C680" s="1186" t="s">
        <v>28</v>
      </c>
      <c r="D680" s="1186">
        <v>33</v>
      </c>
      <c r="E680" s="1186"/>
      <c r="F680" s="1186">
        <v>1</v>
      </c>
    </row>
    <row r="681" spans="1:6" x14ac:dyDescent="0.2">
      <c r="A681" s="1186" t="s">
        <v>116</v>
      </c>
      <c r="B681" s="1186" t="s">
        <v>621</v>
      </c>
      <c r="C681" s="1186" t="s">
        <v>29</v>
      </c>
      <c r="D681" s="1186">
        <v>70</v>
      </c>
      <c r="E681" s="1186"/>
      <c r="F681" s="1186">
        <v>2</v>
      </c>
    </row>
    <row r="682" spans="1:6" x14ac:dyDescent="0.2">
      <c r="A682" s="1186" t="s">
        <v>116</v>
      </c>
      <c r="B682" s="1186" t="s">
        <v>621</v>
      </c>
      <c r="C682" s="1186" t="s">
        <v>30</v>
      </c>
      <c r="D682" s="1186">
        <v>59</v>
      </c>
      <c r="E682" s="1186"/>
      <c r="F682" s="1186"/>
    </row>
    <row r="683" spans="1:6" x14ac:dyDescent="0.2">
      <c r="A683" s="1186" t="s">
        <v>116</v>
      </c>
      <c r="B683" s="1186" t="s">
        <v>621</v>
      </c>
      <c r="C683" s="1186" t="s">
        <v>31</v>
      </c>
      <c r="D683" s="1186">
        <v>53</v>
      </c>
      <c r="E683" s="1186"/>
      <c r="F683" s="1186">
        <v>3</v>
      </c>
    </row>
    <row r="684" spans="1:6" x14ac:dyDescent="0.2">
      <c r="A684" s="1186" t="s">
        <v>116</v>
      </c>
      <c r="B684" s="1186" t="s">
        <v>621</v>
      </c>
      <c r="C684" s="1186" t="s">
        <v>32</v>
      </c>
      <c r="D684" s="1186">
        <v>70</v>
      </c>
      <c r="E684" s="1186">
        <v>1</v>
      </c>
      <c r="F684" s="1186"/>
    </row>
    <row r="685" spans="1:6" x14ac:dyDescent="0.2">
      <c r="A685" s="1186" t="s">
        <v>116</v>
      </c>
      <c r="B685" s="1186" t="s">
        <v>621</v>
      </c>
      <c r="C685" s="1186" t="s">
        <v>33</v>
      </c>
      <c r="D685" s="1186">
        <v>22</v>
      </c>
      <c r="E685" s="1186"/>
      <c r="F685" s="1186"/>
    </row>
    <row r="686" spans="1:6" x14ac:dyDescent="0.2">
      <c r="A686" s="1186" t="s">
        <v>116</v>
      </c>
      <c r="B686" s="1186" t="s">
        <v>621</v>
      </c>
      <c r="C686" s="1186" t="s">
        <v>34</v>
      </c>
      <c r="D686" s="1186">
        <v>88</v>
      </c>
      <c r="E686" s="1186"/>
      <c r="F686" s="1186">
        <v>8</v>
      </c>
    </row>
    <row r="687" spans="1:6" x14ac:dyDescent="0.2">
      <c r="A687" s="1186" t="s">
        <v>116</v>
      </c>
      <c r="B687" s="1186" t="s">
        <v>621</v>
      </c>
      <c r="C687" s="1186" t="s">
        <v>35</v>
      </c>
      <c r="D687" s="1186">
        <v>157</v>
      </c>
      <c r="E687" s="1186"/>
      <c r="F687" s="1186">
        <v>8</v>
      </c>
    </row>
    <row r="688" spans="1:6" x14ac:dyDescent="0.2">
      <c r="A688" s="1186" t="s">
        <v>116</v>
      </c>
      <c r="B688" s="1186" t="s">
        <v>621</v>
      </c>
      <c r="C688" s="1186" t="s">
        <v>36</v>
      </c>
      <c r="D688" s="1186">
        <v>470</v>
      </c>
      <c r="E688" s="1186">
        <v>1</v>
      </c>
      <c r="F688" s="1186">
        <v>35</v>
      </c>
    </row>
    <row r="689" spans="1:6" x14ac:dyDescent="0.2">
      <c r="A689" s="1186" t="s">
        <v>116</v>
      </c>
      <c r="B689" s="1186" t="s">
        <v>621</v>
      </c>
      <c r="C689" s="1186" t="s">
        <v>37</v>
      </c>
      <c r="D689" s="1186">
        <v>36</v>
      </c>
      <c r="E689" s="1186">
        <v>1</v>
      </c>
      <c r="F689" s="1186">
        <v>5</v>
      </c>
    </row>
    <row r="690" spans="1:6" x14ac:dyDescent="0.2">
      <c r="A690" s="1186" t="s">
        <v>116</v>
      </c>
      <c r="B690" s="1186" t="s">
        <v>621</v>
      </c>
      <c r="C690" s="1186" t="s">
        <v>38</v>
      </c>
      <c r="D690" s="1186">
        <v>45</v>
      </c>
      <c r="E690" s="1186"/>
      <c r="F690" s="1186">
        <v>4</v>
      </c>
    </row>
    <row r="691" spans="1:6" x14ac:dyDescent="0.2">
      <c r="A691" s="1186" t="s">
        <v>116</v>
      </c>
      <c r="B691" s="1186" t="s">
        <v>621</v>
      </c>
      <c r="C691" s="1186" t="s">
        <v>39</v>
      </c>
      <c r="D691" s="1186">
        <v>65</v>
      </c>
      <c r="E691" s="1186"/>
      <c r="F691" s="1186">
        <v>4</v>
      </c>
    </row>
    <row r="692" spans="1:6" x14ac:dyDescent="0.2">
      <c r="A692" s="1186" t="s">
        <v>116</v>
      </c>
      <c r="B692" s="1186" t="s">
        <v>621</v>
      </c>
      <c r="C692" s="1186" t="s">
        <v>40</v>
      </c>
      <c r="D692" s="1186">
        <v>27</v>
      </c>
      <c r="E692" s="1186"/>
      <c r="F692" s="1186">
        <v>1</v>
      </c>
    </row>
    <row r="693" spans="1:6" x14ac:dyDescent="0.2">
      <c r="A693" s="1186" t="s">
        <v>116</v>
      </c>
      <c r="B693" s="1186" t="s">
        <v>621</v>
      </c>
      <c r="C693" s="1186" t="s">
        <v>295</v>
      </c>
      <c r="D693" s="1186">
        <v>2</v>
      </c>
      <c r="E693" s="1186"/>
      <c r="F693" s="1186"/>
    </row>
    <row r="694" spans="1:6" x14ac:dyDescent="0.2">
      <c r="A694" s="1186" t="s">
        <v>116</v>
      </c>
      <c r="B694" s="1186" t="s">
        <v>621</v>
      </c>
      <c r="C694" s="1186" t="s">
        <v>41</v>
      </c>
      <c r="D694" s="1186">
        <v>70</v>
      </c>
      <c r="E694" s="1186">
        <v>1</v>
      </c>
      <c r="F694" s="1186">
        <v>4</v>
      </c>
    </row>
    <row r="695" spans="1:6" x14ac:dyDescent="0.2">
      <c r="A695" s="1186" t="s">
        <v>116</v>
      </c>
      <c r="B695" s="1186" t="s">
        <v>621</v>
      </c>
      <c r="C695" s="1186" t="s">
        <v>42</v>
      </c>
      <c r="D695" s="1186">
        <v>226</v>
      </c>
      <c r="E695" s="1186"/>
      <c r="F695" s="1186">
        <v>25</v>
      </c>
    </row>
    <row r="696" spans="1:6" x14ac:dyDescent="0.2">
      <c r="A696" s="1186" t="s">
        <v>116</v>
      </c>
      <c r="B696" s="1186" t="s">
        <v>621</v>
      </c>
      <c r="C696" s="1186" t="s">
        <v>44</v>
      </c>
      <c r="D696" s="1186">
        <v>31</v>
      </c>
      <c r="E696" s="1186"/>
      <c r="F696" s="1186"/>
    </row>
    <row r="697" spans="1:6" x14ac:dyDescent="0.2">
      <c r="A697" s="1186" t="s">
        <v>116</v>
      </c>
      <c r="B697" s="1186" t="s">
        <v>621</v>
      </c>
      <c r="C697" s="1186" t="s">
        <v>45</v>
      </c>
      <c r="D697" s="1186">
        <v>100</v>
      </c>
      <c r="E697" s="1186">
        <v>1</v>
      </c>
      <c r="F697" s="1186">
        <v>7</v>
      </c>
    </row>
    <row r="698" spans="1:6" x14ac:dyDescent="0.2">
      <c r="A698" s="1186" t="s">
        <v>116</v>
      </c>
      <c r="B698" s="1186" t="s">
        <v>621</v>
      </c>
      <c r="C698" s="1186" t="s">
        <v>46</v>
      </c>
      <c r="D698" s="1186">
        <v>57</v>
      </c>
      <c r="E698" s="1186"/>
      <c r="F698" s="1186">
        <v>2</v>
      </c>
    </row>
    <row r="699" spans="1:6" x14ac:dyDescent="0.2">
      <c r="A699" s="1186" t="s">
        <v>116</v>
      </c>
      <c r="B699" s="1186" t="s">
        <v>621</v>
      </c>
      <c r="C699" s="1186" t="s">
        <v>47</v>
      </c>
      <c r="D699" s="1186">
        <v>1</v>
      </c>
      <c r="E699" s="1186"/>
      <c r="F699" s="1186"/>
    </row>
    <row r="700" spans="1:6" x14ac:dyDescent="0.2">
      <c r="A700" s="1186" t="s">
        <v>116</v>
      </c>
      <c r="B700" s="1186" t="s">
        <v>621</v>
      </c>
      <c r="C700" s="1186" t="s">
        <v>48</v>
      </c>
      <c r="D700" s="1186">
        <v>24</v>
      </c>
      <c r="E700" s="1186"/>
      <c r="F700" s="1186">
        <v>2</v>
      </c>
    </row>
    <row r="701" spans="1:6" x14ac:dyDescent="0.2">
      <c r="A701" s="1186" t="s">
        <v>116</v>
      </c>
      <c r="B701" s="1186" t="s">
        <v>621</v>
      </c>
      <c r="C701" s="1186" t="s">
        <v>49</v>
      </c>
      <c r="D701" s="1186">
        <v>122</v>
      </c>
      <c r="E701" s="1186">
        <v>1</v>
      </c>
      <c r="F701" s="1186">
        <v>10</v>
      </c>
    </row>
    <row r="702" spans="1:6" x14ac:dyDescent="0.2">
      <c r="A702" s="1186" t="s">
        <v>116</v>
      </c>
      <c r="B702" s="1186" t="s">
        <v>621</v>
      </c>
      <c r="C702" s="1186" t="s">
        <v>50</v>
      </c>
      <c r="D702" s="1186">
        <v>34</v>
      </c>
      <c r="E702" s="1186"/>
      <c r="F702" s="1186">
        <v>5</v>
      </c>
    </row>
    <row r="703" spans="1:6" x14ac:dyDescent="0.2">
      <c r="A703" s="1186" t="s">
        <v>116</v>
      </c>
      <c r="B703" s="1186" t="s">
        <v>621</v>
      </c>
      <c r="C703" s="1186" t="s">
        <v>51</v>
      </c>
      <c r="D703" s="1186">
        <v>68</v>
      </c>
      <c r="E703" s="1186"/>
      <c r="F703" s="1186">
        <v>11</v>
      </c>
    </row>
    <row r="704" spans="1:6" x14ac:dyDescent="0.2">
      <c r="A704" s="1186" t="s">
        <v>116</v>
      </c>
      <c r="B704" s="1186" t="s">
        <v>621</v>
      </c>
      <c r="C704" s="1186" t="s">
        <v>52</v>
      </c>
      <c r="D704" s="1186">
        <v>118</v>
      </c>
      <c r="E704" s="1186"/>
      <c r="F704" s="1186">
        <v>14</v>
      </c>
    </row>
    <row r="705" spans="1:6" x14ac:dyDescent="0.2">
      <c r="A705" s="1186" t="s">
        <v>116</v>
      </c>
      <c r="B705" s="1186" t="s">
        <v>1419</v>
      </c>
      <c r="C705" s="1186" t="s">
        <v>23</v>
      </c>
      <c r="D705" s="1186">
        <v>106</v>
      </c>
      <c r="E705" s="1186"/>
      <c r="F705" s="1186">
        <v>3</v>
      </c>
    </row>
    <row r="706" spans="1:6" x14ac:dyDescent="0.2">
      <c r="A706" s="1186" t="s">
        <v>116</v>
      </c>
      <c r="B706" s="1186" t="s">
        <v>1419</v>
      </c>
      <c r="C706" s="1186" t="s">
        <v>24</v>
      </c>
      <c r="D706" s="1186">
        <v>86</v>
      </c>
      <c r="E706" s="1186"/>
      <c r="F706" s="1186">
        <v>1</v>
      </c>
    </row>
    <row r="707" spans="1:6" x14ac:dyDescent="0.2">
      <c r="A707" s="1186" t="s">
        <v>116</v>
      </c>
      <c r="B707" s="1186" t="s">
        <v>1419</v>
      </c>
      <c r="C707" s="1186" t="s">
        <v>25</v>
      </c>
      <c r="D707" s="1186">
        <v>37</v>
      </c>
      <c r="E707" s="1186"/>
      <c r="F707" s="1186">
        <v>4</v>
      </c>
    </row>
    <row r="708" spans="1:6" x14ac:dyDescent="0.2">
      <c r="A708" s="1186" t="s">
        <v>116</v>
      </c>
      <c r="B708" s="1186" t="s">
        <v>1419</v>
      </c>
      <c r="C708" s="1186" t="s">
        <v>26</v>
      </c>
      <c r="D708" s="1186">
        <v>13</v>
      </c>
      <c r="E708" s="1186"/>
      <c r="F708" s="1186">
        <v>5</v>
      </c>
    </row>
    <row r="709" spans="1:6" x14ac:dyDescent="0.2">
      <c r="A709" s="1186" t="s">
        <v>116</v>
      </c>
      <c r="B709" s="1186" t="s">
        <v>1419</v>
      </c>
      <c r="C709" s="1186" t="s">
        <v>619</v>
      </c>
      <c r="D709" s="1186">
        <v>223</v>
      </c>
      <c r="E709" s="1186"/>
      <c r="F709" s="1186">
        <v>15</v>
      </c>
    </row>
    <row r="710" spans="1:6" x14ac:dyDescent="0.2">
      <c r="A710" s="1186" t="s">
        <v>116</v>
      </c>
      <c r="B710" s="1186" t="s">
        <v>1419</v>
      </c>
      <c r="C710" s="1186" t="s">
        <v>27</v>
      </c>
      <c r="D710" s="1186">
        <v>20</v>
      </c>
      <c r="E710" s="1186"/>
      <c r="F710" s="1186">
        <v>4</v>
      </c>
    </row>
    <row r="711" spans="1:6" x14ac:dyDescent="0.2">
      <c r="A711" s="1186" t="s">
        <v>116</v>
      </c>
      <c r="B711" s="1186" t="s">
        <v>1419</v>
      </c>
      <c r="C711" s="1186" t="s">
        <v>28</v>
      </c>
      <c r="D711" s="1186">
        <v>23</v>
      </c>
      <c r="E711" s="1186"/>
      <c r="F711" s="1186">
        <v>1</v>
      </c>
    </row>
    <row r="712" spans="1:6" x14ac:dyDescent="0.2">
      <c r="A712" s="1186" t="s">
        <v>116</v>
      </c>
      <c r="B712" s="1186" t="s">
        <v>1419</v>
      </c>
      <c r="C712" s="1186" t="s">
        <v>29</v>
      </c>
      <c r="D712" s="1186">
        <v>53</v>
      </c>
      <c r="E712" s="1186"/>
      <c r="F712" s="1186">
        <v>2</v>
      </c>
    </row>
    <row r="713" spans="1:6" x14ac:dyDescent="0.2">
      <c r="A713" s="1186" t="s">
        <v>116</v>
      </c>
      <c r="B713" s="1186" t="s">
        <v>1419</v>
      </c>
      <c r="C713" s="1186" t="s">
        <v>30</v>
      </c>
      <c r="D713" s="1186">
        <v>60</v>
      </c>
      <c r="E713" s="1186"/>
      <c r="F713" s="1186">
        <v>8</v>
      </c>
    </row>
    <row r="714" spans="1:6" x14ac:dyDescent="0.2">
      <c r="A714" s="1186" t="s">
        <v>116</v>
      </c>
      <c r="B714" s="1186" t="s">
        <v>1419</v>
      </c>
      <c r="C714" s="1186" t="s">
        <v>31</v>
      </c>
      <c r="D714" s="1186">
        <v>48</v>
      </c>
      <c r="E714" s="1186"/>
      <c r="F714" s="1186">
        <v>3</v>
      </c>
    </row>
    <row r="715" spans="1:6" x14ac:dyDescent="0.2">
      <c r="A715" s="1186" t="s">
        <v>116</v>
      </c>
      <c r="B715" s="1186" t="s">
        <v>1419</v>
      </c>
      <c r="C715" s="1186" t="s">
        <v>32</v>
      </c>
      <c r="D715" s="1186">
        <v>45</v>
      </c>
      <c r="E715" s="1186"/>
      <c r="F715" s="1186">
        <v>1</v>
      </c>
    </row>
    <row r="716" spans="1:6" x14ac:dyDescent="0.2">
      <c r="A716" s="1186" t="s">
        <v>116</v>
      </c>
      <c r="B716" s="1186" t="s">
        <v>1419</v>
      </c>
      <c r="C716" s="1186" t="s">
        <v>33</v>
      </c>
      <c r="D716" s="1186">
        <v>37</v>
      </c>
      <c r="E716" s="1186"/>
      <c r="F716" s="1186">
        <v>2</v>
      </c>
    </row>
    <row r="717" spans="1:6" x14ac:dyDescent="0.2">
      <c r="A717" s="1186" t="s">
        <v>116</v>
      </c>
      <c r="B717" s="1186" t="s">
        <v>1419</v>
      </c>
      <c r="C717" s="1186" t="s">
        <v>34</v>
      </c>
      <c r="D717" s="1186">
        <v>82</v>
      </c>
      <c r="E717" s="1186"/>
      <c r="F717" s="1186">
        <v>2</v>
      </c>
    </row>
    <row r="718" spans="1:6" x14ac:dyDescent="0.2">
      <c r="A718" s="1186" t="s">
        <v>116</v>
      </c>
      <c r="B718" s="1186" t="s">
        <v>1419</v>
      </c>
      <c r="C718" s="1186" t="s">
        <v>35</v>
      </c>
      <c r="D718" s="1186">
        <v>136</v>
      </c>
      <c r="E718" s="1186"/>
      <c r="F718" s="1186">
        <v>7</v>
      </c>
    </row>
    <row r="719" spans="1:6" x14ac:dyDescent="0.2">
      <c r="A719" s="1186" t="s">
        <v>116</v>
      </c>
      <c r="B719" s="1186" t="s">
        <v>1419</v>
      </c>
      <c r="C719" s="1186" t="s">
        <v>36</v>
      </c>
      <c r="D719" s="1186">
        <v>476</v>
      </c>
      <c r="E719" s="1186"/>
      <c r="F719" s="1186">
        <v>43</v>
      </c>
    </row>
    <row r="720" spans="1:6" x14ac:dyDescent="0.2">
      <c r="A720" s="1186" t="s">
        <v>116</v>
      </c>
      <c r="B720" s="1186" t="s">
        <v>1419</v>
      </c>
      <c r="C720" s="1186" t="s">
        <v>37</v>
      </c>
      <c r="D720" s="1186">
        <v>43</v>
      </c>
      <c r="E720" s="1186"/>
      <c r="F720" s="1186"/>
    </row>
    <row r="721" spans="1:6" x14ac:dyDescent="0.2">
      <c r="A721" s="1186" t="s">
        <v>116</v>
      </c>
      <c r="B721" s="1186" t="s">
        <v>1419</v>
      </c>
      <c r="C721" s="1186" t="s">
        <v>38</v>
      </c>
      <c r="D721" s="1186">
        <v>57</v>
      </c>
      <c r="E721" s="1186"/>
      <c r="F721" s="1186">
        <v>4</v>
      </c>
    </row>
    <row r="722" spans="1:6" x14ac:dyDescent="0.2">
      <c r="A722" s="1186" t="s">
        <v>116</v>
      </c>
      <c r="B722" s="1186" t="s">
        <v>1419</v>
      </c>
      <c r="C722" s="1186" t="s">
        <v>39</v>
      </c>
      <c r="D722" s="1186">
        <v>45</v>
      </c>
      <c r="E722" s="1186"/>
      <c r="F722" s="1186">
        <v>2</v>
      </c>
    </row>
    <row r="723" spans="1:6" x14ac:dyDescent="0.2">
      <c r="A723" s="1186" t="s">
        <v>116</v>
      </c>
      <c r="B723" s="1186" t="s">
        <v>1419</v>
      </c>
      <c r="C723" s="1186" t="s">
        <v>40</v>
      </c>
      <c r="D723" s="1186">
        <v>25</v>
      </c>
      <c r="E723" s="1186"/>
      <c r="F723" s="1186"/>
    </row>
    <row r="724" spans="1:6" x14ac:dyDescent="0.2">
      <c r="A724" s="1186" t="s">
        <v>116</v>
      </c>
      <c r="B724" s="1186" t="s">
        <v>1419</v>
      </c>
      <c r="C724" s="1186" t="s">
        <v>41</v>
      </c>
      <c r="D724" s="1186">
        <v>52</v>
      </c>
      <c r="E724" s="1186"/>
      <c r="F724" s="1186">
        <v>3</v>
      </c>
    </row>
    <row r="725" spans="1:6" x14ac:dyDescent="0.2">
      <c r="A725" s="1186" t="s">
        <v>116</v>
      </c>
      <c r="B725" s="1186" t="s">
        <v>1419</v>
      </c>
      <c r="C725" s="1186" t="s">
        <v>42</v>
      </c>
      <c r="D725" s="1186">
        <v>234</v>
      </c>
      <c r="E725" s="1186">
        <v>1</v>
      </c>
      <c r="F725" s="1186">
        <v>17</v>
      </c>
    </row>
    <row r="726" spans="1:6" x14ac:dyDescent="0.2">
      <c r="A726" s="1186" t="s">
        <v>116</v>
      </c>
      <c r="B726" s="1186" t="s">
        <v>1419</v>
      </c>
      <c r="C726" s="1186" t="s">
        <v>44</v>
      </c>
      <c r="D726" s="1186">
        <v>29</v>
      </c>
      <c r="E726" s="1186">
        <v>1</v>
      </c>
      <c r="F726" s="1186">
        <v>1</v>
      </c>
    </row>
    <row r="727" spans="1:6" x14ac:dyDescent="0.2">
      <c r="A727" s="1186" t="s">
        <v>116</v>
      </c>
      <c r="B727" s="1186" t="s">
        <v>1419</v>
      </c>
      <c r="C727" s="1186" t="s">
        <v>45</v>
      </c>
      <c r="D727" s="1186">
        <v>103</v>
      </c>
      <c r="E727" s="1186"/>
      <c r="F727" s="1186">
        <v>10</v>
      </c>
    </row>
    <row r="728" spans="1:6" x14ac:dyDescent="0.2">
      <c r="A728" s="1186" t="s">
        <v>116</v>
      </c>
      <c r="B728" s="1186" t="s">
        <v>1419</v>
      </c>
      <c r="C728" s="1186" t="s">
        <v>46</v>
      </c>
      <c r="D728" s="1186">
        <v>49</v>
      </c>
      <c r="E728" s="1186"/>
      <c r="F728" s="1186">
        <v>4</v>
      </c>
    </row>
    <row r="729" spans="1:6" x14ac:dyDescent="0.2">
      <c r="A729" s="1186" t="s">
        <v>116</v>
      </c>
      <c r="B729" s="1186" t="s">
        <v>1419</v>
      </c>
      <c r="C729" s="1186" t="s">
        <v>47</v>
      </c>
      <c r="D729" s="1186">
        <v>1</v>
      </c>
      <c r="E729" s="1186"/>
      <c r="F729" s="1186"/>
    </row>
    <row r="730" spans="1:6" x14ac:dyDescent="0.2">
      <c r="A730" s="1186" t="s">
        <v>116</v>
      </c>
      <c r="B730" s="1186" t="s">
        <v>1419</v>
      </c>
      <c r="C730" s="1186" t="s">
        <v>48</v>
      </c>
      <c r="D730" s="1186">
        <v>28</v>
      </c>
      <c r="E730" s="1186"/>
      <c r="F730" s="1186">
        <v>4</v>
      </c>
    </row>
    <row r="731" spans="1:6" x14ac:dyDescent="0.2">
      <c r="A731" s="1186" t="s">
        <v>116</v>
      </c>
      <c r="B731" s="1186" t="s">
        <v>1419</v>
      </c>
      <c r="C731" s="1186" t="s">
        <v>49</v>
      </c>
      <c r="D731" s="1186">
        <v>147</v>
      </c>
      <c r="E731" s="1186"/>
      <c r="F731" s="1186">
        <v>8</v>
      </c>
    </row>
    <row r="732" spans="1:6" x14ac:dyDescent="0.2">
      <c r="A732" s="1186" t="s">
        <v>116</v>
      </c>
      <c r="B732" s="1186" t="s">
        <v>1419</v>
      </c>
      <c r="C732" s="1186" t="s">
        <v>50</v>
      </c>
      <c r="D732" s="1186">
        <v>24</v>
      </c>
      <c r="E732" s="1186"/>
      <c r="F732" s="1186">
        <v>2</v>
      </c>
    </row>
    <row r="733" spans="1:6" x14ac:dyDescent="0.2">
      <c r="A733" s="1186" t="s">
        <v>116</v>
      </c>
      <c r="B733" s="1186" t="s">
        <v>1419</v>
      </c>
      <c r="C733" s="1186" t="s">
        <v>51</v>
      </c>
      <c r="D733" s="1186">
        <v>47</v>
      </c>
      <c r="E733" s="1186"/>
      <c r="F733" s="1186">
        <v>4</v>
      </c>
    </row>
    <row r="734" spans="1:6" x14ac:dyDescent="0.2">
      <c r="A734" s="1186" t="s">
        <v>116</v>
      </c>
      <c r="B734" s="1186" t="s">
        <v>1419</v>
      </c>
      <c r="C734" s="1186" t="s">
        <v>52</v>
      </c>
      <c r="D734" s="1186">
        <v>114</v>
      </c>
      <c r="E734" s="1186"/>
      <c r="F734" s="1186">
        <v>7</v>
      </c>
    </row>
    <row r="735" spans="1:6" x14ac:dyDescent="0.2">
      <c r="A735" s="1186" t="s">
        <v>116</v>
      </c>
      <c r="B735" s="1186" t="s">
        <v>1572</v>
      </c>
      <c r="C735" s="1186" t="s">
        <v>23</v>
      </c>
      <c r="D735" s="1186">
        <v>97</v>
      </c>
      <c r="E735" s="1186"/>
      <c r="F735" s="1186">
        <v>10</v>
      </c>
    </row>
    <row r="736" spans="1:6" x14ac:dyDescent="0.2">
      <c r="A736" s="1186" t="s">
        <v>116</v>
      </c>
      <c r="B736" s="1186" t="s">
        <v>1572</v>
      </c>
      <c r="C736" s="1186" t="s">
        <v>24</v>
      </c>
      <c r="D736" s="1186">
        <v>76</v>
      </c>
      <c r="E736" s="1186"/>
      <c r="F736" s="1186">
        <v>3</v>
      </c>
    </row>
    <row r="737" spans="1:6" x14ac:dyDescent="0.2">
      <c r="A737" s="1186" t="s">
        <v>116</v>
      </c>
      <c r="B737" s="1186" t="s">
        <v>1572</v>
      </c>
      <c r="C737" s="1186" t="s">
        <v>25</v>
      </c>
      <c r="D737" s="1186">
        <v>42</v>
      </c>
      <c r="E737" s="1186"/>
      <c r="F737" s="1186"/>
    </row>
    <row r="738" spans="1:6" x14ac:dyDescent="0.2">
      <c r="A738" s="1186" t="s">
        <v>116</v>
      </c>
      <c r="B738" s="1186" t="s">
        <v>1572</v>
      </c>
      <c r="C738" s="1186" t="s">
        <v>26</v>
      </c>
      <c r="D738" s="1186">
        <v>13</v>
      </c>
      <c r="E738" s="1186"/>
      <c r="F738" s="1186"/>
    </row>
    <row r="739" spans="1:6" x14ac:dyDescent="0.2">
      <c r="A739" s="1186" t="s">
        <v>116</v>
      </c>
      <c r="B739" s="1186" t="s">
        <v>1572</v>
      </c>
      <c r="C739" s="1186" t="s">
        <v>619</v>
      </c>
      <c r="D739" s="1186">
        <v>237</v>
      </c>
      <c r="E739" s="1186"/>
      <c r="F739" s="1186">
        <v>11</v>
      </c>
    </row>
    <row r="740" spans="1:6" x14ac:dyDescent="0.2">
      <c r="A740" s="1186" t="s">
        <v>116</v>
      </c>
      <c r="B740" s="1186" t="s">
        <v>1572</v>
      </c>
      <c r="C740" s="1186" t="s">
        <v>27</v>
      </c>
      <c r="D740" s="1186">
        <v>14</v>
      </c>
      <c r="E740" s="1186"/>
      <c r="F740" s="1186">
        <v>2</v>
      </c>
    </row>
    <row r="741" spans="1:6" x14ac:dyDescent="0.2">
      <c r="A741" s="1186" t="s">
        <v>116</v>
      </c>
      <c r="B741" s="1186" t="s">
        <v>1572</v>
      </c>
      <c r="C741" s="1186" t="s">
        <v>28</v>
      </c>
      <c r="D741" s="1186">
        <v>29</v>
      </c>
      <c r="E741" s="1186">
        <v>1</v>
      </c>
      <c r="F741" s="1186"/>
    </row>
    <row r="742" spans="1:6" x14ac:dyDescent="0.2">
      <c r="A742" s="1186" t="s">
        <v>116</v>
      </c>
      <c r="B742" s="1186" t="s">
        <v>1572</v>
      </c>
      <c r="C742" s="1186" t="s">
        <v>29</v>
      </c>
      <c r="D742" s="1186">
        <v>72</v>
      </c>
      <c r="E742" s="1186"/>
      <c r="F742" s="1186">
        <v>1</v>
      </c>
    </row>
    <row r="743" spans="1:6" x14ac:dyDescent="0.2">
      <c r="A743" s="1186" t="s">
        <v>116</v>
      </c>
      <c r="B743" s="1186" t="s">
        <v>1572</v>
      </c>
      <c r="C743" s="1186" t="s">
        <v>30</v>
      </c>
      <c r="D743" s="1186">
        <v>65</v>
      </c>
      <c r="E743" s="1186"/>
      <c r="F743" s="1186">
        <v>3</v>
      </c>
    </row>
    <row r="744" spans="1:6" x14ac:dyDescent="0.2">
      <c r="A744" s="1186" t="s">
        <v>116</v>
      </c>
      <c r="B744" s="1186" t="s">
        <v>1572</v>
      </c>
      <c r="C744" s="1186" t="s">
        <v>31</v>
      </c>
      <c r="D744" s="1186">
        <v>34</v>
      </c>
      <c r="E744" s="1186"/>
      <c r="F744" s="1186">
        <v>2</v>
      </c>
    </row>
    <row r="745" spans="1:6" x14ac:dyDescent="0.2">
      <c r="A745" s="1186" t="s">
        <v>116</v>
      </c>
      <c r="B745" s="1186" t="s">
        <v>1572</v>
      </c>
      <c r="C745" s="1186" t="s">
        <v>32</v>
      </c>
      <c r="D745" s="1186">
        <v>31</v>
      </c>
      <c r="E745" s="1186"/>
      <c r="F745" s="1186"/>
    </row>
    <row r="746" spans="1:6" x14ac:dyDescent="0.2">
      <c r="A746" s="1186" t="s">
        <v>116</v>
      </c>
      <c r="B746" s="1186" t="s">
        <v>1572</v>
      </c>
      <c r="C746" s="1186" t="s">
        <v>33</v>
      </c>
      <c r="D746" s="1186">
        <v>33</v>
      </c>
      <c r="E746" s="1186">
        <v>1</v>
      </c>
      <c r="F746" s="1186">
        <v>1</v>
      </c>
    </row>
    <row r="747" spans="1:6" x14ac:dyDescent="0.2">
      <c r="A747" s="1186" t="s">
        <v>116</v>
      </c>
      <c r="B747" s="1186" t="s">
        <v>1572</v>
      </c>
      <c r="C747" s="1186" t="s">
        <v>34</v>
      </c>
      <c r="D747" s="1186">
        <v>81</v>
      </c>
      <c r="E747" s="1186"/>
      <c r="F747" s="1186">
        <v>1</v>
      </c>
    </row>
    <row r="748" spans="1:6" x14ac:dyDescent="0.2">
      <c r="A748" s="1186" t="s">
        <v>116</v>
      </c>
      <c r="B748" s="1186" t="s">
        <v>1572</v>
      </c>
      <c r="C748" s="1186" t="s">
        <v>35</v>
      </c>
      <c r="D748" s="1186">
        <v>165</v>
      </c>
      <c r="E748" s="1186"/>
      <c r="F748" s="1186">
        <v>2</v>
      </c>
    </row>
    <row r="749" spans="1:6" x14ac:dyDescent="0.2">
      <c r="A749" s="1186" t="s">
        <v>116</v>
      </c>
      <c r="B749" s="1186" t="s">
        <v>1572</v>
      </c>
      <c r="C749" s="1186" t="s">
        <v>36</v>
      </c>
      <c r="D749" s="1186">
        <v>419</v>
      </c>
      <c r="E749" s="1186">
        <v>1</v>
      </c>
      <c r="F749" s="1186">
        <v>37</v>
      </c>
    </row>
    <row r="750" spans="1:6" x14ac:dyDescent="0.2">
      <c r="A750" s="1186" t="s">
        <v>116</v>
      </c>
      <c r="B750" s="1186" t="s">
        <v>1572</v>
      </c>
      <c r="C750" s="1186" t="s">
        <v>37</v>
      </c>
      <c r="D750" s="1186">
        <v>43</v>
      </c>
      <c r="E750" s="1186"/>
      <c r="F750" s="1186">
        <v>2</v>
      </c>
    </row>
    <row r="751" spans="1:6" x14ac:dyDescent="0.2">
      <c r="A751" s="1186" t="s">
        <v>116</v>
      </c>
      <c r="B751" s="1186" t="s">
        <v>1572</v>
      </c>
      <c r="C751" s="1186" t="s">
        <v>38</v>
      </c>
      <c r="D751" s="1186">
        <v>55</v>
      </c>
      <c r="E751" s="1186">
        <v>1</v>
      </c>
      <c r="F751" s="1186">
        <v>10</v>
      </c>
    </row>
    <row r="752" spans="1:6" x14ac:dyDescent="0.2">
      <c r="A752" s="1186" t="s">
        <v>116</v>
      </c>
      <c r="B752" s="1186" t="s">
        <v>1572</v>
      </c>
      <c r="C752" s="1186" t="s">
        <v>39</v>
      </c>
      <c r="D752" s="1186">
        <v>40</v>
      </c>
      <c r="E752" s="1186"/>
      <c r="F752" s="1186">
        <v>3</v>
      </c>
    </row>
    <row r="753" spans="1:6" x14ac:dyDescent="0.2">
      <c r="A753" s="1186" t="s">
        <v>116</v>
      </c>
      <c r="B753" s="1186" t="s">
        <v>1572</v>
      </c>
      <c r="C753" s="1186" t="s">
        <v>40</v>
      </c>
      <c r="D753" s="1186">
        <v>30</v>
      </c>
      <c r="E753" s="1186"/>
      <c r="F753" s="1186">
        <v>1</v>
      </c>
    </row>
    <row r="754" spans="1:6" x14ac:dyDescent="0.2">
      <c r="A754" s="1186" t="s">
        <v>116</v>
      </c>
      <c r="B754" s="1186" t="s">
        <v>1572</v>
      </c>
      <c r="C754" s="1186" t="s">
        <v>295</v>
      </c>
      <c r="D754" s="1186">
        <v>2</v>
      </c>
      <c r="E754" s="1186"/>
      <c r="F754" s="1186"/>
    </row>
    <row r="755" spans="1:6" x14ac:dyDescent="0.2">
      <c r="A755" s="1186" t="s">
        <v>116</v>
      </c>
      <c r="B755" s="1186" t="s">
        <v>1572</v>
      </c>
      <c r="C755" s="1186" t="s">
        <v>41</v>
      </c>
      <c r="D755" s="1186">
        <v>46</v>
      </c>
      <c r="E755" s="1186">
        <v>1</v>
      </c>
      <c r="F755" s="1186">
        <v>7</v>
      </c>
    </row>
    <row r="756" spans="1:6" x14ac:dyDescent="0.2">
      <c r="A756" s="1186" t="s">
        <v>116</v>
      </c>
      <c r="B756" s="1186" t="s">
        <v>1572</v>
      </c>
      <c r="C756" s="1186" t="s">
        <v>42</v>
      </c>
      <c r="D756" s="1186">
        <v>211</v>
      </c>
      <c r="E756" s="1186">
        <v>1</v>
      </c>
      <c r="F756" s="1186">
        <v>20</v>
      </c>
    </row>
    <row r="757" spans="1:6" x14ac:dyDescent="0.2">
      <c r="A757" s="1186" t="s">
        <v>116</v>
      </c>
      <c r="B757" s="1186" t="s">
        <v>1572</v>
      </c>
      <c r="C757" s="1186" t="s">
        <v>44</v>
      </c>
      <c r="D757" s="1186">
        <v>26</v>
      </c>
      <c r="E757" s="1186"/>
      <c r="F757" s="1186">
        <v>3</v>
      </c>
    </row>
    <row r="758" spans="1:6" x14ac:dyDescent="0.2">
      <c r="A758" s="1186" t="s">
        <v>116</v>
      </c>
      <c r="B758" s="1186" t="s">
        <v>1572</v>
      </c>
      <c r="C758" s="1186" t="s">
        <v>45</v>
      </c>
      <c r="D758" s="1186">
        <v>115</v>
      </c>
      <c r="E758" s="1186">
        <v>3</v>
      </c>
      <c r="F758" s="1186">
        <v>7</v>
      </c>
    </row>
    <row r="759" spans="1:6" x14ac:dyDescent="0.2">
      <c r="A759" s="1186" t="s">
        <v>116</v>
      </c>
      <c r="B759" s="1186" t="s">
        <v>1572</v>
      </c>
      <c r="C759" s="1186" t="s">
        <v>46</v>
      </c>
      <c r="D759" s="1186">
        <v>32</v>
      </c>
      <c r="E759" s="1186"/>
      <c r="F759" s="1186"/>
    </row>
    <row r="760" spans="1:6" x14ac:dyDescent="0.2">
      <c r="A760" s="1186" t="s">
        <v>116</v>
      </c>
      <c r="B760" s="1186" t="s">
        <v>1572</v>
      </c>
      <c r="C760" s="1186" t="s">
        <v>47</v>
      </c>
      <c r="D760" s="1186">
        <v>2</v>
      </c>
      <c r="E760" s="1186"/>
      <c r="F760" s="1186"/>
    </row>
    <row r="761" spans="1:6" x14ac:dyDescent="0.2">
      <c r="A761" s="1186" t="s">
        <v>116</v>
      </c>
      <c r="B761" s="1186" t="s">
        <v>1572</v>
      </c>
      <c r="C761" s="1186" t="s">
        <v>48</v>
      </c>
      <c r="D761" s="1186">
        <v>31</v>
      </c>
      <c r="E761" s="1186"/>
      <c r="F761" s="1186">
        <v>4</v>
      </c>
    </row>
    <row r="762" spans="1:6" x14ac:dyDescent="0.2">
      <c r="A762" s="1186" t="s">
        <v>116</v>
      </c>
      <c r="B762" s="1186" t="s">
        <v>1572</v>
      </c>
      <c r="C762" s="1186" t="s">
        <v>49</v>
      </c>
      <c r="D762" s="1186">
        <v>148</v>
      </c>
      <c r="E762" s="1186"/>
      <c r="F762" s="1186">
        <v>14</v>
      </c>
    </row>
    <row r="763" spans="1:6" x14ac:dyDescent="0.2">
      <c r="A763" s="1186" t="s">
        <v>116</v>
      </c>
      <c r="B763" s="1186" t="s">
        <v>1572</v>
      </c>
      <c r="C763" s="1186" t="s">
        <v>50</v>
      </c>
      <c r="D763" s="1186">
        <v>46</v>
      </c>
      <c r="E763" s="1186"/>
      <c r="F763" s="1186">
        <v>3</v>
      </c>
    </row>
    <row r="764" spans="1:6" x14ac:dyDescent="0.2">
      <c r="A764" s="1186" t="s">
        <v>116</v>
      </c>
      <c r="B764" s="1186" t="s">
        <v>1572</v>
      </c>
      <c r="C764" s="1186" t="s">
        <v>51</v>
      </c>
      <c r="D764" s="1186">
        <v>62</v>
      </c>
      <c r="E764" s="1186">
        <v>1</v>
      </c>
      <c r="F764" s="1186">
        <v>3</v>
      </c>
    </row>
    <row r="765" spans="1:6" x14ac:dyDescent="0.2">
      <c r="A765" s="1186" t="s">
        <v>116</v>
      </c>
      <c r="B765" s="1186" t="s">
        <v>1572</v>
      </c>
      <c r="C765" s="1186" t="s">
        <v>52</v>
      </c>
      <c r="D765" s="1186">
        <v>108</v>
      </c>
      <c r="E765" s="1186"/>
      <c r="F765" s="1186">
        <v>6</v>
      </c>
    </row>
  </sheetData>
  <pageMargins left="0.7" right="0.7" top="0.75" bottom="0.75" header="0.3" footer="0.3"/>
  <pageSetup paperSize="9" fitToHeight="50" orientation="landscape" r:id="rId1"/>
  <legacyDrawing r:id="rId2"/>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pageSetUpPr fitToPage="1"/>
  </sheetPr>
  <dimension ref="A1:O138"/>
  <sheetViews>
    <sheetView zoomScale="85" zoomScaleNormal="85" workbookViewId="0">
      <pane ySplit="4" topLeftCell="A111"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6.42578125" bestFit="1" customWidth="1"/>
    <col min="3" max="3" width="42.85546875" bestFit="1" customWidth="1"/>
    <col min="4" max="4" width="12.42578125" bestFit="1" customWidth="1"/>
    <col min="5" max="5" width="6" bestFit="1" customWidth="1"/>
    <col min="6" max="7" width="7" bestFit="1" customWidth="1"/>
    <col min="8" max="8" width="5.42578125" bestFit="1" customWidth="1"/>
    <col min="9" max="9" width="8" bestFit="1" customWidth="1"/>
    <col min="10" max="10" width="7.42578125" bestFit="1" customWidth="1"/>
    <col min="11" max="11" width="7.85546875" bestFit="1" customWidth="1"/>
    <col min="12" max="12" width="6.85546875" bestFit="1" customWidth="1"/>
    <col min="13" max="13" width="7" bestFit="1" customWidth="1"/>
    <col min="14" max="15" width="7.85546875" bestFit="1" customWidth="1"/>
  </cols>
  <sheetData>
    <row r="1" spans="1:15" x14ac:dyDescent="0.2"/>
    <row r="4" spans="1:15" x14ac:dyDescent="0.2">
      <c r="A4" s="1223" t="s">
        <v>464</v>
      </c>
      <c r="B4" s="1223" t="s">
        <v>563</v>
      </c>
      <c r="C4" s="1223" t="s">
        <v>1771</v>
      </c>
      <c r="D4" s="1223" t="s">
        <v>1772</v>
      </c>
      <c r="E4" s="1223" t="s">
        <v>1773</v>
      </c>
      <c r="F4" s="1223" t="s">
        <v>1774</v>
      </c>
      <c r="G4" s="1223" t="s">
        <v>1775</v>
      </c>
      <c r="H4" s="1223" t="s">
        <v>1776</v>
      </c>
      <c r="I4" s="1223" t="s">
        <v>168</v>
      </c>
      <c r="J4" s="1223" t="s">
        <v>1632</v>
      </c>
      <c r="K4" s="1223" t="s">
        <v>11</v>
      </c>
      <c r="L4" s="1223" t="s">
        <v>1777</v>
      </c>
      <c r="M4" s="1223" t="s">
        <v>1778</v>
      </c>
      <c r="N4" s="1223" t="s">
        <v>1779</v>
      </c>
      <c r="O4" s="1223" t="s">
        <v>1780</v>
      </c>
    </row>
    <row r="5" spans="1:15" x14ac:dyDescent="0.2">
      <c r="A5" s="1186" t="s">
        <v>19</v>
      </c>
      <c r="B5" s="1186" t="s">
        <v>421</v>
      </c>
      <c r="C5" s="1186" t="s">
        <v>424</v>
      </c>
      <c r="D5" s="1186">
        <v>3</v>
      </c>
      <c r="E5" s="1186"/>
      <c r="F5" s="1186">
        <v>1</v>
      </c>
      <c r="G5" s="1186">
        <v>2</v>
      </c>
      <c r="H5" s="1186"/>
      <c r="I5" s="1186"/>
      <c r="J5" s="1186" t="s">
        <v>19</v>
      </c>
      <c r="K5" s="1186">
        <v>5231900</v>
      </c>
      <c r="L5" s="1186">
        <v>984309</v>
      </c>
      <c r="M5" s="1186">
        <v>893916</v>
      </c>
      <c r="N5" s="1186">
        <v>2159788</v>
      </c>
      <c r="O5" s="1186">
        <v>1193887</v>
      </c>
    </row>
    <row r="6" spans="1:15" x14ac:dyDescent="0.2">
      <c r="A6" s="1186" t="s">
        <v>19</v>
      </c>
      <c r="B6" s="1186" t="s">
        <v>421</v>
      </c>
      <c r="C6" s="1186" t="s">
        <v>427</v>
      </c>
      <c r="D6" s="1186">
        <v>10</v>
      </c>
      <c r="E6" s="1186"/>
      <c r="F6" s="1186">
        <v>2</v>
      </c>
      <c r="G6" s="1186">
        <v>8</v>
      </c>
      <c r="H6" s="1186"/>
      <c r="I6" s="1186"/>
      <c r="J6" s="1186" t="s">
        <v>19</v>
      </c>
      <c r="K6" s="1186">
        <v>5231900</v>
      </c>
      <c r="L6" s="1186">
        <v>984309</v>
      </c>
      <c r="M6" s="1186">
        <v>893916</v>
      </c>
      <c r="N6" s="1186">
        <v>2159788</v>
      </c>
      <c r="O6" s="1186">
        <v>1193887</v>
      </c>
    </row>
    <row r="7" spans="1:15" x14ac:dyDescent="0.2">
      <c r="A7" s="1186" t="s">
        <v>19</v>
      </c>
      <c r="B7" s="1186" t="s">
        <v>421</v>
      </c>
      <c r="C7" s="1186" t="s">
        <v>429</v>
      </c>
      <c r="D7" s="1186">
        <v>2</v>
      </c>
      <c r="E7" s="1186"/>
      <c r="F7" s="1186">
        <v>1</v>
      </c>
      <c r="G7" s="1186">
        <v>1</v>
      </c>
      <c r="H7" s="1186"/>
      <c r="I7" s="1186"/>
      <c r="J7" s="1186" t="s">
        <v>19</v>
      </c>
      <c r="K7" s="1186">
        <v>5231900</v>
      </c>
      <c r="L7" s="1186">
        <v>984309</v>
      </c>
      <c r="M7" s="1186">
        <v>893916</v>
      </c>
      <c r="N7" s="1186">
        <v>2159788</v>
      </c>
      <c r="O7" s="1186">
        <v>1193887</v>
      </c>
    </row>
    <row r="8" spans="1:15" x14ac:dyDescent="0.2">
      <c r="A8" s="1186" t="s">
        <v>19</v>
      </c>
      <c r="B8" s="1186" t="s">
        <v>421</v>
      </c>
      <c r="C8" s="1186" t="s">
        <v>430</v>
      </c>
      <c r="D8" s="1186">
        <v>3</v>
      </c>
      <c r="E8" s="1186"/>
      <c r="F8" s="1186">
        <v>1</v>
      </c>
      <c r="G8" s="1186">
        <v>2</v>
      </c>
      <c r="H8" s="1186"/>
      <c r="I8" s="1186"/>
      <c r="J8" s="1186" t="s">
        <v>19</v>
      </c>
      <c r="K8" s="1186">
        <v>5231900</v>
      </c>
      <c r="L8" s="1186">
        <v>984309</v>
      </c>
      <c r="M8" s="1186">
        <v>893916</v>
      </c>
      <c r="N8" s="1186">
        <v>2159788</v>
      </c>
      <c r="O8" s="1186">
        <v>1193887</v>
      </c>
    </row>
    <row r="9" spans="1:15" x14ac:dyDescent="0.2">
      <c r="A9" s="1186" t="s">
        <v>19</v>
      </c>
      <c r="B9" s="1186" t="s">
        <v>414</v>
      </c>
      <c r="C9" s="1186" t="s">
        <v>424</v>
      </c>
      <c r="D9" s="1186">
        <v>152</v>
      </c>
      <c r="E9" s="1186">
        <v>8</v>
      </c>
      <c r="F9" s="1186">
        <v>42</v>
      </c>
      <c r="G9" s="1186">
        <v>76</v>
      </c>
      <c r="H9" s="1186">
        <v>26</v>
      </c>
      <c r="I9" s="1186"/>
      <c r="J9" s="1186" t="s">
        <v>19</v>
      </c>
      <c r="K9" s="1186">
        <v>5231900</v>
      </c>
      <c r="L9" s="1186">
        <v>984309</v>
      </c>
      <c r="M9" s="1186">
        <v>893916</v>
      </c>
      <c r="N9" s="1186">
        <v>2159788</v>
      </c>
      <c r="O9" s="1186">
        <v>1193887</v>
      </c>
    </row>
    <row r="10" spans="1:15" x14ac:dyDescent="0.2">
      <c r="A10" s="1186" t="s">
        <v>19</v>
      </c>
      <c r="B10" s="1186" t="s">
        <v>414</v>
      </c>
      <c r="C10" s="1186" t="s">
        <v>425</v>
      </c>
      <c r="D10" s="1186">
        <v>31</v>
      </c>
      <c r="E10" s="1186">
        <v>1</v>
      </c>
      <c r="F10" s="1186">
        <v>3</v>
      </c>
      <c r="G10" s="1186">
        <v>19</v>
      </c>
      <c r="H10" s="1186">
        <v>8</v>
      </c>
      <c r="I10" s="1186"/>
      <c r="J10" s="1186" t="s">
        <v>19</v>
      </c>
      <c r="K10" s="1186">
        <v>5231900</v>
      </c>
      <c r="L10" s="1186">
        <v>984309</v>
      </c>
      <c r="M10" s="1186">
        <v>893916</v>
      </c>
      <c r="N10" s="1186">
        <v>2159788</v>
      </c>
      <c r="O10" s="1186">
        <v>1193887</v>
      </c>
    </row>
    <row r="11" spans="1:15" x14ac:dyDescent="0.2">
      <c r="A11" s="1186" t="s">
        <v>19</v>
      </c>
      <c r="B11" s="1186" t="s">
        <v>414</v>
      </c>
      <c r="C11" s="1186" t="s">
        <v>426</v>
      </c>
      <c r="D11" s="1186">
        <v>569</v>
      </c>
      <c r="E11" s="1186">
        <v>46</v>
      </c>
      <c r="F11" s="1186">
        <v>109</v>
      </c>
      <c r="G11" s="1186">
        <v>266</v>
      </c>
      <c r="H11" s="1186">
        <v>148</v>
      </c>
      <c r="I11" s="1186"/>
      <c r="J11" s="1186" t="s">
        <v>19</v>
      </c>
      <c r="K11" s="1186">
        <v>5231900</v>
      </c>
      <c r="L11" s="1186">
        <v>984309</v>
      </c>
      <c r="M11" s="1186">
        <v>893916</v>
      </c>
      <c r="N11" s="1186">
        <v>2159788</v>
      </c>
      <c r="O11" s="1186">
        <v>1193887</v>
      </c>
    </row>
    <row r="12" spans="1:15" x14ac:dyDescent="0.2">
      <c r="A12" s="1186" t="s">
        <v>19</v>
      </c>
      <c r="B12" s="1186" t="s">
        <v>414</v>
      </c>
      <c r="C12" s="1186" t="s">
        <v>427</v>
      </c>
      <c r="D12" s="1186">
        <v>43</v>
      </c>
      <c r="E12" s="1186">
        <v>5</v>
      </c>
      <c r="F12" s="1186">
        <v>9</v>
      </c>
      <c r="G12" s="1186">
        <v>20</v>
      </c>
      <c r="H12" s="1186">
        <v>9</v>
      </c>
      <c r="I12" s="1186"/>
      <c r="J12" s="1186" t="s">
        <v>19</v>
      </c>
      <c r="K12" s="1186">
        <v>5231900</v>
      </c>
      <c r="L12" s="1186">
        <v>984309</v>
      </c>
      <c r="M12" s="1186">
        <v>893916</v>
      </c>
      <c r="N12" s="1186">
        <v>2159788</v>
      </c>
      <c r="O12" s="1186">
        <v>1193887</v>
      </c>
    </row>
    <row r="13" spans="1:15" x14ac:dyDescent="0.2">
      <c r="A13" s="1186" t="s">
        <v>19</v>
      </c>
      <c r="B13" s="1186" t="s">
        <v>414</v>
      </c>
      <c r="C13" s="1186" t="s">
        <v>428</v>
      </c>
      <c r="D13" s="1186">
        <v>23</v>
      </c>
      <c r="E13" s="1186">
        <v>4</v>
      </c>
      <c r="F13" s="1186">
        <v>2</v>
      </c>
      <c r="G13" s="1186">
        <v>8</v>
      </c>
      <c r="H13" s="1186">
        <v>9</v>
      </c>
      <c r="I13" s="1186"/>
      <c r="J13" s="1186" t="s">
        <v>19</v>
      </c>
      <c r="K13" s="1186">
        <v>5231900</v>
      </c>
      <c r="L13" s="1186">
        <v>984309</v>
      </c>
      <c r="M13" s="1186">
        <v>893916</v>
      </c>
      <c r="N13" s="1186">
        <v>2159788</v>
      </c>
      <c r="O13" s="1186">
        <v>1193887</v>
      </c>
    </row>
    <row r="14" spans="1:15" x14ac:dyDescent="0.2">
      <c r="A14" s="1186" t="s">
        <v>19</v>
      </c>
      <c r="B14" s="1186" t="s">
        <v>414</v>
      </c>
      <c r="C14" s="1186" t="s">
        <v>429</v>
      </c>
      <c r="D14" s="1186">
        <v>252</v>
      </c>
      <c r="E14" s="1186">
        <v>21</v>
      </c>
      <c r="F14" s="1186">
        <v>43</v>
      </c>
      <c r="G14" s="1186">
        <v>112</v>
      </c>
      <c r="H14" s="1186">
        <v>75</v>
      </c>
      <c r="I14" s="1186">
        <v>1</v>
      </c>
      <c r="J14" s="1186" t="s">
        <v>19</v>
      </c>
      <c r="K14" s="1186">
        <v>5231900</v>
      </c>
      <c r="L14" s="1186">
        <v>984309</v>
      </c>
      <c r="M14" s="1186">
        <v>893916</v>
      </c>
      <c r="N14" s="1186">
        <v>2159788</v>
      </c>
      <c r="O14" s="1186">
        <v>1193887</v>
      </c>
    </row>
    <row r="15" spans="1:15" x14ac:dyDescent="0.2">
      <c r="A15" s="1186" t="s">
        <v>19</v>
      </c>
      <c r="B15" s="1186" t="s">
        <v>414</v>
      </c>
      <c r="C15" s="1186" t="s">
        <v>430</v>
      </c>
      <c r="D15" s="1186">
        <v>135</v>
      </c>
      <c r="E15" s="1186">
        <v>21</v>
      </c>
      <c r="F15" s="1186">
        <v>30</v>
      </c>
      <c r="G15" s="1186">
        <v>51</v>
      </c>
      <c r="H15" s="1186">
        <v>33</v>
      </c>
      <c r="I15" s="1186"/>
      <c r="J15" s="1186" t="s">
        <v>19</v>
      </c>
      <c r="K15" s="1186">
        <v>5231900</v>
      </c>
      <c r="L15" s="1186">
        <v>984309</v>
      </c>
      <c r="M15" s="1186">
        <v>893916</v>
      </c>
      <c r="N15" s="1186">
        <v>2159788</v>
      </c>
      <c r="O15" s="1186">
        <v>1193887</v>
      </c>
    </row>
    <row r="16" spans="1:15" x14ac:dyDescent="0.2">
      <c r="A16" s="1186" t="s">
        <v>20</v>
      </c>
      <c r="B16" s="1186" t="s">
        <v>421</v>
      </c>
      <c r="C16" s="1186" t="s">
        <v>424</v>
      </c>
      <c r="D16" s="1186">
        <v>2</v>
      </c>
      <c r="E16" s="1186"/>
      <c r="F16" s="1186"/>
      <c r="G16" s="1186">
        <v>2</v>
      </c>
      <c r="H16" s="1186"/>
      <c r="I16" s="1186"/>
      <c r="J16" s="1186" t="s">
        <v>20</v>
      </c>
      <c r="K16" s="1186">
        <v>5262200</v>
      </c>
      <c r="L16" s="1186">
        <v>981096</v>
      </c>
      <c r="M16" s="1186">
        <v>903573</v>
      </c>
      <c r="N16" s="1186">
        <v>2163995</v>
      </c>
      <c r="O16" s="1186">
        <v>1213536</v>
      </c>
    </row>
    <row r="17" spans="1:15" x14ac:dyDescent="0.2">
      <c r="A17" s="1186" t="s">
        <v>20</v>
      </c>
      <c r="B17" s="1186" t="s">
        <v>421</v>
      </c>
      <c r="C17" s="1186" t="s">
        <v>426</v>
      </c>
      <c r="D17" s="1186">
        <v>7</v>
      </c>
      <c r="E17" s="1186"/>
      <c r="F17" s="1186"/>
      <c r="G17" s="1186">
        <v>7</v>
      </c>
      <c r="H17" s="1186"/>
      <c r="I17" s="1186"/>
      <c r="J17" s="1186" t="s">
        <v>20</v>
      </c>
      <c r="K17" s="1186">
        <v>5262200</v>
      </c>
      <c r="L17" s="1186">
        <v>981096</v>
      </c>
      <c r="M17" s="1186">
        <v>903573</v>
      </c>
      <c r="N17" s="1186">
        <v>2163995</v>
      </c>
      <c r="O17" s="1186">
        <v>1213536</v>
      </c>
    </row>
    <row r="18" spans="1:15" x14ac:dyDescent="0.2">
      <c r="A18" s="1186" t="s">
        <v>20</v>
      </c>
      <c r="B18" s="1186" t="s">
        <v>421</v>
      </c>
      <c r="C18" s="1186" t="s">
        <v>427</v>
      </c>
      <c r="D18" s="1186">
        <v>9</v>
      </c>
      <c r="E18" s="1186"/>
      <c r="F18" s="1186">
        <v>1</v>
      </c>
      <c r="G18" s="1186">
        <v>8</v>
      </c>
      <c r="H18" s="1186"/>
      <c r="I18" s="1186"/>
      <c r="J18" s="1186" t="s">
        <v>20</v>
      </c>
      <c r="K18" s="1186">
        <v>5262200</v>
      </c>
      <c r="L18" s="1186">
        <v>981096</v>
      </c>
      <c r="M18" s="1186">
        <v>903573</v>
      </c>
      <c r="N18" s="1186">
        <v>2163995</v>
      </c>
      <c r="O18" s="1186">
        <v>1213536</v>
      </c>
    </row>
    <row r="19" spans="1:15" x14ac:dyDescent="0.2">
      <c r="A19" s="1186" t="s">
        <v>20</v>
      </c>
      <c r="B19" s="1186" t="s">
        <v>421</v>
      </c>
      <c r="C19" s="1186" t="s">
        <v>428</v>
      </c>
      <c r="D19" s="1186">
        <v>1</v>
      </c>
      <c r="E19" s="1186"/>
      <c r="F19" s="1186">
        <v>1</v>
      </c>
      <c r="G19" s="1186"/>
      <c r="H19" s="1186"/>
      <c r="I19" s="1186"/>
      <c r="J19" s="1186" t="s">
        <v>20</v>
      </c>
      <c r="K19" s="1186">
        <v>5262200</v>
      </c>
      <c r="L19" s="1186">
        <v>981096</v>
      </c>
      <c r="M19" s="1186">
        <v>903573</v>
      </c>
      <c r="N19" s="1186">
        <v>2163995</v>
      </c>
      <c r="O19" s="1186">
        <v>1213536</v>
      </c>
    </row>
    <row r="20" spans="1:15" x14ac:dyDescent="0.2">
      <c r="A20" s="1186" t="s">
        <v>20</v>
      </c>
      <c r="B20" s="1186" t="s">
        <v>421</v>
      </c>
      <c r="C20" s="1186" t="s">
        <v>429</v>
      </c>
      <c r="D20" s="1186">
        <v>5</v>
      </c>
      <c r="E20" s="1186"/>
      <c r="F20" s="1186">
        <v>1</v>
      </c>
      <c r="G20" s="1186">
        <v>4</v>
      </c>
      <c r="H20" s="1186"/>
      <c r="I20" s="1186"/>
      <c r="J20" s="1186" t="s">
        <v>20</v>
      </c>
      <c r="K20" s="1186">
        <v>5262200</v>
      </c>
      <c r="L20" s="1186">
        <v>981096</v>
      </c>
      <c r="M20" s="1186">
        <v>903573</v>
      </c>
      <c r="N20" s="1186">
        <v>2163995</v>
      </c>
      <c r="O20" s="1186">
        <v>1213536</v>
      </c>
    </row>
    <row r="21" spans="1:15" x14ac:dyDescent="0.2">
      <c r="A21" s="1186" t="s">
        <v>20</v>
      </c>
      <c r="B21" s="1186" t="s">
        <v>421</v>
      </c>
      <c r="C21" s="1186" t="s">
        <v>430</v>
      </c>
      <c r="D21" s="1186">
        <v>4</v>
      </c>
      <c r="E21" s="1186"/>
      <c r="F21" s="1186">
        <v>1</v>
      </c>
      <c r="G21" s="1186">
        <v>3</v>
      </c>
      <c r="H21" s="1186"/>
      <c r="I21" s="1186"/>
      <c r="J21" s="1186" t="s">
        <v>20</v>
      </c>
      <c r="K21" s="1186">
        <v>5262200</v>
      </c>
      <c r="L21" s="1186">
        <v>981096</v>
      </c>
      <c r="M21" s="1186">
        <v>903573</v>
      </c>
      <c r="N21" s="1186">
        <v>2163995</v>
      </c>
      <c r="O21" s="1186">
        <v>1213536</v>
      </c>
    </row>
    <row r="22" spans="1:15" x14ac:dyDescent="0.2">
      <c r="A22" s="1186" t="s">
        <v>20</v>
      </c>
      <c r="B22" s="1186" t="s">
        <v>414</v>
      </c>
      <c r="C22" s="1186" t="s">
        <v>424</v>
      </c>
      <c r="D22" s="1186">
        <v>157</v>
      </c>
      <c r="E22" s="1186">
        <v>14</v>
      </c>
      <c r="F22" s="1186">
        <v>43</v>
      </c>
      <c r="G22" s="1186">
        <v>75</v>
      </c>
      <c r="H22" s="1186">
        <v>25</v>
      </c>
      <c r="I22" s="1186"/>
      <c r="J22" s="1186" t="s">
        <v>20</v>
      </c>
      <c r="K22" s="1186">
        <v>5262200</v>
      </c>
      <c r="L22" s="1186">
        <v>981096</v>
      </c>
      <c r="M22" s="1186">
        <v>903573</v>
      </c>
      <c r="N22" s="1186">
        <v>2163995</v>
      </c>
      <c r="O22" s="1186">
        <v>1213536</v>
      </c>
    </row>
    <row r="23" spans="1:15" x14ac:dyDescent="0.2">
      <c r="A23" s="1186" t="s">
        <v>20</v>
      </c>
      <c r="B23" s="1186" t="s">
        <v>414</v>
      </c>
      <c r="C23" s="1186" t="s">
        <v>425</v>
      </c>
      <c r="D23" s="1186">
        <v>49</v>
      </c>
      <c r="E23" s="1186">
        <v>1</v>
      </c>
      <c r="F23" s="1186">
        <v>13</v>
      </c>
      <c r="G23" s="1186">
        <v>22</v>
      </c>
      <c r="H23" s="1186">
        <v>13</v>
      </c>
      <c r="I23" s="1186"/>
      <c r="J23" s="1186" t="s">
        <v>20</v>
      </c>
      <c r="K23" s="1186">
        <v>5262200</v>
      </c>
      <c r="L23" s="1186">
        <v>981096</v>
      </c>
      <c r="M23" s="1186">
        <v>903573</v>
      </c>
      <c r="N23" s="1186">
        <v>2163995</v>
      </c>
      <c r="O23" s="1186">
        <v>1213536</v>
      </c>
    </row>
    <row r="24" spans="1:15" x14ac:dyDescent="0.2">
      <c r="A24" s="1186" t="s">
        <v>20</v>
      </c>
      <c r="B24" s="1186" t="s">
        <v>414</v>
      </c>
      <c r="C24" s="1186" t="s">
        <v>426</v>
      </c>
      <c r="D24" s="1186">
        <v>651</v>
      </c>
      <c r="E24" s="1186">
        <v>54</v>
      </c>
      <c r="F24" s="1186">
        <v>130</v>
      </c>
      <c r="G24" s="1186">
        <v>299</v>
      </c>
      <c r="H24" s="1186">
        <v>168</v>
      </c>
      <c r="I24" s="1186"/>
      <c r="J24" s="1186" t="s">
        <v>20</v>
      </c>
      <c r="K24" s="1186">
        <v>5262200</v>
      </c>
      <c r="L24" s="1186">
        <v>981096</v>
      </c>
      <c r="M24" s="1186">
        <v>903573</v>
      </c>
      <c r="N24" s="1186">
        <v>2163995</v>
      </c>
      <c r="O24" s="1186">
        <v>1213536</v>
      </c>
    </row>
    <row r="25" spans="1:15" x14ac:dyDescent="0.2">
      <c r="A25" s="1186" t="s">
        <v>20</v>
      </c>
      <c r="B25" s="1186" t="s">
        <v>414</v>
      </c>
      <c r="C25" s="1186" t="s">
        <v>427</v>
      </c>
      <c r="D25" s="1186">
        <v>32</v>
      </c>
      <c r="E25" s="1186"/>
      <c r="F25" s="1186">
        <v>17</v>
      </c>
      <c r="G25" s="1186">
        <v>11</v>
      </c>
      <c r="H25" s="1186">
        <v>4</v>
      </c>
      <c r="I25" s="1186"/>
      <c r="J25" s="1186" t="s">
        <v>20</v>
      </c>
      <c r="K25" s="1186">
        <v>5262200</v>
      </c>
      <c r="L25" s="1186">
        <v>981096</v>
      </c>
      <c r="M25" s="1186">
        <v>903573</v>
      </c>
      <c r="N25" s="1186">
        <v>2163995</v>
      </c>
      <c r="O25" s="1186">
        <v>1213536</v>
      </c>
    </row>
    <row r="26" spans="1:15" x14ac:dyDescent="0.2">
      <c r="A26" s="1186" t="s">
        <v>20</v>
      </c>
      <c r="B26" s="1186" t="s">
        <v>414</v>
      </c>
      <c r="C26" s="1186" t="s">
        <v>428</v>
      </c>
      <c r="D26" s="1186">
        <v>29</v>
      </c>
      <c r="E26" s="1186">
        <v>2</v>
      </c>
      <c r="F26" s="1186">
        <v>5</v>
      </c>
      <c r="G26" s="1186">
        <v>10</v>
      </c>
      <c r="H26" s="1186">
        <v>12</v>
      </c>
      <c r="I26" s="1186"/>
      <c r="J26" s="1186" t="s">
        <v>20</v>
      </c>
      <c r="K26" s="1186">
        <v>5262200</v>
      </c>
      <c r="L26" s="1186">
        <v>981096</v>
      </c>
      <c r="M26" s="1186">
        <v>903573</v>
      </c>
      <c r="N26" s="1186">
        <v>2163995</v>
      </c>
      <c r="O26" s="1186">
        <v>1213536</v>
      </c>
    </row>
    <row r="27" spans="1:15" x14ac:dyDescent="0.2">
      <c r="A27" s="1186" t="s">
        <v>20</v>
      </c>
      <c r="B27" s="1186" t="s">
        <v>414</v>
      </c>
      <c r="C27" s="1186" t="s">
        <v>429</v>
      </c>
      <c r="D27" s="1186">
        <v>239</v>
      </c>
      <c r="E27" s="1186">
        <v>22</v>
      </c>
      <c r="F27" s="1186">
        <v>47</v>
      </c>
      <c r="G27" s="1186">
        <v>92</v>
      </c>
      <c r="H27" s="1186">
        <v>77</v>
      </c>
      <c r="I27" s="1186">
        <v>1</v>
      </c>
      <c r="J27" s="1186" t="s">
        <v>20</v>
      </c>
      <c r="K27" s="1186">
        <v>5262200</v>
      </c>
      <c r="L27" s="1186">
        <v>981096</v>
      </c>
      <c r="M27" s="1186">
        <v>903573</v>
      </c>
      <c r="N27" s="1186">
        <v>2163995</v>
      </c>
      <c r="O27" s="1186">
        <v>1213536</v>
      </c>
    </row>
    <row r="28" spans="1:15" x14ac:dyDescent="0.2">
      <c r="A28" s="1186" t="s">
        <v>20</v>
      </c>
      <c r="B28" s="1186" t="s">
        <v>414</v>
      </c>
      <c r="C28" s="1186" t="s">
        <v>430</v>
      </c>
      <c r="D28" s="1186">
        <v>147</v>
      </c>
      <c r="E28" s="1186">
        <v>20</v>
      </c>
      <c r="F28" s="1186">
        <v>28</v>
      </c>
      <c r="G28" s="1186">
        <v>74</v>
      </c>
      <c r="H28" s="1186">
        <v>24</v>
      </c>
      <c r="I28" s="1186">
        <v>1</v>
      </c>
      <c r="J28" s="1186" t="s">
        <v>20</v>
      </c>
      <c r="K28" s="1186">
        <v>5262200</v>
      </c>
      <c r="L28" s="1186">
        <v>981096</v>
      </c>
      <c r="M28" s="1186">
        <v>903573</v>
      </c>
      <c r="N28" s="1186">
        <v>2163995</v>
      </c>
      <c r="O28" s="1186">
        <v>1213536</v>
      </c>
    </row>
    <row r="29" spans="1:15" x14ac:dyDescent="0.2">
      <c r="A29" s="1186" t="s">
        <v>13</v>
      </c>
      <c r="B29" s="1186" t="s">
        <v>421</v>
      </c>
      <c r="C29" s="1186" t="s">
        <v>424</v>
      </c>
      <c r="D29" s="1186">
        <v>1</v>
      </c>
      <c r="E29" s="1186"/>
      <c r="F29" s="1186"/>
      <c r="G29" s="1186">
        <v>1</v>
      </c>
      <c r="H29" s="1186"/>
      <c r="I29" s="1186"/>
      <c r="J29" s="1186" t="s">
        <v>13</v>
      </c>
      <c r="K29" s="1186">
        <v>5299900</v>
      </c>
      <c r="L29" s="1186">
        <v>978075</v>
      </c>
      <c r="M29" s="1186">
        <v>915437</v>
      </c>
      <c r="N29" s="1186">
        <v>2173561</v>
      </c>
      <c r="O29" s="1186">
        <v>1232827</v>
      </c>
    </row>
    <row r="30" spans="1:15" x14ac:dyDescent="0.2">
      <c r="A30" s="1186" t="s">
        <v>13</v>
      </c>
      <c r="B30" s="1186" t="s">
        <v>421</v>
      </c>
      <c r="C30" s="1186" t="s">
        <v>426</v>
      </c>
      <c r="D30" s="1186">
        <v>1</v>
      </c>
      <c r="E30" s="1186"/>
      <c r="F30" s="1186"/>
      <c r="G30" s="1186">
        <v>1</v>
      </c>
      <c r="H30" s="1186"/>
      <c r="I30" s="1186"/>
      <c r="J30" s="1186" t="s">
        <v>13</v>
      </c>
      <c r="K30" s="1186">
        <v>5299900</v>
      </c>
      <c r="L30" s="1186">
        <v>978075</v>
      </c>
      <c r="M30" s="1186">
        <v>915437</v>
      </c>
      <c r="N30" s="1186">
        <v>2173561</v>
      </c>
      <c r="O30" s="1186">
        <v>1232827</v>
      </c>
    </row>
    <row r="31" spans="1:15" x14ac:dyDescent="0.2">
      <c r="A31" s="1186" t="s">
        <v>13</v>
      </c>
      <c r="B31" s="1186" t="s">
        <v>421</v>
      </c>
      <c r="C31" s="1186" t="s">
        <v>427</v>
      </c>
      <c r="D31" s="1186">
        <v>8</v>
      </c>
      <c r="E31" s="1186"/>
      <c r="F31" s="1186">
        <v>2</v>
      </c>
      <c r="G31" s="1186">
        <v>6</v>
      </c>
      <c r="H31" s="1186"/>
      <c r="I31" s="1186"/>
      <c r="J31" s="1186" t="s">
        <v>13</v>
      </c>
      <c r="K31" s="1186">
        <v>5299900</v>
      </c>
      <c r="L31" s="1186">
        <v>978075</v>
      </c>
      <c r="M31" s="1186">
        <v>915437</v>
      </c>
      <c r="N31" s="1186">
        <v>2173561</v>
      </c>
      <c r="O31" s="1186">
        <v>1232827</v>
      </c>
    </row>
    <row r="32" spans="1:15" x14ac:dyDescent="0.2">
      <c r="A32" s="1186" t="s">
        <v>13</v>
      </c>
      <c r="B32" s="1186" t="s">
        <v>421</v>
      </c>
      <c r="C32" s="1186" t="s">
        <v>428</v>
      </c>
      <c r="D32" s="1186">
        <v>3</v>
      </c>
      <c r="E32" s="1186"/>
      <c r="F32" s="1186"/>
      <c r="G32" s="1186">
        <v>3</v>
      </c>
      <c r="H32" s="1186"/>
      <c r="I32" s="1186"/>
      <c r="J32" s="1186" t="s">
        <v>13</v>
      </c>
      <c r="K32" s="1186">
        <v>5299900</v>
      </c>
      <c r="L32" s="1186">
        <v>978075</v>
      </c>
      <c r="M32" s="1186">
        <v>915437</v>
      </c>
      <c r="N32" s="1186">
        <v>2173561</v>
      </c>
      <c r="O32" s="1186">
        <v>1232827</v>
      </c>
    </row>
    <row r="33" spans="1:15" x14ac:dyDescent="0.2">
      <c r="A33" s="1186" t="s">
        <v>13</v>
      </c>
      <c r="B33" s="1186" t="s">
        <v>421</v>
      </c>
      <c r="C33" s="1186" t="s">
        <v>429</v>
      </c>
      <c r="D33" s="1186">
        <v>7</v>
      </c>
      <c r="E33" s="1186"/>
      <c r="F33" s="1186"/>
      <c r="G33" s="1186">
        <v>7</v>
      </c>
      <c r="H33" s="1186"/>
      <c r="I33" s="1186"/>
      <c r="J33" s="1186" t="s">
        <v>13</v>
      </c>
      <c r="K33" s="1186">
        <v>5299900</v>
      </c>
      <c r="L33" s="1186">
        <v>978075</v>
      </c>
      <c r="M33" s="1186">
        <v>915437</v>
      </c>
      <c r="N33" s="1186">
        <v>2173561</v>
      </c>
      <c r="O33" s="1186">
        <v>1232827</v>
      </c>
    </row>
    <row r="34" spans="1:15" x14ac:dyDescent="0.2">
      <c r="A34" s="1186" t="s">
        <v>13</v>
      </c>
      <c r="B34" s="1186" t="s">
        <v>421</v>
      </c>
      <c r="C34" s="1186" t="s">
        <v>430</v>
      </c>
      <c r="D34" s="1186">
        <v>8</v>
      </c>
      <c r="E34" s="1186"/>
      <c r="F34" s="1186"/>
      <c r="G34" s="1186">
        <v>8</v>
      </c>
      <c r="H34" s="1186"/>
      <c r="I34" s="1186"/>
      <c r="J34" s="1186" t="s">
        <v>13</v>
      </c>
      <c r="K34" s="1186">
        <v>5299900</v>
      </c>
      <c r="L34" s="1186">
        <v>978075</v>
      </c>
      <c r="M34" s="1186">
        <v>915437</v>
      </c>
      <c r="N34" s="1186">
        <v>2173561</v>
      </c>
      <c r="O34" s="1186">
        <v>1232827</v>
      </c>
    </row>
    <row r="35" spans="1:15" x14ac:dyDescent="0.2">
      <c r="A35" s="1186" t="s">
        <v>13</v>
      </c>
      <c r="B35" s="1186" t="s">
        <v>414</v>
      </c>
      <c r="C35" s="1186" t="s">
        <v>424</v>
      </c>
      <c r="D35" s="1186">
        <v>147</v>
      </c>
      <c r="E35" s="1186">
        <v>10</v>
      </c>
      <c r="F35" s="1186">
        <v>34</v>
      </c>
      <c r="G35" s="1186">
        <v>73</v>
      </c>
      <c r="H35" s="1186">
        <v>30</v>
      </c>
      <c r="I35" s="1186"/>
      <c r="J35" s="1186" t="s">
        <v>13</v>
      </c>
      <c r="K35" s="1186">
        <v>5299900</v>
      </c>
      <c r="L35" s="1186">
        <v>978075</v>
      </c>
      <c r="M35" s="1186">
        <v>915437</v>
      </c>
      <c r="N35" s="1186">
        <v>2173561</v>
      </c>
      <c r="O35" s="1186">
        <v>1232827</v>
      </c>
    </row>
    <row r="36" spans="1:15" x14ac:dyDescent="0.2">
      <c r="A36" s="1186" t="s">
        <v>13</v>
      </c>
      <c r="B36" s="1186" t="s">
        <v>414</v>
      </c>
      <c r="C36" s="1186" t="s">
        <v>425</v>
      </c>
      <c r="D36" s="1186">
        <v>40</v>
      </c>
      <c r="E36" s="1186">
        <v>1</v>
      </c>
      <c r="F36" s="1186">
        <v>9</v>
      </c>
      <c r="G36" s="1186">
        <v>17</v>
      </c>
      <c r="H36" s="1186">
        <v>13</v>
      </c>
      <c r="I36" s="1186"/>
      <c r="J36" s="1186" t="s">
        <v>13</v>
      </c>
      <c r="K36" s="1186">
        <v>5299900</v>
      </c>
      <c r="L36" s="1186">
        <v>978075</v>
      </c>
      <c r="M36" s="1186">
        <v>915437</v>
      </c>
      <c r="N36" s="1186">
        <v>2173561</v>
      </c>
      <c r="O36" s="1186">
        <v>1232827</v>
      </c>
    </row>
    <row r="37" spans="1:15" x14ac:dyDescent="0.2">
      <c r="A37" s="1186" t="s">
        <v>13</v>
      </c>
      <c r="B37" s="1186" t="s">
        <v>414</v>
      </c>
      <c r="C37" s="1186" t="s">
        <v>426</v>
      </c>
      <c r="D37" s="1186">
        <v>680</v>
      </c>
      <c r="E37" s="1186">
        <v>54</v>
      </c>
      <c r="F37" s="1186">
        <v>122</v>
      </c>
      <c r="G37" s="1186">
        <v>314</v>
      </c>
      <c r="H37" s="1186">
        <v>188</v>
      </c>
      <c r="I37" s="1186">
        <v>2</v>
      </c>
      <c r="J37" s="1186" t="s">
        <v>13</v>
      </c>
      <c r="K37" s="1186">
        <v>5299900</v>
      </c>
      <c r="L37" s="1186">
        <v>978075</v>
      </c>
      <c r="M37" s="1186">
        <v>915437</v>
      </c>
      <c r="N37" s="1186">
        <v>2173561</v>
      </c>
      <c r="O37" s="1186">
        <v>1232827</v>
      </c>
    </row>
    <row r="38" spans="1:15" x14ac:dyDescent="0.2">
      <c r="A38" s="1186" t="s">
        <v>13</v>
      </c>
      <c r="B38" s="1186" t="s">
        <v>414</v>
      </c>
      <c r="C38" s="1186" t="s">
        <v>427</v>
      </c>
      <c r="D38" s="1186">
        <v>48</v>
      </c>
      <c r="E38" s="1186">
        <v>3</v>
      </c>
      <c r="F38" s="1186">
        <v>15</v>
      </c>
      <c r="G38" s="1186">
        <v>26</v>
      </c>
      <c r="H38" s="1186">
        <v>4</v>
      </c>
      <c r="I38" s="1186"/>
      <c r="J38" s="1186" t="s">
        <v>13</v>
      </c>
      <c r="K38" s="1186">
        <v>5299900</v>
      </c>
      <c r="L38" s="1186">
        <v>978075</v>
      </c>
      <c r="M38" s="1186">
        <v>915437</v>
      </c>
      <c r="N38" s="1186">
        <v>2173561</v>
      </c>
      <c r="O38" s="1186">
        <v>1232827</v>
      </c>
    </row>
    <row r="39" spans="1:15" x14ac:dyDescent="0.2">
      <c r="A39" s="1186" t="s">
        <v>13</v>
      </c>
      <c r="B39" s="1186" t="s">
        <v>414</v>
      </c>
      <c r="C39" s="1186" t="s">
        <v>428</v>
      </c>
      <c r="D39" s="1186">
        <v>34</v>
      </c>
      <c r="E39" s="1186">
        <v>3</v>
      </c>
      <c r="F39" s="1186">
        <v>10</v>
      </c>
      <c r="G39" s="1186">
        <v>14</v>
      </c>
      <c r="H39" s="1186">
        <v>7</v>
      </c>
      <c r="I39" s="1186"/>
      <c r="J39" s="1186" t="s">
        <v>13</v>
      </c>
      <c r="K39" s="1186">
        <v>5299900</v>
      </c>
      <c r="L39" s="1186">
        <v>978075</v>
      </c>
      <c r="M39" s="1186">
        <v>915437</v>
      </c>
      <c r="N39" s="1186">
        <v>2173561</v>
      </c>
      <c r="O39" s="1186">
        <v>1232827</v>
      </c>
    </row>
    <row r="40" spans="1:15" x14ac:dyDescent="0.2">
      <c r="A40" s="1186" t="s">
        <v>13</v>
      </c>
      <c r="B40" s="1186" t="s">
        <v>414</v>
      </c>
      <c r="C40" s="1186" t="s">
        <v>429</v>
      </c>
      <c r="D40" s="1186">
        <v>282</v>
      </c>
      <c r="E40" s="1186">
        <v>29</v>
      </c>
      <c r="F40" s="1186">
        <v>43</v>
      </c>
      <c r="G40" s="1186">
        <v>128</v>
      </c>
      <c r="H40" s="1186">
        <v>80</v>
      </c>
      <c r="I40" s="1186">
        <v>2</v>
      </c>
      <c r="J40" s="1186" t="s">
        <v>13</v>
      </c>
      <c r="K40" s="1186">
        <v>5299900</v>
      </c>
      <c r="L40" s="1186">
        <v>978075</v>
      </c>
      <c r="M40" s="1186">
        <v>915437</v>
      </c>
      <c r="N40" s="1186">
        <v>2173561</v>
      </c>
      <c r="O40" s="1186">
        <v>1232827</v>
      </c>
    </row>
    <row r="41" spans="1:15" x14ac:dyDescent="0.2">
      <c r="A41" s="1186" t="s">
        <v>13</v>
      </c>
      <c r="B41" s="1186" t="s">
        <v>414</v>
      </c>
      <c r="C41" s="1186" t="s">
        <v>430</v>
      </c>
      <c r="D41" s="1186">
        <v>155</v>
      </c>
      <c r="E41" s="1186">
        <v>19</v>
      </c>
      <c r="F41" s="1186">
        <v>35</v>
      </c>
      <c r="G41" s="1186">
        <v>72</v>
      </c>
      <c r="H41" s="1186">
        <v>28</v>
      </c>
      <c r="I41" s="1186">
        <v>1</v>
      </c>
      <c r="J41" s="1186" t="s">
        <v>13</v>
      </c>
      <c r="K41" s="1186">
        <v>5299900</v>
      </c>
      <c r="L41" s="1186">
        <v>978075</v>
      </c>
      <c r="M41" s="1186">
        <v>915437</v>
      </c>
      <c r="N41" s="1186">
        <v>2173561</v>
      </c>
      <c r="O41" s="1186">
        <v>1232827</v>
      </c>
    </row>
    <row r="42" spans="1:15" x14ac:dyDescent="0.2">
      <c r="A42" s="1186" t="s">
        <v>15</v>
      </c>
      <c r="B42" s="1186" t="s">
        <v>421</v>
      </c>
      <c r="C42" s="1186" t="s">
        <v>424</v>
      </c>
      <c r="D42" s="1186">
        <v>5</v>
      </c>
      <c r="E42" s="1186"/>
      <c r="F42" s="1186">
        <v>2</v>
      </c>
      <c r="G42" s="1186">
        <v>3</v>
      </c>
      <c r="H42" s="1186"/>
      <c r="I42" s="1186"/>
      <c r="J42" s="1186" t="s">
        <v>15</v>
      </c>
      <c r="K42" s="1186">
        <v>5313600</v>
      </c>
      <c r="L42" s="1186">
        <v>976055</v>
      </c>
      <c r="M42" s="1186">
        <v>914515</v>
      </c>
      <c r="N42" s="1186">
        <v>2174666</v>
      </c>
      <c r="O42" s="1186">
        <v>1248364</v>
      </c>
    </row>
    <row r="43" spans="1:15" x14ac:dyDescent="0.2">
      <c r="A43" s="1186" t="s">
        <v>15</v>
      </c>
      <c r="B43" s="1186" t="s">
        <v>421</v>
      </c>
      <c r="C43" s="1186" t="s">
        <v>427</v>
      </c>
      <c r="D43" s="1186">
        <v>6</v>
      </c>
      <c r="E43" s="1186"/>
      <c r="F43" s="1186">
        <v>1</v>
      </c>
      <c r="G43" s="1186">
        <v>4</v>
      </c>
      <c r="H43" s="1186"/>
      <c r="I43" s="1186">
        <v>1</v>
      </c>
      <c r="J43" s="1186" t="s">
        <v>15</v>
      </c>
      <c r="K43" s="1186">
        <v>5313600</v>
      </c>
      <c r="L43" s="1186">
        <v>976055</v>
      </c>
      <c r="M43" s="1186">
        <v>914515</v>
      </c>
      <c r="N43" s="1186">
        <v>2174666</v>
      </c>
      <c r="O43" s="1186">
        <v>1248364</v>
      </c>
    </row>
    <row r="44" spans="1:15" x14ac:dyDescent="0.2">
      <c r="A44" s="1186" t="s">
        <v>15</v>
      </c>
      <c r="B44" s="1186" t="s">
        <v>421</v>
      </c>
      <c r="C44" s="1186" t="s">
        <v>429</v>
      </c>
      <c r="D44" s="1186">
        <v>6</v>
      </c>
      <c r="E44" s="1186"/>
      <c r="F44" s="1186"/>
      <c r="G44" s="1186">
        <v>6</v>
      </c>
      <c r="H44" s="1186"/>
      <c r="I44" s="1186"/>
      <c r="J44" s="1186" t="s">
        <v>15</v>
      </c>
      <c r="K44" s="1186">
        <v>5313600</v>
      </c>
      <c r="L44" s="1186">
        <v>976055</v>
      </c>
      <c r="M44" s="1186">
        <v>914515</v>
      </c>
      <c r="N44" s="1186">
        <v>2174666</v>
      </c>
      <c r="O44" s="1186">
        <v>1248364</v>
      </c>
    </row>
    <row r="45" spans="1:15" x14ac:dyDescent="0.2">
      <c r="A45" s="1186" t="s">
        <v>15</v>
      </c>
      <c r="B45" s="1186" t="s">
        <v>421</v>
      </c>
      <c r="C45" s="1186" t="s">
        <v>430</v>
      </c>
      <c r="D45" s="1186">
        <v>1</v>
      </c>
      <c r="E45" s="1186"/>
      <c r="F45" s="1186"/>
      <c r="G45" s="1186">
        <v>1</v>
      </c>
      <c r="H45" s="1186"/>
      <c r="I45" s="1186"/>
      <c r="J45" s="1186" t="s">
        <v>15</v>
      </c>
      <c r="K45" s="1186">
        <v>5313600</v>
      </c>
      <c r="L45" s="1186">
        <v>976055</v>
      </c>
      <c r="M45" s="1186">
        <v>914515</v>
      </c>
      <c r="N45" s="1186">
        <v>2174666</v>
      </c>
      <c r="O45" s="1186">
        <v>1248364</v>
      </c>
    </row>
    <row r="46" spans="1:15" x14ac:dyDescent="0.2">
      <c r="A46" s="1186" t="s">
        <v>15</v>
      </c>
      <c r="B46" s="1186" t="s">
        <v>414</v>
      </c>
      <c r="C46" s="1186" t="s">
        <v>424</v>
      </c>
      <c r="D46" s="1186">
        <v>135</v>
      </c>
      <c r="E46" s="1186">
        <v>2</v>
      </c>
      <c r="F46" s="1186">
        <v>35</v>
      </c>
      <c r="G46" s="1186">
        <v>66</v>
      </c>
      <c r="H46" s="1186">
        <v>26</v>
      </c>
      <c r="I46" s="1186">
        <v>6</v>
      </c>
      <c r="J46" s="1186" t="s">
        <v>15</v>
      </c>
      <c r="K46" s="1186">
        <v>5313600</v>
      </c>
      <c r="L46" s="1186">
        <v>976055</v>
      </c>
      <c r="M46" s="1186">
        <v>914515</v>
      </c>
      <c r="N46" s="1186">
        <v>2174666</v>
      </c>
      <c r="O46" s="1186">
        <v>1248364</v>
      </c>
    </row>
    <row r="47" spans="1:15" x14ac:dyDescent="0.2">
      <c r="A47" s="1186" t="s">
        <v>15</v>
      </c>
      <c r="B47" s="1186" t="s">
        <v>414</v>
      </c>
      <c r="C47" s="1186" t="s">
        <v>425</v>
      </c>
      <c r="D47" s="1186">
        <v>20</v>
      </c>
      <c r="E47" s="1186"/>
      <c r="F47" s="1186">
        <v>5</v>
      </c>
      <c r="G47" s="1186">
        <v>9</v>
      </c>
      <c r="H47" s="1186">
        <v>6</v>
      </c>
      <c r="I47" s="1186"/>
      <c r="J47" s="1186" t="s">
        <v>15</v>
      </c>
      <c r="K47" s="1186">
        <v>5313600</v>
      </c>
      <c r="L47" s="1186">
        <v>976055</v>
      </c>
      <c r="M47" s="1186">
        <v>914515</v>
      </c>
      <c r="N47" s="1186">
        <v>2174666</v>
      </c>
      <c r="O47" s="1186">
        <v>1248364</v>
      </c>
    </row>
    <row r="48" spans="1:15" x14ac:dyDescent="0.2">
      <c r="A48" s="1186" t="s">
        <v>15</v>
      </c>
      <c r="B48" s="1186" t="s">
        <v>414</v>
      </c>
      <c r="C48" s="1186" t="s">
        <v>426</v>
      </c>
      <c r="D48" s="1186">
        <v>708</v>
      </c>
      <c r="E48" s="1186">
        <v>47</v>
      </c>
      <c r="F48" s="1186">
        <v>128</v>
      </c>
      <c r="G48" s="1186">
        <v>295</v>
      </c>
      <c r="H48" s="1186">
        <v>207</v>
      </c>
      <c r="I48" s="1186">
        <v>31</v>
      </c>
      <c r="J48" s="1186" t="s">
        <v>15</v>
      </c>
      <c r="K48" s="1186">
        <v>5313600</v>
      </c>
      <c r="L48" s="1186">
        <v>976055</v>
      </c>
      <c r="M48" s="1186">
        <v>914515</v>
      </c>
      <c r="N48" s="1186">
        <v>2174666</v>
      </c>
      <c r="O48" s="1186">
        <v>1248364</v>
      </c>
    </row>
    <row r="49" spans="1:15" x14ac:dyDescent="0.2">
      <c r="A49" s="1186" t="s">
        <v>15</v>
      </c>
      <c r="B49" s="1186" t="s">
        <v>414</v>
      </c>
      <c r="C49" s="1186" t="s">
        <v>427</v>
      </c>
      <c r="D49" s="1186">
        <v>48</v>
      </c>
      <c r="E49" s="1186">
        <v>1</v>
      </c>
      <c r="F49" s="1186">
        <v>12</v>
      </c>
      <c r="G49" s="1186">
        <v>22</v>
      </c>
      <c r="H49" s="1186">
        <v>11</v>
      </c>
      <c r="I49" s="1186">
        <v>2</v>
      </c>
      <c r="J49" s="1186" t="s">
        <v>15</v>
      </c>
      <c r="K49" s="1186">
        <v>5313600</v>
      </c>
      <c r="L49" s="1186">
        <v>976055</v>
      </c>
      <c r="M49" s="1186">
        <v>914515</v>
      </c>
      <c r="N49" s="1186">
        <v>2174666</v>
      </c>
      <c r="O49" s="1186">
        <v>1248364</v>
      </c>
    </row>
    <row r="50" spans="1:15" x14ac:dyDescent="0.2">
      <c r="A50" s="1186" t="s">
        <v>15</v>
      </c>
      <c r="B50" s="1186" t="s">
        <v>414</v>
      </c>
      <c r="C50" s="1186" t="s">
        <v>428</v>
      </c>
      <c r="D50" s="1186">
        <v>33</v>
      </c>
      <c r="E50" s="1186">
        <v>3</v>
      </c>
      <c r="F50" s="1186">
        <v>7</v>
      </c>
      <c r="G50" s="1186">
        <v>7</v>
      </c>
      <c r="H50" s="1186">
        <v>14</v>
      </c>
      <c r="I50" s="1186">
        <v>2</v>
      </c>
      <c r="J50" s="1186" t="s">
        <v>15</v>
      </c>
      <c r="K50" s="1186">
        <v>5313600</v>
      </c>
      <c r="L50" s="1186">
        <v>976055</v>
      </c>
      <c r="M50" s="1186">
        <v>914515</v>
      </c>
      <c r="N50" s="1186">
        <v>2174666</v>
      </c>
      <c r="O50" s="1186">
        <v>1248364</v>
      </c>
    </row>
    <row r="51" spans="1:15" x14ac:dyDescent="0.2">
      <c r="A51" s="1186" t="s">
        <v>15</v>
      </c>
      <c r="B51" s="1186" t="s">
        <v>414</v>
      </c>
      <c r="C51" s="1186" t="s">
        <v>429</v>
      </c>
      <c r="D51" s="1186">
        <v>250</v>
      </c>
      <c r="E51" s="1186">
        <v>20</v>
      </c>
      <c r="F51" s="1186">
        <v>44</v>
      </c>
      <c r="G51" s="1186">
        <v>85</v>
      </c>
      <c r="H51" s="1186">
        <v>96</v>
      </c>
      <c r="I51" s="1186">
        <v>5</v>
      </c>
      <c r="J51" s="1186" t="s">
        <v>15</v>
      </c>
      <c r="K51" s="1186">
        <v>5313600</v>
      </c>
      <c r="L51" s="1186">
        <v>976055</v>
      </c>
      <c r="M51" s="1186">
        <v>914515</v>
      </c>
      <c r="N51" s="1186">
        <v>2174666</v>
      </c>
      <c r="O51" s="1186">
        <v>1248364</v>
      </c>
    </row>
    <row r="52" spans="1:15" x14ac:dyDescent="0.2">
      <c r="A52" s="1186" t="s">
        <v>15</v>
      </c>
      <c r="B52" s="1186" t="s">
        <v>414</v>
      </c>
      <c r="C52" s="1186" t="s">
        <v>430</v>
      </c>
      <c r="D52" s="1186">
        <v>107</v>
      </c>
      <c r="E52" s="1186">
        <v>16</v>
      </c>
      <c r="F52" s="1186">
        <v>21</v>
      </c>
      <c r="G52" s="1186">
        <v>30</v>
      </c>
      <c r="H52" s="1186">
        <v>29</v>
      </c>
      <c r="I52" s="1186">
        <v>11</v>
      </c>
      <c r="J52" s="1186" t="s">
        <v>15</v>
      </c>
      <c r="K52" s="1186">
        <v>5313600</v>
      </c>
      <c r="L52" s="1186">
        <v>976055</v>
      </c>
      <c r="M52" s="1186">
        <v>914515</v>
      </c>
      <c r="N52" s="1186">
        <v>2174666</v>
      </c>
      <c r="O52" s="1186">
        <v>1248364</v>
      </c>
    </row>
    <row r="53" spans="1:15" x14ac:dyDescent="0.2">
      <c r="A53" s="1186" t="s">
        <v>17</v>
      </c>
      <c r="B53" s="1186" t="s">
        <v>421</v>
      </c>
      <c r="C53" s="1186" t="s">
        <v>424</v>
      </c>
      <c r="D53" s="1186">
        <v>2</v>
      </c>
      <c r="E53" s="1186"/>
      <c r="F53" s="1186">
        <v>1</v>
      </c>
      <c r="G53" s="1186">
        <v>1</v>
      </c>
      <c r="H53" s="1186"/>
      <c r="I53" s="1186"/>
      <c r="J53" s="1186" t="s">
        <v>17</v>
      </c>
      <c r="K53" s="1186">
        <v>5327700</v>
      </c>
      <c r="L53" s="1186">
        <v>973340</v>
      </c>
      <c r="M53" s="1186">
        <v>914383</v>
      </c>
      <c r="N53" s="1186">
        <v>2175770</v>
      </c>
      <c r="O53" s="1186">
        <v>1264207</v>
      </c>
    </row>
    <row r="54" spans="1:15" x14ac:dyDescent="0.2">
      <c r="A54" s="1186" t="s">
        <v>17</v>
      </c>
      <c r="B54" s="1186" t="s">
        <v>421</v>
      </c>
      <c r="C54" s="1186" t="s">
        <v>427</v>
      </c>
      <c r="D54" s="1186">
        <v>6</v>
      </c>
      <c r="E54" s="1186"/>
      <c r="F54" s="1186"/>
      <c r="G54" s="1186">
        <v>6</v>
      </c>
      <c r="H54" s="1186"/>
      <c r="I54" s="1186"/>
      <c r="J54" s="1186" t="s">
        <v>17</v>
      </c>
      <c r="K54" s="1186">
        <v>5327700</v>
      </c>
      <c r="L54" s="1186">
        <v>973340</v>
      </c>
      <c r="M54" s="1186">
        <v>914383</v>
      </c>
      <c r="N54" s="1186">
        <v>2175770</v>
      </c>
      <c r="O54" s="1186">
        <v>1264207</v>
      </c>
    </row>
    <row r="55" spans="1:15" x14ac:dyDescent="0.2">
      <c r="A55" s="1186" t="s">
        <v>17</v>
      </c>
      <c r="B55" s="1186" t="s">
        <v>421</v>
      </c>
      <c r="C55" s="1186" t="s">
        <v>429</v>
      </c>
      <c r="D55" s="1186">
        <v>3</v>
      </c>
      <c r="E55" s="1186"/>
      <c r="F55" s="1186">
        <v>1</v>
      </c>
      <c r="G55" s="1186">
        <v>2</v>
      </c>
      <c r="H55" s="1186"/>
      <c r="I55" s="1186"/>
      <c r="J55" s="1186" t="s">
        <v>17</v>
      </c>
      <c r="K55" s="1186">
        <v>5327700</v>
      </c>
      <c r="L55" s="1186">
        <v>973340</v>
      </c>
      <c r="M55" s="1186">
        <v>914383</v>
      </c>
      <c r="N55" s="1186">
        <v>2175770</v>
      </c>
      <c r="O55" s="1186">
        <v>1264207</v>
      </c>
    </row>
    <row r="56" spans="1:15" x14ac:dyDescent="0.2">
      <c r="A56" s="1186" t="s">
        <v>17</v>
      </c>
      <c r="B56" s="1186" t="s">
        <v>421</v>
      </c>
      <c r="C56" s="1186" t="s">
        <v>430</v>
      </c>
      <c r="D56" s="1186">
        <v>4</v>
      </c>
      <c r="E56" s="1186"/>
      <c r="F56" s="1186">
        <v>1</v>
      </c>
      <c r="G56" s="1186">
        <v>2</v>
      </c>
      <c r="H56" s="1186">
        <v>1</v>
      </c>
      <c r="I56" s="1186"/>
      <c r="J56" s="1186" t="s">
        <v>17</v>
      </c>
      <c r="K56" s="1186">
        <v>5327700</v>
      </c>
      <c r="L56" s="1186">
        <v>973340</v>
      </c>
      <c r="M56" s="1186">
        <v>914383</v>
      </c>
      <c r="N56" s="1186">
        <v>2175770</v>
      </c>
      <c r="O56" s="1186">
        <v>1264207</v>
      </c>
    </row>
    <row r="57" spans="1:15" x14ac:dyDescent="0.2">
      <c r="A57" s="1186" t="s">
        <v>17</v>
      </c>
      <c r="B57" s="1186" t="s">
        <v>414</v>
      </c>
      <c r="C57" s="1186" t="s">
        <v>424</v>
      </c>
      <c r="D57" s="1186">
        <v>139</v>
      </c>
      <c r="E57" s="1186">
        <v>6</v>
      </c>
      <c r="F57" s="1186">
        <v>31</v>
      </c>
      <c r="G57" s="1186">
        <v>58</v>
      </c>
      <c r="H57" s="1186">
        <v>31</v>
      </c>
      <c r="I57" s="1186">
        <v>13</v>
      </c>
      <c r="J57" s="1186" t="s">
        <v>17</v>
      </c>
      <c r="K57" s="1186">
        <v>5327700</v>
      </c>
      <c r="L57" s="1186">
        <v>973340</v>
      </c>
      <c r="M57" s="1186">
        <v>914383</v>
      </c>
      <c r="N57" s="1186">
        <v>2175770</v>
      </c>
      <c r="O57" s="1186">
        <v>1264207</v>
      </c>
    </row>
    <row r="58" spans="1:15" x14ac:dyDescent="0.2">
      <c r="A58" s="1186" t="s">
        <v>17</v>
      </c>
      <c r="B58" s="1186" t="s">
        <v>414</v>
      </c>
      <c r="C58" s="1186" t="s">
        <v>425</v>
      </c>
      <c r="D58" s="1186">
        <v>33</v>
      </c>
      <c r="E58" s="1186"/>
      <c r="F58" s="1186">
        <v>6</v>
      </c>
      <c r="G58" s="1186">
        <v>17</v>
      </c>
      <c r="H58" s="1186">
        <v>9</v>
      </c>
      <c r="I58" s="1186">
        <v>1</v>
      </c>
      <c r="J58" s="1186" t="s">
        <v>17</v>
      </c>
      <c r="K58" s="1186">
        <v>5327700</v>
      </c>
      <c r="L58" s="1186">
        <v>973340</v>
      </c>
      <c r="M58" s="1186">
        <v>914383</v>
      </c>
      <c r="N58" s="1186">
        <v>2175770</v>
      </c>
      <c r="O58" s="1186">
        <v>1264207</v>
      </c>
    </row>
    <row r="59" spans="1:15" x14ac:dyDescent="0.2">
      <c r="A59" s="1186" t="s">
        <v>17</v>
      </c>
      <c r="B59" s="1186" t="s">
        <v>414</v>
      </c>
      <c r="C59" s="1186" t="s">
        <v>426</v>
      </c>
      <c r="D59" s="1186">
        <v>738</v>
      </c>
      <c r="E59" s="1186">
        <v>55</v>
      </c>
      <c r="F59" s="1186">
        <v>126</v>
      </c>
      <c r="G59" s="1186">
        <v>333</v>
      </c>
      <c r="H59" s="1186">
        <v>187</v>
      </c>
      <c r="I59" s="1186">
        <v>37</v>
      </c>
      <c r="J59" s="1186" t="s">
        <v>17</v>
      </c>
      <c r="K59" s="1186">
        <v>5327700</v>
      </c>
      <c r="L59" s="1186">
        <v>973340</v>
      </c>
      <c r="M59" s="1186">
        <v>914383</v>
      </c>
      <c r="N59" s="1186">
        <v>2175770</v>
      </c>
      <c r="O59" s="1186">
        <v>1264207</v>
      </c>
    </row>
    <row r="60" spans="1:15" x14ac:dyDescent="0.2">
      <c r="A60" s="1186" t="s">
        <v>17</v>
      </c>
      <c r="B60" s="1186" t="s">
        <v>414</v>
      </c>
      <c r="C60" s="1186" t="s">
        <v>427</v>
      </c>
      <c r="D60" s="1186">
        <v>40</v>
      </c>
      <c r="E60" s="1186">
        <v>2</v>
      </c>
      <c r="F60" s="1186">
        <v>11</v>
      </c>
      <c r="G60" s="1186">
        <v>16</v>
      </c>
      <c r="H60" s="1186">
        <v>9</v>
      </c>
      <c r="I60" s="1186">
        <v>2</v>
      </c>
      <c r="J60" s="1186" t="s">
        <v>17</v>
      </c>
      <c r="K60" s="1186">
        <v>5327700</v>
      </c>
      <c r="L60" s="1186">
        <v>973340</v>
      </c>
      <c r="M60" s="1186">
        <v>914383</v>
      </c>
      <c r="N60" s="1186">
        <v>2175770</v>
      </c>
      <c r="O60" s="1186">
        <v>1264207</v>
      </c>
    </row>
    <row r="61" spans="1:15" x14ac:dyDescent="0.2">
      <c r="A61" s="1186" t="s">
        <v>17</v>
      </c>
      <c r="B61" s="1186" t="s">
        <v>414</v>
      </c>
      <c r="C61" s="1186" t="s">
        <v>428</v>
      </c>
      <c r="D61" s="1186">
        <v>34</v>
      </c>
      <c r="E61" s="1186">
        <v>2</v>
      </c>
      <c r="F61" s="1186">
        <v>7</v>
      </c>
      <c r="G61" s="1186">
        <v>13</v>
      </c>
      <c r="H61" s="1186">
        <v>11</v>
      </c>
      <c r="I61" s="1186">
        <v>1</v>
      </c>
      <c r="J61" s="1186" t="s">
        <v>17</v>
      </c>
      <c r="K61" s="1186">
        <v>5327700</v>
      </c>
      <c r="L61" s="1186">
        <v>973340</v>
      </c>
      <c r="M61" s="1186">
        <v>914383</v>
      </c>
      <c r="N61" s="1186">
        <v>2175770</v>
      </c>
      <c r="O61" s="1186">
        <v>1264207</v>
      </c>
    </row>
    <row r="62" spans="1:15" x14ac:dyDescent="0.2">
      <c r="A62" s="1186" t="s">
        <v>17</v>
      </c>
      <c r="B62" s="1186" t="s">
        <v>414</v>
      </c>
      <c r="C62" s="1186" t="s">
        <v>429</v>
      </c>
      <c r="D62" s="1186">
        <v>205</v>
      </c>
      <c r="E62" s="1186">
        <v>12</v>
      </c>
      <c r="F62" s="1186">
        <v>27</v>
      </c>
      <c r="G62" s="1186">
        <v>94</v>
      </c>
      <c r="H62" s="1186">
        <v>64</v>
      </c>
      <c r="I62" s="1186">
        <v>8</v>
      </c>
      <c r="J62" s="1186" t="s">
        <v>17</v>
      </c>
      <c r="K62" s="1186">
        <v>5327700</v>
      </c>
      <c r="L62" s="1186">
        <v>973340</v>
      </c>
      <c r="M62" s="1186">
        <v>914383</v>
      </c>
      <c r="N62" s="1186">
        <v>2175770</v>
      </c>
      <c r="O62" s="1186">
        <v>1264207</v>
      </c>
    </row>
    <row r="63" spans="1:15" x14ac:dyDescent="0.2">
      <c r="A63" s="1186" t="s">
        <v>17</v>
      </c>
      <c r="B63" s="1186" t="s">
        <v>414</v>
      </c>
      <c r="C63" s="1186" t="s">
        <v>430</v>
      </c>
      <c r="D63" s="1186">
        <v>106</v>
      </c>
      <c r="E63" s="1186">
        <v>13</v>
      </c>
      <c r="F63" s="1186">
        <v>19</v>
      </c>
      <c r="G63" s="1186">
        <v>41</v>
      </c>
      <c r="H63" s="1186">
        <v>28</v>
      </c>
      <c r="I63" s="1186">
        <v>5</v>
      </c>
      <c r="J63" s="1186" t="s">
        <v>17</v>
      </c>
      <c r="K63" s="1186">
        <v>5327700</v>
      </c>
      <c r="L63" s="1186">
        <v>973340</v>
      </c>
      <c r="M63" s="1186">
        <v>914383</v>
      </c>
      <c r="N63" s="1186">
        <v>2175770</v>
      </c>
      <c r="O63" s="1186">
        <v>1264207</v>
      </c>
    </row>
    <row r="64" spans="1:15" x14ac:dyDescent="0.2">
      <c r="A64" s="1186" t="s">
        <v>133</v>
      </c>
      <c r="B64" s="1186" t="s">
        <v>421</v>
      </c>
      <c r="C64" s="1186" t="s">
        <v>424</v>
      </c>
      <c r="D64" s="1186">
        <v>6</v>
      </c>
      <c r="E64" s="1186"/>
      <c r="F64" s="1186"/>
      <c r="G64" s="1186">
        <v>6</v>
      </c>
      <c r="H64" s="1186"/>
      <c r="I64" s="1186"/>
      <c r="J64" s="1186" t="s">
        <v>133</v>
      </c>
      <c r="K64" s="1186">
        <v>5347600</v>
      </c>
      <c r="L64" s="1186">
        <v>970875</v>
      </c>
      <c r="M64" s="1186">
        <v>915972</v>
      </c>
      <c r="N64" s="1186">
        <v>2176493</v>
      </c>
      <c r="O64" s="1186">
        <v>1284260</v>
      </c>
    </row>
    <row r="65" spans="1:15" x14ac:dyDescent="0.2">
      <c r="A65" s="1186" t="s">
        <v>133</v>
      </c>
      <c r="B65" s="1186" t="s">
        <v>421</v>
      </c>
      <c r="C65" s="1186" t="s">
        <v>427</v>
      </c>
      <c r="D65" s="1186">
        <v>4</v>
      </c>
      <c r="E65" s="1186"/>
      <c r="F65" s="1186"/>
      <c r="G65" s="1186">
        <v>4</v>
      </c>
      <c r="H65" s="1186"/>
      <c r="I65" s="1186"/>
      <c r="J65" s="1186" t="s">
        <v>133</v>
      </c>
      <c r="K65" s="1186">
        <v>5347600</v>
      </c>
      <c r="L65" s="1186">
        <v>970875</v>
      </c>
      <c r="M65" s="1186">
        <v>915972</v>
      </c>
      <c r="N65" s="1186">
        <v>2176493</v>
      </c>
      <c r="O65" s="1186">
        <v>1284260</v>
      </c>
    </row>
    <row r="66" spans="1:15" x14ac:dyDescent="0.2">
      <c r="A66" s="1186" t="s">
        <v>133</v>
      </c>
      <c r="B66" s="1186" t="s">
        <v>421</v>
      </c>
      <c r="C66" s="1186" t="s">
        <v>429</v>
      </c>
      <c r="D66" s="1186">
        <v>2</v>
      </c>
      <c r="E66" s="1186"/>
      <c r="F66" s="1186"/>
      <c r="G66" s="1186">
        <v>2</v>
      </c>
      <c r="H66" s="1186"/>
      <c r="I66" s="1186"/>
      <c r="J66" s="1186" t="s">
        <v>133</v>
      </c>
      <c r="K66" s="1186">
        <v>5347600</v>
      </c>
      <c r="L66" s="1186">
        <v>970875</v>
      </c>
      <c r="M66" s="1186">
        <v>915972</v>
      </c>
      <c r="N66" s="1186">
        <v>2176493</v>
      </c>
      <c r="O66" s="1186">
        <v>1284260</v>
      </c>
    </row>
    <row r="67" spans="1:15" x14ac:dyDescent="0.2">
      <c r="A67" s="1186" t="s">
        <v>133</v>
      </c>
      <c r="B67" s="1186" t="s">
        <v>414</v>
      </c>
      <c r="C67" s="1186" t="s">
        <v>424</v>
      </c>
      <c r="D67" s="1186">
        <v>160</v>
      </c>
      <c r="E67" s="1186">
        <v>13</v>
      </c>
      <c r="F67" s="1186">
        <v>30</v>
      </c>
      <c r="G67" s="1186">
        <v>70</v>
      </c>
      <c r="H67" s="1186">
        <v>36</v>
      </c>
      <c r="I67" s="1186">
        <v>11</v>
      </c>
      <c r="J67" s="1186" t="s">
        <v>133</v>
      </c>
      <c r="K67" s="1186">
        <v>5347600</v>
      </c>
      <c r="L67" s="1186">
        <v>970875</v>
      </c>
      <c r="M67" s="1186">
        <v>915972</v>
      </c>
      <c r="N67" s="1186">
        <v>2176493</v>
      </c>
      <c r="O67" s="1186">
        <v>1284260</v>
      </c>
    </row>
    <row r="68" spans="1:15" x14ac:dyDescent="0.2">
      <c r="A68" s="1186" t="s">
        <v>133</v>
      </c>
      <c r="B68" s="1186" t="s">
        <v>414</v>
      </c>
      <c r="C68" s="1186" t="s">
        <v>425</v>
      </c>
      <c r="D68" s="1186">
        <v>25</v>
      </c>
      <c r="E68" s="1186"/>
      <c r="F68" s="1186">
        <v>3</v>
      </c>
      <c r="G68" s="1186">
        <v>14</v>
      </c>
      <c r="H68" s="1186">
        <v>8</v>
      </c>
      <c r="I68" s="1186"/>
      <c r="J68" s="1186" t="s">
        <v>133</v>
      </c>
      <c r="K68" s="1186">
        <v>5347600</v>
      </c>
      <c r="L68" s="1186">
        <v>970875</v>
      </c>
      <c r="M68" s="1186">
        <v>915972</v>
      </c>
      <c r="N68" s="1186">
        <v>2176493</v>
      </c>
      <c r="O68" s="1186">
        <v>1284260</v>
      </c>
    </row>
    <row r="69" spans="1:15" x14ac:dyDescent="0.2">
      <c r="A69" s="1186" t="s">
        <v>133</v>
      </c>
      <c r="B69" s="1186" t="s">
        <v>414</v>
      </c>
      <c r="C69" s="1186" t="s">
        <v>426</v>
      </c>
      <c r="D69" s="1186">
        <v>617</v>
      </c>
      <c r="E69" s="1186">
        <v>54</v>
      </c>
      <c r="F69" s="1186">
        <v>95</v>
      </c>
      <c r="G69" s="1186">
        <v>257</v>
      </c>
      <c r="H69" s="1186">
        <v>177</v>
      </c>
      <c r="I69" s="1186">
        <v>34</v>
      </c>
      <c r="J69" s="1186" t="s">
        <v>133</v>
      </c>
      <c r="K69" s="1186">
        <v>5347600</v>
      </c>
      <c r="L69" s="1186">
        <v>970875</v>
      </c>
      <c r="M69" s="1186">
        <v>915972</v>
      </c>
      <c r="N69" s="1186">
        <v>2176493</v>
      </c>
      <c r="O69" s="1186">
        <v>1284260</v>
      </c>
    </row>
    <row r="70" spans="1:15" x14ac:dyDescent="0.2">
      <c r="A70" s="1186" t="s">
        <v>133</v>
      </c>
      <c r="B70" s="1186" t="s">
        <v>414</v>
      </c>
      <c r="C70" s="1186" t="s">
        <v>427</v>
      </c>
      <c r="D70" s="1186">
        <v>39</v>
      </c>
      <c r="E70" s="1186"/>
      <c r="F70" s="1186">
        <v>15</v>
      </c>
      <c r="G70" s="1186">
        <v>14</v>
      </c>
      <c r="H70" s="1186">
        <v>9</v>
      </c>
      <c r="I70" s="1186">
        <v>1</v>
      </c>
      <c r="J70" s="1186" t="s">
        <v>133</v>
      </c>
      <c r="K70" s="1186">
        <v>5347600</v>
      </c>
      <c r="L70" s="1186">
        <v>970875</v>
      </c>
      <c r="M70" s="1186">
        <v>915972</v>
      </c>
      <c r="N70" s="1186">
        <v>2176493</v>
      </c>
      <c r="O70" s="1186">
        <v>1284260</v>
      </c>
    </row>
    <row r="71" spans="1:15" x14ac:dyDescent="0.2">
      <c r="A71" s="1186" t="s">
        <v>133</v>
      </c>
      <c r="B71" s="1186" t="s">
        <v>414</v>
      </c>
      <c r="C71" s="1186" t="s">
        <v>428</v>
      </c>
      <c r="D71" s="1186">
        <v>12</v>
      </c>
      <c r="E71" s="1186"/>
      <c r="F71" s="1186">
        <v>3</v>
      </c>
      <c r="G71" s="1186">
        <v>1</v>
      </c>
      <c r="H71" s="1186">
        <v>7</v>
      </c>
      <c r="I71" s="1186">
        <v>1</v>
      </c>
      <c r="J71" s="1186" t="s">
        <v>133</v>
      </c>
      <c r="K71" s="1186">
        <v>5347600</v>
      </c>
      <c r="L71" s="1186">
        <v>970875</v>
      </c>
      <c r="M71" s="1186">
        <v>915972</v>
      </c>
      <c r="N71" s="1186">
        <v>2176493</v>
      </c>
      <c r="O71" s="1186">
        <v>1284260</v>
      </c>
    </row>
    <row r="72" spans="1:15" x14ac:dyDescent="0.2">
      <c r="A72" s="1186" t="s">
        <v>133</v>
      </c>
      <c r="B72" s="1186" t="s">
        <v>414</v>
      </c>
      <c r="C72" s="1186" t="s">
        <v>429</v>
      </c>
      <c r="D72" s="1186">
        <v>136</v>
      </c>
      <c r="E72" s="1186">
        <v>13</v>
      </c>
      <c r="F72" s="1186">
        <v>20</v>
      </c>
      <c r="G72" s="1186">
        <v>44</v>
      </c>
      <c r="H72" s="1186">
        <v>49</v>
      </c>
      <c r="I72" s="1186">
        <v>10</v>
      </c>
      <c r="J72" s="1186" t="s">
        <v>133</v>
      </c>
      <c r="K72" s="1186">
        <v>5347600</v>
      </c>
      <c r="L72" s="1186">
        <v>970875</v>
      </c>
      <c r="M72" s="1186">
        <v>915972</v>
      </c>
      <c r="N72" s="1186">
        <v>2176493</v>
      </c>
      <c r="O72" s="1186">
        <v>1284260</v>
      </c>
    </row>
    <row r="73" spans="1:15" x14ac:dyDescent="0.2">
      <c r="A73" s="1186" t="s">
        <v>133</v>
      </c>
      <c r="B73" s="1186" t="s">
        <v>414</v>
      </c>
      <c r="C73" s="1186" t="s">
        <v>430</v>
      </c>
      <c r="D73" s="1186">
        <v>98</v>
      </c>
      <c r="E73" s="1186">
        <v>8</v>
      </c>
      <c r="F73" s="1186">
        <v>20</v>
      </c>
      <c r="G73" s="1186">
        <v>32</v>
      </c>
      <c r="H73" s="1186">
        <v>28</v>
      </c>
      <c r="I73" s="1186">
        <v>10</v>
      </c>
      <c r="J73" s="1186" t="s">
        <v>133</v>
      </c>
      <c r="K73" s="1186">
        <v>5347600</v>
      </c>
      <c r="L73" s="1186">
        <v>970875</v>
      </c>
      <c r="M73" s="1186">
        <v>915972</v>
      </c>
      <c r="N73" s="1186">
        <v>2176493</v>
      </c>
      <c r="O73" s="1186">
        <v>1284260</v>
      </c>
    </row>
    <row r="74" spans="1:15" x14ac:dyDescent="0.2">
      <c r="A74" s="1186" t="s">
        <v>144</v>
      </c>
      <c r="B74" s="1186" t="s">
        <v>421</v>
      </c>
      <c r="C74" s="1186" t="s">
        <v>424</v>
      </c>
      <c r="D74" s="1186">
        <v>1</v>
      </c>
      <c r="E74" s="1186"/>
      <c r="F74" s="1186">
        <v>1</v>
      </c>
      <c r="G74" s="1186"/>
      <c r="H74" s="1186"/>
      <c r="I74" s="1186"/>
      <c r="J74" s="1186" t="s">
        <v>144</v>
      </c>
      <c r="K74" s="1186">
        <v>5373000</v>
      </c>
      <c r="L74" s="1186">
        <v>971022</v>
      </c>
      <c r="M74" s="1186">
        <v>920189</v>
      </c>
      <c r="N74" s="1186">
        <v>2181793</v>
      </c>
      <c r="O74" s="1186">
        <v>1299996</v>
      </c>
    </row>
    <row r="75" spans="1:15" x14ac:dyDescent="0.2">
      <c r="A75" s="1186" t="s">
        <v>144</v>
      </c>
      <c r="B75" s="1186" t="s">
        <v>421</v>
      </c>
      <c r="C75" s="1186" t="s">
        <v>427</v>
      </c>
      <c r="D75" s="1186">
        <v>7</v>
      </c>
      <c r="E75" s="1186"/>
      <c r="F75" s="1186">
        <v>1</v>
      </c>
      <c r="G75" s="1186">
        <v>5</v>
      </c>
      <c r="H75" s="1186"/>
      <c r="I75" s="1186">
        <v>1</v>
      </c>
      <c r="J75" s="1186" t="s">
        <v>144</v>
      </c>
      <c r="K75" s="1186">
        <v>5373000</v>
      </c>
      <c r="L75" s="1186">
        <v>971022</v>
      </c>
      <c r="M75" s="1186">
        <v>920189</v>
      </c>
      <c r="N75" s="1186">
        <v>2181793</v>
      </c>
      <c r="O75" s="1186">
        <v>1299996</v>
      </c>
    </row>
    <row r="76" spans="1:15" x14ac:dyDescent="0.2">
      <c r="A76" s="1186" t="s">
        <v>144</v>
      </c>
      <c r="B76" s="1186" t="s">
        <v>421</v>
      </c>
      <c r="C76" s="1186" t="s">
        <v>429</v>
      </c>
      <c r="D76" s="1186">
        <v>1</v>
      </c>
      <c r="E76" s="1186"/>
      <c r="F76" s="1186"/>
      <c r="G76" s="1186">
        <v>1</v>
      </c>
      <c r="H76" s="1186"/>
      <c r="I76" s="1186"/>
      <c r="J76" s="1186" t="s">
        <v>144</v>
      </c>
      <c r="K76" s="1186">
        <v>5373000</v>
      </c>
      <c r="L76" s="1186">
        <v>971022</v>
      </c>
      <c r="M76" s="1186">
        <v>920189</v>
      </c>
      <c r="N76" s="1186">
        <v>2181793</v>
      </c>
      <c r="O76" s="1186">
        <v>1299996</v>
      </c>
    </row>
    <row r="77" spans="1:15" x14ac:dyDescent="0.2">
      <c r="A77" s="1186" t="s">
        <v>144</v>
      </c>
      <c r="B77" s="1186" t="s">
        <v>421</v>
      </c>
      <c r="C77" s="1186" t="s">
        <v>430</v>
      </c>
      <c r="D77" s="1186">
        <v>1</v>
      </c>
      <c r="E77" s="1186"/>
      <c r="F77" s="1186"/>
      <c r="G77" s="1186">
        <v>1</v>
      </c>
      <c r="H77" s="1186"/>
      <c r="I77" s="1186"/>
      <c r="J77" s="1186" t="s">
        <v>144</v>
      </c>
      <c r="K77" s="1186">
        <v>5373000</v>
      </c>
      <c r="L77" s="1186">
        <v>971022</v>
      </c>
      <c r="M77" s="1186">
        <v>920189</v>
      </c>
      <c r="N77" s="1186">
        <v>2181793</v>
      </c>
      <c r="O77" s="1186">
        <v>1299996</v>
      </c>
    </row>
    <row r="78" spans="1:15" x14ac:dyDescent="0.2">
      <c r="A78" s="1186" t="s">
        <v>144</v>
      </c>
      <c r="B78" s="1186" t="s">
        <v>414</v>
      </c>
      <c r="C78" s="1186" t="s">
        <v>424</v>
      </c>
      <c r="D78" s="1186">
        <v>156</v>
      </c>
      <c r="E78" s="1186">
        <v>14</v>
      </c>
      <c r="F78" s="1186">
        <v>34</v>
      </c>
      <c r="G78" s="1186">
        <v>68</v>
      </c>
      <c r="H78" s="1186">
        <v>35</v>
      </c>
      <c r="I78" s="1186">
        <v>5</v>
      </c>
      <c r="J78" s="1186" t="s">
        <v>144</v>
      </c>
      <c r="K78" s="1186">
        <v>5373000</v>
      </c>
      <c r="L78" s="1186">
        <v>971022</v>
      </c>
      <c r="M78" s="1186">
        <v>920189</v>
      </c>
      <c r="N78" s="1186">
        <v>2181793</v>
      </c>
      <c r="O78" s="1186">
        <v>1299996</v>
      </c>
    </row>
    <row r="79" spans="1:15" x14ac:dyDescent="0.2">
      <c r="A79" s="1186" t="s">
        <v>144</v>
      </c>
      <c r="B79" s="1186" t="s">
        <v>414</v>
      </c>
      <c r="C79" s="1186" t="s">
        <v>425</v>
      </c>
      <c r="D79" s="1186">
        <v>37</v>
      </c>
      <c r="E79" s="1186"/>
      <c r="F79" s="1186">
        <v>8</v>
      </c>
      <c r="G79" s="1186">
        <v>19</v>
      </c>
      <c r="H79" s="1186">
        <v>7</v>
      </c>
      <c r="I79" s="1186">
        <v>3</v>
      </c>
      <c r="J79" s="1186" t="s">
        <v>144</v>
      </c>
      <c r="K79" s="1186">
        <v>5373000</v>
      </c>
      <c r="L79" s="1186">
        <v>971022</v>
      </c>
      <c r="M79" s="1186">
        <v>920189</v>
      </c>
      <c r="N79" s="1186">
        <v>2181793</v>
      </c>
      <c r="O79" s="1186">
        <v>1299996</v>
      </c>
    </row>
    <row r="80" spans="1:15" x14ac:dyDescent="0.2">
      <c r="A80" s="1186" t="s">
        <v>144</v>
      </c>
      <c r="B80" s="1186" t="s">
        <v>414</v>
      </c>
      <c r="C80" s="1186" t="s">
        <v>426</v>
      </c>
      <c r="D80" s="1186">
        <v>708</v>
      </c>
      <c r="E80" s="1186">
        <v>46</v>
      </c>
      <c r="F80" s="1186">
        <v>102</v>
      </c>
      <c r="G80" s="1186">
        <v>303</v>
      </c>
      <c r="H80" s="1186">
        <v>221</v>
      </c>
      <c r="I80" s="1186">
        <v>36</v>
      </c>
      <c r="J80" s="1186" t="s">
        <v>144</v>
      </c>
      <c r="K80" s="1186">
        <v>5373000</v>
      </c>
      <c r="L80" s="1186">
        <v>971022</v>
      </c>
      <c r="M80" s="1186">
        <v>920189</v>
      </c>
      <c r="N80" s="1186">
        <v>2181793</v>
      </c>
      <c r="O80" s="1186">
        <v>1299996</v>
      </c>
    </row>
    <row r="81" spans="1:15" x14ac:dyDescent="0.2">
      <c r="A81" s="1186" t="s">
        <v>144</v>
      </c>
      <c r="B81" s="1186" t="s">
        <v>414</v>
      </c>
      <c r="C81" s="1186" t="s">
        <v>427</v>
      </c>
      <c r="D81" s="1186">
        <v>60</v>
      </c>
      <c r="E81" s="1186">
        <v>4</v>
      </c>
      <c r="F81" s="1186">
        <v>13</v>
      </c>
      <c r="G81" s="1186">
        <v>28</v>
      </c>
      <c r="H81" s="1186">
        <v>11</v>
      </c>
      <c r="I81" s="1186">
        <v>4</v>
      </c>
      <c r="J81" s="1186" t="s">
        <v>144</v>
      </c>
      <c r="K81" s="1186">
        <v>5373000</v>
      </c>
      <c r="L81" s="1186">
        <v>971022</v>
      </c>
      <c r="M81" s="1186">
        <v>920189</v>
      </c>
      <c r="N81" s="1186">
        <v>2181793</v>
      </c>
      <c r="O81" s="1186">
        <v>1299996</v>
      </c>
    </row>
    <row r="82" spans="1:15" x14ac:dyDescent="0.2">
      <c r="A82" s="1186" t="s">
        <v>144</v>
      </c>
      <c r="B82" s="1186" t="s">
        <v>414</v>
      </c>
      <c r="C82" s="1186" t="s">
        <v>428</v>
      </c>
      <c r="D82" s="1186">
        <v>29</v>
      </c>
      <c r="E82" s="1186">
        <v>1</v>
      </c>
      <c r="F82" s="1186">
        <v>2</v>
      </c>
      <c r="G82" s="1186">
        <v>14</v>
      </c>
      <c r="H82" s="1186">
        <v>9</v>
      </c>
      <c r="I82" s="1186">
        <v>3</v>
      </c>
      <c r="J82" s="1186" t="s">
        <v>144</v>
      </c>
      <c r="K82" s="1186">
        <v>5373000</v>
      </c>
      <c r="L82" s="1186">
        <v>971022</v>
      </c>
      <c r="M82" s="1186">
        <v>920189</v>
      </c>
      <c r="N82" s="1186">
        <v>2181793</v>
      </c>
      <c r="O82" s="1186">
        <v>1299996</v>
      </c>
    </row>
    <row r="83" spans="1:15" x14ac:dyDescent="0.2">
      <c r="A83" s="1186" t="s">
        <v>144</v>
      </c>
      <c r="B83" s="1186" t="s">
        <v>414</v>
      </c>
      <c r="C83" s="1186" t="s">
        <v>429</v>
      </c>
      <c r="D83" s="1186">
        <v>167</v>
      </c>
      <c r="E83" s="1186">
        <v>2</v>
      </c>
      <c r="F83" s="1186">
        <v>21</v>
      </c>
      <c r="G83" s="1186">
        <v>73</v>
      </c>
      <c r="H83" s="1186">
        <v>67</v>
      </c>
      <c r="I83" s="1186">
        <v>4</v>
      </c>
      <c r="J83" s="1186" t="s">
        <v>144</v>
      </c>
      <c r="K83" s="1186">
        <v>5373000</v>
      </c>
      <c r="L83" s="1186">
        <v>971022</v>
      </c>
      <c r="M83" s="1186">
        <v>920189</v>
      </c>
      <c r="N83" s="1186">
        <v>2181793</v>
      </c>
      <c r="O83" s="1186">
        <v>1299996</v>
      </c>
    </row>
    <row r="84" spans="1:15" x14ac:dyDescent="0.2">
      <c r="A84" s="1186" t="s">
        <v>144</v>
      </c>
      <c r="B84" s="1186" t="s">
        <v>414</v>
      </c>
      <c r="C84" s="1186" t="s">
        <v>430</v>
      </c>
      <c r="D84" s="1186">
        <v>109</v>
      </c>
      <c r="E84" s="1186">
        <v>10</v>
      </c>
      <c r="F84" s="1186">
        <v>24</v>
      </c>
      <c r="G84" s="1186">
        <v>37</v>
      </c>
      <c r="H84" s="1186">
        <v>31</v>
      </c>
      <c r="I84" s="1186">
        <v>7</v>
      </c>
      <c r="J84" s="1186" t="s">
        <v>144</v>
      </c>
      <c r="K84" s="1186">
        <v>5373000</v>
      </c>
      <c r="L84" s="1186">
        <v>971022</v>
      </c>
      <c r="M84" s="1186">
        <v>920189</v>
      </c>
      <c r="N84" s="1186">
        <v>2181793</v>
      </c>
      <c r="O84" s="1186">
        <v>1299996</v>
      </c>
    </row>
    <row r="85" spans="1:15" x14ac:dyDescent="0.2">
      <c r="A85" s="1186" t="s">
        <v>282</v>
      </c>
      <c r="B85" s="1186" t="s">
        <v>421</v>
      </c>
      <c r="C85" s="1186" t="s">
        <v>427</v>
      </c>
      <c r="D85" s="1186">
        <v>8</v>
      </c>
      <c r="E85" s="1186"/>
      <c r="F85" s="1186"/>
      <c r="G85" s="1186">
        <v>6</v>
      </c>
      <c r="H85" s="1186"/>
      <c r="I85" s="1186">
        <v>2</v>
      </c>
      <c r="J85" s="1186" t="s">
        <v>282</v>
      </c>
      <c r="K85" s="1186">
        <v>5404700</v>
      </c>
      <c r="L85" s="1186">
        <v>972780</v>
      </c>
      <c r="M85" s="1186">
        <v>924449</v>
      </c>
      <c r="N85" s="1186">
        <v>2187067</v>
      </c>
      <c r="O85" s="1186">
        <v>1320404</v>
      </c>
    </row>
    <row r="86" spans="1:15" x14ac:dyDescent="0.2">
      <c r="A86" s="1186" t="s">
        <v>282</v>
      </c>
      <c r="B86" s="1186" t="s">
        <v>421</v>
      </c>
      <c r="C86" s="1186" t="s">
        <v>429</v>
      </c>
      <c r="D86" s="1186">
        <v>6</v>
      </c>
      <c r="E86" s="1186"/>
      <c r="F86" s="1186">
        <v>1</v>
      </c>
      <c r="G86" s="1186">
        <v>4</v>
      </c>
      <c r="H86" s="1186"/>
      <c r="I86" s="1186">
        <v>1</v>
      </c>
      <c r="J86" s="1186" t="s">
        <v>282</v>
      </c>
      <c r="K86" s="1186">
        <v>5404700</v>
      </c>
      <c r="L86" s="1186">
        <v>972780</v>
      </c>
      <c r="M86" s="1186">
        <v>924449</v>
      </c>
      <c r="N86" s="1186">
        <v>2187067</v>
      </c>
      <c r="O86" s="1186">
        <v>1320404</v>
      </c>
    </row>
    <row r="87" spans="1:15" x14ac:dyDescent="0.2">
      <c r="A87" s="1186" t="s">
        <v>282</v>
      </c>
      <c r="B87" s="1186" t="s">
        <v>421</v>
      </c>
      <c r="C87" s="1186" t="s">
        <v>430</v>
      </c>
      <c r="D87" s="1186">
        <v>4</v>
      </c>
      <c r="E87" s="1186"/>
      <c r="F87" s="1186"/>
      <c r="G87" s="1186">
        <v>3</v>
      </c>
      <c r="H87" s="1186"/>
      <c r="I87" s="1186">
        <v>1</v>
      </c>
      <c r="J87" s="1186" t="s">
        <v>282</v>
      </c>
      <c r="K87" s="1186">
        <v>5404700</v>
      </c>
      <c r="L87" s="1186">
        <v>972780</v>
      </c>
      <c r="M87" s="1186">
        <v>924449</v>
      </c>
      <c r="N87" s="1186">
        <v>2187067</v>
      </c>
      <c r="O87" s="1186">
        <v>1320404</v>
      </c>
    </row>
    <row r="88" spans="1:15" x14ac:dyDescent="0.2">
      <c r="A88" s="1186" t="s">
        <v>282</v>
      </c>
      <c r="B88" s="1186" t="s">
        <v>414</v>
      </c>
      <c r="C88" s="1186" t="s">
        <v>424</v>
      </c>
      <c r="D88" s="1186">
        <v>129</v>
      </c>
      <c r="E88" s="1186">
        <v>5</v>
      </c>
      <c r="F88" s="1186">
        <v>25</v>
      </c>
      <c r="G88" s="1186">
        <v>72</v>
      </c>
      <c r="H88" s="1186">
        <v>22</v>
      </c>
      <c r="I88" s="1186">
        <v>5</v>
      </c>
      <c r="J88" s="1186" t="s">
        <v>282</v>
      </c>
      <c r="K88" s="1186">
        <v>5404700</v>
      </c>
      <c r="L88" s="1186">
        <v>972780</v>
      </c>
      <c r="M88" s="1186">
        <v>924449</v>
      </c>
      <c r="N88" s="1186">
        <v>2187067</v>
      </c>
      <c r="O88" s="1186">
        <v>1320404</v>
      </c>
    </row>
    <row r="89" spans="1:15" x14ac:dyDescent="0.2">
      <c r="A89" s="1186" t="s">
        <v>282</v>
      </c>
      <c r="B89" s="1186" t="s">
        <v>414</v>
      </c>
      <c r="C89" s="1186" t="s">
        <v>425</v>
      </c>
      <c r="D89" s="1186">
        <v>26</v>
      </c>
      <c r="E89" s="1186"/>
      <c r="F89" s="1186">
        <v>4</v>
      </c>
      <c r="G89" s="1186">
        <v>15</v>
      </c>
      <c r="H89" s="1186">
        <v>7</v>
      </c>
      <c r="I89" s="1186"/>
      <c r="J89" s="1186" t="s">
        <v>282</v>
      </c>
      <c r="K89" s="1186">
        <v>5404700</v>
      </c>
      <c r="L89" s="1186">
        <v>972780</v>
      </c>
      <c r="M89" s="1186">
        <v>924449</v>
      </c>
      <c r="N89" s="1186">
        <v>2187067</v>
      </c>
      <c r="O89" s="1186">
        <v>1320404</v>
      </c>
    </row>
    <row r="90" spans="1:15" x14ac:dyDescent="0.2">
      <c r="A90" s="1186" t="s">
        <v>282</v>
      </c>
      <c r="B90" s="1186" t="s">
        <v>414</v>
      </c>
      <c r="C90" s="1186" t="s">
        <v>426</v>
      </c>
      <c r="D90" s="1186">
        <v>752</v>
      </c>
      <c r="E90" s="1186">
        <v>54</v>
      </c>
      <c r="F90" s="1186">
        <v>122</v>
      </c>
      <c r="G90" s="1186">
        <v>349</v>
      </c>
      <c r="H90" s="1186">
        <v>190</v>
      </c>
      <c r="I90" s="1186">
        <v>37</v>
      </c>
      <c r="J90" s="1186" t="s">
        <v>282</v>
      </c>
      <c r="K90" s="1186">
        <v>5404700</v>
      </c>
      <c r="L90" s="1186">
        <v>972780</v>
      </c>
      <c r="M90" s="1186">
        <v>924449</v>
      </c>
      <c r="N90" s="1186">
        <v>2187067</v>
      </c>
      <c r="O90" s="1186">
        <v>1320404</v>
      </c>
    </row>
    <row r="91" spans="1:15" x14ac:dyDescent="0.2">
      <c r="A91" s="1186" t="s">
        <v>282</v>
      </c>
      <c r="B91" s="1186" t="s">
        <v>414</v>
      </c>
      <c r="C91" s="1186" t="s">
        <v>427</v>
      </c>
      <c r="D91" s="1186">
        <v>41</v>
      </c>
      <c r="E91" s="1186">
        <v>3</v>
      </c>
      <c r="F91" s="1186">
        <v>9</v>
      </c>
      <c r="G91" s="1186">
        <v>19</v>
      </c>
      <c r="H91" s="1186">
        <v>7</v>
      </c>
      <c r="I91" s="1186">
        <v>3</v>
      </c>
      <c r="J91" s="1186" t="s">
        <v>282</v>
      </c>
      <c r="K91" s="1186">
        <v>5404700</v>
      </c>
      <c r="L91" s="1186">
        <v>972780</v>
      </c>
      <c r="M91" s="1186">
        <v>924449</v>
      </c>
      <c r="N91" s="1186">
        <v>2187067</v>
      </c>
      <c r="O91" s="1186">
        <v>1320404</v>
      </c>
    </row>
    <row r="92" spans="1:15" x14ac:dyDescent="0.2">
      <c r="A92" s="1186" t="s">
        <v>282</v>
      </c>
      <c r="B92" s="1186" t="s">
        <v>414</v>
      </c>
      <c r="C92" s="1186" t="s">
        <v>428</v>
      </c>
      <c r="D92" s="1186">
        <v>33</v>
      </c>
      <c r="E92" s="1186">
        <v>2</v>
      </c>
      <c r="F92" s="1186">
        <v>5</v>
      </c>
      <c r="G92" s="1186">
        <v>12</v>
      </c>
      <c r="H92" s="1186">
        <v>12</v>
      </c>
      <c r="I92" s="1186">
        <v>2</v>
      </c>
      <c r="J92" s="1186" t="s">
        <v>282</v>
      </c>
      <c r="K92" s="1186">
        <v>5404700</v>
      </c>
      <c r="L92" s="1186">
        <v>972780</v>
      </c>
      <c r="M92" s="1186">
        <v>924449</v>
      </c>
      <c r="N92" s="1186">
        <v>2187067</v>
      </c>
      <c r="O92" s="1186">
        <v>1320404</v>
      </c>
    </row>
    <row r="93" spans="1:15" x14ac:dyDescent="0.2">
      <c r="A93" s="1186" t="s">
        <v>282</v>
      </c>
      <c r="B93" s="1186" t="s">
        <v>414</v>
      </c>
      <c r="C93" s="1186" t="s">
        <v>429</v>
      </c>
      <c r="D93" s="1186">
        <v>132</v>
      </c>
      <c r="E93" s="1186">
        <v>5</v>
      </c>
      <c r="F93" s="1186">
        <v>15</v>
      </c>
      <c r="G93" s="1186">
        <v>49</v>
      </c>
      <c r="H93" s="1186">
        <v>56</v>
      </c>
      <c r="I93" s="1186">
        <v>7</v>
      </c>
      <c r="J93" s="1186" t="s">
        <v>282</v>
      </c>
      <c r="K93" s="1186">
        <v>5404700</v>
      </c>
      <c r="L93" s="1186">
        <v>972780</v>
      </c>
      <c r="M93" s="1186">
        <v>924449</v>
      </c>
      <c r="N93" s="1186">
        <v>2187067</v>
      </c>
      <c r="O93" s="1186">
        <v>1320404</v>
      </c>
    </row>
    <row r="94" spans="1:15" x14ac:dyDescent="0.2">
      <c r="A94" s="1186" t="s">
        <v>282</v>
      </c>
      <c r="B94" s="1186" t="s">
        <v>414</v>
      </c>
      <c r="C94" s="1186" t="s">
        <v>430</v>
      </c>
      <c r="D94" s="1186">
        <v>135</v>
      </c>
      <c r="E94" s="1186">
        <v>9</v>
      </c>
      <c r="F94" s="1186">
        <v>21</v>
      </c>
      <c r="G94" s="1186">
        <v>58</v>
      </c>
      <c r="H94" s="1186">
        <v>40</v>
      </c>
      <c r="I94" s="1186">
        <v>7</v>
      </c>
      <c r="J94" s="1186" t="s">
        <v>282</v>
      </c>
      <c r="K94" s="1186">
        <v>5404700</v>
      </c>
      <c r="L94" s="1186">
        <v>972780</v>
      </c>
      <c r="M94" s="1186">
        <v>924449</v>
      </c>
      <c r="N94" s="1186">
        <v>2187067</v>
      </c>
      <c r="O94" s="1186">
        <v>1320404</v>
      </c>
    </row>
    <row r="95" spans="1:15" x14ac:dyDescent="0.2">
      <c r="A95" s="1186" t="s">
        <v>311</v>
      </c>
      <c r="B95" s="1186" t="s">
        <v>421</v>
      </c>
      <c r="C95" s="1186" t="s">
        <v>424</v>
      </c>
      <c r="D95" s="1186">
        <v>4</v>
      </c>
      <c r="E95" s="1186"/>
      <c r="F95" s="1186">
        <v>2</v>
      </c>
      <c r="G95" s="1186">
        <v>1</v>
      </c>
      <c r="H95" s="1186"/>
      <c r="I95" s="1186">
        <v>1</v>
      </c>
      <c r="J95" s="1186" t="s">
        <v>311</v>
      </c>
      <c r="K95" s="1186">
        <v>5424800</v>
      </c>
      <c r="L95" s="1186">
        <v>973036</v>
      </c>
      <c r="M95" s="1186">
        <v>920015</v>
      </c>
      <c r="N95" s="1186">
        <v>2190171</v>
      </c>
      <c r="O95" s="1186">
        <v>1341578</v>
      </c>
    </row>
    <row r="96" spans="1:15" x14ac:dyDescent="0.2">
      <c r="A96" s="1186" t="s">
        <v>311</v>
      </c>
      <c r="B96" s="1186" t="s">
        <v>421</v>
      </c>
      <c r="C96" s="1186" t="s">
        <v>427</v>
      </c>
      <c r="D96" s="1186">
        <v>14</v>
      </c>
      <c r="E96" s="1186"/>
      <c r="F96" s="1186">
        <v>1</v>
      </c>
      <c r="G96" s="1186">
        <v>6</v>
      </c>
      <c r="H96" s="1186">
        <v>2</v>
      </c>
      <c r="I96" s="1186">
        <v>5</v>
      </c>
      <c r="J96" s="1186" t="s">
        <v>311</v>
      </c>
      <c r="K96" s="1186">
        <v>5424800</v>
      </c>
      <c r="L96" s="1186">
        <v>973036</v>
      </c>
      <c r="M96" s="1186">
        <v>920015</v>
      </c>
      <c r="N96" s="1186">
        <v>2190171</v>
      </c>
      <c r="O96" s="1186">
        <v>1341578</v>
      </c>
    </row>
    <row r="97" spans="1:15" x14ac:dyDescent="0.2">
      <c r="A97" s="1186" t="s">
        <v>311</v>
      </c>
      <c r="B97" s="1186" t="s">
        <v>421</v>
      </c>
      <c r="C97" s="1186" t="s">
        <v>429</v>
      </c>
      <c r="D97" s="1186">
        <v>7</v>
      </c>
      <c r="E97" s="1186"/>
      <c r="F97" s="1186">
        <v>1</v>
      </c>
      <c r="G97" s="1186">
        <v>5</v>
      </c>
      <c r="H97" s="1186"/>
      <c r="I97" s="1186">
        <v>1</v>
      </c>
      <c r="J97" s="1186" t="s">
        <v>311</v>
      </c>
      <c r="K97" s="1186">
        <v>5424800</v>
      </c>
      <c r="L97" s="1186">
        <v>973036</v>
      </c>
      <c r="M97" s="1186">
        <v>920015</v>
      </c>
      <c r="N97" s="1186">
        <v>2190171</v>
      </c>
      <c r="O97" s="1186">
        <v>1341578</v>
      </c>
    </row>
    <row r="98" spans="1:15" x14ac:dyDescent="0.2">
      <c r="A98" s="1186" t="s">
        <v>311</v>
      </c>
      <c r="B98" s="1186" t="s">
        <v>421</v>
      </c>
      <c r="C98" s="1186" t="s">
        <v>430</v>
      </c>
      <c r="D98" s="1186">
        <v>3</v>
      </c>
      <c r="E98" s="1186"/>
      <c r="F98" s="1186"/>
      <c r="G98" s="1186">
        <v>1</v>
      </c>
      <c r="H98" s="1186"/>
      <c r="I98" s="1186">
        <v>2</v>
      </c>
      <c r="J98" s="1186" t="s">
        <v>311</v>
      </c>
      <c r="K98" s="1186">
        <v>5424800</v>
      </c>
      <c r="L98" s="1186">
        <v>973036</v>
      </c>
      <c r="M98" s="1186">
        <v>920015</v>
      </c>
      <c r="N98" s="1186">
        <v>2190171</v>
      </c>
      <c r="O98" s="1186">
        <v>1341578</v>
      </c>
    </row>
    <row r="99" spans="1:15" x14ac:dyDescent="0.2">
      <c r="A99" s="1186" t="s">
        <v>311</v>
      </c>
      <c r="B99" s="1186" t="s">
        <v>414</v>
      </c>
      <c r="C99" s="1186" t="s">
        <v>424</v>
      </c>
      <c r="D99" s="1186">
        <v>115</v>
      </c>
      <c r="E99" s="1186">
        <v>5</v>
      </c>
      <c r="F99" s="1186">
        <v>29</v>
      </c>
      <c r="G99" s="1186">
        <v>62</v>
      </c>
      <c r="H99" s="1186">
        <v>14</v>
      </c>
      <c r="I99" s="1186">
        <v>5</v>
      </c>
      <c r="J99" s="1186" t="s">
        <v>311</v>
      </c>
      <c r="K99" s="1186">
        <v>5424800</v>
      </c>
      <c r="L99" s="1186">
        <v>973036</v>
      </c>
      <c r="M99" s="1186">
        <v>920015</v>
      </c>
      <c r="N99" s="1186">
        <v>2190171</v>
      </c>
      <c r="O99" s="1186">
        <v>1341578</v>
      </c>
    </row>
    <row r="100" spans="1:15" x14ac:dyDescent="0.2">
      <c r="A100" s="1186" t="s">
        <v>311</v>
      </c>
      <c r="B100" s="1186" t="s">
        <v>414</v>
      </c>
      <c r="C100" s="1186" t="s">
        <v>425</v>
      </c>
      <c r="D100" s="1186">
        <v>16</v>
      </c>
      <c r="E100" s="1186">
        <v>1</v>
      </c>
      <c r="F100" s="1186">
        <v>1</v>
      </c>
      <c r="G100" s="1186">
        <v>8</v>
      </c>
      <c r="H100" s="1186">
        <v>6</v>
      </c>
      <c r="I100" s="1186"/>
      <c r="J100" s="1186" t="s">
        <v>311</v>
      </c>
      <c r="K100" s="1186">
        <v>5424800</v>
      </c>
      <c r="L100" s="1186">
        <v>973036</v>
      </c>
      <c r="M100" s="1186">
        <v>920015</v>
      </c>
      <c r="N100" s="1186">
        <v>2190171</v>
      </c>
      <c r="O100" s="1186">
        <v>1341578</v>
      </c>
    </row>
    <row r="101" spans="1:15" x14ac:dyDescent="0.2">
      <c r="A101" s="1186" t="s">
        <v>311</v>
      </c>
      <c r="B101" s="1186" t="s">
        <v>414</v>
      </c>
      <c r="C101" s="1186" t="s">
        <v>426</v>
      </c>
      <c r="D101" s="1186">
        <v>659</v>
      </c>
      <c r="E101" s="1186">
        <v>61</v>
      </c>
      <c r="F101" s="1186">
        <v>103</v>
      </c>
      <c r="G101" s="1186">
        <v>278</v>
      </c>
      <c r="H101" s="1186">
        <v>164</v>
      </c>
      <c r="I101" s="1186">
        <v>53</v>
      </c>
      <c r="J101" s="1186" t="s">
        <v>311</v>
      </c>
      <c r="K101" s="1186">
        <v>5424800</v>
      </c>
      <c r="L101" s="1186">
        <v>973036</v>
      </c>
      <c r="M101" s="1186">
        <v>920015</v>
      </c>
      <c r="N101" s="1186">
        <v>2190171</v>
      </c>
      <c r="O101" s="1186">
        <v>1341578</v>
      </c>
    </row>
    <row r="102" spans="1:15" x14ac:dyDescent="0.2">
      <c r="A102" s="1186" t="s">
        <v>311</v>
      </c>
      <c r="B102" s="1186" t="s">
        <v>414</v>
      </c>
      <c r="C102" s="1186" t="s">
        <v>427</v>
      </c>
      <c r="D102" s="1186">
        <v>35</v>
      </c>
      <c r="E102" s="1186">
        <v>2</v>
      </c>
      <c r="F102" s="1186">
        <v>10</v>
      </c>
      <c r="G102" s="1186">
        <v>16</v>
      </c>
      <c r="H102" s="1186">
        <v>7</v>
      </c>
      <c r="I102" s="1186"/>
      <c r="J102" s="1186" t="s">
        <v>311</v>
      </c>
      <c r="K102" s="1186">
        <v>5424800</v>
      </c>
      <c r="L102" s="1186">
        <v>973036</v>
      </c>
      <c r="M102" s="1186">
        <v>920015</v>
      </c>
      <c r="N102" s="1186">
        <v>2190171</v>
      </c>
      <c r="O102" s="1186">
        <v>1341578</v>
      </c>
    </row>
    <row r="103" spans="1:15" x14ac:dyDescent="0.2">
      <c r="A103" s="1186" t="s">
        <v>311</v>
      </c>
      <c r="B103" s="1186" t="s">
        <v>414</v>
      </c>
      <c r="C103" s="1186" t="s">
        <v>428</v>
      </c>
      <c r="D103" s="1186">
        <v>17</v>
      </c>
      <c r="E103" s="1186"/>
      <c r="F103" s="1186">
        <v>4</v>
      </c>
      <c r="G103" s="1186">
        <v>7</v>
      </c>
      <c r="H103" s="1186">
        <v>4</v>
      </c>
      <c r="I103" s="1186">
        <v>2</v>
      </c>
      <c r="J103" s="1186" t="s">
        <v>311</v>
      </c>
      <c r="K103" s="1186">
        <v>5424800</v>
      </c>
      <c r="L103" s="1186">
        <v>973036</v>
      </c>
      <c r="M103" s="1186">
        <v>920015</v>
      </c>
      <c r="N103" s="1186">
        <v>2190171</v>
      </c>
      <c r="O103" s="1186">
        <v>1341578</v>
      </c>
    </row>
    <row r="104" spans="1:15" x14ac:dyDescent="0.2">
      <c r="A104" s="1186" t="s">
        <v>311</v>
      </c>
      <c r="B104" s="1186" t="s">
        <v>414</v>
      </c>
      <c r="C104" s="1186" t="s">
        <v>429</v>
      </c>
      <c r="D104" s="1186">
        <v>140</v>
      </c>
      <c r="E104" s="1186">
        <v>4</v>
      </c>
      <c r="F104" s="1186">
        <v>19</v>
      </c>
      <c r="G104" s="1186">
        <v>63</v>
      </c>
      <c r="H104" s="1186">
        <v>46</v>
      </c>
      <c r="I104" s="1186">
        <v>8</v>
      </c>
      <c r="J104" s="1186" t="s">
        <v>311</v>
      </c>
      <c r="K104" s="1186">
        <v>5424800</v>
      </c>
      <c r="L104" s="1186">
        <v>973036</v>
      </c>
      <c r="M104" s="1186">
        <v>920015</v>
      </c>
      <c r="N104" s="1186">
        <v>2190171</v>
      </c>
      <c r="O104" s="1186">
        <v>1341578</v>
      </c>
    </row>
    <row r="105" spans="1:15" x14ac:dyDescent="0.2">
      <c r="A105" s="1186" t="s">
        <v>311</v>
      </c>
      <c r="B105" s="1186" t="s">
        <v>414</v>
      </c>
      <c r="C105" s="1186" t="s">
        <v>430</v>
      </c>
      <c r="D105" s="1186">
        <v>106</v>
      </c>
      <c r="E105" s="1186">
        <v>14</v>
      </c>
      <c r="F105" s="1186">
        <v>17</v>
      </c>
      <c r="G105" s="1186">
        <v>42</v>
      </c>
      <c r="H105" s="1186">
        <v>28</v>
      </c>
      <c r="I105" s="1186">
        <v>5</v>
      </c>
      <c r="J105" s="1186" t="s">
        <v>311</v>
      </c>
      <c r="K105" s="1186">
        <v>5424800</v>
      </c>
      <c r="L105" s="1186">
        <v>973036</v>
      </c>
      <c r="M105" s="1186">
        <v>920015</v>
      </c>
      <c r="N105" s="1186">
        <v>2190171</v>
      </c>
      <c r="O105" s="1186">
        <v>1341578</v>
      </c>
    </row>
    <row r="106" spans="1:15" x14ac:dyDescent="0.2">
      <c r="A106" s="1186" t="s">
        <v>621</v>
      </c>
      <c r="B106" s="1186" t="s">
        <v>421</v>
      </c>
      <c r="C106" s="1186" t="s">
        <v>424</v>
      </c>
      <c r="D106" s="1186">
        <v>4</v>
      </c>
      <c r="E106" s="1186"/>
      <c r="F106" s="1186"/>
      <c r="G106" s="1186">
        <v>1</v>
      </c>
      <c r="H106" s="1186"/>
      <c r="I106" s="1186">
        <v>3</v>
      </c>
      <c r="J106" s="1186" t="s">
        <v>621</v>
      </c>
      <c r="K106" s="1186">
        <v>5438100</v>
      </c>
      <c r="L106" s="1186">
        <v>972972</v>
      </c>
      <c r="M106" s="1186">
        <v>910297</v>
      </c>
      <c r="N106" s="1186">
        <v>2192411</v>
      </c>
      <c r="O106" s="1186">
        <v>1362420</v>
      </c>
    </row>
    <row r="107" spans="1:15" x14ac:dyDescent="0.2">
      <c r="A107" s="1186" t="s">
        <v>621</v>
      </c>
      <c r="B107" s="1186" t="s">
        <v>421</v>
      </c>
      <c r="C107" s="1186" t="s">
        <v>426</v>
      </c>
      <c r="D107" s="1186">
        <v>2</v>
      </c>
      <c r="E107" s="1186"/>
      <c r="F107" s="1186">
        <v>1</v>
      </c>
      <c r="G107" s="1186">
        <v>1</v>
      </c>
      <c r="H107" s="1186"/>
      <c r="I107" s="1186"/>
      <c r="J107" s="1186" t="s">
        <v>621</v>
      </c>
      <c r="K107" s="1186">
        <v>5438100</v>
      </c>
      <c r="L107" s="1186">
        <v>972972</v>
      </c>
      <c r="M107" s="1186">
        <v>910297</v>
      </c>
      <c r="N107" s="1186">
        <v>2192411</v>
      </c>
      <c r="O107" s="1186">
        <v>1362420</v>
      </c>
    </row>
    <row r="108" spans="1:15" x14ac:dyDescent="0.2">
      <c r="A108" s="1186" t="s">
        <v>621</v>
      </c>
      <c r="B108" s="1186" t="s">
        <v>421</v>
      </c>
      <c r="C108" s="1186" t="s">
        <v>427</v>
      </c>
      <c r="D108" s="1186">
        <v>7</v>
      </c>
      <c r="E108" s="1186"/>
      <c r="F108" s="1186">
        <v>1</v>
      </c>
      <c r="G108" s="1186">
        <v>3</v>
      </c>
      <c r="H108" s="1186"/>
      <c r="I108" s="1186">
        <v>3</v>
      </c>
      <c r="J108" s="1186" t="s">
        <v>621</v>
      </c>
      <c r="K108" s="1186">
        <v>5438100</v>
      </c>
      <c r="L108" s="1186">
        <v>972972</v>
      </c>
      <c r="M108" s="1186">
        <v>910297</v>
      </c>
      <c r="N108" s="1186">
        <v>2192411</v>
      </c>
      <c r="O108" s="1186">
        <v>1362420</v>
      </c>
    </row>
    <row r="109" spans="1:15" x14ac:dyDescent="0.2">
      <c r="A109" s="1186" t="s">
        <v>621</v>
      </c>
      <c r="B109" s="1186" t="s">
        <v>421</v>
      </c>
      <c r="C109" s="1186" t="s">
        <v>429</v>
      </c>
      <c r="D109" s="1186">
        <v>5</v>
      </c>
      <c r="E109" s="1186"/>
      <c r="F109" s="1186"/>
      <c r="G109" s="1186">
        <v>3</v>
      </c>
      <c r="H109" s="1186"/>
      <c r="I109" s="1186">
        <v>2</v>
      </c>
      <c r="J109" s="1186" t="s">
        <v>621</v>
      </c>
      <c r="K109" s="1186">
        <v>5438100</v>
      </c>
      <c r="L109" s="1186">
        <v>972972</v>
      </c>
      <c r="M109" s="1186">
        <v>910297</v>
      </c>
      <c r="N109" s="1186">
        <v>2192411</v>
      </c>
      <c r="O109" s="1186">
        <v>1362420</v>
      </c>
    </row>
    <row r="110" spans="1:15" x14ac:dyDescent="0.2">
      <c r="A110" s="1186" t="s">
        <v>621</v>
      </c>
      <c r="B110" s="1186" t="s">
        <v>421</v>
      </c>
      <c r="C110" s="1186" t="s">
        <v>430</v>
      </c>
      <c r="D110" s="1186">
        <v>3</v>
      </c>
      <c r="E110" s="1186"/>
      <c r="F110" s="1186"/>
      <c r="G110" s="1186">
        <v>3</v>
      </c>
      <c r="H110" s="1186"/>
      <c r="I110" s="1186"/>
      <c r="J110" s="1186" t="s">
        <v>621</v>
      </c>
      <c r="K110" s="1186">
        <v>5438100</v>
      </c>
      <c r="L110" s="1186">
        <v>972972</v>
      </c>
      <c r="M110" s="1186">
        <v>910297</v>
      </c>
      <c r="N110" s="1186">
        <v>2192411</v>
      </c>
      <c r="O110" s="1186">
        <v>1362420</v>
      </c>
    </row>
    <row r="111" spans="1:15" x14ac:dyDescent="0.2">
      <c r="A111" s="1186" t="s">
        <v>621</v>
      </c>
      <c r="B111" s="1186" t="s">
        <v>414</v>
      </c>
      <c r="C111" s="1186" t="s">
        <v>424</v>
      </c>
      <c r="D111" s="1186">
        <v>132</v>
      </c>
      <c r="E111" s="1186">
        <v>3</v>
      </c>
      <c r="F111" s="1186">
        <v>30</v>
      </c>
      <c r="G111" s="1186">
        <v>68</v>
      </c>
      <c r="H111" s="1186">
        <v>21</v>
      </c>
      <c r="I111" s="1186">
        <v>10</v>
      </c>
      <c r="J111" s="1186" t="s">
        <v>621</v>
      </c>
      <c r="K111" s="1186">
        <v>5438100</v>
      </c>
      <c r="L111" s="1186">
        <v>972972</v>
      </c>
      <c r="M111" s="1186">
        <v>910297</v>
      </c>
      <c r="N111" s="1186">
        <v>2192411</v>
      </c>
      <c r="O111" s="1186">
        <v>1362420</v>
      </c>
    </row>
    <row r="112" spans="1:15" x14ac:dyDescent="0.2">
      <c r="A112" s="1186" t="s">
        <v>621</v>
      </c>
      <c r="B112" s="1186" t="s">
        <v>414</v>
      </c>
      <c r="C112" s="1186" t="s">
        <v>425</v>
      </c>
      <c r="D112" s="1186">
        <v>21</v>
      </c>
      <c r="E112" s="1186"/>
      <c r="F112" s="1186">
        <v>1</v>
      </c>
      <c r="G112" s="1186">
        <v>13</v>
      </c>
      <c r="H112" s="1186">
        <v>6</v>
      </c>
      <c r="I112" s="1186">
        <v>1</v>
      </c>
      <c r="J112" s="1186" t="s">
        <v>621</v>
      </c>
      <c r="K112" s="1186">
        <v>5438100</v>
      </c>
      <c r="L112" s="1186">
        <v>972972</v>
      </c>
      <c r="M112" s="1186">
        <v>910297</v>
      </c>
      <c r="N112" s="1186">
        <v>2192411</v>
      </c>
      <c r="O112" s="1186">
        <v>1362420</v>
      </c>
    </row>
    <row r="113" spans="1:15" x14ac:dyDescent="0.2">
      <c r="A113" s="1186" t="s">
        <v>621</v>
      </c>
      <c r="B113" s="1186" t="s">
        <v>414</v>
      </c>
      <c r="C113" s="1186" t="s">
        <v>426</v>
      </c>
      <c r="D113" s="1186">
        <v>665</v>
      </c>
      <c r="E113" s="1186">
        <v>42</v>
      </c>
      <c r="F113" s="1186">
        <v>100</v>
      </c>
      <c r="G113" s="1186">
        <v>287</v>
      </c>
      <c r="H113" s="1186">
        <v>178</v>
      </c>
      <c r="I113" s="1186">
        <v>58</v>
      </c>
      <c r="J113" s="1186" t="s">
        <v>621</v>
      </c>
      <c r="K113" s="1186">
        <v>5438100</v>
      </c>
      <c r="L113" s="1186">
        <v>972972</v>
      </c>
      <c r="M113" s="1186">
        <v>910297</v>
      </c>
      <c r="N113" s="1186">
        <v>2192411</v>
      </c>
      <c r="O113" s="1186">
        <v>1362420</v>
      </c>
    </row>
    <row r="114" spans="1:15" x14ac:dyDescent="0.2">
      <c r="A114" s="1186" t="s">
        <v>621</v>
      </c>
      <c r="B114" s="1186" t="s">
        <v>414</v>
      </c>
      <c r="C114" s="1186" t="s">
        <v>427</v>
      </c>
      <c r="D114" s="1186">
        <v>35</v>
      </c>
      <c r="E114" s="1186">
        <v>4</v>
      </c>
      <c r="F114" s="1186">
        <v>8</v>
      </c>
      <c r="G114" s="1186">
        <v>13</v>
      </c>
      <c r="H114" s="1186">
        <v>6</v>
      </c>
      <c r="I114" s="1186">
        <v>4</v>
      </c>
      <c r="J114" s="1186" t="s">
        <v>621</v>
      </c>
      <c r="K114" s="1186">
        <v>5438100</v>
      </c>
      <c r="L114" s="1186">
        <v>972972</v>
      </c>
      <c r="M114" s="1186">
        <v>910297</v>
      </c>
      <c r="N114" s="1186">
        <v>2192411</v>
      </c>
      <c r="O114" s="1186">
        <v>1362420</v>
      </c>
    </row>
    <row r="115" spans="1:15" x14ac:dyDescent="0.2">
      <c r="A115" s="1186" t="s">
        <v>621</v>
      </c>
      <c r="B115" s="1186" t="s">
        <v>414</v>
      </c>
      <c r="C115" s="1186" t="s">
        <v>428</v>
      </c>
      <c r="D115" s="1186">
        <v>21</v>
      </c>
      <c r="E115" s="1186">
        <v>4</v>
      </c>
      <c r="F115" s="1186">
        <v>5</v>
      </c>
      <c r="G115" s="1186">
        <v>2</v>
      </c>
      <c r="H115" s="1186">
        <v>10</v>
      </c>
      <c r="I115" s="1186"/>
      <c r="J115" s="1186" t="s">
        <v>621</v>
      </c>
      <c r="K115" s="1186">
        <v>5438100</v>
      </c>
      <c r="L115" s="1186">
        <v>972972</v>
      </c>
      <c r="M115" s="1186">
        <v>910297</v>
      </c>
      <c r="N115" s="1186">
        <v>2192411</v>
      </c>
      <c r="O115" s="1186">
        <v>1362420</v>
      </c>
    </row>
    <row r="116" spans="1:15" x14ac:dyDescent="0.2">
      <c r="A116" s="1186" t="s">
        <v>621</v>
      </c>
      <c r="B116" s="1186" t="s">
        <v>414</v>
      </c>
      <c r="C116" s="1186" t="s">
        <v>429</v>
      </c>
      <c r="D116" s="1186">
        <v>185</v>
      </c>
      <c r="E116" s="1186">
        <v>14</v>
      </c>
      <c r="F116" s="1186">
        <v>27</v>
      </c>
      <c r="G116" s="1186">
        <v>76</v>
      </c>
      <c r="H116" s="1186">
        <v>57</v>
      </c>
      <c r="I116" s="1186">
        <v>11</v>
      </c>
      <c r="J116" s="1186" t="s">
        <v>621</v>
      </c>
      <c r="K116" s="1186">
        <v>5438100</v>
      </c>
      <c r="L116" s="1186">
        <v>972972</v>
      </c>
      <c r="M116" s="1186">
        <v>910297</v>
      </c>
      <c r="N116" s="1186">
        <v>2192411</v>
      </c>
      <c r="O116" s="1186">
        <v>1362420</v>
      </c>
    </row>
    <row r="117" spans="1:15" x14ac:dyDescent="0.2">
      <c r="A117" s="1186" t="s">
        <v>621</v>
      </c>
      <c r="B117" s="1186" t="s">
        <v>414</v>
      </c>
      <c r="C117" s="1186" t="s">
        <v>430</v>
      </c>
      <c r="D117" s="1186">
        <v>117</v>
      </c>
      <c r="E117" s="1186">
        <v>16</v>
      </c>
      <c r="F117" s="1186">
        <v>10</v>
      </c>
      <c r="G117" s="1186">
        <v>56</v>
      </c>
      <c r="H117" s="1186">
        <v>25</v>
      </c>
      <c r="I117" s="1186">
        <v>10</v>
      </c>
      <c r="J117" s="1186" t="s">
        <v>621</v>
      </c>
      <c r="K117" s="1186">
        <v>5438100</v>
      </c>
      <c r="L117" s="1186">
        <v>972972</v>
      </c>
      <c r="M117" s="1186">
        <v>910297</v>
      </c>
      <c r="N117" s="1186">
        <v>2192411</v>
      </c>
      <c r="O117" s="1186">
        <v>1362420</v>
      </c>
    </row>
    <row r="118" spans="1:15" x14ac:dyDescent="0.2">
      <c r="A118" s="1186" t="s">
        <v>1419</v>
      </c>
      <c r="B118" s="1186" t="s">
        <v>421</v>
      </c>
      <c r="C118" s="1186" t="s">
        <v>424</v>
      </c>
      <c r="D118" s="1186">
        <v>3</v>
      </c>
      <c r="E118" s="1186"/>
      <c r="F118" s="1186">
        <v>1</v>
      </c>
      <c r="G118" s="1186">
        <v>2</v>
      </c>
      <c r="H118" s="1186"/>
      <c r="I118" s="1186"/>
      <c r="J118" s="1186" t="s">
        <v>1419</v>
      </c>
      <c r="K118" s="1186">
        <v>5463300</v>
      </c>
      <c r="L118" s="1186">
        <v>975449</v>
      </c>
      <c r="M118" s="1186">
        <v>901925</v>
      </c>
      <c r="N118" s="1186">
        <v>2197088</v>
      </c>
      <c r="O118" s="1186">
        <v>1388838</v>
      </c>
    </row>
    <row r="119" spans="1:15" x14ac:dyDescent="0.2">
      <c r="A119" s="1186" t="s">
        <v>1419</v>
      </c>
      <c r="B119" s="1186" t="s">
        <v>421</v>
      </c>
      <c r="C119" s="1186" t="s">
        <v>427</v>
      </c>
      <c r="D119" s="1186">
        <v>5</v>
      </c>
      <c r="E119" s="1186"/>
      <c r="F119" s="1186"/>
      <c r="G119" s="1186">
        <v>2</v>
      </c>
      <c r="H119" s="1186"/>
      <c r="I119" s="1186">
        <v>3</v>
      </c>
      <c r="J119" s="1186" t="s">
        <v>1419</v>
      </c>
      <c r="K119" s="1186">
        <v>5463300</v>
      </c>
      <c r="L119" s="1186">
        <v>975449</v>
      </c>
      <c r="M119" s="1186">
        <v>901925</v>
      </c>
      <c r="N119" s="1186">
        <v>2197088</v>
      </c>
      <c r="O119" s="1186">
        <v>1388838</v>
      </c>
    </row>
    <row r="120" spans="1:15" x14ac:dyDescent="0.2">
      <c r="A120" s="1186" t="s">
        <v>1419</v>
      </c>
      <c r="B120" s="1186" t="s">
        <v>421</v>
      </c>
      <c r="C120" s="1186" t="s">
        <v>429</v>
      </c>
      <c r="D120" s="1186">
        <v>4</v>
      </c>
      <c r="E120" s="1186"/>
      <c r="F120" s="1186">
        <v>1</v>
      </c>
      <c r="G120" s="1186">
        <v>2</v>
      </c>
      <c r="H120" s="1186">
        <v>1</v>
      </c>
      <c r="I120" s="1186"/>
      <c r="J120" s="1186" t="s">
        <v>1419</v>
      </c>
      <c r="K120" s="1186">
        <v>5463300</v>
      </c>
      <c r="L120" s="1186">
        <v>975449</v>
      </c>
      <c r="M120" s="1186">
        <v>901925</v>
      </c>
      <c r="N120" s="1186">
        <v>2197088</v>
      </c>
      <c r="O120" s="1186">
        <v>1388838</v>
      </c>
    </row>
    <row r="121" spans="1:15" x14ac:dyDescent="0.2">
      <c r="A121" s="1186" t="s">
        <v>1419</v>
      </c>
      <c r="B121" s="1186" t="s">
        <v>421</v>
      </c>
      <c r="C121" s="1186" t="s">
        <v>430</v>
      </c>
      <c r="D121" s="1186">
        <v>1</v>
      </c>
      <c r="E121" s="1186"/>
      <c r="F121" s="1186"/>
      <c r="G121" s="1186">
        <v>1</v>
      </c>
      <c r="H121" s="1186"/>
      <c r="I121" s="1186"/>
      <c r="J121" s="1186" t="s">
        <v>1419</v>
      </c>
      <c r="K121" s="1186">
        <v>5463300</v>
      </c>
      <c r="L121" s="1186">
        <v>975449</v>
      </c>
      <c r="M121" s="1186">
        <v>901925</v>
      </c>
      <c r="N121" s="1186">
        <v>2197088</v>
      </c>
      <c r="O121" s="1186">
        <v>1388838</v>
      </c>
    </row>
    <row r="122" spans="1:15" x14ac:dyDescent="0.2">
      <c r="A122" s="1186" t="s">
        <v>1419</v>
      </c>
      <c r="B122" s="1186" t="s">
        <v>414</v>
      </c>
      <c r="C122" s="1186" t="s">
        <v>424</v>
      </c>
      <c r="D122" s="1186">
        <v>122</v>
      </c>
      <c r="E122" s="1186">
        <v>4</v>
      </c>
      <c r="F122" s="1186">
        <v>18</v>
      </c>
      <c r="G122" s="1186">
        <v>66</v>
      </c>
      <c r="H122" s="1186">
        <v>26</v>
      </c>
      <c r="I122" s="1186">
        <v>8</v>
      </c>
      <c r="J122" s="1186" t="s">
        <v>1419</v>
      </c>
      <c r="K122" s="1186">
        <v>5463300</v>
      </c>
      <c r="L122" s="1186">
        <v>975449</v>
      </c>
      <c r="M122" s="1186">
        <v>901925</v>
      </c>
      <c r="N122" s="1186">
        <v>2197088</v>
      </c>
      <c r="O122" s="1186">
        <v>1388838</v>
      </c>
    </row>
    <row r="123" spans="1:15" x14ac:dyDescent="0.2">
      <c r="A123" s="1186" t="s">
        <v>1419</v>
      </c>
      <c r="B123" s="1186" t="s">
        <v>414</v>
      </c>
      <c r="C123" s="1186" t="s">
        <v>425</v>
      </c>
      <c r="D123" s="1186">
        <v>23</v>
      </c>
      <c r="E123" s="1186">
        <v>1</v>
      </c>
      <c r="F123" s="1186">
        <v>4</v>
      </c>
      <c r="G123" s="1186">
        <v>10</v>
      </c>
      <c r="H123" s="1186">
        <v>7</v>
      </c>
      <c r="I123" s="1186">
        <v>1</v>
      </c>
      <c r="J123" s="1186" t="s">
        <v>1419</v>
      </c>
      <c r="K123" s="1186">
        <v>5463300</v>
      </c>
      <c r="L123" s="1186">
        <v>975449</v>
      </c>
      <c r="M123" s="1186">
        <v>901925</v>
      </c>
      <c r="N123" s="1186">
        <v>2197088</v>
      </c>
      <c r="O123" s="1186">
        <v>1388838</v>
      </c>
    </row>
    <row r="124" spans="1:15" x14ac:dyDescent="0.2">
      <c r="A124" s="1186" t="s">
        <v>1419</v>
      </c>
      <c r="B124" s="1186" t="s">
        <v>414</v>
      </c>
      <c r="C124" s="1186" t="s">
        <v>426</v>
      </c>
      <c r="D124" s="1186">
        <v>571</v>
      </c>
      <c r="E124" s="1186">
        <v>54</v>
      </c>
      <c r="F124" s="1186">
        <v>73</v>
      </c>
      <c r="G124" s="1186">
        <v>254</v>
      </c>
      <c r="H124" s="1186">
        <v>139</v>
      </c>
      <c r="I124" s="1186">
        <v>51</v>
      </c>
      <c r="J124" s="1186" t="s">
        <v>1419</v>
      </c>
      <c r="K124" s="1186">
        <v>5463300</v>
      </c>
      <c r="L124" s="1186">
        <v>975449</v>
      </c>
      <c r="M124" s="1186">
        <v>901925</v>
      </c>
      <c r="N124" s="1186">
        <v>2197088</v>
      </c>
      <c r="O124" s="1186">
        <v>1388838</v>
      </c>
    </row>
    <row r="125" spans="1:15" x14ac:dyDescent="0.2">
      <c r="A125" s="1186" t="s">
        <v>1419</v>
      </c>
      <c r="B125" s="1186" t="s">
        <v>414</v>
      </c>
      <c r="C125" s="1186" t="s">
        <v>427</v>
      </c>
      <c r="D125" s="1186">
        <v>30</v>
      </c>
      <c r="E125" s="1186">
        <v>2</v>
      </c>
      <c r="F125" s="1186">
        <v>9</v>
      </c>
      <c r="G125" s="1186">
        <v>10</v>
      </c>
      <c r="H125" s="1186">
        <v>7</v>
      </c>
      <c r="I125" s="1186">
        <v>2</v>
      </c>
      <c r="J125" s="1186" t="s">
        <v>1419</v>
      </c>
      <c r="K125" s="1186">
        <v>5463300</v>
      </c>
      <c r="L125" s="1186">
        <v>975449</v>
      </c>
      <c r="M125" s="1186">
        <v>901925</v>
      </c>
      <c r="N125" s="1186">
        <v>2197088</v>
      </c>
      <c r="O125" s="1186">
        <v>1388838</v>
      </c>
    </row>
    <row r="126" spans="1:15" x14ac:dyDescent="0.2">
      <c r="A126" s="1186" t="s">
        <v>1419</v>
      </c>
      <c r="B126" s="1186" t="s">
        <v>414</v>
      </c>
      <c r="C126" s="1186" t="s">
        <v>428</v>
      </c>
      <c r="D126" s="1186">
        <v>12</v>
      </c>
      <c r="E126" s="1186"/>
      <c r="F126" s="1186"/>
      <c r="G126" s="1186">
        <v>5</v>
      </c>
      <c r="H126" s="1186">
        <v>7</v>
      </c>
      <c r="I126" s="1186"/>
      <c r="J126" s="1186" t="s">
        <v>1419</v>
      </c>
      <c r="K126" s="1186">
        <v>5463300</v>
      </c>
      <c r="L126" s="1186">
        <v>975449</v>
      </c>
      <c r="M126" s="1186">
        <v>901925</v>
      </c>
      <c r="N126" s="1186">
        <v>2197088</v>
      </c>
      <c r="O126" s="1186">
        <v>1388838</v>
      </c>
    </row>
    <row r="127" spans="1:15" x14ac:dyDescent="0.2">
      <c r="A127" s="1186" t="s">
        <v>1419</v>
      </c>
      <c r="B127" s="1186" t="s">
        <v>414</v>
      </c>
      <c r="C127" s="1186" t="s">
        <v>429</v>
      </c>
      <c r="D127" s="1186">
        <v>150</v>
      </c>
      <c r="E127" s="1186">
        <v>13</v>
      </c>
      <c r="F127" s="1186">
        <v>14</v>
      </c>
      <c r="G127" s="1186">
        <v>65</v>
      </c>
      <c r="H127" s="1186">
        <v>53</v>
      </c>
      <c r="I127" s="1186">
        <v>5</v>
      </c>
      <c r="J127" s="1186" t="s">
        <v>1419</v>
      </c>
      <c r="K127" s="1186">
        <v>5463300</v>
      </c>
      <c r="L127" s="1186">
        <v>975449</v>
      </c>
      <c r="M127" s="1186">
        <v>901925</v>
      </c>
      <c r="N127" s="1186">
        <v>2197088</v>
      </c>
      <c r="O127" s="1186">
        <v>1388838</v>
      </c>
    </row>
    <row r="128" spans="1:15" x14ac:dyDescent="0.2">
      <c r="A128" s="1186" t="s">
        <v>1419</v>
      </c>
      <c r="B128" s="1186" t="s">
        <v>414</v>
      </c>
      <c r="C128" s="1186" t="s">
        <v>430</v>
      </c>
      <c r="D128" s="1186">
        <v>106</v>
      </c>
      <c r="E128" s="1186">
        <v>12</v>
      </c>
      <c r="F128" s="1186">
        <v>15</v>
      </c>
      <c r="G128" s="1186">
        <v>37</v>
      </c>
      <c r="H128" s="1186">
        <v>29</v>
      </c>
      <c r="I128" s="1186">
        <v>13</v>
      </c>
      <c r="J128" s="1186" t="s">
        <v>1419</v>
      </c>
      <c r="K128" s="1186">
        <v>5463300</v>
      </c>
      <c r="L128" s="1186">
        <v>975449</v>
      </c>
      <c r="M128" s="1186">
        <v>901925</v>
      </c>
      <c r="N128" s="1186">
        <v>2197088</v>
      </c>
      <c r="O128" s="1186">
        <v>1388838</v>
      </c>
    </row>
    <row r="129" spans="1:15" x14ac:dyDescent="0.2">
      <c r="A129" s="1186" t="s">
        <v>1572</v>
      </c>
      <c r="B129" s="1186" t="s">
        <v>421</v>
      </c>
      <c r="C129" s="1186" t="s">
        <v>424</v>
      </c>
      <c r="D129" s="1186">
        <v>1</v>
      </c>
      <c r="E129" s="1186">
        <v>1</v>
      </c>
      <c r="F129" s="1186"/>
      <c r="G129" s="1186"/>
      <c r="H129" s="1186"/>
      <c r="I129" s="1186"/>
      <c r="J129" s="1186" t="s">
        <v>1572</v>
      </c>
      <c r="K129" s="1186">
        <v>5466000</v>
      </c>
      <c r="L129" s="1186">
        <v>972673</v>
      </c>
      <c r="M129" s="1186">
        <v>888196</v>
      </c>
      <c r="N129" s="1186">
        <v>2196482</v>
      </c>
      <c r="O129" s="1186">
        <v>1408649</v>
      </c>
    </row>
    <row r="130" spans="1:15" x14ac:dyDescent="0.2">
      <c r="A130" s="1186" t="s">
        <v>1572</v>
      </c>
      <c r="B130" s="1186" t="s">
        <v>421</v>
      </c>
      <c r="C130" s="1186" t="s">
        <v>427</v>
      </c>
      <c r="D130" s="1186">
        <v>4</v>
      </c>
      <c r="E130" s="1186"/>
      <c r="F130" s="1186"/>
      <c r="G130" s="1186">
        <v>3</v>
      </c>
      <c r="H130" s="1186"/>
      <c r="I130" s="1186">
        <v>1</v>
      </c>
      <c r="J130" s="1186" t="s">
        <v>1572</v>
      </c>
      <c r="K130" s="1186">
        <v>5466000</v>
      </c>
      <c r="L130" s="1186">
        <v>972673</v>
      </c>
      <c r="M130" s="1186">
        <v>888196</v>
      </c>
      <c r="N130" s="1186">
        <v>2196482</v>
      </c>
      <c r="O130" s="1186">
        <v>1408649</v>
      </c>
    </row>
    <row r="131" spans="1:15" x14ac:dyDescent="0.2">
      <c r="A131" s="1186" t="s">
        <v>1572</v>
      </c>
      <c r="B131" s="1186" t="s">
        <v>421</v>
      </c>
      <c r="C131" s="1186" t="s">
        <v>429</v>
      </c>
      <c r="D131" s="1186">
        <v>3</v>
      </c>
      <c r="E131" s="1186">
        <v>1</v>
      </c>
      <c r="F131" s="1186"/>
      <c r="G131" s="1186">
        <v>2</v>
      </c>
      <c r="H131" s="1186"/>
      <c r="I131" s="1186"/>
      <c r="J131" s="1186" t="s">
        <v>1572</v>
      </c>
      <c r="K131" s="1186">
        <v>5466000</v>
      </c>
      <c r="L131" s="1186">
        <v>972673</v>
      </c>
      <c r="M131" s="1186">
        <v>888196</v>
      </c>
      <c r="N131" s="1186">
        <v>2196482</v>
      </c>
      <c r="O131" s="1186">
        <v>1408649</v>
      </c>
    </row>
    <row r="132" spans="1:15" x14ac:dyDescent="0.2">
      <c r="A132" s="1186" t="s">
        <v>1572</v>
      </c>
      <c r="B132" s="1186" t="s">
        <v>414</v>
      </c>
      <c r="C132" s="1186" t="s">
        <v>424</v>
      </c>
      <c r="D132" s="1186">
        <v>141</v>
      </c>
      <c r="E132" s="1186">
        <v>9</v>
      </c>
      <c r="F132" s="1186">
        <v>22</v>
      </c>
      <c r="G132" s="1186">
        <v>61</v>
      </c>
      <c r="H132" s="1186">
        <v>42</v>
      </c>
      <c r="I132" s="1186">
        <v>7</v>
      </c>
      <c r="J132" s="1186" t="s">
        <v>1572</v>
      </c>
      <c r="K132" s="1186">
        <v>5466000</v>
      </c>
      <c r="L132" s="1186">
        <v>972673</v>
      </c>
      <c r="M132" s="1186">
        <v>888196</v>
      </c>
      <c r="N132" s="1186">
        <v>2196482</v>
      </c>
      <c r="O132" s="1186">
        <v>1408649</v>
      </c>
    </row>
    <row r="133" spans="1:15" x14ac:dyDescent="0.2">
      <c r="A133" s="1186" t="s">
        <v>1572</v>
      </c>
      <c r="B133" s="1186" t="s">
        <v>414</v>
      </c>
      <c r="C133" s="1186" t="s">
        <v>425</v>
      </c>
      <c r="D133" s="1186">
        <v>20</v>
      </c>
      <c r="E133" s="1186">
        <v>2</v>
      </c>
      <c r="F133" s="1186">
        <v>1</v>
      </c>
      <c r="G133" s="1186">
        <v>11</v>
      </c>
      <c r="H133" s="1186">
        <v>4</v>
      </c>
      <c r="I133" s="1186">
        <v>2</v>
      </c>
      <c r="J133" s="1186" t="s">
        <v>1572</v>
      </c>
      <c r="K133" s="1186">
        <v>5466000</v>
      </c>
      <c r="L133" s="1186">
        <v>972673</v>
      </c>
      <c r="M133" s="1186">
        <v>888196</v>
      </c>
      <c r="N133" s="1186">
        <v>2196482</v>
      </c>
      <c r="O133" s="1186">
        <v>1408649</v>
      </c>
    </row>
    <row r="134" spans="1:15" x14ac:dyDescent="0.2">
      <c r="A134" s="1186" t="s">
        <v>1572</v>
      </c>
      <c r="B134" s="1186" t="s">
        <v>414</v>
      </c>
      <c r="C134" s="1186" t="s">
        <v>426</v>
      </c>
      <c r="D134" s="1186">
        <v>510</v>
      </c>
      <c r="E134" s="1186">
        <v>61</v>
      </c>
      <c r="F134" s="1186">
        <v>62</v>
      </c>
      <c r="G134" s="1186">
        <v>235</v>
      </c>
      <c r="H134" s="1186">
        <v>111</v>
      </c>
      <c r="I134" s="1186">
        <v>41</v>
      </c>
      <c r="J134" s="1186" t="s">
        <v>1572</v>
      </c>
      <c r="K134" s="1186">
        <v>5466000</v>
      </c>
      <c r="L134" s="1186">
        <v>972673</v>
      </c>
      <c r="M134" s="1186">
        <v>888196</v>
      </c>
      <c r="N134" s="1186">
        <v>2196482</v>
      </c>
      <c r="O134" s="1186">
        <v>1408649</v>
      </c>
    </row>
    <row r="135" spans="1:15" x14ac:dyDescent="0.2">
      <c r="A135" s="1186" t="s">
        <v>1572</v>
      </c>
      <c r="B135" s="1186" t="s">
        <v>414</v>
      </c>
      <c r="C135" s="1186" t="s">
        <v>427</v>
      </c>
      <c r="D135" s="1186">
        <v>33</v>
      </c>
      <c r="E135" s="1186">
        <v>4</v>
      </c>
      <c r="F135" s="1186">
        <v>4</v>
      </c>
      <c r="G135" s="1186">
        <v>12</v>
      </c>
      <c r="H135" s="1186">
        <v>12</v>
      </c>
      <c r="I135" s="1186">
        <v>1</v>
      </c>
      <c r="J135" s="1186" t="s">
        <v>1572</v>
      </c>
      <c r="K135" s="1186">
        <v>5466000</v>
      </c>
      <c r="L135" s="1186">
        <v>972673</v>
      </c>
      <c r="M135" s="1186">
        <v>888196</v>
      </c>
      <c r="N135" s="1186">
        <v>2196482</v>
      </c>
      <c r="O135" s="1186">
        <v>1408649</v>
      </c>
    </row>
    <row r="136" spans="1:15" x14ac:dyDescent="0.2">
      <c r="A136" s="1186" t="s">
        <v>1572</v>
      </c>
      <c r="B136" s="1186" t="s">
        <v>414</v>
      </c>
      <c r="C136" s="1186" t="s">
        <v>428</v>
      </c>
      <c r="D136" s="1186">
        <v>14</v>
      </c>
      <c r="E136" s="1186"/>
      <c r="F136" s="1186">
        <v>3</v>
      </c>
      <c r="G136" s="1186">
        <v>5</v>
      </c>
      <c r="H136" s="1186">
        <v>5</v>
      </c>
      <c r="I136" s="1186">
        <v>1</v>
      </c>
      <c r="J136" s="1186" t="s">
        <v>1572</v>
      </c>
      <c r="K136" s="1186">
        <v>5466000</v>
      </c>
      <c r="L136" s="1186">
        <v>972673</v>
      </c>
      <c r="M136" s="1186">
        <v>888196</v>
      </c>
      <c r="N136" s="1186">
        <v>2196482</v>
      </c>
      <c r="O136" s="1186">
        <v>1408649</v>
      </c>
    </row>
    <row r="137" spans="1:15" x14ac:dyDescent="0.2">
      <c r="A137" s="1186" t="s">
        <v>1572</v>
      </c>
      <c r="B137" s="1186" t="s">
        <v>414</v>
      </c>
      <c r="C137" s="1186" t="s">
        <v>429</v>
      </c>
      <c r="D137" s="1186">
        <v>153</v>
      </c>
      <c r="E137" s="1186">
        <v>13</v>
      </c>
      <c r="F137" s="1186">
        <v>16</v>
      </c>
      <c r="G137" s="1186">
        <v>68</v>
      </c>
      <c r="H137" s="1186">
        <v>52</v>
      </c>
      <c r="I137" s="1186">
        <v>4</v>
      </c>
      <c r="J137" s="1186" t="s">
        <v>1572</v>
      </c>
      <c r="K137" s="1186">
        <v>5466000</v>
      </c>
      <c r="L137" s="1186">
        <v>972673</v>
      </c>
      <c r="M137" s="1186">
        <v>888196</v>
      </c>
      <c r="N137" s="1186">
        <v>2196482</v>
      </c>
      <c r="O137" s="1186">
        <v>1408649</v>
      </c>
    </row>
    <row r="138" spans="1:15" x14ac:dyDescent="0.2">
      <c r="A138" s="1186" t="s">
        <v>1572</v>
      </c>
      <c r="B138" s="1186" t="s">
        <v>414</v>
      </c>
      <c r="C138" s="1186" t="s">
        <v>430</v>
      </c>
      <c r="D138" s="1186">
        <v>138</v>
      </c>
      <c r="E138" s="1186">
        <v>27</v>
      </c>
      <c r="F138" s="1186">
        <v>18</v>
      </c>
      <c r="G138" s="1186">
        <v>60</v>
      </c>
      <c r="H138" s="1186">
        <v>24</v>
      </c>
      <c r="I138" s="1186">
        <v>9</v>
      </c>
      <c r="J138" s="1186" t="s">
        <v>1572</v>
      </c>
      <c r="K138" s="1186">
        <v>5466000</v>
      </c>
      <c r="L138" s="1186">
        <v>972673</v>
      </c>
      <c r="M138" s="1186">
        <v>888196</v>
      </c>
      <c r="N138" s="1186">
        <v>2196482</v>
      </c>
      <c r="O138" s="1186">
        <v>1408649</v>
      </c>
    </row>
  </sheetData>
  <pageMargins left="0.7" right="0.7" top="0.75" bottom="0.75" header="0.3" footer="0.3"/>
  <pageSetup paperSize="9" fitToHeight="50" orientation="landscape" r:id="rId1"/>
  <legacyDrawing r:id="rId2"/>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pageSetUpPr fitToPage="1"/>
  </sheetPr>
  <dimension ref="A1:A11"/>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8.42578125" bestFit="1" customWidth="1"/>
  </cols>
  <sheetData>
    <row r="1" spans="1:1" x14ac:dyDescent="0.2"/>
    <row r="4" spans="1:1" x14ac:dyDescent="0.2">
      <c r="A4" s="1223" t="s">
        <v>751</v>
      </c>
    </row>
    <row r="5" spans="1:1" x14ac:dyDescent="0.2">
      <c r="A5" s="1186"/>
    </row>
    <row r="10" spans="1:1" x14ac:dyDescent="0.2">
      <c r="A10" s="1224" t="s">
        <v>751</v>
      </c>
    </row>
    <row r="11" spans="1:1" x14ac:dyDescent="0.2">
      <c r="A11" s="1186"/>
    </row>
  </sheetData>
  <pageMargins left="0.7" right="0.7" top="0.75" bottom="0.75" header="0.3" footer="0.3"/>
  <pageSetup paperSize="9" fitToHeight="50" orientation="landscape" r:id="rId1"/>
  <legacyDrawing r:id="rId2"/>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pageSetUpPr fitToPage="1"/>
  </sheetPr>
  <dimension ref="A1:L2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2.5703125" bestFit="1" customWidth="1"/>
    <col min="2" max="2" width="7.42578125" bestFit="1" customWidth="1"/>
    <col min="3" max="3" width="19.5703125" bestFit="1" customWidth="1"/>
    <col min="4" max="4" width="16.28515625" bestFit="1" customWidth="1"/>
    <col min="5" max="5" width="11.5703125" bestFit="1" customWidth="1"/>
    <col min="6" max="6" width="25.28515625" bestFit="1" customWidth="1"/>
    <col min="7" max="7" width="18.5703125" bestFit="1" customWidth="1"/>
    <col min="8" max="8" width="15.85546875" bestFit="1" customWidth="1"/>
    <col min="9" max="9" width="28.140625" bestFit="1" customWidth="1"/>
    <col min="10" max="10" width="29.42578125" bestFit="1" customWidth="1"/>
    <col min="11" max="11" width="29.28515625" bestFit="1" customWidth="1"/>
    <col min="12" max="12" width="24" bestFit="1" customWidth="1"/>
  </cols>
  <sheetData>
    <row r="1" spans="1:12" x14ac:dyDescent="0.2"/>
    <row r="4" spans="1:12" x14ac:dyDescent="0.2">
      <c r="A4" s="1223" t="s">
        <v>1764</v>
      </c>
      <c r="B4" s="1223" t="s">
        <v>4</v>
      </c>
      <c r="C4" s="1223" t="s">
        <v>1781</v>
      </c>
      <c r="D4" s="1223" t="s">
        <v>1756</v>
      </c>
      <c r="E4" s="1223" t="s">
        <v>1757</v>
      </c>
      <c r="F4" s="1223" t="s">
        <v>1758</v>
      </c>
      <c r="G4" s="1223" t="s">
        <v>1759</v>
      </c>
      <c r="H4" s="1223" t="s">
        <v>1760</v>
      </c>
      <c r="I4" s="1223" t="s">
        <v>1750</v>
      </c>
      <c r="J4" s="1223" t="s">
        <v>1761</v>
      </c>
      <c r="K4" s="1223" t="s">
        <v>1762</v>
      </c>
      <c r="L4" s="1223" t="s">
        <v>1763</v>
      </c>
    </row>
    <row r="5" spans="1:12" x14ac:dyDescent="0.2">
      <c r="A5" s="1186" t="s">
        <v>61</v>
      </c>
      <c r="B5" s="1186" t="s">
        <v>19</v>
      </c>
      <c r="C5" s="1186">
        <v>4718</v>
      </c>
      <c r="D5" s="1186">
        <v>109</v>
      </c>
      <c r="E5" s="1186">
        <v>1754</v>
      </c>
      <c r="F5" s="1186">
        <v>49</v>
      </c>
      <c r="G5" s="1186">
        <v>163</v>
      </c>
      <c r="H5" s="1186">
        <v>72</v>
      </c>
      <c r="I5" s="1186">
        <v>464</v>
      </c>
      <c r="J5" s="1186">
        <v>932</v>
      </c>
      <c r="K5" s="1186">
        <v>197</v>
      </c>
      <c r="L5" s="1186">
        <v>978</v>
      </c>
    </row>
    <row r="6" spans="1:12" x14ac:dyDescent="0.2">
      <c r="A6" s="1186" t="s">
        <v>61</v>
      </c>
      <c r="B6" s="1186" t="s">
        <v>20</v>
      </c>
      <c r="C6" s="1186">
        <v>2615</v>
      </c>
      <c r="D6" s="1186">
        <v>53</v>
      </c>
      <c r="E6" s="1186">
        <v>1230</v>
      </c>
      <c r="F6" s="1186">
        <v>26</v>
      </c>
      <c r="G6" s="1186">
        <v>166</v>
      </c>
      <c r="H6" s="1186">
        <v>40</v>
      </c>
      <c r="I6" s="1186">
        <v>194</v>
      </c>
      <c r="J6" s="1186">
        <v>523</v>
      </c>
      <c r="K6" s="1186">
        <v>91</v>
      </c>
      <c r="L6" s="1186">
        <v>292</v>
      </c>
    </row>
    <row r="7" spans="1:12" x14ac:dyDescent="0.2">
      <c r="A7" s="1186" t="s">
        <v>61</v>
      </c>
      <c r="B7" s="1186" t="s">
        <v>13</v>
      </c>
      <c r="C7" s="1186">
        <v>2485</v>
      </c>
      <c r="D7" s="1186">
        <v>55</v>
      </c>
      <c r="E7" s="1186">
        <v>1071</v>
      </c>
      <c r="F7" s="1186">
        <v>34</v>
      </c>
      <c r="G7" s="1186">
        <v>161</v>
      </c>
      <c r="H7" s="1186">
        <v>24</v>
      </c>
      <c r="I7" s="1186">
        <v>184</v>
      </c>
      <c r="J7" s="1186">
        <v>579</v>
      </c>
      <c r="K7" s="1186">
        <v>80</v>
      </c>
      <c r="L7" s="1186">
        <v>297</v>
      </c>
    </row>
    <row r="8" spans="1:12" x14ac:dyDescent="0.2">
      <c r="A8" s="1186" t="s">
        <v>61</v>
      </c>
      <c r="B8" s="1186" t="s">
        <v>15</v>
      </c>
      <c r="C8" s="1186">
        <v>2021</v>
      </c>
      <c r="D8" s="1186">
        <v>44</v>
      </c>
      <c r="E8" s="1186">
        <v>808</v>
      </c>
      <c r="F8" s="1186">
        <v>14</v>
      </c>
      <c r="G8" s="1186">
        <v>145</v>
      </c>
      <c r="H8" s="1186">
        <v>14</v>
      </c>
      <c r="I8" s="1186">
        <v>143</v>
      </c>
      <c r="J8" s="1186">
        <v>528</v>
      </c>
      <c r="K8" s="1186">
        <v>77</v>
      </c>
      <c r="L8" s="1186">
        <v>248</v>
      </c>
    </row>
    <row r="9" spans="1:12" x14ac:dyDescent="0.2">
      <c r="A9" s="1186" t="s">
        <v>61</v>
      </c>
      <c r="B9" s="1186" t="s">
        <v>17</v>
      </c>
      <c r="C9" s="1186">
        <v>2914</v>
      </c>
      <c r="D9" s="1186">
        <v>29</v>
      </c>
      <c r="E9" s="1186">
        <v>1390</v>
      </c>
      <c r="F9" s="1186">
        <v>30</v>
      </c>
      <c r="G9" s="1186">
        <v>186</v>
      </c>
      <c r="H9" s="1186">
        <v>23</v>
      </c>
      <c r="I9" s="1186">
        <v>191</v>
      </c>
      <c r="J9" s="1186">
        <v>631</v>
      </c>
      <c r="K9" s="1186">
        <v>126</v>
      </c>
      <c r="L9" s="1186">
        <v>308</v>
      </c>
    </row>
    <row r="10" spans="1:12" x14ac:dyDescent="0.2">
      <c r="A10" s="1186" t="s">
        <v>61</v>
      </c>
      <c r="B10" s="1186" t="s">
        <v>133</v>
      </c>
      <c r="C10" s="1186">
        <v>2239</v>
      </c>
      <c r="D10" s="1186">
        <v>37</v>
      </c>
      <c r="E10" s="1186">
        <v>733</v>
      </c>
      <c r="F10" s="1186">
        <v>34</v>
      </c>
      <c r="G10" s="1186">
        <v>143</v>
      </c>
      <c r="H10" s="1186">
        <v>16</v>
      </c>
      <c r="I10" s="1186">
        <v>182</v>
      </c>
      <c r="J10" s="1186">
        <v>713</v>
      </c>
      <c r="K10" s="1186">
        <v>105</v>
      </c>
      <c r="L10" s="1186">
        <v>276</v>
      </c>
    </row>
    <row r="11" spans="1:12" x14ac:dyDescent="0.2">
      <c r="A11" s="1186" t="s">
        <v>61</v>
      </c>
      <c r="B11" s="1186" t="s">
        <v>144</v>
      </c>
      <c r="C11" s="1186">
        <v>2454</v>
      </c>
      <c r="D11" s="1186">
        <v>42</v>
      </c>
      <c r="E11" s="1186">
        <v>864</v>
      </c>
      <c r="F11" s="1186">
        <v>21</v>
      </c>
      <c r="G11" s="1186">
        <v>144</v>
      </c>
      <c r="H11" s="1186">
        <v>14</v>
      </c>
      <c r="I11" s="1186">
        <v>169</v>
      </c>
      <c r="J11" s="1186">
        <v>806</v>
      </c>
      <c r="K11" s="1186">
        <v>135</v>
      </c>
      <c r="L11" s="1186">
        <v>259</v>
      </c>
    </row>
    <row r="12" spans="1:12" x14ac:dyDescent="0.2">
      <c r="A12" s="1186" t="s">
        <v>61</v>
      </c>
      <c r="B12" s="1186" t="s">
        <v>282</v>
      </c>
      <c r="C12" s="1186">
        <v>2467</v>
      </c>
      <c r="D12" s="1186">
        <v>42</v>
      </c>
      <c r="E12" s="1186">
        <v>935</v>
      </c>
      <c r="F12" s="1186">
        <v>15</v>
      </c>
      <c r="G12" s="1186">
        <v>133</v>
      </c>
      <c r="H12" s="1186">
        <v>15</v>
      </c>
      <c r="I12" s="1186">
        <v>188</v>
      </c>
      <c r="J12" s="1186">
        <v>781</v>
      </c>
      <c r="K12" s="1186">
        <v>130</v>
      </c>
      <c r="L12" s="1186">
        <v>228</v>
      </c>
    </row>
    <row r="13" spans="1:12" x14ac:dyDescent="0.2">
      <c r="A13" s="1186" t="s">
        <v>61</v>
      </c>
      <c r="B13" s="1186" t="s">
        <v>311</v>
      </c>
      <c r="C13" s="1186">
        <v>2612</v>
      </c>
      <c r="D13" s="1186">
        <v>41</v>
      </c>
      <c r="E13" s="1186">
        <v>1133</v>
      </c>
      <c r="F13" s="1186">
        <v>17</v>
      </c>
      <c r="G13" s="1186">
        <v>154</v>
      </c>
      <c r="H13" s="1186">
        <v>16</v>
      </c>
      <c r="I13" s="1186">
        <v>202</v>
      </c>
      <c r="J13" s="1186">
        <v>721</v>
      </c>
      <c r="K13" s="1186">
        <v>118</v>
      </c>
      <c r="L13" s="1186">
        <v>210</v>
      </c>
    </row>
    <row r="14" spans="1:12" x14ac:dyDescent="0.2">
      <c r="A14" s="1186" t="s">
        <v>61</v>
      </c>
      <c r="B14" s="1186" t="s">
        <v>621</v>
      </c>
      <c r="C14" s="1186">
        <v>3212</v>
      </c>
      <c r="D14" s="1186">
        <v>29</v>
      </c>
      <c r="E14" s="1186">
        <v>1612</v>
      </c>
      <c r="F14" s="1186">
        <v>24</v>
      </c>
      <c r="G14" s="1186">
        <v>161</v>
      </c>
      <c r="H14" s="1186">
        <v>25</v>
      </c>
      <c r="I14" s="1186">
        <v>159</v>
      </c>
      <c r="J14" s="1186">
        <v>832</v>
      </c>
      <c r="K14" s="1186">
        <v>124</v>
      </c>
      <c r="L14" s="1186">
        <v>246</v>
      </c>
    </row>
    <row r="15" spans="1:12" x14ac:dyDescent="0.2">
      <c r="A15" s="1186" t="s">
        <v>61</v>
      </c>
      <c r="B15" s="1186" t="s">
        <v>1419</v>
      </c>
      <c r="C15" s="1186">
        <v>2438</v>
      </c>
      <c r="D15" s="1186">
        <v>35</v>
      </c>
      <c r="E15" s="1186">
        <v>947</v>
      </c>
      <c r="F15" s="1186">
        <v>21</v>
      </c>
      <c r="G15" s="1186">
        <v>173</v>
      </c>
      <c r="H15" s="1186">
        <v>13</v>
      </c>
      <c r="I15" s="1186">
        <v>90</v>
      </c>
      <c r="J15" s="1186">
        <v>787</v>
      </c>
      <c r="K15" s="1186">
        <v>118</v>
      </c>
      <c r="L15" s="1186">
        <v>254</v>
      </c>
    </row>
    <row r="16" spans="1:12" x14ac:dyDescent="0.2">
      <c r="A16" s="1186" t="s">
        <v>61</v>
      </c>
      <c r="B16" s="1186" t="s">
        <v>1572</v>
      </c>
      <c r="C16" s="1186">
        <v>3073</v>
      </c>
      <c r="D16" s="1186">
        <v>34</v>
      </c>
      <c r="E16" s="1186">
        <v>1302</v>
      </c>
      <c r="F16" s="1186">
        <v>26</v>
      </c>
      <c r="G16" s="1186">
        <v>188</v>
      </c>
      <c r="H16" s="1186">
        <v>29</v>
      </c>
      <c r="I16" s="1186">
        <v>284</v>
      </c>
      <c r="J16" s="1186">
        <v>740</v>
      </c>
      <c r="K16" s="1186">
        <v>150</v>
      </c>
      <c r="L16" s="1186">
        <v>320</v>
      </c>
    </row>
    <row r="17" spans="1:12" x14ac:dyDescent="0.2">
      <c r="A17" s="1186" t="s">
        <v>116</v>
      </c>
      <c r="B17" s="1186" t="s">
        <v>19</v>
      </c>
      <c r="C17" s="1186">
        <v>18287</v>
      </c>
      <c r="D17" s="1186">
        <v>602</v>
      </c>
      <c r="E17" s="1186">
        <v>5225</v>
      </c>
      <c r="F17" s="1186">
        <v>149</v>
      </c>
      <c r="G17" s="1186">
        <v>205</v>
      </c>
      <c r="H17" s="1186">
        <v>113</v>
      </c>
      <c r="I17" s="1186">
        <v>2271</v>
      </c>
      <c r="J17" s="1186">
        <v>3470</v>
      </c>
      <c r="K17" s="1186">
        <v>678</v>
      </c>
      <c r="L17" s="1186">
        <v>5574</v>
      </c>
    </row>
    <row r="18" spans="1:12" x14ac:dyDescent="0.2">
      <c r="A18" s="1186" t="s">
        <v>116</v>
      </c>
      <c r="B18" s="1186" t="s">
        <v>20</v>
      </c>
      <c r="C18" s="1186">
        <v>21602</v>
      </c>
      <c r="D18" s="1186">
        <v>693</v>
      </c>
      <c r="E18" s="1186">
        <v>7398</v>
      </c>
      <c r="F18" s="1186">
        <v>101</v>
      </c>
      <c r="G18" s="1186">
        <v>265</v>
      </c>
      <c r="H18" s="1186">
        <v>119</v>
      </c>
      <c r="I18" s="1186">
        <v>2861</v>
      </c>
      <c r="J18" s="1186">
        <v>4137</v>
      </c>
      <c r="K18" s="1186">
        <v>788</v>
      </c>
      <c r="L18" s="1186">
        <v>5240</v>
      </c>
    </row>
    <row r="19" spans="1:12" x14ac:dyDescent="0.2">
      <c r="A19" s="1186" t="s">
        <v>116</v>
      </c>
      <c r="B19" s="1186" t="s">
        <v>13</v>
      </c>
      <c r="C19" s="1186">
        <v>16198</v>
      </c>
      <c r="D19" s="1186">
        <v>587</v>
      </c>
      <c r="E19" s="1186">
        <v>4147</v>
      </c>
      <c r="F19" s="1186">
        <v>86</v>
      </c>
      <c r="G19" s="1186">
        <v>231</v>
      </c>
      <c r="H19" s="1186">
        <v>77</v>
      </c>
      <c r="I19" s="1186">
        <v>2099</v>
      </c>
      <c r="J19" s="1186">
        <v>3894</v>
      </c>
      <c r="K19" s="1186">
        <v>625</v>
      </c>
      <c r="L19" s="1186">
        <v>4452</v>
      </c>
    </row>
    <row r="20" spans="1:12" x14ac:dyDescent="0.2">
      <c r="A20" s="1186" t="s">
        <v>116</v>
      </c>
      <c r="B20" s="1186" t="s">
        <v>15</v>
      </c>
      <c r="C20" s="1186">
        <v>12252</v>
      </c>
      <c r="D20" s="1186">
        <v>438</v>
      </c>
      <c r="E20" s="1186">
        <v>2666</v>
      </c>
      <c r="F20" s="1186">
        <v>47</v>
      </c>
      <c r="G20" s="1186">
        <v>191</v>
      </c>
      <c r="H20" s="1186">
        <v>55</v>
      </c>
      <c r="I20" s="1186">
        <v>1762</v>
      </c>
      <c r="J20" s="1186">
        <v>3194</v>
      </c>
      <c r="K20" s="1186">
        <v>548</v>
      </c>
      <c r="L20" s="1186">
        <v>3351</v>
      </c>
    </row>
    <row r="21" spans="1:12" x14ac:dyDescent="0.2">
      <c r="A21" s="1186" t="s">
        <v>116</v>
      </c>
      <c r="B21" s="1186" t="s">
        <v>17</v>
      </c>
      <c r="C21" s="1186">
        <v>13447</v>
      </c>
      <c r="D21" s="1186">
        <v>350</v>
      </c>
      <c r="E21" s="1186">
        <v>4697</v>
      </c>
      <c r="F21" s="1186">
        <v>38</v>
      </c>
      <c r="G21" s="1186">
        <v>189</v>
      </c>
      <c r="H21" s="1186">
        <v>58</v>
      </c>
      <c r="I21" s="1186">
        <v>1625</v>
      </c>
      <c r="J21" s="1186">
        <v>2831</v>
      </c>
      <c r="K21" s="1186">
        <v>522</v>
      </c>
      <c r="L21" s="1186">
        <v>3137</v>
      </c>
    </row>
    <row r="22" spans="1:12" x14ac:dyDescent="0.2">
      <c r="A22" s="1186" t="s">
        <v>116</v>
      </c>
      <c r="B22" s="1186" t="s">
        <v>133</v>
      </c>
      <c r="C22" s="1186">
        <v>11167</v>
      </c>
      <c r="D22" s="1186">
        <v>306</v>
      </c>
      <c r="E22" s="1186">
        <v>3030</v>
      </c>
      <c r="F22" s="1186">
        <v>44</v>
      </c>
      <c r="G22" s="1186">
        <v>178</v>
      </c>
      <c r="H22" s="1186">
        <v>40</v>
      </c>
      <c r="I22" s="1186">
        <v>1521</v>
      </c>
      <c r="J22" s="1186">
        <v>2712</v>
      </c>
      <c r="K22" s="1186">
        <v>411</v>
      </c>
      <c r="L22" s="1186">
        <v>2925</v>
      </c>
    </row>
    <row r="23" spans="1:12" x14ac:dyDescent="0.2">
      <c r="A23" s="1186" t="s">
        <v>116</v>
      </c>
      <c r="B23" s="1186" t="s">
        <v>144</v>
      </c>
      <c r="C23" s="1186">
        <v>12278</v>
      </c>
      <c r="D23" s="1186">
        <v>326</v>
      </c>
      <c r="E23" s="1186">
        <v>3702</v>
      </c>
      <c r="F23" s="1186">
        <v>50</v>
      </c>
      <c r="G23" s="1186">
        <v>190</v>
      </c>
      <c r="H23" s="1186">
        <v>51</v>
      </c>
      <c r="I23" s="1186">
        <v>1725</v>
      </c>
      <c r="J23" s="1186">
        <v>2865</v>
      </c>
      <c r="K23" s="1186">
        <v>453</v>
      </c>
      <c r="L23" s="1186">
        <v>2916</v>
      </c>
    </row>
    <row r="24" spans="1:12" x14ac:dyDescent="0.2">
      <c r="A24" s="1186" t="s">
        <v>116</v>
      </c>
      <c r="B24" s="1186" t="s">
        <v>282</v>
      </c>
      <c r="C24" s="1186">
        <v>13193</v>
      </c>
      <c r="D24" s="1186">
        <v>262</v>
      </c>
      <c r="E24" s="1186">
        <v>3991</v>
      </c>
      <c r="F24" s="1186">
        <v>45</v>
      </c>
      <c r="G24" s="1186">
        <v>220</v>
      </c>
      <c r="H24" s="1186">
        <v>47</v>
      </c>
      <c r="I24" s="1186">
        <v>1833</v>
      </c>
      <c r="J24" s="1186">
        <v>3122</v>
      </c>
      <c r="K24" s="1186">
        <v>426</v>
      </c>
      <c r="L24" s="1186">
        <v>3247</v>
      </c>
    </row>
    <row r="25" spans="1:12" x14ac:dyDescent="0.2">
      <c r="A25" s="1186" t="s">
        <v>116</v>
      </c>
      <c r="B25" s="1186" t="s">
        <v>311</v>
      </c>
      <c r="C25" s="1186">
        <v>12116</v>
      </c>
      <c r="D25" s="1186">
        <v>266</v>
      </c>
      <c r="E25" s="1186">
        <v>3937</v>
      </c>
      <c r="F25" s="1186">
        <v>52</v>
      </c>
      <c r="G25" s="1186">
        <v>242</v>
      </c>
      <c r="H25" s="1186">
        <v>44</v>
      </c>
      <c r="I25" s="1186">
        <v>1721</v>
      </c>
      <c r="J25" s="1186">
        <v>2724</v>
      </c>
      <c r="K25" s="1186">
        <v>387</v>
      </c>
      <c r="L25" s="1186">
        <v>2743</v>
      </c>
    </row>
    <row r="26" spans="1:12" x14ac:dyDescent="0.2">
      <c r="A26" s="1186" t="s">
        <v>116</v>
      </c>
      <c r="B26" s="1186" t="s">
        <v>621</v>
      </c>
      <c r="C26" s="1186">
        <v>12485</v>
      </c>
      <c r="D26" s="1186">
        <v>193</v>
      </c>
      <c r="E26" s="1186">
        <v>4585</v>
      </c>
      <c r="F26" s="1186">
        <v>53</v>
      </c>
      <c r="G26" s="1186">
        <v>186</v>
      </c>
      <c r="H26" s="1186">
        <v>42</v>
      </c>
      <c r="I26" s="1186">
        <v>1262</v>
      </c>
      <c r="J26" s="1186">
        <v>2735</v>
      </c>
      <c r="K26" s="1186">
        <v>328</v>
      </c>
      <c r="L26" s="1186">
        <v>3101</v>
      </c>
    </row>
    <row r="27" spans="1:12" x14ac:dyDescent="0.2">
      <c r="A27" s="1186" t="s">
        <v>116</v>
      </c>
      <c r="B27" s="1186" t="s">
        <v>1419</v>
      </c>
      <c r="C27" s="1186">
        <v>11652</v>
      </c>
      <c r="D27" s="1186">
        <v>230</v>
      </c>
      <c r="E27" s="1186">
        <v>3440</v>
      </c>
      <c r="F27" s="1186">
        <v>56</v>
      </c>
      <c r="G27" s="1186">
        <v>196</v>
      </c>
      <c r="H27" s="1186">
        <v>46</v>
      </c>
      <c r="I27" s="1186">
        <v>891</v>
      </c>
      <c r="J27" s="1186">
        <v>2976</v>
      </c>
      <c r="K27" s="1186">
        <v>329</v>
      </c>
      <c r="L27" s="1186">
        <v>3488</v>
      </c>
    </row>
    <row r="28" spans="1:12" x14ac:dyDescent="0.2">
      <c r="A28" s="1186" t="s">
        <v>116</v>
      </c>
      <c r="B28" s="1186" t="s">
        <v>1572</v>
      </c>
      <c r="C28" s="1186">
        <v>12057</v>
      </c>
      <c r="D28" s="1186">
        <v>151</v>
      </c>
      <c r="E28" s="1186">
        <v>3725</v>
      </c>
      <c r="F28" s="1186">
        <v>69</v>
      </c>
      <c r="G28" s="1186">
        <v>163</v>
      </c>
      <c r="H28" s="1186">
        <v>72</v>
      </c>
      <c r="I28" s="1186">
        <v>1657</v>
      </c>
      <c r="J28" s="1186">
        <v>2642</v>
      </c>
      <c r="K28" s="1186">
        <v>291</v>
      </c>
      <c r="L28" s="1186">
        <v>3287</v>
      </c>
    </row>
  </sheetData>
  <pageMargins left="0.7" right="0.7" top="0.75" bottom="0.75" header="0.3" footer="0.3"/>
  <pageSetup paperSize="9" fitToHeight="50" orientation="landscape" r:id="rId1"/>
  <legacyDrawing r:id="rId2"/>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pageSetUpPr fitToPage="1"/>
  </sheetPr>
  <dimension ref="A1:N769"/>
  <sheetViews>
    <sheetView topLeftCell="F1" zoomScale="85" zoomScaleNormal="85" workbookViewId="0">
      <pane ySplit="4" topLeftCell="A72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2.5703125" bestFit="1" customWidth="1"/>
    <col min="3" max="3" width="19.5703125" bestFit="1" customWidth="1"/>
    <col min="4" max="4" width="4.85546875" bestFit="1" customWidth="1"/>
    <col min="5" max="5" width="16.28515625" bestFit="1" customWidth="1"/>
    <col min="6" max="6" width="11.5703125" bestFit="1" customWidth="1"/>
    <col min="7" max="7" width="25.28515625" bestFit="1" customWidth="1"/>
    <col min="8" max="8" width="18.5703125" bestFit="1" customWidth="1"/>
    <col min="9" max="9" width="15.85546875" bestFit="1" customWidth="1"/>
    <col min="10" max="10" width="28.140625" bestFit="1" customWidth="1"/>
    <col min="11" max="11" width="29.42578125" bestFit="1" customWidth="1"/>
    <col min="12" max="12" width="29.28515625" bestFit="1" customWidth="1"/>
    <col min="13" max="13" width="24" bestFit="1" customWidth="1"/>
    <col min="14" max="14" width="6.85546875" bestFit="1" customWidth="1"/>
  </cols>
  <sheetData>
    <row r="1" spans="1:14" x14ac:dyDescent="0.2"/>
    <row r="4" spans="1:14" x14ac:dyDescent="0.2">
      <c r="A4" s="1223" t="s">
        <v>4</v>
      </c>
      <c r="B4" s="1223" t="s">
        <v>1764</v>
      </c>
      <c r="C4" s="1223" t="s">
        <v>1627</v>
      </c>
      <c r="D4" s="1223" t="s">
        <v>11</v>
      </c>
      <c r="E4" s="1223" t="s">
        <v>1756</v>
      </c>
      <c r="F4" s="1223" t="s">
        <v>1757</v>
      </c>
      <c r="G4" s="1223" t="s">
        <v>1758</v>
      </c>
      <c r="H4" s="1223" t="s">
        <v>1759</v>
      </c>
      <c r="I4" s="1223" t="s">
        <v>1760</v>
      </c>
      <c r="J4" s="1223" t="s">
        <v>1750</v>
      </c>
      <c r="K4" s="1223" t="s">
        <v>1761</v>
      </c>
      <c r="L4" s="1223" t="s">
        <v>1762</v>
      </c>
      <c r="M4" s="1223" t="s">
        <v>1763</v>
      </c>
      <c r="N4" s="1223" t="s">
        <v>1582</v>
      </c>
    </row>
    <row r="5" spans="1:14" x14ac:dyDescent="0.2">
      <c r="A5" s="1186" t="s">
        <v>19</v>
      </c>
      <c r="B5" s="1186" t="s">
        <v>61</v>
      </c>
      <c r="C5" s="1186" t="s">
        <v>23</v>
      </c>
      <c r="D5" s="1186">
        <v>96</v>
      </c>
      <c r="E5" s="1186">
        <v>1</v>
      </c>
      <c r="F5" s="1186">
        <v>16</v>
      </c>
      <c r="G5" s="1186">
        <v>1</v>
      </c>
      <c r="H5" s="1186">
        <v>11</v>
      </c>
      <c r="I5" s="1186"/>
      <c r="J5" s="1186">
        <v>2</v>
      </c>
      <c r="K5" s="1186">
        <v>50</v>
      </c>
      <c r="L5" s="1186">
        <v>3</v>
      </c>
      <c r="M5" s="1186">
        <v>12</v>
      </c>
      <c r="N5" s="1186">
        <v>217020</v>
      </c>
    </row>
    <row r="6" spans="1:14" x14ac:dyDescent="0.2">
      <c r="A6" s="1186" t="s">
        <v>19</v>
      </c>
      <c r="B6" s="1186" t="s">
        <v>61</v>
      </c>
      <c r="C6" s="1186" t="s">
        <v>24</v>
      </c>
      <c r="D6" s="1186">
        <v>113</v>
      </c>
      <c r="E6" s="1186">
        <v>1</v>
      </c>
      <c r="F6" s="1186">
        <v>60</v>
      </c>
      <c r="G6" s="1186">
        <v>2</v>
      </c>
      <c r="H6" s="1186">
        <v>5</v>
      </c>
      <c r="I6" s="1186">
        <v>1</v>
      </c>
      <c r="J6" s="1186"/>
      <c r="K6" s="1186">
        <v>8</v>
      </c>
      <c r="L6" s="1186">
        <v>7</v>
      </c>
      <c r="M6" s="1186">
        <v>29</v>
      </c>
      <c r="N6" s="1186">
        <v>249020</v>
      </c>
    </row>
    <row r="7" spans="1:14" x14ac:dyDescent="0.2">
      <c r="A7" s="1186" t="s">
        <v>19</v>
      </c>
      <c r="B7" s="1186" t="s">
        <v>61</v>
      </c>
      <c r="C7" s="1186" t="s">
        <v>25</v>
      </c>
      <c r="D7" s="1186">
        <v>45</v>
      </c>
      <c r="E7" s="1186">
        <v>2</v>
      </c>
      <c r="F7" s="1186">
        <v>22</v>
      </c>
      <c r="G7" s="1186">
        <v>3</v>
      </c>
      <c r="H7" s="1186">
        <v>2</v>
      </c>
      <c r="I7" s="1186"/>
      <c r="J7" s="1186">
        <v>3</v>
      </c>
      <c r="K7" s="1186">
        <v>8</v>
      </c>
      <c r="L7" s="1186">
        <v>2</v>
      </c>
      <c r="M7" s="1186">
        <v>3</v>
      </c>
      <c r="N7" s="1186">
        <v>114830</v>
      </c>
    </row>
    <row r="8" spans="1:14" x14ac:dyDescent="0.2">
      <c r="A8" s="1186" t="s">
        <v>19</v>
      </c>
      <c r="B8" s="1186" t="s">
        <v>61</v>
      </c>
      <c r="C8" s="1186" t="s">
        <v>26</v>
      </c>
      <c r="D8" s="1186">
        <v>81</v>
      </c>
      <c r="E8" s="1186">
        <v>6</v>
      </c>
      <c r="F8" s="1186">
        <v>50</v>
      </c>
      <c r="G8" s="1186"/>
      <c r="H8" s="1186">
        <v>5</v>
      </c>
      <c r="I8" s="1186">
        <v>3</v>
      </c>
      <c r="J8" s="1186">
        <v>5</v>
      </c>
      <c r="K8" s="1186">
        <v>7</v>
      </c>
      <c r="L8" s="1186"/>
      <c r="M8" s="1186">
        <v>5</v>
      </c>
      <c r="N8" s="1186">
        <v>89450</v>
      </c>
    </row>
    <row r="9" spans="1:14" x14ac:dyDescent="0.2">
      <c r="A9" s="1186" t="s">
        <v>19</v>
      </c>
      <c r="B9" s="1186" t="s">
        <v>61</v>
      </c>
      <c r="C9" s="1186" t="s">
        <v>619</v>
      </c>
      <c r="D9" s="1186">
        <v>312</v>
      </c>
      <c r="E9" s="1186">
        <v>4</v>
      </c>
      <c r="F9" s="1186">
        <v>50</v>
      </c>
      <c r="G9" s="1186">
        <v>1</v>
      </c>
      <c r="H9" s="1186">
        <v>12</v>
      </c>
      <c r="I9" s="1186">
        <v>3</v>
      </c>
      <c r="J9" s="1186">
        <v>28</v>
      </c>
      <c r="K9" s="1186">
        <v>179</v>
      </c>
      <c r="L9" s="1186">
        <v>16</v>
      </c>
      <c r="M9" s="1186">
        <v>19</v>
      </c>
      <c r="N9" s="1186">
        <v>463230</v>
      </c>
    </row>
    <row r="10" spans="1:14" x14ac:dyDescent="0.2">
      <c r="A10" s="1186" t="s">
        <v>19</v>
      </c>
      <c r="B10" s="1186" t="s">
        <v>61</v>
      </c>
      <c r="C10" s="1186" t="s">
        <v>27</v>
      </c>
      <c r="D10" s="1186">
        <v>30</v>
      </c>
      <c r="E10" s="1186">
        <v>2</v>
      </c>
      <c r="F10" s="1186">
        <v>17</v>
      </c>
      <c r="G10" s="1186">
        <v>1</v>
      </c>
      <c r="H10" s="1186">
        <v>1</v>
      </c>
      <c r="I10" s="1186">
        <v>2</v>
      </c>
      <c r="J10" s="1186">
        <v>2</v>
      </c>
      <c r="K10" s="1186">
        <v>4</v>
      </c>
      <c r="L10" s="1186"/>
      <c r="M10" s="1186">
        <v>1</v>
      </c>
      <c r="N10" s="1186">
        <v>51290</v>
      </c>
    </row>
    <row r="11" spans="1:14" x14ac:dyDescent="0.2">
      <c r="A11" s="1186" t="s">
        <v>19</v>
      </c>
      <c r="B11" s="1186" t="s">
        <v>61</v>
      </c>
      <c r="C11" s="1186" t="s">
        <v>28</v>
      </c>
      <c r="D11" s="1186">
        <v>74</v>
      </c>
      <c r="E11" s="1186"/>
      <c r="F11" s="1186">
        <v>25</v>
      </c>
      <c r="G11" s="1186"/>
      <c r="H11" s="1186">
        <v>16</v>
      </c>
      <c r="I11" s="1186"/>
      <c r="J11" s="1186">
        <v>2</v>
      </c>
      <c r="K11" s="1186">
        <v>14</v>
      </c>
      <c r="L11" s="1186">
        <v>1</v>
      </c>
      <c r="M11" s="1186">
        <v>16</v>
      </c>
      <c r="N11" s="1186">
        <v>151160</v>
      </c>
    </row>
    <row r="12" spans="1:14" x14ac:dyDescent="0.2">
      <c r="A12" s="1186" t="s">
        <v>19</v>
      </c>
      <c r="B12" s="1186" t="s">
        <v>61</v>
      </c>
      <c r="C12" s="1186" t="s">
        <v>29</v>
      </c>
      <c r="D12" s="1186">
        <v>142</v>
      </c>
      <c r="E12" s="1186">
        <v>4</v>
      </c>
      <c r="F12" s="1186">
        <v>31</v>
      </c>
      <c r="G12" s="1186">
        <v>3</v>
      </c>
      <c r="H12" s="1186">
        <v>7</v>
      </c>
      <c r="I12" s="1186">
        <v>2</v>
      </c>
      <c r="J12" s="1186">
        <v>16</v>
      </c>
      <c r="K12" s="1186">
        <v>39</v>
      </c>
      <c r="L12" s="1186">
        <v>7</v>
      </c>
      <c r="M12" s="1186">
        <v>33</v>
      </c>
      <c r="N12" s="1186">
        <v>145170</v>
      </c>
    </row>
    <row r="13" spans="1:14" x14ac:dyDescent="0.2">
      <c r="A13" s="1186" t="s">
        <v>19</v>
      </c>
      <c r="B13" s="1186" t="s">
        <v>61</v>
      </c>
      <c r="C13" s="1186" t="s">
        <v>30</v>
      </c>
      <c r="D13" s="1186">
        <v>200</v>
      </c>
      <c r="E13" s="1186">
        <v>2</v>
      </c>
      <c r="F13" s="1186">
        <v>81</v>
      </c>
      <c r="G13" s="1186"/>
      <c r="H13" s="1186">
        <v>5</v>
      </c>
      <c r="I13" s="1186">
        <v>7</v>
      </c>
      <c r="J13" s="1186">
        <v>14</v>
      </c>
      <c r="K13" s="1186">
        <v>17</v>
      </c>
      <c r="L13" s="1186">
        <v>5</v>
      </c>
      <c r="M13" s="1186">
        <v>69</v>
      </c>
      <c r="N13" s="1186">
        <v>122110</v>
      </c>
    </row>
    <row r="14" spans="1:14" x14ac:dyDescent="0.2">
      <c r="A14" s="1186" t="s">
        <v>19</v>
      </c>
      <c r="B14" s="1186" t="s">
        <v>61</v>
      </c>
      <c r="C14" s="1186" t="s">
        <v>31</v>
      </c>
      <c r="D14" s="1186">
        <v>94</v>
      </c>
      <c r="E14" s="1186">
        <v>3</v>
      </c>
      <c r="F14" s="1186">
        <v>44</v>
      </c>
      <c r="G14" s="1186"/>
      <c r="H14" s="1186">
        <v>5</v>
      </c>
      <c r="I14" s="1186">
        <v>3</v>
      </c>
      <c r="J14" s="1186">
        <v>4</v>
      </c>
      <c r="K14" s="1186">
        <v>6</v>
      </c>
      <c r="L14" s="1186">
        <v>4</v>
      </c>
      <c r="M14" s="1186">
        <v>25</v>
      </c>
      <c r="N14" s="1186">
        <v>104960</v>
      </c>
    </row>
    <row r="15" spans="1:14" x14ac:dyDescent="0.2">
      <c r="A15" s="1186" t="s">
        <v>19</v>
      </c>
      <c r="B15" s="1186" t="s">
        <v>61</v>
      </c>
      <c r="C15" s="1186" t="s">
        <v>32</v>
      </c>
      <c r="D15" s="1186">
        <v>60</v>
      </c>
      <c r="E15" s="1186"/>
      <c r="F15" s="1186">
        <v>24</v>
      </c>
      <c r="G15" s="1186">
        <v>6</v>
      </c>
      <c r="H15" s="1186">
        <v>3</v>
      </c>
      <c r="I15" s="1186"/>
      <c r="J15" s="1186">
        <v>4</v>
      </c>
      <c r="K15" s="1186">
        <v>15</v>
      </c>
      <c r="L15" s="1186">
        <v>3</v>
      </c>
      <c r="M15" s="1186">
        <v>5</v>
      </c>
      <c r="N15" s="1186">
        <v>98340</v>
      </c>
    </row>
    <row r="16" spans="1:14" x14ac:dyDescent="0.2">
      <c r="A16" s="1186" t="s">
        <v>19</v>
      </c>
      <c r="B16" s="1186" t="s">
        <v>61</v>
      </c>
      <c r="C16" s="1186" t="s">
        <v>33</v>
      </c>
      <c r="D16" s="1186">
        <v>45</v>
      </c>
      <c r="E16" s="1186">
        <v>1</v>
      </c>
      <c r="F16" s="1186">
        <v>15</v>
      </c>
      <c r="G16" s="1186"/>
      <c r="H16" s="1186">
        <v>5</v>
      </c>
      <c r="I16" s="1186"/>
      <c r="J16" s="1186">
        <v>9</v>
      </c>
      <c r="K16" s="1186">
        <v>6</v>
      </c>
      <c r="L16" s="1186">
        <v>2</v>
      </c>
      <c r="M16" s="1186">
        <v>7</v>
      </c>
      <c r="N16" s="1186">
        <v>89980</v>
      </c>
    </row>
    <row r="17" spans="1:14" x14ac:dyDescent="0.2">
      <c r="A17" s="1186" t="s">
        <v>19</v>
      </c>
      <c r="B17" s="1186" t="s">
        <v>61</v>
      </c>
      <c r="C17" s="1186" t="s">
        <v>34</v>
      </c>
      <c r="D17" s="1186">
        <v>96</v>
      </c>
      <c r="E17" s="1186">
        <v>1</v>
      </c>
      <c r="F17" s="1186">
        <v>30</v>
      </c>
      <c r="G17" s="1186">
        <v>2</v>
      </c>
      <c r="H17" s="1186">
        <v>7</v>
      </c>
      <c r="I17" s="1186">
        <v>1</v>
      </c>
      <c r="J17" s="1186">
        <v>11</v>
      </c>
      <c r="K17" s="1186">
        <v>22</v>
      </c>
      <c r="L17" s="1186">
        <v>1</v>
      </c>
      <c r="M17" s="1186">
        <v>21</v>
      </c>
      <c r="N17" s="1186">
        <v>154210</v>
      </c>
    </row>
    <row r="18" spans="1:14" x14ac:dyDescent="0.2">
      <c r="A18" s="1186" t="s">
        <v>19</v>
      </c>
      <c r="B18" s="1186" t="s">
        <v>61</v>
      </c>
      <c r="C18" s="1186" t="s">
        <v>35</v>
      </c>
      <c r="D18" s="1186">
        <v>280</v>
      </c>
      <c r="E18" s="1186">
        <v>2</v>
      </c>
      <c r="F18" s="1186">
        <v>130</v>
      </c>
      <c r="G18" s="1186">
        <v>9</v>
      </c>
      <c r="H18" s="1186">
        <v>7</v>
      </c>
      <c r="I18" s="1186">
        <v>11</v>
      </c>
      <c r="J18" s="1186">
        <v>15</v>
      </c>
      <c r="K18" s="1186">
        <v>58</v>
      </c>
      <c r="L18" s="1186">
        <v>5</v>
      </c>
      <c r="M18" s="1186">
        <v>43</v>
      </c>
      <c r="N18" s="1186">
        <v>361420</v>
      </c>
    </row>
    <row r="19" spans="1:14" x14ac:dyDescent="0.2">
      <c r="A19" s="1186" t="s">
        <v>19</v>
      </c>
      <c r="B19" s="1186" t="s">
        <v>61</v>
      </c>
      <c r="C19" s="1186" t="s">
        <v>36</v>
      </c>
      <c r="D19" s="1186">
        <v>786</v>
      </c>
      <c r="E19" s="1186">
        <v>26</v>
      </c>
      <c r="F19" s="1186">
        <v>141</v>
      </c>
      <c r="G19" s="1186">
        <v>2</v>
      </c>
      <c r="H19" s="1186">
        <v>18</v>
      </c>
      <c r="I19" s="1186">
        <v>9</v>
      </c>
      <c r="J19" s="1186">
        <v>113</v>
      </c>
      <c r="K19" s="1186">
        <v>234</v>
      </c>
      <c r="L19" s="1186">
        <v>40</v>
      </c>
      <c r="M19" s="1186">
        <v>203</v>
      </c>
      <c r="N19" s="1186">
        <v>581620</v>
      </c>
    </row>
    <row r="20" spans="1:14" x14ac:dyDescent="0.2">
      <c r="A20" s="1186" t="s">
        <v>19</v>
      </c>
      <c r="B20" s="1186" t="s">
        <v>61</v>
      </c>
      <c r="C20" s="1186" t="s">
        <v>37</v>
      </c>
      <c r="D20" s="1186">
        <v>308</v>
      </c>
      <c r="E20" s="1186">
        <v>3</v>
      </c>
      <c r="F20" s="1186">
        <v>206</v>
      </c>
      <c r="G20" s="1186">
        <v>4</v>
      </c>
      <c r="H20" s="1186">
        <v>5</v>
      </c>
      <c r="I20" s="1186">
        <v>8</v>
      </c>
      <c r="J20" s="1186">
        <v>7</v>
      </c>
      <c r="K20" s="1186">
        <v>40</v>
      </c>
      <c r="L20" s="1186">
        <v>4</v>
      </c>
      <c r="M20" s="1186">
        <v>31</v>
      </c>
      <c r="N20" s="1186">
        <v>228750</v>
      </c>
    </row>
    <row r="21" spans="1:14" x14ac:dyDescent="0.2">
      <c r="A21" s="1186" t="s">
        <v>19</v>
      </c>
      <c r="B21" s="1186" t="s">
        <v>61</v>
      </c>
      <c r="C21" s="1186" t="s">
        <v>38</v>
      </c>
      <c r="D21" s="1186">
        <v>74</v>
      </c>
      <c r="E21" s="1186">
        <v>1</v>
      </c>
      <c r="F21" s="1186">
        <v>37</v>
      </c>
      <c r="G21" s="1186"/>
      <c r="H21" s="1186"/>
      <c r="I21" s="1186">
        <v>1</v>
      </c>
      <c r="J21" s="1186">
        <v>16</v>
      </c>
      <c r="K21" s="1186">
        <v>9</v>
      </c>
      <c r="L21" s="1186">
        <v>2</v>
      </c>
      <c r="M21" s="1186">
        <v>8</v>
      </c>
      <c r="N21" s="1186">
        <v>81670</v>
      </c>
    </row>
    <row r="22" spans="1:14" x14ac:dyDescent="0.2">
      <c r="A22" s="1186" t="s">
        <v>19</v>
      </c>
      <c r="B22" s="1186" t="s">
        <v>61</v>
      </c>
      <c r="C22" s="1186" t="s">
        <v>39</v>
      </c>
      <c r="D22" s="1186">
        <v>26</v>
      </c>
      <c r="E22" s="1186"/>
      <c r="F22" s="1186">
        <v>13</v>
      </c>
      <c r="G22" s="1186"/>
      <c r="H22" s="1186">
        <v>3</v>
      </c>
      <c r="I22" s="1186"/>
      <c r="J22" s="1186">
        <v>3</v>
      </c>
      <c r="K22" s="1186">
        <v>3</v>
      </c>
      <c r="L22" s="1186">
        <v>2</v>
      </c>
      <c r="M22" s="1186">
        <v>2</v>
      </c>
      <c r="N22" s="1186">
        <v>81900</v>
      </c>
    </row>
    <row r="23" spans="1:14" x14ac:dyDescent="0.2">
      <c r="A23" s="1186" t="s">
        <v>19</v>
      </c>
      <c r="B23" s="1186" t="s">
        <v>61</v>
      </c>
      <c r="C23" s="1186" t="s">
        <v>40</v>
      </c>
      <c r="D23" s="1186">
        <v>59</v>
      </c>
      <c r="E23" s="1186">
        <v>1</v>
      </c>
      <c r="F23" s="1186">
        <v>39</v>
      </c>
      <c r="G23" s="1186">
        <v>1</v>
      </c>
      <c r="H23" s="1186">
        <v>2</v>
      </c>
      <c r="I23" s="1186">
        <v>1</v>
      </c>
      <c r="J23" s="1186">
        <v>4</v>
      </c>
      <c r="K23" s="1186">
        <v>5</v>
      </c>
      <c r="L23" s="1186">
        <v>1</v>
      </c>
      <c r="M23" s="1186">
        <v>5</v>
      </c>
      <c r="N23" s="1186">
        <v>93160</v>
      </c>
    </row>
    <row r="24" spans="1:14" x14ac:dyDescent="0.2">
      <c r="A24" s="1186" t="s">
        <v>19</v>
      </c>
      <c r="B24" s="1186" t="s">
        <v>61</v>
      </c>
      <c r="C24" s="1186" t="s">
        <v>295</v>
      </c>
      <c r="D24" s="1186">
        <v>26</v>
      </c>
      <c r="E24" s="1186"/>
      <c r="F24" s="1186">
        <v>18</v>
      </c>
      <c r="G24" s="1186"/>
      <c r="H24" s="1186">
        <v>1</v>
      </c>
      <c r="I24" s="1186">
        <v>2</v>
      </c>
      <c r="J24" s="1186">
        <v>1</v>
      </c>
      <c r="K24" s="1186">
        <v>2</v>
      </c>
      <c r="L24" s="1186">
        <v>2</v>
      </c>
      <c r="M24" s="1186"/>
      <c r="N24" s="1186">
        <v>27420</v>
      </c>
    </row>
    <row r="25" spans="1:14" x14ac:dyDescent="0.2">
      <c r="A25" s="1186" t="s">
        <v>19</v>
      </c>
      <c r="B25" s="1186" t="s">
        <v>61</v>
      </c>
      <c r="C25" s="1186" t="s">
        <v>41</v>
      </c>
      <c r="D25" s="1186">
        <v>149</v>
      </c>
      <c r="E25" s="1186">
        <v>4</v>
      </c>
      <c r="F25" s="1186">
        <v>63</v>
      </c>
      <c r="G25" s="1186">
        <v>2</v>
      </c>
      <c r="H25" s="1186">
        <v>2</v>
      </c>
      <c r="I25" s="1186">
        <v>1</v>
      </c>
      <c r="J25" s="1186">
        <v>22</v>
      </c>
      <c r="K25" s="1186">
        <v>15</v>
      </c>
      <c r="L25" s="1186">
        <v>4</v>
      </c>
      <c r="M25" s="1186">
        <v>36</v>
      </c>
      <c r="N25" s="1186">
        <v>137830</v>
      </c>
    </row>
    <row r="26" spans="1:14" x14ac:dyDescent="0.2">
      <c r="A26" s="1186" t="s">
        <v>19</v>
      </c>
      <c r="B26" s="1186" t="s">
        <v>61</v>
      </c>
      <c r="C26" s="1186" t="s">
        <v>42</v>
      </c>
      <c r="D26" s="1186">
        <v>528</v>
      </c>
      <c r="E26" s="1186">
        <v>13</v>
      </c>
      <c r="F26" s="1186">
        <v>187</v>
      </c>
      <c r="G26" s="1186">
        <v>2</v>
      </c>
      <c r="H26" s="1186">
        <v>10</v>
      </c>
      <c r="I26" s="1186">
        <v>7</v>
      </c>
      <c r="J26" s="1186">
        <v>59</v>
      </c>
      <c r="K26" s="1186">
        <v>48</v>
      </c>
      <c r="L26" s="1186">
        <v>37</v>
      </c>
      <c r="M26" s="1186">
        <v>165</v>
      </c>
      <c r="N26" s="1186">
        <v>335160</v>
      </c>
    </row>
    <row r="27" spans="1:14" x14ac:dyDescent="0.2">
      <c r="A27" s="1186" t="s">
        <v>19</v>
      </c>
      <c r="B27" s="1186" t="s">
        <v>61</v>
      </c>
      <c r="C27" s="1186" t="s">
        <v>43</v>
      </c>
      <c r="D27" s="1186">
        <v>12</v>
      </c>
      <c r="E27" s="1186"/>
      <c r="F27" s="1186">
        <v>7</v>
      </c>
      <c r="G27" s="1186"/>
      <c r="H27" s="1186"/>
      <c r="I27" s="1186"/>
      <c r="J27" s="1186"/>
      <c r="K27" s="1186">
        <v>2</v>
      </c>
      <c r="L27" s="1186"/>
      <c r="M27" s="1186">
        <v>3</v>
      </c>
      <c r="N27" s="1186">
        <v>20940</v>
      </c>
    </row>
    <row r="28" spans="1:14" x14ac:dyDescent="0.2">
      <c r="A28" s="1186" t="s">
        <v>19</v>
      </c>
      <c r="B28" s="1186" t="s">
        <v>61</v>
      </c>
      <c r="C28" s="1186" t="s">
        <v>44</v>
      </c>
      <c r="D28" s="1186">
        <v>83</v>
      </c>
      <c r="E28" s="1186">
        <v>2</v>
      </c>
      <c r="F28" s="1186">
        <v>29</v>
      </c>
      <c r="G28" s="1186">
        <v>3</v>
      </c>
      <c r="H28" s="1186">
        <v>2</v>
      </c>
      <c r="I28" s="1186"/>
      <c r="J28" s="1186">
        <v>4</v>
      </c>
      <c r="K28" s="1186">
        <v>19</v>
      </c>
      <c r="L28" s="1186">
        <v>7</v>
      </c>
      <c r="M28" s="1186">
        <v>17</v>
      </c>
      <c r="N28" s="1186">
        <v>144370</v>
      </c>
    </row>
    <row r="29" spans="1:14" x14ac:dyDescent="0.2">
      <c r="A29" s="1186" t="s">
        <v>19</v>
      </c>
      <c r="B29" s="1186" t="s">
        <v>61</v>
      </c>
      <c r="C29" s="1186" t="s">
        <v>45</v>
      </c>
      <c r="D29" s="1186">
        <v>100</v>
      </c>
      <c r="E29" s="1186">
        <v>2</v>
      </c>
      <c r="F29" s="1186">
        <v>39</v>
      </c>
      <c r="G29" s="1186"/>
      <c r="H29" s="1186">
        <v>3</v>
      </c>
      <c r="I29" s="1186">
        <v>2</v>
      </c>
      <c r="J29" s="1186">
        <v>17</v>
      </c>
      <c r="K29" s="1186">
        <v>13</v>
      </c>
      <c r="L29" s="1186">
        <v>8</v>
      </c>
      <c r="M29" s="1186">
        <v>16</v>
      </c>
      <c r="N29" s="1186">
        <v>173020</v>
      </c>
    </row>
    <row r="30" spans="1:14" x14ac:dyDescent="0.2">
      <c r="A30" s="1186" t="s">
        <v>19</v>
      </c>
      <c r="B30" s="1186" t="s">
        <v>61</v>
      </c>
      <c r="C30" s="1186" t="s">
        <v>46</v>
      </c>
      <c r="D30" s="1186">
        <v>40</v>
      </c>
      <c r="E30" s="1186">
        <v>1</v>
      </c>
      <c r="F30" s="1186">
        <v>22</v>
      </c>
      <c r="G30" s="1186"/>
      <c r="H30" s="1186">
        <v>5</v>
      </c>
      <c r="I30" s="1186"/>
      <c r="J30" s="1186">
        <v>4</v>
      </c>
      <c r="K30" s="1186">
        <v>4</v>
      </c>
      <c r="L30" s="1186">
        <v>2</v>
      </c>
      <c r="M30" s="1186">
        <v>2</v>
      </c>
      <c r="N30" s="1186">
        <v>113590</v>
      </c>
    </row>
    <row r="31" spans="1:14" x14ac:dyDescent="0.2">
      <c r="A31" s="1186" t="s">
        <v>19</v>
      </c>
      <c r="B31" s="1186" t="s">
        <v>61</v>
      </c>
      <c r="C31" s="1186" t="s">
        <v>47</v>
      </c>
      <c r="D31" s="1186">
        <v>11</v>
      </c>
      <c r="E31" s="1186">
        <v>1</v>
      </c>
      <c r="F31" s="1186">
        <v>3</v>
      </c>
      <c r="G31" s="1186"/>
      <c r="H31" s="1186">
        <v>1</v>
      </c>
      <c r="I31" s="1186"/>
      <c r="J31" s="1186">
        <v>2</v>
      </c>
      <c r="K31" s="1186">
        <v>2</v>
      </c>
      <c r="L31" s="1186">
        <v>1</v>
      </c>
      <c r="M31" s="1186">
        <v>1</v>
      </c>
      <c r="N31" s="1186">
        <v>22800</v>
      </c>
    </row>
    <row r="32" spans="1:14" x14ac:dyDescent="0.2">
      <c r="A32" s="1186" t="s">
        <v>19</v>
      </c>
      <c r="B32" s="1186" t="s">
        <v>61</v>
      </c>
      <c r="C32" s="1186" t="s">
        <v>48</v>
      </c>
      <c r="D32" s="1186">
        <v>82</v>
      </c>
      <c r="E32" s="1186">
        <v>5</v>
      </c>
      <c r="F32" s="1186">
        <v>29</v>
      </c>
      <c r="G32" s="1186"/>
      <c r="H32" s="1186">
        <v>3</v>
      </c>
      <c r="I32" s="1186">
        <v>2</v>
      </c>
      <c r="J32" s="1186">
        <v>12</v>
      </c>
      <c r="K32" s="1186">
        <v>16</v>
      </c>
      <c r="L32" s="1186">
        <v>3</v>
      </c>
      <c r="M32" s="1186">
        <v>12</v>
      </c>
      <c r="N32" s="1186">
        <v>112490</v>
      </c>
    </row>
    <row r="33" spans="1:14" x14ac:dyDescent="0.2">
      <c r="A33" s="1186" t="s">
        <v>19</v>
      </c>
      <c r="B33" s="1186" t="s">
        <v>61</v>
      </c>
      <c r="C33" s="1186" t="s">
        <v>49</v>
      </c>
      <c r="D33" s="1186">
        <v>427</v>
      </c>
      <c r="E33" s="1186">
        <v>11</v>
      </c>
      <c r="F33" s="1186">
        <v>163</v>
      </c>
      <c r="G33" s="1186">
        <v>3</v>
      </c>
      <c r="H33" s="1186">
        <v>10</v>
      </c>
      <c r="I33" s="1186">
        <v>2</v>
      </c>
      <c r="J33" s="1186">
        <v>49</v>
      </c>
      <c r="K33" s="1186">
        <v>52</v>
      </c>
      <c r="L33" s="1186">
        <v>19</v>
      </c>
      <c r="M33" s="1186">
        <v>118</v>
      </c>
      <c r="N33" s="1186">
        <v>312180</v>
      </c>
    </row>
    <row r="34" spans="1:14" x14ac:dyDescent="0.2">
      <c r="A34" s="1186" t="s">
        <v>19</v>
      </c>
      <c r="B34" s="1186" t="s">
        <v>61</v>
      </c>
      <c r="C34" s="1186" t="s">
        <v>50</v>
      </c>
      <c r="D34" s="1186">
        <v>67</v>
      </c>
      <c r="E34" s="1186">
        <v>1</v>
      </c>
      <c r="F34" s="1186">
        <v>30</v>
      </c>
      <c r="G34" s="1186">
        <v>1</v>
      </c>
      <c r="H34" s="1186">
        <v>1</v>
      </c>
      <c r="I34" s="1186"/>
      <c r="J34" s="1186">
        <v>8</v>
      </c>
      <c r="K34" s="1186">
        <v>9</v>
      </c>
      <c r="L34" s="1186">
        <v>3</v>
      </c>
      <c r="M34" s="1186">
        <v>14</v>
      </c>
      <c r="N34" s="1186">
        <v>88690</v>
      </c>
    </row>
    <row r="35" spans="1:14" x14ac:dyDescent="0.2">
      <c r="A35" s="1186" t="s">
        <v>19</v>
      </c>
      <c r="B35" s="1186" t="s">
        <v>61</v>
      </c>
      <c r="C35" s="1186" t="s">
        <v>51</v>
      </c>
      <c r="D35" s="1186">
        <v>186</v>
      </c>
      <c r="E35" s="1186">
        <v>8</v>
      </c>
      <c r="F35" s="1186">
        <v>78</v>
      </c>
      <c r="G35" s="1186">
        <v>1</v>
      </c>
      <c r="H35" s="1186">
        <v>1</v>
      </c>
      <c r="I35" s="1186">
        <v>2</v>
      </c>
      <c r="J35" s="1186">
        <v>23</v>
      </c>
      <c r="K35" s="1186">
        <v>21</v>
      </c>
      <c r="L35" s="1186">
        <v>6</v>
      </c>
      <c r="M35" s="1186">
        <v>46</v>
      </c>
      <c r="N35" s="1186">
        <v>91080</v>
      </c>
    </row>
    <row r="36" spans="1:14" x14ac:dyDescent="0.2">
      <c r="A36" s="1186" t="s">
        <v>19</v>
      </c>
      <c r="B36" s="1186" t="s">
        <v>61</v>
      </c>
      <c r="C36" s="1186" t="s">
        <v>52</v>
      </c>
      <c r="D36" s="1186">
        <v>86</v>
      </c>
      <c r="E36" s="1186">
        <v>1</v>
      </c>
      <c r="F36" s="1186">
        <v>55</v>
      </c>
      <c r="G36" s="1186">
        <v>2</v>
      </c>
      <c r="H36" s="1186">
        <v>5</v>
      </c>
      <c r="I36" s="1186">
        <v>2</v>
      </c>
      <c r="J36" s="1186">
        <v>5</v>
      </c>
      <c r="K36" s="1186">
        <v>5</v>
      </c>
      <c r="L36" s="1186"/>
      <c r="M36" s="1186">
        <v>11</v>
      </c>
      <c r="N36" s="1186">
        <v>173040</v>
      </c>
    </row>
    <row r="37" spans="1:14" x14ac:dyDescent="0.2">
      <c r="A37" s="1186" t="s">
        <v>20</v>
      </c>
      <c r="B37" s="1186" t="s">
        <v>61</v>
      </c>
      <c r="C37" s="1186" t="s">
        <v>23</v>
      </c>
      <c r="D37" s="1186">
        <v>77</v>
      </c>
      <c r="E37" s="1186">
        <v>1</v>
      </c>
      <c r="F37" s="1186">
        <v>16</v>
      </c>
      <c r="G37" s="1186">
        <v>1</v>
      </c>
      <c r="H37" s="1186">
        <v>9</v>
      </c>
      <c r="I37" s="1186"/>
      <c r="J37" s="1186">
        <v>1</v>
      </c>
      <c r="K37" s="1186">
        <v>33</v>
      </c>
      <c r="L37" s="1186">
        <v>8</v>
      </c>
      <c r="M37" s="1186">
        <v>8</v>
      </c>
      <c r="N37" s="1186">
        <v>219730</v>
      </c>
    </row>
    <row r="38" spans="1:14" x14ac:dyDescent="0.2">
      <c r="A38" s="1186" t="s">
        <v>20</v>
      </c>
      <c r="B38" s="1186" t="s">
        <v>61</v>
      </c>
      <c r="C38" s="1186" t="s">
        <v>24</v>
      </c>
      <c r="D38" s="1186">
        <v>84</v>
      </c>
      <c r="E38" s="1186"/>
      <c r="F38" s="1186">
        <v>46</v>
      </c>
      <c r="G38" s="1186">
        <v>4</v>
      </c>
      <c r="H38" s="1186">
        <v>8</v>
      </c>
      <c r="I38" s="1186"/>
      <c r="J38" s="1186">
        <v>2</v>
      </c>
      <c r="K38" s="1186">
        <v>4</v>
      </c>
      <c r="L38" s="1186"/>
      <c r="M38" s="1186">
        <v>20</v>
      </c>
      <c r="N38" s="1186">
        <v>251430</v>
      </c>
    </row>
    <row r="39" spans="1:14" x14ac:dyDescent="0.2">
      <c r="A39" s="1186" t="s">
        <v>20</v>
      </c>
      <c r="B39" s="1186" t="s">
        <v>61</v>
      </c>
      <c r="C39" s="1186" t="s">
        <v>25</v>
      </c>
      <c r="D39" s="1186">
        <v>58</v>
      </c>
      <c r="E39" s="1186">
        <v>4</v>
      </c>
      <c r="F39" s="1186">
        <v>33</v>
      </c>
      <c r="G39" s="1186">
        <v>1</v>
      </c>
      <c r="H39" s="1186">
        <v>5</v>
      </c>
      <c r="I39" s="1186"/>
      <c r="J39" s="1186">
        <v>5</v>
      </c>
      <c r="K39" s="1186">
        <v>5</v>
      </c>
      <c r="L39" s="1186">
        <v>2</v>
      </c>
      <c r="M39" s="1186">
        <v>3</v>
      </c>
      <c r="N39" s="1186">
        <v>115410</v>
      </c>
    </row>
    <row r="40" spans="1:14" x14ac:dyDescent="0.2">
      <c r="A40" s="1186" t="s">
        <v>20</v>
      </c>
      <c r="B40" s="1186" t="s">
        <v>61</v>
      </c>
      <c r="C40" s="1186" t="s">
        <v>26</v>
      </c>
      <c r="D40" s="1186">
        <v>120</v>
      </c>
      <c r="E40" s="1186">
        <v>4</v>
      </c>
      <c r="F40" s="1186">
        <v>84</v>
      </c>
      <c r="G40" s="1186">
        <v>1</v>
      </c>
      <c r="H40" s="1186">
        <v>5</v>
      </c>
      <c r="I40" s="1186">
        <v>4</v>
      </c>
      <c r="J40" s="1186">
        <v>4</v>
      </c>
      <c r="K40" s="1186">
        <v>10</v>
      </c>
      <c r="L40" s="1186">
        <v>5</v>
      </c>
      <c r="M40" s="1186">
        <v>3</v>
      </c>
      <c r="N40" s="1186">
        <v>88620</v>
      </c>
    </row>
    <row r="41" spans="1:14" x14ac:dyDescent="0.2">
      <c r="A41" s="1186" t="s">
        <v>20</v>
      </c>
      <c r="B41" s="1186" t="s">
        <v>61</v>
      </c>
      <c r="C41" s="1186" t="s">
        <v>619</v>
      </c>
      <c r="D41" s="1186">
        <v>311</v>
      </c>
      <c r="E41" s="1186">
        <v>1</v>
      </c>
      <c r="F41" s="1186">
        <v>69</v>
      </c>
      <c r="G41" s="1186">
        <v>2</v>
      </c>
      <c r="H41" s="1186">
        <v>22</v>
      </c>
      <c r="I41" s="1186">
        <v>1</v>
      </c>
      <c r="J41" s="1186">
        <v>19</v>
      </c>
      <c r="K41" s="1186">
        <v>159</v>
      </c>
      <c r="L41" s="1186">
        <v>17</v>
      </c>
      <c r="M41" s="1186">
        <v>21</v>
      </c>
      <c r="N41" s="1186">
        <v>469930</v>
      </c>
    </row>
    <row r="42" spans="1:14" x14ac:dyDescent="0.2">
      <c r="A42" s="1186" t="s">
        <v>20</v>
      </c>
      <c r="B42" s="1186" t="s">
        <v>61</v>
      </c>
      <c r="C42" s="1186" t="s">
        <v>27</v>
      </c>
      <c r="D42" s="1186">
        <v>37</v>
      </c>
      <c r="E42" s="1186"/>
      <c r="F42" s="1186">
        <v>17</v>
      </c>
      <c r="G42" s="1186"/>
      <c r="H42" s="1186">
        <v>4</v>
      </c>
      <c r="I42" s="1186"/>
      <c r="J42" s="1186">
        <v>6</v>
      </c>
      <c r="K42" s="1186">
        <v>6</v>
      </c>
      <c r="L42" s="1186"/>
      <c r="M42" s="1186">
        <v>4</v>
      </c>
      <c r="N42" s="1186">
        <v>51330</v>
      </c>
    </row>
    <row r="43" spans="1:14" x14ac:dyDescent="0.2">
      <c r="A43" s="1186" t="s">
        <v>20</v>
      </c>
      <c r="B43" s="1186" t="s">
        <v>61</v>
      </c>
      <c r="C43" s="1186" t="s">
        <v>28</v>
      </c>
      <c r="D43" s="1186">
        <v>93</v>
      </c>
      <c r="E43" s="1186">
        <v>2</v>
      </c>
      <c r="F43" s="1186">
        <v>52</v>
      </c>
      <c r="G43" s="1186"/>
      <c r="H43" s="1186">
        <v>5</v>
      </c>
      <c r="I43" s="1186"/>
      <c r="J43" s="1186">
        <v>8</v>
      </c>
      <c r="K43" s="1186">
        <v>15</v>
      </c>
      <c r="L43" s="1186">
        <v>2</v>
      </c>
      <c r="M43" s="1186">
        <v>9</v>
      </c>
      <c r="N43" s="1186">
        <v>151100</v>
      </c>
    </row>
    <row r="44" spans="1:14" x14ac:dyDescent="0.2">
      <c r="A44" s="1186" t="s">
        <v>20</v>
      </c>
      <c r="B44" s="1186" t="s">
        <v>61</v>
      </c>
      <c r="C44" s="1186" t="s">
        <v>29</v>
      </c>
      <c r="D44" s="1186">
        <v>94</v>
      </c>
      <c r="E44" s="1186">
        <v>4</v>
      </c>
      <c r="F44" s="1186">
        <v>25</v>
      </c>
      <c r="G44" s="1186">
        <v>1</v>
      </c>
      <c r="H44" s="1186">
        <v>7</v>
      </c>
      <c r="I44" s="1186"/>
      <c r="J44" s="1186">
        <v>6</v>
      </c>
      <c r="K44" s="1186">
        <v>28</v>
      </c>
      <c r="L44" s="1186">
        <v>5</v>
      </c>
      <c r="M44" s="1186">
        <v>18</v>
      </c>
      <c r="N44" s="1186">
        <v>146060</v>
      </c>
    </row>
    <row r="45" spans="1:14" x14ac:dyDescent="0.2">
      <c r="A45" s="1186" t="s">
        <v>20</v>
      </c>
      <c r="B45" s="1186" t="s">
        <v>61</v>
      </c>
      <c r="C45" s="1186" t="s">
        <v>30</v>
      </c>
      <c r="D45" s="1186">
        <v>51</v>
      </c>
      <c r="E45" s="1186">
        <v>4</v>
      </c>
      <c r="F45" s="1186">
        <v>24</v>
      </c>
      <c r="G45" s="1186"/>
      <c r="H45" s="1186">
        <v>2</v>
      </c>
      <c r="I45" s="1186">
        <v>2</v>
      </c>
      <c r="J45" s="1186">
        <v>8</v>
      </c>
      <c r="K45" s="1186">
        <v>4</v>
      </c>
      <c r="L45" s="1186">
        <v>1</v>
      </c>
      <c r="M45" s="1186">
        <v>6</v>
      </c>
      <c r="N45" s="1186">
        <v>122410</v>
      </c>
    </row>
    <row r="46" spans="1:14" x14ac:dyDescent="0.2">
      <c r="A46" s="1186" t="s">
        <v>20</v>
      </c>
      <c r="B46" s="1186" t="s">
        <v>61</v>
      </c>
      <c r="C46" s="1186" t="s">
        <v>31</v>
      </c>
      <c r="D46" s="1186">
        <v>31</v>
      </c>
      <c r="E46" s="1186">
        <v>1</v>
      </c>
      <c r="F46" s="1186">
        <v>14</v>
      </c>
      <c r="G46" s="1186"/>
      <c r="H46" s="1186">
        <v>5</v>
      </c>
      <c r="I46" s="1186">
        <v>2</v>
      </c>
      <c r="J46" s="1186">
        <v>4</v>
      </c>
      <c r="K46" s="1186">
        <v>2</v>
      </c>
      <c r="L46" s="1186"/>
      <c r="M46" s="1186">
        <v>3</v>
      </c>
      <c r="N46" s="1186">
        <v>104920</v>
      </c>
    </row>
    <row r="47" spans="1:14" x14ac:dyDescent="0.2">
      <c r="A47" s="1186" t="s">
        <v>20</v>
      </c>
      <c r="B47" s="1186" t="s">
        <v>61</v>
      </c>
      <c r="C47" s="1186" t="s">
        <v>32</v>
      </c>
      <c r="D47" s="1186">
        <v>34</v>
      </c>
      <c r="E47" s="1186"/>
      <c r="F47" s="1186">
        <v>22</v>
      </c>
      <c r="G47" s="1186"/>
      <c r="H47" s="1186">
        <v>1</v>
      </c>
      <c r="I47" s="1186">
        <v>1</v>
      </c>
      <c r="J47" s="1186">
        <v>2</v>
      </c>
      <c r="K47" s="1186">
        <v>8</v>
      </c>
      <c r="L47" s="1186"/>
      <c r="M47" s="1186"/>
      <c r="N47" s="1186">
        <v>99140</v>
      </c>
    </row>
    <row r="48" spans="1:14" x14ac:dyDescent="0.2">
      <c r="A48" s="1186" t="s">
        <v>20</v>
      </c>
      <c r="B48" s="1186" t="s">
        <v>61</v>
      </c>
      <c r="C48" s="1186" t="s">
        <v>33</v>
      </c>
      <c r="D48" s="1186">
        <v>9</v>
      </c>
      <c r="E48" s="1186">
        <v>1</v>
      </c>
      <c r="F48" s="1186">
        <v>5</v>
      </c>
      <c r="G48" s="1186"/>
      <c r="H48" s="1186"/>
      <c r="I48" s="1186"/>
      <c r="J48" s="1186"/>
      <c r="K48" s="1186">
        <v>1</v>
      </c>
      <c r="L48" s="1186">
        <v>2</v>
      </c>
      <c r="M48" s="1186"/>
      <c r="N48" s="1186">
        <v>90410</v>
      </c>
    </row>
    <row r="49" spans="1:14" x14ac:dyDescent="0.2">
      <c r="A49" s="1186" t="s">
        <v>20</v>
      </c>
      <c r="B49" s="1186" t="s">
        <v>61</v>
      </c>
      <c r="C49" s="1186" t="s">
        <v>34</v>
      </c>
      <c r="D49" s="1186">
        <v>111</v>
      </c>
      <c r="E49" s="1186">
        <v>3</v>
      </c>
      <c r="F49" s="1186">
        <v>53</v>
      </c>
      <c r="G49" s="1186"/>
      <c r="H49" s="1186">
        <v>2</v>
      </c>
      <c r="I49" s="1186"/>
      <c r="J49" s="1186">
        <v>14</v>
      </c>
      <c r="K49" s="1186">
        <v>25</v>
      </c>
      <c r="L49" s="1186">
        <v>3</v>
      </c>
      <c r="M49" s="1186">
        <v>11</v>
      </c>
      <c r="N49" s="1186">
        <v>155130</v>
      </c>
    </row>
    <row r="50" spans="1:14" x14ac:dyDescent="0.2">
      <c r="A50" s="1186" t="s">
        <v>20</v>
      </c>
      <c r="B50" s="1186" t="s">
        <v>61</v>
      </c>
      <c r="C50" s="1186" t="s">
        <v>35</v>
      </c>
      <c r="D50" s="1186">
        <v>226</v>
      </c>
      <c r="E50" s="1186">
        <v>4</v>
      </c>
      <c r="F50" s="1186">
        <v>103</v>
      </c>
      <c r="G50" s="1186">
        <v>5</v>
      </c>
      <c r="H50" s="1186">
        <v>6</v>
      </c>
      <c r="I50" s="1186">
        <v>2</v>
      </c>
      <c r="J50" s="1186">
        <v>15</v>
      </c>
      <c r="K50" s="1186">
        <v>43</v>
      </c>
      <c r="L50" s="1186">
        <v>9</v>
      </c>
      <c r="M50" s="1186">
        <v>39</v>
      </c>
      <c r="N50" s="1186">
        <v>362610</v>
      </c>
    </row>
    <row r="51" spans="1:14" x14ac:dyDescent="0.2">
      <c r="A51" s="1186" t="s">
        <v>20</v>
      </c>
      <c r="B51" s="1186" t="s">
        <v>61</v>
      </c>
      <c r="C51" s="1186" t="s">
        <v>36</v>
      </c>
      <c r="D51" s="1186">
        <v>187</v>
      </c>
      <c r="E51" s="1186">
        <v>5</v>
      </c>
      <c r="F51" s="1186">
        <v>29</v>
      </c>
      <c r="G51" s="1186"/>
      <c r="H51" s="1186">
        <v>15</v>
      </c>
      <c r="I51" s="1186">
        <v>3</v>
      </c>
      <c r="J51" s="1186">
        <v>16</v>
      </c>
      <c r="K51" s="1186">
        <v>70</v>
      </c>
      <c r="L51" s="1186">
        <v>12</v>
      </c>
      <c r="M51" s="1186">
        <v>37</v>
      </c>
      <c r="N51" s="1186">
        <v>586500</v>
      </c>
    </row>
    <row r="52" spans="1:14" x14ac:dyDescent="0.2">
      <c r="A52" s="1186" t="s">
        <v>20</v>
      </c>
      <c r="B52" s="1186" t="s">
        <v>61</v>
      </c>
      <c r="C52" s="1186" t="s">
        <v>37</v>
      </c>
      <c r="D52" s="1186">
        <v>342</v>
      </c>
      <c r="E52" s="1186">
        <v>1</v>
      </c>
      <c r="F52" s="1186">
        <v>256</v>
      </c>
      <c r="G52" s="1186"/>
      <c r="H52" s="1186">
        <v>8</v>
      </c>
      <c r="I52" s="1186">
        <v>1</v>
      </c>
      <c r="J52" s="1186">
        <v>23</v>
      </c>
      <c r="K52" s="1186">
        <v>29</v>
      </c>
      <c r="L52" s="1186">
        <v>5</v>
      </c>
      <c r="M52" s="1186">
        <v>19</v>
      </c>
      <c r="N52" s="1186">
        <v>230730</v>
      </c>
    </row>
    <row r="53" spans="1:14" x14ac:dyDescent="0.2">
      <c r="A53" s="1186" t="s">
        <v>20</v>
      </c>
      <c r="B53" s="1186" t="s">
        <v>61</v>
      </c>
      <c r="C53" s="1186" t="s">
        <v>38</v>
      </c>
      <c r="D53" s="1186">
        <v>14</v>
      </c>
      <c r="E53" s="1186">
        <v>1</v>
      </c>
      <c r="F53" s="1186">
        <v>3</v>
      </c>
      <c r="G53" s="1186"/>
      <c r="H53" s="1186">
        <v>3</v>
      </c>
      <c r="I53" s="1186">
        <v>1</v>
      </c>
      <c r="J53" s="1186">
        <v>2</v>
      </c>
      <c r="K53" s="1186">
        <v>3</v>
      </c>
      <c r="L53" s="1186"/>
      <c r="M53" s="1186">
        <v>1</v>
      </c>
      <c r="N53" s="1186">
        <v>81510</v>
      </c>
    </row>
    <row r="54" spans="1:14" x14ac:dyDescent="0.2">
      <c r="A54" s="1186" t="s">
        <v>20</v>
      </c>
      <c r="B54" s="1186" t="s">
        <v>61</v>
      </c>
      <c r="C54" s="1186" t="s">
        <v>39</v>
      </c>
      <c r="D54" s="1186">
        <v>29</v>
      </c>
      <c r="E54" s="1186"/>
      <c r="F54" s="1186">
        <v>11</v>
      </c>
      <c r="G54" s="1186">
        <v>1</v>
      </c>
      <c r="H54" s="1186">
        <v>1</v>
      </c>
      <c r="I54" s="1186">
        <v>2</v>
      </c>
      <c r="J54" s="1186">
        <v>5</v>
      </c>
      <c r="K54" s="1186">
        <v>4</v>
      </c>
      <c r="L54" s="1186">
        <v>2</v>
      </c>
      <c r="M54" s="1186">
        <v>3</v>
      </c>
      <c r="N54" s="1186">
        <v>82360</v>
      </c>
    </row>
    <row r="55" spans="1:14" x14ac:dyDescent="0.2">
      <c r="A55" s="1186" t="s">
        <v>20</v>
      </c>
      <c r="B55" s="1186" t="s">
        <v>61</v>
      </c>
      <c r="C55" s="1186" t="s">
        <v>40</v>
      </c>
      <c r="D55" s="1186">
        <v>42</v>
      </c>
      <c r="E55" s="1186"/>
      <c r="F55" s="1186">
        <v>19</v>
      </c>
      <c r="G55" s="1186">
        <v>1</v>
      </c>
      <c r="H55" s="1186">
        <v>3</v>
      </c>
      <c r="I55" s="1186">
        <v>1</v>
      </c>
      <c r="J55" s="1186">
        <v>3</v>
      </c>
      <c r="K55" s="1186">
        <v>7</v>
      </c>
      <c r="L55" s="1186"/>
      <c r="M55" s="1186">
        <v>8</v>
      </c>
      <c r="N55" s="1186">
        <v>93690</v>
      </c>
    </row>
    <row r="56" spans="1:14" x14ac:dyDescent="0.2">
      <c r="A56" s="1186" t="s">
        <v>20</v>
      </c>
      <c r="B56" s="1186" t="s">
        <v>61</v>
      </c>
      <c r="C56" s="1186" t="s">
        <v>295</v>
      </c>
      <c r="D56" s="1186">
        <v>33</v>
      </c>
      <c r="E56" s="1186"/>
      <c r="F56" s="1186">
        <v>28</v>
      </c>
      <c r="G56" s="1186"/>
      <c r="H56" s="1186">
        <v>2</v>
      </c>
      <c r="I56" s="1186"/>
      <c r="J56" s="1186"/>
      <c r="K56" s="1186"/>
      <c r="L56" s="1186"/>
      <c r="M56" s="1186">
        <v>3</v>
      </c>
      <c r="N56" s="1186">
        <v>27600</v>
      </c>
    </row>
    <row r="57" spans="1:14" x14ac:dyDescent="0.2">
      <c r="A57" s="1186" t="s">
        <v>20</v>
      </c>
      <c r="B57" s="1186" t="s">
        <v>61</v>
      </c>
      <c r="C57" s="1186" t="s">
        <v>41</v>
      </c>
      <c r="D57" s="1186">
        <v>57</v>
      </c>
      <c r="E57" s="1186">
        <v>2</v>
      </c>
      <c r="F57" s="1186">
        <v>29</v>
      </c>
      <c r="G57" s="1186">
        <v>1</v>
      </c>
      <c r="H57" s="1186">
        <v>4</v>
      </c>
      <c r="I57" s="1186">
        <v>1</v>
      </c>
      <c r="J57" s="1186">
        <v>4</v>
      </c>
      <c r="K57" s="1186">
        <v>6</v>
      </c>
      <c r="L57" s="1186">
        <v>2</v>
      </c>
      <c r="M57" s="1186">
        <v>8</v>
      </c>
      <c r="N57" s="1186">
        <v>137800</v>
      </c>
    </row>
    <row r="58" spans="1:14" x14ac:dyDescent="0.2">
      <c r="A58" s="1186" t="s">
        <v>20</v>
      </c>
      <c r="B58" s="1186" t="s">
        <v>61</v>
      </c>
      <c r="C58" s="1186" t="s">
        <v>42</v>
      </c>
      <c r="D58" s="1186">
        <v>58</v>
      </c>
      <c r="E58" s="1186"/>
      <c r="F58" s="1186">
        <v>27</v>
      </c>
      <c r="G58" s="1186"/>
      <c r="H58" s="1186">
        <v>9</v>
      </c>
      <c r="I58" s="1186">
        <v>3</v>
      </c>
      <c r="J58" s="1186">
        <v>6</v>
      </c>
      <c r="K58" s="1186">
        <v>1</v>
      </c>
      <c r="L58" s="1186">
        <v>4</v>
      </c>
      <c r="M58" s="1186">
        <v>8</v>
      </c>
      <c r="N58" s="1186">
        <v>336280</v>
      </c>
    </row>
    <row r="59" spans="1:14" x14ac:dyDescent="0.2">
      <c r="A59" s="1186" t="s">
        <v>20</v>
      </c>
      <c r="B59" s="1186" t="s">
        <v>61</v>
      </c>
      <c r="C59" s="1186" t="s">
        <v>43</v>
      </c>
      <c r="D59" s="1186">
        <v>4</v>
      </c>
      <c r="E59" s="1186">
        <v>1</v>
      </c>
      <c r="F59" s="1186">
        <v>1</v>
      </c>
      <c r="G59" s="1186"/>
      <c r="H59" s="1186"/>
      <c r="I59" s="1186"/>
      <c r="J59" s="1186"/>
      <c r="K59" s="1186">
        <v>1</v>
      </c>
      <c r="L59" s="1186"/>
      <c r="M59" s="1186">
        <v>1</v>
      </c>
      <c r="N59" s="1186">
        <v>21220</v>
      </c>
    </row>
    <row r="60" spans="1:14" x14ac:dyDescent="0.2">
      <c r="A60" s="1186" t="s">
        <v>20</v>
      </c>
      <c r="B60" s="1186" t="s">
        <v>61</v>
      </c>
      <c r="C60" s="1186" t="s">
        <v>44</v>
      </c>
      <c r="D60" s="1186">
        <v>112</v>
      </c>
      <c r="E60" s="1186">
        <v>3</v>
      </c>
      <c r="F60" s="1186">
        <v>61</v>
      </c>
      <c r="G60" s="1186">
        <v>1</v>
      </c>
      <c r="H60" s="1186">
        <v>2</v>
      </c>
      <c r="I60" s="1186">
        <v>3</v>
      </c>
      <c r="J60" s="1186">
        <v>4</v>
      </c>
      <c r="K60" s="1186">
        <v>24</v>
      </c>
      <c r="L60" s="1186">
        <v>6</v>
      </c>
      <c r="M60" s="1186">
        <v>8</v>
      </c>
      <c r="N60" s="1186">
        <v>145600</v>
      </c>
    </row>
    <row r="61" spans="1:14" x14ac:dyDescent="0.2">
      <c r="A61" s="1186" t="s">
        <v>20</v>
      </c>
      <c r="B61" s="1186" t="s">
        <v>61</v>
      </c>
      <c r="C61" s="1186" t="s">
        <v>45</v>
      </c>
      <c r="D61" s="1186">
        <v>29</v>
      </c>
      <c r="E61" s="1186"/>
      <c r="F61" s="1186">
        <v>6</v>
      </c>
      <c r="G61" s="1186">
        <v>1</v>
      </c>
      <c r="H61" s="1186">
        <v>9</v>
      </c>
      <c r="I61" s="1186">
        <v>1</v>
      </c>
      <c r="J61" s="1186">
        <v>4</v>
      </c>
      <c r="K61" s="1186">
        <v>6</v>
      </c>
      <c r="L61" s="1186">
        <v>1</v>
      </c>
      <c r="M61" s="1186">
        <v>1</v>
      </c>
      <c r="N61" s="1186">
        <v>173700</v>
      </c>
    </row>
    <row r="62" spans="1:14" x14ac:dyDescent="0.2">
      <c r="A62" s="1186" t="s">
        <v>20</v>
      </c>
      <c r="B62" s="1186" t="s">
        <v>61</v>
      </c>
      <c r="C62" s="1186" t="s">
        <v>46</v>
      </c>
      <c r="D62" s="1186">
        <v>49</v>
      </c>
      <c r="E62" s="1186">
        <v>1</v>
      </c>
      <c r="F62" s="1186">
        <v>29</v>
      </c>
      <c r="G62" s="1186">
        <v>2</v>
      </c>
      <c r="H62" s="1186">
        <v>4</v>
      </c>
      <c r="I62" s="1186"/>
      <c r="J62" s="1186">
        <v>7</v>
      </c>
      <c r="K62" s="1186">
        <v>2</v>
      </c>
      <c r="L62" s="1186"/>
      <c r="M62" s="1186">
        <v>4</v>
      </c>
      <c r="N62" s="1186">
        <v>113700</v>
      </c>
    </row>
    <row r="63" spans="1:14" x14ac:dyDescent="0.2">
      <c r="A63" s="1186" t="s">
        <v>20</v>
      </c>
      <c r="B63" s="1186" t="s">
        <v>61</v>
      </c>
      <c r="C63" s="1186" t="s">
        <v>47</v>
      </c>
      <c r="D63" s="1186">
        <v>17</v>
      </c>
      <c r="E63" s="1186"/>
      <c r="F63" s="1186">
        <v>11</v>
      </c>
      <c r="G63" s="1186"/>
      <c r="H63" s="1186"/>
      <c r="I63" s="1186"/>
      <c r="J63" s="1186">
        <v>2</v>
      </c>
      <c r="K63" s="1186">
        <v>1</v>
      </c>
      <c r="L63" s="1186">
        <v>1</v>
      </c>
      <c r="M63" s="1186">
        <v>2</v>
      </c>
      <c r="N63" s="1186">
        <v>23060</v>
      </c>
    </row>
    <row r="64" spans="1:14" x14ac:dyDescent="0.2">
      <c r="A64" s="1186" t="s">
        <v>20</v>
      </c>
      <c r="B64" s="1186" t="s">
        <v>61</v>
      </c>
      <c r="C64" s="1186" t="s">
        <v>48</v>
      </c>
      <c r="D64" s="1186">
        <v>49</v>
      </c>
      <c r="E64" s="1186">
        <v>2</v>
      </c>
      <c r="F64" s="1186">
        <v>15</v>
      </c>
      <c r="G64" s="1186"/>
      <c r="H64" s="1186">
        <v>5</v>
      </c>
      <c r="I64" s="1186">
        <v>3</v>
      </c>
      <c r="J64" s="1186">
        <v>7</v>
      </c>
      <c r="K64" s="1186">
        <v>7</v>
      </c>
      <c r="L64" s="1186"/>
      <c r="M64" s="1186">
        <v>10</v>
      </c>
      <c r="N64" s="1186">
        <v>112600</v>
      </c>
    </row>
    <row r="65" spans="1:14" x14ac:dyDescent="0.2">
      <c r="A65" s="1186" t="s">
        <v>20</v>
      </c>
      <c r="B65" s="1186" t="s">
        <v>61</v>
      </c>
      <c r="C65" s="1186" t="s">
        <v>49</v>
      </c>
      <c r="D65" s="1186">
        <v>83</v>
      </c>
      <c r="E65" s="1186">
        <v>1</v>
      </c>
      <c r="F65" s="1186">
        <v>38</v>
      </c>
      <c r="G65" s="1186">
        <v>3</v>
      </c>
      <c r="H65" s="1186">
        <v>13</v>
      </c>
      <c r="I65" s="1186">
        <v>6</v>
      </c>
      <c r="J65" s="1186">
        <v>5</v>
      </c>
      <c r="K65" s="1186">
        <v>6</v>
      </c>
      <c r="L65" s="1186"/>
      <c r="M65" s="1186">
        <v>11</v>
      </c>
      <c r="N65" s="1186">
        <v>313180</v>
      </c>
    </row>
    <row r="66" spans="1:14" x14ac:dyDescent="0.2">
      <c r="A66" s="1186" t="s">
        <v>20</v>
      </c>
      <c r="B66" s="1186" t="s">
        <v>61</v>
      </c>
      <c r="C66" s="1186" t="s">
        <v>50</v>
      </c>
      <c r="D66" s="1186">
        <v>59</v>
      </c>
      <c r="E66" s="1186">
        <v>1</v>
      </c>
      <c r="F66" s="1186">
        <v>31</v>
      </c>
      <c r="G66" s="1186">
        <v>1</v>
      </c>
      <c r="H66" s="1186">
        <v>1</v>
      </c>
      <c r="I66" s="1186"/>
      <c r="J66" s="1186">
        <v>8</v>
      </c>
      <c r="K66" s="1186">
        <v>6</v>
      </c>
      <c r="L66" s="1186">
        <v>1</v>
      </c>
      <c r="M66" s="1186">
        <v>10</v>
      </c>
      <c r="N66" s="1186">
        <v>89550</v>
      </c>
    </row>
    <row r="67" spans="1:14" x14ac:dyDescent="0.2">
      <c r="A67" s="1186" t="s">
        <v>20</v>
      </c>
      <c r="B67" s="1186" t="s">
        <v>61</v>
      </c>
      <c r="C67" s="1186" t="s">
        <v>51</v>
      </c>
      <c r="D67" s="1186">
        <v>20</v>
      </c>
      <c r="E67" s="1186">
        <v>3</v>
      </c>
      <c r="F67" s="1186">
        <v>10</v>
      </c>
      <c r="G67" s="1186"/>
      <c r="H67" s="1186"/>
      <c r="I67" s="1186">
        <v>1</v>
      </c>
      <c r="J67" s="1186"/>
      <c r="K67" s="1186">
        <v>4</v>
      </c>
      <c r="L67" s="1186"/>
      <c r="M67" s="1186">
        <v>2</v>
      </c>
      <c r="N67" s="1186">
        <v>90800</v>
      </c>
    </row>
    <row r="68" spans="1:14" x14ac:dyDescent="0.2">
      <c r="A68" s="1186" t="s">
        <v>20</v>
      </c>
      <c r="B68" s="1186" t="s">
        <v>61</v>
      </c>
      <c r="C68" s="1186" t="s">
        <v>52</v>
      </c>
      <c r="D68" s="1186">
        <v>95</v>
      </c>
      <c r="E68" s="1186">
        <v>3</v>
      </c>
      <c r="F68" s="1186">
        <v>63</v>
      </c>
      <c r="G68" s="1186"/>
      <c r="H68" s="1186">
        <v>6</v>
      </c>
      <c r="I68" s="1186">
        <v>2</v>
      </c>
      <c r="J68" s="1186">
        <v>4</v>
      </c>
      <c r="K68" s="1186">
        <v>3</v>
      </c>
      <c r="L68" s="1186">
        <v>3</v>
      </c>
      <c r="M68" s="1186">
        <v>11</v>
      </c>
      <c r="N68" s="1186">
        <v>174090</v>
      </c>
    </row>
    <row r="69" spans="1:14" x14ac:dyDescent="0.2">
      <c r="A69" s="1186" t="s">
        <v>13</v>
      </c>
      <c r="B69" s="1186" t="s">
        <v>61</v>
      </c>
      <c r="C69" s="1186" t="s">
        <v>23</v>
      </c>
      <c r="D69" s="1186">
        <v>91</v>
      </c>
      <c r="E69" s="1186"/>
      <c r="F69" s="1186">
        <v>29</v>
      </c>
      <c r="G69" s="1186">
        <v>1</v>
      </c>
      <c r="H69" s="1186">
        <v>6</v>
      </c>
      <c r="I69" s="1186"/>
      <c r="J69" s="1186">
        <v>1</v>
      </c>
      <c r="K69" s="1186">
        <v>37</v>
      </c>
      <c r="L69" s="1186">
        <v>5</v>
      </c>
      <c r="M69" s="1186">
        <v>12</v>
      </c>
      <c r="N69" s="1186">
        <v>222460</v>
      </c>
    </row>
    <row r="70" spans="1:14" x14ac:dyDescent="0.2">
      <c r="A70" s="1186" t="s">
        <v>13</v>
      </c>
      <c r="B70" s="1186" t="s">
        <v>61</v>
      </c>
      <c r="C70" s="1186" t="s">
        <v>24</v>
      </c>
      <c r="D70" s="1186">
        <v>130</v>
      </c>
      <c r="E70" s="1186">
        <v>1</v>
      </c>
      <c r="F70" s="1186">
        <v>74</v>
      </c>
      <c r="G70" s="1186">
        <v>6</v>
      </c>
      <c r="H70" s="1186">
        <v>5</v>
      </c>
      <c r="I70" s="1186"/>
      <c r="J70" s="1186">
        <v>5</v>
      </c>
      <c r="K70" s="1186">
        <v>9</v>
      </c>
      <c r="L70" s="1186">
        <v>9</v>
      </c>
      <c r="M70" s="1186">
        <v>21</v>
      </c>
      <c r="N70" s="1186">
        <v>253650</v>
      </c>
    </row>
    <row r="71" spans="1:14" x14ac:dyDescent="0.2">
      <c r="A71" s="1186" t="s">
        <v>13</v>
      </c>
      <c r="B71" s="1186" t="s">
        <v>61</v>
      </c>
      <c r="C71" s="1186" t="s">
        <v>25</v>
      </c>
      <c r="D71" s="1186">
        <v>75</v>
      </c>
      <c r="E71" s="1186">
        <v>2</v>
      </c>
      <c r="F71" s="1186">
        <v>33</v>
      </c>
      <c r="G71" s="1186">
        <v>1</v>
      </c>
      <c r="H71" s="1186">
        <v>5</v>
      </c>
      <c r="I71" s="1186">
        <v>1</v>
      </c>
      <c r="J71" s="1186">
        <v>3</v>
      </c>
      <c r="K71" s="1186">
        <v>16</v>
      </c>
      <c r="L71" s="1186">
        <v>2</v>
      </c>
      <c r="M71" s="1186">
        <v>12</v>
      </c>
      <c r="N71" s="1186">
        <v>116200</v>
      </c>
    </row>
    <row r="72" spans="1:14" x14ac:dyDescent="0.2">
      <c r="A72" s="1186" t="s">
        <v>13</v>
      </c>
      <c r="B72" s="1186" t="s">
        <v>61</v>
      </c>
      <c r="C72" s="1186" t="s">
        <v>26</v>
      </c>
      <c r="D72" s="1186">
        <v>72</v>
      </c>
      <c r="E72" s="1186">
        <v>4</v>
      </c>
      <c r="F72" s="1186">
        <v>44</v>
      </c>
      <c r="G72" s="1186"/>
      <c r="H72" s="1186">
        <v>7</v>
      </c>
      <c r="I72" s="1186"/>
      <c r="J72" s="1186">
        <v>6</v>
      </c>
      <c r="K72" s="1186">
        <v>6</v>
      </c>
      <c r="L72" s="1186">
        <v>2</v>
      </c>
      <c r="M72" s="1186">
        <v>3</v>
      </c>
      <c r="N72" s="1186">
        <v>88930</v>
      </c>
    </row>
    <row r="73" spans="1:14" x14ac:dyDescent="0.2">
      <c r="A73" s="1186" t="s">
        <v>13</v>
      </c>
      <c r="B73" s="1186" t="s">
        <v>61</v>
      </c>
      <c r="C73" s="1186" t="s">
        <v>619</v>
      </c>
      <c r="D73" s="1186">
        <v>340</v>
      </c>
      <c r="E73" s="1186">
        <v>4</v>
      </c>
      <c r="F73" s="1186">
        <v>67</v>
      </c>
      <c r="G73" s="1186">
        <v>2</v>
      </c>
      <c r="H73" s="1186">
        <v>8</v>
      </c>
      <c r="I73" s="1186"/>
      <c r="J73" s="1186">
        <v>29</v>
      </c>
      <c r="K73" s="1186">
        <v>199</v>
      </c>
      <c r="L73" s="1186">
        <v>12</v>
      </c>
      <c r="M73" s="1186">
        <v>19</v>
      </c>
      <c r="N73" s="1186">
        <v>477940</v>
      </c>
    </row>
    <row r="74" spans="1:14" x14ac:dyDescent="0.2">
      <c r="A74" s="1186" t="s">
        <v>13</v>
      </c>
      <c r="B74" s="1186" t="s">
        <v>61</v>
      </c>
      <c r="C74" s="1186" t="s">
        <v>27</v>
      </c>
      <c r="D74" s="1186">
        <v>16</v>
      </c>
      <c r="E74" s="1186">
        <v>1</v>
      </c>
      <c r="F74" s="1186">
        <v>9</v>
      </c>
      <c r="G74" s="1186"/>
      <c r="H74" s="1186">
        <v>1</v>
      </c>
      <c r="I74" s="1186"/>
      <c r="J74" s="1186">
        <v>1</v>
      </c>
      <c r="K74" s="1186">
        <v>2</v>
      </c>
      <c r="L74" s="1186"/>
      <c r="M74" s="1186">
        <v>2</v>
      </c>
      <c r="N74" s="1186">
        <v>51500</v>
      </c>
    </row>
    <row r="75" spans="1:14" x14ac:dyDescent="0.2">
      <c r="A75" s="1186" t="s">
        <v>13</v>
      </c>
      <c r="B75" s="1186" t="s">
        <v>61</v>
      </c>
      <c r="C75" s="1186" t="s">
        <v>28</v>
      </c>
      <c r="D75" s="1186">
        <v>90</v>
      </c>
      <c r="E75" s="1186">
        <v>1</v>
      </c>
      <c r="F75" s="1186">
        <v>37</v>
      </c>
      <c r="G75" s="1186"/>
      <c r="H75" s="1186">
        <v>13</v>
      </c>
      <c r="I75" s="1186"/>
      <c r="J75" s="1186">
        <v>3</v>
      </c>
      <c r="K75" s="1186">
        <v>14</v>
      </c>
      <c r="L75" s="1186">
        <v>3</v>
      </c>
      <c r="M75" s="1186">
        <v>19</v>
      </c>
      <c r="N75" s="1186">
        <v>151410</v>
      </c>
    </row>
    <row r="76" spans="1:14" x14ac:dyDescent="0.2">
      <c r="A76" s="1186" t="s">
        <v>13</v>
      </c>
      <c r="B76" s="1186" t="s">
        <v>61</v>
      </c>
      <c r="C76" s="1186" t="s">
        <v>29</v>
      </c>
      <c r="D76" s="1186">
        <v>101</v>
      </c>
      <c r="E76" s="1186">
        <v>4</v>
      </c>
      <c r="F76" s="1186">
        <v>23</v>
      </c>
      <c r="G76" s="1186">
        <v>2</v>
      </c>
      <c r="H76" s="1186">
        <v>5</v>
      </c>
      <c r="I76" s="1186"/>
      <c r="J76" s="1186">
        <v>13</v>
      </c>
      <c r="K76" s="1186">
        <v>28</v>
      </c>
      <c r="L76" s="1186">
        <v>4</v>
      </c>
      <c r="M76" s="1186">
        <v>22</v>
      </c>
      <c r="N76" s="1186">
        <v>147200</v>
      </c>
    </row>
    <row r="77" spans="1:14" x14ac:dyDescent="0.2">
      <c r="A77" s="1186" t="s">
        <v>13</v>
      </c>
      <c r="B77" s="1186" t="s">
        <v>61</v>
      </c>
      <c r="C77" s="1186" t="s">
        <v>30</v>
      </c>
      <c r="D77" s="1186">
        <v>41</v>
      </c>
      <c r="E77" s="1186">
        <v>3</v>
      </c>
      <c r="F77" s="1186">
        <v>11</v>
      </c>
      <c r="G77" s="1186">
        <v>1</v>
      </c>
      <c r="H77" s="1186">
        <v>6</v>
      </c>
      <c r="I77" s="1186">
        <v>6</v>
      </c>
      <c r="J77" s="1186">
        <v>3</v>
      </c>
      <c r="K77" s="1186">
        <v>1</v>
      </c>
      <c r="L77" s="1186"/>
      <c r="M77" s="1186">
        <v>10</v>
      </c>
      <c r="N77" s="1186">
        <v>122690</v>
      </c>
    </row>
    <row r="78" spans="1:14" x14ac:dyDescent="0.2">
      <c r="A78" s="1186" t="s">
        <v>13</v>
      </c>
      <c r="B78" s="1186" t="s">
        <v>61</v>
      </c>
      <c r="C78" s="1186" t="s">
        <v>31</v>
      </c>
      <c r="D78" s="1186">
        <v>21</v>
      </c>
      <c r="E78" s="1186">
        <v>1</v>
      </c>
      <c r="F78" s="1186">
        <v>7</v>
      </c>
      <c r="G78" s="1186">
        <v>1</v>
      </c>
      <c r="H78" s="1186">
        <v>1</v>
      </c>
      <c r="I78" s="1186">
        <v>2</v>
      </c>
      <c r="J78" s="1186">
        <v>3</v>
      </c>
      <c r="K78" s="1186">
        <v>2</v>
      </c>
      <c r="L78" s="1186">
        <v>1</v>
      </c>
      <c r="M78" s="1186">
        <v>3</v>
      </c>
      <c r="N78" s="1186">
        <v>105000</v>
      </c>
    </row>
    <row r="79" spans="1:14" x14ac:dyDescent="0.2">
      <c r="A79" s="1186" t="s">
        <v>13</v>
      </c>
      <c r="B79" s="1186" t="s">
        <v>61</v>
      </c>
      <c r="C79" s="1186" t="s">
        <v>32</v>
      </c>
      <c r="D79" s="1186">
        <v>47</v>
      </c>
      <c r="E79" s="1186">
        <v>1</v>
      </c>
      <c r="F79" s="1186">
        <v>22</v>
      </c>
      <c r="G79" s="1186">
        <v>3</v>
      </c>
      <c r="H79" s="1186">
        <v>3</v>
      </c>
      <c r="I79" s="1186"/>
      <c r="J79" s="1186">
        <v>7</v>
      </c>
      <c r="K79" s="1186">
        <v>8</v>
      </c>
      <c r="L79" s="1186">
        <v>1</v>
      </c>
      <c r="M79" s="1186">
        <v>2</v>
      </c>
      <c r="N79" s="1186">
        <v>99920</v>
      </c>
    </row>
    <row r="80" spans="1:14" x14ac:dyDescent="0.2">
      <c r="A80" s="1186" t="s">
        <v>13</v>
      </c>
      <c r="B80" s="1186" t="s">
        <v>61</v>
      </c>
      <c r="C80" s="1186" t="s">
        <v>33</v>
      </c>
      <c r="D80" s="1186">
        <v>7</v>
      </c>
      <c r="E80" s="1186"/>
      <c r="F80" s="1186">
        <v>3</v>
      </c>
      <c r="G80" s="1186"/>
      <c r="H80" s="1186">
        <v>2</v>
      </c>
      <c r="I80" s="1186"/>
      <c r="J80" s="1186"/>
      <c r="K80" s="1186"/>
      <c r="L80" s="1186"/>
      <c r="M80" s="1186">
        <v>2</v>
      </c>
      <c r="N80" s="1186">
        <v>90810</v>
      </c>
    </row>
    <row r="81" spans="1:14" x14ac:dyDescent="0.2">
      <c r="A81" s="1186" t="s">
        <v>13</v>
      </c>
      <c r="B81" s="1186" t="s">
        <v>61</v>
      </c>
      <c r="C81" s="1186" t="s">
        <v>34</v>
      </c>
      <c r="D81" s="1186">
        <v>93</v>
      </c>
      <c r="E81" s="1186">
        <v>3</v>
      </c>
      <c r="F81" s="1186">
        <v>31</v>
      </c>
      <c r="G81" s="1186">
        <v>1</v>
      </c>
      <c r="H81" s="1186">
        <v>3</v>
      </c>
      <c r="I81" s="1186">
        <v>1</v>
      </c>
      <c r="J81" s="1186">
        <v>15</v>
      </c>
      <c r="K81" s="1186">
        <v>24</v>
      </c>
      <c r="L81" s="1186">
        <v>2</v>
      </c>
      <c r="M81" s="1186">
        <v>13</v>
      </c>
      <c r="N81" s="1186">
        <v>156250</v>
      </c>
    </row>
    <row r="82" spans="1:14" x14ac:dyDescent="0.2">
      <c r="A82" s="1186" t="s">
        <v>13</v>
      </c>
      <c r="B82" s="1186" t="s">
        <v>61</v>
      </c>
      <c r="C82" s="1186" t="s">
        <v>35</v>
      </c>
      <c r="D82" s="1186">
        <v>158</v>
      </c>
      <c r="E82" s="1186">
        <v>4</v>
      </c>
      <c r="F82" s="1186">
        <v>61</v>
      </c>
      <c r="G82" s="1186">
        <v>2</v>
      </c>
      <c r="H82" s="1186">
        <v>14</v>
      </c>
      <c r="I82" s="1186">
        <v>2</v>
      </c>
      <c r="J82" s="1186">
        <v>6</v>
      </c>
      <c r="K82" s="1186">
        <v>35</v>
      </c>
      <c r="L82" s="1186">
        <v>5</v>
      </c>
      <c r="M82" s="1186">
        <v>29</v>
      </c>
      <c r="N82" s="1186">
        <v>365300</v>
      </c>
    </row>
    <row r="83" spans="1:14" x14ac:dyDescent="0.2">
      <c r="A83" s="1186" t="s">
        <v>13</v>
      </c>
      <c r="B83" s="1186" t="s">
        <v>61</v>
      </c>
      <c r="C83" s="1186" t="s">
        <v>36</v>
      </c>
      <c r="D83" s="1186">
        <v>164</v>
      </c>
      <c r="E83" s="1186">
        <v>3</v>
      </c>
      <c r="F83" s="1186">
        <v>23</v>
      </c>
      <c r="G83" s="1186"/>
      <c r="H83" s="1186">
        <v>14</v>
      </c>
      <c r="I83" s="1186">
        <v>2</v>
      </c>
      <c r="J83" s="1186">
        <v>13</v>
      </c>
      <c r="K83" s="1186">
        <v>68</v>
      </c>
      <c r="L83" s="1186">
        <v>8</v>
      </c>
      <c r="M83" s="1186">
        <v>33</v>
      </c>
      <c r="N83" s="1186">
        <v>593060</v>
      </c>
    </row>
    <row r="84" spans="1:14" x14ac:dyDescent="0.2">
      <c r="A84" s="1186" t="s">
        <v>13</v>
      </c>
      <c r="B84" s="1186" t="s">
        <v>61</v>
      </c>
      <c r="C84" s="1186" t="s">
        <v>37</v>
      </c>
      <c r="D84" s="1186">
        <v>376</v>
      </c>
      <c r="E84" s="1186">
        <v>4</v>
      </c>
      <c r="F84" s="1186">
        <v>283</v>
      </c>
      <c r="G84" s="1186">
        <v>3</v>
      </c>
      <c r="H84" s="1186">
        <v>8</v>
      </c>
      <c r="I84" s="1186">
        <v>2</v>
      </c>
      <c r="J84" s="1186">
        <v>18</v>
      </c>
      <c r="K84" s="1186">
        <v>34</v>
      </c>
      <c r="L84" s="1186">
        <v>7</v>
      </c>
      <c r="M84" s="1186">
        <v>17</v>
      </c>
      <c r="N84" s="1186">
        <v>232730</v>
      </c>
    </row>
    <row r="85" spans="1:14" x14ac:dyDescent="0.2">
      <c r="A85" s="1186" t="s">
        <v>13</v>
      </c>
      <c r="B85" s="1186" t="s">
        <v>61</v>
      </c>
      <c r="C85" s="1186" t="s">
        <v>38</v>
      </c>
      <c r="D85" s="1186">
        <v>10</v>
      </c>
      <c r="E85" s="1186"/>
      <c r="F85" s="1186">
        <v>2</v>
      </c>
      <c r="G85" s="1186"/>
      <c r="H85" s="1186">
        <v>1</v>
      </c>
      <c r="I85" s="1186">
        <v>1</v>
      </c>
      <c r="J85" s="1186">
        <v>2</v>
      </c>
      <c r="K85" s="1186">
        <v>2</v>
      </c>
      <c r="L85" s="1186">
        <v>1</v>
      </c>
      <c r="M85" s="1186">
        <v>1</v>
      </c>
      <c r="N85" s="1186">
        <v>81220</v>
      </c>
    </row>
    <row r="86" spans="1:14" x14ac:dyDescent="0.2">
      <c r="A86" s="1186" t="s">
        <v>13</v>
      </c>
      <c r="B86" s="1186" t="s">
        <v>61</v>
      </c>
      <c r="C86" s="1186" t="s">
        <v>39</v>
      </c>
      <c r="D86" s="1186">
        <v>31</v>
      </c>
      <c r="E86" s="1186"/>
      <c r="F86" s="1186">
        <v>15</v>
      </c>
      <c r="G86" s="1186">
        <v>1</v>
      </c>
      <c r="H86" s="1186">
        <v>3</v>
      </c>
      <c r="I86" s="1186"/>
      <c r="J86" s="1186"/>
      <c r="K86" s="1186">
        <v>3</v>
      </c>
      <c r="L86" s="1186">
        <v>2</v>
      </c>
      <c r="M86" s="1186">
        <v>7</v>
      </c>
      <c r="N86" s="1186">
        <v>83450</v>
      </c>
    </row>
    <row r="87" spans="1:14" x14ac:dyDescent="0.2">
      <c r="A87" s="1186" t="s">
        <v>13</v>
      </c>
      <c r="B87" s="1186" t="s">
        <v>61</v>
      </c>
      <c r="C87" s="1186" t="s">
        <v>40</v>
      </c>
      <c r="D87" s="1186">
        <v>61</v>
      </c>
      <c r="E87" s="1186">
        <v>3</v>
      </c>
      <c r="F87" s="1186">
        <v>40</v>
      </c>
      <c r="G87" s="1186">
        <v>2</v>
      </c>
      <c r="H87" s="1186">
        <v>2</v>
      </c>
      <c r="I87" s="1186"/>
      <c r="J87" s="1186">
        <v>2</v>
      </c>
      <c r="K87" s="1186">
        <v>3</v>
      </c>
      <c r="L87" s="1186">
        <v>2</v>
      </c>
      <c r="M87" s="1186">
        <v>7</v>
      </c>
      <c r="N87" s="1186">
        <v>93470</v>
      </c>
    </row>
    <row r="88" spans="1:14" x14ac:dyDescent="0.2">
      <c r="A88" s="1186" t="s">
        <v>13</v>
      </c>
      <c r="B88" s="1186" t="s">
        <v>61</v>
      </c>
      <c r="C88" s="1186" t="s">
        <v>295</v>
      </c>
      <c r="D88" s="1186">
        <v>68</v>
      </c>
      <c r="E88" s="1186"/>
      <c r="F88" s="1186">
        <v>61</v>
      </c>
      <c r="G88" s="1186">
        <v>1</v>
      </c>
      <c r="H88" s="1186">
        <v>1</v>
      </c>
      <c r="I88" s="1186"/>
      <c r="J88" s="1186"/>
      <c r="K88" s="1186">
        <v>3</v>
      </c>
      <c r="L88" s="1186">
        <v>1</v>
      </c>
      <c r="M88" s="1186">
        <v>1</v>
      </c>
      <c r="N88" s="1186">
        <v>27690</v>
      </c>
    </row>
    <row r="89" spans="1:14" x14ac:dyDescent="0.2">
      <c r="A89" s="1186" t="s">
        <v>13</v>
      </c>
      <c r="B89" s="1186" t="s">
        <v>61</v>
      </c>
      <c r="C89" s="1186" t="s">
        <v>41</v>
      </c>
      <c r="D89" s="1186">
        <v>32</v>
      </c>
      <c r="E89" s="1186"/>
      <c r="F89" s="1186">
        <v>13</v>
      </c>
      <c r="G89" s="1186">
        <v>1</v>
      </c>
      <c r="H89" s="1186">
        <v>5</v>
      </c>
      <c r="I89" s="1186"/>
      <c r="J89" s="1186">
        <v>6</v>
      </c>
      <c r="K89" s="1186">
        <v>3</v>
      </c>
      <c r="L89" s="1186"/>
      <c r="M89" s="1186">
        <v>4</v>
      </c>
      <c r="N89" s="1186">
        <v>138090</v>
      </c>
    </row>
    <row r="90" spans="1:14" x14ac:dyDescent="0.2">
      <c r="A90" s="1186" t="s">
        <v>13</v>
      </c>
      <c r="B90" s="1186" t="s">
        <v>61</v>
      </c>
      <c r="C90" s="1186" t="s">
        <v>42</v>
      </c>
      <c r="D90" s="1186">
        <v>59</v>
      </c>
      <c r="E90" s="1186">
        <v>2</v>
      </c>
      <c r="F90" s="1186">
        <v>17</v>
      </c>
      <c r="G90" s="1186"/>
      <c r="H90" s="1186">
        <v>8</v>
      </c>
      <c r="I90" s="1186">
        <v>1</v>
      </c>
      <c r="J90" s="1186">
        <v>9</v>
      </c>
      <c r="K90" s="1186">
        <v>9</v>
      </c>
      <c r="L90" s="1186">
        <v>4</v>
      </c>
      <c r="M90" s="1186">
        <v>9</v>
      </c>
      <c r="N90" s="1186">
        <v>337720</v>
      </c>
    </row>
    <row r="91" spans="1:14" x14ac:dyDescent="0.2">
      <c r="A91" s="1186" t="s">
        <v>13</v>
      </c>
      <c r="B91" s="1186" t="s">
        <v>61</v>
      </c>
      <c r="C91" s="1186" t="s">
        <v>43</v>
      </c>
      <c r="D91" s="1186">
        <v>6</v>
      </c>
      <c r="E91" s="1186"/>
      <c r="F91" s="1186">
        <v>3</v>
      </c>
      <c r="G91" s="1186">
        <v>1</v>
      </c>
      <c r="H91" s="1186"/>
      <c r="I91" s="1186"/>
      <c r="J91" s="1186"/>
      <c r="K91" s="1186"/>
      <c r="L91" s="1186"/>
      <c r="M91" s="1186">
        <v>2</v>
      </c>
      <c r="N91" s="1186">
        <v>21420</v>
      </c>
    </row>
    <row r="92" spans="1:14" x14ac:dyDescent="0.2">
      <c r="A92" s="1186" t="s">
        <v>13</v>
      </c>
      <c r="B92" s="1186" t="s">
        <v>61</v>
      </c>
      <c r="C92" s="1186" t="s">
        <v>44</v>
      </c>
      <c r="D92" s="1186">
        <v>103</v>
      </c>
      <c r="E92" s="1186">
        <v>4</v>
      </c>
      <c r="F92" s="1186">
        <v>37</v>
      </c>
      <c r="G92" s="1186">
        <v>2</v>
      </c>
      <c r="H92" s="1186">
        <v>6</v>
      </c>
      <c r="I92" s="1186">
        <v>1</v>
      </c>
      <c r="J92" s="1186">
        <v>6</v>
      </c>
      <c r="K92" s="1186">
        <v>30</v>
      </c>
      <c r="L92" s="1186">
        <v>2</v>
      </c>
      <c r="M92" s="1186">
        <v>15</v>
      </c>
      <c r="N92" s="1186">
        <v>146850</v>
      </c>
    </row>
    <row r="93" spans="1:14" x14ac:dyDescent="0.2">
      <c r="A93" s="1186" t="s">
        <v>13</v>
      </c>
      <c r="B93" s="1186" t="s">
        <v>61</v>
      </c>
      <c r="C93" s="1186" t="s">
        <v>45</v>
      </c>
      <c r="D93" s="1186">
        <v>38</v>
      </c>
      <c r="E93" s="1186">
        <v>1</v>
      </c>
      <c r="F93" s="1186">
        <v>13</v>
      </c>
      <c r="G93" s="1186"/>
      <c r="H93" s="1186">
        <v>8</v>
      </c>
      <c r="I93" s="1186"/>
      <c r="J93" s="1186">
        <v>3</v>
      </c>
      <c r="K93" s="1186">
        <v>6</v>
      </c>
      <c r="L93" s="1186">
        <v>2</v>
      </c>
      <c r="M93" s="1186">
        <v>5</v>
      </c>
      <c r="N93" s="1186">
        <v>174700</v>
      </c>
    </row>
    <row r="94" spans="1:14" x14ac:dyDescent="0.2">
      <c r="A94" s="1186" t="s">
        <v>13</v>
      </c>
      <c r="B94" s="1186" t="s">
        <v>61</v>
      </c>
      <c r="C94" s="1186" t="s">
        <v>46</v>
      </c>
      <c r="D94" s="1186">
        <v>37</v>
      </c>
      <c r="E94" s="1186">
        <v>3</v>
      </c>
      <c r="F94" s="1186">
        <v>17</v>
      </c>
      <c r="G94" s="1186">
        <v>1</v>
      </c>
      <c r="H94" s="1186"/>
      <c r="I94" s="1186"/>
      <c r="J94" s="1186">
        <v>7</v>
      </c>
      <c r="K94" s="1186">
        <v>4</v>
      </c>
      <c r="L94" s="1186"/>
      <c r="M94" s="1186">
        <v>5</v>
      </c>
      <c r="N94" s="1186">
        <v>113880</v>
      </c>
    </row>
    <row r="95" spans="1:14" x14ac:dyDescent="0.2">
      <c r="A95" s="1186" t="s">
        <v>13</v>
      </c>
      <c r="B95" s="1186" t="s">
        <v>61</v>
      </c>
      <c r="C95" s="1186" t="s">
        <v>47</v>
      </c>
      <c r="D95" s="1186">
        <v>9</v>
      </c>
      <c r="E95" s="1186"/>
      <c r="F95" s="1186">
        <v>2</v>
      </c>
      <c r="G95" s="1186"/>
      <c r="H95" s="1186">
        <v>3</v>
      </c>
      <c r="I95" s="1186"/>
      <c r="J95" s="1186"/>
      <c r="K95" s="1186">
        <v>2</v>
      </c>
      <c r="L95" s="1186"/>
      <c r="M95" s="1186">
        <v>2</v>
      </c>
      <c r="N95" s="1186">
        <v>23240</v>
      </c>
    </row>
    <row r="96" spans="1:14" x14ac:dyDescent="0.2">
      <c r="A96" s="1186" t="s">
        <v>13</v>
      </c>
      <c r="B96" s="1186" t="s">
        <v>61</v>
      </c>
      <c r="C96" s="1186" t="s">
        <v>48</v>
      </c>
      <c r="D96" s="1186">
        <v>31</v>
      </c>
      <c r="E96" s="1186">
        <v>1</v>
      </c>
      <c r="F96" s="1186">
        <v>9</v>
      </c>
      <c r="G96" s="1186"/>
      <c r="H96" s="1186">
        <v>6</v>
      </c>
      <c r="I96" s="1186">
        <v>1</v>
      </c>
      <c r="J96" s="1186">
        <v>5</v>
      </c>
      <c r="K96" s="1186">
        <v>7</v>
      </c>
      <c r="L96" s="1186"/>
      <c r="M96" s="1186">
        <v>2</v>
      </c>
      <c r="N96" s="1186">
        <v>112980</v>
      </c>
    </row>
    <row r="97" spans="1:14" x14ac:dyDescent="0.2">
      <c r="A97" s="1186" t="s">
        <v>13</v>
      </c>
      <c r="B97" s="1186" t="s">
        <v>61</v>
      </c>
      <c r="C97" s="1186" t="s">
        <v>49</v>
      </c>
      <c r="D97" s="1186">
        <v>61</v>
      </c>
      <c r="E97" s="1186">
        <v>3</v>
      </c>
      <c r="F97" s="1186">
        <v>24</v>
      </c>
      <c r="G97" s="1186">
        <v>1</v>
      </c>
      <c r="H97" s="1186">
        <v>6</v>
      </c>
      <c r="I97" s="1186">
        <v>3</v>
      </c>
      <c r="J97" s="1186">
        <v>8</v>
      </c>
      <c r="K97" s="1186">
        <v>9</v>
      </c>
      <c r="L97" s="1186">
        <v>1</v>
      </c>
      <c r="M97" s="1186">
        <v>6</v>
      </c>
      <c r="N97" s="1186">
        <v>313900</v>
      </c>
    </row>
    <row r="98" spans="1:14" x14ac:dyDescent="0.2">
      <c r="A98" s="1186" t="s">
        <v>13</v>
      </c>
      <c r="B98" s="1186" t="s">
        <v>61</v>
      </c>
      <c r="C98" s="1186" t="s">
        <v>50</v>
      </c>
      <c r="D98" s="1186">
        <v>40</v>
      </c>
      <c r="E98" s="1186"/>
      <c r="F98" s="1186">
        <v>20</v>
      </c>
      <c r="G98" s="1186">
        <v>1</v>
      </c>
      <c r="H98" s="1186">
        <v>2</v>
      </c>
      <c r="I98" s="1186"/>
      <c r="J98" s="1186">
        <v>3</v>
      </c>
      <c r="K98" s="1186">
        <v>8</v>
      </c>
      <c r="L98" s="1186">
        <v>1</v>
      </c>
      <c r="M98" s="1186">
        <v>5</v>
      </c>
      <c r="N98" s="1186">
        <v>90330</v>
      </c>
    </row>
    <row r="99" spans="1:14" x14ac:dyDescent="0.2">
      <c r="A99" s="1186" t="s">
        <v>13</v>
      </c>
      <c r="B99" s="1186" t="s">
        <v>61</v>
      </c>
      <c r="C99" s="1186" t="s">
        <v>51</v>
      </c>
      <c r="D99" s="1186">
        <v>13</v>
      </c>
      <c r="E99" s="1186">
        <v>2</v>
      </c>
      <c r="F99" s="1186">
        <v>2</v>
      </c>
      <c r="G99" s="1186"/>
      <c r="H99" s="1186">
        <v>4</v>
      </c>
      <c r="I99" s="1186"/>
      <c r="J99" s="1186"/>
      <c r="K99" s="1186">
        <v>2</v>
      </c>
      <c r="L99" s="1186"/>
      <c r="M99" s="1186">
        <v>3</v>
      </c>
      <c r="N99" s="1186">
        <v>90610</v>
      </c>
    </row>
    <row r="100" spans="1:14" x14ac:dyDescent="0.2">
      <c r="A100" s="1186" t="s">
        <v>13</v>
      </c>
      <c r="B100" s="1186" t="s">
        <v>61</v>
      </c>
      <c r="C100" s="1186" t="s">
        <v>52</v>
      </c>
      <c r="D100" s="1186">
        <v>64</v>
      </c>
      <c r="E100" s="1186"/>
      <c r="F100" s="1186">
        <v>39</v>
      </c>
      <c r="G100" s="1186"/>
      <c r="H100" s="1186">
        <v>5</v>
      </c>
      <c r="I100" s="1186">
        <v>1</v>
      </c>
      <c r="J100" s="1186">
        <v>7</v>
      </c>
      <c r="K100" s="1186">
        <v>5</v>
      </c>
      <c r="L100" s="1186">
        <v>3</v>
      </c>
      <c r="M100" s="1186">
        <v>4</v>
      </c>
      <c r="N100" s="1186">
        <v>175300</v>
      </c>
    </row>
    <row r="101" spans="1:14" x14ac:dyDescent="0.2">
      <c r="A101" s="1186" t="s">
        <v>15</v>
      </c>
      <c r="B101" s="1186" t="s">
        <v>61</v>
      </c>
      <c r="C101" s="1186" t="s">
        <v>23</v>
      </c>
      <c r="D101" s="1186">
        <v>100</v>
      </c>
      <c r="E101" s="1186">
        <v>3</v>
      </c>
      <c r="F101" s="1186">
        <v>14</v>
      </c>
      <c r="G101" s="1186">
        <v>1</v>
      </c>
      <c r="H101" s="1186">
        <v>4</v>
      </c>
      <c r="I101" s="1186"/>
      <c r="J101" s="1186">
        <v>1</v>
      </c>
      <c r="K101" s="1186">
        <v>44</v>
      </c>
      <c r="L101" s="1186">
        <v>5</v>
      </c>
      <c r="M101" s="1186">
        <v>28</v>
      </c>
      <c r="N101" s="1186">
        <v>224910</v>
      </c>
    </row>
    <row r="102" spans="1:14" x14ac:dyDescent="0.2">
      <c r="A102" s="1186" t="s">
        <v>15</v>
      </c>
      <c r="B102" s="1186" t="s">
        <v>61</v>
      </c>
      <c r="C102" s="1186" t="s">
        <v>24</v>
      </c>
      <c r="D102" s="1186">
        <v>85</v>
      </c>
      <c r="E102" s="1186">
        <v>1</v>
      </c>
      <c r="F102" s="1186">
        <v>27</v>
      </c>
      <c r="G102" s="1186">
        <v>6</v>
      </c>
      <c r="H102" s="1186">
        <v>5</v>
      </c>
      <c r="I102" s="1186"/>
      <c r="J102" s="1186">
        <v>2</v>
      </c>
      <c r="K102" s="1186">
        <v>7</v>
      </c>
      <c r="L102" s="1186">
        <v>3</v>
      </c>
      <c r="M102" s="1186">
        <v>34</v>
      </c>
      <c r="N102" s="1186">
        <v>255560</v>
      </c>
    </row>
    <row r="103" spans="1:14" x14ac:dyDescent="0.2">
      <c r="A103" s="1186" t="s">
        <v>15</v>
      </c>
      <c r="B103" s="1186" t="s">
        <v>61</v>
      </c>
      <c r="C103" s="1186" t="s">
        <v>25</v>
      </c>
      <c r="D103" s="1186">
        <v>51</v>
      </c>
      <c r="E103" s="1186">
        <v>2</v>
      </c>
      <c r="F103" s="1186">
        <v>17</v>
      </c>
      <c r="G103" s="1186"/>
      <c r="H103" s="1186">
        <v>4</v>
      </c>
      <c r="I103" s="1186"/>
      <c r="J103" s="1186">
        <v>3</v>
      </c>
      <c r="K103" s="1186">
        <v>14</v>
      </c>
      <c r="L103" s="1186">
        <v>1</v>
      </c>
      <c r="M103" s="1186">
        <v>10</v>
      </c>
      <c r="N103" s="1186">
        <v>116220</v>
      </c>
    </row>
    <row r="104" spans="1:14" x14ac:dyDescent="0.2">
      <c r="A104" s="1186" t="s">
        <v>15</v>
      </c>
      <c r="B104" s="1186" t="s">
        <v>61</v>
      </c>
      <c r="C104" s="1186" t="s">
        <v>26</v>
      </c>
      <c r="D104" s="1186">
        <v>63</v>
      </c>
      <c r="E104" s="1186">
        <v>3</v>
      </c>
      <c r="F104" s="1186">
        <v>38</v>
      </c>
      <c r="G104" s="1186">
        <v>1</v>
      </c>
      <c r="H104" s="1186">
        <v>2</v>
      </c>
      <c r="I104" s="1186"/>
      <c r="J104" s="1186">
        <v>6</v>
      </c>
      <c r="K104" s="1186">
        <v>9</v>
      </c>
      <c r="L104" s="1186"/>
      <c r="M104" s="1186">
        <v>4</v>
      </c>
      <c r="N104" s="1186">
        <v>86910</v>
      </c>
    </row>
    <row r="105" spans="1:14" x14ac:dyDescent="0.2">
      <c r="A105" s="1186" t="s">
        <v>15</v>
      </c>
      <c r="B105" s="1186" t="s">
        <v>61</v>
      </c>
      <c r="C105" s="1186" t="s">
        <v>619</v>
      </c>
      <c r="D105" s="1186">
        <v>271</v>
      </c>
      <c r="E105" s="1186">
        <v>1</v>
      </c>
      <c r="F105" s="1186">
        <v>36</v>
      </c>
      <c r="G105" s="1186"/>
      <c r="H105" s="1186">
        <v>8</v>
      </c>
      <c r="I105" s="1186">
        <v>1</v>
      </c>
      <c r="J105" s="1186">
        <v>34</v>
      </c>
      <c r="K105" s="1186">
        <v>164</v>
      </c>
      <c r="L105" s="1186">
        <v>13</v>
      </c>
      <c r="M105" s="1186">
        <v>14</v>
      </c>
      <c r="N105" s="1186">
        <v>482630</v>
      </c>
    </row>
    <row r="106" spans="1:14" x14ac:dyDescent="0.2">
      <c r="A106" s="1186" t="s">
        <v>15</v>
      </c>
      <c r="B106" s="1186" t="s">
        <v>61</v>
      </c>
      <c r="C106" s="1186" t="s">
        <v>27</v>
      </c>
      <c r="D106" s="1186">
        <v>10</v>
      </c>
      <c r="E106" s="1186"/>
      <c r="F106" s="1186">
        <v>2</v>
      </c>
      <c r="G106" s="1186"/>
      <c r="H106" s="1186">
        <v>2</v>
      </c>
      <c r="I106" s="1186"/>
      <c r="J106" s="1186">
        <v>1</v>
      </c>
      <c r="K106" s="1186">
        <v>3</v>
      </c>
      <c r="L106" s="1186">
        <v>2</v>
      </c>
      <c r="M106" s="1186"/>
      <c r="N106" s="1186">
        <v>51280</v>
      </c>
    </row>
    <row r="107" spans="1:14" x14ac:dyDescent="0.2">
      <c r="A107" s="1186" t="s">
        <v>15</v>
      </c>
      <c r="B107" s="1186" t="s">
        <v>61</v>
      </c>
      <c r="C107" s="1186" t="s">
        <v>28</v>
      </c>
      <c r="D107" s="1186">
        <v>48</v>
      </c>
      <c r="E107" s="1186">
        <v>1</v>
      </c>
      <c r="F107" s="1186">
        <v>7</v>
      </c>
      <c r="G107" s="1186"/>
      <c r="H107" s="1186">
        <v>12</v>
      </c>
      <c r="I107" s="1186"/>
      <c r="J107" s="1186">
        <v>1</v>
      </c>
      <c r="K107" s="1186">
        <v>5</v>
      </c>
      <c r="L107" s="1186">
        <v>1</v>
      </c>
      <c r="M107" s="1186">
        <v>21</v>
      </c>
      <c r="N107" s="1186">
        <v>150840</v>
      </c>
    </row>
    <row r="108" spans="1:14" x14ac:dyDescent="0.2">
      <c r="A108" s="1186" t="s">
        <v>15</v>
      </c>
      <c r="B108" s="1186" t="s">
        <v>61</v>
      </c>
      <c r="C108" s="1186" t="s">
        <v>29</v>
      </c>
      <c r="D108" s="1186">
        <v>48</v>
      </c>
      <c r="E108" s="1186">
        <v>1</v>
      </c>
      <c r="F108" s="1186">
        <v>8</v>
      </c>
      <c r="G108" s="1186"/>
      <c r="H108" s="1186">
        <v>4</v>
      </c>
      <c r="I108" s="1186"/>
      <c r="J108" s="1186">
        <v>3</v>
      </c>
      <c r="K108" s="1186">
        <v>19</v>
      </c>
      <c r="L108" s="1186">
        <v>5</v>
      </c>
      <c r="M108" s="1186">
        <v>8</v>
      </c>
      <c r="N108" s="1186">
        <v>147780</v>
      </c>
    </row>
    <row r="109" spans="1:14" x14ac:dyDescent="0.2">
      <c r="A109" s="1186" t="s">
        <v>15</v>
      </c>
      <c r="B109" s="1186" t="s">
        <v>61</v>
      </c>
      <c r="C109" s="1186" t="s">
        <v>30</v>
      </c>
      <c r="D109" s="1186">
        <v>33</v>
      </c>
      <c r="E109" s="1186"/>
      <c r="F109" s="1186">
        <v>15</v>
      </c>
      <c r="G109" s="1186"/>
      <c r="H109" s="1186">
        <v>5</v>
      </c>
      <c r="I109" s="1186">
        <v>1</v>
      </c>
      <c r="J109" s="1186">
        <v>4</v>
      </c>
      <c r="K109" s="1186">
        <v>3</v>
      </c>
      <c r="L109" s="1186"/>
      <c r="M109" s="1186">
        <v>5</v>
      </c>
      <c r="N109" s="1186">
        <v>122730</v>
      </c>
    </row>
    <row r="110" spans="1:14" x14ac:dyDescent="0.2">
      <c r="A110" s="1186" t="s">
        <v>15</v>
      </c>
      <c r="B110" s="1186" t="s">
        <v>61</v>
      </c>
      <c r="C110" s="1186" t="s">
        <v>31</v>
      </c>
      <c r="D110" s="1186">
        <v>15</v>
      </c>
      <c r="E110" s="1186"/>
      <c r="F110" s="1186">
        <v>5</v>
      </c>
      <c r="G110" s="1186"/>
      <c r="H110" s="1186">
        <v>2</v>
      </c>
      <c r="I110" s="1186">
        <v>1</v>
      </c>
      <c r="J110" s="1186"/>
      <c r="K110" s="1186">
        <v>4</v>
      </c>
      <c r="L110" s="1186">
        <v>1</v>
      </c>
      <c r="M110" s="1186">
        <v>2</v>
      </c>
      <c r="N110" s="1186">
        <v>105880</v>
      </c>
    </row>
    <row r="111" spans="1:14" x14ac:dyDescent="0.2">
      <c r="A111" s="1186" t="s">
        <v>15</v>
      </c>
      <c r="B111" s="1186" t="s">
        <v>61</v>
      </c>
      <c r="C111" s="1186" t="s">
        <v>32</v>
      </c>
      <c r="D111" s="1186">
        <v>22</v>
      </c>
      <c r="E111" s="1186">
        <v>1</v>
      </c>
      <c r="F111" s="1186">
        <v>7</v>
      </c>
      <c r="G111" s="1186"/>
      <c r="H111" s="1186">
        <v>2</v>
      </c>
      <c r="I111" s="1186">
        <v>1</v>
      </c>
      <c r="J111" s="1186">
        <v>1</v>
      </c>
      <c r="K111" s="1186">
        <v>5</v>
      </c>
      <c r="L111" s="1186">
        <v>3</v>
      </c>
      <c r="M111" s="1186">
        <v>2</v>
      </c>
      <c r="N111" s="1186">
        <v>100860</v>
      </c>
    </row>
    <row r="112" spans="1:14" x14ac:dyDescent="0.2">
      <c r="A112" s="1186" t="s">
        <v>15</v>
      </c>
      <c r="B112" s="1186" t="s">
        <v>61</v>
      </c>
      <c r="C112" s="1186" t="s">
        <v>33</v>
      </c>
      <c r="D112" s="1186">
        <v>12</v>
      </c>
      <c r="E112" s="1186"/>
      <c r="F112" s="1186">
        <v>7</v>
      </c>
      <c r="G112" s="1186"/>
      <c r="H112" s="1186">
        <v>1</v>
      </c>
      <c r="I112" s="1186">
        <v>1</v>
      </c>
      <c r="J112" s="1186">
        <v>1</v>
      </c>
      <c r="K112" s="1186">
        <v>2</v>
      </c>
      <c r="L112" s="1186"/>
      <c r="M112" s="1186"/>
      <c r="N112" s="1186">
        <v>91040</v>
      </c>
    </row>
    <row r="113" spans="1:14" x14ac:dyDescent="0.2">
      <c r="A113" s="1186" t="s">
        <v>15</v>
      </c>
      <c r="B113" s="1186" t="s">
        <v>61</v>
      </c>
      <c r="C113" s="1186" t="s">
        <v>34</v>
      </c>
      <c r="D113" s="1186">
        <v>51</v>
      </c>
      <c r="E113" s="1186">
        <v>3</v>
      </c>
      <c r="F113" s="1186">
        <v>19</v>
      </c>
      <c r="G113" s="1186"/>
      <c r="H113" s="1186">
        <v>3</v>
      </c>
      <c r="I113" s="1186"/>
      <c r="J113" s="1186">
        <v>3</v>
      </c>
      <c r="K113" s="1186">
        <v>17</v>
      </c>
      <c r="L113" s="1186"/>
      <c r="M113" s="1186">
        <v>6</v>
      </c>
      <c r="N113" s="1186">
        <v>156800</v>
      </c>
    </row>
    <row r="114" spans="1:14" x14ac:dyDescent="0.2">
      <c r="A114" s="1186" t="s">
        <v>15</v>
      </c>
      <c r="B114" s="1186" t="s">
        <v>61</v>
      </c>
      <c r="C114" s="1186" t="s">
        <v>35</v>
      </c>
      <c r="D114" s="1186">
        <v>130</v>
      </c>
      <c r="E114" s="1186">
        <v>1</v>
      </c>
      <c r="F114" s="1186">
        <v>40</v>
      </c>
      <c r="G114" s="1186">
        <v>1</v>
      </c>
      <c r="H114" s="1186">
        <v>11</v>
      </c>
      <c r="I114" s="1186">
        <v>1</v>
      </c>
      <c r="J114" s="1186"/>
      <c r="K114" s="1186">
        <v>38</v>
      </c>
      <c r="L114" s="1186">
        <v>7</v>
      </c>
      <c r="M114" s="1186">
        <v>31</v>
      </c>
      <c r="N114" s="1186">
        <v>366210</v>
      </c>
    </row>
    <row r="115" spans="1:14" x14ac:dyDescent="0.2">
      <c r="A115" s="1186" t="s">
        <v>15</v>
      </c>
      <c r="B115" s="1186" t="s">
        <v>61</v>
      </c>
      <c r="C115" s="1186" t="s">
        <v>36</v>
      </c>
      <c r="D115" s="1186">
        <v>187</v>
      </c>
      <c r="E115" s="1186">
        <v>2</v>
      </c>
      <c r="F115" s="1186">
        <v>34</v>
      </c>
      <c r="G115" s="1186"/>
      <c r="H115" s="1186">
        <v>21</v>
      </c>
      <c r="I115" s="1186"/>
      <c r="J115" s="1186">
        <v>6</v>
      </c>
      <c r="K115" s="1186">
        <v>95</v>
      </c>
      <c r="L115" s="1186">
        <v>6</v>
      </c>
      <c r="M115" s="1186">
        <v>23</v>
      </c>
      <c r="N115" s="1186">
        <v>595070</v>
      </c>
    </row>
    <row r="116" spans="1:14" x14ac:dyDescent="0.2">
      <c r="A116" s="1186" t="s">
        <v>15</v>
      </c>
      <c r="B116" s="1186" t="s">
        <v>61</v>
      </c>
      <c r="C116" s="1186" t="s">
        <v>37</v>
      </c>
      <c r="D116" s="1186">
        <v>344</v>
      </c>
      <c r="E116" s="1186">
        <v>5</v>
      </c>
      <c r="F116" s="1186">
        <v>269</v>
      </c>
      <c r="G116" s="1186">
        <v>1</v>
      </c>
      <c r="H116" s="1186">
        <v>7</v>
      </c>
      <c r="I116" s="1186">
        <v>1</v>
      </c>
      <c r="J116" s="1186">
        <v>23</v>
      </c>
      <c r="K116" s="1186">
        <v>21</v>
      </c>
      <c r="L116" s="1186">
        <v>4</v>
      </c>
      <c r="M116" s="1186">
        <v>13</v>
      </c>
      <c r="N116" s="1186">
        <v>232890</v>
      </c>
    </row>
    <row r="117" spans="1:14" x14ac:dyDescent="0.2">
      <c r="A117" s="1186" t="s">
        <v>15</v>
      </c>
      <c r="B117" s="1186" t="s">
        <v>61</v>
      </c>
      <c r="C117" s="1186" t="s">
        <v>38</v>
      </c>
      <c r="D117" s="1186">
        <v>23</v>
      </c>
      <c r="E117" s="1186">
        <v>2</v>
      </c>
      <c r="F117" s="1186">
        <v>5</v>
      </c>
      <c r="G117" s="1186"/>
      <c r="H117" s="1186">
        <v>2</v>
      </c>
      <c r="I117" s="1186">
        <v>1</v>
      </c>
      <c r="J117" s="1186">
        <v>4</v>
      </c>
      <c r="K117" s="1186">
        <v>5</v>
      </c>
      <c r="L117" s="1186">
        <v>2</v>
      </c>
      <c r="M117" s="1186">
        <v>2</v>
      </c>
      <c r="N117" s="1186">
        <v>80690</v>
      </c>
    </row>
    <row r="118" spans="1:14" x14ac:dyDescent="0.2">
      <c r="A118" s="1186" t="s">
        <v>15</v>
      </c>
      <c r="B118" s="1186" t="s">
        <v>61</v>
      </c>
      <c r="C118" s="1186" t="s">
        <v>39</v>
      </c>
      <c r="D118" s="1186">
        <v>22</v>
      </c>
      <c r="E118" s="1186"/>
      <c r="F118" s="1186">
        <v>7</v>
      </c>
      <c r="G118" s="1186"/>
      <c r="H118" s="1186">
        <v>1</v>
      </c>
      <c r="I118" s="1186"/>
      <c r="J118" s="1186">
        <v>4</v>
      </c>
      <c r="K118" s="1186">
        <v>6</v>
      </c>
      <c r="L118" s="1186">
        <v>2</v>
      </c>
      <c r="M118" s="1186">
        <v>2</v>
      </c>
      <c r="N118" s="1186">
        <v>84240</v>
      </c>
    </row>
    <row r="119" spans="1:14" x14ac:dyDescent="0.2">
      <c r="A119" s="1186" t="s">
        <v>15</v>
      </c>
      <c r="B119" s="1186" t="s">
        <v>61</v>
      </c>
      <c r="C119" s="1186" t="s">
        <v>40</v>
      </c>
      <c r="D119" s="1186">
        <v>37</v>
      </c>
      <c r="E119" s="1186"/>
      <c r="F119" s="1186">
        <v>23</v>
      </c>
      <c r="G119" s="1186"/>
      <c r="H119" s="1186">
        <v>3</v>
      </c>
      <c r="I119" s="1186"/>
      <c r="J119" s="1186"/>
      <c r="K119" s="1186">
        <v>4</v>
      </c>
      <c r="L119" s="1186">
        <v>1</v>
      </c>
      <c r="M119" s="1186">
        <v>6</v>
      </c>
      <c r="N119" s="1186">
        <v>92930</v>
      </c>
    </row>
    <row r="120" spans="1:14" x14ac:dyDescent="0.2">
      <c r="A120" s="1186" t="s">
        <v>15</v>
      </c>
      <c r="B120" s="1186" t="s">
        <v>61</v>
      </c>
      <c r="C120" s="1186" t="s">
        <v>295</v>
      </c>
      <c r="D120" s="1186">
        <v>117</v>
      </c>
      <c r="E120" s="1186">
        <v>1</v>
      </c>
      <c r="F120" s="1186">
        <v>109</v>
      </c>
      <c r="G120" s="1186"/>
      <c r="H120" s="1186">
        <v>2</v>
      </c>
      <c r="I120" s="1186"/>
      <c r="J120" s="1186">
        <v>3</v>
      </c>
      <c r="K120" s="1186">
        <v>1</v>
      </c>
      <c r="L120" s="1186"/>
      <c r="M120" s="1186">
        <v>1</v>
      </c>
      <c r="N120" s="1186">
        <v>27560</v>
      </c>
    </row>
    <row r="121" spans="1:14" x14ac:dyDescent="0.2">
      <c r="A121" s="1186" t="s">
        <v>15</v>
      </c>
      <c r="B121" s="1186" t="s">
        <v>61</v>
      </c>
      <c r="C121" s="1186" t="s">
        <v>41</v>
      </c>
      <c r="D121" s="1186">
        <v>37</v>
      </c>
      <c r="E121" s="1186">
        <v>2</v>
      </c>
      <c r="F121" s="1186">
        <v>13</v>
      </c>
      <c r="G121" s="1186">
        <v>1</v>
      </c>
      <c r="H121" s="1186">
        <v>6</v>
      </c>
      <c r="I121" s="1186"/>
      <c r="J121" s="1186">
        <v>5</v>
      </c>
      <c r="K121" s="1186">
        <v>4</v>
      </c>
      <c r="L121" s="1186"/>
      <c r="M121" s="1186">
        <v>6</v>
      </c>
      <c r="N121" s="1186">
        <v>137570</v>
      </c>
    </row>
    <row r="122" spans="1:14" x14ac:dyDescent="0.2">
      <c r="A122" s="1186" t="s">
        <v>15</v>
      </c>
      <c r="B122" s="1186" t="s">
        <v>61</v>
      </c>
      <c r="C122" s="1186" t="s">
        <v>42</v>
      </c>
      <c r="D122" s="1186">
        <v>39</v>
      </c>
      <c r="E122" s="1186">
        <v>2</v>
      </c>
      <c r="F122" s="1186">
        <v>16</v>
      </c>
      <c r="G122" s="1186"/>
      <c r="H122" s="1186">
        <v>3</v>
      </c>
      <c r="I122" s="1186"/>
      <c r="J122" s="1186">
        <v>3</v>
      </c>
      <c r="K122" s="1186">
        <v>8</v>
      </c>
      <c r="L122" s="1186">
        <v>4</v>
      </c>
      <c r="M122" s="1186">
        <v>3</v>
      </c>
      <c r="N122" s="1186">
        <v>337890</v>
      </c>
    </row>
    <row r="123" spans="1:14" x14ac:dyDescent="0.2">
      <c r="A123" s="1186" t="s">
        <v>15</v>
      </c>
      <c r="B123" s="1186" t="s">
        <v>61</v>
      </c>
      <c r="C123" s="1186" t="s">
        <v>43</v>
      </c>
      <c r="D123" s="1186">
        <v>5</v>
      </c>
      <c r="E123" s="1186"/>
      <c r="F123" s="1186">
        <v>4</v>
      </c>
      <c r="G123" s="1186"/>
      <c r="H123" s="1186"/>
      <c r="I123" s="1186"/>
      <c r="J123" s="1186"/>
      <c r="K123" s="1186">
        <v>1</v>
      </c>
      <c r="L123" s="1186"/>
      <c r="M123" s="1186"/>
      <c r="N123" s="1186">
        <v>21530</v>
      </c>
    </row>
    <row r="124" spans="1:14" x14ac:dyDescent="0.2">
      <c r="A124" s="1186" t="s">
        <v>15</v>
      </c>
      <c r="B124" s="1186" t="s">
        <v>61</v>
      </c>
      <c r="C124" s="1186" t="s">
        <v>44</v>
      </c>
      <c r="D124" s="1186">
        <v>48</v>
      </c>
      <c r="E124" s="1186">
        <v>4</v>
      </c>
      <c r="F124" s="1186">
        <v>14</v>
      </c>
      <c r="G124" s="1186">
        <v>1</v>
      </c>
      <c r="H124" s="1186">
        <v>3</v>
      </c>
      <c r="I124" s="1186"/>
      <c r="J124" s="1186">
        <v>6</v>
      </c>
      <c r="K124" s="1186">
        <v>9</v>
      </c>
      <c r="L124" s="1186">
        <v>5</v>
      </c>
      <c r="M124" s="1186">
        <v>6</v>
      </c>
      <c r="N124" s="1186">
        <v>147740</v>
      </c>
    </row>
    <row r="125" spans="1:14" x14ac:dyDescent="0.2">
      <c r="A125" s="1186" t="s">
        <v>15</v>
      </c>
      <c r="B125" s="1186" t="s">
        <v>61</v>
      </c>
      <c r="C125" s="1186" t="s">
        <v>45</v>
      </c>
      <c r="D125" s="1186">
        <v>26</v>
      </c>
      <c r="E125" s="1186">
        <v>1</v>
      </c>
      <c r="F125" s="1186">
        <v>7</v>
      </c>
      <c r="G125" s="1186"/>
      <c r="H125" s="1186">
        <v>6</v>
      </c>
      <c r="I125" s="1186"/>
      <c r="J125" s="1186">
        <v>5</v>
      </c>
      <c r="K125" s="1186">
        <v>2</v>
      </c>
      <c r="L125" s="1186">
        <v>1</v>
      </c>
      <c r="M125" s="1186">
        <v>4</v>
      </c>
      <c r="N125" s="1186">
        <v>174300</v>
      </c>
    </row>
    <row r="126" spans="1:14" x14ac:dyDescent="0.2">
      <c r="A126" s="1186" t="s">
        <v>15</v>
      </c>
      <c r="B126" s="1186" t="s">
        <v>61</v>
      </c>
      <c r="C126" s="1186" t="s">
        <v>46</v>
      </c>
      <c r="D126" s="1186">
        <v>19</v>
      </c>
      <c r="E126" s="1186"/>
      <c r="F126" s="1186">
        <v>7</v>
      </c>
      <c r="G126" s="1186">
        <v>2</v>
      </c>
      <c r="H126" s="1186">
        <v>4</v>
      </c>
      <c r="I126" s="1186"/>
      <c r="J126" s="1186"/>
      <c r="K126" s="1186">
        <v>5</v>
      </c>
      <c r="L126" s="1186">
        <v>1</v>
      </c>
      <c r="M126" s="1186"/>
      <c r="N126" s="1186">
        <v>113720</v>
      </c>
    </row>
    <row r="127" spans="1:14" x14ac:dyDescent="0.2">
      <c r="A127" s="1186" t="s">
        <v>15</v>
      </c>
      <c r="B127" s="1186" t="s">
        <v>61</v>
      </c>
      <c r="C127" s="1186" t="s">
        <v>47</v>
      </c>
      <c r="D127" s="1186">
        <v>10</v>
      </c>
      <c r="E127" s="1186"/>
      <c r="F127" s="1186">
        <v>6</v>
      </c>
      <c r="G127" s="1186"/>
      <c r="H127" s="1186">
        <v>2</v>
      </c>
      <c r="I127" s="1186">
        <v>2</v>
      </c>
      <c r="J127" s="1186"/>
      <c r="K127" s="1186"/>
      <c r="L127" s="1186"/>
      <c r="M127" s="1186"/>
      <c r="N127" s="1186">
        <v>23210</v>
      </c>
    </row>
    <row r="128" spans="1:14" x14ac:dyDescent="0.2">
      <c r="A128" s="1186" t="s">
        <v>15</v>
      </c>
      <c r="B128" s="1186" t="s">
        <v>61</v>
      </c>
      <c r="C128" s="1186" t="s">
        <v>48</v>
      </c>
      <c r="D128" s="1186">
        <v>32</v>
      </c>
      <c r="E128" s="1186"/>
      <c r="F128" s="1186">
        <v>13</v>
      </c>
      <c r="G128" s="1186"/>
      <c r="H128" s="1186">
        <v>5</v>
      </c>
      <c r="I128" s="1186"/>
      <c r="J128" s="1186">
        <v>1</v>
      </c>
      <c r="K128" s="1186">
        <v>9</v>
      </c>
      <c r="L128" s="1186">
        <v>2</v>
      </c>
      <c r="M128" s="1186">
        <v>2</v>
      </c>
      <c r="N128" s="1186">
        <v>112920</v>
      </c>
    </row>
    <row r="129" spans="1:14" x14ac:dyDescent="0.2">
      <c r="A129" s="1186" t="s">
        <v>15</v>
      </c>
      <c r="B129" s="1186" t="s">
        <v>61</v>
      </c>
      <c r="C129" s="1186" t="s">
        <v>49</v>
      </c>
      <c r="D129" s="1186">
        <v>51</v>
      </c>
      <c r="E129" s="1186">
        <v>2</v>
      </c>
      <c r="F129" s="1186">
        <v>10</v>
      </c>
      <c r="G129" s="1186"/>
      <c r="H129" s="1186">
        <v>8</v>
      </c>
      <c r="I129" s="1186">
        <v>3</v>
      </c>
      <c r="J129" s="1186">
        <v>8</v>
      </c>
      <c r="K129" s="1186">
        <v>14</v>
      </c>
      <c r="L129" s="1186"/>
      <c r="M129" s="1186">
        <v>6</v>
      </c>
      <c r="N129" s="1186">
        <v>314330</v>
      </c>
    </row>
    <row r="130" spans="1:14" x14ac:dyDescent="0.2">
      <c r="A130" s="1186" t="s">
        <v>15</v>
      </c>
      <c r="B130" s="1186" t="s">
        <v>61</v>
      </c>
      <c r="C130" s="1186" t="s">
        <v>50</v>
      </c>
      <c r="D130" s="1186">
        <v>34</v>
      </c>
      <c r="E130" s="1186">
        <v>2</v>
      </c>
      <c r="F130" s="1186">
        <v>12</v>
      </c>
      <c r="G130" s="1186"/>
      <c r="H130" s="1186">
        <v>3</v>
      </c>
      <c r="I130" s="1186"/>
      <c r="J130" s="1186">
        <v>3</v>
      </c>
      <c r="K130" s="1186">
        <v>5</v>
      </c>
      <c r="L130" s="1186">
        <v>3</v>
      </c>
      <c r="M130" s="1186">
        <v>6</v>
      </c>
      <c r="N130" s="1186">
        <v>91010</v>
      </c>
    </row>
    <row r="131" spans="1:14" x14ac:dyDescent="0.2">
      <c r="A131" s="1186" t="s">
        <v>15</v>
      </c>
      <c r="B131" s="1186" t="s">
        <v>61</v>
      </c>
      <c r="C131" s="1186" t="s">
        <v>51</v>
      </c>
      <c r="D131" s="1186">
        <v>13</v>
      </c>
      <c r="E131" s="1186">
        <v>3</v>
      </c>
      <c r="F131" s="1186">
        <v>4</v>
      </c>
      <c r="G131" s="1186"/>
      <c r="H131" s="1186">
        <v>2</v>
      </c>
      <c r="I131" s="1186">
        <v>1</v>
      </c>
      <c r="J131" s="1186"/>
      <c r="K131" s="1186">
        <v>2</v>
      </c>
      <c r="L131" s="1186"/>
      <c r="M131" s="1186">
        <v>1</v>
      </c>
      <c r="N131" s="1186">
        <v>90340</v>
      </c>
    </row>
    <row r="132" spans="1:14" x14ac:dyDescent="0.2">
      <c r="A132" s="1186" t="s">
        <v>15</v>
      </c>
      <c r="B132" s="1186" t="s">
        <v>61</v>
      </c>
      <c r="C132" s="1186" t="s">
        <v>52</v>
      </c>
      <c r="D132" s="1186">
        <v>38</v>
      </c>
      <c r="E132" s="1186">
        <v>1</v>
      </c>
      <c r="F132" s="1186">
        <v>13</v>
      </c>
      <c r="G132" s="1186"/>
      <c r="H132" s="1186">
        <v>2</v>
      </c>
      <c r="I132" s="1186"/>
      <c r="J132" s="1186">
        <v>12</v>
      </c>
      <c r="K132" s="1186">
        <v>3</v>
      </c>
      <c r="L132" s="1186">
        <v>5</v>
      </c>
      <c r="M132" s="1186">
        <v>2</v>
      </c>
      <c r="N132" s="1186">
        <v>176010</v>
      </c>
    </row>
    <row r="133" spans="1:14" x14ac:dyDescent="0.2">
      <c r="A133" s="1186" t="s">
        <v>17</v>
      </c>
      <c r="B133" s="1186" t="s">
        <v>61</v>
      </c>
      <c r="C133" s="1186" t="s">
        <v>23</v>
      </c>
      <c r="D133" s="1186">
        <v>153</v>
      </c>
      <c r="E133" s="1186"/>
      <c r="F133" s="1186">
        <v>37</v>
      </c>
      <c r="G133" s="1186"/>
      <c r="H133" s="1186">
        <v>11</v>
      </c>
      <c r="I133" s="1186"/>
      <c r="J133" s="1186">
        <v>2</v>
      </c>
      <c r="K133" s="1186">
        <v>68</v>
      </c>
      <c r="L133" s="1186">
        <v>4</v>
      </c>
      <c r="M133" s="1186">
        <v>31</v>
      </c>
      <c r="N133" s="1186">
        <v>227070</v>
      </c>
    </row>
    <row r="134" spans="1:14" x14ac:dyDescent="0.2">
      <c r="A134" s="1186" t="s">
        <v>17</v>
      </c>
      <c r="B134" s="1186" t="s">
        <v>61</v>
      </c>
      <c r="C134" s="1186" t="s">
        <v>24</v>
      </c>
      <c r="D134" s="1186">
        <v>160</v>
      </c>
      <c r="E134" s="1186">
        <v>3</v>
      </c>
      <c r="F134" s="1186">
        <v>77</v>
      </c>
      <c r="G134" s="1186">
        <v>6</v>
      </c>
      <c r="H134" s="1186">
        <v>6</v>
      </c>
      <c r="I134" s="1186"/>
      <c r="J134" s="1186"/>
      <c r="K134" s="1186">
        <v>12</v>
      </c>
      <c r="L134" s="1186">
        <v>5</v>
      </c>
      <c r="M134" s="1186">
        <v>51</v>
      </c>
      <c r="N134" s="1186">
        <v>257770</v>
      </c>
    </row>
    <row r="135" spans="1:14" x14ac:dyDescent="0.2">
      <c r="A135" s="1186" t="s">
        <v>17</v>
      </c>
      <c r="B135" s="1186" t="s">
        <v>61</v>
      </c>
      <c r="C135" s="1186" t="s">
        <v>25</v>
      </c>
      <c r="D135" s="1186">
        <v>60</v>
      </c>
      <c r="E135" s="1186">
        <v>1</v>
      </c>
      <c r="F135" s="1186">
        <v>32</v>
      </c>
      <c r="G135" s="1186"/>
      <c r="H135" s="1186">
        <v>5</v>
      </c>
      <c r="I135" s="1186">
        <v>1</v>
      </c>
      <c r="J135" s="1186">
        <v>8</v>
      </c>
      <c r="K135" s="1186">
        <v>6</v>
      </c>
      <c r="L135" s="1186">
        <v>1</v>
      </c>
      <c r="M135" s="1186">
        <v>6</v>
      </c>
      <c r="N135" s="1186">
        <v>116290</v>
      </c>
    </row>
    <row r="136" spans="1:14" x14ac:dyDescent="0.2">
      <c r="A136" s="1186" t="s">
        <v>17</v>
      </c>
      <c r="B136" s="1186" t="s">
        <v>61</v>
      </c>
      <c r="C136" s="1186" t="s">
        <v>26</v>
      </c>
      <c r="D136" s="1186">
        <v>78</v>
      </c>
      <c r="E136" s="1186">
        <v>3</v>
      </c>
      <c r="F136" s="1186">
        <v>46</v>
      </c>
      <c r="G136" s="1186">
        <v>2</v>
      </c>
      <c r="H136" s="1186">
        <v>4</v>
      </c>
      <c r="I136" s="1186">
        <v>1</v>
      </c>
      <c r="J136" s="1186">
        <v>11</v>
      </c>
      <c r="K136" s="1186">
        <v>6</v>
      </c>
      <c r="L136" s="1186">
        <v>1</v>
      </c>
      <c r="M136" s="1186">
        <v>4</v>
      </c>
      <c r="N136" s="1186">
        <v>88050</v>
      </c>
    </row>
    <row r="137" spans="1:14" x14ac:dyDescent="0.2">
      <c r="A137" s="1186" t="s">
        <v>17</v>
      </c>
      <c r="B137" s="1186" t="s">
        <v>61</v>
      </c>
      <c r="C137" s="1186" t="s">
        <v>619</v>
      </c>
      <c r="D137" s="1186">
        <v>438</v>
      </c>
      <c r="E137" s="1186">
        <v>1</v>
      </c>
      <c r="F137" s="1186">
        <v>83</v>
      </c>
      <c r="G137" s="1186"/>
      <c r="H137" s="1186">
        <v>16</v>
      </c>
      <c r="I137" s="1186">
        <v>2</v>
      </c>
      <c r="J137" s="1186">
        <v>37</v>
      </c>
      <c r="K137" s="1186">
        <v>228</v>
      </c>
      <c r="L137" s="1186">
        <v>48</v>
      </c>
      <c r="M137" s="1186">
        <v>23</v>
      </c>
      <c r="N137" s="1186">
        <v>487460</v>
      </c>
    </row>
    <row r="138" spans="1:14" x14ac:dyDescent="0.2">
      <c r="A138" s="1186" t="s">
        <v>17</v>
      </c>
      <c r="B138" s="1186" t="s">
        <v>61</v>
      </c>
      <c r="C138" s="1186" t="s">
        <v>27</v>
      </c>
      <c r="D138" s="1186">
        <v>17</v>
      </c>
      <c r="E138" s="1186"/>
      <c r="F138" s="1186">
        <v>12</v>
      </c>
      <c r="G138" s="1186"/>
      <c r="H138" s="1186"/>
      <c r="I138" s="1186"/>
      <c r="J138" s="1186"/>
      <c r="K138" s="1186">
        <v>3</v>
      </c>
      <c r="L138" s="1186">
        <v>1</v>
      </c>
      <c r="M138" s="1186">
        <v>1</v>
      </c>
      <c r="N138" s="1186">
        <v>51280</v>
      </c>
    </row>
    <row r="139" spans="1:14" x14ac:dyDescent="0.2">
      <c r="A139" s="1186" t="s">
        <v>17</v>
      </c>
      <c r="B139" s="1186" t="s">
        <v>61</v>
      </c>
      <c r="C139" s="1186" t="s">
        <v>28</v>
      </c>
      <c r="D139" s="1186">
        <v>85</v>
      </c>
      <c r="E139" s="1186">
        <v>1</v>
      </c>
      <c r="F139" s="1186">
        <v>37</v>
      </c>
      <c r="G139" s="1186"/>
      <c r="H139" s="1186">
        <v>12</v>
      </c>
      <c r="I139" s="1186">
        <v>1</v>
      </c>
      <c r="J139" s="1186">
        <v>1</v>
      </c>
      <c r="K139" s="1186">
        <v>12</v>
      </c>
      <c r="L139" s="1186"/>
      <c r="M139" s="1186">
        <v>21</v>
      </c>
      <c r="N139" s="1186">
        <v>150280</v>
      </c>
    </row>
    <row r="140" spans="1:14" x14ac:dyDescent="0.2">
      <c r="A140" s="1186" t="s">
        <v>17</v>
      </c>
      <c r="B140" s="1186" t="s">
        <v>61</v>
      </c>
      <c r="C140" s="1186" t="s">
        <v>29</v>
      </c>
      <c r="D140" s="1186">
        <v>69</v>
      </c>
      <c r="E140" s="1186">
        <v>1</v>
      </c>
      <c r="F140" s="1186">
        <v>23</v>
      </c>
      <c r="G140" s="1186"/>
      <c r="H140" s="1186">
        <v>4</v>
      </c>
      <c r="I140" s="1186">
        <v>1</v>
      </c>
      <c r="J140" s="1186">
        <v>7</v>
      </c>
      <c r="K140" s="1186">
        <v>19</v>
      </c>
      <c r="L140" s="1186">
        <v>5</v>
      </c>
      <c r="M140" s="1186">
        <v>9</v>
      </c>
      <c r="N140" s="1186">
        <v>148100</v>
      </c>
    </row>
    <row r="141" spans="1:14" x14ac:dyDescent="0.2">
      <c r="A141" s="1186" t="s">
        <v>17</v>
      </c>
      <c r="B141" s="1186" t="s">
        <v>61</v>
      </c>
      <c r="C141" s="1186" t="s">
        <v>30</v>
      </c>
      <c r="D141" s="1186">
        <v>43</v>
      </c>
      <c r="E141" s="1186">
        <v>1</v>
      </c>
      <c r="F141" s="1186">
        <v>16</v>
      </c>
      <c r="G141" s="1186">
        <v>2</v>
      </c>
      <c r="H141" s="1186">
        <v>2</v>
      </c>
      <c r="I141" s="1186">
        <v>1</v>
      </c>
      <c r="J141" s="1186">
        <v>4</v>
      </c>
      <c r="K141" s="1186">
        <v>7</v>
      </c>
      <c r="L141" s="1186">
        <v>2</v>
      </c>
      <c r="M141" s="1186">
        <v>8</v>
      </c>
      <c r="N141" s="1186">
        <v>122430</v>
      </c>
    </row>
    <row r="142" spans="1:14" x14ac:dyDescent="0.2">
      <c r="A142" s="1186" t="s">
        <v>17</v>
      </c>
      <c r="B142" s="1186" t="s">
        <v>61</v>
      </c>
      <c r="C142" s="1186" t="s">
        <v>31</v>
      </c>
      <c r="D142" s="1186">
        <v>28</v>
      </c>
      <c r="E142" s="1186"/>
      <c r="F142" s="1186">
        <v>12</v>
      </c>
      <c r="G142" s="1186">
        <v>1</v>
      </c>
      <c r="H142" s="1186">
        <v>4</v>
      </c>
      <c r="I142" s="1186">
        <v>3</v>
      </c>
      <c r="J142" s="1186">
        <v>1</v>
      </c>
      <c r="K142" s="1186">
        <v>3</v>
      </c>
      <c r="L142" s="1186">
        <v>1</v>
      </c>
      <c r="M142" s="1186">
        <v>3</v>
      </c>
      <c r="N142" s="1186">
        <v>105840</v>
      </c>
    </row>
    <row r="143" spans="1:14" x14ac:dyDescent="0.2">
      <c r="A143" s="1186" t="s">
        <v>17</v>
      </c>
      <c r="B143" s="1186" t="s">
        <v>61</v>
      </c>
      <c r="C143" s="1186" t="s">
        <v>32</v>
      </c>
      <c r="D143" s="1186">
        <v>83</v>
      </c>
      <c r="E143" s="1186"/>
      <c r="F143" s="1186">
        <v>47</v>
      </c>
      <c r="G143" s="1186"/>
      <c r="H143" s="1186">
        <v>2</v>
      </c>
      <c r="I143" s="1186"/>
      <c r="J143" s="1186">
        <v>13</v>
      </c>
      <c r="K143" s="1186">
        <v>15</v>
      </c>
      <c r="L143" s="1186">
        <v>3</v>
      </c>
      <c r="M143" s="1186">
        <v>3</v>
      </c>
      <c r="N143" s="1186">
        <v>101390</v>
      </c>
    </row>
    <row r="144" spans="1:14" x14ac:dyDescent="0.2">
      <c r="A144" s="1186" t="s">
        <v>17</v>
      </c>
      <c r="B144" s="1186" t="s">
        <v>61</v>
      </c>
      <c r="C144" s="1186" t="s">
        <v>33</v>
      </c>
      <c r="D144" s="1186">
        <v>22</v>
      </c>
      <c r="E144" s="1186"/>
      <c r="F144" s="1186">
        <v>10</v>
      </c>
      <c r="G144" s="1186"/>
      <c r="H144" s="1186">
        <v>1</v>
      </c>
      <c r="I144" s="1186">
        <v>2</v>
      </c>
      <c r="J144" s="1186">
        <v>3</v>
      </c>
      <c r="K144" s="1186">
        <v>5</v>
      </c>
      <c r="L144" s="1186">
        <v>1</v>
      </c>
      <c r="M144" s="1186"/>
      <c r="N144" s="1186">
        <v>91530</v>
      </c>
    </row>
    <row r="145" spans="1:14" x14ac:dyDescent="0.2">
      <c r="A145" s="1186" t="s">
        <v>17</v>
      </c>
      <c r="B145" s="1186" t="s">
        <v>61</v>
      </c>
      <c r="C145" s="1186" t="s">
        <v>34</v>
      </c>
      <c r="D145" s="1186">
        <v>110</v>
      </c>
      <c r="E145" s="1186"/>
      <c r="F145" s="1186">
        <v>56</v>
      </c>
      <c r="G145" s="1186"/>
      <c r="H145" s="1186">
        <v>7</v>
      </c>
      <c r="I145" s="1186"/>
      <c r="J145" s="1186">
        <v>11</v>
      </c>
      <c r="K145" s="1186">
        <v>22</v>
      </c>
      <c r="L145" s="1186">
        <v>6</v>
      </c>
      <c r="M145" s="1186">
        <v>8</v>
      </c>
      <c r="N145" s="1186">
        <v>157160</v>
      </c>
    </row>
    <row r="146" spans="1:14" x14ac:dyDescent="0.2">
      <c r="A146" s="1186" t="s">
        <v>17</v>
      </c>
      <c r="B146" s="1186" t="s">
        <v>61</v>
      </c>
      <c r="C146" s="1186" t="s">
        <v>35</v>
      </c>
      <c r="D146" s="1186">
        <v>180</v>
      </c>
      <c r="E146" s="1186">
        <v>1</v>
      </c>
      <c r="F146" s="1186">
        <v>85</v>
      </c>
      <c r="G146" s="1186">
        <v>6</v>
      </c>
      <c r="H146" s="1186">
        <v>14</v>
      </c>
      <c r="I146" s="1186"/>
      <c r="J146" s="1186">
        <v>1</v>
      </c>
      <c r="K146" s="1186">
        <v>29</v>
      </c>
      <c r="L146" s="1186">
        <v>4</v>
      </c>
      <c r="M146" s="1186">
        <v>40</v>
      </c>
      <c r="N146" s="1186">
        <v>366900</v>
      </c>
    </row>
    <row r="147" spans="1:14" x14ac:dyDescent="0.2">
      <c r="A147" s="1186" t="s">
        <v>17</v>
      </c>
      <c r="B147" s="1186" t="s">
        <v>61</v>
      </c>
      <c r="C147" s="1186" t="s">
        <v>36</v>
      </c>
      <c r="D147" s="1186">
        <v>191</v>
      </c>
      <c r="E147" s="1186">
        <v>1</v>
      </c>
      <c r="F147" s="1186">
        <v>60</v>
      </c>
      <c r="G147" s="1186">
        <v>1</v>
      </c>
      <c r="H147" s="1186">
        <v>16</v>
      </c>
      <c r="I147" s="1186"/>
      <c r="J147" s="1186">
        <v>9</v>
      </c>
      <c r="K147" s="1186">
        <v>81</v>
      </c>
      <c r="L147" s="1186">
        <v>6</v>
      </c>
      <c r="M147" s="1186">
        <v>17</v>
      </c>
      <c r="N147" s="1186">
        <v>596520</v>
      </c>
    </row>
    <row r="148" spans="1:14" x14ac:dyDescent="0.2">
      <c r="A148" s="1186" t="s">
        <v>17</v>
      </c>
      <c r="B148" s="1186" t="s">
        <v>61</v>
      </c>
      <c r="C148" s="1186" t="s">
        <v>37</v>
      </c>
      <c r="D148" s="1186">
        <v>371</v>
      </c>
      <c r="E148" s="1186">
        <v>7</v>
      </c>
      <c r="F148" s="1186">
        <v>281</v>
      </c>
      <c r="G148" s="1186">
        <v>1</v>
      </c>
      <c r="H148" s="1186">
        <v>14</v>
      </c>
      <c r="I148" s="1186">
        <v>1</v>
      </c>
      <c r="J148" s="1186">
        <v>20</v>
      </c>
      <c r="K148" s="1186">
        <v>22</v>
      </c>
      <c r="L148" s="1186">
        <v>7</v>
      </c>
      <c r="M148" s="1186">
        <v>18</v>
      </c>
      <c r="N148" s="1186">
        <v>232930</v>
      </c>
    </row>
    <row r="149" spans="1:14" x14ac:dyDescent="0.2">
      <c r="A149" s="1186" t="s">
        <v>17</v>
      </c>
      <c r="B149" s="1186" t="s">
        <v>61</v>
      </c>
      <c r="C149" s="1186" t="s">
        <v>38</v>
      </c>
      <c r="D149" s="1186">
        <v>32</v>
      </c>
      <c r="E149" s="1186"/>
      <c r="F149" s="1186">
        <v>16</v>
      </c>
      <c r="G149" s="1186">
        <v>2</v>
      </c>
      <c r="H149" s="1186">
        <v>6</v>
      </c>
      <c r="I149" s="1186"/>
      <c r="J149" s="1186">
        <v>3</v>
      </c>
      <c r="K149" s="1186">
        <v>3</v>
      </c>
      <c r="L149" s="1186">
        <v>1</v>
      </c>
      <c r="M149" s="1186">
        <v>1</v>
      </c>
      <c r="N149" s="1186">
        <v>80340</v>
      </c>
    </row>
    <row r="150" spans="1:14" x14ac:dyDescent="0.2">
      <c r="A150" s="1186" t="s">
        <v>17</v>
      </c>
      <c r="B150" s="1186" t="s">
        <v>61</v>
      </c>
      <c r="C150" s="1186" t="s">
        <v>39</v>
      </c>
      <c r="D150" s="1186">
        <v>64</v>
      </c>
      <c r="E150" s="1186"/>
      <c r="F150" s="1186">
        <v>33</v>
      </c>
      <c r="G150" s="1186">
        <v>2</v>
      </c>
      <c r="H150" s="1186">
        <v>4</v>
      </c>
      <c r="I150" s="1186">
        <v>2</v>
      </c>
      <c r="J150" s="1186">
        <v>10</v>
      </c>
      <c r="K150" s="1186">
        <v>8</v>
      </c>
      <c r="L150" s="1186">
        <v>1</v>
      </c>
      <c r="M150" s="1186">
        <v>4</v>
      </c>
      <c r="N150" s="1186">
        <v>84710</v>
      </c>
    </row>
    <row r="151" spans="1:14" x14ac:dyDescent="0.2">
      <c r="A151" s="1186" t="s">
        <v>17</v>
      </c>
      <c r="B151" s="1186" t="s">
        <v>61</v>
      </c>
      <c r="C151" s="1186" t="s">
        <v>40</v>
      </c>
      <c r="D151" s="1186">
        <v>54</v>
      </c>
      <c r="E151" s="1186"/>
      <c r="F151" s="1186">
        <v>40</v>
      </c>
      <c r="G151" s="1186">
        <v>2</v>
      </c>
      <c r="H151" s="1186">
        <v>2</v>
      </c>
      <c r="I151" s="1186"/>
      <c r="J151" s="1186"/>
      <c r="K151" s="1186">
        <v>3</v>
      </c>
      <c r="L151" s="1186">
        <v>1</v>
      </c>
      <c r="M151" s="1186">
        <v>6</v>
      </c>
      <c r="N151" s="1186">
        <v>94360</v>
      </c>
    </row>
    <row r="152" spans="1:14" x14ac:dyDescent="0.2">
      <c r="A152" s="1186" t="s">
        <v>17</v>
      </c>
      <c r="B152" s="1186" t="s">
        <v>61</v>
      </c>
      <c r="C152" s="1186" t="s">
        <v>295</v>
      </c>
      <c r="D152" s="1186">
        <v>77</v>
      </c>
      <c r="E152" s="1186"/>
      <c r="F152" s="1186">
        <v>71</v>
      </c>
      <c r="G152" s="1186"/>
      <c r="H152" s="1186">
        <v>2</v>
      </c>
      <c r="I152" s="1186">
        <v>1</v>
      </c>
      <c r="J152" s="1186"/>
      <c r="K152" s="1186">
        <v>1</v>
      </c>
      <c r="L152" s="1186"/>
      <c r="M152" s="1186">
        <v>2</v>
      </c>
      <c r="N152" s="1186">
        <v>27400</v>
      </c>
    </row>
    <row r="153" spans="1:14" x14ac:dyDescent="0.2">
      <c r="A153" s="1186" t="s">
        <v>17</v>
      </c>
      <c r="B153" s="1186" t="s">
        <v>61</v>
      </c>
      <c r="C153" s="1186" t="s">
        <v>41</v>
      </c>
      <c r="D153" s="1186">
        <v>61</v>
      </c>
      <c r="E153" s="1186"/>
      <c r="F153" s="1186">
        <v>23</v>
      </c>
      <c r="G153" s="1186"/>
      <c r="H153" s="1186">
        <v>4</v>
      </c>
      <c r="I153" s="1186">
        <v>2</v>
      </c>
      <c r="J153" s="1186">
        <v>11</v>
      </c>
      <c r="K153" s="1186">
        <v>9</v>
      </c>
      <c r="L153" s="1186">
        <v>2</v>
      </c>
      <c r="M153" s="1186">
        <v>10</v>
      </c>
      <c r="N153" s="1186">
        <v>136940</v>
      </c>
    </row>
    <row r="154" spans="1:14" x14ac:dyDescent="0.2">
      <c r="A154" s="1186" t="s">
        <v>17</v>
      </c>
      <c r="B154" s="1186" t="s">
        <v>61</v>
      </c>
      <c r="C154" s="1186" t="s">
        <v>42</v>
      </c>
      <c r="D154" s="1186">
        <v>117</v>
      </c>
      <c r="E154" s="1186">
        <v>1</v>
      </c>
      <c r="F154" s="1186">
        <v>69</v>
      </c>
      <c r="G154" s="1186"/>
      <c r="H154" s="1186">
        <v>16</v>
      </c>
      <c r="I154" s="1186">
        <v>1</v>
      </c>
      <c r="J154" s="1186">
        <v>10</v>
      </c>
      <c r="K154" s="1186">
        <v>9</v>
      </c>
      <c r="L154" s="1186">
        <v>4</v>
      </c>
      <c r="M154" s="1186">
        <v>7</v>
      </c>
      <c r="N154" s="1186">
        <v>337780</v>
      </c>
    </row>
    <row r="155" spans="1:14" x14ac:dyDescent="0.2">
      <c r="A155" s="1186" t="s">
        <v>17</v>
      </c>
      <c r="B155" s="1186" t="s">
        <v>61</v>
      </c>
      <c r="C155" s="1186" t="s">
        <v>43</v>
      </c>
      <c r="D155" s="1186">
        <v>8</v>
      </c>
      <c r="E155" s="1186"/>
      <c r="F155" s="1186">
        <v>7</v>
      </c>
      <c r="G155" s="1186"/>
      <c r="H155" s="1186">
        <v>1</v>
      </c>
      <c r="I155" s="1186"/>
      <c r="J155" s="1186"/>
      <c r="K155" s="1186"/>
      <c r="L155" s="1186"/>
      <c r="M155" s="1186"/>
      <c r="N155" s="1186">
        <v>21560</v>
      </c>
    </row>
    <row r="156" spans="1:14" x14ac:dyDescent="0.2">
      <c r="A156" s="1186" t="s">
        <v>17</v>
      </c>
      <c r="B156" s="1186" t="s">
        <v>61</v>
      </c>
      <c r="C156" s="1186" t="s">
        <v>44</v>
      </c>
      <c r="D156" s="1186">
        <v>50</v>
      </c>
      <c r="E156" s="1186">
        <v>1</v>
      </c>
      <c r="F156" s="1186">
        <v>27</v>
      </c>
      <c r="G156" s="1186"/>
      <c r="H156" s="1186">
        <v>1</v>
      </c>
      <c r="I156" s="1186">
        <v>1</v>
      </c>
      <c r="J156" s="1186">
        <v>4</v>
      </c>
      <c r="K156" s="1186">
        <v>8</v>
      </c>
      <c r="L156" s="1186">
        <v>4</v>
      </c>
      <c r="M156" s="1186">
        <v>4</v>
      </c>
      <c r="N156" s="1186">
        <v>147770</v>
      </c>
    </row>
    <row r="157" spans="1:14" x14ac:dyDescent="0.2">
      <c r="A157" s="1186" t="s">
        <v>17</v>
      </c>
      <c r="B157" s="1186" t="s">
        <v>61</v>
      </c>
      <c r="C157" s="1186" t="s">
        <v>45</v>
      </c>
      <c r="D157" s="1186">
        <v>35</v>
      </c>
      <c r="E157" s="1186">
        <v>2</v>
      </c>
      <c r="F157" s="1186">
        <v>7</v>
      </c>
      <c r="G157" s="1186"/>
      <c r="H157" s="1186">
        <v>4</v>
      </c>
      <c r="I157" s="1186"/>
      <c r="J157" s="1186"/>
      <c r="K157" s="1186">
        <v>11</v>
      </c>
      <c r="L157" s="1186">
        <v>5</v>
      </c>
      <c r="M157" s="1186">
        <v>6</v>
      </c>
      <c r="N157" s="1186">
        <v>173890</v>
      </c>
    </row>
    <row r="158" spans="1:14" x14ac:dyDescent="0.2">
      <c r="A158" s="1186" t="s">
        <v>17</v>
      </c>
      <c r="B158" s="1186" t="s">
        <v>61</v>
      </c>
      <c r="C158" s="1186" t="s">
        <v>46</v>
      </c>
      <c r="D158" s="1186">
        <v>50</v>
      </c>
      <c r="E158" s="1186">
        <v>1</v>
      </c>
      <c r="F158" s="1186">
        <v>31</v>
      </c>
      <c r="G158" s="1186">
        <v>1</v>
      </c>
      <c r="H158" s="1186">
        <v>6</v>
      </c>
      <c r="I158" s="1186"/>
      <c r="J158" s="1186">
        <v>2</v>
      </c>
      <c r="K158" s="1186">
        <v>6</v>
      </c>
      <c r="L158" s="1186">
        <v>1</v>
      </c>
      <c r="M158" s="1186">
        <v>2</v>
      </c>
      <c r="N158" s="1186">
        <v>113880</v>
      </c>
    </row>
    <row r="159" spans="1:14" x14ac:dyDescent="0.2">
      <c r="A159" s="1186" t="s">
        <v>17</v>
      </c>
      <c r="B159" s="1186" t="s">
        <v>61</v>
      </c>
      <c r="C159" s="1186" t="s">
        <v>47</v>
      </c>
      <c r="D159" s="1186">
        <v>7</v>
      </c>
      <c r="E159" s="1186"/>
      <c r="F159" s="1186">
        <v>2</v>
      </c>
      <c r="G159" s="1186"/>
      <c r="H159" s="1186">
        <v>1</v>
      </c>
      <c r="I159" s="1186"/>
      <c r="J159" s="1186">
        <v>1</v>
      </c>
      <c r="K159" s="1186"/>
      <c r="L159" s="1186">
        <v>2</v>
      </c>
      <c r="M159" s="1186">
        <v>1</v>
      </c>
      <c r="N159" s="1186">
        <v>23200</v>
      </c>
    </row>
    <row r="160" spans="1:14" x14ac:dyDescent="0.2">
      <c r="A160" s="1186" t="s">
        <v>17</v>
      </c>
      <c r="B160" s="1186" t="s">
        <v>61</v>
      </c>
      <c r="C160" s="1186" t="s">
        <v>48</v>
      </c>
      <c r="D160" s="1186">
        <v>29</v>
      </c>
      <c r="E160" s="1186"/>
      <c r="F160" s="1186">
        <v>9</v>
      </c>
      <c r="G160" s="1186">
        <v>1</v>
      </c>
      <c r="H160" s="1186">
        <v>1</v>
      </c>
      <c r="I160" s="1186">
        <v>1</v>
      </c>
      <c r="J160" s="1186">
        <v>5</v>
      </c>
      <c r="K160" s="1186">
        <v>6</v>
      </c>
      <c r="L160" s="1186">
        <v>3</v>
      </c>
      <c r="M160" s="1186">
        <v>3</v>
      </c>
      <c r="N160" s="1186">
        <v>112870</v>
      </c>
    </row>
    <row r="161" spans="1:14" x14ac:dyDescent="0.2">
      <c r="A161" s="1186" t="s">
        <v>17</v>
      </c>
      <c r="B161" s="1186" t="s">
        <v>61</v>
      </c>
      <c r="C161" s="1186" t="s">
        <v>49</v>
      </c>
      <c r="D161" s="1186">
        <v>66</v>
      </c>
      <c r="E161" s="1186">
        <v>2</v>
      </c>
      <c r="F161" s="1186">
        <v>35</v>
      </c>
      <c r="G161" s="1186">
        <v>1</v>
      </c>
      <c r="H161" s="1186">
        <v>9</v>
      </c>
      <c r="I161" s="1186">
        <v>1</v>
      </c>
      <c r="J161" s="1186">
        <v>4</v>
      </c>
      <c r="K161" s="1186">
        <v>4</v>
      </c>
      <c r="L161" s="1186">
        <v>4</v>
      </c>
      <c r="M161" s="1186">
        <v>6</v>
      </c>
      <c r="N161" s="1186">
        <v>314810</v>
      </c>
    </row>
    <row r="162" spans="1:14" x14ac:dyDescent="0.2">
      <c r="A162" s="1186" t="s">
        <v>17</v>
      </c>
      <c r="B162" s="1186" t="s">
        <v>61</v>
      </c>
      <c r="C162" s="1186" t="s">
        <v>50</v>
      </c>
      <c r="D162" s="1186">
        <v>42</v>
      </c>
      <c r="E162" s="1186"/>
      <c r="F162" s="1186">
        <v>22</v>
      </c>
      <c r="G162" s="1186">
        <v>1</v>
      </c>
      <c r="H162" s="1186">
        <v>4</v>
      </c>
      <c r="I162" s="1186"/>
      <c r="J162" s="1186">
        <v>4</v>
      </c>
      <c r="K162" s="1186">
        <v>7</v>
      </c>
      <c r="L162" s="1186">
        <v>1</v>
      </c>
      <c r="M162" s="1186">
        <v>3</v>
      </c>
      <c r="N162" s="1186">
        <v>91230</v>
      </c>
    </row>
    <row r="163" spans="1:14" x14ac:dyDescent="0.2">
      <c r="A163" s="1186" t="s">
        <v>17</v>
      </c>
      <c r="B163" s="1186" t="s">
        <v>61</v>
      </c>
      <c r="C163" s="1186" t="s">
        <v>51</v>
      </c>
      <c r="D163" s="1186">
        <v>8</v>
      </c>
      <c r="E163" s="1186">
        <v>1</v>
      </c>
      <c r="F163" s="1186">
        <v>4</v>
      </c>
      <c r="G163" s="1186"/>
      <c r="H163" s="1186"/>
      <c r="I163" s="1186"/>
      <c r="J163" s="1186">
        <v>2</v>
      </c>
      <c r="K163" s="1186"/>
      <c r="L163" s="1186"/>
      <c r="M163" s="1186">
        <v>1</v>
      </c>
      <c r="N163" s="1186">
        <v>89800</v>
      </c>
    </row>
    <row r="164" spans="1:14" x14ac:dyDescent="0.2">
      <c r="A164" s="1186" t="s">
        <v>17</v>
      </c>
      <c r="B164" s="1186" t="s">
        <v>61</v>
      </c>
      <c r="C164" s="1186" t="s">
        <v>52</v>
      </c>
      <c r="D164" s="1186">
        <v>126</v>
      </c>
      <c r="E164" s="1186">
        <v>1</v>
      </c>
      <c r="F164" s="1186">
        <v>80</v>
      </c>
      <c r="G164" s="1186">
        <v>1</v>
      </c>
      <c r="H164" s="1186">
        <v>7</v>
      </c>
      <c r="I164" s="1186">
        <v>1</v>
      </c>
      <c r="J164" s="1186">
        <v>7</v>
      </c>
      <c r="K164" s="1186">
        <v>18</v>
      </c>
      <c r="L164" s="1186">
        <v>2</v>
      </c>
      <c r="M164" s="1186">
        <v>9</v>
      </c>
      <c r="N164" s="1186">
        <v>176160</v>
      </c>
    </row>
    <row r="165" spans="1:14" x14ac:dyDescent="0.2">
      <c r="A165" s="1186" t="s">
        <v>133</v>
      </c>
      <c r="B165" s="1186" t="s">
        <v>61</v>
      </c>
      <c r="C165" s="1186" t="s">
        <v>23</v>
      </c>
      <c r="D165" s="1186">
        <v>116</v>
      </c>
      <c r="E165" s="1186">
        <v>1</v>
      </c>
      <c r="F165" s="1186">
        <v>21</v>
      </c>
      <c r="G165" s="1186"/>
      <c r="H165" s="1186">
        <v>7</v>
      </c>
      <c r="I165" s="1186"/>
      <c r="J165" s="1186">
        <v>1</v>
      </c>
      <c r="K165" s="1186">
        <v>51</v>
      </c>
      <c r="L165" s="1186">
        <v>8</v>
      </c>
      <c r="M165" s="1186">
        <v>27</v>
      </c>
      <c r="N165" s="1186">
        <v>228920</v>
      </c>
    </row>
    <row r="166" spans="1:14" x14ac:dyDescent="0.2">
      <c r="A166" s="1186" t="s">
        <v>133</v>
      </c>
      <c r="B166" s="1186" t="s">
        <v>61</v>
      </c>
      <c r="C166" s="1186" t="s">
        <v>24</v>
      </c>
      <c r="D166" s="1186">
        <v>111</v>
      </c>
      <c r="E166" s="1186">
        <v>1</v>
      </c>
      <c r="F166" s="1186">
        <v>42</v>
      </c>
      <c r="G166" s="1186">
        <v>7</v>
      </c>
      <c r="H166" s="1186">
        <v>4</v>
      </c>
      <c r="I166" s="1186">
        <v>2</v>
      </c>
      <c r="J166" s="1186">
        <v>1</v>
      </c>
      <c r="K166" s="1186">
        <v>14</v>
      </c>
      <c r="L166" s="1186">
        <v>3</v>
      </c>
      <c r="M166" s="1186">
        <v>37</v>
      </c>
      <c r="N166" s="1186">
        <v>260530</v>
      </c>
    </row>
    <row r="167" spans="1:14" x14ac:dyDescent="0.2">
      <c r="A167" s="1186" t="s">
        <v>133</v>
      </c>
      <c r="B167" s="1186" t="s">
        <v>61</v>
      </c>
      <c r="C167" s="1186" t="s">
        <v>25</v>
      </c>
      <c r="D167" s="1186">
        <v>56</v>
      </c>
      <c r="E167" s="1186"/>
      <c r="F167" s="1186">
        <v>13</v>
      </c>
      <c r="G167" s="1186">
        <v>5</v>
      </c>
      <c r="H167" s="1186">
        <v>1</v>
      </c>
      <c r="I167" s="1186">
        <v>1</v>
      </c>
      <c r="J167" s="1186">
        <v>9</v>
      </c>
      <c r="K167" s="1186">
        <v>16</v>
      </c>
      <c r="L167" s="1186">
        <v>5</v>
      </c>
      <c r="M167" s="1186">
        <v>6</v>
      </c>
      <c r="N167" s="1186">
        <v>116740</v>
      </c>
    </row>
    <row r="168" spans="1:14" x14ac:dyDescent="0.2">
      <c r="A168" s="1186" t="s">
        <v>133</v>
      </c>
      <c r="B168" s="1186" t="s">
        <v>61</v>
      </c>
      <c r="C168" s="1186" t="s">
        <v>26</v>
      </c>
      <c r="D168" s="1186">
        <v>46</v>
      </c>
      <c r="E168" s="1186">
        <v>1</v>
      </c>
      <c r="F168" s="1186">
        <v>18</v>
      </c>
      <c r="G168" s="1186"/>
      <c r="H168" s="1186">
        <v>6</v>
      </c>
      <c r="I168" s="1186">
        <v>1</v>
      </c>
      <c r="J168" s="1186">
        <v>8</v>
      </c>
      <c r="K168" s="1186">
        <v>5</v>
      </c>
      <c r="L168" s="1186">
        <v>1</v>
      </c>
      <c r="M168" s="1186">
        <v>6</v>
      </c>
      <c r="N168" s="1186">
        <v>87650</v>
      </c>
    </row>
    <row r="169" spans="1:14" x14ac:dyDescent="0.2">
      <c r="A169" s="1186" t="s">
        <v>133</v>
      </c>
      <c r="B169" s="1186" t="s">
        <v>61</v>
      </c>
      <c r="C169" s="1186" t="s">
        <v>619</v>
      </c>
      <c r="D169" s="1186">
        <v>423</v>
      </c>
      <c r="E169" s="1186">
        <v>3</v>
      </c>
      <c r="F169" s="1186">
        <v>60</v>
      </c>
      <c r="G169" s="1186">
        <v>1</v>
      </c>
      <c r="H169" s="1186">
        <v>15</v>
      </c>
      <c r="I169" s="1186">
        <v>1</v>
      </c>
      <c r="J169" s="1186">
        <v>39</v>
      </c>
      <c r="K169" s="1186">
        <v>254</v>
      </c>
      <c r="L169" s="1186">
        <v>37</v>
      </c>
      <c r="M169" s="1186">
        <v>13</v>
      </c>
      <c r="N169" s="1186">
        <v>492610</v>
      </c>
    </row>
    <row r="170" spans="1:14" x14ac:dyDescent="0.2">
      <c r="A170" s="1186" t="s">
        <v>133</v>
      </c>
      <c r="B170" s="1186" t="s">
        <v>61</v>
      </c>
      <c r="C170" s="1186" t="s">
        <v>27</v>
      </c>
      <c r="D170" s="1186">
        <v>16</v>
      </c>
      <c r="E170" s="1186"/>
      <c r="F170" s="1186">
        <v>8</v>
      </c>
      <c r="G170" s="1186">
        <v>1</v>
      </c>
      <c r="H170" s="1186">
        <v>1</v>
      </c>
      <c r="I170" s="1186"/>
      <c r="J170" s="1186"/>
      <c r="K170" s="1186">
        <v>5</v>
      </c>
      <c r="L170" s="1186">
        <v>1</v>
      </c>
      <c r="M170" s="1186"/>
      <c r="N170" s="1186">
        <v>51190</v>
      </c>
    </row>
    <row r="171" spans="1:14" x14ac:dyDescent="0.2">
      <c r="A171" s="1186" t="s">
        <v>133</v>
      </c>
      <c r="B171" s="1186" t="s">
        <v>61</v>
      </c>
      <c r="C171" s="1186" t="s">
        <v>28</v>
      </c>
      <c r="D171" s="1186">
        <v>69</v>
      </c>
      <c r="E171" s="1186"/>
      <c r="F171" s="1186">
        <v>21</v>
      </c>
      <c r="G171" s="1186"/>
      <c r="H171" s="1186">
        <v>8</v>
      </c>
      <c r="I171" s="1186">
        <v>1</v>
      </c>
      <c r="J171" s="1186">
        <v>2</v>
      </c>
      <c r="K171" s="1186">
        <v>17</v>
      </c>
      <c r="L171" s="1186">
        <v>2</v>
      </c>
      <c r="M171" s="1186">
        <v>18</v>
      </c>
      <c r="N171" s="1186">
        <v>149960</v>
      </c>
    </row>
    <row r="172" spans="1:14" x14ac:dyDescent="0.2">
      <c r="A172" s="1186" t="s">
        <v>133</v>
      </c>
      <c r="B172" s="1186" t="s">
        <v>61</v>
      </c>
      <c r="C172" s="1186" t="s">
        <v>29</v>
      </c>
      <c r="D172" s="1186">
        <v>76</v>
      </c>
      <c r="E172" s="1186">
        <v>3</v>
      </c>
      <c r="F172" s="1186">
        <v>29</v>
      </c>
      <c r="G172" s="1186"/>
      <c r="H172" s="1186">
        <v>5</v>
      </c>
      <c r="I172" s="1186">
        <v>1</v>
      </c>
      <c r="J172" s="1186">
        <v>3</v>
      </c>
      <c r="K172" s="1186">
        <v>22</v>
      </c>
      <c r="L172" s="1186">
        <v>6</v>
      </c>
      <c r="M172" s="1186">
        <v>7</v>
      </c>
      <c r="N172" s="1186">
        <v>148130</v>
      </c>
    </row>
    <row r="173" spans="1:14" x14ac:dyDescent="0.2">
      <c r="A173" s="1186" t="s">
        <v>133</v>
      </c>
      <c r="B173" s="1186" t="s">
        <v>61</v>
      </c>
      <c r="C173" s="1186" t="s">
        <v>30</v>
      </c>
      <c r="D173" s="1186">
        <v>20</v>
      </c>
      <c r="E173" s="1186"/>
      <c r="F173" s="1186">
        <v>4</v>
      </c>
      <c r="G173" s="1186">
        <v>1</v>
      </c>
      <c r="H173" s="1186">
        <v>2</v>
      </c>
      <c r="I173" s="1186"/>
      <c r="J173" s="1186">
        <v>3</v>
      </c>
      <c r="K173" s="1186">
        <v>2</v>
      </c>
      <c r="L173" s="1186">
        <v>1</v>
      </c>
      <c r="M173" s="1186">
        <v>7</v>
      </c>
      <c r="N173" s="1186">
        <v>122130</v>
      </c>
    </row>
    <row r="174" spans="1:14" x14ac:dyDescent="0.2">
      <c r="A174" s="1186" t="s">
        <v>133</v>
      </c>
      <c r="B174" s="1186" t="s">
        <v>61</v>
      </c>
      <c r="C174" s="1186" t="s">
        <v>31</v>
      </c>
      <c r="D174" s="1186">
        <v>14</v>
      </c>
      <c r="E174" s="1186"/>
      <c r="F174" s="1186">
        <v>2</v>
      </c>
      <c r="G174" s="1186"/>
      <c r="H174" s="1186">
        <v>3</v>
      </c>
      <c r="I174" s="1186"/>
      <c r="J174" s="1186">
        <v>1</v>
      </c>
      <c r="K174" s="1186">
        <v>5</v>
      </c>
      <c r="L174" s="1186"/>
      <c r="M174" s="1186">
        <v>3</v>
      </c>
      <c r="N174" s="1186">
        <v>106710</v>
      </c>
    </row>
    <row r="175" spans="1:14" x14ac:dyDescent="0.2">
      <c r="A175" s="1186" t="s">
        <v>133</v>
      </c>
      <c r="B175" s="1186" t="s">
        <v>61</v>
      </c>
      <c r="C175" s="1186" t="s">
        <v>32</v>
      </c>
      <c r="D175" s="1186">
        <v>47</v>
      </c>
      <c r="E175" s="1186"/>
      <c r="F175" s="1186">
        <v>16</v>
      </c>
      <c r="G175" s="1186">
        <v>4</v>
      </c>
      <c r="H175" s="1186">
        <v>1</v>
      </c>
      <c r="I175" s="1186"/>
      <c r="J175" s="1186">
        <v>7</v>
      </c>
      <c r="K175" s="1186">
        <v>11</v>
      </c>
      <c r="L175" s="1186">
        <v>5</v>
      </c>
      <c r="M175" s="1186">
        <v>3</v>
      </c>
      <c r="N175" s="1186">
        <v>102090</v>
      </c>
    </row>
    <row r="176" spans="1:14" x14ac:dyDescent="0.2">
      <c r="A176" s="1186" t="s">
        <v>133</v>
      </c>
      <c r="B176" s="1186" t="s">
        <v>61</v>
      </c>
      <c r="C176" s="1186" t="s">
        <v>33</v>
      </c>
      <c r="D176" s="1186">
        <v>12</v>
      </c>
      <c r="E176" s="1186">
        <v>1</v>
      </c>
      <c r="F176" s="1186">
        <v>2</v>
      </c>
      <c r="G176" s="1186"/>
      <c r="H176" s="1186"/>
      <c r="I176" s="1186"/>
      <c r="J176" s="1186">
        <v>1</v>
      </c>
      <c r="K176" s="1186">
        <v>3</v>
      </c>
      <c r="L176" s="1186">
        <v>2</v>
      </c>
      <c r="M176" s="1186">
        <v>3</v>
      </c>
      <c r="N176" s="1186">
        <v>92410</v>
      </c>
    </row>
    <row r="177" spans="1:14" x14ac:dyDescent="0.2">
      <c r="A177" s="1186" t="s">
        <v>133</v>
      </c>
      <c r="B177" s="1186" t="s">
        <v>61</v>
      </c>
      <c r="C177" s="1186" t="s">
        <v>34</v>
      </c>
      <c r="D177" s="1186">
        <v>100</v>
      </c>
      <c r="E177" s="1186">
        <v>1</v>
      </c>
      <c r="F177" s="1186">
        <v>42</v>
      </c>
      <c r="G177" s="1186"/>
      <c r="H177" s="1186">
        <v>2</v>
      </c>
      <c r="I177" s="1186"/>
      <c r="J177" s="1186">
        <v>10</v>
      </c>
      <c r="K177" s="1186">
        <v>30</v>
      </c>
      <c r="L177" s="1186">
        <v>4</v>
      </c>
      <c r="M177" s="1186">
        <v>11</v>
      </c>
      <c r="N177" s="1186">
        <v>157690</v>
      </c>
    </row>
    <row r="178" spans="1:14" x14ac:dyDescent="0.2">
      <c r="A178" s="1186" t="s">
        <v>133</v>
      </c>
      <c r="B178" s="1186" t="s">
        <v>61</v>
      </c>
      <c r="C178" s="1186" t="s">
        <v>35</v>
      </c>
      <c r="D178" s="1186">
        <v>150</v>
      </c>
      <c r="E178" s="1186">
        <v>3</v>
      </c>
      <c r="F178" s="1186">
        <v>53</v>
      </c>
      <c r="G178" s="1186">
        <v>3</v>
      </c>
      <c r="H178" s="1186">
        <v>13</v>
      </c>
      <c r="I178" s="1186"/>
      <c r="J178" s="1186">
        <v>3</v>
      </c>
      <c r="K178" s="1186">
        <v>33</v>
      </c>
      <c r="L178" s="1186">
        <v>4</v>
      </c>
      <c r="M178" s="1186">
        <v>38</v>
      </c>
      <c r="N178" s="1186">
        <v>367250</v>
      </c>
    </row>
    <row r="179" spans="1:14" x14ac:dyDescent="0.2">
      <c r="A179" s="1186" t="s">
        <v>133</v>
      </c>
      <c r="B179" s="1186" t="s">
        <v>61</v>
      </c>
      <c r="C179" s="1186" t="s">
        <v>36</v>
      </c>
      <c r="D179" s="1186">
        <v>172</v>
      </c>
      <c r="E179" s="1186">
        <v>6</v>
      </c>
      <c r="F179" s="1186">
        <v>18</v>
      </c>
      <c r="G179" s="1186"/>
      <c r="H179" s="1186">
        <v>14</v>
      </c>
      <c r="I179" s="1186">
        <v>3</v>
      </c>
      <c r="J179" s="1186">
        <v>10</v>
      </c>
      <c r="K179" s="1186">
        <v>102</v>
      </c>
      <c r="L179" s="1186">
        <v>3</v>
      </c>
      <c r="M179" s="1186">
        <v>16</v>
      </c>
      <c r="N179" s="1186">
        <v>599640</v>
      </c>
    </row>
    <row r="180" spans="1:14" x14ac:dyDescent="0.2">
      <c r="A180" s="1186" t="s">
        <v>133</v>
      </c>
      <c r="B180" s="1186" t="s">
        <v>61</v>
      </c>
      <c r="C180" s="1186" t="s">
        <v>37</v>
      </c>
      <c r="D180" s="1186">
        <v>208</v>
      </c>
      <c r="E180" s="1186">
        <v>3</v>
      </c>
      <c r="F180" s="1186">
        <v>137</v>
      </c>
      <c r="G180" s="1186">
        <v>1</v>
      </c>
      <c r="H180" s="1186">
        <v>6</v>
      </c>
      <c r="I180" s="1186"/>
      <c r="J180" s="1186">
        <v>15</v>
      </c>
      <c r="K180" s="1186">
        <v>30</v>
      </c>
      <c r="L180" s="1186">
        <v>5</v>
      </c>
      <c r="M180" s="1186">
        <v>11</v>
      </c>
      <c r="N180" s="1186">
        <v>233080</v>
      </c>
    </row>
    <row r="181" spans="1:14" x14ac:dyDescent="0.2">
      <c r="A181" s="1186" t="s">
        <v>133</v>
      </c>
      <c r="B181" s="1186" t="s">
        <v>61</v>
      </c>
      <c r="C181" s="1186" t="s">
        <v>38</v>
      </c>
      <c r="D181" s="1186">
        <v>16</v>
      </c>
      <c r="E181" s="1186"/>
      <c r="F181" s="1186">
        <v>8</v>
      </c>
      <c r="G181" s="1186"/>
      <c r="H181" s="1186">
        <v>5</v>
      </c>
      <c r="I181" s="1186"/>
      <c r="J181" s="1186"/>
      <c r="K181" s="1186">
        <v>2</v>
      </c>
      <c r="L181" s="1186"/>
      <c r="M181" s="1186">
        <v>1</v>
      </c>
      <c r="N181" s="1186">
        <v>79890</v>
      </c>
    </row>
    <row r="182" spans="1:14" x14ac:dyDescent="0.2">
      <c r="A182" s="1186" t="s">
        <v>133</v>
      </c>
      <c r="B182" s="1186" t="s">
        <v>61</v>
      </c>
      <c r="C182" s="1186" t="s">
        <v>39</v>
      </c>
      <c r="D182" s="1186">
        <v>47</v>
      </c>
      <c r="E182" s="1186"/>
      <c r="F182" s="1186">
        <v>11</v>
      </c>
      <c r="G182" s="1186">
        <v>1</v>
      </c>
      <c r="H182" s="1186">
        <v>2</v>
      </c>
      <c r="I182" s="1186"/>
      <c r="J182" s="1186">
        <v>14</v>
      </c>
      <c r="K182" s="1186">
        <v>11</v>
      </c>
      <c r="L182" s="1186">
        <v>4</v>
      </c>
      <c r="M182" s="1186">
        <v>4</v>
      </c>
      <c r="N182" s="1186">
        <v>86220</v>
      </c>
    </row>
    <row r="183" spans="1:14" x14ac:dyDescent="0.2">
      <c r="A183" s="1186" t="s">
        <v>133</v>
      </c>
      <c r="B183" s="1186" t="s">
        <v>61</v>
      </c>
      <c r="C183" s="1186" t="s">
        <v>40</v>
      </c>
      <c r="D183" s="1186">
        <v>51</v>
      </c>
      <c r="E183" s="1186"/>
      <c r="F183" s="1186">
        <v>21</v>
      </c>
      <c r="G183" s="1186">
        <v>2</v>
      </c>
      <c r="H183" s="1186"/>
      <c r="I183" s="1186"/>
      <c r="J183" s="1186">
        <v>1</v>
      </c>
      <c r="K183" s="1186">
        <v>10</v>
      </c>
      <c r="L183" s="1186"/>
      <c r="M183" s="1186">
        <v>17</v>
      </c>
      <c r="N183" s="1186">
        <v>94770</v>
      </c>
    </row>
    <row r="184" spans="1:14" x14ac:dyDescent="0.2">
      <c r="A184" s="1186" t="s">
        <v>133</v>
      </c>
      <c r="B184" s="1186" t="s">
        <v>61</v>
      </c>
      <c r="C184" s="1186" t="s">
        <v>295</v>
      </c>
      <c r="D184" s="1186">
        <v>38</v>
      </c>
      <c r="E184" s="1186"/>
      <c r="F184" s="1186">
        <v>32</v>
      </c>
      <c r="G184" s="1186"/>
      <c r="H184" s="1186">
        <v>1</v>
      </c>
      <c r="I184" s="1186"/>
      <c r="J184" s="1186"/>
      <c r="K184" s="1186">
        <v>2</v>
      </c>
      <c r="L184" s="1186"/>
      <c r="M184" s="1186">
        <v>3</v>
      </c>
      <c r="N184" s="1186">
        <v>27250</v>
      </c>
    </row>
    <row r="185" spans="1:14" x14ac:dyDescent="0.2">
      <c r="A185" s="1186" t="s">
        <v>133</v>
      </c>
      <c r="B185" s="1186" t="s">
        <v>61</v>
      </c>
      <c r="C185" s="1186" t="s">
        <v>41</v>
      </c>
      <c r="D185" s="1186">
        <v>30</v>
      </c>
      <c r="E185" s="1186">
        <v>3</v>
      </c>
      <c r="F185" s="1186">
        <v>5</v>
      </c>
      <c r="G185" s="1186"/>
      <c r="H185" s="1186">
        <v>4</v>
      </c>
      <c r="I185" s="1186"/>
      <c r="J185" s="1186">
        <v>10</v>
      </c>
      <c r="K185" s="1186">
        <v>5</v>
      </c>
      <c r="L185" s="1186"/>
      <c r="M185" s="1186">
        <v>3</v>
      </c>
      <c r="N185" s="1186">
        <v>136480</v>
      </c>
    </row>
    <row r="186" spans="1:14" x14ac:dyDescent="0.2">
      <c r="A186" s="1186" t="s">
        <v>133</v>
      </c>
      <c r="B186" s="1186" t="s">
        <v>61</v>
      </c>
      <c r="C186" s="1186" t="s">
        <v>42</v>
      </c>
      <c r="D186" s="1186">
        <v>36</v>
      </c>
      <c r="E186" s="1186"/>
      <c r="F186" s="1186">
        <v>13</v>
      </c>
      <c r="G186" s="1186"/>
      <c r="H186" s="1186">
        <v>6</v>
      </c>
      <c r="I186" s="1186">
        <v>1</v>
      </c>
      <c r="J186" s="1186">
        <v>3</v>
      </c>
      <c r="K186" s="1186">
        <v>8</v>
      </c>
      <c r="L186" s="1186">
        <v>2</v>
      </c>
      <c r="M186" s="1186">
        <v>3</v>
      </c>
      <c r="N186" s="1186">
        <v>338000</v>
      </c>
    </row>
    <row r="187" spans="1:14" x14ac:dyDescent="0.2">
      <c r="A187" s="1186" t="s">
        <v>133</v>
      </c>
      <c r="B187" s="1186" t="s">
        <v>61</v>
      </c>
      <c r="C187" s="1186" t="s">
        <v>43</v>
      </c>
      <c r="D187" s="1186">
        <v>5</v>
      </c>
      <c r="E187" s="1186"/>
      <c r="F187" s="1186">
        <v>1</v>
      </c>
      <c r="G187" s="1186"/>
      <c r="H187" s="1186"/>
      <c r="I187" s="1186"/>
      <c r="J187" s="1186">
        <v>2</v>
      </c>
      <c r="K187" s="1186">
        <v>1</v>
      </c>
      <c r="L187" s="1186"/>
      <c r="M187" s="1186">
        <v>1</v>
      </c>
      <c r="N187" s="1186">
        <v>21580</v>
      </c>
    </row>
    <row r="188" spans="1:14" x14ac:dyDescent="0.2">
      <c r="A188" s="1186" t="s">
        <v>133</v>
      </c>
      <c r="B188" s="1186" t="s">
        <v>61</v>
      </c>
      <c r="C188" s="1186" t="s">
        <v>44</v>
      </c>
      <c r="D188" s="1186">
        <v>56</v>
      </c>
      <c r="E188" s="1186">
        <v>2</v>
      </c>
      <c r="F188" s="1186">
        <v>23</v>
      </c>
      <c r="G188" s="1186">
        <v>4</v>
      </c>
      <c r="H188" s="1186">
        <v>4</v>
      </c>
      <c r="I188" s="1186">
        <v>2</v>
      </c>
      <c r="J188" s="1186">
        <v>5</v>
      </c>
      <c r="K188" s="1186">
        <v>11</v>
      </c>
      <c r="L188" s="1186">
        <v>1</v>
      </c>
      <c r="M188" s="1186">
        <v>4</v>
      </c>
      <c r="N188" s="1186">
        <v>148930</v>
      </c>
    </row>
    <row r="189" spans="1:14" x14ac:dyDescent="0.2">
      <c r="A189" s="1186" t="s">
        <v>133</v>
      </c>
      <c r="B189" s="1186" t="s">
        <v>61</v>
      </c>
      <c r="C189" s="1186" t="s">
        <v>45</v>
      </c>
      <c r="D189" s="1186">
        <v>48</v>
      </c>
      <c r="E189" s="1186">
        <v>2</v>
      </c>
      <c r="F189" s="1186">
        <v>12</v>
      </c>
      <c r="G189" s="1186"/>
      <c r="H189" s="1186">
        <v>5</v>
      </c>
      <c r="I189" s="1186">
        <v>1</v>
      </c>
      <c r="J189" s="1186">
        <v>3</v>
      </c>
      <c r="K189" s="1186">
        <v>16</v>
      </c>
      <c r="L189" s="1186">
        <v>3</v>
      </c>
      <c r="M189" s="1186">
        <v>6</v>
      </c>
      <c r="N189" s="1186">
        <v>174230</v>
      </c>
    </row>
    <row r="190" spans="1:14" x14ac:dyDescent="0.2">
      <c r="A190" s="1186" t="s">
        <v>133</v>
      </c>
      <c r="B190" s="1186" t="s">
        <v>61</v>
      </c>
      <c r="C190" s="1186" t="s">
        <v>46</v>
      </c>
      <c r="D190" s="1186">
        <v>28</v>
      </c>
      <c r="E190" s="1186">
        <v>1</v>
      </c>
      <c r="F190" s="1186">
        <v>18</v>
      </c>
      <c r="G190" s="1186">
        <v>1</v>
      </c>
      <c r="H190" s="1186">
        <v>4</v>
      </c>
      <c r="I190" s="1186"/>
      <c r="J190" s="1186">
        <v>2</v>
      </c>
      <c r="K190" s="1186">
        <v>1</v>
      </c>
      <c r="L190" s="1186"/>
      <c r="M190" s="1186">
        <v>1</v>
      </c>
      <c r="N190" s="1186">
        <v>114040</v>
      </c>
    </row>
    <row r="191" spans="1:14" x14ac:dyDescent="0.2">
      <c r="A191" s="1186" t="s">
        <v>133</v>
      </c>
      <c r="B191" s="1186" t="s">
        <v>61</v>
      </c>
      <c r="C191" s="1186" t="s">
        <v>47</v>
      </c>
      <c r="D191" s="1186">
        <v>5</v>
      </c>
      <c r="E191" s="1186">
        <v>1</v>
      </c>
      <c r="F191" s="1186">
        <v>1</v>
      </c>
      <c r="G191" s="1186"/>
      <c r="H191" s="1186">
        <v>1</v>
      </c>
      <c r="I191" s="1186"/>
      <c r="J191" s="1186"/>
      <c r="K191" s="1186">
        <v>2</v>
      </c>
      <c r="L191" s="1186"/>
      <c r="M191" s="1186"/>
      <c r="N191" s="1186">
        <v>23220</v>
      </c>
    </row>
    <row r="192" spans="1:14" x14ac:dyDescent="0.2">
      <c r="A192" s="1186" t="s">
        <v>133</v>
      </c>
      <c r="B192" s="1186" t="s">
        <v>61</v>
      </c>
      <c r="C192" s="1186" t="s">
        <v>48</v>
      </c>
      <c r="D192" s="1186">
        <v>33</v>
      </c>
      <c r="E192" s="1186">
        <v>1</v>
      </c>
      <c r="F192" s="1186">
        <v>7</v>
      </c>
      <c r="G192" s="1186"/>
      <c r="H192" s="1186">
        <v>3</v>
      </c>
      <c r="I192" s="1186"/>
      <c r="J192" s="1186">
        <v>5</v>
      </c>
      <c r="K192" s="1186">
        <v>12</v>
      </c>
      <c r="L192" s="1186">
        <v>1</v>
      </c>
      <c r="M192" s="1186">
        <v>4</v>
      </c>
      <c r="N192" s="1186">
        <v>112530</v>
      </c>
    </row>
    <row r="193" spans="1:14" x14ac:dyDescent="0.2">
      <c r="A193" s="1186" t="s">
        <v>133</v>
      </c>
      <c r="B193" s="1186" t="s">
        <v>61</v>
      </c>
      <c r="C193" s="1186" t="s">
        <v>49</v>
      </c>
      <c r="D193" s="1186">
        <v>63</v>
      </c>
      <c r="E193" s="1186">
        <v>1</v>
      </c>
      <c r="F193" s="1186">
        <v>25</v>
      </c>
      <c r="G193" s="1186">
        <v>2</v>
      </c>
      <c r="H193" s="1186">
        <v>9</v>
      </c>
      <c r="I193" s="1186">
        <v>1</v>
      </c>
      <c r="J193" s="1186">
        <v>5</v>
      </c>
      <c r="K193" s="1186">
        <v>11</v>
      </c>
      <c r="L193" s="1186">
        <v>1</v>
      </c>
      <c r="M193" s="1186">
        <v>8</v>
      </c>
      <c r="N193" s="1186">
        <v>315300</v>
      </c>
    </row>
    <row r="194" spans="1:14" x14ac:dyDescent="0.2">
      <c r="A194" s="1186" t="s">
        <v>133</v>
      </c>
      <c r="B194" s="1186" t="s">
        <v>61</v>
      </c>
      <c r="C194" s="1186" t="s">
        <v>50</v>
      </c>
      <c r="D194" s="1186">
        <v>58</v>
      </c>
      <c r="E194" s="1186">
        <v>3</v>
      </c>
      <c r="F194" s="1186">
        <v>20</v>
      </c>
      <c r="G194" s="1186"/>
      <c r="H194" s="1186">
        <v>1</v>
      </c>
      <c r="I194" s="1186">
        <v>1</v>
      </c>
      <c r="J194" s="1186">
        <v>9</v>
      </c>
      <c r="K194" s="1186">
        <v>15</v>
      </c>
      <c r="L194" s="1186">
        <v>2</v>
      </c>
      <c r="M194" s="1186">
        <v>7</v>
      </c>
      <c r="N194" s="1186">
        <v>91520</v>
      </c>
    </row>
    <row r="195" spans="1:14" x14ac:dyDescent="0.2">
      <c r="A195" s="1186" t="s">
        <v>133</v>
      </c>
      <c r="B195" s="1186" t="s">
        <v>61</v>
      </c>
      <c r="C195" s="1186" t="s">
        <v>51</v>
      </c>
      <c r="D195" s="1186">
        <v>13</v>
      </c>
      <c r="E195" s="1186"/>
      <c r="F195" s="1186">
        <v>7</v>
      </c>
      <c r="G195" s="1186">
        <v>1</v>
      </c>
      <c r="H195" s="1186">
        <v>3</v>
      </c>
      <c r="I195" s="1186"/>
      <c r="J195" s="1186"/>
      <c r="K195" s="1186"/>
      <c r="L195" s="1186">
        <v>1</v>
      </c>
      <c r="M195" s="1186">
        <v>1</v>
      </c>
      <c r="N195" s="1186">
        <v>89710</v>
      </c>
    </row>
    <row r="196" spans="1:14" x14ac:dyDescent="0.2">
      <c r="A196" s="1186" t="s">
        <v>133</v>
      </c>
      <c r="B196" s="1186" t="s">
        <v>61</v>
      </c>
      <c r="C196" s="1186" t="s">
        <v>52</v>
      </c>
      <c r="D196" s="1186">
        <v>76</v>
      </c>
      <c r="E196" s="1186"/>
      <c r="F196" s="1186">
        <v>43</v>
      </c>
      <c r="G196" s="1186"/>
      <c r="H196" s="1186">
        <v>7</v>
      </c>
      <c r="I196" s="1186"/>
      <c r="J196" s="1186">
        <v>10</v>
      </c>
      <c r="K196" s="1186">
        <v>6</v>
      </c>
      <c r="L196" s="1186">
        <v>3</v>
      </c>
      <c r="M196" s="1186">
        <v>7</v>
      </c>
      <c r="N196" s="1186">
        <v>177200</v>
      </c>
    </row>
    <row r="197" spans="1:14" x14ac:dyDescent="0.2">
      <c r="A197" s="1186" t="s">
        <v>144</v>
      </c>
      <c r="B197" s="1186" t="s">
        <v>61</v>
      </c>
      <c r="C197" s="1186" t="s">
        <v>23</v>
      </c>
      <c r="D197" s="1186">
        <v>122</v>
      </c>
      <c r="E197" s="1186">
        <v>2</v>
      </c>
      <c r="F197" s="1186">
        <v>20</v>
      </c>
      <c r="G197" s="1186"/>
      <c r="H197" s="1186">
        <v>5</v>
      </c>
      <c r="I197" s="1186">
        <v>1</v>
      </c>
      <c r="J197" s="1186"/>
      <c r="K197" s="1186">
        <v>53</v>
      </c>
      <c r="L197" s="1186">
        <v>10</v>
      </c>
      <c r="M197" s="1186">
        <v>31</v>
      </c>
      <c r="N197" s="1186">
        <v>230350</v>
      </c>
    </row>
    <row r="198" spans="1:14" x14ac:dyDescent="0.2">
      <c r="A198" s="1186" t="s">
        <v>144</v>
      </c>
      <c r="B198" s="1186" t="s">
        <v>61</v>
      </c>
      <c r="C198" s="1186" t="s">
        <v>24</v>
      </c>
      <c r="D198" s="1186">
        <v>92</v>
      </c>
      <c r="E198" s="1186">
        <v>2</v>
      </c>
      <c r="F198" s="1186">
        <v>33</v>
      </c>
      <c r="G198" s="1186">
        <v>4</v>
      </c>
      <c r="H198" s="1186">
        <v>9</v>
      </c>
      <c r="I198" s="1186">
        <v>1</v>
      </c>
      <c r="J198" s="1186"/>
      <c r="K198" s="1186">
        <v>9</v>
      </c>
      <c r="L198" s="1186">
        <v>2</v>
      </c>
      <c r="M198" s="1186">
        <v>32</v>
      </c>
      <c r="N198" s="1186">
        <v>261960</v>
      </c>
    </row>
    <row r="199" spans="1:14" x14ac:dyDescent="0.2">
      <c r="A199" s="1186" t="s">
        <v>144</v>
      </c>
      <c r="B199" s="1186" t="s">
        <v>61</v>
      </c>
      <c r="C199" s="1186" t="s">
        <v>25</v>
      </c>
      <c r="D199" s="1186">
        <v>55</v>
      </c>
      <c r="E199" s="1186">
        <v>2</v>
      </c>
      <c r="F199" s="1186">
        <v>25</v>
      </c>
      <c r="G199" s="1186">
        <v>2</v>
      </c>
      <c r="H199" s="1186">
        <v>4</v>
      </c>
      <c r="I199" s="1186"/>
      <c r="J199" s="1186">
        <v>4</v>
      </c>
      <c r="K199" s="1186">
        <v>14</v>
      </c>
      <c r="L199" s="1186">
        <v>2</v>
      </c>
      <c r="M199" s="1186">
        <v>2</v>
      </c>
      <c r="N199" s="1186">
        <v>116900</v>
      </c>
    </row>
    <row r="200" spans="1:14" x14ac:dyDescent="0.2">
      <c r="A200" s="1186" t="s">
        <v>144</v>
      </c>
      <c r="B200" s="1186" t="s">
        <v>61</v>
      </c>
      <c r="C200" s="1186" t="s">
        <v>26</v>
      </c>
      <c r="D200" s="1186">
        <v>29</v>
      </c>
      <c r="E200" s="1186">
        <v>1</v>
      </c>
      <c r="F200" s="1186">
        <v>10</v>
      </c>
      <c r="G200" s="1186"/>
      <c r="H200" s="1186">
        <v>5</v>
      </c>
      <c r="I200" s="1186">
        <v>2</v>
      </c>
      <c r="J200" s="1186">
        <v>2</v>
      </c>
      <c r="K200" s="1186">
        <v>4</v>
      </c>
      <c r="L200" s="1186">
        <v>2</v>
      </c>
      <c r="M200" s="1186">
        <v>3</v>
      </c>
      <c r="N200" s="1186">
        <v>86890</v>
      </c>
    </row>
    <row r="201" spans="1:14" x14ac:dyDescent="0.2">
      <c r="A201" s="1186" t="s">
        <v>144</v>
      </c>
      <c r="B201" s="1186" t="s">
        <v>61</v>
      </c>
      <c r="C201" s="1186" t="s">
        <v>619</v>
      </c>
      <c r="D201" s="1186">
        <v>584</v>
      </c>
      <c r="E201" s="1186">
        <v>5</v>
      </c>
      <c r="F201" s="1186">
        <v>90</v>
      </c>
      <c r="G201" s="1186"/>
      <c r="H201" s="1186">
        <v>15</v>
      </c>
      <c r="I201" s="1186"/>
      <c r="J201" s="1186">
        <v>37</v>
      </c>
      <c r="K201" s="1186">
        <v>361</v>
      </c>
      <c r="L201" s="1186">
        <v>57</v>
      </c>
      <c r="M201" s="1186">
        <v>19</v>
      </c>
      <c r="N201" s="1186">
        <v>498810</v>
      </c>
    </row>
    <row r="202" spans="1:14" x14ac:dyDescent="0.2">
      <c r="A202" s="1186" t="s">
        <v>144</v>
      </c>
      <c r="B202" s="1186" t="s">
        <v>61</v>
      </c>
      <c r="C202" s="1186" t="s">
        <v>27</v>
      </c>
      <c r="D202" s="1186">
        <v>19</v>
      </c>
      <c r="E202" s="1186">
        <v>1</v>
      </c>
      <c r="F202" s="1186">
        <v>4</v>
      </c>
      <c r="G202" s="1186"/>
      <c r="H202" s="1186">
        <v>1</v>
      </c>
      <c r="I202" s="1186"/>
      <c r="J202" s="1186">
        <v>3</v>
      </c>
      <c r="K202" s="1186">
        <v>3</v>
      </c>
      <c r="L202" s="1186"/>
      <c r="M202" s="1186">
        <v>7</v>
      </c>
      <c r="N202" s="1186">
        <v>51360</v>
      </c>
    </row>
    <row r="203" spans="1:14" x14ac:dyDescent="0.2">
      <c r="A203" s="1186" t="s">
        <v>144</v>
      </c>
      <c r="B203" s="1186" t="s">
        <v>61</v>
      </c>
      <c r="C203" s="1186" t="s">
        <v>28</v>
      </c>
      <c r="D203" s="1186">
        <v>61</v>
      </c>
      <c r="E203" s="1186">
        <v>2</v>
      </c>
      <c r="F203" s="1186">
        <v>31</v>
      </c>
      <c r="G203" s="1186"/>
      <c r="H203" s="1186">
        <v>8</v>
      </c>
      <c r="I203" s="1186">
        <v>1</v>
      </c>
      <c r="J203" s="1186">
        <v>3</v>
      </c>
      <c r="K203" s="1186">
        <v>10</v>
      </c>
      <c r="L203" s="1186">
        <v>1</v>
      </c>
      <c r="M203" s="1186">
        <v>5</v>
      </c>
      <c r="N203" s="1186">
        <v>149670</v>
      </c>
    </row>
    <row r="204" spans="1:14" x14ac:dyDescent="0.2">
      <c r="A204" s="1186" t="s">
        <v>144</v>
      </c>
      <c r="B204" s="1186" t="s">
        <v>61</v>
      </c>
      <c r="C204" s="1186" t="s">
        <v>29</v>
      </c>
      <c r="D204" s="1186">
        <v>140</v>
      </c>
      <c r="E204" s="1186">
        <v>3</v>
      </c>
      <c r="F204" s="1186">
        <v>51</v>
      </c>
      <c r="G204" s="1186">
        <v>1</v>
      </c>
      <c r="H204" s="1186">
        <v>6</v>
      </c>
      <c r="I204" s="1186">
        <v>1</v>
      </c>
      <c r="J204" s="1186">
        <v>4</v>
      </c>
      <c r="K204" s="1186">
        <v>45</v>
      </c>
      <c r="L204" s="1186">
        <v>10</v>
      </c>
      <c r="M204" s="1186">
        <v>19</v>
      </c>
      <c r="N204" s="1186">
        <v>148210</v>
      </c>
    </row>
    <row r="205" spans="1:14" x14ac:dyDescent="0.2">
      <c r="A205" s="1186" t="s">
        <v>144</v>
      </c>
      <c r="B205" s="1186" t="s">
        <v>61</v>
      </c>
      <c r="C205" s="1186" t="s">
        <v>30</v>
      </c>
      <c r="D205" s="1186">
        <v>23</v>
      </c>
      <c r="E205" s="1186">
        <v>3</v>
      </c>
      <c r="F205" s="1186">
        <v>3</v>
      </c>
      <c r="G205" s="1186"/>
      <c r="H205" s="1186">
        <v>8</v>
      </c>
      <c r="I205" s="1186"/>
      <c r="J205" s="1186"/>
      <c r="K205" s="1186">
        <v>5</v>
      </c>
      <c r="L205" s="1186">
        <v>1</v>
      </c>
      <c r="M205" s="1186">
        <v>3</v>
      </c>
      <c r="N205" s="1186">
        <v>122060</v>
      </c>
    </row>
    <row r="206" spans="1:14" x14ac:dyDescent="0.2">
      <c r="A206" s="1186" t="s">
        <v>144</v>
      </c>
      <c r="B206" s="1186" t="s">
        <v>61</v>
      </c>
      <c r="C206" s="1186" t="s">
        <v>31</v>
      </c>
      <c r="D206" s="1186">
        <v>11</v>
      </c>
      <c r="E206" s="1186">
        <v>1</v>
      </c>
      <c r="F206" s="1186">
        <v>4</v>
      </c>
      <c r="G206" s="1186">
        <v>1</v>
      </c>
      <c r="H206" s="1186">
        <v>1</v>
      </c>
      <c r="I206" s="1186"/>
      <c r="J206" s="1186">
        <v>1</v>
      </c>
      <c r="K206" s="1186">
        <v>1</v>
      </c>
      <c r="L206" s="1186">
        <v>1</v>
      </c>
      <c r="M206" s="1186">
        <v>1</v>
      </c>
      <c r="N206" s="1186">
        <v>106960</v>
      </c>
    </row>
    <row r="207" spans="1:14" x14ac:dyDescent="0.2">
      <c r="A207" s="1186" t="s">
        <v>144</v>
      </c>
      <c r="B207" s="1186" t="s">
        <v>61</v>
      </c>
      <c r="C207" s="1186" t="s">
        <v>32</v>
      </c>
      <c r="D207" s="1186">
        <v>58</v>
      </c>
      <c r="E207" s="1186"/>
      <c r="F207" s="1186">
        <v>27</v>
      </c>
      <c r="G207" s="1186">
        <v>2</v>
      </c>
      <c r="H207" s="1186">
        <v>2</v>
      </c>
      <c r="I207" s="1186"/>
      <c r="J207" s="1186">
        <v>12</v>
      </c>
      <c r="K207" s="1186">
        <v>12</v>
      </c>
      <c r="L207" s="1186"/>
      <c r="M207" s="1186">
        <v>3</v>
      </c>
      <c r="N207" s="1186">
        <v>103050</v>
      </c>
    </row>
    <row r="208" spans="1:14" x14ac:dyDescent="0.2">
      <c r="A208" s="1186" t="s">
        <v>144</v>
      </c>
      <c r="B208" s="1186" t="s">
        <v>61</v>
      </c>
      <c r="C208" s="1186" t="s">
        <v>33</v>
      </c>
      <c r="D208" s="1186">
        <v>10</v>
      </c>
      <c r="E208" s="1186"/>
      <c r="F208" s="1186">
        <v>1</v>
      </c>
      <c r="G208" s="1186"/>
      <c r="H208" s="1186">
        <v>2</v>
      </c>
      <c r="I208" s="1186"/>
      <c r="J208" s="1186"/>
      <c r="K208" s="1186">
        <v>6</v>
      </c>
      <c r="L208" s="1186"/>
      <c r="M208" s="1186">
        <v>1</v>
      </c>
      <c r="N208" s="1186">
        <v>92940</v>
      </c>
    </row>
    <row r="209" spans="1:14" x14ac:dyDescent="0.2">
      <c r="A209" s="1186" t="s">
        <v>144</v>
      </c>
      <c r="B209" s="1186" t="s">
        <v>61</v>
      </c>
      <c r="C209" s="1186" t="s">
        <v>34</v>
      </c>
      <c r="D209" s="1186">
        <v>56</v>
      </c>
      <c r="E209" s="1186">
        <v>2</v>
      </c>
      <c r="F209" s="1186">
        <v>30</v>
      </c>
      <c r="G209" s="1186">
        <v>2</v>
      </c>
      <c r="H209" s="1186">
        <v>1</v>
      </c>
      <c r="I209" s="1186"/>
      <c r="J209" s="1186">
        <v>8</v>
      </c>
      <c r="K209" s="1186">
        <v>11</v>
      </c>
      <c r="L209" s="1186"/>
      <c r="M209" s="1186">
        <v>2</v>
      </c>
      <c r="N209" s="1186">
        <v>158460</v>
      </c>
    </row>
    <row r="210" spans="1:14" x14ac:dyDescent="0.2">
      <c r="A210" s="1186" t="s">
        <v>144</v>
      </c>
      <c r="B210" s="1186" t="s">
        <v>61</v>
      </c>
      <c r="C210" s="1186" t="s">
        <v>35</v>
      </c>
      <c r="D210" s="1186">
        <v>158</v>
      </c>
      <c r="E210" s="1186">
        <v>2</v>
      </c>
      <c r="F210" s="1186">
        <v>68</v>
      </c>
      <c r="G210" s="1186">
        <v>1</v>
      </c>
      <c r="H210" s="1186">
        <v>12</v>
      </c>
      <c r="I210" s="1186">
        <v>3</v>
      </c>
      <c r="J210" s="1186">
        <v>10</v>
      </c>
      <c r="K210" s="1186">
        <v>30</v>
      </c>
      <c r="L210" s="1186">
        <v>6</v>
      </c>
      <c r="M210" s="1186">
        <v>26</v>
      </c>
      <c r="N210" s="1186">
        <v>368080</v>
      </c>
    </row>
    <row r="211" spans="1:14" x14ac:dyDescent="0.2">
      <c r="A211" s="1186" t="s">
        <v>144</v>
      </c>
      <c r="B211" s="1186" t="s">
        <v>61</v>
      </c>
      <c r="C211" s="1186" t="s">
        <v>36</v>
      </c>
      <c r="D211" s="1186">
        <v>139</v>
      </c>
      <c r="E211" s="1186">
        <v>1</v>
      </c>
      <c r="F211" s="1186">
        <v>17</v>
      </c>
      <c r="G211" s="1186"/>
      <c r="H211" s="1186">
        <v>17</v>
      </c>
      <c r="I211" s="1186"/>
      <c r="J211" s="1186">
        <v>3</v>
      </c>
      <c r="K211" s="1186">
        <v>86</v>
      </c>
      <c r="L211" s="1186">
        <v>4</v>
      </c>
      <c r="M211" s="1186">
        <v>11</v>
      </c>
      <c r="N211" s="1186">
        <v>606340</v>
      </c>
    </row>
    <row r="212" spans="1:14" x14ac:dyDescent="0.2">
      <c r="A212" s="1186" t="s">
        <v>144</v>
      </c>
      <c r="B212" s="1186" t="s">
        <v>61</v>
      </c>
      <c r="C212" s="1186" t="s">
        <v>37</v>
      </c>
      <c r="D212" s="1186">
        <v>267</v>
      </c>
      <c r="E212" s="1186">
        <v>6</v>
      </c>
      <c r="F212" s="1186">
        <v>177</v>
      </c>
      <c r="G212" s="1186">
        <v>1</v>
      </c>
      <c r="H212" s="1186">
        <v>8</v>
      </c>
      <c r="I212" s="1186"/>
      <c r="J212" s="1186">
        <v>13</v>
      </c>
      <c r="K212" s="1186">
        <v>37</v>
      </c>
      <c r="L212" s="1186">
        <v>1</v>
      </c>
      <c r="M212" s="1186">
        <v>24</v>
      </c>
      <c r="N212" s="1186">
        <v>234110</v>
      </c>
    </row>
    <row r="213" spans="1:14" x14ac:dyDescent="0.2">
      <c r="A213" s="1186" t="s">
        <v>144</v>
      </c>
      <c r="B213" s="1186" t="s">
        <v>61</v>
      </c>
      <c r="C213" s="1186" t="s">
        <v>38</v>
      </c>
      <c r="D213" s="1186">
        <v>12</v>
      </c>
      <c r="E213" s="1186"/>
      <c r="F213" s="1186">
        <v>4</v>
      </c>
      <c r="G213" s="1186"/>
      <c r="H213" s="1186"/>
      <c r="I213" s="1186"/>
      <c r="J213" s="1186"/>
      <c r="K213" s="1186">
        <v>7</v>
      </c>
      <c r="L213" s="1186">
        <v>1</v>
      </c>
      <c r="M213" s="1186"/>
      <c r="N213" s="1186">
        <v>79500</v>
      </c>
    </row>
    <row r="214" spans="1:14" x14ac:dyDescent="0.2">
      <c r="A214" s="1186" t="s">
        <v>144</v>
      </c>
      <c r="B214" s="1186" t="s">
        <v>61</v>
      </c>
      <c r="C214" s="1186" t="s">
        <v>39</v>
      </c>
      <c r="D214" s="1186">
        <v>79</v>
      </c>
      <c r="E214" s="1186"/>
      <c r="F214" s="1186">
        <v>31</v>
      </c>
      <c r="G214" s="1186">
        <v>1</v>
      </c>
      <c r="H214" s="1186">
        <v>1</v>
      </c>
      <c r="I214" s="1186"/>
      <c r="J214" s="1186">
        <v>14</v>
      </c>
      <c r="K214" s="1186">
        <v>15</v>
      </c>
      <c r="L214" s="1186">
        <v>8</v>
      </c>
      <c r="M214" s="1186">
        <v>9</v>
      </c>
      <c r="N214" s="1186">
        <v>87390</v>
      </c>
    </row>
    <row r="215" spans="1:14" x14ac:dyDescent="0.2">
      <c r="A215" s="1186" t="s">
        <v>144</v>
      </c>
      <c r="B215" s="1186" t="s">
        <v>61</v>
      </c>
      <c r="C215" s="1186" t="s">
        <v>40</v>
      </c>
      <c r="D215" s="1186">
        <v>43</v>
      </c>
      <c r="E215" s="1186">
        <v>1</v>
      </c>
      <c r="F215" s="1186">
        <v>23</v>
      </c>
      <c r="G215" s="1186">
        <v>1</v>
      </c>
      <c r="H215" s="1186"/>
      <c r="I215" s="1186"/>
      <c r="J215" s="1186">
        <v>1</v>
      </c>
      <c r="K215" s="1186">
        <v>6</v>
      </c>
      <c r="L215" s="1186"/>
      <c r="M215" s="1186">
        <v>11</v>
      </c>
      <c r="N215" s="1186">
        <v>95510</v>
      </c>
    </row>
    <row r="216" spans="1:14" x14ac:dyDescent="0.2">
      <c r="A216" s="1186" t="s">
        <v>144</v>
      </c>
      <c r="B216" s="1186" t="s">
        <v>61</v>
      </c>
      <c r="C216" s="1186" t="s">
        <v>295</v>
      </c>
      <c r="D216" s="1186">
        <v>25</v>
      </c>
      <c r="E216" s="1186"/>
      <c r="F216" s="1186">
        <v>22</v>
      </c>
      <c r="G216" s="1186"/>
      <c r="H216" s="1186"/>
      <c r="I216" s="1186"/>
      <c r="J216" s="1186">
        <v>1</v>
      </c>
      <c r="K216" s="1186"/>
      <c r="L216" s="1186">
        <v>1</v>
      </c>
      <c r="M216" s="1186">
        <v>1</v>
      </c>
      <c r="N216" s="1186">
        <v>27070</v>
      </c>
    </row>
    <row r="217" spans="1:14" x14ac:dyDescent="0.2">
      <c r="A217" s="1186" t="s">
        <v>144</v>
      </c>
      <c r="B217" s="1186" t="s">
        <v>61</v>
      </c>
      <c r="C217" s="1186" t="s">
        <v>41</v>
      </c>
      <c r="D217" s="1186">
        <v>22</v>
      </c>
      <c r="E217" s="1186">
        <v>1</v>
      </c>
      <c r="F217" s="1186">
        <v>9</v>
      </c>
      <c r="G217" s="1186"/>
      <c r="H217" s="1186">
        <v>1</v>
      </c>
      <c r="I217" s="1186"/>
      <c r="J217" s="1186">
        <v>5</v>
      </c>
      <c r="K217" s="1186">
        <v>3</v>
      </c>
      <c r="L217" s="1186">
        <v>1</v>
      </c>
      <c r="M217" s="1186">
        <v>2</v>
      </c>
      <c r="N217" s="1186">
        <v>136130</v>
      </c>
    </row>
    <row r="218" spans="1:14" x14ac:dyDescent="0.2">
      <c r="A218" s="1186" t="s">
        <v>144</v>
      </c>
      <c r="B218" s="1186" t="s">
        <v>61</v>
      </c>
      <c r="C218" s="1186" t="s">
        <v>42</v>
      </c>
      <c r="D218" s="1186">
        <v>35</v>
      </c>
      <c r="E218" s="1186">
        <v>1</v>
      </c>
      <c r="F218" s="1186">
        <v>9</v>
      </c>
      <c r="G218" s="1186"/>
      <c r="H218" s="1186">
        <v>7</v>
      </c>
      <c r="I218" s="1186">
        <v>1</v>
      </c>
      <c r="J218" s="1186">
        <v>3</v>
      </c>
      <c r="K218" s="1186">
        <v>5</v>
      </c>
      <c r="L218" s="1186"/>
      <c r="M218" s="1186">
        <v>9</v>
      </c>
      <c r="N218" s="1186">
        <v>338260</v>
      </c>
    </row>
    <row r="219" spans="1:14" x14ac:dyDescent="0.2">
      <c r="A219" s="1186" t="s">
        <v>144</v>
      </c>
      <c r="B219" s="1186" t="s">
        <v>61</v>
      </c>
      <c r="C219" s="1186" t="s">
        <v>43</v>
      </c>
      <c r="D219" s="1186">
        <v>12</v>
      </c>
      <c r="E219" s="1186">
        <v>4</v>
      </c>
      <c r="F219" s="1186">
        <v>3</v>
      </c>
      <c r="G219" s="1186"/>
      <c r="H219" s="1186">
        <v>2</v>
      </c>
      <c r="I219" s="1186"/>
      <c r="J219" s="1186">
        <v>1</v>
      </c>
      <c r="K219" s="1186">
        <v>1</v>
      </c>
      <c r="L219" s="1186">
        <v>1</v>
      </c>
      <c r="M219" s="1186"/>
      <c r="N219" s="1186">
        <v>21670</v>
      </c>
    </row>
    <row r="220" spans="1:14" x14ac:dyDescent="0.2">
      <c r="A220" s="1186" t="s">
        <v>144</v>
      </c>
      <c r="B220" s="1186" t="s">
        <v>61</v>
      </c>
      <c r="C220" s="1186" t="s">
        <v>44</v>
      </c>
      <c r="D220" s="1186">
        <v>56</v>
      </c>
      <c r="E220" s="1186">
        <v>1</v>
      </c>
      <c r="F220" s="1186">
        <v>25</v>
      </c>
      <c r="G220" s="1186">
        <v>3</v>
      </c>
      <c r="H220" s="1186">
        <v>2</v>
      </c>
      <c r="I220" s="1186">
        <v>1</v>
      </c>
      <c r="J220" s="1186">
        <v>5</v>
      </c>
      <c r="K220" s="1186">
        <v>12</v>
      </c>
      <c r="L220" s="1186">
        <v>3</v>
      </c>
      <c r="M220" s="1186">
        <v>4</v>
      </c>
      <c r="N220" s="1186">
        <v>149930</v>
      </c>
    </row>
    <row r="221" spans="1:14" x14ac:dyDescent="0.2">
      <c r="A221" s="1186" t="s">
        <v>144</v>
      </c>
      <c r="B221" s="1186" t="s">
        <v>61</v>
      </c>
      <c r="C221" s="1186" t="s">
        <v>45</v>
      </c>
      <c r="D221" s="1186">
        <v>41</v>
      </c>
      <c r="E221" s="1186"/>
      <c r="F221" s="1186">
        <v>8</v>
      </c>
      <c r="G221" s="1186"/>
      <c r="H221" s="1186">
        <v>5</v>
      </c>
      <c r="I221" s="1186"/>
      <c r="J221" s="1186">
        <v>4</v>
      </c>
      <c r="K221" s="1186">
        <v>11</v>
      </c>
      <c r="L221" s="1186">
        <v>6</v>
      </c>
      <c r="M221" s="1186">
        <v>7</v>
      </c>
      <c r="N221" s="1186">
        <v>174560</v>
      </c>
    </row>
    <row r="222" spans="1:14" x14ac:dyDescent="0.2">
      <c r="A222" s="1186" t="s">
        <v>144</v>
      </c>
      <c r="B222" s="1186" t="s">
        <v>61</v>
      </c>
      <c r="C222" s="1186" t="s">
        <v>46</v>
      </c>
      <c r="D222" s="1186">
        <v>28</v>
      </c>
      <c r="E222" s="1186"/>
      <c r="F222" s="1186">
        <v>11</v>
      </c>
      <c r="G222" s="1186"/>
      <c r="H222" s="1186">
        <v>5</v>
      </c>
      <c r="I222" s="1186"/>
      <c r="J222" s="1186">
        <v>5</v>
      </c>
      <c r="K222" s="1186">
        <v>4</v>
      </c>
      <c r="L222" s="1186"/>
      <c r="M222" s="1186">
        <v>3</v>
      </c>
      <c r="N222" s="1186">
        <v>114030</v>
      </c>
    </row>
    <row r="223" spans="1:14" x14ac:dyDescent="0.2">
      <c r="A223" s="1186" t="s">
        <v>144</v>
      </c>
      <c r="B223" s="1186" t="s">
        <v>61</v>
      </c>
      <c r="C223" s="1186" t="s">
        <v>47</v>
      </c>
      <c r="D223" s="1186">
        <v>11</v>
      </c>
      <c r="E223" s="1186">
        <v>1</v>
      </c>
      <c r="F223" s="1186">
        <v>4</v>
      </c>
      <c r="G223" s="1186"/>
      <c r="H223" s="1186"/>
      <c r="I223" s="1186"/>
      <c r="J223" s="1186">
        <v>3</v>
      </c>
      <c r="K223" s="1186">
        <v>2</v>
      </c>
      <c r="L223" s="1186">
        <v>1</v>
      </c>
      <c r="M223" s="1186"/>
      <c r="N223" s="1186">
        <v>23200</v>
      </c>
    </row>
    <row r="224" spans="1:14" x14ac:dyDescent="0.2">
      <c r="A224" s="1186" t="s">
        <v>144</v>
      </c>
      <c r="B224" s="1186" t="s">
        <v>61</v>
      </c>
      <c r="C224" s="1186" t="s">
        <v>48</v>
      </c>
      <c r="D224" s="1186">
        <v>29</v>
      </c>
      <c r="E224" s="1186"/>
      <c r="F224" s="1186">
        <v>7</v>
      </c>
      <c r="G224" s="1186"/>
      <c r="H224" s="1186"/>
      <c r="I224" s="1186"/>
      <c r="J224" s="1186">
        <v>2</v>
      </c>
      <c r="K224" s="1186">
        <v>9</v>
      </c>
      <c r="L224" s="1186">
        <v>5</v>
      </c>
      <c r="M224" s="1186">
        <v>6</v>
      </c>
      <c r="N224" s="1186">
        <v>112400</v>
      </c>
    </row>
    <row r="225" spans="1:14" x14ac:dyDescent="0.2">
      <c r="A225" s="1186" t="s">
        <v>144</v>
      </c>
      <c r="B225" s="1186" t="s">
        <v>61</v>
      </c>
      <c r="C225" s="1186" t="s">
        <v>49</v>
      </c>
      <c r="D225" s="1186">
        <v>46</v>
      </c>
      <c r="E225" s="1186"/>
      <c r="F225" s="1186">
        <v>20</v>
      </c>
      <c r="G225" s="1186"/>
      <c r="H225" s="1186">
        <v>6</v>
      </c>
      <c r="I225" s="1186">
        <v>1</v>
      </c>
      <c r="J225" s="1186">
        <v>5</v>
      </c>
      <c r="K225" s="1186">
        <v>8</v>
      </c>
      <c r="L225" s="1186">
        <v>2</v>
      </c>
      <c r="M225" s="1186">
        <v>4</v>
      </c>
      <c r="N225" s="1186">
        <v>316230</v>
      </c>
    </row>
    <row r="226" spans="1:14" x14ac:dyDescent="0.2">
      <c r="A226" s="1186" t="s">
        <v>144</v>
      </c>
      <c r="B226" s="1186" t="s">
        <v>61</v>
      </c>
      <c r="C226" s="1186" t="s">
        <v>50</v>
      </c>
      <c r="D226" s="1186">
        <v>59</v>
      </c>
      <c r="E226" s="1186"/>
      <c r="F226" s="1186">
        <v>25</v>
      </c>
      <c r="G226" s="1186">
        <v>1</v>
      </c>
      <c r="H226" s="1186">
        <v>5</v>
      </c>
      <c r="I226" s="1186"/>
      <c r="J226" s="1186">
        <v>4</v>
      </c>
      <c r="K226" s="1186">
        <v>15</v>
      </c>
      <c r="L226" s="1186">
        <v>2</v>
      </c>
      <c r="M226" s="1186">
        <v>7</v>
      </c>
      <c r="N226" s="1186">
        <v>92830</v>
      </c>
    </row>
    <row r="227" spans="1:14" x14ac:dyDescent="0.2">
      <c r="A227" s="1186" t="s">
        <v>144</v>
      </c>
      <c r="B227" s="1186" t="s">
        <v>61</v>
      </c>
      <c r="C227" s="1186" t="s">
        <v>51</v>
      </c>
      <c r="D227" s="1186">
        <v>12</v>
      </c>
      <c r="E227" s="1186"/>
      <c r="F227" s="1186">
        <v>4</v>
      </c>
      <c r="G227" s="1186">
        <v>1</v>
      </c>
      <c r="H227" s="1186">
        <v>3</v>
      </c>
      <c r="I227" s="1186"/>
      <c r="J227" s="1186">
        <v>2</v>
      </c>
      <c r="K227" s="1186">
        <v>2</v>
      </c>
      <c r="L227" s="1186"/>
      <c r="M227" s="1186"/>
      <c r="N227" s="1186">
        <v>89590</v>
      </c>
    </row>
    <row r="228" spans="1:14" x14ac:dyDescent="0.2">
      <c r="A228" s="1186" t="s">
        <v>144</v>
      </c>
      <c r="B228" s="1186" t="s">
        <v>61</v>
      </c>
      <c r="C228" s="1186" t="s">
        <v>52</v>
      </c>
      <c r="D228" s="1186">
        <v>120</v>
      </c>
      <c r="E228" s="1186"/>
      <c r="F228" s="1186">
        <v>68</v>
      </c>
      <c r="G228" s="1186"/>
      <c r="H228" s="1186">
        <v>3</v>
      </c>
      <c r="I228" s="1186">
        <v>2</v>
      </c>
      <c r="J228" s="1186">
        <v>14</v>
      </c>
      <c r="K228" s="1186">
        <v>19</v>
      </c>
      <c r="L228" s="1186">
        <v>7</v>
      </c>
      <c r="M228" s="1186">
        <v>7</v>
      </c>
      <c r="N228" s="1186">
        <v>178550</v>
      </c>
    </row>
    <row r="229" spans="1:14" x14ac:dyDescent="0.2">
      <c r="A229" s="1186" t="s">
        <v>282</v>
      </c>
      <c r="B229" s="1186" t="s">
        <v>61</v>
      </c>
      <c r="C229" s="1186" t="s">
        <v>23</v>
      </c>
      <c r="D229" s="1186">
        <v>94</v>
      </c>
      <c r="E229" s="1186">
        <v>3</v>
      </c>
      <c r="F229" s="1186">
        <v>24</v>
      </c>
      <c r="G229" s="1186"/>
      <c r="H229" s="1186">
        <v>3</v>
      </c>
      <c r="I229" s="1186"/>
      <c r="J229" s="1186">
        <v>1</v>
      </c>
      <c r="K229" s="1186">
        <v>37</v>
      </c>
      <c r="L229" s="1186">
        <v>5</v>
      </c>
      <c r="M229" s="1186">
        <v>21</v>
      </c>
      <c r="N229" s="1186">
        <v>229840</v>
      </c>
    </row>
    <row r="230" spans="1:14" x14ac:dyDescent="0.2">
      <c r="A230" s="1186" t="s">
        <v>282</v>
      </c>
      <c r="B230" s="1186" t="s">
        <v>61</v>
      </c>
      <c r="C230" s="1186" t="s">
        <v>24</v>
      </c>
      <c r="D230" s="1186">
        <v>135</v>
      </c>
      <c r="E230" s="1186">
        <v>2</v>
      </c>
      <c r="F230" s="1186">
        <v>59</v>
      </c>
      <c r="G230" s="1186">
        <v>1</v>
      </c>
      <c r="H230" s="1186">
        <v>7</v>
      </c>
      <c r="I230" s="1186">
        <v>1</v>
      </c>
      <c r="J230" s="1186">
        <v>6</v>
      </c>
      <c r="K230" s="1186">
        <v>21</v>
      </c>
      <c r="L230" s="1186">
        <v>5</v>
      </c>
      <c r="M230" s="1186">
        <v>33</v>
      </c>
      <c r="N230" s="1186">
        <v>262190</v>
      </c>
    </row>
    <row r="231" spans="1:14" x14ac:dyDescent="0.2">
      <c r="A231" s="1186" t="s">
        <v>282</v>
      </c>
      <c r="B231" s="1186" t="s">
        <v>61</v>
      </c>
      <c r="C231" s="1186" t="s">
        <v>25</v>
      </c>
      <c r="D231" s="1186">
        <v>46</v>
      </c>
      <c r="E231" s="1186">
        <v>2</v>
      </c>
      <c r="F231" s="1186">
        <v>18</v>
      </c>
      <c r="G231" s="1186">
        <v>2</v>
      </c>
      <c r="H231" s="1186">
        <v>3</v>
      </c>
      <c r="I231" s="1186"/>
      <c r="J231" s="1186">
        <v>5</v>
      </c>
      <c r="K231" s="1186">
        <v>11</v>
      </c>
      <c r="L231" s="1186">
        <v>1</v>
      </c>
      <c r="M231" s="1186">
        <v>4</v>
      </c>
      <c r="N231" s="1186">
        <v>116520</v>
      </c>
    </row>
    <row r="232" spans="1:14" x14ac:dyDescent="0.2">
      <c r="A232" s="1186" t="s">
        <v>282</v>
      </c>
      <c r="B232" s="1186" t="s">
        <v>61</v>
      </c>
      <c r="C232" s="1186" t="s">
        <v>26</v>
      </c>
      <c r="D232" s="1186">
        <v>59</v>
      </c>
      <c r="E232" s="1186">
        <v>3</v>
      </c>
      <c r="F232" s="1186">
        <v>27</v>
      </c>
      <c r="G232" s="1186"/>
      <c r="H232" s="1186">
        <v>2</v>
      </c>
      <c r="I232" s="1186">
        <v>2</v>
      </c>
      <c r="J232" s="1186">
        <v>12</v>
      </c>
      <c r="K232" s="1186">
        <v>11</v>
      </c>
      <c r="L232" s="1186"/>
      <c r="M232" s="1186">
        <v>2</v>
      </c>
      <c r="N232" s="1186">
        <v>87130</v>
      </c>
    </row>
    <row r="233" spans="1:14" x14ac:dyDescent="0.2">
      <c r="A233" s="1186" t="s">
        <v>282</v>
      </c>
      <c r="B233" s="1186" t="s">
        <v>61</v>
      </c>
      <c r="C233" s="1186" t="s">
        <v>619</v>
      </c>
      <c r="D233" s="1186">
        <v>566</v>
      </c>
      <c r="E233" s="1186"/>
      <c r="F233" s="1186">
        <v>62</v>
      </c>
      <c r="G233" s="1186"/>
      <c r="H233" s="1186">
        <v>18</v>
      </c>
      <c r="I233" s="1186">
        <v>2</v>
      </c>
      <c r="J233" s="1186">
        <v>37</v>
      </c>
      <c r="K233" s="1186">
        <v>376</v>
      </c>
      <c r="L233" s="1186">
        <v>49</v>
      </c>
      <c r="M233" s="1186">
        <v>22</v>
      </c>
      <c r="N233" s="1186">
        <v>507170</v>
      </c>
    </row>
    <row r="234" spans="1:14" x14ac:dyDescent="0.2">
      <c r="A234" s="1186" t="s">
        <v>282</v>
      </c>
      <c r="B234" s="1186" t="s">
        <v>61</v>
      </c>
      <c r="C234" s="1186" t="s">
        <v>27</v>
      </c>
      <c r="D234" s="1186">
        <v>21</v>
      </c>
      <c r="E234" s="1186">
        <v>1</v>
      </c>
      <c r="F234" s="1186">
        <v>10</v>
      </c>
      <c r="G234" s="1186"/>
      <c r="H234" s="1186">
        <v>4</v>
      </c>
      <c r="I234" s="1186">
        <v>1</v>
      </c>
      <c r="J234" s="1186">
        <v>1</v>
      </c>
      <c r="K234" s="1186">
        <v>4</v>
      </c>
      <c r="L234" s="1186"/>
      <c r="M234" s="1186"/>
      <c r="N234" s="1186">
        <v>51350</v>
      </c>
    </row>
    <row r="235" spans="1:14" x14ac:dyDescent="0.2">
      <c r="A235" s="1186" t="s">
        <v>282</v>
      </c>
      <c r="B235" s="1186" t="s">
        <v>61</v>
      </c>
      <c r="C235" s="1186" t="s">
        <v>28</v>
      </c>
      <c r="D235" s="1186">
        <v>53</v>
      </c>
      <c r="E235" s="1186">
        <v>2</v>
      </c>
      <c r="F235" s="1186">
        <v>27</v>
      </c>
      <c r="G235" s="1186"/>
      <c r="H235" s="1186">
        <v>3</v>
      </c>
      <c r="I235" s="1186"/>
      <c r="J235" s="1186">
        <v>3</v>
      </c>
      <c r="K235" s="1186">
        <v>11</v>
      </c>
      <c r="L235" s="1186">
        <v>2</v>
      </c>
      <c r="M235" s="1186">
        <v>5</v>
      </c>
      <c r="N235" s="1186">
        <v>149520</v>
      </c>
    </row>
    <row r="236" spans="1:14" x14ac:dyDescent="0.2">
      <c r="A236" s="1186" t="s">
        <v>282</v>
      </c>
      <c r="B236" s="1186" t="s">
        <v>61</v>
      </c>
      <c r="C236" s="1186" t="s">
        <v>29</v>
      </c>
      <c r="D236" s="1186">
        <v>122</v>
      </c>
      <c r="E236" s="1186"/>
      <c r="F236" s="1186">
        <v>38</v>
      </c>
      <c r="G236" s="1186"/>
      <c r="H236" s="1186">
        <v>4</v>
      </c>
      <c r="I236" s="1186"/>
      <c r="J236" s="1186">
        <v>11</v>
      </c>
      <c r="K236" s="1186">
        <v>53</v>
      </c>
      <c r="L236" s="1186">
        <v>10</v>
      </c>
      <c r="M236" s="1186">
        <v>6</v>
      </c>
      <c r="N236" s="1186">
        <v>148270</v>
      </c>
    </row>
    <row r="237" spans="1:14" x14ac:dyDescent="0.2">
      <c r="A237" s="1186" t="s">
        <v>282</v>
      </c>
      <c r="B237" s="1186" t="s">
        <v>61</v>
      </c>
      <c r="C237" s="1186" t="s">
        <v>30</v>
      </c>
      <c r="D237" s="1186">
        <v>14</v>
      </c>
      <c r="E237" s="1186"/>
      <c r="F237" s="1186">
        <v>3</v>
      </c>
      <c r="G237" s="1186"/>
      <c r="H237" s="1186">
        <v>3</v>
      </c>
      <c r="I237" s="1186">
        <v>1</v>
      </c>
      <c r="J237" s="1186">
        <v>1</v>
      </c>
      <c r="K237" s="1186">
        <v>2</v>
      </c>
      <c r="L237" s="1186">
        <v>2</v>
      </c>
      <c r="M237" s="1186">
        <v>2</v>
      </c>
      <c r="N237" s="1186">
        <v>122200</v>
      </c>
    </row>
    <row r="238" spans="1:14" x14ac:dyDescent="0.2">
      <c r="A238" s="1186" t="s">
        <v>282</v>
      </c>
      <c r="B238" s="1186" t="s">
        <v>61</v>
      </c>
      <c r="C238" s="1186" t="s">
        <v>31</v>
      </c>
      <c r="D238" s="1186">
        <v>13</v>
      </c>
      <c r="E238" s="1186"/>
      <c r="F238" s="1186">
        <v>4</v>
      </c>
      <c r="G238" s="1186"/>
      <c r="H238" s="1186">
        <v>1</v>
      </c>
      <c r="I238" s="1186">
        <v>1</v>
      </c>
      <c r="J238" s="1186">
        <v>1</v>
      </c>
      <c r="K238" s="1186">
        <v>2</v>
      </c>
      <c r="L238" s="1186"/>
      <c r="M238" s="1186">
        <v>4</v>
      </c>
      <c r="N238" s="1186">
        <v>107540</v>
      </c>
    </row>
    <row r="239" spans="1:14" x14ac:dyDescent="0.2">
      <c r="A239" s="1186" t="s">
        <v>282</v>
      </c>
      <c r="B239" s="1186" t="s">
        <v>61</v>
      </c>
      <c r="C239" s="1186" t="s">
        <v>32</v>
      </c>
      <c r="D239" s="1186">
        <v>55</v>
      </c>
      <c r="E239" s="1186">
        <v>1</v>
      </c>
      <c r="F239" s="1186">
        <v>25</v>
      </c>
      <c r="G239" s="1186"/>
      <c r="H239" s="1186">
        <v>3</v>
      </c>
      <c r="I239" s="1186"/>
      <c r="J239" s="1186">
        <v>8</v>
      </c>
      <c r="K239" s="1186">
        <v>9</v>
      </c>
      <c r="L239" s="1186">
        <v>4</v>
      </c>
      <c r="M239" s="1186">
        <v>5</v>
      </c>
      <c r="N239" s="1186">
        <v>104090</v>
      </c>
    </row>
    <row r="240" spans="1:14" x14ac:dyDescent="0.2">
      <c r="A240" s="1186" t="s">
        <v>282</v>
      </c>
      <c r="B240" s="1186" t="s">
        <v>61</v>
      </c>
      <c r="C240" s="1186" t="s">
        <v>33</v>
      </c>
      <c r="D240" s="1186">
        <v>9</v>
      </c>
      <c r="E240" s="1186"/>
      <c r="F240" s="1186">
        <v>6</v>
      </c>
      <c r="G240" s="1186"/>
      <c r="H240" s="1186">
        <v>2</v>
      </c>
      <c r="I240" s="1186"/>
      <c r="J240" s="1186"/>
      <c r="K240" s="1186">
        <v>1</v>
      </c>
      <c r="L240" s="1186"/>
      <c r="M240" s="1186"/>
      <c r="N240" s="1186">
        <v>93810</v>
      </c>
    </row>
    <row r="241" spans="1:14" x14ac:dyDescent="0.2">
      <c r="A241" s="1186" t="s">
        <v>282</v>
      </c>
      <c r="B241" s="1186" t="s">
        <v>61</v>
      </c>
      <c r="C241" s="1186" t="s">
        <v>34</v>
      </c>
      <c r="D241" s="1186">
        <v>108</v>
      </c>
      <c r="E241" s="1186">
        <v>2</v>
      </c>
      <c r="F241" s="1186">
        <v>60</v>
      </c>
      <c r="G241" s="1186"/>
      <c r="H241" s="1186">
        <v>2</v>
      </c>
      <c r="I241" s="1186"/>
      <c r="J241" s="1186">
        <v>10</v>
      </c>
      <c r="K241" s="1186">
        <v>18</v>
      </c>
      <c r="L241" s="1186">
        <v>5</v>
      </c>
      <c r="M241" s="1186">
        <v>11</v>
      </c>
      <c r="N241" s="1186">
        <v>159380</v>
      </c>
    </row>
    <row r="242" spans="1:14" x14ac:dyDescent="0.2">
      <c r="A242" s="1186" t="s">
        <v>282</v>
      </c>
      <c r="B242" s="1186" t="s">
        <v>61</v>
      </c>
      <c r="C242" s="1186" t="s">
        <v>35</v>
      </c>
      <c r="D242" s="1186">
        <v>156</v>
      </c>
      <c r="E242" s="1186">
        <v>4</v>
      </c>
      <c r="F242" s="1186">
        <v>63</v>
      </c>
      <c r="G242" s="1186"/>
      <c r="H242" s="1186">
        <v>9</v>
      </c>
      <c r="I242" s="1186"/>
      <c r="J242" s="1186">
        <v>18</v>
      </c>
      <c r="K242" s="1186">
        <v>32</v>
      </c>
      <c r="L242" s="1186">
        <v>8</v>
      </c>
      <c r="M242" s="1186">
        <v>22</v>
      </c>
      <c r="N242" s="1186">
        <v>370330</v>
      </c>
    </row>
    <row r="243" spans="1:14" x14ac:dyDescent="0.2">
      <c r="A243" s="1186" t="s">
        <v>282</v>
      </c>
      <c r="B243" s="1186" t="s">
        <v>61</v>
      </c>
      <c r="C243" s="1186" t="s">
        <v>36</v>
      </c>
      <c r="D243" s="1186">
        <v>140</v>
      </c>
      <c r="E243" s="1186">
        <v>2</v>
      </c>
      <c r="F243" s="1186">
        <v>18</v>
      </c>
      <c r="G243" s="1186"/>
      <c r="H243" s="1186">
        <v>8</v>
      </c>
      <c r="I243" s="1186">
        <v>1</v>
      </c>
      <c r="J243" s="1186">
        <v>6</v>
      </c>
      <c r="K243" s="1186">
        <v>85</v>
      </c>
      <c r="L243" s="1186">
        <v>5</v>
      </c>
      <c r="M243" s="1186">
        <v>15</v>
      </c>
      <c r="N243" s="1186">
        <v>615070</v>
      </c>
    </row>
    <row r="244" spans="1:14" x14ac:dyDescent="0.2">
      <c r="A244" s="1186" t="s">
        <v>282</v>
      </c>
      <c r="B244" s="1186" t="s">
        <v>61</v>
      </c>
      <c r="C244" s="1186" t="s">
        <v>37</v>
      </c>
      <c r="D244" s="1186">
        <v>260</v>
      </c>
      <c r="E244" s="1186">
        <v>9</v>
      </c>
      <c r="F244" s="1186">
        <v>190</v>
      </c>
      <c r="G244" s="1186">
        <v>4</v>
      </c>
      <c r="H244" s="1186">
        <v>2</v>
      </c>
      <c r="I244" s="1186">
        <v>1</v>
      </c>
      <c r="J244" s="1186">
        <v>11</v>
      </c>
      <c r="K244" s="1186">
        <v>24</v>
      </c>
      <c r="L244" s="1186">
        <v>4</v>
      </c>
      <c r="M244" s="1186">
        <v>15</v>
      </c>
      <c r="N244" s="1186">
        <v>234770</v>
      </c>
    </row>
    <row r="245" spans="1:14" x14ac:dyDescent="0.2">
      <c r="A245" s="1186" t="s">
        <v>282</v>
      </c>
      <c r="B245" s="1186" t="s">
        <v>61</v>
      </c>
      <c r="C245" s="1186" t="s">
        <v>38</v>
      </c>
      <c r="D245" s="1186">
        <v>12</v>
      </c>
      <c r="E245" s="1186"/>
      <c r="F245" s="1186">
        <v>1</v>
      </c>
      <c r="G245" s="1186"/>
      <c r="H245" s="1186">
        <v>2</v>
      </c>
      <c r="I245" s="1186"/>
      <c r="J245" s="1186">
        <v>3</v>
      </c>
      <c r="K245" s="1186">
        <v>3</v>
      </c>
      <c r="L245" s="1186">
        <v>2</v>
      </c>
      <c r="M245" s="1186">
        <v>1</v>
      </c>
      <c r="N245" s="1186">
        <v>79160</v>
      </c>
    </row>
    <row r="246" spans="1:14" x14ac:dyDescent="0.2">
      <c r="A246" s="1186" t="s">
        <v>282</v>
      </c>
      <c r="B246" s="1186" t="s">
        <v>61</v>
      </c>
      <c r="C246" s="1186" t="s">
        <v>39</v>
      </c>
      <c r="D246" s="1186">
        <v>47</v>
      </c>
      <c r="E246" s="1186">
        <v>1</v>
      </c>
      <c r="F246" s="1186">
        <v>25</v>
      </c>
      <c r="G246" s="1186"/>
      <c r="H246" s="1186">
        <v>3</v>
      </c>
      <c r="I246" s="1186"/>
      <c r="J246" s="1186">
        <v>3</v>
      </c>
      <c r="K246" s="1186">
        <v>3</v>
      </c>
      <c r="L246" s="1186">
        <v>3</v>
      </c>
      <c r="M246" s="1186">
        <v>9</v>
      </c>
      <c r="N246" s="1186">
        <v>88610</v>
      </c>
    </row>
    <row r="247" spans="1:14" x14ac:dyDescent="0.2">
      <c r="A247" s="1186" t="s">
        <v>282</v>
      </c>
      <c r="B247" s="1186" t="s">
        <v>61</v>
      </c>
      <c r="C247" s="1186" t="s">
        <v>40</v>
      </c>
      <c r="D247" s="1186">
        <v>67</v>
      </c>
      <c r="E247" s="1186">
        <v>2</v>
      </c>
      <c r="F247" s="1186">
        <v>36</v>
      </c>
      <c r="G247" s="1186">
        <v>1</v>
      </c>
      <c r="H247" s="1186">
        <v>4</v>
      </c>
      <c r="I247" s="1186"/>
      <c r="J247" s="1186">
        <v>4</v>
      </c>
      <c r="K247" s="1186">
        <v>8</v>
      </c>
      <c r="L247" s="1186">
        <v>2</v>
      </c>
      <c r="M247" s="1186">
        <v>10</v>
      </c>
      <c r="N247" s="1186">
        <v>96070</v>
      </c>
    </row>
    <row r="248" spans="1:14" x14ac:dyDescent="0.2">
      <c r="A248" s="1186" t="s">
        <v>282</v>
      </c>
      <c r="B248" s="1186" t="s">
        <v>61</v>
      </c>
      <c r="C248" s="1186" t="s">
        <v>295</v>
      </c>
      <c r="D248" s="1186">
        <v>49</v>
      </c>
      <c r="E248" s="1186">
        <v>1</v>
      </c>
      <c r="F248" s="1186">
        <v>43</v>
      </c>
      <c r="G248" s="1186">
        <v>1</v>
      </c>
      <c r="H248" s="1186"/>
      <c r="I248" s="1186"/>
      <c r="J248" s="1186"/>
      <c r="K248" s="1186">
        <v>1</v>
      </c>
      <c r="L248" s="1186"/>
      <c r="M248" s="1186">
        <v>3</v>
      </c>
      <c r="N248" s="1186">
        <v>26900</v>
      </c>
    </row>
    <row r="249" spans="1:14" x14ac:dyDescent="0.2">
      <c r="A249" s="1186" t="s">
        <v>282</v>
      </c>
      <c r="B249" s="1186" t="s">
        <v>61</v>
      </c>
      <c r="C249" s="1186" t="s">
        <v>41</v>
      </c>
      <c r="D249" s="1186">
        <v>30</v>
      </c>
      <c r="E249" s="1186"/>
      <c r="F249" s="1186">
        <v>4</v>
      </c>
      <c r="G249" s="1186"/>
      <c r="H249" s="1186">
        <v>6</v>
      </c>
      <c r="I249" s="1186"/>
      <c r="J249" s="1186">
        <v>5</v>
      </c>
      <c r="K249" s="1186">
        <v>8</v>
      </c>
      <c r="L249" s="1186">
        <v>2</v>
      </c>
      <c r="M249" s="1186">
        <v>5</v>
      </c>
      <c r="N249" s="1186">
        <v>135890</v>
      </c>
    </row>
    <row r="250" spans="1:14" x14ac:dyDescent="0.2">
      <c r="A250" s="1186" t="s">
        <v>282</v>
      </c>
      <c r="B250" s="1186" t="s">
        <v>61</v>
      </c>
      <c r="C250" s="1186" t="s">
        <v>42</v>
      </c>
      <c r="D250" s="1186">
        <v>32</v>
      </c>
      <c r="E250" s="1186">
        <v>1</v>
      </c>
      <c r="F250" s="1186">
        <v>8</v>
      </c>
      <c r="G250" s="1186">
        <v>2</v>
      </c>
      <c r="H250" s="1186">
        <v>8</v>
      </c>
      <c r="I250" s="1186"/>
      <c r="J250" s="1186">
        <v>2</v>
      </c>
      <c r="K250" s="1186">
        <v>6</v>
      </c>
      <c r="L250" s="1186">
        <v>1</v>
      </c>
      <c r="M250" s="1186">
        <v>4</v>
      </c>
      <c r="N250" s="1186">
        <v>339390</v>
      </c>
    </row>
    <row r="251" spans="1:14" x14ac:dyDescent="0.2">
      <c r="A251" s="1186" t="s">
        <v>282</v>
      </c>
      <c r="B251" s="1186" t="s">
        <v>61</v>
      </c>
      <c r="C251" s="1186" t="s">
        <v>43</v>
      </c>
      <c r="D251" s="1186">
        <v>9</v>
      </c>
      <c r="E251" s="1186"/>
      <c r="F251" s="1186">
        <v>5</v>
      </c>
      <c r="G251" s="1186"/>
      <c r="H251" s="1186">
        <v>1</v>
      </c>
      <c r="I251" s="1186"/>
      <c r="J251" s="1186">
        <v>1</v>
      </c>
      <c r="K251" s="1186">
        <v>2</v>
      </c>
      <c r="L251" s="1186"/>
      <c r="M251" s="1186"/>
      <c r="N251" s="1186">
        <v>21850</v>
      </c>
    </row>
    <row r="252" spans="1:14" x14ac:dyDescent="0.2">
      <c r="A252" s="1186" t="s">
        <v>282</v>
      </c>
      <c r="B252" s="1186" t="s">
        <v>61</v>
      </c>
      <c r="C252" s="1186" t="s">
        <v>44</v>
      </c>
      <c r="D252" s="1186">
        <v>64</v>
      </c>
      <c r="E252" s="1186">
        <v>1</v>
      </c>
      <c r="F252" s="1186">
        <v>29</v>
      </c>
      <c r="G252" s="1186"/>
      <c r="H252" s="1186">
        <v>6</v>
      </c>
      <c r="I252" s="1186">
        <v>2</v>
      </c>
      <c r="J252" s="1186">
        <v>7</v>
      </c>
      <c r="K252" s="1186">
        <v>14</v>
      </c>
      <c r="L252" s="1186">
        <v>2</v>
      </c>
      <c r="M252" s="1186">
        <v>3</v>
      </c>
      <c r="N252" s="1186">
        <v>150680</v>
      </c>
    </row>
    <row r="253" spans="1:14" x14ac:dyDescent="0.2">
      <c r="A253" s="1186" t="s">
        <v>282</v>
      </c>
      <c r="B253" s="1186" t="s">
        <v>61</v>
      </c>
      <c r="C253" s="1186" t="s">
        <v>45</v>
      </c>
      <c r="D253" s="1186">
        <v>37</v>
      </c>
      <c r="E253" s="1186">
        <v>3</v>
      </c>
      <c r="F253" s="1186">
        <v>11</v>
      </c>
      <c r="G253" s="1186"/>
      <c r="H253" s="1186">
        <v>5</v>
      </c>
      <c r="I253" s="1186">
        <v>1</v>
      </c>
      <c r="J253" s="1186">
        <v>6</v>
      </c>
      <c r="K253" s="1186">
        <v>4</v>
      </c>
      <c r="L253" s="1186">
        <v>2</v>
      </c>
      <c r="M253" s="1186">
        <v>5</v>
      </c>
      <c r="N253" s="1186">
        <v>175930</v>
      </c>
    </row>
    <row r="254" spans="1:14" x14ac:dyDescent="0.2">
      <c r="A254" s="1186" t="s">
        <v>282</v>
      </c>
      <c r="B254" s="1186" t="s">
        <v>61</v>
      </c>
      <c r="C254" s="1186" t="s">
        <v>46</v>
      </c>
      <c r="D254" s="1186">
        <v>34</v>
      </c>
      <c r="E254" s="1186">
        <v>1</v>
      </c>
      <c r="F254" s="1186">
        <v>13</v>
      </c>
      <c r="G254" s="1186"/>
      <c r="H254" s="1186">
        <v>5</v>
      </c>
      <c r="I254" s="1186"/>
      <c r="J254" s="1186">
        <v>6</v>
      </c>
      <c r="K254" s="1186">
        <v>1</v>
      </c>
      <c r="L254" s="1186">
        <v>3</v>
      </c>
      <c r="M254" s="1186">
        <v>5</v>
      </c>
      <c r="N254" s="1186">
        <v>114530</v>
      </c>
    </row>
    <row r="255" spans="1:14" x14ac:dyDescent="0.2">
      <c r="A255" s="1186" t="s">
        <v>282</v>
      </c>
      <c r="B255" s="1186" t="s">
        <v>61</v>
      </c>
      <c r="C255" s="1186" t="s">
        <v>47</v>
      </c>
      <c r="D255" s="1186">
        <v>4</v>
      </c>
      <c r="E255" s="1186"/>
      <c r="F255" s="1186">
        <v>3</v>
      </c>
      <c r="G255" s="1186"/>
      <c r="H255" s="1186"/>
      <c r="I255" s="1186"/>
      <c r="J255" s="1186"/>
      <c r="K255" s="1186"/>
      <c r="L255" s="1186">
        <v>1</v>
      </c>
      <c r="M255" s="1186"/>
      <c r="N255" s="1186">
        <v>23200</v>
      </c>
    </row>
    <row r="256" spans="1:14" x14ac:dyDescent="0.2">
      <c r="A256" s="1186" t="s">
        <v>282</v>
      </c>
      <c r="B256" s="1186" t="s">
        <v>61</v>
      </c>
      <c r="C256" s="1186" t="s">
        <v>48</v>
      </c>
      <c r="D256" s="1186">
        <v>19</v>
      </c>
      <c r="E256" s="1186"/>
      <c r="F256" s="1186">
        <v>2</v>
      </c>
      <c r="G256" s="1186">
        <v>1</v>
      </c>
      <c r="H256" s="1186">
        <v>2</v>
      </c>
      <c r="I256" s="1186"/>
      <c r="J256" s="1186">
        <v>1</v>
      </c>
      <c r="K256" s="1186">
        <v>7</v>
      </c>
      <c r="L256" s="1186">
        <v>2</v>
      </c>
      <c r="M256" s="1186">
        <v>4</v>
      </c>
      <c r="N256" s="1186">
        <v>112470</v>
      </c>
    </row>
    <row r="257" spans="1:14" x14ac:dyDescent="0.2">
      <c r="A257" s="1186" t="s">
        <v>282</v>
      </c>
      <c r="B257" s="1186" t="s">
        <v>61</v>
      </c>
      <c r="C257" s="1186" t="s">
        <v>49</v>
      </c>
      <c r="D257" s="1186">
        <v>41</v>
      </c>
      <c r="E257" s="1186"/>
      <c r="F257" s="1186">
        <v>15</v>
      </c>
      <c r="G257" s="1186">
        <v>2</v>
      </c>
      <c r="H257" s="1186">
        <v>10</v>
      </c>
      <c r="I257" s="1186"/>
      <c r="J257" s="1186">
        <v>5</v>
      </c>
      <c r="K257" s="1186">
        <v>4</v>
      </c>
      <c r="L257" s="1186">
        <v>1</v>
      </c>
      <c r="M257" s="1186">
        <v>4</v>
      </c>
      <c r="N257" s="1186">
        <v>317100</v>
      </c>
    </row>
    <row r="258" spans="1:14" x14ac:dyDescent="0.2">
      <c r="A258" s="1186" t="s">
        <v>282</v>
      </c>
      <c r="B258" s="1186" t="s">
        <v>61</v>
      </c>
      <c r="C258" s="1186" t="s">
        <v>50</v>
      </c>
      <c r="D258" s="1186">
        <v>55</v>
      </c>
      <c r="E258" s="1186">
        <v>1</v>
      </c>
      <c r="F258" s="1186">
        <v>33</v>
      </c>
      <c r="G258" s="1186"/>
      <c r="H258" s="1186">
        <v>2</v>
      </c>
      <c r="I258" s="1186">
        <v>1</v>
      </c>
      <c r="J258" s="1186">
        <v>3</v>
      </c>
      <c r="K258" s="1186">
        <v>8</v>
      </c>
      <c r="L258" s="1186">
        <v>5</v>
      </c>
      <c r="M258" s="1186">
        <v>2</v>
      </c>
      <c r="N258" s="1186">
        <v>93750</v>
      </c>
    </row>
    <row r="259" spans="1:14" x14ac:dyDescent="0.2">
      <c r="A259" s="1186" t="s">
        <v>282</v>
      </c>
      <c r="B259" s="1186" t="s">
        <v>61</v>
      </c>
      <c r="C259" s="1186" t="s">
        <v>51</v>
      </c>
      <c r="D259" s="1186">
        <v>16</v>
      </c>
      <c r="E259" s="1186"/>
      <c r="F259" s="1186">
        <v>8</v>
      </c>
      <c r="G259" s="1186"/>
      <c r="H259" s="1186">
        <v>2</v>
      </c>
      <c r="I259" s="1186">
        <v>1</v>
      </c>
      <c r="J259" s="1186">
        <v>3</v>
      </c>
      <c r="K259" s="1186">
        <v>1</v>
      </c>
      <c r="L259" s="1186"/>
      <c r="M259" s="1186">
        <v>1</v>
      </c>
      <c r="N259" s="1186">
        <v>89860</v>
      </c>
    </row>
    <row r="260" spans="1:14" x14ac:dyDescent="0.2">
      <c r="A260" s="1186" t="s">
        <v>282</v>
      </c>
      <c r="B260" s="1186" t="s">
        <v>61</v>
      </c>
      <c r="C260" s="1186" t="s">
        <v>52</v>
      </c>
      <c r="D260" s="1186">
        <v>100</v>
      </c>
      <c r="E260" s="1186"/>
      <c r="F260" s="1186">
        <v>65</v>
      </c>
      <c r="G260" s="1186">
        <v>1</v>
      </c>
      <c r="H260" s="1186">
        <v>3</v>
      </c>
      <c r="I260" s="1186"/>
      <c r="J260" s="1186">
        <v>8</v>
      </c>
      <c r="K260" s="1186">
        <v>14</v>
      </c>
      <c r="L260" s="1186">
        <v>4</v>
      </c>
      <c r="M260" s="1186">
        <v>5</v>
      </c>
      <c r="N260" s="1186">
        <v>180130</v>
      </c>
    </row>
    <row r="261" spans="1:14" x14ac:dyDescent="0.2">
      <c r="A261" s="1186" t="s">
        <v>311</v>
      </c>
      <c r="B261" s="1186" t="s">
        <v>61</v>
      </c>
      <c r="C261" s="1186" t="s">
        <v>23</v>
      </c>
      <c r="D261" s="1186">
        <v>81</v>
      </c>
      <c r="E261" s="1186"/>
      <c r="F261" s="1186">
        <v>27</v>
      </c>
      <c r="G261" s="1186"/>
      <c r="H261" s="1186">
        <v>6</v>
      </c>
      <c r="I261" s="1186"/>
      <c r="J261" s="1186">
        <v>3</v>
      </c>
      <c r="K261" s="1186">
        <v>31</v>
      </c>
      <c r="L261" s="1186">
        <v>1</v>
      </c>
      <c r="M261" s="1186">
        <v>13</v>
      </c>
      <c r="N261" s="1186">
        <v>228800</v>
      </c>
    </row>
    <row r="262" spans="1:14" x14ac:dyDescent="0.2">
      <c r="A262" s="1186" t="s">
        <v>311</v>
      </c>
      <c r="B262" s="1186" t="s">
        <v>61</v>
      </c>
      <c r="C262" s="1186" t="s">
        <v>24</v>
      </c>
      <c r="D262" s="1186">
        <v>81</v>
      </c>
      <c r="E262" s="1186">
        <v>2</v>
      </c>
      <c r="F262" s="1186">
        <v>41</v>
      </c>
      <c r="G262" s="1186">
        <v>1</v>
      </c>
      <c r="H262" s="1186">
        <v>4</v>
      </c>
      <c r="I262" s="1186"/>
      <c r="J262" s="1186">
        <v>4</v>
      </c>
      <c r="K262" s="1186">
        <v>12</v>
      </c>
      <c r="L262" s="1186">
        <v>2</v>
      </c>
      <c r="M262" s="1186">
        <v>15</v>
      </c>
      <c r="N262" s="1186">
        <v>261800</v>
      </c>
    </row>
    <row r="263" spans="1:14" x14ac:dyDescent="0.2">
      <c r="A263" s="1186" t="s">
        <v>311</v>
      </c>
      <c r="B263" s="1186" t="s">
        <v>61</v>
      </c>
      <c r="C263" s="1186" t="s">
        <v>25</v>
      </c>
      <c r="D263" s="1186">
        <v>67</v>
      </c>
      <c r="E263" s="1186"/>
      <c r="F263" s="1186">
        <v>31</v>
      </c>
      <c r="G263" s="1186"/>
      <c r="H263" s="1186">
        <v>1</v>
      </c>
      <c r="I263" s="1186"/>
      <c r="J263" s="1186">
        <v>7</v>
      </c>
      <c r="K263" s="1186">
        <v>21</v>
      </c>
      <c r="L263" s="1186">
        <v>2</v>
      </c>
      <c r="M263" s="1186">
        <v>5</v>
      </c>
      <c r="N263" s="1186">
        <v>116280</v>
      </c>
    </row>
    <row r="264" spans="1:14" x14ac:dyDescent="0.2">
      <c r="A264" s="1186" t="s">
        <v>311</v>
      </c>
      <c r="B264" s="1186" t="s">
        <v>61</v>
      </c>
      <c r="C264" s="1186" t="s">
        <v>26</v>
      </c>
      <c r="D264" s="1186">
        <v>40</v>
      </c>
      <c r="E264" s="1186">
        <v>3</v>
      </c>
      <c r="F264" s="1186">
        <v>21</v>
      </c>
      <c r="G264" s="1186">
        <v>1</v>
      </c>
      <c r="H264" s="1186">
        <v>4</v>
      </c>
      <c r="I264" s="1186">
        <v>2</v>
      </c>
      <c r="J264" s="1186">
        <v>2</v>
      </c>
      <c r="K264" s="1186">
        <v>4</v>
      </c>
      <c r="L264" s="1186">
        <v>1</v>
      </c>
      <c r="M264" s="1186">
        <v>2</v>
      </c>
      <c r="N264" s="1186">
        <v>86810</v>
      </c>
    </row>
    <row r="265" spans="1:14" x14ac:dyDescent="0.2">
      <c r="A265" s="1186" t="s">
        <v>311</v>
      </c>
      <c r="B265" s="1186" t="s">
        <v>61</v>
      </c>
      <c r="C265" s="1186" t="s">
        <v>619</v>
      </c>
      <c r="D265" s="1186">
        <v>569</v>
      </c>
      <c r="E265" s="1186">
        <v>4</v>
      </c>
      <c r="F265" s="1186">
        <v>119</v>
      </c>
      <c r="G265" s="1186"/>
      <c r="H265" s="1186">
        <v>18</v>
      </c>
      <c r="I265" s="1186"/>
      <c r="J265" s="1186">
        <v>43</v>
      </c>
      <c r="K265" s="1186">
        <v>317</v>
      </c>
      <c r="L265" s="1186">
        <v>46</v>
      </c>
      <c r="M265" s="1186">
        <v>22</v>
      </c>
      <c r="N265" s="1186">
        <v>513210</v>
      </c>
    </row>
    <row r="266" spans="1:14" x14ac:dyDescent="0.2">
      <c r="A266" s="1186" t="s">
        <v>311</v>
      </c>
      <c r="B266" s="1186" t="s">
        <v>61</v>
      </c>
      <c r="C266" s="1186" t="s">
        <v>27</v>
      </c>
      <c r="D266" s="1186">
        <v>34</v>
      </c>
      <c r="E266" s="1186"/>
      <c r="F266" s="1186">
        <v>23</v>
      </c>
      <c r="G266" s="1186">
        <v>1</v>
      </c>
      <c r="H266" s="1186">
        <v>2</v>
      </c>
      <c r="I266" s="1186"/>
      <c r="J266" s="1186">
        <v>2</v>
      </c>
      <c r="K266" s="1186">
        <v>4</v>
      </c>
      <c r="L266" s="1186"/>
      <c r="M266" s="1186">
        <v>2</v>
      </c>
      <c r="N266" s="1186">
        <v>51450</v>
      </c>
    </row>
    <row r="267" spans="1:14" x14ac:dyDescent="0.2">
      <c r="A267" s="1186" t="s">
        <v>311</v>
      </c>
      <c r="B267" s="1186" t="s">
        <v>61</v>
      </c>
      <c r="C267" s="1186" t="s">
        <v>28</v>
      </c>
      <c r="D267" s="1186">
        <v>79</v>
      </c>
      <c r="E267" s="1186">
        <v>1</v>
      </c>
      <c r="F267" s="1186">
        <v>40</v>
      </c>
      <c r="G267" s="1186">
        <v>2</v>
      </c>
      <c r="H267" s="1186">
        <v>4</v>
      </c>
      <c r="I267" s="1186">
        <v>1</v>
      </c>
      <c r="J267" s="1186">
        <v>8</v>
      </c>
      <c r="K267" s="1186">
        <v>15</v>
      </c>
      <c r="L267" s="1186">
        <v>2</v>
      </c>
      <c r="M267" s="1186">
        <v>6</v>
      </c>
      <c r="N267" s="1186">
        <v>149200</v>
      </c>
    </row>
    <row r="268" spans="1:14" x14ac:dyDescent="0.2">
      <c r="A268" s="1186" t="s">
        <v>311</v>
      </c>
      <c r="B268" s="1186" t="s">
        <v>61</v>
      </c>
      <c r="C268" s="1186" t="s">
        <v>29</v>
      </c>
      <c r="D268" s="1186">
        <v>108</v>
      </c>
      <c r="E268" s="1186">
        <v>1</v>
      </c>
      <c r="F268" s="1186">
        <v>40</v>
      </c>
      <c r="G268" s="1186">
        <v>1</v>
      </c>
      <c r="H268" s="1186">
        <v>4</v>
      </c>
      <c r="I268" s="1186"/>
      <c r="J268" s="1186">
        <v>6</v>
      </c>
      <c r="K268" s="1186">
        <v>35</v>
      </c>
      <c r="L268" s="1186">
        <v>13</v>
      </c>
      <c r="M268" s="1186">
        <v>8</v>
      </c>
      <c r="N268" s="1186">
        <v>148710</v>
      </c>
    </row>
    <row r="269" spans="1:14" x14ac:dyDescent="0.2">
      <c r="A269" s="1186" t="s">
        <v>311</v>
      </c>
      <c r="B269" s="1186" t="s">
        <v>61</v>
      </c>
      <c r="C269" s="1186" t="s">
        <v>30</v>
      </c>
      <c r="D269" s="1186">
        <v>13</v>
      </c>
      <c r="E269" s="1186">
        <v>1</v>
      </c>
      <c r="F269" s="1186">
        <v>3</v>
      </c>
      <c r="G269" s="1186"/>
      <c r="H269" s="1186">
        <v>5</v>
      </c>
      <c r="I269" s="1186"/>
      <c r="J269" s="1186">
        <v>1</v>
      </c>
      <c r="K269" s="1186">
        <v>1</v>
      </c>
      <c r="L269" s="1186">
        <v>1</v>
      </c>
      <c r="M269" s="1186">
        <v>1</v>
      </c>
      <c r="N269" s="1186">
        <v>121940</v>
      </c>
    </row>
    <row r="270" spans="1:14" x14ac:dyDescent="0.2">
      <c r="A270" s="1186" t="s">
        <v>311</v>
      </c>
      <c r="B270" s="1186" t="s">
        <v>61</v>
      </c>
      <c r="C270" s="1186" t="s">
        <v>31</v>
      </c>
      <c r="D270" s="1186">
        <v>13</v>
      </c>
      <c r="E270" s="1186"/>
      <c r="F270" s="1186">
        <v>4</v>
      </c>
      <c r="G270" s="1186">
        <v>1</v>
      </c>
      <c r="H270" s="1186">
        <v>1</v>
      </c>
      <c r="I270" s="1186"/>
      <c r="J270" s="1186"/>
      <c r="K270" s="1186">
        <v>3</v>
      </c>
      <c r="L270" s="1186"/>
      <c r="M270" s="1186">
        <v>4</v>
      </c>
      <c r="N270" s="1186">
        <v>108130</v>
      </c>
    </row>
    <row r="271" spans="1:14" x14ac:dyDescent="0.2">
      <c r="A271" s="1186" t="s">
        <v>311</v>
      </c>
      <c r="B271" s="1186" t="s">
        <v>61</v>
      </c>
      <c r="C271" s="1186" t="s">
        <v>32</v>
      </c>
      <c r="D271" s="1186">
        <v>66</v>
      </c>
      <c r="E271" s="1186"/>
      <c r="F271" s="1186">
        <v>36</v>
      </c>
      <c r="G271" s="1186"/>
      <c r="H271" s="1186">
        <v>3</v>
      </c>
      <c r="I271" s="1186"/>
      <c r="J271" s="1186">
        <v>11</v>
      </c>
      <c r="K271" s="1186">
        <v>10</v>
      </c>
      <c r="L271" s="1186">
        <v>4</v>
      </c>
      <c r="M271" s="1186">
        <v>2</v>
      </c>
      <c r="N271" s="1186">
        <v>104840</v>
      </c>
    </row>
    <row r="272" spans="1:14" x14ac:dyDescent="0.2">
      <c r="A272" s="1186" t="s">
        <v>311</v>
      </c>
      <c r="B272" s="1186" t="s">
        <v>61</v>
      </c>
      <c r="C272" s="1186" t="s">
        <v>33</v>
      </c>
      <c r="D272" s="1186">
        <v>13</v>
      </c>
      <c r="E272" s="1186">
        <v>1</v>
      </c>
      <c r="F272" s="1186">
        <v>2</v>
      </c>
      <c r="G272" s="1186"/>
      <c r="H272" s="1186">
        <v>3</v>
      </c>
      <c r="I272" s="1186"/>
      <c r="J272" s="1186">
        <v>1</v>
      </c>
      <c r="K272" s="1186">
        <v>4</v>
      </c>
      <c r="L272" s="1186">
        <v>1</v>
      </c>
      <c r="M272" s="1186">
        <v>1</v>
      </c>
      <c r="N272" s="1186">
        <v>94760</v>
      </c>
    </row>
    <row r="273" spans="1:14" x14ac:dyDescent="0.2">
      <c r="A273" s="1186" t="s">
        <v>311</v>
      </c>
      <c r="B273" s="1186" t="s">
        <v>61</v>
      </c>
      <c r="C273" s="1186" t="s">
        <v>34</v>
      </c>
      <c r="D273" s="1186">
        <v>145</v>
      </c>
      <c r="E273" s="1186">
        <v>6</v>
      </c>
      <c r="F273" s="1186">
        <v>87</v>
      </c>
      <c r="G273" s="1186"/>
      <c r="H273" s="1186">
        <v>8</v>
      </c>
      <c r="I273" s="1186"/>
      <c r="J273" s="1186">
        <v>11</v>
      </c>
      <c r="K273" s="1186">
        <v>15</v>
      </c>
      <c r="L273" s="1186">
        <v>6</v>
      </c>
      <c r="M273" s="1186">
        <v>12</v>
      </c>
      <c r="N273" s="1186">
        <v>160130</v>
      </c>
    </row>
    <row r="274" spans="1:14" x14ac:dyDescent="0.2">
      <c r="A274" s="1186" t="s">
        <v>311</v>
      </c>
      <c r="B274" s="1186" t="s">
        <v>61</v>
      </c>
      <c r="C274" s="1186" t="s">
        <v>35</v>
      </c>
      <c r="D274" s="1186">
        <v>238</v>
      </c>
      <c r="E274" s="1186">
        <v>3</v>
      </c>
      <c r="F274" s="1186">
        <v>101</v>
      </c>
      <c r="G274" s="1186">
        <v>2</v>
      </c>
      <c r="H274" s="1186">
        <v>19</v>
      </c>
      <c r="I274" s="1186">
        <v>2</v>
      </c>
      <c r="J274" s="1186">
        <v>38</v>
      </c>
      <c r="K274" s="1186">
        <v>32</v>
      </c>
      <c r="L274" s="1186">
        <v>11</v>
      </c>
      <c r="M274" s="1186">
        <v>30</v>
      </c>
      <c r="N274" s="1186">
        <v>371410</v>
      </c>
    </row>
    <row r="275" spans="1:14" x14ac:dyDescent="0.2">
      <c r="A275" s="1186" t="s">
        <v>311</v>
      </c>
      <c r="B275" s="1186" t="s">
        <v>61</v>
      </c>
      <c r="C275" s="1186" t="s">
        <v>36</v>
      </c>
      <c r="D275" s="1186">
        <v>123</v>
      </c>
      <c r="E275" s="1186">
        <v>5</v>
      </c>
      <c r="F275" s="1186">
        <v>7</v>
      </c>
      <c r="G275" s="1186"/>
      <c r="H275" s="1186">
        <v>11</v>
      </c>
      <c r="I275" s="1186">
        <v>3</v>
      </c>
      <c r="J275" s="1186">
        <v>5</v>
      </c>
      <c r="K275" s="1186">
        <v>78</v>
      </c>
      <c r="L275" s="1186">
        <v>1</v>
      </c>
      <c r="M275" s="1186">
        <v>13</v>
      </c>
      <c r="N275" s="1186">
        <v>621020</v>
      </c>
    </row>
    <row r="276" spans="1:14" x14ac:dyDescent="0.2">
      <c r="A276" s="1186" t="s">
        <v>311</v>
      </c>
      <c r="B276" s="1186" t="s">
        <v>61</v>
      </c>
      <c r="C276" s="1186" t="s">
        <v>37</v>
      </c>
      <c r="D276" s="1186">
        <v>340</v>
      </c>
      <c r="E276" s="1186">
        <v>4</v>
      </c>
      <c r="F276" s="1186">
        <v>250</v>
      </c>
      <c r="G276" s="1186">
        <v>2</v>
      </c>
      <c r="H276" s="1186">
        <v>6</v>
      </c>
      <c r="I276" s="1186">
        <v>2</v>
      </c>
      <c r="J276" s="1186">
        <v>18</v>
      </c>
      <c r="K276" s="1186">
        <v>31</v>
      </c>
      <c r="L276" s="1186">
        <v>8</v>
      </c>
      <c r="M276" s="1186">
        <v>19</v>
      </c>
      <c r="N276" s="1186">
        <v>235180</v>
      </c>
    </row>
    <row r="277" spans="1:14" x14ac:dyDescent="0.2">
      <c r="A277" s="1186" t="s">
        <v>311</v>
      </c>
      <c r="B277" s="1186" t="s">
        <v>61</v>
      </c>
      <c r="C277" s="1186" t="s">
        <v>38</v>
      </c>
      <c r="D277" s="1186">
        <v>8</v>
      </c>
      <c r="E277" s="1186"/>
      <c r="F277" s="1186">
        <v>1</v>
      </c>
      <c r="G277" s="1186"/>
      <c r="H277" s="1186">
        <v>2</v>
      </c>
      <c r="I277" s="1186"/>
      <c r="J277" s="1186"/>
      <c r="K277" s="1186">
        <v>3</v>
      </c>
      <c r="L277" s="1186"/>
      <c r="M277" s="1186">
        <v>2</v>
      </c>
      <c r="N277" s="1186">
        <v>78760</v>
      </c>
    </row>
    <row r="278" spans="1:14" x14ac:dyDescent="0.2">
      <c r="A278" s="1186" t="s">
        <v>311</v>
      </c>
      <c r="B278" s="1186" t="s">
        <v>61</v>
      </c>
      <c r="C278" s="1186" t="s">
        <v>39</v>
      </c>
      <c r="D278" s="1186">
        <v>62</v>
      </c>
      <c r="E278" s="1186"/>
      <c r="F278" s="1186">
        <v>33</v>
      </c>
      <c r="G278" s="1186">
        <v>2</v>
      </c>
      <c r="H278" s="1186">
        <v>6</v>
      </c>
      <c r="I278" s="1186">
        <v>1</v>
      </c>
      <c r="J278" s="1186">
        <v>4</v>
      </c>
      <c r="K278" s="1186">
        <v>9</v>
      </c>
      <c r="L278" s="1186">
        <v>4</v>
      </c>
      <c r="M278" s="1186">
        <v>3</v>
      </c>
      <c r="N278" s="1186">
        <v>90090</v>
      </c>
    </row>
    <row r="279" spans="1:14" x14ac:dyDescent="0.2">
      <c r="A279" s="1186" t="s">
        <v>311</v>
      </c>
      <c r="B279" s="1186" t="s">
        <v>61</v>
      </c>
      <c r="C279" s="1186" t="s">
        <v>40</v>
      </c>
      <c r="D279" s="1186">
        <v>39</v>
      </c>
      <c r="E279" s="1186">
        <v>1</v>
      </c>
      <c r="F279" s="1186">
        <v>26</v>
      </c>
      <c r="G279" s="1186">
        <v>1</v>
      </c>
      <c r="H279" s="1186">
        <v>1</v>
      </c>
      <c r="I279" s="1186"/>
      <c r="J279" s="1186">
        <v>2</v>
      </c>
      <c r="K279" s="1186">
        <v>6</v>
      </c>
      <c r="L279" s="1186"/>
      <c r="M279" s="1186">
        <v>2</v>
      </c>
      <c r="N279" s="1186">
        <v>95780</v>
      </c>
    </row>
    <row r="280" spans="1:14" x14ac:dyDescent="0.2">
      <c r="A280" s="1186" t="s">
        <v>311</v>
      </c>
      <c r="B280" s="1186" t="s">
        <v>61</v>
      </c>
      <c r="C280" s="1186" t="s">
        <v>295</v>
      </c>
      <c r="D280" s="1186">
        <v>64</v>
      </c>
      <c r="E280" s="1186"/>
      <c r="F280" s="1186">
        <v>60</v>
      </c>
      <c r="G280" s="1186"/>
      <c r="H280" s="1186">
        <v>1</v>
      </c>
      <c r="I280" s="1186"/>
      <c r="J280" s="1186">
        <v>1</v>
      </c>
      <c r="K280" s="1186">
        <v>1</v>
      </c>
      <c r="L280" s="1186"/>
      <c r="M280" s="1186">
        <v>1</v>
      </c>
      <c r="N280" s="1186">
        <v>26950</v>
      </c>
    </row>
    <row r="281" spans="1:14" x14ac:dyDescent="0.2">
      <c r="A281" s="1186" t="s">
        <v>311</v>
      </c>
      <c r="B281" s="1186" t="s">
        <v>61</v>
      </c>
      <c r="C281" s="1186" t="s">
        <v>41</v>
      </c>
      <c r="D281" s="1186">
        <v>24</v>
      </c>
      <c r="E281" s="1186">
        <v>1</v>
      </c>
      <c r="F281" s="1186">
        <v>6</v>
      </c>
      <c r="G281" s="1186"/>
      <c r="H281" s="1186">
        <v>2</v>
      </c>
      <c r="I281" s="1186"/>
      <c r="J281" s="1186">
        <v>3</v>
      </c>
      <c r="K281" s="1186">
        <v>8</v>
      </c>
      <c r="L281" s="1186">
        <v>1</v>
      </c>
      <c r="M281" s="1186">
        <v>3</v>
      </c>
      <c r="N281" s="1186">
        <v>135790</v>
      </c>
    </row>
    <row r="282" spans="1:14" x14ac:dyDescent="0.2">
      <c r="A282" s="1186" t="s">
        <v>311</v>
      </c>
      <c r="B282" s="1186" t="s">
        <v>61</v>
      </c>
      <c r="C282" s="1186" t="s">
        <v>42</v>
      </c>
      <c r="D282" s="1186">
        <v>30</v>
      </c>
      <c r="E282" s="1186">
        <v>2</v>
      </c>
      <c r="F282" s="1186">
        <v>8</v>
      </c>
      <c r="G282" s="1186">
        <v>1</v>
      </c>
      <c r="H282" s="1186">
        <v>7</v>
      </c>
      <c r="I282" s="1186">
        <v>2</v>
      </c>
      <c r="J282" s="1186">
        <v>4</v>
      </c>
      <c r="K282" s="1186">
        <v>2</v>
      </c>
      <c r="L282" s="1186"/>
      <c r="M282" s="1186">
        <v>4</v>
      </c>
      <c r="N282" s="1186">
        <v>339960</v>
      </c>
    </row>
    <row r="283" spans="1:14" x14ac:dyDescent="0.2">
      <c r="A283" s="1186" t="s">
        <v>311</v>
      </c>
      <c r="B283" s="1186" t="s">
        <v>61</v>
      </c>
      <c r="C283" s="1186" t="s">
        <v>43</v>
      </c>
      <c r="D283" s="1186">
        <v>7</v>
      </c>
      <c r="E283" s="1186"/>
      <c r="F283" s="1186">
        <v>4</v>
      </c>
      <c r="G283" s="1186"/>
      <c r="H283" s="1186"/>
      <c r="I283" s="1186">
        <v>1</v>
      </c>
      <c r="J283" s="1186"/>
      <c r="K283" s="1186">
        <v>2</v>
      </c>
      <c r="L283" s="1186"/>
      <c r="M283" s="1186"/>
      <c r="N283" s="1186">
        <v>22000</v>
      </c>
    </row>
    <row r="284" spans="1:14" x14ac:dyDescent="0.2">
      <c r="A284" s="1186" t="s">
        <v>311</v>
      </c>
      <c r="B284" s="1186" t="s">
        <v>61</v>
      </c>
      <c r="C284" s="1186" t="s">
        <v>44</v>
      </c>
      <c r="D284" s="1186">
        <v>91</v>
      </c>
      <c r="E284" s="1186">
        <v>3</v>
      </c>
      <c r="F284" s="1186">
        <v>39</v>
      </c>
      <c r="G284" s="1186"/>
      <c r="H284" s="1186">
        <v>5</v>
      </c>
      <c r="I284" s="1186">
        <v>1</v>
      </c>
      <c r="J284" s="1186">
        <v>7</v>
      </c>
      <c r="K284" s="1186">
        <v>18</v>
      </c>
      <c r="L284" s="1186">
        <v>3</v>
      </c>
      <c r="M284" s="1186">
        <v>15</v>
      </c>
      <c r="N284" s="1186">
        <v>151100</v>
      </c>
    </row>
    <row r="285" spans="1:14" x14ac:dyDescent="0.2">
      <c r="A285" s="1186" t="s">
        <v>311</v>
      </c>
      <c r="B285" s="1186" t="s">
        <v>61</v>
      </c>
      <c r="C285" s="1186" t="s">
        <v>45</v>
      </c>
      <c r="D285" s="1186">
        <v>35</v>
      </c>
      <c r="E285" s="1186"/>
      <c r="F285" s="1186">
        <v>8</v>
      </c>
      <c r="G285" s="1186"/>
      <c r="H285" s="1186">
        <v>10</v>
      </c>
      <c r="I285" s="1186"/>
      <c r="J285" s="1186">
        <v>2</v>
      </c>
      <c r="K285" s="1186">
        <v>7</v>
      </c>
      <c r="L285" s="1186">
        <v>5</v>
      </c>
      <c r="M285" s="1186">
        <v>3</v>
      </c>
      <c r="N285" s="1186">
        <v>176830</v>
      </c>
    </row>
    <row r="286" spans="1:14" x14ac:dyDescent="0.2">
      <c r="A286" s="1186" t="s">
        <v>311</v>
      </c>
      <c r="B286" s="1186" t="s">
        <v>61</v>
      </c>
      <c r="C286" s="1186" t="s">
        <v>46</v>
      </c>
      <c r="D286" s="1186">
        <v>31</v>
      </c>
      <c r="E286" s="1186">
        <v>1</v>
      </c>
      <c r="F286" s="1186">
        <v>12</v>
      </c>
      <c r="G286" s="1186">
        <v>1</v>
      </c>
      <c r="H286" s="1186">
        <v>4</v>
      </c>
      <c r="I286" s="1186"/>
      <c r="J286" s="1186">
        <v>6</v>
      </c>
      <c r="K286" s="1186">
        <v>3</v>
      </c>
      <c r="L286" s="1186">
        <v>1</v>
      </c>
      <c r="M286" s="1186">
        <v>3</v>
      </c>
      <c r="N286" s="1186">
        <v>115020</v>
      </c>
    </row>
    <row r="287" spans="1:14" x14ac:dyDescent="0.2">
      <c r="A287" s="1186" t="s">
        <v>311</v>
      </c>
      <c r="B287" s="1186" t="s">
        <v>61</v>
      </c>
      <c r="C287" s="1186" t="s">
        <v>47</v>
      </c>
      <c r="D287" s="1186">
        <v>9</v>
      </c>
      <c r="E287" s="1186">
        <v>1</v>
      </c>
      <c r="F287" s="1186">
        <v>5</v>
      </c>
      <c r="G287" s="1186"/>
      <c r="H287" s="1186">
        <v>1</v>
      </c>
      <c r="I287" s="1186"/>
      <c r="J287" s="1186"/>
      <c r="K287" s="1186"/>
      <c r="L287" s="1186">
        <v>1</v>
      </c>
      <c r="M287" s="1186">
        <v>1</v>
      </c>
      <c r="N287" s="1186">
        <v>23080</v>
      </c>
    </row>
    <row r="288" spans="1:14" x14ac:dyDescent="0.2">
      <c r="A288" s="1186" t="s">
        <v>311</v>
      </c>
      <c r="B288" s="1186" t="s">
        <v>61</v>
      </c>
      <c r="C288" s="1186" t="s">
        <v>48</v>
      </c>
      <c r="D288" s="1186">
        <v>28</v>
      </c>
      <c r="E288" s="1186">
        <v>1</v>
      </c>
      <c r="F288" s="1186">
        <v>9</v>
      </c>
      <c r="G288" s="1186"/>
      <c r="H288" s="1186">
        <v>3</v>
      </c>
      <c r="I288" s="1186"/>
      <c r="J288" s="1186"/>
      <c r="K288" s="1186">
        <v>14</v>
      </c>
      <c r="L288" s="1186"/>
      <c r="M288" s="1186">
        <v>1</v>
      </c>
      <c r="N288" s="1186">
        <v>112680</v>
      </c>
    </row>
    <row r="289" spans="1:14" x14ac:dyDescent="0.2">
      <c r="A289" s="1186" t="s">
        <v>311</v>
      </c>
      <c r="B289" s="1186" t="s">
        <v>61</v>
      </c>
      <c r="C289" s="1186" t="s">
        <v>49</v>
      </c>
      <c r="D289" s="1186">
        <v>39</v>
      </c>
      <c r="E289" s="1186"/>
      <c r="F289" s="1186">
        <v>14</v>
      </c>
      <c r="G289" s="1186"/>
      <c r="H289" s="1186">
        <v>7</v>
      </c>
      <c r="I289" s="1186"/>
      <c r="J289" s="1186">
        <v>3</v>
      </c>
      <c r="K289" s="1186">
        <v>8</v>
      </c>
      <c r="L289" s="1186"/>
      <c r="M289" s="1186">
        <v>7</v>
      </c>
      <c r="N289" s="1186">
        <v>318170</v>
      </c>
    </row>
    <row r="290" spans="1:14" x14ac:dyDescent="0.2">
      <c r="A290" s="1186" t="s">
        <v>311</v>
      </c>
      <c r="B290" s="1186" t="s">
        <v>61</v>
      </c>
      <c r="C290" s="1186" t="s">
        <v>50</v>
      </c>
      <c r="D290" s="1186">
        <v>46</v>
      </c>
      <c r="E290" s="1186"/>
      <c r="F290" s="1186">
        <v>25</v>
      </c>
      <c r="G290" s="1186"/>
      <c r="H290" s="1186">
        <v>2</v>
      </c>
      <c r="I290" s="1186"/>
      <c r="J290" s="1186">
        <v>3</v>
      </c>
      <c r="K290" s="1186">
        <v>12</v>
      </c>
      <c r="L290" s="1186">
        <v>1</v>
      </c>
      <c r="M290" s="1186">
        <v>3</v>
      </c>
      <c r="N290" s="1186">
        <v>94000</v>
      </c>
    </row>
    <row r="291" spans="1:14" x14ac:dyDescent="0.2">
      <c r="A291" s="1186" t="s">
        <v>311</v>
      </c>
      <c r="B291" s="1186" t="s">
        <v>61</v>
      </c>
      <c r="C291" s="1186" t="s">
        <v>51</v>
      </c>
      <c r="D291" s="1186">
        <v>5</v>
      </c>
      <c r="E291" s="1186"/>
      <c r="F291" s="1186"/>
      <c r="G291" s="1186">
        <v>1</v>
      </c>
      <c r="H291" s="1186">
        <v>1</v>
      </c>
      <c r="I291" s="1186"/>
      <c r="J291" s="1186">
        <v>1</v>
      </c>
      <c r="K291" s="1186">
        <v>2</v>
      </c>
      <c r="L291" s="1186"/>
      <c r="M291" s="1186"/>
      <c r="N291" s="1186">
        <v>89610</v>
      </c>
    </row>
    <row r="292" spans="1:14" x14ac:dyDescent="0.2">
      <c r="A292" s="1186" t="s">
        <v>311</v>
      </c>
      <c r="B292" s="1186" t="s">
        <v>61</v>
      </c>
      <c r="C292" s="1186" t="s">
        <v>52</v>
      </c>
      <c r="D292" s="1186">
        <v>84</v>
      </c>
      <c r="E292" s="1186"/>
      <c r="F292" s="1186">
        <v>51</v>
      </c>
      <c r="G292" s="1186"/>
      <c r="H292" s="1186">
        <v>3</v>
      </c>
      <c r="I292" s="1186">
        <v>1</v>
      </c>
      <c r="J292" s="1186">
        <v>6</v>
      </c>
      <c r="K292" s="1186">
        <v>13</v>
      </c>
      <c r="L292" s="1186">
        <v>3</v>
      </c>
      <c r="M292" s="1186">
        <v>7</v>
      </c>
      <c r="N292" s="1186">
        <v>181310</v>
      </c>
    </row>
    <row r="293" spans="1:14" x14ac:dyDescent="0.2">
      <c r="A293" s="1186" t="s">
        <v>621</v>
      </c>
      <c r="B293" s="1186" t="s">
        <v>61</v>
      </c>
      <c r="C293" s="1186" t="s">
        <v>23</v>
      </c>
      <c r="D293" s="1186">
        <v>167</v>
      </c>
      <c r="E293" s="1186"/>
      <c r="F293" s="1186">
        <v>89</v>
      </c>
      <c r="G293" s="1186">
        <v>1</v>
      </c>
      <c r="H293" s="1186">
        <v>11</v>
      </c>
      <c r="I293" s="1186"/>
      <c r="J293" s="1186">
        <v>5</v>
      </c>
      <c r="K293" s="1186">
        <v>45</v>
      </c>
      <c r="L293" s="1186">
        <v>6</v>
      </c>
      <c r="M293" s="1186">
        <v>10</v>
      </c>
      <c r="N293" s="1186">
        <v>227560</v>
      </c>
    </row>
    <row r="294" spans="1:14" x14ac:dyDescent="0.2">
      <c r="A294" s="1186" t="s">
        <v>621</v>
      </c>
      <c r="B294" s="1186" t="s">
        <v>61</v>
      </c>
      <c r="C294" s="1186" t="s">
        <v>24</v>
      </c>
      <c r="D294" s="1186">
        <v>144</v>
      </c>
      <c r="E294" s="1186">
        <v>2</v>
      </c>
      <c r="F294" s="1186">
        <v>94</v>
      </c>
      <c r="G294" s="1186">
        <v>5</v>
      </c>
      <c r="H294" s="1186">
        <v>4</v>
      </c>
      <c r="I294" s="1186"/>
      <c r="J294" s="1186">
        <v>6</v>
      </c>
      <c r="K294" s="1186">
        <v>7</v>
      </c>
      <c r="L294" s="1186">
        <v>5</v>
      </c>
      <c r="M294" s="1186">
        <v>21</v>
      </c>
      <c r="N294" s="1186">
        <v>261470</v>
      </c>
    </row>
    <row r="295" spans="1:14" x14ac:dyDescent="0.2">
      <c r="A295" s="1186" t="s">
        <v>621</v>
      </c>
      <c r="B295" s="1186" t="s">
        <v>61</v>
      </c>
      <c r="C295" s="1186" t="s">
        <v>25</v>
      </c>
      <c r="D295" s="1186">
        <v>80</v>
      </c>
      <c r="E295" s="1186">
        <v>4</v>
      </c>
      <c r="F295" s="1186">
        <v>48</v>
      </c>
      <c r="G295" s="1186">
        <v>5</v>
      </c>
      <c r="H295" s="1186">
        <v>5</v>
      </c>
      <c r="I295" s="1186"/>
      <c r="J295" s="1186">
        <v>3</v>
      </c>
      <c r="K295" s="1186">
        <v>13</v>
      </c>
      <c r="L295" s="1186"/>
      <c r="M295" s="1186">
        <v>2</v>
      </c>
      <c r="N295" s="1186">
        <v>116040</v>
      </c>
    </row>
    <row r="296" spans="1:14" x14ac:dyDescent="0.2">
      <c r="A296" s="1186" t="s">
        <v>621</v>
      </c>
      <c r="B296" s="1186" t="s">
        <v>61</v>
      </c>
      <c r="C296" s="1186" t="s">
        <v>26</v>
      </c>
      <c r="D296" s="1186">
        <v>50</v>
      </c>
      <c r="E296" s="1186">
        <v>1</v>
      </c>
      <c r="F296" s="1186">
        <v>29</v>
      </c>
      <c r="G296" s="1186"/>
      <c r="H296" s="1186">
        <v>3</v>
      </c>
      <c r="I296" s="1186">
        <v>3</v>
      </c>
      <c r="J296" s="1186">
        <v>3</v>
      </c>
      <c r="K296" s="1186">
        <v>9</v>
      </c>
      <c r="L296" s="1186">
        <v>1</v>
      </c>
      <c r="M296" s="1186">
        <v>1</v>
      </c>
      <c r="N296" s="1186">
        <v>86260</v>
      </c>
    </row>
    <row r="297" spans="1:14" x14ac:dyDescent="0.2">
      <c r="A297" s="1186" t="s">
        <v>621</v>
      </c>
      <c r="B297" s="1186" t="s">
        <v>61</v>
      </c>
      <c r="C297" s="1186" t="s">
        <v>619</v>
      </c>
      <c r="D297" s="1186">
        <v>690</v>
      </c>
      <c r="E297" s="1186"/>
      <c r="F297" s="1186">
        <v>153</v>
      </c>
      <c r="G297" s="1186">
        <v>2</v>
      </c>
      <c r="H297" s="1186">
        <v>21</v>
      </c>
      <c r="I297" s="1186">
        <v>2</v>
      </c>
      <c r="J297" s="1186">
        <v>23</v>
      </c>
      <c r="K297" s="1186">
        <v>415</v>
      </c>
      <c r="L297" s="1186">
        <v>46</v>
      </c>
      <c r="M297" s="1186">
        <v>28</v>
      </c>
      <c r="N297" s="1186">
        <v>518500</v>
      </c>
    </row>
    <row r="298" spans="1:14" x14ac:dyDescent="0.2">
      <c r="A298" s="1186" t="s">
        <v>621</v>
      </c>
      <c r="B298" s="1186" t="s">
        <v>61</v>
      </c>
      <c r="C298" s="1186" t="s">
        <v>27</v>
      </c>
      <c r="D298" s="1186">
        <v>29</v>
      </c>
      <c r="E298" s="1186">
        <v>1</v>
      </c>
      <c r="F298" s="1186">
        <v>11</v>
      </c>
      <c r="G298" s="1186"/>
      <c r="H298" s="1186">
        <v>2</v>
      </c>
      <c r="I298" s="1186">
        <v>2</v>
      </c>
      <c r="J298" s="1186"/>
      <c r="K298" s="1186">
        <v>8</v>
      </c>
      <c r="L298" s="1186">
        <v>1</v>
      </c>
      <c r="M298" s="1186">
        <v>4</v>
      </c>
      <c r="N298" s="1186">
        <v>51400</v>
      </c>
    </row>
    <row r="299" spans="1:14" x14ac:dyDescent="0.2">
      <c r="A299" s="1186" t="s">
        <v>621</v>
      </c>
      <c r="B299" s="1186" t="s">
        <v>61</v>
      </c>
      <c r="C299" s="1186" t="s">
        <v>28</v>
      </c>
      <c r="D299" s="1186">
        <v>83</v>
      </c>
      <c r="E299" s="1186">
        <v>4</v>
      </c>
      <c r="F299" s="1186">
        <v>42</v>
      </c>
      <c r="G299" s="1186"/>
      <c r="H299" s="1186">
        <v>8</v>
      </c>
      <c r="I299" s="1186">
        <v>2</v>
      </c>
      <c r="J299" s="1186">
        <v>4</v>
      </c>
      <c r="K299" s="1186">
        <v>13</v>
      </c>
      <c r="L299" s="1186">
        <v>1</v>
      </c>
      <c r="M299" s="1186">
        <v>9</v>
      </c>
      <c r="N299" s="1186">
        <v>148790</v>
      </c>
    </row>
    <row r="300" spans="1:14" x14ac:dyDescent="0.2">
      <c r="A300" s="1186" t="s">
        <v>621</v>
      </c>
      <c r="B300" s="1186" t="s">
        <v>61</v>
      </c>
      <c r="C300" s="1186" t="s">
        <v>29</v>
      </c>
      <c r="D300" s="1186">
        <v>81</v>
      </c>
      <c r="E300" s="1186"/>
      <c r="F300" s="1186">
        <v>36</v>
      </c>
      <c r="G300" s="1186"/>
      <c r="H300" s="1186">
        <v>6</v>
      </c>
      <c r="I300" s="1186"/>
      <c r="J300" s="1186">
        <v>9</v>
      </c>
      <c r="K300" s="1186">
        <v>14</v>
      </c>
      <c r="L300" s="1186">
        <v>4</v>
      </c>
      <c r="M300" s="1186">
        <v>12</v>
      </c>
      <c r="N300" s="1186">
        <v>148750</v>
      </c>
    </row>
    <row r="301" spans="1:14" x14ac:dyDescent="0.2">
      <c r="A301" s="1186" t="s">
        <v>621</v>
      </c>
      <c r="B301" s="1186" t="s">
        <v>61</v>
      </c>
      <c r="C301" s="1186" t="s">
        <v>30</v>
      </c>
      <c r="D301" s="1186">
        <v>48</v>
      </c>
      <c r="E301" s="1186">
        <v>2</v>
      </c>
      <c r="F301" s="1186">
        <v>34</v>
      </c>
      <c r="G301" s="1186"/>
      <c r="H301" s="1186">
        <v>1</v>
      </c>
      <c r="I301" s="1186"/>
      <c r="J301" s="1186"/>
      <c r="K301" s="1186">
        <v>8</v>
      </c>
      <c r="L301" s="1186"/>
      <c r="M301" s="1186">
        <v>3</v>
      </c>
      <c r="N301" s="1186">
        <v>121840</v>
      </c>
    </row>
    <row r="302" spans="1:14" x14ac:dyDescent="0.2">
      <c r="A302" s="1186" t="s">
        <v>621</v>
      </c>
      <c r="B302" s="1186" t="s">
        <v>61</v>
      </c>
      <c r="C302" s="1186" t="s">
        <v>31</v>
      </c>
      <c r="D302" s="1186">
        <v>16</v>
      </c>
      <c r="E302" s="1186"/>
      <c r="F302" s="1186">
        <v>4</v>
      </c>
      <c r="G302" s="1186">
        <v>1</v>
      </c>
      <c r="H302" s="1186">
        <v>2</v>
      </c>
      <c r="I302" s="1186"/>
      <c r="J302" s="1186"/>
      <c r="K302" s="1186">
        <v>7</v>
      </c>
      <c r="L302" s="1186">
        <v>1</v>
      </c>
      <c r="M302" s="1186">
        <v>1</v>
      </c>
      <c r="N302" s="1186">
        <v>108330</v>
      </c>
    </row>
    <row r="303" spans="1:14" x14ac:dyDescent="0.2">
      <c r="A303" s="1186" t="s">
        <v>621</v>
      </c>
      <c r="B303" s="1186" t="s">
        <v>61</v>
      </c>
      <c r="C303" s="1186" t="s">
        <v>32</v>
      </c>
      <c r="D303" s="1186">
        <v>81</v>
      </c>
      <c r="E303" s="1186"/>
      <c r="F303" s="1186">
        <v>36</v>
      </c>
      <c r="G303" s="1186">
        <v>1</v>
      </c>
      <c r="H303" s="1186">
        <v>5</v>
      </c>
      <c r="I303" s="1186"/>
      <c r="J303" s="1186">
        <v>10</v>
      </c>
      <c r="K303" s="1186">
        <v>15</v>
      </c>
      <c r="L303" s="1186">
        <v>10</v>
      </c>
      <c r="M303" s="1186">
        <v>4</v>
      </c>
      <c r="N303" s="1186">
        <v>105790</v>
      </c>
    </row>
    <row r="304" spans="1:14" x14ac:dyDescent="0.2">
      <c r="A304" s="1186" t="s">
        <v>621</v>
      </c>
      <c r="B304" s="1186" t="s">
        <v>61</v>
      </c>
      <c r="C304" s="1186" t="s">
        <v>33</v>
      </c>
      <c r="D304" s="1186">
        <v>16</v>
      </c>
      <c r="E304" s="1186"/>
      <c r="F304" s="1186">
        <v>7</v>
      </c>
      <c r="G304" s="1186"/>
      <c r="H304" s="1186">
        <v>4</v>
      </c>
      <c r="I304" s="1186"/>
      <c r="J304" s="1186">
        <v>1</v>
      </c>
      <c r="K304" s="1186">
        <v>2</v>
      </c>
      <c r="L304" s="1186">
        <v>1</v>
      </c>
      <c r="M304" s="1186">
        <v>1</v>
      </c>
      <c r="N304" s="1186">
        <v>95170</v>
      </c>
    </row>
    <row r="305" spans="1:14" x14ac:dyDescent="0.2">
      <c r="A305" s="1186" t="s">
        <v>621</v>
      </c>
      <c r="B305" s="1186" t="s">
        <v>61</v>
      </c>
      <c r="C305" s="1186" t="s">
        <v>34</v>
      </c>
      <c r="D305" s="1186">
        <v>119</v>
      </c>
      <c r="E305" s="1186">
        <v>3</v>
      </c>
      <c r="F305" s="1186">
        <v>77</v>
      </c>
      <c r="G305" s="1186">
        <v>2</v>
      </c>
      <c r="H305" s="1186">
        <v>4</v>
      </c>
      <c r="I305" s="1186"/>
      <c r="J305" s="1186">
        <v>8</v>
      </c>
      <c r="K305" s="1186">
        <v>16</v>
      </c>
      <c r="L305" s="1186">
        <v>2</v>
      </c>
      <c r="M305" s="1186">
        <v>7</v>
      </c>
      <c r="N305" s="1186">
        <v>160340</v>
      </c>
    </row>
    <row r="306" spans="1:14" x14ac:dyDescent="0.2">
      <c r="A306" s="1186" t="s">
        <v>621</v>
      </c>
      <c r="B306" s="1186" t="s">
        <v>61</v>
      </c>
      <c r="C306" s="1186" t="s">
        <v>35</v>
      </c>
      <c r="D306" s="1186">
        <v>287</v>
      </c>
      <c r="E306" s="1186">
        <v>3</v>
      </c>
      <c r="F306" s="1186">
        <v>154</v>
      </c>
      <c r="G306" s="1186">
        <v>4</v>
      </c>
      <c r="H306" s="1186">
        <v>15</v>
      </c>
      <c r="I306" s="1186">
        <v>3</v>
      </c>
      <c r="J306" s="1186">
        <v>26</v>
      </c>
      <c r="K306" s="1186">
        <v>41</v>
      </c>
      <c r="L306" s="1186">
        <v>10</v>
      </c>
      <c r="M306" s="1186">
        <v>31</v>
      </c>
      <c r="N306" s="1186">
        <v>371910</v>
      </c>
    </row>
    <row r="307" spans="1:14" x14ac:dyDescent="0.2">
      <c r="A307" s="1186" t="s">
        <v>621</v>
      </c>
      <c r="B307" s="1186" t="s">
        <v>61</v>
      </c>
      <c r="C307" s="1186" t="s">
        <v>36</v>
      </c>
      <c r="D307" s="1186">
        <v>137</v>
      </c>
      <c r="E307" s="1186"/>
      <c r="F307" s="1186">
        <v>17</v>
      </c>
      <c r="G307" s="1186">
        <v>1</v>
      </c>
      <c r="H307" s="1186">
        <v>8</v>
      </c>
      <c r="I307" s="1186">
        <v>2</v>
      </c>
      <c r="J307" s="1186">
        <v>3</v>
      </c>
      <c r="K307" s="1186">
        <v>82</v>
      </c>
      <c r="L307" s="1186">
        <v>8</v>
      </c>
      <c r="M307" s="1186">
        <v>16</v>
      </c>
      <c r="N307" s="1186">
        <v>626410</v>
      </c>
    </row>
    <row r="308" spans="1:14" x14ac:dyDescent="0.2">
      <c r="A308" s="1186" t="s">
        <v>621</v>
      </c>
      <c r="B308" s="1186" t="s">
        <v>61</v>
      </c>
      <c r="C308" s="1186" t="s">
        <v>37</v>
      </c>
      <c r="D308" s="1186">
        <v>366</v>
      </c>
      <c r="E308" s="1186">
        <v>3</v>
      </c>
      <c r="F308" s="1186">
        <v>285</v>
      </c>
      <c r="G308" s="1186"/>
      <c r="H308" s="1186">
        <v>10</v>
      </c>
      <c r="I308" s="1186">
        <v>4</v>
      </c>
      <c r="J308" s="1186">
        <v>13</v>
      </c>
      <c r="K308" s="1186">
        <v>26</v>
      </c>
      <c r="L308" s="1186">
        <v>4</v>
      </c>
      <c r="M308" s="1186">
        <v>21</v>
      </c>
      <c r="N308" s="1186">
        <v>235540</v>
      </c>
    </row>
    <row r="309" spans="1:14" x14ac:dyDescent="0.2">
      <c r="A309" s="1186" t="s">
        <v>621</v>
      </c>
      <c r="B309" s="1186" t="s">
        <v>61</v>
      </c>
      <c r="C309" s="1186" t="s">
        <v>38</v>
      </c>
      <c r="D309" s="1186">
        <v>18</v>
      </c>
      <c r="E309" s="1186"/>
      <c r="F309" s="1186">
        <v>11</v>
      </c>
      <c r="G309" s="1186"/>
      <c r="H309" s="1186">
        <v>2</v>
      </c>
      <c r="I309" s="1186"/>
      <c r="J309" s="1186">
        <v>1</v>
      </c>
      <c r="K309" s="1186">
        <v>2</v>
      </c>
      <c r="L309" s="1186">
        <v>1</v>
      </c>
      <c r="M309" s="1186">
        <v>1</v>
      </c>
      <c r="N309" s="1186">
        <v>78150</v>
      </c>
    </row>
    <row r="310" spans="1:14" x14ac:dyDescent="0.2">
      <c r="A310" s="1186" t="s">
        <v>621</v>
      </c>
      <c r="B310" s="1186" t="s">
        <v>61</v>
      </c>
      <c r="C310" s="1186" t="s">
        <v>39</v>
      </c>
      <c r="D310" s="1186">
        <v>51</v>
      </c>
      <c r="E310" s="1186"/>
      <c r="F310" s="1186">
        <v>23</v>
      </c>
      <c r="G310" s="1186"/>
      <c r="H310" s="1186">
        <v>3</v>
      </c>
      <c r="I310" s="1186"/>
      <c r="J310" s="1186">
        <v>5</v>
      </c>
      <c r="K310" s="1186">
        <v>10</v>
      </c>
      <c r="L310" s="1186">
        <v>3</v>
      </c>
      <c r="M310" s="1186">
        <v>7</v>
      </c>
      <c r="N310" s="1186">
        <v>91340</v>
      </c>
    </row>
    <row r="311" spans="1:14" x14ac:dyDescent="0.2">
      <c r="A311" s="1186" t="s">
        <v>621</v>
      </c>
      <c r="B311" s="1186" t="s">
        <v>61</v>
      </c>
      <c r="C311" s="1186" t="s">
        <v>40</v>
      </c>
      <c r="D311" s="1186">
        <v>140</v>
      </c>
      <c r="E311" s="1186">
        <v>2</v>
      </c>
      <c r="F311" s="1186">
        <v>108</v>
      </c>
      <c r="G311" s="1186">
        <v>1</v>
      </c>
      <c r="H311" s="1186">
        <v>5</v>
      </c>
      <c r="I311" s="1186"/>
      <c r="J311" s="1186">
        <v>3</v>
      </c>
      <c r="K311" s="1186">
        <v>3</v>
      </c>
      <c r="L311" s="1186">
        <v>1</v>
      </c>
      <c r="M311" s="1186">
        <v>17</v>
      </c>
      <c r="N311" s="1186">
        <v>95520</v>
      </c>
    </row>
    <row r="312" spans="1:14" x14ac:dyDescent="0.2">
      <c r="A312" s="1186" t="s">
        <v>621</v>
      </c>
      <c r="B312" s="1186" t="s">
        <v>61</v>
      </c>
      <c r="C312" s="1186" t="s">
        <v>295</v>
      </c>
      <c r="D312" s="1186">
        <v>45</v>
      </c>
      <c r="E312" s="1186"/>
      <c r="F312" s="1186">
        <v>40</v>
      </c>
      <c r="G312" s="1186"/>
      <c r="H312" s="1186"/>
      <c r="I312" s="1186"/>
      <c r="J312" s="1186">
        <v>1</v>
      </c>
      <c r="K312" s="1186">
        <v>2</v>
      </c>
      <c r="L312" s="1186">
        <v>1</v>
      </c>
      <c r="M312" s="1186">
        <v>1</v>
      </c>
      <c r="N312" s="1186">
        <v>26830</v>
      </c>
    </row>
    <row r="313" spans="1:14" x14ac:dyDescent="0.2">
      <c r="A313" s="1186" t="s">
        <v>621</v>
      </c>
      <c r="B313" s="1186" t="s">
        <v>61</v>
      </c>
      <c r="C313" s="1186" t="s">
        <v>41</v>
      </c>
      <c r="D313" s="1186">
        <v>29</v>
      </c>
      <c r="E313" s="1186"/>
      <c r="F313" s="1186">
        <v>14</v>
      </c>
      <c r="G313" s="1186"/>
      <c r="H313" s="1186">
        <v>3</v>
      </c>
      <c r="I313" s="1186"/>
      <c r="J313" s="1186">
        <v>3</v>
      </c>
      <c r="K313" s="1186">
        <v>3</v>
      </c>
      <c r="L313" s="1186">
        <v>2</v>
      </c>
      <c r="M313" s="1186">
        <v>4</v>
      </c>
      <c r="N313" s="1186">
        <v>135280</v>
      </c>
    </row>
    <row r="314" spans="1:14" x14ac:dyDescent="0.2">
      <c r="A314" s="1186" t="s">
        <v>621</v>
      </c>
      <c r="B314" s="1186" t="s">
        <v>61</v>
      </c>
      <c r="C314" s="1186" t="s">
        <v>42</v>
      </c>
      <c r="D314" s="1186">
        <v>49</v>
      </c>
      <c r="E314" s="1186"/>
      <c r="F314" s="1186">
        <v>20</v>
      </c>
      <c r="G314" s="1186">
        <v>1</v>
      </c>
      <c r="H314" s="1186">
        <v>7</v>
      </c>
      <c r="I314" s="1186">
        <v>1</v>
      </c>
      <c r="J314" s="1186">
        <v>7</v>
      </c>
      <c r="K314" s="1186">
        <v>6</v>
      </c>
      <c r="L314" s="1186">
        <v>5</v>
      </c>
      <c r="M314" s="1186">
        <v>2</v>
      </c>
      <c r="N314" s="1186">
        <v>340180</v>
      </c>
    </row>
    <row r="315" spans="1:14" x14ac:dyDescent="0.2">
      <c r="A315" s="1186" t="s">
        <v>621</v>
      </c>
      <c r="B315" s="1186" t="s">
        <v>61</v>
      </c>
      <c r="C315" s="1186" t="s">
        <v>43</v>
      </c>
      <c r="D315" s="1186">
        <v>19</v>
      </c>
      <c r="E315" s="1186">
        <v>1</v>
      </c>
      <c r="F315" s="1186">
        <v>11</v>
      </c>
      <c r="G315" s="1186"/>
      <c r="H315" s="1186">
        <v>1</v>
      </c>
      <c r="I315" s="1186"/>
      <c r="J315" s="1186">
        <v>2</v>
      </c>
      <c r="K315" s="1186">
        <v>2</v>
      </c>
      <c r="L315" s="1186">
        <v>1</v>
      </c>
      <c r="M315" s="1186">
        <v>1</v>
      </c>
      <c r="N315" s="1186">
        <v>22190</v>
      </c>
    </row>
    <row r="316" spans="1:14" x14ac:dyDescent="0.2">
      <c r="A316" s="1186" t="s">
        <v>621</v>
      </c>
      <c r="B316" s="1186" t="s">
        <v>61</v>
      </c>
      <c r="C316" s="1186" t="s">
        <v>44</v>
      </c>
      <c r="D316" s="1186">
        <v>56</v>
      </c>
      <c r="E316" s="1186"/>
      <c r="F316" s="1186">
        <v>32</v>
      </c>
      <c r="G316" s="1186"/>
      <c r="H316" s="1186">
        <v>3</v>
      </c>
      <c r="I316" s="1186">
        <v>1</v>
      </c>
      <c r="J316" s="1186"/>
      <c r="K316" s="1186">
        <v>9</v>
      </c>
      <c r="L316" s="1186">
        <v>4</v>
      </c>
      <c r="M316" s="1186">
        <v>7</v>
      </c>
      <c r="N316" s="1186">
        <v>151290</v>
      </c>
    </row>
    <row r="317" spans="1:14" x14ac:dyDescent="0.2">
      <c r="A317" s="1186" t="s">
        <v>621</v>
      </c>
      <c r="B317" s="1186" t="s">
        <v>61</v>
      </c>
      <c r="C317" s="1186" t="s">
        <v>45</v>
      </c>
      <c r="D317" s="1186">
        <v>43</v>
      </c>
      <c r="E317" s="1186"/>
      <c r="F317" s="1186">
        <v>19</v>
      </c>
      <c r="G317" s="1186"/>
      <c r="H317" s="1186">
        <v>4</v>
      </c>
      <c r="I317" s="1186"/>
      <c r="J317" s="1186">
        <v>4</v>
      </c>
      <c r="K317" s="1186">
        <v>11</v>
      </c>
      <c r="L317" s="1186">
        <v>1</v>
      </c>
      <c r="M317" s="1186">
        <v>4</v>
      </c>
      <c r="N317" s="1186">
        <v>177790</v>
      </c>
    </row>
    <row r="318" spans="1:14" x14ac:dyDescent="0.2">
      <c r="A318" s="1186" t="s">
        <v>621</v>
      </c>
      <c r="B318" s="1186" t="s">
        <v>61</v>
      </c>
      <c r="C318" s="1186" t="s">
        <v>46</v>
      </c>
      <c r="D318" s="1186">
        <v>41</v>
      </c>
      <c r="E318" s="1186">
        <v>1</v>
      </c>
      <c r="F318" s="1186">
        <v>26</v>
      </c>
      <c r="G318" s="1186"/>
      <c r="H318" s="1186">
        <v>2</v>
      </c>
      <c r="I318" s="1186">
        <v>1</v>
      </c>
      <c r="J318" s="1186">
        <v>2</v>
      </c>
      <c r="K318" s="1186">
        <v>4</v>
      </c>
      <c r="L318" s="1186">
        <v>1</v>
      </c>
      <c r="M318" s="1186">
        <v>4</v>
      </c>
      <c r="N318" s="1186">
        <v>115270</v>
      </c>
    </row>
    <row r="319" spans="1:14" x14ac:dyDescent="0.2">
      <c r="A319" s="1186" t="s">
        <v>621</v>
      </c>
      <c r="B319" s="1186" t="s">
        <v>61</v>
      </c>
      <c r="C319" s="1186" t="s">
        <v>47</v>
      </c>
      <c r="D319" s="1186">
        <v>15</v>
      </c>
      <c r="E319" s="1186">
        <v>2</v>
      </c>
      <c r="F319" s="1186">
        <v>9</v>
      </c>
      <c r="G319" s="1186"/>
      <c r="H319" s="1186">
        <v>1</v>
      </c>
      <c r="I319" s="1186"/>
      <c r="J319" s="1186"/>
      <c r="K319" s="1186">
        <v>3</v>
      </c>
      <c r="L319" s="1186"/>
      <c r="M319" s="1186"/>
      <c r="N319" s="1186">
        <v>22990</v>
      </c>
    </row>
    <row r="320" spans="1:14" x14ac:dyDescent="0.2">
      <c r="A320" s="1186" t="s">
        <v>621</v>
      </c>
      <c r="B320" s="1186" t="s">
        <v>61</v>
      </c>
      <c r="C320" s="1186" t="s">
        <v>48</v>
      </c>
      <c r="D320" s="1186">
        <v>29</v>
      </c>
      <c r="E320" s="1186"/>
      <c r="F320" s="1186">
        <v>8</v>
      </c>
      <c r="G320" s="1186"/>
      <c r="H320" s="1186">
        <v>2</v>
      </c>
      <c r="I320" s="1186">
        <v>2</v>
      </c>
      <c r="J320" s="1186">
        <v>2</v>
      </c>
      <c r="K320" s="1186">
        <v>13</v>
      </c>
      <c r="L320" s="1186">
        <v>1</v>
      </c>
      <c r="M320" s="1186">
        <v>1</v>
      </c>
      <c r="N320" s="1186">
        <v>112550</v>
      </c>
    </row>
    <row r="321" spans="1:14" x14ac:dyDescent="0.2">
      <c r="A321" s="1186" t="s">
        <v>621</v>
      </c>
      <c r="B321" s="1186" t="s">
        <v>61</v>
      </c>
      <c r="C321" s="1186" t="s">
        <v>49</v>
      </c>
      <c r="D321" s="1186">
        <v>47</v>
      </c>
      <c r="E321" s="1186"/>
      <c r="F321" s="1186">
        <v>19</v>
      </c>
      <c r="G321" s="1186"/>
      <c r="H321" s="1186">
        <v>7</v>
      </c>
      <c r="I321" s="1186"/>
      <c r="J321" s="1186">
        <v>3</v>
      </c>
      <c r="K321" s="1186">
        <v>6</v>
      </c>
      <c r="L321" s="1186"/>
      <c r="M321" s="1186">
        <v>12</v>
      </c>
      <c r="N321" s="1186">
        <v>319020</v>
      </c>
    </row>
    <row r="322" spans="1:14" x14ac:dyDescent="0.2">
      <c r="A322" s="1186" t="s">
        <v>621</v>
      </c>
      <c r="B322" s="1186" t="s">
        <v>61</v>
      </c>
      <c r="C322" s="1186" t="s">
        <v>50</v>
      </c>
      <c r="D322" s="1186">
        <v>83</v>
      </c>
      <c r="E322" s="1186"/>
      <c r="F322" s="1186">
        <v>57</v>
      </c>
      <c r="G322" s="1186"/>
      <c r="H322" s="1186">
        <v>3</v>
      </c>
      <c r="I322" s="1186"/>
      <c r="J322" s="1186">
        <v>4</v>
      </c>
      <c r="K322" s="1186">
        <v>8</v>
      </c>
      <c r="L322" s="1186">
        <v>2</v>
      </c>
      <c r="M322" s="1186">
        <v>9</v>
      </c>
      <c r="N322" s="1186">
        <v>94330</v>
      </c>
    </row>
    <row r="323" spans="1:14" x14ac:dyDescent="0.2">
      <c r="A323" s="1186" t="s">
        <v>621</v>
      </c>
      <c r="B323" s="1186" t="s">
        <v>61</v>
      </c>
      <c r="C323" s="1186" t="s">
        <v>51</v>
      </c>
      <c r="D323" s="1186">
        <v>9</v>
      </c>
      <c r="E323" s="1186"/>
      <c r="F323" s="1186">
        <v>3</v>
      </c>
      <c r="G323" s="1186"/>
      <c r="H323" s="1186">
        <v>1</v>
      </c>
      <c r="I323" s="1186">
        <v>1</v>
      </c>
      <c r="J323" s="1186">
        <v>2</v>
      </c>
      <c r="K323" s="1186">
        <v>2</v>
      </c>
      <c r="L323" s="1186"/>
      <c r="M323" s="1186"/>
      <c r="N323" s="1186">
        <v>89130</v>
      </c>
    </row>
    <row r="324" spans="1:14" x14ac:dyDescent="0.2">
      <c r="A324" s="1186" t="s">
        <v>621</v>
      </c>
      <c r="B324" s="1186" t="s">
        <v>61</v>
      </c>
      <c r="C324" s="1186" t="s">
        <v>52</v>
      </c>
      <c r="D324" s="1186">
        <v>144</v>
      </c>
      <c r="E324" s="1186"/>
      <c r="F324" s="1186">
        <v>96</v>
      </c>
      <c r="G324" s="1186"/>
      <c r="H324" s="1186">
        <v>8</v>
      </c>
      <c r="I324" s="1186">
        <v>1</v>
      </c>
      <c r="J324" s="1186">
        <v>6</v>
      </c>
      <c r="K324" s="1186">
        <v>27</v>
      </c>
      <c r="L324" s="1186">
        <v>1</v>
      </c>
      <c r="M324" s="1186">
        <v>5</v>
      </c>
      <c r="N324" s="1186">
        <v>182140</v>
      </c>
    </row>
    <row r="325" spans="1:14" x14ac:dyDescent="0.2">
      <c r="A325" s="1186" t="s">
        <v>1419</v>
      </c>
      <c r="B325" s="1186" t="s">
        <v>61</v>
      </c>
      <c r="C325" s="1186" t="s">
        <v>23</v>
      </c>
      <c r="D325" s="1186">
        <v>91</v>
      </c>
      <c r="E325" s="1186"/>
      <c r="F325" s="1186">
        <v>32</v>
      </c>
      <c r="G325" s="1186">
        <v>1</v>
      </c>
      <c r="H325" s="1186">
        <v>8</v>
      </c>
      <c r="I325" s="1186"/>
      <c r="J325" s="1186">
        <v>1</v>
      </c>
      <c r="K325" s="1186">
        <v>39</v>
      </c>
      <c r="L325" s="1186">
        <v>5</v>
      </c>
      <c r="M325" s="1186">
        <v>5</v>
      </c>
      <c r="N325" s="1186">
        <v>228670</v>
      </c>
    </row>
    <row r="326" spans="1:14" x14ac:dyDescent="0.2">
      <c r="A326" s="1186" t="s">
        <v>1419</v>
      </c>
      <c r="B326" s="1186" t="s">
        <v>61</v>
      </c>
      <c r="C326" s="1186" t="s">
        <v>24</v>
      </c>
      <c r="D326" s="1186">
        <v>87</v>
      </c>
      <c r="E326" s="1186">
        <v>1</v>
      </c>
      <c r="F326" s="1186">
        <v>45</v>
      </c>
      <c r="G326" s="1186">
        <v>1</v>
      </c>
      <c r="H326" s="1186">
        <v>10</v>
      </c>
      <c r="I326" s="1186"/>
      <c r="J326" s="1186">
        <v>6</v>
      </c>
      <c r="K326" s="1186">
        <v>9</v>
      </c>
      <c r="L326" s="1186"/>
      <c r="M326" s="1186">
        <v>15</v>
      </c>
      <c r="N326" s="1186">
        <v>261210</v>
      </c>
    </row>
    <row r="327" spans="1:14" x14ac:dyDescent="0.2">
      <c r="A327" s="1186" t="s">
        <v>1419</v>
      </c>
      <c r="B327" s="1186" t="s">
        <v>61</v>
      </c>
      <c r="C327" s="1186" t="s">
        <v>25</v>
      </c>
      <c r="D327" s="1186">
        <v>50</v>
      </c>
      <c r="E327" s="1186"/>
      <c r="F327" s="1186">
        <v>25</v>
      </c>
      <c r="G327" s="1186">
        <v>3</v>
      </c>
      <c r="H327" s="1186">
        <v>3</v>
      </c>
      <c r="I327" s="1186"/>
      <c r="J327" s="1186">
        <v>6</v>
      </c>
      <c r="K327" s="1186">
        <v>6</v>
      </c>
      <c r="L327" s="1186"/>
      <c r="M327" s="1186">
        <v>7</v>
      </c>
      <c r="N327" s="1186">
        <v>116200</v>
      </c>
    </row>
    <row r="328" spans="1:14" x14ac:dyDescent="0.2">
      <c r="A328" s="1186" t="s">
        <v>1419</v>
      </c>
      <c r="B328" s="1186" t="s">
        <v>61</v>
      </c>
      <c r="C328" s="1186" t="s">
        <v>26</v>
      </c>
      <c r="D328" s="1186">
        <v>64</v>
      </c>
      <c r="E328" s="1186">
        <v>3</v>
      </c>
      <c r="F328" s="1186">
        <v>38</v>
      </c>
      <c r="G328" s="1186"/>
      <c r="H328" s="1186">
        <v>8</v>
      </c>
      <c r="I328" s="1186"/>
      <c r="J328" s="1186">
        <v>4</v>
      </c>
      <c r="K328" s="1186">
        <v>3</v>
      </c>
      <c r="L328" s="1186">
        <v>1</v>
      </c>
      <c r="M328" s="1186">
        <v>7</v>
      </c>
      <c r="N328" s="1186">
        <v>85870</v>
      </c>
    </row>
    <row r="329" spans="1:14" x14ac:dyDescent="0.2">
      <c r="A329" s="1186" t="s">
        <v>1419</v>
      </c>
      <c r="B329" s="1186" t="s">
        <v>61</v>
      </c>
      <c r="C329" s="1186" t="s">
        <v>619</v>
      </c>
      <c r="D329" s="1186">
        <v>559</v>
      </c>
      <c r="E329" s="1186">
        <v>2</v>
      </c>
      <c r="F329" s="1186">
        <v>71</v>
      </c>
      <c r="G329" s="1186"/>
      <c r="H329" s="1186">
        <v>9</v>
      </c>
      <c r="I329" s="1186">
        <v>1</v>
      </c>
      <c r="J329" s="1186">
        <v>12</v>
      </c>
      <c r="K329" s="1186">
        <v>375</v>
      </c>
      <c r="L329" s="1186">
        <v>46</v>
      </c>
      <c r="M329" s="1186">
        <v>43</v>
      </c>
      <c r="N329" s="1186">
        <v>524930</v>
      </c>
    </row>
    <row r="330" spans="1:14" x14ac:dyDescent="0.2">
      <c r="A330" s="1186" t="s">
        <v>1419</v>
      </c>
      <c r="B330" s="1186" t="s">
        <v>61</v>
      </c>
      <c r="C330" s="1186" t="s">
        <v>27</v>
      </c>
      <c r="D330" s="1186">
        <v>17</v>
      </c>
      <c r="E330" s="1186"/>
      <c r="F330" s="1186">
        <v>7</v>
      </c>
      <c r="G330" s="1186"/>
      <c r="H330" s="1186">
        <v>2</v>
      </c>
      <c r="I330" s="1186">
        <v>1</v>
      </c>
      <c r="J330" s="1186"/>
      <c r="K330" s="1186">
        <v>6</v>
      </c>
      <c r="L330" s="1186"/>
      <c r="M330" s="1186">
        <v>1</v>
      </c>
      <c r="N330" s="1186">
        <v>51540</v>
      </c>
    </row>
    <row r="331" spans="1:14" x14ac:dyDescent="0.2">
      <c r="A331" s="1186" t="s">
        <v>1419</v>
      </c>
      <c r="B331" s="1186" t="s">
        <v>61</v>
      </c>
      <c r="C331" s="1186" t="s">
        <v>28</v>
      </c>
      <c r="D331" s="1186">
        <v>81</v>
      </c>
      <c r="E331" s="1186">
        <v>2</v>
      </c>
      <c r="F331" s="1186">
        <v>42</v>
      </c>
      <c r="G331" s="1186">
        <v>1</v>
      </c>
      <c r="H331" s="1186">
        <v>3</v>
      </c>
      <c r="I331" s="1186">
        <v>1</v>
      </c>
      <c r="J331" s="1186">
        <v>3</v>
      </c>
      <c r="K331" s="1186">
        <v>17</v>
      </c>
      <c r="L331" s="1186">
        <v>3</v>
      </c>
      <c r="M331" s="1186">
        <v>9</v>
      </c>
      <c r="N331" s="1186">
        <v>148860</v>
      </c>
    </row>
    <row r="332" spans="1:14" x14ac:dyDescent="0.2">
      <c r="A332" s="1186" t="s">
        <v>1419</v>
      </c>
      <c r="B332" s="1186" t="s">
        <v>61</v>
      </c>
      <c r="C332" s="1186" t="s">
        <v>29</v>
      </c>
      <c r="D332" s="1186">
        <v>109</v>
      </c>
      <c r="E332" s="1186"/>
      <c r="F332" s="1186">
        <v>26</v>
      </c>
      <c r="G332" s="1186"/>
      <c r="H332" s="1186">
        <v>8</v>
      </c>
      <c r="I332" s="1186">
        <v>1</v>
      </c>
      <c r="J332" s="1186">
        <v>7</v>
      </c>
      <c r="K332" s="1186">
        <v>49</v>
      </c>
      <c r="L332" s="1186">
        <v>12</v>
      </c>
      <c r="M332" s="1186">
        <v>6</v>
      </c>
      <c r="N332" s="1186">
        <v>149320</v>
      </c>
    </row>
    <row r="333" spans="1:14" x14ac:dyDescent="0.2">
      <c r="A333" s="1186" t="s">
        <v>1419</v>
      </c>
      <c r="B333" s="1186" t="s">
        <v>61</v>
      </c>
      <c r="C333" s="1186" t="s">
        <v>30</v>
      </c>
      <c r="D333" s="1186">
        <v>25</v>
      </c>
      <c r="E333" s="1186">
        <v>2</v>
      </c>
      <c r="F333" s="1186">
        <v>5</v>
      </c>
      <c r="G333" s="1186">
        <v>1</v>
      </c>
      <c r="H333" s="1186">
        <v>3</v>
      </c>
      <c r="I333" s="1186"/>
      <c r="J333" s="1186">
        <v>4</v>
      </c>
      <c r="K333" s="1186">
        <v>6</v>
      </c>
      <c r="L333" s="1186"/>
      <c r="M333" s="1186">
        <v>4</v>
      </c>
      <c r="N333" s="1186">
        <v>122010</v>
      </c>
    </row>
    <row r="334" spans="1:14" x14ac:dyDescent="0.2">
      <c r="A334" s="1186" t="s">
        <v>1419</v>
      </c>
      <c r="B334" s="1186" t="s">
        <v>61</v>
      </c>
      <c r="C334" s="1186" t="s">
        <v>31</v>
      </c>
      <c r="D334" s="1186">
        <v>15</v>
      </c>
      <c r="E334" s="1186"/>
      <c r="F334" s="1186">
        <v>8</v>
      </c>
      <c r="G334" s="1186"/>
      <c r="H334" s="1186">
        <v>1</v>
      </c>
      <c r="I334" s="1186"/>
      <c r="J334" s="1186"/>
      <c r="K334" s="1186">
        <v>2</v>
      </c>
      <c r="L334" s="1186"/>
      <c r="M334" s="1186">
        <v>4</v>
      </c>
      <c r="N334" s="1186">
        <v>108640</v>
      </c>
    </row>
    <row r="335" spans="1:14" x14ac:dyDescent="0.2">
      <c r="A335" s="1186" t="s">
        <v>1419</v>
      </c>
      <c r="B335" s="1186" t="s">
        <v>61</v>
      </c>
      <c r="C335" s="1186" t="s">
        <v>32</v>
      </c>
      <c r="D335" s="1186">
        <v>57</v>
      </c>
      <c r="E335" s="1186"/>
      <c r="F335" s="1186">
        <v>30</v>
      </c>
      <c r="G335" s="1186">
        <v>1</v>
      </c>
      <c r="H335" s="1186">
        <v>3</v>
      </c>
      <c r="I335" s="1186"/>
      <c r="J335" s="1186">
        <v>3</v>
      </c>
      <c r="K335" s="1186">
        <v>14</v>
      </c>
      <c r="L335" s="1186">
        <v>2</v>
      </c>
      <c r="M335" s="1186">
        <v>4</v>
      </c>
      <c r="N335" s="1186">
        <v>107090</v>
      </c>
    </row>
    <row r="336" spans="1:14" x14ac:dyDescent="0.2">
      <c r="A336" s="1186" t="s">
        <v>1419</v>
      </c>
      <c r="B336" s="1186" t="s">
        <v>61</v>
      </c>
      <c r="C336" s="1186" t="s">
        <v>33</v>
      </c>
      <c r="D336" s="1186">
        <v>14</v>
      </c>
      <c r="E336" s="1186"/>
      <c r="F336" s="1186">
        <v>4</v>
      </c>
      <c r="G336" s="1186"/>
      <c r="H336" s="1186">
        <v>2</v>
      </c>
      <c r="I336" s="1186"/>
      <c r="J336" s="1186">
        <v>1</v>
      </c>
      <c r="K336" s="1186">
        <v>4</v>
      </c>
      <c r="L336" s="1186">
        <v>2</v>
      </c>
      <c r="M336" s="1186">
        <v>1</v>
      </c>
      <c r="N336" s="1186">
        <v>95530</v>
      </c>
    </row>
    <row r="337" spans="1:14" x14ac:dyDescent="0.2">
      <c r="A337" s="1186" t="s">
        <v>1419</v>
      </c>
      <c r="B337" s="1186" t="s">
        <v>61</v>
      </c>
      <c r="C337" s="1186" t="s">
        <v>34</v>
      </c>
      <c r="D337" s="1186">
        <v>98</v>
      </c>
      <c r="E337" s="1186">
        <v>1</v>
      </c>
      <c r="F337" s="1186">
        <v>43</v>
      </c>
      <c r="G337" s="1186">
        <v>1</v>
      </c>
      <c r="H337" s="1186">
        <v>5</v>
      </c>
      <c r="I337" s="1186"/>
      <c r="J337" s="1186">
        <v>3</v>
      </c>
      <c r="K337" s="1186">
        <v>28</v>
      </c>
      <c r="L337" s="1186">
        <v>6</v>
      </c>
      <c r="M337" s="1186">
        <v>11</v>
      </c>
      <c r="N337" s="1186">
        <v>160890</v>
      </c>
    </row>
    <row r="338" spans="1:14" x14ac:dyDescent="0.2">
      <c r="A338" s="1186" t="s">
        <v>1419</v>
      </c>
      <c r="B338" s="1186" t="s">
        <v>61</v>
      </c>
      <c r="C338" s="1186" t="s">
        <v>35</v>
      </c>
      <c r="D338" s="1186">
        <v>174</v>
      </c>
      <c r="E338" s="1186">
        <v>6</v>
      </c>
      <c r="F338" s="1186">
        <v>78</v>
      </c>
      <c r="G338" s="1186">
        <v>2</v>
      </c>
      <c r="H338" s="1186">
        <v>23</v>
      </c>
      <c r="I338" s="1186">
        <v>3</v>
      </c>
      <c r="J338" s="1186">
        <v>9</v>
      </c>
      <c r="K338" s="1186">
        <v>24</v>
      </c>
      <c r="L338" s="1186">
        <v>9</v>
      </c>
      <c r="M338" s="1186">
        <v>20</v>
      </c>
      <c r="N338" s="1186">
        <v>373550</v>
      </c>
    </row>
    <row r="339" spans="1:14" x14ac:dyDescent="0.2">
      <c r="A339" s="1186" t="s">
        <v>1419</v>
      </c>
      <c r="B339" s="1186" t="s">
        <v>61</v>
      </c>
      <c r="C339" s="1186" t="s">
        <v>36</v>
      </c>
      <c r="D339" s="1186">
        <v>168</v>
      </c>
      <c r="E339" s="1186"/>
      <c r="F339" s="1186">
        <v>15</v>
      </c>
      <c r="G339" s="1186"/>
      <c r="H339" s="1186">
        <v>26</v>
      </c>
      <c r="I339" s="1186">
        <v>3</v>
      </c>
      <c r="J339" s="1186">
        <v>2</v>
      </c>
      <c r="K339" s="1186">
        <v>88</v>
      </c>
      <c r="L339" s="1186">
        <v>7</v>
      </c>
      <c r="M339" s="1186">
        <v>27</v>
      </c>
      <c r="N339" s="1186">
        <v>633120</v>
      </c>
    </row>
    <row r="340" spans="1:14" x14ac:dyDescent="0.2">
      <c r="A340" s="1186" t="s">
        <v>1419</v>
      </c>
      <c r="B340" s="1186" t="s">
        <v>61</v>
      </c>
      <c r="C340" s="1186" t="s">
        <v>37</v>
      </c>
      <c r="D340" s="1186">
        <v>272</v>
      </c>
      <c r="E340" s="1186">
        <v>8</v>
      </c>
      <c r="F340" s="1186">
        <v>210</v>
      </c>
      <c r="G340" s="1186"/>
      <c r="H340" s="1186">
        <v>4</v>
      </c>
      <c r="I340" s="1186">
        <v>1</v>
      </c>
      <c r="J340" s="1186">
        <v>9</v>
      </c>
      <c r="K340" s="1186">
        <v>17</v>
      </c>
      <c r="L340" s="1186">
        <v>1</v>
      </c>
      <c r="M340" s="1186">
        <v>22</v>
      </c>
      <c r="N340" s="1186">
        <v>235830</v>
      </c>
    </row>
    <row r="341" spans="1:14" x14ac:dyDescent="0.2">
      <c r="A341" s="1186" t="s">
        <v>1419</v>
      </c>
      <c r="B341" s="1186" t="s">
        <v>61</v>
      </c>
      <c r="C341" s="1186" t="s">
        <v>38</v>
      </c>
      <c r="D341" s="1186">
        <v>19</v>
      </c>
      <c r="E341" s="1186">
        <v>1</v>
      </c>
      <c r="F341" s="1186">
        <v>7</v>
      </c>
      <c r="G341" s="1186"/>
      <c r="H341" s="1186">
        <v>5</v>
      </c>
      <c r="I341" s="1186"/>
      <c r="J341" s="1186"/>
      <c r="K341" s="1186">
        <v>5</v>
      </c>
      <c r="L341" s="1186"/>
      <c r="M341" s="1186">
        <v>1</v>
      </c>
      <c r="N341" s="1186">
        <v>77800</v>
      </c>
    </row>
    <row r="342" spans="1:14" x14ac:dyDescent="0.2">
      <c r="A342" s="1186" t="s">
        <v>1419</v>
      </c>
      <c r="B342" s="1186" t="s">
        <v>61</v>
      </c>
      <c r="C342" s="1186" t="s">
        <v>39</v>
      </c>
      <c r="D342" s="1186">
        <v>37</v>
      </c>
      <c r="E342" s="1186"/>
      <c r="F342" s="1186">
        <v>12</v>
      </c>
      <c r="G342" s="1186">
        <v>3</v>
      </c>
      <c r="H342" s="1186">
        <v>7</v>
      </c>
      <c r="I342" s="1186"/>
      <c r="J342" s="1186">
        <v>2</v>
      </c>
      <c r="K342" s="1186">
        <v>1</v>
      </c>
      <c r="L342" s="1186">
        <v>2</v>
      </c>
      <c r="M342" s="1186">
        <v>10</v>
      </c>
      <c r="N342" s="1186">
        <v>92460</v>
      </c>
    </row>
    <row r="343" spans="1:14" x14ac:dyDescent="0.2">
      <c r="A343" s="1186" t="s">
        <v>1419</v>
      </c>
      <c r="B343" s="1186" t="s">
        <v>61</v>
      </c>
      <c r="C343" s="1186" t="s">
        <v>40</v>
      </c>
      <c r="D343" s="1186">
        <v>54</v>
      </c>
      <c r="E343" s="1186">
        <v>2</v>
      </c>
      <c r="F343" s="1186">
        <v>36</v>
      </c>
      <c r="G343" s="1186">
        <v>1</v>
      </c>
      <c r="H343" s="1186">
        <v>1</v>
      </c>
      <c r="I343" s="1186"/>
      <c r="J343" s="1186">
        <v>1</v>
      </c>
      <c r="K343" s="1186">
        <v>10</v>
      </c>
      <c r="L343" s="1186"/>
      <c r="M343" s="1186">
        <v>3</v>
      </c>
      <c r="N343" s="1186">
        <v>95820</v>
      </c>
    </row>
    <row r="344" spans="1:14" x14ac:dyDescent="0.2">
      <c r="A344" s="1186" t="s">
        <v>1419</v>
      </c>
      <c r="B344" s="1186" t="s">
        <v>61</v>
      </c>
      <c r="C344" s="1186" t="s">
        <v>295</v>
      </c>
      <c r="D344" s="1186">
        <v>27</v>
      </c>
      <c r="E344" s="1186"/>
      <c r="F344" s="1186">
        <v>22</v>
      </c>
      <c r="G344" s="1186"/>
      <c r="H344" s="1186"/>
      <c r="I344" s="1186"/>
      <c r="J344" s="1186">
        <v>2</v>
      </c>
      <c r="K344" s="1186">
        <v>1</v>
      </c>
      <c r="L344" s="1186">
        <v>1</v>
      </c>
      <c r="M344" s="1186">
        <v>1</v>
      </c>
      <c r="N344" s="1186">
        <v>26720</v>
      </c>
    </row>
    <row r="345" spans="1:14" x14ac:dyDescent="0.2">
      <c r="A345" s="1186" t="s">
        <v>1419</v>
      </c>
      <c r="B345" s="1186" t="s">
        <v>61</v>
      </c>
      <c r="C345" s="1186" t="s">
        <v>41</v>
      </c>
      <c r="D345" s="1186">
        <v>30</v>
      </c>
      <c r="E345" s="1186"/>
      <c r="F345" s="1186">
        <v>11</v>
      </c>
      <c r="G345" s="1186"/>
      <c r="H345" s="1186">
        <v>3</v>
      </c>
      <c r="I345" s="1186"/>
      <c r="J345" s="1186">
        <v>3</v>
      </c>
      <c r="K345" s="1186">
        <v>6</v>
      </c>
      <c r="L345" s="1186">
        <v>1</v>
      </c>
      <c r="M345" s="1186">
        <v>6</v>
      </c>
      <c r="N345" s="1186">
        <v>134740</v>
      </c>
    </row>
    <row r="346" spans="1:14" x14ac:dyDescent="0.2">
      <c r="A346" s="1186" t="s">
        <v>1419</v>
      </c>
      <c r="B346" s="1186" t="s">
        <v>61</v>
      </c>
      <c r="C346" s="1186" t="s">
        <v>42</v>
      </c>
      <c r="D346" s="1186">
        <v>49</v>
      </c>
      <c r="E346" s="1186"/>
      <c r="F346" s="1186">
        <v>21</v>
      </c>
      <c r="G346" s="1186"/>
      <c r="H346" s="1186">
        <v>11</v>
      </c>
      <c r="I346" s="1186">
        <v>1</v>
      </c>
      <c r="J346" s="1186">
        <v>4</v>
      </c>
      <c r="K346" s="1186">
        <v>9</v>
      </c>
      <c r="L346" s="1186">
        <v>1</v>
      </c>
      <c r="M346" s="1186">
        <v>2</v>
      </c>
      <c r="N346" s="1186">
        <v>341370</v>
      </c>
    </row>
    <row r="347" spans="1:14" x14ac:dyDescent="0.2">
      <c r="A347" s="1186" t="s">
        <v>1419</v>
      </c>
      <c r="B347" s="1186" t="s">
        <v>61</v>
      </c>
      <c r="C347" s="1186" t="s">
        <v>43</v>
      </c>
      <c r="D347" s="1186">
        <v>9</v>
      </c>
      <c r="E347" s="1186"/>
      <c r="F347" s="1186">
        <v>4</v>
      </c>
      <c r="G347" s="1186"/>
      <c r="H347" s="1186"/>
      <c r="I347" s="1186"/>
      <c r="J347" s="1186">
        <v>1</v>
      </c>
      <c r="K347" s="1186">
        <v>1</v>
      </c>
      <c r="L347" s="1186">
        <v>1</v>
      </c>
      <c r="M347" s="1186">
        <v>2</v>
      </c>
      <c r="N347" s="1186">
        <v>22270</v>
      </c>
    </row>
    <row r="348" spans="1:14" x14ac:dyDescent="0.2">
      <c r="A348" s="1186" t="s">
        <v>1419</v>
      </c>
      <c r="B348" s="1186" t="s">
        <v>61</v>
      </c>
      <c r="C348" s="1186" t="s">
        <v>44</v>
      </c>
      <c r="D348" s="1186">
        <v>58</v>
      </c>
      <c r="E348" s="1186">
        <v>1</v>
      </c>
      <c r="F348" s="1186">
        <v>18</v>
      </c>
      <c r="G348" s="1186">
        <v>6</v>
      </c>
      <c r="H348" s="1186">
        <v>1</v>
      </c>
      <c r="I348" s="1186"/>
      <c r="J348" s="1186">
        <v>2</v>
      </c>
      <c r="K348" s="1186">
        <v>16</v>
      </c>
      <c r="L348" s="1186">
        <v>8</v>
      </c>
      <c r="M348" s="1186">
        <v>6</v>
      </c>
      <c r="N348" s="1186">
        <v>151950</v>
      </c>
    </row>
    <row r="349" spans="1:14" x14ac:dyDescent="0.2">
      <c r="A349" s="1186" t="s">
        <v>1419</v>
      </c>
      <c r="B349" s="1186" t="s">
        <v>61</v>
      </c>
      <c r="C349" s="1186" t="s">
        <v>45</v>
      </c>
      <c r="D349" s="1186">
        <v>32</v>
      </c>
      <c r="E349" s="1186"/>
      <c r="F349" s="1186">
        <v>11</v>
      </c>
      <c r="G349" s="1186"/>
      <c r="H349" s="1186">
        <v>4</v>
      </c>
      <c r="I349" s="1186"/>
      <c r="J349" s="1186">
        <v>1</v>
      </c>
      <c r="K349" s="1186">
        <v>10</v>
      </c>
      <c r="L349" s="1186">
        <v>1</v>
      </c>
      <c r="M349" s="1186">
        <v>5</v>
      </c>
      <c r="N349" s="1186">
        <v>179100</v>
      </c>
    </row>
    <row r="350" spans="1:14" x14ac:dyDescent="0.2">
      <c r="A350" s="1186" t="s">
        <v>1419</v>
      </c>
      <c r="B350" s="1186" t="s">
        <v>61</v>
      </c>
      <c r="C350" s="1186" t="s">
        <v>46</v>
      </c>
      <c r="D350" s="1186">
        <v>27</v>
      </c>
      <c r="E350" s="1186"/>
      <c r="F350" s="1186">
        <v>16</v>
      </c>
      <c r="G350" s="1186"/>
      <c r="H350" s="1186">
        <v>1</v>
      </c>
      <c r="I350" s="1186"/>
      <c r="J350" s="1186">
        <v>1</v>
      </c>
      <c r="K350" s="1186">
        <v>3</v>
      </c>
      <c r="L350" s="1186">
        <v>1</v>
      </c>
      <c r="M350" s="1186">
        <v>5</v>
      </c>
      <c r="N350" s="1186">
        <v>115510</v>
      </c>
    </row>
    <row r="351" spans="1:14" x14ac:dyDescent="0.2">
      <c r="A351" s="1186" t="s">
        <v>1419</v>
      </c>
      <c r="B351" s="1186" t="s">
        <v>61</v>
      </c>
      <c r="C351" s="1186" t="s">
        <v>47</v>
      </c>
      <c r="D351" s="1186">
        <v>6</v>
      </c>
      <c r="E351" s="1186">
        <v>1</v>
      </c>
      <c r="F351" s="1186">
        <v>2</v>
      </c>
      <c r="G351" s="1186"/>
      <c r="H351" s="1186">
        <v>1</v>
      </c>
      <c r="I351" s="1186"/>
      <c r="J351" s="1186"/>
      <c r="K351" s="1186"/>
      <c r="L351" s="1186">
        <v>1</v>
      </c>
      <c r="M351" s="1186">
        <v>1</v>
      </c>
      <c r="N351" s="1186">
        <v>22920</v>
      </c>
    </row>
    <row r="352" spans="1:14" x14ac:dyDescent="0.2">
      <c r="A352" s="1186" t="s">
        <v>1419</v>
      </c>
      <c r="B352" s="1186" t="s">
        <v>61</v>
      </c>
      <c r="C352" s="1186" t="s">
        <v>48</v>
      </c>
      <c r="D352" s="1186">
        <v>33</v>
      </c>
      <c r="E352" s="1186">
        <v>1</v>
      </c>
      <c r="F352" s="1186">
        <v>10</v>
      </c>
      <c r="G352" s="1186"/>
      <c r="H352" s="1186">
        <v>5</v>
      </c>
      <c r="I352" s="1186"/>
      <c r="J352" s="1186">
        <v>2</v>
      </c>
      <c r="K352" s="1186">
        <v>10</v>
      </c>
      <c r="L352" s="1186"/>
      <c r="M352" s="1186">
        <v>5</v>
      </c>
      <c r="N352" s="1186">
        <v>112610</v>
      </c>
    </row>
    <row r="353" spans="1:14" x14ac:dyDescent="0.2">
      <c r="A353" s="1186" t="s">
        <v>1419</v>
      </c>
      <c r="B353" s="1186" t="s">
        <v>61</v>
      </c>
      <c r="C353" s="1186" t="s">
        <v>49</v>
      </c>
      <c r="D353" s="1186">
        <v>47</v>
      </c>
      <c r="E353" s="1186"/>
      <c r="F353" s="1186">
        <v>22</v>
      </c>
      <c r="G353" s="1186"/>
      <c r="H353" s="1186">
        <v>8</v>
      </c>
      <c r="I353" s="1186"/>
      <c r="J353" s="1186">
        <v>1</v>
      </c>
      <c r="K353" s="1186">
        <v>6</v>
      </c>
      <c r="L353" s="1186">
        <v>1</v>
      </c>
      <c r="M353" s="1186">
        <v>9</v>
      </c>
      <c r="N353" s="1186">
        <v>320530</v>
      </c>
    </row>
    <row r="354" spans="1:14" x14ac:dyDescent="0.2">
      <c r="A354" s="1186" t="s">
        <v>1419</v>
      </c>
      <c r="B354" s="1186" t="s">
        <v>61</v>
      </c>
      <c r="C354" s="1186" t="s">
        <v>50</v>
      </c>
      <c r="D354" s="1186">
        <v>51</v>
      </c>
      <c r="E354" s="1186">
        <v>2</v>
      </c>
      <c r="F354" s="1186">
        <v>30</v>
      </c>
      <c r="G354" s="1186"/>
      <c r="H354" s="1186">
        <v>3</v>
      </c>
      <c r="I354" s="1186"/>
      <c r="J354" s="1186"/>
      <c r="K354" s="1186">
        <v>10</v>
      </c>
      <c r="L354" s="1186">
        <v>3</v>
      </c>
      <c r="M354" s="1186">
        <v>3</v>
      </c>
      <c r="N354" s="1186">
        <v>94210</v>
      </c>
    </row>
    <row r="355" spans="1:14" x14ac:dyDescent="0.2">
      <c r="A355" s="1186" t="s">
        <v>1419</v>
      </c>
      <c r="B355" s="1186" t="s">
        <v>61</v>
      </c>
      <c r="C355" s="1186" t="s">
        <v>51</v>
      </c>
      <c r="D355" s="1186">
        <v>8</v>
      </c>
      <c r="E355" s="1186"/>
      <c r="F355" s="1186">
        <v>2</v>
      </c>
      <c r="G355" s="1186"/>
      <c r="H355" s="1186">
        <v>2</v>
      </c>
      <c r="I355" s="1186"/>
      <c r="J355" s="1186"/>
      <c r="K355" s="1186">
        <v>2</v>
      </c>
      <c r="L355" s="1186">
        <v>1</v>
      </c>
      <c r="M355" s="1186">
        <v>1</v>
      </c>
      <c r="N355" s="1186">
        <v>88930</v>
      </c>
    </row>
    <row r="356" spans="1:14" x14ac:dyDescent="0.2">
      <c r="A356" s="1186" t="s">
        <v>1419</v>
      </c>
      <c r="B356" s="1186" t="s">
        <v>61</v>
      </c>
      <c r="C356" s="1186" t="s">
        <v>52</v>
      </c>
      <c r="D356" s="1186">
        <v>70</v>
      </c>
      <c r="E356" s="1186">
        <v>2</v>
      </c>
      <c r="F356" s="1186">
        <v>44</v>
      </c>
      <c r="G356" s="1186"/>
      <c r="H356" s="1186">
        <v>3</v>
      </c>
      <c r="I356" s="1186">
        <v>1</v>
      </c>
      <c r="J356" s="1186"/>
      <c r="K356" s="1186">
        <v>10</v>
      </c>
      <c r="L356" s="1186">
        <v>2</v>
      </c>
      <c r="M356" s="1186">
        <v>8</v>
      </c>
      <c r="N356" s="1186">
        <v>183100</v>
      </c>
    </row>
    <row r="357" spans="1:14" x14ac:dyDescent="0.2">
      <c r="A357" s="1186" t="s">
        <v>1572</v>
      </c>
      <c r="B357" s="1186" t="s">
        <v>61</v>
      </c>
      <c r="C357" s="1186" t="s">
        <v>23</v>
      </c>
      <c r="D357" s="1186">
        <v>82</v>
      </c>
      <c r="E357" s="1186">
        <v>1</v>
      </c>
      <c r="F357" s="1186">
        <v>27</v>
      </c>
      <c r="G357" s="1186"/>
      <c r="H357" s="1186">
        <v>8</v>
      </c>
      <c r="I357" s="1186"/>
      <c r="J357" s="1186">
        <v>6</v>
      </c>
      <c r="K357" s="1186">
        <v>29</v>
      </c>
      <c r="L357" s="1186">
        <v>6</v>
      </c>
      <c r="M357" s="1186">
        <v>5</v>
      </c>
      <c r="N357" s="1186">
        <v>229060</v>
      </c>
    </row>
    <row r="358" spans="1:14" x14ac:dyDescent="0.2">
      <c r="A358" s="1186" t="s">
        <v>1572</v>
      </c>
      <c r="B358" s="1186" t="s">
        <v>61</v>
      </c>
      <c r="C358" s="1186" t="s">
        <v>24</v>
      </c>
      <c r="D358" s="1186">
        <v>138</v>
      </c>
      <c r="E358" s="1186">
        <v>1</v>
      </c>
      <c r="F358" s="1186">
        <v>86</v>
      </c>
      <c r="G358" s="1186">
        <v>2</v>
      </c>
      <c r="H358" s="1186">
        <v>9</v>
      </c>
      <c r="I358" s="1186"/>
      <c r="J358" s="1186">
        <v>16</v>
      </c>
      <c r="K358" s="1186">
        <v>10</v>
      </c>
      <c r="L358" s="1186">
        <v>2</v>
      </c>
      <c r="M358" s="1186">
        <v>12</v>
      </c>
      <c r="N358" s="1186">
        <v>260780</v>
      </c>
    </row>
    <row r="359" spans="1:14" x14ac:dyDescent="0.2">
      <c r="A359" s="1186" t="s">
        <v>1572</v>
      </c>
      <c r="B359" s="1186" t="s">
        <v>61</v>
      </c>
      <c r="C359" s="1186" t="s">
        <v>25</v>
      </c>
      <c r="D359" s="1186">
        <v>70</v>
      </c>
      <c r="E359" s="1186">
        <v>2</v>
      </c>
      <c r="F359" s="1186">
        <v>26</v>
      </c>
      <c r="G359" s="1186">
        <v>2</v>
      </c>
      <c r="H359" s="1186">
        <v>5</v>
      </c>
      <c r="I359" s="1186"/>
      <c r="J359" s="1186">
        <v>10</v>
      </c>
      <c r="K359" s="1186">
        <v>19</v>
      </c>
      <c r="L359" s="1186"/>
      <c r="M359" s="1186">
        <v>6</v>
      </c>
      <c r="N359" s="1186">
        <v>115820</v>
      </c>
    </row>
    <row r="360" spans="1:14" x14ac:dyDescent="0.2">
      <c r="A360" s="1186" t="s">
        <v>1572</v>
      </c>
      <c r="B360" s="1186" t="s">
        <v>61</v>
      </c>
      <c r="C360" s="1186" t="s">
        <v>26</v>
      </c>
      <c r="D360" s="1186">
        <v>68</v>
      </c>
      <c r="E360" s="1186">
        <v>3</v>
      </c>
      <c r="F360" s="1186">
        <v>31</v>
      </c>
      <c r="G360" s="1186"/>
      <c r="H360" s="1186">
        <v>5</v>
      </c>
      <c r="I360" s="1186"/>
      <c r="J360" s="1186">
        <v>12</v>
      </c>
      <c r="K360" s="1186">
        <v>8</v>
      </c>
      <c r="L360" s="1186">
        <v>2</v>
      </c>
      <c r="M360" s="1186">
        <v>7</v>
      </c>
      <c r="N360" s="1186">
        <v>85430</v>
      </c>
    </row>
    <row r="361" spans="1:14" x14ac:dyDescent="0.2">
      <c r="A361" s="1186" t="s">
        <v>1572</v>
      </c>
      <c r="B361" s="1186" t="s">
        <v>61</v>
      </c>
      <c r="C361" s="1186" t="s">
        <v>619</v>
      </c>
      <c r="D361" s="1186">
        <v>432</v>
      </c>
      <c r="E361" s="1186">
        <v>1</v>
      </c>
      <c r="F361" s="1186">
        <v>76</v>
      </c>
      <c r="G361" s="1186">
        <v>2</v>
      </c>
      <c r="H361" s="1186">
        <v>11</v>
      </c>
      <c r="I361" s="1186"/>
      <c r="J361" s="1186">
        <v>30</v>
      </c>
      <c r="K361" s="1186">
        <v>218</v>
      </c>
      <c r="L361" s="1186">
        <v>59</v>
      </c>
      <c r="M361" s="1186">
        <v>35</v>
      </c>
      <c r="N361" s="1186">
        <v>527620</v>
      </c>
    </row>
    <row r="362" spans="1:14" x14ac:dyDescent="0.2">
      <c r="A362" s="1186" t="s">
        <v>1572</v>
      </c>
      <c r="B362" s="1186" t="s">
        <v>61</v>
      </c>
      <c r="C362" s="1186" t="s">
        <v>27</v>
      </c>
      <c r="D362" s="1186">
        <v>38</v>
      </c>
      <c r="E362" s="1186">
        <v>1</v>
      </c>
      <c r="F362" s="1186">
        <v>15</v>
      </c>
      <c r="G362" s="1186">
        <v>4</v>
      </c>
      <c r="H362" s="1186">
        <v>8</v>
      </c>
      <c r="I362" s="1186">
        <v>1</v>
      </c>
      <c r="J362" s="1186">
        <v>2</v>
      </c>
      <c r="K362" s="1186">
        <v>3</v>
      </c>
      <c r="L362" s="1186"/>
      <c r="M362" s="1186">
        <v>4</v>
      </c>
      <c r="N362" s="1186">
        <v>51290</v>
      </c>
    </row>
    <row r="363" spans="1:14" x14ac:dyDescent="0.2">
      <c r="A363" s="1186" t="s">
        <v>1572</v>
      </c>
      <c r="B363" s="1186" t="s">
        <v>61</v>
      </c>
      <c r="C363" s="1186" t="s">
        <v>28</v>
      </c>
      <c r="D363" s="1186">
        <v>85</v>
      </c>
      <c r="E363" s="1186">
        <v>2</v>
      </c>
      <c r="F363" s="1186">
        <v>45</v>
      </c>
      <c r="G363" s="1186"/>
      <c r="H363" s="1186">
        <v>8</v>
      </c>
      <c r="I363" s="1186">
        <v>2</v>
      </c>
      <c r="J363" s="1186">
        <v>2</v>
      </c>
      <c r="K363" s="1186">
        <v>13</v>
      </c>
      <c r="L363" s="1186">
        <v>3</v>
      </c>
      <c r="M363" s="1186">
        <v>10</v>
      </c>
      <c r="N363" s="1186">
        <v>148290</v>
      </c>
    </row>
    <row r="364" spans="1:14" x14ac:dyDescent="0.2">
      <c r="A364" s="1186" t="s">
        <v>1572</v>
      </c>
      <c r="B364" s="1186" t="s">
        <v>61</v>
      </c>
      <c r="C364" s="1186" t="s">
        <v>29</v>
      </c>
      <c r="D364" s="1186">
        <v>119</v>
      </c>
      <c r="E364" s="1186">
        <v>2</v>
      </c>
      <c r="F364" s="1186">
        <v>40</v>
      </c>
      <c r="G364" s="1186"/>
      <c r="H364" s="1186">
        <v>8</v>
      </c>
      <c r="I364" s="1186">
        <v>1</v>
      </c>
      <c r="J364" s="1186">
        <v>15</v>
      </c>
      <c r="K364" s="1186">
        <v>31</v>
      </c>
      <c r="L364" s="1186">
        <v>13</v>
      </c>
      <c r="M364" s="1186">
        <v>9</v>
      </c>
      <c r="N364" s="1186">
        <v>148820</v>
      </c>
    </row>
    <row r="365" spans="1:14" x14ac:dyDescent="0.2">
      <c r="A365" s="1186" t="s">
        <v>1572</v>
      </c>
      <c r="B365" s="1186" t="s">
        <v>61</v>
      </c>
      <c r="C365" s="1186" t="s">
        <v>30</v>
      </c>
      <c r="D365" s="1186">
        <v>56</v>
      </c>
      <c r="E365" s="1186">
        <v>1</v>
      </c>
      <c r="F365" s="1186">
        <v>26</v>
      </c>
      <c r="G365" s="1186">
        <v>1</v>
      </c>
      <c r="H365" s="1186">
        <v>3</v>
      </c>
      <c r="I365" s="1186">
        <v>1</v>
      </c>
      <c r="J365" s="1186">
        <v>3</v>
      </c>
      <c r="K365" s="1186">
        <v>17</v>
      </c>
      <c r="L365" s="1186">
        <v>1</v>
      </c>
      <c r="M365" s="1186">
        <v>3</v>
      </c>
      <c r="N365" s="1186">
        <v>121600</v>
      </c>
    </row>
    <row r="366" spans="1:14" x14ac:dyDescent="0.2">
      <c r="A366" s="1186" t="s">
        <v>1572</v>
      </c>
      <c r="B366" s="1186" t="s">
        <v>61</v>
      </c>
      <c r="C366" s="1186" t="s">
        <v>31</v>
      </c>
      <c r="D366" s="1186">
        <v>36</v>
      </c>
      <c r="E366" s="1186"/>
      <c r="F366" s="1186">
        <v>20</v>
      </c>
      <c r="G366" s="1186"/>
      <c r="H366" s="1186">
        <v>2</v>
      </c>
      <c r="I366" s="1186">
        <v>1</v>
      </c>
      <c r="J366" s="1186">
        <v>2</v>
      </c>
      <c r="K366" s="1186">
        <v>5</v>
      </c>
      <c r="L366" s="1186">
        <v>1</v>
      </c>
      <c r="M366" s="1186">
        <v>5</v>
      </c>
      <c r="N366" s="1186">
        <v>108750</v>
      </c>
    </row>
    <row r="367" spans="1:14" x14ac:dyDescent="0.2">
      <c r="A367" s="1186" t="s">
        <v>1572</v>
      </c>
      <c r="B367" s="1186" t="s">
        <v>61</v>
      </c>
      <c r="C367" s="1186" t="s">
        <v>32</v>
      </c>
      <c r="D367" s="1186">
        <v>43</v>
      </c>
      <c r="E367" s="1186"/>
      <c r="F367" s="1186">
        <v>21</v>
      </c>
      <c r="G367" s="1186"/>
      <c r="H367" s="1186">
        <v>2</v>
      </c>
      <c r="I367" s="1186"/>
      <c r="J367" s="1186">
        <v>4</v>
      </c>
      <c r="K367" s="1186">
        <v>10</v>
      </c>
      <c r="L367" s="1186">
        <v>1</v>
      </c>
      <c r="M367" s="1186">
        <v>5</v>
      </c>
      <c r="N367" s="1186">
        <v>107900</v>
      </c>
    </row>
    <row r="368" spans="1:14" x14ac:dyDescent="0.2">
      <c r="A368" s="1186" t="s">
        <v>1572</v>
      </c>
      <c r="B368" s="1186" t="s">
        <v>61</v>
      </c>
      <c r="C368" s="1186" t="s">
        <v>33</v>
      </c>
      <c r="D368" s="1186">
        <v>32</v>
      </c>
      <c r="E368" s="1186"/>
      <c r="F368" s="1186">
        <v>10</v>
      </c>
      <c r="G368" s="1186">
        <v>1</v>
      </c>
      <c r="H368" s="1186">
        <v>2</v>
      </c>
      <c r="I368" s="1186"/>
      <c r="J368" s="1186">
        <v>3</v>
      </c>
      <c r="K368" s="1186">
        <v>14</v>
      </c>
      <c r="L368" s="1186">
        <v>1</v>
      </c>
      <c r="M368" s="1186">
        <v>1</v>
      </c>
      <c r="N368" s="1186">
        <v>96060</v>
      </c>
    </row>
    <row r="369" spans="1:14" x14ac:dyDescent="0.2">
      <c r="A369" s="1186" t="s">
        <v>1572</v>
      </c>
      <c r="B369" s="1186" t="s">
        <v>61</v>
      </c>
      <c r="C369" s="1186" t="s">
        <v>34</v>
      </c>
      <c r="D369" s="1186">
        <v>110</v>
      </c>
      <c r="E369" s="1186">
        <v>2</v>
      </c>
      <c r="F369" s="1186">
        <v>67</v>
      </c>
      <c r="G369" s="1186"/>
      <c r="H369" s="1186">
        <v>9</v>
      </c>
      <c r="I369" s="1186"/>
      <c r="J369" s="1186">
        <v>8</v>
      </c>
      <c r="K369" s="1186">
        <v>13</v>
      </c>
      <c r="L369" s="1186">
        <v>5</v>
      </c>
      <c r="M369" s="1186">
        <v>6</v>
      </c>
      <c r="N369" s="1186">
        <v>160560</v>
      </c>
    </row>
    <row r="370" spans="1:14" x14ac:dyDescent="0.2">
      <c r="A370" s="1186" t="s">
        <v>1572</v>
      </c>
      <c r="B370" s="1186" t="s">
        <v>61</v>
      </c>
      <c r="C370" s="1186" t="s">
        <v>35</v>
      </c>
      <c r="D370" s="1186">
        <v>193</v>
      </c>
      <c r="E370" s="1186">
        <v>3</v>
      </c>
      <c r="F370" s="1186">
        <v>80</v>
      </c>
      <c r="G370" s="1186"/>
      <c r="H370" s="1186">
        <v>18</v>
      </c>
      <c r="I370" s="1186">
        <v>1</v>
      </c>
      <c r="J370" s="1186">
        <v>21</v>
      </c>
      <c r="K370" s="1186">
        <v>39</v>
      </c>
      <c r="L370" s="1186">
        <v>7</v>
      </c>
      <c r="M370" s="1186">
        <v>24</v>
      </c>
      <c r="N370" s="1186">
        <v>374130</v>
      </c>
    </row>
    <row r="371" spans="1:14" x14ac:dyDescent="0.2">
      <c r="A371" s="1186" t="s">
        <v>1572</v>
      </c>
      <c r="B371" s="1186" t="s">
        <v>61</v>
      </c>
      <c r="C371" s="1186" t="s">
        <v>36</v>
      </c>
      <c r="D371" s="1186">
        <v>312</v>
      </c>
      <c r="E371" s="1186">
        <v>2</v>
      </c>
      <c r="F371" s="1186">
        <v>52</v>
      </c>
      <c r="G371" s="1186"/>
      <c r="H371" s="1186">
        <v>17</v>
      </c>
      <c r="I371" s="1186">
        <v>5</v>
      </c>
      <c r="J371" s="1186">
        <v>39</v>
      </c>
      <c r="K371" s="1186">
        <v>120</v>
      </c>
      <c r="L371" s="1186">
        <v>15</v>
      </c>
      <c r="M371" s="1186">
        <v>62</v>
      </c>
      <c r="N371" s="1186">
        <v>635640</v>
      </c>
    </row>
    <row r="372" spans="1:14" x14ac:dyDescent="0.2">
      <c r="A372" s="1186" t="s">
        <v>1572</v>
      </c>
      <c r="B372" s="1186" t="s">
        <v>61</v>
      </c>
      <c r="C372" s="1186" t="s">
        <v>37</v>
      </c>
      <c r="D372" s="1186">
        <v>234</v>
      </c>
      <c r="E372" s="1186">
        <v>2</v>
      </c>
      <c r="F372" s="1186">
        <v>170</v>
      </c>
      <c r="G372" s="1186">
        <v>3</v>
      </c>
      <c r="H372" s="1186">
        <v>5</v>
      </c>
      <c r="I372" s="1186">
        <v>3</v>
      </c>
      <c r="J372" s="1186">
        <v>16</v>
      </c>
      <c r="K372" s="1186">
        <v>14</v>
      </c>
      <c r="L372" s="1186">
        <v>6</v>
      </c>
      <c r="M372" s="1186">
        <v>15</v>
      </c>
      <c r="N372" s="1186">
        <v>235430</v>
      </c>
    </row>
    <row r="373" spans="1:14" x14ac:dyDescent="0.2">
      <c r="A373" s="1186" t="s">
        <v>1572</v>
      </c>
      <c r="B373" s="1186" t="s">
        <v>61</v>
      </c>
      <c r="C373" s="1186" t="s">
        <v>38</v>
      </c>
      <c r="D373" s="1186">
        <v>26</v>
      </c>
      <c r="E373" s="1186"/>
      <c r="F373" s="1186">
        <v>14</v>
      </c>
      <c r="G373" s="1186"/>
      <c r="H373" s="1186">
        <v>1</v>
      </c>
      <c r="I373" s="1186">
        <v>1</v>
      </c>
      <c r="J373" s="1186">
        <v>5</v>
      </c>
      <c r="K373" s="1186">
        <v>4</v>
      </c>
      <c r="L373" s="1186"/>
      <c r="M373" s="1186">
        <v>1</v>
      </c>
      <c r="N373" s="1186">
        <v>77060</v>
      </c>
    </row>
    <row r="374" spans="1:14" x14ac:dyDescent="0.2">
      <c r="A374" s="1186" t="s">
        <v>1572</v>
      </c>
      <c r="B374" s="1186" t="s">
        <v>61</v>
      </c>
      <c r="C374" s="1186" t="s">
        <v>39</v>
      </c>
      <c r="D374" s="1186">
        <v>45</v>
      </c>
      <c r="E374" s="1186">
        <v>2</v>
      </c>
      <c r="F374" s="1186">
        <v>15</v>
      </c>
      <c r="G374" s="1186">
        <v>1</v>
      </c>
      <c r="H374" s="1186">
        <v>5</v>
      </c>
      <c r="I374" s="1186"/>
      <c r="J374" s="1186">
        <v>5</v>
      </c>
      <c r="K374" s="1186">
        <v>8</v>
      </c>
      <c r="L374" s="1186">
        <v>2</v>
      </c>
      <c r="M374" s="1186">
        <v>7</v>
      </c>
      <c r="N374" s="1186">
        <v>93150</v>
      </c>
    </row>
    <row r="375" spans="1:14" x14ac:dyDescent="0.2">
      <c r="A375" s="1186" t="s">
        <v>1572</v>
      </c>
      <c r="B375" s="1186" t="s">
        <v>61</v>
      </c>
      <c r="C375" s="1186" t="s">
        <v>40</v>
      </c>
      <c r="D375" s="1186">
        <v>65</v>
      </c>
      <c r="E375" s="1186"/>
      <c r="F375" s="1186">
        <v>38</v>
      </c>
      <c r="G375" s="1186">
        <v>1</v>
      </c>
      <c r="H375" s="1186">
        <v>5</v>
      </c>
      <c r="I375" s="1186"/>
      <c r="J375" s="1186">
        <v>6</v>
      </c>
      <c r="K375" s="1186">
        <v>9</v>
      </c>
      <c r="L375" s="1186">
        <v>1</v>
      </c>
      <c r="M375" s="1186">
        <v>5</v>
      </c>
      <c r="N375" s="1186">
        <v>95710</v>
      </c>
    </row>
    <row r="376" spans="1:14" x14ac:dyDescent="0.2">
      <c r="A376" s="1186" t="s">
        <v>1572</v>
      </c>
      <c r="B376" s="1186" t="s">
        <v>61</v>
      </c>
      <c r="C376" s="1186" t="s">
        <v>295</v>
      </c>
      <c r="D376" s="1186">
        <v>58</v>
      </c>
      <c r="E376" s="1186">
        <v>3</v>
      </c>
      <c r="F376" s="1186">
        <v>52</v>
      </c>
      <c r="G376" s="1186"/>
      <c r="H376" s="1186">
        <v>1</v>
      </c>
      <c r="I376" s="1186"/>
      <c r="J376" s="1186">
        <v>1</v>
      </c>
      <c r="K376" s="1186"/>
      <c r="L376" s="1186"/>
      <c r="M376" s="1186">
        <v>1</v>
      </c>
      <c r="N376" s="1186">
        <v>26500</v>
      </c>
    </row>
    <row r="377" spans="1:14" x14ac:dyDescent="0.2">
      <c r="A377" s="1186" t="s">
        <v>1572</v>
      </c>
      <c r="B377" s="1186" t="s">
        <v>61</v>
      </c>
      <c r="C377" s="1186" t="s">
        <v>41</v>
      </c>
      <c r="D377" s="1186">
        <v>54</v>
      </c>
      <c r="E377" s="1186"/>
      <c r="F377" s="1186">
        <v>27</v>
      </c>
      <c r="G377" s="1186"/>
      <c r="H377" s="1186">
        <v>5</v>
      </c>
      <c r="I377" s="1186">
        <v>2</v>
      </c>
      <c r="J377" s="1186">
        <v>7</v>
      </c>
      <c r="K377" s="1186">
        <v>7</v>
      </c>
      <c r="L377" s="1186"/>
      <c r="M377" s="1186">
        <v>6</v>
      </c>
      <c r="N377" s="1186">
        <v>134250</v>
      </c>
    </row>
    <row r="378" spans="1:14" x14ac:dyDescent="0.2">
      <c r="A378" s="1186" t="s">
        <v>1572</v>
      </c>
      <c r="B378" s="1186" t="s">
        <v>61</v>
      </c>
      <c r="C378" s="1186" t="s">
        <v>42</v>
      </c>
      <c r="D378" s="1186">
        <v>162</v>
      </c>
      <c r="E378" s="1186">
        <v>2</v>
      </c>
      <c r="F378" s="1186">
        <v>67</v>
      </c>
      <c r="G378" s="1186">
        <v>3</v>
      </c>
      <c r="H378" s="1186">
        <v>15</v>
      </c>
      <c r="I378" s="1186">
        <v>3</v>
      </c>
      <c r="J378" s="1186">
        <v>20</v>
      </c>
      <c r="K378" s="1186">
        <v>18</v>
      </c>
      <c r="L378" s="1186">
        <v>5</v>
      </c>
      <c r="M378" s="1186">
        <v>29</v>
      </c>
      <c r="N378" s="1186">
        <v>341140</v>
      </c>
    </row>
    <row r="379" spans="1:14" x14ac:dyDescent="0.2">
      <c r="A379" s="1186" t="s">
        <v>1572</v>
      </c>
      <c r="B379" s="1186" t="s">
        <v>61</v>
      </c>
      <c r="C379" s="1186" t="s">
        <v>43</v>
      </c>
      <c r="D379" s="1186">
        <v>8</v>
      </c>
      <c r="E379" s="1186"/>
      <c r="F379" s="1186">
        <v>4</v>
      </c>
      <c r="G379" s="1186">
        <v>1</v>
      </c>
      <c r="H379" s="1186">
        <v>1</v>
      </c>
      <c r="I379" s="1186"/>
      <c r="J379" s="1186">
        <v>1</v>
      </c>
      <c r="K379" s="1186">
        <v>1</v>
      </c>
      <c r="L379" s="1186"/>
      <c r="M379" s="1186"/>
      <c r="N379" s="1186">
        <v>22400</v>
      </c>
    </row>
    <row r="380" spans="1:14" x14ac:dyDescent="0.2">
      <c r="A380" s="1186" t="s">
        <v>1572</v>
      </c>
      <c r="B380" s="1186" t="s">
        <v>61</v>
      </c>
      <c r="C380" s="1186" t="s">
        <v>44</v>
      </c>
      <c r="D380" s="1186">
        <v>81</v>
      </c>
      <c r="E380" s="1186">
        <v>2</v>
      </c>
      <c r="F380" s="1186">
        <v>42</v>
      </c>
      <c r="G380" s="1186">
        <v>1</v>
      </c>
      <c r="H380" s="1186">
        <v>4</v>
      </c>
      <c r="I380" s="1186">
        <v>2</v>
      </c>
      <c r="J380" s="1186">
        <v>5</v>
      </c>
      <c r="K380" s="1186">
        <v>18</v>
      </c>
      <c r="L380" s="1186">
        <v>3</v>
      </c>
      <c r="M380" s="1186">
        <v>4</v>
      </c>
      <c r="N380" s="1186">
        <v>151910</v>
      </c>
    </row>
    <row r="381" spans="1:14" x14ac:dyDescent="0.2">
      <c r="A381" s="1186" t="s">
        <v>1572</v>
      </c>
      <c r="B381" s="1186" t="s">
        <v>61</v>
      </c>
      <c r="C381" s="1186" t="s">
        <v>45</v>
      </c>
      <c r="D381" s="1186">
        <v>73</v>
      </c>
      <c r="E381" s="1186"/>
      <c r="F381" s="1186">
        <v>24</v>
      </c>
      <c r="G381" s="1186"/>
      <c r="H381" s="1186">
        <v>4</v>
      </c>
      <c r="I381" s="1186">
        <v>1</v>
      </c>
      <c r="J381" s="1186">
        <v>5</v>
      </c>
      <c r="K381" s="1186">
        <v>17</v>
      </c>
      <c r="L381" s="1186">
        <v>3</v>
      </c>
      <c r="M381" s="1186">
        <v>19</v>
      </c>
      <c r="N381" s="1186">
        <v>179390</v>
      </c>
    </row>
    <row r="382" spans="1:14" x14ac:dyDescent="0.2">
      <c r="A382" s="1186" t="s">
        <v>1572</v>
      </c>
      <c r="B382" s="1186" t="s">
        <v>61</v>
      </c>
      <c r="C382" s="1186" t="s">
        <v>46</v>
      </c>
      <c r="D382" s="1186">
        <v>30</v>
      </c>
      <c r="E382" s="1186"/>
      <c r="F382" s="1186">
        <v>12</v>
      </c>
      <c r="G382" s="1186">
        <v>1</v>
      </c>
      <c r="H382" s="1186">
        <v>3</v>
      </c>
      <c r="I382" s="1186"/>
      <c r="J382" s="1186">
        <v>2</v>
      </c>
      <c r="K382" s="1186">
        <v>7</v>
      </c>
      <c r="L382" s="1186">
        <v>3</v>
      </c>
      <c r="M382" s="1186">
        <v>2</v>
      </c>
      <c r="N382" s="1186">
        <v>115240</v>
      </c>
    </row>
    <row r="383" spans="1:14" x14ac:dyDescent="0.2">
      <c r="A383" s="1186" t="s">
        <v>1572</v>
      </c>
      <c r="B383" s="1186" t="s">
        <v>61</v>
      </c>
      <c r="C383" s="1186" t="s">
        <v>47</v>
      </c>
      <c r="D383" s="1186">
        <v>9</v>
      </c>
      <c r="E383" s="1186"/>
      <c r="F383" s="1186">
        <v>6</v>
      </c>
      <c r="G383" s="1186"/>
      <c r="H383" s="1186">
        <v>2</v>
      </c>
      <c r="I383" s="1186"/>
      <c r="J383" s="1186"/>
      <c r="K383" s="1186"/>
      <c r="L383" s="1186"/>
      <c r="M383" s="1186">
        <v>1</v>
      </c>
      <c r="N383" s="1186">
        <v>22870</v>
      </c>
    </row>
    <row r="384" spans="1:14" x14ac:dyDescent="0.2">
      <c r="A384" s="1186" t="s">
        <v>1572</v>
      </c>
      <c r="B384" s="1186" t="s">
        <v>61</v>
      </c>
      <c r="C384" s="1186" t="s">
        <v>48</v>
      </c>
      <c r="D384" s="1186">
        <v>64</v>
      </c>
      <c r="E384" s="1186">
        <v>1</v>
      </c>
      <c r="F384" s="1186">
        <v>30</v>
      </c>
      <c r="G384" s="1186">
        <v>1</v>
      </c>
      <c r="H384" s="1186">
        <v>3</v>
      </c>
      <c r="I384" s="1186">
        <v>1</v>
      </c>
      <c r="J384" s="1186">
        <v>3</v>
      </c>
      <c r="K384" s="1186">
        <v>20</v>
      </c>
      <c r="L384" s="1186">
        <v>1</v>
      </c>
      <c r="M384" s="1186">
        <v>4</v>
      </c>
      <c r="N384" s="1186">
        <v>112140</v>
      </c>
    </row>
    <row r="385" spans="1:14" x14ac:dyDescent="0.2">
      <c r="A385" s="1186" t="s">
        <v>1572</v>
      </c>
      <c r="B385" s="1186" t="s">
        <v>61</v>
      </c>
      <c r="C385" s="1186" t="s">
        <v>49</v>
      </c>
      <c r="D385" s="1186">
        <v>126</v>
      </c>
      <c r="E385" s="1186">
        <v>1</v>
      </c>
      <c r="F385" s="1186">
        <v>66</v>
      </c>
      <c r="G385" s="1186">
        <v>2</v>
      </c>
      <c r="H385" s="1186">
        <v>4</v>
      </c>
      <c r="I385" s="1186"/>
      <c r="J385" s="1186">
        <v>11</v>
      </c>
      <c r="K385" s="1186">
        <v>17</v>
      </c>
      <c r="L385" s="1186">
        <v>4</v>
      </c>
      <c r="M385" s="1186">
        <v>21</v>
      </c>
      <c r="N385" s="1186">
        <v>320820</v>
      </c>
    </row>
    <row r="386" spans="1:14" x14ac:dyDescent="0.2">
      <c r="A386" s="1186" t="s">
        <v>1572</v>
      </c>
      <c r="B386" s="1186" t="s">
        <v>61</v>
      </c>
      <c r="C386" s="1186" t="s">
        <v>50</v>
      </c>
      <c r="D386" s="1186">
        <v>72</v>
      </c>
      <c r="E386" s="1186"/>
      <c r="F386" s="1186">
        <v>39</v>
      </c>
      <c r="G386" s="1186"/>
      <c r="H386" s="1186">
        <v>3</v>
      </c>
      <c r="I386" s="1186">
        <v>1</v>
      </c>
      <c r="J386" s="1186">
        <v>6</v>
      </c>
      <c r="K386" s="1186">
        <v>16</v>
      </c>
      <c r="L386" s="1186">
        <v>1</v>
      </c>
      <c r="M386" s="1186">
        <v>6</v>
      </c>
      <c r="N386" s="1186">
        <v>94080</v>
      </c>
    </row>
    <row r="387" spans="1:14" x14ac:dyDescent="0.2">
      <c r="A387" s="1186" t="s">
        <v>1572</v>
      </c>
      <c r="B387" s="1186" t="s">
        <v>61</v>
      </c>
      <c r="C387" s="1186" t="s">
        <v>51</v>
      </c>
      <c r="D387" s="1186">
        <v>22</v>
      </c>
      <c r="E387" s="1186"/>
      <c r="F387" s="1186">
        <v>8</v>
      </c>
      <c r="G387" s="1186"/>
      <c r="H387" s="1186">
        <v>2</v>
      </c>
      <c r="I387" s="1186"/>
      <c r="J387" s="1186">
        <v>2</v>
      </c>
      <c r="K387" s="1186">
        <v>8</v>
      </c>
      <c r="L387" s="1186">
        <v>1</v>
      </c>
      <c r="M387" s="1186">
        <v>1</v>
      </c>
      <c r="N387" s="1186">
        <v>88340</v>
      </c>
    </row>
    <row r="388" spans="1:14" x14ac:dyDescent="0.2">
      <c r="A388" s="1186" t="s">
        <v>1572</v>
      </c>
      <c r="B388" s="1186" t="s">
        <v>61</v>
      </c>
      <c r="C388" s="1186" t="s">
        <v>52</v>
      </c>
      <c r="D388" s="1186">
        <v>130</v>
      </c>
      <c r="E388" s="1186"/>
      <c r="F388" s="1186">
        <v>66</v>
      </c>
      <c r="G388" s="1186"/>
      <c r="H388" s="1186">
        <v>10</v>
      </c>
      <c r="I388" s="1186">
        <v>3</v>
      </c>
      <c r="J388" s="1186">
        <v>16</v>
      </c>
      <c r="K388" s="1186">
        <v>27</v>
      </c>
      <c r="L388" s="1186">
        <v>4</v>
      </c>
      <c r="M388" s="1186">
        <v>4</v>
      </c>
      <c r="N388" s="1186">
        <v>183820</v>
      </c>
    </row>
    <row r="389" spans="1:14" x14ac:dyDescent="0.2">
      <c r="A389" s="1186" t="s">
        <v>19</v>
      </c>
      <c r="B389" s="1186" t="s">
        <v>116</v>
      </c>
      <c r="C389" s="1186" t="s">
        <v>23</v>
      </c>
      <c r="D389" s="1186">
        <v>562</v>
      </c>
      <c r="E389" s="1186">
        <v>11</v>
      </c>
      <c r="F389" s="1186">
        <v>150</v>
      </c>
      <c r="G389" s="1186"/>
      <c r="H389" s="1186">
        <v>12</v>
      </c>
      <c r="I389" s="1186">
        <v>5</v>
      </c>
      <c r="J389" s="1186">
        <v>21</v>
      </c>
      <c r="K389" s="1186">
        <v>156</v>
      </c>
      <c r="L389" s="1186">
        <v>15</v>
      </c>
      <c r="M389" s="1186">
        <v>192</v>
      </c>
      <c r="N389" s="1186">
        <v>217020</v>
      </c>
    </row>
    <row r="390" spans="1:14" x14ac:dyDescent="0.2">
      <c r="A390" s="1186" t="s">
        <v>19</v>
      </c>
      <c r="B390" s="1186" t="s">
        <v>116</v>
      </c>
      <c r="C390" s="1186" t="s">
        <v>24</v>
      </c>
      <c r="D390" s="1186">
        <v>141</v>
      </c>
      <c r="E390" s="1186">
        <v>6</v>
      </c>
      <c r="F390" s="1186">
        <v>46</v>
      </c>
      <c r="G390" s="1186">
        <v>4</v>
      </c>
      <c r="H390" s="1186">
        <v>4</v>
      </c>
      <c r="I390" s="1186"/>
      <c r="J390" s="1186">
        <v>6</v>
      </c>
      <c r="K390" s="1186">
        <v>20</v>
      </c>
      <c r="L390" s="1186">
        <v>8</v>
      </c>
      <c r="M390" s="1186">
        <v>47</v>
      </c>
      <c r="N390" s="1186">
        <v>249020</v>
      </c>
    </row>
    <row r="391" spans="1:14" x14ac:dyDescent="0.2">
      <c r="A391" s="1186" t="s">
        <v>19</v>
      </c>
      <c r="B391" s="1186" t="s">
        <v>116</v>
      </c>
      <c r="C391" s="1186" t="s">
        <v>25</v>
      </c>
      <c r="D391" s="1186">
        <v>146</v>
      </c>
      <c r="E391" s="1186">
        <v>5</v>
      </c>
      <c r="F391" s="1186">
        <v>63</v>
      </c>
      <c r="G391" s="1186">
        <v>11</v>
      </c>
      <c r="H391" s="1186">
        <v>2</v>
      </c>
      <c r="I391" s="1186">
        <v>1</v>
      </c>
      <c r="J391" s="1186">
        <v>13</v>
      </c>
      <c r="K391" s="1186">
        <v>20</v>
      </c>
      <c r="L391" s="1186">
        <v>4</v>
      </c>
      <c r="M391" s="1186">
        <v>27</v>
      </c>
      <c r="N391" s="1186">
        <v>114830</v>
      </c>
    </row>
    <row r="392" spans="1:14" x14ac:dyDescent="0.2">
      <c r="A392" s="1186" t="s">
        <v>19</v>
      </c>
      <c r="B392" s="1186" t="s">
        <v>116</v>
      </c>
      <c r="C392" s="1186" t="s">
        <v>26</v>
      </c>
      <c r="D392" s="1186">
        <v>75</v>
      </c>
      <c r="E392" s="1186">
        <v>2</v>
      </c>
      <c r="F392" s="1186">
        <v>26</v>
      </c>
      <c r="G392" s="1186"/>
      <c r="H392" s="1186"/>
      <c r="I392" s="1186">
        <v>2</v>
      </c>
      <c r="J392" s="1186">
        <v>10</v>
      </c>
      <c r="K392" s="1186">
        <v>15</v>
      </c>
      <c r="L392" s="1186">
        <v>7</v>
      </c>
      <c r="M392" s="1186">
        <v>13</v>
      </c>
      <c r="N392" s="1186">
        <v>89450</v>
      </c>
    </row>
    <row r="393" spans="1:14" x14ac:dyDescent="0.2">
      <c r="A393" s="1186" t="s">
        <v>19</v>
      </c>
      <c r="B393" s="1186" t="s">
        <v>116</v>
      </c>
      <c r="C393" s="1186" t="s">
        <v>619</v>
      </c>
      <c r="D393" s="1186">
        <v>1908</v>
      </c>
      <c r="E393" s="1186">
        <v>36</v>
      </c>
      <c r="F393" s="1186">
        <v>502</v>
      </c>
      <c r="G393" s="1186">
        <v>8</v>
      </c>
      <c r="H393" s="1186">
        <v>18</v>
      </c>
      <c r="I393" s="1186">
        <v>13</v>
      </c>
      <c r="J393" s="1186">
        <v>369</v>
      </c>
      <c r="K393" s="1186">
        <v>432</v>
      </c>
      <c r="L393" s="1186">
        <v>72</v>
      </c>
      <c r="M393" s="1186">
        <v>458</v>
      </c>
      <c r="N393" s="1186">
        <v>463230</v>
      </c>
    </row>
    <row r="394" spans="1:14" x14ac:dyDescent="0.2">
      <c r="A394" s="1186" t="s">
        <v>19</v>
      </c>
      <c r="B394" s="1186" t="s">
        <v>116</v>
      </c>
      <c r="C394" s="1186" t="s">
        <v>27</v>
      </c>
      <c r="D394" s="1186">
        <v>188</v>
      </c>
      <c r="E394" s="1186">
        <v>4</v>
      </c>
      <c r="F394" s="1186">
        <v>56</v>
      </c>
      <c r="G394" s="1186">
        <v>4</v>
      </c>
      <c r="H394" s="1186">
        <v>5</v>
      </c>
      <c r="I394" s="1186">
        <v>1</v>
      </c>
      <c r="J394" s="1186">
        <v>15</v>
      </c>
      <c r="K394" s="1186">
        <v>32</v>
      </c>
      <c r="L394" s="1186">
        <v>2</v>
      </c>
      <c r="M394" s="1186">
        <v>69</v>
      </c>
      <c r="N394" s="1186">
        <v>51290</v>
      </c>
    </row>
    <row r="395" spans="1:14" x14ac:dyDescent="0.2">
      <c r="A395" s="1186" t="s">
        <v>19</v>
      </c>
      <c r="B395" s="1186" t="s">
        <v>116</v>
      </c>
      <c r="C395" s="1186" t="s">
        <v>28</v>
      </c>
      <c r="D395" s="1186">
        <v>165</v>
      </c>
      <c r="E395" s="1186">
        <v>5</v>
      </c>
      <c r="F395" s="1186">
        <v>46</v>
      </c>
      <c r="G395" s="1186"/>
      <c r="H395" s="1186">
        <v>5</v>
      </c>
      <c r="I395" s="1186"/>
      <c r="J395" s="1186">
        <v>9</v>
      </c>
      <c r="K395" s="1186">
        <v>33</v>
      </c>
      <c r="L395" s="1186">
        <v>10</v>
      </c>
      <c r="M395" s="1186">
        <v>57</v>
      </c>
      <c r="N395" s="1186">
        <v>151160</v>
      </c>
    </row>
    <row r="396" spans="1:14" x14ac:dyDescent="0.2">
      <c r="A396" s="1186" t="s">
        <v>19</v>
      </c>
      <c r="B396" s="1186" t="s">
        <v>116</v>
      </c>
      <c r="C396" s="1186" t="s">
        <v>29</v>
      </c>
      <c r="D396" s="1186">
        <v>867</v>
      </c>
      <c r="E396" s="1186">
        <v>19</v>
      </c>
      <c r="F396" s="1186">
        <v>228</v>
      </c>
      <c r="G396" s="1186">
        <v>6</v>
      </c>
      <c r="H396" s="1186">
        <v>8</v>
      </c>
      <c r="I396" s="1186">
        <v>4</v>
      </c>
      <c r="J396" s="1186">
        <v>92</v>
      </c>
      <c r="K396" s="1186">
        <v>212</v>
      </c>
      <c r="L396" s="1186">
        <v>27</v>
      </c>
      <c r="M396" s="1186">
        <v>271</v>
      </c>
      <c r="N396" s="1186">
        <v>145170</v>
      </c>
    </row>
    <row r="397" spans="1:14" x14ac:dyDescent="0.2">
      <c r="A397" s="1186" t="s">
        <v>19</v>
      </c>
      <c r="B397" s="1186" t="s">
        <v>116</v>
      </c>
      <c r="C397" s="1186" t="s">
        <v>30</v>
      </c>
      <c r="D397" s="1186">
        <v>668</v>
      </c>
      <c r="E397" s="1186">
        <v>35</v>
      </c>
      <c r="F397" s="1186">
        <v>132</v>
      </c>
      <c r="G397" s="1186">
        <v>2</v>
      </c>
      <c r="H397" s="1186">
        <v>6</v>
      </c>
      <c r="I397" s="1186">
        <v>11</v>
      </c>
      <c r="J397" s="1186">
        <v>79</v>
      </c>
      <c r="K397" s="1186">
        <v>168</v>
      </c>
      <c r="L397" s="1186">
        <v>37</v>
      </c>
      <c r="M397" s="1186">
        <v>198</v>
      </c>
      <c r="N397" s="1186">
        <v>122110</v>
      </c>
    </row>
    <row r="398" spans="1:14" x14ac:dyDescent="0.2">
      <c r="A398" s="1186" t="s">
        <v>19</v>
      </c>
      <c r="B398" s="1186" t="s">
        <v>116</v>
      </c>
      <c r="C398" s="1186" t="s">
        <v>31</v>
      </c>
      <c r="D398" s="1186">
        <v>220</v>
      </c>
      <c r="E398" s="1186">
        <v>12</v>
      </c>
      <c r="F398" s="1186">
        <v>76</v>
      </c>
      <c r="G398" s="1186">
        <v>2</v>
      </c>
      <c r="H398" s="1186">
        <v>3</v>
      </c>
      <c r="I398" s="1186">
        <v>2</v>
      </c>
      <c r="J398" s="1186">
        <v>25</v>
      </c>
      <c r="K398" s="1186">
        <v>30</v>
      </c>
      <c r="L398" s="1186">
        <v>5</v>
      </c>
      <c r="M398" s="1186">
        <v>65</v>
      </c>
      <c r="N398" s="1186">
        <v>104960</v>
      </c>
    </row>
    <row r="399" spans="1:14" x14ac:dyDescent="0.2">
      <c r="A399" s="1186" t="s">
        <v>19</v>
      </c>
      <c r="B399" s="1186" t="s">
        <v>116</v>
      </c>
      <c r="C399" s="1186" t="s">
        <v>32</v>
      </c>
      <c r="D399" s="1186">
        <v>285</v>
      </c>
      <c r="E399" s="1186">
        <v>11</v>
      </c>
      <c r="F399" s="1186">
        <v>115</v>
      </c>
      <c r="G399" s="1186">
        <v>10</v>
      </c>
      <c r="H399" s="1186">
        <v>1</v>
      </c>
      <c r="I399" s="1186">
        <v>1</v>
      </c>
      <c r="J399" s="1186">
        <v>48</v>
      </c>
      <c r="K399" s="1186">
        <v>34</v>
      </c>
      <c r="L399" s="1186">
        <v>4</v>
      </c>
      <c r="M399" s="1186">
        <v>61</v>
      </c>
      <c r="N399" s="1186">
        <v>98340</v>
      </c>
    </row>
    <row r="400" spans="1:14" x14ac:dyDescent="0.2">
      <c r="A400" s="1186" t="s">
        <v>19</v>
      </c>
      <c r="B400" s="1186" t="s">
        <v>116</v>
      </c>
      <c r="C400" s="1186" t="s">
        <v>33</v>
      </c>
      <c r="D400" s="1186">
        <v>238</v>
      </c>
      <c r="E400" s="1186">
        <v>11</v>
      </c>
      <c r="F400" s="1186">
        <v>76</v>
      </c>
      <c r="G400" s="1186">
        <v>6</v>
      </c>
      <c r="H400" s="1186">
        <v>1</v>
      </c>
      <c r="I400" s="1186"/>
      <c r="J400" s="1186">
        <v>29</v>
      </c>
      <c r="K400" s="1186">
        <v>30</v>
      </c>
      <c r="L400" s="1186">
        <v>5</v>
      </c>
      <c r="M400" s="1186">
        <v>80</v>
      </c>
      <c r="N400" s="1186">
        <v>89980</v>
      </c>
    </row>
    <row r="401" spans="1:14" x14ac:dyDescent="0.2">
      <c r="A401" s="1186" t="s">
        <v>19</v>
      </c>
      <c r="B401" s="1186" t="s">
        <v>116</v>
      </c>
      <c r="C401" s="1186" t="s">
        <v>34</v>
      </c>
      <c r="D401" s="1186">
        <v>655</v>
      </c>
      <c r="E401" s="1186">
        <v>11</v>
      </c>
      <c r="F401" s="1186">
        <v>197</v>
      </c>
      <c r="G401" s="1186">
        <v>8</v>
      </c>
      <c r="H401" s="1186">
        <v>14</v>
      </c>
      <c r="I401" s="1186">
        <v>2</v>
      </c>
      <c r="J401" s="1186">
        <v>96</v>
      </c>
      <c r="K401" s="1186">
        <v>144</v>
      </c>
      <c r="L401" s="1186">
        <v>13</v>
      </c>
      <c r="M401" s="1186">
        <v>170</v>
      </c>
      <c r="N401" s="1186">
        <v>154210</v>
      </c>
    </row>
    <row r="402" spans="1:14" x14ac:dyDescent="0.2">
      <c r="A402" s="1186" t="s">
        <v>19</v>
      </c>
      <c r="B402" s="1186" t="s">
        <v>116</v>
      </c>
      <c r="C402" s="1186" t="s">
        <v>35</v>
      </c>
      <c r="D402" s="1186">
        <v>1035</v>
      </c>
      <c r="E402" s="1186">
        <v>33</v>
      </c>
      <c r="F402" s="1186">
        <v>360</v>
      </c>
      <c r="G402" s="1186">
        <v>15</v>
      </c>
      <c r="H402" s="1186">
        <v>19</v>
      </c>
      <c r="I402" s="1186">
        <v>8</v>
      </c>
      <c r="J402" s="1186">
        <v>81</v>
      </c>
      <c r="K402" s="1186">
        <v>156</v>
      </c>
      <c r="L402" s="1186">
        <v>27</v>
      </c>
      <c r="M402" s="1186">
        <v>336</v>
      </c>
      <c r="N402" s="1186">
        <v>361420</v>
      </c>
    </row>
    <row r="403" spans="1:14" x14ac:dyDescent="0.2">
      <c r="A403" s="1186" t="s">
        <v>19</v>
      </c>
      <c r="B403" s="1186" t="s">
        <v>116</v>
      </c>
      <c r="C403" s="1186" t="s">
        <v>36</v>
      </c>
      <c r="D403" s="1186">
        <v>3024</v>
      </c>
      <c r="E403" s="1186">
        <v>135</v>
      </c>
      <c r="F403" s="1186">
        <v>551</v>
      </c>
      <c r="G403" s="1186">
        <v>6</v>
      </c>
      <c r="H403" s="1186">
        <v>31</v>
      </c>
      <c r="I403" s="1186">
        <v>16</v>
      </c>
      <c r="J403" s="1186">
        <v>421</v>
      </c>
      <c r="K403" s="1186">
        <v>651</v>
      </c>
      <c r="L403" s="1186">
        <v>126</v>
      </c>
      <c r="M403" s="1186">
        <v>1087</v>
      </c>
      <c r="N403" s="1186">
        <v>581620</v>
      </c>
    </row>
    <row r="404" spans="1:14" x14ac:dyDescent="0.2">
      <c r="A404" s="1186" t="s">
        <v>19</v>
      </c>
      <c r="B404" s="1186" t="s">
        <v>116</v>
      </c>
      <c r="C404" s="1186" t="s">
        <v>37</v>
      </c>
      <c r="D404" s="1186">
        <v>262</v>
      </c>
      <c r="E404" s="1186">
        <v>4</v>
      </c>
      <c r="F404" s="1186">
        <v>143</v>
      </c>
      <c r="G404" s="1186">
        <v>1</v>
      </c>
      <c r="H404" s="1186">
        <v>2</v>
      </c>
      <c r="I404" s="1186">
        <v>5</v>
      </c>
      <c r="J404" s="1186">
        <v>17</v>
      </c>
      <c r="K404" s="1186">
        <v>29</v>
      </c>
      <c r="L404" s="1186">
        <v>11</v>
      </c>
      <c r="M404" s="1186">
        <v>50</v>
      </c>
      <c r="N404" s="1186">
        <v>228750</v>
      </c>
    </row>
    <row r="405" spans="1:14" x14ac:dyDescent="0.2">
      <c r="A405" s="1186" t="s">
        <v>19</v>
      </c>
      <c r="B405" s="1186" t="s">
        <v>116</v>
      </c>
      <c r="C405" s="1186" t="s">
        <v>38</v>
      </c>
      <c r="D405" s="1186">
        <v>551</v>
      </c>
      <c r="E405" s="1186">
        <v>39</v>
      </c>
      <c r="F405" s="1186">
        <v>155</v>
      </c>
      <c r="G405" s="1186">
        <v>8</v>
      </c>
      <c r="H405" s="1186">
        <v>6</v>
      </c>
      <c r="I405" s="1186">
        <v>3</v>
      </c>
      <c r="J405" s="1186">
        <v>71</v>
      </c>
      <c r="K405" s="1186">
        <v>86</v>
      </c>
      <c r="L405" s="1186">
        <v>15</v>
      </c>
      <c r="M405" s="1186">
        <v>168</v>
      </c>
      <c r="N405" s="1186">
        <v>81670</v>
      </c>
    </row>
    <row r="406" spans="1:14" x14ac:dyDescent="0.2">
      <c r="A406" s="1186" t="s">
        <v>19</v>
      </c>
      <c r="B406" s="1186" t="s">
        <v>116</v>
      </c>
      <c r="C406" s="1186" t="s">
        <v>39</v>
      </c>
      <c r="D406" s="1186">
        <v>345</v>
      </c>
      <c r="E406" s="1186">
        <v>6</v>
      </c>
      <c r="F406" s="1186">
        <v>118</v>
      </c>
      <c r="G406" s="1186">
        <v>12</v>
      </c>
      <c r="H406" s="1186">
        <v>2</v>
      </c>
      <c r="I406" s="1186">
        <v>1</v>
      </c>
      <c r="J406" s="1186">
        <v>56</v>
      </c>
      <c r="K406" s="1186">
        <v>54</v>
      </c>
      <c r="L406" s="1186">
        <v>11</v>
      </c>
      <c r="M406" s="1186">
        <v>85</v>
      </c>
      <c r="N406" s="1186">
        <v>81900</v>
      </c>
    </row>
    <row r="407" spans="1:14" x14ac:dyDescent="0.2">
      <c r="A407" s="1186" t="s">
        <v>19</v>
      </c>
      <c r="B407" s="1186" t="s">
        <v>116</v>
      </c>
      <c r="C407" s="1186" t="s">
        <v>40</v>
      </c>
      <c r="D407" s="1186">
        <v>108</v>
      </c>
      <c r="E407" s="1186">
        <v>2</v>
      </c>
      <c r="F407" s="1186">
        <v>64</v>
      </c>
      <c r="G407" s="1186">
        <v>2</v>
      </c>
      <c r="H407" s="1186">
        <v>1</v>
      </c>
      <c r="I407" s="1186"/>
      <c r="J407" s="1186">
        <v>2</v>
      </c>
      <c r="K407" s="1186">
        <v>10</v>
      </c>
      <c r="L407" s="1186">
        <v>1</v>
      </c>
      <c r="M407" s="1186">
        <v>26</v>
      </c>
      <c r="N407" s="1186">
        <v>93160</v>
      </c>
    </row>
    <row r="408" spans="1:14" x14ac:dyDescent="0.2">
      <c r="A408" s="1186" t="s">
        <v>19</v>
      </c>
      <c r="B408" s="1186" t="s">
        <v>116</v>
      </c>
      <c r="C408" s="1186" t="s">
        <v>295</v>
      </c>
      <c r="D408" s="1186">
        <v>7</v>
      </c>
      <c r="E408" s="1186"/>
      <c r="F408" s="1186">
        <v>5</v>
      </c>
      <c r="G408" s="1186"/>
      <c r="H408" s="1186"/>
      <c r="I408" s="1186"/>
      <c r="J408" s="1186"/>
      <c r="K408" s="1186">
        <v>2</v>
      </c>
      <c r="L408" s="1186"/>
      <c r="M408" s="1186"/>
      <c r="N408" s="1186">
        <v>27420</v>
      </c>
    </row>
    <row r="409" spans="1:14" x14ac:dyDescent="0.2">
      <c r="A409" s="1186" t="s">
        <v>19</v>
      </c>
      <c r="B409" s="1186" t="s">
        <v>116</v>
      </c>
      <c r="C409" s="1186" t="s">
        <v>41</v>
      </c>
      <c r="D409" s="1186">
        <v>758</v>
      </c>
      <c r="E409" s="1186">
        <v>20</v>
      </c>
      <c r="F409" s="1186">
        <v>262</v>
      </c>
      <c r="G409" s="1186">
        <v>4</v>
      </c>
      <c r="H409" s="1186">
        <v>5</v>
      </c>
      <c r="I409" s="1186">
        <v>11</v>
      </c>
      <c r="J409" s="1186">
        <v>127</v>
      </c>
      <c r="K409" s="1186">
        <v>101</v>
      </c>
      <c r="L409" s="1186">
        <v>25</v>
      </c>
      <c r="M409" s="1186">
        <v>203</v>
      </c>
      <c r="N409" s="1186">
        <v>137830</v>
      </c>
    </row>
    <row r="410" spans="1:14" x14ac:dyDescent="0.2">
      <c r="A410" s="1186" t="s">
        <v>19</v>
      </c>
      <c r="B410" s="1186" t="s">
        <v>116</v>
      </c>
      <c r="C410" s="1186" t="s">
        <v>42</v>
      </c>
      <c r="D410" s="1186">
        <v>1683</v>
      </c>
      <c r="E410" s="1186">
        <v>48</v>
      </c>
      <c r="F410" s="1186">
        <v>508</v>
      </c>
      <c r="G410" s="1186">
        <v>6</v>
      </c>
      <c r="H410" s="1186">
        <v>16</v>
      </c>
      <c r="I410" s="1186">
        <v>5</v>
      </c>
      <c r="J410" s="1186">
        <v>187</v>
      </c>
      <c r="K410" s="1186">
        <v>278</v>
      </c>
      <c r="L410" s="1186">
        <v>98</v>
      </c>
      <c r="M410" s="1186">
        <v>537</v>
      </c>
      <c r="N410" s="1186">
        <v>335160</v>
      </c>
    </row>
    <row r="411" spans="1:14" x14ac:dyDescent="0.2">
      <c r="A411" s="1186" t="s">
        <v>19</v>
      </c>
      <c r="B411" s="1186" t="s">
        <v>116</v>
      </c>
      <c r="C411" s="1186" t="s">
        <v>43</v>
      </c>
      <c r="D411" s="1186">
        <v>6</v>
      </c>
      <c r="E411" s="1186"/>
      <c r="F411" s="1186">
        <v>3</v>
      </c>
      <c r="G411" s="1186"/>
      <c r="H411" s="1186"/>
      <c r="I411" s="1186"/>
      <c r="J411" s="1186">
        <v>1</v>
      </c>
      <c r="K411" s="1186"/>
      <c r="L411" s="1186"/>
      <c r="M411" s="1186">
        <v>2</v>
      </c>
      <c r="N411" s="1186">
        <v>20940</v>
      </c>
    </row>
    <row r="412" spans="1:14" x14ac:dyDescent="0.2">
      <c r="A412" s="1186" t="s">
        <v>19</v>
      </c>
      <c r="B412" s="1186" t="s">
        <v>116</v>
      </c>
      <c r="C412" s="1186" t="s">
        <v>44</v>
      </c>
      <c r="D412" s="1186">
        <v>142</v>
      </c>
      <c r="E412" s="1186">
        <v>4</v>
      </c>
      <c r="F412" s="1186">
        <v>40</v>
      </c>
      <c r="G412" s="1186">
        <v>4</v>
      </c>
      <c r="H412" s="1186">
        <v>4</v>
      </c>
      <c r="I412" s="1186">
        <v>1</v>
      </c>
      <c r="J412" s="1186">
        <v>10</v>
      </c>
      <c r="K412" s="1186">
        <v>26</v>
      </c>
      <c r="L412" s="1186">
        <v>5</v>
      </c>
      <c r="M412" s="1186">
        <v>48</v>
      </c>
      <c r="N412" s="1186">
        <v>144370</v>
      </c>
    </row>
    <row r="413" spans="1:14" x14ac:dyDescent="0.2">
      <c r="A413" s="1186" t="s">
        <v>19</v>
      </c>
      <c r="B413" s="1186" t="s">
        <v>116</v>
      </c>
      <c r="C413" s="1186" t="s">
        <v>45</v>
      </c>
      <c r="D413" s="1186">
        <v>771</v>
      </c>
      <c r="E413" s="1186">
        <v>42</v>
      </c>
      <c r="F413" s="1186">
        <v>183</v>
      </c>
      <c r="G413" s="1186">
        <v>8</v>
      </c>
      <c r="H413" s="1186">
        <v>6</v>
      </c>
      <c r="I413" s="1186">
        <v>2</v>
      </c>
      <c r="J413" s="1186">
        <v>83</v>
      </c>
      <c r="K413" s="1186">
        <v>162</v>
      </c>
      <c r="L413" s="1186">
        <v>27</v>
      </c>
      <c r="M413" s="1186">
        <v>258</v>
      </c>
      <c r="N413" s="1186">
        <v>173020</v>
      </c>
    </row>
    <row r="414" spans="1:14" x14ac:dyDescent="0.2">
      <c r="A414" s="1186" t="s">
        <v>19</v>
      </c>
      <c r="B414" s="1186" t="s">
        <v>116</v>
      </c>
      <c r="C414" s="1186" t="s">
        <v>46</v>
      </c>
      <c r="D414" s="1186">
        <v>107</v>
      </c>
      <c r="E414" s="1186">
        <v>3</v>
      </c>
      <c r="F414" s="1186">
        <v>39</v>
      </c>
      <c r="G414" s="1186"/>
      <c r="H414" s="1186">
        <v>1</v>
      </c>
      <c r="I414" s="1186"/>
      <c r="J414" s="1186">
        <v>16</v>
      </c>
      <c r="K414" s="1186">
        <v>18</v>
      </c>
      <c r="L414" s="1186">
        <v>1</v>
      </c>
      <c r="M414" s="1186">
        <v>29</v>
      </c>
      <c r="N414" s="1186">
        <v>113590</v>
      </c>
    </row>
    <row r="415" spans="1:14" x14ac:dyDescent="0.2">
      <c r="A415" s="1186" t="s">
        <v>19</v>
      </c>
      <c r="B415" s="1186" t="s">
        <v>116</v>
      </c>
      <c r="C415" s="1186" t="s">
        <v>47</v>
      </c>
      <c r="D415" s="1186">
        <v>3</v>
      </c>
      <c r="E415" s="1186"/>
      <c r="F415" s="1186">
        <v>2</v>
      </c>
      <c r="G415" s="1186"/>
      <c r="H415" s="1186"/>
      <c r="I415" s="1186"/>
      <c r="J415" s="1186"/>
      <c r="K415" s="1186">
        <v>1</v>
      </c>
      <c r="L415" s="1186"/>
      <c r="M415" s="1186"/>
      <c r="N415" s="1186">
        <v>22800</v>
      </c>
    </row>
    <row r="416" spans="1:14" x14ac:dyDescent="0.2">
      <c r="A416" s="1186" t="s">
        <v>19</v>
      </c>
      <c r="B416" s="1186" t="s">
        <v>116</v>
      </c>
      <c r="C416" s="1186" t="s">
        <v>48</v>
      </c>
      <c r="D416" s="1186">
        <v>333</v>
      </c>
      <c r="E416" s="1186">
        <v>3</v>
      </c>
      <c r="F416" s="1186">
        <v>124</v>
      </c>
      <c r="G416" s="1186"/>
      <c r="H416" s="1186">
        <v>2</v>
      </c>
      <c r="I416" s="1186">
        <v>1</v>
      </c>
      <c r="J416" s="1186">
        <v>36</v>
      </c>
      <c r="K416" s="1186">
        <v>48</v>
      </c>
      <c r="L416" s="1186">
        <v>19</v>
      </c>
      <c r="M416" s="1186">
        <v>100</v>
      </c>
      <c r="N416" s="1186">
        <v>112490</v>
      </c>
    </row>
    <row r="417" spans="1:14" x14ac:dyDescent="0.2">
      <c r="A417" s="1186" t="s">
        <v>19</v>
      </c>
      <c r="B417" s="1186" t="s">
        <v>116</v>
      </c>
      <c r="C417" s="1186" t="s">
        <v>49</v>
      </c>
      <c r="D417" s="1186">
        <v>1361</v>
      </c>
      <c r="E417" s="1186">
        <v>44</v>
      </c>
      <c r="F417" s="1186">
        <v>383</v>
      </c>
      <c r="G417" s="1186">
        <v>6</v>
      </c>
      <c r="H417" s="1186">
        <v>15</v>
      </c>
      <c r="I417" s="1186">
        <v>6</v>
      </c>
      <c r="J417" s="1186">
        <v>104</v>
      </c>
      <c r="K417" s="1186">
        <v>228</v>
      </c>
      <c r="L417" s="1186">
        <v>52</v>
      </c>
      <c r="M417" s="1186">
        <v>523</v>
      </c>
      <c r="N417" s="1186">
        <v>312180</v>
      </c>
    </row>
    <row r="418" spans="1:14" x14ac:dyDescent="0.2">
      <c r="A418" s="1186" t="s">
        <v>19</v>
      </c>
      <c r="B418" s="1186" t="s">
        <v>116</v>
      </c>
      <c r="C418" s="1186" t="s">
        <v>50</v>
      </c>
      <c r="D418" s="1186">
        <v>182</v>
      </c>
      <c r="E418" s="1186">
        <v>2</v>
      </c>
      <c r="F418" s="1186">
        <v>56</v>
      </c>
      <c r="G418" s="1186">
        <v>1</v>
      </c>
      <c r="H418" s="1186">
        <v>3</v>
      </c>
      <c r="I418" s="1186"/>
      <c r="J418" s="1186">
        <v>31</v>
      </c>
      <c r="K418" s="1186">
        <v>28</v>
      </c>
      <c r="L418" s="1186">
        <v>4</v>
      </c>
      <c r="M418" s="1186">
        <v>57</v>
      </c>
      <c r="N418" s="1186">
        <v>88690</v>
      </c>
    </row>
    <row r="419" spans="1:14" x14ac:dyDescent="0.2">
      <c r="A419" s="1186" t="s">
        <v>19</v>
      </c>
      <c r="B419" s="1186" t="s">
        <v>116</v>
      </c>
      <c r="C419" s="1186" t="s">
        <v>51</v>
      </c>
      <c r="D419" s="1186">
        <v>609</v>
      </c>
      <c r="E419" s="1186">
        <v>21</v>
      </c>
      <c r="F419" s="1186">
        <v>186</v>
      </c>
      <c r="G419" s="1186">
        <v>4</v>
      </c>
      <c r="H419" s="1186">
        <v>4</v>
      </c>
      <c r="I419" s="1186">
        <v>7</v>
      </c>
      <c r="J419" s="1186">
        <v>70</v>
      </c>
      <c r="K419" s="1186">
        <v>122</v>
      </c>
      <c r="L419" s="1186">
        <v>22</v>
      </c>
      <c r="M419" s="1186">
        <v>173</v>
      </c>
      <c r="N419" s="1186">
        <v>91080</v>
      </c>
    </row>
    <row r="420" spans="1:14" x14ac:dyDescent="0.2">
      <c r="A420" s="1186" t="s">
        <v>19</v>
      </c>
      <c r="B420" s="1186" t="s">
        <v>116</v>
      </c>
      <c r="C420" s="1186" t="s">
        <v>52</v>
      </c>
      <c r="D420" s="1186">
        <v>882</v>
      </c>
      <c r="E420" s="1186">
        <v>28</v>
      </c>
      <c r="F420" s="1186">
        <v>330</v>
      </c>
      <c r="G420" s="1186">
        <v>11</v>
      </c>
      <c r="H420" s="1186">
        <v>9</v>
      </c>
      <c r="I420" s="1186">
        <v>5</v>
      </c>
      <c r="J420" s="1186">
        <v>146</v>
      </c>
      <c r="K420" s="1186">
        <v>144</v>
      </c>
      <c r="L420" s="1186">
        <v>25</v>
      </c>
      <c r="M420" s="1186">
        <v>184</v>
      </c>
      <c r="N420" s="1186">
        <v>173040</v>
      </c>
    </row>
    <row r="421" spans="1:14" x14ac:dyDescent="0.2">
      <c r="A421" s="1186" t="s">
        <v>20</v>
      </c>
      <c r="B421" s="1186" t="s">
        <v>116</v>
      </c>
      <c r="C421" s="1186" t="s">
        <v>23</v>
      </c>
      <c r="D421" s="1186">
        <v>445</v>
      </c>
      <c r="E421" s="1186">
        <v>13</v>
      </c>
      <c r="F421" s="1186">
        <v>113</v>
      </c>
      <c r="G421" s="1186">
        <v>1</v>
      </c>
      <c r="H421" s="1186">
        <v>10</v>
      </c>
      <c r="I421" s="1186">
        <v>3</v>
      </c>
      <c r="J421" s="1186">
        <v>15</v>
      </c>
      <c r="K421" s="1186">
        <v>125</v>
      </c>
      <c r="L421" s="1186">
        <v>16</v>
      </c>
      <c r="M421" s="1186">
        <v>149</v>
      </c>
      <c r="N421" s="1186">
        <v>219730</v>
      </c>
    </row>
    <row r="422" spans="1:14" x14ac:dyDescent="0.2">
      <c r="A422" s="1186" t="s">
        <v>20</v>
      </c>
      <c r="B422" s="1186" t="s">
        <v>116</v>
      </c>
      <c r="C422" s="1186" t="s">
        <v>24</v>
      </c>
      <c r="D422" s="1186">
        <v>180</v>
      </c>
      <c r="E422" s="1186">
        <v>8</v>
      </c>
      <c r="F422" s="1186">
        <v>52</v>
      </c>
      <c r="G422" s="1186">
        <v>1</v>
      </c>
      <c r="H422" s="1186">
        <v>4</v>
      </c>
      <c r="I422" s="1186">
        <v>2</v>
      </c>
      <c r="J422" s="1186">
        <v>15</v>
      </c>
      <c r="K422" s="1186">
        <v>35</v>
      </c>
      <c r="L422" s="1186">
        <v>8</v>
      </c>
      <c r="M422" s="1186">
        <v>55</v>
      </c>
      <c r="N422" s="1186">
        <v>251430</v>
      </c>
    </row>
    <row r="423" spans="1:14" x14ac:dyDescent="0.2">
      <c r="A423" s="1186" t="s">
        <v>20</v>
      </c>
      <c r="B423" s="1186" t="s">
        <v>116</v>
      </c>
      <c r="C423" s="1186" t="s">
        <v>25</v>
      </c>
      <c r="D423" s="1186">
        <v>139</v>
      </c>
      <c r="E423" s="1186">
        <v>4</v>
      </c>
      <c r="F423" s="1186">
        <v>57</v>
      </c>
      <c r="G423" s="1186">
        <v>10</v>
      </c>
      <c r="H423" s="1186">
        <v>3</v>
      </c>
      <c r="I423" s="1186">
        <v>1</v>
      </c>
      <c r="J423" s="1186">
        <v>14</v>
      </c>
      <c r="K423" s="1186">
        <v>25</v>
      </c>
      <c r="L423" s="1186">
        <v>2</v>
      </c>
      <c r="M423" s="1186">
        <v>23</v>
      </c>
      <c r="N423" s="1186">
        <v>115410</v>
      </c>
    </row>
    <row r="424" spans="1:14" x14ac:dyDescent="0.2">
      <c r="A424" s="1186" t="s">
        <v>20</v>
      </c>
      <c r="B424" s="1186" t="s">
        <v>116</v>
      </c>
      <c r="C424" s="1186" t="s">
        <v>26</v>
      </c>
      <c r="D424" s="1186">
        <v>140</v>
      </c>
      <c r="E424" s="1186">
        <v>3</v>
      </c>
      <c r="F424" s="1186">
        <v>80</v>
      </c>
      <c r="G424" s="1186">
        <v>2</v>
      </c>
      <c r="H424" s="1186">
        <v>2</v>
      </c>
      <c r="I424" s="1186">
        <v>2</v>
      </c>
      <c r="J424" s="1186">
        <v>20</v>
      </c>
      <c r="K424" s="1186">
        <v>17</v>
      </c>
      <c r="L424" s="1186">
        <v>4</v>
      </c>
      <c r="M424" s="1186">
        <v>10</v>
      </c>
      <c r="N424" s="1186">
        <v>88620</v>
      </c>
    </row>
    <row r="425" spans="1:14" x14ac:dyDescent="0.2">
      <c r="A425" s="1186" t="s">
        <v>20</v>
      </c>
      <c r="B425" s="1186" t="s">
        <v>116</v>
      </c>
      <c r="C425" s="1186" t="s">
        <v>619</v>
      </c>
      <c r="D425" s="1186">
        <v>1575</v>
      </c>
      <c r="E425" s="1186">
        <v>43</v>
      </c>
      <c r="F425" s="1186">
        <v>438</v>
      </c>
      <c r="G425" s="1186">
        <v>5</v>
      </c>
      <c r="H425" s="1186">
        <v>17</v>
      </c>
      <c r="I425" s="1186">
        <v>3</v>
      </c>
      <c r="J425" s="1186">
        <v>235</v>
      </c>
      <c r="K425" s="1186">
        <v>405</v>
      </c>
      <c r="L425" s="1186">
        <v>79</v>
      </c>
      <c r="M425" s="1186">
        <v>350</v>
      </c>
      <c r="N425" s="1186">
        <v>469930</v>
      </c>
    </row>
    <row r="426" spans="1:14" x14ac:dyDescent="0.2">
      <c r="A426" s="1186" t="s">
        <v>20</v>
      </c>
      <c r="B426" s="1186" t="s">
        <v>116</v>
      </c>
      <c r="C426" s="1186" t="s">
        <v>27</v>
      </c>
      <c r="D426" s="1186">
        <v>159</v>
      </c>
      <c r="E426" s="1186">
        <v>5</v>
      </c>
      <c r="F426" s="1186">
        <v>77</v>
      </c>
      <c r="G426" s="1186">
        <v>4</v>
      </c>
      <c r="H426" s="1186">
        <v>3</v>
      </c>
      <c r="I426" s="1186"/>
      <c r="J426" s="1186">
        <v>21</v>
      </c>
      <c r="K426" s="1186">
        <v>11</v>
      </c>
      <c r="L426" s="1186">
        <v>4</v>
      </c>
      <c r="M426" s="1186">
        <v>34</v>
      </c>
      <c r="N426" s="1186">
        <v>51330</v>
      </c>
    </row>
    <row r="427" spans="1:14" x14ac:dyDescent="0.2">
      <c r="A427" s="1186" t="s">
        <v>20</v>
      </c>
      <c r="B427" s="1186" t="s">
        <v>116</v>
      </c>
      <c r="C427" s="1186" t="s">
        <v>28</v>
      </c>
      <c r="D427" s="1186">
        <v>167</v>
      </c>
      <c r="E427" s="1186">
        <v>1</v>
      </c>
      <c r="F427" s="1186">
        <v>65</v>
      </c>
      <c r="G427" s="1186"/>
      <c r="H427" s="1186">
        <v>3</v>
      </c>
      <c r="I427" s="1186"/>
      <c r="J427" s="1186">
        <v>12</v>
      </c>
      <c r="K427" s="1186">
        <v>27</v>
      </c>
      <c r="L427" s="1186">
        <v>4</v>
      </c>
      <c r="M427" s="1186">
        <v>55</v>
      </c>
      <c r="N427" s="1186">
        <v>151100</v>
      </c>
    </row>
    <row r="428" spans="1:14" x14ac:dyDescent="0.2">
      <c r="A428" s="1186" t="s">
        <v>20</v>
      </c>
      <c r="B428" s="1186" t="s">
        <v>116</v>
      </c>
      <c r="C428" s="1186" t="s">
        <v>29</v>
      </c>
      <c r="D428" s="1186">
        <v>820</v>
      </c>
      <c r="E428" s="1186">
        <v>7</v>
      </c>
      <c r="F428" s="1186">
        <v>217</v>
      </c>
      <c r="G428" s="1186">
        <v>5</v>
      </c>
      <c r="H428" s="1186">
        <v>15</v>
      </c>
      <c r="I428" s="1186">
        <v>2</v>
      </c>
      <c r="J428" s="1186">
        <v>64</v>
      </c>
      <c r="K428" s="1186">
        <v>283</v>
      </c>
      <c r="L428" s="1186">
        <v>35</v>
      </c>
      <c r="M428" s="1186">
        <v>192</v>
      </c>
      <c r="N428" s="1186">
        <v>146060</v>
      </c>
    </row>
    <row r="429" spans="1:14" x14ac:dyDescent="0.2">
      <c r="A429" s="1186" t="s">
        <v>20</v>
      </c>
      <c r="B429" s="1186" t="s">
        <v>116</v>
      </c>
      <c r="C429" s="1186" t="s">
        <v>30</v>
      </c>
      <c r="D429" s="1186">
        <v>1025</v>
      </c>
      <c r="E429" s="1186">
        <v>32</v>
      </c>
      <c r="F429" s="1186">
        <v>374</v>
      </c>
      <c r="G429" s="1186"/>
      <c r="H429" s="1186">
        <v>9</v>
      </c>
      <c r="I429" s="1186">
        <v>11</v>
      </c>
      <c r="J429" s="1186">
        <v>115</v>
      </c>
      <c r="K429" s="1186">
        <v>226</v>
      </c>
      <c r="L429" s="1186">
        <v>51</v>
      </c>
      <c r="M429" s="1186">
        <v>207</v>
      </c>
      <c r="N429" s="1186">
        <v>122410</v>
      </c>
    </row>
    <row r="430" spans="1:14" x14ac:dyDescent="0.2">
      <c r="A430" s="1186" t="s">
        <v>20</v>
      </c>
      <c r="B430" s="1186" t="s">
        <v>116</v>
      </c>
      <c r="C430" s="1186" t="s">
        <v>31</v>
      </c>
      <c r="D430" s="1186">
        <v>311</v>
      </c>
      <c r="E430" s="1186">
        <v>16</v>
      </c>
      <c r="F430" s="1186">
        <v>124</v>
      </c>
      <c r="G430" s="1186"/>
      <c r="H430" s="1186">
        <v>4</v>
      </c>
      <c r="I430" s="1186">
        <v>2</v>
      </c>
      <c r="J430" s="1186">
        <v>42</v>
      </c>
      <c r="K430" s="1186">
        <v>47</v>
      </c>
      <c r="L430" s="1186">
        <v>8</v>
      </c>
      <c r="M430" s="1186">
        <v>68</v>
      </c>
      <c r="N430" s="1186">
        <v>104920</v>
      </c>
    </row>
    <row r="431" spans="1:14" x14ac:dyDescent="0.2">
      <c r="A431" s="1186" t="s">
        <v>20</v>
      </c>
      <c r="B431" s="1186" t="s">
        <v>116</v>
      </c>
      <c r="C431" s="1186" t="s">
        <v>32</v>
      </c>
      <c r="D431" s="1186">
        <v>252</v>
      </c>
      <c r="E431" s="1186">
        <v>2</v>
      </c>
      <c r="F431" s="1186">
        <v>95</v>
      </c>
      <c r="G431" s="1186">
        <v>6</v>
      </c>
      <c r="H431" s="1186">
        <v>8</v>
      </c>
      <c r="I431" s="1186">
        <v>2</v>
      </c>
      <c r="J431" s="1186">
        <v>47</v>
      </c>
      <c r="K431" s="1186">
        <v>35</v>
      </c>
      <c r="L431" s="1186">
        <v>5</v>
      </c>
      <c r="M431" s="1186">
        <v>52</v>
      </c>
      <c r="N431" s="1186">
        <v>99140</v>
      </c>
    </row>
    <row r="432" spans="1:14" x14ac:dyDescent="0.2">
      <c r="A432" s="1186" t="s">
        <v>20</v>
      </c>
      <c r="B432" s="1186" t="s">
        <v>116</v>
      </c>
      <c r="C432" s="1186" t="s">
        <v>33</v>
      </c>
      <c r="D432" s="1186">
        <v>284</v>
      </c>
      <c r="E432" s="1186">
        <v>10</v>
      </c>
      <c r="F432" s="1186">
        <v>119</v>
      </c>
      <c r="G432" s="1186">
        <v>1</v>
      </c>
      <c r="H432" s="1186">
        <v>4</v>
      </c>
      <c r="I432" s="1186">
        <v>1</v>
      </c>
      <c r="J432" s="1186">
        <v>40</v>
      </c>
      <c r="K432" s="1186">
        <v>46</v>
      </c>
      <c r="L432" s="1186">
        <v>6</v>
      </c>
      <c r="M432" s="1186">
        <v>57</v>
      </c>
      <c r="N432" s="1186">
        <v>90410</v>
      </c>
    </row>
    <row r="433" spans="1:14" x14ac:dyDescent="0.2">
      <c r="A433" s="1186" t="s">
        <v>20</v>
      </c>
      <c r="B433" s="1186" t="s">
        <v>116</v>
      </c>
      <c r="C433" s="1186" t="s">
        <v>34</v>
      </c>
      <c r="D433" s="1186">
        <v>617</v>
      </c>
      <c r="E433" s="1186">
        <v>15</v>
      </c>
      <c r="F433" s="1186">
        <v>270</v>
      </c>
      <c r="G433" s="1186"/>
      <c r="H433" s="1186">
        <v>6</v>
      </c>
      <c r="I433" s="1186"/>
      <c r="J433" s="1186">
        <v>53</v>
      </c>
      <c r="K433" s="1186">
        <v>130</v>
      </c>
      <c r="L433" s="1186">
        <v>14</v>
      </c>
      <c r="M433" s="1186">
        <v>129</v>
      </c>
      <c r="N433" s="1186">
        <v>155130</v>
      </c>
    </row>
    <row r="434" spans="1:14" x14ac:dyDescent="0.2">
      <c r="A434" s="1186" t="s">
        <v>20</v>
      </c>
      <c r="B434" s="1186" t="s">
        <v>116</v>
      </c>
      <c r="C434" s="1186" t="s">
        <v>35</v>
      </c>
      <c r="D434" s="1186">
        <v>899</v>
      </c>
      <c r="E434" s="1186">
        <v>24</v>
      </c>
      <c r="F434" s="1186">
        <v>350</v>
      </c>
      <c r="G434" s="1186">
        <v>14</v>
      </c>
      <c r="H434" s="1186">
        <v>16</v>
      </c>
      <c r="I434" s="1186">
        <v>7</v>
      </c>
      <c r="J434" s="1186">
        <v>63</v>
      </c>
      <c r="K434" s="1186">
        <v>136</v>
      </c>
      <c r="L434" s="1186">
        <v>25</v>
      </c>
      <c r="M434" s="1186">
        <v>264</v>
      </c>
      <c r="N434" s="1186">
        <v>362610</v>
      </c>
    </row>
    <row r="435" spans="1:14" x14ac:dyDescent="0.2">
      <c r="A435" s="1186" t="s">
        <v>20</v>
      </c>
      <c r="B435" s="1186" t="s">
        <v>116</v>
      </c>
      <c r="C435" s="1186" t="s">
        <v>36</v>
      </c>
      <c r="D435" s="1186">
        <v>3771</v>
      </c>
      <c r="E435" s="1186">
        <v>165</v>
      </c>
      <c r="F435" s="1186">
        <v>790</v>
      </c>
      <c r="G435" s="1186">
        <v>8</v>
      </c>
      <c r="H435" s="1186">
        <v>59</v>
      </c>
      <c r="I435" s="1186">
        <v>23</v>
      </c>
      <c r="J435" s="1186">
        <v>620</v>
      </c>
      <c r="K435" s="1186">
        <v>903</v>
      </c>
      <c r="L435" s="1186">
        <v>164</v>
      </c>
      <c r="M435" s="1186">
        <v>1039</v>
      </c>
      <c r="N435" s="1186">
        <v>586500</v>
      </c>
    </row>
    <row r="436" spans="1:14" x14ac:dyDescent="0.2">
      <c r="A436" s="1186" t="s">
        <v>20</v>
      </c>
      <c r="B436" s="1186" t="s">
        <v>116</v>
      </c>
      <c r="C436" s="1186" t="s">
        <v>37</v>
      </c>
      <c r="D436" s="1186">
        <v>255</v>
      </c>
      <c r="E436" s="1186">
        <v>5</v>
      </c>
      <c r="F436" s="1186">
        <v>123</v>
      </c>
      <c r="G436" s="1186">
        <v>2</v>
      </c>
      <c r="H436" s="1186">
        <v>1</v>
      </c>
      <c r="I436" s="1186"/>
      <c r="J436" s="1186">
        <v>35</v>
      </c>
      <c r="K436" s="1186">
        <v>15</v>
      </c>
      <c r="L436" s="1186">
        <v>4</v>
      </c>
      <c r="M436" s="1186">
        <v>70</v>
      </c>
      <c r="N436" s="1186">
        <v>230730</v>
      </c>
    </row>
    <row r="437" spans="1:14" x14ac:dyDescent="0.2">
      <c r="A437" s="1186" t="s">
        <v>20</v>
      </c>
      <c r="B437" s="1186" t="s">
        <v>116</v>
      </c>
      <c r="C437" s="1186" t="s">
        <v>38</v>
      </c>
      <c r="D437" s="1186">
        <v>885</v>
      </c>
      <c r="E437" s="1186">
        <v>27</v>
      </c>
      <c r="F437" s="1186">
        <v>410</v>
      </c>
      <c r="G437" s="1186">
        <v>1</v>
      </c>
      <c r="H437" s="1186">
        <v>7</v>
      </c>
      <c r="I437" s="1186">
        <v>4</v>
      </c>
      <c r="J437" s="1186">
        <v>122</v>
      </c>
      <c r="K437" s="1186">
        <v>132</v>
      </c>
      <c r="L437" s="1186">
        <v>14</v>
      </c>
      <c r="M437" s="1186">
        <v>168</v>
      </c>
      <c r="N437" s="1186">
        <v>81510</v>
      </c>
    </row>
    <row r="438" spans="1:14" x14ac:dyDescent="0.2">
      <c r="A438" s="1186" t="s">
        <v>20</v>
      </c>
      <c r="B438" s="1186" t="s">
        <v>116</v>
      </c>
      <c r="C438" s="1186" t="s">
        <v>39</v>
      </c>
      <c r="D438" s="1186">
        <v>331</v>
      </c>
      <c r="E438" s="1186">
        <v>16</v>
      </c>
      <c r="F438" s="1186">
        <v>109</v>
      </c>
      <c r="G438" s="1186">
        <v>6</v>
      </c>
      <c r="H438" s="1186">
        <v>6</v>
      </c>
      <c r="I438" s="1186">
        <v>1</v>
      </c>
      <c r="J438" s="1186">
        <v>77</v>
      </c>
      <c r="K438" s="1186">
        <v>39</v>
      </c>
      <c r="L438" s="1186">
        <v>10</v>
      </c>
      <c r="M438" s="1186">
        <v>67</v>
      </c>
      <c r="N438" s="1186">
        <v>82360</v>
      </c>
    </row>
    <row r="439" spans="1:14" x14ac:dyDescent="0.2">
      <c r="A439" s="1186" t="s">
        <v>20</v>
      </c>
      <c r="B439" s="1186" t="s">
        <v>116</v>
      </c>
      <c r="C439" s="1186" t="s">
        <v>40</v>
      </c>
      <c r="D439" s="1186">
        <v>131</v>
      </c>
      <c r="E439" s="1186">
        <v>2</v>
      </c>
      <c r="F439" s="1186">
        <v>65</v>
      </c>
      <c r="G439" s="1186"/>
      <c r="H439" s="1186">
        <v>3</v>
      </c>
      <c r="I439" s="1186">
        <v>2</v>
      </c>
      <c r="J439" s="1186">
        <v>5</v>
      </c>
      <c r="K439" s="1186">
        <v>23</v>
      </c>
      <c r="L439" s="1186">
        <v>3</v>
      </c>
      <c r="M439" s="1186">
        <v>28</v>
      </c>
      <c r="N439" s="1186">
        <v>93690</v>
      </c>
    </row>
    <row r="440" spans="1:14" x14ac:dyDescent="0.2">
      <c r="A440" s="1186" t="s">
        <v>20</v>
      </c>
      <c r="B440" s="1186" t="s">
        <v>116</v>
      </c>
      <c r="C440" s="1186" t="s">
        <v>295</v>
      </c>
      <c r="D440" s="1186">
        <v>13</v>
      </c>
      <c r="E440" s="1186">
        <v>1</v>
      </c>
      <c r="F440" s="1186">
        <v>3</v>
      </c>
      <c r="G440" s="1186">
        <v>1</v>
      </c>
      <c r="H440" s="1186"/>
      <c r="I440" s="1186">
        <v>1</v>
      </c>
      <c r="J440" s="1186"/>
      <c r="K440" s="1186">
        <v>3</v>
      </c>
      <c r="L440" s="1186"/>
      <c r="M440" s="1186">
        <v>4</v>
      </c>
      <c r="N440" s="1186">
        <v>27600</v>
      </c>
    </row>
    <row r="441" spans="1:14" x14ac:dyDescent="0.2">
      <c r="A441" s="1186" t="s">
        <v>20</v>
      </c>
      <c r="B441" s="1186" t="s">
        <v>116</v>
      </c>
      <c r="C441" s="1186" t="s">
        <v>41</v>
      </c>
      <c r="D441" s="1186">
        <v>966</v>
      </c>
      <c r="E441" s="1186">
        <v>29</v>
      </c>
      <c r="F441" s="1186">
        <v>463</v>
      </c>
      <c r="G441" s="1186">
        <v>2</v>
      </c>
      <c r="H441" s="1186">
        <v>5</v>
      </c>
      <c r="I441" s="1186">
        <v>5</v>
      </c>
      <c r="J441" s="1186">
        <v>160</v>
      </c>
      <c r="K441" s="1186">
        <v>125</v>
      </c>
      <c r="L441" s="1186">
        <v>48</v>
      </c>
      <c r="M441" s="1186">
        <v>129</v>
      </c>
      <c r="N441" s="1186">
        <v>137800</v>
      </c>
    </row>
    <row r="442" spans="1:14" x14ac:dyDescent="0.2">
      <c r="A442" s="1186" t="s">
        <v>20</v>
      </c>
      <c r="B442" s="1186" t="s">
        <v>116</v>
      </c>
      <c r="C442" s="1186" t="s">
        <v>42</v>
      </c>
      <c r="D442" s="1186">
        <v>2661</v>
      </c>
      <c r="E442" s="1186">
        <v>52</v>
      </c>
      <c r="F442" s="1186">
        <v>939</v>
      </c>
      <c r="G442" s="1186">
        <v>6</v>
      </c>
      <c r="H442" s="1186">
        <v>25</v>
      </c>
      <c r="I442" s="1186">
        <v>10</v>
      </c>
      <c r="J442" s="1186">
        <v>359</v>
      </c>
      <c r="K442" s="1186">
        <v>390</v>
      </c>
      <c r="L442" s="1186">
        <v>97</v>
      </c>
      <c r="M442" s="1186">
        <v>783</v>
      </c>
      <c r="N442" s="1186">
        <v>336280</v>
      </c>
    </row>
    <row r="443" spans="1:14" x14ac:dyDescent="0.2">
      <c r="A443" s="1186" t="s">
        <v>20</v>
      </c>
      <c r="B443" s="1186" t="s">
        <v>116</v>
      </c>
      <c r="C443" s="1186" t="s">
        <v>43</v>
      </c>
      <c r="D443" s="1186">
        <v>7</v>
      </c>
      <c r="E443" s="1186">
        <v>1</v>
      </c>
      <c r="F443" s="1186">
        <v>1</v>
      </c>
      <c r="G443" s="1186"/>
      <c r="H443" s="1186"/>
      <c r="I443" s="1186"/>
      <c r="J443" s="1186">
        <v>2</v>
      </c>
      <c r="K443" s="1186"/>
      <c r="L443" s="1186"/>
      <c r="M443" s="1186">
        <v>3</v>
      </c>
      <c r="N443" s="1186">
        <v>21220</v>
      </c>
    </row>
    <row r="444" spans="1:14" x14ac:dyDescent="0.2">
      <c r="A444" s="1186" t="s">
        <v>20</v>
      </c>
      <c r="B444" s="1186" t="s">
        <v>116</v>
      </c>
      <c r="C444" s="1186" t="s">
        <v>44</v>
      </c>
      <c r="D444" s="1186">
        <v>158</v>
      </c>
      <c r="E444" s="1186">
        <v>3</v>
      </c>
      <c r="F444" s="1186">
        <v>54</v>
      </c>
      <c r="G444" s="1186">
        <v>2</v>
      </c>
      <c r="H444" s="1186">
        <v>7</v>
      </c>
      <c r="I444" s="1186">
        <v>4</v>
      </c>
      <c r="J444" s="1186">
        <v>21</v>
      </c>
      <c r="K444" s="1186">
        <v>35</v>
      </c>
      <c r="L444" s="1186">
        <v>5</v>
      </c>
      <c r="M444" s="1186">
        <v>27</v>
      </c>
      <c r="N444" s="1186">
        <v>145600</v>
      </c>
    </row>
    <row r="445" spans="1:14" x14ac:dyDescent="0.2">
      <c r="A445" s="1186" t="s">
        <v>20</v>
      </c>
      <c r="B445" s="1186" t="s">
        <v>116</v>
      </c>
      <c r="C445" s="1186" t="s">
        <v>45</v>
      </c>
      <c r="D445" s="1186">
        <v>1051</v>
      </c>
      <c r="E445" s="1186">
        <v>84</v>
      </c>
      <c r="F445" s="1186">
        <v>352</v>
      </c>
      <c r="G445" s="1186">
        <v>5</v>
      </c>
      <c r="H445" s="1186">
        <v>5</v>
      </c>
      <c r="I445" s="1186">
        <v>9</v>
      </c>
      <c r="J445" s="1186">
        <v>132</v>
      </c>
      <c r="K445" s="1186">
        <v>140</v>
      </c>
      <c r="L445" s="1186">
        <v>38</v>
      </c>
      <c r="M445" s="1186">
        <v>286</v>
      </c>
      <c r="N445" s="1186">
        <v>173700</v>
      </c>
    </row>
    <row r="446" spans="1:14" x14ac:dyDescent="0.2">
      <c r="A446" s="1186" t="s">
        <v>20</v>
      </c>
      <c r="B446" s="1186" t="s">
        <v>116</v>
      </c>
      <c r="C446" s="1186" t="s">
        <v>46</v>
      </c>
      <c r="D446" s="1186">
        <v>101</v>
      </c>
      <c r="E446" s="1186">
        <v>1</v>
      </c>
      <c r="F446" s="1186">
        <v>43</v>
      </c>
      <c r="G446" s="1186">
        <v>1</v>
      </c>
      <c r="H446" s="1186">
        <v>1</v>
      </c>
      <c r="I446" s="1186"/>
      <c r="J446" s="1186">
        <v>24</v>
      </c>
      <c r="K446" s="1186">
        <v>16</v>
      </c>
      <c r="L446" s="1186">
        <v>3</v>
      </c>
      <c r="M446" s="1186">
        <v>12</v>
      </c>
      <c r="N446" s="1186">
        <v>113700</v>
      </c>
    </row>
    <row r="447" spans="1:14" x14ac:dyDescent="0.2">
      <c r="A447" s="1186" t="s">
        <v>20</v>
      </c>
      <c r="B447" s="1186" t="s">
        <v>116</v>
      </c>
      <c r="C447" s="1186" t="s">
        <v>48</v>
      </c>
      <c r="D447" s="1186">
        <v>571</v>
      </c>
      <c r="E447" s="1186">
        <v>27</v>
      </c>
      <c r="F447" s="1186">
        <v>173</v>
      </c>
      <c r="G447" s="1186"/>
      <c r="H447" s="1186">
        <v>3</v>
      </c>
      <c r="I447" s="1186">
        <v>8</v>
      </c>
      <c r="J447" s="1186">
        <v>139</v>
      </c>
      <c r="K447" s="1186">
        <v>125</v>
      </c>
      <c r="L447" s="1186">
        <v>19</v>
      </c>
      <c r="M447" s="1186">
        <v>77</v>
      </c>
      <c r="N447" s="1186">
        <v>112600</v>
      </c>
    </row>
    <row r="448" spans="1:14" x14ac:dyDescent="0.2">
      <c r="A448" s="1186" t="s">
        <v>20</v>
      </c>
      <c r="B448" s="1186" t="s">
        <v>116</v>
      </c>
      <c r="C448" s="1186" t="s">
        <v>49</v>
      </c>
      <c r="D448" s="1186">
        <v>1861</v>
      </c>
      <c r="E448" s="1186">
        <v>37</v>
      </c>
      <c r="F448" s="1186">
        <v>653</v>
      </c>
      <c r="G448" s="1186">
        <v>13</v>
      </c>
      <c r="H448" s="1186">
        <v>22</v>
      </c>
      <c r="I448" s="1186">
        <v>8</v>
      </c>
      <c r="J448" s="1186">
        <v>195</v>
      </c>
      <c r="K448" s="1186">
        <v>307</v>
      </c>
      <c r="L448" s="1186">
        <v>56</v>
      </c>
      <c r="M448" s="1186">
        <v>570</v>
      </c>
      <c r="N448" s="1186">
        <v>313180</v>
      </c>
    </row>
    <row r="449" spans="1:14" x14ac:dyDescent="0.2">
      <c r="A449" s="1186" t="s">
        <v>20</v>
      </c>
      <c r="B449" s="1186" t="s">
        <v>116</v>
      </c>
      <c r="C449" s="1186" t="s">
        <v>50</v>
      </c>
      <c r="D449" s="1186">
        <v>168</v>
      </c>
      <c r="E449" s="1186">
        <v>8</v>
      </c>
      <c r="F449" s="1186">
        <v>60</v>
      </c>
      <c r="G449" s="1186">
        <v>1</v>
      </c>
      <c r="H449" s="1186">
        <v>2</v>
      </c>
      <c r="I449" s="1186"/>
      <c r="J449" s="1186">
        <v>24</v>
      </c>
      <c r="K449" s="1186">
        <v>29</v>
      </c>
      <c r="L449" s="1186">
        <v>2</v>
      </c>
      <c r="M449" s="1186">
        <v>42</v>
      </c>
      <c r="N449" s="1186">
        <v>89550</v>
      </c>
    </row>
    <row r="450" spans="1:14" x14ac:dyDescent="0.2">
      <c r="A450" s="1186" t="s">
        <v>20</v>
      </c>
      <c r="B450" s="1186" t="s">
        <v>116</v>
      </c>
      <c r="C450" s="1186" t="s">
        <v>51</v>
      </c>
      <c r="D450" s="1186">
        <v>836</v>
      </c>
      <c r="E450" s="1186">
        <v>35</v>
      </c>
      <c r="F450" s="1186">
        <v>322</v>
      </c>
      <c r="G450" s="1186">
        <v>3</v>
      </c>
      <c r="H450" s="1186">
        <v>6</v>
      </c>
      <c r="I450" s="1186">
        <v>8</v>
      </c>
      <c r="J450" s="1186">
        <v>94</v>
      </c>
      <c r="K450" s="1186">
        <v>164</v>
      </c>
      <c r="L450" s="1186">
        <v>33</v>
      </c>
      <c r="M450" s="1186">
        <v>171</v>
      </c>
      <c r="N450" s="1186">
        <v>90800</v>
      </c>
    </row>
    <row r="451" spans="1:14" x14ac:dyDescent="0.2">
      <c r="A451" s="1186" t="s">
        <v>20</v>
      </c>
      <c r="B451" s="1186" t="s">
        <v>116</v>
      </c>
      <c r="C451" s="1186" t="s">
        <v>52</v>
      </c>
      <c r="D451" s="1186">
        <v>823</v>
      </c>
      <c r="E451" s="1186">
        <v>17</v>
      </c>
      <c r="F451" s="1186">
        <v>407</v>
      </c>
      <c r="G451" s="1186">
        <v>1</v>
      </c>
      <c r="H451" s="1186">
        <v>9</v>
      </c>
      <c r="I451" s="1186"/>
      <c r="J451" s="1186">
        <v>96</v>
      </c>
      <c r="K451" s="1186">
        <v>143</v>
      </c>
      <c r="L451" s="1186">
        <v>31</v>
      </c>
      <c r="M451" s="1186">
        <v>119</v>
      </c>
      <c r="N451" s="1186">
        <v>174090</v>
      </c>
    </row>
    <row r="452" spans="1:14" x14ac:dyDescent="0.2">
      <c r="A452" s="1186" t="s">
        <v>13</v>
      </c>
      <c r="B452" s="1186" t="s">
        <v>116</v>
      </c>
      <c r="C452" s="1186" t="s">
        <v>23</v>
      </c>
      <c r="D452" s="1186">
        <v>514</v>
      </c>
      <c r="E452" s="1186">
        <v>23</v>
      </c>
      <c r="F452" s="1186">
        <v>109</v>
      </c>
      <c r="G452" s="1186"/>
      <c r="H452" s="1186">
        <v>14</v>
      </c>
      <c r="I452" s="1186"/>
      <c r="J452" s="1186">
        <v>4</v>
      </c>
      <c r="K452" s="1186">
        <v>177</v>
      </c>
      <c r="L452" s="1186">
        <v>12</v>
      </c>
      <c r="M452" s="1186">
        <v>175</v>
      </c>
      <c r="N452" s="1186">
        <v>222460</v>
      </c>
    </row>
    <row r="453" spans="1:14" x14ac:dyDescent="0.2">
      <c r="A453" s="1186" t="s">
        <v>13</v>
      </c>
      <c r="B453" s="1186" t="s">
        <v>116</v>
      </c>
      <c r="C453" s="1186" t="s">
        <v>24</v>
      </c>
      <c r="D453" s="1186">
        <v>163</v>
      </c>
      <c r="E453" s="1186">
        <v>4</v>
      </c>
      <c r="F453" s="1186">
        <v>60</v>
      </c>
      <c r="G453" s="1186"/>
      <c r="H453" s="1186">
        <v>8</v>
      </c>
      <c r="I453" s="1186">
        <v>2</v>
      </c>
      <c r="J453" s="1186">
        <v>7</v>
      </c>
      <c r="K453" s="1186">
        <v>22</v>
      </c>
      <c r="L453" s="1186"/>
      <c r="M453" s="1186">
        <v>60</v>
      </c>
      <c r="N453" s="1186">
        <v>253650</v>
      </c>
    </row>
    <row r="454" spans="1:14" x14ac:dyDescent="0.2">
      <c r="A454" s="1186" t="s">
        <v>13</v>
      </c>
      <c r="B454" s="1186" t="s">
        <v>116</v>
      </c>
      <c r="C454" s="1186" t="s">
        <v>25</v>
      </c>
      <c r="D454" s="1186">
        <v>126</v>
      </c>
      <c r="E454" s="1186">
        <v>3</v>
      </c>
      <c r="F454" s="1186">
        <v>52</v>
      </c>
      <c r="G454" s="1186">
        <v>7</v>
      </c>
      <c r="H454" s="1186">
        <v>5</v>
      </c>
      <c r="I454" s="1186"/>
      <c r="J454" s="1186">
        <v>15</v>
      </c>
      <c r="K454" s="1186">
        <v>7</v>
      </c>
      <c r="L454" s="1186">
        <v>3</v>
      </c>
      <c r="M454" s="1186">
        <v>34</v>
      </c>
      <c r="N454" s="1186">
        <v>116200</v>
      </c>
    </row>
    <row r="455" spans="1:14" x14ac:dyDescent="0.2">
      <c r="A455" s="1186" t="s">
        <v>13</v>
      </c>
      <c r="B455" s="1186" t="s">
        <v>116</v>
      </c>
      <c r="C455" s="1186" t="s">
        <v>26</v>
      </c>
      <c r="D455" s="1186">
        <v>88</v>
      </c>
      <c r="E455" s="1186"/>
      <c r="F455" s="1186">
        <v>31</v>
      </c>
      <c r="G455" s="1186">
        <v>1</v>
      </c>
      <c r="H455" s="1186">
        <v>1</v>
      </c>
      <c r="I455" s="1186">
        <v>2</v>
      </c>
      <c r="J455" s="1186">
        <v>15</v>
      </c>
      <c r="K455" s="1186">
        <v>14</v>
      </c>
      <c r="L455" s="1186">
        <v>4</v>
      </c>
      <c r="M455" s="1186">
        <v>20</v>
      </c>
      <c r="N455" s="1186">
        <v>88930</v>
      </c>
    </row>
    <row r="456" spans="1:14" x14ac:dyDescent="0.2">
      <c r="A456" s="1186" t="s">
        <v>13</v>
      </c>
      <c r="B456" s="1186" t="s">
        <v>116</v>
      </c>
      <c r="C456" s="1186" t="s">
        <v>619</v>
      </c>
      <c r="D456" s="1186">
        <v>1475</v>
      </c>
      <c r="E456" s="1186">
        <v>43</v>
      </c>
      <c r="F456" s="1186">
        <v>352</v>
      </c>
      <c r="G456" s="1186">
        <v>3</v>
      </c>
      <c r="H456" s="1186">
        <v>13</v>
      </c>
      <c r="I456" s="1186">
        <v>6</v>
      </c>
      <c r="J456" s="1186">
        <v>213</v>
      </c>
      <c r="K456" s="1186">
        <v>392</v>
      </c>
      <c r="L456" s="1186">
        <v>80</v>
      </c>
      <c r="M456" s="1186">
        <v>373</v>
      </c>
      <c r="N456" s="1186">
        <v>477940</v>
      </c>
    </row>
    <row r="457" spans="1:14" x14ac:dyDescent="0.2">
      <c r="A457" s="1186" t="s">
        <v>13</v>
      </c>
      <c r="B457" s="1186" t="s">
        <v>116</v>
      </c>
      <c r="C457" s="1186" t="s">
        <v>27</v>
      </c>
      <c r="D457" s="1186">
        <v>104</v>
      </c>
      <c r="E457" s="1186">
        <v>2</v>
      </c>
      <c r="F457" s="1186">
        <v>29</v>
      </c>
      <c r="G457" s="1186">
        <v>3</v>
      </c>
      <c r="H457" s="1186">
        <v>2</v>
      </c>
      <c r="I457" s="1186"/>
      <c r="J457" s="1186">
        <v>8</v>
      </c>
      <c r="K457" s="1186">
        <v>18</v>
      </c>
      <c r="L457" s="1186">
        <v>4</v>
      </c>
      <c r="M457" s="1186">
        <v>38</v>
      </c>
      <c r="N457" s="1186">
        <v>51500</v>
      </c>
    </row>
    <row r="458" spans="1:14" x14ac:dyDescent="0.2">
      <c r="A458" s="1186" t="s">
        <v>13</v>
      </c>
      <c r="B458" s="1186" t="s">
        <v>116</v>
      </c>
      <c r="C458" s="1186" t="s">
        <v>28</v>
      </c>
      <c r="D458" s="1186">
        <v>94</v>
      </c>
      <c r="E458" s="1186">
        <v>1</v>
      </c>
      <c r="F458" s="1186">
        <v>17</v>
      </c>
      <c r="G458" s="1186"/>
      <c r="H458" s="1186">
        <v>3</v>
      </c>
      <c r="I458" s="1186"/>
      <c r="J458" s="1186">
        <v>2</v>
      </c>
      <c r="K458" s="1186">
        <v>30</v>
      </c>
      <c r="L458" s="1186">
        <v>1</v>
      </c>
      <c r="M458" s="1186">
        <v>40</v>
      </c>
      <c r="N458" s="1186">
        <v>151410</v>
      </c>
    </row>
    <row r="459" spans="1:14" x14ac:dyDescent="0.2">
      <c r="A459" s="1186" t="s">
        <v>13</v>
      </c>
      <c r="B459" s="1186" t="s">
        <v>116</v>
      </c>
      <c r="C459" s="1186" t="s">
        <v>29</v>
      </c>
      <c r="D459" s="1186">
        <v>615</v>
      </c>
      <c r="E459" s="1186">
        <v>17</v>
      </c>
      <c r="F459" s="1186">
        <v>151</v>
      </c>
      <c r="G459" s="1186">
        <v>6</v>
      </c>
      <c r="H459" s="1186">
        <v>7</v>
      </c>
      <c r="I459" s="1186">
        <v>1</v>
      </c>
      <c r="J459" s="1186">
        <v>34</v>
      </c>
      <c r="K459" s="1186">
        <v>187</v>
      </c>
      <c r="L459" s="1186">
        <v>24</v>
      </c>
      <c r="M459" s="1186">
        <v>188</v>
      </c>
      <c r="N459" s="1186">
        <v>147200</v>
      </c>
    </row>
    <row r="460" spans="1:14" x14ac:dyDescent="0.2">
      <c r="A460" s="1186" t="s">
        <v>13</v>
      </c>
      <c r="B460" s="1186" t="s">
        <v>116</v>
      </c>
      <c r="C460" s="1186" t="s">
        <v>30</v>
      </c>
      <c r="D460" s="1186">
        <v>712</v>
      </c>
      <c r="E460" s="1186">
        <v>33</v>
      </c>
      <c r="F460" s="1186">
        <v>152</v>
      </c>
      <c r="G460" s="1186">
        <v>2</v>
      </c>
      <c r="H460" s="1186">
        <v>2</v>
      </c>
      <c r="I460" s="1186">
        <v>7</v>
      </c>
      <c r="J460" s="1186">
        <v>65</v>
      </c>
      <c r="K460" s="1186">
        <v>202</v>
      </c>
      <c r="L460" s="1186">
        <v>40</v>
      </c>
      <c r="M460" s="1186">
        <v>209</v>
      </c>
      <c r="N460" s="1186">
        <v>122690</v>
      </c>
    </row>
    <row r="461" spans="1:14" x14ac:dyDescent="0.2">
      <c r="A461" s="1186" t="s">
        <v>13</v>
      </c>
      <c r="B461" s="1186" t="s">
        <v>116</v>
      </c>
      <c r="C461" s="1186" t="s">
        <v>31</v>
      </c>
      <c r="D461" s="1186">
        <v>180</v>
      </c>
      <c r="E461" s="1186">
        <v>10</v>
      </c>
      <c r="F461" s="1186">
        <v>63</v>
      </c>
      <c r="G461" s="1186">
        <v>2</v>
      </c>
      <c r="H461" s="1186">
        <v>6</v>
      </c>
      <c r="I461" s="1186">
        <v>2</v>
      </c>
      <c r="J461" s="1186">
        <v>18</v>
      </c>
      <c r="K461" s="1186">
        <v>22</v>
      </c>
      <c r="L461" s="1186">
        <v>3</v>
      </c>
      <c r="M461" s="1186">
        <v>54</v>
      </c>
      <c r="N461" s="1186">
        <v>105000</v>
      </c>
    </row>
    <row r="462" spans="1:14" x14ac:dyDescent="0.2">
      <c r="A462" s="1186" t="s">
        <v>13</v>
      </c>
      <c r="B462" s="1186" t="s">
        <v>116</v>
      </c>
      <c r="C462" s="1186" t="s">
        <v>32</v>
      </c>
      <c r="D462" s="1186">
        <v>242</v>
      </c>
      <c r="E462" s="1186">
        <v>5</v>
      </c>
      <c r="F462" s="1186">
        <v>86</v>
      </c>
      <c r="G462" s="1186">
        <v>10</v>
      </c>
      <c r="H462" s="1186">
        <v>3</v>
      </c>
      <c r="I462" s="1186">
        <v>1</v>
      </c>
      <c r="J462" s="1186">
        <v>19</v>
      </c>
      <c r="K462" s="1186">
        <v>30</v>
      </c>
      <c r="L462" s="1186">
        <v>3</v>
      </c>
      <c r="M462" s="1186">
        <v>85</v>
      </c>
      <c r="N462" s="1186">
        <v>99920</v>
      </c>
    </row>
    <row r="463" spans="1:14" x14ac:dyDescent="0.2">
      <c r="A463" s="1186" t="s">
        <v>13</v>
      </c>
      <c r="B463" s="1186" t="s">
        <v>116</v>
      </c>
      <c r="C463" s="1186" t="s">
        <v>33</v>
      </c>
      <c r="D463" s="1186">
        <v>183</v>
      </c>
      <c r="E463" s="1186">
        <v>13</v>
      </c>
      <c r="F463" s="1186">
        <v>55</v>
      </c>
      <c r="G463" s="1186"/>
      <c r="H463" s="1186">
        <v>6</v>
      </c>
      <c r="I463" s="1186">
        <v>2</v>
      </c>
      <c r="J463" s="1186">
        <v>27</v>
      </c>
      <c r="K463" s="1186">
        <v>28</v>
      </c>
      <c r="L463" s="1186">
        <v>4</v>
      </c>
      <c r="M463" s="1186">
        <v>48</v>
      </c>
      <c r="N463" s="1186">
        <v>90810</v>
      </c>
    </row>
    <row r="464" spans="1:14" x14ac:dyDescent="0.2">
      <c r="A464" s="1186" t="s">
        <v>13</v>
      </c>
      <c r="B464" s="1186" t="s">
        <v>116</v>
      </c>
      <c r="C464" s="1186" t="s">
        <v>34</v>
      </c>
      <c r="D464" s="1186">
        <v>478</v>
      </c>
      <c r="E464" s="1186">
        <v>12</v>
      </c>
      <c r="F464" s="1186">
        <v>143</v>
      </c>
      <c r="G464" s="1186">
        <v>3</v>
      </c>
      <c r="H464" s="1186">
        <v>5</v>
      </c>
      <c r="I464" s="1186"/>
      <c r="J464" s="1186">
        <v>65</v>
      </c>
      <c r="K464" s="1186">
        <v>141</v>
      </c>
      <c r="L464" s="1186">
        <v>10</v>
      </c>
      <c r="M464" s="1186">
        <v>99</v>
      </c>
      <c r="N464" s="1186">
        <v>156250</v>
      </c>
    </row>
    <row r="465" spans="1:14" x14ac:dyDescent="0.2">
      <c r="A465" s="1186" t="s">
        <v>13</v>
      </c>
      <c r="B465" s="1186" t="s">
        <v>116</v>
      </c>
      <c r="C465" s="1186" t="s">
        <v>35</v>
      </c>
      <c r="D465" s="1186">
        <v>828</v>
      </c>
      <c r="E465" s="1186">
        <v>25</v>
      </c>
      <c r="F465" s="1186">
        <v>218</v>
      </c>
      <c r="G465" s="1186">
        <v>12</v>
      </c>
      <c r="H465" s="1186">
        <v>28</v>
      </c>
      <c r="I465" s="1186">
        <v>2</v>
      </c>
      <c r="J465" s="1186">
        <v>49</v>
      </c>
      <c r="K465" s="1186">
        <v>190</v>
      </c>
      <c r="L465" s="1186">
        <v>11</v>
      </c>
      <c r="M465" s="1186">
        <v>293</v>
      </c>
      <c r="N465" s="1186">
        <v>365300</v>
      </c>
    </row>
    <row r="466" spans="1:14" x14ac:dyDescent="0.2">
      <c r="A466" s="1186" t="s">
        <v>13</v>
      </c>
      <c r="B466" s="1186" t="s">
        <v>116</v>
      </c>
      <c r="C466" s="1186" t="s">
        <v>36</v>
      </c>
      <c r="D466" s="1186">
        <v>2664</v>
      </c>
      <c r="E466" s="1186">
        <v>110</v>
      </c>
      <c r="F466" s="1186">
        <v>405</v>
      </c>
      <c r="G466" s="1186">
        <v>3</v>
      </c>
      <c r="H466" s="1186">
        <v>37</v>
      </c>
      <c r="I466" s="1186">
        <v>8</v>
      </c>
      <c r="J466" s="1186">
        <v>437</v>
      </c>
      <c r="K466" s="1186">
        <v>829</v>
      </c>
      <c r="L466" s="1186">
        <v>124</v>
      </c>
      <c r="M466" s="1186">
        <v>711</v>
      </c>
      <c r="N466" s="1186">
        <v>593060</v>
      </c>
    </row>
    <row r="467" spans="1:14" x14ac:dyDescent="0.2">
      <c r="A467" s="1186" t="s">
        <v>13</v>
      </c>
      <c r="B467" s="1186" t="s">
        <v>116</v>
      </c>
      <c r="C467" s="1186" t="s">
        <v>37</v>
      </c>
      <c r="D467" s="1186">
        <v>288</v>
      </c>
      <c r="E467" s="1186">
        <v>9</v>
      </c>
      <c r="F467" s="1186">
        <v>147</v>
      </c>
      <c r="G467" s="1186">
        <v>2</v>
      </c>
      <c r="H467" s="1186">
        <v>6</v>
      </c>
      <c r="I467" s="1186">
        <v>1</v>
      </c>
      <c r="J467" s="1186">
        <v>34</v>
      </c>
      <c r="K467" s="1186">
        <v>22</v>
      </c>
      <c r="L467" s="1186">
        <v>6</v>
      </c>
      <c r="M467" s="1186">
        <v>61</v>
      </c>
      <c r="N467" s="1186">
        <v>232730</v>
      </c>
    </row>
    <row r="468" spans="1:14" x14ac:dyDescent="0.2">
      <c r="A468" s="1186" t="s">
        <v>13</v>
      </c>
      <c r="B468" s="1186" t="s">
        <v>116</v>
      </c>
      <c r="C468" s="1186" t="s">
        <v>38</v>
      </c>
      <c r="D468" s="1186">
        <v>638</v>
      </c>
      <c r="E468" s="1186">
        <v>49</v>
      </c>
      <c r="F468" s="1186">
        <v>191</v>
      </c>
      <c r="G468" s="1186">
        <v>2</v>
      </c>
      <c r="H468" s="1186">
        <v>12</v>
      </c>
      <c r="I468" s="1186">
        <v>2</v>
      </c>
      <c r="J468" s="1186">
        <v>87</v>
      </c>
      <c r="K468" s="1186">
        <v>122</v>
      </c>
      <c r="L468" s="1186">
        <v>11</v>
      </c>
      <c r="M468" s="1186">
        <v>162</v>
      </c>
      <c r="N468" s="1186">
        <v>81220</v>
      </c>
    </row>
    <row r="469" spans="1:14" x14ac:dyDescent="0.2">
      <c r="A469" s="1186" t="s">
        <v>13</v>
      </c>
      <c r="B469" s="1186" t="s">
        <v>116</v>
      </c>
      <c r="C469" s="1186" t="s">
        <v>39</v>
      </c>
      <c r="D469" s="1186">
        <v>345</v>
      </c>
      <c r="E469" s="1186">
        <v>13</v>
      </c>
      <c r="F469" s="1186">
        <v>71</v>
      </c>
      <c r="G469" s="1186">
        <v>5</v>
      </c>
      <c r="H469" s="1186">
        <v>3</v>
      </c>
      <c r="I469" s="1186">
        <v>2</v>
      </c>
      <c r="J469" s="1186">
        <v>96</v>
      </c>
      <c r="K469" s="1186">
        <v>52</v>
      </c>
      <c r="L469" s="1186">
        <v>12</v>
      </c>
      <c r="M469" s="1186">
        <v>91</v>
      </c>
      <c r="N469" s="1186">
        <v>83450</v>
      </c>
    </row>
    <row r="470" spans="1:14" x14ac:dyDescent="0.2">
      <c r="A470" s="1186" t="s">
        <v>13</v>
      </c>
      <c r="B470" s="1186" t="s">
        <v>116</v>
      </c>
      <c r="C470" s="1186" t="s">
        <v>40</v>
      </c>
      <c r="D470" s="1186">
        <v>130</v>
      </c>
      <c r="E470" s="1186">
        <v>9</v>
      </c>
      <c r="F470" s="1186">
        <v>78</v>
      </c>
      <c r="G470" s="1186">
        <v>2</v>
      </c>
      <c r="H470" s="1186"/>
      <c r="I470" s="1186">
        <v>2</v>
      </c>
      <c r="J470" s="1186">
        <v>5</v>
      </c>
      <c r="K470" s="1186">
        <v>9</v>
      </c>
      <c r="L470" s="1186">
        <v>2</v>
      </c>
      <c r="M470" s="1186">
        <v>23</v>
      </c>
      <c r="N470" s="1186">
        <v>93470</v>
      </c>
    </row>
    <row r="471" spans="1:14" x14ac:dyDescent="0.2">
      <c r="A471" s="1186" t="s">
        <v>13</v>
      </c>
      <c r="B471" s="1186" t="s">
        <v>116</v>
      </c>
      <c r="C471" s="1186" t="s">
        <v>295</v>
      </c>
      <c r="D471" s="1186">
        <v>6</v>
      </c>
      <c r="E471" s="1186">
        <v>1</v>
      </c>
      <c r="F471" s="1186">
        <v>2</v>
      </c>
      <c r="G471" s="1186"/>
      <c r="H471" s="1186"/>
      <c r="I471" s="1186"/>
      <c r="J471" s="1186"/>
      <c r="K471" s="1186"/>
      <c r="L471" s="1186"/>
      <c r="M471" s="1186">
        <v>3</v>
      </c>
      <c r="N471" s="1186">
        <v>27690</v>
      </c>
    </row>
    <row r="472" spans="1:14" x14ac:dyDescent="0.2">
      <c r="A472" s="1186" t="s">
        <v>13</v>
      </c>
      <c r="B472" s="1186" t="s">
        <v>116</v>
      </c>
      <c r="C472" s="1186" t="s">
        <v>41</v>
      </c>
      <c r="D472" s="1186">
        <v>609</v>
      </c>
      <c r="E472" s="1186">
        <v>15</v>
      </c>
      <c r="F472" s="1186">
        <v>161</v>
      </c>
      <c r="G472" s="1186">
        <v>1</v>
      </c>
      <c r="H472" s="1186">
        <v>5</v>
      </c>
      <c r="I472" s="1186">
        <v>4</v>
      </c>
      <c r="J472" s="1186">
        <v>159</v>
      </c>
      <c r="K472" s="1186">
        <v>151</v>
      </c>
      <c r="L472" s="1186">
        <v>19</v>
      </c>
      <c r="M472" s="1186">
        <v>94</v>
      </c>
      <c r="N472" s="1186">
        <v>138090</v>
      </c>
    </row>
    <row r="473" spans="1:14" x14ac:dyDescent="0.2">
      <c r="A473" s="1186" t="s">
        <v>13</v>
      </c>
      <c r="B473" s="1186" t="s">
        <v>116</v>
      </c>
      <c r="C473" s="1186" t="s">
        <v>42</v>
      </c>
      <c r="D473" s="1186">
        <v>1903</v>
      </c>
      <c r="E473" s="1186">
        <v>38</v>
      </c>
      <c r="F473" s="1186">
        <v>487</v>
      </c>
      <c r="G473" s="1186">
        <v>1</v>
      </c>
      <c r="H473" s="1186">
        <v>22</v>
      </c>
      <c r="I473" s="1186">
        <v>13</v>
      </c>
      <c r="J473" s="1186">
        <v>275</v>
      </c>
      <c r="K473" s="1186">
        <v>376</v>
      </c>
      <c r="L473" s="1186">
        <v>79</v>
      </c>
      <c r="M473" s="1186">
        <v>612</v>
      </c>
      <c r="N473" s="1186">
        <v>337720</v>
      </c>
    </row>
    <row r="474" spans="1:14" x14ac:dyDescent="0.2">
      <c r="A474" s="1186" t="s">
        <v>13</v>
      </c>
      <c r="B474" s="1186" t="s">
        <v>116</v>
      </c>
      <c r="C474" s="1186" t="s">
        <v>44</v>
      </c>
      <c r="D474" s="1186">
        <v>131</v>
      </c>
      <c r="E474" s="1186">
        <v>5</v>
      </c>
      <c r="F474" s="1186">
        <v>44</v>
      </c>
      <c r="G474" s="1186">
        <v>1</v>
      </c>
      <c r="H474" s="1186">
        <v>5</v>
      </c>
      <c r="I474" s="1186"/>
      <c r="J474" s="1186">
        <v>7</v>
      </c>
      <c r="K474" s="1186">
        <v>33</v>
      </c>
      <c r="L474" s="1186">
        <v>5</v>
      </c>
      <c r="M474" s="1186">
        <v>31</v>
      </c>
      <c r="N474" s="1186">
        <v>146850</v>
      </c>
    </row>
    <row r="475" spans="1:14" x14ac:dyDescent="0.2">
      <c r="A475" s="1186" t="s">
        <v>13</v>
      </c>
      <c r="B475" s="1186" t="s">
        <v>116</v>
      </c>
      <c r="C475" s="1186" t="s">
        <v>45</v>
      </c>
      <c r="D475" s="1186">
        <v>721</v>
      </c>
      <c r="E475" s="1186">
        <v>48</v>
      </c>
      <c r="F475" s="1186">
        <v>183</v>
      </c>
      <c r="G475" s="1186">
        <v>4</v>
      </c>
      <c r="H475" s="1186">
        <v>11</v>
      </c>
      <c r="I475" s="1186">
        <v>4</v>
      </c>
      <c r="J475" s="1186">
        <v>110</v>
      </c>
      <c r="K475" s="1186">
        <v>141</v>
      </c>
      <c r="L475" s="1186">
        <v>50</v>
      </c>
      <c r="M475" s="1186">
        <v>170</v>
      </c>
      <c r="N475" s="1186">
        <v>174700</v>
      </c>
    </row>
    <row r="476" spans="1:14" x14ac:dyDescent="0.2">
      <c r="A476" s="1186" t="s">
        <v>13</v>
      </c>
      <c r="B476" s="1186" t="s">
        <v>116</v>
      </c>
      <c r="C476" s="1186" t="s">
        <v>46</v>
      </c>
      <c r="D476" s="1186">
        <v>89</v>
      </c>
      <c r="E476" s="1186">
        <v>2</v>
      </c>
      <c r="F476" s="1186">
        <v>36</v>
      </c>
      <c r="G476" s="1186">
        <v>1</v>
      </c>
      <c r="H476" s="1186"/>
      <c r="I476" s="1186"/>
      <c r="J476" s="1186">
        <v>16</v>
      </c>
      <c r="K476" s="1186">
        <v>17</v>
      </c>
      <c r="L476" s="1186"/>
      <c r="M476" s="1186">
        <v>17</v>
      </c>
      <c r="N476" s="1186">
        <v>113880</v>
      </c>
    </row>
    <row r="477" spans="1:14" x14ac:dyDescent="0.2">
      <c r="A477" s="1186" t="s">
        <v>13</v>
      </c>
      <c r="B477" s="1186" t="s">
        <v>116</v>
      </c>
      <c r="C477" s="1186" t="s">
        <v>47</v>
      </c>
      <c r="D477" s="1186">
        <v>4</v>
      </c>
      <c r="E477" s="1186">
        <v>1</v>
      </c>
      <c r="F477" s="1186"/>
      <c r="G477" s="1186"/>
      <c r="H477" s="1186"/>
      <c r="I477" s="1186">
        <v>1</v>
      </c>
      <c r="J477" s="1186"/>
      <c r="K477" s="1186"/>
      <c r="L477" s="1186"/>
      <c r="M477" s="1186">
        <v>2</v>
      </c>
      <c r="N477" s="1186">
        <v>23240</v>
      </c>
    </row>
    <row r="478" spans="1:14" x14ac:dyDescent="0.2">
      <c r="A478" s="1186" t="s">
        <v>13</v>
      </c>
      <c r="B478" s="1186" t="s">
        <v>116</v>
      </c>
      <c r="C478" s="1186" t="s">
        <v>48</v>
      </c>
      <c r="D478" s="1186">
        <v>328</v>
      </c>
      <c r="E478" s="1186">
        <v>17</v>
      </c>
      <c r="F478" s="1186">
        <v>84</v>
      </c>
      <c r="G478" s="1186">
        <v>2</v>
      </c>
      <c r="H478" s="1186">
        <v>4</v>
      </c>
      <c r="I478" s="1186">
        <v>2</v>
      </c>
      <c r="J478" s="1186">
        <v>64</v>
      </c>
      <c r="K478" s="1186">
        <v>79</v>
      </c>
      <c r="L478" s="1186">
        <v>14</v>
      </c>
      <c r="M478" s="1186">
        <v>62</v>
      </c>
      <c r="N478" s="1186">
        <v>112980</v>
      </c>
    </row>
    <row r="479" spans="1:14" x14ac:dyDescent="0.2">
      <c r="A479" s="1186" t="s">
        <v>13</v>
      </c>
      <c r="B479" s="1186" t="s">
        <v>116</v>
      </c>
      <c r="C479" s="1186" t="s">
        <v>49</v>
      </c>
      <c r="D479" s="1186">
        <v>1232</v>
      </c>
      <c r="E479" s="1186">
        <v>25</v>
      </c>
      <c r="F479" s="1186">
        <v>321</v>
      </c>
      <c r="G479" s="1186">
        <v>4</v>
      </c>
      <c r="H479" s="1186">
        <v>13</v>
      </c>
      <c r="I479" s="1186">
        <v>6</v>
      </c>
      <c r="J479" s="1186">
        <v>119</v>
      </c>
      <c r="K479" s="1186">
        <v>299</v>
      </c>
      <c r="L479" s="1186">
        <v>65</v>
      </c>
      <c r="M479" s="1186">
        <v>380</v>
      </c>
      <c r="N479" s="1186">
        <v>313900</v>
      </c>
    </row>
    <row r="480" spans="1:14" x14ac:dyDescent="0.2">
      <c r="A480" s="1186" t="s">
        <v>13</v>
      </c>
      <c r="B480" s="1186" t="s">
        <v>116</v>
      </c>
      <c r="C480" s="1186" t="s">
        <v>50</v>
      </c>
      <c r="D480" s="1186">
        <v>128</v>
      </c>
      <c r="E480" s="1186">
        <v>4</v>
      </c>
      <c r="F480" s="1186">
        <v>28</v>
      </c>
      <c r="G480" s="1186">
        <v>3</v>
      </c>
      <c r="H480" s="1186">
        <v>2</v>
      </c>
      <c r="I480" s="1186">
        <v>1</v>
      </c>
      <c r="J480" s="1186">
        <v>26</v>
      </c>
      <c r="K480" s="1186">
        <v>27</v>
      </c>
      <c r="L480" s="1186">
        <v>3</v>
      </c>
      <c r="M480" s="1186">
        <v>34</v>
      </c>
      <c r="N480" s="1186">
        <v>90330</v>
      </c>
    </row>
    <row r="481" spans="1:14" x14ac:dyDescent="0.2">
      <c r="A481" s="1186" t="s">
        <v>13</v>
      </c>
      <c r="B481" s="1186" t="s">
        <v>116</v>
      </c>
      <c r="C481" s="1186" t="s">
        <v>51</v>
      </c>
      <c r="D481" s="1186">
        <v>497</v>
      </c>
      <c r="E481" s="1186">
        <v>41</v>
      </c>
      <c r="F481" s="1186">
        <v>125</v>
      </c>
      <c r="G481" s="1186">
        <v>2</v>
      </c>
      <c r="H481" s="1186">
        <v>5</v>
      </c>
      <c r="I481" s="1186">
        <v>5</v>
      </c>
      <c r="J481" s="1186">
        <v>61</v>
      </c>
      <c r="K481" s="1186">
        <v>109</v>
      </c>
      <c r="L481" s="1186">
        <v>21</v>
      </c>
      <c r="M481" s="1186">
        <v>128</v>
      </c>
      <c r="N481" s="1186">
        <v>90610</v>
      </c>
    </row>
    <row r="482" spans="1:14" x14ac:dyDescent="0.2">
      <c r="A482" s="1186" t="s">
        <v>13</v>
      </c>
      <c r="B482" s="1186" t="s">
        <v>116</v>
      </c>
      <c r="C482" s="1186" t="s">
        <v>52</v>
      </c>
      <c r="D482" s="1186">
        <v>683</v>
      </c>
      <c r="E482" s="1186">
        <v>9</v>
      </c>
      <c r="F482" s="1186">
        <v>266</v>
      </c>
      <c r="G482" s="1186">
        <v>4</v>
      </c>
      <c r="H482" s="1186">
        <v>3</v>
      </c>
      <c r="I482" s="1186">
        <v>1</v>
      </c>
      <c r="J482" s="1186">
        <v>62</v>
      </c>
      <c r="K482" s="1186">
        <v>168</v>
      </c>
      <c r="L482" s="1186">
        <v>15</v>
      </c>
      <c r="M482" s="1186">
        <v>155</v>
      </c>
      <c r="N482" s="1186">
        <v>175300</v>
      </c>
    </row>
    <row r="483" spans="1:14" x14ac:dyDescent="0.2">
      <c r="A483" s="1186" t="s">
        <v>15</v>
      </c>
      <c r="B483" s="1186" t="s">
        <v>116</v>
      </c>
      <c r="C483" s="1186" t="s">
        <v>23</v>
      </c>
      <c r="D483" s="1186">
        <v>347</v>
      </c>
      <c r="E483" s="1186">
        <v>23</v>
      </c>
      <c r="F483" s="1186">
        <v>53</v>
      </c>
      <c r="G483" s="1186"/>
      <c r="H483" s="1186">
        <v>6</v>
      </c>
      <c r="I483" s="1186"/>
      <c r="J483" s="1186">
        <v>4</v>
      </c>
      <c r="K483" s="1186">
        <v>117</v>
      </c>
      <c r="L483" s="1186">
        <v>18</v>
      </c>
      <c r="M483" s="1186">
        <v>126</v>
      </c>
      <c r="N483" s="1186">
        <v>224910</v>
      </c>
    </row>
    <row r="484" spans="1:14" x14ac:dyDescent="0.2">
      <c r="A484" s="1186" t="s">
        <v>15</v>
      </c>
      <c r="B484" s="1186" t="s">
        <v>116</v>
      </c>
      <c r="C484" s="1186" t="s">
        <v>24</v>
      </c>
      <c r="D484" s="1186">
        <v>120</v>
      </c>
      <c r="E484" s="1186">
        <v>5</v>
      </c>
      <c r="F484" s="1186">
        <v>21</v>
      </c>
      <c r="G484" s="1186"/>
      <c r="H484" s="1186">
        <v>5</v>
      </c>
      <c r="I484" s="1186"/>
      <c r="J484" s="1186">
        <v>2</v>
      </c>
      <c r="K484" s="1186">
        <v>28</v>
      </c>
      <c r="L484" s="1186">
        <v>9</v>
      </c>
      <c r="M484" s="1186">
        <v>50</v>
      </c>
      <c r="N484" s="1186">
        <v>255560</v>
      </c>
    </row>
    <row r="485" spans="1:14" x14ac:dyDescent="0.2">
      <c r="A485" s="1186" t="s">
        <v>15</v>
      </c>
      <c r="B485" s="1186" t="s">
        <v>116</v>
      </c>
      <c r="C485" s="1186" t="s">
        <v>25</v>
      </c>
      <c r="D485" s="1186">
        <v>86</v>
      </c>
      <c r="E485" s="1186">
        <v>1</v>
      </c>
      <c r="F485" s="1186">
        <v>32</v>
      </c>
      <c r="G485" s="1186">
        <v>4</v>
      </c>
      <c r="H485" s="1186">
        <v>1</v>
      </c>
      <c r="I485" s="1186"/>
      <c r="J485" s="1186">
        <v>15</v>
      </c>
      <c r="K485" s="1186">
        <v>17</v>
      </c>
      <c r="L485" s="1186">
        <v>6</v>
      </c>
      <c r="M485" s="1186">
        <v>10</v>
      </c>
      <c r="N485" s="1186">
        <v>116220</v>
      </c>
    </row>
    <row r="486" spans="1:14" x14ac:dyDescent="0.2">
      <c r="A486" s="1186" t="s">
        <v>15</v>
      </c>
      <c r="B486" s="1186" t="s">
        <v>116</v>
      </c>
      <c r="C486" s="1186" t="s">
        <v>26</v>
      </c>
      <c r="D486" s="1186">
        <v>85</v>
      </c>
      <c r="E486" s="1186">
        <v>2</v>
      </c>
      <c r="F486" s="1186">
        <v>41</v>
      </c>
      <c r="G486" s="1186">
        <v>1</v>
      </c>
      <c r="H486" s="1186"/>
      <c r="I486" s="1186"/>
      <c r="J486" s="1186">
        <v>9</v>
      </c>
      <c r="K486" s="1186">
        <v>17</v>
      </c>
      <c r="L486" s="1186"/>
      <c r="M486" s="1186">
        <v>15</v>
      </c>
      <c r="N486" s="1186">
        <v>86910</v>
      </c>
    </row>
    <row r="487" spans="1:14" x14ac:dyDescent="0.2">
      <c r="A487" s="1186" t="s">
        <v>15</v>
      </c>
      <c r="B487" s="1186" t="s">
        <v>116</v>
      </c>
      <c r="C487" s="1186" t="s">
        <v>619</v>
      </c>
      <c r="D487" s="1186">
        <v>952</v>
      </c>
      <c r="E487" s="1186">
        <v>12</v>
      </c>
      <c r="F487" s="1186">
        <v>179</v>
      </c>
      <c r="G487" s="1186">
        <v>1</v>
      </c>
      <c r="H487" s="1186">
        <v>11</v>
      </c>
      <c r="I487" s="1186">
        <v>2</v>
      </c>
      <c r="J487" s="1186">
        <v>196</v>
      </c>
      <c r="K487" s="1186">
        <v>297</v>
      </c>
      <c r="L487" s="1186">
        <v>81</v>
      </c>
      <c r="M487" s="1186">
        <v>173</v>
      </c>
      <c r="N487" s="1186">
        <v>482630</v>
      </c>
    </row>
    <row r="488" spans="1:14" x14ac:dyDescent="0.2">
      <c r="A488" s="1186" t="s">
        <v>15</v>
      </c>
      <c r="B488" s="1186" t="s">
        <v>116</v>
      </c>
      <c r="C488" s="1186" t="s">
        <v>27</v>
      </c>
      <c r="D488" s="1186">
        <v>86</v>
      </c>
      <c r="E488" s="1186">
        <v>2</v>
      </c>
      <c r="F488" s="1186">
        <v>20</v>
      </c>
      <c r="G488" s="1186">
        <v>3</v>
      </c>
      <c r="H488" s="1186">
        <v>5</v>
      </c>
      <c r="I488" s="1186"/>
      <c r="J488" s="1186">
        <v>9</v>
      </c>
      <c r="K488" s="1186">
        <v>25</v>
      </c>
      <c r="L488" s="1186">
        <v>3</v>
      </c>
      <c r="M488" s="1186">
        <v>19</v>
      </c>
      <c r="N488" s="1186">
        <v>51280</v>
      </c>
    </row>
    <row r="489" spans="1:14" x14ac:dyDescent="0.2">
      <c r="A489" s="1186" t="s">
        <v>15</v>
      </c>
      <c r="B489" s="1186" t="s">
        <v>116</v>
      </c>
      <c r="C489" s="1186" t="s">
        <v>28</v>
      </c>
      <c r="D489" s="1186">
        <v>77</v>
      </c>
      <c r="E489" s="1186">
        <v>3</v>
      </c>
      <c r="F489" s="1186">
        <v>22</v>
      </c>
      <c r="G489" s="1186"/>
      <c r="H489" s="1186">
        <v>1</v>
      </c>
      <c r="I489" s="1186">
        <v>1</v>
      </c>
      <c r="J489" s="1186">
        <v>2</v>
      </c>
      <c r="K489" s="1186">
        <v>17</v>
      </c>
      <c r="L489" s="1186">
        <v>3</v>
      </c>
      <c r="M489" s="1186">
        <v>28</v>
      </c>
      <c r="N489" s="1186">
        <v>150840</v>
      </c>
    </row>
    <row r="490" spans="1:14" x14ac:dyDescent="0.2">
      <c r="A490" s="1186" t="s">
        <v>15</v>
      </c>
      <c r="B490" s="1186" t="s">
        <v>116</v>
      </c>
      <c r="C490" s="1186" t="s">
        <v>29</v>
      </c>
      <c r="D490" s="1186">
        <v>365</v>
      </c>
      <c r="E490" s="1186">
        <v>6</v>
      </c>
      <c r="F490" s="1186">
        <v>58</v>
      </c>
      <c r="G490" s="1186">
        <v>1</v>
      </c>
      <c r="H490" s="1186">
        <v>5</v>
      </c>
      <c r="I490" s="1186">
        <v>1</v>
      </c>
      <c r="J490" s="1186">
        <v>45</v>
      </c>
      <c r="K490" s="1186">
        <v>126</v>
      </c>
      <c r="L490" s="1186">
        <v>23</v>
      </c>
      <c r="M490" s="1186">
        <v>100</v>
      </c>
      <c r="N490" s="1186">
        <v>147780</v>
      </c>
    </row>
    <row r="491" spans="1:14" x14ac:dyDescent="0.2">
      <c r="A491" s="1186" t="s">
        <v>15</v>
      </c>
      <c r="B491" s="1186" t="s">
        <v>116</v>
      </c>
      <c r="C491" s="1186" t="s">
        <v>30</v>
      </c>
      <c r="D491" s="1186">
        <v>642</v>
      </c>
      <c r="E491" s="1186">
        <v>15</v>
      </c>
      <c r="F491" s="1186">
        <v>165</v>
      </c>
      <c r="G491" s="1186">
        <v>4</v>
      </c>
      <c r="H491" s="1186">
        <v>7</v>
      </c>
      <c r="I491" s="1186">
        <v>3</v>
      </c>
      <c r="J491" s="1186">
        <v>85</v>
      </c>
      <c r="K491" s="1186">
        <v>163</v>
      </c>
      <c r="L491" s="1186">
        <v>30</v>
      </c>
      <c r="M491" s="1186">
        <v>170</v>
      </c>
      <c r="N491" s="1186">
        <v>122730</v>
      </c>
    </row>
    <row r="492" spans="1:14" x14ac:dyDescent="0.2">
      <c r="A492" s="1186" t="s">
        <v>15</v>
      </c>
      <c r="B492" s="1186" t="s">
        <v>116</v>
      </c>
      <c r="C492" s="1186" t="s">
        <v>31</v>
      </c>
      <c r="D492" s="1186">
        <v>130</v>
      </c>
      <c r="E492" s="1186">
        <v>5</v>
      </c>
      <c r="F492" s="1186">
        <v>22</v>
      </c>
      <c r="G492" s="1186"/>
      <c r="H492" s="1186">
        <v>4</v>
      </c>
      <c r="I492" s="1186">
        <v>1</v>
      </c>
      <c r="J492" s="1186">
        <v>20</v>
      </c>
      <c r="K492" s="1186">
        <v>29</v>
      </c>
      <c r="L492" s="1186">
        <v>6</v>
      </c>
      <c r="M492" s="1186">
        <v>43</v>
      </c>
      <c r="N492" s="1186">
        <v>105880</v>
      </c>
    </row>
    <row r="493" spans="1:14" x14ac:dyDescent="0.2">
      <c r="A493" s="1186" t="s">
        <v>15</v>
      </c>
      <c r="B493" s="1186" t="s">
        <v>116</v>
      </c>
      <c r="C493" s="1186" t="s">
        <v>32</v>
      </c>
      <c r="D493" s="1186">
        <v>106</v>
      </c>
      <c r="E493" s="1186">
        <v>2</v>
      </c>
      <c r="F493" s="1186">
        <v>22</v>
      </c>
      <c r="G493" s="1186">
        <v>3</v>
      </c>
      <c r="H493" s="1186">
        <v>2</v>
      </c>
      <c r="I493" s="1186"/>
      <c r="J493" s="1186">
        <v>29</v>
      </c>
      <c r="K493" s="1186">
        <v>11</v>
      </c>
      <c r="L493" s="1186">
        <v>9</v>
      </c>
      <c r="M493" s="1186">
        <v>28</v>
      </c>
      <c r="N493" s="1186">
        <v>100860</v>
      </c>
    </row>
    <row r="494" spans="1:14" x14ac:dyDescent="0.2">
      <c r="A494" s="1186" t="s">
        <v>15</v>
      </c>
      <c r="B494" s="1186" t="s">
        <v>116</v>
      </c>
      <c r="C494" s="1186" t="s">
        <v>33</v>
      </c>
      <c r="D494" s="1186">
        <v>165</v>
      </c>
      <c r="E494" s="1186">
        <v>9</v>
      </c>
      <c r="F494" s="1186">
        <v>38</v>
      </c>
      <c r="G494" s="1186"/>
      <c r="H494" s="1186">
        <v>2</v>
      </c>
      <c r="I494" s="1186">
        <v>2</v>
      </c>
      <c r="J494" s="1186">
        <v>26</v>
      </c>
      <c r="K494" s="1186">
        <v>33</v>
      </c>
      <c r="L494" s="1186">
        <v>10</v>
      </c>
      <c r="M494" s="1186">
        <v>45</v>
      </c>
      <c r="N494" s="1186">
        <v>91040</v>
      </c>
    </row>
    <row r="495" spans="1:14" x14ac:dyDescent="0.2">
      <c r="A495" s="1186" t="s">
        <v>15</v>
      </c>
      <c r="B495" s="1186" t="s">
        <v>116</v>
      </c>
      <c r="C495" s="1186" t="s">
        <v>34</v>
      </c>
      <c r="D495" s="1186">
        <v>323</v>
      </c>
      <c r="E495" s="1186">
        <v>1</v>
      </c>
      <c r="F495" s="1186">
        <v>92</v>
      </c>
      <c r="G495" s="1186"/>
      <c r="H495" s="1186">
        <v>6</v>
      </c>
      <c r="I495" s="1186"/>
      <c r="J495" s="1186">
        <v>78</v>
      </c>
      <c r="K495" s="1186">
        <v>74</v>
      </c>
      <c r="L495" s="1186">
        <v>12</v>
      </c>
      <c r="M495" s="1186">
        <v>60</v>
      </c>
      <c r="N495" s="1186">
        <v>156800</v>
      </c>
    </row>
    <row r="496" spans="1:14" x14ac:dyDescent="0.2">
      <c r="A496" s="1186" t="s">
        <v>15</v>
      </c>
      <c r="B496" s="1186" t="s">
        <v>116</v>
      </c>
      <c r="C496" s="1186" t="s">
        <v>35</v>
      </c>
      <c r="D496" s="1186">
        <v>563</v>
      </c>
      <c r="E496" s="1186">
        <v>14</v>
      </c>
      <c r="F496" s="1186">
        <v>93</v>
      </c>
      <c r="G496" s="1186">
        <v>4</v>
      </c>
      <c r="H496" s="1186">
        <v>8</v>
      </c>
      <c r="I496" s="1186">
        <v>4</v>
      </c>
      <c r="J496" s="1186">
        <v>5</v>
      </c>
      <c r="K496" s="1186">
        <v>160</v>
      </c>
      <c r="L496" s="1186">
        <v>20</v>
      </c>
      <c r="M496" s="1186">
        <v>255</v>
      </c>
      <c r="N496" s="1186">
        <v>366210</v>
      </c>
    </row>
    <row r="497" spans="1:14" x14ac:dyDescent="0.2">
      <c r="A497" s="1186" t="s">
        <v>15</v>
      </c>
      <c r="B497" s="1186" t="s">
        <v>116</v>
      </c>
      <c r="C497" s="1186" t="s">
        <v>36</v>
      </c>
      <c r="D497" s="1186">
        <v>2288</v>
      </c>
      <c r="E497" s="1186">
        <v>103</v>
      </c>
      <c r="F497" s="1186">
        <v>354</v>
      </c>
      <c r="G497" s="1186">
        <v>3</v>
      </c>
      <c r="H497" s="1186">
        <v>32</v>
      </c>
      <c r="I497" s="1186">
        <v>11</v>
      </c>
      <c r="J497" s="1186">
        <v>314</v>
      </c>
      <c r="K497" s="1186">
        <v>710</v>
      </c>
      <c r="L497" s="1186">
        <v>92</v>
      </c>
      <c r="M497" s="1186">
        <v>669</v>
      </c>
      <c r="N497" s="1186">
        <v>595070</v>
      </c>
    </row>
    <row r="498" spans="1:14" x14ac:dyDescent="0.2">
      <c r="A498" s="1186" t="s">
        <v>15</v>
      </c>
      <c r="B498" s="1186" t="s">
        <v>116</v>
      </c>
      <c r="C498" s="1186" t="s">
        <v>37</v>
      </c>
      <c r="D498" s="1186">
        <v>160</v>
      </c>
      <c r="E498" s="1186">
        <v>4</v>
      </c>
      <c r="F498" s="1186">
        <v>72</v>
      </c>
      <c r="G498" s="1186"/>
      <c r="H498" s="1186">
        <v>2</v>
      </c>
      <c r="I498" s="1186">
        <v>3</v>
      </c>
      <c r="J498" s="1186">
        <v>24</v>
      </c>
      <c r="K498" s="1186">
        <v>23</v>
      </c>
      <c r="L498" s="1186">
        <v>2</v>
      </c>
      <c r="M498" s="1186">
        <v>30</v>
      </c>
      <c r="N498" s="1186">
        <v>232890</v>
      </c>
    </row>
    <row r="499" spans="1:14" x14ac:dyDescent="0.2">
      <c r="A499" s="1186" t="s">
        <v>15</v>
      </c>
      <c r="B499" s="1186" t="s">
        <v>116</v>
      </c>
      <c r="C499" s="1186" t="s">
        <v>38</v>
      </c>
      <c r="D499" s="1186">
        <v>490</v>
      </c>
      <c r="E499" s="1186">
        <v>30</v>
      </c>
      <c r="F499" s="1186">
        <v>147</v>
      </c>
      <c r="G499" s="1186"/>
      <c r="H499" s="1186">
        <v>5</v>
      </c>
      <c r="I499" s="1186"/>
      <c r="J499" s="1186">
        <v>80</v>
      </c>
      <c r="K499" s="1186">
        <v>76</v>
      </c>
      <c r="L499" s="1186">
        <v>8</v>
      </c>
      <c r="M499" s="1186">
        <v>144</v>
      </c>
      <c r="N499" s="1186">
        <v>80690</v>
      </c>
    </row>
    <row r="500" spans="1:14" x14ac:dyDescent="0.2">
      <c r="A500" s="1186" t="s">
        <v>15</v>
      </c>
      <c r="B500" s="1186" t="s">
        <v>116</v>
      </c>
      <c r="C500" s="1186" t="s">
        <v>39</v>
      </c>
      <c r="D500" s="1186">
        <v>144</v>
      </c>
      <c r="E500" s="1186">
        <v>1</v>
      </c>
      <c r="F500" s="1186">
        <v>41</v>
      </c>
      <c r="G500" s="1186">
        <v>3</v>
      </c>
      <c r="H500" s="1186">
        <v>1</v>
      </c>
      <c r="I500" s="1186"/>
      <c r="J500" s="1186">
        <v>35</v>
      </c>
      <c r="K500" s="1186">
        <v>21</v>
      </c>
      <c r="L500" s="1186">
        <v>3</v>
      </c>
      <c r="M500" s="1186">
        <v>39</v>
      </c>
      <c r="N500" s="1186">
        <v>84240</v>
      </c>
    </row>
    <row r="501" spans="1:14" x14ac:dyDescent="0.2">
      <c r="A501" s="1186" t="s">
        <v>15</v>
      </c>
      <c r="B501" s="1186" t="s">
        <v>116</v>
      </c>
      <c r="C501" s="1186" t="s">
        <v>40</v>
      </c>
      <c r="D501" s="1186">
        <v>68</v>
      </c>
      <c r="E501" s="1186">
        <v>3</v>
      </c>
      <c r="F501" s="1186">
        <v>36</v>
      </c>
      <c r="G501" s="1186">
        <v>1</v>
      </c>
      <c r="H501" s="1186">
        <v>1</v>
      </c>
      <c r="I501" s="1186">
        <v>2</v>
      </c>
      <c r="J501" s="1186">
        <v>1</v>
      </c>
      <c r="K501" s="1186">
        <v>14</v>
      </c>
      <c r="L501" s="1186">
        <v>1</v>
      </c>
      <c r="M501" s="1186">
        <v>9</v>
      </c>
      <c r="N501" s="1186">
        <v>92930</v>
      </c>
    </row>
    <row r="502" spans="1:14" x14ac:dyDescent="0.2">
      <c r="A502" s="1186" t="s">
        <v>15</v>
      </c>
      <c r="B502" s="1186" t="s">
        <v>116</v>
      </c>
      <c r="C502" s="1186" t="s">
        <v>295</v>
      </c>
      <c r="D502" s="1186">
        <v>13</v>
      </c>
      <c r="E502" s="1186"/>
      <c r="F502" s="1186">
        <v>10</v>
      </c>
      <c r="G502" s="1186"/>
      <c r="H502" s="1186"/>
      <c r="I502" s="1186"/>
      <c r="J502" s="1186">
        <v>1</v>
      </c>
      <c r="K502" s="1186"/>
      <c r="L502" s="1186">
        <v>1</v>
      </c>
      <c r="M502" s="1186">
        <v>1</v>
      </c>
      <c r="N502" s="1186">
        <v>27560</v>
      </c>
    </row>
    <row r="503" spans="1:14" x14ac:dyDescent="0.2">
      <c r="A503" s="1186" t="s">
        <v>15</v>
      </c>
      <c r="B503" s="1186" t="s">
        <v>116</v>
      </c>
      <c r="C503" s="1186" t="s">
        <v>41</v>
      </c>
      <c r="D503" s="1186">
        <v>595</v>
      </c>
      <c r="E503" s="1186">
        <v>16</v>
      </c>
      <c r="F503" s="1186">
        <v>154</v>
      </c>
      <c r="G503" s="1186">
        <v>3</v>
      </c>
      <c r="H503" s="1186">
        <v>8</v>
      </c>
      <c r="I503" s="1186">
        <v>5</v>
      </c>
      <c r="J503" s="1186">
        <v>152</v>
      </c>
      <c r="K503" s="1186">
        <v>95</v>
      </c>
      <c r="L503" s="1186">
        <v>17</v>
      </c>
      <c r="M503" s="1186">
        <v>145</v>
      </c>
      <c r="N503" s="1186">
        <v>137570</v>
      </c>
    </row>
    <row r="504" spans="1:14" x14ac:dyDescent="0.2">
      <c r="A504" s="1186" t="s">
        <v>15</v>
      </c>
      <c r="B504" s="1186" t="s">
        <v>116</v>
      </c>
      <c r="C504" s="1186" t="s">
        <v>42</v>
      </c>
      <c r="D504" s="1186">
        <v>1474</v>
      </c>
      <c r="E504" s="1186">
        <v>38</v>
      </c>
      <c r="F504" s="1186">
        <v>332</v>
      </c>
      <c r="G504" s="1186">
        <v>3</v>
      </c>
      <c r="H504" s="1186">
        <v>17</v>
      </c>
      <c r="I504" s="1186">
        <v>5</v>
      </c>
      <c r="J504" s="1186">
        <v>232</v>
      </c>
      <c r="K504" s="1186">
        <v>358</v>
      </c>
      <c r="L504" s="1186">
        <v>54</v>
      </c>
      <c r="M504" s="1186">
        <v>435</v>
      </c>
      <c r="N504" s="1186">
        <v>337890</v>
      </c>
    </row>
    <row r="505" spans="1:14" x14ac:dyDescent="0.2">
      <c r="A505" s="1186" t="s">
        <v>15</v>
      </c>
      <c r="B505" s="1186" t="s">
        <v>116</v>
      </c>
      <c r="C505" s="1186" t="s">
        <v>43</v>
      </c>
      <c r="D505" s="1186">
        <v>2</v>
      </c>
      <c r="E505" s="1186"/>
      <c r="F505" s="1186"/>
      <c r="G505" s="1186"/>
      <c r="H505" s="1186"/>
      <c r="I505" s="1186"/>
      <c r="J505" s="1186"/>
      <c r="K505" s="1186"/>
      <c r="L505" s="1186"/>
      <c r="M505" s="1186">
        <v>2</v>
      </c>
      <c r="N505" s="1186">
        <v>21530</v>
      </c>
    </row>
    <row r="506" spans="1:14" x14ac:dyDescent="0.2">
      <c r="A506" s="1186" t="s">
        <v>15</v>
      </c>
      <c r="B506" s="1186" t="s">
        <v>116</v>
      </c>
      <c r="C506" s="1186" t="s">
        <v>44</v>
      </c>
      <c r="D506" s="1186">
        <v>83</v>
      </c>
      <c r="E506" s="1186">
        <v>6</v>
      </c>
      <c r="F506" s="1186">
        <v>19</v>
      </c>
      <c r="G506" s="1186">
        <v>1</v>
      </c>
      <c r="H506" s="1186">
        <v>7</v>
      </c>
      <c r="I506" s="1186"/>
      <c r="J506" s="1186">
        <v>9</v>
      </c>
      <c r="K506" s="1186">
        <v>22</v>
      </c>
      <c r="L506" s="1186">
        <v>6</v>
      </c>
      <c r="M506" s="1186">
        <v>13</v>
      </c>
      <c r="N506" s="1186">
        <v>147740</v>
      </c>
    </row>
    <row r="507" spans="1:14" x14ac:dyDescent="0.2">
      <c r="A507" s="1186" t="s">
        <v>15</v>
      </c>
      <c r="B507" s="1186" t="s">
        <v>116</v>
      </c>
      <c r="C507" s="1186" t="s">
        <v>45</v>
      </c>
      <c r="D507" s="1186">
        <v>608</v>
      </c>
      <c r="E507" s="1186">
        <v>33</v>
      </c>
      <c r="F507" s="1186">
        <v>125</v>
      </c>
      <c r="G507" s="1186">
        <v>1</v>
      </c>
      <c r="H507" s="1186">
        <v>13</v>
      </c>
      <c r="I507" s="1186">
        <v>3</v>
      </c>
      <c r="J507" s="1186">
        <v>79</v>
      </c>
      <c r="K507" s="1186">
        <v>148</v>
      </c>
      <c r="L507" s="1186">
        <v>42</v>
      </c>
      <c r="M507" s="1186">
        <v>164</v>
      </c>
      <c r="N507" s="1186">
        <v>174300</v>
      </c>
    </row>
    <row r="508" spans="1:14" x14ac:dyDescent="0.2">
      <c r="A508" s="1186" t="s">
        <v>15</v>
      </c>
      <c r="B508" s="1186" t="s">
        <v>116</v>
      </c>
      <c r="C508" s="1186" t="s">
        <v>46</v>
      </c>
      <c r="D508" s="1186">
        <v>46</v>
      </c>
      <c r="E508" s="1186">
        <v>1</v>
      </c>
      <c r="F508" s="1186">
        <v>20</v>
      </c>
      <c r="G508" s="1186">
        <v>1</v>
      </c>
      <c r="H508" s="1186">
        <v>2</v>
      </c>
      <c r="I508" s="1186"/>
      <c r="J508" s="1186">
        <v>9</v>
      </c>
      <c r="K508" s="1186">
        <v>3</v>
      </c>
      <c r="L508" s="1186">
        <v>5</v>
      </c>
      <c r="M508" s="1186">
        <v>5</v>
      </c>
      <c r="N508" s="1186">
        <v>113720</v>
      </c>
    </row>
    <row r="509" spans="1:14" x14ac:dyDescent="0.2">
      <c r="A509" s="1186" t="s">
        <v>15</v>
      </c>
      <c r="B509" s="1186" t="s">
        <v>116</v>
      </c>
      <c r="C509" s="1186" t="s">
        <v>47</v>
      </c>
      <c r="D509" s="1186">
        <v>3</v>
      </c>
      <c r="E509" s="1186">
        <v>1</v>
      </c>
      <c r="F509" s="1186">
        <v>2</v>
      </c>
      <c r="G509" s="1186"/>
      <c r="H509" s="1186"/>
      <c r="I509" s="1186"/>
      <c r="J509" s="1186"/>
      <c r="K509" s="1186"/>
      <c r="L509" s="1186"/>
      <c r="M509" s="1186"/>
      <c r="N509" s="1186">
        <v>23210</v>
      </c>
    </row>
    <row r="510" spans="1:14" x14ac:dyDescent="0.2">
      <c r="A510" s="1186" t="s">
        <v>15</v>
      </c>
      <c r="B510" s="1186" t="s">
        <v>116</v>
      </c>
      <c r="C510" s="1186" t="s">
        <v>48</v>
      </c>
      <c r="D510" s="1186">
        <v>267</v>
      </c>
      <c r="E510" s="1186">
        <v>13</v>
      </c>
      <c r="F510" s="1186">
        <v>54</v>
      </c>
      <c r="G510" s="1186">
        <v>6</v>
      </c>
      <c r="H510" s="1186">
        <v>8</v>
      </c>
      <c r="I510" s="1186">
        <v>4</v>
      </c>
      <c r="J510" s="1186">
        <v>31</v>
      </c>
      <c r="K510" s="1186">
        <v>79</v>
      </c>
      <c r="L510" s="1186">
        <v>13</v>
      </c>
      <c r="M510" s="1186">
        <v>59</v>
      </c>
      <c r="N510" s="1186">
        <v>112920</v>
      </c>
    </row>
    <row r="511" spans="1:14" x14ac:dyDescent="0.2">
      <c r="A511" s="1186" t="s">
        <v>15</v>
      </c>
      <c r="B511" s="1186" t="s">
        <v>116</v>
      </c>
      <c r="C511" s="1186" t="s">
        <v>49</v>
      </c>
      <c r="D511" s="1186">
        <v>1036</v>
      </c>
      <c r="E511" s="1186">
        <v>28</v>
      </c>
      <c r="F511" s="1186">
        <v>205</v>
      </c>
      <c r="G511" s="1186">
        <v>1</v>
      </c>
      <c r="H511" s="1186">
        <v>12</v>
      </c>
      <c r="I511" s="1186">
        <v>3</v>
      </c>
      <c r="J511" s="1186">
        <v>124</v>
      </c>
      <c r="K511" s="1186">
        <v>297</v>
      </c>
      <c r="L511" s="1186">
        <v>37</v>
      </c>
      <c r="M511" s="1186">
        <v>329</v>
      </c>
      <c r="N511" s="1186">
        <v>314330</v>
      </c>
    </row>
    <row r="512" spans="1:14" x14ac:dyDescent="0.2">
      <c r="A512" s="1186" t="s">
        <v>15</v>
      </c>
      <c r="B512" s="1186" t="s">
        <v>116</v>
      </c>
      <c r="C512" s="1186" t="s">
        <v>50</v>
      </c>
      <c r="D512" s="1186">
        <v>93</v>
      </c>
      <c r="E512" s="1186">
        <v>4</v>
      </c>
      <c r="F512" s="1186">
        <v>23</v>
      </c>
      <c r="G512" s="1186"/>
      <c r="H512" s="1186">
        <v>2</v>
      </c>
      <c r="I512" s="1186"/>
      <c r="J512" s="1186">
        <v>11</v>
      </c>
      <c r="K512" s="1186">
        <v>21</v>
      </c>
      <c r="L512" s="1186">
        <v>2</v>
      </c>
      <c r="M512" s="1186">
        <v>30</v>
      </c>
      <c r="N512" s="1186">
        <v>91010</v>
      </c>
    </row>
    <row r="513" spans="1:14" x14ac:dyDescent="0.2">
      <c r="A513" s="1186" t="s">
        <v>15</v>
      </c>
      <c r="B513" s="1186" t="s">
        <v>116</v>
      </c>
      <c r="C513" s="1186" t="s">
        <v>51</v>
      </c>
      <c r="D513" s="1186">
        <v>433</v>
      </c>
      <c r="E513" s="1186">
        <v>50</v>
      </c>
      <c r="F513" s="1186">
        <v>103</v>
      </c>
      <c r="G513" s="1186">
        <v>1</v>
      </c>
      <c r="H513" s="1186">
        <v>6</v>
      </c>
      <c r="I513" s="1186">
        <v>3</v>
      </c>
      <c r="J513" s="1186">
        <v>62</v>
      </c>
      <c r="K513" s="1186">
        <v>102</v>
      </c>
      <c r="L513" s="1186">
        <v>22</v>
      </c>
      <c r="M513" s="1186">
        <v>84</v>
      </c>
      <c r="N513" s="1186">
        <v>90340</v>
      </c>
    </row>
    <row r="514" spans="1:14" x14ac:dyDescent="0.2">
      <c r="A514" s="1186" t="s">
        <v>15</v>
      </c>
      <c r="B514" s="1186" t="s">
        <v>116</v>
      </c>
      <c r="C514" s="1186" t="s">
        <v>52</v>
      </c>
      <c r="D514" s="1186">
        <v>402</v>
      </c>
      <c r="E514" s="1186">
        <v>7</v>
      </c>
      <c r="F514" s="1186">
        <v>111</v>
      </c>
      <c r="G514" s="1186">
        <v>2</v>
      </c>
      <c r="H514" s="1186">
        <v>12</v>
      </c>
      <c r="I514" s="1186">
        <v>2</v>
      </c>
      <c r="J514" s="1186">
        <v>73</v>
      </c>
      <c r="K514" s="1186">
        <v>111</v>
      </c>
      <c r="L514" s="1186">
        <v>13</v>
      </c>
      <c r="M514" s="1186">
        <v>71</v>
      </c>
      <c r="N514" s="1186">
        <v>176010</v>
      </c>
    </row>
    <row r="515" spans="1:14" x14ac:dyDescent="0.2">
      <c r="A515" s="1186" t="s">
        <v>17</v>
      </c>
      <c r="B515" s="1186" t="s">
        <v>116</v>
      </c>
      <c r="C515" s="1186" t="s">
        <v>23</v>
      </c>
      <c r="D515" s="1186">
        <v>277</v>
      </c>
      <c r="E515" s="1186">
        <v>9</v>
      </c>
      <c r="F515" s="1186">
        <v>63</v>
      </c>
      <c r="G515" s="1186"/>
      <c r="H515" s="1186">
        <v>3</v>
      </c>
      <c r="I515" s="1186"/>
      <c r="J515" s="1186">
        <v>4</v>
      </c>
      <c r="K515" s="1186">
        <v>81</v>
      </c>
      <c r="L515" s="1186">
        <v>10</v>
      </c>
      <c r="M515" s="1186">
        <v>107</v>
      </c>
      <c r="N515" s="1186">
        <v>227070</v>
      </c>
    </row>
    <row r="516" spans="1:14" x14ac:dyDescent="0.2">
      <c r="A516" s="1186" t="s">
        <v>17</v>
      </c>
      <c r="B516" s="1186" t="s">
        <v>116</v>
      </c>
      <c r="C516" s="1186" t="s">
        <v>24</v>
      </c>
      <c r="D516" s="1186">
        <v>141</v>
      </c>
      <c r="E516" s="1186">
        <v>13</v>
      </c>
      <c r="F516" s="1186">
        <v>43</v>
      </c>
      <c r="G516" s="1186"/>
      <c r="H516" s="1186">
        <v>6</v>
      </c>
      <c r="I516" s="1186">
        <v>2</v>
      </c>
      <c r="J516" s="1186">
        <v>2</v>
      </c>
      <c r="K516" s="1186">
        <v>18</v>
      </c>
      <c r="L516" s="1186">
        <v>9</v>
      </c>
      <c r="M516" s="1186">
        <v>48</v>
      </c>
      <c r="N516" s="1186">
        <v>257770</v>
      </c>
    </row>
    <row r="517" spans="1:14" x14ac:dyDescent="0.2">
      <c r="A517" s="1186" t="s">
        <v>17</v>
      </c>
      <c r="B517" s="1186" t="s">
        <v>116</v>
      </c>
      <c r="C517" s="1186" t="s">
        <v>25</v>
      </c>
      <c r="D517" s="1186">
        <v>139</v>
      </c>
      <c r="E517" s="1186">
        <v>3</v>
      </c>
      <c r="F517" s="1186">
        <v>64</v>
      </c>
      <c r="G517" s="1186">
        <v>2</v>
      </c>
      <c r="H517" s="1186">
        <v>4</v>
      </c>
      <c r="I517" s="1186"/>
      <c r="J517" s="1186">
        <v>33</v>
      </c>
      <c r="K517" s="1186">
        <v>16</v>
      </c>
      <c r="L517" s="1186"/>
      <c r="M517" s="1186">
        <v>17</v>
      </c>
      <c r="N517" s="1186">
        <v>116290</v>
      </c>
    </row>
    <row r="518" spans="1:14" x14ac:dyDescent="0.2">
      <c r="A518" s="1186" t="s">
        <v>17</v>
      </c>
      <c r="B518" s="1186" t="s">
        <v>116</v>
      </c>
      <c r="C518" s="1186" t="s">
        <v>26</v>
      </c>
      <c r="D518" s="1186">
        <v>55</v>
      </c>
      <c r="E518" s="1186"/>
      <c r="F518" s="1186">
        <v>20</v>
      </c>
      <c r="G518" s="1186"/>
      <c r="H518" s="1186">
        <v>1</v>
      </c>
      <c r="I518" s="1186">
        <v>1</v>
      </c>
      <c r="J518" s="1186">
        <v>16</v>
      </c>
      <c r="K518" s="1186">
        <v>8</v>
      </c>
      <c r="L518" s="1186">
        <v>1</v>
      </c>
      <c r="M518" s="1186">
        <v>8</v>
      </c>
      <c r="N518" s="1186">
        <v>88050</v>
      </c>
    </row>
    <row r="519" spans="1:14" x14ac:dyDescent="0.2">
      <c r="A519" s="1186" t="s">
        <v>17</v>
      </c>
      <c r="B519" s="1186" t="s">
        <v>116</v>
      </c>
      <c r="C519" s="1186" t="s">
        <v>619</v>
      </c>
      <c r="D519" s="1186">
        <v>1022</v>
      </c>
      <c r="E519" s="1186">
        <v>15</v>
      </c>
      <c r="F519" s="1186">
        <v>272</v>
      </c>
      <c r="G519" s="1186">
        <v>1</v>
      </c>
      <c r="H519" s="1186">
        <v>15</v>
      </c>
      <c r="I519" s="1186">
        <v>2</v>
      </c>
      <c r="J519" s="1186">
        <v>213</v>
      </c>
      <c r="K519" s="1186">
        <v>269</v>
      </c>
      <c r="L519" s="1186">
        <v>69</v>
      </c>
      <c r="M519" s="1186">
        <v>166</v>
      </c>
      <c r="N519" s="1186">
        <v>487460</v>
      </c>
    </row>
    <row r="520" spans="1:14" x14ac:dyDescent="0.2">
      <c r="A520" s="1186" t="s">
        <v>17</v>
      </c>
      <c r="B520" s="1186" t="s">
        <v>116</v>
      </c>
      <c r="C520" s="1186" t="s">
        <v>27</v>
      </c>
      <c r="D520" s="1186">
        <v>93</v>
      </c>
      <c r="E520" s="1186">
        <v>3</v>
      </c>
      <c r="F520" s="1186">
        <v>48</v>
      </c>
      <c r="G520" s="1186">
        <v>1</v>
      </c>
      <c r="H520" s="1186">
        <v>1</v>
      </c>
      <c r="I520" s="1186">
        <v>1</v>
      </c>
      <c r="J520" s="1186">
        <v>15</v>
      </c>
      <c r="K520" s="1186">
        <v>10</v>
      </c>
      <c r="L520" s="1186">
        <v>3</v>
      </c>
      <c r="M520" s="1186">
        <v>11</v>
      </c>
      <c r="N520" s="1186">
        <v>51280</v>
      </c>
    </row>
    <row r="521" spans="1:14" x14ac:dyDescent="0.2">
      <c r="A521" s="1186" t="s">
        <v>17</v>
      </c>
      <c r="B521" s="1186" t="s">
        <v>116</v>
      </c>
      <c r="C521" s="1186" t="s">
        <v>28</v>
      </c>
      <c r="D521" s="1186">
        <v>87</v>
      </c>
      <c r="E521" s="1186">
        <v>1</v>
      </c>
      <c r="F521" s="1186">
        <v>25</v>
      </c>
      <c r="G521" s="1186"/>
      <c r="H521" s="1186">
        <v>2</v>
      </c>
      <c r="I521" s="1186">
        <v>1</v>
      </c>
      <c r="J521" s="1186">
        <v>2</v>
      </c>
      <c r="K521" s="1186">
        <v>14</v>
      </c>
      <c r="L521" s="1186">
        <v>5</v>
      </c>
      <c r="M521" s="1186">
        <v>37</v>
      </c>
      <c r="N521" s="1186">
        <v>150280</v>
      </c>
    </row>
    <row r="522" spans="1:14" x14ac:dyDescent="0.2">
      <c r="A522" s="1186" t="s">
        <v>17</v>
      </c>
      <c r="B522" s="1186" t="s">
        <v>116</v>
      </c>
      <c r="C522" s="1186" t="s">
        <v>29</v>
      </c>
      <c r="D522" s="1186">
        <v>578</v>
      </c>
      <c r="E522" s="1186">
        <v>20</v>
      </c>
      <c r="F522" s="1186">
        <v>182</v>
      </c>
      <c r="G522" s="1186"/>
      <c r="H522" s="1186">
        <v>10</v>
      </c>
      <c r="I522" s="1186">
        <v>2</v>
      </c>
      <c r="J522" s="1186">
        <v>58</v>
      </c>
      <c r="K522" s="1186">
        <v>163</v>
      </c>
      <c r="L522" s="1186">
        <v>26</v>
      </c>
      <c r="M522" s="1186">
        <v>117</v>
      </c>
      <c r="N522" s="1186">
        <v>148100</v>
      </c>
    </row>
    <row r="523" spans="1:14" x14ac:dyDescent="0.2">
      <c r="A523" s="1186" t="s">
        <v>17</v>
      </c>
      <c r="B523" s="1186" t="s">
        <v>116</v>
      </c>
      <c r="C523" s="1186" t="s">
        <v>30</v>
      </c>
      <c r="D523" s="1186">
        <v>650</v>
      </c>
      <c r="E523" s="1186">
        <v>13</v>
      </c>
      <c r="F523" s="1186">
        <v>290</v>
      </c>
      <c r="G523" s="1186">
        <v>1</v>
      </c>
      <c r="H523" s="1186">
        <v>3</v>
      </c>
      <c r="I523" s="1186">
        <v>2</v>
      </c>
      <c r="J523" s="1186">
        <v>45</v>
      </c>
      <c r="K523" s="1186">
        <v>124</v>
      </c>
      <c r="L523" s="1186">
        <v>21</v>
      </c>
      <c r="M523" s="1186">
        <v>151</v>
      </c>
      <c r="N523" s="1186">
        <v>122430</v>
      </c>
    </row>
    <row r="524" spans="1:14" x14ac:dyDescent="0.2">
      <c r="A524" s="1186" t="s">
        <v>17</v>
      </c>
      <c r="B524" s="1186" t="s">
        <v>116</v>
      </c>
      <c r="C524" s="1186" t="s">
        <v>31</v>
      </c>
      <c r="D524" s="1186">
        <v>193</v>
      </c>
      <c r="E524" s="1186">
        <v>5</v>
      </c>
      <c r="F524" s="1186">
        <v>62</v>
      </c>
      <c r="G524" s="1186"/>
      <c r="H524" s="1186">
        <v>6</v>
      </c>
      <c r="I524" s="1186">
        <v>1</v>
      </c>
      <c r="J524" s="1186">
        <v>22</v>
      </c>
      <c r="K524" s="1186">
        <v>39</v>
      </c>
      <c r="L524" s="1186">
        <v>9</v>
      </c>
      <c r="M524" s="1186">
        <v>49</v>
      </c>
      <c r="N524" s="1186">
        <v>105840</v>
      </c>
    </row>
    <row r="525" spans="1:14" x14ac:dyDescent="0.2">
      <c r="A525" s="1186" t="s">
        <v>17</v>
      </c>
      <c r="B525" s="1186" t="s">
        <v>116</v>
      </c>
      <c r="C525" s="1186" t="s">
        <v>32</v>
      </c>
      <c r="D525" s="1186">
        <v>154</v>
      </c>
      <c r="E525" s="1186">
        <v>2</v>
      </c>
      <c r="F525" s="1186">
        <v>74</v>
      </c>
      <c r="G525" s="1186">
        <v>2</v>
      </c>
      <c r="H525" s="1186">
        <v>2</v>
      </c>
      <c r="I525" s="1186">
        <v>1</v>
      </c>
      <c r="J525" s="1186">
        <v>28</v>
      </c>
      <c r="K525" s="1186">
        <v>15</v>
      </c>
      <c r="L525" s="1186">
        <v>5</v>
      </c>
      <c r="M525" s="1186">
        <v>25</v>
      </c>
      <c r="N525" s="1186">
        <v>101390</v>
      </c>
    </row>
    <row r="526" spans="1:14" x14ac:dyDescent="0.2">
      <c r="A526" s="1186" t="s">
        <v>17</v>
      </c>
      <c r="B526" s="1186" t="s">
        <v>116</v>
      </c>
      <c r="C526" s="1186" t="s">
        <v>33</v>
      </c>
      <c r="D526" s="1186">
        <v>132</v>
      </c>
      <c r="E526" s="1186">
        <v>9</v>
      </c>
      <c r="F526" s="1186">
        <v>53</v>
      </c>
      <c r="G526" s="1186"/>
      <c r="H526" s="1186">
        <v>4</v>
      </c>
      <c r="I526" s="1186">
        <v>1</v>
      </c>
      <c r="J526" s="1186">
        <v>20</v>
      </c>
      <c r="K526" s="1186">
        <v>10</v>
      </c>
      <c r="L526" s="1186">
        <v>6</v>
      </c>
      <c r="M526" s="1186">
        <v>29</v>
      </c>
      <c r="N526" s="1186">
        <v>91530</v>
      </c>
    </row>
    <row r="527" spans="1:14" x14ac:dyDescent="0.2">
      <c r="A527" s="1186" t="s">
        <v>17</v>
      </c>
      <c r="B527" s="1186" t="s">
        <v>116</v>
      </c>
      <c r="C527" s="1186" t="s">
        <v>34</v>
      </c>
      <c r="D527" s="1186">
        <v>389</v>
      </c>
      <c r="E527" s="1186">
        <v>2</v>
      </c>
      <c r="F527" s="1186">
        <v>135</v>
      </c>
      <c r="G527" s="1186">
        <v>2</v>
      </c>
      <c r="H527" s="1186">
        <v>17</v>
      </c>
      <c r="I527" s="1186">
        <v>1</v>
      </c>
      <c r="J527" s="1186">
        <v>90</v>
      </c>
      <c r="K527" s="1186">
        <v>81</v>
      </c>
      <c r="L527" s="1186">
        <v>14</v>
      </c>
      <c r="M527" s="1186">
        <v>47</v>
      </c>
      <c r="N527" s="1186">
        <v>157160</v>
      </c>
    </row>
    <row r="528" spans="1:14" x14ac:dyDescent="0.2">
      <c r="A528" s="1186" t="s">
        <v>17</v>
      </c>
      <c r="B528" s="1186" t="s">
        <v>116</v>
      </c>
      <c r="C528" s="1186" t="s">
        <v>35</v>
      </c>
      <c r="D528" s="1186">
        <v>621</v>
      </c>
      <c r="E528" s="1186">
        <v>18</v>
      </c>
      <c r="F528" s="1186">
        <v>220</v>
      </c>
      <c r="G528" s="1186">
        <v>5</v>
      </c>
      <c r="H528" s="1186">
        <v>12</v>
      </c>
      <c r="I528" s="1186">
        <v>2</v>
      </c>
      <c r="J528" s="1186">
        <v>7</v>
      </c>
      <c r="K528" s="1186">
        <v>91</v>
      </c>
      <c r="L528" s="1186">
        <v>18</v>
      </c>
      <c r="M528" s="1186">
        <v>248</v>
      </c>
      <c r="N528" s="1186">
        <v>366900</v>
      </c>
    </row>
    <row r="529" spans="1:14" x14ac:dyDescent="0.2">
      <c r="A529" s="1186" t="s">
        <v>17</v>
      </c>
      <c r="B529" s="1186" t="s">
        <v>116</v>
      </c>
      <c r="C529" s="1186" t="s">
        <v>36</v>
      </c>
      <c r="D529" s="1186">
        <v>2651</v>
      </c>
      <c r="E529" s="1186">
        <v>87</v>
      </c>
      <c r="F529" s="1186">
        <v>693</v>
      </c>
      <c r="G529" s="1186">
        <v>3</v>
      </c>
      <c r="H529" s="1186">
        <v>43</v>
      </c>
      <c r="I529" s="1186">
        <v>7</v>
      </c>
      <c r="J529" s="1186">
        <v>281</v>
      </c>
      <c r="K529" s="1186">
        <v>699</v>
      </c>
      <c r="L529" s="1186">
        <v>137</v>
      </c>
      <c r="M529" s="1186">
        <v>701</v>
      </c>
      <c r="N529" s="1186">
        <v>596520</v>
      </c>
    </row>
    <row r="530" spans="1:14" x14ac:dyDescent="0.2">
      <c r="A530" s="1186" t="s">
        <v>17</v>
      </c>
      <c r="B530" s="1186" t="s">
        <v>116</v>
      </c>
      <c r="C530" s="1186" t="s">
        <v>37</v>
      </c>
      <c r="D530" s="1186">
        <v>185</v>
      </c>
      <c r="E530" s="1186">
        <v>5</v>
      </c>
      <c r="F530" s="1186">
        <v>110</v>
      </c>
      <c r="G530" s="1186"/>
      <c r="H530" s="1186">
        <v>3</v>
      </c>
      <c r="I530" s="1186">
        <v>3</v>
      </c>
      <c r="J530" s="1186">
        <v>24</v>
      </c>
      <c r="K530" s="1186">
        <v>19</v>
      </c>
      <c r="L530" s="1186">
        <v>3</v>
      </c>
      <c r="M530" s="1186">
        <v>18</v>
      </c>
      <c r="N530" s="1186">
        <v>232930</v>
      </c>
    </row>
    <row r="531" spans="1:14" x14ac:dyDescent="0.2">
      <c r="A531" s="1186" t="s">
        <v>17</v>
      </c>
      <c r="B531" s="1186" t="s">
        <v>116</v>
      </c>
      <c r="C531" s="1186" t="s">
        <v>38</v>
      </c>
      <c r="D531" s="1186">
        <v>415</v>
      </c>
      <c r="E531" s="1186">
        <v>18</v>
      </c>
      <c r="F531" s="1186">
        <v>194</v>
      </c>
      <c r="G531" s="1186"/>
      <c r="H531" s="1186">
        <v>3</v>
      </c>
      <c r="I531" s="1186"/>
      <c r="J531" s="1186">
        <v>41</v>
      </c>
      <c r="K531" s="1186">
        <v>62</v>
      </c>
      <c r="L531" s="1186">
        <v>7</v>
      </c>
      <c r="M531" s="1186">
        <v>90</v>
      </c>
      <c r="N531" s="1186">
        <v>80340</v>
      </c>
    </row>
    <row r="532" spans="1:14" x14ac:dyDescent="0.2">
      <c r="A532" s="1186" t="s">
        <v>17</v>
      </c>
      <c r="B532" s="1186" t="s">
        <v>116</v>
      </c>
      <c r="C532" s="1186" t="s">
        <v>39</v>
      </c>
      <c r="D532" s="1186">
        <v>272</v>
      </c>
      <c r="E532" s="1186">
        <v>11</v>
      </c>
      <c r="F532" s="1186">
        <v>112</v>
      </c>
      <c r="G532" s="1186">
        <v>5</v>
      </c>
      <c r="H532" s="1186">
        <v>5</v>
      </c>
      <c r="I532" s="1186"/>
      <c r="J532" s="1186">
        <v>61</v>
      </c>
      <c r="K532" s="1186">
        <v>29</v>
      </c>
      <c r="L532" s="1186">
        <v>10</v>
      </c>
      <c r="M532" s="1186">
        <v>39</v>
      </c>
      <c r="N532" s="1186">
        <v>84710</v>
      </c>
    </row>
    <row r="533" spans="1:14" x14ac:dyDescent="0.2">
      <c r="A533" s="1186" t="s">
        <v>17</v>
      </c>
      <c r="B533" s="1186" t="s">
        <v>116</v>
      </c>
      <c r="C533" s="1186" t="s">
        <v>40</v>
      </c>
      <c r="D533" s="1186">
        <v>74</v>
      </c>
      <c r="E533" s="1186">
        <v>3</v>
      </c>
      <c r="F533" s="1186">
        <v>44</v>
      </c>
      <c r="G533" s="1186"/>
      <c r="H533" s="1186">
        <v>2</v>
      </c>
      <c r="I533" s="1186">
        <v>4</v>
      </c>
      <c r="J533" s="1186">
        <v>1</v>
      </c>
      <c r="K533" s="1186">
        <v>8</v>
      </c>
      <c r="L533" s="1186">
        <v>1</v>
      </c>
      <c r="M533" s="1186">
        <v>11</v>
      </c>
      <c r="N533" s="1186">
        <v>94360</v>
      </c>
    </row>
    <row r="534" spans="1:14" x14ac:dyDescent="0.2">
      <c r="A534" s="1186" t="s">
        <v>17</v>
      </c>
      <c r="B534" s="1186" t="s">
        <v>116</v>
      </c>
      <c r="C534" s="1186" t="s">
        <v>295</v>
      </c>
      <c r="D534" s="1186">
        <v>10</v>
      </c>
      <c r="E534" s="1186">
        <v>1</v>
      </c>
      <c r="F534" s="1186">
        <v>4</v>
      </c>
      <c r="G534" s="1186"/>
      <c r="H534" s="1186"/>
      <c r="I534" s="1186"/>
      <c r="J534" s="1186">
        <v>1</v>
      </c>
      <c r="K534" s="1186">
        <v>3</v>
      </c>
      <c r="L534" s="1186"/>
      <c r="M534" s="1186">
        <v>1</v>
      </c>
      <c r="N534" s="1186">
        <v>27400</v>
      </c>
    </row>
    <row r="535" spans="1:14" x14ac:dyDescent="0.2">
      <c r="A535" s="1186" t="s">
        <v>17</v>
      </c>
      <c r="B535" s="1186" t="s">
        <v>116</v>
      </c>
      <c r="C535" s="1186" t="s">
        <v>41</v>
      </c>
      <c r="D535" s="1186">
        <v>492</v>
      </c>
      <c r="E535" s="1186">
        <v>5</v>
      </c>
      <c r="F535" s="1186">
        <v>192</v>
      </c>
      <c r="G535" s="1186">
        <v>2</v>
      </c>
      <c r="H535" s="1186">
        <v>3</v>
      </c>
      <c r="I535" s="1186">
        <v>4</v>
      </c>
      <c r="J535" s="1186">
        <v>103</v>
      </c>
      <c r="K535" s="1186">
        <v>94</v>
      </c>
      <c r="L535" s="1186">
        <v>9</v>
      </c>
      <c r="M535" s="1186">
        <v>80</v>
      </c>
      <c r="N535" s="1186">
        <v>136940</v>
      </c>
    </row>
    <row r="536" spans="1:14" x14ac:dyDescent="0.2">
      <c r="A536" s="1186" t="s">
        <v>17</v>
      </c>
      <c r="B536" s="1186" t="s">
        <v>116</v>
      </c>
      <c r="C536" s="1186" t="s">
        <v>42</v>
      </c>
      <c r="D536" s="1186">
        <v>1727</v>
      </c>
      <c r="E536" s="1186">
        <v>13</v>
      </c>
      <c r="F536" s="1186">
        <v>670</v>
      </c>
      <c r="G536" s="1186">
        <v>5</v>
      </c>
      <c r="H536" s="1186">
        <v>13</v>
      </c>
      <c r="I536" s="1186">
        <v>4</v>
      </c>
      <c r="J536" s="1186">
        <v>202</v>
      </c>
      <c r="K536" s="1186">
        <v>334</v>
      </c>
      <c r="L536" s="1186">
        <v>52</v>
      </c>
      <c r="M536" s="1186">
        <v>434</v>
      </c>
      <c r="N536" s="1186">
        <v>337780</v>
      </c>
    </row>
    <row r="537" spans="1:14" x14ac:dyDescent="0.2">
      <c r="A537" s="1186" t="s">
        <v>17</v>
      </c>
      <c r="B537" s="1186" t="s">
        <v>116</v>
      </c>
      <c r="C537" s="1186" t="s">
        <v>43</v>
      </c>
      <c r="D537" s="1186">
        <v>5</v>
      </c>
      <c r="E537" s="1186"/>
      <c r="F537" s="1186">
        <v>3</v>
      </c>
      <c r="G537" s="1186"/>
      <c r="H537" s="1186"/>
      <c r="I537" s="1186"/>
      <c r="J537" s="1186"/>
      <c r="K537" s="1186">
        <v>1</v>
      </c>
      <c r="L537" s="1186"/>
      <c r="M537" s="1186">
        <v>1</v>
      </c>
      <c r="N537" s="1186">
        <v>21560</v>
      </c>
    </row>
    <row r="538" spans="1:14" x14ac:dyDescent="0.2">
      <c r="A538" s="1186" t="s">
        <v>17</v>
      </c>
      <c r="B538" s="1186" t="s">
        <v>116</v>
      </c>
      <c r="C538" s="1186" t="s">
        <v>44</v>
      </c>
      <c r="D538" s="1186">
        <v>78</v>
      </c>
      <c r="E538" s="1186"/>
      <c r="F538" s="1186">
        <v>27</v>
      </c>
      <c r="G538" s="1186">
        <v>1</v>
      </c>
      <c r="H538" s="1186">
        <v>1</v>
      </c>
      <c r="I538" s="1186">
        <v>2</v>
      </c>
      <c r="J538" s="1186">
        <v>17</v>
      </c>
      <c r="K538" s="1186">
        <v>13</v>
      </c>
      <c r="L538" s="1186">
        <v>1</v>
      </c>
      <c r="M538" s="1186">
        <v>16</v>
      </c>
      <c r="N538" s="1186">
        <v>147770</v>
      </c>
    </row>
    <row r="539" spans="1:14" x14ac:dyDescent="0.2">
      <c r="A539" s="1186" t="s">
        <v>17</v>
      </c>
      <c r="B539" s="1186" t="s">
        <v>116</v>
      </c>
      <c r="C539" s="1186" t="s">
        <v>45</v>
      </c>
      <c r="D539" s="1186">
        <v>488</v>
      </c>
      <c r="E539" s="1186">
        <v>17</v>
      </c>
      <c r="F539" s="1186">
        <v>176</v>
      </c>
      <c r="G539" s="1186">
        <v>2</v>
      </c>
      <c r="H539" s="1186">
        <v>2</v>
      </c>
      <c r="I539" s="1186">
        <v>3</v>
      </c>
      <c r="J539" s="1186">
        <v>49</v>
      </c>
      <c r="K539" s="1186">
        <v>101</v>
      </c>
      <c r="L539" s="1186">
        <v>17</v>
      </c>
      <c r="M539" s="1186">
        <v>121</v>
      </c>
      <c r="N539" s="1186">
        <v>173890</v>
      </c>
    </row>
    <row r="540" spans="1:14" x14ac:dyDescent="0.2">
      <c r="A540" s="1186" t="s">
        <v>17</v>
      </c>
      <c r="B540" s="1186" t="s">
        <v>116</v>
      </c>
      <c r="C540" s="1186" t="s">
        <v>46</v>
      </c>
      <c r="D540" s="1186">
        <v>57</v>
      </c>
      <c r="E540" s="1186">
        <v>1</v>
      </c>
      <c r="F540" s="1186">
        <v>25</v>
      </c>
      <c r="G540" s="1186"/>
      <c r="H540" s="1186">
        <v>2</v>
      </c>
      <c r="I540" s="1186">
        <v>1</v>
      </c>
      <c r="J540" s="1186">
        <v>12</v>
      </c>
      <c r="K540" s="1186">
        <v>8</v>
      </c>
      <c r="L540" s="1186">
        <v>4</v>
      </c>
      <c r="M540" s="1186">
        <v>4</v>
      </c>
      <c r="N540" s="1186">
        <v>113880</v>
      </c>
    </row>
    <row r="541" spans="1:14" x14ac:dyDescent="0.2">
      <c r="A541" s="1186" t="s">
        <v>17</v>
      </c>
      <c r="B541" s="1186" t="s">
        <v>116</v>
      </c>
      <c r="C541" s="1186" t="s">
        <v>47</v>
      </c>
      <c r="D541" s="1186">
        <v>2</v>
      </c>
      <c r="E541" s="1186"/>
      <c r="F541" s="1186"/>
      <c r="G541" s="1186"/>
      <c r="H541" s="1186"/>
      <c r="I541" s="1186"/>
      <c r="J541" s="1186"/>
      <c r="K541" s="1186">
        <v>1</v>
      </c>
      <c r="L541" s="1186"/>
      <c r="M541" s="1186">
        <v>1</v>
      </c>
      <c r="N541" s="1186">
        <v>23200</v>
      </c>
    </row>
    <row r="542" spans="1:14" x14ac:dyDescent="0.2">
      <c r="A542" s="1186" t="s">
        <v>17</v>
      </c>
      <c r="B542" s="1186" t="s">
        <v>116</v>
      </c>
      <c r="C542" s="1186" t="s">
        <v>48</v>
      </c>
      <c r="D542" s="1186">
        <v>265</v>
      </c>
      <c r="E542" s="1186">
        <v>13</v>
      </c>
      <c r="F542" s="1186">
        <v>84</v>
      </c>
      <c r="G542" s="1186">
        <v>1</v>
      </c>
      <c r="H542" s="1186">
        <v>3</v>
      </c>
      <c r="I542" s="1186">
        <v>3</v>
      </c>
      <c r="J542" s="1186">
        <v>31</v>
      </c>
      <c r="K542" s="1186">
        <v>63</v>
      </c>
      <c r="L542" s="1186">
        <v>11</v>
      </c>
      <c r="M542" s="1186">
        <v>56</v>
      </c>
      <c r="N542" s="1186">
        <v>112870</v>
      </c>
    </row>
    <row r="543" spans="1:14" x14ac:dyDescent="0.2">
      <c r="A543" s="1186" t="s">
        <v>17</v>
      </c>
      <c r="B543" s="1186" t="s">
        <v>116</v>
      </c>
      <c r="C543" s="1186" t="s">
        <v>49</v>
      </c>
      <c r="D543" s="1186">
        <v>1143</v>
      </c>
      <c r="E543" s="1186">
        <v>37</v>
      </c>
      <c r="F543" s="1186">
        <v>373</v>
      </c>
      <c r="G543" s="1186">
        <v>3</v>
      </c>
      <c r="H543" s="1186">
        <v>13</v>
      </c>
      <c r="I543" s="1186">
        <v>6</v>
      </c>
      <c r="J543" s="1186">
        <v>106</v>
      </c>
      <c r="K543" s="1186">
        <v>223</v>
      </c>
      <c r="L543" s="1186">
        <v>52</v>
      </c>
      <c r="M543" s="1186">
        <v>330</v>
      </c>
      <c r="N543" s="1186">
        <v>314810</v>
      </c>
    </row>
    <row r="544" spans="1:14" x14ac:dyDescent="0.2">
      <c r="A544" s="1186" t="s">
        <v>17</v>
      </c>
      <c r="B544" s="1186" t="s">
        <v>116</v>
      </c>
      <c r="C544" s="1186" t="s">
        <v>50</v>
      </c>
      <c r="D544" s="1186">
        <v>88</v>
      </c>
      <c r="E544" s="1186">
        <v>2</v>
      </c>
      <c r="F544" s="1186">
        <v>32</v>
      </c>
      <c r="G544" s="1186"/>
      <c r="H544" s="1186">
        <v>2</v>
      </c>
      <c r="I544" s="1186"/>
      <c r="J544" s="1186">
        <v>16</v>
      </c>
      <c r="K544" s="1186">
        <v>13</v>
      </c>
      <c r="L544" s="1186">
        <v>3</v>
      </c>
      <c r="M544" s="1186">
        <v>20</v>
      </c>
      <c r="N544" s="1186">
        <v>91230</v>
      </c>
    </row>
    <row r="545" spans="1:14" x14ac:dyDescent="0.2">
      <c r="A545" s="1186" t="s">
        <v>17</v>
      </c>
      <c r="B545" s="1186" t="s">
        <v>116</v>
      </c>
      <c r="C545" s="1186" t="s">
        <v>51</v>
      </c>
      <c r="D545" s="1186">
        <v>488</v>
      </c>
      <c r="E545" s="1186">
        <v>18</v>
      </c>
      <c r="F545" s="1186">
        <v>211</v>
      </c>
      <c r="G545" s="1186">
        <v>1</v>
      </c>
      <c r="H545" s="1186">
        <v>1</v>
      </c>
      <c r="I545" s="1186">
        <v>3</v>
      </c>
      <c r="J545" s="1186">
        <v>49</v>
      </c>
      <c r="K545" s="1186">
        <v>101</v>
      </c>
      <c r="L545" s="1186">
        <v>5</v>
      </c>
      <c r="M545" s="1186">
        <v>99</v>
      </c>
      <c r="N545" s="1186">
        <v>89800</v>
      </c>
    </row>
    <row r="546" spans="1:14" x14ac:dyDescent="0.2">
      <c r="A546" s="1186" t="s">
        <v>17</v>
      </c>
      <c r="B546" s="1186" t="s">
        <v>116</v>
      </c>
      <c r="C546" s="1186" t="s">
        <v>52</v>
      </c>
      <c r="D546" s="1186">
        <v>476</v>
      </c>
      <c r="E546" s="1186">
        <v>6</v>
      </c>
      <c r="F546" s="1186">
        <v>196</v>
      </c>
      <c r="G546" s="1186">
        <v>1</v>
      </c>
      <c r="H546" s="1186">
        <v>7</v>
      </c>
      <c r="I546" s="1186">
        <v>1</v>
      </c>
      <c r="J546" s="1186">
        <v>76</v>
      </c>
      <c r="K546" s="1186">
        <v>120</v>
      </c>
      <c r="L546" s="1186">
        <v>14</v>
      </c>
      <c r="M546" s="1186">
        <v>55</v>
      </c>
      <c r="N546" s="1186">
        <v>176160</v>
      </c>
    </row>
    <row r="547" spans="1:14" x14ac:dyDescent="0.2">
      <c r="A547" s="1186" t="s">
        <v>133</v>
      </c>
      <c r="B547" s="1186" t="s">
        <v>116</v>
      </c>
      <c r="C547" s="1186" t="s">
        <v>23</v>
      </c>
      <c r="D547" s="1186">
        <v>286</v>
      </c>
      <c r="E547" s="1186">
        <v>17</v>
      </c>
      <c r="F547" s="1186">
        <v>46</v>
      </c>
      <c r="G547" s="1186"/>
      <c r="H547" s="1186">
        <v>6</v>
      </c>
      <c r="I547" s="1186">
        <v>2</v>
      </c>
      <c r="J547" s="1186"/>
      <c r="K547" s="1186">
        <v>131</v>
      </c>
      <c r="L547" s="1186">
        <v>10</v>
      </c>
      <c r="M547" s="1186">
        <v>74</v>
      </c>
      <c r="N547" s="1186">
        <v>228920</v>
      </c>
    </row>
    <row r="548" spans="1:14" x14ac:dyDescent="0.2">
      <c r="A548" s="1186" t="s">
        <v>133</v>
      </c>
      <c r="B548" s="1186" t="s">
        <v>116</v>
      </c>
      <c r="C548" s="1186" t="s">
        <v>24</v>
      </c>
      <c r="D548" s="1186">
        <v>110</v>
      </c>
      <c r="E548" s="1186">
        <v>9</v>
      </c>
      <c r="F548" s="1186">
        <v>26</v>
      </c>
      <c r="G548" s="1186">
        <v>1</v>
      </c>
      <c r="H548" s="1186">
        <v>5</v>
      </c>
      <c r="I548" s="1186">
        <v>2</v>
      </c>
      <c r="J548" s="1186"/>
      <c r="K548" s="1186">
        <v>15</v>
      </c>
      <c r="L548" s="1186">
        <v>6</v>
      </c>
      <c r="M548" s="1186">
        <v>46</v>
      </c>
      <c r="N548" s="1186">
        <v>260530</v>
      </c>
    </row>
    <row r="549" spans="1:14" x14ac:dyDescent="0.2">
      <c r="A549" s="1186" t="s">
        <v>133</v>
      </c>
      <c r="B549" s="1186" t="s">
        <v>116</v>
      </c>
      <c r="C549" s="1186" t="s">
        <v>25</v>
      </c>
      <c r="D549" s="1186">
        <v>105</v>
      </c>
      <c r="E549" s="1186">
        <v>6</v>
      </c>
      <c r="F549" s="1186">
        <v>44</v>
      </c>
      <c r="G549" s="1186">
        <v>4</v>
      </c>
      <c r="H549" s="1186">
        <v>3</v>
      </c>
      <c r="I549" s="1186">
        <v>2</v>
      </c>
      <c r="J549" s="1186">
        <v>18</v>
      </c>
      <c r="K549" s="1186">
        <v>14</v>
      </c>
      <c r="L549" s="1186">
        <v>1</v>
      </c>
      <c r="M549" s="1186">
        <v>13</v>
      </c>
      <c r="N549" s="1186">
        <v>116740</v>
      </c>
    </row>
    <row r="550" spans="1:14" x14ac:dyDescent="0.2">
      <c r="A550" s="1186" t="s">
        <v>133</v>
      </c>
      <c r="B550" s="1186" t="s">
        <v>116</v>
      </c>
      <c r="C550" s="1186" t="s">
        <v>26</v>
      </c>
      <c r="D550" s="1186">
        <v>42</v>
      </c>
      <c r="E550" s="1186"/>
      <c r="F550" s="1186">
        <v>6</v>
      </c>
      <c r="G550" s="1186">
        <v>1</v>
      </c>
      <c r="H550" s="1186">
        <v>2</v>
      </c>
      <c r="I550" s="1186">
        <v>3</v>
      </c>
      <c r="J550" s="1186">
        <v>10</v>
      </c>
      <c r="K550" s="1186">
        <v>6</v>
      </c>
      <c r="L550" s="1186">
        <v>3</v>
      </c>
      <c r="M550" s="1186">
        <v>11</v>
      </c>
      <c r="N550" s="1186">
        <v>87650</v>
      </c>
    </row>
    <row r="551" spans="1:14" x14ac:dyDescent="0.2">
      <c r="A551" s="1186" t="s">
        <v>133</v>
      </c>
      <c r="B551" s="1186" t="s">
        <v>116</v>
      </c>
      <c r="C551" s="1186" t="s">
        <v>619</v>
      </c>
      <c r="D551" s="1186">
        <v>931</v>
      </c>
      <c r="E551" s="1186">
        <v>6</v>
      </c>
      <c r="F551" s="1186">
        <v>200</v>
      </c>
      <c r="G551" s="1186">
        <v>2</v>
      </c>
      <c r="H551" s="1186">
        <v>20</v>
      </c>
      <c r="I551" s="1186"/>
      <c r="J551" s="1186">
        <v>186</v>
      </c>
      <c r="K551" s="1186">
        <v>259</v>
      </c>
      <c r="L551" s="1186">
        <v>51</v>
      </c>
      <c r="M551" s="1186">
        <v>207</v>
      </c>
      <c r="N551" s="1186">
        <v>492610</v>
      </c>
    </row>
    <row r="552" spans="1:14" x14ac:dyDescent="0.2">
      <c r="A552" s="1186" t="s">
        <v>133</v>
      </c>
      <c r="B552" s="1186" t="s">
        <v>116</v>
      </c>
      <c r="C552" s="1186" t="s">
        <v>27</v>
      </c>
      <c r="D552" s="1186">
        <v>69</v>
      </c>
      <c r="E552" s="1186"/>
      <c r="F552" s="1186">
        <v>33</v>
      </c>
      <c r="G552" s="1186">
        <v>2</v>
      </c>
      <c r="H552" s="1186"/>
      <c r="I552" s="1186"/>
      <c r="J552" s="1186">
        <v>5</v>
      </c>
      <c r="K552" s="1186">
        <v>13</v>
      </c>
      <c r="L552" s="1186">
        <v>1</v>
      </c>
      <c r="M552" s="1186">
        <v>15</v>
      </c>
      <c r="N552" s="1186">
        <v>51190</v>
      </c>
    </row>
    <row r="553" spans="1:14" x14ac:dyDescent="0.2">
      <c r="A553" s="1186" t="s">
        <v>133</v>
      </c>
      <c r="B553" s="1186" t="s">
        <v>116</v>
      </c>
      <c r="C553" s="1186" t="s">
        <v>28</v>
      </c>
      <c r="D553" s="1186">
        <v>74</v>
      </c>
      <c r="E553" s="1186">
        <v>1</v>
      </c>
      <c r="F553" s="1186">
        <v>21</v>
      </c>
      <c r="G553" s="1186"/>
      <c r="H553" s="1186">
        <v>4</v>
      </c>
      <c r="I553" s="1186"/>
      <c r="J553" s="1186">
        <v>8</v>
      </c>
      <c r="K553" s="1186">
        <v>6</v>
      </c>
      <c r="L553" s="1186">
        <v>1</v>
      </c>
      <c r="M553" s="1186">
        <v>33</v>
      </c>
      <c r="N553" s="1186">
        <v>149960</v>
      </c>
    </row>
    <row r="554" spans="1:14" x14ac:dyDescent="0.2">
      <c r="A554" s="1186" t="s">
        <v>133</v>
      </c>
      <c r="B554" s="1186" t="s">
        <v>116</v>
      </c>
      <c r="C554" s="1186" t="s">
        <v>29</v>
      </c>
      <c r="D554" s="1186">
        <v>522</v>
      </c>
      <c r="E554" s="1186">
        <v>9</v>
      </c>
      <c r="F554" s="1186">
        <v>147</v>
      </c>
      <c r="G554" s="1186">
        <v>1</v>
      </c>
      <c r="H554" s="1186">
        <v>4</v>
      </c>
      <c r="I554" s="1186">
        <v>2</v>
      </c>
      <c r="J554" s="1186">
        <v>64</v>
      </c>
      <c r="K554" s="1186">
        <v>160</v>
      </c>
      <c r="L554" s="1186">
        <v>26</v>
      </c>
      <c r="M554" s="1186">
        <v>109</v>
      </c>
      <c r="N554" s="1186">
        <v>148130</v>
      </c>
    </row>
    <row r="555" spans="1:14" x14ac:dyDescent="0.2">
      <c r="A555" s="1186" t="s">
        <v>133</v>
      </c>
      <c r="B555" s="1186" t="s">
        <v>116</v>
      </c>
      <c r="C555" s="1186" t="s">
        <v>30</v>
      </c>
      <c r="D555" s="1186">
        <v>424</v>
      </c>
      <c r="E555" s="1186">
        <v>16</v>
      </c>
      <c r="F555" s="1186">
        <v>112</v>
      </c>
      <c r="G555" s="1186"/>
      <c r="H555" s="1186">
        <v>3</v>
      </c>
      <c r="I555" s="1186">
        <v>2</v>
      </c>
      <c r="J555" s="1186">
        <v>51</v>
      </c>
      <c r="K555" s="1186">
        <v>86</v>
      </c>
      <c r="L555" s="1186">
        <v>16</v>
      </c>
      <c r="M555" s="1186">
        <v>138</v>
      </c>
      <c r="N555" s="1186">
        <v>122130</v>
      </c>
    </row>
    <row r="556" spans="1:14" x14ac:dyDescent="0.2">
      <c r="A556" s="1186" t="s">
        <v>133</v>
      </c>
      <c r="B556" s="1186" t="s">
        <v>116</v>
      </c>
      <c r="C556" s="1186" t="s">
        <v>31</v>
      </c>
      <c r="D556" s="1186">
        <v>164</v>
      </c>
      <c r="E556" s="1186">
        <v>5</v>
      </c>
      <c r="F556" s="1186">
        <v>46</v>
      </c>
      <c r="G556" s="1186"/>
      <c r="H556" s="1186">
        <v>3</v>
      </c>
      <c r="I556" s="1186"/>
      <c r="J556" s="1186">
        <v>24</v>
      </c>
      <c r="K556" s="1186">
        <v>30</v>
      </c>
      <c r="L556" s="1186">
        <v>6</v>
      </c>
      <c r="M556" s="1186">
        <v>50</v>
      </c>
      <c r="N556" s="1186">
        <v>106710</v>
      </c>
    </row>
    <row r="557" spans="1:14" x14ac:dyDescent="0.2">
      <c r="A557" s="1186" t="s">
        <v>133</v>
      </c>
      <c r="B557" s="1186" t="s">
        <v>116</v>
      </c>
      <c r="C557" s="1186" t="s">
        <v>32</v>
      </c>
      <c r="D557" s="1186">
        <v>97</v>
      </c>
      <c r="E557" s="1186">
        <v>10</v>
      </c>
      <c r="F557" s="1186">
        <v>29</v>
      </c>
      <c r="G557" s="1186">
        <v>7</v>
      </c>
      <c r="H557" s="1186">
        <v>2</v>
      </c>
      <c r="I557" s="1186"/>
      <c r="J557" s="1186">
        <v>17</v>
      </c>
      <c r="K557" s="1186">
        <v>14</v>
      </c>
      <c r="L557" s="1186">
        <v>6</v>
      </c>
      <c r="M557" s="1186">
        <v>12</v>
      </c>
      <c r="N557" s="1186">
        <v>102090</v>
      </c>
    </row>
    <row r="558" spans="1:14" x14ac:dyDescent="0.2">
      <c r="A558" s="1186" t="s">
        <v>133</v>
      </c>
      <c r="B558" s="1186" t="s">
        <v>116</v>
      </c>
      <c r="C558" s="1186" t="s">
        <v>33</v>
      </c>
      <c r="D558" s="1186">
        <v>120</v>
      </c>
      <c r="E558" s="1186">
        <v>6</v>
      </c>
      <c r="F558" s="1186">
        <v>30</v>
      </c>
      <c r="G558" s="1186"/>
      <c r="H558" s="1186">
        <v>6</v>
      </c>
      <c r="I558" s="1186"/>
      <c r="J558" s="1186">
        <v>23</v>
      </c>
      <c r="K558" s="1186">
        <v>15</v>
      </c>
      <c r="L558" s="1186">
        <v>10</v>
      </c>
      <c r="M558" s="1186">
        <v>30</v>
      </c>
      <c r="N558" s="1186">
        <v>92410</v>
      </c>
    </row>
    <row r="559" spans="1:14" x14ac:dyDescent="0.2">
      <c r="A559" s="1186" t="s">
        <v>133</v>
      </c>
      <c r="B559" s="1186" t="s">
        <v>116</v>
      </c>
      <c r="C559" s="1186" t="s">
        <v>34</v>
      </c>
      <c r="D559" s="1186">
        <v>283</v>
      </c>
      <c r="E559" s="1186">
        <v>5</v>
      </c>
      <c r="F559" s="1186">
        <v>93</v>
      </c>
      <c r="G559" s="1186"/>
      <c r="H559" s="1186">
        <v>6</v>
      </c>
      <c r="I559" s="1186">
        <v>2</v>
      </c>
      <c r="J559" s="1186">
        <v>54</v>
      </c>
      <c r="K559" s="1186">
        <v>72</v>
      </c>
      <c r="L559" s="1186">
        <v>2</v>
      </c>
      <c r="M559" s="1186">
        <v>49</v>
      </c>
      <c r="N559" s="1186">
        <v>157690</v>
      </c>
    </row>
    <row r="560" spans="1:14" x14ac:dyDescent="0.2">
      <c r="A560" s="1186" t="s">
        <v>133</v>
      </c>
      <c r="B560" s="1186" t="s">
        <v>116</v>
      </c>
      <c r="C560" s="1186" t="s">
        <v>35</v>
      </c>
      <c r="D560" s="1186">
        <v>531</v>
      </c>
      <c r="E560" s="1186">
        <v>15</v>
      </c>
      <c r="F560" s="1186">
        <v>148</v>
      </c>
      <c r="G560" s="1186">
        <v>5</v>
      </c>
      <c r="H560" s="1186">
        <v>17</v>
      </c>
      <c r="I560" s="1186">
        <v>1</v>
      </c>
      <c r="J560" s="1186">
        <v>20</v>
      </c>
      <c r="K560" s="1186">
        <v>90</v>
      </c>
      <c r="L560" s="1186">
        <v>17</v>
      </c>
      <c r="M560" s="1186">
        <v>218</v>
      </c>
      <c r="N560" s="1186">
        <v>367250</v>
      </c>
    </row>
    <row r="561" spans="1:14" x14ac:dyDescent="0.2">
      <c r="A561" s="1186" t="s">
        <v>133</v>
      </c>
      <c r="B561" s="1186" t="s">
        <v>116</v>
      </c>
      <c r="C561" s="1186" t="s">
        <v>36</v>
      </c>
      <c r="D561" s="1186">
        <v>2454</v>
      </c>
      <c r="E561" s="1186">
        <v>76</v>
      </c>
      <c r="F561" s="1186">
        <v>539</v>
      </c>
      <c r="G561" s="1186">
        <v>5</v>
      </c>
      <c r="H561" s="1186">
        <v>27</v>
      </c>
      <c r="I561" s="1186">
        <v>7</v>
      </c>
      <c r="J561" s="1186">
        <v>292</v>
      </c>
      <c r="K561" s="1186">
        <v>774</v>
      </c>
      <c r="L561" s="1186">
        <v>112</v>
      </c>
      <c r="M561" s="1186">
        <v>622</v>
      </c>
      <c r="N561" s="1186">
        <v>599640</v>
      </c>
    </row>
    <row r="562" spans="1:14" x14ac:dyDescent="0.2">
      <c r="A562" s="1186" t="s">
        <v>133</v>
      </c>
      <c r="B562" s="1186" t="s">
        <v>116</v>
      </c>
      <c r="C562" s="1186" t="s">
        <v>37</v>
      </c>
      <c r="D562" s="1186">
        <v>129</v>
      </c>
      <c r="E562" s="1186">
        <v>6</v>
      </c>
      <c r="F562" s="1186">
        <v>65</v>
      </c>
      <c r="G562" s="1186">
        <v>1</v>
      </c>
      <c r="H562" s="1186">
        <v>5</v>
      </c>
      <c r="I562" s="1186"/>
      <c r="J562" s="1186">
        <v>15</v>
      </c>
      <c r="K562" s="1186">
        <v>16</v>
      </c>
      <c r="L562" s="1186">
        <v>2</v>
      </c>
      <c r="M562" s="1186">
        <v>19</v>
      </c>
      <c r="N562" s="1186">
        <v>233080</v>
      </c>
    </row>
    <row r="563" spans="1:14" x14ac:dyDescent="0.2">
      <c r="A563" s="1186" t="s">
        <v>133</v>
      </c>
      <c r="B563" s="1186" t="s">
        <v>116</v>
      </c>
      <c r="C563" s="1186" t="s">
        <v>38</v>
      </c>
      <c r="D563" s="1186">
        <v>375</v>
      </c>
      <c r="E563" s="1186">
        <v>19</v>
      </c>
      <c r="F563" s="1186">
        <v>136</v>
      </c>
      <c r="G563" s="1186"/>
      <c r="H563" s="1186">
        <v>6</v>
      </c>
      <c r="I563" s="1186"/>
      <c r="J563" s="1186">
        <v>52</v>
      </c>
      <c r="K563" s="1186">
        <v>58</v>
      </c>
      <c r="L563" s="1186">
        <v>9</v>
      </c>
      <c r="M563" s="1186">
        <v>95</v>
      </c>
      <c r="N563" s="1186">
        <v>79890</v>
      </c>
    </row>
    <row r="564" spans="1:14" x14ac:dyDescent="0.2">
      <c r="A564" s="1186" t="s">
        <v>133</v>
      </c>
      <c r="B564" s="1186" t="s">
        <v>116</v>
      </c>
      <c r="C564" s="1186" t="s">
        <v>39</v>
      </c>
      <c r="D564" s="1186">
        <v>210</v>
      </c>
      <c r="E564" s="1186">
        <v>1</v>
      </c>
      <c r="F564" s="1186">
        <v>71</v>
      </c>
      <c r="G564" s="1186">
        <v>1</v>
      </c>
      <c r="H564" s="1186">
        <v>4</v>
      </c>
      <c r="I564" s="1186"/>
      <c r="J564" s="1186">
        <v>65</v>
      </c>
      <c r="K564" s="1186">
        <v>29</v>
      </c>
      <c r="L564" s="1186">
        <v>5</v>
      </c>
      <c r="M564" s="1186">
        <v>34</v>
      </c>
      <c r="N564" s="1186">
        <v>86220</v>
      </c>
    </row>
    <row r="565" spans="1:14" x14ac:dyDescent="0.2">
      <c r="A565" s="1186" t="s">
        <v>133</v>
      </c>
      <c r="B565" s="1186" t="s">
        <v>116</v>
      </c>
      <c r="C565" s="1186" t="s">
        <v>40</v>
      </c>
      <c r="D565" s="1186">
        <v>53</v>
      </c>
      <c r="E565" s="1186">
        <v>4</v>
      </c>
      <c r="F565" s="1186">
        <v>24</v>
      </c>
      <c r="G565" s="1186"/>
      <c r="H565" s="1186">
        <v>2</v>
      </c>
      <c r="I565" s="1186">
        <v>1</v>
      </c>
      <c r="J565" s="1186"/>
      <c r="K565" s="1186">
        <v>6</v>
      </c>
      <c r="L565" s="1186">
        <v>1</v>
      </c>
      <c r="M565" s="1186">
        <v>15</v>
      </c>
      <c r="N565" s="1186">
        <v>94770</v>
      </c>
    </row>
    <row r="566" spans="1:14" x14ac:dyDescent="0.2">
      <c r="A566" s="1186" t="s">
        <v>133</v>
      </c>
      <c r="B566" s="1186" t="s">
        <v>116</v>
      </c>
      <c r="C566" s="1186" t="s">
        <v>295</v>
      </c>
      <c r="D566" s="1186">
        <v>3</v>
      </c>
      <c r="E566" s="1186"/>
      <c r="F566" s="1186">
        <v>1</v>
      </c>
      <c r="G566" s="1186"/>
      <c r="H566" s="1186"/>
      <c r="I566" s="1186"/>
      <c r="J566" s="1186"/>
      <c r="K566" s="1186">
        <v>1</v>
      </c>
      <c r="L566" s="1186"/>
      <c r="M566" s="1186">
        <v>1</v>
      </c>
      <c r="N566" s="1186">
        <v>27250</v>
      </c>
    </row>
    <row r="567" spans="1:14" x14ac:dyDescent="0.2">
      <c r="A567" s="1186" t="s">
        <v>133</v>
      </c>
      <c r="B567" s="1186" t="s">
        <v>116</v>
      </c>
      <c r="C567" s="1186" t="s">
        <v>41</v>
      </c>
      <c r="D567" s="1186">
        <v>389</v>
      </c>
      <c r="E567" s="1186">
        <v>8</v>
      </c>
      <c r="F567" s="1186">
        <v>112</v>
      </c>
      <c r="G567" s="1186">
        <v>2</v>
      </c>
      <c r="H567" s="1186">
        <v>7</v>
      </c>
      <c r="I567" s="1186">
        <v>4</v>
      </c>
      <c r="J567" s="1186">
        <v>82</v>
      </c>
      <c r="K567" s="1186">
        <v>89</v>
      </c>
      <c r="L567" s="1186">
        <v>14</v>
      </c>
      <c r="M567" s="1186">
        <v>71</v>
      </c>
      <c r="N567" s="1186">
        <v>136480</v>
      </c>
    </row>
    <row r="568" spans="1:14" x14ac:dyDescent="0.2">
      <c r="A568" s="1186" t="s">
        <v>133</v>
      </c>
      <c r="B568" s="1186" t="s">
        <v>116</v>
      </c>
      <c r="C568" s="1186" t="s">
        <v>42</v>
      </c>
      <c r="D568" s="1186">
        <v>1379</v>
      </c>
      <c r="E568" s="1186">
        <v>15</v>
      </c>
      <c r="F568" s="1186">
        <v>419</v>
      </c>
      <c r="G568" s="1186">
        <v>3</v>
      </c>
      <c r="H568" s="1186">
        <v>14</v>
      </c>
      <c r="I568" s="1186">
        <v>1</v>
      </c>
      <c r="J568" s="1186">
        <v>186</v>
      </c>
      <c r="K568" s="1186">
        <v>267</v>
      </c>
      <c r="L568" s="1186">
        <v>31</v>
      </c>
      <c r="M568" s="1186">
        <v>443</v>
      </c>
      <c r="N568" s="1186">
        <v>338000</v>
      </c>
    </row>
    <row r="569" spans="1:14" x14ac:dyDescent="0.2">
      <c r="A569" s="1186" t="s">
        <v>133</v>
      </c>
      <c r="B569" s="1186" t="s">
        <v>116</v>
      </c>
      <c r="C569" s="1186" t="s">
        <v>43</v>
      </c>
      <c r="D569" s="1186">
        <v>2</v>
      </c>
      <c r="E569" s="1186"/>
      <c r="F569" s="1186">
        <v>1</v>
      </c>
      <c r="G569" s="1186"/>
      <c r="H569" s="1186"/>
      <c r="I569" s="1186"/>
      <c r="J569" s="1186">
        <v>1</v>
      </c>
      <c r="K569" s="1186"/>
      <c r="L569" s="1186"/>
      <c r="M569" s="1186"/>
      <c r="N569" s="1186">
        <v>21580</v>
      </c>
    </row>
    <row r="570" spans="1:14" x14ac:dyDescent="0.2">
      <c r="A570" s="1186" t="s">
        <v>133</v>
      </c>
      <c r="B570" s="1186" t="s">
        <v>116</v>
      </c>
      <c r="C570" s="1186" t="s">
        <v>44</v>
      </c>
      <c r="D570" s="1186">
        <v>60</v>
      </c>
      <c r="E570" s="1186">
        <v>4</v>
      </c>
      <c r="F570" s="1186">
        <v>17</v>
      </c>
      <c r="G570" s="1186"/>
      <c r="H570" s="1186">
        <v>4</v>
      </c>
      <c r="I570" s="1186">
        <v>1</v>
      </c>
      <c r="J570" s="1186">
        <v>10</v>
      </c>
      <c r="K570" s="1186">
        <v>9</v>
      </c>
      <c r="L570" s="1186">
        <v>2</v>
      </c>
      <c r="M570" s="1186">
        <v>13</v>
      </c>
      <c r="N570" s="1186">
        <v>148930</v>
      </c>
    </row>
    <row r="571" spans="1:14" x14ac:dyDescent="0.2">
      <c r="A571" s="1186" t="s">
        <v>133</v>
      </c>
      <c r="B571" s="1186" t="s">
        <v>116</v>
      </c>
      <c r="C571" s="1186" t="s">
        <v>45</v>
      </c>
      <c r="D571" s="1186">
        <v>444</v>
      </c>
      <c r="E571" s="1186">
        <v>22</v>
      </c>
      <c r="F571" s="1186">
        <v>92</v>
      </c>
      <c r="G571" s="1186"/>
      <c r="H571" s="1186">
        <v>5</v>
      </c>
      <c r="I571" s="1186">
        <v>4</v>
      </c>
      <c r="J571" s="1186">
        <v>72</v>
      </c>
      <c r="K571" s="1186">
        <v>96</v>
      </c>
      <c r="L571" s="1186">
        <v>28</v>
      </c>
      <c r="M571" s="1186">
        <v>125</v>
      </c>
      <c r="N571" s="1186">
        <v>174230</v>
      </c>
    </row>
    <row r="572" spans="1:14" x14ac:dyDescent="0.2">
      <c r="A572" s="1186" t="s">
        <v>133</v>
      </c>
      <c r="B572" s="1186" t="s">
        <v>116</v>
      </c>
      <c r="C572" s="1186" t="s">
        <v>46</v>
      </c>
      <c r="D572" s="1186">
        <v>65</v>
      </c>
      <c r="E572" s="1186">
        <v>1</v>
      </c>
      <c r="F572" s="1186">
        <v>28</v>
      </c>
      <c r="G572" s="1186">
        <v>1</v>
      </c>
      <c r="H572" s="1186">
        <v>4</v>
      </c>
      <c r="I572" s="1186"/>
      <c r="J572" s="1186">
        <v>9</v>
      </c>
      <c r="K572" s="1186">
        <v>9</v>
      </c>
      <c r="L572" s="1186">
        <v>2</v>
      </c>
      <c r="M572" s="1186">
        <v>11</v>
      </c>
      <c r="N572" s="1186">
        <v>114040</v>
      </c>
    </row>
    <row r="573" spans="1:14" x14ac:dyDescent="0.2">
      <c r="A573" s="1186" t="s">
        <v>133</v>
      </c>
      <c r="B573" s="1186" t="s">
        <v>116</v>
      </c>
      <c r="C573" s="1186" t="s">
        <v>47</v>
      </c>
      <c r="D573" s="1186">
        <v>4</v>
      </c>
      <c r="E573" s="1186"/>
      <c r="F573" s="1186">
        <v>1</v>
      </c>
      <c r="G573" s="1186"/>
      <c r="H573" s="1186"/>
      <c r="I573" s="1186"/>
      <c r="J573" s="1186">
        <v>2</v>
      </c>
      <c r="K573" s="1186">
        <v>1</v>
      </c>
      <c r="L573" s="1186"/>
      <c r="M573" s="1186"/>
      <c r="N573" s="1186">
        <v>23220</v>
      </c>
    </row>
    <row r="574" spans="1:14" x14ac:dyDescent="0.2">
      <c r="A574" s="1186" t="s">
        <v>133</v>
      </c>
      <c r="B574" s="1186" t="s">
        <v>116</v>
      </c>
      <c r="C574" s="1186" t="s">
        <v>48</v>
      </c>
      <c r="D574" s="1186">
        <v>189</v>
      </c>
      <c r="E574" s="1186">
        <v>5</v>
      </c>
      <c r="F574" s="1186">
        <v>57</v>
      </c>
      <c r="G574" s="1186">
        <v>1</v>
      </c>
      <c r="H574" s="1186">
        <v>4</v>
      </c>
      <c r="I574" s="1186">
        <v>1</v>
      </c>
      <c r="J574" s="1186">
        <v>31</v>
      </c>
      <c r="K574" s="1186">
        <v>52</v>
      </c>
      <c r="L574" s="1186">
        <v>6</v>
      </c>
      <c r="M574" s="1186">
        <v>32</v>
      </c>
      <c r="N574" s="1186">
        <v>112530</v>
      </c>
    </row>
    <row r="575" spans="1:14" x14ac:dyDescent="0.2">
      <c r="A575" s="1186" t="s">
        <v>133</v>
      </c>
      <c r="B575" s="1186" t="s">
        <v>116</v>
      </c>
      <c r="C575" s="1186" t="s">
        <v>49</v>
      </c>
      <c r="D575" s="1186">
        <v>821</v>
      </c>
      <c r="E575" s="1186">
        <v>19</v>
      </c>
      <c r="F575" s="1186">
        <v>200</v>
      </c>
      <c r="G575" s="1186">
        <v>2</v>
      </c>
      <c r="H575" s="1186">
        <v>7</v>
      </c>
      <c r="I575" s="1186">
        <v>2</v>
      </c>
      <c r="J575" s="1186">
        <v>93</v>
      </c>
      <c r="K575" s="1186">
        <v>197</v>
      </c>
      <c r="L575" s="1186">
        <v>19</v>
      </c>
      <c r="M575" s="1186">
        <v>282</v>
      </c>
      <c r="N575" s="1186">
        <v>315300</v>
      </c>
    </row>
    <row r="576" spans="1:14" x14ac:dyDescent="0.2">
      <c r="A576" s="1186" t="s">
        <v>133</v>
      </c>
      <c r="B576" s="1186" t="s">
        <v>116</v>
      </c>
      <c r="C576" s="1186" t="s">
        <v>50</v>
      </c>
      <c r="D576" s="1186">
        <v>68</v>
      </c>
      <c r="E576" s="1186">
        <v>5</v>
      </c>
      <c r="F576" s="1186">
        <v>23</v>
      </c>
      <c r="G576" s="1186">
        <v>1</v>
      </c>
      <c r="H576" s="1186">
        <v>3</v>
      </c>
      <c r="I576" s="1186"/>
      <c r="J576" s="1186">
        <v>10</v>
      </c>
      <c r="K576" s="1186">
        <v>10</v>
      </c>
      <c r="L576" s="1186">
        <v>2</v>
      </c>
      <c r="M576" s="1186">
        <v>14</v>
      </c>
      <c r="N576" s="1186">
        <v>91520</v>
      </c>
    </row>
    <row r="577" spans="1:14" x14ac:dyDescent="0.2">
      <c r="A577" s="1186" t="s">
        <v>133</v>
      </c>
      <c r="B577" s="1186" t="s">
        <v>116</v>
      </c>
      <c r="C577" s="1186" t="s">
        <v>51</v>
      </c>
      <c r="D577" s="1186">
        <v>313</v>
      </c>
      <c r="E577" s="1186">
        <v>8</v>
      </c>
      <c r="F577" s="1186">
        <v>105</v>
      </c>
      <c r="G577" s="1186">
        <v>3</v>
      </c>
      <c r="H577" s="1186">
        <v>2</v>
      </c>
      <c r="I577" s="1186">
        <v>2</v>
      </c>
      <c r="J577" s="1186">
        <v>49</v>
      </c>
      <c r="K577" s="1186">
        <v>67</v>
      </c>
      <c r="L577" s="1186">
        <v>6</v>
      </c>
      <c r="M577" s="1186">
        <v>71</v>
      </c>
      <c r="N577" s="1186">
        <v>89710</v>
      </c>
    </row>
    <row r="578" spans="1:14" x14ac:dyDescent="0.2">
      <c r="A578" s="1186" t="s">
        <v>133</v>
      </c>
      <c r="B578" s="1186" t="s">
        <v>116</v>
      </c>
      <c r="C578" s="1186" t="s">
        <v>52</v>
      </c>
      <c r="D578" s="1186">
        <v>451</v>
      </c>
      <c r="E578" s="1186">
        <v>8</v>
      </c>
      <c r="F578" s="1186">
        <v>158</v>
      </c>
      <c r="G578" s="1186">
        <v>1</v>
      </c>
      <c r="H578" s="1186">
        <v>3</v>
      </c>
      <c r="I578" s="1186">
        <v>1</v>
      </c>
      <c r="J578" s="1186">
        <v>72</v>
      </c>
      <c r="K578" s="1186">
        <v>120</v>
      </c>
      <c r="L578" s="1186">
        <v>16</v>
      </c>
      <c r="M578" s="1186">
        <v>72</v>
      </c>
      <c r="N578" s="1186">
        <v>177200</v>
      </c>
    </row>
    <row r="579" spans="1:14" x14ac:dyDescent="0.2">
      <c r="A579" s="1186" t="s">
        <v>144</v>
      </c>
      <c r="B579" s="1186" t="s">
        <v>116</v>
      </c>
      <c r="C579" s="1186" t="s">
        <v>23</v>
      </c>
      <c r="D579" s="1186">
        <v>319</v>
      </c>
      <c r="E579" s="1186">
        <v>20</v>
      </c>
      <c r="F579" s="1186">
        <v>55</v>
      </c>
      <c r="G579" s="1186"/>
      <c r="H579" s="1186">
        <v>4</v>
      </c>
      <c r="I579" s="1186">
        <v>1</v>
      </c>
      <c r="J579" s="1186"/>
      <c r="K579" s="1186">
        <v>141</v>
      </c>
      <c r="L579" s="1186">
        <v>10</v>
      </c>
      <c r="M579" s="1186">
        <v>88</v>
      </c>
      <c r="N579" s="1186">
        <v>230350</v>
      </c>
    </row>
    <row r="580" spans="1:14" x14ac:dyDescent="0.2">
      <c r="A580" s="1186" t="s">
        <v>144</v>
      </c>
      <c r="B580" s="1186" t="s">
        <v>116</v>
      </c>
      <c r="C580" s="1186" t="s">
        <v>24</v>
      </c>
      <c r="D580" s="1186">
        <v>92</v>
      </c>
      <c r="E580" s="1186">
        <v>6</v>
      </c>
      <c r="F580" s="1186">
        <v>26</v>
      </c>
      <c r="G580" s="1186"/>
      <c r="H580" s="1186">
        <v>4</v>
      </c>
      <c r="I580" s="1186">
        <v>2</v>
      </c>
      <c r="J580" s="1186">
        <v>1</v>
      </c>
      <c r="K580" s="1186">
        <v>7</v>
      </c>
      <c r="L580" s="1186">
        <v>5</v>
      </c>
      <c r="M580" s="1186">
        <v>41</v>
      </c>
      <c r="N580" s="1186">
        <v>261960</v>
      </c>
    </row>
    <row r="581" spans="1:14" x14ac:dyDescent="0.2">
      <c r="A581" s="1186" t="s">
        <v>144</v>
      </c>
      <c r="B581" s="1186" t="s">
        <v>116</v>
      </c>
      <c r="C581" s="1186" t="s">
        <v>25</v>
      </c>
      <c r="D581" s="1186">
        <v>92</v>
      </c>
      <c r="E581" s="1186">
        <v>3</v>
      </c>
      <c r="F581" s="1186">
        <v>45</v>
      </c>
      <c r="G581" s="1186"/>
      <c r="H581" s="1186">
        <v>2</v>
      </c>
      <c r="I581" s="1186">
        <v>1</v>
      </c>
      <c r="J581" s="1186">
        <v>15</v>
      </c>
      <c r="K581" s="1186">
        <v>13</v>
      </c>
      <c r="L581" s="1186">
        <v>3</v>
      </c>
      <c r="M581" s="1186">
        <v>10</v>
      </c>
      <c r="N581" s="1186">
        <v>116900</v>
      </c>
    </row>
    <row r="582" spans="1:14" x14ac:dyDescent="0.2">
      <c r="A582" s="1186" t="s">
        <v>144</v>
      </c>
      <c r="B582" s="1186" t="s">
        <v>116</v>
      </c>
      <c r="C582" s="1186" t="s">
        <v>26</v>
      </c>
      <c r="D582" s="1186">
        <v>39</v>
      </c>
      <c r="E582" s="1186">
        <v>2</v>
      </c>
      <c r="F582" s="1186">
        <v>16</v>
      </c>
      <c r="G582" s="1186"/>
      <c r="H582" s="1186"/>
      <c r="I582" s="1186"/>
      <c r="J582" s="1186">
        <v>10</v>
      </c>
      <c r="K582" s="1186">
        <v>6</v>
      </c>
      <c r="L582" s="1186">
        <v>1</v>
      </c>
      <c r="M582" s="1186">
        <v>4</v>
      </c>
      <c r="N582" s="1186">
        <v>86890</v>
      </c>
    </row>
    <row r="583" spans="1:14" x14ac:dyDescent="0.2">
      <c r="A583" s="1186" t="s">
        <v>144</v>
      </c>
      <c r="B583" s="1186" t="s">
        <v>116</v>
      </c>
      <c r="C583" s="1186" t="s">
        <v>619</v>
      </c>
      <c r="D583" s="1186">
        <v>1309</v>
      </c>
      <c r="E583" s="1186">
        <v>17</v>
      </c>
      <c r="F583" s="1186">
        <v>329</v>
      </c>
      <c r="G583" s="1186">
        <v>1</v>
      </c>
      <c r="H583" s="1186">
        <v>19</v>
      </c>
      <c r="I583" s="1186">
        <v>2</v>
      </c>
      <c r="J583" s="1186">
        <v>273</v>
      </c>
      <c r="K583" s="1186">
        <v>365</v>
      </c>
      <c r="L583" s="1186">
        <v>86</v>
      </c>
      <c r="M583" s="1186">
        <v>217</v>
      </c>
      <c r="N583" s="1186">
        <v>498810</v>
      </c>
    </row>
    <row r="584" spans="1:14" x14ac:dyDescent="0.2">
      <c r="A584" s="1186" t="s">
        <v>144</v>
      </c>
      <c r="B584" s="1186" t="s">
        <v>116</v>
      </c>
      <c r="C584" s="1186" t="s">
        <v>27</v>
      </c>
      <c r="D584" s="1186">
        <v>83</v>
      </c>
      <c r="E584" s="1186">
        <v>2</v>
      </c>
      <c r="F584" s="1186">
        <v>27</v>
      </c>
      <c r="G584" s="1186">
        <v>2</v>
      </c>
      <c r="H584" s="1186">
        <v>1</v>
      </c>
      <c r="I584" s="1186"/>
      <c r="J584" s="1186">
        <v>9</v>
      </c>
      <c r="K584" s="1186">
        <v>19</v>
      </c>
      <c r="L584" s="1186">
        <v>6</v>
      </c>
      <c r="M584" s="1186">
        <v>17</v>
      </c>
      <c r="N584" s="1186">
        <v>51360</v>
      </c>
    </row>
    <row r="585" spans="1:14" x14ac:dyDescent="0.2">
      <c r="A585" s="1186" t="s">
        <v>144</v>
      </c>
      <c r="B585" s="1186" t="s">
        <v>116</v>
      </c>
      <c r="C585" s="1186" t="s">
        <v>28</v>
      </c>
      <c r="D585" s="1186">
        <v>94</v>
      </c>
      <c r="E585" s="1186">
        <v>6</v>
      </c>
      <c r="F585" s="1186">
        <v>33</v>
      </c>
      <c r="G585" s="1186"/>
      <c r="H585" s="1186">
        <v>3</v>
      </c>
      <c r="I585" s="1186">
        <v>2</v>
      </c>
      <c r="J585" s="1186">
        <v>5</v>
      </c>
      <c r="K585" s="1186">
        <v>14</v>
      </c>
      <c r="L585" s="1186">
        <v>4</v>
      </c>
      <c r="M585" s="1186">
        <v>27</v>
      </c>
      <c r="N585" s="1186">
        <v>149670</v>
      </c>
    </row>
    <row r="586" spans="1:14" x14ac:dyDescent="0.2">
      <c r="A586" s="1186" t="s">
        <v>144</v>
      </c>
      <c r="B586" s="1186" t="s">
        <v>116</v>
      </c>
      <c r="C586" s="1186" t="s">
        <v>29</v>
      </c>
      <c r="D586" s="1186">
        <v>540</v>
      </c>
      <c r="E586" s="1186">
        <v>25</v>
      </c>
      <c r="F586" s="1186">
        <v>160</v>
      </c>
      <c r="G586" s="1186">
        <v>4</v>
      </c>
      <c r="H586" s="1186">
        <v>9</v>
      </c>
      <c r="I586" s="1186">
        <v>2</v>
      </c>
      <c r="J586" s="1186">
        <v>70</v>
      </c>
      <c r="K586" s="1186">
        <v>167</v>
      </c>
      <c r="L586" s="1186">
        <v>25</v>
      </c>
      <c r="M586" s="1186">
        <v>78</v>
      </c>
      <c r="N586" s="1186">
        <v>148210</v>
      </c>
    </row>
    <row r="587" spans="1:14" x14ac:dyDescent="0.2">
      <c r="A587" s="1186" t="s">
        <v>144</v>
      </c>
      <c r="B587" s="1186" t="s">
        <v>116</v>
      </c>
      <c r="C587" s="1186" t="s">
        <v>30</v>
      </c>
      <c r="D587" s="1186">
        <v>593</v>
      </c>
      <c r="E587" s="1186">
        <v>9</v>
      </c>
      <c r="F587" s="1186">
        <v>213</v>
      </c>
      <c r="G587" s="1186">
        <v>3</v>
      </c>
      <c r="H587" s="1186">
        <v>4</v>
      </c>
      <c r="I587" s="1186">
        <v>4</v>
      </c>
      <c r="J587" s="1186">
        <v>65</v>
      </c>
      <c r="K587" s="1186">
        <v>119</v>
      </c>
      <c r="L587" s="1186">
        <v>33</v>
      </c>
      <c r="M587" s="1186">
        <v>143</v>
      </c>
      <c r="N587" s="1186">
        <v>122060</v>
      </c>
    </row>
    <row r="588" spans="1:14" x14ac:dyDescent="0.2">
      <c r="A588" s="1186" t="s">
        <v>144</v>
      </c>
      <c r="B588" s="1186" t="s">
        <v>116</v>
      </c>
      <c r="C588" s="1186" t="s">
        <v>31</v>
      </c>
      <c r="D588" s="1186">
        <v>160</v>
      </c>
      <c r="E588" s="1186">
        <v>3</v>
      </c>
      <c r="F588" s="1186">
        <v>52</v>
      </c>
      <c r="G588" s="1186">
        <v>2</v>
      </c>
      <c r="H588" s="1186">
        <v>4</v>
      </c>
      <c r="I588" s="1186">
        <v>1</v>
      </c>
      <c r="J588" s="1186">
        <v>30</v>
      </c>
      <c r="K588" s="1186">
        <v>20</v>
      </c>
      <c r="L588" s="1186">
        <v>6</v>
      </c>
      <c r="M588" s="1186">
        <v>42</v>
      </c>
      <c r="N588" s="1186">
        <v>106960</v>
      </c>
    </row>
    <row r="589" spans="1:14" x14ac:dyDescent="0.2">
      <c r="A589" s="1186" t="s">
        <v>144</v>
      </c>
      <c r="B589" s="1186" t="s">
        <v>116</v>
      </c>
      <c r="C589" s="1186" t="s">
        <v>32</v>
      </c>
      <c r="D589" s="1186">
        <v>137</v>
      </c>
      <c r="E589" s="1186">
        <v>4</v>
      </c>
      <c r="F589" s="1186">
        <v>42</v>
      </c>
      <c r="G589" s="1186">
        <v>6</v>
      </c>
      <c r="H589" s="1186">
        <v>4</v>
      </c>
      <c r="I589" s="1186">
        <v>1</v>
      </c>
      <c r="J589" s="1186">
        <v>29</v>
      </c>
      <c r="K589" s="1186">
        <v>22</v>
      </c>
      <c r="L589" s="1186">
        <v>5</v>
      </c>
      <c r="M589" s="1186">
        <v>24</v>
      </c>
      <c r="N589" s="1186">
        <v>103050</v>
      </c>
    </row>
    <row r="590" spans="1:14" x14ac:dyDescent="0.2">
      <c r="A590" s="1186" t="s">
        <v>144</v>
      </c>
      <c r="B590" s="1186" t="s">
        <v>116</v>
      </c>
      <c r="C590" s="1186" t="s">
        <v>33</v>
      </c>
      <c r="D590" s="1186">
        <v>137</v>
      </c>
      <c r="E590" s="1186">
        <v>6</v>
      </c>
      <c r="F590" s="1186">
        <v>40</v>
      </c>
      <c r="G590" s="1186">
        <v>1</v>
      </c>
      <c r="H590" s="1186">
        <v>8</v>
      </c>
      <c r="I590" s="1186"/>
      <c r="J590" s="1186">
        <v>27</v>
      </c>
      <c r="K590" s="1186">
        <v>20</v>
      </c>
      <c r="L590" s="1186">
        <v>8</v>
      </c>
      <c r="M590" s="1186">
        <v>27</v>
      </c>
      <c r="N590" s="1186">
        <v>92940</v>
      </c>
    </row>
    <row r="591" spans="1:14" x14ac:dyDescent="0.2">
      <c r="A591" s="1186" t="s">
        <v>144</v>
      </c>
      <c r="B591" s="1186" t="s">
        <v>116</v>
      </c>
      <c r="C591" s="1186" t="s">
        <v>34</v>
      </c>
      <c r="D591" s="1186">
        <v>287</v>
      </c>
      <c r="E591" s="1186">
        <v>4</v>
      </c>
      <c r="F591" s="1186">
        <v>113</v>
      </c>
      <c r="G591" s="1186">
        <v>3</v>
      </c>
      <c r="H591" s="1186">
        <v>7</v>
      </c>
      <c r="I591" s="1186">
        <v>1</v>
      </c>
      <c r="J591" s="1186">
        <v>54</v>
      </c>
      <c r="K591" s="1186">
        <v>53</v>
      </c>
      <c r="L591" s="1186">
        <v>6</v>
      </c>
      <c r="M591" s="1186">
        <v>46</v>
      </c>
      <c r="N591" s="1186">
        <v>158460</v>
      </c>
    </row>
    <row r="592" spans="1:14" x14ac:dyDescent="0.2">
      <c r="A592" s="1186" t="s">
        <v>144</v>
      </c>
      <c r="B592" s="1186" t="s">
        <v>116</v>
      </c>
      <c r="C592" s="1186" t="s">
        <v>35</v>
      </c>
      <c r="D592" s="1186">
        <v>582</v>
      </c>
      <c r="E592" s="1186">
        <v>15</v>
      </c>
      <c r="F592" s="1186">
        <v>202</v>
      </c>
      <c r="G592" s="1186">
        <v>1</v>
      </c>
      <c r="H592" s="1186">
        <v>13</v>
      </c>
      <c r="I592" s="1186">
        <v>3</v>
      </c>
      <c r="J592" s="1186">
        <v>55</v>
      </c>
      <c r="K592" s="1186">
        <v>89</v>
      </c>
      <c r="L592" s="1186">
        <v>10</v>
      </c>
      <c r="M592" s="1186">
        <v>194</v>
      </c>
      <c r="N592" s="1186">
        <v>368080</v>
      </c>
    </row>
    <row r="593" spans="1:14" x14ac:dyDescent="0.2">
      <c r="A593" s="1186" t="s">
        <v>144</v>
      </c>
      <c r="B593" s="1186" t="s">
        <v>116</v>
      </c>
      <c r="C593" s="1186" t="s">
        <v>36</v>
      </c>
      <c r="D593" s="1186">
        <v>2297</v>
      </c>
      <c r="E593" s="1186">
        <v>71</v>
      </c>
      <c r="F593" s="1186">
        <v>482</v>
      </c>
      <c r="G593" s="1186">
        <v>3</v>
      </c>
      <c r="H593" s="1186">
        <v>28</v>
      </c>
      <c r="I593" s="1186">
        <v>9</v>
      </c>
      <c r="J593" s="1186">
        <v>298</v>
      </c>
      <c r="K593" s="1186">
        <v>707</v>
      </c>
      <c r="L593" s="1186">
        <v>72</v>
      </c>
      <c r="M593" s="1186">
        <v>627</v>
      </c>
      <c r="N593" s="1186">
        <v>606340</v>
      </c>
    </row>
    <row r="594" spans="1:14" x14ac:dyDescent="0.2">
      <c r="A594" s="1186" t="s">
        <v>144</v>
      </c>
      <c r="B594" s="1186" t="s">
        <v>116</v>
      </c>
      <c r="C594" s="1186" t="s">
        <v>37</v>
      </c>
      <c r="D594" s="1186">
        <v>75</v>
      </c>
      <c r="E594" s="1186">
        <v>3</v>
      </c>
      <c r="F594" s="1186">
        <v>37</v>
      </c>
      <c r="G594" s="1186">
        <v>1</v>
      </c>
      <c r="H594" s="1186">
        <v>4</v>
      </c>
      <c r="I594" s="1186">
        <v>1</v>
      </c>
      <c r="J594" s="1186">
        <v>11</v>
      </c>
      <c r="K594" s="1186">
        <v>9</v>
      </c>
      <c r="L594" s="1186">
        <v>1</v>
      </c>
      <c r="M594" s="1186">
        <v>8</v>
      </c>
      <c r="N594" s="1186">
        <v>234110</v>
      </c>
    </row>
    <row r="595" spans="1:14" x14ac:dyDescent="0.2">
      <c r="A595" s="1186" t="s">
        <v>144</v>
      </c>
      <c r="B595" s="1186" t="s">
        <v>116</v>
      </c>
      <c r="C595" s="1186" t="s">
        <v>38</v>
      </c>
      <c r="D595" s="1186">
        <v>393</v>
      </c>
      <c r="E595" s="1186">
        <v>16</v>
      </c>
      <c r="F595" s="1186">
        <v>157</v>
      </c>
      <c r="G595" s="1186"/>
      <c r="H595" s="1186">
        <v>8</v>
      </c>
      <c r="I595" s="1186"/>
      <c r="J595" s="1186">
        <v>50</v>
      </c>
      <c r="K595" s="1186">
        <v>59</v>
      </c>
      <c r="L595" s="1186">
        <v>18</v>
      </c>
      <c r="M595" s="1186">
        <v>85</v>
      </c>
      <c r="N595" s="1186">
        <v>79500</v>
      </c>
    </row>
    <row r="596" spans="1:14" x14ac:dyDescent="0.2">
      <c r="A596" s="1186" t="s">
        <v>144</v>
      </c>
      <c r="B596" s="1186" t="s">
        <v>116</v>
      </c>
      <c r="C596" s="1186" t="s">
        <v>39</v>
      </c>
      <c r="D596" s="1186">
        <v>222</v>
      </c>
      <c r="E596" s="1186">
        <v>4</v>
      </c>
      <c r="F596" s="1186">
        <v>81</v>
      </c>
      <c r="G596" s="1186">
        <v>5</v>
      </c>
      <c r="H596" s="1186">
        <v>5</v>
      </c>
      <c r="I596" s="1186"/>
      <c r="J596" s="1186">
        <v>35</v>
      </c>
      <c r="K596" s="1186">
        <v>38</v>
      </c>
      <c r="L596" s="1186">
        <v>10</v>
      </c>
      <c r="M596" s="1186">
        <v>44</v>
      </c>
      <c r="N596" s="1186">
        <v>87390</v>
      </c>
    </row>
    <row r="597" spans="1:14" x14ac:dyDescent="0.2">
      <c r="A597" s="1186" t="s">
        <v>144</v>
      </c>
      <c r="B597" s="1186" t="s">
        <v>116</v>
      </c>
      <c r="C597" s="1186" t="s">
        <v>40</v>
      </c>
      <c r="D597" s="1186">
        <v>52</v>
      </c>
      <c r="E597" s="1186">
        <v>2</v>
      </c>
      <c r="F597" s="1186">
        <v>23</v>
      </c>
      <c r="G597" s="1186"/>
      <c r="H597" s="1186"/>
      <c r="I597" s="1186">
        <v>1</v>
      </c>
      <c r="J597" s="1186">
        <v>1</v>
      </c>
      <c r="K597" s="1186">
        <v>6</v>
      </c>
      <c r="L597" s="1186"/>
      <c r="M597" s="1186">
        <v>19</v>
      </c>
      <c r="N597" s="1186">
        <v>95510</v>
      </c>
    </row>
    <row r="598" spans="1:14" x14ac:dyDescent="0.2">
      <c r="A598" s="1186" t="s">
        <v>144</v>
      </c>
      <c r="B598" s="1186" t="s">
        <v>116</v>
      </c>
      <c r="C598" s="1186" t="s">
        <v>295</v>
      </c>
      <c r="D598" s="1186">
        <v>5</v>
      </c>
      <c r="E598" s="1186"/>
      <c r="F598" s="1186">
        <v>4</v>
      </c>
      <c r="G598" s="1186"/>
      <c r="H598" s="1186"/>
      <c r="I598" s="1186"/>
      <c r="J598" s="1186"/>
      <c r="K598" s="1186"/>
      <c r="L598" s="1186">
        <v>1</v>
      </c>
      <c r="M598" s="1186"/>
      <c r="N598" s="1186">
        <v>27070</v>
      </c>
    </row>
    <row r="599" spans="1:14" x14ac:dyDescent="0.2">
      <c r="A599" s="1186" t="s">
        <v>144</v>
      </c>
      <c r="B599" s="1186" t="s">
        <v>116</v>
      </c>
      <c r="C599" s="1186" t="s">
        <v>41</v>
      </c>
      <c r="D599" s="1186">
        <v>485</v>
      </c>
      <c r="E599" s="1186">
        <v>10</v>
      </c>
      <c r="F599" s="1186">
        <v>171</v>
      </c>
      <c r="G599" s="1186">
        <v>1</v>
      </c>
      <c r="H599" s="1186">
        <v>9</v>
      </c>
      <c r="I599" s="1186"/>
      <c r="J599" s="1186">
        <v>93</v>
      </c>
      <c r="K599" s="1186">
        <v>103</v>
      </c>
      <c r="L599" s="1186">
        <v>17</v>
      </c>
      <c r="M599" s="1186">
        <v>81</v>
      </c>
      <c r="N599" s="1186">
        <v>136130</v>
      </c>
    </row>
    <row r="600" spans="1:14" x14ac:dyDescent="0.2">
      <c r="A600" s="1186" t="s">
        <v>144</v>
      </c>
      <c r="B600" s="1186" t="s">
        <v>116</v>
      </c>
      <c r="C600" s="1186" t="s">
        <v>42</v>
      </c>
      <c r="D600" s="1186">
        <v>1505</v>
      </c>
      <c r="E600" s="1186">
        <v>16</v>
      </c>
      <c r="F600" s="1186">
        <v>505</v>
      </c>
      <c r="G600" s="1186">
        <v>6</v>
      </c>
      <c r="H600" s="1186">
        <v>21</v>
      </c>
      <c r="I600" s="1186">
        <v>3</v>
      </c>
      <c r="J600" s="1186">
        <v>208</v>
      </c>
      <c r="K600" s="1186">
        <v>262</v>
      </c>
      <c r="L600" s="1186">
        <v>49</v>
      </c>
      <c r="M600" s="1186">
        <v>435</v>
      </c>
      <c r="N600" s="1186">
        <v>338260</v>
      </c>
    </row>
    <row r="601" spans="1:14" x14ac:dyDescent="0.2">
      <c r="A601" s="1186" t="s">
        <v>144</v>
      </c>
      <c r="B601" s="1186" t="s">
        <v>116</v>
      </c>
      <c r="C601" s="1186" t="s">
        <v>43</v>
      </c>
      <c r="D601" s="1186">
        <v>1</v>
      </c>
      <c r="E601" s="1186"/>
      <c r="F601" s="1186"/>
      <c r="G601" s="1186"/>
      <c r="H601" s="1186"/>
      <c r="I601" s="1186"/>
      <c r="J601" s="1186"/>
      <c r="K601" s="1186"/>
      <c r="L601" s="1186"/>
      <c r="M601" s="1186">
        <v>1</v>
      </c>
      <c r="N601" s="1186">
        <v>21670</v>
      </c>
    </row>
    <row r="602" spans="1:14" x14ac:dyDescent="0.2">
      <c r="A602" s="1186" t="s">
        <v>144</v>
      </c>
      <c r="B602" s="1186" t="s">
        <v>116</v>
      </c>
      <c r="C602" s="1186" t="s">
        <v>44</v>
      </c>
      <c r="D602" s="1186">
        <v>88</v>
      </c>
      <c r="E602" s="1186">
        <v>4</v>
      </c>
      <c r="F602" s="1186">
        <v>37</v>
      </c>
      <c r="G602" s="1186">
        <v>1</v>
      </c>
      <c r="H602" s="1186">
        <v>1</v>
      </c>
      <c r="I602" s="1186">
        <v>1</v>
      </c>
      <c r="J602" s="1186">
        <v>16</v>
      </c>
      <c r="K602" s="1186">
        <v>12</v>
      </c>
      <c r="L602" s="1186">
        <v>4</v>
      </c>
      <c r="M602" s="1186">
        <v>12</v>
      </c>
      <c r="N602" s="1186">
        <v>149930</v>
      </c>
    </row>
    <row r="603" spans="1:14" x14ac:dyDescent="0.2">
      <c r="A603" s="1186" t="s">
        <v>144</v>
      </c>
      <c r="B603" s="1186" t="s">
        <v>116</v>
      </c>
      <c r="C603" s="1186" t="s">
        <v>45</v>
      </c>
      <c r="D603" s="1186">
        <v>525</v>
      </c>
      <c r="E603" s="1186">
        <v>15</v>
      </c>
      <c r="F603" s="1186">
        <v>139</v>
      </c>
      <c r="G603" s="1186">
        <v>1</v>
      </c>
      <c r="H603" s="1186">
        <v>4</v>
      </c>
      <c r="I603" s="1186">
        <v>3</v>
      </c>
      <c r="J603" s="1186">
        <v>95</v>
      </c>
      <c r="K603" s="1186">
        <v>128</v>
      </c>
      <c r="L603" s="1186">
        <v>22</v>
      </c>
      <c r="M603" s="1186">
        <v>118</v>
      </c>
      <c r="N603" s="1186">
        <v>174560</v>
      </c>
    </row>
    <row r="604" spans="1:14" x14ac:dyDescent="0.2">
      <c r="A604" s="1186" t="s">
        <v>144</v>
      </c>
      <c r="B604" s="1186" t="s">
        <v>116</v>
      </c>
      <c r="C604" s="1186" t="s">
        <v>46</v>
      </c>
      <c r="D604" s="1186">
        <v>64</v>
      </c>
      <c r="E604" s="1186">
        <v>2</v>
      </c>
      <c r="F604" s="1186">
        <v>25</v>
      </c>
      <c r="G604" s="1186">
        <v>1</v>
      </c>
      <c r="H604" s="1186"/>
      <c r="I604" s="1186"/>
      <c r="J604" s="1186">
        <v>6</v>
      </c>
      <c r="K604" s="1186">
        <v>7</v>
      </c>
      <c r="L604" s="1186">
        <v>4</v>
      </c>
      <c r="M604" s="1186">
        <v>19</v>
      </c>
      <c r="N604" s="1186">
        <v>114030</v>
      </c>
    </row>
    <row r="605" spans="1:14" x14ac:dyDescent="0.2">
      <c r="A605" s="1186" t="s">
        <v>144</v>
      </c>
      <c r="B605" s="1186" t="s">
        <v>116</v>
      </c>
      <c r="C605" s="1186" t="s">
        <v>48</v>
      </c>
      <c r="D605" s="1186">
        <v>182</v>
      </c>
      <c r="E605" s="1186">
        <v>5</v>
      </c>
      <c r="F605" s="1186">
        <v>63</v>
      </c>
      <c r="G605" s="1186">
        <v>2</v>
      </c>
      <c r="H605" s="1186"/>
      <c r="I605" s="1186"/>
      <c r="J605" s="1186">
        <v>21</v>
      </c>
      <c r="K605" s="1186">
        <v>48</v>
      </c>
      <c r="L605" s="1186">
        <v>5</v>
      </c>
      <c r="M605" s="1186">
        <v>38</v>
      </c>
      <c r="N605" s="1186">
        <v>112400</v>
      </c>
    </row>
    <row r="606" spans="1:14" x14ac:dyDescent="0.2">
      <c r="A606" s="1186" t="s">
        <v>144</v>
      </c>
      <c r="B606" s="1186" t="s">
        <v>116</v>
      </c>
      <c r="C606" s="1186" t="s">
        <v>49</v>
      </c>
      <c r="D606" s="1186">
        <v>860</v>
      </c>
      <c r="E606" s="1186">
        <v>17</v>
      </c>
      <c r="F606" s="1186">
        <v>249</v>
      </c>
      <c r="G606" s="1186"/>
      <c r="H606" s="1186">
        <v>12</v>
      </c>
      <c r="I606" s="1186">
        <v>10</v>
      </c>
      <c r="J606" s="1186">
        <v>80</v>
      </c>
      <c r="K606" s="1186">
        <v>169</v>
      </c>
      <c r="L606" s="1186">
        <v>25</v>
      </c>
      <c r="M606" s="1186">
        <v>298</v>
      </c>
      <c r="N606" s="1186">
        <v>316230</v>
      </c>
    </row>
    <row r="607" spans="1:14" x14ac:dyDescent="0.2">
      <c r="A607" s="1186" t="s">
        <v>144</v>
      </c>
      <c r="B607" s="1186" t="s">
        <v>116</v>
      </c>
      <c r="C607" s="1186" t="s">
        <v>50</v>
      </c>
      <c r="D607" s="1186">
        <v>150</v>
      </c>
      <c r="E607" s="1186">
        <v>4</v>
      </c>
      <c r="F607" s="1186">
        <v>67</v>
      </c>
      <c r="G607" s="1186">
        <v>2</v>
      </c>
      <c r="H607" s="1186">
        <v>2</v>
      </c>
      <c r="I607" s="1186"/>
      <c r="J607" s="1186">
        <v>22</v>
      </c>
      <c r="K607" s="1186">
        <v>22</v>
      </c>
      <c r="L607" s="1186">
        <v>3</v>
      </c>
      <c r="M607" s="1186">
        <v>28</v>
      </c>
      <c r="N607" s="1186">
        <v>92830</v>
      </c>
    </row>
    <row r="608" spans="1:14" x14ac:dyDescent="0.2">
      <c r="A608" s="1186" t="s">
        <v>144</v>
      </c>
      <c r="B608" s="1186" t="s">
        <v>116</v>
      </c>
      <c r="C608" s="1186" t="s">
        <v>51</v>
      </c>
      <c r="D608" s="1186">
        <v>300</v>
      </c>
      <c r="E608" s="1186">
        <v>13</v>
      </c>
      <c r="F608" s="1186">
        <v>110</v>
      </c>
      <c r="G608" s="1186">
        <v>1</v>
      </c>
      <c r="H608" s="1186">
        <v>1</v>
      </c>
      <c r="I608" s="1186">
        <v>1</v>
      </c>
      <c r="J608" s="1186">
        <v>32</v>
      </c>
      <c r="K608" s="1186">
        <v>53</v>
      </c>
      <c r="L608" s="1186">
        <v>1</v>
      </c>
      <c r="M608" s="1186">
        <v>88</v>
      </c>
      <c r="N608" s="1186">
        <v>89590</v>
      </c>
    </row>
    <row r="609" spans="1:14" x14ac:dyDescent="0.2">
      <c r="A609" s="1186" t="s">
        <v>144</v>
      </c>
      <c r="B609" s="1186" t="s">
        <v>116</v>
      </c>
      <c r="C609" s="1186" t="s">
        <v>52</v>
      </c>
      <c r="D609" s="1186">
        <v>610</v>
      </c>
      <c r="E609" s="1186">
        <v>22</v>
      </c>
      <c r="F609" s="1186">
        <v>199</v>
      </c>
      <c r="G609" s="1186">
        <v>3</v>
      </c>
      <c r="H609" s="1186">
        <v>13</v>
      </c>
      <c r="I609" s="1186">
        <v>2</v>
      </c>
      <c r="J609" s="1186">
        <v>114</v>
      </c>
      <c r="K609" s="1186">
        <v>187</v>
      </c>
      <c r="L609" s="1186">
        <v>13</v>
      </c>
      <c r="M609" s="1186">
        <v>57</v>
      </c>
      <c r="N609" s="1186">
        <v>178550</v>
      </c>
    </row>
    <row r="610" spans="1:14" x14ac:dyDescent="0.2">
      <c r="A610" s="1186" t="s">
        <v>282</v>
      </c>
      <c r="B610" s="1186" t="s">
        <v>116</v>
      </c>
      <c r="C610" s="1186" t="s">
        <v>23</v>
      </c>
      <c r="D610" s="1186">
        <v>221</v>
      </c>
      <c r="E610" s="1186">
        <v>8</v>
      </c>
      <c r="F610" s="1186">
        <v>45</v>
      </c>
      <c r="G610" s="1186"/>
      <c r="H610" s="1186">
        <v>8</v>
      </c>
      <c r="I610" s="1186"/>
      <c r="J610" s="1186">
        <v>6</v>
      </c>
      <c r="K610" s="1186">
        <v>80</v>
      </c>
      <c r="L610" s="1186">
        <v>12</v>
      </c>
      <c r="M610" s="1186">
        <v>62</v>
      </c>
      <c r="N610" s="1186">
        <v>229840</v>
      </c>
    </row>
    <row r="611" spans="1:14" x14ac:dyDescent="0.2">
      <c r="A611" s="1186" t="s">
        <v>282</v>
      </c>
      <c r="B611" s="1186" t="s">
        <v>116</v>
      </c>
      <c r="C611" s="1186" t="s">
        <v>24</v>
      </c>
      <c r="D611" s="1186">
        <v>129</v>
      </c>
      <c r="E611" s="1186">
        <v>2</v>
      </c>
      <c r="F611" s="1186">
        <v>47</v>
      </c>
      <c r="G611" s="1186"/>
      <c r="H611" s="1186">
        <v>2</v>
      </c>
      <c r="I611" s="1186">
        <v>1</v>
      </c>
      <c r="J611" s="1186">
        <v>11</v>
      </c>
      <c r="K611" s="1186">
        <v>18</v>
      </c>
      <c r="L611" s="1186">
        <v>8</v>
      </c>
      <c r="M611" s="1186">
        <v>40</v>
      </c>
      <c r="N611" s="1186">
        <v>262190</v>
      </c>
    </row>
    <row r="612" spans="1:14" x14ac:dyDescent="0.2">
      <c r="A612" s="1186" t="s">
        <v>282</v>
      </c>
      <c r="B612" s="1186" t="s">
        <v>116</v>
      </c>
      <c r="C612" s="1186" t="s">
        <v>25</v>
      </c>
      <c r="D612" s="1186">
        <v>80</v>
      </c>
      <c r="E612" s="1186">
        <v>3</v>
      </c>
      <c r="F612" s="1186">
        <v>32</v>
      </c>
      <c r="G612" s="1186">
        <v>1</v>
      </c>
      <c r="H612" s="1186">
        <v>1</v>
      </c>
      <c r="I612" s="1186">
        <v>1</v>
      </c>
      <c r="J612" s="1186">
        <v>13</v>
      </c>
      <c r="K612" s="1186">
        <v>12</v>
      </c>
      <c r="L612" s="1186">
        <v>3</v>
      </c>
      <c r="M612" s="1186">
        <v>14</v>
      </c>
      <c r="N612" s="1186">
        <v>116520</v>
      </c>
    </row>
    <row r="613" spans="1:14" x14ac:dyDescent="0.2">
      <c r="A613" s="1186" t="s">
        <v>282</v>
      </c>
      <c r="B613" s="1186" t="s">
        <v>116</v>
      </c>
      <c r="C613" s="1186" t="s">
        <v>26</v>
      </c>
      <c r="D613" s="1186">
        <v>63</v>
      </c>
      <c r="E613" s="1186">
        <v>2</v>
      </c>
      <c r="F613" s="1186">
        <v>37</v>
      </c>
      <c r="G613" s="1186">
        <v>2</v>
      </c>
      <c r="H613" s="1186"/>
      <c r="I613" s="1186">
        <v>1</v>
      </c>
      <c r="J613" s="1186">
        <v>6</v>
      </c>
      <c r="K613" s="1186">
        <v>9</v>
      </c>
      <c r="L613" s="1186">
        <v>1</v>
      </c>
      <c r="M613" s="1186">
        <v>5</v>
      </c>
      <c r="N613" s="1186">
        <v>87130</v>
      </c>
    </row>
    <row r="614" spans="1:14" x14ac:dyDescent="0.2">
      <c r="A614" s="1186" t="s">
        <v>282</v>
      </c>
      <c r="B614" s="1186" t="s">
        <v>116</v>
      </c>
      <c r="C614" s="1186" t="s">
        <v>619</v>
      </c>
      <c r="D614" s="1186">
        <v>1309</v>
      </c>
      <c r="E614" s="1186">
        <v>9</v>
      </c>
      <c r="F614" s="1186">
        <v>326</v>
      </c>
      <c r="G614" s="1186"/>
      <c r="H614" s="1186">
        <v>28</v>
      </c>
      <c r="I614" s="1186">
        <v>1</v>
      </c>
      <c r="J614" s="1186">
        <v>287</v>
      </c>
      <c r="K614" s="1186">
        <v>334</v>
      </c>
      <c r="L614" s="1186">
        <v>71</v>
      </c>
      <c r="M614" s="1186">
        <v>253</v>
      </c>
      <c r="N614" s="1186">
        <v>507170</v>
      </c>
    </row>
    <row r="615" spans="1:14" x14ac:dyDescent="0.2">
      <c r="A615" s="1186" t="s">
        <v>282</v>
      </c>
      <c r="B615" s="1186" t="s">
        <v>116</v>
      </c>
      <c r="C615" s="1186" t="s">
        <v>27</v>
      </c>
      <c r="D615" s="1186">
        <v>63</v>
      </c>
      <c r="E615" s="1186">
        <v>2</v>
      </c>
      <c r="F615" s="1186">
        <v>15</v>
      </c>
      <c r="G615" s="1186"/>
      <c r="H615" s="1186">
        <v>2</v>
      </c>
      <c r="I615" s="1186"/>
      <c r="J615" s="1186">
        <v>10</v>
      </c>
      <c r="K615" s="1186">
        <v>15</v>
      </c>
      <c r="L615" s="1186"/>
      <c r="M615" s="1186">
        <v>19</v>
      </c>
      <c r="N615" s="1186">
        <v>51350</v>
      </c>
    </row>
    <row r="616" spans="1:14" x14ac:dyDescent="0.2">
      <c r="A616" s="1186" t="s">
        <v>282</v>
      </c>
      <c r="B616" s="1186" t="s">
        <v>116</v>
      </c>
      <c r="C616" s="1186" t="s">
        <v>28</v>
      </c>
      <c r="D616" s="1186">
        <v>116</v>
      </c>
      <c r="E616" s="1186">
        <v>2</v>
      </c>
      <c r="F616" s="1186">
        <v>31</v>
      </c>
      <c r="G616" s="1186"/>
      <c r="H616" s="1186">
        <v>3</v>
      </c>
      <c r="I616" s="1186">
        <v>1</v>
      </c>
      <c r="J616" s="1186">
        <v>16</v>
      </c>
      <c r="K616" s="1186">
        <v>25</v>
      </c>
      <c r="L616" s="1186">
        <v>7</v>
      </c>
      <c r="M616" s="1186">
        <v>31</v>
      </c>
      <c r="N616" s="1186">
        <v>149520</v>
      </c>
    </row>
    <row r="617" spans="1:14" x14ac:dyDescent="0.2">
      <c r="A617" s="1186" t="s">
        <v>282</v>
      </c>
      <c r="B617" s="1186" t="s">
        <v>116</v>
      </c>
      <c r="C617" s="1186" t="s">
        <v>29</v>
      </c>
      <c r="D617" s="1186">
        <v>696</v>
      </c>
      <c r="E617" s="1186">
        <v>15</v>
      </c>
      <c r="F617" s="1186">
        <v>234</v>
      </c>
      <c r="G617" s="1186">
        <v>2</v>
      </c>
      <c r="H617" s="1186">
        <v>22</v>
      </c>
      <c r="I617" s="1186"/>
      <c r="J617" s="1186">
        <v>68</v>
      </c>
      <c r="K617" s="1186">
        <v>248</v>
      </c>
      <c r="L617" s="1186">
        <v>30</v>
      </c>
      <c r="M617" s="1186">
        <v>77</v>
      </c>
      <c r="N617" s="1186">
        <v>148270</v>
      </c>
    </row>
    <row r="618" spans="1:14" x14ac:dyDescent="0.2">
      <c r="A618" s="1186" t="s">
        <v>282</v>
      </c>
      <c r="B618" s="1186" t="s">
        <v>116</v>
      </c>
      <c r="C618" s="1186" t="s">
        <v>30</v>
      </c>
      <c r="D618" s="1186">
        <v>626</v>
      </c>
      <c r="E618" s="1186">
        <v>10</v>
      </c>
      <c r="F618" s="1186">
        <v>196</v>
      </c>
      <c r="G618" s="1186">
        <v>6</v>
      </c>
      <c r="H618" s="1186">
        <v>6</v>
      </c>
      <c r="I618" s="1186"/>
      <c r="J618" s="1186">
        <v>68</v>
      </c>
      <c r="K618" s="1186">
        <v>163</v>
      </c>
      <c r="L618" s="1186">
        <v>21</v>
      </c>
      <c r="M618" s="1186">
        <v>156</v>
      </c>
      <c r="N618" s="1186">
        <v>122200</v>
      </c>
    </row>
    <row r="619" spans="1:14" x14ac:dyDescent="0.2">
      <c r="A619" s="1186" t="s">
        <v>282</v>
      </c>
      <c r="B619" s="1186" t="s">
        <v>116</v>
      </c>
      <c r="C619" s="1186" t="s">
        <v>31</v>
      </c>
      <c r="D619" s="1186">
        <v>167</v>
      </c>
      <c r="E619" s="1186">
        <v>7</v>
      </c>
      <c r="F619" s="1186">
        <v>50</v>
      </c>
      <c r="G619" s="1186"/>
      <c r="H619" s="1186">
        <v>3</v>
      </c>
      <c r="I619" s="1186">
        <v>1</v>
      </c>
      <c r="J619" s="1186">
        <v>19</v>
      </c>
      <c r="K619" s="1186">
        <v>42</v>
      </c>
      <c r="L619" s="1186">
        <v>4</v>
      </c>
      <c r="M619" s="1186">
        <v>41</v>
      </c>
      <c r="N619" s="1186">
        <v>107540</v>
      </c>
    </row>
    <row r="620" spans="1:14" x14ac:dyDescent="0.2">
      <c r="A620" s="1186" t="s">
        <v>282</v>
      </c>
      <c r="B620" s="1186" t="s">
        <v>116</v>
      </c>
      <c r="C620" s="1186" t="s">
        <v>32</v>
      </c>
      <c r="D620" s="1186">
        <v>200</v>
      </c>
      <c r="E620" s="1186">
        <v>2</v>
      </c>
      <c r="F620" s="1186">
        <v>54</v>
      </c>
      <c r="G620" s="1186">
        <v>4</v>
      </c>
      <c r="H620" s="1186">
        <v>5</v>
      </c>
      <c r="I620" s="1186"/>
      <c r="J620" s="1186">
        <v>46</v>
      </c>
      <c r="K620" s="1186">
        <v>34</v>
      </c>
      <c r="L620" s="1186">
        <v>10</v>
      </c>
      <c r="M620" s="1186">
        <v>45</v>
      </c>
      <c r="N620" s="1186">
        <v>104090</v>
      </c>
    </row>
    <row r="621" spans="1:14" x14ac:dyDescent="0.2">
      <c r="A621" s="1186" t="s">
        <v>282</v>
      </c>
      <c r="B621" s="1186" t="s">
        <v>116</v>
      </c>
      <c r="C621" s="1186" t="s">
        <v>33</v>
      </c>
      <c r="D621" s="1186">
        <v>143</v>
      </c>
      <c r="E621" s="1186">
        <v>7</v>
      </c>
      <c r="F621" s="1186">
        <v>51</v>
      </c>
      <c r="G621" s="1186">
        <v>2</v>
      </c>
      <c r="H621" s="1186">
        <v>6</v>
      </c>
      <c r="I621" s="1186"/>
      <c r="J621" s="1186">
        <v>23</v>
      </c>
      <c r="K621" s="1186">
        <v>18</v>
      </c>
      <c r="L621" s="1186">
        <v>3</v>
      </c>
      <c r="M621" s="1186">
        <v>33</v>
      </c>
      <c r="N621" s="1186">
        <v>93810</v>
      </c>
    </row>
    <row r="622" spans="1:14" x14ac:dyDescent="0.2">
      <c r="A622" s="1186" t="s">
        <v>282</v>
      </c>
      <c r="B622" s="1186" t="s">
        <v>116</v>
      </c>
      <c r="C622" s="1186" t="s">
        <v>34</v>
      </c>
      <c r="D622" s="1186">
        <v>304</v>
      </c>
      <c r="E622" s="1186">
        <v>5</v>
      </c>
      <c r="F622" s="1186">
        <v>119</v>
      </c>
      <c r="G622" s="1186"/>
      <c r="H622" s="1186">
        <v>4</v>
      </c>
      <c r="I622" s="1186"/>
      <c r="J622" s="1186">
        <v>48</v>
      </c>
      <c r="K622" s="1186">
        <v>61</v>
      </c>
      <c r="L622" s="1186">
        <v>15</v>
      </c>
      <c r="M622" s="1186">
        <v>52</v>
      </c>
      <c r="N622" s="1186">
        <v>159380</v>
      </c>
    </row>
    <row r="623" spans="1:14" x14ac:dyDescent="0.2">
      <c r="A623" s="1186" t="s">
        <v>282</v>
      </c>
      <c r="B623" s="1186" t="s">
        <v>116</v>
      </c>
      <c r="C623" s="1186" t="s">
        <v>35</v>
      </c>
      <c r="D623" s="1186">
        <v>581</v>
      </c>
      <c r="E623" s="1186">
        <v>13</v>
      </c>
      <c r="F623" s="1186">
        <v>224</v>
      </c>
      <c r="G623" s="1186">
        <v>5</v>
      </c>
      <c r="H623" s="1186">
        <v>14</v>
      </c>
      <c r="I623" s="1186">
        <v>2</v>
      </c>
      <c r="J623" s="1186">
        <v>66</v>
      </c>
      <c r="K623" s="1186">
        <v>84</v>
      </c>
      <c r="L623" s="1186">
        <v>14</v>
      </c>
      <c r="M623" s="1186">
        <v>159</v>
      </c>
      <c r="N623" s="1186">
        <v>370330</v>
      </c>
    </row>
    <row r="624" spans="1:14" x14ac:dyDescent="0.2">
      <c r="A624" s="1186" t="s">
        <v>282</v>
      </c>
      <c r="B624" s="1186" t="s">
        <v>116</v>
      </c>
      <c r="C624" s="1186" t="s">
        <v>36</v>
      </c>
      <c r="D624" s="1186">
        <v>2419</v>
      </c>
      <c r="E624" s="1186">
        <v>39</v>
      </c>
      <c r="F624" s="1186">
        <v>470</v>
      </c>
      <c r="G624" s="1186">
        <v>3</v>
      </c>
      <c r="H624" s="1186">
        <v>25</v>
      </c>
      <c r="I624" s="1186">
        <v>6</v>
      </c>
      <c r="J624" s="1186">
        <v>300</v>
      </c>
      <c r="K624" s="1186">
        <v>807</v>
      </c>
      <c r="L624" s="1186">
        <v>65</v>
      </c>
      <c r="M624" s="1186">
        <v>704</v>
      </c>
      <c r="N624" s="1186">
        <v>615070</v>
      </c>
    </row>
    <row r="625" spans="1:14" x14ac:dyDescent="0.2">
      <c r="A625" s="1186" t="s">
        <v>282</v>
      </c>
      <c r="B625" s="1186" t="s">
        <v>116</v>
      </c>
      <c r="C625" s="1186" t="s">
        <v>37</v>
      </c>
      <c r="D625" s="1186">
        <v>100</v>
      </c>
      <c r="E625" s="1186">
        <v>2</v>
      </c>
      <c r="F625" s="1186">
        <v>52</v>
      </c>
      <c r="G625" s="1186"/>
      <c r="H625" s="1186"/>
      <c r="I625" s="1186">
        <v>1</v>
      </c>
      <c r="J625" s="1186">
        <v>16</v>
      </c>
      <c r="K625" s="1186">
        <v>16</v>
      </c>
      <c r="L625" s="1186">
        <v>4</v>
      </c>
      <c r="M625" s="1186">
        <v>9</v>
      </c>
      <c r="N625" s="1186">
        <v>234770</v>
      </c>
    </row>
    <row r="626" spans="1:14" x14ac:dyDescent="0.2">
      <c r="A626" s="1186" t="s">
        <v>282</v>
      </c>
      <c r="B626" s="1186" t="s">
        <v>116</v>
      </c>
      <c r="C626" s="1186" t="s">
        <v>38</v>
      </c>
      <c r="D626" s="1186">
        <v>557</v>
      </c>
      <c r="E626" s="1186">
        <v>13</v>
      </c>
      <c r="F626" s="1186">
        <v>280</v>
      </c>
      <c r="G626" s="1186"/>
      <c r="H626" s="1186">
        <v>5</v>
      </c>
      <c r="I626" s="1186">
        <v>3</v>
      </c>
      <c r="J626" s="1186">
        <v>54</v>
      </c>
      <c r="K626" s="1186">
        <v>98</v>
      </c>
      <c r="L626" s="1186">
        <v>9</v>
      </c>
      <c r="M626" s="1186">
        <v>95</v>
      </c>
      <c r="N626" s="1186">
        <v>79160</v>
      </c>
    </row>
    <row r="627" spans="1:14" x14ac:dyDescent="0.2">
      <c r="A627" s="1186" t="s">
        <v>282</v>
      </c>
      <c r="B627" s="1186" t="s">
        <v>116</v>
      </c>
      <c r="C627" s="1186" t="s">
        <v>39</v>
      </c>
      <c r="D627" s="1186">
        <v>324</v>
      </c>
      <c r="E627" s="1186">
        <v>4</v>
      </c>
      <c r="F627" s="1186">
        <v>81</v>
      </c>
      <c r="G627" s="1186">
        <v>8</v>
      </c>
      <c r="H627" s="1186">
        <v>16</v>
      </c>
      <c r="I627" s="1186">
        <v>1</v>
      </c>
      <c r="J627" s="1186">
        <v>66</v>
      </c>
      <c r="K627" s="1186">
        <v>59</v>
      </c>
      <c r="L627" s="1186">
        <v>19</v>
      </c>
      <c r="M627" s="1186">
        <v>70</v>
      </c>
      <c r="N627" s="1186">
        <v>88610</v>
      </c>
    </row>
    <row r="628" spans="1:14" x14ac:dyDescent="0.2">
      <c r="A628" s="1186" t="s">
        <v>282</v>
      </c>
      <c r="B628" s="1186" t="s">
        <v>116</v>
      </c>
      <c r="C628" s="1186" t="s">
        <v>40</v>
      </c>
      <c r="D628" s="1186">
        <v>60</v>
      </c>
      <c r="E628" s="1186">
        <v>3</v>
      </c>
      <c r="F628" s="1186">
        <v>30</v>
      </c>
      <c r="G628" s="1186"/>
      <c r="H628" s="1186">
        <v>2</v>
      </c>
      <c r="I628" s="1186">
        <v>3</v>
      </c>
      <c r="J628" s="1186">
        <v>2</v>
      </c>
      <c r="K628" s="1186">
        <v>4</v>
      </c>
      <c r="L628" s="1186">
        <v>1</v>
      </c>
      <c r="M628" s="1186">
        <v>15</v>
      </c>
      <c r="N628" s="1186">
        <v>96070</v>
      </c>
    </row>
    <row r="629" spans="1:14" x14ac:dyDescent="0.2">
      <c r="A629" s="1186" t="s">
        <v>282</v>
      </c>
      <c r="B629" s="1186" t="s">
        <v>116</v>
      </c>
      <c r="C629" s="1186" t="s">
        <v>295</v>
      </c>
      <c r="D629" s="1186">
        <v>3</v>
      </c>
      <c r="E629" s="1186"/>
      <c r="F629" s="1186">
        <v>1</v>
      </c>
      <c r="G629" s="1186"/>
      <c r="H629" s="1186"/>
      <c r="I629" s="1186"/>
      <c r="J629" s="1186"/>
      <c r="K629" s="1186"/>
      <c r="L629" s="1186"/>
      <c r="M629" s="1186">
        <v>2</v>
      </c>
      <c r="N629" s="1186">
        <v>26900</v>
      </c>
    </row>
    <row r="630" spans="1:14" x14ac:dyDescent="0.2">
      <c r="A630" s="1186" t="s">
        <v>282</v>
      </c>
      <c r="B630" s="1186" t="s">
        <v>116</v>
      </c>
      <c r="C630" s="1186" t="s">
        <v>41</v>
      </c>
      <c r="D630" s="1186">
        <v>591</v>
      </c>
      <c r="E630" s="1186">
        <v>16</v>
      </c>
      <c r="F630" s="1186">
        <v>199</v>
      </c>
      <c r="G630" s="1186">
        <v>3</v>
      </c>
      <c r="H630" s="1186">
        <v>8</v>
      </c>
      <c r="I630" s="1186">
        <v>2</v>
      </c>
      <c r="J630" s="1186">
        <v>103</v>
      </c>
      <c r="K630" s="1186">
        <v>95</v>
      </c>
      <c r="L630" s="1186">
        <v>17</v>
      </c>
      <c r="M630" s="1186">
        <v>148</v>
      </c>
      <c r="N630" s="1186">
        <v>135890</v>
      </c>
    </row>
    <row r="631" spans="1:14" x14ac:dyDescent="0.2">
      <c r="A631" s="1186" t="s">
        <v>282</v>
      </c>
      <c r="B631" s="1186" t="s">
        <v>116</v>
      </c>
      <c r="C631" s="1186" t="s">
        <v>42</v>
      </c>
      <c r="D631" s="1186">
        <v>1452</v>
      </c>
      <c r="E631" s="1186">
        <v>13</v>
      </c>
      <c r="F631" s="1186">
        <v>471</v>
      </c>
      <c r="G631" s="1186"/>
      <c r="H631" s="1186">
        <v>12</v>
      </c>
      <c r="I631" s="1186">
        <v>3</v>
      </c>
      <c r="J631" s="1186">
        <v>214</v>
      </c>
      <c r="K631" s="1186">
        <v>202</v>
      </c>
      <c r="L631" s="1186">
        <v>46</v>
      </c>
      <c r="M631" s="1186">
        <v>491</v>
      </c>
      <c r="N631" s="1186">
        <v>339390</v>
      </c>
    </row>
    <row r="632" spans="1:14" x14ac:dyDescent="0.2">
      <c r="A632" s="1186" t="s">
        <v>282</v>
      </c>
      <c r="B632" s="1186" t="s">
        <v>116</v>
      </c>
      <c r="C632" s="1186" t="s">
        <v>43</v>
      </c>
      <c r="D632" s="1186">
        <v>1</v>
      </c>
      <c r="E632" s="1186"/>
      <c r="F632" s="1186"/>
      <c r="G632" s="1186"/>
      <c r="H632" s="1186"/>
      <c r="I632" s="1186"/>
      <c r="J632" s="1186"/>
      <c r="K632" s="1186"/>
      <c r="L632" s="1186"/>
      <c r="M632" s="1186">
        <v>1</v>
      </c>
      <c r="N632" s="1186">
        <v>21850</v>
      </c>
    </row>
    <row r="633" spans="1:14" x14ac:dyDescent="0.2">
      <c r="A633" s="1186" t="s">
        <v>282</v>
      </c>
      <c r="B633" s="1186" t="s">
        <v>116</v>
      </c>
      <c r="C633" s="1186" t="s">
        <v>44</v>
      </c>
      <c r="D633" s="1186">
        <v>79</v>
      </c>
      <c r="E633" s="1186">
        <v>2</v>
      </c>
      <c r="F633" s="1186">
        <v>41</v>
      </c>
      <c r="G633" s="1186"/>
      <c r="H633" s="1186">
        <v>3</v>
      </c>
      <c r="I633" s="1186">
        <v>1</v>
      </c>
      <c r="J633" s="1186">
        <v>7</v>
      </c>
      <c r="K633" s="1186">
        <v>9</v>
      </c>
      <c r="L633" s="1186">
        <v>2</v>
      </c>
      <c r="M633" s="1186">
        <v>14</v>
      </c>
      <c r="N633" s="1186">
        <v>150680</v>
      </c>
    </row>
    <row r="634" spans="1:14" x14ac:dyDescent="0.2">
      <c r="A634" s="1186" t="s">
        <v>282</v>
      </c>
      <c r="B634" s="1186" t="s">
        <v>116</v>
      </c>
      <c r="C634" s="1186" t="s">
        <v>45</v>
      </c>
      <c r="D634" s="1186">
        <v>656</v>
      </c>
      <c r="E634" s="1186">
        <v>27</v>
      </c>
      <c r="F634" s="1186">
        <v>194</v>
      </c>
      <c r="G634" s="1186">
        <v>3</v>
      </c>
      <c r="H634" s="1186">
        <v>8</v>
      </c>
      <c r="I634" s="1186">
        <v>6</v>
      </c>
      <c r="J634" s="1186">
        <v>104</v>
      </c>
      <c r="K634" s="1186">
        <v>138</v>
      </c>
      <c r="L634" s="1186">
        <v>10</v>
      </c>
      <c r="M634" s="1186">
        <v>166</v>
      </c>
      <c r="N634" s="1186">
        <v>175930</v>
      </c>
    </row>
    <row r="635" spans="1:14" x14ac:dyDescent="0.2">
      <c r="A635" s="1186" t="s">
        <v>282</v>
      </c>
      <c r="B635" s="1186" t="s">
        <v>116</v>
      </c>
      <c r="C635" s="1186" t="s">
        <v>46</v>
      </c>
      <c r="D635" s="1186">
        <v>68</v>
      </c>
      <c r="E635" s="1186">
        <v>2</v>
      </c>
      <c r="F635" s="1186">
        <v>30</v>
      </c>
      <c r="G635" s="1186">
        <v>2</v>
      </c>
      <c r="H635" s="1186">
        <v>3</v>
      </c>
      <c r="I635" s="1186"/>
      <c r="J635" s="1186">
        <v>8</v>
      </c>
      <c r="K635" s="1186">
        <v>5</v>
      </c>
      <c r="L635" s="1186">
        <v>5</v>
      </c>
      <c r="M635" s="1186">
        <v>13</v>
      </c>
      <c r="N635" s="1186">
        <v>114530</v>
      </c>
    </row>
    <row r="636" spans="1:14" x14ac:dyDescent="0.2">
      <c r="A636" s="1186" t="s">
        <v>282</v>
      </c>
      <c r="B636" s="1186" t="s">
        <v>116</v>
      </c>
      <c r="C636" s="1186" t="s">
        <v>47</v>
      </c>
      <c r="D636" s="1186">
        <v>1</v>
      </c>
      <c r="E636" s="1186"/>
      <c r="F636" s="1186"/>
      <c r="G636" s="1186"/>
      <c r="H636" s="1186">
        <v>1</v>
      </c>
      <c r="I636" s="1186"/>
      <c r="J636" s="1186"/>
      <c r="K636" s="1186"/>
      <c r="L636" s="1186"/>
      <c r="M636" s="1186"/>
      <c r="N636" s="1186">
        <v>23200</v>
      </c>
    </row>
    <row r="637" spans="1:14" x14ac:dyDescent="0.2">
      <c r="A637" s="1186" t="s">
        <v>282</v>
      </c>
      <c r="B637" s="1186" t="s">
        <v>116</v>
      </c>
      <c r="C637" s="1186" t="s">
        <v>48</v>
      </c>
      <c r="D637" s="1186">
        <v>212</v>
      </c>
      <c r="E637" s="1186">
        <v>1</v>
      </c>
      <c r="F637" s="1186">
        <v>56</v>
      </c>
      <c r="G637" s="1186">
        <v>1</v>
      </c>
      <c r="H637" s="1186">
        <v>3</v>
      </c>
      <c r="I637" s="1186">
        <v>3</v>
      </c>
      <c r="J637" s="1186">
        <v>37</v>
      </c>
      <c r="K637" s="1186">
        <v>64</v>
      </c>
      <c r="L637" s="1186">
        <v>6</v>
      </c>
      <c r="M637" s="1186">
        <v>41</v>
      </c>
      <c r="N637" s="1186">
        <v>112470</v>
      </c>
    </row>
    <row r="638" spans="1:14" x14ac:dyDescent="0.2">
      <c r="A638" s="1186" t="s">
        <v>282</v>
      </c>
      <c r="B638" s="1186" t="s">
        <v>116</v>
      </c>
      <c r="C638" s="1186" t="s">
        <v>49</v>
      </c>
      <c r="D638" s="1186">
        <v>850</v>
      </c>
      <c r="E638" s="1186">
        <v>16</v>
      </c>
      <c r="F638" s="1186">
        <v>226</v>
      </c>
      <c r="G638" s="1186">
        <v>1</v>
      </c>
      <c r="H638" s="1186">
        <v>10</v>
      </c>
      <c r="I638" s="1186">
        <v>6</v>
      </c>
      <c r="J638" s="1186">
        <v>77</v>
      </c>
      <c r="K638" s="1186">
        <v>209</v>
      </c>
      <c r="L638" s="1186">
        <v>21</v>
      </c>
      <c r="M638" s="1186">
        <v>284</v>
      </c>
      <c r="N638" s="1186">
        <v>317100</v>
      </c>
    </row>
    <row r="639" spans="1:14" x14ac:dyDescent="0.2">
      <c r="A639" s="1186" t="s">
        <v>282</v>
      </c>
      <c r="B639" s="1186" t="s">
        <v>116</v>
      </c>
      <c r="C639" s="1186" t="s">
        <v>50</v>
      </c>
      <c r="D639" s="1186">
        <v>130</v>
      </c>
      <c r="E639" s="1186">
        <v>2</v>
      </c>
      <c r="F639" s="1186">
        <v>61</v>
      </c>
      <c r="G639" s="1186"/>
      <c r="H639" s="1186">
        <v>2</v>
      </c>
      <c r="I639" s="1186"/>
      <c r="J639" s="1186">
        <v>21</v>
      </c>
      <c r="K639" s="1186">
        <v>17</v>
      </c>
      <c r="L639" s="1186">
        <v>3</v>
      </c>
      <c r="M639" s="1186">
        <v>24</v>
      </c>
      <c r="N639" s="1186">
        <v>93750</v>
      </c>
    </row>
    <row r="640" spans="1:14" x14ac:dyDescent="0.2">
      <c r="A640" s="1186" t="s">
        <v>282</v>
      </c>
      <c r="B640" s="1186" t="s">
        <v>116</v>
      </c>
      <c r="C640" s="1186" t="s">
        <v>51</v>
      </c>
      <c r="D640" s="1186">
        <v>409</v>
      </c>
      <c r="E640" s="1186">
        <v>18</v>
      </c>
      <c r="F640" s="1186">
        <v>130</v>
      </c>
      <c r="G640" s="1186">
        <v>2</v>
      </c>
      <c r="H640" s="1186">
        <v>6</v>
      </c>
      <c r="I640" s="1186"/>
      <c r="J640" s="1186">
        <v>44</v>
      </c>
      <c r="K640" s="1186">
        <v>94</v>
      </c>
      <c r="L640" s="1186">
        <v>4</v>
      </c>
      <c r="M640" s="1186">
        <v>111</v>
      </c>
      <c r="N640" s="1186">
        <v>89860</v>
      </c>
    </row>
    <row r="641" spans="1:14" x14ac:dyDescent="0.2">
      <c r="A641" s="1186" t="s">
        <v>282</v>
      </c>
      <c r="B641" s="1186" t="s">
        <v>116</v>
      </c>
      <c r="C641" s="1186" t="s">
        <v>52</v>
      </c>
      <c r="D641" s="1186">
        <v>583</v>
      </c>
      <c r="E641" s="1186">
        <v>17</v>
      </c>
      <c r="F641" s="1186">
        <v>208</v>
      </c>
      <c r="G641" s="1186"/>
      <c r="H641" s="1186">
        <v>12</v>
      </c>
      <c r="I641" s="1186">
        <v>4</v>
      </c>
      <c r="J641" s="1186">
        <v>93</v>
      </c>
      <c r="K641" s="1186">
        <v>162</v>
      </c>
      <c r="L641" s="1186">
        <v>15</v>
      </c>
      <c r="M641" s="1186">
        <v>72</v>
      </c>
      <c r="N641" s="1186">
        <v>180130</v>
      </c>
    </row>
    <row r="642" spans="1:14" x14ac:dyDescent="0.2">
      <c r="A642" s="1186" t="s">
        <v>311</v>
      </c>
      <c r="B642" s="1186" t="s">
        <v>116</v>
      </c>
      <c r="C642" s="1186" t="s">
        <v>23</v>
      </c>
      <c r="D642" s="1186">
        <v>261</v>
      </c>
      <c r="E642" s="1186">
        <v>4</v>
      </c>
      <c r="F642" s="1186">
        <v>80</v>
      </c>
      <c r="G642" s="1186"/>
      <c r="H642" s="1186">
        <v>7</v>
      </c>
      <c r="I642" s="1186">
        <v>1</v>
      </c>
      <c r="J642" s="1186">
        <v>8</v>
      </c>
      <c r="K642" s="1186">
        <v>95</v>
      </c>
      <c r="L642" s="1186">
        <v>13</v>
      </c>
      <c r="M642" s="1186">
        <v>53</v>
      </c>
      <c r="N642" s="1186">
        <v>228800</v>
      </c>
    </row>
    <row r="643" spans="1:14" x14ac:dyDescent="0.2">
      <c r="A643" s="1186" t="s">
        <v>311</v>
      </c>
      <c r="B643" s="1186" t="s">
        <v>116</v>
      </c>
      <c r="C643" s="1186" t="s">
        <v>24</v>
      </c>
      <c r="D643" s="1186">
        <v>134</v>
      </c>
      <c r="E643" s="1186">
        <v>7</v>
      </c>
      <c r="F643" s="1186">
        <v>65</v>
      </c>
      <c r="G643" s="1186"/>
      <c r="H643" s="1186">
        <v>1</v>
      </c>
      <c r="I643" s="1186">
        <v>1</v>
      </c>
      <c r="J643" s="1186">
        <v>13</v>
      </c>
      <c r="K643" s="1186">
        <v>14</v>
      </c>
      <c r="L643" s="1186">
        <v>4</v>
      </c>
      <c r="M643" s="1186">
        <v>29</v>
      </c>
      <c r="N643" s="1186">
        <v>261800</v>
      </c>
    </row>
    <row r="644" spans="1:14" x14ac:dyDescent="0.2">
      <c r="A644" s="1186" t="s">
        <v>311</v>
      </c>
      <c r="B644" s="1186" t="s">
        <v>116</v>
      </c>
      <c r="C644" s="1186" t="s">
        <v>25</v>
      </c>
      <c r="D644" s="1186">
        <v>115</v>
      </c>
      <c r="E644" s="1186">
        <v>8</v>
      </c>
      <c r="F644" s="1186">
        <v>43</v>
      </c>
      <c r="G644" s="1186">
        <v>3</v>
      </c>
      <c r="H644" s="1186">
        <v>4</v>
      </c>
      <c r="I644" s="1186"/>
      <c r="J644" s="1186">
        <v>20</v>
      </c>
      <c r="K644" s="1186">
        <v>14</v>
      </c>
      <c r="L644" s="1186">
        <v>3</v>
      </c>
      <c r="M644" s="1186">
        <v>20</v>
      </c>
      <c r="N644" s="1186">
        <v>116280</v>
      </c>
    </row>
    <row r="645" spans="1:14" x14ac:dyDescent="0.2">
      <c r="A645" s="1186" t="s">
        <v>311</v>
      </c>
      <c r="B645" s="1186" t="s">
        <v>116</v>
      </c>
      <c r="C645" s="1186" t="s">
        <v>26</v>
      </c>
      <c r="D645" s="1186">
        <v>40</v>
      </c>
      <c r="E645" s="1186">
        <v>3</v>
      </c>
      <c r="F645" s="1186">
        <v>20</v>
      </c>
      <c r="G645" s="1186"/>
      <c r="H645" s="1186">
        <v>1</v>
      </c>
      <c r="I645" s="1186">
        <v>1</v>
      </c>
      <c r="J645" s="1186">
        <v>2</v>
      </c>
      <c r="K645" s="1186">
        <v>10</v>
      </c>
      <c r="L645" s="1186">
        <v>1</v>
      </c>
      <c r="M645" s="1186">
        <v>2</v>
      </c>
      <c r="N645" s="1186">
        <v>86810</v>
      </c>
    </row>
    <row r="646" spans="1:14" x14ac:dyDescent="0.2">
      <c r="A646" s="1186" t="s">
        <v>311</v>
      </c>
      <c r="B646" s="1186" t="s">
        <v>116</v>
      </c>
      <c r="C646" s="1186" t="s">
        <v>619</v>
      </c>
      <c r="D646" s="1186">
        <v>1222</v>
      </c>
      <c r="E646" s="1186">
        <v>13</v>
      </c>
      <c r="F646" s="1186">
        <v>334</v>
      </c>
      <c r="G646" s="1186"/>
      <c r="H646" s="1186">
        <v>23</v>
      </c>
      <c r="I646" s="1186">
        <v>3</v>
      </c>
      <c r="J646" s="1186">
        <v>260</v>
      </c>
      <c r="K646" s="1186">
        <v>295</v>
      </c>
      <c r="L646" s="1186">
        <v>76</v>
      </c>
      <c r="M646" s="1186">
        <v>218</v>
      </c>
      <c r="N646" s="1186">
        <v>513210</v>
      </c>
    </row>
    <row r="647" spans="1:14" x14ac:dyDescent="0.2">
      <c r="A647" s="1186" t="s">
        <v>311</v>
      </c>
      <c r="B647" s="1186" t="s">
        <v>116</v>
      </c>
      <c r="C647" s="1186" t="s">
        <v>27</v>
      </c>
      <c r="D647" s="1186">
        <v>77</v>
      </c>
      <c r="E647" s="1186">
        <v>5</v>
      </c>
      <c r="F647" s="1186">
        <v>34</v>
      </c>
      <c r="G647" s="1186">
        <v>1</v>
      </c>
      <c r="H647" s="1186">
        <v>1</v>
      </c>
      <c r="I647" s="1186"/>
      <c r="J647" s="1186">
        <v>13</v>
      </c>
      <c r="K647" s="1186">
        <v>5</v>
      </c>
      <c r="L647" s="1186">
        <v>1</v>
      </c>
      <c r="M647" s="1186">
        <v>17</v>
      </c>
      <c r="N647" s="1186">
        <v>51450</v>
      </c>
    </row>
    <row r="648" spans="1:14" x14ac:dyDescent="0.2">
      <c r="A648" s="1186" t="s">
        <v>311</v>
      </c>
      <c r="B648" s="1186" t="s">
        <v>116</v>
      </c>
      <c r="C648" s="1186" t="s">
        <v>28</v>
      </c>
      <c r="D648" s="1186">
        <v>99</v>
      </c>
      <c r="E648" s="1186">
        <v>3</v>
      </c>
      <c r="F648" s="1186">
        <v>34</v>
      </c>
      <c r="G648" s="1186"/>
      <c r="H648" s="1186">
        <v>1</v>
      </c>
      <c r="I648" s="1186"/>
      <c r="J648" s="1186">
        <v>16</v>
      </c>
      <c r="K648" s="1186">
        <v>12</v>
      </c>
      <c r="L648" s="1186">
        <v>1</v>
      </c>
      <c r="M648" s="1186">
        <v>32</v>
      </c>
      <c r="N648" s="1186">
        <v>149200</v>
      </c>
    </row>
    <row r="649" spans="1:14" x14ac:dyDescent="0.2">
      <c r="A649" s="1186" t="s">
        <v>311</v>
      </c>
      <c r="B649" s="1186" t="s">
        <v>116</v>
      </c>
      <c r="C649" s="1186" t="s">
        <v>29</v>
      </c>
      <c r="D649" s="1186">
        <v>666</v>
      </c>
      <c r="E649" s="1186">
        <v>12</v>
      </c>
      <c r="F649" s="1186">
        <v>231</v>
      </c>
      <c r="G649" s="1186"/>
      <c r="H649" s="1186">
        <v>15</v>
      </c>
      <c r="I649" s="1186">
        <v>3</v>
      </c>
      <c r="J649" s="1186">
        <v>72</v>
      </c>
      <c r="K649" s="1186">
        <v>227</v>
      </c>
      <c r="L649" s="1186">
        <v>40</v>
      </c>
      <c r="M649" s="1186">
        <v>66</v>
      </c>
      <c r="N649" s="1186">
        <v>148710</v>
      </c>
    </row>
    <row r="650" spans="1:14" x14ac:dyDescent="0.2">
      <c r="A650" s="1186" t="s">
        <v>311</v>
      </c>
      <c r="B650" s="1186" t="s">
        <v>116</v>
      </c>
      <c r="C650" s="1186" t="s">
        <v>30</v>
      </c>
      <c r="D650" s="1186">
        <v>579</v>
      </c>
      <c r="E650" s="1186">
        <v>9</v>
      </c>
      <c r="F650" s="1186">
        <v>221</v>
      </c>
      <c r="G650" s="1186">
        <v>1</v>
      </c>
      <c r="H650" s="1186">
        <v>12</v>
      </c>
      <c r="I650" s="1186">
        <v>3</v>
      </c>
      <c r="J650" s="1186">
        <v>64</v>
      </c>
      <c r="K650" s="1186">
        <v>131</v>
      </c>
      <c r="L650" s="1186">
        <v>14</v>
      </c>
      <c r="M650" s="1186">
        <v>124</v>
      </c>
      <c r="N650" s="1186">
        <v>121940</v>
      </c>
    </row>
    <row r="651" spans="1:14" x14ac:dyDescent="0.2">
      <c r="A651" s="1186" t="s">
        <v>311</v>
      </c>
      <c r="B651" s="1186" t="s">
        <v>116</v>
      </c>
      <c r="C651" s="1186" t="s">
        <v>31</v>
      </c>
      <c r="D651" s="1186">
        <v>162</v>
      </c>
      <c r="E651" s="1186">
        <v>4</v>
      </c>
      <c r="F651" s="1186">
        <v>54</v>
      </c>
      <c r="G651" s="1186">
        <v>1</v>
      </c>
      <c r="H651" s="1186">
        <v>4</v>
      </c>
      <c r="I651" s="1186"/>
      <c r="J651" s="1186">
        <v>16</v>
      </c>
      <c r="K651" s="1186">
        <v>36</v>
      </c>
      <c r="L651" s="1186">
        <v>11</v>
      </c>
      <c r="M651" s="1186">
        <v>36</v>
      </c>
      <c r="N651" s="1186">
        <v>108130</v>
      </c>
    </row>
    <row r="652" spans="1:14" x14ac:dyDescent="0.2">
      <c r="A652" s="1186" t="s">
        <v>311</v>
      </c>
      <c r="B652" s="1186" t="s">
        <v>116</v>
      </c>
      <c r="C652" s="1186" t="s">
        <v>32</v>
      </c>
      <c r="D652" s="1186">
        <v>178</v>
      </c>
      <c r="E652" s="1186">
        <v>2</v>
      </c>
      <c r="F652" s="1186">
        <v>83</v>
      </c>
      <c r="G652" s="1186">
        <v>2</v>
      </c>
      <c r="H652" s="1186">
        <v>2</v>
      </c>
      <c r="I652" s="1186">
        <v>1</v>
      </c>
      <c r="J652" s="1186">
        <v>42</v>
      </c>
      <c r="K652" s="1186">
        <v>15</v>
      </c>
      <c r="L652" s="1186">
        <v>9</v>
      </c>
      <c r="M652" s="1186">
        <v>22</v>
      </c>
      <c r="N652" s="1186">
        <v>104840</v>
      </c>
    </row>
    <row r="653" spans="1:14" x14ac:dyDescent="0.2">
      <c r="A653" s="1186" t="s">
        <v>311</v>
      </c>
      <c r="B653" s="1186" t="s">
        <v>116</v>
      </c>
      <c r="C653" s="1186" t="s">
        <v>33</v>
      </c>
      <c r="D653" s="1186">
        <v>152</v>
      </c>
      <c r="E653" s="1186">
        <v>5</v>
      </c>
      <c r="F653" s="1186">
        <v>35</v>
      </c>
      <c r="G653" s="1186">
        <v>1</v>
      </c>
      <c r="H653" s="1186">
        <v>5</v>
      </c>
      <c r="I653" s="1186"/>
      <c r="J653" s="1186">
        <v>23</v>
      </c>
      <c r="K653" s="1186">
        <v>36</v>
      </c>
      <c r="L653" s="1186">
        <v>5</v>
      </c>
      <c r="M653" s="1186">
        <v>42</v>
      </c>
      <c r="N653" s="1186">
        <v>94760</v>
      </c>
    </row>
    <row r="654" spans="1:14" x14ac:dyDescent="0.2">
      <c r="A654" s="1186" t="s">
        <v>311</v>
      </c>
      <c r="B654" s="1186" t="s">
        <v>116</v>
      </c>
      <c r="C654" s="1186" t="s">
        <v>34</v>
      </c>
      <c r="D654" s="1186">
        <v>283</v>
      </c>
      <c r="E654" s="1186">
        <v>12</v>
      </c>
      <c r="F654" s="1186">
        <v>134</v>
      </c>
      <c r="G654" s="1186">
        <v>3</v>
      </c>
      <c r="H654" s="1186">
        <v>3</v>
      </c>
      <c r="I654" s="1186">
        <v>2</v>
      </c>
      <c r="J654" s="1186">
        <v>36</v>
      </c>
      <c r="K654" s="1186">
        <v>42</v>
      </c>
      <c r="L654" s="1186">
        <v>8</v>
      </c>
      <c r="M654" s="1186">
        <v>43</v>
      </c>
      <c r="N654" s="1186">
        <v>160130</v>
      </c>
    </row>
    <row r="655" spans="1:14" x14ac:dyDescent="0.2">
      <c r="A655" s="1186" t="s">
        <v>311</v>
      </c>
      <c r="B655" s="1186" t="s">
        <v>116</v>
      </c>
      <c r="C655" s="1186" t="s">
        <v>35</v>
      </c>
      <c r="D655" s="1186">
        <v>711</v>
      </c>
      <c r="E655" s="1186">
        <v>30</v>
      </c>
      <c r="F655" s="1186">
        <v>245</v>
      </c>
      <c r="G655" s="1186">
        <v>9</v>
      </c>
      <c r="H655" s="1186">
        <v>19</v>
      </c>
      <c r="I655" s="1186">
        <v>5</v>
      </c>
      <c r="J655" s="1186">
        <v>94</v>
      </c>
      <c r="K655" s="1186">
        <v>102</v>
      </c>
      <c r="L655" s="1186">
        <v>13</v>
      </c>
      <c r="M655" s="1186">
        <v>194</v>
      </c>
      <c r="N655" s="1186">
        <v>371410</v>
      </c>
    </row>
    <row r="656" spans="1:14" x14ac:dyDescent="0.2">
      <c r="A656" s="1186" t="s">
        <v>311</v>
      </c>
      <c r="B656" s="1186" t="s">
        <v>116</v>
      </c>
      <c r="C656" s="1186" t="s">
        <v>36</v>
      </c>
      <c r="D656" s="1186">
        <v>2227</v>
      </c>
      <c r="E656" s="1186">
        <v>44</v>
      </c>
      <c r="F656" s="1186">
        <v>412</v>
      </c>
      <c r="G656" s="1186">
        <v>7</v>
      </c>
      <c r="H656" s="1186">
        <v>44</v>
      </c>
      <c r="I656" s="1186">
        <v>1</v>
      </c>
      <c r="J656" s="1186">
        <v>282</v>
      </c>
      <c r="K656" s="1186">
        <v>751</v>
      </c>
      <c r="L656" s="1186">
        <v>70</v>
      </c>
      <c r="M656" s="1186">
        <v>616</v>
      </c>
      <c r="N656" s="1186">
        <v>621020</v>
      </c>
    </row>
    <row r="657" spans="1:14" x14ac:dyDescent="0.2">
      <c r="A657" s="1186" t="s">
        <v>311</v>
      </c>
      <c r="B657" s="1186" t="s">
        <v>116</v>
      </c>
      <c r="C657" s="1186" t="s">
        <v>37</v>
      </c>
      <c r="D657" s="1186">
        <v>130</v>
      </c>
      <c r="E657" s="1186">
        <v>7</v>
      </c>
      <c r="F657" s="1186">
        <v>70</v>
      </c>
      <c r="G657" s="1186"/>
      <c r="H657" s="1186">
        <v>4</v>
      </c>
      <c r="I657" s="1186">
        <v>4</v>
      </c>
      <c r="J657" s="1186">
        <v>18</v>
      </c>
      <c r="K657" s="1186">
        <v>17</v>
      </c>
      <c r="L657" s="1186"/>
      <c r="M657" s="1186">
        <v>10</v>
      </c>
      <c r="N657" s="1186">
        <v>235180</v>
      </c>
    </row>
    <row r="658" spans="1:14" x14ac:dyDescent="0.2">
      <c r="A658" s="1186" t="s">
        <v>311</v>
      </c>
      <c r="B658" s="1186" t="s">
        <v>116</v>
      </c>
      <c r="C658" s="1186" t="s">
        <v>38</v>
      </c>
      <c r="D658" s="1186">
        <v>340</v>
      </c>
      <c r="E658" s="1186">
        <v>5</v>
      </c>
      <c r="F658" s="1186">
        <v>196</v>
      </c>
      <c r="G658" s="1186">
        <v>1</v>
      </c>
      <c r="H658" s="1186">
        <v>1</v>
      </c>
      <c r="I658" s="1186">
        <v>1</v>
      </c>
      <c r="J658" s="1186">
        <v>29</v>
      </c>
      <c r="K658" s="1186">
        <v>39</v>
      </c>
      <c r="L658" s="1186">
        <v>2</v>
      </c>
      <c r="M658" s="1186">
        <v>66</v>
      </c>
      <c r="N658" s="1186">
        <v>78760</v>
      </c>
    </row>
    <row r="659" spans="1:14" x14ac:dyDescent="0.2">
      <c r="A659" s="1186" t="s">
        <v>311</v>
      </c>
      <c r="B659" s="1186" t="s">
        <v>116</v>
      </c>
      <c r="C659" s="1186" t="s">
        <v>39</v>
      </c>
      <c r="D659" s="1186">
        <v>329</v>
      </c>
      <c r="E659" s="1186">
        <v>6</v>
      </c>
      <c r="F659" s="1186">
        <v>138</v>
      </c>
      <c r="G659" s="1186">
        <v>3</v>
      </c>
      <c r="H659" s="1186">
        <v>6</v>
      </c>
      <c r="I659" s="1186"/>
      <c r="J659" s="1186">
        <v>80</v>
      </c>
      <c r="K659" s="1186">
        <v>37</v>
      </c>
      <c r="L659" s="1186">
        <v>9</v>
      </c>
      <c r="M659" s="1186">
        <v>50</v>
      </c>
      <c r="N659" s="1186">
        <v>90090</v>
      </c>
    </row>
    <row r="660" spans="1:14" x14ac:dyDescent="0.2">
      <c r="A660" s="1186" t="s">
        <v>311</v>
      </c>
      <c r="B660" s="1186" t="s">
        <v>116</v>
      </c>
      <c r="C660" s="1186" t="s">
        <v>40</v>
      </c>
      <c r="D660" s="1186">
        <v>44</v>
      </c>
      <c r="E660" s="1186">
        <v>4</v>
      </c>
      <c r="F660" s="1186">
        <v>22</v>
      </c>
      <c r="G660" s="1186"/>
      <c r="H660" s="1186">
        <v>3</v>
      </c>
      <c r="I660" s="1186"/>
      <c r="J660" s="1186">
        <v>7</v>
      </c>
      <c r="K660" s="1186">
        <v>3</v>
      </c>
      <c r="L660" s="1186"/>
      <c r="M660" s="1186">
        <v>5</v>
      </c>
      <c r="N660" s="1186">
        <v>95780</v>
      </c>
    </row>
    <row r="661" spans="1:14" x14ac:dyDescent="0.2">
      <c r="A661" s="1186" t="s">
        <v>311</v>
      </c>
      <c r="B661" s="1186" t="s">
        <v>116</v>
      </c>
      <c r="C661" s="1186" t="s">
        <v>295</v>
      </c>
      <c r="D661" s="1186">
        <v>1</v>
      </c>
      <c r="E661" s="1186"/>
      <c r="F661" s="1186">
        <v>1</v>
      </c>
      <c r="G661" s="1186"/>
      <c r="H661" s="1186"/>
      <c r="I661" s="1186"/>
      <c r="J661" s="1186"/>
      <c r="K661" s="1186"/>
      <c r="L661" s="1186"/>
      <c r="M661" s="1186"/>
      <c r="N661" s="1186">
        <v>26950</v>
      </c>
    </row>
    <row r="662" spans="1:14" x14ac:dyDescent="0.2">
      <c r="A662" s="1186" t="s">
        <v>311</v>
      </c>
      <c r="B662" s="1186" t="s">
        <v>116</v>
      </c>
      <c r="C662" s="1186" t="s">
        <v>41</v>
      </c>
      <c r="D662" s="1186">
        <v>545</v>
      </c>
      <c r="E662" s="1186">
        <v>15</v>
      </c>
      <c r="F662" s="1186">
        <v>212</v>
      </c>
      <c r="G662" s="1186">
        <v>3</v>
      </c>
      <c r="H662" s="1186">
        <v>5</v>
      </c>
      <c r="I662" s="1186">
        <v>1</v>
      </c>
      <c r="J662" s="1186">
        <v>121</v>
      </c>
      <c r="K662" s="1186">
        <v>81</v>
      </c>
      <c r="L662" s="1186">
        <v>10</v>
      </c>
      <c r="M662" s="1186">
        <v>97</v>
      </c>
      <c r="N662" s="1186">
        <v>135790</v>
      </c>
    </row>
    <row r="663" spans="1:14" x14ac:dyDescent="0.2">
      <c r="A663" s="1186" t="s">
        <v>311</v>
      </c>
      <c r="B663" s="1186" t="s">
        <v>116</v>
      </c>
      <c r="C663" s="1186" t="s">
        <v>42</v>
      </c>
      <c r="D663" s="1186">
        <v>1176</v>
      </c>
      <c r="E663" s="1186">
        <v>20</v>
      </c>
      <c r="F663" s="1186">
        <v>356</v>
      </c>
      <c r="G663" s="1186">
        <v>3</v>
      </c>
      <c r="H663" s="1186">
        <v>36</v>
      </c>
      <c r="I663" s="1186">
        <v>5</v>
      </c>
      <c r="J663" s="1186">
        <v>164</v>
      </c>
      <c r="K663" s="1186">
        <v>186</v>
      </c>
      <c r="L663" s="1186">
        <v>27</v>
      </c>
      <c r="M663" s="1186">
        <v>379</v>
      </c>
      <c r="N663" s="1186">
        <v>339960</v>
      </c>
    </row>
    <row r="664" spans="1:14" x14ac:dyDescent="0.2">
      <c r="A664" s="1186" t="s">
        <v>311</v>
      </c>
      <c r="B664" s="1186" t="s">
        <v>116</v>
      </c>
      <c r="C664" s="1186" t="s">
        <v>43</v>
      </c>
      <c r="D664" s="1186">
        <v>2</v>
      </c>
      <c r="E664" s="1186"/>
      <c r="F664" s="1186"/>
      <c r="G664" s="1186"/>
      <c r="H664" s="1186"/>
      <c r="I664" s="1186"/>
      <c r="J664" s="1186">
        <v>2</v>
      </c>
      <c r="K664" s="1186"/>
      <c r="L664" s="1186"/>
      <c r="M664" s="1186"/>
      <c r="N664" s="1186">
        <v>22000</v>
      </c>
    </row>
    <row r="665" spans="1:14" x14ac:dyDescent="0.2">
      <c r="A665" s="1186" t="s">
        <v>311</v>
      </c>
      <c r="B665" s="1186" t="s">
        <v>116</v>
      </c>
      <c r="C665" s="1186" t="s">
        <v>44</v>
      </c>
      <c r="D665" s="1186">
        <v>90</v>
      </c>
      <c r="E665" s="1186">
        <v>2</v>
      </c>
      <c r="F665" s="1186">
        <v>37</v>
      </c>
      <c r="G665" s="1186"/>
      <c r="H665" s="1186">
        <v>5</v>
      </c>
      <c r="I665" s="1186"/>
      <c r="J665" s="1186">
        <v>12</v>
      </c>
      <c r="K665" s="1186">
        <v>9</v>
      </c>
      <c r="L665" s="1186">
        <v>2</v>
      </c>
      <c r="M665" s="1186">
        <v>23</v>
      </c>
      <c r="N665" s="1186">
        <v>151100</v>
      </c>
    </row>
    <row r="666" spans="1:14" x14ac:dyDescent="0.2">
      <c r="A666" s="1186" t="s">
        <v>311</v>
      </c>
      <c r="B666" s="1186" t="s">
        <v>116</v>
      </c>
      <c r="C666" s="1186" t="s">
        <v>45</v>
      </c>
      <c r="D666" s="1186">
        <v>468</v>
      </c>
      <c r="E666" s="1186">
        <v>12</v>
      </c>
      <c r="F666" s="1186">
        <v>127</v>
      </c>
      <c r="G666" s="1186">
        <v>2</v>
      </c>
      <c r="H666" s="1186">
        <v>12</v>
      </c>
      <c r="I666" s="1186">
        <v>1</v>
      </c>
      <c r="J666" s="1186">
        <v>71</v>
      </c>
      <c r="K666" s="1186">
        <v>107</v>
      </c>
      <c r="L666" s="1186">
        <v>8</v>
      </c>
      <c r="M666" s="1186">
        <v>128</v>
      </c>
      <c r="N666" s="1186">
        <v>176830</v>
      </c>
    </row>
    <row r="667" spans="1:14" x14ac:dyDescent="0.2">
      <c r="A667" s="1186" t="s">
        <v>311</v>
      </c>
      <c r="B667" s="1186" t="s">
        <v>116</v>
      </c>
      <c r="C667" s="1186" t="s">
        <v>46</v>
      </c>
      <c r="D667" s="1186">
        <v>102</v>
      </c>
      <c r="E667" s="1186">
        <v>2</v>
      </c>
      <c r="F667" s="1186">
        <v>45</v>
      </c>
      <c r="G667" s="1186">
        <v>2</v>
      </c>
      <c r="H667" s="1186">
        <v>2</v>
      </c>
      <c r="I667" s="1186"/>
      <c r="J667" s="1186">
        <v>24</v>
      </c>
      <c r="K667" s="1186">
        <v>15</v>
      </c>
      <c r="L667" s="1186">
        <v>2</v>
      </c>
      <c r="M667" s="1186">
        <v>10</v>
      </c>
      <c r="N667" s="1186">
        <v>115020</v>
      </c>
    </row>
    <row r="668" spans="1:14" x14ac:dyDescent="0.2">
      <c r="A668" s="1186" t="s">
        <v>311</v>
      </c>
      <c r="B668" s="1186" t="s">
        <v>116</v>
      </c>
      <c r="C668" s="1186" t="s">
        <v>47</v>
      </c>
      <c r="D668" s="1186">
        <v>2</v>
      </c>
      <c r="E668" s="1186"/>
      <c r="F668" s="1186">
        <v>2</v>
      </c>
      <c r="G668" s="1186"/>
      <c r="H668" s="1186"/>
      <c r="I668" s="1186"/>
      <c r="J668" s="1186"/>
      <c r="K668" s="1186"/>
      <c r="L668" s="1186"/>
      <c r="M668" s="1186"/>
      <c r="N668" s="1186">
        <v>23080</v>
      </c>
    </row>
    <row r="669" spans="1:14" x14ac:dyDescent="0.2">
      <c r="A669" s="1186" t="s">
        <v>311</v>
      </c>
      <c r="B669" s="1186" t="s">
        <v>116</v>
      </c>
      <c r="C669" s="1186" t="s">
        <v>48</v>
      </c>
      <c r="D669" s="1186">
        <v>223</v>
      </c>
      <c r="E669" s="1186">
        <v>3</v>
      </c>
      <c r="F669" s="1186">
        <v>99</v>
      </c>
      <c r="G669" s="1186">
        <v>1</v>
      </c>
      <c r="H669" s="1186">
        <v>2</v>
      </c>
      <c r="I669" s="1186">
        <v>2</v>
      </c>
      <c r="J669" s="1186">
        <v>46</v>
      </c>
      <c r="K669" s="1186">
        <v>40</v>
      </c>
      <c r="L669" s="1186">
        <v>2</v>
      </c>
      <c r="M669" s="1186">
        <v>28</v>
      </c>
      <c r="N669" s="1186">
        <v>112680</v>
      </c>
    </row>
    <row r="670" spans="1:14" x14ac:dyDescent="0.2">
      <c r="A670" s="1186" t="s">
        <v>311</v>
      </c>
      <c r="B670" s="1186" t="s">
        <v>116</v>
      </c>
      <c r="C670" s="1186" t="s">
        <v>49</v>
      </c>
      <c r="D670" s="1186">
        <v>758</v>
      </c>
      <c r="E670" s="1186">
        <v>20</v>
      </c>
      <c r="F670" s="1186">
        <v>195</v>
      </c>
      <c r="G670" s="1186">
        <v>6</v>
      </c>
      <c r="H670" s="1186">
        <v>7</v>
      </c>
      <c r="I670" s="1186">
        <v>4</v>
      </c>
      <c r="J670" s="1186">
        <v>70</v>
      </c>
      <c r="K670" s="1186">
        <v>179</v>
      </c>
      <c r="L670" s="1186">
        <v>28</v>
      </c>
      <c r="M670" s="1186">
        <v>249</v>
      </c>
      <c r="N670" s="1186">
        <v>318170</v>
      </c>
    </row>
    <row r="671" spans="1:14" x14ac:dyDescent="0.2">
      <c r="A671" s="1186" t="s">
        <v>311</v>
      </c>
      <c r="B671" s="1186" t="s">
        <v>116</v>
      </c>
      <c r="C671" s="1186" t="s">
        <v>50</v>
      </c>
      <c r="D671" s="1186">
        <v>125</v>
      </c>
      <c r="E671" s="1186">
        <v>2</v>
      </c>
      <c r="F671" s="1186">
        <v>55</v>
      </c>
      <c r="G671" s="1186">
        <v>1</v>
      </c>
      <c r="H671" s="1186">
        <v>5</v>
      </c>
      <c r="I671" s="1186"/>
      <c r="J671" s="1186">
        <v>14</v>
      </c>
      <c r="K671" s="1186">
        <v>23</v>
      </c>
      <c r="L671" s="1186">
        <v>3</v>
      </c>
      <c r="M671" s="1186">
        <v>22</v>
      </c>
      <c r="N671" s="1186">
        <v>94000</v>
      </c>
    </row>
    <row r="672" spans="1:14" x14ac:dyDescent="0.2">
      <c r="A672" s="1186" t="s">
        <v>311</v>
      </c>
      <c r="B672" s="1186" t="s">
        <v>116</v>
      </c>
      <c r="C672" s="1186" t="s">
        <v>51</v>
      </c>
      <c r="D672" s="1186">
        <v>236</v>
      </c>
      <c r="E672" s="1186">
        <v>3</v>
      </c>
      <c r="F672" s="1186">
        <v>69</v>
      </c>
      <c r="G672" s="1186">
        <v>1</v>
      </c>
      <c r="H672" s="1186">
        <v>1</v>
      </c>
      <c r="I672" s="1186">
        <v>1</v>
      </c>
      <c r="J672" s="1186">
        <v>34</v>
      </c>
      <c r="K672" s="1186">
        <v>55</v>
      </c>
      <c r="L672" s="1186">
        <v>6</v>
      </c>
      <c r="M672" s="1186">
        <v>66</v>
      </c>
      <c r="N672" s="1186">
        <v>89610</v>
      </c>
    </row>
    <row r="673" spans="1:14" x14ac:dyDescent="0.2">
      <c r="A673" s="1186" t="s">
        <v>311</v>
      </c>
      <c r="B673" s="1186" t="s">
        <v>116</v>
      </c>
      <c r="C673" s="1186" t="s">
        <v>52</v>
      </c>
      <c r="D673" s="1186">
        <v>639</v>
      </c>
      <c r="E673" s="1186">
        <v>4</v>
      </c>
      <c r="F673" s="1186">
        <v>288</v>
      </c>
      <c r="G673" s="1186">
        <v>1</v>
      </c>
      <c r="H673" s="1186">
        <v>11</v>
      </c>
      <c r="I673" s="1186">
        <v>4</v>
      </c>
      <c r="J673" s="1186">
        <v>68</v>
      </c>
      <c r="K673" s="1186">
        <v>148</v>
      </c>
      <c r="L673" s="1186">
        <v>19</v>
      </c>
      <c r="M673" s="1186">
        <v>96</v>
      </c>
      <c r="N673" s="1186">
        <v>181310</v>
      </c>
    </row>
    <row r="674" spans="1:14" x14ac:dyDescent="0.2">
      <c r="A674" s="1186" t="s">
        <v>621</v>
      </c>
      <c r="B674" s="1186" t="s">
        <v>116</v>
      </c>
      <c r="C674" s="1186" t="s">
        <v>23</v>
      </c>
      <c r="D674" s="1186">
        <v>360</v>
      </c>
      <c r="E674" s="1186">
        <v>8</v>
      </c>
      <c r="F674" s="1186">
        <v>158</v>
      </c>
      <c r="G674" s="1186"/>
      <c r="H674" s="1186">
        <v>5</v>
      </c>
      <c r="I674" s="1186">
        <v>1</v>
      </c>
      <c r="J674" s="1186">
        <v>21</v>
      </c>
      <c r="K674" s="1186">
        <v>93</v>
      </c>
      <c r="L674" s="1186">
        <v>17</v>
      </c>
      <c r="M674" s="1186">
        <v>57</v>
      </c>
      <c r="N674" s="1186">
        <v>227560</v>
      </c>
    </row>
    <row r="675" spans="1:14" x14ac:dyDescent="0.2">
      <c r="A675" s="1186" t="s">
        <v>621</v>
      </c>
      <c r="B675" s="1186" t="s">
        <v>116</v>
      </c>
      <c r="C675" s="1186" t="s">
        <v>24</v>
      </c>
      <c r="D675" s="1186">
        <v>191</v>
      </c>
      <c r="E675" s="1186">
        <v>2</v>
      </c>
      <c r="F675" s="1186">
        <v>103</v>
      </c>
      <c r="G675" s="1186">
        <v>2</v>
      </c>
      <c r="H675" s="1186">
        <v>4</v>
      </c>
      <c r="I675" s="1186">
        <v>2</v>
      </c>
      <c r="J675" s="1186">
        <v>13</v>
      </c>
      <c r="K675" s="1186">
        <v>15</v>
      </c>
      <c r="L675" s="1186">
        <v>7</v>
      </c>
      <c r="M675" s="1186">
        <v>43</v>
      </c>
      <c r="N675" s="1186">
        <v>261470</v>
      </c>
    </row>
    <row r="676" spans="1:14" x14ac:dyDescent="0.2">
      <c r="A676" s="1186" t="s">
        <v>621</v>
      </c>
      <c r="B676" s="1186" t="s">
        <v>116</v>
      </c>
      <c r="C676" s="1186" t="s">
        <v>25</v>
      </c>
      <c r="D676" s="1186">
        <v>121</v>
      </c>
      <c r="E676" s="1186">
        <v>7</v>
      </c>
      <c r="F676" s="1186">
        <v>61</v>
      </c>
      <c r="G676" s="1186">
        <v>1</v>
      </c>
      <c r="H676" s="1186">
        <v>3</v>
      </c>
      <c r="I676" s="1186">
        <v>3</v>
      </c>
      <c r="J676" s="1186">
        <v>6</v>
      </c>
      <c r="K676" s="1186">
        <v>11</v>
      </c>
      <c r="L676" s="1186">
        <v>4</v>
      </c>
      <c r="M676" s="1186">
        <v>25</v>
      </c>
      <c r="N676" s="1186">
        <v>116040</v>
      </c>
    </row>
    <row r="677" spans="1:14" x14ac:dyDescent="0.2">
      <c r="A677" s="1186" t="s">
        <v>621</v>
      </c>
      <c r="B677" s="1186" t="s">
        <v>116</v>
      </c>
      <c r="C677" s="1186" t="s">
        <v>26</v>
      </c>
      <c r="D677" s="1186">
        <v>70</v>
      </c>
      <c r="E677" s="1186">
        <v>2</v>
      </c>
      <c r="F677" s="1186">
        <v>28</v>
      </c>
      <c r="G677" s="1186">
        <v>1</v>
      </c>
      <c r="H677" s="1186">
        <v>2</v>
      </c>
      <c r="I677" s="1186">
        <v>1</v>
      </c>
      <c r="J677" s="1186">
        <v>14</v>
      </c>
      <c r="K677" s="1186">
        <v>9</v>
      </c>
      <c r="L677" s="1186"/>
      <c r="M677" s="1186">
        <v>13</v>
      </c>
      <c r="N677" s="1186">
        <v>86260</v>
      </c>
    </row>
    <row r="678" spans="1:14" x14ac:dyDescent="0.2">
      <c r="A678" s="1186" t="s">
        <v>621</v>
      </c>
      <c r="B678" s="1186" t="s">
        <v>116</v>
      </c>
      <c r="C678" s="1186" t="s">
        <v>619</v>
      </c>
      <c r="D678" s="1186">
        <v>1160</v>
      </c>
      <c r="E678" s="1186">
        <v>12</v>
      </c>
      <c r="F678" s="1186">
        <v>316</v>
      </c>
      <c r="G678" s="1186">
        <v>1</v>
      </c>
      <c r="H678" s="1186">
        <v>20</v>
      </c>
      <c r="I678" s="1186">
        <v>2</v>
      </c>
      <c r="J678" s="1186">
        <v>103</v>
      </c>
      <c r="K678" s="1186">
        <v>307</v>
      </c>
      <c r="L678" s="1186">
        <v>58</v>
      </c>
      <c r="M678" s="1186">
        <v>341</v>
      </c>
      <c r="N678" s="1186">
        <v>518500</v>
      </c>
    </row>
    <row r="679" spans="1:14" x14ac:dyDescent="0.2">
      <c r="A679" s="1186" t="s">
        <v>621</v>
      </c>
      <c r="B679" s="1186" t="s">
        <v>116</v>
      </c>
      <c r="C679" s="1186" t="s">
        <v>27</v>
      </c>
      <c r="D679" s="1186">
        <v>59</v>
      </c>
      <c r="E679" s="1186">
        <v>2</v>
      </c>
      <c r="F679" s="1186">
        <v>22</v>
      </c>
      <c r="G679" s="1186">
        <v>1</v>
      </c>
      <c r="H679" s="1186">
        <v>3</v>
      </c>
      <c r="I679" s="1186"/>
      <c r="J679" s="1186">
        <v>2</v>
      </c>
      <c r="K679" s="1186">
        <v>11</v>
      </c>
      <c r="L679" s="1186"/>
      <c r="M679" s="1186">
        <v>18</v>
      </c>
      <c r="N679" s="1186">
        <v>51400</v>
      </c>
    </row>
    <row r="680" spans="1:14" x14ac:dyDescent="0.2">
      <c r="A680" s="1186" t="s">
        <v>621</v>
      </c>
      <c r="B680" s="1186" t="s">
        <v>116</v>
      </c>
      <c r="C680" s="1186" t="s">
        <v>28</v>
      </c>
      <c r="D680" s="1186">
        <v>116</v>
      </c>
      <c r="E680" s="1186">
        <v>4</v>
      </c>
      <c r="F680" s="1186">
        <v>53</v>
      </c>
      <c r="G680" s="1186"/>
      <c r="H680" s="1186">
        <v>1</v>
      </c>
      <c r="I680" s="1186">
        <v>1</v>
      </c>
      <c r="J680" s="1186">
        <v>8</v>
      </c>
      <c r="K680" s="1186">
        <v>17</v>
      </c>
      <c r="L680" s="1186">
        <v>2</v>
      </c>
      <c r="M680" s="1186">
        <v>30</v>
      </c>
      <c r="N680" s="1186">
        <v>148790</v>
      </c>
    </row>
    <row r="681" spans="1:14" x14ac:dyDescent="0.2">
      <c r="A681" s="1186" t="s">
        <v>621</v>
      </c>
      <c r="B681" s="1186" t="s">
        <v>116</v>
      </c>
      <c r="C681" s="1186" t="s">
        <v>29</v>
      </c>
      <c r="D681" s="1186">
        <v>525</v>
      </c>
      <c r="E681" s="1186">
        <v>12</v>
      </c>
      <c r="F681" s="1186">
        <v>218</v>
      </c>
      <c r="G681" s="1186">
        <v>2</v>
      </c>
      <c r="H681" s="1186">
        <v>7</v>
      </c>
      <c r="I681" s="1186">
        <v>1</v>
      </c>
      <c r="J681" s="1186">
        <v>44</v>
      </c>
      <c r="K681" s="1186">
        <v>154</v>
      </c>
      <c r="L681" s="1186">
        <v>17</v>
      </c>
      <c r="M681" s="1186">
        <v>70</v>
      </c>
      <c r="N681" s="1186">
        <v>148750</v>
      </c>
    </row>
    <row r="682" spans="1:14" x14ac:dyDescent="0.2">
      <c r="A682" s="1186" t="s">
        <v>621</v>
      </c>
      <c r="B682" s="1186" t="s">
        <v>116</v>
      </c>
      <c r="C682" s="1186" t="s">
        <v>30</v>
      </c>
      <c r="D682" s="1186">
        <v>538</v>
      </c>
      <c r="E682" s="1186">
        <v>10</v>
      </c>
      <c r="F682" s="1186">
        <v>216</v>
      </c>
      <c r="G682" s="1186">
        <v>1</v>
      </c>
      <c r="H682" s="1186">
        <v>7</v>
      </c>
      <c r="I682" s="1186">
        <v>4</v>
      </c>
      <c r="J682" s="1186">
        <v>58</v>
      </c>
      <c r="K682" s="1186">
        <v>123</v>
      </c>
      <c r="L682" s="1186">
        <v>8</v>
      </c>
      <c r="M682" s="1186">
        <v>111</v>
      </c>
      <c r="N682" s="1186">
        <v>121840</v>
      </c>
    </row>
    <row r="683" spans="1:14" x14ac:dyDescent="0.2">
      <c r="A683" s="1186" t="s">
        <v>621</v>
      </c>
      <c r="B683" s="1186" t="s">
        <v>116</v>
      </c>
      <c r="C683" s="1186" t="s">
        <v>31</v>
      </c>
      <c r="D683" s="1186">
        <v>216</v>
      </c>
      <c r="E683" s="1186"/>
      <c r="F683" s="1186">
        <v>58</v>
      </c>
      <c r="G683" s="1186">
        <v>1</v>
      </c>
      <c r="H683" s="1186">
        <v>2</v>
      </c>
      <c r="I683" s="1186">
        <v>1</v>
      </c>
      <c r="J683" s="1186">
        <v>34</v>
      </c>
      <c r="K683" s="1186">
        <v>65</v>
      </c>
      <c r="L683" s="1186">
        <v>9</v>
      </c>
      <c r="M683" s="1186">
        <v>46</v>
      </c>
      <c r="N683" s="1186">
        <v>108330</v>
      </c>
    </row>
    <row r="684" spans="1:14" x14ac:dyDescent="0.2">
      <c r="A684" s="1186" t="s">
        <v>621</v>
      </c>
      <c r="B684" s="1186" t="s">
        <v>116</v>
      </c>
      <c r="C684" s="1186" t="s">
        <v>32</v>
      </c>
      <c r="D684" s="1186">
        <v>222</v>
      </c>
      <c r="E684" s="1186">
        <v>3</v>
      </c>
      <c r="F684" s="1186">
        <v>102</v>
      </c>
      <c r="G684" s="1186">
        <v>1</v>
      </c>
      <c r="H684" s="1186">
        <v>2</v>
      </c>
      <c r="I684" s="1186"/>
      <c r="J684" s="1186">
        <v>22</v>
      </c>
      <c r="K684" s="1186">
        <v>13</v>
      </c>
      <c r="L684" s="1186">
        <v>5</v>
      </c>
      <c r="M684" s="1186">
        <v>74</v>
      </c>
      <c r="N684" s="1186">
        <v>105790</v>
      </c>
    </row>
    <row r="685" spans="1:14" x14ac:dyDescent="0.2">
      <c r="A685" s="1186" t="s">
        <v>621</v>
      </c>
      <c r="B685" s="1186" t="s">
        <v>116</v>
      </c>
      <c r="C685" s="1186" t="s">
        <v>33</v>
      </c>
      <c r="D685" s="1186">
        <v>107</v>
      </c>
      <c r="E685" s="1186">
        <v>1</v>
      </c>
      <c r="F685" s="1186">
        <v>40</v>
      </c>
      <c r="G685" s="1186"/>
      <c r="H685" s="1186">
        <v>4</v>
      </c>
      <c r="I685" s="1186">
        <v>1</v>
      </c>
      <c r="J685" s="1186">
        <v>13</v>
      </c>
      <c r="K685" s="1186">
        <v>21</v>
      </c>
      <c r="L685" s="1186">
        <v>3</v>
      </c>
      <c r="M685" s="1186">
        <v>24</v>
      </c>
      <c r="N685" s="1186">
        <v>95170</v>
      </c>
    </row>
    <row r="686" spans="1:14" x14ac:dyDescent="0.2">
      <c r="A686" s="1186" t="s">
        <v>621</v>
      </c>
      <c r="B686" s="1186" t="s">
        <v>116</v>
      </c>
      <c r="C686" s="1186" t="s">
        <v>34</v>
      </c>
      <c r="D686" s="1186">
        <v>240</v>
      </c>
      <c r="E686" s="1186">
        <v>6</v>
      </c>
      <c r="F686" s="1186">
        <v>131</v>
      </c>
      <c r="G686" s="1186">
        <v>3</v>
      </c>
      <c r="H686" s="1186">
        <v>3</v>
      </c>
      <c r="I686" s="1186"/>
      <c r="J686" s="1186">
        <v>12</v>
      </c>
      <c r="K686" s="1186">
        <v>28</v>
      </c>
      <c r="L686" s="1186">
        <v>5</v>
      </c>
      <c r="M686" s="1186">
        <v>52</v>
      </c>
      <c r="N686" s="1186">
        <v>160340</v>
      </c>
    </row>
    <row r="687" spans="1:14" x14ac:dyDescent="0.2">
      <c r="A687" s="1186" t="s">
        <v>621</v>
      </c>
      <c r="B687" s="1186" t="s">
        <v>116</v>
      </c>
      <c r="C687" s="1186" t="s">
        <v>35</v>
      </c>
      <c r="D687" s="1186">
        <v>747</v>
      </c>
      <c r="E687" s="1186">
        <v>13</v>
      </c>
      <c r="F687" s="1186">
        <v>254</v>
      </c>
      <c r="G687" s="1186">
        <v>2</v>
      </c>
      <c r="H687" s="1186">
        <v>12</v>
      </c>
      <c r="I687" s="1186">
        <v>2</v>
      </c>
      <c r="J687" s="1186">
        <v>72</v>
      </c>
      <c r="K687" s="1186">
        <v>159</v>
      </c>
      <c r="L687" s="1186">
        <v>14</v>
      </c>
      <c r="M687" s="1186">
        <v>219</v>
      </c>
      <c r="N687" s="1186">
        <v>371910</v>
      </c>
    </row>
    <row r="688" spans="1:14" x14ac:dyDescent="0.2">
      <c r="A688" s="1186" t="s">
        <v>621</v>
      </c>
      <c r="B688" s="1186" t="s">
        <v>116</v>
      </c>
      <c r="C688" s="1186" t="s">
        <v>36</v>
      </c>
      <c r="D688" s="1186">
        <v>2363</v>
      </c>
      <c r="E688" s="1186">
        <v>31</v>
      </c>
      <c r="F688" s="1186">
        <v>555</v>
      </c>
      <c r="G688" s="1186">
        <v>6</v>
      </c>
      <c r="H688" s="1186">
        <v>35</v>
      </c>
      <c r="I688" s="1186">
        <v>2</v>
      </c>
      <c r="J688" s="1186">
        <v>212</v>
      </c>
      <c r="K688" s="1186">
        <v>744</v>
      </c>
      <c r="L688" s="1186">
        <v>63</v>
      </c>
      <c r="M688" s="1186">
        <v>715</v>
      </c>
      <c r="N688" s="1186">
        <v>626410</v>
      </c>
    </row>
    <row r="689" spans="1:14" x14ac:dyDescent="0.2">
      <c r="A689" s="1186" t="s">
        <v>621</v>
      </c>
      <c r="B689" s="1186" t="s">
        <v>116</v>
      </c>
      <c r="C689" s="1186" t="s">
        <v>37</v>
      </c>
      <c r="D689" s="1186">
        <v>156</v>
      </c>
      <c r="E689" s="1186">
        <v>3</v>
      </c>
      <c r="F689" s="1186">
        <v>96</v>
      </c>
      <c r="G689" s="1186">
        <v>1</v>
      </c>
      <c r="H689" s="1186">
        <v>5</v>
      </c>
      <c r="I689" s="1186">
        <v>1</v>
      </c>
      <c r="J689" s="1186">
        <v>10</v>
      </c>
      <c r="K689" s="1186">
        <v>20</v>
      </c>
      <c r="L689" s="1186"/>
      <c r="M689" s="1186">
        <v>20</v>
      </c>
      <c r="N689" s="1186">
        <v>235540</v>
      </c>
    </row>
    <row r="690" spans="1:14" x14ac:dyDescent="0.2">
      <c r="A690" s="1186" t="s">
        <v>621</v>
      </c>
      <c r="B690" s="1186" t="s">
        <v>116</v>
      </c>
      <c r="C690" s="1186" t="s">
        <v>38</v>
      </c>
      <c r="D690" s="1186">
        <v>354</v>
      </c>
      <c r="E690" s="1186">
        <v>8</v>
      </c>
      <c r="F690" s="1186">
        <v>244</v>
      </c>
      <c r="G690" s="1186"/>
      <c r="H690" s="1186">
        <v>4</v>
      </c>
      <c r="I690" s="1186">
        <v>2</v>
      </c>
      <c r="J690" s="1186">
        <v>22</v>
      </c>
      <c r="K690" s="1186">
        <v>25</v>
      </c>
      <c r="L690" s="1186">
        <v>3</v>
      </c>
      <c r="M690" s="1186">
        <v>46</v>
      </c>
      <c r="N690" s="1186">
        <v>78150</v>
      </c>
    </row>
    <row r="691" spans="1:14" x14ac:dyDescent="0.2">
      <c r="A691" s="1186" t="s">
        <v>621</v>
      </c>
      <c r="B691" s="1186" t="s">
        <v>116</v>
      </c>
      <c r="C691" s="1186" t="s">
        <v>39</v>
      </c>
      <c r="D691" s="1186">
        <v>266</v>
      </c>
      <c r="E691" s="1186">
        <v>2</v>
      </c>
      <c r="F691" s="1186">
        <v>112</v>
      </c>
      <c r="G691" s="1186">
        <v>6</v>
      </c>
      <c r="H691" s="1186">
        <v>10</v>
      </c>
      <c r="I691" s="1186">
        <v>1</v>
      </c>
      <c r="J691" s="1186">
        <v>34</v>
      </c>
      <c r="K691" s="1186">
        <v>40</v>
      </c>
      <c r="L691" s="1186">
        <v>10</v>
      </c>
      <c r="M691" s="1186">
        <v>51</v>
      </c>
      <c r="N691" s="1186">
        <v>91340</v>
      </c>
    </row>
    <row r="692" spans="1:14" x14ac:dyDescent="0.2">
      <c r="A692" s="1186" t="s">
        <v>621</v>
      </c>
      <c r="B692" s="1186" t="s">
        <v>116</v>
      </c>
      <c r="C692" s="1186" t="s">
        <v>40</v>
      </c>
      <c r="D692" s="1186">
        <v>97</v>
      </c>
      <c r="E692" s="1186">
        <v>1</v>
      </c>
      <c r="F692" s="1186">
        <v>81</v>
      </c>
      <c r="G692" s="1186"/>
      <c r="H692" s="1186"/>
      <c r="I692" s="1186"/>
      <c r="J692" s="1186">
        <v>2</v>
      </c>
      <c r="K692" s="1186">
        <v>3</v>
      </c>
      <c r="L692" s="1186"/>
      <c r="M692" s="1186">
        <v>10</v>
      </c>
      <c r="N692" s="1186">
        <v>95520</v>
      </c>
    </row>
    <row r="693" spans="1:14" x14ac:dyDescent="0.2">
      <c r="A693" s="1186" t="s">
        <v>621</v>
      </c>
      <c r="B693" s="1186" t="s">
        <v>116</v>
      </c>
      <c r="C693" s="1186" t="s">
        <v>295</v>
      </c>
      <c r="D693" s="1186">
        <v>2</v>
      </c>
      <c r="E693" s="1186"/>
      <c r="F693" s="1186">
        <v>1</v>
      </c>
      <c r="G693" s="1186"/>
      <c r="H693" s="1186"/>
      <c r="I693" s="1186"/>
      <c r="J693" s="1186"/>
      <c r="K693" s="1186"/>
      <c r="L693" s="1186"/>
      <c r="M693" s="1186">
        <v>1</v>
      </c>
      <c r="N693" s="1186">
        <v>26830</v>
      </c>
    </row>
    <row r="694" spans="1:14" x14ac:dyDescent="0.2">
      <c r="A694" s="1186" t="s">
        <v>621</v>
      </c>
      <c r="B694" s="1186" t="s">
        <v>116</v>
      </c>
      <c r="C694" s="1186" t="s">
        <v>41</v>
      </c>
      <c r="D694" s="1186">
        <v>559</v>
      </c>
      <c r="E694" s="1186">
        <v>7</v>
      </c>
      <c r="F694" s="1186">
        <v>259</v>
      </c>
      <c r="G694" s="1186">
        <v>6</v>
      </c>
      <c r="H694" s="1186">
        <v>3</v>
      </c>
      <c r="I694" s="1186"/>
      <c r="J694" s="1186">
        <v>107</v>
      </c>
      <c r="K694" s="1186">
        <v>80</v>
      </c>
      <c r="L694" s="1186">
        <v>13</v>
      </c>
      <c r="M694" s="1186">
        <v>84</v>
      </c>
      <c r="N694" s="1186">
        <v>135280</v>
      </c>
    </row>
    <row r="695" spans="1:14" x14ac:dyDescent="0.2">
      <c r="A695" s="1186" t="s">
        <v>621</v>
      </c>
      <c r="B695" s="1186" t="s">
        <v>116</v>
      </c>
      <c r="C695" s="1186" t="s">
        <v>42</v>
      </c>
      <c r="D695" s="1186">
        <v>1244</v>
      </c>
      <c r="E695" s="1186">
        <v>10</v>
      </c>
      <c r="F695" s="1186">
        <v>379</v>
      </c>
      <c r="G695" s="1186">
        <v>4</v>
      </c>
      <c r="H695" s="1186">
        <v>20</v>
      </c>
      <c r="I695" s="1186">
        <v>7</v>
      </c>
      <c r="J695" s="1186">
        <v>181</v>
      </c>
      <c r="K695" s="1186">
        <v>208</v>
      </c>
      <c r="L695" s="1186">
        <v>29</v>
      </c>
      <c r="M695" s="1186">
        <v>406</v>
      </c>
      <c r="N695" s="1186">
        <v>340180</v>
      </c>
    </row>
    <row r="696" spans="1:14" x14ac:dyDescent="0.2">
      <c r="A696" s="1186" t="s">
        <v>621</v>
      </c>
      <c r="B696" s="1186" t="s">
        <v>116</v>
      </c>
      <c r="C696" s="1186" t="s">
        <v>43</v>
      </c>
      <c r="D696" s="1186">
        <v>4</v>
      </c>
      <c r="E696" s="1186">
        <v>1</v>
      </c>
      <c r="F696" s="1186"/>
      <c r="G696" s="1186"/>
      <c r="H696" s="1186"/>
      <c r="I696" s="1186"/>
      <c r="J696" s="1186">
        <v>1</v>
      </c>
      <c r="K696" s="1186"/>
      <c r="L696" s="1186"/>
      <c r="M696" s="1186">
        <v>2</v>
      </c>
      <c r="N696" s="1186">
        <v>22190</v>
      </c>
    </row>
    <row r="697" spans="1:14" x14ac:dyDescent="0.2">
      <c r="A697" s="1186" t="s">
        <v>621</v>
      </c>
      <c r="B697" s="1186" t="s">
        <v>116</v>
      </c>
      <c r="C697" s="1186" t="s">
        <v>44</v>
      </c>
      <c r="D697" s="1186">
        <v>108</v>
      </c>
      <c r="E697" s="1186">
        <v>9</v>
      </c>
      <c r="F697" s="1186">
        <v>60</v>
      </c>
      <c r="G697" s="1186">
        <v>1</v>
      </c>
      <c r="H697" s="1186">
        <v>1</v>
      </c>
      <c r="I697" s="1186"/>
      <c r="J697" s="1186">
        <v>13</v>
      </c>
      <c r="K697" s="1186">
        <v>7</v>
      </c>
      <c r="L697" s="1186"/>
      <c r="M697" s="1186">
        <v>17</v>
      </c>
      <c r="N697" s="1186">
        <v>151290</v>
      </c>
    </row>
    <row r="698" spans="1:14" x14ac:dyDescent="0.2">
      <c r="A698" s="1186" t="s">
        <v>621</v>
      </c>
      <c r="B698" s="1186" t="s">
        <v>116</v>
      </c>
      <c r="C698" s="1186" t="s">
        <v>45</v>
      </c>
      <c r="D698" s="1186">
        <v>574</v>
      </c>
      <c r="E698" s="1186">
        <v>16</v>
      </c>
      <c r="F698" s="1186">
        <v>199</v>
      </c>
      <c r="G698" s="1186">
        <v>4</v>
      </c>
      <c r="H698" s="1186">
        <v>6</v>
      </c>
      <c r="I698" s="1186">
        <v>3</v>
      </c>
      <c r="J698" s="1186">
        <v>58</v>
      </c>
      <c r="K698" s="1186">
        <v>129</v>
      </c>
      <c r="L698" s="1186">
        <v>15</v>
      </c>
      <c r="M698" s="1186">
        <v>144</v>
      </c>
      <c r="N698" s="1186">
        <v>177790</v>
      </c>
    </row>
    <row r="699" spans="1:14" x14ac:dyDescent="0.2">
      <c r="A699" s="1186" t="s">
        <v>621</v>
      </c>
      <c r="B699" s="1186" t="s">
        <v>116</v>
      </c>
      <c r="C699" s="1186" t="s">
        <v>46</v>
      </c>
      <c r="D699" s="1186">
        <v>92</v>
      </c>
      <c r="E699" s="1186"/>
      <c r="F699" s="1186">
        <v>52</v>
      </c>
      <c r="G699" s="1186">
        <v>2</v>
      </c>
      <c r="H699" s="1186">
        <v>1</v>
      </c>
      <c r="I699" s="1186"/>
      <c r="J699" s="1186">
        <v>17</v>
      </c>
      <c r="K699" s="1186">
        <v>8</v>
      </c>
      <c r="L699" s="1186">
        <v>2</v>
      </c>
      <c r="M699" s="1186">
        <v>10</v>
      </c>
      <c r="N699" s="1186">
        <v>115270</v>
      </c>
    </row>
    <row r="700" spans="1:14" x14ac:dyDescent="0.2">
      <c r="A700" s="1186" t="s">
        <v>621</v>
      </c>
      <c r="B700" s="1186" t="s">
        <v>116</v>
      </c>
      <c r="C700" s="1186" t="s">
        <v>47</v>
      </c>
      <c r="D700" s="1186">
        <v>3</v>
      </c>
      <c r="E700" s="1186"/>
      <c r="F700" s="1186"/>
      <c r="G700" s="1186"/>
      <c r="H700" s="1186"/>
      <c r="I700" s="1186"/>
      <c r="J700" s="1186">
        <v>2</v>
      </c>
      <c r="K700" s="1186"/>
      <c r="L700" s="1186"/>
      <c r="M700" s="1186">
        <v>1</v>
      </c>
      <c r="N700" s="1186">
        <v>22990</v>
      </c>
    </row>
    <row r="701" spans="1:14" x14ac:dyDescent="0.2">
      <c r="A701" s="1186" t="s">
        <v>621</v>
      </c>
      <c r="B701" s="1186" t="s">
        <v>116</v>
      </c>
      <c r="C701" s="1186" t="s">
        <v>48</v>
      </c>
      <c r="D701" s="1186">
        <v>225</v>
      </c>
      <c r="E701" s="1186">
        <v>3</v>
      </c>
      <c r="F701" s="1186">
        <v>103</v>
      </c>
      <c r="G701" s="1186">
        <v>3</v>
      </c>
      <c r="H701" s="1186"/>
      <c r="I701" s="1186"/>
      <c r="J701" s="1186">
        <v>33</v>
      </c>
      <c r="K701" s="1186">
        <v>41</v>
      </c>
      <c r="L701" s="1186">
        <v>4</v>
      </c>
      <c r="M701" s="1186">
        <v>38</v>
      </c>
      <c r="N701" s="1186">
        <v>112550</v>
      </c>
    </row>
    <row r="702" spans="1:14" x14ac:dyDescent="0.2">
      <c r="A702" s="1186" t="s">
        <v>621</v>
      </c>
      <c r="B702" s="1186" t="s">
        <v>116</v>
      </c>
      <c r="C702" s="1186" t="s">
        <v>49</v>
      </c>
      <c r="D702" s="1186">
        <v>706</v>
      </c>
      <c r="E702" s="1186">
        <v>9</v>
      </c>
      <c r="F702" s="1186">
        <v>224</v>
      </c>
      <c r="G702" s="1186">
        <v>2</v>
      </c>
      <c r="H702" s="1186">
        <v>5</v>
      </c>
      <c r="I702" s="1186">
        <v>3</v>
      </c>
      <c r="J702" s="1186">
        <v>73</v>
      </c>
      <c r="K702" s="1186">
        <v>133</v>
      </c>
      <c r="L702" s="1186">
        <v>21</v>
      </c>
      <c r="M702" s="1186">
        <v>236</v>
      </c>
      <c r="N702" s="1186">
        <v>319020</v>
      </c>
    </row>
    <row r="703" spans="1:14" x14ac:dyDescent="0.2">
      <c r="A703" s="1186" t="s">
        <v>621</v>
      </c>
      <c r="B703" s="1186" t="s">
        <v>116</v>
      </c>
      <c r="C703" s="1186" t="s">
        <v>50</v>
      </c>
      <c r="D703" s="1186">
        <v>92</v>
      </c>
      <c r="E703" s="1186">
        <v>4</v>
      </c>
      <c r="F703" s="1186">
        <v>44</v>
      </c>
      <c r="G703" s="1186"/>
      <c r="H703" s="1186">
        <v>2</v>
      </c>
      <c r="I703" s="1186"/>
      <c r="J703" s="1186">
        <v>6</v>
      </c>
      <c r="K703" s="1186">
        <v>10</v>
      </c>
      <c r="L703" s="1186">
        <v>1</v>
      </c>
      <c r="M703" s="1186">
        <v>25</v>
      </c>
      <c r="N703" s="1186">
        <v>94330</v>
      </c>
    </row>
    <row r="704" spans="1:14" x14ac:dyDescent="0.2">
      <c r="A704" s="1186" t="s">
        <v>621</v>
      </c>
      <c r="B704" s="1186" t="s">
        <v>116</v>
      </c>
      <c r="C704" s="1186" t="s">
        <v>51</v>
      </c>
      <c r="D704" s="1186">
        <v>253</v>
      </c>
      <c r="E704" s="1186">
        <v>3</v>
      </c>
      <c r="F704" s="1186">
        <v>88</v>
      </c>
      <c r="G704" s="1186">
        <v>2</v>
      </c>
      <c r="H704" s="1186">
        <v>4</v>
      </c>
      <c r="I704" s="1186">
        <v>1</v>
      </c>
      <c r="J704" s="1186">
        <v>23</v>
      </c>
      <c r="K704" s="1186">
        <v>71</v>
      </c>
      <c r="L704" s="1186">
        <v>6</v>
      </c>
      <c r="M704" s="1186">
        <v>55</v>
      </c>
      <c r="N704" s="1186">
        <v>89130</v>
      </c>
    </row>
    <row r="705" spans="1:14" x14ac:dyDescent="0.2">
      <c r="A705" s="1186" t="s">
        <v>621</v>
      </c>
      <c r="B705" s="1186" t="s">
        <v>116</v>
      </c>
      <c r="C705" s="1186" t="s">
        <v>52</v>
      </c>
      <c r="D705" s="1186">
        <v>715</v>
      </c>
      <c r="E705" s="1186">
        <v>4</v>
      </c>
      <c r="F705" s="1186">
        <v>328</v>
      </c>
      <c r="G705" s="1186"/>
      <c r="H705" s="1186">
        <v>15</v>
      </c>
      <c r="I705" s="1186">
        <v>3</v>
      </c>
      <c r="J705" s="1186">
        <v>46</v>
      </c>
      <c r="K705" s="1186">
        <v>190</v>
      </c>
      <c r="L705" s="1186">
        <v>12</v>
      </c>
      <c r="M705" s="1186">
        <v>117</v>
      </c>
      <c r="N705" s="1186">
        <v>182140</v>
      </c>
    </row>
    <row r="706" spans="1:14" x14ac:dyDescent="0.2">
      <c r="A706" s="1186" t="s">
        <v>1419</v>
      </c>
      <c r="B706" s="1186" t="s">
        <v>116</v>
      </c>
      <c r="C706" s="1186" t="s">
        <v>23</v>
      </c>
      <c r="D706" s="1186">
        <v>250</v>
      </c>
      <c r="E706" s="1186">
        <v>9</v>
      </c>
      <c r="F706" s="1186">
        <v>80</v>
      </c>
      <c r="G706" s="1186"/>
      <c r="H706" s="1186">
        <v>8</v>
      </c>
      <c r="I706" s="1186"/>
      <c r="J706" s="1186">
        <v>17</v>
      </c>
      <c r="K706" s="1186">
        <v>75</v>
      </c>
      <c r="L706" s="1186">
        <v>9</v>
      </c>
      <c r="M706" s="1186">
        <v>52</v>
      </c>
      <c r="N706" s="1186">
        <v>228670</v>
      </c>
    </row>
    <row r="707" spans="1:14" x14ac:dyDescent="0.2">
      <c r="A707" s="1186" t="s">
        <v>1419</v>
      </c>
      <c r="B707" s="1186" t="s">
        <v>116</v>
      </c>
      <c r="C707" s="1186" t="s">
        <v>24</v>
      </c>
      <c r="D707" s="1186">
        <v>147</v>
      </c>
      <c r="E707" s="1186">
        <v>9</v>
      </c>
      <c r="F707" s="1186">
        <v>59</v>
      </c>
      <c r="G707" s="1186">
        <v>1</v>
      </c>
      <c r="H707" s="1186">
        <v>3</v>
      </c>
      <c r="I707" s="1186">
        <v>3</v>
      </c>
      <c r="J707" s="1186">
        <v>13</v>
      </c>
      <c r="K707" s="1186">
        <v>10</v>
      </c>
      <c r="L707" s="1186">
        <v>4</v>
      </c>
      <c r="M707" s="1186">
        <v>45</v>
      </c>
      <c r="N707" s="1186">
        <v>261210</v>
      </c>
    </row>
    <row r="708" spans="1:14" x14ac:dyDescent="0.2">
      <c r="A708" s="1186" t="s">
        <v>1419</v>
      </c>
      <c r="B708" s="1186" t="s">
        <v>116</v>
      </c>
      <c r="C708" s="1186" t="s">
        <v>25</v>
      </c>
      <c r="D708" s="1186">
        <v>95</v>
      </c>
      <c r="E708" s="1186"/>
      <c r="F708" s="1186">
        <v>39</v>
      </c>
      <c r="G708" s="1186">
        <v>2</v>
      </c>
      <c r="H708" s="1186"/>
      <c r="I708" s="1186">
        <v>1</v>
      </c>
      <c r="J708" s="1186">
        <v>12</v>
      </c>
      <c r="K708" s="1186">
        <v>16</v>
      </c>
      <c r="L708" s="1186"/>
      <c r="M708" s="1186">
        <v>25</v>
      </c>
      <c r="N708" s="1186">
        <v>116200</v>
      </c>
    </row>
    <row r="709" spans="1:14" x14ac:dyDescent="0.2">
      <c r="A709" s="1186" t="s">
        <v>1419</v>
      </c>
      <c r="B709" s="1186" t="s">
        <v>116</v>
      </c>
      <c r="C709" s="1186" t="s">
        <v>26</v>
      </c>
      <c r="D709" s="1186">
        <v>89</v>
      </c>
      <c r="E709" s="1186">
        <v>2</v>
      </c>
      <c r="F709" s="1186">
        <v>48</v>
      </c>
      <c r="G709" s="1186">
        <v>1</v>
      </c>
      <c r="H709" s="1186">
        <v>1</v>
      </c>
      <c r="I709" s="1186">
        <v>2</v>
      </c>
      <c r="J709" s="1186">
        <v>7</v>
      </c>
      <c r="K709" s="1186">
        <v>10</v>
      </c>
      <c r="L709" s="1186">
        <v>1</v>
      </c>
      <c r="M709" s="1186">
        <v>17</v>
      </c>
      <c r="N709" s="1186">
        <v>85870</v>
      </c>
    </row>
    <row r="710" spans="1:14" x14ac:dyDescent="0.2">
      <c r="A710" s="1186" t="s">
        <v>1419</v>
      </c>
      <c r="B710" s="1186" t="s">
        <v>116</v>
      </c>
      <c r="C710" s="1186" t="s">
        <v>619</v>
      </c>
      <c r="D710" s="1186">
        <v>1021</v>
      </c>
      <c r="E710" s="1186">
        <v>12</v>
      </c>
      <c r="F710" s="1186">
        <v>263</v>
      </c>
      <c r="G710" s="1186">
        <v>2</v>
      </c>
      <c r="H710" s="1186">
        <v>21</v>
      </c>
      <c r="I710" s="1186">
        <v>1</v>
      </c>
      <c r="J710" s="1186">
        <v>76</v>
      </c>
      <c r="K710" s="1186">
        <v>309</v>
      </c>
      <c r="L710" s="1186">
        <v>43</v>
      </c>
      <c r="M710" s="1186">
        <v>294</v>
      </c>
      <c r="N710" s="1186">
        <v>524930</v>
      </c>
    </row>
    <row r="711" spans="1:14" x14ac:dyDescent="0.2">
      <c r="A711" s="1186" t="s">
        <v>1419</v>
      </c>
      <c r="B711" s="1186" t="s">
        <v>116</v>
      </c>
      <c r="C711" s="1186" t="s">
        <v>27</v>
      </c>
      <c r="D711" s="1186">
        <v>63</v>
      </c>
      <c r="E711" s="1186">
        <v>2</v>
      </c>
      <c r="F711" s="1186">
        <v>14</v>
      </c>
      <c r="G711" s="1186">
        <v>1</v>
      </c>
      <c r="H711" s="1186">
        <v>1</v>
      </c>
      <c r="I711" s="1186"/>
      <c r="J711" s="1186"/>
      <c r="K711" s="1186">
        <v>18</v>
      </c>
      <c r="L711" s="1186">
        <v>2</v>
      </c>
      <c r="M711" s="1186">
        <v>25</v>
      </c>
      <c r="N711" s="1186">
        <v>51540</v>
      </c>
    </row>
    <row r="712" spans="1:14" x14ac:dyDescent="0.2">
      <c r="A712" s="1186" t="s">
        <v>1419</v>
      </c>
      <c r="B712" s="1186" t="s">
        <v>116</v>
      </c>
      <c r="C712" s="1186" t="s">
        <v>28</v>
      </c>
      <c r="D712" s="1186">
        <v>131</v>
      </c>
      <c r="E712" s="1186">
        <v>12</v>
      </c>
      <c r="F712" s="1186">
        <v>43</v>
      </c>
      <c r="G712" s="1186"/>
      <c r="H712" s="1186">
        <v>3</v>
      </c>
      <c r="I712" s="1186">
        <v>2</v>
      </c>
      <c r="J712" s="1186">
        <v>2</v>
      </c>
      <c r="K712" s="1186">
        <v>15</v>
      </c>
      <c r="L712" s="1186">
        <v>3</v>
      </c>
      <c r="M712" s="1186">
        <v>51</v>
      </c>
      <c r="N712" s="1186">
        <v>148860</v>
      </c>
    </row>
    <row r="713" spans="1:14" x14ac:dyDescent="0.2">
      <c r="A713" s="1186" t="s">
        <v>1419</v>
      </c>
      <c r="B713" s="1186" t="s">
        <v>116</v>
      </c>
      <c r="C713" s="1186" t="s">
        <v>29</v>
      </c>
      <c r="D713" s="1186">
        <v>391</v>
      </c>
      <c r="E713" s="1186">
        <v>1</v>
      </c>
      <c r="F713" s="1186">
        <v>122</v>
      </c>
      <c r="G713" s="1186">
        <v>1</v>
      </c>
      <c r="H713" s="1186">
        <v>2</v>
      </c>
      <c r="I713" s="1186">
        <v>2</v>
      </c>
      <c r="J713" s="1186">
        <v>30</v>
      </c>
      <c r="K713" s="1186">
        <v>149</v>
      </c>
      <c r="L713" s="1186">
        <v>18</v>
      </c>
      <c r="M713" s="1186">
        <v>66</v>
      </c>
      <c r="N713" s="1186">
        <v>149320</v>
      </c>
    </row>
    <row r="714" spans="1:14" x14ac:dyDescent="0.2">
      <c r="A714" s="1186" t="s">
        <v>1419</v>
      </c>
      <c r="B714" s="1186" t="s">
        <v>116</v>
      </c>
      <c r="C714" s="1186" t="s">
        <v>30</v>
      </c>
      <c r="D714" s="1186">
        <v>450</v>
      </c>
      <c r="E714" s="1186">
        <v>10</v>
      </c>
      <c r="F714" s="1186">
        <v>126</v>
      </c>
      <c r="G714" s="1186">
        <v>2</v>
      </c>
      <c r="H714" s="1186">
        <v>4</v>
      </c>
      <c r="I714" s="1186">
        <v>2</v>
      </c>
      <c r="J714" s="1186">
        <v>45</v>
      </c>
      <c r="K714" s="1186">
        <v>136</v>
      </c>
      <c r="L714" s="1186">
        <v>8</v>
      </c>
      <c r="M714" s="1186">
        <v>117</v>
      </c>
      <c r="N714" s="1186">
        <v>122010</v>
      </c>
    </row>
    <row r="715" spans="1:14" x14ac:dyDescent="0.2">
      <c r="A715" s="1186" t="s">
        <v>1419</v>
      </c>
      <c r="B715" s="1186" t="s">
        <v>116</v>
      </c>
      <c r="C715" s="1186" t="s">
        <v>31</v>
      </c>
      <c r="D715" s="1186">
        <v>138</v>
      </c>
      <c r="E715" s="1186">
        <v>1</v>
      </c>
      <c r="F715" s="1186">
        <v>43</v>
      </c>
      <c r="G715" s="1186">
        <v>1</v>
      </c>
      <c r="H715" s="1186">
        <v>2</v>
      </c>
      <c r="I715" s="1186"/>
      <c r="J715" s="1186">
        <v>12</v>
      </c>
      <c r="K715" s="1186">
        <v>34</v>
      </c>
      <c r="L715" s="1186">
        <v>9</v>
      </c>
      <c r="M715" s="1186">
        <v>36</v>
      </c>
      <c r="N715" s="1186">
        <v>108640</v>
      </c>
    </row>
    <row r="716" spans="1:14" x14ac:dyDescent="0.2">
      <c r="A716" s="1186" t="s">
        <v>1419</v>
      </c>
      <c r="B716" s="1186" t="s">
        <v>116</v>
      </c>
      <c r="C716" s="1186" t="s">
        <v>32</v>
      </c>
      <c r="D716" s="1186">
        <v>140</v>
      </c>
      <c r="E716" s="1186"/>
      <c r="F716" s="1186">
        <v>56</v>
      </c>
      <c r="G716" s="1186">
        <v>1</v>
      </c>
      <c r="H716" s="1186">
        <v>1</v>
      </c>
      <c r="I716" s="1186"/>
      <c r="J716" s="1186">
        <v>16</v>
      </c>
      <c r="K716" s="1186">
        <v>15</v>
      </c>
      <c r="L716" s="1186">
        <v>1</v>
      </c>
      <c r="M716" s="1186">
        <v>50</v>
      </c>
      <c r="N716" s="1186">
        <v>107090</v>
      </c>
    </row>
    <row r="717" spans="1:14" x14ac:dyDescent="0.2">
      <c r="A717" s="1186" t="s">
        <v>1419</v>
      </c>
      <c r="B717" s="1186" t="s">
        <v>116</v>
      </c>
      <c r="C717" s="1186" t="s">
        <v>33</v>
      </c>
      <c r="D717" s="1186">
        <v>152</v>
      </c>
      <c r="E717" s="1186">
        <v>3</v>
      </c>
      <c r="F717" s="1186">
        <v>49</v>
      </c>
      <c r="G717" s="1186"/>
      <c r="H717" s="1186">
        <v>3</v>
      </c>
      <c r="I717" s="1186"/>
      <c r="J717" s="1186">
        <v>10</v>
      </c>
      <c r="K717" s="1186">
        <v>35</v>
      </c>
      <c r="L717" s="1186">
        <v>8</v>
      </c>
      <c r="M717" s="1186">
        <v>44</v>
      </c>
      <c r="N717" s="1186">
        <v>95530</v>
      </c>
    </row>
    <row r="718" spans="1:14" x14ac:dyDescent="0.2">
      <c r="A718" s="1186" t="s">
        <v>1419</v>
      </c>
      <c r="B718" s="1186" t="s">
        <v>116</v>
      </c>
      <c r="C718" s="1186" t="s">
        <v>34</v>
      </c>
      <c r="D718" s="1186">
        <v>259</v>
      </c>
      <c r="E718" s="1186">
        <v>6</v>
      </c>
      <c r="F718" s="1186">
        <v>106</v>
      </c>
      <c r="G718" s="1186"/>
      <c r="H718" s="1186">
        <v>10</v>
      </c>
      <c r="I718" s="1186"/>
      <c r="J718" s="1186">
        <v>24</v>
      </c>
      <c r="K718" s="1186">
        <v>44</v>
      </c>
      <c r="L718" s="1186">
        <v>4</v>
      </c>
      <c r="M718" s="1186">
        <v>65</v>
      </c>
      <c r="N718" s="1186">
        <v>160890</v>
      </c>
    </row>
    <row r="719" spans="1:14" x14ac:dyDescent="0.2">
      <c r="A719" s="1186" t="s">
        <v>1419</v>
      </c>
      <c r="B719" s="1186" t="s">
        <v>116</v>
      </c>
      <c r="C719" s="1186" t="s">
        <v>35</v>
      </c>
      <c r="D719" s="1186">
        <v>588</v>
      </c>
      <c r="E719" s="1186">
        <v>25</v>
      </c>
      <c r="F719" s="1186">
        <v>200</v>
      </c>
      <c r="G719" s="1186">
        <v>3</v>
      </c>
      <c r="H719" s="1186">
        <v>12</v>
      </c>
      <c r="I719" s="1186"/>
      <c r="J719" s="1186">
        <v>29</v>
      </c>
      <c r="K719" s="1186">
        <v>111</v>
      </c>
      <c r="L719" s="1186">
        <v>21</v>
      </c>
      <c r="M719" s="1186">
        <v>187</v>
      </c>
      <c r="N719" s="1186">
        <v>373550</v>
      </c>
    </row>
    <row r="720" spans="1:14" x14ac:dyDescent="0.2">
      <c r="A720" s="1186" t="s">
        <v>1419</v>
      </c>
      <c r="B720" s="1186" t="s">
        <v>116</v>
      </c>
      <c r="C720" s="1186" t="s">
        <v>36</v>
      </c>
      <c r="D720" s="1186">
        <v>2449</v>
      </c>
      <c r="E720" s="1186">
        <v>29</v>
      </c>
      <c r="F720" s="1186">
        <v>362</v>
      </c>
      <c r="G720" s="1186">
        <v>6</v>
      </c>
      <c r="H720" s="1186">
        <v>36</v>
      </c>
      <c r="I720" s="1186">
        <v>6</v>
      </c>
      <c r="J720" s="1186">
        <v>150</v>
      </c>
      <c r="K720" s="1186">
        <v>891</v>
      </c>
      <c r="L720" s="1186">
        <v>66</v>
      </c>
      <c r="M720" s="1186">
        <v>903</v>
      </c>
      <c r="N720" s="1186">
        <v>633120</v>
      </c>
    </row>
    <row r="721" spans="1:14" x14ac:dyDescent="0.2">
      <c r="A721" s="1186" t="s">
        <v>1419</v>
      </c>
      <c r="B721" s="1186" t="s">
        <v>116</v>
      </c>
      <c r="C721" s="1186" t="s">
        <v>37</v>
      </c>
      <c r="D721" s="1186">
        <v>155</v>
      </c>
      <c r="E721" s="1186">
        <v>6</v>
      </c>
      <c r="F721" s="1186">
        <v>95</v>
      </c>
      <c r="G721" s="1186"/>
      <c r="H721" s="1186">
        <v>2</v>
      </c>
      <c r="I721" s="1186"/>
      <c r="J721" s="1186">
        <v>4</v>
      </c>
      <c r="K721" s="1186">
        <v>29</v>
      </c>
      <c r="L721" s="1186">
        <v>1</v>
      </c>
      <c r="M721" s="1186">
        <v>18</v>
      </c>
      <c r="N721" s="1186">
        <v>235830</v>
      </c>
    </row>
    <row r="722" spans="1:14" x14ac:dyDescent="0.2">
      <c r="A722" s="1186" t="s">
        <v>1419</v>
      </c>
      <c r="B722" s="1186" t="s">
        <v>116</v>
      </c>
      <c r="C722" s="1186" t="s">
        <v>38</v>
      </c>
      <c r="D722" s="1186">
        <v>392</v>
      </c>
      <c r="E722" s="1186">
        <v>19</v>
      </c>
      <c r="F722" s="1186">
        <v>202</v>
      </c>
      <c r="G722" s="1186">
        <v>3</v>
      </c>
      <c r="H722" s="1186">
        <v>5</v>
      </c>
      <c r="I722" s="1186">
        <v>2</v>
      </c>
      <c r="J722" s="1186">
        <v>19</v>
      </c>
      <c r="K722" s="1186">
        <v>71</v>
      </c>
      <c r="L722" s="1186">
        <v>9</v>
      </c>
      <c r="M722" s="1186">
        <v>62</v>
      </c>
      <c r="N722" s="1186">
        <v>77800</v>
      </c>
    </row>
    <row r="723" spans="1:14" x14ac:dyDescent="0.2">
      <c r="A723" s="1186" t="s">
        <v>1419</v>
      </c>
      <c r="B723" s="1186" t="s">
        <v>116</v>
      </c>
      <c r="C723" s="1186" t="s">
        <v>39</v>
      </c>
      <c r="D723" s="1186">
        <v>193</v>
      </c>
      <c r="E723" s="1186">
        <v>2</v>
      </c>
      <c r="F723" s="1186">
        <v>100</v>
      </c>
      <c r="G723" s="1186">
        <v>3</v>
      </c>
      <c r="H723" s="1186">
        <v>2</v>
      </c>
      <c r="I723" s="1186"/>
      <c r="J723" s="1186">
        <v>14</v>
      </c>
      <c r="K723" s="1186">
        <v>29</v>
      </c>
      <c r="L723" s="1186">
        <v>9</v>
      </c>
      <c r="M723" s="1186">
        <v>34</v>
      </c>
      <c r="N723" s="1186">
        <v>92460</v>
      </c>
    </row>
    <row r="724" spans="1:14" x14ac:dyDescent="0.2">
      <c r="A724" s="1186" t="s">
        <v>1419</v>
      </c>
      <c r="B724" s="1186" t="s">
        <v>116</v>
      </c>
      <c r="C724" s="1186" t="s">
        <v>40</v>
      </c>
      <c r="D724" s="1186">
        <v>49</v>
      </c>
      <c r="E724" s="1186">
        <v>1</v>
      </c>
      <c r="F724" s="1186">
        <v>31</v>
      </c>
      <c r="G724" s="1186"/>
      <c r="H724" s="1186">
        <v>1</v>
      </c>
      <c r="I724" s="1186"/>
      <c r="J724" s="1186">
        <v>4</v>
      </c>
      <c r="K724" s="1186">
        <v>2</v>
      </c>
      <c r="L724" s="1186"/>
      <c r="M724" s="1186">
        <v>10</v>
      </c>
      <c r="N724" s="1186">
        <v>95820</v>
      </c>
    </row>
    <row r="725" spans="1:14" x14ac:dyDescent="0.2">
      <c r="A725" s="1186" t="s">
        <v>1419</v>
      </c>
      <c r="B725" s="1186" t="s">
        <v>116</v>
      </c>
      <c r="C725" s="1186" t="s">
        <v>295</v>
      </c>
      <c r="D725" s="1186">
        <v>8</v>
      </c>
      <c r="E725" s="1186"/>
      <c r="F725" s="1186">
        <v>7</v>
      </c>
      <c r="G725" s="1186"/>
      <c r="H725" s="1186"/>
      <c r="I725" s="1186"/>
      <c r="J725" s="1186"/>
      <c r="K725" s="1186"/>
      <c r="L725" s="1186"/>
      <c r="M725" s="1186">
        <v>1</v>
      </c>
      <c r="N725" s="1186">
        <v>26720</v>
      </c>
    </row>
    <row r="726" spans="1:14" x14ac:dyDescent="0.2">
      <c r="A726" s="1186" t="s">
        <v>1419</v>
      </c>
      <c r="B726" s="1186" t="s">
        <v>116</v>
      </c>
      <c r="C726" s="1186" t="s">
        <v>41</v>
      </c>
      <c r="D726" s="1186">
        <v>567</v>
      </c>
      <c r="E726" s="1186">
        <v>15</v>
      </c>
      <c r="F726" s="1186">
        <v>196</v>
      </c>
      <c r="G726" s="1186">
        <v>7</v>
      </c>
      <c r="H726" s="1186">
        <v>3</v>
      </c>
      <c r="I726" s="1186">
        <v>2</v>
      </c>
      <c r="J726" s="1186">
        <v>85</v>
      </c>
      <c r="K726" s="1186">
        <v>134</v>
      </c>
      <c r="L726" s="1186">
        <v>11</v>
      </c>
      <c r="M726" s="1186">
        <v>114</v>
      </c>
      <c r="N726" s="1186">
        <v>134740</v>
      </c>
    </row>
    <row r="727" spans="1:14" x14ac:dyDescent="0.2">
      <c r="A727" s="1186" t="s">
        <v>1419</v>
      </c>
      <c r="B727" s="1186" t="s">
        <v>116</v>
      </c>
      <c r="C727" s="1186" t="s">
        <v>42</v>
      </c>
      <c r="D727" s="1186">
        <v>1303</v>
      </c>
      <c r="E727" s="1186">
        <v>13</v>
      </c>
      <c r="F727" s="1186">
        <v>403</v>
      </c>
      <c r="G727" s="1186">
        <v>5</v>
      </c>
      <c r="H727" s="1186">
        <v>18</v>
      </c>
      <c r="I727" s="1186">
        <v>3</v>
      </c>
      <c r="J727" s="1186">
        <v>108</v>
      </c>
      <c r="K727" s="1186">
        <v>222</v>
      </c>
      <c r="L727" s="1186">
        <v>29</v>
      </c>
      <c r="M727" s="1186">
        <v>502</v>
      </c>
      <c r="N727" s="1186">
        <v>341370</v>
      </c>
    </row>
    <row r="728" spans="1:14" x14ac:dyDescent="0.2">
      <c r="A728" s="1186" t="s">
        <v>1419</v>
      </c>
      <c r="B728" s="1186" t="s">
        <v>116</v>
      </c>
      <c r="C728" s="1186" t="s">
        <v>43</v>
      </c>
      <c r="D728" s="1186">
        <v>1</v>
      </c>
      <c r="E728" s="1186"/>
      <c r="F728" s="1186"/>
      <c r="G728" s="1186"/>
      <c r="H728" s="1186"/>
      <c r="I728" s="1186"/>
      <c r="J728" s="1186"/>
      <c r="K728" s="1186"/>
      <c r="L728" s="1186"/>
      <c r="M728" s="1186">
        <v>1</v>
      </c>
      <c r="N728" s="1186">
        <v>22270</v>
      </c>
    </row>
    <row r="729" spans="1:14" x14ac:dyDescent="0.2">
      <c r="A729" s="1186" t="s">
        <v>1419</v>
      </c>
      <c r="B729" s="1186" t="s">
        <v>116</v>
      </c>
      <c r="C729" s="1186" t="s">
        <v>44</v>
      </c>
      <c r="D729" s="1186">
        <v>86</v>
      </c>
      <c r="E729" s="1186">
        <v>1</v>
      </c>
      <c r="F729" s="1186">
        <v>36</v>
      </c>
      <c r="G729" s="1186">
        <v>1</v>
      </c>
      <c r="H729" s="1186">
        <v>3</v>
      </c>
      <c r="I729" s="1186">
        <v>4</v>
      </c>
      <c r="J729" s="1186">
        <v>4</v>
      </c>
      <c r="K729" s="1186">
        <v>16</v>
      </c>
      <c r="L729" s="1186">
        <v>1</v>
      </c>
      <c r="M729" s="1186">
        <v>20</v>
      </c>
      <c r="N729" s="1186">
        <v>151950</v>
      </c>
    </row>
    <row r="730" spans="1:14" x14ac:dyDescent="0.2">
      <c r="A730" s="1186" t="s">
        <v>1419</v>
      </c>
      <c r="B730" s="1186" t="s">
        <v>116</v>
      </c>
      <c r="C730" s="1186" t="s">
        <v>45</v>
      </c>
      <c r="D730" s="1186">
        <v>474</v>
      </c>
      <c r="E730" s="1186">
        <v>9</v>
      </c>
      <c r="F730" s="1186">
        <v>87</v>
      </c>
      <c r="G730" s="1186">
        <v>3</v>
      </c>
      <c r="H730" s="1186">
        <v>8</v>
      </c>
      <c r="I730" s="1186">
        <v>1</v>
      </c>
      <c r="J730" s="1186">
        <v>42</v>
      </c>
      <c r="K730" s="1186">
        <v>146</v>
      </c>
      <c r="L730" s="1186">
        <v>17</v>
      </c>
      <c r="M730" s="1186">
        <v>161</v>
      </c>
      <c r="N730" s="1186">
        <v>179100</v>
      </c>
    </row>
    <row r="731" spans="1:14" x14ac:dyDescent="0.2">
      <c r="A731" s="1186" t="s">
        <v>1419</v>
      </c>
      <c r="B731" s="1186" t="s">
        <v>116</v>
      </c>
      <c r="C731" s="1186" t="s">
        <v>46</v>
      </c>
      <c r="D731" s="1186">
        <v>85</v>
      </c>
      <c r="E731" s="1186">
        <v>1</v>
      </c>
      <c r="F731" s="1186">
        <v>43</v>
      </c>
      <c r="G731" s="1186">
        <v>6</v>
      </c>
      <c r="H731" s="1186">
        <v>1</v>
      </c>
      <c r="I731" s="1186"/>
      <c r="J731" s="1186">
        <v>8</v>
      </c>
      <c r="K731" s="1186">
        <v>12</v>
      </c>
      <c r="L731" s="1186"/>
      <c r="M731" s="1186">
        <v>14</v>
      </c>
      <c r="N731" s="1186">
        <v>115510</v>
      </c>
    </row>
    <row r="732" spans="1:14" x14ac:dyDescent="0.2">
      <c r="A732" s="1186" t="s">
        <v>1419</v>
      </c>
      <c r="B732" s="1186" t="s">
        <v>116</v>
      </c>
      <c r="C732" s="1186" t="s">
        <v>47</v>
      </c>
      <c r="D732" s="1186">
        <v>3</v>
      </c>
      <c r="E732" s="1186"/>
      <c r="F732" s="1186"/>
      <c r="G732" s="1186"/>
      <c r="H732" s="1186">
        <v>1</v>
      </c>
      <c r="I732" s="1186"/>
      <c r="J732" s="1186"/>
      <c r="K732" s="1186"/>
      <c r="L732" s="1186"/>
      <c r="M732" s="1186">
        <v>2</v>
      </c>
      <c r="N732" s="1186">
        <v>22920</v>
      </c>
    </row>
    <row r="733" spans="1:14" x14ac:dyDescent="0.2">
      <c r="A733" s="1186" t="s">
        <v>1419</v>
      </c>
      <c r="B733" s="1186" t="s">
        <v>116</v>
      </c>
      <c r="C733" s="1186" t="s">
        <v>48</v>
      </c>
      <c r="D733" s="1186">
        <v>227</v>
      </c>
      <c r="E733" s="1186">
        <v>5</v>
      </c>
      <c r="F733" s="1186">
        <v>75</v>
      </c>
      <c r="G733" s="1186"/>
      <c r="H733" s="1186">
        <v>4</v>
      </c>
      <c r="I733" s="1186">
        <v>2</v>
      </c>
      <c r="J733" s="1186">
        <v>22</v>
      </c>
      <c r="K733" s="1186">
        <v>59</v>
      </c>
      <c r="L733" s="1186">
        <v>5</v>
      </c>
      <c r="M733" s="1186">
        <v>55</v>
      </c>
      <c r="N733" s="1186">
        <v>112610</v>
      </c>
    </row>
    <row r="734" spans="1:14" x14ac:dyDescent="0.2">
      <c r="A734" s="1186" t="s">
        <v>1419</v>
      </c>
      <c r="B734" s="1186" t="s">
        <v>116</v>
      </c>
      <c r="C734" s="1186" t="s">
        <v>49</v>
      </c>
      <c r="D734" s="1186">
        <v>746</v>
      </c>
      <c r="E734" s="1186">
        <v>10</v>
      </c>
      <c r="F734" s="1186">
        <v>198</v>
      </c>
      <c r="G734" s="1186">
        <v>5</v>
      </c>
      <c r="H734" s="1186">
        <v>23</v>
      </c>
      <c r="I734" s="1186">
        <v>7</v>
      </c>
      <c r="J734" s="1186">
        <v>60</v>
      </c>
      <c r="K734" s="1186">
        <v>135</v>
      </c>
      <c r="L734" s="1186">
        <v>25</v>
      </c>
      <c r="M734" s="1186">
        <v>283</v>
      </c>
      <c r="N734" s="1186">
        <v>320530</v>
      </c>
    </row>
    <row r="735" spans="1:14" x14ac:dyDescent="0.2">
      <c r="A735" s="1186" t="s">
        <v>1419</v>
      </c>
      <c r="B735" s="1186" t="s">
        <v>116</v>
      </c>
      <c r="C735" s="1186" t="s">
        <v>50</v>
      </c>
      <c r="D735" s="1186">
        <v>67</v>
      </c>
      <c r="E735" s="1186">
        <v>4</v>
      </c>
      <c r="F735" s="1186">
        <v>30</v>
      </c>
      <c r="G735" s="1186"/>
      <c r="H735" s="1186">
        <v>1</v>
      </c>
      <c r="I735" s="1186">
        <v>2</v>
      </c>
      <c r="J735" s="1186">
        <v>1</v>
      </c>
      <c r="K735" s="1186">
        <v>12</v>
      </c>
      <c r="L735" s="1186">
        <v>1</v>
      </c>
      <c r="M735" s="1186">
        <v>16</v>
      </c>
      <c r="N735" s="1186">
        <v>94210</v>
      </c>
    </row>
    <row r="736" spans="1:14" x14ac:dyDescent="0.2">
      <c r="A736" s="1186" t="s">
        <v>1419</v>
      </c>
      <c r="B736" s="1186" t="s">
        <v>116</v>
      </c>
      <c r="C736" s="1186" t="s">
        <v>51</v>
      </c>
      <c r="D736" s="1186">
        <v>285</v>
      </c>
      <c r="E736" s="1186">
        <v>8</v>
      </c>
      <c r="F736" s="1186">
        <v>77</v>
      </c>
      <c r="G736" s="1186"/>
      <c r="H736" s="1186">
        <v>3</v>
      </c>
      <c r="I736" s="1186"/>
      <c r="J736" s="1186">
        <v>26</v>
      </c>
      <c r="K736" s="1186">
        <v>77</v>
      </c>
      <c r="L736" s="1186">
        <v>4</v>
      </c>
      <c r="M736" s="1186">
        <v>90</v>
      </c>
      <c r="N736" s="1186">
        <v>88930</v>
      </c>
    </row>
    <row r="737" spans="1:14" x14ac:dyDescent="0.2">
      <c r="A737" s="1186" t="s">
        <v>1419</v>
      </c>
      <c r="B737" s="1186" t="s">
        <v>116</v>
      </c>
      <c r="C737" s="1186" t="s">
        <v>52</v>
      </c>
      <c r="D737" s="1186">
        <v>648</v>
      </c>
      <c r="E737" s="1186">
        <v>15</v>
      </c>
      <c r="F737" s="1186">
        <v>250</v>
      </c>
      <c r="G737" s="1186">
        <v>2</v>
      </c>
      <c r="H737" s="1186">
        <v>14</v>
      </c>
      <c r="I737" s="1186">
        <v>4</v>
      </c>
      <c r="J737" s="1186">
        <v>51</v>
      </c>
      <c r="K737" s="1186">
        <v>164</v>
      </c>
      <c r="L737" s="1186">
        <v>20</v>
      </c>
      <c r="M737" s="1186">
        <v>128</v>
      </c>
      <c r="N737" s="1186">
        <v>183100</v>
      </c>
    </row>
    <row r="738" spans="1:14" x14ac:dyDescent="0.2">
      <c r="A738" s="1186" t="s">
        <v>1572</v>
      </c>
      <c r="B738" s="1186" t="s">
        <v>116</v>
      </c>
      <c r="C738" s="1186" t="s">
        <v>23</v>
      </c>
      <c r="D738" s="1186">
        <v>246</v>
      </c>
      <c r="E738" s="1186">
        <v>3</v>
      </c>
      <c r="F738" s="1186">
        <v>89</v>
      </c>
      <c r="G738" s="1186"/>
      <c r="H738" s="1186">
        <v>7</v>
      </c>
      <c r="I738" s="1186"/>
      <c r="J738" s="1186">
        <v>26</v>
      </c>
      <c r="K738" s="1186">
        <v>62</v>
      </c>
      <c r="L738" s="1186">
        <v>13</v>
      </c>
      <c r="M738" s="1186">
        <v>46</v>
      </c>
      <c r="N738" s="1186">
        <v>229060</v>
      </c>
    </row>
    <row r="739" spans="1:14" x14ac:dyDescent="0.2">
      <c r="A739" s="1186" t="s">
        <v>1572</v>
      </c>
      <c r="B739" s="1186" t="s">
        <v>116</v>
      </c>
      <c r="C739" s="1186" t="s">
        <v>24</v>
      </c>
      <c r="D739" s="1186">
        <v>157</v>
      </c>
      <c r="E739" s="1186">
        <v>5</v>
      </c>
      <c r="F739" s="1186">
        <v>65</v>
      </c>
      <c r="G739" s="1186">
        <v>7</v>
      </c>
      <c r="H739" s="1186">
        <v>9</v>
      </c>
      <c r="I739" s="1186"/>
      <c r="J739" s="1186">
        <v>24</v>
      </c>
      <c r="K739" s="1186">
        <v>8</v>
      </c>
      <c r="L739" s="1186"/>
      <c r="M739" s="1186">
        <v>39</v>
      </c>
      <c r="N739" s="1186">
        <v>260780</v>
      </c>
    </row>
    <row r="740" spans="1:14" x14ac:dyDescent="0.2">
      <c r="A740" s="1186" t="s">
        <v>1572</v>
      </c>
      <c r="B740" s="1186" t="s">
        <v>116</v>
      </c>
      <c r="C740" s="1186" t="s">
        <v>25</v>
      </c>
      <c r="D740" s="1186">
        <v>134</v>
      </c>
      <c r="E740" s="1186">
        <v>6</v>
      </c>
      <c r="F740" s="1186">
        <v>65</v>
      </c>
      <c r="G740" s="1186">
        <v>1</v>
      </c>
      <c r="H740" s="1186">
        <v>2</v>
      </c>
      <c r="I740" s="1186"/>
      <c r="J740" s="1186">
        <v>17</v>
      </c>
      <c r="K740" s="1186">
        <v>21</v>
      </c>
      <c r="L740" s="1186"/>
      <c r="M740" s="1186">
        <v>22</v>
      </c>
      <c r="N740" s="1186">
        <v>115820</v>
      </c>
    </row>
    <row r="741" spans="1:14" x14ac:dyDescent="0.2">
      <c r="A741" s="1186" t="s">
        <v>1572</v>
      </c>
      <c r="B741" s="1186" t="s">
        <v>116</v>
      </c>
      <c r="C741" s="1186" t="s">
        <v>26</v>
      </c>
      <c r="D741" s="1186">
        <v>65</v>
      </c>
      <c r="E741" s="1186"/>
      <c r="F741" s="1186">
        <v>31</v>
      </c>
      <c r="G741" s="1186"/>
      <c r="H741" s="1186"/>
      <c r="I741" s="1186">
        <v>1</v>
      </c>
      <c r="J741" s="1186">
        <v>15</v>
      </c>
      <c r="K741" s="1186">
        <v>8</v>
      </c>
      <c r="L741" s="1186">
        <v>1</v>
      </c>
      <c r="M741" s="1186">
        <v>9</v>
      </c>
      <c r="N741" s="1186">
        <v>85430</v>
      </c>
    </row>
    <row r="742" spans="1:14" x14ac:dyDescent="0.2">
      <c r="A742" s="1186" t="s">
        <v>1572</v>
      </c>
      <c r="B742" s="1186" t="s">
        <v>116</v>
      </c>
      <c r="C742" s="1186" t="s">
        <v>619</v>
      </c>
      <c r="D742" s="1186">
        <v>1034</v>
      </c>
      <c r="E742" s="1186">
        <v>4</v>
      </c>
      <c r="F742" s="1186">
        <v>301</v>
      </c>
      <c r="G742" s="1186">
        <v>2</v>
      </c>
      <c r="H742" s="1186">
        <v>22</v>
      </c>
      <c r="I742" s="1186">
        <v>1</v>
      </c>
      <c r="J742" s="1186">
        <v>182</v>
      </c>
      <c r="K742" s="1186">
        <v>260</v>
      </c>
      <c r="L742" s="1186">
        <v>52</v>
      </c>
      <c r="M742" s="1186">
        <v>210</v>
      </c>
      <c r="N742" s="1186">
        <v>527620</v>
      </c>
    </row>
    <row r="743" spans="1:14" x14ac:dyDescent="0.2">
      <c r="A743" s="1186" t="s">
        <v>1572</v>
      </c>
      <c r="B743" s="1186" t="s">
        <v>116</v>
      </c>
      <c r="C743" s="1186" t="s">
        <v>27</v>
      </c>
      <c r="D743" s="1186">
        <v>74</v>
      </c>
      <c r="E743" s="1186">
        <v>4</v>
      </c>
      <c r="F743" s="1186">
        <v>19</v>
      </c>
      <c r="G743" s="1186"/>
      <c r="H743" s="1186">
        <v>1</v>
      </c>
      <c r="I743" s="1186">
        <v>3</v>
      </c>
      <c r="J743" s="1186">
        <v>6</v>
      </c>
      <c r="K743" s="1186">
        <v>13</v>
      </c>
      <c r="L743" s="1186">
        <v>1</v>
      </c>
      <c r="M743" s="1186">
        <v>27</v>
      </c>
      <c r="N743" s="1186">
        <v>51290</v>
      </c>
    </row>
    <row r="744" spans="1:14" x14ac:dyDescent="0.2">
      <c r="A744" s="1186" t="s">
        <v>1572</v>
      </c>
      <c r="B744" s="1186" t="s">
        <v>116</v>
      </c>
      <c r="C744" s="1186" t="s">
        <v>28</v>
      </c>
      <c r="D744" s="1186">
        <v>120</v>
      </c>
      <c r="E744" s="1186">
        <v>2</v>
      </c>
      <c r="F744" s="1186">
        <v>53</v>
      </c>
      <c r="G744" s="1186">
        <v>1</v>
      </c>
      <c r="H744" s="1186">
        <v>2</v>
      </c>
      <c r="I744" s="1186">
        <v>4</v>
      </c>
      <c r="J744" s="1186">
        <v>4</v>
      </c>
      <c r="K744" s="1186">
        <v>13</v>
      </c>
      <c r="L744" s="1186">
        <v>2</v>
      </c>
      <c r="M744" s="1186">
        <v>39</v>
      </c>
      <c r="N744" s="1186">
        <v>148290</v>
      </c>
    </row>
    <row r="745" spans="1:14" x14ac:dyDescent="0.2">
      <c r="A745" s="1186" t="s">
        <v>1572</v>
      </c>
      <c r="B745" s="1186" t="s">
        <v>116</v>
      </c>
      <c r="C745" s="1186" t="s">
        <v>29</v>
      </c>
      <c r="D745" s="1186">
        <v>579</v>
      </c>
      <c r="E745" s="1186">
        <v>5</v>
      </c>
      <c r="F745" s="1186">
        <v>192</v>
      </c>
      <c r="G745" s="1186">
        <v>3</v>
      </c>
      <c r="H745" s="1186">
        <v>11</v>
      </c>
      <c r="I745" s="1186">
        <v>1</v>
      </c>
      <c r="J745" s="1186">
        <v>95</v>
      </c>
      <c r="K745" s="1186">
        <v>198</v>
      </c>
      <c r="L745" s="1186">
        <v>17</v>
      </c>
      <c r="M745" s="1186">
        <v>57</v>
      </c>
      <c r="N745" s="1186">
        <v>148820</v>
      </c>
    </row>
    <row r="746" spans="1:14" x14ac:dyDescent="0.2">
      <c r="A746" s="1186" t="s">
        <v>1572</v>
      </c>
      <c r="B746" s="1186" t="s">
        <v>116</v>
      </c>
      <c r="C746" s="1186" t="s">
        <v>30</v>
      </c>
      <c r="D746" s="1186">
        <v>528</v>
      </c>
      <c r="E746" s="1186">
        <v>4</v>
      </c>
      <c r="F746" s="1186">
        <v>146</v>
      </c>
      <c r="G746" s="1186">
        <v>1</v>
      </c>
      <c r="H746" s="1186">
        <v>4</v>
      </c>
      <c r="I746" s="1186">
        <v>3</v>
      </c>
      <c r="J746" s="1186">
        <v>89</v>
      </c>
      <c r="K746" s="1186">
        <v>111</v>
      </c>
      <c r="L746" s="1186">
        <v>4</v>
      </c>
      <c r="M746" s="1186">
        <v>166</v>
      </c>
      <c r="N746" s="1186">
        <v>121600</v>
      </c>
    </row>
    <row r="747" spans="1:14" x14ac:dyDescent="0.2">
      <c r="A747" s="1186" t="s">
        <v>1572</v>
      </c>
      <c r="B747" s="1186" t="s">
        <v>116</v>
      </c>
      <c r="C747" s="1186" t="s">
        <v>31</v>
      </c>
      <c r="D747" s="1186">
        <v>205</v>
      </c>
      <c r="E747" s="1186">
        <v>2</v>
      </c>
      <c r="F747" s="1186">
        <v>85</v>
      </c>
      <c r="G747" s="1186">
        <v>3</v>
      </c>
      <c r="H747" s="1186"/>
      <c r="I747" s="1186"/>
      <c r="J747" s="1186">
        <v>38</v>
      </c>
      <c r="K747" s="1186">
        <v>37</v>
      </c>
      <c r="L747" s="1186">
        <v>4</v>
      </c>
      <c r="M747" s="1186">
        <v>36</v>
      </c>
      <c r="N747" s="1186">
        <v>108750</v>
      </c>
    </row>
    <row r="748" spans="1:14" x14ac:dyDescent="0.2">
      <c r="A748" s="1186" t="s">
        <v>1572</v>
      </c>
      <c r="B748" s="1186" t="s">
        <v>116</v>
      </c>
      <c r="C748" s="1186" t="s">
        <v>32</v>
      </c>
      <c r="D748" s="1186">
        <v>152</v>
      </c>
      <c r="E748" s="1186">
        <v>1</v>
      </c>
      <c r="F748" s="1186">
        <v>46</v>
      </c>
      <c r="G748" s="1186"/>
      <c r="H748" s="1186">
        <v>3</v>
      </c>
      <c r="I748" s="1186"/>
      <c r="J748" s="1186">
        <v>33</v>
      </c>
      <c r="K748" s="1186">
        <v>20</v>
      </c>
      <c r="L748" s="1186">
        <v>3</v>
      </c>
      <c r="M748" s="1186">
        <v>46</v>
      </c>
      <c r="N748" s="1186">
        <v>107900</v>
      </c>
    </row>
    <row r="749" spans="1:14" x14ac:dyDescent="0.2">
      <c r="A749" s="1186" t="s">
        <v>1572</v>
      </c>
      <c r="B749" s="1186" t="s">
        <v>116</v>
      </c>
      <c r="C749" s="1186" t="s">
        <v>33</v>
      </c>
      <c r="D749" s="1186">
        <v>150</v>
      </c>
      <c r="E749" s="1186">
        <v>6</v>
      </c>
      <c r="F749" s="1186">
        <v>58</v>
      </c>
      <c r="G749" s="1186">
        <v>2</v>
      </c>
      <c r="H749" s="1186">
        <v>3</v>
      </c>
      <c r="I749" s="1186">
        <v>1</v>
      </c>
      <c r="J749" s="1186">
        <v>32</v>
      </c>
      <c r="K749" s="1186">
        <v>20</v>
      </c>
      <c r="L749" s="1186">
        <v>2</v>
      </c>
      <c r="M749" s="1186">
        <v>26</v>
      </c>
      <c r="N749" s="1186">
        <v>96060</v>
      </c>
    </row>
    <row r="750" spans="1:14" x14ac:dyDescent="0.2">
      <c r="A750" s="1186" t="s">
        <v>1572</v>
      </c>
      <c r="B750" s="1186" t="s">
        <v>116</v>
      </c>
      <c r="C750" s="1186" t="s">
        <v>34</v>
      </c>
      <c r="D750" s="1186">
        <v>313</v>
      </c>
      <c r="E750" s="1186">
        <v>3</v>
      </c>
      <c r="F750" s="1186">
        <v>139</v>
      </c>
      <c r="G750" s="1186">
        <v>1</v>
      </c>
      <c r="H750" s="1186">
        <v>2</v>
      </c>
      <c r="I750" s="1186">
        <v>1</v>
      </c>
      <c r="J750" s="1186">
        <v>62</v>
      </c>
      <c r="K750" s="1186">
        <v>46</v>
      </c>
      <c r="L750" s="1186">
        <v>10</v>
      </c>
      <c r="M750" s="1186">
        <v>49</v>
      </c>
      <c r="N750" s="1186">
        <v>160560</v>
      </c>
    </row>
    <row r="751" spans="1:14" x14ac:dyDescent="0.2">
      <c r="A751" s="1186" t="s">
        <v>1572</v>
      </c>
      <c r="B751" s="1186" t="s">
        <v>116</v>
      </c>
      <c r="C751" s="1186" t="s">
        <v>35</v>
      </c>
      <c r="D751" s="1186">
        <v>826</v>
      </c>
      <c r="E751" s="1186">
        <v>22</v>
      </c>
      <c r="F751" s="1186">
        <v>231</v>
      </c>
      <c r="G751" s="1186">
        <v>6</v>
      </c>
      <c r="H751" s="1186">
        <v>24</v>
      </c>
      <c r="I751" s="1186">
        <v>4</v>
      </c>
      <c r="J751" s="1186">
        <v>115</v>
      </c>
      <c r="K751" s="1186">
        <v>172</v>
      </c>
      <c r="L751" s="1186">
        <v>24</v>
      </c>
      <c r="M751" s="1186">
        <v>228</v>
      </c>
      <c r="N751" s="1186">
        <v>374130</v>
      </c>
    </row>
    <row r="752" spans="1:14" x14ac:dyDescent="0.2">
      <c r="A752" s="1186" t="s">
        <v>1572</v>
      </c>
      <c r="B752" s="1186" t="s">
        <v>116</v>
      </c>
      <c r="C752" s="1186" t="s">
        <v>36</v>
      </c>
      <c r="D752" s="1186">
        <v>2128</v>
      </c>
      <c r="E752" s="1186">
        <v>16</v>
      </c>
      <c r="F752" s="1186">
        <v>371</v>
      </c>
      <c r="G752" s="1186">
        <v>6</v>
      </c>
      <c r="H752" s="1186">
        <v>20</v>
      </c>
      <c r="I752" s="1186">
        <v>13</v>
      </c>
      <c r="J752" s="1186">
        <v>245</v>
      </c>
      <c r="K752" s="1186">
        <v>657</v>
      </c>
      <c r="L752" s="1186">
        <v>46</v>
      </c>
      <c r="M752" s="1186">
        <v>754</v>
      </c>
      <c r="N752" s="1186">
        <v>635640</v>
      </c>
    </row>
    <row r="753" spans="1:14" x14ac:dyDescent="0.2">
      <c r="A753" s="1186" t="s">
        <v>1572</v>
      </c>
      <c r="B753" s="1186" t="s">
        <v>116</v>
      </c>
      <c r="C753" s="1186" t="s">
        <v>37</v>
      </c>
      <c r="D753" s="1186">
        <v>162</v>
      </c>
      <c r="E753" s="1186">
        <v>4</v>
      </c>
      <c r="F753" s="1186">
        <v>82</v>
      </c>
      <c r="G753" s="1186">
        <v>4</v>
      </c>
      <c r="H753" s="1186">
        <v>3</v>
      </c>
      <c r="I753" s="1186"/>
      <c r="J753" s="1186">
        <v>29</v>
      </c>
      <c r="K753" s="1186">
        <v>6</v>
      </c>
      <c r="L753" s="1186"/>
      <c r="M753" s="1186">
        <v>34</v>
      </c>
      <c r="N753" s="1186">
        <v>235430</v>
      </c>
    </row>
    <row r="754" spans="1:14" x14ac:dyDescent="0.2">
      <c r="A754" s="1186" t="s">
        <v>1572</v>
      </c>
      <c r="B754" s="1186" t="s">
        <v>116</v>
      </c>
      <c r="C754" s="1186" t="s">
        <v>38</v>
      </c>
      <c r="D754" s="1186">
        <v>391</v>
      </c>
      <c r="E754" s="1186">
        <v>8</v>
      </c>
      <c r="F754" s="1186">
        <v>190</v>
      </c>
      <c r="G754" s="1186"/>
      <c r="H754" s="1186">
        <v>2</v>
      </c>
      <c r="I754" s="1186">
        <v>2</v>
      </c>
      <c r="J754" s="1186">
        <v>32</v>
      </c>
      <c r="K754" s="1186">
        <v>76</v>
      </c>
      <c r="L754" s="1186">
        <v>6</v>
      </c>
      <c r="M754" s="1186">
        <v>75</v>
      </c>
      <c r="N754" s="1186">
        <v>77060</v>
      </c>
    </row>
    <row r="755" spans="1:14" x14ac:dyDescent="0.2">
      <c r="A755" s="1186" t="s">
        <v>1572</v>
      </c>
      <c r="B755" s="1186" t="s">
        <v>116</v>
      </c>
      <c r="C755" s="1186" t="s">
        <v>39</v>
      </c>
      <c r="D755" s="1186">
        <v>158</v>
      </c>
      <c r="E755" s="1186"/>
      <c r="F755" s="1186">
        <v>71</v>
      </c>
      <c r="G755" s="1186">
        <v>3</v>
      </c>
      <c r="H755" s="1186">
        <v>2</v>
      </c>
      <c r="I755" s="1186"/>
      <c r="J755" s="1186">
        <v>19</v>
      </c>
      <c r="K755" s="1186">
        <v>25</v>
      </c>
      <c r="L755" s="1186">
        <v>4</v>
      </c>
      <c r="M755" s="1186">
        <v>34</v>
      </c>
      <c r="N755" s="1186">
        <v>93150</v>
      </c>
    </row>
    <row r="756" spans="1:14" x14ac:dyDescent="0.2">
      <c r="A756" s="1186" t="s">
        <v>1572</v>
      </c>
      <c r="B756" s="1186" t="s">
        <v>116</v>
      </c>
      <c r="C756" s="1186" t="s">
        <v>40</v>
      </c>
      <c r="D756" s="1186">
        <v>63</v>
      </c>
      <c r="E756" s="1186">
        <v>1</v>
      </c>
      <c r="F756" s="1186">
        <v>31</v>
      </c>
      <c r="G756" s="1186">
        <v>1</v>
      </c>
      <c r="H756" s="1186">
        <v>1</v>
      </c>
      <c r="I756" s="1186"/>
      <c r="J756" s="1186">
        <v>7</v>
      </c>
      <c r="K756" s="1186">
        <v>8</v>
      </c>
      <c r="L756" s="1186"/>
      <c r="M756" s="1186">
        <v>14</v>
      </c>
      <c r="N756" s="1186">
        <v>95710</v>
      </c>
    </row>
    <row r="757" spans="1:14" x14ac:dyDescent="0.2">
      <c r="A757" s="1186" t="s">
        <v>1572</v>
      </c>
      <c r="B757" s="1186" t="s">
        <v>116</v>
      </c>
      <c r="C757" s="1186" t="s">
        <v>295</v>
      </c>
      <c r="D757" s="1186">
        <v>18</v>
      </c>
      <c r="E757" s="1186"/>
      <c r="F757" s="1186">
        <v>18</v>
      </c>
      <c r="G757" s="1186"/>
      <c r="H757" s="1186"/>
      <c r="I757" s="1186"/>
      <c r="J757" s="1186"/>
      <c r="K757" s="1186"/>
      <c r="L757" s="1186"/>
      <c r="M757" s="1186"/>
      <c r="N757" s="1186">
        <v>26500</v>
      </c>
    </row>
    <row r="758" spans="1:14" x14ac:dyDescent="0.2">
      <c r="A758" s="1186" t="s">
        <v>1572</v>
      </c>
      <c r="B758" s="1186" t="s">
        <v>116</v>
      </c>
      <c r="C758" s="1186" t="s">
        <v>41</v>
      </c>
      <c r="D758" s="1186">
        <v>437</v>
      </c>
      <c r="E758" s="1186">
        <v>9</v>
      </c>
      <c r="F758" s="1186">
        <v>129</v>
      </c>
      <c r="G758" s="1186">
        <v>5</v>
      </c>
      <c r="H758" s="1186">
        <v>4</v>
      </c>
      <c r="I758" s="1186">
        <v>10</v>
      </c>
      <c r="J758" s="1186">
        <v>84</v>
      </c>
      <c r="K758" s="1186">
        <v>94</v>
      </c>
      <c r="L758" s="1186">
        <v>11</v>
      </c>
      <c r="M758" s="1186">
        <v>91</v>
      </c>
      <c r="N758" s="1186">
        <v>134250</v>
      </c>
    </row>
    <row r="759" spans="1:14" x14ac:dyDescent="0.2">
      <c r="A759" s="1186" t="s">
        <v>1572</v>
      </c>
      <c r="B759" s="1186" t="s">
        <v>116</v>
      </c>
      <c r="C759" s="1186" t="s">
        <v>42</v>
      </c>
      <c r="D759" s="1186">
        <v>1313</v>
      </c>
      <c r="E759" s="1186">
        <v>12</v>
      </c>
      <c r="F759" s="1186">
        <v>393</v>
      </c>
      <c r="G759" s="1186">
        <v>5</v>
      </c>
      <c r="H759" s="1186">
        <v>14</v>
      </c>
      <c r="I759" s="1186">
        <v>15</v>
      </c>
      <c r="J759" s="1186">
        <v>144</v>
      </c>
      <c r="K759" s="1186">
        <v>161</v>
      </c>
      <c r="L759" s="1186">
        <v>24</v>
      </c>
      <c r="M759" s="1186">
        <v>545</v>
      </c>
      <c r="N759" s="1186">
        <v>341140</v>
      </c>
    </row>
    <row r="760" spans="1:14" x14ac:dyDescent="0.2">
      <c r="A760" s="1186" t="s">
        <v>1572</v>
      </c>
      <c r="B760" s="1186" t="s">
        <v>116</v>
      </c>
      <c r="C760" s="1186" t="s">
        <v>43</v>
      </c>
      <c r="D760" s="1186">
        <v>6</v>
      </c>
      <c r="E760" s="1186"/>
      <c r="F760" s="1186">
        <v>2</v>
      </c>
      <c r="G760" s="1186"/>
      <c r="H760" s="1186"/>
      <c r="I760" s="1186"/>
      <c r="J760" s="1186">
        <v>2</v>
      </c>
      <c r="K760" s="1186"/>
      <c r="L760" s="1186"/>
      <c r="M760" s="1186">
        <v>2</v>
      </c>
      <c r="N760" s="1186">
        <v>22400</v>
      </c>
    </row>
    <row r="761" spans="1:14" x14ac:dyDescent="0.2">
      <c r="A761" s="1186" t="s">
        <v>1572</v>
      </c>
      <c r="B761" s="1186" t="s">
        <v>116</v>
      </c>
      <c r="C761" s="1186" t="s">
        <v>44</v>
      </c>
      <c r="D761" s="1186">
        <v>64</v>
      </c>
      <c r="E761" s="1186"/>
      <c r="F761" s="1186">
        <v>20</v>
      </c>
      <c r="G761" s="1186">
        <v>3</v>
      </c>
      <c r="H761" s="1186">
        <v>1</v>
      </c>
      <c r="I761" s="1186">
        <v>3</v>
      </c>
      <c r="J761" s="1186">
        <v>6</v>
      </c>
      <c r="K761" s="1186">
        <v>16</v>
      </c>
      <c r="L761" s="1186">
        <v>2</v>
      </c>
      <c r="M761" s="1186">
        <v>13</v>
      </c>
      <c r="N761" s="1186">
        <v>151910</v>
      </c>
    </row>
    <row r="762" spans="1:14" x14ac:dyDescent="0.2">
      <c r="A762" s="1186" t="s">
        <v>1572</v>
      </c>
      <c r="B762" s="1186" t="s">
        <v>116</v>
      </c>
      <c r="C762" s="1186" t="s">
        <v>45</v>
      </c>
      <c r="D762" s="1186">
        <v>430</v>
      </c>
      <c r="E762" s="1186">
        <v>3</v>
      </c>
      <c r="F762" s="1186">
        <v>113</v>
      </c>
      <c r="G762" s="1186">
        <v>1</v>
      </c>
      <c r="H762" s="1186">
        <v>7</v>
      </c>
      <c r="I762" s="1186">
        <v>2</v>
      </c>
      <c r="J762" s="1186">
        <v>58</v>
      </c>
      <c r="K762" s="1186">
        <v>105</v>
      </c>
      <c r="L762" s="1186">
        <v>14</v>
      </c>
      <c r="M762" s="1186">
        <v>127</v>
      </c>
      <c r="N762" s="1186">
        <v>179390</v>
      </c>
    </row>
    <row r="763" spans="1:14" x14ac:dyDescent="0.2">
      <c r="A763" s="1186" t="s">
        <v>1572</v>
      </c>
      <c r="B763" s="1186" t="s">
        <v>116</v>
      </c>
      <c r="C763" s="1186" t="s">
        <v>46</v>
      </c>
      <c r="D763" s="1186">
        <v>94</v>
      </c>
      <c r="E763" s="1186">
        <v>1</v>
      </c>
      <c r="F763" s="1186">
        <v>52</v>
      </c>
      <c r="G763" s="1186">
        <v>1</v>
      </c>
      <c r="H763" s="1186">
        <v>1</v>
      </c>
      <c r="I763" s="1186">
        <v>1</v>
      </c>
      <c r="J763" s="1186">
        <v>10</v>
      </c>
      <c r="K763" s="1186">
        <v>16</v>
      </c>
      <c r="L763" s="1186">
        <v>1</v>
      </c>
      <c r="M763" s="1186">
        <v>11</v>
      </c>
      <c r="N763" s="1186">
        <v>115240</v>
      </c>
    </row>
    <row r="764" spans="1:14" x14ac:dyDescent="0.2">
      <c r="A764" s="1186" t="s">
        <v>1572</v>
      </c>
      <c r="B764" s="1186" t="s">
        <v>116</v>
      </c>
      <c r="C764" s="1186" t="s">
        <v>47</v>
      </c>
      <c r="D764" s="1186">
        <v>6</v>
      </c>
      <c r="E764" s="1186"/>
      <c r="F764" s="1186"/>
      <c r="G764" s="1186"/>
      <c r="H764" s="1186"/>
      <c r="I764" s="1186"/>
      <c r="J764" s="1186">
        <v>3</v>
      </c>
      <c r="K764" s="1186">
        <v>1</v>
      </c>
      <c r="L764" s="1186"/>
      <c r="M764" s="1186">
        <v>2</v>
      </c>
      <c r="N764" s="1186">
        <v>22870</v>
      </c>
    </row>
    <row r="765" spans="1:14" x14ac:dyDescent="0.2">
      <c r="A765" s="1186" t="s">
        <v>1572</v>
      </c>
      <c r="B765" s="1186" t="s">
        <v>116</v>
      </c>
      <c r="C765" s="1186" t="s">
        <v>48</v>
      </c>
      <c r="D765" s="1186">
        <v>240</v>
      </c>
      <c r="E765" s="1186">
        <v>1</v>
      </c>
      <c r="F765" s="1186">
        <v>72</v>
      </c>
      <c r="G765" s="1186">
        <v>1</v>
      </c>
      <c r="H765" s="1186">
        <v>1</v>
      </c>
      <c r="I765" s="1186"/>
      <c r="J765" s="1186">
        <v>63</v>
      </c>
      <c r="K765" s="1186">
        <v>54</v>
      </c>
      <c r="L765" s="1186">
        <v>1</v>
      </c>
      <c r="M765" s="1186">
        <v>47</v>
      </c>
      <c r="N765" s="1186">
        <v>112140</v>
      </c>
    </row>
    <row r="766" spans="1:14" x14ac:dyDescent="0.2">
      <c r="A766" s="1186" t="s">
        <v>1572</v>
      </c>
      <c r="B766" s="1186" t="s">
        <v>116</v>
      </c>
      <c r="C766" s="1186" t="s">
        <v>49</v>
      </c>
      <c r="D766" s="1186">
        <v>892</v>
      </c>
      <c r="E766" s="1186">
        <v>4</v>
      </c>
      <c r="F766" s="1186">
        <v>283</v>
      </c>
      <c r="G766" s="1186">
        <v>6</v>
      </c>
      <c r="H766" s="1186">
        <v>3</v>
      </c>
      <c r="I766" s="1186">
        <v>4</v>
      </c>
      <c r="J766" s="1186">
        <v>86</v>
      </c>
      <c r="K766" s="1186">
        <v>154</v>
      </c>
      <c r="L766" s="1186">
        <v>22</v>
      </c>
      <c r="M766" s="1186">
        <v>330</v>
      </c>
      <c r="N766" s="1186">
        <v>320820</v>
      </c>
    </row>
    <row r="767" spans="1:14" x14ac:dyDescent="0.2">
      <c r="A767" s="1186" t="s">
        <v>1572</v>
      </c>
      <c r="B767" s="1186" t="s">
        <v>116</v>
      </c>
      <c r="C767" s="1186" t="s">
        <v>50</v>
      </c>
      <c r="D767" s="1186">
        <v>124</v>
      </c>
      <c r="E767" s="1186">
        <v>2</v>
      </c>
      <c r="F767" s="1186">
        <v>50</v>
      </c>
      <c r="G767" s="1186"/>
      <c r="H767" s="1186">
        <v>5</v>
      </c>
      <c r="I767" s="1186"/>
      <c r="J767" s="1186">
        <v>13</v>
      </c>
      <c r="K767" s="1186">
        <v>30</v>
      </c>
      <c r="L767" s="1186">
        <v>3</v>
      </c>
      <c r="M767" s="1186">
        <v>21</v>
      </c>
      <c r="N767" s="1186">
        <v>94080</v>
      </c>
    </row>
    <row r="768" spans="1:14" x14ac:dyDescent="0.2">
      <c r="A768" s="1186" t="s">
        <v>1572</v>
      </c>
      <c r="B768" s="1186" t="s">
        <v>116</v>
      </c>
      <c r="C768" s="1186" t="s">
        <v>51</v>
      </c>
      <c r="D768" s="1186">
        <v>386</v>
      </c>
      <c r="E768" s="1186">
        <v>12</v>
      </c>
      <c r="F768" s="1186">
        <v>111</v>
      </c>
      <c r="G768" s="1186">
        <v>3</v>
      </c>
      <c r="H768" s="1186">
        <v>4</v>
      </c>
      <c r="I768" s="1186"/>
      <c r="J768" s="1186">
        <v>52</v>
      </c>
      <c r="K768" s="1186">
        <v>113</v>
      </c>
      <c r="L768" s="1186">
        <v>6</v>
      </c>
      <c r="M768" s="1186">
        <v>85</v>
      </c>
      <c r="N768" s="1186">
        <v>88340</v>
      </c>
    </row>
    <row r="769" spans="1:14" x14ac:dyDescent="0.2">
      <c r="A769" s="1186" t="s">
        <v>1572</v>
      </c>
      <c r="B769" s="1186" t="s">
        <v>116</v>
      </c>
      <c r="C769" s="1186" t="s">
        <v>52</v>
      </c>
      <c r="D769" s="1186">
        <v>562</v>
      </c>
      <c r="E769" s="1186">
        <v>11</v>
      </c>
      <c r="F769" s="1186">
        <v>217</v>
      </c>
      <c r="G769" s="1186">
        <v>3</v>
      </c>
      <c r="H769" s="1186">
        <v>5</v>
      </c>
      <c r="I769" s="1186">
        <v>3</v>
      </c>
      <c r="J769" s="1186">
        <v>66</v>
      </c>
      <c r="K769" s="1186">
        <v>137</v>
      </c>
      <c r="L769" s="1186">
        <v>18</v>
      </c>
      <c r="M769" s="1186">
        <v>102</v>
      </c>
      <c r="N769" s="1186">
        <v>183820</v>
      </c>
    </row>
  </sheetData>
  <pageMargins left="0.7" right="0.7" top="0.75" bottom="0.75" header="0.3" footer="0.3"/>
  <pageSetup paperSize="9" fitToHeight="50" orientation="landscape" r:id="rId1"/>
  <legacyDrawing r:id="rId2"/>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pageSetUpPr fitToPage="1"/>
  </sheetPr>
  <dimension ref="A1:E17"/>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6.42578125" bestFit="1" customWidth="1"/>
    <col min="2" max="2" width="7.42578125" bestFit="1" customWidth="1"/>
    <col min="3" max="3" width="9.85546875" bestFit="1" customWidth="1"/>
    <col min="4" max="4" width="6.7109375" bestFit="1" customWidth="1"/>
    <col min="5" max="5" width="4.7109375" bestFit="1" customWidth="1"/>
  </cols>
  <sheetData>
    <row r="1" spans="1:5" x14ac:dyDescent="0.2"/>
    <row r="4" spans="1:5" x14ac:dyDescent="0.2">
      <c r="A4" s="1223" t="s">
        <v>444</v>
      </c>
      <c r="B4" s="1223" t="s">
        <v>4</v>
      </c>
      <c r="C4" s="1223" t="s">
        <v>1782</v>
      </c>
      <c r="D4" s="1223" t="s">
        <v>158</v>
      </c>
      <c r="E4" s="1223" t="s">
        <v>159</v>
      </c>
    </row>
    <row r="5" spans="1:5" x14ac:dyDescent="0.2">
      <c r="A5" s="1186" t="s">
        <v>421</v>
      </c>
      <c r="B5" s="1186" t="s">
        <v>19</v>
      </c>
      <c r="C5" s="1186">
        <v>1</v>
      </c>
      <c r="D5" s="1186"/>
      <c r="E5" s="1186">
        <v>1</v>
      </c>
    </row>
    <row r="6" spans="1:5" x14ac:dyDescent="0.2">
      <c r="A6" s="1186" t="s">
        <v>414</v>
      </c>
      <c r="B6" s="1186" t="s">
        <v>19</v>
      </c>
      <c r="C6" s="1186">
        <v>61</v>
      </c>
      <c r="D6" s="1186">
        <v>24</v>
      </c>
      <c r="E6" s="1186">
        <v>37</v>
      </c>
    </row>
    <row r="7" spans="1:5" x14ac:dyDescent="0.2">
      <c r="A7" s="1186" t="s">
        <v>414</v>
      </c>
      <c r="B7" s="1186" t="s">
        <v>20</v>
      </c>
      <c r="C7" s="1186">
        <v>52</v>
      </c>
      <c r="D7" s="1186">
        <v>17</v>
      </c>
      <c r="E7" s="1186">
        <v>35</v>
      </c>
    </row>
    <row r="8" spans="1:5" x14ac:dyDescent="0.2">
      <c r="A8" s="1186" t="s">
        <v>414</v>
      </c>
      <c r="B8" s="1186" t="s">
        <v>13</v>
      </c>
      <c r="C8" s="1186">
        <v>59</v>
      </c>
      <c r="D8" s="1186">
        <v>21</v>
      </c>
      <c r="E8" s="1186">
        <v>38</v>
      </c>
    </row>
    <row r="9" spans="1:5" x14ac:dyDescent="0.2">
      <c r="A9" s="1186" t="s">
        <v>414</v>
      </c>
      <c r="B9" s="1186" t="s">
        <v>15</v>
      </c>
      <c r="C9" s="1186">
        <v>46</v>
      </c>
      <c r="D9" s="1186">
        <v>23</v>
      </c>
      <c r="E9" s="1186">
        <v>23</v>
      </c>
    </row>
    <row r="10" spans="1:5" x14ac:dyDescent="0.2">
      <c r="A10" s="1186" t="s">
        <v>414</v>
      </c>
      <c r="B10" s="1186" t="s">
        <v>17</v>
      </c>
      <c r="C10" s="1186">
        <v>31</v>
      </c>
      <c r="D10" s="1186">
        <v>18</v>
      </c>
      <c r="E10" s="1186">
        <v>13</v>
      </c>
    </row>
    <row r="11" spans="1:5" x14ac:dyDescent="0.2">
      <c r="A11" s="1186" t="s">
        <v>414</v>
      </c>
      <c r="B11" s="1186" t="s">
        <v>133</v>
      </c>
      <c r="C11" s="1186">
        <v>40</v>
      </c>
      <c r="D11" s="1186">
        <v>16</v>
      </c>
      <c r="E11" s="1186">
        <v>24</v>
      </c>
    </row>
    <row r="12" spans="1:5" x14ac:dyDescent="0.2">
      <c r="A12" s="1186" t="s">
        <v>414</v>
      </c>
      <c r="B12" s="1186" t="s">
        <v>144</v>
      </c>
      <c r="C12" s="1186">
        <v>45</v>
      </c>
      <c r="D12" s="1186">
        <v>20</v>
      </c>
      <c r="E12" s="1186">
        <v>25</v>
      </c>
    </row>
    <row r="13" spans="1:5" x14ac:dyDescent="0.2">
      <c r="A13" s="1186" t="s">
        <v>414</v>
      </c>
      <c r="B13" s="1186" t="s">
        <v>282</v>
      </c>
      <c r="C13" s="1186">
        <v>44</v>
      </c>
      <c r="D13" s="1186">
        <v>16</v>
      </c>
      <c r="E13" s="1186">
        <v>28</v>
      </c>
    </row>
    <row r="14" spans="1:5" x14ac:dyDescent="0.2">
      <c r="A14" s="1186" t="s">
        <v>414</v>
      </c>
      <c r="B14" s="1186" t="s">
        <v>311</v>
      </c>
      <c r="C14" s="1186">
        <v>44</v>
      </c>
      <c r="D14" s="1186">
        <v>18</v>
      </c>
      <c r="E14" s="1186">
        <v>26</v>
      </c>
    </row>
    <row r="15" spans="1:5" x14ac:dyDescent="0.2">
      <c r="A15" s="1186" t="s">
        <v>414</v>
      </c>
      <c r="B15" s="1186" t="s">
        <v>621</v>
      </c>
      <c r="C15" s="1186">
        <v>44</v>
      </c>
      <c r="D15" s="1186">
        <v>15</v>
      </c>
      <c r="E15" s="1186">
        <v>29</v>
      </c>
    </row>
    <row r="16" spans="1:5" x14ac:dyDescent="0.2">
      <c r="A16" s="1186" t="s">
        <v>414</v>
      </c>
      <c r="B16" s="1186" t="s">
        <v>1419</v>
      </c>
      <c r="C16" s="1186">
        <v>27</v>
      </c>
      <c r="D16" s="1186">
        <v>7</v>
      </c>
      <c r="E16" s="1186">
        <v>20</v>
      </c>
    </row>
    <row r="17" spans="1:5" x14ac:dyDescent="0.2">
      <c r="A17" s="1186" t="s">
        <v>414</v>
      </c>
      <c r="B17" s="1186" t="s">
        <v>1572</v>
      </c>
      <c r="C17" s="1186">
        <v>53</v>
      </c>
      <c r="D17" s="1186">
        <v>13</v>
      </c>
      <c r="E17" s="1186">
        <v>40</v>
      </c>
    </row>
  </sheetData>
  <pageMargins left="0.7" right="0.7" top="0.75" bottom="0.75" header="0.3" footer="0.3"/>
  <pageSetup paperSize="9" fitToHeight="50" orientation="landscape" r:id="rId1"/>
  <legacyDrawing r:id="rId2"/>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pageSetUpPr fitToPage="1"/>
  </sheetPr>
  <dimension ref="A1:G28"/>
  <sheetViews>
    <sheetView zoomScale="85" zoomScaleNormal="85" workbookViewId="0">
      <pane ySplit="4" topLeftCell="A7" activePane="bottomLeft" state="frozen"/>
      <selection activeCell="A5" sqref="A5"/>
      <selection pane="bottomLeft" activeCell="A5" sqref="A5"/>
    </sheetView>
  </sheetViews>
  <sheetFormatPr defaultColWidth="8.7109375" defaultRowHeight="12.75" x14ac:dyDescent="0.2"/>
  <cols>
    <col min="1" max="1" width="16.42578125" bestFit="1" customWidth="1"/>
    <col min="2" max="2" width="7.42578125" bestFit="1" customWidth="1"/>
    <col min="3" max="3" width="12.42578125" bestFit="1" customWidth="1"/>
    <col min="4" max="4" width="6.7109375" bestFit="1" customWidth="1"/>
    <col min="5" max="5" width="4.7109375" bestFit="1" customWidth="1"/>
    <col min="6" max="6" width="9.140625" bestFit="1" customWidth="1"/>
    <col min="7" max="7" width="11.140625" bestFit="1" customWidth="1"/>
  </cols>
  <sheetData>
    <row r="1" spans="1:7" x14ac:dyDescent="0.2"/>
    <row r="4" spans="1:7" x14ac:dyDescent="0.2">
      <c r="A4" s="1223" t="s">
        <v>563</v>
      </c>
      <c r="B4" s="1223" t="s">
        <v>4</v>
      </c>
      <c r="C4" s="1223" t="s">
        <v>1772</v>
      </c>
      <c r="D4" s="1223" t="s">
        <v>158</v>
      </c>
      <c r="E4" s="1223" t="s">
        <v>159</v>
      </c>
      <c r="F4" s="1223" t="s">
        <v>183</v>
      </c>
      <c r="G4" s="1223" t="s">
        <v>1783</v>
      </c>
    </row>
    <row r="5" spans="1:7" x14ac:dyDescent="0.2">
      <c r="A5" s="1186" t="s">
        <v>421</v>
      </c>
      <c r="B5" s="1186" t="s">
        <v>19</v>
      </c>
      <c r="C5" s="1186">
        <v>18</v>
      </c>
      <c r="D5" s="1186"/>
      <c r="E5" s="1186">
        <v>18</v>
      </c>
      <c r="F5" s="1186"/>
      <c r="G5" s="1186"/>
    </row>
    <row r="6" spans="1:7" x14ac:dyDescent="0.2">
      <c r="A6" s="1186" t="s">
        <v>421</v>
      </c>
      <c r="B6" s="1186" t="s">
        <v>20</v>
      </c>
      <c r="C6" s="1186">
        <v>28</v>
      </c>
      <c r="D6" s="1186"/>
      <c r="E6" s="1186">
        <v>28</v>
      </c>
      <c r="F6" s="1186"/>
      <c r="G6" s="1186"/>
    </row>
    <row r="7" spans="1:7" x14ac:dyDescent="0.2">
      <c r="A7" s="1186" t="s">
        <v>421</v>
      </c>
      <c r="B7" s="1186" t="s">
        <v>13</v>
      </c>
      <c r="C7" s="1186">
        <v>28</v>
      </c>
      <c r="D7" s="1186"/>
      <c r="E7" s="1186">
        <v>28</v>
      </c>
      <c r="F7" s="1186"/>
      <c r="G7" s="1186"/>
    </row>
    <row r="8" spans="1:7" x14ac:dyDescent="0.2">
      <c r="A8" s="1186" t="s">
        <v>421</v>
      </c>
      <c r="B8" s="1186" t="s">
        <v>15</v>
      </c>
      <c r="C8" s="1186">
        <v>18</v>
      </c>
      <c r="D8" s="1186"/>
      <c r="E8" s="1186">
        <v>18</v>
      </c>
      <c r="F8" s="1186"/>
      <c r="G8" s="1186"/>
    </row>
    <row r="9" spans="1:7" x14ac:dyDescent="0.2">
      <c r="A9" s="1186" t="s">
        <v>421</v>
      </c>
      <c r="B9" s="1186" t="s">
        <v>17</v>
      </c>
      <c r="C9" s="1186">
        <v>15</v>
      </c>
      <c r="D9" s="1186">
        <v>1</v>
      </c>
      <c r="E9" s="1186">
        <v>14</v>
      </c>
      <c r="F9" s="1186"/>
      <c r="G9" s="1186"/>
    </row>
    <row r="10" spans="1:7" x14ac:dyDescent="0.2">
      <c r="A10" s="1186" t="s">
        <v>421</v>
      </c>
      <c r="B10" s="1186" t="s">
        <v>133</v>
      </c>
      <c r="C10" s="1186">
        <v>12</v>
      </c>
      <c r="D10" s="1186"/>
      <c r="E10" s="1186">
        <v>12</v>
      </c>
      <c r="F10" s="1186"/>
      <c r="G10" s="1186"/>
    </row>
    <row r="11" spans="1:7" x14ac:dyDescent="0.2">
      <c r="A11" s="1186" t="s">
        <v>421</v>
      </c>
      <c r="B11" s="1186" t="s">
        <v>144</v>
      </c>
      <c r="C11" s="1186">
        <v>10</v>
      </c>
      <c r="D11" s="1186">
        <v>2</v>
      </c>
      <c r="E11" s="1186">
        <v>8</v>
      </c>
      <c r="F11" s="1186"/>
      <c r="G11" s="1186"/>
    </row>
    <row r="12" spans="1:7" x14ac:dyDescent="0.2">
      <c r="A12" s="1186" t="s">
        <v>421</v>
      </c>
      <c r="B12" s="1186" t="s">
        <v>282</v>
      </c>
      <c r="C12" s="1186">
        <v>18</v>
      </c>
      <c r="D12" s="1186"/>
      <c r="E12" s="1186">
        <v>17</v>
      </c>
      <c r="F12" s="1186">
        <v>1</v>
      </c>
      <c r="G12" s="1186"/>
    </row>
    <row r="13" spans="1:7" x14ac:dyDescent="0.2">
      <c r="A13" s="1186" t="s">
        <v>421</v>
      </c>
      <c r="B13" s="1186" t="s">
        <v>311</v>
      </c>
      <c r="C13" s="1186">
        <v>28</v>
      </c>
      <c r="D13" s="1186">
        <v>1</v>
      </c>
      <c r="E13" s="1186">
        <v>23</v>
      </c>
      <c r="F13" s="1186">
        <v>3</v>
      </c>
      <c r="G13" s="1186">
        <v>1</v>
      </c>
    </row>
    <row r="14" spans="1:7" x14ac:dyDescent="0.2">
      <c r="A14" s="1186" t="s">
        <v>421</v>
      </c>
      <c r="B14" s="1186" t="s">
        <v>621</v>
      </c>
      <c r="C14" s="1186">
        <v>21</v>
      </c>
      <c r="D14" s="1186"/>
      <c r="E14" s="1186">
        <v>20</v>
      </c>
      <c r="F14" s="1186"/>
      <c r="G14" s="1186">
        <v>1</v>
      </c>
    </row>
    <row r="15" spans="1:7" x14ac:dyDescent="0.2">
      <c r="A15" s="1186" t="s">
        <v>421</v>
      </c>
      <c r="B15" s="1186" t="s">
        <v>1419</v>
      </c>
      <c r="C15" s="1186">
        <v>13</v>
      </c>
      <c r="D15" s="1186"/>
      <c r="E15" s="1186">
        <v>12</v>
      </c>
      <c r="F15" s="1186"/>
      <c r="G15" s="1186">
        <v>1</v>
      </c>
    </row>
    <row r="16" spans="1:7" x14ac:dyDescent="0.2">
      <c r="A16" s="1186" t="s">
        <v>421</v>
      </c>
      <c r="B16" s="1186" t="s">
        <v>1572</v>
      </c>
      <c r="C16" s="1186">
        <v>8</v>
      </c>
      <c r="D16" s="1186"/>
      <c r="E16" s="1186">
        <v>5</v>
      </c>
      <c r="F16" s="1186">
        <v>3</v>
      </c>
      <c r="G16" s="1186"/>
    </row>
    <row r="17" spans="1:7" x14ac:dyDescent="0.2">
      <c r="A17" s="1186" t="s">
        <v>414</v>
      </c>
      <c r="B17" s="1186" t="s">
        <v>19</v>
      </c>
      <c r="C17" s="1186">
        <v>1205</v>
      </c>
      <c r="D17" s="1186">
        <v>523</v>
      </c>
      <c r="E17" s="1186">
        <v>672</v>
      </c>
      <c r="F17" s="1186">
        <v>7</v>
      </c>
      <c r="G17" s="1186">
        <v>3</v>
      </c>
    </row>
    <row r="18" spans="1:7" x14ac:dyDescent="0.2">
      <c r="A18" s="1186" t="s">
        <v>414</v>
      </c>
      <c r="B18" s="1186" t="s">
        <v>20</v>
      </c>
      <c r="C18" s="1186">
        <v>1304</v>
      </c>
      <c r="D18" s="1186">
        <v>570</v>
      </c>
      <c r="E18" s="1186">
        <v>729</v>
      </c>
      <c r="F18" s="1186">
        <v>4</v>
      </c>
      <c r="G18" s="1186">
        <v>1</v>
      </c>
    </row>
    <row r="19" spans="1:7" x14ac:dyDescent="0.2">
      <c r="A19" s="1186" t="s">
        <v>414</v>
      </c>
      <c r="B19" s="1186" t="s">
        <v>13</v>
      </c>
      <c r="C19" s="1186">
        <v>1386</v>
      </c>
      <c r="D19" s="1186">
        <v>649</v>
      </c>
      <c r="E19" s="1186">
        <v>714</v>
      </c>
      <c r="F19" s="1186">
        <v>21</v>
      </c>
      <c r="G19" s="1186">
        <v>2</v>
      </c>
    </row>
    <row r="20" spans="1:7" x14ac:dyDescent="0.2">
      <c r="A20" s="1186" t="s">
        <v>414</v>
      </c>
      <c r="B20" s="1186" t="s">
        <v>15</v>
      </c>
      <c r="C20" s="1186">
        <v>1301</v>
      </c>
      <c r="D20" s="1186">
        <v>597</v>
      </c>
      <c r="E20" s="1186">
        <v>697</v>
      </c>
      <c r="F20" s="1186">
        <v>7</v>
      </c>
      <c r="G20" s="1186"/>
    </row>
    <row r="21" spans="1:7" x14ac:dyDescent="0.2">
      <c r="A21" s="1186" t="s">
        <v>414</v>
      </c>
      <c r="B21" s="1186" t="s">
        <v>17</v>
      </c>
      <c r="C21" s="1186">
        <v>1295</v>
      </c>
      <c r="D21" s="1186">
        <v>574</v>
      </c>
      <c r="E21" s="1186">
        <v>706</v>
      </c>
      <c r="F21" s="1186">
        <v>8</v>
      </c>
      <c r="G21" s="1186">
        <v>7</v>
      </c>
    </row>
    <row r="22" spans="1:7" x14ac:dyDescent="0.2">
      <c r="A22" s="1186" t="s">
        <v>414</v>
      </c>
      <c r="B22" s="1186" t="s">
        <v>133</v>
      </c>
      <c r="C22" s="1186">
        <v>1087</v>
      </c>
      <c r="D22" s="1186">
        <v>463</v>
      </c>
      <c r="E22" s="1186">
        <v>617</v>
      </c>
      <c r="F22" s="1186">
        <v>6</v>
      </c>
      <c r="G22" s="1186">
        <v>1</v>
      </c>
    </row>
    <row r="23" spans="1:7" x14ac:dyDescent="0.2">
      <c r="A23" s="1186" t="s">
        <v>414</v>
      </c>
      <c r="B23" s="1186" t="s">
        <v>144</v>
      </c>
      <c r="C23" s="1186">
        <v>1266</v>
      </c>
      <c r="D23" s="1186">
        <v>551</v>
      </c>
      <c r="E23" s="1186">
        <v>710</v>
      </c>
      <c r="F23" s="1186">
        <v>4</v>
      </c>
      <c r="G23" s="1186">
        <v>1</v>
      </c>
    </row>
    <row r="24" spans="1:7" x14ac:dyDescent="0.2">
      <c r="A24" s="1186" t="s">
        <v>414</v>
      </c>
      <c r="B24" s="1186" t="s">
        <v>282</v>
      </c>
      <c r="C24" s="1186">
        <v>1248</v>
      </c>
      <c r="D24" s="1186">
        <v>548</v>
      </c>
      <c r="E24" s="1186">
        <v>695</v>
      </c>
      <c r="F24" s="1186">
        <v>5</v>
      </c>
      <c r="G24" s="1186"/>
    </row>
    <row r="25" spans="1:7" x14ac:dyDescent="0.2">
      <c r="A25" s="1186" t="s">
        <v>414</v>
      </c>
      <c r="B25" s="1186" t="s">
        <v>311</v>
      </c>
      <c r="C25" s="1186">
        <v>1088</v>
      </c>
      <c r="D25" s="1186">
        <v>478</v>
      </c>
      <c r="E25" s="1186">
        <v>599</v>
      </c>
      <c r="F25" s="1186">
        <v>10</v>
      </c>
      <c r="G25" s="1186">
        <v>1</v>
      </c>
    </row>
    <row r="26" spans="1:7" x14ac:dyDescent="0.2">
      <c r="A26" s="1186" t="s">
        <v>414</v>
      </c>
      <c r="B26" s="1186" t="s">
        <v>621</v>
      </c>
      <c r="C26" s="1186">
        <v>1176</v>
      </c>
      <c r="D26" s="1186">
        <v>512</v>
      </c>
      <c r="E26" s="1186">
        <v>647</v>
      </c>
      <c r="F26" s="1186">
        <v>16</v>
      </c>
      <c r="G26" s="1186">
        <v>1</v>
      </c>
    </row>
    <row r="27" spans="1:7" x14ac:dyDescent="0.2">
      <c r="A27" s="1186" t="s">
        <v>414</v>
      </c>
      <c r="B27" s="1186" t="s">
        <v>1419</v>
      </c>
      <c r="C27" s="1186">
        <v>1014</v>
      </c>
      <c r="D27" s="1186">
        <v>437</v>
      </c>
      <c r="E27" s="1186">
        <v>555</v>
      </c>
      <c r="F27" s="1186">
        <v>16</v>
      </c>
      <c r="G27" s="1186">
        <v>6</v>
      </c>
    </row>
    <row r="28" spans="1:7" x14ac:dyDescent="0.2">
      <c r="A28" s="1186" t="s">
        <v>414</v>
      </c>
      <c r="B28" s="1186" t="s">
        <v>1572</v>
      </c>
      <c r="C28" s="1186">
        <v>1009</v>
      </c>
      <c r="D28" s="1186">
        <v>422</v>
      </c>
      <c r="E28" s="1186">
        <v>554</v>
      </c>
      <c r="F28" s="1186">
        <v>33</v>
      </c>
      <c r="G28" s="1186"/>
    </row>
  </sheetData>
  <pageMargins left="0.7" right="0.7" top="0.75" bottom="0.75" header="0.3" footer="0.3"/>
  <pageSetup paperSize="9" fitToHeight="50" orientation="landscape" r:id="rId1"/>
  <legacyDrawing r:id="rId2"/>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pageSetUpPr fitToPage="1"/>
  </sheetPr>
  <dimension ref="A1:I58"/>
  <sheetViews>
    <sheetView zoomScale="85" zoomScaleNormal="85" workbookViewId="0">
      <pane ySplit="4" topLeftCell="A37" activePane="bottomLeft" state="frozen"/>
      <selection activeCell="A5" sqref="A5"/>
      <selection pane="bottomLeft" activeCell="A5" sqref="A5"/>
    </sheetView>
  </sheetViews>
  <sheetFormatPr defaultColWidth="8.7109375" defaultRowHeight="12.75" x14ac:dyDescent="0.2"/>
  <cols>
    <col min="1" max="1" width="16.42578125" bestFit="1" customWidth="1"/>
    <col min="2" max="2" width="12.5703125" bestFit="1" customWidth="1"/>
    <col min="3" max="3" width="41.85546875" bestFit="1" customWidth="1"/>
    <col min="4" max="4" width="7.42578125" bestFit="1" customWidth="1"/>
    <col min="5" max="5" width="9.85546875" bestFit="1" customWidth="1"/>
    <col min="6" max="7" width="7.85546875" bestFit="1" customWidth="1"/>
    <col min="8" max="8" width="6.7109375" bestFit="1" customWidth="1"/>
    <col min="9" max="9" width="4.7109375" bestFit="1" customWidth="1"/>
  </cols>
  <sheetData>
    <row r="1" spans="1:9" x14ac:dyDescent="0.2"/>
    <row r="4" spans="1:9" x14ac:dyDescent="0.2">
      <c r="A4" s="1223" t="s">
        <v>444</v>
      </c>
      <c r="B4" s="1223" t="s">
        <v>1784</v>
      </c>
      <c r="C4" s="1223" t="s">
        <v>1785</v>
      </c>
      <c r="D4" s="1223" t="s">
        <v>4</v>
      </c>
      <c r="E4" s="1223" t="s">
        <v>1782</v>
      </c>
      <c r="F4" s="1223" t="s">
        <v>1786</v>
      </c>
      <c r="G4" s="1223" t="s">
        <v>1787</v>
      </c>
      <c r="H4" s="1223" t="s">
        <v>158</v>
      </c>
      <c r="I4" s="1223" t="s">
        <v>159</v>
      </c>
    </row>
    <row r="5" spans="1:9" x14ac:dyDescent="0.2">
      <c r="A5" s="1186" t="s">
        <v>414</v>
      </c>
      <c r="B5" s="1186">
        <v>1</v>
      </c>
      <c r="C5" s="1186" t="s">
        <v>162</v>
      </c>
      <c r="D5" s="1186" t="s">
        <v>19</v>
      </c>
      <c r="E5" s="1186">
        <v>13</v>
      </c>
      <c r="F5" s="1186">
        <v>2699931</v>
      </c>
      <c r="G5" s="1186">
        <v>2531969</v>
      </c>
      <c r="H5" s="1186">
        <v>8</v>
      </c>
      <c r="I5" s="1186">
        <v>5</v>
      </c>
    </row>
    <row r="6" spans="1:9" x14ac:dyDescent="0.2">
      <c r="A6" s="1186" t="s">
        <v>414</v>
      </c>
      <c r="B6" s="1186">
        <v>2</v>
      </c>
      <c r="C6" s="1186" t="s">
        <v>417</v>
      </c>
      <c r="D6" s="1186" t="s">
        <v>19</v>
      </c>
      <c r="E6" s="1186">
        <v>10</v>
      </c>
      <c r="F6" s="1186">
        <v>2699931</v>
      </c>
      <c r="G6" s="1186">
        <v>2531969</v>
      </c>
      <c r="H6" s="1186">
        <v>5</v>
      </c>
      <c r="I6" s="1186">
        <v>5</v>
      </c>
    </row>
    <row r="7" spans="1:9" x14ac:dyDescent="0.2">
      <c r="A7" s="1186" t="s">
        <v>414</v>
      </c>
      <c r="B7" s="1186">
        <v>3</v>
      </c>
      <c r="C7" s="1186" t="s">
        <v>418</v>
      </c>
      <c r="D7" s="1186" t="s">
        <v>19</v>
      </c>
      <c r="E7" s="1186">
        <v>22</v>
      </c>
      <c r="F7" s="1186">
        <v>2699931</v>
      </c>
      <c r="G7" s="1186">
        <v>2531969</v>
      </c>
      <c r="H7" s="1186">
        <v>5</v>
      </c>
      <c r="I7" s="1186">
        <v>17</v>
      </c>
    </row>
    <row r="8" spans="1:9" x14ac:dyDescent="0.2">
      <c r="A8" s="1186" t="s">
        <v>414</v>
      </c>
      <c r="B8" s="1186">
        <v>6</v>
      </c>
      <c r="C8" s="1186" t="s">
        <v>1788</v>
      </c>
      <c r="D8" s="1186" t="s">
        <v>19</v>
      </c>
      <c r="E8" s="1186">
        <v>3</v>
      </c>
      <c r="F8" s="1186">
        <v>2699931</v>
      </c>
      <c r="G8" s="1186">
        <v>2531969</v>
      </c>
      <c r="H8" s="1186">
        <v>1</v>
      </c>
      <c r="I8" s="1186">
        <v>2</v>
      </c>
    </row>
    <row r="9" spans="1:9" x14ac:dyDescent="0.2">
      <c r="A9" s="1186" t="s">
        <v>421</v>
      </c>
      <c r="B9" s="1186">
        <v>8</v>
      </c>
      <c r="C9" s="1186" t="s">
        <v>201</v>
      </c>
      <c r="D9" s="1186" t="s">
        <v>19</v>
      </c>
      <c r="E9" s="1186">
        <v>1</v>
      </c>
      <c r="F9" s="1186">
        <v>2699931</v>
      </c>
      <c r="G9" s="1186">
        <v>2531969</v>
      </c>
      <c r="H9" s="1186"/>
      <c r="I9" s="1186">
        <v>1</v>
      </c>
    </row>
    <row r="10" spans="1:9" x14ac:dyDescent="0.2">
      <c r="A10" s="1186" t="s">
        <v>414</v>
      </c>
      <c r="B10" s="1186">
        <v>8</v>
      </c>
      <c r="C10" s="1186" t="s">
        <v>201</v>
      </c>
      <c r="D10" s="1186" t="s">
        <v>19</v>
      </c>
      <c r="E10" s="1186">
        <v>13</v>
      </c>
      <c r="F10" s="1186">
        <v>2699931</v>
      </c>
      <c r="G10" s="1186">
        <v>2531969</v>
      </c>
      <c r="H10" s="1186">
        <v>5</v>
      </c>
      <c r="I10" s="1186">
        <v>8</v>
      </c>
    </row>
    <row r="11" spans="1:9" x14ac:dyDescent="0.2">
      <c r="A11" s="1186" t="s">
        <v>414</v>
      </c>
      <c r="B11" s="1186">
        <v>1</v>
      </c>
      <c r="C11" s="1186" t="s">
        <v>162</v>
      </c>
      <c r="D11" s="1186" t="s">
        <v>20</v>
      </c>
      <c r="E11" s="1186">
        <v>11</v>
      </c>
      <c r="F11" s="1186">
        <v>2713982</v>
      </c>
      <c r="G11" s="1186">
        <v>2548218</v>
      </c>
      <c r="H11" s="1186">
        <v>4</v>
      </c>
      <c r="I11" s="1186">
        <v>7</v>
      </c>
    </row>
    <row r="12" spans="1:9" x14ac:dyDescent="0.2">
      <c r="A12" s="1186" t="s">
        <v>414</v>
      </c>
      <c r="B12" s="1186">
        <v>2</v>
      </c>
      <c r="C12" s="1186" t="s">
        <v>417</v>
      </c>
      <c r="D12" s="1186" t="s">
        <v>20</v>
      </c>
      <c r="E12" s="1186">
        <v>11</v>
      </c>
      <c r="F12" s="1186">
        <v>2713982</v>
      </c>
      <c r="G12" s="1186">
        <v>2548218</v>
      </c>
      <c r="H12" s="1186">
        <v>5</v>
      </c>
      <c r="I12" s="1186">
        <v>6</v>
      </c>
    </row>
    <row r="13" spans="1:9" x14ac:dyDescent="0.2">
      <c r="A13" s="1186" t="s">
        <v>414</v>
      </c>
      <c r="B13" s="1186">
        <v>3</v>
      </c>
      <c r="C13" s="1186" t="s">
        <v>418</v>
      </c>
      <c r="D13" s="1186" t="s">
        <v>20</v>
      </c>
      <c r="E13" s="1186">
        <v>22</v>
      </c>
      <c r="F13" s="1186">
        <v>2713982</v>
      </c>
      <c r="G13" s="1186">
        <v>2548218</v>
      </c>
      <c r="H13" s="1186">
        <v>5</v>
      </c>
      <c r="I13" s="1186">
        <v>17</v>
      </c>
    </row>
    <row r="14" spans="1:9" x14ac:dyDescent="0.2">
      <c r="A14" s="1186" t="s">
        <v>414</v>
      </c>
      <c r="B14" s="1186">
        <v>4</v>
      </c>
      <c r="C14" s="1186" t="s">
        <v>1789</v>
      </c>
      <c r="D14" s="1186" t="s">
        <v>20</v>
      </c>
      <c r="E14" s="1186">
        <v>1</v>
      </c>
      <c r="F14" s="1186">
        <v>2713982</v>
      </c>
      <c r="G14" s="1186">
        <v>2548218</v>
      </c>
      <c r="H14" s="1186"/>
      <c r="I14" s="1186">
        <v>1</v>
      </c>
    </row>
    <row r="15" spans="1:9" x14ac:dyDescent="0.2">
      <c r="A15" s="1186" t="s">
        <v>414</v>
      </c>
      <c r="B15" s="1186">
        <v>6</v>
      </c>
      <c r="C15" s="1186" t="s">
        <v>1788</v>
      </c>
      <c r="D15" s="1186" t="s">
        <v>20</v>
      </c>
      <c r="E15" s="1186">
        <v>1</v>
      </c>
      <c r="F15" s="1186">
        <v>2713982</v>
      </c>
      <c r="G15" s="1186">
        <v>2548218</v>
      </c>
      <c r="H15" s="1186"/>
      <c r="I15" s="1186">
        <v>1</v>
      </c>
    </row>
    <row r="16" spans="1:9" x14ac:dyDescent="0.2">
      <c r="A16" s="1186" t="s">
        <v>414</v>
      </c>
      <c r="B16" s="1186">
        <v>8</v>
      </c>
      <c r="C16" s="1186" t="s">
        <v>201</v>
      </c>
      <c r="D16" s="1186" t="s">
        <v>20</v>
      </c>
      <c r="E16" s="1186">
        <v>6</v>
      </c>
      <c r="F16" s="1186">
        <v>2713982</v>
      </c>
      <c r="G16" s="1186">
        <v>2548218</v>
      </c>
      <c r="H16" s="1186">
        <v>3</v>
      </c>
      <c r="I16" s="1186">
        <v>3</v>
      </c>
    </row>
    <row r="17" spans="1:9" x14ac:dyDescent="0.2">
      <c r="A17" s="1186" t="s">
        <v>414</v>
      </c>
      <c r="B17" s="1186">
        <v>1</v>
      </c>
      <c r="C17" s="1186" t="s">
        <v>162</v>
      </c>
      <c r="D17" s="1186" t="s">
        <v>13</v>
      </c>
      <c r="E17" s="1186">
        <v>7</v>
      </c>
      <c r="F17" s="1186">
        <v>2729600</v>
      </c>
      <c r="G17" s="1186">
        <v>2570300</v>
      </c>
      <c r="H17" s="1186">
        <v>3</v>
      </c>
      <c r="I17" s="1186">
        <v>4</v>
      </c>
    </row>
    <row r="18" spans="1:9" x14ac:dyDescent="0.2">
      <c r="A18" s="1186" t="s">
        <v>414</v>
      </c>
      <c r="B18" s="1186">
        <v>2</v>
      </c>
      <c r="C18" s="1186" t="s">
        <v>417</v>
      </c>
      <c r="D18" s="1186" t="s">
        <v>13</v>
      </c>
      <c r="E18" s="1186">
        <v>18</v>
      </c>
      <c r="F18" s="1186">
        <v>2729600</v>
      </c>
      <c r="G18" s="1186">
        <v>2570300</v>
      </c>
      <c r="H18" s="1186">
        <v>6</v>
      </c>
      <c r="I18" s="1186">
        <v>12</v>
      </c>
    </row>
    <row r="19" spans="1:9" x14ac:dyDescent="0.2">
      <c r="A19" s="1186" t="s">
        <v>414</v>
      </c>
      <c r="B19" s="1186">
        <v>3</v>
      </c>
      <c r="C19" s="1186" t="s">
        <v>418</v>
      </c>
      <c r="D19" s="1186" t="s">
        <v>13</v>
      </c>
      <c r="E19" s="1186">
        <v>27</v>
      </c>
      <c r="F19" s="1186">
        <v>2729600</v>
      </c>
      <c r="G19" s="1186">
        <v>2570300</v>
      </c>
      <c r="H19" s="1186">
        <v>11</v>
      </c>
      <c r="I19" s="1186">
        <v>16</v>
      </c>
    </row>
    <row r="20" spans="1:9" x14ac:dyDescent="0.2">
      <c r="A20" s="1186" t="s">
        <v>414</v>
      </c>
      <c r="B20" s="1186">
        <v>8</v>
      </c>
      <c r="C20" s="1186" t="s">
        <v>201</v>
      </c>
      <c r="D20" s="1186" t="s">
        <v>13</v>
      </c>
      <c r="E20" s="1186">
        <v>7</v>
      </c>
      <c r="F20" s="1186">
        <v>2729600</v>
      </c>
      <c r="G20" s="1186">
        <v>2570300</v>
      </c>
      <c r="H20" s="1186">
        <v>1</v>
      </c>
      <c r="I20" s="1186">
        <v>6</v>
      </c>
    </row>
    <row r="21" spans="1:9" x14ac:dyDescent="0.2">
      <c r="A21" s="1186" t="s">
        <v>414</v>
      </c>
      <c r="B21" s="1186">
        <v>1</v>
      </c>
      <c r="C21" s="1186" t="s">
        <v>162</v>
      </c>
      <c r="D21" s="1186" t="s">
        <v>15</v>
      </c>
      <c r="E21" s="1186">
        <v>12</v>
      </c>
      <c r="F21" s="1186">
        <v>2736310</v>
      </c>
      <c r="G21" s="1186">
        <v>2577290</v>
      </c>
      <c r="H21" s="1186">
        <v>7</v>
      </c>
      <c r="I21" s="1186">
        <v>5</v>
      </c>
    </row>
    <row r="22" spans="1:9" x14ac:dyDescent="0.2">
      <c r="A22" s="1186" t="s">
        <v>414</v>
      </c>
      <c r="B22" s="1186">
        <v>2</v>
      </c>
      <c r="C22" s="1186" t="s">
        <v>417</v>
      </c>
      <c r="D22" s="1186" t="s">
        <v>15</v>
      </c>
      <c r="E22" s="1186">
        <v>4</v>
      </c>
      <c r="F22" s="1186">
        <v>2736310</v>
      </c>
      <c r="G22" s="1186">
        <v>2577290</v>
      </c>
      <c r="H22" s="1186">
        <v>3</v>
      </c>
      <c r="I22" s="1186">
        <v>1</v>
      </c>
    </row>
    <row r="23" spans="1:9" x14ac:dyDescent="0.2">
      <c r="A23" s="1186" t="s">
        <v>414</v>
      </c>
      <c r="B23" s="1186">
        <v>3</v>
      </c>
      <c r="C23" s="1186" t="s">
        <v>418</v>
      </c>
      <c r="D23" s="1186" t="s">
        <v>15</v>
      </c>
      <c r="E23" s="1186">
        <v>18</v>
      </c>
      <c r="F23" s="1186">
        <v>2736310</v>
      </c>
      <c r="G23" s="1186">
        <v>2577290</v>
      </c>
      <c r="H23" s="1186">
        <v>6</v>
      </c>
      <c r="I23" s="1186">
        <v>12</v>
      </c>
    </row>
    <row r="24" spans="1:9" x14ac:dyDescent="0.2">
      <c r="A24" s="1186" t="s">
        <v>414</v>
      </c>
      <c r="B24" s="1186">
        <v>8</v>
      </c>
      <c r="C24" s="1186" t="s">
        <v>201</v>
      </c>
      <c r="D24" s="1186" t="s">
        <v>15</v>
      </c>
      <c r="E24" s="1186">
        <v>12</v>
      </c>
      <c r="F24" s="1186">
        <v>2736310</v>
      </c>
      <c r="G24" s="1186">
        <v>2577290</v>
      </c>
      <c r="H24" s="1186">
        <v>7</v>
      </c>
      <c r="I24" s="1186">
        <v>5</v>
      </c>
    </row>
    <row r="25" spans="1:9" x14ac:dyDescent="0.2">
      <c r="A25" s="1186" t="s">
        <v>414</v>
      </c>
      <c r="B25" s="1186">
        <v>1</v>
      </c>
      <c r="C25" s="1186" t="s">
        <v>162</v>
      </c>
      <c r="D25" s="1186" t="s">
        <v>17</v>
      </c>
      <c r="E25" s="1186">
        <v>7</v>
      </c>
      <c r="F25" s="1186">
        <v>2741020</v>
      </c>
      <c r="G25" s="1186">
        <v>2586680</v>
      </c>
      <c r="H25" s="1186">
        <v>4</v>
      </c>
      <c r="I25" s="1186">
        <v>3</v>
      </c>
    </row>
    <row r="26" spans="1:9" x14ac:dyDescent="0.2">
      <c r="A26" s="1186" t="s">
        <v>414</v>
      </c>
      <c r="B26" s="1186">
        <v>2</v>
      </c>
      <c r="C26" s="1186" t="s">
        <v>417</v>
      </c>
      <c r="D26" s="1186" t="s">
        <v>17</v>
      </c>
      <c r="E26" s="1186">
        <v>7</v>
      </c>
      <c r="F26" s="1186">
        <v>2741020</v>
      </c>
      <c r="G26" s="1186">
        <v>2586680</v>
      </c>
      <c r="H26" s="1186">
        <v>3</v>
      </c>
      <c r="I26" s="1186">
        <v>4</v>
      </c>
    </row>
    <row r="27" spans="1:9" x14ac:dyDescent="0.2">
      <c r="A27" s="1186" t="s">
        <v>414</v>
      </c>
      <c r="B27" s="1186">
        <v>3</v>
      </c>
      <c r="C27" s="1186" t="s">
        <v>418</v>
      </c>
      <c r="D27" s="1186" t="s">
        <v>17</v>
      </c>
      <c r="E27" s="1186">
        <v>14</v>
      </c>
      <c r="F27" s="1186">
        <v>2741020</v>
      </c>
      <c r="G27" s="1186">
        <v>2586680</v>
      </c>
      <c r="H27" s="1186">
        <v>8</v>
      </c>
      <c r="I27" s="1186">
        <v>6</v>
      </c>
    </row>
    <row r="28" spans="1:9" x14ac:dyDescent="0.2">
      <c r="A28" s="1186" t="s">
        <v>414</v>
      </c>
      <c r="B28" s="1186">
        <v>8</v>
      </c>
      <c r="C28" s="1186" t="s">
        <v>201</v>
      </c>
      <c r="D28" s="1186" t="s">
        <v>17</v>
      </c>
      <c r="E28" s="1186">
        <v>3</v>
      </c>
      <c r="F28" s="1186">
        <v>2741020</v>
      </c>
      <c r="G28" s="1186">
        <v>2586680</v>
      </c>
      <c r="H28" s="1186">
        <v>3</v>
      </c>
      <c r="I28" s="1186"/>
    </row>
    <row r="29" spans="1:9" x14ac:dyDescent="0.2">
      <c r="A29" s="1186" t="s">
        <v>414</v>
      </c>
      <c r="B29" s="1186">
        <v>1</v>
      </c>
      <c r="C29" s="1186" t="s">
        <v>162</v>
      </c>
      <c r="D29" s="1186" t="s">
        <v>133</v>
      </c>
      <c r="E29" s="1186">
        <v>11</v>
      </c>
      <c r="F29" s="1186">
        <v>2751070</v>
      </c>
      <c r="G29" s="1186">
        <v>2596530</v>
      </c>
      <c r="H29" s="1186">
        <v>4</v>
      </c>
      <c r="I29" s="1186">
        <v>7</v>
      </c>
    </row>
    <row r="30" spans="1:9" x14ac:dyDescent="0.2">
      <c r="A30" s="1186" t="s">
        <v>414</v>
      </c>
      <c r="B30" s="1186">
        <v>2</v>
      </c>
      <c r="C30" s="1186" t="s">
        <v>417</v>
      </c>
      <c r="D30" s="1186" t="s">
        <v>133</v>
      </c>
      <c r="E30" s="1186">
        <v>12</v>
      </c>
      <c r="F30" s="1186">
        <v>2751070</v>
      </c>
      <c r="G30" s="1186">
        <v>2596530</v>
      </c>
      <c r="H30" s="1186">
        <v>5</v>
      </c>
      <c r="I30" s="1186">
        <v>7</v>
      </c>
    </row>
    <row r="31" spans="1:9" x14ac:dyDescent="0.2">
      <c r="A31" s="1186" t="s">
        <v>414</v>
      </c>
      <c r="B31" s="1186">
        <v>3</v>
      </c>
      <c r="C31" s="1186" t="s">
        <v>418</v>
      </c>
      <c r="D31" s="1186" t="s">
        <v>133</v>
      </c>
      <c r="E31" s="1186">
        <v>13</v>
      </c>
      <c r="F31" s="1186">
        <v>2751070</v>
      </c>
      <c r="G31" s="1186">
        <v>2596530</v>
      </c>
      <c r="H31" s="1186">
        <v>5</v>
      </c>
      <c r="I31" s="1186">
        <v>8</v>
      </c>
    </row>
    <row r="32" spans="1:9" x14ac:dyDescent="0.2">
      <c r="A32" s="1186" t="s">
        <v>414</v>
      </c>
      <c r="B32" s="1186">
        <v>8</v>
      </c>
      <c r="C32" s="1186" t="s">
        <v>201</v>
      </c>
      <c r="D32" s="1186" t="s">
        <v>133</v>
      </c>
      <c r="E32" s="1186">
        <v>4</v>
      </c>
      <c r="F32" s="1186">
        <v>2751070</v>
      </c>
      <c r="G32" s="1186">
        <v>2596530</v>
      </c>
      <c r="H32" s="1186">
        <v>2</v>
      </c>
      <c r="I32" s="1186">
        <v>2</v>
      </c>
    </row>
    <row r="33" spans="1:9" x14ac:dyDescent="0.2">
      <c r="A33" s="1186" t="s">
        <v>414</v>
      </c>
      <c r="B33" s="1186">
        <v>1</v>
      </c>
      <c r="C33" s="1186" t="s">
        <v>162</v>
      </c>
      <c r="D33" s="1186" t="s">
        <v>144</v>
      </c>
      <c r="E33" s="1186">
        <v>7</v>
      </c>
      <c r="F33" s="1186">
        <v>2762531</v>
      </c>
      <c r="G33" s="1186">
        <v>2610469</v>
      </c>
      <c r="H33" s="1186">
        <v>4</v>
      </c>
      <c r="I33" s="1186">
        <v>3</v>
      </c>
    </row>
    <row r="34" spans="1:9" x14ac:dyDescent="0.2">
      <c r="A34" s="1186" t="s">
        <v>414</v>
      </c>
      <c r="B34" s="1186">
        <v>2</v>
      </c>
      <c r="C34" s="1186" t="s">
        <v>417</v>
      </c>
      <c r="D34" s="1186" t="s">
        <v>144</v>
      </c>
      <c r="E34" s="1186">
        <v>10</v>
      </c>
      <c r="F34" s="1186">
        <v>2762531</v>
      </c>
      <c r="G34" s="1186">
        <v>2610469</v>
      </c>
      <c r="H34" s="1186">
        <v>6</v>
      </c>
      <c r="I34" s="1186">
        <v>4</v>
      </c>
    </row>
    <row r="35" spans="1:9" x14ac:dyDescent="0.2">
      <c r="A35" s="1186" t="s">
        <v>414</v>
      </c>
      <c r="B35" s="1186">
        <v>3</v>
      </c>
      <c r="C35" s="1186" t="s">
        <v>418</v>
      </c>
      <c r="D35" s="1186" t="s">
        <v>144</v>
      </c>
      <c r="E35" s="1186">
        <v>24</v>
      </c>
      <c r="F35" s="1186">
        <v>2762531</v>
      </c>
      <c r="G35" s="1186">
        <v>2610469</v>
      </c>
      <c r="H35" s="1186">
        <v>6</v>
      </c>
      <c r="I35" s="1186">
        <v>18</v>
      </c>
    </row>
    <row r="36" spans="1:9" x14ac:dyDescent="0.2">
      <c r="A36" s="1186" t="s">
        <v>414</v>
      </c>
      <c r="B36" s="1186">
        <v>6</v>
      </c>
      <c r="C36" s="1186" t="s">
        <v>1788</v>
      </c>
      <c r="D36" s="1186" t="s">
        <v>144</v>
      </c>
      <c r="E36" s="1186">
        <v>1</v>
      </c>
      <c r="F36" s="1186">
        <v>2762531</v>
      </c>
      <c r="G36" s="1186">
        <v>2610469</v>
      </c>
      <c r="H36" s="1186">
        <v>1</v>
      </c>
      <c r="I36" s="1186"/>
    </row>
    <row r="37" spans="1:9" x14ac:dyDescent="0.2">
      <c r="A37" s="1186" t="s">
        <v>414</v>
      </c>
      <c r="B37" s="1186">
        <v>8</v>
      </c>
      <c r="C37" s="1186" t="s">
        <v>201</v>
      </c>
      <c r="D37" s="1186" t="s">
        <v>144</v>
      </c>
      <c r="E37" s="1186">
        <v>3</v>
      </c>
      <c r="F37" s="1186">
        <v>2762531</v>
      </c>
      <c r="G37" s="1186">
        <v>2610469</v>
      </c>
      <c r="H37" s="1186">
        <v>3</v>
      </c>
      <c r="I37" s="1186"/>
    </row>
    <row r="38" spans="1:9" x14ac:dyDescent="0.2">
      <c r="A38" s="1186" t="s">
        <v>414</v>
      </c>
      <c r="B38" s="1186">
        <v>1</v>
      </c>
      <c r="C38" s="1186" t="s">
        <v>162</v>
      </c>
      <c r="D38" s="1186" t="s">
        <v>282</v>
      </c>
      <c r="E38" s="1186">
        <v>7</v>
      </c>
      <c r="F38" s="1186">
        <v>2777197</v>
      </c>
      <c r="G38" s="1186">
        <v>2627503</v>
      </c>
      <c r="H38" s="1186">
        <v>2</v>
      </c>
      <c r="I38" s="1186">
        <v>5</v>
      </c>
    </row>
    <row r="39" spans="1:9" x14ac:dyDescent="0.2">
      <c r="A39" s="1186" t="s">
        <v>414</v>
      </c>
      <c r="B39" s="1186">
        <v>2</v>
      </c>
      <c r="C39" s="1186" t="s">
        <v>417</v>
      </c>
      <c r="D39" s="1186" t="s">
        <v>282</v>
      </c>
      <c r="E39" s="1186">
        <v>9</v>
      </c>
      <c r="F39" s="1186">
        <v>2777197</v>
      </c>
      <c r="G39" s="1186">
        <v>2627503</v>
      </c>
      <c r="H39" s="1186">
        <v>5</v>
      </c>
      <c r="I39" s="1186">
        <v>4</v>
      </c>
    </row>
    <row r="40" spans="1:9" x14ac:dyDescent="0.2">
      <c r="A40" s="1186" t="s">
        <v>414</v>
      </c>
      <c r="B40" s="1186">
        <v>3</v>
      </c>
      <c r="C40" s="1186" t="s">
        <v>418</v>
      </c>
      <c r="D40" s="1186" t="s">
        <v>282</v>
      </c>
      <c r="E40" s="1186">
        <v>24</v>
      </c>
      <c r="F40" s="1186">
        <v>2777197</v>
      </c>
      <c r="G40" s="1186">
        <v>2627503</v>
      </c>
      <c r="H40" s="1186">
        <v>7</v>
      </c>
      <c r="I40" s="1186">
        <v>17</v>
      </c>
    </row>
    <row r="41" spans="1:9" x14ac:dyDescent="0.2">
      <c r="A41" s="1186" t="s">
        <v>414</v>
      </c>
      <c r="B41" s="1186">
        <v>8</v>
      </c>
      <c r="C41" s="1186" t="s">
        <v>201</v>
      </c>
      <c r="D41" s="1186" t="s">
        <v>282</v>
      </c>
      <c r="E41" s="1186">
        <v>4</v>
      </c>
      <c r="F41" s="1186">
        <v>2777197</v>
      </c>
      <c r="G41" s="1186">
        <v>2627503</v>
      </c>
      <c r="H41" s="1186">
        <v>2</v>
      </c>
      <c r="I41" s="1186">
        <v>2</v>
      </c>
    </row>
    <row r="42" spans="1:9" x14ac:dyDescent="0.2">
      <c r="A42" s="1186" t="s">
        <v>414</v>
      </c>
      <c r="B42" s="1186">
        <v>1</v>
      </c>
      <c r="C42" s="1186" t="s">
        <v>162</v>
      </c>
      <c r="D42" s="1186" t="s">
        <v>311</v>
      </c>
      <c r="E42" s="1186">
        <v>15</v>
      </c>
      <c r="F42" s="1186">
        <v>2784500</v>
      </c>
      <c r="G42" s="1186">
        <v>2640300</v>
      </c>
      <c r="H42" s="1186">
        <v>6</v>
      </c>
      <c r="I42" s="1186">
        <v>9</v>
      </c>
    </row>
    <row r="43" spans="1:9" x14ac:dyDescent="0.2">
      <c r="A43" s="1186" t="s">
        <v>414</v>
      </c>
      <c r="B43" s="1186">
        <v>2</v>
      </c>
      <c r="C43" s="1186" t="s">
        <v>417</v>
      </c>
      <c r="D43" s="1186" t="s">
        <v>311</v>
      </c>
      <c r="E43" s="1186">
        <v>5</v>
      </c>
      <c r="F43" s="1186">
        <v>2784500</v>
      </c>
      <c r="G43" s="1186">
        <v>2640300</v>
      </c>
      <c r="H43" s="1186"/>
      <c r="I43" s="1186">
        <v>5</v>
      </c>
    </row>
    <row r="44" spans="1:9" x14ac:dyDescent="0.2">
      <c r="A44" s="1186" t="s">
        <v>414</v>
      </c>
      <c r="B44" s="1186">
        <v>3</v>
      </c>
      <c r="C44" s="1186" t="s">
        <v>418</v>
      </c>
      <c r="D44" s="1186" t="s">
        <v>311</v>
      </c>
      <c r="E44" s="1186">
        <v>18</v>
      </c>
      <c r="F44" s="1186">
        <v>2784500</v>
      </c>
      <c r="G44" s="1186">
        <v>2640300</v>
      </c>
      <c r="H44" s="1186">
        <v>11</v>
      </c>
      <c r="I44" s="1186">
        <v>7</v>
      </c>
    </row>
    <row r="45" spans="1:9" x14ac:dyDescent="0.2">
      <c r="A45" s="1186" t="s">
        <v>414</v>
      </c>
      <c r="B45" s="1186">
        <v>4</v>
      </c>
      <c r="C45" s="1186" t="s">
        <v>1789</v>
      </c>
      <c r="D45" s="1186" t="s">
        <v>311</v>
      </c>
      <c r="E45" s="1186">
        <v>1</v>
      </c>
      <c r="F45" s="1186">
        <v>2784500</v>
      </c>
      <c r="G45" s="1186">
        <v>2640300</v>
      </c>
      <c r="H45" s="1186"/>
      <c r="I45" s="1186">
        <v>1</v>
      </c>
    </row>
    <row r="46" spans="1:9" x14ac:dyDescent="0.2">
      <c r="A46" s="1186" t="s">
        <v>414</v>
      </c>
      <c r="B46" s="1186">
        <v>8</v>
      </c>
      <c r="C46" s="1186" t="s">
        <v>201</v>
      </c>
      <c r="D46" s="1186" t="s">
        <v>311</v>
      </c>
      <c r="E46" s="1186">
        <v>5</v>
      </c>
      <c r="F46" s="1186">
        <v>2784500</v>
      </c>
      <c r="G46" s="1186">
        <v>2640300</v>
      </c>
      <c r="H46" s="1186">
        <v>1</v>
      </c>
      <c r="I46" s="1186">
        <v>4</v>
      </c>
    </row>
    <row r="47" spans="1:9" x14ac:dyDescent="0.2">
      <c r="A47" s="1186" t="s">
        <v>414</v>
      </c>
      <c r="B47" s="1186">
        <v>1</v>
      </c>
      <c r="C47" s="1186" t="s">
        <v>162</v>
      </c>
      <c r="D47" s="1186" t="s">
        <v>621</v>
      </c>
      <c r="E47" s="1186">
        <v>9</v>
      </c>
      <c r="F47" s="1186">
        <v>2789349</v>
      </c>
      <c r="G47" s="1186">
        <v>2648751</v>
      </c>
      <c r="H47" s="1186">
        <v>2</v>
      </c>
      <c r="I47" s="1186">
        <v>7</v>
      </c>
    </row>
    <row r="48" spans="1:9" x14ac:dyDescent="0.2">
      <c r="A48" s="1186" t="s">
        <v>414</v>
      </c>
      <c r="B48" s="1186">
        <v>2</v>
      </c>
      <c r="C48" s="1186" t="s">
        <v>417</v>
      </c>
      <c r="D48" s="1186" t="s">
        <v>621</v>
      </c>
      <c r="E48" s="1186">
        <v>13</v>
      </c>
      <c r="F48" s="1186">
        <v>2789349</v>
      </c>
      <c r="G48" s="1186">
        <v>2648751</v>
      </c>
      <c r="H48" s="1186">
        <v>6</v>
      </c>
      <c r="I48" s="1186">
        <v>7</v>
      </c>
    </row>
    <row r="49" spans="1:9" x14ac:dyDescent="0.2">
      <c r="A49" s="1186" t="s">
        <v>414</v>
      </c>
      <c r="B49" s="1186">
        <v>3</v>
      </c>
      <c r="C49" s="1186" t="s">
        <v>418</v>
      </c>
      <c r="D49" s="1186" t="s">
        <v>621</v>
      </c>
      <c r="E49" s="1186">
        <v>20</v>
      </c>
      <c r="F49" s="1186">
        <v>2789349</v>
      </c>
      <c r="G49" s="1186">
        <v>2648751</v>
      </c>
      <c r="H49" s="1186">
        <v>6</v>
      </c>
      <c r="I49" s="1186">
        <v>14</v>
      </c>
    </row>
    <row r="50" spans="1:9" x14ac:dyDescent="0.2">
      <c r="A50" s="1186" t="s">
        <v>414</v>
      </c>
      <c r="B50" s="1186">
        <v>8</v>
      </c>
      <c r="C50" s="1186" t="s">
        <v>201</v>
      </c>
      <c r="D50" s="1186" t="s">
        <v>621</v>
      </c>
      <c r="E50" s="1186">
        <v>2</v>
      </c>
      <c r="F50" s="1186">
        <v>2789349</v>
      </c>
      <c r="G50" s="1186">
        <v>2648751</v>
      </c>
      <c r="H50" s="1186">
        <v>1</v>
      </c>
      <c r="I50" s="1186">
        <v>1</v>
      </c>
    </row>
    <row r="51" spans="1:9" x14ac:dyDescent="0.2">
      <c r="A51" s="1186" t="s">
        <v>414</v>
      </c>
      <c r="B51" s="1186">
        <v>1</v>
      </c>
      <c r="C51" s="1186" t="s">
        <v>162</v>
      </c>
      <c r="D51" s="1186" t="s">
        <v>1419</v>
      </c>
      <c r="E51" s="1186">
        <v>6</v>
      </c>
      <c r="F51" s="1186">
        <v>2800297</v>
      </c>
      <c r="G51" s="1186">
        <v>2663003</v>
      </c>
      <c r="H51" s="1186">
        <v>2</v>
      </c>
      <c r="I51" s="1186">
        <v>4</v>
      </c>
    </row>
    <row r="52" spans="1:9" x14ac:dyDescent="0.2">
      <c r="A52" s="1186" t="s">
        <v>414</v>
      </c>
      <c r="B52" s="1186">
        <v>2</v>
      </c>
      <c r="C52" s="1186" t="s">
        <v>417</v>
      </c>
      <c r="D52" s="1186" t="s">
        <v>1419</v>
      </c>
      <c r="E52" s="1186">
        <v>6</v>
      </c>
      <c r="F52" s="1186">
        <v>2800297</v>
      </c>
      <c r="G52" s="1186">
        <v>2663003</v>
      </c>
      <c r="H52" s="1186">
        <v>2</v>
      </c>
      <c r="I52" s="1186">
        <v>4</v>
      </c>
    </row>
    <row r="53" spans="1:9" x14ac:dyDescent="0.2">
      <c r="A53" s="1186" t="s">
        <v>414</v>
      </c>
      <c r="B53" s="1186">
        <v>3</v>
      </c>
      <c r="C53" s="1186" t="s">
        <v>418</v>
      </c>
      <c r="D53" s="1186" t="s">
        <v>1419</v>
      </c>
      <c r="E53" s="1186">
        <v>11</v>
      </c>
      <c r="F53" s="1186">
        <v>2800297</v>
      </c>
      <c r="G53" s="1186">
        <v>2663003</v>
      </c>
      <c r="H53" s="1186">
        <v>2</v>
      </c>
      <c r="I53" s="1186">
        <v>9</v>
      </c>
    </row>
    <row r="54" spans="1:9" x14ac:dyDescent="0.2">
      <c r="A54" s="1186" t="s">
        <v>414</v>
      </c>
      <c r="B54" s="1186">
        <v>8</v>
      </c>
      <c r="C54" s="1186" t="s">
        <v>201</v>
      </c>
      <c r="D54" s="1186" t="s">
        <v>1419</v>
      </c>
      <c r="E54" s="1186">
        <v>4</v>
      </c>
      <c r="F54" s="1186">
        <v>2800297</v>
      </c>
      <c r="G54" s="1186">
        <v>2663003</v>
      </c>
      <c r="H54" s="1186">
        <v>1</v>
      </c>
      <c r="I54" s="1186">
        <v>3</v>
      </c>
    </row>
    <row r="55" spans="1:9" x14ac:dyDescent="0.2">
      <c r="A55" s="1186" t="s">
        <v>414</v>
      </c>
      <c r="B55" s="1186">
        <v>1</v>
      </c>
      <c r="C55" s="1186" t="s">
        <v>162</v>
      </c>
      <c r="D55" s="1186" t="s">
        <v>1572</v>
      </c>
      <c r="E55" s="1186">
        <v>17</v>
      </c>
      <c r="F55" s="1186">
        <v>2800788</v>
      </c>
      <c r="G55" s="1186">
        <v>2665212</v>
      </c>
      <c r="H55" s="1186">
        <v>2</v>
      </c>
      <c r="I55" s="1186">
        <v>15</v>
      </c>
    </row>
    <row r="56" spans="1:9" x14ac:dyDescent="0.2">
      <c r="A56" s="1186" t="s">
        <v>414</v>
      </c>
      <c r="B56" s="1186">
        <v>2</v>
      </c>
      <c r="C56" s="1186" t="s">
        <v>417</v>
      </c>
      <c r="D56" s="1186" t="s">
        <v>1572</v>
      </c>
      <c r="E56" s="1186">
        <v>8</v>
      </c>
      <c r="F56" s="1186">
        <v>2800788</v>
      </c>
      <c r="G56" s="1186">
        <v>2665212</v>
      </c>
      <c r="H56" s="1186">
        <v>3</v>
      </c>
      <c r="I56" s="1186">
        <v>5</v>
      </c>
    </row>
    <row r="57" spans="1:9" x14ac:dyDescent="0.2">
      <c r="A57" s="1186" t="s">
        <v>414</v>
      </c>
      <c r="B57" s="1186">
        <v>3</v>
      </c>
      <c r="C57" s="1186" t="s">
        <v>418</v>
      </c>
      <c r="D57" s="1186" t="s">
        <v>1572</v>
      </c>
      <c r="E57" s="1186">
        <v>20</v>
      </c>
      <c r="F57" s="1186">
        <v>2800788</v>
      </c>
      <c r="G57" s="1186">
        <v>2665212</v>
      </c>
      <c r="H57" s="1186">
        <v>7</v>
      </c>
      <c r="I57" s="1186">
        <v>13</v>
      </c>
    </row>
    <row r="58" spans="1:9" x14ac:dyDescent="0.2">
      <c r="A58" s="1186" t="s">
        <v>414</v>
      </c>
      <c r="B58" s="1186">
        <v>8</v>
      </c>
      <c r="C58" s="1186" t="s">
        <v>201</v>
      </c>
      <c r="D58" s="1186" t="s">
        <v>1572</v>
      </c>
      <c r="E58" s="1186">
        <v>8</v>
      </c>
      <c r="F58" s="1186">
        <v>2800788</v>
      </c>
      <c r="G58" s="1186">
        <v>2665212</v>
      </c>
      <c r="H58" s="1186">
        <v>1</v>
      </c>
      <c r="I58" s="1186">
        <v>7</v>
      </c>
    </row>
  </sheetData>
  <pageMargins left="0.7" right="0.7" top="0.75" bottom="0.75" header="0.3" footer="0.3"/>
  <pageSetup paperSize="9" fitToHeight="5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AFF0"/>
  </sheetPr>
  <dimension ref="A1:AG109"/>
  <sheetViews>
    <sheetView showGridLines="0" workbookViewId="0">
      <pane ySplit="2" topLeftCell="A3" activePane="bottomLeft" state="frozen"/>
      <selection pane="bottomLeft"/>
    </sheetView>
  </sheetViews>
  <sheetFormatPr defaultRowHeight="12.75" x14ac:dyDescent="0.2"/>
  <cols>
    <col min="1" max="1" width="19.5703125" style="1" customWidth="1"/>
    <col min="2" max="8" width="16.5703125" style="1" customWidth="1"/>
    <col min="9" max="9" width="12.28515625" style="1" customWidth="1"/>
    <col min="10" max="10" width="14.28515625" style="1" customWidth="1"/>
    <col min="11" max="11" width="10.140625" style="1" customWidth="1"/>
    <col min="12" max="12" width="8.140625" style="1" customWidth="1"/>
    <col min="13" max="13" width="11.42578125" style="1" customWidth="1"/>
    <col min="14" max="14" width="9.140625" style="1"/>
    <col min="15" max="15" width="8.42578125" style="1" customWidth="1"/>
    <col min="16" max="16" width="11.5703125" style="1" customWidth="1"/>
    <col min="17" max="241" width="9.140625" style="1"/>
    <col min="242" max="242" width="20" style="1" customWidth="1"/>
    <col min="243" max="243" width="11.7109375" style="1" customWidth="1"/>
    <col min="244" max="244" width="11.140625" style="1" customWidth="1"/>
    <col min="245" max="245" width="11.42578125" style="1" customWidth="1"/>
    <col min="246" max="246" width="12.140625" style="1" customWidth="1"/>
    <col min="247" max="247" width="9.140625" style="1"/>
    <col min="248" max="248" width="13.140625" style="1" customWidth="1"/>
    <col min="249" max="249" width="9.140625" style="1"/>
    <col min="250" max="250" width="12.28515625" style="1" customWidth="1"/>
    <col min="251" max="251" width="14.28515625" style="1" customWidth="1"/>
    <col min="252" max="252" width="10.140625" style="1" customWidth="1"/>
    <col min="253" max="253" width="9.140625" style="1"/>
    <col min="254" max="254" width="12.42578125" style="1" customWidth="1"/>
    <col min="255" max="255" width="9.140625" style="1"/>
    <col min="256" max="256" width="11.28515625" style="1" customWidth="1"/>
    <col min="257" max="257" width="10.140625" style="1" customWidth="1"/>
    <col min="258" max="497" width="9.140625" style="1"/>
    <col min="498" max="498" width="20" style="1" customWidth="1"/>
    <col min="499" max="499" width="11.7109375" style="1" customWidth="1"/>
    <col min="500" max="500" width="11.140625" style="1" customWidth="1"/>
    <col min="501" max="501" width="11.42578125" style="1" customWidth="1"/>
    <col min="502" max="502" width="12.140625" style="1" customWidth="1"/>
    <col min="503" max="503" width="9.140625" style="1"/>
    <col min="504" max="504" width="13.140625" style="1" customWidth="1"/>
    <col min="505" max="505" width="9.140625" style="1"/>
    <col min="506" max="506" width="12.28515625" style="1" customWidth="1"/>
    <col min="507" max="507" width="14.28515625" style="1" customWidth="1"/>
    <col min="508" max="508" width="10.140625" style="1" customWidth="1"/>
    <col min="509" max="509" width="9.140625" style="1"/>
    <col min="510" max="510" width="12.42578125" style="1" customWidth="1"/>
    <col min="511" max="511" width="9.140625" style="1"/>
    <col min="512" max="512" width="11.28515625" style="1" customWidth="1"/>
    <col min="513" max="513" width="10.140625" style="1" customWidth="1"/>
    <col min="514" max="753" width="9.140625" style="1"/>
    <col min="754" max="754" width="20" style="1" customWidth="1"/>
    <col min="755" max="755" width="11.7109375" style="1" customWidth="1"/>
    <col min="756" max="756" width="11.140625" style="1" customWidth="1"/>
    <col min="757" max="757" width="11.42578125" style="1" customWidth="1"/>
    <col min="758" max="758" width="12.140625" style="1" customWidth="1"/>
    <col min="759" max="759" width="9.140625" style="1"/>
    <col min="760" max="760" width="13.140625" style="1" customWidth="1"/>
    <col min="761" max="761" width="9.140625" style="1"/>
    <col min="762" max="762" width="12.28515625" style="1" customWidth="1"/>
    <col min="763" max="763" width="14.28515625" style="1" customWidth="1"/>
    <col min="764" max="764" width="10.140625" style="1" customWidth="1"/>
    <col min="765" max="765" width="9.140625" style="1"/>
    <col min="766" max="766" width="12.42578125" style="1" customWidth="1"/>
    <col min="767" max="767" width="9.140625" style="1"/>
    <col min="768" max="768" width="11.28515625" style="1" customWidth="1"/>
    <col min="769" max="769" width="10.140625" style="1" customWidth="1"/>
    <col min="770" max="1009" width="9.140625" style="1"/>
    <col min="1010" max="1010" width="20" style="1" customWidth="1"/>
    <col min="1011" max="1011" width="11.7109375" style="1" customWidth="1"/>
    <col min="1012" max="1012" width="11.140625" style="1" customWidth="1"/>
    <col min="1013" max="1013" width="11.42578125" style="1" customWidth="1"/>
    <col min="1014" max="1014" width="12.140625" style="1" customWidth="1"/>
    <col min="1015" max="1015" width="9.140625" style="1"/>
    <col min="1016" max="1016" width="13.140625" style="1" customWidth="1"/>
    <col min="1017" max="1017" width="9.140625" style="1"/>
    <col min="1018" max="1018" width="12.28515625" style="1" customWidth="1"/>
    <col min="1019" max="1019" width="14.28515625" style="1" customWidth="1"/>
    <col min="1020" max="1020" width="10.140625" style="1" customWidth="1"/>
    <col min="1021" max="1021" width="9.140625" style="1"/>
    <col min="1022" max="1022" width="12.42578125" style="1" customWidth="1"/>
    <col min="1023" max="1023" width="9.140625" style="1"/>
    <col min="1024" max="1024" width="11.28515625" style="1" customWidth="1"/>
    <col min="1025" max="1025" width="10.140625" style="1" customWidth="1"/>
    <col min="1026" max="1265" width="9.140625" style="1"/>
    <col min="1266" max="1266" width="20" style="1" customWidth="1"/>
    <col min="1267" max="1267" width="11.7109375" style="1" customWidth="1"/>
    <col min="1268" max="1268" width="11.140625" style="1" customWidth="1"/>
    <col min="1269" max="1269" width="11.42578125" style="1" customWidth="1"/>
    <col min="1270" max="1270" width="12.140625" style="1" customWidth="1"/>
    <col min="1271" max="1271" width="9.140625" style="1"/>
    <col min="1272" max="1272" width="13.140625" style="1" customWidth="1"/>
    <col min="1273" max="1273" width="9.140625" style="1"/>
    <col min="1274" max="1274" width="12.28515625" style="1" customWidth="1"/>
    <col min="1275" max="1275" width="14.28515625" style="1" customWidth="1"/>
    <col min="1276" max="1276" width="10.140625" style="1" customWidth="1"/>
    <col min="1277" max="1277" width="9.140625" style="1"/>
    <col min="1278" max="1278" width="12.42578125" style="1" customWidth="1"/>
    <col min="1279" max="1279" width="9.140625" style="1"/>
    <col min="1280" max="1280" width="11.28515625" style="1" customWidth="1"/>
    <col min="1281" max="1281" width="10.140625" style="1" customWidth="1"/>
    <col min="1282" max="1521" width="9.140625" style="1"/>
    <col min="1522" max="1522" width="20" style="1" customWidth="1"/>
    <col min="1523" max="1523" width="11.7109375" style="1" customWidth="1"/>
    <col min="1524" max="1524" width="11.140625" style="1" customWidth="1"/>
    <col min="1525" max="1525" width="11.42578125" style="1" customWidth="1"/>
    <col min="1526" max="1526" width="12.140625" style="1" customWidth="1"/>
    <col min="1527" max="1527" width="9.140625" style="1"/>
    <col min="1528" max="1528" width="13.140625" style="1" customWidth="1"/>
    <col min="1529" max="1529" width="9.140625" style="1"/>
    <col min="1530" max="1530" width="12.28515625" style="1" customWidth="1"/>
    <col min="1531" max="1531" width="14.28515625" style="1" customWidth="1"/>
    <col min="1532" max="1532" width="10.140625" style="1" customWidth="1"/>
    <col min="1533" max="1533" width="9.140625" style="1"/>
    <col min="1534" max="1534" width="12.42578125" style="1" customWidth="1"/>
    <col min="1535" max="1535" width="9.140625" style="1"/>
    <col min="1536" max="1536" width="11.28515625" style="1" customWidth="1"/>
    <col min="1537" max="1537" width="10.140625" style="1" customWidth="1"/>
    <col min="1538" max="1777" width="9.140625" style="1"/>
    <col min="1778" max="1778" width="20" style="1" customWidth="1"/>
    <col min="1779" max="1779" width="11.7109375" style="1" customWidth="1"/>
    <col min="1780" max="1780" width="11.140625" style="1" customWidth="1"/>
    <col min="1781" max="1781" width="11.42578125" style="1" customWidth="1"/>
    <col min="1782" max="1782" width="12.140625" style="1" customWidth="1"/>
    <col min="1783" max="1783" width="9.140625" style="1"/>
    <col min="1784" max="1784" width="13.140625" style="1" customWidth="1"/>
    <col min="1785" max="1785" width="9.140625" style="1"/>
    <col min="1786" max="1786" width="12.28515625" style="1" customWidth="1"/>
    <col min="1787" max="1787" width="14.28515625" style="1" customWidth="1"/>
    <col min="1788" max="1788" width="10.140625" style="1" customWidth="1"/>
    <col min="1789" max="1789" width="9.140625" style="1"/>
    <col min="1790" max="1790" width="12.42578125" style="1" customWidth="1"/>
    <col min="1791" max="1791" width="9.140625" style="1"/>
    <col min="1792" max="1792" width="11.28515625" style="1" customWidth="1"/>
    <col min="1793" max="1793" width="10.140625" style="1" customWidth="1"/>
    <col min="1794" max="2033" width="9.140625" style="1"/>
    <col min="2034" max="2034" width="20" style="1" customWidth="1"/>
    <col min="2035" max="2035" width="11.7109375" style="1" customWidth="1"/>
    <col min="2036" max="2036" width="11.140625" style="1" customWidth="1"/>
    <col min="2037" max="2037" width="11.42578125" style="1" customWidth="1"/>
    <col min="2038" max="2038" width="12.140625" style="1" customWidth="1"/>
    <col min="2039" max="2039" width="9.140625" style="1"/>
    <col min="2040" max="2040" width="13.140625" style="1" customWidth="1"/>
    <col min="2041" max="2041" width="9.140625" style="1"/>
    <col min="2042" max="2042" width="12.28515625" style="1" customWidth="1"/>
    <col min="2043" max="2043" width="14.28515625" style="1" customWidth="1"/>
    <col min="2044" max="2044" width="10.140625" style="1" customWidth="1"/>
    <col min="2045" max="2045" width="9.140625" style="1"/>
    <col min="2046" max="2046" width="12.42578125" style="1" customWidth="1"/>
    <col min="2047" max="2047" width="9.140625" style="1"/>
    <col min="2048" max="2048" width="11.28515625" style="1" customWidth="1"/>
    <col min="2049" max="2049" width="10.140625" style="1" customWidth="1"/>
    <col min="2050" max="2289" width="9.140625" style="1"/>
    <col min="2290" max="2290" width="20" style="1" customWidth="1"/>
    <col min="2291" max="2291" width="11.7109375" style="1" customWidth="1"/>
    <col min="2292" max="2292" width="11.140625" style="1" customWidth="1"/>
    <col min="2293" max="2293" width="11.42578125" style="1" customWidth="1"/>
    <col min="2294" max="2294" width="12.140625" style="1" customWidth="1"/>
    <col min="2295" max="2295" width="9.140625" style="1"/>
    <col min="2296" max="2296" width="13.140625" style="1" customWidth="1"/>
    <col min="2297" max="2297" width="9.140625" style="1"/>
    <col min="2298" max="2298" width="12.28515625" style="1" customWidth="1"/>
    <col min="2299" max="2299" width="14.28515625" style="1" customWidth="1"/>
    <col min="2300" max="2300" width="10.140625" style="1" customWidth="1"/>
    <col min="2301" max="2301" width="9.140625" style="1"/>
    <col min="2302" max="2302" width="12.42578125" style="1" customWidth="1"/>
    <col min="2303" max="2303" width="9.140625" style="1"/>
    <col min="2304" max="2304" width="11.28515625" style="1" customWidth="1"/>
    <col min="2305" max="2305" width="10.140625" style="1" customWidth="1"/>
    <col min="2306" max="2545" width="9.140625" style="1"/>
    <col min="2546" max="2546" width="20" style="1" customWidth="1"/>
    <col min="2547" max="2547" width="11.7109375" style="1" customWidth="1"/>
    <col min="2548" max="2548" width="11.140625" style="1" customWidth="1"/>
    <col min="2549" max="2549" width="11.42578125" style="1" customWidth="1"/>
    <col min="2550" max="2550" width="12.140625" style="1" customWidth="1"/>
    <col min="2551" max="2551" width="9.140625" style="1"/>
    <col min="2552" max="2552" width="13.140625" style="1" customWidth="1"/>
    <col min="2553" max="2553" width="9.140625" style="1"/>
    <col min="2554" max="2554" width="12.28515625" style="1" customWidth="1"/>
    <col min="2555" max="2555" width="14.28515625" style="1" customWidth="1"/>
    <col min="2556" max="2556" width="10.140625" style="1" customWidth="1"/>
    <col min="2557" max="2557" width="9.140625" style="1"/>
    <col min="2558" max="2558" width="12.42578125" style="1" customWidth="1"/>
    <col min="2559" max="2559" width="9.140625" style="1"/>
    <col min="2560" max="2560" width="11.28515625" style="1" customWidth="1"/>
    <col min="2561" max="2561" width="10.140625" style="1" customWidth="1"/>
    <col min="2562" max="2801" width="9.140625" style="1"/>
    <col min="2802" max="2802" width="20" style="1" customWidth="1"/>
    <col min="2803" max="2803" width="11.7109375" style="1" customWidth="1"/>
    <col min="2804" max="2804" width="11.140625" style="1" customWidth="1"/>
    <col min="2805" max="2805" width="11.42578125" style="1" customWidth="1"/>
    <col min="2806" max="2806" width="12.140625" style="1" customWidth="1"/>
    <col min="2807" max="2807" width="9.140625" style="1"/>
    <col min="2808" max="2808" width="13.140625" style="1" customWidth="1"/>
    <col min="2809" max="2809" width="9.140625" style="1"/>
    <col min="2810" max="2810" width="12.28515625" style="1" customWidth="1"/>
    <col min="2811" max="2811" width="14.28515625" style="1" customWidth="1"/>
    <col min="2812" max="2812" width="10.140625" style="1" customWidth="1"/>
    <col min="2813" max="2813" width="9.140625" style="1"/>
    <col min="2814" max="2814" width="12.42578125" style="1" customWidth="1"/>
    <col min="2815" max="2815" width="9.140625" style="1"/>
    <col min="2816" max="2816" width="11.28515625" style="1" customWidth="1"/>
    <col min="2817" max="2817" width="10.140625" style="1" customWidth="1"/>
    <col min="2818" max="3057" width="9.140625" style="1"/>
    <col min="3058" max="3058" width="20" style="1" customWidth="1"/>
    <col min="3059" max="3059" width="11.7109375" style="1" customWidth="1"/>
    <col min="3060" max="3060" width="11.140625" style="1" customWidth="1"/>
    <col min="3061" max="3061" width="11.42578125" style="1" customWidth="1"/>
    <col min="3062" max="3062" width="12.140625" style="1" customWidth="1"/>
    <col min="3063" max="3063" width="9.140625" style="1"/>
    <col min="3064" max="3064" width="13.140625" style="1" customWidth="1"/>
    <col min="3065" max="3065" width="9.140625" style="1"/>
    <col min="3066" max="3066" width="12.28515625" style="1" customWidth="1"/>
    <col min="3067" max="3067" width="14.28515625" style="1" customWidth="1"/>
    <col min="3068" max="3068" width="10.140625" style="1" customWidth="1"/>
    <col min="3069" max="3069" width="9.140625" style="1"/>
    <col min="3070" max="3070" width="12.42578125" style="1" customWidth="1"/>
    <col min="3071" max="3071" width="9.140625" style="1"/>
    <col min="3072" max="3072" width="11.28515625" style="1" customWidth="1"/>
    <col min="3073" max="3073" width="10.140625" style="1" customWidth="1"/>
    <col min="3074" max="3313" width="9.140625" style="1"/>
    <col min="3314" max="3314" width="20" style="1" customWidth="1"/>
    <col min="3315" max="3315" width="11.7109375" style="1" customWidth="1"/>
    <col min="3316" max="3316" width="11.140625" style="1" customWidth="1"/>
    <col min="3317" max="3317" width="11.42578125" style="1" customWidth="1"/>
    <col min="3318" max="3318" width="12.140625" style="1" customWidth="1"/>
    <col min="3319" max="3319" width="9.140625" style="1"/>
    <col min="3320" max="3320" width="13.140625" style="1" customWidth="1"/>
    <col min="3321" max="3321" width="9.140625" style="1"/>
    <col min="3322" max="3322" width="12.28515625" style="1" customWidth="1"/>
    <col min="3323" max="3323" width="14.28515625" style="1" customWidth="1"/>
    <col min="3324" max="3324" width="10.140625" style="1" customWidth="1"/>
    <col min="3325" max="3325" width="9.140625" style="1"/>
    <col min="3326" max="3326" width="12.42578125" style="1" customWidth="1"/>
    <col min="3327" max="3327" width="9.140625" style="1"/>
    <col min="3328" max="3328" width="11.28515625" style="1" customWidth="1"/>
    <col min="3329" max="3329" width="10.140625" style="1" customWidth="1"/>
    <col min="3330" max="3569" width="9.140625" style="1"/>
    <col min="3570" max="3570" width="20" style="1" customWidth="1"/>
    <col min="3571" max="3571" width="11.7109375" style="1" customWidth="1"/>
    <col min="3572" max="3572" width="11.140625" style="1" customWidth="1"/>
    <col min="3573" max="3573" width="11.42578125" style="1" customWidth="1"/>
    <col min="3574" max="3574" width="12.140625" style="1" customWidth="1"/>
    <col min="3575" max="3575" width="9.140625" style="1"/>
    <col min="3576" max="3576" width="13.140625" style="1" customWidth="1"/>
    <col min="3577" max="3577" width="9.140625" style="1"/>
    <col min="3578" max="3578" width="12.28515625" style="1" customWidth="1"/>
    <col min="3579" max="3579" width="14.28515625" style="1" customWidth="1"/>
    <col min="3580" max="3580" width="10.140625" style="1" customWidth="1"/>
    <col min="3581" max="3581" width="9.140625" style="1"/>
    <col min="3582" max="3582" width="12.42578125" style="1" customWidth="1"/>
    <col min="3583" max="3583" width="9.140625" style="1"/>
    <col min="3584" max="3584" width="11.28515625" style="1" customWidth="1"/>
    <col min="3585" max="3585" width="10.140625" style="1" customWidth="1"/>
    <col min="3586" max="3825" width="9.140625" style="1"/>
    <col min="3826" max="3826" width="20" style="1" customWidth="1"/>
    <col min="3827" max="3827" width="11.7109375" style="1" customWidth="1"/>
    <col min="3828" max="3828" width="11.140625" style="1" customWidth="1"/>
    <col min="3829" max="3829" width="11.42578125" style="1" customWidth="1"/>
    <col min="3830" max="3830" width="12.140625" style="1" customWidth="1"/>
    <col min="3831" max="3831" width="9.140625" style="1"/>
    <col min="3832" max="3832" width="13.140625" style="1" customWidth="1"/>
    <col min="3833" max="3833" width="9.140625" style="1"/>
    <col min="3834" max="3834" width="12.28515625" style="1" customWidth="1"/>
    <col min="3835" max="3835" width="14.28515625" style="1" customWidth="1"/>
    <col min="3836" max="3836" width="10.140625" style="1" customWidth="1"/>
    <col min="3837" max="3837" width="9.140625" style="1"/>
    <col min="3838" max="3838" width="12.42578125" style="1" customWidth="1"/>
    <col min="3839" max="3839" width="9.140625" style="1"/>
    <col min="3840" max="3840" width="11.28515625" style="1" customWidth="1"/>
    <col min="3841" max="3841" width="10.140625" style="1" customWidth="1"/>
    <col min="3842" max="4081" width="9.140625" style="1"/>
    <col min="4082" max="4082" width="20" style="1" customWidth="1"/>
    <col min="4083" max="4083" width="11.7109375" style="1" customWidth="1"/>
    <col min="4084" max="4084" width="11.140625" style="1" customWidth="1"/>
    <col min="4085" max="4085" width="11.42578125" style="1" customWidth="1"/>
    <col min="4086" max="4086" width="12.140625" style="1" customWidth="1"/>
    <col min="4087" max="4087" width="9.140625" style="1"/>
    <col min="4088" max="4088" width="13.140625" style="1" customWidth="1"/>
    <col min="4089" max="4089" width="9.140625" style="1"/>
    <col min="4090" max="4090" width="12.28515625" style="1" customWidth="1"/>
    <col min="4091" max="4091" width="14.28515625" style="1" customWidth="1"/>
    <col min="4092" max="4092" width="10.140625" style="1" customWidth="1"/>
    <col min="4093" max="4093" width="9.140625" style="1"/>
    <col min="4094" max="4094" width="12.42578125" style="1" customWidth="1"/>
    <col min="4095" max="4095" width="9.140625" style="1"/>
    <col min="4096" max="4096" width="11.28515625" style="1" customWidth="1"/>
    <col min="4097" max="4097" width="10.140625" style="1" customWidth="1"/>
    <col min="4098" max="4337" width="9.140625" style="1"/>
    <col min="4338" max="4338" width="20" style="1" customWidth="1"/>
    <col min="4339" max="4339" width="11.7109375" style="1" customWidth="1"/>
    <col min="4340" max="4340" width="11.140625" style="1" customWidth="1"/>
    <col min="4341" max="4341" width="11.42578125" style="1" customWidth="1"/>
    <col min="4342" max="4342" width="12.140625" style="1" customWidth="1"/>
    <col min="4343" max="4343" width="9.140625" style="1"/>
    <col min="4344" max="4344" width="13.140625" style="1" customWidth="1"/>
    <col min="4345" max="4345" width="9.140625" style="1"/>
    <col min="4346" max="4346" width="12.28515625" style="1" customWidth="1"/>
    <col min="4347" max="4347" width="14.28515625" style="1" customWidth="1"/>
    <col min="4348" max="4348" width="10.140625" style="1" customWidth="1"/>
    <col min="4349" max="4349" width="9.140625" style="1"/>
    <col min="4350" max="4350" width="12.42578125" style="1" customWidth="1"/>
    <col min="4351" max="4351" width="9.140625" style="1"/>
    <col min="4352" max="4352" width="11.28515625" style="1" customWidth="1"/>
    <col min="4353" max="4353" width="10.140625" style="1" customWidth="1"/>
    <col min="4354" max="4593" width="9.140625" style="1"/>
    <col min="4594" max="4594" width="20" style="1" customWidth="1"/>
    <col min="4595" max="4595" width="11.7109375" style="1" customWidth="1"/>
    <col min="4596" max="4596" width="11.140625" style="1" customWidth="1"/>
    <col min="4597" max="4597" width="11.42578125" style="1" customWidth="1"/>
    <col min="4598" max="4598" width="12.140625" style="1" customWidth="1"/>
    <col min="4599" max="4599" width="9.140625" style="1"/>
    <col min="4600" max="4600" width="13.140625" style="1" customWidth="1"/>
    <col min="4601" max="4601" width="9.140625" style="1"/>
    <col min="4602" max="4602" width="12.28515625" style="1" customWidth="1"/>
    <col min="4603" max="4603" width="14.28515625" style="1" customWidth="1"/>
    <col min="4604" max="4604" width="10.140625" style="1" customWidth="1"/>
    <col min="4605" max="4605" width="9.140625" style="1"/>
    <col min="4606" max="4606" width="12.42578125" style="1" customWidth="1"/>
    <col min="4607" max="4607" width="9.140625" style="1"/>
    <col min="4608" max="4608" width="11.28515625" style="1" customWidth="1"/>
    <col min="4609" max="4609" width="10.140625" style="1" customWidth="1"/>
    <col min="4610" max="4849" width="9.140625" style="1"/>
    <col min="4850" max="4850" width="20" style="1" customWidth="1"/>
    <col min="4851" max="4851" width="11.7109375" style="1" customWidth="1"/>
    <col min="4852" max="4852" width="11.140625" style="1" customWidth="1"/>
    <col min="4853" max="4853" width="11.42578125" style="1" customWidth="1"/>
    <col min="4854" max="4854" width="12.140625" style="1" customWidth="1"/>
    <col min="4855" max="4855" width="9.140625" style="1"/>
    <col min="4856" max="4856" width="13.140625" style="1" customWidth="1"/>
    <col min="4857" max="4857" width="9.140625" style="1"/>
    <col min="4858" max="4858" width="12.28515625" style="1" customWidth="1"/>
    <col min="4859" max="4859" width="14.28515625" style="1" customWidth="1"/>
    <col min="4860" max="4860" width="10.140625" style="1" customWidth="1"/>
    <col min="4861" max="4861" width="9.140625" style="1"/>
    <col min="4862" max="4862" width="12.42578125" style="1" customWidth="1"/>
    <col min="4863" max="4863" width="9.140625" style="1"/>
    <col min="4864" max="4864" width="11.28515625" style="1" customWidth="1"/>
    <col min="4865" max="4865" width="10.140625" style="1" customWidth="1"/>
    <col min="4866" max="5105" width="9.140625" style="1"/>
    <col min="5106" max="5106" width="20" style="1" customWidth="1"/>
    <col min="5107" max="5107" width="11.7109375" style="1" customWidth="1"/>
    <col min="5108" max="5108" width="11.140625" style="1" customWidth="1"/>
    <col min="5109" max="5109" width="11.42578125" style="1" customWidth="1"/>
    <col min="5110" max="5110" width="12.140625" style="1" customWidth="1"/>
    <col min="5111" max="5111" width="9.140625" style="1"/>
    <col min="5112" max="5112" width="13.140625" style="1" customWidth="1"/>
    <col min="5113" max="5113" width="9.140625" style="1"/>
    <col min="5114" max="5114" width="12.28515625" style="1" customWidth="1"/>
    <col min="5115" max="5115" width="14.28515625" style="1" customWidth="1"/>
    <col min="5116" max="5116" width="10.140625" style="1" customWidth="1"/>
    <col min="5117" max="5117" width="9.140625" style="1"/>
    <col min="5118" max="5118" width="12.42578125" style="1" customWidth="1"/>
    <col min="5119" max="5119" width="9.140625" style="1"/>
    <col min="5120" max="5120" width="11.28515625" style="1" customWidth="1"/>
    <col min="5121" max="5121" width="10.140625" style="1" customWidth="1"/>
    <col min="5122" max="5361" width="9.140625" style="1"/>
    <col min="5362" max="5362" width="20" style="1" customWidth="1"/>
    <col min="5363" max="5363" width="11.7109375" style="1" customWidth="1"/>
    <col min="5364" max="5364" width="11.140625" style="1" customWidth="1"/>
    <col min="5365" max="5365" width="11.42578125" style="1" customWidth="1"/>
    <col min="5366" max="5366" width="12.140625" style="1" customWidth="1"/>
    <col min="5367" max="5367" width="9.140625" style="1"/>
    <col min="5368" max="5368" width="13.140625" style="1" customWidth="1"/>
    <col min="5369" max="5369" width="9.140625" style="1"/>
    <col min="5370" max="5370" width="12.28515625" style="1" customWidth="1"/>
    <col min="5371" max="5371" width="14.28515625" style="1" customWidth="1"/>
    <col min="5372" max="5372" width="10.140625" style="1" customWidth="1"/>
    <col min="5373" max="5373" width="9.140625" style="1"/>
    <col min="5374" max="5374" width="12.42578125" style="1" customWidth="1"/>
    <col min="5375" max="5375" width="9.140625" style="1"/>
    <col min="5376" max="5376" width="11.28515625" style="1" customWidth="1"/>
    <col min="5377" max="5377" width="10.140625" style="1" customWidth="1"/>
    <col min="5378" max="5617" width="9.140625" style="1"/>
    <col min="5618" max="5618" width="20" style="1" customWidth="1"/>
    <col min="5619" max="5619" width="11.7109375" style="1" customWidth="1"/>
    <col min="5620" max="5620" width="11.140625" style="1" customWidth="1"/>
    <col min="5621" max="5621" width="11.42578125" style="1" customWidth="1"/>
    <col min="5622" max="5622" width="12.140625" style="1" customWidth="1"/>
    <col min="5623" max="5623" width="9.140625" style="1"/>
    <col min="5624" max="5624" width="13.140625" style="1" customWidth="1"/>
    <col min="5625" max="5625" width="9.140625" style="1"/>
    <col min="5626" max="5626" width="12.28515625" style="1" customWidth="1"/>
    <col min="5627" max="5627" width="14.28515625" style="1" customWidth="1"/>
    <col min="5628" max="5628" width="10.140625" style="1" customWidth="1"/>
    <col min="5629" max="5629" width="9.140625" style="1"/>
    <col min="5630" max="5630" width="12.42578125" style="1" customWidth="1"/>
    <col min="5631" max="5631" width="9.140625" style="1"/>
    <col min="5632" max="5632" width="11.28515625" style="1" customWidth="1"/>
    <col min="5633" max="5633" width="10.140625" style="1" customWidth="1"/>
    <col min="5634" max="5873" width="9.140625" style="1"/>
    <col min="5874" max="5874" width="20" style="1" customWidth="1"/>
    <col min="5875" max="5875" width="11.7109375" style="1" customWidth="1"/>
    <col min="5876" max="5876" width="11.140625" style="1" customWidth="1"/>
    <col min="5877" max="5877" width="11.42578125" style="1" customWidth="1"/>
    <col min="5878" max="5878" width="12.140625" style="1" customWidth="1"/>
    <col min="5879" max="5879" width="9.140625" style="1"/>
    <col min="5880" max="5880" width="13.140625" style="1" customWidth="1"/>
    <col min="5881" max="5881" width="9.140625" style="1"/>
    <col min="5882" max="5882" width="12.28515625" style="1" customWidth="1"/>
    <col min="5883" max="5883" width="14.28515625" style="1" customWidth="1"/>
    <col min="5884" max="5884" width="10.140625" style="1" customWidth="1"/>
    <col min="5885" max="5885" width="9.140625" style="1"/>
    <col min="5886" max="5886" width="12.42578125" style="1" customWidth="1"/>
    <col min="5887" max="5887" width="9.140625" style="1"/>
    <col min="5888" max="5888" width="11.28515625" style="1" customWidth="1"/>
    <col min="5889" max="5889" width="10.140625" style="1" customWidth="1"/>
    <col min="5890" max="6129" width="9.140625" style="1"/>
    <col min="6130" max="6130" width="20" style="1" customWidth="1"/>
    <col min="6131" max="6131" width="11.7109375" style="1" customWidth="1"/>
    <col min="6132" max="6132" width="11.140625" style="1" customWidth="1"/>
    <col min="6133" max="6133" width="11.42578125" style="1" customWidth="1"/>
    <col min="6134" max="6134" width="12.140625" style="1" customWidth="1"/>
    <col min="6135" max="6135" width="9.140625" style="1"/>
    <col min="6136" max="6136" width="13.140625" style="1" customWidth="1"/>
    <col min="6137" max="6137" width="9.140625" style="1"/>
    <col min="6138" max="6138" width="12.28515625" style="1" customWidth="1"/>
    <col min="6139" max="6139" width="14.28515625" style="1" customWidth="1"/>
    <col min="6140" max="6140" width="10.140625" style="1" customWidth="1"/>
    <col min="6141" max="6141" width="9.140625" style="1"/>
    <col min="6142" max="6142" width="12.42578125" style="1" customWidth="1"/>
    <col min="6143" max="6143" width="9.140625" style="1"/>
    <col min="6144" max="6144" width="11.28515625" style="1" customWidth="1"/>
    <col min="6145" max="6145" width="10.140625" style="1" customWidth="1"/>
    <col min="6146" max="6385" width="9.140625" style="1"/>
    <col min="6386" max="6386" width="20" style="1" customWidth="1"/>
    <col min="6387" max="6387" width="11.7109375" style="1" customWidth="1"/>
    <col min="6388" max="6388" width="11.140625" style="1" customWidth="1"/>
    <col min="6389" max="6389" width="11.42578125" style="1" customWidth="1"/>
    <col min="6390" max="6390" width="12.140625" style="1" customWidth="1"/>
    <col min="6391" max="6391" width="9.140625" style="1"/>
    <col min="6392" max="6392" width="13.140625" style="1" customWidth="1"/>
    <col min="6393" max="6393" width="9.140625" style="1"/>
    <col min="6394" max="6394" width="12.28515625" style="1" customWidth="1"/>
    <col min="6395" max="6395" width="14.28515625" style="1" customWidth="1"/>
    <col min="6396" max="6396" width="10.140625" style="1" customWidth="1"/>
    <col min="6397" max="6397" width="9.140625" style="1"/>
    <col min="6398" max="6398" width="12.42578125" style="1" customWidth="1"/>
    <col min="6399" max="6399" width="9.140625" style="1"/>
    <col min="6400" max="6400" width="11.28515625" style="1" customWidth="1"/>
    <col min="6401" max="6401" width="10.140625" style="1" customWidth="1"/>
    <col min="6402" max="6641" width="9.140625" style="1"/>
    <col min="6642" max="6642" width="20" style="1" customWidth="1"/>
    <col min="6643" max="6643" width="11.7109375" style="1" customWidth="1"/>
    <col min="6644" max="6644" width="11.140625" style="1" customWidth="1"/>
    <col min="6645" max="6645" width="11.42578125" style="1" customWidth="1"/>
    <col min="6646" max="6646" width="12.140625" style="1" customWidth="1"/>
    <col min="6647" max="6647" width="9.140625" style="1"/>
    <col min="6648" max="6648" width="13.140625" style="1" customWidth="1"/>
    <col min="6649" max="6649" width="9.140625" style="1"/>
    <col min="6650" max="6650" width="12.28515625" style="1" customWidth="1"/>
    <col min="6651" max="6651" width="14.28515625" style="1" customWidth="1"/>
    <col min="6652" max="6652" width="10.140625" style="1" customWidth="1"/>
    <col min="6653" max="6653" width="9.140625" style="1"/>
    <col min="6654" max="6654" width="12.42578125" style="1" customWidth="1"/>
    <col min="6655" max="6655" width="9.140625" style="1"/>
    <col min="6656" max="6656" width="11.28515625" style="1" customWidth="1"/>
    <col min="6657" max="6657" width="10.140625" style="1" customWidth="1"/>
    <col min="6658" max="6897" width="9.140625" style="1"/>
    <col min="6898" max="6898" width="20" style="1" customWidth="1"/>
    <col min="6899" max="6899" width="11.7109375" style="1" customWidth="1"/>
    <col min="6900" max="6900" width="11.140625" style="1" customWidth="1"/>
    <col min="6901" max="6901" width="11.42578125" style="1" customWidth="1"/>
    <col min="6902" max="6902" width="12.140625" style="1" customWidth="1"/>
    <col min="6903" max="6903" width="9.140625" style="1"/>
    <col min="6904" max="6904" width="13.140625" style="1" customWidth="1"/>
    <col min="6905" max="6905" width="9.140625" style="1"/>
    <col min="6906" max="6906" width="12.28515625" style="1" customWidth="1"/>
    <col min="6907" max="6907" width="14.28515625" style="1" customWidth="1"/>
    <col min="6908" max="6908" width="10.140625" style="1" customWidth="1"/>
    <col min="6909" max="6909" width="9.140625" style="1"/>
    <col min="6910" max="6910" width="12.42578125" style="1" customWidth="1"/>
    <col min="6911" max="6911" width="9.140625" style="1"/>
    <col min="6912" max="6912" width="11.28515625" style="1" customWidth="1"/>
    <col min="6913" max="6913" width="10.140625" style="1" customWidth="1"/>
    <col min="6914" max="7153" width="9.140625" style="1"/>
    <col min="7154" max="7154" width="20" style="1" customWidth="1"/>
    <col min="7155" max="7155" width="11.7109375" style="1" customWidth="1"/>
    <col min="7156" max="7156" width="11.140625" style="1" customWidth="1"/>
    <col min="7157" max="7157" width="11.42578125" style="1" customWidth="1"/>
    <col min="7158" max="7158" width="12.140625" style="1" customWidth="1"/>
    <col min="7159" max="7159" width="9.140625" style="1"/>
    <col min="7160" max="7160" width="13.140625" style="1" customWidth="1"/>
    <col min="7161" max="7161" width="9.140625" style="1"/>
    <col min="7162" max="7162" width="12.28515625" style="1" customWidth="1"/>
    <col min="7163" max="7163" width="14.28515625" style="1" customWidth="1"/>
    <col min="7164" max="7164" width="10.140625" style="1" customWidth="1"/>
    <col min="7165" max="7165" width="9.140625" style="1"/>
    <col min="7166" max="7166" width="12.42578125" style="1" customWidth="1"/>
    <col min="7167" max="7167" width="9.140625" style="1"/>
    <col min="7168" max="7168" width="11.28515625" style="1" customWidth="1"/>
    <col min="7169" max="7169" width="10.140625" style="1" customWidth="1"/>
    <col min="7170" max="7409" width="9.140625" style="1"/>
    <col min="7410" max="7410" width="20" style="1" customWidth="1"/>
    <col min="7411" max="7411" width="11.7109375" style="1" customWidth="1"/>
    <col min="7412" max="7412" width="11.140625" style="1" customWidth="1"/>
    <col min="7413" max="7413" width="11.42578125" style="1" customWidth="1"/>
    <col min="7414" max="7414" width="12.140625" style="1" customWidth="1"/>
    <col min="7415" max="7415" width="9.140625" style="1"/>
    <col min="7416" max="7416" width="13.140625" style="1" customWidth="1"/>
    <col min="7417" max="7417" width="9.140625" style="1"/>
    <col min="7418" max="7418" width="12.28515625" style="1" customWidth="1"/>
    <col min="7419" max="7419" width="14.28515625" style="1" customWidth="1"/>
    <col min="7420" max="7420" width="10.140625" style="1" customWidth="1"/>
    <col min="7421" max="7421" width="9.140625" style="1"/>
    <col min="7422" max="7422" width="12.42578125" style="1" customWidth="1"/>
    <col min="7423" max="7423" width="9.140625" style="1"/>
    <col min="7424" max="7424" width="11.28515625" style="1" customWidth="1"/>
    <col min="7425" max="7425" width="10.140625" style="1" customWidth="1"/>
    <col min="7426" max="7665" width="9.140625" style="1"/>
    <col min="7666" max="7666" width="20" style="1" customWidth="1"/>
    <col min="7667" max="7667" width="11.7109375" style="1" customWidth="1"/>
    <col min="7668" max="7668" width="11.140625" style="1" customWidth="1"/>
    <col min="7669" max="7669" width="11.42578125" style="1" customWidth="1"/>
    <col min="7670" max="7670" width="12.140625" style="1" customWidth="1"/>
    <col min="7671" max="7671" width="9.140625" style="1"/>
    <col min="7672" max="7672" width="13.140625" style="1" customWidth="1"/>
    <col min="7673" max="7673" width="9.140625" style="1"/>
    <col min="7674" max="7674" width="12.28515625" style="1" customWidth="1"/>
    <col min="7675" max="7675" width="14.28515625" style="1" customWidth="1"/>
    <col min="7676" max="7676" width="10.140625" style="1" customWidth="1"/>
    <col min="7677" max="7677" width="9.140625" style="1"/>
    <col min="7678" max="7678" width="12.42578125" style="1" customWidth="1"/>
    <col min="7679" max="7679" width="9.140625" style="1"/>
    <col min="7680" max="7680" width="11.28515625" style="1" customWidth="1"/>
    <col min="7681" max="7681" width="10.140625" style="1" customWidth="1"/>
    <col min="7682" max="7921" width="9.140625" style="1"/>
    <col min="7922" max="7922" width="20" style="1" customWidth="1"/>
    <col min="7923" max="7923" width="11.7109375" style="1" customWidth="1"/>
    <col min="7924" max="7924" width="11.140625" style="1" customWidth="1"/>
    <col min="7925" max="7925" width="11.42578125" style="1" customWidth="1"/>
    <col min="7926" max="7926" width="12.140625" style="1" customWidth="1"/>
    <col min="7927" max="7927" width="9.140625" style="1"/>
    <col min="7928" max="7928" width="13.140625" style="1" customWidth="1"/>
    <col min="7929" max="7929" width="9.140625" style="1"/>
    <col min="7930" max="7930" width="12.28515625" style="1" customWidth="1"/>
    <col min="7931" max="7931" width="14.28515625" style="1" customWidth="1"/>
    <col min="7932" max="7932" width="10.140625" style="1" customWidth="1"/>
    <col min="7933" max="7933" width="9.140625" style="1"/>
    <col min="7934" max="7934" width="12.42578125" style="1" customWidth="1"/>
    <col min="7935" max="7935" width="9.140625" style="1"/>
    <col min="7936" max="7936" width="11.28515625" style="1" customWidth="1"/>
    <col min="7937" max="7937" width="10.140625" style="1" customWidth="1"/>
    <col min="7938" max="8177" width="9.140625" style="1"/>
    <col min="8178" max="8178" width="20" style="1" customWidth="1"/>
    <col min="8179" max="8179" width="11.7109375" style="1" customWidth="1"/>
    <col min="8180" max="8180" width="11.140625" style="1" customWidth="1"/>
    <col min="8181" max="8181" width="11.42578125" style="1" customWidth="1"/>
    <col min="8182" max="8182" width="12.140625" style="1" customWidth="1"/>
    <col min="8183" max="8183" width="9.140625" style="1"/>
    <col min="8184" max="8184" width="13.140625" style="1" customWidth="1"/>
    <col min="8185" max="8185" width="9.140625" style="1"/>
    <col min="8186" max="8186" width="12.28515625" style="1" customWidth="1"/>
    <col min="8187" max="8187" width="14.28515625" style="1" customWidth="1"/>
    <col min="8188" max="8188" width="10.140625" style="1" customWidth="1"/>
    <col min="8189" max="8189" width="9.140625" style="1"/>
    <col min="8190" max="8190" width="12.42578125" style="1" customWidth="1"/>
    <col min="8191" max="8191" width="9.140625" style="1"/>
    <col min="8192" max="8192" width="11.28515625" style="1" customWidth="1"/>
    <col min="8193" max="8193" width="10.140625" style="1" customWidth="1"/>
    <col min="8194" max="8433" width="9.140625" style="1"/>
    <col min="8434" max="8434" width="20" style="1" customWidth="1"/>
    <col min="8435" max="8435" width="11.7109375" style="1" customWidth="1"/>
    <col min="8436" max="8436" width="11.140625" style="1" customWidth="1"/>
    <col min="8437" max="8437" width="11.42578125" style="1" customWidth="1"/>
    <col min="8438" max="8438" width="12.140625" style="1" customWidth="1"/>
    <col min="8439" max="8439" width="9.140625" style="1"/>
    <col min="8440" max="8440" width="13.140625" style="1" customWidth="1"/>
    <col min="8441" max="8441" width="9.140625" style="1"/>
    <col min="8442" max="8442" width="12.28515625" style="1" customWidth="1"/>
    <col min="8443" max="8443" width="14.28515625" style="1" customWidth="1"/>
    <col min="8444" max="8444" width="10.140625" style="1" customWidth="1"/>
    <col min="8445" max="8445" width="9.140625" style="1"/>
    <col min="8446" max="8446" width="12.42578125" style="1" customWidth="1"/>
    <col min="8447" max="8447" width="9.140625" style="1"/>
    <col min="8448" max="8448" width="11.28515625" style="1" customWidth="1"/>
    <col min="8449" max="8449" width="10.140625" style="1" customWidth="1"/>
    <col min="8450" max="8689" width="9.140625" style="1"/>
    <col min="8690" max="8690" width="20" style="1" customWidth="1"/>
    <col min="8691" max="8691" width="11.7109375" style="1" customWidth="1"/>
    <col min="8692" max="8692" width="11.140625" style="1" customWidth="1"/>
    <col min="8693" max="8693" width="11.42578125" style="1" customWidth="1"/>
    <col min="8694" max="8694" width="12.140625" style="1" customWidth="1"/>
    <col min="8695" max="8695" width="9.140625" style="1"/>
    <col min="8696" max="8696" width="13.140625" style="1" customWidth="1"/>
    <col min="8697" max="8697" width="9.140625" style="1"/>
    <col min="8698" max="8698" width="12.28515625" style="1" customWidth="1"/>
    <col min="8699" max="8699" width="14.28515625" style="1" customWidth="1"/>
    <col min="8700" max="8700" width="10.140625" style="1" customWidth="1"/>
    <col min="8701" max="8701" width="9.140625" style="1"/>
    <col min="8702" max="8702" width="12.42578125" style="1" customWidth="1"/>
    <col min="8703" max="8703" width="9.140625" style="1"/>
    <col min="8704" max="8704" width="11.28515625" style="1" customWidth="1"/>
    <col min="8705" max="8705" width="10.140625" style="1" customWidth="1"/>
    <col min="8706" max="8945" width="9.140625" style="1"/>
    <col min="8946" max="8946" width="20" style="1" customWidth="1"/>
    <col min="8947" max="8947" width="11.7109375" style="1" customWidth="1"/>
    <col min="8948" max="8948" width="11.140625" style="1" customWidth="1"/>
    <col min="8949" max="8949" width="11.42578125" style="1" customWidth="1"/>
    <col min="8950" max="8950" width="12.140625" style="1" customWidth="1"/>
    <col min="8951" max="8951" width="9.140625" style="1"/>
    <col min="8952" max="8952" width="13.140625" style="1" customWidth="1"/>
    <col min="8953" max="8953" width="9.140625" style="1"/>
    <col min="8954" max="8954" width="12.28515625" style="1" customWidth="1"/>
    <col min="8955" max="8955" width="14.28515625" style="1" customWidth="1"/>
    <col min="8956" max="8956" width="10.140625" style="1" customWidth="1"/>
    <col min="8957" max="8957" width="9.140625" style="1"/>
    <col min="8958" max="8958" width="12.42578125" style="1" customWidth="1"/>
    <col min="8959" max="8959" width="9.140625" style="1"/>
    <col min="8960" max="8960" width="11.28515625" style="1" customWidth="1"/>
    <col min="8961" max="8961" width="10.140625" style="1" customWidth="1"/>
    <col min="8962" max="9201" width="9.140625" style="1"/>
    <col min="9202" max="9202" width="20" style="1" customWidth="1"/>
    <col min="9203" max="9203" width="11.7109375" style="1" customWidth="1"/>
    <col min="9204" max="9204" width="11.140625" style="1" customWidth="1"/>
    <col min="9205" max="9205" width="11.42578125" style="1" customWidth="1"/>
    <col min="9206" max="9206" width="12.140625" style="1" customWidth="1"/>
    <col min="9207" max="9207" width="9.140625" style="1"/>
    <col min="9208" max="9208" width="13.140625" style="1" customWidth="1"/>
    <col min="9209" max="9209" width="9.140625" style="1"/>
    <col min="9210" max="9210" width="12.28515625" style="1" customWidth="1"/>
    <col min="9211" max="9211" width="14.28515625" style="1" customWidth="1"/>
    <col min="9212" max="9212" width="10.140625" style="1" customWidth="1"/>
    <col min="9213" max="9213" width="9.140625" style="1"/>
    <col min="9214" max="9214" width="12.42578125" style="1" customWidth="1"/>
    <col min="9215" max="9215" width="9.140625" style="1"/>
    <col min="9216" max="9216" width="11.28515625" style="1" customWidth="1"/>
    <col min="9217" max="9217" width="10.140625" style="1" customWidth="1"/>
    <col min="9218" max="9457" width="9.140625" style="1"/>
    <col min="9458" max="9458" width="20" style="1" customWidth="1"/>
    <col min="9459" max="9459" width="11.7109375" style="1" customWidth="1"/>
    <col min="9460" max="9460" width="11.140625" style="1" customWidth="1"/>
    <col min="9461" max="9461" width="11.42578125" style="1" customWidth="1"/>
    <col min="9462" max="9462" width="12.140625" style="1" customWidth="1"/>
    <col min="9463" max="9463" width="9.140625" style="1"/>
    <col min="9464" max="9464" width="13.140625" style="1" customWidth="1"/>
    <col min="9465" max="9465" width="9.140625" style="1"/>
    <col min="9466" max="9466" width="12.28515625" style="1" customWidth="1"/>
    <col min="9467" max="9467" width="14.28515625" style="1" customWidth="1"/>
    <col min="9468" max="9468" width="10.140625" style="1" customWidth="1"/>
    <col min="9469" max="9469" width="9.140625" style="1"/>
    <col min="9470" max="9470" width="12.42578125" style="1" customWidth="1"/>
    <col min="9471" max="9471" width="9.140625" style="1"/>
    <col min="9472" max="9472" width="11.28515625" style="1" customWidth="1"/>
    <col min="9473" max="9473" width="10.140625" style="1" customWidth="1"/>
    <col min="9474" max="9713" width="9.140625" style="1"/>
    <col min="9714" max="9714" width="20" style="1" customWidth="1"/>
    <col min="9715" max="9715" width="11.7109375" style="1" customWidth="1"/>
    <col min="9716" max="9716" width="11.140625" style="1" customWidth="1"/>
    <col min="9717" max="9717" width="11.42578125" style="1" customWidth="1"/>
    <col min="9718" max="9718" width="12.140625" style="1" customWidth="1"/>
    <col min="9719" max="9719" width="9.140625" style="1"/>
    <col min="9720" max="9720" width="13.140625" style="1" customWidth="1"/>
    <col min="9721" max="9721" width="9.140625" style="1"/>
    <col min="9722" max="9722" width="12.28515625" style="1" customWidth="1"/>
    <col min="9723" max="9723" width="14.28515625" style="1" customWidth="1"/>
    <col min="9724" max="9724" width="10.140625" style="1" customWidth="1"/>
    <col min="9725" max="9725" width="9.140625" style="1"/>
    <col min="9726" max="9726" width="12.42578125" style="1" customWidth="1"/>
    <col min="9727" max="9727" width="9.140625" style="1"/>
    <col min="9728" max="9728" width="11.28515625" style="1" customWidth="1"/>
    <col min="9729" max="9729" width="10.140625" style="1" customWidth="1"/>
    <col min="9730" max="9969" width="9.140625" style="1"/>
    <col min="9970" max="9970" width="20" style="1" customWidth="1"/>
    <col min="9971" max="9971" width="11.7109375" style="1" customWidth="1"/>
    <col min="9972" max="9972" width="11.140625" style="1" customWidth="1"/>
    <col min="9973" max="9973" width="11.42578125" style="1" customWidth="1"/>
    <col min="9974" max="9974" width="12.140625" style="1" customWidth="1"/>
    <col min="9975" max="9975" width="9.140625" style="1"/>
    <col min="9976" max="9976" width="13.140625" style="1" customWidth="1"/>
    <col min="9977" max="9977" width="9.140625" style="1"/>
    <col min="9978" max="9978" width="12.28515625" style="1" customWidth="1"/>
    <col min="9979" max="9979" width="14.28515625" style="1" customWidth="1"/>
    <col min="9980" max="9980" width="10.140625" style="1" customWidth="1"/>
    <col min="9981" max="9981" width="9.140625" style="1"/>
    <col min="9982" max="9982" width="12.42578125" style="1" customWidth="1"/>
    <col min="9983" max="9983" width="9.140625" style="1"/>
    <col min="9984" max="9984" width="11.28515625" style="1" customWidth="1"/>
    <col min="9985" max="9985" width="10.140625" style="1" customWidth="1"/>
    <col min="9986" max="10225" width="9.140625" style="1"/>
    <col min="10226" max="10226" width="20" style="1" customWidth="1"/>
    <col min="10227" max="10227" width="11.7109375" style="1" customWidth="1"/>
    <col min="10228" max="10228" width="11.140625" style="1" customWidth="1"/>
    <col min="10229" max="10229" width="11.42578125" style="1" customWidth="1"/>
    <col min="10230" max="10230" width="12.140625" style="1" customWidth="1"/>
    <col min="10231" max="10231" width="9.140625" style="1"/>
    <col min="10232" max="10232" width="13.140625" style="1" customWidth="1"/>
    <col min="10233" max="10233" width="9.140625" style="1"/>
    <col min="10234" max="10234" width="12.28515625" style="1" customWidth="1"/>
    <col min="10235" max="10235" width="14.28515625" style="1" customWidth="1"/>
    <col min="10236" max="10236" width="10.140625" style="1" customWidth="1"/>
    <col min="10237" max="10237" width="9.140625" style="1"/>
    <col min="10238" max="10238" width="12.42578125" style="1" customWidth="1"/>
    <col min="10239" max="10239" width="9.140625" style="1"/>
    <col min="10240" max="10240" width="11.28515625" style="1" customWidth="1"/>
    <col min="10241" max="10241" width="10.140625" style="1" customWidth="1"/>
    <col min="10242" max="10481" width="9.140625" style="1"/>
    <col min="10482" max="10482" width="20" style="1" customWidth="1"/>
    <col min="10483" max="10483" width="11.7109375" style="1" customWidth="1"/>
    <col min="10484" max="10484" width="11.140625" style="1" customWidth="1"/>
    <col min="10485" max="10485" width="11.42578125" style="1" customWidth="1"/>
    <col min="10486" max="10486" width="12.140625" style="1" customWidth="1"/>
    <col min="10487" max="10487" width="9.140625" style="1"/>
    <col min="10488" max="10488" width="13.140625" style="1" customWidth="1"/>
    <col min="10489" max="10489" width="9.140625" style="1"/>
    <col min="10490" max="10490" width="12.28515625" style="1" customWidth="1"/>
    <col min="10491" max="10491" width="14.28515625" style="1" customWidth="1"/>
    <col min="10492" max="10492" width="10.140625" style="1" customWidth="1"/>
    <col min="10493" max="10493" width="9.140625" style="1"/>
    <col min="10494" max="10494" width="12.42578125" style="1" customWidth="1"/>
    <col min="10495" max="10495" width="9.140625" style="1"/>
    <col min="10496" max="10496" width="11.28515625" style="1" customWidth="1"/>
    <col min="10497" max="10497" width="10.140625" style="1" customWidth="1"/>
    <col min="10498" max="10737" width="9.140625" style="1"/>
    <col min="10738" max="10738" width="20" style="1" customWidth="1"/>
    <col min="10739" max="10739" width="11.7109375" style="1" customWidth="1"/>
    <col min="10740" max="10740" width="11.140625" style="1" customWidth="1"/>
    <col min="10741" max="10741" width="11.42578125" style="1" customWidth="1"/>
    <col min="10742" max="10742" width="12.140625" style="1" customWidth="1"/>
    <col min="10743" max="10743" width="9.140625" style="1"/>
    <col min="10744" max="10744" width="13.140625" style="1" customWidth="1"/>
    <col min="10745" max="10745" width="9.140625" style="1"/>
    <col min="10746" max="10746" width="12.28515625" style="1" customWidth="1"/>
    <col min="10747" max="10747" width="14.28515625" style="1" customWidth="1"/>
    <col min="10748" max="10748" width="10.140625" style="1" customWidth="1"/>
    <col min="10749" max="10749" width="9.140625" style="1"/>
    <col min="10750" max="10750" width="12.42578125" style="1" customWidth="1"/>
    <col min="10751" max="10751" width="9.140625" style="1"/>
    <col min="10752" max="10752" width="11.28515625" style="1" customWidth="1"/>
    <col min="10753" max="10753" width="10.140625" style="1" customWidth="1"/>
    <col min="10754" max="10993" width="9.140625" style="1"/>
    <col min="10994" max="10994" width="20" style="1" customWidth="1"/>
    <col min="10995" max="10995" width="11.7109375" style="1" customWidth="1"/>
    <col min="10996" max="10996" width="11.140625" style="1" customWidth="1"/>
    <col min="10997" max="10997" width="11.42578125" style="1" customWidth="1"/>
    <col min="10998" max="10998" width="12.140625" style="1" customWidth="1"/>
    <col min="10999" max="10999" width="9.140625" style="1"/>
    <col min="11000" max="11000" width="13.140625" style="1" customWidth="1"/>
    <col min="11001" max="11001" width="9.140625" style="1"/>
    <col min="11002" max="11002" width="12.28515625" style="1" customWidth="1"/>
    <col min="11003" max="11003" width="14.28515625" style="1" customWidth="1"/>
    <col min="11004" max="11004" width="10.140625" style="1" customWidth="1"/>
    <col min="11005" max="11005" width="9.140625" style="1"/>
    <col min="11006" max="11006" width="12.42578125" style="1" customWidth="1"/>
    <col min="11007" max="11007" width="9.140625" style="1"/>
    <col min="11008" max="11008" width="11.28515625" style="1" customWidth="1"/>
    <col min="11009" max="11009" width="10.140625" style="1" customWidth="1"/>
    <col min="11010" max="11249" width="9.140625" style="1"/>
    <col min="11250" max="11250" width="20" style="1" customWidth="1"/>
    <col min="11251" max="11251" width="11.7109375" style="1" customWidth="1"/>
    <col min="11252" max="11252" width="11.140625" style="1" customWidth="1"/>
    <col min="11253" max="11253" width="11.42578125" style="1" customWidth="1"/>
    <col min="11254" max="11254" width="12.140625" style="1" customWidth="1"/>
    <col min="11255" max="11255" width="9.140625" style="1"/>
    <col min="11256" max="11256" width="13.140625" style="1" customWidth="1"/>
    <col min="11257" max="11257" width="9.140625" style="1"/>
    <col min="11258" max="11258" width="12.28515625" style="1" customWidth="1"/>
    <col min="11259" max="11259" width="14.28515625" style="1" customWidth="1"/>
    <col min="11260" max="11260" width="10.140625" style="1" customWidth="1"/>
    <col min="11261" max="11261" width="9.140625" style="1"/>
    <col min="11262" max="11262" width="12.42578125" style="1" customWidth="1"/>
    <col min="11263" max="11263" width="9.140625" style="1"/>
    <col min="11264" max="11264" width="11.28515625" style="1" customWidth="1"/>
    <col min="11265" max="11265" width="10.140625" style="1" customWidth="1"/>
    <col min="11266" max="11505" width="9.140625" style="1"/>
    <col min="11506" max="11506" width="20" style="1" customWidth="1"/>
    <col min="11507" max="11507" width="11.7109375" style="1" customWidth="1"/>
    <col min="11508" max="11508" width="11.140625" style="1" customWidth="1"/>
    <col min="11509" max="11509" width="11.42578125" style="1" customWidth="1"/>
    <col min="11510" max="11510" width="12.140625" style="1" customWidth="1"/>
    <col min="11511" max="11511" width="9.140625" style="1"/>
    <col min="11512" max="11512" width="13.140625" style="1" customWidth="1"/>
    <col min="11513" max="11513" width="9.140625" style="1"/>
    <col min="11514" max="11514" width="12.28515625" style="1" customWidth="1"/>
    <col min="11515" max="11515" width="14.28515625" style="1" customWidth="1"/>
    <col min="11516" max="11516" width="10.140625" style="1" customWidth="1"/>
    <col min="11517" max="11517" width="9.140625" style="1"/>
    <col min="11518" max="11518" width="12.42578125" style="1" customWidth="1"/>
    <col min="11519" max="11519" width="9.140625" style="1"/>
    <col min="11520" max="11520" width="11.28515625" style="1" customWidth="1"/>
    <col min="11521" max="11521" width="10.140625" style="1" customWidth="1"/>
    <col min="11522" max="11761" width="9.140625" style="1"/>
    <col min="11762" max="11762" width="20" style="1" customWidth="1"/>
    <col min="11763" max="11763" width="11.7109375" style="1" customWidth="1"/>
    <col min="11764" max="11764" width="11.140625" style="1" customWidth="1"/>
    <col min="11765" max="11765" width="11.42578125" style="1" customWidth="1"/>
    <col min="11766" max="11766" width="12.140625" style="1" customWidth="1"/>
    <col min="11767" max="11767" width="9.140625" style="1"/>
    <col min="11768" max="11768" width="13.140625" style="1" customWidth="1"/>
    <col min="11769" max="11769" width="9.140625" style="1"/>
    <col min="11770" max="11770" width="12.28515625" style="1" customWidth="1"/>
    <col min="11771" max="11771" width="14.28515625" style="1" customWidth="1"/>
    <col min="11772" max="11772" width="10.140625" style="1" customWidth="1"/>
    <col min="11773" max="11773" width="9.140625" style="1"/>
    <col min="11774" max="11774" width="12.42578125" style="1" customWidth="1"/>
    <col min="11775" max="11775" width="9.140625" style="1"/>
    <col min="11776" max="11776" width="11.28515625" style="1" customWidth="1"/>
    <col min="11777" max="11777" width="10.140625" style="1" customWidth="1"/>
    <col min="11778" max="12017" width="9.140625" style="1"/>
    <col min="12018" max="12018" width="20" style="1" customWidth="1"/>
    <col min="12019" max="12019" width="11.7109375" style="1" customWidth="1"/>
    <col min="12020" max="12020" width="11.140625" style="1" customWidth="1"/>
    <col min="12021" max="12021" width="11.42578125" style="1" customWidth="1"/>
    <col min="12022" max="12022" width="12.140625" style="1" customWidth="1"/>
    <col min="12023" max="12023" width="9.140625" style="1"/>
    <col min="12024" max="12024" width="13.140625" style="1" customWidth="1"/>
    <col min="12025" max="12025" width="9.140625" style="1"/>
    <col min="12026" max="12026" width="12.28515625" style="1" customWidth="1"/>
    <col min="12027" max="12027" width="14.28515625" style="1" customWidth="1"/>
    <col min="12028" max="12028" width="10.140625" style="1" customWidth="1"/>
    <col min="12029" max="12029" width="9.140625" style="1"/>
    <col min="12030" max="12030" width="12.42578125" style="1" customWidth="1"/>
    <col min="12031" max="12031" width="9.140625" style="1"/>
    <col min="12032" max="12032" width="11.28515625" style="1" customWidth="1"/>
    <col min="12033" max="12033" width="10.140625" style="1" customWidth="1"/>
    <col min="12034" max="12273" width="9.140625" style="1"/>
    <col min="12274" max="12274" width="20" style="1" customWidth="1"/>
    <col min="12275" max="12275" width="11.7109375" style="1" customWidth="1"/>
    <col min="12276" max="12276" width="11.140625" style="1" customWidth="1"/>
    <col min="12277" max="12277" width="11.42578125" style="1" customWidth="1"/>
    <col min="12278" max="12278" width="12.140625" style="1" customWidth="1"/>
    <col min="12279" max="12279" width="9.140625" style="1"/>
    <col min="12280" max="12280" width="13.140625" style="1" customWidth="1"/>
    <col min="12281" max="12281" width="9.140625" style="1"/>
    <col min="12282" max="12282" width="12.28515625" style="1" customWidth="1"/>
    <col min="12283" max="12283" width="14.28515625" style="1" customWidth="1"/>
    <col min="12284" max="12284" width="10.140625" style="1" customWidth="1"/>
    <col min="12285" max="12285" width="9.140625" style="1"/>
    <col min="12286" max="12286" width="12.42578125" style="1" customWidth="1"/>
    <col min="12287" max="12287" width="9.140625" style="1"/>
    <col min="12288" max="12288" width="11.28515625" style="1" customWidth="1"/>
    <col min="12289" max="12289" width="10.140625" style="1" customWidth="1"/>
    <col min="12290" max="12529" width="9.140625" style="1"/>
    <col min="12530" max="12530" width="20" style="1" customWidth="1"/>
    <col min="12531" max="12531" width="11.7109375" style="1" customWidth="1"/>
    <col min="12532" max="12532" width="11.140625" style="1" customWidth="1"/>
    <col min="12533" max="12533" width="11.42578125" style="1" customWidth="1"/>
    <col min="12534" max="12534" width="12.140625" style="1" customWidth="1"/>
    <col min="12535" max="12535" width="9.140625" style="1"/>
    <col min="12536" max="12536" width="13.140625" style="1" customWidth="1"/>
    <col min="12537" max="12537" width="9.140625" style="1"/>
    <col min="12538" max="12538" width="12.28515625" style="1" customWidth="1"/>
    <col min="12539" max="12539" width="14.28515625" style="1" customWidth="1"/>
    <col min="12540" max="12540" width="10.140625" style="1" customWidth="1"/>
    <col min="12541" max="12541" width="9.140625" style="1"/>
    <col min="12542" max="12542" width="12.42578125" style="1" customWidth="1"/>
    <col min="12543" max="12543" width="9.140625" style="1"/>
    <col min="12544" max="12544" width="11.28515625" style="1" customWidth="1"/>
    <col min="12545" max="12545" width="10.140625" style="1" customWidth="1"/>
    <col min="12546" max="12785" width="9.140625" style="1"/>
    <col min="12786" max="12786" width="20" style="1" customWidth="1"/>
    <col min="12787" max="12787" width="11.7109375" style="1" customWidth="1"/>
    <col min="12788" max="12788" width="11.140625" style="1" customWidth="1"/>
    <col min="12789" max="12789" width="11.42578125" style="1" customWidth="1"/>
    <col min="12790" max="12790" width="12.140625" style="1" customWidth="1"/>
    <col min="12791" max="12791" width="9.140625" style="1"/>
    <col min="12792" max="12792" width="13.140625" style="1" customWidth="1"/>
    <col min="12793" max="12793" width="9.140625" style="1"/>
    <col min="12794" max="12794" width="12.28515625" style="1" customWidth="1"/>
    <col min="12795" max="12795" width="14.28515625" style="1" customWidth="1"/>
    <col min="12796" max="12796" width="10.140625" style="1" customWidth="1"/>
    <col min="12797" max="12797" width="9.140625" style="1"/>
    <col min="12798" max="12798" width="12.42578125" style="1" customWidth="1"/>
    <col min="12799" max="12799" width="9.140625" style="1"/>
    <col min="12800" max="12800" width="11.28515625" style="1" customWidth="1"/>
    <col min="12801" max="12801" width="10.140625" style="1" customWidth="1"/>
    <col min="12802" max="13041" width="9.140625" style="1"/>
    <col min="13042" max="13042" width="20" style="1" customWidth="1"/>
    <col min="13043" max="13043" width="11.7109375" style="1" customWidth="1"/>
    <col min="13044" max="13044" width="11.140625" style="1" customWidth="1"/>
    <col min="13045" max="13045" width="11.42578125" style="1" customWidth="1"/>
    <col min="13046" max="13046" width="12.140625" style="1" customWidth="1"/>
    <col min="13047" max="13047" width="9.140625" style="1"/>
    <col min="13048" max="13048" width="13.140625" style="1" customWidth="1"/>
    <col min="13049" max="13049" width="9.140625" style="1"/>
    <col min="13050" max="13050" width="12.28515625" style="1" customWidth="1"/>
    <col min="13051" max="13051" width="14.28515625" style="1" customWidth="1"/>
    <col min="13052" max="13052" width="10.140625" style="1" customWidth="1"/>
    <col min="13053" max="13053" width="9.140625" style="1"/>
    <col min="13054" max="13054" width="12.42578125" style="1" customWidth="1"/>
    <col min="13055" max="13055" width="9.140625" style="1"/>
    <col min="13056" max="13056" width="11.28515625" style="1" customWidth="1"/>
    <col min="13057" max="13057" width="10.140625" style="1" customWidth="1"/>
    <col min="13058" max="13297" width="9.140625" style="1"/>
    <col min="13298" max="13298" width="20" style="1" customWidth="1"/>
    <col min="13299" max="13299" width="11.7109375" style="1" customWidth="1"/>
    <col min="13300" max="13300" width="11.140625" style="1" customWidth="1"/>
    <col min="13301" max="13301" width="11.42578125" style="1" customWidth="1"/>
    <col min="13302" max="13302" width="12.140625" style="1" customWidth="1"/>
    <col min="13303" max="13303" width="9.140625" style="1"/>
    <col min="13304" max="13304" width="13.140625" style="1" customWidth="1"/>
    <col min="13305" max="13305" width="9.140625" style="1"/>
    <col min="13306" max="13306" width="12.28515625" style="1" customWidth="1"/>
    <col min="13307" max="13307" width="14.28515625" style="1" customWidth="1"/>
    <col min="13308" max="13308" width="10.140625" style="1" customWidth="1"/>
    <col min="13309" max="13309" width="9.140625" style="1"/>
    <col min="13310" max="13310" width="12.42578125" style="1" customWidth="1"/>
    <col min="13311" max="13311" width="9.140625" style="1"/>
    <col min="13312" max="13312" width="11.28515625" style="1" customWidth="1"/>
    <col min="13313" max="13313" width="10.140625" style="1" customWidth="1"/>
    <col min="13314" max="13553" width="9.140625" style="1"/>
    <col min="13554" max="13554" width="20" style="1" customWidth="1"/>
    <col min="13555" max="13555" width="11.7109375" style="1" customWidth="1"/>
    <col min="13556" max="13556" width="11.140625" style="1" customWidth="1"/>
    <col min="13557" max="13557" width="11.42578125" style="1" customWidth="1"/>
    <col min="13558" max="13558" width="12.140625" style="1" customWidth="1"/>
    <col min="13559" max="13559" width="9.140625" style="1"/>
    <col min="13560" max="13560" width="13.140625" style="1" customWidth="1"/>
    <col min="13561" max="13561" width="9.140625" style="1"/>
    <col min="13562" max="13562" width="12.28515625" style="1" customWidth="1"/>
    <col min="13563" max="13563" width="14.28515625" style="1" customWidth="1"/>
    <col min="13564" max="13564" width="10.140625" style="1" customWidth="1"/>
    <col min="13565" max="13565" width="9.140625" style="1"/>
    <col min="13566" max="13566" width="12.42578125" style="1" customWidth="1"/>
    <col min="13567" max="13567" width="9.140625" style="1"/>
    <col min="13568" max="13568" width="11.28515625" style="1" customWidth="1"/>
    <col min="13569" max="13569" width="10.140625" style="1" customWidth="1"/>
    <col min="13570" max="13809" width="9.140625" style="1"/>
    <col min="13810" max="13810" width="20" style="1" customWidth="1"/>
    <col min="13811" max="13811" width="11.7109375" style="1" customWidth="1"/>
    <col min="13812" max="13812" width="11.140625" style="1" customWidth="1"/>
    <col min="13813" max="13813" width="11.42578125" style="1" customWidth="1"/>
    <col min="13814" max="13814" width="12.140625" style="1" customWidth="1"/>
    <col min="13815" max="13815" width="9.140625" style="1"/>
    <col min="13816" max="13816" width="13.140625" style="1" customWidth="1"/>
    <col min="13817" max="13817" width="9.140625" style="1"/>
    <col min="13818" max="13818" width="12.28515625" style="1" customWidth="1"/>
    <col min="13819" max="13819" width="14.28515625" style="1" customWidth="1"/>
    <col min="13820" max="13820" width="10.140625" style="1" customWidth="1"/>
    <col min="13821" max="13821" width="9.140625" style="1"/>
    <col min="13822" max="13822" width="12.42578125" style="1" customWidth="1"/>
    <col min="13823" max="13823" width="9.140625" style="1"/>
    <col min="13824" max="13824" width="11.28515625" style="1" customWidth="1"/>
    <col min="13825" max="13825" width="10.140625" style="1" customWidth="1"/>
    <col min="13826" max="14065" width="9.140625" style="1"/>
    <col min="14066" max="14066" width="20" style="1" customWidth="1"/>
    <col min="14067" max="14067" width="11.7109375" style="1" customWidth="1"/>
    <col min="14068" max="14068" width="11.140625" style="1" customWidth="1"/>
    <col min="14069" max="14069" width="11.42578125" style="1" customWidth="1"/>
    <col min="14070" max="14070" width="12.140625" style="1" customWidth="1"/>
    <col min="14071" max="14071" width="9.140625" style="1"/>
    <col min="14072" max="14072" width="13.140625" style="1" customWidth="1"/>
    <col min="14073" max="14073" width="9.140625" style="1"/>
    <col min="14074" max="14074" width="12.28515625" style="1" customWidth="1"/>
    <col min="14075" max="14075" width="14.28515625" style="1" customWidth="1"/>
    <col min="14076" max="14076" width="10.140625" style="1" customWidth="1"/>
    <col min="14077" max="14077" width="9.140625" style="1"/>
    <col min="14078" max="14078" width="12.42578125" style="1" customWidth="1"/>
    <col min="14079" max="14079" width="9.140625" style="1"/>
    <col min="14080" max="14080" width="11.28515625" style="1" customWidth="1"/>
    <col min="14081" max="14081" width="10.140625" style="1" customWidth="1"/>
    <col min="14082" max="14321" width="9.140625" style="1"/>
    <col min="14322" max="14322" width="20" style="1" customWidth="1"/>
    <col min="14323" max="14323" width="11.7109375" style="1" customWidth="1"/>
    <col min="14324" max="14324" width="11.140625" style="1" customWidth="1"/>
    <col min="14325" max="14325" width="11.42578125" style="1" customWidth="1"/>
    <col min="14326" max="14326" width="12.140625" style="1" customWidth="1"/>
    <col min="14327" max="14327" width="9.140625" style="1"/>
    <col min="14328" max="14328" width="13.140625" style="1" customWidth="1"/>
    <col min="14329" max="14329" width="9.140625" style="1"/>
    <col min="14330" max="14330" width="12.28515625" style="1" customWidth="1"/>
    <col min="14331" max="14331" width="14.28515625" style="1" customWidth="1"/>
    <col min="14332" max="14332" width="10.140625" style="1" customWidth="1"/>
    <col min="14333" max="14333" width="9.140625" style="1"/>
    <col min="14334" max="14334" width="12.42578125" style="1" customWidth="1"/>
    <col min="14335" max="14335" width="9.140625" style="1"/>
    <col min="14336" max="14336" width="11.28515625" style="1" customWidth="1"/>
    <col min="14337" max="14337" width="10.140625" style="1" customWidth="1"/>
    <col min="14338" max="14577" width="9.140625" style="1"/>
    <col min="14578" max="14578" width="20" style="1" customWidth="1"/>
    <col min="14579" max="14579" width="11.7109375" style="1" customWidth="1"/>
    <col min="14580" max="14580" width="11.140625" style="1" customWidth="1"/>
    <col min="14581" max="14581" width="11.42578125" style="1" customWidth="1"/>
    <col min="14582" max="14582" width="12.140625" style="1" customWidth="1"/>
    <col min="14583" max="14583" width="9.140625" style="1"/>
    <col min="14584" max="14584" width="13.140625" style="1" customWidth="1"/>
    <col min="14585" max="14585" width="9.140625" style="1"/>
    <col min="14586" max="14586" width="12.28515625" style="1" customWidth="1"/>
    <col min="14587" max="14587" width="14.28515625" style="1" customWidth="1"/>
    <col min="14588" max="14588" width="10.140625" style="1" customWidth="1"/>
    <col min="14589" max="14589" width="9.140625" style="1"/>
    <col min="14590" max="14590" width="12.42578125" style="1" customWidth="1"/>
    <col min="14591" max="14591" width="9.140625" style="1"/>
    <col min="14592" max="14592" width="11.28515625" style="1" customWidth="1"/>
    <col min="14593" max="14593" width="10.140625" style="1" customWidth="1"/>
    <col min="14594" max="14833" width="9.140625" style="1"/>
    <col min="14834" max="14834" width="20" style="1" customWidth="1"/>
    <col min="14835" max="14835" width="11.7109375" style="1" customWidth="1"/>
    <col min="14836" max="14836" width="11.140625" style="1" customWidth="1"/>
    <col min="14837" max="14837" width="11.42578125" style="1" customWidth="1"/>
    <col min="14838" max="14838" width="12.140625" style="1" customWidth="1"/>
    <col min="14839" max="14839" width="9.140625" style="1"/>
    <col min="14840" max="14840" width="13.140625" style="1" customWidth="1"/>
    <col min="14841" max="14841" width="9.140625" style="1"/>
    <col min="14842" max="14842" width="12.28515625" style="1" customWidth="1"/>
    <col min="14843" max="14843" width="14.28515625" style="1" customWidth="1"/>
    <col min="14844" max="14844" width="10.140625" style="1" customWidth="1"/>
    <col min="14845" max="14845" width="9.140625" style="1"/>
    <col min="14846" max="14846" width="12.42578125" style="1" customWidth="1"/>
    <col min="14847" max="14847" width="9.140625" style="1"/>
    <col min="14848" max="14848" width="11.28515625" style="1" customWidth="1"/>
    <col min="14849" max="14849" width="10.140625" style="1" customWidth="1"/>
    <col min="14850" max="15089" width="9.140625" style="1"/>
    <col min="15090" max="15090" width="20" style="1" customWidth="1"/>
    <col min="15091" max="15091" width="11.7109375" style="1" customWidth="1"/>
    <col min="15092" max="15092" width="11.140625" style="1" customWidth="1"/>
    <col min="15093" max="15093" width="11.42578125" style="1" customWidth="1"/>
    <col min="15094" max="15094" width="12.140625" style="1" customWidth="1"/>
    <col min="15095" max="15095" width="9.140625" style="1"/>
    <col min="15096" max="15096" width="13.140625" style="1" customWidth="1"/>
    <col min="15097" max="15097" width="9.140625" style="1"/>
    <col min="15098" max="15098" width="12.28515625" style="1" customWidth="1"/>
    <col min="15099" max="15099" width="14.28515625" style="1" customWidth="1"/>
    <col min="15100" max="15100" width="10.140625" style="1" customWidth="1"/>
    <col min="15101" max="15101" width="9.140625" style="1"/>
    <col min="15102" max="15102" width="12.42578125" style="1" customWidth="1"/>
    <col min="15103" max="15103" width="9.140625" style="1"/>
    <col min="15104" max="15104" width="11.28515625" style="1" customWidth="1"/>
    <col min="15105" max="15105" width="10.140625" style="1" customWidth="1"/>
    <col min="15106" max="15345" width="9.140625" style="1"/>
    <col min="15346" max="15346" width="20" style="1" customWidth="1"/>
    <col min="15347" max="15347" width="11.7109375" style="1" customWidth="1"/>
    <col min="15348" max="15348" width="11.140625" style="1" customWidth="1"/>
    <col min="15349" max="15349" width="11.42578125" style="1" customWidth="1"/>
    <col min="15350" max="15350" width="12.140625" style="1" customWidth="1"/>
    <col min="15351" max="15351" width="9.140625" style="1"/>
    <col min="15352" max="15352" width="13.140625" style="1" customWidth="1"/>
    <col min="15353" max="15353" width="9.140625" style="1"/>
    <col min="15354" max="15354" width="12.28515625" style="1" customWidth="1"/>
    <col min="15355" max="15355" width="14.28515625" style="1" customWidth="1"/>
    <col min="15356" max="15356" width="10.140625" style="1" customWidth="1"/>
    <col min="15357" max="15357" width="9.140625" style="1"/>
    <col min="15358" max="15358" width="12.42578125" style="1" customWidth="1"/>
    <col min="15359" max="15359" width="9.140625" style="1"/>
    <col min="15360" max="15360" width="11.28515625" style="1" customWidth="1"/>
    <col min="15361" max="15361" width="10.140625" style="1" customWidth="1"/>
    <col min="15362" max="15601" width="9.140625" style="1"/>
    <col min="15602" max="15602" width="20" style="1" customWidth="1"/>
    <col min="15603" max="15603" width="11.7109375" style="1" customWidth="1"/>
    <col min="15604" max="15604" width="11.140625" style="1" customWidth="1"/>
    <col min="15605" max="15605" width="11.42578125" style="1" customWidth="1"/>
    <col min="15606" max="15606" width="12.140625" style="1" customWidth="1"/>
    <col min="15607" max="15607" width="9.140625" style="1"/>
    <col min="15608" max="15608" width="13.140625" style="1" customWidth="1"/>
    <col min="15609" max="15609" width="9.140625" style="1"/>
    <col min="15610" max="15610" width="12.28515625" style="1" customWidth="1"/>
    <col min="15611" max="15611" width="14.28515625" style="1" customWidth="1"/>
    <col min="15612" max="15612" width="10.140625" style="1" customWidth="1"/>
    <col min="15613" max="15613" width="9.140625" style="1"/>
    <col min="15614" max="15614" width="12.42578125" style="1" customWidth="1"/>
    <col min="15615" max="15615" width="9.140625" style="1"/>
    <col min="15616" max="15616" width="11.28515625" style="1" customWidth="1"/>
    <col min="15617" max="15617" width="10.140625" style="1" customWidth="1"/>
    <col min="15618" max="15857" width="9.140625" style="1"/>
    <col min="15858" max="15858" width="20" style="1" customWidth="1"/>
    <col min="15859" max="15859" width="11.7109375" style="1" customWidth="1"/>
    <col min="15860" max="15860" width="11.140625" style="1" customWidth="1"/>
    <col min="15861" max="15861" width="11.42578125" style="1" customWidth="1"/>
    <col min="15862" max="15862" width="12.140625" style="1" customWidth="1"/>
    <col min="15863" max="15863" width="9.140625" style="1"/>
    <col min="15864" max="15864" width="13.140625" style="1" customWidth="1"/>
    <col min="15865" max="15865" width="9.140625" style="1"/>
    <col min="15866" max="15866" width="12.28515625" style="1" customWidth="1"/>
    <col min="15867" max="15867" width="14.28515625" style="1" customWidth="1"/>
    <col min="15868" max="15868" width="10.140625" style="1" customWidth="1"/>
    <col min="15869" max="15869" width="9.140625" style="1"/>
    <col min="15870" max="15870" width="12.42578125" style="1" customWidth="1"/>
    <col min="15871" max="15871" width="9.140625" style="1"/>
    <col min="15872" max="15872" width="11.28515625" style="1" customWidth="1"/>
    <col min="15873" max="15873" width="10.140625" style="1" customWidth="1"/>
    <col min="15874" max="16113" width="9.140625" style="1"/>
    <col min="16114" max="16114" width="20" style="1" customWidth="1"/>
    <col min="16115" max="16115" width="11.7109375" style="1" customWidth="1"/>
    <col min="16116" max="16116" width="11.140625" style="1" customWidth="1"/>
    <col min="16117" max="16117" width="11.42578125" style="1" customWidth="1"/>
    <col min="16118" max="16118" width="12.140625" style="1" customWidth="1"/>
    <col min="16119" max="16119" width="9.140625" style="1"/>
    <col min="16120" max="16120" width="13.140625" style="1" customWidth="1"/>
    <col min="16121" max="16121" width="9.140625" style="1"/>
    <col min="16122" max="16122" width="12.28515625" style="1" customWidth="1"/>
    <col min="16123" max="16123" width="14.28515625" style="1" customWidth="1"/>
    <col min="16124" max="16124" width="10.140625" style="1" customWidth="1"/>
    <col min="16125" max="16125" width="9.140625" style="1"/>
    <col min="16126" max="16126" width="12.42578125" style="1" customWidth="1"/>
    <col min="16127" max="16127" width="9.140625" style="1"/>
    <col min="16128" max="16128" width="11.28515625" style="1" customWidth="1"/>
    <col min="16129" max="16129" width="10.140625" style="1" customWidth="1"/>
    <col min="16130" max="16384" width="9.140625" style="1"/>
  </cols>
  <sheetData>
    <row r="1" spans="1:33" ht="15.75" customHeight="1" x14ac:dyDescent="0.2">
      <c r="A1" s="298" t="s">
        <v>1129</v>
      </c>
    </row>
    <row r="2" spans="1:33" ht="15.75" customHeight="1" x14ac:dyDescent="0.2">
      <c r="A2" s="106" t="s">
        <v>578</v>
      </c>
    </row>
    <row r="3" spans="1:33" ht="38.25" customHeight="1" x14ac:dyDescent="0.2">
      <c r="A3" s="120" t="s">
        <v>1519</v>
      </c>
      <c r="B3" s="120"/>
      <c r="C3" s="120"/>
      <c r="D3"/>
      <c r="E3" s="120"/>
      <c r="F3" s="120"/>
      <c r="G3" s="120"/>
      <c r="H3" s="120"/>
      <c r="I3" s="120"/>
      <c r="J3" s="120"/>
      <c r="S3"/>
      <c r="T3"/>
      <c r="U3"/>
      <c r="V3"/>
      <c r="W3"/>
    </row>
    <row r="4" spans="1:33" ht="15.75" customHeight="1" x14ac:dyDescent="0.25">
      <c r="A4" s="1099" t="s">
        <v>1484</v>
      </c>
      <c r="B4" s="120"/>
      <c r="C4" s="120"/>
      <c r="D4"/>
      <c r="E4" s="120"/>
      <c r="F4" s="120"/>
      <c r="G4" s="120"/>
      <c r="H4" s="120"/>
      <c r="I4" s="120"/>
      <c r="J4" s="120"/>
      <c r="S4"/>
      <c r="T4"/>
      <c r="U4"/>
      <c r="V4"/>
      <c r="W4"/>
    </row>
    <row r="5" spans="1:33" ht="15.75" customHeight="1" x14ac:dyDescent="0.25">
      <c r="A5" s="351" t="s">
        <v>579</v>
      </c>
      <c r="B5" s="1098" t="s">
        <v>1481</v>
      </c>
      <c r="D5" s="129"/>
      <c r="E5" s="129"/>
      <c r="F5" s="129"/>
      <c r="G5" s="129"/>
      <c r="H5" s="129"/>
      <c r="I5" s="373"/>
      <c r="J5" s="129"/>
      <c r="P5"/>
      <c r="S5"/>
      <c r="T5"/>
      <c r="U5"/>
      <c r="V5"/>
      <c r="W5"/>
    </row>
    <row r="6" spans="1:33" ht="15.75" customHeight="1" x14ac:dyDescent="0.25">
      <c r="A6" s="351" t="s">
        <v>580</v>
      </c>
      <c r="B6" s="351" t="s">
        <v>581</v>
      </c>
      <c r="C6" s="129"/>
      <c r="D6" s="129"/>
      <c r="E6" s="129"/>
      <c r="F6" s="129"/>
      <c r="G6" s="129"/>
      <c r="H6" s="129"/>
      <c r="I6" s="129"/>
      <c r="J6" s="129"/>
      <c r="P6"/>
      <c r="S6"/>
      <c r="T6"/>
      <c r="U6"/>
      <c r="V6"/>
      <c r="W6"/>
    </row>
    <row r="7" spans="1:33" ht="15.75" customHeight="1" x14ac:dyDescent="0.25">
      <c r="A7" s="351" t="s">
        <v>582</v>
      </c>
      <c r="B7" s="351" t="s">
        <v>585</v>
      </c>
      <c r="C7" s="129"/>
      <c r="D7" s="129"/>
      <c r="E7" s="129"/>
      <c r="F7" s="129"/>
      <c r="G7" s="129"/>
      <c r="H7" s="129"/>
      <c r="I7" s="129"/>
      <c r="J7" s="129"/>
      <c r="P7"/>
      <c r="S7"/>
      <c r="T7"/>
      <c r="U7"/>
      <c r="V7"/>
      <c r="W7"/>
    </row>
    <row r="8" spans="1:33" x14ac:dyDescent="0.2">
      <c r="P8"/>
      <c r="S8"/>
      <c r="T8"/>
      <c r="U8"/>
      <c r="V8"/>
      <c r="W8"/>
    </row>
    <row r="9" spans="1:33" ht="17.25" customHeight="1" x14ac:dyDescent="0.2">
      <c r="A9" s="1294" t="s">
        <v>4</v>
      </c>
      <c r="B9" s="1304" t="s">
        <v>1477</v>
      </c>
      <c r="C9" s="1305"/>
      <c r="D9" s="1306"/>
      <c r="E9" s="1288" t="s">
        <v>1478</v>
      </c>
      <c r="F9" s="1290"/>
      <c r="G9" s="1307" t="s">
        <v>1448</v>
      </c>
      <c r="H9" s="1308"/>
      <c r="I9" s="100"/>
      <c r="J9" s="100"/>
      <c r="K9" s="100"/>
      <c r="L9" s="100"/>
      <c r="M9" s="100"/>
      <c r="N9" s="100"/>
      <c r="O9" s="100"/>
      <c r="P9"/>
      <c r="S9"/>
      <c r="T9"/>
      <c r="U9"/>
      <c r="V9"/>
      <c r="W9"/>
    </row>
    <row r="10" spans="1:33" s="28" customFormat="1" ht="52.5" customHeight="1" x14ac:dyDescent="0.2">
      <c r="A10" s="1303"/>
      <c r="B10" s="337" t="s">
        <v>1471</v>
      </c>
      <c r="C10" s="337" t="s">
        <v>1472</v>
      </c>
      <c r="D10" s="337" t="s">
        <v>1473</v>
      </c>
      <c r="E10" s="337" t="s">
        <v>1474</v>
      </c>
      <c r="F10" s="337" t="s">
        <v>1475</v>
      </c>
      <c r="G10" s="337" t="s">
        <v>1474</v>
      </c>
      <c r="H10" s="337" t="s">
        <v>1475</v>
      </c>
      <c r="I10" s="145"/>
      <c r="J10" s="145"/>
      <c r="K10" s="145"/>
      <c r="L10" s="145"/>
      <c r="M10" s="145"/>
      <c r="N10" s="145"/>
      <c r="O10" s="145"/>
      <c r="P10"/>
      <c r="R10"/>
      <c r="S10"/>
      <c r="T10"/>
      <c r="U10"/>
      <c r="V10"/>
      <c r="W10"/>
      <c r="X10"/>
      <c r="Y10"/>
      <c r="Z10"/>
      <c r="AA10"/>
      <c r="AB10"/>
      <c r="AC10"/>
      <c r="AD10"/>
      <c r="AE10"/>
      <c r="AF10"/>
      <c r="AG10"/>
    </row>
    <row r="11" spans="1:33" ht="13.5" customHeight="1" x14ac:dyDescent="0.2">
      <c r="A11" s="274" t="str">
        <f>'T08'!A5</f>
        <v>2009-10</v>
      </c>
      <c r="B11" s="191">
        <f>MultiAll!H5</f>
        <v>1744</v>
      </c>
      <c r="C11" s="191">
        <f>MultiAll!G5</f>
        <v>738</v>
      </c>
      <c r="D11" s="191">
        <f>MultiAll!F5</f>
        <v>499</v>
      </c>
      <c r="E11" s="191">
        <f>MultiAll!C5</f>
        <v>120</v>
      </c>
      <c r="F11" s="191">
        <f>MultiAll!B5</f>
        <v>94</v>
      </c>
      <c r="G11" s="191">
        <f>MultiAll!E5</f>
        <v>14</v>
      </c>
      <c r="H11" s="191">
        <f>MultiAll!D5</f>
        <v>31</v>
      </c>
      <c r="I11" s="486"/>
      <c r="J11" s="486"/>
      <c r="K11" s="486"/>
      <c r="L11" s="486"/>
      <c r="M11" s="486"/>
      <c r="N11" s="486"/>
      <c r="O11" s="486"/>
      <c r="P11"/>
      <c r="Q11" s="191"/>
      <c r="R11" s="191"/>
      <c r="S11"/>
      <c r="T11"/>
      <c r="U11"/>
      <c r="V11"/>
      <c r="W11"/>
      <c r="X11"/>
      <c r="Y11"/>
      <c r="Z11"/>
      <c r="AA11"/>
      <c r="AB11"/>
      <c r="AC11"/>
      <c r="AD11"/>
      <c r="AE11"/>
      <c r="AF11"/>
      <c r="AG11"/>
    </row>
    <row r="12" spans="1:33" ht="13.5" customHeight="1" x14ac:dyDescent="0.2">
      <c r="A12" s="274" t="str">
        <f>'T08'!A6</f>
        <v>2010-11</v>
      </c>
      <c r="B12" s="191">
        <f>MultiAll!H6</f>
        <v>1616</v>
      </c>
      <c r="C12" s="191">
        <f>MultiAll!G6</f>
        <v>703</v>
      </c>
      <c r="D12" s="191">
        <f>MultiAll!F6</f>
        <v>433</v>
      </c>
      <c r="E12" s="191">
        <f>MultiAll!C6</f>
        <v>130</v>
      </c>
      <c r="F12" s="191">
        <f>MultiAll!B6</f>
        <v>107</v>
      </c>
      <c r="G12" s="191">
        <f>MultiAll!E6</f>
        <v>10</v>
      </c>
      <c r="H12" s="191">
        <f>MultiAll!D6</f>
        <v>36</v>
      </c>
      <c r="I12" s="486"/>
      <c r="J12" s="486"/>
      <c r="K12" s="486"/>
      <c r="L12" s="486"/>
      <c r="M12" s="486"/>
      <c r="N12" s="486"/>
      <c r="O12" s="486"/>
      <c r="P12"/>
      <c r="Q12" s="191"/>
      <c r="R12" s="191"/>
      <c r="S12"/>
      <c r="T12"/>
      <c r="U12"/>
      <c r="V12"/>
      <c r="W12"/>
    </row>
    <row r="13" spans="1:33" ht="13.5" customHeight="1" x14ac:dyDescent="0.2">
      <c r="A13" s="274" t="str">
        <f>'T08'!A7</f>
        <v>2011-12</v>
      </c>
      <c r="B13" s="191">
        <f>MultiAll!H7</f>
        <v>1551</v>
      </c>
      <c r="C13" s="191">
        <f>MultiAll!G7</f>
        <v>662</v>
      </c>
      <c r="D13" s="191">
        <f>MultiAll!F7</f>
        <v>475</v>
      </c>
      <c r="E13" s="191">
        <f>MultiAll!C7</f>
        <v>86</v>
      </c>
      <c r="F13" s="191">
        <f>MultiAll!B7</f>
        <v>105</v>
      </c>
      <c r="G13" s="191">
        <f>MultiAll!E7</f>
        <v>12</v>
      </c>
      <c r="H13" s="191">
        <f>MultiAll!D7</f>
        <v>22</v>
      </c>
      <c r="I13" s="486"/>
      <c r="J13" s="486"/>
      <c r="K13" s="486"/>
      <c r="L13" s="486"/>
      <c r="M13" s="486"/>
      <c r="N13" s="486"/>
      <c r="O13" s="486"/>
      <c r="P13"/>
      <c r="Q13" s="191"/>
      <c r="R13" s="191"/>
      <c r="S13"/>
      <c r="T13"/>
      <c r="U13"/>
      <c r="V13"/>
      <c r="W13"/>
    </row>
    <row r="14" spans="1:33" ht="13.5" customHeight="1" x14ac:dyDescent="0.2">
      <c r="A14" s="274" t="str">
        <f>'T08'!A8</f>
        <v>2012-13</v>
      </c>
      <c r="B14" s="191">
        <f>MultiAll!H8</f>
        <v>1262</v>
      </c>
      <c r="C14" s="191">
        <f>MultiAll!G8</f>
        <v>622</v>
      </c>
      <c r="D14" s="191">
        <f>MultiAll!F8</f>
        <v>376</v>
      </c>
      <c r="E14" s="191">
        <f>MultiAll!C8</f>
        <v>124</v>
      </c>
      <c r="F14" s="191">
        <f>MultiAll!B8</f>
        <v>118</v>
      </c>
      <c r="G14" s="191">
        <f>MultiAll!E8</f>
        <v>13</v>
      </c>
      <c r="H14" s="191">
        <f>MultiAll!D8</f>
        <v>22</v>
      </c>
      <c r="I14" s="486"/>
      <c r="J14" s="486"/>
      <c r="K14" s="486"/>
      <c r="L14" s="486"/>
      <c r="M14" s="486"/>
      <c r="N14" s="486"/>
      <c r="O14" s="486"/>
      <c r="P14"/>
      <c r="Q14" s="191"/>
      <c r="R14" s="191"/>
      <c r="S14"/>
      <c r="T14"/>
      <c r="U14"/>
      <c r="V14"/>
      <c r="W14"/>
    </row>
    <row r="15" spans="1:33" ht="13.5" customHeight="1" x14ac:dyDescent="0.2">
      <c r="A15" s="274" t="str">
        <f>'T08'!A9</f>
        <v>2013-14</v>
      </c>
      <c r="B15" s="191">
        <f>MultiAll!H9</f>
        <v>1061</v>
      </c>
      <c r="C15" s="191">
        <f>MultiAll!G9</f>
        <v>557</v>
      </c>
      <c r="D15" s="191">
        <f>MultiAll!F9</f>
        <v>345</v>
      </c>
      <c r="E15" s="191">
        <f>MultiAll!C9</f>
        <v>102</v>
      </c>
      <c r="F15" s="191">
        <f>MultiAll!B9</f>
        <v>119</v>
      </c>
      <c r="G15" s="191">
        <f>MultiAll!E9</f>
        <v>13</v>
      </c>
      <c r="H15" s="191">
        <f>MultiAll!D9</f>
        <v>31</v>
      </c>
      <c r="I15" s="486"/>
      <c r="J15" s="486"/>
      <c r="K15" s="486"/>
      <c r="L15" s="486"/>
      <c r="M15" s="486"/>
      <c r="N15" s="486"/>
      <c r="O15" s="486"/>
      <c r="P15"/>
      <c r="Q15" s="191"/>
      <c r="R15" s="191"/>
      <c r="S15"/>
      <c r="T15"/>
      <c r="U15"/>
      <c r="V15"/>
      <c r="W15"/>
    </row>
    <row r="16" spans="1:33" ht="13.5" customHeight="1" x14ac:dyDescent="0.2">
      <c r="A16" s="274" t="str">
        <f>'T08'!A10</f>
        <v>2014-15</v>
      </c>
      <c r="B16" s="191">
        <f>MultiAll!H10</f>
        <v>1164</v>
      </c>
      <c r="C16" s="191">
        <f>MultiAll!G10</f>
        <v>591</v>
      </c>
      <c r="D16" s="191">
        <f>MultiAll!F10</f>
        <v>275</v>
      </c>
      <c r="E16" s="191">
        <f>MultiAll!C10</f>
        <v>103</v>
      </c>
      <c r="F16" s="191">
        <f>MultiAll!B10</f>
        <v>101</v>
      </c>
      <c r="G16" s="191">
        <f>MultiAll!E10</f>
        <v>14</v>
      </c>
      <c r="H16" s="191">
        <f>MultiAll!D10</f>
        <v>18</v>
      </c>
      <c r="I16" s="486"/>
      <c r="J16" s="486"/>
      <c r="K16" s="486"/>
      <c r="L16" s="486"/>
      <c r="M16" s="486"/>
      <c r="N16" s="486"/>
      <c r="O16" s="486"/>
      <c r="P16"/>
      <c r="Q16" s="191"/>
      <c r="R16" s="191"/>
      <c r="S16"/>
      <c r="T16"/>
      <c r="U16"/>
      <c r="V16"/>
      <c r="W16"/>
    </row>
    <row r="17" spans="1:23" customFormat="1" ht="13.5" customHeight="1" x14ac:dyDescent="0.2">
      <c r="A17" s="274" t="str">
        <f>'T08'!A11</f>
        <v>2015-16</v>
      </c>
      <c r="B17" s="191">
        <f>MultiAll!H11</f>
        <v>1201</v>
      </c>
      <c r="C17" s="191">
        <f>MultiAll!G11</f>
        <v>518</v>
      </c>
      <c r="D17" s="191">
        <f>MultiAll!F11</f>
        <v>314</v>
      </c>
      <c r="E17" s="191">
        <f>MultiAll!C11</f>
        <v>93</v>
      </c>
      <c r="F17" s="191">
        <f>MultiAll!B11</f>
        <v>111</v>
      </c>
      <c r="G17" s="191">
        <f>MultiAll!E11</f>
        <v>15</v>
      </c>
      <c r="H17" s="191">
        <f>MultiAll!D11</f>
        <v>14</v>
      </c>
      <c r="I17" s="486"/>
      <c r="J17" s="486"/>
      <c r="K17" s="486"/>
      <c r="L17" s="486"/>
      <c r="M17" s="486"/>
      <c r="N17" s="486"/>
      <c r="O17" s="486"/>
      <c r="Q17" s="191"/>
      <c r="R17" s="191"/>
    </row>
    <row r="18" spans="1:23" customFormat="1" ht="13.5" customHeight="1" x14ac:dyDescent="0.2">
      <c r="A18" s="274" t="str">
        <f>'T08'!A12</f>
        <v>2016-17</v>
      </c>
      <c r="B18" s="191">
        <f>MultiAll!H12</f>
        <v>1152</v>
      </c>
      <c r="C18" s="191">
        <f>MultiAll!G12</f>
        <v>555</v>
      </c>
      <c r="D18" s="191">
        <f>MultiAll!F12</f>
        <v>238</v>
      </c>
      <c r="E18" s="191">
        <f>MultiAll!C12</f>
        <v>104</v>
      </c>
      <c r="F18" s="191">
        <f>MultiAll!B12</f>
        <v>97</v>
      </c>
      <c r="G18" s="191">
        <f>MultiAll!E12</f>
        <v>12</v>
      </c>
      <c r="H18" s="191">
        <f>MultiAll!D12</f>
        <v>21</v>
      </c>
      <c r="Q18" s="191"/>
      <c r="R18" s="191"/>
    </row>
    <row r="19" spans="1:23" customFormat="1" ht="13.5" customHeight="1" x14ac:dyDescent="0.2">
      <c r="A19" s="274" t="str">
        <f>'T08'!A13</f>
        <v>2017-18</v>
      </c>
      <c r="B19" s="191">
        <f>MultiAll!H13</f>
        <v>1175</v>
      </c>
      <c r="C19" s="191">
        <f>MultiAll!G13</f>
        <v>469</v>
      </c>
      <c r="D19" s="191">
        <f>MultiAll!F13</f>
        <v>273</v>
      </c>
      <c r="E19" s="191">
        <f>MultiAll!C13</f>
        <v>90</v>
      </c>
      <c r="F19" s="191">
        <f>MultiAll!B13</f>
        <v>92</v>
      </c>
      <c r="G19" s="191">
        <f>MultiAll!E13</f>
        <v>12</v>
      </c>
      <c r="H19" s="191">
        <f>MultiAll!D13</f>
        <v>26</v>
      </c>
      <c r="Q19" s="191"/>
      <c r="R19" s="191"/>
    </row>
    <row r="20" spans="1:23" customFormat="1" ht="13.5" customHeight="1" x14ac:dyDescent="0.2">
      <c r="A20" s="274" t="str">
        <f>'T08'!A14</f>
        <v>2018-19</v>
      </c>
      <c r="B20" s="191">
        <f>MultiAll!H14</f>
        <v>1092</v>
      </c>
      <c r="C20" s="191">
        <f>MultiAll!G14</f>
        <v>402</v>
      </c>
      <c r="D20" s="191">
        <f>MultiAll!F14</f>
        <v>271</v>
      </c>
      <c r="E20" s="191">
        <f>MultiAll!C14</f>
        <v>73</v>
      </c>
      <c r="F20" s="191">
        <f>MultiAll!B14</f>
        <v>118</v>
      </c>
      <c r="G20" s="191">
        <f>MultiAll!E14</f>
        <v>7</v>
      </c>
      <c r="H20" s="191">
        <f>MultiAll!D14</f>
        <v>19</v>
      </c>
      <c r="Q20" s="191"/>
      <c r="R20" s="191"/>
    </row>
    <row r="21" spans="1:23" customFormat="1" ht="13.5" customHeight="1" x14ac:dyDescent="0.2">
      <c r="A21" s="274" t="str">
        <f>'T08'!A15</f>
        <v>2019-20</v>
      </c>
      <c r="B21" s="191">
        <f>MultiAll!H15</f>
        <v>988</v>
      </c>
      <c r="C21" s="191">
        <f>MultiAll!G15</f>
        <v>390</v>
      </c>
      <c r="D21" s="191">
        <f>MultiAll!F15</f>
        <v>261</v>
      </c>
      <c r="E21" s="191">
        <f>MultiAll!C15</f>
        <v>97</v>
      </c>
      <c r="F21" s="191">
        <f>MultiAll!B15</f>
        <v>111</v>
      </c>
      <c r="G21" s="191">
        <f>MultiAll!E15</f>
        <v>19</v>
      </c>
      <c r="H21" s="191">
        <f>MultiAll!D15</f>
        <v>14</v>
      </c>
      <c r="Q21" s="191"/>
      <c r="R21" s="191"/>
    </row>
    <row r="22" spans="1:23" ht="15.75" thickBot="1" x14ac:dyDescent="0.25">
      <c r="A22" s="491" t="str">
        <f>'T08'!A16</f>
        <v>2020-21</v>
      </c>
      <c r="B22" s="492">
        <f>MultiAll!H16</f>
        <v>951</v>
      </c>
      <c r="C22" s="492">
        <f>MultiAll!G16</f>
        <v>338</v>
      </c>
      <c r="D22" s="492">
        <f>MultiAll!F16</f>
        <v>233</v>
      </c>
      <c r="E22" s="492">
        <f>MultiAll!C16</f>
        <v>73</v>
      </c>
      <c r="F22" s="492">
        <f>MultiAll!B16</f>
        <v>106</v>
      </c>
      <c r="G22" s="492">
        <f>MultiAll!E16</f>
        <v>6</v>
      </c>
      <c r="H22" s="492">
        <f>MultiAll!D16</f>
        <v>12</v>
      </c>
      <c r="I22"/>
      <c r="J22"/>
      <c r="K22"/>
      <c r="L22"/>
      <c r="M22"/>
      <c r="N22"/>
      <c r="O22"/>
      <c r="P22"/>
      <c r="Q22" s="601"/>
      <c r="R22" s="191"/>
      <c r="S22"/>
      <c r="T22"/>
      <c r="U22"/>
      <c r="V22"/>
      <c r="W22"/>
    </row>
    <row r="23" spans="1:23" ht="15" x14ac:dyDescent="0.2">
      <c r="A23" s="274"/>
      <c r="B23" s="601"/>
      <c r="C23" s="601"/>
      <c r="D23" s="601"/>
      <c r="E23" s="601"/>
      <c r="F23" s="601"/>
      <c r="G23" s="601"/>
      <c r="H23" s="601"/>
      <c r="I23"/>
      <c r="J23"/>
      <c r="K23"/>
      <c r="L23"/>
      <c r="M23"/>
      <c r="N23"/>
      <c r="O23"/>
      <c r="P23"/>
      <c r="Q23" s="601"/>
      <c r="R23" s="191"/>
      <c r="S23"/>
      <c r="T23"/>
      <c r="U23"/>
      <c r="V23"/>
      <c r="W23"/>
    </row>
    <row r="24" spans="1:23" ht="20.25" customHeight="1" x14ac:dyDescent="0.2">
      <c r="A24"/>
      <c r="B24" s="1302" t="s">
        <v>1555</v>
      </c>
      <c r="C24" s="1302"/>
      <c r="D24" s="1302"/>
      <c r="E24"/>
      <c r="F24"/>
      <c r="G24"/>
      <c r="H24"/>
      <c r="I24"/>
      <c r="J24"/>
      <c r="K24"/>
      <c r="L24"/>
      <c r="M24"/>
      <c r="N24"/>
      <c r="O24"/>
      <c r="P24"/>
      <c r="S24"/>
      <c r="T24"/>
      <c r="U24"/>
      <c r="V24"/>
      <c r="W24"/>
    </row>
    <row r="25" spans="1:23" ht="32.25" customHeight="1" x14ac:dyDescent="0.2">
      <c r="A25" s="1096" t="s">
        <v>4</v>
      </c>
      <c r="B25" s="1088" t="s">
        <v>1470</v>
      </c>
      <c r="C25" s="1088" t="s">
        <v>1469</v>
      </c>
      <c r="D25" s="1089" t="s">
        <v>1448</v>
      </c>
      <c r="E25"/>
      <c r="F25"/>
      <c r="G25"/>
      <c r="H25"/>
      <c r="I25"/>
      <c r="J25"/>
      <c r="K25"/>
      <c r="L25"/>
      <c r="M25"/>
      <c r="N25"/>
      <c r="O25"/>
      <c r="P25"/>
      <c r="S25"/>
      <c r="T25"/>
      <c r="U25"/>
      <c r="V25"/>
      <c r="W25"/>
    </row>
    <row r="26" spans="1:23" ht="15.75" customHeight="1" x14ac:dyDescent="0.2">
      <c r="A26" s="488" t="s">
        <v>19</v>
      </c>
      <c r="B26" s="191">
        <f>MultiOverSix!D5</f>
        <v>561</v>
      </c>
      <c r="C26" s="191">
        <f>MultiOverSix!B5</f>
        <v>9</v>
      </c>
      <c r="D26" s="191">
        <f>MultiOverSix!C5</f>
        <v>2</v>
      </c>
      <c r="E26"/>
      <c r="F26"/>
      <c r="G26"/>
      <c r="H26"/>
      <c r="I26"/>
      <c r="J26"/>
      <c r="K26"/>
      <c r="L26"/>
      <c r="M26"/>
      <c r="N26"/>
      <c r="O26"/>
      <c r="P26"/>
      <c r="S26"/>
      <c r="T26"/>
      <c r="U26"/>
      <c r="V26"/>
      <c r="W26"/>
    </row>
    <row r="27" spans="1:23" ht="15.75" customHeight="1" x14ac:dyDescent="0.2">
      <c r="A27" s="274" t="s">
        <v>20</v>
      </c>
      <c r="B27" s="191">
        <f>MultiOverSix!D6</f>
        <v>508</v>
      </c>
      <c r="C27" s="191">
        <f>MultiOverSix!B6</f>
        <v>8</v>
      </c>
      <c r="D27" s="191">
        <f>MultiOverSix!C6</f>
        <v>3</v>
      </c>
      <c r="E27"/>
      <c r="F27"/>
      <c r="G27"/>
      <c r="H27"/>
      <c r="I27"/>
      <c r="P27"/>
      <c r="S27"/>
      <c r="T27"/>
      <c r="U27"/>
      <c r="V27"/>
      <c r="W27"/>
    </row>
    <row r="28" spans="1:23" ht="15.75" customHeight="1" x14ac:dyDescent="0.2">
      <c r="A28" s="274" t="s">
        <v>13</v>
      </c>
      <c r="B28" s="191">
        <f>MultiOverSix!D7</f>
        <v>553</v>
      </c>
      <c r="C28" s="191">
        <f>MultiOverSix!B7</f>
        <v>5</v>
      </c>
      <c r="D28" s="191">
        <f>MultiOverSix!C7</f>
        <v>1</v>
      </c>
      <c r="E28"/>
      <c r="F28"/>
      <c r="G28"/>
      <c r="H28"/>
      <c r="I28"/>
      <c r="S28"/>
      <c r="T28"/>
      <c r="U28"/>
      <c r="V28"/>
      <c r="W28"/>
    </row>
    <row r="29" spans="1:23" ht="15.75" customHeight="1" x14ac:dyDescent="0.2">
      <c r="A29" s="274" t="s">
        <v>15</v>
      </c>
      <c r="B29" s="191">
        <f>MultiOverSix!D8</f>
        <v>448</v>
      </c>
      <c r="C29" s="191">
        <f>MultiOverSix!B8</f>
        <v>6</v>
      </c>
      <c r="D29" s="191">
        <f>MultiOverSix!C8</f>
        <v>2</v>
      </c>
      <c r="E29"/>
      <c r="F29"/>
      <c r="G29"/>
      <c r="H29"/>
      <c r="I29"/>
      <c r="S29"/>
      <c r="T29"/>
      <c r="U29"/>
      <c r="V29"/>
      <c r="W29"/>
    </row>
    <row r="30" spans="1:23" ht="15.75" customHeight="1" x14ac:dyDescent="0.2">
      <c r="A30" s="274" t="s">
        <v>17</v>
      </c>
      <c r="B30" s="191">
        <f>MultiOverSix!D9</f>
        <v>403</v>
      </c>
      <c r="C30" s="191">
        <f>MultiOverSix!B9</f>
        <v>3</v>
      </c>
      <c r="D30" s="191">
        <f>MultiOverSix!C9</f>
        <v>2</v>
      </c>
      <c r="E30"/>
      <c r="F30"/>
      <c r="G30"/>
      <c r="H30"/>
      <c r="I30"/>
      <c r="S30"/>
      <c r="T30"/>
      <c r="U30"/>
      <c r="V30"/>
      <c r="W30"/>
    </row>
    <row r="31" spans="1:23" ht="15.75" customHeight="1" x14ac:dyDescent="0.2">
      <c r="A31" s="274" t="s">
        <v>133</v>
      </c>
      <c r="B31" s="191">
        <f>MultiOverSix!D10</f>
        <v>336</v>
      </c>
      <c r="C31" s="191">
        <f>MultiOverSix!B10</f>
        <v>5</v>
      </c>
      <c r="D31" s="191">
        <f>MultiOverSix!C10</f>
        <v>1</v>
      </c>
      <c r="E31"/>
      <c r="F31"/>
      <c r="G31"/>
      <c r="H31"/>
      <c r="I31"/>
      <c r="S31"/>
      <c r="T31"/>
      <c r="U31"/>
      <c r="V31"/>
      <c r="W31"/>
    </row>
    <row r="32" spans="1:23" ht="15.75" customHeight="1" x14ac:dyDescent="0.2">
      <c r="A32" s="274" t="s">
        <v>144</v>
      </c>
      <c r="B32" s="191">
        <f>MultiOverSix!D11</f>
        <v>352</v>
      </c>
      <c r="C32" s="191">
        <f>MultiOverSix!B11</f>
        <v>4</v>
      </c>
      <c r="D32" s="191">
        <f>MultiOverSix!C11</f>
        <v>0</v>
      </c>
      <c r="E32"/>
      <c r="F32"/>
      <c r="G32"/>
      <c r="H32"/>
      <c r="I32"/>
      <c r="S32"/>
      <c r="T32"/>
      <c r="U32"/>
      <c r="V32"/>
      <c r="W32"/>
    </row>
    <row r="33" spans="1:23" ht="15.75" customHeight="1" x14ac:dyDescent="0.2">
      <c r="A33" s="274" t="s">
        <v>282</v>
      </c>
      <c r="B33" s="191">
        <f>MultiOverSix!D12</f>
        <v>316</v>
      </c>
      <c r="C33" s="191">
        <f>MultiOverSix!B12</f>
        <v>5</v>
      </c>
      <c r="D33" s="191">
        <f>MultiOverSix!C12</f>
        <v>2</v>
      </c>
      <c r="E33"/>
      <c r="F33"/>
      <c r="G33"/>
      <c r="H33"/>
      <c r="I33"/>
      <c r="S33"/>
      <c r="T33"/>
      <c r="U33"/>
      <c r="V33"/>
      <c r="W33"/>
    </row>
    <row r="34" spans="1:23" ht="15.75" customHeight="1" x14ac:dyDescent="0.2">
      <c r="A34" s="274" t="s">
        <v>311</v>
      </c>
      <c r="B34" s="191">
        <f>MultiOverSix!D13</f>
        <v>338</v>
      </c>
      <c r="C34" s="191">
        <f>MultiOverSix!B13</f>
        <v>10</v>
      </c>
      <c r="D34" s="191">
        <f>MultiOverSix!C13</f>
        <v>1</v>
      </c>
      <c r="E34"/>
      <c r="F34"/>
      <c r="G34"/>
      <c r="H34"/>
      <c r="I34"/>
      <c r="S34"/>
      <c r="T34"/>
      <c r="U34"/>
      <c r="V34"/>
      <c r="W34"/>
    </row>
    <row r="35" spans="1:23" ht="15.75" customHeight="1" x14ac:dyDescent="0.2">
      <c r="A35" s="274" t="s">
        <v>621</v>
      </c>
      <c r="B35" s="191">
        <f>MultiOverSix!D14</f>
        <v>316</v>
      </c>
      <c r="C35" s="191">
        <f>MultiOverSix!B14</f>
        <v>7</v>
      </c>
      <c r="D35" s="191">
        <f>MultiOverSix!C14</f>
        <v>1</v>
      </c>
      <c r="E35"/>
      <c r="F35"/>
      <c r="G35"/>
      <c r="H35"/>
      <c r="I35"/>
      <c r="S35"/>
      <c r="T35"/>
      <c r="U35"/>
      <c r="V35"/>
      <c r="W35"/>
    </row>
    <row r="36" spans="1:23" ht="15.75" customHeight="1" x14ac:dyDescent="0.2">
      <c r="A36" s="274" t="s">
        <v>1419</v>
      </c>
      <c r="B36" s="191">
        <f>MultiOverSix!D15</f>
        <v>323</v>
      </c>
      <c r="C36" s="191">
        <f>MultiOverSix!B15</f>
        <v>10</v>
      </c>
      <c r="D36" s="191">
        <f>MultiOverSix!C15</f>
        <v>0</v>
      </c>
      <c r="E36"/>
      <c r="F36"/>
      <c r="G36"/>
      <c r="H36"/>
      <c r="I36"/>
      <c r="S36"/>
      <c r="T36"/>
      <c r="U36"/>
      <c r="V36"/>
      <c r="W36"/>
    </row>
    <row r="37" spans="1:23" ht="15.75" customHeight="1" thickBot="1" x14ac:dyDescent="0.25">
      <c r="A37" s="491" t="s">
        <v>1572</v>
      </c>
      <c r="B37" s="492">
        <f>MultiOverSix!D16</f>
        <v>258</v>
      </c>
      <c r="C37" s="492">
        <f>MultiOverSix!B16</f>
        <v>4</v>
      </c>
      <c r="D37" s="492">
        <f>MultiOverSix!C16</f>
        <v>1</v>
      </c>
      <c r="E37" s="622"/>
      <c r="F37" s="622"/>
      <c r="G37" s="622"/>
      <c r="H37" s="622"/>
      <c r="I37" s="622"/>
      <c r="S37"/>
      <c r="T37"/>
      <c r="U37"/>
      <c r="V37"/>
      <c r="W37"/>
    </row>
    <row r="38" spans="1:23" ht="15.75" customHeight="1" x14ac:dyDescent="0.2">
      <c r="A38" s="621"/>
      <c r="B38" s="622"/>
      <c r="C38" s="622"/>
      <c r="D38" s="622"/>
      <c r="E38" s="622"/>
      <c r="F38" s="622"/>
      <c r="G38" s="622"/>
      <c r="H38" s="622"/>
      <c r="I38" s="622"/>
      <c r="S38"/>
      <c r="T38"/>
      <c r="U38"/>
      <c r="V38"/>
      <c r="W38"/>
    </row>
    <row r="39" spans="1:23" ht="15" customHeight="1" x14ac:dyDescent="0.2">
      <c r="A39" s="5" t="s">
        <v>146</v>
      </c>
      <c r="S39"/>
      <c r="T39"/>
      <c r="U39"/>
      <c r="V39"/>
      <c r="W39"/>
    </row>
    <row r="40" spans="1:23" ht="13.5" customHeight="1" x14ac:dyDescent="0.25">
      <c r="A40" s="1111" t="s">
        <v>1554</v>
      </c>
      <c r="B40"/>
      <c r="C40"/>
      <c r="D40"/>
      <c r="E40"/>
      <c r="F40"/>
      <c r="G40"/>
      <c r="H40"/>
      <c r="I40"/>
      <c r="Q40"/>
    </row>
    <row r="41" spans="1:23" ht="45" customHeight="1" x14ac:dyDescent="0.25">
      <c r="A41" s="1301" t="s">
        <v>1556</v>
      </c>
      <c r="B41" s="1301"/>
      <c r="C41" s="1301"/>
      <c r="D41" s="1301"/>
      <c r="E41" s="1301"/>
      <c r="F41" s="1301"/>
      <c r="G41" s="1301"/>
      <c r="H41" s="1301"/>
      <c r="I41" s="1301"/>
      <c r="Q41"/>
    </row>
    <row r="42" spans="1:23" ht="13.5" customHeight="1" x14ac:dyDescent="0.2">
      <c r="Q42"/>
    </row>
    <row r="43" spans="1:23" ht="13.5" customHeight="1" x14ac:dyDescent="0.2">
      <c r="Q43"/>
    </row>
    <row r="44" spans="1:23" ht="13.5" customHeight="1" x14ac:dyDescent="0.2">
      <c r="Q44"/>
    </row>
    <row r="45" spans="1:23" ht="13.5" customHeight="1" x14ac:dyDescent="0.2">
      <c r="Q45"/>
    </row>
    <row r="46" spans="1:23" ht="13.5" customHeight="1" x14ac:dyDescent="0.2">
      <c r="Q46"/>
    </row>
    <row r="47" spans="1:23" ht="13.5" customHeight="1" x14ac:dyDescent="0.2">
      <c r="Q47"/>
    </row>
    <row r="48" spans="1:23" ht="13.5" customHeight="1" x14ac:dyDescent="0.2">
      <c r="Q48"/>
    </row>
    <row r="49" spans="17:17" ht="13.5" customHeight="1" x14ac:dyDescent="0.2">
      <c r="Q49"/>
    </row>
    <row r="50" spans="17:17" ht="13.5" customHeight="1" x14ac:dyDescent="0.2">
      <c r="Q50"/>
    </row>
    <row r="51" spans="17:17" ht="13.5" customHeight="1" x14ac:dyDescent="0.2">
      <c r="Q51"/>
    </row>
    <row r="52" spans="17:17" ht="13.5" customHeight="1" x14ac:dyDescent="0.2">
      <c r="Q52"/>
    </row>
    <row r="53" spans="17:17" ht="13.5" customHeight="1" x14ac:dyDescent="0.2">
      <c r="Q53"/>
    </row>
    <row r="54" spans="17:17" ht="13.5" customHeight="1" x14ac:dyDescent="0.2">
      <c r="Q54"/>
    </row>
    <row r="55" spans="17:17" ht="13.5" customHeight="1" x14ac:dyDescent="0.2">
      <c r="Q55"/>
    </row>
    <row r="56" spans="17:17" ht="13.5" customHeight="1" x14ac:dyDescent="0.2">
      <c r="Q56"/>
    </row>
    <row r="57" spans="17:17" ht="13.5" customHeight="1" x14ac:dyDescent="0.2">
      <c r="Q57"/>
    </row>
    <row r="58" spans="17:17" ht="13.5" customHeight="1" x14ac:dyDescent="0.2">
      <c r="Q58"/>
    </row>
    <row r="59" spans="17:17" ht="13.5" customHeight="1" x14ac:dyDescent="0.2">
      <c r="Q59"/>
    </row>
    <row r="60" spans="17:17" ht="13.5" customHeight="1" x14ac:dyDescent="0.2">
      <c r="Q60"/>
    </row>
    <row r="61" spans="17:17" ht="13.5" customHeight="1" x14ac:dyDescent="0.2">
      <c r="Q61"/>
    </row>
    <row r="62" spans="17:17" ht="13.5" customHeight="1" x14ac:dyDescent="0.2">
      <c r="Q62"/>
    </row>
    <row r="63" spans="17:17" ht="13.5" customHeight="1" x14ac:dyDescent="0.2">
      <c r="Q63"/>
    </row>
    <row r="64" spans="17:17" ht="13.5" customHeight="1" x14ac:dyDescent="0.2">
      <c r="Q64"/>
    </row>
    <row r="65" spans="1:17" ht="13.5" customHeight="1" x14ac:dyDescent="0.2">
      <c r="Q65"/>
    </row>
    <row r="66" spans="1:17" ht="13.5" customHeight="1" x14ac:dyDescent="0.2">
      <c r="Q66"/>
    </row>
    <row r="67" spans="1:17" ht="13.5" customHeight="1" x14ac:dyDescent="0.2">
      <c r="Q67"/>
    </row>
    <row r="68" spans="1:17" ht="13.5" customHeight="1" x14ac:dyDescent="0.2">
      <c r="Q68"/>
    </row>
    <row r="69" spans="1:17" ht="13.5" customHeight="1" x14ac:dyDescent="0.2">
      <c r="Q69"/>
    </row>
    <row r="70" spans="1:17" ht="13.5" customHeight="1" x14ac:dyDescent="0.2">
      <c r="Q70"/>
    </row>
    <row r="71" spans="1:17" ht="14.25" customHeight="1" x14ac:dyDescent="0.2">
      <c r="Q71"/>
    </row>
    <row r="72" spans="1:17" ht="30" customHeight="1" x14ac:dyDescent="0.2"/>
    <row r="80" spans="1:17" x14ac:dyDescent="0.2">
      <c r="A80"/>
      <c r="B80"/>
      <c r="C80"/>
      <c r="D80"/>
      <c r="E80"/>
      <c r="F80"/>
      <c r="G80"/>
      <c r="H80"/>
      <c r="I80"/>
      <c r="J80"/>
      <c r="K80"/>
      <c r="L80"/>
      <c r="M80"/>
      <c r="N80"/>
      <c r="O80"/>
      <c r="P80"/>
    </row>
    <row r="81" spans="1:16" x14ac:dyDescent="0.2">
      <c r="A81"/>
      <c r="B81"/>
      <c r="C81"/>
      <c r="D81"/>
      <c r="E81"/>
      <c r="F81"/>
      <c r="G81"/>
      <c r="H81"/>
      <c r="I81"/>
      <c r="J81"/>
      <c r="K81"/>
      <c r="L81"/>
      <c r="M81"/>
      <c r="N81"/>
      <c r="O81"/>
      <c r="P81"/>
    </row>
    <row r="82" spans="1:16" x14ac:dyDescent="0.2">
      <c r="A82"/>
      <c r="B82"/>
      <c r="C82"/>
      <c r="D82"/>
      <c r="E82"/>
      <c r="F82"/>
      <c r="G82"/>
      <c r="H82"/>
      <c r="I82"/>
      <c r="J82"/>
      <c r="K82"/>
      <c r="L82"/>
      <c r="M82"/>
      <c r="N82"/>
      <c r="O82"/>
      <c r="P82"/>
    </row>
    <row r="83" spans="1:16" x14ac:dyDescent="0.2">
      <c r="A83"/>
      <c r="B83"/>
      <c r="C83"/>
      <c r="D83"/>
      <c r="E83"/>
      <c r="F83"/>
      <c r="G83"/>
      <c r="H83"/>
      <c r="I83"/>
      <c r="J83"/>
      <c r="K83"/>
      <c r="L83"/>
      <c r="M83"/>
      <c r="N83"/>
      <c r="O83"/>
      <c r="P83"/>
    </row>
    <row r="84" spans="1:16" x14ac:dyDescent="0.2">
      <c r="A84"/>
      <c r="B84"/>
      <c r="C84"/>
      <c r="D84"/>
      <c r="E84"/>
      <c r="F84"/>
      <c r="G84"/>
      <c r="H84"/>
      <c r="I84"/>
      <c r="J84"/>
      <c r="K84"/>
      <c r="L84"/>
      <c r="M84"/>
      <c r="N84"/>
      <c r="O84"/>
      <c r="P84"/>
    </row>
    <row r="85" spans="1:16" x14ac:dyDescent="0.2">
      <c r="A85"/>
      <c r="B85"/>
      <c r="C85"/>
      <c r="D85"/>
      <c r="E85"/>
      <c r="F85"/>
      <c r="G85"/>
      <c r="H85"/>
      <c r="I85"/>
      <c r="J85"/>
      <c r="K85"/>
      <c r="L85"/>
      <c r="M85"/>
      <c r="N85"/>
      <c r="O85"/>
      <c r="P85"/>
    </row>
    <row r="86" spans="1:16" x14ac:dyDescent="0.2">
      <c r="A86"/>
      <c r="B86"/>
      <c r="C86"/>
      <c r="D86"/>
      <c r="E86"/>
      <c r="F86"/>
      <c r="G86"/>
      <c r="H86"/>
      <c r="I86"/>
      <c r="J86"/>
      <c r="K86"/>
      <c r="L86"/>
      <c r="M86"/>
      <c r="N86"/>
      <c r="O86"/>
      <c r="P86"/>
    </row>
    <row r="87" spans="1:16" x14ac:dyDescent="0.2">
      <c r="A87"/>
      <c r="B87"/>
      <c r="C87"/>
      <c r="D87"/>
      <c r="E87"/>
      <c r="F87"/>
      <c r="G87"/>
      <c r="H87"/>
      <c r="I87"/>
      <c r="J87"/>
      <c r="K87"/>
      <c r="L87"/>
      <c r="M87"/>
      <c r="N87"/>
      <c r="O87"/>
      <c r="P87"/>
    </row>
    <row r="88" spans="1:16" x14ac:dyDescent="0.2">
      <c r="A88"/>
      <c r="B88"/>
      <c r="C88"/>
      <c r="D88"/>
      <c r="E88"/>
      <c r="F88"/>
      <c r="G88"/>
      <c r="H88"/>
      <c r="I88"/>
      <c r="J88"/>
      <c r="K88"/>
      <c r="L88"/>
      <c r="M88"/>
      <c r="N88"/>
      <c r="O88"/>
      <c r="P88"/>
    </row>
    <row r="89" spans="1:16" x14ac:dyDescent="0.2">
      <c r="A89"/>
      <c r="B89"/>
      <c r="C89"/>
      <c r="D89"/>
      <c r="E89"/>
      <c r="F89"/>
      <c r="G89"/>
      <c r="H89"/>
      <c r="I89"/>
      <c r="J89"/>
      <c r="K89"/>
      <c r="L89"/>
      <c r="M89"/>
      <c r="N89"/>
      <c r="O89"/>
      <c r="P89"/>
    </row>
    <row r="90" spans="1:16" x14ac:dyDescent="0.2">
      <c r="A90"/>
      <c r="B90"/>
      <c r="C90"/>
      <c r="D90"/>
      <c r="E90"/>
      <c r="F90"/>
      <c r="G90"/>
      <c r="H90"/>
      <c r="I90"/>
      <c r="J90"/>
      <c r="K90"/>
      <c r="L90"/>
      <c r="M90"/>
      <c r="N90"/>
      <c r="O90"/>
      <c r="P90"/>
    </row>
    <row r="91" spans="1:16" x14ac:dyDescent="0.2">
      <c r="A91"/>
      <c r="B91"/>
      <c r="C91"/>
      <c r="D91"/>
      <c r="E91"/>
      <c r="F91"/>
      <c r="G91"/>
      <c r="H91"/>
      <c r="I91"/>
      <c r="J91"/>
      <c r="K91"/>
      <c r="L91"/>
      <c r="M91"/>
      <c r="N91"/>
      <c r="O91"/>
      <c r="P91"/>
    </row>
    <row r="92" spans="1:16" x14ac:dyDescent="0.2">
      <c r="A92"/>
      <c r="B92"/>
      <c r="C92"/>
      <c r="D92"/>
      <c r="E92"/>
      <c r="F92"/>
      <c r="G92"/>
      <c r="H92"/>
      <c r="I92"/>
      <c r="J92"/>
      <c r="K92"/>
      <c r="L92"/>
      <c r="M92"/>
      <c r="N92"/>
      <c r="O92"/>
      <c r="P92"/>
    </row>
    <row r="93" spans="1:16" x14ac:dyDescent="0.2">
      <c r="A93"/>
      <c r="B93"/>
      <c r="C93"/>
      <c r="D93"/>
      <c r="E93"/>
      <c r="F93"/>
      <c r="G93"/>
      <c r="H93"/>
      <c r="I93"/>
      <c r="J93"/>
      <c r="K93"/>
      <c r="L93"/>
      <c r="M93"/>
      <c r="N93"/>
      <c r="O93"/>
      <c r="P93"/>
    </row>
    <row r="94" spans="1:16" x14ac:dyDescent="0.2">
      <c r="A94"/>
      <c r="B94"/>
      <c r="C94"/>
      <c r="D94"/>
      <c r="E94"/>
      <c r="F94"/>
      <c r="G94"/>
      <c r="H94"/>
      <c r="I94"/>
      <c r="J94"/>
      <c r="K94"/>
      <c r="L94"/>
      <c r="M94"/>
      <c r="N94"/>
      <c r="O94"/>
      <c r="P94"/>
    </row>
    <row r="95" spans="1:16" x14ac:dyDescent="0.2">
      <c r="A95"/>
      <c r="B95"/>
      <c r="C95"/>
      <c r="D95"/>
      <c r="E95"/>
      <c r="F95"/>
      <c r="G95"/>
      <c r="H95"/>
      <c r="I95"/>
      <c r="J95"/>
      <c r="K95"/>
      <c r="L95"/>
      <c r="M95"/>
      <c r="N95"/>
      <c r="O95"/>
      <c r="P95"/>
    </row>
    <row r="96" spans="1:16" x14ac:dyDescent="0.2">
      <c r="A96"/>
      <c r="B96"/>
      <c r="C96"/>
      <c r="D96"/>
      <c r="E96"/>
      <c r="F96"/>
      <c r="G96"/>
      <c r="H96"/>
      <c r="I96"/>
      <c r="J96"/>
      <c r="K96"/>
      <c r="L96"/>
      <c r="M96"/>
      <c r="N96"/>
      <c r="O96"/>
      <c r="P96"/>
    </row>
    <row r="97" spans="1:16" x14ac:dyDescent="0.2">
      <c r="A97"/>
      <c r="B97"/>
      <c r="C97"/>
      <c r="D97"/>
      <c r="E97"/>
      <c r="F97"/>
      <c r="G97"/>
      <c r="H97"/>
      <c r="I97"/>
      <c r="J97"/>
      <c r="K97"/>
      <c r="L97"/>
      <c r="M97"/>
      <c r="N97"/>
      <c r="O97"/>
      <c r="P97"/>
    </row>
    <row r="98" spans="1:16" x14ac:dyDescent="0.2">
      <c r="A98"/>
      <c r="B98"/>
      <c r="C98"/>
      <c r="D98"/>
      <c r="E98"/>
      <c r="F98"/>
      <c r="G98"/>
      <c r="H98"/>
      <c r="I98"/>
      <c r="J98"/>
      <c r="K98"/>
      <c r="L98"/>
      <c r="M98"/>
      <c r="N98"/>
      <c r="O98"/>
      <c r="P98"/>
    </row>
    <row r="99" spans="1:16" x14ac:dyDescent="0.2">
      <c r="A99"/>
      <c r="B99"/>
      <c r="C99"/>
      <c r="D99"/>
      <c r="E99"/>
      <c r="F99"/>
      <c r="G99"/>
      <c r="H99"/>
      <c r="I99"/>
      <c r="J99"/>
      <c r="K99"/>
      <c r="L99"/>
      <c r="M99"/>
      <c r="N99"/>
      <c r="O99"/>
      <c r="P99"/>
    </row>
    <row r="100" spans="1:16" x14ac:dyDescent="0.2">
      <c r="A100"/>
      <c r="B100"/>
      <c r="C100"/>
      <c r="D100"/>
      <c r="E100"/>
      <c r="F100"/>
      <c r="G100"/>
      <c r="H100"/>
      <c r="I100"/>
      <c r="J100"/>
      <c r="K100"/>
      <c r="L100"/>
      <c r="M100"/>
      <c r="N100"/>
      <c r="O100"/>
      <c r="P100"/>
    </row>
    <row r="101" spans="1:16" x14ac:dyDescent="0.2">
      <c r="A101"/>
      <c r="B101"/>
      <c r="C101"/>
      <c r="D101"/>
      <c r="E101"/>
      <c r="F101"/>
      <c r="G101"/>
      <c r="H101"/>
      <c r="I101"/>
      <c r="J101"/>
      <c r="K101"/>
      <c r="L101"/>
      <c r="M101"/>
      <c r="N101"/>
      <c r="O101"/>
      <c r="P101"/>
    </row>
    <row r="102" spans="1:16" x14ac:dyDescent="0.2">
      <c r="A102"/>
      <c r="B102"/>
      <c r="C102"/>
      <c r="D102"/>
      <c r="E102"/>
      <c r="F102"/>
      <c r="G102"/>
      <c r="H102"/>
      <c r="I102"/>
      <c r="J102"/>
      <c r="K102"/>
      <c r="L102"/>
      <c r="M102"/>
      <c r="N102"/>
      <c r="O102"/>
      <c r="P102"/>
    </row>
    <row r="103" spans="1:16" x14ac:dyDescent="0.2">
      <c r="A103"/>
      <c r="B103"/>
      <c r="C103"/>
      <c r="D103"/>
      <c r="E103"/>
      <c r="F103"/>
      <c r="G103"/>
      <c r="H103"/>
      <c r="I103"/>
      <c r="J103"/>
      <c r="K103"/>
      <c r="L103"/>
      <c r="M103"/>
      <c r="N103"/>
      <c r="O103"/>
      <c r="P103"/>
    </row>
    <row r="104" spans="1:16" x14ac:dyDescent="0.2">
      <c r="A104"/>
      <c r="B104"/>
      <c r="C104"/>
      <c r="D104"/>
      <c r="E104"/>
      <c r="F104"/>
      <c r="G104"/>
      <c r="H104"/>
      <c r="I104"/>
      <c r="J104"/>
      <c r="K104"/>
      <c r="L104"/>
      <c r="M104"/>
      <c r="N104"/>
      <c r="O104"/>
      <c r="P104"/>
    </row>
    <row r="105" spans="1:16" x14ac:dyDescent="0.2">
      <c r="A105"/>
      <c r="B105"/>
      <c r="C105"/>
      <c r="D105"/>
      <c r="E105"/>
      <c r="F105"/>
      <c r="G105"/>
      <c r="H105"/>
      <c r="I105"/>
      <c r="J105"/>
      <c r="K105"/>
      <c r="L105"/>
      <c r="M105"/>
      <c r="N105"/>
      <c r="O105"/>
      <c r="P105"/>
    </row>
    <row r="106" spans="1:16" x14ac:dyDescent="0.2">
      <c r="A106"/>
      <c r="B106"/>
      <c r="C106"/>
      <c r="D106"/>
      <c r="E106"/>
      <c r="F106"/>
      <c r="G106"/>
      <c r="H106"/>
      <c r="I106"/>
      <c r="J106"/>
      <c r="K106"/>
      <c r="L106"/>
      <c r="M106"/>
      <c r="N106"/>
      <c r="O106"/>
      <c r="P106"/>
    </row>
    <row r="107" spans="1:16" x14ac:dyDescent="0.2">
      <c r="A107"/>
      <c r="B107"/>
      <c r="C107"/>
      <c r="D107"/>
      <c r="E107"/>
      <c r="F107"/>
      <c r="G107"/>
      <c r="H107"/>
      <c r="I107"/>
      <c r="J107"/>
      <c r="K107"/>
      <c r="L107"/>
      <c r="M107"/>
      <c r="N107"/>
      <c r="O107"/>
      <c r="P107"/>
    </row>
    <row r="108" spans="1:16" x14ac:dyDescent="0.2">
      <c r="A108"/>
      <c r="B108"/>
      <c r="C108"/>
      <c r="D108"/>
      <c r="E108"/>
      <c r="F108"/>
      <c r="G108"/>
      <c r="H108"/>
      <c r="I108"/>
      <c r="J108"/>
      <c r="K108"/>
      <c r="L108"/>
      <c r="M108"/>
      <c r="N108"/>
      <c r="O108"/>
      <c r="P108"/>
    </row>
    <row r="109" spans="1:16" x14ac:dyDescent="0.2">
      <c r="A109"/>
      <c r="B109"/>
      <c r="C109"/>
      <c r="D109"/>
      <c r="E109"/>
      <c r="F109"/>
      <c r="G109"/>
      <c r="H109"/>
      <c r="I109"/>
      <c r="J109"/>
      <c r="K109"/>
      <c r="L109"/>
      <c r="M109"/>
      <c r="N109"/>
      <c r="O109"/>
      <c r="P109"/>
    </row>
  </sheetData>
  <sheetProtection algorithmName="SHA-512" hashValue="Y0kx8x/M5Puq9+7FwSytNk7vIvV28Wn0a1eM0cZ0cYDJxkwlvD7rh18XtBS2WESHIOfXRg/UHPqnaEY6H+pmRQ==" saltValue="sSEC3siuUCW88Seo/ZZyHA==" spinCount="100000" sheet="1" scenarios="1" formatCells="0" formatColumns="0" formatRows="0" sort="0" autoFilter="0" pivotTables="0"/>
  <mergeCells count="6">
    <mergeCell ref="A41:I41"/>
    <mergeCell ref="B24:D24"/>
    <mergeCell ref="A9:A10"/>
    <mergeCell ref="B9:D9"/>
    <mergeCell ref="E9:F9"/>
    <mergeCell ref="G9:H9"/>
  </mergeCells>
  <hyperlinks>
    <hyperlink ref="A2" location="'Table of Contents'!A1" display="Back to Table of Contents" xr:uid="{00000000-0004-0000-1400-000000000000}"/>
  </hyperlinks>
  <pageMargins left="0.7" right="0.7" top="0.75" bottom="0.75" header="0.3" footer="0.3"/>
  <pageSetup paperSize="9" orientation="portrait" r:id="rId1"/>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pageSetUpPr fitToPage="1"/>
  </sheetPr>
  <dimension ref="A1:J138"/>
  <sheetViews>
    <sheetView zoomScale="85" zoomScaleNormal="85" workbookViewId="0">
      <pane ySplit="4" topLeftCell="A118"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6.42578125" bestFit="1" customWidth="1"/>
    <col min="3" max="3" width="42.85546875" bestFit="1" customWidth="1"/>
    <col min="4" max="4" width="12.42578125" bestFit="1" customWidth="1"/>
    <col min="5" max="6" width="7.85546875" bestFit="1" customWidth="1"/>
    <col min="7" max="7" width="6.7109375" bestFit="1" customWidth="1"/>
    <col min="8" max="8" width="4.7109375" bestFit="1" customWidth="1"/>
    <col min="9" max="9" width="9.140625" bestFit="1" customWidth="1"/>
    <col min="10" max="10" width="11.140625" bestFit="1" customWidth="1"/>
  </cols>
  <sheetData>
    <row r="1" spans="1:10" x14ac:dyDescent="0.2"/>
    <row r="4" spans="1:10" x14ac:dyDescent="0.2">
      <c r="A4" s="1223" t="s">
        <v>4</v>
      </c>
      <c r="B4" s="1223" t="s">
        <v>563</v>
      </c>
      <c r="C4" s="1223" t="s">
        <v>1771</v>
      </c>
      <c r="D4" s="1223" t="s">
        <v>1772</v>
      </c>
      <c r="E4" s="1223" t="s">
        <v>1786</v>
      </c>
      <c r="F4" s="1223" t="s">
        <v>1787</v>
      </c>
      <c r="G4" s="1223" t="s">
        <v>158</v>
      </c>
      <c r="H4" s="1223" t="s">
        <v>159</v>
      </c>
      <c r="I4" s="1223" t="s">
        <v>183</v>
      </c>
      <c r="J4" s="1223" t="s">
        <v>1783</v>
      </c>
    </row>
    <row r="5" spans="1:10" x14ac:dyDescent="0.2">
      <c r="A5" s="1186" t="s">
        <v>19</v>
      </c>
      <c r="B5" s="1186" t="s">
        <v>421</v>
      </c>
      <c r="C5" s="1186" t="s">
        <v>424</v>
      </c>
      <c r="D5" s="1186">
        <v>3</v>
      </c>
      <c r="E5" s="1186">
        <v>2699931</v>
      </c>
      <c r="F5" s="1186">
        <v>2531969</v>
      </c>
      <c r="G5" s="1186"/>
      <c r="H5" s="1186">
        <v>3</v>
      </c>
      <c r="I5" s="1186"/>
      <c r="J5" s="1186"/>
    </row>
    <row r="6" spans="1:10" x14ac:dyDescent="0.2">
      <c r="A6" s="1186" t="s">
        <v>19</v>
      </c>
      <c r="B6" s="1186" t="s">
        <v>421</v>
      </c>
      <c r="C6" s="1186" t="s">
        <v>427</v>
      </c>
      <c r="D6" s="1186">
        <v>10</v>
      </c>
      <c r="E6" s="1186">
        <v>2699931</v>
      </c>
      <c r="F6" s="1186">
        <v>2531969</v>
      </c>
      <c r="G6" s="1186"/>
      <c r="H6" s="1186">
        <v>10</v>
      </c>
      <c r="I6" s="1186"/>
      <c r="J6" s="1186"/>
    </row>
    <row r="7" spans="1:10" x14ac:dyDescent="0.2">
      <c r="A7" s="1186" t="s">
        <v>19</v>
      </c>
      <c r="B7" s="1186" t="s">
        <v>421</v>
      </c>
      <c r="C7" s="1186" t="s">
        <v>429</v>
      </c>
      <c r="D7" s="1186">
        <v>2</v>
      </c>
      <c r="E7" s="1186">
        <v>2699931</v>
      </c>
      <c r="F7" s="1186">
        <v>2531969</v>
      </c>
      <c r="G7" s="1186"/>
      <c r="H7" s="1186">
        <v>2</v>
      </c>
      <c r="I7" s="1186"/>
      <c r="J7" s="1186"/>
    </row>
    <row r="8" spans="1:10" x14ac:dyDescent="0.2">
      <c r="A8" s="1186" t="s">
        <v>19</v>
      </c>
      <c r="B8" s="1186" t="s">
        <v>421</v>
      </c>
      <c r="C8" s="1186" t="s">
        <v>430</v>
      </c>
      <c r="D8" s="1186">
        <v>3</v>
      </c>
      <c r="E8" s="1186">
        <v>2699931</v>
      </c>
      <c r="F8" s="1186">
        <v>2531969</v>
      </c>
      <c r="G8" s="1186"/>
      <c r="H8" s="1186">
        <v>3</v>
      </c>
      <c r="I8" s="1186"/>
      <c r="J8" s="1186"/>
    </row>
    <row r="9" spans="1:10" x14ac:dyDescent="0.2">
      <c r="A9" s="1186" t="s">
        <v>19</v>
      </c>
      <c r="B9" s="1186" t="s">
        <v>414</v>
      </c>
      <c r="C9" s="1186" t="s">
        <v>424</v>
      </c>
      <c r="D9" s="1186">
        <v>152</v>
      </c>
      <c r="E9" s="1186">
        <v>2699931</v>
      </c>
      <c r="F9" s="1186">
        <v>2531969</v>
      </c>
      <c r="G9" s="1186">
        <v>50</v>
      </c>
      <c r="H9" s="1186">
        <v>102</v>
      </c>
      <c r="I9" s="1186"/>
      <c r="J9" s="1186"/>
    </row>
    <row r="10" spans="1:10" x14ac:dyDescent="0.2">
      <c r="A10" s="1186" t="s">
        <v>19</v>
      </c>
      <c r="B10" s="1186" t="s">
        <v>414</v>
      </c>
      <c r="C10" s="1186" t="s">
        <v>425</v>
      </c>
      <c r="D10" s="1186">
        <v>31</v>
      </c>
      <c r="E10" s="1186">
        <v>2699931</v>
      </c>
      <c r="F10" s="1186">
        <v>2531969</v>
      </c>
      <c r="G10" s="1186">
        <v>13</v>
      </c>
      <c r="H10" s="1186">
        <v>18</v>
      </c>
      <c r="I10" s="1186"/>
      <c r="J10" s="1186"/>
    </row>
    <row r="11" spans="1:10" x14ac:dyDescent="0.2">
      <c r="A11" s="1186" t="s">
        <v>19</v>
      </c>
      <c r="B11" s="1186" t="s">
        <v>414</v>
      </c>
      <c r="C11" s="1186" t="s">
        <v>426</v>
      </c>
      <c r="D11" s="1186">
        <v>569</v>
      </c>
      <c r="E11" s="1186">
        <v>2699931</v>
      </c>
      <c r="F11" s="1186">
        <v>2531969</v>
      </c>
      <c r="G11" s="1186">
        <v>244</v>
      </c>
      <c r="H11" s="1186">
        <v>319</v>
      </c>
      <c r="I11" s="1186">
        <v>5</v>
      </c>
      <c r="J11" s="1186">
        <v>1</v>
      </c>
    </row>
    <row r="12" spans="1:10" x14ac:dyDescent="0.2">
      <c r="A12" s="1186" t="s">
        <v>19</v>
      </c>
      <c r="B12" s="1186" t="s">
        <v>414</v>
      </c>
      <c r="C12" s="1186" t="s">
        <v>427</v>
      </c>
      <c r="D12" s="1186">
        <v>43</v>
      </c>
      <c r="E12" s="1186">
        <v>2699931</v>
      </c>
      <c r="F12" s="1186">
        <v>2531969</v>
      </c>
      <c r="G12" s="1186">
        <v>10</v>
      </c>
      <c r="H12" s="1186">
        <v>32</v>
      </c>
      <c r="I12" s="1186">
        <v>1</v>
      </c>
      <c r="J12" s="1186"/>
    </row>
    <row r="13" spans="1:10" x14ac:dyDescent="0.2">
      <c r="A13" s="1186" t="s">
        <v>19</v>
      </c>
      <c r="B13" s="1186" t="s">
        <v>414</v>
      </c>
      <c r="C13" s="1186" t="s">
        <v>428</v>
      </c>
      <c r="D13" s="1186">
        <v>23</v>
      </c>
      <c r="E13" s="1186">
        <v>2699931</v>
      </c>
      <c r="F13" s="1186">
        <v>2531969</v>
      </c>
      <c r="G13" s="1186">
        <v>17</v>
      </c>
      <c r="H13" s="1186">
        <v>6</v>
      </c>
      <c r="I13" s="1186"/>
      <c r="J13" s="1186"/>
    </row>
    <row r="14" spans="1:10" x14ac:dyDescent="0.2">
      <c r="A14" s="1186" t="s">
        <v>19</v>
      </c>
      <c r="B14" s="1186" t="s">
        <v>414</v>
      </c>
      <c r="C14" s="1186" t="s">
        <v>429</v>
      </c>
      <c r="D14" s="1186">
        <v>252</v>
      </c>
      <c r="E14" s="1186">
        <v>2699931</v>
      </c>
      <c r="F14" s="1186">
        <v>2531969</v>
      </c>
      <c r="G14" s="1186">
        <v>120</v>
      </c>
      <c r="H14" s="1186">
        <v>132</v>
      </c>
      <c r="I14" s="1186"/>
      <c r="J14" s="1186"/>
    </row>
    <row r="15" spans="1:10" x14ac:dyDescent="0.2">
      <c r="A15" s="1186" t="s">
        <v>19</v>
      </c>
      <c r="B15" s="1186" t="s">
        <v>414</v>
      </c>
      <c r="C15" s="1186" t="s">
        <v>430</v>
      </c>
      <c r="D15" s="1186">
        <v>135</v>
      </c>
      <c r="E15" s="1186">
        <v>2699931</v>
      </c>
      <c r="F15" s="1186">
        <v>2531969</v>
      </c>
      <c r="G15" s="1186">
        <v>69</v>
      </c>
      <c r="H15" s="1186">
        <v>63</v>
      </c>
      <c r="I15" s="1186">
        <v>1</v>
      </c>
      <c r="J15" s="1186">
        <v>2</v>
      </c>
    </row>
    <row r="16" spans="1:10" x14ac:dyDescent="0.2">
      <c r="A16" s="1186" t="s">
        <v>20</v>
      </c>
      <c r="B16" s="1186" t="s">
        <v>421</v>
      </c>
      <c r="C16" s="1186" t="s">
        <v>424</v>
      </c>
      <c r="D16" s="1186">
        <v>2</v>
      </c>
      <c r="E16" s="1186">
        <v>2713982</v>
      </c>
      <c r="F16" s="1186">
        <v>2548218</v>
      </c>
      <c r="G16" s="1186"/>
      <c r="H16" s="1186">
        <v>2</v>
      </c>
      <c r="I16" s="1186"/>
      <c r="J16" s="1186"/>
    </row>
    <row r="17" spans="1:10" x14ac:dyDescent="0.2">
      <c r="A17" s="1186" t="s">
        <v>20</v>
      </c>
      <c r="B17" s="1186" t="s">
        <v>421</v>
      </c>
      <c r="C17" s="1186" t="s">
        <v>426</v>
      </c>
      <c r="D17" s="1186">
        <v>7</v>
      </c>
      <c r="E17" s="1186">
        <v>2713982</v>
      </c>
      <c r="F17" s="1186">
        <v>2548218</v>
      </c>
      <c r="G17" s="1186"/>
      <c r="H17" s="1186">
        <v>7</v>
      </c>
      <c r="I17" s="1186"/>
      <c r="J17" s="1186"/>
    </row>
    <row r="18" spans="1:10" x14ac:dyDescent="0.2">
      <c r="A18" s="1186" t="s">
        <v>20</v>
      </c>
      <c r="B18" s="1186" t="s">
        <v>421</v>
      </c>
      <c r="C18" s="1186" t="s">
        <v>427</v>
      </c>
      <c r="D18" s="1186">
        <v>9</v>
      </c>
      <c r="E18" s="1186">
        <v>2713982</v>
      </c>
      <c r="F18" s="1186">
        <v>2548218</v>
      </c>
      <c r="G18" s="1186"/>
      <c r="H18" s="1186">
        <v>9</v>
      </c>
      <c r="I18" s="1186"/>
      <c r="J18" s="1186"/>
    </row>
    <row r="19" spans="1:10" x14ac:dyDescent="0.2">
      <c r="A19" s="1186" t="s">
        <v>20</v>
      </c>
      <c r="B19" s="1186" t="s">
        <v>421</v>
      </c>
      <c r="C19" s="1186" t="s">
        <v>428</v>
      </c>
      <c r="D19" s="1186">
        <v>1</v>
      </c>
      <c r="E19" s="1186">
        <v>2713982</v>
      </c>
      <c r="F19" s="1186">
        <v>2548218</v>
      </c>
      <c r="G19" s="1186"/>
      <c r="H19" s="1186">
        <v>1</v>
      </c>
      <c r="I19" s="1186"/>
      <c r="J19" s="1186"/>
    </row>
    <row r="20" spans="1:10" x14ac:dyDescent="0.2">
      <c r="A20" s="1186" t="s">
        <v>20</v>
      </c>
      <c r="B20" s="1186" t="s">
        <v>421</v>
      </c>
      <c r="C20" s="1186" t="s">
        <v>429</v>
      </c>
      <c r="D20" s="1186">
        <v>5</v>
      </c>
      <c r="E20" s="1186">
        <v>2713982</v>
      </c>
      <c r="F20" s="1186">
        <v>2548218</v>
      </c>
      <c r="G20" s="1186"/>
      <c r="H20" s="1186">
        <v>5</v>
      </c>
      <c r="I20" s="1186"/>
      <c r="J20" s="1186"/>
    </row>
    <row r="21" spans="1:10" x14ac:dyDescent="0.2">
      <c r="A21" s="1186" t="s">
        <v>20</v>
      </c>
      <c r="B21" s="1186" t="s">
        <v>421</v>
      </c>
      <c r="C21" s="1186" t="s">
        <v>430</v>
      </c>
      <c r="D21" s="1186">
        <v>4</v>
      </c>
      <c r="E21" s="1186">
        <v>2713982</v>
      </c>
      <c r="F21" s="1186">
        <v>2548218</v>
      </c>
      <c r="G21" s="1186"/>
      <c r="H21" s="1186">
        <v>4</v>
      </c>
      <c r="I21" s="1186"/>
      <c r="J21" s="1186"/>
    </row>
    <row r="22" spans="1:10" x14ac:dyDescent="0.2">
      <c r="A22" s="1186" t="s">
        <v>20</v>
      </c>
      <c r="B22" s="1186" t="s">
        <v>414</v>
      </c>
      <c r="C22" s="1186" t="s">
        <v>424</v>
      </c>
      <c r="D22" s="1186">
        <v>157</v>
      </c>
      <c r="E22" s="1186">
        <v>2713982</v>
      </c>
      <c r="F22" s="1186">
        <v>2548218</v>
      </c>
      <c r="G22" s="1186">
        <v>49</v>
      </c>
      <c r="H22" s="1186">
        <v>108</v>
      </c>
      <c r="I22" s="1186"/>
      <c r="J22" s="1186"/>
    </row>
    <row r="23" spans="1:10" x14ac:dyDescent="0.2">
      <c r="A23" s="1186" t="s">
        <v>20</v>
      </c>
      <c r="B23" s="1186" t="s">
        <v>414</v>
      </c>
      <c r="C23" s="1186" t="s">
        <v>425</v>
      </c>
      <c r="D23" s="1186">
        <v>49</v>
      </c>
      <c r="E23" s="1186">
        <v>2713982</v>
      </c>
      <c r="F23" s="1186">
        <v>2548218</v>
      </c>
      <c r="G23" s="1186">
        <v>12</v>
      </c>
      <c r="H23" s="1186">
        <v>37</v>
      </c>
      <c r="I23" s="1186"/>
      <c r="J23" s="1186"/>
    </row>
    <row r="24" spans="1:10" x14ac:dyDescent="0.2">
      <c r="A24" s="1186" t="s">
        <v>20</v>
      </c>
      <c r="B24" s="1186" t="s">
        <v>414</v>
      </c>
      <c r="C24" s="1186" t="s">
        <v>426</v>
      </c>
      <c r="D24" s="1186">
        <v>651</v>
      </c>
      <c r="E24" s="1186">
        <v>2713982</v>
      </c>
      <c r="F24" s="1186">
        <v>2548218</v>
      </c>
      <c r="G24" s="1186">
        <v>297</v>
      </c>
      <c r="H24" s="1186">
        <v>350</v>
      </c>
      <c r="I24" s="1186">
        <v>4</v>
      </c>
      <c r="J24" s="1186"/>
    </row>
    <row r="25" spans="1:10" x14ac:dyDescent="0.2">
      <c r="A25" s="1186" t="s">
        <v>20</v>
      </c>
      <c r="B25" s="1186" t="s">
        <v>414</v>
      </c>
      <c r="C25" s="1186" t="s">
        <v>427</v>
      </c>
      <c r="D25" s="1186">
        <v>32</v>
      </c>
      <c r="E25" s="1186">
        <v>2713982</v>
      </c>
      <c r="F25" s="1186">
        <v>2548218</v>
      </c>
      <c r="G25" s="1186">
        <v>12</v>
      </c>
      <c r="H25" s="1186">
        <v>20</v>
      </c>
      <c r="I25" s="1186"/>
      <c r="J25" s="1186"/>
    </row>
    <row r="26" spans="1:10" x14ac:dyDescent="0.2">
      <c r="A26" s="1186" t="s">
        <v>20</v>
      </c>
      <c r="B26" s="1186" t="s">
        <v>414</v>
      </c>
      <c r="C26" s="1186" t="s">
        <v>428</v>
      </c>
      <c r="D26" s="1186">
        <v>29</v>
      </c>
      <c r="E26" s="1186">
        <v>2713982</v>
      </c>
      <c r="F26" s="1186">
        <v>2548218</v>
      </c>
      <c r="G26" s="1186">
        <v>21</v>
      </c>
      <c r="H26" s="1186">
        <v>8</v>
      </c>
      <c r="I26" s="1186"/>
      <c r="J26" s="1186"/>
    </row>
    <row r="27" spans="1:10" x14ac:dyDescent="0.2">
      <c r="A27" s="1186" t="s">
        <v>20</v>
      </c>
      <c r="B27" s="1186" t="s">
        <v>414</v>
      </c>
      <c r="C27" s="1186" t="s">
        <v>429</v>
      </c>
      <c r="D27" s="1186">
        <v>239</v>
      </c>
      <c r="E27" s="1186">
        <v>2713982</v>
      </c>
      <c r="F27" s="1186">
        <v>2548218</v>
      </c>
      <c r="G27" s="1186">
        <v>120</v>
      </c>
      <c r="H27" s="1186">
        <v>119</v>
      </c>
      <c r="I27" s="1186"/>
      <c r="J27" s="1186"/>
    </row>
    <row r="28" spans="1:10" x14ac:dyDescent="0.2">
      <c r="A28" s="1186" t="s">
        <v>20</v>
      </c>
      <c r="B28" s="1186" t="s">
        <v>414</v>
      </c>
      <c r="C28" s="1186" t="s">
        <v>430</v>
      </c>
      <c r="D28" s="1186">
        <v>147</v>
      </c>
      <c r="E28" s="1186">
        <v>2713982</v>
      </c>
      <c r="F28" s="1186">
        <v>2548218</v>
      </c>
      <c r="G28" s="1186">
        <v>59</v>
      </c>
      <c r="H28" s="1186">
        <v>87</v>
      </c>
      <c r="I28" s="1186"/>
      <c r="J28" s="1186">
        <v>1</v>
      </c>
    </row>
    <row r="29" spans="1:10" x14ac:dyDescent="0.2">
      <c r="A29" s="1186" t="s">
        <v>13</v>
      </c>
      <c r="B29" s="1186" t="s">
        <v>421</v>
      </c>
      <c r="C29" s="1186" t="s">
        <v>424</v>
      </c>
      <c r="D29" s="1186">
        <v>1</v>
      </c>
      <c r="E29" s="1186">
        <v>2729600</v>
      </c>
      <c r="F29" s="1186">
        <v>2570300</v>
      </c>
      <c r="G29" s="1186"/>
      <c r="H29" s="1186">
        <v>1</v>
      </c>
      <c r="I29" s="1186"/>
      <c r="J29" s="1186"/>
    </row>
    <row r="30" spans="1:10" x14ac:dyDescent="0.2">
      <c r="A30" s="1186" t="s">
        <v>13</v>
      </c>
      <c r="B30" s="1186" t="s">
        <v>421</v>
      </c>
      <c r="C30" s="1186" t="s">
        <v>426</v>
      </c>
      <c r="D30" s="1186">
        <v>1</v>
      </c>
      <c r="E30" s="1186">
        <v>2729600</v>
      </c>
      <c r="F30" s="1186">
        <v>2570300</v>
      </c>
      <c r="G30" s="1186"/>
      <c r="H30" s="1186">
        <v>1</v>
      </c>
      <c r="I30" s="1186"/>
      <c r="J30" s="1186"/>
    </row>
    <row r="31" spans="1:10" x14ac:dyDescent="0.2">
      <c r="A31" s="1186" t="s">
        <v>13</v>
      </c>
      <c r="B31" s="1186" t="s">
        <v>421</v>
      </c>
      <c r="C31" s="1186" t="s">
        <v>427</v>
      </c>
      <c r="D31" s="1186">
        <v>8</v>
      </c>
      <c r="E31" s="1186">
        <v>2729600</v>
      </c>
      <c r="F31" s="1186">
        <v>2570300</v>
      </c>
      <c r="G31" s="1186"/>
      <c r="H31" s="1186">
        <v>8</v>
      </c>
      <c r="I31" s="1186"/>
      <c r="J31" s="1186"/>
    </row>
    <row r="32" spans="1:10" x14ac:dyDescent="0.2">
      <c r="A32" s="1186" t="s">
        <v>13</v>
      </c>
      <c r="B32" s="1186" t="s">
        <v>421</v>
      </c>
      <c r="C32" s="1186" t="s">
        <v>428</v>
      </c>
      <c r="D32" s="1186">
        <v>3</v>
      </c>
      <c r="E32" s="1186">
        <v>2729600</v>
      </c>
      <c r="F32" s="1186">
        <v>2570300</v>
      </c>
      <c r="G32" s="1186"/>
      <c r="H32" s="1186">
        <v>3</v>
      </c>
      <c r="I32" s="1186"/>
      <c r="J32" s="1186"/>
    </row>
    <row r="33" spans="1:10" x14ac:dyDescent="0.2">
      <c r="A33" s="1186" t="s">
        <v>13</v>
      </c>
      <c r="B33" s="1186" t="s">
        <v>421</v>
      </c>
      <c r="C33" s="1186" t="s">
        <v>429</v>
      </c>
      <c r="D33" s="1186">
        <v>7</v>
      </c>
      <c r="E33" s="1186">
        <v>2729600</v>
      </c>
      <c r="F33" s="1186">
        <v>2570300</v>
      </c>
      <c r="G33" s="1186"/>
      <c r="H33" s="1186">
        <v>7</v>
      </c>
      <c r="I33" s="1186"/>
      <c r="J33" s="1186"/>
    </row>
    <row r="34" spans="1:10" x14ac:dyDescent="0.2">
      <c r="A34" s="1186" t="s">
        <v>13</v>
      </c>
      <c r="B34" s="1186" t="s">
        <v>421</v>
      </c>
      <c r="C34" s="1186" t="s">
        <v>430</v>
      </c>
      <c r="D34" s="1186">
        <v>8</v>
      </c>
      <c r="E34" s="1186">
        <v>2729600</v>
      </c>
      <c r="F34" s="1186">
        <v>2570300</v>
      </c>
      <c r="G34" s="1186"/>
      <c r="H34" s="1186">
        <v>8</v>
      </c>
      <c r="I34" s="1186"/>
      <c r="J34" s="1186"/>
    </row>
    <row r="35" spans="1:10" x14ac:dyDescent="0.2">
      <c r="A35" s="1186" t="s">
        <v>13</v>
      </c>
      <c r="B35" s="1186" t="s">
        <v>414</v>
      </c>
      <c r="C35" s="1186" t="s">
        <v>424</v>
      </c>
      <c r="D35" s="1186">
        <v>147</v>
      </c>
      <c r="E35" s="1186">
        <v>2729600</v>
      </c>
      <c r="F35" s="1186">
        <v>2570300</v>
      </c>
      <c r="G35" s="1186">
        <v>60</v>
      </c>
      <c r="H35" s="1186">
        <v>87</v>
      </c>
      <c r="I35" s="1186"/>
      <c r="J35" s="1186"/>
    </row>
    <row r="36" spans="1:10" x14ac:dyDescent="0.2">
      <c r="A36" s="1186" t="s">
        <v>13</v>
      </c>
      <c r="B36" s="1186" t="s">
        <v>414</v>
      </c>
      <c r="C36" s="1186" t="s">
        <v>425</v>
      </c>
      <c r="D36" s="1186">
        <v>40</v>
      </c>
      <c r="E36" s="1186">
        <v>2729600</v>
      </c>
      <c r="F36" s="1186">
        <v>2570300</v>
      </c>
      <c r="G36" s="1186">
        <v>18</v>
      </c>
      <c r="H36" s="1186">
        <v>22</v>
      </c>
      <c r="I36" s="1186"/>
      <c r="J36" s="1186"/>
    </row>
    <row r="37" spans="1:10" x14ac:dyDescent="0.2">
      <c r="A37" s="1186" t="s">
        <v>13</v>
      </c>
      <c r="B37" s="1186" t="s">
        <v>414</v>
      </c>
      <c r="C37" s="1186" t="s">
        <v>426</v>
      </c>
      <c r="D37" s="1186">
        <v>680</v>
      </c>
      <c r="E37" s="1186">
        <v>2729600</v>
      </c>
      <c r="F37" s="1186">
        <v>2570300</v>
      </c>
      <c r="G37" s="1186">
        <v>301</v>
      </c>
      <c r="H37" s="1186">
        <v>360</v>
      </c>
      <c r="I37" s="1186">
        <v>17</v>
      </c>
      <c r="J37" s="1186">
        <v>2</v>
      </c>
    </row>
    <row r="38" spans="1:10" x14ac:dyDescent="0.2">
      <c r="A38" s="1186" t="s">
        <v>13</v>
      </c>
      <c r="B38" s="1186" t="s">
        <v>414</v>
      </c>
      <c r="C38" s="1186" t="s">
        <v>427</v>
      </c>
      <c r="D38" s="1186">
        <v>48</v>
      </c>
      <c r="E38" s="1186">
        <v>2729600</v>
      </c>
      <c r="F38" s="1186">
        <v>2570300</v>
      </c>
      <c r="G38" s="1186">
        <v>19</v>
      </c>
      <c r="H38" s="1186">
        <v>29</v>
      </c>
      <c r="I38" s="1186"/>
      <c r="J38" s="1186"/>
    </row>
    <row r="39" spans="1:10" x14ac:dyDescent="0.2">
      <c r="A39" s="1186" t="s">
        <v>13</v>
      </c>
      <c r="B39" s="1186" t="s">
        <v>414</v>
      </c>
      <c r="C39" s="1186" t="s">
        <v>428</v>
      </c>
      <c r="D39" s="1186">
        <v>34</v>
      </c>
      <c r="E39" s="1186">
        <v>2729600</v>
      </c>
      <c r="F39" s="1186">
        <v>2570300</v>
      </c>
      <c r="G39" s="1186">
        <v>27</v>
      </c>
      <c r="H39" s="1186">
        <v>7</v>
      </c>
      <c r="I39" s="1186"/>
      <c r="J39" s="1186"/>
    </row>
    <row r="40" spans="1:10" x14ac:dyDescent="0.2">
      <c r="A40" s="1186" t="s">
        <v>13</v>
      </c>
      <c r="B40" s="1186" t="s">
        <v>414</v>
      </c>
      <c r="C40" s="1186" t="s">
        <v>429</v>
      </c>
      <c r="D40" s="1186">
        <v>282</v>
      </c>
      <c r="E40" s="1186">
        <v>2729600</v>
      </c>
      <c r="F40" s="1186">
        <v>2570300</v>
      </c>
      <c r="G40" s="1186">
        <v>139</v>
      </c>
      <c r="H40" s="1186">
        <v>139</v>
      </c>
      <c r="I40" s="1186">
        <v>4</v>
      </c>
      <c r="J40" s="1186"/>
    </row>
    <row r="41" spans="1:10" x14ac:dyDescent="0.2">
      <c r="A41" s="1186" t="s">
        <v>13</v>
      </c>
      <c r="B41" s="1186" t="s">
        <v>414</v>
      </c>
      <c r="C41" s="1186" t="s">
        <v>430</v>
      </c>
      <c r="D41" s="1186">
        <v>155</v>
      </c>
      <c r="E41" s="1186">
        <v>2729600</v>
      </c>
      <c r="F41" s="1186">
        <v>2570300</v>
      </c>
      <c r="G41" s="1186">
        <v>85</v>
      </c>
      <c r="H41" s="1186">
        <v>70</v>
      </c>
      <c r="I41" s="1186"/>
      <c r="J41" s="1186"/>
    </row>
    <row r="42" spans="1:10" x14ac:dyDescent="0.2">
      <c r="A42" s="1186" t="s">
        <v>15</v>
      </c>
      <c r="B42" s="1186" t="s">
        <v>421</v>
      </c>
      <c r="C42" s="1186" t="s">
        <v>424</v>
      </c>
      <c r="D42" s="1186">
        <v>5</v>
      </c>
      <c r="E42" s="1186">
        <v>2736310</v>
      </c>
      <c r="F42" s="1186">
        <v>2577290</v>
      </c>
      <c r="G42" s="1186"/>
      <c r="H42" s="1186">
        <v>5</v>
      </c>
      <c r="I42" s="1186"/>
      <c r="J42" s="1186"/>
    </row>
    <row r="43" spans="1:10" x14ac:dyDescent="0.2">
      <c r="A43" s="1186" t="s">
        <v>15</v>
      </c>
      <c r="B43" s="1186" t="s">
        <v>421</v>
      </c>
      <c r="C43" s="1186" t="s">
        <v>427</v>
      </c>
      <c r="D43" s="1186">
        <v>6</v>
      </c>
      <c r="E43" s="1186">
        <v>2736310</v>
      </c>
      <c r="F43" s="1186">
        <v>2577290</v>
      </c>
      <c r="G43" s="1186"/>
      <c r="H43" s="1186">
        <v>6</v>
      </c>
      <c r="I43" s="1186"/>
      <c r="J43" s="1186"/>
    </row>
    <row r="44" spans="1:10" x14ac:dyDescent="0.2">
      <c r="A44" s="1186" t="s">
        <v>15</v>
      </c>
      <c r="B44" s="1186" t="s">
        <v>421</v>
      </c>
      <c r="C44" s="1186" t="s">
        <v>429</v>
      </c>
      <c r="D44" s="1186">
        <v>6</v>
      </c>
      <c r="E44" s="1186">
        <v>2736310</v>
      </c>
      <c r="F44" s="1186">
        <v>2577290</v>
      </c>
      <c r="G44" s="1186"/>
      <c r="H44" s="1186">
        <v>6</v>
      </c>
      <c r="I44" s="1186"/>
      <c r="J44" s="1186"/>
    </row>
    <row r="45" spans="1:10" x14ac:dyDescent="0.2">
      <c r="A45" s="1186" t="s">
        <v>15</v>
      </c>
      <c r="B45" s="1186" t="s">
        <v>421</v>
      </c>
      <c r="C45" s="1186" t="s">
        <v>430</v>
      </c>
      <c r="D45" s="1186">
        <v>1</v>
      </c>
      <c r="E45" s="1186">
        <v>2736310</v>
      </c>
      <c r="F45" s="1186">
        <v>2577290</v>
      </c>
      <c r="G45" s="1186"/>
      <c r="H45" s="1186">
        <v>1</v>
      </c>
      <c r="I45" s="1186"/>
      <c r="J45" s="1186"/>
    </row>
    <row r="46" spans="1:10" x14ac:dyDescent="0.2">
      <c r="A46" s="1186" t="s">
        <v>15</v>
      </c>
      <c r="B46" s="1186" t="s">
        <v>414</v>
      </c>
      <c r="C46" s="1186" t="s">
        <v>424</v>
      </c>
      <c r="D46" s="1186">
        <v>135</v>
      </c>
      <c r="E46" s="1186">
        <v>2736310</v>
      </c>
      <c r="F46" s="1186">
        <v>2577290</v>
      </c>
      <c r="G46" s="1186">
        <v>51</v>
      </c>
      <c r="H46" s="1186">
        <v>84</v>
      </c>
      <c r="I46" s="1186"/>
      <c r="J46" s="1186"/>
    </row>
    <row r="47" spans="1:10" x14ac:dyDescent="0.2">
      <c r="A47" s="1186" t="s">
        <v>15</v>
      </c>
      <c r="B47" s="1186" t="s">
        <v>414</v>
      </c>
      <c r="C47" s="1186" t="s">
        <v>425</v>
      </c>
      <c r="D47" s="1186">
        <v>20</v>
      </c>
      <c r="E47" s="1186">
        <v>2736310</v>
      </c>
      <c r="F47" s="1186">
        <v>2577290</v>
      </c>
      <c r="G47" s="1186">
        <v>9</v>
      </c>
      <c r="H47" s="1186">
        <v>11</v>
      </c>
      <c r="I47" s="1186"/>
      <c r="J47" s="1186"/>
    </row>
    <row r="48" spans="1:10" x14ac:dyDescent="0.2">
      <c r="A48" s="1186" t="s">
        <v>15</v>
      </c>
      <c r="B48" s="1186" t="s">
        <v>414</v>
      </c>
      <c r="C48" s="1186" t="s">
        <v>426</v>
      </c>
      <c r="D48" s="1186">
        <v>708</v>
      </c>
      <c r="E48" s="1186">
        <v>2736310</v>
      </c>
      <c r="F48" s="1186">
        <v>2577290</v>
      </c>
      <c r="G48" s="1186">
        <v>329</v>
      </c>
      <c r="H48" s="1186">
        <v>376</v>
      </c>
      <c r="I48" s="1186">
        <v>3</v>
      </c>
      <c r="J48" s="1186"/>
    </row>
    <row r="49" spans="1:10" x14ac:dyDescent="0.2">
      <c r="A49" s="1186" t="s">
        <v>15</v>
      </c>
      <c r="B49" s="1186" t="s">
        <v>414</v>
      </c>
      <c r="C49" s="1186" t="s">
        <v>427</v>
      </c>
      <c r="D49" s="1186">
        <v>48</v>
      </c>
      <c r="E49" s="1186">
        <v>2736310</v>
      </c>
      <c r="F49" s="1186">
        <v>2577290</v>
      </c>
      <c r="G49" s="1186">
        <v>17</v>
      </c>
      <c r="H49" s="1186">
        <v>31</v>
      </c>
      <c r="I49" s="1186"/>
      <c r="J49" s="1186"/>
    </row>
    <row r="50" spans="1:10" x14ac:dyDescent="0.2">
      <c r="A50" s="1186" t="s">
        <v>15</v>
      </c>
      <c r="B50" s="1186" t="s">
        <v>414</v>
      </c>
      <c r="C50" s="1186" t="s">
        <v>428</v>
      </c>
      <c r="D50" s="1186">
        <v>33</v>
      </c>
      <c r="E50" s="1186">
        <v>2736310</v>
      </c>
      <c r="F50" s="1186">
        <v>2577290</v>
      </c>
      <c r="G50" s="1186">
        <v>22</v>
      </c>
      <c r="H50" s="1186">
        <v>11</v>
      </c>
      <c r="I50" s="1186"/>
      <c r="J50" s="1186"/>
    </row>
    <row r="51" spans="1:10" x14ac:dyDescent="0.2">
      <c r="A51" s="1186" t="s">
        <v>15</v>
      </c>
      <c r="B51" s="1186" t="s">
        <v>414</v>
      </c>
      <c r="C51" s="1186" t="s">
        <v>429</v>
      </c>
      <c r="D51" s="1186">
        <v>250</v>
      </c>
      <c r="E51" s="1186">
        <v>2736310</v>
      </c>
      <c r="F51" s="1186">
        <v>2577290</v>
      </c>
      <c r="G51" s="1186">
        <v>113</v>
      </c>
      <c r="H51" s="1186">
        <v>137</v>
      </c>
      <c r="I51" s="1186"/>
      <c r="J51" s="1186"/>
    </row>
    <row r="52" spans="1:10" x14ac:dyDescent="0.2">
      <c r="A52" s="1186" t="s">
        <v>15</v>
      </c>
      <c r="B52" s="1186" t="s">
        <v>414</v>
      </c>
      <c r="C52" s="1186" t="s">
        <v>430</v>
      </c>
      <c r="D52" s="1186">
        <v>107</v>
      </c>
      <c r="E52" s="1186">
        <v>2736310</v>
      </c>
      <c r="F52" s="1186">
        <v>2577290</v>
      </c>
      <c r="G52" s="1186">
        <v>56</v>
      </c>
      <c r="H52" s="1186">
        <v>47</v>
      </c>
      <c r="I52" s="1186">
        <v>4</v>
      </c>
      <c r="J52" s="1186"/>
    </row>
    <row r="53" spans="1:10" x14ac:dyDescent="0.2">
      <c r="A53" s="1186" t="s">
        <v>17</v>
      </c>
      <c r="B53" s="1186" t="s">
        <v>421</v>
      </c>
      <c r="C53" s="1186" t="s">
        <v>424</v>
      </c>
      <c r="D53" s="1186">
        <v>2</v>
      </c>
      <c r="E53" s="1186">
        <v>2741020</v>
      </c>
      <c r="F53" s="1186">
        <v>2586680</v>
      </c>
      <c r="G53" s="1186"/>
      <c r="H53" s="1186">
        <v>2</v>
      </c>
      <c r="I53" s="1186"/>
      <c r="J53" s="1186"/>
    </row>
    <row r="54" spans="1:10" x14ac:dyDescent="0.2">
      <c r="A54" s="1186" t="s">
        <v>17</v>
      </c>
      <c r="B54" s="1186" t="s">
        <v>421</v>
      </c>
      <c r="C54" s="1186" t="s">
        <v>427</v>
      </c>
      <c r="D54" s="1186">
        <v>6</v>
      </c>
      <c r="E54" s="1186">
        <v>2741020</v>
      </c>
      <c r="F54" s="1186">
        <v>2586680</v>
      </c>
      <c r="G54" s="1186"/>
      <c r="H54" s="1186">
        <v>6</v>
      </c>
      <c r="I54" s="1186"/>
      <c r="J54" s="1186"/>
    </row>
    <row r="55" spans="1:10" x14ac:dyDescent="0.2">
      <c r="A55" s="1186" t="s">
        <v>17</v>
      </c>
      <c r="B55" s="1186" t="s">
        <v>421</v>
      </c>
      <c r="C55" s="1186" t="s">
        <v>429</v>
      </c>
      <c r="D55" s="1186">
        <v>3</v>
      </c>
      <c r="E55" s="1186">
        <v>2741020</v>
      </c>
      <c r="F55" s="1186">
        <v>2586680</v>
      </c>
      <c r="G55" s="1186"/>
      <c r="H55" s="1186">
        <v>3</v>
      </c>
      <c r="I55" s="1186"/>
      <c r="J55" s="1186"/>
    </row>
    <row r="56" spans="1:10" x14ac:dyDescent="0.2">
      <c r="A56" s="1186" t="s">
        <v>17</v>
      </c>
      <c r="B56" s="1186" t="s">
        <v>421</v>
      </c>
      <c r="C56" s="1186" t="s">
        <v>430</v>
      </c>
      <c r="D56" s="1186">
        <v>4</v>
      </c>
      <c r="E56" s="1186">
        <v>2741020</v>
      </c>
      <c r="F56" s="1186">
        <v>2586680</v>
      </c>
      <c r="G56" s="1186">
        <v>1</v>
      </c>
      <c r="H56" s="1186">
        <v>3</v>
      </c>
      <c r="I56" s="1186"/>
      <c r="J56" s="1186"/>
    </row>
    <row r="57" spans="1:10" x14ac:dyDescent="0.2">
      <c r="A57" s="1186" t="s">
        <v>17</v>
      </c>
      <c r="B57" s="1186" t="s">
        <v>414</v>
      </c>
      <c r="C57" s="1186" t="s">
        <v>424</v>
      </c>
      <c r="D57" s="1186">
        <v>139</v>
      </c>
      <c r="E57" s="1186">
        <v>2741020</v>
      </c>
      <c r="F57" s="1186">
        <v>2586680</v>
      </c>
      <c r="G57" s="1186">
        <v>40</v>
      </c>
      <c r="H57" s="1186">
        <v>99</v>
      </c>
      <c r="I57" s="1186"/>
      <c r="J57" s="1186"/>
    </row>
    <row r="58" spans="1:10" x14ac:dyDescent="0.2">
      <c r="A58" s="1186" t="s">
        <v>17</v>
      </c>
      <c r="B58" s="1186" t="s">
        <v>414</v>
      </c>
      <c r="C58" s="1186" t="s">
        <v>425</v>
      </c>
      <c r="D58" s="1186">
        <v>33</v>
      </c>
      <c r="E58" s="1186">
        <v>2741020</v>
      </c>
      <c r="F58" s="1186">
        <v>2586680</v>
      </c>
      <c r="G58" s="1186">
        <v>8</v>
      </c>
      <c r="H58" s="1186">
        <v>25</v>
      </c>
      <c r="I58" s="1186"/>
      <c r="J58" s="1186"/>
    </row>
    <row r="59" spans="1:10" x14ac:dyDescent="0.2">
      <c r="A59" s="1186" t="s">
        <v>17</v>
      </c>
      <c r="B59" s="1186" t="s">
        <v>414</v>
      </c>
      <c r="C59" s="1186" t="s">
        <v>426</v>
      </c>
      <c r="D59" s="1186">
        <v>738</v>
      </c>
      <c r="E59" s="1186">
        <v>2741020</v>
      </c>
      <c r="F59" s="1186">
        <v>2586680</v>
      </c>
      <c r="G59" s="1186">
        <v>332</v>
      </c>
      <c r="H59" s="1186">
        <v>397</v>
      </c>
      <c r="I59" s="1186">
        <v>4</v>
      </c>
      <c r="J59" s="1186">
        <v>5</v>
      </c>
    </row>
    <row r="60" spans="1:10" x14ac:dyDescent="0.2">
      <c r="A60" s="1186" t="s">
        <v>17</v>
      </c>
      <c r="B60" s="1186" t="s">
        <v>414</v>
      </c>
      <c r="C60" s="1186" t="s">
        <v>427</v>
      </c>
      <c r="D60" s="1186">
        <v>40</v>
      </c>
      <c r="E60" s="1186">
        <v>2741020</v>
      </c>
      <c r="F60" s="1186">
        <v>2586680</v>
      </c>
      <c r="G60" s="1186">
        <v>16</v>
      </c>
      <c r="H60" s="1186">
        <v>24</v>
      </c>
      <c r="I60" s="1186"/>
      <c r="J60" s="1186"/>
    </row>
    <row r="61" spans="1:10" x14ac:dyDescent="0.2">
      <c r="A61" s="1186" t="s">
        <v>17</v>
      </c>
      <c r="B61" s="1186" t="s">
        <v>414</v>
      </c>
      <c r="C61" s="1186" t="s">
        <v>428</v>
      </c>
      <c r="D61" s="1186">
        <v>34</v>
      </c>
      <c r="E61" s="1186">
        <v>2741020</v>
      </c>
      <c r="F61" s="1186">
        <v>2586680</v>
      </c>
      <c r="G61" s="1186">
        <v>21</v>
      </c>
      <c r="H61" s="1186">
        <v>12</v>
      </c>
      <c r="I61" s="1186"/>
      <c r="J61" s="1186">
        <v>1</v>
      </c>
    </row>
    <row r="62" spans="1:10" x14ac:dyDescent="0.2">
      <c r="A62" s="1186" t="s">
        <v>17</v>
      </c>
      <c r="B62" s="1186" t="s">
        <v>414</v>
      </c>
      <c r="C62" s="1186" t="s">
        <v>429</v>
      </c>
      <c r="D62" s="1186">
        <v>205</v>
      </c>
      <c r="E62" s="1186">
        <v>2741020</v>
      </c>
      <c r="F62" s="1186">
        <v>2586680</v>
      </c>
      <c r="G62" s="1186">
        <v>98</v>
      </c>
      <c r="H62" s="1186">
        <v>104</v>
      </c>
      <c r="I62" s="1186">
        <v>3</v>
      </c>
      <c r="J62" s="1186"/>
    </row>
    <row r="63" spans="1:10" x14ac:dyDescent="0.2">
      <c r="A63" s="1186" t="s">
        <v>17</v>
      </c>
      <c r="B63" s="1186" t="s">
        <v>414</v>
      </c>
      <c r="C63" s="1186" t="s">
        <v>430</v>
      </c>
      <c r="D63" s="1186">
        <v>106</v>
      </c>
      <c r="E63" s="1186">
        <v>2741020</v>
      </c>
      <c r="F63" s="1186">
        <v>2586680</v>
      </c>
      <c r="G63" s="1186">
        <v>59</v>
      </c>
      <c r="H63" s="1186">
        <v>45</v>
      </c>
      <c r="I63" s="1186">
        <v>1</v>
      </c>
      <c r="J63" s="1186">
        <v>1</v>
      </c>
    </row>
    <row r="64" spans="1:10" x14ac:dyDescent="0.2">
      <c r="A64" s="1186" t="s">
        <v>133</v>
      </c>
      <c r="B64" s="1186" t="s">
        <v>421</v>
      </c>
      <c r="C64" s="1186" t="s">
        <v>424</v>
      </c>
      <c r="D64" s="1186">
        <v>6</v>
      </c>
      <c r="E64" s="1186">
        <v>2751070</v>
      </c>
      <c r="F64" s="1186">
        <v>2596530</v>
      </c>
      <c r="G64" s="1186"/>
      <c r="H64" s="1186">
        <v>6</v>
      </c>
      <c r="I64" s="1186"/>
      <c r="J64" s="1186"/>
    </row>
    <row r="65" spans="1:10" x14ac:dyDescent="0.2">
      <c r="A65" s="1186" t="s">
        <v>133</v>
      </c>
      <c r="B65" s="1186" t="s">
        <v>421</v>
      </c>
      <c r="C65" s="1186" t="s">
        <v>427</v>
      </c>
      <c r="D65" s="1186">
        <v>4</v>
      </c>
      <c r="E65" s="1186">
        <v>2751070</v>
      </c>
      <c r="F65" s="1186">
        <v>2596530</v>
      </c>
      <c r="G65" s="1186"/>
      <c r="H65" s="1186">
        <v>4</v>
      </c>
      <c r="I65" s="1186"/>
      <c r="J65" s="1186"/>
    </row>
    <row r="66" spans="1:10" x14ac:dyDescent="0.2">
      <c r="A66" s="1186" t="s">
        <v>133</v>
      </c>
      <c r="B66" s="1186" t="s">
        <v>421</v>
      </c>
      <c r="C66" s="1186" t="s">
        <v>429</v>
      </c>
      <c r="D66" s="1186">
        <v>2</v>
      </c>
      <c r="E66" s="1186">
        <v>2751070</v>
      </c>
      <c r="F66" s="1186">
        <v>2596530</v>
      </c>
      <c r="G66" s="1186"/>
      <c r="H66" s="1186">
        <v>2</v>
      </c>
      <c r="I66" s="1186"/>
      <c r="J66" s="1186"/>
    </row>
    <row r="67" spans="1:10" x14ac:dyDescent="0.2">
      <c r="A67" s="1186" t="s">
        <v>133</v>
      </c>
      <c r="B67" s="1186" t="s">
        <v>414</v>
      </c>
      <c r="C67" s="1186" t="s">
        <v>424</v>
      </c>
      <c r="D67" s="1186">
        <v>160</v>
      </c>
      <c r="E67" s="1186">
        <v>2751070</v>
      </c>
      <c r="F67" s="1186">
        <v>2596530</v>
      </c>
      <c r="G67" s="1186">
        <v>53</v>
      </c>
      <c r="H67" s="1186">
        <v>107</v>
      </c>
      <c r="I67" s="1186"/>
      <c r="J67" s="1186"/>
    </row>
    <row r="68" spans="1:10" x14ac:dyDescent="0.2">
      <c r="A68" s="1186" t="s">
        <v>133</v>
      </c>
      <c r="B68" s="1186" t="s">
        <v>414</v>
      </c>
      <c r="C68" s="1186" t="s">
        <v>425</v>
      </c>
      <c r="D68" s="1186">
        <v>25</v>
      </c>
      <c r="E68" s="1186">
        <v>2751070</v>
      </c>
      <c r="F68" s="1186">
        <v>2596530</v>
      </c>
      <c r="G68" s="1186">
        <v>8</v>
      </c>
      <c r="H68" s="1186">
        <v>17</v>
      </c>
      <c r="I68" s="1186"/>
      <c r="J68" s="1186"/>
    </row>
    <row r="69" spans="1:10" x14ac:dyDescent="0.2">
      <c r="A69" s="1186" t="s">
        <v>133</v>
      </c>
      <c r="B69" s="1186" t="s">
        <v>414</v>
      </c>
      <c r="C69" s="1186" t="s">
        <v>426</v>
      </c>
      <c r="D69" s="1186">
        <v>617</v>
      </c>
      <c r="E69" s="1186">
        <v>2751070</v>
      </c>
      <c r="F69" s="1186">
        <v>2596530</v>
      </c>
      <c r="G69" s="1186">
        <v>270</v>
      </c>
      <c r="H69" s="1186">
        <v>342</v>
      </c>
      <c r="I69" s="1186">
        <v>5</v>
      </c>
      <c r="J69" s="1186"/>
    </row>
    <row r="70" spans="1:10" x14ac:dyDescent="0.2">
      <c r="A70" s="1186" t="s">
        <v>133</v>
      </c>
      <c r="B70" s="1186" t="s">
        <v>414</v>
      </c>
      <c r="C70" s="1186" t="s">
        <v>427</v>
      </c>
      <c r="D70" s="1186">
        <v>39</v>
      </c>
      <c r="E70" s="1186">
        <v>2751070</v>
      </c>
      <c r="F70" s="1186">
        <v>2596530</v>
      </c>
      <c r="G70" s="1186">
        <v>8</v>
      </c>
      <c r="H70" s="1186">
        <v>31</v>
      </c>
      <c r="I70" s="1186"/>
      <c r="J70" s="1186"/>
    </row>
    <row r="71" spans="1:10" x14ac:dyDescent="0.2">
      <c r="A71" s="1186" t="s">
        <v>133</v>
      </c>
      <c r="B71" s="1186" t="s">
        <v>414</v>
      </c>
      <c r="C71" s="1186" t="s">
        <v>428</v>
      </c>
      <c r="D71" s="1186">
        <v>12</v>
      </c>
      <c r="E71" s="1186">
        <v>2751070</v>
      </c>
      <c r="F71" s="1186">
        <v>2596530</v>
      </c>
      <c r="G71" s="1186">
        <v>10</v>
      </c>
      <c r="H71" s="1186">
        <v>2</v>
      </c>
      <c r="I71" s="1186"/>
      <c r="J71" s="1186"/>
    </row>
    <row r="72" spans="1:10" x14ac:dyDescent="0.2">
      <c r="A72" s="1186" t="s">
        <v>133</v>
      </c>
      <c r="B72" s="1186" t="s">
        <v>414</v>
      </c>
      <c r="C72" s="1186" t="s">
        <v>429</v>
      </c>
      <c r="D72" s="1186">
        <v>136</v>
      </c>
      <c r="E72" s="1186">
        <v>2751070</v>
      </c>
      <c r="F72" s="1186">
        <v>2596530</v>
      </c>
      <c r="G72" s="1186">
        <v>65</v>
      </c>
      <c r="H72" s="1186">
        <v>70</v>
      </c>
      <c r="I72" s="1186">
        <v>1</v>
      </c>
      <c r="J72" s="1186"/>
    </row>
    <row r="73" spans="1:10" x14ac:dyDescent="0.2">
      <c r="A73" s="1186" t="s">
        <v>133</v>
      </c>
      <c r="B73" s="1186" t="s">
        <v>414</v>
      </c>
      <c r="C73" s="1186" t="s">
        <v>430</v>
      </c>
      <c r="D73" s="1186">
        <v>98</v>
      </c>
      <c r="E73" s="1186">
        <v>2751070</v>
      </c>
      <c r="F73" s="1186">
        <v>2596530</v>
      </c>
      <c r="G73" s="1186">
        <v>49</v>
      </c>
      <c r="H73" s="1186">
        <v>48</v>
      </c>
      <c r="I73" s="1186"/>
      <c r="J73" s="1186">
        <v>1</v>
      </c>
    </row>
    <row r="74" spans="1:10" x14ac:dyDescent="0.2">
      <c r="A74" s="1186" t="s">
        <v>144</v>
      </c>
      <c r="B74" s="1186" t="s">
        <v>421</v>
      </c>
      <c r="C74" s="1186" t="s">
        <v>424</v>
      </c>
      <c r="D74" s="1186">
        <v>1</v>
      </c>
      <c r="E74" s="1186">
        <v>2762531</v>
      </c>
      <c r="F74" s="1186">
        <v>2610469</v>
      </c>
      <c r="G74" s="1186"/>
      <c r="H74" s="1186">
        <v>1</v>
      </c>
      <c r="I74" s="1186"/>
      <c r="J74" s="1186"/>
    </row>
    <row r="75" spans="1:10" x14ac:dyDescent="0.2">
      <c r="A75" s="1186" t="s">
        <v>144</v>
      </c>
      <c r="B75" s="1186" t="s">
        <v>421</v>
      </c>
      <c r="C75" s="1186" t="s">
        <v>427</v>
      </c>
      <c r="D75" s="1186">
        <v>7</v>
      </c>
      <c r="E75" s="1186">
        <v>2762531</v>
      </c>
      <c r="F75" s="1186">
        <v>2610469</v>
      </c>
      <c r="G75" s="1186">
        <v>2</v>
      </c>
      <c r="H75" s="1186">
        <v>5</v>
      </c>
      <c r="I75" s="1186"/>
      <c r="J75" s="1186"/>
    </row>
    <row r="76" spans="1:10" x14ac:dyDescent="0.2">
      <c r="A76" s="1186" t="s">
        <v>144</v>
      </c>
      <c r="B76" s="1186" t="s">
        <v>421</v>
      </c>
      <c r="C76" s="1186" t="s">
        <v>429</v>
      </c>
      <c r="D76" s="1186">
        <v>1</v>
      </c>
      <c r="E76" s="1186">
        <v>2762531</v>
      </c>
      <c r="F76" s="1186">
        <v>2610469</v>
      </c>
      <c r="G76" s="1186"/>
      <c r="H76" s="1186">
        <v>1</v>
      </c>
      <c r="I76" s="1186"/>
      <c r="J76" s="1186"/>
    </row>
    <row r="77" spans="1:10" x14ac:dyDescent="0.2">
      <c r="A77" s="1186" t="s">
        <v>144</v>
      </c>
      <c r="B77" s="1186" t="s">
        <v>421</v>
      </c>
      <c r="C77" s="1186" t="s">
        <v>430</v>
      </c>
      <c r="D77" s="1186">
        <v>1</v>
      </c>
      <c r="E77" s="1186">
        <v>2762531</v>
      </c>
      <c r="F77" s="1186">
        <v>2610469</v>
      </c>
      <c r="G77" s="1186"/>
      <c r="H77" s="1186">
        <v>1</v>
      </c>
      <c r="I77" s="1186"/>
      <c r="J77" s="1186"/>
    </row>
    <row r="78" spans="1:10" x14ac:dyDescent="0.2">
      <c r="A78" s="1186" t="s">
        <v>144</v>
      </c>
      <c r="B78" s="1186" t="s">
        <v>414</v>
      </c>
      <c r="C78" s="1186" t="s">
        <v>424</v>
      </c>
      <c r="D78" s="1186">
        <v>156</v>
      </c>
      <c r="E78" s="1186">
        <v>2762531</v>
      </c>
      <c r="F78" s="1186">
        <v>2610469</v>
      </c>
      <c r="G78" s="1186">
        <v>50</v>
      </c>
      <c r="H78" s="1186">
        <v>106</v>
      </c>
      <c r="I78" s="1186"/>
      <c r="J78" s="1186"/>
    </row>
    <row r="79" spans="1:10" x14ac:dyDescent="0.2">
      <c r="A79" s="1186" t="s">
        <v>144</v>
      </c>
      <c r="B79" s="1186" t="s">
        <v>414</v>
      </c>
      <c r="C79" s="1186" t="s">
        <v>425</v>
      </c>
      <c r="D79" s="1186">
        <v>37</v>
      </c>
      <c r="E79" s="1186">
        <v>2762531</v>
      </c>
      <c r="F79" s="1186">
        <v>2610469</v>
      </c>
      <c r="G79" s="1186">
        <v>11</v>
      </c>
      <c r="H79" s="1186">
        <v>26</v>
      </c>
      <c r="I79" s="1186"/>
      <c r="J79" s="1186"/>
    </row>
    <row r="80" spans="1:10" x14ac:dyDescent="0.2">
      <c r="A80" s="1186" t="s">
        <v>144</v>
      </c>
      <c r="B80" s="1186" t="s">
        <v>414</v>
      </c>
      <c r="C80" s="1186" t="s">
        <v>426</v>
      </c>
      <c r="D80" s="1186">
        <v>708</v>
      </c>
      <c r="E80" s="1186">
        <v>2762531</v>
      </c>
      <c r="F80" s="1186">
        <v>2610469</v>
      </c>
      <c r="G80" s="1186">
        <v>304</v>
      </c>
      <c r="H80" s="1186">
        <v>399</v>
      </c>
      <c r="I80" s="1186">
        <v>4</v>
      </c>
      <c r="J80" s="1186">
        <v>1</v>
      </c>
    </row>
    <row r="81" spans="1:10" x14ac:dyDescent="0.2">
      <c r="A81" s="1186" t="s">
        <v>144</v>
      </c>
      <c r="B81" s="1186" t="s">
        <v>414</v>
      </c>
      <c r="C81" s="1186" t="s">
        <v>427</v>
      </c>
      <c r="D81" s="1186">
        <v>60</v>
      </c>
      <c r="E81" s="1186">
        <v>2762531</v>
      </c>
      <c r="F81" s="1186">
        <v>2610469</v>
      </c>
      <c r="G81" s="1186">
        <v>17</v>
      </c>
      <c r="H81" s="1186">
        <v>43</v>
      </c>
      <c r="I81" s="1186"/>
      <c r="J81" s="1186"/>
    </row>
    <row r="82" spans="1:10" x14ac:dyDescent="0.2">
      <c r="A82" s="1186" t="s">
        <v>144</v>
      </c>
      <c r="B82" s="1186" t="s">
        <v>414</v>
      </c>
      <c r="C82" s="1186" t="s">
        <v>428</v>
      </c>
      <c r="D82" s="1186">
        <v>29</v>
      </c>
      <c r="E82" s="1186">
        <v>2762531</v>
      </c>
      <c r="F82" s="1186">
        <v>2610469</v>
      </c>
      <c r="G82" s="1186">
        <v>23</v>
      </c>
      <c r="H82" s="1186">
        <v>6</v>
      </c>
      <c r="I82" s="1186"/>
      <c r="J82" s="1186"/>
    </row>
    <row r="83" spans="1:10" x14ac:dyDescent="0.2">
      <c r="A83" s="1186" t="s">
        <v>144</v>
      </c>
      <c r="B83" s="1186" t="s">
        <v>414</v>
      </c>
      <c r="C83" s="1186" t="s">
        <v>429</v>
      </c>
      <c r="D83" s="1186">
        <v>167</v>
      </c>
      <c r="E83" s="1186">
        <v>2762531</v>
      </c>
      <c r="F83" s="1186">
        <v>2610469</v>
      </c>
      <c r="G83" s="1186">
        <v>83</v>
      </c>
      <c r="H83" s="1186">
        <v>84</v>
      </c>
      <c r="I83" s="1186"/>
      <c r="J83" s="1186"/>
    </row>
    <row r="84" spans="1:10" x14ac:dyDescent="0.2">
      <c r="A84" s="1186" t="s">
        <v>144</v>
      </c>
      <c r="B84" s="1186" t="s">
        <v>414</v>
      </c>
      <c r="C84" s="1186" t="s">
        <v>430</v>
      </c>
      <c r="D84" s="1186">
        <v>109</v>
      </c>
      <c r="E84" s="1186">
        <v>2762531</v>
      </c>
      <c r="F84" s="1186">
        <v>2610469</v>
      </c>
      <c r="G84" s="1186">
        <v>63</v>
      </c>
      <c r="H84" s="1186">
        <v>46</v>
      </c>
      <c r="I84" s="1186"/>
      <c r="J84" s="1186"/>
    </row>
    <row r="85" spans="1:10" x14ac:dyDescent="0.2">
      <c r="A85" s="1186" t="s">
        <v>282</v>
      </c>
      <c r="B85" s="1186" t="s">
        <v>421</v>
      </c>
      <c r="C85" s="1186" t="s">
        <v>427</v>
      </c>
      <c r="D85" s="1186">
        <v>8</v>
      </c>
      <c r="E85" s="1186">
        <v>2777197</v>
      </c>
      <c r="F85" s="1186">
        <v>2627503</v>
      </c>
      <c r="G85" s="1186"/>
      <c r="H85" s="1186">
        <v>8</v>
      </c>
      <c r="I85" s="1186"/>
      <c r="J85" s="1186"/>
    </row>
    <row r="86" spans="1:10" x14ac:dyDescent="0.2">
      <c r="A86" s="1186" t="s">
        <v>282</v>
      </c>
      <c r="B86" s="1186" t="s">
        <v>421</v>
      </c>
      <c r="C86" s="1186" t="s">
        <v>429</v>
      </c>
      <c r="D86" s="1186">
        <v>6</v>
      </c>
      <c r="E86" s="1186">
        <v>2777197</v>
      </c>
      <c r="F86" s="1186">
        <v>2627503</v>
      </c>
      <c r="G86" s="1186"/>
      <c r="H86" s="1186">
        <v>6</v>
      </c>
      <c r="I86" s="1186"/>
      <c r="J86" s="1186"/>
    </row>
    <row r="87" spans="1:10" x14ac:dyDescent="0.2">
      <c r="A87" s="1186" t="s">
        <v>282</v>
      </c>
      <c r="B87" s="1186" t="s">
        <v>421</v>
      </c>
      <c r="C87" s="1186" t="s">
        <v>430</v>
      </c>
      <c r="D87" s="1186">
        <v>4</v>
      </c>
      <c r="E87" s="1186">
        <v>2777197</v>
      </c>
      <c r="F87" s="1186">
        <v>2627503</v>
      </c>
      <c r="G87" s="1186"/>
      <c r="H87" s="1186">
        <v>3</v>
      </c>
      <c r="I87" s="1186">
        <v>1</v>
      </c>
      <c r="J87" s="1186"/>
    </row>
    <row r="88" spans="1:10" x14ac:dyDescent="0.2">
      <c r="A88" s="1186" t="s">
        <v>282</v>
      </c>
      <c r="B88" s="1186" t="s">
        <v>414</v>
      </c>
      <c r="C88" s="1186" t="s">
        <v>424</v>
      </c>
      <c r="D88" s="1186">
        <v>129</v>
      </c>
      <c r="E88" s="1186">
        <v>2777197</v>
      </c>
      <c r="F88" s="1186">
        <v>2627503</v>
      </c>
      <c r="G88" s="1186">
        <v>38</v>
      </c>
      <c r="H88" s="1186">
        <v>91</v>
      </c>
      <c r="I88" s="1186"/>
      <c r="J88" s="1186"/>
    </row>
    <row r="89" spans="1:10" x14ac:dyDescent="0.2">
      <c r="A89" s="1186" t="s">
        <v>282</v>
      </c>
      <c r="B89" s="1186" t="s">
        <v>414</v>
      </c>
      <c r="C89" s="1186" t="s">
        <v>425</v>
      </c>
      <c r="D89" s="1186">
        <v>26</v>
      </c>
      <c r="E89" s="1186">
        <v>2777197</v>
      </c>
      <c r="F89" s="1186">
        <v>2627503</v>
      </c>
      <c r="G89" s="1186">
        <v>7</v>
      </c>
      <c r="H89" s="1186">
        <v>19</v>
      </c>
      <c r="I89" s="1186"/>
      <c r="J89" s="1186"/>
    </row>
    <row r="90" spans="1:10" x14ac:dyDescent="0.2">
      <c r="A90" s="1186" t="s">
        <v>282</v>
      </c>
      <c r="B90" s="1186" t="s">
        <v>414</v>
      </c>
      <c r="C90" s="1186" t="s">
        <v>426</v>
      </c>
      <c r="D90" s="1186">
        <v>752</v>
      </c>
      <c r="E90" s="1186">
        <v>2777197</v>
      </c>
      <c r="F90" s="1186">
        <v>2627503</v>
      </c>
      <c r="G90" s="1186">
        <v>343</v>
      </c>
      <c r="H90" s="1186">
        <v>405</v>
      </c>
      <c r="I90" s="1186">
        <v>4</v>
      </c>
      <c r="J90" s="1186"/>
    </row>
    <row r="91" spans="1:10" x14ac:dyDescent="0.2">
      <c r="A91" s="1186" t="s">
        <v>282</v>
      </c>
      <c r="B91" s="1186" t="s">
        <v>414</v>
      </c>
      <c r="C91" s="1186" t="s">
        <v>427</v>
      </c>
      <c r="D91" s="1186">
        <v>41</v>
      </c>
      <c r="E91" s="1186">
        <v>2777197</v>
      </c>
      <c r="F91" s="1186">
        <v>2627503</v>
      </c>
      <c r="G91" s="1186">
        <v>10</v>
      </c>
      <c r="H91" s="1186">
        <v>31</v>
      </c>
      <c r="I91" s="1186"/>
      <c r="J91" s="1186"/>
    </row>
    <row r="92" spans="1:10" x14ac:dyDescent="0.2">
      <c r="A92" s="1186" t="s">
        <v>282</v>
      </c>
      <c r="B92" s="1186" t="s">
        <v>414</v>
      </c>
      <c r="C92" s="1186" t="s">
        <v>428</v>
      </c>
      <c r="D92" s="1186">
        <v>33</v>
      </c>
      <c r="E92" s="1186">
        <v>2777197</v>
      </c>
      <c r="F92" s="1186">
        <v>2627503</v>
      </c>
      <c r="G92" s="1186">
        <v>20</v>
      </c>
      <c r="H92" s="1186">
        <v>13</v>
      </c>
      <c r="I92" s="1186"/>
      <c r="J92" s="1186"/>
    </row>
    <row r="93" spans="1:10" x14ac:dyDescent="0.2">
      <c r="A93" s="1186" t="s">
        <v>282</v>
      </c>
      <c r="B93" s="1186" t="s">
        <v>414</v>
      </c>
      <c r="C93" s="1186" t="s">
        <v>429</v>
      </c>
      <c r="D93" s="1186">
        <v>132</v>
      </c>
      <c r="E93" s="1186">
        <v>2777197</v>
      </c>
      <c r="F93" s="1186">
        <v>2627503</v>
      </c>
      <c r="G93" s="1186">
        <v>67</v>
      </c>
      <c r="H93" s="1186">
        <v>65</v>
      </c>
      <c r="I93" s="1186"/>
      <c r="J93" s="1186"/>
    </row>
    <row r="94" spans="1:10" x14ac:dyDescent="0.2">
      <c r="A94" s="1186" t="s">
        <v>282</v>
      </c>
      <c r="B94" s="1186" t="s">
        <v>414</v>
      </c>
      <c r="C94" s="1186" t="s">
        <v>430</v>
      </c>
      <c r="D94" s="1186">
        <v>135</v>
      </c>
      <c r="E94" s="1186">
        <v>2777197</v>
      </c>
      <c r="F94" s="1186">
        <v>2627503</v>
      </c>
      <c r="G94" s="1186">
        <v>63</v>
      </c>
      <c r="H94" s="1186">
        <v>71</v>
      </c>
      <c r="I94" s="1186">
        <v>1</v>
      </c>
      <c r="J94" s="1186"/>
    </row>
    <row r="95" spans="1:10" x14ac:dyDescent="0.2">
      <c r="A95" s="1186" t="s">
        <v>311</v>
      </c>
      <c r="B95" s="1186" t="s">
        <v>421</v>
      </c>
      <c r="C95" s="1186" t="s">
        <v>424</v>
      </c>
      <c r="D95" s="1186">
        <v>4</v>
      </c>
      <c r="E95" s="1186">
        <v>2784500</v>
      </c>
      <c r="F95" s="1186">
        <v>2640300</v>
      </c>
      <c r="G95" s="1186"/>
      <c r="H95" s="1186">
        <v>3</v>
      </c>
      <c r="I95" s="1186"/>
      <c r="J95" s="1186">
        <v>1</v>
      </c>
    </row>
    <row r="96" spans="1:10" x14ac:dyDescent="0.2">
      <c r="A96" s="1186" t="s">
        <v>311</v>
      </c>
      <c r="B96" s="1186" t="s">
        <v>421</v>
      </c>
      <c r="C96" s="1186" t="s">
        <v>427</v>
      </c>
      <c r="D96" s="1186">
        <v>14</v>
      </c>
      <c r="E96" s="1186">
        <v>2784500</v>
      </c>
      <c r="F96" s="1186">
        <v>2640300</v>
      </c>
      <c r="G96" s="1186">
        <v>1</v>
      </c>
      <c r="H96" s="1186">
        <v>13</v>
      </c>
      <c r="I96" s="1186"/>
      <c r="J96" s="1186"/>
    </row>
    <row r="97" spans="1:10" x14ac:dyDescent="0.2">
      <c r="A97" s="1186" t="s">
        <v>311</v>
      </c>
      <c r="B97" s="1186" t="s">
        <v>421</v>
      </c>
      <c r="C97" s="1186" t="s">
        <v>429</v>
      </c>
      <c r="D97" s="1186">
        <v>7</v>
      </c>
      <c r="E97" s="1186">
        <v>2784500</v>
      </c>
      <c r="F97" s="1186">
        <v>2640300</v>
      </c>
      <c r="G97" s="1186"/>
      <c r="H97" s="1186">
        <v>6</v>
      </c>
      <c r="I97" s="1186">
        <v>1</v>
      </c>
      <c r="J97" s="1186"/>
    </row>
    <row r="98" spans="1:10" x14ac:dyDescent="0.2">
      <c r="A98" s="1186" t="s">
        <v>311</v>
      </c>
      <c r="B98" s="1186" t="s">
        <v>421</v>
      </c>
      <c r="C98" s="1186" t="s">
        <v>430</v>
      </c>
      <c r="D98" s="1186">
        <v>3</v>
      </c>
      <c r="E98" s="1186">
        <v>2784500</v>
      </c>
      <c r="F98" s="1186">
        <v>2640300</v>
      </c>
      <c r="G98" s="1186"/>
      <c r="H98" s="1186">
        <v>1</v>
      </c>
      <c r="I98" s="1186">
        <v>2</v>
      </c>
      <c r="J98" s="1186"/>
    </row>
    <row r="99" spans="1:10" x14ac:dyDescent="0.2">
      <c r="A99" s="1186" t="s">
        <v>311</v>
      </c>
      <c r="B99" s="1186" t="s">
        <v>414</v>
      </c>
      <c r="C99" s="1186" t="s">
        <v>424</v>
      </c>
      <c r="D99" s="1186">
        <v>115</v>
      </c>
      <c r="E99" s="1186">
        <v>2784500</v>
      </c>
      <c r="F99" s="1186">
        <v>2640300</v>
      </c>
      <c r="G99" s="1186">
        <v>32</v>
      </c>
      <c r="H99" s="1186">
        <v>82</v>
      </c>
      <c r="I99" s="1186">
        <v>1</v>
      </c>
      <c r="J99" s="1186"/>
    </row>
    <row r="100" spans="1:10" x14ac:dyDescent="0.2">
      <c r="A100" s="1186" t="s">
        <v>311</v>
      </c>
      <c r="B100" s="1186" t="s">
        <v>414</v>
      </c>
      <c r="C100" s="1186" t="s">
        <v>425</v>
      </c>
      <c r="D100" s="1186">
        <v>16</v>
      </c>
      <c r="E100" s="1186">
        <v>2784500</v>
      </c>
      <c r="F100" s="1186">
        <v>2640300</v>
      </c>
      <c r="G100" s="1186">
        <v>10</v>
      </c>
      <c r="H100" s="1186">
        <v>6</v>
      </c>
      <c r="I100" s="1186"/>
      <c r="J100" s="1186"/>
    </row>
    <row r="101" spans="1:10" x14ac:dyDescent="0.2">
      <c r="A101" s="1186" t="s">
        <v>311</v>
      </c>
      <c r="B101" s="1186" t="s">
        <v>414</v>
      </c>
      <c r="C101" s="1186" t="s">
        <v>426</v>
      </c>
      <c r="D101" s="1186">
        <v>659</v>
      </c>
      <c r="E101" s="1186">
        <v>2784500</v>
      </c>
      <c r="F101" s="1186">
        <v>2640300</v>
      </c>
      <c r="G101" s="1186">
        <v>305</v>
      </c>
      <c r="H101" s="1186">
        <v>346</v>
      </c>
      <c r="I101" s="1186">
        <v>8</v>
      </c>
      <c r="J101" s="1186"/>
    </row>
    <row r="102" spans="1:10" x14ac:dyDescent="0.2">
      <c r="A102" s="1186" t="s">
        <v>311</v>
      </c>
      <c r="B102" s="1186" t="s">
        <v>414</v>
      </c>
      <c r="C102" s="1186" t="s">
        <v>427</v>
      </c>
      <c r="D102" s="1186">
        <v>35</v>
      </c>
      <c r="E102" s="1186">
        <v>2784500</v>
      </c>
      <c r="F102" s="1186">
        <v>2640300</v>
      </c>
      <c r="G102" s="1186">
        <v>15</v>
      </c>
      <c r="H102" s="1186">
        <v>20</v>
      </c>
      <c r="I102" s="1186"/>
      <c r="J102" s="1186"/>
    </row>
    <row r="103" spans="1:10" x14ac:dyDescent="0.2">
      <c r="A103" s="1186" t="s">
        <v>311</v>
      </c>
      <c r="B103" s="1186" t="s">
        <v>414</v>
      </c>
      <c r="C103" s="1186" t="s">
        <v>428</v>
      </c>
      <c r="D103" s="1186">
        <v>17</v>
      </c>
      <c r="E103" s="1186">
        <v>2784500</v>
      </c>
      <c r="F103" s="1186">
        <v>2640300</v>
      </c>
      <c r="G103" s="1186">
        <v>8</v>
      </c>
      <c r="H103" s="1186">
        <v>9</v>
      </c>
      <c r="I103" s="1186"/>
      <c r="J103" s="1186"/>
    </row>
    <row r="104" spans="1:10" x14ac:dyDescent="0.2">
      <c r="A104" s="1186" t="s">
        <v>311</v>
      </c>
      <c r="B104" s="1186" t="s">
        <v>414</v>
      </c>
      <c r="C104" s="1186" t="s">
        <v>429</v>
      </c>
      <c r="D104" s="1186">
        <v>140</v>
      </c>
      <c r="E104" s="1186">
        <v>2784500</v>
      </c>
      <c r="F104" s="1186">
        <v>2640300</v>
      </c>
      <c r="G104" s="1186">
        <v>66</v>
      </c>
      <c r="H104" s="1186">
        <v>74</v>
      </c>
      <c r="I104" s="1186"/>
      <c r="J104" s="1186"/>
    </row>
    <row r="105" spans="1:10" x14ac:dyDescent="0.2">
      <c r="A105" s="1186" t="s">
        <v>311</v>
      </c>
      <c r="B105" s="1186" t="s">
        <v>414</v>
      </c>
      <c r="C105" s="1186" t="s">
        <v>430</v>
      </c>
      <c r="D105" s="1186">
        <v>106</v>
      </c>
      <c r="E105" s="1186">
        <v>2784500</v>
      </c>
      <c r="F105" s="1186">
        <v>2640300</v>
      </c>
      <c r="G105" s="1186">
        <v>42</v>
      </c>
      <c r="H105" s="1186">
        <v>62</v>
      </c>
      <c r="I105" s="1186">
        <v>1</v>
      </c>
      <c r="J105" s="1186">
        <v>1</v>
      </c>
    </row>
    <row r="106" spans="1:10" x14ac:dyDescent="0.2">
      <c r="A106" s="1186" t="s">
        <v>621</v>
      </c>
      <c r="B106" s="1186" t="s">
        <v>421</v>
      </c>
      <c r="C106" s="1186" t="s">
        <v>424</v>
      </c>
      <c r="D106" s="1186">
        <v>4</v>
      </c>
      <c r="E106" s="1186">
        <v>2789349</v>
      </c>
      <c r="F106" s="1186">
        <v>2648751</v>
      </c>
      <c r="G106" s="1186"/>
      <c r="H106" s="1186">
        <v>4</v>
      </c>
      <c r="I106" s="1186"/>
      <c r="J106" s="1186"/>
    </row>
    <row r="107" spans="1:10" x14ac:dyDescent="0.2">
      <c r="A107" s="1186" t="s">
        <v>621</v>
      </c>
      <c r="B107" s="1186" t="s">
        <v>421</v>
      </c>
      <c r="C107" s="1186" t="s">
        <v>426</v>
      </c>
      <c r="D107" s="1186">
        <v>2</v>
      </c>
      <c r="E107" s="1186">
        <v>2789349</v>
      </c>
      <c r="F107" s="1186">
        <v>2648751</v>
      </c>
      <c r="G107" s="1186"/>
      <c r="H107" s="1186">
        <v>2</v>
      </c>
      <c r="I107" s="1186"/>
      <c r="J107" s="1186"/>
    </row>
    <row r="108" spans="1:10" x14ac:dyDescent="0.2">
      <c r="A108" s="1186" t="s">
        <v>621</v>
      </c>
      <c r="B108" s="1186" t="s">
        <v>421</v>
      </c>
      <c r="C108" s="1186" t="s">
        <v>427</v>
      </c>
      <c r="D108" s="1186">
        <v>7</v>
      </c>
      <c r="E108" s="1186">
        <v>2789349</v>
      </c>
      <c r="F108" s="1186">
        <v>2648751</v>
      </c>
      <c r="G108" s="1186"/>
      <c r="H108" s="1186">
        <v>7</v>
      </c>
      <c r="I108" s="1186"/>
      <c r="J108" s="1186"/>
    </row>
    <row r="109" spans="1:10" x14ac:dyDescent="0.2">
      <c r="A109" s="1186" t="s">
        <v>621</v>
      </c>
      <c r="B109" s="1186" t="s">
        <v>421</v>
      </c>
      <c r="C109" s="1186" t="s">
        <v>429</v>
      </c>
      <c r="D109" s="1186">
        <v>5</v>
      </c>
      <c r="E109" s="1186">
        <v>2789349</v>
      </c>
      <c r="F109" s="1186">
        <v>2648751</v>
      </c>
      <c r="G109" s="1186"/>
      <c r="H109" s="1186">
        <v>4</v>
      </c>
      <c r="I109" s="1186"/>
      <c r="J109" s="1186">
        <v>1</v>
      </c>
    </row>
    <row r="110" spans="1:10" x14ac:dyDescent="0.2">
      <c r="A110" s="1186" t="s">
        <v>621</v>
      </c>
      <c r="B110" s="1186" t="s">
        <v>421</v>
      </c>
      <c r="C110" s="1186" t="s">
        <v>430</v>
      </c>
      <c r="D110" s="1186">
        <v>3</v>
      </c>
      <c r="E110" s="1186">
        <v>2789349</v>
      </c>
      <c r="F110" s="1186">
        <v>2648751</v>
      </c>
      <c r="G110" s="1186"/>
      <c r="H110" s="1186">
        <v>3</v>
      </c>
      <c r="I110" s="1186"/>
      <c r="J110" s="1186"/>
    </row>
    <row r="111" spans="1:10" x14ac:dyDescent="0.2">
      <c r="A111" s="1186" t="s">
        <v>621</v>
      </c>
      <c r="B111" s="1186" t="s">
        <v>414</v>
      </c>
      <c r="C111" s="1186" t="s">
        <v>424</v>
      </c>
      <c r="D111" s="1186">
        <v>132</v>
      </c>
      <c r="E111" s="1186">
        <v>2789349</v>
      </c>
      <c r="F111" s="1186">
        <v>2648751</v>
      </c>
      <c r="G111" s="1186">
        <v>41</v>
      </c>
      <c r="H111" s="1186">
        <v>91</v>
      </c>
      <c r="I111" s="1186"/>
      <c r="J111" s="1186"/>
    </row>
    <row r="112" spans="1:10" x14ac:dyDescent="0.2">
      <c r="A112" s="1186" t="s">
        <v>621</v>
      </c>
      <c r="B112" s="1186" t="s">
        <v>414</v>
      </c>
      <c r="C112" s="1186" t="s">
        <v>425</v>
      </c>
      <c r="D112" s="1186">
        <v>21</v>
      </c>
      <c r="E112" s="1186">
        <v>2789349</v>
      </c>
      <c r="F112" s="1186">
        <v>2648751</v>
      </c>
      <c r="G112" s="1186">
        <v>6</v>
      </c>
      <c r="H112" s="1186">
        <v>15</v>
      </c>
      <c r="I112" s="1186"/>
      <c r="J112" s="1186"/>
    </row>
    <row r="113" spans="1:10" x14ac:dyDescent="0.2">
      <c r="A113" s="1186" t="s">
        <v>621</v>
      </c>
      <c r="B113" s="1186" t="s">
        <v>414</v>
      </c>
      <c r="C113" s="1186" t="s">
        <v>426</v>
      </c>
      <c r="D113" s="1186">
        <v>665</v>
      </c>
      <c r="E113" s="1186">
        <v>2789349</v>
      </c>
      <c r="F113" s="1186">
        <v>2648751</v>
      </c>
      <c r="G113" s="1186">
        <v>286</v>
      </c>
      <c r="H113" s="1186">
        <v>362</v>
      </c>
      <c r="I113" s="1186">
        <v>16</v>
      </c>
      <c r="J113" s="1186">
        <v>1</v>
      </c>
    </row>
    <row r="114" spans="1:10" x14ac:dyDescent="0.2">
      <c r="A114" s="1186" t="s">
        <v>621</v>
      </c>
      <c r="B114" s="1186" t="s">
        <v>414</v>
      </c>
      <c r="C114" s="1186" t="s">
        <v>427</v>
      </c>
      <c r="D114" s="1186">
        <v>35</v>
      </c>
      <c r="E114" s="1186">
        <v>2789349</v>
      </c>
      <c r="F114" s="1186">
        <v>2648751</v>
      </c>
      <c r="G114" s="1186">
        <v>17</v>
      </c>
      <c r="H114" s="1186">
        <v>18</v>
      </c>
      <c r="I114" s="1186"/>
      <c r="J114" s="1186"/>
    </row>
    <row r="115" spans="1:10" x14ac:dyDescent="0.2">
      <c r="A115" s="1186" t="s">
        <v>621</v>
      </c>
      <c r="B115" s="1186" t="s">
        <v>414</v>
      </c>
      <c r="C115" s="1186" t="s">
        <v>428</v>
      </c>
      <c r="D115" s="1186">
        <v>21</v>
      </c>
      <c r="E115" s="1186">
        <v>2789349</v>
      </c>
      <c r="F115" s="1186">
        <v>2648751</v>
      </c>
      <c r="G115" s="1186">
        <v>15</v>
      </c>
      <c r="H115" s="1186">
        <v>6</v>
      </c>
      <c r="I115" s="1186"/>
      <c r="J115" s="1186"/>
    </row>
    <row r="116" spans="1:10" x14ac:dyDescent="0.2">
      <c r="A116" s="1186" t="s">
        <v>621</v>
      </c>
      <c r="B116" s="1186" t="s">
        <v>414</v>
      </c>
      <c r="C116" s="1186" t="s">
        <v>429</v>
      </c>
      <c r="D116" s="1186">
        <v>185</v>
      </c>
      <c r="E116" s="1186">
        <v>2789349</v>
      </c>
      <c r="F116" s="1186">
        <v>2648751</v>
      </c>
      <c r="G116" s="1186">
        <v>94</v>
      </c>
      <c r="H116" s="1186">
        <v>91</v>
      </c>
      <c r="I116" s="1186"/>
      <c r="J116" s="1186"/>
    </row>
    <row r="117" spans="1:10" x14ac:dyDescent="0.2">
      <c r="A117" s="1186" t="s">
        <v>621</v>
      </c>
      <c r="B117" s="1186" t="s">
        <v>414</v>
      </c>
      <c r="C117" s="1186" t="s">
        <v>430</v>
      </c>
      <c r="D117" s="1186">
        <v>117</v>
      </c>
      <c r="E117" s="1186">
        <v>2789349</v>
      </c>
      <c r="F117" s="1186">
        <v>2648751</v>
      </c>
      <c r="G117" s="1186">
        <v>53</v>
      </c>
      <c r="H117" s="1186">
        <v>64</v>
      </c>
      <c r="I117" s="1186"/>
      <c r="J117" s="1186"/>
    </row>
    <row r="118" spans="1:10" x14ac:dyDescent="0.2">
      <c r="A118" s="1186" t="s">
        <v>1419</v>
      </c>
      <c r="B118" s="1186" t="s">
        <v>421</v>
      </c>
      <c r="C118" s="1186" t="s">
        <v>424</v>
      </c>
      <c r="D118" s="1186">
        <v>3</v>
      </c>
      <c r="E118" s="1186">
        <v>2800297</v>
      </c>
      <c r="F118" s="1186">
        <v>2663003</v>
      </c>
      <c r="G118" s="1186"/>
      <c r="H118" s="1186">
        <v>3</v>
      </c>
      <c r="I118" s="1186"/>
      <c r="J118" s="1186"/>
    </row>
    <row r="119" spans="1:10" x14ac:dyDescent="0.2">
      <c r="A119" s="1186" t="s">
        <v>1419</v>
      </c>
      <c r="B119" s="1186" t="s">
        <v>421</v>
      </c>
      <c r="C119" s="1186" t="s">
        <v>427</v>
      </c>
      <c r="D119" s="1186">
        <v>5</v>
      </c>
      <c r="E119" s="1186">
        <v>2800297</v>
      </c>
      <c r="F119" s="1186">
        <v>2663003</v>
      </c>
      <c r="G119" s="1186"/>
      <c r="H119" s="1186">
        <v>4</v>
      </c>
      <c r="I119" s="1186"/>
      <c r="J119" s="1186">
        <v>1</v>
      </c>
    </row>
    <row r="120" spans="1:10" x14ac:dyDescent="0.2">
      <c r="A120" s="1186" t="s">
        <v>1419</v>
      </c>
      <c r="B120" s="1186" t="s">
        <v>421</v>
      </c>
      <c r="C120" s="1186" t="s">
        <v>429</v>
      </c>
      <c r="D120" s="1186">
        <v>4</v>
      </c>
      <c r="E120" s="1186">
        <v>2800297</v>
      </c>
      <c r="F120" s="1186">
        <v>2663003</v>
      </c>
      <c r="G120" s="1186"/>
      <c r="H120" s="1186">
        <v>4</v>
      </c>
      <c r="I120" s="1186"/>
      <c r="J120" s="1186"/>
    </row>
    <row r="121" spans="1:10" x14ac:dyDescent="0.2">
      <c r="A121" s="1186" t="s">
        <v>1419</v>
      </c>
      <c r="B121" s="1186" t="s">
        <v>421</v>
      </c>
      <c r="C121" s="1186" t="s">
        <v>430</v>
      </c>
      <c r="D121" s="1186">
        <v>1</v>
      </c>
      <c r="E121" s="1186">
        <v>2800297</v>
      </c>
      <c r="F121" s="1186">
        <v>2663003</v>
      </c>
      <c r="G121" s="1186"/>
      <c r="H121" s="1186">
        <v>1</v>
      </c>
      <c r="I121" s="1186"/>
      <c r="J121" s="1186"/>
    </row>
    <row r="122" spans="1:10" x14ac:dyDescent="0.2">
      <c r="A122" s="1186" t="s">
        <v>1419</v>
      </c>
      <c r="B122" s="1186" t="s">
        <v>414</v>
      </c>
      <c r="C122" s="1186" t="s">
        <v>424</v>
      </c>
      <c r="D122" s="1186">
        <v>122</v>
      </c>
      <c r="E122" s="1186">
        <v>2800297</v>
      </c>
      <c r="F122" s="1186">
        <v>2663003</v>
      </c>
      <c r="G122" s="1186">
        <v>36</v>
      </c>
      <c r="H122" s="1186">
        <v>86</v>
      </c>
      <c r="I122" s="1186"/>
      <c r="J122" s="1186"/>
    </row>
    <row r="123" spans="1:10" x14ac:dyDescent="0.2">
      <c r="A123" s="1186" t="s">
        <v>1419</v>
      </c>
      <c r="B123" s="1186" t="s">
        <v>414</v>
      </c>
      <c r="C123" s="1186" t="s">
        <v>425</v>
      </c>
      <c r="D123" s="1186">
        <v>23</v>
      </c>
      <c r="E123" s="1186">
        <v>2800297</v>
      </c>
      <c r="F123" s="1186">
        <v>2663003</v>
      </c>
      <c r="G123" s="1186">
        <v>8</v>
      </c>
      <c r="H123" s="1186">
        <v>15</v>
      </c>
      <c r="I123" s="1186"/>
      <c r="J123" s="1186"/>
    </row>
    <row r="124" spans="1:10" x14ac:dyDescent="0.2">
      <c r="A124" s="1186" t="s">
        <v>1419</v>
      </c>
      <c r="B124" s="1186" t="s">
        <v>414</v>
      </c>
      <c r="C124" s="1186" t="s">
        <v>426</v>
      </c>
      <c r="D124" s="1186">
        <v>571</v>
      </c>
      <c r="E124" s="1186">
        <v>2800297</v>
      </c>
      <c r="F124" s="1186">
        <v>2663003</v>
      </c>
      <c r="G124" s="1186">
        <v>264</v>
      </c>
      <c r="H124" s="1186">
        <v>290</v>
      </c>
      <c r="I124" s="1186">
        <v>11</v>
      </c>
      <c r="J124" s="1186">
        <v>6</v>
      </c>
    </row>
    <row r="125" spans="1:10" x14ac:dyDescent="0.2">
      <c r="A125" s="1186" t="s">
        <v>1419</v>
      </c>
      <c r="B125" s="1186" t="s">
        <v>414</v>
      </c>
      <c r="C125" s="1186" t="s">
        <v>427</v>
      </c>
      <c r="D125" s="1186">
        <v>30</v>
      </c>
      <c r="E125" s="1186">
        <v>2800297</v>
      </c>
      <c r="F125" s="1186">
        <v>2663003</v>
      </c>
      <c r="G125" s="1186">
        <v>13</v>
      </c>
      <c r="H125" s="1186">
        <v>16</v>
      </c>
      <c r="I125" s="1186">
        <v>1</v>
      </c>
      <c r="J125" s="1186"/>
    </row>
    <row r="126" spans="1:10" x14ac:dyDescent="0.2">
      <c r="A126" s="1186" t="s">
        <v>1419</v>
      </c>
      <c r="B126" s="1186" t="s">
        <v>414</v>
      </c>
      <c r="C126" s="1186" t="s">
        <v>428</v>
      </c>
      <c r="D126" s="1186">
        <v>12</v>
      </c>
      <c r="E126" s="1186">
        <v>2800297</v>
      </c>
      <c r="F126" s="1186">
        <v>2663003</v>
      </c>
      <c r="G126" s="1186">
        <v>5</v>
      </c>
      <c r="H126" s="1186">
        <v>7</v>
      </c>
      <c r="I126" s="1186"/>
      <c r="J126" s="1186"/>
    </row>
    <row r="127" spans="1:10" x14ac:dyDescent="0.2">
      <c r="A127" s="1186" t="s">
        <v>1419</v>
      </c>
      <c r="B127" s="1186" t="s">
        <v>414</v>
      </c>
      <c r="C127" s="1186" t="s">
        <v>429</v>
      </c>
      <c r="D127" s="1186">
        <v>150</v>
      </c>
      <c r="E127" s="1186">
        <v>2800297</v>
      </c>
      <c r="F127" s="1186">
        <v>2663003</v>
      </c>
      <c r="G127" s="1186">
        <v>68</v>
      </c>
      <c r="H127" s="1186">
        <v>82</v>
      </c>
      <c r="I127" s="1186"/>
      <c r="J127" s="1186"/>
    </row>
    <row r="128" spans="1:10" x14ac:dyDescent="0.2">
      <c r="A128" s="1186" t="s">
        <v>1419</v>
      </c>
      <c r="B128" s="1186" t="s">
        <v>414</v>
      </c>
      <c r="C128" s="1186" t="s">
        <v>430</v>
      </c>
      <c r="D128" s="1186">
        <v>106</v>
      </c>
      <c r="E128" s="1186">
        <v>2800297</v>
      </c>
      <c r="F128" s="1186">
        <v>2663003</v>
      </c>
      <c r="G128" s="1186">
        <v>43</v>
      </c>
      <c r="H128" s="1186">
        <v>59</v>
      </c>
      <c r="I128" s="1186">
        <v>4</v>
      </c>
      <c r="J128" s="1186"/>
    </row>
    <row r="129" spans="1:10" x14ac:dyDescent="0.2">
      <c r="A129" s="1186" t="s">
        <v>1572</v>
      </c>
      <c r="B129" s="1186" t="s">
        <v>421</v>
      </c>
      <c r="C129" s="1186" t="s">
        <v>424</v>
      </c>
      <c r="D129" s="1186">
        <v>1</v>
      </c>
      <c r="E129" s="1186">
        <v>2800788</v>
      </c>
      <c r="F129" s="1186">
        <v>2665212</v>
      </c>
      <c r="G129" s="1186"/>
      <c r="H129" s="1186"/>
      <c r="I129" s="1186">
        <v>1</v>
      </c>
      <c r="J129" s="1186"/>
    </row>
    <row r="130" spans="1:10" x14ac:dyDescent="0.2">
      <c r="A130" s="1186" t="s">
        <v>1572</v>
      </c>
      <c r="B130" s="1186" t="s">
        <v>421</v>
      </c>
      <c r="C130" s="1186" t="s">
        <v>427</v>
      </c>
      <c r="D130" s="1186">
        <v>4</v>
      </c>
      <c r="E130" s="1186">
        <v>2800788</v>
      </c>
      <c r="F130" s="1186">
        <v>2665212</v>
      </c>
      <c r="G130" s="1186"/>
      <c r="H130" s="1186">
        <v>3</v>
      </c>
      <c r="I130" s="1186">
        <v>1</v>
      </c>
      <c r="J130" s="1186"/>
    </row>
    <row r="131" spans="1:10" x14ac:dyDescent="0.2">
      <c r="A131" s="1186" t="s">
        <v>1572</v>
      </c>
      <c r="B131" s="1186" t="s">
        <v>421</v>
      </c>
      <c r="C131" s="1186" t="s">
        <v>429</v>
      </c>
      <c r="D131" s="1186">
        <v>3</v>
      </c>
      <c r="E131" s="1186">
        <v>2800788</v>
      </c>
      <c r="F131" s="1186">
        <v>2665212</v>
      </c>
      <c r="G131" s="1186"/>
      <c r="H131" s="1186">
        <v>2</v>
      </c>
      <c r="I131" s="1186">
        <v>1</v>
      </c>
      <c r="J131" s="1186"/>
    </row>
    <row r="132" spans="1:10" x14ac:dyDescent="0.2">
      <c r="A132" s="1186" t="s">
        <v>1572</v>
      </c>
      <c r="B132" s="1186" t="s">
        <v>414</v>
      </c>
      <c r="C132" s="1186" t="s">
        <v>424</v>
      </c>
      <c r="D132" s="1186">
        <v>141</v>
      </c>
      <c r="E132" s="1186">
        <v>2800788</v>
      </c>
      <c r="F132" s="1186">
        <v>2665212</v>
      </c>
      <c r="G132" s="1186">
        <v>44</v>
      </c>
      <c r="H132" s="1186">
        <v>93</v>
      </c>
      <c r="I132" s="1186">
        <v>4</v>
      </c>
      <c r="J132" s="1186"/>
    </row>
    <row r="133" spans="1:10" x14ac:dyDescent="0.2">
      <c r="A133" s="1186" t="s">
        <v>1572</v>
      </c>
      <c r="B133" s="1186" t="s">
        <v>414</v>
      </c>
      <c r="C133" s="1186" t="s">
        <v>425</v>
      </c>
      <c r="D133" s="1186">
        <v>20</v>
      </c>
      <c r="E133" s="1186">
        <v>2800788</v>
      </c>
      <c r="F133" s="1186">
        <v>2665212</v>
      </c>
      <c r="G133" s="1186">
        <v>8</v>
      </c>
      <c r="H133" s="1186">
        <v>12</v>
      </c>
      <c r="I133" s="1186"/>
      <c r="J133" s="1186"/>
    </row>
    <row r="134" spans="1:10" x14ac:dyDescent="0.2">
      <c r="A134" s="1186" t="s">
        <v>1572</v>
      </c>
      <c r="B134" s="1186" t="s">
        <v>414</v>
      </c>
      <c r="C134" s="1186" t="s">
        <v>426</v>
      </c>
      <c r="D134" s="1186">
        <v>510</v>
      </c>
      <c r="E134" s="1186">
        <v>2800788</v>
      </c>
      <c r="F134" s="1186">
        <v>2665212</v>
      </c>
      <c r="G134" s="1186">
        <v>217</v>
      </c>
      <c r="H134" s="1186">
        <v>267</v>
      </c>
      <c r="I134" s="1186">
        <v>26</v>
      </c>
      <c r="J134" s="1186"/>
    </row>
    <row r="135" spans="1:10" x14ac:dyDescent="0.2">
      <c r="A135" s="1186" t="s">
        <v>1572</v>
      </c>
      <c r="B135" s="1186" t="s">
        <v>414</v>
      </c>
      <c r="C135" s="1186" t="s">
        <v>427</v>
      </c>
      <c r="D135" s="1186">
        <v>33</v>
      </c>
      <c r="E135" s="1186">
        <v>2800788</v>
      </c>
      <c r="F135" s="1186">
        <v>2665212</v>
      </c>
      <c r="G135" s="1186">
        <v>10</v>
      </c>
      <c r="H135" s="1186">
        <v>23</v>
      </c>
      <c r="I135" s="1186"/>
      <c r="J135" s="1186"/>
    </row>
    <row r="136" spans="1:10" x14ac:dyDescent="0.2">
      <c r="A136" s="1186" t="s">
        <v>1572</v>
      </c>
      <c r="B136" s="1186" t="s">
        <v>414</v>
      </c>
      <c r="C136" s="1186" t="s">
        <v>428</v>
      </c>
      <c r="D136" s="1186">
        <v>14</v>
      </c>
      <c r="E136" s="1186">
        <v>2800788</v>
      </c>
      <c r="F136" s="1186">
        <v>2665212</v>
      </c>
      <c r="G136" s="1186">
        <v>11</v>
      </c>
      <c r="H136" s="1186">
        <v>3</v>
      </c>
      <c r="I136" s="1186"/>
      <c r="J136" s="1186"/>
    </row>
    <row r="137" spans="1:10" x14ac:dyDescent="0.2">
      <c r="A137" s="1186" t="s">
        <v>1572</v>
      </c>
      <c r="B137" s="1186" t="s">
        <v>414</v>
      </c>
      <c r="C137" s="1186" t="s">
        <v>429</v>
      </c>
      <c r="D137" s="1186">
        <v>153</v>
      </c>
      <c r="E137" s="1186">
        <v>2800788</v>
      </c>
      <c r="F137" s="1186">
        <v>2665212</v>
      </c>
      <c r="G137" s="1186">
        <v>71</v>
      </c>
      <c r="H137" s="1186">
        <v>81</v>
      </c>
      <c r="I137" s="1186">
        <v>1</v>
      </c>
      <c r="J137" s="1186"/>
    </row>
    <row r="138" spans="1:10" x14ac:dyDescent="0.2">
      <c r="A138" s="1186" t="s">
        <v>1572</v>
      </c>
      <c r="B138" s="1186" t="s">
        <v>414</v>
      </c>
      <c r="C138" s="1186" t="s">
        <v>430</v>
      </c>
      <c r="D138" s="1186">
        <v>138</v>
      </c>
      <c r="E138" s="1186">
        <v>2800788</v>
      </c>
      <c r="F138" s="1186">
        <v>2665212</v>
      </c>
      <c r="G138" s="1186">
        <v>61</v>
      </c>
      <c r="H138" s="1186">
        <v>75</v>
      </c>
      <c r="I138" s="1186">
        <v>2</v>
      </c>
      <c r="J138" s="1186"/>
    </row>
  </sheetData>
  <pageMargins left="0.7" right="0.7" top="0.75" bottom="0.75" header="0.3" footer="0.3"/>
  <pageSetup paperSize="9" fitToHeight="50" orientation="landscape" r:id="rId1"/>
  <legacyDrawing r:id="rId2"/>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pageSetUpPr fitToPage="1"/>
  </sheetPr>
  <dimension ref="A1:M52"/>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44.42578125" bestFit="1" customWidth="1"/>
    <col min="3" max="3" width="12.42578125" bestFit="1" customWidth="1"/>
    <col min="4" max="5" width="7.85546875" bestFit="1" customWidth="1"/>
    <col min="6" max="6" width="18.7109375" bestFit="1" customWidth="1"/>
    <col min="7" max="7" width="16.5703125" bestFit="1" customWidth="1"/>
    <col min="8" max="8" width="21.28515625" bestFit="1" customWidth="1"/>
    <col min="9" max="9" width="23.28515625" bestFit="1" customWidth="1"/>
    <col min="10" max="10" width="22.42578125" bestFit="1" customWidth="1"/>
    <col min="11" max="11" width="20.42578125" bestFit="1" customWidth="1"/>
    <col min="12" max="12" width="24.85546875" bestFit="1" customWidth="1"/>
    <col min="13" max="13" width="27" bestFit="1" customWidth="1"/>
  </cols>
  <sheetData>
    <row r="1" spans="1:13" x14ac:dyDescent="0.2"/>
    <row r="4" spans="1:13" x14ac:dyDescent="0.2">
      <c r="A4" s="1223" t="s">
        <v>4</v>
      </c>
      <c r="B4" s="1223" t="s">
        <v>1291</v>
      </c>
      <c r="C4" s="1223" t="s">
        <v>1772</v>
      </c>
      <c r="D4" s="1223" t="s">
        <v>1786</v>
      </c>
      <c r="E4" s="1223" t="s">
        <v>1787</v>
      </c>
      <c r="F4" s="1223" t="s">
        <v>1790</v>
      </c>
      <c r="G4" s="1223" t="s">
        <v>1791</v>
      </c>
      <c r="H4" s="1223" t="s">
        <v>1792</v>
      </c>
      <c r="I4" s="1223" t="s">
        <v>1793</v>
      </c>
      <c r="J4" s="1223" t="s">
        <v>1794</v>
      </c>
      <c r="K4" s="1223" t="s">
        <v>1795</v>
      </c>
      <c r="L4" s="1223" t="s">
        <v>1796</v>
      </c>
      <c r="M4" s="1223" t="s">
        <v>1797</v>
      </c>
    </row>
    <row r="5" spans="1:13" x14ac:dyDescent="0.2">
      <c r="A5" s="1186" t="s">
        <v>19</v>
      </c>
      <c r="B5" s="1186" t="s">
        <v>432</v>
      </c>
      <c r="C5" s="1186">
        <v>267</v>
      </c>
      <c r="D5" s="1186">
        <v>2699931</v>
      </c>
      <c r="E5" s="1186">
        <v>2531969</v>
      </c>
      <c r="F5" s="1186"/>
      <c r="G5" s="1186">
        <v>2</v>
      </c>
      <c r="H5" s="1186"/>
      <c r="I5" s="1186"/>
      <c r="J5" s="1186">
        <v>121</v>
      </c>
      <c r="K5" s="1186">
        <v>138</v>
      </c>
      <c r="L5" s="1186">
        <v>5</v>
      </c>
      <c r="M5" s="1186">
        <v>1</v>
      </c>
    </row>
    <row r="6" spans="1:13" x14ac:dyDescent="0.2">
      <c r="A6" s="1186" t="s">
        <v>19</v>
      </c>
      <c r="B6" s="1186" t="s">
        <v>433</v>
      </c>
      <c r="C6" s="1186">
        <v>414</v>
      </c>
      <c r="D6" s="1186">
        <v>2699931</v>
      </c>
      <c r="E6" s="1186">
        <v>2531969</v>
      </c>
      <c r="F6" s="1186"/>
      <c r="G6" s="1186">
        <v>4</v>
      </c>
      <c r="H6" s="1186"/>
      <c r="I6" s="1186"/>
      <c r="J6" s="1186">
        <v>196</v>
      </c>
      <c r="K6" s="1186">
        <v>211</v>
      </c>
      <c r="L6" s="1186">
        <v>1</v>
      </c>
      <c r="M6" s="1186">
        <v>2</v>
      </c>
    </row>
    <row r="7" spans="1:13" x14ac:dyDescent="0.2">
      <c r="A7" s="1186" t="s">
        <v>19</v>
      </c>
      <c r="B7" s="1186" t="s">
        <v>434</v>
      </c>
      <c r="C7" s="1186">
        <v>449</v>
      </c>
      <c r="D7" s="1186">
        <v>2699931</v>
      </c>
      <c r="E7" s="1186">
        <v>2531969</v>
      </c>
      <c r="F7" s="1186"/>
      <c r="G7" s="1186">
        <v>10</v>
      </c>
      <c r="H7" s="1186"/>
      <c r="I7" s="1186"/>
      <c r="J7" s="1186">
        <v>180</v>
      </c>
      <c r="K7" s="1186">
        <v>258</v>
      </c>
      <c r="L7" s="1186">
        <v>1</v>
      </c>
      <c r="M7" s="1186"/>
    </row>
    <row r="8" spans="1:13" x14ac:dyDescent="0.2">
      <c r="A8" s="1186" t="s">
        <v>19</v>
      </c>
      <c r="B8" s="1186" t="s">
        <v>435</v>
      </c>
      <c r="C8" s="1186">
        <v>93</v>
      </c>
      <c r="D8" s="1186">
        <v>2699931</v>
      </c>
      <c r="E8" s="1186">
        <v>2531969</v>
      </c>
      <c r="F8" s="1186"/>
      <c r="G8" s="1186">
        <v>2</v>
      </c>
      <c r="H8" s="1186"/>
      <c r="I8" s="1186"/>
      <c r="J8" s="1186">
        <v>26</v>
      </c>
      <c r="K8" s="1186">
        <v>65</v>
      </c>
      <c r="L8" s="1186"/>
      <c r="M8" s="1186"/>
    </row>
    <row r="9" spans="1:13" x14ac:dyDescent="0.2">
      <c r="A9" s="1186" t="s">
        <v>20</v>
      </c>
      <c r="B9" s="1186" t="s">
        <v>432</v>
      </c>
      <c r="C9" s="1186">
        <v>238</v>
      </c>
      <c r="D9" s="1186">
        <v>2713982</v>
      </c>
      <c r="E9" s="1186">
        <v>2548218</v>
      </c>
      <c r="F9" s="1186"/>
      <c r="G9" s="1186">
        <v>3</v>
      </c>
      <c r="H9" s="1186"/>
      <c r="I9" s="1186"/>
      <c r="J9" s="1186">
        <v>101</v>
      </c>
      <c r="K9" s="1186">
        <v>131</v>
      </c>
      <c r="L9" s="1186">
        <v>3</v>
      </c>
      <c r="M9" s="1186"/>
    </row>
    <row r="10" spans="1:13" x14ac:dyDescent="0.2">
      <c r="A10" s="1186" t="s">
        <v>20</v>
      </c>
      <c r="B10" s="1186" t="s">
        <v>433</v>
      </c>
      <c r="C10" s="1186">
        <v>448</v>
      </c>
      <c r="D10" s="1186">
        <v>2713982</v>
      </c>
      <c r="E10" s="1186">
        <v>2548218</v>
      </c>
      <c r="F10" s="1186"/>
      <c r="G10" s="1186">
        <v>3</v>
      </c>
      <c r="H10" s="1186"/>
      <c r="I10" s="1186"/>
      <c r="J10" s="1186">
        <v>205</v>
      </c>
      <c r="K10" s="1186">
        <v>238</v>
      </c>
      <c r="L10" s="1186">
        <v>1</v>
      </c>
      <c r="M10" s="1186">
        <v>1</v>
      </c>
    </row>
    <row r="11" spans="1:13" x14ac:dyDescent="0.2">
      <c r="A11" s="1186" t="s">
        <v>20</v>
      </c>
      <c r="B11" s="1186" t="s">
        <v>434</v>
      </c>
      <c r="C11" s="1186">
        <v>543</v>
      </c>
      <c r="D11" s="1186">
        <v>2713982</v>
      </c>
      <c r="E11" s="1186">
        <v>2548218</v>
      </c>
      <c r="F11" s="1186"/>
      <c r="G11" s="1186">
        <v>19</v>
      </c>
      <c r="H11" s="1186"/>
      <c r="I11" s="1186"/>
      <c r="J11" s="1186">
        <v>223</v>
      </c>
      <c r="K11" s="1186">
        <v>301</v>
      </c>
      <c r="L11" s="1186"/>
      <c r="M11" s="1186"/>
    </row>
    <row r="12" spans="1:13" x14ac:dyDescent="0.2">
      <c r="A12" s="1186" t="s">
        <v>20</v>
      </c>
      <c r="B12" s="1186" t="s">
        <v>435</v>
      </c>
      <c r="C12" s="1186">
        <v>103</v>
      </c>
      <c r="D12" s="1186">
        <v>2713982</v>
      </c>
      <c r="E12" s="1186">
        <v>2548218</v>
      </c>
      <c r="F12" s="1186"/>
      <c r="G12" s="1186">
        <v>3</v>
      </c>
      <c r="H12" s="1186"/>
      <c r="I12" s="1186"/>
      <c r="J12" s="1186">
        <v>41</v>
      </c>
      <c r="K12" s="1186">
        <v>59</v>
      </c>
      <c r="L12" s="1186"/>
      <c r="M12" s="1186"/>
    </row>
    <row r="13" spans="1:13" x14ac:dyDescent="0.2">
      <c r="A13" s="1186" t="s">
        <v>13</v>
      </c>
      <c r="B13" s="1186" t="s">
        <v>432</v>
      </c>
      <c r="C13" s="1186">
        <v>297</v>
      </c>
      <c r="D13" s="1186">
        <v>2729600</v>
      </c>
      <c r="E13" s="1186">
        <v>2570300</v>
      </c>
      <c r="F13" s="1186"/>
      <c r="G13" s="1186">
        <v>3</v>
      </c>
      <c r="H13" s="1186"/>
      <c r="I13" s="1186"/>
      <c r="J13" s="1186">
        <v>150</v>
      </c>
      <c r="K13" s="1186">
        <v>137</v>
      </c>
      <c r="L13" s="1186">
        <v>7</v>
      </c>
      <c r="M13" s="1186"/>
    </row>
    <row r="14" spans="1:13" x14ac:dyDescent="0.2">
      <c r="A14" s="1186" t="s">
        <v>13</v>
      </c>
      <c r="B14" s="1186" t="s">
        <v>433</v>
      </c>
      <c r="C14" s="1186">
        <v>522</v>
      </c>
      <c r="D14" s="1186">
        <v>2729600</v>
      </c>
      <c r="E14" s="1186">
        <v>2570300</v>
      </c>
      <c r="F14" s="1186"/>
      <c r="G14" s="1186">
        <v>9</v>
      </c>
      <c r="H14" s="1186"/>
      <c r="I14" s="1186"/>
      <c r="J14" s="1186">
        <v>262</v>
      </c>
      <c r="K14" s="1186">
        <v>240</v>
      </c>
      <c r="L14" s="1186">
        <v>9</v>
      </c>
      <c r="M14" s="1186">
        <v>2</v>
      </c>
    </row>
    <row r="15" spans="1:13" x14ac:dyDescent="0.2">
      <c r="A15" s="1186" t="s">
        <v>13</v>
      </c>
      <c r="B15" s="1186" t="s">
        <v>434</v>
      </c>
      <c r="C15" s="1186">
        <v>513</v>
      </c>
      <c r="D15" s="1186">
        <v>2729600</v>
      </c>
      <c r="E15" s="1186">
        <v>2570300</v>
      </c>
      <c r="F15" s="1186"/>
      <c r="G15" s="1186">
        <v>12</v>
      </c>
      <c r="H15" s="1186"/>
      <c r="I15" s="1186"/>
      <c r="J15" s="1186">
        <v>213</v>
      </c>
      <c r="K15" s="1186">
        <v>283</v>
      </c>
      <c r="L15" s="1186">
        <v>5</v>
      </c>
      <c r="M15" s="1186"/>
    </row>
    <row r="16" spans="1:13" x14ac:dyDescent="0.2">
      <c r="A16" s="1186" t="s">
        <v>13</v>
      </c>
      <c r="B16" s="1186" t="s">
        <v>435</v>
      </c>
      <c r="C16" s="1186">
        <v>82</v>
      </c>
      <c r="D16" s="1186">
        <v>2729600</v>
      </c>
      <c r="E16" s="1186">
        <v>2570300</v>
      </c>
      <c r="F16" s="1186"/>
      <c r="G16" s="1186">
        <v>4</v>
      </c>
      <c r="H16" s="1186"/>
      <c r="I16" s="1186"/>
      <c r="J16" s="1186">
        <v>24</v>
      </c>
      <c r="K16" s="1186">
        <v>54</v>
      </c>
      <c r="L16" s="1186"/>
      <c r="M16" s="1186"/>
    </row>
    <row r="17" spans="1:13" x14ac:dyDescent="0.2">
      <c r="A17" s="1186" t="s">
        <v>15</v>
      </c>
      <c r="B17" s="1186" t="s">
        <v>432</v>
      </c>
      <c r="C17" s="1186">
        <v>262</v>
      </c>
      <c r="D17" s="1186">
        <v>2736310</v>
      </c>
      <c r="E17" s="1186">
        <v>2577290</v>
      </c>
      <c r="F17" s="1186"/>
      <c r="G17" s="1186">
        <v>1</v>
      </c>
      <c r="H17" s="1186"/>
      <c r="I17" s="1186"/>
      <c r="J17" s="1186">
        <v>122</v>
      </c>
      <c r="K17" s="1186">
        <v>134</v>
      </c>
      <c r="L17" s="1186">
        <v>5</v>
      </c>
      <c r="M17" s="1186"/>
    </row>
    <row r="18" spans="1:13" x14ac:dyDescent="0.2">
      <c r="A18" s="1186" t="s">
        <v>15</v>
      </c>
      <c r="B18" s="1186" t="s">
        <v>433</v>
      </c>
      <c r="C18" s="1186">
        <v>558</v>
      </c>
      <c r="D18" s="1186">
        <v>2736310</v>
      </c>
      <c r="E18" s="1186">
        <v>2577290</v>
      </c>
      <c r="F18" s="1186"/>
      <c r="G18" s="1186">
        <v>9</v>
      </c>
      <c r="H18" s="1186"/>
      <c r="I18" s="1186"/>
      <c r="J18" s="1186">
        <v>273</v>
      </c>
      <c r="K18" s="1186">
        <v>274</v>
      </c>
      <c r="L18" s="1186">
        <v>2</v>
      </c>
      <c r="M18" s="1186"/>
    </row>
    <row r="19" spans="1:13" x14ac:dyDescent="0.2">
      <c r="A19" s="1186" t="s">
        <v>15</v>
      </c>
      <c r="B19" s="1186" t="s">
        <v>434</v>
      </c>
      <c r="C19" s="1186">
        <v>442</v>
      </c>
      <c r="D19" s="1186">
        <v>2736310</v>
      </c>
      <c r="E19" s="1186">
        <v>2577290</v>
      </c>
      <c r="F19" s="1186"/>
      <c r="G19" s="1186">
        <v>7</v>
      </c>
      <c r="H19" s="1186"/>
      <c r="I19" s="1186"/>
      <c r="J19" s="1186">
        <v>181</v>
      </c>
      <c r="K19" s="1186">
        <v>254</v>
      </c>
      <c r="L19" s="1186"/>
      <c r="M19" s="1186"/>
    </row>
    <row r="20" spans="1:13" x14ac:dyDescent="0.2">
      <c r="A20" s="1186" t="s">
        <v>15</v>
      </c>
      <c r="B20" s="1186" t="s">
        <v>435</v>
      </c>
      <c r="C20" s="1186">
        <v>57</v>
      </c>
      <c r="D20" s="1186">
        <v>2736310</v>
      </c>
      <c r="E20" s="1186">
        <v>2577290</v>
      </c>
      <c r="F20" s="1186"/>
      <c r="G20" s="1186">
        <v>1</v>
      </c>
      <c r="H20" s="1186"/>
      <c r="I20" s="1186"/>
      <c r="J20" s="1186">
        <v>21</v>
      </c>
      <c r="K20" s="1186">
        <v>35</v>
      </c>
      <c r="L20" s="1186"/>
      <c r="M20" s="1186"/>
    </row>
    <row r="21" spans="1:13" x14ac:dyDescent="0.2">
      <c r="A21" s="1186" t="s">
        <v>17</v>
      </c>
      <c r="B21" s="1186" t="s">
        <v>432</v>
      </c>
      <c r="C21" s="1186">
        <v>221</v>
      </c>
      <c r="D21" s="1186">
        <v>2741020</v>
      </c>
      <c r="E21" s="1186">
        <v>2586680</v>
      </c>
      <c r="F21" s="1186"/>
      <c r="G21" s="1186">
        <v>2</v>
      </c>
      <c r="H21" s="1186"/>
      <c r="I21" s="1186"/>
      <c r="J21" s="1186">
        <v>110</v>
      </c>
      <c r="K21" s="1186">
        <v>105</v>
      </c>
      <c r="L21" s="1186">
        <v>2</v>
      </c>
      <c r="M21" s="1186">
        <v>2</v>
      </c>
    </row>
    <row r="22" spans="1:13" x14ac:dyDescent="0.2">
      <c r="A22" s="1186" t="s">
        <v>17</v>
      </c>
      <c r="B22" s="1186" t="s">
        <v>433</v>
      </c>
      <c r="C22" s="1186">
        <v>570</v>
      </c>
      <c r="D22" s="1186">
        <v>2741020</v>
      </c>
      <c r="E22" s="1186">
        <v>2586680</v>
      </c>
      <c r="F22" s="1186"/>
      <c r="G22" s="1186">
        <v>3</v>
      </c>
      <c r="H22" s="1186"/>
      <c r="I22" s="1186"/>
      <c r="J22" s="1186">
        <v>272</v>
      </c>
      <c r="K22" s="1186">
        <v>286</v>
      </c>
      <c r="L22" s="1186">
        <v>4</v>
      </c>
      <c r="M22" s="1186">
        <v>5</v>
      </c>
    </row>
    <row r="23" spans="1:13" x14ac:dyDescent="0.2">
      <c r="A23" s="1186" t="s">
        <v>17</v>
      </c>
      <c r="B23" s="1186" t="s">
        <v>434</v>
      </c>
      <c r="C23" s="1186">
        <v>443</v>
      </c>
      <c r="D23" s="1186">
        <v>2741020</v>
      </c>
      <c r="E23" s="1186">
        <v>2586680</v>
      </c>
      <c r="F23" s="1186">
        <v>1</v>
      </c>
      <c r="G23" s="1186">
        <v>7</v>
      </c>
      <c r="H23" s="1186"/>
      <c r="I23" s="1186"/>
      <c r="J23" s="1186">
        <v>169</v>
      </c>
      <c r="K23" s="1186">
        <v>264</v>
      </c>
      <c r="L23" s="1186">
        <v>2</v>
      </c>
      <c r="M23" s="1186"/>
    </row>
    <row r="24" spans="1:13" x14ac:dyDescent="0.2">
      <c r="A24" s="1186" t="s">
        <v>17</v>
      </c>
      <c r="B24" s="1186" t="s">
        <v>435</v>
      </c>
      <c r="C24" s="1186">
        <v>76</v>
      </c>
      <c r="D24" s="1186">
        <v>2741020</v>
      </c>
      <c r="E24" s="1186">
        <v>2586680</v>
      </c>
      <c r="F24" s="1186"/>
      <c r="G24" s="1186">
        <v>2</v>
      </c>
      <c r="H24" s="1186"/>
      <c r="I24" s="1186"/>
      <c r="J24" s="1186">
        <v>23</v>
      </c>
      <c r="K24" s="1186">
        <v>51</v>
      </c>
      <c r="L24" s="1186"/>
      <c r="M24" s="1186"/>
    </row>
    <row r="25" spans="1:13" x14ac:dyDescent="0.2">
      <c r="A25" s="1186" t="s">
        <v>133</v>
      </c>
      <c r="B25" s="1186" t="s">
        <v>432</v>
      </c>
      <c r="C25" s="1186">
        <v>213</v>
      </c>
      <c r="D25" s="1186">
        <v>2751070</v>
      </c>
      <c r="E25" s="1186">
        <v>2596530</v>
      </c>
      <c r="F25" s="1186"/>
      <c r="G25" s="1186">
        <v>2</v>
      </c>
      <c r="H25" s="1186"/>
      <c r="I25" s="1186"/>
      <c r="J25" s="1186">
        <v>97</v>
      </c>
      <c r="K25" s="1186">
        <v>112</v>
      </c>
      <c r="L25" s="1186">
        <v>1</v>
      </c>
      <c r="M25" s="1186">
        <v>1</v>
      </c>
    </row>
    <row r="26" spans="1:13" x14ac:dyDescent="0.2">
      <c r="A26" s="1186" t="s">
        <v>133</v>
      </c>
      <c r="B26" s="1186" t="s">
        <v>433</v>
      </c>
      <c r="C26" s="1186">
        <v>441</v>
      </c>
      <c r="D26" s="1186">
        <v>2751070</v>
      </c>
      <c r="E26" s="1186">
        <v>2596530</v>
      </c>
      <c r="F26" s="1186"/>
      <c r="G26" s="1186">
        <v>1</v>
      </c>
      <c r="H26" s="1186"/>
      <c r="I26" s="1186"/>
      <c r="J26" s="1186">
        <v>196</v>
      </c>
      <c r="K26" s="1186">
        <v>240</v>
      </c>
      <c r="L26" s="1186">
        <v>4</v>
      </c>
      <c r="M26" s="1186"/>
    </row>
    <row r="27" spans="1:13" x14ac:dyDescent="0.2">
      <c r="A27" s="1186" t="s">
        <v>133</v>
      </c>
      <c r="B27" s="1186" t="s">
        <v>434</v>
      </c>
      <c r="C27" s="1186">
        <v>383</v>
      </c>
      <c r="D27" s="1186">
        <v>2751070</v>
      </c>
      <c r="E27" s="1186">
        <v>2596530</v>
      </c>
      <c r="F27" s="1186"/>
      <c r="G27" s="1186">
        <v>6</v>
      </c>
      <c r="H27" s="1186"/>
      <c r="I27" s="1186"/>
      <c r="J27" s="1186">
        <v>147</v>
      </c>
      <c r="K27" s="1186">
        <v>229</v>
      </c>
      <c r="L27" s="1186">
        <v>1</v>
      </c>
      <c r="M27" s="1186"/>
    </row>
    <row r="28" spans="1:13" x14ac:dyDescent="0.2">
      <c r="A28" s="1186" t="s">
        <v>133</v>
      </c>
      <c r="B28" s="1186" t="s">
        <v>435</v>
      </c>
      <c r="C28" s="1186">
        <v>62</v>
      </c>
      <c r="D28" s="1186">
        <v>2751070</v>
      </c>
      <c r="E28" s="1186">
        <v>2596530</v>
      </c>
      <c r="F28" s="1186"/>
      <c r="G28" s="1186">
        <v>3</v>
      </c>
      <c r="H28" s="1186"/>
      <c r="I28" s="1186"/>
      <c r="J28" s="1186">
        <v>23</v>
      </c>
      <c r="K28" s="1186">
        <v>36</v>
      </c>
      <c r="L28" s="1186"/>
      <c r="M28" s="1186"/>
    </row>
    <row r="29" spans="1:13" x14ac:dyDescent="0.2">
      <c r="A29" s="1186" t="s">
        <v>144</v>
      </c>
      <c r="B29" s="1186" t="s">
        <v>432</v>
      </c>
      <c r="C29" s="1186">
        <v>259</v>
      </c>
      <c r="D29" s="1186">
        <v>2762531</v>
      </c>
      <c r="E29" s="1186">
        <v>2610469</v>
      </c>
      <c r="F29" s="1186">
        <v>1</v>
      </c>
      <c r="G29" s="1186">
        <v>1</v>
      </c>
      <c r="H29" s="1186"/>
      <c r="I29" s="1186"/>
      <c r="J29" s="1186">
        <v>111</v>
      </c>
      <c r="K29" s="1186">
        <v>143</v>
      </c>
      <c r="L29" s="1186">
        <v>2</v>
      </c>
      <c r="M29" s="1186">
        <v>1</v>
      </c>
    </row>
    <row r="30" spans="1:13" x14ac:dyDescent="0.2">
      <c r="A30" s="1186" t="s">
        <v>144</v>
      </c>
      <c r="B30" s="1186" t="s">
        <v>433</v>
      </c>
      <c r="C30" s="1186">
        <v>516</v>
      </c>
      <c r="D30" s="1186">
        <v>2762531</v>
      </c>
      <c r="E30" s="1186">
        <v>2610469</v>
      </c>
      <c r="F30" s="1186"/>
      <c r="G30" s="1186">
        <v>1</v>
      </c>
      <c r="H30" s="1186"/>
      <c r="I30" s="1186"/>
      <c r="J30" s="1186">
        <v>258</v>
      </c>
      <c r="K30" s="1186">
        <v>255</v>
      </c>
      <c r="L30" s="1186">
        <v>2</v>
      </c>
      <c r="M30" s="1186"/>
    </row>
    <row r="31" spans="1:13" x14ac:dyDescent="0.2">
      <c r="A31" s="1186" t="s">
        <v>144</v>
      </c>
      <c r="B31" s="1186" t="s">
        <v>434</v>
      </c>
      <c r="C31" s="1186">
        <v>431</v>
      </c>
      <c r="D31" s="1186">
        <v>2762531</v>
      </c>
      <c r="E31" s="1186">
        <v>2610469</v>
      </c>
      <c r="F31" s="1186">
        <v>1</v>
      </c>
      <c r="G31" s="1186">
        <v>6</v>
      </c>
      <c r="H31" s="1186"/>
      <c r="I31" s="1186"/>
      <c r="J31" s="1186">
        <v>160</v>
      </c>
      <c r="K31" s="1186">
        <v>264</v>
      </c>
      <c r="L31" s="1186"/>
      <c r="M31" s="1186"/>
    </row>
    <row r="32" spans="1:13" x14ac:dyDescent="0.2">
      <c r="A32" s="1186" t="s">
        <v>144</v>
      </c>
      <c r="B32" s="1186" t="s">
        <v>435</v>
      </c>
      <c r="C32" s="1186">
        <v>70</v>
      </c>
      <c r="D32" s="1186">
        <v>2762531</v>
      </c>
      <c r="E32" s="1186">
        <v>2610469</v>
      </c>
      <c r="F32" s="1186"/>
      <c r="G32" s="1186"/>
      <c r="H32" s="1186"/>
      <c r="I32" s="1186"/>
      <c r="J32" s="1186">
        <v>22</v>
      </c>
      <c r="K32" s="1186">
        <v>48</v>
      </c>
      <c r="L32" s="1186"/>
      <c r="M32" s="1186"/>
    </row>
    <row r="33" spans="1:13" x14ac:dyDescent="0.2">
      <c r="A33" s="1186" t="s">
        <v>282</v>
      </c>
      <c r="B33" s="1186" t="s">
        <v>432</v>
      </c>
      <c r="C33" s="1186">
        <v>330</v>
      </c>
      <c r="D33" s="1186">
        <v>2777197</v>
      </c>
      <c r="E33" s="1186">
        <v>2627503</v>
      </c>
      <c r="F33" s="1186"/>
      <c r="G33" s="1186">
        <v>4</v>
      </c>
      <c r="H33" s="1186"/>
      <c r="I33" s="1186"/>
      <c r="J33" s="1186">
        <v>138</v>
      </c>
      <c r="K33" s="1186">
        <v>187</v>
      </c>
      <c r="L33" s="1186">
        <v>1</v>
      </c>
      <c r="M33" s="1186"/>
    </row>
    <row r="34" spans="1:13" x14ac:dyDescent="0.2">
      <c r="A34" s="1186" t="s">
        <v>282</v>
      </c>
      <c r="B34" s="1186" t="s">
        <v>433</v>
      </c>
      <c r="C34" s="1186">
        <v>487</v>
      </c>
      <c r="D34" s="1186">
        <v>2777197</v>
      </c>
      <c r="E34" s="1186">
        <v>2627503</v>
      </c>
      <c r="F34" s="1186"/>
      <c r="G34" s="1186">
        <v>2</v>
      </c>
      <c r="H34" s="1186">
        <v>1</v>
      </c>
      <c r="I34" s="1186"/>
      <c r="J34" s="1186">
        <v>227</v>
      </c>
      <c r="K34" s="1186">
        <v>253</v>
      </c>
      <c r="L34" s="1186">
        <v>4</v>
      </c>
      <c r="M34" s="1186"/>
    </row>
    <row r="35" spans="1:13" x14ac:dyDescent="0.2">
      <c r="A35" s="1186" t="s">
        <v>282</v>
      </c>
      <c r="B35" s="1186" t="s">
        <v>434</v>
      </c>
      <c r="C35" s="1186">
        <v>384</v>
      </c>
      <c r="D35" s="1186">
        <v>2777197</v>
      </c>
      <c r="E35" s="1186">
        <v>2627503</v>
      </c>
      <c r="F35" s="1186"/>
      <c r="G35" s="1186">
        <v>9</v>
      </c>
      <c r="H35" s="1186"/>
      <c r="I35" s="1186"/>
      <c r="J35" s="1186">
        <v>165</v>
      </c>
      <c r="K35" s="1186">
        <v>210</v>
      </c>
      <c r="L35" s="1186"/>
      <c r="M35" s="1186"/>
    </row>
    <row r="36" spans="1:13" x14ac:dyDescent="0.2">
      <c r="A36" s="1186" t="s">
        <v>282</v>
      </c>
      <c r="B36" s="1186" t="s">
        <v>435</v>
      </c>
      <c r="C36" s="1186">
        <v>65</v>
      </c>
      <c r="D36" s="1186">
        <v>2777197</v>
      </c>
      <c r="E36" s="1186">
        <v>2627503</v>
      </c>
      <c r="F36" s="1186"/>
      <c r="G36" s="1186">
        <v>2</v>
      </c>
      <c r="H36" s="1186"/>
      <c r="I36" s="1186"/>
      <c r="J36" s="1186">
        <v>18</v>
      </c>
      <c r="K36" s="1186">
        <v>45</v>
      </c>
      <c r="L36" s="1186"/>
      <c r="M36" s="1186"/>
    </row>
    <row r="37" spans="1:13" x14ac:dyDescent="0.2">
      <c r="A37" s="1186" t="s">
        <v>311</v>
      </c>
      <c r="B37" s="1186" t="s">
        <v>432</v>
      </c>
      <c r="C37" s="1186">
        <v>235</v>
      </c>
      <c r="D37" s="1186">
        <v>2784500</v>
      </c>
      <c r="E37" s="1186">
        <v>2640300</v>
      </c>
      <c r="F37" s="1186">
        <v>1</v>
      </c>
      <c r="G37" s="1186">
        <v>6</v>
      </c>
      <c r="H37" s="1186">
        <v>3</v>
      </c>
      <c r="I37" s="1186"/>
      <c r="J37" s="1186">
        <v>100</v>
      </c>
      <c r="K37" s="1186">
        <v>123</v>
      </c>
      <c r="L37" s="1186">
        <v>1</v>
      </c>
      <c r="M37" s="1186">
        <v>1</v>
      </c>
    </row>
    <row r="38" spans="1:13" x14ac:dyDescent="0.2">
      <c r="A38" s="1186" t="s">
        <v>311</v>
      </c>
      <c r="B38" s="1186" t="s">
        <v>433</v>
      </c>
      <c r="C38" s="1186">
        <v>462</v>
      </c>
      <c r="D38" s="1186">
        <v>2784500</v>
      </c>
      <c r="E38" s="1186">
        <v>2640300</v>
      </c>
      <c r="F38" s="1186"/>
      <c r="G38" s="1186">
        <v>6</v>
      </c>
      <c r="H38" s="1186"/>
      <c r="I38" s="1186">
        <v>1</v>
      </c>
      <c r="J38" s="1186">
        <v>206</v>
      </c>
      <c r="K38" s="1186">
        <v>242</v>
      </c>
      <c r="L38" s="1186">
        <v>7</v>
      </c>
      <c r="M38" s="1186"/>
    </row>
    <row r="39" spans="1:13" x14ac:dyDescent="0.2">
      <c r="A39" s="1186" t="s">
        <v>311</v>
      </c>
      <c r="B39" s="1186" t="s">
        <v>434</v>
      </c>
      <c r="C39" s="1186">
        <v>356</v>
      </c>
      <c r="D39" s="1186">
        <v>2784500</v>
      </c>
      <c r="E39" s="1186">
        <v>2640300</v>
      </c>
      <c r="F39" s="1186"/>
      <c r="G39" s="1186">
        <v>10</v>
      </c>
      <c r="H39" s="1186"/>
      <c r="I39" s="1186"/>
      <c r="J39" s="1186">
        <v>157</v>
      </c>
      <c r="K39" s="1186">
        <v>187</v>
      </c>
      <c r="L39" s="1186">
        <v>2</v>
      </c>
      <c r="M39" s="1186"/>
    </row>
    <row r="40" spans="1:13" x14ac:dyDescent="0.2">
      <c r="A40" s="1186" t="s">
        <v>311</v>
      </c>
      <c r="B40" s="1186" t="s">
        <v>435</v>
      </c>
      <c r="C40" s="1186">
        <v>63</v>
      </c>
      <c r="D40" s="1186">
        <v>2784500</v>
      </c>
      <c r="E40" s="1186">
        <v>2640300</v>
      </c>
      <c r="F40" s="1186"/>
      <c r="G40" s="1186">
        <v>1</v>
      </c>
      <c r="H40" s="1186"/>
      <c r="I40" s="1186"/>
      <c r="J40" s="1186">
        <v>15</v>
      </c>
      <c r="K40" s="1186">
        <v>47</v>
      </c>
      <c r="L40" s="1186"/>
      <c r="M40" s="1186"/>
    </row>
    <row r="41" spans="1:13" x14ac:dyDescent="0.2">
      <c r="A41" s="1186" t="s">
        <v>621</v>
      </c>
      <c r="B41" s="1186" t="s">
        <v>432</v>
      </c>
      <c r="C41" s="1186">
        <v>248</v>
      </c>
      <c r="D41" s="1186">
        <v>2789349</v>
      </c>
      <c r="E41" s="1186">
        <v>2648751</v>
      </c>
      <c r="F41" s="1186"/>
      <c r="G41" s="1186">
        <v>5</v>
      </c>
      <c r="H41" s="1186"/>
      <c r="I41" s="1186"/>
      <c r="J41" s="1186">
        <v>108</v>
      </c>
      <c r="K41" s="1186">
        <v>134</v>
      </c>
      <c r="L41" s="1186">
        <v>1</v>
      </c>
      <c r="M41" s="1186"/>
    </row>
    <row r="42" spans="1:13" x14ac:dyDescent="0.2">
      <c r="A42" s="1186" t="s">
        <v>621</v>
      </c>
      <c r="B42" s="1186" t="s">
        <v>433</v>
      </c>
      <c r="C42" s="1186">
        <v>523</v>
      </c>
      <c r="D42" s="1186">
        <v>2789349</v>
      </c>
      <c r="E42" s="1186">
        <v>2648751</v>
      </c>
      <c r="F42" s="1186"/>
      <c r="G42" s="1186">
        <v>7</v>
      </c>
      <c r="H42" s="1186"/>
      <c r="I42" s="1186">
        <v>1</v>
      </c>
      <c r="J42" s="1186">
        <v>231</v>
      </c>
      <c r="K42" s="1186">
        <v>271</v>
      </c>
      <c r="L42" s="1186">
        <v>12</v>
      </c>
      <c r="M42" s="1186">
        <v>1</v>
      </c>
    </row>
    <row r="43" spans="1:13" x14ac:dyDescent="0.2">
      <c r="A43" s="1186" t="s">
        <v>621</v>
      </c>
      <c r="B43" s="1186" t="s">
        <v>434</v>
      </c>
      <c r="C43" s="1186">
        <v>373</v>
      </c>
      <c r="D43" s="1186">
        <v>2789349</v>
      </c>
      <c r="E43" s="1186">
        <v>2648751</v>
      </c>
      <c r="F43" s="1186"/>
      <c r="G43" s="1186">
        <v>8</v>
      </c>
      <c r="H43" s="1186"/>
      <c r="I43" s="1186"/>
      <c r="J43" s="1186">
        <v>156</v>
      </c>
      <c r="K43" s="1186">
        <v>206</v>
      </c>
      <c r="L43" s="1186">
        <v>3</v>
      </c>
      <c r="M43" s="1186"/>
    </row>
    <row r="44" spans="1:13" x14ac:dyDescent="0.2">
      <c r="A44" s="1186" t="s">
        <v>621</v>
      </c>
      <c r="B44" s="1186" t="s">
        <v>435</v>
      </c>
      <c r="C44" s="1186">
        <v>53</v>
      </c>
      <c r="D44" s="1186">
        <v>2789349</v>
      </c>
      <c r="E44" s="1186">
        <v>2648751</v>
      </c>
      <c r="F44" s="1186"/>
      <c r="G44" s="1186"/>
      <c r="H44" s="1186"/>
      <c r="I44" s="1186"/>
      <c r="J44" s="1186">
        <v>17</v>
      </c>
      <c r="K44" s="1186">
        <v>36</v>
      </c>
      <c r="L44" s="1186"/>
      <c r="M44" s="1186"/>
    </row>
    <row r="45" spans="1:13" x14ac:dyDescent="0.2">
      <c r="A45" s="1186" t="s">
        <v>1419</v>
      </c>
      <c r="B45" s="1186" t="s">
        <v>432</v>
      </c>
      <c r="C45" s="1186">
        <v>219</v>
      </c>
      <c r="D45" s="1186">
        <v>2800297</v>
      </c>
      <c r="E45" s="1186">
        <v>2663003</v>
      </c>
      <c r="F45" s="1186"/>
      <c r="G45" s="1186">
        <v>5</v>
      </c>
      <c r="H45" s="1186"/>
      <c r="I45" s="1186"/>
      <c r="J45" s="1186">
        <v>90</v>
      </c>
      <c r="K45" s="1186">
        <v>120</v>
      </c>
      <c r="L45" s="1186">
        <v>4</v>
      </c>
      <c r="M45" s="1186"/>
    </row>
    <row r="46" spans="1:13" x14ac:dyDescent="0.2">
      <c r="A46" s="1186" t="s">
        <v>1419</v>
      </c>
      <c r="B46" s="1186" t="s">
        <v>433</v>
      </c>
      <c r="C46" s="1186">
        <v>441</v>
      </c>
      <c r="D46" s="1186">
        <v>2800297</v>
      </c>
      <c r="E46" s="1186">
        <v>2663003</v>
      </c>
      <c r="F46" s="1186"/>
      <c r="G46" s="1186">
        <v>2</v>
      </c>
      <c r="H46" s="1186"/>
      <c r="I46" s="1186"/>
      <c r="J46" s="1186">
        <v>197</v>
      </c>
      <c r="K46" s="1186">
        <v>233</v>
      </c>
      <c r="L46" s="1186">
        <v>7</v>
      </c>
      <c r="M46" s="1186">
        <v>2</v>
      </c>
    </row>
    <row r="47" spans="1:13" x14ac:dyDescent="0.2">
      <c r="A47" s="1186" t="s">
        <v>1419</v>
      </c>
      <c r="B47" s="1186" t="s">
        <v>434</v>
      </c>
      <c r="C47" s="1186">
        <v>314</v>
      </c>
      <c r="D47" s="1186">
        <v>2800297</v>
      </c>
      <c r="E47" s="1186">
        <v>2663003</v>
      </c>
      <c r="F47" s="1186"/>
      <c r="G47" s="1186">
        <v>5</v>
      </c>
      <c r="H47" s="1186"/>
      <c r="I47" s="1186">
        <v>1</v>
      </c>
      <c r="J47" s="1186">
        <v>131</v>
      </c>
      <c r="K47" s="1186">
        <v>168</v>
      </c>
      <c r="L47" s="1186">
        <v>5</v>
      </c>
      <c r="M47" s="1186">
        <v>4</v>
      </c>
    </row>
    <row r="48" spans="1:13" x14ac:dyDescent="0.2">
      <c r="A48" s="1186" t="s">
        <v>1419</v>
      </c>
      <c r="B48" s="1186" t="s">
        <v>435</v>
      </c>
      <c r="C48" s="1186">
        <v>53</v>
      </c>
      <c r="D48" s="1186">
        <v>2800297</v>
      </c>
      <c r="E48" s="1186">
        <v>2663003</v>
      </c>
      <c r="F48" s="1186"/>
      <c r="G48" s="1186"/>
      <c r="H48" s="1186"/>
      <c r="I48" s="1186"/>
      <c r="J48" s="1186">
        <v>19</v>
      </c>
      <c r="K48" s="1186">
        <v>34</v>
      </c>
      <c r="L48" s="1186"/>
      <c r="M48" s="1186"/>
    </row>
    <row r="49" spans="1:13" x14ac:dyDescent="0.2">
      <c r="A49" s="1186" t="s">
        <v>1572</v>
      </c>
      <c r="B49" s="1186" t="s">
        <v>432</v>
      </c>
      <c r="C49" s="1186">
        <v>324</v>
      </c>
      <c r="D49" s="1186">
        <v>2800788</v>
      </c>
      <c r="E49" s="1186">
        <v>2665212</v>
      </c>
      <c r="F49" s="1186"/>
      <c r="G49" s="1186"/>
      <c r="H49" s="1186">
        <v>2</v>
      </c>
      <c r="I49" s="1186"/>
      <c r="J49" s="1186">
        <v>135</v>
      </c>
      <c r="K49" s="1186">
        <v>169</v>
      </c>
      <c r="L49" s="1186">
        <v>18</v>
      </c>
      <c r="M49" s="1186"/>
    </row>
    <row r="50" spans="1:13" x14ac:dyDescent="0.2">
      <c r="A50" s="1186" t="s">
        <v>1572</v>
      </c>
      <c r="B50" s="1186" t="s">
        <v>433</v>
      </c>
      <c r="C50" s="1186">
        <v>343</v>
      </c>
      <c r="D50" s="1186">
        <v>2800788</v>
      </c>
      <c r="E50" s="1186">
        <v>2665212</v>
      </c>
      <c r="F50" s="1186"/>
      <c r="G50" s="1186"/>
      <c r="H50" s="1186"/>
      <c r="I50" s="1186"/>
      <c r="J50" s="1186">
        <v>165</v>
      </c>
      <c r="K50" s="1186">
        <v>166</v>
      </c>
      <c r="L50" s="1186">
        <v>12</v>
      </c>
      <c r="M50" s="1186"/>
    </row>
    <row r="51" spans="1:13" x14ac:dyDescent="0.2">
      <c r="A51" s="1186" t="s">
        <v>1572</v>
      </c>
      <c r="B51" s="1186" t="s">
        <v>434</v>
      </c>
      <c r="C51" s="1186">
        <v>299</v>
      </c>
      <c r="D51" s="1186">
        <v>2800788</v>
      </c>
      <c r="E51" s="1186">
        <v>2665212</v>
      </c>
      <c r="F51" s="1186"/>
      <c r="G51" s="1186">
        <v>5</v>
      </c>
      <c r="H51" s="1186">
        <v>1</v>
      </c>
      <c r="I51" s="1186"/>
      <c r="J51" s="1186">
        <v>106</v>
      </c>
      <c r="K51" s="1186">
        <v>184</v>
      </c>
      <c r="L51" s="1186">
        <v>3</v>
      </c>
      <c r="M51" s="1186"/>
    </row>
    <row r="52" spans="1:13" x14ac:dyDescent="0.2">
      <c r="A52" s="1186" t="s">
        <v>1572</v>
      </c>
      <c r="B52" s="1186" t="s">
        <v>435</v>
      </c>
      <c r="C52" s="1186">
        <v>51</v>
      </c>
      <c r="D52" s="1186">
        <v>2800788</v>
      </c>
      <c r="E52" s="1186">
        <v>2665212</v>
      </c>
      <c r="F52" s="1186"/>
      <c r="G52" s="1186"/>
      <c r="H52" s="1186"/>
      <c r="I52" s="1186"/>
      <c r="J52" s="1186">
        <v>16</v>
      </c>
      <c r="K52" s="1186">
        <v>35</v>
      </c>
      <c r="L52" s="1186"/>
      <c r="M52" s="1186"/>
    </row>
  </sheetData>
  <pageMargins left="0.7" right="0.7" top="0.75" bottom="0.75" header="0.3" footer="0.3"/>
  <pageSetup paperSize="9" fitToHeight="50" orientation="landscape" r:id="rId1"/>
  <legacyDrawing r:id="rId2"/>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pageSetUpPr fitToPage="1"/>
  </sheetPr>
  <dimension ref="A1:E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30.42578125" bestFit="1" customWidth="1"/>
    <col min="3" max="3" width="20.42578125" bestFit="1" customWidth="1"/>
    <col min="4" max="4" width="42.7109375" bestFit="1" customWidth="1"/>
    <col min="5" max="5" width="44.42578125" bestFit="1" customWidth="1"/>
  </cols>
  <sheetData>
    <row r="1" spans="1:5" x14ac:dyDescent="0.2"/>
    <row r="4" spans="1:5" x14ac:dyDescent="0.2">
      <c r="A4" s="1223" t="s">
        <v>4</v>
      </c>
      <c r="B4" s="1223" t="s">
        <v>432</v>
      </c>
      <c r="C4" s="1223" t="s">
        <v>433</v>
      </c>
      <c r="D4" s="1223" t="s">
        <v>434</v>
      </c>
      <c r="E4" s="1223" t="s">
        <v>435</v>
      </c>
    </row>
    <row r="5" spans="1:5" x14ac:dyDescent="0.2">
      <c r="A5" s="1186" t="s">
        <v>19</v>
      </c>
      <c r="B5" s="1186">
        <v>267</v>
      </c>
      <c r="C5" s="1186">
        <v>414</v>
      </c>
      <c r="D5" s="1186">
        <v>449</v>
      </c>
      <c r="E5" s="1186">
        <v>93</v>
      </c>
    </row>
    <row r="6" spans="1:5" x14ac:dyDescent="0.2">
      <c r="A6" s="1186" t="s">
        <v>20</v>
      </c>
      <c r="B6" s="1186">
        <v>238</v>
      </c>
      <c r="C6" s="1186">
        <v>448</v>
      </c>
      <c r="D6" s="1186">
        <v>543</v>
      </c>
      <c r="E6" s="1186">
        <v>103</v>
      </c>
    </row>
    <row r="7" spans="1:5" x14ac:dyDescent="0.2">
      <c r="A7" s="1186" t="s">
        <v>13</v>
      </c>
      <c r="B7" s="1186">
        <v>297</v>
      </c>
      <c r="C7" s="1186">
        <v>522</v>
      </c>
      <c r="D7" s="1186">
        <v>513</v>
      </c>
      <c r="E7" s="1186">
        <v>82</v>
      </c>
    </row>
    <row r="8" spans="1:5" x14ac:dyDescent="0.2">
      <c r="A8" s="1186" t="s">
        <v>15</v>
      </c>
      <c r="B8" s="1186">
        <v>262</v>
      </c>
      <c r="C8" s="1186">
        <v>558</v>
      </c>
      <c r="D8" s="1186">
        <v>442</v>
      </c>
      <c r="E8" s="1186">
        <v>57</v>
      </c>
    </row>
    <row r="9" spans="1:5" x14ac:dyDescent="0.2">
      <c r="A9" s="1186" t="s">
        <v>17</v>
      </c>
      <c r="B9" s="1186">
        <v>221</v>
      </c>
      <c r="C9" s="1186">
        <v>570</v>
      </c>
      <c r="D9" s="1186">
        <v>443</v>
      </c>
      <c r="E9" s="1186">
        <v>76</v>
      </c>
    </row>
    <row r="10" spans="1:5" x14ac:dyDescent="0.2">
      <c r="A10" s="1186" t="s">
        <v>133</v>
      </c>
      <c r="B10" s="1186">
        <v>213</v>
      </c>
      <c r="C10" s="1186">
        <v>441</v>
      </c>
      <c r="D10" s="1186">
        <v>383</v>
      </c>
      <c r="E10" s="1186">
        <v>62</v>
      </c>
    </row>
    <row r="11" spans="1:5" x14ac:dyDescent="0.2">
      <c r="A11" s="1186" t="s">
        <v>144</v>
      </c>
      <c r="B11" s="1186">
        <v>259</v>
      </c>
      <c r="C11" s="1186">
        <v>516</v>
      </c>
      <c r="D11" s="1186">
        <v>431</v>
      </c>
      <c r="E11" s="1186">
        <v>70</v>
      </c>
    </row>
    <row r="12" spans="1:5" x14ac:dyDescent="0.2">
      <c r="A12" s="1186" t="s">
        <v>282</v>
      </c>
      <c r="B12" s="1186">
        <v>330</v>
      </c>
      <c r="C12" s="1186">
        <v>487</v>
      </c>
      <c r="D12" s="1186">
        <v>384</v>
      </c>
      <c r="E12" s="1186">
        <v>65</v>
      </c>
    </row>
    <row r="13" spans="1:5" x14ac:dyDescent="0.2">
      <c r="A13" s="1186" t="s">
        <v>311</v>
      </c>
      <c r="B13" s="1186">
        <v>235</v>
      </c>
      <c r="C13" s="1186">
        <v>462</v>
      </c>
      <c r="D13" s="1186">
        <v>356</v>
      </c>
      <c r="E13" s="1186">
        <v>63</v>
      </c>
    </row>
    <row r="14" spans="1:5" x14ac:dyDescent="0.2">
      <c r="A14" s="1186" t="s">
        <v>621</v>
      </c>
      <c r="B14" s="1186">
        <v>248</v>
      </c>
      <c r="C14" s="1186">
        <v>523</v>
      </c>
      <c r="D14" s="1186">
        <v>373</v>
      </c>
      <c r="E14" s="1186">
        <v>53</v>
      </c>
    </row>
    <row r="15" spans="1:5" x14ac:dyDescent="0.2">
      <c r="A15" s="1186" t="s">
        <v>1419</v>
      </c>
      <c r="B15" s="1186">
        <v>219</v>
      </c>
      <c r="C15" s="1186">
        <v>441</v>
      </c>
      <c r="D15" s="1186">
        <v>314</v>
      </c>
      <c r="E15" s="1186">
        <v>53</v>
      </c>
    </row>
    <row r="16" spans="1:5" x14ac:dyDescent="0.2">
      <c r="A16" s="1186" t="s">
        <v>1572</v>
      </c>
      <c r="B16" s="1186">
        <v>324</v>
      </c>
      <c r="C16" s="1186">
        <v>343</v>
      </c>
      <c r="D16" s="1186">
        <v>299</v>
      </c>
      <c r="E16" s="1186">
        <v>51</v>
      </c>
    </row>
  </sheetData>
  <pageMargins left="0.7" right="0.7" top="0.75" bottom="0.75" header="0.3" footer="0.3"/>
  <pageSetup paperSize="9" fitToHeight="50" orientation="landscape" r:id="rId1"/>
  <legacyDrawing r:id="rId2"/>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pageSetUpPr fitToPage="1"/>
  </sheetPr>
  <dimension ref="A1:F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2.42578125" bestFit="1" customWidth="1"/>
    <col min="3" max="3" width="30.42578125" bestFit="1" customWidth="1"/>
    <col min="4" max="4" width="20.42578125" bestFit="1" customWidth="1"/>
    <col min="5" max="5" width="42.7109375" bestFit="1" customWidth="1"/>
    <col min="6" max="6" width="44.42578125" bestFit="1" customWidth="1"/>
  </cols>
  <sheetData>
    <row r="1" spans="1:6" x14ac:dyDescent="0.2"/>
    <row r="4" spans="1:6" x14ac:dyDescent="0.2">
      <c r="A4" s="1223" t="s">
        <v>4</v>
      </c>
      <c r="B4" s="1223" t="s">
        <v>1772</v>
      </c>
      <c r="C4" s="1223" t="s">
        <v>432</v>
      </c>
      <c r="D4" s="1223" t="s">
        <v>433</v>
      </c>
      <c r="E4" s="1223" t="s">
        <v>434</v>
      </c>
      <c r="F4" s="1223" t="s">
        <v>435</v>
      </c>
    </row>
    <row r="5" spans="1:6" x14ac:dyDescent="0.2">
      <c r="A5" s="1186" t="s">
        <v>19</v>
      </c>
      <c r="B5" s="1186">
        <v>1032</v>
      </c>
      <c r="C5" s="1186">
        <v>245</v>
      </c>
      <c r="D5" s="1186">
        <v>360</v>
      </c>
      <c r="E5" s="1186">
        <v>368</v>
      </c>
      <c r="F5" s="1186">
        <v>59</v>
      </c>
    </row>
    <row r="6" spans="1:6" x14ac:dyDescent="0.2">
      <c r="A6" s="1186" t="s">
        <v>20</v>
      </c>
      <c r="B6" s="1186">
        <v>1142</v>
      </c>
      <c r="C6" s="1186">
        <v>208</v>
      </c>
      <c r="D6" s="1186">
        <v>391</v>
      </c>
      <c r="E6" s="1186">
        <v>461</v>
      </c>
      <c r="F6" s="1186">
        <v>82</v>
      </c>
    </row>
    <row r="7" spans="1:6" x14ac:dyDescent="0.2">
      <c r="A7" s="1186" t="s">
        <v>13</v>
      </c>
      <c r="B7" s="1186">
        <v>1219</v>
      </c>
      <c r="C7" s="1186">
        <v>264</v>
      </c>
      <c r="D7" s="1186">
        <v>458</v>
      </c>
      <c r="E7" s="1186">
        <v>435</v>
      </c>
      <c r="F7" s="1186">
        <v>62</v>
      </c>
    </row>
    <row r="8" spans="1:6" x14ac:dyDescent="0.2">
      <c r="A8" s="1186" t="s">
        <v>15</v>
      </c>
      <c r="B8" s="1186">
        <v>1166</v>
      </c>
      <c r="C8" s="1186">
        <v>243</v>
      </c>
      <c r="D8" s="1186">
        <v>506</v>
      </c>
      <c r="E8" s="1186">
        <v>374</v>
      </c>
      <c r="F8" s="1186">
        <v>43</v>
      </c>
    </row>
    <row r="9" spans="1:6" x14ac:dyDescent="0.2">
      <c r="A9" s="1186" t="s">
        <v>17</v>
      </c>
      <c r="B9" s="1186">
        <v>1140</v>
      </c>
      <c r="C9" s="1186">
        <v>198</v>
      </c>
      <c r="D9" s="1186">
        <v>521</v>
      </c>
      <c r="E9" s="1186">
        <v>374</v>
      </c>
      <c r="F9" s="1186">
        <v>47</v>
      </c>
    </row>
    <row r="10" spans="1:6" x14ac:dyDescent="0.2">
      <c r="A10" s="1186" t="s">
        <v>133</v>
      </c>
      <c r="B10" s="1186">
        <v>947</v>
      </c>
      <c r="C10" s="1186">
        <v>185</v>
      </c>
      <c r="D10" s="1186">
        <v>384</v>
      </c>
      <c r="E10" s="1186">
        <v>334</v>
      </c>
      <c r="F10" s="1186">
        <v>44</v>
      </c>
    </row>
    <row r="11" spans="1:6" x14ac:dyDescent="0.2">
      <c r="A11" s="1186" t="s">
        <v>144</v>
      </c>
      <c r="B11" s="1186">
        <v>1063</v>
      </c>
      <c r="C11" s="1186">
        <v>234</v>
      </c>
      <c r="D11" s="1186">
        <v>451</v>
      </c>
      <c r="E11" s="1186">
        <v>330</v>
      </c>
      <c r="F11" s="1186">
        <v>48</v>
      </c>
    </row>
    <row r="12" spans="1:6" x14ac:dyDescent="0.2">
      <c r="A12" s="1186" t="s">
        <v>282</v>
      </c>
      <c r="B12" s="1186">
        <v>1115</v>
      </c>
      <c r="C12" s="1186">
        <v>301</v>
      </c>
      <c r="D12" s="1186">
        <v>440</v>
      </c>
      <c r="E12" s="1186">
        <v>321</v>
      </c>
      <c r="F12" s="1186">
        <v>53</v>
      </c>
    </row>
    <row r="13" spans="1:6" x14ac:dyDescent="0.2">
      <c r="A13" s="1186" t="s">
        <v>311</v>
      </c>
      <c r="B13" s="1186">
        <v>921</v>
      </c>
      <c r="C13" s="1186">
        <v>184</v>
      </c>
      <c r="D13" s="1186">
        <v>392</v>
      </c>
      <c r="E13" s="1186">
        <v>304</v>
      </c>
      <c r="F13" s="1186">
        <v>41</v>
      </c>
    </row>
    <row r="14" spans="1:6" x14ac:dyDescent="0.2">
      <c r="A14" s="1186" t="s">
        <v>621</v>
      </c>
      <c r="B14" s="1186">
        <v>1016</v>
      </c>
      <c r="C14" s="1186">
        <v>223</v>
      </c>
      <c r="D14" s="1186">
        <v>448</v>
      </c>
      <c r="E14" s="1186">
        <v>303</v>
      </c>
      <c r="F14" s="1186">
        <v>42</v>
      </c>
    </row>
    <row r="15" spans="1:6" x14ac:dyDescent="0.2">
      <c r="A15" s="1186" t="s">
        <v>1419</v>
      </c>
      <c r="B15" s="1186">
        <v>877</v>
      </c>
      <c r="C15" s="1186">
        <v>206</v>
      </c>
      <c r="D15" s="1186">
        <v>375</v>
      </c>
      <c r="E15" s="1186">
        <v>257</v>
      </c>
      <c r="F15" s="1186">
        <v>39</v>
      </c>
    </row>
    <row r="16" spans="1:6" x14ac:dyDescent="0.2">
      <c r="A16" s="1186" t="s">
        <v>1572</v>
      </c>
      <c r="B16" s="1186">
        <v>876</v>
      </c>
      <c r="C16" s="1186">
        <v>292</v>
      </c>
      <c r="D16" s="1186">
        <v>303</v>
      </c>
      <c r="E16" s="1186">
        <v>245</v>
      </c>
      <c r="F16" s="1186">
        <v>36</v>
      </c>
    </row>
  </sheetData>
  <pageMargins left="0.7" right="0.7" top="0.75" bottom="0.75" header="0.3" footer="0.3"/>
  <pageSetup paperSize="9" fitToHeight="50" orientation="landscape" r:id="rId1"/>
  <legacyDrawing r:id="rId2"/>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pageSetUpPr fitToPage="1"/>
  </sheetPr>
  <dimension ref="A1:G17"/>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6.42578125" bestFit="1" customWidth="1"/>
    <col min="2" max="2" width="7.42578125" bestFit="1" customWidth="1"/>
    <col min="3" max="3" width="9.85546875" bestFit="1" customWidth="1"/>
    <col min="4" max="4" width="4.42578125" bestFit="1" customWidth="1"/>
    <col min="5" max="6" width="5.42578125" bestFit="1" customWidth="1"/>
    <col min="7" max="7" width="3.85546875" bestFit="1" customWidth="1"/>
  </cols>
  <sheetData>
    <row r="1" spans="1:7" x14ac:dyDescent="0.2"/>
    <row r="4" spans="1:7" x14ac:dyDescent="0.2">
      <c r="A4" s="1223" t="s">
        <v>444</v>
      </c>
      <c r="B4" s="1223" t="s">
        <v>4</v>
      </c>
      <c r="C4" s="1223" t="s">
        <v>1782</v>
      </c>
      <c r="D4" s="1223" t="s">
        <v>175</v>
      </c>
      <c r="E4" s="1223" t="s">
        <v>176</v>
      </c>
      <c r="F4" s="1223" t="s">
        <v>177</v>
      </c>
      <c r="G4" s="1223" t="s">
        <v>178</v>
      </c>
    </row>
    <row r="5" spans="1:7" x14ac:dyDescent="0.2">
      <c r="A5" s="1186" t="s">
        <v>421</v>
      </c>
      <c r="B5" s="1186" t="s">
        <v>19</v>
      </c>
      <c r="C5" s="1186">
        <v>1</v>
      </c>
      <c r="D5" s="1186"/>
      <c r="E5" s="1186"/>
      <c r="F5" s="1186">
        <v>1</v>
      </c>
      <c r="G5" s="1186"/>
    </row>
    <row r="6" spans="1:7" x14ac:dyDescent="0.2">
      <c r="A6" s="1186" t="s">
        <v>414</v>
      </c>
      <c r="B6" s="1186" t="s">
        <v>19</v>
      </c>
      <c r="C6" s="1186">
        <v>61</v>
      </c>
      <c r="D6" s="1186">
        <v>2</v>
      </c>
      <c r="E6" s="1186">
        <v>4</v>
      </c>
      <c r="F6" s="1186">
        <v>27</v>
      </c>
      <c r="G6" s="1186">
        <v>28</v>
      </c>
    </row>
    <row r="7" spans="1:7" x14ac:dyDescent="0.2">
      <c r="A7" s="1186" t="s">
        <v>414</v>
      </c>
      <c r="B7" s="1186" t="s">
        <v>20</v>
      </c>
      <c r="C7" s="1186">
        <v>52</v>
      </c>
      <c r="D7" s="1186"/>
      <c r="E7" s="1186">
        <v>6</v>
      </c>
      <c r="F7" s="1186">
        <v>23</v>
      </c>
      <c r="G7" s="1186">
        <v>23</v>
      </c>
    </row>
    <row r="8" spans="1:7" x14ac:dyDescent="0.2">
      <c r="A8" s="1186" t="s">
        <v>414</v>
      </c>
      <c r="B8" s="1186" t="s">
        <v>13</v>
      </c>
      <c r="C8" s="1186">
        <v>59</v>
      </c>
      <c r="D8" s="1186">
        <v>3</v>
      </c>
      <c r="E8" s="1186">
        <v>3</v>
      </c>
      <c r="F8" s="1186">
        <v>23</v>
      </c>
      <c r="G8" s="1186">
        <v>30</v>
      </c>
    </row>
    <row r="9" spans="1:7" x14ac:dyDescent="0.2">
      <c r="A9" s="1186" t="s">
        <v>414</v>
      </c>
      <c r="B9" s="1186" t="s">
        <v>15</v>
      </c>
      <c r="C9" s="1186">
        <v>46</v>
      </c>
      <c r="D9" s="1186"/>
      <c r="E9" s="1186">
        <v>1</v>
      </c>
      <c r="F9" s="1186">
        <v>19</v>
      </c>
      <c r="G9" s="1186">
        <v>26</v>
      </c>
    </row>
    <row r="10" spans="1:7" x14ac:dyDescent="0.2">
      <c r="A10" s="1186" t="s">
        <v>414</v>
      </c>
      <c r="B10" s="1186" t="s">
        <v>17</v>
      </c>
      <c r="C10" s="1186">
        <v>31</v>
      </c>
      <c r="D10" s="1186"/>
      <c r="E10" s="1186"/>
      <c r="F10" s="1186">
        <v>15</v>
      </c>
      <c r="G10" s="1186">
        <v>16</v>
      </c>
    </row>
    <row r="11" spans="1:7" x14ac:dyDescent="0.2">
      <c r="A11" s="1186" t="s">
        <v>414</v>
      </c>
      <c r="B11" s="1186" t="s">
        <v>133</v>
      </c>
      <c r="C11" s="1186">
        <v>40</v>
      </c>
      <c r="D11" s="1186">
        <v>1</v>
      </c>
      <c r="E11" s="1186">
        <v>2</v>
      </c>
      <c r="F11" s="1186">
        <v>14</v>
      </c>
      <c r="G11" s="1186">
        <v>23</v>
      </c>
    </row>
    <row r="12" spans="1:7" x14ac:dyDescent="0.2">
      <c r="A12" s="1186" t="s">
        <v>414</v>
      </c>
      <c r="B12" s="1186" t="s">
        <v>144</v>
      </c>
      <c r="C12" s="1186">
        <v>45</v>
      </c>
      <c r="D12" s="1186"/>
      <c r="E12" s="1186">
        <v>3</v>
      </c>
      <c r="F12" s="1186">
        <v>19</v>
      </c>
      <c r="G12" s="1186">
        <v>23</v>
      </c>
    </row>
    <row r="13" spans="1:7" x14ac:dyDescent="0.2">
      <c r="A13" s="1186" t="s">
        <v>414</v>
      </c>
      <c r="B13" s="1186" t="s">
        <v>282</v>
      </c>
      <c r="C13" s="1186">
        <v>44</v>
      </c>
      <c r="D13" s="1186"/>
      <c r="E13" s="1186">
        <v>4</v>
      </c>
      <c r="F13" s="1186">
        <v>22</v>
      </c>
      <c r="G13" s="1186">
        <v>18</v>
      </c>
    </row>
    <row r="14" spans="1:7" x14ac:dyDescent="0.2">
      <c r="A14" s="1186" t="s">
        <v>414</v>
      </c>
      <c r="B14" s="1186" t="s">
        <v>311</v>
      </c>
      <c r="C14" s="1186">
        <v>44</v>
      </c>
      <c r="D14" s="1186"/>
      <c r="E14" s="1186">
        <v>3</v>
      </c>
      <c r="F14" s="1186">
        <v>18</v>
      </c>
      <c r="G14" s="1186">
        <v>23</v>
      </c>
    </row>
    <row r="15" spans="1:7" x14ac:dyDescent="0.2">
      <c r="A15" s="1186" t="s">
        <v>414</v>
      </c>
      <c r="B15" s="1186" t="s">
        <v>621</v>
      </c>
      <c r="C15" s="1186">
        <v>44</v>
      </c>
      <c r="D15" s="1186"/>
      <c r="E15" s="1186">
        <v>2</v>
      </c>
      <c r="F15" s="1186">
        <v>16</v>
      </c>
      <c r="G15" s="1186">
        <v>26</v>
      </c>
    </row>
    <row r="16" spans="1:7" x14ac:dyDescent="0.2">
      <c r="A16" s="1186" t="s">
        <v>414</v>
      </c>
      <c r="B16" s="1186" t="s">
        <v>1419</v>
      </c>
      <c r="C16" s="1186">
        <v>27</v>
      </c>
      <c r="D16" s="1186"/>
      <c r="E16" s="1186"/>
      <c r="F16" s="1186">
        <v>13</v>
      </c>
      <c r="G16" s="1186">
        <v>14</v>
      </c>
    </row>
    <row r="17" spans="1:7" x14ac:dyDescent="0.2">
      <c r="A17" s="1186" t="s">
        <v>414</v>
      </c>
      <c r="B17" s="1186" t="s">
        <v>1572</v>
      </c>
      <c r="C17" s="1186">
        <v>53</v>
      </c>
      <c r="D17" s="1186">
        <v>3</v>
      </c>
      <c r="E17" s="1186">
        <v>2</v>
      </c>
      <c r="F17" s="1186">
        <v>20</v>
      </c>
      <c r="G17" s="1186">
        <v>28</v>
      </c>
    </row>
  </sheetData>
  <pageMargins left="0.7" right="0.7" top="0.75" bottom="0.75" header="0.3" footer="0.3"/>
  <pageSetup paperSize="9" fitToHeight="50" orientation="landscape" r:id="rId1"/>
  <legacyDrawing r:id="rId2"/>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pageSetUpPr fitToPage="1"/>
  </sheetPr>
  <dimension ref="A1:H2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6.42578125" bestFit="1" customWidth="1"/>
    <col min="2" max="2" width="7.42578125" bestFit="1" customWidth="1"/>
    <col min="3" max="3" width="12.42578125" bestFit="1" customWidth="1"/>
    <col min="4" max="4" width="4.42578125" bestFit="1" customWidth="1"/>
    <col min="5" max="6" width="5.42578125" bestFit="1" customWidth="1"/>
    <col min="7" max="7" width="3.85546875" bestFit="1" customWidth="1"/>
    <col min="8" max="8" width="8" bestFit="1" customWidth="1"/>
  </cols>
  <sheetData>
    <row r="1" spans="1:8" x14ac:dyDescent="0.2"/>
    <row r="4" spans="1:8" x14ac:dyDescent="0.2">
      <c r="A4" s="1223" t="s">
        <v>563</v>
      </c>
      <c r="B4" s="1223" t="s">
        <v>4</v>
      </c>
      <c r="C4" s="1223" t="s">
        <v>1772</v>
      </c>
      <c r="D4" s="1223" t="s">
        <v>175</v>
      </c>
      <c r="E4" s="1223" t="s">
        <v>176</v>
      </c>
      <c r="F4" s="1223" t="s">
        <v>177</v>
      </c>
      <c r="G4" s="1223" t="s">
        <v>178</v>
      </c>
      <c r="H4" s="1223" t="s">
        <v>168</v>
      </c>
    </row>
    <row r="5" spans="1:8" x14ac:dyDescent="0.2">
      <c r="A5" s="1186" t="s">
        <v>421</v>
      </c>
      <c r="B5" s="1186" t="s">
        <v>19</v>
      </c>
      <c r="C5" s="1186">
        <v>18</v>
      </c>
      <c r="D5" s="1186"/>
      <c r="E5" s="1186">
        <v>5</v>
      </c>
      <c r="F5" s="1186">
        <v>13</v>
      </c>
      <c r="G5" s="1186"/>
      <c r="H5" s="1186"/>
    </row>
    <row r="6" spans="1:8" x14ac:dyDescent="0.2">
      <c r="A6" s="1186" t="s">
        <v>421</v>
      </c>
      <c r="B6" s="1186" t="s">
        <v>20</v>
      </c>
      <c r="C6" s="1186">
        <v>28</v>
      </c>
      <c r="D6" s="1186"/>
      <c r="E6" s="1186">
        <v>4</v>
      </c>
      <c r="F6" s="1186">
        <v>24</v>
      </c>
      <c r="G6" s="1186"/>
      <c r="H6" s="1186"/>
    </row>
    <row r="7" spans="1:8" x14ac:dyDescent="0.2">
      <c r="A7" s="1186" t="s">
        <v>421</v>
      </c>
      <c r="B7" s="1186" t="s">
        <v>13</v>
      </c>
      <c r="C7" s="1186">
        <v>28</v>
      </c>
      <c r="D7" s="1186"/>
      <c r="E7" s="1186">
        <v>2</v>
      </c>
      <c r="F7" s="1186">
        <v>26</v>
      </c>
      <c r="G7" s="1186"/>
      <c r="H7" s="1186"/>
    </row>
    <row r="8" spans="1:8" x14ac:dyDescent="0.2">
      <c r="A8" s="1186" t="s">
        <v>421</v>
      </c>
      <c r="B8" s="1186" t="s">
        <v>15</v>
      </c>
      <c r="C8" s="1186">
        <v>18</v>
      </c>
      <c r="D8" s="1186"/>
      <c r="E8" s="1186">
        <v>3</v>
      </c>
      <c r="F8" s="1186">
        <v>14</v>
      </c>
      <c r="G8" s="1186"/>
      <c r="H8" s="1186">
        <v>1</v>
      </c>
    </row>
    <row r="9" spans="1:8" x14ac:dyDescent="0.2">
      <c r="A9" s="1186" t="s">
        <v>421</v>
      </c>
      <c r="B9" s="1186" t="s">
        <v>17</v>
      </c>
      <c r="C9" s="1186">
        <v>15</v>
      </c>
      <c r="D9" s="1186"/>
      <c r="E9" s="1186">
        <v>3</v>
      </c>
      <c r="F9" s="1186">
        <v>11</v>
      </c>
      <c r="G9" s="1186">
        <v>1</v>
      </c>
      <c r="H9" s="1186"/>
    </row>
    <row r="10" spans="1:8" x14ac:dyDescent="0.2">
      <c r="A10" s="1186" t="s">
        <v>421</v>
      </c>
      <c r="B10" s="1186" t="s">
        <v>133</v>
      </c>
      <c r="C10" s="1186">
        <v>12</v>
      </c>
      <c r="D10" s="1186"/>
      <c r="E10" s="1186"/>
      <c r="F10" s="1186">
        <v>12</v>
      </c>
      <c r="G10" s="1186"/>
      <c r="H10" s="1186"/>
    </row>
    <row r="11" spans="1:8" x14ac:dyDescent="0.2">
      <c r="A11" s="1186" t="s">
        <v>421</v>
      </c>
      <c r="B11" s="1186" t="s">
        <v>144</v>
      </c>
      <c r="C11" s="1186">
        <v>10</v>
      </c>
      <c r="D11" s="1186"/>
      <c r="E11" s="1186">
        <v>2</v>
      </c>
      <c r="F11" s="1186">
        <v>7</v>
      </c>
      <c r="G11" s="1186"/>
      <c r="H11" s="1186">
        <v>1</v>
      </c>
    </row>
    <row r="12" spans="1:8" x14ac:dyDescent="0.2">
      <c r="A12" s="1186" t="s">
        <v>421</v>
      </c>
      <c r="B12" s="1186" t="s">
        <v>282</v>
      </c>
      <c r="C12" s="1186">
        <v>18</v>
      </c>
      <c r="D12" s="1186"/>
      <c r="E12" s="1186">
        <v>1</v>
      </c>
      <c r="F12" s="1186">
        <v>13</v>
      </c>
      <c r="G12" s="1186"/>
      <c r="H12" s="1186">
        <v>4</v>
      </c>
    </row>
    <row r="13" spans="1:8" x14ac:dyDescent="0.2">
      <c r="A13" s="1186" t="s">
        <v>421</v>
      </c>
      <c r="B13" s="1186" t="s">
        <v>311</v>
      </c>
      <c r="C13" s="1186">
        <v>28</v>
      </c>
      <c r="D13" s="1186"/>
      <c r="E13" s="1186">
        <v>4</v>
      </c>
      <c r="F13" s="1186">
        <v>13</v>
      </c>
      <c r="G13" s="1186">
        <v>2</v>
      </c>
      <c r="H13" s="1186">
        <v>9</v>
      </c>
    </row>
    <row r="14" spans="1:8" x14ac:dyDescent="0.2">
      <c r="A14" s="1186" t="s">
        <v>421</v>
      </c>
      <c r="B14" s="1186" t="s">
        <v>621</v>
      </c>
      <c r="C14" s="1186">
        <v>21</v>
      </c>
      <c r="D14" s="1186"/>
      <c r="E14" s="1186">
        <v>2</v>
      </c>
      <c r="F14" s="1186">
        <v>11</v>
      </c>
      <c r="G14" s="1186"/>
      <c r="H14" s="1186">
        <v>8</v>
      </c>
    </row>
    <row r="15" spans="1:8" x14ac:dyDescent="0.2">
      <c r="A15" s="1186" t="s">
        <v>421</v>
      </c>
      <c r="B15" s="1186" t="s">
        <v>1419</v>
      </c>
      <c r="C15" s="1186">
        <v>13</v>
      </c>
      <c r="D15" s="1186"/>
      <c r="E15" s="1186">
        <v>2</v>
      </c>
      <c r="F15" s="1186">
        <v>7</v>
      </c>
      <c r="G15" s="1186">
        <v>1</v>
      </c>
      <c r="H15" s="1186">
        <v>3</v>
      </c>
    </row>
    <row r="16" spans="1:8" x14ac:dyDescent="0.2">
      <c r="A16" s="1186" t="s">
        <v>421</v>
      </c>
      <c r="B16" s="1186" t="s">
        <v>1572</v>
      </c>
      <c r="C16" s="1186">
        <v>8</v>
      </c>
      <c r="D16" s="1186">
        <v>2</v>
      </c>
      <c r="E16" s="1186"/>
      <c r="F16" s="1186">
        <v>5</v>
      </c>
      <c r="G16" s="1186"/>
      <c r="H16" s="1186">
        <v>1</v>
      </c>
    </row>
    <row r="17" spans="1:8" x14ac:dyDescent="0.2">
      <c r="A17" s="1186" t="s">
        <v>414</v>
      </c>
      <c r="B17" s="1186" t="s">
        <v>19</v>
      </c>
      <c r="C17" s="1186">
        <v>1205</v>
      </c>
      <c r="D17" s="1186">
        <v>106</v>
      </c>
      <c r="E17" s="1186">
        <v>238</v>
      </c>
      <c r="F17" s="1186">
        <v>552</v>
      </c>
      <c r="G17" s="1186">
        <v>308</v>
      </c>
      <c r="H17" s="1186">
        <v>1</v>
      </c>
    </row>
    <row r="18" spans="1:8" x14ac:dyDescent="0.2">
      <c r="A18" s="1186" t="s">
        <v>414</v>
      </c>
      <c r="B18" s="1186" t="s">
        <v>20</v>
      </c>
      <c r="C18" s="1186">
        <v>1304</v>
      </c>
      <c r="D18" s="1186">
        <v>113</v>
      </c>
      <c r="E18" s="1186">
        <v>283</v>
      </c>
      <c r="F18" s="1186">
        <v>583</v>
      </c>
      <c r="G18" s="1186">
        <v>323</v>
      </c>
      <c r="H18" s="1186">
        <v>2</v>
      </c>
    </row>
    <row r="19" spans="1:8" x14ac:dyDescent="0.2">
      <c r="A19" s="1186" t="s">
        <v>414</v>
      </c>
      <c r="B19" s="1186" t="s">
        <v>13</v>
      </c>
      <c r="C19" s="1186">
        <v>1386</v>
      </c>
      <c r="D19" s="1186">
        <v>119</v>
      </c>
      <c r="E19" s="1186">
        <v>268</v>
      </c>
      <c r="F19" s="1186">
        <v>644</v>
      </c>
      <c r="G19" s="1186">
        <v>350</v>
      </c>
      <c r="H19" s="1186">
        <v>5</v>
      </c>
    </row>
    <row r="20" spans="1:8" x14ac:dyDescent="0.2">
      <c r="A20" s="1186" t="s">
        <v>414</v>
      </c>
      <c r="B20" s="1186" t="s">
        <v>15</v>
      </c>
      <c r="C20" s="1186">
        <v>1301</v>
      </c>
      <c r="D20" s="1186">
        <v>89</v>
      </c>
      <c r="E20" s="1186">
        <v>252</v>
      </c>
      <c r="F20" s="1186">
        <v>514</v>
      </c>
      <c r="G20" s="1186">
        <v>389</v>
      </c>
      <c r="H20" s="1186">
        <v>57</v>
      </c>
    </row>
    <row r="21" spans="1:8" x14ac:dyDescent="0.2">
      <c r="A21" s="1186" t="s">
        <v>414</v>
      </c>
      <c r="B21" s="1186" t="s">
        <v>17</v>
      </c>
      <c r="C21" s="1186">
        <v>1295</v>
      </c>
      <c r="D21" s="1186">
        <v>90</v>
      </c>
      <c r="E21" s="1186">
        <v>227</v>
      </c>
      <c r="F21" s="1186">
        <v>572</v>
      </c>
      <c r="G21" s="1186">
        <v>339</v>
      </c>
      <c r="H21" s="1186">
        <v>67</v>
      </c>
    </row>
    <row r="22" spans="1:8" x14ac:dyDescent="0.2">
      <c r="A22" s="1186" t="s">
        <v>414</v>
      </c>
      <c r="B22" s="1186" t="s">
        <v>133</v>
      </c>
      <c r="C22" s="1186">
        <v>1087</v>
      </c>
      <c r="D22" s="1186">
        <v>88</v>
      </c>
      <c r="E22" s="1186">
        <v>186</v>
      </c>
      <c r="F22" s="1186">
        <v>432</v>
      </c>
      <c r="G22" s="1186">
        <v>314</v>
      </c>
      <c r="H22" s="1186">
        <v>67</v>
      </c>
    </row>
    <row r="23" spans="1:8" x14ac:dyDescent="0.2">
      <c r="A23" s="1186" t="s">
        <v>414</v>
      </c>
      <c r="B23" s="1186" t="s">
        <v>144</v>
      </c>
      <c r="C23" s="1186">
        <v>1266</v>
      </c>
      <c r="D23" s="1186">
        <v>77</v>
      </c>
      <c r="E23" s="1186">
        <v>204</v>
      </c>
      <c r="F23" s="1186">
        <v>542</v>
      </c>
      <c r="G23" s="1186">
        <v>381</v>
      </c>
      <c r="H23" s="1186">
        <v>62</v>
      </c>
    </row>
    <row r="24" spans="1:8" x14ac:dyDescent="0.2">
      <c r="A24" s="1186" t="s">
        <v>414</v>
      </c>
      <c r="B24" s="1186" t="s">
        <v>282</v>
      </c>
      <c r="C24" s="1186">
        <v>1248</v>
      </c>
      <c r="D24" s="1186">
        <v>78</v>
      </c>
      <c r="E24" s="1186">
        <v>201</v>
      </c>
      <c r="F24" s="1186">
        <v>574</v>
      </c>
      <c r="G24" s="1186">
        <v>334</v>
      </c>
      <c r="H24" s="1186">
        <v>61</v>
      </c>
    </row>
    <row r="25" spans="1:8" x14ac:dyDescent="0.2">
      <c r="A25" s="1186" t="s">
        <v>414</v>
      </c>
      <c r="B25" s="1186" t="s">
        <v>311</v>
      </c>
      <c r="C25" s="1186">
        <v>1088</v>
      </c>
      <c r="D25" s="1186">
        <v>87</v>
      </c>
      <c r="E25" s="1186">
        <v>183</v>
      </c>
      <c r="F25" s="1186">
        <v>476</v>
      </c>
      <c r="G25" s="1186">
        <v>269</v>
      </c>
      <c r="H25" s="1186">
        <v>73</v>
      </c>
    </row>
    <row r="26" spans="1:8" x14ac:dyDescent="0.2">
      <c r="A26" s="1186" t="s">
        <v>414</v>
      </c>
      <c r="B26" s="1186" t="s">
        <v>621</v>
      </c>
      <c r="C26" s="1186">
        <v>1176</v>
      </c>
      <c r="D26" s="1186">
        <v>83</v>
      </c>
      <c r="E26" s="1186">
        <v>181</v>
      </c>
      <c r="F26" s="1186">
        <v>515</v>
      </c>
      <c r="G26" s="1186">
        <v>303</v>
      </c>
      <c r="H26" s="1186">
        <v>94</v>
      </c>
    </row>
    <row r="27" spans="1:8" x14ac:dyDescent="0.2">
      <c r="A27" s="1186" t="s">
        <v>414</v>
      </c>
      <c r="B27" s="1186" t="s">
        <v>1419</v>
      </c>
      <c r="C27" s="1186">
        <v>1014</v>
      </c>
      <c r="D27" s="1186">
        <v>86</v>
      </c>
      <c r="E27" s="1186">
        <v>133</v>
      </c>
      <c r="F27" s="1186">
        <v>447</v>
      </c>
      <c r="G27" s="1186">
        <v>268</v>
      </c>
      <c r="H27" s="1186">
        <v>80</v>
      </c>
    </row>
    <row r="28" spans="1:8" x14ac:dyDescent="0.2">
      <c r="A28" s="1186" t="s">
        <v>414</v>
      </c>
      <c r="B28" s="1186" t="s">
        <v>1572</v>
      </c>
      <c r="C28" s="1186">
        <v>1009</v>
      </c>
      <c r="D28" s="1186">
        <v>116</v>
      </c>
      <c r="E28" s="1186">
        <v>126</v>
      </c>
      <c r="F28" s="1186">
        <v>452</v>
      </c>
      <c r="G28" s="1186">
        <v>250</v>
      </c>
      <c r="H28" s="1186">
        <v>65</v>
      </c>
    </row>
  </sheetData>
  <pageMargins left="0.7" right="0.7" top="0.75" bottom="0.75" header="0.3" footer="0.3"/>
  <pageSetup paperSize="9" fitToHeight="50" orientation="landscape" r:id="rId1"/>
  <legacyDrawing r:id="rId2"/>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pageSetUpPr fitToPage="1"/>
  </sheetPr>
  <dimension ref="A1:I58"/>
  <sheetViews>
    <sheetView zoomScale="85" zoomScaleNormal="85" workbookViewId="0">
      <pane ySplit="4" topLeftCell="A14"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6.42578125" bestFit="1" customWidth="1"/>
    <col min="3" max="3" width="12.5703125" bestFit="1" customWidth="1"/>
    <col min="4" max="4" width="41.85546875" bestFit="1" customWidth="1"/>
    <col min="5" max="5" width="9.85546875" bestFit="1" customWidth="1"/>
    <col min="6" max="6" width="4.42578125" bestFit="1" customWidth="1"/>
    <col min="7" max="8" width="5.42578125" bestFit="1" customWidth="1"/>
    <col min="9" max="9" width="3.85546875" bestFit="1" customWidth="1"/>
  </cols>
  <sheetData>
    <row r="1" spans="1:9" x14ac:dyDescent="0.2"/>
    <row r="4" spans="1:9" x14ac:dyDescent="0.2">
      <c r="A4" s="1223" t="s">
        <v>4</v>
      </c>
      <c r="B4" s="1223" t="s">
        <v>444</v>
      </c>
      <c r="C4" s="1223" t="s">
        <v>1784</v>
      </c>
      <c r="D4" s="1223" t="s">
        <v>1785</v>
      </c>
      <c r="E4" s="1223" t="s">
        <v>1782</v>
      </c>
      <c r="F4" s="1223" t="s">
        <v>175</v>
      </c>
      <c r="G4" s="1223" t="s">
        <v>176</v>
      </c>
      <c r="H4" s="1223" t="s">
        <v>177</v>
      </c>
      <c r="I4" s="1223" t="s">
        <v>178</v>
      </c>
    </row>
    <row r="5" spans="1:9" x14ac:dyDescent="0.2">
      <c r="A5" s="1186" t="s">
        <v>19</v>
      </c>
      <c r="B5" s="1186" t="s">
        <v>414</v>
      </c>
      <c r="C5" s="1186">
        <v>1</v>
      </c>
      <c r="D5" s="1186" t="s">
        <v>162</v>
      </c>
      <c r="E5" s="1186">
        <v>13</v>
      </c>
      <c r="F5" s="1186"/>
      <c r="G5" s="1186">
        <v>1</v>
      </c>
      <c r="H5" s="1186">
        <v>4</v>
      </c>
      <c r="I5" s="1186">
        <v>8</v>
      </c>
    </row>
    <row r="6" spans="1:9" x14ac:dyDescent="0.2">
      <c r="A6" s="1186" t="s">
        <v>19</v>
      </c>
      <c r="B6" s="1186" t="s">
        <v>414</v>
      </c>
      <c r="C6" s="1186">
        <v>2</v>
      </c>
      <c r="D6" s="1186" t="s">
        <v>417</v>
      </c>
      <c r="E6" s="1186">
        <v>10</v>
      </c>
      <c r="F6" s="1186"/>
      <c r="G6" s="1186"/>
      <c r="H6" s="1186">
        <v>8</v>
      </c>
      <c r="I6" s="1186">
        <v>2</v>
      </c>
    </row>
    <row r="7" spans="1:9" x14ac:dyDescent="0.2">
      <c r="A7" s="1186" t="s">
        <v>19</v>
      </c>
      <c r="B7" s="1186" t="s">
        <v>414</v>
      </c>
      <c r="C7" s="1186">
        <v>3</v>
      </c>
      <c r="D7" s="1186" t="s">
        <v>418</v>
      </c>
      <c r="E7" s="1186">
        <v>22</v>
      </c>
      <c r="F7" s="1186"/>
      <c r="G7" s="1186">
        <v>1</v>
      </c>
      <c r="H7" s="1186">
        <v>10</v>
      </c>
      <c r="I7" s="1186">
        <v>11</v>
      </c>
    </row>
    <row r="8" spans="1:9" x14ac:dyDescent="0.2">
      <c r="A8" s="1186" t="s">
        <v>19</v>
      </c>
      <c r="B8" s="1186" t="s">
        <v>414</v>
      </c>
      <c r="C8" s="1186">
        <v>6</v>
      </c>
      <c r="D8" s="1186" t="s">
        <v>1788</v>
      </c>
      <c r="E8" s="1186">
        <v>3</v>
      </c>
      <c r="F8" s="1186"/>
      <c r="G8" s="1186"/>
      <c r="H8" s="1186"/>
      <c r="I8" s="1186">
        <v>3</v>
      </c>
    </row>
    <row r="9" spans="1:9" x14ac:dyDescent="0.2">
      <c r="A9" s="1186" t="s">
        <v>19</v>
      </c>
      <c r="B9" s="1186" t="s">
        <v>421</v>
      </c>
      <c r="C9" s="1186">
        <v>8</v>
      </c>
      <c r="D9" s="1186" t="s">
        <v>201</v>
      </c>
      <c r="E9" s="1186">
        <v>1</v>
      </c>
      <c r="F9" s="1186"/>
      <c r="G9" s="1186"/>
      <c r="H9" s="1186">
        <v>1</v>
      </c>
      <c r="I9" s="1186"/>
    </row>
    <row r="10" spans="1:9" x14ac:dyDescent="0.2">
      <c r="A10" s="1186" t="s">
        <v>19</v>
      </c>
      <c r="B10" s="1186" t="s">
        <v>414</v>
      </c>
      <c r="C10" s="1186">
        <v>8</v>
      </c>
      <c r="D10" s="1186" t="s">
        <v>201</v>
      </c>
      <c r="E10" s="1186">
        <v>13</v>
      </c>
      <c r="F10" s="1186">
        <v>2</v>
      </c>
      <c r="G10" s="1186">
        <v>2</v>
      </c>
      <c r="H10" s="1186">
        <v>5</v>
      </c>
      <c r="I10" s="1186">
        <v>4</v>
      </c>
    </row>
    <row r="11" spans="1:9" x14ac:dyDescent="0.2">
      <c r="A11" s="1186" t="s">
        <v>20</v>
      </c>
      <c r="B11" s="1186" t="s">
        <v>414</v>
      </c>
      <c r="C11" s="1186">
        <v>1</v>
      </c>
      <c r="D11" s="1186" t="s">
        <v>162</v>
      </c>
      <c r="E11" s="1186">
        <v>11</v>
      </c>
      <c r="F11" s="1186"/>
      <c r="G11" s="1186"/>
      <c r="H11" s="1186">
        <v>5</v>
      </c>
      <c r="I11" s="1186">
        <v>6</v>
      </c>
    </row>
    <row r="12" spans="1:9" x14ac:dyDescent="0.2">
      <c r="A12" s="1186" t="s">
        <v>20</v>
      </c>
      <c r="B12" s="1186" t="s">
        <v>414</v>
      </c>
      <c r="C12" s="1186">
        <v>2</v>
      </c>
      <c r="D12" s="1186" t="s">
        <v>417</v>
      </c>
      <c r="E12" s="1186">
        <v>11</v>
      </c>
      <c r="F12" s="1186"/>
      <c r="G12" s="1186">
        <v>2</v>
      </c>
      <c r="H12" s="1186">
        <v>5</v>
      </c>
      <c r="I12" s="1186">
        <v>4</v>
      </c>
    </row>
    <row r="13" spans="1:9" x14ac:dyDescent="0.2">
      <c r="A13" s="1186" t="s">
        <v>20</v>
      </c>
      <c r="B13" s="1186" t="s">
        <v>414</v>
      </c>
      <c r="C13" s="1186">
        <v>3</v>
      </c>
      <c r="D13" s="1186" t="s">
        <v>418</v>
      </c>
      <c r="E13" s="1186">
        <v>22</v>
      </c>
      <c r="F13" s="1186"/>
      <c r="G13" s="1186">
        <v>3</v>
      </c>
      <c r="H13" s="1186">
        <v>10</v>
      </c>
      <c r="I13" s="1186">
        <v>9</v>
      </c>
    </row>
    <row r="14" spans="1:9" x14ac:dyDescent="0.2">
      <c r="A14" s="1186" t="s">
        <v>20</v>
      </c>
      <c r="B14" s="1186" t="s">
        <v>414</v>
      </c>
      <c r="C14" s="1186">
        <v>4</v>
      </c>
      <c r="D14" s="1186" t="s">
        <v>1789</v>
      </c>
      <c r="E14" s="1186">
        <v>1</v>
      </c>
      <c r="F14" s="1186"/>
      <c r="G14" s="1186"/>
      <c r="H14" s="1186">
        <v>1</v>
      </c>
      <c r="I14" s="1186"/>
    </row>
    <row r="15" spans="1:9" x14ac:dyDescent="0.2">
      <c r="A15" s="1186" t="s">
        <v>20</v>
      </c>
      <c r="B15" s="1186" t="s">
        <v>414</v>
      </c>
      <c r="C15" s="1186">
        <v>6</v>
      </c>
      <c r="D15" s="1186" t="s">
        <v>1788</v>
      </c>
      <c r="E15" s="1186">
        <v>1</v>
      </c>
      <c r="F15" s="1186"/>
      <c r="G15" s="1186"/>
      <c r="H15" s="1186">
        <v>1</v>
      </c>
      <c r="I15" s="1186"/>
    </row>
    <row r="16" spans="1:9" x14ac:dyDescent="0.2">
      <c r="A16" s="1186" t="s">
        <v>20</v>
      </c>
      <c r="B16" s="1186" t="s">
        <v>414</v>
      </c>
      <c r="C16" s="1186">
        <v>8</v>
      </c>
      <c r="D16" s="1186" t="s">
        <v>201</v>
      </c>
      <c r="E16" s="1186">
        <v>6</v>
      </c>
      <c r="F16" s="1186"/>
      <c r="G16" s="1186">
        <v>1</v>
      </c>
      <c r="H16" s="1186">
        <v>1</v>
      </c>
      <c r="I16" s="1186">
        <v>4</v>
      </c>
    </row>
    <row r="17" spans="1:9" x14ac:dyDescent="0.2">
      <c r="A17" s="1186" t="s">
        <v>13</v>
      </c>
      <c r="B17" s="1186" t="s">
        <v>414</v>
      </c>
      <c r="C17" s="1186">
        <v>1</v>
      </c>
      <c r="D17" s="1186" t="s">
        <v>162</v>
      </c>
      <c r="E17" s="1186">
        <v>7</v>
      </c>
      <c r="F17" s="1186"/>
      <c r="G17" s="1186"/>
      <c r="H17" s="1186">
        <v>3</v>
      </c>
      <c r="I17" s="1186">
        <v>4</v>
      </c>
    </row>
    <row r="18" spans="1:9" x14ac:dyDescent="0.2">
      <c r="A18" s="1186" t="s">
        <v>13</v>
      </c>
      <c r="B18" s="1186" t="s">
        <v>414</v>
      </c>
      <c r="C18" s="1186">
        <v>2</v>
      </c>
      <c r="D18" s="1186" t="s">
        <v>417</v>
      </c>
      <c r="E18" s="1186">
        <v>18</v>
      </c>
      <c r="F18" s="1186">
        <v>2</v>
      </c>
      <c r="G18" s="1186">
        <v>2</v>
      </c>
      <c r="H18" s="1186">
        <v>5</v>
      </c>
      <c r="I18" s="1186">
        <v>9</v>
      </c>
    </row>
    <row r="19" spans="1:9" x14ac:dyDescent="0.2">
      <c r="A19" s="1186" t="s">
        <v>13</v>
      </c>
      <c r="B19" s="1186" t="s">
        <v>414</v>
      </c>
      <c r="C19" s="1186">
        <v>3</v>
      </c>
      <c r="D19" s="1186" t="s">
        <v>418</v>
      </c>
      <c r="E19" s="1186">
        <v>27</v>
      </c>
      <c r="F19" s="1186">
        <v>1</v>
      </c>
      <c r="G19" s="1186"/>
      <c r="H19" s="1186">
        <v>14</v>
      </c>
      <c r="I19" s="1186">
        <v>12</v>
      </c>
    </row>
    <row r="20" spans="1:9" x14ac:dyDescent="0.2">
      <c r="A20" s="1186" t="s">
        <v>13</v>
      </c>
      <c r="B20" s="1186" t="s">
        <v>414</v>
      </c>
      <c r="C20" s="1186">
        <v>8</v>
      </c>
      <c r="D20" s="1186" t="s">
        <v>201</v>
      </c>
      <c r="E20" s="1186">
        <v>7</v>
      </c>
      <c r="F20" s="1186"/>
      <c r="G20" s="1186">
        <v>1</v>
      </c>
      <c r="H20" s="1186">
        <v>1</v>
      </c>
      <c r="I20" s="1186">
        <v>5</v>
      </c>
    </row>
    <row r="21" spans="1:9" x14ac:dyDescent="0.2">
      <c r="A21" s="1186" t="s">
        <v>15</v>
      </c>
      <c r="B21" s="1186" t="s">
        <v>414</v>
      </c>
      <c r="C21" s="1186">
        <v>1</v>
      </c>
      <c r="D21" s="1186" t="s">
        <v>162</v>
      </c>
      <c r="E21" s="1186">
        <v>12</v>
      </c>
      <c r="F21" s="1186"/>
      <c r="G21" s="1186">
        <v>1</v>
      </c>
      <c r="H21" s="1186"/>
      <c r="I21" s="1186">
        <v>11</v>
      </c>
    </row>
    <row r="22" spans="1:9" x14ac:dyDescent="0.2">
      <c r="A22" s="1186" t="s">
        <v>15</v>
      </c>
      <c r="B22" s="1186" t="s">
        <v>414</v>
      </c>
      <c r="C22" s="1186">
        <v>2</v>
      </c>
      <c r="D22" s="1186" t="s">
        <v>417</v>
      </c>
      <c r="E22" s="1186">
        <v>4</v>
      </c>
      <c r="F22" s="1186"/>
      <c r="G22" s="1186"/>
      <c r="H22" s="1186">
        <v>2</v>
      </c>
      <c r="I22" s="1186">
        <v>2</v>
      </c>
    </row>
    <row r="23" spans="1:9" x14ac:dyDescent="0.2">
      <c r="A23" s="1186" t="s">
        <v>15</v>
      </c>
      <c r="B23" s="1186" t="s">
        <v>414</v>
      </c>
      <c r="C23" s="1186">
        <v>3</v>
      </c>
      <c r="D23" s="1186" t="s">
        <v>418</v>
      </c>
      <c r="E23" s="1186">
        <v>18</v>
      </c>
      <c r="F23" s="1186"/>
      <c r="G23" s="1186"/>
      <c r="H23" s="1186">
        <v>12</v>
      </c>
      <c r="I23" s="1186">
        <v>6</v>
      </c>
    </row>
    <row r="24" spans="1:9" x14ac:dyDescent="0.2">
      <c r="A24" s="1186" t="s">
        <v>15</v>
      </c>
      <c r="B24" s="1186" t="s">
        <v>414</v>
      </c>
      <c r="C24" s="1186">
        <v>8</v>
      </c>
      <c r="D24" s="1186" t="s">
        <v>201</v>
      </c>
      <c r="E24" s="1186">
        <v>12</v>
      </c>
      <c r="F24" s="1186"/>
      <c r="G24" s="1186"/>
      <c r="H24" s="1186">
        <v>5</v>
      </c>
      <c r="I24" s="1186">
        <v>7</v>
      </c>
    </row>
    <row r="25" spans="1:9" x14ac:dyDescent="0.2">
      <c r="A25" s="1186" t="s">
        <v>17</v>
      </c>
      <c r="B25" s="1186" t="s">
        <v>414</v>
      </c>
      <c r="C25" s="1186">
        <v>1</v>
      </c>
      <c r="D25" s="1186" t="s">
        <v>162</v>
      </c>
      <c r="E25" s="1186">
        <v>7</v>
      </c>
      <c r="F25" s="1186"/>
      <c r="G25" s="1186"/>
      <c r="H25" s="1186">
        <v>4</v>
      </c>
      <c r="I25" s="1186">
        <v>3</v>
      </c>
    </row>
    <row r="26" spans="1:9" x14ac:dyDescent="0.2">
      <c r="A26" s="1186" t="s">
        <v>17</v>
      </c>
      <c r="B26" s="1186" t="s">
        <v>414</v>
      </c>
      <c r="C26" s="1186">
        <v>2</v>
      </c>
      <c r="D26" s="1186" t="s">
        <v>417</v>
      </c>
      <c r="E26" s="1186">
        <v>7</v>
      </c>
      <c r="F26" s="1186"/>
      <c r="G26" s="1186"/>
      <c r="H26" s="1186">
        <v>4</v>
      </c>
      <c r="I26" s="1186">
        <v>3</v>
      </c>
    </row>
    <row r="27" spans="1:9" x14ac:dyDescent="0.2">
      <c r="A27" s="1186" t="s">
        <v>17</v>
      </c>
      <c r="B27" s="1186" t="s">
        <v>414</v>
      </c>
      <c r="C27" s="1186">
        <v>3</v>
      </c>
      <c r="D27" s="1186" t="s">
        <v>418</v>
      </c>
      <c r="E27" s="1186">
        <v>14</v>
      </c>
      <c r="F27" s="1186"/>
      <c r="G27" s="1186"/>
      <c r="H27" s="1186">
        <v>6</v>
      </c>
      <c r="I27" s="1186">
        <v>8</v>
      </c>
    </row>
    <row r="28" spans="1:9" x14ac:dyDescent="0.2">
      <c r="A28" s="1186" t="s">
        <v>17</v>
      </c>
      <c r="B28" s="1186" t="s">
        <v>414</v>
      </c>
      <c r="C28" s="1186">
        <v>8</v>
      </c>
      <c r="D28" s="1186" t="s">
        <v>201</v>
      </c>
      <c r="E28" s="1186">
        <v>3</v>
      </c>
      <c r="F28" s="1186"/>
      <c r="G28" s="1186"/>
      <c r="H28" s="1186">
        <v>1</v>
      </c>
      <c r="I28" s="1186">
        <v>2</v>
      </c>
    </row>
    <row r="29" spans="1:9" x14ac:dyDescent="0.2">
      <c r="A29" s="1186" t="s">
        <v>133</v>
      </c>
      <c r="B29" s="1186" t="s">
        <v>414</v>
      </c>
      <c r="C29" s="1186">
        <v>1</v>
      </c>
      <c r="D29" s="1186" t="s">
        <v>162</v>
      </c>
      <c r="E29" s="1186">
        <v>11</v>
      </c>
      <c r="F29" s="1186">
        <v>1</v>
      </c>
      <c r="G29" s="1186">
        <v>1</v>
      </c>
      <c r="H29" s="1186">
        <v>4</v>
      </c>
      <c r="I29" s="1186">
        <v>5</v>
      </c>
    </row>
    <row r="30" spans="1:9" x14ac:dyDescent="0.2">
      <c r="A30" s="1186" t="s">
        <v>133</v>
      </c>
      <c r="B30" s="1186" t="s">
        <v>414</v>
      </c>
      <c r="C30" s="1186">
        <v>2</v>
      </c>
      <c r="D30" s="1186" t="s">
        <v>417</v>
      </c>
      <c r="E30" s="1186">
        <v>12</v>
      </c>
      <c r="F30" s="1186"/>
      <c r="G30" s="1186">
        <v>1</v>
      </c>
      <c r="H30" s="1186">
        <v>6</v>
      </c>
      <c r="I30" s="1186">
        <v>5</v>
      </c>
    </row>
    <row r="31" spans="1:9" x14ac:dyDescent="0.2">
      <c r="A31" s="1186" t="s">
        <v>133</v>
      </c>
      <c r="B31" s="1186" t="s">
        <v>414</v>
      </c>
      <c r="C31" s="1186">
        <v>3</v>
      </c>
      <c r="D31" s="1186" t="s">
        <v>418</v>
      </c>
      <c r="E31" s="1186">
        <v>13</v>
      </c>
      <c r="F31" s="1186"/>
      <c r="G31" s="1186"/>
      <c r="H31" s="1186">
        <v>3</v>
      </c>
      <c r="I31" s="1186">
        <v>10</v>
      </c>
    </row>
    <row r="32" spans="1:9" x14ac:dyDescent="0.2">
      <c r="A32" s="1186" t="s">
        <v>133</v>
      </c>
      <c r="B32" s="1186" t="s">
        <v>414</v>
      </c>
      <c r="C32" s="1186">
        <v>8</v>
      </c>
      <c r="D32" s="1186" t="s">
        <v>201</v>
      </c>
      <c r="E32" s="1186">
        <v>4</v>
      </c>
      <c r="F32" s="1186"/>
      <c r="G32" s="1186"/>
      <c r="H32" s="1186">
        <v>1</v>
      </c>
      <c r="I32" s="1186">
        <v>3</v>
      </c>
    </row>
    <row r="33" spans="1:9" x14ac:dyDescent="0.2">
      <c r="A33" s="1186" t="s">
        <v>144</v>
      </c>
      <c r="B33" s="1186" t="s">
        <v>414</v>
      </c>
      <c r="C33" s="1186">
        <v>1</v>
      </c>
      <c r="D33" s="1186" t="s">
        <v>162</v>
      </c>
      <c r="E33" s="1186">
        <v>7</v>
      </c>
      <c r="F33" s="1186"/>
      <c r="G33" s="1186"/>
      <c r="H33" s="1186">
        <v>2</v>
      </c>
      <c r="I33" s="1186">
        <v>5</v>
      </c>
    </row>
    <row r="34" spans="1:9" x14ac:dyDescent="0.2">
      <c r="A34" s="1186" t="s">
        <v>144</v>
      </c>
      <c r="B34" s="1186" t="s">
        <v>414</v>
      </c>
      <c r="C34" s="1186">
        <v>2</v>
      </c>
      <c r="D34" s="1186" t="s">
        <v>417</v>
      </c>
      <c r="E34" s="1186">
        <v>10</v>
      </c>
      <c r="F34" s="1186"/>
      <c r="G34" s="1186"/>
      <c r="H34" s="1186">
        <v>5</v>
      </c>
      <c r="I34" s="1186">
        <v>5</v>
      </c>
    </row>
    <row r="35" spans="1:9" x14ac:dyDescent="0.2">
      <c r="A35" s="1186" t="s">
        <v>144</v>
      </c>
      <c r="B35" s="1186" t="s">
        <v>414</v>
      </c>
      <c r="C35" s="1186">
        <v>3</v>
      </c>
      <c r="D35" s="1186" t="s">
        <v>418</v>
      </c>
      <c r="E35" s="1186">
        <v>24</v>
      </c>
      <c r="F35" s="1186"/>
      <c r="G35" s="1186">
        <v>3</v>
      </c>
      <c r="H35" s="1186">
        <v>9</v>
      </c>
      <c r="I35" s="1186">
        <v>12</v>
      </c>
    </row>
    <row r="36" spans="1:9" x14ac:dyDescent="0.2">
      <c r="A36" s="1186" t="s">
        <v>144</v>
      </c>
      <c r="B36" s="1186" t="s">
        <v>414</v>
      </c>
      <c r="C36" s="1186">
        <v>6</v>
      </c>
      <c r="D36" s="1186" t="s">
        <v>1788</v>
      </c>
      <c r="E36" s="1186">
        <v>1</v>
      </c>
      <c r="F36" s="1186"/>
      <c r="G36" s="1186"/>
      <c r="H36" s="1186"/>
      <c r="I36" s="1186">
        <v>1</v>
      </c>
    </row>
    <row r="37" spans="1:9" x14ac:dyDescent="0.2">
      <c r="A37" s="1186" t="s">
        <v>144</v>
      </c>
      <c r="B37" s="1186" t="s">
        <v>414</v>
      </c>
      <c r="C37" s="1186">
        <v>8</v>
      </c>
      <c r="D37" s="1186" t="s">
        <v>201</v>
      </c>
      <c r="E37" s="1186">
        <v>3</v>
      </c>
      <c r="F37" s="1186"/>
      <c r="G37" s="1186"/>
      <c r="H37" s="1186">
        <v>3</v>
      </c>
      <c r="I37" s="1186"/>
    </row>
    <row r="38" spans="1:9" x14ac:dyDescent="0.2">
      <c r="A38" s="1186" t="s">
        <v>282</v>
      </c>
      <c r="B38" s="1186" t="s">
        <v>414</v>
      </c>
      <c r="C38" s="1186">
        <v>1</v>
      </c>
      <c r="D38" s="1186" t="s">
        <v>162</v>
      </c>
      <c r="E38" s="1186">
        <v>7</v>
      </c>
      <c r="F38" s="1186"/>
      <c r="G38" s="1186"/>
      <c r="H38" s="1186">
        <v>5</v>
      </c>
      <c r="I38" s="1186">
        <v>2</v>
      </c>
    </row>
    <row r="39" spans="1:9" x14ac:dyDescent="0.2">
      <c r="A39" s="1186" t="s">
        <v>282</v>
      </c>
      <c r="B39" s="1186" t="s">
        <v>414</v>
      </c>
      <c r="C39" s="1186">
        <v>2</v>
      </c>
      <c r="D39" s="1186" t="s">
        <v>417</v>
      </c>
      <c r="E39" s="1186">
        <v>9</v>
      </c>
      <c r="F39" s="1186"/>
      <c r="G39" s="1186">
        <v>1</v>
      </c>
      <c r="H39" s="1186">
        <v>3</v>
      </c>
      <c r="I39" s="1186">
        <v>5</v>
      </c>
    </row>
    <row r="40" spans="1:9" x14ac:dyDescent="0.2">
      <c r="A40" s="1186" t="s">
        <v>282</v>
      </c>
      <c r="B40" s="1186" t="s">
        <v>414</v>
      </c>
      <c r="C40" s="1186">
        <v>3</v>
      </c>
      <c r="D40" s="1186" t="s">
        <v>418</v>
      </c>
      <c r="E40" s="1186">
        <v>24</v>
      </c>
      <c r="F40" s="1186"/>
      <c r="G40" s="1186">
        <v>3</v>
      </c>
      <c r="H40" s="1186">
        <v>10</v>
      </c>
      <c r="I40" s="1186">
        <v>11</v>
      </c>
    </row>
    <row r="41" spans="1:9" x14ac:dyDescent="0.2">
      <c r="A41" s="1186" t="s">
        <v>282</v>
      </c>
      <c r="B41" s="1186" t="s">
        <v>414</v>
      </c>
      <c r="C41" s="1186">
        <v>8</v>
      </c>
      <c r="D41" s="1186" t="s">
        <v>201</v>
      </c>
      <c r="E41" s="1186">
        <v>4</v>
      </c>
      <c r="F41" s="1186"/>
      <c r="G41" s="1186"/>
      <c r="H41" s="1186">
        <v>4</v>
      </c>
      <c r="I41" s="1186"/>
    </row>
    <row r="42" spans="1:9" x14ac:dyDescent="0.2">
      <c r="A42" s="1186" t="s">
        <v>311</v>
      </c>
      <c r="B42" s="1186" t="s">
        <v>414</v>
      </c>
      <c r="C42" s="1186">
        <v>1</v>
      </c>
      <c r="D42" s="1186" t="s">
        <v>162</v>
      </c>
      <c r="E42" s="1186">
        <v>15</v>
      </c>
      <c r="F42" s="1186"/>
      <c r="G42" s="1186">
        <v>1</v>
      </c>
      <c r="H42" s="1186">
        <v>4</v>
      </c>
      <c r="I42" s="1186">
        <v>10</v>
      </c>
    </row>
    <row r="43" spans="1:9" x14ac:dyDescent="0.2">
      <c r="A43" s="1186" t="s">
        <v>311</v>
      </c>
      <c r="B43" s="1186" t="s">
        <v>414</v>
      </c>
      <c r="C43" s="1186">
        <v>2</v>
      </c>
      <c r="D43" s="1186" t="s">
        <v>417</v>
      </c>
      <c r="E43" s="1186">
        <v>5</v>
      </c>
      <c r="F43" s="1186"/>
      <c r="G43" s="1186"/>
      <c r="H43" s="1186">
        <v>1</v>
      </c>
      <c r="I43" s="1186">
        <v>4</v>
      </c>
    </row>
    <row r="44" spans="1:9" x14ac:dyDescent="0.2">
      <c r="A44" s="1186" t="s">
        <v>311</v>
      </c>
      <c r="B44" s="1186" t="s">
        <v>414</v>
      </c>
      <c r="C44" s="1186">
        <v>3</v>
      </c>
      <c r="D44" s="1186" t="s">
        <v>418</v>
      </c>
      <c r="E44" s="1186">
        <v>18</v>
      </c>
      <c r="F44" s="1186"/>
      <c r="G44" s="1186">
        <v>2</v>
      </c>
      <c r="H44" s="1186">
        <v>8</v>
      </c>
      <c r="I44" s="1186">
        <v>8</v>
      </c>
    </row>
    <row r="45" spans="1:9" x14ac:dyDescent="0.2">
      <c r="A45" s="1186" t="s">
        <v>311</v>
      </c>
      <c r="B45" s="1186" t="s">
        <v>414</v>
      </c>
      <c r="C45" s="1186">
        <v>4</v>
      </c>
      <c r="D45" s="1186" t="s">
        <v>1789</v>
      </c>
      <c r="E45" s="1186">
        <v>1</v>
      </c>
      <c r="F45" s="1186"/>
      <c r="G45" s="1186"/>
      <c r="H45" s="1186">
        <v>1</v>
      </c>
      <c r="I45" s="1186"/>
    </row>
    <row r="46" spans="1:9" x14ac:dyDescent="0.2">
      <c r="A46" s="1186" t="s">
        <v>311</v>
      </c>
      <c r="B46" s="1186" t="s">
        <v>414</v>
      </c>
      <c r="C46" s="1186">
        <v>8</v>
      </c>
      <c r="D46" s="1186" t="s">
        <v>201</v>
      </c>
      <c r="E46" s="1186">
        <v>5</v>
      </c>
      <c r="F46" s="1186"/>
      <c r="G46" s="1186"/>
      <c r="H46" s="1186">
        <v>4</v>
      </c>
      <c r="I46" s="1186">
        <v>1</v>
      </c>
    </row>
    <row r="47" spans="1:9" x14ac:dyDescent="0.2">
      <c r="A47" s="1186" t="s">
        <v>621</v>
      </c>
      <c r="B47" s="1186" t="s">
        <v>414</v>
      </c>
      <c r="C47" s="1186">
        <v>1</v>
      </c>
      <c r="D47" s="1186" t="s">
        <v>162</v>
      </c>
      <c r="E47" s="1186">
        <v>9</v>
      </c>
      <c r="F47" s="1186"/>
      <c r="G47" s="1186">
        <v>1</v>
      </c>
      <c r="H47" s="1186">
        <v>2</v>
      </c>
      <c r="I47" s="1186">
        <v>6</v>
      </c>
    </row>
    <row r="48" spans="1:9" x14ac:dyDescent="0.2">
      <c r="A48" s="1186" t="s">
        <v>621</v>
      </c>
      <c r="B48" s="1186" t="s">
        <v>414</v>
      </c>
      <c r="C48" s="1186">
        <v>2</v>
      </c>
      <c r="D48" s="1186" t="s">
        <v>417</v>
      </c>
      <c r="E48" s="1186">
        <v>13</v>
      </c>
      <c r="F48" s="1186"/>
      <c r="G48" s="1186">
        <v>1</v>
      </c>
      <c r="H48" s="1186">
        <v>5</v>
      </c>
      <c r="I48" s="1186">
        <v>7</v>
      </c>
    </row>
    <row r="49" spans="1:9" x14ac:dyDescent="0.2">
      <c r="A49" s="1186" t="s">
        <v>621</v>
      </c>
      <c r="B49" s="1186" t="s">
        <v>414</v>
      </c>
      <c r="C49" s="1186">
        <v>3</v>
      </c>
      <c r="D49" s="1186" t="s">
        <v>418</v>
      </c>
      <c r="E49" s="1186">
        <v>20</v>
      </c>
      <c r="F49" s="1186"/>
      <c r="G49" s="1186"/>
      <c r="H49" s="1186">
        <v>9</v>
      </c>
      <c r="I49" s="1186">
        <v>11</v>
      </c>
    </row>
    <row r="50" spans="1:9" x14ac:dyDescent="0.2">
      <c r="A50" s="1186" t="s">
        <v>621</v>
      </c>
      <c r="B50" s="1186" t="s">
        <v>414</v>
      </c>
      <c r="C50" s="1186">
        <v>8</v>
      </c>
      <c r="D50" s="1186" t="s">
        <v>201</v>
      </c>
      <c r="E50" s="1186">
        <v>2</v>
      </c>
      <c r="F50" s="1186"/>
      <c r="G50" s="1186"/>
      <c r="H50" s="1186"/>
      <c r="I50" s="1186">
        <v>2</v>
      </c>
    </row>
    <row r="51" spans="1:9" x14ac:dyDescent="0.2">
      <c r="A51" s="1186" t="s">
        <v>1419</v>
      </c>
      <c r="B51" s="1186" t="s">
        <v>414</v>
      </c>
      <c r="C51" s="1186">
        <v>1</v>
      </c>
      <c r="D51" s="1186" t="s">
        <v>162</v>
      </c>
      <c r="E51" s="1186">
        <v>6</v>
      </c>
      <c r="F51" s="1186"/>
      <c r="G51" s="1186"/>
      <c r="H51" s="1186">
        <v>3</v>
      </c>
      <c r="I51" s="1186">
        <v>3</v>
      </c>
    </row>
    <row r="52" spans="1:9" x14ac:dyDescent="0.2">
      <c r="A52" s="1186" t="s">
        <v>1419</v>
      </c>
      <c r="B52" s="1186" t="s">
        <v>414</v>
      </c>
      <c r="C52" s="1186">
        <v>2</v>
      </c>
      <c r="D52" s="1186" t="s">
        <v>417</v>
      </c>
      <c r="E52" s="1186">
        <v>6</v>
      </c>
      <c r="F52" s="1186"/>
      <c r="G52" s="1186"/>
      <c r="H52" s="1186">
        <v>1</v>
      </c>
      <c r="I52" s="1186">
        <v>5</v>
      </c>
    </row>
    <row r="53" spans="1:9" x14ac:dyDescent="0.2">
      <c r="A53" s="1186" t="s">
        <v>1419</v>
      </c>
      <c r="B53" s="1186" t="s">
        <v>414</v>
      </c>
      <c r="C53" s="1186">
        <v>3</v>
      </c>
      <c r="D53" s="1186" t="s">
        <v>418</v>
      </c>
      <c r="E53" s="1186">
        <v>11</v>
      </c>
      <c r="F53" s="1186"/>
      <c r="G53" s="1186"/>
      <c r="H53" s="1186">
        <v>6</v>
      </c>
      <c r="I53" s="1186">
        <v>5</v>
      </c>
    </row>
    <row r="54" spans="1:9" x14ac:dyDescent="0.2">
      <c r="A54" s="1186" t="s">
        <v>1419</v>
      </c>
      <c r="B54" s="1186" t="s">
        <v>414</v>
      </c>
      <c r="C54" s="1186">
        <v>8</v>
      </c>
      <c r="D54" s="1186" t="s">
        <v>201</v>
      </c>
      <c r="E54" s="1186">
        <v>4</v>
      </c>
      <c r="F54" s="1186"/>
      <c r="G54" s="1186"/>
      <c r="H54" s="1186">
        <v>3</v>
      </c>
      <c r="I54" s="1186">
        <v>1</v>
      </c>
    </row>
    <row r="55" spans="1:9" x14ac:dyDescent="0.2">
      <c r="A55" s="1186" t="s">
        <v>1572</v>
      </c>
      <c r="B55" s="1186" t="s">
        <v>414</v>
      </c>
      <c r="C55" s="1186">
        <v>1</v>
      </c>
      <c r="D55" s="1186" t="s">
        <v>162</v>
      </c>
      <c r="E55" s="1186">
        <v>17</v>
      </c>
      <c r="F55" s="1186"/>
      <c r="G55" s="1186">
        <v>2</v>
      </c>
      <c r="H55" s="1186">
        <v>8</v>
      </c>
      <c r="I55" s="1186">
        <v>7</v>
      </c>
    </row>
    <row r="56" spans="1:9" x14ac:dyDescent="0.2">
      <c r="A56" s="1186" t="s">
        <v>1572</v>
      </c>
      <c r="B56" s="1186" t="s">
        <v>414</v>
      </c>
      <c r="C56" s="1186">
        <v>2</v>
      </c>
      <c r="D56" s="1186" t="s">
        <v>417</v>
      </c>
      <c r="E56" s="1186">
        <v>8</v>
      </c>
      <c r="F56" s="1186"/>
      <c r="G56" s="1186"/>
      <c r="H56" s="1186">
        <v>4</v>
      </c>
      <c r="I56" s="1186">
        <v>4</v>
      </c>
    </row>
    <row r="57" spans="1:9" x14ac:dyDescent="0.2">
      <c r="A57" s="1186" t="s">
        <v>1572</v>
      </c>
      <c r="B57" s="1186" t="s">
        <v>414</v>
      </c>
      <c r="C57" s="1186">
        <v>3</v>
      </c>
      <c r="D57" s="1186" t="s">
        <v>418</v>
      </c>
      <c r="E57" s="1186">
        <v>20</v>
      </c>
      <c r="F57" s="1186">
        <v>3</v>
      </c>
      <c r="G57" s="1186"/>
      <c r="H57" s="1186">
        <v>5</v>
      </c>
      <c r="I57" s="1186">
        <v>12</v>
      </c>
    </row>
    <row r="58" spans="1:9" x14ac:dyDescent="0.2">
      <c r="A58" s="1186" t="s">
        <v>1572</v>
      </c>
      <c r="B58" s="1186" t="s">
        <v>414</v>
      </c>
      <c r="C58" s="1186">
        <v>8</v>
      </c>
      <c r="D58" s="1186" t="s">
        <v>201</v>
      </c>
      <c r="E58" s="1186">
        <v>8</v>
      </c>
      <c r="F58" s="1186"/>
      <c r="G58" s="1186"/>
      <c r="H58" s="1186">
        <v>3</v>
      </c>
      <c r="I58" s="1186">
        <v>5</v>
      </c>
    </row>
  </sheetData>
  <pageMargins left="0.7" right="0.7" top="0.75" bottom="0.75" header="0.3" footer="0.3"/>
  <pageSetup paperSize="9" fitToHeight="50" orientation="landscape" r:id="rId1"/>
  <legacyDrawing r:id="rId2"/>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pageSetUpPr fitToPage="1"/>
  </sheetPr>
  <dimension ref="A1:I138"/>
  <sheetViews>
    <sheetView zoomScale="85" zoomScaleNormal="85" workbookViewId="0">
      <pane ySplit="4" topLeftCell="A114"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6.42578125" bestFit="1" customWidth="1"/>
    <col min="3" max="3" width="42.85546875" bestFit="1" customWidth="1"/>
    <col min="4" max="4" width="12.42578125" bestFit="1" customWidth="1"/>
    <col min="5" max="5" width="4.42578125" bestFit="1" customWidth="1"/>
    <col min="6" max="7" width="5.42578125" bestFit="1" customWidth="1"/>
    <col min="8" max="8" width="3.85546875" bestFit="1" customWidth="1"/>
    <col min="9" max="9" width="8" bestFit="1" customWidth="1"/>
  </cols>
  <sheetData>
    <row r="1" spans="1:9" x14ac:dyDescent="0.2"/>
    <row r="4" spans="1:9" x14ac:dyDescent="0.2">
      <c r="A4" s="1223" t="s">
        <v>4</v>
      </c>
      <c r="B4" s="1223" t="s">
        <v>563</v>
      </c>
      <c r="C4" s="1223" t="s">
        <v>1771</v>
      </c>
      <c r="D4" s="1223" t="s">
        <v>1772</v>
      </c>
      <c r="E4" s="1223" t="s">
        <v>175</v>
      </c>
      <c r="F4" s="1223" t="s">
        <v>176</v>
      </c>
      <c r="G4" s="1223" t="s">
        <v>177</v>
      </c>
      <c r="H4" s="1223" t="s">
        <v>178</v>
      </c>
      <c r="I4" s="1223" t="s">
        <v>168</v>
      </c>
    </row>
    <row r="5" spans="1:9" x14ac:dyDescent="0.2">
      <c r="A5" s="1186" t="s">
        <v>19</v>
      </c>
      <c r="B5" s="1186" t="s">
        <v>421</v>
      </c>
      <c r="C5" s="1186" t="s">
        <v>424</v>
      </c>
      <c r="D5" s="1186">
        <v>3</v>
      </c>
      <c r="E5" s="1186"/>
      <c r="F5" s="1186">
        <v>1</v>
      </c>
      <c r="G5" s="1186">
        <v>2</v>
      </c>
      <c r="H5" s="1186"/>
      <c r="I5" s="1186"/>
    </row>
    <row r="6" spans="1:9" x14ac:dyDescent="0.2">
      <c r="A6" s="1186" t="s">
        <v>19</v>
      </c>
      <c r="B6" s="1186" t="s">
        <v>421</v>
      </c>
      <c r="C6" s="1186" t="s">
        <v>427</v>
      </c>
      <c r="D6" s="1186">
        <v>10</v>
      </c>
      <c r="E6" s="1186"/>
      <c r="F6" s="1186">
        <v>2</v>
      </c>
      <c r="G6" s="1186">
        <v>8</v>
      </c>
      <c r="H6" s="1186"/>
      <c r="I6" s="1186"/>
    </row>
    <row r="7" spans="1:9" x14ac:dyDescent="0.2">
      <c r="A7" s="1186" t="s">
        <v>19</v>
      </c>
      <c r="B7" s="1186" t="s">
        <v>421</v>
      </c>
      <c r="C7" s="1186" t="s">
        <v>429</v>
      </c>
      <c r="D7" s="1186">
        <v>2</v>
      </c>
      <c r="E7" s="1186"/>
      <c r="F7" s="1186">
        <v>1</v>
      </c>
      <c r="G7" s="1186">
        <v>1</v>
      </c>
      <c r="H7" s="1186"/>
      <c r="I7" s="1186"/>
    </row>
    <row r="8" spans="1:9" x14ac:dyDescent="0.2">
      <c r="A8" s="1186" t="s">
        <v>19</v>
      </c>
      <c r="B8" s="1186" t="s">
        <v>421</v>
      </c>
      <c r="C8" s="1186" t="s">
        <v>430</v>
      </c>
      <c r="D8" s="1186">
        <v>3</v>
      </c>
      <c r="E8" s="1186"/>
      <c r="F8" s="1186">
        <v>1</v>
      </c>
      <c r="G8" s="1186">
        <v>2</v>
      </c>
      <c r="H8" s="1186"/>
      <c r="I8" s="1186"/>
    </row>
    <row r="9" spans="1:9" x14ac:dyDescent="0.2">
      <c r="A9" s="1186" t="s">
        <v>19</v>
      </c>
      <c r="B9" s="1186" t="s">
        <v>414</v>
      </c>
      <c r="C9" s="1186" t="s">
        <v>424</v>
      </c>
      <c r="D9" s="1186">
        <v>152</v>
      </c>
      <c r="E9" s="1186">
        <v>8</v>
      </c>
      <c r="F9" s="1186">
        <v>42</v>
      </c>
      <c r="G9" s="1186">
        <v>76</v>
      </c>
      <c r="H9" s="1186">
        <v>26</v>
      </c>
      <c r="I9" s="1186"/>
    </row>
    <row r="10" spans="1:9" x14ac:dyDescent="0.2">
      <c r="A10" s="1186" t="s">
        <v>19</v>
      </c>
      <c r="B10" s="1186" t="s">
        <v>414</v>
      </c>
      <c r="C10" s="1186" t="s">
        <v>425</v>
      </c>
      <c r="D10" s="1186">
        <v>31</v>
      </c>
      <c r="E10" s="1186">
        <v>1</v>
      </c>
      <c r="F10" s="1186">
        <v>3</v>
      </c>
      <c r="G10" s="1186">
        <v>19</v>
      </c>
      <c r="H10" s="1186">
        <v>8</v>
      </c>
      <c r="I10" s="1186"/>
    </row>
    <row r="11" spans="1:9" x14ac:dyDescent="0.2">
      <c r="A11" s="1186" t="s">
        <v>19</v>
      </c>
      <c r="B11" s="1186" t="s">
        <v>414</v>
      </c>
      <c r="C11" s="1186" t="s">
        <v>426</v>
      </c>
      <c r="D11" s="1186">
        <v>569</v>
      </c>
      <c r="E11" s="1186">
        <v>46</v>
      </c>
      <c r="F11" s="1186">
        <v>109</v>
      </c>
      <c r="G11" s="1186">
        <v>266</v>
      </c>
      <c r="H11" s="1186">
        <v>148</v>
      </c>
      <c r="I11" s="1186"/>
    </row>
    <row r="12" spans="1:9" x14ac:dyDescent="0.2">
      <c r="A12" s="1186" t="s">
        <v>19</v>
      </c>
      <c r="B12" s="1186" t="s">
        <v>414</v>
      </c>
      <c r="C12" s="1186" t="s">
        <v>427</v>
      </c>
      <c r="D12" s="1186">
        <v>43</v>
      </c>
      <c r="E12" s="1186">
        <v>5</v>
      </c>
      <c r="F12" s="1186">
        <v>9</v>
      </c>
      <c r="G12" s="1186">
        <v>20</v>
      </c>
      <c r="H12" s="1186">
        <v>9</v>
      </c>
      <c r="I12" s="1186"/>
    </row>
    <row r="13" spans="1:9" x14ac:dyDescent="0.2">
      <c r="A13" s="1186" t="s">
        <v>19</v>
      </c>
      <c r="B13" s="1186" t="s">
        <v>414</v>
      </c>
      <c r="C13" s="1186" t="s">
        <v>428</v>
      </c>
      <c r="D13" s="1186">
        <v>23</v>
      </c>
      <c r="E13" s="1186">
        <v>4</v>
      </c>
      <c r="F13" s="1186">
        <v>2</v>
      </c>
      <c r="G13" s="1186">
        <v>8</v>
      </c>
      <c r="H13" s="1186">
        <v>9</v>
      </c>
      <c r="I13" s="1186"/>
    </row>
    <row r="14" spans="1:9" x14ac:dyDescent="0.2">
      <c r="A14" s="1186" t="s">
        <v>19</v>
      </c>
      <c r="B14" s="1186" t="s">
        <v>414</v>
      </c>
      <c r="C14" s="1186" t="s">
        <v>429</v>
      </c>
      <c r="D14" s="1186">
        <v>252</v>
      </c>
      <c r="E14" s="1186">
        <v>21</v>
      </c>
      <c r="F14" s="1186">
        <v>43</v>
      </c>
      <c r="G14" s="1186">
        <v>112</v>
      </c>
      <c r="H14" s="1186">
        <v>75</v>
      </c>
      <c r="I14" s="1186">
        <v>1</v>
      </c>
    </row>
    <row r="15" spans="1:9" x14ac:dyDescent="0.2">
      <c r="A15" s="1186" t="s">
        <v>19</v>
      </c>
      <c r="B15" s="1186" t="s">
        <v>414</v>
      </c>
      <c r="C15" s="1186" t="s">
        <v>430</v>
      </c>
      <c r="D15" s="1186">
        <v>135</v>
      </c>
      <c r="E15" s="1186">
        <v>21</v>
      </c>
      <c r="F15" s="1186">
        <v>30</v>
      </c>
      <c r="G15" s="1186">
        <v>51</v>
      </c>
      <c r="H15" s="1186">
        <v>33</v>
      </c>
      <c r="I15" s="1186"/>
    </row>
    <row r="16" spans="1:9" x14ac:dyDescent="0.2">
      <c r="A16" s="1186" t="s">
        <v>20</v>
      </c>
      <c r="B16" s="1186" t="s">
        <v>421</v>
      </c>
      <c r="C16" s="1186" t="s">
        <v>424</v>
      </c>
      <c r="D16" s="1186">
        <v>2</v>
      </c>
      <c r="E16" s="1186"/>
      <c r="F16" s="1186"/>
      <c r="G16" s="1186">
        <v>2</v>
      </c>
      <c r="H16" s="1186"/>
      <c r="I16" s="1186"/>
    </row>
    <row r="17" spans="1:9" x14ac:dyDescent="0.2">
      <c r="A17" s="1186" t="s">
        <v>20</v>
      </c>
      <c r="B17" s="1186" t="s">
        <v>421</v>
      </c>
      <c r="C17" s="1186" t="s">
        <v>426</v>
      </c>
      <c r="D17" s="1186">
        <v>7</v>
      </c>
      <c r="E17" s="1186"/>
      <c r="F17" s="1186"/>
      <c r="G17" s="1186">
        <v>7</v>
      </c>
      <c r="H17" s="1186"/>
      <c r="I17" s="1186"/>
    </row>
    <row r="18" spans="1:9" x14ac:dyDescent="0.2">
      <c r="A18" s="1186" t="s">
        <v>20</v>
      </c>
      <c r="B18" s="1186" t="s">
        <v>421</v>
      </c>
      <c r="C18" s="1186" t="s">
        <v>427</v>
      </c>
      <c r="D18" s="1186">
        <v>9</v>
      </c>
      <c r="E18" s="1186"/>
      <c r="F18" s="1186">
        <v>1</v>
      </c>
      <c r="G18" s="1186">
        <v>8</v>
      </c>
      <c r="H18" s="1186"/>
      <c r="I18" s="1186"/>
    </row>
    <row r="19" spans="1:9" x14ac:dyDescent="0.2">
      <c r="A19" s="1186" t="s">
        <v>20</v>
      </c>
      <c r="B19" s="1186" t="s">
        <v>421</v>
      </c>
      <c r="C19" s="1186" t="s">
        <v>428</v>
      </c>
      <c r="D19" s="1186">
        <v>1</v>
      </c>
      <c r="E19" s="1186"/>
      <c r="F19" s="1186">
        <v>1</v>
      </c>
      <c r="G19" s="1186"/>
      <c r="H19" s="1186"/>
      <c r="I19" s="1186"/>
    </row>
    <row r="20" spans="1:9" x14ac:dyDescent="0.2">
      <c r="A20" s="1186" t="s">
        <v>20</v>
      </c>
      <c r="B20" s="1186" t="s">
        <v>421</v>
      </c>
      <c r="C20" s="1186" t="s">
        <v>429</v>
      </c>
      <c r="D20" s="1186">
        <v>5</v>
      </c>
      <c r="E20" s="1186"/>
      <c r="F20" s="1186">
        <v>1</v>
      </c>
      <c r="G20" s="1186">
        <v>4</v>
      </c>
      <c r="H20" s="1186"/>
      <c r="I20" s="1186"/>
    </row>
    <row r="21" spans="1:9" x14ac:dyDescent="0.2">
      <c r="A21" s="1186" t="s">
        <v>20</v>
      </c>
      <c r="B21" s="1186" t="s">
        <v>421</v>
      </c>
      <c r="C21" s="1186" t="s">
        <v>430</v>
      </c>
      <c r="D21" s="1186">
        <v>4</v>
      </c>
      <c r="E21" s="1186"/>
      <c r="F21" s="1186">
        <v>1</v>
      </c>
      <c r="G21" s="1186">
        <v>3</v>
      </c>
      <c r="H21" s="1186"/>
      <c r="I21" s="1186"/>
    </row>
    <row r="22" spans="1:9" x14ac:dyDescent="0.2">
      <c r="A22" s="1186" t="s">
        <v>20</v>
      </c>
      <c r="B22" s="1186" t="s">
        <v>414</v>
      </c>
      <c r="C22" s="1186" t="s">
        <v>424</v>
      </c>
      <c r="D22" s="1186">
        <v>157</v>
      </c>
      <c r="E22" s="1186">
        <v>14</v>
      </c>
      <c r="F22" s="1186">
        <v>43</v>
      </c>
      <c r="G22" s="1186">
        <v>75</v>
      </c>
      <c r="H22" s="1186">
        <v>25</v>
      </c>
      <c r="I22" s="1186"/>
    </row>
    <row r="23" spans="1:9" x14ac:dyDescent="0.2">
      <c r="A23" s="1186" t="s">
        <v>20</v>
      </c>
      <c r="B23" s="1186" t="s">
        <v>414</v>
      </c>
      <c r="C23" s="1186" t="s">
        <v>425</v>
      </c>
      <c r="D23" s="1186">
        <v>49</v>
      </c>
      <c r="E23" s="1186">
        <v>1</v>
      </c>
      <c r="F23" s="1186">
        <v>13</v>
      </c>
      <c r="G23" s="1186">
        <v>22</v>
      </c>
      <c r="H23" s="1186">
        <v>13</v>
      </c>
      <c r="I23" s="1186"/>
    </row>
    <row r="24" spans="1:9" x14ac:dyDescent="0.2">
      <c r="A24" s="1186" t="s">
        <v>20</v>
      </c>
      <c r="B24" s="1186" t="s">
        <v>414</v>
      </c>
      <c r="C24" s="1186" t="s">
        <v>426</v>
      </c>
      <c r="D24" s="1186">
        <v>651</v>
      </c>
      <c r="E24" s="1186">
        <v>54</v>
      </c>
      <c r="F24" s="1186">
        <v>130</v>
      </c>
      <c r="G24" s="1186">
        <v>299</v>
      </c>
      <c r="H24" s="1186">
        <v>168</v>
      </c>
      <c r="I24" s="1186"/>
    </row>
    <row r="25" spans="1:9" x14ac:dyDescent="0.2">
      <c r="A25" s="1186" t="s">
        <v>20</v>
      </c>
      <c r="B25" s="1186" t="s">
        <v>414</v>
      </c>
      <c r="C25" s="1186" t="s">
        <v>427</v>
      </c>
      <c r="D25" s="1186">
        <v>32</v>
      </c>
      <c r="E25" s="1186"/>
      <c r="F25" s="1186">
        <v>17</v>
      </c>
      <c r="G25" s="1186">
        <v>11</v>
      </c>
      <c r="H25" s="1186">
        <v>4</v>
      </c>
      <c r="I25" s="1186"/>
    </row>
    <row r="26" spans="1:9" x14ac:dyDescent="0.2">
      <c r="A26" s="1186" t="s">
        <v>20</v>
      </c>
      <c r="B26" s="1186" t="s">
        <v>414</v>
      </c>
      <c r="C26" s="1186" t="s">
        <v>428</v>
      </c>
      <c r="D26" s="1186">
        <v>29</v>
      </c>
      <c r="E26" s="1186">
        <v>2</v>
      </c>
      <c r="F26" s="1186">
        <v>5</v>
      </c>
      <c r="G26" s="1186">
        <v>10</v>
      </c>
      <c r="H26" s="1186">
        <v>12</v>
      </c>
      <c r="I26" s="1186"/>
    </row>
    <row r="27" spans="1:9" x14ac:dyDescent="0.2">
      <c r="A27" s="1186" t="s">
        <v>20</v>
      </c>
      <c r="B27" s="1186" t="s">
        <v>414</v>
      </c>
      <c r="C27" s="1186" t="s">
        <v>429</v>
      </c>
      <c r="D27" s="1186">
        <v>239</v>
      </c>
      <c r="E27" s="1186">
        <v>22</v>
      </c>
      <c r="F27" s="1186">
        <v>47</v>
      </c>
      <c r="G27" s="1186">
        <v>92</v>
      </c>
      <c r="H27" s="1186">
        <v>77</v>
      </c>
      <c r="I27" s="1186">
        <v>1</v>
      </c>
    </row>
    <row r="28" spans="1:9" x14ac:dyDescent="0.2">
      <c r="A28" s="1186" t="s">
        <v>20</v>
      </c>
      <c r="B28" s="1186" t="s">
        <v>414</v>
      </c>
      <c r="C28" s="1186" t="s">
        <v>430</v>
      </c>
      <c r="D28" s="1186">
        <v>147</v>
      </c>
      <c r="E28" s="1186">
        <v>20</v>
      </c>
      <c r="F28" s="1186">
        <v>28</v>
      </c>
      <c r="G28" s="1186">
        <v>74</v>
      </c>
      <c r="H28" s="1186">
        <v>24</v>
      </c>
      <c r="I28" s="1186">
        <v>1</v>
      </c>
    </row>
    <row r="29" spans="1:9" x14ac:dyDescent="0.2">
      <c r="A29" s="1186" t="s">
        <v>13</v>
      </c>
      <c r="B29" s="1186" t="s">
        <v>421</v>
      </c>
      <c r="C29" s="1186" t="s">
        <v>424</v>
      </c>
      <c r="D29" s="1186">
        <v>1</v>
      </c>
      <c r="E29" s="1186"/>
      <c r="F29" s="1186"/>
      <c r="G29" s="1186">
        <v>1</v>
      </c>
      <c r="H29" s="1186"/>
      <c r="I29" s="1186"/>
    </row>
    <row r="30" spans="1:9" x14ac:dyDescent="0.2">
      <c r="A30" s="1186" t="s">
        <v>13</v>
      </c>
      <c r="B30" s="1186" t="s">
        <v>421</v>
      </c>
      <c r="C30" s="1186" t="s">
        <v>426</v>
      </c>
      <c r="D30" s="1186">
        <v>1</v>
      </c>
      <c r="E30" s="1186"/>
      <c r="F30" s="1186"/>
      <c r="G30" s="1186">
        <v>1</v>
      </c>
      <c r="H30" s="1186"/>
      <c r="I30" s="1186"/>
    </row>
    <row r="31" spans="1:9" x14ac:dyDescent="0.2">
      <c r="A31" s="1186" t="s">
        <v>13</v>
      </c>
      <c r="B31" s="1186" t="s">
        <v>421</v>
      </c>
      <c r="C31" s="1186" t="s">
        <v>427</v>
      </c>
      <c r="D31" s="1186">
        <v>8</v>
      </c>
      <c r="E31" s="1186"/>
      <c r="F31" s="1186">
        <v>2</v>
      </c>
      <c r="G31" s="1186">
        <v>6</v>
      </c>
      <c r="H31" s="1186"/>
      <c r="I31" s="1186"/>
    </row>
    <row r="32" spans="1:9" x14ac:dyDescent="0.2">
      <c r="A32" s="1186" t="s">
        <v>13</v>
      </c>
      <c r="B32" s="1186" t="s">
        <v>421</v>
      </c>
      <c r="C32" s="1186" t="s">
        <v>428</v>
      </c>
      <c r="D32" s="1186">
        <v>3</v>
      </c>
      <c r="E32" s="1186"/>
      <c r="F32" s="1186"/>
      <c r="G32" s="1186">
        <v>3</v>
      </c>
      <c r="H32" s="1186"/>
      <c r="I32" s="1186"/>
    </row>
    <row r="33" spans="1:9" x14ac:dyDescent="0.2">
      <c r="A33" s="1186" t="s">
        <v>13</v>
      </c>
      <c r="B33" s="1186" t="s">
        <v>421</v>
      </c>
      <c r="C33" s="1186" t="s">
        <v>429</v>
      </c>
      <c r="D33" s="1186">
        <v>7</v>
      </c>
      <c r="E33" s="1186"/>
      <c r="F33" s="1186"/>
      <c r="G33" s="1186">
        <v>7</v>
      </c>
      <c r="H33" s="1186"/>
      <c r="I33" s="1186"/>
    </row>
    <row r="34" spans="1:9" x14ac:dyDescent="0.2">
      <c r="A34" s="1186" t="s">
        <v>13</v>
      </c>
      <c r="B34" s="1186" t="s">
        <v>421</v>
      </c>
      <c r="C34" s="1186" t="s">
        <v>430</v>
      </c>
      <c r="D34" s="1186">
        <v>8</v>
      </c>
      <c r="E34" s="1186"/>
      <c r="F34" s="1186"/>
      <c r="G34" s="1186">
        <v>8</v>
      </c>
      <c r="H34" s="1186"/>
      <c r="I34" s="1186"/>
    </row>
    <row r="35" spans="1:9" x14ac:dyDescent="0.2">
      <c r="A35" s="1186" t="s">
        <v>13</v>
      </c>
      <c r="B35" s="1186" t="s">
        <v>414</v>
      </c>
      <c r="C35" s="1186" t="s">
        <v>424</v>
      </c>
      <c r="D35" s="1186">
        <v>147</v>
      </c>
      <c r="E35" s="1186">
        <v>10</v>
      </c>
      <c r="F35" s="1186">
        <v>34</v>
      </c>
      <c r="G35" s="1186">
        <v>73</v>
      </c>
      <c r="H35" s="1186">
        <v>30</v>
      </c>
      <c r="I35" s="1186"/>
    </row>
    <row r="36" spans="1:9" x14ac:dyDescent="0.2">
      <c r="A36" s="1186" t="s">
        <v>13</v>
      </c>
      <c r="B36" s="1186" t="s">
        <v>414</v>
      </c>
      <c r="C36" s="1186" t="s">
        <v>425</v>
      </c>
      <c r="D36" s="1186">
        <v>40</v>
      </c>
      <c r="E36" s="1186">
        <v>1</v>
      </c>
      <c r="F36" s="1186">
        <v>9</v>
      </c>
      <c r="G36" s="1186">
        <v>17</v>
      </c>
      <c r="H36" s="1186">
        <v>13</v>
      </c>
      <c r="I36" s="1186"/>
    </row>
    <row r="37" spans="1:9" x14ac:dyDescent="0.2">
      <c r="A37" s="1186" t="s">
        <v>13</v>
      </c>
      <c r="B37" s="1186" t="s">
        <v>414</v>
      </c>
      <c r="C37" s="1186" t="s">
        <v>426</v>
      </c>
      <c r="D37" s="1186">
        <v>680</v>
      </c>
      <c r="E37" s="1186">
        <v>54</v>
      </c>
      <c r="F37" s="1186">
        <v>122</v>
      </c>
      <c r="G37" s="1186">
        <v>314</v>
      </c>
      <c r="H37" s="1186">
        <v>188</v>
      </c>
      <c r="I37" s="1186">
        <v>2</v>
      </c>
    </row>
    <row r="38" spans="1:9" x14ac:dyDescent="0.2">
      <c r="A38" s="1186" t="s">
        <v>13</v>
      </c>
      <c r="B38" s="1186" t="s">
        <v>414</v>
      </c>
      <c r="C38" s="1186" t="s">
        <v>427</v>
      </c>
      <c r="D38" s="1186">
        <v>48</v>
      </c>
      <c r="E38" s="1186">
        <v>3</v>
      </c>
      <c r="F38" s="1186">
        <v>15</v>
      </c>
      <c r="G38" s="1186">
        <v>26</v>
      </c>
      <c r="H38" s="1186">
        <v>4</v>
      </c>
      <c r="I38" s="1186"/>
    </row>
    <row r="39" spans="1:9" x14ac:dyDescent="0.2">
      <c r="A39" s="1186" t="s">
        <v>13</v>
      </c>
      <c r="B39" s="1186" t="s">
        <v>414</v>
      </c>
      <c r="C39" s="1186" t="s">
        <v>428</v>
      </c>
      <c r="D39" s="1186">
        <v>34</v>
      </c>
      <c r="E39" s="1186">
        <v>3</v>
      </c>
      <c r="F39" s="1186">
        <v>10</v>
      </c>
      <c r="G39" s="1186">
        <v>14</v>
      </c>
      <c r="H39" s="1186">
        <v>7</v>
      </c>
      <c r="I39" s="1186"/>
    </row>
    <row r="40" spans="1:9" x14ac:dyDescent="0.2">
      <c r="A40" s="1186" t="s">
        <v>13</v>
      </c>
      <c r="B40" s="1186" t="s">
        <v>414</v>
      </c>
      <c r="C40" s="1186" t="s">
        <v>429</v>
      </c>
      <c r="D40" s="1186">
        <v>282</v>
      </c>
      <c r="E40" s="1186">
        <v>29</v>
      </c>
      <c r="F40" s="1186">
        <v>43</v>
      </c>
      <c r="G40" s="1186">
        <v>128</v>
      </c>
      <c r="H40" s="1186">
        <v>80</v>
      </c>
      <c r="I40" s="1186">
        <v>2</v>
      </c>
    </row>
    <row r="41" spans="1:9" x14ac:dyDescent="0.2">
      <c r="A41" s="1186" t="s">
        <v>13</v>
      </c>
      <c r="B41" s="1186" t="s">
        <v>414</v>
      </c>
      <c r="C41" s="1186" t="s">
        <v>430</v>
      </c>
      <c r="D41" s="1186">
        <v>155</v>
      </c>
      <c r="E41" s="1186">
        <v>19</v>
      </c>
      <c r="F41" s="1186">
        <v>35</v>
      </c>
      <c r="G41" s="1186">
        <v>72</v>
      </c>
      <c r="H41" s="1186">
        <v>28</v>
      </c>
      <c r="I41" s="1186">
        <v>1</v>
      </c>
    </row>
    <row r="42" spans="1:9" x14ac:dyDescent="0.2">
      <c r="A42" s="1186" t="s">
        <v>15</v>
      </c>
      <c r="B42" s="1186" t="s">
        <v>421</v>
      </c>
      <c r="C42" s="1186" t="s">
        <v>424</v>
      </c>
      <c r="D42" s="1186">
        <v>5</v>
      </c>
      <c r="E42" s="1186"/>
      <c r="F42" s="1186">
        <v>2</v>
      </c>
      <c r="G42" s="1186">
        <v>3</v>
      </c>
      <c r="H42" s="1186"/>
      <c r="I42" s="1186"/>
    </row>
    <row r="43" spans="1:9" x14ac:dyDescent="0.2">
      <c r="A43" s="1186" t="s">
        <v>15</v>
      </c>
      <c r="B43" s="1186" t="s">
        <v>421</v>
      </c>
      <c r="C43" s="1186" t="s">
        <v>427</v>
      </c>
      <c r="D43" s="1186">
        <v>6</v>
      </c>
      <c r="E43" s="1186"/>
      <c r="F43" s="1186">
        <v>1</v>
      </c>
      <c r="G43" s="1186">
        <v>4</v>
      </c>
      <c r="H43" s="1186"/>
      <c r="I43" s="1186">
        <v>1</v>
      </c>
    </row>
    <row r="44" spans="1:9" x14ac:dyDescent="0.2">
      <c r="A44" s="1186" t="s">
        <v>15</v>
      </c>
      <c r="B44" s="1186" t="s">
        <v>421</v>
      </c>
      <c r="C44" s="1186" t="s">
        <v>429</v>
      </c>
      <c r="D44" s="1186">
        <v>6</v>
      </c>
      <c r="E44" s="1186"/>
      <c r="F44" s="1186"/>
      <c r="G44" s="1186">
        <v>6</v>
      </c>
      <c r="H44" s="1186"/>
      <c r="I44" s="1186"/>
    </row>
    <row r="45" spans="1:9" x14ac:dyDescent="0.2">
      <c r="A45" s="1186" t="s">
        <v>15</v>
      </c>
      <c r="B45" s="1186" t="s">
        <v>421</v>
      </c>
      <c r="C45" s="1186" t="s">
        <v>430</v>
      </c>
      <c r="D45" s="1186">
        <v>1</v>
      </c>
      <c r="E45" s="1186"/>
      <c r="F45" s="1186"/>
      <c r="G45" s="1186">
        <v>1</v>
      </c>
      <c r="H45" s="1186"/>
      <c r="I45" s="1186"/>
    </row>
    <row r="46" spans="1:9" x14ac:dyDescent="0.2">
      <c r="A46" s="1186" t="s">
        <v>15</v>
      </c>
      <c r="B46" s="1186" t="s">
        <v>414</v>
      </c>
      <c r="C46" s="1186" t="s">
        <v>424</v>
      </c>
      <c r="D46" s="1186">
        <v>135</v>
      </c>
      <c r="E46" s="1186">
        <v>2</v>
      </c>
      <c r="F46" s="1186">
        <v>35</v>
      </c>
      <c r="G46" s="1186">
        <v>66</v>
      </c>
      <c r="H46" s="1186">
        <v>26</v>
      </c>
      <c r="I46" s="1186">
        <v>6</v>
      </c>
    </row>
    <row r="47" spans="1:9" x14ac:dyDescent="0.2">
      <c r="A47" s="1186" t="s">
        <v>15</v>
      </c>
      <c r="B47" s="1186" t="s">
        <v>414</v>
      </c>
      <c r="C47" s="1186" t="s">
        <v>425</v>
      </c>
      <c r="D47" s="1186">
        <v>20</v>
      </c>
      <c r="E47" s="1186"/>
      <c r="F47" s="1186">
        <v>5</v>
      </c>
      <c r="G47" s="1186">
        <v>9</v>
      </c>
      <c r="H47" s="1186">
        <v>6</v>
      </c>
      <c r="I47" s="1186"/>
    </row>
    <row r="48" spans="1:9" x14ac:dyDescent="0.2">
      <c r="A48" s="1186" t="s">
        <v>15</v>
      </c>
      <c r="B48" s="1186" t="s">
        <v>414</v>
      </c>
      <c r="C48" s="1186" t="s">
        <v>426</v>
      </c>
      <c r="D48" s="1186">
        <v>708</v>
      </c>
      <c r="E48" s="1186">
        <v>47</v>
      </c>
      <c r="F48" s="1186">
        <v>128</v>
      </c>
      <c r="G48" s="1186">
        <v>295</v>
      </c>
      <c r="H48" s="1186">
        <v>207</v>
      </c>
      <c r="I48" s="1186">
        <v>31</v>
      </c>
    </row>
    <row r="49" spans="1:9" x14ac:dyDescent="0.2">
      <c r="A49" s="1186" t="s">
        <v>15</v>
      </c>
      <c r="B49" s="1186" t="s">
        <v>414</v>
      </c>
      <c r="C49" s="1186" t="s">
        <v>427</v>
      </c>
      <c r="D49" s="1186">
        <v>48</v>
      </c>
      <c r="E49" s="1186">
        <v>1</v>
      </c>
      <c r="F49" s="1186">
        <v>12</v>
      </c>
      <c r="G49" s="1186">
        <v>22</v>
      </c>
      <c r="H49" s="1186">
        <v>11</v>
      </c>
      <c r="I49" s="1186">
        <v>2</v>
      </c>
    </row>
    <row r="50" spans="1:9" x14ac:dyDescent="0.2">
      <c r="A50" s="1186" t="s">
        <v>15</v>
      </c>
      <c r="B50" s="1186" t="s">
        <v>414</v>
      </c>
      <c r="C50" s="1186" t="s">
        <v>428</v>
      </c>
      <c r="D50" s="1186">
        <v>33</v>
      </c>
      <c r="E50" s="1186">
        <v>3</v>
      </c>
      <c r="F50" s="1186">
        <v>7</v>
      </c>
      <c r="G50" s="1186">
        <v>7</v>
      </c>
      <c r="H50" s="1186">
        <v>14</v>
      </c>
      <c r="I50" s="1186">
        <v>2</v>
      </c>
    </row>
    <row r="51" spans="1:9" x14ac:dyDescent="0.2">
      <c r="A51" s="1186" t="s">
        <v>15</v>
      </c>
      <c r="B51" s="1186" t="s">
        <v>414</v>
      </c>
      <c r="C51" s="1186" t="s">
        <v>429</v>
      </c>
      <c r="D51" s="1186">
        <v>250</v>
      </c>
      <c r="E51" s="1186">
        <v>20</v>
      </c>
      <c r="F51" s="1186">
        <v>44</v>
      </c>
      <c r="G51" s="1186">
        <v>85</v>
      </c>
      <c r="H51" s="1186">
        <v>96</v>
      </c>
      <c r="I51" s="1186">
        <v>5</v>
      </c>
    </row>
    <row r="52" spans="1:9" x14ac:dyDescent="0.2">
      <c r="A52" s="1186" t="s">
        <v>15</v>
      </c>
      <c r="B52" s="1186" t="s">
        <v>414</v>
      </c>
      <c r="C52" s="1186" t="s">
        <v>430</v>
      </c>
      <c r="D52" s="1186">
        <v>107</v>
      </c>
      <c r="E52" s="1186">
        <v>16</v>
      </c>
      <c r="F52" s="1186">
        <v>21</v>
      </c>
      <c r="G52" s="1186">
        <v>30</v>
      </c>
      <c r="H52" s="1186">
        <v>29</v>
      </c>
      <c r="I52" s="1186">
        <v>11</v>
      </c>
    </row>
    <row r="53" spans="1:9" x14ac:dyDescent="0.2">
      <c r="A53" s="1186" t="s">
        <v>17</v>
      </c>
      <c r="B53" s="1186" t="s">
        <v>421</v>
      </c>
      <c r="C53" s="1186" t="s">
        <v>424</v>
      </c>
      <c r="D53" s="1186">
        <v>2</v>
      </c>
      <c r="E53" s="1186"/>
      <c r="F53" s="1186">
        <v>1</v>
      </c>
      <c r="G53" s="1186">
        <v>1</v>
      </c>
      <c r="H53" s="1186"/>
      <c r="I53" s="1186"/>
    </row>
    <row r="54" spans="1:9" x14ac:dyDescent="0.2">
      <c r="A54" s="1186" t="s">
        <v>17</v>
      </c>
      <c r="B54" s="1186" t="s">
        <v>421</v>
      </c>
      <c r="C54" s="1186" t="s">
        <v>427</v>
      </c>
      <c r="D54" s="1186">
        <v>6</v>
      </c>
      <c r="E54" s="1186"/>
      <c r="F54" s="1186"/>
      <c r="G54" s="1186">
        <v>6</v>
      </c>
      <c r="H54" s="1186"/>
      <c r="I54" s="1186"/>
    </row>
    <row r="55" spans="1:9" x14ac:dyDescent="0.2">
      <c r="A55" s="1186" t="s">
        <v>17</v>
      </c>
      <c r="B55" s="1186" t="s">
        <v>421</v>
      </c>
      <c r="C55" s="1186" t="s">
        <v>429</v>
      </c>
      <c r="D55" s="1186">
        <v>3</v>
      </c>
      <c r="E55" s="1186"/>
      <c r="F55" s="1186">
        <v>1</v>
      </c>
      <c r="G55" s="1186">
        <v>2</v>
      </c>
      <c r="H55" s="1186"/>
      <c r="I55" s="1186"/>
    </row>
    <row r="56" spans="1:9" x14ac:dyDescent="0.2">
      <c r="A56" s="1186" t="s">
        <v>17</v>
      </c>
      <c r="B56" s="1186" t="s">
        <v>421</v>
      </c>
      <c r="C56" s="1186" t="s">
        <v>430</v>
      </c>
      <c r="D56" s="1186">
        <v>4</v>
      </c>
      <c r="E56" s="1186"/>
      <c r="F56" s="1186">
        <v>1</v>
      </c>
      <c r="G56" s="1186">
        <v>2</v>
      </c>
      <c r="H56" s="1186">
        <v>1</v>
      </c>
      <c r="I56" s="1186"/>
    </row>
    <row r="57" spans="1:9" x14ac:dyDescent="0.2">
      <c r="A57" s="1186" t="s">
        <v>17</v>
      </c>
      <c r="B57" s="1186" t="s">
        <v>414</v>
      </c>
      <c r="C57" s="1186" t="s">
        <v>424</v>
      </c>
      <c r="D57" s="1186">
        <v>139</v>
      </c>
      <c r="E57" s="1186">
        <v>6</v>
      </c>
      <c r="F57" s="1186">
        <v>31</v>
      </c>
      <c r="G57" s="1186">
        <v>58</v>
      </c>
      <c r="H57" s="1186">
        <v>31</v>
      </c>
      <c r="I57" s="1186">
        <v>13</v>
      </c>
    </row>
    <row r="58" spans="1:9" x14ac:dyDescent="0.2">
      <c r="A58" s="1186" t="s">
        <v>17</v>
      </c>
      <c r="B58" s="1186" t="s">
        <v>414</v>
      </c>
      <c r="C58" s="1186" t="s">
        <v>425</v>
      </c>
      <c r="D58" s="1186">
        <v>33</v>
      </c>
      <c r="E58" s="1186"/>
      <c r="F58" s="1186">
        <v>6</v>
      </c>
      <c r="G58" s="1186">
        <v>17</v>
      </c>
      <c r="H58" s="1186">
        <v>9</v>
      </c>
      <c r="I58" s="1186">
        <v>1</v>
      </c>
    </row>
    <row r="59" spans="1:9" x14ac:dyDescent="0.2">
      <c r="A59" s="1186" t="s">
        <v>17</v>
      </c>
      <c r="B59" s="1186" t="s">
        <v>414</v>
      </c>
      <c r="C59" s="1186" t="s">
        <v>426</v>
      </c>
      <c r="D59" s="1186">
        <v>738</v>
      </c>
      <c r="E59" s="1186">
        <v>55</v>
      </c>
      <c r="F59" s="1186">
        <v>126</v>
      </c>
      <c r="G59" s="1186">
        <v>333</v>
      </c>
      <c r="H59" s="1186">
        <v>187</v>
      </c>
      <c r="I59" s="1186">
        <v>37</v>
      </c>
    </row>
    <row r="60" spans="1:9" x14ac:dyDescent="0.2">
      <c r="A60" s="1186" t="s">
        <v>17</v>
      </c>
      <c r="B60" s="1186" t="s">
        <v>414</v>
      </c>
      <c r="C60" s="1186" t="s">
        <v>427</v>
      </c>
      <c r="D60" s="1186">
        <v>40</v>
      </c>
      <c r="E60" s="1186">
        <v>2</v>
      </c>
      <c r="F60" s="1186">
        <v>11</v>
      </c>
      <c r="G60" s="1186">
        <v>16</v>
      </c>
      <c r="H60" s="1186">
        <v>9</v>
      </c>
      <c r="I60" s="1186">
        <v>2</v>
      </c>
    </row>
    <row r="61" spans="1:9" x14ac:dyDescent="0.2">
      <c r="A61" s="1186" t="s">
        <v>17</v>
      </c>
      <c r="B61" s="1186" t="s">
        <v>414</v>
      </c>
      <c r="C61" s="1186" t="s">
        <v>428</v>
      </c>
      <c r="D61" s="1186">
        <v>34</v>
      </c>
      <c r="E61" s="1186">
        <v>2</v>
      </c>
      <c r="F61" s="1186">
        <v>7</v>
      </c>
      <c r="G61" s="1186">
        <v>13</v>
      </c>
      <c r="H61" s="1186">
        <v>11</v>
      </c>
      <c r="I61" s="1186">
        <v>1</v>
      </c>
    </row>
    <row r="62" spans="1:9" x14ac:dyDescent="0.2">
      <c r="A62" s="1186" t="s">
        <v>17</v>
      </c>
      <c r="B62" s="1186" t="s">
        <v>414</v>
      </c>
      <c r="C62" s="1186" t="s">
        <v>429</v>
      </c>
      <c r="D62" s="1186">
        <v>205</v>
      </c>
      <c r="E62" s="1186">
        <v>12</v>
      </c>
      <c r="F62" s="1186">
        <v>27</v>
      </c>
      <c r="G62" s="1186">
        <v>94</v>
      </c>
      <c r="H62" s="1186">
        <v>64</v>
      </c>
      <c r="I62" s="1186">
        <v>8</v>
      </c>
    </row>
    <row r="63" spans="1:9" x14ac:dyDescent="0.2">
      <c r="A63" s="1186" t="s">
        <v>17</v>
      </c>
      <c r="B63" s="1186" t="s">
        <v>414</v>
      </c>
      <c r="C63" s="1186" t="s">
        <v>430</v>
      </c>
      <c r="D63" s="1186">
        <v>106</v>
      </c>
      <c r="E63" s="1186">
        <v>13</v>
      </c>
      <c r="F63" s="1186">
        <v>19</v>
      </c>
      <c r="G63" s="1186">
        <v>41</v>
      </c>
      <c r="H63" s="1186">
        <v>28</v>
      </c>
      <c r="I63" s="1186">
        <v>5</v>
      </c>
    </row>
    <row r="64" spans="1:9" x14ac:dyDescent="0.2">
      <c r="A64" s="1186" t="s">
        <v>133</v>
      </c>
      <c r="B64" s="1186" t="s">
        <v>421</v>
      </c>
      <c r="C64" s="1186" t="s">
        <v>424</v>
      </c>
      <c r="D64" s="1186">
        <v>6</v>
      </c>
      <c r="E64" s="1186"/>
      <c r="F64" s="1186"/>
      <c r="G64" s="1186">
        <v>6</v>
      </c>
      <c r="H64" s="1186"/>
      <c r="I64" s="1186"/>
    </row>
    <row r="65" spans="1:9" x14ac:dyDescent="0.2">
      <c r="A65" s="1186" t="s">
        <v>133</v>
      </c>
      <c r="B65" s="1186" t="s">
        <v>421</v>
      </c>
      <c r="C65" s="1186" t="s">
        <v>427</v>
      </c>
      <c r="D65" s="1186">
        <v>4</v>
      </c>
      <c r="E65" s="1186"/>
      <c r="F65" s="1186"/>
      <c r="G65" s="1186">
        <v>4</v>
      </c>
      <c r="H65" s="1186"/>
      <c r="I65" s="1186"/>
    </row>
    <row r="66" spans="1:9" x14ac:dyDescent="0.2">
      <c r="A66" s="1186" t="s">
        <v>133</v>
      </c>
      <c r="B66" s="1186" t="s">
        <v>421</v>
      </c>
      <c r="C66" s="1186" t="s">
        <v>429</v>
      </c>
      <c r="D66" s="1186">
        <v>2</v>
      </c>
      <c r="E66" s="1186"/>
      <c r="F66" s="1186"/>
      <c r="G66" s="1186">
        <v>2</v>
      </c>
      <c r="H66" s="1186"/>
      <c r="I66" s="1186"/>
    </row>
    <row r="67" spans="1:9" x14ac:dyDescent="0.2">
      <c r="A67" s="1186" t="s">
        <v>133</v>
      </c>
      <c r="B67" s="1186" t="s">
        <v>414</v>
      </c>
      <c r="C67" s="1186" t="s">
        <v>424</v>
      </c>
      <c r="D67" s="1186">
        <v>160</v>
      </c>
      <c r="E67" s="1186">
        <v>13</v>
      </c>
      <c r="F67" s="1186">
        <v>30</v>
      </c>
      <c r="G67" s="1186">
        <v>70</v>
      </c>
      <c r="H67" s="1186">
        <v>36</v>
      </c>
      <c r="I67" s="1186">
        <v>11</v>
      </c>
    </row>
    <row r="68" spans="1:9" x14ac:dyDescent="0.2">
      <c r="A68" s="1186" t="s">
        <v>133</v>
      </c>
      <c r="B68" s="1186" t="s">
        <v>414</v>
      </c>
      <c r="C68" s="1186" t="s">
        <v>425</v>
      </c>
      <c r="D68" s="1186">
        <v>25</v>
      </c>
      <c r="E68" s="1186"/>
      <c r="F68" s="1186">
        <v>3</v>
      </c>
      <c r="G68" s="1186">
        <v>14</v>
      </c>
      <c r="H68" s="1186">
        <v>8</v>
      </c>
      <c r="I68" s="1186"/>
    </row>
    <row r="69" spans="1:9" x14ac:dyDescent="0.2">
      <c r="A69" s="1186" t="s">
        <v>133</v>
      </c>
      <c r="B69" s="1186" t="s">
        <v>414</v>
      </c>
      <c r="C69" s="1186" t="s">
        <v>426</v>
      </c>
      <c r="D69" s="1186">
        <v>617</v>
      </c>
      <c r="E69" s="1186">
        <v>54</v>
      </c>
      <c r="F69" s="1186">
        <v>95</v>
      </c>
      <c r="G69" s="1186">
        <v>257</v>
      </c>
      <c r="H69" s="1186">
        <v>177</v>
      </c>
      <c r="I69" s="1186">
        <v>34</v>
      </c>
    </row>
    <row r="70" spans="1:9" x14ac:dyDescent="0.2">
      <c r="A70" s="1186" t="s">
        <v>133</v>
      </c>
      <c r="B70" s="1186" t="s">
        <v>414</v>
      </c>
      <c r="C70" s="1186" t="s">
        <v>427</v>
      </c>
      <c r="D70" s="1186">
        <v>39</v>
      </c>
      <c r="E70" s="1186"/>
      <c r="F70" s="1186">
        <v>15</v>
      </c>
      <c r="G70" s="1186">
        <v>14</v>
      </c>
      <c r="H70" s="1186">
        <v>9</v>
      </c>
      <c r="I70" s="1186">
        <v>1</v>
      </c>
    </row>
    <row r="71" spans="1:9" x14ac:dyDescent="0.2">
      <c r="A71" s="1186" t="s">
        <v>133</v>
      </c>
      <c r="B71" s="1186" t="s">
        <v>414</v>
      </c>
      <c r="C71" s="1186" t="s">
        <v>428</v>
      </c>
      <c r="D71" s="1186">
        <v>12</v>
      </c>
      <c r="E71" s="1186"/>
      <c r="F71" s="1186">
        <v>3</v>
      </c>
      <c r="G71" s="1186">
        <v>1</v>
      </c>
      <c r="H71" s="1186">
        <v>7</v>
      </c>
      <c r="I71" s="1186">
        <v>1</v>
      </c>
    </row>
    <row r="72" spans="1:9" x14ac:dyDescent="0.2">
      <c r="A72" s="1186" t="s">
        <v>133</v>
      </c>
      <c r="B72" s="1186" t="s">
        <v>414</v>
      </c>
      <c r="C72" s="1186" t="s">
        <v>429</v>
      </c>
      <c r="D72" s="1186">
        <v>136</v>
      </c>
      <c r="E72" s="1186">
        <v>13</v>
      </c>
      <c r="F72" s="1186">
        <v>20</v>
      </c>
      <c r="G72" s="1186">
        <v>44</v>
      </c>
      <c r="H72" s="1186">
        <v>49</v>
      </c>
      <c r="I72" s="1186">
        <v>10</v>
      </c>
    </row>
    <row r="73" spans="1:9" x14ac:dyDescent="0.2">
      <c r="A73" s="1186" t="s">
        <v>133</v>
      </c>
      <c r="B73" s="1186" t="s">
        <v>414</v>
      </c>
      <c r="C73" s="1186" t="s">
        <v>430</v>
      </c>
      <c r="D73" s="1186">
        <v>98</v>
      </c>
      <c r="E73" s="1186">
        <v>8</v>
      </c>
      <c r="F73" s="1186">
        <v>20</v>
      </c>
      <c r="G73" s="1186">
        <v>32</v>
      </c>
      <c r="H73" s="1186">
        <v>28</v>
      </c>
      <c r="I73" s="1186">
        <v>10</v>
      </c>
    </row>
    <row r="74" spans="1:9" x14ac:dyDescent="0.2">
      <c r="A74" s="1186" t="s">
        <v>144</v>
      </c>
      <c r="B74" s="1186" t="s">
        <v>421</v>
      </c>
      <c r="C74" s="1186" t="s">
        <v>424</v>
      </c>
      <c r="D74" s="1186">
        <v>1</v>
      </c>
      <c r="E74" s="1186"/>
      <c r="F74" s="1186">
        <v>1</v>
      </c>
      <c r="G74" s="1186"/>
      <c r="H74" s="1186"/>
      <c r="I74" s="1186"/>
    </row>
    <row r="75" spans="1:9" x14ac:dyDescent="0.2">
      <c r="A75" s="1186" t="s">
        <v>144</v>
      </c>
      <c r="B75" s="1186" t="s">
        <v>421</v>
      </c>
      <c r="C75" s="1186" t="s">
        <v>427</v>
      </c>
      <c r="D75" s="1186">
        <v>7</v>
      </c>
      <c r="E75" s="1186"/>
      <c r="F75" s="1186">
        <v>1</v>
      </c>
      <c r="G75" s="1186">
        <v>5</v>
      </c>
      <c r="H75" s="1186"/>
      <c r="I75" s="1186">
        <v>1</v>
      </c>
    </row>
    <row r="76" spans="1:9" x14ac:dyDescent="0.2">
      <c r="A76" s="1186" t="s">
        <v>144</v>
      </c>
      <c r="B76" s="1186" t="s">
        <v>421</v>
      </c>
      <c r="C76" s="1186" t="s">
        <v>429</v>
      </c>
      <c r="D76" s="1186">
        <v>1</v>
      </c>
      <c r="E76" s="1186"/>
      <c r="F76" s="1186"/>
      <c r="G76" s="1186">
        <v>1</v>
      </c>
      <c r="H76" s="1186"/>
      <c r="I76" s="1186"/>
    </row>
    <row r="77" spans="1:9" x14ac:dyDescent="0.2">
      <c r="A77" s="1186" t="s">
        <v>144</v>
      </c>
      <c r="B77" s="1186" t="s">
        <v>421</v>
      </c>
      <c r="C77" s="1186" t="s">
        <v>430</v>
      </c>
      <c r="D77" s="1186">
        <v>1</v>
      </c>
      <c r="E77" s="1186"/>
      <c r="F77" s="1186"/>
      <c r="G77" s="1186">
        <v>1</v>
      </c>
      <c r="H77" s="1186"/>
      <c r="I77" s="1186"/>
    </row>
    <row r="78" spans="1:9" x14ac:dyDescent="0.2">
      <c r="A78" s="1186" t="s">
        <v>144</v>
      </c>
      <c r="B78" s="1186" t="s">
        <v>414</v>
      </c>
      <c r="C78" s="1186" t="s">
        <v>424</v>
      </c>
      <c r="D78" s="1186">
        <v>156</v>
      </c>
      <c r="E78" s="1186">
        <v>14</v>
      </c>
      <c r="F78" s="1186">
        <v>34</v>
      </c>
      <c r="G78" s="1186">
        <v>68</v>
      </c>
      <c r="H78" s="1186">
        <v>35</v>
      </c>
      <c r="I78" s="1186">
        <v>5</v>
      </c>
    </row>
    <row r="79" spans="1:9" x14ac:dyDescent="0.2">
      <c r="A79" s="1186" t="s">
        <v>144</v>
      </c>
      <c r="B79" s="1186" t="s">
        <v>414</v>
      </c>
      <c r="C79" s="1186" t="s">
        <v>425</v>
      </c>
      <c r="D79" s="1186">
        <v>37</v>
      </c>
      <c r="E79" s="1186"/>
      <c r="F79" s="1186">
        <v>8</v>
      </c>
      <c r="G79" s="1186">
        <v>19</v>
      </c>
      <c r="H79" s="1186">
        <v>7</v>
      </c>
      <c r="I79" s="1186">
        <v>3</v>
      </c>
    </row>
    <row r="80" spans="1:9" x14ac:dyDescent="0.2">
      <c r="A80" s="1186" t="s">
        <v>144</v>
      </c>
      <c r="B80" s="1186" t="s">
        <v>414</v>
      </c>
      <c r="C80" s="1186" t="s">
        <v>426</v>
      </c>
      <c r="D80" s="1186">
        <v>708</v>
      </c>
      <c r="E80" s="1186">
        <v>46</v>
      </c>
      <c r="F80" s="1186">
        <v>102</v>
      </c>
      <c r="G80" s="1186">
        <v>303</v>
      </c>
      <c r="H80" s="1186">
        <v>221</v>
      </c>
      <c r="I80" s="1186">
        <v>36</v>
      </c>
    </row>
    <row r="81" spans="1:9" x14ac:dyDescent="0.2">
      <c r="A81" s="1186" t="s">
        <v>144</v>
      </c>
      <c r="B81" s="1186" t="s">
        <v>414</v>
      </c>
      <c r="C81" s="1186" t="s">
        <v>427</v>
      </c>
      <c r="D81" s="1186">
        <v>60</v>
      </c>
      <c r="E81" s="1186">
        <v>4</v>
      </c>
      <c r="F81" s="1186">
        <v>13</v>
      </c>
      <c r="G81" s="1186">
        <v>28</v>
      </c>
      <c r="H81" s="1186">
        <v>11</v>
      </c>
      <c r="I81" s="1186">
        <v>4</v>
      </c>
    </row>
    <row r="82" spans="1:9" x14ac:dyDescent="0.2">
      <c r="A82" s="1186" t="s">
        <v>144</v>
      </c>
      <c r="B82" s="1186" t="s">
        <v>414</v>
      </c>
      <c r="C82" s="1186" t="s">
        <v>428</v>
      </c>
      <c r="D82" s="1186">
        <v>29</v>
      </c>
      <c r="E82" s="1186">
        <v>1</v>
      </c>
      <c r="F82" s="1186">
        <v>2</v>
      </c>
      <c r="G82" s="1186">
        <v>14</v>
      </c>
      <c r="H82" s="1186">
        <v>9</v>
      </c>
      <c r="I82" s="1186">
        <v>3</v>
      </c>
    </row>
    <row r="83" spans="1:9" x14ac:dyDescent="0.2">
      <c r="A83" s="1186" t="s">
        <v>144</v>
      </c>
      <c r="B83" s="1186" t="s">
        <v>414</v>
      </c>
      <c r="C83" s="1186" t="s">
        <v>429</v>
      </c>
      <c r="D83" s="1186">
        <v>167</v>
      </c>
      <c r="E83" s="1186">
        <v>2</v>
      </c>
      <c r="F83" s="1186">
        <v>21</v>
      </c>
      <c r="G83" s="1186">
        <v>73</v>
      </c>
      <c r="H83" s="1186">
        <v>67</v>
      </c>
      <c r="I83" s="1186">
        <v>4</v>
      </c>
    </row>
    <row r="84" spans="1:9" x14ac:dyDescent="0.2">
      <c r="A84" s="1186" t="s">
        <v>144</v>
      </c>
      <c r="B84" s="1186" t="s">
        <v>414</v>
      </c>
      <c r="C84" s="1186" t="s">
        <v>430</v>
      </c>
      <c r="D84" s="1186">
        <v>109</v>
      </c>
      <c r="E84" s="1186">
        <v>10</v>
      </c>
      <c r="F84" s="1186">
        <v>24</v>
      </c>
      <c r="G84" s="1186">
        <v>37</v>
      </c>
      <c r="H84" s="1186">
        <v>31</v>
      </c>
      <c r="I84" s="1186">
        <v>7</v>
      </c>
    </row>
    <row r="85" spans="1:9" x14ac:dyDescent="0.2">
      <c r="A85" s="1186" t="s">
        <v>282</v>
      </c>
      <c r="B85" s="1186" t="s">
        <v>421</v>
      </c>
      <c r="C85" s="1186" t="s">
        <v>427</v>
      </c>
      <c r="D85" s="1186">
        <v>8</v>
      </c>
      <c r="E85" s="1186"/>
      <c r="F85" s="1186"/>
      <c r="G85" s="1186">
        <v>6</v>
      </c>
      <c r="H85" s="1186"/>
      <c r="I85" s="1186">
        <v>2</v>
      </c>
    </row>
    <row r="86" spans="1:9" x14ac:dyDescent="0.2">
      <c r="A86" s="1186" t="s">
        <v>282</v>
      </c>
      <c r="B86" s="1186" t="s">
        <v>421</v>
      </c>
      <c r="C86" s="1186" t="s">
        <v>429</v>
      </c>
      <c r="D86" s="1186">
        <v>6</v>
      </c>
      <c r="E86" s="1186"/>
      <c r="F86" s="1186">
        <v>1</v>
      </c>
      <c r="G86" s="1186">
        <v>4</v>
      </c>
      <c r="H86" s="1186"/>
      <c r="I86" s="1186">
        <v>1</v>
      </c>
    </row>
    <row r="87" spans="1:9" x14ac:dyDescent="0.2">
      <c r="A87" s="1186" t="s">
        <v>282</v>
      </c>
      <c r="B87" s="1186" t="s">
        <v>421</v>
      </c>
      <c r="C87" s="1186" t="s">
        <v>430</v>
      </c>
      <c r="D87" s="1186">
        <v>4</v>
      </c>
      <c r="E87" s="1186"/>
      <c r="F87" s="1186"/>
      <c r="G87" s="1186">
        <v>3</v>
      </c>
      <c r="H87" s="1186"/>
      <c r="I87" s="1186">
        <v>1</v>
      </c>
    </row>
    <row r="88" spans="1:9" x14ac:dyDescent="0.2">
      <c r="A88" s="1186" t="s">
        <v>282</v>
      </c>
      <c r="B88" s="1186" t="s">
        <v>414</v>
      </c>
      <c r="C88" s="1186" t="s">
        <v>424</v>
      </c>
      <c r="D88" s="1186">
        <v>129</v>
      </c>
      <c r="E88" s="1186">
        <v>5</v>
      </c>
      <c r="F88" s="1186">
        <v>25</v>
      </c>
      <c r="G88" s="1186">
        <v>72</v>
      </c>
      <c r="H88" s="1186">
        <v>22</v>
      </c>
      <c r="I88" s="1186">
        <v>5</v>
      </c>
    </row>
    <row r="89" spans="1:9" x14ac:dyDescent="0.2">
      <c r="A89" s="1186" t="s">
        <v>282</v>
      </c>
      <c r="B89" s="1186" t="s">
        <v>414</v>
      </c>
      <c r="C89" s="1186" t="s">
        <v>425</v>
      </c>
      <c r="D89" s="1186">
        <v>26</v>
      </c>
      <c r="E89" s="1186"/>
      <c r="F89" s="1186">
        <v>4</v>
      </c>
      <c r="G89" s="1186">
        <v>15</v>
      </c>
      <c r="H89" s="1186">
        <v>7</v>
      </c>
      <c r="I89" s="1186"/>
    </row>
    <row r="90" spans="1:9" x14ac:dyDescent="0.2">
      <c r="A90" s="1186" t="s">
        <v>282</v>
      </c>
      <c r="B90" s="1186" t="s">
        <v>414</v>
      </c>
      <c r="C90" s="1186" t="s">
        <v>426</v>
      </c>
      <c r="D90" s="1186">
        <v>752</v>
      </c>
      <c r="E90" s="1186">
        <v>54</v>
      </c>
      <c r="F90" s="1186">
        <v>122</v>
      </c>
      <c r="G90" s="1186">
        <v>349</v>
      </c>
      <c r="H90" s="1186">
        <v>190</v>
      </c>
      <c r="I90" s="1186">
        <v>37</v>
      </c>
    </row>
    <row r="91" spans="1:9" x14ac:dyDescent="0.2">
      <c r="A91" s="1186" t="s">
        <v>282</v>
      </c>
      <c r="B91" s="1186" t="s">
        <v>414</v>
      </c>
      <c r="C91" s="1186" t="s">
        <v>427</v>
      </c>
      <c r="D91" s="1186">
        <v>41</v>
      </c>
      <c r="E91" s="1186">
        <v>3</v>
      </c>
      <c r="F91" s="1186">
        <v>9</v>
      </c>
      <c r="G91" s="1186">
        <v>19</v>
      </c>
      <c r="H91" s="1186">
        <v>7</v>
      </c>
      <c r="I91" s="1186">
        <v>3</v>
      </c>
    </row>
    <row r="92" spans="1:9" x14ac:dyDescent="0.2">
      <c r="A92" s="1186" t="s">
        <v>282</v>
      </c>
      <c r="B92" s="1186" t="s">
        <v>414</v>
      </c>
      <c r="C92" s="1186" t="s">
        <v>428</v>
      </c>
      <c r="D92" s="1186">
        <v>33</v>
      </c>
      <c r="E92" s="1186">
        <v>2</v>
      </c>
      <c r="F92" s="1186">
        <v>5</v>
      </c>
      <c r="G92" s="1186">
        <v>12</v>
      </c>
      <c r="H92" s="1186">
        <v>12</v>
      </c>
      <c r="I92" s="1186">
        <v>2</v>
      </c>
    </row>
    <row r="93" spans="1:9" x14ac:dyDescent="0.2">
      <c r="A93" s="1186" t="s">
        <v>282</v>
      </c>
      <c r="B93" s="1186" t="s">
        <v>414</v>
      </c>
      <c r="C93" s="1186" t="s">
        <v>429</v>
      </c>
      <c r="D93" s="1186">
        <v>132</v>
      </c>
      <c r="E93" s="1186">
        <v>5</v>
      </c>
      <c r="F93" s="1186">
        <v>15</v>
      </c>
      <c r="G93" s="1186">
        <v>49</v>
      </c>
      <c r="H93" s="1186">
        <v>56</v>
      </c>
      <c r="I93" s="1186">
        <v>7</v>
      </c>
    </row>
    <row r="94" spans="1:9" x14ac:dyDescent="0.2">
      <c r="A94" s="1186" t="s">
        <v>282</v>
      </c>
      <c r="B94" s="1186" t="s">
        <v>414</v>
      </c>
      <c r="C94" s="1186" t="s">
        <v>430</v>
      </c>
      <c r="D94" s="1186">
        <v>135</v>
      </c>
      <c r="E94" s="1186">
        <v>9</v>
      </c>
      <c r="F94" s="1186">
        <v>21</v>
      </c>
      <c r="G94" s="1186">
        <v>58</v>
      </c>
      <c r="H94" s="1186">
        <v>40</v>
      </c>
      <c r="I94" s="1186">
        <v>7</v>
      </c>
    </row>
    <row r="95" spans="1:9" x14ac:dyDescent="0.2">
      <c r="A95" s="1186" t="s">
        <v>311</v>
      </c>
      <c r="B95" s="1186" t="s">
        <v>421</v>
      </c>
      <c r="C95" s="1186" t="s">
        <v>424</v>
      </c>
      <c r="D95" s="1186">
        <v>4</v>
      </c>
      <c r="E95" s="1186"/>
      <c r="F95" s="1186">
        <v>2</v>
      </c>
      <c r="G95" s="1186">
        <v>1</v>
      </c>
      <c r="H95" s="1186"/>
      <c r="I95" s="1186">
        <v>1</v>
      </c>
    </row>
    <row r="96" spans="1:9" x14ac:dyDescent="0.2">
      <c r="A96" s="1186" t="s">
        <v>311</v>
      </c>
      <c r="B96" s="1186" t="s">
        <v>421</v>
      </c>
      <c r="C96" s="1186" t="s">
        <v>427</v>
      </c>
      <c r="D96" s="1186">
        <v>14</v>
      </c>
      <c r="E96" s="1186"/>
      <c r="F96" s="1186">
        <v>1</v>
      </c>
      <c r="G96" s="1186">
        <v>6</v>
      </c>
      <c r="H96" s="1186">
        <v>2</v>
      </c>
      <c r="I96" s="1186">
        <v>5</v>
      </c>
    </row>
    <row r="97" spans="1:9" x14ac:dyDescent="0.2">
      <c r="A97" s="1186" t="s">
        <v>311</v>
      </c>
      <c r="B97" s="1186" t="s">
        <v>421</v>
      </c>
      <c r="C97" s="1186" t="s">
        <v>429</v>
      </c>
      <c r="D97" s="1186">
        <v>7</v>
      </c>
      <c r="E97" s="1186"/>
      <c r="F97" s="1186">
        <v>1</v>
      </c>
      <c r="G97" s="1186">
        <v>5</v>
      </c>
      <c r="H97" s="1186"/>
      <c r="I97" s="1186">
        <v>1</v>
      </c>
    </row>
    <row r="98" spans="1:9" x14ac:dyDescent="0.2">
      <c r="A98" s="1186" t="s">
        <v>311</v>
      </c>
      <c r="B98" s="1186" t="s">
        <v>421</v>
      </c>
      <c r="C98" s="1186" t="s">
        <v>430</v>
      </c>
      <c r="D98" s="1186">
        <v>3</v>
      </c>
      <c r="E98" s="1186"/>
      <c r="F98" s="1186"/>
      <c r="G98" s="1186">
        <v>1</v>
      </c>
      <c r="H98" s="1186"/>
      <c r="I98" s="1186">
        <v>2</v>
      </c>
    </row>
    <row r="99" spans="1:9" x14ac:dyDescent="0.2">
      <c r="A99" s="1186" t="s">
        <v>311</v>
      </c>
      <c r="B99" s="1186" t="s">
        <v>414</v>
      </c>
      <c r="C99" s="1186" t="s">
        <v>424</v>
      </c>
      <c r="D99" s="1186">
        <v>115</v>
      </c>
      <c r="E99" s="1186">
        <v>5</v>
      </c>
      <c r="F99" s="1186">
        <v>29</v>
      </c>
      <c r="G99" s="1186">
        <v>62</v>
      </c>
      <c r="H99" s="1186">
        <v>14</v>
      </c>
      <c r="I99" s="1186">
        <v>5</v>
      </c>
    </row>
    <row r="100" spans="1:9" x14ac:dyDescent="0.2">
      <c r="A100" s="1186" t="s">
        <v>311</v>
      </c>
      <c r="B100" s="1186" t="s">
        <v>414</v>
      </c>
      <c r="C100" s="1186" t="s">
        <v>425</v>
      </c>
      <c r="D100" s="1186">
        <v>16</v>
      </c>
      <c r="E100" s="1186">
        <v>1</v>
      </c>
      <c r="F100" s="1186">
        <v>1</v>
      </c>
      <c r="G100" s="1186">
        <v>8</v>
      </c>
      <c r="H100" s="1186">
        <v>6</v>
      </c>
      <c r="I100" s="1186"/>
    </row>
    <row r="101" spans="1:9" x14ac:dyDescent="0.2">
      <c r="A101" s="1186" t="s">
        <v>311</v>
      </c>
      <c r="B101" s="1186" t="s">
        <v>414</v>
      </c>
      <c r="C101" s="1186" t="s">
        <v>426</v>
      </c>
      <c r="D101" s="1186">
        <v>659</v>
      </c>
      <c r="E101" s="1186">
        <v>61</v>
      </c>
      <c r="F101" s="1186">
        <v>103</v>
      </c>
      <c r="G101" s="1186">
        <v>278</v>
      </c>
      <c r="H101" s="1186">
        <v>164</v>
      </c>
      <c r="I101" s="1186">
        <v>53</v>
      </c>
    </row>
    <row r="102" spans="1:9" x14ac:dyDescent="0.2">
      <c r="A102" s="1186" t="s">
        <v>311</v>
      </c>
      <c r="B102" s="1186" t="s">
        <v>414</v>
      </c>
      <c r="C102" s="1186" t="s">
        <v>427</v>
      </c>
      <c r="D102" s="1186">
        <v>35</v>
      </c>
      <c r="E102" s="1186">
        <v>2</v>
      </c>
      <c r="F102" s="1186">
        <v>10</v>
      </c>
      <c r="G102" s="1186">
        <v>16</v>
      </c>
      <c r="H102" s="1186">
        <v>7</v>
      </c>
      <c r="I102" s="1186"/>
    </row>
    <row r="103" spans="1:9" x14ac:dyDescent="0.2">
      <c r="A103" s="1186" t="s">
        <v>311</v>
      </c>
      <c r="B103" s="1186" t="s">
        <v>414</v>
      </c>
      <c r="C103" s="1186" t="s">
        <v>428</v>
      </c>
      <c r="D103" s="1186">
        <v>17</v>
      </c>
      <c r="E103" s="1186"/>
      <c r="F103" s="1186">
        <v>4</v>
      </c>
      <c r="G103" s="1186">
        <v>7</v>
      </c>
      <c r="H103" s="1186">
        <v>4</v>
      </c>
      <c r="I103" s="1186">
        <v>2</v>
      </c>
    </row>
    <row r="104" spans="1:9" x14ac:dyDescent="0.2">
      <c r="A104" s="1186" t="s">
        <v>311</v>
      </c>
      <c r="B104" s="1186" t="s">
        <v>414</v>
      </c>
      <c r="C104" s="1186" t="s">
        <v>429</v>
      </c>
      <c r="D104" s="1186">
        <v>140</v>
      </c>
      <c r="E104" s="1186">
        <v>4</v>
      </c>
      <c r="F104" s="1186">
        <v>19</v>
      </c>
      <c r="G104" s="1186">
        <v>63</v>
      </c>
      <c r="H104" s="1186">
        <v>46</v>
      </c>
      <c r="I104" s="1186">
        <v>8</v>
      </c>
    </row>
    <row r="105" spans="1:9" x14ac:dyDescent="0.2">
      <c r="A105" s="1186" t="s">
        <v>311</v>
      </c>
      <c r="B105" s="1186" t="s">
        <v>414</v>
      </c>
      <c r="C105" s="1186" t="s">
        <v>430</v>
      </c>
      <c r="D105" s="1186">
        <v>106</v>
      </c>
      <c r="E105" s="1186">
        <v>14</v>
      </c>
      <c r="F105" s="1186">
        <v>17</v>
      </c>
      <c r="G105" s="1186">
        <v>42</v>
      </c>
      <c r="H105" s="1186">
        <v>28</v>
      </c>
      <c r="I105" s="1186">
        <v>5</v>
      </c>
    </row>
    <row r="106" spans="1:9" x14ac:dyDescent="0.2">
      <c r="A106" s="1186" t="s">
        <v>621</v>
      </c>
      <c r="B106" s="1186" t="s">
        <v>421</v>
      </c>
      <c r="C106" s="1186" t="s">
        <v>424</v>
      </c>
      <c r="D106" s="1186">
        <v>4</v>
      </c>
      <c r="E106" s="1186"/>
      <c r="F106" s="1186"/>
      <c r="G106" s="1186">
        <v>1</v>
      </c>
      <c r="H106" s="1186"/>
      <c r="I106" s="1186">
        <v>3</v>
      </c>
    </row>
    <row r="107" spans="1:9" x14ac:dyDescent="0.2">
      <c r="A107" s="1186" t="s">
        <v>621</v>
      </c>
      <c r="B107" s="1186" t="s">
        <v>421</v>
      </c>
      <c r="C107" s="1186" t="s">
        <v>426</v>
      </c>
      <c r="D107" s="1186">
        <v>2</v>
      </c>
      <c r="E107" s="1186"/>
      <c r="F107" s="1186">
        <v>1</v>
      </c>
      <c r="G107" s="1186">
        <v>1</v>
      </c>
      <c r="H107" s="1186"/>
      <c r="I107" s="1186"/>
    </row>
    <row r="108" spans="1:9" x14ac:dyDescent="0.2">
      <c r="A108" s="1186" t="s">
        <v>621</v>
      </c>
      <c r="B108" s="1186" t="s">
        <v>421</v>
      </c>
      <c r="C108" s="1186" t="s">
        <v>427</v>
      </c>
      <c r="D108" s="1186">
        <v>7</v>
      </c>
      <c r="E108" s="1186"/>
      <c r="F108" s="1186">
        <v>1</v>
      </c>
      <c r="G108" s="1186">
        <v>3</v>
      </c>
      <c r="H108" s="1186"/>
      <c r="I108" s="1186">
        <v>3</v>
      </c>
    </row>
    <row r="109" spans="1:9" x14ac:dyDescent="0.2">
      <c r="A109" s="1186" t="s">
        <v>621</v>
      </c>
      <c r="B109" s="1186" t="s">
        <v>421</v>
      </c>
      <c r="C109" s="1186" t="s">
        <v>429</v>
      </c>
      <c r="D109" s="1186">
        <v>5</v>
      </c>
      <c r="E109" s="1186"/>
      <c r="F109" s="1186"/>
      <c r="G109" s="1186">
        <v>3</v>
      </c>
      <c r="H109" s="1186"/>
      <c r="I109" s="1186">
        <v>2</v>
      </c>
    </row>
    <row r="110" spans="1:9" x14ac:dyDescent="0.2">
      <c r="A110" s="1186" t="s">
        <v>621</v>
      </c>
      <c r="B110" s="1186" t="s">
        <v>421</v>
      </c>
      <c r="C110" s="1186" t="s">
        <v>430</v>
      </c>
      <c r="D110" s="1186">
        <v>3</v>
      </c>
      <c r="E110" s="1186"/>
      <c r="F110" s="1186"/>
      <c r="G110" s="1186">
        <v>3</v>
      </c>
      <c r="H110" s="1186"/>
      <c r="I110" s="1186"/>
    </row>
    <row r="111" spans="1:9" x14ac:dyDescent="0.2">
      <c r="A111" s="1186" t="s">
        <v>621</v>
      </c>
      <c r="B111" s="1186" t="s">
        <v>414</v>
      </c>
      <c r="C111" s="1186" t="s">
        <v>424</v>
      </c>
      <c r="D111" s="1186">
        <v>132</v>
      </c>
      <c r="E111" s="1186">
        <v>3</v>
      </c>
      <c r="F111" s="1186">
        <v>30</v>
      </c>
      <c r="G111" s="1186">
        <v>68</v>
      </c>
      <c r="H111" s="1186">
        <v>21</v>
      </c>
      <c r="I111" s="1186">
        <v>10</v>
      </c>
    </row>
    <row r="112" spans="1:9" x14ac:dyDescent="0.2">
      <c r="A112" s="1186" t="s">
        <v>621</v>
      </c>
      <c r="B112" s="1186" t="s">
        <v>414</v>
      </c>
      <c r="C112" s="1186" t="s">
        <v>425</v>
      </c>
      <c r="D112" s="1186">
        <v>21</v>
      </c>
      <c r="E112" s="1186"/>
      <c r="F112" s="1186">
        <v>1</v>
      </c>
      <c r="G112" s="1186">
        <v>13</v>
      </c>
      <c r="H112" s="1186">
        <v>6</v>
      </c>
      <c r="I112" s="1186">
        <v>1</v>
      </c>
    </row>
    <row r="113" spans="1:9" x14ac:dyDescent="0.2">
      <c r="A113" s="1186" t="s">
        <v>621</v>
      </c>
      <c r="B113" s="1186" t="s">
        <v>414</v>
      </c>
      <c r="C113" s="1186" t="s">
        <v>426</v>
      </c>
      <c r="D113" s="1186">
        <v>665</v>
      </c>
      <c r="E113" s="1186">
        <v>42</v>
      </c>
      <c r="F113" s="1186">
        <v>100</v>
      </c>
      <c r="G113" s="1186">
        <v>287</v>
      </c>
      <c r="H113" s="1186">
        <v>178</v>
      </c>
      <c r="I113" s="1186">
        <v>58</v>
      </c>
    </row>
    <row r="114" spans="1:9" x14ac:dyDescent="0.2">
      <c r="A114" s="1186" t="s">
        <v>621</v>
      </c>
      <c r="B114" s="1186" t="s">
        <v>414</v>
      </c>
      <c r="C114" s="1186" t="s">
        <v>427</v>
      </c>
      <c r="D114" s="1186">
        <v>35</v>
      </c>
      <c r="E114" s="1186">
        <v>4</v>
      </c>
      <c r="F114" s="1186">
        <v>8</v>
      </c>
      <c r="G114" s="1186">
        <v>13</v>
      </c>
      <c r="H114" s="1186">
        <v>6</v>
      </c>
      <c r="I114" s="1186">
        <v>4</v>
      </c>
    </row>
    <row r="115" spans="1:9" x14ac:dyDescent="0.2">
      <c r="A115" s="1186" t="s">
        <v>621</v>
      </c>
      <c r="B115" s="1186" t="s">
        <v>414</v>
      </c>
      <c r="C115" s="1186" t="s">
        <v>428</v>
      </c>
      <c r="D115" s="1186">
        <v>21</v>
      </c>
      <c r="E115" s="1186">
        <v>4</v>
      </c>
      <c r="F115" s="1186">
        <v>5</v>
      </c>
      <c r="G115" s="1186">
        <v>2</v>
      </c>
      <c r="H115" s="1186">
        <v>10</v>
      </c>
      <c r="I115" s="1186"/>
    </row>
    <row r="116" spans="1:9" x14ac:dyDescent="0.2">
      <c r="A116" s="1186" t="s">
        <v>621</v>
      </c>
      <c r="B116" s="1186" t="s">
        <v>414</v>
      </c>
      <c r="C116" s="1186" t="s">
        <v>429</v>
      </c>
      <c r="D116" s="1186">
        <v>185</v>
      </c>
      <c r="E116" s="1186">
        <v>14</v>
      </c>
      <c r="F116" s="1186">
        <v>27</v>
      </c>
      <c r="G116" s="1186">
        <v>76</v>
      </c>
      <c r="H116" s="1186">
        <v>57</v>
      </c>
      <c r="I116" s="1186">
        <v>11</v>
      </c>
    </row>
    <row r="117" spans="1:9" x14ac:dyDescent="0.2">
      <c r="A117" s="1186" t="s">
        <v>621</v>
      </c>
      <c r="B117" s="1186" t="s">
        <v>414</v>
      </c>
      <c r="C117" s="1186" t="s">
        <v>430</v>
      </c>
      <c r="D117" s="1186">
        <v>117</v>
      </c>
      <c r="E117" s="1186">
        <v>16</v>
      </c>
      <c r="F117" s="1186">
        <v>10</v>
      </c>
      <c r="G117" s="1186">
        <v>56</v>
      </c>
      <c r="H117" s="1186">
        <v>25</v>
      </c>
      <c r="I117" s="1186">
        <v>10</v>
      </c>
    </row>
    <row r="118" spans="1:9" x14ac:dyDescent="0.2">
      <c r="A118" s="1186" t="s">
        <v>1419</v>
      </c>
      <c r="B118" s="1186" t="s">
        <v>421</v>
      </c>
      <c r="C118" s="1186" t="s">
        <v>424</v>
      </c>
      <c r="D118" s="1186">
        <v>3</v>
      </c>
      <c r="E118" s="1186"/>
      <c r="F118" s="1186">
        <v>1</v>
      </c>
      <c r="G118" s="1186">
        <v>2</v>
      </c>
      <c r="H118" s="1186"/>
      <c r="I118" s="1186"/>
    </row>
    <row r="119" spans="1:9" x14ac:dyDescent="0.2">
      <c r="A119" s="1186" t="s">
        <v>1419</v>
      </c>
      <c r="B119" s="1186" t="s">
        <v>421</v>
      </c>
      <c r="C119" s="1186" t="s">
        <v>427</v>
      </c>
      <c r="D119" s="1186">
        <v>5</v>
      </c>
      <c r="E119" s="1186"/>
      <c r="F119" s="1186"/>
      <c r="G119" s="1186">
        <v>2</v>
      </c>
      <c r="H119" s="1186"/>
      <c r="I119" s="1186">
        <v>3</v>
      </c>
    </row>
    <row r="120" spans="1:9" x14ac:dyDescent="0.2">
      <c r="A120" s="1186" t="s">
        <v>1419</v>
      </c>
      <c r="B120" s="1186" t="s">
        <v>421</v>
      </c>
      <c r="C120" s="1186" t="s">
        <v>429</v>
      </c>
      <c r="D120" s="1186">
        <v>4</v>
      </c>
      <c r="E120" s="1186"/>
      <c r="F120" s="1186">
        <v>1</v>
      </c>
      <c r="G120" s="1186">
        <v>2</v>
      </c>
      <c r="H120" s="1186">
        <v>1</v>
      </c>
      <c r="I120" s="1186"/>
    </row>
    <row r="121" spans="1:9" x14ac:dyDescent="0.2">
      <c r="A121" s="1186" t="s">
        <v>1419</v>
      </c>
      <c r="B121" s="1186" t="s">
        <v>421</v>
      </c>
      <c r="C121" s="1186" t="s">
        <v>430</v>
      </c>
      <c r="D121" s="1186">
        <v>1</v>
      </c>
      <c r="E121" s="1186"/>
      <c r="F121" s="1186"/>
      <c r="G121" s="1186">
        <v>1</v>
      </c>
      <c r="H121" s="1186"/>
      <c r="I121" s="1186"/>
    </row>
    <row r="122" spans="1:9" x14ac:dyDescent="0.2">
      <c r="A122" s="1186" t="s">
        <v>1419</v>
      </c>
      <c r="B122" s="1186" t="s">
        <v>414</v>
      </c>
      <c r="C122" s="1186" t="s">
        <v>424</v>
      </c>
      <c r="D122" s="1186">
        <v>122</v>
      </c>
      <c r="E122" s="1186">
        <v>4</v>
      </c>
      <c r="F122" s="1186">
        <v>18</v>
      </c>
      <c r="G122" s="1186">
        <v>66</v>
      </c>
      <c r="H122" s="1186">
        <v>26</v>
      </c>
      <c r="I122" s="1186">
        <v>8</v>
      </c>
    </row>
    <row r="123" spans="1:9" x14ac:dyDescent="0.2">
      <c r="A123" s="1186" t="s">
        <v>1419</v>
      </c>
      <c r="B123" s="1186" t="s">
        <v>414</v>
      </c>
      <c r="C123" s="1186" t="s">
        <v>425</v>
      </c>
      <c r="D123" s="1186">
        <v>23</v>
      </c>
      <c r="E123" s="1186">
        <v>1</v>
      </c>
      <c r="F123" s="1186">
        <v>4</v>
      </c>
      <c r="G123" s="1186">
        <v>10</v>
      </c>
      <c r="H123" s="1186">
        <v>7</v>
      </c>
      <c r="I123" s="1186">
        <v>1</v>
      </c>
    </row>
    <row r="124" spans="1:9" x14ac:dyDescent="0.2">
      <c r="A124" s="1186" t="s">
        <v>1419</v>
      </c>
      <c r="B124" s="1186" t="s">
        <v>414</v>
      </c>
      <c r="C124" s="1186" t="s">
        <v>426</v>
      </c>
      <c r="D124" s="1186">
        <v>571</v>
      </c>
      <c r="E124" s="1186">
        <v>54</v>
      </c>
      <c r="F124" s="1186">
        <v>73</v>
      </c>
      <c r="G124" s="1186">
        <v>254</v>
      </c>
      <c r="H124" s="1186">
        <v>139</v>
      </c>
      <c r="I124" s="1186">
        <v>51</v>
      </c>
    </row>
    <row r="125" spans="1:9" x14ac:dyDescent="0.2">
      <c r="A125" s="1186" t="s">
        <v>1419</v>
      </c>
      <c r="B125" s="1186" t="s">
        <v>414</v>
      </c>
      <c r="C125" s="1186" t="s">
        <v>427</v>
      </c>
      <c r="D125" s="1186">
        <v>30</v>
      </c>
      <c r="E125" s="1186">
        <v>2</v>
      </c>
      <c r="F125" s="1186">
        <v>9</v>
      </c>
      <c r="G125" s="1186">
        <v>10</v>
      </c>
      <c r="H125" s="1186">
        <v>7</v>
      </c>
      <c r="I125" s="1186">
        <v>2</v>
      </c>
    </row>
    <row r="126" spans="1:9" x14ac:dyDescent="0.2">
      <c r="A126" s="1186" t="s">
        <v>1419</v>
      </c>
      <c r="B126" s="1186" t="s">
        <v>414</v>
      </c>
      <c r="C126" s="1186" t="s">
        <v>428</v>
      </c>
      <c r="D126" s="1186">
        <v>12</v>
      </c>
      <c r="E126" s="1186"/>
      <c r="F126" s="1186"/>
      <c r="G126" s="1186">
        <v>5</v>
      </c>
      <c r="H126" s="1186">
        <v>7</v>
      </c>
      <c r="I126" s="1186"/>
    </row>
    <row r="127" spans="1:9" x14ac:dyDescent="0.2">
      <c r="A127" s="1186" t="s">
        <v>1419</v>
      </c>
      <c r="B127" s="1186" t="s">
        <v>414</v>
      </c>
      <c r="C127" s="1186" t="s">
        <v>429</v>
      </c>
      <c r="D127" s="1186">
        <v>150</v>
      </c>
      <c r="E127" s="1186">
        <v>13</v>
      </c>
      <c r="F127" s="1186">
        <v>14</v>
      </c>
      <c r="G127" s="1186">
        <v>65</v>
      </c>
      <c r="H127" s="1186">
        <v>53</v>
      </c>
      <c r="I127" s="1186">
        <v>5</v>
      </c>
    </row>
    <row r="128" spans="1:9" x14ac:dyDescent="0.2">
      <c r="A128" s="1186" t="s">
        <v>1419</v>
      </c>
      <c r="B128" s="1186" t="s">
        <v>414</v>
      </c>
      <c r="C128" s="1186" t="s">
        <v>430</v>
      </c>
      <c r="D128" s="1186">
        <v>106</v>
      </c>
      <c r="E128" s="1186">
        <v>12</v>
      </c>
      <c r="F128" s="1186">
        <v>15</v>
      </c>
      <c r="G128" s="1186">
        <v>37</v>
      </c>
      <c r="H128" s="1186">
        <v>29</v>
      </c>
      <c r="I128" s="1186">
        <v>13</v>
      </c>
    </row>
    <row r="129" spans="1:9" x14ac:dyDescent="0.2">
      <c r="A129" s="1186" t="s">
        <v>1572</v>
      </c>
      <c r="B129" s="1186" t="s">
        <v>421</v>
      </c>
      <c r="C129" s="1186" t="s">
        <v>424</v>
      </c>
      <c r="D129" s="1186">
        <v>1</v>
      </c>
      <c r="E129" s="1186">
        <v>1</v>
      </c>
      <c r="F129" s="1186"/>
      <c r="G129" s="1186"/>
      <c r="H129" s="1186"/>
      <c r="I129" s="1186"/>
    </row>
    <row r="130" spans="1:9" x14ac:dyDescent="0.2">
      <c r="A130" s="1186" t="s">
        <v>1572</v>
      </c>
      <c r="B130" s="1186" t="s">
        <v>421</v>
      </c>
      <c r="C130" s="1186" t="s">
        <v>427</v>
      </c>
      <c r="D130" s="1186">
        <v>4</v>
      </c>
      <c r="E130" s="1186"/>
      <c r="F130" s="1186"/>
      <c r="G130" s="1186">
        <v>3</v>
      </c>
      <c r="H130" s="1186"/>
      <c r="I130" s="1186">
        <v>1</v>
      </c>
    </row>
    <row r="131" spans="1:9" x14ac:dyDescent="0.2">
      <c r="A131" s="1186" t="s">
        <v>1572</v>
      </c>
      <c r="B131" s="1186" t="s">
        <v>421</v>
      </c>
      <c r="C131" s="1186" t="s">
        <v>429</v>
      </c>
      <c r="D131" s="1186">
        <v>3</v>
      </c>
      <c r="E131" s="1186">
        <v>1</v>
      </c>
      <c r="F131" s="1186"/>
      <c r="G131" s="1186">
        <v>2</v>
      </c>
      <c r="H131" s="1186"/>
      <c r="I131" s="1186"/>
    </row>
    <row r="132" spans="1:9" x14ac:dyDescent="0.2">
      <c r="A132" s="1186" t="s">
        <v>1572</v>
      </c>
      <c r="B132" s="1186" t="s">
        <v>414</v>
      </c>
      <c r="C132" s="1186" t="s">
        <v>424</v>
      </c>
      <c r="D132" s="1186">
        <v>141</v>
      </c>
      <c r="E132" s="1186">
        <v>9</v>
      </c>
      <c r="F132" s="1186">
        <v>22</v>
      </c>
      <c r="G132" s="1186">
        <v>61</v>
      </c>
      <c r="H132" s="1186">
        <v>42</v>
      </c>
      <c r="I132" s="1186">
        <v>7</v>
      </c>
    </row>
    <row r="133" spans="1:9" x14ac:dyDescent="0.2">
      <c r="A133" s="1186" t="s">
        <v>1572</v>
      </c>
      <c r="B133" s="1186" t="s">
        <v>414</v>
      </c>
      <c r="C133" s="1186" t="s">
        <v>425</v>
      </c>
      <c r="D133" s="1186">
        <v>20</v>
      </c>
      <c r="E133" s="1186">
        <v>2</v>
      </c>
      <c r="F133" s="1186">
        <v>1</v>
      </c>
      <c r="G133" s="1186">
        <v>11</v>
      </c>
      <c r="H133" s="1186">
        <v>4</v>
      </c>
      <c r="I133" s="1186">
        <v>2</v>
      </c>
    </row>
    <row r="134" spans="1:9" x14ac:dyDescent="0.2">
      <c r="A134" s="1186" t="s">
        <v>1572</v>
      </c>
      <c r="B134" s="1186" t="s">
        <v>414</v>
      </c>
      <c r="C134" s="1186" t="s">
        <v>426</v>
      </c>
      <c r="D134" s="1186">
        <v>510</v>
      </c>
      <c r="E134" s="1186">
        <v>61</v>
      </c>
      <c r="F134" s="1186">
        <v>62</v>
      </c>
      <c r="G134" s="1186">
        <v>235</v>
      </c>
      <c r="H134" s="1186">
        <v>111</v>
      </c>
      <c r="I134" s="1186">
        <v>41</v>
      </c>
    </row>
    <row r="135" spans="1:9" x14ac:dyDescent="0.2">
      <c r="A135" s="1186" t="s">
        <v>1572</v>
      </c>
      <c r="B135" s="1186" t="s">
        <v>414</v>
      </c>
      <c r="C135" s="1186" t="s">
        <v>427</v>
      </c>
      <c r="D135" s="1186">
        <v>33</v>
      </c>
      <c r="E135" s="1186">
        <v>4</v>
      </c>
      <c r="F135" s="1186">
        <v>4</v>
      </c>
      <c r="G135" s="1186">
        <v>12</v>
      </c>
      <c r="H135" s="1186">
        <v>12</v>
      </c>
      <c r="I135" s="1186">
        <v>1</v>
      </c>
    </row>
    <row r="136" spans="1:9" x14ac:dyDescent="0.2">
      <c r="A136" s="1186" t="s">
        <v>1572</v>
      </c>
      <c r="B136" s="1186" t="s">
        <v>414</v>
      </c>
      <c r="C136" s="1186" t="s">
        <v>428</v>
      </c>
      <c r="D136" s="1186">
        <v>14</v>
      </c>
      <c r="E136" s="1186"/>
      <c r="F136" s="1186">
        <v>3</v>
      </c>
      <c r="G136" s="1186">
        <v>5</v>
      </c>
      <c r="H136" s="1186">
        <v>5</v>
      </c>
      <c r="I136" s="1186">
        <v>1</v>
      </c>
    </row>
    <row r="137" spans="1:9" x14ac:dyDescent="0.2">
      <c r="A137" s="1186" t="s">
        <v>1572</v>
      </c>
      <c r="B137" s="1186" t="s">
        <v>414</v>
      </c>
      <c r="C137" s="1186" t="s">
        <v>429</v>
      </c>
      <c r="D137" s="1186">
        <v>153</v>
      </c>
      <c r="E137" s="1186">
        <v>13</v>
      </c>
      <c r="F137" s="1186">
        <v>16</v>
      </c>
      <c r="G137" s="1186">
        <v>68</v>
      </c>
      <c r="H137" s="1186">
        <v>52</v>
      </c>
      <c r="I137" s="1186">
        <v>4</v>
      </c>
    </row>
    <row r="138" spans="1:9" x14ac:dyDescent="0.2">
      <c r="A138" s="1186" t="s">
        <v>1572</v>
      </c>
      <c r="B138" s="1186" t="s">
        <v>414</v>
      </c>
      <c r="C138" s="1186" t="s">
        <v>430</v>
      </c>
      <c r="D138" s="1186">
        <v>138</v>
      </c>
      <c r="E138" s="1186">
        <v>27</v>
      </c>
      <c r="F138" s="1186">
        <v>18</v>
      </c>
      <c r="G138" s="1186">
        <v>60</v>
      </c>
      <c r="H138" s="1186">
        <v>24</v>
      </c>
      <c r="I138" s="1186">
        <v>9</v>
      </c>
    </row>
  </sheetData>
  <pageMargins left="0.7" right="0.7" top="0.75" bottom="0.75" header="0.3" footer="0.3"/>
  <pageSetup paperSize="9" fitToHeight="50" orientation="landscape" r:id="rId1"/>
  <legacyDrawing r:id="rId2"/>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pageSetUpPr fitToPage="1"/>
  </sheetPr>
  <dimension ref="A1:M52"/>
  <sheetViews>
    <sheetView zoomScale="85" zoomScaleNormal="85" workbookViewId="0">
      <pane ySplit="4" topLeftCell="A26" activePane="bottomLeft" state="frozen"/>
      <selection activeCell="A5" sqref="A5"/>
      <selection pane="bottomLeft" activeCell="H52" sqref="H52"/>
    </sheetView>
  </sheetViews>
  <sheetFormatPr defaultColWidth="8.7109375" defaultRowHeight="12.75" x14ac:dyDescent="0.2"/>
  <cols>
    <col min="1" max="1" width="7.42578125" bestFit="1" customWidth="1"/>
    <col min="2" max="2" width="44.42578125" bestFit="1" customWidth="1"/>
    <col min="3" max="3" width="12.42578125" bestFit="1" customWidth="1"/>
    <col min="4" max="4" width="16.42578125" bestFit="1" customWidth="1"/>
    <col min="5" max="6" width="17.42578125" bestFit="1" customWidth="1"/>
    <col min="7" max="7" width="15.85546875" bestFit="1" customWidth="1"/>
    <col min="8" max="8" width="20" bestFit="1" customWidth="1"/>
    <col min="9" max="9" width="20.140625" bestFit="1" customWidth="1"/>
    <col min="10" max="11" width="21.140625" bestFit="1" customWidth="1"/>
    <col min="12" max="12" width="19.5703125" bestFit="1" customWidth="1"/>
    <col min="13" max="13" width="23.7109375" bestFit="1" customWidth="1"/>
  </cols>
  <sheetData>
    <row r="1" spans="1:13" x14ac:dyDescent="0.2"/>
    <row r="4" spans="1:13" x14ac:dyDescent="0.2">
      <c r="A4" s="1223" t="s">
        <v>4</v>
      </c>
      <c r="B4" s="1223" t="s">
        <v>1291</v>
      </c>
      <c r="C4" s="1223" t="s">
        <v>1772</v>
      </c>
      <c r="D4" s="1223" t="s">
        <v>1798</v>
      </c>
      <c r="E4" s="1223" t="s">
        <v>1799</v>
      </c>
      <c r="F4" s="1223" t="s">
        <v>1800</v>
      </c>
      <c r="G4" s="1223" t="s">
        <v>1801</v>
      </c>
      <c r="H4" s="1223" t="s">
        <v>1802</v>
      </c>
      <c r="I4" s="1223" t="s">
        <v>1803</v>
      </c>
      <c r="J4" s="1223" t="s">
        <v>1804</v>
      </c>
      <c r="K4" s="1223" t="s">
        <v>1805</v>
      </c>
      <c r="L4" s="1223" t="s">
        <v>1806</v>
      </c>
      <c r="M4" s="1223" t="s">
        <v>1807</v>
      </c>
    </row>
    <row r="5" spans="1:13" x14ac:dyDescent="0.2">
      <c r="A5" s="1186" t="s">
        <v>19</v>
      </c>
      <c r="B5" s="1186" t="s">
        <v>432</v>
      </c>
      <c r="C5" s="1186">
        <v>267</v>
      </c>
      <c r="D5" s="1186"/>
      <c r="E5" s="1186">
        <v>1</v>
      </c>
      <c r="F5" s="1186">
        <v>1</v>
      </c>
      <c r="G5" s="1186"/>
      <c r="H5" s="1186"/>
      <c r="I5" s="1186">
        <v>35</v>
      </c>
      <c r="J5" s="1186">
        <v>46</v>
      </c>
      <c r="K5" s="1186">
        <v>113</v>
      </c>
      <c r="L5" s="1186">
        <v>70</v>
      </c>
      <c r="M5" s="1186">
        <v>1</v>
      </c>
    </row>
    <row r="6" spans="1:13" x14ac:dyDescent="0.2">
      <c r="A6" s="1186" t="s">
        <v>19</v>
      </c>
      <c r="B6" s="1186" t="s">
        <v>433</v>
      </c>
      <c r="C6" s="1186">
        <v>414</v>
      </c>
      <c r="D6" s="1186"/>
      <c r="E6" s="1186">
        <v>1</v>
      </c>
      <c r="F6" s="1186">
        <v>3</v>
      </c>
      <c r="G6" s="1186"/>
      <c r="H6" s="1186"/>
      <c r="I6" s="1186">
        <v>38</v>
      </c>
      <c r="J6" s="1186">
        <v>84</v>
      </c>
      <c r="K6" s="1186">
        <v>181</v>
      </c>
      <c r="L6" s="1186">
        <v>107</v>
      </c>
      <c r="M6" s="1186"/>
    </row>
    <row r="7" spans="1:13" x14ac:dyDescent="0.2">
      <c r="A7" s="1186" t="s">
        <v>19</v>
      </c>
      <c r="B7" s="1186" t="s">
        <v>434</v>
      </c>
      <c r="C7" s="1186">
        <v>449</v>
      </c>
      <c r="D7" s="1186"/>
      <c r="E7" s="1186">
        <v>3</v>
      </c>
      <c r="F7" s="1186">
        <v>7</v>
      </c>
      <c r="G7" s="1186"/>
      <c r="H7" s="1186"/>
      <c r="I7" s="1186">
        <v>28</v>
      </c>
      <c r="J7" s="1186">
        <v>92</v>
      </c>
      <c r="K7" s="1186">
        <v>204</v>
      </c>
      <c r="L7" s="1186">
        <v>115</v>
      </c>
      <c r="M7" s="1186"/>
    </row>
    <row r="8" spans="1:13" x14ac:dyDescent="0.2">
      <c r="A8" s="1186" t="s">
        <v>19</v>
      </c>
      <c r="B8" s="1186" t="s">
        <v>435</v>
      </c>
      <c r="C8" s="1186">
        <v>93</v>
      </c>
      <c r="D8" s="1186"/>
      <c r="E8" s="1186"/>
      <c r="F8" s="1186">
        <v>2</v>
      </c>
      <c r="G8" s="1186"/>
      <c r="H8" s="1186"/>
      <c r="I8" s="1186">
        <v>5</v>
      </c>
      <c r="J8" s="1186">
        <v>16</v>
      </c>
      <c r="K8" s="1186">
        <v>54</v>
      </c>
      <c r="L8" s="1186">
        <v>16</v>
      </c>
      <c r="M8" s="1186"/>
    </row>
    <row r="9" spans="1:13" x14ac:dyDescent="0.2">
      <c r="A9" s="1186" t="s">
        <v>20</v>
      </c>
      <c r="B9" s="1186" t="s">
        <v>432</v>
      </c>
      <c r="C9" s="1186">
        <v>238</v>
      </c>
      <c r="D9" s="1186"/>
      <c r="E9" s="1186"/>
      <c r="F9" s="1186">
        <v>3</v>
      </c>
      <c r="G9" s="1186"/>
      <c r="H9" s="1186"/>
      <c r="I9" s="1186">
        <v>31</v>
      </c>
      <c r="J9" s="1186">
        <v>47</v>
      </c>
      <c r="K9" s="1186">
        <v>101</v>
      </c>
      <c r="L9" s="1186">
        <v>55</v>
      </c>
      <c r="M9" s="1186">
        <v>1</v>
      </c>
    </row>
    <row r="10" spans="1:13" x14ac:dyDescent="0.2">
      <c r="A10" s="1186" t="s">
        <v>20</v>
      </c>
      <c r="B10" s="1186" t="s">
        <v>433</v>
      </c>
      <c r="C10" s="1186">
        <v>448</v>
      </c>
      <c r="D10" s="1186"/>
      <c r="E10" s="1186">
        <v>1</v>
      </c>
      <c r="F10" s="1186">
        <v>2</v>
      </c>
      <c r="G10" s="1186"/>
      <c r="H10" s="1186"/>
      <c r="I10" s="1186">
        <v>29</v>
      </c>
      <c r="J10" s="1186">
        <v>101</v>
      </c>
      <c r="K10" s="1186">
        <v>193</v>
      </c>
      <c r="L10" s="1186">
        <v>122</v>
      </c>
      <c r="M10" s="1186"/>
    </row>
    <row r="11" spans="1:13" x14ac:dyDescent="0.2">
      <c r="A11" s="1186" t="s">
        <v>20</v>
      </c>
      <c r="B11" s="1186" t="s">
        <v>434</v>
      </c>
      <c r="C11" s="1186">
        <v>543</v>
      </c>
      <c r="D11" s="1186"/>
      <c r="E11" s="1186">
        <v>3</v>
      </c>
      <c r="F11" s="1186">
        <v>16</v>
      </c>
      <c r="G11" s="1186"/>
      <c r="H11" s="1186"/>
      <c r="I11" s="1186">
        <v>51</v>
      </c>
      <c r="J11" s="1186">
        <v>113</v>
      </c>
      <c r="K11" s="1186">
        <v>236</v>
      </c>
      <c r="L11" s="1186">
        <v>123</v>
      </c>
      <c r="M11" s="1186">
        <v>1</v>
      </c>
    </row>
    <row r="12" spans="1:13" x14ac:dyDescent="0.2">
      <c r="A12" s="1186" t="s">
        <v>20</v>
      </c>
      <c r="B12" s="1186" t="s">
        <v>435</v>
      </c>
      <c r="C12" s="1186">
        <v>103</v>
      </c>
      <c r="D12" s="1186"/>
      <c r="E12" s="1186"/>
      <c r="F12" s="1186">
        <v>3</v>
      </c>
      <c r="G12" s="1186"/>
      <c r="H12" s="1186"/>
      <c r="I12" s="1186">
        <v>2</v>
      </c>
      <c r="J12" s="1186">
        <v>22</v>
      </c>
      <c r="K12" s="1186">
        <v>53</v>
      </c>
      <c r="L12" s="1186">
        <v>23</v>
      </c>
      <c r="M12" s="1186"/>
    </row>
    <row r="13" spans="1:13" x14ac:dyDescent="0.2">
      <c r="A13" s="1186" t="s">
        <v>13</v>
      </c>
      <c r="B13" s="1186" t="s">
        <v>432</v>
      </c>
      <c r="C13" s="1186">
        <v>297</v>
      </c>
      <c r="D13" s="1186"/>
      <c r="E13" s="1186"/>
      <c r="F13" s="1186">
        <v>3</v>
      </c>
      <c r="G13" s="1186"/>
      <c r="H13" s="1186"/>
      <c r="I13" s="1186">
        <v>36</v>
      </c>
      <c r="J13" s="1186">
        <v>56</v>
      </c>
      <c r="K13" s="1186">
        <v>129</v>
      </c>
      <c r="L13" s="1186">
        <v>71</v>
      </c>
      <c r="M13" s="1186">
        <v>2</v>
      </c>
    </row>
    <row r="14" spans="1:13" x14ac:dyDescent="0.2">
      <c r="A14" s="1186" t="s">
        <v>13</v>
      </c>
      <c r="B14" s="1186" t="s">
        <v>433</v>
      </c>
      <c r="C14" s="1186">
        <v>522</v>
      </c>
      <c r="D14" s="1186"/>
      <c r="E14" s="1186"/>
      <c r="F14" s="1186">
        <v>9</v>
      </c>
      <c r="G14" s="1186"/>
      <c r="H14" s="1186"/>
      <c r="I14" s="1186">
        <v>34</v>
      </c>
      <c r="J14" s="1186">
        <v>86</v>
      </c>
      <c r="K14" s="1186">
        <v>256</v>
      </c>
      <c r="L14" s="1186">
        <v>134</v>
      </c>
      <c r="M14" s="1186">
        <v>3</v>
      </c>
    </row>
    <row r="15" spans="1:13" x14ac:dyDescent="0.2">
      <c r="A15" s="1186" t="s">
        <v>13</v>
      </c>
      <c r="B15" s="1186" t="s">
        <v>434</v>
      </c>
      <c r="C15" s="1186">
        <v>513</v>
      </c>
      <c r="D15" s="1186"/>
      <c r="E15" s="1186">
        <v>1</v>
      </c>
      <c r="F15" s="1186">
        <v>11</v>
      </c>
      <c r="G15" s="1186"/>
      <c r="H15" s="1186"/>
      <c r="I15" s="1186">
        <v>49</v>
      </c>
      <c r="J15" s="1186">
        <v>111</v>
      </c>
      <c r="K15" s="1186">
        <v>212</v>
      </c>
      <c r="L15" s="1186">
        <v>129</v>
      </c>
      <c r="M15" s="1186"/>
    </row>
    <row r="16" spans="1:13" x14ac:dyDescent="0.2">
      <c r="A16" s="1186" t="s">
        <v>13</v>
      </c>
      <c r="B16" s="1186" t="s">
        <v>435</v>
      </c>
      <c r="C16" s="1186">
        <v>82</v>
      </c>
      <c r="D16" s="1186"/>
      <c r="E16" s="1186">
        <v>1</v>
      </c>
      <c r="F16" s="1186">
        <v>3</v>
      </c>
      <c r="G16" s="1186"/>
      <c r="H16" s="1186"/>
      <c r="I16" s="1186"/>
      <c r="J16" s="1186">
        <v>15</v>
      </c>
      <c r="K16" s="1186">
        <v>47</v>
      </c>
      <c r="L16" s="1186">
        <v>16</v>
      </c>
      <c r="M16" s="1186"/>
    </row>
    <row r="17" spans="1:13" x14ac:dyDescent="0.2">
      <c r="A17" s="1186" t="s">
        <v>15</v>
      </c>
      <c r="B17" s="1186" t="s">
        <v>432</v>
      </c>
      <c r="C17" s="1186">
        <v>262</v>
      </c>
      <c r="D17" s="1186"/>
      <c r="E17" s="1186"/>
      <c r="F17" s="1186">
        <v>1</v>
      </c>
      <c r="G17" s="1186"/>
      <c r="H17" s="1186"/>
      <c r="I17" s="1186">
        <v>29</v>
      </c>
      <c r="J17" s="1186">
        <v>54</v>
      </c>
      <c r="K17" s="1186">
        <v>96</v>
      </c>
      <c r="L17" s="1186">
        <v>61</v>
      </c>
      <c r="M17" s="1186">
        <v>21</v>
      </c>
    </row>
    <row r="18" spans="1:13" x14ac:dyDescent="0.2">
      <c r="A18" s="1186" t="s">
        <v>15</v>
      </c>
      <c r="B18" s="1186" t="s">
        <v>433</v>
      </c>
      <c r="C18" s="1186">
        <v>558</v>
      </c>
      <c r="D18" s="1186"/>
      <c r="E18" s="1186">
        <v>3</v>
      </c>
      <c r="F18" s="1186">
        <v>6</v>
      </c>
      <c r="G18" s="1186"/>
      <c r="H18" s="1186"/>
      <c r="I18" s="1186">
        <v>29</v>
      </c>
      <c r="J18" s="1186">
        <v>109</v>
      </c>
      <c r="K18" s="1186">
        <v>213</v>
      </c>
      <c r="L18" s="1186">
        <v>175</v>
      </c>
      <c r="M18" s="1186">
        <v>23</v>
      </c>
    </row>
    <row r="19" spans="1:13" x14ac:dyDescent="0.2">
      <c r="A19" s="1186" t="s">
        <v>15</v>
      </c>
      <c r="B19" s="1186" t="s">
        <v>434</v>
      </c>
      <c r="C19" s="1186">
        <v>442</v>
      </c>
      <c r="D19" s="1186"/>
      <c r="E19" s="1186"/>
      <c r="F19" s="1186">
        <v>7</v>
      </c>
      <c r="G19" s="1186"/>
      <c r="H19" s="1186"/>
      <c r="I19" s="1186">
        <v>31</v>
      </c>
      <c r="J19" s="1186">
        <v>78</v>
      </c>
      <c r="K19" s="1186">
        <v>176</v>
      </c>
      <c r="L19" s="1186">
        <v>137</v>
      </c>
      <c r="M19" s="1186">
        <v>13</v>
      </c>
    </row>
    <row r="20" spans="1:13" x14ac:dyDescent="0.2">
      <c r="A20" s="1186" t="s">
        <v>15</v>
      </c>
      <c r="B20" s="1186" t="s">
        <v>435</v>
      </c>
      <c r="C20" s="1186">
        <v>57</v>
      </c>
      <c r="D20" s="1186"/>
      <c r="E20" s="1186"/>
      <c r="F20" s="1186"/>
      <c r="G20" s="1186"/>
      <c r="H20" s="1186">
        <v>1</v>
      </c>
      <c r="I20" s="1186"/>
      <c r="J20" s="1186">
        <v>11</v>
      </c>
      <c r="K20" s="1186">
        <v>29</v>
      </c>
      <c r="L20" s="1186">
        <v>16</v>
      </c>
      <c r="M20" s="1186"/>
    </row>
    <row r="21" spans="1:13" x14ac:dyDescent="0.2">
      <c r="A21" s="1186" t="s">
        <v>17</v>
      </c>
      <c r="B21" s="1186" t="s">
        <v>432</v>
      </c>
      <c r="C21" s="1186">
        <v>221</v>
      </c>
      <c r="D21" s="1186"/>
      <c r="E21" s="1186"/>
      <c r="F21" s="1186">
        <v>2</v>
      </c>
      <c r="G21" s="1186"/>
      <c r="H21" s="1186"/>
      <c r="I21" s="1186">
        <v>24</v>
      </c>
      <c r="J21" s="1186">
        <v>37</v>
      </c>
      <c r="K21" s="1186">
        <v>93</v>
      </c>
      <c r="L21" s="1186">
        <v>50</v>
      </c>
      <c r="M21" s="1186">
        <v>15</v>
      </c>
    </row>
    <row r="22" spans="1:13" x14ac:dyDescent="0.2">
      <c r="A22" s="1186" t="s">
        <v>17</v>
      </c>
      <c r="B22" s="1186" t="s">
        <v>433</v>
      </c>
      <c r="C22" s="1186">
        <v>570</v>
      </c>
      <c r="D22" s="1186"/>
      <c r="E22" s="1186">
        <v>1</v>
      </c>
      <c r="F22" s="1186">
        <v>2</v>
      </c>
      <c r="G22" s="1186"/>
      <c r="H22" s="1186"/>
      <c r="I22" s="1186">
        <v>33</v>
      </c>
      <c r="J22" s="1186">
        <v>107</v>
      </c>
      <c r="K22" s="1186">
        <v>241</v>
      </c>
      <c r="L22" s="1186">
        <v>162</v>
      </c>
      <c r="M22" s="1186">
        <v>24</v>
      </c>
    </row>
    <row r="23" spans="1:13" x14ac:dyDescent="0.2">
      <c r="A23" s="1186" t="s">
        <v>17</v>
      </c>
      <c r="B23" s="1186" t="s">
        <v>434</v>
      </c>
      <c r="C23" s="1186">
        <v>443</v>
      </c>
      <c r="D23" s="1186"/>
      <c r="E23" s="1186">
        <v>2</v>
      </c>
      <c r="F23" s="1186">
        <v>5</v>
      </c>
      <c r="G23" s="1186">
        <v>1</v>
      </c>
      <c r="H23" s="1186"/>
      <c r="I23" s="1186">
        <v>32</v>
      </c>
      <c r="J23" s="1186">
        <v>70</v>
      </c>
      <c r="K23" s="1186">
        <v>205</v>
      </c>
      <c r="L23" s="1186">
        <v>106</v>
      </c>
      <c r="M23" s="1186">
        <v>22</v>
      </c>
    </row>
    <row r="24" spans="1:13" x14ac:dyDescent="0.2">
      <c r="A24" s="1186" t="s">
        <v>17</v>
      </c>
      <c r="B24" s="1186" t="s">
        <v>435</v>
      </c>
      <c r="C24" s="1186">
        <v>76</v>
      </c>
      <c r="D24" s="1186"/>
      <c r="E24" s="1186"/>
      <c r="F24" s="1186">
        <v>2</v>
      </c>
      <c r="G24" s="1186"/>
      <c r="H24" s="1186"/>
      <c r="I24" s="1186">
        <v>1</v>
      </c>
      <c r="J24" s="1186">
        <v>13</v>
      </c>
      <c r="K24" s="1186">
        <v>33</v>
      </c>
      <c r="L24" s="1186">
        <v>21</v>
      </c>
      <c r="M24" s="1186">
        <v>6</v>
      </c>
    </row>
    <row r="25" spans="1:13" x14ac:dyDescent="0.2">
      <c r="A25" s="1186" t="s">
        <v>133</v>
      </c>
      <c r="B25" s="1186" t="s">
        <v>432</v>
      </c>
      <c r="C25" s="1186">
        <v>213</v>
      </c>
      <c r="D25" s="1186"/>
      <c r="E25" s="1186"/>
      <c r="F25" s="1186">
        <v>2</v>
      </c>
      <c r="G25" s="1186"/>
      <c r="H25" s="1186"/>
      <c r="I25" s="1186">
        <v>28</v>
      </c>
      <c r="J25" s="1186">
        <v>37</v>
      </c>
      <c r="K25" s="1186">
        <v>72</v>
      </c>
      <c r="L25" s="1186">
        <v>56</v>
      </c>
      <c r="M25" s="1186">
        <v>18</v>
      </c>
    </row>
    <row r="26" spans="1:13" x14ac:dyDescent="0.2">
      <c r="A26" s="1186" t="s">
        <v>133</v>
      </c>
      <c r="B26" s="1186" t="s">
        <v>433</v>
      </c>
      <c r="C26" s="1186">
        <v>441</v>
      </c>
      <c r="D26" s="1186"/>
      <c r="E26" s="1186"/>
      <c r="F26" s="1186">
        <v>1</v>
      </c>
      <c r="G26" s="1186"/>
      <c r="H26" s="1186"/>
      <c r="I26" s="1186">
        <v>26</v>
      </c>
      <c r="J26" s="1186">
        <v>77</v>
      </c>
      <c r="K26" s="1186">
        <v>180</v>
      </c>
      <c r="L26" s="1186">
        <v>133</v>
      </c>
      <c r="M26" s="1186">
        <v>24</v>
      </c>
    </row>
    <row r="27" spans="1:13" x14ac:dyDescent="0.2">
      <c r="A27" s="1186" t="s">
        <v>133</v>
      </c>
      <c r="B27" s="1186" t="s">
        <v>434</v>
      </c>
      <c r="C27" s="1186">
        <v>383</v>
      </c>
      <c r="D27" s="1186"/>
      <c r="E27" s="1186"/>
      <c r="F27" s="1186">
        <v>6</v>
      </c>
      <c r="G27" s="1186"/>
      <c r="H27" s="1186"/>
      <c r="I27" s="1186">
        <v>31</v>
      </c>
      <c r="J27" s="1186">
        <v>64</v>
      </c>
      <c r="K27" s="1186">
        <v>150</v>
      </c>
      <c r="L27" s="1186">
        <v>109</v>
      </c>
      <c r="M27" s="1186">
        <v>23</v>
      </c>
    </row>
    <row r="28" spans="1:13" x14ac:dyDescent="0.2">
      <c r="A28" s="1186" t="s">
        <v>133</v>
      </c>
      <c r="B28" s="1186" t="s">
        <v>435</v>
      </c>
      <c r="C28" s="1186">
        <v>62</v>
      </c>
      <c r="D28" s="1186"/>
      <c r="E28" s="1186"/>
      <c r="F28" s="1186">
        <v>3</v>
      </c>
      <c r="G28" s="1186"/>
      <c r="H28" s="1186"/>
      <c r="I28" s="1186">
        <v>3</v>
      </c>
      <c r="J28" s="1186">
        <v>8</v>
      </c>
      <c r="K28" s="1186">
        <v>30</v>
      </c>
      <c r="L28" s="1186">
        <v>16</v>
      </c>
      <c r="M28" s="1186">
        <v>2</v>
      </c>
    </row>
    <row r="29" spans="1:13" x14ac:dyDescent="0.2">
      <c r="A29" s="1186" t="s">
        <v>144</v>
      </c>
      <c r="B29" s="1186" t="s">
        <v>432</v>
      </c>
      <c r="C29" s="1186">
        <v>259</v>
      </c>
      <c r="D29" s="1186"/>
      <c r="E29" s="1186"/>
      <c r="F29" s="1186">
        <v>1</v>
      </c>
      <c r="G29" s="1186"/>
      <c r="H29" s="1186">
        <v>1</v>
      </c>
      <c r="I29" s="1186">
        <v>23</v>
      </c>
      <c r="J29" s="1186">
        <v>57</v>
      </c>
      <c r="K29" s="1186">
        <v>98</v>
      </c>
      <c r="L29" s="1186">
        <v>64</v>
      </c>
      <c r="M29" s="1186">
        <v>15</v>
      </c>
    </row>
    <row r="30" spans="1:13" x14ac:dyDescent="0.2">
      <c r="A30" s="1186" t="s">
        <v>144</v>
      </c>
      <c r="B30" s="1186" t="s">
        <v>433</v>
      </c>
      <c r="C30" s="1186">
        <v>516</v>
      </c>
      <c r="D30" s="1186"/>
      <c r="E30" s="1186">
        <v>1</v>
      </c>
      <c r="F30" s="1186"/>
      <c r="G30" s="1186"/>
      <c r="H30" s="1186"/>
      <c r="I30" s="1186">
        <v>26</v>
      </c>
      <c r="J30" s="1186">
        <v>76</v>
      </c>
      <c r="K30" s="1186">
        <v>219</v>
      </c>
      <c r="L30" s="1186">
        <v>169</v>
      </c>
      <c r="M30" s="1186">
        <v>25</v>
      </c>
    </row>
    <row r="31" spans="1:13" x14ac:dyDescent="0.2">
      <c r="A31" s="1186" t="s">
        <v>144</v>
      </c>
      <c r="B31" s="1186" t="s">
        <v>434</v>
      </c>
      <c r="C31" s="1186">
        <v>431</v>
      </c>
      <c r="D31" s="1186"/>
      <c r="E31" s="1186">
        <v>1</v>
      </c>
      <c r="F31" s="1186">
        <v>6</v>
      </c>
      <c r="G31" s="1186"/>
      <c r="H31" s="1186"/>
      <c r="I31" s="1186">
        <v>27</v>
      </c>
      <c r="J31" s="1186">
        <v>63</v>
      </c>
      <c r="K31" s="1186">
        <v>182</v>
      </c>
      <c r="L31" s="1186">
        <v>134</v>
      </c>
      <c r="M31" s="1186">
        <v>18</v>
      </c>
    </row>
    <row r="32" spans="1:13" x14ac:dyDescent="0.2">
      <c r="A32" s="1186" t="s">
        <v>144</v>
      </c>
      <c r="B32" s="1186" t="s">
        <v>435</v>
      </c>
      <c r="C32" s="1186">
        <v>70</v>
      </c>
      <c r="D32" s="1186"/>
      <c r="E32" s="1186"/>
      <c r="F32" s="1186"/>
      <c r="G32" s="1186"/>
      <c r="H32" s="1186"/>
      <c r="I32" s="1186">
        <v>1</v>
      </c>
      <c r="J32" s="1186">
        <v>8</v>
      </c>
      <c r="K32" s="1186">
        <v>43</v>
      </c>
      <c r="L32" s="1186">
        <v>14</v>
      </c>
      <c r="M32" s="1186">
        <v>4</v>
      </c>
    </row>
    <row r="33" spans="1:13" x14ac:dyDescent="0.2">
      <c r="A33" s="1186" t="s">
        <v>282</v>
      </c>
      <c r="B33" s="1186" t="s">
        <v>432</v>
      </c>
      <c r="C33" s="1186">
        <v>330</v>
      </c>
      <c r="D33" s="1186"/>
      <c r="E33" s="1186">
        <v>1</v>
      </c>
      <c r="F33" s="1186">
        <v>3</v>
      </c>
      <c r="G33" s="1186"/>
      <c r="H33" s="1186"/>
      <c r="I33" s="1186">
        <v>23</v>
      </c>
      <c r="J33" s="1186">
        <v>50</v>
      </c>
      <c r="K33" s="1186">
        <v>139</v>
      </c>
      <c r="L33" s="1186">
        <v>92</v>
      </c>
      <c r="M33" s="1186">
        <v>22</v>
      </c>
    </row>
    <row r="34" spans="1:13" x14ac:dyDescent="0.2">
      <c r="A34" s="1186" t="s">
        <v>282</v>
      </c>
      <c r="B34" s="1186" t="s">
        <v>433</v>
      </c>
      <c r="C34" s="1186">
        <v>487</v>
      </c>
      <c r="D34" s="1186"/>
      <c r="E34" s="1186"/>
      <c r="F34" s="1186">
        <v>2</v>
      </c>
      <c r="G34" s="1186"/>
      <c r="H34" s="1186">
        <v>1</v>
      </c>
      <c r="I34" s="1186">
        <v>21</v>
      </c>
      <c r="J34" s="1186">
        <v>73</v>
      </c>
      <c r="K34" s="1186">
        <v>234</v>
      </c>
      <c r="L34" s="1186">
        <v>131</v>
      </c>
      <c r="M34" s="1186">
        <v>25</v>
      </c>
    </row>
    <row r="35" spans="1:13" x14ac:dyDescent="0.2">
      <c r="A35" s="1186" t="s">
        <v>282</v>
      </c>
      <c r="B35" s="1186" t="s">
        <v>434</v>
      </c>
      <c r="C35" s="1186">
        <v>384</v>
      </c>
      <c r="D35" s="1186"/>
      <c r="E35" s="1186"/>
      <c r="F35" s="1186">
        <v>7</v>
      </c>
      <c r="G35" s="1186"/>
      <c r="H35" s="1186">
        <v>2</v>
      </c>
      <c r="I35" s="1186">
        <v>27</v>
      </c>
      <c r="J35" s="1186">
        <v>67</v>
      </c>
      <c r="K35" s="1186">
        <v>166</v>
      </c>
      <c r="L35" s="1186">
        <v>102</v>
      </c>
      <c r="M35" s="1186">
        <v>13</v>
      </c>
    </row>
    <row r="36" spans="1:13" x14ac:dyDescent="0.2">
      <c r="A36" s="1186" t="s">
        <v>282</v>
      </c>
      <c r="B36" s="1186" t="s">
        <v>435</v>
      </c>
      <c r="C36" s="1186">
        <v>65</v>
      </c>
      <c r="D36" s="1186"/>
      <c r="E36" s="1186"/>
      <c r="F36" s="1186">
        <v>1</v>
      </c>
      <c r="G36" s="1186"/>
      <c r="H36" s="1186">
        <v>1</v>
      </c>
      <c r="I36" s="1186">
        <v>7</v>
      </c>
      <c r="J36" s="1186">
        <v>11</v>
      </c>
      <c r="K36" s="1186">
        <v>35</v>
      </c>
      <c r="L36" s="1186">
        <v>9</v>
      </c>
      <c r="M36" s="1186">
        <v>1</v>
      </c>
    </row>
    <row r="37" spans="1:13" x14ac:dyDescent="0.2">
      <c r="A37" s="1186" t="s">
        <v>311</v>
      </c>
      <c r="B37" s="1186" t="s">
        <v>432</v>
      </c>
      <c r="C37" s="1186">
        <v>235</v>
      </c>
      <c r="D37" s="1186"/>
      <c r="E37" s="1186"/>
      <c r="F37" s="1186">
        <v>2</v>
      </c>
      <c r="G37" s="1186">
        <v>2</v>
      </c>
      <c r="H37" s="1186">
        <v>6</v>
      </c>
      <c r="I37" s="1186">
        <v>31</v>
      </c>
      <c r="J37" s="1186">
        <v>33</v>
      </c>
      <c r="K37" s="1186">
        <v>85</v>
      </c>
      <c r="L37" s="1186">
        <v>64</v>
      </c>
      <c r="M37" s="1186">
        <v>12</v>
      </c>
    </row>
    <row r="38" spans="1:13" x14ac:dyDescent="0.2">
      <c r="A38" s="1186" t="s">
        <v>311</v>
      </c>
      <c r="B38" s="1186" t="s">
        <v>433</v>
      </c>
      <c r="C38" s="1186">
        <v>462</v>
      </c>
      <c r="D38" s="1186"/>
      <c r="E38" s="1186">
        <v>2</v>
      </c>
      <c r="F38" s="1186">
        <v>3</v>
      </c>
      <c r="G38" s="1186"/>
      <c r="H38" s="1186">
        <v>2</v>
      </c>
      <c r="I38" s="1186">
        <v>17</v>
      </c>
      <c r="J38" s="1186">
        <v>70</v>
      </c>
      <c r="K38" s="1186">
        <v>206</v>
      </c>
      <c r="L38" s="1186">
        <v>119</v>
      </c>
      <c r="M38" s="1186">
        <v>43</v>
      </c>
    </row>
    <row r="39" spans="1:13" x14ac:dyDescent="0.2">
      <c r="A39" s="1186" t="s">
        <v>311</v>
      </c>
      <c r="B39" s="1186" t="s">
        <v>434</v>
      </c>
      <c r="C39" s="1186">
        <v>356</v>
      </c>
      <c r="D39" s="1186"/>
      <c r="E39" s="1186">
        <v>2</v>
      </c>
      <c r="F39" s="1186">
        <v>7</v>
      </c>
      <c r="G39" s="1186"/>
      <c r="H39" s="1186">
        <v>1</v>
      </c>
      <c r="I39" s="1186">
        <v>37</v>
      </c>
      <c r="J39" s="1186">
        <v>67</v>
      </c>
      <c r="K39" s="1186">
        <v>154</v>
      </c>
      <c r="L39" s="1186">
        <v>73</v>
      </c>
      <c r="M39" s="1186">
        <v>15</v>
      </c>
    </row>
    <row r="40" spans="1:13" x14ac:dyDescent="0.2">
      <c r="A40" s="1186" t="s">
        <v>311</v>
      </c>
      <c r="B40" s="1186" t="s">
        <v>435</v>
      </c>
      <c r="C40" s="1186">
        <v>63</v>
      </c>
      <c r="D40" s="1186"/>
      <c r="E40" s="1186"/>
      <c r="F40" s="1186">
        <v>1</v>
      </c>
      <c r="G40" s="1186"/>
      <c r="H40" s="1186"/>
      <c r="I40" s="1186">
        <v>2</v>
      </c>
      <c r="J40" s="1186">
        <v>13</v>
      </c>
      <c r="K40" s="1186">
        <v>31</v>
      </c>
      <c r="L40" s="1186">
        <v>13</v>
      </c>
      <c r="M40" s="1186">
        <v>3</v>
      </c>
    </row>
    <row r="41" spans="1:13" x14ac:dyDescent="0.2">
      <c r="A41" s="1186" t="s">
        <v>621</v>
      </c>
      <c r="B41" s="1186" t="s">
        <v>432</v>
      </c>
      <c r="C41" s="1186">
        <v>248</v>
      </c>
      <c r="D41" s="1186"/>
      <c r="E41" s="1186"/>
      <c r="F41" s="1186">
        <v>1</v>
      </c>
      <c r="G41" s="1186"/>
      <c r="H41" s="1186">
        <v>4</v>
      </c>
      <c r="I41" s="1186">
        <v>26</v>
      </c>
      <c r="J41" s="1186">
        <v>30</v>
      </c>
      <c r="K41" s="1186">
        <v>110</v>
      </c>
      <c r="L41" s="1186">
        <v>64</v>
      </c>
      <c r="M41" s="1186">
        <v>13</v>
      </c>
    </row>
    <row r="42" spans="1:13" x14ac:dyDescent="0.2">
      <c r="A42" s="1186" t="s">
        <v>621</v>
      </c>
      <c r="B42" s="1186" t="s">
        <v>433</v>
      </c>
      <c r="C42" s="1186">
        <v>523</v>
      </c>
      <c r="D42" s="1186"/>
      <c r="E42" s="1186">
        <v>1</v>
      </c>
      <c r="F42" s="1186">
        <v>5</v>
      </c>
      <c r="G42" s="1186"/>
      <c r="H42" s="1186">
        <v>2</v>
      </c>
      <c r="I42" s="1186">
        <v>29</v>
      </c>
      <c r="J42" s="1186">
        <v>77</v>
      </c>
      <c r="K42" s="1186">
        <v>223</v>
      </c>
      <c r="L42" s="1186">
        <v>136</v>
      </c>
      <c r="M42" s="1186">
        <v>50</v>
      </c>
    </row>
    <row r="43" spans="1:13" x14ac:dyDescent="0.2">
      <c r="A43" s="1186" t="s">
        <v>621</v>
      </c>
      <c r="B43" s="1186" t="s">
        <v>434</v>
      </c>
      <c r="C43" s="1186">
        <v>373</v>
      </c>
      <c r="D43" s="1186"/>
      <c r="E43" s="1186">
        <v>1</v>
      </c>
      <c r="F43" s="1186">
        <v>5</v>
      </c>
      <c r="G43" s="1186"/>
      <c r="H43" s="1186">
        <v>2</v>
      </c>
      <c r="I43" s="1186">
        <v>25</v>
      </c>
      <c r="J43" s="1186">
        <v>62</v>
      </c>
      <c r="K43" s="1186">
        <v>161</v>
      </c>
      <c r="L43" s="1186">
        <v>92</v>
      </c>
      <c r="M43" s="1186">
        <v>25</v>
      </c>
    </row>
    <row r="44" spans="1:13" x14ac:dyDescent="0.2">
      <c r="A44" s="1186" t="s">
        <v>621</v>
      </c>
      <c r="B44" s="1186" t="s">
        <v>435</v>
      </c>
      <c r="C44" s="1186">
        <v>53</v>
      </c>
      <c r="D44" s="1186"/>
      <c r="E44" s="1186"/>
      <c r="F44" s="1186"/>
      <c r="G44" s="1186"/>
      <c r="H44" s="1186"/>
      <c r="I44" s="1186">
        <v>3</v>
      </c>
      <c r="J44" s="1186">
        <v>12</v>
      </c>
      <c r="K44" s="1186">
        <v>21</v>
      </c>
      <c r="L44" s="1186">
        <v>11</v>
      </c>
      <c r="M44" s="1186">
        <v>6</v>
      </c>
    </row>
    <row r="45" spans="1:13" x14ac:dyDescent="0.2">
      <c r="A45" s="1186" t="s">
        <v>1419</v>
      </c>
      <c r="B45" s="1186" t="s">
        <v>432</v>
      </c>
      <c r="C45" s="1186">
        <v>219</v>
      </c>
      <c r="D45" s="1186"/>
      <c r="E45" s="1186"/>
      <c r="F45" s="1186">
        <v>2</v>
      </c>
      <c r="G45" s="1186">
        <v>1</v>
      </c>
      <c r="H45" s="1186">
        <v>2</v>
      </c>
      <c r="I45" s="1186">
        <v>26</v>
      </c>
      <c r="J45" s="1186">
        <v>37</v>
      </c>
      <c r="K45" s="1186">
        <v>91</v>
      </c>
      <c r="L45" s="1186">
        <v>44</v>
      </c>
      <c r="M45" s="1186">
        <v>16</v>
      </c>
    </row>
    <row r="46" spans="1:13" x14ac:dyDescent="0.2">
      <c r="A46" s="1186" t="s">
        <v>1419</v>
      </c>
      <c r="B46" s="1186" t="s">
        <v>433</v>
      </c>
      <c r="C46" s="1186">
        <v>441</v>
      </c>
      <c r="D46" s="1186"/>
      <c r="E46" s="1186">
        <v>1</v>
      </c>
      <c r="F46" s="1186">
        <v>1</v>
      </c>
      <c r="G46" s="1186"/>
      <c r="H46" s="1186"/>
      <c r="I46" s="1186">
        <v>34</v>
      </c>
      <c r="J46" s="1186">
        <v>46</v>
      </c>
      <c r="K46" s="1186">
        <v>189</v>
      </c>
      <c r="L46" s="1186">
        <v>132</v>
      </c>
      <c r="M46" s="1186">
        <v>38</v>
      </c>
    </row>
    <row r="47" spans="1:13" x14ac:dyDescent="0.2">
      <c r="A47" s="1186" t="s">
        <v>1419</v>
      </c>
      <c r="B47" s="1186" t="s">
        <v>434</v>
      </c>
      <c r="C47" s="1186">
        <v>314</v>
      </c>
      <c r="D47" s="1186"/>
      <c r="E47" s="1186">
        <v>1</v>
      </c>
      <c r="F47" s="1186">
        <v>4</v>
      </c>
      <c r="G47" s="1186"/>
      <c r="H47" s="1186">
        <v>1</v>
      </c>
      <c r="I47" s="1186">
        <v>26</v>
      </c>
      <c r="J47" s="1186">
        <v>45</v>
      </c>
      <c r="K47" s="1186">
        <v>135</v>
      </c>
      <c r="L47" s="1186">
        <v>82</v>
      </c>
      <c r="M47" s="1186">
        <v>20</v>
      </c>
    </row>
    <row r="48" spans="1:13" x14ac:dyDescent="0.2">
      <c r="A48" s="1186" t="s">
        <v>1419</v>
      </c>
      <c r="B48" s="1186" t="s">
        <v>435</v>
      </c>
      <c r="C48" s="1186">
        <v>53</v>
      </c>
      <c r="D48" s="1186"/>
      <c r="E48" s="1186"/>
      <c r="F48" s="1186"/>
      <c r="G48" s="1186"/>
      <c r="H48" s="1186"/>
      <c r="I48" s="1186"/>
      <c r="J48" s="1186">
        <v>5</v>
      </c>
      <c r="K48" s="1186">
        <v>32</v>
      </c>
      <c r="L48" s="1186">
        <v>10</v>
      </c>
      <c r="M48" s="1186">
        <v>6</v>
      </c>
    </row>
    <row r="49" spans="1:13" x14ac:dyDescent="0.2">
      <c r="A49" s="1186" t="s">
        <v>1572</v>
      </c>
      <c r="B49" s="1186" t="s">
        <v>432</v>
      </c>
      <c r="C49" s="1186">
        <v>324</v>
      </c>
      <c r="D49" s="1186">
        <v>1</v>
      </c>
      <c r="E49" s="1186"/>
      <c r="F49" s="1186"/>
      <c r="G49" s="1186"/>
      <c r="H49" s="1186">
        <v>2</v>
      </c>
      <c r="I49" s="1186">
        <v>57</v>
      </c>
      <c r="J49" s="1186">
        <v>39</v>
      </c>
      <c r="K49" s="1186">
        <v>140</v>
      </c>
      <c r="L49" s="1186">
        <v>64</v>
      </c>
      <c r="M49" s="1186">
        <v>22</v>
      </c>
    </row>
    <row r="50" spans="1:13" x14ac:dyDescent="0.2">
      <c r="A50" s="1186" t="s">
        <v>1572</v>
      </c>
      <c r="B50" s="1186" t="s">
        <v>433</v>
      </c>
      <c r="C50" s="1186">
        <v>343</v>
      </c>
      <c r="D50" s="1186"/>
      <c r="E50" s="1186"/>
      <c r="F50" s="1186"/>
      <c r="G50" s="1186"/>
      <c r="H50" s="1186"/>
      <c r="I50" s="1186">
        <v>30</v>
      </c>
      <c r="J50" s="1186">
        <v>37</v>
      </c>
      <c r="K50" s="1186">
        <v>153</v>
      </c>
      <c r="L50" s="1186">
        <v>96</v>
      </c>
      <c r="M50" s="1186">
        <v>27</v>
      </c>
    </row>
    <row r="51" spans="1:13" x14ac:dyDescent="0.2">
      <c r="A51" s="1186" t="s">
        <v>1572</v>
      </c>
      <c r="B51" s="1186" t="s">
        <v>434</v>
      </c>
      <c r="C51" s="1186">
        <v>299</v>
      </c>
      <c r="D51" s="1186">
        <v>1</v>
      </c>
      <c r="E51" s="1186"/>
      <c r="F51" s="1186">
        <v>5</v>
      </c>
      <c r="G51" s="1186"/>
      <c r="H51" s="1186">
        <v>1</v>
      </c>
      <c r="I51" s="1186">
        <v>28</v>
      </c>
      <c r="J51" s="1186">
        <v>44</v>
      </c>
      <c r="K51" s="1186">
        <v>134</v>
      </c>
      <c r="L51" s="1186">
        <v>76</v>
      </c>
      <c r="M51" s="1186">
        <v>11</v>
      </c>
    </row>
    <row r="52" spans="1:13" x14ac:dyDescent="0.2">
      <c r="A52" s="1186" t="s">
        <v>1572</v>
      </c>
      <c r="B52" s="1186" t="s">
        <v>435</v>
      </c>
      <c r="C52" s="1186">
        <v>51</v>
      </c>
      <c r="D52" s="1186"/>
      <c r="E52" s="1186"/>
      <c r="F52" s="1186"/>
      <c r="G52" s="1186"/>
      <c r="H52" s="1186"/>
      <c r="I52" s="1186">
        <v>1</v>
      </c>
      <c r="J52" s="1186">
        <v>6</v>
      </c>
      <c r="K52" s="1186">
        <v>25</v>
      </c>
      <c r="L52" s="1186">
        <v>14</v>
      </c>
      <c r="M52" s="1186">
        <v>5</v>
      </c>
    </row>
  </sheetData>
  <pageMargins left="0.7" right="0.7" top="0.75" bottom="0.75" header="0.3" footer="0.3"/>
  <pageSetup paperSize="9" fitToHeight="50" orientation="landscape" r:id="rId1"/>
  <legacyDrawing r:id="rId2"/>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pageSetUpPr fitToPage="1"/>
  </sheetPr>
  <dimension ref="A1:D40"/>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9.140625" bestFit="1" customWidth="1"/>
    <col min="2" max="2" width="7.42578125" bestFit="1" customWidth="1"/>
    <col min="3" max="3" width="26.28515625" bestFit="1" customWidth="1"/>
    <col min="4" max="4" width="4.85546875" bestFit="1" customWidth="1"/>
  </cols>
  <sheetData>
    <row r="1" spans="1:4" x14ac:dyDescent="0.2"/>
    <row r="4" spans="1:4" x14ac:dyDescent="0.2">
      <c r="A4" s="1223" t="s">
        <v>1808</v>
      </c>
      <c r="B4" s="1223" t="s">
        <v>4</v>
      </c>
      <c r="C4" s="1223" t="s">
        <v>1111</v>
      </c>
      <c r="D4" s="1223" t="s">
        <v>11</v>
      </c>
    </row>
    <row r="5" spans="1:4" x14ac:dyDescent="0.2">
      <c r="A5" s="1186" t="s">
        <v>1809</v>
      </c>
      <c r="B5" s="1186" t="s">
        <v>19</v>
      </c>
      <c r="C5" s="1186" t="s">
        <v>342</v>
      </c>
      <c r="D5" s="1186">
        <v>28</v>
      </c>
    </row>
    <row r="6" spans="1:4" x14ac:dyDescent="0.2">
      <c r="A6" s="1186" t="s">
        <v>1809</v>
      </c>
      <c r="B6" s="1186" t="s">
        <v>20</v>
      </c>
      <c r="C6" s="1186" t="s">
        <v>342</v>
      </c>
      <c r="D6" s="1186">
        <v>22</v>
      </c>
    </row>
    <row r="7" spans="1:4" x14ac:dyDescent="0.2">
      <c r="A7" s="1186" t="s">
        <v>1809</v>
      </c>
      <c r="B7" s="1186" t="s">
        <v>13</v>
      </c>
      <c r="C7" s="1186" t="s">
        <v>342</v>
      </c>
      <c r="D7" s="1186">
        <v>26</v>
      </c>
    </row>
    <row r="8" spans="1:4" x14ac:dyDescent="0.2">
      <c r="A8" s="1186" t="s">
        <v>1809</v>
      </c>
      <c r="B8" s="1186" t="s">
        <v>15</v>
      </c>
      <c r="C8" s="1186" t="s">
        <v>342</v>
      </c>
      <c r="D8" s="1186">
        <v>22</v>
      </c>
    </row>
    <row r="9" spans="1:4" x14ac:dyDescent="0.2">
      <c r="A9" s="1186" t="s">
        <v>1809</v>
      </c>
      <c r="B9" s="1186" t="s">
        <v>17</v>
      </c>
      <c r="C9" s="1186" t="s">
        <v>342</v>
      </c>
      <c r="D9" s="1186">
        <v>13</v>
      </c>
    </row>
    <row r="10" spans="1:4" x14ac:dyDescent="0.2">
      <c r="A10" s="1186" t="s">
        <v>1809</v>
      </c>
      <c r="B10" s="1186" t="s">
        <v>133</v>
      </c>
      <c r="C10" s="1186" t="s">
        <v>342</v>
      </c>
      <c r="D10" s="1186">
        <v>13</v>
      </c>
    </row>
    <row r="11" spans="1:4" x14ac:dyDescent="0.2">
      <c r="A11" s="1186" t="s">
        <v>1809</v>
      </c>
      <c r="B11" s="1186" t="s">
        <v>144</v>
      </c>
      <c r="C11" s="1186" t="s">
        <v>342</v>
      </c>
      <c r="D11" s="1186">
        <v>28</v>
      </c>
    </row>
    <row r="12" spans="1:4" x14ac:dyDescent="0.2">
      <c r="A12" s="1186" t="s">
        <v>1809</v>
      </c>
      <c r="B12" s="1186" t="s">
        <v>282</v>
      </c>
      <c r="C12" s="1186" t="s">
        <v>342</v>
      </c>
      <c r="D12" s="1186">
        <v>19</v>
      </c>
    </row>
    <row r="13" spans="1:4" x14ac:dyDescent="0.2">
      <c r="A13" s="1186" t="s">
        <v>1809</v>
      </c>
      <c r="B13" s="1186" t="s">
        <v>311</v>
      </c>
      <c r="C13" s="1186" t="s">
        <v>342</v>
      </c>
      <c r="D13" s="1186">
        <v>22</v>
      </c>
    </row>
    <row r="14" spans="1:4" x14ac:dyDescent="0.2">
      <c r="A14" s="1186" t="s">
        <v>1809</v>
      </c>
      <c r="B14" s="1186" t="s">
        <v>621</v>
      </c>
      <c r="C14" s="1186" t="s">
        <v>342</v>
      </c>
      <c r="D14" s="1186">
        <v>14</v>
      </c>
    </row>
    <row r="15" spans="1:4" x14ac:dyDescent="0.2">
      <c r="A15" s="1186" t="s">
        <v>1809</v>
      </c>
      <c r="B15" s="1186" t="s">
        <v>1419</v>
      </c>
      <c r="C15" s="1186" t="s">
        <v>342</v>
      </c>
      <c r="D15" s="1186">
        <v>12</v>
      </c>
    </row>
    <row r="16" spans="1:4" x14ac:dyDescent="0.2">
      <c r="A16" s="1186" t="s">
        <v>1809</v>
      </c>
      <c r="B16" s="1186" t="s">
        <v>1572</v>
      </c>
      <c r="C16" s="1186" t="s">
        <v>342</v>
      </c>
      <c r="D16" s="1186">
        <v>22</v>
      </c>
    </row>
    <row r="17" spans="1:4" x14ac:dyDescent="0.2">
      <c r="A17" s="1186" t="s">
        <v>1810</v>
      </c>
      <c r="B17" s="1186" t="s">
        <v>19</v>
      </c>
      <c r="C17" s="1186" t="s">
        <v>343</v>
      </c>
      <c r="D17" s="1186">
        <v>414</v>
      </c>
    </row>
    <row r="18" spans="1:4" x14ac:dyDescent="0.2">
      <c r="A18" s="1186" t="s">
        <v>1810</v>
      </c>
      <c r="B18" s="1186" t="s">
        <v>20</v>
      </c>
      <c r="C18" s="1186" t="s">
        <v>343</v>
      </c>
      <c r="D18" s="1186">
        <v>462</v>
      </c>
    </row>
    <row r="19" spans="1:4" x14ac:dyDescent="0.2">
      <c r="A19" s="1186" t="s">
        <v>1810</v>
      </c>
      <c r="B19" s="1186" t="s">
        <v>13</v>
      </c>
      <c r="C19" s="1186" t="s">
        <v>343</v>
      </c>
      <c r="D19" s="1186">
        <v>434</v>
      </c>
    </row>
    <row r="20" spans="1:4" x14ac:dyDescent="0.2">
      <c r="A20" s="1186" t="s">
        <v>1810</v>
      </c>
      <c r="B20" s="1186" t="s">
        <v>15</v>
      </c>
      <c r="C20" s="1186" t="s">
        <v>343</v>
      </c>
      <c r="D20" s="1186">
        <v>390</v>
      </c>
    </row>
    <row r="21" spans="1:4" x14ac:dyDescent="0.2">
      <c r="A21" s="1186" t="s">
        <v>1810</v>
      </c>
      <c r="B21" s="1186" t="s">
        <v>17</v>
      </c>
      <c r="C21" s="1186" t="s">
        <v>343</v>
      </c>
      <c r="D21" s="1186">
        <v>439</v>
      </c>
    </row>
    <row r="22" spans="1:4" x14ac:dyDescent="0.2">
      <c r="A22" s="1186" t="s">
        <v>1810</v>
      </c>
      <c r="B22" s="1186" t="s">
        <v>133</v>
      </c>
      <c r="C22" s="1186" t="s">
        <v>343</v>
      </c>
      <c r="D22" s="1186">
        <v>355</v>
      </c>
    </row>
    <row r="23" spans="1:4" x14ac:dyDescent="0.2">
      <c r="A23" s="1186" t="s">
        <v>1810</v>
      </c>
      <c r="B23" s="1186" t="s">
        <v>144</v>
      </c>
      <c r="C23" s="1186" t="s">
        <v>343</v>
      </c>
      <c r="D23" s="1186">
        <v>403</v>
      </c>
    </row>
    <row r="24" spans="1:4" x14ac:dyDescent="0.2">
      <c r="A24" s="1186" t="s">
        <v>1810</v>
      </c>
      <c r="B24" s="1186" t="s">
        <v>282</v>
      </c>
      <c r="C24" s="1186" t="s">
        <v>343</v>
      </c>
      <c r="D24" s="1186">
        <v>447</v>
      </c>
    </row>
    <row r="25" spans="1:4" x14ac:dyDescent="0.2">
      <c r="A25" s="1186" t="s">
        <v>1810</v>
      </c>
      <c r="B25" s="1186" t="s">
        <v>311</v>
      </c>
      <c r="C25" s="1186" t="s">
        <v>343</v>
      </c>
      <c r="D25" s="1186">
        <v>416</v>
      </c>
    </row>
    <row r="26" spans="1:4" x14ac:dyDescent="0.2">
      <c r="A26" s="1186" t="s">
        <v>1810</v>
      </c>
      <c r="B26" s="1186" t="s">
        <v>621</v>
      </c>
      <c r="C26" s="1186" t="s">
        <v>343</v>
      </c>
      <c r="D26" s="1186">
        <v>373</v>
      </c>
    </row>
    <row r="27" spans="1:4" x14ac:dyDescent="0.2">
      <c r="A27" s="1186" t="s">
        <v>1810</v>
      </c>
      <c r="B27" s="1186" t="s">
        <v>1419</v>
      </c>
      <c r="C27" s="1186" t="s">
        <v>343</v>
      </c>
      <c r="D27" s="1186">
        <v>344</v>
      </c>
    </row>
    <row r="28" spans="1:4" x14ac:dyDescent="0.2">
      <c r="A28" s="1186" t="s">
        <v>1810</v>
      </c>
      <c r="B28" s="1186" t="s">
        <v>1572</v>
      </c>
      <c r="C28" s="1186" t="s">
        <v>343</v>
      </c>
      <c r="D28" s="1186">
        <v>288</v>
      </c>
    </row>
    <row r="29" spans="1:4" x14ac:dyDescent="0.2">
      <c r="A29" s="1186" t="s">
        <v>1811</v>
      </c>
      <c r="B29" s="1186" t="s">
        <v>19</v>
      </c>
      <c r="C29" s="1186" t="s">
        <v>817</v>
      </c>
      <c r="D29" s="1186">
        <v>533</v>
      </c>
    </row>
    <row r="30" spans="1:4" x14ac:dyDescent="0.2">
      <c r="A30" s="1186" t="s">
        <v>1811</v>
      </c>
      <c r="B30" s="1186" t="s">
        <v>20</v>
      </c>
      <c r="C30" s="1186" t="s">
        <v>817</v>
      </c>
      <c r="D30" s="1186">
        <v>470</v>
      </c>
    </row>
    <row r="31" spans="1:4" x14ac:dyDescent="0.2">
      <c r="A31" s="1186" t="s">
        <v>1811</v>
      </c>
      <c r="B31" s="1186" t="s">
        <v>13</v>
      </c>
      <c r="C31" s="1186" t="s">
        <v>817</v>
      </c>
      <c r="D31" s="1186">
        <v>412</v>
      </c>
    </row>
    <row r="32" spans="1:4" x14ac:dyDescent="0.2">
      <c r="A32" s="1186" t="s">
        <v>1811</v>
      </c>
      <c r="B32" s="1186" t="s">
        <v>15</v>
      </c>
      <c r="C32" s="1186" t="s">
        <v>817</v>
      </c>
      <c r="D32" s="1186">
        <v>415</v>
      </c>
    </row>
    <row r="33" spans="1:4" x14ac:dyDescent="0.2">
      <c r="A33" s="1186" t="s">
        <v>1811</v>
      </c>
      <c r="B33" s="1186" t="s">
        <v>17</v>
      </c>
      <c r="C33" s="1186" t="s">
        <v>817</v>
      </c>
      <c r="D33" s="1186">
        <v>274</v>
      </c>
    </row>
    <row r="34" spans="1:4" x14ac:dyDescent="0.2">
      <c r="A34" s="1186" t="s">
        <v>1811</v>
      </c>
      <c r="B34" s="1186" t="s">
        <v>133</v>
      </c>
      <c r="C34" s="1186" t="s">
        <v>817</v>
      </c>
      <c r="D34" s="1186">
        <v>264</v>
      </c>
    </row>
    <row r="35" spans="1:4" x14ac:dyDescent="0.2">
      <c r="A35" s="1186" t="s">
        <v>1811</v>
      </c>
      <c r="B35" s="1186" t="s">
        <v>144</v>
      </c>
      <c r="C35" s="1186" t="s">
        <v>817</v>
      </c>
      <c r="D35" s="1186">
        <v>272</v>
      </c>
    </row>
    <row r="36" spans="1:4" x14ac:dyDescent="0.2">
      <c r="A36" s="1186" t="s">
        <v>1811</v>
      </c>
      <c r="B36" s="1186" t="s">
        <v>282</v>
      </c>
      <c r="C36" s="1186" t="s">
        <v>817</v>
      </c>
      <c r="D36" s="1186">
        <v>189</v>
      </c>
    </row>
    <row r="37" spans="1:4" x14ac:dyDescent="0.2">
      <c r="A37" s="1186" t="s">
        <v>1811</v>
      </c>
      <c r="B37" s="1186" t="s">
        <v>311</v>
      </c>
      <c r="C37" s="1186" t="s">
        <v>817</v>
      </c>
      <c r="D37" s="1186">
        <v>257</v>
      </c>
    </row>
    <row r="38" spans="1:4" x14ac:dyDescent="0.2">
      <c r="A38" s="1186" t="s">
        <v>1811</v>
      </c>
      <c r="B38" s="1186" t="s">
        <v>621</v>
      </c>
      <c r="C38" s="1186" t="s">
        <v>817</v>
      </c>
      <c r="D38" s="1186">
        <v>220</v>
      </c>
    </row>
    <row r="39" spans="1:4" x14ac:dyDescent="0.2">
      <c r="A39" s="1186" t="s">
        <v>1811</v>
      </c>
      <c r="B39" s="1186" t="s">
        <v>1419</v>
      </c>
      <c r="C39" s="1186" t="s">
        <v>817</v>
      </c>
      <c r="D39" s="1186">
        <v>199</v>
      </c>
    </row>
    <row r="40" spans="1:4" x14ac:dyDescent="0.2">
      <c r="A40" s="1186" t="s">
        <v>1811</v>
      </c>
      <c r="B40" s="1186" t="s">
        <v>1572</v>
      </c>
      <c r="C40" s="1186" t="s">
        <v>817</v>
      </c>
      <c r="D40" s="1186">
        <v>214</v>
      </c>
    </row>
  </sheetData>
  <pageMargins left="0.7" right="0.7" top="0.75" bottom="0.75" header="0.3" footer="0.3"/>
  <pageSetup paperSize="9" fitToHeight="5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AF36"/>
  <sheetViews>
    <sheetView topLeftCell="E1" workbookViewId="0">
      <selection activeCell="G23" sqref="G23"/>
    </sheetView>
  </sheetViews>
  <sheetFormatPr defaultRowHeight="12.75" x14ac:dyDescent="0.2"/>
  <cols>
    <col min="1" max="1" width="19.5703125" bestFit="1" customWidth="1"/>
    <col min="2" max="2" width="21.140625" bestFit="1" customWidth="1"/>
    <col min="3" max="3" width="32.85546875" bestFit="1" customWidth="1"/>
    <col min="4" max="4" width="31.5703125" bestFit="1" customWidth="1"/>
    <col min="5" max="5" width="26.85546875" bestFit="1" customWidth="1"/>
    <col min="6" max="6" width="22.42578125" bestFit="1" customWidth="1"/>
    <col min="7" max="7" width="33.7109375" bestFit="1" customWidth="1"/>
    <col min="8" max="8" width="48.85546875" bestFit="1" customWidth="1"/>
    <col min="9" max="9" width="37.140625" bestFit="1" customWidth="1"/>
    <col min="10" max="10" width="23.140625" bestFit="1" customWidth="1"/>
    <col min="11" max="11" width="35.85546875" bestFit="1" customWidth="1"/>
    <col min="12" max="12" width="31.5703125" bestFit="1" customWidth="1"/>
    <col min="13" max="13" width="42.140625" bestFit="1" customWidth="1"/>
    <col min="14" max="14" width="41.7109375" bestFit="1" customWidth="1"/>
    <col min="15" max="15" width="41.140625" bestFit="1" customWidth="1"/>
    <col min="16" max="16" width="47.5703125" bestFit="1" customWidth="1"/>
    <col min="17" max="17" width="56.42578125" bestFit="1" customWidth="1"/>
    <col min="18" max="18" width="60.42578125" bestFit="1" customWidth="1"/>
    <col min="19" max="19" width="46.85546875" bestFit="1" customWidth="1"/>
    <col min="20" max="20" width="31" bestFit="1" customWidth="1"/>
    <col min="21" max="21" width="48.5703125" bestFit="1" customWidth="1"/>
    <col min="22" max="22" width="44.7109375" bestFit="1" customWidth="1"/>
    <col min="23" max="23" width="32.7109375" bestFit="1" customWidth="1"/>
    <col min="24" max="24" width="50.85546875" bestFit="1" customWidth="1"/>
    <col min="25" max="25" width="45.42578125" bestFit="1" customWidth="1"/>
    <col min="26" max="26" width="53.85546875" bestFit="1" customWidth="1"/>
    <col min="27" max="27" width="53.5703125" bestFit="1" customWidth="1"/>
    <col min="28" max="28" width="38.140625" bestFit="1" customWidth="1"/>
    <col min="29" max="29" width="29.5703125" bestFit="1" customWidth="1"/>
    <col min="30" max="30" width="33.42578125" bestFit="1" customWidth="1"/>
    <col min="31" max="31" width="48.140625" bestFit="1" customWidth="1"/>
    <col min="32" max="32" width="30.5703125" bestFit="1" customWidth="1"/>
    <col min="33" max="64" width="36.42578125" bestFit="1" customWidth="1"/>
    <col min="65" max="65" width="41.7109375" bestFit="1" customWidth="1"/>
    <col min="66" max="66" width="40.28515625" bestFit="1" customWidth="1"/>
  </cols>
  <sheetData>
    <row r="2" spans="1:32" x14ac:dyDescent="0.2">
      <c r="A2" s="234" t="s">
        <v>4</v>
      </c>
      <c r="B2" t="s">
        <v>1572</v>
      </c>
    </row>
    <row r="4" spans="1:32" x14ac:dyDescent="0.2">
      <c r="A4" s="234" t="s">
        <v>326</v>
      </c>
      <c r="B4" t="s">
        <v>374</v>
      </c>
      <c r="C4" t="s">
        <v>1524</v>
      </c>
      <c r="D4" t="s">
        <v>1525</v>
      </c>
      <c r="E4" t="s">
        <v>1526</v>
      </c>
      <c r="F4" t="s">
        <v>1527</v>
      </c>
      <c r="G4" t="s">
        <v>1528</v>
      </c>
      <c r="H4" t="s">
        <v>1529</v>
      </c>
      <c r="I4" t="s">
        <v>1530</v>
      </c>
      <c r="J4" t="s">
        <v>1531</v>
      </c>
      <c r="K4" t="s">
        <v>1532</v>
      </c>
      <c r="L4" t="s">
        <v>1533</v>
      </c>
      <c r="M4" t="s">
        <v>1534</v>
      </c>
      <c r="N4" t="s">
        <v>1535</v>
      </c>
      <c r="O4" t="s">
        <v>1536</v>
      </c>
      <c r="P4" t="s">
        <v>1537</v>
      </c>
      <c r="Q4" t="s">
        <v>1538</v>
      </c>
      <c r="R4" t="s">
        <v>1539</v>
      </c>
      <c r="S4" t="s">
        <v>1540</v>
      </c>
      <c r="T4" t="s">
        <v>1541</v>
      </c>
      <c r="U4" t="s">
        <v>1542</v>
      </c>
      <c r="V4" t="s">
        <v>1543</v>
      </c>
      <c r="W4" t="s">
        <v>1544</v>
      </c>
      <c r="X4" t="s">
        <v>1545</v>
      </c>
      <c r="Y4" t="s">
        <v>1546</v>
      </c>
      <c r="Z4" t="s">
        <v>1547</v>
      </c>
      <c r="AA4" t="s">
        <v>1548</v>
      </c>
      <c r="AB4" t="s">
        <v>1549</v>
      </c>
      <c r="AC4" t="s">
        <v>1550</v>
      </c>
      <c r="AD4" t="s">
        <v>1551</v>
      </c>
      <c r="AE4" t="s">
        <v>1552</v>
      </c>
      <c r="AF4" t="s">
        <v>1553</v>
      </c>
    </row>
    <row r="5" spans="1:32" x14ac:dyDescent="0.2">
      <c r="A5" s="235" t="s">
        <v>23</v>
      </c>
      <c r="B5">
        <v>333</v>
      </c>
      <c r="C5">
        <v>59</v>
      </c>
      <c r="D5">
        <v>112</v>
      </c>
      <c r="E5">
        <v>39</v>
      </c>
      <c r="H5">
        <v>26</v>
      </c>
      <c r="J5">
        <v>7</v>
      </c>
      <c r="O5">
        <v>6</v>
      </c>
      <c r="P5">
        <v>11</v>
      </c>
      <c r="R5">
        <v>5</v>
      </c>
      <c r="U5">
        <v>9</v>
      </c>
      <c r="V5">
        <v>1</v>
      </c>
      <c r="W5">
        <v>8</v>
      </c>
      <c r="X5">
        <v>2</v>
      </c>
      <c r="Y5">
        <v>4</v>
      </c>
      <c r="Z5">
        <v>2</v>
      </c>
      <c r="AA5">
        <v>3</v>
      </c>
      <c r="AB5">
        <v>9</v>
      </c>
      <c r="AC5">
        <v>7</v>
      </c>
      <c r="AD5">
        <v>5</v>
      </c>
      <c r="AE5">
        <v>13</v>
      </c>
      <c r="AF5">
        <v>5</v>
      </c>
    </row>
    <row r="6" spans="1:32" x14ac:dyDescent="0.2">
      <c r="A6" s="235" t="s">
        <v>24</v>
      </c>
      <c r="B6">
        <v>263</v>
      </c>
      <c r="C6">
        <v>96</v>
      </c>
      <c r="D6">
        <v>15</v>
      </c>
      <c r="E6">
        <v>11</v>
      </c>
      <c r="H6">
        <v>40</v>
      </c>
      <c r="I6">
        <v>2</v>
      </c>
      <c r="J6">
        <v>8</v>
      </c>
      <c r="K6">
        <v>4</v>
      </c>
      <c r="O6">
        <v>7</v>
      </c>
      <c r="R6">
        <v>4</v>
      </c>
      <c r="S6">
        <v>1</v>
      </c>
      <c r="U6">
        <v>19</v>
      </c>
      <c r="V6">
        <v>7</v>
      </c>
      <c r="W6">
        <v>19</v>
      </c>
      <c r="Y6">
        <v>1</v>
      </c>
      <c r="Z6">
        <v>8</v>
      </c>
      <c r="AA6">
        <v>4</v>
      </c>
      <c r="AB6">
        <v>4</v>
      </c>
      <c r="AC6">
        <v>1</v>
      </c>
      <c r="AD6">
        <v>2</v>
      </c>
      <c r="AE6">
        <v>2</v>
      </c>
      <c r="AF6">
        <v>8</v>
      </c>
    </row>
    <row r="7" spans="1:32" x14ac:dyDescent="0.2">
      <c r="A7" s="235" t="s">
        <v>25</v>
      </c>
      <c r="B7">
        <v>113</v>
      </c>
      <c r="C7">
        <v>37</v>
      </c>
      <c r="D7">
        <v>14</v>
      </c>
      <c r="E7">
        <v>11</v>
      </c>
      <c r="H7">
        <v>12</v>
      </c>
      <c r="I7">
        <v>1</v>
      </c>
      <c r="J7">
        <v>5</v>
      </c>
      <c r="M7">
        <v>1</v>
      </c>
      <c r="O7">
        <v>1</v>
      </c>
      <c r="R7">
        <v>1</v>
      </c>
      <c r="U7">
        <v>13</v>
      </c>
      <c r="V7">
        <v>3</v>
      </c>
      <c r="W7">
        <v>2</v>
      </c>
      <c r="X7">
        <v>1</v>
      </c>
      <c r="Y7">
        <v>1</v>
      </c>
      <c r="Z7">
        <v>6</v>
      </c>
      <c r="AA7">
        <v>1</v>
      </c>
      <c r="AC7">
        <v>1</v>
      </c>
      <c r="AE7">
        <v>1</v>
      </c>
      <c r="AF7">
        <v>1</v>
      </c>
    </row>
    <row r="8" spans="1:32" x14ac:dyDescent="0.2">
      <c r="A8" s="235" t="s">
        <v>26</v>
      </c>
      <c r="B8">
        <v>118</v>
      </c>
      <c r="C8">
        <v>41</v>
      </c>
      <c r="D8">
        <v>24</v>
      </c>
      <c r="E8">
        <v>8</v>
      </c>
      <c r="H8">
        <v>12</v>
      </c>
      <c r="I8">
        <v>1</v>
      </c>
      <c r="K8">
        <v>2</v>
      </c>
      <c r="M8">
        <v>1</v>
      </c>
      <c r="N8">
        <v>3</v>
      </c>
      <c r="O8">
        <v>2</v>
      </c>
      <c r="P8">
        <v>1</v>
      </c>
      <c r="Q8">
        <v>1</v>
      </c>
      <c r="U8">
        <v>5</v>
      </c>
      <c r="V8">
        <v>2</v>
      </c>
      <c r="W8">
        <v>4</v>
      </c>
      <c r="X8">
        <v>1</v>
      </c>
      <c r="AB8">
        <v>2</v>
      </c>
      <c r="AC8">
        <v>1</v>
      </c>
      <c r="AD8">
        <v>1</v>
      </c>
      <c r="AE8">
        <v>3</v>
      </c>
      <c r="AF8">
        <v>3</v>
      </c>
    </row>
    <row r="9" spans="1:32" x14ac:dyDescent="0.2">
      <c r="A9" s="235" t="s">
        <v>619</v>
      </c>
      <c r="B9">
        <v>575</v>
      </c>
      <c r="C9">
        <v>85</v>
      </c>
      <c r="D9">
        <v>182</v>
      </c>
      <c r="E9">
        <v>107</v>
      </c>
      <c r="F9">
        <v>2</v>
      </c>
      <c r="H9">
        <v>38</v>
      </c>
      <c r="J9">
        <v>8</v>
      </c>
      <c r="K9">
        <v>6</v>
      </c>
      <c r="L9">
        <v>12</v>
      </c>
      <c r="O9">
        <v>3</v>
      </c>
      <c r="P9">
        <v>16</v>
      </c>
      <c r="Q9">
        <v>2</v>
      </c>
      <c r="R9">
        <v>3</v>
      </c>
      <c r="S9">
        <v>1</v>
      </c>
      <c r="U9">
        <v>15</v>
      </c>
      <c r="V9">
        <v>1</v>
      </c>
      <c r="W9">
        <v>7</v>
      </c>
      <c r="Y9">
        <v>15</v>
      </c>
      <c r="Z9">
        <v>6</v>
      </c>
      <c r="AA9">
        <v>8</v>
      </c>
      <c r="AB9">
        <v>14</v>
      </c>
      <c r="AC9">
        <v>11</v>
      </c>
      <c r="AD9">
        <v>7</v>
      </c>
      <c r="AE9">
        <v>16</v>
      </c>
      <c r="AF9">
        <v>10</v>
      </c>
    </row>
    <row r="10" spans="1:32" x14ac:dyDescent="0.2">
      <c r="A10" s="235" t="s">
        <v>27</v>
      </c>
      <c r="B10">
        <v>76</v>
      </c>
      <c r="C10">
        <v>40</v>
      </c>
      <c r="D10">
        <v>10</v>
      </c>
      <c r="E10">
        <v>3</v>
      </c>
      <c r="J10">
        <v>2</v>
      </c>
      <c r="O10">
        <v>1</v>
      </c>
      <c r="U10">
        <v>5</v>
      </c>
      <c r="W10">
        <v>3</v>
      </c>
      <c r="X10">
        <v>1</v>
      </c>
      <c r="Y10">
        <v>1</v>
      </c>
      <c r="Z10">
        <v>5</v>
      </c>
      <c r="AA10">
        <v>1</v>
      </c>
      <c r="AB10">
        <v>1</v>
      </c>
      <c r="AD10">
        <v>3</v>
      </c>
    </row>
    <row r="11" spans="1:32" x14ac:dyDescent="0.2">
      <c r="A11" s="235" t="s">
        <v>28</v>
      </c>
      <c r="B11">
        <v>119</v>
      </c>
      <c r="C11">
        <v>48</v>
      </c>
      <c r="D11">
        <v>16</v>
      </c>
      <c r="E11">
        <v>4</v>
      </c>
      <c r="F11">
        <v>1</v>
      </c>
      <c r="H11">
        <v>1</v>
      </c>
      <c r="I11">
        <v>2</v>
      </c>
      <c r="J11">
        <v>2</v>
      </c>
      <c r="K11">
        <v>2</v>
      </c>
      <c r="M11">
        <v>1</v>
      </c>
      <c r="O11">
        <v>3</v>
      </c>
      <c r="U11">
        <v>9</v>
      </c>
      <c r="V11">
        <v>12</v>
      </c>
      <c r="W11">
        <v>6</v>
      </c>
      <c r="AB11">
        <v>2</v>
      </c>
      <c r="AC11">
        <v>5</v>
      </c>
      <c r="AD11">
        <v>1</v>
      </c>
      <c r="AE11">
        <v>1</v>
      </c>
      <c r="AF11">
        <v>3</v>
      </c>
    </row>
    <row r="12" spans="1:32" x14ac:dyDescent="0.2">
      <c r="A12" s="235" t="s">
        <v>29</v>
      </c>
      <c r="B12">
        <v>263</v>
      </c>
      <c r="C12">
        <v>57</v>
      </c>
      <c r="D12">
        <v>80</v>
      </c>
      <c r="E12">
        <v>51</v>
      </c>
      <c r="F12">
        <v>1</v>
      </c>
      <c r="H12">
        <v>14</v>
      </c>
      <c r="J12">
        <v>6</v>
      </c>
      <c r="K12">
        <v>1</v>
      </c>
      <c r="L12">
        <v>1</v>
      </c>
      <c r="O12">
        <v>5</v>
      </c>
      <c r="P12">
        <v>3</v>
      </c>
      <c r="Q12">
        <v>1</v>
      </c>
      <c r="R12">
        <v>2</v>
      </c>
      <c r="S12">
        <v>1</v>
      </c>
      <c r="U12">
        <v>2</v>
      </c>
      <c r="W12">
        <v>13</v>
      </c>
      <c r="X12">
        <v>2</v>
      </c>
      <c r="AA12">
        <v>2</v>
      </c>
      <c r="AB12">
        <v>5</v>
      </c>
      <c r="AC12">
        <v>3</v>
      </c>
      <c r="AD12">
        <v>6</v>
      </c>
      <c r="AE12">
        <v>4</v>
      </c>
      <c r="AF12">
        <v>3</v>
      </c>
    </row>
    <row r="13" spans="1:32" x14ac:dyDescent="0.2">
      <c r="A13" s="235" t="s">
        <v>30</v>
      </c>
      <c r="B13">
        <v>140</v>
      </c>
      <c r="C13">
        <v>65</v>
      </c>
      <c r="D13">
        <v>33</v>
      </c>
      <c r="E13">
        <v>5</v>
      </c>
      <c r="H13">
        <v>2</v>
      </c>
      <c r="J13">
        <v>4</v>
      </c>
      <c r="N13">
        <v>1</v>
      </c>
      <c r="O13">
        <v>2</v>
      </c>
      <c r="U13">
        <v>12</v>
      </c>
      <c r="V13">
        <v>3</v>
      </c>
      <c r="Y13">
        <v>2</v>
      </c>
      <c r="Z13">
        <v>1</v>
      </c>
      <c r="AA13">
        <v>2</v>
      </c>
      <c r="AB13">
        <v>4</v>
      </c>
      <c r="AC13">
        <v>2</v>
      </c>
      <c r="AE13">
        <v>1</v>
      </c>
      <c r="AF13">
        <v>1</v>
      </c>
    </row>
    <row r="14" spans="1:32" x14ac:dyDescent="0.2">
      <c r="A14" s="235" t="s">
        <v>31</v>
      </c>
      <c r="B14">
        <v>95</v>
      </c>
      <c r="C14">
        <v>52</v>
      </c>
      <c r="D14">
        <v>15</v>
      </c>
      <c r="E14">
        <v>2</v>
      </c>
      <c r="H14">
        <v>5</v>
      </c>
      <c r="R14">
        <v>5</v>
      </c>
      <c r="U14">
        <v>4</v>
      </c>
      <c r="V14">
        <v>1</v>
      </c>
      <c r="W14">
        <v>2</v>
      </c>
      <c r="Y14">
        <v>2</v>
      </c>
      <c r="Z14">
        <v>1</v>
      </c>
      <c r="AB14">
        <v>1</v>
      </c>
      <c r="AC14">
        <v>3</v>
      </c>
      <c r="AD14">
        <v>2</v>
      </c>
    </row>
    <row r="15" spans="1:32" x14ac:dyDescent="0.2">
      <c r="A15" s="235" t="s">
        <v>32</v>
      </c>
      <c r="B15">
        <v>76</v>
      </c>
      <c r="C15">
        <v>35</v>
      </c>
      <c r="D15">
        <v>8</v>
      </c>
      <c r="E15">
        <v>3</v>
      </c>
      <c r="H15">
        <v>2</v>
      </c>
      <c r="J15">
        <v>1</v>
      </c>
      <c r="O15">
        <v>4</v>
      </c>
      <c r="P15">
        <v>2</v>
      </c>
      <c r="S15">
        <v>1</v>
      </c>
      <c r="U15">
        <v>5</v>
      </c>
      <c r="V15">
        <v>3</v>
      </c>
      <c r="W15">
        <v>3</v>
      </c>
      <c r="Y15">
        <v>1</v>
      </c>
      <c r="Z15">
        <v>1</v>
      </c>
      <c r="AA15">
        <v>2</v>
      </c>
      <c r="AB15">
        <v>2</v>
      </c>
      <c r="AC15">
        <v>1</v>
      </c>
      <c r="AD15">
        <v>2</v>
      </c>
    </row>
    <row r="16" spans="1:32" x14ac:dyDescent="0.2">
      <c r="A16" s="235" t="s">
        <v>33</v>
      </c>
      <c r="B16">
        <v>65</v>
      </c>
      <c r="C16">
        <v>31</v>
      </c>
      <c r="D16">
        <v>13</v>
      </c>
      <c r="E16">
        <v>4</v>
      </c>
      <c r="H16">
        <v>5</v>
      </c>
      <c r="O16">
        <v>1</v>
      </c>
      <c r="R16">
        <v>1</v>
      </c>
      <c r="U16">
        <v>3</v>
      </c>
      <c r="V16">
        <v>1</v>
      </c>
      <c r="W16">
        <v>1</v>
      </c>
      <c r="Y16">
        <v>1</v>
      </c>
      <c r="AB16">
        <v>2</v>
      </c>
      <c r="AC16">
        <v>1</v>
      </c>
      <c r="AD16">
        <v>1</v>
      </c>
    </row>
    <row r="17" spans="1:32" x14ac:dyDescent="0.2">
      <c r="A17" s="235" t="s">
        <v>34</v>
      </c>
      <c r="B17">
        <v>167</v>
      </c>
      <c r="C17">
        <v>41</v>
      </c>
      <c r="D17">
        <v>49</v>
      </c>
      <c r="E17">
        <v>5</v>
      </c>
      <c r="H17">
        <v>11</v>
      </c>
      <c r="J17">
        <v>3</v>
      </c>
      <c r="O17">
        <v>5</v>
      </c>
      <c r="R17">
        <v>1</v>
      </c>
      <c r="U17">
        <v>16</v>
      </c>
      <c r="V17">
        <v>2</v>
      </c>
      <c r="W17">
        <v>8</v>
      </c>
      <c r="X17">
        <v>1</v>
      </c>
      <c r="Z17">
        <v>10</v>
      </c>
      <c r="AA17">
        <v>1</v>
      </c>
      <c r="AB17">
        <v>3</v>
      </c>
      <c r="AC17">
        <v>5</v>
      </c>
      <c r="AD17">
        <v>2</v>
      </c>
      <c r="AE17">
        <v>1</v>
      </c>
      <c r="AF17">
        <v>3</v>
      </c>
    </row>
    <row r="18" spans="1:32" x14ac:dyDescent="0.2">
      <c r="A18" s="235" t="s">
        <v>35</v>
      </c>
      <c r="B18">
        <v>346</v>
      </c>
      <c r="C18">
        <v>146</v>
      </c>
      <c r="D18">
        <v>78</v>
      </c>
      <c r="E18">
        <v>11</v>
      </c>
      <c r="F18">
        <v>1</v>
      </c>
      <c r="G18">
        <v>1</v>
      </c>
      <c r="H18">
        <v>9</v>
      </c>
      <c r="J18">
        <v>1</v>
      </c>
      <c r="N18">
        <v>1</v>
      </c>
      <c r="O18">
        <v>1</v>
      </c>
      <c r="P18">
        <v>2</v>
      </c>
      <c r="R18">
        <v>1</v>
      </c>
      <c r="T18">
        <v>1</v>
      </c>
      <c r="U18">
        <v>28</v>
      </c>
      <c r="V18">
        <v>7</v>
      </c>
      <c r="W18">
        <v>20</v>
      </c>
      <c r="X18">
        <v>2</v>
      </c>
      <c r="Y18">
        <v>1</v>
      </c>
      <c r="Z18">
        <v>2</v>
      </c>
      <c r="AA18">
        <v>9</v>
      </c>
      <c r="AB18">
        <v>2</v>
      </c>
      <c r="AC18">
        <v>7</v>
      </c>
      <c r="AD18">
        <v>4</v>
      </c>
      <c r="AE18">
        <v>1</v>
      </c>
      <c r="AF18">
        <v>10</v>
      </c>
    </row>
    <row r="19" spans="1:32" x14ac:dyDescent="0.2">
      <c r="A19" s="235" t="s">
        <v>36</v>
      </c>
      <c r="B19">
        <v>1030</v>
      </c>
      <c r="C19">
        <v>143</v>
      </c>
      <c r="D19">
        <v>382</v>
      </c>
      <c r="E19">
        <v>247</v>
      </c>
      <c r="F19">
        <v>2</v>
      </c>
      <c r="G19">
        <v>2</v>
      </c>
      <c r="H19">
        <v>17</v>
      </c>
      <c r="I19">
        <v>1</v>
      </c>
      <c r="J19">
        <v>1</v>
      </c>
      <c r="K19">
        <v>3</v>
      </c>
      <c r="L19">
        <v>10</v>
      </c>
      <c r="O19">
        <v>22</v>
      </c>
      <c r="P19">
        <v>7</v>
      </c>
      <c r="Q19">
        <v>5</v>
      </c>
      <c r="R19">
        <v>6</v>
      </c>
      <c r="S19">
        <v>2</v>
      </c>
      <c r="U19">
        <v>18</v>
      </c>
      <c r="V19">
        <v>1</v>
      </c>
      <c r="W19">
        <v>13</v>
      </c>
      <c r="X19">
        <v>4</v>
      </c>
      <c r="Y19">
        <v>16</v>
      </c>
      <c r="Z19">
        <v>8</v>
      </c>
      <c r="AA19">
        <v>12</v>
      </c>
      <c r="AB19">
        <v>17</v>
      </c>
      <c r="AC19">
        <v>32</v>
      </c>
      <c r="AD19">
        <v>17</v>
      </c>
      <c r="AE19">
        <v>25</v>
      </c>
      <c r="AF19">
        <v>17</v>
      </c>
    </row>
    <row r="20" spans="1:32" x14ac:dyDescent="0.2">
      <c r="A20" s="235" t="s">
        <v>37</v>
      </c>
      <c r="B20">
        <v>238</v>
      </c>
      <c r="C20">
        <v>96</v>
      </c>
      <c r="D20">
        <v>21</v>
      </c>
      <c r="F20">
        <v>3</v>
      </c>
      <c r="G20">
        <v>1</v>
      </c>
      <c r="H20">
        <v>8</v>
      </c>
      <c r="J20">
        <v>3</v>
      </c>
      <c r="K20">
        <v>8</v>
      </c>
      <c r="M20">
        <v>2</v>
      </c>
      <c r="O20">
        <v>12</v>
      </c>
      <c r="Q20">
        <v>1</v>
      </c>
      <c r="R20">
        <v>2</v>
      </c>
      <c r="S20">
        <v>2</v>
      </c>
      <c r="T20">
        <v>3</v>
      </c>
      <c r="U20">
        <v>21</v>
      </c>
      <c r="V20">
        <v>6</v>
      </c>
      <c r="W20">
        <v>16</v>
      </c>
      <c r="X20">
        <v>2</v>
      </c>
      <c r="Y20">
        <v>4</v>
      </c>
      <c r="Z20">
        <v>1</v>
      </c>
      <c r="AA20">
        <v>2</v>
      </c>
      <c r="AB20">
        <v>6</v>
      </c>
      <c r="AC20">
        <v>3</v>
      </c>
      <c r="AD20">
        <v>5</v>
      </c>
      <c r="AE20">
        <v>6</v>
      </c>
      <c r="AF20">
        <v>4</v>
      </c>
    </row>
    <row r="21" spans="1:32" x14ac:dyDescent="0.2">
      <c r="A21" s="235" t="s">
        <v>38</v>
      </c>
      <c r="B21">
        <v>130</v>
      </c>
      <c r="C21">
        <v>40</v>
      </c>
      <c r="D21">
        <v>33</v>
      </c>
      <c r="E21">
        <v>33</v>
      </c>
      <c r="H21">
        <v>4</v>
      </c>
      <c r="O21">
        <v>1</v>
      </c>
      <c r="U21">
        <v>5</v>
      </c>
      <c r="V21">
        <v>1</v>
      </c>
      <c r="W21">
        <v>1</v>
      </c>
      <c r="Z21">
        <v>1</v>
      </c>
      <c r="AA21">
        <v>3</v>
      </c>
      <c r="AB21">
        <v>1</v>
      </c>
      <c r="AC21">
        <v>2</v>
      </c>
      <c r="AE21">
        <v>2</v>
      </c>
      <c r="AF21">
        <v>3</v>
      </c>
    </row>
    <row r="22" spans="1:32" x14ac:dyDescent="0.2">
      <c r="A22" s="235" t="s">
        <v>39</v>
      </c>
      <c r="B22">
        <v>94</v>
      </c>
      <c r="C22">
        <v>37</v>
      </c>
      <c r="D22">
        <v>6</v>
      </c>
      <c r="E22">
        <v>5</v>
      </c>
      <c r="H22">
        <v>11</v>
      </c>
      <c r="K22">
        <v>1</v>
      </c>
      <c r="L22">
        <v>1</v>
      </c>
      <c r="O22">
        <v>4</v>
      </c>
      <c r="R22">
        <v>2</v>
      </c>
      <c r="S22">
        <v>4</v>
      </c>
      <c r="U22">
        <v>6</v>
      </c>
      <c r="V22">
        <v>1</v>
      </c>
      <c r="W22">
        <v>3</v>
      </c>
      <c r="X22">
        <v>1</v>
      </c>
      <c r="AA22">
        <v>1</v>
      </c>
      <c r="AB22">
        <v>3</v>
      </c>
      <c r="AC22">
        <v>2</v>
      </c>
      <c r="AD22">
        <v>3</v>
      </c>
      <c r="AE22">
        <v>1</v>
      </c>
      <c r="AF22">
        <v>2</v>
      </c>
    </row>
    <row r="23" spans="1:32" x14ac:dyDescent="0.2">
      <c r="A23" s="235" t="s">
        <v>40</v>
      </c>
      <c r="B23">
        <v>78</v>
      </c>
      <c r="C23">
        <v>33</v>
      </c>
      <c r="D23">
        <v>9</v>
      </c>
      <c r="F23">
        <v>1</v>
      </c>
      <c r="H23">
        <v>8</v>
      </c>
      <c r="K23">
        <v>3</v>
      </c>
      <c r="R23">
        <v>1</v>
      </c>
      <c r="U23">
        <v>8</v>
      </c>
      <c r="V23">
        <v>2</v>
      </c>
      <c r="W23">
        <v>6</v>
      </c>
      <c r="X23">
        <v>1</v>
      </c>
      <c r="AA23">
        <v>1</v>
      </c>
      <c r="AB23">
        <v>1</v>
      </c>
      <c r="AC23">
        <v>2</v>
      </c>
      <c r="AD23">
        <v>1</v>
      </c>
      <c r="AF23">
        <v>1</v>
      </c>
    </row>
    <row r="24" spans="1:32" x14ac:dyDescent="0.2">
      <c r="A24" s="235" t="s">
        <v>295</v>
      </c>
      <c r="B24">
        <v>28</v>
      </c>
      <c r="C24">
        <v>18</v>
      </c>
      <c r="D24">
        <v>2</v>
      </c>
      <c r="E24">
        <v>1</v>
      </c>
      <c r="J24">
        <v>1</v>
      </c>
      <c r="K24">
        <v>1</v>
      </c>
      <c r="O24">
        <v>1</v>
      </c>
      <c r="U24">
        <v>2</v>
      </c>
      <c r="W24">
        <v>1</v>
      </c>
      <c r="AA24">
        <v>1</v>
      </c>
    </row>
    <row r="25" spans="1:32" x14ac:dyDescent="0.2">
      <c r="A25" s="235" t="s">
        <v>41</v>
      </c>
      <c r="B25">
        <v>188</v>
      </c>
      <c r="C25">
        <v>83</v>
      </c>
      <c r="D25">
        <v>49</v>
      </c>
      <c r="E25">
        <v>8</v>
      </c>
      <c r="H25">
        <v>12</v>
      </c>
      <c r="I25">
        <v>1</v>
      </c>
      <c r="N25">
        <v>1</v>
      </c>
      <c r="O25">
        <v>3</v>
      </c>
      <c r="U25">
        <v>8</v>
      </c>
      <c r="V25">
        <v>2</v>
      </c>
      <c r="W25">
        <v>7</v>
      </c>
      <c r="Z25">
        <v>1</v>
      </c>
      <c r="AA25">
        <v>1</v>
      </c>
      <c r="AB25">
        <v>2</v>
      </c>
      <c r="AC25">
        <v>6</v>
      </c>
      <c r="AD25">
        <v>1</v>
      </c>
      <c r="AE25">
        <v>1</v>
      </c>
      <c r="AF25">
        <v>2</v>
      </c>
    </row>
    <row r="26" spans="1:32" x14ac:dyDescent="0.2">
      <c r="A26" s="235" t="s">
        <v>42</v>
      </c>
      <c r="B26">
        <v>424</v>
      </c>
      <c r="C26">
        <v>134</v>
      </c>
      <c r="D26">
        <v>150</v>
      </c>
      <c r="E26">
        <v>13</v>
      </c>
      <c r="F26">
        <v>1</v>
      </c>
      <c r="H26">
        <v>20</v>
      </c>
      <c r="K26">
        <v>2</v>
      </c>
      <c r="L26">
        <v>4</v>
      </c>
      <c r="O26">
        <v>3</v>
      </c>
      <c r="R26">
        <v>5</v>
      </c>
      <c r="S26">
        <v>1</v>
      </c>
      <c r="U26">
        <v>25</v>
      </c>
      <c r="V26">
        <v>1</v>
      </c>
      <c r="W26">
        <v>15</v>
      </c>
      <c r="X26">
        <v>4</v>
      </c>
      <c r="Y26">
        <v>3</v>
      </c>
      <c r="Z26">
        <v>13</v>
      </c>
      <c r="AA26">
        <v>6</v>
      </c>
      <c r="AB26">
        <v>6</v>
      </c>
      <c r="AC26">
        <v>9</v>
      </c>
      <c r="AD26">
        <v>5</v>
      </c>
      <c r="AE26">
        <v>1</v>
      </c>
      <c r="AF26">
        <v>3</v>
      </c>
    </row>
    <row r="27" spans="1:32" x14ac:dyDescent="0.2">
      <c r="A27" s="235" t="s">
        <v>43</v>
      </c>
      <c r="B27">
        <v>6</v>
      </c>
      <c r="C27">
        <v>3</v>
      </c>
      <c r="J27">
        <v>1</v>
      </c>
      <c r="L27">
        <v>1</v>
      </c>
      <c r="U27">
        <v>1</v>
      </c>
    </row>
    <row r="28" spans="1:32" x14ac:dyDescent="0.2">
      <c r="A28" s="235" t="s">
        <v>44</v>
      </c>
      <c r="B28">
        <v>148</v>
      </c>
      <c r="C28">
        <v>43</v>
      </c>
      <c r="D28">
        <v>21</v>
      </c>
      <c r="E28">
        <v>14</v>
      </c>
      <c r="H28">
        <v>19</v>
      </c>
      <c r="J28">
        <v>7</v>
      </c>
      <c r="K28">
        <v>1</v>
      </c>
      <c r="M28">
        <v>1</v>
      </c>
      <c r="O28">
        <v>4</v>
      </c>
      <c r="R28">
        <v>3</v>
      </c>
      <c r="U28">
        <v>9</v>
      </c>
      <c r="V28">
        <v>5</v>
      </c>
      <c r="W28">
        <v>2</v>
      </c>
      <c r="Y28">
        <v>1</v>
      </c>
      <c r="Z28">
        <v>5</v>
      </c>
      <c r="AA28">
        <v>2</v>
      </c>
      <c r="AB28">
        <v>6</v>
      </c>
      <c r="AC28">
        <v>2</v>
      </c>
      <c r="AD28">
        <v>1</v>
      </c>
      <c r="AE28">
        <v>1</v>
      </c>
      <c r="AF28">
        <v>1</v>
      </c>
    </row>
    <row r="29" spans="1:32" x14ac:dyDescent="0.2">
      <c r="A29" s="235" t="s">
        <v>45</v>
      </c>
      <c r="B29">
        <v>247</v>
      </c>
      <c r="C29">
        <v>60</v>
      </c>
      <c r="D29">
        <v>63</v>
      </c>
      <c r="E29">
        <v>46</v>
      </c>
      <c r="F29">
        <v>1</v>
      </c>
      <c r="H29">
        <v>14</v>
      </c>
      <c r="J29">
        <v>1</v>
      </c>
      <c r="K29">
        <v>2</v>
      </c>
      <c r="O29">
        <v>8</v>
      </c>
      <c r="P29">
        <v>3</v>
      </c>
      <c r="R29">
        <v>1</v>
      </c>
      <c r="S29">
        <v>1</v>
      </c>
      <c r="U29">
        <v>11</v>
      </c>
      <c r="W29">
        <v>5</v>
      </c>
      <c r="X29">
        <v>1</v>
      </c>
      <c r="Y29">
        <v>3</v>
      </c>
      <c r="Z29">
        <v>1</v>
      </c>
      <c r="AA29">
        <v>2</v>
      </c>
      <c r="AB29">
        <v>2</v>
      </c>
      <c r="AC29">
        <v>6</v>
      </c>
      <c r="AD29">
        <v>7</v>
      </c>
      <c r="AE29">
        <v>2</v>
      </c>
      <c r="AF29">
        <v>7</v>
      </c>
    </row>
    <row r="30" spans="1:32" x14ac:dyDescent="0.2">
      <c r="A30" s="235" t="s">
        <v>46</v>
      </c>
      <c r="B30">
        <v>126</v>
      </c>
      <c r="C30">
        <v>44</v>
      </c>
      <c r="D30">
        <v>29</v>
      </c>
      <c r="E30">
        <v>2</v>
      </c>
      <c r="H30">
        <v>8</v>
      </c>
      <c r="J30">
        <v>2</v>
      </c>
      <c r="K30">
        <v>1</v>
      </c>
      <c r="O30">
        <v>1</v>
      </c>
      <c r="R30">
        <v>3</v>
      </c>
      <c r="S30">
        <v>2</v>
      </c>
      <c r="U30">
        <v>1</v>
      </c>
      <c r="V30">
        <v>6</v>
      </c>
      <c r="W30">
        <v>10</v>
      </c>
      <c r="X30">
        <v>1</v>
      </c>
      <c r="Y30">
        <v>1</v>
      </c>
      <c r="Z30">
        <v>1</v>
      </c>
      <c r="AA30">
        <v>1</v>
      </c>
      <c r="AB30">
        <v>1</v>
      </c>
      <c r="AC30">
        <v>4</v>
      </c>
      <c r="AD30">
        <v>2</v>
      </c>
      <c r="AE30">
        <v>4</v>
      </c>
      <c r="AF30">
        <v>2</v>
      </c>
    </row>
    <row r="31" spans="1:32" x14ac:dyDescent="0.2">
      <c r="A31" s="235" t="s">
        <v>47</v>
      </c>
      <c r="B31">
        <v>34</v>
      </c>
      <c r="C31">
        <v>18</v>
      </c>
      <c r="D31">
        <v>2</v>
      </c>
      <c r="E31">
        <v>1</v>
      </c>
      <c r="I31">
        <v>2</v>
      </c>
      <c r="J31">
        <v>2</v>
      </c>
      <c r="K31">
        <v>3</v>
      </c>
      <c r="S31">
        <v>1</v>
      </c>
      <c r="U31">
        <v>2</v>
      </c>
      <c r="W31">
        <v>2</v>
      </c>
      <c r="AC31">
        <v>1</v>
      </c>
    </row>
    <row r="32" spans="1:32" x14ac:dyDescent="0.2">
      <c r="A32" s="235" t="s">
        <v>48</v>
      </c>
      <c r="B32">
        <v>119</v>
      </c>
      <c r="C32">
        <v>44</v>
      </c>
      <c r="D32">
        <v>39</v>
      </c>
      <c r="E32">
        <v>3</v>
      </c>
      <c r="H32">
        <v>4</v>
      </c>
      <c r="L32">
        <v>1</v>
      </c>
      <c r="O32">
        <v>3</v>
      </c>
      <c r="U32">
        <v>8</v>
      </c>
      <c r="V32">
        <v>1</v>
      </c>
      <c r="W32">
        <v>2</v>
      </c>
      <c r="Y32">
        <v>1</v>
      </c>
      <c r="AB32">
        <v>1</v>
      </c>
      <c r="AC32">
        <v>4</v>
      </c>
      <c r="AD32">
        <v>4</v>
      </c>
      <c r="AE32">
        <v>1</v>
      </c>
      <c r="AF32">
        <v>3</v>
      </c>
    </row>
    <row r="33" spans="1:32" x14ac:dyDescent="0.2">
      <c r="A33" s="235" t="s">
        <v>49</v>
      </c>
      <c r="B33">
        <v>326</v>
      </c>
      <c r="C33">
        <v>106</v>
      </c>
      <c r="D33">
        <v>123</v>
      </c>
      <c r="E33">
        <v>4</v>
      </c>
      <c r="H33">
        <v>16</v>
      </c>
      <c r="I33">
        <v>2</v>
      </c>
      <c r="J33">
        <v>4</v>
      </c>
      <c r="K33">
        <v>3</v>
      </c>
      <c r="L33">
        <v>1</v>
      </c>
      <c r="O33">
        <v>4</v>
      </c>
      <c r="Q33">
        <v>1</v>
      </c>
      <c r="R33">
        <v>2</v>
      </c>
      <c r="U33">
        <v>25</v>
      </c>
      <c r="V33">
        <v>1</v>
      </c>
      <c r="W33">
        <v>8</v>
      </c>
      <c r="X33">
        <v>3</v>
      </c>
      <c r="Y33">
        <v>2</v>
      </c>
      <c r="Z33">
        <v>1</v>
      </c>
      <c r="AB33">
        <v>3</v>
      </c>
      <c r="AC33">
        <v>8</v>
      </c>
      <c r="AE33">
        <v>3</v>
      </c>
      <c r="AF33">
        <v>6</v>
      </c>
    </row>
    <row r="34" spans="1:32" x14ac:dyDescent="0.2">
      <c r="A34" s="235" t="s">
        <v>50</v>
      </c>
      <c r="B34">
        <v>97</v>
      </c>
      <c r="C34">
        <v>28</v>
      </c>
      <c r="D34">
        <v>25</v>
      </c>
      <c r="E34">
        <v>3</v>
      </c>
      <c r="H34">
        <v>1</v>
      </c>
      <c r="J34">
        <v>2</v>
      </c>
      <c r="L34">
        <v>1</v>
      </c>
      <c r="O34">
        <v>3</v>
      </c>
      <c r="P34">
        <v>3</v>
      </c>
      <c r="Q34">
        <v>1</v>
      </c>
      <c r="R34">
        <v>1</v>
      </c>
      <c r="S34">
        <v>1</v>
      </c>
      <c r="U34">
        <v>4</v>
      </c>
      <c r="V34">
        <v>3</v>
      </c>
      <c r="W34">
        <v>3</v>
      </c>
      <c r="X34">
        <v>1</v>
      </c>
      <c r="Y34">
        <v>2</v>
      </c>
      <c r="AA34">
        <v>3</v>
      </c>
      <c r="AB34">
        <v>7</v>
      </c>
      <c r="AC34">
        <v>3</v>
      </c>
      <c r="AD34">
        <v>1</v>
      </c>
      <c r="AF34">
        <v>1</v>
      </c>
    </row>
    <row r="35" spans="1:32" x14ac:dyDescent="0.2">
      <c r="A35" s="235" t="s">
        <v>51</v>
      </c>
      <c r="B35">
        <v>143</v>
      </c>
      <c r="C35">
        <v>33</v>
      </c>
      <c r="D35">
        <v>67</v>
      </c>
      <c r="E35">
        <v>14</v>
      </c>
      <c r="H35">
        <v>3</v>
      </c>
      <c r="O35">
        <v>4</v>
      </c>
      <c r="R35">
        <v>2</v>
      </c>
      <c r="U35">
        <v>5</v>
      </c>
      <c r="W35">
        <v>2</v>
      </c>
      <c r="Y35">
        <v>1</v>
      </c>
      <c r="Z35">
        <v>1</v>
      </c>
      <c r="AA35">
        <v>1</v>
      </c>
      <c r="AC35">
        <v>2</v>
      </c>
      <c r="AD35">
        <v>4</v>
      </c>
      <c r="AE35">
        <v>1</v>
      </c>
      <c r="AF35">
        <v>3</v>
      </c>
    </row>
    <row r="36" spans="1:32" x14ac:dyDescent="0.2">
      <c r="A36" s="235" t="s">
        <v>52</v>
      </c>
      <c r="B36">
        <v>174</v>
      </c>
      <c r="C36">
        <v>68</v>
      </c>
      <c r="D36">
        <v>31</v>
      </c>
      <c r="E36">
        <v>4</v>
      </c>
      <c r="F36">
        <v>1</v>
      </c>
      <c r="H36">
        <v>9</v>
      </c>
      <c r="I36">
        <v>1</v>
      </c>
      <c r="J36">
        <v>1</v>
      </c>
      <c r="K36">
        <v>1</v>
      </c>
      <c r="O36">
        <v>2</v>
      </c>
      <c r="R36">
        <v>3</v>
      </c>
      <c r="U36">
        <v>12</v>
      </c>
      <c r="W36">
        <v>5</v>
      </c>
      <c r="X36">
        <v>3</v>
      </c>
      <c r="Y36">
        <v>2</v>
      </c>
      <c r="Z36">
        <v>8</v>
      </c>
      <c r="AA36">
        <v>3</v>
      </c>
      <c r="AB36">
        <v>5</v>
      </c>
      <c r="AC36">
        <v>6</v>
      </c>
      <c r="AD36">
        <v>2</v>
      </c>
      <c r="AE36">
        <v>4</v>
      </c>
      <c r="AF36">
        <v>3</v>
      </c>
    </row>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pageSetUpPr fitToPage="1"/>
  </sheetPr>
  <dimension ref="A1:M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4.85546875" bestFit="1" customWidth="1"/>
    <col min="3" max="3" width="3.5703125" bestFit="1" customWidth="1"/>
    <col min="4" max="7" width="5.42578125" bestFit="1" customWidth="1"/>
    <col min="8" max="8" width="6.85546875" bestFit="1" customWidth="1"/>
    <col min="9" max="11" width="5.42578125" bestFit="1" customWidth="1"/>
    <col min="12" max="12" width="3.85546875" bestFit="1" customWidth="1"/>
    <col min="13" max="13" width="8" bestFit="1" customWidth="1"/>
  </cols>
  <sheetData>
    <row r="1" spans="1:13" x14ac:dyDescent="0.2"/>
    <row r="4" spans="1:13" x14ac:dyDescent="0.2">
      <c r="A4" s="1223" t="s">
        <v>4</v>
      </c>
      <c r="B4" s="1223" t="s">
        <v>11</v>
      </c>
      <c r="C4" s="1223" t="s">
        <v>830</v>
      </c>
      <c r="D4" s="1223" t="s">
        <v>176</v>
      </c>
      <c r="E4" s="1223" t="s">
        <v>832</v>
      </c>
      <c r="F4" s="1223" t="s">
        <v>833</v>
      </c>
      <c r="G4" s="1223" t="s">
        <v>834</v>
      </c>
      <c r="H4" s="1225">
        <v>44332</v>
      </c>
      <c r="I4" s="1223" t="s">
        <v>835</v>
      </c>
      <c r="J4" s="1223" t="s">
        <v>836</v>
      </c>
      <c r="K4" s="1223" t="s">
        <v>837</v>
      </c>
      <c r="L4" s="1223" t="s">
        <v>838</v>
      </c>
      <c r="M4" s="1223" t="s">
        <v>168</v>
      </c>
    </row>
    <row r="5" spans="1:13" x14ac:dyDescent="0.2">
      <c r="A5" s="1186" t="s">
        <v>19</v>
      </c>
      <c r="B5" s="1186">
        <v>975</v>
      </c>
      <c r="C5" s="1186">
        <v>38</v>
      </c>
      <c r="D5" s="1186">
        <v>207</v>
      </c>
      <c r="E5" s="1186">
        <v>165</v>
      </c>
      <c r="F5" s="1186">
        <v>148</v>
      </c>
      <c r="G5" s="1186">
        <v>127</v>
      </c>
      <c r="H5" s="1186">
        <v>43</v>
      </c>
      <c r="I5" s="1186">
        <v>95</v>
      </c>
      <c r="J5" s="1186">
        <v>74</v>
      </c>
      <c r="K5" s="1186">
        <v>50</v>
      </c>
      <c r="L5" s="1186">
        <v>12</v>
      </c>
      <c r="M5" s="1186">
        <v>16</v>
      </c>
    </row>
    <row r="6" spans="1:13" x14ac:dyDescent="0.2">
      <c r="A6" s="1186" t="s">
        <v>20</v>
      </c>
      <c r="B6" s="1186">
        <v>954</v>
      </c>
      <c r="C6" s="1186">
        <v>38</v>
      </c>
      <c r="D6" s="1186">
        <v>202</v>
      </c>
      <c r="E6" s="1186">
        <v>159</v>
      </c>
      <c r="F6" s="1186">
        <v>157</v>
      </c>
      <c r="G6" s="1186">
        <v>122</v>
      </c>
      <c r="H6" s="1186">
        <v>49</v>
      </c>
      <c r="I6" s="1186">
        <v>77</v>
      </c>
      <c r="J6" s="1186">
        <v>77</v>
      </c>
      <c r="K6" s="1186">
        <v>56</v>
      </c>
      <c r="L6" s="1186">
        <v>17</v>
      </c>
      <c r="M6" s="1186"/>
    </row>
    <row r="7" spans="1:13" x14ac:dyDescent="0.2">
      <c r="A7" s="1186" t="s">
        <v>13</v>
      </c>
      <c r="B7" s="1186">
        <v>872</v>
      </c>
      <c r="C7" s="1186">
        <v>33</v>
      </c>
      <c r="D7" s="1186">
        <v>176</v>
      </c>
      <c r="E7" s="1186">
        <v>130</v>
      </c>
      <c r="F7" s="1186">
        <v>148</v>
      </c>
      <c r="G7" s="1186">
        <v>111</v>
      </c>
      <c r="H7" s="1186">
        <v>39</v>
      </c>
      <c r="I7" s="1186">
        <v>87</v>
      </c>
      <c r="J7" s="1186">
        <v>58</v>
      </c>
      <c r="K7" s="1186">
        <v>76</v>
      </c>
      <c r="L7" s="1186">
        <v>14</v>
      </c>
      <c r="M7" s="1186"/>
    </row>
    <row r="8" spans="1:13" x14ac:dyDescent="0.2">
      <c r="A8" s="1186" t="s">
        <v>15</v>
      </c>
      <c r="B8" s="1186">
        <v>827</v>
      </c>
      <c r="C8" s="1186">
        <v>38</v>
      </c>
      <c r="D8" s="1186">
        <v>154</v>
      </c>
      <c r="E8" s="1186">
        <v>107</v>
      </c>
      <c r="F8" s="1186">
        <v>106</v>
      </c>
      <c r="G8" s="1186">
        <v>100</v>
      </c>
      <c r="H8" s="1186">
        <v>23</v>
      </c>
      <c r="I8" s="1186">
        <v>91</v>
      </c>
      <c r="J8" s="1186">
        <v>76</v>
      </c>
      <c r="K8" s="1186">
        <v>64</v>
      </c>
      <c r="L8" s="1186">
        <v>30</v>
      </c>
      <c r="M8" s="1186">
        <v>38</v>
      </c>
    </row>
    <row r="9" spans="1:13" x14ac:dyDescent="0.2">
      <c r="A9" s="1186" t="s">
        <v>17</v>
      </c>
      <c r="B9" s="1186">
        <v>726</v>
      </c>
      <c r="C9" s="1186">
        <v>22</v>
      </c>
      <c r="D9" s="1186">
        <v>129</v>
      </c>
      <c r="E9" s="1186">
        <v>123</v>
      </c>
      <c r="F9" s="1186">
        <v>114</v>
      </c>
      <c r="G9" s="1186">
        <v>92</v>
      </c>
      <c r="H9" s="1186">
        <v>23</v>
      </c>
      <c r="I9" s="1186">
        <v>73</v>
      </c>
      <c r="J9" s="1186">
        <v>47</v>
      </c>
      <c r="K9" s="1186">
        <v>49</v>
      </c>
      <c r="L9" s="1186">
        <v>17</v>
      </c>
      <c r="M9" s="1186">
        <v>37</v>
      </c>
    </row>
    <row r="10" spans="1:13" x14ac:dyDescent="0.2">
      <c r="A10" s="1186" t="s">
        <v>133</v>
      </c>
      <c r="B10" s="1186">
        <v>632</v>
      </c>
      <c r="C10" s="1186">
        <v>26</v>
      </c>
      <c r="D10" s="1186">
        <v>105</v>
      </c>
      <c r="E10" s="1186">
        <v>82</v>
      </c>
      <c r="F10" s="1186">
        <v>95</v>
      </c>
      <c r="G10" s="1186">
        <v>68</v>
      </c>
      <c r="H10" s="1186">
        <v>16</v>
      </c>
      <c r="I10" s="1186">
        <v>64</v>
      </c>
      <c r="J10" s="1186">
        <v>48</v>
      </c>
      <c r="K10" s="1186">
        <v>52</v>
      </c>
      <c r="L10" s="1186">
        <v>25</v>
      </c>
      <c r="M10" s="1186">
        <v>51</v>
      </c>
    </row>
    <row r="11" spans="1:13" x14ac:dyDescent="0.2">
      <c r="A11" s="1186" t="s">
        <v>144</v>
      </c>
      <c r="B11" s="1186">
        <v>703</v>
      </c>
      <c r="C11" s="1186">
        <v>23</v>
      </c>
      <c r="D11" s="1186">
        <v>100</v>
      </c>
      <c r="E11" s="1186">
        <v>105</v>
      </c>
      <c r="F11" s="1186">
        <v>99</v>
      </c>
      <c r="G11" s="1186">
        <v>97</v>
      </c>
      <c r="H11" s="1186">
        <v>20</v>
      </c>
      <c r="I11" s="1186">
        <v>68</v>
      </c>
      <c r="J11" s="1186">
        <v>61</v>
      </c>
      <c r="K11" s="1186">
        <v>48</v>
      </c>
      <c r="L11" s="1186">
        <v>20</v>
      </c>
      <c r="M11" s="1186">
        <v>62</v>
      </c>
    </row>
    <row r="12" spans="1:13" x14ac:dyDescent="0.2">
      <c r="A12" s="1186" t="s">
        <v>282</v>
      </c>
      <c r="B12" s="1186">
        <v>655</v>
      </c>
      <c r="C12" s="1186">
        <v>20</v>
      </c>
      <c r="D12" s="1186">
        <v>97</v>
      </c>
      <c r="E12" s="1186">
        <v>103</v>
      </c>
      <c r="F12" s="1186">
        <v>109</v>
      </c>
      <c r="G12" s="1186">
        <v>91</v>
      </c>
      <c r="H12" s="1186">
        <v>29</v>
      </c>
      <c r="I12" s="1186">
        <v>52</v>
      </c>
      <c r="J12" s="1186">
        <v>46</v>
      </c>
      <c r="K12" s="1186">
        <v>41</v>
      </c>
      <c r="L12" s="1186">
        <v>29</v>
      </c>
      <c r="M12" s="1186">
        <v>38</v>
      </c>
    </row>
    <row r="13" spans="1:13" x14ac:dyDescent="0.2">
      <c r="A13" s="1186" t="s">
        <v>311</v>
      </c>
      <c r="B13" s="1186">
        <v>695</v>
      </c>
      <c r="C13" s="1186">
        <v>25</v>
      </c>
      <c r="D13" s="1186">
        <v>105</v>
      </c>
      <c r="E13" s="1186">
        <v>117</v>
      </c>
      <c r="F13" s="1186">
        <v>106</v>
      </c>
      <c r="G13" s="1186">
        <v>92</v>
      </c>
      <c r="H13" s="1186">
        <v>48</v>
      </c>
      <c r="I13" s="1186">
        <v>65</v>
      </c>
      <c r="J13" s="1186">
        <v>47</v>
      </c>
      <c r="K13" s="1186">
        <v>48</v>
      </c>
      <c r="L13" s="1186">
        <v>13</v>
      </c>
      <c r="M13" s="1186">
        <v>29</v>
      </c>
    </row>
    <row r="14" spans="1:13" x14ac:dyDescent="0.2">
      <c r="A14" s="1186" t="s">
        <v>621</v>
      </c>
      <c r="B14" s="1186">
        <v>607</v>
      </c>
      <c r="C14" s="1186">
        <v>15</v>
      </c>
      <c r="D14" s="1186">
        <v>95</v>
      </c>
      <c r="E14" s="1186">
        <v>105</v>
      </c>
      <c r="F14" s="1186">
        <v>95</v>
      </c>
      <c r="G14" s="1186">
        <v>75</v>
      </c>
      <c r="H14" s="1186">
        <v>29</v>
      </c>
      <c r="I14" s="1186">
        <v>67</v>
      </c>
      <c r="J14" s="1186">
        <v>31</v>
      </c>
      <c r="K14" s="1186">
        <v>50</v>
      </c>
      <c r="L14" s="1186">
        <v>13</v>
      </c>
      <c r="M14" s="1186">
        <v>32</v>
      </c>
    </row>
    <row r="15" spans="1:13" x14ac:dyDescent="0.2">
      <c r="A15" s="1186" t="s">
        <v>1419</v>
      </c>
      <c r="B15" s="1186">
        <v>555</v>
      </c>
      <c r="C15" s="1186">
        <v>20</v>
      </c>
      <c r="D15" s="1186">
        <v>63</v>
      </c>
      <c r="E15" s="1186">
        <v>102</v>
      </c>
      <c r="F15" s="1186">
        <v>84</v>
      </c>
      <c r="G15" s="1186">
        <v>86</v>
      </c>
      <c r="H15" s="1186">
        <v>22</v>
      </c>
      <c r="I15" s="1186">
        <v>50</v>
      </c>
      <c r="J15" s="1186">
        <v>36</v>
      </c>
      <c r="K15" s="1186">
        <v>35</v>
      </c>
      <c r="L15" s="1186">
        <v>15</v>
      </c>
      <c r="M15" s="1186">
        <v>42</v>
      </c>
    </row>
    <row r="16" spans="1:13" x14ac:dyDescent="0.2">
      <c r="A16" s="1186" t="s">
        <v>1572</v>
      </c>
      <c r="B16" s="1186">
        <v>524</v>
      </c>
      <c r="C16" s="1186">
        <v>14</v>
      </c>
      <c r="D16" s="1186">
        <v>75</v>
      </c>
      <c r="E16" s="1186">
        <v>76</v>
      </c>
      <c r="F16" s="1186">
        <v>97</v>
      </c>
      <c r="G16" s="1186">
        <v>68</v>
      </c>
      <c r="H16" s="1186">
        <v>31</v>
      </c>
      <c r="I16" s="1186">
        <v>42</v>
      </c>
      <c r="J16" s="1186">
        <v>38</v>
      </c>
      <c r="K16" s="1186">
        <v>28</v>
      </c>
      <c r="L16" s="1186">
        <v>18</v>
      </c>
      <c r="M16" s="1186">
        <v>37</v>
      </c>
    </row>
  </sheetData>
  <pageMargins left="0.7" right="0.7" top="0.75" bottom="0.75" header="0.3" footer="0.3"/>
  <pageSetup paperSize="9" fitToHeight="50" orientation="landscape" r:id="rId1"/>
  <legacyDrawing r:id="rId2"/>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pageSetUpPr fitToPage="1"/>
  </sheetPr>
  <dimension ref="A1:H40"/>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8.85546875" bestFit="1" customWidth="1"/>
    <col min="3" max="3" width="4.85546875" bestFit="1" customWidth="1"/>
    <col min="4" max="4" width="33.7109375" bestFit="1" customWidth="1"/>
    <col min="5" max="5" width="38.28515625" bestFit="1" customWidth="1"/>
    <col min="6" max="6" width="23.85546875" bestFit="1" customWidth="1"/>
    <col min="7" max="7" width="18.42578125" bestFit="1" customWidth="1"/>
    <col min="8" max="8" width="33.85546875" bestFit="1" customWidth="1"/>
  </cols>
  <sheetData>
    <row r="1" spans="1:8" x14ac:dyDescent="0.2"/>
    <row r="4" spans="1:8" x14ac:dyDescent="0.2">
      <c r="A4" s="1223" t="s">
        <v>4</v>
      </c>
      <c r="B4" s="1223" t="s">
        <v>1486</v>
      </c>
      <c r="C4" s="1223" t="s">
        <v>11</v>
      </c>
      <c r="D4" s="1223" t="s">
        <v>1812</v>
      </c>
      <c r="E4" s="1223" t="s">
        <v>1813</v>
      </c>
      <c r="F4" s="1223" t="s">
        <v>1814</v>
      </c>
      <c r="G4" s="1223" t="s">
        <v>1815</v>
      </c>
      <c r="H4" s="1223" t="s">
        <v>1816</v>
      </c>
    </row>
    <row r="5" spans="1:8" x14ac:dyDescent="0.2">
      <c r="A5" s="1186" t="s">
        <v>19</v>
      </c>
      <c r="B5" s="1186" t="s">
        <v>672</v>
      </c>
      <c r="C5" s="1186">
        <v>53</v>
      </c>
      <c r="D5" s="1186">
        <v>10</v>
      </c>
      <c r="E5" s="1186">
        <v>9</v>
      </c>
      <c r="F5" s="1186">
        <v>10</v>
      </c>
      <c r="G5" s="1186">
        <v>18</v>
      </c>
      <c r="H5" s="1186">
        <v>6</v>
      </c>
    </row>
    <row r="6" spans="1:8" x14ac:dyDescent="0.2">
      <c r="A6" s="1186" t="s">
        <v>20</v>
      </c>
      <c r="B6" s="1186" t="s">
        <v>672</v>
      </c>
      <c r="C6" s="1186">
        <v>45</v>
      </c>
      <c r="D6" s="1186">
        <v>15</v>
      </c>
      <c r="E6" s="1186">
        <v>4</v>
      </c>
      <c r="F6" s="1186">
        <v>8</v>
      </c>
      <c r="G6" s="1186">
        <v>8</v>
      </c>
      <c r="H6" s="1186">
        <v>10</v>
      </c>
    </row>
    <row r="7" spans="1:8" x14ac:dyDescent="0.2">
      <c r="A7" s="1186" t="s">
        <v>13</v>
      </c>
      <c r="B7" s="1186" t="s">
        <v>672</v>
      </c>
      <c r="C7" s="1186">
        <v>51</v>
      </c>
      <c r="D7" s="1186">
        <v>13</v>
      </c>
      <c r="E7" s="1186">
        <v>11</v>
      </c>
      <c r="F7" s="1186">
        <v>12</v>
      </c>
      <c r="G7" s="1186">
        <v>10</v>
      </c>
      <c r="H7" s="1186">
        <v>5</v>
      </c>
    </row>
    <row r="8" spans="1:8" x14ac:dyDescent="0.2">
      <c r="A8" s="1186" t="s">
        <v>15</v>
      </c>
      <c r="B8" s="1186" t="s">
        <v>672</v>
      </c>
      <c r="C8" s="1186">
        <v>40</v>
      </c>
      <c r="D8" s="1186">
        <v>11</v>
      </c>
      <c r="E8" s="1186">
        <v>7</v>
      </c>
      <c r="F8" s="1186">
        <v>7</v>
      </c>
      <c r="G8" s="1186">
        <v>13</v>
      </c>
      <c r="H8" s="1186">
        <v>2</v>
      </c>
    </row>
    <row r="9" spans="1:8" x14ac:dyDescent="0.2">
      <c r="A9" s="1186" t="s">
        <v>17</v>
      </c>
      <c r="B9" s="1186" t="s">
        <v>672</v>
      </c>
      <c r="C9" s="1186">
        <v>29</v>
      </c>
      <c r="D9" s="1186">
        <v>9</v>
      </c>
      <c r="E9" s="1186">
        <v>7</v>
      </c>
      <c r="F9" s="1186">
        <v>9</v>
      </c>
      <c r="G9" s="1186">
        <v>4</v>
      </c>
      <c r="H9" s="1186"/>
    </row>
    <row r="10" spans="1:8" x14ac:dyDescent="0.2">
      <c r="A10" s="1186" t="s">
        <v>133</v>
      </c>
      <c r="B10" s="1186" t="s">
        <v>672</v>
      </c>
      <c r="C10" s="1186">
        <v>31</v>
      </c>
      <c r="D10" s="1186">
        <v>12</v>
      </c>
      <c r="E10" s="1186">
        <v>6</v>
      </c>
      <c r="F10" s="1186">
        <v>6</v>
      </c>
      <c r="G10" s="1186">
        <v>3</v>
      </c>
      <c r="H10" s="1186">
        <v>4</v>
      </c>
    </row>
    <row r="11" spans="1:8" x14ac:dyDescent="0.2">
      <c r="A11" s="1186" t="s">
        <v>144</v>
      </c>
      <c r="B11" s="1186" t="s">
        <v>672</v>
      </c>
      <c r="C11" s="1186">
        <v>39</v>
      </c>
      <c r="D11" s="1186">
        <v>6</v>
      </c>
      <c r="E11" s="1186">
        <v>10</v>
      </c>
      <c r="F11" s="1186">
        <v>5</v>
      </c>
      <c r="G11" s="1186">
        <v>14</v>
      </c>
      <c r="H11" s="1186">
        <v>4</v>
      </c>
    </row>
    <row r="12" spans="1:8" x14ac:dyDescent="0.2">
      <c r="A12" s="1186" t="s">
        <v>282</v>
      </c>
      <c r="B12" s="1186" t="s">
        <v>672</v>
      </c>
      <c r="C12" s="1186">
        <v>36</v>
      </c>
      <c r="D12" s="1186">
        <v>8</v>
      </c>
      <c r="E12" s="1186">
        <v>7</v>
      </c>
      <c r="F12" s="1186">
        <v>8</v>
      </c>
      <c r="G12" s="1186">
        <v>6</v>
      </c>
      <c r="H12" s="1186">
        <v>7</v>
      </c>
    </row>
    <row r="13" spans="1:8" x14ac:dyDescent="0.2">
      <c r="A13" s="1186" t="s">
        <v>311</v>
      </c>
      <c r="B13" s="1186" t="s">
        <v>672</v>
      </c>
      <c r="C13" s="1186">
        <v>37</v>
      </c>
      <c r="D13" s="1186">
        <v>12</v>
      </c>
      <c r="E13" s="1186">
        <v>8</v>
      </c>
      <c r="F13" s="1186">
        <v>8</v>
      </c>
      <c r="G13" s="1186">
        <v>6</v>
      </c>
      <c r="H13" s="1186">
        <v>3</v>
      </c>
    </row>
    <row r="14" spans="1:8" x14ac:dyDescent="0.2">
      <c r="A14" s="1186" t="s">
        <v>621</v>
      </c>
      <c r="B14" s="1186" t="s">
        <v>672</v>
      </c>
      <c r="C14" s="1186">
        <v>40</v>
      </c>
      <c r="D14" s="1186">
        <v>12</v>
      </c>
      <c r="E14" s="1186">
        <v>7</v>
      </c>
      <c r="F14" s="1186">
        <v>4</v>
      </c>
      <c r="G14" s="1186">
        <v>10</v>
      </c>
      <c r="H14" s="1186">
        <v>7</v>
      </c>
    </row>
    <row r="15" spans="1:8" x14ac:dyDescent="0.2">
      <c r="A15" s="1186" t="s">
        <v>1419</v>
      </c>
      <c r="B15" s="1186" t="s">
        <v>672</v>
      </c>
      <c r="C15" s="1186">
        <v>21</v>
      </c>
      <c r="D15" s="1186">
        <v>8</v>
      </c>
      <c r="E15" s="1186">
        <v>3</v>
      </c>
      <c r="F15" s="1186">
        <v>3</v>
      </c>
      <c r="G15" s="1186">
        <v>5</v>
      </c>
      <c r="H15" s="1186">
        <v>2</v>
      </c>
    </row>
    <row r="16" spans="1:8" x14ac:dyDescent="0.2">
      <c r="A16" s="1186" t="s">
        <v>1572</v>
      </c>
      <c r="B16" s="1186" t="s">
        <v>672</v>
      </c>
      <c r="C16" s="1186">
        <v>44</v>
      </c>
      <c r="D16" s="1186">
        <v>23</v>
      </c>
      <c r="E16" s="1186">
        <v>5</v>
      </c>
      <c r="F16" s="1186">
        <v>3</v>
      </c>
      <c r="G16" s="1186">
        <v>4</v>
      </c>
      <c r="H16" s="1186">
        <v>9</v>
      </c>
    </row>
    <row r="17" spans="1:8" x14ac:dyDescent="0.2">
      <c r="A17" s="1186" t="s">
        <v>19</v>
      </c>
      <c r="B17" s="1186" t="s">
        <v>673</v>
      </c>
      <c r="C17" s="1186">
        <v>1032</v>
      </c>
      <c r="D17" s="1186">
        <v>417</v>
      </c>
      <c r="E17" s="1186">
        <v>123</v>
      </c>
      <c r="F17" s="1186">
        <v>155</v>
      </c>
      <c r="G17" s="1186">
        <v>304</v>
      </c>
      <c r="H17" s="1186">
        <v>33</v>
      </c>
    </row>
    <row r="18" spans="1:8" x14ac:dyDescent="0.2">
      <c r="A18" s="1186" t="s">
        <v>20</v>
      </c>
      <c r="B18" s="1186" t="s">
        <v>673</v>
      </c>
      <c r="C18" s="1186">
        <v>1142</v>
      </c>
      <c r="D18" s="1186">
        <v>493</v>
      </c>
      <c r="E18" s="1186">
        <v>106</v>
      </c>
      <c r="F18" s="1186">
        <v>155</v>
      </c>
      <c r="G18" s="1186">
        <v>363</v>
      </c>
      <c r="H18" s="1186">
        <v>25</v>
      </c>
    </row>
    <row r="19" spans="1:8" x14ac:dyDescent="0.2">
      <c r="A19" s="1186" t="s">
        <v>13</v>
      </c>
      <c r="B19" s="1186" t="s">
        <v>673</v>
      </c>
      <c r="C19" s="1186">
        <v>1219</v>
      </c>
      <c r="D19" s="1186">
        <v>519</v>
      </c>
      <c r="E19" s="1186">
        <v>143</v>
      </c>
      <c r="F19" s="1186">
        <v>144</v>
      </c>
      <c r="G19" s="1186">
        <v>380</v>
      </c>
      <c r="H19" s="1186">
        <v>33</v>
      </c>
    </row>
    <row r="20" spans="1:8" x14ac:dyDescent="0.2">
      <c r="A20" s="1186" t="s">
        <v>15</v>
      </c>
      <c r="B20" s="1186" t="s">
        <v>673</v>
      </c>
      <c r="C20" s="1186">
        <v>1166</v>
      </c>
      <c r="D20" s="1186">
        <v>540</v>
      </c>
      <c r="E20" s="1186">
        <v>138</v>
      </c>
      <c r="F20" s="1186">
        <v>145</v>
      </c>
      <c r="G20" s="1186">
        <v>305</v>
      </c>
      <c r="H20" s="1186">
        <v>38</v>
      </c>
    </row>
    <row r="21" spans="1:8" x14ac:dyDescent="0.2">
      <c r="A21" s="1186" t="s">
        <v>17</v>
      </c>
      <c r="B21" s="1186" t="s">
        <v>673</v>
      </c>
      <c r="C21" s="1186">
        <v>1140</v>
      </c>
      <c r="D21" s="1186">
        <v>532</v>
      </c>
      <c r="E21" s="1186">
        <v>129</v>
      </c>
      <c r="F21" s="1186">
        <v>125</v>
      </c>
      <c r="G21" s="1186">
        <v>329</v>
      </c>
      <c r="H21" s="1186">
        <v>25</v>
      </c>
    </row>
    <row r="22" spans="1:8" x14ac:dyDescent="0.2">
      <c r="A22" s="1186" t="s">
        <v>133</v>
      </c>
      <c r="B22" s="1186" t="s">
        <v>673</v>
      </c>
      <c r="C22" s="1186">
        <v>947</v>
      </c>
      <c r="D22" s="1186">
        <v>489</v>
      </c>
      <c r="E22" s="1186">
        <v>110</v>
      </c>
      <c r="F22" s="1186">
        <v>110</v>
      </c>
      <c r="G22" s="1186">
        <v>222</v>
      </c>
      <c r="H22" s="1186">
        <v>16</v>
      </c>
    </row>
    <row r="23" spans="1:8" x14ac:dyDescent="0.2">
      <c r="A23" s="1186" t="s">
        <v>144</v>
      </c>
      <c r="B23" s="1186" t="s">
        <v>673</v>
      </c>
      <c r="C23" s="1186">
        <v>1063</v>
      </c>
      <c r="D23" s="1186">
        <v>491</v>
      </c>
      <c r="E23" s="1186">
        <v>131</v>
      </c>
      <c r="F23" s="1186">
        <v>124</v>
      </c>
      <c r="G23" s="1186">
        <v>274</v>
      </c>
      <c r="H23" s="1186">
        <v>43</v>
      </c>
    </row>
    <row r="24" spans="1:8" x14ac:dyDescent="0.2">
      <c r="A24" s="1186" t="s">
        <v>282</v>
      </c>
      <c r="B24" s="1186" t="s">
        <v>673</v>
      </c>
      <c r="C24" s="1186">
        <v>1115</v>
      </c>
      <c r="D24" s="1186">
        <v>581</v>
      </c>
      <c r="E24" s="1186">
        <v>149</v>
      </c>
      <c r="F24" s="1186">
        <v>114</v>
      </c>
      <c r="G24" s="1186">
        <v>262</v>
      </c>
      <c r="H24" s="1186">
        <v>9</v>
      </c>
    </row>
    <row r="25" spans="1:8" x14ac:dyDescent="0.2">
      <c r="A25" s="1186" t="s">
        <v>311</v>
      </c>
      <c r="B25" s="1186" t="s">
        <v>673</v>
      </c>
      <c r="C25" s="1186">
        <v>921</v>
      </c>
      <c r="D25" s="1186">
        <v>502</v>
      </c>
      <c r="E25" s="1186">
        <v>111</v>
      </c>
      <c r="F25" s="1186">
        <v>76</v>
      </c>
      <c r="G25" s="1186">
        <v>211</v>
      </c>
      <c r="H25" s="1186">
        <v>21</v>
      </c>
    </row>
    <row r="26" spans="1:8" x14ac:dyDescent="0.2">
      <c r="A26" s="1186" t="s">
        <v>621</v>
      </c>
      <c r="B26" s="1186" t="s">
        <v>673</v>
      </c>
      <c r="C26" s="1186">
        <v>1016</v>
      </c>
      <c r="D26" s="1186">
        <v>588</v>
      </c>
      <c r="E26" s="1186">
        <v>88</v>
      </c>
      <c r="F26" s="1186">
        <v>92</v>
      </c>
      <c r="G26" s="1186">
        <v>217</v>
      </c>
      <c r="H26" s="1186">
        <v>31</v>
      </c>
    </row>
    <row r="27" spans="1:8" x14ac:dyDescent="0.2">
      <c r="A27" s="1186" t="s">
        <v>1419</v>
      </c>
      <c r="B27" s="1186" t="s">
        <v>673</v>
      </c>
      <c r="C27" s="1186">
        <v>877</v>
      </c>
      <c r="D27" s="1186">
        <v>443</v>
      </c>
      <c r="E27" s="1186">
        <v>119</v>
      </c>
      <c r="F27" s="1186">
        <v>55</v>
      </c>
      <c r="G27" s="1186">
        <v>232</v>
      </c>
      <c r="H27" s="1186">
        <v>28</v>
      </c>
    </row>
    <row r="28" spans="1:8" x14ac:dyDescent="0.2">
      <c r="A28" s="1186" t="s">
        <v>1572</v>
      </c>
      <c r="B28" s="1186" t="s">
        <v>673</v>
      </c>
      <c r="C28" s="1186">
        <v>876</v>
      </c>
      <c r="D28" s="1186">
        <v>484</v>
      </c>
      <c r="E28" s="1186">
        <v>111</v>
      </c>
      <c r="F28" s="1186">
        <v>59</v>
      </c>
      <c r="G28" s="1186">
        <v>181</v>
      </c>
      <c r="H28" s="1186">
        <v>41</v>
      </c>
    </row>
    <row r="29" spans="1:8" x14ac:dyDescent="0.2">
      <c r="A29" s="1186" t="s">
        <v>19</v>
      </c>
      <c r="B29" s="1186" t="s">
        <v>674</v>
      </c>
      <c r="C29" s="1186">
        <v>6560</v>
      </c>
      <c r="D29" s="1186">
        <v>2519</v>
      </c>
      <c r="E29" s="1186">
        <v>482</v>
      </c>
      <c r="F29" s="1186">
        <v>847</v>
      </c>
      <c r="G29" s="1186">
        <v>2472</v>
      </c>
      <c r="H29" s="1186">
        <v>240</v>
      </c>
    </row>
    <row r="30" spans="1:8" x14ac:dyDescent="0.2">
      <c r="A30" s="1186" t="s">
        <v>20</v>
      </c>
      <c r="B30" s="1186" t="s">
        <v>674</v>
      </c>
      <c r="C30" s="1186">
        <v>6293</v>
      </c>
      <c r="D30" s="1186">
        <v>2576</v>
      </c>
      <c r="E30" s="1186">
        <v>495</v>
      </c>
      <c r="F30" s="1186">
        <v>823</v>
      </c>
      <c r="G30" s="1186">
        <v>2257</v>
      </c>
      <c r="H30" s="1186">
        <v>142</v>
      </c>
    </row>
    <row r="31" spans="1:8" x14ac:dyDescent="0.2">
      <c r="A31" s="1186" t="s">
        <v>13</v>
      </c>
      <c r="B31" s="1186" t="s">
        <v>674</v>
      </c>
      <c r="C31" s="1186">
        <v>6157</v>
      </c>
      <c r="D31" s="1186">
        <v>2661</v>
      </c>
      <c r="E31" s="1186">
        <v>492</v>
      </c>
      <c r="F31" s="1186">
        <v>800</v>
      </c>
      <c r="G31" s="1186">
        <v>2079</v>
      </c>
      <c r="H31" s="1186">
        <v>125</v>
      </c>
    </row>
    <row r="32" spans="1:8" x14ac:dyDescent="0.2">
      <c r="A32" s="1186" t="s">
        <v>15</v>
      </c>
      <c r="B32" s="1186" t="s">
        <v>674</v>
      </c>
      <c r="C32" s="1186">
        <v>5829</v>
      </c>
      <c r="D32" s="1186">
        <v>2641</v>
      </c>
      <c r="E32" s="1186">
        <v>483</v>
      </c>
      <c r="F32" s="1186">
        <v>806</v>
      </c>
      <c r="G32" s="1186">
        <v>1802</v>
      </c>
      <c r="H32" s="1186">
        <v>97</v>
      </c>
    </row>
    <row r="33" spans="1:8" x14ac:dyDescent="0.2">
      <c r="A33" s="1186" t="s">
        <v>17</v>
      </c>
      <c r="B33" s="1186" t="s">
        <v>674</v>
      </c>
      <c r="C33" s="1186">
        <v>5323</v>
      </c>
      <c r="D33" s="1186">
        <v>2481</v>
      </c>
      <c r="E33" s="1186">
        <v>467</v>
      </c>
      <c r="F33" s="1186">
        <v>773</v>
      </c>
      <c r="G33" s="1186">
        <v>1521</v>
      </c>
      <c r="H33" s="1186">
        <v>81</v>
      </c>
    </row>
    <row r="34" spans="1:8" x14ac:dyDescent="0.2">
      <c r="A34" s="1186" t="s">
        <v>133</v>
      </c>
      <c r="B34" s="1186" t="s">
        <v>674</v>
      </c>
      <c r="C34" s="1186">
        <v>5574</v>
      </c>
      <c r="D34" s="1186">
        <v>2791</v>
      </c>
      <c r="E34" s="1186">
        <v>485</v>
      </c>
      <c r="F34" s="1186">
        <v>799</v>
      </c>
      <c r="G34" s="1186">
        <v>1414</v>
      </c>
      <c r="H34" s="1186">
        <v>85</v>
      </c>
    </row>
    <row r="35" spans="1:8" x14ac:dyDescent="0.2">
      <c r="A35" s="1186" t="s">
        <v>144</v>
      </c>
      <c r="B35" s="1186" t="s">
        <v>674</v>
      </c>
      <c r="C35" s="1186">
        <v>5673</v>
      </c>
      <c r="D35" s="1186">
        <v>2859</v>
      </c>
      <c r="E35" s="1186">
        <v>531</v>
      </c>
      <c r="F35" s="1186">
        <v>779</v>
      </c>
      <c r="G35" s="1186">
        <v>1422</v>
      </c>
      <c r="H35" s="1186">
        <v>82</v>
      </c>
    </row>
    <row r="36" spans="1:8" x14ac:dyDescent="0.2">
      <c r="A36" s="1186" t="s">
        <v>282</v>
      </c>
      <c r="B36" s="1186" t="s">
        <v>674</v>
      </c>
      <c r="C36" s="1186">
        <v>5540</v>
      </c>
      <c r="D36" s="1186">
        <v>2953</v>
      </c>
      <c r="E36" s="1186">
        <v>446</v>
      </c>
      <c r="F36" s="1186">
        <v>672</v>
      </c>
      <c r="G36" s="1186">
        <v>1392</v>
      </c>
      <c r="H36" s="1186">
        <v>77</v>
      </c>
    </row>
    <row r="37" spans="1:8" x14ac:dyDescent="0.2">
      <c r="A37" s="1186" t="s">
        <v>311</v>
      </c>
      <c r="B37" s="1186" t="s">
        <v>674</v>
      </c>
      <c r="C37" s="1186">
        <v>5311</v>
      </c>
      <c r="D37" s="1186">
        <v>2762</v>
      </c>
      <c r="E37" s="1186">
        <v>441</v>
      </c>
      <c r="F37" s="1186">
        <v>694</v>
      </c>
      <c r="G37" s="1186">
        <v>1316</v>
      </c>
      <c r="H37" s="1186">
        <v>98</v>
      </c>
    </row>
    <row r="38" spans="1:8" x14ac:dyDescent="0.2">
      <c r="A38" s="1186" t="s">
        <v>621</v>
      </c>
      <c r="B38" s="1186" t="s">
        <v>674</v>
      </c>
      <c r="C38" s="1186">
        <v>5145</v>
      </c>
      <c r="D38" s="1186">
        <v>2740</v>
      </c>
      <c r="E38" s="1186">
        <v>405</v>
      </c>
      <c r="F38" s="1186">
        <v>601</v>
      </c>
      <c r="G38" s="1186">
        <v>1307</v>
      </c>
      <c r="H38" s="1186">
        <v>92</v>
      </c>
    </row>
    <row r="39" spans="1:8" x14ac:dyDescent="0.2">
      <c r="A39" s="1186" t="s">
        <v>1419</v>
      </c>
      <c r="B39" s="1186" t="s">
        <v>674</v>
      </c>
      <c r="C39" s="1186">
        <v>4890</v>
      </c>
      <c r="D39" s="1186">
        <v>2540</v>
      </c>
      <c r="E39" s="1186">
        <v>420</v>
      </c>
      <c r="F39" s="1186">
        <v>525</v>
      </c>
      <c r="G39" s="1186">
        <v>1290</v>
      </c>
      <c r="H39" s="1186">
        <v>115</v>
      </c>
    </row>
    <row r="40" spans="1:8" x14ac:dyDescent="0.2">
      <c r="A40" s="1186" t="s">
        <v>1572</v>
      </c>
      <c r="B40" s="1186" t="s">
        <v>674</v>
      </c>
      <c r="C40" s="1186">
        <v>4661</v>
      </c>
      <c r="D40" s="1186">
        <v>2431</v>
      </c>
      <c r="E40" s="1186">
        <v>404</v>
      </c>
      <c r="F40" s="1186">
        <v>541</v>
      </c>
      <c r="G40" s="1186">
        <v>1163</v>
      </c>
      <c r="H40" s="1186">
        <v>122</v>
      </c>
    </row>
  </sheetData>
  <pageMargins left="0.7" right="0.7" top="0.75" bottom="0.75" header="0.3" footer="0.3"/>
  <pageSetup paperSize="9" fitToHeight="50" orientation="landscape" r:id="rId1"/>
  <legacyDrawing r:id="rId2"/>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pageSetUpPr fitToPage="1"/>
  </sheetPr>
  <dimension ref="A1:AA389"/>
  <sheetViews>
    <sheetView topLeftCell="T1" zoomScale="85" zoomScaleNormal="85" workbookViewId="0">
      <pane ySplit="4" topLeftCell="A34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8.85546875" bestFit="1" customWidth="1"/>
    <col min="3" max="3" width="19.5703125" bestFit="1" customWidth="1"/>
    <col min="4" max="4" width="6.42578125" bestFit="1" customWidth="1"/>
    <col min="5" max="5" width="35.28515625" bestFit="1" customWidth="1"/>
    <col min="6" max="6" width="39.85546875" bestFit="1" customWidth="1"/>
    <col min="7" max="7" width="25.5703125" bestFit="1" customWidth="1"/>
    <col min="8" max="8" width="20" bestFit="1" customWidth="1"/>
    <col min="9" max="9" width="35.42578125" bestFit="1" customWidth="1"/>
    <col min="10" max="10" width="7.42578125" bestFit="1" customWidth="1"/>
    <col min="11" max="11" width="19.5703125" bestFit="1" customWidth="1"/>
    <col min="12" max="12" width="12.5703125" bestFit="1" customWidth="1"/>
    <col min="13" max="13" width="5.85546875" bestFit="1" customWidth="1"/>
    <col min="14" max="14" width="34.85546875" bestFit="1" customWidth="1"/>
    <col min="15" max="15" width="39.42578125" bestFit="1" customWidth="1"/>
    <col min="16" max="16" width="25" bestFit="1" customWidth="1"/>
    <col min="17" max="17" width="19.5703125" bestFit="1" customWidth="1"/>
    <col min="18" max="18" width="34.85546875" bestFit="1" customWidth="1"/>
    <col min="19" max="19" width="7.42578125" bestFit="1" customWidth="1"/>
    <col min="20" max="20" width="19.5703125" bestFit="1" customWidth="1"/>
    <col min="21" max="21" width="15.140625" bestFit="1" customWidth="1"/>
    <col min="22" max="22" width="6.28515625" bestFit="1" customWidth="1"/>
    <col min="23" max="23" width="35.140625" bestFit="1" customWidth="1"/>
    <col min="24" max="24" width="39.7109375" bestFit="1" customWidth="1"/>
    <col min="25" max="25" width="25.42578125" bestFit="1" customWidth="1"/>
    <col min="26" max="26" width="19.85546875" bestFit="1" customWidth="1"/>
    <col min="27" max="27" width="35.28515625" bestFit="1" customWidth="1"/>
  </cols>
  <sheetData>
    <row r="1" spans="1:27" x14ac:dyDescent="0.2"/>
    <row r="4" spans="1:27" x14ac:dyDescent="0.2">
      <c r="A4" s="1223" t="s">
        <v>464</v>
      </c>
      <c r="B4" s="1223" t="s">
        <v>1817</v>
      </c>
      <c r="C4" s="1223" t="s">
        <v>1818</v>
      </c>
      <c r="D4" s="1223" t="s">
        <v>1819</v>
      </c>
      <c r="E4" s="1223" t="s">
        <v>1820</v>
      </c>
      <c r="F4" s="1223" t="s">
        <v>1821</v>
      </c>
      <c r="G4" s="1223" t="s">
        <v>1822</v>
      </c>
      <c r="H4" s="1223" t="s">
        <v>1823</v>
      </c>
      <c r="I4" s="1223" t="s">
        <v>1824</v>
      </c>
      <c r="J4" s="1223" t="s">
        <v>1825</v>
      </c>
      <c r="K4" s="1223" t="s">
        <v>1826</v>
      </c>
      <c r="L4" s="1223" t="s">
        <v>1827</v>
      </c>
      <c r="M4" s="1223" t="s">
        <v>1828</v>
      </c>
      <c r="N4" s="1223" t="s">
        <v>1829</v>
      </c>
      <c r="O4" s="1223" t="s">
        <v>1830</v>
      </c>
      <c r="P4" s="1223" t="s">
        <v>1831</v>
      </c>
      <c r="Q4" s="1223" t="s">
        <v>1832</v>
      </c>
      <c r="R4" s="1223" t="s">
        <v>1833</v>
      </c>
      <c r="S4" s="1223" t="s">
        <v>1834</v>
      </c>
      <c r="T4" s="1223" t="s">
        <v>1835</v>
      </c>
      <c r="U4" s="1223" t="s">
        <v>1836</v>
      </c>
      <c r="V4" s="1223" t="s">
        <v>1837</v>
      </c>
      <c r="W4" s="1223" t="s">
        <v>1838</v>
      </c>
      <c r="X4" s="1223" t="s">
        <v>1839</v>
      </c>
      <c r="Y4" s="1223" t="s">
        <v>1840</v>
      </c>
      <c r="Z4" s="1223" t="s">
        <v>1841</v>
      </c>
      <c r="AA4" s="1223" t="s">
        <v>1842</v>
      </c>
    </row>
    <row r="5" spans="1:27" x14ac:dyDescent="0.2">
      <c r="A5" s="1186" t="s">
        <v>19</v>
      </c>
      <c r="B5" s="1186" t="s">
        <v>674</v>
      </c>
      <c r="C5" s="1186" t="s">
        <v>23</v>
      </c>
      <c r="D5" s="1186">
        <v>391</v>
      </c>
      <c r="E5" s="1186">
        <v>173</v>
      </c>
      <c r="F5" s="1186">
        <v>24</v>
      </c>
      <c r="G5" s="1186">
        <v>44</v>
      </c>
      <c r="H5" s="1186">
        <v>147</v>
      </c>
      <c r="I5" s="1186">
        <v>3</v>
      </c>
      <c r="J5" s="1186" t="s">
        <v>19</v>
      </c>
      <c r="K5" s="1186" t="s">
        <v>23</v>
      </c>
      <c r="L5" s="1186" t="s">
        <v>672</v>
      </c>
      <c r="M5" s="1186">
        <v>2</v>
      </c>
      <c r="N5" s="1186"/>
      <c r="O5" s="1186">
        <v>1</v>
      </c>
      <c r="P5" s="1186">
        <v>1</v>
      </c>
      <c r="Q5" s="1186"/>
      <c r="R5" s="1186"/>
      <c r="S5" s="1186" t="s">
        <v>19</v>
      </c>
      <c r="T5" s="1186" t="s">
        <v>23</v>
      </c>
      <c r="U5" s="1186" t="s">
        <v>673</v>
      </c>
      <c r="V5" s="1186">
        <v>61</v>
      </c>
      <c r="W5" s="1186">
        <v>30</v>
      </c>
      <c r="X5" s="1186">
        <v>4</v>
      </c>
      <c r="Y5" s="1186">
        <v>9</v>
      </c>
      <c r="Z5" s="1186">
        <v>14</v>
      </c>
      <c r="AA5" s="1186">
        <v>4</v>
      </c>
    </row>
    <row r="6" spans="1:27" x14ac:dyDescent="0.2">
      <c r="A6" s="1186" t="s">
        <v>19</v>
      </c>
      <c r="B6" s="1186" t="s">
        <v>674</v>
      </c>
      <c r="C6" s="1186" t="s">
        <v>24</v>
      </c>
      <c r="D6" s="1186">
        <v>204</v>
      </c>
      <c r="E6" s="1186">
        <v>96</v>
      </c>
      <c r="F6" s="1186">
        <v>20</v>
      </c>
      <c r="G6" s="1186">
        <v>23</v>
      </c>
      <c r="H6" s="1186">
        <v>61</v>
      </c>
      <c r="I6" s="1186">
        <v>4</v>
      </c>
      <c r="J6" s="1186" t="s">
        <v>19</v>
      </c>
      <c r="K6" s="1186" t="s">
        <v>24</v>
      </c>
      <c r="L6" s="1186" t="s">
        <v>672</v>
      </c>
      <c r="M6" s="1186">
        <v>1</v>
      </c>
      <c r="N6" s="1186"/>
      <c r="O6" s="1186"/>
      <c r="P6" s="1186"/>
      <c r="Q6" s="1186">
        <v>1</v>
      </c>
      <c r="R6" s="1186"/>
      <c r="S6" s="1186" t="s">
        <v>19</v>
      </c>
      <c r="T6" s="1186" t="s">
        <v>24</v>
      </c>
      <c r="U6" s="1186" t="s">
        <v>673</v>
      </c>
      <c r="V6" s="1186">
        <v>41</v>
      </c>
      <c r="W6" s="1186">
        <v>12</v>
      </c>
      <c r="X6" s="1186">
        <v>5</v>
      </c>
      <c r="Y6" s="1186">
        <v>6</v>
      </c>
      <c r="Z6" s="1186">
        <v>17</v>
      </c>
      <c r="AA6" s="1186">
        <v>1</v>
      </c>
    </row>
    <row r="7" spans="1:27" x14ac:dyDescent="0.2">
      <c r="A7" s="1186" t="s">
        <v>19</v>
      </c>
      <c r="B7" s="1186" t="s">
        <v>674</v>
      </c>
      <c r="C7" s="1186" t="s">
        <v>25</v>
      </c>
      <c r="D7" s="1186">
        <v>102</v>
      </c>
      <c r="E7" s="1186">
        <v>32</v>
      </c>
      <c r="F7" s="1186">
        <v>5</v>
      </c>
      <c r="G7" s="1186">
        <v>24</v>
      </c>
      <c r="H7" s="1186">
        <v>41</v>
      </c>
      <c r="I7" s="1186"/>
      <c r="J7" s="1186" t="s">
        <v>19</v>
      </c>
      <c r="K7" s="1186" t="s">
        <v>25</v>
      </c>
      <c r="L7" s="1186" t="s">
        <v>672</v>
      </c>
      <c r="M7" s="1186">
        <v>1</v>
      </c>
      <c r="N7" s="1186"/>
      <c r="O7" s="1186"/>
      <c r="P7" s="1186">
        <v>1</v>
      </c>
      <c r="Q7" s="1186"/>
      <c r="R7" s="1186"/>
      <c r="S7" s="1186" t="s">
        <v>19</v>
      </c>
      <c r="T7" s="1186" t="s">
        <v>25</v>
      </c>
      <c r="U7" s="1186" t="s">
        <v>673</v>
      </c>
      <c r="V7" s="1186">
        <v>19</v>
      </c>
      <c r="W7" s="1186">
        <v>6</v>
      </c>
      <c r="X7" s="1186">
        <v>2</v>
      </c>
      <c r="Y7" s="1186">
        <v>8</v>
      </c>
      <c r="Z7" s="1186">
        <v>3</v>
      </c>
      <c r="AA7" s="1186"/>
    </row>
    <row r="8" spans="1:27" x14ac:dyDescent="0.2">
      <c r="A8" s="1186" t="s">
        <v>19</v>
      </c>
      <c r="B8" s="1186" t="s">
        <v>674</v>
      </c>
      <c r="C8" s="1186" t="s">
        <v>26</v>
      </c>
      <c r="D8" s="1186">
        <v>86</v>
      </c>
      <c r="E8" s="1186">
        <v>42</v>
      </c>
      <c r="F8" s="1186">
        <v>2</v>
      </c>
      <c r="G8" s="1186">
        <v>7</v>
      </c>
      <c r="H8" s="1186">
        <v>28</v>
      </c>
      <c r="I8" s="1186">
        <v>7</v>
      </c>
      <c r="J8" s="1186"/>
      <c r="K8" s="1186"/>
      <c r="L8" s="1186"/>
      <c r="M8" s="1186"/>
      <c r="N8" s="1186"/>
      <c r="O8" s="1186"/>
      <c r="P8" s="1186"/>
      <c r="Q8" s="1186"/>
      <c r="R8" s="1186"/>
      <c r="S8" s="1186" t="s">
        <v>19</v>
      </c>
      <c r="T8" s="1186" t="s">
        <v>26</v>
      </c>
      <c r="U8" s="1186" t="s">
        <v>673</v>
      </c>
      <c r="V8" s="1186">
        <v>5</v>
      </c>
      <c r="W8" s="1186">
        <v>2</v>
      </c>
      <c r="X8" s="1186"/>
      <c r="Y8" s="1186">
        <v>2</v>
      </c>
      <c r="Z8" s="1186">
        <v>1</v>
      </c>
      <c r="AA8" s="1186"/>
    </row>
    <row r="9" spans="1:27" x14ac:dyDescent="0.2">
      <c r="A9" s="1186" t="s">
        <v>19</v>
      </c>
      <c r="B9" s="1186" t="s">
        <v>674</v>
      </c>
      <c r="C9" s="1186" t="s">
        <v>619</v>
      </c>
      <c r="D9" s="1186">
        <v>795</v>
      </c>
      <c r="E9" s="1186">
        <v>255</v>
      </c>
      <c r="F9" s="1186">
        <v>57</v>
      </c>
      <c r="G9" s="1186">
        <v>122</v>
      </c>
      <c r="H9" s="1186">
        <v>352</v>
      </c>
      <c r="I9" s="1186">
        <v>9</v>
      </c>
      <c r="J9" s="1186" t="s">
        <v>19</v>
      </c>
      <c r="K9" s="1186" t="s">
        <v>619</v>
      </c>
      <c r="L9" s="1186" t="s">
        <v>672</v>
      </c>
      <c r="M9" s="1186">
        <v>2</v>
      </c>
      <c r="N9" s="1186"/>
      <c r="O9" s="1186">
        <v>1</v>
      </c>
      <c r="P9" s="1186"/>
      <c r="Q9" s="1186">
        <v>1</v>
      </c>
      <c r="R9" s="1186"/>
      <c r="S9" s="1186" t="s">
        <v>19</v>
      </c>
      <c r="T9" s="1186" t="s">
        <v>619</v>
      </c>
      <c r="U9" s="1186" t="s">
        <v>673</v>
      </c>
      <c r="V9" s="1186">
        <v>173</v>
      </c>
      <c r="W9" s="1186">
        <v>59</v>
      </c>
      <c r="X9" s="1186">
        <v>20</v>
      </c>
      <c r="Y9" s="1186">
        <v>20</v>
      </c>
      <c r="Z9" s="1186">
        <v>73</v>
      </c>
      <c r="AA9" s="1186">
        <v>1</v>
      </c>
    </row>
    <row r="10" spans="1:27" x14ac:dyDescent="0.2">
      <c r="A10" s="1186" t="s">
        <v>19</v>
      </c>
      <c r="B10" s="1186" t="s">
        <v>674</v>
      </c>
      <c r="C10" s="1186" t="s">
        <v>27</v>
      </c>
      <c r="D10" s="1186">
        <v>40</v>
      </c>
      <c r="E10" s="1186">
        <v>19</v>
      </c>
      <c r="F10" s="1186">
        <v>2</v>
      </c>
      <c r="G10" s="1186">
        <v>8</v>
      </c>
      <c r="H10" s="1186">
        <v>10</v>
      </c>
      <c r="I10" s="1186">
        <v>1</v>
      </c>
      <c r="J10" s="1186"/>
      <c r="K10" s="1186"/>
      <c r="L10" s="1186"/>
      <c r="M10" s="1186"/>
      <c r="N10" s="1186"/>
      <c r="O10" s="1186"/>
      <c r="P10" s="1186"/>
      <c r="Q10" s="1186"/>
      <c r="R10" s="1186"/>
      <c r="S10" s="1186" t="s">
        <v>19</v>
      </c>
      <c r="T10" s="1186" t="s">
        <v>27</v>
      </c>
      <c r="U10" s="1186" t="s">
        <v>673</v>
      </c>
      <c r="V10" s="1186">
        <v>11</v>
      </c>
      <c r="W10" s="1186">
        <v>9</v>
      </c>
      <c r="X10" s="1186"/>
      <c r="Y10" s="1186">
        <v>2</v>
      </c>
      <c r="Z10" s="1186"/>
      <c r="AA10" s="1186"/>
    </row>
    <row r="11" spans="1:27" x14ac:dyDescent="0.2">
      <c r="A11" s="1186" t="s">
        <v>19</v>
      </c>
      <c r="B11" s="1186" t="s">
        <v>674</v>
      </c>
      <c r="C11" s="1186" t="s">
        <v>28</v>
      </c>
      <c r="D11" s="1186">
        <v>132</v>
      </c>
      <c r="E11" s="1186">
        <v>51</v>
      </c>
      <c r="F11" s="1186">
        <v>13</v>
      </c>
      <c r="G11" s="1186">
        <v>26</v>
      </c>
      <c r="H11" s="1186">
        <v>42</v>
      </c>
      <c r="I11" s="1186"/>
      <c r="J11" s="1186" t="s">
        <v>19</v>
      </c>
      <c r="K11" s="1186" t="s">
        <v>28</v>
      </c>
      <c r="L11" s="1186" t="s">
        <v>672</v>
      </c>
      <c r="M11" s="1186">
        <v>3</v>
      </c>
      <c r="N11" s="1186"/>
      <c r="O11" s="1186"/>
      <c r="P11" s="1186">
        <v>2</v>
      </c>
      <c r="Q11" s="1186">
        <v>1</v>
      </c>
      <c r="R11" s="1186"/>
      <c r="S11" s="1186" t="s">
        <v>19</v>
      </c>
      <c r="T11" s="1186" t="s">
        <v>28</v>
      </c>
      <c r="U11" s="1186" t="s">
        <v>673</v>
      </c>
      <c r="V11" s="1186">
        <v>16</v>
      </c>
      <c r="W11" s="1186">
        <v>4</v>
      </c>
      <c r="X11" s="1186">
        <v>3</v>
      </c>
      <c r="Y11" s="1186">
        <v>6</v>
      </c>
      <c r="Z11" s="1186">
        <v>3</v>
      </c>
      <c r="AA11" s="1186"/>
    </row>
    <row r="12" spans="1:27" x14ac:dyDescent="0.2">
      <c r="A12" s="1186" t="s">
        <v>19</v>
      </c>
      <c r="B12" s="1186" t="s">
        <v>674</v>
      </c>
      <c r="C12" s="1186" t="s">
        <v>29</v>
      </c>
      <c r="D12" s="1186">
        <v>325</v>
      </c>
      <c r="E12" s="1186">
        <v>128</v>
      </c>
      <c r="F12" s="1186">
        <v>23</v>
      </c>
      <c r="G12" s="1186">
        <v>40</v>
      </c>
      <c r="H12" s="1186">
        <v>134</v>
      </c>
      <c r="I12" s="1186"/>
      <c r="J12" s="1186" t="s">
        <v>19</v>
      </c>
      <c r="K12" s="1186" t="s">
        <v>29</v>
      </c>
      <c r="L12" s="1186" t="s">
        <v>672</v>
      </c>
      <c r="M12" s="1186">
        <v>4</v>
      </c>
      <c r="N12" s="1186"/>
      <c r="O12" s="1186">
        <v>2</v>
      </c>
      <c r="P12" s="1186">
        <v>1</v>
      </c>
      <c r="Q12" s="1186">
        <v>1</v>
      </c>
      <c r="R12" s="1186"/>
      <c r="S12" s="1186" t="s">
        <v>19</v>
      </c>
      <c r="T12" s="1186" t="s">
        <v>29</v>
      </c>
      <c r="U12" s="1186" t="s">
        <v>673</v>
      </c>
      <c r="V12" s="1186">
        <v>47</v>
      </c>
      <c r="W12" s="1186">
        <v>24</v>
      </c>
      <c r="X12" s="1186">
        <v>3</v>
      </c>
      <c r="Y12" s="1186">
        <v>6</v>
      </c>
      <c r="Z12" s="1186">
        <v>14</v>
      </c>
      <c r="AA12" s="1186"/>
    </row>
    <row r="13" spans="1:27" x14ac:dyDescent="0.2">
      <c r="A13" s="1186" t="s">
        <v>19</v>
      </c>
      <c r="B13" s="1186" t="s">
        <v>674</v>
      </c>
      <c r="C13" s="1186" t="s">
        <v>30</v>
      </c>
      <c r="D13" s="1186">
        <v>125</v>
      </c>
      <c r="E13" s="1186">
        <v>64</v>
      </c>
      <c r="F13" s="1186">
        <v>15</v>
      </c>
      <c r="G13" s="1186">
        <v>10</v>
      </c>
      <c r="H13" s="1186">
        <v>26</v>
      </c>
      <c r="I13" s="1186">
        <v>10</v>
      </c>
      <c r="J13" s="1186"/>
      <c r="K13" s="1186"/>
      <c r="L13" s="1186"/>
      <c r="M13" s="1186"/>
      <c r="N13" s="1186"/>
      <c r="O13" s="1186"/>
      <c r="P13" s="1186"/>
      <c r="Q13" s="1186"/>
      <c r="R13" s="1186"/>
      <c r="S13" s="1186" t="s">
        <v>19</v>
      </c>
      <c r="T13" s="1186" t="s">
        <v>30</v>
      </c>
      <c r="U13" s="1186" t="s">
        <v>673</v>
      </c>
      <c r="V13" s="1186">
        <v>14</v>
      </c>
      <c r="W13" s="1186">
        <v>7</v>
      </c>
      <c r="X13" s="1186">
        <v>5</v>
      </c>
      <c r="Y13" s="1186">
        <v>1</v>
      </c>
      <c r="Z13" s="1186"/>
      <c r="AA13" s="1186">
        <v>1</v>
      </c>
    </row>
    <row r="14" spans="1:27" x14ac:dyDescent="0.2">
      <c r="A14" s="1186" t="s">
        <v>19</v>
      </c>
      <c r="B14" s="1186" t="s">
        <v>674</v>
      </c>
      <c r="C14" s="1186" t="s">
        <v>31</v>
      </c>
      <c r="D14" s="1186">
        <v>78</v>
      </c>
      <c r="E14" s="1186">
        <v>34</v>
      </c>
      <c r="F14" s="1186">
        <v>4</v>
      </c>
      <c r="G14" s="1186">
        <v>11</v>
      </c>
      <c r="H14" s="1186">
        <v>25</v>
      </c>
      <c r="I14" s="1186">
        <v>4</v>
      </c>
      <c r="J14" s="1186"/>
      <c r="K14" s="1186"/>
      <c r="L14" s="1186"/>
      <c r="M14" s="1186"/>
      <c r="N14" s="1186"/>
      <c r="O14" s="1186"/>
      <c r="P14" s="1186"/>
      <c r="Q14" s="1186"/>
      <c r="R14" s="1186"/>
      <c r="S14" s="1186" t="s">
        <v>19</v>
      </c>
      <c r="T14" s="1186" t="s">
        <v>31</v>
      </c>
      <c r="U14" s="1186" t="s">
        <v>673</v>
      </c>
      <c r="V14" s="1186">
        <v>11</v>
      </c>
      <c r="W14" s="1186">
        <v>7</v>
      </c>
      <c r="X14" s="1186">
        <v>1</v>
      </c>
      <c r="Y14" s="1186"/>
      <c r="Z14" s="1186">
        <v>3</v>
      </c>
      <c r="AA14" s="1186"/>
    </row>
    <row r="15" spans="1:27" x14ac:dyDescent="0.2">
      <c r="A15" s="1186" t="s">
        <v>19</v>
      </c>
      <c r="B15" s="1186" t="s">
        <v>674</v>
      </c>
      <c r="C15" s="1186" t="s">
        <v>32</v>
      </c>
      <c r="D15" s="1186">
        <v>100</v>
      </c>
      <c r="E15" s="1186">
        <v>39</v>
      </c>
      <c r="F15" s="1186">
        <v>10</v>
      </c>
      <c r="G15" s="1186">
        <v>13</v>
      </c>
      <c r="H15" s="1186">
        <v>37</v>
      </c>
      <c r="I15" s="1186">
        <v>1</v>
      </c>
      <c r="J15" s="1186" t="s">
        <v>19</v>
      </c>
      <c r="K15" s="1186" t="s">
        <v>32</v>
      </c>
      <c r="L15" s="1186" t="s">
        <v>672</v>
      </c>
      <c r="M15" s="1186">
        <v>1</v>
      </c>
      <c r="N15" s="1186"/>
      <c r="O15" s="1186">
        <v>1</v>
      </c>
      <c r="P15" s="1186"/>
      <c r="Q15" s="1186"/>
      <c r="R15" s="1186"/>
      <c r="S15" s="1186" t="s">
        <v>19</v>
      </c>
      <c r="T15" s="1186" t="s">
        <v>32</v>
      </c>
      <c r="U15" s="1186" t="s">
        <v>673</v>
      </c>
      <c r="V15" s="1186">
        <v>22</v>
      </c>
      <c r="W15" s="1186">
        <v>10</v>
      </c>
      <c r="X15" s="1186">
        <v>5</v>
      </c>
      <c r="Y15" s="1186">
        <v>5</v>
      </c>
      <c r="Z15" s="1186">
        <v>2</v>
      </c>
      <c r="AA15" s="1186"/>
    </row>
    <row r="16" spans="1:27" x14ac:dyDescent="0.2">
      <c r="A16" s="1186" t="s">
        <v>19</v>
      </c>
      <c r="B16" s="1186" t="s">
        <v>674</v>
      </c>
      <c r="C16" s="1186" t="s">
        <v>33</v>
      </c>
      <c r="D16" s="1186">
        <v>48</v>
      </c>
      <c r="E16" s="1186">
        <v>14</v>
      </c>
      <c r="F16" s="1186">
        <v>3</v>
      </c>
      <c r="G16" s="1186">
        <v>8</v>
      </c>
      <c r="H16" s="1186">
        <v>22</v>
      </c>
      <c r="I16" s="1186">
        <v>1</v>
      </c>
      <c r="J16" s="1186" t="s">
        <v>19</v>
      </c>
      <c r="K16" s="1186" t="s">
        <v>33</v>
      </c>
      <c r="L16" s="1186" t="s">
        <v>672</v>
      </c>
      <c r="M16" s="1186">
        <v>1</v>
      </c>
      <c r="N16" s="1186"/>
      <c r="O16" s="1186"/>
      <c r="P16" s="1186"/>
      <c r="Q16" s="1186"/>
      <c r="R16" s="1186">
        <v>1</v>
      </c>
      <c r="S16" s="1186" t="s">
        <v>19</v>
      </c>
      <c r="T16" s="1186" t="s">
        <v>33</v>
      </c>
      <c r="U16" s="1186" t="s">
        <v>673</v>
      </c>
      <c r="V16" s="1186">
        <v>2</v>
      </c>
      <c r="W16" s="1186">
        <v>1</v>
      </c>
      <c r="X16" s="1186"/>
      <c r="Y16" s="1186">
        <v>1</v>
      </c>
      <c r="Z16" s="1186"/>
      <c r="AA16" s="1186"/>
    </row>
    <row r="17" spans="1:27" x14ac:dyDescent="0.2">
      <c r="A17" s="1186" t="s">
        <v>19</v>
      </c>
      <c r="B17" s="1186" t="s">
        <v>674</v>
      </c>
      <c r="C17" s="1186" t="s">
        <v>34</v>
      </c>
      <c r="D17" s="1186">
        <v>113</v>
      </c>
      <c r="E17" s="1186">
        <v>46</v>
      </c>
      <c r="F17" s="1186">
        <v>11</v>
      </c>
      <c r="G17" s="1186">
        <v>19</v>
      </c>
      <c r="H17" s="1186">
        <v>36</v>
      </c>
      <c r="I17" s="1186">
        <v>1</v>
      </c>
      <c r="J17" s="1186" t="s">
        <v>19</v>
      </c>
      <c r="K17" s="1186" t="s">
        <v>34</v>
      </c>
      <c r="L17" s="1186" t="s">
        <v>672</v>
      </c>
      <c r="M17" s="1186">
        <v>1</v>
      </c>
      <c r="N17" s="1186"/>
      <c r="O17" s="1186">
        <v>1</v>
      </c>
      <c r="P17" s="1186"/>
      <c r="Q17" s="1186"/>
      <c r="R17" s="1186"/>
      <c r="S17" s="1186" t="s">
        <v>19</v>
      </c>
      <c r="T17" s="1186" t="s">
        <v>34</v>
      </c>
      <c r="U17" s="1186" t="s">
        <v>673</v>
      </c>
      <c r="V17" s="1186">
        <v>21</v>
      </c>
      <c r="W17" s="1186">
        <v>6</v>
      </c>
      <c r="X17" s="1186">
        <v>6</v>
      </c>
      <c r="Y17" s="1186">
        <v>6</v>
      </c>
      <c r="Z17" s="1186">
        <v>3</v>
      </c>
      <c r="AA17" s="1186"/>
    </row>
    <row r="18" spans="1:27" x14ac:dyDescent="0.2">
      <c r="A18" s="1186" t="s">
        <v>19</v>
      </c>
      <c r="B18" s="1186" t="s">
        <v>674</v>
      </c>
      <c r="C18" s="1186" t="s">
        <v>35</v>
      </c>
      <c r="D18" s="1186">
        <v>320</v>
      </c>
      <c r="E18" s="1186">
        <v>123</v>
      </c>
      <c r="F18" s="1186">
        <v>26</v>
      </c>
      <c r="G18" s="1186">
        <v>44</v>
      </c>
      <c r="H18" s="1186">
        <v>124</v>
      </c>
      <c r="I18" s="1186">
        <v>3</v>
      </c>
      <c r="J18" s="1186" t="s">
        <v>19</v>
      </c>
      <c r="K18" s="1186" t="s">
        <v>35</v>
      </c>
      <c r="L18" s="1186" t="s">
        <v>672</v>
      </c>
      <c r="M18" s="1186">
        <v>4</v>
      </c>
      <c r="N18" s="1186">
        <v>1</v>
      </c>
      <c r="O18" s="1186">
        <v>1</v>
      </c>
      <c r="P18" s="1186"/>
      <c r="Q18" s="1186">
        <v>2</v>
      </c>
      <c r="R18" s="1186"/>
      <c r="S18" s="1186" t="s">
        <v>19</v>
      </c>
      <c r="T18" s="1186" t="s">
        <v>35</v>
      </c>
      <c r="U18" s="1186" t="s">
        <v>673</v>
      </c>
      <c r="V18" s="1186">
        <v>77</v>
      </c>
      <c r="W18" s="1186">
        <v>34</v>
      </c>
      <c r="X18" s="1186">
        <v>10</v>
      </c>
      <c r="Y18" s="1186">
        <v>11</v>
      </c>
      <c r="Z18" s="1186">
        <v>21</v>
      </c>
      <c r="AA18" s="1186">
        <v>1</v>
      </c>
    </row>
    <row r="19" spans="1:27" x14ac:dyDescent="0.2">
      <c r="A19" s="1186" t="s">
        <v>19</v>
      </c>
      <c r="B19" s="1186" t="s">
        <v>674</v>
      </c>
      <c r="C19" s="1186" t="s">
        <v>36</v>
      </c>
      <c r="D19" s="1186">
        <v>1284</v>
      </c>
      <c r="E19" s="1186">
        <v>531</v>
      </c>
      <c r="F19" s="1186">
        <v>62</v>
      </c>
      <c r="G19" s="1186">
        <v>156</v>
      </c>
      <c r="H19" s="1186">
        <v>479</v>
      </c>
      <c r="I19" s="1186">
        <v>56</v>
      </c>
      <c r="J19" s="1186" t="s">
        <v>19</v>
      </c>
      <c r="K19" s="1186" t="s">
        <v>36</v>
      </c>
      <c r="L19" s="1186" t="s">
        <v>672</v>
      </c>
      <c r="M19" s="1186">
        <v>12</v>
      </c>
      <c r="N19" s="1186">
        <v>3</v>
      </c>
      <c r="O19" s="1186">
        <v>1</v>
      </c>
      <c r="P19" s="1186">
        <v>2</v>
      </c>
      <c r="Q19" s="1186">
        <v>3</v>
      </c>
      <c r="R19" s="1186">
        <v>3</v>
      </c>
      <c r="S19" s="1186" t="s">
        <v>19</v>
      </c>
      <c r="T19" s="1186" t="s">
        <v>36</v>
      </c>
      <c r="U19" s="1186" t="s">
        <v>673</v>
      </c>
      <c r="V19" s="1186">
        <v>154</v>
      </c>
      <c r="W19" s="1186">
        <v>72</v>
      </c>
      <c r="X19" s="1186">
        <v>14</v>
      </c>
      <c r="Y19" s="1186">
        <v>25</v>
      </c>
      <c r="Z19" s="1186">
        <v>38</v>
      </c>
      <c r="AA19" s="1186">
        <v>5</v>
      </c>
    </row>
    <row r="20" spans="1:27" x14ac:dyDescent="0.2">
      <c r="A20" s="1186" t="s">
        <v>19</v>
      </c>
      <c r="B20" s="1186" t="s">
        <v>674</v>
      </c>
      <c r="C20" s="1186" t="s">
        <v>37</v>
      </c>
      <c r="D20" s="1186">
        <v>145</v>
      </c>
      <c r="E20" s="1186">
        <v>37</v>
      </c>
      <c r="F20" s="1186">
        <v>10</v>
      </c>
      <c r="G20" s="1186">
        <v>18</v>
      </c>
      <c r="H20" s="1186">
        <v>50</v>
      </c>
      <c r="I20" s="1186">
        <v>30</v>
      </c>
      <c r="J20" s="1186" t="s">
        <v>19</v>
      </c>
      <c r="K20" s="1186" t="s">
        <v>37</v>
      </c>
      <c r="L20" s="1186" t="s">
        <v>672</v>
      </c>
      <c r="M20" s="1186">
        <v>1</v>
      </c>
      <c r="N20" s="1186"/>
      <c r="O20" s="1186"/>
      <c r="P20" s="1186"/>
      <c r="Q20" s="1186">
        <v>1</v>
      </c>
      <c r="R20" s="1186"/>
      <c r="S20" s="1186" t="s">
        <v>19</v>
      </c>
      <c r="T20" s="1186" t="s">
        <v>37</v>
      </c>
      <c r="U20" s="1186" t="s">
        <v>673</v>
      </c>
      <c r="V20" s="1186">
        <v>29</v>
      </c>
      <c r="W20" s="1186">
        <v>10</v>
      </c>
      <c r="X20" s="1186">
        <v>3</v>
      </c>
      <c r="Y20" s="1186">
        <v>5</v>
      </c>
      <c r="Z20" s="1186">
        <v>6</v>
      </c>
      <c r="AA20" s="1186">
        <v>5</v>
      </c>
    </row>
    <row r="21" spans="1:27" x14ac:dyDescent="0.2">
      <c r="A21" s="1186" t="s">
        <v>19</v>
      </c>
      <c r="B21" s="1186" t="s">
        <v>674</v>
      </c>
      <c r="C21" s="1186" t="s">
        <v>38</v>
      </c>
      <c r="D21" s="1186">
        <v>144</v>
      </c>
      <c r="E21" s="1186">
        <v>37</v>
      </c>
      <c r="F21" s="1186">
        <v>8</v>
      </c>
      <c r="G21" s="1186">
        <v>21</v>
      </c>
      <c r="H21" s="1186">
        <v>73</v>
      </c>
      <c r="I21" s="1186">
        <v>5</v>
      </c>
      <c r="J21" s="1186" t="s">
        <v>19</v>
      </c>
      <c r="K21" s="1186" t="s">
        <v>38</v>
      </c>
      <c r="L21" s="1186" t="s">
        <v>672</v>
      </c>
      <c r="M21" s="1186">
        <v>3</v>
      </c>
      <c r="N21" s="1186">
        <v>1</v>
      </c>
      <c r="O21" s="1186"/>
      <c r="P21" s="1186">
        <v>1</v>
      </c>
      <c r="Q21" s="1186"/>
      <c r="R21" s="1186">
        <v>1</v>
      </c>
      <c r="S21" s="1186" t="s">
        <v>19</v>
      </c>
      <c r="T21" s="1186" t="s">
        <v>38</v>
      </c>
      <c r="U21" s="1186" t="s">
        <v>673</v>
      </c>
      <c r="V21" s="1186">
        <v>33</v>
      </c>
      <c r="W21" s="1186">
        <v>6</v>
      </c>
      <c r="X21" s="1186">
        <v>5</v>
      </c>
      <c r="Y21" s="1186">
        <v>3</v>
      </c>
      <c r="Z21" s="1186">
        <v>19</v>
      </c>
      <c r="AA21" s="1186"/>
    </row>
    <row r="22" spans="1:27" x14ac:dyDescent="0.2">
      <c r="A22" s="1186" t="s">
        <v>19</v>
      </c>
      <c r="B22" s="1186" t="s">
        <v>674</v>
      </c>
      <c r="C22" s="1186" t="s">
        <v>39</v>
      </c>
      <c r="D22" s="1186">
        <v>73</v>
      </c>
      <c r="E22" s="1186">
        <v>27</v>
      </c>
      <c r="F22" s="1186">
        <v>14</v>
      </c>
      <c r="G22" s="1186">
        <v>16</v>
      </c>
      <c r="H22" s="1186">
        <v>16</v>
      </c>
      <c r="I22" s="1186"/>
      <c r="J22" s="1186"/>
      <c r="K22" s="1186"/>
      <c r="L22" s="1186"/>
      <c r="M22" s="1186"/>
      <c r="N22" s="1186"/>
      <c r="O22" s="1186"/>
      <c r="P22" s="1186"/>
      <c r="Q22" s="1186"/>
      <c r="R22" s="1186"/>
      <c r="S22" s="1186" t="s">
        <v>19</v>
      </c>
      <c r="T22" s="1186" t="s">
        <v>39</v>
      </c>
      <c r="U22" s="1186" t="s">
        <v>673</v>
      </c>
      <c r="V22" s="1186">
        <v>14</v>
      </c>
      <c r="W22" s="1186">
        <v>4</v>
      </c>
      <c r="X22" s="1186">
        <v>1</v>
      </c>
      <c r="Y22" s="1186">
        <v>4</v>
      </c>
      <c r="Z22" s="1186">
        <v>5</v>
      </c>
      <c r="AA22" s="1186"/>
    </row>
    <row r="23" spans="1:27" x14ac:dyDescent="0.2">
      <c r="A23" s="1186" t="s">
        <v>19</v>
      </c>
      <c r="B23" s="1186" t="s">
        <v>674</v>
      </c>
      <c r="C23" s="1186" t="s">
        <v>40</v>
      </c>
      <c r="D23" s="1186">
        <v>71</v>
      </c>
      <c r="E23" s="1186">
        <v>26</v>
      </c>
      <c r="F23" s="1186">
        <v>8</v>
      </c>
      <c r="G23" s="1186">
        <v>11</v>
      </c>
      <c r="H23" s="1186">
        <v>26</v>
      </c>
      <c r="I23" s="1186"/>
      <c r="J23" s="1186"/>
      <c r="K23" s="1186"/>
      <c r="L23" s="1186"/>
      <c r="M23" s="1186"/>
      <c r="N23" s="1186"/>
      <c r="O23" s="1186"/>
      <c r="P23" s="1186"/>
      <c r="Q23" s="1186"/>
      <c r="R23" s="1186"/>
      <c r="S23" s="1186" t="s">
        <v>19</v>
      </c>
      <c r="T23" s="1186" t="s">
        <v>40</v>
      </c>
      <c r="U23" s="1186" t="s">
        <v>673</v>
      </c>
      <c r="V23" s="1186">
        <v>22</v>
      </c>
      <c r="W23" s="1186">
        <v>9</v>
      </c>
      <c r="X23" s="1186">
        <v>2</v>
      </c>
      <c r="Y23" s="1186">
        <v>3</v>
      </c>
      <c r="Z23" s="1186">
        <v>8</v>
      </c>
      <c r="AA23" s="1186"/>
    </row>
    <row r="24" spans="1:27" x14ac:dyDescent="0.2">
      <c r="A24" s="1186" t="s">
        <v>19</v>
      </c>
      <c r="B24" s="1186" t="s">
        <v>674</v>
      </c>
      <c r="C24" s="1186" t="s">
        <v>295</v>
      </c>
      <c r="D24" s="1186">
        <v>24</v>
      </c>
      <c r="E24" s="1186">
        <v>7</v>
      </c>
      <c r="F24" s="1186">
        <v>1</v>
      </c>
      <c r="G24" s="1186"/>
      <c r="H24" s="1186">
        <v>4</v>
      </c>
      <c r="I24" s="1186">
        <v>12</v>
      </c>
      <c r="J24" s="1186"/>
      <c r="K24" s="1186"/>
      <c r="L24" s="1186"/>
      <c r="M24" s="1186"/>
      <c r="N24" s="1186"/>
      <c r="O24" s="1186"/>
      <c r="P24" s="1186"/>
      <c r="Q24" s="1186"/>
      <c r="R24" s="1186"/>
      <c r="S24" s="1186" t="s">
        <v>19</v>
      </c>
      <c r="T24" s="1186" t="s">
        <v>295</v>
      </c>
      <c r="U24" s="1186" t="s">
        <v>673</v>
      </c>
      <c r="V24" s="1186">
        <v>12</v>
      </c>
      <c r="W24" s="1186">
        <v>6</v>
      </c>
      <c r="X24" s="1186">
        <v>1</v>
      </c>
      <c r="Y24" s="1186"/>
      <c r="Z24" s="1186">
        <v>1</v>
      </c>
      <c r="AA24" s="1186">
        <v>4</v>
      </c>
    </row>
    <row r="25" spans="1:27" x14ac:dyDescent="0.2">
      <c r="A25" s="1186" t="s">
        <v>19</v>
      </c>
      <c r="B25" s="1186" t="s">
        <v>674</v>
      </c>
      <c r="C25" s="1186" t="s">
        <v>41</v>
      </c>
      <c r="D25" s="1186">
        <v>177</v>
      </c>
      <c r="E25" s="1186">
        <v>72</v>
      </c>
      <c r="F25" s="1186">
        <v>13</v>
      </c>
      <c r="G25" s="1186">
        <v>20</v>
      </c>
      <c r="H25" s="1186">
        <v>62</v>
      </c>
      <c r="I25" s="1186">
        <v>10</v>
      </c>
      <c r="J25" s="1186" t="s">
        <v>19</v>
      </c>
      <c r="K25" s="1186" t="s">
        <v>41</v>
      </c>
      <c r="L25" s="1186" t="s">
        <v>672</v>
      </c>
      <c r="M25" s="1186">
        <v>1</v>
      </c>
      <c r="N25" s="1186"/>
      <c r="O25" s="1186">
        <v>1</v>
      </c>
      <c r="P25" s="1186"/>
      <c r="Q25" s="1186"/>
      <c r="R25" s="1186"/>
      <c r="S25" s="1186" t="s">
        <v>19</v>
      </c>
      <c r="T25" s="1186" t="s">
        <v>41</v>
      </c>
      <c r="U25" s="1186" t="s">
        <v>673</v>
      </c>
      <c r="V25" s="1186">
        <v>21</v>
      </c>
      <c r="W25" s="1186">
        <v>6</v>
      </c>
      <c r="X25" s="1186">
        <v>3</v>
      </c>
      <c r="Y25" s="1186">
        <v>2</v>
      </c>
      <c r="Z25" s="1186">
        <v>10</v>
      </c>
      <c r="AA25" s="1186"/>
    </row>
    <row r="26" spans="1:27" x14ac:dyDescent="0.2">
      <c r="A26" s="1186" t="s">
        <v>19</v>
      </c>
      <c r="B26" s="1186" t="s">
        <v>674</v>
      </c>
      <c r="C26" s="1186" t="s">
        <v>42</v>
      </c>
      <c r="D26" s="1186">
        <v>378</v>
      </c>
      <c r="E26" s="1186">
        <v>119</v>
      </c>
      <c r="F26" s="1186">
        <v>34</v>
      </c>
      <c r="G26" s="1186">
        <v>35</v>
      </c>
      <c r="H26" s="1186">
        <v>175</v>
      </c>
      <c r="I26" s="1186">
        <v>15</v>
      </c>
      <c r="J26" s="1186" t="s">
        <v>19</v>
      </c>
      <c r="K26" s="1186" t="s">
        <v>42</v>
      </c>
      <c r="L26" s="1186" t="s">
        <v>672</v>
      </c>
      <c r="M26" s="1186">
        <v>1</v>
      </c>
      <c r="N26" s="1186"/>
      <c r="O26" s="1186"/>
      <c r="P26" s="1186">
        <v>1</v>
      </c>
      <c r="Q26" s="1186"/>
      <c r="R26" s="1186"/>
      <c r="S26" s="1186" t="s">
        <v>19</v>
      </c>
      <c r="T26" s="1186" t="s">
        <v>42</v>
      </c>
      <c r="U26" s="1186" t="s">
        <v>673</v>
      </c>
      <c r="V26" s="1186">
        <v>43</v>
      </c>
      <c r="W26" s="1186">
        <v>20</v>
      </c>
      <c r="X26" s="1186">
        <v>5</v>
      </c>
      <c r="Y26" s="1186">
        <v>6</v>
      </c>
      <c r="Z26" s="1186">
        <v>12</v>
      </c>
      <c r="AA26" s="1186"/>
    </row>
    <row r="27" spans="1:27" x14ac:dyDescent="0.2">
      <c r="A27" s="1186" t="s">
        <v>19</v>
      </c>
      <c r="B27" s="1186" t="s">
        <v>674</v>
      </c>
      <c r="C27" s="1186" t="s">
        <v>43</v>
      </c>
      <c r="D27" s="1186">
        <v>11</v>
      </c>
      <c r="E27" s="1186">
        <v>6</v>
      </c>
      <c r="F27" s="1186"/>
      <c r="G27" s="1186">
        <v>1</v>
      </c>
      <c r="H27" s="1186">
        <v>2</v>
      </c>
      <c r="I27" s="1186">
        <v>2</v>
      </c>
      <c r="J27" s="1186" t="s">
        <v>19</v>
      </c>
      <c r="K27" s="1186" t="s">
        <v>43</v>
      </c>
      <c r="L27" s="1186" t="s">
        <v>672</v>
      </c>
      <c r="M27" s="1186">
        <v>1</v>
      </c>
      <c r="N27" s="1186">
        <v>1</v>
      </c>
      <c r="O27" s="1186"/>
      <c r="P27" s="1186"/>
      <c r="Q27" s="1186"/>
      <c r="R27" s="1186"/>
      <c r="S27" s="1186" t="s">
        <v>19</v>
      </c>
      <c r="T27" s="1186" t="s">
        <v>43</v>
      </c>
      <c r="U27" s="1186" t="s">
        <v>673</v>
      </c>
      <c r="V27" s="1186">
        <v>1</v>
      </c>
      <c r="W27" s="1186"/>
      <c r="X27" s="1186"/>
      <c r="Y27" s="1186"/>
      <c r="Z27" s="1186">
        <v>1</v>
      </c>
      <c r="AA27" s="1186"/>
    </row>
    <row r="28" spans="1:27" x14ac:dyDescent="0.2">
      <c r="A28" s="1186" t="s">
        <v>19</v>
      </c>
      <c r="B28" s="1186" t="s">
        <v>674</v>
      </c>
      <c r="C28" s="1186" t="s">
        <v>44</v>
      </c>
      <c r="D28" s="1186">
        <v>122</v>
      </c>
      <c r="E28" s="1186">
        <v>48</v>
      </c>
      <c r="F28" s="1186">
        <v>7</v>
      </c>
      <c r="G28" s="1186">
        <v>16</v>
      </c>
      <c r="H28" s="1186">
        <v>47</v>
      </c>
      <c r="I28" s="1186">
        <v>4</v>
      </c>
      <c r="J28" s="1186" t="s">
        <v>19</v>
      </c>
      <c r="K28" s="1186" t="s">
        <v>44</v>
      </c>
      <c r="L28" s="1186" t="s">
        <v>672</v>
      </c>
      <c r="M28" s="1186">
        <v>3</v>
      </c>
      <c r="N28" s="1186"/>
      <c r="O28" s="1186"/>
      <c r="P28" s="1186"/>
      <c r="Q28" s="1186">
        <v>3</v>
      </c>
      <c r="R28" s="1186"/>
      <c r="S28" s="1186" t="s">
        <v>19</v>
      </c>
      <c r="T28" s="1186" t="s">
        <v>44</v>
      </c>
      <c r="U28" s="1186" t="s">
        <v>673</v>
      </c>
      <c r="V28" s="1186">
        <v>10</v>
      </c>
      <c r="W28" s="1186">
        <v>4</v>
      </c>
      <c r="X28" s="1186"/>
      <c r="Y28" s="1186">
        <v>1</v>
      </c>
      <c r="Z28" s="1186">
        <v>5</v>
      </c>
      <c r="AA28" s="1186"/>
    </row>
    <row r="29" spans="1:27" x14ac:dyDescent="0.2">
      <c r="A29" s="1186" t="s">
        <v>19</v>
      </c>
      <c r="B29" s="1186" t="s">
        <v>674</v>
      </c>
      <c r="C29" s="1186" t="s">
        <v>45</v>
      </c>
      <c r="D29" s="1186">
        <v>237</v>
      </c>
      <c r="E29" s="1186">
        <v>111</v>
      </c>
      <c r="F29" s="1186">
        <v>14</v>
      </c>
      <c r="G29" s="1186">
        <v>24</v>
      </c>
      <c r="H29" s="1186">
        <v>80</v>
      </c>
      <c r="I29" s="1186">
        <v>8</v>
      </c>
      <c r="J29" s="1186" t="s">
        <v>19</v>
      </c>
      <c r="K29" s="1186" t="s">
        <v>45</v>
      </c>
      <c r="L29" s="1186" t="s">
        <v>672</v>
      </c>
      <c r="M29" s="1186">
        <v>1</v>
      </c>
      <c r="N29" s="1186">
        <v>1</v>
      </c>
      <c r="O29" s="1186"/>
      <c r="P29" s="1186"/>
      <c r="Q29" s="1186"/>
      <c r="R29" s="1186"/>
      <c r="S29" s="1186" t="s">
        <v>19</v>
      </c>
      <c r="T29" s="1186" t="s">
        <v>45</v>
      </c>
      <c r="U29" s="1186" t="s">
        <v>673</v>
      </c>
      <c r="V29" s="1186">
        <v>20</v>
      </c>
      <c r="W29" s="1186">
        <v>8</v>
      </c>
      <c r="X29" s="1186">
        <v>1</v>
      </c>
      <c r="Y29" s="1186">
        <v>3</v>
      </c>
      <c r="Z29" s="1186">
        <v>6</v>
      </c>
      <c r="AA29" s="1186">
        <v>2</v>
      </c>
    </row>
    <row r="30" spans="1:27" x14ac:dyDescent="0.2">
      <c r="A30" s="1186" t="s">
        <v>19</v>
      </c>
      <c r="B30" s="1186" t="s">
        <v>674</v>
      </c>
      <c r="C30" s="1186" t="s">
        <v>46</v>
      </c>
      <c r="D30" s="1186">
        <v>111</v>
      </c>
      <c r="E30" s="1186">
        <v>40</v>
      </c>
      <c r="F30" s="1186">
        <v>18</v>
      </c>
      <c r="G30" s="1186">
        <v>17</v>
      </c>
      <c r="H30" s="1186">
        <v>35</v>
      </c>
      <c r="I30" s="1186">
        <v>1</v>
      </c>
      <c r="J30" s="1186"/>
      <c r="K30" s="1186"/>
      <c r="L30" s="1186"/>
      <c r="M30" s="1186"/>
      <c r="N30" s="1186"/>
      <c r="O30" s="1186"/>
      <c r="P30" s="1186"/>
      <c r="Q30" s="1186"/>
      <c r="R30" s="1186"/>
      <c r="S30" s="1186" t="s">
        <v>19</v>
      </c>
      <c r="T30" s="1186" t="s">
        <v>46</v>
      </c>
      <c r="U30" s="1186" t="s">
        <v>673</v>
      </c>
      <c r="V30" s="1186">
        <v>29</v>
      </c>
      <c r="W30" s="1186">
        <v>9</v>
      </c>
      <c r="X30" s="1186">
        <v>9</v>
      </c>
      <c r="Y30" s="1186">
        <v>6</v>
      </c>
      <c r="Z30" s="1186">
        <v>5</v>
      </c>
      <c r="AA30" s="1186"/>
    </row>
    <row r="31" spans="1:27" x14ac:dyDescent="0.2">
      <c r="A31" s="1186" t="s">
        <v>19</v>
      </c>
      <c r="B31" s="1186" t="s">
        <v>674</v>
      </c>
      <c r="C31" s="1186" t="s">
        <v>47</v>
      </c>
      <c r="D31" s="1186">
        <v>11</v>
      </c>
      <c r="E31" s="1186">
        <v>5</v>
      </c>
      <c r="F31" s="1186"/>
      <c r="G31" s="1186"/>
      <c r="H31" s="1186">
        <v>4</v>
      </c>
      <c r="I31" s="1186">
        <v>2</v>
      </c>
      <c r="J31" s="1186"/>
      <c r="K31" s="1186"/>
      <c r="L31" s="1186"/>
      <c r="M31" s="1186"/>
      <c r="N31" s="1186"/>
      <c r="O31" s="1186"/>
      <c r="P31" s="1186"/>
      <c r="Q31" s="1186"/>
      <c r="R31" s="1186"/>
      <c r="S31" s="1186"/>
      <c r="T31" s="1186"/>
      <c r="U31" s="1186"/>
      <c r="V31" s="1186"/>
      <c r="W31" s="1186"/>
      <c r="X31" s="1186"/>
      <c r="Y31" s="1186"/>
      <c r="Z31" s="1186"/>
      <c r="AA31" s="1186"/>
    </row>
    <row r="32" spans="1:27" x14ac:dyDescent="0.2">
      <c r="A32" s="1186" t="s">
        <v>19</v>
      </c>
      <c r="B32" s="1186" t="s">
        <v>674</v>
      </c>
      <c r="C32" s="1186" t="s">
        <v>48</v>
      </c>
      <c r="D32" s="1186">
        <v>99</v>
      </c>
      <c r="E32" s="1186">
        <v>31</v>
      </c>
      <c r="F32" s="1186">
        <v>5</v>
      </c>
      <c r="G32" s="1186">
        <v>14</v>
      </c>
      <c r="H32" s="1186">
        <v>35</v>
      </c>
      <c r="I32" s="1186">
        <v>14</v>
      </c>
      <c r="J32" s="1186" t="s">
        <v>19</v>
      </c>
      <c r="K32" s="1186" t="s">
        <v>48</v>
      </c>
      <c r="L32" s="1186" t="s">
        <v>672</v>
      </c>
      <c r="M32" s="1186">
        <v>1</v>
      </c>
      <c r="N32" s="1186">
        <v>1</v>
      </c>
      <c r="O32" s="1186"/>
      <c r="P32" s="1186"/>
      <c r="Q32" s="1186"/>
      <c r="R32" s="1186"/>
      <c r="S32" s="1186" t="s">
        <v>19</v>
      </c>
      <c r="T32" s="1186" t="s">
        <v>48</v>
      </c>
      <c r="U32" s="1186" t="s">
        <v>673</v>
      </c>
      <c r="V32" s="1186">
        <v>11</v>
      </c>
      <c r="W32" s="1186">
        <v>5</v>
      </c>
      <c r="X32" s="1186">
        <v>3</v>
      </c>
      <c r="Y32" s="1186">
        <v>1</v>
      </c>
      <c r="Z32" s="1186">
        <v>1</v>
      </c>
      <c r="AA32" s="1186">
        <v>1</v>
      </c>
    </row>
    <row r="33" spans="1:27" x14ac:dyDescent="0.2">
      <c r="A33" s="1186" t="s">
        <v>19</v>
      </c>
      <c r="B33" s="1186" t="s">
        <v>674</v>
      </c>
      <c r="C33" s="1186" t="s">
        <v>49</v>
      </c>
      <c r="D33" s="1186">
        <v>326</v>
      </c>
      <c r="E33" s="1186">
        <v>111</v>
      </c>
      <c r="F33" s="1186">
        <v>31</v>
      </c>
      <c r="G33" s="1186">
        <v>51</v>
      </c>
      <c r="H33" s="1186">
        <v>110</v>
      </c>
      <c r="I33" s="1186">
        <v>23</v>
      </c>
      <c r="J33" s="1186" t="s">
        <v>19</v>
      </c>
      <c r="K33" s="1186" t="s">
        <v>49</v>
      </c>
      <c r="L33" s="1186" t="s">
        <v>672</v>
      </c>
      <c r="M33" s="1186">
        <v>3</v>
      </c>
      <c r="N33" s="1186"/>
      <c r="O33" s="1186"/>
      <c r="P33" s="1186"/>
      <c r="Q33" s="1186">
        <v>2</v>
      </c>
      <c r="R33" s="1186">
        <v>1</v>
      </c>
      <c r="S33" s="1186" t="s">
        <v>19</v>
      </c>
      <c r="T33" s="1186" t="s">
        <v>49</v>
      </c>
      <c r="U33" s="1186" t="s">
        <v>673</v>
      </c>
      <c r="V33" s="1186">
        <v>43</v>
      </c>
      <c r="W33" s="1186">
        <v>14</v>
      </c>
      <c r="X33" s="1186">
        <v>2</v>
      </c>
      <c r="Y33" s="1186">
        <v>6</v>
      </c>
      <c r="Z33" s="1186">
        <v>14</v>
      </c>
      <c r="AA33" s="1186">
        <v>7</v>
      </c>
    </row>
    <row r="34" spans="1:27" x14ac:dyDescent="0.2">
      <c r="A34" s="1186" t="s">
        <v>19</v>
      </c>
      <c r="B34" s="1186" t="s">
        <v>674</v>
      </c>
      <c r="C34" s="1186" t="s">
        <v>50</v>
      </c>
      <c r="D34" s="1186">
        <v>94</v>
      </c>
      <c r="E34" s="1186">
        <v>40</v>
      </c>
      <c r="F34" s="1186">
        <v>11</v>
      </c>
      <c r="G34" s="1186">
        <v>9</v>
      </c>
      <c r="H34" s="1186">
        <v>30</v>
      </c>
      <c r="I34" s="1186">
        <v>4</v>
      </c>
      <c r="J34" s="1186" t="s">
        <v>19</v>
      </c>
      <c r="K34" s="1186" t="s">
        <v>50</v>
      </c>
      <c r="L34" s="1186" t="s">
        <v>672</v>
      </c>
      <c r="M34" s="1186">
        <v>1</v>
      </c>
      <c r="N34" s="1186">
        <v>1</v>
      </c>
      <c r="O34" s="1186"/>
      <c r="P34" s="1186"/>
      <c r="Q34" s="1186"/>
      <c r="R34" s="1186"/>
      <c r="S34" s="1186" t="s">
        <v>19</v>
      </c>
      <c r="T34" s="1186" t="s">
        <v>50</v>
      </c>
      <c r="U34" s="1186" t="s">
        <v>673</v>
      </c>
      <c r="V34" s="1186">
        <v>10</v>
      </c>
      <c r="W34" s="1186">
        <v>3</v>
      </c>
      <c r="X34" s="1186">
        <v>4</v>
      </c>
      <c r="Y34" s="1186">
        <v>2</v>
      </c>
      <c r="Z34" s="1186">
        <v>1</v>
      </c>
      <c r="AA34" s="1186"/>
    </row>
    <row r="35" spans="1:27" x14ac:dyDescent="0.2">
      <c r="A35" s="1186" t="s">
        <v>19</v>
      </c>
      <c r="B35" s="1186" t="s">
        <v>674</v>
      </c>
      <c r="C35" s="1186" t="s">
        <v>51</v>
      </c>
      <c r="D35" s="1186">
        <v>172</v>
      </c>
      <c r="E35" s="1186">
        <v>72</v>
      </c>
      <c r="F35" s="1186">
        <v>14</v>
      </c>
      <c r="G35" s="1186">
        <v>18</v>
      </c>
      <c r="H35" s="1186">
        <v>61</v>
      </c>
      <c r="I35" s="1186">
        <v>7</v>
      </c>
      <c r="J35" s="1186" t="s">
        <v>19</v>
      </c>
      <c r="K35" s="1186" t="s">
        <v>51</v>
      </c>
      <c r="L35" s="1186" t="s">
        <v>672</v>
      </c>
      <c r="M35" s="1186">
        <v>2</v>
      </c>
      <c r="N35" s="1186"/>
      <c r="O35" s="1186"/>
      <c r="P35" s="1186"/>
      <c r="Q35" s="1186">
        <v>2</v>
      </c>
      <c r="R35" s="1186"/>
      <c r="S35" s="1186" t="s">
        <v>19</v>
      </c>
      <c r="T35" s="1186" t="s">
        <v>51</v>
      </c>
      <c r="U35" s="1186" t="s">
        <v>673</v>
      </c>
      <c r="V35" s="1186">
        <v>13</v>
      </c>
      <c r="W35" s="1186">
        <v>8</v>
      </c>
      <c r="X35" s="1186">
        <v>1</v>
      </c>
      <c r="Y35" s="1186">
        <v>1</v>
      </c>
      <c r="Z35" s="1186">
        <v>3</v>
      </c>
      <c r="AA35" s="1186"/>
    </row>
    <row r="36" spans="1:27" x14ac:dyDescent="0.2">
      <c r="A36" s="1186" t="s">
        <v>19</v>
      </c>
      <c r="B36" s="1186" t="s">
        <v>674</v>
      </c>
      <c r="C36" s="1186" t="s">
        <v>52</v>
      </c>
      <c r="D36" s="1186">
        <v>222</v>
      </c>
      <c r="E36" s="1186">
        <v>83</v>
      </c>
      <c r="F36" s="1186">
        <v>17</v>
      </c>
      <c r="G36" s="1186">
        <v>21</v>
      </c>
      <c r="H36" s="1186">
        <v>98</v>
      </c>
      <c r="I36" s="1186">
        <v>3</v>
      </c>
      <c r="J36" s="1186" t="s">
        <v>19</v>
      </c>
      <c r="K36" s="1186" t="s">
        <v>52</v>
      </c>
      <c r="L36" s="1186" t="s">
        <v>672</v>
      </c>
      <c r="M36" s="1186">
        <v>3</v>
      </c>
      <c r="N36" s="1186">
        <v>1</v>
      </c>
      <c r="O36" s="1186"/>
      <c r="P36" s="1186">
        <v>1</v>
      </c>
      <c r="Q36" s="1186">
        <v>1</v>
      </c>
      <c r="R36" s="1186"/>
      <c r="S36" s="1186" t="s">
        <v>19</v>
      </c>
      <c r="T36" s="1186" t="s">
        <v>52</v>
      </c>
      <c r="U36" s="1186" t="s">
        <v>673</v>
      </c>
      <c r="V36" s="1186">
        <v>47</v>
      </c>
      <c r="W36" s="1186">
        <v>22</v>
      </c>
      <c r="X36" s="1186">
        <v>5</v>
      </c>
      <c r="Y36" s="1186">
        <v>4</v>
      </c>
      <c r="Z36" s="1186">
        <v>15</v>
      </c>
      <c r="AA36" s="1186">
        <v>1</v>
      </c>
    </row>
    <row r="37" spans="1:27" x14ac:dyDescent="0.2">
      <c r="A37" s="1186" t="s">
        <v>20</v>
      </c>
      <c r="B37" s="1186" t="s">
        <v>674</v>
      </c>
      <c r="C37" s="1186" t="s">
        <v>23</v>
      </c>
      <c r="D37" s="1186">
        <v>340</v>
      </c>
      <c r="E37" s="1186">
        <v>146</v>
      </c>
      <c r="F37" s="1186">
        <v>14</v>
      </c>
      <c r="G37" s="1186">
        <v>29</v>
      </c>
      <c r="H37" s="1186">
        <v>143</v>
      </c>
      <c r="I37" s="1186">
        <v>8</v>
      </c>
      <c r="J37" s="1186" t="s">
        <v>20</v>
      </c>
      <c r="K37" s="1186" t="s">
        <v>23</v>
      </c>
      <c r="L37" s="1186" t="s">
        <v>672</v>
      </c>
      <c r="M37" s="1186">
        <v>1</v>
      </c>
      <c r="N37" s="1186"/>
      <c r="O37" s="1186"/>
      <c r="P37" s="1186"/>
      <c r="Q37" s="1186">
        <v>1</v>
      </c>
      <c r="R37" s="1186"/>
      <c r="S37" s="1186" t="s">
        <v>20</v>
      </c>
      <c r="T37" s="1186" t="s">
        <v>23</v>
      </c>
      <c r="U37" s="1186" t="s">
        <v>673</v>
      </c>
      <c r="V37" s="1186">
        <v>71</v>
      </c>
      <c r="W37" s="1186">
        <v>34</v>
      </c>
      <c r="X37" s="1186">
        <v>2</v>
      </c>
      <c r="Y37" s="1186">
        <v>2</v>
      </c>
      <c r="Z37" s="1186">
        <v>33</v>
      </c>
      <c r="AA37" s="1186"/>
    </row>
    <row r="38" spans="1:27" x14ac:dyDescent="0.2">
      <c r="A38" s="1186" t="s">
        <v>20</v>
      </c>
      <c r="B38" s="1186" t="s">
        <v>674</v>
      </c>
      <c r="C38" s="1186" t="s">
        <v>24</v>
      </c>
      <c r="D38" s="1186">
        <v>203</v>
      </c>
      <c r="E38" s="1186">
        <v>113</v>
      </c>
      <c r="F38" s="1186">
        <v>9</v>
      </c>
      <c r="G38" s="1186">
        <v>18</v>
      </c>
      <c r="H38" s="1186">
        <v>60</v>
      </c>
      <c r="I38" s="1186">
        <v>3</v>
      </c>
      <c r="J38" s="1186" t="s">
        <v>20</v>
      </c>
      <c r="K38" s="1186" t="s">
        <v>24</v>
      </c>
      <c r="L38" s="1186" t="s">
        <v>672</v>
      </c>
      <c r="M38" s="1186">
        <v>4</v>
      </c>
      <c r="N38" s="1186"/>
      <c r="O38" s="1186"/>
      <c r="P38" s="1186">
        <v>2</v>
      </c>
      <c r="Q38" s="1186">
        <v>1</v>
      </c>
      <c r="R38" s="1186">
        <v>1</v>
      </c>
      <c r="S38" s="1186" t="s">
        <v>20</v>
      </c>
      <c r="T38" s="1186" t="s">
        <v>24</v>
      </c>
      <c r="U38" s="1186" t="s">
        <v>673</v>
      </c>
      <c r="V38" s="1186">
        <v>27</v>
      </c>
      <c r="W38" s="1186">
        <v>9</v>
      </c>
      <c r="X38" s="1186">
        <v>3</v>
      </c>
      <c r="Y38" s="1186">
        <v>8</v>
      </c>
      <c r="Z38" s="1186">
        <v>7</v>
      </c>
      <c r="AA38" s="1186"/>
    </row>
    <row r="39" spans="1:27" x14ac:dyDescent="0.2">
      <c r="A39" s="1186" t="s">
        <v>20</v>
      </c>
      <c r="B39" s="1186" t="s">
        <v>674</v>
      </c>
      <c r="C39" s="1186" t="s">
        <v>25</v>
      </c>
      <c r="D39" s="1186">
        <v>87</v>
      </c>
      <c r="E39" s="1186">
        <v>33</v>
      </c>
      <c r="F39" s="1186">
        <v>7</v>
      </c>
      <c r="G39" s="1186">
        <v>22</v>
      </c>
      <c r="H39" s="1186">
        <v>24</v>
      </c>
      <c r="I39" s="1186">
        <v>1</v>
      </c>
      <c r="J39" s="1186" t="s">
        <v>20</v>
      </c>
      <c r="K39" s="1186" t="s">
        <v>25</v>
      </c>
      <c r="L39" s="1186" t="s">
        <v>672</v>
      </c>
      <c r="M39" s="1186">
        <v>1</v>
      </c>
      <c r="N39" s="1186">
        <v>1</v>
      </c>
      <c r="O39" s="1186"/>
      <c r="P39" s="1186"/>
      <c r="Q39" s="1186"/>
      <c r="R39" s="1186"/>
      <c r="S39" s="1186" t="s">
        <v>20</v>
      </c>
      <c r="T39" s="1186" t="s">
        <v>25</v>
      </c>
      <c r="U39" s="1186" t="s">
        <v>673</v>
      </c>
      <c r="V39" s="1186">
        <v>10</v>
      </c>
      <c r="W39" s="1186">
        <v>4</v>
      </c>
      <c r="X39" s="1186"/>
      <c r="Y39" s="1186">
        <v>3</v>
      </c>
      <c r="Z39" s="1186">
        <v>3</v>
      </c>
      <c r="AA39" s="1186"/>
    </row>
    <row r="40" spans="1:27" x14ac:dyDescent="0.2">
      <c r="A40" s="1186" t="s">
        <v>20</v>
      </c>
      <c r="B40" s="1186" t="s">
        <v>674</v>
      </c>
      <c r="C40" s="1186" t="s">
        <v>26</v>
      </c>
      <c r="D40" s="1186">
        <v>126</v>
      </c>
      <c r="E40" s="1186">
        <v>42</v>
      </c>
      <c r="F40" s="1186">
        <v>8</v>
      </c>
      <c r="G40" s="1186">
        <v>19</v>
      </c>
      <c r="H40" s="1186">
        <v>46</v>
      </c>
      <c r="I40" s="1186">
        <v>11</v>
      </c>
      <c r="J40" s="1186" t="s">
        <v>20</v>
      </c>
      <c r="K40" s="1186" t="s">
        <v>26</v>
      </c>
      <c r="L40" s="1186" t="s">
        <v>672</v>
      </c>
      <c r="M40" s="1186">
        <v>2</v>
      </c>
      <c r="N40" s="1186"/>
      <c r="O40" s="1186"/>
      <c r="P40" s="1186"/>
      <c r="Q40" s="1186">
        <v>2</v>
      </c>
      <c r="R40" s="1186"/>
      <c r="S40" s="1186" t="s">
        <v>20</v>
      </c>
      <c r="T40" s="1186" t="s">
        <v>26</v>
      </c>
      <c r="U40" s="1186" t="s">
        <v>673</v>
      </c>
      <c r="V40" s="1186">
        <v>14</v>
      </c>
      <c r="W40" s="1186">
        <v>4</v>
      </c>
      <c r="X40" s="1186"/>
      <c r="Y40" s="1186">
        <v>4</v>
      </c>
      <c r="Z40" s="1186">
        <v>4</v>
      </c>
      <c r="AA40" s="1186">
        <v>2</v>
      </c>
    </row>
    <row r="41" spans="1:27" x14ac:dyDescent="0.2">
      <c r="A41" s="1186" t="s">
        <v>20</v>
      </c>
      <c r="B41" s="1186" t="s">
        <v>674</v>
      </c>
      <c r="C41" s="1186" t="s">
        <v>619</v>
      </c>
      <c r="D41" s="1186">
        <v>728</v>
      </c>
      <c r="E41" s="1186">
        <v>272</v>
      </c>
      <c r="F41" s="1186">
        <v>49</v>
      </c>
      <c r="G41" s="1186">
        <v>105</v>
      </c>
      <c r="H41" s="1186">
        <v>292</v>
      </c>
      <c r="I41" s="1186">
        <v>10</v>
      </c>
      <c r="J41" s="1186" t="s">
        <v>20</v>
      </c>
      <c r="K41" s="1186" t="s">
        <v>619</v>
      </c>
      <c r="L41" s="1186" t="s">
        <v>672</v>
      </c>
      <c r="M41" s="1186">
        <v>6</v>
      </c>
      <c r="N41" s="1186">
        <v>3</v>
      </c>
      <c r="O41" s="1186"/>
      <c r="P41" s="1186">
        <v>2</v>
      </c>
      <c r="Q41" s="1186">
        <v>1</v>
      </c>
      <c r="R41" s="1186"/>
      <c r="S41" s="1186" t="s">
        <v>20</v>
      </c>
      <c r="T41" s="1186" t="s">
        <v>619</v>
      </c>
      <c r="U41" s="1186" t="s">
        <v>673</v>
      </c>
      <c r="V41" s="1186">
        <v>227</v>
      </c>
      <c r="W41" s="1186">
        <v>89</v>
      </c>
      <c r="X41" s="1186">
        <v>15</v>
      </c>
      <c r="Y41" s="1186">
        <v>28</v>
      </c>
      <c r="Z41" s="1186">
        <v>91</v>
      </c>
      <c r="AA41" s="1186">
        <v>4</v>
      </c>
    </row>
    <row r="42" spans="1:27" x14ac:dyDescent="0.2">
      <c r="A42" s="1186" t="s">
        <v>20</v>
      </c>
      <c r="B42" s="1186" t="s">
        <v>674</v>
      </c>
      <c r="C42" s="1186" t="s">
        <v>27</v>
      </c>
      <c r="D42" s="1186">
        <v>49</v>
      </c>
      <c r="E42" s="1186">
        <v>14</v>
      </c>
      <c r="F42" s="1186">
        <v>3</v>
      </c>
      <c r="G42" s="1186">
        <v>5</v>
      </c>
      <c r="H42" s="1186">
        <v>26</v>
      </c>
      <c r="I42" s="1186">
        <v>1</v>
      </c>
      <c r="J42" s="1186"/>
      <c r="K42" s="1186"/>
      <c r="L42" s="1186"/>
      <c r="M42" s="1186"/>
      <c r="N42" s="1186"/>
      <c r="O42" s="1186"/>
      <c r="P42" s="1186"/>
      <c r="Q42" s="1186"/>
      <c r="R42" s="1186"/>
      <c r="S42" s="1186" t="s">
        <v>20</v>
      </c>
      <c r="T42" s="1186" t="s">
        <v>27</v>
      </c>
      <c r="U42" s="1186" t="s">
        <v>673</v>
      </c>
      <c r="V42" s="1186">
        <v>5</v>
      </c>
      <c r="W42" s="1186">
        <v>3</v>
      </c>
      <c r="X42" s="1186">
        <v>1</v>
      </c>
      <c r="Y42" s="1186"/>
      <c r="Z42" s="1186">
        <v>1</v>
      </c>
      <c r="AA42" s="1186"/>
    </row>
    <row r="43" spans="1:27" x14ac:dyDescent="0.2">
      <c r="A43" s="1186" t="s">
        <v>20</v>
      </c>
      <c r="B43" s="1186" t="s">
        <v>674</v>
      </c>
      <c r="C43" s="1186" t="s">
        <v>28</v>
      </c>
      <c r="D43" s="1186">
        <v>110</v>
      </c>
      <c r="E43" s="1186">
        <v>43</v>
      </c>
      <c r="F43" s="1186">
        <v>20</v>
      </c>
      <c r="G43" s="1186">
        <v>29</v>
      </c>
      <c r="H43" s="1186">
        <v>17</v>
      </c>
      <c r="I43" s="1186">
        <v>1</v>
      </c>
      <c r="J43" s="1186"/>
      <c r="K43" s="1186"/>
      <c r="L43" s="1186"/>
      <c r="M43" s="1186"/>
      <c r="N43" s="1186"/>
      <c r="O43" s="1186"/>
      <c r="P43" s="1186"/>
      <c r="Q43" s="1186"/>
      <c r="R43" s="1186"/>
      <c r="S43" s="1186" t="s">
        <v>20</v>
      </c>
      <c r="T43" s="1186" t="s">
        <v>28</v>
      </c>
      <c r="U43" s="1186" t="s">
        <v>673</v>
      </c>
      <c r="V43" s="1186">
        <v>11</v>
      </c>
      <c r="W43" s="1186">
        <v>7</v>
      </c>
      <c r="X43" s="1186">
        <v>3</v>
      </c>
      <c r="Y43" s="1186">
        <v>1</v>
      </c>
      <c r="Z43" s="1186"/>
      <c r="AA43" s="1186"/>
    </row>
    <row r="44" spans="1:27" x14ac:dyDescent="0.2">
      <c r="A44" s="1186" t="s">
        <v>20</v>
      </c>
      <c r="B44" s="1186" t="s">
        <v>674</v>
      </c>
      <c r="C44" s="1186" t="s">
        <v>29</v>
      </c>
      <c r="D44" s="1186">
        <v>332</v>
      </c>
      <c r="E44" s="1186">
        <v>154</v>
      </c>
      <c r="F44" s="1186">
        <v>20</v>
      </c>
      <c r="G44" s="1186">
        <v>40</v>
      </c>
      <c r="H44" s="1186">
        <v>117</v>
      </c>
      <c r="I44" s="1186">
        <v>1</v>
      </c>
      <c r="J44" s="1186" t="s">
        <v>20</v>
      </c>
      <c r="K44" s="1186" t="s">
        <v>29</v>
      </c>
      <c r="L44" s="1186" t="s">
        <v>672</v>
      </c>
      <c r="M44" s="1186">
        <v>4</v>
      </c>
      <c r="N44" s="1186">
        <v>2</v>
      </c>
      <c r="O44" s="1186">
        <v>1</v>
      </c>
      <c r="P44" s="1186">
        <v>1</v>
      </c>
      <c r="Q44" s="1186"/>
      <c r="R44" s="1186"/>
      <c r="S44" s="1186" t="s">
        <v>20</v>
      </c>
      <c r="T44" s="1186" t="s">
        <v>29</v>
      </c>
      <c r="U44" s="1186" t="s">
        <v>673</v>
      </c>
      <c r="V44" s="1186">
        <v>39</v>
      </c>
      <c r="W44" s="1186">
        <v>15</v>
      </c>
      <c r="X44" s="1186">
        <v>3</v>
      </c>
      <c r="Y44" s="1186">
        <v>12</v>
      </c>
      <c r="Z44" s="1186">
        <v>9</v>
      </c>
      <c r="AA44" s="1186"/>
    </row>
    <row r="45" spans="1:27" x14ac:dyDescent="0.2">
      <c r="A45" s="1186" t="s">
        <v>20</v>
      </c>
      <c r="B45" s="1186" t="s">
        <v>674</v>
      </c>
      <c r="C45" s="1186" t="s">
        <v>30</v>
      </c>
      <c r="D45" s="1186">
        <v>118</v>
      </c>
      <c r="E45" s="1186">
        <v>57</v>
      </c>
      <c r="F45" s="1186">
        <v>11</v>
      </c>
      <c r="G45" s="1186">
        <v>10</v>
      </c>
      <c r="H45" s="1186">
        <v>39</v>
      </c>
      <c r="I45" s="1186">
        <v>1</v>
      </c>
      <c r="J45" s="1186"/>
      <c r="K45" s="1186"/>
      <c r="L45" s="1186"/>
      <c r="M45" s="1186"/>
      <c r="N45" s="1186"/>
      <c r="O45" s="1186"/>
      <c r="P45" s="1186"/>
      <c r="Q45" s="1186"/>
      <c r="R45" s="1186"/>
      <c r="S45" s="1186" t="s">
        <v>20</v>
      </c>
      <c r="T45" s="1186" t="s">
        <v>30</v>
      </c>
      <c r="U45" s="1186" t="s">
        <v>673</v>
      </c>
      <c r="V45" s="1186">
        <v>15</v>
      </c>
      <c r="W45" s="1186">
        <v>5</v>
      </c>
      <c r="X45" s="1186">
        <v>3</v>
      </c>
      <c r="Y45" s="1186">
        <v>4</v>
      </c>
      <c r="Z45" s="1186">
        <v>3</v>
      </c>
      <c r="AA45" s="1186"/>
    </row>
    <row r="46" spans="1:27" x14ac:dyDescent="0.2">
      <c r="A46" s="1186" t="s">
        <v>20</v>
      </c>
      <c r="B46" s="1186" t="s">
        <v>674</v>
      </c>
      <c r="C46" s="1186" t="s">
        <v>31</v>
      </c>
      <c r="D46" s="1186">
        <v>69</v>
      </c>
      <c r="E46" s="1186">
        <v>28</v>
      </c>
      <c r="F46" s="1186">
        <v>3</v>
      </c>
      <c r="G46" s="1186">
        <v>15</v>
      </c>
      <c r="H46" s="1186">
        <v>19</v>
      </c>
      <c r="I46" s="1186">
        <v>4</v>
      </c>
      <c r="J46" s="1186" t="s">
        <v>20</v>
      </c>
      <c r="K46" s="1186" t="s">
        <v>31</v>
      </c>
      <c r="L46" s="1186" t="s">
        <v>672</v>
      </c>
      <c r="M46" s="1186">
        <v>1</v>
      </c>
      <c r="N46" s="1186"/>
      <c r="O46" s="1186"/>
      <c r="P46" s="1186">
        <v>1</v>
      </c>
      <c r="Q46" s="1186"/>
      <c r="R46" s="1186"/>
      <c r="S46" s="1186" t="s">
        <v>20</v>
      </c>
      <c r="T46" s="1186" t="s">
        <v>31</v>
      </c>
      <c r="U46" s="1186" t="s">
        <v>673</v>
      </c>
      <c r="V46" s="1186">
        <v>6</v>
      </c>
      <c r="W46" s="1186">
        <v>3</v>
      </c>
      <c r="X46" s="1186"/>
      <c r="Y46" s="1186"/>
      <c r="Z46" s="1186">
        <v>2</v>
      </c>
      <c r="AA46" s="1186">
        <v>1</v>
      </c>
    </row>
    <row r="47" spans="1:27" x14ac:dyDescent="0.2">
      <c r="A47" s="1186" t="s">
        <v>20</v>
      </c>
      <c r="B47" s="1186" t="s">
        <v>674</v>
      </c>
      <c r="C47" s="1186" t="s">
        <v>32</v>
      </c>
      <c r="D47" s="1186">
        <v>88</v>
      </c>
      <c r="E47" s="1186">
        <v>36</v>
      </c>
      <c r="F47" s="1186">
        <v>12</v>
      </c>
      <c r="G47" s="1186">
        <v>11</v>
      </c>
      <c r="H47" s="1186">
        <v>28</v>
      </c>
      <c r="I47" s="1186">
        <v>1</v>
      </c>
      <c r="J47" s="1186"/>
      <c r="K47" s="1186"/>
      <c r="L47" s="1186"/>
      <c r="M47" s="1186"/>
      <c r="N47" s="1186"/>
      <c r="O47" s="1186"/>
      <c r="P47" s="1186"/>
      <c r="Q47" s="1186"/>
      <c r="R47" s="1186"/>
      <c r="S47" s="1186" t="s">
        <v>20</v>
      </c>
      <c r="T47" s="1186" t="s">
        <v>32</v>
      </c>
      <c r="U47" s="1186" t="s">
        <v>673</v>
      </c>
      <c r="V47" s="1186">
        <v>21</v>
      </c>
      <c r="W47" s="1186">
        <v>7</v>
      </c>
      <c r="X47" s="1186">
        <v>1</v>
      </c>
      <c r="Y47" s="1186">
        <v>2</v>
      </c>
      <c r="Z47" s="1186">
        <v>11</v>
      </c>
      <c r="AA47" s="1186"/>
    </row>
    <row r="48" spans="1:27" x14ac:dyDescent="0.2">
      <c r="A48" s="1186" t="s">
        <v>20</v>
      </c>
      <c r="B48" s="1186" t="s">
        <v>674</v>
      </c>
      <c r="C48" s="1186" t="s">
        <v>33</v>
      </c>
      <c r="D48" s="1186">
        <v>58</v>
      </c>
      <c r="E48" s="1186">
        <v>21</v>
      </c>
      <c r="F48" s="1186">
        <v>4</v>
      </c>
      <c r="G48" s="1186">
        <v>6</v>
      </c>
      <c r="H48" s="1186">
        <v>26</v>
      </c>
      <c r="I48" s="1186">
        <v>1</v>
      </c>
      <c r="J48" s="1186"/>
      <c r="K48" s="1186"/>
      <c r="L48" s="1186"/>
      <c r="M48" s="1186"/>
      <c r="N48" s="1186"/>
      <c r="O48" s="1186"/>
      <c r="P48" s="1186"/>
      <c r="Q48" s="1186"/>
      <c r="R48" s="1186"/>
      <c r="S48" s="1186" t="s">
        <v>20</v>
      </c>
      <c r="T48" s="1186" t="s">
        <v>33</v>
      </c>
      <c r="U48" s="1186" t="s">
        <v>673</v>
      </c>
      <c r="V48" s="1186">
        <v>14</v>
      </c>
      <c r="W48" s="1186">
        <v>9</v>
      </c>
      <c r="X48" s="1186"/>
      <c r="Y48" s="1186"/>
      <c r="Z48" s="1186">
        <v>5</v>
      </c>
      <c r="AA48" s="1186"/>
    </row>
    <row r="49" spans="1:27" x14ac:dyDescent="0.2">
      <c r="A49" s="1186" t="s">
        <v>20</v>
      </c>
      <c r="B49" s="1186" t="s">
        <v>674</v>
      </c>
      <c r="C49" s="1186" t="s">
        <v>34</v>
      </c>
      <c r="D49" s="1186">
        <v>130</v>
      </c>
      <c r="E49" s="1186">
        <v>52</v>
      </c>
      <c r="F49" s="1186">
        <v>14</v>
      </c>
      <c r="G49" s="1186">
        <v>19</v>
      </c>
      <c r="H49" s="1186">
        <v>41</v>
      </c>
      <c r="I49" s="1186">
        <v>4</v>
      </c>
      <c r="J49" s="1186" t="s">
        <v>20</v>
      </c>
      <c r="K49" s="1186" t="s">
        <v>34</v>
      </c>
      <c r="L49" s="1186" t="s">
        <v>672</v>
      </c>
      <c r="M49" s="1186">
        <v>2</v>
      </c>
      <c r="N49" s="1186"/>
      <c r="O49" s="1186"/>
      <c r="P49" s="1186"/>
      <c r="Q49" s="1186"/>
      <c r="R49" s="1186">
        <v>2</v>
      </c>
      <c r="S49" s="1186" t="s">
        <v>20</v>
      </c>
      <c r="T49" s="1186" t="s">
        <v>34</v>
      </c>
      <c r="U49" s="1186" t="s">
        <v>673</v>
      </c>
      <c r="V49" s="1186">
        <v>20</v>
      </c>
      <c r="W49" s="1186">
        <v>12</v>
      </c>
      <c r="X49" s="1186">
        <v>1</v>
      </c>
      <c r="Y49" s="1186">
        <v>1</v>
      </c>
      <c r="Z49" s="1186">
        <v>6</v>
      </c>
      <c r="AA49" s="1186"/>
    </row>
    <row r="50" spans="1:27" x14ac:dyDescent="0.2">
      <c r="A50" s="1186" t="s">
        <v>20</v>
      </c>
      <c r="B50" s="1186" t="s">
        <v>674</v>
      </c>
      <c r="C50" s="1186" t="s">
        <v>35</v>
      </c>
      <c r="D50" s="1186">
        <v>301</v>
      </c>
      <c r="E50" s="1186">
        <v>89</v>
      </c>
      <c r="F50" s="1186">
        <v>48</v>
      </c>
      <c r="G50" s="1186">
        <v>36</v>
      </c>
      <c r="H50" s="1186">
        <v>126</v>
      </c>
      <c r="I50" s="1186">
        <v>2</v>
      </c>
      <c r="J50" s="1186" t="s">
        <v>20</v>
      </c>
      <c r="K50" s="1186" t="s">
        <v>35</v>
      </c>
      <c r="L50" s="1186" t="s">
        <v>672</v>
      </c>
      <c r="M50" s="1186">
        <v>2</v>
      </c>
      <c r="N50" s="1186"/>
      <c r="O50" s="1186">
        <v>1</v>
      </c>
      <c r="P50" s="1186"/>
      <c r="Q50" s="1186"/>
      <c r="R50" s="1186">
        <v>1</v>
      </c>
      <c r="S50" s="1186" t="s">
        <v>20</v>
      </c>
      <c r="T50" s="1186" t="s">
        <v>35</v>
      </c>
      <c r="U50" s="1186" t="s">
        <v>673</v>
      </c>
      <c r="V50" s="1186">
        <v>51</v>
      </c>
      <c r="W50" s="1186">
        <v>14</v>
      </c>
      <c r="X50" s="1186">
        <v>15</v>
      </c>
      <c r="Y50" s="1186">
        <v>7</v>
      </c>
      <c r="Z50" s="1186">
        <v>15</v>
      </c>
      <c r="AA50" s="1186"/>
    </row>
    <row r="51" spans="1:27" x14ac:dyDescent="0.2">
      <c r="A51" s="1186" t="s">
        <v>20</v>
      </c>
      <c r="B51" s="1186" t="s">
        <v>674</v>
      </c>
      <c r="C51" s="1186" t="s">
        <v>36</v>
      </c>
      <c r="D51" s="1186">
        <v>1179</v>
      </c>
      <c r="E51" s="1186">
        <v>526</v>
      </c>
      <c r="F51" s="1186">
        <v>82</v>
      </c>
      <c r="G51" s="1186">
        <v>134</v>
      </c>
      <c r="H51" s="1186">
        <v>410</v>
      </c>
      <c r="I51" s="1186">
        <v>27</v>
      </c>
      <c r="J51" s="1186" t="s">
        <v>20</v>
      </c>
      <c r="K51" s="1186" t="s">
        <v>36</v>
      </c>
      <c r="L51" s="1186" t="s">
        <v>672</v>
      </c>
      <c r="M51" s="1186">
        <v>10</v>
      </c>
      <c r="N51" s="1186">
        <v>5</v>
      </c>
      <c r="O51" s="1186"/>
      <c r="P51" s="1186">
        <v>1</v>
      </c>
      <c r="Q51" s="1186">
        <v>1</v>
      </c>
      <c r="R51" s="1186">
        <v>3</v>
      </c>
      <c r="S51" s="1186" t="s">
        <v>20</v>
      </c>
      <c r="T51" s="1186" t="s">
        <v>36</v>
      </c>
      <c r="U51" s="1186" t="s">
        <v>673</v>
      </c>
      <c r="V51" s="1186">
        <v>168</v>
      </c>
      <c r="W51" s="1186">
        <v>72</v>
      </c>
      <c r="X51" s="1186">
        <v>12</v>
      </c>
      <c r="Y51" s="1186">
        <v>25</v>
      </c>
      <c r="Z51" s="1186">
        <v>55</v>
      </c>
      <c r="AA51" s="1186">
        <v>4</v>
      </c>
    </row>
    <row r="52" spans="1:27" x14ac:dyDescent="0.2">
      <c r="A52" s="1186" t="s">
        <v>20</v>
      </c>
      <c r="B52" s="1186" t="s">
        <v>674</v>
      </c>
      <c r="C52" s="1186" t="s">
        <v>37</v>
      </c>
      <c r="D52" s="1186">
        <v>162</v>
      </c>
      <c r="E52" s="1186">
        <v>54</v>
      </c>
      <c r="F52" s="1186">
        <v>11</v>
      </c>
      <c r="G52" s="1186">
        <v>26</v>
      </c>
      <c r="H52" s="1186">
        <v>59</v>
      </c>
      <c r="I52" s="1186">
        <v>12</v>
      </c>
      <c r="J52" s="1186" t="s">
        <v>20</v>
      </c>
      <c r="K52" s="1186" t="s">
        <v>37</v>
      </c>
      <c r="L52" s="1186" t="s">
        <v>672</v>
      </c>
      <c r="M52" s="1186">
        <v>1</v>
      </c>
      <c r="N52" s="1186">
        <v>1</v>
      </c>
      <c r="O52" s="1186"/>
      <c r="P52" s="1186"/>
      <c r="Q52" s="1186"/>
      <c r="R52" s="1186"/>
      <c r="S52" s="1186" t="s">
        <v>20</v>
      </c>
      <c r="T52" s="1186" t="s">
        <v>37</v>
      </c>
      <c r="U52" s="1186" t="s">
        <v>673</v>
      </c>
      <c r="V52" s="1186">
        <v>46</v>
      </c>
      <c r="W52" s="1186">
        <v>14</v>
      </c>
      <c r="X52" s="1186">
        <v>2</v>
      </c>
      <c r="Y52" s="1186">
        <v>9</v>
      </c>
      <c r="Z52" s="1186">
        <v>17</v>
      </c>
      <c r="AA52" s="1186">
        <v>4</v>
      </c>
    </row>
    <row r="53" spans="1:27" x14ac:dyDescent="0.2">
      <c r="A53" s="1186" t="s">
        <v>20</v>
      </c>
      <c r="B53" s="1186" t="s">
        <v>674</v>
      </c>
      <c r="C53" s="1186" t="s">
        <v>38</v>
      </c>
      <c r="D53" s="1186">
        <v>132</v>
      </c>
      <c r="E53" s="1186">
        <v>43</v>
      </c>
      <c r="F53" s="1186">
        <v>8</v>
      </c>
      <c r="G53" s="1186">
        <v>15</v>
      </c>
      <c r="H53" s="1186">
        <v>63</v>
      </c>
      <c r="I53" s="1186">
        <v>3</v>
      </c>
      <c r="J53" s="1186" t="s">
        <v>20</v>
      </c>
      <c r="K53" s="1186" t="s">
        <v>38</v>
      </c>
      <c r="L53" s="1186" t="s">
        <v>672</v>
      </c>
      <c r="M53" s="1186">
        <v>1</v>
      </c>
      <c r="N53" s="1186"/>
      <c r="O53" s="1186"/>
      <c r="P53" s="1186"/>
      <c r="Q53" s="1186">
        <v>1</v>
      </c>
      <c r="R53" s="1186"/>
      <c r="S53" s="1186" t="s">
        <v>20</v>
      </c>
      <c r="T53" s="1186" t="s">
        <v>38</v>
      </c>
      <c r="U53" s="1186" t="s">
        <v>673</v>
      </c>
      <c r="V53" s="1186">
        <v>19</v>
      </c>
      <c r="W53" s="1186">
        <v>9</v>
      </c>
      <c r="X53" s="1186">
        <v>3</v>
      </c>
      <c r="Y53" s="1186">
        <v>1</v>
      </c>
      <c r="Z53" s="1186">
        <v>6</v>
      </c>
      <c r="AA53" s="1186"/>
    </row>
    <row r="54" spans="1:27" x14ac:dyDescent="0.2">
      <c r="A54" s="1186" t="s">
        <v>20</v>
      </c>
      <c r="B54" s="1186" t="s">
        <v>674</v>
      </c>
      <c r="C54" s="1186" t="s">
        <v>39</v>
      </c>
      <c r="D54" s="1186">
        <v>73</v>
      </c>
      <c r="E54" s="1186">
        <v>22</v>
      </c>
      <c r="F54" s="1186">
        <v>8</v>
      </c>
      <c r="G54" s="1186">
        <v>13</v>
      </c>
      <c r="H54" s="1186">
        <v>28</v>
      </c>
      <c r="I54" s="1186">
        <v>2</v>
      </c>
      <c r="J54" s="1186"/>
      <c r="K54" s="1186"/>
      <c r="L54" s="1186"/>
      <c r="M54" s="1186"/>
      <c r="N54" s="1186"/>
      <c r="O54" s="1186"/>
      <c r="P54" s="1186"/>
      <c r="Q54" s="1186"/>
      <c r="R54" s="1186"/>
      <c r="S54" s="1186" t="s">
        <v>20</v>
      </c>
      <c r="T54" s="1186" t="s">
        <v>39</v>
      </c>
      <c r="U54" s="1186" t="s">
        <v>673</v>
      </c>
      <c r="V54" s="1186">
        <v>23</v>
      </c>
      <c r="W54" s="1186">
        <v>9</v>
      </c>
      <c r="X54" s="1186">
        <v>2</v>
      </c>
      <c r="Y54" s="1186">
        <v>10</v>
      </c>
      <c r="Z54" s="1186">
        <v>2</v>
      </c>
      <c r="AA54" s="1186"/>
    </row>
    <row r="55" spans="1:27" x14ac:dyDescent="0.2">
      <c r="A55" s="1186" t="s">
        <v>20</v>
      </c>
      <c r="B55" s="1186" t="s">
        <v>674</v>
      </c>
      <c r="C55" s="1186" t="s">
        <v>40</v>
      </c>
      <c r="D55" s="1186">
        <v>76</v>
      </c>
      <c r="E55" s="1186">
        <v>31</v>
      </c>
      <c r="F55" s="1186">
        <v>8</v>
      </c>
      <c r="G55" s="1186">
        <v>5</v>
      </c>
      <c r="H55" s="1186">
        <v>31</v>
      </c>
      <c r="I55" s="1186">
        <v>1</v>
      </c>
      <c r="J55" s="1186" t="s">
        <v>20</v>
      </c>
      <c r="K55" s="1186" t="s">
        <v>40</v>
      </c>
      <c r="L55" s="1186" t="s">
        <v>672</v>
      </c>
      <c r="M55" s="1186">
        <v>1</v>
      </c>
      <c r="N55" s="1186"/>
      <c r="O55" s="1186"/>
      <c r="P55" s="1186"/>
      <c r="Q55" s="1186">
        <v>1</v>
      </c>
      <c r="R55" s="1186"/>
      <c r="S55" s="1186" t="s">
        <v>20</v>
      </c>
      <c r="T55" s="1186" t="s">
        <v>40</v>
      </c>
      <c r="U55" s="1186" t="s">
        <v>673</v>
      </c>
      <c r="V55" s="1186">
        <v>38</v>
      </c>
      <c r="W55" s="1186">
        <v>15</v>
      </c>
      <c r="X55" s="1186">
        <v>4</v>
      </c>
      <c r="Y55" s="1186">
        <v>1</v>
      </c>
      <c r="Z55" s="1186">
        <v>18</v>
      </c>
      <c r="AA55" s="1186"/>
    </row>
    <row r="56" spans="1:27" x14ac:dyDescent="0.2">
      <c r="A56" s="1186" t="s">
        <v>20</v>
      </c>
      <c r="B56" s="1186" t="s">
        <v>674</v>
      </c>
      <c r="C56" s="1186" t="s">
        <v>295</v>
      </c>
      <c r="D56" s="1186">
        <v>17</v>
      </c>
      <c r="E56" s="1186">
        <v>6</v>
      </c>
      <c r="F56" s="1186">
        <v>2</v>
      </c>
      <c r="G56" s="1186">
        <v>5</v>
      </c>
      <c r="H56" s="1186">
        <v>4</v>
      </c>
      <c r="I56" s="1186"/>
      <c r="J56" s="1186"/>
      <c r="K56" s="1186"/>
      <c r="L56" s="1186"/>
      <c r="M56" s="1186"/>
      <c r="N56" s="1186"/>
      <c r="O56" s="1186"/>
      <c r="P56" s="1186"/>
      <c r="Q56" s="1186"/>
      <c r="R56" s="1186"/>
      <c r="S56" s="1186" t="s">
        <v>20</v>
      </c>
      <c r="T56" s="1186" t="s">
        <v>295</v>
      </c>
      <c r="U56" s="1186" t="s">
        <v>673</v>
      </c>
      <c r="V56" s="1186">
        <v>4</v>
      </c>
      <c r="W56" s="1186">
        <v>3</v>
      </c>
      <c r="X56" s="1186"/>
      <c r="Y56" s="1186">
        <v>1</v>
      </c>
      <c r="Z56" s="1186"/>
      <c r="AA56" s="1186"/>
    </row>
    <row r="57" spans="1:27" x14ac:dyDescent="0.2">
      <c r="A57" s="1186" t="s">
        <v>20</v>
      </c>
      <c r="B57" s="1186" t="s">
        <v>674</v>
      </c>
      <c r="C57" s="1186" t="s">
        <v>41</v>
      </c>
      <c r="D57" s="1186">
        <v>167</v>
      </c>
      <c r="E57" s="1186">
        <v>76</v>
      </c>
      <c r="F57" s="1186">
        <v>15</v>
      </c>
      <c r="G57" s="1186">
        <v>27</v>
      </c>
      <c r="H57" s="1186">
        <v>43</v>
      </c>
      <c r="I57" s="1186">
        <v>6</v>
      </c>
      <c r="J57" s="1186"/>
      <c r="K57" s="1186"/>
      <c r="L57" s="1186"/>
      <c r="M57" s="1186"/>
      <c r="N57" s="1186"/>
      <c r="O57" s="1186"/>
      <c r="P57" s="1186"/>
      <c r="Q57" s="1186"/>
      <c r="R57" s="1186"/>
      <c r="S57" s="1186" t="s">
        <v>20</v>
      </c>
      <c r="T57" s="1186" t="s">
        <v>41</v>
      </c>
      <c r="U57" s="1186" t="s">
        <v>673</v>
      </c>
      <c r="V57" s="1186">
        <v>41</v>
      </c>
      <c r="W57" s="1186">
        <v>18</v>
      </c>
      <c r="X57" s="1186">
        <v>3</v>
      </c>
      <c r="Y57" s="1186">
        <v>8</v>
      </c>
      <c r="Z57" s="1186">
        <v>8</v>
      </c>
      <c r="AA57" s="1186">
        <v>4</v>
      </c>
    </row>
    <row r="58" spans="1:27" x14ac:dyDescent="0.2">
      <c r="A58" s="1186" t="s">
        <v>20</v>
      </c>
      <c r="B58" s="1186" t="s">
        <v>674</v>
      </c>
      <c r="C58" s="1186" t="s">
        <v>42</v>
      </c>
      <c r="D58" s="1186">
        <v>370</v>
      </c>
      <c r="E58" s="1186">
        <v>140</v>
      </c>
      <c r="F58" s="1186">
        <v>42</v>
      </c>
      <c r="G58" s="1186">
        <v>43</v>
      </c>
      <c r="H58" s="1186">
        <v>137</v>
      </c>
      <c r="I58" s="1186">
        <v>8</v>
      </c>
      <c r="J58" s="1186" t="s">
        <v>20</v>
      </c>
      <c r="K58" s="1186" t="s">
        <v>42</v>
      </c>
      <c r="L58" s="1186" t="s">
        <v>672</v>
      </c>
      <c r="M58" s="1186">
        <v>1</v>
      </c>
      <c r="N58" s="1186"/>
      <c r="O58" s="1186"/>
      <c r="P58" s="1186">
        <v>1</v>
      </c>
      <c r="Q58" s="1186"/>
      <c r="R58" s="1186"/>
      <c r="S58" s="1186" t="s">
        <v>20</v>
      </c>
      <c r="T58" s="1186" t="s">
        <v>42</v>
      </c>
      <c r="U58" s="1186" t="s">
        <v>673</v>
      </c>
      <c r="V58" s="1186">
        <v>62</v>
      </c>
      <c r="W58" s="1186">
        <v>31</v>
      </c>
      <c r="X58" s="1186">
        <v>11</v>
      </c>
      <c r="Y58" s="1186">
        <v>5</v>
      </c>
      <c r="Z58" s="1186">
        <v>15</v>
      </c>
      <c r="AA58" s="1186"/>
    </row>
    <row r="59" spans="1:27" x14ac:dyDescent="0.2">
      <c r="A59" s="1186" t="s">
        <v>20</v>
      </c>
      <c r="B59" s="1186" t="s">
        <v>674</v>
      </c>
      <c r="C59" s="1186" t="s">
        <v>43</v>
      </c>
      <c r="D59" s="1186">
        <v>9</v>
      </c>
      <c r="E59" s="1186">
        <v>4</v>
      </c>
      <c r="F59" s="1186"/>
      <c r="G59" s="1186">
        <v>1</v>
      </c>
      <c r="H59" s="1186">
        <v>4</v>
      </c>
      <c r="I59" s="1186"/>
      <c r="J59" s="1186"/>
      <c r="K59" s="1186"/>
      <c r="L59" s="1186"/>
      <c r="M59" s="1186"/>
      <c r="N59" s="1186"/>
      <c r="O59" s="1186"/>
      <c r="P59" s="1186"/>
      <c r="Q59" s="1186"/>
      <c r="R59" s="1186"/>
      <c r="S59" s="1186" t="s">
        <v>20</v>
      </c>
      <c r="T59" s="1186" t="s">
        <v>43</v>
      </c>
      <c r="U59" s="1186" t="s">
        <v>673</v>
      </c>
      <c r="V59" s="1186">
        <v>1</v>
      </c>
      <c r="W59" s="1186">
        <v>1</v>
      </c>
      <c r="X59" s="1186"/>
      <c r="Y59" s="1186"/>
      <c r="Z59" s="1186"/>
      <c r="AA59" s="1186"/>
    </row>
    <row r="60" spans="1:27" x14ac:dyDescent="0.2">
      <c r="A60" s="1186" t="s">
        <v>20</v>
      </c>
      <c r="B60" s="1186" t="s">
        <v>674</v>
      </c>
      <c r="C60" s="1186" t="s">
        <v>44</v>
      </c>
      <c r="D60" s="1186">
        <v>138</v>
      </c>
      <c r="E60" s="1186">
        <v>52</v>
      </c>
      <c r="F60" s="1186">
        <v>3</v>
      </c>
      <c r="G60" s="1186">
        <v>24</v>
      </c>
      <c r="H60" s="1186">
        <v>58</v>
      </c>
      <c r="I60" s="1186">
        <v>1</v>
      </c>
      <c r="J60" s="1186"/>
      <c r="K60" s="1186"/>
      <c r="L60" s="1186"/>
      <c r="M60" s="1186"/>
      <c r="N60" s="1186"/>
      <c r="O60" s="1186"/>
      <c r="P60" s="1186"/>
      <c r="Q60" s="1186"/>
      <c r="R60" s="1186"/>
      <c r="S60" s="1186" t="s">
        <v>20</v>
      </c>
      <c r="T60" s="1186" t="s">
        <v>44</v>
      </c>
      <c r="U60" s="1186" t="s">
        <v>673</v>
      </c>
      <c r="V60" s="1186">
        <v>15</v>
      </c>
      <c r="W60" s="1186">
        <v>10</v>
      </c>
      <c r="X60" s="1186">
        <v>1</v>
      </c>
      <c r="Y60" s="1186">
        <v>3</v>
      </c>
      <c r="Z60" s="1186">
        <v>1</v>
      </c>
      <c r="AA60" s="1186"/>
    </row>
    <row r="61" spans="1:27" x14ac:dyDescent="0.2">
      <c r="A61" s="1186" t="s">
        <v>20</v>
      </c>
      <c r="B61" s="1186" t="s">
        <v>674</v>
      </c>
      <c r="C61" s="1186" t="s">
        <v>45</v>
      </c>
      <c r="D61" s="1186">
        <v>246</v>
      </c>
      <c r="E61" s="1186">
        <v>104</v>
      </c>
      <c r="F61" s="1186">
        <v>19</v>
      </c>
      <c r="G61" s="1186">
        <v>24</v>
      </c>
      <c r="H61" s="1186">
        <v>93</v>
      </c>
      <c r="I61" s="1186">
        <v>6</v>
      </c>
      <c r="J61" s="1186" t="s">
        <v>20</v>
      </c>
      <c r="K61" s="1186" t="s">
        <v>45</v>
      </c>
      <c r="L61" s="1186" t="s">
        <v>672</v>
      </c>
      <c r="M61" s="1186">
        <v>1</v>
      </c>
      <c r="N61" s="1186"/>
      <c r="O61" s="1186">
        <v>1</v>
      </c>
      <c r="P61" s="1186"/>
      <c r="Q61" s="1186"/>
      <c r="R61" s="1186"/>
      <c r="S61" s="1186" t="s">
        <v>20</v>
      </c>
      <c r="T61" s="1186" t="s">
        <v>45</v>
      </c>
      <c r="U61" s="1186" t="s">
        <v>673</v>
      </c>
      <c r="V61" s="1186">
        <v>47</v>
      </c>
      <c r="W61" s="1186">
        <v>20</v>
      </c>
      <c r="X61" s="1186">
        <v>2</v>
      </c>
      <c r="Y61" s="1186"/>
      <c r="Z61" s="1186">
        <v>25</v>
      </c>
      <c r="AA61" s="1186"/>
    </row>
    <row r="62" spans="1:27" x14ac:dyDescent="0.2">
      <c r="A62" s="1186" t="s">
        <v>20</v>
      </c>
      <c r="B62" s="1186" t="s">
        <v>674</v>
      </c>
      <c r="C62" s="1186" t="s">
        <v>46</v>
      </c>
      <c r="D62" s="1186">
        <v>113</v>
      </c>
      <c r="E62" s="1186">
        <v>38</v>
      </c>
      <c r="F62" s="1186">
        <v>17</v>
      </c>
      <c r="G62" s="1186">
        <v>13</v>
      </c>
      <c r="H62" s="1186">
        <v>42</v>
      </c>
      <c r="I62" s="1186">
        <v>3</v>
      </c>
      <c r="J62" s="1186"/>
      <c r="K62" s="1186"/>
      <c r="L62" s="1186"/>
      <c r="M62" s="1186"/>
      <c r="N62" s="1186"/>
      <c r="O62" s="1186"/>
      <c r="P62" s="1186"/>
      <c r="Q62" s="1186"/>
      <c r="R62" s="1186"/>
      <c r="S62" s="1186" t="s">
        <v>20</v>
      </c>
      <c r="T62" s="1186" t="s">
        <v>46</v>
      </c>
      <c r="U62" s="1186" t="s">
        <v>673</v>
      </c>
      <c r="V62" s="1186">
        <v>22</v>
      </c>
      <c r="W62" s="1186">
        <v>8</v>
      </c>
      <c r="X62" s="1186">
        <v>7</v>
      </c>
      <c r="Y62" s="1186">
        <v>2</v>
      </c>
      <c r="Z62" s="1186">
        <v>5</v>
      </c>
      <c r="AA62" s="1186"/>
    </row>
    <row r="63" spans="1:27" x14ac:dyDescent="0.2">
      <c r="A63" s="1186" t="s">
        <v>20</v>
      </c>
      <c r="B63" s="1186" t="s">
        <v>674</v>
      </c>
      <c r="C63" s="1186" t="s">
        <v>47</v>
      </c>
      <c r="D63" s="1186">
        <v>10</v>
      </c>
      <c r="E63" s="1186">
        <v>2</v>
      </c>
      <c r="F63" s="1186">
        <v>2</v>
      </c>
      <c r="G63" s="1186"/>
      <c r="H63" s="1186">
        <v>6</v>
      </c>
      <c r="I63" s="1186"/>
      <c r="J63" s="1186"/>
      <c r="K63" s="1186"/>
      <c r="L63" s="1186"/>
      <c r="M63" s="1186"/>
      <c r="N63" s="1186"/>
      <c r="O63" s="1186"/>
      <c r="P63" s="1186"/>
      <c r="Q63" s="1186"/>
      <c r="R63" s="1186"/>
      <c r="S63" s="1186" t="s">
        <v>20</v>
      </c>
      <c r="T63" s="1186" t="s">
        <v>47</v>
      </c>
      <c r="U63" s="1186" t="s">
        <v>673</v>
      </c>
      <c r="V63" s="1186">
        <v>2</v>
      </c>
      <c r="W63" s="1186"/>
      <c r="X63" s="1186">
        <v>1</v>
      </c>
      <c r="Y63" s="1186"/>
      <c r="Z63" s="1186">
        <v>1</v>
      </c>
      <c r="AA63" s="1186"/>
    </row>
    <row r="64" spans="1:27" x14ac:dyDescent="0.2">
      <c r="A64" s="1186" t="s">
        <v>20</v>
      </c>
      <c r="B64" s="1186" t="s">
        <v>674</v>
      </c>
      <c r="C64" s="1186" t="s">
        <v>48</v>
      </c>
      <c r="D64" s="1186">
        <v>107</v>
      </c>
      <c r="E64" s="1186">
        <v>50</v>
      </c>
      <c r="F64" s="1186">
        <v>8</v>
      </c>
      <c r="G64" s="1186">
        <v>19</v>
      </c>
      <c r="H64" s="1186">
        <v>26</v>
      </c>
      <c r="I64" s="1186">
        <v>4</v>
      </c>
      <c r="J64" s="1186" t="s">
        <v>20</v>
      </c>
      <c r="K64" s="1186" t="s">
        <v>48</v>
      </c>
      <c r="L64" s="1186" t="s">
        <v>672</v>
      </c>
      <c r="M64" s="1186">
        <v>1</v>
      </c>
      <c r="N64" s="1186"/>
      <c r="O64" s="1186"/>
      <c r="P64" s="1186"/>
      <c r="Q64" s="1186"/>
      <c r="R64" s="1186">
        <v>1</v>
      </c>
      <c r="S64" s="1186" t="s">
        <v>20</v>
      </c>
      <c r="T64" s="1186" t="s">
        <v>48</v>
      </c>
      <c r="U64" s="1186" t="s">
        <v>673</v>
      </c>
      <c r="V64" s="1186">
        <v>24</v>
      </c>
      <c r="W64" s="1186">
        <v>11</v>
      </c>
      <c r="X64" s="1186"/>
      <c r="Y64" s="1186">
        <v>4</v>
      </c>
      <c r="Z64" s="1186">
        <v>4</v>
      </c>
      <c r="AA64" s="1186">
        <v>5</v>
      </c>
    </row>
    <row r="65" spans="1:27" x14ac:dyDescent="0.2">
      <c r="A65" s="1186" t="s">
        <v>20</v>
      </c>
      <c r="B65" s="1186" t="s">
        <v>674</v>
      </c>
      <c r="C65" s="1186" t="s">
        <v>49</v>
      </c>
      <c r="D65" s="1186">
        <v>316</v>
      </c>
      <c r="E65" s="1186">
        <v>151</v>
      </c>
      <c r="F65" s="1186">
        <v>18</v>
      </c>
      <c r="G65" s="1186">
        <v>50</v>
      </c>
      <c r="H65" s="1186">
        <v>89</v>
      </c>
      <c r="I65" s="1186">
        <v>8</v>
      </c>
      <c r="J65" s="1186" t="s">
        <v>20</v>
      </c>
      <c r="K65" s="1186" t="s">
        <v>49</v>
      </c>
      <c r="L65" s="1186" t="s">
        <v>672</v>
      </c>
      <c r="M65" s="1186">
        <v>1</v>
      </c>
      <c r="N65" s="1186">
        <v>1</v>
      </c>
      <c r="O65" s="1186"/>
      <c r="P65" s="1186"/>
      <c r="Q65" s="1186"/>
      <c r="R65" s="1186"/>
      <c r="S65" s="1186" t="s">
        <v>20</v>
      </c>
      <c r="T65" s="1186" t="s">
        <v>49</v>
      </c>
      <c r="U65" s="1186" t="s">
        <v>673</v>
      </c>
      <c r="V65" s="1186">
        <v>40</v>
      </c>
      <c r="W65" s="1186">
        <v>27</v>
      </c>
      <c r="X65" s="1186">
        <v>2</v>
      </c>
      <c r="Y65" s="1186">
        <v>5</v>
      </c>
      <c r="Z65" s="1186">
        <v>6</v>
      </c>
      <c r="AA65" s="1186"/>
    </row>
    <row r="66" spans="1:27" x14ac:dyDescent="0.2">
      <c r="A66" s="1186" t="s">
        <v>20</v>
      </c>
      <c r="B66" s="1186" t="s">
        <v>674</v>
      </c>
      <c r="C66" s="1186" t="s">
        <v>50</v>
      </c>
      <c r="D66" s="1186">
        <v>75</v>
      </c>
      <c r="E66" s="1186">
        <v>29</v>
      </c>
      <c r="F66" s="1186">
        <v>6</v>
      </c>
      <c r="G66" s="1186">
        <v>11</v>
      </c>
      <c r="H66" s="1186">
        <v>29</v>
      </c>
      <c r="I66" s="1186"/>
      <c r="J66" s="1186"/>
      <c r="K66" s="1186"/>
      <c r="L66" s="1186"/>
      <c r="M66" s="1186"/>
      <c r="N66" s="1186"/>
      <c r="O66" s="1186"/>
      <c r="P66" s="1186"/>
      <c r="Q66" s="1186"/>
      <c r="R66" s="1186"/>
      <c r="S66" s="1186" t="s">
        <v>20</v>
      </c>
      <c r="T66" s="1186" t="s">
        <v>50</v>
      </c>
      <c r="U66" s="1186" t="s">
        <v>673</v>
      </c>
      <c r="V66" s="1186">
        <v>7</v>
      </c>
      <c r="W66" s="1186">
        <v>2</v>
      </c>
      <c r="X66" s="1186">
        <v>2</v>
      </c>
      <c r="Y66" s="1186"/>
      <c r="Z66" s="1186">
        <v>3</v>
      </c>
      <c r="AA66" s="1186"/>
    </row>
    <row r="67" spans="1:27" x14ac:dyDescent="0.2">
      <c r="A67" s="1186" t="s">
        <v>20</v>
      </c>
      <c r="B67" s="1186" t="s">
        <v>674</v>
      </c>
      <c r="C67" s="1186" t="s">
        <v>51</v>
      </c>
      <c r="D67" s="1186">
        <v>151</v>
      </c>
      <c r="E67" s="1186">
        <v>66</v>
      </c>
      <c r="F67" s="1186">
        <v>9</v>
      </c>
      <c r="G67" s="1186">
        <v>12</v>
      </c>
      <c r="H67" s="1186">
        <v>57</v>
      </c>
      <c r="I67" s="1186">
        <v>7</v>
      </c>
      <c r="J67" s="1186" t="s">
        <v>20</v>
      </c>
      <c r="K67" s="1186" t="s">
        <v>51</v>
      </c>
      <c r="L67" s="1186" t="s">
        <v>672</v>
      </c>
      <c r="M67" s="1186">
        <v>4</v>
      </c>
      <c r="N67" s="1186">
        <v>2</v>
      </c>
      <c r="O67" s="1186">
        <v>1</v>
      </c>
      <c r="P67" s="1186"/>
      <c r="Q67" s="1186"/>
      <c r="R67" s="1186">
        <v>1</v>
      </c>
      <c r="S67" s="1186" t="s">
        <v>20</v>
      </c>
      <c r="T67" s="1186" t="s">
        <v>51</v>
      </c>
      <c r="U67" s="1186" t="s">
        <v>673</v>
      </c>
      <c r="V67" s="1186">
        <v>15</v>
      </c>
      <c r="W67" s="1186">
        <v>9</v>
      </c>
      <c r="X67" s="1186">
        <v>2</v>
      </c>
      <c r="Y67" s="1186">
        <v>1</v>
      </c>
      <c r="Z67" s="1186">
        <v>2</v>
      </c>
      <c r="AA67" s="1186">
        <v>1</v>
      </c>
    </row>
    <row r="68" spans="1:27" x14ac:dyDescent="0.2">
      <c r="A68" s="1186" t="s">
        <v>20</v>
      </c>
      <c r="B68" s="1186" t="s">
        <v>674</v>
      </c>
      <c r="C68" s="1186" t="s">
        <v>52</v>
      </c>
      <c r="D68" s="1186">
        <v>213</v>
      </c>
      <c r="E68" s="1186">
        <v>82</v>
      </c>
      <c r="F68" s="1186">
        <v>15</v>
      </c>
      <c r="G68" s="1186">
        <v>37</v>
      </c>
      <c r="H68" s="1186">
        <v>74</v>
      </c>
      <c r="I68" s="1186">
        <v>5</v>
      </c>
      <c r="J68" s="1186" t="s">
        <v>20</v>
      </c>
      <c r="K68" s="1186" t="s">
        <v>52</v>
      </c>
      <c r="L68" s="1186" t="s">
        <v>672</v>
      </c>
      <c r="M68" s="1186">
        <v>1</v>
      </c>
      <c r="N68" s="1186"/>
      <c r="O68" s="1186"/>
      <c r="P68" s="1186"/>
      <c r="Q68" s="1186"/>
      <c r="R68" s="1186">
        <v>1</v>
      </c>
      <c r="S68" s="1186" t="s">
        <v>20</v>
      </c>
      <c r="T68" s="1186" t="s">
        <v>52</v>
      </c>
      <c r="U68" s="1186" t="s">
        <v>673</v>
      </c>
      <c r="V68" s="1186">
        <v>37</v>
      </c>
      <c r="W68" s="1186">
        <v>19</v>
      </c>
      <c r="X68" s="1186">
        <v>5</v>
      </c>
      <c r="Y68" s="1186">
        <v>8</v>
      </c>
      <c r="Z68" s="1186">
        <v>5</v>
      </c>
      <c r="AA68" s="1186"/>
    </row>
    <row r="69" spans="1:27" x14ac:dyDescent="0.2">
      <c r="A69" s="1186" t="s">
        <v>13</v>
      </c>
      <c r="B69" s="1186" t="s">
        <v>674</v>
      </c>
      <c r="C69" s="1186" t="s">
        <v>23</v>
      </c>
      <c r="D69" s="1186">
        <v>375</v>
      </c>
      <c r="E69" s="1186">
        <v>169</v>
      </c>
      <c r="F69" s="1186">
        <v>25</v>
      </c>
      <c r="G69" s="1186">
        <v>46</v>
      </c>
      <c r="H69" s="1186">
        <v>133</v>
      </c>
      <c r="I69" s="1186">
        <v>2</v>
      </c>
      <c r="J69" s="1186" t="s">
        <v>13</v>
      </c>
      <c r="K69" s="1186" t="s">
        <v>23</v>
      </c>
      <c r="L69" s="1186" t="s">
        <v>672</v>
      </c>
      <c r="M69" s="1186">
        <v>2</v>
      </c>
      <c r="N69" s="1186">
        <v>1</v>
      </c>
      <c r="O69" s="1186">
        <v>1</v>
      </c>
      <c r="P69" s="1186"/>
      <c r="Q69" s="1186"/>
      <c r="R69" s="1186"/>
      <c r="S69" s="1186" t="s">
        <v>13</v>
      </c>
      <c r="T69" s="1186" t="s">
        <v>23</v>
      </c>
      <c r="U69" s="1186" t="s">
        <v>673</v>
      </c>
      <c r="V69" s="1186">
        <v>75</v>
      </c>
      <c r="W69" s="1186">
        <v>35</v>
      </c>
      <c r="X69" s="1186">
        <v>10</v>
      </c>
      <c r="Y69" s="1186">
        <v>8</v>
      </c>
      <c r="Z69" s="1186">
        <v>22</v>
      </c>
      <c r="AA69" s="1186"/>
    </row>
    <row r="70" spans="1:27" x14ac:dyDescent="0.2">
      <c r="A70" s="1186" t="s">
        <v>13</v>
      </c>
      <c r="B70" s="1186" t="s">
        <v>674</v>
      </c>
      <c r="C70" s="1186" t="s">
        <v>24</v>
      </c>
      <c r="D70" s="1186">
        <v>207</v>
      </c>
      <c r="E70" s="1186">
        <v>99</v>
      </c>
      <c r="F70" s="1186">
        <v>12</v>
      </c>
      <c r="G70" s="1186">
        <v>19</v>
      </c>
      <c r="H70" s="1186">
        <v>73</v>
      </c>
      <c r="I70" s="1186">
        <v>4</v>
      </c>
      <c r="J70" s="1186" t="s">
        <v>13</v>
      </c>
      <c r="K70" s="1186" t="s">
        <v>24</v>
      </c>
      <c r="L70" s="1186" t="s">
        <v>672</v>
      </c>
      <c r="M70" s="1186">
        <v>2</v>
      </c>
      <c r="N70" s="1186"/>
      <c r="O70" s="1186"/>
      <c r="P70" s="1186">
        <v>1</v>
      </c>
      <c r="Q70" s="1186"/>
      <c r="R70" s="1186">
        <v>1</v>
      </c>
      <c r="S70" s="1186" t="s">
        <v>13</v>
      </c>
      <c r="T70" s="1186" t="s">
        <v>24</v>
      </c>
      <c r="U70" s="1186" t="s">
        <v>673</v>
      </c>
      <c r="V70" s="1186">
        <v>22</v>
      </c>
      <c r="W70" s="1186">
        <v>4</v>
      </c>
      <c r="X70" s="1186">
        <v>5</v>
      </c>
      <c r="Y70" s="1186">
        <v>1</v>
      </c>
      <c r="Z70" s="1186">
        <v>11</v>
      </c>
      <c r="AA70" s="1186">
        <v>1</v>
      </c>
    </row>
    <row r="71" spans="1:27" x14ac:dyDescent="0.2">
      <c r="A71" s="1186" t="s">
        <v>13</v>
      </c>
      <c r="B71" s="1186" t="s">
        <v>674</v>
      </c>
      <c r="C71" s="1186" t="s">
        <v>25</v>
      </c>
      <c r="D71" s="1186">
        <v>101</v>
      </c>
      <c r="E71" s="1186">
        <v>49</v>
      </c>
      <c r="F71" s="1186">
        <v>9</v>
      </c>
      <c r="G71" s="1186">
        <v>13</v>
      </c>
      <c r="H71" s="1186">
        <v>25</v>
      </c>
      <c r="I71" s="1186">
        <v>5</v>
      </c>
      <c r="J71" s="1186" t="s">
        <v>13</v>
      </c>
      <c r="K71" s="1186" t="s">
        <v>25</v>
      </c>
      <c r="L71" s="1186" t="s">
        <v>672</v>
      </c>
      <c r="M71" s="1186">
        <v>2</v>
      </c>
      <c r="N71" s="1186">
        <v>2</v>
      </c>
      <c r="O71" s="1186"/>
      <c r="P71" s="1186"/>
      <c r="Q71" s="1186"/>
      <c r="R71" s="1186"/>
      <c r="S71" s="1186" t="s">
        <v>13</v>
      </c>
      <c r="T71" s="1186" t="s">
        <v>25</v>
      </c>
      <c r="U71" s="1186" t="s">
        <v>673</v>
      </c>
      <c r="V71" s="1186">
        <v>13</v>
      </c>
      <c r="W71" s="1186">
        <v>9</v>
      </c>
      <c r="X71" s="1186"/>
      <c r="Y71" s="1186">
        <v>1</v>
      </c>
      <c r="Z71" s="1186">
        <v>3</v>
      </c>
      <c r="AA71" s="1186"/>
    </row>
    <row r="72" spans="1:27" x14ac:dyDescent="0.2">
      <c r="A72" s="1186" t="s">
        <v>13</v>
      </c>
      <c r="B72" s="1186" t="s">
        <v>674</v>
      </c>
      <c r="C72" s="1186" t="s">
        <v>26</v>
      </c>
      <c r="D72" s="1186">
        <v>92</v>
      </c>
      <c r="E72" s="1186">
        <v>42</v>
      </c>
      <c r="F72" s="1186">
        <v>13</v>
      </c>
      <c r="G72" s="1186">
        <v>13</v>
      </c>
      <c r="H72" s="1186">
        <v>20</v>
      </c>
      <c r="I72" s="1186">
        <v>4</v>
      </c>
      <c r="J72" s="1186" t="s">
        <v>13</v>
      </c>
      <c r="K72" s="1186" t="s">
        <v>26</v>
      </c>
      <c r="L72" s="1186" t="s">
        <v>672</v>
      </c>
      <c r="M72" s="1186">
        <v>5</v>
      </c>
      <c r="N72" s="1186"/>
      <c r="O72" s="1186">
        <v>1</v>
      </c>
      <c r="P72" s="1186"/>
      <c r="Q72" s="1186">
        <v>1</v>
      </c>
      <c r="R72" s="1186">
        <v>3</v>
      </c>
      <c r="S72" s="1186" t="s">
        <v>13</v>
      </c>
      <c r="T72" s="1186" t="s">
        <v>26</v>
      </c>
      <c r="U72" s="1186" t="s">
        <v>673</v>
      </c>
      <c r="V72" s="1186">
        <v>8</v>
      </c>
      <c r="W72" s="1186">
        <v>5</v>
      </c>
      <c r="X72" s="1186">
        <v>1</v>
      </c>
      <c r="Y72" s="1186">
        <v>1</v>
      </c>
      <c r="Z72" s="1186"/>
      <c r="AA72" s="1186">
        <v>1</v>
      </c>
    </row>
    <row r="73" spans="1:27" x14ac:dyDescent="0.2">
      <c r="A73" s="1186" t="s">
        <v>13</v>
      </c>
      <c r="B73" s="1186" t="s">
        <v>674</v>
      </c>
      <c r="C73" s="1186" t="s">
        <v>619</v>
      </c>
      <c r="D73" s="1186">
        <v>746</v>
      </c>
      <c r="E73" s="1186">
        <v>269</v>
      </c>
      <c r="F73" s="1186">
        <v>53</v>
      </c>
      <c r="G73" s="1186">
        <v>103</v>
      </c>
      <c r="H73" s="1186">
        <v>310</v>
      </c>
      <c r="I73" s="1186">
        <v>11</v>
      </c>
      <c r="J73" s="1186" t="s">
        <v>13</v>
      </c>
      <c r="K73" s="1186" t="s">
        <v>619</v>
      </c>
      <c r="L73" s="1186" t="s">
        <v>672</v>
      </c>
      <c r="M73" s="1186">
        <v>3</v>
      </c>
      <c r="N73" s="1186">
        <v>2</v>
      </c>
      <c r="O73" s="1186"/>
      <c r="P73" s="1186">
        <v>1</v>
      </c>
      <c r="Q73" s="1186"/>
      <c r="R73" s="1186"/>
      <c r="S73" s="1186" t="s">
        <v>13</v>
      </c>
      <c r="T73" s="1186" t="s">
        <v>619</v>
      </c>
      <c r="U73" s="1186" t="s">
        <v>673</v>
      </c>
      <c r="V73" s="1186">
        <v>223</v>
      </c>
      <c r="W73" s="1186">
        <v>95</v>
      </c>
      <c r="X73" s="1186">
        <v>14</v>
      </c>
      <c r="Y73" s="1186">
        <v>30</v>
      </c>
      <c r="Z73" s="1186">
        <v>66</v>
      </c>
      <c r="AA73" s="1186">
        <v>18</v>
      </c>
    </row>
    <row r="74" spans="1:27" x14ac:dyDescent="0.2">
      <c r="A74" s="1186" t="s">
        <v>13</v>
      </c>
      <c r="B74" s="1186" t="s">
        <v>674</v>
      </c>
      <c r="C74" s="1186" t="s">
        <v>27</v>
      </c>
      <c r="D74" s="1186">
        <v>58</v>
      </c>
      <c r="E74" s="1186">
        <v>13</v>
      </c>
      <c r="F74" s="1186">
        <v>4</v>
      </c>
      <c r="G74" s="1186">
        <v>6</v>
      </c>
      <c r="H74" s="1186">
        <v>34</v>
      </c>
      <c r="I74" s="1186">
        <v>1</v>
      </c>
      <c r="J74" s="1186"/>
      <c r="K74" s="1186"/>
      <c r="L74" s="1186"/>
      <c r="M74" s="1186"/>
      <c r="N74" s="1186"/>
      <c r="O74" s="1186"/>
      <c r="P74" s="1186"/>
      <c r="Q74" s="1186"/>
      <c r="R74" s="1186"/>
      <c r="S74" s="1186" t="s">
        <v>13</v>
      </c>
      <c r="T74" s="1186" t="s">
        <v>27</v>
      </c>
      <c r="U74" s="1186" t="s">
        <v>673</v>
      </c>
      <c r="V74" s="1186">
        <v>17</v>
      </c>
      <c r="W74" s="1186">
        <v>2</v>
      </c>
      <c r="X74" s="1186"/>
      <c r="Y74" s="1186">
        <v>1</v>
      </c>
      <c r="Z74" s="1186">
        <v>14</v>
      </c>
      <c r="AA74" s="1186"/>
    </row>
    <row r="75" spans="1:27" x14ac:dyDescent="0.2">
      <c r="A75" s="1186" t="s">
        <v>13</v>
      </c>
      <c r="B75" s="1186" t="s">
        <v>674</v>
      </c>
      <c r="C75" s="1186" t="s">
        <v>28</v>
      </c>
      <c r="D75" s="1186">
        <v>106</v>
      </c>
      <c r="E75" s="1186">
        <v>51</v>
      </c>
      <c r="F75" s="1186">
        <v>11</v>
      </c>
      <c r="G75" s="1186">
        <v>32</v>
      </c>
      <c r="H75" s="1186">
        <v>11</v>
      </c>
      <c r="I75" s="1186">
        <v>1</v>
      </c>
      <c r="J75" s="1186" t="s">
        <v>13</v>
      </c>
      <c r="K75" s="1186" t="s">
        <v>28</v>
      </c>
      <c r="L75" s="1186" t="s">
        <v>672</v>
      </c>
      <c r="M75" s="1186">
        <v>1</v>
      </c>
      <c r="N75" s="1186"/>
      <c r="O75" s="1186"/>
      <c r="P75" s="1186">
        <v>1</v>
      </c>
      <c r="Q75" s="1186"/>
      <c r="R75" s="1186"/>
      <c r="S75" s="1186" t="s">
        <v>13</v>
      </c>
      <c r="T75" s="1186" t="s">
        <v>28</v>
      </c>
      <c r="U75" s="1186" t="s">
        <v>673</v>
      </c>
      <c r="V75" s="1186">
        <v>25</v>
      </c>
      <c r="W75" s="1186">
        <v>15</v>
      </c>
      <c r="X75" s="1186">
        <v>3</v>
      </c>
      <c r="Y75" s="1186">
        <v>4</v>
      </c>
      <c r="Z75" s="1186">
        <v>3</v>
      </c>
      <c r="AA75" s="1186"/>
    </row>
    <row r="76" spans="1:27" x14ac:dyDescent="0.2">
      <c r="A76" s="1186" t="s">
        <v>13</v>
      </c>
      <c r="B76" s="1186" t="s">
        <v>674</v>
      </c>
      <c r="C76" s="1186" t="s">
        <v>29</v>
      </c>
      <c r="D76" s="1186">
        <v>276</v>
      </c>
      <c r="E76" s="1186">
        <v>106</v>
      </c>
      <c r="F76" s="1186">
        <v>28</v>
      </c>
      <c r="G76" s="1186">
        <v>34</v>
      </c>
      <c r="H76" s="1186">
        <v>108</v>
      </c>
      <c r="I76" s="1186"/>
      <c r="J76" s="1186" t="s">
        <v>13</v>
      </c>
      <c r="K76" s="1186" t="s">
        <v>29</v>
      </c>
      <c r="L76" s="1186" t="s">
        <v>672</v>
      </c>
      <c r="M76" s="1186">
        <v>2</v>
      </c>
      <c r="N76" s="1186"/>
      <c r="O76" s="1186"/>
      <c r="P76" s="1186"/>
      <c r="Q76" s="1186">
        <v>2</v>
      </c>
      <c r="R76" s="1186"/>
      <c r="S76" s="1186" t="s">
        <v>13</v>
      </c>
      <c r="T76" s="1186" t="s">
        <v>29</v>
      </c>
      <c r="U76" s="1186" t="s">
        <v>673</v>
      </c>
      <c r="V76" s="1186">
        <v>43</v>
      </c>
      <c r="W76" s="1186">
        <v>17</v>
      </c>
      <c r="X76" s="1186">
        <v>6</v>
      </c>
      <c r="Y76" s="1186">
        <v>4</v>
      </c>
      <c r="Z76" s="1186">
        <v>16</v>
      </c>
      <c r="AA76" s="1186"/>
    </row>
    <row r="77" spans="1:27" x14ac:dyDescent="0.2">
      <c r="A77" s="1186" t="s">
        <v>13</v>
      </c>
      <c r="B77" s="1186" t="s">
        <v>674</v>
      </c>
      <c r="C77" s="1186" t="s">
        <v>30</v>
      </c>
      <c r="D77" s="1186">
        <v>116</v>
      </c>
      <c r="E77" s="1186">
        <v>51</v>
      </c>
      <c r="F77" s="1186">
        <v>18</v>
      </c>
      <c r="G77" s="1186">
        <v>10</v>
      </c>
      <c r="H77" s="1186">
        <v>32</v>
      </c>
      <c r="I77" s="1186">
        <v>5</v>
      </c>
      <c r="J77" s="1186" t="s">
        <v>13</v>
      </c>
      <c r="K77" s="1186" t="s">
        <v>30</v>
      </c>
      <c r="L77" s="1186" t="s">
        <v>672</v>
      </c>
      <c r="M77" s="1186">
        <v>3</v>
      </c>
      <c r="N77" s="1186"/>
      <c r="O77" s="1186">
        <v>1</v>
      </c>
      <c r="P77" s="1186"/>
      <c r="Q77" s="1186">
        <v>1</v>
      </c>
      <c r="R77" s="1186">
        <v>1</v>
      </c>
      <c r="S77" s="1186" t="s">
        <v>13</v>
      </c>
      <c r="T77" s="1186" t="s">
        <v>30</v>
      </c>
      <c r="U77" s="1186" t="s">
        <v>673</v>
      </c>
      <c r="V77" s="1186">
        <v>19</v>
      </c>
      <c r="W77" s="1186">
        <v>5</v>
      </c>
      <c r="X77" s="1186">
        <v>7</v>
      </c>
      <c r="Y77" s="1186">
        <v>4</v>
      </c>
      <c r="Z77" s="1186">
        <v>3</v>
      </c>
      <c r="AA77" s="1186"/>
    </row>
    <row r="78" spans="1:27" x14ac:dyDescent="0.2">
      <c r="A78" s="1186" t="s">
        <v>13</v>
      </c>
      <c r="B78" s="1186" t="s">
        <v>674</v>
      </c>
      <c r="C78" s="1186" t="s">
        <v>31</v>
      </c>
      <c r="D78" s="1186">
        <v>65</v>
      </c>
      <c r="E78" s="1186">
        <v>32</v>
      </c>
      <c r="F78" s="1186">
        <v>5</v>
      </c>
      <c r="G78" s="1186">
        <v>15</v>
      </c>
      <c r="H78" s="1186">
        <v>12</v>
      </c>
      <c r="I78" s="1186">
        <v>1</v>
      </c>
      <c r="J78" s="1186"/>
      <c r="K78" s="1186"/>
      <c r="L78" s="1186"/>
      <c r="M78" s="1186"/>
      <c r="N78" s="1186"/>
      <c r="O78" s="1186"/>
      <c r="P78" s="1186"/>
      <c r="Q78" s="1186"/>
      <c r="R78" s="1186"/>
      <c r="S78" s="1186" t="s">
        <v>13</v>
      </c>
      <c r="T78" s="1186" t="s">
        <v>31</v>
      </c>
      <c r="U78" s="1186" t="s">
        <v>673</v>
      </c>
      <c r="V78" s="1186">
        <v>6</v>
      </c>
      <c r="W78" s="1186">
        <v>4</v>
      </c>
      <c r="X78" s="1186"/>
      <c r="Y78" s="1186">
        <v>2</v>
      </c>
      <c r="Z78" s="1186"/>
      <c r="AA78" s="1186"/>
    </row>
    <row r="79" spans="1:27" x14ac:dyDescent="0.2">
      <c r="A79" s="1186" t="s">
        <v>13</v>
      </c>
      <c r="B79" s="1186" t="s">
        <v>674</v>
      </c>
      <c r="C79" s="1186" t="s">
        <v>32</v>
      </c>
      <c r="D79" s="1186">
        <v>98</v>
      </c>
      <c r="E79" s="1186">
        <v>38</v>
      </c>
      <c r="F79" s="1186">
        <v>7</v>
      </c>
      <c r="G79" s="1186">
        <v>9</v>
      </c>
      <c r="H79" s="1186">
        <v>42</v>
      </c>
      <c r="I79" s="1186">
        <v>2</v>
      </c>
      <c r="J79" s="1186" t="s">
        <v>13</v>
      </c>
      <c r="K79" s="1186" t="s">
        <v>32</v>
      </c>
      <c r="L79" s="1186" t="s">
        <v>672</v>
      </c>
      <c r="M79" s="1186">
        <v>1</v>
      </c>
      <c r="N79" s="1186"/>
      <c r="O79" s="1186">
        <v>1</v>
      </c>
      <c r="P79" s="1186"/>
      <c r="Q79" s="1186"/>
      <c r="R79" s="1186"/>
      <c r="S79" s="1186" t="s">
        <v>13</v>
      </c>
      <c r="T79" s="1186" t="s">
        <v>32</v>
      </c>
      <c r="U79" s="1186" t="s">
        <v>673</v>
      </c>
      <c r="V79" s="1186">
        <v>21</v>
      </c>
      <c r="W79" s="1186">
        <v>13</v>
      </c>
      <c r="X79" s="1186">
        <v>2</v>
      </c>
      <c r="Y79" s="1186"/>
      <c r="Z79" s="1186">
        <v>6</v>
      </c>
      <c r="AA79" s="1186"/>
    </row>
    <row r="80" spans="1:27" x14ac:dyDescent="0.2">
      <c r="A80" s="1186" t="s">
        <v>13</v>
      </c>
      <c r="B80" s="1186" t="s">
        <v>674</v>
      </c>
      <c r="C80" s="1186" t="s">
        <v>33</v>
      </c>
      <c r="D80" s="1186">
        <v>68</v>
      </c>
      <c r="E80" s="1186">
        <v>34</v>
      </c>
      <c r="F80" s="1186">
        <v>5</v>
      </c>
      <c r="G80" s="1186">
        <v>11</v>
      </c>
      <c r="H80" s="1186">
        <v>18</v>
      </c>
      <c r="I80" s="1186"/>
      <c r="J80" s="1186"/>
      <c r="K80" s="1186"/>
      <c r="L80" s="1186"/>
      <c r="M80" s="1186"/>
      <c r="N80" s="1186"/>
      <c r="O80" s="1186"/>
      <c r="P80" s="1186"/>
      <c r="Q80" s="1186"/>
      <c r="R80" s="1186"/>
      <c r="S80" s="1186" t="s">
        <v>13</v>
      </c>
      <c r="T80" s="1186" t="s">
        <v>33</v>
      </c>
      <c r="U80" s="1186" t="s">
        <v>673</v>
      </c>
      <c r="V80" s="1186">
        <v>19</v>
      </c>
      <c r="W80" s="1186">
        <v>9</v>
      </c>
      <c r="X80" s="1186"/>
      <c r="Y80" s="1186">
        <v>1</v>
      </c>
      <c r="Z80" s="1186">
        <v>9</v>
      </c>
      <c r="AA80" s="1186"/>
    </row>
    <row r="81" spans="1:27" x14ac:dyDescent="0.2">
      <c r="A81" s="1186" t="s">
        <v>13</v>
      </c>
      <c r="B81" s="1186" t="s">
        <v>674</v>
      </c>
      <c r="C81" s="1186" t="s">
        <v>34</v>
      </c>
      <c r="D81" s="1186">
        <v>119</v>
      </c>
      <c r="E81" s="1186">
        <v>36</v>
      </c>
      <c r="F81" s="1186">
        <v>8</v>
      </c>
      <c r="G81" s="1186">
        <v>24</v>
      </c>
      <c r="H81" s="1186">
        <v>49</v>
      </c>
      <c r="I81" s="1186">
        <v>2</v>
      </c>
      <c r="J81" s="1186" t="s">
        <v>13</v>
      </c>
      <c r="K81" s="1186" t="s">
        <v>34</v>
      </c>
      <c r="L81" s="1186" t="s">
        <v>672</v>
      </c>
      <c r="M81" s="1186">
        <v>2</v>
      </c>
      <c r="N81" s="1186"/>
      <c r="O81" s="1186"/>
      <c r="P81" s="1186">
        <v>2</v>
      </c>
      <c r="Q81" s="1186"/>
      <c r="R81" s="1186"/>
      <c r="S81" s="1186" t="s">
        <v>13</v>
      </c>
      <c r="T81" s="1186" t="s">
        <v>34</v>
      </c>
      <c r="U81" s="1186" t="s">
        <v>673</v>
      </c>
      <c r="V81" s="1186">
        <v>21</v>
      </c>
      <c r="W81" s="1186">
        <v>8</v>
      </c>
      <c r="X81" s="1186">
        <v>1</v>
      </c>
      <c r="Y81" s="1186">
        <v>8</v>
      </c>
      <c r="Z81" s="1186">
        <v>4</v>
      </c>
      <c r="AA81" s="1186"/>
    </row>
    <row r="82" spans="1:27" x14ac:dyDescent="0.2">
      <c r="A82" s="1186" t="s">
        <v>13</v>
      </c>
      <c r="B82" s="1186" t="s">
        <v>674</v>
      </c>
      <c r="C82" s="1186" t="s">
        <v>35</v>
      </c>
      <c r="D82" s="1186">
        <v>303</v>
      </c>
      <c r="E82" s="1186">
        <v>109</v>
      </c>
      <c r="F82" s="1186">
        <v>34</v>
      </c>
      <c r="G82" s="1186">
        <v>39</v>
      </c>
      <c r="H82" s="1186">
        <v>118</v>
      </c>
      <c r="I82" s="1186">
        <v>3</v>
      </c>
      <c r="J82" s="1186" t="s">
        <v>13</v>
      </c>
      <c r="K82" s="1186" t="s">
        <v>35</v>
      </c>
      <c r="L82" s="1186" t="s">
        <v>672</v>
      </c>
      <c r="M82" s="1186">
        <v>4</v>
      </c>
      <c r="N82" s="1186"/>
      <c r="O82" s="1186">
        <v>2</v>
      </c>
      <c r="P82" s="1186">
        <v>1</v>
      </c>
      <c r="Q82" s="1186">
        <v>1</v>
      </c>
      <c r="R82" s="1186"/>
      <c r="S82" s="1186" t="s">
        <v>13</v>
      </c>
      <c r="T82" s="1186" t="s">
        <v>35</v>
      </c>
      <c r="U82" s="1186" t="s">
        <v>673</v>
      </c>
      <c r="V82" s="1186">
        <v>58</v>
      </c>
      <c r="W82" s="1186">
        <v>20</v>
      </c>
      <c r="X82" s="1186">
        <v>12</v>
      </c>
      <c r="Y82" s="1186">
        <v>6</v>
      </c>
      <c r="Z82" s="1186">
        <v>20</v>
      </c>
      <c r="AA82" s="1186"/>
    </row>
    <row r="83" spans="1:27" x14ac:dyDescent="0.2">
      <c r="A83" s="1186" t="s">
        <v>13</v>
      </c>
      <c r="B83" s="1186" t="s">
        <v>674</v>
      </c>
      <c r="C83" s="1186" t="s">
        <v>36</v>
      </c>
      <c r="D83" s="1186">
        <v>1213</v>
      </c>
      <c r="E83" s="1186">
        <v>582</v>
      </c>
      <c r="F83" s="1186">
        <v>73</v>
      </c>
      <c r="G83" s="1186">
        <v>120</v>
      </c>
      <c r="H83" s="1186">
        <v>410</v>
      </c>
      <c r="I83" s="1186">
        <v>28</v>
      </c>
      <c r="J83" s="1186" t="s">
        <v>13</v>
      </c>
      <c r="K83" s="1186" t="s">
        <v>36</v>
      </c>
      <c r="L83" s="1186" t="s">
        <v>672</v>
      </c>
      <c r="M83" s="1186">
        <v>8</v>
      </c>
      <c r="N83" s="1186">
        <v>4</v>
      </c>
      <c r="O83" s="1186">
        <v>1</v>
      </c>
      <c r="P83" s="1186">
        <v>1</v>
      </c>
      <c r="Q83" s="1186">
        <v>2</v>
      </c>
      <c r="R83" s="1186"/>
      <c r="S83" s="1186" t="s">
        <v>13</v>
      </c>
      <c r="T83" s="1186" t="s">
        <v>36</v>
      </c>
      <c r="U83" s="1186" t="s">
        <v>673</v>
      </c>
      <c r="V83" s="1186">
        <v>192</v>
      </c>
      <c r="W83" s="1186">
        <v>87</v>
      </c>
      <c r="X83" s="1186">
        <v>21</v>
      </c>
      <c r="Y83" s="1186">
        <v>9</v>
      </c>
      <c r="Z83" s="1186">
        <v>70</v>
      </c>
      <c r="AA83" s="1186">
        <v>5</v>
      </c>
    </row>
    <row r="84" spans="1:27" x14ac:dyDescent="0.2">
      <c r="A84" s="1186" t="s">
        <v>13</v>
      </c>
      <c r="B84" s="1186" t="s">
        <v>674</v>
      </c>
      <c r="C84" s="1186" t="s">
        <v>37</v>
      </c>
      <c r="D84" s="1186">
        <v>143</v>
      </c>
      <c r="E84" s="1186">
        <v>47</v>
      </c>
      <c r="F84" s="1186">
        <v>14</v>
      </c>
      <c r="G84" s="1186">
        <v>14</v>
      </c>
      <c r="H84" s="1186">
        <v>56</v>
      </c>
      <c r="I84" s="1186">
        <v>12</v>
      </c>
      <c r="J84" s="1186" t="s">
        <v>13</v>
      </c>
      <c r="K84" s="1186" t="s">
        <v>37</v>
      </c>
      <c r="L84" s="1186" t="s">
        <v>672</v>
      </c>
      <c r="M84" s="1186">
        <v>2</v>
      </c>
      <c r="N84" s="1186"/>
      <c r="O84" s="1186"/>
      <c r="P84" s="1186">
        <v>1</v>
      </c>
      <c r="Q84" s="1186">
        <v>1</v>
      </c>
      <c r="R84" s="1186"/>
      <c r="S84" s="1186" t="s">
        <v>13</v>
      </c>
      <c r="T84" s="1186" t="s">
        <v>37</v>
      </c>
      <c r="U84" s="1186" t="s">
        <v>673</v>
      </c>
      <c r="V84" s="1186">
        <v>55</v>
      </c>
      <c r="W84" s="1186">
        <v>21</v>
      </c>
      <c r="X84" s="1186">
        <v>2</v>
      </c>
      <c r="Y84" s="1186"/>
      <c r="Z84" s="1186">
        <v>28</v>
      </c>
      <c r="AA84" s="1186">
        <v>4</v>
      </c>
    </row>
    <row r="85" spans="1:27" x14ac:dyDescent="0.2">
      <c r="A85" s="1186" t="s">
        <v>13</v>
      </c>
      <c r="B85" s="1186" t="s">
        <v>674</v>
      </c>
      <c r="C85" s="1186" t="s">
        <v>38</v>
      </c>
      <c r="D85" s="1186">
        <v>108</v>
      </c>
      <c r="E85" s="1186">
        <v>33</v>
      </c>
      <c r="F85" s="1186">
        <v>3</v>
      </c>
      <c r="G85" s="1186">
        <v>22</v>
      </c>
      <c r="H85" s="1186">
        <v>49</v>
      </c>
      <c r="I85" s="1186">
        <v>1</v>
      </c>
      <c r="J85" s="1186" t="s">
        <v>13</v>
      </c>
      <c r="K85" s="1186" t="s">
        <v>38</v>
      </c>
      <c r="L85" s="1186" t="s">
        <v>672</v>
      </c>
      <c r="M85" s="1186">
        <v>2</v>
      </c>
      <c r="N85" s="1186"/>
      <c r="O85" s="1186"/>
      <c r="P85" s="1186">
        <v>1</v>
      </c>
      <c r="Q85" s="1186">
        <v>1</v>
      </c>
      <c r="R85" s="1186"/>
      <c r="S85" s="1186" t="s">
        <v>13</v>
      </c>
      <c r="T85" s="1186" t="s">
        <v>38</v>
      </c>
      <c r="U85" s="1186" t="s">
        <v>673</v>
      </c>
      <c r="V85" s="1186">
        <v>17</v>
      </c>
      <c r="W85" s="1186">
        <v>3</v>
      </c>
      <c r="X85" s="1186">
        <v>2</v>
      </c>
      <c r="Y85" s="1186">
        <v>5</v>
      </c>
      <c r="Z85" s="1186">
        <v>7</v>
      </c>
      <c r="AA85" s="1186"/>
    </row>
    <row r="86" spans="1:27" x14ac:dyDescent="0.2">
      <c r="A86" s="1186" t="s">
        <v>13</v>
      </c>
      <c r="B86" s="1186" t="s">
        <v>674</v>
      </c>
      <c r="C86" s="1186" t="s">
        <v>39</v>
      </c>
      <c r="D86" s="1186">
        <v>79</v>
      </c>
      <c r="E86" s="1186">
        <v>38</v>
      </c>
      <c r="F86" s="1186">
        <v>8</v>
      </c>
      <c r="G86" s="1186">
        <v>13</v>
      </c>
      <c r="H86" s="1186">
        <v>20</v>
      </c>
      <c r="I86" s="1186"/>
      <c r="J86" s="1186" t="s">
        <v>13</v>
      </c>
      <c r="K86" s="1186" t="s">
        <v>39</v>
      </c>
      <c r="L86" s="1186" t="s">
        <v>672</v>
      </c>
      <c r="M86" s="1186">
        <v>2</v>
      </c>
      <c r="N86" s="1186"/>
      <c r="O86" s="1186">
        <v>1</v>
      </c>
      <c r="P86" s="1186">
        <v>1</v>
      </c>
      <c r="Q86" s="1186"/>
      <c r="R86" s="1186"/>
      <c r="S86" s="1186" t="s">
        <v>13</v>
      </c>
      <c r="T86" s="1186" t="s">
        <v>39</v>
      </c>
      <c r="U86" s="1186" t="s">
        <v>673</v>
      </c>
      <c r="V86" s="1186">
        <v>23</v>
      </c>
      <c r="W86" s="1186">
        <v>15</v>
      </c>
      <c r="X86" s="1186">
        <v>3</v>
      </c>
      <c r="Y86" s="1186">
        <v>3</v>
      </c>
      <c r="Z86" s="1186">
        <v>2</v>
      </c>
      <c r="AA86" s="1186"/>
    </row>
    <row r="87" spans="1:27" x14ac:dyDescent="0.2">
      <c r="A87" s="1186" t="s">
        <v>13</v>
      </c>
      <c r="B87" s="1186" t="s">
        <v>674</v>
      </c>
      <c r="C87" s="1186" t="s">
        <v>40</v>
      </c>
      <c r="D87" s="1186">
        <v>75</v>
      </c>
      <c r="E87" s="1186">
        <v>34</v>
      </c>
      <c r="F87" s="1186">
        <v>7</v>
      </c>
      <c r="G87" s="1186">
        <v>7</v>
      </c>
      <c r="H87" s="1186">
        <v>26</v>
      </c>
      <c r="I87" s="1186">
        <v>1</v>
      </c>
      <c r="J87" s="1186"/>
      <c r="K87" s="1186"/>
      <c r="L87" s="1186"/>
      <c r="M87" s="1186"/>
      <c r="N87" s="1186"/>
      <c r="O87" s="1186"/>
      <c r="P87" s="1186"/>
      <c r="Q87" s="1186"/>
      <c r="R87" s="1186"/>
      <c r="S87" s="1186" t="s">
        <v>13</v>
      </c>
      <c r="T87" s="1186" t="s">
        <v>40</v>
      </c>
      <c r="U87" s="1186" t="s">
        <v>673</v>
      </c>
      <c r="V87" s="1186">
        <v>21</v>
      </c>
      <c r="W87" s="1186">
        <v>8</v>
      </c>
      <c r="X87" s="1186">
        <v>6</v>
      </c>
      <c r="Y87" s="1186">
        <v>4</v>
      </c>
      <c r="Z87" s="1186">
        <v>3</v>
      </c>
      <c r="AA87" s="1186"/>
    </row>
    <row r="88" spans="1:27" x14ac:dyDescent="0.2">
      <c r="A88" s="1186" t="s">
        <v>13</v>
      </c>
      <c r="B88" s="1186" t="s">
        <v>674</v>
      </c>
      <c r="C88" s="1186" t="s">
        <v>295</v>
      </c>
      <c r="D88" s="1186">
        <v>17</v>
      </c>
      <c r="E88" s="1186">
        <v>5</v>
      </c>
      <c r="F88" s="1186">
        <v>5</v>
      </c>
      <c r="G88" s="1186">
        <v>2</v>
      </c>
      <c r="H88" s="1186">
        <v>3</v>
      </c>
      <c r="I88" s="1186">
        <v>2</v>
      </c>
      <c r="J88" s="1186" t="s">
        <v>13</v>
      </c>
      <c r="K88" s="1186" t="s">
        <v>295</v>
      </c>
      <c r="L88" s="1186" t="s">
        <v>672</v>
      </c>
      <c r="M88" s="1186">
        <v>1</v>
      </c>
      <c r="N88" s="1186"/>
      <c r="O88" s="1186">
        <v>1</v>
      </c>
      <c r="P88" s="1186"/>
      <c r="Q88" s="1186"/>
      <c r="R88" s="1186"/>
      <c r="S88" s="1186" t="s">
        <v>13</v>
      </c>
      <c r="T88" s="1186" t="s">
        <v>295</v>
      </c>
      <c r="U88" s="1186" t="s">
        <v>673</v>
      </c>
      <c r="V88" s="1186">
        <v>3</v>
      </c>
      <c r="W88" s="1186">
        <v>2</v>
      </c>
      <c r="X88" s="1186"/>
      <c r="Y88" s="1186"/>
      <c r="Z88" s="1186">
        <v>1</v>
      </c>
      <c r="AA88" s="1186"/>
    </row>
    <row r="89" spans="1:27" x14ac:dyDescent="0.2">
      <c r="A89" s="1186" t="s">
        <v>13</v>
      </c>
      <c r="B89" s="1186" t="s">
        <v>674</v>
      </c>
      <c r="C89" s="1186" t="s">
        <v>41</v>
      </c>
      <c r="D89" s="1186">
        <v>142</v>
      </c>
      <c r="E89" s="1186">
        <v>78</v>
      </c>
      <c r="F89" s="1186">
        <v>13</v>
      </c>
      <c r="G89" s="1186">
        <v>24</v>
      </c>
      <c r="H89" s="1186">
        <v>27</v>
      </c>
      <c r="I89" s="1186"/>
      <c r="J89" s="1186"/>
      <c r="K89" s="1186"/>
      <c r="L89" s="1186"/>
      <c r="M89" s="1186"/>
      <c r="N89" s="1186"/>
      <c r="O89" s="1186"/>
      <c r="P89" s="1186"/>
      <c r="Q89" s="1186"/>
      <c r="R89" s="1186"/>
      <c r="S89" s="1186" t="s">
        <v>13</v>
      </c>
      <c r="T89" s="1186" t="s">
        <v>41</v>
      </c>
      <c r="U89" s="1186" t="s">
        <v>673</v>
      </c>
      <c r="V89" s="1186">
        <v>27</v>
      </c>
      <c r="W89" s="1186">
        <v>11</v>
      </c>
      <c r="X89" s="1186">
        <v>2</v>
      </c>
      <c r="Y89" s="1186">
        <v>5</v>
      </c>
      <c r="Z89" s="1186">
        <v>9</v>
      </c>
      <c r="AA89" s="1186"/>
    </row>
    <row r="90" spans="1:27" x14ac:dyDescent="0.2">
      <c r="A90" s="1186" t="s">
        <v>13</v>
      </c>
      <c r="B90" s="1186" t="s">
        <v>674</v>
      </c>
      <c r="C90" s="1186" t="s">
        <v>42</v>
      </c>
      <c r="D90" s="1186">
        <v>345</v>
      </c>
      <c r="E90" s="1186">
        <v>162</v>
      </c>
      <c r="F90" s="1186">
        <v>31</v>
      </c>
      <c r="G90" s="1186">
        <v>29</v>
      </c>
      <c r="H90" s="1186">
        <v>115</v>
      </c>
      <c r="I90" s="1186">
        <v>8</v>
      </c>
      <c r="J90" s="1186" t="s">
        <v>13</v>
      </c>
      <c r="K90" s="1186" t="s">
        <v>42</v>
      </c>
      <c r="L90" s="1186" t="s">
        <v>672</v>
      </c>
      <c r="M90" s="1186">
        <v>1</v>
      </c>
      <c r="N90" s="1186"/>
      <c r="O90" s="1186">
        <v>1</v>
      </c>
      <c r="P90" s="1186"/>
      <c r="Q90" s="1186"/>
      <c r="R90" s="1186"/>
      <c r="S90" s="1186" t="s">
        <v>13</v>
      </c>
      <c r="T90" s="1186" t="s">
        <v>42</v>
      </c>
      <c r="U90" s="1186" t="s">
        <v>673</v>
      </c>
      <c r="V90" s="1186">
        <v>75</v>
      </c>
      <c r="W90" s="1186">
        <v>43</v>
      </c>
      <c r="X90" s="1186">
        <v>5</v>
      </c>
      <c r="Y90" s="1186">
        <v>2</v>
      </c>
      <c r="Z90" s="1186">
        <v>23</v>
      </c>
      <c r="AA90" s="1186">
        <v>2</v>
      </c>
    </row>
    <row r="91" spans="1:27" x14ac:dyDescent="0.2">
      <c r="A91" s="1186" t="s">
        <v>13</v>
      </c>
      <c r="B91" s="1186" t="s">
        <v>674</v>
      </c>
      <c r="C91" s="1186" t="s">
        <v>43</v>
      </c>
      <c r="D91" s="1186">
        <v>12</v>
      </c>
      <c r="E91" s="1186">
        <v>6</v>
      </c>
      <c r="F91" s="1186"/>
      <c r="G91" s="1186">
        <v>2</v>
      </c>
      <c r="H91" s="1186">
        <v>1</v>
      </c>
      <c r="I91" s="1186">
        <v>3</v>
      </c>
      <c r="J91" s="1186"/>
      <c r="K91" s="1186"/>
      <c r="L91" s="1186"/>
      <c r="M91" s="1186"/>
      <c r="N91" s="1186"/>
      <c r="O91" s="1186"/>
      <c r="P91" s="1186"/>
      <c r="Q91" s="1186"/>
      <c r="R91" s="1186"/>
      <c r="S91" s="1186" t="s">
        <v>13</v>
      </c>
      <c r="T91" s="1186" t="s">
        <v>43</v>
      </c>
      <c r="U91" s="1186" t="s">
        <v>673</v>
      </c>
      <c r="V91" s="1186">
        <v>2</v>
      </c>
      <c r="W91" s="1186"/>
      <c r="X91" s="1186"/>
      <c r="Y91" s="1186">
        <v>2</v>
      </c>
      <c r="Z91" s="1186"/>
      <c r="AA91" s="1186"/>
    </row>
    <row r="92" spans="1:27" x14ac:dyDescent="0.2">
      <c r="A92" s="1186" t="s">
        <v>13</v>
      </c>
      <c r="B92" s="1186" t="s">
        <v>674</v>
      </c>
      <c r="C92" s="1186" t="s">
        <v>44</v>
      </c>
      <c r="D92" s="1186">
        <v>127</v>
      </c>
      <c r="E92" s="1186">
        <v>41</v>
      </c>
      <c r="F92" s="1186">
        <v>6</v>
      </c>
      <c r="G92" s="1186">
        <v>30</v>
      </c>
      <c r="H92" s="1186">
        <v>47</v>
      </c>
      <c r="I92" s="1186">
        <v>3</v>
      </c>
      <c r="J92" s="1186" t="s">
        <v>13</v>
      </c>
      <c r="K92" s="1186" t="s">
        <v>44</v>
      </c>
      <c r="L92" s="1186" t="s">
        <v>672</v>
      </c>
      <c r="M92" s="1186">
        <v>1</v>
      </c>
      <c r="N92" s="1186"/>
      <c r="O92" s="1186"/>
      <c r="P92" s="1186">
        <v>1</v>
      </c>
      <c r="Q92" s="1186"/>
      <c r="R92" s="1186"/>
      <c r="S92" s="1186" t="s">
        <v>13</v>
      </c>
      <c r="T92" s="1186" t="s">
        <v>44</v>
      </c>
      <c r="U92" s="1186" t="s">
        <v>673</v>
      </c>
      <c r="V92" s="1186">
        <v>13</v>
      </c>
      <c r="W92" s="1186">
        <v>6</v>
      </c>
      <c r="X92" s="1186"/>
      <c r="Y92" s="1186">
        <v>2</v>
      </c>
      <c r="Z92" s="1186">
        <v>5</v>
      </c>
      <c r="AA92" s="1186"/>
    </row>
    <row r="93" spans="1:27" x14ac:dyDescent="0.2">
      <c r="A93" s="1186" t="s">
        <v>13</v>
      </c>
      <c r="B93" s="1186" t="s">
        <v>674</v>
      </c>
      <c r="C93" s="1186" t="s">
        <v>45</v>
      </c>
      <c r="D93" s="1186">
        <v>264</v>
      </c>
      <c r="E93" s="1186">
        <v>120</v>
      </c>
      <c r="F93" s="1186">
        <v>21</v>
      </c>
      <c r="G93" s="1186">
        <v>26</v>
      </c>
      <c r="H93" s="1186">
        <v>89</v>
      </c>
      <c r="I93" s="1186">
        <v>8</v>
      </c>
      <c r="J93" s="1186"/>
      <c r="K93" s="1186"/>
      <c r="L93" s="1186"/>
      <c r="M93" s="1186"/>
      <c r="N93" s="1186"/>
      <c r="O93" s="1186"/>
      <c r="P93" s="1186"/>
      <c r="Q93" s="1186"/>
      <c r="R93" s="1186"/>
      <c r="S93" s="1186" t="s">
        <v>13</v>
      </c>
      <c r="T93" s="1186" t="s">
        <v>45</v>
      </c>
      <c r="U93" s="1186" t="s">
        <v>673</v>
      </c>
      <c r="V93" s="1186">
        <v>40</v>
      </c>
      <c r="W93" s="1186">
        <v>14</v>
      </c>
      <c r="X93" s="1186">
        <v>10</v>
      </c>
      <c r="Y93" s="1186">
        <v>6</v>
      </c>
      <c r="Z93" s="1186">
        <v>9</v>
      </c>
      <c r="AA93" s="1186">
        <v>1</v>
      </c>
    </row>
    <row r="94" spans="1:27" x14ac:dyDescent="0.2">
      <c r="A94" s="1186" t="s">
        <v>13</v>
      </c>
      <c r="B94" s="1186" t="s">
        <v>674</v>
      </c>
      <c r="C94" s="1186" t="s">
        <v>46</v>
      </c>
      <c r="D94" s="1186">
        <v>95</v>
      </c>
      <c r="E94" s="1186">
        <v>37</v>
      </c>
      <c r="F94" s="1186">
        <v>10</v>
      </c>
      <c r="G94" s="1186">
        <v>14</v>
      </c>
      <c r="H94" s="1186">
        <v>32</v>
      </c>
      <c r="I94" s="1186">
        <v>2</v>
      </c>
      <c r="J94" s="1186" t="s">
        <v>13</v>
      </c>
      <c r="K94" s="1186" t="s">
        <v>46</v>
      </c>
      <c r="L94" s="1186" t="s">
        <v>672</v>
      </c>
      <c r="M94" s="1186">
        <v>2</v>
      </c>
      <c r="N94" s="1186">
        <v>1</v>
      </c>
      <c r="O94" s="1186"/>
      <c r="P94" s="1186">
        <v>1</v>
      </c>
      <c r="Q94" s="1186"/>
      <c r="R94" s="1186"/>
      <c r="S94" s="1186" t="s">
        <v>13</v>
      </c>
      <c r="T94" s="1186" t="s">
        <v>46</v>
      </c>
      <c r="U94" s="1186" t="s">
        <v>673</v>
      </c>
      <c r="V94" s="1186">
        <v>16</v>
      </c>
      <c r="W94" s="1186">
        <v>11</v>
      </c>
      <c r="X94" s="1186"/>
      <c r="Y94" s="1186">
        <v>1</v>
      </c>
      <c r="Z94" s="1186">
        <v>4</v>
      </c>
      <c r="AA94" s="1186"/>
    </row>
    <row r="95" spans="1:27" x14ac:dyDescent="0.2">
      <c r="A95" s="1186" t="s">
        <v>13</v>
      </c>
      <c r="B95" s="1186" t="s">
        <v>674</v>
      </c>
      <c r="C95" s="1186" t="s">
        <v>47</v>
      </c>
      <c r="D95" s="1186">
        <v>10</v>
      </c>
      <c r="E95" s="1186">
        <v>4</v>
      </c>
      <c r="F95" s="1186">
        <v>1</v>
      </c>
      <c r="G95" s="1186">
        <v>1</v>
      </c>
      <c r="H95" s="1186">
        <v>3</v>
      </c>
      <c r="I95" s="1186">
        <v>1</v>
      </c>
      <c r="J95" s="1186"/>
      <c r="K95" s="1186"/>
      <c r="L95" s="1186"/>
      <c r="M95" s="1186"/>
      <c r="N95" s="1186"/>
      <c r="O95" s="1186"/>
      <c r="P95" s="1186"/>
      <c r="Q95" s="1186"/>
      <c r="R95" s="1186"/>
      <c r="S95" s="1186" t="s">
        <v>13</v>
      </c>
      <c r="T95" s="1186" t="s">
        <v>47</v>
      </c>
      <c r="U95" s="1186" t="s">
        <v>673</v>
      </c>
      <c r="V95" s="1186">
        <v>1</v>
      </c>
      <c r="W95" s="1186">
        <v>1</v>
      </c>
      <c r="X95" s="1186"/>
      <c r="Y95" s="1186"/>
      <c r="Z95" s="1186"/>
      <c r="AA95" s="1186"/>
    </row>
    <row r="96" spans="1:27" x14ac:dyDescent="0.2">
      <c r="A96" s="1186" t="s">
        <v>13</v>
      </c>
      <c r="B96" s="1186" t="s">
        <v>674</v>
      </c>
      <c r="C96" s="1186" t="s">
        <v>48</v>
      </c>
      <c r="D96" s="1186">
        <v>86</v>
      </c>
      <c r="E96" s="1186">
        <v>43</v>
      </c>
      <c r="F96" s="1186">
        <v>6</v>
      </c>
      <c r="G96" s="1186">
        <v>15</v>
      </c>
      <c r="H96" s="1186">
        <v>20</v>
      </c>
      <c r="I96" s="1186">
        <v>2</v>
      </c>
      <c r="J96" s="1186" t="s">
        <v>13</v>
      </c>
      <c r="K96" s="1186" t="s">
        <v>48</v>
      </c>
      <c r="L96" s="1186" t="s">
        <v>672</v>
      </c>
      <c r="M96" s="1186">
        <v>1</v>
      </c>
      <c r="N96" s="1186"/>
      <c r="O96" s="1186"/>
      <c r="P96" s="1186"/>
      <c r="Q96" s="1186">
        <v>1</v>
      </c>
      <c r="R96" s="1186"/>
      <c r="S96" s="1186" t="s">
        <v>13</v>
      </c>
      <c r="T96" s="1186" t="s">
        <v>48</v>
      </c>
      <c r="U96" s="1186" t="s">
        <v>673</v>
      </c>
      <c r="V96" s="1186">
        <v>18</v>
      </c>
      <c r="W96" s="1186">
        <v>5</v>
      </c>
      <c r="X96" s="1186">
        <v>3</v>
      </c>
      <c r="Y96" s="1186">
        <v>2</v>
      </c>
      <c r="Z96" s="1186">
        <v>8</v>
      </c>
      <c r="AA96" s="1186"/>
    </row>
    <row r="97" spans="1:27" x14ac:dyDescent="0.2">
      <c r="A97" s="1186" t="s">
        <v>13</v>
      </c>
      <c r="B97" s="1186" t="s">
        <v>674</v>
      </c>
      <c r="C97" s="1186" t="s">
        <v>49</v>
      </c>
      <c r="D97" s="1186">
        <v>312</v>
      </c>
      <c r="E97" s="1186">
        <v>148</v>
      </c>
      <c r="F97" s="1186">
        <v>28</v>
      </c>
      <c r="G97" s="1186">
        <v>60</v>
      </c>
      <c r="H97" s="1186">
        <v>69</v>
      </c>
      <c r="I97" s="1186">
        <v>7</v>
      </c>
      <c r="J97" s="1186" t="s">
        <v>13</v>
      </c>
      <c r="K97" s="1186" t="s">
        <v>49</v>
      </c>
      <c r="L97" s="1186" t="s">
        <v>672</v>
      </c>
      <c r="M97" s="1186">
        <v>1</v>
      </c>
      <c r="N97" s="1186">
        <v>1</v>
      </c>
      <c r="O97" s="1186"/>
      <c r="P97" s="1186"/>
      <c r="Q97" s="1186"/>
      <c r="R97" s="1186"/>
      <c r="S97" s="1186" t="s">
        <v>13</v>
      </c>
      <c r="T97" s="1186" t="s">
        <v>49</v>
      </c>
      <c r="U97" s="1186" t="s">
        <v>673</v>
      </c>
      <c r="V97" s="1186">
        <v>50</v>
      </c>
      <c r="W97" s="1186">
        <v>20</v>
      </c>
      <c r="X97" s="1186">
        <v>9</v>
      </c>
      <c r="Y97" s="1186">
        <v>13</v>
      </c>
      <c r="Z97" s="1186">
        <v>8</v>
      </c>
      <c r="AA97" s="1186"/>
    </row>
    <row r="98" spans="1:27" x14ac:dyDescent="0.2">
      <c r="A98" s="1186" t="s">
        <v>13</v>
      </c>
      <c r="B98" s="1186" t="s">
        <v>674</v>
      </c>
      <c r="C98" s="1186" t="s">
        <v>50</v>
      </c>
      <c r="D98" s="1186">
        <v>69</v>
      </c>
      <c r="E98" s="1186">
        <v>30</v>
      </c>
      <c r="F98" s="1186">
        <v>3</v>
      </c>
      <c r="G98" s="1186">
        <v>7</v>
      </c>
      <c r="H98" s="1186">
        <v>29</v>
      </c>
      <c r="I98" s="1186"/>
      <c r="J98" s="1186" t="s">
        <v>13</v>
      </c>
      <c r="K98" s="1186" t="s">
        <v>50</v>
      </c>
      <c r="L98" s="1186" t="s">
        <v>672</v>
      </c>
      <c r="M98" s="1186">
        <v>1</v>
      </c>
      <c r="N98" s="1186">
        <v>1</v>
      </c>
      <c r="O98" s="1186"/>
      <c r="P98" s="1186"/>
      <c r="Q98" s="1186"/>
      <c r="R98" s="1186"/>
      <c r="S98" s="1186" t="s">
        <v>13</v>
      </c>
      <c r="T98" s="1186" t="s">
        <v>50</v>
      </c>
      <c r="U98" s="1186" t="s">
        <v>673</v>
      </c>
      <c r="V98" s="1186">
        <v>16</v>
      </c>
      <c r="W98" s="1186">
        <v>5</v>
      </c>
      <c r="X98" s="1186">
        <v>2</v>
      </c>
      <c r="Y98" s="1186">
        <v>1</v>
      </c>
      <c r="Z98" s="1186">
        <v>8</v>
      </c>
      <c r="AA98" s="1186"/>
    </row>
    <row r="99" spans="1:27" x14ac:dyDescent="0.2">
      <c r="A99" s="1186" t="s">
        <v>13</v>
      </c>
      <c r="B99" s="1186" t="s">
        <v>674</v>
      </c>
      <c r="C99" s="1186" t="s">
        <v>51</v>
      </c>
      <c r="D99" s="1186">
        <v>148</v>
      </c>
      <c r="E99" s="1186">
        <v>71</v>
      </c>
      <c r="F99" s="1186">
        <v>12</v>
      </c>
      <c r="G99" s="1186">
        <v>16</v>
      </c>
      <c r="H99" s="1186">
        <v>45</v>
      </c>
      <c r="I99" s="1186">
        <v>4</v>
      </c>
      <c r="J99" s="1186"/>
      <c r="K99" s="1186"/>
      <c r="L99" s="1186"/>
      <c r="M99" s="1186"/>
      <c r="N99" s="1186"/>
      <c r="O99" s="1186"/>
      <c r="P99" s="1186"/>
      <c r="Q99" s="1186"/>
      <c r="R99" s="1186"/>
      <c r="S99" s="1186" t="s">
        <v>13</v>
      </c>
      <c r="T99" s="1186" t="s">
        <v>51</v>
      </c>
      <c r="U99" s="1186" t="s">
        <v>673</v>
      </c>
      <c r="V99" s="1186">
        <v>22</v>
      </c>
      <c r="W99" s="1186">
        <v>10</v>
      </c>
      <c r="X99" s="1186">
        <v>4</v>
      </c>
      <c r="Y99" s="1186">
        <v>4</v>
      </c>
      <c r="Z99" s="1186">
        <v>4</v>
      </c>
      <c r="AA99" s="1186"/>
    </row>
    <row r="100" spans="1:27" x14ac:dyDescent="0.2">
      <c r="A100" s="1186" t="s">
        <v>13</v>
      </c>
      <c r="B100" s="1186" t="s">
        <v>674</v>
      </c>
      <c r="C100" s="1186" t="s">
        <v>52</v>
      </c>
      <c r="D100" s="1186">
        <v>182</v>
      </c>
      <c r="E100" s="1186">
        <v>84</v>
      </c>
      <c r="F100" s="1186">
        <v>19</v>
      </c>
      <c r="G100" s="1186">
        <v>24</v>
      </c>
      <c r="H100" s="1186">
        <v>53</v>
      </c>
      <c r="I100" s="1186">
        <v>2</v>
      </c>
      <c r="J100" s="1186" t="s">
        <v>13</v>
      </c>
      <c r="K100" s="1186" t="s">
        <v>52</v>
      </c>
      <c r="L100" s="1186" t="s">
        <v>672</v>
      </c>
      <c r="M100" s="1186">
        <v>2</v>
      </c>
      <c r="N100" s="1186">
        <v>1</v>
      </c>
      <c r="O100" s="1186">
        <v>1</v>
      </c>
      <c r="P100" s="1186"/>
      <c r="Q100" s="1186"/>
      <c r="R100" s="1186"/>
      <c r="S100" s="1186" t="s">
        <v>13</v>
      </c>
      <c r="T100" s="1186" t="s">
        <v>52</v>
      </c>
      <c r="U100" s="1186" t="s">
        <v>673</v>
      </c>
      <c r="V100" s="1186">
        <v>58</v>
      </c>
      <c r="W100" s="1186">
        <v>16</v>
      </c>
      <c r="X100" s="1186">
        <v>13</v>
      </c>
      <c r="Y100" s="1186">
        <v>14</v>
      </c>
      <c r="Z100" s="1186">
        <v>14</v>
      </c>
      <c r="AA100" s="1186">
        <v>1</v>
      </c>
    </row>
    <row r="101" spans="1:27" x14ac:dyDescent="0.2">
      <c r="A101" s="1186" t="s">
        <v>15</v>
      </c>
      <c r="B101" s="1186" t="s">
        <v>674</v>
      </c>
      <c r="C101" s="1186" t="s">
        <v>23</v>
      </c>
      <c r="D101" s="1186">
        <v>320</v>
      </c>
      <c r="E101" s="1186">
        <v>150</v>
      </c>
      <c r="F101" s="1186">
        <v>27</v>
      </c>
      <c r="G101" s="1186">
        <v>29</v>
      </c>
      <c r="H101" s="1186">
        <v>112</v>
      </c>
      <c r="I101" s="1186">
        <v>2</v>
      </c>
      <c r="J101" s="1186" t="s">
        <v>15</v>
      </c>
      <c r="K101" s="1186" t="s">
        <v>23</v>
      </c>
      <c r="L101" s="1186" t="s">
        <v>672</v>
      </c>
      <c r="M101" s="1186">
        <v>3</v>
      </c>
      <c r="N101" s="1186"/>
      <c r="O101" s="1186">
        <v>1</v>
      </c>
      <c r="P101" s="1186"/>
      <c r="Q101" s="1186">
        <v>1</v>
      </c>
      <c r="R101" s="1186">
        <v>1</v>
      </c>
      <c r="S101" s="1186" t="s">
        <v>15</v>
      </c>
      <c r="T101" s="1186" t="s">
        <v>23</v>
      </c>
      <c r="U101" s="1186" t="s">
        <v>673</v>
      </c>
      <c r="V101" s="1186">
        <v>54</v>
      </c>
      <c r="W101" s="1186">
        <v>23</v>
      </c>
      <c r="X101" s="1186">
        <v>10</v>
      </c>
      <c r="Y101" s="1186">
        <v>2</v>
      </c>
      <c r="Z101" s="1186">
        <v>19</v>
      </c>
      <c r="AA101" s="1186"/>
    </row>
    <row r="102" spans="1:27" x14ac:dyDescent="0.2">
      <c r="A102" s="1186" t="s">
        <v>15</v>
      </c>
      <c r="B102" s="1186" t="s">
        <v>674</v>
      </c>
      <c r="C102" s="1186" t="s">
        <v>24</v>
      </c>
      <c r="D102" s="1186">
        <v>179</v>
      </c>
      <c r="E102" s="1186">
        <v>91</v>
      </c>
      <c r="F102" s="1186">
        <v>12</v>
      </c>
      <c r="G102" s="1186">
        <v>9</v>
      </c>
      <c r="H102" s="1186">
        <v>65</v>
      </c>
      <c r="I102" s="1186">
        <v>2</v>
      </c>
      <c r="J102" s="1186" t="s">
        <v>15</v>
      </c>
      <c r="K102" s="1186" t="s">
        <v>24</v>
      </c>
      <c r="L102" s="1186" t="s">
        <v>672</v>
      </c>
      <c r="M102" s="1186">
        <v>2</v>
      </c>
      <c r="N102" s="1186"/>
      <c r="O102" s="1186"/>
      <c r="P102" s="1186"/>
      <c r="Q102" s="1186">
        <v>2</v>
      </c>
      <c r="R102" s="1186"/>
      <c r="S102" s="1186" t="s">
        <v>15</v>
      </c>
      <c r="T102" s="1186" t="s">
        <v>24</v>
      </c>
      <c r="U102" s="1186" t="s">
        <v>673</v>
      </c>
      <c r="V102" s="1186">
        <v>31</v>
      </c>
      <c r="W102" s="1186">
        <v>14</v>
      </c>
      <c r="X102" s="1186">
        <v>2</v>
      </c>
      <c r="Y102" s="1186">
        <v>1</v>
      </c>
      <c r="Z102" s="1186">
        <v>11</v>
      </c>
      <c r="AA102" s="1186">
        <v>3</v>
      </c>
    </row>
    <row r="103" spans="1:27" x14ac:dyDescent="0.2">
      <c r="A103" s="1186" t="s">
        <v>15</v>
      </c>
      <c r="B103" s="1186" t="s">
        <v>674</v>
      </c>
      <c r="C103" s="1186" t="s">
        <v>25</v>
      </c>
      <c r="D103" s="1186">
        <v>86</v>
      </c>
      <c r="E103" s="1186">
        <v>32</v>
      </c>
      <c r="F103" s="1186">
        <v>7</v>
      </c>
      <c r="G103" s="1186">
        <v>20</v>
      </c>
      <c r="H103" s="1186">
        <v>24</v>
      </c>
      <c r="I103" s="1186">
        <v>3</v>
      </c>
      <c r="J103" s="1186"/>
      <c r="K103" s="1186"/>
      <c r="L103" s="1186"/>
      <c r="M103" s="1186"/>
      <c r="N103" s="1186"/>
      <c r="O103" s="1186"/>
      <c r="P103" s="1186"/>
      <c r="Q103" s="1186"/>
      <c r="R103" s="1186"/>
      <c r="S103" s="1186" t="s">
        <v>15</v>
      </c>
      <c r="T103" s="1186" t="s">
        <v>25</v>
      </c>
      <c r="U103" s="1186" t="s">
        <v>673</v>
      </c>
      <c r="V103" s="1186">
        <v>17</v>
      </c>
      <c r="W103" s="1186">
        <v>7</v>
      </c>
      <c r="X103" s="1186">
        <v>3</v>
      </c>
      <c r="Y103" s="1186">
        <v>2</v>
      </c>
      <c r="Z103" s="1186">
        <v>2</v>
      </c>
      <c r="AA103" s="1186">
        <v>3</v>
      </c>
    </row>
    <row r="104" spans="1:27" x14ac:dyDescent="0.2">
      <c r="A104" s="1186" t="s">
        <v>15</v>
      </c>
      <c r="B104" s="1186" t="s">
        <v>674</v>
      </c>
      <c r="C104" s="1186" t="s">
        <v>26</v>
      </c>
      <c r="D104" s="1186">
        <v>88</v>
      </c>
      <c r="E104" s="1186">
        <v>47</v>
      </c>
      <c r="F104" s="1186">
        <v>5</v>
      </c>
      <c r="G104" s="1186">
        <v>6</v>
      </c>
      <c r="H104" s="1186">
        <v>25</v>
      </c>
      <c r="I104" s="1186">
        <v>5</v>
      </c>
      <c r="J104" s="1186"/>
      <c r="K104" s="1186"/>
      <c r="L104" s="1186"/>
      <c r="M104" s="1186"/>
      <c r="N104" s="1186"/>
      <c r="O104" s="1186"/>
      <c r="P104" s="1186"/>
      <c r="Q104" s="1186"/>
      <c r="R104" s="1186"/>
      <c r="S104" s="1186" t="s">
        <v>15</v>
      </c>
      <c r="T104" s="1186" t="s">
        <v>26</v>
      </c>
      <c r="U104" s="1186" t="s">
        <v>673</v>
      </c>
      <c r="V104" s="1186">
        <v>15</v>
      </c>
      <c r="W104" s="1186">
        <v>7</v>
      </c>
      <c r="X104" s="1186">
        <v>4</v>
      </c>
      <c r="Y104" s="1186">
        <v>1</v>
      </c>
      <c r="Z104" s="1186">
        <v>3</v>
      </c>
      <c r="AA104" s="1186"/>
    </row>
    <row r="105" spans="1:27" x14ac:dyDescent="0.2">
      <c r="A105" s="1186" t="s">
        <v>15</v>
      </c>
      <c r="B105" s="1186" t="s">
        <v>674</v>
      </c>
      <c r="C105" s="1186" t="s">
        <v>619</v>
      </c>
      <c r="D105" s="1186">
        <v>700</v>
      </c>
      <c r="E105" s="1186">
        <v>257</v>
      </c>
      <c r="F105" s="1186">
        <v>49</v>
      </c>
      <c r="G105" s="1186">
        <v>85</v>
      </c>
      <c r="H105" s="1186">
        <v>297</v>
      </c>
      <c r="I105" s="1186">
        <v>12</v>
      </c>
      <c r="J105" s="1186" t="s">
        <v>15</v>
      </c>
      <c r="K105" s="1186" t="s">
        <v>619</v>
      </c>
      <c r="L105" s="1186" t="s">
        <v>672</v>
      </c>
      <c r="M105" s="1186">
        <v>6</v>
      </c>
      <c r="N105" s="1186">
        <v>1</v>
      </c>
      <c r="O105" s="1186">
        <v>1</v>
      </c>
      <c r="P105" s="1186">
        <v>1</v>
      </c>
      <c r="Q105" s="1186">
        <v>3</v>
      </c>
      <c r="R105" s="1186"/>
      <c r="S105" s="1186" t="s">
        <v>15</v>
      </c>
      <c r="T105" s="1186" t="s">
        <v>619</v>
      </c>
      <c r="U105" s="1186" t="s">
        <v>673</v>
      </c>
      <c r="V105" s="1186">
        <v>151</v>
      </c>
      <c r="W105" s="1186">
        <v>47</v>
      </c>
      <c r="X105" s="1186">
        <v>14</v>
      </c>
      <c r="Y105" s="1186">
        <v>22</v>
      </c>
      <c r="Z105" s="1186">
        <v>63</v>
      </c>
      <c r="AA105" s="1186">
        <v>5</v>
      </c>
    </row>
    <row r="106" spans="1:27" x14ac:dyDescent="0.2">
      <c r="A106" s="1186" t="s">
        <v>15</v>
      </c>
      <c r="B106" s="1186" t="s">
        <v>674</v>
      </c>
      <c r="C106" s="1186" t="s">
        <v>27</v>
      </c>
      <c r="D106" s="1186">
        <v>44</v>
      </c>
      <c r="E106" s="1186">
        <v>15</v>
      </c>
      <c r="F106" s="1186">
        <v>4</v>
      </c>
      <c r="G106" s="1186">
        <v>5</v>
      </c>
      <c r="H106" s="1186">
        <v>20</v>
      </c>
      <c r="I106" s="1186"/>
      <c r="J106" s="1186"/>
      <c r="K106" s="1186"/>
      <c r="L106" s="1186"/>
      <c r="M106" s="1186"/>
      <c r="N106" s="1186"/>
      <c r="O106" s="1186"/>
      <c r="P106" s="1186"/>
      <c r="Q106" s="1186"/>
      <c r="R106" s="1186"/>
      <c r="S106" s="1186" t="s">
        <v>15</v>
      </c>
      <c r="T106" s="1186" t="s">
        <v>27</v>
      </c>
      <c r="U106" s="1186" t="s">
        <v>673</v>
      </c>
      <c r="V106" s="1186">
        <v>7</v>
      </c>
      <c r="W106" s="1186">
        <v>3</v>
      </c>
      <c r="X106" s="1186">
        <v>1</v>
      </c>
      <c r="Y106" s="1186">
        <v>1</v>
      </c>
      <c r="Z106" s="1186">
        <v>2</v>
      </c>
      <c r="AA106" s="1186"/>
    </row>
    <row r="107" spans="1:27" x14ac:dyDescent="0.2">
      <c r="A107" s="1186" t="s">
        <v>15</v>
      </c>
      <c r="B107" s="1186" t="s">
        <v>674</v>
      </c>
      <c r="C107" s="1186" t="s">
        <v>28</v>
      </c>
      <c r="D107" s="1186">
        <v>106</v>
      </c>
      <c r="E107" s="1186">
        <v>50</v>
      </c>
      <c r="F107" s="1186">
        <v>18</v>
      </c>
      <c r="G107" s="1186">
        <v>26</v>
      </c>
      <c r="H107" s="1186">
        <v>11</v>
      </c>
      <c r="I107" s="1186">
        <v>1</v>
      </c>
      <c r="J107" s="1186"/>
      <c r="K107" s="1186"/>
      <c r="L107" s="1186"/>
      <c r="M107" s="1186"/>
      <c r="N107" s="1186"/>
      <c r="O107" s="1186"/>
      <c r="P107" s="1186"/>
      <c r="Q107" s="1186"/>
      <c r="R107" s="1186"/>
      <c r="S107" s="1186" t="s">
        <v>15</v>
      </c>
      <c r="T107" s="1186" t="s">
        <v>28</v>
      </c>
      <c r="U107" s="1186" t="s">
        <v>673</v>
      </c>
      <c r="V107" s="1186">
        <v>32</v>
      </c>
      <c r="W107" s="1186">
        <v>18</v>
      </c>
      <c r="X107" s="1186">
        <v>5</v>
      </c>
      <c r="Y107" s="1186">
        <v>7</v>
      </c>
      <c r="Z107" s="1186">
        <v>2</v>
      </c>
      <c r="AA107" s="1186"/>
    </row>
    <row r="108" spans="1:27" x14ac:dyDescent="0.2">
      <c r="A108" s="1186" t="s">
        <v>15</v>
      </c>
      <c r="B108" s="1186" t="s">
        <v>674</v>
      </c>
      <c r="C108" s="1186" t="s">
        <v>29</v>
      </c>
      <c r="D108" s="1186">
        <v>269</v>
      </c>
      <c r="E108" s="1186">
        <v>117</v>
      </c>
      <c r="F108" s="1186">
        <v>23</v>
      </c>
      <c r="G108" s="1186">
        <v>47</v>
      </c>
      <c r="H108" s="1186">
        <v>77</v>
      </c>
      <c r="I108" s="1186">
        <v>5</v>
      </c>
      <c r="J108" s="1186" t="s">
        <v>15</v>
      </c>
      <c r="K108" s="1186" t="s">
        <v>29</v>
      </c>
      <c r="L108" s="1186" t="s">
        <v>672</v>
      </c>
      <c r="M108" s="1186">
        <v>1</v>
      </c>
      <c r="N108" s="1186"/>
      <c r="O108" s="1186">
        <v>1</v>
      </c>
      <c r="P108" s="1186"/>
      <c r="Q108" s="1186"/>
      <c r="R108" s="1186"/>
      <c r="S108" s="1186" t="s">
        <v>15</v>
      </c>
      <c r="T108" s="1186" t="s">
        <v>29</v>
      </c>
      <c r="U108" s="1186" t="s">
        <v>673</v>
      </c>
      <c r="V108" s="1186">
        <v>53</v>
      </c>
      <c r="W108" s="1186">
        <v>24</v>
      </c>
      <c r="X108" s="1186">
        <v>10</v>
      </c>
      <c r="Y108" s="1186">
        <v>8</v>
      </c>
      <c r="Z108" s="1186">
        <v>10</v>
      </c>
      <c r="AA108" s="1186">
        <v>1</v>
      </c>
    </row>
    <row r="109" spans="1:27" x14ac:dyDescent="0.2">
      <c r="A109" s="1186" t="s">
        <v>15</v>
      </c>
      <c r="B109" s="1186" t="s">
        <v>674</v>
      </c>
      <c r="C109" s="1186" t="s">
        <v>30</v>
      </c>
      <c r="D109" s="1186">
        <v>108</v>
      </c>
      <c r="E109" s="1186">
        <v>48</v>
      </c>
      <c r="F109" s="1186">
        <v>11</v>
      </c>
      <c r="G109" s="1186">
        <v>22</v>
      </c>
      <c r="H109" s="1186">
        <v>24</v>
      </c>
      <c r="I109" s="1186">
        <v>3</v>
      </c>
      <c r="J109" s="1186"/>
      <c r="K109" s="1186"/>
      <c r="L109" s="1186"/>
      <c r="M109" s="1186"/>
      <c r="N109" s="1186"/>
      <c r="O109" s="1186"/>
      <c r="P109" s="1186"/>
      <c r="Q109" s="1186"/>
      <c r="R109" s="1186"/>
      <c r="S109" s="1186" t="s">
        <v>15</v>
      </c>
      <c r="T109" s="1186" t="s">
        <v>30</v>
      </c>
      <c r="U109" s="1186" t="s">
        <v>673</v>
      </c>
      <c r="V109" s="1186">
        <v>11</v>
      </c>
      <c r="W109" s="1186">
        <v>7</v>
      </c>
      <c r="X109" s="1186"/>
      <c r="Y109" s="1186">
        <v>1</v>
      </c>
      <c r="Z109" s="1186">
        <v>3</v>
      </c>
      <c r="AA109" s="1186"/>
    </row>
    <row r="110" spans="1:27" x14ac:dyDescent="0.2">
      <c r="A110" s="1186" t="s">
        <v>15</v>
      </c>
      <c r="B110" s="1186" t="s">
        <v>674</v>
      </c>
      <c r="C110" s="1186" t="s">
        <v>31</v>
      </c>
      <c r="D110" s="1186">
        <v>70</v>
      </c>
      <c r="E110" s="1186">
        <v>30</v>
      </c>
      <c r="F110" s="1186">
        <v>3</v>
      </c>
      <c r="G110" s="1186">
        <v>18</v>
      </c>
      <c r="H110" s="1186">
        <v>17</v>
      </c>
      <c r="I110" s="1186">
        <v>2</v>
      </c>
      <c r="J110" s="1186" t="s">
        <v>15</v>
      </c>
      <c r="K110" s="1186" t="s">
        <v>31</v>
      </c>
      <c r="L110" s="1186" t="s">
        <v>672</v>
      </c>
      <c r="M110" s="1186">
        <v>1</v>
      </c>
      <c r="N110" s="1186"/>
      <c r="O110" s="1186"/>
      <c r="P110" s="1186"/>
      <c r="Q110" s="1186">
        <v>1</v>
      </c>
      <c r="R110" s="1186"/>
      <c r="S110" s="1186" t="s">
        <v>15</v>
      </c>
      <c r="T110" s="1186" t="s">
        <v>31</v>
      </c>
      <c r="U110" s="1186" t="s">
        <v>673</v>
      </c>
      <c r="V110" s="1186">
        <v>23</v>
      </c>
      <c r="W110" s="1186">
        <v>15</v>
      </c>
      <c r="X110" s="1186"/>
      <c r="Y110" s="1186">
        <v>2</v>
      </c>
      <c r="Z110" s="1186">
        <v>4</v>
      </c>
      <c r="AA110" s="1186">
        <v>2</v>
      </c>
    </row>
    <row r="111" spans="1:27" x14ac:dyDescent="0.2">
      <c r="A111" s="1186" t="s">
        <v>15</v>
      </c>
      <c r="B111" s="1186" t="s">
        <v>674</v>
      </c>
      <c r="C111" s="1186" t="s">
        <v>32</v>
      </c>
      <c r="D111" s="1186">
        <v>103</v>
      </c>
      <c r="E111" s="1186">
        <v>53</v>
      </c>
      <c r="F111" s="1186">
        <v>9</v>
      </c>
      <c r="G111" s="1186">
        <v>13</v>
      </c>
      <c r="H111" s="1186">
        <v>28</v>
      </c>
      <c r="I111" s="1186"/>
      <c r="J111" s="1186" t="s">
        <v>15</v>
      </c>
      <c r="K111" s="1186" t="s">
        <v>32</v>
      </c>
      <c r="L111" s="1186" t="s">
        <v>672</v>
      </c>
      <c r="M111" s="1186">
        <v>1</v>
      </c>
      <c r="N111" s="1186"/>
      <c r="O111" s="1186"/>
      <c r="P111" s="1186"/>
      <c r="Q111" s="1186">
        <v>1</v>
      </c>
      <c r="R111" s="1186"/>
      <c r="S111" s="1186" t="s">
        <v>15</v>
      </c>
      <c r="T111" s="1186" t="s">
        <v>32</v>
      </c>
      <c r="U111" s="1186" t="s">
        <v>673</v>
      </c>
      <c r="V111" s="1186">
        <v>13</v>
      </c>
      <c r="W111" s="1186">
        <v>8</v>
      </c>
      <c r="X111" s="1186"/>
      <c r="Y111" s="1186">
        <v>1</v>
      </c>
      <c r="Z111" s="1186">
        <v>4</v>
      </c>
      <c r="AA111" s="1186"/>
    </row>
    <row r="112" spans="1:27" x14ac:dyDescent="0.2">
      <c r="A112" s="1186" t="s">
        <v>15</v>
      </c>
      <c r="B112" s="1186" t="s">
        <v>674</v>
      </c>
      <c r="C112" s="1186" t="s">
        <v>33</v>
      </c>
      <c r="D112" s="1186">
        <v>75</v>
      </c>
      <c r="E112" s="1186">
        <v>39</v>
      </c>
      <c r="F112" s="1186">
        <v>5</v>
      </c>
      <c r="G112" s="1186">
        <v>10</v>
      </c>
      <c r="H112" s="1186">
        <v>21</v>
      </c>
      <c r="I112" s="1186"/>
      <c r="J112" s="1186"/>
      <c r="K112" s="1186"/>
      <c r="L112" s="1186"/>
      <c r="M112" s="1186"/>
      <c r="N112" s="1186"/>
      <c r="O112" s="1186"/>
      <c r="P112" s="1186"/>
      <c r="Q112" s="1186"/>
      <c r="R112" s="1186"/>
      <c r="S112" s="1186" t="s">
        <v>15</v>
      </c>
      <c r="T112" s="1186" t="s">
        <v>33</v>
      </c>
      <c r="U112" s="1186" t="s">
        <v>673</v>
      </c>
      <c r="V112" s="1186">
        <v>9</v>
      </c>
      <c r="W112" s="1186">
        <v>7</v>
      </c>
      <c r="X112" s="1186"/>
      <c r="Y112" s="1186">
        <v>1</v>
      </c>
      <c r="Z112" s="1186">
        <v>1</v>
      </c>
      <c r="AA112" s="1186"/>
    </row>
    <row r="113" spans="1:27" x14ac:dyDescent="0.2">
      <c r="A113" s="1186" t="s">
        <v>15</v>
      </c>
      <c r="B113" s="1186" t="s">
        <v>674</v>
      </c>
      <c r="C113" s="1186" t="s">
        <v>34</v>
      </c>
      <c r="D113" s="1186">
        <v>103</v>
      </c>
      <c r="E113" s="1186">
        <v>29</v>
      </c>
      <c r="F113" s="1186">
        <v>11</v>
      </c>
      <c r="G113" s="1186">
        <v>21</v>
      </c>
      <c r="H113" s="1186">
        <v>35</v>
      </c>
      <c r="I113" s="1186">
        <v>7</v>
      </c>
      <c r="J113" s="1186" t="s">
        <v>15</v>
      </c>
      <c r="K113" s="1186" t="s">
        <v>34</v>
      </c>
      <c r="L113" s="1186" t="s">
        <v>672</v>
      </c>
      <c r="M113" s="1186">
        <v>1</v>
      </c>
      <c r="N113" s="1186"/>
      <c r="O113" s="1186">
        <v>1</v>
      </c>
      <c r="P113" s="1186"/>
      <c r="Q113" s="1186"/>
      <c r="R113" s="1186"/>
      <c r="S113" s="1186" t="s">
        <v>15</v>
      </c>
      <c r="T113" s="1186" t="s">
        <v>34</v>
      </c>
      <c r="U113" s="1186" t="s">
        <v>673</v>
      </c>
      <c r="V113" s="1186">
        <v>11</v>
      </c>
      <c r="W113" s="1186">
        <v>7</v>
      </c>
      <c r="X113" s="1186"/>
      <c r="Y113" s="1186">
        <v>1</v>
      </c>
      <c r="Z113" s="1186">
        <v>3</v>
      </c>
      <c r="AA113" s="1186"/>
    </row>
    <row r="114" spans="1:27" x14ac:dyDescent="0.2">
      <c r="A114" s="1186" t="s">
        <v>15</v>
      </c>
      <c r="B114" s="1186" t="s">
        <v>674</v>
      </c>
      <c r="C114" s="1186" t="s">
        <v>35</v>
      </c>
      <c r="D114" s="1186">
        <v>298</v>
      </c>
      <c r="E114" s="1186">
        <v>107</v>
      </c>
      <c r="F114" s="1186">
        <v>30</v>
      </c>
      <c r="G114" s="1186">
        <v>43</v>
      </c>
      <c r="H114" s="1186">
        <v>117</v>
      </c>
      <c r="I114" s="1186">
        <v>1</v>
      </c>
      <c r="J114" s="1186" t="s">
        <v>15</v>
      </c>
      <c r="K114" s="1186" t="s">
        <v>35</v>
      </c>
      <c r="L114" s="1186" t="s">
        <v>672</v>
      </c>
      <c r="M114" s="1186">
        <v>2</v>
      </c>
      <c r="N114" s="1186">
        <v>1</v>
      </c>
      <c r="O114" s="1186"/>
      <c r="P114" s="1186">
        <v>1</v>
      </c>
      <c r="Q114" s="1186"/>
      <c r="R114" s="1186"/>
      <c r="S114" s="1186" t="s">
        <v>15</v>
      </c>
      <c r="T114" s="1186" t="s">
        <v>35</v>
      </c>
      <c r="U114" s="1186" t="s">
        <v>673</v>
      </c>
      <c r="V114" s="1186">
        <v>62</v>
      </c>
      <c r="W114" s="1186">
        <v>26</v>
      </c>
      <c r="X114" s="1186">
        <v>12</v>
      </c>
      <c r="Y114" s="1186">
        <v>3</v>
      </c>
      <c r="Z114" s="1186">
        <v>21</v>
      </c>
      <c r="AA114" s="1186"/>
    </row>
    <row r="115" spans="1:27" x14ac:dyDescent="0.2">
      <c r="A115" s="1186" t="s">
        <v>15</v>
      </c>
      <c r="B115" s="1186" t="s">
        <v>674</v>
      </c>
      <c r="C115" s="1186" t="s">
        <v>36</v>
      </c>
      <c r="D115" s="1186">
        <v>1040</v>
      </c>
      <c r="E115" s="1186">
        <v>514</v>
      </c>
      <c r="F115" s="1186">
        <v>65</v>
      </c>
      <c r="G115" s="1186">
        <v>134</v>
      </c>
      <c r="H115" s="1186">
        <v>316</v>
      </c>
      <c r="I115" s="1186">
        <v>11</v>
      </c>
      <c r="J115" s="1186" t="s">
        <v>15</v>
      </c>
      <c r="K115" s="1186" t="s">
        <v>36</v>
      </c>
      <c r="L115" s="1186" t="s">
        <v>672</v>
      </c>
      <c r="M115" s="1186">
        <v>5</v>
      </c>
      <c r="N115" s="1186">
        <v>2</v>
      </c>
      <c r="O115" s="1186">
        <v>1</v>
      </c>
      <c r="P115" s="1186">
        <v>1</v>
      </c>
      <c r="Q115" s="1186">
        <v>1</v>
      </c>
      <c r="R115" s="1186"/>
      <c r="S115" s="1186" t="s">
        <v>15</v>
      </c>
      <c r="T115" s="1186" t="s">
        <v>36</v>
      </c>
      <c r="U115" s="1186" t="s">
        <v>673</v>
      </c>
      <c r="V115" s="1186">
        <v>193</v>
      </c>
      <c r="W115" s="1186">
        <v>87</v>
      </c>
      <c r="X115" s="1186">
        <v>13</v>
      </c>
      <c r="Y115" s="1186">
        <v>29</v>
      </c>
      <c r="Z115" s="1186">
        <v>60</v>
      </c>
      <c r="AA115" s="1186">
        <v>4</v>
      </c>
    </row>
    <row r="116" spans="1:27" x14ac:dyDescent="0.2">
      <c r="A116" s="1186" t="s">
        <v>15</v>
      </c>
      <c r="B116" s="1186" t="s">
        <v>674</v>
      </c>
      <c r="C116" s="1186" t="s">
        <v>37</v>
      </c>
      <c r="D116" s="1186">
        <v>132</v>
      </c>
      <c r="E116" s="1186">
        <v>40</v>
      </c>
      <c r="F116" s="1186">
        <v>21</v>
      </c>
      <c r="G116" s="1186">
        <v>18</v>
      </c>
      <c r="H116" s="1186">
        <v>47</v>
      </c>
      <c r="I116" s="1186">
        <v>6</v>
      </c>
      <c r="J116" s="1186" t="s">
        <v>15</v>
      </c>
      <c r="K116" s="1186" t="s">
        <v>37</v>
      </c>
      <c r="L116" s="1186" t="s">
        <v>672</v>
      </c>
      <c r="M116" s="1186">
        <v>1</v>
      </c>
      <c r="N116" s="1186"/>
      <c r="O116" s="1186"/>
      <c r="P116" s="1186"/>
      <c r="Q116" s="1186"/>
      <c r="R116" s="1186">
        <v>1</v>
      </c>
      <c r="S116" s="1186" t="s">
        <v>15</v>
      </c>
      <c r="T116" s="1186" t="s">
        <v>37</v>
      </c>
      <c r="U116" s="1186" t="s">
        <v>673</v>
      </c>
      <c r="V116" s="1186">
        <v>43</v>
      </c>
      <c r="W116" s="1186">
        <v>10</v>
      </c>
      <c r="X116" s="1186">
        <v>11</v>
      </c>
      <c r="Y116" s="1186">
        <v>4</v>
      </c>
      <c r="Z116" s="1186">
        <v>16</v>
      </c>
      <c r="AA116" s="1186">
        <v>2</v>
      </c>
    </row>
    <row r="117" spans="1:27" x14ac:dyDescent="0.2">
      <c r="A117" s="1186" t="s">
        <v>15</v>
      </c>
      <c r="B117" s="1186" t="s">
        <v>674</v>
      </c>
      <c r="C117" s="1186" t="s">
        <v>38</v>
      </c>
      <c r="D117" s="1186">
        <v>98</v>
      </c>
      <c r="E117" s="1186">
        <v>50</v>
      </c>
      <c r="F117" s="1186">
        <v>7</v>
      </c>
      <c r="G117" s="1186">
        <v>15</v>
      </c>
      <c r="H117" s="1186">
        <v>25</v>
      </c>
      <c r="I117" s="1186">
        <v>1</v>
      </c>
      <c r="J117" s="1186"/>
      <c r="K117" s="1186"/>
      <c r="L117" s="1186"/>
      <c r="M117" s="1186"/>
      <c r="N117" s="1186"/>
      <c r="O117" s="1186"/>
      <c r="P117" s="1186"/>
      <c r="Q117" s="1186"/>
      <c r="R117" s="1186"/>
      <c r="S117" s="1186" t="s">
        <v>15</v>
      </c>
      <c r="T117" s="1186" t="s">
        <v>38</v>
      </c>
      <c r="U117" s="1186" t="s">
        <v>673</v>
      </c>
      <c r="V117" s="1186">
        <v>19</v>
      </c>
      <c r="W117" s="1186">
        <v>12</v>
      </c>
      <c r="X117" s="1186"/>
      <c r="Y117" s="1186">
        <v>3</v>
      </c>
      <c r="Z117" s="1186">
        <v>1</v>
      </c>
      <c r="AA117" s="1186">
        <v>3</v>
      </c>
    </row>
    <row r="118" spans="1:27" x14ac:dyDescent="0.2">
      <c r="A118" s="1186" t="s">
        <v>15</v>
      </c>
      <c r="B118" s="1186" t="s">
        <v>674</v>
      </c>
      <c r="C118" s="1186" t="s">
        <v>39</v>
      </c>
      <c r="D118" s="1186">
        <v>93</v>
      </c>
      <c r="E118" s="1186">
        <v>41</v>
      </c>
      <c r="F118" s="1186">
        <v>15</v>
      </c>
      <c r="G118" s="1186">
        <v>16</v>
      </c>
      <c r="H118" s="1186">
        <v>18</v>
      </c>
      <c r="I118" s="1186">
        <v>3</v>
      </c>
      <c r="J118" s="1186" t="s">
        <v>15</v>
      </c>
      <c r="K118" s="1186" t="s">
        <v>39</v>
      </c>
      <c r="L118" s="1186" t="s">
        <v>672</v>
      </c>
      <c r="M118" s="1186">
        <v>1</v>
      </c>
      <c r="N118" s="1186"/>
      <c r="O118" s="1186">
        <v>1</v>
      </c>
      <c r="P118" s="1186"/>
      <c r="Q118" s="1186"/>
      <c r="R118" s="1186"/>
      <c r="S118" s="1186" t="s">
        <v>15</v>
      </c>
      <c r="T118" s="1186" t="s">
        <v>39</v>
      </c>
      <c r="U118" s="1186" t="s">
        <v>673</v>
      </c>
      <c r="V118" s="1186">
        <v>18</v>
      </c>
      <c r="W118" s="1186">
        <v>9</v>
      </c>
      <c r="X118" s="1186">
        <v>2</v>
      </c>
      <c r="Y118" s="1186">
        <v>6</v>
      </c>
      <c r="Z118" s="1186">
        <v>1</v>
      </c>
      <c r="AA118" s="1186"/>
    </row>
    <row r="119" spans="1:27" x14ac:dyDescent="0.2">
      <c r="A119" s="1186" t="s">
        <v>15</v>
      </c>
      <c r="B119" s="1186" t="s">
        <v>674</v>
      </c>
      <c r="C119" s="1186" t="s">
        <v>40</v>
      </c>
      <c r="D119" s="1186">
        <v>57</v>
      </c>
      <c r="E119" s="1186">
        <v>32</v>
      </c>
      <c r="F119" s="1186">
        <v>6</v>
      </c>
      <c r="G119" s="1186">
        <v>4</v>
      </c>
      <c r="H119" s="1186">
        <v>15</v>
      </c>
      <c r="I119" s="1186"/>
      <c r="J119" s="1186" t="s">
        <v>15</v>
      </c>
      <c r="K119" s="1186" t="s">
        <v>40</v>
      </c>
      <c r="L119" s="1186" t="s">
        <v>672</v>
      </c>
      <c r="M119" s="1186">
        <v>1</v>
      </c>
      <c r="N119" s="1186"/>
      <c r="O119" s="1186"/>
      <c r="P119" s="1186">
        <v>1</v>
      </c>
      <c r="Q119" s="1186"/>
      <c r="R119" s="1186"/>
      <c r="S119" s="1186" t="s">
        <v>15</v>
      </c>
      <c r="T119" s="1186" t="s">
        <v>40</v>
      </c>
      <c r="U119" s="1186" t="s">
        <v>673</v>
      </c>
      <c r="V119" s="1186">
        <v>24</v>
      </c>
      <c r="W119" s="1186">
        <v>12</v>
      </c>
      <c r="X119" s="1186">
        <v>2</v>
      </c>
      <c r="Y119" s="1186">
        <v>2</v>
      </c>
      <c r="Z119" s="1186">
        <v>8</v>
      </c>
      <c r="AA119" s="1186"/>
    </row>
    <row r="120" spans="1:27" x14ac:dyDescent="0.2">
      <c r="A120" s="1186" t="s">
        <v>15</v>
      </c>
      <c r="B120" s="1186" t="s">
        <v>674</v>
      </c>
      <c r="C120" s="1186" t="s">
        <v>295</v>
      </c>
      <c r="D120" s="1186">
        <v>23</v>
      </c>
      <c r="E120" s="1186">
        <v>7</v>
      </c>
      <c r="F120" s="1186">
        <v>4</v>
      </c>
      <c r="G120" s="1186">
        <v>3</v>
      </c>
      <c r="H120" s="1186">
        <v>6</v>
      </c>
      <c r="I120" s="1186">
        <v>3</v>
      </c>
      <c r="J120" s="1186" t="s">
        <v>15</v>
      </c>
      <c r="K120" s="1186" t="s">
        <v>295</v>
      </c>
      <c r="L120" s="1186" t="s">
        <v>672</v>
      </c>
      <c r="M120" s="1186">
        <v>1</v>
      </c>
      <c r="N120" s="1186"/>
      <c r="O120" s="1186">
        <v>1</v>
      </c>
      <c r="P120" s="1186"/>
      <c r="Q120" s="1186"/>
      <c r="R120" s="1186"/>
      <c r="S120" s="1186" t="s">
        <v>15</v>
      </c>
      <c r="T120" s="1186" t="s">
        <v>295</v>
      </c>
      <c r="U120" s="1186" t="s">
        <v>673</v>
      </c>
      <c r="V120" s="1186">
        <v>11</v>
      </c>
      <c r="W120" s="1186">
        <v>3</v>
      </c>
      <c r="X120" s="1186">
        <v>1</v>
      </c>
      <c r="Y120" s="1186">
        <v>2</v>
      </c>
      <c r="Z120" s="1186"/>
      <c r="AA120" s="1186">
        <v>5</v>
      </c>
    </row>
    <row r="121" spans="1:27" x14ac:dyDescent="0.2">
      <c r="A121" s="1186" t="s">
        <v>15</v>
      </c>
      <c r="B121" s="1186" t="s">
        <v>674</v>
      </c>
      <c r="C121" s="1186" t="s">
        <v>41</v>
      </c>
      <c r="D121" s="1186">
        <v>154</v>
      </c>
      <c r="E121" s="1186">
        <v>80</v>
      </c>
      <c r="F121" s="1186">
        <v>8</v>
      </c>
      <c r="G121" s="1186">
        <v>30</v>
      </c>
      <c r="H121" s="1186">
        <v>32</v>
      </c>
      <c r="I121" s="1186">
        <v>4</v>
      </c>
      <c r="J121" s="1186"/>
      <c r="K121" s="1186"/>
      <c r="L121" s="1186"/>
      <c r="M121" s="1186"/>
      <c r="N121" s="1186"/>
      <c r="O121" s="1186"/>
      <c r="P121" s="1186"/>
      <c r="Q121" s="1186"/>
      <c r="R121" s="1186"/>
      <c r="S121" s="1186" t="s">
        <v>15</v>
      </c>
      <c r="T121" s="1186" t="s">
        <v>41</v>
      </c>
      <c r="U121" s="1186" t="s">
        <v>673</v>
      </c>
      <c r="V121" s="1186">
        <v>30</v>
      </c>
      <c r="W121" s="1186">
        <v>15</v>
      </c>
      <c r="X121" s="1186">
        <v>4</v>
      </c>
      <c r="Y121" s="1186">
        <v>4</v>
      </c>
      <c r="Z121" s="1186">
        <v>4</v>
      </c>
      <c r="AA121" s="1186">
        <v>3</v>
      </c>
    </row>
    <row r="122" spans="1:27" x14ac:dyDescent="0.2">
      <c r="A122" s="1186" t="s">
        <v>15</v>
      </c>
      <c r="B122" s="1186" t="s">
        <v>674</v>
      </c>
      <c r="C122" s="1186" t="s">
        <v>42</v>
      </c>
      <c r="D122" s="1186">
        <v>360</v>
      </c>
      <c r="E122" s="1186">
        <v>170</v>
      </c>
      <c r="F122" s="1186">
        <v>39</v>
      </c>
      <c r="G122" s="1186">
        <v>35</v>
      </c>
      <c r="H122" s="1186">
        <v>111</v>
      </c>
      <c r="I122" s="1186">
        <v>5</v>
      </c>
      <c r="J122" s="1186" t="s">
        <v>15</v>
      </c>
      <c r="K122" s="1186" t="s">
        <v>42</v>
      </c>
      <c r="L122" s="1186" t="s">
        <v>672</v>
      </c>
      <c r="M122" s="1186">
        <v>2</v>
      </c>
      <c r="N122" s="1186">
        <v>1</v>
      </c>
      <c r="O122" s="1186"/>
      <c r="P122" s="1186"/>
      <c r="Q122" s="1186">
        <v>1</v>
      </c>
      <c r="R122" s="1186"/>
      <c r="S122" s="1186" t="s">
        <v>15</v>
      </c>
      <c r="T122" s="1186" t="s">
        <v>42</v>
      </c>
      <c r="U122" s="1186" t="s">
        <v>673</v>
      </c>
      <c r="V122" s="1186">
        <v>71</v>
      </c>
      <c r="W122" s="1186">
        <v>42</v>
      </c>
      <c r="X122" s="1186">
        <v>12</v>
      </c>
      <c r="Y122" s="1186">
        <v>1</v>
      </c>
      <c r="Z122" s="1186">
        <v>14</v>
      </c>
      <c r="AA122" s="1186">
        <v>2</v>
      </c>
    </row>
    <row r="123" spans="1:27" x14ac:dyDescent="0.2">
      <c r="A123" s="1186" t="s">
        <v>15</v>
      </c>
      <c r="B123" s="1186" t="s">
        <v>674</v>
      </c>
      <c r="C123" s="1186" t="s">
        <v>43</v>
      </c>
      <c r="D123" s="1186">
        <v>10</v>
      </c>
      <c r="E123" s="1186">
        <v>2</v>
      </c>
      <c r="F123" s="1186"/>
      <c r="G123" s="1186">
        <v>2</v>
      </c>
      <c r="H123" s="1186">
        <v>3</v>
      </c>
      <c r="I123" s="1186">
        <v>3</v>
      </c>
      <c r="J123" s="1186"/>
      <c r="K123" s="1186"/>
      <c r="L123" s="1186"/>
      <c r="M123" s="1186"/>
      <c r="N123" s="1186"/>
      <c r="O123" s="1186"/>
      <c r="P123" s="1186"/>
      <c r="Q123" s="1186"/>
      <c r="R123" s="1186"/>
      <c r="S123" s="1186"/>
      <c r="T123" s="1186"/>
      <c r="U123" s="1186"/>
      <c r="V123" s="1186"/>
      <c r="W123" s="1186"/>
      <c r="X123" s="1186"/>
      <c r="Y123" s="1186"/>
      <c r="Z123" s="1186"/>
      <c r="AA123" s="1186"/>
    </row>
    <row r="124" spans="1:27" x14ac:dyDescent="0.2">
      <c r="A124" s="1186" t="s">
        <v>15</v>
      </c>
      <c r="B124" s="1186" t="s">
        <v>674</v>
      </c>
      <c r="C124" s="1186" t="s">
        <v>44</v>
      </c>
      <c r="D124" s="1186">
        <v>121</v>
      </c>
      <c r="E124" s="1186">
        <v>55</v>
      </c>
      <c r="F124" s="1186">
        <v>8</v>
      </c>
      <c r="G124" s="1186">
        <v>17</v>
      </c>
      <c r="H124" s="1186">
        <v>38</v>
      </c>
      <c r="I124" s="1186">
        <v>3</v>
      </c>
      <c r="J124" s="1186" t="s">
        <v>15</v>
      </c>
      <c r="K124" s="1186" t="s">
        <v>44</v>
      </c>
      <c r="L124" s="1186" t="s">
        <v>672</v>
      </c>
      <c r="M124" s="1186">
        <v>1</v>
      </c>
      <c r="N124" s="1186">
        <v>1</v>
      </c>
      <c r="O124" s="1186"/>
      <c r="P124" s="1186"/>
      <c r="Q124" s="1186"/>
      <c r="R124" s="1186"/>
      <c r="S124" s="1186" t="s">
        <v>15</v>
      </c>
      <c r="T124" s="1186" t="s">
        <v>44</v>
      </c>
      <c r="U124" s="1186" t="s">
        <v>673</v>
      </c>
      <c r="V124" s="1186">
        <v>25</v>
      </c>
      <c r="W124" s="1186">
        <v>16</v>
      </c>
      <c r="X124" s="1186">
        <v>2</v>
      </c>
      <c r="Y124" s="1186">
        <v>3</v>
      </c>
      <c r="Z124" s="1186">
        <v>3</v>
      </c>
      <c r="AA124" s="1186">
        <v>1</v>
      </c>
    </row>
    <row r="125" spans="1:27" x14ac:dyDescent="0.2">
      <c r="A125" s="1186" t="s">
        <v>15</v>
      </c>
      <c r="B125" s="1186" t="s">
        <v>674</v>
      </c>
      <c r="C125" s="1186" t="s">
        <v>45</v>
      </c>
      <c r="D125" s="1186">
        <v>260</v>
      </c>
      <c r="E125" s="1186">
        <v>144</v>
      </c>
      <c r="F125" s="1186">
        <v>26</v>
      </c>
      <c r="G125" s="1186">
        <v>39</v>
      </c>
      <c r="H125" s="1186">
        <v>50</v>
      </c>
      <c r="I125" s="1186">
        <v>1</v>
      </c>
      <c r="J125" s="1186" t="s">
        <v>15</v>
      </c>
      <c r="K125" s="1186" t="s">
        <v>45</v>
      </c>
      <c r="L125" s="1186" t="s">
        <v>672</v>
      </c>
      <c r="M125" s="1186">
        <v>1</v>
      </c>
      <c r="N125" s="1186"/>
      <c r="O125" s="1186"/>
      <c r="P125" s="1186"/>
      <c r="Q125" s="1186">
        <v>1</v>
      </c>
      <c r="R125" s="1186"/>
      <c r="S125" s="1186" t="s">
        <v>15</v>
      </c>
      <c r="T125" s="1186" t="s">
        <v>45</v>
      </c>
      <c r="U125" s="1186" t="s">
        <v>673</v>
      </c>
      <c r="V125" s="1186">
        <v>48</v>
      </c>
      <c r="W125" s="1186">
        <v>23</v>
      </c>
      <c r="X125" s="1186">
        <v>10</v>
      </c>
      <c r="Y125" s="1186">
        <v>10</v>
      </c>
      <c r="Z125" s="1186">
        <v>5</v>
      </c>
      <c r="AA125" s="1186"/>
    </row>
    <row r="126" spans="1:27" x14ac:dyDescent="0.2">
      <c r="A126" s="1186" t="s">
        <v>15</v>
      </c>
      <c r="B126" s="1186" t="s">
        <v>674</v>
      </c>
      <c r="C126" s="1186" t="s">
        <v>46</v>
      </c>
      <c r="D126" s="1186">
        <v>107</v>
      </c>
      <c r="E126" s="1186">
        <v>44</v>
      </c>
      <c r="F126" s="1186">
        <v>10</v>
      </c>
      <c r="G126" s="1186">
        <v>12</v>
      </c>
      <c r="H126" s="1186">
        <v>40</v>
      </c>
      <c r="I126" s="1186">
        <v>1</v>
      </c>
      <c r="J126" s="1186" t="s">
        <v>15</v>
      </c>
      <c r="K126" s="1186" t="s">
        <v>46</v>
      </c>
      <c r="L126" s="1186" t="s">
        <v>672</v>
      </c>
      <c r="M126" s="1186">
        <v>1</v>
      </c>
      <c r="N126" s="1186"/>
      <c r="O126" s="1186"/>
      <c r="P126" s="1186">
        <v>1</v>
      </c>
      <c r="Q126" s="1186"/>
      <c r="R126" s="1186"/>
      <c r="S126" s="1186" t="s">
        <v>15</v>
      </c>
      <c r="T126" s="1186" t="s">
        <v>46</v>
      </c>
      <c r="U126" s="1186" t="s">
        <v>673</v>
      </c>
      <c r="V126" s="1186">
        <v>17</v>
      </c>
      <c r="W126" s="1186">
        <v>10</v>
      </c>
      <c r="X126" s="1186">
        <v>1</v>
      </c>
      <c r="Y126" s="1186">
        <v>1</v>
      </c>
      <c r="Z126" s="1186">
        <v>5</v>
      </c>
      <c r="AA126" s="1186"/>
    </row>
    <row r="127" spans="1:27" x14ac:dyDescent="0.2">
      <c r="A127" s="1186" t="s">
        <v>15</v>
      </c>
      <c r="B127" s="1186" t="s">
        <v>674</v>
      </c>
      <c r="C127" s="1186" t="s">
        <v>47</v>
      </c>
      <c r="D127" s="1186">
        <v>18</v>
      </c>
      <c r="E127" s="1186">
        <v>4</v>
      </c>
      <c r="F127" s="1186">
        <v>3</v>
      </c>
      <c r="G127" s="1186">
        <v>3</v>
      </c>
      <c r="H127" s="1186">
        <v>6</v>
      </c>
      <c r="I127" s="1186">
        <v>2</v>
      </c>
      <c r="J127" s="1186" t="s">
        <v>15</v>
      </c>
      <c r="K127" s="1186" t="s">
        <v>47</v>
      </c>
      <c r="L127" s="1186" t="s">
        <v>672</v>
      </c>
      <c r="M127" s="1186">
        <v>1</v>
      </c>
      <c r="N127" s="1186"/>
      <c r="O127" s="1186"/>
      <c r="P127" s="1186">
        <v>1</v>
      </c>
      <c r="Q127" s="1186"/>
      <c r="R127" s="1186"/>
      <c r="S127" s="1186" t="s">
        <v>15</v>
      </c>
      <c r="T127" s="1186" t="s">
        <v>47</v>
      </c>
      <c r="U127" s="1186" t="s">
        <v>673</v>
      </c>
      <c r="V127" s="1186">
        <v>3</v>
      </c>
      <c r="W127" s="1186"/>
      <c r="X127" s="1186"/>
      <c r="Y127" s="1186"/>
      <c r="Z127" s="1186">
        <v>2</v>
      </c>
      <c r="AA127" s="1186">
        <v>1</v>
      </c>
    </row>
    <row r="128" spans="1:27" x14ac:dyDescent="0.2">
      <c r="A128" s="1186" t="s">
        <v>15</v>
      </c>
      <c r="B128" s="1186" t="s">
        <v>674</v>
      </c>
      <c r="C128" s="1186" t="s">
        <v>48</v>
      </c>
      <c r="D128" s="1186">
        <v>111</v>
      </c>
      <c r="E128" s="1186">
        <v>58</v>
      </c>
      <c r="F128" s="1186">
        <v>8</v>
      </c>
      <c r="G128" s="1186">
        <v>12</v>
      </c>
      <c r="H128" s="1186">
        <v>32</v>
      </c>
      <c r="I128" s="1186">
        <v>1</v>
      </c>
      <c r="J128" s="1186" t="s">
        <v>15</v>
      </c>
      <c r="K128" s="1186" t="s">
        <v>48</v>
      </c>
      <c r="L128" s="1186" t="s">
        <v>672</v>
      </c>
      <c r="M128" s="1186">
        <v>2</v>
      </c>
      <c r="N128" s="1186">
        <v>1</v>
      </c>
      <c r="O128" s="1186"/>
      <c r="P128" s="1186"/>
      <c r="Q128" s="1186">
        <v>1</v>
      </c>
      <c r="R128" s="1186"/>
      <c r="S128" s="1186" t="s">
        <v>15</v>
      </c>
      <c r="T128" s="1186" t="s">
        <v>48</v>
      </c>
      <c r="U128" s="1186" t="s">
        <v>673</v>
      </c>
      <c r="V128" s="1186">
        <v>25</v>
      </c>
      <c r="W128" s="1186">
        <v>11</v>
      </c>
      <c r="X128" s="1186">
        <v>5</v>
      </c>
      <c r="Y128" s="1186">
        <v>2</v>
      </c>
      <c r="Z128" s="1186">
        <v>7</v>
      </c>
      <c r="AA128" s="1186"/>
    </row>
    <row r="129" spans="1:27" x14ac:dyDescent="0.2">
      <c r="A129" s="1186" t="s">
        <v>15</v>
      </c>
      <c r="B129" s="1186" t="s">
        <v>674</v>
      </c>
      <c r="C129" s="1186" t="s">
        <v>49</v>
      </c>
      <c r="D129" s="1186">
        <v>292</v>
      </c>
      <c r="E129" s="1186">
        <v>169</v>
      </c>
      <c r="F129" s="1186">
        <v>16</v>
      </c>
      <c r="G129" s="1186">
        <v>51</v>
      </c>
      <c r="H129" s="1186">
        <v>53</v>
      </c>
      <c r="I129" s="1186">
        <v>3</v>
      </c>
      <c r="J129" s="1186" t="s">
        <v>15</v>
      </c>
      <c r="K129" s="1186" t="s">
        <v>49</v>
      </c>
      <c r="L129" s="1186" t="s">
        <v>672</v>
      </c>
      <c r="M129" s="1186">
        <v>4</v>
      </c>
      <c r="N129" s="1186">
        <v>3</v>
      </c>
      <c r="O129" s="1186"/>
      <c r="P129" s="1186">
        <v>1</v>
      </c>
      <c r="Q129" s="1186"/>
      <c r="R129" s="1186"/>
      <c r="S129" s="1186" t="s">
        <v>15</v>
      </c>
      <c r="T129" s="1186" t="s">
        <v>49</v>
      </c>
      <c r="U129" s="1186" t="s">
        <v>673</v>
      </c>
      <c r="V129" s="1186">
        <v>64</v>
      </c>
      <c r="W129" s="1186">
        <v>37</v>
      </c>
      <c r="X129" s="1186">
        <v>7</v>
      </c>
      <c r="Y129" s="1186">
        <v>10</v>
      </c>
      <c r="Z129" s="1186">
        <v>10</v>
      </c>
      <c r="AA129" s="1186"/>
    </row>
    <row r="130" spans="1:27" x14ac:dyDescent="0.2">
      <c r="A130" s="1186" t="s">
        <v>15</v>
      </c>
      <c r="B130" s="1186" t="s">
        <v>674</v>
      </c>
      <c r="C130" s="1186" t="s">
        <v>50</v>
      </c>
      <c r="D130" s="1186">
        <v>57</v>
      </c>
      <c r="E130" s="1186">
        <v>23</v>
      </c>
      <c r="F130" s="1186">
        <v>7</v>
      </c>
      <c r="G130" s="1186">
        <v>9</v>
      </c>
      <c r="H130" s="1186">
        <v>15</v>
      </c>
      <c r="I130" s="1186">
        <v>3</v>
      </c>
      <c r="J130" s="1186"/>
      <c r="K130" s="1186"/>
      <c r="L130" s="1186"/>
      <c r="M130" s="1186"/>
      <c r="N130" s="1186"/>
      <c r="O130" s="1186"/>
      <c r="P130" s="1186"/>
      <c r="Q130" s="1186"/>
      <c r="R130" s="1186"/>
      <c r="S130" s="1186" t="s">
        <v>15</v>
      </c>
      <c r="T130" s="1186" t="s">
        <v>50</v>
      </c>
      <c r="U130" s="1186" t="s">
        <v>673</v>
      </c>
      <c r="V130" s="1186">
        <v>6</v>
      </c>
      <c r="W130" s="1186">
        <v>1</v>
      </c>
      <c r="X130" s="1186">
        <v>2</v>
      </c>
      <c r="Y130" s="1186">
        <v>3</v>
      </c>
      <c r="Z130" s="1186"/>
      <c r="AA130" s="1186"/>
    </row>
    <row r="131" spans="1:27" x14ac:dyDescent="0.2">
      <c r="A131" s="1186" t="s">
        <v>15</v>
      </c>
      <c r="B131" s="1186" t="s">
        <v>674</v>
      </c>
      <c r="C131" s="1186" t="s">
        <v>51</v>
      </c>
      <c r="D131" s="1186">
        <v>146</v>
      </c>
      <c r="E131" s="1186">
        <v>63</v>
      </c>
      <c r="F131" s="1186">
        <v>5</v>
      </c>
      <c r="G131" s="1186">
        <v>14</v>
      </c>
      <c r="H131" s="1186">
        <v>62</v>
      </c>
      <c r="I131" s="1186">
        <v>2</v>
      </c>
      <c r="J131" s="1186" t="s">
        <v>15</v>
      </c>
      <c r="K131" s="1186" t="s">
        <v>51</v>
      </c>
      <c r="L131" s="1186" t="s">
        <v>672</v>
      </c>
      <c r="M131" s="1186">
        <v>1</v>
      </c>
      <c r="N131" s="1186"/>
      <c r="O131" s="1186"/>
      <c r="P131" s="1186"/>
      <c r="Q131" s="1186">
        <v>1</v>
      </c>
      <c r="R131" s="1186"/>
      <c r="S131" s="1186" t="s">
        <v>15</v>
      </c>
      <c r="T131" s="1186" t="s">
        <v>51</v>
      </c>
      <c r="U131" s="1186" t="s">
        <v>673</v>
      </c>
      <c r="V131" s="1186">
        <v>25</v>
      </c>
      <c r="W131" s="1186">
        <v>13</v>
      </c>
      <c r="X131" s="1186"/>
      <c r="Y131" s="1186">
        <v>2</v>
      </c>
      <c r="Z131" s="1186">
        <v>8</v>
      </c>
      <c r="AA131" s="1186">
        <v>2</v>
      </c>
    </row>
    <row r="132" spans="1:27" x14ac:dyDescent="0.2">
      <c r="A132" s="1186" t="s">
        <v>15</v>
      </c>
      <c r="B132" s="1186" t="s">
        <v>674</v>
      </c>
      <c r="C132" s="1186" t="s">
        <v>52</v>
      </c>
      <c r="D132" s="1186">
        <v>201</v>
      </c>
      <c r="E132" s="1186">
        <v>80</v>
      </c>
      <c r="F132" s="1186">
        <v>21</v>
      </c>
      <c r="G132" s="1186">
        <v>38</v>
      </c>
      <c r="H132" s="1186">
        <v>60</v>
      </c>
      <c r="I132" s="1186">
        <v>2</v>
      </c>
      <c r="J132" s="1186" t="s">
        <v>15</v>
      </c>
      <c r="K132" s="1186" t="s">
        <v>52</v>
      </c>
      <c r="L132" s="1186" t="s">
        <v>672</v>
      </c>
      <c r="M132" s="1186">
        <v>1</v>
      </c>
      <c r="N132" s="1186">
        <v>1</v>
      </c>
      <c r="O132" s="1186"/>
      <c r="P132" s="1186"/>
      <c r="Q132" s="1186"/>
      <c r="R132" s="1186"/>
      <c r="S132" s="1186" t="s">
        <v>15</v>
      </c>
      <c r="T132" s="1186" t="s">
        <v>52</v>
      </c>
      <c r="U132" s="1186" t="s">
        <v>673</v>
      </c>
      <c r="V132" s="1186">
        <v>55</v>
      </c>
      <c r="W132" s="1186">
        <v>26</v>
      </c>
      <c r="X132" s="1186">
        <v>5</v>
      </c>
      <c r="Y132" s="1186">
        <v>10</v>
      </c>
      <c r="Z132" s="1186">
        <v>13</v>
      </c>
      <c r="AA132" s="1186">
        <v>1</v>
      </c>
    </row>
    <row r="133" spans="1:27" x14ac:dyDescent="0.2">
      <c r="A133" s="1186" t="s">
        <v>17</v>
      </c>
      <c r="B133" s="1186" t="s">
        <v>674</v>
      </c>
      <c r="C133" s="1186" t="s">
        <v>23</v>
      </c>
      <c r="D133" s="1186">
        <v>294</v>
      </c>
      <c r="E133" s="1186">
        <v>150</v>
      </c>
      <c r="F133" s="1186">
        <v>21</v>
      </c>
      <c r="G133" s="1186">
        <v>42</v>
      </c>
      <c r="H133" s="1186">
        <v>78</v>
      </c>
      <c r="I133" s="1186">
        <v>3</v>
      </c>
      <c r="J133" s="1186" t="s">
        <v>17</v>
      </c>
      <c r="K133" s="1186" t="s">
        <v>23</v>
      </c>
      <c r="L133" s="1186" t="s">
        <v>672</v>
      </c>
      <c r="M133" s="1186">
        <v>1</v>
      </c>
      <c r="N133" s="1186"/>
      <c r="O133" s="1186">
        <v>1</v>
      </c>
      <c r="P133" s="1186"/>
      <c r="Q133" s="1186"/>
      <c r="R133" s="1186"/>
      <c r="S133" s="1186" t="s">
        <v>17</v>
      </c>
      <c r="T133" s="1186" t="s">
        <v>23</v>
      </c>
      <c r="U133" s="1186" t="s">
        <v>673</v>
      </c>
      <c r="V133" s="1186">
        <v>51</v>
      </c>
      <c r="W133" s="1186">
        <v>25</v>
      </c>
      <c r="X133" s="1186">
        <v>1</v>
      </c>
      <c r="Y133" s="1186">
        <v>8</v>
      </c>
      <c r="Z133" s="1186">
        <v>17</v>
      </c>
      <c r="AA133" s="1186"/>
    </row>
    <row r="134" spans="1:27" x14ac:dyDescent="0.2">
      <c r="A134" s="1186" t="s">
        <v>17</v>
      </c>
      <c r="B134" s="1186" t="s">
        <v>674</v>
      </c>
      <c r="C134" s="1186" t="s">
        <v>24</v>
      </c>
      <c r="D134" s="1186">
        <v>182</v>
      </c>
      <c r="E134" s="1186">
        <v>74</v>
      </c>
      <c r="F134" s="1186">
        <v>17</v>
      </c>
      <c r="G134" s="1186">
        <v>20</v>
      </c>
      <c r="H134" s="1186">
        <v>68</v>
      </c>
      <c r="I134" s="1186">
        <v>3</v>
      </c>
      <c r="J134" s="1186" t="s">
        <v>17</v>
      </c>
      <c r="K134" s="1186" t="s">
        <v>24</v>
      </c>
      <c r="L134" s="1186" t="s">
        <v>672</v>
      </c>
      <c r="M134" s="1186">
        <v>3</v>
      </c>
      <c r="N134" s="1186">
        <v>1</v>
      </c>
      <c r="O134" s="1186"/>
      <c r="P134" s="1186">
        <v>2</v>
      </c>
      <c r="Q134" s="1186"/>
      <c r="R134" s="1186"/>
      <c r="S134" s="1186" t="s">
        <v>17</v>
      </c>
      <c r="T134" s="1186" t="s">
        <v>24</v>
      </c>
      <c r="U134" s="1186" t="s">
        <v>673</v>
      </c>
      <c r="V134" s="1186">
        <v>29</v>
      </c>
      <c r="W134" s="1186">
        <v>8</v>
      </c>
      <c r="X134" s="1186">
        <v>6</v>
      </c>
      <c r="Y134" s="1186">
        <v>2</v>
      </c>
      <c r="Z134" s="1186">
        <v>12</v>
      </c>
      <c r="AA134" s="1186">
        <v>1</v>
      </c>
    </row>
    <row r="135" spans="1:27" x14ac:dyDescent="0.2">
      <c r="A135" s="1186" t="s">
        <v>17</v>
      </c>
      <c r="B135" s="1186" t="s">
        <v>674</v>
      </c>
      <c r="C135" s="1186" t="s">
        <v>25</v>
      </c>
      <c r="D135" s="1186">
        <v>80</v>
      </c>
      <c r="E135" s="1186">
        <v>32</v>
      </c>
      <c r="F135" s="1186">
        <v>7</v>
      </c>
      <c r="G135" s="1186">
        <v>18</v>
      </c>
      <c r="H135" s="1186">
        <v>22</v>
      </c>
      <c r="I135" s="1186">
        <v>1</v>
      </c>
      <c r="J135" s="1186" t="s">
        <v>17</v>
      </c>
      <c r="K135" s="1186" t="s">
        <v>25</v>
      </c>
      <c r="L135" s="1186" t="s">
        <v>672</v>
      </c>
      <c r="M135" s="1186">
        <v>1</v>
      </c>
      <c r="N135" s="1186">
        <v>1</v>
      </c>
      <c r="O135" s="1186"/>
      <c r="P135" s="1186"/>
      <c r="Q135" s="1186"/>
      <c r="R135" s="1186"/>
      <c r="S135" s="1186" t="s">
        <v>17</v>
      </c>
      <c r="T135" s="1186" t="s">
        <v>25</v>
      </c>
      <c r="U135" s="1186" t="s">
        <v>673</v>
      </c>
      <c r="V135" s="1186">
        <v>20</v>
      </c>
      <c r="W135" s="1186">
        <v>4</v>
      </c>
      <c r="X135" s="1186">
        <v>8</v>
      </c>
      <c r="Y135" s="1186">
        <v>1</v>
      </c>
      <c r="Z135" s="1186">
        <v>7</v>
      </c>
      <c r="AA135" s="1186"/>
    </row>
    <row r="136" spans="1:27" x14ac:dyDescent="0.2">
      <c r="A136" s="1186" t="s">
        <v>17</v>
      </c>
      <c r="B136" s="1186" t="s">
        <v>674</v>
      </c>
      <c r="C136" s="1186" t="s">
        <v>26</v>
      </c>
      <c r="D136" s="1186">
        <v>88</v>
      </c>
      <c r="E136" s="1186">
        <v>43</v>
      </c>
      <c r="F136" s="1186">
        <v>5</v>
      </c>
      <c r="G136" s="1186">
        <v>14</v>
      </c>
      <c r="H136" s="1186">
        <v>20</v>
      </c>
      <c r="I136" s="1186">
        <v>6</v>
      </c>
      <c r="J136" s="1186"/>
      <c r="K136" s="1186"/>
      <c r="L136" s="1186"/>
      <c r="M136" s="1186"/>
      <c r="N136" s="1186"/>
      <c r="O136" s="1186"/>
      <c r="P136" s="1186"/>
      <c r="Q136" s="1186"/>
      <c r="R136" s="1186"/>
      <c r="S136" s="1186" t="s">
        <v>17</v>
      </c>
      <c r="T136" s="1186" t="s">
        <v>26</v>
      </c>
      <c r="U136" s="1186" t="s">
        <v>673</v>
      </c>
      <c r="V136" s="1186">
        <v>12</v>
      </c>
      <c r="W136" s="1186">
        <v>5</v>
      </c>
      <c r="X136" s="1186">
        <v>3</v>
      </c>
      <c r="Y136" s="1186"/>
      <c r="Z136" s="1186">
        <v>3</v>
      </c>
      <c r="AA136" s="1186">
        <v>1</v>
      </c>
    </row>
    <row r="137" spans="1:27" x14ac:dyDescent="0.2">
      <c r="A137" s="1186" t="s">
        <v>17</v>
      </c>
      <c r="B137" s="1186" t="s">
        <v>674</v>
      </c>
      <c r="C137" s="1186" t="s">
        <v>619</v>
      </c>
      <c r="D137" s="1186">
        <v>607</v>
      </c>
      <c r="E137" s="1186">
        <v>242</v>
      </c>
      <c r="F137" s="1186">
        <v>60</v>
      </c>
      <c r="G137" s="1186">
        <v>85</v>
      </c>
      <c r="H137" s="1186">
        <v>216</v>
      </c>
      <c r="I137" s="1186">
        <v>4</v>
      </c>
      <c r="J137" s="1186" t="s">
        <v>17</v>
      </c>
      <c r="K137" s="1186" t="s">
        <v>619</v>
      </c>
      <c r="L137" s="1186" t="s">
        <v>672</v>
      </c>
      <c r="M137" s="1186">
        <v>4</v>
      </c>
      <c r="N137" s="1186">
        <v>1</v>
      </c>
      <c r="O137" s="1186">
        <v>1</v>
      </c>
      <c r="P137" s="1186">
        <v>1</v>
      </c>
      <c r="Q137" s="1186">
        <v>1</v>
      </c>
      <c r="R137" s="1186"/>
      <c r="S137" s="1186" t="s">
        <v>17</v>
      </c>
      <c r="T137" s="1186" t="s">
        <v>619</v>
      </c>
      <c r="U137" s="1186" t="s">
        <v>673</v>
      </c>
      <c r="V137" s="1186">
        <v>149</v>
      </c>
      <c r="W137" s="1186">
        <v>60</v>
      </c>
      <c r="X137" s="1186">
        <v>16</v>
      </c>
      <c r="Y137" s="1186">
        <v>22</v>
      </c>
      <c r="Z137" s="1186">
        <v>49</v>
      </c>
      <c r="AA137" s="1186">
        <v>2</v>
      </c>
    </row>
    <row r="138" spans="1:27" x14ac:dyDescent="0.2">
      <c r="A138" s="1186" t="s">
        <v>17</v>
      </c>
      <c r="B138" s="1186" t="s">
        <v>674</v>
      </c>
      <c r="C138" s="1186" t="s">
        <v>27</v>
      </c>
      <c r="D138" s="1186">
        <v>42</v>
      </c>
      <c r="E138" s="1186">
        <v>12</v>
      </c>
      <c r="F138" s="1186">
        <v>7</v>
      </c>
      <c r="G138" s="1186">
        <v>6</v>
      </c>
      <c r="H138" s="1186">
        <v>17</v>
      </c>
      <c r="I138" s="1186"/>
      <c r="J138" s="1186"/>
      <c r="K138" s="1186"/>
      <c r="L138" s="1186"/>
      <c r="M138" s="1186"/>
      <c r="N138" s="1186"/>
      <c r="O138" s="1186"/>
      <c r="P138" s="1186"/>
      <c r="Q138" s="1186"/>
      <c r="R138" s="1186"/>
      <c r="S138" s="1186" t="s">
        <v>17</v>
      </c>
      <c r="T138" s="1186" t="s">
        <v>27</v>
      </c>
      <c r="U138" s="1186" t="s">
        <v>673</v>
      </c>
      <c r="V138" s="1186">
        <v>3</v>
      </c>
      <c r="W138" s="1186">
        <v>2</v>
      </c>
      <c r="X138" s="1186"/>
      <c r="Y138" s="1186"/>
      <c r="Z138" s="1186">
        <v>1</v>
      </c>
      <c r="AA138" s="1186"/>
    </row>
    <row r="139" spans="1:27" x14ac:dyDescent="0.2">
      <c r="A139" s="1186" t="s">
        <v>17</v>
      </c>
      <c r="B139" s="1186" t="s">
        <v>674</v>
      </c>
      <c r="C139" s="1186" t="s">
        <v>28</v>
      </c>
      <c r="D139" s="1186">
        <v>112</v>
      </c>
      <c r="E139" s="1186">
        <v>53</v>
      </c>
      <c r="F139" s="1186">
        <v>16</v>
      </c>
      <c r="G139" s="1186">
        <v>28</v>
      </c>
      <c r="H139" s="1186">
        <v>15</v>
      </c>
      <c r="I139" s="1186"/>
      <c r="J139" s="1186"/>
      <c r="K139" s="1186"/>
      <c r="L139" s="1186"/>
      <c r="M139" s="1186"/>
      <c r="N139" s="1186"/>
      <c r="O139" s="1186"/>
      <c r="P139" s="1186"/>
      <c r="Q139" s="1186"/>
      <c r="R139" s="1186"/>
      <c r="S139" s="1186" t="s">
        <v>17</v>
      </c>
      <c r="T139" s="1186" t="s">
        <v>28</v>
      </c>
      <c r="U139" s="1186" t="s">
        <v>673</v>
      </c>
      <c r="V139" s="1186">
        <v>23</v>
      </c>
      <c r="W139" s="1186">
        <v>17</v>
      </c>
      <c r="X139" s="1186">
        <v>4</v>
      </c>
      <c r="Y139" s="1186">
        <v>1</v>
      </c>
      <c r="Z139" s="1186">
        <v>1</v>
      </c>
      <c r="AA139" s="1186"/>
    </row>
    <row r="140" spans="1:27" x14ac:dyDescent="0.2">
      <c r="A140" s="1186" t="s">
        <v>17</v>
      </c>
      <c r="B140" s="1186" t="s">
        <v>674</v>
      </c>
      <c r="C140" s="1186" t="s">
        <v>29</v>
      </c>
      <c r="D140" s="1186">
        <v>220</v>
      </c>
      <c r="E140" s="1186">
        <v>118</v>
      </c>
      <c r="F140" s="1186">
        <v>15</v>
      </c>
      <c r="G140" s="1186">
        <v>28</v>
      </c>
      <c r="H140" s="1186">
        <v>57</v>
      </c>
      <c r="I140" s="1186">
        <v>2</v>
      </c>
      <c r="J140" s="1186"/>
      <c r="K140" s="1186"/>
      <c r="L140" s="1186"/>
      <c r="M140" s="1186"/>
      <c r="N140" s="1186"/>
      <c r="O140" s="1186"/>
      <c r="P140" s="1186"/>
      <c r="Q140" s="1186"/>
      <c r="R140" s="1186"/>
      <c r="S140" s="1186" t="s">
        <v>17</v>
      </c>
      <c r="T140" s="1186" t="s">
        <v>29</v>
      </c>
      <c r="U140" s="1186" t="s">
        <v>673</v>
      </c>
      <c r="V140" s="1186">
        <v>70</v>
      </c>
      <c r="W140" s="1186">
        <v>43</v>
      </c>
      <c r="X140" s="1186">
        <v>8</v>
      </c>
      <c r="Y140" s="1186">
        <v>6</v>
      </c>
      <c r="Z140" s="1186">
        <v>13</v>
      </c>
      <c r="AA140" s="1186"/>
    </row>
    <row r="141" spans="1:27" x14ac:dyDescent="0.2">
      <c r="A141" s="1186" t="s">
        <v>17</v>
      </c>
      <c r="B141" s="1186" t="s">
        <v>674</v>
      </c>
      <c r="C141" s="1186" t="s">
        <v>30</v>
      </c>
      <c r="D141" s="1186">
        <v>107</v>
      </c>
      <c r="E141" s="1186">
        <v>65</v>
      </c>
      <c r="F141" s="1186">
        <v>6</v>
      </c>
      <c r="G141" s="1186">
        <v>15</v>
      </c>
      <c r="H141" s="1186">
        <v>18</v>
      </c>
      <c r="I141" s="1186">
        <v>3</v>
      </c>
      <c r="J141" s="1186" t="s">
        <v>17</v>
      </c>
      <c r="K141" s="1186" t="s">
        <v>30</v>
      </c>
      <c r="L141" s="1186" t="s">
        <v>672</v>
      </c>
      <c r="M141" s="1186">
        <v>1</v>
      </c>
      <c r="N141" s="1186"/>
      <c r="O141" s="1186"/>
      <c r="P141" s="1186">
        <v>1</v>
      </c>
      <c r="Q141" s="1186"/>
      <c r="R141" s="1186"/>
      <c r="S141" s="1186" t="s">
        <v>17</v>
      </c>
      <c r="T141" s="1186" t="s">
        <v>30</v>
      </c>
      <c r="U141" s="1186" t="s">
        <v>673</v>
      </c>
      <c r="V141" s="1186">
        <v>16</v>
      </c>
      <c r="W141" s="1186">
        <v>7</v>
      </c>
      <c r="X141" s="1186">
        <v>1</v>
      </c>
      <c r="Y141" s="1186">
        <v>1</v>
      </c>
      <c r="Z141" s="1186">
        <v>1</v>
      </c>
      <c r="AA141" s="1186">
        <v>6</v>
      </c>
    </row>
    <row r="142" spans="1:27" x14ac:dyDescent="0.2">
      <c r="A142" s="1186" t="s">
        <v>17</v>
      </c>
      <c r="B142" s="1186" t="s">
        <v>674</v>
      </c>
      <c r="C142" s="1186" t="s">
        <v>31</v>
      </c>
      <c r="D142" s="1186">
        <v>57</v>
      </c>
      <c r="E142" s="1186">
        <v>27</v>
      </c>
      <c r="F142" s="1186">
        <v>2</v>
      </c>
      <c r="G142" s="1186">
        <v>16</v>
      </c>
      <c r="H142" s="1186">
        <v>12</v>
      </c>
      <c r="I142" s="1186"/>
      <c r="J142" s="1186"/>
      <c r="K142" s="1186"/>
      <c r="L142" s="1186"/>
      <c r="M142" s="1186"/>
      <c r="N142" s="1186"/>
      <c r="O142" s="1186"/>
      <c r="P142" s="1186"/>
      <c r="Q142" s="1186"/>
      <c r="R142" s="1186"/>
      <c r="S142" s="1186" t="s">
        <v>17</v>
      </c>
      <c r="T142" s="1186" t="s">
        <v>31</v>
      </c>
      <c r="U142" s="1186" t="s">
        <v>673</v>
      </c>
      <c r="V142" s="1186">
        <v>12</v>
      </c>
      <c r="W142" s="1186">
        <v>6</v>
      </c>
      <c r="X142" s="1186"/>
      <c r="Y142" s="1186">
        <v>4</v>
      </c>
      <c r="Z142" s="1186">
        <v>2</v>
      </c>
      <c r="AA142" s="1186"/>
    </row>
    <row r="143" spans="1:27" x14ac:dyDescent="0.2">
      <c r="A143" s="1186" t="s">
        <v>17</v>
      </c>
      <c r="B143" s="1186" t="s">
        <v>674</v>
      </c>
      <c r="C143" s="1186" t="s">
        <v>32</v>
      </c>
      <c r="D143" s="1186">
        <v>83</v>
      </c>
      <c r="E143" s="1186">
        <v>42</v>
      </c>
      <c r="F143" s="1186">
        <v>5</v>
      </c>
      <c r="G143" s="1186">
        <v>16</v>
      </c>
      <c r="H143" s="1186">
        <v>19</v>
      </c>
      <c r="I143" s="1186">
        <v>1</v>
      </c>
      <c r="J143" s="1186" t="s">
        <v>17</v>
      </c>
      <c r="K143" s="1186" t="s">
        <v>32</v>
      </c>
      <c r="L143" s="1186" t="s">
        <v>672</v>
      </c>
      <c r="M143" s="1186">
        <v>1</v>
      </c>
      <c r="N143" s="1186"/>
      <c r="O143" s="1186"/>
      <c r="P143" s="1186"/>
      <c r="Q143" s="1186">
        <v>1</v>
      </c>
      <c r="R143" s="1186"/>
      <c r="S143" s="1186" t="s">
        <v>17</v>
      </c>
      <c r="T143" s="1186" t="s">
        <v>32</v>
      </c>
      <c r="U143" s="1186" t="s">
        <v>673</v>
      </c>
      <c r="V143" s="1186">
        <v>14</v>
      </c>
      <c r="W143" s="1186">
        <v>9</v>
      </c>
      <c r="X143" s="1186">
        <v>2</v>
      </c>
      <c r="Y143" s="1186">
        <v>2</v>
      </c>
      <c r="Z143" s="1186">
        <v>1</v>
      </c>
      <c r="AA143" s="1186"/>
    </row>
    <row r="144" spans="1:27" x14ac:dyDescent="0.2">
      <c r="A144" s="1186" t="s">
        <v>17</v>
      </c>
      <c r="B144" s="1186" t="s">
        <v>674</v>
      </c>
      <c r="C144" s="1186" t="s">
        <v>33</v>
      </c>
      <c r="D144" s="1186">
        <v>64</v>
      </c>
      <c r="E144" s="1186">
        <v>38</v>
      </c>
      <c r="F144" s="1186">
        <v>1</v>
      </c>
      <c r="G144" s="1186">
        <v>14</v>
      </c>
      <c r="H144" s="1186">
        <v>9</v>
      </c>
      <c r="I144" s="1186">
        <v>2</v>
      </c>
      <c r="J144" s="1186"/>
      <c r="K144" s="1186"/>
      <c r="L144" s="1186"/>
      <c r="M144" s="1186"/>
      <c r="N144" s="1186"/>
      <c r="O144" s="1186"/>
      <c r="P144" s="1186"/>
      <c r="Q144" s="1186"/>
      <c r="R144" s="1186"/>
      <c r="S144" s="1186" t="s">
        <v>17</v>
      </c>
      <c r="T144" s="1186" t="s">
        <v>33</v>
      </c>
      <c r="U144" s="1186" t="s">
        <v>673</v>
      </c>
      <c r="V144" s="1186">
        <v>11</v>
      </c>
      <c r="W144" s="1186">
        <v>5</v>
      </c>
      <c r="X144" s="1186"/>
      <c r="Y144" s="1186">
        <v>2</v>
      </c>
      <c r="Z144" s="1186">
        <v>2</v>
      </c>
      <c r="AA144" s="1186">
        <v>2</v>
      </c>
    </row>
    <row r="145" spans="1:27" x14ac:dyDescent="0.2">
      <c r="A145" s="1186" t="s">
        <v>17</v>
      </c>
      <c r="B145" s="1186" t="s">
        <v>674</v>
      </c>
      <c r="C145" s="1186" t="s">
        <v>34</v>
      </c>
      <c r="D145" s="1186">
        <v>130</v>
      </c>
      <c r="E145" s="1186">
        <v>34</v>
      </c>
      <c r="F145" s="1186">
        <v>21</v>
      </c>
      <c r="G145" s="1186">
        <v>24</v>
      </c>
      <c r="H145" s="1186">
        <v>49</v>
      </c>
      <c r="I145" s="1186">
        <v>2</v>
      </c>
      <c r="J145" s="1186" t="s">
        <v>17</v>
      </c>
      <c r="K145" s="1186" t="s">
        <v>34</v>
      </c>
      <c r="L145" s="1186" t="s">
        <v>672</v>
      </c>
      <c r="M145" s="1186">
        <v>2</v>
      </c>
      <c r="N145" s="1186"/>
      <c r="O145" s="1186">
        <v>1</v>
      </c>
      <c r="P145" s="1186">
        <v>1</v>
      </c>
      <c r="Q145" s="1186"/>
      <c r="R145" s="1186"/>
      <c r="S145" s="1186" t="s">
        <v>17</v>
      </c>
      <c r="T145" s="1186" t="s">
        <v>34</v>
      </c>
      <c r="U145" s="1186" t="s">
        <v>673</v>
      </c>
      <c r="V145" s="1186">
        <v>28</v>
      </c>
      <c r="W145" s="1186">
        <v>10</v>
      </c>
      <c r="X145" s="1186">
        <v>7</v>
      </c>
      <c r="Y145" s="1186">
        <v>5</v>
      </c>
      <c r="Z145" s="1186">
        <v>6</v>
      </c>
      <c r="AA145" s="1186"/>
    </row>
    <row r="146" spans="1:27" x14ac:dyDescent="0.2">
      <c r="A146" s="1186" t="s">
        <v>17</v>
      </c>
      <c r="B146" s="1186" t="s">
        <v>674</v>
      </c>
      <c r="C146" s="1186" t="s">
        <v>35</v>
      </c>
      <c r="D146" s="1186">
        <v>231</v>
      </c>
      <c r="E146" s="1186">
        <v>78</v>
      </c>
      <c r="F146" s="1186">
        <v>27</v>
      </c>
      <c r="G146" s="1186">
        <v>33</v>
      </c>
      <c r="H146" s="1186">
        <v>91</v>
      </c>
      <c r="I146" s="1186">
        <v>2</v>
      </c>
      <c r="J146" s="1186" t="s">
        <v>17</v>
      </c>
      <c r="K146" s="1186" t="s">
        <v>35</v>
      </c>
      <c r="L146" s="1186" t="s">
        <v>672</v>
      </c>
      <c r="M146" s="1186">
        <v>2</v>
      </c>
      <c r="N146" s="1186"/>
      <c r="O146" s="1186">
        <v>1</v>
      </c>
      <c r="P146" s="1186">
        <v>1</v>
      </c>
      <c r="Q146" s="1186"/>
      <c r="R146" s="1186"/>
      <c r="S146" s="1186" t="s">
        <v>17</v>
      </c>
      <c r="T146" s="1186" t="s">
        <v>35</v>
      </c>
      <c r="U146" s="1186" t="s">
        <v>673</v>
      </c>
      <c r="V146" s="1186">
        <v>44</v>
      </c>
      <c r="W146" s="1186">
        <v>13</v>
      </c>
      <c r="X146" s="1186">
        <v>6</v>
      </c>
      <c r="Y146" s="1186">
        <v>2</v>
      </c>
      <c r="Z146" s="1186">
        <v>21</v>
      </c>
      <c r="AA146" s="1186">
        <v>2</v>
      </c>
    </row>
    <row r="147" spans="1:27" x14ac:dyDescent="0.2">
      <c r="A147" s="1186" t="s">
        <v>17</v>
      </c>
      <c r="B147" s="1186" t="s">
        <v>674</v>
      </c>
      <c r="C147" s="1186" t="s">
        <v>36</v>
      </c>
      <c r="D147" s="1186">
        <v>916</v>
      </c>
      <c r="E147" s="1186">
        <v>452</v>
      </c>
      <c r="F147" s="1186">
        <v>56</v>
      </c>
      <c r="G147" s="1186">
        <v>131</v>
      </c>
      <c r="H147" s="1186">
        <v>261</v>
      </c>
      <c r="I147" s="1186">
        <v>16</v>
      </c>
      <c r="J147" s="1186" t="s">
        <v>17</v>
      </c>
      <c r="K147" s="1186" t="s">
        <v>36</v>
      </c>
      <c r="L147" s="1186" t="s">
        <v>672</v>
      </c>
      <c r="M147" s="1186">
        <v>5</v>
      </c>
      <c r="N147" s="1186">
        <v>3</v>
      </c>
      <c r="O147" s="1186">
        <v>1</v>
      </c>
      <c r="P147" s="1186"/>
      <c r="Q147" s="1186">
        <v>1</v>
      </c>
      <c r="R147" s="1186"/>
      <c r="S147" s="1186" t="s">
        <v>17</v>
      </c>
      <c r="T147" s="1186" t="s">
        <v>36</v>
      </c>
      <c r="U147" s="1186" t="s">
        <v>673</v>
      </c>
      <c r="V147" s="1186">
        <v>171</v>
      </c>
      <c r="W147" s="1186">
        <v>91</v>
      </c>
      <c r="X147" s="1186">
        <v>12</v>
      </c>
      <c r="Y147" s="1186">
        <v>12</v>
      </c>
      <c r="Z147" s="1186">
        <v>51</v>
      </c>
      <c r="AA147" s="1186">
        <v>5</v>
      </c>
    </row>
    <row r="148" spans="1:27" x14ac:dyDescent="0.2">
      <c r="A148" s="1186" t="s">
        <v>17</v>
      </c>
      <c r="B148" s="1186" t="s">
        <v>674</v>
      </c>
      <c r="C148" s="1186" t="s">
        <v>37</v>
      </c>
      <c r="D148" s="1186">
        <v>143</v>
      </c>
      <c r="E148" s="1186">
        <v>54</v>
      </c>
      <c r="F148" s="1186">
        <v>19</v>
      </c>
      <c r="G148" s="1186">
        <v>14</v>
      </c>
      <c r="H148" s="1186">
        <v>46</v>
      </c>
      <c r="I148" s="1186">
        <v>10</v>
      </c>
      <c r="J148" s="1186" t="s">
        <v>17</v>
      </c>
      <c r="K148" s="1186" t="s">
        <v>37</v>
      </c>
      <c r="L148" s="1186" t="s">
        <v>672</v>
      </c>
      <c r="M148" s="1186">
        <v>1</v>
      </c>
      <c r="N148" s="1186"/>
      <c r="O148" s="1186">
        <v>1</v>
      </c>
      <c r="P148" s="1186"/>
      <c r="Q148" s="1186"/>
      <c r="R148" s="1186"/>
      <c r="S148" s="1186" t="s">
        <v>17</v>
      </c>
      <c r="T148" s="1186" t="s">
        <v>37</v>
      </c>
      <c r="U148" s="1186" t="s">
        <v>673</v>
      </c>
      <c r="V148" s="1186">
        <v>55</v>
      </c>
      <c r="W148" s="1186">
        <v>26</v>
      </c>
      <c r="X148" s="1186">
        <v>9</v>
      </c>
      <c r="Y148" s="1186">
        <v>3</v>
      </c>
      <c r="Z148" s="1186">
        <v>14</v>
      </c>
      <c r="AA148" s="1186">
        <v>3</v>
      </c>
    </row>
    <row r="149" spans="1:27" x14ac:dyDescent="0.2">
      <c r="A149" s="1186" t="s">
        <v>17</v>
      </c>
      <c r="B149" s="1186" t="s">
        <v>674</v>
      </c>
      <c r="C149" s="1186" t="s">
        <v>38</v>
      </c>
      <c r="D149" s="1186">
        <v>106</v>
      </c>
      <c r="E149" s="1186">
        <v>52</v>
      </c>
      <c r="F149" s="1186">
        <v>7</v>
      </c>
      <c r="G149" s="1186">
        <v>13</v>
      </c>
      <c r="H149" s="1186">
        <v>32</v>
      </c>
      <c r="I149" s="1186">
        <v>2</v>
      </c>
      <c r="J149" s="1186" t="s">
        <v>17</v>
      </c>
      <c r="K149" s="1186" t="s">
        <v>38</v>
      </c>
      <c r="L149" s="1186" t="s">
        <v>672</v>
      </c>
      <c r="M149" s="1186">
        <v>1</v>
      </c>
      <c r="N149" s="1186"/>
      <c r="O149" s="1186">
        <v>1</v>
      </c>
      <c r="P149" s="1186"/>
      <c r="Q149" s="1186"/>
      <c r="R149" s="1186"/>
      <c r="S149" s="1186" t="s">
        <v>17</v>
      </c>
      <c r="T149" s="1186" t="s">
        <v>38</v>
      </c>
      <c r="U149" s="1186" t="s">
        <v>673</v>
      </c>
      <c r="V149" s="1186">
        <v>32</v>
      </c>
      <c r="W149" s="1186">
        <v>15</v>
      </c>
      <c r="X149" s="1186">
        <v>1</v>
      </c>
      <c r="Y149" s="1186">
        <v>4</v>
      </c>
      <c r="Z149" s="1186">
        <v>12</v>
      </c>
      <c r="AA149" s="1186"/>
    </row>
    <row r="150" spans="1:27" x14ac:dyDescent="0.2">
      <c r="A150" s="1186" t="s">
        <v>17</v>
      </c>
      <c r="B150" s="1186" t="s">
        <v>674</v>
      </c>
      <c r="C150" s="1186" t="s">
        <v>39</v>
      </c>
      <c r="D150" s="1186">
        <v>66</v>
      </c>
      <c r="E150" s="1186">
        <v>29</v>
      </c>
      <c r="F150" s="1186">
        <v>7</v>
      </c>
      <c r="G150" s="1186">
        <v>14</v>
      </c>
      <c r="H150" s="1186">
        <v>15</v>
      </c>
      <c r="I150" s="1186">
        <v>1</v>
      </c>
      <c r="J150" s="1186"/>
      <c r="K150" s="1186"/>
      <c r="L150" s="1186"/>
      <c r="M150" s="1186"/>
      <c r="N150" s="1186"/>
      <c r="O150" s="1186"/>
      <c r="P150" s="1186"/>
      <c r="Q150" s="1186"/>
      <c r="R150" s="1186"/>
      <c r="S150" s="1186" t="s">
        <v>17</v>
      </c>
      <c r="T150" s="1186" t="s">
        <v>39</v>
      </c>
      <c r="U150" s="1186" t="s">
        <v>673</v>
      </c>
      <c r="V150" s="1186">
        <v>28</v>
      </c>
      <c r="W150" s="1186">
        <v>8</v>
      </c>
      <c r="X150" s="1186">
        <v>5</v>
      </c>
      <c r="Y150" s="1186">
        <v>3</v>
      </c>
      <c r="Z150" s="1186">
        <v>12</v>
      </c>
      <c r="AA150" s="1186"/>
    </row>
    <row r="151" spans="1:27" x14ac:dyDescent="0.2">
      <c r="A151" s="1186" t="s">
        <v>17</v>
      </c>
      <c r="B151" s="1186" t="s">
        <v>674</v>
      </c>
      <c r="C151" s="1186" t="s">
        <v>40</v>
      </c>
      <c r="D151" s="1186">
        <v>74</v>
      </c>
      <c r="E151" s="1186">
        <v>33</v>
      </c>
      <c r="F151" s="1186">
        <v>4</v>
      </c>
      <c r="G151" s="1186">
        <v>10</v>
      </c>
      <c r="H151" s="1186">
        <v>27</v>
      </c>
      <c r="I151" s="1186"/>
      <c r="J151" s="1186"/>
      <c r="K151" s="1186"/>
      <c r="L151" s="1186"/>
      <c r="M151" s="1186"/>
      <c r="N151" s="1186"/>
      <c r="O151" s="1186"/>
      <c r="P151" s="1186"/>
      <c r="Q151" s="1186"/>
      <c r="R151" s="1186"/>
      <c r="S151" s="1186" t="s">
        <v>17</v>
      </c>
      <c r="T151" s="1186" t="s">
        <v>40</v>
      </c>
      <c r="U151" s="1186" t="s">
        <v>673</v>
      </c>
      <c r="V151" s="1186">
        <v>25</v>
      </c>
      <c r="W151" s="1186">
        <v>5</v>
      </c>
      <c r="X151" s="1186">
        <v>4</v>
      </c>
      <c r="Y151" s="1186">
        <v>1</v>
      </c>
      <c r="Z151" s="1186">
        <v>15</v>
      </c>
      <c r="AA151" s="1186"/>
    </row>
    <row r="152" spans="1:27" x14ac:dyDescent="0.2">
      <c r="A152" s="1186" t="s">
        <v>17</v>
      </c>
      <c r="B152" s="1186" t="s">
        <v>674</v>
      </c>
      <c r="C152" s="1186" t="s">
        <v>295</v>
      </c>
      <c r="D152" s="1186">
        <v>11</v>
      </c>
      <c r="E152" s="1186">
        <v>3</v>
      </c>
      <c r="F152" s="1186">
        <v>1</v>
      </c>
      <c r="G152" s="1186">
        <v>1</v>
      </c>
      <c r="H152" s="1186">
        <v>6</v>
      </c>
      <c r="I152" s="1186"/>
      <c r="J152" s="1186"/>
      <c r="K152" s="1186"/>
      <c r="L152" s="1186"/>
      <c r="M152" s="1186"/>
      <c r="N152" s="1186"/>
      <c r="O152" s="1186"/>
      <c r="P152" s="1186"/>
      <c r="Q152" s="1186"/>
      <c r="R152" s="1186"/>
      <c r="S152" s="1186" t="s">
        <v>17</v>
      </c>
      <c r="T152" s="1186" t="s">
        <v>295</v>
      </c>
      <c r="U152" s="1186" t="s">
        <v>673</v>
      </c>
      <c r="V152" s="1186">
        <v>3</v>
      </c>
      <c r="W152" s="1186">
        <v>2</v>
      </c>
      <c r="X152" s="1186"/>
      <c r="Y152" s="1186"/>
      <c r="Z152" s="1186">
        <v>1</v>
      </c>
      <c r="AA152" s="1186"/>
    </row>
    <row r="153" spans="1:27" x14ac:dyDescent="0.2">
      <c r="A153" s="1186" t="s">
        <v>17</v>
      </c>
      <c r="B153" s="1186" t="s">
        <v>674</v>
      </c>
      <c r="C153" s="1186" t="s">
        <v>41</v>
      </c>
      <c r="D153" s="1186">
        <v>148</v>
      </c>
      <c r="E153" s="1186">
        <v>75</v>
      </c>
      <c r="F153" s="1186">
        <v>14</v>
      </c>
      <c r="G153" s="1186">
        <v>27</v>
      </c>
      <c r="H153" s="1186">
        <v>25</v>
      </c>
      <c r="I153" s="1186">
        <v>7</v>
      </c>
      <c r="J153" s="1186" t="s">
        <v>17</v>
      </c>
      <c r="K153" s="1186" t="s">
        <v>41</v>
      </c>
      <c r="L153" s="1186" t="s">
        <v>672</v>
      </c>
      <c r="M153" s="1186">
        <v>1</v>
      </c>
      <c r="N153" s="1186"/>
      <c r="O153" s="1186"/>
      <c r="P153" s="1186">
        <v>1</v>
      </c>
      <c r="Q153" s="1186"/>
      <c r="R153" s="1186"/>
      <c r="S153" s="1186" t="s">
        <v>17</v>
      </c>
      <c r="T153" s="1186" t="s">
        <v>41</v>
      </c>
      <c r="U153" s="1186" t="s">
        <v>673</v>
      </c>
      <c r="V153" s="1186">
        <v>30</v>
      </c>
      <c r="W153" s="1186">
        <v>16</v>
      </c>
      <c r="X153" s="1186">
        <v>1</v>
      </c>
      <c r="Y153" s="1186">
        <v>4</v>
      </c>
      <c r="Z153" s="1186">
        <v>9</v>
      </c>
      <c r="AA153" s="1186"/>
    </row>
    <row r="154" spans="1:27" x14ac:dyDescent="0.2">
      <c r="A154" s="1186" t="s">
        <v>17</v>
      </c>
      <c r="B154" s="1186" t="s">
        <v>674</v>
      </c>
      <c r="C154" s="1186" t="s">
        <v>42</v>
      </c>
      <c r="D154" s="1186">
        <v>315</v>
      </c>
      <c r="E154" s="1186">
        <v>167</v>
      </c>
      <c r="F154" s="1186">
        <v>28</v>
      </c>
      <c r="G154" s="1186">
        <v>39</v>
      </c>
      <c r="H154" s="1186">
        <v>79</v>
      </c>
      <c r="I154" s="1186">
        <v>2</v>
      </c>
      <c r="J154" s="1186" t="s">
        <v>17</v>
      </c>
      <c r="K154" s="1186" t="s">
        <v>42</v>
      </c>
      <c r="L154" s="1186" t="s">
        <v>672</v>
      </c>
      <c r="M154" s="1186">
        <v>1</v>
      </c>
      <c r="N154" s="1186">
        <v>1</v>
      </c>
      <c r="O154" s="1186"/>
      <c r="P154" s="1186"/>
      <c r="Q154" s="1186"/>
      <c r="R154" s="1186"/>
      <c r="S154" s="1186" t="s">
        <v>17</v>
      </c>
      <c r="T154" s="1186" t="s">
        <v>42</v>
      </c>
      <c r="U154" s="1186" t="s">
        <v>673</v>
      </c>
      <c r="V154" s="1186">
        <v>85</v>
      </c>
      <c r="W154" s="1186">
        <v>51</v>
      </c>
      <c r="X154" s="1186">
        <v>7</v>
      </c>
      <c r="Y154" s="1186">
        <v>10</v>
      </c>
      <c r="Z154" s="1186">
        <v>17</v>
      </c>
      <c r="AA154" s="1186"/>
    </row>
    <row r="155" spans="1:27" x14ac:dyDescent="0.2">
      <c r="A155" s="1186" t="s">
        <v>17</v>
      </c>
      <c r="B155" s="1186" t="s">
        <v>674</v>
      </c>
      <c r="C155" s="1186" t="s">
        <v>43</v>
      </c>
      <c r="D155" s="1186">
        <v>10</v>
      </c>
      <c r="E155" s="1186">
        <v>2</v>
      </c>
      <c r="F155" s="1186">
        <v>1</v>
      </c>
      <c r="G155" s="1186">
        <v>1</v>
      </c>
      <c r="H155" s="1186">
        <v>5</v>
      </c>
      <c r="I155" s="1186">
        <v>1</v>
      </c>
      <c r="J155" s="1186"/>
      <c r="K155" s="1186"/>
      <c r="L155" s="1186"/>
      <c r="M155" s="1186"/>
      <c r="N155" s="1186"/>
      <c r="O155" s="1186"/>
      <c r="P155" s="1186"/>
      <c r="Q155" s="1186"/>
      <c r="R155" s="1186"/>
      <c r="S155" s="1186" t="s">
        <v>17</v>
      </c>
      <c r="T155" s="1186" t="s">
        <v>43</v>
      </c>
      <c r="U155" s="1186" t="s">
        <v>673</v>
      </c>
      <c r="V155" s="1186">
        <v>1</v>
      </c>
      <c r="W155" s="1186"/>
      <c r="X155" s="1186"/>
      <c r="Y155" s="1186"/>
      <c r="Z155" s="1186">
        <v>1</v>
      </c>
      <c r="AA155" s="1186"/>
    </row>
    <row r="156" spans="1:27" x14ac:dyDescent="0.2">
      <c r="A156" s="1186" t="s">
        <v>17</v>
      </c>
      <c r="B156" s="1186" t="s">
        <v>674</v>
      </c>
      <c r="C156" s="1186" t="s">
        <v>44</v>
      </c>
      <c r="D156" s="1186">
        <v>105</v>
      </c>
      <c r="E156" s="1186">
        <v>44</v>
      </c>
      <c r="F156" s="1186">
        <v>8</v>
      </c>
      <c r="G156" s="1186">
        <v>13</v>
      </c>
      <c r="H156" s="1186">
        <v>39</v>
      </c>
      <c r="I156" s="1186">
        <v>1</v>
      </c>
      <c r="J156" s="1186"/>
      <c r="K156" s="1186"/>
      <c r="L156" s="1186"/>
      <c r="M156" s="1186"/>
      <c r="N156" s="1186"/>
      <c r="O156" s="1186"/>
      <c r="P156" s="1186"/>
      <c r="Q156" s="1186"/>
      <c r="R156" s="1186"/>
      <c r="S156" s="1186" t="s">
        <v>17</v>
      </c>
      <c r="T156" s="1186" t="s">
        <v>44</v>
      </c>
      <c r="U156" s="1186" t="s">
        <v>673</v>
      </c>
      <c r="V156" s="1186">
        <v>40</v>
      </c>
      <c r="W156" s="1186">
        <v>14</v>
      </c>
      <c r="X156" s="1186">
        <v>4</v>
      </c>
      <c r="Y156" s="1186">
        <v>8</v>
      </c>
      <c r="Z156" s="1186">
        <v>14</v>
      </c>
      <c r="AA156" s="1186"/>
    </row>
    <row r="157" spans="1:27" x14ac:dyDescent="0.2">
      <c r="A157" s="1186" t="s">
        <v>17</v>
      </c>
      <c r="B157" s="1186" t="s">
        <v>674</v>
      </c>
      <c r="C157" s="1186" t="s">
        <v>45</v>
      </c>
      <c r="D157" s="1186">
        <v>262</v>
      </c>
      <c r="E157" s="1186">
        <v>151</v>
      </c>
      <c r="F157" s="1186">
        <v>20</v>
      </c>
      <c r="G157" s="1186">
        <v>29</v>
      </c>
      <c r="H157" s="1186">
        <v>60</v>
      </c>
      <c r="I157" s="1186">
        <v>2</v>
      </c>
      <c r="J157" s="1186"/>
      <c r="K157" s="1186"/>
      <c r="L157" s="1186"/>
      <c r="M157" s="1186"/>
      <c r="N157" s="1186"/>
      <c r="O157" s="1186"/>
      <c r="P157" s="1186"/>
      <c r="Q157" s="1186"/>
      <c r="R157" s="1186"/>
      <c r="S157" s="1186" t="s">
        <v>17</v>
      </c>
      <c r="T157" s="1186" t="s">
        <v>45</v>
      </c>
      <c r="U157" s="1186" t="s">
        <v>673</v>
      </c>
      <c r="V157" s="1186">
        <v>47</v>
      </c>
      <c r="W157" s="1186">
        <v>23</v>
      </c>
      <c r="X157" s="1186">
        <v>5</v>
      </c>
      <c r="Y157" s="1186">
        <v>4</v>
      </c>
      <c r="Z157" s="1186">
        <v>13</v>
      </c>
      <c r="AA157" s="1186">
        <v>2</v>
      </c>
    </row>
    <row r="158" spans="1:27" x14ac:dyDescent="0.2">
      <c r="A158" s="1186" t="s">
        <v>17</v>
      </c>
      <c r="B158" s="1186" t="s">
        <v>674</v>
      </c>
      <c r="C158" s="1186" t="s">
        <v>46</v>
      </c>
      <c r="D158" s="1186">
        <v>110</v>
      </c>
      <c r="E158" s="1186">
        <v>52</v>
      </c>
      <c r="F158" s="1186">
        <v>14</v>
      </c>
      <c r="G158" s="1186">
        <v>14</v>
      </c>
      <c r="H158" s="1186">
        <v>30</v>
      </c>
      <c r="I158" s="1186"/>
      <c r="J158" s="1186"/>
      <c r="K158" s="1186"/>
      <c r="L158" s="1186"/>
      <c r="M158" s="1186"/>
      <c r="N158" s="1186"/>
      <c r="O158" s="1186"/>
      <c r="P158" s="1186"/>
      <c r="Q158" s="1186"/>
      <c r="R158" s="1186"/>
      <c r="S158" s="1186" t="s">
        <v>17</v>
      </c>
      <c r="T158" s="1186" t="s">
        <v>46</v>
      </c>
      <c r="U158" s="1186" t="s">
        <v>673</v>
      </c>
      <c r="V158" s="1186">
        <v>26</v>
      </c>
      <c r="W158" s="1186">
        <v>10</v>
      </c>
      <c r="X158" s="1186">
        <v>5</v>
      </c>
      <c r="Y158" s="1186">
        <v>1</v>
      </c>
      <c r="Z158" s="1186">
        <v>10</v>
      </c>
      <c r="AA158" s="1186"/>
    </row>
    <row r="159" spans="1:27" x14ac:dyDescent="0.2">
      <c r="A159" s="1186" t="s">
        <v>17</v>
      </c>
      <c r="B159" s="1186" t="s">
        <v>674</v>
      </c>
      <c r="C159" s="1186" t="s">
        <v>47</v>
      </c>
      <c r="D159" s="1186">
        <v>11</v>
      </c>
      <c r="E159" s="1186">
        <v>5</v>
      </c>
      <c r="F159" s="1186">
        <v>1</v>
      </c>
      <c r="G159" s="1186">
        <v>2</v>
      </c>
      <c r="H159" s="1186">
        <v>2</v>
      </c>
      <c r="I159" s="1186">
        <v>1</v>
      </c>
      <c r="J159" s="1186"/>
      <c r="K159" s="1186"/>
      <c r="L159" s="1186"/>
      <c r="M159" s="1186"/>
      <c r="N159" s="1186"/>
      <c r="O159" s="1186"/>
      <c r="P159" s="1186"/>
      <c r="Q159" s="1186"/>
      <c r="R159" s="1186"/>
      <c r="S159" s="1186" t="s">
        <v>17</v>
      </c>
      <c r="T159" s="1186" t="s">
        <v>47</v>
      </c>
      <c r="U159" s="1186" t="s">
        <v>673</v>
      </c>
      <c r="V159" s="1186">
        <v>1</v>
      </c>
      <c r="W159" s="1186">
        <v>1</v>
      </c>
      <c r="X159" s="1186"/>
      <c r="Y159" s="1186"/>
      <c r="Z159" s="1186"/>
      <c r="AA159" s="1186"/>
    </row>
    <row r="160" spans="1:27" x14ac:dyDescent="0.2">
      <c r="A160" s="1186" t="s">
        <v>17</v>
      </c>
      <c r="B160" s="1186" t="s">
        <v>674</v>
      </c>
      <c r="C160" s="1186" t="s">
        <v>48</v>
      </c>
      <c r="D160" s="1186">
        <v>93</v>
      </c>
      <c r="E160" s="1186">
        <v>53</v>
      </c>
      <c r="F160" s="1186">
        <v>2</v>
      </c>
      <c r="G160" s="1186">
        <v>15</v>
      </c>
      <c r="H160" s="1186">
        <v>23</v>
      </c>
      <c r="I160" s="1186"/>
      <c r="J160" s="1186" t="s">
        <v>17</v>
      </c>
      <c r="K160" s="1186" t="s">
        <v>48</v>
      </c>
      <c r="L160" s="1186" t="s">
        <v>672</v>
      </c>
      <c r="M160" s="1186">
        <v>2</v>
      </c>
      <c r="N160" s="1186">
        <v>2</v>
      </c>
      <c r="O160" s="1186"/>
      <c r="P160" s="1186"/>
      <c r="Q160" s="1186"/>
      <c r="R160" s="1186"/>
      <c r="S160" s="1186" t="s">
        <v>17</v>
      </c>
      <c r="T160" s="1186" t="s">
        <v>48</v>
      </c>
      <c r="U160" s="1186" t="s">
        <v>673</v>
      </c>
      <c r="V160" s="1186">
        <v>13</v>
      </c>
      <c r="W160" s="1186">
        <v>6</v>
      </c>
      <c r="X160" s="1186">
        <v>1</v>
      </c>
      <c r="Y160" s="1186">
        <v>3</v>
      </c>
      <c r="Z160" s="1186">
        <v>3</v>
      </c>
      <c r="AA160" s="1186"/>
    </row>
    <row r="161" spans="1:27" x14ac:dyDescent="0.2">
      <c r="A161" s="1186" t="s">
        <v>17</v>
      </c>
      <c r="B161" s="1186" t="s">
        <v>674</v>
      </c>
      <c r="C161" s="1186" t="s">
        <v>49</v>
      </c>
      <c r="D161" s="1186">
        <v>263</v>
      </c>
      <c r="E161" s="1186">
        <v>131</v>
      </c>
      <c r="F161" s="1186">
        <v>30</v>
      </c>
      <c r="G161" s="1186">
        <v>38</v>
      </c>
      <c r="H161" s="1186">
        <v>60</v>
      </c>
      <c r="I161" s="1186">
        <v>4</v>
      </c>
      <c r="J161" s="1186" t="s">
        <v>17</v>
      </c>
      <c r="K161" s="1186" t="s">
        <v>49</v>
      </c>
      <c r="L161" s="1186" t="s">
        <v>672</v>
      </c>
      <c r="M161" s="1186">
        <v>2</v>
      </c>
      <c r="N161" s="1186"/>
      <c r="O161" s="1186"/>
      <c r="P161" s="1186">
        <v>1</v>
      </c>
      <c r="Q161" s="1186">
        <v>1</v>
      </c>
      <c r="R161" s="1186"/>
      <c r="S161" s="1186" t="s">
        <v>17</v>
      </c>
      <c r="T161" s="1186" t="s">
        <v>49</v>
      </c>
      <c r="U161" s="1186" t="s">
        <v>673</v>
      </c>
      <c r="V161" s="1186">
        <v>50</v>
      </c>
      <c r="W161" s="1186">
        <v>26</v>
      </c>
      <c r="X161" s="1186">
        <v>6</v>
      </c>
      <c r="Y161" s="1186">
        <v>7</v>
      </c>
      <c r="Z161" s="1186">
        <v>11</v>
      </c>
      <c r="AA161" s="1186"/>
    </row>
    <row r="162" spans="1:27" x14ac:dyDescent="0.2">
      <c r="A162" s="1186" t="s">
        <v>17</v>
      </c>
      <c r="B162" s="1186" t="s">
        <v>674</v>
      </c>
      <c r="C162" s="1186" t="s">
        <v>50</v>
      </c>
      <c r="D162" s="1186">
        <v>72</v>
      </c>
      <c r="E162" s="1186">
        <v>25</v>
      </c>
      <c r="F162" s="1186">
        <v>13</v>
      </c>
      <c r="G162" s="1186">
        <v>5</v>
      </c>
      <c r="H162" s="1186">
        <v>26</v>
      </c>
      <c r="I162" s="1186">
        <v>3</v>
      </c>
      <c r="J162" s="1186"/>
      <c r="K162" s="1186"/>
      <c r="L162" s="1186"/>
      <c r="M162" s="1186"/>
      <c r="N162" s="1186"/>
      <c r="O162" s="1186"/>
      <c r="P162" s="1186"/>
      <c r="Q162" s="1186"/>
      <c r="R162" s="1186"/>
      <c r="S162" s="1186" t="s">
        <v>17</v>
      </c>
      <c r="T162" s="1186" t="s">
        <v>50</v>
      </c>
      <c r="U162" s="1186" t="s">
        <v>673</v>
      </c>
      <c r="V162" s="1186">
        <v>10</v>
      </c>
      <c r="W162" s="1186">
        <v>6</v>
      </c>
      <c r="X162" s="1186">
        <v>3</v>
      </c>
      <c r="Y162" s="1186"/>
      <c r="Z162" s="1186">
        <v>1</v>
      </c>
      <c r="AA162" s="1186"/>
    </row>
    <row r="163" spans="1:27" x14ac:dyDescent="0.2">
      <c r="A163" s="1186" t="s">
        <v>17</v>
      </c>
      <c r="B163" s="1186" t="s">
        <v>674</v>
      </c>
      <c r="C163" s="1186" t="s">
        <v>51</v>
      </c>
      <c r="D163" s="1186">
        <v>133</v>
      </c>
      <c r="E163" s="1186">
        <v>60</v>
      </c>
      <c r="F163" s="1186">
        <v>14</v>
      </c>
      <c r="G163" s="1186">
        <v>19</v>
      </c>
      <c r="H163" s="1186">
        <v>39</v>
      </c>
      <c r="I163" s="1186">
        <v>1</v>
      </c>
      <c r="J163" s="1186"/>
      <c r="K163" s="1186"/>
      <c r="L163" s="1186"/>
      <c r="M163" s="1186"/>
      <c r="N163" s="1186"/>
      <c r="O163" s="1186"/>
      <c r="P163" s="1186"/>
      <c r="Q163" s="1186"/>
      <c r="R163" s="1186"/>
      <c r="S163" s="1186" t="s">
        <v>17</v>
      </c>
      <c r="T163" s="1186" t="s">
        <v>51</v>
      </c>
      <c r="U163" s="1186" t="s">
        <v>673</v>
      </c>
      <c r="V163" s="1186">
        <v>16</v>
      </c>
      <c r="W163" s="1186">
        <v>8</v>
      </c>
      <c r="X163" s="1186">
        <v>2</v>
      </c>
      <c r="Y163" s="1186">
        <v>4</v>
      </c>
      <c r="Z163" s="1186">
        <v>2</v>
      </c>
      <c r="AA163" s="1186"/>
    </row>
    <row r="164" spans="1:27" x14ac:dyDescent="0.2">
      <c r="A164" s="1186" t="s">
        <v>17</v>
      </c>
      <c r="B164" s="1186" t="s">
        <v>674</v>
      </c>
      <c r="C164" s="1186" t="s">
        <v>52</v>
      </c>
      <c r="D164" s="1186">
        <v>188</v>
      </c>
      <c r="E164" s="1186">
        <v>85</v>
      </c>
      <c r="F164" s="1186">
        <v>18</v>
      </c>
      <c r="G164" s="1186">
        <v>29</v>
      </c>
      <c r="H164" s="1186">
        <v>55</v>
      </c>
      <c r="I164" s="1186">
        <v>1</v>
      </c>
      <c r="J164" s="1186" t="s">
        <v>17</v>
      </c>
      <c r="K164" s="1186" t="s">
        <v>52</v>
      </c>
      <c r="L164" s="1186" t="s">
        <v>672</v>
      </c>
      <c r="M164" s="1186">
        <v>1</v>
      </c>
      <c r="N164" s="1186"/>
      <c r="O164" s="1186"/>
      <c r="P164" s="1186">
        <v>1</v>
      </c>
      <c r="Q164" s="1186"/>
      <c r="R164" s="1186"/>
      <c r="S164" s="1186" t="s">
        <v>17</v>
      </c>
      <c r="T164" s="1186" t="s">
        <v>52</v>
      </c>
      <c r="U164" s="1186" t="s">
        <v>673</v>
      </c>
      <c r="V164" s="1186">
        <v>25</v>
      </c>
      <c r="W164" s="1186">
        <v>10</v>
      </c>
      <c r="X164" s="1186">
        <v>2</v>
      </c>
      <c r="Y164" s="1186">
        <v>5</v>
      </c>
      <c r="Z164" s="1186">
        <v>7</v>
      </c>
      <c r="AA164" s="1186">
        <v>1</v>
      </c>
    </row>
    <row r="165" spans="1:27" x14ac:dyDescent="0.2">
      <c r="A165" s="1186" t="s">
        <v>133</v>
      </c>
      <c r="B165" s="1186" t="s">
        <v>674</v>
      </c>
      <c r="C165" s="1186" t="s">
        <v>23</v>
      </c>
      <c r="D165" s="1186">
        <v>320</v>
      </c>
      <c r="E165" s="1186">
        <v>184</v>
      </c>
      <c r="F165" s="1186">
        <v>21</v>
      </c>
      <c r="G165" s="1186">
        <v>38</v>
      </c>
      <c r="H165" s="1186">
        <v>74</v>
      </c>
      <c r="I165" s="1186">
        <v>3</v>
      </c>
      <c r="J165" s="1186" t="s">
        <v>133</v>
      </c>
      <c r="K165" s="1186" t="s">
        <v>23</v>
      </c>
      <c r="L165" s="1186" t="s">
        <v>672</v>
      </c>
      <c r="M165" s="1186">
        <v>2</v>
      </c>
      <c r="N165" s="1186"/>
      <c r="O165" s="1186">
        <v>1</v>
      </c>
      <c r="P165" s="1186">
        <v>1</v>
      </c>
      <c r="Q165" s="1186"/>
      <c r="R165" s="1186"/>
      <c r="S165" s="1186" t="s">
        <v>133</v>
      </c>
      <c r="T165" s="1186" t="s">
        <v>23</v>
      </c>
      <c r="U165" s="1186" t="s">
        <v>673</v>
      </c>
      <c r="V165" s="1186">
        <v>52</v>
      </c>
      <c r="W165" s="1186">
        <v>26</v>
      </c>
      <c r="X165" s="1186">
        <v>5</v>
      </c>
      <c r="Y165" s="1186">
        <v>6</v>
      </c>
      <c r="Z165" s="1186">
        <v>12</v>
      </c>
      <c r="AA165" s="1186">
        <v>3</v>
      </c>
    </row>
    <row r="166" spans="1:27" x14ac:dyDescent="0.2">
      <c r="A166" s="1186" t="s">
        <v>133</v>
      </c>
      <c r="B166" s="1186" t="s">
        <v>674</v>
      </c>
      <c r="C166" s="1186" t="s">
        <v>24</v>
      </c>
      <c r="D166" s="1186">
        <v>200</v>
      </c>
      <c r="E166" s="1186">
        <v>109</v>
      </c>
      <c r="F166" s="1186">
        <v>9</v>
      </c>
      <c r="G166" s="1186">
        <v>16</v>
      </c>
      <c r="H166" s="1186">
        <v>64</v>
      </c>
      <c r="I166" s="1186">
        <v>2</v>
      </c>
      <c r="J166" s="1186" t="s">
        <v>133</v>
      </c>
      <c r="K166" s="1186" t="s">
        <v>24</v>
      </c>
      <c r="L166" s="1186" t="s">
        <v>672</v>
      </c>
      <c r="M166" s="1186">
        <v>2</v>
      </c>
      <c r="N166" s="1186"/>
      <c r="O166" s="1186"/>
      <c r="P166" s="1186">
        <v>1</v>
      </c>
      <c r="Q166" s="1186"/>
      <c r="R166" s="1186">
        <v>1</v>
      </c>
      <c r="S166" s="1186" t="s">
        <v>133</v>
      </c>
      <c r="T166" s="1186" t="s">
        <v>24</v>
      </c>
      <c r="U166" s="1186" t="s">
        <v>673</v>
      </c>
      <c r="V166" s="1186">
        <v>32</v>
      </c>
      <c r="W166" s="1186">
        <v>10</v>
      </c>
      <c r="X166" s="1186">
        <v>2</v>
      </c>
      <c r="Y166" s="1186">
        <v>4</v>
      </c>
      <c r="Z166" s="1186">
        <v>15</v>
      </c>
      <c r="AA166" s="1186">
        <v>1</v>
      </c>
    </row>
    <row r="167" spans="1:27" x14ac:dyDescent="0.2">
      <c r="A167" s="1186" t="s">
        <v>133</v>
      </c>
      <c r="B167" s="1186" t="s">
        <v>674</v>
      </c>
      <c r="C167" s="1186" t="s">
        <v>25</v>
      </c>
      <c r="D167" s="1186">
        <v>113</v>
      </c>
      <c r="E167" s="1186">
        <v>56</v>
      </c>
      <c r="F167" s="1186">
        <v>17</v>
      </c>
      <c r="G167" s="1186">
        <v>12</v>
      </c>
      <c r="H167" s="1186">
        <v>27</v>
      </c>
      <c r="I167" s="1186">
        <v>1</v>
      </c>
      <c r="J167" s="1186" t="s">
        <v>133</v>
      </c>
      <c r="K167" s="1186" t="s">
        <v>25</v>
      </c>
      <c r="L167" s="1186" t="s">
        <v>672</v>
      </c>
      <c r="M167" s="1186">
        <v>1</v>
      </c>
      <c r="N167" s="1186"/>
      <c r="O167" s="1186"/>
      <c r="P167" s="1186">
        <v>1</v>
      </c>
      <c r="Q167" s="1186"/>
      <c r="R167" s="1186"/>
      <c r="S167" s="1186" t="s">
        <v>133</v>
      </c>
      <c r="T167" s="1186" t="s">
        <v>25</v>
      </c>
      <c r="U167" s="1186" t="s">
        <v>673</v>
      </c>
      <c r="V167" s="1186">
        <v>25</v>
      </c>
      <c r="W167" s="1186">
        <v>12</v>
      </c>
      <c r="X167" s="1186">
        <v>6</v>
      </c>
      <c r="Y167" s="1186">
        <v>1</v>
      </c>
      <c r="Z167" s="1186">
        <v>6</v>
      </c>
      <c r="AA167" s="1186"/>
    </row>
    <row r="168" spans="1:27" x14ac:dyDescent="0.2">
      <c r="A168" s="1186" t="s">
        <v>133</v>
      </c>
      <c r="B168" s="1186" t="s">
        <v>674</v>
      </c>
      <c r="C168" s="1186" t="s">
        <v>26</v>
      </c>
      <c r="D168" s="1186">
        <v>88</v>
      </c>
      <c r="E168" s="1186">
        <v>54</v>
      </c>
      <c r="F168" s="1186">
        <v>6</v>
      </c>
      <c r="G168" s="1186">
        <v>10</v>
      </c>
      <c r="H168" s="1186">
        <v>15</v>
      </c>
      <c r="I168" s="1186">
        <v>3</v>
      </c>
      <c r="J168" s="1186"/>
      <c r="K168" s="1186"/>
      <c r="L168" s="1186"/>
      <c r="M168" s="1186"/>
      <c r="N168" s="1186"/>
      <c r="O168" s="1186"/>
      <c r="P168" s="1186"/>
      <c r="Q168" s="1186"/>
      <c r="R168" s="1186"/>
      <c r="S168" s="1186" t="s">
        <v>133</v>
      </c>
      <c r="T168" s="1186" t="s">
        <v>26</v>
      </c>
      <c r="U168" s="1186" t="s">
        <v>673</v>
      </c>
      <c r="V168" s="1186">
        <v>12</v>
      </c>
      <c r="W168" s="1186">
        <v>6</v>
      </c>
      <c r="X168" s="1186">
        <v>1</v>
      </c>
      <c r="Y168" s="1186">
        <v>1</v>
      </c>
      <c r="Z168" s="1186">
        <v>4</v>
      </c>
      <c r="AA168" s="1186"/>
    </row>
    <row r="169" spans="1:27" x14ac:dyDescent="0.2">
      <c r="A169" s="1186" t="s">
        <v>133</v>
      </c>
      <c r="B169" s="1186" t="s">
        <v>674</v>
      </c>
      <c r="C169" s="1186" t="s">
        <v>619</v>
      </c>
      <c r="D169" s="1186">
        <v>663</v>
      </c>
      <c r="E169" s="1186">
        <v>255</v>
      </c>
      <c r="F169" s="1186">
        <v>57</v>
      </c>
      <c r="G169" s="1186">
        <v>92</v>
      </c>
      <c r="H169" s="1186">
        <v>253</v>
      </c>
      <c r="I169" s="1186">
        <v>6</v>
      </c>
      <c r="J169" s="1186" t="s">
        <v>133</v>
      </c>
      <c r="K169" s="1186" t="s">
        <v>619</v>
      </c>
      <c r="L169" s="1186" t="s">
        <v>672</v>
      </c>
      <c r="M169" s="1186">
        <v>3</v>
      </c>
      <c r="N169" s="1186">
        <v>1</v>
      </c>
      <c r="O169" s="1186">
        <v>1</v>
      </c>
      <c r="P169" s="1186"/>
      <c r="Q169" s="1186">
        <v>1</v>
      </c>
      <c r="R169" s="1186"/>
      <c r="S169" s="1186" t="s">
        <v>133</v>
      </c>
      <c r="T169" s="1186" t="s">
        <v>619</v>
      </c>
      <c r="U169" s="1186" t="s">
        <v>673</v>
      </c>
      <c r="V169" s="1186">
        <v>118</v>
      </c>
      <c r="W169" s="1186">
        <v>63</v>
      </c>
      <c r="X169" s="1186">
        <v>16</v>
      </c>
      <c r="Y169" s="1186">
        <v>9</v>
      </c>
      <c r="Z169" s="1186">
        <v>30</v>
      </c>
      <c r="AA169" s="1186"/>
    </row>
    <row r="170" spans="1:27" x14ac:dyDescent="0.2">
      <c r="A170" s="1186" t="s">
        <v>133</v>
      </c>
      <c r="B170" s="1186" t="s">
        <v>674</v>
      </c>
      <c r="C170" s="1186" t="s">
        <v>27</v>
      </c>
      <c r="D170" s="1186">
        <v>49</v>
      </c>
      <c r="E170" s="1186">
        <v>22</v>
      </c>
      <c r="F170" s="1186">
        <v>5</v>
      </c>
      <c r="G170" s="1186">
        <v>10</v>
      </c>
      <c r="H170" s="1186">
        <v>12</v>
      </c>
      <c r="I170" s="1186"/>
      <c r="J170" s="1186"/>
      <c r="K170" s="1186"/>
      <c r="L170" s="1186"/>
      <c r="M170" s="1186"/>
      <c r="N170" s="1186"/>
      <c r="O170" s="1186"/>
      <c r="P170" s="1186"/>
      <c r="Q170" s="1186"/>
      <c r="R170" s="1186"/>
      <c r="S170" s="1186" t="s">
        <v>133</v>
      </c>
      <c r="T170" s="1186" t="s">
        <v>27</v>
      </c>
      <c r="U170" s="1186" t="s">
        <v>673</v>
      </c>
      <c r="V170" s="1186">
        <v>8</v>
      </c>
      <c r="W170" s="1186">
        <v>6</v>
      </c>
      <c r="X170" s="1186"/>
      <c r="Y170" s="1186"/>
      <c r="Z170" s="1186">
        <v>2</v>
      </c>
      <c r="AA170" s="1186"/>
    </row>
    <row r="171" spans="1:27" x14ac:dyDescent="0.2">
      <c r="A171" s="1186" t="s">
        <v>133</v>
      </c>
      <c r="B171" s="1186" t="s">
        <v>674</v>
      </c>
      <c r="C171" s="1186" t="s">
        <v>28</v>
      </c>
      <c r="D171" s="1186">
        <v>98</v>
      </c>
      <c r="E171" s="1186">
        <v>44</v>
      </c>
      <c r="F171" s="1186">
        <v>10</v>
      </c>
      <c r="G171" s="1186">
        <v>22</v>
      </c>
      <c r="H171" s="1186">
        <v>20</v>
      </c>
      <c r="I171" s="1186">
        <v>2</v>
      </c>
      <c r="J171" s="1186" t="s">
        <v>133</v>
      </c>
      <c r="K171" s="1186" t="s">
        <v>28</v>
      </c>
      <c r="L171" s="1186" t="s">
        <v>672</v>
      </c>
      <c r="M171" s="1186">
        <v>3</v>
      </c>
      <c r="N171" s="1186">
        <v>1</v>
      </c>
      <c r="O171" s="1186"/>
      <c r="P171" s="1186">
        <v>1</v>
      </c>
      <c r="Q171" s="1186"/>
      <c r="R171" s="1186">
        <v>1</v>
      </c>
      <c r="S171" s="1186" t="s">
        <v>133</v>
      </c>
      <c r="T171" s="1186" t="s">
        <v>28</v>
      </c>
      <c r="U171" s="1186" t="s">
        <v>673</v>
      </c>
      <c r="V171" s="1186">
        <v>9</v>
      </c>
      <c r="W171" s="1186">
        <v>4</v>
      </c>
      <c r="X171" s="1186">
        <v>1</v>
      </c>
      <c r="Y171" s="1186">
        <v>2</v>
      </c>
      <c r="Z171" s="1186">
        <v>2</v>
      </c>
      <c r="AA171" s="1186"/>
    </row>
    <row r="172" spans="1:27" x14ac:dyDescent="0.2">
      <c r="A172" s="1186" t="s">
        <v>133</v>
      </c>
      <c r="B172" s="1186" t="s">
        <v>674</v>
      </c>
      <c r="C172" s="1186" t="s">
        <v>29</v>
      </c>
      <c r="D172" s="1186">
        <v>214</v>
      </c>
      <c r="E172" s="1186">
        <v>108</v>
      </c>
      <c r="F172" s="1186">
        <v>25</v>
      </c>
      <c r="G172" s="1186">
        <v>22</v>
      </c>
      <c r="H172" s="1186">
        <v>56</v>
      </c>
      <c r="I172" s="1186">
        <v>3</v>
      </c>
      <c r="J172" s="1186" t="s">
        <v>133</v>
      </c>
      <c r="K172" s="1186" t="s">
        <v>29</v>
      </c>
      <c r="L172" s="1186" t="s">
        <v>672</v>
      </c>
      <c r="M172" s="1186">
        <v>1</v>
      </c>
      <c r="N172" s="1186">
        <v>1</v>
      </c>
      <c r="O172" s="1186"/>
      <c r="P172" s="1186"/>
      <c r="Q172" s="1186"/>
      <c r="R172" s="1186"/>
      <c r="S172" s="1186" t="s">
        <v>133</v>
      </c>
      <c r="T172" s="1186" t="s">
        <v>29</v>
      </c>
      <c r="U172" s="1186" t="s">
        <v>673</v>
      </c>
      <c r="V172" s="1186">
        <v>38</v>
      </c>
      <c r="W172" s="1186">
        <v>29</v>
      </c>
      <c r="X172" s="1186">
        <v>4</v>
      </c>
      <c r="Y172" s="1186"/>
      <c r="Z172" s="1186">
        <v>5</v>
      </c>
      <c r="AA172" s="1186"/>
    </row>
    <row r="173" spans="1:27" x14ac:dyDescent="0.2">
      <c r="A173" s="1186" t="s">
        <v>133</v>
      </c>
      <c r="B173" s="1186" t="s">
        <v>674</v>
      </c>
      <c r="C173" s="1186" t="s">
        <v>30</v>
      </c>
      <c r="D173" s="1186">
        <v>113</v>
      </c>
      <c r="E173" s="1186">
        <v>75</v>
      </c>
      <c r="F173" s="1186">
        <v>10</v>
      </c>
      <c r="G173" s="1186">
        <v>14</v>
      </c>
      <c r="H173" s="1186">
        <v>13</v>
      </c>
      <c r="I173" s="1186">
        <v>1</v>
      </c>
      <c r="J173" s="1186"/>
      <c r="K173" s="1186"/>
      <c r="L173" s="1186"/>
      <c r="M173" s="1186"/>
      <c r="N173" s="1186"/>
      <c r="O173" s="1186"/>
      <c r="P173" s="1186"/>
      <c r="Q173" s="1186"/>
      <c r="R173" s="1186"/>
      <c r="S173" s="1186" t="s">
        <v>133</v>
      </c>
      <c r="T173" s="1186" t="s">
        <v>30</v>
      </c>
      <c r="U173" s="1186" t="s">
        <v>673</v>
      </c>
      <c r="V173" s="1186">
        <v>23</v>
      </c>
      <c r="W173" s="1186">
        <v>13</v>
      </c>
      <c r="X173" s="1186">
        <v>2</v>
      </c>
      <c r="Y173" s="1186">
        <v>3</v>
      </c>
      <c r="Z173" s="1186">
        <v>5</v>
      </c>
      <c r="AA173" s="1186"/>
    </row>
    <row r="174" spans="1:27" x14ac:dyDescent="0.2">
      <c r="A174" s="1186" t="s">
        <v>133</v>
      </c>
      <c r="B174" s="1186" t="s">
        <v>674</v>
      </c>
      <c r="C174" s="1186" t="s">
        <v>31</v>
      </c>
      <c r="D174" s="1186">
        <v>73</v>
      </c>
      <c r="E174" s="1186">
        <v>36</v>
      </c>
      <c r="F174" s="1186">
        <v>7</v>
      </c>
      <c r="G174" s="1186">
        <v>21</v>
      </c>
      <c r="H174" s="1186">
        <v>4</v>
      </c>
      <c r="I174" s="1186">
        <v>5</v>
      </c>
      <c r="J174" s="1186"/>
      <c r="K174" s="1186"/>
      <c r="L174" s="1186"/>
      <c r="M174" s="1186"/>
      <c r="N174" s="1186"/>
      <c r="O174" s="1186"/>
      <c r="P174" s="1186"/>
      <c r="Q174" s="1186"/>
      <c r="R174" s="1186"/>
      <c r="S174" s="1186" t="s">
        <v>133</v>
      </c>
      <c r="T174" s="1186" t="s">
        <v>31</v>
      </c>
      <c r="U174" s="1186" t="s">
        <v>673</v>
      </c>
      <c r="V174" s="1186">
        <v>11</v>
      </c>
      <c r="W174" s="1186">
        <v>6</v>
      </c>
      <c r="X174" s="1186">
        <v>2</v>
      </c>
      <c r="Y174" s="1186">
        <v>2</v>
      </c>
      <c r="Z174" s="1186"/>
      <c r="AA174" s="1186">
        <v>1</v>
      </c>
    </row>
    <row r="175" spans="1:27" x14ac:dyDescent="0.2">
      <c r="A175" s="1186" t="s">
        <v>133</v>
      </c>
      <c r="B175" s="1186" t="s">
        <v>674</v>
      </c>
      <c r="C175" s="1186" t="s">
        <v>32</v>
      </c>
      <c r="D175" s="1186">
        <v>75</v>
      </c>
      <c r="E175" s="1186">
        <v>39</v>
      </c>
      <c r="F175" s="1186">
        <v>4</v>
      </c>
      <c r="G175" s="1186">
        <v>8</v>
      </c>
      <c r="H175" s="1186">
        <v>23</v>
      </c>
      <c r="I175" s="1186">
        <v>1</v>
      </c>
      <c r="J175" s="1186"/>
      <c r="K175" s="1186"/>
      <c r="L175" s="1186"/>
      <c r="M175" s="1186"/>
      <c r="N175" s="1186"/>
      <c r="O175" s="1186"/>
      <c r="P175" s="1186"/>
      <c r="Q175" s="1186"/>
      <c r="R175" s="1186"/>
      <c r="S175" s="1186" t="s">
        <v>133</v>
      </c>
      <c r="T175" s="1186" t="s">
        <v>32</v>
      </c>
      <c r="U175" s="1186" t="s">
        <v>673</v>
      </c>
      <c r="V175" s="1186">
        <v>9</v>
      </c>
      <c r="W175" s="1186">
        <v>6</v>
      </c>
      <c r="X175" s="1186"/>
      <c r="Y175" s="1186">
        <v>1</v>
      </c>
      <c r="Z175" s="1186">
        <v>2</v>
      </c>
      <c r="AA175" s="1186"/>
    </row>
    <row r="176" spans="1:27" x14ac:dyDescent="0.2">
      <c r="A176" s="1186" t="s">
        <v>133</v>
      </c>
      <c r="B176" s="1186" t="s">
        <v>674</v>
      </c>
      <c r="C176" s="1186" t="s">
        <v>33</v>
      </c>
      <c r="D176" s="1186">
        <v>70</v>
      </c>
      <c r="E176" s="1186">
        <v>36</v>
      </c>
      <c r="F176" s="1186">
        <v>7</v>
      </c>
      <c r="G176" s="1186">
        <v>17</v>
      </c>
      <c r="H176" s="1186">
        <v>10</v>
      </c>
      <c r="I176" s="1186"/>
      <c r="J176" s="1186"/>
      <c r="K176" s="1186"/>
      <c r="L176" s="1186"/>
      <c r="M176" s="1186"/>
      <c r="N176" s="1186"/>
      <c r="O176" s="1186"/>
      <c r="P176" s="1186"/>
      <c r="Q176" s="1186"/>
      <c r="R176" s="1186"/>
      <c r="S176" s="1186" t="s">
        <v>133</v>
      </c>
      <c r="T176" s="1186" t="s">
        <v>33</v>
      </c>
      <c r="U176" s="1186" t="s">
        <v>673</v>
      </c>
      <c r="V176" s="1186">
        <v>7</v>
      </c>
      <c r="W176" s="1186">
        <v>4</v>
      </c>
      <c r="X176" s="1186"/>
      <c r="Y176" s="1186">
        <v>2</v>
      </c>
      <c r="Z176" s="1186">
        <v>1</v>
      </c>
      <c r="AA176" s="1186"/>
    </row>
    <row r="177" spans="1:27" x14ac:dyDescent="0.2">
      <c r="A177" s="1186" t="s">
        <v>133</v>
      </c>
      <c r="B177" s="1186" t="s">
        <v>674</v>
      </c>
      <c r="C177" s="1186" t="s">
        <v>34</v>
      </c>
      <c r="D177" s="1186">
        <v>123</v>
      </c>
      <c r="E177" s="1186">
        <v>41</v>
      </c>
      <c r="F177" s="1186">
        <v>11</v>
      </c>
      <c r="G177" s="1186">
        <v>22</v>
      </c>
      <c r="H177" s="1186">
        <v>45</v>
      </c>
      <c r="I177" s="1186">
        <v>4</v>
      </c>
      <c r="J177" s="1186"/>
      <c r="K177" s="1186"/>
      <c r="L177" s="1186"/>
      <c r="M177" s="1186"/>
      <c r="N177" s="1186"/>
      <c r="O177" s="1186"/>
      <c r="P177" s="1186"/>
      <c r="Q177" s="1186"/>
      <c r="R177" s="1186"/>
      <c r="S177" s="1186" t="s">
        <v>133</v>
      </c>
      <c r="T177" s="1186" t="s">
        <v>34</v>
      </c>
      <c r="U177" s="1186" t="s">
        <v>673</v>
      </c>
      <c r="V177" s="1186">
        <v>22</v>
      </c>
      <c r="W177" s="1186">
        <v>14</v>
      </c>
      <c r="X177" s="1186">
        <v>1</v>
      </c>
      <c r="Y177" s="1186">
        <v>1</v>
      </c>
      <c r="Z177" s="1186">
        <v>5</v>
      </c>
      <c r="AA177" s="1186">
        <v>1</v>
      </c>
    </row>
    <row r="178" spans="1:27" x14ac:dyDescent="0.2">
      <c r="A178" s="1186" t="s">
        <v>133</v>
      </c>
      <c r="B178" s="1186" t="s">
        <v>674</v>
      </c>
      <c r="C178" s="1186" t="s">
        <v>35</v>
      </c>
      <c r="D178" s="1186">
        <v>251</v>
      </c>
      <c r="E178" s="1186">
        <v>100</v>
      </c>
      <c r="F178" s="1186">
        <v>27</v>
      </c>
      <c r="G178" s="1186">
        <v>38</v>
      </c>
      <c r="H178" s="1186">
        <v>85</v>
      </c>
      <c r="I178" s="1186">
        <v>1</v>
      </c>
      <c r="J178" s="1186" t="s">
        <v>133</v>
      </c>
      <c r="K178" s="1186" t="s">
        <v>35</v>
      </c>
      <c r="L178" s="1186" t="s">
        <v>672</v>
      </c>
      <c r="M178" s="1186">
        <v>2</v>
      </c>
      <c r="N178" s="1186">
        <v>1</v>
      </c>
      <c r="O178" s="1186">
        <v>1</v>
      </c>
      <c r="P178" s="1186"/>
      <c r="Q178" s="1186"/>
      <c r="R178" s="1186"/>
      <c r="S178" s="1186" t="s">
        <v>133</v>
      </c>
      <c r="T178" s="1186" t="s">
        <v>35</v>
      </c>
      <c r="U178" s="1186" t="s">
        <v>673</v>
      </c>
      <c r="V178" s="1186">
        <v>46</v>
      </c>
      <c r="W178" s="1186">
        <v>23</v>
      </c>
      <c r="X178" s="1186">
        <v>5</v>
      </c>
      <c r="Y178" s="1186">
        <v>7</v>
      </c>
      <c r="Z178" s="1186">
        <v>11</v>
      </c>
      <c r="AA178" s="1186"/>
    </row>
    <row r="179" spans="1:27" x14ac:dyDescent="0.2">
      <c r="A179" s="1186" t="s">
        <v>133</v>
      </c>
      <c r="B179" s="1186" t="s">
        <v>674</v>
      </c>
      <c r="C179" s="1186" t="s">
        <v>36</v>
      </c>
      <c r="D179" s="1186">
        <v>943</v>
      </c>
      <c r="E179" s="1186">
        <v>514</v>
      </c>
      <c r="F179" s="1186">
        <v>49</v>
      </c>
      <c r="G179" s="1186">
        <v>142</v>
      </c>
      <c r="H179" s="1186">
        <v>225</v>
      </c>
      <c r="I179" s="1186">
        <v>13</v>
      </c>
      <c r="J179" s="1186" t="s">
        <v>133</v>
      </c>
      <c r="K179" s="1186" t="s">
        <v>36</v>
      </c>
      <c r="L179" s="1186" t="s">
        <v>672</v>
      </c>
      <c r="M179" s="1186">
        <v>1</v>
      </c>
      <c r="N179" s="1186">
        <v>1</v>
      </c>
      <c r="O179" s="1186"/>
      <c r="P179" s="1186"/>
      <c r="Q179" s="1186"/>
      <c r="R179" s="1186"/>
      <c r="S179" s="1186" t="s">
        <v>133</v>
      </c>
      <c r="T179" s="1186" t="s">
        <v>36</v>
      </c>
      <c r="U179" s="1186" t="s">
        <v>673</v>
      </c>
      <c r="V179" s="1186">
        <v>136</v>
      </c>
      <c r="W179" s="1186">
        <v>69</v>
      </c>
      <c r="X179" s="1186">
        <v>4</v>
      </c>
      <c r="Y179" s="1186">
        <v>22</v>
      </c>
      <c r="Z179" s="1186">
        <v>41</v>
      </c>
      <c r="AA179" s="1186"/>
    </row>
    <row r="180" spans="1:27" x14ac:dyDescent="0.2">
      <c r="A180" s="1186" t="s">
        <v>133</v>
      </c>
      <c r="B180" s="1186" t="s">
        <v>674</v>
      </c>
      <c r="C180" s="1186" t="s">
        <v>37</v>
      </c>
      <c r="D180" s="1186">
        <v>163</v>
      </c>
      <c r="E180" s="1186">
        <v>59</v>
      </c>
      <c r="F180" s="1186">
        <v>12</v>
      </c>
      <c r="G180" s="1186">
        <v>16</v>
      </c>
      <c r="H180" s="1186">
        <v>65</v>
      </c>
      <c r="I180" s="1186">
        <v>11</v>
      </c>
      <c r="J180" s="1186" t="s">
        <v>133</v>
      </c>
      <c r="K180" s="1186" t="s">
        <v>37</v>
      </c>
      <c r="L180" s="1186" t="s">
        <v>672</v>
      </c>
      <c r="M180" s="1186">
        <v>4</v>
      </c>
      <c r="N180" s="1186">
        <v>1</v>
      </c>
      <c r="O180" s="1186">
        <v>1</v>
      </c>
      <c r="P180" s="1186"/>
      <c r="Q180" s="1186">
        <v>1</v>
      </c>
      <c r="R180" s="1186">
        <v>1</v>
      </c>
      <c r="S180" s="1186" t="s">
        <v>133</v>
      </c>
      <c r="T180" s="1186" t="s">
        <v>37</v>
      </c>
      <c r="U180" s="1186" t="s">
        <v>673</v>
      </c>
      <c r="V180" s="1186">
        <v>54</v>
      </c>
      <c r="W180" s="1186">
        <v>21</v>
      </c>
      <c r="X180" s="1186">
        <v>6</v>
      </c>
      <c r="Y180" s="1186">
        <v>5</v>
      </c>
      <c r="Z180" s="1186">
        <v>19</v>
      </c>
      <c r="AA180" s="1186">
        <v>3</v>
      </c>
    </row>
    <row r="181" spans="1:27" x14ac:dyDescent="0.2">
      <c r="A181" s="1186" t="s">
        <v>133</v>
      </c>
      <c r="B181" s="1186" t="s">
        <v>674</v>
      </c>
      <c r="C181" s="1186" t="s">
        <v>38</v>
      </c>
      <c r="D181" s="1186">
        <v>113</v>
      </c>
      <c r="E181" s="1186">
        <v>60</v>
      </c>
      <c r="F181" s="1186">
        <v>14</v>
      </c>
      <c r="G181" s="1186">
        <v>14</v>
      </c>
      <c r="H181" s="1186">
        <v>23</v>
      </c>
      <c r="I181" s="1186">
        <v>2</v>
      </c>
      <c r="J181" s="1186"/>
      <c r="K181" s="1186"/>
      <c r="L181" s="1186"/>
      <c r="M181" s="1186"/>
      <c r="N181" s="1186"/>
      <c r="O181" s="1186"/>
      <c r="P181" s="1186"/>
      <c r="Q181" s="1186"/>
      <c r="R181" s="1186"/>
      <c r="S181" s="1186" t="s">
        <v>133</v>
      </c>
      <c r="T181" s="1186" t="s">
        <v>38</v>
      </c>
      <c r="U181" s="1186" t="s">
        <v>673</v>
      </c>
      <c r="V181" s="1186">
        <v>24</v>
      </c>
      <c r="W181" s="1186">
        <v>16</v>
      </c>
      <c r="X181" s="1186">
        <v>5</v>
      </c>
      <c r="Y181" s="1186">
        <v>1</v>
      </c>
      <c r="Z181" s="1186">
        <v>2</v>
      </c>
      <c r="AA181" s="1186"/>
    </row>
    <row r="182" spans="1:27" x14ac:dyDescent="0.2">
      <c r="A182" s="1186" t="s">
        <v>133</v>
      </c>
      <c r="B182" s="1186" t="s">
        <v>674</v>
      </c>
      <c r="C182" s="1186" t="s">
        <v>39</v>
      </c>
      <c r="D182" s="1186">
        <v>71</v>
      </c>
      <c r="E182" s="1186">
        <v>30</v>
      </c>
      <c r="F182" s="1186">
        <v>9</v>
      </c>
      <c r="G182" s="1186">
        <v>10</v>
      </c>
      <c r="H182" s="1186">
        <v>20</v>
      </c>
      <c r="I182" s="1186">
        <v>2</v>
      </c>
      <c r="J182" s="1186" t="s">
        <v>133</v>
      </c>
      <c r="K182" s="1186" t="s">
        <v>39</v>
      </c>
      <c r="L182" s="1186" t="s">
        <v>672</v>
      </c>
      <c r="M182" s="1186">
        <v>1</v>
      </c>
      <c r="N182" s="1186"/>
      <c r="O182" s="1186"/>
      <c r="P182" s="1186"/>
      <c r="Q182" s="1186"/>
      <c r="R182" s="1186">
        <v>1</v>
      </c>
      <c r="S182" s="1186" t="s">
        <v>133</v>
      </c>
      <c r="T182" s="1186" t="s">
        <v>39</v>
      </c>
      <c r="U182" s="1186" t="s">
        <v>673</v>
      </c>
      <c r="V182" s="1186">
        <v>15</v>
      </c>
      <c r="W182" s="1186">
        <v>10</v>
      </c>
      <c r="X182" s="1186">
        <v>1</v>
      </c>
      <c r="Y182" s="1186">
        <v>1</v>
      </c>
      <c r="Z182" s="1186">
        <v>3</v>
      </c>
      <c r="AA182" s="1186"/>
    </row>
    <row r="183" spans="1:27" x14ac:dyDescent="0.2">
      <c r="A183" s="1186" t="s">
        <v>133</v>
      </c>
      <c r="B183" s="1186" t="s">
        <v>674</v>
      </c>
      <c r="C183" s="1186" t="s">
        <v>40</v>
      </c>
      <c r="D183" s="1186">
        <v>59</v>
      </c>
      <c r="E183" s="1186">
        <v>26</v>
      </c>
      <c r="F183" s="1186">
        <v>8</v>
      </c>
      <c r="G183" s="1186">
        <v>3</v>
      </c>
      <c r="H183" s="1186">
        <v>21</v>
      </c>
      <c r="I183" s="1186">
        <v>1</v>
      </c>
      <c r="J183" s="1186" t="s">
        <v>133</v>
      </c>
      <c r="K183" s="1186" t="s">
        <v>40</v>
      </c>
      <c r="L183" s="1186" t="s">
        <v>672</v>
      </c>
      <c r="M183" s="1186">
        <v>1</v>
      </c>
      <c r="N183" s="1186"/>
      <c r="O183" s="1186">
        <v>1</v>
      </c>
      <c r="P183" s="1186"/>
      <c r="Q183" s="1186"/>
      <c r="R183" s="1186"/>
      <c r="S183" s="1186" t="s">
        <v>133</v>
      </c>
      <c r="T183" s="1186" t="s">
        <v>40</v>
      </c>
      <c r="U183" s="1186" t="s">
        <v>673</v>
      </c>
      <c r="V183" s="1186">
        <v>9</v>
      </c>
      <c r="W183" s="1186">
        <v>3</v>
      </c>
      <c r="X183" s="1186">
        <v>2</v>
      </c>
      <c r="Y183" s="1186"/>
      <c r="Z183" s="1186">
        <v>4</v>
      </c>
      <c r="AA183" s="1186"/>
    </row>
    <row r="184" spans="1:27" x14ac:dyDescent="0.2">
      <c r="A184" s="1186" t="s">
        <v>133</v>
      </c>
      <c r="B184" s="1186" t="s">
        <v>674</v>
      </c>
      <c r="C184" s="1186" t="s">
        <v>295</v>
      </c>
      <c r="D184" s="1186">
        <v>22</v>
      </c>
      <c r="E184" s="1186">
        <v>4</v>
      </c>
      <c r="F184" s="1186">
        <v>4</v>
      </c>
      <c r="G184" s="1186">
        <v>2</v>
      </c>
      <c r="H184" s="1186">
        <v>8</v>
      </c>
      <c r="I184" s="1186">
        <v>4</v>
      </c>
      <c r="J184" s="1186"/>
      <c r="K184" s="1186"/>
      <c r="L184" s="1186"/>
      <c r="M184" s="1186"/>
      <c r="N184" s="1186"/>
      <c r="O184" s="1186"/>
      <c r="P184" s="1186"/>
      <c r="Q184" s="1186"/>
      <c r="R184" s="1186"/>
      <c r="S184" s="1186" t="s">
        <v>133</v>
      </c>
      <c r="T184" s="1186" t="s">
        <v>295</v>
      </c>
      <c r="U184" s="1186" t="s">
        <v>673</v>
      </c>
      <c r="V184" s="1186">
        <v>6</v>
      </c>
      <c r="W184" s="1186">
        <v>2</v>
      </c>
      <c r="X184" s="1186">
        <v>3</v>
      </c>
      <c r="Y184" s="1186">
        <v>1</v>
      </c>
      <c r="Z184" s="1186"/>
      <c r="AA184" s="1186"/>
    </row>
    <row r="185" spans="1:27" x14ac:dyDescent="0.2">
      <c r="A185" s="1186" t="s">
        <v>133</v>
      </c>
      <c r="B185" s="1186" t="s">
        <v>674</v>
      </c>
      <c r="C185" s="1186" t="s">
        <v>41</v>
      </c>
      <c r="D185" s="1186">
        <v>168</v>
      </c>
      <c r="E185" s="1186">
        <v>105</v>
      </c>
      <c r="F185" s="1186">
        <v>16</v>
      </c>
      <c r="G185" s="1186">
        <v>21</v>
      </c>
      <c r="H185" s="1186">
        <v>24</v>
      </c>
      <c r="I185" s="1186">
        <v>2</v>
      </c>
      <c r="J185" s="1186"/>
      <c r="K185" s="1186"/>
      <c r="L185" s="1186"/>
      <c r="M185" s="1186"/>
      <c r="N185" s="1186"/>
      <c r="O185" s="1186"/>
      <c r="P185" s="1186"/>
      <c r="Q185" s="1186"/>
      <c r="R185" s="1186"/>
      <c r="S185" s="1186" t="s">
        <v>133</v>
      </c>
      <c r="T185" s="1186" t="s">
        <v>41</v>
      </c>
      <c r="U185" s="1186" t="s">
        <v>673</v>
      </c>
      <c r="V185" s="1186">
        <v>40</v>
      </c>
      <c r="W185" s="1186">
        <v>20</v>
      </c>
      <c r="X185" s="1186">
        <v>5</v>
      </c>
      <c r="Y185" s="1186">
        <v>8</v>
      </c>
      <c r="Z185" s="1186">
        <v>5</v>
      </c>
      <c r="AA185" s="1186">
        <v>2</v>
      </c>
    </row>
    <row r="186" spans="1:27" x14ac:dyDescent="0.2">
      <c r="A186" s="1186" t="s">
        <v>133</v>
      </c>
      <c r="B186" s="1186" t="s">
        <v>674</v>
      </c>
      <c r="C186" s="1186" t="s">
        <v>42</v>
      </c>
      <c r="D186" s="1186">
        <v>345</v>
      </c>
      <c r="E186" s="1186">
        <v>180</v>
      </c>
      <c r="F186" s="1186">
        <v>34</v>
      </c>
      <c r="G186" s="1186">
        <v>54</v>
      </c>
      <c r="H186" s="1186">
        <v>77</v>
      </c>
      <c r="I186" s="1186"/>
      <c r="J186" s="1186" t="s">
        <v>133</v>
      </c>
      <c r="K186" s="1186" t="s">
        <v>42</v>
      </c>
      <c r="L186" s="1186" t="s">
        <v>672</v>
      </c>
      <c r="M186" s="1186">
        <v>3</v>
      </c>
      <c r="N186" s="1186">
        <v>2</v>
      </c>
      <c r="O186" s="1186">
        <v>1</v>
      </c>
      <c r="P186" s="1186"/>
      <c r="Q186" s="1186"/>
      <c r="R186" s="1186"/>
      <c r="S186" s="1186" t="s">
        <v>133</v>
      </c>
      <c r="T186" s="1186" t="s">
        <v>42</v>
      </c>
      <c r="U186" s="1186" t="s">
        <v>673</v>
      </c>
      <c r="V186" s="1186">
        <v>71</v>
      </c>
      <c r="W186" s="1186">
        <v>34</v>
      </c>
      <c r="X186" s="1186">
        <v>11</v>
      </c>
      <c r="Y186" s="1186">
        <v>7</v>
      </c>
      <c r="Z186" s="1186">
        <v>19</v>
      </c>
      <c r="AA186" s="1186"/>
    </row>
    <row r="187" spans="1:27" x14ac:dyDescent="0.2">
      <c r="A187" s="1186" t="s">
        <v>133</v>
      </c>
      <c r="B187" s="1186" t="s">
        <v>674</v>
      </c>
      <c r="C187" s="1186" t="s">
        <v>43</v>
      </c>
      <c r="D187" s="1186">
        <v>15</v>
      </c>
      <c r="E187" s="1186">
        <v>2</v>
      </c>
      <c r="F187" s="1186">
        <v>1</v>
      </c>
      <c r="G187" s="1186">
        <v>3</v>
      </c>
      <c r="H187" s="1186">
        <v>6</v>
      </c>
      <c r="I187" s="1186">
        <v>3</v>
      </c>
      <c r="J187" s="1186"/>
      <c r="K187" s="1186"/>
      <c r="L187" s="1186"/>
      <c r="M187" s="1186"/>
      <c r="N187" s="1186"/>
      <c r="O187" s="1186"/>
      <c r="P187" s="1186"/>
      <c r="Q187" s="1186"/>
      <c r="R187" s="1186"/>
      <c r="S187" s="1186" t="s">
        <v>133</v>
      </c>
      <c r="T187" s="1186" t="s">
        <v>43</v>
      </c>
      <c r="U187" s="1186" t="s">
        <v>673</v>
      </c>
      <c r="V187" s="1186">
        <v>2</v>
      </c>
      <c r="W187" s="1186"/>
      <c r="X187" s="1186"/>
      <c r="Y187" s="1186"/>
      <c r="Z187" s="1186"/>
      <c r="AA187" s="1186">
        <v>2</v>
      </c>
    </row>
    <row r="188" spans="1:27" x14ac:dyDescent="0.2">
      <c r="A188" s="1186" t="s">
        <v>133</v>
      </c>
      <c r="B188" s="1186" t="s">
        <v>674</v>
      </c>
      <c r="C188" s="1186" t="s">
        <v>44</v>
      </c>
      <c r="D188" s="1186">
        <v>131</v>
      </c>
      <c r="E188" s="1186">
        <v>68</v>
      </c>
      <c r="F188" s="1186">
        <v>11</v>
      </c>
      <c r="G188" s="1186">
        <v>10</v>
      </c>
      <c r="H188" s="1186">
        <v>42</v>
      </c>
      <c r="I188" s="1186"/>
      <c r="J188" s="1186"/>
      <c r="K188" s="1186"/>
      <c r="L188" s="1186"/>
      <c r="M188" s="1186"/>
      <c r="N188" s="1186"/>
      <c r="O188" s="1186"/>
      <c r="P188" s="1186"/>
      <c r="Q188" s="1186"/>
      <c r="R188" s="1186"/>
      <c r="S188" s="1186" t="s">
        <v>133</v>
      </c>
      <c r="T188" s="1186" t="s">
        <v>44</v>
      </c>
      <c r="U188" s="1186" t="s">
        <v>673</v>
      </c>
      <c r="V188" s="1186">
        <v>23</v>
      </c>
      <c r="W188" s="1186">
        <v>12</v>
      </c>
      <c r="X188" s="1186">
        <v>6</v>
      </c>
      <c r="Y188" s="1186"/>
      <c r="Z188" s="1186">
        <v>5</v>
      </c>
      <c r="AA188" s="1186"/>
    </row>
    <row r="189" spans="1:27" x14ac:dyDescent="0.2">
      <c r="A189" s="1186" t="s">
        <v>133</v>
      </c>
      <c r="B189" s="1186" t="s">
        <v>674</v>
      </c>
      <c r="C189" s="1186" t="s">
        <v>45</v>
      </c>
      <c r="D189" s="1186">
        <v>247</v>
      </c>
      <c r="E189" s="1186">
        <v>137</v>
      </c>
      <c r="F189" s="1186">
        <v>22</v>
      </c>
      <c r="G189" s="1186">
        <v>41</v>
      </c>
      <c r="H189" s="1186">
        <v>44</v>
      </c>
      <c r="I189" s="1186">
        <v>3</v>
      </c>
      <c r="J189" s="1186" t="s">
        <v>133</v>
      </c>
      <c r="K189" s="1186" t="s">
        <v>45</v>
      </c>
      <c r="L189" s="1186" t="s">
        <v>672</v>
      </c>
      <c r="M189" s="1186">
        <v>2</v>
      </c>
      <c r="N189" s="1186">
        <v>1</v>
      </c>
      <c r="O189" s="1186"/>
      <c r="P189" s="1186"/>
      <c r="Q189" s="1186">
        <v>1</v>
      </c>
      <c r="R189" s="1186"/>
      <c r="S189" s="1186" t="s">
        <v>133</v>
      </c>
      <c r="T189" s="1186" t="s">
        <v>45</v>
      </c>
      <c r="U189" s="1186" t="s">
        <v>673</v>
      </c>
      <c r="V189" s="1186">
        <v>28</v>
      </c>
      <c r="W189" s="1186">
        <v>15</v>
      </c>
      <c r="X189" s="1186">
        <v>3</v>
      </c>
      <c r="Y189" s="1186">
        <v>5</v>
      </c>
      <c r="Z189" s="1186">
        <v>4</v>
      </c>
      <c r="AA189" s="1186">
        <v>1</v>
      </c>
    </row>
    <row r="190" spans="1:27" x14ac:dyDescent="0.2">
      <c r="A190" s="1186" t="s">
        <v>133</v>
      </c>
      <c r="B190" s="1186" t="s">
        <v>674</v>
      </c>
      <c r="C190" s="1186" t="s">
        <v>46</v>
      </c>
      <c r="D190" s="1186">
        <v>83</v>
      </c>
      <c r="E190" s="1186">
        <v>44</v>
      </c>
      <c r="F190" s="1186">
        <v>8</v>
      </c>
      <c r="G190" s="1186">
        <v>12</v>
      </c>
      <c r="H190" s="1186">
        <v>18</v>
      </c>
      <c r="I190" s="1186">
        <v>1</v>
      </c>
      <c r="J190" s="1186"/>
      <c r="K190" s="1186"/>
      <c r="L190" s="1186"/>
      <c r="M190" s="1186"/>
      <c r="N190" s="1186"/>
      <c r="O190" s="1186"/>
      <c r="P190" s="1186"/>
      <c r="Q190" s="1186"/>
      <c r="R190" s="1186"/>
      <c r="S190" s="1186" t="s">
        <v>133</v>
      </c>
      <c r="T190" s="1186" t="s">
        <v>46</v>
      </c>
      <c r="U190" s="1186" t="s">
        <v>673</v>
      </c>
      <c r="V190" s="1186">
        <v>13</v>
      </c>
      <c r="W190" s="1186">
        <v>8</v>
      </c>
      <c r="X190" s="1186">
        <v>2</v>
      </c>
      <c r="Y190" s="1186">
        <v>1</v>
      </c>
      <c r="Z190" s="1186">
        <v>2</v>
      </c>
      <c r="AA190" s="1186"/>
    </row>
    <row r="191" spans="1:27" x14ac:dyDescent="0.2">
      <c r="A191" s="1186" t="s">
        <v>133</v>
      </c>
      <c r="B191" s="1186" t="s">
        <v>674</v>
      </c>
      <c r="C191" s="1186" t="s">
        <v>47</v>
      </c>
      <c r="D191" s="1186">
        <v>11</v>
      </c>
      <c r="E191" s="1186">
        <v>2</v>
      </c>
      <c r="F191" s="1186">
        <v>3</v>
      </c>
      <c r="G191" s="1186">
        <v>2</v>
      </c>
      <c r="H191" s="1186">
        <v>3</v>
      </c>
      <c r="I191" s="1186">
        <v>1</v>
      </c>
      <c r="J191" s="1186"/>
      <c r="K191" s="1186"/>
      <c r="L191" s="1186"/>
      <c r="M191" s="1186"/>
      <c r="N191" s="1186"/>
      <c r="O191" s="1186"/>
      <c r="P191" s="1186"/>
      <c r="Q191" s="1186"/>
      <c r="R191" s="1186"/>
      <c r="S191" s="1186" t="s">
        <v>133</v>
      </c>
      <c r="T191" s="1186" t="s">
        <v>47</v>
      </c>
      <c r="U191" s="1186" t="s">
        <v>673</v>
      </c>
      <c r="V191" s="1186">
        <v>1</v>
      </c>
      <c r="W191" s="1186"/>
      <c r="X191" s="1186"/>
      <c r="Y191" s="1186"/>
      <c r="Z191" s="1186">
        <v>1</v>
      </c>
      <c r="AA191" s="1186"/>
    </row>
    <row r="192" spans="1:27" x14ac:dyDescent="0.2">
      <c r="A192" s="1186" t="s">
        <v>133</v>
      </c>
      <c r="B192" s="1186" t="s">
        <v>674</v>
      </c>
      <c r="C192" s="1186" t="s">
        <v>48</v>
      </c>
      <c r="D192" s="1186">
        <v>91</v>
      </c>
      <c r="E192" s="1186">
        <v>49</v>
      </c>
      <c r="F192" s="1186">
        <v>7</v>
      </c>
      <c r="G192" s="1186">
        <v>14</v>
      </c>
      <c r="H192" s="1186">
        <v>18</v>
      </c>
      <c r="I192" s="1186">
        <v>3</v>
      </c>
      <c r="J192" s="1186" t="s">
        <v>133</v>
      </c>
      <c r="K192" s="1186" t="s">
        <v>48</v>
      </c>
      <c r="L192" s="1186" t="s">
        <v>672</v>
      </c>
      <c r="M192" s="1186">
        <v>3</v>
      </c>
      <c r="N192" s="1186">
        <v>1</v>
      </c>
      <c r="O192" s="1186"/>
      <c r="P192" s="1186">
        <v>2</v>
      </c>
      <c r="Q192" s="1186"/>
      <c r="R192" s="1186"/>
      <c r="S192" s="1186" t="s">
        <v>133</v>
      </c>
      <c r="T192" s="1186" t="s">
        <v>48</v>
      </c>
      <c r="U192" s="1186" t="s">
        <v>673</v>
      </c>
      <c r="V192" s="1186">
        <v>18</v>
      </c>
      <c r="W192" s="1186">
        <v>10</v>
      </c>
      <c r="X192" s="1186">
        <v>1</v>
      </c>
      <c r="Y192" s="1186">
        <v>4</v>
      </c>
      <c r="Z192" s="1186">
        <v>2</v>
      </c>
      <c r="AA192" s="1186">
        <v>1</v>
      </c>
    </row>
    <row r="193" spans="1:27" x14ac:dyDescent="0.2">
      <c r="A193" s="1186" t="s">
        <v>133</v>
      </c>
      <c r="B193" s="1186" t="s">
        <v>674</v>
      </c>
      <c r="C193" s="1186" t="s">
        <v>49</v>
      </c>
      <c r="D193" s="1186">
        <v>304</v>
      </c>
      <c r="E193" s="1186">
        <v>149</v>
      </c>
      <c r="F193" s="1186">
        <v>41</v>
      </c>
      <c r="G193" s="1186">
        <v>58</v>
      </c>
      <c r="H193" s="1186">
        <v>53</v>
      </c>
      <c r="I193" s="1186">
        <v>3</v>
      </c>
      <c r="J193" s="1186" t="s">
        <v>133</v>
      </c>
      <c r="K193" s="1186" t="s">
        <v>49</v>
      </c>
      <c r="L193" s="1186" t="s">
        <v>672</v>
      </c>
      <c r="M193" s="1186">
        <v>1</v>
      </c>
      <c r="N193" s="1186">
        <v>1</v>
      </c>
      <c r="O193" s="1186"/>
      <c r="P193" s="1186"/>
      <c r="Q193" s="1186"/>
      <c r="R193" s="1186"/>
      <c r="S193" s="1186" t="s">
        <v>133</v>
      </c>
      <c r="T193" s="1186" t="s">
        <v>49</v>
      </c>
      <c r="U193" s="1186" t="s">
        <v>673</v>
      </c>
      <c r="V193" s="1186">
        <v>53</v>
      </c>
      <c r="W193" s="1186">
        <v>30</v>
      </c>
      <c r="X193" s="1186">
        <v>10</v>
      </c>
      <c r="Y193" s="1186">
        <v>7</v>
      </c>
      <c r="Z193" s="1186">
        <v>6</v>
      </c>
      <c r="AA193" s="1186"/>
    </row>
    <row r="194" spans="1:27" x14ac:dyDescent="0.2">
      <c r="A194" s="1186" t="s">
        <v>133</v>
      </c>
      <c r="B194" s="1186" t="s">
        <v>674</v>
      </c>
      <c r="C194" s="1186" t="s">
        <v>50</v>
      </c>
      <c r="D194" s="1186">
        <v>87</v>
      </c>
      <c r="E194" s="1186">
        <v>49</v>
      </c>
      <c r="F194" s="1186">
        <v>10</v>
      </c>
      <c r="G194" s="1186">
        <v>6</v>
      </c>
      <c r="H194" s="1186">
        <v>20</v>
      </c>
      <c r="I194" s="1186">
        <v>2</v>
      </c>
      <c r="J194" s="1186" t="s">
        <v>133</v>
      </c>
      <c r="K194" s="1186" t="s">
        <v>50</v>
      </c>
      <c r="L194" s="1186" t="s">
        <v>672</v>
      </c>
      <c r="M194" s="1186">
        <v>1</v>
      </c>
      <c r="N194" s="1186">
        <v>1</v>
      </c>
      <c r="O194" s="1186"/>
      <c r="P194" s="1186"/>
      <c r="Q194" s="1186"/>
      <c r="R194" s="1186"/>
      <c r="S194" s="1186" t="s">
        <v>133</v>
      </c>
      <c r="T194" s="1186" t="s">
        <v>50</v>
      </c>
      <c r="U194" s="1186" t="s">
        <v>673</v>
      </c>
      <c r="V194" s="1186">
        <v>10</v>
      </c>
      <c r="W194" s="1186">
        <v>5</v>
      </c>
      <c r="X194" s="1186">
        <v>1</v>
      </c>
      <c r="Y194" s="1186">
        <v>1</v>
      </c>
      <c r="Z194" s="1186">
        <v>3</v>
      </c>
      <c r="AA194" s="1186"/>
    </row>
    <row r="195" spans="1:27" x14ac:dyDescent="0.2">
      <c r="A195" s="1186" t="s">
        <v>133</v>
      </c>
      <c r="B195" s="1186" t="s">
        <v>674</v>
      </c>
      <c r="C195" s="1186" t="s">
        <v>51</v>
      </c>
      <c r="D195" s="1186">
        <v>98</v>
      </c>
      <c r="E195" s="1186">
        <v>57</v>
      </c>
      <c r="F195" s="1186">
        <v>6</v>
      </c>
      <c r="G195" s="1186">
        <v>19</v>
      </c>
      <c r="H195" s="1186">
        <v>16</v>
      </c>
      <c r="I195" s="1186"/>
      <c r="J195" s="1186"/>
      <c r="K195" s="1186"/>
      <c r="L195" s="1186"/>
      <c r="M195" s="1186"/>
      <c r="N195" s="1186"/>
      <c r="O195" s="1186"/>
      <c r="P195" s="1186"/>
      <c r="Q195" s="1186"/>
      <c r="R195" s="1186"/>
      <c r="S195" s="1186" t="s">
        <v>133</v>
      </c>
      <c r="T195" s="1186" t="s">
        <v>51</v>
      </c>
      <c r="U195" s="1186" t="s">
        <v>673</v>
      </c>
      <c r="V195" s="1186">
        <v>7</v>
      </c>
      <c r="W195" s="1186">
        <v>6</v>
      </c>
      <c r="X195" s="1186">
        <v>1</v>
      </c>
      <c r="Y195" s="1186"/>
      <c r="Z195" s="1186"/>
      <c r="AA195" s="1186"/>
    </row>
    <row r="196" spans="1:27" x14ac:dyDescent="0.2">
      <c r="A196" s="1186" t="s">
        <v>133</v>
      </c>
      <c r="B196" s="1186" t="s">
        <v>674</v>
      </c>
      <c r="C196" s="1186" t="s">
        <v>52</v>
      </c>
      <c r="D196" s="1186">
        <v>173</v>
      </c>
      <c r="E196" s="1186">
        <v>97</v>
      </c>
      <c r="F196" s="1186">
        <v>14</v>
      </c>
      <c r="G196" s="1186">
        <v>30</v>
      </c>
      <c r="H196" s="1186">
        <v>30</v>
      </c>
      <c r="I196" s="1186">
        <v>2</v>
      </c>
      <c r="J196" s="1186"/>
      <c r="K196" s="1186"/>
      <c r="L196" s="1186"/>
      <c r="M196" s="1186"/>
      <c r="N196" s="1186"/>
      <c r="O196" s="1186"/>
      <c r="P196" s="1186"/>
      <c r="Q196" s="1186"/>
      <c r="R196" s="1186"/>
      <c r="S196" s="1186" t="s">
        <v>133</v>
      </c>
      <c r="T196" s="1186" t="s">
        <v>52</v>
      </c>
      <c r="U196" s="1186" t="s">
        <v>673</v>
      </c>
      <c r="V196" s="1186">
        <v>25</v>
      </c>
      <c r="W196" s="1186">
        <v>6</v>
      </c>
      <c r="X196" s="1186">
        <v>4</v>
      </c>
      <c r="Y196" s="1186">
        <v>8</v>
      </c>
      <c r="Z196" s="1186">
        <v>6</v>
      </c>
      <c r="AA196" s="1186">
        <v>1</v>
      </c>
    </row>
    <row r="197" spans="1:27" x14ac:dyDescent="0.2">
      <c r="A197" s="1186" t="s">
        <v>144</v>
      </c>
      <c r="B197" s="1186" t="s">
        <v>674</v>
      </c>
      <c r="C197" s="1186" t="s">
        <v>23</v>
      </c>
      <c r="D197" s="1186">
        <v>334</v>
      </c>
      <c r="E197" s="1186">
        <v>199</v>
      </c>
      <c r="F197" s="1186">
        <v>26</v>
      </c>
      <c r="G197" s="1186">
        <v>38</v>
      </c>
      <c r="H197" s="1186">
        <v>68</v>
      </c>
      <c r="I197" s="1186">
        <v>3</v>
      </c>
      <c r="J197" s="1186" t="s">
        <v>144</v>
      </c>
      <c r="K197" s="1186" t="s">
        <v>23</v>
      </c>
      <c r="L197" s="1186" t="s">
        <v>672</v>
      </c>
      <c r="M197" s="1186">
        <v>1</v>
      </c>
      <c r="N197" s="1186"/>
      <c r="O197" s="1186">
        <v>1</v>
      </c>
      <c r="P197" s="1186"/>
      <c r="Q197" s="1186"/>
      <c r="R197" s="1186"/>
      <c r="S197" s="1186" t="s">
        <v>144</v>
      </c>
      <c r="T197" s="1186" t="s">
        <v>23</v>
      </c>
      <c r="U197" s="1186" t="s">
        <v>673</v>
      </c>
      <c r="V197" s="1186">
        <v>60</v>
      </c>
      <c r="W197" s="1186">
        <v>30</v>
      </c>
      <c r="X197" s="1186">
        <v>5</v>
      </c>
      <c r="Y197" s="1186">
        <v>15</v>
      </c>
      <c r="Z197" s="1186">
        <v>9</v>
      </c>
      <c r="AA197" s="1186">
        <v>1</v>
      </c>
    </row>
    <row r="198" spans="1:27" x14ac:dyDescent="0.2">
      <c r="A198" s="1186" t="s">
        <v>144</v>
      </c>
      <c r="B198" s="1186" t="s">
        <v>674</v>
      </c>
      <c r="C198" s="1186" t="s">
        <v>24</v>
      </c>
      <c r="D198" s="1186">
        <v>192</v>
      </c>
      <c r="E198" s="1186">
        <v>109</v>
      </c>
      <c r="F198" s="1186">
        <v>14</v>
      </c>
      <c r="G198" s="1186">
        <v>10</v>
      </c>
      <c r="H198" s="1186">
        <v>58</v>
      </c>
      <c r="I198" s="1186">
        <v>1</v>
      </c>
      <c r="J198" s="1186" t="s">
        <v>144</v>
      </c>
      <c r="K198" s="1186" t="s">
        <v>24</v>
      </c>
      <c r="L198" s="1186" t="s">
        <v>672</v>
      </c>
      <c r="M198" s="1186">
        <v>2</v>
      </c>
      <c r="N198" s="1186"/>
      <c r="O198" s="1186">
        <v>1</v>
      </c>
      <c r="P198" s="1186"/>
      <c r="Q198" s="1186"/>
      <c r="R198" s="1186">
        <v>1</v>
      </c>
      <c r="S198" s="1186" t="s">
        <v>144</v>
      </c>
      <c r="T198" s="1186" t="s">
        <v>24</v>
      </c>
      <c r="U198" s="1186" t="s">
        <v>673</v>
      </c>
      <c r="V198" s="1186">
        <v>20</v>
      </c>
      <c r="W198" s="1186">
        <v>9</v>
      </c>
      <c r="X198" s="1186">
        <v>4</v>
      </c>
      <c r="Y198" s="1186"/>
      <c r="Z198" s="1186">
        <v>7</v>
      </c>
      <c r="AA198" s="1186"/>
    </row>
    <row r="199" spans="1:27" x14ac:dyDescent="0.2">
      <c r="A199" s="1186" t="s">
        <v>144</v>
      </c>
      <c r="B199" s="1186" t="s">
        <v>674</v>
      </c>
      <c r="C199" s="1186" t="s">
        <v>25</v>
      </c>
      <c r="D199" s="1186">
        <v>95</v>
      </c>
      <c r="E199" s="1186">
        <v>48</v>
      </c>
      <c r="F199" s="1186">
        <v>9</v>
      </c>
      <c r="G199" s="1186">
        <v>11</v>
      </c>
      <c r="H199" s="1186">
        <v>25</v>
      </c>
      <c r="I199" s="1186">
        <v>2</v>
      </c>
      <c r="J199" s="1186"/>
      <c r="K199" s="1186"/>
      <c r="L199" s="1186"/>
      <c r="M199" s="1186"/>
      <c r="N199" s="1186"/>
      <c r="O199" s="1186"/>
      <c r="P199" s="1186"/>
      <c r="Q199" s="1186"/>
      <c r="R199" s="1186"/>
      <c r="S199" s="1186" t="s">
        <v>144</v>
      </c>
      <c r="T199" s="1186" t="s">
        <v>25</v>
      </c>
      <c r="U199" s="1186" t="s">
        <v>673</v>
      </c>
      <c r="V199" s="1186">
        <v>35</v>
      </c>
      <c r="W199" s="1186">
        <v>15</v>
      </c>
      <c r="X199" s="1186">
        <v>12</v>
      </c>
      <c r="Y199" s="1186"/>
      <c r="Z199" s="1186">
        <v>6</v>
      </c>
      <c r="AA199" s="1186">
        <v>2</v>
      </c>
    </row>
    <row r="200" spans="1:27" x14ac:dyDescent="0.2">
      <c r="A200" s="1186" t="s">
        <v>144</v>
      </c>
      <c r="B200" s="1186" t="s">
        <v>674</v>
      </c>
      <c r="C200" s="1186" t="s">
        <v>26</v>
      </c>
      <c r="D200" s="1186">
        <v>64</v>
      </c>
      <c r="E200" s="1186">
        <v>24</v>
      </c>
      <c r="F200" s="1186">
        <v>8</v>
      </c>
      <c r="G200" s="1186">
        <v>7</v>
      </c>
      <c r="H200" s="1186">
        <v>19</v>
      </c>
      <c r="I200" s="1186">
        <v>6</v>
      </c>
      <c r="J200" s="1186"/>
      <c r="K200" s="1186"/>
      <c r="L200" s="1186"/>
      <c r="M200" s="1186"/>
      <c r="N200" s="1186"/>
      <c r="O200" s="1186"/>
      <c r="P200" s="1186"/>
      <c r="Q200" s="1186"/>
      <c r="R200" s="1186"/>
      <c r="S200" s="1186" t="s">
        <v>144</v>
      </c>
      <c r="T200" s="1186" t="s">
        <v>26</v>
      </c>
      <c r="U200" s="1186" t="s">
        <v>673</v>
      </c>
      <c r="V200" s="1186">
        <v>7</v>
      </c>
      <c r="W200" s="1186">
        <v>2</v>
      </c>
      <c r="X200" s="1186">
        <v>1</v>
      </c>
      <c r="Y200" s="1186"/>
      <c r="Z200" s="1186">
        <v>4</v>
      </c>
      <c r="AA200" s="1186"/>
    </row>
    <row r="201" spans="1:27" x14ac:dyDescent="0.2">
      <c r="A201" s="1186" t="s">
        <v>144</v>
      </c>
      <c r="B201" s="1186" t="s">
        <v>674</v>
      </c>
      <c r="C201" s="1186" t="s">
        <v>619</v>
      </c>
      <c r="D201" s="1186">
        <v>633</v>
      </c>
      <c r="E201" s="1186">
        <v>261</v>
      </c>
      <c r="F201" s="1186">
        <v>53</v>
      </c>
      <c r="G201" s="1186">
        <v>88</v>
      </c>
      <c r="H201" s="1186">
        <v>226</v>
      </c>
      <c r="I201" s="1186">
        <v>5</v>
      </c>
      <c r="J201" s="1186" t="s">
        <v>144</v>
      </c>
      <c r="K201" s="1186" t="s">
        <v>619</v>
      </c>
      <c r="L201" s="1186" t="s">
        <v>672</v>
      </c>
      <c r="M201" s="1186">
        <v>4</v>
      </c>
      <c r="N201" s="1186">
        <v>1</v>
      </c>
      <c r="O201" s="1186">
        <v>1</v>
      </c>
      <c r="P201" s="1186"/>
      <c r="Q201" s="1186">
        <v>2</v>
      </c>
      <c r="R201" s="1186"/>
      <c r="S201" s="1186" t="s">
        <v>144</v>
      </c>
      <c r="T201" s="1186" t="s">
        <v>619</v>
      </c>
      <c r="U201" s="1186" t="s">
        <v>673</v>
      </c>
      <c r="V201" s="1186">
        <v>106</v>
      </c>
      <c r="W201" s="1186">
        <v>42</v>
      </c>
      <c r="X201" s="1186">
        <v>14</v>
      </c>
      <c r="Y201" s="1186">
        <v>9</v>
      </c>
      <c r="Z201" s="1186">
        <v>41</v>
      </c>
      <c r="AA201" s="1186"/>
    </row>
    <row r="202" spans="1:27" x14ac:dyDescent="0.2">
      <c r="A202" s="1186" t="s">
        <v>144</v>
      </c>
      <c r="B202" s="1186" t="s">
        <v>674</v>
      </c>
      <c r="C202" s="1186" t="s">
        <v>27</v>
      </c>
      <c r="D202" s="1186">
        <v>75</v>
      </c>
      <c r="E202" s="1186">
        <v>40</v>
      </c>
      <c r="F202" s="1186">
        <v>7</v>
      </c>
      <c r="G202" s="1186">
        <v>6</v>
      </c>
      <c r="H202" s="1186">
        <v>20</v>
      </c>
      <c r="I202" s="1186">
        <v>2</v>
      </c>
      <c r="J202" s="1186"/>
      <c r="K202" s="1186"/>
      <c r="L202" s="1186"/>
      <c r="M202" s="1186"/>
      <c r="N202" s="1186"/>
      <c r="O202" s="1186"/>
      <c r="P202" s="1186"/>
      <c r="Q202" s="1186"/>
      <c r="R202" s="1186"/>
      <c r="S202" s="1186" t="s">
        <v>144</v>
      </c>
      <c r="T202" s="1186" t="s">
        <v>27</v>
      </c>
      <c r="U202" s="1186" t="s">
        <v>673</v>
      </c>
      <c r="V202" s="1186">
        <v>11</v>
      </c>
      <c r="W202" s="1186">
        <v>3</v>
      </c>
      <c r="X202" s="1186">
        <v>1</v>
      </c>
      <c r="Y202" s="1186">
        <v>1</v>
      </c>
      <c r="Z202" s="1186">
        <v>3</v>
      </c>
      <c r="AA202" s="1186">
        <v>3</v>
      </c>
    </row>
    <row r="203" spans="1:27" x14ac:dyDescent="0.2">
      <c r="A203" s="1186" t="s">
        <v>144</v>
      </c>
      <c r="B203" s="1186" t="s">
        <v>674</v>
      </c>
      <c r="C203" s="1186" t="s">
        <v>28</v>
      </c>
      <c r="D203" s="1186">
        <v>94</v>
      </c>
      <c r="E203" s="1186">
        <v>44</v>
      </c>
      <c r="F203" s="1186">
        <v>7</v>
      </c>
      <c r="G203" s="1186">
        <v>14</v>
      </c>
      <c r="H203" s="1186">
        <v>27</v>
      </c>
      <c r="I203" s="1186">
        <v>2</v>
      </c>
      <c r="J203" s="1186" t="s">
        <v>144</v>
      </c>
      <c r="K203" s="1186" t="s">
        <v>28</v>
      </c>
      <c r="L203" s="1186" t="s">
        <v>672</v>
      </c>
      <c r="M203" s="1186">
        <v>2</v>
      </c>
      <c r="N203" s="1186">
        <v>1</v>
      </c>
      <c r="O203" s="1186"/>
      <c r="P203" s="1186">
        <v>1</v>
      </c>
      <c r="Q203" s="1186"/>
      <c r="R203" s="1186"/>
      <c r="S203" s="1186" t="s">
        <v>144</v>
      </c>
      <c r="T203" s="1186" t="s">
        <v>28</v>
      </c>
      <c r="U203" s="1186" t="s">
        <v>673</v>
      </c>
      <c r="V203" s="1186">
        <v>6</v>
      </c>
      <c r="W203" s="1186">
        <v>4</v>
      </c>
      <c r="X203" s="1186"/>
      <c r="Y203" s="1186">
        <v>1</v>
      </c>
      <c r="Z203" s="1186">
        <v>1</v>
      </c>
      <c r="AA203" s="1186"/>
    </row>
    <row r="204" spans="1:27" x14ac:dyDescent="0.2">
      <c r="A204" s="1186" t="s">
        <v>144</v>
      </c>
      <c r="B204" s="1186" t="s">
        <v>674</v>
      </c>
      <c r="C204" s="1186" t="s">
        <v>29</v>
      </c>
      <c r="D204" s="1186">
        <v>256</v>
      </c>
      <c r="E204" s="1186">
        <v>128</v>
      </c>
      <c r="F204" s="1186">
        <v>24</v>
      </c>
      <c r="G204" s="1186">
        <v>29</v>
      </c>
      <c r="H204" s="1186">
        <v>72</v>
      </c>
      <c r="I204" s="1186">
        <v>3</v>
      </c>
      <c r="J204" s="1186" t="s">
        <v>144</v>
      </c>
      <c r="K204" s="1186" t="s">
        <v>29</v>
      </c>
      <c r="L204" s="1186" t="s">
        <v>672</v>
      </c>
      <c r="M204" s="1186">
        <v>2</v>
      </c>
      <c r="N204" s="1186"/>
      <c r="O204" s="1186"/>
      <c r="P204" s="1186"/>
      <c r="Q204" s="1186">
        <v>2</v>
      </c>
      <c r="R204" s="1186"/>
      <c r="S204" s="1186" t="s">
        <v>144</v>
      </c>
      <c r="T204" s="1186" t="s">
        <v>29</v>
      </c>
      <c r="U204" s="1186" t="s">
        <v>673</v>
      </c>
      <c r="V204" s="1186">
        <v>71</v>
      </c>
      <c r="W204" s="1186">
        <v>34</v>
      </c>
      <c r="X204" s="1186">
        <v>11</v>
      </c>
      <c r="Y204" s="1186">
        <v>3</v>
      </c>
      <c r="Z204" s="1186">
        <v>16</v>
      </c>
      <c r="AA204" s="1186">
        <v>7</v>
      </c>
    </row>
    <row r="205" spans="1:27" x14ac:dyDescent="0.2">
      <c r="A205" s="1186" t="s">
        <v>144</v>
      </c>
      <c r="B205" s="1186" t="s">
        <v>674</v>
      </c>
      <c r="C205" s="1186" t="s">
        <v>30</v>
      </c>
      <c r="D205" s="1186">
        <v>104</v>
      </c>
      <c r="E205" s="1186">
        <v>58</v>
      </c>
      <c r="F205" s="1186">
        <v>14</v>
      </c>
      <c r="G205" s="1186">
        <v>13</v>
      </c>
      <c r="H205" s="1186">
        <v>17</v>
      </c>
      <c r="I205" s="1186">
        <v>2</v>
      </c>
      <c r="J205" s="1186"/>
      <c r="K205" s="1186"/>
      <c r="L205" s="1186"/>
      <c r="M205" s="1186"/>
      <c r="N205" s="1186"/>
      <c r="O205" s="1186"/>
      <c r="P205" s="1186"/>
      <c r="Q205" s="1186"/>
      <c r="R205" s="1186"/>
      <c r="S205" s="1186" t="s">
        <v>144</v>
      </c>
      <c r="T205" s="1186" t="s">
        <v>30</v>
      </c>
      <c r="U205" s="1186" t="s">
        <v>673</v>
      </c>
      <c r="V205" s="1186">
        <v>30</v>
      </c>
      <c r="W205" s="1186">
        <v>13</v>
      </c>
      <c r="X205" s="1186">
        <v>4</v>
      </c>
      <c r="Y205" s="1186">
        <v>7</v>
      </c>
      <c r="Z205" s="1186">
        <v>3</v>
      </c>
      <c r="AA205" s="1186">
        <v>3</v>
      </c>
    </row>
    <row r="206" spans="1:27" x14ac:dyDescent="0.2">
      <c r="A206" s="1186" t="s">
        <v>144</v>
      </c>
      <c r="B206" s="1186" t="s">
        <v>674</v>
      </c>
      <c r="C206" s="1186" t="s">
        <v>31</v>
      </c>
      <c r="D206" s="1186">
        <v>77</v>
      </c>
      <c r="E206" s="1186">
        <v>41</v>
      </c>
      <c r="F206" s="1186">
        <v>10</v>
      </c>
      <c r="G206" s="1186">
        <v>17</v>
      </c>
      <c r="H206" s="1186">
        <v>9</v>
      </c>
      <c r="I206" s="1186"/>
      <c r="J206" s="1186"/>
      <c r="K206" s="1186"/>
      <c r="L206" s="1186"/>
      <c r="M206" s="1186"/>
      <c r="N206" s="1186"/>
      <c r="O206" s="1186"/>
      <c r="P206" s="1186"/>
      <c r="Q206" s="1186"/>
      <c r="R206" s="1186"/>
      <c r="S206" s="1186" t="s">
        <v>144</v>
      </c>
      <c r="T206" s="1186" t="s">
        <v>31</v>
      </c>
      <c r="U206" s="1186" t="s">
        <v>673</v>
      </c>
      <c r="V206" s="1186">
        <v>12</v>
      </c>
      <c r="W206" s="1186">
        <v>6</v>
      </c>
      <c r="X206" s="1186">
        <v>2</v>
      </c>
      <c r="Y206" s="1186">
        <v>2</v>
      </c>
      <c r="Z206" s="1186">
        <v>2</v>
      </c>
      <c r="AA206" s="1186"/>
    </row>
    <row r="207" spans="1:27" x14ac:dyDescent="0.2">
      <c r="A207" s="1186" t="s">
        <v>144</v>
      </c>
      <c r="B207" s="1186" t="s">
        <v>674</v>
      </c>
      <c r="C207" s="1186" t="s">
        <v>32</v>
      </c>
      <c r="D207" s="1186">
        <v>85</v>
      </c>
      <c r="E207" s="1186">
        <v>25</v>
      </c>
      <c r="F207" s="1186">
        <v>10</v>
      </c>
      <c r="G207" s="1186">
        <v>7</v>
      </c>
      <c r="H207" s="1186">
        <v>42</v>
      </c>
      <c r="I207" s="1186">
        <v>1</v>
      </c>
      <c r="J207" s="1186" t="s">
        <v>144</v>
      </c>
      <c r="K207" s="1186" t="s">
        <v>32</v>
      </c>
      <c r="L207" s="1186" t="s">
        <v>672</v>
      </c>
      <c r="M207" s="1186">
        <v>1</v>
      </c>
      <c r="N207" s="1186"/>
      <c r="O207" s="1186">
        <v>1</v>
      </c>
      <c r="P207" s="1186"/>
      <c r="Q207" s="1186"/>
      <c r="R207" s="1186"/>
      <c r="S207" s="1186" t="s">
        <v>144</v>
      </c>
      <c r="T207" s="1186" t="s">
        <v>32</v>
      </c>
      <c r="U207" s="1186" t="s">
        <v>673</v>
      </c>
      <c r="V207" s="1186">
        <v>7</v>
      </c>
      <c r="W207" s="1186">
        <v>4</v>
      </c>
      <c r="X207" s="1186">
        <v>2</v>
      </c>
      <c r="Y207" s="1186">
        <v>1</v>
      </c>
      <c r="Z207" s="1186"/>
      <c r="AA207" s="1186"/>
    </row>
    <row r="208" spans="1:27" x14ac:dyDescent="0.2">
      <c r="A208" s="1186" t="s">
        <v>144</v>
      </c>
      <c r="B208" s="1186" t="s">
        <v>674</v>
      </c>
      <c r="C208" s="1186" t="s">
        <v>33</v>
      </c>
      <c r="D208" s="1186">
        <v>71</v>
      </c>
      <c r="E208" s="1186">
        <v>36</v>
      </c>
      <c r="F208" s="1186">
        <v>6</v>
      </c>
      <c r="G208" s="1186">
        <v>15</v>
      </c>
      <c r="H208" s="1186">
        <v>14</v>
      </c>
      <c r="I208" s="1186"/>
      <c r="J208" s="1186" t="s">
        <v>144</v>
      </c>
      <c r="K208" s="1186" t="s">
        <v>33</v>
      </c>
      <c r="L208" s="1186" t="s">
        <v>672</v>
      </c>
      <c r="M208" s="1186">
        <v>1</v>
      </c>
      <c r="N208" s="1186"/>
      <c r="O208" s="1186"/>
      <c r="P208" s="1186">
        <v>1</v>
      </c>
      <c r="Q208" s="1186"/>
      <c r="R208" s="1186"/>
      <c r="S208" s="1186" t="s">
        <v>144</v>
      </c>
      <c r="T208" s="1186" t="s">
        <v>33</v>
      </c>
      <c r="U208" s="1186" t="s">
        <v>673</v>
      </c>
      <c r="V208" s="1186">
        <v>12</v>
      </c>
      <c r="W208" s="1186">
        <v>10</v>
      </c>
      <c r="X208" s="1186">
        <v>1</v>
      </c>
      <c r="Y208" s="1186"/>
      <c r="Z208" s="1186">
        <v>1</v>
      </c>
      <c r="AA208" s="1186"/>
    </row>
    <row r="209" spans="1:27" x14ac:dyDescent="0.2">
      <c r="A209" s="1186" t="s">
        <v>144</v>
      </c>
      <c r="B209" s="1186" t="s">
        <v>674</v>
      </c>
      <c r="C209" s="1186" t="s">
        <v>34</v>
      </c>
      <c r="D209" s="1186">
        <v>134</v>
      </c>
      <c r="E209" s="1186">
        <v>50</v>
      </c>
      <c r="F209" s="1186">
        <v>18</v>
      </c>
      <c r="G209" s="1186">
        <v>14</v>
      </c>
      <c r="H209" s="1186">
        <v>47</v>
      </c>
      <c r="I209" s="1186">
        <v>5</v>
      </c>
      <c r="J209" s="1186" t="s">
        <v>144</v>
      </c>
      <c r="K209" s="1186" t="s">
        <v>34</v>
      </c>
      <c r="L209" s="1186" t="s">
        <v>672</v>
      </c>
      <c r="M209" s="1186">
        <v>2</v>
      </c>
      <c r="N209" s="1186"/>
      <c r="O209" s="1186">
        <v>1</v>
      </c>
      <c r="P209" s="1186"/>
      <c r="Q209" s="1186">
        <v>1</v>
      </c>
      <c r="R209" s="1186"/>
      <c r="S209" s="1186" t="s">
        <v>144</v>
      </c>
      <c r="T209" s="1186" t="s">
        <v>34</v>
      </c>
      <c r="U209" s="1186" t="s">
        <v>673</v>
      </c>
      <c r="V209" s="1186">
        <v>25</v>
      </c>
      <c r="W209" s="1186">
        <v>7</v>
      </c>
      <c r="X209" s="1186">
        <v>4</v>
      </c>
      <c r="Y209" s="1186">
        <v>2</v>
      </c>
      <c r="Z209" s="1186">
        <v>12</v>
      </c>
      <c r="AA209" s="1186"/>
    </row>
    <row r="210" spans="1:27" x14ac:dyDescent="0.2">
      <c r="A210" s="1186" t="s">
        <v>144</v>
      </c>
      <c r="B210" s="1186" t="s">
        <v>674</v>
      </c>
      <c r="C210" s="1186" t="s">
        <v>35</v>
      </c>
      <c r="D210" s="1186">
        <v>278</v>
      </c>
      <c r="E210" s="1186">
        <v>96</v>
      </c>
      <c r="F210" s="1186">
        <v>40</v>
      </c>
      <c r="G210" s="1186">
        <v>44</v>
      </c>
      <c r="H210" s="1186">
        <v>97</v>
      </c>
      <c r="I210" s="1186">
        <v>1</v>
      </c>
      <c r="J210" s="1186" t="s">
        <v>144</v>
      </c>
      <c r="K210" s="1186" t="s">
        <v>35</v>
      </c>
      <c r="L210" s="1186" t="s">
        <v>672</v>
      </c>
      <c r="M210" s="1186">
        <v>1</v>
      </c>
      <c r="N210" s="1186"/>
      <c r="O210" s="1186">
        <v>1</v>
      </c>
      <c r="P210" s="1186"/>
      <c r="Q210" s="1186"/>
      <c r="R210" s="1186"/>
      <c r="S210" s="1186" t="s">
        <v>144</v>
      </c>
      <c r="T210" s="1186" t="s">
        <v>35</v>
      </c>
      <c r="U210" s="1186" t="s">
        <v>673</v>
      </c>
      <c r="V210" s="1186">
        <v>28</v>
      </c>
      <c r="W210" s="1186">
        <v>16</v>
      </c>
      <c r="X210" s="1186">
        <v>4</v>
      </c>
      <c r="Y210" s="1186"/>
      <c r="Z210" s="1186">
        <v>8</v>
      </c>
      <c r="AA210" s="1186"/>
    </row>
    <row r="211" spans="1:27" x14ac:dyDescent="0.2">
      <c r="A211" s="1186" t="s">
        <v>144</v>
      </c>
      <c r="B211" s="1186" t="s">
        <v>674</v>
      </c>
      <c r="C211" s="1186" t="s">
        <v>36</v>
      </c>
      <c r="D211" s="1186">
        <v>960</v>
      </c>
      <c r="E211" s="1186">
        <v>531</v>
      </c>
      <c r="F211" s="1186">
        <v>80</v>
      </c>
      <c r="G211" s="1186">
        <v>135</v>
      </c>
      <c r="H211" s="1186">
        <v>199</v>
      </c>
      <c r="I211" s="1186">
        <v>15</v>
      </c>
      <c r="J211" s="1186" t="s">
        <v>144</v>
      </c>
      <c r="K211" s="1186" t="s">
        <v>36</v>
      </c>
      <c r="L211" s="1186" t="s">
        <v>672</v>
      </c>
      <c r="M211" s="1186">
        <v>4</v>
      </c>
      <c r="N211" s="1186">
        <v>2</v>
      </c>
      <c r="O211" s="1186">
        <v>1</v>
      </c>
      <c r="P211" s="1186">
        <v>1</v>
      </c>
      <c r="Q211" s="1186"/>
      <c r="R211" s="1186"/>
      <c r="S211" s="1186" t="s">
        <v>144</v>
      </c>
      <c r="T211" s="1186" t="s">
        <v>36</v>
      </c>
      <c r="U211" s="1186" t="s">
        <v>673</v>
      </c>
      <c r="V211" s="1186">
        <v>182</v>
      </c>
      <c r="W211" s="1186">
        <v>74</v>
      </c>
      <c r="X211" s="1186">
        <v>20</v>
      </c>
      <c r="Y211" s="1186">
        <v>29</v>
      </c>
      <c r="Z211" s="1186">
        <v>43</v>
      </c>
      <c r="AA211" s="1186">
        <v>16</v>
      </c>
    </row>
    <row r="212" spans="1:27" x14ac:dyDescent="0.2">
      <c r="A212" s="1186" t="s">
        <v>144</v>
      </c>
      <c r="B212" s="1186" t="s">
        <v>674</v>
      </c>
      <c r="C212" s="1186" t="s">
        <v>37</v>
      </c>
      <c r="D212" s="1186">
        <v>129</v>
      </c>
      <c r="E212" s="1186">
        <v>44</v>
      </c>
      <c r="F212" s="1186">
        <v>10</v>
      </c>
      <c r="G212" s="1186">
        <v>18</v>
      </c>
      <c r="H212" s="1186">
        <v>51</v>
      </c>
      <c r="I212" s="1186">
        <v>6</v>
      </c>
      <c r="J212" s="1186" t="s">
        <v>144</v>
      </c>
      <c r="K212" s="1186" t="s">
        <v>37</v>
      </c>
      <c r="L212" s="1186" t="s">
        <v>672</v>
      </c>
      <c r="M212" s="1186">
        <v>5</v>
      </c>
      <c r="N212" s="1186"/>
      <c r="O212" s="1186">
        <v>1</v>
      </c>
      <c r="P212" s="1186"/>
      <c r="Q212" s="1186">
        <v>3</v>
      </c>
      <c r="R212" s="1186">
        <v>1</v>
      </c>
      <c r="S212" s="1186" t="s">
        <v>144</v>
      </c>
      <c r="T212" s="1186" t="s">
        <v>37</v>
      </c>
      <c r="U212" s="1186" t="s">
        <v>673</v>
      </c>
      <c r="V212" s="1186">
        <v>35</v>
      </c>
      <c r="W212" s="1186">
        <v>14</v>
      </c>
      <c r="X212" s="1186">
        <v>2</v>
      </c>
      <c r="Y212" s="1186">
        <v>2</v>
      </c>
      <c r="Z212" s="1186">
        <v>17</v>
      </c>
      <c r="AA212" s="1186"/>
    </row>
    <row r="213" spans="1:27" x14ac:dyDescent="0.2">
      <c r="A213" s="1186" t="s">
        <v>144</v>
      </c>
      <c r="B213" s="1186" t="s">
        <v>674</v>
      </c>
      <c r="C213" s="1186" t="s">
        <v>38</v>
      </c>
      <c r="D213" s="1186">
        <v>129</v>
      </c>
      <c r="E213" s="1186">
        <v>69</v>
      </c>
      <c r="F213" s="1186">
        <v>16</v>
      </c>
      <c r="G213" s="1186">
        <v>23</v>
      </c>
      <c r="H213" s="1186">
        <v>19</v>
      </c>
      <c r="I213" s="1186">
        <v>2</v>
      </c>
      <c r="J213" s="1186" t="s">
        <v>144</v>
      </c>
      <c r="K213" s="1186" t="s">
        <v>38</v>
      </c>
      <c r="L213" s="1186" t="s">
        <v>672</v>
      </c>
      <c r="M213" s="1186">
        <v>1</v>
      </c>
      <c r="N213" s="1186"/>
      <c r="O213" s="1186"/>
      <c r="P213" s="1186"/>
      <c r="Q213" s="1186"/>
      <c r="R213" s="1186">
        <v>1</v>
      </c>
      <c r="S213" s="1186" t="s">
        <v>144</v>
      </c>
      <c r="T213" s="1186" t="s">
        <v>38</v>
      </c>
      <c r="U213" s="1186" t="s">
        <v>673</v>
      </c>
      <c r="V213" s="1186">
        <v>41</v>
      </c>
      <c r="W213" s="1186">
        <v>13</v>
      </c>
      <c r="X213" s="1186">
        <v>5</v>
      </c>
      <c r="Y213" s="1186">
        <v>14</v>
      </c>
      <c r="Z213" s="1186">
        <v>9</v>
      </c>
      <c r="AA213" s="1186"/>
    </row>
    <row r="214" spans="1:27" x14ac:dyDescent="0.2">
      <c r="A214" s="1186" t="s">
        <v>144</v>
      </c>
      <c r="B214" s="1186" t="s">
        <v>674</v>
      </c>
      <c r="C214" s="1186" t="s">
        <v>39</v>
      </c>
      <c r="D214" s="1186">
        <v>69</v>
      </c>
      <c r="E214" s="1186">
        <v>30</v>
      </c>
      <c r="F214" s="1186">
        <v>7</v>
      </c>
      <c r="G214" s="1186">
        <v>8</v>
      </c>
      <c r="H214" s="1186">
        <v>23</v>
      </c>
      <c r="I214" s="1186">
        <v>1</v>
      </c>
      <c r="J214" s="1186"/>
      <c r="K214" s="1186"/>
      <c r="L214" s="1186"/>
      <c r="M214" s="1186"/>
      <c r="N214" s="1186"/>
      <c r="O214" s="1186"/>
      <c r="P214" s="1186"/>
      <c r="Q214" s="1186"/>
      <c r="R214" s="1186"/>
      <c r="S214" s="1186" t="s">
        <v>144</v>
      </c>
      <c r="T214" s="1186" t="s">
        <v>39</v>
      </c>
      <c r="U214" s="1186" t="s">
        <v>673</v>
      </c>
      <c r="V214" s="1186">
        <v>9</v>
      </c>
      <c r="W214" s="1186">
        <v>2</v>
      </c>
      <c r="X214" s="1186">
        <v>2</v>
      </c>
      <c r="Y214" s="1186">
        <v>2</v>
      </c>
      <c r="Z214" s="1186">
        <v>3</v>
      </c>
      <c r="AA214" s="1186"/>
    </row>
    <row r="215" spans="1:27" x14ac:dyDescent="0.2">
      <c r="A215" s="1186" t="s">
        <v>144</v>
      </c>
      <c r="B215" s="1186" t="s">
        <v>674</v>
      </c>
      <c r="C215" s="1186" t="s">
        <v>40</v>
      </c>
      <c r="D215" s="1186">
        <v>50</v>
      </c>
      <c r="E215" s="1186">
        <v>21</v>
      </c>
      <c r="F215" s="1186">
        <v>3</v>
      </c>
      <c r="G215" s="1186">
        <v>9</v>
      </c>
      <c r="H215" s="1186">
        <v>14</v>
      </c>
      <c r="I215" s="1186">
        <v>3</v>
      </c>
      <c r="J215" s="1186"/>
      <c r="K215" s="1186"/>
      <c r="L215" s="1186"/>
      <c r="M215" s="1186"/>
      <c r="N215" s="1186"/>
      <c r="O215" s="1186"/>
      <c r="P215" s="1186"/>
      <c r="Q215" s="1186"/>
      <c r="R215" s="1186"/>
      <c r="S215" s="1186" t="s">
        <v>144</v>
      </c>
      <c r="T215" s="1186" t="s">
        <v>40</v>
      </c>
      <c r="U215" s="1186" t="s">
        <v>673</v>
      </c>
      <c r="V215" s="1186">
        <v>11</v>
      </c>
      <c r="W215" s="1186">
        <v>3</v>
      </c>
      <c r="X215" s="1186">
        <v>2</v>
      </c>
      <c r="Y215" s="1186"/>
      <c r="Z215" s="1186">
        <v>3</v>
      </c>
      <c r="AA215" s="1186">
        <v>3</v>
      </c>
    </row>
    <row r="216" spans="1:27" x14ac:dyDescent="0.2">
      <c r="A216" s="1186" t="s">
        <v>144</v>
      </c>
      <c r="B216" s="1186" t="s">
        <v>674</v>
      </c>
      <c r="C216" s="1186" t="s">
        <v>295</v>
      </c>
      <c r="D216" s="1186">
        <v>20</v>
      </c>
      <c r="E216" s="1186">
        <v>5</v>
      </c>
      <c r="F216" s="1186">
        <v>2</v>
      </c>
      <c r="G216" s="1186">
        <v>5</v>
      </c>
      <c r="H216" s="1186">
        <v>6</v>
      </c>
      <c r="I216" s="1186">
        <v>2</v>
      </c>
      <c r="J216" s="1186"/>
      <c r="K216" s="1186"/>
      <c r="L216" s="1186"/>
      <c r="M216" s="1186"/>
      <c r="N216" s="1186"/>
      <c r="O216" s="1186"/>
      <c r="P216" s="1186"/>
      <c r="Q216" s="1186"/>
      <c r="R216" s="1186"/>
      <c r="S216" s="1186" t="s">
        <v>144</v>
      </c>
      <c r="T216" s="1186" t="s">
        <v>295</v>
      </c>
      <c r="U216" s="1186" t="s">
        <v>673</v>
      </c>
      <c r="V216" s="1186">
        <v>7</v>
      </c>
      <c r="W216" s="1186">
        <v>4</v>
      </c>
      <c r="X216" s="1186">
        <v>1</v>
      </c>
      <c r="Y216" s="1186"/>
      <c r="Z216" s="1186">
        <v>1</v>
      </c>
      <c r="AA216" s="1186">
        <v>1</v>
      </c>
    </row>
    <row r="217" spans="1:27" x14ac:dyDescent="0.2">
      <c r="A217" s="1186" t="s">
        <v>144</v>
      </c>
      <c r="B217" s="1186" t="s">
        <v>674</v>
      </c>
      <c r="C217" s="1186" t="s">
        <v>41</v>
      </c>
      <c r="D217" s="1186">
        <v>176</v>
      </c>
      <c r="E217" s="1186">
        <v>112</v>
      </c>
      <c r="F217" s="1186">
        <v>14</v>
      </c>
      <c r="G217" s="1186">
        <v>21</v>
      </c>
      <c r="H217" s="1186">
        <v>28</v>
      </c>
      <c r="I217" s="1186">
        <v>1</v>
      </c>
      <c r="J217" s="1186" t="s">
        <v>144</v>
      </c>
      <c r="K217" s="1186" t="s">
        <v>41</v>
      </c>
      <c r="L217" s="1186" t="s">
        <v>672</v>
      </c>
      <c r="M217" s="1186">
        <v>1</v>
      </c>
      <c r="N217" s="1186">
        <v>1</v>
      </c>
      <c r="O217" s="1186"/>
      <c r="P217" s="1186"/>
      <c r="Q217" s="1186"/>
      <c r="R217" s="1186"/>
      <c r="S217" s="1186" t="s">
        <v>144</v>
      </c>
      <c r="T217" s="1186" t="s">
        <v>41</v>
      </c>
      <c r="U217" s="1186" t="s">
        <v>673</v>
      </c>
      <c r="V217" s="1186">
        <v>43</v>
      </c>
      <c r="W217" s="1186">
        <v>27</v>
      </c>
      <c r="X217" s="1186">
        <v>4</v>
      </c>
      <c r="Y217" s="1186">
        <v>1</v>
      </c>
      <c r="Z217" s="1186">
        <v>10</v>
      </c>
      <c r="AA217" s="1186">
        <v>1</v>
      </c>
    </row>
    <row r="218" spans="1:27" x14ac:dyDescent="0.2">
      <c r="A218" s="1186" t="s">
        <v>144</v>
      </c>
      <c r="B218" s="1186" t="s">
        <v>674</v>
      </c>
      <c r="C218" s="1186" t="s">
        <v>42</v>
      </c>
      <c r="D218" s="1186">
        <v>336</v>
      </c>
      <c r="E218" s="1186">
        <v>177</v>
      </c>
      <c r="F218" s="1186">
        <v>41</v>
      </c>
      <c r="G218" s="1186">
        <v>49</v>
      </c>
      <c r="H218" s="1186">
        <v>65</v>
      </c>
      <c r="I218" s="1186">
        <v>4</v>
      </c>
      <c r="J218" s="1186" t="s">
        <v>144</v>
      </c>
      <c r="K218" s="1186" t="s">
        <v>42</v>
      </c>
      <c r="L218" s="1186" t="s">
        <v>672</v>
      </c>
      <c r="M218" s="1186">
        <v>4</v>
      </c>
      <c r="N218" s="1186"/>
      <c r="O218" s="1186">
        <v>2</v>
      </c>
      <c r="P218" s="1186"/>
      <c r="Q218" s="1186">
        <v>2</v>
      </c>
      <c r="R218" s="1186"/>
      <c r="S218" s="1186" t="s">
        <v>144</v>
      </c>
      <c r="T218" s="1186" t="s">
        <v>42</v>
      </c>
      <c r="U218" s="1186" t="s">
        <v>673</v>
      </c>
      <c r="V218" s="1186">
        <v>75</v>
      </c>
      <c r="W218" s="1186">
        <v>34</v>
      </c>
      <c r="X218" s="1186">
        <v>12</v>
      </c>
      <c r="Y218" s="1186">
        <v>12</v>
      </c>
      <c r="Z218" s="1186">
        <v>15</v>
      </c>
      <c r="AA218" s="1186">
        <v>2</v>
      </c>
    </row>
    <row r="219" spans="1:27" x14ac:dyDescent="0.2">
      <c r="A219" s="1186" t="s">
        <v>144</v>
      </c>
      <c r="B219" s="1186" t="s">
        <v>674</v>
      </c>
      <c r="C219" s="1186" t="s">
        <v>43</v>
      </c>
      <c r="D219" s="1186">
        <v>11</v>
      </c>
      <c r="E219" s="1186">
        <v>3</v>
      </c>
      <c r="F219" s="1186"/>
      <c r="G219" s="1186">
        <v>1</v>
      </c>
      <c r="H219" s="1186">
        <v>7</v>
      </c>
      <c r="I219" s="1186"/>
      <c r="J219" s="1186"/>
      <c r="K219" s="1186"/>
      <c r="L219" s="1186"/>
      <c r="M219" s="1186"/>
      <c r="N219" s="1186"/>
      <c r="O219" s="1186"/>
      <c r="P219" s="1186"/>
      <c r="Q219" s="1186"/>
      <c r="R219" s="1186"/>
      <c r="S219" s="1186" t="s">
        <v>144</v>
      </c>
      <c r="T219" s="1186" t="s">
        <v>43</v>
      </c>
      <c r="U219" s="1186" t="s">
        <v>673</v>
      </c>
      <c r="V219" s="1186">
        <v>2</v>
      </c>
      <c r="W219" s="1186">
        <v>1</v>
      </c>
      <c r="X219" s="1186"/>
      <c r="Y219" s="1186"/>
      <c r="Z219" s="1186">
        <v>1</v>
      </c>
      <c r="AA219" s="1186"/>
    </row>
    <row r="220" spans="1:27" x14ac:dyDescent="0.2">
      <c r="A220" s="1186" t="s">
        <v>144</v>
      </c>
      <c r="B220" s="1186" t="s">
        <v>674</v>
      </c>
      <c r="C220" s="1186" t="s">
        <v>44</v>
      </c>
      <c r="D220" s="1186">
        <v>122</v>
      </c>
      <c r="E220" s="1186">
        <v>62</v>
      </c>
      <c r="F220" s="1186">
        <v>5</v>
      </c>
      <c r="G220" s="1186">
        <v>18</v>
      </c>
      <c r="H220" s="1186">
        <v>35</v>
      </c>
      <c r="I220" s="1186">
        <v>2</v>
      </c>
      <c r="J220" s="1186"/>
      <c r="K220" s="1186"/>
      <c r="L220" s="1186"/>
      <c r="M220" s="1186"/>
      <c r="N220" s="1186"/>
      <c r="O220" s="1186"/>
      <c r="P220" s="1186"/>
      <c r="Q220" s="1186"/>
      <c r="R220" s="1186"/>
      <c r="S220" s="1186" t="s">
        <v>144</v>
      </c>
      <c r="T220" s="1186" t="s">
        <v>44</v>
      </c>
      <c r="U220" s="1186" t="s">
        <v>673</v>
      </c>
      <c r="V220" s="1186">
        <v>23</v>
      </c>
      <c r="W220" s="1186">
        <v>15</v>
      </c>
      <c r="X220" s="1186">
        <v>2</v>
      </c>
      <c r="Y220" s="1186">
        <v>3</v>
      </c>
      <c r="Z220" s="1186">
        <v>3</v>
      </c>
      <c r="AA220" s="1186"/>
    </row>
    <row r="221" spans="1:27" x14ac:dyDescent="0.2">
      <c r="A221" s="1186" t="s">
        <v>144</v>
      </c>
      <c r="B221" s="1186" t="s">
        <v>674</v>
      </c>
      <c r="C221" s="1186" t="s">
        <v>45</v>
      </c>
      <c r="D221" s="1186">
        <v>242</v>
      </c>
      <c r="E221" s="1186">
        <v>135</v>
      </c>
      <c r="F221" s="1186">
        <v>16</v>
      </c>
      <c r="G221" s="1186">
        <v>38</v>
      </c>
      <c r="H221" s="1186">
        <v>52</v>
      </c>
      <c r="I221" s="1186">
        <v>1</v>
      </c>
      <c r="J221" s="1186"/>
      <c r="K221" s="1186"/>
      <c r="L221" s="1186"/>
      <c r="M221" s="1186"/>
      <c r="N221" s="1186"/>
      <c r="O221" s="1186"/>
      <c r="P221" s="1186"/>
      <c r="Q221" s="1186"/>
      <c r="R221" s="1186"/>
      <c r="S221" s="1186" t="s">
        <v>144</v>
      </c>
      <c r="T221" s="1186" t="s">
        <v>45</v>
      </c>
      <c r="U221" s="1186" t="s">
        <v>673</v>
      </c>
      <c r="V221" s="1186">
        <v>38</v>
      </c>
      <c r="W221" s="1186">
        <v>20</v>
      </c>
      <c r="X221" s="1186">
        <v>1</v>
      </c>
      <c r="Y221" s="1186">
        <v>8</v>
      </c>
      <c r="Z221" s="1186">
        <v>9</v>
      </c>
      <c r="AA221" s="1186"/>
    </row>
    <row r="222" spans="1:27" x14ac:dyDescent="0.2">
      <c r="A222" s="1186" t="s">
        <v>144</v>
      </c>
      <c r="B222" s="1186" t="s">
        <v>674</v>
      </c>
      <c r="C222" s="1186" t="s">
        <v>46</v>
      </c>
      <c r="D222" s="1186">
        <v>109</v>
      </c>
      <c r="E222" s="1186">
        <v>48</v>
      </c>
      <c r="F222" s="1186">
        <v>8</v>
      </c>
      <c r="G222" s="1186">
        <v>18</v>
      </c>
      <c r="H222" s="1186">
        <v>33</v>
      </c>
      <c r="I222" s="1186">
        <v>2</v>
      </c>
      <c r="J222" s="1186" t="s">
        <v>144</v>
      </c>
      <c r="K222" s="1186" t="s">
        <v>46</v>
      </c>
      <c r="L222" s="1186" t="s">
        <v>672</v>
      </c>
      <c r="M222" s="1186">
        <v>1</v>
      </c>
      <c r="N222" s="1186"/>
      <c r="O222" s="1186"/>
      <c r="P222" s="1186"/>
      <c r="Q222" s="1186">
        <v>1</v>
      </c>
      <c r="R222" s="1186"/>
      <c r="S222" s="1186" t="s">
        <v>144</v>
      </c>
      <c r="T222" s="1186" t="s">
        <v>46</v>
      </c>
      <c r="U222" s="1186" t="s">
        <v>673</v>
      </c>
      <c r="V222" s="1186">
        <v>14</v>
      </c>
      <c r="W222" s="1186">
        <v>3</v>
      </c>
      <c r="X222" s="1186">
        <v>2</v>
      </c>
      <c r="Y222" s="1186">
        <v>3</v>
      </c>
      <c r="Z222" s="1186">
        <v>5</v>
      </c>
      <c r="AA222" s="1186">
        <v>1</v>
      </c>
    </row>
    <row r="223" spans="1:27" x14ac:dyDescent="0.2">
      <c r="A223" s="1186" t="s">
        <v>144</v>
      </c>
      <c r="B223" s="1186" t="s">
        <v>674</v>
      </c>
      <c r="C223" s="1186" t="s">
        <v>47</v>
      </c>
      <c r="D223" s="1186">
        <v>19</v>
      </c>
      <c r="E223" s="1186">
        <v>3</v>
      </c>
      <c r="F223" s="1186">
        <v>4</v>
      </c>
      <c r="G223" s="1186">
        <v>3</v>
      </c>
      <c r="H223" s="1186">
        <v>6</v>
      </c>
      <c r="I223" s="1186">
        <v>3</v>
      </c>
      <c r="J223" s="1186" t="s">
        <v>144</v>
      </c>
      <c r="K223" s="1186" t="s">
        <v>47</v>
      </c>
      <c r="L223" s="1186" t="s">
        <v>672</v>
      </c>
      <c r="M223" s="1186">
        <v>1</v>
      </c>
      <c r="N223" s="1186"/>
      <c r="O223" s="1186"/>
      <c r="P223" s="1186"/>
      <c r="Q223" s="1186"/>
      <c r="R223" s="1186">
        <v>1</v>
      </c>
      <c r="S223" s="1186" t="s">
        <v>144</v>
      </c>
      <c r="T223" s="1186" t="s">
        <v>47</v>
      </c>
      <c r="U223" s="1186" t="s">
        <v>673</v>
      </c>
      <c r="V223" s="1186">
        <v>2</v>
      </c>
      <c r="W223" s="1186">
        <v>1</v>
      </c>
      <c r="X223" s="1186">
        <v>1</v>
      </c>
      <c r="Y223" s="1186"/>
      <c r="Z223" s="1186"/>
      <c r="AA223" s="1186"/>
    </row>
    <row r="224" spans="1:27" x14ac:dyDescent="0.2">
      <c r="A224" s="1186" t="s">
        <v>144</v>
      </c>
      <c r="B224" s="1186" t="s">
        <v>674</v>
      </c>
      <c r="C224" s="1186" t="s">
        <v>48</v>
      </c>
      <c r="D224" s="1186">
        <v>101</v>
      </c>
      <c r="E224" s="1186">
        <v>57</v>
      </c>
      <c r="F224" s="1186">
        <v>10</v>
      </c>
      <c r="G224" s="1186">
        <v>13</v>
      </c>
      <c r="H224" s="1186">
        <v>18</v>
      </c>
      <c r="I224" s="1186">
        <v>3</v>
      </c>
      <c r="J224" s="1186"/>
      <c r="K224" s="1186"/>
      <c r="L224" s="1186"/>
      <c r="M224" s="1186"/>
      <c r="N224" s="1186"/>
      <c r="O224" s="1186"/>
      <c r="P224" s="1186"/>
      <c r="Q224" s="1186"/>
      <c r="R224" s="1186"/>
      <c r="S224" s="1186" t="s">
        <v>144</v>
      </c>
      <c r="T224" s="1186" t="s">
        <v>48</v>
      </c>
      <c r="U224" s="1186" t="s">
        <v>673</v>
      </c>
      <c r="V224" s="1186">
        <v>20</v>
      </c>
      <c r="W224" s="1186">
        <v>13</v>
      </c>
      <c r="X224" s="1186">
        <v>3</v>
      </c>
      <c r="Y224" s="1186">
        <v>1</v>
      </c>
      <c r="Z224" s="1186">
        <v>3</v>
      </c>
      <c r="AA224" s="1186"/>
    </row>
    <row r="225" spans="1:27" x14ac:dyDescent="0.2">
      <c r="A225" s="1186" t="s">
        <v>144</v>
      </c>
      <c r="B225" s="1186" t="s">
        <v>674</v>
      </c>
      <c r="C225" s="1186" t="s">
        <v>49</v>
      </c>
      <c r="D225" s="1186">
        <v>294</v>
      </c>
      <c r="E225" s="1186">
        <v>159</v>
      </c>
      <c r="F225" s="1186">
        <v>33</v>
      </c>
      <c r="G225" s="1186">
        <v>50</v>
      </c>
      <c r="H225" s="1186">
        <v>50</v>
      </c>
      <c r="I225" s="1186">
        <v>2</v>
      </c>
      <c r="J225" s="1186" t="s">
        <v>144</v>
      </c>
      <c r="K225" s="1186" t="s">
        <v>49</v>
      </c>
      <c r="L225" s="1186" t="s">
        <v>672</v>
      </c>
      <c r="M225" s="1186">
        <v>4</v>
      </c>
      <c r="N225" s="1186">
        <v>1</v>
      </c>
      <c r="O225" s="1186"/>
      <c r="P225" s="1186">
        <v>2</v>
      </c>
      <c r="Q225" s="1186">
        <v>1</v>
      </c>
      <c r="R225" s="1186"/>
      <c r="S225" s="1186" t="s">
        <v>144</v>
      </c>
      <c r="T225" s="1186" t="s">
        <v>49</v>
      </c>
      <c r="U225" s="1186" t="s">
        <v>673</v>
      </c>
      <c r="V225" s="1186">
        <v>62</v>
      </c>
      <c r="W225" s="1186">
        <v>32</v>
      </c>
      <c r="X225" s="1186">
        <v>6</v>
      </c>
      <c r="Y225" s="1186">
        <v>5</v>
      </c>
      <c r="Z225" s="1186">
        <v>19</v>
      </c>
      <c r="AA225" s="1186"/>
    </row>
    <row r="226" spans="1:27" x14ac:dyDescent="0.2">
      <c r="A226" s="1186" t="s">
        <v>144</v>
      </c>
      <c r="B226" s="1186" t="s">
        <v>674</v>
      </c>
      <c r="C226" s="1186" t="s">
        <v>50</v>
      </c>
      <c r="D226" s="1186">
        <v>108</v>
      </c>
      <c r="E226" s="1186">
        <v>65</v>
      </c>
      <c r="F226" s="1186">
        <v>14</v>
      </c>
      <c r="G226" s="1186">
        <v>13</v>
      </c>
      <c r="H226" s="1186">
        <v>16</v>
      </c>
      <c r="I226" s="1186"/>
      <c r="J226" s="1186" t="s">
        <v>144</v>
      </c>
      <c r="K226" s="1186" t="s">
        <v>50</v>
      </c>
      <c r="L226" s="1186" t="s">
        <v>672</v>
      </c>
      <c r="M226" s="1186">
        <v>1</v>
      </c>
      <c r="N226" s="1186"/>
      <c r="O226" s="1186"/>
      <c r="P226" s="1186"/>
      <c r="Q226" s="1186">
        <v>1</v>
      </c>
      <c r="R226" s="1186"/>
      <c r="S226" s="1186" t="s">
        <v>144</v>
      </c>
      <c r="T226" s="1186" t="s">
        <v>50</v>
      </c>
      <c r="U226" s="1186" t="s">
        <v>673</v>
      </c>
      <c r="V226" s="1186">
        <v>8</v>
      </c>
      <c r="W226" s="1186">
        <v>6</v>
      </c>
      <c r="X226" s="1186">
        <v>1</v>
      </c>
      <c r="Y226" s="1186"/>
      <c r="Z226" s="1186">
        <v>1</v>
      </c>
      <c r="AA226" s="1186"/>
    </row>
    <row r="227" spans="1:27" x14ac:dyDescent="0.2">
      <c r="A227" s="1186" t="s">
        <v>144</v>
      </c>
      <c r="B227" s="1186" t="s">
        <v>674</v>
      </c>
      <c r="C227" s="1186" t="s">
        <v>51</v>
      </c>
      <c r="D227" s="1186">
        <v>156</v>
      </c>
      <c r="E227" s="1186">
        <v>109</v>
      </c>
      <c r="F227" s="1186">
        <v>9</v>
      </c>
      <c r="G227" s="1186">
        <v>15</v>
      </c>
      <c r="H227" s="1186">
        <v>22</v>
      </c>
      <c r="I227" s="1186">
        <v>1</v>
      </c>
      <c r="J227" s="1186"/>
      <c r="K227" s="1186"/>
      <c r="L227" s="1186"/>
      <c r="M227" s="1186"/>
      <c r="N227" s="1186"/>
      <c r="O227" s="1186"/>
      <c r="P227" s="1186"/>
      <c r="Q227" s="1186"/>
      <c r="R227" s="1186"/>
      <c r="S227" s="1186" t="s">
        <v>144</v>
      </c>
      <c r="T227" s="1186" t="s">
        <v>51</v>
      </c>
      <c r="U227" s="1186" t="s">
        <v>673</v>
      </c>
      <c r="V227" s="1186">
        <v>35</v>
      </c>
      <c r="W227" s="1186">
        <v>21</v>
      </c>
      <c r="X227" s="1186"/>
      <c r="Y227" s="1186"/>
      <c r="Z227" s="1186">
        <v>14</v>
      </c>
      <c r="AA227" s="1186"/>
    </row>
    <row r="228" spans="1:27" x14ac:dyDescent="0.2">
      <c r="A228" s="1186" t="s">
        <v>144</v>
      </c>
      <c r="B228" s="1186" t="s">
        <v>674</v>
      </c>
      <c r="C228" s="1186" t="s">
        <v>52</v>
      </c>
      <c r="D228" s="1186">
        <v>150</v>
      </c>
      <c r="E228" s="1186">
        <v>70</v>
      </c>
      <c r="F228" s="1186">
        <v>13</v>
      </c>
      <c r="G228" s="1186">
        <v>29</v>
      </c>
      <c r="H228" s="1186">
        <v>37</v>
      </c>
      <c r="I228" s="1186">
        <v>1</v>
      </c>
      <c r="J228" s="1186" t="s">
        <v>144</v>
      </c>
      <c r="K228" s="1186" t="s">
        <v>52</v>
      </c>
      <c r="L228" s="1186" t="s">
        <v>672</v>
      </c>
      <c r="M228" s="1186">
        <v>1</v>
      </c>
      <c r="N228" s="1186"/>
      <c r="O228" s="1186"/>
      <c r="P228" s="1186"/>
      <c r="Q228" s="1186">
        <v>1</v>
      </c>
      <c r="R228" s="1186"/>
      <c r="S228" s="1186" t="s">
        <v>144</v>
      </c>
      <c r="T228" s="1186" t="s">
        <v>52</v>
      </c>
      <c r="U228" s="1186" t="s">
        <v>673</v>
      </c>
      <c r="V228" s="1186">
        <v>26</v>
      </c>
      <c r="W228" s="1186">
        <v>13</v>
      </c>
      <c r="X228" s="1186">
        <v>2</v>
      </c>
      <c r="Y228" s="1186">
        <v>3</v>
      </c>
      <c r="Z228" s="1186">
        <v>5</v>
      </c>
      <c r="AA228" s="1186">
        <v>3</v>
      </c>
    </row>
    <row r="229" spans="1:27" x14ac:dyDescent="0.2">
      <c r="A229" s="1186" t="s">
        <v>282</v>
      </c>
      <c r="B229" s="1186" t="s">
        <v>674</v>
      </c>
      <c r="C229" s="1186" t="s">
        <v>23</v>
      </c>
      <c r="D229" s="1186">
        <v>350</v>
      </c>
      <c r="E229" s="1186">
        <v>217</v>
      </c>
      <c r="F229" s="1186">
        <v>18</v>
      </c>
      <c r="G229" s="1186">
        <v>20</v>
      </c>
      <c r="H229" s="1186">
        <v>94</v>
      </c>
      <c r="I229" s="1186">
        <v>1</v>
      </c>
      <c r="J229" s="1186" t="s">
        <v>282</v>
      </c>
      <c r="K229" s="1186" t="s">
        <v>23</v>
      </c>
      <c r="L229" s="1186" t="s">
        <v>672</v>
      </c>
      <c r="M229" s="1186">
        <v>2</v>
      </c>
      <c r="N229" s="1186"/>
      <c r="O229" s="1186"/>
      <c r="P229" s="1186">
        <v>1</v>
      </c>
      <c r="Q229" s="1186">
        <v>1</v>
      </c>
      <c r="R229" s="1186"/>
      <c r="S229" s="1186" t="s">
        <v>282</v>
      </c>
      <c r="T229" s="1186" t="s">
        <v>23</v>
      </c>
      <c r="U229" s="1186" t="s">
        <v>673</v>
      </c>
      <c r="V229" s="1186">
        <v>33</v>
      </c>
      <c r="W229" s="1186">
        <v>16</v>
      </c>
      <c r="X229" s="1186">
        <v>3</v>
      </c>
      <c r="Y229" s="1186">
        <v>7</v>
      </c>
      <c r="Z229" s="1186">
        <v>7</v>
      </c>
      <c r="AA229" s="1186"/>
    </row>
    <row r="230" spans="1:27" x14ac:dyDescent="0.2">
      <c r="A230" s="1186" t="s">
        <v>282</v>
      </c>
      <c r="B230" s="1186" t="s">
        <v>674</v>
      </c>
      <c r="C230" s="1186" t="s">
        <v>24</v>
      </c>
      <c r="D230" s="1186">
        <v>184</v>
      </c>
      <c r="E230" s="1186">
        <v>95</v>
      </c>
      <c r="F230" s="1186">
        <v>8</v>
      </c>
      <c r="G230" s="1186">
        <v>13</v>
      </c>
      <c r="H230" s="1186">
        <v>63</v>
      </c>
      <c r="I230" s="1186">
        <v>5</v>
      </c>
      <c r="J230" s="1186" t="s">
        <v>282</v>
      </c>
      <c r="K230" s="1186" t="s">
        <v>24</v>
      </c>
      <c r="L230" s="1186" t="s">
        <v>672</v>
      </c>
      <c r="M230" s="1186">
        <v>2</v>
      </c>
      <c r="N230" s="1186">
        <v>2</v>
      </c>
      <c r="O230" s="1186"/>
      <c r="P230" s="1186"/>
      <c r="Q230" s="1186"/>
      <c r="R230" s="1186"/>
      <c r="S230" s="1186" t="s">
        <v>282</v>
      </c>
      <c r="T230" s="1186" t="s">
        <v>24</v>
      </c>
      <c r="U230" s="1186" t="s">
        <v>673</v>
      </c>
      <c r="V230" s="1186">
        <v>20</v>
      </c>
      <c r="W230" s="1186">
        <v>8</v>
      </c>
      <c r="X230" s="1186">
        <v>5</v>
      </c>
      <c r="Y230" s="1186"/>
      <c r="Z230" s="1186">
        <v>6</v>
      </c>
      <c r="AA230" s="1186">
        <v>1</v>
      </c>
    </row>
    <row r="231" spans="1:27" x14ac:dyDescent="0.2">
      <c r="A231" s="1186" t="s">
        <v>282</v>
      </c>
      <c r="B231" s="1186" t="s">
        <v>674</v>
      </c>
      <c r="C231" s="1186" t="s">
        <v>25</v>
      </c>
      <c r="D231" s="1186">
        <v>98</v>
      </c>
      <c r="E231" s="1186">
        <v>53</v>
      </c>
      <c r="F231" s="1186">
        <v>13</v>
      </c>
      <c r="G231" s="1186">
        <v>13</v>
      </c>
      <c r="H231" s="1186">
        <v>16</v>
      </c>
      <c r="I231" s="1186">
        <v>3</v>
      </c>
      <c r="J231" s="1186"/>
      <c r="K231" s="1186"/>
      <c r="L231" s="1186"/>
      <c r="M231" s="1186"/>
      <c r="N231" s="1186"/>
      <c r="O231" s="1186"/>
      <c r="P231" s="1186"/>
      <c r="Q231" s="1186"/>
      <c r="R231" s="1186"/>
      <c r="S231" s="1186" t="s">
        <v>282</v>
      </c>
      <c r="T231" s="1186" t="s">
        <v>25</v>
      </c>
      <c r="U231" s="1186" t="s">
        <v>673</v>
      </c>
      <c r="V231" s="1186">
        <v>18</v>
      </c>
      <c r="W231" s="1186">
        <v>4</v>
      </c>
      <c r="X231" s="1186">
        <v>6</v>
      </c>
      <c r="Y231" s="1186">
        <v>2</v>
      </c>
      <c r="Z231" s="1186">
        <v>6</v>
      </c>
      <c r="AA231" s="1186"/>
    </row>
    <row r="232" spans="1:27" x14ac:dyDescent="0.2">
      <c r="A232" s="1186" t="s">
        <v>282</v>
      </c>
      <c r="B232" s="1186" t="s">
        <v>674</v>
      </c>
      <c r="C232" s="1186" t="s">
        <v>26</v>
      </c>
      <c r="D232" s="1186">
        <v>80</v>
      </c>
      <c r="E232" s="1186">
        <v>44</v>
      </c>
      <c r="F232" s="1186">
        <v>9</v>
      </c>
      <c r="G232" s="1186">
        <v>16</v>
      </c>
      <c r="H232" s="1186">
        <v>7</v>
      </c>
      <c r="I232" s="1186">
        <v>4</v>
      </c>
      <c r="J232" s="1186"/>
      <c r="K232" s="1186"/>
      <c r="L232" s="1186"/>
      <c r="M232" s="1186"/>
      <c r="N232" s="1186"/>
      <c r="O232" s="1186"/>
      <c r="P232" s="1186"/>
      <c r="Q232" s="1186"/>
      <c r="R232" s="1186"/>
      <c r="S232" s="1186" t="s">
        <v>282</v>
      </c>
      <c r="T232" s="1186" t="s">
        <v>26</v>
      </c>
      <c r="U232" s="1186" t="s">
        <v>673</v>
      </c>
      <c r="V232" s="1186">
        <v>13</v>
      </c>
      <c r="W232" s="1186">
        <v>13</v>
      </c>
      <c r="X232" s="1186"/>
      <c r="Y232" s="1186"/>
      <c r="Z232" s="1186"/>
      <c r="AA232" s="1186"/>
    </row>
    <row r="233" spans="1:27" x14ac:dyDescent="0.2">
      <c r="A233" s="1186" t="s">
        <v>282</v>
      </c>
      <c r="B233" s="1186" t="s">
        <v>674</v>
      </c>
      <c r="C233" s="1186" t="s">
        <v>619</v>
      </c>
      <c r="D233" s="1186">
        <v>579</v>
      </c>
      <c r="E233" s="1186">
        <v>228</v>
      </c>
      <c r="F233" s="1186">
        <v>44</v>
      </c>
      <c r="G233" s="1186">
        <v>67</v>
      </c>
      <c r="H233" s="1186">
        <v>234</v>
      </c>
      <c r="I233" s="1186">
        <v>6</v>
      </c>
      <c r="J233" s="1186" t="s">
        <v>282</v>
      </c>
      <c r="K233" s="1186" t="s">
        <v>619</v>
      </c>
      <c r="L233" s="1186" t="s">
        <v>672</v>
      </c>
      <c r="M233" s="1186">
        <v>3</v>
      </c>
      <c r="N233" s="1186"/>
      <c r="O233" s="1186">
        <v>1</v>
      </c>
      <c r="P233" s="1186"/>
      <c r="Q233" s="1186">
        <v>2</v>
      </c>
      <c r="R233" s="1186"/>
      <c r="S233" s="1186" t="s">
        <v>282</v>
      </c>
      <c r="T233" s="1186" t="s">
        <v>619</v>
      </c>
      <c r="U233" s="1186" t="s">
        <v>673</v>
      </c>
      <c r="V233" s="1186">
        <v>130</v>
      </c>
      <c r="W233" s="1186">
        <v>56</v>
      </c>
      <c r="X233" s="1186">
        <v>23</v>
      </c>
      <c r="Y233" s="1186">
        <v>13</v>
      </c>
      <c r="Z233" s="1186">
        <v>38</v>
      </c>
      <c r="AA233" s="1186"/>
    </row>
    <row r="234" spans="1:27" x14ac:dyDescent="0.2">
      <c r="A234" s="1186" t="s">
        <v>282</v>
      </c>
      <c r="B234" s="1186" t="s">
        <v>674</v>
      </c>
      <c r="C234" s="1186" t="s">
        <v>27</v>
      </c>
      <c r="D234" s="1186">
        <v>72</v>
      </c>
      <c r="E234" s="1186">
        <v>39</v>
      </c>
      <c r="F234" s="1186">
        <v>8</v>
      </c>
      <c r="G234" s="1186">
        <v>10</v>
      </c>
      <c r="H234" s="1186">
        <v>15</v>
      </c>
      <c r="I234" s="1186"/>
      <c r="J234" s="1186"/>
      <c r="K234" s="1186"/>
      <c r="L234" s="1186"/>
      <c r="M234" s="1186"/>
      <c r="N234" s="1186"/>
      <c r="O234" s="1186"/>
      <c r="P234" s="1186"/>
      <c r="Q234" s="1186"/>
      <c r="R234" s="1186"/>
      <c r="S234" s="1186" t="s">
        <v>282</v>
      </c>
      <c r="T234" s="1186" t="s">
        <v>27</v>
      </c>
      <c r="U234" s="1186" t="s">
        <v>673</v>
      </c>
      <c r="V234" s="1186">
        <v>20</v>
      </c>
      <c r="W234" s="1186">
        <v>8</v>
      </c>
      <c r="X234" s="1186"/>
      <c r="Y234" s="1186">
        <v>4</v>
      </c>
      <c r="Z234" s="1186">
        <v>8</v>
      </c>
      <c r="AA234" s="1186"/>
    </row>
    <row r="235" spans="1:27" x14ac:dyDescent="0.2">
      <c r="A235" s="1186" t="s">
        <v>282</v>
      </c>
      <c r="B235" s="1186" t="s">
        <v>674</v>
      </c>
      <c r="C235" s="1186" t="s">
        <v>28</v>
      </c>
      <c r="D235" s="1186">
        <v>118</v>
      </c>
      <c r="E235" s="1186">
        <v>49</v>
      </c>
      <c r="F235" s="1186">
        <v>11</v>
      </c>
      <c r="G235" s="1186">
        <v>18</v>
      </c>
      <c r="H235" s="1186">
        <v>39</v>
      </c>
      <c r="I235" s="1186">
        <v>1</v>
      </c>
      <c r="J235" s="1186" t="s">
        <v>282</v>
      </c>
      <c r="K235" s="1186" t="s">
        <v>28</v>
      </c>
      <c r="L235" s="1186" t="s">
        <v>672</v>
      </c>
      <c r="M235" s="1186">
        <v>1</v>
      </c>
      <c r="N235" s="1186"/>
      <c r="O235" s="1186"/>
      <c r="P235" s="1186"/>
      <c r="Q235" s="1186"/>
      <c r="R235" s="1186">
        <v>1</v>
      </c>
      <c r="S235" s="1186" t="s">
        <v>282</v>
      </c>
      <c r="T235" s="1186" t="s">
        <v>28</v>
      </c>
      <c r="U235" s="1186" t="s">
        <v>673</v>
      </c>
      <c r="V235" s="1186">
        <v>7</v>
      </c>
      <c r="W235" s="1186">
        <v>5</v>
      </c>
      <c r="X235" s="1186">
        <v>1</v>
      </c>
      <c r="Y235" s="1186"/>
      <c r="Z235" s="1186">
        <v>1</v>
      </c>
      <c r="AA235" s="1186"/>
    </row>
    <row r="236" spans="1:27" x14ac:dyDescent="0.2">
      <c r="A236" s="1186" t="s">
        <v>282</v>
      </c>
      <c r="B236" s="1186" t="s">
        <v>674</v>
      </c>
      <c r="C236" s="1186" t="s">
        <v>29</v>
      </c>
      <c r="D236" s="1186">
        <v>257</v>
      </c>
      <c r="E236" s="1186">
        <v>137</v>
      </c>
      <c r="F236" s="1186">
        <v>25</v>
      </c>
      <c r="G236" s="1186">
        <v>24</v>
      </c>
      <c r="H236" s="1186">
        <v>69</v>
      </c>
      <c r="I236" s="1186">
        <v>2</v>
      </c>
      <c r="J236" s="1186"/>
      <c r="K236" s="1186"/>
      <c r="L236" s="1186"/>
      <c r="M236" s="1186"/>
      <c r="N236" s="1186"/>
      <c r="O236" s="1186"/>
      <c r="P236" s="1186"/>
      <c r="Q236" s="1186"/>
      <c r="R236" s="1186"/>
      <c r="S236" s="1186" t="s">
        <v>282</v>
      </c>
      <c r="T236" s="1186" t="s">
        <v>29</v>
      </c>
      <c r="U236" s="1186" t="s">
        <v>673</v>
      </c>
      <c r="V236" s="1186">
        <v>53</v>
      </c>
      <c r="W236" s="1186">
        <v>22</v>
      </c>
      <c r="X236" s="1186">
        <v>3</v>
      </c>
      <c r="Y236" s="1186">
        <v>5</v>
      </c>
      <c r="Z236" s="1186">
        <v>23</v>
      </c>
      <c r="AA236" s="1186"/>
    </row>
    <row r="237" spans="1:27" x14ac:dyDescent="0.2">
      <c r="A237" s="1186" t="s">
        <v>282</v>
      </c>
      <c r="B237" s="1186" t="s">
        <v>674</v>
      </c>
      <c r="C237" s="1186" t="s">
        <v>30</v>
      </c>
      <c r="D237" s="1186">
        <v>146</v>
      </c>
      <c r="E237" s="1186">
        <v>105</v>
      </c>
      <c r="F237" s="1186">
        <v>12</v>
      </c>
      <c r="G237" s="1186">
        <v>16</v>
      </c>
      <c r="H237" s="1186">
        <v>11</v>
      </c>
      <c r="I237" s="1186">
        <v>2</v>
      </c>
      <c r="J237" s="1186" t="s">
        <v>282</v>
      </c>
      <c r="K237" s="1186" t="s">
        <v>30</v>
      </c>
      <c r="L237" s="1186" t="s">
        <v>672</v>
      </c>
      <c r="M237" s="1186">
        <v>2</v>
      </c>
      <c r="N237" s="1186"/>
      <c r="O237" s="1186"/>
      <c r="P237" s="1186"/>
      <c r="Q237" s="1186"/>
      <c r="R237" s="1186">
        <v>2</v>
      </c>
      <c r="S237" s="1186" t="s">
        <v>282</v>
      </c>
      <c r="T237" s="1186" t="s">
        <v>30</v>
      </c>
      <c r="U237" s="1186" t="s">
        <v>673</v>
      </c>
      <c r="V237" s="1186">
        <v>29</v>
      </c>
      <c r="W237" s="1186">
        <v>15</v>
      </c>
      <c r="X237" s="1186">
        <v>5</v>
      </c>
      <c r="Y237" s="1186">
        <v>5</v>
      </c>
      <c r="Z237" s="1186">
        <v>3</v>
      </c>
      <c r="AA237" s="1186">
        <v>1</v>
      </c>
    </row>
    <row r="238" spans="1:27" x14ac:dyDescent="0.2">
      <c r="A238" s="1186" t="s">
        <v>282</v>
      </c>
      <c r="B238" s="1186" t="s">
        <v>674</v>
      </c>
      <c r="C238" s="1186" t="s">
        <v>31</v>
      </c>
      <c r="D238" s="1186">
        <v>82</v>
      </c>
      <c r="E238" s="1186">
        <v>41</v>
      </c>
      <c r="F238" s="1186">
        <v>6</v>
      </c>
      <c r="G238" s="1186">
        <v>21</v>
      </c>
      <c r="H238" s="1186">
        <v>12</v>
      </c>
      <c r="I238" s="1186">
        <v>2</v>
      </c>
      <c r="J238" s="1186" t="s">
        <v>282</v>
      </c>
      <c r="K238" s="1186" t="s">
        <v>31</v>
      </c>
      <c r="L238" s="1186" t="s">
        <v>672</v>
      </c>
      <c r="M238" s="1186">
        <v>2</v>
      </c>
      <c r="N238" s="1186"/>
      <c r="O238" s="1186"/>
      <c r="P238" s="1186">
        <v>1</v>
      </c>
      <c r="Q238" s="1186"/>
      <c r="R238" s="1186">
        <v>1</v>
      </c>
      <c r="S238" s="1186" t="s">
        <v>282</v>
      </c>
      <c r="T238" s="1186" t="s">
        <v>31</v>
      </c>
      <c r="U238" s="1186" t="s">
        <v>673</v>
      </c>
      <c r="V238" s="1186">
        <v>23</v>
      </c>
      <c r="W238" s="1186">
        <v>11</v>
      </c>
      <c r="X238" s="1186">
        <v>2</v>
      </c>
      <c r="Y238" s="1186">
        <v>9</v>
      </c>
      <c r="Z238" s="1186"/>
      <c r="AA238" s="1186">
        <v>1</v>
      </c>
    </row>
    <row r="239" spans="1:27" x14ac:dyDescent="0.2">
      <c r="A239" s="1186" t="s">
        <v>282</v>
      </c>
      <c r="B239" s="1186" t="s">
        <v>674</v>
      </c>
      <c r="C239" s="1186" t="s">
        <v>32</v>
      </c>
      <c r="D239" s="1186">
        <v>59</v>
      </c>
      <c r="E239" s="1186">
        <v>23</v>
      </c>
      <c r="F239" s="1186"/>
      <c r="G239" s="1186">
        <v>7</v>
      </c>
      <c r="H239" s="1186">
        <v>27</v>
      </c>
      <c r="I239" s="1186">
        <v>2</v>
      </c>
      <c r="J239" s="1186"/>
      <c r="K239" s="1186"/>
      <c r="L239" s="1186"/>
      <c r="M239" s="1186"/>
      <c r="N239" s="1186"/>
      <c r="O239" s="1186"/>
      <c r="P239" s="1186"/>
      <c r="Q239" s="1186"/>
      <c r="R239" s="1186"/>
      <c r="S239" s="1186" t="s">
        <v>282</v>
      </c>
      <c r="T239" s="1186" t="s">
        <v>32</v>
      </c>
      <c r="U239" s="1186" t="s">
        <v>673</v>
      </c>
      <c r="V239" s="1186">
        <v>8</v>
      </c>
      <c r="W239" s="1186">
        <v>2</v>
      </c>
      <c r="X239" s="1186"/>
      <c r="Y239" s="1186">
        <v>3</v>
      </c>
      <c r="Z239" s="1186">
        <v>3</v>
      </c>
      <c r="AA239" s="1186"/>
    </row>
    <row r="240" spans="1:27" x14ac:dyDescent="0.2">
      <c r="A240" s="1186" t="s">
        <v>282</v>
      </c>
      <c r="B240" s="1186" t="s">
        <v>674</v>
      </c>
      <c r="C240" s="1186" t="s">
        <v>33</v>
      </c>
      <c r="D240" s="1186">
        <v>64</v>
      </c>
      <c r="E240" s="1186">
        <v>40</v>
      </c>
      <c r="F240" s="1186">
        <v>7</v>
      </c>
      <c r="G240" s="1186">
        <v>9</v>
      </c>
      <c r="H240" s="1186">
        <v>7</v>
      </c>
      <c r="I240" s="1186">
        <v>1</v>
      </c>
      <c r="J240" s="1186"/>
      <c r="K240" s="1186"/>
      <c r="L240" s="1186"/>
      <c r="M240" s="1186"/>
      <c r="N240" s="1186"/>
      <c r="O240" s="1186"/>
      <c r="P240" s="1186"/>
      <c r="Q240" s="1186"/>
      <c r="R240" s="1186"/>
      <c r="S240" s="1186" t="s">
        <v>282</v>
      </c>
      <c r="T240" s="1186" t="s">
        <v>33</v>
      </c>
      <c r="U240" s="1186" t="s">
        <v>673</v>
      </c>
      <c r="V240" s="1186">
        <v>7</v>
      </c>
      <c r="W240" s="1186">
        <v>6</v>
      </c>
      <c r="X240" s="1186">
        <v>1</v>
      </c>
      <c r="Y240" s="1186"/>
      <c r="Z240" s="1186"/>
      <c r="AA240" s="1186"/>
    </row>
    <row r="241" spans="1:27" x14ac:dyDescent="0.2">
      <c r="A241" s="1186" t="s">
        <v>282</v>
      </c>
      <c r="B241" s="1186" t="s">
        <v>674</v>
      </c>
      <c r="C241" s="1186" t="s">
        <v>34</v>
      </c>
      <c r="D241" s="1186">
        <v>117</v>
      </c>
      <c r="E241" s="1186">
        <v>36</v>
      </c>
      <c r="F241" s="1186">
        <v>16</v>
      </c>
      <c r="G241" s="1186">
        <v>16</v>
      </c>
      <c r="H241" s="1186">
        <v>48</v>
      </c>
      <c r="I241" s="1186">
        <v>1</v>
      </c>
      <c r="J241" s="1186" t="s">
        <v>282</v>
      </c>
      <c r="K241" s="1186" t="s">
        <v>34</v>
      </c>
      <c r="L241" s="1186" t="s">
        <v>672</v>
      </c>
      <c r="M241" s="1186">
        <v>2</v>
      </c>
      <c r="N241" s="1186"/>
      <c r="O241" s="1186">
        <v>1</v>
      </c>
      <c r="P241" s="1186"/>
      <c r="Q241" s="1186">
        <v>1</v>
      </c>
      <c r="R241" s="1186"/>
      <c r="S241" s="1186" t="s">
        <v>282</v>
      </c>
      <c r="T241" s="1186" t="s">
        <v>34</v>
      </c>
      <c r="U241" s="1186" t="s">
        <v>673</v>
      </c>
      <c r="V241" s="1186">
        <v>30</v>
      </c>
      <c r="W241" s="1186">
        <v>8</v>
      </c>
      <c r="X241" s="1186">
        <v>11</v>
      </c>
      <c r="Y241" s="1186">
        <v>2</v>
      </c>
      <c r="Z241" s="1186">
        <v>9</v>
      </c>
      <c r="AA241" s="1186"/>
    </row>
    <row r="242" spans="1:27" x14ac:dyDescent="0.2">
      <c r="A242" s="1186" t="s">
        <v>282</v>
      </c>
      <c r="B242" s="1186" t="s">
        <v>674</v>
      </c>
      <c r="C242" s="1186" t="s">
        <v>35</v>
      </c>
      <c r="D242" s="1186">
        <v>272</v>
      </c>
      <c r="E242" s="1186">
        <v>114</v>
      </c>
      <c r="F242" s="1186">
        <v>37</v>
      </c>
      <c r="G242" s="1186">
        <v>32</v>
      </c>
      <c r="H242" s="1186">
        <v>87</v>
      </c>
      <c r="I242" s="1186">
        <v>2</v>
      </c>
      <c r="J242" s="1186" t="s">
        <v>282</v>
      </c>
      <c r="K242" s="1186" t="s">
        <v>35</v>
      </c>
      <c r="L242" s="1186" t="s">
        <v>672</v>
      </c>
      <c r="M242" s="1186">
        <v>4</v>
      </c>
      <c r="N242" s="1186">
        <v>2</v>
      </c>
      <c r="O242" s="1186">
        <v>2</v>
      </c>
      <c r="P242" s="1186"/>
      <c r="Q242" s="1186"/>
      <c r="R242" s="1186"/>
      <c r="S242" s="1186" t="s">
        <v>282</v>
      </c>
      <c r="T242" s="1186" t="s">
        <v>35</v>
      </c>
      <c r="U242" s="1186" t="s">
        <v>673</v>
      </c>
      <c r="V242" s="1186">
        <v>65</v>
      </c>
      <c r="W242" s="1186">
        <v>27</v>
      </c>
      <c r="X242" s="1186">
        <v>10</v>
      </c>
      <c r="Y242" s="1186">
        <v>10</v>
      </c>
      <c r="Z242" s="1186">
        <v>17</v>
      </c>
      <c r="AA242" s="1186">
        <v>1</v>
      </c>
    </row>
    <row r="243" spans="1:27" x14ac:dyDescent="0.2">
      <c r="A243" s="1186" t="s">
        <v>282</v>
      </c>
      <c r="B243" s="1186" t="s">
        <v>674</v>
      </c>
      <c r="C243" s="1186" t="s">
        <v>36</v>
      </c>
      <c r="D243" s="1186">
        <v>929</v>
      </c>
      <c r="E243" s="1186">
        <v>565</v>
      </c>
      <c r="F243" s="1186">
        <v>65</v>
      </c>
      <c r="G243" s="1186">
        <v>113</v>
      </c>
      <c r="H243" s="1186">
        <v>176</v>
      </c>
      <c r="I243" s="1186">
        <v>10</v>
      </c>
      <c r="J243" s="1186" t="s">
        <v>282</v>
      </c>
      <c r="K243" s="1186" t="s">
        <v>36</v>
      </c>
      <c r="L243" s="1186" t="s">
        <v>672</v>
      </c>
      <c r="M243" s="1186">
        <v>6</v>
      </c>
      <c r="N243" s="1186">
        <v>3</v>
      </c>
      <c r="O243" s="1186">
        <v>1</v>
      </c>
      <c r="P243" s="1186">
        <v>2</v>
      </c>
      <c r="Q243" s="1186"/>
      <c r="R243" s="1186"/>
      <c r="S243" s="1186" t="s">
        <v>282</v>
      </c>
      <c r="T243" s="1186" t="s">
        <v>36</v>
      </c>
      <c r="U243" s="1186" t="s">
        <v>673</v>
      </c>
      <c r="V243" s="1186">
        <v>209</v>
      </c>
      <c r="W243" s="1186">
        <v>127</v>
      </c>
      <c r="X243" s="1186">
        <v>13</v>
      </c>
      <c r="Y243" s="1186">
        <v>24</v>
      </c>
      <c r="Z243" s="1186">
        <v>45</v>
      </c>
      <c r="AA243" s="1186"/>
    </row>
    <row r="244" spans="1:27" x14ac:dyDescent="0.2">
      <c r="A244" s="1186" t="s">
        <v>282</v>
      </c>
      <c r="B244" s="1186" t="s">
        <v>674</v>
      </c>
      <c r="C244" s="1186" t="s">
        <v>37</v>
      </c>
      <c r="D244" s="1186">
        <v>156</v>
      </c>
      <c r="E244" s="1186">
        <v>78</v>
      </c>
      <c r="F244" s="1186">
        <v>12</v>
      </c>
      <c r="G244" s="1186">
        <v>9</v>
      </c>
      <c r="H244" s="1186">
        <v>52</v>
      </c>
      <c r="I244" s="1186">
        <v>5</v>
      </c>
      <c r="J244" s="1186" t="s">
        <v>282</v>
      </c>
      <c r="K244" s="1186" t="s">
        <v>37</v>
      </c>
      <c r="L244" s="1186" t="s">
        <v>672</v>
      </c>
      <c r="M244" s="1186">
        <v>2</v>
      </c>
      <c r="N244" s="1186"/>
      <c r="O244" s="1186"/>
      <c r="P244" s="1186"/>
      <c r="Q244" s="1186">
        <v>1</v>
      </c>
      <c r="R244" s="1186">
        <v>1</v>
      </c>
      <c r="S244" s="1186" t="s">
        <v>282</v>
      </c>
      <c r="T244" s="1186" t="s">
        <v>37</v>
      </c>
      <c r="U244" s="1186" t="s">
        <v>673</v>
      </c>
      <c r="V244" s="1186">
        <v>43</v>
      </c>
      <c r="W244" s="1186">
        <v>31</v>
      </c>
      <c r="X244" s="1186">
        <v>2</v>
      </c>
      <c r="Y244" s="1186">
        <v>1</v>
      </c>
      <c r="Z244" s="1186">
        <v>9</v>
      </c>
      <c r="AA244" s="1186"/>
    </row>
    <row r="245" spans="1:27" x14ac:dyDescent="0.2">
      <c r="A245" s="1186" t="s">
        <v>282</v>
      </c>
      <c r="B245" s="1186" t="s">
        <v>674</v>
      </c>
      <c r="C245" s="1186" t="s">
        <v>38</v>
      </c>
      <c r="D245" s="1186">
        <v>131</v>
      </c>
      <c r="E245" s="1186">
        <v>70</v>
      </c>
      <c r="F245" s="1186">
        <v>12</v>
      </c>
      <c r="G245" s="1186">
        <v>25</v>
      </c>
      <c r="H245" s="1186">
        <v>22</v>
      </c>
      <c r="I245" s="1186">
        <v>2</v>
      </c>
      <c r="J245" s="1186" t="s">
        <v>282</v>
      </c>
      <c r="K245" s="1186" t="s">
        <v>38</v>
      </c>
      <c r="L245" s="1186" t="s">
        <v>672</v>
      </c>
      <c r="M245" s="1186">
        <v>1</v>
      </c>
      <c r="N245" s="1186"/>
      <c r="O245" s="1186">
        <v>1</v>
      </c>
      <c r="P245" s="1186"/>
      <c r="Q245" s="1186"/>
      <c r="R245" s="1186"/>
      <c r="S245" s="1186" t="s">
        <v>282</v>
      </c>
      <c r="T245" s="1186" t="s">
        <v>38</v>
      </c>
      <c r="U245" s="1186" t="s">
        <v>673</v>
      </c>
      <c r="V245" s="1186">
        <v>40</v>
      </c>
      <c r="W245" s="1186">
        <v>18</v>
      </c>
      <c r="X245" s="1186">
        <v>6</v>
      </c>
      <c r="Y245" s="1186">
        <v>6</v>
      </c>
      <c r="Z245" s="1186">
        <v>10</v>
      </c>
      <c r="AA245" s="1186"/>
    </row>
    <row r="246" spans="1:27" x14ac:dyDescent="0.2">
      <c r="A246" s="1186" t="s">
        <v>282</v>
      </c>
      <c r="B246" s="1186" t="s">
        <v>674</v>
      </c>
      <c r="C246" s="1186" t="s">
        <v>39</v>
      </c>
      <c r="D246" s="1186">
        <v>77</v>
      </c>
      <c r="E246" s="1186">
        <v>45</v>
      </c>
      <c r="F246" s="1186">
        <v>4</v>
      </c>
      <c r="G246" s="1186">
        <v>4</v>
      </c>
      <c r="H246" s="1186">
        <v>24</v>
      </c>
      <c r="I246" s="1186"/>
      <c r="J246" s="1186"/>
      <c r="K246" s="1186"/>
      <c r="L246" s="1186"/>
      <c r="M246" s="1186"/>
      <c r="N246" s="1186"/>
      <c r="O246" s="1186"/>
      <c r="P246" s="1186"/>
      <c r="Q246" s="1186"/>
      <c r="R246" s="1186"/>
      <c r="S246" s="1186" t="s">
        <v>282</v>
      </c>
      <c r="T246" s="1186" t="s">
        <v>39</v>
      </c>
      <c r="U246" s="1186" t="s">
        <v>673</v>
      </c>
      <c r="V246" s="1186">
        <v>12</v>
      </c>
      <c r="W246" s="1186">
        <v>8</v>
      </c>
      <c r="X246" s="1186">
        <v>1</v>
      </c>
      <c r="Y246" s="1186"/>
      <c r="Z246" s="1186">
        <v>3</v>
      </c>
      <c r="AA246" s="1186"/>
    </row>
    <row r="247" spans="1:27" x14ac:dyDescent="0.2">
      <c r="A247" s="1186" t="s">
        <v>282</v>
      </c>
      <c r="B247" s="1186" t="s">
        <v>674</v>
      </c>
      <c r="C247" s="1186" t="s">
        <v>40</v>
      </c>
      <c r="D247" s="1186">
        <v>55</v>
      </c>
      <c r="E247" s="1186">
        <v>25</v>
      </c>
      <c r="F247" s="1186">
        <v>9</v>
      </c>
      <c r="G247" s="1186">
        <v>8</v>
      </c>
      <c r="H247" s="1186">
        <v>12</v>
      </c>
      <c r="I247" s="1186">
        <v>1</v>
      </c>
      <c r="J247" s="1186" t="s">
        <v>282</v>
      </c>
      <c r="K247" s="1186" t="s">
        <v>40</v>
      </c>
      <c r="L247" s="1186" t="s">
        <v>672</v>
      </c>
      <c r="M247" s="1186">
        <v>1</v>
      </c>
      <c r="N247" s="1186"/>
      <c r="O247" s="1186">
        <v>1</v>
      </c>
      <c r="P247" s="1186"/>
      <c r="Q247" s="1186"/>
      <c r="R247" s="1186"/>
      <c r="S247" s="1186" t="s">
        <v>282</v>
      </c>
      <c r="T247" s="1186" t="s">
        <v>40</v>
      </c>
      <c r="U247" s="1186" t="s">
        <v>673</v>
      </c>
      <c r="V247" s="1186">
        <v>16</v>
      </c>
      <c r="W247" s="1186">
        <v>5</v>
      </c>
      <c r="X247" s="1186">
        <v>5</v>
      </c>
      <c r="Y247" s="1186">
        <v>2</v>
      </c>
      <c r="Z247" s="1186">
        <v>4</v>
      </c>
      <c r="AA247" s="1186"/>
    </row>
    <row r="248" spans="1:27" x14ac:dyDescent="0.2">
      <c r="A248" s="1186" t="s">
        <v>282</v>
      </c>
      <c r="B248" s="1186" t="s">
        <v>674</v>
      </c>
      <c r="C248" s="1186" t="s">
        <v>295</v>
      </c>
      <c r="D248" s="1186">
        <v>22</v>
      </c>
      <c r="E248" s="1186">
        <v>11</v>
      </c>
      <c r="F248" s="1186">
        <v>2</v>
      </c>
      <c r="G248" s="1186">
        <v>6</v>
      </c>
      <c r="H248" s="1186">
        <v>2</v>
      </c>
      <c r="I248" s="1186">
        <v>1</v>
      </c>
      <c r="J248" s="1186" t="s">
        <v>282</v>
      </c>
      <c r="K248" s="1186" t="s">
        <v>295</v>
      </c>
      <c r="L248" s="1186" t="s">
        <v>672</v>
      </c>
      <c r="M248" s="1186">
        <v>3</v>
      </c>
      <c r="N248" s="1186">
        <v>1</v>
      </c>
      <c r="O248" s="1186"/>
      <c r="P248" s="1186">
        <v>1</v>
      </c>
      <c r="Q248" s="1186">
        <v>1</v>
      </c>
      <c r="R248" s="1186"/>
      <c r="S248" s="1186" t="s">
        <v>282</v>
      </c>
      <c r="T248" s="1186" t="s">
        <v>295</v>
      </c>
      <c r="U248" s="1186" t="s">
        <v>673</v>
      </c>
      <c r="V248" s="1186">
        <v>8</v>
      </c>
      <c r="W248" s="1186">
        <v>8</v>
      </c>
      <c r="X248" s="1186"/>
      <c r="Y248" s="1186"/>
      <c r="Z248" s="1186"/>
      <c r="AA248" s="1186"/>
    </row>
    <row r="249" spans="1:27" x14ac:dyDescent="0.2">
      <c r="A249" s="1186" t="s">
        <v>282</v>
      </c>
      <c r="B249" s="1186" t="s">
        <v>674</v>
      </c>
      <c r="C249" s="1186" t="s">
        <v>41</v>
      </c>
      <c r="D249" s="1186">
        <v>167</v>
      </c>
      <c r="E249" s="1186">
        <v>118</v>
      </c>
      <c r="F249" s="1186">
        <v>6</v>
      </c>
      <c r="G249" s="1186">
        <v>20</v>
      </c>
      <c r="H249" s="1186">
        <v>20</v>
      </c>
      <c r="I249" s="1186">
        <v>3</v>
      </c>
      <c r="J249" s="1186"/>
      <c r="K249" s="1186"/>
      <c r="L249" s="1186"/>
      <c r="M249" s="1186"/>
      <c r="N249" s="1186"/>
      <c r="O249" s="1186"/>
      <c r="P249" s="1186"/>
      <c r="Q249" s="1186"/>
      <c r="R249" s="1186"/>
      <c r="S249" s="1186" t="s">
        <v>282</v>
      </c>
      <c r="T249" s="1186" t="s">
        <v>41</v>
      </c>
      <c r="U249" s="1186" t="s">
        <v>673</v>
      </c>
      <c r="V249" s="1186">
        <v>24</v>
      </c>
      <c r="W249" s="1186">
        <v>17</v>
      </c>
      <c r="X249" s="1186">
        <v>2</v>
      </c>
      <c r="Y249" s="1186">
        <v>1</v>
      </c>
      <c r="Z249" s="1186">
        <v>3</v>
      </c>
      <c r="AA249" s="1186">
        <v>1</v>
      </c>
    </row>
    <row r="250" spans="1:27" x14ac:dyDescent="0.2">
      <c r="A250" s="1186" t="s">
        <v>282</v>
      </c>
      <c r="B250" s="1186" t="s">
        <v>674</v>
      </c>
      <c r="C250" s="1186" t="s">
        <v>42</v>
      </c>
      <c r="D250" s="1186">
        <v>353</v>
      </c>
      <c r="E250" s="1186">
        <v>195</v>
      </c>
      <c r="F250" s="1186">
        <v>32</v>
      </c>
      <c r="G250" s="1186">
        <v>41</v>
      </c>
      <c r="H250" s="1186">
        <v>82</v>
      </c>
      <c r="I250" s="1186">
        <v>3</v>
      </c>
      <c r="J250" s="1186" t="s">
        <v>282</v>
      </c>
      <c r="K250" s="1186" t="s">
        <v>42</v>
      </c>
      <c r="L250" s="1186" t="s">
        <v>672</v>
      </c>
      <c r="M250" s="1186">
        <v>1</v>
      </c>
      <c r="N250" s="1186"/>
      <c r="O250" s="1186"/>
      <c r="P250" s="1186">
        <v>1</v>
      </c>
      <c r="Q250" s="1186"/>
      <c r="R250" s="1186"/>
      <c r="S250" s="1186" t="s">
        <v>282</v>
      </c>
      <c r="T250" s="1186" t="s">
        <v>42</v>
      </c>
      <c r="U250" s="1186" t="s">
        <v>673</v>
      </c>
      <c r="V250" s="1186">
        <v>85</v>
      </c>
      <c r="W250" s="1186">
        <v>40</v>
      </c>
      <c r="X250" s="1186">
        <v>21</v>
      </c>
      <c r="Y250" s="1186">
        <v>6</v>
      </c>
      <c r="Z250" s="1186">
        <v>18</v>
      </c>
      <c r="AA250" s="1186"/>
    </row>
    <row r="251" spans="1:27" x14ac:dyDescent="0.2">
      <c r="A251" s="1186" t="s">
        <v>282</v>
      </c>
      <c r="B251" s="1186" t="s">
        <v>674</v>
      </c>
      <c r="C251" s="1186" t="s">
        <v>43</v>
      </c>
      <c r="D251" s="1186">
        <v>7</v>
      </c>
      <c r="E251" s="1186">
        <v>4</v>
      </c>
      <c r="F251" s="1186">
        <v>1</v>
      </c>
      <c r="G251" s="1186"/>
      <c r="H251" s="1186">
        <v>2</v>
      </c>
      <c r="I251" s="1186"/>
      <c r="J251" s="1186"/>
      <c r="K251" s="1186"/>
      <c r="L251" s="1186"/>
      <c r="M251" s="1186"/>
      <c r="N251" s="1186"/>
      <c r="O251" s="1186"/>
      <c r="P251" s="1186"/>
      <c r="Q251" s="1186"/>
      <c r="R251" s="1186"/>
      <c r="S251" s="1186" t="s">
        <v>282</v>
      </c>
      <c r="T251" s="1186" t="s">
        <v>43</v>
      </c>
      <c r="U251" s="1186" t="s">
        <v>673</v>
      </c>
      <c r="V251" s="1186">
        <v>3</v>
      </c>
      <c r="W251" s="1186"/>
      <c r="X251" s="1186"/>
      <c r="Y251" s="1186"/>
      <c r="Z251" s="1186">
        <v>3</v>
      </c>
      <c r="AA251" s="1186"/>
    </row>
    <row r="252" spans="1:27" x14ac:dyDescent="0.2">
      <c r="A252" s="1186" t="s">
        <v>282</v>
      </c>
      <c r="B252" s="1186" t="s">
        <v>674</v>
      </c>
      <c r="C252" s="1186" t="s">
        <v>44</v>
      </c>
      <c r="D252" s="1186">
        <v>146</v>
      </c>
      <c r="E252" s="1186">
        <v>74</v>
      </c>
      <c r="F252" s="1186">
        <v>2</v>
      </c>
      <c r="G252" s="1186">
        <v>11</v>
      </c>
      <c r="H252" s="1186">
        <v>54</v>
      </c>
      <c r="I252" s="1186">
        <v>5</v>
      </c>
      <c r="J252" s="1186" t="s">
        <v>282</v>
      </c>
      <c r="K252" s="1186" t="s">
        <v>44</v>
      </c>
      <c r="L252" s="1186" t="s">
        <v>672</v>
      </c>
      <c r="M252" s="1186">
        <v>1</v>
      </c>
      <c r="N252" s="1186"/>
      <c r="O252" s="1186"/>
      <c r="P252" s="1186"/>
      <c r="Q252" s="1186"/>
      <c r="R252" s="1186">
        <v>1</v>
      </c>
      <c r="S252" s="1186" t="s">
        <v>282</v>
      </c>
      <c r="T252" s="1186" t="s">
        <v>44</v>
      </c>
      <c r="U252" s="1186" t="s">
        <v>673</v>
      </c>
      <c r="V252" s="1186">
        <v>29</v>
      </c>
      <c r="W252" s="1186">
        <v>16</v>
      </c>
      <c r="X252" s="1186"/>
      <c r="Y252" s="1186"/>
      <c r="Z252" s="1186">
        <v>13</v>
      </c>
      <c r="AA252" s="1186"/>
    </row>
    <row r="253" spans="1:27" x14ac:dyDescent="0.2">
      <c r="A253" s="1186" t="s">
        <v>282</v>
      </c>
      <c r="B253" s="1186" t="s">
        <v>674</v>
      </c>
      <c r="C253" s="1186" t="s">
        <v>45</v>
      </c>
      <c r="D253" s="1186">
        <v>205</v>
      </c>
      <c r="E253" s="1186">
        <v>126</v>
      </c>
      <c r="F253" s="1186">
        <v>13</v>
      </c>
      <c r="G253" s="1186">
        <v>26</v>
      </c>
      <c r="H253" s="1186">
        <v>38</v>
      </c>
      <c r="I253" s="1186">
        <v>2</v>
      </c>
      <c r="J253" s="1186" t="s">
        <v>282</v>
      </c>
      <c r="K253" s="1186" t="s">
        <v>45</v>
      </c>
      <c r="L253" s="1186" t="s">
        <v>672</v>
      </c>
      <c r="M253" s="1186">
        <v>1</v>
      </c>
      <c r="N253" s="1186"/>
      <c r="O253" s="1186"/>
      <c r="P253" s="1186"/>
      <c r="Q253" s="1186"/>
      <c r="R253" s="1186">
        <v>1</v>
      </c>
      <c r="S253" s="1186" t="s">
        <v>282</v>
      </c>
      <c r="T253" s="1186" t="s">
        <v>45</v>
      </c>
      <c r="U253" s="1186" t="s">
        <v>673</v>
      </c>
      <c r="V253" s="1186">
        <v>30</v>
      </c>
      <c r="W253" s="1186">
        <v>24</v>
      </c>
      <c r="X253" s="1186">
        <v>2</v>
      </c>
      <c r="Y253" s="1186">
        <v>1</v>
      </c>
      <c r="Z253" s="1186">
        <v>3</v>
      </c>
      <c r="AA253" s="1186"/>
    </row>
    <row r="254" spans="1:27" x14ac:dyDescent="0.2">
      <c r="A254" s="1186" t="s">
        <v>282</v>
      </c>
      <c r="B254" s="1186" t="s">
        <v>674</v>
      </c>
      <c r="C254" s="1186" t="s">
        <v>46</v>
      </c>
      <c r="D254" s="1186">
        <v>91</v>
      </c>
      <c r="E254" s="1186">
        <v>42</v>
      </c>
      <c r="F254" s="1186">
        <v>11</v>
      </c>
      <c r="G254" s="1186">
        <v>14</v>
      </c>
      <c r="H254" s="1186">
        <v>23</v>
      </c>
      <c r="I254" s="1186">
        <v>1</v>
      </c>
      <c r="J254" s="1186" t="s">
        <v>282</v>
      </c>
      <c r="K254" s="1186" t="s">
        <v>46</v>
      </c>
      <c r="L254" s="1186" t="s">
        <v>672</v>
      </c>
      <c r="M254" s="1186">
        <v>1</v>
      </c>
      <c r="N254" s="1186"/>
      <c r="O254" s="1186"/>
      <c r="P254" s="1186">
        <v>1</v>
      </c>
      <c r="Q254" s="1186"/>
      <c r="R254" s="1186"/>
      <c r="S254" s="1186" t="s">
        <v>282</v>
      </c>
      <c r="T254" s="1186" t="s">
        <v>46</v>
      </c>
      <c r="U254" s="1186" t="s">
        <v>673</v>
      </c>
      <c r="V254" s="1186">
        <v>25</v>
      </c>
      <c r="W254" s="1186">
        <v>16</v>
      </c>
      <c r="X254" s="1186">
        <v>4</v>
      </c>
      <c r="Y254" s="1186">
        <v>2</v>
      </c>
      <c r="Z254" s="1186">
        <v>3</v>
      </c>
      <c r="AA254" s="1186"/>
    </row>
    <row r="255" spans="1:27" x14ac:dyDescent="0.2">
      <c r="A255" s="1186" t="s">
        <v>282</v>
      </c>
      <c r="B255" s="1186" t="s">
        <v>674</v>
      </c>
      <c r="C255" s="1186" t="s">
        <v>47</v>
      </c>
      <c r="D255" s="1186">
        <v>9</v>
      </c>
      <c r="E255" s="1186">
        <v>1</v>
      </c>
      <c r="F255" s="1186">
        <v>1</v>
      </c>
      <c r="G255" s="1186"/>
      <c r="H255" s="1186">
        <v>7</v>
      </c>
      <c r="I255" s="1186"/>
      <c r="J255" s="1186"/>
      <c r="K255" s="1186"/>
      <c r="L255" s="1186"/>
      <c r="M255" s="1186"/>
      <c r="N255" s="1186"/>
      <c r="O255" s="1186"/>
      <c r="P255" s="1186"/>
      <c r="Q255" s="1186"/>
      <c r="R255" s="1186"/>
      <c r="S255" s="1186" t="s">
        <v>282</v>
      </c>
      <c r="T255" s="1186" t="s">
        <v>47</v>
      </c>
      <c r="U255" s="1186" t="s">
        <v>673</v>
      </c>
      <c r="V255" s="1186">
        <v>1</v>
      </c>
      <c r="W255" s="1186"/>
      <c r="X255" s="1186"/>
      <c r="Y255" s="1186"/>
      <c r="Z255" s="1186">
        <v>1</v>
      </c>
      <c r="AA255" s="1186"/>
    </row>
    <row r="256" spans="1:27" x14ac:dyDescent="0.2">
      <c r="A256" s="1186" t="s">
        <v>282</v>
      </c>
      <c r="B256" s="1186" t="s">
        <v>674</v>
      </c>
      <c r="C256" s="1186" t="s">
        <v>48</v>
      </c>
      <c r="D256" s="1186">
        <v>97</v>
      </c>
      <c r="E256" s="1186">
        <v>47</v>
      </c>
      <c r="F256" s="1186">
        <v>13</v>
      </c>
      <c r="G256" s="1186">
        <v>14</v>
      </c>
      <c r="H256" s="1186">
        <v>22</v>
      </c>
      <c r="I256" s="1186">
        <v>1</v>
      </c>
      <c r="J256" s="1186"/>
      <c r="K256" s="1186"/>
      <c r="L256" s="1186"/>
      <c r="M256" s="1186"/>
      <c r="N256" s="1186"/>
      <c r="O256" s="1186"/>
      <c r="P256" s="1186"/>
      <c r="Q256" s="1186"/>
      <c r="R256" s="1186"/>
      <c r="S256" s="1186" t="s">
        <v>282</v>
      </c>
      <c r="T256" s="1186" t="s">
        <v>48</v>
      </c>
      <c r="U256" s="1186" t="s">
        <v>673</v>
      </c>
      <c r="V256" s="1186">
        <v>23</v>
      </c>
      <c r="W256" s="1186">
        <v>14</v>
      </c>
      <c r="X256" s="1186">
        <v>5</v>
      </c>
      <c r="Y256" s="1186">
        <v>1</v>
      </c>
      <c r="Z256" s="1186">
        <v>3</v>
      </c>
      <c r="AA256" s="1186"/>
    </row>
    <row r="257" spans="1:27" x14ac:dyDescent="0.2">
      <c r="A257" s="1186" t="s">
        <v>282</v>
      </c>
      <c r="B257" s="1186" t="s">
        <v>674</v>
      </c>
      <c r="C257" s="1186" t="s">
        <v>49</v>
      </c>
      <c r="D257" s="1186">
        <v>250</v>
      </c>
      <c r="E257" s="1186">
        <v>132</v>
      </c>
      <c r="F257" s="1186">
        <v>16</v>
      </c>
      <c r="G257" s="1186">
        <v>44</v>
      </c>
      <c r="H257" s="1186">
        <v>55</v>
      </c>
      <c r="I257" s="1186">
        <v>3</v>
      </c>
      <c r="J257" s="1186"/>
      <c r="K257" s="1186"/>
      <c r="L257" s="1186"/>
      <c r="M257" s="1186"/>
      <c r="N257" s="1186"/>
      <c r="O257" s="1186"/>
      <c r="P257" s="1186"/>
      <c r="Q257" s="1186"/>
      <c r="R257" s="1186"/>
      <c r="S257" s="1186" t="s">
        <v>282</v>
      </c>
      <c r="T257" s="1186" t="s">
        <v>49</v>
      </c>
      <c r="U257" s="1186" t="s">
        <v>673</v>
      </c>
      <c r="V257" s="1186">
        <v>46</v>
      </c>
      <c r="W257" s="1186">
        <v>30</v>
      </c>
      <c r="X257" s="1186">
        <v>4</v>
      </c>
      <c r="Y257" s="1186">
        <v>2</v>
      </c>
      <c r="Z257" s="1186">
        <v>10</v>
      </c>
      <c r="AA257" s="1186"/>
    </row>
    <row r="258" spans="1:27" x14ac:dyDescent="0.2">
      <c r="A258" s="1186" t="s">
        <v>282</v>
      </c>
      <c r="B258" s="1186" t="s">
        <v>674</v>
      </c>
      <c r="C258" s="1186" t="s">
        <v>50</v>
      </c>
      <c r="D258" s="1186">
        <v>86</v>
      </c>
      <c r="E258" s="1186">
        <v>40</v>
      </c>
      <c r="F258" s="1186">
        <v>7</v>
      </c>
      <c r="G258" s="1186">
        <v>9</v>
      </c>
      <c r="H258" s="1186">
        <v>27</v>
      </c>
      <c r="I258" s="1186">
        <v>3</v>
      </c>
      <c r="J258" s="1186" t="s">
        <v>282</v>
      </c>
      <c r="K258" s="1186" t="s">
        <v>50</v>
      </c>
      <c r="L258" s="1186" t="s">
        <v>672</v>
      </c>
      <c r="M258" s="1186">
        <v>1</v>
      </c>
      <c r="N258" s="1186"/>
      <c r="O258" s="1186"/>
      <c r="P258" s="1186">
        <v>1</v>
      </c>
      <c r="Q258" s="1186"/>
      <c r="R258" s="1186"/>
      <c r="S258" s="1186" t="s">
        <v>282</v>
      </c>
      <c r="T258" s="1186" t="s">
        <v>50</v>
      </c>
      <c r="U258" s="1186" t="s">
        <v>673</v>
      </c>
      <c r="V258" s="1186">
        <v>11</v>
      </c>
      <c r="W258" s="1186">
        <v>3</v>
      </c>
      <c r="X258" s="1186">
        <v>2</v>
      </c>
      <c r="Y258" s="1186">
        <v>2</v>
      </c>
      <c r="Z258" s="1186">
        <v>4</v>
      </c>
      <c r="AA258" s="1186"/>
    </row>
    <row r="259" spans="1:27" x14ac:dyDescent="0.2">
      <c r="A259" s="1186" t="s">
        <v>282</v>
      </c>
      <c r="B259" s="1186" t="s">
        <v>674</v>
      </c>
      <c r="C259" s="1186" t="s">
        <v>51</v>
      </c>
      <c r="D259" s="1186">
        <v>143</v>
      </c>
      <c r="E259" s="1186">
        <v>99</v>
      </c>
      <c r="F259" s="1186">
        <v>6</v>
      </c>
      <c r="G259" s="1186">
        <v>21</v>
      </c>
      <c r="H259" s="1186">
        <v>16</v>
      </c>
      <c r="I259" s="1186">
        <v>1</v>
      </c>
      <c r="J259" s="1186"/>
      <c r="K259" s="1186"/>
      <c r="L259" s="1186"/>
      <c r="M259" s="1186"/>
      <c r="N259" s="1186"/>
      <c r="O259" s="1186"/>
      <c r="P259" s="1186"/>
      <c r="Q259" s="1186"/>
      <c r="R259" s="1186"/>
      <c r="S259" s="1186" t="s">
        <v>282</v>
      </c>
      <c r="T259" s="1186" t="s">
        <v>51</v>
      </c>
      <c r="U259" s="1186" t="s">
        <v>673</v>
      </c>
      <c r="V259" s="1186">
        <v>20</v>
      </c>
      <c r="W259" s="1186">
        <v>12</v>
      </c>
      <c r="X259" s="1186">
        <v>1</v>
      </c>
      <c r="Y259" s="1186">
        <v>3</v>
      </c>
      <c r="Z259" s="1186">
        <v>1</v>
      </c>
      <c r="AA259" s="1186">
        <v>3</v>
      </c>
    </row>
    <row r="260" spans="1:27" x14ac:dyDescent="0.2">
      <c r="A260" s="1186" t="s">
        <v>282</v>
      </c>
      <c r="B260" s="1186" t="s">
        <v>674</v>
      </c>
      <c r="C260" s="1186" t="s">
        <v>52</v>
      </c>
      <c r="D260" s="1186">
        <v>138</v>
      </c>
      <c r="E260" s="1186">
        <v>60</v>
      </c>
      <c r="F260" s="1186">
        <v>20</v>
      </c>
      <c r="G260" s="1186">
        <v>25</v>
      </c>
      <c r="H260" s="1186">
        <v>29</v>
      </c>
      <c r="I260" s="1186">
        <v>4</v>
      </c>
      <c r="J260" s="1186"/>
      <c r="K260" s="1186"/>
      <c r="L260" s="1186"/>
      <c r="M260" s="1186"/>
      <c r="N260" s="1186"/>
      <c r="O260" s="1186"/>
      <c r="P260" s="1186"/>
      <c r="Q260" s="1186"/>
      <c r="R260" s="1186"/>
      <c r="S260" s="1186" t="s">
        <v>282</v>
      </c>
      <c r="T260" s="1186" t="s">
        <v>52</v>
      </c>
      <c r="U260" s="1186" t="s">
        <v>673</v>
      </c>
      <c r="V260" s="1186">
        <v>34</v>
      </c>
      <c r="W260" s="1186">
        <v>11</v>
      </c>
      <c r="X260" s="1186">
        <v>11</v>
      </c>
      <c r="Y260" s="1186">
        <v>3</v>
      </c>
      <c r="Z260" s="1186">
        <v>8</v>
      </c>
      <c r="AA260" s="1186">
        <v>1</v>
      </c>
    </row>
    <row r="261" spans="1:27" x14ac:dyDescent="0.2">
      <c r="A261" s="1186" t="s">
        <v>311</v>
      </c>
      <c r="B261" s="1186" t="s">
        <v>674</v>
      </c>
      <c r="C261" s="1186" t="s">
        <v>23</v>
      </c>
      <c r="D261" s="1186">
        <v>277</v>
      </c>
      <c r="E261" s="1186">
        <v>157</v>
      </c>
      <c r="F261" s="1186">
        <v>17</v>
      </c>
      <c r="G261" s="1186">
        <v>27</v>
      </c>
      <c r="H261" s="1186">
        <v>72</v>
      </c>
      <c r="I261" s="1186">
        <v>4</v>
      </c>
      <c r="J261" s="1186" t="s">
        <v>311</v>
      </c>
      <c r="K261" s="1186" t="s">
        <v>23</v>
      </c>
      <c r="L261" s="1186" t="s">
        <v>672</v>
      </c>
      <c r="M261" s="1186">
        <v>3</v>
      </c>
      <c r="N261" s="1186"/>
      <c r="O261" s="1186">
        <v>1</v>
      </c>
      <c r="P261" s="1186">
        <v>2</v>
      </c>
      <c r="Q261" s="1186"/>
      <c r="R261" s="1186"/>
      <c r="S261" s="1186" t="s">
        <v>311</v>
      </c>
      <c r="T261" s="1186" t="s">
        <v>23</v>
      </c>
      <c r="U261" s="1186" t="s">
        <v>673</v>
      </c>
      <c r="V261" s="1186">
        <v>29</v>
      </c>
      <c r="W261" s="1186">
        <v>14</v>
      </c>
      <c r="X261" s="1186">
        <v>5</v>
      </c>
      <c r="Y261" s="1186"/>
      <c r="Z261" s="1186">
        <v>8</v>
      </c>
      <c r="AA261" s="1186">
        <v>2</v>
      </c>
    </row>
    <row r="262" spans="1:27" x14ac:dyDescent="0.2">
      <c r="A262" s="1186" t="s">
        <v>311</v>
      </c>
      <c r="B262" s="1186" t="s">
        <v>674</v>
      </c>
      <c r="C262" s="1186" t="s">
        <v>24</v>
      </c>
      <c r="D262" s="1186">
        <v>167</v>
      </c>
      <c r="E262" s="1186">
        <v>76</v>
      </c>
      <c r="F262" s="1186">
        <v>12</v>
      </c>
      <c r="G262" s="1186">
        <v>16</v>
      </c>
      <c r="H262" s="1186">
        <v>61</v>
      </c>
      <c r="I262" s="1186">
        <v>2</v>
      </c>
      <c r="J262" s="1186" t="s">
        <v>311</v>
      </c>
      <c r="K262" s="1186" t="s">
        <v>24</v>
      </c>
      <c r="L262" s="1186" t="s">
        <v>672</v>
      </c>
      <c r="M262" s="1186">
        <v>1</v>
      </c>
      <c r="N262" s="1186">
        <v>1</v>
      </c>
      <c r="O262" s="1186"/>
      <c r="P262" s="1186"/>
      <c r="Q262" s="1186"/>
      <c r="R262" s="1186"/>
      <c r="S262" s="1186" t="s">
        <v>311</v>
      </c>
      <c r="T262" s="1186" t="s">
        <v>24</v>
      </c>
      <c r="U262" s="1186" t="s">
        <v>673</v>
      </c>
      <c r="V262" s="1186">
        <v>32</v>
      </c>
      <c r="W262" s="1186">
        <v>7</v>
      </c>
      <c r="X262" s="1186">
        <v>5</v>
      </c>
      <c r="Y262" s="1186">
        <v>2</v>
      </c>
      <c r="Z262" s="1186">
        <v>18</v>
      </c>
      <c r="AA262" s="1186"/>
    </row>
    <row r="263" spans="1:27" x14ac:dyDescent="0.2">
      <c r="A263" s="1186" t="s">
        <v>311</v>
      </c>
      <c r="B263" s="1186" t="s">
        <v>674</v>
      </c>
      <c r="C263" s="1186" t="s">
        <v>25</v>
      </c>
      <c r="D263" s="1186">
        <v>79</v>
      </c>
      <c r="E263" s="1186">
        <v>44</v>
      </c>
      <c r="F263" s="1186">
        <v>6</v>
      </c>
      <c r="G263" s="1186">
        <v>5</v>
      </c>
      <c r="H263" s="1186">
        <v>24</v>
      </c>
      <c r="I263" s="1186"/>
      <c r="J263" s="1186"/>
      <c r="K263" s="1186"/>
      <c r="L263" s="1186"/>
      <c r="M263" s="1186"/>
      <c r="N263" s="1186"/>
      <c r="O263" s="1186"/>
      <c r="P263" s="1186"/>
      <c r="Q263" s="1186"/>
      <c r="R263" s="1186"/>
      <c r="S263" s="1186" t="s">
        <v>311</v>
      </c>
      <c r="T263" s="1186" t="s">
        <v>25</v>
      </c>
      <c r="U263" s="1186" t="s">
        <v>673</v>
      </c>
      <c r="V263" s="1186">
        <v>18</v>
      </c>
      <c r="W263" s="1186">
        <v>9</v>
      </c>
      <c r="X263" s="1186">
        <v>2</v>
      </c>
      <c r="Y263" s="1186">
        <v>2</v>
      </c>
      <c r="Z263" s="1186">
        <v>5</v>
      </c>
      <c r="AA263" s="1186"/>
    </row>
    <row r="264" spans="1:27" x14ac:dyDescent="0.2">
      <c r="A264" s="1186" t="s">
        <v>311</v>
      </c>
      <c r="B264" s="1186" t="s">
        <v>674</v>
      </c>
      <c r="C264" s="1186" t="s">
        <v>26</v>
      </c>
      <c r="D264" s="1186">
        <v>87</v>
      </c>
      <c r="E264" s="1186">
        <v>45</v>
      </c>
      <c r="F264" s="1186">
        <v>12</v>
      </c>
      <c r="G264" s="1186">
        <v>11</v>
      </c>
      <c r="H264" s="1186">
        <v>13</v>
      </c>
      <c r="I264" s="1186">
        <v>6</v>
      </c>
      <c r="J264" s="1186" t="s">
        <v>311</v>
      </c>
      <c r="K264" s="1186" t="s">
        <v>26</v>
      </c>
      <c r="L264" s="1186" t="s">
        <v>672</v>
      </c>
      <c r="M264" s="1186">
        <v>1</v>
      </c>
      <c r="N264" s="1186">
        <v>1</v>
      </c>
      <c r="O264" s="1186"/>
      <c r="P264" s="1186"/>
      <c r="Q264" s="1186"/>
      <c r="R264" s="1186"/>
      <c r="S264" s="1186" t="s">
        <v>311</v>
      </c>
      <c r="T264" s="1186" t="s">
        <v>26</v>
      </c>
      <c r="U264" s="1186" t="s">
        <v>673</v>
      </c>
      <c r="V264" s="1186">
        <v>18</v>
      </c>
      <c r="W264" s="1186">
        <v>10</v>
      </c>
      <c r="X264" s="1186">
        <v>1</v>
      </c>
      <c r="Y264" s="1186">
        <v>4</v>
      </c>
      <c r="Z264" s="1186">
        <v>3</v>
      </c>
      <c r="AA264" s="1186"/>
    </row>
    <row r="265" spans="1:27" x14ac:dyDescent="0.2">
      <c r="A265" s="1186" t="s">
        <v>311</v>
      </c>
      <c r="B265" s="1186" t="s">
        <v>674</v>
      </c>
      <c r="C265" s="1186" t="s">
        <v>619</v>
      </c>
      <c r="D265" s="1186">
        <v>526</v>
      </c>
      <c r="E265" s="1186">
        <v>222</v>
      </c>
      <c r="F265" s="1186">
        <v>35</v>
      </c>
      <c r="G265" s="1186">
        <v>62</v>
      </c>
      <c r="H265" s="1186">
        <v>198</v>
      </c>
      <c r="I265" s="1186">
        <v>9</v>
      </c>
      <c r="J265" s="1186" t="s">
        <v>311</v>
      </c>
      <c r="K265" s="1186" t="s">
        <v>619</v>
      </c>
      <c r="L265" s="1186" t="s">
        <v>672</v>
      </c>
      <c r="M265" s="1186">
        <v>1</v>
      </c>
      <c r="N265" s="1186">
        <v>1</v>
      </c>
      <c r="O265" s="1186"/>
      <c r="P265" s="1186"/>
      <c r="Q265" s="1186"/>
      <c r="R265" s="1186"/>
      <c r="S265" s="1186" t="s">
        <v>311</v>
      </c>
      <c r="T265" s="1186" t="s">
        <v>619</v>
      </c>
      <c r="U265" s="1186" t="s">
        <v>673</v>
      </c>
      <c r="V265" s="1186">
        <v>79</v>
      </c>
      <c r="W265" s="1186">
        <v>38</v>
      </c>
      <c r="X265" s="1186">
        <v>9</v>
      </c>
      <c r="Y265" s="1186">
        <v>7</v>
      </c>
      <c r="Z265" s="1186">
        <v>22</v>
      </c>
      <c r="AA265" s="1186">
        <v>3</v>
      </c>
    </row>
    <row r="266" spans="1:27" x14ac:dyDescent="0.2">
      <c r="A266" s="1186" t="s">
        <v>311</v>
      </c>
      <c r="B266" s="1186" t="s">
        <v>674</v>
      </c>
      <c r="C266" s="1186" t="s">
        <v>27</v>
      </c>
      <c r="D266" s="1186">
        <v>51</v>
      </c>
      <c r="E266" s="1186">
        <v>28</v>
      </c>
      <c r="F266" s="1186">
        <v>10</v>
      </c>
      <c r="G266" s="1186">
        <v>4</v>
      </c>
      <c r="H266" s="1186">
        <v>8</v>
      </c>
      <c r="I266" s="1186">
        <v>1</v>
      </c>
      <c r="J266" s="1186"/>
      <c r="K266" s="1186"/>
      <c r="L266" s="1186"/>
      <c r="M266" s="1186"/>
      <c r="N266" s="1186"/>
      <c r="O266" s="1186"/>
      <c r="P266" s="1186"/>
      <c r="Q266" s="1186"/>
      <c r="R266" s="1186"/>
      <c r="S266" s="1186" t="s">
        <v>311</v>
      </c>
      <c r="T266" s="1186" t="s">
        <v>27</v>
      </c>
      <c r="U266" s="1186" t="s">
        <v>673</v>
      </c>
      <c r="V266" s="1186">
        <v>8</v>
      </c>
      <c r="W266" s="1186">
        <v>6</v>
      </c>
      <c r="X266" s="1186">
        <v>1</v>
      </c>
      <c r="Y266" s="1186"/>
      <c r="Z266" s="1186">
        <v>1</v>
      </c>
      <c r="AA266" s="1186"/>
    </row>
    <row r="267" spans="1:27" x14ac:dyDescent="0.2">
      <c r="A267" s="1186" t="s">
        <v>311</v>
      </c>
      <c r="B267" s="1186" t="s">
        <v>674</v>
      </c>
      <c r="C267" s="1186" t="s">
        <v>28</v>
      </c>
      <c r="D267" s="1186">
        <v>103</v>
      </c>
      <c r="E267" s="1186">
        <v>33</v>
      </c>
      <c r="F267" s="1186">
        <v>7</v>
      </c>
      <c r="G267" s="1186">
        <v>21</v>
      </c>
      <c r="H267" s="1186">
        <v>41</v>
      </c>
      <c r="I267" s="1186">
        <v>1</v>
      </c>
      <c r="J267" s="1186" t="s">
        <v>311</v>
      </c>
      <c r="K267" s="1186" t="s">
        <v>28</v>
      </c>
      <c r="L267" s="1186" t="s">
        <v>672</v>
      </c>
      <c r="M267" s="1186">
        <v>3</v>
      </c>
      <c r="N267" s="1186"/>
      <c r="O267" s="1186">
        <v>1</v>
      </c>
      <c r="P267" s="1186">
        <v>2</v>
      </c>
      <c r="Q267" s="1186"/>
      <c r="R267" s="1186"/>
      <c r="S267" s="1186" t="s">
        <v>311</v>
      </c>
      <c r="T267" s="1186" t="s">
        <v>28</v>
      </c>
      <c r="U267" s="1186" t="s">
        <v>673</v>
      </c>
      <c r="V267" s="1186">
        <v>4</v>
      </c>
      <c r="W267" s="1186">
        <v>3</v>
      </c>
      <c r="X267" s="1186"/>
      <c r="Y267" s="1186"/>
      <c r="Z267" s="1186">
        <v>1</v>
      </c>
      <c r="AA267" s="1186"/>
    </row>
    <row r="268" spans="1:27" x14ac:dyDescent="0.2">
      <c r="A268" s="1186" t="s">
        <v>311</v>
      </c>
      <c r="B268" s="1186" t="s">
        <v>674</v>
      </c>
      <c r="C268" s="1186" t="s">
        <v>29</v>
      </c>
      <c r="D268" s="1186">
        <v>215</v>
      </c>
      <c r="E268" s="1186">
        <v>125</v>
      </c>
      <c r="F268" s="1186">
        <v>20</v>
      </c>
      <c r="G268" s="1186">
        <v>20</v>
      </c>
      <c r="H268" s="1186">
        <v>49</v>
      </c>
      <c r="I268" s="1186">
        <v>1</v>
      </c>
      <c r="J268" s="1186"/>
      <c r="K268" s="1186"/>
      <c r="L268" s="1186"/>
      <c r="M268" s="1186"/>
      <c r="N268" s="1186"/>
      <c r="O268" s="1186"/>
      <c r="P268" s="1186"/>
      <c r="Q268" s="1186"/>
      <c r="R268" s="1186"/>
      <c r="S268" s="1186" t="s">
        <v>311</v>
      </c>
      <c r="T268" s="1186" t="s">
        <v>29</v>
      </c>
      <c r="U268" s="1186" t="s">
        <v>673</v>
      </c>
      <c r="V268" s="1186">
        <v>34</v>
      </c>
      <c r="W268" s="1186">
        <v>22</v>
      </c>
      <c r="X268" s="1186">
        <v>3</v>
      </c>
      <c r="Y268" s="1186">
        <v>2</v>
      </c>
      <c r="Z268" s="1186">
        <v>7</v>
      </c>
      <c r="AA268" s="1186"/>
    </row>
    <row r="269" spans="1:27" x14ac:dyDescent="0.2">
      <c r="A269" s="1186" t="s">
        <v>311</v>
      </c>
      <c r="B269" s="1186" t="s">
        <v>674</v>
      </c>
      <c r="C269" s="1186" t="s">
        <v>30</v>
      </c>
      <c r="D269" s="1186">
        <v>87</v>
      </c>
      <c r="E269" s="1186">
        <v>51</v>
      </c>
      <c r="F269" s="1186">
        <v>14</v>
      </c>
      <c r="G269" s="1186">
        <v>10</v>
      </c>
      <c r="H269" s="1186">
        <v>10</v>
      </c>
      <c r="I269" s="1186">
        <v>2</v>
      </c>
      <c r="J269" s="1186" t="s">
        <v>311</v>
      </c>
      <c r="K269" s="1186" t="s">
        <v>30</v>
      </c>
      <c r="L269" s="1186" t="s">
        <v>672</v>
      </c>
      <c r="M269" s="1186">
        <v>1</v>
      </c>
      <c r="N269" s="1186"/>
      <c r="O269" s="1186">
        <v>1</v>
      </c>
      <c r="P269" s="1186"/>
      <c r="Q269" s="1186"/>
      <c r="R269" s="1186"/>
      <c r="S269" s="1186" t="s">
        <v>311</v>
      </c>
      <c r="T269" s="1186" t="s">
        <v>30</v>
      </c>
      <c r="U269" s="1186" t="s">
        <v>673</v>
      </c>
      <c r="V269" s="1186">
        <v>26</v>
      </c>
      <c r="W269" s="1186">
        <v>15</v>
      </c>
      <c r="X269" s="1186">
        <v>6</v>
      </c>
      <c r="Y269" s="1186">
        <v>2</v>
      </c>
      <c r="Z269" s="1186">
        <v>1</v>
      </c>
      <c r="AA269" s="1186">
        <v>2</v>
      </c>
    </row>
    <row r="270" spans="1:27" x14ac:dyDescent="0.2">
      <c r="A270" s="1186" t="s">
        <v>311</v>
      </c>
      <c r="B270" s="1186" t="s">
        <v>674</v>
      </c>
      <c r="C270" s="1186" t="s">
        <v>31</v>
      </c>
      <c r="D270" s="1186">
        <v>67</v>
      </c>
      <c r="E270" s="1186">
        <v>34</v>
      </c>
      <c r="F270" s="1186">
        <v>3</v>
      </c>
      <c r="G270" s="1186">
        <v>19</v>
      </c>
      <c r="H270" s="1186">
        <v>10</v>
      </c>
      <c r="I270" s="1186">
        <v>1</v>
      </c>
      <c r="J270" s="1186"/>
      <c r="K270" s="1186"/>
      <c r="L270" s="1186"/>
      <c r="M270" s="1186"/>
      <c r="N270" s="1186"/>
      <c r="O270" s="1186"/>
      <c r="P270" s="1186"/>
      <c r="Q270" s="1186"/>
      <c r="R270" s="1186"/>
      <c r="S270" s="1186" t="s">
        <v>311</v>
      </c>
      <c r="T270" s="1186" t="s">
        <v>31</v>
      </c>
      <c r="U270" s="1186" t="s">
        <v>673</v>
      </c>
      <c r="V270" s="1186">
        <v>13</v>
      </c>
      <c r="W270" s="1186">
        <v>7</v>
      </c>
      <c r="X270" s="1186"/>
      <c r="Y270" s="1186">
        <v>4</v>
      </c>
      <c r="Z270" s="1186">
        <v>2</v>
      </c>
      <c r="AA270" s="1186"/>
    </row>
    <row r="271" spans="1:27" x14ac:dyDescent="0.2">
      <c r="A271" s="1186" t="s">
        <v>311</v>
      </c>
      <c r="B271" s="1186" t="s">
        <v>674</v>
      </c>
      <c r="C271" s="1186" t="s">
        <v>32</v>
      </c>
      <c r="D271" s="1186">
        <v>76</v>
      </c>
      <c r="E271" s="1186">
        <v>45</v>
      </c>
      <c r="F271" s="1186">
        <v>2</v>
      </c>
      <c r="G271" s="1186">
        <v>6</v>
      </c>
      <c r="H271" s="1186">
        <v>20</v>
      </c>
      <c r="I271" s="1186">
        <v>3</v>
      </c>
      <c r="J271" s="1186" t="s">
        <v>311</v>
      </c>
      <c r="K271" s="1186" t="s">
        <v>32</v>
      </c>
      <c r="L271" s="1186" t="s">
        <v>672</v>
      </c>
      <c r="M271" s="1186">
        <v>2</v>
      </c>
      <c r="N271" s="1186"/>
      <c r="O271" s="1186"/>
      <c r="P271" s="1186"/>
      <c r="Q271" s="1186">
        <v>2</v>
      </c>
      <c r="R271" s="1186"/>
      <c r="S271" s="1186" t="s">
        <v>311</v>
      </c>
      <c r="T271" s="1186" t="s">
        <v>32</v>
      </c>
      <c r="U271" s="1186" t="s">
        <v>673</v>
      </c>
      <c r="V271" s="1186">
        <v>7</v>
      </c>
      <c r="W271" s="1186">
        <v>5</v>
      </c>
      <c r="X271" s="1186"/>
      <c r="Y271" s="1186"/>
      <c r="Z271" s="1186">
        <v>2</v>
      </c>
      <c r="AA271" s="1186"/>
    </row>
    <row r="272" spans="1:27" x14ac:dyDescent="0.2">
      <c r="A272" s="1186" t="s">
        <v>311</v>
      </c>
      <c r="B272" s="1186" t="s">
        <v>674</v>
      </c>
      <c r="C272" s="1186" t="s">
        <v>33</v>
      </c>
      <c r="D272" s="1186">
        <v>84</v>
      </c>
      <c r="E272" s="1186">
        <v>58</v>
      </c>
      <c r="F272" s="1186">
        <v>4</v>
      </c>
      <c r="G272" s="1186">
        <v>9</v>
      </c>
      <c r="H272" s="1186">
        <v>11</v>
      </c>
      <c r="I272" s="1186">
        <v>2</v>
      </c>
      <c r="J272" s="1186"/>
      <c r="K272" s="1186"/>
      <c r="L272" s="1186"/>
      <c r="M272" s="1186"/>
      <c r="N272" s="1186"/>
      <c r="O272" s="1186"/>
      <c r="P272" s="1186"/>
      <c r="Q272" s="1186"/>
      <c r="R272" s="1186"/>
      <c r="S272" s="1186" t="s">
        <v>311</v>
      </c>
      <c r="T272" s="1186" t="s">
        <v>33</v>
      </c>
      <c r="U272" s="1186" t="s">
        <v>673</v>
      </c>
      <c r="V272" s="1186">
        <v>9</v>
      </c>
      <c r="W272" s="1186">
        <v>7</v>
      </c>
      <c r="X272" s="1186"/>
      <c r="Y272" s="1186"/>
      <c r="Z272" s="1186">
        <v>2</v>
      </c>
      <c r="AA272" s="1186"/>
    </row>
    <row r="273" spans="1:27" x14ac:dyDescent="0.2">
      <c r="A273" s="1186" t="s">
        <v>311</v>
      </c>
      <c r="B273" s="1186" t="s">
        <v>674</v>
      </c>
      <c r="C273" s="1186" t="s">
        <v>34</v>
      </c>
      <c r="D273" s="1186">
        <v>122</v>
      </c>
      <c r="E273" s="1186">
        <v>52</v>
      </c>
      <c r="F273" s="1186">
        <v>13</v>
      </c>
      <c r="G273" s="1186">
        <v>13</v>
      </c>
      <c r="H273" s="1186">
        <v>44</v>
      </c>
      <c r="I273" s="1186"/>
      <c r="J273" s="1186" t="s">
        <v>311</v>
      </c>
      <c r="K273" s="1186" t="s">
        <v>34</v>
      </c>
      <c r="L273" s="1186" t="s">
        <v>672</v>
      </c>
      <c r="M273" s="1186">
        <v>2</v>
      </c>
      <c r="N273" s="1186">
        <v>1</v>
      </c>
      <c r="O273" s="1186">
        <v>1</v>
      </c>
      <c r="P273" s="1186"/>
      <c r="Q273" s="1186"/>
      <c r="R273" s="1186"/>
      <c r="S273" s="1186" t="s">
        <v>311</v>
      </c>
      <c r="T273" s="1186" t="s">
        <v>34</v>
      </c>
      <c r="U273" s="1186" t="s">
        <v>673</v>
      </c>
      <c r="V273" s="1186">
        <v>20</v>
      </c>
      <c r="W273" s="1186">
        <v>16</v>
      </c>
      <c r="X273" s="1186"/>
      <c r="Y273" s="1186">
        <v>1</v>
      </c>
      <c r="Z273" s="1186">
        <v>3</v>
      </c>
      <c r="AA273" s="1186"/>
    </row>
    <row r="274" spans="1:27" x14ac:dyDescent="0.2">
      <c r="A274" s="1186" t="s">
        <v>311</v>
      </c>
      <c r="B274" s="1186" t="s">
        <v>674</v>
      </c>
      <c r="C274" s="1186" t="s">
        <v>35</v>
      </c>
      <c r="D274" s="1186">
        <v>304</v>
      </c>
      <c r="E274" s="1186">
        <v>129</v>
      </c>
      <c r="F274" s="1186">
        <v>39</v>
      </c>
      <c r="G274" s="1186">
        <v>53</v>
      </c>
      <c r="H274" s="1186">
        <v>77</v>
      </c>
      <c r="I274" s="1186">
        <v>6</v>
      </c>
      <c r="J274" s="1186" t="s">
        <v>311</v>
      </c>
      <c r="K274" s="1186" t="s">
        <v>35</v>
      </c>
      <c r="L274" s="1186" t="s">
        <v>672</v>
      </c>
      <c r="M274" s="1186">
        <v>2</v>
      </c>
      <c r="N274" s="1186"/>
      <c r="O274" s="1186"/>
      <c r="P274" s="1186"/>
      <c r="Q274" s="1186">
        <v>2</v>
      </c>
      <c r="R274" s="1186"/>
      <c r="S274" s="1186" t="s">
        <v>311</v>
      </c>
      <c r="T274" s="1186" t="s">
        <v>35</v>
      </c>
      <c r="U274" s="1186" t="s">
        <v>673</v>
      </c>
      <c r="V274" s="1186">
        <v>32</v>
      </c>
      <c r="W274" s="1186">
        <v>13</v>
      </c>
      <c r="X274" s="1186">
        <v>8</v>
      </c>
      <c r="Y274" s="1186">
        <v>6</v>
      </c>
      <c r="Z274" s="1186">
        <v>5</v>
      </c>
      <c r="AA274" s="1186"/>
    </row>
    <row r="275" spans="1:27" x14ac:dyDescent="0.2">
      <c r="A275" s="1186" t="s">
        <v>311</v>
      </c>
      <c r="B275" s="1186" t="s">
        <v>674</v>
      </c>
      <c r="C275" s="1186" t="s">
        <v>36</v>
      </c>
      <c r="D275" s="1186">
        <v>962</v>
      </c>
      <c r="E275" s="1186">
        <v>566</v>
      </c>
      <c r="F275" s="1186">
        <v>79</v>
      </c>
      <c r="G275" s="1186">
        <v>134</v>
      </c>
      <c r="H275" s="1186">
        <v>168</v>
      </c>
      <c r="I275" s="1186">
        <v>15</v>
      </c>
      <c r="J275" s="1186" t="s">
        <v>311</v>
      </c>
      <c r="K275" s="1186" t="s">
        <v>36</v>
      </c>
      <c r="L275" s="1186" t="s">
        <v>672</v>
      </c>
      <c r="M275" s="1186">
        <v>5</v>
      </c>
      <c r="N275" s="1186">
        <v>3</v>
      </c>
      <c r="O275" s="1186">
        <v>1</v>
      </c>
      <c r="P275" s="1186"/>
      <c r="Q275" s="1186">
        <v>1</v>
      </c>
      <c r="R275" s="1186"/>
      <c r="S275" s="1186" t="s">
        <v>311</v>
      </c>
      <c r="T275" s="1186" t="s">
        <v>36</v>
      </c>
      <c r="U275" s="1186" t="s">
        <v>673</v>
      </c>
      <c r="V275" s="1186">
        <v>185</v>
      </c>
      <c r="W275" s="1186">
        <v>101</v>
      </c>
      <c r="X275" s="1186">
        <v>24</v>
      </c>
      <c r="Y275" s="1186">
        <v>14</v>
      </c>
      <c r="Z275" s="1186">
        <v>42</v>
      </c>
      <c r="AA275" s="1186">
        <v>4</v>
      </c>
    </row>
    <row r="276" spans="1:27" x14ac:dyDescent="0.2">
      <c r="A276" s="1186" t="s">
        <v>311</v>
      </c>
      <c r="B276" s="1186" t="s">
        <v>674</v>
      </c>
      <c r="C276" s="1186" t="s">
        <v>37</v>
      </c>
      <c r="D276" s="1186">
        <v>150</v>
      </c>
      <c r="E276" s="1186">
        <v>54</v>
      </c>
      <c r="F276" s="1186">
        <v>15</v>
      </c>
      <c r="G276" s="1186">
        <v>17</v>
      </c>
      <c r="H276" s="1186">
        <v>59</v>
      </c>
      <c r="I276" s="1186">
        <v>5</v>
      </c>
      <c r="J276" s="1186" t="s">
        <v>311</v>
      </c>
      <c r="K276" s="1186" t="s">
        <v>37</v>
      </c>
      <c r="L276" s="1186" t="s">
        <v>672</v>
      </c>
      <c r="M276" s="1186">
        <v>2</v>
      </c>
      <c r="N276" s="1186"/>
      <c r="O276" s="1186"/>
      <c r="P276" s="1186"/>
      <c r="Q276" s="1186">
        <v>1</v>
      </c>
      <c r="R276" s="1186">
        <v>1</v>
      </c>
      <c r="S276" s="1186" t="s">
        <v>311</v>
      </c>
      <c r="T276" s="1186" t="s">
        <v>37</v>
      </c>
      <c r="U276" s="1186" t="s">
        <v>673</v>
      </c>
      <c r="V276" s="1186">
        <v>31</v>
      </c>
      <c r="W276" s="1186">
        <v>18</v>
      </c>
      <c r="X276" s="1186">
        <v>4</v>
      </c>
      <c r="Y276" s="1186">
        <v>4</v>
      </c>
      <c r="Z276" s="1186">
        <v>5</v>
      </c>
      <c r="AA276" s="1186"/>
    </row>
    <row r="277" spans="1:27" x14ac:dyDescent="0.2">
      <c r="A277" s="1186" t="s">
        <v>311</v>
      </c>
      <c r="B277" s="1186" t="s">
        <v>674</v>
      </c>
      <c r="C277" s="1186" t="s">
        <v>38</v>
      </c>
      <c r="D277" s="1186">
        <v>103</v>
      </c>
      <c r="E277" s="1186">
        <v>58</v>
      </c>
      <c r="F277" s="1186">
        <v>3</v>
      </c>
      <c r="G277" s="1186">
        <v>14</v>
      </c>
      <c r="H277" s="1186">
        <v>27</v>
      </c>
      <c r="I277" s="1186">
        <v>1</v>
      </c>
      <c r="J277" s="1186"/>
      <c r="K277" s="1186"/>
      <c r="L277" s="1186"/>
      <c r="M277" s="1186"/>
      <c r="N277" s="1186"/>
      <c r="O277" s="1186"/>
      <c r="P277" s="1186"/>
      <c r="Q277" s="1186"/>
      <c r="R277" s="1186"/>
      <c r="S277" s="1186" t="s">
        <v>311</v>
      </c>
      <c r="T277" s="1186" t="s">
        <v>38</v>
      </c>
      <c r="U277" s="1186" t="s">
        <v>673</v>
      </c>
      <c r="V277" s="1186">
        <v>14</v>
      </c>
      <c r="W277" s="1186">
        <v>11</v>
      </c>
      <c r="X277" s="1186"/>
      <c r="Y277" s="1186">
        <v>1</v>
      </c>
      <c r="Z277" s="1186">
        <v>2</v>
      </c>
      <c r="AA277" s="1186"/>
    </row>
    <row r="278" spans="1:27" x14ac:dyDescent="0.2">
      <c r="A278" s="1186" t="s">
        <v>311</v>
      </c>
      <c r="B278" s="1186" t="s">
        <v>674</v>
      </c>
      <c r="C278" s="1186" t="s">
        <v>39</v>
      </c>
      <c r="D278" s="1186">
        <v>70</v>
      </c>
      <c r="E278" s="1186">
        <v>33</v>
      </c>
      <c r="F278" s="1186">
        <v>7</v>
      </c>
      <c r="G278" s="1186">
        <v>8</v>
      </c>
      <c r="H278" s="1186">
        <v>22</v>
      </c>
      <c r="I278" s="1186"/>
      <c r="J278" s="1186"/>
      <c r="K278" s="1186"/>
      <c r="L278" s="1186"/>
      <c r="M278" s="1186"/>
      <c r="N278" s="1186"/>
      <c r="O278" s="1186"/>
      <c r="P278" s="1186"/>
      <c r="Q278" s="1186"/>
      <c r="R278" s="1186"/>
      <c r="S278" s="1186" t="s">
        <v>311</v>
      </c>
      <c r="T278" s="1186" t="s">
        <v>39</v>
      </c>
      <c r="U278" s="1186" t="s">
        <v>673</v>
      </c>
      <c r="V278" s="1186">
        <v>15</v>
      </c>
      <c r="W278" s="1186">
        <v>11</v>
      </c>
      <c r="X278" s="1186"/>
      <c r="Y278" s="1186">
        <v>2</v>
      </c>
      <c r="Z278" s="1186">
        <v>2</v>
      </c>
      <c r="AA278" s="1186"/>
    </row>
    <row r="279" spans="1:27" x14ac:dyDescent="0.2">
      <c r="A279" s="1186" t="s">
        <v>311</v>
      </c>
      <c r="B279" s="1186" t="s">
        <v>674</v>
      </c>
      <c r="C279" s="1186" t="s">
        <v>40</v>
      </c>
      <c r="D279" s="1186">
        <v>39</v>
      </c>
      <c r="E279" s="1186">
        <v>18</v>
      </c>
      <c r="F279" s="1186">
        <v>5</v>
      </c>
      <c r="G279" s="1186">
        <v>8</v>
      </c>
      <c r="H279" s="1186">
        <v>7</v>
      </c>
      <c r="I279" s="1186">
        <v>1</v>
      </c>
      <c r="J279" s="1186"/>
      <c r="K279" s="1186"/>
      <c r="L279" s="1186"/>
      <c r="M279" s="1186"/>
      <c r="N279" s="1186"/>
      <c r="O279" s="1186"/>
      <c r="P279" s="1186"/>
      <c r="Q279" s="1186"/>
      <c r="R279" s="1186"/>
      <c r="S279" s="1186" t="s">
        <v>311</v>
      </c>
      <c r="T279" s="1186" t="s">
        <v>40</v>
      </c>
      <c r="U279" s="1186" t="s">
        <v>673</v>
      </c>
      <c r="V279" s="1186">
        <v>13</v>
      </c>
      <c r="W279" s="1186">
        <v>6</v>
      </c>
      <c r="X279" s="1186">
        <v>2</v>
      </c>
      <c r="Y279" s="1186">
        <v>3</v>
      </c>
      <c r="Z279" s="1186">
        <v>2</v>
      </c>
      <c r="AA279" s="1186"/>
    </row>
    <row r="280" spans="1:27" x14ac:dyDescent="0.2">
      <c r="A280" s="1186" t="s">
        <v>311</v>
      </c>
      <c r="B280" s="1186" t="s">
        <v>674</v>
      </c>
      <c r="C280" s="1186" t="s">
        <v>295</v>
      </c>
      <c r="D280" s="1186">
        <v>15</v>
      </c>
      <c r="E280" s="1186">
        <v>4</v>
      </c>
      <c r="F280" s="1186">
        <v>3</v>
      </c>
      <c r="G280" s="1186">
        <v>3</v>
      </c>
      <c r="H280" s="1186">
        <v>5</v>
      </c>
      <c r="I280" s="1186"/>
      <c r="J280" s="1186" t="s">
        <v>311</v>
      </c>
      <c r="K280" s="1186" t="s">
        <v>295</v>
      </c>
      <c r="L280" s="1186" t="s">
        <v>672</v>
      </c>
      <c r="M280" s="1186">
        <v>1</v>
      </c>
      <c r="N280" s="1186"/>
      <c r="O280" s="1186"/>
      <c r="P280" s="1186">
        <v>1</v>
      </c>
      <c r="Q280" s="1186"/>
      <c r="R280" s="1186"/>
      <c r="S280" s="1186" t="s">
        <v>311</v>
      </c>
      <c r="T280" s="1186" t="s">
        <v>295</v>
      </c>
      <c r="U280" s="1186" t="s">
        <v>673</v>
      </c>
      <c r="V280" s="1186">
        <v>1</v>
      </c>
      <c r="W280" s="1186"/>
      <c r="X280" s="1186">
        <v>1</v>
      </c>
      <c r="Y280" s="1186"/>
      <c r="Z280" s="1186"/>
      <c r="AA280" s="1186"/>
    </row>
    <row r="281" spans="1:27" x14ac:dyDescent="0.2">
      <c r="A281" s="1186" t="s">
        <v>311</v>
      </c>
      <c r="B281" s="1186" t="s">
        <v>674</v>
      </c>
      <c r="C281" s="1186" t="s">
        <v>41</v>
      </c>
      <c r="D281" s="1186">
        <v>162</v>
      </c>
      <c r="E281" s="1186">
        <v>96</v>
      </c>
      <c r="F281" s="1186">
        <v>12</v>
      </c>
      <c r="G281" s="1186">
        <v>24</v>
      </c>
      <c r="H281" s="1186">
        <v>28</v>
      </c>
      <c r="I281" s="1186">
        <v>2</v>
      </c>
      <c r="J281" s="1186"/>
      <c r="K281" s="1186"/>
      <c r="L281" s="1186"/>
      <c r="M281" s="1186"/>
      <c r="N281" s="1186"/>
      <c r="O281" s="1186"/>
      <c r="P281" s="1186"/>
      <c r="Q281" s="1186"/>
      <c r="R281" s="1186"/>
      <c r="S281" s="1186" t="s">
        <v>311</v>
      </c>
      <c r="T281" s="1186" t="s">
        <v>41</v>
      </c>
      <c r="U281" s="1186" t="s">
        <v>673</v>
      </c>
      <c r="V281" s="1186">
        <v>18</v>
      </c>
      <c r="W281" s="1186">
        <v>12</v>
      </c>
      <c r="X281" s="1186">
        <v>3</v>
      </c>
      <c r="Y281" s="1186">
        <v>1</v>
      </c>
      <c r="Z281" s="1186">
        <v>2</v>
      </c>
      <c r="AA281" s="1186"/>
    </row>
    <row r="282" spans="1:27" x14ac:dyDescent="0.2">
      <c r="A282" s="1186" t="s">
        <v>311</v>
      </c>
      <c r="B282" s="1186" t="s">
        <v>674</v>
      </c>
      <c r="C282" s="1186" t="s">
        <v>42</v>
      </c>
      <c r="D282" s="1186">
        <v>307</v>
      </c>
      <c r="E282" s="1186">
        <v>165</v>
      </c>
      <c r="F282" s="1186">
        <v>38</v>
      </c>
      <c r="G282" s="1186">
        <v>23</v>
      </c>
      <c r="H282" s="1186">
        <v>73</v>
      </c>
      <c r="I282" s="1186">
        <v>8</v>
      </c>
      <c r="J282" s="1186" t="s">
        <v>311</v>
      </c>
      <c r="K282" s="1186" t="s">
        <v>42</v>
      </c>
      <c r="L282" s="1186" t="s">
        <v>672</v>
      </c>
      <c r="M282" s="1186">
        <v>1</v>
      </c>
      <c r="N282" s="1186">
        <v>1</v>
      </c>
      <c r="O282" s="1186"/>
      <c r="P282" s="1186"/>
      <c r="Q282" s="1186"/>
      <c r="R282" s="1186"/>
      <c r="S282" s="1186" t="s">
        <v>311</v>
      </c>
      <c r="T282" s="1186" t="s">
        <v>42</v>
      </c>
      <c r="U282" s="1186" t="s">
        <v>673</v>
      </c>
      <c r="V282" s="1186">
        <v>84</v>
      </c>
      <c r="W282" s="1186">
        <v>44</v>
      </c>
      <c r="X282" s="1186">
        <v>12</v>
      </c>
      <c r="Y282" s="1186">
        <v>3</v>
      </c>
      <c r="Z282" s="1186">
        <v>25</v>
      </c>
      <c r="AA282" s="1186"/>
    </row>
    <row r="283" spans="1:27" x14ac:dyDescent="0.2">
      <c r="A283" s="1186" t="s">
        <v>311</v>
      </c>
      <c r="B283" s="1186" t="s">
        <v>674</v>
      </c>
      <c r="C283" s="1186" t="s">
        <v>43</v>
      </c>
      <c r="D283" s="1186">
        <v>6</v>
      </c>
      <c r="E283" s="1186"/>
      <c r="F283" s="1186">
        <v>1</v>
      </c>
      <c r="G283" s="1186"/>
      <c r="H283" s="1186">
        <v>4</v>
      </c>
      <c r="I283" s="1186">
        <v>1</v>
      </c>
      <c r="J283" s="1186"/>
      <c r="K283" s="1186"/>
      <c r="L283" s="1186"/>
      <c r="M283" s="1186"/>
      <c r="N283" s="1186"/>
      <c r="O283" s="1186"/>
      <c r="P283" s="1186"/>
      <c r="Q283" s="1186"/>
      <c r="R283" s="1186"/>
      <c r="S283" s="1186" t="s">
        <v>311</v>
      </c>
      <c r="T283" s="1186" t="s">
        <v>43</v>
      </c>
      <c r="U283" s="1186" t="s">
        <v>673</v>
      </c>
      <c r="V283" s="1186">
        <v>3</v>
      </c>
      <c r="W283" s="1186"/>
      <c r="X283" s="1186">
        <v>3</v>
      </c>
      <c r="Y283" s="1186"/>
      <c r="Z283" s="1186"/>
      <c r="AA283" s="1186"/>
    </row>
    <row r="284" spans="1:27" x14ac:dyDescent="0.2">
      <c r="A284" s="1186" t="s">
        <v>311</v>
      </c>
      <c r="B284" s="1186" t="s">
        <v>674</v>
      </c>
      <c r="C284" s="1186" t="s">
        <v>44</v>
      </c>
      <c r="D284" s="1186">
        <v>116</v>
      </c>
      <c r="E284" s="1186">
        <v>54</v>
      </c>
      <c r="F284" s="1186">
        <v>6</v>
      </c>
      <c r="G284" s="1186">
        <v>10</v>
      </c>
      <c r="H284" s="1186">
        <v>45</v>
      </c>
      <c r="I284" s="1186">
        <v>1</v>
      </c>
      <c r="J284" s="1186"/>
      <c r="K284" s="1186"/>
      <c r="L284" s="1186"/>
      <c r="M284" s="1186"/>
      <c r="N284" s="1186"/>
      <c r="O284" s="1186"/>
      <c r="P284" s="1186"/>
      <c r="Q284" s="1186"/>
      <c r="R284" s="1186"/>
      <c r="S284" s="1186" t="s">
        <v>311</v>
      </c>
      <c r="T284" s="1186" t="s">
        <v>44</v>
      </c>
      <c r="U284" s="1186" t="s">
        <v>673</v>
      </c>
      <c r="V284" s="1186">
        <v>20</v>
      </c>
      <c r="W284" s="1186">
        <v>11</v>
      </c>
      <c r="X284" s="1186">
        <v>3</v>
      </c>
      <c r="Y284" s="1186"/>
      <c r="Z284" s="1186">
        <v>6</v>
      </c>
      <c r="AA284" s="1186"/>
    </row>
    <row r="285" spans="1:27" x14ac:dyDescent="0.2">
      <c r="A285" s="1186" t="s">
        <v>311</v>
      </c>
      <c r="B285" s="1186" t="s">
        <v>674</v>
      </c>
      <c r="C285" s="1186" t="s">
        <v>45</v>
      </c>
      <c r="D285" s="1186">
        <v>223</v>
      </c>
      <c r="E285" s="1186">
        <v>124</v>
      </c>
      <c r="F285" s="1186">
        <v>11</v>
      </c>
      <c r="G285" s="1186">
        <v>33</v>
      </c>
      <c r="H285" s="1186">
        <v>45</v>
      </c>
      <c r="I285" s="1186">
        <v>10</v>
      </c>
      <c r="J285" s="1186" t="s">
        <v>311</v>
      </c>
      <c r="K285" s="1186" t="s">
        <v>45</v>
      </c>
      <c r="L285" s="1186" t="s">
        <v>672</v>
      </c>
      <c r="M285" s="1186">
        <v>1</v>
      </c>
      <c r="N285" s="1186"/>
      <c r="O285" s="1186"/>
      <c r="P285" s="1186">
        <v>1</v>
      </c>
      <c r="Q285" s="1186"/>
      <c r="R285" s="1186"/>
      <c r="S285" s="1186" t="s">
        <v>311</v>
      </c>
      <c r="T285" s="1186" t="s">
        <v>45</v>
      </c>
      <c r="U285" s="1186" t="s">
        <v>673</v>
      </c>
      <c r="V285" s="1186">
        <v>37</v>
      </c>
      <c r="W285" s="1186">
        <v>25</v>
      </c>
      <c r="X285" s="1186">
        <v>2</v>
      </c>
      <c r="Y285" s="1186">
        <v>3</v>
      </c>
      <c r="Z285" s="1186">
        <v>3</v>
      </c>
      <c r="AA285" s="1186">
        <v>4</v>
      </c>
    </row>
    <row r="286" spans="1:27" x14ac:dyDescent="0.2">
      <c r="A286" s="1186" t="s">
        <v>311</v>
      </c>
      <c r="B286" s="1186" t="s">
        <v>674</v>
      </c>
      <c r="C286" s="1186" t="s">
        <v>46</v>
      </c>
      <c r="D286" s="1186">
        <v>100</v>
      </c>
      <c r="E286" s="1186">
        <v>39</v>
      </c>
      <c r="F286" s="1186">
        <v>9</v>
      </c>
      <c r="G286" s="1186">
        <v>17</v>
      </c>
      <c r="H286" s="1186">
        <v>33</v>
      </c>
      <c r="I286" s="1186">
        <v>2</v>
      </c>
      <c r="J286" s="1186" t="s">
        <v>311</v>
      </c>
      <c r="K286" s="1186" t="s">
        <v>46</v>
      </c>
      <c r="L286" s="1186" t="s">
        <v>672</v>
      </c>
      <c r="M286" s="1186">
        <v>1</v>
      </c>
      <c r="N286" s="1186"/>
      <c r="O286" s="1186">
        <v>1</v>
      </c>
      <c r="P286" s="1186"/>
      <c r="Q286" s="1186"/>
      <c r="R286" s="1186"/>
      <c r="S286" s="1186" t="s">
        <v>311</v>
      </c>
      <c r="T286" s="1186" t="s">
        <v>46</v>
      </c>
      <c r="U286" s="1186" t="s">
        <v>673</v>
      </c>
      <c r="V286" s="1186">
        <v>16</v>
      </c>
      <c r="W286" s="1186">
        <v>9</v>
      </c>
      <c r="X286" s="1186"/>
      <c r="Y286" s="1186">
        <v>1</v>
      </c>
      <c r="Z286" s="1186">
        <v>6</v>
      </c>
      <c r="AA286" s="1186"/>
    </row>
    <row r="287" spans="1:27" x14ac:dyDescent="0.2">
      <c r="A287" s="1186" t="s">
        <v>311</v>
      </c>
      <c r="B287" s="1186" t="s">
        <v>674</v>
      </c>
      <c r="C287" s="1186" t="s">
        <v>47</v>
      </c>
      <c r="D287" s="1186">
        <v>13</v>
      </c>
      <c r="E287" s="1186">
        <v>2</v>
      </c>
      <c r="F287" s="1186">
        <v>4</v>
      </c>
      <c r="G287" s="1186">
        <v>2</v>
      </c>
      <c r="H287" s="1186">
        <v>2</v>
      </c>
      <c r="I287" s="1186">
        <v>3</v>
      </c>
      <c r="J287" s="1186"/>
      <c r="K287" s="1186"/>
      <c r="L287" s="1186"/>
      <c r="M287" s="1186"/>
      <c r="N287" s="1186"/>
      <c r="O287" s="1186"/>
      <c r="P287" s="1186"/>
      <c r="Q287" s="1186"/>
      <c r="R287" s="1186"/>
      <c r="S287" s="1186" t="s">
        <v>311</v>
      </c>
      <c r="T287" s="1186" t="s">
        <v>47</v>
      </c>
      <c r="U287" s="1186" t="s">
        <v>673</v>
      </c>
      <c r="V287" s="1186">
        <v>5</v>
      </c>
      <c r="W287" s="1186">
        <v>1</v>
      </c>
      <c r="X287" s="1186">
        <v>4</v>
      </c>
      <c r="Y287" s="1186"/>
      <c r="Z287" s="1186"/>
      <c r="AA287" s="1186"/>
    </row>
    <row r="288" spans="1:27" x14ac:dyDescent="0.2">
      <c r="A288" s="1186" t="s">
        <v>311</v>
      </c>
      <c r="B288" s="1186" t="s">
        <v>674</v>
      </c>
      <c r="C288" s="1186" t="s">
        <v>48</v>
      </c>
      <c r="D288" s="1186">
        <v>106</v>
      </c>
      <c r="E288" s="1186">
        <v>70</v>
      </c>
      <c r="F288" s="1186">
        <v>9</v>
      </c>
      <c r="G288" s="1186">
        <v>14</v>
      </c>
      <c r="H288" s="1186">
        <v>8</v>
      </c>
      <c r="I288" s="1186">
        <v>5</v>
      </c>
      <c r="J288" s="1186" t="s">
        <v>311</v>
      </c>
      <c r="K288" s="1186" t="s">
        <v>48</v>
      </c>
      <c r="L288" s="1186" t="s">
        <v>672</v>
      </c>
      <c r="M288" s="1186">
        <v>3</v>
      </c>
      <c r="N288" s="1186"/>
      <c r="O288" s="1186">
        <v>1</v>
      </c>
      <c r="P288" s="1186"/>
      <c r="Q288" s="1186"/>
      <c r="R288" s="1186">
        <v>2</v>
      </c>
      <c r="S288" s="1186" t="s">
        <v>311</v>
      </c>
      <c r="T288" s="1186" t="s">
        <v>48</v>
      </c>
      <c r="U288" s="1186" t="s">
        <v>673</v>
      </c>
      <c r="V288" s="1186">
        <v>20</v>
      </c>
      <c r="W288" s="1186">
        <v>12</v>
      </c>
      <c r="X288" s="1186">
        <v>3</v>
      </c>
      <c r="Y288" s="1186">
        <v>2</v>
      </c>
      <c r="Z288" s="1186">
        <v>1</v>
      </c>
      <c r="AA288" s="1186">
        <v>2</v>
      </c>
    </row>
    <row r="289" spans="1:27" x14ac:dyDescent="0.2">
      <c r="A289" s="1186" t="s">
        <v>311</v>
      </c>
      <c r="B289" s="1186" t="s">
        <v>674</v>
      </c>
      <c r="C289" s="1186" t="s">
        <v>49</v>
      </c>
      <c r="D289" s="1186">
        <v>278</v>
      </c>
      <c r="E289" s="1186">
        <v>154</v>
      </c>
      <c r="F289" s="1186">
        <v>16</v>
      </c>
      <c r="G289" s="1186">
        <v>49</v>
      </c>
      <c r="H289" s="1186">
        <v>55</v>
      </c>
      <c r="I289" s="1186">
        <v>4</v>
      </c>
      <c r="J289" s="1186" t="s">
        <v>311</v>
      </c>
      <c r="K289" s="1186" t="s">
        <v>49</v>
      </c>
      <c r="L289" s="1186" t="s">
        <v>672</v>
      </c>
      <c r="M289" s="1186">
        <v>4</v>
      </c>
      <c r="N289" s="1186">
        <v>3</v>
      </c>
      <c r="O289" s="1186"/>
      <c r="P289" s="1186">
        <v>1</v>
      </c>
      <c r="Q289" s="1186"/>
      <c r="R289" s="1186"/>
      <c r="S289" s="1186" t="s">
        <v>311</v>
      </c>
      <c r="T289" s="1186" t="s">
        <v>49</v>
      </c>
      <c r="U289" s="1186" t="s">
        <v>673</v>
      </c>
      <c r="V289" s="1186">
        <v>61</v>
      </c>
      <c r="W289" s="1186">
        <v>34</v>
      </c>
      <c r="X289" s="1186">
        <v>3</v>
      </c>
      <c r="Y289" s="1186">
        <v>7</v>
      </c>
      <c r="Z289" s="1186">
        <v>15</v>
      </c>
      <c r="AA289" s="1186">
        <v>2</v>
      </c>
    </row>
    <row r="290" spans="1:27" x14ac:dyDescent="0.2">
      <c r="A290" s="1186" t="s">
        <v>311</v>
      </c>
      <c r="B290" s="1186" t="s">
        <v>674</v>
      </c>
      <c r="C290" s="1186" t="s">
        <v>50</v>
      </c>
      <c r="D290" s="1186">
        <v>89</v>
      </c>
      <c r="E290" s="1186">
        <v>39</v>
      </c>
      <c r="F290" s="1186">
        <v>13</v>
      </c>
      <c r="G290" s="1186">
        <v>8</v>
      </c>
      <c r="H290" s="1186">
        <v>29</v>
      </c>
      <c r="I290" s="1186"/>
      <c r="J290" s="1186" t="s">
        <v>311</v>
      </c>
      <c r="K290" s="1186" t="s">
        <v>50</v>
      </c>
      <c r="L290" s="1186" t="s">
        <v>672</v>
      </c>
      <c r="M290" s="1186">
        <v>2</v>
      </c>
      <c r="N290" s="1186">
        <v>1</v>
      </c>
      <c r="O290" s="1186"/>
      <c r="P290" s="1186">
        <v>1</v>
      </c>
      <c r="Q290" s="1186"/>
      <c r="R290" s="1186"/>
      <c r="S290" s="1186" t="s">
        <v>311</v>
      </c>
      <c r="T290" s="1186" t="s">
        <v>50</v>
      </c>
      <c r="U290" s="1186" t="s">
        <v>673</v>
      </c>
      <c r="V290" s="1186">
        <v>15</v>
      </c>
      <c r="W290" s="1186">
        <v>5</v>
      </c>
      <c r="X290" s="1186">
        <v>2</v>
      </c>
      <c r="Y290" s="1186">
        <v>1</v>
      </c>
      <c r="Z290" s="1186">
        <v>7</v>
      </c>
      <c r="AA290" s="1186"/>
    </row>
    <row r="291" spans="1:27" x14ac:dyDescent="0.2">
      <c r="A291" s="1186" t="s">
        <v>311</v>
      </c>
      <c r="B291" s="1186" t="s">
        <v>674</v>
      </c>
      <c r="C291" s="1186" t="s">
        <v>51</v>
      </c>
      <c r="D291" s="1186">
        <v>158</v>
      </c>
      <c r="E291" s="1186">
        <v>100</v>
      </c>
      <c r="F291" s="1186">
        <v>7</v>
      </c>
      <c r="G291" s="1186">
        <v>27</v>
      </c>
      <c r="H291" s="1186">
        <v>23</v>
      </c>
      <c r="I291" s="1186">
        <v>1</v>
      </c>
      <c r="J291" s="1186" t="s">
        <v>311</v>
      </c>
      <c r="K291" s="1186" t="s">
        <v>51</v>
      </c>
      <c r="L291" s="1186" t="s">
        <v>672</v>
      </c>
      <c r="M291" s="1186">
        <v>1</v>
      </c>
      <c r="N291" s="1186"/>
      <c r="O291" s="1186">
        <v>1</v>
      </c>
      <c r="P291" s="1186"/>
      <c r="Q291" s="1186"/>
      <c r="R291" s="1186"/>
      <c r="S291" s="1186" t="s">
        <v>311</v>
      </c>
      <c r="T291" s="1186" t="s">
        <v>51</v>
      </c>
      <c r="U291" s="1186" t="s">
        <v>673</v>
      </c>
      <c r="V291" s="1186">
        <v>22</v>
      </c>
      <c r="W291" s="1186">
        <v>13</v>
      </c>
      <c r="X291" s="1186">
        <v>2</v>
      </c>
      <c r="Y291" s="1186">
        <v>1</v>
      </c>
      <c r="Z291" s="1186">
        <v>4</v>
      </c>
      <c r="AA291" s="1186">
        <v>2</v>
      </c>
    </row>
    <row r="292" spans="1:27" x14ac:dyDescent="0.2">
      <c r="A292" s="1186" t="s">
        <v>311</v>
      </c>
      <c r="B292" s="1186" t="s">
        <v>674</v>
      </c>
      <c r="C292" s="1186" t="s">
        <v>52</v>
      </c>
      <c r="D292" s="1186">
        <v>169</v>
      </c>
      <c r="E292" s="1186">
        <v>87</v>
      </c>
      <c r="F292" s="1186">
        <v>9</v>
      </c>
      <c r="G292" s="1186">
        <v>27</v>
      </c>
      <c r="H292" s="1186">
        <v>45</v>
      </c>
      <c r="I292" s="1186">
        <v>1</v>
      </c>
      <c r="J292" s="1186"/>
      <c r="K292" s="1186"/>
      <c r="L292" s="1186"/>
      <c r="M292" s="1186"/>
      <c r="N292" s="1186"/>
      <c r="O292" s="1186"/>
      <c r="P292" s="1186"/>
      <c r="Q292" s="1186"/>
      <c r="R292" s="1186"/>
      <c r="S292" s="1186" t="s">
        <v>311</v>
      </c>
      <c r="T292" s="1186" t="s">
        <v>52</v>
      </c>
      <c r="U292" s="1186" t="s">
        <v>673</v>
      </c>
      <c r="V292" s="1186">
        <v>32</v>
      </c>
      <c r="W292" s="1186">
        <v>17</v>
      </c>
      <c r="X292" s="1186">
        <v>3</v>
      </c>
      <c r="Y292" s="1186">
        <v>3</v>
      </c>
      <c r="Z292" s="1186">
        <v>9</v>
      </c>
      <c r="AA292" s="1186"/>
    </row>
    <row r="293" spans="1:27" x14ac:dyDescent="0.2">
      <c r="A293" s="1186" t="s">
        <v>621</v>
      </c>
      <c r="B293" s="1186" t="s">
        <v>674</v>
      </c>
      <c r="C293" s="1186" t="s">
        <v>23</v>
      </c>
      <c r="D293" s="1186">
        <v>289</v>
      </c>
      <c r="E293" s="1186">
        <v>158</v>
      </c>
      <c r="F293" s="1186">
        <v>17</v>
      </c>
      <c r="G293" s="1186">
        <v>19</v>
      </c>
      <c r="H293" s="1186">
        <v>87</v>
      </c>
      <c r="I293" s="1186">
        <v>8</v>
      </c>
      <c r="J293" s="1186" t="s">
        <v>621</v>
      </c>
      <c r="K293" s="1186" t="s">
        <v>23</v>
      </c>
      <c r="L293" s="1186" t="s">
        <v>672</v>
      </c>
      <c r="M293" s="1186">
        <v>2</v>
      </c>
      <c r="N293" s="1186">
        <v>1</v>
      </c>
      <c r="O293" s="1186"/>
      <c r="P293" s="1186"/>
      <c r="Q293" s="1186"/>
      <c r="R293" s="1186">
        <v>1</v>
      </c>
      <c r="S293" s="1186" t="s">
        <v>621</v>
      </c>
      <c r="T293" s="1186" t="s">
        <v>23</v>
      </c>
      <c r="U293" s="1186" t="s">
        <v>673</v>
      </c>
      <c r="V293" s="1186">
        <v>46</v>
      </c>
      <c r="W293" s="1186">
        <v>28</v>
      </c>
      <c r="X293" s="1186">
        <v>3</v>
      </c>
      <c r="Y293" s="1186"/>
      <c r="Z293" s="1186">
        <v>12</v>
      </c>
      <c r="AA293" s="1186">
        <v>3</v>
      </c>
    </row>
    <row r="294" spans="1:27" x14ac:dyDescent="0.2">
      <c r="A294" s="1186" t="s">
        <v>621</v>
      </c>
      <c r="B294" s="1186" t="s">
        <v>674</v>
      </c>
      <c r="C294" s="1186" t="s">
        <v>24</v>
      </c>
      <c r="D294" s="1186">
        <v>170</v>
      </c>
      <c r="E294" s="1186">
        <v>100</v>
      </c>
      <c r="F294" s="1186">
        <v>8</v>
      </c>
      <c r="G294" s="1186">
        <v>13</v>
      </c>
      <c r="H294" s="1186">
        <v>46</v>
      </c>
      <c r="I294" s="1186">
        <v>3</v>
      </c>
      <c r="J294" s="1186" t="s">
        <v>621</v>
      </c>
      <c r="K294" s="1186" t="s">
        <v>24</v>
      </c>
      <c r="L294" s="1186" t="s">
        <v>672</v>
      </c>
      <c r="M294" s="1186">
        <v>1</v>
      </c>
      <c r="N294" s="1186"/>
      <c r="O294" s="1186"/>
      <c r="P294" s="1186"/>
      <c r="Q294" s="1186"/>
      <c r="R294" s="1186">
        <v>1</v>
      </c>
      <c r="S294" s="1186" t="s">
        <v>621</v>
      </c>
      <c r="T294" s="1186" t="s">
        <v>24</v>
      </c>
      <c r="U294" s="1186" t="s">
        <v>673</v>
      </c>
      <c r="V294" s="1186">
        <v>20</v>
      </c>
      <c r="W294" s="1186">
        <v>15</v>
      </c>
      <c r="X294" s="1186"/>
      <c r="Y294" s="1186"/>
      <c r="Z294" s="1186">
        <v>5</v>
      </c>
      <c r="AA294" s="1186"/>
    </row>
    <row r="295" spans="1:27" x14ac:dyDescent="0.2">
      <c r="A295" s="1186" t="s">
        <v>621</v>
      </c>
      <c r="B295" s="1186" t="s">
        <v>674</v>
      </c>
      <c r="C295" s="1186" t="s">
        <v>25</v>
      </c>
      <c r="D295" s="1186">
        <v>83</v>
      </c>
      <c r="E295" s="1186">
        <v>33</v>
      </c>
      <c r="F295" s="1186">
        <v>6</v>
      </c>
      <c r="G295" s="1186">
        <v>7</v>
      </c>
      <c r="H295" s="1186">
        <v>36</v>
      </c>
      <c r="I295" s="1186">
        <v>1</v>
      </c>
      <c r="J295" s="1186" t="s">
        <v>621</v>
      </c>
      <c r="K295" s="1186" t="s">
        <v>25</v>
      </c>
      <c r="L295" s="1186" t="s">
        <v>672</v>
      </c>
      <c r="M295" s="1186">
        <v>2</v>
      </c>
      <c r="N295" s="1186"/>
      <c r="O295" s="1186">
        <v>1</v>
      </c>
      <c r="P295" s="1186">
        <v>1</v>
      </c>
      <c r="Q295" s="1186"/>
      <c r="R295" s="1186"/>
      <c r="S295" s="1186" t="s">
        <v>621</v>
      </c>
      <c r="T295" s="1186" t="s">
        <v>25</v>
      </c>
      <c r="U295" s="1186" t="s">
        <v>673</v>
      </c>
      <c r="V295" s="1186">
        <v>12</v>
      </c>
      <c r="W295" s="1186">
        <v>8</v>
      </c>
      <c r="X295" s="1186">
        <v>1</v>
      </c>
      <c r="Y295" s="1186"/>
      <c r="Z295" s="1186">
        <v>3</v>
      </c>
      <c r="AA295" s="1186"/>
    </row>
    <row r="296" spans="1:27" x14ac:dyDescent="0.2">
      <c r="A296" s="1186" t="s">
        <v>621</v>
      </c>
      <c r="B296" s="1186" t="s">
        <v>674</v>
      </c>
      <c r="C296" s="1186" t="s">
        <v>26</v>
      </c>
      <c r="D296" s="1186">
        <v>91</v>
      </c>
      <c r="E296" s="1186">
        <v>51</v>
      </c>
      <c r="F296" s="1186">
        <v>8</v>
      </c>
      <c r="G296" s="1186">
        <v>11</v>
      </c>
      <c r="H296" s="1186">
        <v>13</v>
      </c>
      <c r="I296" s="1186">
        <v>8</v>
      </c>
      <c r="J296" s="1186"/>
      <c r="K296" s="1186"/>
      <c r="L296" s="1186"/>
      <c r="M296" s="1186"/>
      <c r="N296" s="1186"/>
      <c r="O296" s="1186"/>
      <c r="P296" s="1186"/>
      <c r="Q296" s="1186"/>
      <c r="R296" s="1186"/>
      <c r="S296" s="1186" t="s">
        <v>621</v>
      </c>
      <c r="T296" s="1186" t="s">
        <v>26</v>
      </c>
      <c r="U296" s="1186" t="s">
        <v>673</v>
      </c>
      <c r="V296" s="1186">
        <v>21</v>
      </c>
      <c r="W296" s="1186">
        <v>8</v>
      </c>
      <c r="X296" s="1186">
        <v>3</v>
      </c>
      <c r="Y296" s="1186">
        <v>6</v>
      </c>
      <c r="Z296" s="1186"/>
      <c r="AA296" s="1186">
        <v>4</v>
      </c>
    </row>
    <row r="297" spans="1:27" x14ac:dyDescent="0.2">
      <c r="A297" s="1186" t="s">
        <v>621</v>
      </c>
      <c r="B297" s="1186" t="s">
        <v>674</v>
      </c>
      <c r="C297" s="1186" t="s">
        <v>619</v>
      </c>
      <c r="D297" s="1186">
        <v>515</v>
      </c>
      <c r="E297" s="1186">
        <v>225</v>
      </c>
      <c r="F297" s="1186">
        <v>46</v>
      </c>
      <c r="G297" s="1186">
        <v>65</v>
      </c>
      <c r="H297" s="1186">
        <v>174</v>
      </c>
      <c r="I297" s="1186">
        <v>5</v>
      </c>
      <c r="J297" s="1186" t="s">
        <v>621</v>
      </c>
      <c r="K297" s="1186" t="s">
        <v>619</v>
      </c>
      <c r="L297" s="1186" t="s">
        <v>672</v>
      </c>
      <c r="M297" s="1186">
        <v>2</v>
      </c>
      <c r="N297" s="1186"/>
      <c r="O297" s="1186">
        <v>2</v>
      </c>
      <c r="P297" s="1186"/>
      <c r="Q297" s="1186"/>
      <c r="R297" s="1186"/>
      <c r="S297" s="1186" t="s">
        <v>621</v>
      </c>
      <c r="T297" s="1186" t="s">
        <v>619</v>
      </c>
      <c r="U297" s="1186" t="s">
        <v>673</v>
      </c>
      <c r="V297" s="1186">
        <v>107</v>
      </c>
      <c r="W297" s="1186">
        <v>60</v>
      </c>
      <c r="X297" s="1186">
        <v>13</v>
      </c>
      <c r="Y297" s="1186">
        <v>10</v>
      </c>
      <c r="Z297" s="1186">
        <v>24</v>
      </c>
      <c r="AA297" s="1186"/>
    </row>
    <row r="298" spans="1:27" x14ac:dyDescent="0.2">
      <c r="A298" s="1186" t="s">
        <v>621</v>
      </c>
      <c r="B298" s="1186" t="s">
        <v>674</v>
      </c>
      <c r="C298" s="1186" t="s">
        <v>27</v>
      </c>
      <c r="D298" s="1186">
        <v>46</v>
      </c>
      <c r="E298" s="1186">
        <v>25</v>
      </c>
      <c r="F298" s="1186">
        <v>4</v>
      </c>
      <c r="G298" s="1186">
        <v>5</v>
      </c>
      <c r="H298" s="1186">
        <v>12</v>
      </c>
      <c r="I298" s="1186"/>
      <c r="J298" s="1186"/>
      <c r="K298" s="1186"/>
      <c r="L298" s="1186"/>
      <c r="M298" s="1186"/>
      <c r="N298" s="1186"/>
      <c r="O298" s="1186"/>
      <c r="P298" s="1186"/>
      <c r="Q298" s="1186"/>
      <c r="R298" s="1186"/>
      <c r="S298" s="1186" t="s">
        <v>621</v>
      </c>
      <c r="T298" s="1186" t="s">
        <v>27</v>
      </c>
      <c r="U298" s="1186" t="s">
        <v>673</v>
      </c>
      <c r="V298" s="1186">
        <v>16</v>
      </c>
      <c r="W298" s="1186">
        <v>8</v>
      </c>
      <c r="X298" s="1186">
        <v>2</v>
      </c>
      <c r="Y298" s="1186">
        <v>1</v>
      </c>
      <c r="Z298" s="1186">
        <v>5</v>
      </c>
      <c r="AA298" s="1186"/>
    </row>
    <row r="299" spans="1:27" x14ac:dyDescent="0.2">
      <c r="A299" s="1186" t="s">
        <v>621</v>
      </c>
      <c r="B299" s="1186" t="s">
        <v>674</v>
      </c>
      <c r="C299" s="1186" t="s">
        <v>28</v>
      </c>
      <c r="D299" s="1186">
        <v>84</v>
      </c>
      <c r="E299" s="1186">
        <v>42</v>
      </c>
      <c r="F299" s="1186">
        <v>4</v>
      </c>
      <c r="G299" s="1186">
        <v>9</v>
      </c>
      <c r="H299" s="1186">
        <v>27</v>
      </c>
      <c r="I299" s="1186">
        <v>2</v>
      </c>
      <c r="J299" s="1186"/>
      <c r="K299" s="1186"/>
      <c r="L299" s="1186"/>
      <c r="M299" s="1186"/>
      <c r="N299" s="1186"/>
      <c r="O299" s="1186"/>
      <c r="P299" s="1186"/>
      <c r="Q299" s="1186"/>
      <c r="R299" s="1186"/>
      <c r="S299" s="1186" t="s">
        <v>621</v>
      </c>
      <c r="T299" s="1186" t="s">
        <v>28</v>
      </c>
      <c r="U299" s="1186" t="s">
        <v>673</v>
      </c>
      <c r="V299" s="1186">
        <v>9</v>
      </c>
      <c r="W299" s="1186">
        <v>5</v>
      </c>
      <c r="X299" s="1186"/>
      <c r="Y299" s="1186">
        <v>1</v>
      </c>
      <c r="Z299" s="1186">
        <v>3</v>
      </c>
      <c r="AA299" s="1186"/>
    </row>
    <row r="300" spans="1:27" x14ac:dyDescent="0.2">
      <c r="A300" s="1186" t="s">
        <v>621</v>
      </c>
      <c r="B300" s="1186" t="s">
        <v>674</v>
      </c>
      <c r="C300" s="1186" t="s">
        <v>29</v>
      </c>
      <c r="D300" s="1186">
        <v>203</v>
      </c>
      <c r="E300" s="1186">
        <v>116</v>
      </c>
      <c r="F300" s="1186">
        <v>17</v>
      </c>
      <c r="G300" s="1186">
        <v>18</v>
      </c>
      <c r="H300" s="1186">
        <v>49</v>
      </c>
      <c r="I300" s="1186">
        <v>3</v>
      </c>
      <c r="J300" s="1186"/>
      <c r="K300" s="1186"/>
      <c r="L300" s="1186"/>
      <c r="M300" s="1186"/>
      <c r="N300" s="1186"/>
      <c r="O300" s="1186"/>
      <c r="P300" s="1186"/>
      <c r="Q300" s="1186"/>
      <c r="R300" s="1186"/>
      <c r="S300" s="1186" t="s">
        <v>621</v>
      </c>
      <c r="T300" s="1186" t="s">
        <v>29</v>
      </c>
      <c r="U300" s="1186" t="s">
        <v>673</v>
      </c>
      <c r="V300" s="1186">
        <v>40</v>
      </c>
      <c r="W300" s="1186">
        <v>21</v>
      </c>
      <c r="X300" s="1186">
        <v>6</v>
      </c>
      <c r="Y300" s="1186">
        <v>3</v>
      </c>
      <c r="Z300" s="1186">
        <v>6</v>
      </c>
      <c r="AA300" s="1186">
        <v>4</v>
      </c>
    </row>
    <row r="301" spans="1:27" x14ac:dyDescent="0.2">
      <c r="A301" s="1186" t="s">
        <v>621</v>
      </c>
      <c r="B301" s="1186" t="s">
        <v>674</v>
      </c>
      <c r="C301" s="1186" t="s">
        <v>30</v>
      </c>
      <c r="D301" s="1186">
        <v>88</v>
      </c>
      <c r="E301" s="1186">
        <v>62</v>
      </c>
      <c r="F301" s="1186">
        <v>7</v>
      </c>
      <c r="G301" s="1186">
        <v>7</v>
      </c>
      <c r="H301" s="1186">
        <v>9</v>
      </c>
      <c r="I301" s="1186">
        <v>3</v>
      </c>
      <c r="J301" s="1186"/>
      <c r="K301" s="1186"/>
      <c r="L301" s="1186"/>
      <c r="M301" s="1186"/>
      <c r="N301" s="1186"/>
      <c r="O301" s="1186"/>
      <c r="P301" s="1186"/>
      <c r="Q301" s="1186"/>
      <c r="R301" s="1186"/>
      <c r="S301" s="1186" t="s">
        <v>621</v>
      </c>
      <c r="T301" s="1186" t="s">
        <v>30</v>
      </c>
      <c r="U301" s="1186" t="s">
        <v>673</v>
      </c>
      <c r="V301" s="1186">
        <v>30</v>
      </c>
      <c r="W301" s="1186">
        <v>21</v>
      </c>
      <c r="X301" s="1186">
        <v>2</v>
      </c>
      <c r="Y301" s="1186">
        <v>2</v>
      </c>
      <c r="Z301" s="1186">
        <v>5</v>
      </c>
      <c r="AA301" s="1186"/>
    </row>
    <row r="302" spans="1:27" x14ac:dyDescent="0.2">
      <c r="A302" s="1186" t="s">
        <v>621</v>
      </c>
      <c r="B302" s="1186" t="s">
        <v>674</v>
      </c>
      <c r="C302" s="1186" t="s">
        <v>31</v>
      </c>
      <c r="D302" s="1186">
        <v>70</v>
      </c>
      <c r="E302" s="1186">
        <v>32</v>
      </c>
      <c r="F302" s="1186">
        <v>9</v>
      </c>
      <c r="G302" s="1186">
        <v>16</v>
      </c>
      <c r="H302" s="1186">
        <v>11</v>
      </c>
      <c r="I302" s="1186">
        <v>2</v>
      </c>
      <c r="J302" s="1186"/>
      <c r="K302" s="1186"/>
      <c r="L302" s="1186"/>
      <c r="M302" s="1186"/>
      <c r="N302" s="1186"/>
      <c r="O302" s="1186"/>
      <c r="P302" s="1186"/>
      <c r="Q302" s="1186"/>
      <c r="R302" s="1186"/>
      <c r="S302" s="1186" t="s">
        <v>621</v>
      </c>
      <c r="T302" s="1186" t="s">
        <v>31</v>
      </c>
      <c r="U302" s="1186" t="s">
        <v>673</v>
      </c>
      <c r="V302" s="1186">
        <v>9</v>
      </c>
      <c r="W302" s="1186">
        <v>4</v>
      </c>
      <c r="X302" s="1186">
        <v>1</v>
      </c>
      <c r="Y302" s="1186">
        <v>1</v>
      </c>
      <c r="Z302" s="1186">
        <v>3</v>
      </c>
      <c r="AA302" s="1186"/>
    </row>
    <row r="303" spans="1:27" x14ac:dyDescent="0.2">
      <c r="A303" s="1186" t="s">
        <v>621</v>
      </c>
      <c r="B303" s="1186" t="s">
        <v>674</v>
      </c>
      <c r="C303" s="1186" t="s">
        <v>32</v>
      </c>
      <c r="D303" s="1186">
        <v>75</v>
      </c>
      <c r="E303" s="1186">
        <v>37</v>
      </c>
      <c r="F303" s="1186">
        <v>2</v>
      </c>
      <c r="G303" s="1186">
        <v>6</v>
      </c>
      <c r="H303" s="1186">
        <v>29</v>
      </c>
      <c r="I303" s="1186">
        <v>1</v>
      </c>
      <c r="J303" s="1186" t="s">
        <v>621</v>
      </c>
      <c r="K303" s="1186" t="s">
        <v>32</v>
      </c>
      <c r="L303" s="1186" t="s">
        <v>672</v>
      </c>
      <c r="M303" s="1186">
        <v>2</v>
      </c>
      <c r="N303" s="1186">
        <v>1</v>
      </c>
      <c r="O303" s="1186"/>
      <c r="P303" s="1186"/>
      <c r="Q303" s="1186">
        <v>1</v>
      </c>
      <c r="R303" s="1186"/>
      <c r="S303" s="1186" t="s">
        <v>621</v>
      </c>
      <c r="T303" s="1186" t="s">
        <v>32</v>
      </c>
      <c r="U303" s="1186" t="s">
        <v>673</v>
      </c>
      <c r="V303" s="1186">
        <v>6</v>
      </c>
      <c r="W303" s="1186">
        <v>5</v>
      </c>
      <c r="X303" s="1186"/>
      <c r="Y303" s="1186"/>
      <c r="Z303" s="1186">
        <v>1</v>
      </c>
      <c r="AA303" s="1186"/>
    </row>
    <row r="304" spans="1:27" x14ac:dyDescent="0.2">
      <c r="A304" s="1186" t="s">
        <v>621</v>
      </c>
      <c r="B304" s="1186" t="s">
        <v>674</v>
      </c>
      <c r="C304" s="1186" t="s">
        <v>33</v>
      </c>
      <c r="D304" s="1186">
        <v>60</v>
      </c>
      <c r="E304" s="1186">
        <v>30</v>
      </c>
      <c r="F304" s="1186">
        <v>6</v>
      </c>
      <c r="G304" s="1186">
        <v>11</v>
      </c>
      <c r="H304" s="1186">
        <v>12</v>
      </c>
      <c r="I304" s="1186">
        <v>1</v>
      </c>
      <c r="J304" s="1186"/>
      <c r="K304" s="1186"/>
      <c r="L304" s="1186"/>
      <c r="M304" s="1186"/>
      <c r="N304" s="1186"/>
      <c r="O304" s="1186"/>
      <c r="P304" s="1186"/>
      <c r="Q304" s="1186"/>
      <c r="R304" s="1186"/>
      <c r="S304" s="1186" t="s">
        <v>621</v>
      </c>
      <c r="T304" s="1186" t="s">
        <v>33</v>
      </c>
      <c r="U304" s="1186" t="s">
        <v>673</v>
      </c>
      <c r="V304" s="1186">
        <v>14</v>
      </c>
      <c r="W304" s="1186">
        <v>9</v>
      </c>
      <c r="X304" s="1186"/>
      <c r="Y304" s="1186"/>
      <c r="Z304" s="1186">
        <v>5</v>
      </c>
      <c r="AA304" s="1186"/>
    </row>
    <row r="305" spans="1:27" x14ac:dyDescent="0.2">
      <c r="A305" s="1186" t="s">
        <v>621</v>
      </c>
      <c r="B305" s="1186" t="s">
        <v>674</v>
      </c>
      <c r="C305" s="1186" t="s">
        <v>34</v>
      </c>
      <c r="D305" s="1186">
        <v>126</v>
      </c>
      <c r="E305" s="1186">
        <v>57</v>
      </c>
      <c r="F305" s="1186">
        <v>10</v>
      </c>
      <c r="G305" s="1186">
        <v>12</v>
      </c>
      <c r="H305" s="1186">
        <v>45</v>
      </c>
      <c r="I305" s="1186">
        <v>2</v>
      </c>
      <c r="J305" s="1186" t="s">
        <v>621</v>
      </c>
      <c r="K305" s="1186" t="s">
        <v>34</v>
      </c>
      <c r="L305" s="1186" t="s">
        <v>672</v>
      </c>
      <c r="M305" s="1186">
        <v>1</v>
      </c>
      <c r="N305" s="1186"/>
      <c r="O305" s="1186"/>
      <c r="P305" s="1186"/>
      <c r="Q305" s="1186">
        <v>1</v>
      </c>
      <c r="R305" s="1186"/>
      <c r="S305" s="1186" t="s">
        <v>621</v>
      </c>
      <c r="T305" s="1186" t="s">
        <v>34</v>
      </c>
      <c r="U305" s="1186" t="s">
        <v>673</v>
      </c>
      <c r="V305" s="1186">
        <v>26</v>
      </c>
      <c r="W305" s="1186">
        <v>14</v>
      </c>
      <c r="X305" s="1186">
        <v>5</v>
      </c>
      <c r="Y305" s="1186">
        <v>1</v>
      </c>
      <c r="Z305" s="1186">
        <v>6</v>
      </c>
      <c r="AA305" s="1186"/>
    </row>
    <row r="306" spans="1:27" x14ac:dyDescent="0.2">
      <c r="A306" s="1186" t="s">
        <v>621</v>
      </c>
      <c r="B306" s="1186" t="s">
        <v>674</v>
      </c>
      <c r="C306" s="1186" t="s">
        <v>35</v>
      </c>
      <c r="D306" s="1186">
        <v>267</v>
      </c>
      <c r="E306" s="1186">
        <v>124</v>
      </c>
      <c r="F306" s="1186">
        <v>24</v>
      </c>
      <c r="G306" s="1186">
        <v>28</v>
      </c>
      <c r="H306" s="1186">
        <v>88</v>
      </c>
      <c r="I306" s="1186">
        <v>3</v>
      </c>
      <c r="J306" s="1186" t="s">
        <v>621</v>
      </c>
      <c r="K306" s="1186" t="s">
        <v>35</v>
      </c>
      <c r="L306" s="1186" t="s">
        <v>672</v>
      </c>
      <c r="M306" s="1186">
        <v>2</v>
      </c>
      <c r="N306" s="1186">
        <v>1</v>
      </c>
      <c r="O306" s="1186"/>
      <c r="P306" s="1186"/>
      <c r="Q306" s="1186"/>
      <c r="R306" s="1186">
        <v>1</v>
      </c>
      <c r="S306" s="1186" t="s">
        <v>621</v>
      </c>
      <c r="T306" s="1186" t="s">
        <v>35</v>
      </c>
      <c r="U306" s="1186" t="s">
        <v>673</v>
      </c>
      <c r="V306" s="1186">
        <v>54</v>
      </c>
      <c r="W306" s="1186">
        <v>28</v>
      </c>
      <c r="X306" s="1186">
        <v>6</v>
      </c>
      <c r="Y306" s="1186">
        <v>5</v>
      </c>
      <c r="Z306" s="1186">
        <v>13</v>
      </c>
      <c r="AA306" s="1186">
        <v>2</v>
      </c>
    </row>
    <row r="307" spans="1:27" x14ac:dyDescent="0.2">
      <c r="A307" s="1186" t="s">
        <v>621</v>
      </c>
      <c r="B307" s="1186" t="s">
        <v>674</v>
      </c>
      <c r="C307" s="1186" t="s">
        <v>36</v>
      </c>
      <c r="D307" s="1186">
        <v>895</v>
      </c>
      <c r="E307" s="1186">
        <v>534</v>
      </c>
      <c r="F307" s="1186">
        <v>68</v>
      </c>
      <c r="G307" s="1186">
        <v>103</v>
      </c>
      <c r="H307" s="1186">
        <v>183</v>
      </c>
      <c r="I307" s="1186">
        <v>7</v>
      </c>
      <c r="J307" s="1186" t="s">
        <v>621</v>
      </c>
      <c r="K307" s="1186" t="s">
        <v>36</v>
      </c>
      <c r="L307" s="1186" t="s">
        <v>672</v>
      </c>
      <c r="M307" s="1186">
        <v>2</v>
      </c>
      <c r="N307" s="1186"/>
      <c r="O307" s="1186"/>
      <c r="P307" s="1186">
        <v>2</v>
      </c>
      <c r="Q307" s="1186"/>
      <c r="R307" s="1186"/>
      <c r="S307" s="1186" t="s">
        <v>621</v>
      </c>
      <c r="T307" s="1186" t="s">
        <v>36</v>
      </c>
      <c r="U307" s="1186" t="s">
        <v>673</v>
      </c>
      <c r="V307" s="1186">
        <v>173</v>
      </c>
      <c r="W307" s="1186">
        <v>88</v>
      </c>
      <c r="X307" s="1186">
        <v>15</v>
      </c>
      <c r="Y307" s="1186">
        <v>13</v>
      </c>
      <c r="Z307" s="1186">
        <v>54</v>
      </c>
      <c r="AA307" s="1186">
        <v>3</v>
      </c>
    </row>
    <row r="308" spans="1:27" x14ac:dyDescent="0.2">
      <c r="A308" s="1186" t="s">
        <v>621</v>
      </c>
      <c r="B308" s="1186" t="s">
        <v>674</v>
      </c>
      <c r="C308" s="1186" t="s">
        <v>37</v>
      </c>
      <c r="D308" s="1186">
        <v>152</v>
      </c>
      <c r="E308" s="1186">
        <v>55</v>
      </c>
      <c r="F308" s="1186">
        <v>14</v>
      </c>
      <c r="G308" s="1186">
        <v>22</v>
      </c>
      <c r="H308" s="1186">
        <v>56</v>
      </c>
      <c r="I308" s="1186">
        <v>5</v>
      </c>
      <c r="J308" s="1186" t="s">
        <v>621</v>
      </c>
      <c r="K308" s="1186" t="s">
        <v>37</v>
      </c>
      <c r="L308" s="1186" t="s">
        <v>672</v>
      </c>
      <c r="M308" s="1186">
        <v>2</v>
      </c>
      <c r="N308" s="1186"/>
      <c r="O308" s="1186">
        <v>1</v>
      </c>
      <c r="P308" s="1186"/>
      <c r="Q308" s="1186">
        <v>1</v>
      </c>
      <c r="R308" s="1186"/>
      <c r="S308" s="1186" t="s">
        <v>621</v>
      </c>
      <c r="T308" s="1186" t="s">
        <v>37</v>
      </c>
      <c r="U308" s="1186" t="s">
        <v>673</v>
      </c>
      <c r="V308" s="1186">
        <v>29</v>
      </c>
      <c r="W308" s="1186">
        <v>16</v>
      </c>
      <c r="X308" s="1186">
        <v>1</v>
      </c>
      <c r="Y308" s="1186">
        <v>4</v>
      </c>
      <c r="Z308" s="1186">
        <v>8</v>
      </c>
      <c r="AA308" s="1186"/>
    </row>
    <row r="309" spans="1:27" x14ac:dyDescent="0.2">
      <c r="A309" s="1186" t="s">
        <v>621</v>
      </c>
      <c r="B309" s="1186" t="s">
        <v>674</v>
      </c>
      <c r="C309" s="1186" t="s">
        <v>38</v>
      </c>
      <c r="D309" s="1186">
        <v>92</v>
      </c>
      <c r="E309" s="1186">
        <v>53</v>
      </c>
      <c r="F309" s="1186">
        <v>8</v>
      </c>
      <c r="G309" s="1186">
        <v>3</v>
      </c>
      <c r="H309" s="1186">
        <v>26</v>
      </c>
      <c r="I309" s="1186">
        <v>2</v>
      </c>
      <c r="J309" s="1186" t="s">
        <v>621</v>
      </c>
      <c r="K309" s="1186" t="s">
        <v>38</v>
      </c>
      <c r="L309" s="1186" t="s">
        <v>672</v>
      </c>
      <c r="M309" s="1186">
        <v>4</v>
      </c>
      <c r="N309" s="1186">
        <v>1</v>
      </c>
      <c r="O309" s="1186"/>
      <c r="P309" s="1186"/>
      <c r="Q309" s="1186">
        <v>3</v>
      </c>
      <c r="R309" s="1186"/>
      <c r="S309" s="1186" t="s">
        <v>621</v>
      </c>
      <c r="T309" s="1186" t="s">
        <v>38</v>
      </c>
      <c r="U309" s="1186" t="s">
        <v>673</v>
      </c>
      <c r="V309" s="1186">
        <v>26</v>
      </c>
      <c r="W309" s="1186">
        <v>18</v>
      </c>
      <c r="X309" s="1186">
        <v>2</v>
      </c>
      <c r="Y309" s="1186"/>
      <c r="Z309" s="1186">
        <v>3</v>
      </c>
      <c r="AA309" s="1186">
        <v>3</v>
      </c>
    </row>
    <row r="310" spans="1:27" x14ac:dyDescent="0.2">
      <c r="A310" s="1186" t="s">
        <v>621</v>
      </c>
      <c r="B310" s="1186" t="s">
        <v>674</v>
      </c>
      <c r="C310" s="1186" t="s">
        <v>39</v>
      </c>
      <c r="D310" s="1186">
        <v>57</v>
      </c>
      <c r="E310" s="1186">
        <v>22</v>
      </c>
      <c r="F310" s="1186">
        <v>4</v>
      </c>
      <c r="G310" s="1186">
        <v>10</v>
      </c>
      <c r="H310" s="1186">
        <v>20</v>
      </c>
      <c r="I310" s="1186">
        <v>1</v>
      </c>
      <c r="J310" s="1186" t="s">
        <v>621</v>
      </c>
      <c r="K310" s="1186" t="s">
        <v>39</v>
      </c>
      <c r="L310" s="1186" t="s">
        <v>672</v>
      </c>
      <c r="M310" s="1186">
        <v>1</v>
      </c>
      <c r="N310" s="1186"/>
      <c r="O310" s="1186"/>
      <c r="P310" s="1186"/>
      <c r="Q310" s="1186"/>
      <c r="R310" s="1186">
        <v>1</v>
      </c>
      <c r="S310" s="1186" t="s">
        <v>621</v>
      </c>
      <c r="T310" s="1186" t="s">
        <v>39</v>
      </c>
      <c r="U310" s="1186" t="s">
        <v>673</v>
      </c>
      <c r="V310" s="1186">
        <v>11</v>
      </c>
      <c r="W310" s="1186">
        <v>9</v>
      </c>
      <c r="X310" s="1186">
        <v>1</v>
      </c>
      <c r="Y310" s="1186"/>
      <c r="Z310" s="1186">
        <v>1</v>
      </c>
      <c r="AA310" s="1186"/>
    </row>
    <row r="311" spans="1:27" x14ac:dyDescent="0.2">
      <c r="A311" s="1186" t="s">
        <v>621</v>
      </c>
      <c r="B311" s="1186" t="s">
        <v>674</v>
      </c>
      <c r="C311" s="1186" t="s">
        <v>40</v>
      </c>
      <c r="D311" s="1186">
        <v>58</v>
      </c>
      <c r="E311" s="1186">
        <v>29</v>
      </c>
      <c r="F311" s="1186">
        <v>4</v>
      </c>
      <c r="G311" s="1186">
        <v>4</v>
      </c>
      <c r="H311" s="1186">
        <v>18</v>
      </c>
      <c r="I311" s="1186">
        <v>3</v>
      </c>
      <c r="J311" s="1186" t="s">
        <v>621</v>
      </c>
      <c r="K311" s="1186" t="s">
        <v>40</v>
      </c>
      <c r="L311" s="1186" t="s">
        <v>672</v>
      </c>
      <c r="M311" s="1186">
        <v>2</v>
      </c>
      <c r="N311" s="1186">
        <v>1</v>
      </c>
      <c r="O311" s="1186"/>
      <c r="P311" s="1186"/>
      <c r="Q311" s="1186"/>
      <c r="R311" s="1186">
        <v>1</v>
      </c>
      <c r="S311" s="1186" t="s">
        <v>621</v>
      </c>
      <c r="T311" s="1186" t="s">
        <v>40</v>
      </c>
      <c r="U311" s="1186" t="s">
        <v>673</v>
      </c>
      <c r="V311" s="1186">
        <v>11</v>
      </c>
      <c r="W311" s="1186">
        <v>5</v>
      </c>
      <c r="X311" s="1186"/>
      <c r="Y311" s="1186">
        <v>2</v>
      </c>
      <c r="Z311" s="1186">
        <v>1</v>
      </c>
      <c r="AA311" s="1186">
        <v>3</v>
      </c>
    </row>
    <row r="312" spans="1:27" x14ac:dyDescent="0.2">
      <c r="A312" s="1186" t="s">
        <v>621</v>
      </c>
      <c r="B312" s="1186" t="s">
        <v>674</v>
      </c>
      <c r="C312" s="1186" t="s">
        <v>295</v>
      </c>
      <c r="D312" s="1186">
        <v>23</v>
      </c>
      <c r="E312" s="1186">
        <v>13</v>
      </c>
      <c r="F312" s="1186">
        <v>2</v>
      </c>
      <c r="G312" s="1186">
        <v>1</v>
      </c>
      <c r="H312" s="1186">
        <v>7</v>
      </c>
      <c r="I312" s="1186"/>
      <c r="J312" s="1186"/>
      <c r="K312" s="1186"/>
      <c r="L312" s="1186"/>
      <c r="M312" s="1186"/>
      <c r="N312" s="1186"/>
      <c r="O312" s="1186"/>
      <c r="P312" s="1186"/>
      <c r="Q312" s="1186"/>
      <c r="R312" s="1186"/>
      <c r="S312" s="1186" t="s">
        <v>621</v>
      </c>
      <c r="T312" s="1186" t="s">
        <v>295</v>
      </c>
      <c r="U312" s="1186" t="s">
        <v>673</v>
      </c>
      <c r="V312" s="1186">
        <v>3</v>
      </c>
      <c r="W312" s="1186">
        <v>2</v>
      </c>
      <c r="X312" s="1186"/>
      <c r="Y312" s="1186">
        <v>1</v>
      </c>
      <c r="Z312" s="1186"/>
      <c r="AA312" s="1186"/>
    </row>
    <row r="313" spans="1:27" x14ac:dyDescent="0.2">
      <c r="A313" s="1186" t="s">
        <v>621</v>
      </c>
      <c r="B313" s="1186" t="s">
        <v>674</v>
      </c>
      <c r="C313" s="1186" t="s">
        <v>41</v>
      </c>
      <c r="D313" s="1186">
        <v>180</v>
      </c>
      <c r="E313" s="1186">
        <v>120</v>
      </c>
      <c r="F313" s="1186">
        <v>11</v>
      </c>
      <c r="G313" s="1186">
        <v>22</v>
      </c>
      <c r="H313" s="1186">
        <v>24</v>
      </c>
      <c r="I313" s="1186">
        <v>3</v>
      </c>
      <c r="J313" s="1186" t="s">
        <v>621</v>
      </c>
      <c r="K313" s="1186" t="s">
        <v>41</v>
      </c>
      <c r="L313" s="1186" t="s">
        <v>672</v>
      </c>
      <c r="M313" s="1186">
        <v>5</v>
      </c>
      <c r="N313" s="1186">
        <v>3</v>
      </c>
      <c r="O313" s="1186">
        <v>1</v>
      </c>
      <c r="P313" s="1186"/>
      <c r="Q313" s="1186">
        <v>1</v>
      </c>
      <c r="R313" s="1186"/>
      <c r="S313" s="1186" t="s">
        <v>621</v>
      </c>
      <c r="T313" s="1186" t="s">
        <v>41</v>
      </c>
      <c r="U313" s="1186" t="s">
        <v>673</v>
      </c>
      <c r="V313" s="1186">
        <v>35</v>
      </c>
      <c r="W313" s="1186">
        <v>24</v>
      </c>
      <c r="X313" s="1186">
        <v>3</v>
      </c>
      <c r="Y313" s="1186">
        <v>5</v>
      </c>
      <c r="Z313" s="1186">
        <v>2</v>
      </c>
      <c r="AA313" s="1186">
        <v>1</v>
      </c>
    </row>
    <row r="314" spans="1:27" x14ac:dyDescent="0.2">
      <c r="A314" s="1186" t="s">
        <v>621</v>
      </c>
      <c r="B314" s="1186" t="s">
        <v>674</v>
      </c>
      <c r="C314" s="1186" t="s">
        <v>42</v>
      </c>
      <c r="D314" s="1186">
        <v>343</v>
      </c>
      <c r="E314" s="1186">
        <v>201</v>
      </c>
      <c r="F314" s="1186">
        <v>30</v>
      </c>
      <c r="G314" s="1186">
        <v>50</v>
      </c>
      <c r="H314" s="1186">
        <v>59</v>
      </c>
      <c r="I314" s="1186">
        <v>3</v>
      </c>
      <c r="J314" s="1186" t="s">
        <v>621</v>
      </c>
      <c r="K314" s="1186" t="s">
        <v>42</v>
      </c>
      <c r="L314" s="1186" t="s">
        <v>672</v>
      </c>
      <c r="M314" s="1186">
        <v>2</v>
      </c>
      <c r="N314" s="1186">
        <v>1</v>
      </c>
      <c r="O314" s="1186">
        <v>1</v>
      </c>
      <c r="P314" s="1186"/>
      <c r="Q314" s="1186"/>
      <c r="R314" s="1186"/>
      <c r="S314" s="1186" t="s">
        <v>621</v>
      </c>
      <c r="T314" s="1186" t="s">
        <v>42</v>
      </c>
      <c r="U314" s="1186" t="s">
        <v>673</v>
      </c>
      <c r="V314" s="1186">
        <v>105</v>
      </c>
      <c r="W314" s="1186">
        <v>74</v>
      </c>
      <c r="X314" s="1186">
        <v>8</v>
      </c>
      <c r="Y314" s="1186">
        <v>12</v>
      </c>
      <c r="Z314" s="1186">
        <v>11</v>
      </c>
      <c r="AA314" s="1186"/>
    </row>
    <row r="315" spans="1:27" x14ac:dyDescent="0.2">
      <c r="A315" s="1186" t="s">
        <v>621</v>
      </c>
      <c r="B315" s="1186" t="s">
        <v>674</v>
      </c>
      <c r="C315" s="1186" t="s">
        <v>43</v>
      </c>
      <c r="D315" s="1186">
        <v>7</v>
      </c>
      <c r="E315" s="1186">
        <v>2</v>
      </c>
      <c r="F315" s="1186"/>
      <c r="G315" s="1186"/>
      <c r="H315" s="1186">
        <v>5</v>
      </c>
      <c r="I315" s="1186"/>
      <c r="J315" s="1186"/>
      <c r="K315" s="1186"/>
      <c r="L315" s="1186"/>
      <c r="M315" s="1186"/>
      <c r="N315" s="1186"/>
      <c r="O315" s="1186"/>
      <c r="P315" s="1186"/>
      <c r="Q315" s="1186"/>
      <c r="R315" s="1186"/>
      <c r="S315" s="1186"/>
      <c r="T315" s="1186"/>
      <c r="U315" s="1186"/>
      <c r="V315" s="1186"/>
      <c r="W315" s="1186"/>
      <c r="X315" s="1186"/>
      <c r="Y315" s="1186"/>
      <c r="Z315" s="1186"/>
      <c r="AA315" s="1186"/>
    </row>
    <row r="316" spans="1:27" x14ac:dyDescent="0.2">
      <c r="A316" s="1186" t="s">
        <v>621</v>
      </c>
      <c r="B316" s="1186" t="s">
        <v>674</v>
      </c>
      <c r="C316" s="1186" t="s">
        <v>44</v>
      </c>
      <c r="D316" s="1186">
        <v>113</v>
      </c>
      <c r="E316" s="1186">
        <v>58</v>
      </c>
      <c r="F316" s="1186">
        <v>7</v>
      </c>
      <c r="G316" s="1186">
        <v>12</v>
      </c>
      <c r="H316" s="1186">
        <v>31</v>
      </c>
      <c r="I316" s="1186">
        <v>5</v>
      </c>
      <c r="J316" s="1186" t="s">
        <v>621</v>
      </c>
      <c r="K316" s="1186" t="s">
        <v>44</v>
      </c>
      <c r="L316" s="1186" t="s">
        <v>672</v>
      </c>
      <c r="M316" s="1186">
        <v>1</v>
      </c>
      <c r="N316" s="1186"/>
      <c r="O316" s="1186"/>
      <c r="P316" s="1186"/>
      <c r="Q316" s="1186">
        <v>1</v>
      </c>
      <c r="R316" s="1186"/>
      <c r="S316" s="1186" t="s">
        <v>621</v>
      </c>
      <c r="T316" s="1186" t="s">
        <v>44</v>
      </c>
      <c r="U316" s="1186" t="s">
        <v>673</v>
      </c>
      <c r="V316" s="1186">
        <v>17</v>
      </c>
      <c r="W316" s="1186">
        <v>6</v>
      </c>
      <c r="X316" s="1186">
        <v>1</v>
      </c>
      <c r="Y316" s="1186">
        <v>1</v>
      </c>
      <c r="Z316" s="1186">
        <v>7</v>
      </c>
      <c r="AA316" s="1186">
        <v>2</v>
      </c>
    </row>
    <row r="317" spans="1:27" x14ac:dyDescent="0.2">
      <c r="A317" s="1186" t="s">
        <v>621</v>
      </c>
      <c r="B317" s="1186" t="s">
        <v>674</v>
      </c>
      <c r="C317" s="1186" t="s">
        <v>45</v>
      </c>
      <c r="D317" s="1186">
        <v>220</v>
      </c>
      <c r="E317" s="1186">
        <v>126</v>
      </c>
      <c r="F317" s="1186">
        <v>16</v>
      </c>
      <c r="G317" s="1186">
        <v>33</v>
      </c>
      <c r="H317" s="1186">
        <v>44</v>
      </c>
      <c r="I317" s="1186">
        <v>1</v>
      </c>
      <c r="J317" s="1186" t="s">
        <v>621</v>
      </c>
      <c r="K317" s="1186" t="s">
        <v>45</v>
      </c>
      <c r="L317" s="1186" t="s">
        <v>672</v>
      </c>
      <c r="M317" s="1186">
        <v>1</v>
      </c>
      <c r="N317" s="1186">
        <v>1</v>
      </c>
      <c r="O317" s="1186"/>
      <c r="P317" s="1186"/>
      <c r="Q317" s="1186"/>
      <c r="R317" s="1186"/>
      <c r="S317" s="1186" t="s">
        <v>621</v>
      </c>
      <c r="T317" s="1186" t="s">
        <v>45</v>
      </c>
      <c r="U317" s="1186" t="s">
        <v>673</v>
      </c>
      <c r="V317" s="1186">
        <v>42</v>
      </c>
      <c r="W317" s="1186">
        <v>20</v>
      </c>
      <c r="X317" s="1186">
        <v>3</v>
      </c>
      <c r="Y317" s="1186">
        <v>8</v>
      </c>
      <c r="Z317" s="1186">
        <v>11</v>
      </c>
      <c r="AA317" s="1186"/>
    </row>
    <row r="318" spans="1:27" x14ac:dyDescent="0.2">
      <c r="A318" s="1186" t="s">
        <v>621</v>
      </c>
      <c r="B318" s="1186" t="s">
        <v>674</v>
      </c>
      <c r="C318" s="1186" t="s">
        <v>46</v>
      </c>
      <c r="D318" s="1186">
        <v>104</v>
      </c>
      <c r="E318" s="1186">
        <v>41</v>
      </c>
      <c r="F318" s="1186">
        <v>13</v>
      </c>
      <c r="G318" s="1186">
        <v>14</v>
      </c>
      <c r="H318" s="1186">
        <v>34</v>
      </c>
      <c r="I318" s="1186">
        <v>2</v>
      </c>
      <c r="J318" s="1186" t="s">
        <v>621</v>
      </c>
      <c r="K318" s="1186" t="s">
        <v>46</v>
      </c>
      <c r="L318" s="1186" t="s">
        <v>672</v>
      </c>
      <c r="M318" s="1186">
        <v>1</v>
      </c>
      <c r="N318" s="1186">
        <v>1</v>
      </c>
      <c r="O318" s="1186"/>
      <c r="P318" s="1186"/>
      <c r="Q318" s="1186"/>
      <c r="R318" s="1186"/>
      <c r="S318" s="1186" t="s">
        <v>621</v>
      </c>
      <c r="T318" s="1186" t="s">
        <v>46</v>
      </c>
      <c r="U318" s="1186" t="s">
        <v>673</v>
      </c>
      <c r="V318" s="1186">
        <v>17</v>
      </c>
      <c r="W318" s="1186">
        <v>4</v>
      </c>
      <c r="X318" s="1186">
        <v>1</v>
      </c>
      <c r="Y318" s="1186">
        <v>3</v>
      </c>
      <c r="Z318" s="1186">
        <v>7</v>
      </c>
      <c r="AA318" s="1186">
        <v>2</v>
      </c>
    </row>
    <row r="319" spans="1:27" x14ac:dyDescent="0.2">
      <c r="A319" s="1186" t="s">
        <v>621</v>
      </c>
      <c r="B319" s="1186" t="s">
        <v>674</v>
      </c>
      <c r="C319" s="1186" t="s">
        <v>47</v>
      </c>
      <c r="D319" s="1186">
        <v>4</v>
      </c>
      <c r="E319" s="1186">
        <v>2</v>
      </c>
      <c r="F319" s="1186"/>
      <c r="G319" s="1186"/>
      <c r="H319" s="1186">
        <v>2</v>
      </c>
      <c r="I319" s="1186"/>
      <c r="J319" s="1186" t="s">
        <v>621</v>
      </c>
      <c r="K319" s="1186" t="s">
        <v>47</v>
      </c>
      <c r="L319" s="1186" t="s">
        <v>672</v>
      </c>
      <c r="M319" s="1186">
        <v>1</v>
      </c>
      <c r="N319" s="1186"/>
      <c r="O319" s="1186"/>
      <c r="P319" s="1186"/>
      <c r="Q319" s="1186">
        <v>1</v>
      </c>
      <c r="R319" s="1186"/>
      <c r="S319" s="1186"/>
      <c r="T319" s="1186"/>
      <c r="U319" s="1186"/>
      <c r="V319" s="1186"/>
      <c r="W319" s="1186"/>
      <c r="X319" s="1186"/>
      <c r="Y319" s="1186"/>
      <c r="Z319" s="1186"/>
      <c r="AA319" s="1186"/>
    </row>
    <row r="320" spans="1:27" x14ac:dyDescent="0.2">
      <c r="A320" s="1186" t="s">
        <v>621</v>
      </c>
      <c r="B320" s="1186" t="s">
        <v>674</v>
      </c>
      <c r="C320" s="1186" t="s">
        <v>48</v>
      </c>
      <c r="D320" s="1186">
        <v>95</v>
      </c>
      <c r="E320" s="1186">
        <v>47</v>
      </c>
      <c r="F320" s="1186">
        <v>13</v>
      </c>
      <c r="G320" s="1186">
        <v>10</v>
      </c>
      <c r="H320" s="1186">
        <v>20</v>
      </c>
      <c r="I320" s="1186">
        <v>5</v>
      </c>
      <c r="J320" s="1186" t="s">
        <v>621</v>
      </c>
      <c r="K320" s="1186" t="s">
        <v>48</v>
      </c>
      <c r="L320" s="1186" t="s">
        <v>672</v>
      </c>
      <c r="M320" s="1186">
        <v>1</v>
      </c>
      <c r="N320" s="1186"/>
      <c r="O320" s="1186"/>
      <c r="P320" s="1186">
        <v>1</v>
      </c>
      <c r="Q320" s="1186"/>
      <c r="R320" s="1186"/>
      <c r="S320" s="1186" t="s">
        <v>621</v>
      </c>
      <c r="T320" s="1186" t="s">
        <v>48</v>
      </c>
      <c r="U320" s="1186" t="s">
        <v>673</v>
      </c>
      <c r="V320" s="1186">
        <v>17</v>
      </c>
      <c r="W320" s="1186">
        <v>11</v>
      </c>
      <c r="X320" s="1186">
        <v>3</v>
      </c>
      <c r="Y320" s="1186">
        <v>1</v>
      </c>
      <c r="Z320" s="1186">
        <v>2</v>
      </c>
      <c r="AA320" s="1186"/>
    </row>
    <row r="321" spans="1:27" x14ac:dyDescent="0.2">
      <c r="A321" s="1186" t="s">
        <v>621</v>
      </c>
      <c r="B321" s="1186" t="s">
        <v>674</v>
      </c>
      <c r="C321" s="1186" t="s">
        <v>49</v>
      </c>
      <c r="D321" s="1186">
        <v>259</v>
      </c>
      <c r="E321" s="1186">
        <v>136</v>
      </c>
      <c r="F321" s="1186">
        <v>16</v>
      </c>
      <c r="G321" s="1186">
        <v>41</v>
      </c>
      <c r="H321" s="1186">
        <v>60</v>
      </c>
      <c r="I321" s="1186">
        <v>6</v>
      </c>
      <c r="J321" s="1186" t="s">
        <v>621</v>
      </c>
      <c r="K321" s="1186" t="s">
        <v>49</v>
      </c>
      <c r="L321" s="1186" t="s">
        <v>672</v>
      </c>
      <c r="M321" s="1186">
        <v>1</v>
      </c>
      <c r="N321" s="1186">
        <v>1</v>
      </c>
      <c r="O321" s="1186"/>
      <c r="P321" s="1186"/>
      <c r="Q321" s="1186"/>
      <c r="R321" s="1186"/>
      <c r="S321" s="1186" t="s">
        <v>621</v>
      </c>
      <c r="T321" s="1186" t="s">
        <v>49</v>
      </c>
      <c r="U321" s="1186" t="s">
        <v>673</v>
      </c>
      <c r="V321" s="1186">
        <v>69</v>
      </c>
      <c r="W321" s="1186">
        <v>46</v>
      </c>
      <c r="X321" s="1186">
        <v>2</v>
      </c>
      <c r="Y321" s="1186">
        <v>7</v>
      </c>
      <c r="Z321" s="1186">
        <v>12</v>
      </c>
      <c r="AA321" s="1186">
        <v>2</v>
      </c>
    </row>
    <row r="322" spans="1:27" x14ac:dyDescent="0.2">
      <c r="A322" s="1186" t="s">
        <v>621</v>
      </c>
      <c r="B322" s="1186" t="s">
        <v>674</v>
      </c>
      <c r="C322" s="1186" t="s">
        <v>50</v>
      </c>
      <c r="D322" s="1186">
        <v>70</v>
      </c>
      <c r="E322" s="1186">
        <v>39</v>
      </c>
      <c r="F322" s="1186">
        <v>6</v>
      </c>
      <c r="G322" s="1186">
        <v>6</v>
      </c>
      <c r="H322" s="1186">
        <v>16</v>
      </c>
      <c r="I322" s="1186">
        <v>3</v>
      </c>
      <c r="J322" s="1186" t="s">
        <v>621</v>
      </c>
      <c r="K322" s="1186" t="s">
        <v>50</v>
      </c>
      <c r="L322" s="1186" t="s">
        <v>672</v>
      </c>
      <c r="M322" s="1186">
        <v>2</v>
      </c>
      <c r="N322" s="1186"/>
      <c r="O322" s="1186"/>
      <c r="P322" s="1186"/>
      <c r="Q322" s="1186"/>
      <c r="R322" s="1186">
        <v>2</v>
      </c>
      <c r="S322" s="1186" t="s">
        <v>621</v>
      </c>
      <c r="T322" s="1186" t="s">
        <v>50</v>
      </c>
      <c r="U322" s="1186" t="s">
        <v>673</v>
      </c>
      <c r="V322" s="1186">
        <v>4</v>
      </c>
      <c r="W322" s="1186">
        <v>1</v>
      </c>
      <c r="X322" s="1186"/>
      <c r="Y322" s="1186">
        <v>1</v>
      </c>
      <c r="Z322" s="1186">
        <v>1</v>
      </c>
      <c r="AA322" s="1186">
        <v>1</v>
      </c>
    </row>
    <row r="323" spans="1:27" x14ac:dyDescent="0.2">
      <c r="A323" s="1186" t="s">
        <v>621</v>
      </c>
      <c r="B323" s="1186" t="s">
        <v>674</v>
      </c>
      <c r="C323" s="1186" t="s">
        <v>51</v>
      </c>
      <c r="D323" s="1186">
        <v>146</v>
      </c>
      <c r="E323" s="1186">
        <v>87</v>
      </c>
      <c r="F323" s="1186">
        <v>14</v>
      </c>
      <c r="G323" s="1186">
        <v>24</v>
      </c>
      <c r="H323" s="1186">
        <v>20</v>
      </c>
      <c r="I323" s="1186">
        <v>1</v>
      </c>
      <c r="J323" s="1186" t="s">
        <v>621</v>
      </c>
      <c r="K323" s="1186" t="s">
        <v>51</v>
      </c>
      <c r="L323" s="1186" t="s">
        <v>672</v>
      </c>
      <c r="M323" s="1186">
        <v>1</v>
      </c>
      <c r="N323" s="1186"/>
      <c r="O323" s="1186">
        <v>1</v>
      </c>
      <c r="P323" s="1186"/>
      <c r="Q323" s="1186"/>
      <c r="R323" s="1186"/>
      <c r="S323" s="1186" t="s">
        <v>621</v>
      </c>
      <c r="T323" s="1186" t="s">
        <v>51</v>
      </c>
      <c r="U323" s="1186" t="s">
        <v>673</v>
      </c>
      <c r="V323" s="1186">
        <v>20</v>
      </c>
      <c r="W323" s="1186">
        <v>14</v>
      </c>
      <c r="X323" s="1186">
        <v>5</v>
      </c>
      <c r="Y323" s="1186"/>
      <c r="Z323" s="1186">
        <v>1</v>
      </c>
      <c r="AA323" s="1186"/>
    </row>
    <row r="324" spans="1:27" x14ac:dyDescent="0.2">
      <c r="A324" s="1186" t="s">
        <v>621</v>
      </c>
      <c r="B324" s="1186" t="s">
        <v>674</v>
      </c>
      <c r="C324" s="1186" t="s">
        <v>52</v>
      </c>
      <c r="D324" s="1186">
        <v>160</v>
      </c>
      <c r="E324" s="1186">
        <v>83</v>
      </c>
      <c r="F324" s="1186">
        <v>11</v>
      </c>
      <c r="G324" s="1186">
        <v>19</v>
      </c>
      <c r="H324" s="1186">
        <v>44</v>
      </c>
      <c r="I324" s="1186">
        <v>3</v>
      </c>
      <c r="J324" s="1186" t="s">
        <v>621</v>
      </c>
      <c r="K324" s="1186" t="s">
        <v>52</v>
      </c>
      <c r="L324" s="1186" t="s">
        <v>672</v>
      </c>
      <c r="M324" s="1186">
        <v>1</v>
      </c>
      <c r="N324" s="1186"/>
      <c r="O324" s="1186"/>
      <c r="P324" s="1186"/>
      <c r="Q324" s="1186">
        <v>1</v>
      </c>
      <c r="R324" s="1186"/>
      <c r="S324" s="1186" t="s">
        <v>621</v>
      </c>
      <c r="T324" s="1186" t="s">
        <v>52</v>
      </c>
      <c r="U324" s="1186" t="s">
        <v>673</v>
      </c>
      <c r="V324" s="1186">
        <v>27</v>
      </c>
      <c r="W324" s="1186">
        <v>16</v>
      </c>
      <c r="X324" s="1186">
        <v>1</v>
      </c>
      <c r="Y324" s="1186">
        <v>4</v>
      </c>
      <c r="Z324" s="1186">
        <v>5</v>
      </c>
      <c r="AA324" s="1186">
        <v>1</v>
      </c>
    </row>
    <row r="325" spans="1:27" x14ac:dyDescent="0.2">
      <c r="A325" s="1186" t="s">
        <v>1419</v>
      </c>
      <c r="B325" s="1186" t="s">
        <v>674</v>
      </c>
      <c r="C325" s="1186" t="s">
        <v>23</v>
      </c>
      <c r="D325" s="1186">
        <v>292</v>
      </c>
      <c r="E325" s="1186">
        <v>159</v>
      </c>
      <c r="F325" s="1186">
        <v>24</v>
      </c>
      <c r="G325" s="1186">
        <v>22</v>
      </c>
      <c r="H325" s="1186">
        <v>81</v>
      </c>
      <c r="I325" s="1186">
        <v>6</v>
      </c>
      <c r="J325" s="1186"/>
      <c r="K325" s="1186"/>
      <c r="L325" s="1186"/>
      <c r="M325" s="1186"/>
      <c r="N325" s="1186"/>
      <c r="O325" s="1186"/>
      <c r="P325" s="1186"/>
      <c r="Q325" s="1186"/>
      <c r="R325" s="1186"/>
      <c r="S325" s="1186" t="s">
        <v>1419</v>
      </c>
      <c r="T325" s="1186" t="s">
        <v>23</v>
      </c>
      <c r="U325" s="1186" t="s">
        <v>673</v>
      </c>
      <c r="V325" s="1186">
        <v>45</v>
      </c>
      <c r="W325" s="1186">
        <v>30</v>
      </c>
      <c r="X325" s="1186">
        <v>2</v>
      </c>
      <c r="Y325" s="1186">
        <v>1</v>
      </c>
      <c r="Z325" s="1186">
        <v>11</v>
      </c>
      <c r="AA325" s="1186">
        <v>1</v>
      </c>
    </row>
    <row r="326" spans="1:27" x14ac:dyDescent="0.2">
      <c r="A326" s="1186" t="s">
        <v>1419</v>
      </c>
      <c r="B326" s="1186" t="s">
        <v>674</v>
      </c>
      <c r="C326" s="1186" t="s">
        <v>24</v>
      </c>
      <c r="D326" s="1186">
        <v>167</v>
      </c>
      <c r="E326" s="1186">
        <v>78</v>
      </c>
      <c r="F326" s="1186">
        <v>7</v>
      </c>
      <c r="G326" s="1186">
        <v>12</v>
      </c>
      <c r="H326" s="1186">
        <v>69</v>
      </c>
      <c r="I326" s="1186">
        <v>1</v>
      </c>
      <c r="J326" s="1186" t="s">
        <v>1419</v>
      </c>
      <c r="K326" s="1186" t="s">
        <v>24</v>
      </c>
      <c r="L326" s="1186" t="s">
        <v>672</v>
      </c>
      <c r="M326" s="1186">
        <v>2</v>
      </c>
      <c r="N326" s="1186">
        <v>1</v>
      </c>
      <c r="O326" s="1186"/>
      <c r="P326" s="1186"/>
      <c r="Q326" s="1186">
        <v>1</v>
      </c>
      <c r="R326" s="1186"/>
      <c r="S326" s="1186" t="s">
        <v>1419</v>
      </c>
      <c r="T326" s="1186" t="s">
        <v>24</v>
      </c>
      <c r="U326" s="1186" t="s">
        <v>673</v>
      </c>
      <c r="V326" s="1186">
        <v>24</v>
      </c>
      <c r="W326" s="1186">
        <v>11</v>
      </c>
      <c r="X326" s="1186"/>
      <c r="Y326" s="1186"/>
      <c r="Z326" s="1186">
        <v>12</v>
      </c>
      <c r="AA326" s="1186">
        <v>1</v>
      </c>
    </row>
    <row r="327" spans="1:27" x14ac:dyDescent="0.2">
      <c r="A327" s="1186" t="s">
        <v>1419</v>
      </c>
      <c r="B327" s="1186" t="s">
        <v>674</v>
      </c>
      <c r="C327" s="1186" t="s">
        <v>25</v>
      </c>
      <c r="D327" s="1186">
        <v>89</v>
      </c>
      <c r="E327" s="1186">
        <v>48</v>
      </c>
      <c r="F327" s="1186">
        <v>4</v>
      </c>
      <c r="G327" s="1186">
        <v>5</v>
      </c>
      <c r="H327" s="1186">
        <v>26</v>
      </c>
      <c r="I327" s="1186">
        <v>6</v>
      </c>
      <c r="J327" s="1186"/>
      <c r="K327" s="1186"/>
      <c r="L327" s="1186"/>
      <c r="M327" s="1186"/>
      <c r="N327" s="1186"/>
      <c r="O327" s="1186"/>
      <c r="P327" s="1186"/>
      <c r="Q327" s="1186"/>
      <c r="R327" s="1186"/>
      <c r="S327" s="1186" t="s">
        <v>1419</v>
      </c>
      <c r="T327" s="1186" t="s">
        <v>25</v>
      </c>
      <c r="U327" s="1186" t="s">
        <v>673</v>
      </c>
      <c r="V327" s="1186">
        <v>10</v>
      </c>
      <c r="W327" s="1186">
        <v>4</v>
      </c>
      <c r="X327" s="1186"/>
      <c r="Y327" s="1186">
        <v>1</v>
      </c>
      <c r="Z327" s="1186">
        <v>5</v>
      </c>
      <c r="AA327" s="1186"/>
    </row>
    <row r="328" spans="1:27" x14ac:dyDescent="0.2">
      <c r="A328" s="1186" t="s">
        <v>1419</v>
      </c>
      <c r="B328" s="1186" t="s">
        <v>674</v>
      </c>
      <c r="C328" s="1186" t="s">
        <v>26</v>
      </c>
      <c r="D328" s="1186">
        <v>88</v>
      </c>
      <c r="E328" s="1186">
        <v>46</v>
      </c>
      <c r="F328" s="1186">
        <v>9</v>
      </c>
      <c r="G328" s="1186">
        <v>13</v>
      </c>
      <c r="H328" s="1186">
        <v>12</v>
      </c>
      <c r="I328" s="1186">
        <v>8</v>
      </c>
      <c r="J328" s="1186" t="s">
        <v>1419</v>
      </c>
      <c r="K328" s="1186" t="s">
        <v>26</v>
      </c>
      <c r="L328" s="1186" t="s">
        <v>672</v>
      </c>
      <c r="M328" s="1186">
        <v>1</v>
      </c>
      <c r="N328" s="1186">
        <v>1</v>
      </c>
      <c r="O328" s="1186"/>
      <c r="P328" s="1186"/>
      <c r="Q328" s="1186"/>
      <c r="R328" s="1186"/>
      <c r="S328" s="1186" t="s">
        <v>1419</v>
      </c>
      <c r="T328" s="1186" t="s">
        <v>26</v>
      </c>
      <c r="U328" s="1186" t="s">
        <v>673</v>
      </c>
      <c r="V328" s="1186">
        <v>14</v>
      </c>
      <c r="W328" s="1186">
        <v>6</v>
      </c>
      <c r="X328" s="1186">
        <v>7</v>
      </c>
      <c r="Y328" s="1186">
        <v>1</v>
      </c>
      <c r="Z328" s="1186"/>
      <c r="AA328" s="1186"/>
    </row>
    <row r="329" spans="1:27" x14ac:dyDescent="0.2">
      <c r="A329" s="1186" t="s">
        <v>1419</v>
      </c>
      <c r="B329" s="1186" t="s">
        <v>674</v>
      </c>
      <c r="C329" s="1186" t="s">
        <v>619</v>
      </c>
      <c r="D329" s="1186">
        <v>483</v>
      </c>
      <c r="E329" s="1186">
        <v>203</v>
      </c>
      <c r="F329" s="1186">
        <v>31</v>
      </c>
      <c r="G329" s="1186">
        <v>59</v>
      </c>
      <c r="H329" s="1186">
        <v>184</v>
      </c>
      <c r="I329" s="1186">
        <v>6</v>
      </c>
      <c r="J329" s="1186" t="s">
        <v>1419</v>
      </c>
      <c r="K329" s="1186" t="s">
        <v>619</v>
      </c>
      <c r="L329" s="1186" t="s">
        <v>672</v>
      </c>
      <c r="M329" s="1186">
        <v>1</v>
      </c>
      <c r="N329" s="1186"/>
      <c r="O329" s="1186"/>
      <c r="P329" s="1186"/>
      <c r="Q329" s="1186">
        <v>1</v>
      </c>
      <c r="R329" s="1186"/>
      <c r="S329" s="1186" t="s">
        <v>1419</v>
      </c>
      <c r="T329" s="1186" t="s">
        <v>619</v>
      </c>
      <c r="U329" s="1186" t="s">
        <v>673</v>
      </c>
      <c r="V329" s="1186">
        <v>94</v>
      </c>
      <c r="W329" s="1186">
        <v>36</v>
      </c>
      <c r="X329" s="1186">
        <v>11</v>
      </c>
      <c r="Y329" s="1186">
        <v>6</v>
      </c>
      <c r="Z329" s="1186">
        <v>39</v>
      </c>
      <c r="AA329" s="1186">
        <v>2</v>
      </c>
    </row>
    <row r="330" spans="1:27" x14ac:dyDescent="0.2">
      <c r="A330" s="1186" t="s">
        <v>1419</v>
      </c>
      <c r="B330" s="1186" t="s">
        <v>674</v>
      </c>
      <c r="C330" s="1186" t="s">
        <v>27</v>
      </c>
      <c r="D330" s="1186">
        <v>50</v>
      </c>
      <c r="E330" s="1186">
        <v>25</v>
      </c>
      <c r="F330" s="1186">
        <v>7</v>
      </c>
      <c r="G330" s="1186">
        <v>5</v>
      </c>
      <c r="H330" s="1186">
        <v>13</v>
      </c>
      <c r="I330" s="1186"/>
      <c r="J330" s="1186"/>
      <c r="K330" s="1186"/>
      <c r="L330" s="1186"/>
      <c r="M330" s="1186"/>
      <c r="N330" s="1186"/>
      <c r="O330" s="1186"/>
      <c r="P330" s="1186"/>
      <c r="Q330" s="1186"/>
      <c r="R330" s="1186"/>
      <c r="S330" s="1186" t="s">
        <v>1419</v>
      </c>
      <c r="T330" s="1186" t="s">
        <v>27</v>
      </c>
      <c r="U330" s="1186" t="s">
        <v>673</v>
      </c>
      <c r="V330" s="1186">
        <v>10</v>
      </c>
      <c r="W330" s="1186">
        <v>5</v>
      </c>
      <c r="X330" s="1186">
        <v>1</v>
      </c>
      <c r="Y330" s="1186">
        <v>3</v>
      </c>
      <c r="Z330" s="1186">
        <v>1</v>
      </c>
      <c r="AA330" s="1186"/>
    </row>
    <row r="331" spans="1:27" x14ac:dyDescent="0.2">
      <c r="A331" s="1186" t="s">
        <v>1419</v>
      </c>
      <c r="B331" s="1186" t="s">
        <v>674</v>
      </c>
      <c r="C331" s="1186" t="s">
        <v>28</v>
      </c>
      <c r="D331" s="1186">
        <v>98</v>
      </c>
      <c r="E331" s="1186">
        <v>47</v>
      </c>
      <c r="F331" s="1186">
        <v>8</v>
      </c>
      <c r="G331" s="1186">
        <v>11</v>
      </c>
      <c r="H331" s="1186">
        <v>29</v>
      </c>
      <c r="I331" s="1186">
        <v>3</v>
      </c>
      <c r="J331" s="1186"/>
      <c r="K331" s="1186"/>
      <c r="L331" s="1186"/>
      <c r="M331" s="1186"/>
      <c r="N331" s="1186"/>
      <c r="O331" s="1186"/>
      <c r="P331" s="1186"/>
      <c r="Q331" s="1186"/>
      <c r="R331" s="1186"/>
      <c r="S331" s="1186" t="s">
        <v>1419</v>
      </c>
      <c r="T331" s="1186" t="s">
        <v>28</v>
      </c>
      <c r="U331" s="1186" t="s">
        <v>673</v>
      </c>
      <c r="V331" s="1186">
        <v>8</v>
      </c>
      <c r="W331" s="1186">
        <v>4</v>
      </c>
      <c r="X331" s="1186"/>
      <c r="Y331" s="1186">
        <v>1</v>
      </c>
      <c r="Z331" s="1186">
        <v>3</v>
      </c>
      <c r="AA331" s="1186"/>
    </row>
    <row r="332" spans="1:27" x14ac:dyDescent="0.2">
      <c r="A332" s="1186" t="s">
        <v>1419</v>
      </c>
      <c r="B332" s="1186" t="s">
        <v>674</v>
      </c>
      <c r="C332" s="1186" t="s">
        <v>29</v>
      </c>
      <c r="D332" s="1186">
        <v>188</v>
      </c>
      <c r="E332" s="1186">
        <v>104</v>
      </c>
      <c r="F332" s="1186">
        <v>25</v>
      </c>
      <c r="G332" s="1186">
        <v>18</v>
      </c>
      <c r="H332" s="1186">
        <v>37</v>
      </c>
      <c r="I332" s="1186">
        <v>4</v>
      </c>
      <c r="J332" s="1186"/>
      <c r="K332" s="1186"/>
      <c r="L332" s="1186"/>
      <c r="M332" s="1186"/>
      <c r="N332" s="1186"/>
      <c r="O332" s="1186"/>
      <c r="P332" s="1186"/>
      <c r="Q332" s="1186"/>
      <c r="R332" s="1186"/>
      <c r="S332" s="1186" t="s">
        <v>1419</v>
      </c>
      <c r="T332" s="1186" t="s">
        <v>29</v>
      </c>
      <c r="U332" s="1186" t="s">
        <v>673</v>
      </c>
      <c r="V332" s="1186">
        <v>26</v>
      </c>
      <c r="W332" s="1186">
        <v>16</v>
      </c>
      <c r="X332" s="1186">
        <v>3</v>
      </c>
      <c r="Y332" s="1186">
        <v>2</v>
      </c>
      <c r="Z332" s="1186">
        <v>5</v>
      </c>
      <c r="AA332" s="1186"/>
    </row>
    <row r="333" spans="1:27" x14ac:dyDescent="0.2">
      <c r="A333" s="1186" t="s">
        <v>1419</v>
      </c>
      <c r="B333" s="1186" t="s">
        <v>674</v>
      </c>
      <c r="C333" s="1186" t="s">
        <v>30</v>
      </c>
      <c r="D333" s="1186">
        <v>107</v>
      </c>
      <c r="E333" s="1186">
        <v>54</v>
      </c>
      <c r="F333" s="1186">
        <v>10</v>
      </c>
      <c r="G333" s="1186">
        <v>19</v>
      </c>
      <c r="H333" s="1186">
        <v>19</v>
      </c>
      <c r="I333" s="1186">
        <v>5</v>
      </c>
      <c r="J333" s="1186" t="s">
        <v>1419</v>
      </c>
      <c r="K333" s="1186" t="s">
        <v>30</v>
      </c>
      <c r="L333" s="1186" t="s">
        <v>672</v>
      </c>
      <c r="M333" s="1186">
        <v>1</v>
      </c>
      <c r="N333" s="1186">
        <v>1</v>
      </c>
      <c r="O333" s="1186"/>
      <c r="P333" s="1186"/>
      <c r="Q333" s="1186"/>
      <c r="R333" s="1186"/>
      <c r="S333" s="1186" t="s">
        <v>1419</v>
      </c>
      <c r="T333" s="1186" t="s">
        <v>30</v>
      </c>
      <c r="U333" s="1186" t="s">
        <v>673</v>
      </c>
      <c r="V333" s="1186">
        <v>19</v>
      </c>
      <c r="W333" s="1186">
        <v>11</v>
      </c>
      <c r="X333" s="1186">
        <v>2</v>
      </c>
      <c r="Y333" s="1186"/>
      <c r="Z333" s="1186">
        <v>6</v>
      </c>
      <c r="AA333" s="1186"/>
    </row>
    <row r="334" spans="1:27" x14ac:dyDescent="0.2">
      <c r="A334" s="1186" t="s">
        <v>1419</v>
      </c>
      <c r="B334" s="1186" t="s">
        <v>674</v>
      </c>
      <c r="C334" s="1186" t="s">
        <v>31</v>
      </c>
      <c r="D334" s="1186">
        <v>70</v>
      </c>
      <c r="E334" s="1186">
        <v>43</v>
      </c>
      <c r="F334" s="1186">
        <v>5</v>
      </c>
      <c r="G334" s="1186">
        <v>11</v>
      </c>
      <c r="H334" s="1186">
        <v>10</v>
      </c>
      <c r="I334" s="1186">
        <v>1</v>
      </c>
      <c r="J334" s="1186"/>
      <c r="K334" s="1186"/>
      <c r="L334" s="1186"/>
      <c r="M334" s="1186"/>
      <c r="N334" s="1186"/>
      <c r="O334" s="1186"/>
      <c r="P334" s="1186"/>
      <c r="Q334" s="1186"/>
      <c r="R334" s="1186"/>
      <c r="S334" s="1186" t="s">
        <v>1419</v>
      </c>
      <c r="T334" s="1186" t="s">
        <v>31</v>
      </c>
      <c r="U334" s="1186" t="s">
        <v>673</v>
      </c>
      <c r="V334" s="1186">
        <v>11</v>
      </c>
      <c r="W334" s="1186">
        <v>9</v>
      </c>
      <c r="X334" s="1186"/>
      <c r="Y334" s="1186">
        <v>1</v>
      </c>
      <c r="Z334" s="1186">
        <v>1</v>
      </c>
      <c r="AA334" s="1186"/>
    </row>
    <row r="335" spans="1:27" x14ac:dyDescent="0.2">
      <c r="A335" s="1186" t="s">
        <v>1419</v>
      </c>
      <c r="B335" s="1186" t="s">
        <v>674</v>
      </c>
      <c r="C335" s="1186" t="s">
        <v>32</v>
      </c>
      <c r="D335" s="1186">
        <v>59</v>
      </c>
      <c r="E335" s="1186">
        <v>24</v>
      </c>
      <c r="F335" s="1186">
        <v>5</v>
      </c>
      <c r="G335" s="1186">
        <v>9</v>
      </c>
      <c r="H335" s="1186">
        <v>21</v>
      </c>
      <c r="I335" s="1186"/>
      <c r="J335" s="1186"/>
      <c r="K335" s="1186"/>
      <c r="L335" s="1186"/>
      <c r="M335" s="1186"/>
      <c r="N335" s="1186"/>
      <c r="O335" s="1186"/>
      <c r="P335" s="1186"/>
      <c r="Q335" s="1186"/>
      <c r="R335" s="1186"/>
      <c r="S335" s="1186" t="s">
        <v>1419</v>
      </c>
      <c r="T335" s="1186" t="s">
        <v>32</v>
      </c>
      <c r="U335" s="1186" t="s">
        <v>673</v>
      </c>
      <c r="V335" s="1186">
        <v>7</v>
      </c>
      <c r="W335" s="1186">
        <v>3</v>
      </c>
      <c r="X335" s="1186"/>
      <c r="Y335" s="1186">
        <v>1</v>
      </c>
      <c r="Z335" s="1186">
        <v>3</v>
      </c>
      <c r="AA335" s="1186"/>
    </row>
    <row r="336" spans="1:27" x14ac:dyDescent="0.2">
      <c r="A336" s="1186" t="s">
        <v>1419</v>
      </c>
      <c r="B336" s="1186" t="s">
        <v>674</v>
      </c>
      <c r="C336" s="1186" t="s">
        <v>33</v>
      </c>
      <c r="D336" s="1186">
        <v>67</v>
      </c>
      <c r="E336" s="1186">
        <v>39</v>
      </c>
      <c r="F336" s="1186">
        <v>4</v>
      </c>
      <c r="G336" s="1186">
        <v>13</v>
      </c>
      <c r="H336" s="1186">
        <v>9</v>
      </c>
      <c r="I336" s="1186">
        <v>2</v>
      </c>
      <c r="J336" s="1186"/>
      <c r="K336" s="1186"/>
      <c r="L336" s="1186"/>
      <c r="M336" s="1186"/>
      <c r="N336" s="1186"/>
      <c r="O336" s="1186"/>
      <c r="P336" s="1186"/>
      <c r="Q336" s="1186"/>
      <c r="R336" s="1186"/>
      <c r="S336" s="1186" t="s">
        <v>1419</v>
      </c>
      <c r="T336" s="1186" t="s">
        <v>33</v>
      </c>
      <c r="U336" s="1186" t="s">
        <v>673</v>
      </c>
      <c r="V336" s="1186">
        <v>10</v>
      </c>
      <c r="W336" s="1186">
        <v>6</v>
      </c>
      <c r="X336" s="1186">
        <v>3</v>
      </c>
      <c r="Y336" s="1186"/>
      <c r="Z336" s="1186"/>
      <c r="AA336" s="1186">
        <v>1</v>
      </c>
    </row>
    <row r="337" spans="1:27" x14ac:dyDescent="0.2">
      <c r="A337" s="1186" t="s">
        <v>1419</v>
      </c>
      <c r="B337" s="1186" t="s">
        <v>674</v>
      </c>
      <c r="C337" s="1186" t="s">
        <v>34</v>
      </c>
      <c r="D337" s="1186">
        <v>117</v>
      </c>
      <c r="E337" s="1186">
        <v>45</v>
      </c>
      <c r="F337" s="1186">
        <v>12</v>
      </c>
      <c r="G337" s="1186">
        <v>12</v>
      </c>
      <c r="H337" s="1186">
        <v>44</v>
      </c>
      <c r="I337" s="1186">
        <v>4</v>
      </c>
      <c r="J337" s="1186" t="s">
        <v>1419</v>
      </c>
      <c r="K337" s="1186" t="s">
        <v>34</v>
      </c>
      <c r="L337" s="1186" t="s">
        <v>672</v>
      </c>
      <c r="M337" s="1186">
        <v>2</v>
      </c>
      <c r="N337" s="1186"/>
      <c r="O337" s="1186"/>
      <c r="P337" s="1186"/>
      <c r="Q337" s="1186">
        <v>1</v>
      </c>
      <c r="R337" s="1186">
        <v>1</v>
      </c>
      <c r="S337" s="1186" t="s">
        <v>1419</v>
      </c>
      <c r="T337" s="1186" t="s">
        <v>34</v>
      </c>
      <c r="U337" s="1186" t="s">
        <v>673</v>
      </c>
      <c r="V337" s="1186">
        <v>14</v>
      </c>
      <c r="W337" s="1186">
        <v>6</v>
      </c>
      <c r="X337" s="1186">
        <v>2</v>
      </c>
      <c r="Y337" s="1186">
        <v>1</v>
      </c>
      <c r="Z337" s="1186">
        <v>4</v>
      </c>
      <c r="AA337" s="1186">
        <v>1</v>
      </c>
    </row>
    <row r="338" spans="1:27" x14ac:dyDescent="0.2">
      <c r="A338" s="1186" t="s">
        <v>1419</v>
      </c>
      <c r="B338" s="1186" t="s">
        <v>674</v>
      </c>
      <c r="C338" s="1186" t="s">
        <v>35</v>
      </c>
      <c r="D338" s="1186">
        <v>236</v>
      </c>
      <c r="E338" s="1186">
        <v>115</v>
      </c>
      <c r="F338" s="1186">
        <v>21</v>
      </c>
      <c r="G338" s="1186">
        <v>26</v>
      </c>
      <c r="H338" s="1186">
        <v>67</v>
      </c>
      <c r="I338" s="1186">
        <v>7</v>
      </c>
      <c r="J338" s="1186" t="s">
        <v>1419</v>
      </c>
      <c r="K338" s="1186" t="s">
        <v>35</v>
      </c>
      <c r="L338" s="1186" t="s">
        <v>672</v>
      </c>
      <c r="M338" s="1186">
        <v>1</v>
      </c>
      <c r="N338" s="1186"/>
      <c r="O338" s="1186"/>
      <c r="P338" s="1186"/>
      <c r="Q338" s="1186"/>
      <c r="R338" s="1186">
        <v>1</v>
      </c>
      <c r="S338" s="1186" t="s">
        <v>1419</v>
      </c>
      <c r="T338" s="1186" t="s">
        <v>35</v>
      </c>
      <c r="U338" s="1186" t="s">
        <v>673</v>
      </c>
      <c r="V338" s="1186">
        <v>38</v>
      </c>
      <c r="W338" s="1186">
        <v>18</v>
      </c>
      <c r="X338" s="1186">
        <v>3</v>
      </c>
      <c r="Y338" s="1186"/>
      <c r="Z338" s="1186">
        <v>14</v>
      </c>
      <c r="AA338" s="1186">
        <v>3</v>
      </c>
    </row>
    <row r="339" spans="1:27" x14ac:dyDescent="0.2">
      <c r="A339" s="1186" t="s">
        <v>1419</v>
      </c>
      <c r="B339" s="1186" t="s">
        <v>674</v>
      </c>
      <c r="C339" s="1186" t="s">
        <v>36</v>
      </c>
      <c r="D339" s="1186">
        <v>903</v>
      </c>
      <c r="E339" s="1186">
        <v>514</v>
      </c>
      <c r="F339" s="1186">
        <v>62</v>
      </c>
      <c r="G339" s="1186">
        <v>97</v>
      </c>
      <c r="H339" s="1186">
        <v>211</v>
      </c>
      <c r="I339" s="1186">
        <v>19</v>
      </c>
      <c r="J339" s="1186" t="s">
        <v>1419</v>
      </c>
      <c r="K339" s="1186" t="s">
        <v>36</v>
      </c>
      <c r="L339" s="1186" t="s">
        <v>672</v>
      </c>
      <c r="M339" s="1186">
        <v>3</v>
      </c>
      <c r="N339" s="1186">
        <v>1</v>
      </c>
      <c r="O339" s="1186">
        <v>1</v>
      </c>
      <c r="P339" s="1186"/>
      <c r="Q339" s="1186">
        <v>1</v>
      </c>
      <c r="R339" s="1186"/>
      <c r="S339" s="1186" t="s">
        <v>1419</v>
      </c>
      <c r="T339" s="1186" t="s">
        <v>36</v>
      </c>
      <c r="U339" s="1186" t="s">
        <v>673</v>
      </c>
      <c r="V339" s="1186">
        <v>157</v>
      </c>
      <c r="W339" s="1186">
        <v>81</v>
      </c>
      <c r="X339" s="1186">
        <v>18</v>
      </c>
      <c r="Y339" s="1186">
        <v>10</v>
      </c>
      <c r="Z339" s="1186">
        <v>41</v>
      </c>
      <c r="AA339" s="1186">
        <v>7</v>
      </c>
    </row>
    <row r="340" spans="1:27" x14ac:dyDescent="0.2">
      <c r="A340" s="1186" t="s">
        <v>1419</v>
      </c>
      <c r="B340" s="1186" t="s">
        <v>674</v>
      </c>
      <c r="C340" s="1186" t="s">
        <v>37</v>
      </c>
      <c r="D340" s="1186">
        <v>121</v>
      </c>
      <c r="E340" s="1186">
        <v>43</v>
      </c>
      <c r="F340" s="1186">
        <v>17</v>
      </c>
      <c r="G340" s="1186">
        <v>10</v>
      </c>
      <c r="H340" s="1186">
        <v>45</v>
      </c>
      <c r="I340" s="1186">
        <v>6</v>
      </c>
      <c r="J340" s="1186"/>
      <c r="K340" s="1186"/>
      <c r="L340" s="1186"/>
      <c r="M340" s="1186"/>
      <c r="N340" s="1186"/>
      <c r="O340" s="1186"/>
      <c r="P340" s="1186"/>
      <c r="Q340" s="1186"/>
      <c r="R340" s="1186"/>
      <c r="S340" s="1186" t="s">
        <v>1419</v>
      </c>
      <c r="T340" s="1186" t="s">
        <v>37</v>
      </c>
      <c r="U340" s="1186" t="s">
        <v>673</v>
      </c>
      <c r="V340" s="1186">
        <v>25</v>
      </c>
      <c r="W340" s="1186">
        <v>12</v>
      </c>
      <c r="X340" s="1186">
        <v>8</v>
      </c>
      <c r="Y340" s="1186">
        <v>3</v>
      </c>
      <c r="Z340" s="1186">
        <v>2</v>
      </c>
      <c r="AA340" s="1186"/>
    </row>
    <row r="341" spans="1:27" x14ac:dyDescent="0.2">
      <c r="A341" s="1186" t="s">
        <v>1419</v>
      </c>
      <c r="B341" s="1186" t="s">
        <v>674</v>
      </c>
      <c r="C341" s="1186" t="s">
        <v>38</v>
      </c>
      <c r="D341" s="1186">
        <v>89</v>
      </c>
      <c r="E341" s="1186">
        <v>52</v>
      </c>
      <c r="F341" s="1186">
        <v>2</v>
      </c>
      <c r="G341" s="1186">
        <v>10</v>
      </c>
      <c r="H341" s="1186">
        <v>22</v>
      </c>
      <c r="I341" s="1186">
        <v>3</v>
      </c>
      <c r="J341" s="1186"/>
      <c r="K341" s="1186"/>
      <c r="L341" s="1186"/>
      <c r="M341" s="1186"/>
      <c r="N341" s="1186"/>
      <c r="O341" s="1186"/>
      <c r="P341" s="1186"/>
      <c r="Q341" s="1186"/>
      <c r="R341" s="1186"/>
      <c r="S341" s="1186" t="s">
        <v>1419</v>
      </c>
      <c r="T341" s="1186" t="s">
        <v>38</v>
      </c>
      <c r="U341" s="1186" t="s">
        <v>673</v>
      </c>
      <c r="V341" s="1186">
        <v>24</v>
      </c>
      <c r="W341" s="1186">
        <v>15</v>
      </c>
      <c r="X341" s="1186"/>
      <c r="Y341" s="1186">
        <v>1</v>
      </c>
      <c r="Z341" s="1186">
        <v>7</v>
      </c>
      <c r="AA341" s="1186">
        <v>1</v>
      </c>
    </row>
    <row r="342" spans="1:27" x14ac:dyDescent="0.2">
      <c r="A342" s="1186" t="s">
        <v>1419</v>
      </c>
      <c r="B342" s="1186" t="s">
        <v>674</v>
      </c>
      <c r="C342" s="1186" t="s">
        <v>39</v>
      </c>
      <c r="D342" s="1186">
        <v>74</v>
      </c>
      <c r="E342" s="1186">
        <v>37</v>
      </c>
      <c r="F342" s="1186">
        <v>6</v>
      </c>
      <c r="G342" s="1186">
        <v>8</v>
      </c>
      <c r="H342" s="1186">
        <v>22</v>
      </c>
      <c r="I342" s="1186">
        <v>1</v>
      </c>
      <c r="J342" s="1186"/>
      <c r="K342" s="1186"/>
      <c r="L342" s="1186"/>
      <c r="M342" s="1186"/>
      <c r="N342" s="1186"/>
      <c r="O342" s="1186"/>
      <c r="P342" s="1186"/>
      <c r="Q342" s="1186"/>
      <c r="R342" s="1186"/>
      <c r="S342" s="1186" t="s">
        <v>1419</v>
      </c>
      <c r="T342" s="1186" t="s">
        <v>39</v>
      </c>
      <c r="U342" s="1186" t="s">
        <v>673</v>
      </c>
      <c r="V342" s="1186">
        <v>12</v>
      </c>
      <c r="W342" s="1186">
        <v>2</v>
      </c>
      <c r="X342" s="1186">
        <v>2</v>
      </c>
      <c r="Y342" s="1186">
        <v>3</v>
      </c>
      <c r="Z342" s="1186">
        <v>3</v>
      </c>
      <c r="AA342" s="1186">
        <v>2</v>
      </c>
    </row>
    <row r="343" spans="1:27" x14ac:dyDescent="0.2">
      <c r="A343" s="1186" t="s">
        <v>1419</v>
      </c>
      <c r="B343" s="1186" t="s">
        <v>674</v>
      </c>
      <c r="C343" s="1186" t="s">
        <v>40</v>
      </c>
      <c r="D343" s="1186">
        <v>82</v>
      </c>
      <c r="E343" s="1186">
        <v>43</v>
      </c>
      <c r="F343" s="1186">
        <v>8</v>
      </c>
      <c r="G343" s="1186">
        <v>4</v>
      </c>
      <c r="H343" s="1186">
        <v>25</v>
      </c>
      <c r="I343" s="1186">
        <v>2</v>
      </c>
      <c r="J343" s="1186"/>
      <c r="K343" s="1186"/>
      <c r="L343" s="1186"/>
      <c r="M343" s="1186"/>
      <c r="N343" s="1186"/>
      <c r="O343" s="1186"/>
      <c r="P343" s="1186"/>
      <c r="Q343" s="1186"/>
      <c r="R343" s="1186"/>
      <c r="S343" s="1186" t="s">
        <v>1419</v>
      </c>
      <c r="T343" s="1186" t="s">
        <v>40</v>
      </c>
      <c r="U343" s="1186" t="s">
        <v>673</v>
      </c>
      <c r="V343" s="1186">
        <v>19</v>
      </c>
      <c r="W343" s="1186">
        <v>11</v>
      </c>
      <c r="X343" s="1186">
        <v>3</v>
      </c>
      <c r="Y343" s="1186">
        <v>4</v>
      </c>
      <c r="Z343" s="1186"/>
      <c r="AA343" s="1186">
        <v>1</v>
      </c>
    </row>
    <row r="344" spans="1:27" x14ac:dyDescent="0.2">
      <c r="A344" s="1186" t="s">
        <v>1419</v>
      </c>
      <c r="B344" s="1186" t="s">
        <v>674</v>
      </c>
      <c r="C344" s="1186" t="s">
        <v>295</v>
      </c>
      <c r="D344" s="1186">
        <v>20</v>
      </c>
      <c r="E344" s="1186">
        <v>6</v>
      </c>
      <c r="F344" s="1186">
        <v>3</v>
      </c>
      <c r="G344" s="1186">
        <v>1</v>
      </c>
      <c r="H344" s="1186">
        <v>10</v>
      </c>
      <c r="I344" s="1186"/>
      <c r="J344" s="1186"/>
      <c r="K344" s="1186"/>
      <c r="L344" s="1186"/>
      <c r="M344" s="1186"/>
      <c r="N344" s="1186"/>
      <c r="O344" s="1186"/>
      <c r="P344" s="1186"/>
      <c r="Q344" s="1186"/>
      <c r="R344" s="1186"/>
      <c r="S344" s="1186" t="s">
        <v>1419</v>
      </c>
      <c r="T344" s="1186" t="s">
        <v>295</v>
      </c>
      <c r="U344" s="1186" t="s">
        <v>673</v>
      </c>
      <c r="V344" s="1186">
        <v>8</v>
      </c>
      <c r="W344" s="1186">
        <v>1</v>
      </c>
      <c r="X344" s="1186">
        <v>1</v>
      </c>
      <c r="Y344" s="1186"/>
      <c r="Z344" s="1186">
        <v>6</v>
      </c>
      <c r="AA344" s="1186"/>
    </row>
    <row r="345" spans="1:27" x14ac:dyDescent="0.2">
      <c r="A345" s="1186" t="s">
        <v>1419</v>
      </c>
      <c r="B345" s="1186" t="s">
        <v>674</v>
      </c>
      <c r="C345" s="1186" t="s">
        <v>41</v>
      </c>
      <c r="D345" s="1186">
        <v>168</v>
      </c>
      <c r="E345" s="1186">
        <v>107</v>
      </c>
      <c r="F345" s="1186">
        <v>16</v>
      </c>
      <c r="G345" s="1186">
        <v>12</v>
      </c>
      <c r="H345" s="1186">
        <v>29</v>
      </c>
      <c r="I345" s="1186">
        <v>4</v>
      </c>
      <c r="J345" s="1186" t="s">
        <v>1419</v>
      </c>
      <c r="K345" s="1186" t="s">
        <v>41</v>
      </c>
      <c r="L345" s="1186" t="s">
        <v>672</v>
      </c>
      <c r="M345" s="1186">
        <v>1</v>
      </c>
      <c r="N345" s="1186"/>
      <c r="O345" s="1186"/>
      <c r="P345" s="1186">
        <v>1</v>
      </c>
      <c r="Q345" s="1186"/>
      <c r="R345" s="1186"/>
      <c r="S345" s="1186" t="s">
        <v>1419</v>
      </c>
      <c r="T345" s="1186" t="s">
        <v>41</v>
      </c>
      <c r="U345" s="1186" t="s">
        <v>673</v>
      </c>
      <c r="V345" s="1186">
        <v>20</v>
      </c>
      <c r="W345" s="1186">
        <v>14</v>
      </c>
      <c r="X345" s="1186">
        <v>3</v>
      </c>
      <c r="Y345" s="1186">
        <v>1</v>
      </c>
      <c r="Z345" s="1186">
        <v>2</v>
      </c>
      <c r="AA345" s="1186"/>
    </row>
    <row r="346" spans="1:27" x14ac:dyDescent="0.2">
      <c r="A346" s="1186" t="s">
        <v>1419</v>
      </c>
      <c r="B346" s="1186" t="s">
        <v>674</v>
      </c>
      <c r="C346" s="1186" t="s">
        <v>42</v>
      </c>
      <c r="D346" s="1186">
        <v>276</v>
      </c>
      <c r="E346" s="1186">
        <v>152</v>
      </c>
      <c r="F346" s="1186">
        <v>33</v>
      </c>
      <c r="G346" s="1186">
        <v>26</v>
      </c>
      <c r="H346" s="1186">
        <v>60</v>
      </c>
      <c r="I346" s="1186">
        <v>5</v>
      </c>
      <c r="J346" s="1186" t="s">
        <v>1419</v>
      </c>
      <c r="K346" s="1186" t="s">
        <v>42</v>
      </c>
      <c r="L346" s="1186" t="s">
        <v>672</v>
      </c>
      <c r="M346" s="1186">
        <v>4</v>
      </c>
      <c r="N346" s="1186">
        <v>2</v>
      </c>
      <c r="O346" s="1186"/>
      <c r="P346" s="1186">
        <v>2</v>
      </c>
      <c r="Q346" s="1186"/>
      <c r="R346" s="1186"/>
      <c r="S346" s="1186" t="s">
        <v>1419</v>
      </c>
      <c r="T346" s="1186" t="s">
        <v>42</v>
      </c>
      <c r="U346" s="1186" t="s">
        <v>673</v>
      </c>
      <c r="V346" s="1186">
        <v>64</v>
      </c>
      <c r="W346" s="1186">
        <v>24</v>
      </c>
      <c r="X346" s="1186">
        <v>10</v>
      </c>
      <c r="Y346" s="1186">
        <v>2</v>
      </c>
      <c r="Z346" s="1186">
        <v>24</v>
      </c>
      <c r="AA346" s="1186">
        <v>4</v>
      </c>
    </row>
    <row r="347" spans="1:27" x14ac:dyDescent="0.2">
      <c r="A347" s="1186" t="s">
        <v>1419</v>
      </c>
      <c r="B347" s="1186" t="s">
        <v>674</v>
      </c>
      <c r="C347" s="1186" t="s">
        <v>43</v>
      </c>
      <c r="D347" s="1186">
        <v>11</v>
      </c>
      <c r="E347" s="1186">
        <v>5</v>
      </c>
      <c r="F347" s="1186"/>
      <c r="G347" s="1186"/>
      <c r="H347" s="1186">
        <v>6</v>
      </c>
      <c r="I347" s="1186"/>
      <c r="J347" s="1186" t="s">
        <v>1419</v>
      </c>
      <c r="K347" s="1186" t="s">
        <v>43</v>
      </c>
      <c r="L347" s="1186" t="s">
        <v>672</v>
      </c>
      <c r="M347" s="1186">
        <v>1</v>
      </c>
      <c r="N347" s="1186">
        <v>1</v>
      </c>
      <c r="O347" s="1186"/>
      <c r="P347" s="1186"/>
      <c r="Q347" s="1186"/>
      <c r="R347" s="1186"/>
      <c r="S347" s="1186" t="s">
        <v>1419</v>
      </c>
      <c r="T347" s="1186" t="s">
        <v>43</v>
      </c>
      <c r="U347" s="1186" t="s">
        <v>673</v>
      </c>
      <c r="V347" s="1186">
        <v>1</v>
      </c>
      <c r="W347" s="1186"/>
      <c r="X347" s="1186"/>
      <c r="Y347" s="1186"/>
      <c r="Z347" s="1186">
        <v>1</v>
      </c>
      <c r="AA347" s="1186"/>
    </row>
    <row r="348" spans="1:27" x14ac:dyDescent="0.2">
      <c r="A348" s="1186" t="s">
        <v>1419</v>
      </c>
      <c r="B348" s="1186" t="s">
        <v>674</v>
      </c>
      <c r="C348" s="1186" t="s">
        <v>44</v>
      </c>
      <c r="D348" s="1186">
        <v>111</v>
      </c>
      <c r="E348" s="1186">
        <v>51</v>
      </c>
      <c r="F348" s="1186">
        <v>12</v>
      </c>
      <c r="G348" s="1186">
        <v>14</v>
      </c>
      <c r="H348" s="1186">
        <v>34</v>
      </c>
      <c r="I348" s="1186"/>
      <c r="J348" s="1186"/>
      <c r="K348" s="1186"/>
      <c r="L348" s="1186"/>
      <c r="M348" s="1186"/>
      <c r="N348" s="1186"/>
      <c r="O348" s="1186"/>
      <c r="P348" s="1186"/>
      <c r="Q348" s="1186"/>
      <c r="R348" s="1186"/>
      <c r="S348" s="1186" t="s">
        <v>1419</v>
      </c>
      <c r="T348" s="1186" t="s">
        <v>44</v>
      </c>
      <c r="U348" s="1186" t="s">
        <v>673</v>
      </c>
      <c r="V348" s="1186">
        <v>32</v>
      </c>
      <c r="W348" s="1186">
        <v>11</v>
      </c>
      <c r="X348" s="1186">
        <v>16</v>
      </c>
      <c r="Y348" s="1186"/>
      <c r="Z348" s="1186">
        <v>5</v>
      </c>
      <c r="AA348" s="1186"/>
    </row>
    <row r="349" spans="1:27" x14ac:dyDescent="0.2">
      <c r="A349" s="1186" t="s">
        <v>1419</v>
      </c>
      <c r="B349" s="1186" t="s">
        <v>674</v>
      </c>
      <c r="C349" s="1186" t="s">
        <v>45</v>
      </c>
      <c r="D349" s="1186">
        <v>164</v>
      </c>
      <c r="E349" s="1186">
        <v>83</v>
      </c>
      <c r="F349" s="1186">
        <v>9</v>
      </c>
      <c r="G349" s="1186">
        <v>27</v>
      </c>
      <c r="H349" s="1186">
        <v>40</v>
      </c>
      <c r="I349" s="1186">
        <v>5</v>
      </c>
      <c r="J349" s="1186"/>
      <c r="K349" s="1186"/>
      <c r="L349" s="1186"/>
      <c r="M349" s="1186"/>
      <c r="N349" s="1186"/>
      <c r="O349" s="1186"/>
      <c r="P349" s="1186"/>
      <c r="Q349" s="1186"/>
      <c r="R349" s="1186"/>
      <c r="S349" s="1186" t="s">
        <v>1419</v>
      </c>
      <c r="T349" s="1186" t="s">
        <v>45</v>
      </c>
      <c r="U349" s="1186" t="s">
        <v>673</v>
      </c>
      <c r="V349" s="1186">
        <v>24</v>
      </c>
      <c r="W349" s="1186">
        <v>12</v>
      </c>
      <c r="X349" s="1186">
        <v>4</v>
      </c>
      <c r="Y349" s="1186">
        <v>1</v>
      </c>
      <c r="Z349" s="1186">
        <v>7</v>
      </c>
      <c r="AA349" s="1186"/>
    </row>
    <row r="350" spans="1:27" x14ac:dyDescent="0.2">
      <c r="A350" s="1186" t="s">
        <v>1419</v>
      </c>
      <c r="B350" s="1186" t="s">
        <v>674</v>
      </c>
      <c r="C350" s="1186" t="s">
        <v>46</v>
      </c>
      <c r="D350" s="1186">
        <v>102</v>
      </c>
      <c r="E350" s="1186">
        <v>45</v>
      </c>
      <c r="F350" s="1186">
        <v>11</v>
      </c>
      <c r="G350" s="1186">
        <v>10</v>
      </c>
      <c r="H350" s="1186">
        <v>36</v>
      </c>
      <c r="I350" s="1186"/>
      <c r="J350" s="1186"/>
      <c r="K350" s="1186"/>
      <c r="L350" s="1186"/>
      <c r="M350" s="1186"/>
      <c r="N350" s="1186"/>
      <c r="O350" s="1186"/>
      <c r="P350" s="1186"/>
      <c r="Q350" s="1186"/>
      <c r="R350" s="1186"/>
      <c r="S350" s="1186" t="s">
        <v>1419</v>
      </c>
      <c r="T350" s="1186" t="s">
        <v>46</v>
      </c>
      <c r="U350" s="1186" t="s">
        <v>673</v>
      </c>
      <c r="V350" s="1186">
        <v>26</v>
      </c>
      <c r="W350" s="1186">
        <v>11</v>
      </c>
      <c r="X350" s="1186">
        <v>1</v>
      </c>
      <c r="Y350" s="1186">
        <v>2</v>
      </c>
      <c r="Z350" s="1186">
        <v>12</v>
      </c>
      <c r="AA350" s="1186"/>
    </row>
    <row r="351" spans="1:27" x14ac:dyDescent="0.2">
      <c r="A351" s="1186" t="s">
        <v>1419</v>
      </c>
      <c r="B351" s="1186" t="s">
        <v>674</v>
      </c>
      <c r="C351" s="1186" t="s">
        <v>47</v>
      </c>
      <c r="D351" s="1186">
        <v>12</v>
      </c>
      <c r="E351" s="1186">
        <v>7</v>
      </c>
      <c r="F351" s="1186">
        <v>1</v>
      </c>
      <c r="G351" s="1186"/>
      <c r="H351" s="1186">
        <v>3</v>
      </c>
      <c r="I351" s="1186">
        <v>1</v>
      </c>
      <c r="J351" s="1186" t="s">
        <v>1419</v>
      </c>
      <c r="K351" s="1186" t="s">
        <v>47</v>
      </c>
      <c r="L351" s="1186" t="s">
        <v>672</v>
      </c>
      <c r="M351" s="1186">
        <v>1</v>
      </c>
      <c r="N351" s="1186"/>
      <c r="O351" s="1186"/>
      <c r="P351" s="1186"/>
      <c r="Q351" s="1186">
        <v>1</v>
      </c>
      <c r="R351" s="1186"/>
      <c r="S351" s="1186" t="s">
        <v>1419</v>
      </c>
      <c r="T351" s="1186" t="s">
        <v>47</v>
      </c>
      <c r="U351" s="1186" t="s">
        <v>673</v>
      </c>
      <c r="V351" s="1186">
        <v>5</v>
      </c>
      <c r="W351" s="1186">
        <v>3</v>
      </c>
      <c r="X351" s="1186"/>
      <c r="Y351" s="1186"/>
      <c r="Z351" s="1186">
        <v>2</v>
      </c>
      <c r="AA351" s="1186"/>
    </row>
    <row r="352" spans="1:27" x14ac:dyDescent="0.2">
      <c r="A352" s="1186" t="s">
        <v>1419</v>
      </c>
      <c r="B352" s="1186" t="s">
        <v>674</v>
      </c>
      <c r="C352" s="1186" t="s">
        <v>48</v>
      </c>
      <c r="D352" s="1186">
        <v>98</v>
      </c>
      <c r="E352" s="1186">
        <v>55</v>
      </c>
      <c r="F352" s="1186">
        <v>13</v>
      </c>
      <c r="G352" s="1186">
        <v>9</v>
      </c>
      <c r="H352" s="1186">
        <v>18</v>
      </c>
      <c r="I352" s="1186">
        <v>3</v>
      </c>
      <c r="J352" s="1186"/>
      <c r="K352" s="1186"/>
      <c r="L352" s="1186"/>
      <c r="M352" s="1186"/>
      <c r="N352" s="1186"/>
      <c r="O352" s="1186"/>
      <c r="P352" s="1186"/>
      <c r="Q352" s="1186"/>
      <c r="R352" s="1186"/>
      <c r="S352" s="1186" t="s">
        <v>1419</v>
      </c>
      <c r="T352" s="1186" t="s">
        <v>48</v>
      </c>
      <c r="U352" s="1186" t="s">
        <v>673</v>
      </c>
      <c r="V352" s="1186">
        <v>19</v>
      </c>
      <c r="W352" s="1186">
        <v>11</v>
      </c>
      <c r="X352" s="1186">
        <v>4</v>
      </c>
      <c r="Y352" s="1186">
        <v>2</v>
      </c>
      <c r="Z352" s="1186">
        <v>2</v>
      </c>
      <c r="AA352" s="1186"/>
    </row>
    <row r="353" spans="1:27" x14ac:dyDescent="0.2">
      <c r="A353" s="1186" t="s">
        <v>1419</v>
      </c>
      <c r="B353" s="1186" t="s">
        <v>674</v>
      </c>
      <c r="C353" s="1186" t="s">
        <v>49</v>
      </c>
      <c r="D353" s="1186">
        <v>249</v>
      </c>
      <c r="E353" s="1186">
        <v>151</v>
      </c>
      <c r="F353" s="1186">
        <v>23</v>
      </c>
      <c r="G353" s="1186">
        <v>23</v>
      </c>
      <c r="H353" s="1186">
        <v>47</v>
      </c>
      <c r="I353" s="1186">
        <v>5</v>
      </c>
      <c r="J353" s="1186" t="s">
        <v>1419</v>
      </c>
      <c r="K353" s="1186" t="s">
        <v>49</v>
      </c>
      <c r="L353" s="1186" t="s">
        <v>672</v>
      </c>
      <c r="M353" s="1186">
        <v>2</v>
      </c>
      <c r="N353" s="1186">
        <v>1</v>
      </c>
      <c r="O353" s="1186">
        <v>1</v>
      </c>
      <c r="P353" s="1186"/>
      <c r="Q353" s="1186"/>
      <c r="R353" s="1186"/>
      <c r="S353" s="1186" t="s">
        <v>1419</v>
      </c>
      <c r="T353" s="1186" t="s">
        <v>49</v>
      </c>
      <c r="U353" s="1186" t="s">
        <v>673</v>
      </c>
      <c r="V353" s="1186">
        <v>59</v>
      </c>
      <c r="W353" s="1186">
        <v>40</v>
      </c>
      <c r="X353" s="1186">
        <v>6</v>
      </c>
      <c r="Y353" s="1186">
        <v>4</v>
      </c>
      <c r="Z353" s="1186">
        <v>9</v>
      </c>
      <c r="AA353" s="1186"/>
    </row>
    <row r="354" spans="1:27" x14ac:dyDescent="0.2">
      <c r="A354" s="1186" t="s">
        <v>1419</v>
      </c>
      <c r="B354" s="1186" t="s">
        <v>674</v>
      </c>
      <c r="C354" s="1186" t="s">
        <v>50</v>
      </c>
      <c r="D354" s="1186">
        <v>52</v>
      </c>
      <c r="E354" s="1186">
        <v>26</v>
      </c>
      <c r="F354" s="1186">
        <v>9</v>
      </c>
      <c r="G354" s="1186">
        <v>7</v>
      </c>
      <c r="H354" s="1186">
        <v>8</v>
      </c>
      <c r="I354" s="1186">
        <v>2</v>
      </c>
      <c r="J354" s="1186" t="s">
        <v>1419</v>
      </c>
      <c r="K354" s="1186" t="s">
        <v>50</v>
      </c>
      <c r="L354" s="1186" t="s">
        <v>672</v>
      </c>
      <c r="M354" s="1186">
        <v>1</v>
      </c>
      <c r="N354" s="1186"/>
      <c r="O354" s="1186">
        <v>1</v>
      </c>
      <c r="P354" s="1186"/>
      <c r="Q354" s="1186"/>
      <c r="R354" s="1186"/>
      <c r="S354" s="1186" t="s">
        <v>1419</v>
      </c>
      <c r="T354" s="1186" t="s">
        <v>50</v>
      </c>
      <c r="U354" s="1186" t="s">
        <v>673</v>
      </c>
      <c r="V354" s="1186">
        <v>5</v>
      </c>
      <c r="W354" s="1186">
        <v>4</v>
      </c>
      <c r="X354" s="1186">
        <v>1</v>
      </c>
      <c r="Y354" s="1186"/>
      <c r="Z354" s="1186"/>
      <c r="AA354" s="1186"/>
    </row>
    <row r="355" spans="1:27" x14ac:dyDescent="0.2">
      <c r="A355" s="1186" t="s">
        <v>1419</v>
      </c>
      <c r="B355" s="1186" t="s">
        <v>674</v>
      </c>
      <c r="C355" s="1186" t="s">
        <v>51</v>
      </c>
      <c r="D355" s="1186">
        <v>115</v>
      </c>
      <c r="E355" s="1186">
        <v>73</v>
      </c>
      <c r="F355" s="1186">
        <v>11</v>
      </c>
      <c r="G355" s="1186">
        <v>16</v>
      </c>
      <c r="H355" s="1186">
        <v>12</v>
      </c>
      <c r="I355" s="1186">
        <v>3</v>
      </c>
      <c r="J355" s="1186"/>
      <c r="K355" s="1186"/>
      <c r="L355" s="1186"/>
      <c r="M355" s="1186"/>
      <c r="N355" s="1186"/>
      <c r="O355" s="1186"/>
      <c r="P355" s="1186"/>
      <c r="Q355" s="1186"/>
      <c r="R355" s="1186"/>
      <c r="S355" s="1186" t="s">
        <v>1419</v>
      </c>
      <c r="T355" s="1186" t="s">
        <v>51</v>
      </c>
      <c r="U355" s="1186" t="s">
        <v>673</v>
      </c>
      <c r="V355" s="1186">
        <v>25</v>
      </c>
      <c r="W355" s="1186">
        <v>16</v>
      </c>
      <c r="X355" s="1186">
        <v>1</v>
      </c>
      <c r="Y355" s="1186">
        <v>4</v>
      </c>
      <c r="Z355" s="1186"/>
      <c r="AA355" s="1186">
        <v>4</v>
      </c>
    </row>
    <row r="356" spans="1:27" x14ac:dyDescent="0.2">
      <c r="A356" s="1186" t="s">
        <v>1419</v>
      </c>
      <c r="B356" s="1186" t="s">
        <v>674</v>
      </c>
      <c r="C356" s="1186" t="s">
        <v>52</v>
      </c>
      <c r="D356" s="1186">
        <v>131</v>
      </c>
      <c r="E356" s="1186">
        <v>59</v>
      </c>
      <c r="F356" s="1186">
        <v>12</v>
      </c>
      <c r="G356" s="1186">
        <v>16</v>
      </c>
      <c r="H356" s="1186">
        <v>41</v>
      </c>
      <c r="I356" s="1186">
        <v>3</v>
      </c>
      <c r="J356" s="1186"/>
      <c r="K356" s="1186"/>
      <c r="L356" s="1186"/>
      <c r="M356" s="1186"/>
      <c r="N356" s="1186"/>
      <c r="O356" s="1186"/>
      <c r="P356" s="1186"/>
      <c r="Q356" s="1186"/>
      <c r="R356" s="1186"/>
      <c r="S356" s="1186" t="s">
        <v>1419</v>
      </c>
      <c r="T356" s="1186" t="s">
        <v>52</v>
      </c>
      <c r="U356" s="1186" t="s">
        <v>673</v>
      </c>
      <c r="V356" s="1186">
        <v>22</v>
      </c>
      <c r="W356" s="1186">
        <v>10</v>
      </c>
      <c r="X356" s="1186">
        <v>7</v>
      </c>
      <c r="Y356" s="1186"/>
      <c r="Z356" s="1186">
        <v>5</v>
      </c>
      <c r="AA356" s="1186"/>
    </row>
    <row r="357" spans="1:27" x14ac:dyDescent="0.2">
      <c r="A357" s="1186" t="s">
        <v>1419</v>
      </c>
      <c r="B357" s="1186" t="s">
        <v>674</v>
      </c>
      <c r="C357" s="1186" t="s">
        <v>1521</v>
      </c>
      <c r="D357" s="1186">
        <v>1</v>
      </c>
      <c r="E357" s="1186">
        <v>1</v>
      </c>
      <c r="F357" s="1186"/>
      <c r="G357" s="1186"/>
      <c r="H357" s="1186"/>
      <c r="I357" s="1186"/>
      <c r="J357" s="1186"/>
      <c r="K357" s="1186"/>
      <c r="L357" s="1186"/>
      <c r="M357" s="1186"/>
      <c r="N357" s="1186"/>
      <c r="O357" s="1186"/>
      <c r="P357" s="1186"/>
      <c r="Q357" s="1186"/>
      <c r="R357" s="1186"/>
      <c r="S357" s="1186"/>
      <c r="T357" s="1186"/>
      <c r="U357" s="1186"/>
      <c r="V357" s="1186"/>
      <c r="W357" s="1186"/>
      <c r="X357" s="1186"/>
      <c r="Y357" s="1186"/>
      <c r="Z357" s="1186"/>
      <c r="AA357" s="1186"/>
    </row>
    <row r="358" spans="1:27" x14ac:dyDescent="0.2">
      <c r="A358" s="1186" t="s">
        <v>1572</v>
      </c>
      <c r="B358" s="1186" t="s">
        <v>674</v>
      </c>
      <c r="C358" s="1186" t="s">
        <v>23</v>
      </c>
      <c r="D358" s="1186">
        <v>243</v>
      </c>
      <c r="E358" s="1186">
        <v>141</v>
      </c>
      <c r="F358" s="1186">
        <v>24</v>
      </c>
      <c r="G358" s="1186">
        <v>22</v>
      </c>
      <c r="H358" s="1186">
        <v>52</v>
      </c>
      <c r="I358" s="1186">
        <v>4</v>
      </c>
      <c r="J358" s="1186" t="s">
        <v>1572</v>
      </c>
      <c r="K358" s="1186" t="s">
        <v>23</v>
      </c>
      <c r="L358" s="1186" t="s">
        <v>672</v>
      </c>
      <c r="M358" s="1186">
        <v>3</v>
      </c>
      <c r="N358" s="1186">
        <v>3</v>
      </c>
      <c r="O358" s="1186"/>
      <c r="P358" s="1186"/>
      <c r="Q358" s="1186"/>
      <c r="R358" s="1186"/>
      <c r="S358" s="1186" t="s">
        <v>1572</v>
      </c>
      <c r="T358" s="1186" t="s">
        <v>23</v>
      </c>
      <c r="U358" s="1186" t="s">
        <v>673</v>
      </c>
      <c r="V358" s="1186">
        <v>35</v>
      </c>
      <c r="W358" s="1186">
        <v>24</v>
      </c>
      <c r="X358" s="1186">
        <v>7</v>
      </c>
      <c r="Y358" s="1186">
        <v>2</v>
      </c>
      <c r="Z358" s="1186">
        <v>2</v>
      </c>
      <c r="AA358" s="1186"/>
    </row>
    <row r="359" spans="1:27" x14ac:dyDescent="0.2">
      <c r="A359" s="1186" t="s">
        <v>1572</v>
      </c>
      <c r="B359" s="1186" t="s">
        <v>674</v>
      </c>
      <c r="C359" s="1186" t="s">
        <v>24</v>
      </c>
      <c r="D359" s="1186">
        <v>172</v>
      </c>
      <c r="E359" s="1186">
        <v>78</v>
      </c>
      <c r="F359" s="1186">
        <v>11</v>
      </c>
      <c r="G359" s="1186">
        <v>14</v>
      </c>
      <c r="H359" s="1186">
        <v>62</v>
      </c>
      <c r="I359" s="1186">
        <v>7</v>
      </c>
      <c r="J359" s="1186" t="s">
        <v>1572</v>
      </c>
      <c r="K359" s="1186" t="s">
        <v>24</v>
      </c>
      <c r="L359" s="1186" t="s">
        <v>672</v>
      </c>
      <c r="M359" s="1186">
        <v>1</v>
      </c>
      <c r="N359" s="1186"/>
      <c r="O359" s="1186"/>
      <c r="P359" s="1186"/>
      <c r="Q359" s="1186"/>
      <c r="R359" s="1186">
        <v>1</v>
      </c>
      <c r="S359" s="1186" t="s">
        <v>1572</v>
      </c>
      <c r="T359" s="1186" t="s">
        <v>24</v>
      </c>
      <c r="U359" s="1186" t="s">
        <v>673</v>
      </c>
      <c r="V359" s="1186">
        <v>16</v>
      </c>
      <c r="W359" s="1186">
        <v>5</v>
      </c>
      <c r="X359" s="1186">
        <v>1</v>
      </c>
      <c r="Y359" s="1186">
        <v>2</v>
      </c>
      <c r="Z359" s="1186">
        <v>7</v>
      </c>
      <c r="AA359" s="1186">
        <v>1</v>
      </c>
    </row>
    <row r="360" spans="1:27" x14ac:dyDescent="0.2">
      <c r="A360" s="1186" t="s">
        <v>1572</v>
      </c>
      <c r="B360" s="1186" t="s">
        <v>674</v>
      </c>
      <c r="C360" s="1186" t="s">
        <v>25</v>
      </c>
      <c r="D360" s="1186">
        <v>80</v>
      </c>
      <c r="E360" s="1186">
        <v>45</v>
      </c>
      <c r="F360" s="1186">
        <v>6</v>
      </c>
      <c r="G360" s="1186">
        <v>3</v>
      </c>
      <c r="H360" s="1186">
        <v>24</v>
      </c>
      <c r="I360" s="1186">
        <v>2</v>
      </c>
      <c r="J360" s="1186"/>
      <c r="K360" s="1186"/>
      <c r="L360" s="1186"/>
      <c r="M360" s="1186"/>
      <c r="N360" s="1186"/>
      <c r="O360" s="1186"/>
      <c r="P360" s="1186"/>
      <c r="Q360" s="1186"/>
      <c r="R360" s="1186"/>
      <c r="S360" s="1186" t="s">
        <v>1572</v>
      </c>
      <c r="T360" s="1186" t="s">
        <v>25</v>
      </c>
      <c r="U360" s="1186" t="s">
        <v>673</v>
      </c>
      <c r="V360" s="1186">
        <v>19</v>
      </c>
      <c r="W360" s="1186">
        <v>15</v>
      </c>
      <c r="X360" s="1186">
        <v>2</v>
      </c>
      <c r="Y360" s="1186">
        <v>1</v>
      </c>
      <c r="Z360" s="1186">
        <v>1</v>
      </c>
      <c r="AA360" s="1186"/>
    </row>
    <row r="361" spans="1:27" x14ac:dyDescent="0.2">
      <c r="A361" s="1186" t="s">
        <v>1572</v>
      </c>
      <c r="B361" s="1186" t="s">
        <v>674</v>
      </c>
      <c r="C361" s="1186" t="s">
        <v>26</v>
      </c>
      <c r="D361" s="1186">
        <v>86</v>
      </c>
      <c r="E361" s="1186">
        <v>51</v>
      </c>
      <c r="F361" s="1186">
        <v>5</v>
      </c>
      <c r="G361" s="1186">
        <v>13</v>
      </c>
      <c r="H361" s="1186">
        <v>9</v>
      </c>
      <c r="I361" s="1186">
        <v>8</v>
      </c>
      <c r="J361" s="1186" t="s">
        <v>1572</v>
      </c>
      <c r="K361" s="1186" t="s">
        <v>26</v>
      </c>
      <c r="L361" s="1186" t="s">
        <v>672</v>
      </c>
      <c r="M361" s="1186">
        <v>1</v>
      </c>
      <c r="N361" s="1186"/>
      <c r="O361" s="1186"/>
      <c r="P361" s="1186"/>
      <c r="Q361" s="1186"/>
      <c r="R361" s="1186">
        <v>1</v>
      </c>
      <c r="S361" s="1186" t="s">
        <v>1572</v>
      </c>
      <c r="T361" s="1186" t="s">
        <v>26</v>
      </c>
      <c r="U361" s="1186" t="s">
        <v>673</v>
      </c>
      <c r="V361" s="1186">
        <v>7</v>
      </c>
      <c r="W361" s="1186">
        <v>5</v>
      </c>
      <c r="X361" s="1186"/>
      <c r="Y361" s="1186"/>
      <c r="Z361" s="1186"/>
      <c r="AA361" s="1186">
        <v>2</v>
      </c>
    </row>
    <row r="362" spans="1:27" x14ac:dyDescent="0.2">
      <c r="A362" s="1186" t="s">
        <v>1572</v>
      </c>
      <c r="B362" s="1186" t="s">
        <v>674</v>
      </c>
      <c r="C362" s="1186" t="s">
        <v>619</v>
      </c>
      <c r="D362" s="1186">
        <v>422</v>
      </c>
      <c r="E362" s="1186">
        <v>162</v>
      </c>
      <c r="F362" s="1186">
        <v>34</v>
      </c>
      <c r="G362" s="1186">
        <v>55</v>
      </c>
      <c r="H362" s="1186">
        <v>164</v>
      </c>
      <c r="I362" s="1186">
        <v>7</v>
      </c>
      <c r="J362" s="1186" t="s">
        <v>1572</v>
      </c>
      <c r="K362" s="1186" t="s">
        <v>619</v>
      </c>
      <c r="L362" s="1186" t="s">
        <v>672</v>
      </c>
      <c r="M362" s="1186">
        <v>2</v>
      </c>
      <c r="N362" s="1186">
        <v>1</v>
      </c>
      <c r="O362" s="1186"/>
      <c r="P362" s="1186"/>
      <c r="Q362" s="1186"/>
      <c r="R362" s="1186">
        <v>1</v>
      </c>
      <c r="S362" s="1186" t="s">
        <v>1572</v>
      </c>
      <c r="T362" s="1186" t="s">
        <v>619</v>
      </c>
      <c r="U362" s="1186" t="s">
        <v>673</v>
      </c>
      <c r="V362" s="1186">
        <v>61</v>
      </c>
      <c r="W362" s="1186">
        <v>25</v>
      </c>
      <c r="X362" s="1186">
        <v>10</v>
      </c>
      <c r="Y362" s="1186">
        <v>3</v>
      </c>
      <c r="Z362" s="1186">
        <v>18</v>
      </c>
      <c r="AA362" s="1186">
        <v>5</v>
      </c>
    </row>
    <row r="363" spans="1:27" x14ac:dyDescent="0.2">
      <c r="A363" s="1186" t="s">
        <v>1572</v>
      </c>
      <c r="B363" s="1186" t="s">
        <v>674</v>
      </c>
      <c r="C363" s="1186" t="s">
        <v>27</v>
      </c>
      <c r="D363" s="1186">
        <v>55</v>
      </c>
      <c r="E363" s="1186">
        <v>32</v>
      </c>
      <c r="F363" s="1186">
        <v>6</v>
      </c>
      <c r="G363" s="1186">
        <v>4</v>
      </c>
      <c r="H363" s="1186">
        <v>13</v>
      </c>
      <c r="I363" s="1186"/>
      <c r="J363" s="1186" t="s">
        <v>1572</v>
      </c>
      <c r="K363" s="1186" t="s">
        <v>27</v>
      </c>
      <c r="L363" s="1186" t="s">
        <v>672</v>
      </c>
      <c r="M363" s="1186">
        <v>2</v>
      </c>
      <c r="N363" s="1186">
        <v>1</v>
      </c>
      <c r="O363" s="1186"/>
      <c r="P363" s="1186"/>
      <c r="Q363" s="1186">
        <v>1</v>
      </c>
      <c r="R363" s="1186"/>
      <c r="S363" s="1186" t="s">
        <v>1572</v>
      </c>
      <c r="T363" s="1186" t="s">
        <v>27</v>
      </c>
      <c r="U363" s="1186" t="s">
        <v>673</v>
      </c>
      <c r="V363" s="1186">
        <v>20</v>
      </c>
      <c r="W363" s="1186">
        <v>8</v>
      </c>
      <c r="X363" s="1186">
        <v>5</v>
      </c>
      <c r="Y363" s="1186"/>
      <c r="Z363" s="1186">
        <v>7</v>
      </c>
      <c r="AA363" s="1186"/>
    </row>
    <row r="364" spans="1:27" x14ac:dyDescent="0.2">
      <c r="A364" s="1186" t="s">
        <v>1572</v>
      </c>
      <c r="B364" s="1186" t="s">
        <v>674</v>
      </c>
      <c r="C364" s="1186" t="s">
        <v>28</v>
      </c>
      <c r="D364" s="1186">
        <v>74</v>
      </c>
      <c r="E364" s="1186">
        <v>47</v>
      </c>
      <c r="F364" s="1186">
        <v>5</v>
      </c>
      <c r="G364" s="1186">
        <v>5</v>
      </c>
      <c r="H364" s="1186">
        <v>16</v>
      </c>
      <c r="I364" s="1186">
        <v>1</v>
      </c>
      <c r="J364" s="1186" t="s">
        <v>1572</v>
      </c>
      <c r="K364" s="1186" t="s">
        <v>28</v>
      </c>
      <c r="L364" s="1186" t="s">
        <v>672</v>
      </c>
      <c r="M364" s="1186">
        <v>2</v>
      </c>
      <c r="N364" s="1186">
        <v>1</v>
      </c>
      <c r="O364" s="1186"/>
      <c r="P364" s="1186"/>
      <c r="Q364" s="1186"/>
      <c r="R364" s="1186">
        <v>1</v>
      </c>
      <c r="S364" s="1186" t="s">
        <v>1572</v>
      </c>
      <c r="T364" s="1186" t="s">
        <v>28</v>
      </c>
      <c r="U364" s="1186" t="s">
        <v>673</v>
      </c>
      <c r="V364" s="1186">
        <v>4</v>
      </c>
      <c r="W364" s="1186">
        <v>2</v>
      </c>
      <c r="X364" s="1186">
        <v>1</v>
      </c>
      <c r="Y364" s="1186"/>
      <c r="Z364" s="1186">
        <v>1</v>
      </c>
      <c r="AA364" s="1186"/>
    </row>
    <row r="365" spans="1:27" x14ac:dyDescent="0.2">
      <c r="A365" s="1186" t="s">
        <v>1572</v>
      </c>
      <c r="B365" s="1186" t="s">
        <v>674</v>
      </c>
      <c r="C365" s="1186" t="s">
        <v>29</v>
      </c>
      <c r="D365" s="1186">
        <v>209</v>
      </c>
      <c r="E365" s="1186">
        <v>99</v>
      </c>
      <c r="F365" s="1186">
        <v>18</v>
      </c>
      <c r="G365" s="1186">
        <v>27</v>
      </c>
      <c r="H365" s="1186">
        <v>61</v>
      </c>
      <c r="I365" s="1186">
        <v>4</v>
      </c>
      <c r="J365" s="1186" t="s">
        <v>1572</v>
      </c>
      <c r="K365" s="1186" t="s">
        <v>29</v>
      </c>
      <c r="L365" s="1186" t="s">
        <v>672</v>
      </c>
      <c r="M365" s="1186">
        <v>3</v>
      </c>
      <c r="N365" s="1186">
        <v>2</v>
      </c>
      <c r="O365" s="1186"/>
      <c r="P365" s="1186"/>
      <c r="Q365" s="1186"/>
      <c r="R365" s="1186">
        <v>1</v>
      </c>
      <c r="S365" s="1186" t="s">
        <v>1572</v>
      </c>
      <c r="T365" s="1186" t="s">
        <v>29</v>
      </c>
      <c r="U365" s="1186" t="s">
        <v>673</v>
      </c>
      <c r="V365" s="1186">
        <v>32</v>
      </c>
      <c r="W365" s="1186">
        <v>20</v>
      </c>
      <c r="X365" s="1186">
        <v>5</v>
      </c>
      <c r="Y365" s="1186">
        <v>3</v>
      </c>
      <c r="Z365" s="1186">
        <v>4</v>
      </c>
      <c r="AA365" s="1186"/>
    </row>
    <row r="366" spans="1:27" x14ac:dyDescent="0.2">
      <c r="A366" s="1186" t="s">
        <v>1572</v>
      </c>
      <c r="B366" s="1186" t="s">
        <v>674</v>
      </c>
      <c r="C366" s="1186" t="s">
        <v>30</v>
      </c>
      <c r="D366" s="1186">
        <v>109</v>
      </c>
      <c r="E366" s="1186">
        <v>67</v>
      </c>
      <c r="F366" s="1186">
        <v>10</v>
      </c>
      <c r="G366" s="1186">
        <v>15</v>
      </c>
      <c r="H366" s="1186">
        <v>14</v>
      </c>
      <c r="I366" s="1186">
        <v>3</v>
      </c>
      <c r="J366" s="1186" t="s">
        <v>1572</v>
      </c>
      <c r="K366" s="1186" t="s">
        <v>30</v>
      </c>
      <c r="L366" s="1186" t="s">
        <v>672</v>
      </c>
      <c r="M366" s="1186">
        <v>1</v>
      </c>
      <c r="N366" s="1186">
        <v>1</v>
      </c>
      <c r="O366" s="1186"/>
      <c r="P366" s="1186"/>
      <c r="Q366" s="1186"/>
      <c r="R366" s="1186"/>
      <c r="S366" s="1186" t="s">
        <v>1572</v>
      </c>
      <c r="T366" s="1186" t="s">
        <v>30</v>
      </c>
      <c r="U366" s="1186" t="s">
        <v>673</v>
      </c>
      <c r="V366" s="1186">
        <v>20</v>
      </c>
      <c r="W366" s="1186">
        <v>11</v>
      </c>
      <c r="X366" s="1186">
        <v>4</v>
      </c>
      <c r="Y366" s="1186">
        <v>2</v>
      </c>
      <c r="Z366" s="1186">
        <v>2</v>
      </c>
      <c r="AA366" s="1186">
        <v>1</v>
      </c>
    </row>
    <row r="367" spans="1:27" x14ac:dyDescent="0.2">
      <c r="A367" s="1186" t="s">
        <v>1572</v>
      </c>
      <c r="B367" s="1186" t="s">
        <v>674</v>
      </c>
      <c r="C367" s="1186" t="s">
        <v>31</v>
      </c>
      <c r="D367" s="1186">
        <v>74</v>
      </c>
      <c r="E367" s="1186">
        <v>41</v>
      </c>
      <c r="F367" s="1186">
        <v>5</v>
      </c>
      <c r="G367" s="1186">
        <v>13</v>
      </c>
      <c r="H367" s="1186">
        <v>12</v>
      </c>
      <c r="I367" s="1186">
        <v>3</v>
      </c>
      <c r="J367" s="1186" t="s">
        <v>1572</v>
      </c>
      <c r="K367" s="1186" t="s">
        <v>31</v>
      </c>
      <c r="L367" s="1186" t="s">
        <v>672</v>
      </c>
      <c r="M367" s="1186">
        <v>1</v>
      </c>
      <c r="N367" s="1186">
        <v>1</v>
      </c>
      <c r="O367" s="1186"/>
      <c r="P367" s="1186"/>
      <c r="Q367" s="1186"/>
      <c r="R367" s="1186"/>
      <c r="S367" s="1186" t="s">
        <v>1572</v>
      </c>
      <c r="T367" s="1186" t="s">
        <v>31</v>
      </c>
      <c r="U367" s="1186" t="s">
        <v>673</v>
      </c>
      <c r="V367" s="1186">
        <v>9</v>
      </c>
      <c r="W367" s="1186">
        <v>3</v>
      </c>
      <c r="X367" s="1186">
        <v>3</v>
      </c>
      <c r="Y367" s="1186">
        <v>1</v>
      </c>
      <c r="Z367" s="1186">
        <v>2</v>
      </c>
      <c r="AA367" s="1186"/>
    </row>
    <row r="368" spans="1:27" x14ac:dyDescent="0.2">
      <c r="A368" s="1186" t="s">
        <v>1572</v>
      </c>
      <c r="B368" s="1186" t="s">
        <v>674</v>
      </c>
      <c r="C368" s="1186" t="s">
        <v>32</v>
      </c>
      <c r="D368" s="1186">
        <v>49</v>
      </c>
      <c r="E368" s="1186">
        <v>27</v>
      </c>
      <c r="F368" s="1186">
        <v>3</v>
      </c>
      <c r="G368" s="1186">
        <v>8</v>
      </c>
      <c r="H368" s="1186">
        <v>10</v>
      </c>
      <c r="I368" s="1186">
        <v>1</v>
      </c>
      <c r="J368" s="1186" t="s">
        <v>1572</v>
      </c>
      <c r="K368" s="1186" t="s">
        <v>32</v>
      </c>
      <c r="L368" s="1186" t="s">
        <v>672</v>
      </c>
      <c r="M368" s="1186">
        <v>1</v>
      </c>
      <c r="N368" s="1186">
        <v>1</v>
      </c>
      <c r="O368" s="1186"/>
      <c r="P368" s="1186"/>
      <c r="Q368" s="1186"/>
      <c r="R368" s="1186"/>
      <c r="S368" s="1186" t="s">
        <v>1572</v>
      </c>
      <c r="T368" s="1186" t="s">
        <v>32</v>
      </c>
      <c r="U368" s="1186" t="s">
        <v>673</v>
      </c>
      <c r="V368" s="1186">
        <v>4</v>
      </c>
      <c r="W368" s="1186">
        <v>3</v>
      </c>
      <c r="X368" s="1186"/>
      <c r="Y368" s="1186">
        <v>1</v>
      </c>
      <c r="Z368" s="1186"/>
      <c r="AA368" s="1186"/>
    </row>
    <row r="369" spans="1:27" x14ac:dyDescent="0.2">
      <c r="A369" s="1186" t="s">
        <v>1572</v>
      </c>
      <c r="B369" s="1186" t="s">
        <v>674</v>
      </c>
      <c r="C369" s="1186" t="s">
        <v>33</v>
      </c>
      <c r="D369" s="1186">
        <v>53</v>
      </c>
      <c r="E369" s="1186">
        <v>33</v>
      </c>
      <c r="F369" s="1186">
        <v>6</v>
      </c>
      <c r="G369" s="1186">
        <v>6</v>
      </c>
      <c r="H369" s="1186">
        <v>7</v>
      </c>
      <c r="I369" s="1186">
        <v>1</v>
      </c>
      <c r="J369" s="1186" t="s">
        <v>1572</v>
      </c>
      <c r="K369" s="1186" t="s">
        <v>33</v>
      </c>
      <c r="L369" s="1186" t="s">
        <v>672</v>
      </c>
      <c r="M369" s="1186">
        <v>1</v>
      </c>
      <c r="N369" s="1186">
        <v>1</v>
      </c>
      <c r="O369" s="1186"/>
      <c r="P369" s="1186"/>
      <c r="Q369" s="1186"/>
      <c r="R369" s="1186"/>
      <c r="S369" s="1186" t="s">
        <v>1572</v>
      </c>
      <c r="T369" s="1186" t="s">
        <v>33</v>
      </c>
      <c r="U369" s="1186" t="s">
        <v>673</v>
      </c>
      <c r="V369" s="1186">
        <v>6</v>
      </c>
      <c r="W369" s="1186">
        <v>3</v>
      </c>
      <c r="X369" s="1186">
        <v>2</v>
      </c>
      <c r="Y369" s="1186"/>
      <c r="Z369" s="1186">
        <v>1</v>
      </c>
      <c r="AA369" s="1186"/>
    </row>
    <row r="370" spans="1:27" x14ac:dyDescent="0.2">
      <c r="A370" s="1186" t="s">
        <v>1572</v>
      </c>
      <c r="B370" s="1186" t="s">
        <v>674</v>
      </c>
      <c r="C370" s="1186" t="s">
        <v>34</v>
      </c>
      <c r="D370" s="1186">
        <v>109</v>
      </c>
      <c r="E370" s="1186">
        <v>49</v>
      </c>
      <c r="F370" s="1186">
        <v>10</v>
      </c>
      <c r="G370" s="1186">
        <v>20</v>
      </c>
      <c r="H370" s="1186">
        <v>28</v>
      </c>
      <c r="I370" s="1186">
        <v>2</v>
      </c>
      <c r="J370" s="1186"/>
      <c r="K370" s="1186"/>
      <c r="L370" s="1186"/>
      <c r="M370" s="1186"/>
      <c r="N370" s="1186"/>
      <c r="O370" s="1186"/>
      <c r="P370" s="1186"/>
      <c r="Q370" s="1186"/>
      <c r="R370" s="1186"/>
      <c r="S370" s="1186" t="s">
        <v>1572</v>
      </c>
      <c r="T370" s="1186" t="s">
        <v>34</v>
      </c>
      <c r="U370" s="1186" t="s">
        <v>673</v>
      </c>
      <c r="V370" s="1186">
        <v>30</v>
      </c>
      <c r="W370" s="1186">
        <v>12</v>
      </c>
      <c r="X370" s="1186">
        <v>6</v>
      </c>
      <c r="Y370" s="1186">
        <v>4</v>
      </c>
      <c r="Z370" s="1186">
        <v>8</v>
      </c>
      <c r="AA370" s="1186"/>
    </row>
    <row r="371" spans="1:27" x14ac:dyDescent="0.2">
      <c r="A371" s="1186" t="s">
        <v>1572</v>
      </c>
      <c r="B371" s="1186" t="s">
        <v>674</v>
      </c>
      <c r="C371" s="1186" t="s">
        <v>35</v>
      </c>
      <c r="D371" s="1186">
        <v>247</v>
      </c>
      <c r="E371" s="1186">
        <v>93</v>
      </c>
      <c r="F371" s="1186">
        <v>27</v>
      </c>
      <c r="G371" s="1186">
        <v>33</v>
      </c>
      <c r="H371" s="1186">
        <v>90</v>
      </c>
      <c r="I371" s="1186">
        <v>4</v>
      </c>
      <c r="J371" s="1186" t="s">
        <v>1572</v>
      </c>
      <c r="K371" s="1186" t="s">
        <v>35</v>
      </c>
      <c r="L371" s="1186" t="s">
        <v>672</v>
      </c>
      <c r="M371" s="1186">
        <v>2</v>
      </c>
      <c r="N371" s="1186">
        <v>1</v>
      </c>
      <c r="O371" s="1186"/>
      <c r="P371" s="1186">
        <v>1</v>
      </c>
      <c r="Q371" s="1186"/>
      <c r="R371" s="1186"/>
      <c r="S371" s="1186" t="s">
        <v>1572</v>
      </c>
      <c r="T371" s="1186" t="s">
        <v>35</v>
      </c>
      <c r="U371" s="1186" t="s">
        <v>673</v>
      </c>
      <c r="V371" s="1186">
        <v>45</v>
      </c>
      <c r="W371" s="1186">
        <v>24</v>
      </c>
      <c r="X371" s="1186">
        <v>2</v>
      </c>
      <c r="Y371" s="1186">
        <v>2</v>
      </c>
      <c r="Z371" s="1186">
        <v>15</v>
      </c>
      <c r="AA371" s="1186">
        <v>2</v>
      </c>
    </row>
    <row r="372" spans="1:27" x14ac:dyDescent="0.2">
      <c r="A372" s="1186" t="s">
        <v>1572</v>
      </c>
      <c r="B372" s="1186" t="s">
        <v>674</v>
      </c>
      <c r="C372" s="1186" t="s">
        <v>36</v>
      </c>
      <c r="D372" s="1186">
        <v>795</v>
      </c>
      <c r="E372" s="1186">
        <v>446</v>
      </c>
      <c r="F372" s="1186">
        <v>56</v>
      </c>
      <c r="G372" s="1186">
        <v>92</v>
      </c>
      <c r="H372" s="1186">
        <v>170</v>
      </c>
      <c r="I372" s="1186">
        <v>31</v>
      </c>
      <c r="J372" s="1186" t="s">
        <v>1572</v>
      </c>
      <c r="K372" s="1186" t="s">
        <v>36</v>
      </c>
      <c r="L372" s="1186" t="s">
        <v>672</v>
      </c>
      <c r="M372" s="1186">
        <v>7</v>
      </c>
      <c r="N372" s="1186">
        <v>4</v>
      </c>
      <c r="O372" s="1186"/>
      <c r="P372" s="1186">
        <v>1</v>
      </c>
      <c r="Q372" s="1186">
        <v>1</v>
      </c>
      <c r="R372" s="1186">
        <v>1</v>
      </c>
      <c r="S372" s="1186" t="s">
        <v>1572</v>
      </c>
      <c r="T372" s="1186" t="s">
        <v>36</v>
      </c>
      <c r="U372" s="1186" t="s">
        <v>673</v>
      </c>
      <c r="V372" s="1186">
        <v>166</v>
      </c>
      <c r="W372" s="1186">
        <v>99</v>
      </c>
      <c r="X372" s="1186">
        <v>13</v>
      </c>
      <c r="Y372" s="1186">
        <v>14</v>
      </c>
      <c r="Z372" s="1186">
        <v>27</v>
      </c>
      <c r="AA372" s="1186">
        <v>13</v>
      </c>
    </row>
    <row r="373" spans="1:27" x14ac:dyDescent="0.2">
      <c r="A373" s="1186" t="s">
        <v>1572</v>
      </c>
      <c r="B373" s="1186" t="s">
        <v>674</v>
      </c>
      <c r="C373" s="1186" t="s">
        <v>37</v>
      </c>
      <c r="D373" s="1186">
        <v>132</v>
      </c>
      <c r="E373" s="1186">
        <v>62</v>
      </c>
      <c r="F373" s="1186">
        <v>13</v>
      </c>
      <c r="G373" s="1186">
        <v>10</v>
      </c>
      <c r="H373" s="1186">
        <v>43</v>
      </c>
      <c r="I373" s="1186">
        <v>4</v>
      </c>
      <c r="J373" s="1186"/>
      <c r="K373" s="1186"/>
      <c r="L373" s="1186"/>
      <c r="M373" s="1186"/>
      <c r="N373" s="1186"/>
      <c r="O373" s="1186"/>
      <c r="P373" s="1186"/>
      <c r="Q373" s="1186"/>
      <c r="R373" s="1186"/>
      <c r="S373" s="1186" t="s">
        <v>1572</v>
      </c>
      <c r="T373" s="1186" t="s">
        <v>37</v>
      </c>
      <c r="U373" s="1186" t="s">
        <v>673</v>
      </c>
      <c r="V373" s="1186">
        <v>18</v>
      </c>
      <c r="W373" s="1186">
        <v>9</v>
      </c>
      <c r="X373" s="1186">
        <v>2</v>
      </c>
      <c r="Y373" s="1186">
        <v>1</v>
      </c>
      <c r="Z373" s="1186">
        <v>4</v>
      </c>
      <c r="AA373" s="1186">
        <v>2</v>
      </c>
    </row>
    <row r="374" spans="1:27" x14ac:dyDescent="0.2">
      <c r="A374" s="1186" t="s">
        <v>1572</v>
      </c>
      <c r="B374" s="1186" t="s">
        <v>674</v>
      </c>
      <c r="C374" s="1186" t="s">
        <v>38</v>
      </c>
      <c r="D374" s="1186">
        <v>110</v>
      </c>
      <c r="E374" s="1186">
        <v>56</v>
      </c>
      <c r="F374" s="1186">
        <v>14</v>
      </c>
      <c r="G374" s="1186">
        <v>12</v>
      </c>
      <c r="H374" s="1186">
        <v>25</v>
      </c>
      <c r="I374" s="1186">
        <v>3</v>
      </c>
      <c r="J374" s="1186" t="s">
        <v>1572</v>
      </c>
      <c r="K374" s="1186" t="s">
        <v>38</v>
      </c>
      <c r="L374" s="1186" t="s">
        <v>672</v>
      </c>
      <c r="M374" s="1186">
        <v>2</v>
      </c>
      <c r="N374" s="1186">
        <v>1</v>
      </c>
      <c r="O374" s="1186">
        <v>1</v>
      </c>
      <c r="P374" s="1186"/>
      <c r="Q374" s="1186"/>
      <c r="R374" s="1186"/>
      <c r="S374" s="1186" t="s">
        <v>1572</v>
      </c>
      <c r="T374" s="1186" t="s">
        <v>38</v>
      </c>
      <c r="U374" s="1186" t="s">
        <v>673</v>
      </c>
      <c r="V374" s="1186">
        <v>33</v>
      </c>
      <c r="W374" s="1186">
        <v>19</v>
      </c>
      <c r="X374" s="1186">
        <v>5</v>
      </c>
      <c r="Y374" s="1186">
        <v>2</v>
      </c>
      <c r="Z374" s="1186">
        <v>6</v>
      </c>
      <c r="AA374" s="1186">
        <v>1</v>
      </c>
    </row>
    <row r="375" spans="1:27" x14ac:dyDescent="0.2">
      <c r="A375" s="1186" t="s">
        <v>1572</v>
      </c>
      <c r="B375" s="1186" t="s">
        <v>674</v>
      </c>
      <c r="C375" s="1186" t="s">
        <v>39</v>
      </c>
      <c r="D375" s="1186">
        <v>59</v>
      </c>
      <c r="E375" s="1186">
        <v>37</v>
      </c>
      <c r="F375" s="1186">
        <v>2</v>
      </c>
      <c r="G375" s="1186">
        <v>8</v>
      </c>
      <c r="H375" s="1186">
        <v>12</v>
      </c>
      <c r="I375" s="1186"/>
      <c r="J375" s="1186" t="s">
        <v>1572</v>
      </c>
      <c r="K375" s="1186" t="s">
        <v>39</v>
      </c>
      <c r="L375" s="1186" t="s">
        <v>672</v>
      </c>
      <c r="M375" s="1186">
        <v>1</v>
      </c>
      <c r="N375" s="1186">
        <v>1</v>
      </c>
      <c r="O375" s="1186"/>
      <c r="P375" s="1186"/>
      <c r="Q375" s="1186"/>
      <c r="R375" s="1186"/>
      <c r="S375" s="1186" t="s">
        <v>1572</v>
      </c>
      <c r="T375" s="1186" t="s">
        <v>39</v>
      </c>
      <c r="U375" s="1186" t="s">
        <v>673</v>
      </c>
      <c r="V375" s="1186">
        <v>13</v>
      </c>
      <c r="W375" s="1186">
        <v>5</v>
      </c>
      <c r="X375" s="1186">
        <v>3</v>
      </c>
      <c r="Y375" s="1186">
        <v>2</v>
      </c>
      <c r="Z375" s="1186">
        <v>3</v>
      </c>
      <c r="AA375" s="1186"/>
    </row>
    <row r="376" spans="1:27" x14ac:dyDescent="0.2">
      <c r="A376" s="1186" t="s">
        <v>1572</v>
      </c>
      <c r="B376" s="1186" t="s">
        <v>674</v>
      </c>
      <c r="C376" s="1186" t="s">
        <v>40</v>
      </c>
      <c r="D376" s="1186">
        <v>51</v>
      </c>
      <c r="E376" s="1186">
        <v>22</v>
      </c>
      <c r="F376" s="1186">
        <v>5</v>
      </c>
      <c r="G376" s="1186">
        <v>9</v>
      </c>
      <c r="H376" s="1186">
        <v>13</v>
      </c>
      <c r="I376" s="1186">
        <v>2</v>
      </c>
      <c r="J376" s="1186" t="s">
        <v>1572</v>
      </c>
      <c r="K376" s="1186" t="s">
        <v>40</v>
      </c>
      <c r="L376" s="1186" t="s">
        <v>672</v>
      </c>
      <c r="M376" s="1186">
        <v>1</v>
      </c>
      <c r="N376" s="1186"/>
      <c r="O376" s="1186"/>
      <c r="P376" s="1186"/>
      <c r="Q376" s="1186"/>
      <c r="R376" s="1186">
        <v>1</v>
      </c>
      <c r="S376" s="1186" t="s">
        <v>1572</v>
      </c>
      <c r="T376" s="1186" t="s">
        <v>40</v>
      </c>
      <c r="U376" s="1186" t="s">
        <v>673</v>
      </c>
      <c r="V376" s="1186">
        <v>7</v>
      </c>
      <c r="W376" s="1186">
        <v>2</v>
      </c>
      <c r="X376" s="1186">
        <v>1</v>
      </c>
      <c r="Y376" s="1186">
        <v>2</v>
      </c>
      <c r="Z376" s="1186">
        <v>2</v>
      </c>
      <c r="AA376" s="1186"/>
    </row>
    <row r="377" spans="1:27" x14ac:dyDescent="0.2">
      <c r="A377" s="1186" t="s">
        <v>1572</v>
      </c>
      <c r="B377" s="1186" t="s">
        <v>674</v>
      </c>
      <c r="C377" s="1186" t="s">
        <v>295</v>
      </c>
      <c r="D377" s="1186">
        <v>22</v>
      </c>
      <c r="E377" s="1186">
        <v>12</v>
      </c>
      <c r="F377" s="1186">
        <v>1</v>
      </c>
      <c r="G377" s="1186">
        <v>1</v>
      </c>
      <c r="H377" s="1186">
        <v>7</v>
      </c>
      <c r="I377" s="1186">
        <v>1</v>
      </c>
      <c r="J377" s="1186"/>
      <c r="K377" s="1186"/>
      <c r="L377" s="1186"/>
      <c r="M377" s="1186"/>
      <c r="N377" s="1186"/>
      <c r="O377" s="1186"/>
      <c r="P377" s="1186"/>
      <c r="Q377" s="1186"/>
      <c r="R377" s="1186"/>
      <c r="S377" s="1186" t="s">
        <v>1572</v>
      </c>
      <c r="T377" s="1186" t="s">
        <v>295</v>
      </c>
      <c r="U377" s="1186" t="s">
        <v>673</v>
      </c>
      <c r="V377" s="1186">
        <v>4</v>
      </c>
      <c r="W377" s="1186">
        <v>4</v>
      </c>
      <c r="X377" s="1186"/>
      <c r="Y377" s="1186"/>
      <c r="Z377" s="1186"/>
      <c r="AA377" s="1186"/>
    </row>
    <row r="378" spans="1:27" x14ac:dyDescent="0.2">
      <c r="A378" s="1186" t="s">
        <v>1572</v>
      </c>
      <c r="B378" s="1186" t="s">
        <v>674</v>
      </c>
      <c r="C378" s="1186" t="s">
        <v>41</v>
      </c>
      <c r="D378" s="1186">
        <v>153</v>
      </c>
      <c r="E378" s="1186">
        <v>90</v>
      </c>
      <c r="F378" s="1186">
        <v>12</v>
      </c>
      <c r="G378" s="1186">
        <v>18</v>
      </c>
      <c r="H378" s="1186">
        <v>30</v>
      </c>
      <c r="I378" s="1186">
        <v>3</v>
      </c>
      <c r="J378" s="1186"/>
      <c r="K378" s="1186"/>
      <c r="L378" s="1186"/>
      <c r="M378" s="1186"/>
      <c r="N378" s="1186"/>
      <c r="O378" s="1186"/>
      <c r="P378" s="1186"/>
      <c r="Q378" s="1186"/>
      <c r="R378" s="1186"/>
      <c r="S378" s="1186" t="s">
        <v>1572</v>
      </c>
      <c r="T378" s="1186" t="s">
        <v>41</v>
      </c>
      <c r="U378" s="1186" t="s">
        <v>673</v>
      </c>
      <c r="V378" s="1186">
        <v>39</v>
      </c>
      <c r="W378" s="1186">
        <v>22</v>
      </c>
      <c r="X378" s="1186">
        <v>7</v>
      </c>
      <c r="Y378" s="1186"/>
      <c r="Z378" s="1186">
        <v>10</v>
      </c>
      <c r="AA378" s="1186"/>
    </row>
    <row r="379" spans="1:27" x14ac:dyDescent="0.2">
      <c r="A379" s="1186" t="s">
        <v>1572</v>
      </c>
      <c r="B379" s="1186" t="s">
        <v>674</v>
      </c>
      <c r="C379" s="1186" t="s">
        <v>42</v>
      </c>
      <c r="D379" s="1186">
        <v>318</v>
      </c>
      <c r="E379" s="1186">
        <v>177</v>
      </c>
      <c r="F379" s="1186">
        <v>34</v>
      </c>
      <c r="G379" s="1186">
        <v>45</v>
      </c>
      <c r="H379" s="1186">
        <v>54</v>
      </c>
      <c r="I379" s="1186">
        <v>8</v>
      </c>
      <c r="J379" s="1186" t="s">
        <v>1572</v>
      </c>
      <c r="K379" s="1186" t="s">
        <v>42</v>
      </c>
      <c r="L379" s="1186" t="s">
        <v>672</v>
      </c>
      <c r="M379" s="1186">
        <v>2</v>
      </c>
      <c r="N379" s="1186"/>
      <c r="O379" s="1186">
        <v>1</v>
      </c>
      <c r="P379" s="1186"/>
      <c r="Q379" s="1186"/>
      <c r="R379" s="1186">
        <v>1</v>
      </c>
      <c r="S379" s="1186" t="s">
        <v>1572</v>
      </c>
      <c r="T379" s="1186" t="s">
        <v>42</v>
      </c>
      <c r="U379" s="1186" t="s">
        <v>673</v>
      </c>
      <c r="V379" s="1186">
        <v>75</v>
      </c>
      <c r="W379" s="1186">
        <v>38</v>
      </c>
      <c r="X379" s="1186">
        <v>14</v>
      </c>
      <c r="Y379" s="1186">
        <v>6</v>
      </c>
      <c r="Z379" s="1186">
        <v>15</v>
      </c>
      <c r="AA379" s="1186">
        <v>2</v>
      </c>
    </row>
    <row r="380" spans="1:27" x14ac:dyDescent="0.2">
      <c r="A380" s="1186" t="s">
        <v>1572</v>
      </c>
      <c r="B380" s="1186" t="s">
        <v>674</v>
      </c>
      <c r="C380" s="1186" t="s">
        <v>43</v>
      </c>
      <c r="D380" s="1186">
        <v>4</v>
      </c>
      <c r="E380" s="1186">
        <v>1</v>
      </c>
      <c r="F380" s="1186"/>
      <c r="G380" s="1186"/>
      <c r="H380" s="1186">
        <v>2</v>
      </c>
      <c r="I380" s="1186">
        <v>1</v>
      </c>
      <c r="J380" s="1186"/>
      <c r="K380" s="1186"/>
      <c r="L380" s="1186"/>
      <c r="M380" s="1186"/>
      <c r="N380" s="1186"/>
      <c r="O380" s="1186"/>
      <c r="P380" s="1186"/>
      <c r="Q380" s="1186"/>
      <c r="R380" s="1186"/>
      <c r="S380" s="1186" t="s">
        <v>1572</v>
      </c>
      <c r="T380" s="1186" t="s">
        <v>43</v>
      </c>
      <c r="U380" s="1186" t="s">
        <v>673</v>
      </c>
      <c r="V380" s="1186">
        <v>1</v>
      </c>
      <c r="W380" s="1186"/>
      <c r="X380" s="1186"/>
      <c r="Y380" s="1186"/>
      <c r="Z380" s="1186"/>
      <c r="AA380" s="1186">
        <v>1</v>
      </c>
    </row>
    <row r="381" spans="1:27" x14ac:dyDescent="0.2">
      <c r="A381" s="1186" t="s">
        <v>1572</v>
      </c>
      <c r="B381" s="1186" t="s">
        <v>674</v>
      </c>
      <c r="C381" s="1186" t="s">
        <v>44</v>
      </c>
      <c r="D381" s="1186">
        <v>104</v>
      </c>
      <c r="E381" s="1186">
        <v>54</v>
      </c>
      <c r="F381" s="1186">
        <v>11</v>
      </c>
      <c r="G381" s="1186">
        <v>7</v>
      </c>
      <c r="H381" s="1186">
        <v>30</v>
      </c>
      <c r="I381" s="1186">
        <v>2</v>
      </c>
      <c r="J381" s="1186"/>
      <c r="K381" s="1186"/>
      <c r="L381" s="1186"/>
      <c r="M381" s="1186"/>
      <c r="N381" s="1186"/>
      <c r="O381" s="1186"/>
      <c r="P381" s="1186"/>
      <c r="Q381" s="1186"/>
      <c r="R381" s="1186"/>
      <c r="S381" s="1186" t="s">
        <v>1572</v>
      </c>
      <c r="T381" s="1186" t="s">
        <v>44</v>
      </c>
      <c r="U381" s="1186" t="s">
        <v>673</v>
      </c>
      <c r="V381" s="1186">
        <v>25</v>
      </c>
      <c r="W381" s="1186">
        <v>11</v>
      </c>
      <c r="X381" s="1186">
        <v>2</v>
      </c>
      <c r="Y381" s="1186">
        <v>2</v>
      </c>
      <c r="Z381" s="1186">
        <v>10</v>
      </c>
      <c r="AA381" s="1186"/>
    </row>
    <row r="382" spans="1:27" x14ac:dyDescent="0.2">
      <c r="A382" s="1186" t="s">
        <v>1572</v>
      </c>
      <c r="B382" s="1186" t="s">
        <v>674</v>
      </c>
      <c r="C382" s="1186" t="s">
        <v>45</v>
      </c>
      <c r="D382" s="1186">
        <v>185</v>
      </c>
      <c r="E382" s="1186">
        <v>104</v>
      </c>
      <c r="F382" s="1186">
        <v>14</v>
      </c>
      <c r="G382" s="1186">
        <v>22</v>
      </c>
      <c r="H382" s="1186">
        <v>41</v>
      </c>
      <c r="I382" s="1186">
        <v>4</v>
      </c>
      <c r="J382" s="1186" t="s">
        <v>1572</v>
      </c>
      <c r="K382" s="1186" t="s">
        <v>45</v>
      </c>
      <c r="L382" s="1186" t="s">
        <v>672</v>
      </c>
      <c r="M382" s="1186">
        <v>3</v>
      </c>
      <c r="N382" s="1186">
        <v>3</v>
      </c>
      <c r="O382" s="1186"/>
      <c r="P382" s="1186"/>
      <c r="Q382" s="1186"/>
      <c r="R382" s="1186"/>
      <c r="S382" s="1186" t="s">
        <v>1572</v>
      </c>
      <c r="T382" s="1186" t="s">
        <v>45</v>
      </c>
      <c r="U382" s="1186" t="s">
        <v>673</v>
      </c>
      <c r="V382" s="1186">
        <v>37</v>
      </c>
      <c r="W382" s="1186">
        <v>29</v>
      </c>
      <c r="X382" s="1186">
        <v>1</v>
      </c>
      <c r="Y382" s="1186">
        <v>1</v>
      </c>
      <c r="Z382" s="1186">
        <v>3</v>
      </c>
      <c r="AA382" s="1186">
        <v>3</v>
      </c>
    </row>
    <row r="383" spans="1:27" x14ac:dyDescent="0.2">
      <c r="A383" s="1186" t="s">
        <v>1572</v>
      </c>
      <c r="B383" s="1186" t="s">
        <v>674</v>
      </c>
      <c r="C383" s="1186" t="s">
        <v>46</v>
      </c>
      <c r="D383" s="1186">
        <v>85</v>
      </c>
      <c r="E383" s="1186">
        <v>40</v>
      </c>
      <c r="F383" s="1186">
        <v>4</v>
      </c>
      <c r="G383" s="1186">
        <v>12</v>
      </c>
      <c r="H383" s="1186">
        <v>27</v>
      </c>
      <c r="I383" s="1186">
        <v>2</v>
      </c>
      <c r="J383" s="1186" t="s">
        <v>1572</v>
      </c>
      <c r="K383" s="1186" t="s">
        <v>46</v>
      </c>
      <c r="L383" s="1186" t="s">
        <v>672</v>
      </c>
      <c r="M383" s="1186">
        <v>1</v>
      </c>
      <c r="N383" s="1186"/>
      <c r="O383" s="1186"/>
      <c r="P383" s="1186"/>
      <c r="Q383" s="1186">
        <v>1</v>
      </c>
      <c r="R383" s="1186"/>
      <c r="S383" s="1186" t="s">
        <v>1572</v>
      </c>
      <c r="T383" s="1186" t="s">
        <v>46</v>
      </c>
      <c r="U383" s="1186" t="s">
        <v>673</v>
      </c>
      <c r="V383" s="1186">
        <v>12</v>
      </c>
      <c r="W383" s="1186">
        <v>6</v>
      </c>
      <c r="X383" s="1186"/>
      <c r="Y383" s="1186">
        <v>3</v>
      </c>
      <c r="Z383" s="1186">
        <v>2</v>
      </c>
      <c r="AA383" s="1186">
        <v>1</v>
      </c>
    </row>
    <row r="384" spans="1:27" x14ac:dyDescent="0.2">
      <c r="A384" s="1186" t="s">
        <v>1572</v>
      </c>
      <c r="B384" s="1186" t="s">
        <v>674</v>
      </c>
      <c r="C384" s="1186" t="s">
        <v>47</v>
      </c>
      <c r="D384" s="1186">
        <v>25</v>
      </c>
      <c r="E384" s="1186">
        <v>12</v>
      </c>
      <c r="F384" s="1186"/>
      <c r="G384" s="1186">
        <v>1</v>
      </c>
      <c r="H384" s="1186">
        <v>12</v>
      </c>
      <c r="I384" s="1186"/>
      <c r="J384" s="1186"/>
      <c r="K384" s="1186"/>
      <c r="L384" s="1186"/>
      <c r="M384" s="1186"/>
      <c r="N384" s="1186"/>
      <c r="O384" s="1186"/>
      <c r="P384" s="1186"/>
      <c r="Q384" s="1186"/>
      <c r="R384" s="1186"/>
      <c r="S384" s="1186" t="s">
        <v>1572</v>
      </c>
      <c r="T384" s="1186" t="s">
        <v>47</v>
      </c>
      <c r="U384" s="1186" t="s">
        <v>673</v>
      </c>
      <c r="V384" s="1186">
        <v>2</v>
      </c>
      <c r="W384" s="1186">
        <v>2</v>
      </c>
      <c r="X384" s="1186"/>
      <c r="Y384" s="1186"/>
      <c r="Z384" s="1186"/>
      <c r="AA384" s="1186"/>
    </row>
    <row r="385" spans="1:27" x14ac:dyDescent="0.2">
      <c r="A385" s="1186" t="s">
        <v>1572</v>
      </c>
      <c r="B385" s="1186" t="s">
        <v>674</v>
      </c>
      <c r="C385" s="1186" t="s">
        <v>48</v>
      </c>
      <c r="D385" s="1186">
        <v>90</v>
      </c>
      <c r="E385" s="1186">
        <v>50</v>
      </c>
      <c r="F385" s="1186">
        <v>11</v>
      </c>
      <c r="G385" s="1186">
        <v>10</v>
      </c>
      <c r="H385" s="1186">
        <v>18</v>
      </c>
      <c r="I385" s="1186">
        <v>1</v>
      </c>
      <c r="J385" s="1186" t="s">
        <v>1572</v>
      </c>
      <c r="K385" s="1186" t="s">
        <v>48</v>
      </c>
      <c r="L385" s="1186" t="s">
        <v>672</v>
      </c>
      <c r="M385" s="1186">
        <v>1</v>
      </c>
      <c r="N385" s="1186"/>
      <c r="O385" s="1186">
        <v>1</v>
      </c>
      <c r="P385" s="1186"/>
      <c r="Q385" s="1186"/>
      <c r="R385" s="1186"/>
      <c r="S385" s="1186" t="s">
        <v>1572</v>
      </c>
      <c r="T385" s="1186" t="s">
        <v>48</v>
      </c>
      <c r="U385" s="1186" t="s">
        <v>673</v>
      </c>
      <c r="V385" s="1186">
        <v>20</v>
      </c>
      <c r="W385" s="1186">
        <v>14</v>
      </c>
      <c r="X385" s="1186">
        <v>3</v>
      </c>
      <c r="Y385" s="1186"/>
      <c r="Z385" s="1186">
        <v>3</v>
      </c>
      <c r="AA385" s="1186"/>
    </row>
    <row r="386" spans="1:27" x14ac:dyDescent="0.2">
      <c r="A386" s="1186" t="s">
        <v>1572</v>
      </c>
      <c r="B386" s="1186" t="s">
        <v>674</v>
      </c>
      <c r="C386" s="1186" t="s">
        <v>49</v>
      </c>
      <c r="D386" s="1186">
        <v>255</v>
      </c>
      <c r="E386" s="1186">
        <v>130</v>
      </c>
      <c r="F386" s="1186">
        <v>33</v>
      </c>
      <c r="G386" s="1186">
        <v>33</v>
      </c>
      <c r="H386" s="1186">
        <v>52</v>
      </c>
      <c r="I386" s="1186">
        <v>7</v>
      </c>
      <c r="J386" s="1186" t="s">
        <v>1572</v>
      </c>
      <c r="K386" s="1186" t="s">
        <v>49</v>
      </c>
      <c r="L386" s="1186" t="s">
        <v>672</v>
      </c>
      <c r="M386" s="1186">
        <v>2</v>
      </c>
      <c r="N386" s="1186"/>
      <c r="O386" s="1186">
        <v>1</v>
      </c>
      <c r="P386" s="1186"/>
      <c r="Q386" s="1186"/>
      <c r="R386" s="1186">
        <v>1</v>
      </c>
      <c r="S386" s="1186" t="s">
        <v>1572</v>
      </c>
      <c r="T386" s="1186" t="s">
        <v>49</v>
      </c>
      <c r="U386" s="1186" t="s">
        <v>673</v>
      </c>
      <c r="V386" s="1186">
        <v>59</v>
      </c>
      <c r="W386" s="1186">
        <v>26</v>
      </c>
      <c r="X386" s="1186">
        <v>9</v>
      </c>
      <c r="Y386" s="1186">
        <v>3</v>
      </c>
      <c r="Z386" s="1186">
        <v>20</v>
      </c>
      <c r="AA386" s="1186">
        <v>1</v>
      </c>
    </row>
    <row r="387" spans="1:27" x14ac:dyDescent="0.2">
      <c r="A387" s="1186" t="s">
        <v>1572</v>
      </c>
      <c r="B387" s="1186" t="s">
        <v>674</v>
      </c>
      <c r="C387" s="1186" t="s">
        <v>50</v>
      </c>
      <c r="D387" s="1186">
        <v>59</v>
      </c>
      <c r="E387" s="1186">
        <v>29</v>
      </c>
      <c r="F387" s="1186">
        <v>7</v>
      </c>
      <c r="G387" s="1186">
        <v>4</v>
      </c>
      <c r="H387" s="1186">
        <v>19</v>
      </c>
      <c r="I387" s="1186"/>
      <c r="J387" s="1186"/>
      <c r="K387" s="1186"/>
      <c r="L387" s="1186"/>
      <c r="M387" s="1186"/>
      <c r="N387" s="1186"/>
      <c r="O387" s="1186"/>
      <c r="P387" s="1186"/>
      <c r="Q387" s="1186"/>
      <c r="R387" s="1186"/>
      <c r="S387" s="1186" t="s">
        <v>1572</v>
      </c>
      <c r="T387" s="1186" t="s">
        <v>50</v>
      </c>
      <c r="U387" s="1186" t="s">
        <v>673</v>
      </c>
      <c r="V387" s="1186">
        <v>9</v>
      </c>
      <c r="W387" s="1186">
        <v>6</v>
      </c>
      <c r="X387" s="1186"/>
      <c r="Y387" s="1186">
        <v>1</v>
      </c>
      <c r="Z387" s="1186">
        <v>2</v>
      </c>
      <c r="AA387" s="1186"/>
    </row>
    <row r="388" spans="1:27" x14ac:dyDescent="0.2">
      <c r="A388" s="1186" t="s">
        <v>1572</v>
      </c>
      <c r="B388" s="1186" t="s">
        <v>674</v>
      </c>
      <c r="C388" s="1186" t="s">
        <v>51</v>
      </c>
      <c r="D388" s="1186">
        <v>117</v>
      </c>
      <c r="E388" s="1186">
        <v>77</v>
      </c>
      <c r="F388" s="1186">
        <v>13</v>
      </c>
      <c r="G388" s="1186">
        <v>11</v>
      </c>
      <c r="H388" s="1186">
        <v>15</v>
      </c>
      <c r="I388" s="1186">
        <v>1</v>
      </c>
      <c r="J388" s="1186" t="s">
        <v>1572</v>
      </c>
      <c r="K388" s="1186" t="s">
        <v>51</v>
      </c>
      <c r="L388" s="1186" t="s">
        <v>672</v>
      </c>
      <c r="M388" s="1186">
        <v>2</v>
      </c>
      <c r="N388" s="1186">
        <v>1</v>
      </c>
      <c r="O388" s="1186"/>
      <c r="P388" s="1186">
        <v>1</v>
      </c>
      <c r="Q388" s="1186"/>
      <c r="R388" s="1186"/>
      <c r="S388" s="1186" t="s">
        <v>1572</v>
      </c>
      <c r="T388" s="1186" t="s">
        <v>51</v>
      </c>
      <c r="U388" s="1186" t="s">
        <v>673</v>
      </c>
      <c r="V388" s="1186">
        <v>21</v>
      </c>
      <c r="W388" s="1186">
        <v>17</v>
      </c>
      <c r="X388" s="1186">
        <v>1</v>
      </c>
      <c r="Y388" s="1186">
        <v>1</v>
      </c>
      <c r="Z388" s="1186">
        <v>1</v>
      </c>
      <c r="AA388" s="1186">
        <v>1</v>
      </c>
    </row>
    <row r="389" spans="1:27" x14ac:dyDescent="0.2">
      <c r="A389" s="1186" t="s">
        <v>1572</v>
      </c>
      <c r="B389" s="1186" t="s">
        <v>674</v>
      </c>
      <c r="C389" s="1186" t="s">
        <v>52</v>
      </c>
      <c r="D389" s="1186">
        <v>115</v>
      </c>
      <c r="E389" s="1186">
        <v>67</v>
      </c>
      <c r="F389" s="1186">
        <v>4</v>
      </c>
      <c r="G389" s="1186">
        <v>8</v>
      </c>
      <c r="H389" s="1186">
        <v>31</v>
      </c>
      <c r="I389" s="1186">
        <v>5</v>
      </c>
      <c r="J389" s="1186" t="s">
        <v>1572</v>
      </c>
      <c r="K389" s="1186" t="s">
        <v>52</v>
      </c>
      <c r="L389" s="1186" t="s">
        <v>672</v>
      </c>
      <c r="M389" s="1186">
        <v>2</v>
      </c>
      <c r="N389" s="1186"/>
      <c r="O389" s="1186">
        <v>1</v>
      </c>
      <c r="P389" s="1186"/>
      <c r="Q389" s="1186">
        <v>1</v>
      </c>
      <c r="R389" s="1186"/>
      <c r="S389" s="1186" t="s">
        <v>1572</v>
      </c>
      <c r="T389" s="1186" t="s">
        <v>52</v>
      </c>
      <c r="U389" s="1186" t="s">
        <v>673</v>
      </c>
      <c r="V389" s="1186">
        <v>27</v>
      </c>
      <c r="W389" s="1186">
        <v>15</v>
      </c>
      <c r="X389" s="1186">
        <v>2</v>
      </c>
      <c r="Y389" s="1186"/>
      <c r="Z389" s="1186">
        <v>5</v>
      </c>
      <c r="AA389" s="1186">
        <v>5</v>
      </c>
    </row>
  </sheetData>
  <pageMargins left="0.7" right="0.7" top="0.75" bottom="0.75" header="0.3" footer="0.3"/>
  <pageSetup paperSize="9" fitToHeight="50" orientation="landscape" r:id="rId1"/>
  <legacyDrawing r:id="rId2"/>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pageSetUpPr fitToPage="1"/>
  </sheetPr>
  <dimension ref="A1:M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31.5703125" bestFit="1" customWidth="1"/>
    <col min="2" max="13" width="7.42578125" bestFit="1" customWidth="1"/>
  </cols>
  <sheetData>
    <row r="1" spans="1:13" x14ac:dyDescent="0.2"/>
    <row r="4" spans="1:13" x14ac:dyDescent="0.2">
      <c r="A4" s="1223" t="s">
        <v>1843</v>
      </c>
      <c r="B4" s="1223" t="s">
        <v>19</v>
      </c>
      <c r="C4" s="1223" t="s">
        <v>20</v>
      </c>
      <c r="D4" s="1223" t="s">
        <v>13</v>
      </c>
      <c r="E4" s="1223" t="s">
        <v>15</v>
      </c>
      <c r="F4" s="1223" t="s">
        <v>17</v>
      </c>
      <c r="G4" s="1223" t="s">
        <v>133</v>
      </c>
      <c r="H4" s="1223" t="s">
        <v>144</v>
      </c>
      <c r="I4" s="1223" t="s">
        <v>282</v>
      </c>
      <c r="J4" s="1223" t="s">
        <v>311</v>
      </c>
      <c r="K4" s="1223" t="s">
        <v>621</v>
      </c>
      <c r="L4" s="1223" t="s">
        <v>1419</v>
      </c>
      <c r="M4" s="1223" t="s">
        <v>1572</v>
      </c>
    </row>
    <row r="5" spans="1:13" x14ac:dyDescent="0.2">
      <c r="A5" s="1186" t="s">
        <v>1844</v>
      </c>
      <c r="B5" s="1186">
        <v>341</v>
      </c>
      <c r="C5" s="1186">
        <v>352</v>
      </c>
      <c r="D5" s="1186">
        <v>350</v>
      </c>
      <c r="E5" s="1186">
        <v>360</v>
      </c>
      <c r="F5" s="1186">
        <v>374</v>
      </c>
      <c r="G5" s="1186">
        <v>377</v>
      </c>
      <c r="H5" s="1186">
        <v>364</v>
      </c>
      <c r="I5" s="1186">
        <v>353</v>
      </c>
      <c r="J5" s="1186">
        <v>395</v>
      </c>
      <c r="K5" s="1186">
        <v>315</v>
      </c>
      <c r="L5" s="1186">
        <v>275</v>
      </c>
      <c r="M5" s="1186">
        <v>307</v>
      </c>
    </row>
    <row r="6" spans="1:13" x14ac:dyDescent="0.2">
      <c r="A6" s="1186" t="s">
        <v>1845</v>
      </c>
      <c r="B6" s="1186">
        <v>60</v>
      </c>
      <c r="C6" s="1186">
        <v>57</v>
      </c>
      <c r="D6" s="1186">
        <v>58</v>
      </c>
      <c r="E6" s="1186">
        <v>77</v>
      </c>
      <c r="F6" s="1186">
        <v>70</v>
      </c>
      <c r="G6" s="1186">
        <v>69</v>
      </c>
      <c r="H6" s="1186">
        <v>61</v>
      </c>
      <c r="I6" s="1186">
        <v>56</v>
      </c>
      <c r="J6" s="1186">
        <v>54</v>
      </c>
      <c r="K6" s="1186">
        <v>51</v>
      </c>
      <c r="L6" s="1186">
        <v>42</v>
      </c>
      <c r="M6" s="1186">
        <v>47</v>
      </c>
    </row>
    <row r="7" spans="1:13" x14ac:dyDescent="0.2">
      <c r="A7" s="1186" t="s">
        <v>1846</v>
      </c>
      <c r="B7" s="1186">
        <v>67</v>
      </c>
      <c r="C7" s="1186">
        <v>68</v>
      </c>
      <c r="D7" s="1186">
        <v>62</v>
      </c>
      <c r="E7" s="1186">
        <v>68</v>
      </c>
      <c r="F7" s="1186">
        <v>64</v>
      </c>
      <c r="G7" s="1186">
        <v>50</v>
      </c>
      <c r="H7" s="1186">
        <v>50</v>
      </c>
      <c r="I7" s="1186">
        <v>30</v>
      </c>
      <c r="J7" s="1186">
        <v>27</v>
      </c>
      <c r="K7" s="1186">
        <v>26</v>
      </c>
      <c r="L7" s="1186">
        <v>19</v>
      </c>
      <c r="M7" s="1186">
        <v>18</v>
      </c>
    </row>
    <row r="8" spans="1:13" x14ac:dyDescent="0.2">
      <c r="A8" s="1186" t="s">
        <v>1847</v>
      </c>
      <c r="B8" s="1186">
        <v>49</v>
      </c>
      <c r="C8" s="1186">
        <v>53</v>
      </c>
      <c r="D8" s="1186">
        <v>60</v>
      </c>
      <c r="E8" s="1186">
        <v>68</v>
      </c>
      <c r="F8" s="1186">
        <v>58</v>
      </c>
      <c r="G8" s="1186">
        <v>88</v>
      </c>
      <c r="H8" s="1186">
        <v>87</v>
      </c>
      <c r="I8" s="1186">
        <v>59</v>
      </c>
      <c r="J8" s="1186">
        <v>63</v>
      </c>
      <c r="K8" s="1186">
        <v>68</v>
      </c>
      <c r="L8" s="1186">
        <v>71</v>
      </c>
      <c r="M8" s="1186">
        <v>62</v>
      </c>
    </row>
    <row r="9" spans="1:13" x14ac:dyDescent="0.2">
      <c r="A9" s="1186" t="s">
        <v>1848</v>
      </c>
      <c r="B9" s="1186">
        <v>124</v>
      </c>
      <c r="C9" s="1186">
        <v>90</v>
      </c>
      <c r="D9" s="1186">
        <v>70</v>
      </c>
      <c r="E9" s="1186">
        <v>74</v>
      </c>
      <c r="F9" s="1186">
        <v>54</v>
      </c>
      <c r="G9" s="1186">
        <v>60</v>
      </c>
      <c r="H9" s="1186">
        <v>51</v>
      </c>
      <c r="I9" s="1186">
        <v>33</v>
      </c>
      <c r="J9" s="1186">
        <v>25</v>
      </c>
      <c r="K9" s="1186">
        <v>21</v>
      </c>
      <c r="L9" s="1186">
        <v>8</v>
      </c>
      <c r="M9" s="1186">
        <v>9</v>
      </c>
    </row>
    <row r="10" spans="1:13" x14ac:dyDescent="0.2">
      <c r="A10" s="1186" t="s">
        <v>1849</v>
      </c>
      <c r="B10" s="1186">
        <v>41</v>
      </c>
      <c r="C10" s="1186">
        <v>46</v>
      </c>
      <c r="D10" s="1186">
        <v>52</v>
      </c>
      <c r="E10" s="1186">
        <v>40</v>
      </c>
      <c r="F10" s="1186">
        <v>49</v>
      </c>
      <c r="G10" s="1186">
        <v>39</v>
      </c>
      <c r="H10" s="1186">
        <v>42</v>
      </c>
      <c r="I10" s="1186">
        <v>24</v>
      </c>
      <c r="J10" s="1186">
        <v>27</v>
      </c>
      <c r="K10" s="1186">
        <v>29</v>
      </c>
      <c r="L10" s="1186">
        <v>25</v>
      </c>
      <c r="M10" s="1186">
        <v>17</v>
      </c>
    </row>
    <row r="11" spans="1:13" x14ac:dyDescent="0.2">
      <c r="A11" s="1186" t="s">
        <v>1850</v>
      </c>
      <c r="B11" s="1186">
        <v>60</v>
      </c>
      <c r="C11" s="1186">
        <v>63</v>
      </c>
      <c r="D11" s="1186">
        <v>65</v>
      </c>
      <c r="E11" s="1186">
        <v>47</v>
      </c>
      <c r="F11" s="1186">
        <v>47</v>
      </c>
      <c r="G11" s="1186">
        <v>48</v>
      </c>
      <c r="H11" s="1186">
        <v>54</v>
      </c>
      <c r="I11" s="1186">
        <v>49</v>
      </c>
      <c r="J11" s="1186">
        <v>50</v>
      </c>
      <c r="K11" s="1186">
        <v>35</v>
      </c>
      <c r="L11" s="1186">
        <v>36</v>
      </c>
      <c r="M11" s="1186">
        <v>44</v>
      </c>
    </row>
    <row r="12" spans="1:13" x14ac:dyDescent="0.2">
      <c r="A12" s="1186" t="s">
        <v>1851</v>
      </c>
      <c r="B12" s="1186">
        <v>42</v>
      </c>
      <c r="C12" s="1186">
        <v>50</v>
      </c>
      <c r="D12" s="1186">
        <v>40</v>
      </c>
      <c r="E12" s="1186">
        <v>38</v>
      </c>
      <c r="F12" s="1186">
        <v>30</v>
      </c>
      <c r="G12" s="1186">
        <v>35</v>
      </c>
      <c r="H12" s="1186">
        <v>33</v>
      </c>
      <c r="I12" s="1186">
        <v>27</v>
      </c>
      <c r="J12" s="1186">
        <v>24</v>
      </c>
      <c r="K12" s="1186">
        <v>35</v>
      </c>
      <c r="L12" s="1186">
        <v>21</v>
      </c>
      <c r="M12" s="1186">
        <v>15</v>
      </c>
    </row>
    <row r="13" spans="1:13" x14ac:dyDescent="0.2">
      <c r="A13" s="1186" t="s">
        <v>1852</v>
      </c>
      <c r="B13" s="1186">
        <v>31</v>
      </c>
      <c r="C13" s="1186">
        <v>24</v>
      </c>
      <c r="D13" s="1186">
        <v>17</v>
      </c>
      <c r="E13" s="1186">
        <v>17</v>
      </c>
      <c r="F13" s="1186">
        <v>10</v>
      </c>
      <c r="G13" s="1186">
        <v>16</v>
      </c>
      <c r="H13" s="1186">
        <v>8</v>
      </c>
      <c r="I13" s="1186">
        <v>15</v>
      </c>
      <c r="J13" s="1186">
        <v>15</v>
      </c>
      <c r="K13" s="1186">
        <v>7</v>
      </c>
      <c r="L13" s="1186">
        <v>14</v>
      </c>
      <c r="M13" s="1186">
        <v>14</v>
      </c>
    </row>
    <row r="14" spans="1:13" x14ac:dyDescent="0.2">
      <c r="A14" s="1186" t="s">
        <v>1853</v>
      </c>
      <c r="B14" s="1186">
        <v>10</v>
      </c>
      <c r="C14" s="1186">
        <v>3</v>
      </c>
      <c r="D14" s="1186">
        <v>11</v>
      </c>
      <c r="E14" s="1186">
        <v>4</v>
      </c>
      <c r="F14" s="1186">
        <v>7</v>
      </c>
      <c r="G14" s="1186">
        <v>7</v>
      </c>
      <c r="H14" s="1186">
        <v>10</v>
      </c>
      <c r="I14" s="1186">
        <v>13</v>
      </c>
      <c r="J14" s="1186">
        <v>6</v>
      </c>
      <c r="K14" s="1186">
        <v>6</v>
      </c>
      <c r="L14" s="1186">
        <v>7</v>
      </c>
      <c r="M14" s="1186">
        <v>5</v>
      </c>
    </row>
    <row r="15" spans="1:13" x14ac:dyDescent="0.2">
      <c r="A15" s="1186" t="s">
        <v>1854</v>
      </c>
      <c r="B15" s="1186">
        <v>12</v>
      </c>
      <c r="C15" s="1186">
        <v>10</v>
      </c>
      <c r="D15" s="1186">
        <v>7</v>
      </c>
      <c r="E15" s="1186">
        <v>11</v>
      </c>
      <c r="F15" s="1186">
        <v>4</v>
      </c>
      <c r="G15" s="1186">
        <v>5</v>
      </c>
      <c r="H15" s="1186">
        <v>10</v>
      </c>
      <c r="I15" s="1186">
        <v>7</v>
      </c>
      <c r="J15" s="1186">
        <v>5</v>
      </c>
      <c r="K15" s="1186">
        <v>5</v>
      </c>
      <c r="L15" s="1186">
        <v>2</v>
      </c>
      <c r="M15" s="1186">
        <v>2</v>
      </c>
    </row>
    <row r="16" spans="1:13" x14ac:dyDescent="0.2">
      <c r="A16" s="1186" t="s">
        <v>1855</v>
      </c>
      <c r="B16" s="1186">
        <v>10</v>
      </c>
      <c r="C16" s="1186">
        <v>7</v>
      </c>
      <c r="D16" s="1186">
        <v>8</v>
      </c>
      <c r="E16" s="1186">
        <v>2</v>
      </c>
      <c r="F16" s="1186">
        <v>6</v>
      </c>
      <c r="G16" s="1186">
        <v>5</v>
      </c>
      <c r="H16" s="1186">
        <v>9</v>
      </c>
      <c r="I16" s="1186">
        <v>6</v>
      </c>
      <c r="J16" s="1186">
        <v>3</v>
      </c>
      <c r="K16" s="1186">
        <v>3</v>
      </c>
      <c r="L16" s="1186">
        <v>5</v>
      </c>
      <c r="M16" s="1186">
        <v>1</v>
      </c>
    </row>
  </sheetData>
  <pageMargins left="0.7" right="0.7" top="0.75" bottom="0.75" header="0.3" footer="0.3"/>
  <pageSetup paperSize="9" fitToHeight="50" orientation="landscape" r:id="rId1"/>
  <legacyDrawing r:id="rId2"/>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pageSetUpPr fitToPage="1"/>
  </sheetPr>
  <dimension ref="A1:N61"/>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4.140625" bestFit="1" customWidth="1"/>
    <col min="2" max="2" width="45.5703125" customWidth="1"/>
    <col min="3" max="14" width="7.42578125" bestFit="1" customWidth="1"/>
  </cols>
  <sheetData>
    <row r="1" spans="1:14" x14ac:dyDescent="0.2"/>
    <row r="4" spans="1:14" x14ac:dyDescent="0.2">
      <c r="A4" s="1223" t="s">
        <v>1856</v>
      </c>
      <c r="B4" s="1223" t="s">
        <v>1857</v>
      </c>
      <c r="C4" s="1223" t="s">
        <v>19</v>
      </c>
      <c r="D4" s="1223" t="s">
        <v>20</v>
      </c>
      <c r="E4" s="1223" t="s">
        <v>13</v>
      </c>
      <c r="F4" s="1223" t="s">
        <v>15</v>
      </c>
      <c r="G4" s="1223" t="s">
        <v>17</v>
      </c>
      <c r="H4" s="1223" t="s">
        <v>133</v>
      </c>
      <c r="I4" s="1223" t="s">
        <v>144</v>
      </c>
      <c r="J4" s="1223" t="s">
        <v>282</v>
      </c>
      <c r="K4" s="1223" t="s">
        <v>311</v>
      </c>
      <c r="L4" s="1223" t="s">
        <v>621</v>
      </c>
      <c r="M4" s="1223" t="s">
        <v>1419</v>
      </c>
      <c r="N4" s="1223" t="s">
        <v>1572</v>
      </c>
    </row>
    <row r="5" spans="1:14" x14ac:dyDescent="0.2">
      <c r="A5" s="1186">
        <v>2</v>
      </c>
      <c r="B5" s="1186" t="s">
        <v>1858</v>
      </c>
      <c r="C5" s="1186">
        <v>49</v>
      </c>
      <c r="D5" s="1186">
        <v>26</v>
      </c>
      <c r="E5" s="1186">
        <v>33</v>
      </c>
      <c r="F5" s="1186">
        <v>49</v>
      </c>
      <c r="G5" s="1186">
        <v>34</v>
      </c>
      <c r="H5" s="1186">
        <v>40</v>
      </c>
      <c r="I5" s="1186">
        <v>33</v>
      </c>
      <c r="J5" s="1186">
        <v>25</v>
      </c>
      <c r="K5" s="1186">
        <v>23</v>
      </c>
      <c r="L5" s="1186">
        <v>28</v>
      </c>
      <c r="M5" s="1186">
        <v>21</v>
      </c>
      <c r="N5" s="1186">
        <v>29</v>
      </c>
    </row>
    <row r="6" spans="1:14" x14ac:dyDescent="0.2">
      <c r="A6" s="1186">
        <v>3</v>
      </c>
      <c r="B6" s="1186" t="s">
        <v>1859</v>
      </c>
      <c r="C6" s="1186">
        <v>13</v>
      </c>
      <c r="D6" s="1186">
        <v>12</v>
      </c>
      <c r="E6" s="1186">
        <v>9</v>
      </c>
      <c r="F6" s="1186">
        <v>6</v>
      </c>
      <c r="G6" s="1186">
        <v>13</v>
      </c>
      <c r="H6" s="1186">
        <v>9</v>
      </c>
      <c r="I6" s="1186">
        <v>12</v>
      </c>
      <c r="J6" s="1186">
        <v>9</v>
      </c>
      <c r="K6" s="1186">
        <v>12</v>
      </c>
      <c r="L6" s="1186">
        <v>8</v>
      </c>
      <c r="M6" s="1186">
        <v>13</v>
      </c>
      <c r="N6" s="1186">
        <v>20</v>
      </c>
    </row>
    <row r="7" spans="1:14" x14ac:dyDescent="0.2">
      <c r="A7" s="1186">
        <v>4</v>
      </c>
      <c r="B7" s="1186" t="s">
        <v>1860</v>
      </c>
      <c r="C7" s="1186">
        <v>2051</v>
      </c>
      <c r="D7" s="1186">
        <v>1876</v>
      </c>
      <c r="E7" s="1186">
        <v>1897</v>
      </c>
      <c r="F7" s="1186">
        <v>1913</v>
      </c>
      <c r="G7" s="1186">
        <v>1837</v>
      </c>
      <c r="H7" s="1186">
        <v>2002</v>
      </c>
      <c r="I7" s="1186">
        <v>1983</v>
      </c>
      <c r="J7" s="1186">
        <v>1951</v>
      </c>
      <c r="K7" s="1186">
        <v>1920</v>
      </c>
      <c r="L7" s="1186">
        <v>1963</v>
      </c>
      <c r="M7" s="1186">
        <v>1778</v>
      </c>
      <c r="N7" s="1186">
        <v>1644</v>
      </c>
    </row>
    <row r="8" spans="1:14" x14ac:dyDescent="0.2">
      <c r="A8" s="1186">
        <v>5</v>
      </c>
      <c r="B8" s="1186" t="s">
        <v>1861</v>
      </c>
      <c r="C8" s="1186">
        <v>29</v>
      </c>
      <c r="D8" s="1186">
        <v>20</v>
      </c>
      <c r="E8" s="1186">
        <v>24</v>
      </c>
      <c r="F8" s="1186">
        <v>15</v>
      </c>
      <c r="G8" s="1186">
        <v>9</v>
      </c>
      <c r="H8" s="1186">
        <v>21</v>
      </c>
      <c r="I8" s="1186">
        <v>24</v>
      </c>
      <c r="J8" s="1186">
        <v>13</v>
      </c>
      <c r="K8" s="1186">
        <v>19</v>
      </c>
      <c r="L8" s="1186">
        <v>19</v>
      </c>
      <c r="M8" s="1186">
        <v>9</v>
      </c>
      <c r="N8" s="1186">
        <v>16</v>
      </c>
    </row>
    <row r="9" spans="1:14" x14ac:dyDescent="0.2">
      <c r="A9" s="1186">
        <v>6</v>
      </c>
      <c r="B9" s="1186" t="s">
        <v>1862</v>
      </c>
      <c r="C9" s="1186">
        <v>546</v>
      </c>
      <c r="D9" s="1186">
        <v>549</v>
      </c>
      <c r="E9" s="1186">
        <v>536</v>
      </c>
      <c r="F9" s="1186">
        <v>490</v>
      </c>
      <c r="G9" s="1186">
        <v>444</v>
      </c>
      <c r="H9" s="1186">
        <v>457</v>
      </c>
      <c r="I9" s="1186">
        <v>520</v>
      </c>
      <c r="J9" s="1186">
        <v>510</v>
      </c>
      <c r="K9" s="1186">
        <v>400</v>
      </c>
      <c r="L9" s="1186">
        <v>338</v>
      </c>
      <c r="M9" s="1186">
        <v>322</v>
      </c>
      <c r="N9" s="1186">
        <v>284</v>
      </c>
    </row>
    <row r="10" spans="1:14" x14ac:dyDescent="0.2">
      <c r="A10" s="1186">
        <v>7</v>
      </c>
      <c r="B10" s="1186" t="s">
        <v>1863</v>
      </c>
      <c r="C10" s="1186">
        <v>161</v>
      </c>
      <c r="D10" s="1186">
        <v>177</v>
      </c>
      <c r="E10" s="1186">
        <v>201</v>
      </c>
      <c r="F10" s="1186">
        <v>187</v>
      </c>
      <c r="G10" s="1186">
        <v>204</v>
      </c>
      <c r="H10" s="1186">
        <v>207</v>
      </c>
      <c r="I10" s="1186">
        <v>243</v>
      </c>
      <c r="J10" s="1186">
        <v>238</v>
      </c>
      <c r="K10" s="1186">
        <v>238</v>
      </c>
      <c r="L10" s="1186">
        <v>218</v>
      </c>
      <c r="M10" s="1186">
        <v>212</v>
      </c>
      <c r="N10" s="1186">
        <v>223</v>
      </c>
    </row>
    <row r="11" spans="1:14" x14ac:dyDescent="0.2">
      <c r="A11" s="1186">
        <v>8</v>
      </c>
      <c r="B11" s="1186" t="s">
        <v>1864</v>
      </c>
      <c r="C11" s="1186">
        <v>384</v>
      </c>
      <c r="D11" s="1186">
        <v>431</v>
      </c>
      <c r="E11" s="1186">
        <v>425</v>
      </c>
      <c r="F11" s="1186">
        <v>405</v>
      </c>
      <c r="G11" s="1186">
        <v>306</v>
      </c>
      <c r="H11" s="1186">
        <v>337</v>
      </c>
      <c r="I11" s="1186">
        <v>408</v>
      </c>
      <c r="J11" s="1186">
        <v>390</v>
      </c>
      <c r="K11" s="1186">
        <v>350</v>
      </c>
      <c r="L11" s="1186">
        <v>325</v>
      </c>
      <c r="M11" s="1186">
        <v>305</v>
      </c>
      <c r="N11" s="1186">
        <v>305</v>
      </c>
    </row>
    <row r="12" spans="1:14" x14ac:dyDescent="0.2">
      <c r="A12" s="1186">
        <v>9</v>
      </c>
      <c r="B12" s="1186" t="s">
        <v>1865</v>
      </c>
      <c r="C12" s="1186">
        <v>46</v>
      </c>
      <c r="D12" s="1186">
        <v>50</v>
      </c>
      <c r="E12" s="1186">
        <v>51</v>
      </c>
      <c r="F12" s="1186">
        <v>23</v>
      </c>
      <c r="G12" s="1186">
        <v>25</v>
      </c>
      <c r="H12" s="1186">
        <v>26</v>
      </c>
      <c r="I12" s="1186">
        <v>23</v>
      </c>
      <c r="J12" s="1186">
        <v>22</v>
      </c>
      <c r="K12" s="1186">
        <v>15</v>
      </c>
      <c r="L12" s="1186">
        <v>28</v>
      </c>
      <c r="M12" s="1186">
        <v>29</v>
      </c>
      <c r="N12" s="1186">
        <v>29</v>
      </c>
    </row>
    <row r="13" spans="1:14" x14ac:dyDescent="0.2">
      <c r="A13" s="1186">
        <v>10</v>
      </c>
      <c r="B13" s="1186" t="s">
        <v>1866</v>
      </c>
      <c r="C13" s="1186">
        <v>24</v>
      </c>
      <c r="D13" s="1186">
        <v>27</v>
      </c>
      <c r="E13" s="1186">
        <v>17</v>
      </c>
      <c r="F13" s="1186">
        <v>23</v>
      </c>
      <c r="G13" s="1186">
        <v>21</v>
      </c>
      <c r="H13" s="1186">
        <v>22</v>
      </c>
      <c r="I13" s="1186">
        <v>29</v>
      </c>
      <c r="J13" s="1186">
        <v>19</v>
      </c>
      <c r="K13" s="1186">
        <v>26</v>
      </c>
      <c r="L13" s="1186">
        <v>20</v>
      </c>
      <c r="M13" s="1186">
        <v>12</v>
      </c>
      <c r="N13" s="1186">
        <v>19</v>
      </c>
    </row>
    <row r="14" spans="1:14" x14ac:dyDescent="0.2">
      <c r="A14" s="1186">
        <v>11</v>
      </c>
      <c r="B14" s="1186" t="s">
        <v>1867</v>
      </c>
      <c r="C14" s="1186">
        <v>381</v>
      </c>
      <c r="D14" s="1186">
        <v>377</v>
      </c>
      <c r="E14" s="1186">
        <v>382</v>
      </c>
      <c r="F14" s="1186">
        <v>355</v>
      </c>
      <c r="G14" s="1186">
        <v>328</v>
      </c>
      <c r="H14" s="1186">
        <v>340</v>
      </c>
      <c r="I14" s="1186">
        <v>300</v>
      </c>
      <c r="J14" s="1186">
        <v>326</v>
      </c>
      <c r="K14" s="1186">
        <v>332</v>
      </c>
      <c r="L14" s="1186">
        <v>292</v>
      </c>
      <c r="M14" s="1186">
        <v>292</v>
      </c>
      <c r="N14" s="1186">
        <v>246</v>
      </c>
    </row>
    <row r="15" spans="1:14" x14ac:dyDescent="0.2">
      <c r="A15" s="1186">
        <v>12</v>
      </c>
      <c r="B15" s="1186" t="s">
        <v>202</v>
      </c>
      <c r="C15" s="1186">
        <v>52</v>
      </c>
      <c r="D15" s="1186">
        <v>37</v>
      </c>
      <c r="E15" s="1186">
        <v>42</v>
      </c>
      <c r="F15" s="1186">
        <v>32</v>
      </c>
      <c r="G15" s="1186">
        <v>27</v>
      </c>
      <c r="H15" s="1186">
        <v>27</v>
      </c>
      <c r="I15" s="1186">
        <v>37</v>
      </c>
      <c r="J15" s="1186">
        <v>20</v>
      </c>
      <c r="K15" s="1186">
        <v>33</v>
      </c>
      <c r="L15" s="1186">
        <v>23</v>
      </c>
      <c r="M15" s="1186">
        <v>24</v>
      </c>
      <c r="N15" s="1186">
        <v>22</v>
      </c>
    </row>
    <row r="16" spans="1:14" x14ac:dyDescent="0.2">
      <c r="A16" s="1186">
        <v>13</v>
      </c>
      <c r="B16" s="1186" t="s">
        <v>203</v>
      </c>
      <c r="C16" s="1186">
        <v>112</v>
      </c>
      <c r="D16" s="1186">
        <v>128</v>
      </c>
      <c r="E16" s="1186">
        <v>108</v>
      </c>
      <c r="F16" s="1186">
        <v>108</v>
      </c>
      <c r="G16" s="1186">
        <v>99</v>
      </c>
      <c r="H16" s="1186">
        <v>125</v>
      </c>
      <c r="I16" s="1186">
        <v>109</v>
      </c>
      <c r="J16" s="1186">
        <v>104</v>
      </c>
      <c r="K16" s="1186">
        <v>84</v>
      </c>
      <c r="L16" s="1186">
        <v>97</v>
      </c>
      <c r="M16" s="1186">
        <v>95</v>
      </c>
      <c r="N16" s="1186">
        <v>92</v>
      </c>
    </row>
    <row r="17" spans="1:14" x14ac:dyDescent="0.2">
      <c r="A17" s="1186">
        <v>14</v>
      </c>
      <c r="B17" s="1186" t="s">
        <v>204</v>
      </c>
      <c r="C17" s="1186">
        <v>10</v>
      </c>
      <c r="D17" s="1186">
        <v>9</v>
      </c>
      <c r="E17" s="1186">
        <v>10</v>
      </c>
      <c r="F17" s="1186">
        <v>13</v>
      </c>
      <c r="G17" s="1186">
        <v>11</v>
      </c>
      <c r="H17" s="1186">
        <v>8</v>
      </c>
      <c r="I17" s="1186">
        <v>14</v>
      </c>
      <c r="J17" s="1186">
        <v>5</v>
      </c>
      <c r="K17" s="1186">
        <v>11</v>
      </c>
      <c r="L17" s="1186">
        <v>11</v>
      </c>
      <c r="M17" s="1186">
        <v>17</v>
      </c>
      <c r="N17" s="1186">
        <v>9</v>
      </c>
    </row>
    <row r="18" spans="1:14" x14ac:dyDescent="0.2">
      <c r="A18" s="1186">
        <v>15</v>
      </c>
      <c r="B18" s="1186" t="s">
        <v>1868</v>
      </c>
      <c r="C18" s="1186">
        <v>84</v>
      </c>
      <c r="D18" s="1186">
        <v>48</v>
      </c>
      <c r="E18" s="1186">
        <v>46</v>
      </c>
      <c r="F18" s="1186">
        <v>40</v>
      </c>
      <c r="G18" s="1186">
        <v>46</v>
      </c>
      <c r="H18" s="1186">
        <v>42</v>
      </c>
      <c r="I18" s="1186">
        <v>59</v>
      </c>
      <c r="J18" s="1186">
        <v>55</v>
      </c>
      <c r="K18" s="1186">
        <v>46</v>
      </c>
      <c r="L18" s="1186">
        <v>40</v>
      </c>
      <c r="M18" s="1186">
        <v>37</v>
      </c>
      <c r="N18" s="1186">
        <v>50</v>
      </c>
    </row>
    <row r="19" spans="1:14" x14ac:dyDescent="0.2">
      <c r="A19" s="1186">
        <v>16</v>
      </c>
      <c r="B19" s="1186" t="s">
        <v>1869</v>
      </c>
      <c r="C19" s="1186">
        <v>2</v>
      </c>
      <c r="D19" s="1186">
        <v>1</v>
      </c>
      <c r="E19" s="1186">
        <v>2</v>
      </c>
      <c r="F19" s="1186">
        <v>4</v>
      </c>
      <c r="G19" s="1186">
        <v>3</v>
      </c>
      <c r="H19" s="1186">
        <v>5</v>
      </c>
      <c r="I19" s="1186">
        <v>1</v>
      </c>
      <c r="J19" s="1186">
        <v>1</v>
      </c>
      <c r="K19" s="1186">
        <v>2</v>
      </c>
      <c r="L19" s="1186">
        <v>1</v>
      </c>
      <c r="M19" s="1186">
        <v>2</v>
      </c>
      <c r="N19" s="1186">
        <v>2</v>
      </c>
    </row>
    <row r="20" spans="1:14" x14ac:dyDescent="0.2">
      <c r="A20" s="1186">
        <v>17</v>
      </c>
      <c r="B20" s="1186" t="s">
        <v>1870</v>
      </c>
      <c r="C20" s="1186">
        <v>8</v>
      </c>
      <c r="D20" s="1186">
        <v>8</v>
      </c>
      <c r="E20" s="1186">
        <v>7</v>
      </c>
      <c r="F20" s="1186">
        <v>11</v>
      </c>
      <c r="G20" s="1186">
        <v>8</v>
      </c>
      <c r="H20" s="1186">
        <v>12</v>
      </c>
      <c r="I20" s="1186">
        <v>21</v>
      </c>
      <c r="J20" s="1186">
        <v>11</v>
      </c>
      <c r="K20" s="1186">
        <v>9</v>
      </c>
      <c r="L20" s="1186">
        <v>14</v>
      </c>
      <c r="M20" s="1186">
        <v>8</v>
      </c>
      <c r="N20" s="1186">
        <v>4</v>
      </c>
    </row>
    <row r="21" spans="1:14" x14ac:dyDescent="0.2">
      <c r="A21" s="1186">
        <v>18</v>
      </c>
      <c r="B21" s="1186" t="s">
        <v>1871</v>
      </c>
      <c r="C21" s="1186">
        <v>22</v>
      </c>
      <c r="D21" s="1186">
        <v>17</v>
      </c>
      <c r="E21" s="1186">
        <v>15</v>
      </c>
      <c r="F21" s="1186">
        <v>21</v>
      </c>
      <c r="G21" s="1186">
        <v>20</v>
      </c>
      <c r="H21" s="1186">
        <v>23</v>
      </c>
      <c r="I21" s="1186">
        <v>28</v>
      </c>
      <c r="J21" s="1186">
        <v>25</v>
      </c>
      <c r="K21" s="1186">
        <v>24</v>
      </c>
      <c r="L21" s="1186">
        <v>10</v>
      </c>
      <c r="M21" s="1186">
        <v>9</v>
      </c>
      <c r="N21" s="1186">
        <v>8</v>
      </c>
    </row>
    <row r="22" spans="1:14" x14ac:dyDescent="0.2">
      <c r="A22" s="1186">
        <v>19</v>
      </c>
      <c r="B22" s="1186" t="s">
        <v>1872</v>
      </c>
      <c r="C22" s="1186">
        <v>22</v>
      </c>
      <c r="D22" s="1186">
        <v>29</v>
      </c>
      <c r="E22" s="1186">
        <v>32</v>
      </c>
      <c r="F22" s="1186">
        <v>28</v>
      </c>
      <c r="G22" s="1186">
        <v>32</v>
      </c>
      <c r="H22" s="1186">
        <v>32</v>
      </c>
      <c r="I22" s="1186">
        <v>29</v>
      </c>
      <c r="J22" s="1186">
        <v>24</v>
      </c>
      <c r="K22" s="1186">
        <v>30</v>
      </c>
      <c r="L22" s="1186">
        <v>22</v>
      </c>
      <c r="M22" s="1186">
        <v>22</v>
      </c>
      <c r="N22" s="1186">
        <v>21</v>
      </c>
    </row>
    <row r="23" spans="1:14" x14ac:dyDescent="0.2">
      <c r="A23" s="1186">
        <v>20</v>
      </c>
      <c r="B23" s="1186" t="s">
        <v>1873</v>
      </c>
      <c r="C23" s="1186">
        <v>25</v>
      </c>
      <c r="D23" s="1186">
        <v>45</v>
      </c>
      <c r="E23" s="1186">
        <v>40</v>
      </c>
      <c r="F23" s="1186">
        <v>19</v>
      </c>
      <c r="G23" s="1186">
        <v>18</v>
      </c>
      <c r="H23" s="1186">
        <v>13</v>
      </c>
      <c r="I23" s="1186">
        <v>14</v>
      </c>
      <c r="J23" s="1186">
        <v>13</v>
      </c>
      <c r="K23" s="1186">
        <v>13</v>
      </c>
      <c r="L23" s="1186">
        <v>6</v>
      </c>
      <c r="M23" s="1186">
        <v>12</v>
      </c>
      <c r="N23" s="1186">
        <v>8</v>
      </c>
    </row>
    <row r="24" spans="1:14" x14ac:dyDescent="0.2">
      <c r="A24" s="1186">
        <v>21</v>
      </c>
      <c r="B24" s="1186" t="s">
        <v>1874</v>
      </c>
      <c r="C24" s="1186">
        <v>56</v>
      </c>
      <c r="D24" s="1186">
        <v>45</v>
      </c>
      <c r="E24" s="1186">
        <v>43</v>
      </c>
      <c r="F24" s="1186">
        <v>32</v>
      </c>
      <c r="G24" s="1186">
        <v>49</v>
      </c>
      <c r="H24" s="1186">
        <v>52</v>
      </c>
      <c r="I24" s="1186">
        <v>45</v>
      </c>
      <c r="J24" s="1186">
        <v>60</v>
      </c>
      <c r="K24" s="1186">
        <v>33</v>
      </c>
      <c r="L24" s="1186">
        <v>33</v>
      </c>
      <c r="M24" s="1186">
        <v>37</v>
      </c>
      <c r="N24" s="1186">
        <v>33</v>
      </c>
    </row>
    <row r="25" spans="1:14" x14ac:dyDescent="0.2">
      <c r="A25" s="1186">
        <v>22</v>
      </c>
      <c r="B25" s="1186" t="s">
        <v>1875</v>
      </c>
      <c r="C25" s="1186">
        <v>354</v>
      </c>
      <c r="D25" s="1186">
        <v>362</v>
      </c>
      <c r="E25" s="1186">
        <v>336</v>
      </c>
      <c r="F25" s="1186">
        <v>375</v>
      </c>
      <c r="G25" s="1186">
        <v>378</v>
      </c>
      <c r="H25" s="1186">
        <v>337</v>
      </c>
      <c r="I25" s="1186">
        <v>358</v>
      </c>
      <c r="J25" s="1186">
        <v>305</v>
      </c>
      <c r="K25" s="1186">
        <v>308</v>
      </c>
      <c r="L25" s="1186">
        <v>294</v>
      </c>
      <c r="M25" s="1186">
        <v>293</v>
      </c>
      <c r="N25" s="1186">
        <v>276</v>
      </c>
    </row>
    <row r="26" spans="1:14" x14ac:dyDescent="0.2">
      <c r="A26" s="1186">
        <v>23</v>
      </c>
      <c r="B26" s="1186" t="s">
        <v>1876</v>
      </c>
      <c r="C26" s="1186">
        <v>11</v>
      </c>
      <c r="D26" s="1186">
        <v>10</v>
      </c>
      <c r="E26" s="1186">
        <v>3</v>
      </c>
      <c r="F26" s="1186">
        <v>7</v>
      </c>
      <c r="G26" s="1186">
        <v>10</v>
      </c>
      <c r="H26" s="1186">
        <v>7</v>
      </c>
      <c r="I26" s="1186">
        <v>7</v>
      </c>
      <c r="J26" s="1186">
        <v>4</v>
      </c>
      <c r="K26" s="1186">
        <v>4</v>
      </c>
      <c r="L26" s="1186">
        <v>9</v>
      </c>
      <c r="M26" s="1186">
        <v>9</v>
      </c>
      <c r="N26" s="1186">
        <v>11</v>
      </c>
    </row>
    <row r="27" spans="1:14" x14ac:dyDescent="0.2">
      <c r="A27" s="1186">
        <v>24</v>
      </c>
      <c r="B27" s="1186" t="s">
        <v>1877</v>
      </c>
      <c r="C27" s="1186">
        <v>9</v>
      </c>
      <c r="D27" s="1186">
        <v>5</v>
      </c>
      <c r="E27" s="1186">
        <v>5</v>
      </c>
      <c r="F27" s="1186">
        <v>9</v>
      </c>
      <c r="G27" s="1186">
        <v>4</v>
      </c>
      <c r="H27" s="1186">
        <v>1</v>
      </c>
      <c r="I27" s="1186">
        <v>5</v>
      </c>
      <c r="J27" s="1186">
        <v>8</v>
      </c>
      <c r="K27" s="1186">
        <v>3</v>
      </c>
      <c r="L27" s="1186">
        <v>6</v>
      </c>
      <c r="M27" s="1186">
        <v>5</v>
      </c>
      <c r="N27" s="1186">
        <v>5</v>
      </c>
    </row>
    <row r="28" spans="1:14" x14ac:dyDescent="0.2">
      <c r="A28" s="1186">
        <v>25</v>
      </c>
      <c r="B28" s="1186" t="s">
        <v>1878</v>
      </c>
      <c r="C28" s="1186">
        <v>19</v>
      </c>
      <c r="D28" s="1186">
        <v>22</v>
      </c>
      <c r="E28" s="1186">
        <v>11</v>
      </c>
      <c r="F28" s="1186">
        <v>20</v>
      </c>
      <c r="G28" s="1186">
        <v>16</v>
      </c>
      <c r="H28" s="1186">
        <v>15</v>
      </c>
      <c r="I28" s="1186">
        <v>14</v>
      </c>
      <c r="J28" s="1186">
        <v>25</v>
      </c>
      <c r="K28" s="1186">
        <v>23</v>
      </c>
      <c r="L28" s="1186">
        <v>18</v>
      </c>
      <c r="M28" s="1186">
        <v>10</v>
      </c>
      <c r="N28" s="1186">
        <v>30</v>
      </c>
    </row>
    <row r="29" spans="1:14" x14ac:dyDescent="0.2">
      <c r="A29" s="1186">
        <v>26</v>
      </c>
      <c r="B29" s="1186" t="s">
        <v>1879</v>
      </c>
      <c r="C29" s="1186">
        <v>59</v>
      </c>
      <c r="D29" s="1186">
        <v>49</v>
      </c>
      <c r="E29" s="1186">
        <v>40</v>
      </c>
      <c r="F29" s="1186">
        <v>41</v>
      </c>
      <c r="G29" s="1186">
        <v>35</v>
      </c>
      <c r="H29" s="1186">
        <v>43</v>
      </c>
      <c r="I29" s="1186">
        <v>32</v>
      </c>
      <c r="J29" s="1186">
        <v>35</v>
      </c>
      <c r="K29" s="1186">
        <v>43</v>
      </c>
      <c r="L29" s="1186">
        <v>39</v>
      </c>
      <c r="M29" s="1186">
        <v>32</v>
      </c>
      <c r="N29" s="1186">
        <v>28</v>
      </c>
    </row>
    <row r="30" spans="1:14" x14ac:dyDescent="0.2">
      <c r="A30" s="1186">
        <v>27</v>
      </c>
      <c r="B30" s="1186" t="s">
        <v>1880</v>
      </c>
      <c r="C30" s="1186">
        <v>139</v>
      </c>
      <c r="D30" s="1186">
        <v>147</v>
      </c>
      <c r="E30" s="1186">
        <v>138</v>
      </c>
      <c r="F30" s="1186">
        <v>176</v>
      </c>
      <c r="G30" s="1186">
        <v>115</v>
      </c>
      <c r="H30" s="1186">
        <v>119</v>
      </c>
      <c r="I30" s="1186">
        <v>132</v>
      </c>
      <c r="J30" s="1186">
        <v>126</v>
      </c>
      <c r="K30" s="1186">
        <v>129</v>
      </c>
      <c r="L30" s="1186">
        <v>105</v>
      </c>
      <c r="M30" s="1186">
        <v>102</v>
      </c>
      <c r="N30" s="1186">
        <v>85</v>
      </c>
    </row>
    <row r="31" spans="1:14" x14ac:dyDescent="0.2">
      <c r="A31" s="1186">
        <v>28</v>
      </c>
      <c r="B31" s="1186" t="s">
        <v>1881</v>
      </c>
      <c r="C31" s="1186">
        <v>9</v>
      </c>
      <c r="D31" s="1186">
        <v>13</v>
      </c>
      <c r="E31" s="1186">
        <v>11</v>
      </c>
      <c r="F31" s="1186">
        <v>10</v>
      </c>
      <c r="G31" s="1186">
        <v>10</v>
      </c>
      <c r="H31" s="1186">
        <v>8</v>
      </c>
      <c r="I31" s="1186">
        <v>9</v>
      </c>
      <c r="J31" s="1186">
        <v>17</v>
      </c>
      <c r="K31" s="1186">
        <v>9</v>
      </c>
      <c r="L31" s="1186">
        <v>6</v>
      </c>
      <c r="M31" s="1186">
        <v>5</v>
      </c>
      <c r="N31" s="1186">
        <v>8</v>
      </c>
    </row>
    <row r="32" spans="1:14" x14ac:dyDescent="0.2">
      <c r="A32" s="1186">
        <v>29</v>
      </c>
      <c r="B32" s="1186" t="s">
        <v>1882</v>
      </c>
      <c r="C32" s="1186">
        <v>5</v>
      </c>
      <c r="D32" s="1186">
        <v>6</v>
      </c>
      <c r="E32" s="1186">
        <v>9</v>
      </c>
      <c r="F32" s="1186">
        <v>3</v>
      </c>
      <c r="G32" s="1186">
        <v>5</v>
      </c>
      <c r="H32" s="1186">
        <v>11</v>
      </c>
      <c r="I32" s="1186">
        <v>6</v>
      </c>
      <c r="J32" s="1186">
        <v>5</v>
      </c>
      <c r="K32" s="1186">
        <v>4</v>
      </c>
      <c r="L32" s="1186">
        <v>6</v>
      </c>
      <c r="M32" s="1186">
        <v>4</v>
      </c>
      <c r="N32" s="1186">
        <v>8</v>
      </c>
    </row>
    <row r="33" spans="1:14" x14ac:dyDescent="0.2">
      <c r="A33" s="1186">
        <v>30</v>
      </c>
      <c r="B33" s="1186" t="s">
        <v>1883</v>
      </c>
      <c r="C33" s="1186">
        <v>42</v>
      </c>
      <c r="D33" s="1186">
        <v>47</v>
      </c>
      <c r="E33" s="1186">
        <v>48</v>
      </c>
      <c r="F33" s="1186">
        <v>19</v>
      </c>
      <c r="G33" s="1186">
        <v>17</v>
      </c>
      <c r="H33" s="1186">
        <v>19</v>
      </c>
      <c r="I33" s="1186">
        <v>10</v>
      </c>
      <c r="J33" s="1186">
        <v>9</v>
      </c>
      <c r="K33" s="1186">
        <v>11</v>
      </c>
      <c r="L33" s="1186">
        <v>11</v>
      </c>
      <c r="M33" s="1186">
        <v>12</v>
      </c>
      <c r="N33" s="1186">
        <v>12</v>
      </c>
    </row>
    <row r="34" spans="1:14" x14ac:dyDescent="0.2">
      <c r="A34" s="1186">
        <v>31</v>
      </c>
      <c r="B34" s="1186" t="s">
        <v>1884</v>
      </c>
      <c r="C34" s="1186">
        <v>2</v>
      </c>
      <c r="D34" s="1186">
        <v>2</v>
      </c>
      <c r="E34" s="1186">
        <v>2</v>
      </c>
      <c r="F34" s="1186">
        <v>1</v>
      </c>
      <c r="G34" s="1186">
        <v>1</v>
      </c>
      <c r="H34" s="1186">
        <v>3</v>
      </c>
      <c r="I34" s="1186">
        <v>4</v>
      </c>
      <c r="J34" s="1186">
        <v>3</v>
      </c>
      <c r="K34" s="1186">
        <v>1</v>
      </c>
      <c r="L34" s="1186">
        <v>4</v>
      </c>
      <c r="M34" s="1186">
        <v>5</v>
      </c>
      <c r="N34" s="1186">
        <v>2</v>
      </c>
    </row>
    <row r="35" spans="1:14" x14ac:dyDescent="0.2">
      <c r="A35" s="1186">
        <v>32</v>
      </c>
      <c r="B35" s="1186" t="s">
        <v>1885</v>
      </c>
      <c r="C35" s="1186">
        <v>4</v>
      </c>
      <c r="D35" s="1186">
        <v>4</v>
      </c>
      <c r="E35" s="1186">
        <v>2</v>
      </c>
      <c r="F35" s="1186">
        <v>4</v>
      </c>
      <c r="G35" s="1186">
        <v>7</v>
      </c>
      <c r="H35" s="1186">
        <v>8</v>
      </c>
      <c r="I35" s="1186">
        <v>8</v>
      </c>
      <c r="J35" s="1186">
        <v>7</v>
      </c>
      <c r="K35" s="1186">
        <v>8</v>
      </c>
      <c r="L35" s="1186">
        <v>11</v>
      </c>
      <c r="M35" s="1186">
        <v>10</v>
      </c>
      <c r="N35" s="1186">
        <v>10</v>
      </c>
    </row>
    <row r="36" spans="1:14" x14ac:dyDescent="0.2">
      <c r="A36" s="1186">
        <v>33</v>
      </c>
      <c r="B36" s="1186" t="s">
        <v>1886</v>
      </c>
      <c r="C36" s="1186">
        <v>12</v>
      </c>
      <c r="D36" s="1186">
        <v>19</v>
      </c>
      <c r="E36" s="1186">
        <v>9</v>
      </c>
      <c r="F36" s="1186">
        <v>14</v>
      </c>
      <c r="G36" s="1186">
        <v>16</v>
      </c>
      <c r="H36" s="1186">
        <v>9</v>
      </c>
      <c r="I36" s="1186">
        <v>17</v>
      </c>
      <c r="J36" s="1186">
        <v>6</v>
      </c>
      <c r="K36" s="1186">
        <v>2</v>
      </c>
      <c r="L36" s="1186">
        <v>3</v>
      </c>
      <c r="M36" s="1186">
        <v>4</v>
      </c>
      <c r="N36" s="1186">
        <v>4</v>
      </c>
    </row>
    <row r="37" spans="1:14" x14ac:dyDescent="0.2">
      <c r="A37" s="1186">
        <v>34</v>
      </c>
      <c r="B37" s="1186" t="s">
        <v>1887</v>
      </c>
      <c r="C37" s="1186">
        <v>30</v>
      </c>
      <c r="D37" s="1186">
        <v>43</v>
      </c>
      <c r="E37" s="1186">
        <v>42</v>
      </c>
      <c r="F37" s="1186">
        <v>46</v>
      </c>
      <c r="G37" s="1186">
        <v>40</v>
      </c>
      <c r="H37" s="1186">
        <v>44</v>
      </c>
      <c r="I37" s="1186">
        <v>31</v>
      </c>
      <c r="J37" s="1186">
        <v>38</v>
      </c>
      <c r="K37" s="1186">
        <v>39</v>
      </c>
      <c r="L37" s="1186">
        <v>32</v>
      </c>
      <c r="M37" s="1186">
        <v>25</v>
      </c>
      <c r="N37" s="1186">
        <v>20</v>
      </c>
    </row>
    <row r="38" spans="1:14" x14ac:dyDescent="0.2">
      <c r="A38" s="1186">
        <v>35</v>
      </c>
      <c r="B38" s="1186" t="s">
        <v>1888</v>
      </c>
      <c r="C38" s="1186">
        <v>16</v>
      </c>
      <c r="D38" s="1186">
        <v>20</v>
      </c>
      <c r="E38" s="1186">
        <v>18</v>
      </c>
      <c r="F38" s="1186">
        <v>18</v>
      </c>
      <c r="G38" s="1186">
        <v>17</v>
      </c>
      <c r="H38" s="1186">
        <v>7</v>
      </c>
      <c r="I38" s="1186">
        <v>9</v>
      </c>
      <c r="J38" s="1186">
        <v>10</v>
      </c>
      <c r="K38" s="1186">
        <v>3</v>
      </c>
      <c r="L38" s="1186">
        <v>12</v>
      </c>
      <c r="M38" s="1186">
        <v>2</v>
      </c>
      <c r="N38" s="1186">
        <v>9</v>
      </c>
    </row>
    <row r="39" spans="1:14" x14ac:dyDescent="0.2">
      <c r="A39" s="1186">
        <v>36</v>
      </c>
      <c r="B39" s="1186" t="s">
        <v>1889</v>
      </c>
      <c r="C39" s="1186"/>
      <c r="D39" s="1186">
        <v>2</v>
      </c>
      <c r="E39" s="1186">
        <v>1</v>
      </c>
      <c r="F39" s="1186">
        <v>5</v>
      </c>
      <c r="G39" s="1186">
        <v>4</v>
      </c>
      <c r="H39" s="1186">
        <v>5</v>
      </c>
      <c r="I39" s="1186">
        <v>3</v>
      </c>
      <c r="J39" s="1186">
        <v>4</v>
      </c>
      <c r="K39" s="1186">
        <v>4</v>
      </c>
      <c r="L39" s="1186">
        <v>5</v>
      </c>
      <c r="M39" s="1186">
        <v>3</v>
      </c>
      <c r="N39" s="1186">
        <v>3</v>
      </c>
    </row>
    <row r="40" spans="1:14" x14ac:dyDescent="0.2">
      <c r="A40" s="1186">
        <v>37</v>
      </c>
      <c r="B40" s="1186" t="s">
        <v>1890</v>
      </c>
      <c r="C40" s="1186">
        <v>9</v>
      </c>
      <c r="D40" s="1186">
        <v>13</v>
      </c>
      <c r="E40" s="1186">
        <v>25</v>
      </c>
      <c r="F40" s="1186">
        <v>26</v>
      </c>
      <c r="G40" s="1186">
        <v>14</v>
      </c>
      <c r="H40" s="1186">
        <v>22</v>
      </c>
      <c r="I40" s="1186">
        <v>26</v>
      </c>
      <c r="J40" s="1186">
        <v>18</v>
      </c>
      <c r="K40" s="1186">
        <v>16</v>
      </c>
      <c r="L40" s="1186">
        <v>27</v>
      </c>
      <c r="M40" s="1186">
        <v>22</v>
      </c>
      <c r="N40" s="1186">
        <v>21</v>
      </c>
    </row>
    <row r="41" spans="1:14" x14ac:dyDescent="0.2">
      <c r="A41" s="1186">
        <v>38</v>
      </c>
      <c r="B41" s="1186" t="s">
        <v>1891</v>
      </c>
      <c r="C41" s="1186">
        <v>26</v>
      </c>
      <c r="D41" s="1186">
        <v>26</v>
      </c>
      <c r="E41" s="1186">
        <v>43</v>
      </c>
      <c r="F41" s="1186">
        <v>19</v>
      </c>
      <c r="G41" s="1186">
        <v>28</v>
      </c>
      <c r="H41" s="1186">
        <v>31</v>
      </c>
      <c r="I41" s="1186">
        <v>20</v>
      </c>
      <c r="J41" s="1186">
        <v>21</v>
      </c>
      <c r="K41" s="1186">
        <v>24</v>
      </c>
      <c r="L41" s="1186">
        <v>26</v>
      </c>
      <c r="M41" s="1186">
        <v>28</v>
      </c>
      <c r="N41" s="1186">
        <v>22</v>
      </c>
    </row>
    <row r="42" spans="1:14" x14ac:dyDescent="0.2">
      <c r="A42" s="1186">
        <v>39</v>
      </c>
      <c r="B42" s="1186" t="s">
        <v>1892</v>
      </c>
      <c r="C42" s="1186">
        <v>4</v>
      </c>
      <c r="D42" s="1186">
        <v>4</v>
      </c>
      <c r="E42" s="1186">
        <v>7</v>
      </c>
      <c r="F42" s="1186">
        <v>3</v>
      </c>
      <c r="G42" s="1186">
        <v>6</v>
      </c>
      <c r="H42" s="1186">
        <v>5</v>
      </c>
      <c r="I42" s="1186">
        <v>5</v>
      </c>
      <c r="J42" s="1186">
        <v>4</v>
      </c>
      <c r="K42" s="1186">
        <v>5</v>
      </c>
      <c r="L42" s="1186">
        <v>2</v>
      </c>
      <c r="M42" s="1186">
        <v>9</v>
      </c>
      <c r="N42" s="1186">
        <v>3</v>
      </c>
    </row>
    <row r="43" spans="1:14" x14ac:dyDescent="0.2">
      <c r="A43" s="1186">
        <v>40</v>
      </c>
      <c r="B43" s="1186" t="s">
        <v>1893</v>
      </c>
      <c r="C43" s="1186">
        <v>8</v>
      </c>
      <c r="D43" s="1186">
        <v>6</v>
      </c>
      <c r="E43" s="1186">
        <v>4</v>
      </c>
      <c r="F43" s="1186">
        <v>5</v>
      </c>
      <c r="G43" s="1186">
        <v>5</v>
      </c>
      <c r="H43" s="1186">
        <v>7</v>
      </c>
      <c r="I43" s="1186">
        <v>1</v>
      </c>
      <c r="J43" s="1186">
        <v>6</v>
      </c>
      <c r="K43" s="1186">
        <v>1</v>
      </c>
      <c r="L43" s="1186">
        <v>6</v>
      </c>
      <c r="M43" s="1186">
        <v>5</v>
      </c>
      <c r="N43" s="1186">
        <v>4</v>
      </c>
    </row>
    <row r="44" spans="1:14" x14ac:dyDescent="0.2">
      <c r="A44" s="1186">
        <v>41</v>
      </c>
      <c r="B44" s="1186" t="s">
        <v>1894</v>
      </c>
      <c r="C44" s="1186">
        <v>41</v>
      </c>
      <c r="D44" s="1186">
        <v>21</v>
      </c>
      <c r="E44" s="1186">
        <v>37</v>
      </c>
      <c r="F44" s="1186">
        <v>14</v>
      </c>
      <c r="G44" s="1186">
        <v>8</v>
      </c>
      <c r="H44" s="1186">
        <v>13</v>
      </c>
      <c r="I44" s="1186">
        <v>9</v>
      </c>
      <c r="J44" s="1186">
        <v>9</v>
      </c>
      <c r="K44" s="1186">
        <v>12</v>
      </c>
      <c r="L44" s="1186">
        <v>2</v>
      </c>
      <c r="M44" s="1186">
        <v>3</v>
      </c>
      <c r="N44" s="1186">
        <v>13</v>
      </c>
    </row>
    <row r="45" spans="1:14" x14ac:dyDescent="0.2">
      <c r="A45" s="1186">
        <v>42</v>
      </c>
      <c r="B45" s="1186" t="s">
        <v>1895</v>
      </c>
      <c r="C45" s="1186">
        <v>2</v>
      </c>
      <c r="D45" s="1186">
        <v>5</v>
      </c>
      <c r="E45" s="1186">
        <v>8</v>
      </c>
      <c r="F45" s="1186">
        <v>3</v>
      </c>
      <c r="G45" s="1186">
        <v>6</v>
      </c>
      <c r="H45" s="1186">
        <v>7</v>
      </c>
      <c r="I45" s="1186">
        <v>5</v>
      </c>
      <c r="J45" s="1186">
        <v>4</v>
      </c>
      <c r="K45" s="1186">
        <v>7</v>
      </c>
      <c r="L45" s="1186">
        <v>9</v>
      </c>
      <c r="M45" s="1186">
        <v>3</v>
      </c>
      <c r="N45" s="1186">
        <v>8</v>
      </c>
    </row>
    <row r="46" spans="1:14" x14ac:dyDescent="0.2">
      <c r="A46" s="1186">
        <v>43</v>
      </c>
      <c r="B46" s="1186" t="s">
        <v>1896</v>
      </c>
      <c r="C46" s="1186">
        <v>7</v>
      </c>
      <c r="D46" s="1186">
        <v>8</v>
      </c>
      <c r="E46" s="1186">
        <v>5</v>
      </c>
      <c r="F46" s="1186">
        <v>5</v>
      </c>
      <c r="G46" s="1186">
        <v>5</v>
      </c>
      <c r="H46" s="1186">
        <v>4</v>
      </c>
      <c r="I46" s="1186"/>
      <c r="J46" s="1186">
        <v>1</v>
      </c>
      <c r="K46" s="1186">
        <v>3</v>
      </c>
      <c r="L46" s="1186"/>
      <c r="M46" s="1186">
        <v>5</v>
      </c>
      <c r="N46" s="1186">
        <v>2</v>
      </c>
    </row>
    <row r="47" spans="1:14" x14ac:dyDescent="0.2">
      <c r="A47" s="1186">
        <v>44</v>
      </c>
      <c r="B47" s="1186" t="s">
        <v>1897</v>
      </c>
      <c r="C47" s="1186"/>
      <c r="D47" s="1186"/>
      <c r="E47" s="1186">
        <v>1</v>
      </c>
      <c r="F47" s="1186"/>
      <c r="G47" s="1186"/>
      <c r="H47" s="1186"/>
      <c r="I47" s="1186">
        <v>1</v>
      </c>
      <c r="J47" s="1186">
        <v>1</v>
      </c>
      <c r="K47" s="1186"/>
      <c r="L47" s="1186"/>
      <c r="M47" s="1186"/>
      <c r="N47" s="1186"/>
    </row>
    <row r="48" spans="1:14" x14ac:dyDescent="0.2">
      <c r="A48" s="1186">
        <v>45</v>
      </c>
      <c r="B48" s="1186" t="s">
        <v>1898</v>
      </c>
      <c r="C48" s="1186">
        <v>65</v>
      </c>
      <c r="D48" s="1186">
        <v>72</v>
      </c>
      <c r="E48" s="1186">
        <v>68</v>
      </c>
      <c r="F48" s="1186">
        <v>83</v>
      </c>
      <c r="G48" s="1186">
        <v>66</v>
      </c>
      <c r="H48" s="1186">
        <v>74</v>
      </c>
      <c r="I48" s="1186">
        <v>80</v>
      </c>
      <c r="J48" s="1186">
        <v>76</v>
      </c>
      <c r="K48" s="1186">
        <v>82</v>
      </c>
      <c r="L48" s="1186">
        <v>87</v>
      </c>
      <c r="M48" s="1186">
        <v>92</v>
      </c>
      <c r="N48" s="1186">
        <v>53</v>
      </c>
    </row>
    <row r="49" spans="1:14" x14ac:dyDescent="0.2">
      <c r="A49" s="1186">
        <v>46</v>
      </c>
      <c r="B49" s="1186" t="s">
        <v>1899</v>
      </c>
      <c r="C49" s="1186">
        <v>23</v>
      </c>
      <c r="D49" s="1186">
        <v>27</v>
      </c>
      <c r="E49" s="1186">
        <v>13</v>
      </c>
      <c r="F49" s="1186">
        <v>14</v>
      </c>
      <c r="G49" s="1186">
        <v>13</v>
      </c>
      <c r="H49" s="1186">
        <v>15</v>
      </c>
      <c r="I49" s="1186">
        <v>11</v>
      </c>
      <c r="J49" s="1186">
        <v>5</v>
      </c>
      <c r="K49" s="1186">
        <v>11</v>
      </c>
      <c r="L49" s="1186">
        <v>8</v>
      </c>
      <c r="M49" s="1186">
        <v>5</v>
      </c>
      <c r="N49" s="1186">
        <v>3</v>
      </c>
    </row>
    <row r="50" spans="1:14" x14ac:dyDescent="0.2">
      <c r="A50" s="1186">
        <v>47</v>
      </c>
      <c r="B50" s="1186" t="s">
        <v>1900</v>
      </c>
      <c r="C50" s="1186">
        <v>1</v>
      </c>
      <c r="D50" s="1186">
        <v>5</v>
      </c>
      <c r="E50" s="1186">
        <v>2</v>
      </c>
      <c r="F50" s="1186">
        <v>2</v>
      </c>
      <c r="G50" s="1186">
        <v>3</v>
      </c>
      <c r="H50" s="1186">
        <v>5</v>
      </c>
      <c r="I50" s="1186">
        <v>3</v>
      </c>
      <c r="J50" s="1186">
        <v>4</v>
      </c>
      <c r="K50" s="1186">
        <v>7</v>
      </c>
      <c r="L50" s="1186">
        <v>1</v>
      </c>
      <c r="M50" s="1186">
        <v>4</v>
      </c>
      <c r="N50" s="1186">
        <v>2</v>
      </c>
    </row>
    <row r="51" spans="1:14" x14ac:dyDescent="0.2">
      <c r="A51" s="1186">
        <v>48</v>
      </c>
      <c r="B51" s="1186" t="s">
        <v>1901</v>
      </c>
      <c r="C51" s="1186">
        <v>2</v>
      </c>
      <c r="D51" s="1186">
        <v>3</v>
      </c>
      <c r="E51" s="1186"/>
      <c r="F51" s="1186">
        <v>1</v>
      </c>
      <c r="G51" s="1186">
        <v>1</v>
      </c>
      <c r="H51" s="1186">
        <v>1</v>
      </c>
      <c r="I51" s="1186">
        <v>1</v>
      </c>
      <c r="J51" s="1186">
        <v>1</v>
      </c>
      <c r="K51" s="1186"/>
      <c r="L51" s="1186"/>
      <c r="M51" s="1186"/>
      <c r="N51" s="1186"/>
    </row>
    <row r="52" spans="1:14" x14ac:dyDescent="0.2">
      <c r="A52" s="1186">
        <v>49</v>
      </c>
      <c r="B52" s="1186" t="s">
        <v>1902</v>
      </c>
      <c r="C52" s="1186">
        <v>13</v>
      </c>
      <c r="D52" s="1186">
        <v>12</v>
      </c>
      <c r="E52" s="1186">
        <v>8</v>
      </c>
      <c r="F52" s="1186">
        <v>11</v>
      </c>
      <c r="G52" s="1186">
        <v>8</v>
      </c>
      <c r="H52" s="1186">
        <v>11</v>
      </c>
      <c r="I52" s="1186">
        <v>13</v>
      </c>
      <c r="J52" s="1186">
        <v>3</v>
      </c>
      <c r="K52" s="1186">
        <v>9</v>
      </c>
      <c r="L52" s="1186">
        <v>4</v>
      </c>
      <c r="M52" s="1186">
        <v>6</v>
      </c>
      <c r="N52" s="1186">
        <v>11</v>
      </c>
    </row>
    <row r="53" spans="1:14" x14ac:dyDescent="0.2">
      <c r="A53" s="1186">
        <v>50</v>
      </c>
      <c r="B53" s="1186" t="s">
        <v>1903</v>
      </c>
      <c r="C53" s="1186">
        <v>91</v>
      </c>
      <c r="D53" s="1186">
        <v>86</v>
      </c>
      <c r="E53" s="1186">
        <v>94</v>
      </c>
      <c r="F53" s="1186">
        <v>78</v>
      </c>
      <c r="G53" s="1186">
        <v>82</v>
      </c>
      <c r="H53" s="1186">
        <v>82</v>
      </c>
      <c r="I53" s="1186">
        <v>89</v>
      </c>
      <c r="J53" s="1186">
        <v>95</v>
      </c>
      <c r="K53" s="1186">
        <v>117</v>
      </c>
      <c r="L53" s="1186">
        <v>90</v>
      </c>
      <c r="M53" s="1186">
        <v>103</v>
      </c>
      <c r="N53" s="1186">
        <v>90</v>
      </c>
    </row>
    <row r="54" spans="1:14" x14ac:dyDescent="0.2">
      <c r="A54" s="1186">
        <v>51</v>
      </c>
      <c r="B54" s="1186" t="s">
        <v>1904</v>
      </c>
      <c r="C54" s="1186">
        <v>4</v>
      </c>
      <c r="D54" s="1186">
        <v>2</v>
      </c>
      <c r="E54" s="1186">
        <v>1</v>
      </c>
      <c r="F54" s="1186">
        <v>1</v>
      </c>
      <c r="G54" s="1186">
        <v>4</v>
      </c>
      <c r="H54" s="1186">
        <v>7</v>
      </c>
      <c r="I54" s="1186"/>
      <c r="J54" s="1186">
        <v>7</v>
      </c>
      <c r="K54" s="1186">
        <v>1</v>
      </c>
      <c r="L54" s="1186">
        <v>5</v>
      </c>
      <c r="M54" s="1186">
        <v>4</v>
      </c>
      <c r="N54" s="1186">
        <v>12</v>
      </c>
    </row>
    <row r="55" spans="1:14" x14ac:dyDescent="0.2">
      <c r="A55" s="1186">
        <v>52</v>
      </c>
      <c r="B55" s="1186" t="s">
        <v>205</v>
      </c>
      <c r="C55" s="1186">
        <v>15</v>
      </c>
      <c r="D55" s="1186">
        <v>14</v>
      </c>
      <c r="E55" s="1186">
        <v>19</v>
      </c>
      <c r="F55" s="1186">
        <v>5</v>
      </c>
      <c r="G55" s="1186">
        <v>9</v>
      </c>
      <c r="H55" s="1186">
        <v>7</v>
      </c>
      <c r="I55" s="1186">
        <v>6</v>
      </c>
      <c r="J55" s="1186">
        <v>4</v>
      </c>
      <c r="K55" s="1186">
        <v>10</v>
      </c>
      <c r="L55" s="1186">
        <v>11</v>
      </c>
      <c r="M55" s="1186">
        <v>8</v>
      </c>
      <c r="N55" s="1186">
        <v>8</v>
      </c>
    </row>
    <row r="56" spans="1:14" x14ac:dyDescent="0.2">
      <c r="A56" s="1186">
        <v>53</v>
      </c>
      <c r="B56" s="1186" t="s">
        <v>206</v>
      </c>
      <c r="C56" s="1186">
        <v>1</v>
      </c>
      <c r="D56" s="1186"/>
      <c r="E56" s="1186">
        <v>3</v>
      </c>
      <c r="F56" s="1186"/>
      <c r="G56" s="1186">
        <v>2</v>
      </c>
      <c r="H56" s="1186">
        <v>4</v>
      </c>
      <c r="I56" s="1186">
        <v>2</v>
      </c>
      <c r="J56" s="1186">
        <v>1</v>
      </c>
      <c r="K56" s="1186">
        <v>1</v>
      </c>
      <c r="L56" s="1186"/>
      <c r="M56" s="1186">
        <v>2</v>
      </c>
      <c r="N56" s="1186">
        <v>3</v>
      </c>
    </row>
    <row r="57" spans="1:14" x14ac:dyDescent="0.2">
      <c r="A57" s="1186">
        <v>54</v>
      </c>
      <c r="B57" s="1186" t="s">
        <v>1905</v>
      </c>
      <c r="C57" s="1186">
        <v>5</v>
      </c>
      <c r="D57" s="1186">
        <v>16</v>
      </c>
      <c r="E57" s="1186">
        <v>7</v>
      </c>
      <c r="F57" s="1186">
        <v>2</v>
      </c>
      <c r="G57" s="1186">
        <v>6</v>
      </c>
      <c r="H57" s="1186">
        <v>8</v>
      </c>
      <c r="I57" s="1186">
        <v>2</v>
      </c>
      <c r="J57" s="1186">
        <v>3</v>
      </c>
      <c r="K57" s="1186">
        <v>1</v>
      </c>
      <c r="L57" s="1186">
        <v>4</v>
      </c>
      <c r="M57" s="1186"/>
      <c r="N57" s="1186">
        <v>3</v>
      </c>
    </row>
    <row r="58" spans="1:14" x14ac:dyDescent="0.2">
      <c r="A58" s="1186">
        <v>55</v>
      </c>
      <c r="B58" s="1186" t="s">
        <v>1906</v>
      </c>
      <c r="C58" s="1186">
        <v>11</v>
      </c>
      <c r="D58" s="1186">
        <v>10</v>
      </c>
      <c r="E58" s="1186">
        <v>12</v>
      </c>
      <c r="F58" s="1186">
        <v>19</v>
      </c>
      <c r="G58" s="1186">
        <v>8</v>
      </c>
      <c r="H58" s="1186">
        <v>17</v>
      </c>
      <c r="I58" s="1186">
        <v>21</v>
      </c>
      <c r="J58" s="1186">
        <v>15</v>
      </c>
      <c r="K58" s="1186">
        <v>10</v>
      </c>
      <c r="L58" s="1186">
        <v>22</v>
      </c>
      <c r="M58" s="1186">
        <v>12</v>
      </c>
      <c r="N58" s="1186">
        <v>14</v>
      </c>
    </row>
    <row r="59" spans="1:14" x14ac:dyDescent="0.2">
      <c r="A59" s="1186">
        <v>56</v>
      </c>
      <c r="B59" s="1186" t="s">
        <v>207</v>
      </c>
      <c r="C59" s="1186">
        <v>3</v>
      </c>
      <c r="D59" s="1186">
        <v>2</v>
      </c>
      <c r="E59" s="1186">
        <v>4</v>
      </c>
      <c r="F59" s="1186"/>
      <c r="G59" s="1186">
        <v>3</v>
      </c>
      <c r="H59" s="1186">
        <v>3</v>
      </c>
      <c r="I59" s="1186">
        <v>1</v>
      </c>
      <c r="J59" s="1186">
        <v>5</v>
      </c>
      <c r="K59" s="1186">
        <v>2</v>
      </c>
      <c r="L59" s="1186">
        <v>1</v>
      </c>
      <c r="M59" s="1186">
        <v>1</v>
      </c>
      <c r="N59" s="1186">
        <v>5</v>
      </c>
    </row>
    <row r="60" spans="1:14" x14ac:dyDescent="0.2">
      <c r="A60" s="1186">
        <v>57</v>
      </c>
      <c r="B60" s="1186" t="s">
        <v>1907</v>
      </c>
      <c r="C60" s="1186">
        <v>15</v>
      </c>
      <c r="D60" s="1186">
        <v>16</v>
      </c>
      <c r="E60" s="1186">
        <v>7</v>
      </c>
      <c r="F60" s="1186">
        <v>9</v>
      </c>
      <c r="G60" s="1186">
        <v>18</v>
      </c>
      <c r="H60" s="1186">
        <v>14</v>
      </c>
      <c r="I60" s="1186">
        <v>18</v>
      </c>
      <c r="J60" s="1186">
        <v>17</v>
      </c>
      <c r="K60" s="1186">
        <v>10</v>
      </c>
      <c r="L60" s="1186">
        <v>7</v>
      </c>
      <c r="M60" s="1186">
        <v>17</v>
      </c>
      <c r="N60" s="1186">
        <v>14</v>
      </c>
    </row>
    <row r="61" spans="1:14" x14ac:dyDescent="0.2">
      <c r="A61" s="1186">
        <v>58</v>
      </c>
      <c r="B61" s="1186" t="s">
        <v>1908</v>
      </c>
      <c r="C61" s="1186">
        <v>233</v>
      </c>
      <c r="D61" s="1186">
        <v>198</v>
      </c>
      <c r="E61" s="1186">
        <v>154</v>
      </c>
      <c r="F61" s="1186">
        <v>175</v>
      </c>
      <c r="G61" s="1186">
        <v>169</v>
      </c>
      <c r="H61" s="1186">
        <v>180</v>
      </c>
      <c r="I61" s="1186">
        <v>177</v>
      </c>
      <c r="J61" s="1186">
        <v>199</v>
      </c>
      <c r="K61" s="1186">
        <v>211</v>
      </c>
      <c r="L61" s="1186">
        <v>266</v>
      </c>
      <c r="M61" s="1186">
        <v>259</v>
      </c>
      <c r="N61" s="1186">
        <v>275</v>
      </c>
    </row>
  </sheetData>
  <pageMargins left="0.7" right="0.7" top="0.75" bottom="0.75" header="0.3" footer="0.3"/>
  <pageSetup paperSize="9" fitToHeight="50" orientation="landscape" r:id="rId1"/>
  <legacyDrawing r:id="rId2"/>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pageSetUpPr fitToPage="1"/>
  </sheetPr>
  <dimension ref="A1:F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5" bestFit="1" customWidth="1"/>
    <col min="2" max="2" width="7.42578125" bestFit="1" customWidth="1"/>
    <col min="3" max="3" width="4.85546875" bestFit="1" customWidth="1"/>
    <col min="4" max="4" width="5.5703125" bestFit="1" customWidth="1"/>
    <col min="5" max="5" width="4.85546875" bestFit="1" customWidth="1"/>
    <col min="6" max="6" width="11" bestFit="1" customWidth="1"/>
  </cols>
  <sheetData>
    <row r="1" spans="1:6" x14ac:dyDescent="0.2"/>
    <row r="4" spans="1:6" x14ac:dyDescent="0.2">
      <c r="A4" s="1223" t="s">
        <v>993</v>
      </c>
      <c r="B4" s="1223" t="s">
        <v>4</v>
      </c>
      <c r="C4" s="1223" t="s">
        <v>11</v>
      </c>
      <c r="D4" s="1223" t="s">
        <v>1909</v>
      </c>
      <c r="E4" s="1223" t="s">
        <v>1910</v>
      </c>
      <c r="F4" s="1223" t="s">
        <v>1911</v>
      </c>
    </row>
    <row r="5" spans="1:6" x14ac:dyDescent="0.2">
      <c r="A5" s="1186" t="s">
        <v>828</v>
      </c>
      <c r="B5" s="1186" t="s">
        <v>19</v>
      </c>
      <c r="C5" s="1186">
        <v>5367</v>
      </c>
      <c r="D5" s="1186">
        <v>894</v>
      </c>
      <c r="E5" s="1186">
        <v>3690</v>
      </c>
      <c r="F5" s="1186">
        <v>783</v>
      </c>
    </row>
    <row r="6" spans="1:6" x14ac:dyDescent="0.2">
      <c r="A6" s="1186" t="s">
        <v>828</v>
      </c>
      <c r="B6" s="1186" t="s">
        <v>20</v>
      </c>
      <c r="C6" s="1186">
        <v>5209</v>
      </c>
      <c r="D6" s="1186">
        <v>837</v>
      </c>
      <c r="E6" s="1186">
        <v>3691</v>
      </c>
      <c r="F6" s="1186">
        <v>681</v>
      </c>
    </row>
    <row r="7" spans="1:6" x14ac:dyDescent="0.2">
      <c r="A7" s="1186" t="s">
        <v>828</v>
      </c>
      <c r="B7" s="1186" t="s">
        <v>13</v>
      </c>
      <c r="C7" s="1186">
        <v>5117</v>
      </c>
      <c r="D7" s="1186">
        <v>867</v>
      </c>
      <c r="E7" s="1186">
        <v>3553</v>
      </c>
      <c r="F7" s="1186">
        <v>697</v>
      </c>
    </row>
    <row r="8" spans="1:6" x14ac:dyDescent="0.2">
      <c r="A8" s="1186" t="s">
        <v>828</v>
      </c>
      <c r="B8" s="1186" t="s">
        <v>15</v>
      </c>
      <c r="C8" s="1186">
        <v>4997</v>
      </c>
      <c r="D8" s="1186">
        <v>777</v>
      </c>
      <c r="E8" s="1186">
        <v>3579</v>
      </c>
      <c r="F8" s="1186">
        <v>641</v>
      </c>
    </row>
    <row r="9" spans="1:6" x14ac:dyDescent="0.2">
      <c r="A9" s="1186" t="s">
        <v>828</v>
      </c>
      <c r="B9" s="1186" t="s">
        <v>17</v>
      </c>
      <c r="C9" s="1186">
        <v>4673</v>
      </c>
      <c r="D9" s="1186">
        <v>717</v>
      </c>
      <c r="E9" s="1186">
        <v>3362</v>
      </c>
      <c r="F9" s="1186">
        <v>594</v>
      </c>
    </row>
    <row r="10" spans="1:6" x14ac:dyDescent="0.2">
      <c r="A10" s="1186" t="s">
        <v>828</v>
      </c>
      <c r="B10" s="1186" t="s">
        <v>133</v>
      </c>
      <c r="C10" s="1186">
        <v>4953</v>
      </c>
      <c r="D10" s="1186">
        <v>705</v>
      </c>
      <c r="E10" s="1186">
        <v>3635</v>
      </c>
      <c r="F10" s="1186">
        <v>613</v>
      </c>
    </row>
    <row r="11" spans="1:6" x14ac:dyDescent="0.2">
      <c r="A11" s="1186" t="s">
        <v>828</v>
      </c>
      <c r="B11" s="1186" t="s">
        <v>144</v>
      </c>
      <c r="C11" s="1186">
        <v>5068</v>
      </c>
      <c r="D11" s="1186">
        <v>725</v>
      </c>
      <c r="E11" s="1186">
        <v>3753</v>
      </c>
      <c r="F11" s="1186">
        <v>590</v>
      </c>
    </row>
    <row r="12" spans="1:6" x14ac:dyDescent="0.2">
      <c r="A12" s="1186" t="s">
        <v>828</v>
      </c>
      <c r="B12" s="1186" t="s">
        <v>282</v>
      </c>
      <c r="C12" s="1186">
        <v>4922</v>
      </c>
      <c r="D12" s="1186">
        <v>704</v>
      </c>
      <c r="E12" s="1186">
        <v>3620</v>
      </c>
      <c r="F12" s="1186">
        <v>598</v>
      </c>
    </row>
    <row r="13" spans="1:6" x14ac:dyDescent="0.2">
      <c r="A13" s="1186" t="s">
        <v>828</v>
      </c>
      <c r="B13" s="1186" t="s">
        <v>311</v>
      </c>
      <c r="C13" s="1186">
        <v>4751</v>
      </c>
      <c r="D13" s="1186">
        <v>715</v>
      </c>
      <c r="E13" s="1186">
        <v>3421</v>
      </c>
      <c r="F13" s="1186">
        <v>615</v>
      </c>
    </row>
    <row r="14" spans="1:6" x14ac:dyDescent="0.2">
      <c r="A14" s="1186" t="s">
        <v>828</v>
      </c>
      <c r="B14" s="1186" t="s">
        <v>621</v>
      </c>
      <c r="C14" s="1186">
        <v>4635</v>
      </c>
      <c r="D14" s="1186">
        <v>696</v>
      </c>
      <c r="E14" s="1186">
        <v>3304</v>
      </c>
      <c r="F14" s="1186">
        <v>635</v>
      </c>
    </row>
    <row r="15" spans="1:6" x14ac:dyDescent="0.2">
      <c r="A15" s="1186" t="s">
        <v>828</v>
      </c>
      <c r="B15" s="1186" t="s">
        <v>1419</v>
      </c>
      <c r="C15" s="1186">
        <v>4365</v>
      </c>
      <c r="D15" s="1186">
        <v>688</v>
      </c>
      <c r="E15" s="1186">
        <v>3094</v>
      </c>
      <c r="F15" s="1186">
        <v>583</v>
      </c>
    </row>
    <row r="16" spans="1:6" x14ac:dyDescent="0.2">
      <c r="A16" s="1186" t="s">
        <v>828</v>
      </c>
      <c r="B16" s="1186" t="s">
        <v>1572</v>
      </c>
      <c r="C16" s="1186">
        <v>4141</v>
      </c>
      <c r="D16" s="1186">
        <v>665</v>
      </c>
      <c r="E16" s="1186">
        <v>2898</v>
      </c>
      <c r="F16" s="1186">
        <v>578</v>
      </c>
    </row>
  </sheetData>
  <pageMargins left="0.7" right="0.7" top="0.75" bottom="0.75" header="0.3" footer="0.3"/>
  <pageSetup paperSize="9" fitToHeight="50" orientation="landscape" r:id="rId1"/>
  <legacyDrawing r:id="rId2"/>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pageSetUpPr fitToPage="1"/>
  </sheetPr>
  <dimension ref="A1:H2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8.42578125" bestFit="1" customWidth="1"/>
    <col min="2" max="2" width="7.42578125" bestFit="1" customWidth="1"/>
    <col min="3" max="3" width="12.5703125" bestFit="1" customWidth="1"/>
    <col min="4" max="4" width="15" bestFit="1" customWidth="1"/>
    <col min="5" max="5" width="4.85546875" bestFit="1" customWidth="1"/>
    <col min="6" max="6" width="5.5703125" bestFit="1" customWidth="1"/>
    <col min="7" max="7" width="4.5703125" bestFit="1" customWidth="1"/>
    <col min="8" max="8" width="11" bestFit="1" customWidth="1"/>
  </cols>
  <sheetData>
    <row r="1" spans="1:8" x14ac:dyDescent="0.2"/>
    <row r="4" spans="1:8" x14ac:dyDescent="0.2">
      <c r="A4" s="1223" t="s">
        <v>751</v>
      </c>
      <c r="B4" s="1223" t="s">
        <v>4</v>
      </c>
      <c r="C4" s="1223" t="s">
        <v>1764</v>
      </c>
      <c r="D4" s="1223" t="s">
        <v>993</v>
      </c>
      <c r="E4" s="1223" t="s">
        <v>11</v>
      </c>
      <c r="F4" s="1223" t="s">
        <v>1909</v>
      </c>
      <c r="G4" s="1223" t="s">
        <v>1910</v>
      </c>
      <c r="H4" s="1223" t="s">
        <v>1911</v>
      </c>
    </row>
    <row r="5" spans="1:8" x14ac:dyDescent="0.2">
      <c r="A5" s="1186" t="s">
        <v>97</v>
      </c>
      <c r="B5" s="1186" t="s">
        <v>19</v>
      </c>
      <c r="C5" s="1186" t="s">
        <v>61</v>
      </c>
      <c r="D5" s="1186" t="s">
        <v>828</v>
      </c>
      <c r="E5" s="1186">
        <v>48</v>
      </c>
      <c r="F5" s="1186">
        <v>19</v>
      </c>
      <c r="G5" s="1186">
        <v>4</v>
      </c>
      <c r="H5" s="1186">
        <v>25</v>
      </c>
    </row>
    <row r="6" spans="1:8" x14ac:dyDescent="0.2">
      <c r="A6" s="1186" t="s">
        <v>97</v>
      </c>
      <c r="B6" s="1186" t="s">
        <v>20</v>
      </c>
      <c r="C6" s="1186" t="s">
        <v>61</v>
      </c>
      <c r="D6" s="1186" t="s">
        <v>828</v>
      </c>
      <c r="E6" s="1186">
        <v>43</v>
      </c>
      <c r="F6" s="1186">
        <v>11</v>
      </c>
      <c r="G6" s="1186">
        <v>12</v>
      </c>
      <c r="H6" s="1186">
        <v>20</v>
      </c>
    </row>
    <row r="7" spans="1:8" x14ac:dyDescent="0.2">
      <c r="A7" s="1186" t="s">
        <v>97</v>
      </c>
      <c r="B7" s="1186" t="s">
        <v>13</v>
      </c>
      <c r="C7" s="1186" t="s">
        <v>61</v>
      </c>
      <c r="D7" s="1186" t="s">
        <v>828</v>
      </c>
      <c r="E7" s="1186">
        <v>44</v>
      </c>
      <c r="F7" s="1186">
        <v>14</v>
      </c>
      <c r="G7" s="1186">
        <v>13</v>
      </c>
      <c r="H7" s="1186">
        <v>17</v>
      </c>
    </row>
    <row r="8" spans="1:8" x14ac:dyDescent="0.2">
      <c r="A8" s="1186" t="s">
        <v>97</v>
      </c>
      <c r="B8" s="1186" t="s">
        <v>15</v>
      </c>
      <c r="C8" s="1186" t="s">
        <v>61</v>
      </c>
      <c r="D8" s="1186" t="s">
        <v>828</v>
      </c>
      <c r="E8" s="1186">
        <v>36</v>
      </c>
      <c r="F8" s="1186">
        <v>12</v>
      </c>
      <c r="G8" s="1186">
        <v>10</v>
      </c>
      <c r="H8" s="1186">
        <v>14</v>
      </c>
    </row>
    <row r="9" spans="1:8" x14ac:dyDescent="0.2">
      <c r="A9" s="1186" t="s">
        <v>97</v>
      </c>
      <c r="B9" s="1186" t="s">
        <v>17</v>
      </c>
      <c r="C9" s="1186" t="s">
        <v>61</v>
      </c>
      <c r="D9" s="1186" t="s">
        <v>828</v>
      </c>
      <c r="E9" s="1186">
        <v>25</v>
      </c>
      <c r="F9" s="1186">
        <v>6</v>
      </c>
      <c r="G9" s="1186">
        <v>6</v>
      </c>
      <c r="H9" s="1186">
        <v>13</v>
      </c>
    </row>
    <row r="10" spans="1:8" x14ac:dyDescent="0.2">
      <c r="A10" s="1186" t="s">
        <v>97</v>
      </c>
      <c r="B10" s="1186" t="s">
        <v>133</v>
      </c>
      <c r="C10" s="1186" t="s">
        <v>61</v>
      </c>
      <c r="D10" s="1186" t="s">
        <v>828</v>
      </c>
      <c r="E10" s="1186">
        <v>27</v>
      </c>
      <c r="F10" s="1186">
        <v>4</v>
      </c>
      <c r="G10" s="1186">
        <v>11</v>
      </c>
      <c r="H10" s="1186">
        <v>12</v>
      </c>
    </row>
    <row r="11" spans="1:8" x14ac:dyDescent="0.2">
      <c r="A11" s="1186" t="s">
        <v>97</v>
      </c>
      <c r="B11" s="1186" t="s">
        <v>144</v>
      </c>
      <c r="C11" s="1186" t="s">
        <v>61</v>
      </c>
      <c r="D11" s="1186" t="s">
        <v>828</v>
      </c>
      <c r="E11" s="1186">
        <v>33</v>
      </c>
      <c r="F11" s="1186">
        <v>12</v>
      </c>
      <c r="G11" s="1186">
        <v>9</v>
      </c>
      <c r="H11" s="1186">
        <v>12</v>
      </c>
    </row>
    <row r="12" spans="1:8" x14ac:dyDescent="0.2">
      <c r="A12" s="1186" t="s">
        <v>97</v>
      </c>
      <c r="B12" s="1186" t="s">
        <v>282</v>
      </c>
      <c r="C12" s="1186" t="s">
        <v>61</v>
      </c>
      <c r="D12" s="1186" t="s">
        <v>828</v>
      </c>
      <c r="E12" s="1186">
        <v>31</v>
      </c>
      <c r="F12" s="1186">
        <v>9</v>
      </c>
      <c r="G12" s="1186">
        <v>4</v>
      </c>
      <c r="H12" s="1186">
        <v>18</v>
      </c>
    </row>
    <row r="13" spans="1:8" x14ac:dyDescent="0.2">
      <c r="A13" s="1186" t="s">
        <v>97</v>
      </c>
      <c r="B13" s="1186" t="s">
        <v>311</v>
      </c>
      <c r="C13" s="1186" t="s">
        <v>61</v>
      </c>
      <c r="D13" s="1186" t="s">
        <v>828</v>
      </c>
      <c r="E13" s="1186">
        <v>34</v>
      </c>
      <c r="F13" s="1186">
        <v>10</v>
      </c>
      <c r="G13" s="1186">
        <v>9</v>
      </c>
      <c r="H13" s="1186">
        <v>15</v>
      </c>
    </row>
    <row r="14" spans="1:8" x14ac:dyDescent="0.2">
      <c r="A14" s="1186" t="s">
        <v>97</v>
      </c>
      <c r="B14" s="1186" t="s">
        <v>621</v>
      </c>
      <c r="C14" s="1186" t="s">
        <v>61</v>
      </c>
      <c r="D14" s="1186" t="s">
        <v>828</v>
      </c>
      <c r="E14" s="1186">
        <v>36</v>
      </c>
      <c r="F14" s="1186">
        <v>8</v>
      </c>
      <c r="G14" s="1186">
        <v>11</v>
      </c>
      <c r="H14" s="1186">
        <v>17</v>
      </c>
    </row>
    <row r="15" spans="1:8" x14ac:dyDescent="0.2">
      <c r="A15" s="1186" t="s">
        <v>97</v>
      </c>
      <c r="B15" s="1186" t="s">
        <v>1419</v>
      </c>
      <c r="C15" s="1186" t="s">
        <v>61</v>
      </c>
      <c r="D15" s="1186" t="s">
        <v>828</v>
      </c>
      <c r="E15" s="1186">
        <v>21</v>
      </c>
      <c r="F15" s="1186">
        <v>6</v>
      </c>
      <c r="G15" s="1186">
        <v>5</v>
      </c>
      <c r="H15" s="1186">
        <v>10</v>
      </c>
    </row>
    <row r="16" spans="1:8" x14ac:dyDescent="0.2">
      <c r="A16" s="1186" t="s">
        <v>97</v>
      </c>
      <c r="B16" s="1186" t="s">
        <v>1572</v>
      </c>
      <c r="C16" s="1186" t="s">
        <v>61</v>
      </c>
      <c r="D16" s="1186" t="s">
        <v>828</v>
      </c>
      <c r="E16" s="1186">
        <v>36</v>
      </c>
      <c r="F16" s="1186">
        <v>8</v>
      </c>
      <c r="G16" s="1186">
        <v>12</v>
      </c>
      <c r="H16" s="1186">
        <v>16</v>
      </c>
    </row>
    <row r="17" spans="1:8" x14ac:dyDescent="0.2">
      <c r="A17" s="1186" t="s">
        <v>671</v>
      </c>
      <c r="B17" s="1186" t="s">
        <v>19</v>
      </c>
      <c r="C17" s="1186" t="s">
        <v>61</v>
      </c>
      <c r="D17" s="1186" t="s">
        <v>828</v>
      </c>
      <c r="E17" s="1186">
        <v>892</v>
      </c>
      <c r="F17" s="1186">
        <v>310</v>
      </c>
      <c r="G17" s="1186">
        <v>446</v>
      </c>
      <c r="H17" s="1186">
        <v>136</v>
      </c>
    </row>
    <row r="18" spans="1:8" x14ac:dyDescent="0.2">
      <c r="A18" s="1186" t="s">
        <v>671</v>
      </c>
      <c r="B18" s="1186" t="s">
        <v>20</v>
      </c>
      <c r="C18" s="1186" t="s">
        <v>61</v>
      </c>
      <c r="D18" s="1186" t="s">
        <v>828</v>
      </c>
      <c r="E18" s="1186">
        <v>975</v>
      </c>
      <c r="F18" s="1186">
        <v>265</v>
      </c>
      <c r="G18" s="1186">
        <v>538</v>
      </c>
      <c r="H18" s="1186">
        <v>172</v>
      </c>
    </row>
    <row r="19" spans="1:8" x14ac:dyDescent="0.2">
      <c r="A19" s="1186" t="s">
        <v>671</v>
      </c>
      <c r="B19" s="1186" t="s">
        <v>13</v>
      </c>
      <c r="C19" s="1186" t="s">
        <v>61</v>
      </c>
      <c r="D19" s="1186" t="s">
        <v>828</v>
      </c>
      <c r="E19" s="1186">
        <v>982</v>
      </c>
      <c r="F19" s="1186">
        <v>300</v>
      </c>
      <c r="G19" s="1186">
        <v>513</v>
      </c>
      <c r="H19" s="1186">
        <v>169</v>
      </c>
    </row>
    <row r="20" spans="1:8" x14ac:dyDescent="0.2">
      <c r="A20" s="1186" t="s">
        <v>671</v>
      </c>
      <c r="B20" s="1186" t="s">
        <v>15</v>
      </c>
      <c r="C20" s="1186" t="s">
        <v>61</v>
      </c>
      <c r="D20" s="1186" t="s">
        <v>828</v>
      </c>
      <c r="E20" s="1186">
        <v>1014</v>
      </c>
      <c r="F20" s="1186">
        <v>277</v>
      </c>
      <c r="G20" s="1186">
        <v>608</v>
      </c>
      <c r="H20" s="1186">
        <v>129</v>
      </c>
    </row>
    <row r="21" spans="1:8" x14ac:dyDescent="0.2">
      <c r="A21" s="1186" t="s">
        <v>671</v>
      </c>
      <c r="B21" s="1186" t="s">
        <v>17</v>
      </c>
      <c r="C21" s="1186" t="s">
        <v>61</v>
      </c>
      <c r="D21" s="1186" t="s">
        <v>828</v>
      </c>
      <c r="E21" s="1186">
        <v>986</v>
      </c>
      <c r="F21" s="1186">
        <v>341</v>
      </c>
      <c r="G21" s="1186">
        <v>510</v>
      </c>
      <c r="H21" s="1186">
        <v>135</v>
      </c>
    </row>
    <row r="22" spans="1:8" x14ac:dyDescent="0.2">
      <c r="A22" s="1186" t="s">
        <v>671</v>
      </c>
      <c r="B22" s="1186" t="s">
        <v>133</v>
      </c>
      <c r="C22" s="1186" t="s">
        <v>61</v>
      </c>
      <c r="D22" s="1186" t="s">
        <v>828</v>
      </c>
      <c r="E22" s="1186">
        <v>826</v>
      </c>
      <c r="F22" s="1186">
        <v>219</v>
      </c>
      <c r="G22" s="1186">
        <v>460</v>
      </c>
      <c r="H22" s="1186">
        <v>147</v>
      </c>
    </row>
    <row r="23" spans="1:8" x14ac:dyDescent="0.2">
      <c r="A23" s="1186" t="s">
        <v>671</v>
      </c>
      <c r="B23" s="1186" t="s">
        <v>144</v>
      </c>
      <c r="C23" s="1186" t="s">
        <v>61</v>
      </c>
      <c r="D23" s="1186" t="s">
        <v>828</v>
      </c>
      <c r="E23" s="1186">
        <v>925</v>
      </c>
      <c r="F23" s="1186">
        <v>280</v>
      </c>
      <c r="G23" s="1186">
        <v>509</v>
      </c>
      <c r="H23" s="1186">
        <v>136</v>
      </c>
    </row>
    <row r="24" spans="1:8" x14ac:dyDescent="0.2">
      <c r="A24" s="1186" t="s">
        <v>671</v>
      </c>
      <c r="B24" s="1186" t="s">
        <v>282</v>
      </c>
      <c r="C24" s="1186" t="s">
        <v>61</v>
      </c>
      <c r="D24" s="1186" t="s">
        <v>828</v>
      </c>
      <c r="E24" s="1186">
        <v>940</v>
      </c>
      <c r="F24" s="1186">
        <v>271</v>
      </c>
      <c r="G24" s="1186">
        <v>518</v>
      </c>
      <c r="H24" s="1186">
        <v>151</v>
      </c>
    </row>
    <row r="25" spans="1:8" x14ac:dyDescent="0.2">
      <c r="A25" s="1186" t="s">
        <v>671</v>
      </c>
      <c r="B25" s="1186" t="s">
        <v>311</v>
      </c>
      <c r="C25" s="1186" t="s">
        <v>61</v>
      </c>
      <c r="D25" s="1186" t="s">
        <v>828</v>
      </c>
      <c r="E25" s="1186">
        <v>797</v>
      </c>
      <c r="F25" s="1186">
        <v>255</v>
      </c>
      <c r="G25" s="1186">
        <v>417</v>
      </c>
      <c r="H25" s="1186">
        <v>125</v>
      </c>
    </row>
    <row r="26" spans="1:8" x14ac:dyDescent="0.2">
      <c r="A26" s="1186" t="s">
        <v>671</v>
      </c>
      <c r="B26" s="1186" t="s">
        <v>621</v>
      </c>
      <c r="C26" s="1186" t="s">
        <v>61</v>
      </c>
      <c r="D26" s="1186" t="s">
        <v>828</v>
      </c>
      <c r="E26" s="1186">
        <v>886</v>
      </c>
      <c r="F26" s="1186">
        <v>244</v>
      </c>
      <c r="G26" s="1186">
        <v>472</v>
      </c>
      <c r="H26" s="1186">
        <v>170</v>
      </c>
    </row>
    <row r="27" spans="1:8" x14ac:dyDescent="0.2">
      <c r="A27" s="1186" t="s">
        <v>671</v>
      </c>
      <c r="B27" s="1186" t="s">
        <v>1419</v>
      </c>
      <c r="C27" s="1186" t="s">
        <v>61</v>
      </c>
      <c r="D27" s="1186" t="s">
        <v>828</v>
      </c>
      <c r="E27" s="1186">
        <v>743</v>
      </c>
      <c r="F27" s="1186">
        <v>254</v>
      </c>
      <c r="G27" s="1186">
        <v>375</v>
      </c>
      <c r="H27" s="1186">
        <v>114</v>
      </c>
    </row>
    <row r="28" spans="1:8" x14ac:dyDescent="0.2">
      <c r="A28" s="1186" t="s">
        <v>671</v>
      </c>
      <c r="B28" s="1186" t="s">
        <v>1572</v>
      </c>
      <c r="C28" s="1186" t="s">
        <v>61</v>
      </c>
      <c r="D28" s="1186" t="s">
        <v>828</v>
      </c>
      <c r="E28" s="1186">
        <v>751</v>
      </c>
      <c r="F28" s="1186">
        <v>216</v>
      </c>
      <c r="G28" s="1186">
        <v>392</v>
      </c>
      <c r="H28" s="1186">
        <v>143</v>
      </c>
    </row>
  </sheetData>
  <pageMargins left="0.7" right="0.7" top="0.75" bottom="0.75" header="0.3" footer="0.3"/>
  <pageSetup paperSize="9" fitToHeight="50" orientation="landscape" r:id="rId1"/>
  <legacyDrawing r:id="rId2"/>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pageSetUpPr fitToPage="1"/>
  </sheetPr>
  <dimension ref="A1:G389"/>
  <sheetViews>
    <sheetView zoomScale="85" zoomScaleNormal="85" workbookViewId="0">
      <pane ySplit="4" topLeftCell="A345" activePane="bottomLeft" state="frozen"/>
      <selection activeCell="A5" sqref="A5"/>
      <selection pane="bottomLeft" activeCell="A5" sqref="A5"/>
    </sheetView>
  </sheetViews>
  <sheetFormatPr defaultColWidth="8.7109375" defaultRowHeight="12.75" x14ac:dyDescent="0.2"/>
  <cols>
    <col min="1" max="1" width="15" bestFit="1" customWidth="1"/>
    <col min="2" max="2" width="7.42578125" bestFit="1" customWidth="1"/>
    <col min="3" max="3" width="19.5703125" bestFit="1" customWidth="1"/>
    <col min="4" max="4" width="4.85546875" bestFit="1" customWidth="1"/>
    <col min="5" max="5" width="5.5703125" bestFit="1" customWidth="1"/>
    <col min="6" max="6" width="4.5703125" bestFit="1" customWidth="1"/>
    <col min="7" max="7" width="11" bestFit="1" customWidth="1"/>
  </cols>
  <sheetData>
    <row r="1" spans="1:7" x14ac:dyDescent="0.2"/>
    <row r="4" spans="1:7" x14ac:dyDescent="0.2">
      <c r="A4" s="1223" t="s">
        <v>993</v>
      </c>
      <c r="B4" s="1223" t="s">
        <v>4</v>
      </c>
      <c r="C4" s="1223" t="s">
        <v>1627</v>
      </c>
      <c r="D4" s="1223" t="s">
        <v>11</v>
      </c>
      <c r="E4" s="1223" t="s">
        <v>1909</v>
      </c>
      <c r="F4" s="1223" t="s">
        <v>1910</v>
      </c>
      <c r="G4" s="1223" t="s">
        <v>1911</v>
      </c>
    </row>
    <row r="5" spans="1:7" x14ac:dyDescent="0.2">
      <c r="A5" s="1186" t="s">
        <v>828</v>
      </c>
      <c r="B5" s="1186" t="s">
        <v>19</v>
      </c>
      <c r="C5" s="1186" t="s">
        <v>23</v>
      </c>
      <c r="D5" s="1186">
        <v>340</v>
      </c>
      <c r="E5" s="1186">
        <v>67</v>
      </c>
      <c r="F5" s="1186">
        <v>240</v>
      </c>
      <c r="G5" s="1186">
        <v>33</v>
      </c>
    </row>
    <row r="6" spans="1:7" x14ac:dyDescent="0.2">
      <c r="A6" s="1186" t="s">
        <v>828</v>
      </c>
      <c r="B6" s="1186" t="s">
        <v>19</v>
      </c>
      <c r="C6" s="1186" t="s">
        <v>24</v>
      </c>
      <c r="D6" s="1186">
        <v>191</v>
      </c>
      <c r="E6" s="1186">
        <v>20</v>
      </c>
      <c r="F6" s="1186">
        <v>164</v>
      </c>
      <c r="G6" s="1186">
        <v>7</v>
      </c>
    </row>
    <row r="7" spans="1:7" x14ac:dyDescent="0.2">
      <c r="A7" s="1186" t="s">
        <v>828</v>
      </c>
      <c r="B7" s="1186" t="s">
        <v>19</v>
      </c>
      <c r="C7" s="1186" t="s">
        <v>25</v>
      </c>
      <c r="D7" s="1186">
        <v>96</v>
      </c>
      <c r="E7" s="1186">
        <v>10</v>
      </c>
      <c r="F7" s="1186">
        <v>74</v>
      </c>
      <c r="G7" s="1186">
        <v>12</v>
      </c>
    </row>
    <row r="8" spans="1:7" x14ac:dyDescent="0.2">
      <c r="A8" s="1186" t="s">
        <v>828</v>
      </c>
      <c r="B8" s="1186" t="s">
        <v>19</v>
      </c>
      <c r="C8" s="1186" t="s">
        <v>26</v>
      </c>
      <c r="D8" s="1186">
        <v>80</v>
      </c>
      <c r="E8" s="1186">
        <v>16</v>
      </c>
      <c r="F8" s="1186">
        <v>57</v>
      </c>
      <c r="G8" s="1186">
        <v>7</v>
      </c>
    </row>
    <row r="9" spans="1:7" x14ac:dyDescent="0.2">
      <c r="A9" s="1186" t="s">
        <v>828</v>
      </c>
      <c r="B9" s="1186" t="s">
        <v>19</v>
      </c>
      <c r="C9" s="1186" t="s">
        <v>619</v>
      </c>
      <c r="D9" s="1186">
        <v>587</v>
      </c>
      <c r="E9" s="1186">
        <v>96</v>
      </c>
      <c r="F9" s="1186">
        <v>385</v>
      </c>
      <c r="G9" s="1186">
        <v>106</v>
      </c>
    </row>
    <row r="10" spans="1:7" x14ac:dyDescent="0.2">
      <c r="A10" s="1186" t="s">
        <v>828</v>
      </c>
      <c r="B10" s="1186" t="s">
        <v>19</v>
      </c>
      <c r="C10" s="1186" t="s">
        <v>27</v>
      </c>
      <c r="D10" s="1186">
        <v>35</v>
      </c>
      <c r="E10" s="1186">
        <v>8</v>
      </c>
      <c r="F10" s="1186">
        <v>22</v>
      </c>
      <c r="G10" s="1186">
        <v>5</v>
      </c>
    </row>
    <row r="11" spans="1:7" x14ac:dyDescent="0.2">
      <c r="A11" s="1186" t="s">
        <v>828</v>
      </c>
      <c r="B11" s="1186" t="s">
        <v>19</v>
      </c>
      <c r="C11" s="1186" t="s">
        <v>28</v>
      </c>
      <c r="D11" s="1186">
        <v>123</v>
      </c>
      <c r="E11" s="1186">
        <v>20</v>
      </c>
      <c r="F11" s="1186">
        <v>92</v>
      </c>
      <c r="G11" s="1186">
        <v>11</v>
      </c>
    </row>
    <row r="12" spans="1:7" x14ac:dyDescent="0.2">
      <c r="A12" s="1186" t="s">
        <v>828</v>
      </c>
      <c r="B12" s="1186" t="s">
        <v>19</v>
      </c>
      <c r="C12" s="1186" t="s">
        <v>29</v>
      </c>
      <c r="D12" s="1186">
        <v>276</v>
      </c>
      <c r="E12" s="1186">
        <v>60</v>
      </c>
      <c r="F12" s="1186">
        <v>164</v>
      </c>
      <c r="G12" s="1186">
        <v>52</v>
      </c>
    </row>
    <row r="13" spans="1:7" x14ac:dyDescent="0.2">
      <c r="A13" s="1186" t="s">
        <v>828</v>
      </c>
      <c r="B13" s="1186" t="s">
        <v>19</v>
      </c>
      <c r="C13" s="1186" t="s">
        <v>30</v>
      </c>
      <c r="D13" s="1186">
        <v>103</v>
      </c>
      <c r="E13" s="1186">
        <v>15</v>
      </c>
      <c r="F13" s="1186">
        <v>81</v>
      </c>
      <c r="G13" s="1186">
        <v>7</v>
      </c>
    </row>
    <row r="14" spans="1:7" x14ac:dyDescent="0.2">
      <c r="A14" s="1186" t="s">
        <v>828</v>
      </c>
      <c r="B14" s="1186" t="s">
        <v>19</v>
      </c>
      <c r="C14" s="1186" t="s">
        <v>31</v>
      </c>
      <c r="D14" s="1186">
        <v>60</v>
      </c>
      <c r="E14" s="1186">
        <v>5</v>
      </c>
      <c r="F14" s="1186">
        <v>48</v>
      </c>
      <c r="G14" s="1186">
        <v>7</v>
      </c>
    </row>
    <row r="15" spans="1:7" x14ac:dyDescent="0.2">
      <c r="A15" s="1186" t="s">
        <v>828</v>
      </c>
      <c r="B15" s="1186" t="s">
        <v>19</v>
      </c>
      <c r="C15" s="1186" t="s">
        <v>32</v>
      </c>
      <c r="D15" s="1186">
        <v>88</v>
      </c>
      <c r="E15" s="1186">
        <v>14</v>
      </c>
      <c r="F15" s="1186">
        <v>63</v>
      </c>
      <c r="G15" s="1186">
        <v>11</v>
      </c>
    </row>
    <row r="16" spans="1:7" x14ac:dyDescent="0.2">
      <c r="A16" s="1186" t="s">
        <v>828</v>
      </c>
      <c r="B16" s="1186" t="s">
        <v>19</v>
      </c>
      <c r="C16" s="1186" t="s">
        <v>33</v>
      </c>
      <c r="D16" s="1186">
        <v>42</v>
      </c>
      <c r="E16" s="1186">
        <v>3</v>
      </c>
      <c r="F16" s="1186">
        <v>34</v>
      </c>
      <c r="G16" s="1186">
        <v>5</v>
      </c>
    </row>
    <row r="17" spans="1:7" x14ac:dyDescent="0.2">
      <c r="A17" s="1186" t="s">
        <v>828</v>
      </c>
      <c r="B17" s="1186" t="s">
        <v>19</v>
      </c>
      <c r="C17" s="1186" t="s">
        <v>34</v>
      </c>
      <c r="D17" s="1186">
        <v>96</v>
      </c>
      <c r="E17" s="1186">
        <v>19</v>
      </c>
      <c r="F17" s="1186">
        <v>70</v>
      </c>
      <c r="G17" s="1186">
        <v>7</v>
      </c>
    </row>
    <row r="18" spans="1:7" x14ac:dyDescent="0.2">
      <c r="A18" s="1186" t="s">
        <v>828</v>
      </c>
      <c r="B18" s="1186" t="s">
        <v>19</v>
      </c>
      <c r="C18" s="1186" t="s">
        <v>35</v>
      </c>
      <c r="D18" s="1186">
        <v>266</v>
      </c>
      <c r="E18" s="1186">
        <v>46</v>
      </c>
      <c r="F18" s="1186">
        <v>192</v>
      </c>
      <c r="G18" s="1186">
        <v>28</v>
      </c>
    </row>
    <row r="19" spans="1:7" x14ac:dyDescent="0.2">
      <c r="A19" s="1186" t="s">
        <v>828</v>
      </c>
      <c r="B19" s="1186" t="s">
        <v>19</v>
      </c>
      <c r="C19" s="1186" t="s">
        <v>36</v>
      </c>
      <c r="D19" s="1186">
        <v>1004</v>
      </c>
      <c r="E19" s="1186">
        <v>182</v>
      </c>
      <c r="F19" s="1186">
        <v>640</v>
      </c>
      <c r="G19" s="1186">
        <v>182</v>
      </c>
    </row>
    <row r="20" spans="1:7" x14ac:dyDescent="0.2">
      <c r="A20" s="1186" t="s">
        <v>828</v>
      </c>
      <c r="B20" s="1186" t="s">
        <v>19</v>
      </c>
      <c r="C20" s="1186" t="s">
        <v>37</v>
      </c>
      <c r="D20" s="1186">
        <v>141</v>
      </c>
      <c r="E20" s="1186">
        <v>17</v>
      </c>
      <c r="F20" s="1186">
        <v>80</v>
      </c>
      <c r="G20" s="1186">
        <v>44</v>
      </c>
    </row>
    <row r="21" spans="1:7" x14ac:dyDescent="0.2">
      <c r="A21" s="1186" t="s">
        <v>828</v>
      </c>
      <c r="B21" s="1186" t="s">
        <v>19</v>
      </c>
      <c r="C21" s="1186" t="s">
        <v>38</v>
      </c>
      <c r="D21" s="1186">
        <v>88</v>
      </c>
      <c r="E21" s="1186">
        <v>15</v>
      </c>
      <c r="F21" s="1186">
        <v>57</v>
      </c>
      <c r="G21" s="1186">
        <v>16</v>
      </c>
    </row>
    <row r="22" spans="1:7" x14ac:dyDescent="0.2">
      <c r="A22" s="1186" t="s">
        <v>828</v>
      </c>
      <c r="B22" s="1186" t="s">
        <v>19</v>
      </c>
      <c r="C22" s="1186" t="s">
        <v>39</v>
      </c>
      <c r="D22" s="1186">
        <v>61</v>
      </c>
      <c r="E22" s="1186">
        <v>9</v>
      </c>
      <c r="F22" s="1186">
        <v>46</v>
      </c>
      <c r="G22" s="1186">
        <v>6</v>
      </c>
    </row>
    <row r="23" spans="1:7" x14ac:dyDescent="0.2">
      <c r="A23" s="1186" t="s">
        <v>828</v>
      </c>
      <c r="B23" s="1186" t="s">
        <v>19</v>
      </c>
      <c r="C23" s="1186" t="s">
        <v>40</v>
      </c>
      <c r="D23" s="1186">
        <v>63</v>
      </c>
      <c r="E23" s="1186">
        <v>10</v>
      </c>
      <c r="F23" s="1186">
        <v>52</v>
      </c>
      <c r="G23" s="1186">
        <v>1</v>
      </c>
    </row>
    <row r="24" spans="1:7" x14ac:dyDescent="0.2">
      <c r="A24" s="1186" t="s">
        <v>828</v>
      </c>
      <c r="B24" s="1186" t="s">
        <v>19</v>
      </c>
      <c r="C24" s="1186" t="s">
        <v>295</v>
      </c>
      <c r="D24" s="1186">
        <v>22</v>
      </c>
      <c r="E24" s="1186">
        <v>8</v>
      </c>
      <c r="F24" s="1186">
        <v>5</v>
      </c>
      <c r="G24" s="1186">
        <v>9</v>
      </c>
    </row>
    <row r="25" spans="1:7" x14ac:dyDescent="0.2">
      <c r="A25" s="1186" t="s">
        <v>828</v>
      </c>
      <c r="B25" s="1186" t="s">
        <v>19</v>
      </c>
      <c r="C25" s="1186" t="s">
        <v>41</v>
      </c>
      <c r="D25" s="1186">
        <v>154</v>
      </c>
      <c r="E25" s="1186">
        <v>24</v>
      </c>
      <c r="F25" s="1186">
        <v>111</v>
      </c>
      <c r="G25" s="1186">
        <v>19</v>
      </c>
    </row>
    <row r="26" spans="1:7" x14ac:dyDescent="0.2">
      <c r="A26" s="1186" t="s">
        <v>828</v>
      </c>
      <c r="B26" s="1186" t="s">
        <v>19</v>
      </c>
      <c r="C26" s="1186" t="s">
        <v>42</v>
      </c>
      <c r="D26" s="1186">
        <v>283</v>
      </c>
      <c r="E26" s="1186">
        <v>37</v>
      </c>
      <c r="F26" s="1186">
        <v>190</v>
      </c>
      <c r="G26" s="1186">
        <v>56</v>
      </c>
    </row>
    <row r="27" spans="1:7" x14ac:dyDescent="0.2">
      <c r="A27" s="1186" t="s">
        <v>828</v>
      </c>
      <c r="B27" s="1186" t="s">
        <v>19</v>
      </c>
      <c r="C27" s="1186" t="s">
        <v>43</v>
      </c>
      <c r="D27" s="1186">
        <v>10</v>
      </c>
      <c r="E27" s="1186"/>
      <c r="F27" s="1186">
        <v>7</v>
      </c>
      <c r="G27" s="1186">
        <v>3</v>
      </c>
    </row>
    <row r="28" spans="1:7" x14ac:dyDescent="0.2">
      <c r="A28" s="1186" t="s">
        <v>828</v>
      </c>
      <c r="B28" s="1186" t="s">
        <v>19</v>
      </c>
      <c r="C28" s="1186" t="s">
        <v>44</v>
      </c>
      <c r="D28" s="1186">
        <v>115</v>
      </c>
      <c r="E28" s="1186">
        <v>12</v>
      </c>
      <c r="F28" s="1186">
        <v>93</v>
      </c>
      <c r="G28" s="1186">
        <v>10</v>
      </c>
    </row>
    <row r="29" spans="1:7" x14ac:dyDescent="0.2">
      <c r="A29" s="1186" t="s">
        <v>828</v>
      </c>
      <c r="B29" s="1186" t="s">
        <v>19</v>
      </c>
      <c r="C29" s="1186" t="s">
        <v>45</v>
      </c>
      <c r="D29" s="1186">
        <v>189</v>
      </c>
      <c r="E29" s="1186">
        <v>37</v>
      </c>
      <c r="F29" s="1186">
        <v>118</v>
      </c>
      <c r="G29" s="1186">
        <v>34</v>
      </c>
    </row>
    <row r="30" spans="1:7" x14ac:dyDescent="0.2">
      <c r="A30" s="1186" t="s">
        <v>828</v>
      </c>
      <c r="B30" s="1186" t="s">
        <v>19</v>
      </c>
      <c r="C30" s="1186" t="s">
        <v>46</v>
      </c>
      <c r="D30" s="1186">
        <v>105</v>
      </c>
      <c r="E30" s="1186">
        <v>8</v>
      </c>
      <c r="F30" s="1186">
        <v>86</v>
      </c>
      <c r="G30" s="1186">
        <v>11</v>
      </c>
    </row>
    <row r="31" spans="1:7" x14ac:dyDescent="0.2">
      <c r="A31" s="1186" t="s">
        <v>828</v>
      </c>
      <c r="B31" s="1186" t="s">
        <v>19</v>
      </c>
      <c r="C31" s="1186" t="s">
        <v>47</v>
      </c>
      <c r="D31" s="1186">
        <v>11</v>
      </c>
      <c r="E31" s="1186">
        <v>1</v>
      </c>
      <c r="F31" s="1186">
        <v>5</v>
      </c>
      <c r="G31" s="1186">
        <v>5</v>
      </c>
    </row>
    <row r="32" spans="1:7" x14ac:dyDescent="0.2">
      <c r="A32" s="1186" t="s">
        <v>828</v>
      </c>
      <c r="B32" s="1186" t="s">
        <v>19</v>
      </c>
      <c r="C32" s="1186" t="s">
        <v>48</v>
      </c>
      <c r="D32" s="1186">
        <v>84</v>
      </c>
      <c r="E32" s="1186">
        <v>11</v>
      </c>
      <c r="F32" s="1186">
        <v>60</v>
      </c>
      <c r="G32" s="1186">
        <v>13</v>
      </c>
    </row>
    <row r="33" spans="1:7" x14ac:dyDescent="0.2">
      <c r="A33" s="1186" t="s">
        <v>828</v>
      </c>
      <c r="B33" s="1186" t="s">
        <v>19</v>
      </c>
      <c r="C33" s="1186" t="s">
        <v>49</v>
      </c>
      <c r="D33" s="1186">
        <v>270</v>
      </c>
      <c r="E33" s="1186">
        <v>49</v>
      </c>
      <c r="F33" s="1186">
        <v>182</v>
      </c>
      <c r="G33" s="1186">
        <v>39</v>
      </c>
    </row>
    <row r="34" spans="1:7" x14ac:dyDescent="0.2">
      <c r="A34" s="1186" t="s">
        <v>828</v>
      </c>
      <c r="B34" s="1186" t="s">
        <v>19</v>
      </c>
      <c r="C34" s="1186" t="s">
        <v>50</v>
      </c>
      <c r="D34" s="1186">
        <v>83</v>
      </c>
      <c r="E34" s="1186">
        <v>13</v>
      </c>
      <c r="F34" s="1186">
        <v>67</v>
      </c>
      <c r="G34" s="1186">
        <v>3</v>
      </c>
    </row>
    <row r="35" spans="1:7" x14ac:dyDescent="0.2">
      <c r="A35" s="1186" t="s">
        <v>828</v>
      </c>
      <c r="B35" s="1186" t="s">
        <v>19</v>
      </c>
      <c r="C35" s="1186" t="s">
        <v>51</v>
      </c>
      <c r="D35" s="1186">
        <v>127</v>
      </c>
      <c r="E35" s="1186">
        <v>32</v>
      </c>
      <c r="F35" s="1186">
        <v>82</v>
      </c>
      <c r="G35" s="1186">
        <v>13</v>
      </c>
    </row>
    <row r="36" spans="1:7" x14ac:dyDescent="0.2">
      <c r="A36" s="1186" t="s">
        <v>828</v>
      </c>
      <c r="B36" s="1186" t="s">
        <v>19</v>
      </c>
      <c r="C36" s="1186" t="s">
        <v>52</v>
      </c>
      <c r="D36" s="1186">
        <v>174</v>
      </c>
      <c r="E36" s="1186">
        <v>30</v>
      </c>
      <c r="F36" s="1186">
        <v>123</v>
      </c>
      <c r="G36" s="1186">
        <v>21</v>
      </c>
    </row>
    <row r="37" spans="1:7" x14ac:dyDescent="0.2">
      <c r="A37" s="1186" t="s">
        <v>828</v>
      </c>
      <c r="B37" s="1186" t="s">
        <v>20</v>
      </c>
      <c r="C37" s="1186" t="s">
        <v>23</v>
      </c>
      <c r="D37" s="1186">
        <v>267</v>
      </c>
      <c r="E37" s="1186">
        <v>57</v>
      </c>
      <c r="F37" s="1186">
        <v>194</v>
      </c>
      <c r="G37" s="1186">
        <v>16</v>
      </c>
    </row>
    <row r="38" spans="1:7" x14ac:dyDescent="0.2">
      <c r="A38" s="1186" t="s">
        <v>828</v>
      </c>
      <c r="B38" s="1186" t="s">
        <v>20</v>
      </c>
      <c r="C38" s="1186" t="s">
        <v>24</v>
      </c>
      <c r="D38" s="1186">
        <v>192</v>
      </c>
      <c r="E38" s="1186">
        <v>15</v>
      </c>
      <c r="F38" s="1186">
        <v>170</v>
      </c>
      <c r="G38" s="1186">
        <v>7</v>
      </c>
    </row>
    <row r="39" spans="1:7" x14ac:dyDescent="0.2">
      <c r="A39" s="1186" t="s">
        <v>828</v>
      </c>
      <c r="B39" s="1186" t="s">
        <v>20</v>
      </c>
      <c r="C39" s="1186" t="s">
        <v>25</v>
      </c>
      <c r="D39" s="1186">
        <v>79</v>
      </c>
      <c r="E39" s="1186">
        <v>10</v>
      </c>
      <c r="F39" s="1186">
        <v>60</v>
      </c>
      <c r="G39" s="1186">
        <v>9</v>
      </c>
    </row>
    <row r="40" spans="1:7" x14ac:dyDescent="0.2">
      <c r="A40" s="1186" t="s">
        <v>828</v>
      </c>
      <c r="B40" s="1186" t="s">
        <v>20</v>
      </c>
      <c r="C40" s="1186" t="s">
        <v>26</v>
      </c>
      <c r="D40" s="1186">
        <v>109</v>
      </c>
      <c r="E40" s="1186">
        <v>11</v>
      </c>
      <c r="F40" s="1186">
        <v>88</v>
      </c>
      <c r="G40" s="1186">
        <v>10</v>
      </c>
    </row>
    <row r="41" spans="1:7" x14ac:dyDescent="0.2">
      <c r="A41" s="1186" t="s">
        <v>828</v>
      </c>
      <c r="B41" s="1186" t="s">
        <v>20</v>
      </c>
      <c r="C41" s="1186" t="s">
        <v>619</v>
      </c>
      <c r="D41" s="1186">
        <v>593</v>
      </c>
      <c r="E41" s="1186">
        <v>79</v>
      </c>
      <c r="F41" s="1186">
        <v>372</v>
      </c>
      <c r="G41" s="1186">
        <v>142</v>
      </c>
    </row>
    <row r="42" spans="1:7" x14ac:dyDescent="0.2">
      <c r="A42" s="1186" t="s">
        <v>828</v>
      </c>
      <c r="B42" s="1186" t="s">
        <v>20</v>
      </c>
      <c r="C42" s="1186" t="s">
        <v>27</v>
      </c>
      <c r="D42" s="1186">
        <v>37</v>
      </c>
      <c r="E42" s="1186">
        <v>5</v>
      </c>
      <c r="F42" s="1186">
        <v>30</v>
      </c>
      <c r="G42" s="1186">
        <v>2</v>
      </c>
    </row>
    <row r="43" spans="1:7" x14ac:dyDescent="0.2">
      <c r="A43" s="1186" t="s">
        <v>828</v>
      </c>
      <c r="B43" s="1186" t="s">
        <v>20</v>
      </c>
      <c r="C43" s="1186" t="s">
        <v>28</v>
      </c>
      <c r="D43" s="1186">
        <v>94</v>
      </c>
      <c r="E43" s="1186">
        <v>9</v>
      </c>
      <c r="F43" s="1186">
        <v>82</v>
      </c>
      <c r="G43" s="1186">
        <v>3</v>
      </c>
    </row>
    <row r="44" spans="1:7" x14ac:dyDescent="0.2">
      <c r="A44" s="1186" t="s">
        <v>828</v>
      </c>
      <c r="B44" s="1186" t="s">
        <v>20</v>
      </c>
      <c r="C44" s="1186" t="s">
        <v>29</v>
      </c>
      <c r="D44" s="1186">
        <v>294</v>
      </c>
      <c r="E44" s="1186">
        <v>56</v>
      </c>
      <c r="F44" s="1186">
        <v>176</v>
      </c>
      <c r="G44" s="1186">
        <v>62</v>
      </c>
    </row>
    <row r="45" spans="1:7" x14ac:dyDescent="0.2">
      <c r="A45" s="1186" t="s">
        <v>828</v>
      </c>
      <c r="B45" s="1186" t="s">
        <v>20</v>
      </c>
      <c r="C45" s="1186" t="s">
        <v>30</v>
      </c>
      <c r="D45" s="1186">
        <v>92</v>
      </c>
      <c r="E45" s="1186">
        <v>16</v>
      </c>
      <c r="F45" s="1186">
        <v>70</v>
      </c>
      <c r="G45" s="1186">
        <v>6</v>
      </c>
    </row>
    <row r="46" spans="1:7" x14ac:dyDescent="0.2">
      <c r="A46" s="1186" t="s">
        <v>828</v>
      </c>
      <c r="B46" s="1186" t="s">
        <v>20</v>
      </c>
      <c r="C46" s="1186" t="s">
        <v>31</v>
      </c>
      <c r="D46" s="1186">
        <v>64</v>
      </c>
      <c r="E46" s="1186">
        <v>9</v>
      </c>
      <c r="F46" s="1186">
        <v>54</v>
      </c>
      <c r="G46" s="1186">
        <v>1</v>
      </c>
    </row>
    <row r="47" spans="1:7" x14ac:dyDescent="0.2">
      <c r="A47" s="1186" t="s">
        <v>828</v>
      </c>
      <c r="B47" s="1186" t="s">
        <v>20</v>
      </c>
      <c r="C47" s="1186" t="s">
        <v>32</v>
      </c>
      <c r="D47" s="1186">
        <v>81</v>
      </c>
      <c r="E47" s="1186">
        <v>7</v>
      </c>
      <c r="F47" s="1186">
        <v>66</v>
      </c>
      <c r="G47" s="1186">
        <v>8</v>
      </c>
    </row>
    <row r="48" spans="1:7" x14ac:dyDescent="0.2">
      <c r="A48" s="1186" t="s">
        <v>828</v>
      </c>
      <c r="B48" s="1186" t="s">
        <v>20</v>
      </c>
      <c r="C48" s="1186" t="s">
        <v>33</v>
      </c>
      <c r="D48" s="1186">
        <v>51</v>
      </c>
      <c r="E48" s="1186">
        <v>3</v>
      </c>
      <c r="F48" s="1186">
        <v>47</v>
      </c>
      <c r="G48" s="1186">
        <v>1</v>
      </c>
    </row>
    <row r="49" spans="1:7" x14ac:dyDescent="0.2">
      <c r="A49" s="1186" t="s">
        <v>828</v>
      </c>
      <c r="B49" s="1186" t="s">
        <v>20</v>
      </c>
      <c r="C49" s="1186" t="s">
        <v>34</v>
      </c>
      <c r="D49" s="1186">
        <v>113</v>
      </c>
      <c r="E49" s="1186">
        <v>23</v>
      </c>
      <c r="F49" s="1186">
        <v>79</v>
      </c>
      <c r="G49" s="1186">
        <v>11</v>
      </c>
    </row>
    <row r="50" spans="1:7" x14ac:dyDescent="0.2">
      <c r="A50" s="1186" t="s">
        <v>828</v>
      </c>
      <c r="B50" s="1186" t="s">
        <v>20</v>
      </c>
      <c r="C50" s="1186" t="s">
        <v>35</v>
      </c>
      <c r="D50" s="1186">
        <v>257</v>
      </c>
      <c r="E50" s="1186">
        <v>45</v>
      </c>
      <c r="F50" s="1186">
        <v>189</v>
      </c>
      <c r="G50" s="1186">
        <v>23</v>
      </c>
    </row>
    <row r="51" spans="1:7" x14ac:dyDescent="0.2">
      <c r="A51" s="1186" t="s">
        <v>828</v>
      </c>
      <c r="B51" s="1186" t="s">
        <v>20</v>
      </c>
      <c r="C51" s="1186" t="s">
        <v>36</v>
      </c>
      <c r="D51" s="1186">
        <v>923</v>
      </c>
      <c r="E51" s="1186">
        <v>150</v>
      </c>
      <c r="F51" s="1186">
        <v>641</v>
      </c>
      <c r="G51" s="1186">
        <v>132</v>
      </c>
    </row>
    <row r="52" spans="1:7" x14ac:dyDescent="0.2">
      <c r="A52" s="1186" t="s">
        <v>828</v>
      </c>
      <c r="B52" s="1186" t="s">
        <v>20</v>
      </c>
      <c r="C52" s="1186" t="s">
        <v>37</v>
      </c>
      <c r="D52" s="1186">
        <v>151</v>
      </c>
      <c r="E52" s="1186">
        <v>27</v>
      </c>
      <c r="F52" s="1186">
        <v>102</v>
      </c>
      <c r="G52" s="1186">
        <v>22</v>
      </c>
    </row>
    <row r="53" spans="1:7" x14ac:dyDescent="0.2">
      <c r="A53" s="1186" t="s">
        <v>828</v>
      </c>
      <c r="B53" s="1186" t="s">
        <v>20</v>
      </c>
      <c r="C53" s="1186" t="s">
        <v>38</v>
      </c>
      <c r="D53" s="1186">
        <v>82</v>
      </c>
      <c r="E53" s="1186">
        <v>20</v>
      </c>
      <c r="F53" s="1186">
        <v>53</v>
      </c>
      <c r="G53" s="1186">
        <v>9</v>
      </c>
    </row>
    <row r="54" spans="1:7" x14ac:dyDescent="0.2">
      <c r="A54" s="1186" t="s">
        <v>828</v>
      </c>
      <c r="B54" s="1186" t="s">
        <v>20</v>
      </c>
      <c r="C54" s="1186" t="s">
        <v>39</v>
      </c>
      <c r="D54" s="1186">
        <v>63</v>
      </c>
      <c r="E54" s="1186">
        <v>7</v>
      </c>
      <c r="F54" s="1186">
        <v>48</v>
      </c>
      <c r="G54" s="1186">
        <v>8</v>
      </c>
    </row>
    <row r="55" spans="1:7" x14ac:dyDescent="0.2">
      <c r="A55" s="1186" t="s">
        <v>828</v>
      </c>
      <c r="B55" s="1186" t="s">
        <v>20</v>
      </c>
      <c r="C55" s="1186" t="s">
        <v>40</v>
      </c>
      <c r="D55" s="1186">
        <v>74</v>
      </c>
      <c r="E55" s="1186">
        <v>11</v>
      </c>
      <c r="F55" s="1186">
        <v>61</v>
      </c>
      <c r="G55" s="1186">
        <v>2</v>
      </c>
    </row>
    <row r="56" spans="1:7" x14ac:dyDescent="0.2">
      <c r="A56" s="1186" t="s">
        <v>828</v>
      </c>
      <c r="B56" s="1186" t="s">
        <v>20</v>
      </c>
      <c r="C56" s="1186" t="s">
        <v>295</v>
      </c>
      <c r="D56" s="1186">
        <v>16</v>
      </c>
      <c r="E56" s="1186">
        <v>3</v>
      </c>
      <c r="F56" s="1186">
        <v>12</v>
      </c>
      <c r="G56" s="1186">
        <v>1</v>
      </c>
    </row>
    <row r="57" spans="1:7" x14ac:dyDescent="0.2">
      <c r="A57" s="1186" t="s">
        <v>828</v>
      </c>
      <c r="B57" s="1186" t="s">
        <v>20</v>
      </c>
      <c r="C57" s="1186" t="s">
        <v>41</v>
      </c>
      <c r="D57" s="1186">
        <v>147</v>
      </c>
      <c r="E57" s="1186">
        <v>25</v>
      </c>
      <c r="F57" s="1186">
        <v>109</v>
      </c>
      <c r="G57" s="1186">
        <v>13</v>
      </c>
    </row>
    <row r="58" spans="1:7" x14ac:dyDescent="0.2">
      <c r="A58" s="1186" t="s">
        <v>828</v>
      </c>
      <c r="B58" s="1186" t="s">
        <v>20</v>
      </c>
      <c r="C58" s="1186" t="s">
        <v>42</v>
      </c>
      <c r="D58" s="1186">
        <v>280</v>
      </c>
      <c r="E58" s="1186">
        <v>50</v>
      </c>
      <c r="F58" s="1186">
        <v>171</v>
      </c>
      <c r="G58" s="1186">
        <v>59</v>
      </c>
    </row>
    <row r="59" spans="1:7" x14ac:dyDescent="0.2">
      <c r="A59" s="1186" t="s">
        <v>828</v>
      </c>
      <c r="B59" s="1186" t="s">
        <v>20</v>
      </c>
      <c r="C59" s="1186" t="s">
        <v>43</v>
      </c>
      <c r="D59" s="1186">
        <v>9</v>
      </c>
      <c r="E59" s="1186">
        <v>2</v>
      </c>
      <c r="F59" s="1186">
        <v>7</v>
      </c>
      <c r="G59" s="1186"/>
    </row>
    <row r="60" spans="1:7" x14ac:dyDescent="0.2">
      <c r="A60" s="1186" t="s">
        <v>828</v>
      </c>
      <c r="B60" s="1186" t="s">
        <v>20</v>
      </c>
      <c r="C60" s="1186" t="s">
        <v>44</v>
      </c>
      <c r="D60" s="1186">
        <v>135</v>
      </c>
      <c r="E60" s="1186">
        <v>15</v>
      </c>
      <c r="F60" s="1186">
        <v>102</v>
      </c>
      <c r="G60" s="1186">
        <v>18</v>
      </c>
    </row>
    <row r="61" spans="1:7" x14ac:dyDescent="0.2">
      <c r="A61" s="1186" t="s">
        <v>828</v>
      </c>
      <c r="B61" s="1186" t="s">
        <v>20</v>
      </c>
      <c r="C61" s="1186" t="s">
        <v>45</v>
      </c>
      <c r="D61" s="1186">
        <v>184</v>
      </c>
      <c r="E61" s="1186">
        <v>40</v>
      </c>
      <c r="F61" s="1186">
        <v>119</v>
      </c>
      <c r="G61" s="1186">
        <v>25</v>
      </c>
    </row>
    <row r="62" spans="1:7" x14ac:dyDescent="0.2">
      <c r="A62" s="1186" t="s">
        <v>828</v>
      </c>
      <c r="B62" s="1186" t="s">
        <v>20</v>
      </c>
      <c r="C62" s="1186" t="s">
        <v>46</v>
      </c>
      <c r="D62" s="1186">
        <v>100</v>
      </c>
      <c r="E62" s="1186">
        <v>16</v>
      </c>
      <c r="F62" s="1186">
        <v>76</v>
      </c>
      <c r="G62" s="1186">
        <v>8</v>
      </c>
    </row>
    <row r="63" spans="1:7" x14ac:dyDescent="0.2">
      <c r="A63" s="1186" t="s">
        <v>828</v>
      </c>
      <c r="B63" s="1186" t="s">
        <v>20</v>
      </c>
      <c r="C63" s="1186" t="s">
        <v>47</v>
      </c>
      <c r="D63" s="1186">
        <v>9</v>
      </c>
      <c r="E63" s="1186">
        <v>3</v>
      </c>
      <c r="F63" s="1186">
        <v>6</v>
      </c>
      <c r="G63" s="1186"/>
    </row>
    <row r="64" spans="1:7" x14ac:dyDescent="0.2">
      <c r="A64" s="1186" t="s">
        <v>828</v>
      </c>
      <c r="B64" s="1186" t="s">
        <v>20</v>
      </c>
      <c r="C64" s="1186" t="s">
        <v>48</v>
      </c>
      <c r="D64" s="1186">
        <v>96</v>
      </c>
      <c r="E64" s="1186">
        <v>19</v>
      </c>
      <c r="F64" s="1186">
        <v>63</v>
      </c>
      <c r="G64" s="1186">
        <v>14</v>
      </c>
    </row>
    <row r="65" spans="1:7" x14ac:dyDescent="0.2">
      <c r="A65" s="1186" t="s">
        <v>828</v>
      </c>
      <c r="B65" s="1186" t="s">
        <v>20</v>
      </c>
      <c r="C65" s="1186" t="s">
        <v>49</v>
      </c>
      <c r="D65" s="1186">
        <v>255</v>
      </c>
      <c r="E65" s="1186">
        <v>41</v>
      </c>
      <c r="F65" s="1186">
        <v>193</v>
      </c>
      <c r="G65" s="1186">
        <v>21</v>
      </c>
    </row>
    <row r="66" spans="1:7" x14ac:dyDescent="0.2">
      <c r="A66" s="1186" t="s">
        <v>828</v>
      </c>
      <c r="B66" s="1186" t="s">
        <v>20</v>
      </c>
      <c r="C66" s="1186" t="s">
        <v>50</v>
      </c>
      <c r="D66" s="1186">
        <v>71</v>
      </c>
      <c r="E66" s="1186">
        <v>13</v>
      </c>
      <c r="F66" s="1186">
        <v>53</v>
      </c>
      <c r="G66" s="1186">
        <v>5</v>
      </c>
    </row>
    <row r="67" spans="1:7" x14ac:dyDescent="0.2">
      <c r="A67" s="1186" t="s">
        <v>828</v>
      </c>
      <c r="B67" s="1186" t="s">
        <v>20</v>
      </c>
      <c r="C67" s="1186" t="s">
        <v>51</v>
      </c>
      <c r="D67" s="1186">
        <v>115</v>
      </c>
      <c r="E67" s="1186">
        <v>28</v>
      </c>
      <c r="F67" s="1186">
        <v>65</v>
      </c>
      <c r="G67" s="1186">
        <v>22</v>
      </c>
    </row>
    <row r="68" spans="1:7" x14ac:dyDescent="0.2">
      <c r="A68" s="1186" t="s">
        <v>828</v>
      </c>
      <c r="B68" s="1186" t="s">
        <v>20</v>
      </c>
      <c r="C68" s="1186" t="s">
        <v>52</v>
      </c>
      <c r="D68" s="1186">
        <v>176</v>
      </c>
      <c r="E68" s="1186">
        <v>22</v>
      </c>
      <c r="F68" s="1186">
        <v>133</v>
      </c>
      <c r="G68" s="1186">
        <v>21</v>
      </c>
    </row>
    <row r="69" spans="1:7" x14ac:dyDescent="0.2">
      <c r="A69" s="1186" t="s">
        <v>828</v>
      </c>
      <c r="B69" s="1186" t="s">
        <v>13</v>
      </c>
      <c r="C69" s="1186" t="s">
        <v>23</v>
      </c>
      <c r="D69" s="1186">
        <v>322</v>
      </c>
      <c r="E69" s="1186">
        <v>70</v>
      </c>
      <c r="F69" s="1186">
        <v>221</v>
      </c>
      <c r="G69" s="1186">
        <v>31</v>
      </c>
    </row>
    <row r="70" spans="1:7" x14ac:dyDescent="0.2">
      <c r="A70" s="1186" t="s">
        <v>828</v>
      </c>
      <c r="B70" s="1186" t="s">
        <v>13</v>
      </c>
      <c r="C70" s="1186" t="s">
        <v>24</v>
      </c>
      <c r="D70" s="1186">
        <v>198</v>
      </c>
      <c r="E70" s="1186">
        <v>15</v>
      </c>
      <c r="F70" s="1186">
        <v>177</v>
      </c>
      <c r="G70" s="1186">
        <v>6</v>
      </c>
    </row>
    <row r="71" spans="1:7" x14ac:dyDescent="0.2">
      <c r="A71" s="1186" t="s">
        <v>828</v>
      </c>
      <c r="B71" s="1186" t="s">
        <v>13</v>
      </c>
      <c r="C71" s="1186" t="s">
        <v>25</v>
      </c>
      <c r="D71" s="1186">
        <v>95</v>
      </c>
      <c r="E71" s="1186">
        <v>19</v>
      </c>
      <c r="F71" s="1186">
        <v>63</v>
      </c>
      <c r="G71" s="1186">
        <v>13</v>
      </c>
    </row>
    <row r="72" spans="1:7" x14ac:dyDescent="0.2">
      <c r="A72" s="1186" t="s">
        <v>828</v>
      </c>
      <c r="B72" s="1186" t="s">
        <v>13</v>
      </c>
      <c r="C72" s="1186" t="s">
        <v>26</v>
      </c>
      <c r="D72" s="1186">
        <v>83</v>
      </c>
      <c r="E72" s="1186">
        <v>9</v>
      </c>
      <c r="F72" s="1186">
        <v>66</v>
      </c>
      <c r="G72" s="1186">
        <v>8</v>
      </c>
    </row>
    <row r="73" spans="1:7" x14ac:dyDescent="0.2">
      <c r="A73" s="1186" t="s">
        <v>828</v>
      </c>
      <c r="B73" s="1186" t="s">
        <v>13</v>
      </c>
      <c r="C73" s="1186" t="s">
        <v>619</v>
      </c>
      <c r="D73" s="1186">
        <v>608</v>
      </c>
      <c r="E73" s="1186">
        <v>72</v>
      </c>
      <c r="F73" s="1186">
        <v>398</v>
      </c>
      <c r="G73" s="1186">
        <v>138</v>
      </c>
    </row>
    <row r="74" spans="1:7" x14ac:dyDescent="0.2">
      <c r="A74" s="1186" t="s">
        <v>828</v>
      </c>
      <c r="B74" s="1186" t="s">
        <v>13</v>
      </c>
      <c r="C74" s="1186" t="s">
        <v>27</v>
      </c>
      <c r="D74" s="1186">
        <v>51</v>
      </c>
      <c r="E74" s="1186">
        <v>13</v>
      </c>
      <c r="F74" s="1186">
        <v>34</v>
      </c>
      <c r="G74" s="1186">
        <v>4</v>
      </c>
    </row>
    <row r="75" spans="1:7" x14ac:dyDescent="0.2">
      <c r="A75" s="1186" t="s">
        <v>828</v>
      </c>
      <c r="B75" s="1186" t="s">
        <v>13</v>
      </c>
      <c r="C75" s="1186" t="s">
        <v>28</v>
      </c>
      <c r="D75" s="1186">
        <v>96</v>
      </c>
      <c r="E75" s="1186">
        <v>13</v>
      </c>
      <c r="F75" s="1186">
        <v>78</v>
      </c>
      <c r="G75" s="1186">
        <v>5</v>
      </c>
    </row>
    <row r="76" spans="1:7" x14ac:dyDescent="0.2">
      <c r="A76" s="1186" t="s">
        <v>828</v>
      </c>
      <c r="B76" s="1186" t="s">
        <v>13</v>
      </c>
      <c r="C76" s="1186" t="s">
        <v>29</v>
      </c>
      <c r="D76" s="1186">
        <v>236</v>
      </c>
      <c r="E76" s="1186">
        <v>55</v>
      </c>
      <c r="F76" s="1186">
        <v>128</v>
      </c>
      <c r="G76" s="1186">
        <v>53</v>
      </c>
    </row>
    <row r="77" spans="1:7" x14ac:dyDescent="0.2">
      <c r="A77" s="1186" t="s">
        <v>828</v>
      </c>
      <c r="B77" s="1186" t="s">
        <v>13</v>
      </c>
      <c r="C77" s="1186" t="s">
        <v>30</v>
      </c>
      <c r="D77" s="1186">
        <v>99</v>
      </c>
      <c r="E77" s="1186">
        <v>25</v>
      </c>
      <c r="F77" s="1186">
        <v>67</v>
      </c>
      <c r="G77" s="1186">
        <v>7</v>
      </c>
    </row>
    <row r="78" spans="1:7" x14ac:dyDescent="0.2">
      <c r="A78" s="1186" t="s">
        <v>828</v>
      </c>
      <c r="B78" s="1186" t="s">
        <v>13</v>
      </c>
      <c r="C78" s="1186" t="s">
        <v>31</v>
      </c>
      <c r="D78" s="1186">
        <v>64</v>
      </c>
      <c r="E78" s="1186">
        <v>9</v>
      </c>
      <c r="F78" s="1186">
        <v>53</v>
      </c>
      <c r="G78" s="1186">
        <v>2</v>
      </c>
    </row>
    <row r="79" spans="1:7" x14ac:dyDescent="0.2">
      <c r="A79" s="1186" t="s">
        <v>828</v>
      </c>
      <c r="B79" s="1186" t="s">
        <v>13</v>
      </c>
      <c r="C79" s="1186" t="s">
        <v>32</v>
      </c>
      <c r="D79" s="1186">
        <v>86</v>
      </c>
      <c r="E79" s="1186">
        <v>7</v>
      </c>
      <c r="F79" s="1186">
        <v>60</v>
      </c>
      <c r="G79" s="1186">
        <v>19</v>
      </c>
    </row>
    <row r="80" spans="1:7" x14ac:dyDescent="0.2">
      <c r="A80" s="1186" t="s">
        <v>828</v>
      </c>
      <c r="B80" s="1186" t="s">
        <v>13</v>
      </c>
      <c r="C80" s="1186" t="s">
        <v>33</v>
      </c>
      <c r="D80" s="1186">
        <v>59</v>
      </c>
      <c r="E80" s="1186">
        <v>9</v>
      </c>
      <c r="F80" s="1186">
        <v>47</v>
      </c>
      <c r="G80" s="1186">
        <v>3</v>
      </c>
    </row>
    <row r="81" spans="1:7" x14ac:dyDescent="0.2">
      <c r="A81" s="1186" t="s">
        <v>828</v>
      </c>
      <c r="B81" s="1186" t="s">
        <v>13</v>
      </c>
      <c r="C81" s="1186" t="s">
        <v>34</v>
      </c>
      <c r="D81" s="1186">
        <v>101</v>
      </c>
      <c r="E81" s="1186">
        <v>18</v>
      </c>
      <c r="F81" s="1186">
        <v>65</v>
      </c>
      <c r="G81" s="1186">
        <v>18</v>
      </c>
    </row>
    <row r="82" spans="1:7" x14ac:dyDescent="0.2">
      <c r="A82" s="1186" t="s">
        <v>828</v>
      </c>
      <c r="B82" s="1186" t="s">
        <v>13</v>
      </c>
      <c r="C82" s="1186" t="s">
        <v>35</v>
      </c>
      <c r="D82" s="1186">
        <v>247</v>
      </c>
      <c r="E82" s="1186">
        <v>41</v>
      </c>
      <c r="F82" s="1186">
        <v>174</v>
      </c>
      <c r="G82" s="1186">
        <v>32</v>
      </c>
    </row>
    <row r="83" spans="1:7" x14ac:dyDescent="0.2">
      <c r="A83" s="1186" t="s">
        <v>828</v>
      </c>
      <c r="B83" s="1186" t="s">
        <v>13</v>
      </c>
      <c r="C83" s="1186" t="s">
        <v>36</v>
      </c>
      <c r="D83" s="1186">
        <v>932</v>
      </c>
      <c r="E83" s="1186">
        <v>175</v>
      </c>
      <c r="F83" s="1186">
        <v>622</v>
      </c>
      <c r="G83" s="1186">
        <v>135</v>
      </c>
    </row>
    <row r="84" spans="1:7" x14ac:dyDescent="0.2">
      <c r="A84" s="1186" t="s">
        <v>828</v>
      </c>
      <c r="B84" s="1186" t="s">
        <v>13</v>
      </c>
      <c r="C84" s="1186" t="s">
        <v>37</v>
      </c>
      <c r="D84" s="1186">
        <v>136</v>
      </c>
      <c r="E84" s="1186">
        <v>18</v>
      </c>
      <c r="F84" s="1186">
        <v>99</v>
      </c>
      <c r="G84" s="1186">
        <v>19</v>
      </c>
    </row>
    <row r="85" spans="1:7" x14ac:dyDescent="0.2">
      <c r="A85" s="1186" t="s">
        <v>828</v>
      </c>
      <c r="B85" s="1186" t="s">
        <v>13</v>
      </c>
      <c r="C85" s="1186" t="s">
        <v>38</v>
      </c>
      <c r="D85" s="1186">
        <v>72</v>
      </c>
      <c r="E85" s="1186">
        <v>14</v>
      </c>
      <c r="F85" s="1186">
        <v>55</v>
      </c>
      <c r="G85" s="1186">
        <v>3</v>
      </c>
    </row>
    <row r="86" spans="1:7" x14ac:dyDescent="0.2">
      <c r="A86" s="1186" t="s">
        <v>828</v>
      </c>
      <c r="B86" s="1186" t="s">
        <v>13</v>
      </c>
      <c r="C86" s="1186" t="s">
        <v>39</v>
      </c>
      <c r="D86" s="1186">
        <v>65</v>
      </c>
      <c r="E86" s="1186">
        <v>9</v>
      </c>
      <c r="F86" s="1186">
        <v>47</v>
      </c>
      <c r="G86" s="1186">
        <v>9</v>
      </c>
    </row>
    <row r="87" spans="1:7" x14ac:dyDescent="0.2">
      <c r="A87" s="1186" t="s">
        <v>828</v>
      </c>
      <c r="B87" s="1186" t="s">
        <v>13</v>
      </c>
      <c r="C87" s="1186" t="s">
        <v>40</v>
      </c>
      <c r="D87" s="1186">
        <v>67</v>
      </c>
      <c r="E87" s="1186">
        <v>7</v>
      </c>
      <c r="F87" s="1186">
        <v>52</v>
      </c>
      <c r="G87" s="1186">
        <v>8</v>
      </c>
    </row>
    <row r="88" spans="1:7" x14ac:dyDescent="0.2">
      <c r="A88" s="1186" t="s">
        <v>828</v>
      </c>
      <c r="B88" s="1186" t="s">
        <v>13</v>
      </c>
      <c r="C88" s="1186" t="s">
        <v>295</v>
      </c>
      <c r="D88" s="1186">
        <v>17</v>
      </c>
      <c r="E88" s="1186">
        <v>3</v>
      </c>
      <c r="F88" s="1186">
        <v>13</v>
      </c>
      <c r="G88" s="1186">
        <v>1</v>
      </c>
    </row>
    <row r="89" spans="1:7" x14ac:dyDescent="0.2">
      <c r="A89" s="1186" t="s">
        <v>828</v>
      </c>
      <c r="B89" s="1186" t="s">
        <v>13</v>
      </c>
      <c r="C89" s="1186" t="s">
        <v>41</v>
      </c>
      <c r="D89" s="1186">
        <v>120</v>
      </c>
      <c r="E89" s="1186">
        <v>21</v>
      </c>
      <c r="F89" s="1186">
        <v>92</v>
      </c>
      <c r="G89" s="1186">
        <v>7</v>
      </c>
    </row>
    <row r="90" spans="1:7" x14ac:dyDescent="0.2">
      <c r="A90" s="1186" t="s">
        <v>828</v>
      </c>
      <c r="B90" s="1186" t="s">
        <v>13</v>
      </c>
      <c r="C90" s="1186" t="s">
        <v>42</v>
      </c>
      <c r="D90" s="1186">
        <v>279</v>
      </c>
      <c r="E90" s="1186">
        <v>59</v>
      </c>
      <c r="F90" s="1186">
        <v>188</v>
      </c>
      <c r="G90" s="1186">
        <v>32</v>
      </c>
    </row>
    <row r="91" spans="1:7" x14ac:dyDescent="0.2">
      <c r="A91" s="1186" t="s">
        <v>828</v>
      </c>
      <c r="B91" s="1186" t="s">
        <v>13</v>
      </c>
      <c r="C91" s="1186" t="s">
        <v>43</v>
      </c>
      <c r="D91" s="1186">
        <v>12</v>
      </c>
      <c r="E91" s="1186">
        <v>2</v>
      </c>
      <c r="F91" s="1186">
        <v>9</v>
      </c>
      <c r="G91" s="1186">
        <v>1</v>
      </c>
    </row>
    <row r="92" spans="1:7" x14ac:dyDescent="0.2">
      <c r="A92" s="1186" t="s">
        <v>828</v>
      </c>
      <c r="B92" s="1186" t="s">
        <v>13</v>
      </c>
      <c r="C92" s="1186" t="s">
        <v>44</v>
      </c>
      <c r="D92" s="1186">
        <v>112</v>
      </c>
      <c r="E92" s="1186">
        <v>9</v>
      </c>
      <c r="F92" s="1186">
        <v>91</v>
      </c>
      <c r="G92" s="1186">
        <v>12</v>
      </c>
    </row>
    <row r="93" spans="1:7" x14ac:dyDescent="0.2">
      <c r="A93" s="1186" t="s">
        <v>828</v>
      </c>
      <c r="B93" s="1186" t="s">
        <v>13</v>
      </c>
      <c r="C93" s="1186" t="s">
        <v>45</v>
      </c>
      <c r="D93" s="1186">
        <v>212</v>
      </c>
      <c r="E93" s="1186">
        <v>43</v>
      </c>
      <c r="F93" s="1186">
        <v>147</v>
      </c>
      <c r="G93" s="1186">
        <v>22</v>
      </c>
    </row>
    <row r="94" spans="1:7" x14ac:dyDescent="0.2">
      <c r="A94" s="1186" t="s">
        <v>828</v>
      </c>
      <c r="B94" s="1186" t="s">
        <v>13</v>
      </c>
      <c r="C94" s="1186" t="s">
        <v>46</v>
      </c>
      <c r="D94" s="1186">
        <v>92</v>
      </c>
      <c r="E94" s="1186">
        <v>7</v>
      </c>
      <c r="F94" s="1186">
        <v>73</v>
      </c>
      <c r="G94" s="1186">
        <v>12</v>
      </c>
    </row>
    <row r="95" spans="1:7" x14ac:dyDescent="0.2">
      <c r="A95" s="1186" t="s">
        <v>828</v>
      </c>
      <c r="B95" s="1186" t="s">
        <v>13</v>
      </c>
      <c r="C95" s="1186" t="s">
        <v>47</v>
      </c>
      <c r="D95" s="1186">
        <v>10</v>
      </c>
      <c r="E95" s="1186">
        <v>1</v>
      </c>
      <c r="F95" s="1186">
        <v>9</v>
      </c>
      <c r="G95" s="1186"/>
    </row>
    <row r="96" spans="1:7" x14ac:dyDescent="0.2">
      <c r="A96" s="1186" t="s">
        <v>828</v>
      </c>
      <c r="B96" s="1186" t="s">
        <v>13</v>
      </c>
      <c r="C96" s="1186" t="s">
        <v>48</v>
      </c>
      <c r="D96" s="1186">
        <v>73</v>
      </c>
      <c r="E96" s="1186">
        <v>13</v>
      </c>
      <c r="F96" s="1186">
        <v>51</v>
      </c>
      <c r="G96" s="1186">
        <v>9</v>
      </c>
    </row>
    <row r="97" spans="1:7" x14ac:dyDescent="0.2">
      <c r="A97" s="1186" t="s">
        <v>828</v>
      </c>
      <c r="B97" s="1186" t="s">
        <v>13</v>
      </c>
      <c r="C97" s="1186" t="s">
        <v>49</v>
      </c>
      <c r="D97" s="1186">
        <v>254</v>
      </c>
      <c r="E97" s="1186">
        <v>55</v>
      </c>
      <c r="F97" s="1186">
        <v>159</v>
      </c>
      <c r="G97" s="1186">
        <v>40</v>
      </c>
    </row>
    <row r="98" spans="1:7" x14ac:dyDescent="0.2">
      <c r="A98" s="1186" t="s">
        <v>828</v>
      </c>
      <c r="B98" s="1186" t="s">
        <v>13</v>
      </c>
      <c r="C98" s="1186" t="s">
        <v>50</v>
      </c>
      <c r="D98" s="1186">
        <v>64</v>
      </c>
      <c r="E98" s="1186">
        <v>10</v>
      </c>
      <c r="F98" s="1186">
        <v>51</v>
      </c>
      <c r="G98" s="1186">
        <v>3</v>
      </c>
    </row>
    <row r="99" spans="1:7" x14ac:dyDescent="0.2">
      <c r="A99" s="1186" t="s">
        <v>828</v>
      </c>
      <c r="B99" s="1186" t="s">
        <v>13</v>
      </c>
      <c r="C99" s="1186" t="s">
        <v>51</v>
      </c>
      <c r="D99" s="1186">
        <v>105</v>
      </c>
      <c r="E99" s="1186">
        <v>29</v>
      </c>
      <c r="F99" s="1186">
        <v>62</v>
      </c>
      <c r="G99" s="1186">
        <v>14</v>
      </c>
    </row>
    <row r="100" spans="1:7" x14ac:dyDescent="0.2">
      <c r="A100" s="1186" t="s">
        <v>828</v>
      </c>
      <c r="B100" s="1186" t="s">
        <v>13</v>
      </c>
      <c r="C100" s="1186" t="s">
        <v>52</v>
      </c>
      <c r="D100" s="1186">
        <v>150</v>
      </c>
      <c r="E100" s="1186">
        <v>17</v>
      </c>
      <c r="F100" s="1186">
        <v>102</v>
      </c>
      <c r="G100" s="1186">
        <v>31</v>
      </c>
    </row>
    <row r="101" spans="1:7" x14ac:dyDescent="0.2">
      <c r="A101" s="1186" t="s">
        <v>828</v>
      </c>
      <c r="B101" s="1186" t="s">
        <v>15</v>
      </c>
      <c r="C101" s="1186" t="s">
        <v>23</v>
      </c>
      <c r="D101" s="1186">
        <v>266</v>
      </c>
      <c r="E101" s="1186">
        <v>53</v>
      </c>
      <c r="F101" s="1186">
        <v>192</v>
      </c>
      <c r="G101" s="1186">
        <v>21</v>
      </c>
    </row>
    <row r="102" spans="1:7" x14ac:dyDescent="0.2">
      <c r="A102" s="1186" t="s">
        <v>828</v>
      </c>
      <c r="B102" s="1186" t="s">
        <v>15</v>
      </c>
      <c r="C102" s="1186" t="s">
        <v>24</v>
      </c>
      <c r="D102" s="1186">
        <v>163</v>
      </c>
      <c r="E102" s="1186">
        <v>14</v>
      </c>
      <c r="F102" s="1186">
        <v>144</v>
      </c>
      <c r="G102" s="1186">
        <v>5</v>
      </c>
    </row>
    <row r="103" spans="1:7" x14ac:dyDescent="0.2">
      <c r="A103" s="1186" t="s">
        <v>828</v>
      </c>
      <c r="B103" s="1186" t="s">
        <v>15</v>
      </c>
      <c r="C103" s="1186" t="s">
        <v>25</v>
      </c>
      <c r="D103" s="1186">
        <v>79</v>
      </c>
      <c r="E103" s="1186">
        <v>5</v>
      </c>
      <c r="F103" s="1186">
        <v>64</v>
      </c>
      <c r="G103" s="1186">
        <v>10</v>
      </c>
    </row>
    <row r="104" spans="1:7" x14ac:dyDescent="0.2">
      <c r="A104" s="1186" t="s">
        <v>828</v>
      </c>
      <c r="B104" s="1186" t="s">
        <v>15</v>
      </c>
      <c r="C104" s="1186" t="s">
        <v>26</v>
      </c>
      <c r="D104" s="1186">
        <v>81</v>
      </c>
      <c r="E104" s="1186">
        <v>10</v>
      </c>
      <c r="F104" s="1186">
        <v>58</v>
      </c>
      <c r="G104" s="1186">
        <v>13</v>
      </c>
    </row>
    <row r="105" spans="1:7" x14ac:dyDescent="0.2">
      <c r="A105" s="1186" t="s">
        <v>828</v>
      </c>
      <c r="B105" s="1186" t="s">
        <v>15</v>
      </c>
      <c r="C105" s="1186" t="s">
        <v>619</v>
      </c>
      <c r="D105" s="1186">
        <v>596</v>
      </c>
      <c r="E105" s="1186">
        <v>78</v>
      </c>
      <c r="F105" s="1186">
        <v>392</v>
      </c>
      <c r="G105" s="1186">
        <v>126</v>
      </c>
    </row>
    <row r="106" spans="1:7" x14ac:dyDescent="0.2">
      <c r="A106" s="1186" t="s">
        <v>828</v>
      </c>
      <c r="B106" s="1186" t="s">
        <v>15</v>
      </c>
      <c r="C106" s="1186" t="s">
        <v>27</v>
      </c>
      <c r="D106" s="1186">
        <v>38</v>
      </c>
      <c r="E106" s="1186">
        <v>7</v>
      </c>
      <c r="F106" s="1186">
        <v>25</v>
      </c>
      <c r="G106" s="1186">
        <v>6</v>
      </c>
    </row>
    <row r="107" spans="1:7" x14ac:dyDescent="0.2">
      <c r="A107" s="1186" t="s">
        <v>828</v>
      </c>
      <c r="B107" s="1186" t="s">
        <v>15</v>
      </c>
      <c r="C107" s="1186" t="s">
        <v>28</v>
      </c>
      <c r="D107" s="1186">
        <v>97</v>
      </c>
      <c r="E107" s="1186">
        <v>14</v>
      </c>
      <c r="F107" s="1186">
        <v>79</v>
      </c>
      <c r="G107" s="1186">
        <v>4</v>
      </c>
    </row>
    <row r="108" spans="1:7" x14ac:dyDescent="0.2">
      <c r="A108" s="1186" t="s">
        <v>828</v>
      </c>
      <c r="B108" s="1186" t="s">
        <v>15</v>
      </c>
      <c r="C108" s="1186" t="s">
        <v>29</v>
      </c>
      <c r="D108" s="1186">
        <v>235</v>
      </c>
      <c r="E108" s="1186">
        <v>46</v>
      </c>
      <c r="F108" s="1186">
        <v>149</v>
      </c>
      <c r="G108" s="1186">
        <v>40</v>
      </c>
    </row>
    <row r="109" spans="1:7" x14ac:dyDescent="0.2">
      <c r="A109" s="1186" t="s">
        <v>828</v>
      </c>
      <c r="B109" s="1186" t="s">
        <v>15</v>
      </c>
      <c r="C109" s="1186" t="s">
        <v>30</v>
      </c>
      <c r="D109" s="1186">
        <v>99</v>
      </c>
      <c r="E109" s="1186">
        <v>13</v>
      </c>
      <c r="F109" s="1186">
        <v>78</v>
      </c>
      <c r="G109" s="1186">
        <v>8</v>
      </c>
    </row>
    <row r="110" spans="1:7" x14ac:dyDescent="0.2">
      <c r="A110" s="1186" t="s">
        <v>828</v>
      </c>
      <c r="B110" s="1186" t="s">
        <v>15</v>
      </c>
      <c r="C110" s="1186" t="s">
        <v>31</v>
      </c>
      <c r="D110" s="1186">
        <v>60</v>
      </c>
      <c r="E110" s="1186">
        <v>5</v>
      </c>
      <c r="F110" s="1186">
        <v>50</v>
      </c>
      <c r="G110" s="1186">
        <v>5</v>
      </c>
    </row>
    <row r="111" spans="1:7" x14ac:dyDescent="0.2">
      <c r="A111" s="1186" t="s">
        <v>828</v>
      </c>
      <c r="B111" s="1186" t="s">
        <v>15</v>
      </c>
      <c r="C111" s="1186" t="s">
        <v>32</v>
      </c>
      <c r="D111" s="1186">
        <v>96</v>
      </c>
      <c r="E111" s="1186">
        <v>4</v>
      </c>
      <c r="F111" s="1186">
        <v>83</v>
      </c>
      <c r="G111" s="1186">
        <v>9</v>
      </c>
    </row>
    <row r="112" spans="1:7" x14ac:dyDescent="0.2">
      <c r="A112" s="1186" t="s">
        <v>828</v>
      </c>
      <c r="B112" s="1186" t="s">
        <v>15</v>
      </c>
      <c r="C112" s="1186" t="s">
        <v>33</v>
      </c>
      <c r="D112" s="1186">
        <v>60</v>
      </c>
      <c r="E112" s="1186">
        <v>6</v>
      </c>
      <c r="F112" s="1186">
        <v>48</v>
      </c>
      <c r="G112" s="1186">
        <v>6</v>
      </c>
    </row>
    <row r="113" spans="1:7" x14ac:dyDescent="0.2">
      <c r="A113" s="1186" t="s">
        <v>828</v>
      </c>
      <c r="B113" s="1186" t="s">
        <v>15</v>
      </c>
      <c r="C113" s="1186" t="s">
        <v>34</v>
      </c>
      <c r="D113" s="1186">
        <v>91</v>
      </c>
      <c r="E113" s="1186">
        <v>10</v>
      </c>
      <c r="F113" s="1186">
        <v>64</v>
      </c>
      <c r="G113" s="1186">
        <v>17</v>
      </c>
    </row>
    <row r="114" spans="1:7" x14ac:dyDescent="0.2">
      <c r="A114" s="1186" t="s">
        <v>828</v>
      </c>
      <c r="B114" s="1186" t="s">
        <v>15</v>
      </c>
      <c r="C114" s="1186" t="s">
        <v>35</v>
      </c>
      <c r="D114" s="1186">
        <v>262</v>
      </c>
      <c r="E114" s="1186">
        <v>39</v>
      </c>
      <c r="F114" s="1186">
        <v>197</v>
      </c>
      <c r="G114" s="1186">
        <v>26</v>
      </c>
    </row>
    <row r="115" spans="1:7" x14ac:dyDescent="0.2">
      <c r="A115" s="1186" t="s">
        <v>828</v>
      </c>
      <c r="B115" s="1186" t="s">
        <v>15</v>
      </c>
      <c r="C115" s="1186" t="s">
        <v>36</v>
      </c>
      <c r="D115" s="1186">
        <v>842</v>
      </c>
      <c r="E115" s="1186">
        <v>149</v>
      </c>
      <c r="F115" s="1186">
        <v>565</v>
      </c>
      <c r="G115" s="1186">
        <v>128</v>
      </c>
    </row>
    <row r="116" spans="1:7" x14ac:dyDescent="0.2">
      <c r="A116" s="1186" t="s">
        <v>828</v>
      </c>
      <c r="B116" s="1186" t="s">
        <v>15</v>
      </c>
      <c r="C116" s="1186" t="s">
        <v>37</v>
      </c>
      <c r="D116" s="1186">
        <v>126</v>
      </c>
      <c r="E116" s="1186">
        <v>20</v>
      </c>
      <c r="F116" s="1186">
        <v>97</v>
      </c>
      <c r="G116" s="1186">
        <v>9</v>
      </c>
    </row>
    <row r="117" spans="1:7" x14ac:dyDescent="0.2">
      <c r="A117" s="1186" t="s">
        <v>828</v>
      </c>
      <c r="B117" s="1186" t="s">
        <v>15</v>
      </c>
      <c r="C117" s="1186" t="s">
        <v>38</v>
      </c>
      <c r="D117" s="1186">
        <v>80</v>
      </c>
      <c r="E117" s="1186">
        <v>29</v>
      </c>
      <c r="F117" s="1186">
        <v>42</v>
      </c>
      <c r="G117" s="1186">
        <v>9</v>
      </c>
    </row>
    <row r="118" spans="1:7" x14ac:dyDescent="0.2">
      <c r="A118" s="1186" t="s">
        <v>828</v>
      </c>
      <c r="B118" s="1186" t="s">
        <v>15</v>
      </c>
      <c r="C118" s="1186" t="s">
        <v>39</v>
      </c>
      <c r="D118" s="1186">
        <v>87</v>
      </c>
      <c r="E118" s="1186">
        <v>5</v>
      </c>
      <c r="F118" s="1186">
        <v>63</v>
      </c>
      <c r="G118" s="1186">
        <v>19</v>
      </c>
    </row>
    <row r="119" spans="1:7" x14ac:dyDescent="0.2">
      <c r="A119" s="1186" t="s">
        <v>828</v>
      </c>
      <c r="B119" s="1186" t="s">
        <v>15</v>
      </c>
      <c r="C119" s="1186" t="s">
        <v>40</v>
      </c>
      <c r="D119" s="1186">
        <v>55</v>
      </c>
      <c r="E119" s="1186">
        <v>8</v>
      </c>
      <c r="F119" s="1186">
        <v>46</v>
      </c>
      <c r="G119" s="1186">
        <v>1</v>
      </c>
    </row>
    <row r="120" spans="1:7" x14ac:dyDescent="0.2">
      <c r="A120" s="1186" t="s">
        <v>828</v>
      </c>
      <c r="B120" s="1186" t="s">
        <v>15</v>
      </c>
      <c r="C120" s="1186" t="s">
        <v>295</v>
      </c>
      <c r="D120" s="1186">
        <v>22</v>
      </c>
      <c r="E120" s="1186">
        <v>3</v>
      </c>
      <c r="F120" s="1186">
        <v>19</v>
      </c>
      <c r="G120" s="1186"/>
    </row>
    <row r="121" spans="1:7" x14ac:dyDescent="0.2">
      <c r="A121" s="1186" t="s">
        <v>828</v>
      </c>
      <c r="B121" s="1186" t="s">
        <v>15</v>
      </c>
      <c r="C121" s="1186" t="s">
        <v>41</v>
      </c>
      <c r="D121" s="1186">
        <v>142</v>
      </c>
      <c r="E121" s="1186">
        <v>27</v>
      </c>
      <c r="F121" s="1186">
        <v>106</v>
      </c>
      <c r="G121" s="1186">
        <v>9</v>
      </c>
    </row>
    <row r="122" spans="1:7" x14ac:dyDescent="0.2">
      <c r="A122" s="1186" t="s">
        <v>828</v>
      </c>
      <c r="B122" s="1186" t="s">
        <v>15</v>
      </c>
      <c r="C122" s="1186" t="s">
        <v>42</v>
      </c>
      <c r="D122" s="1186">
        <v>284</v>
      </c>
      <c r="E122" s="1186">
        <v>53</v>
      </c>
      <c r="F122" s="1186">
        <v>185</v>
      </c>
      <c r="G122" s="1186">
        <v>46</v>
      </c>
    </row>
    <row r="123" spans="1:7" x14ac:dyDescent="0.2">
      <c r="A123" s="1186" t="s">
        <v>828</v>
      </c>
      <c r="B123" s="1186" t="s">
        <v>15</v>
      </c>
      <c r="C123" s="1186" t="s">
        <v>43</v>
      </c>
      <c r="D123" s="1186">
        <v>9</v>
      </c>
      <c r="E123" s="1186">
        <v>1</v>
      </c>
      <c r="F123" s="1186">
        <v>8</v>
      </c>
      <c r="G123" s="1186"/>
    </row>
    <row r="124" spans="1:7" x14ac:dyDescent="0.2">
      <c r="A124" s="1186" t="s">
        <v>828</v>
      </c>
      <c r="B124" s="1186" t="s">
        <v>15</v>
      </c>
      <c r="C124" s="1186" t="s">
        <v>44</v>
      </c>
      <c r="D124" s="1186">
        <v>114</v>
      </c>
      <c r="E124" s="1186">
        <v>11</v>
      </c>
      <c r="F124" s="1186">
        <v>92</v>
      </c>
      <c r="G124" s="1186">
        <v>11</v>
      </c>
    </row>
    <row r="125" spans="1:7" x14ac:dyDescent="0.2">
      <c r="A125" s="1186" t="s">
        <v>828</v>
      </c>
      <c r="B125" s="1186" t="s">
        <v>15</v>
      </c>
      <c r="C125" s="1186" t="s">
        <v>45</v>
      </c>
      <c r="D125" s="1186">
        <v>219</v>
      </c>
      <c r="E125" s="1186">
        <v>42</v>
      </c>
      <c r="F125" s="1186">
        <v>151</v>
      </c>
      <c r="G125" s="1186">
        <v>26</v>
      </c>
    </row>
    <row r="126" spans="1:7" x14ac:dyDescent="0.2">
      <c r="A126" s="1186" t="s">
        <v>828</v>
      </c>
      <c r="B126" s="1186" t="s">
        <v>15</v>
      </c>
      <c r="C126" s="1186" t="s">
        <v>46</v>
      </c>
      <c r="D126" s="1186">
        <v>100</v>
      </c>
      <c r="E126" s="1186">
        <v>16</v>
      </c>
      <c r="F126" s="1186">
        <v>73</v>
      </c>
      <c r="G126" s="1186">
        <v>11</v>
      </c>
    </row>
    <row r="127" spans="1:7" x14ac:dyDescent="0.2">
      <c r="A127" s="1186" t="s">
        <v>828</v>
      </c>
      <c r="B127" s="1186" t="s">
        <v>15</v>
      </c>
      <c r="C127" s="1186" t="s">
        <v>47</v>
      </c>
      <c r="D127" s="1186">
        <v>17</v>
      </c>
      <c r="E127" s="1186"/>
      <c r="F127" s="1186">
        <v>17</v>
      </c>
      <c r="G127" s="1186"/>
    </row>
    <row r="128" spans="1:7" x14ac:dyDescent="0.2">
      <c r="A128" s="1186" t="s">
        <v>828</v>
      </c>
      <c r="B128" s="1186" t="s">
        <v>15</v>
      </c>
      <c r="C128" s="1186" t="s">
        <v>48</v>
      </c>
      <c r="D128" s="1186">
        <v>99</v>
      </c>
      <c r="E128" s="1186">
        <v>23</v>
      </c>
      <c r="F128" s="1186">
        <v>65</v>
      </c>
      <c r="G128" s="1186">
        <v>11</v>
      </c>
    </row>
    <row r="129" spans="1:7" x14ac:dyDescent="0.2">
      <c r="A129" s="1186" t="s">
        <v>828</v>
      </c>
      <c r="B129" s="1186" t="s">
        <v>15</v>
      </c>
      <c r="C129" s="1186" t="s">
        <v>49</v>
      </c>
      <c r="D129" s="1186">
        <v>249</v>
      </c>
      <c r="E129" s="1186">
        <v>41</v>
      </c>
      <c r="F129" s="1186">
        <v>182</v>
      </c>
      <c r="G129" s="1186">
        <v>26</v>
      </c>
    </row>
    <row r="130" spans="1:7" x14ac:dyDescent="0.2">
      <c r="A130" s="1186" t="s">
        <v>828</v>
      </c>
      <c r="B130" s="1186" t="s">
        <v>15</v>
      </c>
      <c r="C130" s="1186" t="s">
        <v>50</v>
      </c>
      <c r="D130" s="1186">
        <v>54</v>
      </c>
      <c r="E130" s="1186">
        <v>8</v>
      </c>
      <c r="F130" s="1186">
        <v>41</v>
      </c>
      <c r="G130" s="1186">
        <v>5</v>
      </c>
    </row>
    <row r="131" spans="1:7" x14ac:dyDescent="0.2">
      <c r="A131" s="1186" t="s">
        <v>828</v>
      </c>
      <c r="B131" s="1186" t="s">
        <v>15</v>
      </c>
      <c r="C131" s="1186" t="s">
        <v>51</v>
      </c>
      <c r="D131" s="1186">
        <v>96</v>
      </c>
      <c r="E131" s="1186">
        <v>21</v>
      </c>
      <c r="F131" s="1186">
        <v>65</v>
      </c>
      <c r="G131" s="1186">
        <v>10</v>
      </c>
    </row>
    <row r="132" spans="1:7" x14ac:dyDescent="0.2">
      <c r="A132" s="1186" t="s">
        <v>828</v>
      </c>
      <c r="B132" s="1186" t="s">
        <v>15</v>
      </c>
      <c r="C132" s="1186" t="s">
        <v>52</v>
      </c>
      <c r="D132" s="1186">
        <v>179</v>
      </c>
      <c r="E132" s="1186">
        <v>16</v>
      </c>
      <c r="F132" s="1186">
        <v>139</v>
      </c>
      <c r="G132" s="1186">
        <v>24</v>
      </c>
    </row>
    <row r="133" spans="1:7" x14ac:dyDescent="0.2">
      <c r="A133" s="1186" t="s">
        <v>828</v>
      </c>
      <c r="B133" s="1186" t="s">
        <v>17</v>
      </c>
      <c r="C133" s="1186" t="s">
        <v>23</v>
      </c>
      <c r="D133" s="1186">
        <v>247</v>
      </c>
      <c r="E133" s="1186">
        <v>46</v>
      </c>
      <c r="F133" s="1186">
        <v>174</v>
      </c>
      <c r="G133" s="1186">
        <v>27</v>
      </c>
    </row>
    <row r="134" spans="1:7" x14ac:dyDescent="0.2">
      <c r="A134" s="1186" t="s">
        <v>828</v>
      </c>
      <c r="B134" s="1186" t="s">
        <v>17</v>
      </c>
      <c r="C134" s="1186" t="s">
        <v>24</v>
      </c>
      <c r="D134" s="1186">
        <v>173</v>
      </c>
      <c r="E134" s="1186">
        <v>13</v>
      </c>
      <c r="F134" s="1186">
        <v>155</v>
      </c>
      <c r="G134" s="1186">
        <v>5</v>
      </c>
    </row>
    <row r="135" spans="1:7" x14ac:dyDescent="0.2">
      <c r="A135" s="1186" t="s">
        <v>828</v>
      </c>
      <c r="B135" s="1186" t="s">
        <v>17</v>
      </c>
      <c r="C135" s="1186" t="s">
        <v>25</v>
      </c>
      <c r="D135" s="1186">
        <v>71</v>
      </c>
      <c r="E135" s="1186">
        <v>9</v>
      </c>
      <c r="F135" s="1186">
        <v>57</v>
      </c>
      <c r="G135" s="1186">
        <v>5</v>
      </c>
    </row>
    <row r="136" spans="1:7" x14ac:dyDescent="0.2">
      <c r="A136" s="1186" t="s">
        <v>828</v>
      </c>
      <c r="B136" s="1186" t="s">
        <v>17</v>
      </c>
      <c r="C136" s="1186" t="s">
        <v>26</v>
      </c>
      <c r="D136" s="1186">
        <v>78</v>
      </c>
      <c r="E136" s="1186">
        <v>11</v>
      </c>
      <c r="F136" s="1186">
        <v>63</v>
      </c>
      <c r="G136" s="1186">
        <v>4</v>
      </c>
    </row>
    <row r="137" spans="1:7" x14ac:dyDescent="0.2">
      <c r="A137" s="1186" t="s">
        <v>828</v>
      </c>
      <c r="B137" s="1186" t="s">
        <v>17</v>
      </c>
      <c r="C137" s="1186" t="s">
        <v>619</v>
      </c>
      <c r="D137" s="1186">
        <v>523</v>
      </c>
      <c r="E137" s="1186">
        <v>77</v>
      </c>
      <c r="F137" s="1186">
        <v>352</v>
      </c>
      <c r="G137" s="1186">
        <v>94</v>
      </c>
    </row>
    <row r="138" spans="1:7" x14ac:dyDescent="0.2">
      <c r="A138" s="1186" t="s">
        <v>828</v>
      </c>
      <c r="B138" s="1186" t="s">
        <v>17</v>
      </c>
      <c r="C138" s="1186" t="s">
        <v>27</v>
      </c>
      <c r="D138" s="1186">
        <v>38</v>
      </c>
      <c r="E138" s="1186">
        <v>1</v>
      </c>
      <c r="F138" s="1186">
        <v>33</v>
      </c>
      <c r="G138" s="1186">
        <v>4</v>
      </c>
    </row>
    <row r="139" spans="1:7" x14ac:dyDescent="0.2">
      <c r="A139" s="1186" t="s">
        <v>828</v>
      </c>
      <c r="B139" s="1186" t="s">
        <v>17</v>
      </c>
      <c r="C139" s="1186" t="s">
        <v>28</v>
      </c>
      <c r="D139" s="1186">
        <v>111</v>
      </c>
      <c r="E139" s="1186">
        <v>12</v>
      </c>
      <c r="F139" s="1186">
        <v>90</v>
      </c>
      <c r="G139" s="1186">
        <v>9</v>
      </c>
    </row>
    <row r="140" spans="1:7" x14ac:dyDescent="0.2">
      <c r="A140" s="1186" t="s">
        <v>828</v>
      </c>
      <c r="B140" s="1186" t="s">
        <v>17</v>
      </c>
      <c r="C140" s="1186" t="s">
        <v>29</v>
      </c>
      <c r="D140" s="1186">
        <v>195</v>
      </c>
      <c r="E140" s="1186">
        <v>45</v>
      </c>
      <c r="F140" s="1186">
        <v>114</v>
      </c>
      <c r="G140" s="1186">
        <v>36</v>
      </c>
    </row>
    <row r="141" spans="1:7" x14ac:dyDescent="0.2">
      <c r="A141" s="1186" t="s">
        <v>828</v>
      </c>
      <c r="B141" s="1186" t="s">
        <v>17</v>
      </c>
      <c r="C141" s="1186" t="s">
        <v>30</v>
      </c>
      <c r="D141" s="1186">
        <v>91</v>
      </c>
      <c r="E141" s="1186">
        <v>14</v>
      </c>
      <c r="F141" s="1186">
        <v>72</v>
      </c>
      <c r="G141" s="1186">
        <v>5</v>
      </c>
    </row>
    <row r="142" spans="1:7" x14ac:dyDescent="0.2">
      <c r="A142" s="1186" t="s">
        <v>828</v>
      </c>
      <c r="B142" s="1186" t="s">
        <v>17</v>
      </c>
      <c r="C142" s="1186" t="s">
        <v>31</v>
      </c>
      <c r="D142" s="1186">
        <v>53</v>
      </c>
      <c r="E142" s="1186">
        <v>2</v>
      </c>
      <c r="F142" s="1186">
        <v>46</v>
      </c>
      <c r="G142" s="1186">
        <v>5</v>
      </c>
    </row>
    <row r="143" spans="1:7" x14ac:dyDescent="0.2">
      <c r="A143" s="1186" t="s">
        <v>828</v>
      </c>
      <c r="B143" s="1186" t="s">
        <v>17</v>
      </c>
      <c r="C143" s="1186" t="s">
        <v>32</v>
      </c>
      <c r="D143" s="1186">
        <v>81</v>
      </c>
      <c r="E143" s="1186">
        <v>6</v>
      </c>
      <c r="F143" s="1186">
        <v>61</v>
      </c>
      <c r="G143" s="1186">
        <v>14</v>
      </c>
    </row>
    <row r="144" spans="1:7" x14ac:dyDescent="0.2">
      <c r="A144" s="1186" t="s">
        <v>828</v>
      </c>
      <c r="B144" s="1186" t="s">
        <v>17</v>
      </c>
      <c r="C144" s="1186" t="s">
        <v>33</v>
      </c>
      <c r="D144" s="1186">
        <v>61</v>
      </c>
      <c r="E144" s="1186">
        <v>6</v>
      </c>
      <c r="F144" s="1186">
        <v>52</v>
      </c>
      <c r="G144" s="1186">
        <v>3</v>
      </c>
    </row>
    <row r="145" spans="1:7" x14ac:dyDescent="0.2">
      <c r="A145" s="1186" t="s">
        <v>828</v>
      </c>
      <c r="B145" s="1186" t="s">
        <v>17</v>
      </c>
      <c r="C145" s="1186" t="s">
        <v>34</v>
      </c>
      <c r="D145" s="1186">
        <v>118</v>
      </c>
      <c r="E145" s="1186">
        <v>25</v>
      </c>
      <c r="F145" s="1186">
        <v>78</v>
      </c>
      <c r="G145" s="1186">
        <v>15</v>
      </c>
    </row>
    <row r="146" spans="1:7" x14ac:dyDescent="0.2">
      <c r="A146" s="1186" t="s">
        <v>828</v>
      </c>
      <c r="B146" s="1186" t="s">
        <v>17</v>
      </c>
      <c r="C146" s="1186" t="s">
        <v>35</v>
      </c>
      <c r="D146" s="1186">
        <v>216</v>
      </c>
      <c r="E146" s="1186">
        <v>34</v>
      </c>
      <c r="F146" s="1186">
        <v>151</v>
      </c>
      <c r="G146" s="1186">
        <v>31</v>
      </c>
    </row>
    <row r="147" spans="1:7" x14ac:dyDescent="0.2">
      <c r="A147" s="1186" t="s">
        <v>828</v>
      </c>
      <c r="B147" s="1186" t="s">
        <v>17</v>
      </c>
      <c r="C147" s="1186" t="s">
        <v>36</v>
      </c>
      <c r="D147" s="1186">
        <v>763</v>
      </c>
      <c r="E147" s="1186">
        <v>119</v>
      </c>
      <c r="F147" s="1186">
        <v>523</v>
      </c>
      <c r="G147" s="1186">
        <v>121</v>
      </c>
    </row>
    <row r="148" spans="1:7" x14ac:dyDescent="0.2">
      <c r="A148" s="1186" t="s">
        <v>828</v>
      </c>
      <c r="B148" s="1186" t="s">
        <v>17</v>
      </c>
      <c r="C148" s="1186" t="s">
        <v>37</v>
      </c>
      <c r="D148" s="1186">
        <v>140</v>
      </c>
      <c r="E148" s="1186">
        <v>18</v>
      </c>
      <c r="F148" s="1186">
        <v>108</v>
      </c>
      <c r="G148" s="1186">
        <v>14</v>
      </c>
    </row>
    <row r="149" spans="1:7" x14ac:dyDescent="0.2">
      <c r="A149" s="1186" t="s">
        <v>828</v>
      </c>
      <c r="B149" s="1186" t="s">
        <v>17</v>
      </c>
      <c r="C149" s="1186" t="s">
        <v>38</v>
      </c>
      <c r="D149" s="1186">
        <v>87</v>
      </c>
      <c r="E149" s="1186">
        <v>19</v>
      </c>
      <c r="F149" s="1186">
        <v>59</v>
      </c>
      <c r="G149" s="1186">
        <v>9</v>
      </c>
    </row>
    <row r="150" spans="1:7" x14ac:dyDescent="0.2">
      <c r="A150" s="1186" t="s">
        <v>828</v>
      </c>
      <c r="B150" s="1186" t="s">
        <v>17</v>
      </c>
      <c r="C150" s="1186" t="s">
        <v>39</v>
      </c>
      <c r="D150" s="1186">
        <v>62</v>
      </c>
      <c r="E150" s="1186">
        <v>5</v>
      </c>
      <c r="F150" s="1186">
        <v>47</v>
      </c>
      <c r="G150" s="1186">
        <v>10</v>
      </c>
    </row>
    <row r="151" spans="1:7" x14ac:dyDescent="0.2">
      <c r="A151" s="1186" t="s">
        <v>828</v>
      </c>
      <c r="B151" s="1186" t="s">
        <v>17</v>
      </c>
      <c r="C151" s="1186" t="s">
        <v>40</v>
      </c>
      <c r="D151" s="1186">
        <v>69</v>
      </c>
      <c r="E151" s="1186">
        <v>10</v>
      </c>
      <c r="F151" s="1186">
        <v>56</v>
      </c>
      <c r="G151" s="1186">
        <v>3</v>
      </c>
    </row>
    <row r="152" spans="1:7" x14ac:dyDescent="0.2">
      <c r="A152" s="1186" t="s">
        <v>828</v>
      </c>
      <c r="B152" s="1186" t="s">
        <v>17</v>
      </c>
      <c r="C152" s="1186" t="s">
        <v>295</v>
      </c>
      <c r="D152" s="1186">
        <v>11</v>
      </c>
      <c r="E152" s="1186">
        <v>1</v>
      </c>
      <c r="F152" s="1186">
        <v>10</v>
      </c>
      <c r="G152" s="1186"/>
    </row>
    <row r="153" spans="1:7" x14ac:dyDescent="0.2">
      <c r="A153" s="1186" t="s">
        <v>828</v>
      </c>
      <c r="B153" s="1186" t="s">
        <v>17</v>
      </c>
      <c r="C153" s="1186" t="s">
        <v>41</v>
      </c>
      <c r="D153" s="1186">
        <v>135</v>
      </c>
      <c r="E153" s="1186">
        <v>21</v>
      </c>
      <c r="F153" s="1186">
        <v>101</v>
      </c>
      <c r="G153" s="1186">
        <v>13</v>
      </c>
    </row>
    <row r="154" spans="1:7" x14ac:dyDescent="0.2">
      <c r="A154" s="1186" t="s">
        <v>828</v>
      </c>
      <c r="B154" s="1186" t="s">
        <v>17</v>
      </c>
      <c r="C154" s="1186" t="s">
        <v>42</v>
      </c>
      <c r="D154" s="1186">
        <v>259</v>
      </c>
      <c r="E154" s="1186">
        <v>54</v>
      </c>
      <c r="F154" s="1186">
        <v>160</v>
      </c>
      <c r="G154" s="1186">
        <v>45</v>
      </c>
    </row>
    <row r="155" spans="1:7" x14ac:dyDescent="0.2">
      <c r="A155" s="1186" t="s">
        <v>828</v>
      </c>
      <c r="B155" s="1186" t="s">
        <v>17</v>
      </c>
      <c r="C155" s="1186" t="s">
        <v>43</v>
      </c>
      <c r="D155" s="1186">
        <v>10</v>
      </c>
      <c r="E155" s="1186"/>
      <c r="F155" s="1186">
        <v>8</v>
      </c>
      <c r="G155" s="1186">
        <v>2</v>
      </c>
    </row>
    <row r="156" spans="1:7" x14ac:dyDescent="0.2">
      <c r="A156" s="1186" t="s">
        <v>828</v>
      </c>
      <c r="B156" s="1186" t="s">
        <v>17</v>
      </c>
      <c r="C156" s="1186" t="s">
        <v>44</v>
      </c>
      <c r="D156" s="1186">
        <v>97</v>
      </c>
      <c r="E156" s="1186">
        <v>14</v>
      </c>
      <c r="F156" s="1186">
        <v>74</v>
      </c>
      <c r="G156" s="1186">
        <v>9</v>
      </c>
    </row>
    <row r="157" spans="1:7" x14ac:dyDescent="0.2">
      <c r="A157" s="1186" t="s">
        <v>828</v>
      </c>
      <c r="B157" s="1186" t="s">
        <v>17</v>
      </c>
      <c r="C157" s="1186" t="s">
        <v>45</v>
      </c>
      <c r="D157" s="1186">
        <v>223</v>
      </c>
      <c r="E157" s="1186">
        <v>38</v>
      </c>
      <c r="F157" s="1186">
        <v>157</v>
      </c>
      <c r="G157" s="1186">
        <v>28</v>
      </c>
    </row>
    <row r="158" spans="1:7" x14ac:dyDescent="0.2">
      <c r="A158" s="1186" t="s">
        <v>828</v>
      </c>
      <c r="B158" s="1186" t="s">
        <v>17</v>
      </c>
      <c r="C158" s="1186" t="s">
        <v>46</v>
      </c>
      <c r="D158" s="1186">
        <v>101</v>
      </c>
      <c r="E158" s="1186">
        <v>5</v>
      </c>
      <c r="F158" s="1186">
        <v>83</v>
      </c>
      <c r="G158" s="1186">
        <v>13</v>
      </c>
    </row>
    <row r="159" spans="1:7" x14ac:dyDescent="0.2">
      <c r="A159" s="1186" t="s">
        <v>828</v>
      </c>
      <c r="B159" s="1186" t="s">
        <v>17</v>
      </c>
      <c r="C159" s="1186" t="s">
        <v>47</v>
      </c>
      <c r="D159" s="1186">
        <v>11</v>
      </c>
      <c r="E159" s="1186">
        <v>4</v>
      </c>
      <c r="F159" s="1186">
        <v>7</v>
      </c>
      <c r="G159" s="1186"/>
    </row>
    <row r="160" spans="1:7" x14ac:dyDescent="0.2">
      <c r="A160" s="1186" t="s">
        <v>828</v>
      </c>
      <c r="B160" s="1186" t="s">
        <v>17</v>
      </c>
      <c r="C160" s="1186" t="s">
        <v>48</v>
      </c>
      <c r="D160" s="1186">
        <v>86</v>
      </c>
      <c r="E160" s="1186">
        <v>15</v>
      </c>
      <c r="F160" s="1186">
        <v>66</v>
      </c>
      <c r="G160" s="1186">
        <v>5</v>
      </c>
    </row>
    <row r="161" spans="1:7" x14ac:dyDescent="0.2">
      <c r="A161" s="1186" t="s">
        <v>828</v>
      </c>
      <c r="B161" s="1186" t="s">
        <v>17</v>
      </c>
      <c r="C161" s="1186" t="s">
        <v>49</v>
      </c>
      <c r="D161" s="1186">
        <v>228</v>
      </c>
      <c r="E161" s="1186">
        <v>47</v>
      </c>
      <c r="F161" s="1186">
        <v>152</v>
      </c>
      <c r="G161" s="1186">
        <v>29</v>
      </c>
    </row>
    <row r="162" spans="1:7" x14ac:dyDescent="0.2">
      <c r="A162" s="1186" t="s">
        <v>828</v>
      </c>
      <c r="B162" s="1186" t="s">
        <v>17</v>
      </c>
      <c r="C162" s="1186" t="s">
        <v>50</v>
      </c>
      <c r="D162" s="1186">
        <v>66</v>
      </c>
      <c r="E162" s="1186">
        <v>5</v>
      </c>
      <c r="F162" s="1186">
        <v>57</v>
      </c>
      <c r="G162" s="1186">
        <v>4</v>
      </c>
    </row>
    <row r="163" spans="1:7" x14ac:dyDescent="0.2">
      <c r="A163" s="1186" t="s">
        <v>828</v>
      </c>
      <c r="B163" s="1186" t="s">
        <v>17</v>
      </c>
      <c r="C163" s="1186" t="s">
        <v>51</v>
      </c>
      <c r="D163" s="1186">
        <v>105</v>
      </c>
      <c r="E163" s="1186">
        <v>22</v>
      </c>
      <c r="F163" s="1186">
        <v>75</v>
      </c>
      <c r="G163" s="1186">
        <v>8</v>
      </c>
    </row>
    <row r="164" spans="1:7" x14ac:dyDescent="0.2">
      <c r="A164" s="1186" t="s">
        <v>828</v>
      </c>
      <c r="B164" s="1186" t="s">
        <v>17</v>
      </c>
      <c r="C164" s="1186" t="s">
        <v>52</v>
      </c>
      <c r="D164" s="1186">
        <v>164</v>
      </c>
      <c r="E164" s="1186">
        <v>19</v>
      </c>
      <c r="F164" s="1186">
        <v>121</v>
      </c>
      <c r="G164" s="1186">
        <v>24</v>
      </c>
    </row>
    <row r="165" spans="1:7" x14ac:dyDescent="0.2">
      <c r="A165" s="1186" t="s">
        <v>828</v>
      </c>
      <c r="B165" s="1186" t="s">
        <v>133</v>
      </c>
      <c r="C165" s="1186" t="s">
        <v>23</v>
      </c>
      <c r="D165" s="1186">
        <v>274</v>
      </c>
      <c r="E165" s="1186">
        <v>44</v>
      </c>
      <c r="F165" s="1186">
        <v>195</v>
      </c>
      <c r="G165" s="1186">
        <v>35</v>
      </c>
    </row>
    <row r="166" spans="1:7" x14ac:dyDescent="0.2">
      <c r="A166" s="1186" t="s">
        <v>828</v>
      </c>
      <c r="B166" s="1186" t="s">
        <v>133</v>
      </c>
      <c r="C166" s="1186" t="s">
        <v>24</v>
      </c>
      <c r="D166" s="1186">
        <v>191</v>
      </c>
      <c r="E166" s="1186">
        <v>20</v>
      </c>
      <c r="F166" s="1186">
        <v>161</v>
      </c>
      <c r="G166" s="1186">
        <v>10</v>
      </c>
    </row>
    <row r="167" spans="1:7" x14ac:dyDescent="0.2">
      <c r="A167" s="1186" t="s">
        <v>828</v>
      </c>
      <c r="B167" s="1186" t="s">
        <v>133</v>
      </c>
      <c r="C167" s="1186" t="s">
        <v>25</v>
      </c>
      <c r="D167" s="1186">
        <v>103</v>
      </c>
      <c r="E167" s="1186">
        <v>15</v>
      </c>
      <c r="F167" s="1186">
        <v>77</v>
      </c>
      <c r="G167" s="1186">
        <v>11</v>
      </c>
    </row>
    <row r="168" spans="1:7" x14ac:dyDescent="0.2">
      <c r="A168" s="1186" t="s">
        <v>828</v>
      </c>
      <c r="B168" s="1186" t="s">
        <v>133</v>
      </c>
      <c r="C168" s="1186" t="s">
        <v>26</v>
      </c>
      <c r="D168" s="1186">
        <v>81</v>
      </c>
      <c r="E168" s="1186">
        <v>9</v>
      </c>
      <c r="F168" s="1186">
        <v>60</v>
      </c>
      <c r="G168" s="1186">
        <v>12</v>
      </c>
    </row>
    <row r="169" spans="1:7" x14ac:dyDescent="0.2">
      <c r="A169" s="1186" t="s">
        <v>828</v>
      </c>
      <c r="B169" s="1186" t="s">
        <v>133</v>
      </c>
      <c r="C169" s="1186" t="s">
        <v>619</v>
      </c>
      <c r="D169" s="1186">
        <v>563</v>
      </c>
      <c r="E169" s="1186">
        <v>72</v>
      </c>
      <c r="F169" s="1186">
        <v>366</v>
      </c>
      <c r="G169" s="1186">
        <v>125</v>
      </c>
    </row>
    <row r="170" spans="1:7" x14ac:dyDescent="0.2">
      <c r="A170" s="1186" t="s">
        <v>828</v>
      </c>
      <c r="B170" s="1186" t="s">
        <v>133</v>
      </c>
      <c r="C170" s="1186" t="s">
        <v>27</v>
      </c>
      <c r="D170" s="1186">
        <v>43</v>
      </c>
      <c r="E170" s="1186">
        <v>9</v>
      </c>
      <c r="F170" s="1186">
        <v>31</v>
      </c>
      <c r="G170" s="1186">
        <v>3</v>
      </c>
    </row>
    <row r="171" spans="1:7" x14ac:dyDescent="0.2">
      <c r="A171" s="1186" t="s">
        <v>828</v>
      </c>
      <c r="B171" s="1186" t="s">
        <v>133</v>
      </c>
      <c r="C171" s="1186" t="s">
        <v>28</v>
      </c>
      <c r="D171" s="1186">
        <v>93</v>
      </c>
      <c r="E171" s="1186">
        <v>12</v>
      </c>
      <c r="F171" s="1186">
        <v>72</v>
      </c>
      <c r="G171" s="1186">
        <v>9</v>
      </c>
    </row>
    <row r="172" spans="1:7" x14ac:dyDescent="0.2">
      <c r="A172" s="1186" t="s">
        <v>828</v>
      </c>
      <c r="B172" s="1186" t="s">
        <v>133</v>
      </c>
      <c r="C172" s="1186" t="s">
        <v>29</v>
      </c>
      <c r="D172" s="1186">
        <v>180</v>
      </c>
      <c r="E172" s="1186">
        <v>31</v>
      </c>
      <c r="F172" s="1186">
        <v>122</v>
      </c>
      <c r="G172" s="1186">
        <v>27</v>
      </c>
    </row>
    <row r="173" spans="1:7" x14ac:dyDescent="0.2">
      <c r="A173" s="1186" t="s">
        <v>828</v>
      </c>
      <c r="B173" s="1186" t="s">
        <v>133</v>
      </c>
      <c r="C173" s="1186" t="s">
        <v>30</v>
      </c>
      <c r="D173" s="1186">
        <v>101</v>
      </c>
      <c r="E173" s="1186">
        <v>19</v>
      </c>
      <c r="F173" s="1186">
        <v>76</v>
      </c>
      <c r="G173" s="1186">
        <v>6</v>
      </c>
    </row>
    <row r="174" spans="1:7" x14ac:dyDescent="0.2">
      <c r="A174" s="1186" t="s">
        <v>828</v>
      </c>
      <c r="B174" s="1186" t="s">
        <v>133</v>
      </c>
      <c r="C174" s="1186" t="s">
        <v>31</v>
      </c>
      <c r="D174" s="1186">
        <v>69</v>
      </c>
      <c r="E174" s="1186">
        <v>7</v>
      </c>
      <c r="F174" s="1186">
        <v>58</v>
      </c>
      <c r="G174" s="1186">
        <v>4</v>
      </c>
    </row>
    <row r="175" spans="1:7" x14ac:dyDescent="0.2">
      <c r="A175" s="1186" t="s">
        <v>828</v>
      </c>
      <c r="B175" s="1186" t="s">
        <v>133</v>
      </c>
      <c r="C175" s="1186" t="s">
        <v>32</v>
      </c>
      <c r="D175" s="1186">
        <v>72</v>
      </c>
      <c r="E175" s="1186">
        <v>8</v>
      </c>
      <c r="F175" s="1186">
        <v>58</v>
      </c>
      <c r="G175" s="1186">
        <v>6</v>
      </c>
    </row>
    <row r="176" spans="1:7" x14ac:dyDescent="0.2">
      <c r="A176" s="1186" t="s">
        <v>828</v>
      </c>
      <c r="B176" s="1186" t="s">
        <v>133</v>
      </c>
      <c r="C176" s="1186" t="s">
        <v>33</v>
      </c>
      <c r="D176" s="1186">
        <v>66</v>
      </c>
      <c r="E176" s="1186">
        <v>9</v>
      </c>
      <c r="F176" s="1186">
        <v>55</v>
      </c>
      <c r="G176" s="1186">
        <v>2</v>
      </c>
    </row>
    <row r="177" spans="1:7" x14ac:dyDescent="0.2">
      <c r="A177" s="1186" t="s">
        <v>828</v>
      </c>
      <c r="B177" s="1186" t="s">
        <v>133</v>
      </c>
      <c r="C177" s="1186" t="s">
        <v>34</v>
      </c>
      <c r="D177" s="1186">
        <v>111</v>
      </c>
      <c r="E177" s="1186">
        <v>18</v>
      </c>
      <c r="F177" s="1186">
        <v>80</v>
      </c>
      <c r="G177" s="1186">
        <v>13</v>
      </c>
    </row>
    <row r="178" spans="1:7" x14ac:dyDescent="0.2">
      <c r="A178" s="1186" t="s">
        <v>828</v>
      </c>
      <c r="B178" s="1186" t="s">
        <v>133</v>
      </c>
      <c r="C178" s="1186" t="s">
        <v>35</v>
      </c>
      <c r="D178" s="1186">
        <v>231</v>
      </c>
      <c r="E178" s="1186">
        <v>33</v>
      </c>
      <c r="F178" s="1186">
        <v>182</v>
      </c>
      <c r="G178" s="1186">
        <v>16</v>
      </c>
    </row>
    <row r="179" spans="1:7" x14ac:dyDescent="0.2">
      <c r="A179" s="1186" t="s">
        <v>828</v>
      </c>
      <c r="B179" s="1186" t="s">
        <v>133</v>
      </c>
      <c r="C179" s="1186" t="s">
        <v>36</v>
      </c>
      <c r="D179" s="1186">
        <v>836</v>
      </c>
      <c r="E179" s="1186">
        <v>121</v>
      </c>
      <c r="F179" s="1186">
        <v>616</v>
      </c>
      <c r="G179" s="1186">
        <v>99</v>
      </c>
    </row>
    <row r="180" spans="1:7" x14ac:dyDescent="0.2">
      <c r="A180" s="1186" t="s">
        <v>828</v>
      </c>
      <c r="B180" s="1186" t="s">
        <v>133</v>
      </c>
      <c r="C180" s="1186" t="s">
        <v>37</v>
      </c>
      <c r="D180" s="1186">
        <v>160</v>
      </c>
      <c r="E180" s="1186">
        <v>15</v>
      </c>
      <c r="F180" s="1186">
        <v>120</v>
      </c>
      <c r="G180" s="1186">
        <v>25</v>
      </c>
    </row>
    <row r="181" spans="1:7" x14ac:dyDescent="0.2">
      <c r="A181" s="1186" t="s">
        <v>828</v>
      </c>
      <c r="B181" s="1186" t="s">
        <v>133</v>
      </c>
      <c r="C181" s="1186" t="s">
        <v>38</v>
      </c>
      <c r="D181" s="1186">
        <v>93</v>
      </c>
      <c r="E181" s="1186">
        <v>16</v>
      </c>
      <c r="F181" s="1186">
        <v>70</v>
      </c>
      <c r="G181" s="1186">
        <v>7</v>
      </c>
    </row>
    <row r="182" spans="1:7" x14ac:dyDescent="0.2">
      <c r="A182" s="1186" t="s">
        <v>828</v>
      </c>
      <c r="B182" s="1186" t="s">
        <v>133</v>
      </c>
      <c r="C182" s="1186" t="s">
        <v>39</v>
      </c>
      <c r="D182" s="1186">
        <v>56</v>
      </c>
      <c r="E182" s="1186">
        <v>11</v>
      </c>
      <c r="F182" s="1186">
        <v>35</v>
      </c>
      <c r="G182" s="1186">
        <v>10</v>
      </c>
    </row>
    <row r="183" spans="1:7" x14ac:dyDescent="0.2">
      <c r="A183" s="1186" t="s">
        <v>828</v>
      </c>
      <c r="B183" s="1186" t="s">
        <v>133</v>
      </c>
      <c r="C183" s="1186" t="s">
        <v>40</v>
      </c>
      <c r="D183" s="1186">
        <v>53</v>
      </c>
      <c r="E183" s="1186">
        <v>12</v>
      </c>
      <c r="F183" s="1186">
        <v>36</v>
      </c>
      <c r="G183" s="1186">
        <v>5</v>
      </c>
    </row>
    <row r="184" spans="1:7" x14ac:dyDescent="0.2">
      <c r="A184" s="1186" t="s">
        <v>828</v>
      </c>
      <c r="B184" s="1186" t="s">
        <v>133</v>
      </c>
      <c r="C184" s="1186" t="s">
        <v>295</v>
      </c>
      <c r="D184" s="1186">
        <v>22</v>
      </c>
      <c r="E184" s="1186">
        <v>1</v>
      </c>
      <c r="F184" s="1186">
        <v>21</v>
      </c>
      <c r="G184" s="1186"/>
    </row>
    <row r="185" spans="1:7" x14ac:dyDescent="0.2">
      <c r="A185" s="1186" t="s">
        <v>828</v>
      </c>
      <c r="B185" s="1186" t="s">
        <v>133</v>
      </c>
      <c r="C185" s="1186" t="s">
        <v>41</v>
      </c>
      <c r="D185" s="1186">
        <v>154</v>
      </c>
      <c r="E185" s="1186">
        <v>10</v>
      </c>
      <c r="F185" s="1186">
        <v>128</v>
      </c>
      <c r="G185" s="1186">
        <v>16</v>
      </c>
    </row>
    <row r="186" spans="1:7" x14ac:dyDescent="0.2">
      <c r="A186" s="1186" t="s">
        <v>828</v>
      </c>
      <c r="B186" s="1186" t="s">
        <v>133</v>
      </c>
      <c r="C186" s="1186" t="s">
        <v>42</v>
      </c>
      <c r="D186" s="1186">
        <v>286</v>
      </c>
      <c r="E186" s="1186">
        <v>35</v>
      </c>
      <c r="F186" s="1186">
        <v>209</v>
      </c>
      <c r="G186" s="1186">
        <v>42</v>
      </c>
    </row>
    <row r="187" spans="1:7" x14ac:dyDescent="0.2">
      <c r="A187" s="1186" t="s">
        <v>828</v>
      </c>
      <c r="B187" s="1186" t="s">
        <v>133</v>
      </c>
      <c r="C187" s="1186" t="s">
        <v>43</v>
      </c>
      <c r="D187" s="1186">
        <v>12</v>
      </c>
      <c r="E187" s="1186"/>
      <c r="F187" s="1186">
        <v>11</v>
      </c>
      <c r="G187" s="1186">
        <v>1</v>
      </c>
    </row>
    <row r="188" spans="1:7" x14ac:dyDescent="0.2">
      <c r="A188" s="1186" t="s">
        <v>828</v>
      </c>
      <c r="B188" s="1186" t="s">
        <v>133</v>
      </c>
      <c r="C188" s="1186" t="s">
        <v>44</v>
      </c>
      <c r="D188" s="1186">
        <v>124</v>
      </c>
      <c r="E188" s="1186">
        <v>16</v>
      </c>
      <c r="F188" s="1186">
        <v>88</v>
      </c>
      <c r="G188" s="1186">
        <v>20</v>
      </c>
    </row>
    <row r="189" spans="1:7" x14ac:dyDescent="0.2">
      <c r="A189" s="1186" t="s">
        <v>828</v>
      </c>
      <c r="B189" s="1186" t="s">
        <v>133</v>
      </c>
      <c r="C189" s="1186" t="s">
        <v>45</v>
      </c>
      <c r="D189" s="1186">
        <v>221</v>
      </c>
      <c r="E189" s="1186">
        <v>47</v>
      </c>
      <c r="F189" s="1186">
        <v>161</v>
      </c>
      <c r="G189" s="1186">
        <v>13</v>
      </c>
    </row>
    <row r="190" spans="1:7" x14ac:dyDescent="0.2">
      <c r="A190" s="1186" t="s">
        <v>828</v>
      </c>
      <c r="B190" s="1186" t="s">
        <v>133</v>
      </c>
      <c r="C190" s="1186" t="s">
        <v>46</v>
      </c>
      <c r="D190" s="1186">
        <v>80</v>
      </c>
      <c r="E190" s="1186">
        <v>18</v>
      </c>
      <c r="F190" s="1186">
        <v>55</v>
      </c>
      <c r="G190" s="1186">
        <v>7</v>
      </c>
    </row>
    <row r="191" spans="1:7" x14ac:dyDescent="0.2">
      <c r="A191" s="1186" t="s">
        <v>828</v>
      </c>
      <c r="B191" s="1186" t="s">
        <v>133</v>
      </c>
      <c r="C191" s="1186" t="s">
        <v>47</v>
      </c>
      <c r="D191" s="1186">
        <v>11</v>
      </c>
      <c r="E191" s="1186"/>
      <c r="F191" s="1186">
        <v>10</v>
      </c>
      <c r="G191" s="1186">
        <v>1</v>
      </c>
    </row>
    <row r="192" spans="1:7" x14ac:dyDescent="0.2">
      <c r="A192" s="1186" t="s">
        <v>828</v>
      </c>
      <c r="B192" s="1186" t="s">
        <v>133</v>
      </c>
      <c r="C192" s="1186" t="s">
        <v>48</v>
      </c>
      <c r="D192" s="1186">
        <v>78</v>
      </c>
      <c r="E192" s="1186">
        <v>14</v>
      </c>
      <c r="F192" s="1186">
        <v>50</v>
      </c>
      <c r="G192" s="1186">
        <v>14</v>
      </c>
    </row>
    <row r="193" spans="1:7" x14ac:dyDescent="0.2">
      <c r="A193" s="1186" t="s">
        <v>828</v>
      </c>
      <c r="B193" s="1186" t="s">
        <v>133</v>
      </c>
      <c r="C193" s="1186" t="s">
        <v>49</v>
      </c>
      <c r="D193" s="1186">
        <v>267</v>
      </c>
      <c r="E193" s="1186">
        <v>35</v>
      </c>
      <c r="F193" s="1186">
        <v>199</v>
      </c>
      <c r="G193" s="1186">
        <v>33</v>
      </c>
    </row>
    <row r="194" spans="1:7" x14ac:dyDescent="0.2">
      <c r="A194" s="1186" t="s">
        <v>828</v>
      </c>
      <c r="B194" s="1186" t="s">
        <v>133</v>
      </c>
      <c r="C194" s="1186" t="s">
        <v>50</v>
      </c>
      <c r="D194" s="1186">
        <v>83</v>
      </c>
      <c r="E194" s="1186">
        <v>10</v>
      </c>
      <c r="F194" s="1186">
        <v>65</v>
      </c>
      <c r="G194" s="1186">
        <v>8</v>
      </c>
    </row>
    <row r="195" spans="1:7" x14ac:dyDescent="0.2">
      <c r="A195" s="1186" t="s">
        <v>828</v>
      </c>
      <c r="B195" s="1186" t="s">
        <v>133</v>
      </c>
      <c r="C195" s="1186" t="s">
        <v>51</v>
      </c>
      <c r="D195" s="1186">
        <v>83</v>
      </c>
      <c r="E195" s="1186">
        <v>20</v>
      </c>
      <c r="F195" s="1186">
        <v>56</v>
      </c>
      <c r="G195" s="1186">
        <v>7</v>
      </c>
    </row>
    <row r="196" spans="1:7" x14ac:dyDescent="0.2">
      <c r="A196" s="1186" t="s">
        <v>828</v>
      </c>
      <c r="B196" s="1186" t="s">
        <v>133</v>
      </c>
      <c r="C196" s="1186" t="s">
        <v>52</v>
      </c>
      <c r="D196" s="1186">
        <v>156</v>
      </c>
      <c r="E196" s="1186">
        <v>18</v>
      </c>
      <c r="F196" s="1186">
        <v>112</v>
      </c>
      <c r="G196" s="1186">
        <v>26</v>
      </c>
    </row>
    <row r="197" spans="1:7" x14ac:dyDescent="0.2">
      <c r="A197" s="1186" t="s">
        <v>828</v>
      </c>
      <c r="B197" s="1186" t="s">
        <v>144</v>
      </c>
      <c r="C197" s="1186" t="s">
        <v>23</v>
      </c>
      <c r="D197" s="1186">
        <v>299</v>
      </c>
      <c r="E197" s="1186">
        <v>47</v>
      </c>
      <c r="F197" s="1186">
        <v>221</v>
      </c>
      <c r="G197" s="1186">
        <v>31</v>
      </c>
    </row>
    <row r="198" spans="1:7" x14ac:dyDescent="0.2">
      <c r="A198" s="1186" t="s">
        <v>828</v>
      </c>
      <c r="B198" s="1186" t="s">
        <v>144</v>
      </c>
      <c r="C198" s="1186" t="s">
        <v>24</v>
      </c>
      <c r="D198" s="1186">
        <v>180</v>
      </c>
      <c r="E198" s="1186">
        <v>21</v>
      </c>
      <c r="F198" s="1186">
        <v>155</v>
      </c>
      <c r="G198" s="1186">
        <v>4</v>
      </c>
    </row>
    <row r="199" spans="1:7" x14ac:dyDescent="0.2">
      <c r="A199" s="1186" t="s">
        <v>828</v>
      </c>
      <c r="B199" s="1186" t="s">
        <v>144</v>
      </c>
      <c r="C199" s="1186" t="s">
        <v>25</v>
      </c>
      <c r="D199" s="1186">
        <v>88</v>
      </c>
      <c r="E199" s="1186">
        <v>15</v>
      </c>
      <c r="F199" s="1186">
        <v>66</v>
      </c>
      <c r="G199" s="1186">
        <v>7</v>
      </c>
    </row>
    <row r="200" spans="1:7" x14ac:dyDescent="0.2">
      <c r="A200" s="1186" t="s">
        <v>828</v>
      </c>
      <c r="B200" s="1186" t="s">
        <v>144</v>
      </c>
      <c r="C200" s="1186" t="s">
        <v>26</v>
      </c>
      <c r="D200" s="1186">
        <v>60</v>
      </c>
      <c r="E200" s="1186">
        <v>7</v>
      </c>
      <c r="F200" s="1186">
        <v>49</v>
      </c>
      <c r="G200" s="1186">
        <v>4</v>
      </c>
    </row>
    <row r="201" spans="1:7" x14ac:dyDescent="0.2">
      <c r="A201" s="1186" t="s">
        <v>828</v>
      </c>
      <c r="B201" s="1186" t="s">
        <v>144</v>
      </c>
      <c r="C201" s="1186" t="s">
        <v>619</v>
      </c>
      <c r="D201" s="1186">
        <v>545</v>
      </c>
      <c r="E201" s="1186">
        <v>76</v>
      </c>
      <c r="F201" s="1186">
        <v>375</v>
      </c>
      <c r="G201" s="1186">
        <v>94</v>
      </c>
    </row>
    <row r="202" spans="1:7" x14ac:dyDescent="0.2">
      <c r="A202" s="1186" t="s">
        <v>828</v>
      </c>
      <c r="B202" s="1186" t="s">
        <v>144</v>
      </c>
      <c r="C202" s="1186" t="s">
        <v>27</v>
      </c>
      <c r="D202" s="1186">
        <v>71</v>
      </c>
      <c r="E202" s="1186">
        <v>11</v>
      </c>
      <c r="F202" s="1186">
        <v>53</v>
      </c>
      <c r="G202" s="1186">
        <v>7</v>
      </c>
    </row>
    <row r="203" spans="1:7" x14ac:dyDescent="0.2">
      <c r="A203" s="1186" t="s">
        <v>828</v>
      </c>
      <c r="B203" s="1186" t="s">
        <v>144</v>
      </c>
      <c r="C203" s="1186" t="s">
        <v>28</v>
      </c>
      <c r="D203" s="1186">
        <v>82</v>
      </c>
      <c r="E203" s="1186">
        <v>5</v>
      </c>
      <c r="F203" s="1186">
        <v>70</v>
      </c>
      <c r="G203" s="1186">
        <v>7</v>
      </c>
    </row>
    <row r="204" spans="1:7" x14ac:dyDescent="0.2">
      <c r="A204" s="1186" t="s">
        <v>828</v>
      </c>
      <c r="B204" s="1186" t="s">
        <v>144</v>
      </c>
      <c r="C204" s="1186" t="s">
        <v>29</v>
      </c>
      <c r="D204" s="1186">
        <v>227</v>
      </c>
      <c r="E204" s="1186">
        <v>50</v>
      </c>
      <c r="F204" s="1186">
        <v>139</v>
      </c>
      <c r="G204" s="1186">
        <v>38</v>
      </c>
    </row>
    <row r="205" spans="1:7" x14ac:dyDescent="0.2">
      <c r="A205" s="1186" t="s">
        <v>828</v>
      </c>
      <c r="B205" s="1186" t="s">
        <v>144</v>
      </c>
      <c r="C205" s="1186" t="s">
        <v>30</v>
      </c>
      <c r="D205" s="1186">
        <v>92</v>
      </c>
      <c r="E205" s="1186">
        <v>14</v>
      </c>
      <c r="F205" s="1186">
        <v>68</v>
      </c>
      <c r="G205" s="1186">
        <v>10</v>
      </c>
    </row>
    <row r="206" spans="1:7" x14ac:dyDescent="0.2">
      <c r="A206" s="1186" t="s">
        <v>828</v>
      </c>
      <c r="B206" s="1186" t="s">
        <v>144</v>
      </c>
      <c r="C206" s="1186" t="s">
        <v>31</v>
      </c>
      <c r="D206" s="1186">
        <v>71</v>
      </c>
      <c r="E206" s="1186">
        <v>7</v>
      </c>
      <c r="F206" s="1186">
        <v>57</v>
      </c>
      <c r="G206" s="1186">
        <v>7</v>
      </c>
    </row>
    <row r="207" spans="1:7" x14ac:dyDescent="0.2">
      <c r="A207" s="1186" t="s">
        <v>828</v>
      </c>
      <c r="B207" s="1186" t="s">
        <v>144</v>
      </c>
      <c r="C207" s="1186" t="s">
        <v>32</v>
      </c>
      <c r="D207" s="1186">
        <v>80</v>
      </c>
      <c r="E207" s="1186">
        <v>5</v>
      </c>
      <c r="F207" s="1186">
        <v>69</v>
      </c>
      <c r="G207" s="1186">
        <v>6</v>
      </c>
    </row>
    <row r="208" spans="1:7" x14ac:dyDescent="0.2">
      <c r="A208" s="1186" t="s">
        <v>828</v>
      </c>
      <c r="B208" s="1186" t="s">
        <v>144</v>
      </c>
      <c r="C208" s="1186" t="s">
        <v>33</v>
      </c>
      <c r="D208" s="1186">
        <v>63</v>
      </c>
      <c r="E208" s="1186">
        <v>5</v>
      </c>
      <c r="F208" s="1186">
        <v>52</v>
      </c>
      <c r="G208" s="1186">
        <v>6</v>
      </c>
    </row>
    <row r="209" spans="1:7" x14ac:dyDescent="0.2">
      <c r="A209" s="1186" t="s">
        <v>828</v>
      </c>
      <c r="B209" s="1186" t="s">
        <v>144</v>
      </c>
      <c r="C209" s="1186" t="s">
        <v>34</v>
      </c>
      <c r="D209" s="1186">
        <v>123</v>
      </c>
      <c r="E209" s="1186">
        <v>20</v>
      </c>
      <c r="F209" s="1186">
        <v>87</v>
      </c>
      <c r="G209" s="1186">
        <v>16</v>
      </c>
    </row>
    <row r="210" spans="1:7" x14ac:dyDescent="0.2">
      <c r="A210" s="1186" t="s">
        <v>828</v>
      </c>
      <c r="B210" s="1186" t="s">
        <v>144</v>
      </c>
      <c r="C210" s="1186" t="s">
        <v>35</v>
      </c>
      <c r="D210" s="1186">
        <v>254</v>
      </c>
      <c r="E210" s="1186">
        <v>39</v>
      </c>
      <c r="F210" s="1186">
        <v>193</v>
      </c>
      <c r="G210" s="1186">
        <v>22</v>
      </c>
    </row>
    <row r="211" spans="1:7" x14ac:dyDescent="0.2">
      <c r="A211" s="1186" t="s">
        <v>828</v>
      </c>
      <c r="B211" s="1186" t="s">
        <v>144</v>
      </c>
      <c r="C211" s="1186" t="s">
        <v>36</v>
      </c>
      <c r="D211" s="1186">
        <v>833</v>
      </c>
      <c r="E211" s="1186">
        <v>113</v>
      </c>
      <c r="F211" s="1186">
        <v>608</v>
      </c>
      <c r="G211" s="1186">
        <v>112</v>
      </c>
    </row>
    <row r="212" spans="1:7" x14ac:dyDescent="0.2">
      <c r="A212" s="1186" t="s">
        <v>828</v>
      </c>
      <c r="B212" s="1186" t="s">
        <v>144</v>
      </c>
      <c r="C212" s="1186" t="s">
        <v>37</v>
      </c>
      <c r="D212" s="1186">
        <v>120</v>
      </c>
      <c r="E212" s="1186">
        <v>15</v>
      </c>
      <c r="F212" s="1186">
        <v>94</v>
      </c>
      <c r="G212" s="1186">
        <v>11</v>
      </c>
    </row>
    <row r="213" spans="1:7" x14ac:dyDescent="0.2">
      <c r="A213" s="1186" t="s">
        <v>828</v>
      </c>
      <c r="B213" s="1186" t="s">
        <v>144</v>
      </c>
      <c r="C213" s="1186" t="s">
        <v>38</v>
      </c>
      <c r="D213" s="1186">
        <v>111</v>
      </c>
      <c r="E213" s="1186">
        <v>21</v>
      </c>
      <c r="F213" s="1186">
        <v>78</v>
      </c>
      <c r="G213" s="1186">
        <v>12</v>
      </c>
    </row>
    <row r="214" spans="1:7" x14ac:dyDescent="0.2">
      <c r="A214" s="1186" t="s">
        <v>828</v>
      </c>
      <c r="B214" s="1186" t="s">
        <v>144</v>
      </c>
      <c r="C214" s="1186" t="s">
        <v>39</v>
      </c>
      <c r="D214" s="1186">
        <v>60</v>
      </c>
      <c r="E214" s="1186">
        <v>9</v>
      </c>
      <c r="F214" s="1186">
        <v>42</v>
      </c>
      <c r="G214" s="1186">
        <v>9</v>
      </c>
    </row>
    <row r="215" spans="1:7" x14ac:dyDescent="0.2">
      <c r="A215" s="1186" t="s">
        <v>828</v>
      </c>
      <c r="B215" s="1186" t="s">
        <v>144</v>
      </c>
      <c r="C215" s="1186" t="s">
        <v>40</v>
      </c>
      <c r="D215" s="1186">
        <v>47</v>
      </c>
      <c r="E215" s="1186">
        <v>3</v>
      </c>
      <c r="F215" s="1186">
        <v>39</v>
      </c>
      <c r="G215" s="1186">
        <v>5</v>
      </c>
    </row>
    <row r="216" spans="1:7" x14ac:dyDescent="0.2">
      <c r="A216" s="1186" t="s">
        <v>828</v>
      </c>
      <c r="B216" s="1186" t="s">
        <v>144</v>
      </c>
      <c r="C216" s="1186" t="s">
        <v>295</v>
      </c>
      <c r="D216" s="1186">
        <v>20</v>
      </c>
      <c r="E216" s="1186">
        <v>5</v>
      </c>
      <c r="F216" s="1186">
        <v>14</v>
      </c>
      <c r="G216" s="1186">
        <v>1</v>
      </c>
    </row>
    <row r="217" spans="1:7" x14ac:dyDescent="0.2">
      <c r="A217" s="1186" t="s">
        <v>828</v>
      </c>
      <c r="B217" s="1186" t="s">
        <v>144</v>
      </c>
      <c r="C217" s="1186" t="s">
        <v>41</v>
      </c>
      <c r="D217" s="1186">
        <v>160</v>
      </c>
      <c r="E217" s="1186">
        <v>15</v>
      </c>
      <c r="F217" s="1186">
        <v>133</v>
      </c>
      <c r="G217" s="1186">
        <v>12</v>
      </c>
    </row>
    <row r="218" spans="1:7" x14ac:dyDescent="0.2">
      <c r="A218" s="1186" t="s">
        <v>828</v>
      </c>
      <c r="B218" s="1186" t="s">
        <v>144</v>
      </c>
      <c r="C218" s="1186" t="s">
        <v>42</v>
      </c>
      <c r="D218" s="1186">
        <v>294</v>
      </c>
      <c r="E218" s="1186">
        <v>48</v>
      </c>
      <c r="F218" s="1186">
        <v>213</v>
      </c>
      <c r="G218" s="1186">
        <v>33</v>
      </c>
    </row>
    <row r="219" spans="1:7" x14ac:dyDescent="0.2">
      <c r="A219" s="1186" t="s">
        <v>828</v>
      </c>
      <c r="B219" s="1186" t="s">
        <v>144</v>
      </c>
      <c r="C219" s="1186" t="s">
        <v>43</v>
      </c>
      <c r="D219" s="1186">
        <v>11</v>
      </c>
      <c r="E219" s="1186"/>
      <c r="F219" s="1186">
        <v>11</v>
      </c>
      <c r="G219" s="1186"/>
    </row>
    <row r="220" spans="1:7" x14ac:dyDescent="0.2">
      <c r="A220" s="1186" t="s">
        <v>828</v>
      </c>
      <c r="B220" s="1186" t="s">
        <v>144</v>
      </c>
      <c r="C220" s="1186" t="s">
        <v>44</v>
      </c>
      <c r="D220" s="1186">
        <v>119</v>
      </c>
      <c r="E220" s="1186">
        <v>14</v>
      </c>
      <c r="F220" s="1186">
        <v>97</v>
      </c>
      <c r="G220" s="1186">
        <v>8</v>
      </c>
    </row>
    <row r="221" spans="1:7" x14ac:dyDescent="0.2">
      <c r="A221" s="1186" t="s">
        <v>828</v>
      </c>
      <c r="B221" s="1186" t="s">
        <v>144</v>
      </c>
      <c r="C221" s="1186" t="s">
        <v>45</v>
      </c>
      <c r="D221" s="1186">
        <v>207</v>
      </c>
      <c r="E221" s="1186">
        <v>34</v>
      </c>
      <c r="F221" s="1186">
        <v>154</v>
      </c>
      <c r="G221" s="1186">
        <v>19</v>
      </c>
    </row>
    <row r="222" spans="1:7" x14ac:dyDescent="0.2">
      <c r="A222" s="1186" t="s">
        <v>828</v>
      </c>
      <c r="B222" s="1186" t="s">
        <v>144</v>
      </c>
      <c r="C222" s="1186" t="s">
        <v>46</v>
      </c>
      <c r="D222" s="1186">
        <v>104</v>
      </c>
      <c r="E222" s="1186">
        <v>14</v>
      </c>
      <c r="F222" s="1186">
        <v>84</v>
      </c>
      <c r="G222" s="1186">
        <v>6</v>
      </c>
    </row>
    <row r="223" spans="1:7" x14ac:dyDescent="0.2">
      <c r="A223" s="1186" t="s">
        <v>828</v>
      </c>
      <c r="B223" s="1186" t="s">
        <v>144</v>
      </c>
      <c r="C223" s="1186" t="s">
        <v>47</v>
      </c>
      <c r="D223" s="1186">
        <v>17</v>
      </c>
      <c r="E223" s="1186">
        <v>2</v>
      </c>
      <c r="F223" s="1186">
        <v>15</v>
      </c>
      <c r="G223" s="1186"/>
    </row>
    <row r="224" spans="1:7" x14ac:dyDescent="0.2">
      <c r="A224" s="1186" t="s">
        <v>828</v>
      </c>
      <c r="B224" s="1186" t="s">
        <v>144</v>
      </c>
      <c r="C224" s="1186" t="s">
        <v>48</v>
      </c>
      <c r="D224" s="1186">
        <v>89</v>
      </c>
      <c r="E224" s="1186">
        <v>18</v>
      </c>
      <c r="F224" s="1186">
        <v>61</v>
      </c>
      <c r="G224" s="1186">
        <v>10</v>
      </c>
    </row>
    <row r="225" spans="1:7" x14ac:dyDescent="0.2">
      <c r="A225" s="1186" t="s">
        <v>828</v>
      </c>
      <c r="B225" s="1186" t="s">
        <v>144</v>
      </c>
      <c r="C225" s="1186" t="s">
        <v>49</v>
      </c>
      <c r="D225" s="1186">
        <v>259</v>
      </c>
      <c r="E225" s="1186">
        <v>44</v>
      </c>
      <c r="F225" s="1186">
        <v>170</v>
      </c>
      <c r="G225" s="1186">
        <v>45</v>
      </c>
    </row>
    <row r="226" spans="1:7" x14ac:dyDescent="0.2">
      <c r="A226" s="1186" t="s">
        <v>828</v>
      </c>
      <c r="B226" s="1186" t="s">
        <v>144</v>
      </c>
      <c r="C226" s="1186" t="s">
        <v>50</v>
      </c>
      <c r="D226" s="1186">
        <v>107</v>
      </c>
      <c r="E226" s="1186">
        <v>7</v>
      </c>
      <c r="F226" s="1186">
        <v>89</v>
      </c>
      <c r="G226" s="1186">
        <v>11</v>
      </c>
    </row>
    <row r="227" spans="1:7" x14ac:dyDescent="0.2">
      <c r="A227" s="1186" t="s">
        <v>828</v>
      </c>
      <c r="B227" s="1186" t="s">
        <v>144</v>
      </c>
      <c r="C227" s="1186" t="s">
        <v>51</v>
      </c>
      <c r="D227" s="1186">
        <v>144</v>
      </c>
      <c r="E227" s="1186">
        <v>27</v>
      </c>
      <c r="F227" s="1186">
        <v>106</v>
      </c>
      <c r="G227" s="1186">
        <v>11</v>
      </c>
    </row>
    <row r="228" spans="1:7" x14ac:dyDescent="0.2">
      <c r="A228" s="1186" t="s">
        <v>828</v>
      </c>
      <c r="B228" s="1186" t="s">
        <v>144</v>
      </c>
      <c r="C228" s="1186" t="s">
        <v>52</v>
      </c>
      <c r="D228" s="1186">
        <v>131</v>
      </c>
      <c r="E228" s="1186">
        <v>14</v>
      </c>
      <c r="F228" s="1186">
        <v>91</v>
      </c>
      <c r="G228" s="1186">
        <v>26</v>
      </c>
    </row>
    <row r="229" spans="1:7" x14ac:dyDescent="0.2">
      <c r="A229" s="1186" t="s">
        <v>828</v>
      </c>
      <c r="B229" s="1186" t="s">
        <v>282</v>
      </c>
      <c r="C229" s="1186" t="s">
        <v>23</v>
      </c>
      <c r="D229" s="1186">
        <v>300</v>
      </c>
      <c r="E229" s="1186">
        <v>52</v>
      </c>
      <c r="F229" s="1186">
        <v>206</v>
      </c>
      <c r="G229" s="1186">
        <v>42</v>
      </c>
    </row>
    <row r="230" spans="1:7" x14ac:dyDescent="0.2">
      <c r="A230" s="1186" t="s">
        <v>828</v>
      </c>
      <c r="B230" s="1186" t="s">
        <v>282</v>
      </c>
      <c r="C230" s="1186" t="s">
        <v>24</v>
      </c>
      <c r="D230" s="1186">
        <v>170</v>
      </c>
      <c r="E230" s="1186">
        <v>20</v>
      </c>
      <c r="F230" s="1186">
        <v>143</v>
      </c>
      <c r="G230" s="1186">
        <v>7</v>
      </c>
    </row>
    <row r="231" spans="1:7" x14ac:dyDescent="0.2">
      <c r="A231" s="1186" t="s">
        <v>828</v>
      </c>
      <c r="B231" s="1186" t="s">
        <v>282</v>
      </c>
      <c r="C231" s="1186" t="s">
        <v>25</v>
      </c>
      <c r="D231" s="1186">
        <v>93</v>
      </c>
      <c r="E231" s="1186">
        <v>16</v>
      </c>
      <c r="F231" s="1186">
        <v>65</v>
      </c>
      <c r="G231" s="1186">
        <v>12</v>
      </c>
    </row>
    <row r="232" spans="1:7" x14ac:dyDescent="0.2">
      <c r="A232" s="1186" t="s">
        <v>828</v>
      </c>
      <c r="B232" s="1186" t="s">
        <v>282</v>
      </c>
      <c r="C232" s="1186" t="s">
        <v>26</v>
      </c>
      <c r="D232" s="1186">
        <v>77</v>
      </c>
      <c r="E232" s="1186">
        <v>7</v>
      </c>
      <c r="F232" s="1186">
        <v>65</v>
      </c>
      <c r="G232" s="1186">
        <v>5</v>
      </c>
    </row>
    <row r="233" spans="1:7" x14ac:dyDescent="0.2">
      <c r="A233" s="1186" t="s">
        <v>828</v>
      </c>
      <c r="B233" s="1186" t="s">
        <v>282</v>
      </c>
      <c r="C233" s="1186" t="s">
        <v>619</v>
      </c>
      <c r="D233" s="1186">
        <v>490</v>
      </c>
      <c r="E233" s="1186">
        <v>55</v>
      </c>
      <c r="F233" s="1186">
        <v>332</v>
      </c>
      <c r="G233" s="1186">
        <v>103</v>
      </c>
    </row>
    <row r="234" spans="1:7" x14ac:dyDescent="0.2">
      <c r="A234" s="1186" t="s">
        <v>828</v>
      </c>
      <c r="B234" s="1186" t="s">
        <v>282</v>
      </c>
      <c r="C234" s="1186" t="s">
        <v>27</v>
      </c>
      <c r="D234" s="1186">
        <v>67</v>
      </c>
      <c r="E234" s="1186">
        <v>9</v>
      </c>
      <c r="F234" s="1186">
        <v>52</v>
      </c>
      <c r="G234" s="1186">
        <v>6</v>
      </c>
    </row>
    <row r="235" spans="1:7" x14ac:dyDescent="0.2">
      <c r="A235" s="1186" t="s">
        <v>828</v>
      </c>
      <c r="B235" s="1186" t="s">
        <v>282</v>
      </c>
      <c r="C235" s="1186" t="s">
        <v>28</v>
      </c>
      <c r="D235" s="1186">
        <v>105</v>
      </c>
      <c r="E235" s="1186">
        <v>6</v>
      </c>
      <c r="F235" s="1186">
        <v>94</v>
      </c>
      <c r="G235" s="1186">
        <v>5</v>
      </c>
    </row>
    <row r="236" spans="1:7" x14ac:dyDescent="0.2">
      <c r="A236" s="1186" t="s">
        <v>828</v>
      </c>
      <c r="B236" s="1186" t="s">
        <v>282</v>
      </c>
      <c r="C236" s="1186" t="s">
        <v>29</v>
      </c>
      <c r="D236" s="1186">
        <v>225</v>
      </c>
      <c r="E236" s="1186">
        <v>37</v>
      </c>
      <c r="F236" s="1186">
        <v>144</v>
      </c>
      <c r="G236" s="1186">
        <v>44</v>
      </c>
    </row>
    <row r="237" spans="1:7" x14ac:dyDescent="0.2">
      <c r="A237" s="1186" t="s">
        <v>828</v>
      </c>
      <c r="B237" s="1186" t="s">
        <v>282</v>
      </c>
      <c r="C237" s="1186" t="s">
        <v>30</v>
      </c>
      <c r="D237" s="1186">
        <v>138</v>
      </c>
      <c r="E237" s="1186">
        <v>18</v>
      </c>
      <c r="F237" s="1186">
        <v>112</v>
      </c>
      <c r="G237" s="1186">
        <v>8</v>
      </c>
    </row>
    <row r="238" spans="1:7" x14ac:dyDescent="0.2">
      <c r="A238" s="1186" t="s">
        <v>828</v>
      </c>
      <c r="B238" s="1186" t="s">
        <v>282</v>
      </c>
      <c r="C238" s="1186" t="s">
        <v>31</v>
      </c>
      <c r="D238" s="1186">
        <v>75</v>
      </c>
      <c r="E238" s="1186">
        <v>6</v>
      </c>
      <c r="F238" s="1186">
        <v>57</v>
      </c>
      <c r="G238" s="1186">
        <v>12</v>
      </c>
    </row>
    <row r="239" spans="1:7" x14ac:dyDescent="0.2">
      <c r="A239" s="1186" t="s">
        <v>828</v>
      </c>
      <c r="B239" s="1186" t="s">
        <v>282</v>
      </c>
      <c r="C239" s="1186" t="s">
        <v>32</v>
      </c>
      <c r="D239" s="1186">
        <v>52</v>
      </c>
      <c r="E239" s="1186">
        <v>1</v>
      </c>
      <c r="F239" s="1186">
        <v>46</v>
      </c>
      <c r="G239" s="1186">
        <v>5</v>
      </c>
    </row>
    <row r="240" spans="1:7" x14ac:dyDescent="0.2">
      <c r="A240" s="1186" t="s">
        <v>828</v>
      </c>
      <c r="B240" s="1186" t="s">
        <v>282</v>
      </c>
      <c r="C240" s="1186" t="s">
        <v>33</v>
      </c>
      <c r="D240" s="1186">
        <v>57</v>
      </c>
      <c r="E240" s="1186">
        <v>6</v>
      </c>
      <c r="F240" s="1186">
        <v>49</v>
      </c>
      <c r="G240" s="1186">
        <v>2</v>
      </c>
    </row>
    <row r="241" spans="1:7" x14ac:dyDescent="0.2">
      <c r="A241" s="1186" t="s">
        <v>828</v>
      </c>
      <c r="B241" s="1186" t="s">
        <v>282</v>
      </c>
      <c r="C241" s="1186" t="s">
        <v>34</v>
      </c>
      <c r="D241" s="1186">
        <v>107</v>
      </c>
      <c r="E241" s="1186">
        <v>19</v>
      </c>
      <c r="F241" s="1186">
        <v>79</v>
      </c>
      <c r="G241" s="1186">
        <v>9</v>
      </c>
    </row>
    <row r="242" spans="1:7" x14ac:dyDescent="0.2">
      <c r="A242" s="1186" t="s">
        <v>828</v>
      </c>
      <c r="B242" s="1186" t="s">
        <v>282</v>
      </c>
      <c r="C242" s="1186" t="s">
        <v>35</v>
      </c>
      <c r="D242" s="1186">
        <v>246</v>
      </c>
      <c r="E242" s="1186">
        <v>33</v>
      </c>
      <c r="F242" s="1186">
        <v>187</v>
      </c>
      <c r="G242" s="1186">
        <v>26</v>
      </c>
    </row>
    <row r="243" spans="1:7" x14ac:dyDescent="0.2">
      <c r="A243" s="1186" t="s">
        <v>828</v>
      </c>
      <c r="B243" s="1186" t="s">
        <v>282</v>
      </c>
      <c r="C243" s="1186" t="s">
        <v>36</v>
      </c>
      <c r="D243" s="1186">
        <v>811</v>
      </c>
      <c r="E243" s="1186">
        <v>123</v>
      </c>
      <c r="F243" s="1186">
        <v>592</v>
      </c>
      <c r="G243" s="1186">
        <v>96</v>
      </c>
    </row>
    <row r="244" spans="1:7" x14ac:dyDescent="0.2">
      <c r="A244" s="1186" t="s">
        <v>828</v>
      </c>
      <c r="B244" s="1186" t="s">
        <v>282</v>
      </c>
      <c r="C244" s="1186" t="s">
        <v>37</v>
      </c>
      <c r="D244" s="1186">
        <v>147</v>
      </c>
      <c r="E244" s="1186">
        <v>24</v>
      </c>
      <c r="F244" s="1186">
        <v>106</v>
      </c>
      <c r="G244" s="1186">
        <v>17</v>
      </c>
    </row>
    <row r="245" spans="1:7" x14ac:dyDescent="0.2">
      <c r="A245" s="1186" t="s">
        <v>828</v>
      </c>
      <c r="B245" s="1186" t="s">
        <v>282</v>
      </c>
      <c r="C245" s="1186" t="s">
        <v>38</v>
      </c>
      <c r="D245" s="1186">
        <v>119</v>
      </c>
      <c r="E245" s="1186">
        <v>22</v>
      </c>
      <c r="F245" s="1186">
        <v>86</v>
      </c>
      <c r="G245" s="1186">
        <v>11</v>
      </c>
    </row>
    <row r="246" spans="1:7" x14ac:dyDescent="0.2">
      <c r="A246" s="1186" t="s">
        <v>828</v>
      </c>
      <c r="B246" s="1186" t="s">
        <v>282</v>
      </c>
      <c r="C246" s="1186" t="s">
        <v>39</v>
      </c>
      <c r="D246" s="1186">
        <v>74</v>
      </c>
      <c r="E246" s="1186">
        <v>5</v>
      </c>
      <c r="F246" s="1186">
        <v>59</v>
      </c>
      <c r="G246" s="1186">
        <v>10</v>
      </c>
    </row>
    <row r="247" spans="1:7" x14ac:dyDescent="0.2">
      <c r="A247" s="1186" t="s">
        <v>828</v>
      </c>
      <c r="B247" s="1186" t="s">
        <v>282</v>
      </c>
      <c r="C247" s="1186" t="s">
        <v>40</v>
      </c>
      <c r="D247" s="1186">
        <v>51</v>
      </c>
      <c r="E247" s="1186">
        <v>4</v>
      </c>
      <c r="F247" s="1186">
        <v>39</v>
      </c>
      <c r="G247" s="1186">
        <v>8</v>
      </c>
    </row>
    <row r="248" spans="1:7" x14ac:dyDescent="0.2">
      <c r="A248" s="1186" t="s">
        <v>828</v>
      </c>
      <c r="B248" s="1186" t="s">
        <v>282</v>
      </c>
      <c r="C248" s="1186" t="s">
        <v>295</v>
      </c>
      <c r="D248" s="1186">
        <v>22</v>
      </c>
      <c r="E248" s="1186">
        <v>2</v>
      </c>
      <c r="F248" s="1186">
        <v>17</v>
      </c>
      <c r="G248" s="1186">
        <v>3</v>
      </c>
    </row>
    <row r="249" spans="1:7" x14ac:dyDescent="0.2">
      <c r="A249" s="1186" t="s">
        <v>828</v>
      </c>
      <c r="B249" s="1186" t="s">
        <v>282</v>
      </c>
      <c r="C249" s="1186" t="s">
        <v>41</v>
      </c>
      <c r="D249" s="1186">
        <v>156</v>
      </c>
      <c r="E249" s="1186">
        <v>18</v>
      </c>
      <c r="F249" s="1186">
        <v>125</v>
      </c>
      <c r="G249" s="1186">
        <v>13</v>
      </c>
    </row>
    <row r="250" spans="1:7" x14ac:dyDescent="0.2">
      <c r="A250" s="1186" t="s">
        <v>828</v>
      </c>
      <c r="B250" s="1186" t="s">
        <v>282</v>
      </c>
      <c r="C250" s="1186" t="s">
        <v>42</v>
      </c>
      <c r="D250" s="1186">
        <v>290</v>
      </c>
      <c r="E250" s="1186">
        <v>56</v>
      </c>
      <c r="F250" s="1186">
        <v>193</v>
      </c>
      <c r="G250" s="1186">
        <v>41</v>
      </c>
    </row>
    <row r="251" spans="1:7" x14ac:dyDescent="0.2">
      <c r="A251" s="1186" t="s">
        <v>828</v>
      </c>
      <c r="B251" s="1186" t="s">
        <v>282</v>
      </c>
      <c r="C251" s="1186" t="s">
        <v>43</v>
      </c>
      <c r="D251" s="1186">
        <v>7</v>
      </c>
      <c r="E251" s="1186">
        <v>1</v>
      </c>
      <c r="F251" s="1186">
        <v>5</v>
      </c>
      <c r="G251" s="1186">
        <v>1</v>
      </c>
    </row>
    <row r="252" spans="1:7" x14ac:dyDescent="0.2">
      <c r="A252" s="1186" t="s">
        <v>828</v>
      </c>
      <c r="B252" s="1186" t="s">
        <v>282</v>
      </c>
      <c r="C252" s="1186" t="s">
        <v>44</v>
      </c>
      <c r="D252" s="1186">
        <v>137</v>
      </c>
      <c r="E252" s="1186">
        <v>17</v>
      </c>
      <c r="F252" s="1186">
        <v>115</v>
      </c>
      <c r="G252" s="1186">
        <v>5</v>
      </c>
    </row>
    <row r="253" spans="1:7" x14ac:dyDescent="0.2">
      <c r="A253" s="1186" t="s">
        <v>828</v>
      </c>
      <c r="B253" s="1186" t="s">
        <v>282</v>
      </c>
      <c r="C253" s="1186" t="s">
        <v>45</v>
      </c>
      <c r="D253" s="1186">
        <v>178</v>
      </c>
      <c r="E253" s="1186">
        <v>39</v>
      </c>
      <c r="F253" s="1186">
        <v>126</v>
      </c>
      <c r="G253" s="1186">
        <v>13</v>
      </c>
    </row>
    <row r="254" spans="1:7" x14ac:dyDescent="0.2">
      <c r="A254" s="1186" t="s">
        <v>828</v>
      </c>
      <c r="B254" s="1186" t="s">
        <v>282</v>
      </c>
      <c r="C254" s="1186" t="s">
        <v>46</v>
      </c>
      <c r="D254" s="1186">
        <v>87</v>
      </c>
      <c r="E254" s="1186">
        <v>12</v>
      </c>
      <c r="F254" s="1186">
        <v>65</v>
      </c>
      <c r="G254" s="1186">
        <v>10</v>
      </c>
    </row>
    <row r="255" spans="1:7" x14ac:dyDescent="0.2">
      <c r="A255" s="1186" t="s">
        <v>828</v>
      </c>
      <c r="B255" s="1186" t="s">
        <v>282</v>
      </c>
      <c r="C255" s="1186" t="s">
        <v>47</v>
      </c>
      <c r="D255" s="1186">
        <v>7</v>
      </c>
      <c r="E255" s="1186">
        <v>1</v>
      </c>
      <c r="F255" s="1186">
        <v>6</v>
      </c>
      <c r="G255" s="1186"/>
    </row>
    <row r="256" spans="1:7" x14ac:dyDescent="0.2">
      <c r="A256" s="1186" t="s">
        <v>828</v>
      </c>
      <c r="B256" s="1186" t="s">
        <v>282</v>
      </c>
      <c r="C256" s="1186" t="s">
        <v>48</v>
      </c>
      <c r="D256" s="1186">
        <v>82</v>
      </c>
      <c r="E256" s="1186">
        <v>12</v>
      </c>
      <c r="F256" s="1186">
        <v>60</v>
      </c>
      <c r="G256" s="1186">
        <v>10</v>
      </c>
    </row>
    <row r="257" spans="1:7" x14ac:dyDescent="0.2">
      <c r="A257" s="1186" t="s">
        <v>828</v>
      </c>
      <c r="B257" s="1186" t="s">
        <v>282</v>
      </c>
      <c r="C257" s="1186" t="s">
        <v>49</v>
      </c>
      <c r="D257" s="1186">
        <v>222</v>
      </c>
      <c r="E257" s="1186">
        <v>29</v>
      </c>
      <c r="F257" s="1186">
        <v>159</v>
      </c>
      <c r="G257" s="1186">
        <v>34</v>
      </c>
    </row>
    <row r="258" spans="1:7" x14ac:dyDescent="0.2">
      <c r="A258" s="1186" t="s">
        <v>828</v>
      </c>
      <c r="B258" s="1186" t="s">
        <v>282</v>
      </c>
      <c r="C258" s="1186" t="s">
        <v>50</v>
      </c>
      <c r="D258" s="1186">
        <v>76</v>
      </c>
      <c r="E258" s="1186">
        <v>12</v>
      </c>
      <c r="F258" s="1186">
        <v>57</v>
      </c>
      <c r="G258" s="1186">
        <v>7</v>
      </c>
    </row>
    <row r="259" spans="1:7" x14ac:dyDescent="0.2">
      <c r="A259" s="1186" t="s">
        <v>828</v>
      </c>
      <c r="B259" s="1186" t="s">
        <v>282</v>
      </c>
      <c r="C259" s="1186" t="s">
        <v>51</v>
      </c>
      <c r="D259" s="1186">
        <v>130</v>
      </c>
      <c r="E259" s="1186">
        <v>36</v>
      </c>
      <c r="F259" s="1186">
        <v>82</v>
      </c>
      <c r="G259" s="1186">
        <v>12</v>
      </c>
    </row>
    <row r="260" spans="1:7" x14ac:dyDescent="0.2">
      <c r="A260" s="1186" t="s">
        <v>828</v>
      </c>
      <c r="B260" s="1186" t="s">
        <v>282</v>
      </c>
      <c r="C260" s="1186" t="s">
        <v>52</v>
      </c>
      <c r="D260" s="1186">
        <v>124</v>
      </c>
      <c r="E260" s="1186">
        <v>6</v>
      </c>
      <c r="F260" s="1186">
        <v>97</v>
      </c>
      <c r="G260" s="1186">
        <v>21</v>
      </c>
    </row>
    <row r="261" spans="1:7" x14ac:dyDescent="0.2">
      <c r="A261" s="1186" t="s">
        <v>828</v>
      </c>
      <c r="B261" s="1186" t="s">
        <v>311</v>
      </c>
      <c r="C261" s="1186" t="s">
        <v>23</v>
      </c>
      <c r="D261" s="1186">
        <v>240</v>
      </c>
      <c r="E261" s="1186">
        <v>41</v>
      </c>
      <c r="F261" s="1186">
        <v>166</v>
      </c>
      <c r="G261" s="1186">
        <v>33</v>
      </c>
    </row>
    <row r="262" spans="1:7" x14ac:dyDescent="0.2">
      <c r="A262" s="1186" t="s">
        <v>828</v>
      </c>
      <c r="B262" s="1186" t="s">
        <v>311</v>
      </c>
      <c r="C262" s="1186" t="s">
        <v>24</v>
      </c>
      <c r="D262" s="1186">
        <v>162</v>
      </c>
      <c r="E262" s="1186">
        <v>15</v>
      </c>
      <c r="F262" s="1186">
        <v>138</v>
      </c>
      <c r="G262" s="1186">
        <v>9</v>
      </c>
    </row>
    <row r="263" spans="1:7" x14ac:dyDescent="0.2">
      <c r="A263" s="1186" t="s">
        <v>828</v>
      </c>
      <c r="B263" s="1186" t="s">
        <v>311</v>
      </c>
      <c r="C263" s="1186" t="s">
        <v>25</v>
      </c>
      <c r="D263" s="1186">
        <v>76</v>
      </c>
      <c r="E263" s="1186">
        <v>14</v>
      </c>
      <c r="F263" s="1186">
        <v>49</v>
      </c>
      <c r="G263" s="1186">
        <v>13</v>
      </c>
    </row>
    <row r="264" spans="1:7" x14ac:dyDescent="0.2">
      <c r="A264" s="1186" t="s">
        <v>828</v>
      </c>
      <c r="B264" s="1186" t="s">
        <v>311</v>
      </c>
      <c r="C264" s="1186" t="s">
        <v>26</v>
      </c>
      <c r="D264" s="1186">
        <v>77</v>
      </c>
      <c r="E264" s="1186">
        <v>4</v>
      </c>
      <c r="F264" s="1186">
        <v>68</v>
      </c>
      <c r="G264" s="1186">
        <v>5</v>
      </c>
    </row>
    <row r="265" spans="1:7" x14ac:dyDescent="0.2">
      <c r="A265" s="1186" t="s">
        <v>828</v>
      </c>
      <c r="B265" s="1186" t="s">
        <v>311</v>
      </c>
      <c r="C265" s="1186" t="s">
        <v>619</v>
      </c>
      <c r="D265" s="1186">
        <v>463</v>
      </c>
      <c r="E265" s="1186">
        <v>65</v>
      </c>
      <c r="F265" s="1186">
        <v>307</v>
      </c>
      <c r="G265" s="1186">
        <v>91</v>
      </c>
    </row>
    <row r="266" spans="1:7" x14ac:dyDescent="0.2">
      <c r="A266" s="1186" t="s">
        <v>828</v>
      </c>
      <c r="B266" s="1186" t="s">
        <v>311</v>
      </c>
      <c r="C266" s="1186" t="s">
        <v>27</v>
      </c>
      <c r="D266" s="1186">
        <v>47</v>
      </c>
      <c r="E266" s="1186">
        <v>17</v>
      </c>
      <c r="F266" s="1186">
        <v>22</v>
      </c>
      <c r="G266" s="1186">
        <v>8</v>
      </c>
    </row>
    <row r="267" spans="1:7" x14ac:dyDescent="0.2">
      <c r="A267" s="1186" t="s">
        <v>828</v>
      </c>
      <c r="B267" s="1186" t="s">
        <v>311</v>
      </c>
      <c r="C267" s="1186" t="s">
        <v>28</v>
      </c>
      <c r="D267" s="1186">
        <v>89</v>
      </c>
      <c r="E267" s="1186">
        <v>8</v>
      </c>
      <c r="F267" s="1186">
        <v>80</v>
      </c>
      <c r="G267" s="1186">
        <v>1</v>
      </c>
    </row>
    <row r="268" spans="1:7" x14ac:dyDescent="0.2">
      <c r="A268" s="1186" t="s">
        <v>828</v>
      </c>
      <c r="B268" s="1186" t="s">
        <v>311</v>
      </c>
      <c r="C268" s="1186" t="s">
        <v>29</v>
      </c>
      <c r="D268" s="1186">
        <v>197</v>
      </c>
      <c r="E268" s="1186">
        <v>41</v>
      </c>
      <c r="F268" s="1186">
        <v>122</v>
      </c>
      <c r="G268" s="1186">
        <v>34</v>
      </c>
    </row>
    <row r="269" spans="1:7" x14ac:dyDescent="0.2">
      <c r="A269" s="1186" t="s">
        <v>828</v>
      </c>
      <c r="B269" s="1186" t="s">
        <v>311</v>
      </c>
      <c r="C269" s="1186" t="s">
        <v>30</v>
      </c>
      <c r="D269" s="1186">
        <v>76</v>
      </c>
      <c r="E269" s="1186">
        <v>12</v>
      </c>
      <c r="F269" s="1186">
        <v>56</v>
      </c>
      <c r="G269" s="1186">
        <v>8</v>
      </c>
    </row>
    <row r="270" spans="1:7" x14ac:dyDescent="0.2">
      <c r="A270" s="1186" t="s">
        <v>828</v>
      </c>
      <c r="B270" s="1186" t="s">
        <v>311</v>
      </c>
      <c r="C270" s="1186" t="s">
        <v>31</v>
      </c>
      <c r="D270" s="1186">
        <v>65</v>
      </c>
      <c r="E270" s="1186">
        <v>3</v>
      </c>
      <c r="F270" s="1186">
        <v>58</v>
      </c>
      <c r="G270" s="1186">
        <v>4</v>
      </c>
    </row>
    <row r="271" spans="1:7" x14ac:dyDescent="0.2">
      <c r="A271" s="1186" t="s">
        <v>828</v>
      </c>
      <c r="B271" s="1186" t="s">
        <v>311</v>
      </c>
      <c r="C271" s="1186" t="s">
        <v>32</v>
      </c>
      <c r="D271" s="1186">
        <v>69</v>
      </c>
      <c r="E271" s="1186">
        <v>4</v>
      </c>
      <c r="F271" s="1186">
        <v>58</v>
      </c>
      <c r="G271" s="1186">
        <v>7</v>
      </c>
    </row>
    <row r="272" spans="1:7" x14ac:dyDescent="0.2">
      <c r="A272" s="1186" t="s">
        <v>828</v>
      </c>
      <c r="B272" s="1186" t="s">
        <v>311</v>
      </c>
      <c r="C272" s="1186" t="s">
        <v>33</v>
      </c>
      <c r="D272" s="1186">
        <v>79</v>
      </c>
      <c r="E272" s="1186">
        <v>7</v>
      </c>
      <c r="F272" s="1186">
        <v>65</v>
      </c>
      <c r="G272" s="1186">
        <v>7</v>
      </c>
    </row>
    <row r="273" spans="1:7" x14ac:dyDescent="0.2">
      <c r="A273" s="1186" t="s">
        <v>828</v>
      </c>
      <c r="B273" s="1186" t="s">
        <v>311</v>
      </c>
      <c r="C273" s="1186" t="s">
        <v>34</v>
      </c>
      <c r="D273" s="1186">
        <v>106</v>
      </c>
      <c r="E273" s="1186">
        <v>13</v>
      </c>
      <c r="F273" s="1186">
        <v>75</v>
      </c>
      <c r="G273" s="1186">
        <v>18</v>
      </c>
    </row>
    <row r="274" spans="1:7" x14ac:dyDescent="0.2">
      <c r="A274" s="1186" t="s">
        <v>828</v>
      </c>
      <c r="B274" s="1186" t="s">
        <v>311</v>
      </c>
      <c r="C274" s="1186" t="s">
        <v>35</v>
      </c>
      <c r="D274" s="1186">
        <v>287</v>
      </c>
      <c r="E274" s="1186">
        <v>43</v>
      </c>
      <c r="F274" s="1186">
        <v>205</v>
      </c>
      <c r="G274" s="1186">
        <v>39</v>
      </c>
    </row>
    <row r="275" spans="1:7" x14ac:dyDescent="0.2">
      <c r="A275" s="1186" t="s">
        <v>828</v>
      </c>
      <c r="B275" s="1186" t="s">
        <v>311</v>
      </c>
      <c r="C275" s="1186" t="s">
        <v>36</v>
      </c>
      <c r="D275" s="1186">
        <v>847</v>
      </c>
      <c r="E275" s="1186">
        <v>149</v>
      </c>
      <c r="F275" s="1186">
        <v>573</v>
      </c>
      <c r="G275" s="1186">
        <v>125</v>
      </c>
    </row>
    <row r="276" spans="1:7" x14ac:dyDescent="0.2">
      <c r="A276" s="1186" t="s">
        <v>828</v>
      </c>
      <c r="B276" s="1186" t="s">
        <v>311</v>
      </c>
      <c r="C276" s="1186" t="s">
        <v>37</v>
      </c>
      <c r="D276" s="1186">
        <v>143</v>
      </c>
      <c r="E276" s="1186">
        <v>12</v>
      </c>
      <c r="F276" s="1186">
        <v>113</v>
      </c>
      <c r="G276" s="1186">
        <v>18</v>
      </c>
    </row>
    <row r="277" spans="1:7" x14ac:dyDescent="0.2">
      <c r="A277" s="1186" t="s">
        <v>828</v>
      </c>
      <c r="B277" s="1186" t="s">
        <v>311</v>
      </c>
      <c r="C277" s="1186" t="s">
        <v>38</v>
      </c>
      <c r="D277" s="1186">
        <v>84</v>
      </c>
      <c r="E277" s="1186">
        <v>12</v>
      </c>
      <c r="F277" s="1186">
        <v>64</v>
      </c>
      <c r="G277" s="1186">
        <v>8</v>
      </c>
    </row>
    <row r="278" spans="1:7" x14ac:dyDescent="0.2">
      <c r="A278" s="1186" t="s">
        <v>828</v>
      </c>
      <c r="B278" s="1186" t="s">
        <v>311</v>
      </c>
      <c r="C278" s="1186" t="s">
        <v>39</v>
      </c>
      <c r="D278" s="1186">
        <v>60</v>
      </c>
      <c r="E278" s="1186">
        <v>4</v>
      </c>
      <c r="F278" s="1186">
        <v>50</v>
      </c>
      <c r="G278" s="1186">
        <v>6</v>
      </c>
    </row>
    <row r="279" spans="1:7" x14ac:dyDescent="0.2">
      <c r="A279" s="1186" t="s">
        <v>828</v>
      </c>
      <c r="B279" s="1186" t="s">
        <v>311</v>
      </c>
      <c r="C279" s="1186" t="s">
        <v>40</v>
      </c>
      <c r="D279" s="1186">
        <v>35</v>
      </c>
      <c r="E279" s="1186">
        <v>6</v>
      </c>
      <c r="F279" s="1186">
        <v>27</v>
      </c>
      <c r="G279" s="1186">
        <v>2</v>
      </c>
    </row>
    <row r="280" spans="1:7" x14ac:dyDescent="0.2">
      <c r="A280" s="1186" t="s">
        <v>828</v>
      </c>
      <c r="B280" s="1186" t="s">
        <v>311</v>
      </c>
      <c r="C280" s="1186" t="s">
        <v>295</v>
      </c>
      <c r="D280" s="1186">
        <v>14</v>
      </c>
      <c r="E280" s="1186">
        <v>1</v>
      </c>
      <c r="F280" s="1186">
        <v>13</v>
      </c>
      <c r="G280" s="1186"/>
    </row>
    <row r="281" spans="1:7" x14ac:dyDescent="0.2">
      <c r="A281" s="1186" t="s">
        <v>828</v>
      </c>
      <c r="B281" s="1186" t="s">
        <v>311</v>
      </c>
      <c r="C281" s="1186" t="s">
        <v>41</v>
      </c>
      <c r="D281" s="1186">
        <v>147</v>
      </c>
      <c r="E281" s="1186">
        <v>25</v>
      </c>
      <c r="F281" s="1186">
        <v>105</v>
      </c>
      <c r="G281" s="1186">
        <v>17</v>
      </c>
    </row>
    <row r="282" spans="1:7" x14ac:dyDescent="0.2">
      <c r="A282" s="1186" t="s">
        <v>828</v>
      </c>
      <c r="B282" s="1186" t="s">
        <v>311</v>
      </c>
      <c r="C282" s="1186" t="s">
        <v>42</v>
      </c>
      <c r="D282" s="1186">
        <v>262</v>
      </c>
      <c r="E282" s="1186">
        <v>50</v>
      </c>
      <c r="F282" s="1186">
        <v>167</v>
      </c>
      <c r="G282" s="1186">
        <v>45</v>
      </c>
    </row>
    <row r="283" spans="1:7" x14ac:dyDescent="0.2">
      <c r="A283" s="1186" t="s">
        <v>828</v>
      </c>
      <c r="B283" s="1186" t="s">
        <v>311</v>
      </c>
      <c r="C283" s="1186" t="s">
        <v>43</v>
      </c>
      <c r="D283" s="1186">
        <v>6</v>
      </c>
      <c r="E283" s="1186">
        <v>1</v>
      </c>
      <c r="F283" s="1186">
        <v>5</v>
      </c>
      <c r="G283" s="1186"/>
    </row>
    <row r="284" spans="1:7" x14ac:dyDescent="0.2">
      <c r="A284" s="1186" t="s">
        <v>828</v>
      </c>
      <c r="B284" s="1186" t="s">
        <v>311</v>
      </c>
      <c r="C284" s="1186" t="s">
        <v>44</v>
      </c>
      <c r="D284" s="1186">
        <v>113</v>
      </c>
      <c r="E284" s="1186">
        <v>11</v>
      </c>
      <c r="F284" s="1186">
        <v>98</v>
      </c>
      <c r="G284" s="1186">
        <v>4</v>
      </c>
    </row>
    <row r="285" spans="1:7" x14ac:dyDescent="0.2">
      <c r="A285" s="1186" t="s">
        <v>828</v>
      </c>
      <c r="B285" s="1186" t="s">
        <v>311</v>
      </c>
      <c r="C285" s="1186" t="s">
        <v>45</v>
      </c>
      <c r="D285" s="1186">
        <v>191</v>
      </c>
      <c r="E285" s="1186">
        <v>37</v>
      </c>
      <c r="F285" s="1186">
        <v>136</v>
      </c>
      <c r="G285" s="1186">
        <v>18</v>
      </c>
    </row>
    <row r="286" spans="1:7" x14ac:dyDescent="0.2">
      <c r="A286" s="1186" t="s">
        <v>828</v>
      </c>
      <c r="B286" s="1186" t="s">
        <v>311</v>
      </c>
      <c r="C286" s="1186" t="s">
        <v>46</v>
      </c>
      <c r="D286" s="1186">
        <v>92</v>
      </c>
      <c r="E286" s="1186">
        <v>10</v>
      </c>
      <c r="F286" s="1186">
        <v>78</v>
      </c>
      <c r="G286" s="1186">
        <v>4</v>
      </c>
    </row>
    <row r="287" spans="1:7" x14ac:dyDescent="0.2">
      <c r="A287" s="1186" t="s">
        <v>828</v>
      </c>
      <c r="B287" s="1186" t="s">
        <v>311</v>
      </c>
      <c r="C287" s="1186" t="s">
        <v>47</v>
      </c>
      <c r="D287" s="1186">
        <v>12</v>
      </c>
      <c r="E287" s="1186"/>
      <c r="F287" s="1186">
        <v>12</v>
      </c>
      <c r="G287" s="1186"/>
    </row>
    <row r="288" spans="1:7" x14ac:dyDescent="0.2">
      <c r="A288" s="1186" t="s">
        <v>828</v>
      </c>
      <c r="B288" s="1186" t="s">
        <v>311</v>
      </c>
      <c r="C288" s="1186" t="s">
        <v>48</v>
      </c>
      <c r="D288" s="1186">
        <v>96</v>
      </c>
      <c r="E288" s="1186">
        <v>11</v>
      </c>
      <c r="F288" s="1186">
        <v>71</v>
      </c>
      <c r="G288" s="1186">
        <v>14</v>
      </c>
    </row>
    <row r="289" spans="1:7" x14ac:dyDescent="0.2">
      <c r="A289" s="1186" t="s">
        <v>828</v>
      </c>
      <c r="B289" s="1186" t="s">
        <v>311</v>
      </c>
      <c r="C289" s="1186" t="s">
        <v>49</v>
      </c>
      <c r="D289" s="1186">
        <v>244</v>
      </c>
      <c r="E289" s="1186">
        <v>43</v>
      </c>
      <c r="F289" s="1186">
        <v>163</v>
      </c>
      <c r="G289" s="1186">
        <v>38</v>
      </c>
    </row>
    <row r="290" spans="1:7" x14ac:dyDescent="0.2">
      <c r="A290" s="1186" t="s">
        <v>828</v>
      </c>
      <c r="B290" s="1186" t="s">
        <v>311</v>
      </c>
      <c r="C290" s="1186" t="s">
        <v>50</v>
      </c>
      <c r="D290" s="1186">
        <v>82</v>
      </c>
      <c r="E290" s="1186">
        <v>8</v>
      </c>
      <c r="F290" s="1186">
        <v>68</v>
      </c>
      <c r="G290" s="1186">
        <v>6</v>
      </c>
    </row>
    <row r="291" spans="1:7" x14ac:dyDescent="0.2">
      <c r="A291" s="1186" t="s">
        <v>828</v>
      </c>
      <c r="B291" s="1186" t="s">
        <v>311</v>
      </c>
      <c r="C291" s="1186" t="s">
        <v>51</v>
      </c>
      <c r="D291" s="1186">
        <v>141</v>
      </c>
      <c r="E291" s="1186">
        <v>32</v>
      </c>
      <c r="F291" s="1186">
        <v>98</v>
      </c>
      <c r="G291" s="1186">
        <v>11</v>
      </c>
    </row>
    <row r="292" spans="1:7" x14ac:dyDescent="0.2">
      <c r="A292" s="1186" t="s">
        <v>828</v>
      </c>
      <c r="B292" s="1186" t="s">
        <v>311</v>
      </c>
      <c r="C292" s="1186" t="s">
        <v>52</v>
      </c>
      <c r="D292" s="1186">
        <v>149</v>
      </c>
      <c r="E292" s="1186">
        <v>16</v>
      </c>
      <c r="F292" s="1186">
        <v>111</v>
      </c>
      <c r="G292" s="1186">
        <v>22</v>
      </c>
    </row>
    <row r="293" spans="1:7" x14ac:dyDescent="0.2">
      <c r="A293" s="1186" t="s">
        <v>828</v>
      </c>
      <c r="B293" s="1186" t="s">
        <v>621</v>
      </c>
      <c r="C293" s="1186" t="s">
        <v>23</v>
      </c>
      <c r="D293" s="1186">
        <v>262</v>
      </c>
      <c r="E293" s="1186">
        <v>57</v>
      </c>
      <c r="F293" s="1186">
        <v>180</v>
      </c>
      <c r="G293" s="1186">
        <v>25</v>
      </c>
    </row>
    <row r="294" spans="1:7" x14ac:dyDescent="0.2">
      <c r="A294" s="1186" t="s">
        <v>828</v>
      </c>
      <c r="B294" s="1186" t="s">
        <v>621</v>
      </c>
      <c r="C294" s="1186" t="s">
        <v>24</v>
      </c>
      <c r="D294" s="1186">
        <v>163</v>
      </c>
      <c r="E294" s="1186">
        <v>17</v>
      </c>
      <c r="F294" s="1186">
        <v>133</v>
      </c>
      <c r="G294" s="1186">
        <v>13</v>
      </c>
    </row>
    <row r="295" spans="1:7" x14ac:dyDescent="0.2">
      <c r="A295" s="1186" t="s">
        <v>828</v>
      </c>
      <c r="B295" s="1186" t="s">
        <v>621</v>
      </c>
      <c r="C295" s="1186" t="s">
        <v>25</v>
      </c>
      <c r="D295" s="1186">
        <v>80</v>
      </c>
      <c r="E295" s="1186">
        <v>11</v>
      </c>
      <c r="F295" s="1186">
        <v>59</v>
      </c>
      <c r="G295" s="1186">
        <v>10</v>
      </c>
    </row>
    <row r="296" spans="1:7" x14ac:dyDescent="0.2">
      <c r="A296" s="1186" t="s">
        <v>828</v>
      </c>
      <c r="B296" s="1186" t="s">
        <v>621</v>
      </c>
      <c r="C296" s="1186" t="s">
        <v>26</v>
      </c>
      <c r="D296" s="1186">
        <v>85</v>
      </c>
      <c r="E296" s="1186">
        <v>9</v>
      </c>
      <c r="F296" s="1186">
        <v>72</v>
      </c>
      <c r="G296" s="1186">
        <v>4</v>
      </c>
    </row>
    <row r="297" spans="1:7" x14ac:dyDescent="0.2">
      <c r="A297" s="1186" t="s">
        <v>828</v>
      </c>
      <c r="B297" s="1186" t="s">
        <v>621</v>
      </c>
      <c r="C297" s="1186" t="s">
        <v>619</v>
      </c>
      <c r="D297" s="1186">
        <v>448</v>
      </c>
      <c r="E297" s="1186">
        <v>54</v>
      </c>
      <c r="F297" s="1186">
        <v>310</v>
      </c>
      <c r="G297" s="1186">
        <v>84</v>
      </c>
    </row>
    <row r="298" spans="1:7" x14ac:dyDescent="0.2">
      <c r="A298" s="1186" t="s">
        <v>828</v>
      </c>
      <c r="B298" s="1186" t="s">
        <v>621</v>
      </c>
      <c r="C298" s="1186" t="s">
        <v>27</v>
      </c>
      <c r="D298" s="1186">
        <v>45</v>
      </c>
      <c r="E298" s="1186">
        <v>9</v>
      </c>
      <c r="F298" s="1186">
        <v>29</v>
      </c>
      <c r="G298" s="1186">
        <v>7</v>
      </c>
    </row>
    <row r="299" spans="1:7" x14ac:dyDescent="0.2">
      <c r="A299" s="1186" t="s">
        <v>828</v>
      </c>
      <c r="B299" s="1186" t="s">
        <v>621</v>
      </c>
      <c r="C299" s="1186" t="s">
        <v>28</v>
      </c>
      <c r="D299" s="1186">
        <v>76</v>
      </c>
      <c r="E299" s="1186">
        <v>6</v>
      </c>
      <c r="F299" s="1186">
        <v>62</v>
      </c>
      <c r="G299" s="1186">
        <v>8</v>
      </c>
    </row>
    <row r="300" spans="1:7" x14ac:dyDescent="0.2">
      <c r="A300" s="1186" t="s">
        <v>828</v>
      </c>
      <c r="B300" s="1186" t="s">
        <v>621</v>
      </c>
      <c r="C300" s="1186" t="s">
        <v>29</v>
      </c>
      <c r="D300" s="1186">
        <v>182</v>
      </c>
      <c r="E300" s="1186">
        <v>43</v>
      </c>
      <c r="F300" s="1186">
        <v>107</v>
      </c>
      <c r="G300" s="1186">
        <v>32</v>
      </c>
    </row>
    <row r="301" spans="1:7" x14ac:dyDescent="0.2">
      <c r="A301" s="1186" t="s">
        <v>828</v>
      </c>
      <c r="B301" s="1186" t="s">
        <v>621</v>
      </c>
      <c r="C301" s="1186" t="s">
        <v>30</v>
      </c>
      <c r="D301" s="1186">
        <v>83</v>
      </c>
      <c r="E301" s="1186">
        <v>12</v>
      </c>
      <c r="F301" s="1186">
        <v>67</v>
      </c>
      <c r="G301" s="1186">
        <v>4</v>
      </c>
    </row>
    <row r="302" spans="1:7" x14ac:dyDescent="0.2">
      <c r="A302" s="1186" t="s">
        <v>828</v>
      </c>
      <c r="B302" s="1186" t="s">
        <v>621</v>
      </c>
      <c r="C302" s="1186" t="s">
        <v>31</v>
      </c>
      <c r="D302" s="1186">
        <v>64</v>
      </c>
      <c r="E302" s="1186">
        <v>3</v>
      </c>
      <c r="F302" s="1186">
        <v>55</v>
      </c>
      <c r="G302" s="1186">
        <v>6</v>
      </c>
    </row>
    <row r="303" spans="1:7" x14ac:dyDescent="0.2">
      <c r="A303" s="1186" t="s">
        <v>828</v>
      </c>
      <c r="B303" s="1186" t="s">
        <v>621</v>
      </c>
      <c r="C303" s="1186" t="s">
        <v>32</v>
      </c>
      <c r="D303" s="1186">
        <v>69</v>
      </c>
      <c r="E303" s="1186">
        <v>11</v>
      </c>
      <c r="F303" s="1186">
        <v>47</v>
      </c>
      <c r="G303" s="1186">
        <v>11</v>
      </c>
    </row>
    <row r="304" spans="1:7" x14ac:dyDescent="0.2">
      <c r="A304" s="1186" t="s">
        <v>828</v>
      </c>
      <c r="B304" s="1186" t="s">
        <v>621</v>
      </c>
      <c r="C304" s="1186" t="s">
        <v>33</v>
      </c>
      <c r="D304" s="1186">
        <v>60</v>
      </c>
      <c r="E304" s="1186">
        <v>7</v>
      </c>
      <c r="F304" s="1186">
        <v>50</v>
      </c>
      <c r="G304" s="1186">
        <v>3</v>
      </c>
    </row>
    <row r="305" spans="1:7" x14ac:dyDescent="0.2">
      <c r="A305" s="1186" t="s">
        <v>828</v>
      </c>
      <c r="B305" s="1186" t="s">
        <v>621</v>
      </c>
      <c r="C305" s="1186" t="s">
        <v>34</v>
      </c>
      <c r="D305" s="1186">
        <v>112</v>
      </c>
      <c r="E305" s="1186">
        <v>19</v>
      </c>
      <c r="F305" s="1186">
        <v>76</v>
      </c>
      <c r="G305" s="1186">
        <v>17</v>
      </c>
    </row>
    <row r="306" spans="1:7" x14ac:dyDescent="0.2">
      <c r="A306" s="1186" t="s">
        <v>828</v>
      </c>
      <c r="B306" s="1186" t="s">
        <v>621</v>
      </c>
      <c r="C306" s="1186" t="s">
        <v>35</v>
      </c>
      <c r="D306" s="1186">
        <v>244</v>
      </c>
      <c r="E306" s="1186">
        <v>31</v>
      </c>
      <c r="F306" s="1186">
        <v>182</v>
      </c>
      <c r="G306" s="1186">
        <v>31</v>
      </c>
    </row>
    <row r="307" spans="1:7" x14ac:dyDescent="0.2">
      <c r="A307" s="1186" t="s">
        <v>828</v>
      </c>
      <c r="B307" s="1186" t="s">
        <v>621</v>
      </c>
      <c r="C307" s="1186" t="s">
        <v>36</v>
      </c>
      <c r="D307" s="1186">
        <v>784</v>
      </c>
      <c r="E307" s="1186">
        <v>140</v>
      </c>
      <c r="F307" s="1186">
        <v>528</v>
      </c>
      <c r="G307" s="1186">
        <v>116</v>
      </c>
    </row>
    <row r="308" spans="1:7" x14ac:dyDescent="0.2">
      <c r="A308" s="1186" t="s">
        <v>828</v>
      </c>
      <c r="B308" s="1186" t="s">
        <v>621</v>
      </c>
      <c r="C308" s="1186" t="s">
        <v>37</v>
      </c>
      <c r="D308" s="1186">
        <v>145</v>
      </c>
      <c r="E308" s="1186">
        <v>11</v>
      </c>
      <c r="F308" s="1186">
        <v>117</v>
      </c>
      <c r="G308" s="1186">
        <v>17</v>
      </c>
    </row>
    <row r="309" spans="1:7" x14ac:dyDescent="0.2">
      <c r="A309" s="1186" t="s">
        <v>828</v>
      </c>
      <c r="B309" s="1186" t="s">
        <v>621</v>
      </c>
      <c r="C309" s="1186" t="s">
        <v>38</v>
      </c>
      <c r="D309" s="1186">
        <v>77</v>
      </c>
      <c r="E309" s="1186">
        <v>13</v>
      </c>
      <c r="F309" s="1186">
        <v>54</v>
      </c>
      <c r="G309" s="1186">
        <v>10</v>
      </c>
    </row>
    <row r="310" spans="1:7" x14ac:dyDescent="0.2">
      <c r="A310" s="1186" t="s">
        <v>828</v>
      </c>
      <c r="B310" s="1186" t="s">
        <v>621</v>
      </c>
      <c r="C310" s="1186" t="s">
        <v>39</v>
      </c>
      <c r="D310" s="1186">
        <v>52</v>
      </c>
      <c r="E310" s="1186">
        <v>4</v>
      </c>
      <c r="F310" s="1186">
        <v>38</v>
      </c>
      <c r="G310" s="1186">
        <v>10</v>
      </c>
    </row>
    <row r="311" spans="1:7" x14ac:dyDescent="0.2">
      <c r="A311" s="1186" t="s">
        <v>828</v>
      </c>
      <c r="B311" s="1186" t="s">
        <v>621</v>
      </c>
      <c r="C311" s="1186" t="s">
        <v>40</v>
      </c>
      <c r="D311" s="1186">
        <v>55</v>
      </c>
      <c r="E311" s="1186">
        <v>4</v>
      </c>
      <c r="F311" s="1186">
        <v>48</v>
      </c>
      <c r="G311" s="1186">
        <v>3</v>
      </c>
    </row>
    <row r="312" spans="1:7" x14ac:dyDescent="0.2">
      <c r="A312" s="1186" t="s">
        <v>828</v>
      </c>
      <c r="B312" s="1186" t="s">
        <v>621</v>
      </c>
      <c r="C312" s="1186" t="s">
        <v>295</v>
      </c>
      <c r="D312" s="1186">
        <v>22</v>
      </c>
      <c r="E312" s="1186">
        <v>3</v>
      </c>
      <c r="F312" s="1186">
        <v>19</v>
      </c>
      <c r="G312" s="1186"/>
    </row>
    <row r="313" spans="1:7" x14ac:dyDescent="0.2">
      <c r="A313" s="1186" t="s">
        <v>828</v>
      </c>
      <c r="B313" s="1186" t="s">
        <v>621</v>
      </c>
      <c r="C313" s="1186" t="s">
        <v>41</v>
      </c>
      <c r="D313" s="1186">
        <v>163</v>
      </c>
      <c r="E313" s="1186">
        <v>26</v>
      </c>
      <c r="F313" s="1186">
        <v>114</v>
      </c>
      <c r="G313" s="1186">
        <v>23</v>
      </c>
    </row>
    <row r="314" spans="1:7" x14ac:dyDescent="0.2">
      <c r="A314" s="1186" t="s">
        <v>828</v>
      </c>
      <c r="B314" s="1186" t="s">
        <v>621</v>
      </c>
      <c r="C314" s="1186" t="s">
        <v>42</v>
      </c>
      <c r="D314" s="1186">
        <v>296</v>
      </c>
      <c r="E314" s="1186">
        <v>48</v>
      </c>
      <c r="F314" s="1186">
        <v>193</v>
      </c>
      <c r="G314" s="1186">
        <v>55</v>
      </c>
    </row>
    <row r="315" spans="1:7" x14ac:dyDescent="0.2">
      <c r="A315" s="1186" t="s">
        <v>828</v>
      </c>
      <c r="B315" s="1186" t="s">
        <v>621</v>
      </c>
      <c r="C315" s="1186" t="s">
        <v>43</v>
      </c>
      <c r="D315" s="1186">
        <v>7</v>
      </c>
      <c r="E315" s="1186">
        <v>1</v>
      </c>
      <c r="F315" s="1186">
        <v>6</v>
      </c>
      <c r="G315" s="1186"/>
    </row>
    <row r="316" spans="1:7" x14ac:dyDescent="0.2">
      <c r="A316" s="1186" t="s">
        <v>828</v>
      </c>
      <c r="B316" s="1186" t="s">
        <v>621</v>
      </c>
      <c r="C316" s="1186" t="s">
        <v>44</v>
      </c>
      <c r="D316" s="1186">
        <v>111</v>
      </c>
      <c r="E316" s="1186">
        <v>8</v>
      </c>
      <c r="F316" s="1186">
        <v>90</v>
      </c>
      <c r="G316" s="1186">
        <v>13</v>
      </c>
    </row>
    <row r="317" spans="1:7" x14ac:dyDescent="0.2">
      <c r="A317" s="1186" t="s">
        <v>828</v>
      </c>
      <c r="B317" s="1186" t="s">
        <v>621</v>
      </c>
      <c r="C317" s="1186" t="s">
        <v>45</v>
      </c>
      <c r="D317" s="1186">
        <v>199</v>
      </c>
      <c r="E317" s="1186">
        <v>43</v>
      </c>
      <c r="F317" s="1186">
        <v>133</v>
      </c>
      <c r="G317" s="1186">
        <v>23</v>
      </c>
    </row>
    <row r="318" spans="1:7" x14ac:dyDescent="0.2">
      <c r="A318" s="1186" t="s">
        <v>828</v>
      </c>
      <c r="B318" s="1186" t="s">
        <v>621</v>
      </c>
      <c r="C318" s="1186" t="s">
        <v>46</v>
      </c>
      <c r="D318" s="1186">
        <v>92</v>
      </c>
      <c r="E318" s="1186">
        <v>11</v>
      </c>
      <c r="F318" s="1186">
        <v>68</v>
      </c>
      <c r="G318" s="1186">
        <v>13</v>
      </c>
    </row>
    <row r="319" spans="1:7" x14ac:dyDescent="0.2">
      <c r="A319" s="1186" t="s">
        <v>828</v>
      </c>
      <c r="B319" s="1186" t="s">
        <v>621</v>
      </c>
      <c r="C319" s="1186" t="s">
        <v>47</v>
      </c>
      <c r="D319" s="1186">
        <v>4</v>
      </c>
      <c r="E319" s="1186"/>
      <c r="F319" s="1186">
        <v>3</v>
      </c>
      <c r="G319" s="1186">
        <v>1</v>
      </c>
    </row>
    <row r="320" spans="1:7" x14ac:dyDescent="0.2">
      <c r="A320" s="1186" t="s">
        <v>828</v>
      </c>
      <c r="B320" s="1186" t="s">
        <v>621</v>
      </c>
      <c r="C320" s="1186" t="s">
        <v>48</v>
      </c>
      <c r="D320" s="1186">
        <v>84</v>
      </c>
      <c r="E320" s="1186">
        <v>11</v>
      </c>
      <c r="F320" s="1186">
        <v>62</v>
      </c>
      <c r="G320" s="1186">
        <v>11</v>
      </c>
    </row>
    <row r="321" spans="1:7" x14ac:dyDescent="0.2">
      <c r="A321" s="1186" t="s">
        <v>828</v>
      </c>
      <c r="B321" s="1186" t="s">
        <v>621</v>
      </c>
      <c r="C321" s="1186" t="s">
        <v>49</v>
      </c>
      <c r="D321" s="1186">
        <v>232</v>
      </c>
      <c r="E321" s="1186">
        <v>31</v>
      </c>
      <c r="F321" s="1186">
        <v>157</v>
      </c>
      <c r="G321" s="1186">
        <v>44</v>
      </c>
    </row>
    <row r="322" spans="1:7" x14ac:dyDescent="0.2">
      <c r="A322" s="1186" t="s">
        <v>828</v>
      </c>
      <c r="B322" s="1186" t="s">
        <v>621</v>
      </c>
      <c r="C322" s="1186" t="s">
        <v>50</v>
      </c>
      <c r="D322" s="1186">
        <v>64</v>
      </c>
      <c r="E322" s="1186">
        <v>7</v>
      </c>
      <c r="F322" s="1186">
        <v>45</v>
      </c>
      <c r="G322" s="1186">
        <v>12</v>
      </c>
    </row>
    <row r="323" spans="1:7" x14ac:dyDescent="0.2">
      <c r="A323" s="1186" t="s">
        <v>828</v>
      </c>
      <c r="B323" s="1186" t="s">
        <v>621</v>
      </c>
      <c r="C323" s="1186" t="s">
        <v>51</v>
      </c>
      <c r="D323" s="1186">
        <v>135</v>
      </c>
      <c r="E323" s="1186">
        <v>28</v>
      </c>
      <c r="F323" s="1186">
        <v>96</v>
      </c>
      <c r="G323" s="1186">
        <v>11</v>
      </c>
    </row>
    <row r="324" spans="1:7" x14ac:dyDescent="0.2">
      <c r="A324" s="1186" t="s">
        <v>828</v>
      </c>
      <c r="B324" s="1186" t="s">
        <v>621</v>
      </c>
      <c r="C324" s="1186" t="s">
        <v>52</v>
      </c>
      <c r="D324" s="1186">
        <v>140</v>
      </c>
      <c r="E324" s="1186">
        <v>18</v>
      </c>
      <c r="F324" s="1186">
        <v>104</v>
      </c>
      <c r="G324" s="1186">
        <v>18</v>
      </c>
    </row>
    <row r="325" spans="1:7" x14ac:dyDescent="0.2">
      <c r="A325" s="1186" t="s">
        <v>828</v>
      </c>
      <c r="B325" s="1186" t="s">
        <v>1419</v>
      </c>
      <c r="C325" s="1186" t="s">
        <v>23</v>
      </c>
      <c r="D325" s="1186">
        <v>257</v>
      </c>
      <c r="E325" s="1186">
        <v>40</v>
      </c>
      <c r="F325" s="1186">
        <v>180</v>
      </c>
      <c r="G325" s="1186">
        <v>37</v>
      </c>
    </row>
    <row r="326" spans="1:7" x14ac:dyDescent="0.2">
      <c r="A326" s="1186" t="s">
        <v>828</v>
      </c>
      <c r="B326" s="1186" t="s">
        <v>1419</v>
      </c>
      <c r="C326" s="1186" t="s">
        <v>24</v>
      </c>
      <c r="D326" s="1186">
        <v>160</v>
      </c>
      <c r="E326" s="1186">
        <v>24</v>
      </c>
      <c r="F326" s="1186">
        <v>129</v>
      </c>
      <c r="G326" s="1186">
        <v>7</v>
      </c>
    </row>
    <row r="327" spans="1:7" x14ac:dyDescent="0.2">
      <c r="A327" s="1186" t="s">
        <v>828</v>
      </c>
      <c r="B327" s="1186" t="s">
        <v>1419</v>
      </c>
      <c r="C327" s="1186" t="s">
        <v>25</v>
      </c>
      <c r="D327" s="1186">
        <v>79</v>
      </c>
      <c r="E327" s="1186">
        <v>15</v>
      </c>
      <c r="F327" s="1186">
        <v>55</v>
      </c>
      <c r="G327" s="1186">
        <v>9</v>
      </c>
    </row>
    <row r="328" spans="1:7" x14ac:dyDescent="0.2">
      <c r="A328" s="1186" t="s">
        <v>828</v>
      </c>
      <c r="B328" s="1186" t="s">
        <v>1419</v>
      </c>
      <c r="C328" s="1186" t="s">
        <v>26</v>
      </c>
      <c r="D328" s="1186">
        <v>84</v>
      </c>
      <c r="E328" s="1186">
        <v>7</v>
      </c>
      <c r="F328" s="1186">
        <v>67</v>
      </c>
      <c r="G328" s="1186">
        <v>10</v>
      </c>
    </row>
    <row r="329" spans="1:7" x14ac:dyDescent="0.2">
      <c r="A329" s="1186" t="s">
        <v>828</v>
      </c>
      <c r="B329" s="1186" t="s">
        <v>1419</v>
      </c>
      <c r="C329" s="1186" t="s">
        <v>619</v>
      </c>
      <c r="D329" s="1186">
        <v>438</v>
      </c>
      <c r="E329" s="1186">
        <v>59</v>
      </c>
      <c r="F329" s="1186">
        <v>294</v>
      </c>
      <c r="G329" s="1186">
        <v>85</v>
      </c>
    </row>
    <row r="330" spans="1:7" x14ac:dyDescent="0.2">
      <c r="A330" s="1186" t="s">
        <v>828</v>
      </c>
      <c r="B330" s="1186" t="s">
        <v>1419</v>
      </c>
      <c r="C330" s="1186" t="s">
        <v>27</v>
      </c>
      <c r="D330" s="1186">
        <v>40</v>
      </c>
      <c r="E330" s="1186">
        <v>12</v>
      </c>
      <c r="F330" s="1186">
        <v>26</v>
      </c>
      <c r="G330" s="1186">
        <v>2</v>
      </c>
    </row>
    <row r="331" spans="1:7" x14ac:dyDescent="0.2">
      <c r="A331" s="1186" t="s">
        <v>828</v>
      </c>
      <c r="B331" s="1186" t="s">
        <v>1419</v>
      </c>
      <c r="C331" s="1186" t="s">
        <v>28</v>
      </c>
      <c r="D331" s="1186">
        <v>94</v>
      </c>
      <c r="E331" s="1186">
        <v>10</v>
      </c>
      <c r="F331" s="1186">
        <v>74</v>
      </c>
      <c r="G331" s="1186">
        <v>10</v>
      </c>
    </row>
    <row r="332" spans="1:7" x14ac:dyDescent="0.2">
      <c r="A332" s="1186" t="s">
        <v>828</v>
      </c>
      <c r="B332" s="1186" t="s">
        <v>1419</v>
      </c>
      <c r="C332" s="1186" t="s">
        <v>29</v>
      </c>
      <c r="D332" s="1186">
        <v>175</v>
      </c>
      <c r="E332" s="1186">
        <v>35</v>
      </c>
      <c r="F332" s="1186">
        <v>100</v>
      </c>
      <c r="G332" s="1186">
        <v>40</v>
      </c>
    </row>
    <row r="333" spans="1:7" x14ac:dyDescent="0.2">
      <c r="A333" s="1186" t="s">
        <v>828</v>
      </c>
      <c r="B333" s="1186" t="s">
        <v>1419</v>
      </c>
      <c r="C333" s="1186" t="s">
        <v>30</v>
      </c>
      <c r="D333" s="1186">
        <v>87</v>
      </c>
      <c r="E333" s="1186">
        <v>14</v>
      </c>
      <c r="F333" s="1186">
        <v>68</v>
      </c>
      <c r="G333" s="1186">
        <v>5</v>
      </c>
    </row>
    <row r="334" spans="1:7" x14ac:dyDescent="0.2">
      <c r="A334" s="1186" t="s">
        <v>828</v>
      </c>
      <c r="B334" s="1186" t="s">
        <v>1419</v>
      </c>
      <c r="C334" s="1186" t="s">
        <v>31</v>
      </c>
      <c r="D334" s="1186">
        <v>62</v>
      </c>
      <c r="E334" s="1186">
        <v>5</v>
      </c>
      <c r="F334" s="1186">
        <v>50</v>
      </c>
      <c r="G334" s="1186">
        <v>7</v>
      </c>
    </row>
    <row r="335" spans="1:7" x14ac:dyDescent="0.2">
      <c r="A335" s="1186" t="s">
        <v>828</v>
      </c>
      <c r="B335" s="1186" t="s">
        <v>1419</v>
      </c>
      <c r="C335" s="1186" t="s">
        <v>32</v>
      </c>
      <c r="D335" s="1186">
        <v>57</v>
      </c>
      <c r="E335" s="1186">
        <v>7</v>
      </c>
      <c r="F335" s="1186">
        <v>41</v>
      </c>
      <c r="G335" s="1186">
        <v>9</v>
      </c>
    </row>
    <row r="336" spans="1:7" x14ac:dyDescent="0.2">
      <c r="A336" s="1186" t="s">
        <v>828</v>
      </c>
      <c r="B336" s="1186" t="s">
        <v>1419</v>
      </c>
      <c r="C336" s="1186" t="s">
        <v>33</v>
      </c>
      <c r="D336" s="1186">
        <v>67</v>
      </c>
      <c r="E336" s="1186">
        <v>4</v>
      </c>
      <c r="F336" s="1186">
        <v>61</v>
      </c>
      <c r="G336" s="1186">
        <v>2</v>
      </c>
    </row>
    <row r="337" spans="1:7" x14ac:dyDescent="0.2">
      <c r="A337" s="1186" t="s">
        <v>828</v>
      </c>
      <c r="B337" s="1186" t="s">
        <v>1419</v>
      </c>
      <c r="C337" s="1186" t="s">
        <v>34</v>
      </c>
      <c r="D337" s="1186">
        <v>103</v>
      </c>
      <c r="E337" s="1186">
        <v>17</v>
      </c>
      <c r="F337" s="1186">
        <v>67</v>
      </c>
      <c r="G337" s="1186">
        <v>19</v>
      </c>
    </row>
    <row r="338" spans="1:7" x14ac:dyDescent="0.2">
      <c r="A338" s="1186" t="s">
        <v>828</v>
      </c>
      <c r="B338" s="1186" t="s">
        <v>1419</v>
      </c>
      <c r="C338" s="1186" t="s">
        <v>35</v>
      </c>
      <c r="D338" s="1186">
        <v>218</v>
      </c>
      <c r="E338" s="1186">
        <v>29</v>
      </c>
      <c r="F338" s="1186">
        <v>157</v>
      </c>
      <c r="G338" s="1186">
        <v>32</v>
      </c>
    </row>
    <row r="339" spans="1:7" x14ac:dyDescent="0.2">
      <c r="A339" s="1186" t="s">
        <v>828</v>
      </c>
      <c r="B339" s="1186" t="s">
        <v>1419</v>
      </c>
      <c r="C339" s="1186" t="s">
        <v>36</v>
      </c>
      <c r="D339" s="1186">
        <v>768</v>
      </c>
      <c r="E339" s="1186">
        <v>148</v>
      </c>
      <c r="F339" s="1186">
        <v>501</v>
      </c>
      <c r="G339" s="1186">
        <v>119</v>
      </c>
    </row>
    <row r="340" spans="1:7" x14ac:dyDescent="0.2">
      <c r="A340" s="1186" t="s">
        <v>828</v>
      </c>
      <c r="B340" s="1186" t="s">
        <v>1419</v>
      </c>
      <c r="C340" s="1186" t="s">
        <v>37</v>
      </c>
      <c r="D340" s="1186">
        <v>113</v>
      </c>
      <c r="E340" s="1186">
        <v>13</v>
      </c>
      <c r="F340" s="1186">
        <v>88</v>
      </c>
      <c r="G340" s="1186">
        <v>12</v>
      </c>
    </row>
    <row r="341" spans="1:7" x14ac:dyDescent="0.2">
      <c r="A341" s="1186" t="s">
        <v>828</v>
      </c>
      <c r="B341" s="1186" t="s">
        <v>1419</v>
      </c>
      <c r="C341" s="1186" t="s">
        <v>38</v>
      </c>
      <c r="D341" s="1186">
        <v>76</v>
      </c>
      <c r="E341" s="1186">
        <v>17</v>
      </c>
      <c r="F341" s="1186">
        <v>56</v>
      </c>
      <c r="G341" s="1186">
        <v>3</v>
      </c>
    </row>
    <row r="342" spans="1:7" x14ac:dyDescent="0.2">
      <c r="A342" s="1186" t="s">
        <v>828</v>
      </c>
      <c r="B342" s="1186" t="s">
        <v>1419</v>
      </c>
      <c r="C342" s="1186" t="s">
        <v>39</v>
      </c>
      <c r="D342" s="1186">
        <v>71</v>
      </c>
      <c r="E342" s="1186">
        <v>5</v>
      </c>
      <c r="F342" s="1186">
        <v>61</v>
      </c>
      <c r="G342" s="1186">
        <v>5</v>
      </c>
    </row>
    <row r="343" spans="1:7" x14ac:dyDescent="0.2">
      <c r="A343" s="1186" t="s">
        <v>828</v>
      </c>
      <c r="B343" s="1186" t="s">
        <v>1419</v>
      </c>
      <c r="C343" s="1186" t="s">
        <v>40</v>
      </c>
      <c r="D343" s="1186">
        <v>78</v>
      </c>
      <c r="E343" s="1186">
        <v>6</v>
      </c>
      <c r="F343" s="1186">
        <v>64</v>
      </c>
      <c r="G343" s="1186">
        <v>8</v>
      </c>
    </row>
    <row r="344" spans="1:7" x14ac:dyDescent="0.2">
      <c r="A344" s="1186" t="s">
        <v>828</v>
      </c>
      <c r="B344" s="1186" t="s">
        <v>1419</v>
      </c>
      <c r="C344" s="1186" t="s">
        <v>295</v>
      </c>
      <c r="D344" s="1186">
        <v>20</v>
      </c>
      <c r="E344" s="1186">
        <v>2</v>
      </c>
      <c r="F344" s="1186">
        <v>15</v>
      </c>
      <c r="G344" s="1186">
        <v>3</v>
      </c>
    </row>
    <row r="345" spans="1:7" x14ac:dyDescent="0.2">
      <c r="A345" s="1186" t="s">
        <v>828</v>
      </c>
      <c r="B345" s="1186" t="s">
        <v>1419</v>
      </c>
      <c r="C345" s="1186" t="s">
        <v>41</v>
      </c>
      <c r="D345" s="1186">
        <v>150</v>
      </c>
      <c r="E345" s="1186">
        <v>26</v>
      </c>
      <c r="F345" s="1186">
        <v>114</v>
      </c>
      <c r="G345" s="1186">
        <v>10</v>
      </c>
    </row>
    <row r="346" spans="1:7" x14ac:dyDescent="0.2">
      <c r="A346" s="1186" t="s">
        <v>828</v>
      </c>
      <c r="B346" s="1186" t="s">
        <v>1419</v>
      </c>
      <c r="C346" s="1186" t="s">
        <v>42</v>
      </c>
      <c r="D346" s="1186">
        <v>227</v>
      </c>
      <c r="E346" s="1186">
        <v>50</v>
      </c>
      <c r="F346" s="1186">
        <v>147</v>
      </c>
      <c r="G346" s="1186">
        <v>30</v>
      </c>
    </row>
    <row r="347" spans="1:7" x14ac:dyDescent="0.2">
      <c r="A347" s="1186" t="s">
        <v>828</v>
      </c>
      <c r="B347" s="1186" t="s">
        <v>1419</v>
      </c>
      <c r="C347" s="1186" t="s">
        <v>43</v>
      </c>
      <c r="D347" s="1186">
        <v>11</v>
      </c>
      <c r="E347" s="1186"/>
      <c r="F347" s="1186">
        <v>10</v>
      </c>
      <c r="G347" s="1186">
        <v>1</v>
      </c>
    </row>
    <row r="348" spans="1:7" x14ac:dyDescent="0.2">
      <c r="A348" s="1186" t="s">
        <v>828</v>
      </c>
      <c r="B348" s="1186" t="s">
        <v>1419</v>
      </c>
      <c r="C348" s="1186" t="s">
        <v>44</v>
      </c>
      <c r="D348" s="1186">
        <v>106</v>
      </c>
      <c r="E348" s="1186">
        <v>10</v>
      </c>
      <c r="F348" s="1186">
        <v>78</v>
      </c>
      <c r="G348" s="1186">
        <v>18</v>
      </c>
    </row>
    <row r="349" spans="1:7" x14ac:dyDescent="0.2">
      <c r="A349" s="1186" t="s">
        <v>828</v>
      </c>
      <c r="B349" s="1186" t="s">
        <v>1419</v>
      </c>
      <c r="C349" s="1186" t="s">
        <v>45</v>
      </c>
      <c r="D349" s="1186">
        <v>142</v>
      </c>
      <c r="E349" s="1186">
        <v>28</v>
      </c>
      <c r="F349" s="1186">
        <v>104</v>
      </c>
      <c r="G349" s="1186">
        <v>10</v>
      </c>
    </row>
    <row r="350" spans="1:7" x14ac:dyDescent="0.2">
      <c r="A350" s="1186" t="s">
        <v>828</v>
      </c>
      <c r="B350" s="1186" t="s">
        <v>1419</v>
      </c>
      <c r="C350" s="1186" t="s">
        <v>46</v>
      </c>
      <c r="D350" s="1186">
        <v>96</v>
      </c>
      <c r="E350" s="1186">
        <v>8</v>
      </c>
      <c r="F350" s="1186">
        <v>80</v>
      </c>
      <c r="G350" s="1186">
        <v>8</v>
      </c>
    </row>
    <row r="351" spans="1:7" x14ac:dyDescent="0.2">
      <c r="A351" s="1186" t="s">
        <v>828</v>
      </c>
      <c r="B351" s="1186" t="s">
        <v>1419</v>
      </c>
      <c r="C351" s="1186" t="s">
        <v>47</v>
      </c>
      <c r="D351" s="1186">
        <v>12</v>
      </c>
      <c r="E351" s="1186">
        <v>1</v>
      </c>
      <c r="F351" s="1186">
        <v>9</v>
      </c>
      <c r="G351" s="1186">
        <v>2</v>
      </c>
    </row>
    <row r="352" spans="1:7" x14ac:dyDescent="0.2">
      <c r="A352" s="1186" t="s">
        <v>828</v>
      </c>
      <c r="B352" s="1186" t="s">
        <v>1419</v>
      </c>
      <c r="C352" s="1186" t="s">
        <v>48</v>
      </c>
      <c r="D352" s="1186">
        <v>86</v>
      </c>
      <c r="E352" s="1186">
        <v>12</v>
      </c>
      <c r="F352" s="1186">
        <v>58</v>
      </c>
      <c r="G352" s="1186">
        <v>16</v>
      </c>
    </row>
    <row r="353" spans="1:7" x14ac:dyDescent="0.2">
      <c r="A353" s="1186" t="s">
        <v>828</v>
      </c>
      <c r="B353" s="1186" t="s">
        <v>1419</v>
      </c>
      <c r="C353" s="1186" t="s">
        <v>49</v>
      </c>
      <c r="D353" s="1186">
        <v>228</v>
      </c>
      <c r="E353" s="1186">
        <v>42</v>
      </c>
      <c r="F353" s="1186">
        <v>145</v>
      </c>
      <c r="G353" s="1186">
        <v>41</v>
      </c>
    </row>
    <row r="354" spans="1:7" x14ac:dyDescent="0.2">
      <c r="A354" s="1186" t="s">
        <v>828</v>
      </c>
      <c r="B354" s="1186" t="s">
        <v>1419</v>
      </c>
      <c r="C354" s="1186" t="s">
        <v>50</v>
      </c>
      <c r="D354" s="1186">
        <v>44</v>
      </c>
      <c r="E354" s="1186">
        <v>7</v>
      </c>
      <c r="F354" s="1186">
        <v>33</v>
      </c>
      <c r="G354" s="1186">
        <v>4</v>
      </c>
    </row>
    <row r="355" spans="1:7" x14ac:dyDescent="0.2">
      <c r="A355" s="1186" t="s">
        <v>828</v>
      </c>
      <c r="B355" s="1186" t="s">
        <v>1419</v>
      </c>
      <c r="C355" s="1186" t="s">
        <v>51</v>
      </c>
      <c r="D355" s="1186">
        <v>103</v>
      </c>
      <c r="E355" s="1186">
        <v>21</v>
      </c>
      <c r="F355" s="1186">
        <v>77</v>
      </c>
      <c r="G355" s="1186">
        <v>5</v>
      </c>
    </row>
    <row r="356" spans="1:7" x14ac:dyDescent="0.2">
      <c r="A356" s="1186" t="s">
        <v>828</v>
      </c>
      <c r="B356" s="1186" t="s">
        <v>1419</v>
      </c>
      <c r="C356" s="1186" t="s">
        <v>52</v>
      </c>
      <c r="D356" s="1186">
        <v>112</v>
      </c>
      <c r="E356" s="1186">
        <v>14</v>
      </c>
      <c r="F356" s="1186">
        <v>84</v>
      </c>
      <c r="G356" s="1186">
        <v>14</v>
      </c>
    </row>
    <row r="357" spans="1:7" x14ac:dyDescent="0.2">
      <c r="A357" s="1186" t="s">
        <v>828</v>
      </c>
      <c r="B357" s="1186" t="s">
        <v>1419</v>
      </c>
      <c r="C357" s="1186" t="s">
        <v>1521</v>
      </c>
      <c r="D357" s="1186">
        <v>1</v>
      </c>
      <c r="E357" s="1186"/>
      <c r="F357" s="1186">
        <v>1</v>
      </c>
      <c r="G357" s="1186"/>
    </row>
    <row r="358" spans="1:7" x14ac:dyDescent="0.2">
      <c r="A358" s="1186" t="s">
        <v>828</v>
      </c>
      <c r="B358" s="1186" t="s">
        <v>1572</v>
      </c>
      <c r="C358" s="1186" t="s">
        <v>23</v>
      </c>
      <c r="D358" s="1186">
        <v>222</v>
      </c>
      <c r="E358" s="1186">
        <v>37</v>
      </c>
      <c r="F358" s="1186">
        <v>148</v>
      </c>
      <c r="G358" s="1186">
        <v>37</v>
      </c>
    </row>
    <row r="359" spans="1:7" x14ac:dyDescent="0.2">
      <c r="A359" s="1186" t="s">
        <v>828</v>
      </c>
      <c r="B359" s="1186" t="s">
        <v>1572</v>
      </c>
      <c r="C359" s="1186" t="s">
        <v>24</v>
      </c>
      <c r="D359" s="1186">
        <v>164</v>
      </c>
      <c r="E359" s="1186">
        <v>20</v>
      </c>
      <c r="F359" s="1186">
        <v>135</v>
      </c>
      <c r="G359" s="1186">
        <v>9</v>
      </c>
    </row>
    <row r="360" spans="1:7" x14ac:dyDescent="0.2">
      <c r="A360" s="1186" t="s">
        <v>828</v>
      </c>
      <c r="B360" s="1186" t="s">
        <v>1572</v>
      </c>
      <c r="C360" s="1186" t="s">
        <v>25</v>
      </c>
      <c r="D360" s="1186">
        <v>74</v>
      </c>
      <c r="E360" s="1186">
        <v>18</v>
      </c>
      <c r="F360" s="1186">
        <v>44</v>
      </c>
      <c r="G360" s="1186">
        <v>12</v>
      </c>
    </row>
    <row r="361" spans="1:7" x14ac:dyDescent="0.2">
      <c r="A361" s="1186" t="s">
        <v>828</v>
      </c>
      <c r="B361" s="1186" t="s">
        <v>1572</v>
      </c>
      <c r="C361" s="1186" t="s">
        <v>26</v>
      </c>
      <c r="D361" s="1186">
        <v>84</v>
      </c>
      <c r="E361" s="1186">
        <v>6</v>
      </c>
      <c r="F361" s="1186">
        <v>72</v>
      </c>
      <c r="G361" s="1186">
        <v>6</v>
      </c>
    </row>
    <row r="362" spans="1:7" x14ac:dyDescent="0.2">
      <c r="A362" s="1186" t="s">
        <v>828</v>
      </c>
      <c r="B362" s="1186" t="s">
        <v>1572</v>
      </c>
      <c r="C362" s="1186" t="s">
        <v>619</v>
      </c>
      <c r="D362" s="1186">
        <v>369</v>
      </c>
      <c r="E362" s="1186">
        <v>47</v>
      </c>
      <c r="F362" s="1186">
        <v>256</v>
      </c>
      <c r="G362" s="1186">
        <v>66</v>
      </c>
    </row>
    <row r="363" spans="1:7" x14ac:dyDescent="0.2">
      <c r="A363" s="1186" t="s">
        <v>828</v>
      </c>
      <c r="B363" s="1186" t="s">
        <v>1572</v>
      </c>
      <c r="C363" s="1186" t="s">
        <v>27</v>
      </c>
      <c r="D363" s="1186">
        <v>54</v>
      </c>
      <c r="E363" s="1186">
        <v>14</v>
      </c>
      <c r="F363" s="1186">
        <v>37</v>
      </c>
      <c r="G363" s="1186">
        <v>3</v>
      </c>
    </row>
    <row r="364" spans="1:7" x14ac:dyDescent="0.2">
      <c r="A364" s="1186" t="s">
        <v>828</v>
      </c>
      <c r="B364" s="1186" t="s">
        <v>1572</v>
      </c>
      <c r="C364" s="1186" t="s">
        <v>28</v>
      </c>
      <c r="D364" s="1186">
        <v>69</v>
      </c>
      <c r="E364" s="1186">
        <v>12</v>
      </c>
      <c r="F364" s="1186">
        <v>53</v>
      </c>
      <c r="G364" s="1186">
        <v>4</v>
      </c>
    </row>
    <row r="365" spans="1:7" x14ac:dyDescent="0.2">
      <c r="A365" s="1186" t="s">
        <v>828</v>
      </c>
      <c r="B365" s="1186" t="s">
        <v>1572</v>
      </c>
      <c r="C365" s="1186" t="s">
        <v>29</v>
      </c>
      <c r="D365" s="1186">
        <v>186</v>
      </c>
      <c r="E365" s="1186">
        <v>30</v>
      </c>
      <c r="F365" s="1186">
        <v>120</v>
      </c>
      <c r="G365" s="1186">
        <v>36</v>
      </c>
    </row>
    <row r="366" spans="1:7" x14ac:dyDescent="0.2">
      <c r="A366" s="1186" t="s">
        <v>828</v>
      </c>
      <c r="B366" s="1186" t="s">
        <v>1572</v>
      </c>
      <c r="C366" s="1186" t="s">
        <v>30</v>
      </c>
      <c r="D366" s="1186">
        <v>95</v>
      </c>
      <c r="E366" s="1186">
        <v>17</v>
      </c>
      <c r="F366" s="1186">
        <v>63</v>
      </c>
      <c r="G366" s="1186">
        <v>15</v>
      </c>
    </row>
    <row r="367" spans="1:7" x14ac:dyDescent="0.2">
      <c r="A367" s="1186" t="s">
        <v>828</v>
      </c>
      <c r="B367" s="1186" t="s">
        <v>1572</v>
      </c>
      <c r="C367" s="1186" t="s">
        <v>31</v>
      </c>
      <c r="D367" s="1186">
        <v>65</v>
      </c>
      <c r="E367" s="1186">
        <v>5</v>
      </c>
      <c r="F367" s="1186">
        <v>53</v>
      </c>
      <c r="G367" s="1186">
        <v>7</v>
      </c>
    </row>
    <row r="368" spans="1:7" x14ac:dyDescent="0.2">
      <c r="A368" s="1186" t="s">
        <v>828</v>
      </c>
      <c r="B368" s="1186" t="s">
        <v>1572</v>
      </c>
      <c r="C368" s="1186" t="s">
        <v>32</v>
      </c>
      <c r="D368" s="1186">
        <v>46</v>
      </c>
      <c r="E368" s="1186">
        <v>8</v>
      </c>
      <c r="F368" s="1186">
        <v>29</v>
      </c>
      <c r="G368" s="1186">
        <v>9</v>
      </c>
    </row>
    <row r="369" spans="1:7" x14ac:dyDescent="0.2">
      <c r="A369" s="1186" t="s">
        <v>828</v>
      </c>
      <c r="B369" s="1186" t="s">
        <v>1572</v>
      </c>
      <c r="C369" s="1186" t="s">
        <v>33</v>
      </c>
      <c r="D369" s="1186">
        <v>49</v>
      </c>
      <c r="E369" s="1186">
        <v>7</v>
      </c>
      <c r="F369" s="1186">
        <v>37</v>
      </c>
      <c r="G369" s="1186">
        <v>5</v>
      </c>
    </row>
    <row r="370" spans="1:7" x14ac:dyDescent="0.2">
      <c r="A370" s="1186" t="s">
        <v>828</v>
      </c>
      <c r="B370" s="1186" t="s">
        <v>1572</v>
      </c>
      <c r="C370" s="1186" t="s">
        <v>34</v>
      </c>
      <c r="D370" s="1186">
        <v>99</v>
      </c>
      <c r="E370" s="1186">
        <v>14</v>
      </c>
      <c r="F370" s="1186">
        <v>72</v>
      </c>
      <c r="G370" s="1186">
        <v>13</v>
      </c>
    </row>
    <row r="371" spans="1:7" x14ac:dyDescent="0.2">
      <c r="A371" s="1186" t="s">
        <v>828</v>
      </c>
      <c r="B371" s="1186" t="s">
        <v>1572</v>
      </c>
      <c r="C371" s="1186" t="s">
        <v>35</v>
      </c>
      <c r="D371" s="1186">
        <v>227</v>
      </c>
      <c r="E371" s="1186">
        <v>29</v>
      </c>
      <c r="F371" s="1186">
        <v>155</v>
      </c>
      <c r="G371" s="1186">
        <v>43</v>
      </c>
    </row>
    <row r="372" spans="1:7" x14ac:dyDescent="0.2">
      <c r="A372" s="1186" t="s">
        <v>828</v>
      </c>
      <c r="B372" s="1186" t="s">
        <v>1572</v>
      </c>
      <c r="C372" s="1186" t="s">
        <v>36</v>
      </c>
      <c r="D372" s="1186">
        <v>685</v>
      </c>
      <c r="E372" s="1186">
        <v>119</v>
      </c>
      <c r="F372" s="1186">
        <v>452</v>
      </c>
      <c r="G372" s="1186">
        <v>114</v>
      </c>
    </row>
    <row r="373" spans="1:7" x14ac:dyDescent="0.2">
      <c r="A373" s="1186" t="s">
        <v>828</v>
      </c>
      <c r="B373" s="1186" t="s">
        <v>1572</v>
      </c>
      <c r="C373" s="1186" t="s">
        <v>37</v>
      </c>
      <c r="D373" s="1186">
        <v>126</v>
      </c>
      <c r="E373" s="1186">
        <v>15</v>
      </c>
      <c r="F373" s="1186">
        <v>95</v>
      </c>
      <c r="G373" s="1186">
        <v>16</v>
      </c>
    </row>
    <row r="374" spans="1:7" x14ac:dyDescent="0.2">
      <c r="A374" s="1186" t="s">
        <v>828</v>
      </c>
      <c r="B374" s="1186" t="s">
        <v>1572</v>
      </c>
      <c r="C374" s="1186" t="s">
        <v>38</v>
      </c>
      <c r="D374" s="1186">
        <v>88</v>
      </c>
      <c r="E374" s="1186">
        <v>15</v>
      </c>
      <c r="F374" s="1186">
        <v>66</v>
      </c>
      <c r="G374" s="1186">
        <v>7</v>
      </c>
    </row>
    <row r="375" spans="1:7" x14ac:dyDescent="0.2">
      <c r="A375" s="1186" t="s">
        <v>828</v>
      </c>
      <c r="B375" s="1186" t="s">
        <v>1572</v>
      </c>
      <c r="C375" s="1186" t="s">
        <v>39</v>
      </c>
      <c r="D375" s="1186">
        <v>57</v>
      </c>
      <c r="E375" s="1186">
        <v>9</v>
      </c>
      <c r="F375" s="1186">
        <v>43</v>
      </c>
      <c r="G375" s="1186">
        <v>5</v>
      </c>
    </row>
    <row r="376" spans="1:7" x14ac:dyDescent="0.2">
      <c r="A376" s="1186" t="s">
        <v>828</v>
      </c>
      <c r="B376" s="1186" t="s">
        <v>1572</v>
      </c>
      <c r="C376" s="1186" t="s">
        <v>40</v>
      </c>
      <c r="D376" s="1186">
        <v>50</v>
      </c>
      <c r="E376" s="1186">
        <v>7</v>
      </c>
      <c r="F376" s="1186">
        <v>33</v>
      </c>
      <c r="G376" s="1186">
        <v>10</v>
      </c>
    </row>
    <row r="377" spans="1:7" x14ac:dyDescent="0.2">
      <c r="A377" s="1186" t="s">
        <v>828</v>
      </c>
      <c r="B377" s="1186" t="s">
        <v>1572</v>
      </c>
      <c r="C377" s="1186" t="s">
        <v>295</v>
      </c>
      <c r="D377" s="1186">
        <v>21</v>
      </c>
      <c r="E377" s="1186">
        <v>3</v>
      </c>
      <c r="F377" s="1186">
        <v>16</v>
      </c>
      <c r="G377" s="1186">
        <v>2</v>
      </c>
    </row>
    <row r="378" spans="1:7" x14ac:dyDescent="0.2">
      <c r="A378" s="1186" t="s">
        <v>828</v>
      </c>
      <c r="B378" s="1186" t="s">
        <v>1572</v>
      </c>
      <c r="C378" s="1186" t="s">
        <v>41</v>
      </c>
      <c r="D378" s="1186">
        <v>136</v>
      </c>
      <c r="E378" s="1186">
        <v>19</v>
      </c>
      <c r="F378" s="1186">
        <v>101</v>
      </c>
      <c r="G378" s="1186">
        <v>16</v>
      </c>
    </row>
    <row r="379" spans="1:7" x14ac:dyDescent="0.2">
      <c r="A379" s="1186" t="s">
        <v>828</v>
      </c>
      <c r="B379" s="1186" t="s">
        <v>1572</v>
      </c>
      <c r="C379" s="1186" t="s">
        <v>42</v>
      </c>
      <c r="D379" s="1186">
        <v>279</v>
      </c>
      <c r="E379" s="1186">
        <v>56</v>
      </c>
      <c r="F379" s="1186">
        <v>188</v>
      </c>
      <c r="G379" s="1186">
        <v>35</v>
      </c>
    </row>
    <row r="380" spans="1:7" x14ac:dyDescent="0.2">
      <c r="A380" s="1186" t="s">
        <v>828</v>
      </c>
      <c r="B380" s="1186" t="s">
        <v>1572</v>
      </c>
      <c r="C380" s="1186" t="s">
        <v>43</v>
      </c>
      <c r="D380" s="1186">
        <v>4</v>
      </c>
      <c r="E380" s="1186">
        <v>1</v>
      </c>
      <c r="F380" s="1186">
        <v>3</v>
      </c>
      <c r="G380" s="1186"/>
    </row>
    <row r="381" spans="1:7" x14ac:dyDescent="0.2">
      <c r="A381" s="1186" t="s">
        <v>828</v>
      </c>
      <c r="B381" s="1186" t="s">
        <v>1572</v>
      </c>
      <c r="C381" s="1186" t="s">
        <v>44</v>
      </c>
      <c r="D381" s="1186">
        <v>97</v>
      </c>
      <c r="E381" s="1186">
        <v>9</v>
      </c>
      <c r="F381" s="1186">
        <v>72</v>
      </c>
      <c r="G381" s="1186">
        <v>16</v>
      </c>
    </row>
    <row r="382" spans="1:7" x14ac:dyDescent="0.2">
      <c r="A382" s="1186" t="s">
        <v>828</v>
      </c>
      <c r="B382" s="1186" t="s">
        <v>1572</v>
      </c>
      <c r="C382" s="1186" t="s">
        <v>45</v>
      </c>
      <c r="D382" s="1186">
        <v>151</v>
      </c>
      <c r="E382" s="1186">
        <v>25</v>
      </c>
      <c r="F382" s="1186">
        <v>111</v>
      </c>
      <c r="G382" s="1186">
        <v>15</v>
      </c>
    </row>
    <row r="383" spans="1:7" x14ac:dyDescent="0.2">
      <c r="A383" s="1186" t="s">
        <v>828</v>
      </c>
      <c r="B383" s="1186" t="s">
        <v>1572</v>
      </c>
      <c r="C383" s="1186" t="s">
        <v>46</v>
      </c>
      <c r="D383" s="1186">
        <v>77</v>
      </c>
      <c r="E383" s="1186">
        <v>11</v>
      </c>
      <c r="F383" s="1186">
        <v>56</v>
      </c>
      <c r="G383" s="1186">
        <v>10</v>
      </c>
    </row>
    <row r="384" spans="1:7" x14ac:dyDescent="0.2">
      <c r="A384" s="1186" t="s">
        <v>828</v>
      </c>
      <c r="B384" s="1186" t="s">
        <v>1572</v>
      </c>
      <c r="C384" s="1186" t="s">
        <v>47</v>
      </c>
      <c r="D384" s="1186">
        <v>24</v>
      </c>
      <c r="E384" s="1186">
        <v>3</v>
      </c>
      <c r="F384" s="1186">
        <v>20</v>
      </c>
      <c r="G384" s="1186">
        <v>1</v>
      </c>
    </row>
    <row r="385" spans="1:7" x14ac:dyDescent="0.2">
      <c r="A385" s="1186" t="s">
        <v>828</v>
      </c>
      <c r="B385" s="1186" t="s">
        <v>1572</v>
      </c>
      <c r="C385" s="1186" t="s">
        <v>48</v>
      </c>
      <c r="D385" s="1186">
        <v>73</v>
      </c>
      <c r="E385" s="1186">
        <v>6</v>
      </c>
      <c r="F385" s="1186">
        <v>55</v>
      </c>
      <c r="G385" s="1186">
        <v>12</v>
      </c>
    </row>
    <row r="386" spans="1:7" x14ac:dyDescent="0.2">
      <c r="A386" s="1186" t="s">
        <v>828</v>
      </c>
      <c r="B386" s="1186" t="s">
        <v>1572</v>
      </c>
      <c r="C386" s="1186" t="s">
        <v>49</v>
      </c>
      <c r="D386" s="1186">
        <v>221</v>
      </c>
      <c r="E386" s="1186">
        <v>48</v>
      </c>
      <c r="F386" s="1186">
        <v>144</v>
      </c>
      <c r="G386" s="1186">
        <v>29</v>
      </c>
    </row>
    <row r="387" spans="1:7" x14ac:dyDescent="0.2">
      <c r="A387" s="1186" t="s">
        <v>828</v>
      </c>
      <c r="B387" s="1186" t="s">
        <v>1572</v>
      </c>
      <c r="C387" s="1186" t="s">
        <v>50</v>
      </c>
      <c r="D387" s="1186">
        <v>48</v>
      </c>
      <c r="E387" s="1186">
        <v>9</v>
      </c>
      <c r="F387" s="1186">
        <v>33</v>
      </c>
      <c r="G387" s="1186">
        <v>6</v>
      </c>
    </row>
    <row r="388" spans="1:7" x14ac:dyDescent="0.2">
      <c r="A388" s="1186" t="s">
        <v>828</v>
      </c>
      <c r="B388" s="1186" t="s">
        <v>1572</v>
      </c>
      <c r="C388" s="1186" t="s">
        <v>51</v>
      </c>
      <c r="D388" s="1186">
        <v>102</v>
      </c>
      <c r="E388" s="1186">
        <v>28</v>
      </c>
      <c r="F388" s="1186">
        <v>67</v>
      </c>
      <c r="G388" s="1186">
        <v>7</v>
      </c>
    </row>
    <row r="389" spans="1:7" x14ac:dyDescent="0.2">
      <c r="A389" s="1186" t="s">
        <v>828</v>
      </c>
      <c r="B389" s="1186" t="s">
        <v>1572</v>
      </c>
      <c r="C389" s="1186" t="s">
        <v>52</v>
      </c>
      <c r="D389" s="1186">
        <v>99</v>
      </c>
      <c r="E389" s="1186">
        <v>18</v>
      </c>
      <c r="F389" s="1186">
        <v>69</v>
      </c>
      <c r="G389" s="1186">
        <v>12</v>
      </c>
    </row>
  </sheetData>
  <pageMargins left="0.7" right="0.7" top="0.75" bottom="0.75" header="0.3" footer="0.3"/>
  <pageSetup paperSize="9" fitToHeight="50" orientation="landscape" r:id="rId1"/>
  <legacyDrawing r:id="rId2"/>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pageSetUpPr fitToPage="1"/>
  </sheetPr>
  <dimension ref="A1:H28"/>
  <sheetViews>
    <sheetView zoomScale="85" zoomScaleNormal="85" workbookViewId="0">
      <pane ySplit="4" topLeftCell="A9" activePane="bottomLeft" state="frozen"/>
      <selection activeCell="A5" sqref="A5"/>
      <selection pane="bottomLeft" activeCell="A5" sqref="A5"/>
    </sheetView>
  </sheetViews>
  <sheetFormatPr defaultColWidth="8.7109375" defaultRowHeight="12.75" x14ac:dyDescent="0.2"/>
  <cols>
    <col min="1" max="1" width="13" bestFit="1" customWidth="1"/>
    <col min="2" max="2" width="7.42578125" bestFit="1" customWidth="1"/>
    <col min="3" max="3" width="18" bestFit="1" customWidth="1"/>
    <col min="4" max="4" width="27.42578125" bestFit="1" customWidth="1"/>
    <col min="5" max="5" width="18.5703125" bestFit="1" customWidth="1"/>
    <col min="6" max="6" width="13.5703125" bestFit="1" customWidth="1"/>
    <col min="7" max="7" width="13.140625" bestFit="1" customWidth="1"/>
    <col min="8" max="8" width="28.42578125" bestFit="1" customWidth="1"/>
  </cols>
  <sheetData>
    <row r="1" spans="1:8" x14ac:dyDescent="0.2"/>
    <row r="4" spans="1:8" x14ac:dyDescent="0.2">
      <c r="A4" s="1223" t="s">
        <v>1912</v>
      </c>
      <c r="B4" s="1223" t="s">
        <v>4</v>
      </c>
      <c r="C4" s="1223" t="s">
        <v>1913</v>
      </c>
      <c r="D4" s="1223" t="s">
        <v>1914</v>
      </c>
      <c r="E4" s="1223" t="s">
        <v>1915</v>
      </c>
      <c r="F4" s="1223" t="s">
        <v>1916</v>
      </c>
      <c r="G4" s="1223" t="s">
        <v>1917</v>
      </c>
      <c r="H4" s="1223" t="s">
        <v>1918</v>
      </c>
    </row>
    <row r="5" spans="1:8" x14ac:dyDescent="0.2">
      <c r="A5" s="1186" t="s">
        <v>752</v>
      </c>
      <c r="B5" s="1186" t="s">
        <v>19</v>
      </c>
      <c r="C5" s="1186">
        <v>1387</v>
      </c>
      <c r="D5" s="1186">
        <v>1249</v>
      </c>
      <c r="E5" s="1186">
        <v>607</v>
      </c>
      <c r="F5" s="1186">
        <v>85</v>
      </c>
      <c r="G5" s="1186">
        <v>268</v>
      </c>
      <c r="H5" s="1186">
        <v>2964</v>
      </c>
    </row>
    <row r="6" spans="1:8" x14ac:dyDescent="0.2">
      <c r="A6" s="1186" t="s">
        <v>752</v>
      </c>
      <c r="B6" s="1186" t="s">
        <v>20</v>
      </c>
      <c r="C6" s="1186">
        <v>1511</v>
      </c>
      <c r="D6" s="1186">
        <v>1254</v>
      </c>
      <c r="E6" s="1186">
        <v>595</v>
      </c>
      <c r="F6" s="1186">
        <v>113</v>
      </c>
      <c r="G6" s="1186">
        <v>265</v>
      </c>
      <c r="H6" s="1186">
        <v>2555</v>
      </c>
    </row>
    <row r="7" spans="1:8" x14ac:dyDescent="0.2">
      <c r="A7" s="1186" t="s">
        <v>752</v>
      </c>
      <c r="B7" s="1186" t="s">
        <v>13</v>
      </c>
      <c r="C7" s="1186">
        <v>1610</v>
      </c>
      <c r="D7" s="1186">
        <v>1222</v>
      </c>
      <c r="E7" s="1186">
        <v>496</v>
      </c>
      <c r="F7" s="1186">
        <v>59</v>
      </c>
      <c r="G7" s="1186">
        <v>218</v>
      </c>
      <c r="H7" s="1186">
        <v>2552</v>
      </c>
    </row>
    <row r="8" spans="1:8" x14ac:dyDescent="0.2">
      <c r="A8" s="1186" t="s">
        <v>752</v>
      </c>
      <c r="B8" s="1186" t="s">
        <v>15</v>
      </c>
      <c r="C8" s="1186">
        <v>1499</v>
      </c>
      <c r="D8" s="1186">
        <v>1100</v>
      </c>
      <c r="E8" s="1186">
        <v>461</v>
      </c>
      <c r="F8" s="1186">
        <v>81</v>
      </c>
      <c r="G8" s="1186">
        <v>151</v>
      </c>
      <c r="H8" s="1186">
        <v>2537</v>
      </c>
    </row>
    <row r="9" spans="1:8" x14ac:dyDescent="0.2">
      <c r="A9" s="1186" t="s">
        <v>752</v>
      </c>
      <c r="B9" s="1186" t="s">
        <v>17</v>
      </c>
      <c r="C9" s="1186">
        <v>1326</v>
      </c>
      <c r="D9" s="1186">
        <v>1000</v>
      </c>
      <c r="E9" s="1186">
        <v>414</v>
      </c>
      <c r="F9" s="1186">
        <v>61</v>
      </c>
      <c r="G9" s="1186">
        <v>72</v>
      </c>
      <c r="H9" s="1186">
        <v>2450</v>
      </c>
    </row>
    <row r="10" spans="1:8" x14ac:dyDescent="0.2">
      <c r="A10" s="1186" t="s">
        <v>752</v>
      </c>
      <c r="B10" s="1186" t="s">
        <v>133</v>
      </c>
      <c r="C10" s="1186">
        <v>1580</v>
      </c>
      <c r="D10" s="1186">
        <v>925</v>
      </c>
      <c r="E10" s="1186">
        <v>367</v>
      </c>
      <c r="F10" s="1186">
        <v>57</v>
      </c>
      <c r="G10" s="1186">
        <v>95</v>
      </c>
      <c r="H10" s="1186">
        <v>2550</v>
      </c>
    </row>
    <row r="11" spans="1:8" x14ac:dyDescent="0.2">
      <c r="A11" s="1186" t="s">
        <v>752</v>
      </c>
      <c r="B11" s="1186" t="s">
        <v>144</v>
      </c>
      <c r="C11" s="1186">
        <v>1550</v>
      </c>
      <c r="D11" s="1186">
        <v>980</v>
      </c>
      <c r="E11" s="1186">
        <v>380</v>
      </c>
      <c r="F11" s="1186">
        <v>67</v>
      </c>
      <c r="G11" s="1186">
        <v>65</v>
      </c>
      <c r="H11" s="1186">
        <v>2631</v>
      </c>
    </row>
    <row r="12" spans="1:8" x14ac:dyDescent="0.2">
      <c r="A12" s="1186" t="s">
        <v>752</v>
      </c>
      <c r="B12" s="1186" t="s">
        <v>282</v>
      </c>
      <c r="C12" s="1186">
        <v>1531</v>
      </c>
      <c r="D12" s="1186">
        <v>866</v>
      </c>
      <c r="E12" s="1186">
        <v>396</v>
      </c>
      <c r="F12" s="1186">
        <v>80</v>
      </c>
      <c r="G12" s="1186">
        <v>39</v>
      </c>
      <c r="H12" s="1186">
        <v>2628</v>
      </c>
    </row>
    <row r="13" spans="1:8" x14ac:dyDescent="0.2">
      <c r="A13" s="1186" t="s">
        <v>752</v>
      </c>
      <c r="B13" s="1186" t="s">
        <v>311</v>
      </c>
      <c r="C13" s="1186">
        <v>1464</v>
      </c>
      <c r="D13" s="1186">
        <v>845</v>
      </c>
      <c r="E13" s="1186">
        <v>416</v>
      </c>
      <c r="F13" s="1186">
        <v>64</v>
      </c>
      <c r="G13" s="1186">
        <v>41</v>
      </c>
      <c r="H13" s="1186">
        <v>2481</v>
      </c>
    </row>
    <row r="14" spans="1:8" x14ac:dyDescent="0.2">
      <c r="A14" s="1186" t="s">
        <v>752</v>
      </c>
      <c r="B14" s="1186" t="s">
        <v>621</v>
      </c>
      <c r="C14" s="1186">
        <v>1327</v>
      </c>
      <c r="D14" s="1186">
        <v>811</v>
      </c>
      <c r="E14" s="1186">
        <v>403</v>
      </c>
      <c r="F14" s="1186">
        <v>85</v>
      </c>
      <c r="G14" s="1186">
        <v>76</v>
      </c>
      <c r="H14" s="1186">
        <v>2443</v>
      </c>
    </row>
    <row r="15" spans="1:8" x14ac:dyDescent="0.2">
      <c r="A15" s="1186" t="s">
        <v>752</v>
      </c>
      <c r="B15" s="1186" t="s">
        <v>1419</v>
      </c>
      <c r="C15" s="1186">
        <v>1193</v>
      </c>
      <c r="D15" s="1186">
        <v>751</v>
      </c>
      <c r="E15" s="1186">
        <v>380</v>
      </c>
      <c r="F15" s="1186">
        <v>74</v>
      </c>
      <c r="G15" s="1186">
        <v>179</v>
      </c>
      <c r="H15" s="1186">
        <v>2313</v>
      </c>
    </row>
    <row r="16" spans="1:8" x14ac:dyDescent="0.2">
      <c r="A16" s="1186" t="s">
        <v>752</v>
      </c>
      <c r="B16" s="1186" t="s">
        <v>1572</v>
      </c>
      <c r="C16" s="1186">
        <v>1242</v>
      </c>
      <c r="D16" s="1186">
        <v>745</v>
      </c>
      <c r="E16" s="1186">
        <v>328</v>
      </c>
      <c r="F16" s="1186">
        <v>66</v>
      </c>
      <c r="G16" s="1186">
        <v>179</v>
      </c>
      <c r="H16" s="1186">
        <v>2101</v>
      </c>
    </row>
    <row r="17" spans="1:8" x14ac:dyDescent="0.2">
      <c r="A17" s="1186" t="s">
        <v>6</v>
      </c>
      <c r="B17" s="1186" t="s">
        <v>19</v>
      </c>
      <c r="C17" s="1186">
        <v>695</v>
      </c>
      <c r="D17" s="1186">
        <v>601</v>
      </c>
      <c r="E17" s="1186">
        <v>205</v>
      </c>
      <c r="F17" s="1186">
        <v>316</v>
      </c>
      <c r="G17" s="1186">
        <v>624</v>
      </c>
      <c r="H17" s="1186">
        <v>563</v>
      </c>
    </row>
    <row r="18" spans="1:8" x14ac:dyDescent="0.2">
      <c r="A18" s="1186" t="s">
        <v>6</v>
      </c>
      <c r="B18" s="1186" t="s">
        <v>20</v>
      </c>
      <c r="C18" s="1186">
        <v>740</v>
      </c>
      <c r="D18" s="1186">
        <v>482</v>
      </c>
      <c r="E18" s="1186">
        <v>194</v>
      </c>
      <c r="F18" s="1186">
        <v>331</v>
      </c>
      <c r="G18" s="1186">
        <v>230</v>
      </c>
      <c r="H18" s="1186">
        <v>818</v>
      </c>
    </row>
    <row r="19" spans="1:8" x14ac:dyDescent="0.2">
      <c r="A19" s="1186" t="s">
        <v>6</v>
      </c>
      <c r="B19" s="1186" t="s">
        <v>13</v>
      </c>
      <c r="C19" s="1186">
        <v>752</v>
      </c>
      <c r="D19" s="1186">
        <v>478</v>
      </c>
      <c r="E19" s="1186">
        <v>159</v>
      </c>
      <c r="F19" s="1186">
        <v>332</v>
      </c>
      <c r="G19" s="1186">
        <v>109</v>
      </c>
      <c r="H19" s="1186">
        <v>887</v>
      </c>
    </row>
    <row r="20" spans="1:8" x14ac:dyDescent="0.2">
      <c r="A20" s="1186" t="s">
        <v>6</v>
      </c>
      <c r="B20" s="1186" t="s">
        <v>15</v>
      </c>
      <c r="C20" s="1186">
        <v>638</v>
      </c>
      <c r="D20" s="1186">
        <v>443</v>
      </c>
      <c r="E20" s="1186">
        <v>152</v>
      </c>
      <c r="F20" s="1186">
        <v>277</v>
      </c>
      <c r="G20" s="1186">
        <v>55</v>
      </c>
      <c r="H20" s="1186">
        <v>843</v>
      </c>
    </row>
    <row r="21" spans="1:8" x14ac:dyDescent="0.2">
      <c r="A21" s="1186" t="s">
        <v>6</v>
      </c>
      <c r="B21" s="1186" t="s">
        <v>17</v>
      </c>
      <c r="C21" s="1186">
        <v>638</v>
      </c>
      <c r="D21" s="1186">
        <v>450</v>
      </c>
      <c r="E21" s="1186">
        <v>144</v>
      </c>
      <c r="F21" s="1186">
        <v>255</v>
      </c>
      <c r="G21" s="1186">
        <v>37</v>
      </c>
      <c r="H21" s="1186">
        <v>822</v>
      </c>
    </row>
    <row r="22" spans="1:8" x14ac:dyDescent="0.2">
      <c r="A22" s="1186" t="s">
        <v>6</v>
      </c>
      <c r="B22" s="1186" t="s">
        <v>133</v>
      </c>
      <c r="C22" s="1186">
        <v>639</v>
      </c>
      <c r="D22" s="1186">
        <v>406</v>
      </c>
      <c r="E22" s="1186">
        <v>147</v>
      </c>
      <c r="F22" s="1186">
        <v>291</v>
      </c>
      <c r="G22" s="1186">
        <v>29</v>
      </c>
      <c r="H22" s="1186">
        <v>812</v>
      </c>
    </row>
    <row r="23" spans="1:8" x14ac:dyDescent="0.2">
      <c r="A23" s="1186" t="s">
        <v>6</v>
      </c>
      <c r="B23" s="1186" t="s">
        <v>144</v>
      </c>
      <c r="C23" s="1186">
        <v>696</v>
      </c>
      <c r="D23" s="1186">
        <v>446</v>
      </c>
      <c r="E23" s="1186">
        <v>160</v>
      </c>
      <c r="F23" s="1186">
        <v>262</v>
      </c>
      <c r="G23" s="1186">
        <v>19</v>
      </c>
      <c r="H23" s="1186">
        <v>911</v>
      </c>
    </row>
    <row r="24" spans="1:8" x14ac:dyDescent="0.2">
      <c r="A24" s="1186" t="s">
        <v>6</v>
      </c>
      <c r="B24" s="1186" t="s">
        <v>282</v>
      </c>
      <c r="C24" s="1186">
        <v>650</v>
      </c>
      <c r="D24" s="1186">
        <v>388</v>
      </c>
      <c r="E24" s="1186">
        <v>138</v>
      </c>
      <c r="F24" s="1186">
        <v>272</v>
      </c>
      <c r="G24" s="1186">
        <v>21</v>
      </c>
      <c r="H24" s="1186">
        <v>808</v>
      </c>
    </row>
    <row r="25" spans="1:8" x14ac:dyDescent="0.2">
      <c r="A25" s="1186" t="s">
        <v>6</v>
      </c>
      <c r="B25" s="1186" t="s">
        <v>311</v>
      </c>
      <c r="C25" s="1186">
        <v>651</v>
      </c>
      <c r="D25" s="1186">
        <v>423</v>
      </c>
      <c r="E25" s="1186">
        <v>152</v>
      </c>
      <c r="F25" s="1186">
        <v>302</v>
      </c>
      <c r="G25" s="1186">
        <v>18</v>
      </c>
      <c r="H25" s="1186">
        <v>741</v>
      </c>
    </row>
    <row r="26" spans="1:8" x14ac:dyDescent="0.2">
      <c r="A26" s="1186" t="s">
        <v>6</v>
      </c>
      <c r="B26" s="1186" t="s">
        <v>621</v>
      </c>
      <c r="C26" s="1186">
        <v>648</v>
      </c>
      <c r="D26" s="1186">
        <v>373</v>
      </c>
      <c r="E26" s="1186">
        <v>129</v>
      </c>
      <c r="F26" s="1186">
        <v>286</v>
      </c>
      <c r="G26" s="1186">
        <v>37</v>
      </c>
      <c r="H26" s="1186">
        <v>779</v>
      </c>
    </row>
    <row r="27" spans="1:8" x14ac:dyDescent="0.2">
      <c r="A27" s="1186" t="s">
        <v>6</v>
      </c>
      <c r="B27" s="1186" t="s">
        <v>1419</v>
      </c>
      <c r="C27" s="1186">
        <v>529</v>
      </c>
      <c r="D27" s="1186">
        <v>323</v>
      </c>
      <c r="E27" s="1186">
        <v>117</v>
      </c>
      <c r="F27" s="1186">
        <v>231</v>
      </c>
      <c r="G27" s="1186">
        <v>63</v>
      </c>
      <c r="H27" s="1186">
        <v>717</v>
      </c>
    </row>
    <row r="28" spans="1:8" x14ac:dyDescent="0.2">
      <c r="A28" s="1186" t="s">
        <v>6</v>
      </c>
      <c r="B28" s="1186" t="s">
        <v>1572</v>
      </c>
      <c r="C28" s="1186">
        <v>510</v>
      </c>
      <c r="D28" s="1186">
        <v>280</v>
      </c>
      <c r="E28" s="1186">
        <v>104</v>
      </c>
      <c r="F28" s="1186">
        <v>243</v>
      </c>
      <c r="G28" s="1186">
        <v>47</v>
      </c>
      <c r="H28" s="1186">
        <v>534</v>
      </c>
    </row>
  </sheetData>
  <pageMargins left="0.7" right="0.7" top="0.75" bottom="0.75" header="0.3" footer="0.3"/>
  <pageSetup paperSize="9" fitToHeight="50" orientation="landscape" r:id="rId1"/>
  <legacyDrawing r:id="rId2"/>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pageSetUpPr fitToPage="1"/>
  </sheetPr>
  <dimension ref="A1:J28"/>
  <sheetViews>
    <sheetView zoomScale="85" zoomScaleNormal="85" workbookViewId="0">
      <pane ySplit="4" topLeftCell="A6" activePane="bottomLeft" state="frozen"/>
      <selection activeCell="A5" sqref="A5"/>
      <selection pane="bottomLeft" activeCell="A5" sqref="A5"/>
    </sheetView>
  </sheetViews>
  <sheetFormatPr defaultColWidth="8.7109375" defaultRowHeight="12.75" x14ac:dyDescent="0.2"/>
  <cols>
    <col min="1" max="1" width="17.140625" bestFit="1" customWidth="1"/>
    <col min="2" max="2" width="7.42578125" bestFit="1" customWidth="1"/>
    <col min="3" max="4" width="5.85546875" bestFit="1" customWidth="1"/>
    <col min="5" max="5" width="4.85546875" bestFit="1" customWidth="1"/>
    <col min="6" max="8" width="5.42578125" bestFit="1" customWidth="1"/>
    <col min="9" max="9" width="3.85546875" bestFit="1" customWidth="1"/>
    <col min="10" max="10" width="8" bestFit="1" customWidth="1"/>
  </cols>
  <sheetData>
    <row r="1" spans="1:10" x14ac:dyDescent="0.2"/>
    <row r="4" spans="1:10" x14ac:dyDescent="0.2">
      <c r="A4" s="1223" t="s">
        <v>1743</v>
      </c>
      <c r="B4" s="1223" t="s">
        <v>4</v>
      </c>
      <c r="C4" s="1223" t="s">
        <v>11</v>
      </c>
      <c r="D4" s="1226" t="s">
        <v>1919</v>
      </c>
      <c r="E4" s="1226" t="s">
        <v>1920</v>
      </c>
      <c r="F4" s="1226" t="s">
        <v>1921</v>
      </c>
      <c r="G4" s="1226" t="s">
        <v>1922</v>
      </c>
      <c r="H4" s="1226" t="s">
        <v>1923</v>
      </c>
      <c r="I4" s="1226" t="s">
        <v>1924</v>
      </c>
      <c r="J4" s="1226" t="s">
        <v>168</v>
      </c>
    </row>
    <row r="5" spans="1:10" x14ac:dyDescent="0.2">
      <c r="A5" s="1186" t="s">
        <v>496</v>
      </c>
      <c r="B5" s="1186" t="s">
        <v>19</v>
      </c>
      <c r="C5" s="1186">
        <v>13877</v>
      </c>
      <c r="D5" s="1186">
        <v>4864</v>
      </c>
      <c r="E5" s="1186">
        <v>6021</v>
      </c>
      <c r="F5" s="1186">
        <v>2828</v>
      </c>
      <c r="G5" s="1186">
        <v>106</v>
      </c>
      <c r="H5" s="1186">
        <v>32</v>
      </c>
      <c r="I5" s="1186">
        <v>22</v>
      </c>
      <c r="J5" s="1186">
        <v>4</v>
      </c>
    </row>
    <row r="6" spans="1:10" x14ac:dyDescent="0.2">
      <c r="A6" s="1186" t="s">
        <v>496</v>
      </c>
      <c r="B6" s="1186" t="s">
        <v>20</v>
      </c>
      <c r="C6" s="1186">
        <v>13025</v>
      </c>
      <c r="D6" s="1186">
        <v>4514</v>
      </c>
      <c r="E6" s="1186">
        <v>5893</v>
      </c>
      <c r="F6" s="1186">
        <v>2404</v>
      </c>
      <c r="G6" s="1186">
        <v>155</v>
      </c>
      <c r="H6" s="1186">
        <v>29</v>
      </c>
      <c r="I6" s="1186">
        <v>27</v>
      </c>
      <c r="J6" s="1186">
        <v>3</v>
      </c>
    </row>
    <row r="7" spans="1:10" x14ac:dyDescent="0.2">
      <c r="A7" s="1186" t="s">
        <v>496</v>
      </c>
      <c r="B7" s="1186" t="s">
        <v>13</v>
      </c>
      <c r="C7" s="1186">
        <v>12295</v>
      </c>
      <c r="D7" s="1186">
        <v>3983</v>
      </c>
      <c r="E7" s="1186">
        <v>5443</v>
      </c>
      <c r="F7" s="1186">
        <v>2686</v>
      </c>
      <c r="G7" s="1186">
        <v>131</v>
      </c>
      <c r="H7" s="1186">
        <v>28</v>
      </c>
      <c r="I7" s="1186">
        <v>17</v>
      </c>
      <c r="J7" s="1186">
        <v>7</v>
      </c>
    </row>
    <row r="8" spans="1:10" x14ac:dyDescent="0.2">
      <c r="A8" s="1186" t="s">
        <v>496</v>
      </c>
      <c r="B8" s="1186" t="s">
        <v>15</v>
      </c>
      <c r="C8" s="1186">
        <v>10986</v>
      </c>
      <c r="D8" s="1186">
        <v>3353</v>
      </c>
      <c r="E8" s="1186">
        <v>5125</v>
      </c>
      <c r="F8" s="1186">
        <v>2355</v>
      </c>
      <c r="G8" s="1186">
        <v>101</v>
      </c>
      <c r="H8" s="1186">
        <v>27</v>
      </c>
      <c r="I8" s="1186">
        <v>21</v>
      </c>
      <c r="J8" s="1186">
        <v>4</v>
      </c>
    </row>
    <row r="9" spans="1:10" x14ac:dyDescent="0.2">
      <c r="A9" s="1186" t="s">
        <v>496</v>
      </c>
      <c r="B9" s="1186" t="s">
        <v>17</v>
      </c>
      <c r="C9" s="1186">
        <v>10412</v>
      </c>
      <c r="D9" s="1186">
        <v>3352</v>
      </c>
      <c r="E9" s="1186">
        <v>4733</v>
      </c>
      <c r="F9" s="1186">
        <v>2164</v>
      </c>
      <c r="G9" s="1186">
        <v>125</v>
      </c>
      <c r="H9" s="1186">
        <v>18</v>
      </c>
      <c r="I9" s="1186">
        <v>17</v>
      </c>
      <c r="J9" s="1186">
        <v>3</v>
      </c>
    </row>
    <row r="10" spans="1:10" x14ac:dyDescent="0.2">
      <c r="A10" s="1186" t="s">
        <v>496</v>
      </c>
      <c r="B10" s="1186" t="s">
        <v>133</v>
      </c>
      <c r="C10" s="1186">
        <v>10512</v>
      </c>
      <c r="D10" s="1186">
        <v>3241</v>
      </c>
      <c r="E10" s="1186">
        <v>4840</v>
      </c>
      <c r="F10" s="1186">
        <v>2271</v>
      </c>
      <c r="G10" s="1186">
        <v>114</v>
      </c>
      <c r="H10" s="1186">
        <v>22</v>
      </c>
      <c r="I10" s="1186">
        <v>19</v>
      </c>
      <c r="J10" s="1186">
        <v>5</v>
      </c>
    </row>
    <row r="11" spans="1:10" x14ac:dyDescent="0.2">
      <c r="A11" s="1186" t="s">
        <v>496</v>
      </c>
      <c r="B11" s="1186" t="s">
        <v>144</v>
      </c>
      <c r="C11" s="1186">
        <v>10901</v>
      </c>
      <c r="D11" s="1186">
        <v>3351</v>
      </c>
      <c r="E11" s="1186">
        <v>4894</v>
      </c>
      <c r="F11" s="1186">
        <v>2352</v>
      </c>
      <c r="G11" s="1186">
        <v>111</v>
      </c>
      <c r="H11" s="1186">
        <v>21</v>
      </c>
      <c r="I11" s="1186">
        <v>17</v>
      </c>
      <c r="J11" s="1186">
        <v>155</v>
      </c>
    </row>
    <row r="12" spans="1:10" x14ac:dyDescent="0.2">
      <c r="A12" s="1186" t="s">
        <v>496</v>
      </c>
      <c r="B12" s="1186" t="s">
        <v>282</v>
      </c>
      <c r="C12" s="1186">
        <v>10795</v>
      </c>
      <c r="D12" s="1186">
        <v>3565</v>
      </c>
      <c r="E12" s="1186">
        <v>4814</v>
      </c>
      <c r="F12" s="1186">
        <v>2257</v>
      </c>
      <c r="G12" s="1186">
        <v>125</v>
      </c>
      <c r="H12" s="1186">
        <v>16</v>
      </c>
      <c r="I12" s="1186">
        <v>17</v>
      </c>
      <c r="J12" s="1186">
        <v>1</v>
      </c>
    </row>
    <row r="13" spans="1:10" x14ac:dyDescent="0.2">
      <c r="A13" s="1186" t="s">
        <v>496</v>
      </c>
      <c r="B13" s="1186" t="s">
        <v>311</v>
      </c>
      <c r="C13" s="1186">
        <v>10581</v>
      </c>
      <c r="D13" s="1186">
        <v>3574</v>
      </c>
      <c r="E13" s="1186">
        <v>4612</v>
      </c>
      <c r="F13" s="1186">
        <v>2218</v>
      </c>
      <c r="G13" s="1186">
        <v>125</v>
      </c>
      <c r="H13" s="1186">
        <v>29</v>
      </c>
      <c r="I13" s="1186">
        <v>22</v>
      </c>
      <c r="J13" s="1186">
        <v>1</v>
      </c>
    </row>
    <row r="14" spans="1:10" x14ac:dyDescent="0.2">
      <c r="A14" s="1186" t="s">
        <v>496</v>
      </c>
      <c r="B14" s="1186" t="s">
        <v>621</v>
      </c>
      <c r="C14" s="1186">
        <v>10389</v>
      </c>
      <c r="D14" s="1186">
        <v>3432</v>
      </c>
      <c r="E14" s="1186">
        <v>4569</v>
      </c>
      <c r="F14" s="1186">
        <v>2149</v>
      </c>
      <c r="G14" s="1186">
        <v>157</v>
      </c>
      <c r="H14" s="1186">
        <v>38</v>
      </c>
      <c r="I14" s="1186">
        <v>37</v>
      </c>
      <c r="J14" s="1186">
        <v>7</v>
      </c>
    </row>
    <row r="15" spans="1:10" x14ac:dyDescent="0.2">
      <c r="A15" s="1186" t="s">
        <v>496</v>
      </c>
      <c r="B15" s="1186" t="s">
        <v>1419</v>
      </c>
      <c r="C15" s="1186">
        <v>9786</v>
      </c>
      <c r="D15" s="1186">
        <v>3357</v>
      </c>
      <c r="E15" s="1186">
        <v>4206</v>
      </c>
      <c r="F15" s="1186">
        <v>2053</v>
      </c>
      <c r="G15" s="1186">
        <v>120</v>
      </c>
      <c r="H15" s="1186">
        <v>25</v>
      </c>
      <c r="I15" s="1186">
        <v>22</v>
      </c>
      <c r="J15" s="1186">
        <v>3</v>
      </c>
    </row>
    <row r="16" spans="1:10" x14ac:dyDescent="0.2">
      <c r="A16" s="1186" t="s">
        <v>496</v>
      </c>
      <c r="B16" s="1186" t="s">
        <v>1572</v>
      </c>
      <c r="C16" s="1186">
        <v>9367</v>
      </c>
      <c r="D16" s="1186">
        <v>3336</v>
      </c>
      <c r="E16" s="1186">
        <v>4098</v>
      </c>
      <c r="F16" s="1186">
        <v>1719</v>
      </c>
      <c r="G16" s="1186">
        <v>144</v>
      </c>
      <c r="H16" s="1186">
        <v>32</v>
      </c>
      <c r="I16" s="1186">
        <v>26</v>
      </c>
      <c r="J16" s="1186">
        <v>12</v>
      </c>
    </row>
    <row r="17" spans="1:10" x14ac:dyDescent="0.2">
      <c r="A17" s="1186" t="s">
        <v>495</v>
      </c>
      <c r="B17" s="1186" t="s">
        <v>19</v>
      </c>
      <c r="C17" s="1186">
        <v>22989</v>
      </c>
      <c r="D17" s="1186">
        <v>19656</v>
      </c>
      <c r="E17" s="1186">
        <v>2792</v>
      </c>
      <c r="F17" s="1186">
        <v>494</v>
      </c>
      <c r="G17" s="1186">
        <v>1</v>
      </c>
      <c r="H17" s="1186">
        <v>1</v>
      </c>
      <c r="I17" s="1186"/>
      <c r="J17" s="1186">
        <v>45</v>
      </c>
    </row>
    <row r="18" spans="1:10" x14ac:dyDescent="0.2">
      <c r="A18" s="1186" t="s">
        <v>495</v>
      </c>
      <c r="B18" s="1186" t="s">
        <v>20</v>
      </c>
      <c r="C18" s="1186">
        <v>24189</v>
      </c>
      <c r="D18" s="1186">
        <v>20475</v>
      </c>
      <c r="E18" s="1186">
        <v>3194</v>
      </c>
      <c r="F18" s="1186">
        <v>491</v>
      </c>
      <c r="G18" s="1186">
        <v>4</v>
      </c>
      <c r="H18" s="1186"/>
      <c r="I18" s="1186"/>
      <c r="J18" s="1186">
        <v>25</v>
      </c>
    </row>
    <row r="19" spans="1:10" x14ac:dyDescent="0.2">
      <c r="A19" s="1186" t="s">
        <v>495</v>
      </c>
      <c r="B19" s="1186" t="s">
        <v>13</v>
      </c>
      <c r="C19" s="1186">
        <v>18654</v>
      </c>
      <c r="D19" s="1186">
        <v>15625</v>
      </c>
      <c r="E19" s="1186">
        <v>2576</v>
      </c>
      <c r="F19" s="1186">
        <v>423</v>
      </c>
      <c r="G19" s="1186">
        <v>9</v>
      </c>
      <c r="H19" s="1186"/>
      <c r="I19" s="1186"/>
      <c r="J19" s="1186">
        <v>21</v>
      </c>
    </row>
    <row r="20" spans="1:10" x14ac:dyDescent="0.2">
      <c r="A20" s="1186" t="s">
        <v>495</v>
      </c>
      <c r="B20" s="1186" t="s">
        <v>15</v>
      </c>
      <c r="C20" s="1186">
        <v>14262</v>
      </c>
      <c r="D20" s="1186">
        <v>12007</v>
      </c>
      <c r="E20" s="1186">
        <v>1895</v>
      </c>
      <c r="F20" s="1186">
        <v>345</v>
      </c>
      <c r="G20" s="1186">
        <v>1</v>
      </c>
      <c r="H20" s="1186"/>
      <c r="I20" s="1186"/>
      <c r="J20" s="1186">
        <v>14</v>
      </c>
    </row>
    <row r="21" spans="1:10" x14ac:dyDescent="0.2">
      <c r="A21" s="1186" t="s">
        <v>495</v>
      </c>
      <c r="B21" s="1186" t="s">
        <v>17</v>
      </c>
      <c r="C21" s="1186">
        <v>16351</v>
      </c>
      <c r="D21" s="1186">
        <v>14092</v>
      </c>
      <c r="E21" s="1186">
        <v>1895</v>
      </c>
      <c r="F21" s="1186">
        <v>334</v>
      </c>
      <c r="G21" s="1186">
        <v>5</v>
      </c>
      <c r="H21" s="1186">
        <v>1</v>
      </c>
      <c r="I21" s="1186"/>
      <c r="J21" s="1186">
        <v>24</v>
      </c>
    </row>
    <row r="22" spans="1:10" x14ac:dyDescent="0.2">
      <c r="A22" s="1186" t="s">
        <v>495</v>
      </c>
      <c r="B22" s="1186" t="s">
        <v>133</v>
      </c>
      <c r="C22" s="1186">
        <v>13390</v>
      </c>
      <c r="D22" s="1186">
        <v>11495</v>
      </c>
      <c r="E22" s="1186">
        <v>1595</v>
      </c>
      <c r="F22" s="1186">
        <v>287</v>
      </c>
      <c r="G22" s="1186"/>
      <c r="H22" s="1186"/>
      <c r="I22" s="1186"/>
      <c r="J22" s="1186">
        <v>13</v>
      </c>
    </row>
    <row r="23" spans="1:10" x14ac:dyDescent="0.2">
      <c r="A23" s="1186" t="s">
        <v>495</v>
      </c>
      <c r="B23" s="1186" t="s">
        <v>144</v>
      </c>
      <c r="C23" s="1186">
        <v>14704</v>
      </c>
      <c r="D23" s="1186">
        <v>12744</v>
      </c>
      <c r="E23" s="1186">
        <v>1522</v>
      </c>
      <c r="F23" s="1186">
        <v>276</v>
      </c>
      <c r="G23" s="1186">
        <v>3</v>
      </c>
      <c r="H23" s="1186"/>
      <c r="I23" s="1186"/>
      <c r="J23" s="1186">
        <v>159</v>
      </c>
    </row>
    <row r="24" spans="1:10" x14ac:dyDescent="0.2">
      <c r="A24" s="1186" t="s">
        <v>495</v>
      </c>
      <c r="B24" s="1186" t="s">
        <v>282</v>
      </c>
      <c r="C24" s="1186">
        <v>15640</v>
      </c>
      <c r="D24" s="1186">
        <v>13945</v>
      </c>
      <c r="E24" s="1186">
        <v>1367</v>
      </c>
      <c r="F24" s="1186">
        <v>313</v>
      </c>
      <c r="G24" s="1186">
        <v>3</v>
      </c>
      <c r="H24" s="1186"/>
      <c r="I24" s="1186"/>
      <c r="J24" s="1186">
        <v>12</v>
      </c>
    </row>
    <row r="25" spans="1:10" x14ac:dyDescent="0.2">
      <c r="A25" s="1186" t="s">
        <v>495</v>
      </c>
      <c r="B25" s="1186" t="s">
        <v>311</v>
      </c>
      <c r="C25" s="1186">
        <v>14703</v>
      </c>
      <c r="D25" s="1186">
        <v>12927</v>
      </c>
      <c r="E25" s="1186">
        <v>1425</v>
      </c>
      <c r="F25" s="1186">
        <v>340</v>
      </c>
      <c r="G25" s="1186"/>
      <c r="H25" s="1186"/>
      <c r="I25" s="1186"/>
      <c r="J25" s="1186">
        <v>11</v>
      </c>
    </row>
    <row r="26" spans="1:10" x14ac:dyDescent="0.2">
      <c r="A26" s="1186" t="s">
        <v>495</v>
      </c>
      <c r="B26" s="1186" t="s">
        <v>621</v>
      </c>
      <c r="C26" s="1186">
        <v>15672</v>
      </c>
      <c r="D26" s="1186">
        <v>13889</v>
      </c>
      <c r="E26" s="1186">
        <v>1394</v>
      </c>
      <c r="F26" s="1186">
        <v>369</v>
      </c>
      <c r="G26" s="1186">
        <v>3</v>
      </c>
      <c r="H26" s="1186"/>
      <c r="I26" s="1186"/>
      <c r="J26" s="1186">
        <v>17</v>
      </c>
    </row>
    <row r="27" spans="1:10" x14ac:dyDescent="0.2">
      <c r="A27" s="1186" t="s">
        <v>495</v>
      </c>
      <c r="B27" s="1186" t="s">
        <v>1419</v>
      </c>
      <c r="C27" s="1186">
        <v>14062</v>
      </c>
      <c r="D27" s="1186">
        <v>12599</v>
      </c>
      <c r="E27" s="1186">
        <v>1148</v>
      </c>
      <c r="F27" s="1186">
        <v>300</v>
      </c>
      <c r="G27" s="1186">
        <v>2</v>
      </c>
      <c r="H27" s="1186"/>
      <c r="I27" s="1186"/>
      <c r="J27" s="1186">
        <v>13</v>
      </c>
    </row>
    <row r="28" spans="1:10" x14ac:dyDescent="0.2">
      <c r="A28" s="1186" t="s">
        <v>495</v>
      </c>
      <c r="B28" s="1186" t="s">
        <v>1572</v>
      </c>
      <c r="C28" s="1186">
        <v>15113</v>
      </c>
      <c r="D28" s="1186">
        <v>13564</v>
      </c>
      <c r="E28" s="1186">
        <v>1261</v>
      </c>
      <c r="F28" s="1186">
        <v>236</v>
      </c>
      <c r="G28" s="1186">
        <v>1</v>
      </c>
      <c r="H28" s="1186"/>
      <c r="I28" s="1186">
        <v>1</v>
      </c>
      <c r="J28" s="1186">
        <v>50</v>
      </c>
    </row>
  </sheetData>
  <pageMargins left="0.7" right="0.7" top="0.75" bottom="0.75" header="0.3" footer="0.3"/>
  <pageSetup paperSize="9" fitToHeight="5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Q39"/>
  <sheetViews>
    <sheetView workbookViewId="0">
      <selection activeCell="C23" sqref="C23"/>
    </sheetView>
  </sheetViews>
  <sheetFormatPr defaultRowHeight="12.75" x14ac:dyDescent="0.2"/>
  <cols>
    <col min="1" max="1" width="19.5703125" bestFit="1" customWidth="1"/>
    <col min="2" max="2" width="16.42578125" bestFit="1" customWidth="1"/>
    <col min="3" max="3" width="22.85546875" bestFit="1" customWidth="1"/>
    <col min="4" max="4" width="20.42578125" bestFit="1" customWidth="1"/>
    <col min="5" max="5" width="15.140625" bestFit="1" customWidth="1"/>
    <col min="6" max="6" width="16.42578125" bestFit="1" customWidth="1"/>
    <col min="7" max="7" width="22.85546875" bestFit="1" customWidth="1"/>
    <col min="8" max="8" width="20.42578125" bestFit="1" customWidth="1"/>
    <col min="9" max="9" width="15.140625" bestFit="1" customWidth="1"/>
    <col min="10" max="10" width="28.28515625" bestFit="1" customWidth="1"/>
    <col min="11" max="11" width="22.85546875" bestFit="1" customWidth="1"/>
    <col min="12" max="12" width="20.42578125" bestFit="1" customWidth="1"/>
    <col min="13" max="13" width="15.140625" bestFit="1" customWidth="1"/>
    <col min="14" max="14" width="21.42578125" bestFit="1" customWidth="1"/>
    <col min="15" max="15" width="27.85546875" bestFit="1" customWidth="1"/>
    <col min="16" max="16" width="25.5703125" bestFit="1" customWidth="1"/>
    <col min="17" max="17" width="20.140625" bestFit="1" customWidth="1"/>
    <col min="18" max="18" width="29.28515625" bestFit="1" customWidth="1"/>
    <col min="19" max="19" width="27.42578125" bestFit="1" customWidth="1"/>
    <col min="20" max="20" width="20.85546875" bestFit="1" customWidth="1"/>
    <col min="21" max="21" width="18" bestFit="1" customWidth="1"/>
  </cols>
  <sheetData>
    <row r="2" spans="1:17" x14ac:dyDescent="0.2">
      <c r="A2" s="234" t="s">
        <v>4</v>
      </c>
      <c r="B2" t="s">
        <v>1572</v>
      </c>
    </row>
    <row r="4" spans="1:17" x14ac:dyDescent="0.2">
      <c r="B4" s="234" t="s">
        <v>336</v>
      </c>
    </row>
    <row r="5" spans="1:17" x14ac:dyDescent="0.2">
      <c r="B5" t="s">
        <v>341</v>
      </c>
      <c r="F5" t="s">
        <v>342</v>
      </c>
      <c r="J5" t="s">
        <v>343</v>
      </c>
      <c r="N5" t="s">
        <v>337</v>
      </c>
      <c r="O5" t="s">
        <v>338</v>
      </c>
      <c r="P5" t="s">
        <v>339</v>
      </c>
      <c r="Q5" t="s">
        <v>340</v>
      </c>
    </row>
    <row r="6" spans="1:17" x14ac:dyDescent="0.2">
      <c r="A6" s="234" t="s">
        <v>326</v>
      </c>
      <c r="B6" t="s">
        <v>328</v>
      </c>
      <c r="C6" t="s">
        <v>329</v>
      </c>
      <c r="D6" t="s">
        <v>330</v>
      </c>
      <c r="E6" t="s">
        <v>331</v>
      </c>
      <c r="F6" t="s">
        <v>328</v>
      </c>
      <c r="G6" t="s">
        <v>329</v>
      </c>
      <c r="H6" t="s">
        <v>330</v>
      </c>
      <c r="I6" t="s">
        <v>331</v>
      </c>
      <c r="J6" t="s">
        <v>328</v>
      </c>
      <c r="K6" t="s">
        <v>329</v>
      </c>
      <c r="L6" t="s">
        <v>330</v>
      </c>
      <c r="M6" t="s">
        <v>331</v>
      </c>
    </row>
    <row r="7" spans="1:17" x14ac:dyDescent="0.2">
      <c r="A7" s="235" t="s">
        <v>23</v>
      </c>
      <c r="B7">
        <v>33</v>
      </c>
      <c r="C7">
        <v>1</v>
      </c>
      <c r="F7">
        <v>3</v>
      </c>
      <c r="J7">
        <v>35</v>
      </c>
      <c r="K7">
        <v>1</v>
      </c>
      <c r="N7">
        <v>71</v>
      </c>
      <c r="O7">
        <v>2</v>
      </c>
    </row>
    <row r="8" spans="1:17" x14ac:dyDescent="0.2">
      <c r="A8" s="235" t="s">
        <v>24</v>
      </c>
      <c r="B8">
        <v>15</v>
      </c>
      <c r="C8">
        <v>3</v>
      </c>
      <c r="D8">
        <v>1</v>
      </c>
      <c r="E8">
        <v>6</v>
      </c>
      <c r="F8">
        <v>1</v>
      </c>
      <c r="J8">
        <v>16</v>
      </c>
      <c r="K8">
        <v>3</v>
      </c>
      <c r="L8">
        <v>1</v>
      </c>
      <c r="M8">
        <v>6</v>
      </c>
      <c r="N8">
        <v>32</v>
      </c>
      <c r="O8">
        <v>6</v>
      </c>
      <c r="P8">
        <v>2</v>
      </c>
      <c r="Q8">
        <v>12</v>
      </c>
    </row>
    <row r="9" spans="1:17" x14ac:dyDescent="0.2">
      <c r="A9" s="235" t="s">
        <v>25</v>
      </c>
      <c r="B9">
        <v>10</v>
      </c>
      <c r="E9">
        <v>1</v>
      </c>
      <c r="J9">
        <v>19</v>
      </c>
      <c r="M9">
        <v>1</v>
      </c>
      <c r="N9">
        <v>29</v>
      </c>
      <c r="Q9">
        <v>2</v>
      </c>
    </row>
    <row r="10" spans="1:17" x14ac:dyDescent="0.2">
      <c r="A10" s="235" t="s">
        <v>26</v>
      </c>
      <c r="B10">
        <v>4</v>
      </c>
      <c r="C10">
        <v>3</v>
      </c>
      <c r="F10">
        <v>1</v>
      </c>
      <c r="J10">
        <v>7</v>
      </c>
      <c r="K10">
        <v>3</v>
      </c>
      <c r="N10">
        <v>12</v>
      </c>
      <c r="O10">
        <v>6</v>
      </c>
    </row>
    <row r="11" spans="1:17" x14ac:dyDescent="0.2">
      <c r="A11" s="235" t="s">
        <v>619</v>
      </c>
      <c r="B11">
        <v>41</v>
      </c>
      <c r="C11">
        <v>5</v>
      </c>
      <c r="E11">
        <v>1</v>
      </c>
      <c r="F11">
        <v>2</v>
      </c>
      <c r="J11">
        <v>61</v>
      </c>
      <c r="K11">
        <v>8</v>
      </c>
      <c r="M11">
        <v>2</v>
      </c>
      <c r="N11">
        <v>104</v>
      </c>
      <c r="O11">
        <v>13</v>
      </c>
      <c r="Q11">
        <v>3</v>
      </c>
    </row>
    <row r="12" spans="1:17" x14ac:dyDescent="0.2">
      <c r="A12" s="235" t="s">
        <v>27</v>
      </c>
      <c r="B12">
        <v>9</v>
      </c>
      <c r="C12">
        <v>1</v>
      </c>
      <c r="F12">
        <v>2</v>
      </c>
      <c r="J12">
        <v>20</v>
      </c>
      <c r="K12">
        <v>1</v>
      </c>
      <c r="N12">
        <v>31</v>
      </c>
      <c r="O12">
        <v>2</v>
      </c>
    </row>
    <row r="13" spans="1:17" x14ac:dyDescent="0.2">
      <c r="A13" s="235" t="s">
        <v>28</v>
      </c>
      <c r="B13">
        <v>4</v>
      </c>
      <c r="E13">
        <v>1</v>
      </c>
      <c r="F13">
        <v>2</v>
      </c>
      <c r="J13">
        <v>4</v>
      </c>
      <c r="M13">
        <v>1</v>
      </c>
      <c r="N13">
        <v>10</v>
      </c>
      <c r="Q13">
        <v>2</v>
      </c>
    </row>
    <row r="14" spans="1:17" x14ac:dyDescent="0.2">
      <c r="A14" s="235" t="s">
        <v>29</v>
      </c>
      <c r="B14">
        <v>21</v>
      </c>
      <c r="E14">
        <v>1</v>
      </c>
      <c r="F14">
        <v>3</v>
      </c>
      <c r="J14">
        <v>32</v>
      </c>
      <c r="M14">
        <v>1</v>
      </c>
      <c r="N14">
        <v>56</v>
      </c>
      <c r="Q14">
        <v>2</v>
      </c>
    </row>
    <row r="15" spans="1:17" x14ac:dyDescent="0.2">
      <c r="A15" s="235" t="s">
        <v>30</v>
      </c>
      <c r="B15">
        <v>12</v>
      </c>
      <c r="C15">
        <v>3</v>
      </c>
      <c r="D15">
        <v>1</v>
      </c>
      <c r="E15">
        <v>1</v>
      </c>
      <c r="F15">
        <v>1</v>
      </c>
      <c r="H15">
        <v>1</v>
      </c>
      <c r="J15">
        <v>20</v>
      </c>
      <c r="K15">
        <v>3</v>
      </c>
      <c r="L15">
        <v>1</v>
      </c>
      <c r="M15">
        <v>1</v>
      </c>
      <c r="N15">
        <v>33</v>
      </c>
      <c r="O15">
        <v>6</v>
      </c>
      <c r="P15">
        <v>3</v>
      </c>
      <c r="Q15">
        <v>2</v>
      </c>
    </row>
    <row r="16" spans="1:17" x14ac:dyDescent="0.2">
      <c r="A16" s="235" t="s">
        <v>31</v>
      </c>
      <c r="B16">
        <v>9</v>
      </c>
      <c r="F16">
        <v>1</v>
      </c>
      <c r="J16">
        <v>9</v>
      </c>
      <c r="N16">
        <v>19</v>
      </c>
    </row>
    <row r="17" spans="1:17" x14ac:dyDescent="0.2">
      <c r="A17" s="235" t="s">
        <v>32</v>
      </c>
      <c r="B17">
        <v>4</v>
      </c>
      <c r="D17">
        <v>1</v>
      </c>
      <c r="E17">
        <v>2</v>
      </c>
      <c r="F17">
        <v>1</v>
      </c>
      <c r="J17">
        <v>4</v>
      </c>
      <c r="L17">
        <v>1</v>
      </c>
      <c r="M17">
        <v>2</v>
      </c>
      <c r="N17">
        <v>9</v>
      </c>
      <c r="P17">
        <v>2</v>
      </c>
      <c r="Q17">
        <v>4</v>
      </c>
    </row>
    <row r="18" spans="1:17" x14ac:dyDescent="0.2">
      <c r="A18" s="235" t="s">
        <v>33</v>
      </c>
      <c r="B18">
        <v>6</v>
      </c>
      <c r="F18">
        <v>1</v>
      </c>
      <c r="J18">
        <v>6</v>
      </c>
      <c r="N18">
        <v>13</v>
      </c>
    </row>
    <row r="19" spans="1:17" x14ac:dyDescent="0.2">
      <c r="A19" s="235" t="s">
        <v>34</v>
      </c>
      <c r="B19">
        <v>20</v>
      </c>
      <c r="C19">
        <v>3</v>
      </c>
      <c r="E19">
        <v>2</v>
      </c>
      <c r="J19">
        <v>30</v>
      </c>
      <c r="K19">
        <v>3</v>
      </c>
      <c r="M19">
        <v>2</v>
      </c>
      <c r="N19">
        <v>50</v>
      </c>
      <c r="O19">
        <v>6</v>
      </c>
      <c r="Q19">
        <v>4</v>
      </c>
    </row>
    <row r="20" spans="1:17" x14ac:dyDescent="0.2">
      <c r="A20" s="235" t="s">
        <v>35</v>
      </c>
      <c r="B20">
        <v>24</v>
      </c>
      <c r="C20">
        <v>3</v>
      </c>
      <c r="D20">
        <v>1</v>
      </c>
      <c r="F20">
        <v>2</v>
      </c>
      <c r="J20">
        <v>45</v>
      </c>
      <c r="K20">
        <v>3</v>
      </c>
      <c r="L20">
        <v>1</v>
      </c>
      <c r="N20">
        <v>71</v>
      </c>
      <c r="O20">
        <v>6</v>
      </c>
      <c r="P20">
        <v>2</v>
      </c>
    </row>
    <row r="21" spans="1:17" x14ac:dyDescent="0.2">
      <c r="A21" s="235" t="s">
        <v>36</v>
      </c>
      <c r="B21">
        <v>95</v>
      </c>
      <c r="C21">
        <v>11</v>
      </c>
      <c r="D21">
        <v>2</v>
      </c>
      <c r="E21">
        <v>4</v>
      </c>
      <c r="F21">
        <v>7</v>
      </c>
      <c r="G21">
        <v>1</v>
      </c>
      <c r="H21">
        <v>2</v>
      </c>
      <c r="J21">
        <v>166</v>
      </c>
      <c r="K21">
        <v>21</v>
      </c>
      <c r="L21">
        <v>2</v>
      </c>
      <c r="M21">
        <v>5</v>
      </c>
      <c r="N21">
        <v>268</v>
      </c>
      <c r="O21">
        <v>33</v>
      </c>
      <c r="P21">
        <v>6</v>
      </c>
      <c r="Q21">
        <v>9</v>
      </c>
    </row>
    <row r="22" spans="1:17" x14ac:dyDescent="0.2">
      <c r="A22" s="235" t="s">
        <v>37</v>
      </c>
      <c r="B22">
        <v>14</v>
      </c>
      <c r="C22">
        <v>4</v>
      </c>
      <c r="E22">
        <v>4</v>
      </c>
      <c r="G22">
        <v>1</v>
      </c>
      <c r="J22">
        <v>18</v>
      </c>
      <c r="K22">
        <v>4</v>
      </c>
      <c r="M22">
        <v>4</v>
      </c>
      <c r="N22">
        <v>32</v>
      </c>
      <c r="O22">
        <v>9</v>
      </c>
      <c r="Q22">
        <v>8</v>
      </c>
    </row>
    <row r="23" spans="1:17" x14ac:dyDescent="0.2">
      <c r="A23" s="235" t="s">
        <v>38</v>
      </c>
      <c r="B23">
        <v>27</v>
      </c>
      <c r="C23">
        <v>1</v>
      </c>
      <c r="F23">
        <v>2</v>
      </c>
      <c r="J23">
        <v>33</v>
      </c>
      <c r="K23">
        <v>1</v>
      </c>
      <c r="N23">
        <v>62</v>
      </c>
      <c r="O23">
        <v>2</v>
      </c>
    </row>
    <row r="24" spans="1:17" x14ac:dyDescent="0.2">
      <c r="A24" s="235" t="s">
        <v>39</v>
      </c>
      <c r="B24">
        <v>8</v>
      </c>
      <c r="C24">
        <v>1</v>
      </c>
      <c r="F24">
        <v>1</v>
      </c>
      <c r="H24">
        <v>1</v>
      </c>
      <c r="J24">
        <v>13</v>
      </c>
      <c r="K24">
        <v>1</v>
      </c>
      <c r="N24">
        <v>22</v>
      </c>
      <c r="O24">
        <v>2</v>
      </c>
      <c r="P24">
        <v>1</v>
      </c>
    </row>
    <row r="25" spans="1:17" x14ac:dyDescent="0.2">
      <c r="A25" s="235" t="s">
        <v>40</v>
      </c>
      <c r="B25">
        <v>7</v>
      </c>
      <c r="C25">
        <v>3</v>
      </c>
      <c r="D25">
        <v>1</v>
      </c>
      <c r="F25">
        <v>1</v>
      </c>
      <c r="J25">
        <v>7</v>
      </c>
      <c r="K25">
        <v>3</v>
      </c>
      <c r="L25">
        <v>1</v>
      </c>
      <c r="N25">
        <v>15</v>
      </c>
      <c r="O25">
        <v>6</v>
      </c>
      <c r="P25">
        <v>2</v>
      </c>
    </row>
    <row r="26" spans="1:17" x14ac:dyDescent="0.2">
      <c r="A26" s="235" t="s">
        <v>295</v>
      </c>
      <c r="B26">
        <v>3</v>
      </c>
      <c r="J26">
        <v>4</v>
      </c>
      <c r="N26">
        <v>7</v>
      </c>
    </row>
    <row r="27" spans="1:17" x14ac:dyDescent="0.2">
      <c r="A27" s="235" t="s">
        <v>41</v>
      </c>
      <c r="B27">
        <v>28</v>
      </c>
      <c r="I27">
        <v>1</v>
      </c>
      <c r="J27">
        <v>39</v>
      </c>
      <c r="K27">
        <v>1</v>
      </c>
      <c r="L27">
        <v>1</v>
      </c>
      <c r="N27">
        <v>67</v>
      </c>
      <c r="O27">
        <v>1</v>
      </c>
      <c r="P27">
        <v>1</v>
      </c>
      <c r="Q27">
        <v>1</v>
      </c>
    </row>
    <row r="28" spans="1:17" x14ac:dyDescent="0.2">
      <c r="A28" s="235" t="s">
        <v>42</v>
      </c>
      <c r="B28">
        <v>47</v>
      </c>
      <c r="C28">
        <v>2</v>
      </c>
      <c r="D28">
        <v>2</v>
      </c>
      <c r="E28">
        <v>3</v>
      </c>
      <c r="F28">
        <v>2</v>
      </c>
      <c r="J28">
        <v>75</v>
      </c>
      <c r="K28">
        <v>6</v>
      </c>
      <c r="L28">
        <v>5</v>
      </c>
      <c r="M28">
        <v>4</v>
      </c>
      <c r="N28">
        <v>124</v>
      </c>
      <c r="O28">
        <v>8</v>
      </c>
      <c r="P28">
        <v>7</v>
      </c>
      <c r="Q28">
        <v>7</v>
      </c>
    </row>
    <row r="29" spans="1:17" x14ac:dyDescent="0.2">
      <c r="A29" s="235" t="s">
        <v>43</v>
      </c>
      <c r="B29">
        <v>1</v>
      </c>
      <c r="J29">
        <v>1</v>
      </c>
      <c r="N29">
        <v>2</v>
      </c>
    </row>
    <row r="30" spans="1:17" x14ac:dyDescent="0.2">
      <c r="A30" s="235" t="s">
        <v>44</v>
      </c>
      <c r="B30">
        <v>20</v>
      </c>
      <c r="D30">
        <v>2</v>
      </c>
      <c r="E30">
        <v>3</v>
      </c>
      <c r="J30">
        <v>25</v>
      </c>
      <c r="L30">
        <v>2</v>
      </c>
      <c r="M30">
        <v>3</v>
      </c>
      <c r="N30">
        <v>45</v>
      </c>
      <c r="P30">
        <v>4</v>
      </c>
      <c r="Q30">
        <v>6</v>
      </c>
    </row>
    <row r="31" spans="1:17" x14ac:dyDescent="0.2">
      <c r="A31" s="235" t="s">
        <v>45</v>
      </c>
      <c r="B31">
        <v>27</v>
      </c>
      <c r="C31">
        <v>4</v>
      </c>
      <c r="E31">
        <v>2</v>
      </c>
      <c r="F31">
        <v>3</v>
      </c>
      <c r="J31">
        <v>37</v>
      </c>
      <c r="K31">
        <v>5</v>
      </c>
      <c r="M31">
        <v>2</v>
      </c>
      <c r="N31">
        <v>67</v>
      </c>
      <c r="O31">
        <v>9</v>
      </c>
      <c r="Q31">
        <v>4</v>
      </c>
    </row>
    <row r="32" spans="1:17" x14ac:dyDescent="0.2">
      <c r="A32" s="235" t="s">
        <v>46</v>
      </c>
      <c r="B32">
        <v>10</v>
      </c>
      <c r="C32">
        <v>1</v>
      </c>
      <c r="E32">
        <v>2</v>
      </c>
      <c r="F32">
        <v>1</v>
      </c>
      <c r="I32">
        <v>1</v>
      </c>
      <c r="J32">
        <v>12</v>
      </c>
      <c r="K32">
        <v>1</v>
      </c>
      <c r="M32">
        <v>2</v>
      </c>
      <c r="N32">
        <v>23</v>
      </c>
      <c r="O32">
        <v>2</v>
      </c>
      <c r="Q32">
        <v>5</v>
      </c>
    </row>
    <row r="33" spans="1:17" x14ac:dyDescent="0.2">
      <c r="A33" s="235" t="s">
        <v>47</v>
      </c>
      <c r="B33">
        <v>1</v>
      </c>
      <c r="D33">
        <v>1</v>
      </c>
      <c r="H33">
        <v>1</v>
      </c>
      <c r="J33">
        <v>2</v>
      </c>
      <c r="L33">
        <v>1</v>
      </c>
      <c r="N33">
        <v>3</v>
      </c>
      <c r="P33">
        <v>3</v>
      </c>
    </row>
    <row r="34" spans="1:17" x14ac:dyDescent="0.2">
      <c r="A34" s="235" t="s">
        <v>48</v>
      </c>
      <c r="B34">
        <v>10</v>
      </c>
      <c r="C34">
        <v>1</v>
      </c>
      <c r="D34">
        <v>1</v>
      </c>
      <c r="F34">
        <v>1</v>
      </c>
      <c r="J34">
        <v>20</v>
      </c>
      <c r="K34">
        <v>1</v>
      </c>
      <c r="L34">
        <v>3</v>
      </c>
      <c r="N34">
        <v>31</v>
      </c>
      <c r="O34">
        <v>2</v>
      </c>
      <c r="P34">
        <v>4</v>
      </c>
    </row>
    <row r="35" spans="1:17" x14ac:dyDescent="0.2">
      <c r="A35" s="235" t="s">
        <v>49</v>
      </c>
      <c r="B35">
        <v>36</v>
      </c>
      <c r="C35">
        <v>4</v>
      </c>
      <c r="D35">
        <v>1</v>
      </c>
      <c r="E35">
        <v>2</v>
      </c>
      <c r="F35">
        <v>2</v>
      </c>
      <c r="J35">
        <v>59</v>
      </c>
      <c r="K35">
        <v>5</v>
      </c>
      <c r="L35">
        <v>2</v>
      </c>
      <c r="M35">
        <v>2</v>
      </c>
      <c r="N35">
        <v>97</v>
      </c>
      <c r="O35">
        <v>9</v>
      </c>
      <c r="P35">
        <v>3</v>
      </c>
      <c r="Q35">
        <v>4</v>
      </c>
    </row>
    <row r="36" spans="1:17" x14ac:dyDescent="0.2">
      <c r="A36" s="235" t="s">
        <v>50</v>
      </c>
      <c r="B36">
        <v>8</v>
      </c>
      <c r="J36">
        <v>9</v>
      </c>
      <c r="M36">
        <v>2</v>
      </c>
      <c r="N36">
        <v>17</v>
      </c>
      <c r="Q36">
        <v>2</v>
      </c>
    </row>
    <row r="37" spans="1:17" x14ac:dyDescent="0.2">
      <c r="A37" s="235" t="s">
        <v>51</v>
      </c>
      <c r="B37">
        <v>13</v>
      </c>
      <c r="E37">
        <v>2</v>
      </c>
      <c r="F37">
        <v>2</v>
      </c>
      <c r="J37">
        <v>21</v>
      </c>
      <c r="M37">
        <v>2</v>
      </c>
      <c r="N37">
        <v>36</v>
      </c>
      <c r="Q37">
        <v>4</v>
      </c>
    </row>
    <row r="38" spans="1:17" x14ac:dyDescent="0.2">
      <c r="A38" s="235" t="s">
        <v>52</v>
      </c>
      <c r="B38">
        <v>17</v>
      </c>
      <c r="D38">
        <v>1</v>
      </c>
      <c r="E38">
        <v>3</v>
      </c>
      <c r="F38">
        <v>2</v>
      </c>
      <c r="J38">
        <v>27</v>
      </c>
      <c r="L38">
        <v>1</v>
      </c>
      <c r="M38">
        <v>3</v>
      </c>
      <c r="N38">
        <v>46</v>
      </c>
      <c r="P38">
        <v>2</v>
      </c>
      <c r="Q38">
        <v>6</v>
      </c>
    </row>
    <row r="39" spans="1:17" x14ac:dyDescent="0.2">
      <c r="A39" s="235" t="s">
        <v>333</v>
      </c>
      <c r="B39">
        <v>584</v>
      </c>
      <c r="C39">
        <v>54</v>
      </c>
      <c r="D39">
        <v>15</v>
      </c>
      <c r="E39">
        <v>40</v>
      </c>
      <c r="F39">
        <v>44</v>
      </c>
      <c r="G39">
        <v>2</v>
      </c>
      <c r="H39">
        <v>5</v>
      </c>
      <c r="I39">
        <v>2</v>
      </c>
      <c r="J39">
        <v>876</v>
      </c>
      <c r="K39">
        <v>74</v>
      </c>
      <c r="L39">
        <v>22</v>
      </c>
      <c r="M39">
        <v>45</v>
      </c>
      <c r="N39">
        <v>1504</v>
      </c>
      <c r="O39">
        <v>130</v>
      </c>
      <c r="P39">
        <v>42</v>
      </c>
      <c r="Q39">
        <v>87</v>
      </c>
    </row>
  </sheetData>
  <pageMargins left="0.7" right="0.7" top="0.75" bottom="0.75" header="0.3" footer="0.3"/>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pageSetUpPr fitToPage="1"/>
  </sheetPr>
  <dimension ref="A1:K773"/>
  <sheetViews>
    <sheetView zoomScale="85" zoomScaleNormal="85" workbookViewId="0">
      <pane ySplit="4" topLeftCell="A729" activePane="bottomLeft" state="frozen"/>
      <selection activeCell="A5" sqref="A5"/>
      <selection pane="bottomLeft" activeCell="A5" sqref="A5"/>
    </sheetView>
  </sheetViews>
  <sheetFormatPr defaultColWidth="8.7109375" defaultRowHeight="12.75" x14ac:dyDescent="0.2"/>
  <cols>
    <col min="1" max="1" width="17.140625" bestFit="1" customWidth="1"/>
    <col min="2" max="2" width="7.42578125" bestFit="1" customWidth="1"/>
    <col min="3" max="3" width="19.5703125" bestFit="1" customWidth="1"/>
    <col min="4" max="5" width="4.85546875" bestFit="1" customWidth="1"/>
    <col min="6" max="6" width="3.85546875" bestFit="1" customWidth="1"/>
    <col min="7" max="9" width="5.42578125" bestFit="1" customWidth="1"/>
    <col min="10" max="10" width="3.85546875" bestFit="1" customWidth="1"/>
    <col min="11" max="11" width="8" bestFit="1" customWidth="1"/>
  </cols>
  <sheetData>
    <row r="1" spans="1:11" x14ac:dyDescent="0.2"/>
    <row r="4" spans="1:11" x14ac:dyDescent="0.2">
      <c r="A4" s="1223" t="s">
        <v>1743</v>
      </c>
      <c r="B4" s="1223" t="s">
        <v>4</v>
      </c>
      <c r="C4" s="1223" t="s">
        <v>1627</v>
      </c>
      <c r="D4" s="1223" t="s">
        <v>11</v>
      </c>
      <c r="E4" s="1226" t="s">
        <v>1919</v>
      </c>
      <c r="F4" s="1226" t="s">
        <v>1920</v>
      </c>
      <c r="G4" s="1226" t="s">
        <v>1921</v>
      </c>
      <c r="H4" s="1226" t="s">
        <v>1922</v>
      </c>
      <c r="I4" s="1226" t="s">
        <v>1923</v>
      </c>
      <c r="J4" s="1226" t="s">
        <v>1924</v>
      </c>
      <c r="K4" s="1226" t="s">
        <v>168</v>
      </c>
    </row>
    <row r="5" spans="1:11" x14ac:dyDescent="0.2">
      <c r="A5" s="1186" t="s">
        <v>496</v>
      </c>
      <c r="B5" s="1186" t="s">
        <v>19</v>
      </c>
      <c r="C5" s="1186" t="s">
        <v>23</v>
      </c>
      <c r="D5" s="1186">
        <v>702</v>
      </c>
      <c r="E5" s="1186">
        <v>212</v>
      </c>
      <c r="F5" s="1186">
        <v>154</v>
      </c>
      <c r="G5" s="1186">
        <v>333</v>
      </c>
      <c r="H5" s="1186">
        <v>3</v>
      </c>
      <c r="I5" s="1186"/>
      <c r="J5" s="1186"/>
      <c r="K5" s="1186"/>
    </row>
    <row r="6" spans="1:11" x14ac:dyDescent="0.2">
      <c r="A6" s="1186" t="s">
        <v>496</v>
      </c>
      <c r="B6" s="1186" t="s">
        <v>19</v>
      </c>
      <c r="C6" s="1186" t="s">
        <v>24</v>
      </c>
      <c r="D6" s="1186">
        <v>451</v>
      </c>
      <c r="E6" s="1186">
        <v>170</v>
      </c>
      <c r="F6" s="1186">
        <v>222</v>
      </c>
      <c r="G6" s="1186">
        <v>49</v>
      </c>
      <c r="H6" s="1186">
        <v>8</v>
      </c>
      <c r="I6" s="1186">
        <v>2</v>
      </c>
      <c r="J6" s="1186"/>
      <c r="K6" s="1186"/>
    </row>
    <row r="7" spans="1:11" x14ac:dyDescent="0.2">
      <c r="A7" s="1186" t="s">
        <v>496</v>
      </c>
      <c r="B7" s="1186" t="s">
        <v>19</v>
      </c>
      <c r="C7" s="1186" t="s">
        <v>25</v>
      </c>
      <c r="D7" s="1186">
        <v>189</v>
      </c>
      <c r="E7" s="1186">
        <v>67</v>
      </c>
      <c r="F7" s="1186">
        <v>96</v>
      </c>
      <c r="G7" s="1186">
        <v>24</v>
      </c>
      <c r="H7" s="1186">
        <v>1</v>
      </c>
      <c r="I7" s="1186">
        <v>1</v>
      </c>
      <c r="J7" s="1186"/>
      <c r="K7" s="1186"/>
    </row>
    <row r="8" spans="1:11" x14ac:dyDescent="0.2">
      <c r="A8" s="1186" t="s">
        <v>496</v>
      </c>
      <c r="B8" s="1186" t="s">
        <v>19</v>
      </c>
      <c r="C8" s="1186" t="s">
        <v>26</v>
      </c>
      <c r="D8" s="1186">
        <v>186</v>
      </c>
      <c r="E8" s="1186">
        <v>59</v>
      </c>
      <c r="F8" s="1186">
        <v>114</v>
      </c>
      <c r="G8" s="1186">
        <v>12</v>
      </c>
      <c r="H8" s="1186">
        <v>1</v>
      </c>
      <c r="I8" s="1186"/>
      <c r="J8" s="1186"/>
      <c r="K8" s="1186"/>
    </row>
    <row r="9" spans="1:11" x14ac:dyDescent="0.2">
      <c r="A9" s="1186" t="s">
        <v>496</v>
      </c>
      <c r="B9" s="1186" t="s">
        <v>19</v>
      </c>
      <c r="C9" s="1186" t="s">
        <v>619</v>
      </c>
      <c r="D9" s="1186">
        <v>1561</v>
      </c>
      <c r="E9" s="1186">
        <v>521</v>
      </c>
      <c r="F9" s="1186">
        <v>469</v>
      </c>
      <c r="G9" s="1186">
        <v>555</v>
      </c>
      <c r="H9" s="1186">
        <v>7</v>
      </c>
      <c r="I9" s="1186">
        <v>6</v>
      </c>
      <c r="J9" s="1186">
        <v>3</v>
      </c>
      <c r="K9" s="1186"/>
    </row>
    <row r="10" spans="1:11" x14ac:dyDescent="0.2">
      <c r="A10" s="1186" t="s">
        <v>496</v>
      </c>
      <c r="B10" s="1186" t="s">
        <v>19</v>
      </c>
      <c r="C10" s="1186" t="s">
        <v>27</v>
      </c>
      <c r="D10" s="1186">
        <v>114</v>
      </c>
      <c r="E10" s="1186">
        <v>63</v>
      </c>
      <c r="F10" s="1186">
        <v>42</v>
      </c>
      <c r="G10" s="1186">
        <v>6</v>
      </c>
      <c r="H10" s="1186">
        <v>2</v>
      </c>
      <c r="I10" s="1186"/>
      <c r="J10" s="1186">
        <v>1</v>
      </c>
      <c r="K10" s="1186"/>
    </row>
    <row r="11" spans="1:11" x14ac:dyDescent="0.2">
      <c r="A11" s="1186" t="s">
        <v>496</v>
      </c>
      <c r="B11" s="1186" t="s">
        <v>19</v>
      </c>
      <c r="C11" s="1186" t="s">
        <v>28</v>
      </c>
      <c r="D11" s="1186">
        <v>296</v>
      </c>
      <c r="E11" s="1186">
        <v>139</v>
      </c>
      <c r="F11" s="1186">
        <v>140</v>
      </c>
      <c r="G11" s="1186">
        <v>17</v>
      </c>
      <c r="H11" s="1186"/>
      <c r="I11" s="1186"/>
      <c r="J11" s="1186"/>
      <c r="K11" s="1186"/>
    </row>
    <row r="12" spans="1:11" x14ac:dyDescent="0.2">
      <c r="A12" s="1186" t="s">
        <v>496</v>
      </c>
      <c r="B12" s="1186" t="s">
        <v>19</v>
      </c>
      <c r="C12" s="1186" t="s">
        <v>29</v>
      </c>
      <c r="D12" s="1186">
        <v>495</v>
      </c>
      <c r="E12" s="1186">
        <v>92</v>
      </c>
      <c r="F12" s="1186">
        <v>299</v>
      </c>
      <c r="G12" s="1186">
        <v>103</v>
      </c>
      <c r="H12" s="1186"/>
      <c r="I12" s="1186">
        <v>1</v>
      </c>
      <c r="J12" s="1186"/>
      <c r="K12" s="1186"/>
    </row>
    <row r="13" spans="1:11" x14ac:dyDescent="0.2">
      <c r="A13" s="1186" t="s">
        <v>496</v>
      </c>
      <c r="B13" s="1186" t="s">
        <v>19</v>
      </c>
      <c r="C13" s="1186" t="s">
        <v>30</v>
      </c>
      <c r="D13" s="1186">
        <v>295</v>
      </c>
      <c r="E13" s="1186">
        <v>134</v>
      </c>
      <c r="F13" s="1186">
        <v>150</v>
      </c>
      <c r="G13" s="1186">
        <v>9</v>
      </c>
      <c r="H13" s="1186">
        <v>2</v>
      </c>
      <c r="I13" s="1186"/>
      <c r="J13" s="1186"/>
      <c r="K13" s="1186"/>
    </row>
    <row r="14" spans="1:11" x14ac:dyDescent="0.2">
      <c r="A14" s="1186" t="s">
        <v>496</v>
      </c>
      <c r="B14" s="1186" t="s">
        <v>19</v>
      </c>
      <c r="C14" s="1186" t="s">
        <v>31</v>
      </c>
      <c r="D14" s="1186">
        <v>185</v>
      </c>
      <c r="E14" s="1186">
        <v>83</v>
      </c>
      <c r="F14" s="1186">
        <v>94</v>
      </c>
      <c r="G14" s="1186">
        <v>8</v>
      </c>
      <c r="H14" s="1186"/>
      <c r="I14" s="1186"/>
      <c r="J14" s="1186"/>
      <c r="K14" s="1186"/>
    </row>
    <row r="15" spans="1:11" x14ac:dyDescent="0.2">
      <c r="A15" s="1186" t="s">
        <v>496</v>
      </c>
      <c r="B15" s="1186" t="s">
        <v>19</v>
      </c>
      <c r="C15" s="1186" t="s">
        <v>32</v>
      </c>
      <c r="D15" s="1186">
        <v>245</v>
      </c>
      <c r="E15" s="1186">
        <v>121</v>
      </c>
      <c r="F15" s="1186">
        <v>98</v>
      </c>
      <c r="G15" s="1186">
        <v>23</v>
      </c>
      <c r="H15" s="1186">
        <v>2</v>
      </c>
      <c r="I15" s="1186">
        <v>1</v>
      </c>
      <c r="J15" s="1186"/>
      <c r="K15" s="1186"/>
    </row>
    <row r="16" spans="1:11" x14ac:dyDescent="0.2">
      <c r="A16" s="1186" t="s">
        <v>496</v>
      </c>
      <c r="B16" s="1186" t="s">
        <v>19</v>
      </c>
      <c r="C16" s="1186" t="s">
        <v>33</v>
      </c>
      <c r="D16" s="1186">
        <v>153</v>
      </c>
      <c r="E16" s="1186">
        <v>74</v>
      </c>
      <c r="F16" s="1186">
        <v>66</v>
      </c>
      <c r="G16" s="1186">
        <v>11</v>
      </c>
      <c r="H16" s="1186">
        <v>1</v>
      </c>
      <c r="I16" s="1186">
        <v>1</v>
      </c>
      <c r="J16" s="1186"/>
      <c r="K16" s="1186"/>
    </row>
    <row r="17" spans="1:11" x14ac:dyDescent="0.2">
      <c r="A17" s="1186" t="s">
        <v>496</v>
      </c>
      <c r="B17" s="1186" t="s">
        <v>19</v>
      </c>
      <c r="C17" s="1186" t="s">
        <v>34</v>
      </c>
      <c r="D17" s="1186">
        <v>250</v>
      </c>
      <c r="E17" s="1186">
        <v>89</v>
      </c>
      <c r="F17" s="1186">
        <v>123</v>
      </c>
      <c r="G17" s="1186">
        <v>34</v>
      </c>
      <c r="H17" s="1186">
        <v>4</v>
      </c>
      <c r="I17" s="1186"/>
      <c r="J17" s="1186"/>
      <c r="K17" s="1186"/>
    </row>
    <row r="18" spans="1:11" x14ac:dyDescent="0.2">
      <c r="A18" s="1186" t="s">
        <v>496</v>
      </c>
      <c r="B18" s="1186" t="s">
        <v>19</v>
      </c>
      <c r="C18" s="1186" t="s">
        <v>35</v>
      </c>
      <c r="D18" s="1186">
        <v>665</v>
      </c>
      <c r="E18" s="1186">
        <v>252</v>
      </c>
      <c r="F18" s="1186">
        <v>307</v>
      </c>
      <c r="G18" s="1186">
        <v>98</v>
      </c>
      <c r="H18" s="1186">
        <v>6</v>
      </c>
      <c r="I18" s="1186"/>
      <c r="J18" s="1186"/>
      <c r="K18" s="1186">
        <v>2</v>
      </c>
    </row>
    <row r="19" spans="1:11" x14ac:dyDescent="0.2">
      <c r="A19" s="1186" t="s">
        <v>496</v>
      </c>
      <c r="B19" s="1186" t="s">
        <v>19</v>
      </c>
      <c r="C19" s="1186" t="s">
        <v>36</v>
      </c>
      <c r="D19" s="1186">
        <v>2409</v>
      </c>
      <c r="E19" s="1186">
        <v>576</v>
      </c>
      <c r="F19" s="1186">
        <v>919</v>
      </c>
      <c r="G19" s="1186">
        <v>891</v>
      </c>
      <c r="H19" s="1186">
        <v>14</v>
      </c>
      <c r="I19" s="1186">
        <v>4</v>
      </c>
      <c r="J19" s="1186">
        <v>5</v>
      </c>
      <c r="K19" s="1186"/>
    </row>
    <row r="20" spans="1:11" x14ac:dyDescent="0.2">
      <c r="A20" s="1186" t="s">
        <v>496</v>
      </c>
      <c r="B20" s="1186" t="s">
        <v>19</v>
      </c>
      <c r="C20" s="1186" t="s">
        <v>37</v>
      </c>
      <c r="D20" s="1186">
        <v>354</v>
      </c>
      <c r="E20" s="1186">
        <v>165</v>
      </c>
      <c r="F20" s="1186">
        <v>148</v>
      </c>
      <c r="G20" s="1186">
        <v>34</v>
      </c>
      <c r="H20" s="1186">
        <v>5</v>
      </c>
      <c r="I20" s="1186"/>
      <c r="J20" s="1186">
        <v>1</v>
      </c>
      <c r="K20" s="1186">
        <v>1</v>
      </c>
    </row>
    <row r="21" spans="1:11" x14ac:dyDescent="0.2">
      <c r="A21" s="1186" t="s">
        <v>496</v>
      </c>
      <c r="B21" s="1186" t="s">
        <v>19</v>
      </c>
      <c r="C21" s="1186" t="s">
        <v>38</v>
      </c>
      <c r="D21" s="1186">
        <v>300</v>
      </c>
      <c r="E21" s="1186">
        <v>105</v>
      </c>
      <c r="F21" s="1186">
        <v>129</v>
      </c>
      <c r="G21" s="1186">
        <v>61</v>
      </c>
      <c r="H21" s="1186">
        <v>4</v>
      </c>
      <c r="I21" s="1186">
        <v>1</v>
      </c>
      <c r="J21" s="1186"/>
      <c r="K21" s="1186"/>
    </row>
    <row r="22" spans="1:11" x14ac:dyDescent="0.2">
      <c r="A22" s="1186" t="s">
        <v>496</v>
      </c>
      <c r="B22" s="1186" t="s">
        <v>19</v>
      </c>
      <c r="C22" s="1186" t="s">
        <v>39</v>
      </c>
      <c r="D22" s="1186">
        <v>197</v>
      </c>
      <c r="E22" s="1186">
        <v>112</v>
      </c>
      <c r="F22" s="1186">
        <v>68</v>
      </c>
      <c r="G22" s="1186">
        <v>13</v>
      </c>
      <c r="H22" s="1186">
        <v>2</v>
      </c>
      <c r="I22" s="1186">
        <v>1</v>
      </c>
      <c r="J22" s="1186">
        <v>1</v>
      </c>
      <c r="K22" s="1186"/>
    </row>
    <row r="23" spans="1:11" x14ac:dyDescent="0.2">
      <c r="A23" s="1186" t="s">
        <v>496</v>
      </c>
      <c r="B23" s="1186" t="s">
        <v>19</v>
      </c>
      <c r="C23" s="1186" t="s">
        <v>40</v>
      </c>
      <c r="D23" s="1186">
        <v>163</v>
      </c>
      <c r="E23" s="1186">
        <v>70</v>
      </c>
      <c r="F23" s="1186">
        <v>79</v>
      </c>
      <c r="G23" s="1186">
        <v>14</v>
      </c>
      <c r="H23" s="1186"/>
      <c r="I23" s="1186"/>
      <c r="J23" s="1186"/>
      <c r="K23" s="1186"/>
    </row>
    <row r="24" spans="1:11" x14ac:dyDescent="0.2">
      <c r="A24" s="1186" t="s">
        <v>496</v>
      </c>
      <c r="B24" s="1186" t="s">
        <v>19</v>
      </c>
      <c r="C24" s="1186" t="s">
        <v>295</v>
      </c>
      <c r="D24" s="1186">
        <v>39</v>
      </c>
      <c r="E24" s="1186">
        <v>11</v>
      </c>
      <c r="F24" s="1186">
        <v>22</v>
      </c>
      <c r="G24" s="1186">
        <v>6</v>
      </c>
      <c r="H24" s="1186"/>
      <c r="I24" s="1186"/>
      <c r="J24" s="1186"/>
      <c r="K24" s="1186"/>
    </row>
    <row r="25" spans="1:11" x14ac:dyDescent="0.2">
      <c r="A25" s="1186" t="s">
        <v>496</v>
      </c>
      <c r="B25" s="1186" t="s">
        <v>19</v>
      </c>
      <c r="C25" s="1186" t="s">
        <v>41</v>
      </c>
      <c r="D25" s="1186">
        <v>371</v>
      </c>
      <c r="E25" s="1186">
        <v>149</v>
      </c>
      <c r="F25" s="1186">
        <v>199</v>
      </c>
      <c r="G25" s="1186">
        <v>19</v>
      </c>
      <c r="H25" s="1186">
        <v>2</v>
      </c>
      <c r="I25" s="1186">
        <v>2</v>
      </c>
      <c r="J25" s="1186"/>
      <c r="K25" s="1186"/>
    </row>
    <row r="26" spans="1:11" x14ac:dyDescent="0.2">
      <c r="A26" s="1186" t="s">
        <v>496</v>
      </c>
      <c r="B26" s="1186" t="s">
        <v>19</v>
      </c>
      <c r="C26" s="1186" t="s">
        <v>42</v>
      </c>
      <c r="D26" s="1186">
        <v>1004</v>
      </c>
      <c r="E26" s="1186">
        <v>390</v>
      </c>
      <c r="F26" s="1186">
        <v>484</v>
      </c>
      <c r="G26" s="1186">
        <v>117</v>
      </c>
      <c r="H26" s="1186">
        <v>5</v>
      </c>
      <c r="I26" s="1186">
        <v>4</v>
      </c>
      <c r="J26" s="1186">
        <v>4</v>
      </c>
      <c r="K26" s="1186"/>
    </row>
    <row r="27" spans="1:11" x14ac:dyDescent="0.2">
      <c r="A27" s="1186" t="s">
        <v>496</v>
      </c>
      <c r="B27" s="1186" t="s">
        <v>19</v>
      </c>
      <c r="C27" s="1186" t="s">
        <v>43</v>
      </c>
      <c r="D27" s="1186">
        <v>21</v>
      </c>
      <c r="E27" s="1186">
        <v>10</v>
      </c>
      <c r="F27" s="1186">
        <v>8</v>
      </c>
      <c r="G27" s="1186">
        <v>3</v>
      </c>
      <c r="H27" s="1186"/>
      <c r="I27" s="1186"/>
      <c r="J27" s="1186"/>
      <c r="K27" s="1186"/>
    </row>
    <row r="28" spans="1:11" x14ac:dyDescent="0.2">
      <c r="A28" s="1186" t="s">
        <v>496</v>
      </c>
      <c r="B28" s="1186" t="s">
        <v>19</v>
      </c>
      <c r="C28" s="1186" t="s">
        <v>44</v>
      </c>
      <c r="D28" s="1186">
        <v>281</v>
      </c>
      <c r="E28" s="1186">
        <v>86</v>
      </c>
      <c r="F28" s="1186">
        <v>160</v>
      </c>
      <c r="G28" s="1186">
        <v>30</v>
      </c>
      <c r="H28" s="1186">
        <v>5</v>
      </c>
      <c r="I28" s="1186"/>
      <c r="J28" s="1186"/>
      <c r="K28" s="1186"/>
    </row>
    <row r="29" spans="1:11" x14ac:dyDescent="0.2">
      <c r="A29" s="1186" t="s">
        <v>496</v>
      </c>
      <c r="B29" s="1186" t="s">
        <v>19</v>
      </c>
      <c r="C29" s="1186" t="s">
        <v>45</v>
      </c>
      <c r="D29" s="1186">
        <v>533</v>
      </c>
      <c r="E29" s="1186">
        <v>150</v>
      </c>
      <c r="F29" s="1186">
        <v>269</v>
      </c>
      <c r="G29" s="1186">
        <v>104</v>
      </c>
      <c r="H29" s="1186">
        <v>5</v>
      </c>
      <c r="I29" s="1186">
        <v>3</v>
      </c>
      <c r="J29" s="1186">
        <v>1</v>
      </c>
      <c r="K29" s="1186">
        <v>1</v>
      </c>
    </row>
    <row r="30" spans="1:11" x14ac:dyDescent="0.2">
      <c r="A30" s="1186" t="s">
        <v>496</v>
      </c>
      <c r="B30" s="1186" t="s">
        <v>19</v>
      </c>
      <c r="C30" s="1186" t="s">
        <v>46</v>
      </c>
      <c r="D30" s="1186">
        <v>234</v>
      </c>
      <c r="E30" s="1186">
        <v>109</v>
      </c>
      <c r="F30" s="1186">
        <v>95</v>
      </c>
      <c r="G30" s="1186">
        <v>26</v>
      </c>
      <c r="H30" s="1186">
        <v>2</v>
      </c>
      <c r="I30" s="1186">
        <v>1</v>
      </c>
      <c r="J30" s="1186">
        <v>1</v>
      </c>
      <c r="K30" s="1186"/>
    </row>
    <row r="31" spans="1:11" x14ac:dyDescent="0.2">
      <c r="A31" s="1186" t="s">
        <v>496</v>
      </c>
      <c r="B31" s="1186" t="s">
        <v>19</v>
      </c>
      <c r="C31" s="1186" t="s">
        <v>47</v>
      </c>
      <c r="D31" s="1186">
        <v>33</v>
      </c>
      <c r="E31" s="1186">
        <v>15</v>
      </c>
      <c r="F31" s="1186">
        <v>15</v>
      </c>
      <c r="G31" s="1186">
        <v>3</v>
      </c>
      <c r="H31" s="1186"/>
      <c r="I31" s="1186"/>
      <c r="J31" s="1186"/>
      <c r="K31" s="1186"/>
    </row>
    <row r="32" spans="1:11" x14ac:dyDescent="0.2">
      <c r="A32" s="1186" t="s">
        <v>496</v>
      </c>
      <c r="B32" s="1186" t="s">
        <v>19</v>
      </c>
      <c r="C32" s="1186" t="s">
        <v>48</v>
      </c>
      <c r="D32" s="1186">
        <v>210</v>
      </c>
      <c r="E32" s="1186">
        <v>59</v>
      </c>
      <c r="F32" s="1186">
        <v>135</v>
      </c>
      <c r="G32" s="1186">
        <v>10</v>
      </c>
      <c r="H32" s="1186">
        <v>4</v>
      </c>
      <c r="I32" s="1186">
        <v>1</v>
      </c>
      <c r="J32" s="1186">
        <v>1</v>
      </c>
      <c r="K32" s="1186"/>
    </row>
    <row r="33" spans="1:11" x14ac:dyDescent="0.2">
      <c r="A33" s="1186" t="s">
        <v>496</v>
      </c>
      <c r="B33" s="1186" t="s">
        <v>19</v>
      </c>
      <c r="C33" s="1186" t="s">
        <v>49</v>
      </c>
      <c r="D33" s="1186">
        <v>822</v>
      </c>
      <c r="E33" s="1186">
        <v>310</v>
      </c>
      <c r="F33" s="1186">
        <v>406</v>
      </c>
      <c r="G33" s="1186">
        <v>93</v>
      </c>
      <c r="H33" s="1186">
        <v>9</v>
      </c>
      <c r="I33" s="1186">
        <v>2</v>
      </c>
      <c r="J33" s="1186">
        <v>2</v>
      </c>
      <c r="K33" s="1186"/>
    </row>
    <row r="34" spans="1:11" x14ac:dyDescent="0.2">
      <c r="A34" s="1186" t="s">
        <v>496</v>
      </c>
      <c r="B34" s="1186" t="s">
        <v>19</v>
      </c>
      <c r="C34" s="1186" t="s">
        <v>50</v>
      </c>
      <c r="D34" s="1186">
        <v>197</v>
      </c>
      <c r="E34" s="1186">
        <v>65</v>
      </c>
      <c r="F34" s="1186">
        <v>105</v>
      </c>
      <c r="G34" s="1186">
        <v>24</v>
      </c>
      <c r="H34" s="1186">
        <v>3</v>
      </c>
      <c r="I34" s="1186"/>
      <c r="J34" s="1186"/>
      <c r="K34" s="1186"/>
    </row>
    <row r="35" spans="1:11" x14ac:dyDescent="0.2">
      <c r="A35" s="1186" t="s">
        <v>496</v>
      </c>
      <c r="B35" s="1186" t="s">
        <v>19</v>
      </c>
      <c r="C35" s="1186" t="s">
        <v>51</v>
      </c>
      <c r="D35" s="1186">
        <v>355</v>
      </c>
      <c r="E35" s="1186">
        <v>121</v>
      </c>
      <c r="F35" s="1186">
        <v>182</v>
      </c>
      <c r="G35" s="1186">
        <v>45</v>
      </c>
      <c r="H35" s="1186">
        <v>7</v>
      </c>
      <c r="I35" s="1186"/>
      <c r="J35" s="1186"/>
      <c r="K35" s="1186"/>
    </row>
    <row r="36" spans="1:11" x14ac:dyDescent="0.2">
      <c r="A36" s="1186" t="s">
        <v>496</v>
      </c>
      <c r="B36" s="1186" t="s">
        <v>19</v>
      </c>
      <c r="C36" s="1186" t="s">
        <v>52</v>
      </c>
      <c r="D36" s="1186">
        <v>567</v>
      </c>
      <c r="E36" s="1186">
        <v>285</v>
      </c>
      <c r="F36" s="1186">
        <v>224</v>
      </c>
      <c r="G36" s="1186">
        <v>53</v>
      </c>
      <c r="H36" s="1186">
        <v>2</v>
      </c>
      <c r="I36" s="1186">
        <v>1</v>
      </c>
      <c r="J36" s="1186">
        <v>2</v>
      </c>
      <c r="K36" s="1186"/>
    </row>
    <row r="37" spans="1:11" x14ac:dyDescent="0.2">
      <c r="A37" s="1186" t="s">
        <v>496</v>
      </c>
      <c r="B37" s="1186" t="s">
        <v>20</v>
      </c>
      <c r="C37" s="1186" t="s">
        <v>23</v>
      </c>
      <c r="D37" s="1186">
        <v>631</v>
      </c>
      <c r="E37" s="1186">
        <v>174</v>
      </c>
      <c r="F37" s="1186">
        <v>167</v>
      </c>
      <c r="G37" s="1186">
        <v>283</v>
      </c>
      <c r="H37" s="1186">
        <v>7</v>
      </c>
      <c r="I37" s="1186"/>
      <c r="J37" s="1186"/>
      <c r="K37" s="1186"/>
    </row>
    <row r="38" spans="1:11" x14ac:dyDescent="0.2">
      <c r="A38" s="1186" t="s">
        <v>496</v>
      </c>
      <c r="B38" s="1186" t="s">
        <v>20</v>
      </c>
      <c r="C38" s="1186" t="s">
        <v>24</v>
      </c>
      <c r="D38" s="1186">
        <v>446</v>
      </c>
      <c r="E38" s="1186">
        <v>178</v>
      </c>
      <c r="F38" s="1186">
        <v>197</v>
      </c>
      <c r="G38" s="1186">
        <v>66</v>
      </c>
      <c r="H38" s="1186">
        <v>5</v>
      </c>
      <c r="I38" s="1186"/>
      <c r="J38" s="1186"/>
      <c r="K38" s="1186"/>
    </row>
    <row r="39" spans="1:11" x14ac:dyDescent="0.2">
      <c r="A39" s="1186" t="s">
        <v>496</v>
      </c>
      <c r="B39" s="1186" t="s">
        <v>20</v>
      </c>
      <c r="C39" s="1186" t="s">
        <v>25</v>
      </c>
      <c r="D39" s="1186">
        <v>182</v>
      </c>
      <c r="E39" s="1186">
        <v>66</v>
      </c>
      <c r="F39" s="1186">
        <v>100</v>
      </c>
      <c r="G39" s="1186">
        <v>14</v>
      </c>
      <c r="H39" s="1186">
        <v>2</v>
      </c>
      <c r="I39" s="1186"/>
      <c r="J39" s="1186"/>
      <c r="K39" s="1186"/>
    </row>
    <row r="40" spans="1:11" x14ac:dyDescent="0.2">
      <c r="A40" s="1186" t="s">
        <v>496</v>
      </c>
      <c r="B40" s="1186" t="s">
        <v>20</v>
      </c>
      <c r="C40" s="1186" t="s">
        <v>26</v>
      </c>
      <c r="D40" s="1186">
        <v>242</v>
      </c>
      <c r="E40" s="1186">
        <v>74</v>
      </c>
      <c r="F40" s="1186">
        <v>148</v>
      </c>
      <c r="G40" s="1186">
        <v>15</v>
      </c>
      <c r="H40" s="1186">
        <v>5</v>
      </c>
      <c r="I40" s="1186"/>
      <c r="J40" s="1186"/>
      <c r="K40" s="1186"/>
    </row>
    <row r="41" spans="1:11" x14ac:dyDescent="0.2">
      <c r="A41" s="1186" t="s">
        <v>496</v>
      </c>
      <c r="B41" s="1186" t="s">
        <v>20</v>
      </c>
      <c r="C41" s="1186" t="s">
        <v>619</v>
      </c>
      <c r="D41" s="1186">
        <v>1387</v>
      </c>
      <c r="E41" s="1186">
        <v>480</v>
      </c>
      <c r="F41" s="1186">
        <v>418</v>
      </c>
      <c r="G41" s="1186">
        <v>467</v>
      </c>
      <c r="H41" s="1186">
        <v>13</v>
      </c>
      <c r="I41" s="1186">
        <v>4</v>
      </c>
      <c r="J41" s="1186">
        <v>4</v>
      </c>
      <c r="K41" s="1186">
        <v>1</v>
      </c>
    </row>
    <row r="42" spans="1:11" x14ac:dyDescent="0.2">
      <c r="A42" s="1186" t="s">
        <v>496</v>
      </c>
      <c r="B42" s="1186" t="s">
        <v>20</v>
      </c>
      <c r="C42" s="1186" t="s">
        <v>27</v>
      </c>
      <c r="D42" s="1186">
        <v>110</v>
      </c>
      <c r="E42" s="1186">
        <v>51</v>
      </c>
      <c r="F42" s="1186">
        <v>47</v>
      </c>
      <c r="G42" s="1186">
        <v>11</v>
      </c>
      <c r="H42" s="1186">
        <v>1</v>
      </c>
      <c r="I42" s="1186"/>
      <c r="J42" s="1186"/>
      <c r="K42" s="1186"/>
    </row>
    <row r="43" spans="1:11" x14ac:dyDescent="0.2">
      <c r="A43" s="1186" t="s">
        <v>496</v>
      </c>
      <c r="B43" s="1186" t="s">
        <v>20</v>
      </c>
      <c r="C43" s="1186" t="s">
        <v>28</v>
      </c>
      <c r="D43" s="1186">
        <v>263</v>
      </c>
      <c r="E43" s="1186">
        <v>139</v>
      </c>
      <c r="F43" s="1186">
        <v>109</v>
      </c>
      <c r="G43" s="1186">
        <v>12</v>
      </c>
      <c r="H43" s="1186">
        <v>3</v>
      </c>
      <c r="I43" s="1186"/>
      <c r="J43" s="1186"/>
      <c r="K43" s="1186"/>
    </row>
    <row r="44" spans="1:11" x14ac:dyDescent="0.2">
      <c r="A44" s="1186" t="s">
        <v>496</v>
      </c>
      <c r="B44" s="1186" t="s">
        <v>20</v>
      </c>
      <c r="C44" s="1186" t="s">
        <v>29</v>
      </c>
      <c r="D44" s="1186">
        <v>523</v>
      </c>
      <c r="E44" s="1186">
        <v>109</v>
      </c>
      <c r="F44" s="1186">
        <v>306</v>
      </c>
      <c r="G44" s="1186">
        <v>104</v>
      </c>
      <c r="H44" s="1186">
        <v>3</v>
      </c>
      <c r="I44" s="1186">
        <v>1</v>
      </c>
      <c r="J44" s="1186"/>
      <c r="K44" s="1186"/>
    </row>
    <row r="45" spans="1:11" x14ac:dyDescent="0.2">
      <c r="A45" s="1186" t="s">
        <v>496</v>
      </c>
      <c r="B45" s="1186" t="s">
        <v>20</v>
      </c>
      <c r="C45" s="1186" t="s">
        <v>30</v>
      </c>
      <c r="D45" s="1186">
        <v>267</v>
      </c>
      <c r="E45" s="1186">
        <v>117</v>
      </c>
      <c r="F45" s="1186">
        <v>133</v>
      </c>
      <c r="G45" s="1186">
        <v>13</v>
      </c>
      <c r="H45" s="1186">
        <v>2</v>
      </c>
      <c r="I45" s="1186">
        <v>2</v>
      </c>
      <c r="J45" s="1186"/>
      <c r="K45" s="1186"/>
    </row>
    <row r="46" spans="1:11" x14ac:dyDescent="0.2">
      <c r="A46" s="1186" t="s">
        <v>496</v>
      </c>
      <c r="B46" s="1186" t="s">
        <v>20</v>
      </c>
      <c r="C46" s="1186" t="s">
        <v>31</v>
      </c>
      <c r="D46" s="1186">
        <v>154</v>
      </c>
      <c r="E46" s="1186">
        <v>67</v>
      </c>
      <c r="F46" s="1186">
        <v>74</v>
      </c>
      <c r="G46" s="1186">
        <v>12</v>
      </c>
      <c r="H46" s="1186">
        <v>1</v>
      </c>
      <c r="I46" s="1186"/>
      <c r="J46" s="1186"/>
      <c r="K46" s="1186"/>
    </row>
    <row r="47" spans="1:11" x14ac:dyDescent="0.2">
      <c r="A47" s="1186" t="s">
        <v>496</v>
      </c>
      <c r="B47" s="1186" t="s">
        <v>20</v>
      </c>
      <c r="C47" s="1186" t="s">
        <v>32</v>
      </c>
      <c r="D47" s="1186">
        <v>206</v>
      </c>
      <c r="E47" s="1186">
        <v>96</v>
      </c>
      <c r="F47" s="1186">
        <v>83</v>
      </c>
      <c r="G47" s="1186">
        <v>21</v>
      </c>
      <c r="H47" s="1186">
        <v>6</v>
      </c>
      <c r="I47" s="1186"/>
      <c r="J47" s="1186"/>
      <c r="K47" s="1186"/>
    </row>
    <row r="48" spans="1:11" x14ac:dyDescent="0.2">
      <c r="A48" s="1186" t="s">
        <v>496</v>
      </c>
      <c r="B48" s="1186" t="s">
        <v>20</v>
      </c>
      <c r="C48" s="1186" t="s">
        <v>33</v>
      </c>
      <c r="D48" s="1186">
        <v>132</v>
      </c>
      <c r="E48" s="1186">
        <v>55</v>
      </c>
      <c r="F48" s="1186">
        <v>63</v>
      </c>
      <c r="G48" s="1186">
        <v>9</v>
      </c>
      <c r="H48" s="1186">
        <v>4</v>
      </c>
      <c r="I48" s="1186">
        <v>1</v>
      </c>
      <c r="J48" s="1186"/>
      <c r="K48" s="1186"/>
    </row>
    <row r="49" spans="1:11" x14ac:dyDescent="0.2">
      <c r="A49" s="1186" t="s">
        <v>496</v>
      </c>
      <c r="B49" s="1186" t="s">
        <v>20</v>
      </c>
      <c r="C49" s="1186" t="s">
        <v>34</v>
      </c>
      <c r="D49" s="1186">
        <v>305</v>
      </c>
      <c r="E49" s="1186">
        <v>117</v>
      </c>
      <c r="F49" s="1186">
        <v>143</v>
      </c>
      <c r="G49" s="1186">
        <v>35</v>
      </c>
      <c r="H49" s="1186">
        <v>10</v>
      </c>
      <c r="I49" s="1186"/>
      <c r="J49" s="1186"/>
      <c r="K49" s="1186"/>
    </row>
    <row r="50" spans="1:11" x14ac:dyDescent="0.2">
      <c r="A50" s="1186" t="s">
        <v>496</v>
      </c>
      <c r="B50" s="1186" t="s">
        <v>20</v>
      </c>
      <c r="C50" s="1186" t="s">
        <v>35</v>
      </c>
      <c r="D50" s="1186">
        <v>651</v>
      </c>
      <c r="E50" s="1186">
        <v>231</v>
      </c>
      <c r="F50" s="1186">
        <v>331</v>
      </c>
      <c r="G50" s="1186">
        <v>74</v>
      </c>
      <c r="H50" s="1186">
        <v>12</v>
      </c>
      <c r="I50" s="1186">
        <v>2</v>
      </c>
      <c r="J50" s="1186">
        <v>1</v>
      </c>
      <c r="K50" s="1186"/>
    </row>
    <row r="51" spans="1:11" x14ac:dyDescent="0.2">
      <c r="A51" s="1186" t="s">
        <v>496</v>
      </c>
      <c r="B51" s="1186" t="s">
        <v>20</v>
      </c>
      <c r="C51" s="1186" t="s">
        <v>36</v>
      </c>
      <c r="D51" s="1186">
        <v>2197</v>
      </c>
      <c r="E51" s="1186">
        <v>544</v>
      </c>
      <c r="F51" s="1186">
        <v>917</v>
      </c>
      <c r="G51" s="1186">
        <v>703</v>
      </c>
      <c r="H51" s="1186">
        <v>23</v>
      </c>
      <c r="I51" s="1186">
        <v>2</v>
      </c>
      <c r="J51" s="1186">
        <v>8</v>
      </c>
      <c r="K51" s="1186"/>
    </row>
    <row r="52" spans="1:11" x14ac:dyDescent="0.2">
      <c r="A52" s="1186" t="s">
        <v>496</v>
      </c>
      <c r="B52" s="1186" t="s">
        <v>20</v>
      </c>
      <c r="C52" s="1186" t="s">
        <v>37</v>
      </c>
      <c r="D52" s="1186">
        <v>411</v>
      </c>
      <c r="E52" s="1186">
        <v>185</v>
      </c>
      <c r="F52" s="1186">
        <v>180</v>
      </c>
      <c r="G52" s="1186">
        <v>35</v>
      </c>
      <c r="H52" s="1186">
        <v>8</v>
      </c>
      <c r="I52" s="1186">
        <v>1</v>
      </c>
      <c r="J52" s="1186">
        <v>1</v>
      </c>
      <c r="K52" s="1186">
        <v>1</v>
      </c>
    </row>
    <row r="53" spans="1:11" x14ac:dyDescent="0.2">
      <c r="A53" s="1186" t="s">
        <v>496</v>
      </c>
      <c r="B53" s="1186" t="s">
        <v>20</v>
      </c>
      <c r="C53" s="1186" t="s">
        <v>38</v>
      </c>
      <c r="D53" s="1186">
        <v>279</v>
      </c>
      <c r="E53" s="1186">
        <v>80</v>
      </c>
      <c r="F53" s="1186">
        <v>141</v>
      </c>
      <c r="G53" s="1186">
        <v>54</v>
      </c>
      <c r="H53" s="1186">
        <v>2</v>
      </c>
      <c r="I53" s="1186">
        <v>2</v>
      </c>
      <c r="J53" s="1186"/>
      <c r="K53" s="1186"/>
    </row>
    <row r="54" spans="1:11" x14ac:dyDescent="0.2">
      <c r="A54" s="1186" t="s">
        <v>496</v>
      </c>
      <c r="B54" s="1186" t="s">
        <v>20</v>
      </c>
      <c r="C54" s="1186" t="s">
        <v>39</v>
      </c>
      <c r="D54" s="1186">
        <v>188</v>
      </c>
      <c r="E54" s="1186">
        <v>98</v>
      </c>
      <c r="F54" s="1186">
        <v>69</v>
      </c>
      <c r="G54" s="1186">
        <v>19</v>
      </c>
      <c r="H54" s="1186">
        <v>2</v>
      </c>
      <c r="I54" s="1186"/>
      <c r="J54" s="1186"/>
      <c r="K54" s="1186"/>
    </row>
    <row r="55" spans="1:11" x14ac:dyDescent="0.2">
      <c r="A55" s="1186" t="s">
        <v>496</v>
      </c>
      <c r="B55" s="1186" t="s">
        <v>20</v>
      </c>
      <c r="C55" s="1186" t="s">
        <v>40</v>
      </c>
      <c r="D55" s="1186">
        <v>159</v>
      </c>
      <c r="E55" s="1186">
        <v>62</v>
      </c>
      <c r="F55" s="1186">
        <v>76</v>
      </c>
      <c r="G55" s="1186">
        <v>19</v>
      </c>
      <c r="H55" s="1186">
        <v>2</v>
      </c>
      <c r="I55" s="1186"/>
      <c r="J55" s="1186"/>
      <c r="K55" s="1186"/>
    </row>
    <row r="56" spans="1:11" x14ac:dyDescent="0.2">
      <c r="A56" s="1186" t="s">
        <v>496</v>
      </c>
      <c r="B56" s="1186" t="s">
        <v>20</v>
      </c>
      <c r="C56" s="1186" t="s">
        <v>295</v>
      </c>
      <c r="D56" s="1186">
        <v>45</v>
      </c>
      <c r="E56" s="1186">
        <v>23</v>
      </c>
      <c r="F56" s="1186">
        <v>19</v>
      </c>
      <c r="G56" s="1186">
        <v>3</v>
      </c>
      <c r="H56" s="1186"/>
      <c r="I56" s="1186"/>
      <c r="J56" s="1186"/>
      <c r="K56" s="1186"/>
    </row>
    <row r="57" spans="1:11" x14ac:dyDescent="0.2">
      <c r="A57" s="1186" t="s">
        <v>496</v>
      </c>
      <c r="B57" s="1186" t="s">
        <v>20</v>
      </c>
      <c r="C57" s="1186" t="s">
        <v>41</v>
      </c>
      <c r="D57" s="1186">
        <v>348</v>
      </c>
      <c r="E57" s="1186">
        <v>151</v>
      </c>
      <c r="F57" s="1186">
        <v>164</v>
      </c>
      <c r="G57" s="1186">
        <v>27</v>
      </c>
      <c r="H57" s="1186">
        <v>4</v>
      </c>
      <c r="I57" s="1186"/>
      <c r="J57" s="1186">
        <v>2</v>
      </c>
      <c r="K57" s="1186"/>
    </row>
    <row r="58" spans="1:11" x14ac:dyDescent="0.2">
      <c r="A58" s="1186" t="s">
        <v>496</v>
      </c>
      <c r="B58" s="1186" t="s">
        <v>20</v>
      </c>
      <c r="C58" s="1186" t="s">
        <v>42</v>
      </c>
      <c r="D58" s="1186">
        <v>834</v>
      </c>
      <c r="E58" s="1186">
        <v>308</v>
      </c>
      <c r="F58" s="1186">
        <v>434</v>
      </c>
      <c r="G58" s="1186">
        <v>81</v>
      </c>
      <c r="H58" s="1186">
        <v>6</v>
      </c>
      <c r="I58" s="1186">
        <v>3</v>
      </c>
      <c r="J58" s="1186">
        <v>1</v>
      </c>
      <c r="K58" s="1186">
        <v>1</v>
      </c>
    </row>
    <row r="59" spans="1:11" x14ac:dyDescent="0.2">
      <c r="A59" s="1186" t="s">
        <v>496</v>
      </c>
      <c r="B59" s="1186" t="s">
        <v>20</v>
      </c>
      <c r="C59" s="1186" t="s">
        <v>43</v>
      </c>
      <c r="D59" s="1186">
        <v>34</v>
      </c>
      <c r="E59" s="1186">
        <v>21</v>
      </c>
      <c r="F59" s="1186">
        <v>9</v>
      </c>
      <c r="G59" s="1186">
        <v>4</v>
      </c>
      <c r="H59" s="1186"/>
      <c r="I59" s="1186"/>
      <c r="J59" s="1186"/>
      <c r="K59" s="1186"/>
    </row>
    <row r="60" spans="1:11" x14ac:dyDescent="0.2">
      <c r="A60" s="1186" t="s">
        <v>496</v>
      </c>
      <c r="B60" s="1186" t="s">
        <v>20</v>
      </c>
      <c r="C60" s="1186" t="s">
        <v>44</v>
      </c>
      <c r="D60" s="1186">
        <v>318</v>
      </c>
      <c r="E60" s="1186">
        <v>101</v>
      </c>
      <c r="F60" s="1186">
        <v>188</v>
      </c>
      <c r="G60" s="1186">
        <v>25</v>
      </c>
      <c r="H60" s="1186">
        <v>3</v>
      </c>
      <c r="I60" s="1186"/>
      <c r="J60" s="1186">
        <v>1</v>
      </c>
      <c r="K60" s="1186"/>
    </row>
    <row r="61" spans="1:11" x14ac:dyDescent="0.2">
      <c r="A61" s="1186" t="s">
        <v>496</v>
      </c>
      <c r="B61" s="1186" t="s">
        <v>20</v>
      </c>
      <c r="C61" s="1186" t="s">
        <v>45</v>
      </c>
      <c r="D61" s="1186">
        <v>494</v>
      </c>
      <c r="E61" s="1186">
        <v>150</v>
      </c>
      <c r="F61" s="1186">
        <v>258</v>
      </c>
      <c r="G61" s="1186">
        <v>76</v>
      </c>
      <c r="H61" s="1186">
        <v>6</v>
      </c>
      <c r="I61" s="1186">
        <v>3</v>
      </c>
      <c r="J61" s="1186">
        <v>1</v>
      </c>
      <c r="K61" s="1186"/>
    </row>
    <row r="62" spans="1:11" x14ac:dyDescent="0.2">
      <c r="A62" s="1186" t="s">
        <v>496</v>
      </c>
      <c r="B62" s="1186" t="s">
        <v>20</v>
      </c>
      <c r="C62" s="1186" t="s">
        <v>46</v>
      </c>
      <c r="D62" s="1186">
        <v>248</v>
      </c>
      <c r="E62" s="1186">
        <v>107</v>
      </c>
      <c r="F62" s="1186">
        <v>117</v>
      </c>
      <c r="G62" s="1186">
        <v>17</v>
      </c>
      <c r="H62" s="1186">
        <v>4</v>
      </c>
      <c r="I62" s="1186">
        <v>1</v>
      </c>
      <c r="J62" s="1186">
        <v>2</v>
      </c>
      <c r="K62" s="1186"/>
    </row>
    <row r="63" spans="1:11" x14ac:dyDescent="0.2">
      <c r="A63" s="1186" t="s">
        <v>496</v>
      </c>
      <c r="B63" s="1186" t="s">
        <v>20</v>
      </c>
      <c r="C63" s="1186" t="s">
        <v>47</v>
      </c>
      <c r="D63" s="1186">
        <v>21</v>
      </c>
      <c r="E63" s="1186">
        <v>9</v>
      </c>
      <c r="F63" s="1186">
        <v>9</v>
      </c>
      <c r="G63" s="1186">
        <v>3</v>
      </c>
      <c r="H63" s="1186"/>
      <c r="I63" s="1186"/>
      <c r="J63" s="1186"/>
      <c r="K63" s="1186"/>
    </row>
    <row r="64" spans="1:11" x14ac:dyDescent="0.2">
      <c r="A64" s="1186" t="s">
        <v>496</v>
      </c>
      <c r="B64" s="1186" t="s">
        <v>20</v>
      </c>
      <c r="C64" s="1186" t="s">
        <v>48</v>
      </c>
      <c r="D64" s="1186">
        <v>217</v>
      </c>
      <c r="E64" s="1186">
        <v>51</v>
      </c>
      <c r="F64" s="1186">
        <v>142</v>
      </c>
      <c r="G64" s="1186">
        <v>16</v>
      </c>
      <c r="H64" s="1186">
        <v>5</v>
      </c>
      <c r="I64" s="1186">
        <v>2</v>
      </c>
      <c r="J64" s="1186">
        <v>1</v>
      </c>
      <c r="K64" s="1186"/>
    </row>
    <row r="65" spans="1:11" x14ac:dyDescent="0.2">
      <c r="A65" s="1186" t="s">
        <v>496</v>
      </c>
      <c r="B65" s="1186" t="s">
        <v>20</v>
      </c>
      <c r="C65" s="1186" t="s">
        <v>49</v>
      </c>
      <c r="D65" s="1186">
        <v>769</v>
      </c>
      <c r="E65" s="1186">
        <v>289</v>
      </c>
      <c r="F65" s="1186">
        <v>396</v>
      </c>
      <c r="G65" s="1186">
        <v>77</v>
      </c>
      <c r="H65" s="1186">
        <v>4</v>
      </c>
      <c r="I65" s="1186">
        <v>3</v>
      </c>
      <c r="J65" s="1186"/>
      <c r="K65" s="1186"/>
    </row>
    <row r="66" spans="1:11" x14ac:dyDescent="0.2">
      <c r="A66" s="1186" t="s">
        <v>496</v>
      </c>
      <c r="B66" s="1186" t="s">
        <v>20</v>
      </c>
      <c r="C66" s="1186" t="s">
        <v>50</v>
      </c>
      <c r="D66" s="1186">
        <v>172</v>
      </c>
      <c r="E66" s="1186">
        <v>51</v>
      </c>
      <c r="F66" s="1186">
        <v>94</v>
      </c>
      <c r="G66" s="1186">
        <v>25</v>
      </c>
      <c r="H66" s="1186"/>
      <c r="I66" s="1186">
        <v>2</v>
      </c>
      <c r="J66" s="1186"/>
      <c r="K66" s="1186"/>
    </row>
    <row r="67" spans="1:11" x14ac:dyDescent="0.2">
      <c r="A67" s="1186" t="s">
        <v>496</v>
      </c>
      <c r="B67" s="1186" t="s">
        <v>20</v>
      </c>
      <c r="C67" s="1186" t="s">
        <v>51</v>
      </c>
      <c r="D67" s="1186">
        <v>286</v>
      </c>
      <c r="E67" s="1186">
        <v>98</v>
      </c>
      <c r="F67" s="1186">
        <v>145</v>
      </c>
      <c r="G67" s="1186">
        <v>40</v>
      </c>
      <c r="H67" s="1186">
        <v>3</v>
      </c>
      <c r="I67" s="1186"/>
      <c r="J67" s="1186"/>
      <c r="K67" s="1186"/>
    </row>
    <row r="68" spans="1:11" x14ac:dyDescent="0.2">
      <c r="A68" s="1186" t="s">
        <v>496</v>
      </c>
      <c r="B68" s="1186" t="s">
        <v>20</v>
      </c>
      <c r="C68" s="1186" t="s">
        <v>52</v>
      </c>
      <c r="D68" s="1186">
        <v>506</v>
      </c>
      <c r="E68" s="1186">
        <v>232</v>
      </c>
      <c r="F68" s="1186">
        <v>216</v>
      </c>
      <c r="G68" s="1186">
        <v>44</v>
      </c>
      <c r="H68" s="1186">
        <v>9</v>
      </c>
      <c r="I68" s="1186"/>
      <c r="J68" s="1186">
        <v>5</v>
      </c>
      <c r="K68" s="1186"/>
    </row>
    <row r="69" spans="1:11" x14ac:dyDescent="0.2">
      <c r="A69" s="1186" t="s">
        <v>496</v>
      </c>
      <c r="B69" s="1186" t="s">
        <v>13</v>
      </c>
      <c r="C69" s="1186" t="s">
        <v>23</v>
      </c>
      <c r="D69" s="1186">
        <v>641</v>
      </c>
      <c r="E69" s="1186">
        <v>154</v>
      </c>
      <c r="F69" s="1186">
        <v>161</v>
      </c>
      <c r="G69" s="1186">
        <v>324</v>
      </c>
      <c r="H69" s="1186">
        <v>2</v>
      </c>
      <c r="I69" s="1186"/>
      <c r="J69" s="1186"/>
      <c r="K69" s="1186"/>
    </row>
    <row r="70" spans="1:11" x14ac:dyDescent="0.2">
      <c r="A70" s="1186" t="s">
        <v>496</v>
      </c>
      <c r="B70" s="1186" t="s">
        <v>13</v>
      </c>
      <c r="C70" s="1186" t="s">
        <v>24</v>
      </c>
      <c r="D70" s="1186">
        <v>430</v>
      </c>
      <c r="E70" s="1186">
        <v>161</v>
      </c>
      <c r="F70" s="1186">
        <v>194</v>
      </c>
      <c r="G70" s="1186">
        <v>68</v>
      </c>
      <c r="H70" s="1186">
        <v>6</v>
      </c>
      <c r="I70" s="1186">
        <v>1</v>
      </c>
      <c r="J70" s="1186"/>
      <c r="K70" s="1186"/>
    </row>
    <row r="71" spans="1:11" x14ac:dyDescent="0.2">
      <c r="A71" s="1186" t="s">
        <v>496</v>
      </c>
      <c r="B71" s="1186" t="s">
        <v>13</v>
      </c>
      <c r="C71" s="1186" t="s">
        <v>25</v>
      </c>
      <c r="D71" s="1186">
        <v>177</v>
      </c>
      <c r="E71" s="1186">
        <v>56</v>
      </c>
      <c r="F71" s="1186">
        <v>108</v>
      </c>
      <c r="G71" s="1186">
        <v>13</v>
      </c>
      <c r="H71" s="1186"/>
      <c r="I71" s="1186"/>
      <c r="J71" s="1186"/>
      <c r="K71" s="1186"/>
    </row>
    <row r="72" spans="1:11" x14ac:dyDescent="0.2">
      <c r="A72" s="1186" t="s">
        <v>496</v>
      </c>
      <c r="B72" s="1186" t="s">
        <v>13</v>
      </c>
      <c r="C72" s="1186" t="s">
        <v>26</v>
      </c>
      <c r="D72" s="1186">
        <v>200</v>
      </c>
      <c r="E72" s="1186">
        <v>66</v>
      </c>
      <c r="F72" s="1186">
        <v>111</v>
      </c>
      <c r="G72" s="1186">
        <v>17</v>
      </c>
      <c r="H72" s="1186">
        <v>4</v>
      </c>
      <c r="I72" s="1186"/>
      <c r="J72" s="1186"/>
      <c r="K72" s="1186">
        <v>2</v>
      </c>
    </row>
    <row r="73" spans="1:11" x14ac:dyDescent="0.2">
      <c r="A73" s="1186" t="s">
        <v>496</v>
      </c>
      <c r="B73" s="1186" t="s">
        <v>13</v>
      </c>
      <c r="C73" s="1186" t="s">
        <v>619</v>
      </c>
      <c r="D73" s="1186">
        <v>1389</v>
      </c>
      <c r="E73" s="1186">
        <v>428</v>
      </c>
      <c r="F73" s="1186">
        <v>450</v>
      </c>
      <c r="G73" s="1186">
        <v>495</v>
      </c>
      <c r="H73" s="1186">
        <v>12</v>
      </c>
      <c r="I73" s="1186">
        <v>1</v>
      </c>
      <c r="J73" s="1186">
        <v>2</v>
      </c>
      <c r="K73" s="1186">
        <v>1</v>
      </c>
    </row>
    <row r="74" spans="1:11" x14ac:dyDescent="0.2">
      <c r="A74" s="1186" t="s">
        <v>496</v>
      </c>
      <c r="B74" s="1186" t="s">
        <v>13</v>
      </c>
      <c r="C74" s="1186" t="s">
        <v>27</v>
      </c>
      <c r="D74" s="1186">
        <v>87</v>
      </c>
      <c r="E74" s="1186">
        <v>39</v>
      </c>
      <c r="F74" s="1186">
        <v>36</v>
      </c>
      <c r="G74" s="1186">
        <v>12</v>
      </c>
      <c r="H74" s="1186"/>
      <c r="I74" s="1186"/>
      <c r="J74" s="1186"/>
      <c r="K74" s="1186"/>
    </row>
    <row r="75" spans="1:11" x14ac:dyDescent="0.2">
      <c r="A75" s="1186" t="s">
        <v>496</v>
      </c>
      <c r="B75" s="1186" t="s">
        <v>13</v>
      </c>
      <c r="C75" s="1186" t="s">
        <v>28</v>
      </c>
      <c r="D75" s="1186">
        <v>261</v>
      </c>
      <c r="E75" s="1186">
        <v>133</v>
      </c>
      <c r="F75" s="1186">
        <v>110</v>
      </c>
      <c r="G75" s="1186">
        <v>14</v>
      </c>
      <c r="H75" s="1186">
        <v>3</v>
      </c>
      <c r="I75" s="1186"/>
      <c r="J75" s="1186"/>
      <c r="K75" s="1186">
        <v>1</v>
      </c>
    </row>
    <row r="76" spans="1:11" x14ac:dyDescent="0.2">
      <c r="A76" s="1186" t="s">
        <v>496</v>
      </c>
      <c r="B76" s="1186" t="s">
        <v>13</v>
      </c>
      <c r="C76" s="1186" t="s">
        <v>29</v>
      </c>
      <c r="D76" s="1186">
        <v>436</v>
      </c>
      <c r="E76" s="1186">
        <v>88</v>
      </c>
      <c r="F76" s="1186">
        <v>255</v>
      </c>
      <c r="G76" s="1186">
        <v>91</v>
      </c>
      <c r="H76" s="1186">
        <v>2</v>
      </c>
      <c r="I76" s="1186"/>
      <c r="J76" s="1186"/>
      <c r="K76" s="1186"/>
    </row>
    <row r="77" spans="1:11" x14ac:dyDescent="0.2">
      <c r="A77" s="1186" t="s">
        <v>496</v>
      </c>
      <c r="B77" s="1186" t="s">
        <v>13</v>
      </c>
      <c r="C77" s="1186" t="s">
        <v>30</v>
      </c>
      <c r="D77" s="1186">
        <v>261</v>
      </c>
      <c r="E77" s="1186">
        <v>102</v>
      </c>
      <c r="F77" s="1186">
        <v>128</v>
      </c>
      <c r="G77" s="1186">
        <v>25</v>
      </c>
      <c r="H77" s="1186">
        <v>4</v>
      </c>
      <c r="I77" s="1186">
        <v>1</v>
      </c>
      <c r="J77" s="1186"/>
      <c r="K77" s="1186">
        <v>1</v>
      </c>
    </row>
    <row r="78" spans="1:11" x14ac:dyDescent="0.2">
      <c r="A78" s="1186" t="s">
        <v>496</v>
      </c>
      <c r="B78" s="1186" t="s">
        <v>13</v>
      </c>
      <c r="C78" s="1186" t="s">
        <v>31</v>
      </c>
      <c r="D78" s="1186">
        <v>130</v>
      </c>
      <c r="E78" s="1186">
        <v>51</v>
      </c>
      <c r="F78" s="1186">
        <v>65</v>
      </c>
      <c r="G78" s="1186">
        <v>13</v>
      </c>
      <c r="H78" s="1186">
        <v>1</v>
      </c>
      <c r="I78" s="1186"/>
      <c r="J78" s="1186"/>
      <c r="K78" s="1186"/>
    </row>
    <row r="79" spans="1:11" x14ac:dyDescent="0.2">
      <c r="A79" s="1186" t="s">
        <v>496</v>
      </c>
      <c r="B79" s="1186" t="s">
        <v>13</v>
      </c>
      <c r="C79" s="1186" t="s">
        <v>32</v>
      </c>
      <c r="D79" s="1186">
        <v>218</v>
      </c>
      <c r="E79" s="1186">
        <v>92</v>
      </c>
      <c r="F79" s="1186">
        <v>105</v>
      </c>
      <c r="G79" s="1186">
        <v>17</v>
      </c>
      <c r="H79" s="1186">
        <v>2</v>
      </c>
      <c r="I79" s="1186">
        <v>2</v>
      </c>
      <c r="J79" s="1186"/>
      <c r="K79" s="1186"/>
    </row>
    <row r="80" spans="1:11" x14ac:dyDescent="0.2">
      <c r="A80" s="1186" t="s">
        <v>496</v>
      </c>
      <c r="B80" s="1186" t="s">
        <v>13</v>
      </c>
      <c r="C80" s="1186" t="s">
        <v>33</v>
      </c>
      <c r="D80" s="1186">
        <v>147</v>
      </c>
      <c r="E80" s="1186">
        <v>67</v>
      </c>
      <c r="F80" s="1186">
        <v>68</v>
      </c>
      <c r="G80" s="1186">
        <v>8</v>
      </c>
      <c r="H80" s="1186">
        <v>4</v>
      </c>
      <c r="I80" s="1186"/>
      <c r="J80" s="1186"/>
      <c r="K80" s="1186"/>
    </row>
    <row r="81" spans="1:11" x14ac:dyDescent="0.2">
      <c r="A81" s="1186" t="s">
        <v>496</v>
      </c>
      <c r="B81" s="1186" t="s">
        <v>13</v>
      </c>
      <c r="C81" s="1186" t="s">
        <v>34</v>
      </c>
      <c r="D81" s="1186">
        <v>272</v>
      </c>
      <c r="E81" s="1186">
        <v>105</v>
      </c>
      <c r="F81" s="1186">
        <v>126</v>
      </c>
      <c r="G81" s="1186">
        <v>34</v>
      </c>
      <c r="H81" s="1186">
        <v>7</v>
      </c>
      <c r="I81" s="1186"/>
      <c r="J81" s="1186"/>
      <c r="K81" s="1186"/>
    </row>
    <row r="82" spans="1:11" x14ac:dyDescent="0.2">
      <c r="A82" s="1186" t="s">
        <v>496</v>
      </c>
      <c r="B82" s="1186" t="s">
        <v>13</v>
      </c>
      <c r="C82" s="1186" t="s">
        <v>35</v>
      </c>
      <c r="D82" s="1186">
        <v>616</v>
      </c>
      <c r="E82" s="1186">
        <v>217</v>
      </c>
      <c r="F82" s="1186">
        <v>317</v>
      </c>
      <c r="G82" s="1186">
        <v>66</v>
      </c>
      <c r="H82" s="1186">
        <v>12</v>
      </c>
      <c r="I82" s="1186">
        <v>3</v>
      </c>
      <c r="J82" s="1186"/>
      <c r="K82" s="1186">
        <v>1</v>
      </c>
    </row>
    <row r="83" spans="1:11" x14ac:dyDescent="0.2">
      <c r="A83" s="1186" t="s">
        <v>496</v>
      </c>
      <c r="B83" s="1186" t="s">
        <v>13</v>
      </c>
      <c r="C83" s="1186" t="s">
        <v>36</v>
      </c>
      <c r="D83" s="1186">
        <v>2175</v>
      </c>
      <c r="E83" s="1186">
        <v>438</v>
      </c>
      <c r="F83" s="1186">
        <v>813</v>
      </c>
      <c r="G83" s="1186">
        <v>900</v>
      </c>
      <c r="H83" s="1186">
        <v>13</v>
      </c>
      <c r="I83" s="1186">
        <v>7</v>
      </c>
      <c r="J83" s="1186">
        <v>4</v>
      </c>
      <c r="K83" s="1186"/>
    </row>
    <row r="84" spans="1:11" x14ac:dyDescent="0.2">
      <c r="A84" s="1186" t="s">
        <v>496</v>
      </c>
      <c r="B84" s="1186" t="s">
        <v>13</v>
      </c>
      <c r="C84" s="1186" t="s">
        <v>37</v>
      </c>
      <c r="D84" s="1186">
        <v>402</v>
      </c>
      <c r="E84" s="1186">
        <v>168</v>
      </c>
      <c r="F84" s="1186">
        <v>176</v>
      </c>
      <c r="G84" s="1186">
        <v>40</v>
      </c>
      <c r="H84" s="1186">
        <v>13</v>
      </c>
      <c r="I84" s="1186">
        <v>2</v>
      </c>
      <c r="J84" s="1186">
        <v>3</v>
      </c>
      <c r="K84" s="1186"/>
    </row>
    <row r="85" spans="1:11" x14ac:dyDescent="0.2">
      <c r="A85" s="1186" t="s">
        <v>496</v>
      </c>
      <c r="B85" s="1186" t="s">
        <v>13</v>
      </c>
      <c r="C85" s="1186" t="s">
        <v>38</v>
      </c>
      <c r="D85" s="1186">
        <v>220</v>
      </c>
      <c r="E85" s="1186">
        <v>73</v>
      </c>
      <c r="F85" s="1186">
        <v>101</v>
      </c>
      <c r="G85" s="1186">
        <v>46</v>
      </c>
      <c r="H85" s="1186"/>
      <c r="I85" s="1186"/>
      <c r="J85" s="1186"/>
      <c r="K85" s="1186"/>
    </row>
    <row r="86" spans="1:11" x14ac:dyDescent="0.2">
      <c r="A86" s="1186" t="s">
        <v>496</v>
      </c>
      <c r="B86" s="1186" t="s">
        <v>13</v>
      </c>
      <c r="C86" s="1186" t="s">
        <v>39</v>
      </c>
      <c r="D86" s="1186">
        <v>198</v>
      </c>
      <c r="E86" s="1186">
        <v>113</v>
      </c>
      <c r="F86" s="1186">
        <v>68</v>
      </c>
      <c r="G86" s="1186">
        <v>12</v>
      </c>
      <c r="H86" s="1186">
        <v>3</v>
      </c>
      <c r="I86" s="1186">
        <v>1</v>
      </c>
      <c r="J86" s="1186"/>
      <c r="K86" s="1186">
        <v>1</v>
      </c>
    </row>
    <row r="87" spans="1:11" x14ac:dyDescent="0.2">
      <c r="A87" s="1186" t="s">
        <v>496</v>
      </c>
      <c r="B87" s="1186" t="s">
        <v>13</v>
      </c>
      <c r="C87" s="1186" t="s">
        <v>40</v>
      </c>
      <c r="D87" s="1186">
        <v>145</v>
      </c>
      <c r="E87" s="1186">
        <v>51</v>
      </c>
      <c r="F87" s="1186">
        <v>74</v>
      </c>
      <c r="G87" s="1186">
        <v>17</v>
      </c>
      <c r="H87" s="1186">
        <v>3</v>
      </c>
      <c r="I87" s="1186"/>
      <c r="J87" s="1186"/>
      <c r="K87" s="1186"/>
    </row>
    <row r="88" spans="1:11" x14ac:dyDescent="0.2">
      <c r="A88" s="1186" t="s">
        <v>496</v>
      </c>
      <c r="B88" s="1186" t="s">
        <v>13</v>
      </c>
      <c r="C88" s="1186" t="s">
        <v>295</v>
      </c>
      <c r="D88" s="1186">
        <v>39</v>
      </c>
      <c r="E88" s="1186">
        <v>23</v>
      </c>
      <c r="F88" s="1186">
        <v>12</v>
      </c>
      <c r="G88" s="1186">
        <v>4</v>
      </c>
      <c r="H88" s="1186"/>
      <c r="I88" s="1186"/>
      <c r="J88" s="1186"/>
      <c r="K88" s="1186"/>
    </row>
    <row r="89" spans="1:11" x14ac:dyDescent="0.2">
      <c r="A89" s="1186" t="s">
        <v>496</v>
      </c>
      <c r="B89" s="1186" t="s">
        <v>13</v>
      </c>
      <c r="C89" s="1186" t="s">
        <v>41</v>
      </c>
      <c r="D89" s="1186">
        <v>279</v>
      </c>
      <c r="E89" s="1186">
        <v>105</v>
      </c>
      <c r="F89" s="1186">
        <v>140</v>
      </c>
      <c r="G89" s="1186">
        <v>32</v>
      </c>
      <c r="H89" s="1186">
        <v>1</v>
      </c>
      <c r="I89" s="1186"/>
      <c r="J89" s="1186">
        <v>1</v>
      </c>
      <c r="K89" s="1186"/>
    </row>
    <row r="90" spans="1:11" x14ac:dyDescent="0.2">
      <c r="A90" s="1186" t="s">
        <v>496</v>
      </c>
      <c r="B90" s="1186" t="s">
        <v>13</v>
      </c>
      <c r="C90" s="1186" t="s">
        <v>42</v>
      </c>
      <c r="D90" s="1186">
        <v>783</v>
      </c>
      <c r="E90" s="1186">
        <v>265</v>
      </c>
      <c r="F90" s="1186">
        <v>425</v>
      </c>
      <c r="G90" s="1186">
        <v>81</v>
      </c>
      <c r="H90" s="1186">
        <v>9</v>
      </c>
      <c r="I90" s="1186">
        <v>2</v>
      </c>
      <c r="J90" s="1186">
        <v>1</v>
      </c>
      <c r="K90" s="1186"/>
    </row>
    <row r="91" spans="1:11" x14ac:dyDescent="0.2">
      <c r="A91" s="1186" t="s">
        <v>496</v>
      </c>
      <c r="B91" s="1186" t="s">
        <v>13</v>
      </c>
      <c r="C91" s="1186" t="s">
        <v>43</v>
      </c>
      <c r="D91" s="1186">
        <v>30</v>
      </c>
      <c r="E91" s="1186">
        <v>15</v>
      </c>
      <c r="F91" s="1186">
        <v>14</v>
      </c>
      <c r="G91" s="1186">
        <v>1</v>
      </c>
      <c r="H91" s="1186"/>
      <c r="I91" s="1186"/>
      <c r="J91" s="1186"/>
      <c r="K91" s="1186"/>
    </row>
    <row r="92" spans="1:11" x14ac:dyDescent="0.2">
      <c r="A92" s="1186" t="s">
        <v>496</v>
      </c>
      <c r="B92" s="1186" t="s">
        <v>13</v>
      </c>
      <c r="C92" s="1186" t="s">
        <v>44</v>
      </c>
      <c r="D92" s="1186">
        <v>305</v>
      </c>
      <c r="E92" s="1186">
        <v>104</v>
      </c>
      <c r="F92" s="1186">
        <v>158</v>
      </c>
      <c r="G92" s="1186">
        <v>37</v>
      </c>
      <c r="H92" s="1186">
        <v>6</v>
      </c>
      <c r="I92" s="1186"/>
      <c r="J92" s="1186"/>
      <c r="K92" s="1186"/>
    </row>
    <row r="93" spans="1:11" x14ac:dyDescent="0.2">
      <c r="A93" s="1186" t="s">
        <v>496</v>
      </c>
      <c r="B93" s="1186" t="s">
        <v>13</v>
      </c>
      <c r="C93" s="1186" t="s">
        <v>45</v>
      </c>
      <c r="D93" s="1186">
        <v>455</v>
      </c>
      <c r="E93" s="1186">
        <v>106</v>
      </c>
      <c r="F93" s="1186">
        <v>265</v>
      </c>
      <c r="G93" s="1186">
        <v>81</v>
      </c>
      <c r="H93" s="1186">
        <v>1</v>
      </c>
      <c r="I93" s="1186">
        <v>2</v>
      </c>
      <c r="J93" s="1186"/>
      <c r="K93" s="1186"/>
    </row>
    <row r="94" spans="1:11" x14ac:dyDescent="0.2">
      <c r="A94" s="1186" t="s">
        <v>496</v>
      </c>
      <c r="B94" s="1186" t="s">
        <v>13</v>
      </c>
      <c r="C94" s="1186" t="s">
        <v>46</v>
      </c>
      <c r="D94" s="1186">
        <v>223</v>
      </c>
      <c r="E94" s="1186">
        <v>87</v>
      </c>
      <c r="F94" s="1186">
        <v>106</v>
      </c>
      <c r="G94" s="1186">
        <v>19</v>
      </c>
      <c r="H94" s="1186">
        <v>7</v>
      </c>
      <c r="I94" s="1186">
        <v>3</v>
      </c>
      <c r="J94" s="1186">
        <v>1</v>
      </c>
      <c r="K94" s="1186"/>
    </row>
    <row r="95" spans="1:11" x14ac:dyDescent="0.2">
      <c r="A95" s="1186" t="s">
        <v>496</v>
      </c>
      <c r="B95" s="1186" t="s">
        <v>13</v>
      </c>
      <c r="C95" s="1186" t="s">
        <v>47</v>
      </c>
      <c r="D95" s="1186">
        <v>29</v>
      </c>
      <c r="E95" s="1186">
        <v>15</v>
      </c>
      <c r="F95" s="1186">
        <v>12</v>
      </c>
      <c r="G95" s="1186">
        <v>2</v>
      </c>
      <c r="H95" s="1186"/>
      <c r="I95" s="1186"/>
      <c r="J95" s="1186"/>
      <c r="K95" s="1186"/>
    </row>
    <row r="96" spans="1:11" x14ac:dyDescent="0.2">
      <c r="A96" s="1186" t="s">
        <v>496</v>
      </c>
      <c r="B96" s="1186" t="s">
        <v>13</v>
      </c>
      <c r="C96" s="1186" t="s">
        <v>48</v>
      </c>
      <c r="D96" s="1186">
        <v>183</v>
      </c>
      <c r="E96" s="1186">
        <v>59</v>
      </c>
      <c r="F96" s="1186">
        <v>105</v>
      </c>
      <c r="G96" s="1186">
        <v>18</v>
      </c>
      <c r="H96" s="1186"/>
      <c r="I96" s="1186"/>
      <c r="J96" s="1186">
        <v>1</v>
      </c>
      <c r="K96" s="1186"/>
    </row>
    <row r="97" spans="1:11" x14ac:dyDescent="0.2">
      <c r="A97" s="1186" t="s">
        <v>496</v>
      </c>
      <c r="B97" s="1186" t="s">
        <v>13</v>
      </c>
      <c r="C97" s="1186" t="s">
        <v>49</v>
      </c>
      <c r="D97" s="1186">
        <v>638</v>
      </c>
      <c r="E97" s="1186">
        <v>235</v>
      </c>
      <c r="F97" s="1186">
        <v>315</v>
      </c>
      <c r="G97" s="1186">
        <v>81</v>
      </c>
      <c r="H97" s="1186">
        <v>4</v>
      </c>
      <c r="I97" s="1186">
        <v>2</v>
      </c>
      <c r="J97" s="1186">
        <v>1</v>
      </c>
      <c r="K97" s="1186"/>
    </row>
    <row r="98" spans="1:11" x14ac:dyDescent="0.2">
      <c r="A98" s="1186" t="s">
        <v>496</v>
      </c>
      <c r="B98" s="1186" t="s">
        <v>13</v>
      </c>
      <c r="C98" s="1186" t="s">
        <v>50</v>
      </c>
      <c r="D98" s="1186">
        <v>165</v>
      </c>
      <c r="E98" s="1186">
        <v>56</v>
      </c>
      <c r="F98" s="1186">
        <v>82</v>
      </c>
      <c r="G98" s="1186">
        <v>21</v>
      </c>
      <c r="H98" s="1186">
        <v>5</v>
      </c>
      <c r="I98" s="1186"/>
      <c r="J98" s="1186">
        <v>1</v>
      </c>
      <c r="K98" s="1186"/>
    </row>
    <row r="99" spans="1:11" x14ac:dyDescent="0.2">
      <c r="A99" s="1186" t="s">
        <v>496</v>
      </c>
      <c r="B99" s="1186" t="s">
        <v>13</v>
      </c>
      <c r="C99" s="1186" t="s">
        <v>51</v>
      </c>
      <c r="D99" s="1186">
        <v>300</v>
      </c>
      <c r="E99" s="1186">
        <v>108</v>
      </c>
      <c r="F99" s="1186">
        <v>147</v>
      </c>
      <c r="G99" s="1186">
        <v>43</v>
      </c>
      <c r="H99" s="1186">
        <v>2</v>
      </c>
      <c r="I99" s="1186"/>
      <c r="J99" s="1186"/>
      <c r="K99" s="1186"/>
    </row>
    <row r="100" spans="1:11" x14ac:dyDescent="0.2">
      <c r="A100" s="1186" t="s">
        <v>496</v>
      </c>
      <c r="B100" s="1186" t="s">
        <v>13</v>
      </c>
      <c r="C100" s="1186" t="s">
        <v>52</v>
      </c>
      <c r="D100" s="1186">
        <v>461</v>
      </c>
      <c r="E100" s="1186">
        <v>203</v>
      </c>
      <c r="F100" s="1186">
        <v>196</v>
      </c>
      <c r="G100" s="1186">
        <v>54</v>
      </c>
      <c r="H100" s="1186">
        <v>5</v>
      </c>
      <c r="I100" s="1186">
        <v>1</v>
      </c>
      <c r="J100" s="1186">
        <v>2</v>
      </c>
      <c r="K100" s="1186"/>
    </row>
    <row r="101" spans="1:11" x14ac:dyDescent="0.2">
      <c r="A101" s="1186" t="s">
        <v>496</v>
      </c>
      <c r="B101" s="1186" t="s">
        <v>15</v>
      </c>
      <c r="C101" s="1186" t="s">
        <v>23</v>
      </c>
      <c r="D101" s="1186">
        <v>559</v>
      </c>
      <c r="E101" s="1186">
        <v>133</v>
      </c>
      <c r="F101" s="1186">
        <v>146</v>
      </c>
      <c r="G101" s="1186">
        <v>277</v>
      </c>
      <c r="H101" s="1186">
        <v>2</v>
      </c>
      <c r="I101" s="1186"/>
      <c r="J101" s="1186">
        <v>1</v>
      </c>
      <c r="K101" s="1186"/>
    </row>
    <row r="102" spans="1:11" x14ac:dyDescent="0.2">
      <c r="A102" s="1186" t="s">
        <v>496</v>
      </c>
      <c r="B102" s="1186" t="s">
        <v>15</v>
      </c>
      <c r="C102" s="1186" t="s">
        <v>24</v>
      </c>
      <c r="D102" s="1186">
        <v>411</v>
      </c>
      <c r="E102" s="1186">
        <v>173</v>
      </c>
      <c r="F102" s="1186">
        <v>168</v>
      </c>
      <c r="G102" s="1186">
        <v>67</v>
      </c>
      <c r="H102" s="1186">
        <v>2</v>
      </c>
      <c r="I102" s="1186">
        <v>1</v>
      </c>
      <c r="J102" s="1186"/>
      <c r="K102" s="1186"/>
    </row>
    <row r="103" spans="1:11" x14ac:dyDescent="0.2">
      <c r="A103" s="1186" t="s">
        <v>496</v>
      </c>
      <c r="B103" s="1186" t="s">
        <v>15</v>
      </c>
      <c r="C103" s="1186" t="s">
        <v>25</v>
      </c>
      <c r="D103" s="1186">
        <v>181</v>
      </c>
      <c r="E103" s="1186">
        <v>56</v>
      </c>
      <c r="F103" s="1186">
        <v>100</v>
      </c>
      <c r="G103" s="1186">
        <v>23</v>
      </c>
      <c r="H103" s="1186">
        <v>2</v>
      </c>
      <c r="I103" s="1186"/>
      <c r="J103" s="1186"/>
      <c r="K103" s="1186"/>
    </row>
    <row r="104" spans="1:11" x14ac:dyDescent="0.2">
      <c r="A104" s="1186" t="s">
        <v>496</v>
      </c>
      <c r="B104" s="1186" t="s">
        <v>15</v>
      </c>
      <c r="C104" s="1186" t="s">
        <v>26</v>
      </c>
      <c r="D104" s="1186">
        <v>179</v>
      </c>
      <c r="E104" s="1186">
        <v>60</v>
      </c>
      <c r="F104" s="1186">
        <v>106</v>
      </c>
      <c r="G104" s="1186">
        <v>11</v>
      </c>
      <c r="H104" s="1186">
        <v>1</v>
      </c>
      <c r="I104" s="1186"/>
      <c r="J104" s="1186"/>
      <c r="K104" s="1186">
        <v>1</v>
      </c>
    </row>
    <row r="105" spans="1:11" x14ac:dyDescent="0.2">
      <c r="A105" s="1186" t="s">
        <v>496</v>
      </c>
      <c r="B105" s="1186" t="s">
        <v>15</v>
      </c>
      <c r="C105" s="1186" t="s">
        <v>619</v>
      </c>
      <c r="D105" s="1186">
        <v>1177</v>
      </c>
      <c r="E105" s="1186">
        <v>341</v>
      </c>
      <c r="F105" s="1186">
        <v>381</v>
      </c>
      <c r="G105" s="1186">
        <v>440</v>
      </c>
      <c r="H105" s="1186">
        <v>9</v>
      </c>
      <c r="I105" s="1186">
        <v>2</v>
      </c>
      <c r="J105" s="1186">
        <v>3</v>
      </c>
      <c r="K105" s="1186">
        <v>1</v>
      </c>
    </row>
    <row r="106" spans="1:11" x14ac:dyDescent="0.2">
      <c r="A106" s="1186" t="s">
        <v>496</v>
      </c>
      <c r="B106" s="1186" t="s">
        <v>15</v>
      </c>
      <c r="C106" s="1186" t="s">
        <v>27</v>
      </c>
      <c r="D106" s="1186">
        <v>80</v>
      </c>
      <c r="E106" s="1186">
        <v>38</v>
      </c>
      <c r="F106" s="1186">
        <v>32</v>
      </c>
      <c r="G106" s="1186">
        <v>8</v>
      </c>
      <c r="H106" s="1186">
        <v>1</v>
      </c>
      <c r="I106" s="1186">
        <v>1</v>
      </c>
      <c r="J106" s="1186"/>
      <c r="K106" s="1186"/>
    </row>
    <row r="107" spans="1:11" x14ac:dyDescent="0.2">
      <c r="A107" s="1186" t="s">
        <v>496</v>
      </c>
      <c r="B107" s="1186" t="s">
        <v>15</v>
      </c>
      <c r="C107" s="1186" t="s">
        <v>28</v>
      </c>
      <c r="D107" s="1186">
        <v>235</v>
      </c>
      <c r="E107" s="1186">
        <v>92</v>
      </c>
      <c r="F107" s="1186">
        <v>126</v>
      </c>
      <c r="G107" s="1186">
        <v>17</v>
      </c>
      <c r="H107" s="1186"/>
      <c r="I107" s="1186"/>
      <c r="J107" s="1186"/>
      <c r="K107" s="1186"/>
    </row>
    <row r="108" spans="1:11" x14ac:dyDescent="0.2">
      <c r="A108" s="1186" t="s">
        <v>496</v>
      </c>
      <c r="B108" s="1186" t="s">
        <v>15</v>
      </c>
      <c r="C108" s="1186" t="s">
        <v>29</v>
      </c>
      <c r="D108" s="1186">
        <v>384</v>
      </c>
      <c r="E108" s="1186">
        <v>67</v>
      </c>
      <c r="F108" s="1186">
        <v>241</v>
      </c>
      <c r="G108" s="1186">
        <v>74</v>
      </c>
      <c r="H108" s="1186">
        <v>2</v>
      </c>
      <c r="I108" s="1186"/>
      <c r="J108" s="1186"/>
      <c r="K108" s="1186"/>
    </row>
    <row r="109" spans="1:11" x14ac:dyDescent="0.2">
      <c r="A109" s="1186" t="s">
        <v>496</v>
      </c>
      <c r="B109" s="1186" t="s">
        <v>15</v>
      </c>
      <c r="C109" s="1186" t="s">
        <v>30</v>
      </c>
      <c r="D109" s="1186">
        <v>228</v>
      </c>
      <c r="E109" s="1186">
        <v>85</v>
      </c>
      <c r="F109" s="1186">
        <v>127</v>
      </c>
      <c r="G109" s="1186">
        <v>13</v>
      </c>
      <c r="H109" s="1186"/>
      <c r="I109" s="1186">
        <v>2</v>
      </c>
      <c r="J109" s="1186">
        <v>1</v>
      </c>
      <c r="K109" s="1186"/>
    </row>
    <row r="110" spans="1:11" x14ac:dyDescent="0.2">
      <c r="A110" s="1186" t="s">
        <v>496</v>
      </c>
      <c r="B110" s="1186" t="s">
        <v>15</v>
      </c>
      <c r="C110" s="1186" t="s">
        <v>31</v>
      </c>
      <c r="D110" s="1186">
        <v>153</v>
      </c>
      <c r="E110" s="1186">
        <v>68</v>
      </c>
      <c r="F110" s="1186">
        <v>68</v>
      </c>
      <c r="G110" s="1186">
        <v>14</v>
      </c>
      <c r="H110" s="1186">
        <v>3</v>
      </c>
      <c r="I110" s="1186"/>
      <c r="J110" s="1186"/>
      <c r="K110" s="1186"/>
    </row>
    <row r="111" spans="1:11" x14ac:dyDescent="0.2">
      <c r="A111" s="1186" t="s">
        <v>496</v>
      </c>
      <c r="B111" s="1186" t="s">
        <v>15</v>
      </c>
      <c r="C111" s="1186" t="s">
        <v>32</v>
      </c>
      <c r="D111" s="1186">
        <v>185</v>
      </c>
      <c r="E111" s="1186">
        <v>69</v>
      </c>
      <c r="F111" s="1186">
        <v>96</v>
      </c>
      <c r="G111" s="1186">
        <v>17</v>
      </c>
      <c r="H111" s="1186">
        <v>2</v>
      </c>
      <c r="I111" s="1186"/>
      <c r="J111" s="1186">
        <v>1</v>
      </c>
      <c r="K111" s="1186"/>
    </row>
    <row r="112" spans="1:11" x14ac:dyDescent="0.2">
      <c r="A112" s="1186" t="s">
        <v>496</v>
      </c>
      <c r="B112" s="1186" t="s">
        <v>15</v>
      </c>
      <c r="C112" s="1186" t="s">
        <v>33</v>
      </c>
      <c r="D112" s="1186">
        <v>137</v>
      </c>
      <c r="E112" s="1186">
        <v>52</v>
      </c>
      <c r="F112" s="1186">
        <v>72</v>
      </c>
      <c r="G112" s="1186">
        <v>11</v>
      </c>
      <c r="H112" s="1186">
        <v>1</v>
      </c>
      <c r="I112" s="1186">
        <v>1</v>
      </c>
      <c r="J112" s="1186"/>
      <c r="K112" s="1186"/>
    </row>
    <row r="113" spans="1:11" x14ac:dyDescent="0.2">
      <c r="A113" s="1186" t="s">
        <v>496</v>
      </c>
      <c r="B113" s="1186" t="s">
        <v>15</v>
      </c>
      <c r="C113" s="1186" t="s">
        <v>34</v>
      </c>
      <c r="D113" s="1186">
        <v>215</v>
      </c>
      <c r="E113" s="1186">
        <v>71</v>
      </c>
      <c r="F113" s="1186">
        <v>112</v>
      </c>
      <c r="G113" s="1186">
        <v>28</v>
      </c>
      <c r="H113" s="1186">
        <v>3</v>
      </c>
      <c r="I113" s="1186">
        <v>1</v>
      </c>
      <c r="J113" s="1186"/>
      <c r="K113" s="1186"/>
    </row>
    <row r="114" spans="1:11" x14ac:dyDescent="0.2">
      <c r="A114" s="1186" t="s">
        <v>496</v>
      </c>
      <c r="B114" s="1186" t="s">
        <v>15</v>
      </c>
      <c r="C114" s="1186" t="s">
        <v>35</v>
      </c>
      <c r="D114" s="1186">
        <v>616</v>
      </c>
      <c r="E114" s="1186">
        <v>210</v>
      </c>
      <c r="F114" s="1186">
        <v>319</v>
      </c>
      <c r="G114" s="1186">
        <v>82</v>
      </c>
      <c r="H114" s="1186">
        <v>5</v>
      </c>
      <c r="I114" s="1186"/>
      <c r="J114" s="1186"/>
      <c r="K114" s="1186"/>
    </row>
    <row r="115" spans="1:11" x14ac:dyDescent="0.2">
      <c r="A115" s="1186" t="s">
        <v>496</v>
      </c>
      <c r="B115" s="1186" t="s">
        <v>15</v>
      </c>
      <c r="C115" s="1186" t="s">
        <v>36</v>
      </c>
      <c r="D115" s="1186">
        <v>1873</v>
      </c>
      <c r="E115" s="1186">
        <v>368</v>
      </c>
      <c r="F115" s="1186">
        <v>770</v>
      </c>
      <c r="G115" s="1186">
        <v>703</v>
      </c>
      <c r="H115" s="1186">
        <v>22</v>
      </c>
      <c r="I115" s="1186">
        <v>1</v>
      </c>
      <c r="J115" s="1186">
        <v>8</v>
      </c>
      <c r="K115" s="1186">
        <v>1</v>
      </c>
    </row>
    <row r="116" spans="1:11" x14ac:dyDescent="0.2">
      <c r="A116" s="1186" t="s">
        <v>496</v>
      </c>
      <c r="B116" s="1186" t="s">
        <v>15</v>
      </c>
      <c r="C116" s="1186" t="s">
        <v>37</v>
      </c>
      <c r="D116" s="1186">
        <v>353</v>
      </c>
      <c r="E116" s="1186">
        <v>160</v>
      </c>
      <c r="F116" s="1186">
        <v>146</v>
      </c>
      <c r="G116" s="1186">
        <v>33</v>
      </c>
      <c r="H116" s="1186">
        <v>9</v>
      </c>
      <c r="I116" s="1186">
        <v>4</v>
      </c>
      <c r="J116" s="1186">
        <v>1</v>
      </c>
      <c r="K116" s="1186"/>
    </row>
    <row r="117" spans="1:11" x14ac:dyDescent="0.2">
      <c r="A117" s="1186" t="s">
        <v>496</v>
      </c>
      <c r="B117" s="1186" t="s">
        <v>15</v>
      </c>
      <c r="C117" s="1186" t="s">
        <v>38</v>
      </c>
      <c r="D117" s="1186">
        <v>180</v>
      </c>
      <c r="E117" s="1186">
        <v>69</v>
      </c>
      <c r="F117" s="1186">
        <v>74</v>
      </c>
      <c r="G117" s="1186">
        <v>35</v>
      </c>
      <c r="H117" s="1186">
        <v>2</v>
      </c>
      <c r="I117" s="1186"/>
      <c r="J117" s="1186"/>
      <c r="K117" s="1186"/>
    </row>
    <row r="118" spans="1:11" x14ac:dyDescent="0.2">
      <c r="A118" s="1186" t="s">
        <v>496</v>
      </c>
      <c r="B118" s="1186" t="s">
        <v>15</v>
      </c>
      <c r="C118" s="1186" t="s">
        <v>39</v>
      </c>
      <c r="D118" s="1186">
        <v>164</v>
      </c>
      <c r="E118" s="1186">
        <v>77</v>
      </c>
      <c r="F118" s="1186">
        <v>67</v>
      </c>
      <c r="G118" s="1186">
        <v>16</v>
      </c>
      <c r="H118" s="1186">
        <v>3</v>
      </c>
      <c r="I118" s="1186">
        <v>1</v>
      </c>
      <c r="J118" s="1186"/>
      <c r="K118" s="1186"/>
    </row>
    <row r="119" spans="1:11" x14ac:dyDescent="0.2">
      <c r="A119" s="1186" t="s">
        <v>496</v>
      </c>
      <c r="B119" s="1186" t="s">
        <v>15</v>
      </c>
      <c r="C119" s="1186" t="s">
        <v>40</v>
      </c>
      <c r="D119" s="1186">
        <v>125</v>
      </c>
      <c r="E119" s="1186">
        <v>54</v>
      </c>
      <c r="F119" s="1186">
        <v>58</v>
      </c>
      <c r="G119" s="1186">
        <v>12</v>
      </c>
      <c r="H119" s="1186">
        <v>1</v>
      </c>
      <c r="I119" s="1186"/>
      <c r="J119" s="1186"/>
      <c r="K119" s="1186"/>
    </row>
    <row r="120" spans="1:11" x14ac:dyDescent="0.2">
      <c r="A120" s="1186" t="s">
        <v>496</v>
      </c>
      <c r="B120" s="1186" t="s">
        <v>15</v>
      </c>
      <c r="C120" s="1186" t="s">
        <v>295</v>
      </c>
      <c r="D120" s="1186">
        <v>65</v>
      </c>
      <c r="E120" s="1186">
        <v>27</v>
      </c>
      <c r="F120" s="1186">
        <v>29</v>
      </c>
      <c r="G120" s="1186">
        <v>4</v>
      </c>
      <c r="H120" s="1186">
        <v>4</v>
      </c>
      <c r="I120" s="1186">
        <v>1</v>
      </c>
      <c r="J120" s="1186"/>
      <c r="K120" s="1186"/>
    </row>
    <row r="121" spans="1:11" x14ac:dyDescent="0.2">
      <c r="A121" s="1186" t="s">
        <v>496</v>
      </c>
      <c r="B121" s="1186" t="s">
        <v>15</v>
      </c>
      <c r="C121" s="1186" t="s">
        <v>41</v>
      </c>
      <c r="D121" s="1186">
        <v>254</v>
      </c>
      <c r="E121" s="1186">
        <v>82</v>
      </c>
      <c r="F121" s="1186">
        <v>151</v>
      </c>
      <c r="G121" s="1186">
        <v>20</v>
      </c>
      <c r="H121" s="1186">
        <v>1</v>
      </c>
      <c r="I121" s="1186"/>
      <c r="J121" s="1186"/>
      <c r="K121" s="1186"/>
    </row>
    <row r="122" spans="1:11" x14ac:dyDescent="0.2">
      <c r="A122" s="1186" t="s">
        <v>496</v>
      </c>
      <c r="B122" s="1186" t="s">
        <v>15</v>
      </c>
      <c r="C122" s="1186" t="s">
        <v>42</v>
      </c>
      <c r="D122" s="1186">
        <v>710</v>
      </c>
      <c r="E122" s="1186">
        <v>206</v>
      </c>
      <c r="F122" s="1186">
        <v>413</v>
      </c>
      <c r="G122" s="1186">
        <v>82</v>
      </c>
      <c r="H122" s="1186">
        <v>5</v>
      </c>
      <c r="I122" s="1186">
        <v>3</v>
      </c>
      <c r="J122" s="1186">
        <v>1</v>
      </c>
      <c r="K122" s="1186"/>
    </row>
    <row r="123" spans="1:11" x14ac:dyDescent="0.2">
      <c r="A123" s="1186" t="s">
        <v>496</v>
      </c>
      <c r="B123" s="1186" t="s">
        <v>15</v>
      </c>
      <c r="C123" s="1186" t="s">
        <v>43</v>
      </c>
      <c r="D123" s="1186">
        <v>31</v>
      </c>
      <c r="E123" s="1186">
        <v>17</v>
      </c>
      <c r="F123" s="1186">
        <v>10</v>
      </c>
      <c r="G123" s="1186">
        <v>4</v>
      </c>
      <c r="H123" s="1186"/>
      <c r="I123" s="1186"/>
      <c r="J123" s="1186"/>
      <c r="K123" s="1186"/>
    </row>
    <row r="124" spans="1:11" x14ac:dyDescent="0.2">
      <c r="A124" s="1186" t="s">
        <v>496</v>
      </c>
      <c r="B124" s="1186" t="s">
        <v>15</v>
      </c>
      <c r="C124" s="1186" t="s">
        <v>44</v>
      </c>
      <c r="D124" s="1186">
        <v>261</v>
      </c>
      <c r="E124" s="1186">
        <v>72</v>
      </c>
      <c r="F124" s="1186">
        <v>136</v>
      </c>
      <c r="G124" s="1186">
        <v>49</v>
      </c>
      <c r="H124" s="1186">
        <v>3</v>
      </c>
      <c r="I124" s="1186">
        <v>1</v>
      </c>
      <c r="J124" s="1186"/>
      <c r="K124" s="1186"/>
    </row>
    <row r="125" spans="1:11" x14ac:dyDescent="0.2">
      <c r="A125" s="1186" t="s">
        <v>496</v>
      </c>
      <c r="B125" s="1186" t="s">
        <v>15</v>
      </c>
      <c r="C125" s="1186" t="s">
        <v>45</v>
      </c>
      <c r="D125" s="1186">
        <v>423</v>
      </c>
      <c r="E125" s="1186">
        <v>105</v>
      </c>
      <c r="F125" s="1186">
        <v>250</v>
      </c>
      <c r="G125" s="1186">
        <v>61</v>
      </c>
      <c r="H125" s="1186">
        <v>2</v>
      </c>
      <c r="I125" s="1186">
        <v>2</v>
      </c>
      <c r="J125" s="1186">
        <v>2</v>
      </c>
      <c r="K125" s="1186">
        <v>1</v>
      </c>
    </row>
    <row r="126" spans="1:11" x14ac:dyDescent="0.2">
      <c r="A126" s="1186" t="s">
        <v>496</v>
      </c>
      <c r="B126" s="1186" t="s">
        <v>15</v>
      </c>
      <c r="C126" s="1186" t="s">
        <v>46</v>
      </c>
      <c r="D126" s="1186">
        <v>192</v>
      </c>
      <c r="E126" s="1186">
        <v>76</v>
      </c>
      <c r="F126" s="1186">
        <v>95</v>
      </c>
      <c r="G126" s="1186">
        <v>18</v>
      </c>
      <c r="H126" s="1186">
        <v>1</v>
      </c>
      <c r="I126" s="1186"/>
      <c r="J126" s="1186">
        <v>2</v>
      </c>
      <c r="K126" s="1186"/>
    </row>
    <row r="127" spans="1:11" x14ac:dyDescent="0.2">
      <c r="A127" s="1186" t="s">
        <v>496</v>
      </c>
      <c r="B127" s="1186" t="s">
        <v>15</v>
      </c>
      <c r="C127" s="1186" t="s">
        <v>47</v>
      </c>
      <c r="D127" s="1186">
        <v>30</v>
      </c>
      <c r="E127" s="1186">
        <v>11</v>
      </c>
      <c r="F127" s="1186">
        <v>13</v>
      </c>
      <c r="G127" s="1186">
        <v>6</v>
      </c>
      <c r="H127" s="1186"/>
      <c r="I127" s="1186"/>
      <c r="J127" s="1186"/>
      <c r="K127" s="1186"/>
    </row>
    <row r="128" spans="1:11" x14ac:dyDescent="0.2">
      <c r="A128" s="1186" t="s">
        <v>496</v>
      </c>
      <c r="B128" s="1186" t="s">
        <v>15</v>
      </c>
      <c r="C128" s="1186" t="s">
        <v>48</v>
      </c>
      <c r="D128" s="1186">
        <v>212</v>
      </c>
      <c r="E128" s="1186">
        <v>64</v>
      </c>
      <c r="F128" s="1186">
        <v>126</v>
      </c>
      <c r="G128" s="1186">
        <v>16</v>
      </c>
      <c r="H128" s="1186">
        <v>2</v>
      </c>
      <c r="I128" s="1186">
        <v>3</v>
      </c>
      <c r="J128" s="1186">
        <v>1</v>
      </c>
      <c r="K128" s="1186"/>
    </row>
    <row r="129" spans="1:11" x14ac:dyDescent="0.2">
      <c r="A129" s="1186" t="s">
        <v>496</v>
      </c>
      <c r="B129" s="1186" t="s">
        <v>15</v>
      </c>
      <c r="C129" s="1186" t="s">
        <v>49</v>
      </c>
      <c r="D129" s="1186">
        <v>596</v>
      </c>
      <c r="E129" s="1186">
        <v>200</v>
      </c>
      <c r="F129" s="1186">
        <v>308</v>
      </c>
      <c r="G129" s="1186">
        <v>85</v>
      </c>
      <c r="H129" s="1186">
        <v>2</v>
      </c>
      <c r="I129" s="1186">
        <v>1</v>
      </c>
      <c r="J129" s="1186"/>
      <c r="K129" s="1186"/>
    </row>
    <row r="130" spans="1:11" x14ac:dyDescent="0.2">
      <c r="A130" s="1186" t="s">
        <v>496</v>
      </c>
      <c r="B130" s="1186" t="s">
        <v>15</v>
      </c>
      <c r="C130" s="1186" t="s">
        <v>50</v>
      </c>
      <c r="D130" s="1186">
        <v>135</v>
      </c>
      <c r="E130" s="1186">
        <v>38</v>
      </c>
      <c r="F130" s="1186">
        <v>72</v>
      </c>
      <c r="G130" s="1186">
        <v>24</v>
      </c>
      <c r="H130" s="1186">
        <v>1</v>
      </c>
      <c r="I130" s="1186"/>
      <c r="J130" s="1186"/>
      <c r="K130" s="1186"/>
    </row>
    <row r="131" spans="1:11" x14ac:dyDescent="0.2">
      <c r="A131" s="1186" t="s">
        <v>496</v>
      </c>
      <c r="B131" s="1186" t="s">
        <v>15</v>
      </c>
      <c r="C131" s="1186" t="s">
        <v>51</v>
      </c>
      <c r="D131" s="1186">
        <v>272</v>
      </c>
      <c r="E131" s="1186">
        <v>91</v>
      </c>
      <c r="F131" s="1186">
        <v>123</v>
      </c>
      <c r="G131" s="1186">
        <v>57</v>
      </c>
      <c r="H131" s="1186">
        <v>1</v>
      </c>
      <c r="I131" s="1186"/>
      <c r="J131" s="1186"/>
      <c r="K131" s="1186"/>
    </row>
    <row r="132" spans="1:11" x14ac:dyDescent="0.2">
      <c r="A132" s="1186" t="s">
        <v>496</v>
      </c>
      <c r="B132" s="1186" t="s">
        <v>15</v>
      </c>
      <c r="C132" s="1186" t="s">
        <v>52</v>
      </c>
      <c r="D132" s="1186">
        <v>370</v>
      </c>
      <c r="E132" s="1186">
        <v>121</v>
      </c>
      <c r="F132" s="1186">
        <v>190</v>
      </c>
      <c r="G132" s="1186">
        <v>48</v>
      </c>
      <c r="H132" s="1186">
        <v>9</v>
      </c>
      <c r="I132" s="1186">
        <v>2</v>
      </c>
      <c r="J132" s="1186"/>
      <c r="K132" s="1186"/>
    </row>
    <row r="133" spans="1:11" x14ac:dyDescent="0.2">
      <c r="A133" s="1186" t="s">
        <v>496</v>
      </c>
      <c r="B133" s="1186" t="s">
        <v>17</v>
      </c>
      <c r="C133" s="1186" t="s">
        <v>23</v>
      </c>
      <c r="D133" s="1186">
        <v>556</v>
      </c>
      <c r="E133" s="1186">
        <v>143</v>
      </c>
      <c r="F133" s="1186">
        <v>158</v>
      </c>
      <c r="G133" s="1186">
        <v>247</v>
      </c>
      <c r="H133" s="1186">
        <v>6</v>
      </c>
      <c r="I133" s="1186"/>
      <c r="J133" s="1186">
        <v>2</v>
      </c>
      <c r="K133" s="1186"/>
    </row>
    <row r="134" spans="1:11" x14ac:dyDescent="0.2">
      <c r="A134" s="1186" t="s">
        <v>496</v>
      </c>
      <c r="B134" s="1186" t="s">
        <v>17</v>
      </c>
      <c r="C134" s="1186" t="s">
        <v>24</v>
      </c>
      <c r="D134" s="1186">
        <v>408</v>
      </c>
      <c r="E134" s="1186">
        <v>164</v>
      </c>
      <c r="F134" s="1186">
        <v>192</v>
      </c>
      <c r="G134" s="1186">
        <v>47</v>
      </c>
      <c r="H134" s="1186">
        <v>4</v>
      </c>
      <c r="I134" s="1186">
        <v>1</v>
      </c>
      <c r="J134" s="1186"/>
      <c r="K134" s="1186"/>
    </row>
    <row r="135" spans="1:11" x14ac:dyDescent="0.2">
      <c r="A135" s="1186" t="s">
        <v>496</v>
      </c>
      <c r="B135" s="1186" t="s">
        <v>17</v>
      </c>
      <c r="C135" s="1186" t="s">
        <v>25</v>
      </c>
      <c r="D135" s="1186">
        <v>170</v>
      </c>
      <c r="E135" s="1186">
        <v>56</v>
      </c>
      <c r="F135" s="1186">
        <v>94</v>
      </c>
      <c r="G135" s="1186">
        <v>18</v>
      </c>
      <c r="H135" s="1186">
        <v>2</v>
      </c>
      <c r="I135" s="1186"/>
      <c r="J135" s="1186"/>
      <c r="K135" s="1186"/>
    </row>
    <row r="136" spans="1:11" x14ac:dyDescent="0.2">
      <c r="A136" s="1186" t="s">
        <v>496</v>
      </c>
      <c r="B136" s="1186" t="s">
        <v>17</v>
      </c>
      <c r="C136" s="1186" t="s">
        <v>26</v>
      </c>
      <c r="D136" s="1186">
        <v>173</v>
      </c>
      <c r="E136" s="1186">
        <v>55</v>
      </c>
      <c r="F136" s="1186">
        <v>105</v>
      </c>
      <c r="G136" s="1186">
        <v>12</v>
      </c>
      <c r="H136" s="1186">
        <v>1</v>
      </c>
      <c r="I136" s="1186"/>
      <c r="J136" s="1186"/>
      <c r="K136" s="1186"/>
    </row>
    <row r="137" spans="1:11" x14ac:dyDescent="0.2">
      <c r="A137" s="1186" t="s">
        <v>496</v>
      </c>
      <c r="B137" s="1186" t="s">
        <v>17</v>
      </c>
      <c r="C137" s="1186" t="s">
        <v>619</v>
      </c>
      <c r="D137" s="1186">
        <v>1161</v>
      </c>
      <c r="E137" s="1186">
        <v>398</v>
      </c>
      <c r="F137" s="1186">
        <v>370</v>
      </c>
      <c r="G137" s="1186">
        <v>377</v>
      </c>
      <c r="H137" s="1186">
        <v>9</v>
      </c>
      <c r="I137" s="1186">
        <v>3</v>
      </c>
      <c r="J137" s="1186">
        <v>4</v>
      </c>
      <c r="K137" s="1186"/>
    </row>
    <row r="138" spans="1:11" x14ac:dyDescent="0.2">
      <c r="A138" s="1186" t="s">
        <v>496</v>
      </c>
      <c r="B138" s="1186" t="s">
        <v>17</v>
      </c>
      <c r="C138" s="1186" t="s">
        <v>27</v>
      </c>
      <c r="D138" s="1186">
        <v>93</v>
      </c>
      <c r="E138" s="1186">
        <v>57</v>
      </c>
      <c r="F138" s="1186">
        <v>24</v>
      </c>
      <c r="G138" s="1186">
        <v>10</v>
      </c>
      <c r="H138" s="1186">
        <v>2</v>
      </c>
      <c r="I138" s="1186"/>
      <c r="J138" s="1186"/>
      <c r="K138" s="1186"/>
    </row>
    <row r="139" spans="1:11" x14ac:dyDescent="0.2">
      <c r="A139" s="1186" t="s">
        <v>496</v>
      </c>
      <c r="B139" s="1186" t="s">
        <v>17</v>
      </c>
      <c r="C139" s="1186" t="s">
        <v>28</v>
      </c>
      <c r="D139" s="1186">
        <v>244</v>
      </c>
      <c r="E139" s="1186">
        <v>109</v>
      </c>
      <c r="F139" s="1186">
        <v>113</v>
      </c>
      <c r="G139" s="1186">
        <v>19</v>
      </c>
      <c r="H139" s="1186">
        <v>1</v>
      </c>
      <c r="I139" s="1186"/>
      <c r="J139" s="1186">
        <v>1</v>
      </c>
      <c r="K139" s="1186">
        <v>1</v>
      </c>
    </row>
    <row r="140" spans="1:11" x14ac:dyDescent="0.2">
      <c r="A140" s="1186" t="s">
        <v>496</v>
      </c>
      <c r="B140" s="1186" t="s">
        <v>17</v>
      </c>
      <c r="C140" s="1186" t="s">
        <v>29</v>
      </c>
      <c r="D140" s="1186">
        <v>321</v>
      </c>
      <c r="E140" s="1186">
        <v>56</v>
      </c>
      <c r="F140" s="1186">
        <v>184</v>
      </c>
      <c r="G140" s="1186">
        <v>80</v>
      </c>
      <c r="H140" s="1186">
        <v>1</v>
      </c>
      <c r="I140" s="1186"/>
      <c r="J140" s="1186"/>
      <c r="K140" s="1186"/>
    </row>
    <row r="141" spans="1:11" x14ac:dyDescent="0.2">
      <c r="A141" s="1186" t="s">
        <v>496</v>
      </c>
      <c r="B141" s="1186" t="s">
        <v>17</v>
      </c>
      <c r="C141" s="1186" t="s">
        <v>30</v>
      </c>
      <c r="D141" s="1186">
        <v>217</v>
      </c>
      <c r="E141" s="1186">
        <v>79</v>
      </c>
      <c r="F141" s="1186">
        <v>116</v>
      </c>
      <c r="G141" s="1186">
        <v>15</v>
      </c>
      <c r="H141" s="1186">
        <v>4</v>
      </c>
      <c r="I141" s="1186">
        <v>2</v>
      </c>
      <c r="J141" s="1186">
        <v>1</v>
      </c>
      <c r="K141" s="1186"/>
    </row>
    <row r="142" spans="1:11" x14ac:dyDescent="0.2">
      <c r="A142" s="1186" t="s">
        <v>496</v>
      </c>
      <c r="B142" s="1186" t="s">
        <v>17</v>
      </c>
      <c r="C142" s="1186" t="s">
        <v>31</v>
      </c>
      <c r="D142" s="1186">
        <v>124</v>
      </c>
      <c r="E142" s="1186">
        <v>59</v>
      </c>
      <c r="F142" s="1186">
        <v>45</v>
      </c>
      <c r="G142" s="1186">
        <v>15</v>
      </c>
      <c r="H142" s="1186">
        <v>3</v>
      </c>
      <c r="I142" s="1186">
        <v>1</v>
      </c>
      <c r="J142" s="1186">
        <v>1</v>
      </c>
      <c r="K142" s="1186"/>
    </row>
    <row r="143" spans="1:11" x14ac:dyDescent="0.2">
      <c r="A143" s="1186" t="s">
        <v>496</v>
      </c>
      <c r="B143" s="1186" t="s">
        <v>17</v>
      </c>
      <c r="C143" s="1186" t="s">
        <v>32</v>
      </c>
      <c r="D143" s="1186">
        <v>172</v>
      </c>
      <c r="E143" s="1186">
        <v>60</v>
      </c>
      <c r="F143" s="1186">
        <v>88</v>
      </c>
      <c r="G143" s="1186">
        <v>23</v>
      </c>
      <c r="H143" s="1186">
        <v>1</v>
      </c>
      <c r="I143" s="1186"/>
      <c r="J143" s="1186"/>
      <c r="K143" s="1186"/>
    </row>
    <row r="144" spans="1:11" x14ac:dyDescent="0.2">
      <c r="A144" s="1186" t="s">
        <v>496</v>
      </c>
      <c r="B144" s="1186" t="s">
        <v>17</v>
      </c>
      <c r="C144" s="1186" t="s">
        <v>33</v>
      </c>
      <c r="D144" s="1186">
        <v>120</v>
      </c>
      <c r="E144" s="1186">
        <v>51</v>
      </c>
      <c r="F144" s="1186">
        <v>58</v>
      </c>
      <c r="G144" s="1186">
        <v>8</v>
      </c>
      <c r="H144" s="1186">
        <v>2</v>
      </c>
      <c r="I144" s="1186"/>
      <c r="J144" s="1186">
        <v>1</v>
      </c>
      <c r="K144" s="1186"/>
    </row>
    <row r="145" spans="1:11" x14ac:dyDescent="0.2">
      <c r="A145" s="1186" t="s">
        <v>496</v>
      </c>
      <c r="B145" s="1186" t="s">
        <v>17</v>
      </c>
      <c r="C145" s="1186" t="s">
        <v>34</v>
      </c>
      <c r="D145" s="1186">
        <v>280</v>
      </c>
      <c r="E145" s="1186">
        <v>101</v>
      </c>
      <c r="F145" s="1186">
        <v>140</v>
      </c>
      <c r="G145" s="1186">
        <v>34</v>
      </c>
      <c r="H145" s="1186">
        <v>5</v>
      </c>
      <c r="I145" s="1186"/>
      <c r="J145" s="1186"/>
      <c r="K145" s="1186"/>
    </row>
    <row r="146" spans="1:11" x14ac:dyDescent="0.2">
      <c r="A146" s="1186" t="s">
        <v>496</v>
      </c>
      <c r="B146" s="1186" t="s">
        <v>17</v>
      </c>
      <c r="C146" s="1186" t="s">
        <v>35</v>
      </c>
      <c r="D146" s="1186">
        <v>498</v>
      </c>
      <c r="E146" s="1186">
        <v>174</v>
      </c>
      <c r="F146" s="1186">
        <v>250</v>
      </c>
      <c r="G146" s="1186">
        <v>62</v>
      </c>
      <c r="H146" s="1186">
        <v>10</v>
      </c>
      <c r="I146" s="1186">
        <v>2</v>
      </c>
      <c r="J146" s="1186"/>
      <c r="K146" s="1186"/>
    </row>
    <row r="147" spans="1:11" x14ac:dyDescent="0.2">
      <c r="A147" s="1186" t="s">
        <v>496</v>
      </c>
      <c r="B147" s="1186" t="s">
        <v>17</v>
      </c>
      <c r="C147" s="1186" t="s">
        <v>36</v>
      </c>
      <c r="D147" s="1186">
        <v>1679</v>
      </c>
      <c r="E147" s="1186">
        <v>320</v>
      </c>
      <c r="F147" s="1186">
        <v>681</v>
      </c>
      <c r="G147" s="1186">
        <v>647</v>
      </c>
      <c r="H147" s="1186">
        <v>26</v>
      </c>
      <c r="I147" s="1186">
        <v>3</v>
      </c>
      <c r="J147" s="1186">
        <v>2</v>
      </c>
      <c r="K147" s="1186"/>
    </row>
    <row r="148" spans="1:11" x14ac:dyDescent="0.2">
      <c r="A148" s="1186" t="s">
        <v>496</v>
      </c>
      <c r="B148" s="1186" t="s">
        <v>17</v>
      </c>
      <c r="C148" s="1186" t="s">
        <v>37</v>
      </c>
      <c r="D148" s="1186">
        <v>364</v>
      </c>
      <c r="E148" s="1186">
        <v>146</v>
      </c>
      <c r="F148" s="1186">
        <v>177</v>
      </c>
      <c r="G148" s="1186">
        <v>28</v>
      </c>
      <c r="H148" s="1186">
        <v>9</v>
      </c>
      <c r="I148" s="1186">
        <v>1</v>
      </c>
      <c r="J148" s="1186">
        <v>2</v>
      </c>
      <c r="K148" s="1186">
        <v>1</v>
      </c>
    </row>
    <row r="149" spans="1:11" x14ac:dyDescent="0.2">
      <c r="A149" s="1186" t="s">
        <v>496</v>
      </c>
      <c r="B149" s="1186" t="s">
        <v>17</v>
      </c>
      <c r="C149" s="1186" t="s">
        <v>38</v>
      </c>
      <c r="D149" s="1186">
        <v>187</v>
      </c>
      <c r="E149" s="1186">
        <v>57</v>
      </c>
      <c r="F149" s="1186">
        <v>89</v>
      </c>
      <c r="G149" s="1186">
        <v>35</v>
      </c>
      <c r="H149" s="1186">
        <v>5</v>
      </c>
      <c r="I149" s="1186"/>
      <c r="J149" s="1186"/>
      <c r="K149" s="1186">
        <v>1</v>
      </c>
    </row>
    <row r="150" spans="1:11" x14ac:dyDescent="0.2">
      <c r="A150" s="1186" t="s">
        <v>496</v>
      </c>
      <c r="B150" s="1186" t="s">
        <v>17</v>
      </c>
      <c r="C150" s="1186" t="s">
        <v>39</v>
      </c>
      <c r="D150" s="1186">
        <v>151</v>
      </c>
      <c r="E150" s="1186">
        <v>86</v>
      </c>
      <c r="F150" s="1186">
        <v>52</v>
      </c>
      <c r="G150" s="1186">
        <v>11</v>
      </c>
      <c r="H150" s="1186">
        <v>1</v>
      </c>
      <c r="I150" s="1186">
        <v>1</v>
      </c>
      <c r="J150" s="1186"/>
      <c r="K150" s="1186"/>
    </row>
    <row r="151" spans="1:11" x14ac:dyDescent="0.2">
      <c r="A151" s="1186" t="s">
        <v>496</v>
      </c>
      <c r="B151" s="1186" t="s">
        <v>17</v>
      </c>
      <c r="C151" s="1186" t="s">
        <v>40</v>
      </c>
      <c r="D151" s="1186">
        <v>162</v>
      </c>
      <c r="E151" s="1186">
        <v>61</v>
      </c>
      <c r="F151" s="1186">
        <v>64</v>
      </c>
      <c r="G151" s="1186">
        <v>29</v>
      </c>
      <c r="H151" s="1186">
        <v>7</v>
      </c>
      <c r="I151" s="1186">
        <v>1</v>
      </c>
      <c r="J151" s="1186"/>
      <c r="K151" s="1186"/>
    </row>
    <row r="152" spans="1:11" x14ac:dyDescent="0.2">
      <c r="A152" s="1186" t="s">
        <v>496</v>
      </c>
      <c r="B152" s="1186" t="s">
        <v>17</v>
      </c>
      <c r="C152" s="1186" t="s">
        <v>295</v>
      </c>
      <c r="D152" s="1186">
        <v>32</v>
      </c>
      <c r="E152" s="1186">
        <v>13</v>
      </c>
      <c r="F152" s="1186">
        <v>17</v>
      </c>
      <c r="G152" s="1186">
        <v>2</v>
      </c>
      <c r="H152" s="1186"/>
      <c r="I152" s="1186"/>
      <c r="J152" s="1186"/>
      <c r="K152" s="1186"/>
    </row>
    <row r="153" spans="1:11" x14ac:dyDescent="0.2">
      <c r="A153" s="1186" t="s">
        <v>496</v>
      </c>
      <c r="B153" s="1186" t="s">
        <v>17</v>
      </c>
      <c r="C153" s="1186" t="s">
        <v>41</v>
      </c>
      <c r="D153" s="1186">
        <v>234</v>
      </c>
      <c r="E153" s="1186">
        <v>83</v>
      </c>
      <c r="F153" s="1186">
        <v>116</v>
      </c>
      <c r="G153" s="1186">
        <v>33</v>
      </c>
      <c r="H153" s="1186">
        <v>2</v>
      </c>
      <c r="I153" s="1186"/>
      <c r="J153" s="1186"/>
      <c r="K153" s="1186"/>
    </row>
    <row r="154" spans="1:11" x14ac:dyDescent="0.2">
      <c r="A154" s="1186" t="s">
        <v>496</v>
      </c>
      <c r="B154" s="1186" t="s">
        <v>17</v>
      </c>
      <c r="C154" s="1186" t="s">
        <v>42</v>
      </c>
      <c r="D154" s="1186">
        <v>670</v>
      </c>
      <c r="E154" s="1186">
        <v>211</v>
      </c>
      <c r="F154" s="1186">
        <v>351</v>
      </c>
      <c r="G154" s="1186">
        <v>101</v>
      </c>
      <c r="H154" s="1186">
        <v>6</v>
      </c>
      <c r="I154" s="1186"/>
      <c r="J154" s="1186">
        <v>1</v>
      </c>
      <c r="K154" s="1186"/>
    </row>
    <row r="155" spans="1:11" x14ac:dyDescent="0.2">
      <c r="A155" s="1186" t="s">
        <v>496</v>
      </c>
      <c r="B155" s="1186" t="s">
        <v>17</v>
      </c>
      <c r="C155" s="1186" t="s">
        <v>43</v>
      </c>
      <c r="D155" s="1186">
        <v>28</v>
      </c>
      <c r="E155" s="1186">
        <v>18</v>
      </c>
      <c r="F155" s="1186">
        <v>6</v>
      </c>
      <c r="G155" s="1186">
        <v>4</v>
      </c>
      <c r="H155" s="1186"/>
      <c r="I155" s="1186"/>
      <c r="J155" s="1186"/>
      <c r="K155" s="1186"/>
    </row>
    <row r="156" spans="1:11" x14ac:dyDescent="0.2">
      <c r="A156" s="1186" t="s">
        <v>496</v>
      </c>
      <c r="B156" s="1186" t="s">
        <v>17</v>
      </c>
      <c r="C156" s="1186" t="s">
        <v>44</v>
      </c>
      <c r="D156" s="1186">
        <v>224</v>
      </c>
      <c r="E156" s="1186">
        <v>62</v>
      </c>
      <c r="F156" s="1186">
        <v>127</v>
      </c>
      <c r="G156" s="1186">
        <v>34</v>
      </c>
      <c r="H156" s="1186">
        <v>1</v>
      </c>
      <c r="I156" s="1186"/>
      <c r="J156" s="1186"/>
      <c r="K156" s="1186"/>
    </row>
    <row r="157" spans="1:11" x14ac:dyDescent="0.2">
      <c r="A157" s="1186" t="s">
        <v>496</v>
      </c>
      <c r="B157" s="1186" t="s">
        <v>17</v>
      </c>
      <c r="C157" s="1186" t="s">
        <v>45</v>
      </c>
      <c r="D157" s="1186">
        <v>446</v>
      </c>
      <c r="E157" s="1186">
        <v>112</v>
      </c>
      <c r="F157" s="1186">
        <v>246</v>
      </c>
      <c r="G157" s="1186">
        <v>82</v>
      </c>
      <c r="H157" s="1186">
        <v>5</v>
      </c>
      <c r="I157" s="1186">
        <v>1</v>
      </c>
      <c r="J157" s="1186"/>
      <c r="K157" s="1186"/>
    </row>
    <row r="158" spans="1:11" x14ac:dyDescent="0.2">
      <c r="A158" s="1186" t="s">
        <v>496</v>
      </c>
      <c r="B158" s="1186" t="s">
        <v>17</v>
      </c>
      <c r="C158" s="1186" t="s">
        <v>46</v>
      </c>
      <c r="D158" s="1186">
        <v>202</v>
      </c>
      <c r="E158" s="1186">
        <v>98</v>
      </c>
      <c r="F158" s="1186">
        <v>90</v>
      </c>
      <c r="G158" s="1186">
        <v>11</v>
      </c>
      <c r="H158" s="1186">
        <v>2</v>
      </c>
      <c r="I158" s="1186">
        <v>1</v>
      </c>
      <c r="J158" s="1186"/>
      <c r="K158" s="1186"/>
    </row>
    <row r="159" spans="1:11" x14ac:dyDescent="0.2">
      <c r="A159" s="1186" t="s">
        <v>496</v>
      </c>
      <c r="B159" s="1186" t="s">
        <v>17</v>
      </c>
      <c r="C159" s="1186" t="s">
        <v>47</v>
      </c>
      <c r="D159" s="1186">
        <v>25</v>
      </c>
      <c r="E159" s="1186">
        <v>10</v>
      </c>
      <c r="F159" s="1186">
        <v>14</v>
      </c>
      <c r="G159" s="1186">
        <v>1</v>
      </c>
      <c r="H159" s="1186"/>
      <c r="I159" s="1186"/>
      <c r="J159" s="1186"/>
      <c r="K159" s="1186"/>
    </row>
    <row r="160" spans="1:11" x14ac:dyDescent="0.2">
      <c r="A160" s="1186" t="s">
        <v>496</v>
      </c>
      <c r="B160" s="1186" t="s">
        <v>17</v>
      </c>
      <c r="C160" s="1186" t="s">
        <v>48</v>
      </c>
      <c r="D160" s="1186">
        <v>181</v>
      </c>
      <c r="E160" s="1186">
        <v>47</v>
      </c>
      <c r="F160" s="1186">
        <v>108</v>
      </c>
      <c r="G160" s="1186">
        <v>23</v>
      </c>
      <c r="H160" s="1186">
        <v>2</v>
      </c>
      <c r="I160" s="1186"/>
      <c r="J160" s="1186">
        <v>1</v>
      </c>
      <c r="K160" s="1186"/>
    </row>
    <row r="161" spans="1:11" x14ac:dyDescent="0.2">
      <c r="A161" s="1186" t="s">
        <v>496</v>
      </c>
      <c r="B161" s="1186" t="s">
        <v>17</v>
      </c>
      <c r="C161" s="1186" t="s">
        <v>49</v>
      </c>
      <c r="D161" s="1186">
        <v>497</v>
      </c>
      <c r="E161" s="1186">
        <v>149</v>
      </c>
      <c r="F161" s="1186">
        <v>287</v>
      </c>
      <c r="G161" s="1186">
        <v>58</v>
      </c>
      <c r="H161" s="1186">
        <v>3</v>
      </c>
      <c r="I161" s="1186"/>
      <c r="J161" s="1186"/>
      <c r="K161" s="1186"/>
    </row>
    <row r="162" spans="1:11" x14ac:dyDescent="0.2">
      <c r="A162" s="1186" t="s">
        <v>496</v>
      </c>
      <c r="B162" s="1186" t="s">
        <v>17</v>
      </c>
      <c r="C162" s="1186" t="s">
        <v>50</v>
      </c>
      <c r="D162" s="1186">
        <v>149</v>
      </c>
      <c r="E162" s="1186">
        <v>47</v>
      </c>
      <c r="F162" s="1186">
        <v>75</v>
      </c>
      <c r="G162" s="1186">
        <v>25</v>
      </c>
      <c r="H162" s="1186">
        <v>1</v>
      </c>
      <c r="I162" s="1186">
        <v>1</v>
      </c>
      <c r="J162" s="1186"/>
      <c r="K162" s="1186"/>
    </row>
    <row r="163" spans="1:11" x14ac:dyDescent="0.2">
      <c r="A163" s="1186" t="s">
        <v>496</v>
      </c>
      <c r="B163" s="1186" t="s">
        <v>17</v>
      </c>
      <c r="C163" s="1186" t="s">
        <v>51</v>
      </c>
      <c r="D163" s="1186">
        <v>235</v>
      </c>
      <c r="E163" s="1186">
        <v>72</v>
      </c>
      <c r="F163" s="1186">
        <v>127</v>
      </c>
      <c r="G163" s="1186">
        <v>34</v>
      </c>
      <c r="H163" s="1186">
        <v>2</v>
      </c>
      <c r="I163" s="1186"/>
      <c r="J163" s="1186"/>
      <c r="K163" s="1186"/>
    </row>
    <row r="164" spans="1:11" x14ac:dyDescent="0.2">
      <c r="A164" s="1186" t="s">
        <v>496</v>
      </c>
      <c r="B164" s="1186" t="s">
        <v>17</v>
      </c>
      <c r="C164" s="1186" t="s">
        <v>52</v>
      </c>
      <c r="D164" s="1186">
        <v>409</v>
      </c>
      <c r="E164" s="1186">
        <v>198</v>
      </c>
      <c r="F164" s="1186">
        <v>169</v>
      </c>
      <c r="G164" s="1186">
        <v>39</v>
      </c>
      <c r="H164" s="1186">
        <v>2</v>
      </c>
      <c r="I164" s="1186"/>
      <c r="J164" s="1186">
        <v>1</v>
      </c>
      <c r="K164" s="1186"/>
    </row>
    <row r="165" spans="1:11" x14ac:dyDescent="0.2">
      <c r="A165" s="1186" t="s">
        <v>496</v>
      </c>
      <c r="B165" s="1186" t="s">
        <v>133</v>
      </c>
      <c r="C165" s="1186" t="s">
        <v>23</v>
      </c>
      <c r="D165" s="1186">
        <v>543</v>
      </c>
      <c r="E165" s="1186">
        <v>112</v>
      </c>
      <c r="F165" s="1186">
        <v>133</v>
      </c>
      <c r="G165" s="1186">
        <v>290</v>
      </c>
      <c r="H165" s="1186">
        <v>6</v>
      </c>
      <c r="I165" s="1186">
        <v>2</v>
      </c>
      <c r="J165" s="1186"/>
      <c r="K165" s="1186"/>
    </row>
    <row r="166" spans="1:11" x14ac:dyDescent="0.2">
      <c r="A166" s="1186" t="s">
        <v>496</v>
      </c>
      <c r="B166" s="1186" t="s">
        <v>133</v>
      </c>
      <c r="C166" s="1186" t="s">
        <v>24</v>
      </c>
      <c r="D166" s="1186">
        <v>430</v>
      </c>
      <c r="E166" s="1186">
        <v>153</v>
      </c>
      <c r="F166" s="1186">
        <v>211</v>
      </c>
      <c r="G166" s="1186">
        <v>53</v>
      </c>
      <c r="H166" s="1186">
        <v>9</v>
      </c>
      <c r="I166" s="1186">
        <v>3</v>
      </c>
      <c r="J166" s="1186">
        <v>1</v>
      </c>
      <c r="K166" s="1186"/>
    </row>
    <row r="167" spans="1:11" x14ac:dyDescent="0.2">
      <c r="A167" s="1186" t="s">
        <v>496</v>
      </c>
      <c r="B167" s="1186" t="s">
        <v>133</v>
      </c>
      <c r="C167" s="1186" t="s">
        <v>25</v>
      </c>
      <c r="D167" s="1186">
        <v>189</v>
      </c>
      <c r="E167" s="1186">
        <v>61</v>
      </c>
      <c r="F167" s="1186">
        <v>107</v>
      </c>
      <c r="G167" s="1186">
        <v>21</v>
      </c>
      <c r="H167" s="1186"/>
      <c r="I167" s="1186"/>
      <c r="J167" s="1186"/>
      <c r="K167" s="1186"/>
    </row>
    <row r="168" spans="1:11" x14ac:dyDescent="0.2">
      <c r="A168" s="1186" t="s">
        <v>496</v>
      </c>
      <c r="B168" s="1186" t="s">
        <v>133</v>
      </c>
      <c r="C168" s="1186" t="s">
        <v>26</v>
      </c>
      <c r="D168" s="1186">
        <v>159</v>
      </c>
      <c r="E168" s="1186">
        <v>52</v>
      </c>
      <c r="F168" s="1186">
        <v>91</v>
      </c>
      <c r="G168" s="1186">
        <v>13</v>
      </c>
      <c r="H168" s="1186"/>
      <c r="I168" s="1186"/>
      <c r="J168" s="1186"/>
      <c r="K168" s="1186">
        <v>3</v>
      </c>
    </row>
    <row r="169" spans="1:11" x14ac:dyDescent="0.2">
      <c r="A169" s="1186" t="s">
        <v>496</v>
      </c>
      <c r="B169" s="1186" t="s">
        <v>133</v>
      </c>
      <c r="C169" s="1186" t="s">
        <v>619</v>
      </c>
      <c r="D169" s="1186">
        <v>1212</v>
      </c>
      <c r="E169" s="1186">
        <v>344</v>
      </c>
      <c r="F169" s="1186">
        <v>383</v>
      </c>
      <c r="G169" s="1186">
        <v>468</v>
      </c>
      <c r="H169" s="1186">
        <v>14</v>
      </c>
      <c r="I169" s="1186">
        <v>1</v>
      </c>
      <c r="J169" s="1186">
        <v>1</v>
      </c>
      <c r="K169" s="1186">
        <v>1</v>
      </c>
    </row>
    <row r="170" spans="1:11" x14ac:dyDescent="0.2">
      <c r="A170" s="1186" t="s">
        <v>496</v>
      </c>
      <c r="B170" s="1186" t="s">
        <v>133</v>
      </c>
      <c r="C170" s="1186" t="s">
        <v>27</v>
      </c>
      <c r="D170" s="1186">
        <v>94</v>
      </c>
      <c r="E170" s="1186">
        <v>40</v>
      </c>
      <c r="F170" s="1186">
        <v>39</v>
      </c>
      <c r="G170" s="1186">
        <v>15</v>
      </c>
      <c r="H170" s="1186"/>
      <c r="I170" s="1186"/>
      <c r="J170" s="1186"/>
      <c r="K170" s="1186"/>
    </row>
    <row r="171" spans="1:11" x14ac:dyDescent="0.2">
      <c r="A171" s="1186" t="s">
        <v>496</v>
      </c>
      <c r="B171" s="1186" t="s">
        <v>133</v>
      </c>
      <c r="C171" s="1186" t="s">
        <v>28</v>
      </c>
      <c r="D171" s="1186">
        <v>201</v>
      </c>
      <c r="E171" s="1186">
        <v>82</v>
      </c>
      <c r="F171" s="1186">
        <v>89</v>
      </c>
      <c r="G171" s="1186">
        <v>26</v>
      </c>
      <c r="H171" s="1186">
        <v>3</v>
      </c>
      <c r="I171" s="1186"/>
      <c r="J171" s="1186">
        <v>1</v>
      </c>
      <c r="K171" s="1186"/>
    </row>
    <row r="172" spans="1:11" x14ac:dyDescent="0.2">
      <c r="A172" s="1186" t="s">
        <v>496</v>
      </c>
      <c r="B172" s="1186" t="s">
        <v>133</v>
      </c>
      <c r="C172" s="1186" t="s">
        <v>29</v>
      </c>
      <c r="D172" s="1186">
        <v>324</v>
      </c>
      <c r="E172" s="1186">
        <v>68</v>
      </c>
      <c r="F172" s="1186">
        <v>196</v>
      </c>
      <c r="G172" s="1186">
        <v>59</v>
      </c>
      <c r="H172" s="1186">
        <v>1</v>
      </c>
      <c r="I172" s="1186"/>
      <c r="J172" s="1186"/>
      <c r="K172" s="1186"/>
    </row>
    <row r="173" spans="1:11" x14ac:dyDescent="0.2">
      <c r="A173" s="1186" t="s">
        <v>496</v>
      </c>
      <c r="B173" s="1186" t="s">
        <v>133</v>
      </c>
      <c r="C173" s="1186" t="s">
        <v>30</v>
      </c>
      <c r="D173" s="1186">
        <v>201</v>
      </c>
      <c r="E173" s="1186">
        <v>73</v>
      </c>
      <c r="F173" s="1186">
        <v>112</v>
      </c>
      <c r="G173" s="1186">
        <v>15</v>
      </c>
      <c r="H173" s="1186">
        <v>1</v>
      </c>
      <c r="I173" s="1186"/>
      <c r="J173" s="1186"/>
      <c r="K173" s="1186"/>
    </row>
    <row r="174" spans="1:11" x14ac:dyDescent="0.2">
      <c r="A174" s="1186" t="s">
        <v>496</v>
      </c>
      <c r="B174" s="1186" t="s">
        <v>133</v>
      </c>
      <c r="C174" s="1186" t="s">
        <v>31</v>
      </c>
      <c r="D174" s="1186">
        <v>139</v>
      </c>
      <c r="E174" s="1186">
        <v>66</v>
      </c>
      <c r="F174" s="1186">
        <v>57</v>
      </c>
      <c r="G174" s="1186">
        <v>15</v>
      </c>
      <c r="H174" s="1186">
        <v>1</v>
      </c>
      <c r="I174" s="1186"/>
      <c r="J174" s="1186"/>
      <c r="K174" s="1186"/>
    </row>
    <row r="175" spans="1:11" x14ac:dyDescent="0.2">
      <c r="A175" s="1186" t="s">
        <v>496</v>
      </c>
      <c r="B175" s="1186" t="s">
        <v>133</v>
      </c>
      <c r="C175" s="1186" t="s">
        <v>32</v>
      </c>
      <c r="D175" s="1186">
        <v>190</v>
      </c>
      <c r="E175" s="1186">
        <v>68</v>
      </c>
      <c r="F175" s="1186">
        <v>87</v>
      </c>
      <c r="G175" s="1186">
        <v>29</v>
      </c>
      <c r="H175" s="1186">
        <v>4</v>
      </c>
      <c r="I175" s="1186">
        <v>1</v>
      </c>
      <c r="J175" s="1186"/>
      <c r="K175" s="1186">
        <v>1</v>
      </c>
    </row>
    <row r="176" spans="1:11" x14ac:dyDescent="0.2">
      <c r="A176" s="1186" t="s">
        <v>496</v>
      </c>
      <c r="B176" s="1186" t="s">
        <v>133</v>
      </c>
      <c r="C176" s="1186" t="s">
        <v>33</v>
      </c>
      <c r="D176" s="1186">
        <v>104</v>
      </c>
      <c r="E176" s="1186">
        <v>36</v>
      </c>
      <c r="F176" s="1186">
        <v>57</v>
      </c>
      <c r="G176" s="1186">
        <v>11</v>
      </c>
      <c r="H176" s="1186"/>
      <c r="I176" s="1186"/>
      <c r="J176" s="1186"/>
      <c r="K176" s="1186"/>
    </row>
    <row r="177" spans="1:11" x14ac:dyDescent="0.2">
      <c r="A177" s="1186" t="s">
        <v>496</v>
      </c>
      <c r="B177" s="1186" t="s">
        <v>133</v>
      </c>
      <c r="C177" s="1186" t="s">
        <v>34</v>
      </c>
      <c r="D177" s="1186">
        <v>263</v>
      </c>
      <c r="E177" s="1186">
        <v>113</v>
      </c>
      <c r="F177" s="1186">
        <v>111</v>
      </c>
      <c r="G177" s="1186">
        <v>34</v>
      </c>
      <c r="H177" s="1186">
        <v>4</v>
      </c>
      <c r="I177" s="1186"/>
      <c r="J177" s="1186">
        <v>1</v>
      </c>
      <c r="K177" s="1186"/>
    </row>
    <row r="178" spans="1:11" x14ac:dyDescent="0.2">
      <c r="A178" s="1186" t="s">
        <v>496</v>
      </c>
      <c r="B178" s="1186" t="s">
        <v>133</v>
      </c>
      <c r="C178" s="1186" t="s">
        <v>35</v>
      </c>
      <c r="D178" s="1186">
        <v>498</v>
      </c>
      <c r="E178" s="1186">
        <v>153</v>
      </c>
      <c r="F178" s="1186">
        <v>266</v>
      </c>
      <c r="G178" s="1186">
        <v>75</v>
      </c>
      <c r="H178" s="1186">
        <v>4</v>
      </c>
      <c r="I178" s="1186"/>
      <c r="J178" s="1186"/>
      <c r="K178" s="1186"/>
    </row>
    <row r="179" spans="1:11" x14ac:dyDescent="0.2">
      <c r="A179" s="1186" t="s">
        <v>496</v>
      </c>
      <c r="B179" s="1186" t="s">
        <v>133</v>
      </c>
      <c r="C179" s="1186" t="s">
        <v>36</v>
      </c>
      <c r="D179" s="1186">
        <v>1688</v>
      </c>
      <c r="E179" s="1186">
        <v>337</v>
      </c>
      <c r="F179" s="1186">
        <v>769</v>
      </c>
      <c r="G179" s="1186">
        <v>564</v>
      </c>
      <c r="H179" s="1186">
        <v>12</v>
      </c>
      <c r="I179" s="1186">
        <v>1</v>
      </c>
      <c r="J179" s="1186">
        <v>5</v>
      </c>
      <c r="K179" s="1186"/>
    </row>
    <row r="180" spans="1:11" x14ac:dyDescent="0.2">
      <c r="A180" s="1186" t="s">
        <v>496</v>
      </c>
      <c r="B180" s="1186" t="s">
        <v>133</v>
      </c>
      <c r="C180" s="1186" t="s">
        <v>37</v>
      </c>
      <c r="D180" s="1186">
        <v>363</v>
      </c>
      <c r="E180" s="1186">
        <v>162</v>
      </c>
      <c r="F180" s="1186">
        <v>155</v>
      </c>
      <c r="G180" s="1186">
        <v>37</v>
      </c>
      <c r="H180" s="1186">
        <v>6</v>
      </c>
      <c r="I180" s="1186">
        <v>2</v>
      </c>
      <c r="J180" s="1186">
        <v>1</v>
      </c>
      <c r="K180" s="1186"/>
    </row>
    <row r="181" spans="1:11" x14ac:dyDescent="0.2">
      <c r="A181" s="1186" t="s">
        <v>496</v>
      </c>
      <c r="B181" s="1186" t="s">
        <v>133</v>
      </c>
      <c r="C181" s="1186" t="s">
        <v>38</v>
      </c>
      <c r="D181" s="1186">
        <v>199</v>
      </c>
      <c r="E181" s="1186">
        <v>66</v>
      </c>
      <c r="F181" s="1186">
        <v>78</v>
      </c>
      <c r="G181" s="1186">
        <v>55</v>
      </c>
      <c r="H181" s="1186"/>
      <c r="I181" s="1186"/>
      <c r="J181" s="1186"/>
      <c r="K181" s="1186"/>
    </row>
    <row r="182" spans="1:11" x14ac:dyDescent="0.2">
      <c r="A182" s="1186" t="s">
        <v>496</v>
      </c>
      <c r="B182" s="1186" t="s">
        <v>133</v>
      </c>
      <c r="C182" s="1186" t="s">
        <v>39</v>
      </c>
      <c r="D182" s="1186">
        <v>168</v>
      </c>
      <c r="E182" s="1186">
        <v>83</v>
      </c>
      <c r="F182" s="1186">
        <v>66</v>
      </c>
      <c r="G182" s="1186">
        <v>17</v>
      </c>
      <c r="H182" s="1186">
        <v>1</v>
      </c>
      <c r="I182" s="1186">
        <v>1</v>
      </c>
      <c r="J182" s="1186"/>
      <c r="K182" s="1186"/>
    </row>
    <row r="183" spans="1:11" x14ac:dyDescent="0.2">
      <c r="A183" s="1186" t="s">
        <v>496</v>
      </c>
      <c r="B183" s="1186" t="s">
        <v>133</v>
      </c>
      <c r="C183" s="1186" t="s">
        <v>40</v>
      </c>
      <c r="D183" s="1186">
        <v>140</v>
      </c>
      <c r="E183" s="1186">
        <v>52</v>
      </c>
      <c r="F183" s="1186">
        <v>60</v>
      </c>
      <c r="G183" s="1186">
        <v>21</v>
      </c>
      <c r="H183" s="1186">
        <v>6</v>
      </c>
      <c r="I183" s="1186">
        <v>1</v>
      </c>
      <c r="J183" s="1186"/>
      <c r="K183" s="1186"/>
    </row>
    <row r="184" spans="1:11" x14ac:dyDescent="0.2">
      <c r="A184" s="1186" t="s">
        <v>496</v>
      </c>
      <c r="B184" s="1186" t="s">
        <v>133</v>
      </c>
      <c r="C184" s="1186" t="s">
        <v>295</v>
      </c>
      <c r="D184" s="1186">
        <v>53</v>
      </c>
      <c r="E184" s="1186">
        <v>32</v>
      </c>
      <c r="F184" s="1186">
        <v>18</v>
      </c>
      <c r="G184" s="1186">
        <v>3</v>
      </c>
      <c r="H184" s="1186"/>
      <c r="I184" s="1186"/>
      <c r="J184" s="1186"/>
      <c r="K184" s="1186"/>
    </row>
    <row r="185" spans="1:11" x14ac:dyDescent="0.2">
      <c r="A185" s="1186" t="s">
        <v>496</v>
      </c>
      <c r="B185" s="1186" t="s">
        <v>133</v>
      </c>
      <c r="C185" s="1186" t="s">
        <v>41</v>
      </c>
      <c r="D185" s="1186">
        <v>281</v>
      </c>
      <c r="E185" s="1186">
        <v>117</v>
      </c>
      <c r="F185" s="1186">
        <v>133</v>
      </c>
      <c r="G185" s="1186">
        <v>27</v>
      </c>
      <c r="H185" s="1186">
        <v>2</v>
      </c>
      <c r="I185" s="1186">
        <v>2</v>
      </c>
      <c r="J185" s="1186"/>
      <c r="K185" s="1186"/>
    </row>
    <row r="186" spans="1:11" x14ac:dyDescent="0.2">
      <c r="A186" s="1186" t="s">
        <v>496</v>
      </c>
      <c r="B186" s="1186" t="s">
        <v>133</v>
      </c>
      <c r="C186" s="1186" t="s">
        <v>42</v>
      </c>
      <c r="D186" s="1186">
        <v>655</v>
      </c>
      <c r="E186" s="1186">
        <v>191</v>
      </c>
      <c r="F186" s="1186">
        <v>364</v>
      </c>
      <c r="G186" s="1186">
        <v>95</v>
      </c>
      <c r="H186" s="1186">
        <v>3</v>
      </c>
      <c r="I186" s="1186"/>
      <c r="J186" s="1186">
        <v>2</v>
      </c>
      <c r="K186" s="1186"/>
    </row>
    <row r="187" spans="1:11" x14ac:dyDescent="0.2">
      <c r="A187" s="1186" t="s">
        <v>496</v>
      </c>
      <c r="B187" s="1186" t="s">
        <v>133</v>
      </c>
      <c r="C187" s="1186" t="s">
        <v>43</v>
      </c>
      <c r="D187" s="1186">
        <v>39</v>
      </c>
      <c r="E187" s="1186">
        <v>30</v>
      </c>
      <c r="F187" s="1186">
        <v>9</v>
      </c>
      <c r="G187" s="1186"/>
      <c r="H187" s="1186"/>
      <c r="I187" s="1186"/>
      <c r="J187" s="1186"/>
      <c r="K187" s="1186"/>
    </row>
    <row r="188" spans="1:11" x14ac:dyDescent="0.2">
      <c r="A188" s="1186" t="s">
        <v>496</v>
      </c>
      <c r="B188" s="1186" t="s">
        <v>133</v>
      </c>
      <c r="C188" s="1186" t="s">
        <v>44</v>
      </c>
      <c r="D188" s="1186">
        <v>254</v>
      </c>
      <c r="E188" s="1186">
        <v>58</v>
      </c>
      <c r="F188" s="1186">
        <v>154</v>
      </c>
      <c r="G188" s="1186">
        <v>39</v>
      </c>
      <c r="H188" s="1186">
        <v>3</v>
      </c>
      <c r="I188" s="1186"/>
      <c r="J188" s="1186"/>
      <c r="K188" s="1186"/>
    </row>
    <row r="189" spans="1:11" x14ac:dyDescent="0.2">
      <c r="A189" s="1186" t="s">
        <v>496</v>
      </c>
      <c r="B189" s="1186" t="s">
        <v>133</v>
      </c>
      <c r="C189" s="1186" t="s">
        <v>45</v>
      </c>
      <c r="D189" s="1186">
        <v>414</v>
      </c>
      <c r="E189" s="1186">
        <v>103</v>
      </c>
      <c r="F189" s="1186">
        <v>219</v>
      </c>
      <c r="G189" s="1186">
        <v>83</v>
      </c>
      <c r="H189" s="1186">
        <v>7</v>
      </c>
      <c r="I189" s="1186"/>
      <c r="J189" s="1186">
        <v>2</v>
      </c>
      <c r="K189" s="1186"/>
    </row>
    <row r="190" spans="1:11" x14ac:dyDescent="0.2">
      <c r="A190" s="1186" t="s">
        <v>496</v>
      </c>
      <c r="B190" s="1186" t="s">
        <v>133</v>
      </c>
      <c r="C190" s="1186" t="s">
        <v>46</v>
      </c>
      <c r="D190" s="1186">
        <v>178</v>
      </c>
      <c r="E190" s="1186">
        <v>65</v>
      </c>
      <c r="F190" s="1186">
        <v>82</v>
      </c>
      <c r="G190" s="1186">
        <v>19</v>
      </c>
      <c r="H190" s="1186">
        <v>6</v>
      </c>
      <c r="I190" s="1186">
        <v>4</v>
      </c>
      <c r="J190" s="1186">
        <v>2</v>
      </c>
      <c r="K190" s="1186"/>
    </row>
    <row r="191" spans="1:11" x14ac:dyDescent="0.2">
      <c r="A191" s="1186" t="s">
        <v>496</v>
      </c>
      <c r="B191" s="1186" t="s">
        <v>133</v>
      </c>
      <c r="C191" s="1186" t="s">
        <v>47</v>
      </c>
      <c r="D191" s="1186">
        <v>41</v>
      </c>
      <c r="E191" s="1186">
        <v>20</v>
      </c>
      <c r="F191" s="1186">
        <v>14</v>
      </c>
      <c r="G191" s="1186">
        <v>7</v>
      </c>
      <c r="H191" s="1186"/>
      <c r="I191" s="1186"/>
      <c r="J191" s="1186"/>
      <c r="K191" s="1186"/>
    </row>
    <row r="192" spans="1:11" x14ac:dyDescent="0.2">
      <c r="A192" s="1186" t="s">
        <v>496</v>
      </c>
      <c r="B192" s="1186" t="s">
        <v>133</v>
      </c>
      <c r="C192" s="1186" t="s">
        <v>48</v>
      </c>
      <c r="D192" s="1186">
        <v>187</v>
      </c>
      <c r="E192" s="1186">
        <v>38</v>
      </c>
      <c r="F192" s="1186">
        <v>116</v>
      </c>
      <c r="G192" s="1186">
        <v>27</v>
      </c>
      <c r="H192" s="1186">
        <v>4</v>
      </c>
      <c r="I192" s="1186">
        <v>2</v>
      </c>
      <c r="J192" s="1186"/>
      <c r="K192" s="1186"/>
    </row>
    <row r="193" spans="1:11" x14ac:dyDescent="0.2">
      <c r="A193" s="1186" t="s">
        <v>496</v>
      </c>
      <c r="B193" s="1186" t="s">
        <v>133</v>
      </c>
      <c r="C193" s="1186" t="s">
        <v>49</v>
      </c>
      <c r="D193" s="1186">
        <v>583</v>
      </c>
      <c r="E193" s="1186">
        <v>190</v>
      </c>
      <c r="F193" s="1186">
        <v>313</v>
      </c>
      <c r="G193" s="1186">
        <v>70</v>
      </c>
      <c r="H193" s="1186">
        <v>7</v>
      </c>
      <c r="I193" s="1186">
        <v>1</v>
      </c>
      <c r="J193" s="1186">
        <v>2</v>
      </c>
      <c r="K193" s="1186"/>
    </row>
    <row r="194" spans="1:11" x14ac:dyDescent="0.2">
      <c r="A194" s="1186" t="s">
        <v>496</v>
      </c>
      <c r="B194" s="1186" t="s">
        <v>133</v>
      </c>
      <c r="C194" s="1186" t="s">
        <v>50</v>
      </c>
      <c r="D194" s="1186">
        <v>170</v>
      </c>
      <c r="E194" s="1186">
        <v>52</v>
      </c>
      <c r="F194" s="1186">
        <v>92</v>
      </c>
      <c r="G194" s="1186">
        <v>24</v>
      </c>
      <c r="H194" s="1186">
        <v>2</v>
      </c>
      <c r="I194" s="1186"/>
      <c r="J194" s="1186"/>
      <c r="K194" s="1186"/>
    </row>
    <row r="195" spans="1:11" x14ac:dyDescent="0.2">
      <c r="A195" s="1186" t="s">
        <v>496</v>
      </c>
      <c r="B195" s="1186" t="s">
        <v>133</v>
      </c>
      <c r="C195" s="1186" t="s">
        <v>51</v>
      </c>
      <c r="D195" s="1186">
        <v>176</v>
      </c>
      <c r="E195" s="1186">
        <v>66</v>
      </c>
      <c r="F195" s="1186">
        <v>86</v>
      </c>
      <c r="G195" s="1186">
        <v>22</v>
      </c>
      <c r="H195" s="1186"/>
      <c r="I195" s="1186">
        <v>1</v>
      </c>
      <c r="J195" s="1186">
        <v>1</v>
      </c>
      <c r="K195" s="1186"/>
    </row>
    <row r="196" spans="1:11" x14ac:dyDescent="0.2">
      <c r="A196" s="1186" t="s">
        <v>496</v>
      </c>
      <c r="B196" s="1186" t="s">
        <v>133</v>
      </c>
      <c r="C196" s="1186" t="s">
        <v>52</v>
      </c>
      <c r="D196" s="1186">
        <v>376</v>
      </c>
      <c r="E196" s="1186">
        <v>158</v>
      </c>
      <c r="F196" s="1186">
        <v>173</v>
      </c>
      <c r="G196" s="1186">
        <v>37</v>
      </c>
      <c r="H196" s="1186">
        <v>8</v>
      </c>
      <c r="I196" s="1186"/>
      <c r="J196" s="1186"/>
      <c r="K196" s="1186"/>
    </row>
    <row r="197" spans="1:11" x14ac:dyDescent="0.2">
      <c r="A197" s="1186" t="s">
        <v>496</v>
      </c>
      <c r="B197" s="1186" t="s">
        <v>144</v>
      </c>
      <c r="C197" s="1186" t="s">
        <v>23</v>
      </c>
      <c r="D197" s="1186">
        <v>550</v>
      </c>
      <c r="E197" s="1186">
        <v>106</v>
      </c>
      <c r="F197" s="1186">
        <v>133</v>
      </c>
      <c r="G197" s="1186">
        <v>306</v>
      </c>
      <c r="H197" s="1186">
        <v>5</v>
      </c>
      <c r="I197" s="1186"/>
      <c r="J197" s="1186"/>
      <c r="K197" s="1186"/>
    </row>
    <row r="198" spans="1:11" x14ac:dyDescent="0.2">
      <c r="A198" s="1186" t="s">
        <v>496</v>
      </c>
      <c r="B198" s="1186" t="s">
        <v>144</v>
      </c>
      <c r="C198" s="1186" t="s">
        <v>24</v>
      </c>
      <c r="D198" s="1186">
        <v>402</v>
      </c>
      <c r="E198" s="1186">
        <v>153</v>
      </c>
      <c r="F198" s="1186">
        <v>177</v>
      </c>
      <c r="G198" s="1186">
        <v>62</v>
      </c>
      <c r="H198" s="1186">
        <v>8</v>
      </c>
      <c r="I198" s="1186">
        <v>2</v>
      </c>
      <c r="J198" s="1186"/>
      <c r="K198" s="1186"/>
    </row>
    <row r="199" spans="1:11" x14ac:dyDescent="0.2">
      <c r="A199" s="1186" t="s">
        <v>496</v>
      </c>
      <c r="B199" s="1186" t="s">
        <v>144</v>
      </c>
      <c r="C199" s="1186" t="s">
        <v>25</v>
      </c>
      <c r="D199" s="1186">
        <v>178</v>
      </c>
      <c r="E199" s="1186">
        <v>54</v>
      </c>
      <c r="F199" s="1186">
        <v>101</v>
      </c>
      <c r="G199" s="1186">
        <v>22</v>
      </c>
      <c r="H199" s="1186">
        <v>1</v>
      </c>
      <c r="I199" s="1186"/>
      <c r="J199" s="1186"/>
      <c r="K199" s="1186"/>
    </row>
    <row r="200" spans="1:11" x14ac:dyDescent="0.2">
      <c r="A200" s="1186" t="s">
        <v>496</v>
      </c>
      <c r="B200" s="1186" t="s">
        <v>144</v>
      </c>
      <c r="C200" s="1186" t="s">
        <v>26</v>
      </c>
      <c r="D200" s="1186">
        <v>137</v>
      </c>
      <c r="E200" s="1186">
        <v>47</v>
      </c>
      <c r="F200" s="1186">
        <v>74</v>
      </c>
      <c r="G200" s="1186">
        <v>16</v>
      </c>
      <c r="H200" s="1186"/>
      <c r="I200" s="1186"/>
      <c r="J200" s="1186"/>
      <c r="K200" s="1186"/>
    </row>
    <row r="201" spans="1:11" x14ac:dyDescent="0.2">
      <c r="A201" s="1186" t="s">
        <v>496</v>
      </c>
      <c r="B201" s="1186" t="s">
        <v>144</v>
      </c>
      <c r="C201" s="1186" t="s">
        <v>619</v>
      </c>
      <c r="D201" s="1186">
        <v>1217</v>
      </c>
      <c r="E201" s="1186">
        <v>363</v>
      </c>
      <c r="F201" s="1186">
        <v>370</v>
      </c>
      <c r="G201" s="1186">
        <v>446</v>
      </c>
      <c r="H201" s="1186">
        <v>8</v>
      </c>
      <c r="I201" s="1186">
        <v>3</v>
      </c>
      <c r="J201" s="1186"/>
      <c r="K201" s="1186">
        <v>27</v>
      </c>
    </row>
    <row r="202" spans="1:11" x14ac:dyDescent="0.2">
      <c r="A202" s="1186" t="s">
        <v>496</v>
      </c>
      <c r="B202" s="1186" t="s">
        <v>144</v>
      </c>
      <c r="C202" s="1186" t="s">
        <v>27</v>
      </c>
      <c r="D202" s="1186">
        <v>108</v>
      </c>
      <c r="E202" s="1186">
        <v>44</v>
      </c>
      <c r="F202" s="1186">
        <v>42</v>
      </c>
      <c r="G202" s="1186">
        <v>15</v>
      </c>
      <c r="H202" s="1186"/>
      <c r="I202" s="1186"/>
      <c r="J202" s="1186"/>
      <c r="K202" s="1186">
        <v>7</v>
      </c>
    </row>
    <row r="203" spans="1:11" x14ac:dyDescent="0.2">
      <c r="A203" s="1186" t="s">
        <v>496</v>
      </c>
      <c r="B203" s="1186" t="s">
        <v>144</v>
      </c>
      <c r="C203" s="1186" t="s">
        <v>28</v>
      </c>
      <c r="D203" s="1186">
        <v>223</v>
      </c>
      <c r="E203" s="1186">
        <v>73</v>
      </c>
      <c r="F203" s="1186">
        <v>125</v>
      </c>
      <c r="G203" s="1186">
        <v>21</v>
      </c>
      <c r="H203" s="1186">
        <v>2</v>
      </c>
      <c r="I203" s="1186">
        <v>1</v>
      </c>
      <c r="J203" s="1186">
        <v>1</v>
      </c>
      <c r="K203" s="1186"/>
    </row>
    <row r="204" spans="1:11" x14ac:dyDescent="0.2">
      <c r="A204" s="1186" t="s">
        <v>496</v>
      </c>
      <c r="B204" s="1186" t="s">
        <v>144</v>
      </c>
      <c r="C204" s="1186" t="s">
        <v>29</v>
      </c>
      <c r="D204" s="1186">
        <v>370</v>
      </c>
      <c r="E204" s="1186">
        <v>58</v>
      </c>
      <c r="F204" s="1186">
        <v>231</v>
      </c>
      <c r="G204" s="1186">
        <v>81</v>
      </c>
      <c r="H204" s="1186"/>
      <c r="I204" s="1186"/>
      <c r="J204" s="1186"/>
      <c r="K204" s="1186"/>
    </row>
    <row r="205" spans="1:11" x14ac:dyDescent="0.2">
      <c r="A205" s="1186" t="s">
        <v>496</v>
      </c>
      <c r="B205" s="1186" t="s">
        <v>144</v>
      </c>
      <c r="C205" s="1186" t="s">
        <v>30</v>
      </c>
      <c r="D205" s="1186">
        <v>219</v>
      </c>
      <c r="E205" s="1186">
        <v>88</v>
      </c>
      <c r="F205" s="1186">
        <v>105</v>
      </c>
      <c r="G205" s="1186">
        <v>21</v>
      </c>
      <c r="H205" s="1186">
        <v>1</v>
      </c>
      <c r="I205" s="1186">
        <v>3</v>
      </c>
      <c r="J205" s="1186">
        <v>1</v>
      </c>
      <c r="K205" s="1186"/>
    </row>
    <row r="206" spans="1:11" x14ac:dyDescent="0.2">
      <c r="A206" s="1186" t="s">
        <v>496</v>
      </c>
      <c r="B206" s="1186" t="s">
        <v>144</v>
      </c>
      <c r="C206" s="1186" t="s">
        <v>31</v>
      </c>
      <c r="D206" s="1186">
        <v>146</v>
      </c>
      <c r="E206" s="1186">
        <v>63</v>
      </c>
      <c r="F206" s="1186">
        <v>68</v>
      </c>
      <c r="G206" s="1186">
        <v>14</v>
      </c>
      <c r="H206" s="1186">
        <v>1</v>
      </c>
      <c r="I206" s="1186"/>
      <c r="J206" s="1186"/>
      <c r="K206" s="1186"/>
    </row>
    <row r="207" spans="1:11" x14ac:dyDescent="0.2">
      <c r="A207" s="1186" t="s">
        <v>496</v>
      </c>
      <c r="B207" s="1186" t="s">
        <v>144</v>
      </c>
      <c r="C207" s="1186" t="s">
        <v>32</v>
      </c>
      <c r="D207" s="1186">
        <v>196</v>
      </c>
      <c r="E207" s="1186">
        <v>60</v>
      </c>
      <c r="F207" s="1186">
        <v>85</v>
      </c>
      <c r="G207" s="1186">
        <v>21</v>
      </c>
      <c r="H207" s="1186">
        <v>3</v>
      </c>
      <c r="I207" s="1186">
        <v>1</v>
      </c>
      <c r="J207" s="1186"/>
      <c r="K207" s="1186">
        <v>26</v>
      </c>
    </row>
    <row r="208" spans="1:11" x14ac:dyDescent="0.2">
      <c r="A208" s="1186" t="s">
        <v>496</v>
      </c>
      <c r="B208" s="1186" t="s">
        <v>144</v>
      </c>
      <c r="C208" s="1186" t="s">
        <v>33</v>
      </c>
      <c r="D208" s="1186">
        <v>130</v>
      </c>
      <c r="E208" s="1186">
        <v>48</v>
      </c>
      <c r="F208" s="1186">
        <v>68</v>
      </c>
      <c r="G208" s="1186">
        <v>12</v>
      </c>
      <c r="H208" s="1186">
        <v>2</v>
      </c>
      <c r="I208" s="1186"/>
      <c r="J208" s="1186"/>
      <c r="K208" s="1186"/>
    </row>
    <row r="209" spans="1:11" x14ac:dyDescent="0.2">
      <c r="A209" s="1186" t="s">
        <v>496</v>
      </c>
      <c r="B209" s="1186" t="s">
        <v>144</v>
      </c>
      <c r="C209" s="1186" t="s">
        <v>34</v>
      </c>
      <c r="D209" s="1186">
        <v>296</v>
      </c>
      <c r="E209" s="1186">
        <v>115</v>
      </c>
      <c r="F209" s="1186">
        <v>120</v>
      </c>
      <c r="G209" s="1186">
        <v>35</v>
      </c>
      <c r="H209" s="1186">
        <v>2</v>
      </c>
      <c r="I209" s="1186">
        <v>2</v>
      </c>
      <c r="J209" s="1186"/>
      <c r="K209" s="1186">
        <v>22</v>
      </c>
    </row>
    <row r="210" spans="1:11" x14ac:dyDescent="0.2">
      <c r="A210" s="1186" t="s">
        <v>496</v>
      </c>
      <c r="B210" s="1186" t="s">
        <v>144</v>
      </c>
      <c r="C210" s="1186" t="s">
        <v>35</v>
      </c>
      <c r="D210" s="1186">
        <v>557</v>
      </c>
      <c r="E210" s="1186">
        <v>171</v>
      </c>
      <c r="F210" s="1186">
        <v>302</v>
      </c>
      <c r="G210" s="1186">
        <v>79</v>
      </c>
      <c r="H210" s="1186">
        <v>4</v>
      </c>
      <c r="I210" s="1186">
        <v>1</v>
      </c>
      <c r="J210" s="1186"/>
      <c r="K210" s="1186"/>
    </row>
    <row r="211" spans="1:11" x14ac:dyDescent="0.2">
      <c r="A211" s="1186" t="s">
        <v>496</v>
      </c>
      <c r="B211" s="1186" t="s">
        <v>144</v>
      </c>
      <c r="C211" s="1186" t="s">
        <v>36</v>
      </c>
      <c r="D211" s="1186">
        <v>1734</v>
      </c>
      <c r="E211" s="1186">
        <v>367</v>
      </c>
      <c r="F211" s="1186">
        <v>739</v>
      </c>
      <c r="G211" s="1186">
        <v>602</v>
      </c>
      <c r="H211" s="1186">
        <v>19</v>
      </c>
      <c r="I211" s="1186">
        <v>1</v>
      </c>
      <c r="J211" s="1186">
        <v>5</v>
      </c>
      <c r="K211" s="1186">
        <v>1</v>
      </c>
    </row>
    <row r="212" spans="1:11" x14ac:dyDescent="0.2">
      <c r="A212" s="1186" t="s">
        <v>496</v>
      </c>
      <c r="B212" s="1186" t="s">
        <v>144</v>
      </c>
      <c r="C212" s="1186" t="s">
        <v>37</v>
      </c>
      <c r="D212" s="1186">
        <v>368</v>
      </c>
      <c r="E212" s="1186">
        <v>157</v>
      </c>
      <c r="F212" s="1186">
        <v>165</v>
      </c>
      <c r="G212" s="1186">
        <v>41</v>
      </c>
      <c r="H212" s="1186">
        <v>4</v>
      </c>
      <c r="I212" s="1186"/>
      <c r="J212" s="1186">
        <v>1</v>
      </c>
      <c r="K212" s="1186"/>
    </row>
    <row r="213" spans="1:11" x14ac:dyDescent="0.2">
      <c r="A213" s="1186" t="s">
        <v>496</v>
      </c>
      <c r="B213" s="1186" t="s">
        <v>144</v>
      </c>
      <c r="C213" s="1186" t="s">
        <v>38</v>
      </c>
      <c r="D213" s="1186">
        <v>213</v>
      </c>
      <c r="E213" s="1186">
        <v>65</v>
      </c>
      <c r="F213" s="1186">
        <v>95</v>
      </c>
      <c r="G213" s="1186">
        <v>46</v>
      </c>
      <c r="H213" s="1186">
        <v>5</v>
      </c>
      <c r="I213" s="1186"/>
      <c r="J213" s="1186">
        <v>1</v>
      </c>
      <c r="K213" s="1186">
        <v>1</v>
      </c>
    </row>
    <row r="214" spans="1:11" x14ac:dyDescent="0.2">
      <c r="A214" s="1186" t="s">
        <v>496</v>
      </c>
      <c r="B214" s="1186" t="s">
        <v>144</v>
      </c>
      <c r="C214" s="1186" t="s">
        <v>39</v>
      </c>
      <c r="D214" s="1186">
        <v>168</v>
      </c>
      <c r="E214" s="1186">
        <v>80</v>
      </c>
      <c r="F214" s="1186">
        <v>50</v>
      </c>
      <c r="G214" s="1186">
        <v>14</v>
      </c>
      <c r="H214" s="1186">
        <v>3</v>
      </c>
      <c r="I214" s="1186">
        <v>1</v>
      </c>
      <c r="J214" s="1186">
        <v>1</v>
      </c>
      <c r="K214" s="1186">
        <v>19</v>
      </c>
    </row>
    <row r="215" spans="1:11" x14ac:dyDescent="0.2">
      <c r="A215" s="1186" t="s">
        <v>496</v>
      </c>
      <c r="B215" s="1186" t="s">
        <v>144</v>
      </c>
      <c r="C215" s="1186" t="s">
        <v>40</v>
      </c>
      <c r="D215" s="1186">
        <v>125</v>
      </c>
      <c r="E215" s="1186">
        <v>44</v>
      </c>
      <c r="F215" s="1186">
        <v>65</v>
      </c>
      <c r="G215" s="1186">
        <v>11</v>
      </c>
      <c r="H215" s="1186">
        <v>4</v>
      </c>
      <c r="I215" s="1186"/>
      <c r="J215" s="1186">
        <v>1</v>
      </c>
      <c r="K215" s="1186"/>
    </row>
    <row r="216" spans="1:11" x14ac:dyDescent="0.2">
      <c r="A216" s="1186" t="s">
        <v>496</v>
      </c>
      <c r="B216" s="1186" t="s">
        <v>144</v>
      </c>
      <c r="C216" s="1186" t="s">
        <v>295</v>
      </c>
      <c r="D216" s="1186">
        <v>41</v>
      </c>
      <c r="E216" s="1186">
        <v>20</v>
      </c>
      <c r="F216" s="1186">
        <v>17</v>
      </c>
      <c r="G216" s="1186">
        <v>4</v>
      </c>
      <c r="H216" s="1186"/>
      <c r="I216" s="1186"/>
      <c r="J216" s="1186"/>
      <c r="K216" s="1186"/>
    </row>
    <row r="217" spans="1:11" x14ac:dyDescent="0.2">
      <c r="A217" s="1186" t="s">
        <v>496</v>
      </c>
      <c r="B217" s="1186" t="s">
        <v>144</v>
      </c>
      <c r="C217" s="1186" t="s">
        <v>41</v>
      </c>
      <c r="D217" s="1186">
        <v>283</v>
      </c>
      <c r="E217" s="1186">
        <v>113</v>
      </c>
      <c r="F217" s="1186">
        <v>135</v>
      </c>
      <c r="G217" s="1186">
        <v>32</v>
      </c>
      <c r="H217" s="1186">
        <v>2</v>
      </c>
      <c r="I217" s="1186"/>
      <c r="J217" s="1186"/>
      <c r="K217" s="1186">
        <v>1</v>
      </c>
    </row>
    <row r="218" spans="1:11" x14ac:dyDescent="0.2">
      <c r="A218" s="1186" t="s">
        <v>496</v>
      </c>
      <c r="B218" s="1186" t="s">
        <v>144</v>
      </c>
      <c r="C218" s="1186" t="s">
        <v>42</v>
      </c>
      <c r="D218" s="1186">
        <v>651</v>
      </c>
      <c r="E218" s="1186">
        <v>202</v>
      </c>
      <c r="F218" s="1186">
        <v>353</v>
      </c>
      <c r="G218" s="1186">
        <v>81</v>
      </c>
      <c r="H218" s="1186">
        <v>8</v>
      </c>
      <c r="I218" s="1186">
        <v>2</v>
      </c>
      <c r="J218" s="1186">
        <v>2</v>
      </c>
      <c r="K218" s="1186">
        <v>3</v>
      </c>
    </row>
    <row r="219" spans="1:11" x14ac:dyDescent="0.2">
      <c r="A219" s="1186" t="s">
        <v>496</v>
      </c>
      <c r="B219" s="1186" t="s">
        <v>144</v>
      </c>
      <c r="C219" s="1186" t="s">
        <v>43</v>
      </c>
      <c r="D219" s="1186">
        <v>37</v>
      </c>
      <c r="E219" s="1186">
        <v>18</v>
      </c>
      <c r="F219" s="1186">
        <v>16</v>
      </c>
      <c r="G219" s="1186">
        <v>3</v>
      </c>
      <c r="H219" s="1186"/>
      <c r="I219" s="1186"/>
      <c r="J219" s="1186"/>
      <c r="K219" s="1186"/>
    </row>
    <row r="220" spans="1:11" x14ac:dyDescent="0.2">
      <c r="A220" s="1186" t="s">
        <v>496</v>
      </c>
      <c r="B220" s="1186" t="s">
        <v>144</v>
      </c>
      <c r="C220" s="1186" t="s">
        <v>44</v>
      </c>
      <c r="D220" s="1186">
        <v>266</v>
      </c>
      <c r="E220" s="1186">
        <v>78</v>
      </c>
      <c r="F220" s="1186">
        <v>152</v>
      </c>
      <c r="G220" s="1186">
        <v>33</v>
      </c>
      <c r="H220" s="1186">
        <v>3</v>
      </c>
      <c r="I220" s="1186"/>
      <c r="J220" s="1186"/>
      <c r="K220" s="1186"/>
    </row>
    <row r="221" spans="1:11" x14ac:dyDescent="0.2">
      <c r="A221" s="1186" t="s">
        <v>496</v>
      </c>
      <c r="B221" s="1186" t="s">
        <v>144</v>
      </c>
      <c r="C221" s="1186" t="s">
        <v>45</v>
      </c>
      <c r="D221" s="1186">
        <v>404</v>
      </c>
      <c r="E221" s="1186">
        <v>89</v>
      </c>
      <c r="F221" s="1186">
        <v>209</v>
      </c>
      <c r="G221" s="1186">
        <v>101</v>
      </c>
      <c r="H221" s="1186">
        <v>3</v>
      </c>
      <c r="I221" s="1186"/>
      <c r="J221" s="1186">
        <v>1</v>
      </c>
      <c r="K221" s="1186">
        <v>1</v>
      </c>
    </row>
    <row r="222" spans="1:11" x14ac:dyDescent="0.2">
      <c r="A222" s="1186" t="s">
        <v>496</v>
      </c>
      <c r="B222" s="1186" t="s">
        <v>144</v>
      </c>
      <c r="C222" s="1186" t="s">
        <v>46</v>
      </c>
      <c r="D222" s="1186">
        <v>225</v>
      </c>
      <c r="E222" s="1186">
        <v>92</v>
      </c>
      <c r="F222" s="1186">
        <v>101</v>
      </c>
      <c r="G222" s="1186">
        <v>16</v>
      </c>
      <c r="H222" s="1186">
        <v>5</v>
      </c>
      <c r="I222" s="1186"/>
      <c r="J222" s="1186"/>
      <c r="K222" s="1186">
        <v>11</v>
      </c>
    </row>
    <row r="223" spans="1:11" x14ac:dyDescent="0.2">
      <c r="A223" s="1186" t="s">
        <v>496</v>
      </c>
      <c r="B223" s="1186" t="s">
        <v>144</v>
      </c>
      <c r="C223" s="1186" t="s">
        <v>47</v>
      </c>
      <c r="D223" s="1186">
        <v>37</v>
      </c>
      <c r="E223" s="1186">
        <v>17</v>
      </c>
      <c r="F223" s="1186">
        <v>16</v>
      </c>
      <c r="G223" s="1186">
        <v>4</v>
      </c>
      <c r="H223" s="1186"/>
      <c r="I223" s="1186"/>
      <c r="J223" s="1186"/>
      <c r="K223" s="1186"/>
    </row>
    <row r="224" spans="1:11" x14ac:dyDescent="0.2">
      <c r="A224" s="1186" t="s">
        <v>496</v>
      </c>
      <c r="B224" s="1186" t="s">
        <v>144</v>
      </c>
      <c r="C224" s="1186" t="s">
        <v>48</v>
      </c>
      <c r="D224" s="1186">
        <v>188</v>
      </c>
      <c r="E224" s="1186">
        <v>51</v>
      </c>
      <c r="F224" s="1186">
        <v>113</v>
      </c>
      <c r="G224" s="1186">
        <v>23</v>
      </c>
      <c r="H224" s="1186">
        <v>1</v>
      </c>
      <c r="I224" s="1186"/>
      <c r="J224" s="1186"/>
      <c r="K224" s="1186"/>
    </row>
    <row r="225" spans="1:11" x14ac:dyDescent="0.2">
      <c r="A225" s="1186" t="s">
        <v>496</v>
      </c>
      <c r="B225" s="1186" t="s">
        <v>144</v>
      </c>
      <c r="C225" s="1186" t="s">
        <v>49</v>
      </c>
      <c r="D225" s="1186">
        <v>536</v>
      </c>
      <c r="E225" s="1186">
        <v>176</v>
      </c>
      <c r="F225" s="1186">
        <v>270</v>
      </c>
      <c r="G225" s="1186">
        <v>81</v>
      </c>
      <c r="H225" s="1186">
        <v>6</v>
      </c>
      <c r="I225" s="1186">
        <v>2</v>
      </c>
      <c r="J225" s="1186">
        <v>1</v>
      </c>
      <c r="K225" s="1186"/>
    </row>
    <row r="226" spans="1:11" x14ac:dyDescent="0.2">
      <c r="A226" s="1186" t="s">
        <v>496</v>
      </c>
      <c r="B226" s="1186" t="s">
        <v>144</v>
      </c>
      <c r="C226" s="1186" t="s">
        <v>50</v>
      </c>
      <c r="D226" s="1186">
        <v>227</v>
      </c>
      <c r="E226" s="1186">
        <v>78</v>
      </c>
      <c r="F226" s="1186">
        <v>94</v>
      </c>
      <c r="G226" s="1186">
        <v>37</v>
      </c>
      <c r="H226" s="1186">
        <v>3</v>
      </c>
      <c r="I226" s="1186">
        <v>1</v>
      </c>
      <c r="J226" s="1186"/>
      <c r="K226" s="1186">
        <v>14</v>
      </c>
    </row>
    <row r="227" spans="1:11" x14ac:dyDescent="0.2">
      <c r="A227" s="1186" t="s">
        <v>496</v>
      </c>
      <c r="B227" s="1186" t="s">
        <v>144</v>
      </c>
      <c r="C227" s="1186" t="s">
        <v>51</v>
      </c>
      <c r="D227" s="1186">
        <v>270</v>
      </c>
      <c r="E227" s="1186">
        <v>88</v>
      </c>
      <c r="F227" s="1186">
        <v>144</v>
      </c>
      <c r="G227" s="1186">
        <v>37</v>
      </c>
      <c r="H227" s="1186">
        <v>1</v>
      </c>
      <c r="I227" s="1186"/>
      <c r="J227" s="1186"/>
      <c r="K227" s="1186"/>
    </row>
    <row r="228" spans="1:11" x14ac:dyDescent="0.2">
      <c r="A228" s="1186" t="s">
        <v>496</v>
      </c>
      <c r="B228" s="1186" t="s">
        <v>144</v>
      </c>
      <c r="C228" s="1186" t="s">
        <v>52</v>
      </c>
      <c r="D228" s="1186">
        <v>399</v>
      </c>
      <c r="E228" s="1186">
        <v>173</v>
      </c>
      <c r="F228" s="1186">
        <v>159</v>
      </c>
      <c r="G228" s="1186">
        <v>35</v>
      </c>
      <c r="H228" s="1186">
        <v>7</v>
      </c>
      <c r="I228" s="1186">
        <v>1</v>
      </c>
      <c r="J228" s="1186">
        <v>2</v>
      </c>
      <c r="K228" s="1186">
        <v>22</v>
      </c>
    </row>
    <row r="229" spans="1:11" x14ac:dyDescent="0.2">
      <c r="A229" s="1186" t="s">
        <v>496</v>
      </c>
      <c r="B229" s="1186" t="s">
        <v>282</v>
      </c>
      <c r="C229" s="1186" t="s">
        <v>23</v>
      </c>
      <c r="D229" s="1186">
        <v>563</v>
      </c>
      <c r="E229" s="1186">
        <v>114</v>
      </c>
      <c r="F229" s="1186">
        <v>225</v>
      </c>
      <c r="G229" s="1186">
        <v>218</v>
      </c>
      <c r="H229" s="1186">
        <v>5</v>
      </c>
      <c r="I229" s="1186"/>
      <c r="J229" s="1186">
        <v>1</v>
      </c>
      <c r="K229" s="1186"/>
    </row>
    <row r="230" spans="1:11" x14ac:dyDescent="0.2">
      <c r="A230" s="1186" t="s">
        <v>496</v>
      </c>
      <c r="B230" s="1186" t="s">
        <v>282</v>
      </c>
      <c r="C230" s="1186" t="s">
        <v>24</v>
      </c>
      <c r="D230" s="1186">
        <v>392</v>
      </c>
      <c r="E230" s="1186">
        <v>124</v>
      </c>
      <c r="F230" s="1186">
        <v>199</v>
      </c>
      <c r="G230" s="1186">
        <v>57</v>
      </c>
      <c r="H230" s="1186">
        <v>9</v>
      </c>
      <c r="I230" s="1186"/>
      <c r="J230" s="1186">
        <v>3</v>
      </c>
      <c r="K230" s="1186"/>
    </row>
    <row r="231" spans="1:11" x14ac:dyDescent="0.2">
      <c r="A231" s="1186" t="s">
        <v>496</v>
      </c>
      <c r="B231" s="1186" t="s">
        <v>282</v>
      </c>
      <c r="C231" s="1186" t="s">
        <v>25</v>
      </c>
      <c r="D231" s="1186">
        <v>182</v>
      </c>
      <c r="E231" s="1186">
        <v>64</v>
      </c>
      <c r="F231" s="1186">
        <v>103</v>
      </c>
      <c r="G231" s="1186">
        <v>14</v>
      </c>
      <c r="H231" s="1186">
        <v>1</v>
      </c>
      <c r="I231" s="1186"/>
      <c r="J231" s="1186"/>
      <c r="K231" s="1186"/>
    </row>
    <row r="232" spans="1:11" x14ac:dyDescent="0.2">
      <c r="A232" s="1186" t="s">
        <v>496</v>
      </c>
      <c r="B232" s="1186" t="s">
        <v>282</v>
      </c>
      <c r="C232" s="1186" t="s">
        <v>26</v>
      </c>
      <c r="D232" s="1186">
        <v>149</v>
      </c>
      <c r="E232" s="1186">
        <v>65</v>
      </c>
      <c r="F232" s="1186">
        <v>68</v>
      </c>
      <c r="G232" s="1186">
        <v>12</v>
      </c>
      <c r="H232" s="1186">
        <v>3</v>
      </c>
      <c r="I232" s="1186">
        <v>1</v>
      </c>
      <c r="J232" s="1186"/>
      <c r="K232" s="1186"/>
    </row>
    <row r="233" spans="1:11" x14ac:dyDescent="0.2">
      <c r="A233" s="1186" t="s">
        <v>496</v>
      </c>
      <c r="B233" s="1186" t="s">
        <v>282</v>
      </c>
      <c r="C233" s="1186" t="s">
        <v>619</v>
      </c>
      <c r="D233" s="1186">
        <v>1157</v>
      </c>
      <c r="E233" s="1186">
        <v>329</v>
      </c>
      <c r="F233" s="1186">
        <v>388</v>
      </c>
      <c r="G233" s="1186">
        <v>425</v>
      </c>
      <c r="H233" s="1186">
        <v>13</v>
      </c>
      <c r="I233" s="1186">
        <v>1</v>
      </c>
      <c r="J233" s="1186">
        <v>1</v>
      </c>
      <c r="K233" s="1186"/>
    </row>
    <row r="234" spans="1:11" x14ac:dyDescent="0.2">
      <c r="A234" s="1186" t="s">
        <v>496</v>
      </c>
      <c r="B234" s="1186" t="s">
        <v>282</v>
      </c>
      <c r="C234" s="1186" t="s">
        <v>27</v>
      </c>
      <c r="D234" s="1186">
        <v>107</v>
      </c>
      <c r="E234" s="1186">
        <v>36</v>
      </c>
      <c r="F234" s="1186">
        <v>54</v>
      </c>
      <c r="G234" s="1186">
        <v>15</v>
      </c>
      <c r="H234" s="1186">
        <v>2</v>
      </c>
      <c r="I234" s="1186"/>
      <c r="J234" s="1186"/>
      <c r="K234" s="1186"/>
    </row>
    <row r="235" spans="1:11" x14ac:dyDescent="0.2">
      <c r="A235" s="1186" t="s">
        <v>496</v>
      </c>
      <c r="B235" s="1186" t="s">
        <v>282</v>
      </c>
      <c r="C235" s="1186" t="s">
        <v>28</v>
      </c>
      <c r="D235" s="1186">
        <v>242</v>
      </c>
      <c r="E235" s="1186">
        <v>73</v>
      </c>
      <c r="F235" s="1186">
        <v>131</v>
      </c>
      <c r="G235" s="1186">
        <v>32</v>
      </c>
      <c r="H235" s="1186">
        <v>4</v>
      </c>
      <c r="I235" s="1186"/>
      <c r="J235" s="1186">
        <v>2</v>
      </c>
      <c r="K235" s="1186"/>
    </row>
    <row r="236" spans="1:11" x14ac:dyDescent="0.2">
      <c r="A236" s="1186" t="s">
        <v>496</v>
      </c>
      <c r="B236" s="1186" t="s">
        <v>282</v>
      </c>
      <c r="C236" s="1186" t="s">
        <v>29</v>
      </c>
      <c r="D236" s="1186">
        <v>374</v>
      </c>
      <c r="E236" s="1186">
        <v>75</v>
      </c>
      <c r="F236" s="1186">
        <v>228</v>
      </c>
      <c r="G236" s="1186">
        <v>69</v>
      </c>
      <c r="H236" s="1186">
        <v>2</v>
      </c>
      <c r="I236" s="1186"/>
      <c r="J236" s="1186"/>
      <c r="K236" s="1186"/>
    </row>
    <row r="237" spans="1:11" x14ac:dyDescent="0.2">
      <c r="A237" s="1186" t="s">
        <v>496</v>
      </c>
      <c r="B237" s="1186" t="s">
        <v>282</v>
      </c>
      <c r="C237" s="1186" t="s">
        <v>30</v>
      </c>
      <c r="D237" s="1186">
        <v>255</v>
      </c>
      <c r="E237" s="1186">
        <v>93</v>
      </c>
      <c r="F237" s="1186">
        <v>144</v>
      </c>
      <c r="G237" s="1186">
        <v>15</v>
      </c>
      <c r="H237" s="1186">
        <v>2</v>
      </c>
      <c r="I237" s="1186"/>
      <c r="J237" s="1186">
        <v>1</v>
      </c>
      <c r="K237" s="1186"/>
    </row>
    <row r="238" spans="1:11" x14ac:dyDescent="0.2">
      <c r="A238" s="1186" t="s">
        <v>496</v>
      </c>
      <c r="B238" s="1186" t="s">
        <v>282</v>
      </c>
      <c r="C238" s="1186" t="s">
        <v>31</v>
      </c>
      <c r="D238" s="1186">
        <v>165</v>
      </c>
      <c r="E238" s="1186">
        <v>72</v>
      </c>
      <c r="F238" s="1186">
        <v>73</v>
      </c>
      <c r="G238" s="1186">
        <v>16</v>
      </c>
      <c r="H238" s="1186">
        <v>2</v>
      </c>
      <c r="I238" s="1186">
        <v>2</v>
      </c>
      <c r="J238" s="1186"/>
      <c r="K238" s="1186"/>
    </row>
    <row r="239" spans="1:11" x14ac:dyDescent="0.2">
      <c r="A239" s="1186" t="s">
        <v>496</v>
      </c>
      <c r="B239" s="1186" t="s">
        <v>282</v>
      </c>
      <c r="C239" s="1186" t="s">
        <v>32</v>
      </c>
      <c r="D239" s="1186">
        <v>153</v>
      </c>
      <c r="E239" s="1186">
        <v>60</v>
      </c>
      <c r="F239" s="1186">
        <v>71</v>
      </c>
      <c r="G239" s="1186">
        <v>16</v>
      </c>
      <c r="H239" s="1186">
        <v>5</v>
      </c>
      <c r="I239" s="1186"/>
      <c r="J239" s="1186">
        <v>1</v>
      </c>
      <c r="K239" s="1186"/>
    </row>
    <row r="240" spans="1:11" x14ac:dyDescent="0.2">
      <c r="A240" s="1186" t="s">
        <v>496</v>
      </c>
      <c r="B240" s="1186" t="s">
        <v>282</v>
      </c>
      <c r="C240" s="1186" t="s">
        <v>33</v>
      </c>
      <c r="D240" s="1186">
        <v>106</v>
      </c>
      <c r="E240" s="1186">
        <v>43</v>
      </c>
      <c r="F240" s="1186">
        <v>55</v>
      </c>
      <c r="G240" s="1186">
        <v>7</v>
      </c>
      <c r="H240" s="1186">
        <v>1</v>
      </c>
      <c r="I240" s="1186"/>
      <c r="J240" s="1186"/>
      <c r="K240" s="1186"/>
    </row>
    <row r="241" spans="1:11" x14ac:dyDescent="0.2">
      <c r="A241" s="1186" t="s">
        <v>496</v>
      </c>
      <c r="B241" s="1186" t="s">
        <v>282</v>
      </c>
      <c r="C241" s="1186" t="s">
        <v>34</v>
      </c>
      <c r="D241" s="1186">
        <v>277</v>
      </c>
      <c r="E241" s="1186">
        <v>104</v>
      </c>
      <c r="F241" s="1186">
        <v>132</v>
      </c>
      <c r="G241" s="1186">
        <v>37</v>
      </c>
      <c r="H241" s="1186">
        <v>4</v>
      </c>
      <c r="I241" s="1186"/>
      <c r="J241" s="1186"/>
      <c r="K241" s="1186"/>
    </row>
    <row r="242" spans="1:11" x14ac:dyDescent="0.2">
      <c r="A242" s="1186" t="s">
        <v>496</v>
      </c>
      <c r="B242" s="1186" t="s">
        <v>282</v>
      </c>
      <c r="C242" s="1186" t="s">
        <v>35</v>
      </c>
      <c r="D242" s="1186">
        <v>619</v>
      </c>
      <c r="E242" s="1186">
        <v>203</v>
      </c>
      <c r="F242" s="1186">
        <v>326</v>
      </c>
      <c r="G242" s="1186">
        <v>79</v>
      </c>
      <c r="H242" s="1186">
        <v>11</v>
      </c>
      <c r="I242" s="1186"/>
      <c r="J242" s="1186"/>
      <c r="K242" s="1186"/>
    </row>
    <row r="243" spans="1:11" x14ac:dyDescent="0.2">
      <c r="A243" s="1186" t="s">
        <v>496</v>
      </c>
      <c r="B243" s="1186" t="s">
        <v>282</v>
      </c>
      <c r="C243" s="1186" t="s">
        <v>36</v>
      </c>
      <c r="D243" s="1186">
        <v>1701</v>
      </c>
      <c r="E243" s="1186">
        <v>449</v>
      </c>
      <c r="F243" s="1186">
        <v>582</v>
      </c>
      <c r="G243" s="1186">
        <v>644</v>
      </c>
      <c r="H243" s="1186">
        <v>20</v>
      </c>
      <c r="I243" s="1186">
        <v>2</v>
      </c>
      <c r="J243" s="1186">
        <v>3</v>
      </c>
      <c r="K243" s="1186">
        <v>1</v>
      </c>
    </row>
    <row r="244" spans="1:11" x14ac:dyDescent="0.2">
      <c r="A244" s="1186" t="s">
        <v>496</v>
      </c>
      <c r="B244" s="1186" t="s">
        <v>282</v>
      </c>
      <c r="C244" s="1186" t="s">
        <v>37</v>
      </c>
      <c r="D244" s="1186">
        <v>366</v>
      </c>
      <c r="E244" s="1186">
        <v>152</v>
      </c>
      <c r="F244" s="1186">
        <v>171</v>
      </c>
      <c r="G244" s="1186">
        <v>37</v>
      </c>
      <c r="H244" s="1186">
        <v>5</v>
      </c>
      <c r="I244" s="1186">
        <v>1</v>
      </c>
      <c r="J244" s="1186"/>
      <c r="K244" s="1186"/>
    </row>
    <row r="245" spans="1:11" x14ac:dyDescent="0.2">
      <c r="A245" s="1186" t="s">
        <v>496</v>
      </c>
      <c r="B245" s="1186" t="s">
        <v>282</v>
      </c>
      <c r="C245" s="1186" t="s">
        <v>38</v>
      </c>
      <c r="D245" s="1186">
        <v>214</v>
      </c>
      <c r="E245" s="1186">
        <v>69</v>
      </c>
      <c r="F245" s="1186">
        <v>86</v>
      </c>
      <c r="G245" s="1186">
        <v>55</v>
      </c>
      <c r="H245" s="1186">
        <v>3</v>
      </c>
      <c r="I245" s="1186"/>
      <c r="J245" s="1186">
        <v>1</v>
      </c>
      <c r="K245" s="1186"/>
    </row>
    <row r="246" spans="1:11" x14ac:dyDescent="0.2">
      <c r="A246" s="1186" t="s">
        <v>496</v>
      </c>
      <c r="B246" s="1186" t="s">
        <v>282</v>
      </c>
      <c r="C246" s="1186" t="s">
        <v>39</v>
      </c>
      <c r="D246" s="1186">
        <v>200</v>
      </c>
      <c r="E246" s="1186">
        <v>113</v>
      </c>
      <c r="F246" s="1186">
        <v>76</v>
      </c>
      <c r="G246" s="1186">
        <v>9</v>
      </c>
      <c r="H246" s="1186">
        <v>2</v>
      </c>
      <c r="I246" s="1186"/>
      <c r="J246" s="1186"/>
      <c r="K246" s="1186"/>
    </row>
    <row r="247" spans="1:11" x14ac:dyDescent="0.2">
      <c r="A247" s="1186" t="s">
        <v>496</v>
      </c>
      <c r="B247" s="1186" t="s">
        <v>282</v>
      </c>
      <c r="C247" s="1186" t="s">
        <v>40</v>
      </c>
      <c r="D247" s="1186">
        <v>127</v>
      </c>
      <c r="E247" s="1186">
        <v>51</v>
      </c>
      <c r="F247" s="1186">
        <v>61</v>
      </c>
      <c r="G247" s="1186">
        <v>12</v>
      </c>
      <c r="H247" s="1186">
        <v>2</v>
      </c>
      <c r="I247" s="1186">
        <v>1</v>
      </c>
      <c r="J247" s="1186"/>
      <c r="K247" s="1186"/>
    </row>
    <row r="248" spans="1:11" x14ac:dyDescent="0.2">
      <c r="A248" s="1186" t="s">
        <v>496</v>
      </c>
      <c r="B248" s="1186" t="s">
        <v>282</v>
      </c>
      <c r="C248" s="1186" t="s">
        <v>295</v>
      </c>
      <c r="D248" s="1186">
        <v>35</v>
      </c>
      <c r="E248" s="1186">
        <v>10</v>
      </c>
      <c r="F248" s="1186">
        <v>21</v>
      </c>
      <c r="G248" s="1186">
        <v>4</v>
      </c>
      <c r="H248" s="1186"/>
      <c r="I248" s="1186"/>
      <c r="J248" s="1186"/>
      <c r="K248" s="1186"/>
    </row>
    <row r="249" spans="1:11" x14ac:dyDescent="0.2">
      <c r="A249" s="1186" t="s">
        <v>496</v>
      </c>
      <c r="B249" s="1186" t="s">
        <v>282</v>
      </c>
      <c r="C249" s="1186" t="s">
        <v>41</v>
      </c>
      <c r="D249" s="1186">
        <v>268</v>
      </c>
      <c r="E249" s="1186">
        <v>127</v>
      </c>
      <c r="F249" s="1186">
        <v>121</v>
      </c>
      <c r="G249" s="1186">
        <v>19</v>
      </c>
      <c r="H249" s="1186">
        <v>1</v>
      </c>
      <c r="I249" s="1186"/>
      <c r="J249" s="1186"/>
      <c r="K249" s="1186"/>
    </row>
    <row r="250" spans="1:11" x14ac:dyDescent="0.2">
      <c r="A250" s="1186" t="s">
        <v>496</v>
      </c>
      <c r="B250" s="1186" t="s">
        <v>282</v>
      </c>
      <c r="C250" s="1186" t="s">
        <v>42</v>
      </c>
      <c r="D250" s="1186">
        <v>685</v>
      </c>
      <c r="E250" s="1186">
        <v>239</v>
      </c>
      <c r="F250" s="1186">
        <v>339</v>
      </c>
      <c r="G250" s="1186">
        <v>98</v>
      </c>
      <c r="H250" s="1186">
        <v>6</v>
      </c>
      <c r="I250" s="1186">
        <v>2</v>
      </c>
      <c r="J250" s="1186">
        <v>1</v>
      </c>
      <c r="K250" s="1186"/>
    </row>
    <row r="251" spans="1:11" x14ac:dyDescent="0.2">
      <c r="A251" s="1186" t="s">
        <v>496</v>
      </c>
      <c r="B251" s="1186" t="s">
        <v>282</v>
      </c>
      <c r="C251" s="1186" t="s">
        <v>43</v>
      </c>
      <c r="D251" s="1186">
        <v>23</v>
      </c>
      <c r="E251" s="1186">
        <v>12</v>
      </c>
      <c r="F251" s="1186">
        <v>8</v>
      </c>
      <c r="G251" s="1186">
        <v>3</v>
      </c>
      <c r="H251" s="1186"/>
      <c r="I251" s="1186"/>
      <c r="J251" s="1186"/>
      <c r="K251" s="1186"/>
    </row>
    <row r="252" spans="1:11" x14ac:dyDescent="0.2">
      <c r="A252" s="1186" t="s">
        <v>496</v>
      </c>
      <c r="B252" s="1186" t="s">
        <v>282</v>
      </c>
      <c r="C252" s="1186" t="s">
        <v>44</v>
      </c>
      <c r="D252" s="1186">
        <v>286</v>
      </c>
      <c r="E252" s="1186">
        <v>81</v>
      </c>
      <c r="F252" s="1186">
        <v>164</v>
      </c>
      <c r="G252" s="1186">
        <v>37</v>
      </c>
      <c r="H252" s="1186">
        <v>3</v>
      </c>
      <c r="I252" s="1186">
        <v>1</v>
      </c>
      <c r="J252" s="1186"/>
      <c r="K252" s="1186"/>
    </row>
    <row r="253" spans="1:11" x14ac:dyDescent="0.2">
      <c r="A253" s="1186" t="s">
        <v>496</v>
      </c>
      <c r="B253" s="1186" t="s">
        <v>282</v>
      </c>
      <c r="C253" s="1186" t="s">
        <v>45</v>
      </c>
      <c r="D253" s="1186">
        <v>384</v>
      </c>
      <c r="E253" s="1186">
        <v>128</v>
      </c>
      <c r="F253" s="1186">
        <v>181</v>
      </c>
      <c r="G253" s="1186">
        <v>71</v>
      </c>
      <c r="H253" s="1186">
        <v>1</v>
      </c>
      <c r="I253" s="1186">
        <v>3</v>
      </c>
      <c r="J253" s="1186"/>
      <c r="K253" s="1186"/>
    </row>
    <row r="254" spans="1:11" x14ac:dyDescent="0.2">
      <c r="A254" s="1186" t="s">
        <v>496</v>
      </c>
      <c r="B254" s="1186" t="s">
        <v>282</v>
      </c>
      <c r="C254" s="1186" t="s">
        <v>46</v>
      </c>
      <c r="D254" s="1186">
        <v>192</v>
      </c>
      <c r="E254" s="1186">
        <v>82</v>
      </c>
      <c r="F254" s="1186">
        <v>79</v>
      </c>
      <c r="G254" s="1186">
        <v>27</v>
      </c>
      <c r="H254" s="1186">
        <v>3</v>
      </c>
      <c r="I254" s="1186"/>
      <c r="J254" s="1186">
        <v>1</v>
      </c>
      <c r="K254" s="1186"/>
    </row>
    <row r="255" spans="1:11" x14ac:dyDescent="0.2">
      <c r="A255" s="1186" t="s">
        <v>496</v>
      </c>
      <c r="B255" s="1186" t="s">
        <v>282</v>
      </c>
      <c r="C255" s="1186" t="s">
        <v>47</v>
      </c>
      <c r="D255" s="1186">
        <v>25</v>
      </c>
      <c r="E255" s="1186">
        <v>10</v>
      </c>
      <c r="F255" s="1186">
        <v>13</v>
      </c>
      <c r="G255" s="1186">
        <v>2</v>
      </c>
      <c r="H255" s="1186"/>
      <c r="I255" s="1186"/>
      <c r="J255" s="1186"/>
      <c r="K255" s="1186"/>
    </row>
    <row r="256" spans="1:11" x14ac:dyDescent="0.2">
      <c r="A256" s="1186" t="s">
        <v>496</v>
      </c>
      <c r="B256" s="1186" t="s">
        <v>282</v>
      </c>
      <c r="C256" s="1186" t="s">
        <v>48</v>
      </c>
      <c r="D256" s="1186">
        <v>188</v>
      </c>
      <c r="E256" s="1186">
        <v>54</v>
      </c>
      <c r="F256" s="1186">
        <v>101</v>
      </c>
      <c r="G256" s="1186">
        <v>31</v>
      </c>
      <c r="H256" s="1186">
        <v>2</v>
      </c>
      <c r="I256" s="1186"/>
      <c r="J256" s="1186"/>
      <c r="K256" s="1186"/>
    </row>
    <row r="257" spans="1:11" x14ac:dyDescent="0.2">
      <c r="A257" s="1186" t="s">
        <v>496</v>
      </c>
      <c r="B257" s="1186" t="s">
        <v>282</v>
      </c>
      <c r="C257" s="1186" t="s">
        <v>49</v>
      </c>
      <c r="D257" s="1186">
        <v>555</v>
      </c>
      <c r="E257" s="1186">
        <v>217</v>
      </c>
      <c r="F257" s="1186">
        <v>254</v>
      </c>
      <c r="G257" s="1186">
        <v>75</v>
      </c>
      <c r="H257" s="1186">
        <v>6</v>
      </c>
      <c r="I257" s="1186">
        <v>1</v>
      </c>
      <c r="J257" s="1186">
        <v>2</v>
      </c>
      <c r="K257" s="1186"/>
    </row>
    <row r="258" spans="1:11" x14ac:dyDescent="0.2">
      <c r="A258" s="1186" t="s">
        <v>496</v>
      </c>
      <c r="B258" s="1186" t="s">
        <v>282</v>
      </c>
      <c r="C258" s="1186" t="s">
        <v>50</v>
      </c>
      <c r="D258" s="1186">
        <v>200</v>
      </c>
      <c r="E258" s="1186">
        <v>67</v>
      </c>
      <c r="F258" s="1186">
        <v>85</v>
      </c>
      <c r="G258" s="1186">
        <v>47</v>
      </c>
      <c r="H258" s="1186">
        <v>1</v>
      </c>
      <c r="I258" s="1186"/>
      <c r="J258" s="1186"/>
      <c r="K258" s="1186"/>
    </row>
    <row r="259" spans="1:11" x14ac:dyDescent="0.2">
      <c r="A259" s="1186" t="s">
        <v>496</v>
      </c>
      <c r="B259" s="1186" t="s">
        <v>282</v>
      </c>
      <c r="C259" s="1186" t="s">
        <v>51</v>
      </c>
      <c r="D259" s="1186">
        <v>260</v>
      </c>
      <c r="E259" s="1186">
        <v>97</v>
      </c>
      <c r="F259" s="1186">
        <v>123</v>
      </c>
      <c r="G259" s="1186">
        <v>38</v>
      </c>
      <c r="H259" s="1186">
        <v>1</v>
      </c>
      <c r="I259" s="1186">
        <v>1</v>
      </c>
      <c r="J259" s="1186"/>
      <c r="K259" s="1186"/>
    </row>
    <row r="260" spans="1:11" x14ac:dyDescent="0.2">
      <c r="A260" s="1186" t="s">
        <v>496</v>
      </c>
      <c r="B260" s="1186" t="s">
        <v>282</v>
      </c>
      <c r="C260" s="1186" t="s">
        <v>52</v>
      </c>
      <c r="D260" s="1186">
        <v>345</v>
      </c>
      <c r="E260" s="1186">
        <v>152</v>
      </c>
      <c r="F260" s="1186">
        <v>152</v>
      </c>
      <c r="G260" s="1186">
        <v>36</v>
      </c>
      <c r="H260" s="1186">
        <v>5</v>
      </c>
      <c r="I260" s="1186"/>
      <c r="J260" s="1186"/>
      <c r="K260" s="1186"/>
    </row>
    <row r="261" spans="1:11" x14ac:dyDescent="0.2">
      <c r="A261" s="1186" t="s">
        <v>496</v>
      </c>
      <c r="B261" s="1186" t="s">
        <v>311</v>
      </c>
      <c r="C261" s="1186" t="s">
        <v>23</v>
      </c>
      <c r="D261" s="1186">
        <v>451</v>
      </c>
      <c r="E261" s="1186">
        <v>99</v>
      </c>
      <c r="F261" s="1186">
        <v>243</v>
      </c>
      <c r="G261" s="1186">
        <v>103</v>
      </c>
      <c r="H261" s="1186">
        <v>5</v>
      </c>
      <c r="I261" s="1186">
        <v>1</v>
      </c>
      <c r="J261" s="1186"/>
      <c r="K261" s="1186"/>
    </row>
    <row r="262" spans="1:11" x14ac:dyDescent="0.2">
      <c r="A262" s="1186" t="s">
        <v>496</v>
      </c>
      <c r="B262" s="1186" t="s">
        <v>311</v>
      </c>
      <c r="C262" s="1186" t="s">
        <v>24</v>
      </c>
      <c r="D262" s="1186">
        <v>388</v>
      </c>
      <c r="E262" s="1186">
        <v>112</v>
      </c>
      <c r="F262" s="1186">
        <v>220</v>
      </c>
      <c r="G262" s="1186">
        <v>45</v>
      </c>
      <c r="H262" s="1186">
        <v>11</v>
      </c>
      <c r="I262" s="1186"/>
      <c r="J262" s="1186"/>
      <c r="K262" s="1186"/>
    </row>
    <row r="263" spans="1:11" x14ac:dyDescent="0.2">
      <c r="A263" s="1186" t="s">
        <v>496</v>
      </c>
      <c r="B263" s="1186" t="s">
        <v>311</v>
      </c>
      <c r="C263" s="1186" t="s">
        <v>25</v>
      </c>
      <c r="D263" s="1186">
        <v>159</v>
      </c>
      <c r="E263" s="1186">
        <v>50</v>
      </c>
      <c r="F263" s="1186">
        <v>88</v>
      </c>
      <c r="G263" s="1186">
        <v>19</v>
      </c>
      <c r="H263" s="1186">
        <v>1</v>
      </c>
      <c r="I263" s="1186">
        <v>1</v>
      </c>
      <c r="J263" s="1186"/>
      <c r="K263" s="1186"/>
    </row>
    <row r="264" spans="1:11" x14ac:dyDescent="0.2">
      <c r="A264" s="1186" t="s">
        <v>496</v>
      </c>
      <c r="B264" s="1186" t="s">
        <v>311</v>
      </c>
      <c r="C264" s="1186" t="s">
        <v>26</v>
      </c>
      <c r="D264" s="1186">
        <v>187</v>
      </c>
      <c r="E264" s="1186">
        <v>67</v>
      </c>
      <c r="F264" s="1186">
        <v>100</v>
      </c>
      <c r="G264" s="1186">
        <v>18</v>
      </c>
      <c r="H264" s="1186">
        <v>2</v>
      </c>
      <c r="I264" s="1186"/>
      <c r="J264" s="1186"/>
      <c r="K264" s="1186"/>
    </row>
    <row r="265" spans="1:11" x14ac:dyDescent="0.2">
      <c r="A265" s="1186" t="s">
        <v>496</v>
      </c>
      <c r="B265" s="1186" t="s">
        <v>311</v>
      </c>
      <c r="C265" s="1186" t="s">
        <v>619</v>
      </c>
      <c r="D265" s="1186">
        <v>1035</v>
      </c>
      <c r="E265" s="1186">
        <v>296</v>
      </c>
      <c r="F265" s="1186">
        <v>343</v>
      </c>
      <c r="G265" s="1186">
        <v>384</v>
      </c>
      <c r="H265" s="1186">
        <v>7</v>
      </c>
      <c r="I265" s="1186">
        <v>3</v>
      </c>
      <c r="J265" s="1186">
        <v>2</v>
      </c>
      <c r="K265" s="1186"/>
    </row>
    <row r="266" spans="1:11" x14ac:dyDescent="0.2">
      <c r="A266" s="1186" t="s">
        <v>496</v>
      </c>
      <c r="B266" s="1186" t="s">
        <v>311</v>
      </c>
      <c r="C266" s="1186" t="s">
        <v>27</v>
      </c>
      <c r="D266" s="1186">
        <v>93</v>
      </c>
      <c r="E266" s="1186">
        <v>34</v>
      </c>
      <c r="F266" s="1186">
        <v>36</v>
      </c>
      <c r="G266" s="1186">
        <v>21</v>
      </c>
      <c r="H266" s="1186">
        <v>2</v>
      </c>
      <c r="I266" s="1186"/>
      <c r="J266" s="1186"/>
      <c r="K266" s="1186"/>
    </row>
    <row r="267" spans="1:11" x14ac:dyDescent="0.2">
      <c r="A267" s="1186" t="s">
        <v>496</v>
      </c>
      <c r="B267" s="1186" t="s">
        <v>311</v>
      </c>
      <c r="C267" s="1186" t="s">
        <v>28</v>
      </c>
      <c r="D267" s="1186">
        <v>223</v>
      </c>
      <c r="E267" s="1186">
        <v>72</v>
      </c>
      <c r="F267" s="1186">
        <v>118</v>
      </c>
      <c r="G267" s="1186">
        <v>28</v>
      </c>
      <c r="H267" s="1186">
        <v>4</v>
      </c>
      <c r="I267" s="1186"/>
      <c r="J267" s="1186"/>
      <c r="K267" s="1186">
        <v>1</v>
      </c>
    </row>
    <row r="268" spans="1:11" x14ac:dyDescent="0.2">
      <c r="A268" s="1186" t="s">
        <v>496</v>
      </c>
      <c r="B268" s="1186" t="s">
        <v>311</v>
      </c>
      <c r="C268" s="1186" t="s">
        <v>29</v>
      </c>
      <c r="D268" s="1186">
        <v>339</v>
      </c>
      <c r="E268" s="1186">
        <v>75</v>
      </c>
      <c r="F268" s="1186">
        <v>204</v>
      </c>
      <c r="G268" s="1186">
        <v>58</v>
      </c>
      <c r="H268" s="1186">
        <v>1</v>
      </c>
      <c r="I268" s="1186"/>
      <c r="J268" s="1186">
        <v>1</v>
      </c>
      <c r="K268" s="1186"/>
    </row>
    <row r="269" spans="1:11" x14ac:dyDescent="0.2">
      <c r="A269" s="1186" t="s">
        <v>496</v>
      </c>
      <c r="B269" s="1186" t="s">
        <v>311</v>
      </c>
      <c r="C269" s="1186" t="s">
        <v>30</v>
      </c>
      <c r="D269" s="1186">
        <v>180</v>
      </c>
      <c r="E269" s="1186">
        <v>79</v>
      </c>
      <c r="F269" s="1186">
        <v>82</v>
      </c>
      <c r="G269" s="1186">
        <v>14</v>
      </c>
      <c r="H269" s="1186">
        <v>4</v>
      </c>
      <c r="I269" s="1186">
        <v>1</v>
      </c>
      <c r="J269" s="1186"/>
      <c r="K269" s="1186"/>
    </row>
    <row r="270" spans="1:11" x14ac:dyDescent="0.2">
      <c r="A270" s="1186" t="s">
        <v>496</v>
      </c>
      <c r="B270" s="1186" t="s">
        <v>311</v>
      </c>
      <c r="C270" s="1186" t="s">
        <v>31</v>
      </c>
      <c r="D270" s="1186">
        <v>158</v>
      </c>
      <c r="E270" s="1186">
        <v>75</v>
      </c>
      <c r="F270" s="1186">
        <v>63</v>
      </c>
      <c r="G270" s="1186">
        <v>17</v>
      </c>
      <c r="H270" s="1186">
        <v>3</v>
      </c>
      <c r="I270" s="1186"/>
      <c r="J270" s="1186"/>
      <c r="K270" s="1186"/>
    </row>
    <row r="271" spans="1:11" x14ac:dyDescent="0.2">
      <c r="A271" s="1186" t="s">
        <v>496</v>
      </c>
      <c r="B271" s="1186" t="s">
        <v>311</v>
      </c>
      <c r="C271" s="1186" t="s">
        <v>32</v>
      </c>
      <c r="D271" s="1186">
        <v>188</v>
      </c>
      <c r="E271" s="1186">
        <v>77</v>
      </c>
      <c r="F271" s="1186">
        <v>87</v>
      </c>
      <c r="G271" s="1186">
        <v>22</v>
      </c>
      <c r="H271" s="1186">
        <v>2</v>
      </c>
      <c r="I271" s="1186"/>
      <c r="J271" s="1186"/>
      <c r="K271" s="1186"/>
    </row>
    <row r="272" spans="1:11" x14ac:dyDescent="0.2">
      <c r="A272" s="1186" t="s">
        <v>496</v>
      </c>
      <c r="B272" s="1186" t="s">
        <v>311</v>
      </c>
      <c r="C272" s="1186" t="s">
        <v>33</v>
      </c>
      <c r="D272" s="1186">
        <v>130</v>
      </c>
      <c r="E272" s="1186">
        <v>62</v>
      </c>
      <c r="F272" s="1186">
        <v>54</v>
      </c>
      <c r="G272" s="1186">
        <v>10</v>
      </c>
      <c r="H272" s="1186">
        <v>2</v>
      </c>
      <c r="I272" s="1186">
        <v>1</v>
      </c>
      <c r="J272" s="1186">
        <v>1</v>
      </c>
      <c r="K272" s="1186"/>
    </row>
    <row r="273" spans="1:11" x14ac:dyDescent="0.2">
      <c r="A273" s="1186" t="s">
        <v>496</v>
      </c>
      <c r="B273" s="1186" t="s">
        <v>311</v>
      </c>
      <c r="C273" s="1186" t="s">
        <v>34</v>
      </c>
      <c r="D273" s="1186">
        <v>339</v>
      </c>
      <c r="E273" s="1186">
        <v>127</v>
      </c>
      <c r="F273" s="1186">
        <v>147</v>
      </c>
      <c r="G273" s="1186">
        <v>59</v>
      </c>
      <c r="H273" s="1186">
        <v>3</v>
      </c>
      <c r="I273" s="1186">
        <v>1</v>
      </c>
      <c r="J273" s="1186">
        <v>2</v>
      </c>
      <c r="K273" s="1186"/>
    </row>
    <row r="274" spans="1:11" x14ac:dyDescent="0.2">
      <c r="A274" s="1186" t="s">
        <v>496</v>
      </c>
      <c r="B274" s="1186" t="s">
        <v>311</v>
      </c>
      <c r="C274" s="1186" t="s">
        <v>35</v>
      </c>
      <c r="D274" s="1186">
        <v>647</v>
      </c>
      <c r="E274" s="1186">
        <v>208</v>
      </c>
      <c r="F274" s="1186">
        <v>342</v>
      </c>
      <c r="G274" s="1186">
        <v>85</v>
      </c>
      <c r="H274" s="1186">
        <v>9</v>
      </c>
      <c r="I274" s="1186">
        <v>2</v>
      </c>
      <c r="J274" s="1186">
        <v>1</v>
      </c>
      <c r="K274" s="1186"/>
    </row>
    <row r="275" spans="1:11" x14ac:dyDescent="0.2">
      <c r="A275" s="1186" t="s">
        <v>496</v>
      </c>
      <c r="B275" s="1186" t="s">
        <v>311</v>
      </c>
      <c r="C275" s="1186" t="s">
        <v>36</v>
      </c>
      <c r="D275" s="1186">
        <v>1709</v>
      </c>
      <c r="E275" s="1186">
        <v>438</v>
      </c>
      <c r="F275" s="1186">
        <v>562</v>
      </c>
      <c r="G275" s="1186">
        <v>685</v>
      </c>
      <c r="H275" s="1186">
        <v>18</v>
      </c>
      <c r="I275" s="1186">
        <v>2</v>
      </c>
      <c r="J275" s="1186">
        <v>4</v>
      </c>
      <c r="K275" s="1186"/>
    </row>
    <row r="276" spans="1:11" x14ac:dyDescent="0.2">
      <c r="A276" s="1186" t="s">
        <v>496</v>
      </c>
      <c r="B276" s="1186" t="s">
        <v>311</v>
      </c>
      <c r="C276" s="1186" t="s">
        <v>37</v>
      </c>
      <c r="D276" s="1186">
        <v>352</v>
      </c>
      <c r="E276" s="1186">
        <v>120</v>
      </c>
      <c r="F276" s="1186">
        <v>166</v>
      </c>
      <c r="G276" s="1186">
        <v>53</v>
      </c>
      <c r="H276" s="1186">
        <v>6</v>
      </c>
      <c r="I276" s="1186">
        <v>5</v>
      </c>
      <c r="J276" s="1186">
        <v>2</v>
      </c>
      <c r="K276" s="1186"/>
    </row>
    <row r="277" spans="1:11" x14ac:dyDescent="0.2">
      <c r="A277" s="1186" t="s">
        <v>496</v>
      </c>
      <c r="B277" s="1186" t="s">
        <v>311</v>
      </c>
      <c r="C277" s="1186" t="s">
        <v>38</v>
      </c>
      <c r="D277" s="1186">
        <v>189</v>
      </c>
      <c r="E277" s="1186">
        <v>68</v>
      </c>
      <c r="F277" s="1186">
        <v>68</v>
      </c>
      <c r="G277" s="1186">
        <v>50</v>
      </c>
      <c r="H277" s="1186">
        <v>2</v>
      </c>
      <c r="I277" s="1186">
        <v>1</v>
      </c>
      <c r="J277" s="1186"/>
      <c r="K277" s="1186"/>
    </row>
    <row r="278" spans="1:11" x14ac:dyDescent="0.2">
      <c r="A278" s="1186" t="s">
        <v>496</v>
      </c>
      <c r="B278" s="1186" t="s">
        <v>311</v>
      </c>
      <c r="C278" s="1186" t="s">
        <v>39</v>
      </c>
      <c r="D278" s="1186">
        <v>209</v>
      </c>
      <c r="E278" s="1186">
        <v>141</v>
      </c>
      <c r="F278" s="1186">
        <v>52</v>
      </c>
      <c r="G278" s="1186">
        <v>13</v>
      </c>
      <c r="H278" s="1186">
        <v>3</v>
      </c>
      <c r="I278" s="1186"/>
      <c r="J278" s="1186"/>
      <c r="K278" s="1186"/>
    </row>
    <row r="279" spans="1:11" x14ac:dyDescent="0.2">
      <c r="A279" s="1186" t="s">
        <v>496</v>
      </c>
      <c r="B279" s="1186" t="s">
        <v>311</v>
      </c>
      <c r="C279" s="1186" t="s">
        <v>40</v>
      </c>
      <c r="D279" s="1186">
        <v>111</v>
      </c>
      <c r="E279" s="1186">
        <v>40</v>
      </c>
      <c r="F279" s="1186">
        <v>53</v>
      </c>
      <c r="G279" s="1186">
        <v>15</v>
      </c>
      <c r="H279" s="1186">
        <v>3</v>
      </c>
      <c r="I279" s="1186"/>
      <c r="J279" s="1186"/>
      <c r="K279" s="1186"/>
    </row>
    <row r="280" spans="1:11" x14ac:dyDescent="0.2">
      <c r="A280" s="1186" t="s">
        <v>496</v>
      </c>
      <c r="B280" s="1186" t="s">
        <v>311</v>
      </c>
      <c r="C280" s="1186" t="s">
        <v>295</v>
      </c>
      <c r="D280" s="1186">
        <v>37</v>
      </c>
      <c r="E280" s="1186">
        <v>12</v>
      </c>
      <c r="F280" s="1186">
        <v>20</v>
      </c>
      <c r="G280" s="1186">
        <v>3</v>
      </c>
      <c r="H280" s="1186">
        <v>1</v>
      </c>
      <c r="I280" s="1186"/>
      <c r="J280" s="1186">
        <v>1</v>
      </c>
      <c r="K280" s="1186"/>
    </row>
    <row r="281" spans="1:11" x14ac:dyDescent="0.2">
      <c r="A281" s="1186" t="s">
        <v>496</v>
      </c>
      <c r="B281" s="1186" t="s">
        <v>311</v>
      </c>
      <c r="C281" s="1186" t="s">
        <v>41</v>
      </c>
      <c r="D281" s="1186">
        <v>270</v>
      </c>
      <c r="E281" s="1186">
        <v>107</v>
      </c>
      <c r="F281" s="1186">
        <v>125</v>
      </c>
      <c r="G281" s="1186">
        <v>35</v>
      </c>
      <c r="H281" s="1186">
        <v>3</v>
      </c>
      <c r="I281" s="1186"/>
      <c r="J281" s="1186"/>
      <c r="K281" s="1186"/>
    </row>
    <row r="282" spans="1:11" x14ac:dyDescent="0.2">
      <c r="A282" s="1186" t="s">
        <v>496</v>
      </c>
      <c r="B282" s="1186" t="s">
        <v>311</v>
      </c>
      <c r="C282" s="1186" t="s">
        <v>42</v>
      </c>
      <c r="D282" s="1186">
        <v>655</v>
      </c>
      <c r="E282" s="1186">
        <v>244</v>
      </c>
      <c r="F282" s="1186">
        <v>314</v>
      </c>
      <c r="G282" s="1186">
        <v>91</v>
      </c>
      <c r="H282" s="1186">
        <v>4</v>
      </c>
      <c r="I282" s="1186">
        <v>2</v>
      </c>
      <c r="J282" s="1186"/>
      <c r="K282" s="1186"/>
    </row>
    <row r="283" spans="1:11" x14ac:dyDescent="0.2">
      <c r="A283" s="1186" t="s">
        <v>496</v>
      </c>
      <c r="B283" s="1186" t="s">
        <v>311</v>
      </c>
      <c r="C283" s="1186" t="s">
        <v>43</v>
      </c>
      <c r="D283" s="1186">
        <v>14</v>
      </c>
      <c r="E283" s="1186">
        <v>7</v>
      </c>
      <c r="F283" s="1186">
        <v>6</v>
      </c>
      <c r="G283" s="1186">
        <v>1</v>
      </c>
      <c r="H283" s="1186"/>
      <c r="I283" s="1186"/>
      <c r="J283" s="1186"/>
      <c r="K283" s="1186"/>
    </row>
    <row r="284" spans="1:11" x14ac:dyDescent="0.2">
      <c r="A284" s="1186" t="s">
        <v>496</v>
      </c>
      <c r="B284" s="1186" t="s">
        <v>311</v>
      </c>
      <c r="C284" s="1186" t="s">
        <v>44</v>
      </c>
      <c r="D284" s="1186">
        <v>231</v>
      </c>
      <c r="E284" s="1186">
        <v>67</v>
      </c>
      <c r="F284" s="1186">
        <v>123</v>
      </c>
      <c r="G284" s="1186">
        <v>36</v>
      </c>
      <c r="H284" s="1186"/>
      <c r="I284" s="1186">
        <v>4</v>
      </c>
      <c r="J284" s="1186">
        <v>1</v>
      </c>
      <c r="K284" s="1186"/>
    </row>
    <row r="285" spans="1:11" x14ac:dyDescent="0.2">
      <c r="A285" s="1186" t="s">
        <v>496</v>
      </c>
      <c r="B285" s="1186" t="s">
        <v>311</v>
      </c>
      <c r="C285" s="1186" t="s">
        <v>45</v>
      </c>
      <c r="D285" s="1186">
        <v>393</v>
      </c>
      <c r="E285" s="1186">
        <v>138</v>
      </c>
      <c r="F285" s="1186">
        <v>158</v>
      </c>
      <c r="G285" s="1186">
        <v>91</v>
      </c>
      <c r="H285" s="1186">
        <v>5</v>
      </c>
      <c r="I285" s="1186"/>
      <c r="J285" s="1186">
        <v>1</v>
      </c>
      <c r="K285" s="1186"/>
    </row>
    <row r="286" spans="1:11" x14ac:dyDescent="0.2">
      <c r="A286" s="1186" t="s">
        <v>496</v>
      </c>
      <c r="B286" s="1186" t="s">
        <v>311</v>
      </c>
      <c r="C286" s="1186" t="s">
        <v>46</v>
      </c>
      <c r="D286" s="1186">
        <v>204</v>
      </c>
      <c r="E286" s="1186">
        <v>107</v>
      </c>
      <c r="F286" s="1186">
        <v>78</v>
      </c>
      <c r="G286" s="1186">
        <v>14</v>
      </c>
      <c r="H286" s="1186">
        <v>4</v>
      </c>
      <c r="I286" s="1186"/>
      <c r="J286" s="1186">
        <v>1</v>
      </c>
      <c r="K286" s="1186"/>
    </row>
    <row r="287" spans="1:11" x14ac:dyDescent="0.2">
      <c r="A287" s="1186" t="s">
        <v>496</v>
      </c>
      <c r="B287" s="1186" t="s">
        <v>311</v>
      </c>
      <c r="C287" s="1186" t="s">
        <v>47</v>
      </c>
      <c r="D287" s="1186">
        <v>32</v>
      </c>
      <c r="E287" s="1186">
        <v>12</v>
      </c>
      <c r="F287" s="1186">
        <v>14</v>
      </c>
      <c r="G287" s="1186">
        <v>5</v>
      </c>
      <c r="H287" s="1186">
        <v>1</v>
      </c>
      <c r="I287" s="1186"/>
      <c r="J287" s="1186"/>
      <c r="K287" s="1186"/>
    </row>
    <row r="288" spans="1:11" x14ac:dyDescent="0.2">
      <c r="A288" s="1186" t="s">
        <v>496</v>
      </c>
      <c r="B288" s="1186" t="s">
        <v>311</v>
      </c>
      <c r="C288" s="1186" t="s">
        <v>48</v>
      </c>
      <c r="D288" s="1186">
        <v>205</v>
      </c>
      <c r="E288" s="1186">
        <v>67</v>
      </c>
      <c r="F288" s="1186">
        <v>103</v>
      </c>
      <c r="G288" s="1186">
        <v>31</v>
      </c>
      <c r="H288" s="1186">
        <v>2</v>
      </c>
      <c r="I288" s="1186">
        <v>1</v>
      </c>
      <c r="J288" s="1186">
        <v>1</v>
      </c>
      <c r="K288" s="1186"/>
    </row>
    <row r="289" spans="1:11" x14ac:dyDescent="0.2">
      <c r="A289" s="1186" t="s">
        <v>496</v>
      </c>
      <c r="B289" s="1186" t="s">
        <v>311</v>
      </c>
      <c r="C289" s="1186" t="s">
        <v>49</v>
      </c>
      <c r="D289" s="1186">
        <v>584</v>
      </c>
      <c r="E289" s="1186">
        <v>216</v>
      </c>
      <c r="F289" s="1186">
        <v>266</v>
      </c>
      <c r="G289" s="1186">
        <v>91</v>
      </c>
      <c r="H289" s="1186">
        <v>10</v>
      </c>
      <c r="I289" s="1186">
        <v>1</v>
      </c>
      <c r="J289" s="1186"/>
      <c r="K289" s="1186"/>
    </row>
    <row r="290" spans="1:11" x14ac:dyDescent="0.2">
      <c r="A290" s="1186" t="s">
        <v>496</v>
      </c>
      <c r="B290" s="1186" t="s">
        <v>311</v>
      </c>
      <c r="C290" s="1186" t="s">
        <v>50</v>
      </c>
      <c r="D290" s="1186">
        <v>180</v>
      </c>
      <c r="E290" s="1186">
        <v>58</v>
      </c>
      <c r="F290" s="1186">
        <v>78</v>
      </c>
      <c r="G290" s="1186">
        <v>39</v>
      </c>
      <c r="H290" s="1186">
        <v>2</v>
      </c>
      <c r="I290" s="1186">
        <v>2</v>
      </c>
      <c r="J290" s="1186">
        <v>1</v>
      </c>
      <c r="K290" s="1186"/>
    </row>
    <row r="291" spans="1:11" x14ac:dyDescent="0.2">
      <c r="A291" s="1186" t="s">
        <v>496</v>
      </c>
      <c r="B291" s="1186" t="s">
        <v>311</v>
      </c>
      <c r="C291" s="1186" t="s">
        <v>51</v>
      </c>
      <c r="D291" s="1186">
        <v>269</v>
      </c>
      <c r="E291" s="1186">
        <v>102</v>
      </c>
      <c r="F291" s="1186">
        <v>125</v>
      </c>
      <c r="G291" s="1186">
        <v>37</v>
      </c>
      <c r="H291" s="1186">
        <v>2</v>
      </c>
      <c r="I291" s="1186">
        <v>1</v>
      </c>
      <c r="J291" s="1186">
        <v>2</v>
      </c>
      <c r="K291" s="1186"/>
    </row>
    <row r="292" spans="1:11" x14ac:dyDescent="0.2">
      <c r="A292" s="1186" t="s">
        <v>496</v>
      </c>
      <c r="B292" s="1186" t="s">
        <v>311</v>
      </c>
      <c r="C292" s="1186" t="s">
        <v>52</v>
      </c>
      <c r="D292" s="1186">
        <v>420</v>
      </c>
      <c r="E292" s="1186">
        <v>197</v>
      </c>
      <c r="F292" s="1186">
        <v>174</v>
      </c>
      <c r="G292" s="1186">
        <v>45</v>
      </c>
      <c r="H292" s="1186">
        <v>3</v>
      </c>
      <c r="I292" s="1186"/>
      <c r="J292" s="1186">
        <v>1</v>
      </c>
      <c r="K292" s="1186"/>
    </row>
    <row r="293" spans="1:11" x14ac:dyDescent="0.2">
      <c r="A293" s="1186" t="s">
        <v>496</v>
      </c>
      <c r="B293" s="1186" t="s">
        <v>621</v>
      </c>
      <c r="C293" s="1186" t="s">
        <v>23</v>
      </c>
      <c r="D293" s="1186">
        <v>491</v>
      </c>
      <c r="E293" s="1186">
        <v>78</v>
      </c>
      <c r="F293" s="1186">
        <v>304</v>
      </c>
      <c r="G293" s="1186">
        <v>97</v>
      </c>
      <c r="H293" s="1186">
        <v>10</v>
      </c>
      <c r="I293" s="1186">
        <v>1</v>
      </c>
      <c r="J293" s="1186">
        <v>1</v>
      </c>
      <c r="K293" s="1186"/>
    </row>
    <row r="294" spans="1:11" x14ac:dyDescent="0.2">
      <c r="A294" s="1186" t="s">
        <v>496</v>
      </c>
      <c r="B294" s="1186" t="s">
        <v>621</v>
      </c>
      <c r="C294" s="1186" t="s">
        <v>24</v>
      </c>
      <c r="D294" s="1186">
        <v>383</v>
      </c>
      <c r="E294" s="1186">
        <v>126</v>
      </c>
      <c r="F294" s="1186">
        <v>204</v>
      </c>
      <c r="G294" s="1186">
        <v>40</v>
      </c>
      <c r="H294" s="1186">
        <v>9</v>
      </c>
      <c r="I294" s="1186">
        <v>4</v>
      </c>
      <c r="J294" s="1186"/>
      <c r="K294" s="1186"/>
    </row>
    <row r="295" spans="1:11" x14ac:dyDescent="0.2">
      <c r="A295" s="1186" t="s">
        <v>496</v>
      </c>
      <c r="B295" s="1186" t="s">
        <v>621</v>
      </c>
      <c r="C295" s="1186" t="s">
        <v>25</v>
      </c>
      <c r="D295" s="1186">
        <v>166</v>
      </c>
      <c r="E295" s="1186">
        <v>49</v>
      </c>
      <c r="F295" s="1186">
        <v>96</v>
      </c>
      <c r="G295" s="1186">
        <v>16</v>
      </c>
      <c r="H295" s="1186">
        <v>5</v>
      </c>
      <c r="I295" s="1186"/>
      <c r="J295" s="1186"/>
      <c r="K295" s="1186"/>
    </row>
    <row r="296" spans="1:11" x14ac:dyDescent="0.2">
      <c r="A296" s="1186" t="s">
        <v>496</v>
      </c>
      <c r="B296" s="1186" t="s">
        <v>621</v>
      </c>
      <c r="C296" s="1186" t="s">
        <v>26</v>
      </c>
      <c r="D296" s="1186">
        <v>174</v>
      </c>
      <c r="E296" s="1186">
        <v>66</v>
      </c>
      <c r="F296" s="1186">
        <v>91</v>
      </c>
      <c r="G296" s="1186">
        <v>14</v>
      </c>
      <c r="H296" s="1186">
        <v>3</v>
      </c>
      <c r="I296" s="1186"/>
      <c r="J296" s="1186"/>
      <c r="K296" s="1186"/>
    </row>
    <row r="297" spans="1:11" x14ac:dyDescent="0.2">
      <c r="A297" s="1186" t="s">
        <v>496</v>
      </c>
      <c r="B297" s="1186" t="s">
        <v>621</v>
      </c>
      <c r="C297" s="1186" t="s">
        <v>619</v>
      </c>
      <c r="D297" s="1186">
        <v>980</v>
      </c>
      <c r="E297" s="1186">
        <v>245</v>
      </c>
      <c r="F297" s="1186">
        <v>338</v>
      </c>
      <c r="G297" s="1186">
        <v>371</v>
      </c>
      <c r="H297" s="1186">
        <v>17</v>
      </c>
      <c r="I297" s="1186">
        <v>6</v>
      </c>
      <c r="J297" s="1186">
        <v>2</v>
      </c>
      <c r="K297" s="1186">
        <v>1</v>
      </c>
    </row>
    <row r="298" spans="1:11" x14ac:dyDescent="0.2">
      <c r="A298" s="1186" t="s">
        <v>496</v>
      </c>
      <c r="B298" s="1186" t="s">
        <v>621</v>
      </c>
      <c r="C298" s="1186" t="s">
        <v>27</v>
      </c>
      <c r="D298" s="1186">
        <v>80</v>
      </c>
      <c r="E298" s="1186">
        <v>38</v>
      </c>
      <c r="F298" s="1186">
        <v>31</v>
      </c>
      <c r="G298" s="1186">
        <v>11</v>
      </c>
      <c r="H298" s="1186"/>
      <c r="I298" s="1186"/>
      <c r="J298" s="1186"/>
      <c r="K298" s="1186"/>
    </row>
    <row r="299" spans="1:11" x14ac:dyDescent="0.2">
      <c r="A299" s="1186" t="s">
        <v>496</v>
      </c>
      <c r="B299" s="1186" t="s">
        <v>621</v>
      </c>
      <c r="C299" s="1186" t="s">
        <v>28</v>
      </c>
      <c r="D299" s="1186">
        <v>215</v>
      </c>
      <c r="E299" s="1186">
        <v>62</v>
      </c>
      <c r="F299" s="1186">
        <v>114</v>
      </c>
      <c r="G299" s="1186">
        <v>33</v>
      </c>
      <c r="H299" s="1186">
        <v>2</v>
      </c>
      <c r="I299" s="1186">
        <v>1</v>
      </c>
      <c r="J299" s="1186">
        <v>1</v>
      </c>
      <c r="K299" s="1186">
        <v>2</v>
      </c>
    </row>
    <row r="300" spans="1:11" x14ac:dyDescent="0.2">
      <c r="A300" s="1186" t="s">
        <v>496</v>
      </c>
      <c r="B300" s="1186" t="s">
        <v>621</v>
      </c>
      <c r="C300" s="1186" t="s">
        <v>29</v>
      </c>
      <c r="D300" s="1186">
        <v>330</v>
      </c>
      <c r="E300" s="1186">
        <v>63</v>
      </c>
      <c r="F300" s="1186">
        <v>204</v>
      </c>
      <c r="G300" s="1186">
        <v>59</v>
      </c>
      <c r="H300" s="1186">
        <v>2</v>
      </c>
      <c r="I300" s="1186">
        <v>1</v>
      </c>
      <c r="J300" s="1186">
        <v>1</v>
      </c>
      <c r="K300" s="1186"/>
    </row>
    <row r="301" spans="1:11" x14ac:dyDescent="0.2">
      <c r="A301" s="1186" t="s">
        <v>496</v>
      </c>
      <c r="B301" s="1186" t="s">
        <v>621</v>
      </c>
      <c r="C301" s="1186" t="s">
        <v>30</v>
      </c>
      <c r="D301" s="1186">
        <v>216</v>
      </c>
      <c r="E301" s="1186">
        <v>106</v>
      </c>
      <c r="F301" s="1186">
        <v>87</v>
      </c>
      <c r="G301" s="1186">
        <v>22</v>
      </c>
      <c r="H301" s="1186"/>
      <c r="I301" s="1186">
        <v>1</v>
      </c>
      <c r="J301" s="1186"/>
      <c r="K301" s="1186"/>
    </row>
    <row r="302" spans="1:11" x14ac:dyDescent="0.2">
      <c r="A302" s="1186" t="s">
        <v>496</v>
      </c>
      <c r="B302" s="1186" t="s">
        <v>621</v>
      </c>
      <c r="C302" s="1186" t="s">
        <v>31</v>
      </c>
      <c r="D302" s="1186">
        <v>164</v>
      </c>
      <c r="E302" s="1186">
        <v>82</v>
      </c>
      <c r="F302" s="1186">
        <v>62</v>
      </c>
      <c r="G302" s="1186">
        <v>18</v>
      </c>
      <c r="H302" s="1186">
        <v>1</v>
      </c>
      <c r="I302" s="1186"/>
      <c r="J302" s="1186">
        <v>1</v>
      </c>
      <c r="K302" s="1186"/>
    </row>
    <row r="303" spans="1:11" x14ac:dyDescent="0.2">
      <c r="A303" s="1186" t="s">
        <v>496</v>
      </c>
      <c r="B303" s="1186" t="s">
        <v>621</v>
      </c>
      <c r="C303" s="1186" t="s">
        <v>32</v>
      </c>
      <c r="D303" s="1186">
        <v>213</v>
      </c>
      <c r="E303" s="1186">
        <v>112</v>
      </c>
      <c r="F303" s="1186">
        <v>77</v>
      </c>
      <c r="G303" s="1186">
        <v>19</v>
      </c>
      <c r="H303" s="1186">
        <v>2</v>
      </c>
      <c r="I303" s="1186">
        <v>2</v>
      </c>
      <c r="J303" s="1186">
        <v>1</v>
      </c>
      <c r="K303" s="1186"/>
    </row>
    <row r="304" spans="1:11" x14ac:dyDescent="0.2">
      <c r="A304" s="1186" t="s">
        <v>496</v>
      </c>
      <c r="B304" s="1186" t="s">
        <v>621</v>
      </c>
      <c r="C304" s="1186" t="s">
        <v>33</v>
      </c>
      <c r="D304" s="1186">
        <v>120</v>
      </c>
      <c r="E304" s="1186">
        <v>67</v>
      </c>
      <c r="F304" s="1186">
        <v>45</v>
      </c>
      <c r="G304" s="1186">
        <v>8</v>
      </c>
      <c r="H304" s="1186"/>
      <c r="I304" s="1186"/>
      <c r="J304" s="1186"/>
      <c r="K304" s="1186"/>
    </row>
    <row r="305" spans="1:11" x14ac:dyDescent="0.2">
      <c r="A305" s="1186" t="s">
        <v>496</v>
      </c>
      <c r="B305" s="1186" t="s">
        <v>621</v>
      </c>
      <c r="C305" s="1186" t="s">
        <v>34</v>
      </c>
      <c r="D305" s="1186">
        <v>293</v>
      </c>
      <c r="E305" s="1186">
        <v>107</v>
      </c>
      <c r="F305" s="1186">
        <v>128</v>
      </c>
      <c r="G305" s="1186">
        <v>54</v>
      </c>
      <c r="H305" s="1186">
        <v>4</v>
      </c>
      <c r="I305" s="1186"/>
      <c r="J305" s="1186"/>
      <c r="K305" s="1186"/>
    </row>
    <row r="306" spans="1:11" x14ac:dyDescent="0.2">
      <c r="A306" s="1186" t="s">
        <v>496</v>
      </c>
      <c r="B306" s="1186" t="s">
        <v>621</v>
      </c>
      <c r="C306" s="1186" t="s">
        <v>35</v>
      </c>
      <c r="D306" s="1186">
        <v>605</v>
      </c>
      <c r="E306" s="1186">
        <v>200</v>
      </c>
      <c r="F306" s="1186">
        <v>300</v>
      </c>
      <c r="G306" s="1186">
        <v>89</v>
      </c>
      <c r="H306" s="1186">
        <v>10</v>
      </c>
      <c r="I306" s="1186">
        <v>3</v>
      </c>
      <c r="J306" s="1186">
        <v>3</v>
      </c>
      <c r="K306" s="1186"/>
    </row>
    <row r="307" spans="1:11" x14ac:dyDescent="0.2">
      <c r="A307" s="1186" t="s">
        <v>496</v>
      </c>
      <c r="B307" s="1186" t="s">
        <v>621</v>
      </c>
      <c r="C307" s="1186" t="s">
        <v>36</v>
      </c>
      <c r="D307" s="1186">
        <v>1643</v>
      </c>
      <c r="E307" s="1186">
        <v>427</v>
      </c>
      <c r="F307" s="1186">
        <v>539</v>
      </c>
      <c r="G307" s="1186">
        <v>637</v>
      </c>
      <c r="H307" s="1186">
        <v>26</v>
      </c>
      <c r="I307" s="1186">
        <v>4</v>
      </c>
      <c r="J307" s="1186">
        <v>8</v>
      </c>
      <c r="K307" s="1186">
        <v>2</v>
      </c>
    </row>
    <row r="308" spans="1:11" x14ac:dyDescent="0.2">
      <c r="A308" s="1186" t="s">
        <v>496</v>
      </c>
      <c r="B308" s="1186" t="s">
        <v>621</v>
      </c>
      <c r="C308" s="1186" t="s">
        <v>37</v>
      </c>
      <c r="D308" s="1186">
        <v>413</v>
      </c>
      <c r="E308" s="1186">
        <v>146</v>
      </c>
      <c r="F308" s="1186">
        <v>193</v>
      </c>
      <c r="G308" s="1186">
        <v>57</v>
      </c>
      <c r="H308" s="1186">
        <v>10</v>
      </c>
      <c r="I308" s="1186">
        <v>2</v>
      </c>
      <c r="J308" s="1186">
        <v>5</v>
      </c>
      <c r="K308" s="1186"/>
    </row>
    <row r="309" spans="1:11" x14ac:dyDescent="0.2">
      <c r="A309" s="1186" t="s">
        <v>496</v>
      </c>
      <c r="B309" s="1186" t="s">
        <v>621</v>
      </c>
      <c r="C309" s="1186" t="s">
        <v>38</v>
      </c>
      <c r="D309" s="1186">
        <v>157</v>
      </c>
      <c r="E309" s="1186">
        <v>52</v>
      </c>
      <c r="F309" s="1186">
        <v>53</v>
      </c>
      <c r="G309" s="1186">
        <v>48</v>
      </c>
      <c r="H309" s="1186">
        <v>3</v>
      </c>
      <c r="I309" s="1186"/>
      <c r="J309" s="1186">
        <v>1</v>
      </c>
      <c r="K309" s="1186"/>
    </row>
    <row r="310" spans="1:11" x14ac:dyDescent="0.2">
      <c r="A310" s="1186" t="s">
        <v>496</v>
      </c>
      <c r="B310" s="1186" t="s">
        <v>621</v>
      </c>
      <c r="C310" s="1186" t="s">
        <v>39</v>
      </c>
      <c r="D310" s="1186">
        <v>166</v>
      </c>
      <c r="E310" s="1186">
        <v>86</v>
      </c>
      <c r="F310" s="1186">
        <v>59</v>
      </c>
      <c r="G310" s="1186">
        <v>18</v>
      </c>
      <c r="H310" s="1186">
        <v>3</v>
      </c>
      <c r="I310" s="1186"/>
      <c r="J310" s="1186"/>
      <c r="K310" s="1186"/>
    </row>
    <row r="311" spans="1:11" x14ac:dyDescent="0.2">
      <c r="A311" s="1186" t="s">
        <v>496</v>
      </c>
      <c r="B311" s="1186" t="s">
        <v>621</v>
      </c>
      <c r="C311" s="1186" t="s">
        <v>40</v>
      </c>
      <c r="D311" s="1186">
        <v>150</v>
      </c>
      <c r="E311" s="1186">
        <v>62</v>
      </c>
      <c r="F311" s="1186">
        <v>53</v>
      </c>
      <c r="G311" s="1186">
        <v>20</v>
      </c>
      <c r="H311" s="1186">
        <v>9</v>
      </c>
      <c r="I311" s="1186">
        <v>3</v>
      </c>
      <c r="J311" s="1186">
        <v>3</v>
      </c>
      <c r="K311" s="1186"/>
    </row>
    <row r="312" spans="1:11" x14ac:dyDescent="0.2">
      <c r="A312" s="1186" t="s">
        <v>496</v>
      </c>
      <c r="B312" s="1186" t="s">
        <v>621</v>
      </c>
      <c r="C312" s="1186" t="s">
        <v>295</v>
      </c>
      <c r="D312" s="1186">
        <v>48</v>
      </c>
      <c r="E312" s="1186">
        <v>22</v>
      </c>
      <c r="F312" s="1186">
        <v>22</v>
      </c>
      <c r="G312" s="1186">
        <v>4</v>
      </c>
      <c r="H312" s="1186"/>
      <c r="I312" s="1186"/>
      <c r="J312" s="1186"/>
      <c r="K312" s="1186"/>
    </row>
    <row r="313" spans="1:11" x14ac:dyDescent="0.2">
      <c r="A313" s="1186" t="s">
        <v>496</v>
      </c>
      <c r="B313" s="1186" t="s">
        <v>621</v>
      </c>
      <c r="C313" s="1186" t="s">
        <v>41</v>
      </c>
      <c r="D313" s="1186">
        <v>307</v>
      </c>
      <c r="E313" s="1186">
        <v>115</v>
      </c>
      <c r="F313" s="1186">
        <v>152</v>
      </c>
      <c r="G313" s="1186">
        <v>36</v>
      </c>
      <c r="H313" s="1186">
        <v>1</v>
      </c>
      <c r="I313" s="1186">
        <v>1</v>
      </c>
      <c r="J313" s="1186">
        <v>2</v>
      </c>
      <c r="K313" s="1186"/>
    </row>
    <row r="314" spans="1:11" x14ac:dyDescent="0.2">
      <c r="A314" s="1186" t="s">
        <v>496</v>
      </c>
      <c r="B314" s="1186" t="s">
        <v>621</v>
      </c>
      <c r="C314" s="1186" t="s">
        <v>42</v>
      </c>
      <c r="D314" s="1186">
        <v>711</v>
      </c>
      <c r="E314" s="1186">
        <v>248</v>
      </c>
      <c r="F314" s="1186">
        <v>350</v>
      </c>
      <c r="G314" s="1186">
        <v>98</v>
      </c>
      <c r="H314" s="1186">
        <v>11</v>
      </c>
      <c r="I314" s="1186">
        <v>1</v>
      </c>
      <c r="J314" s="1186">
        <v>3</v>
      </c>
      <c r="K314" s="1186"/>
    </row>
    <row r="315" spans="1:11" x14ac:dyDescent="0.2">
      <c r="A315" s="1186" t="s">
        <v>496</v>
      </c>
      <c r="B315" s="1186" t="s">
        <v>621</v>
      </c>
      <c r="C315" s="1186" t="s">
        <v>43</v>
      </c>
      <c r="D315" s="1186">
        <v>24</v>
      </c>
      <c r="E315" s="1186">
        <v>13</v>
      </c>
      <c r="F315" s="1186">
        <v>11</v>
      </c>
      <c r="G315" s="1186"/>
      <c r="H315" s="1186"/>
      <c r="I315" s="1186"/>
      <c r="J315" s="1186"/>
      <c r="K315" s="1186"/>
    </row>
    <row r="316" spans="1:11" x14ac:dyDescent="0.2">
      <c r="A316" s="1186" t="s">
        <v>496</v>
      </c>
      <c r="B316" s="1186" t="s">
        <v>621</v>
      </c>
      <c r="C316" s="1186" t="s">
        <v>44</v>
      </c>
      <c r="D316" s="1186">
        <v>241</v>
      </c>
      <c r="E316" s="1186">
        <v>82</v>
      </c>
      <c r="F316" s="1186">
        <v>118</v>
      </c>
      <c r="G316" s="1186">
        <v>39</v>
      </c>
      <c r="H316" s="1186">
        <v>2</v>
      </c>
      <c r="I316" s="1186"/>
      <c r="J316" s="1186"/>
      <c r="K316" s="1186"/>
    </row>
    <row r="317" spans="1:11" x14ac:dyDescent="0.2">
      <c r="A317" s="1186" t="s">
        <v>496</v>
      </c>
      <c r="B317" s="1186" t="s">
        <v>621</v>
      </c>
      <c r="C317" s="1186" t="s">
        <v>45</v>
      </c>
      <c r="D317" s="1186">
        <v>392</v>
      </c>
      <c r="E317" s="1186">
        <v>123</v>
      </c>
      <c r="F317" s="1186">
        <v>168</v>
      </c>
      <c r="G317" s="1186">
        <v>95</v>
      </c>
      <c r="H317" s="1186">
        <v>4</v>
      </c>
      <c r="I317" s="1186">
        <v>1</v>
      </c>
      <c r="J317" s="1186"/>
      <c r="K317" s="1186">
        <v>1</v>
      </c>
    </row>
    <row r="318" spans="1:11" x14ac:dyDescent="0.2">
      <c r="A318" s="1186" t="s">
        <v>496</v>
      </c>
      <c r="B318" s="1186" t="s">
        <v>621</v>
      </c>
      <c r="C318" s="1186" t="s">
        <v>46</v>
      </c>
      <c r="D318" s="1186">
        <v>219</v>
      </c>
      <c r="E318" s="1186">
        <v>96</v>
      </c>
      <c r="F318" s="1186">
        <v>92</v>
      </c>
      <c r="G318" s="1186">
        <v>23</v>
      </c>
      <c r="H318" s="1186">
        <v>5</v>
      </c>
      <c r="I318" s="1186">
        <v>1</v>
      </c>
      <c r="J318" s="1186">
        <v>1</v>
      </c>
      <c r="K318" s="1186">
        <v>1</v>
      </c>
    </row>
    <row r="319" spans="1:11" x14ac:dyDescent="0.2">
      <c r="A319" s="1186" t="s">
        <v>496</v>
      </c>
      <c r="B319" s="1186" t="s">
        <v>621</v>
      </c>
      <c r="C319" s="1186" t="s">
        <v>47</v>
      </c>
      <c r="D319" s="1186">
        <v>18</v>
      </c>
      <c r="E319" s="1186">
        <v>7</v>
      </c>
      <c r="F319" s="1186">
        <v>7</v>
      </c>
      <c r="G319" s="1186">
        <v>3</v>
      </c>
      <c r="H319" s="1186">
        <v>1</v>
      </c>
      <c r="I319" s="1186"/>
      <c r="J319" s="1186"/>
      <c r="K319" s="1186"/>
    </row>
    <row r="320" spans="1:11" x14ac:dyDescent="0.2">
      <c r="A320" s="1186" t="s">
        <v>496</v>
      </c>
      <c r="B320" s="1186" t="s">
        <v>621</v>
      </c>
      <c r="C320" s="1186" t="s">
        <v>48</v>
      </c>
      <c r="D320" s="1186">
        <v>174</v>
      </c>
      <c r="E320" s="1186">
        <v>57</v>
      </c>
      <c r="F320" s="1186">
        <v>93</v>
      </c>
      <c r="G320" s="1186">
        <v>22</v>
      </c>
      <c r="H320" s="1186">
        <v>1</v>
      </c>
      <c r="I320" s="1186">
        <v>1</v>
      </c>
      <c r="J320" s="1186"/>
      <c r="K320" s="1186"/>
    </row>
    <row r="321" spans="1:11" x14ac:dyDescent="0.2">
      <c r="A321" s="1186" t="s">
        <v>496</v>
      </c>
      <c r="B321" s="1186" t="s">
        <v>621</v>
      </c>
      <c r="C321" s="1186" t="s">
        <v>49</v>
      </c>
      <c r="D321" s="1186">
        <v>515</v>
      </c>
      <c r="E321" s="1186">
        <v>186</v>
      </c>
      <c r="F321" s="1186">
        <v>238</v>
      </c>
      <c r="G321" s="1186">
        <v>84</v>
      </c>
      <c r="H321" s="1186">
        <v>5</v>
      </c>
      <c r="I321" s="1186">
        <v>1</v>
      </c>
      <c r="J321" s="1186">
        <v>1</v>
      </c>
      <c r="K321" s="1186"/>
    </row>
    <row r="322" spans="1:11" x14ac:dyDescent="0.2">
      <c r="A322" s="1186" t="s">
        <v>496</v>
      </c>
      <c r="B322" s="1186" t="s">
        <v>621</v>
      </c>
      <c r="C322" s="1186" t="s">
        <v>50</v>
      </c>
      <c r="D322" s="1186">
        <v>155</v>
      </c>
      <c r="E322" s="1186">
        <v>61</v>
      </c>
      <c r="F322" s="1186">
        <v>66</v>
      </c>
      <c r="G322" s="1186">
        <v>23</v>
      </c>
      <c r="H322" s="1186">
        <v>3</v>
      </c>
      <c r="I322" s="1186">
        <v>2</v>
      </c>
      <c r="J322" s="1186"/>
      <c r="K322" s="1186"/>
    </row>
    <row r="323" spans="1:11" x14ac:dyDescent="0.2">
      <c r="A323" s="1186" t="s">
        <v>496</v>
      </c>
      <c r="B323" s="1186" t="s">
        <v>621</v>
      </c>
      <c r="C323" s="1186" t="s">
        <v>51</v>
      </c>
      <c r="D323" s="1186">
        <v>250</v>
      </c>
      <c r="E323" s="1186">
        <v>97</v>
      </c>
      <c r="F323" s="1186">
        <v>113</v>
      </c>
      <c r="G323" s="1186">
        <v>36</v>
      </c>
      <c r="H323" s="1186">
        <v>1</v>
      </c>
      <c r="I323" s="1186">
        <v>2</v>
      </c>
      <c r="J323" s="1186">
        <v>1</v>
      </c>
      <c r="K323" s="1186"/>
    </row>
    <row r="324" spans="1:11" x14ac:dyDescent="0.2">
      <c r="A324" s="1186" t="s">
        <v>496</v>
      </c>
      <c r="B324" s="1186" t="s">
        <v>621</v>
      </c>
      <c r="C324" s="1186" t="s">
        <v>52</v>
      </c>
      <c r="D324" s="1186">
        <v>376</v>
      </c>
      <c r="E324" s="1186">
        <v>151</v>
      </c>
      <c r="F324" s="1186">
        <v>161</v>
      </c>
      <c r="G324" s="1186">
        <v>55</v>
      </c>
      <c r="H324" s="1186">
        <v>7</v>
      </c>
      <c r="I324" s="1186"/>
      <c r="J324" s="1186">
        <v>2</v>
      </c>
      <c r="K324" s="1186"/>
    </row>
    <row r="325" spans="1:11" x14ac:dyDescent="0.2">
      <c r="A325" s="1186" t="s">
        <v>496</v>
      </c>
      <c r="B325" s="1186" t="s">
        <v>1419</v>
      </c>
      <c r="C325" s="1186" t="s">
        <v>23</v>
      </c>
      <c r="D325" s="1186">
        <v>483</v>
      </c>
      <c r="E325" s="1186">
        <v>102</v>
      </c>
      <c r="F325" s="1186">
        <v>277</v>
      </c>
      <c r="G325" s="1186">
        <v>99</v>
      </c>
      <c r="H325" s="1186">
        <v>3</v>
      </c>
      <c r="I325" s="1186"/>
      <c r="J325" s="1186">
        <v>1</v>
      </c>
      <c r="K325" s="1186">
        <v>1</v>
      </c>
    </row>
    <row r="326" spans="1:11" x14ac:dyDescent="0.2">
      <c r="A326" s="1186" t="s">
        <v>496</v>
      </c>
      <c r="B326" s="1186" t="s">
        <v>1419</v>
      </c>
      <c r="C326" s="1186" t="s">
        <v>24</v>
      </c>
      <c r="D326" s="1186">
        <v>405</v>
      </c>
      <c r="E326" s="1186">
        <v>150</v>
      </c>
      <c r="F326" s="1186">
        <v>196</v>
      </c>
      <c r="G326" s="1186">
        <v>49</v>
      </c>
      <c r="H326" s="1186">
        <v>5</v>
      </c>
      <c r="I326" s="1186">
        <v>5</v>
      </c>
      <c r="J326" s="1186"/>
      <c r="K326" s="1186"/>
    </row>
    <row r="327" spans="1:11" x14ac:dyDescent="0.2">
      <c r="A327" s="1186" t="s">
        <v>496</v>
      </c>
      <c r="B327" s="1186" t="s">
        <v>1419</v>
      </c>
      <c r="C327" s="1186" t="s">
        <v>25</v>
      </c>
      <c r="D327" s="1186">
        <v>176</v>
      </c>
      <c r="E327" s="1186">
        <v>51</v>
      </c>
      <c r="F327" s="1186">
        <v>92</v>
      </c>
      <c r="G327" s="1186">
        <v>26</v>
      </c>
      <c r="H327" s="1186">
        <v>6</v>
      </c>
      <c r="I327" s="1186"/>
      <c r="J327" s="1186">
        <v>1</v>
      </c>
      <c r="K327" s="1186"/>
    </row>
    <row r="328" spans="1:11" x14ac:dyDescent="0.2">
      <c r="A328" s="1186" t="s">
        <v>496</v>
      </c>
      <c r="B328" s="1186" t="s">
        <v>1419</v>
      </c>
      <c r="C328" s="1186" t="s">
        <v>26</v>
      </c>
      <c r="D328" s="1186">
        <v>162</v>
      </c>
      <c r="E328" s="1186">
        <v>71</v>
      </c>
      <c r="F328" s="1186">
        <v>70</v>
      </c>
      <c r="G328" s="1186">
        <v>18</v>
      </c>
      <c r="H328" s="1186">
        <v>2</v>
      </c>
      <c r="I328" s="1186">
        <v>1</v>
      </c>
      <c r="J328" s="1186"/>
      <c r="K328" s="1186"/>
    </row>
    <row r="329" spans="1:11" x14ac:dyDescent="0.2">
      <c r="A329" s="1186" t="s">
        <v>496</v>
      </c>
      <c r="B329" s="1186" t="s">
        <v>1419</v>
      </c>
      <c r="C329" s="1186" t="s">
        <v>619</v>
      </c>
      <c r="D329" s="1186">
        <v>905</v>
      </c>
      <c r="E329" s="1186">
        <v>244</v>
      </c>
      <c r="F329" s="1186">
        <v>313</v>
      </c>
      <c r="G329" s="1186">
        <v>338</v>
      </c>
      <c r="H329" s="1186">
        <v>7</v>
      </c>
      <c r="I329" s="1186">
        <v>1</v>
      </c>
      <c r="J329" s="1186">
        <v>2</v>
      </c>
      <c r="K329" s="1186"/>
    </row>
    <row r="330" spans="1:11" x14ac:dyDescent="0.2">
      <c r="A330" s="1186" t="s">
        <v>496</v>
      </c>
      <c r="B330" s="1186" t="s">
        <v>1419</v>
      </c>
      <c r="C330" s="1186" t="s">
        <v>27</v>
      </c>
      <c r="D330" s="1186">
        <v>82</v>
      </c>
      <c r="E330" s="1186">
        <v>32</v>
      </c>
      <c r="F330" s="1186">
        <v>33</v>
      </c>
      <c r="G330" s="1186">
        <v>17</v>
      </c>
      <c r="H330" s="1186"/>
      <c r="I330" s="1186"/>
      <c r="J330" s="1186"/>
      <c r="K330" s="1186"/>
    </row>
    <row r="331" spans="1:11" x14ac:dyDescent="0.2">
      <c r="A331" s="1186" t="s">
        <v>496</v>
      </c>
      <c r="B331" s="1186" t="s">
        <v>1419</v>
      </c>
      <c r="C331" s="1186" t="s">
        <v>28</v>
      </c>
      <c r="D331" s="1186">
        <v>220</v>
      </c>
      <c r="E331" s="1186">
        <v>66</v>
      </c>
      <c r="F331" s="1186">
        <v>121</v>
      </c>
      <c r="G331" s="1186">
        <v>30</v>
      </c>
      <c r="H331" s="1186">
        <v>2</v>
      </c>
      <c r="I331" s="1186">
        <v>1</v>
      </c>
      <c r="J331" s="1186"/>
      <c r="K331" s="1186"/>
    </row>
    <row r="332" spans="1:11" x14ac:dyDescent="0.2">
      <c r="A332" s="1186" t="s">
        <v>496</v>
      </c>
      <c r="B332" s="1186" t="s">
        <v>1419</v>
      </c>
      <c r="C332" s="1186" t="s">
        <v>29</v>
      </c>
      <c r="D332" s="1186">
        <v>306</v>
      </c>
      <c r="E332" s="1186">
        <v>70</v>
      </c>
      <c r="F332" s="1186">
        <v>180</v>
      </c>
      <c r="G332" s="1186">
        <v>53</v>
      </c>
      <c r="H332" s="1186">
        <v>3</v>
      </c>
      <c r="I332" s="1186"/>
      <c r="J332" s="1186"/>
      <c r="K332" s="1186"/>
    </row>
    <row r="333" spans="1:11" x14ac:dyDescent="0.2">
      <c r="A333" s="1186" t="s">
        <v>496</v>
      </c>
      <c r="B333" s="1186" t="s">
        <v>1419</v>
      </c>
      <c r="C333" s="1186" t="s">
        <v>30</v>
      </c>
      <c r="D333" s="1186">
        <v>203</v>
      </c>
      <c r="E333" s="1186">
        <v>80</v>
      </c>
      <c r="F333" s="1186">
        <v>93</v>
      </c>
      <c r="G333" s="1186">
        <v>27</v>
      </c>
      <c r="H333" s="1186">
        <v>2</v>
      </c>
      <c r="I333" s="1186"/>
      <c r="J333" s="1186"/>
      <c r="K333" s="1186">
        <v>1</v>
      </c>
    </row>
    <row r="334" spans="1:11" x14ac:dyDescent="0.2">
      <c r="A334" s="1186" t="s">
        <v>496</v>
      </c>
      <c r="B334" s="1186" t="s">
        <v>1419</v>
      </c>
      <c r="C334" s="1186" t="s">
        <v>31</v>
      </c>
      <c r="D334" s="1186">
        <v>153</v>
      </c>
      <c r="E334" s="1186">
        <v>78</v>
      </c>
      <c r="F334" s="1186">
        <v>58</v>
      </c>
      <c r="G334" s="1186">
        <v>15</v>
      </c>
      <c r="H334" s="1186">
        <v>2</v>
      </c>
      <c r="I334" s="1186"/>
      <c r="J334" s="1186"/>
      <c r="K334" s="1186"/>
    </row>
    <row r="335" spans="1:11" x14ac:dyDescent="0.2">
      <c r="A335" s="1186" t="s">
        <v>496</v>
      </c>
      <c r="B335" s="1186" t="s">
        <v>1419</v>
      </c>
      <c r="C335" s="1186" t="s">
        <v>32</v>
      </c>
      <c r="D335" s="1186">
        <v>147</v>
      </c>
      <c r="E335" s="1186">
        <v>67</v>
      </c>
      <c r="F335" s="1186">
        <v>66</v>
      </c>
      <c r="G335" s="1186">
        <v>14</v>
      </c>
      <c r="H335" s="1186"/>
      <c r="I335" s="1186"/>
      <c r="J335" s="1186"/>
      <c r="K335" s="1186"/>
    </row>
    <row r="336" spans="1:11" x14ac:dyDescent="0.2">
      <c r="A336" s="1186" t="s">
        <v>496</v>
      </c>
      <c r="B336" s="1186" t="s">
        <v>1419</v>
      </c>
      <c r="C336" s="1186" t="s">
        <v>33</v>
      </c>
      <c r="D336" s="1186">
        <v>136</v>
      </c>
      <c r="E336" s="1186">
        <v>77</v>
      </c>
      <c r="F336" s="1186">
        <v>49</v>
      </c>
      <c r="G336" s="1186">
        <v>7</v>
      </c>
      <c r="H336" s="1186">
        <v>3</v>
      </c>
      <c r="I336" s="1186"/>
      <c r="J336" s="1186"/>
      <c r="K336" s="1186"/>
    </row>
    <row r="337" spans="1:11" x14ac:dyDescent="0.2">
      <c r="A337" s="1186" t="s">
        <v>496</v>
      </c>
      <c r="B337" s="1186" t="s">
        <v>1419</v>
      </c>
      <c r="C337" s="1186" t="s">
        <v>34</v>
      </c>
      <c r="D337" s="1186">
        <v>297</v>
      </c>
      <c r="E337" s="1186">
        <v>118</v>
      </c>
      <c r="F337" s="1186">
        <v>126</v>
      </c>
      <c r="G337" s="1186">
        <v>49</v>
      </c>
      <c r="H337" s="1186">
        <v>3</v>
      </c>
      <c r="I337" s="1186">
        <v>1</v>
      </c>
      <c r="J337" s="1186"/>
      <c r="K337" s="1186"/>
    </row>
    <row r="338" spans="1:11" x14ac:dyDescent="0.2">
      <c r="A338" s="1186" t="s">
        <v>496</v>
      </c>
      <c r="B338" s="1186" t="s">
        <v>1419</v>
      </c>
      <c r="C338" s="1186" t="s">
        <v>35</v>
      </c>
      <c r="D338" s="1186">
        <v>518</v>
      </c>
      <c r="E338" s="1186">
        <v>187</v>
      </c>
      <c r="F338" s="1186">
        <v>260</v>
      </c>
      <c r="G338" s="1186">
        <v>60</v>
      </c>
      <c r="H338" s="1186">
        <v>9</v>
      </c>
      <c r="I338" s="1186">
        <v>1</v>
      </c>
      <c r="J338" s="1186">
        <v>1</v>
      </c>
      <c r="K338" s="1186"/>
    </row>
    <row r="339" spans="1:11" x14ac:dyDescent="0.2">
      <c r="A339" s="1186" t="s">
        <v>496</v>
      </c>
      <c r="B339" s="1186" t="s">
        <v>1419</v>
      </c>
      <c r="C339" s="1186" t="s">
        <v>36</v>
      </c>
      <c r="D339" s="1186">
        <v>1622</v>
      </c>
      <c r="E339" s="1186">
        <v>448</v>
      </c>
      <c r="F339" s="1186">
        <v>532</v>
      </c>
      <c r="G339" s="1186">
        <v>612</v>
      </c>
      <c r="H339" s="1186">
        <v>18</v>
      </c>
      <c r="I339" s="1186">
        <v>5</v>
      </c>
      <c r="J339" s="1186">
        <v>7</v>
      </c>
      <c r="K339" s="1186"/>
    </row>
    <row r="340" spans="1:11" x14ac:dyDescent="0.2">
      <c r="A340" s="1186" t="s">
        <v>496</v>
      </c>
      <c r="B340" s="1186" t="s">
        <v>1419</v>
      </c>
      <c r="C340" s="1186" t="s">
        <v>37</v>
      </c>
      <c r="D340" s="1186">
        <v>325</v>
      </c>
      <c r="E340" s="1186">
        <v>112</v>
      </c>
      <c r="F340" s="1186">
        <v>160</v>
      </c>
      <c r="G340" s="1186">
        <v>35</v>
      </c>
      <c r="H340" s="1186">
        <v>15</v>
      </c>
      <c r="I340" s="1186">
        <v>1</v>
      </c>
      <c r="J340" s="1186">
        <v>2</v>
      </c>
      <c r="K340" s="1186"/>
    </row>
    <row r="341" spans="1:11" x14ac:dyDescent="0.2">
      <c r="A341" s="1186" t="s">
        <v>496</v>
      </c>
      <c r="B341" s="1186" t="s">
        <v>1419</v>
      </c>
      <c r="C341" s="1186" t="s">
        <v>38</v>
      </c>
      <c r="D341" s="1186">
        <v>161</v>
      </c>
      <c r="E341" s="1186">
        <v>62</v>
      </c>
      <c r="F341" s="1186">
        <v>45</v>
      </c>
      <c r="G341" s="1186">
        <v>53</v>
      </c>
      <c r="H341" s="1186">
        <v>1</v>
      </c>
      <c r="I341" s="1186"/>
      <c r="J341" s="1186"/>
      <c r="K341" s="1186"/>
    </row>
    <row r="342" spans="1:11" x14ac:dyDescent="0.2">
      <c r="A342" s="1186" t="s">
        <v>496</v>
      </c>
      <c r="B342" s="1186" t="s">
        <v>1419</v>
      </c>
      <c r="C342" s="1186" t="s">
        <v>39</v>
      </c>
      <c r="D342" s="1186">
        <v>155</v>
      </c>
      <c r="E342" s="1186">
        <v>82</v>
      </c>
      <c r="F342" s="1186">
        <v>61</v>
      </c>
      <c r="G342" s="1186">
        <v>11</v>
      </c>
      <c r="H342" s="1186">
        <v>1</v>
      </c>
      <c r="I342" s="1186"/>
      <c r="J342" s="1186"/>
      <c r="K342" s="1186"/>
    </row>
    <row r="343" spans="1:11" x14ac:dyDescent="0.2">
      <c r="A343" s="1186" t="s">
        <v>496</v>
      </c>
      <c r="B343" s="1186" t="s">
        <v>1419</v>
      </c>
      <c r="C343" s="1186" t="s">
        <v>40</v>
      </c>
      <c r="D343" s="1186">
        <v>158</v>
      </c>
      <c r="E343" s="1186">
        <v>56</v>
      </c>
      <c r="F343" s="1186">
        <v>78</v>
      </c>
      <c r="G343" s="1186">
        <v>17</v>
      </c>
      <c r="H343" s="1186">
        <v>3</v>
      </c>
      <c r="I343" s="1186">
        <v>1</v>
      </c>
      <c r="J343" s="1186">
        <v>3</v>
      </c>
      <c r="K343" s="1186"/>
    </row>
    <row r="344" spans="1:11" x14ac:dyDescent="0.2">
      <c r="A344" s="1186" t="s">
        <v>496</v>
      </c>
      <c r="B344" s="1186" t="s">
        <v>1419</v>
      </c>
      <c r="C344" s="1186" t="s">
        <v>295</v>
      </c>
      <c r="D344" s="1186">
        <v>36</v>
      </c>
      <c r="E344" s="1186">
        <v>14</v>
      </c>
      <c r="F344" s="1186">
        <v>15</v>
      </c>
      <c r="G344" s="1186">
        <v>7</v>
      </c>
      <c r="H344" s="1186"/>
      <c r="I344" s="1186"/>
      <c r="J344" s="1186"/>
      <c r="K344" s="1186"/>
    </row>
    <row r="345" spans="1:11" x14ac:dyDescent="0.2">
      <c r="A345" s="1186" t="s">
        <v>496</v>
      </c>
      <c r="B345" s="1186" t="s">
        <v>1419</v>
      </c>
      <c r="C345" s="1186" t="s">
        <v>41</v>
      </c>
      <c r="D345" s="1186">
        <v>267</v>
      </c>
      <c r="E345" s="1186">
        <v>95</v>
      </c>
      <c r="F345" s="1186">
        <v>128</v>
      </c>
      <c r="G345" s="1186">
        <v>41</v>
      </c>
      <c r="H345" s="1186">
        <v>3</v>
      </c>
      <c r="I345" s="1186"/>
      <c r="J345" s="1186"/>
      <c r="K345" s="1186"/>
    </row>
    <row r="346" spans="1:11" x14ac:dyDescent="0.2">
      <c r="A346" s="1186" t="s">
        <v>496</v>
      </c>
      <c r="B346" s="1186" t="s">
        <v>1419</v>
      </c>
      <c r="C346" s="1186" t="s">
        <v>42</v>
      </c>
      <c r="D346" s="1186">
        <v>634</v>
      </c>
      <c r="E346" s="1186">
        <v>266</v>
      </c>
      <c r="F346" s="1186">
        <v>278</v>
      </c>
      <c r="G346" s="1186">
        <v>83</v>
      </c>
      <c r="H346" s="1186">
        <v>5</v>
      </c>
      <c r="I346" s="1186">
        <v>1</v>
      </c>
      <c r="J346" s="1186"/>
      <c r="K346" s="1186">
        <v>1</v>
      </c>
    </row>
    <row r="347" spans="1:11" x14ac:dyDescent="0.2">
      <c r="A347" s="1186" t="s">
        <v>496</v>
      </c>
      <c r="B347" s="1186" t="s">
        <v>1419</v>
      </c>
      <c r="C347" s="1186" t="s">
        <v>43</v>
      </c>
      <c r="D347" s="1186">
        <v>33</v>
      </c>
      <c r="E347" s="1186">
        <v>11</v>
      </c>
      <c r="F347" s="1186">
        <v>14</v>
      </c>
      <c r="G347" s="1186">
        <v>8</v>
      </c>
      <c r="H347" s="1186"/>
      <c r="I347" s="1186"/>
      <c r="J347" s="1186"/>
      <c r="K347" s="1186"/>
    </row>
    <row r="348" spans="1:11" x14ac:dyDescent="0.2">
      <c r="A348" s="1186" t="s">
        <v>496</v>
      </c>
      <c r="B348" s="1186" t="s">
        <v>1419</v>
      </c>
      <c r="C348" s="1186" t="s">
        <v>44</v>
      </c>
      <c r="D348" s="1186">
        <v>247</v>
      </c>
      <c r="E348" s="1186">
        <v>68</v>
      </c>
      <c r="F348" s="1186">
        <v>136</v>
      </c>
      <c r="G348" s="1186">
        <v>37</v>
      </c>
      <c r="H348" s="1186">
        <v>4</v>
      </c>
      <c r="I348" s="1186">
        <v>1</v>
      </c>
      <c r="J348" s="1186">
        <v>1</v>
      </c>
      <c r="K348" s="1186"/>
    </row>
    <row r="349" spans="1:11" x14ac:dyDescent="0.2">
      <c r="A349" s="1186" t="s">
        <v>496</v>
      </c>
      <c r="B349" s="1186" t="s">
        <v>1419</v>
      </c>
      <c r="C349" s="1186" t="s">
        <v>45</v>
      </c>
      <c r="D349" s="1186">
        <v>338</v>
      </c>
      <c r="E349" s="1186">
        <v>121</v>
      </c>
      <c r="F349" s="1186">
        <v>136</v>
      </c>
      <c r="G349" s="1186">
        <v>75</v>
      </c>
      <c r="H349" s="1186">
        <v>5</v>
      </c>
      <c r="I349" s="1186">
        <v>1</v>
      </c>
      <c r="J349" s="1186"/>
      <c r="K349" s="1186"/>
    </row>
    <row r="350" spans="1:11" x14ac:dyDescent="0.2">
      <c r="A350" s="1186" t="s">
        <v>496</v>
      </c>
      <c r="B350" s="1186" t="s">
        <v>1419</v>
      </c>
      <c r="C350" s="1186" t="s">
        <v>46</v>
      </c>
      <c r="D350" s="1186">
        <v>217</v>
      </c>
      <c r="E350" s="1186">
        <v>98</v>
      </c>
      <c r="F350" s="1186">
        <v>87</v>
      </c>
      <c r="G350" s="1186">
        <v>22</v>
      </c>
      <c r="H350" s="1186">
        <v>6</v>
      </c>
      <c r="I350" s="1186">
        <v>3</v>
      </c>
      <c r="J350" s="1186">
        <v>1</v>
      </c>
      <c r="K350" s="1186"/>
    </row>
    <row r="351" spans="1:11" x14ac:dyDescent="0.2">
      <c r="A351" s="1186" t="s">
        <v>496</v>
      </c>
      <c r="B351" s="1186" t="s">
        <v>1419</v>
      </c>
      <c r="C351" s="1186" t="s">
        <v>47</v>
      </c>
      <c r="D351" s="1186">
        <v>28</v>
      </c>
      <c r="E351" s="1186">
        <v>7</v>
      </c>
      <c r="F351" s="1186">
        <v>12</v>
      </c>
      <c r="G351" s="1186">
        <v>9</v>
      </c>
      <c r="H351" s="1186"/>
      <c r="I351" s="1186"/>
      <c r="J351" s="1186"/>
      <c r="K351" s="1186"/>
    </row>
    <row r="352" spans="1:11" x14ac:dyDescent="0.2">
      <c r="A352" s="1186" t="s">
        <v>496</v>
      </c>
      <c r="B352" s="1186" t="s">
        <v>1419</v>
      </c>
      <c r="C352" s="1186" t="s">
        <v>48</v>
      </c>
      <c r="D352" s="1186">
        <v>186</v>
      </c>
      <c r="E352" s="1186">
        <v>62</v>
      </c>
      <c r="F352" s="1186">
        <v>101</v>
      </c>
      <c r="G352" s="1186">
        <v>20</v>
      </c>
      <c r="H352" s="1186">
        <v>2</v>
      </c>
      <c r="I352" s="1186"/>
      <c r="J352" s="1186">
        <v>1</v>
      </c>
      <c r="K352" s="1186"/>
    </row>
    <row r="353" spans="1:11" x14ac:dyDescent="0.2">
      <c r="A353" s="1186" t="s">
        <v>496</v>
      </c>
      <c r="B353" s="1186" t="s">
        <v>1419</v>
      </c>
      <c r="C353" s="1186" t="s">
        <v>49</v>
      </c>
      <c r="D353" s="1186">
        <v>523</v>
      </c>
      <c r="E353" s="1186">
        <v>206</v>
      </c>
      <c r="F353" s="1186">
        <v>222</v>
      </c>
      <c r="G353" s="1186">
        <v>88</v>
      </c>
      <c r="H353" s="1186">
        <v>6</v>
      </c>
      <c r="I353" s="1186"/>
      <c r="J353" s="1186">
        <v>1</v>
      </c>
      <c r="K353" s="1186"/>
    </row>
    <row r="354" spans="1:11" x14ac:dyDescent="0.2">
      <c r="A354" s="1186" t="s">
        <v>496</v>
      </c>
      <c r="B354" s="1186" t="s">
        <v>1419</v>
      </c>
      <c r="C354" s="1186" t="s">
        <v>50</v>
      </c>
      <c r="D354" s="1186">
        <v>145</v>
      </c>
      <c r="E354" s="1186">
        <v>57</v>
      </c>
      <c r="F354" s="1186">
        <v>66</v>
      </c>
      <c r="G354" s="1186">
        <v>21</v>
      </c>
      <c r="H354" s="1186">
        <v>1</v>
      </c>
      <c r="I354" s="1186"/>
      <c r="J354" s="1186"/>
      <c r="K354" s="1186"/>
    </row>
    <row r="355" spans="1:11" x14ac:dyDescent="0.2">
      <c r="A355" s="1186" t="s">
        <v>496</v>
      </c>
      <c r="B355" s="1186" t="s">
        <v>1419</v>
      </c>
      <c r="C355" s="1186" t="s">
        <v>51</v>
      </c>
      <c r="D355" s="1186">
        <v>205</v>
      </c>
      <c r="E355" s="1186">
        <v>77</v>
      </c>
      <c r="F355" s="1186">
        <v>81</v>
      </c>
      <c r="G355" s="1186">
        <v>45</v>
      </c>
      <c r="H355" s="1186"/>
      <c r="I355" s="1186">
        <v>1</v>
      </c>
      <c r="J355" s="1186">
        <v>1</v>
      </c>
      <c r="K355" s="1186"/>
    </row>
    <row r="356" spans="1:11" x14ac:dyDescent="0.2">
      <c r="A356" s="1186" t="s">
        <v>496</v>
      </c>
      <c r="B356" s="1186" t="s">
        <v>1419</v>
      </c>
      <c r="C356" s="1186" t="s">
        <v>52</v>
      </c>
      <c r="D356" s="1186">
        <v>312</v>
      </c>
      <c r="E356" s="1186">
        <v>121</v>
      </c>
      <c r="F356" s="1186">
        <v>120</v>
      </c>
      <c r="G356" s="1186">
        <v>67</v>
      </c>
      <c r="H356" s="1186">
        <v>3</v>
      </c>
      <c r="I356" s="1186">
        <v>1</v>
      </c>
      <c r="J356" s="1186"/>
      <c r="K356" s="1186"/>
    </row>
    <row r="357" spans="1:11" x14ac:dyDescent="0.2">
      <c r="A357" s="1186" t="s">
        <v>496</v>
      </c>
      <c r="B357" s="1186" t="s">
        <v>1419</v>
      </c>
      <c r="C357" s="1186" t="s">
        <v>1521</v>
      </c>
      <c r="D357" s="1186">
        <v>1</v>
      </c>
      <c r="E357" s="1186">
        <v>1</v>
      </c>
      <c r="F357" s="1186"/>
      <c r="G357" s="1186"/>
      <c r="H357" s="1186"/>
      <c r="I357" s="1186"/>
      <c r="J357" s="1186"/>
      <c r="K357" s="1186"/>
    </row>
    <row r="358" spans="1:11" x14ac:dyDescent="0.2">
      <c r="A358" s="1186" t="s">
        <v>496</v>
      </c>
      <c r="B358" s="1186" t="s">
        <v>1572</v>
      </c>
      <c r="C358" s="1186" t="s">
        <v>23</v>
      </c>
      <c r="D358" s="1186">
        <v>426</v>
      </c>
      <c r="E358" s="1186">
        <v>106</v>
      </c>
      <c r="F358" s="1186">
        <v>226</v>
      </c>
      <c r="G358" s="1186">
        <v>89</v>
      </c>
      <c r="H358" s="1186">
        <v>3</v>
      </c>
      <c r="I358" s="1186">
        <v>1</v>
      </c>
      <c r="J358" s="1186">
        <v>1</v>
      </c>
      <c r="K358" s="1186"/>
    </row>
    <row r="359" spans="1:11" x14ac:dyDescent="0.2">
      <c r="A359" s="1186" t="s">
        <v>496</v>
      </c>
      <c r="B359" s="1186" t="s">
        <v>1572</v>
      </c>
      <c r="C359" s="1186" t="s">
        <v>24</v>
      </c>
      <c r="D359" s="1186">
        <v>400</v>
      </c>
      <c r="E359" s="1186">
        <v>134</v>
      </c>
      <c r="F359" s="1186">
        <v>212</v>
      </c>
      <c r="G359" s="1186">
        <v>43</v>
      </c>
      <c r="H359" s="1186">
        <v>9</v>
      </c>
      <c r="I359" s="1186">
        <v>1</v>
      </c>
      <c r="J359" s="1186">
        <v>1</v>
      </c>
      <c r="K359" s="1186"/>
    </row>
    <row r="360" spans="1:11" x14ac:dyDescent="0.2">
      <c r="A360" s="1186" t="s">
        <v>496</v>
      </c>
      <c r="B360" s="1186" t="s">
        <v>1572</v>
      </c>
      <c r="C360" s="1186" t="s">
        <v>25</v>
      </c>
      <c r="D360" s="1186">
        <v>168</v>
      </c>
      <c r="E360" s="1186">
        <v>55</v>
      </c>
      <c r="F360" s="1186">
        <v>87</v>
      </c>
      <c r="G360" s="1186">
        <v>19</v>
      </c>
      <c r="H360" s="1186">
        <v>4</v>
      </c>
      <c r="I360" s="1186">
        <v>3</v>
      </c>
      <c r="J360" s="1186"/>
      <c r="K360" s="1186"/>
    </row>
    <row r="361" spans="1:11" x14ac:dyDescent="0.2">
      <c r="A361" s="1186" t="s">
        <v>496</v>
      </c>
      <c r="B361" s="1186" t="s">
        <v>1572</v>
      </c>
      <c r="C361" s="1186" t="s">
        <v>26</v>
      </c>
      <c r="D361" s="1186">
        <v>157</v>
      </c>
      <c r="E361" s="1186">
        <v>58</v>
      </c>
      <c r="F361" s="1186">
        <v>85</v>
      </c>
      <c r="G361" s="1186">
        <v>10</v>
      </c>
      <c r="H361" s="1186">
        <v>4</v>
      </c>
      <c r="I361" s="1186"/>
      <c r="J361" s="1186"/>
      <c r="K361" s="1186"/>
    </row>
    <row r="362" spans="1:11" x14ac:dyDescent="0.2">
      <c r="A362" s="1186" t="s">
        <v>496</v>
      </c>
      <c r="B362" s="1186" t="s">
        <v>1572</v>
      </c>
      <c r="C362" s="1186" t="s">
        <v>619</v>
      </c>
      <c r="D362" s="1186">
        <v>808</v>
      </c>
      <c r="E362" s="1186">
        <v>266</v>
      </c>
      <c r="F362" s="1186">
        <v>242</v>
      </c>
      <c r="G362" s="1186">
        <v>294</v>
      </c>
      <c r="H362" s="1186">
        <v>5</v>
      </c>
      <c r="I362" s="1186">
        <v>1</v>
      </c>
      <c r="J362" s="1186"/>
      <c r="K362" s="1186"/>
    </row>
    <row r="363" spans="1:11" x14ac:dyDescent="0.2">
      <c r="A363" s="1186" t="s">
        <v>496</v>
      </c>
      <c r="B363" s="1186" t="s">
        <v>1572</v>
      </c>
      <c r="C363" s="1186" t="s">
        <v>27</v>
      </c>
      <c r="D363" s="1186">
        <v>86</v>
      </c>
      <c r="E363" s="1186">
        <v>27</v>
      </c>
      <c r="F363" s="1186">
        <v>37</v>
      </c>
      <c r="G363" s="1186">
        <v>22</v>
      </c>
      <c r="H363" s="1186"/>
      <c r="I363" s="1186"/>
      <c r="J363" s="1186"/>
      <c r="K363" s="1186"/>
    </row>
    <row r="364" spans="1:11" x14ac:dyDescent="0.2">
      <c r="A364" s="1186" t="s">
        <v>496</v>
      </c>
      <c r="B364" s="1186" t="s">
        <v>1572</v>
      </c>
      <c r="C364" s="1186" t="s">
        <v>28</v>
      </c>
      <c r="D364" s="1186">
        <v>191</v>
      </c>
      <c r="E364" s="1186">
        <v>66</v>
      </c>
      <c r="F364" s="1186">
        <v>83</v>
      </c>
      <c r="G364" s="1186">
        <v>27</v>
      </c>
      <c r="H364" s="1186">
        <v>3</v>
      </c>
      <c r="I364" s="1186">
        <v>1</v>
      </c>
      <c r="J364" s="1186">
        <v>2</v>
      </c>
      <c r="K364" s="1186">
        <v>9</v>
      </c>
    </row>
    <row r="365" spans="1:11" x14ac:dyDescent="0.2">
      <c r="A365" s="1186" t="s">
        <v>496</v>
      </c>
      <c r="B365" s="1186" t="s">
        <v>1572</v>
      </c>
      <c r="C365" s="1186" t="s">
        <v>29</v>
      </c>
      <c r="D365" s="1186">
        <v>327</v>
      </c>
      <c r="E365" s="1186">
        <v>76</v>
      </c>
      <c r="F365" s="1186">
        <v>182</v>
      </c>
      <c r="G365" s="1186">
        <v>64</v>
      </c>
      <c r="H365" s="1186">
        <v>3</v>
      </c>
      <c r="I365" s="1186">
        <v>1</v>
      </c>
      <c r="J365" s="1186">
        <v>1</v>
      </c>
      <c r="K365" s="1186"/>
    </row>
    <row r="366" spans="1:11" x14ac:dyDescent="0.2">
      <c r="A366" s="1186" t="s">
        <v>496</v>
      </c>
      <c r="B366" s="1186" t="s">
        <v>1572</v>
      </c>
      <c r="C366" s="1186" t="s">
        <v>30</v>
      </c>
      <c r="D366" s="1186">
        <v>220</v>
      </c>
      <c r="E366" s="1186">
        <v>94</v>
      </c>
      <c r="F366" s="1186">
        <v>97</v>
      </c>
      <c r="G366" s="1186">
        <v>24</v>
      </c>
      <c r="H366" s="1186">
        <v>3</v>
      </c>
      <c r="I366" s="1186">
        <v>2</v>
      </c>
      <c r="J366" s="1186"/>
      <c r="K366" s="1186"/>
    </row>
    <row r="367" spans="1:11" x14ac:dyDescent="0.2">
      <c r="A367" s="1186" t="s">
        <v>496</v>
      </c>
      <c r="B367" s="1186" t="s">
        <v>1572</v>
      </c>
      <c r="C367" s="1186" t="s">
        <v>31</v>
      </c>
      <c r="D367" s="1186">
        <v>130</v>
      </c>
      <c r="E367" s="1186">
        <v>61</v>
      </c>
      <c r="F367" s="1186">
        <v>55</v>
      </c>
      <c r="G367" s="1186">
        <v>11</v>
      </c>
      <c r="H367" s="1186">
        <v>1</v>
      </c>
      <c r="I367" s="1186"/>
      <c r="J367" s="1186">
        <v>2</v>
      </c>
      <c r="K367" s="1186"/>
    </row>
    <row r="368" spans="1:11" x14ac:dyDescent="0.2">
      <c r="A368" s="1186" t="s">
        <v>496</v>
      </c>
      <c r="B368" s="1186" t="s">
        <v>1572</v>
      </c>
      <c r="C368" s="1186" t="s">
        <v>32</v>
      </c>
      <c r="D368" s="1186">
        <v>139</v>
      </c>
      <c r="E368" s="1186">
        <v>59</v>
      </c>
      <c r="F368" s="1186">
        <v>59</v>
      </c>
      <c r="G368" s="1186">
        <v>17</v>
      </c>
      <c r="H368" s="1186">
        <v>3</v>
      </c>
      <c r="I368" s="1186"/>
      <c r="J368" s="1186">
        <v>1</v>
      </c>
      <c r="K368" s="1186"/>
    </row>
    <row r="369" spans="1:11" x14ac:dyDescent="0.2">
      <c r="A369" s="1186" t="s">
        <v>496</v>
      </c>
      <c r="B369" s="1186" t="s">
        <v>1572</v>
      </c>
      <c r="C369" s="1186" t="s">
        <v>33</v>
      </c>
      <c r="D369" s="1186">
        <v>98</v>
      </c>
      <c r="E369" s="1186">
        <v>45</v>
      </c>
      <c r="F369" s="1186">
        <v>39</v>
      </c>
      <c r="G369" s="1186">
        <v>10</v>
      </c>
      <c r="H369" s="1186">
        <v>3</v>
      </c>
      <c r="I369" s="1186"/>
      <c r="J369" s="1186">
        <v>1</v>
      </c>
      <c r="K369" s="1186"/>
    </row>
    <row r="370" spans="1:11" x14ac:dyDescent="0.2">
      <c r="A370" s="1186" t="s">
        <v>496</v>
      </c>
      <c r="B370" s="1186" t="s">
        <v>1572</v>
      </c>
      <c r="C370" s="1186" t="s">
        <v>34</v>
      </c>
      <c r="D370" s="1186">
        <v>284</v>
      </c>
      <c r="E370" s="1186">
        <v>113</v>
      </c>
      <c r="F370" s="1186">
        <v>121</v>
      </c>
      <c r="G370" s="1186">
        <v>46</v>
      </c>
      <c r="H370" s="1186">
        <v>3</v>
      </c>
      <c r="I370" s="1186"/>
      <c r="J370" s="1186">
        <v>1</v>
      </c>
      <c r="K370" s="1186"/>
    </row>
    <row r="371" spans="1:11" x14ac:dyDescent="0.2">
      <c r="A371" s="1186" t="s">
        <v>496</v>
      </c>
      <c r="B371" s="1186" t="s">
        <v>1572</v>
      </c>
      <c r="C371" s="1186" t="s">
        <v>35</v>
      </c>
      <c r="D371" s="1186">
        <v>581</v>
      </c>
      <c r="E371" s="1186">
        <v>239</v>
      </c>
      <c r="F371" s="1186">
        <v>256</v>
      </c>
      <c r="G371" s="1186">
        <v>76</v>
      </c>
      <c r="H371" s="1186">
        <v>5</v>
      </c>
      <c r="I371" s="1186">
        <v>3</v>
      </c>
      <c r="J371" s="1186">
        <v>2</v>
      </c>
      <c r="K371" s="1186"/>
    </row>
    <row r="372" spans="1:11" x14ac:dyDescent="0.2">
      <c r="A372" s="1186" t="s">
        <v>496</v>
      </c>
      <c r="B372" s="1186" t="s">
        <v>1572</v>
      </c>
      <c r="C372" s="1186" t="s">
        <v>36</v>
      </c>
      <c r="D372" s="1186">
        <v>1409</v>
      </c>
      <c r="E372" s="1186">
        <v>406</v>
      </c>
      <c r="F372" s="1186">
        <v>590</v>
      </c>
      <c r="G372" s="1186">
        <v>379</v>
      </c>
      <c r="H372" s="1186">
        <v>26</v>
      </c>
      <c r="I372" s="1186">
        <v>5</v>
      </c>
      <c r="J372" s="1186">
        <v>2</v>
      </c>
      <c r="K372" s="1186">
        <v>1</v>
      </c>
    </row>
    <row r="373" spans="1:11" x14ac:dyDescent="0.2">
      <c r="A373" s="1186" t="s">
        <v>496</v>
      </c>
      <c r="B373" s="1186" t="s">
        <v>1572</v>
      </c>
      <c r="C373" s="1186" t="s">
        <v>37</v>
      </c>
      <c r="D373" s="1186">
        <v>377</v>
      </c>
      <c r="E373" s="1186">
        <v>145</v>
      </c>
      <c r="F373" s="1186">
        <v>172</v>
      </c>
      <c r="G373" s="1186">
        <v>49</v>
      </c>
      <c r="H373" s="1186">
        <v>7</v>
      </c>
      <c r="I373" s="1186">
        <v>1</v>
      </c>
      <c r="J373" s="1186">
        <v>2</v>
      </c>
      <c r="K373" s="1186">
        <v>1</v>
      </c>
    </row>
    <row r="374" spans="1:11" x14ac:dyDescent="0.2">
      <c r="A374" s="1186" t="s">
        <v>496</v>
      </c>
      <c r="B374" s="1186" t="s">
        <v>1572</v>
      </c>
      <c r="C374" s="1186" t="s">
        <v>38</v>
      </c>
      <c r="D374" s="1186">
        <v>166</v>
      </c>
      <c r="E374" s="1186">
        <v>49</v>
      </c>
      <c r="F374" s="1186">
        <v>70</v>
      </c>
      <c r="G374" s="1186">
        <v>44</v>
      </c>
      <c r="H374" s="1186">
        <v>2</v>
      </c>
      <c r="I374" s="1186">
        <v>1</v>
      </c>
      <c r="J374" s="1186"/>
      <c r="K374" s="1186"/>
    </row>
    <row r="375" spans="1:11" x14ac:dyDescent="0.2">
      <c r="A375" s="1186" t="s">
        <v>496</v>
      </c>
      <c r="B375" s="1186" t="s">
        <v>1572</v>
      </c>
      <c r="C375" s="1186" t="s">
        <v>39</v>
      </c>
      <c r="D375" s="1186">
        <v>157</v>
      </c>
      <c r="E375" s="1186">
        <v>90</v>
      </c>
      <c r="F375" s="1186">
        <v>51</v>
      </c>
      <c r="G375" s="1186">
        <v>12</v>
      </c>
      <c r="H375" s="1186">
        <v>3</v>
      </c>
      <c r="I375" s="1186">
        <v>1</v>
      </c>
      <c r="J375" s="1186"/>
      <c r="K375" s="1186"/>
    </row>
    <row r="376" spans="1:11" x14ac:dyDescent="0.2">
      <c r="A376" s="1186" t="s">
        <v>496</v>
      </c>
      <c r="B376" s="1186" t="s">
        <v>1572</v>
      </c>
      <c r="C376" s="1186" t="s">
        <v>40</v>
      </c>
      <c r="D376" s="1186">
        <v>142</v>
      </c>
      <c r="E376" s="1186">
        <v>71</v>
      </c>
      <c r="F376" s="1186">
        <v>52</v>
      </c>
      <c r="G376" s="1186">
        <v>12</v>
      </c>
      <c r="H376" s="1186">
        <v>4</v>
      </c>
      <c r="I376" s="1186">
        <v>3</v>
      </c>
      <c r="J376" s="1186"/>
      <c r="K376" s="1186"/>
    </row>
    <row r="377" spans="1:11" x14ac:dyDescent="0.2">
      <c r="A377" s="1186" t="s">
        <v>496</v>
      </c>
      <c r="B377" s="1186" t="s">
        <v>1572</v>
      </c>
      <c r="C377" s="1186" t="s">
        <v>295</v>
      </c>
      <c r="D377" s="1186">
        <v>41</v>
      </c>
      <c r="E377" s="1186">
        <v>18</v>
      </c>
      <c r="F377" s="1186">
        <v>14</v>
      </c>
      <c r="G377" s="1186">
        <v>8</v>
      </c>
      <c r="H377" s="1186">
        <v>1</v>
      </c>
      <c r="I377" s="1186"/>
      <c r="J377" s="1186"/>
      <c r="K377" s="1186"/>
    </row>
    <row r="378" spans="1:11" x14ac:dyDescent="0.2">
      <c r="A378" s="1186" t="s">
        <v>496</v>
      </c>
      <c r="B378" s="1186" t="s">
        <v>1572</v>
      </c>
      <c r="C378" s="1186" t="s">
        <v>41</v>
      </c>
      <c r="D378" s="1186">
        <v>239</v>
      </c>
      <c r="E378" s="1186">
        <v>87</v>
      </c>
      <c r="F378" s="1186">
        <v>110</v>
      </c>
      <c r="G378" s="1186">
        <v>39</v>
      </c>
      <c r="H378" s="1186">
        <v>3</v>
      </c>
      <c r="I378" s="1186"/>
      <c r="J378" s="1186"/>
      <c r="K378" s="1186"/>
    </row>
    <row r="379" spans="1:11" x14ac:dyDescent="0.2">
      <c r="A379" s="1186" t="s">
        <v>496</v>
      </c>
      <c r="B379" s="1186" t="s">
        <v>1572</v>
      </c>
      <c r="C379" s="1186" t="s">
        <v>42</v>
      </c>
      <c r="D379" s="1186">
        <v>682</v>
      </c>
      <c r="E379" s="1186">
        <v>278</v>
      </c>
      <c r="F379" s="1186">
        <v>292</v>
      </c>
      <c r="G379" s="1186">
        <v>93</v>
      </c>
      <c r="H379" s="1186">
        <v>13</v>
      </c>
      <c r="I379" s="1186">
        <v>3</v>
      </c>
      <c r="J379" s="1186">
        <v>3</v>
      </c>
      <c r="K379" s="1186"/>
    </row>
    <row r="380" spans="1:11" x14ac:dyDescent="0.2">
      <c r="A380" s="1186" t="s">
        <v>496</v>
      </c>
      <c r="B380" s="1186" t="s">
        <v>1572</v>
      </c>
      <c r="C380" s="1186" t="s">
        <v>43</v>
      </c>
      <c r="D380" s="1186">
        <v>17</v>
      </c>
      <c r="E380" s="1186">
        <v>11</v>
      </c>
      <c r="F380" s="1186">
        <v>4</v>
      </c>
      <c r="G380" s="1186">
        <v>2</v>
      </c>
      <c r="H380" s="1186"/>
      <c r="I380" s="1186"/>
      <c r="J380" s="1186"/>
      <c r="K380" s="1186"/>
    </row>
    <row r="381" spans="1:11" x14ac:dyDescent="0.2">
      <c r="A381" s="1186" t="s">
        <v>496</v>
      </c>
      <c r="B381" s="1186" t="s">
        <v>1572</v>
      </c>
      <c r="C381" s="1186" t="s">
        <v>44</v>
      </c>
      <c r="D381" s="1186">
        <v>227</v>
      </c>
      <c r="E381" s="1186">
        <v>63</v>
      </c>
      <c r="F381" s="1186">
        <v>114</v>
      </c>
      <c r="G381" s="1186">
        <v>44</v>
      </c>
      <c r="H381" s="1186">
        <v>6</v>
      </c>
      <c r="I381" s="1186"/>
      <c r="J381" s="1186"/>
      <c r="K381" s="1186"/>
    </row>
    <row r="382" spans="1:11" x14ac:dyDescent="0.2">
      <c r="A382" s="1186" t="s">
        <v>496</v>
      </c>
      <c r="B382" s="1186" t="s">
        <v>1572</v>
      </c>
      <c r="C382" s="1186" t="s">
        <v>45</v>
      </c>
      <c r="D382" s="1186">
        <v>330</v>
      </c>
      <c r="E382" s="1186">
        <v>113</v>
      </c>
      <c r="F382" s="1186">
        <v>141</v>
      </c>
      <c r="G382" s="1186">
        <v>70</v>
      </c>
      <c r="H382" s="1186">
        <v>5</v>
      </c>
      <c r="I382" s="1186">
        <v>1</v>
      </c>
      <c r="J382" s="1186"/>
      <c r="K382" s="1186"/>
    </row>
    <row r="383" spans="1:11" x14ac:dyDescent="0.2">
      <c r="A383" s="1186" t="s">
        <v>496</v>
      </c>
      <c r="B383" s="1186" t="s">
        <v>1572</v>
      </c>
      <c r="C383" s="1186" t="s">
        <v>46</v>
      </c>
      <c r="D383" s="1186">
        <v>184</v>
      </c>
      <c r="E383" s="1186">
        <v>77</v>
      </c>
      <c r="F383" s="1186">
        <v>81</v>
      </c>
      <c r="G383" s="1186">
        <v>21</v>
      </c>
      <c r="H383" s="1186">
        <v>4</v>
      </c>
      <c r="I383" s="1186"/>
      <c r="J383" s="1186">
        <v>1</v>
      </c>
      <c r="K383" s="1186"/>
    </row>
    <row r="384" spans="1:11" x14ac:dyDescent="0.2">
      <c r="A384" s="1186" t="s">
        <v>496</v>
      </c>
      <c r="B384" s="1186" t="s">
        <v>1572</v>
      </c>
      <c r="C384" s="1186" t="s">
        <v>47</v>
      </c>
      <c r="D384" s="1186">
        <v>53</v>
      </c>
      <c r="E384" s="1186">
        <v>19</v>
      </c>
      <c r="F384" s="1186">
        <v>25</v>
      </c>
      <c r="G384" s="1186">
        <v>8</v>
      </c>
      <c r="H384" s="1186"/>
      <c r="I384" s="1186"/>
      <c r="J384" s="1186">
        <v>1</v>
      </c>
      <c r="K384" s="1186"/>
    </row>
    <row r="385" spans="1:11" x14ac:dyDescent="0.2">
      <c r="A385" s="1186" t="s">
        <v>496</v>
      </c>
      <c r="B385" s="1186" t="s">
        <v>1572</v>
      </c>
      <c r="C385" s="1186" t="s">
        <v>48</v>
      </c>
      <c r="D385" s="1186">
        <v>159</v>
      </c>
      <c r="E385" s="1186">
        <v>47</v>
      </c>
      <c r="F385" s="1186">
        <v>86</v>
      </c>
      <c r="G385" s="1186">
        <v>24</v>
      </c>
      <c r="H385" s="1186">
        <v>1</v>
      </c>
      <c r="I385" s="1186">
        <v>1</v>
      </c>
      <c r="J385" s="1186"/>
      <c r="K385" s="1186"/>
    </row>
    <row r="386" spans="1:11" x14ac:dyDescent="0.2">
      <c r="A386" s="1186" t="s">
        <v>496</v>
      </c>
      <c r="B386" s="1186" t="s">
        <v>1572</v>
      </c>
      <c r="C386" s="1186" t="s">
        <v>49</v>
      </c>
      <c r="D386" s="1186">
        <v>515</v>
      </c>
      <c r="E386" s="1186">
        <v>202</v>
      </c>
      <c r="F386" s="1186">
        <v>248</v>
      </c>
      <c r="G386" s="1186">
        <v>54</v>
      </c>
      <c r="H386" s="1186">
        <v>8</v>
      </c>
      <c r="I386" s="1186">
        <v>2</v>
      </c>
      <c r="J386" s="1186">
        <v>1</v>
      </c>
      <c r="K386" s="1186"/>
    </row>
    <row r="387" spans="1:11" x14ac:dyDescent="0.2">
      <c r="A387" s="1186" t="s">
        <v>496</v>
      </c>
      <c r="B387" s="1186" t="s">
        <v>1572</v>
      </c>
      <c r="C387" s="1186" t="s">
        <v>50</v>
      </c>
      <c r="D387" s="1186">
        <v>162</v>
      </c>
      <c r="E387" s="1186">
        <v>50</v>
      </c>
      <c r="F387" s="1186">
        <v>76</v>
      </c>
      <c r="G387" s="1186">
        <v>34</v>
      </c>
      <c r="H387" s="1186">
        <v>2</v>
      </c>
      <c r="I387" s="1186"/>
      <c r="J387" s="1186"/>
      <c r="K387" s="1186"/>
    </row>
    <row r="388" spans="1:11" x14ac:dyDescent="0.2">
      <c r="A388" s="1186" t="s">
        <v>496</v>
      </c>
      <c r="B388" s="1186" t="s">
        <v>1572</v>
      </c>
      <c r="C388" s="1186" t="s">
        <v>51</v>
      </c>
      <c r="D388" s="1186">
        <v>200</v>
      </c>
      <c r="E388" s="1186">
        <v>78</v>
      </c>
      <c r="F388" s="1186">
        <v>79</v>
      </c>
      <c r="G388" s="1186">
        <v>34</v>
      </c>
      <c r="H388" s="1186">
        <v>6</v>
      </c>
      <c r="I388" s="1186"/>
      <c r="J388" s="1186">
        <v>2</v>
      </c>
      <c r="K388" s="1186">
        <v>1</v>
      </c>
    </row>
    <row r="389" spans="1:11" x14ac:dyDescent="0.2">
      <c r="A389" s="1186" t="s">
        <v>496</v>
      </c>
      <c r="B389" s="1186" t="s">
        <v>1572</v>
      </c>
      <c r="C389" s="1186" t="s">
        <v>52</v>
      </c>
      <c r="D389" s="1186">
        <v>292</v>
      </c>
      <c r="E389" s="1186">
        <v>133</v>
      </c>
      <c r="F389" s="1186">
        <v>112</v>
      </c>
      <c r="G389" s="1186">
        <v>40</v>
      </c>
      <c r="H389" s="1186">
        <v>4</v>
      </c>
      <c r="I389" s="1186">
        <v>1</v>
      </c>
      <c r="J389" s="1186">
        <v>2</v>
      </c>
      <c r="K389" s="1186"/>
    </row>
    <row r="390" spans="1:11" x14ac:dyDescent="0.2">
      <c r="A390" s="1186" t="s">
        <v>495</v>
      </c>
      <c r="B390" s="1186" t="s">
        <v>19</v>
      </c>
      <c r="C390" s="1186" t="s">
        <v>23</v>
      </c>
      <c r="D390" s="1186">
        <v>657</v>
      </c>
      <c r="E390" s="1186">
        <v>613</v>
      </c>
      <c r="F390" s="1186">
        <v>33</v>
      </c>
      <c r="G390" s="1186">
        <v>11</v>
      </c>
      <c r="H390" s="1186"/>
      <c r="I390" s="1186"/>
      <c r="J390" s="1186"/>
      <c r="K390" s="1186"/>
    </row>
    <row r="391" spans="1:11" x14ac:dyDescent="0.2">
      <c r="A391" s="1186" t="s">
        <v>495</v>
      </c>
      <c r="B391" s="1186" t="s">
        <v>19</v>
      </c>
      <c r="C391" s="1186" t="s">
        <v>24</v>
      </c>
      <c r="D391" s="1186">
        <v>254</v>
      </c>
      <c r="E391" s="1186">
        <v>226</v>
      </c>
      <c r="F391" s="1186">
        <v>26</v>
      </c>
      <c r="G391" s="1186">
        <v>2</v>
      </c>
      <c r="H391" s="1186"/>
      <c r="I391" s="1186"/>
      <c r="J391" s="1186"/>
      <c r="K391" s="1186"/>
    </row>
    <row r="392" spans="1:11" x14ac:dyDescent="0.2">
      <c r="A392" s="1186" t="s">
        <v>495</v>
      </c>
      <c r="B392" s="1186" t="s">
        <v>19</v>
      </c>
      <c r="C392" s="1186" t="s">
        <v>25</v>
      </c>
      <c r="D392" s="1186">
        <v>191</v>
      </c>
      <c r="E392" s="1186">
        <v>170</v>
      </c>
      <c r="F392" s="1186">
        <v>17</v>
      </c>
      <c r="G392" s="1186">
        <v>4</v>
      </c>
      <c r="H392" s="1186"/>
      <c r="I392" s="1186"/>
      <c r="J392" s="1186"/>
      <c r="K392" s="1186"/>
    </row>
    <row r="393" spans="1:11" x14ac:dyDescent="0.2">
      <c r="A393" s="1186" t="s">
        <v>495</v>
      </c>
      <c r="B393" s="1186" t="s">
        <v>19</v>
      </c>
      <c r="C393" s="1186" t="s">
        <v>26</v>
      </c>
      <c r="D393" s="1186">
        <v>155</v>
      </c>
      <c r="E393" s="1186">
        <v>108</v>
      </c>
      <c r="F393" s="1186">
        <v>40</v>
      </c>
      <c r="G393" s="1186">
        <v>6</v>
      </c>
      <c r="H393" s="1186"/>
      <c r="I393" s="1186"/>
      <c r="J393" s="1186"/>
      <c r="K393" s="1186">
        <v>1</v>
      </c>
    </row>
    <row r="394" spans="1:11" x14ac:dyDescent="0.2">
      <c r="A394" s="1186" t="s">
        <v>495</v>
      </c>
      <c r="B394" s="1186" t="s">
        <v>19</v>
      </c>
      <c r="C394" s="1186" t="s">
        <v>619</v>
      </c>
      <c r="D394" s="1186">
        <v>2219</v>
      </c>
      <c r="E394" s="1186">
        <v>2082</v>
      </c>
      <c r="F394" s="1186">
        <v>87</v>
      </c>
      <c r="G394" s="1186">
        <v>50</v>
      </c>
      <c r="H394" s="1186"/>
      <c r="I394" s="1186"/>
      <c r="J394" s="1186"/>
      <c r="K394" s="1186"/>
    </row>
    <row r="395" spans="1:11" x14ac:dyDescent="0.2">
      <c r="A395" s="1186" t="s">
        <v>495</v>
      </c>
      <c r="B395" s="1186" t="s">
        <v>19</v>
      </c>
      <c r="C395" s="1186" t="s">
        <v>27</v>
      </c>
      <c r="D395" s="1186">
        <v>218</v>
      </c>
      <c r="E395" s="1186">
        <v>202</v>
      </c>
      <c r="F395" s="1186">
        <v>14</v>
      </c>
      <c r="G395" s="1186">
        <v>2</v>
      </c>
      <c r="H395" s="1186"/>
      <c r="I395" s="1186"/>
      <c r="J395" s="1186"/>
      <c r="K395" s="1186"/>
    </row>
    <row r="396" spans="1:11" x14ac:dyDescent="0.2">
      <c r="A396" s="1186" t="s">
        <v>495</v>
      </c>
      <c r="B396" s="1186" t="s">
        <v>19</v>
      </c>
      <c r="C396" s="1186" t="s">
        <v>28</v>
      </c>
      <c r="D396" s="1186">
        <v>237</v>
      </c>
      <c r="E396" s="1186">
        <v>228</v>
      </c>
      <c r="F396" s="1186">
        <v>8</v>
      </c>
      <c r="G396" s="1186"/>
      <c r="H396" s="1186"/>
      <c r="I396" s="1186"/>
      <c r="J396" s="1186"/>
      <c r="K396" s="1186">
        <v>1</v>
      </c>
    </row>
    <row r="397" spans="1:11" x14ac:dyDescent="0.2">
      <c r="A397" s="1186" t="s">
        <v>495</v>
      </c>
      <c r="B397" s="1186" t="s">
        <v>19</v>
      </c>
      <c r="C397" s="1186" t="s">
        <v>29</v>
      </c>
      <c r="D397" s="1186">
        <v>1007</v>
      </c>
      <c r="E397" s="1186">
        <v>949</v>
      </c>
      <c r="F397" s="1186">
        <v>48</v>
      </c>
      <c r="G397" s="1186">
        <v>7</v>
      </c>
      <c r="H397" s="1186">
        <v>1</v>
      </c>
      <c r="I397" s="1186"/>
      <c r="J397" s="1186"/>
      <c r="K397" s="1186">
        <v>2</v>
      </c>
    </row>
    <row r="398" spans="1:11" x14ac:dyDescent="0.2">
      <c r="A398" s="1186" t="s">
        <v>495</v>
      </c>
      <c r="B398" s="1186" t="s">
        <v>19</v>
      </c>
      <c r="C398" s="1186" t="s">
        <v>30</v>
      </c>
      <c r="D398" s="1186">
        <v>868</v>
      </c>
      <c r="E398" s="1186">
        <v>723</v>
      </c>
      <c r="F398" s="1186">
        <v>135</v>
      </c>
      <c r="G398" s="1186">
        <v>9</v>
      </c>
      <c r="H398" s="1186"/>
      <c r="I398" s="1186"/>
      <c r="J398" s="1186"/>
      <c r="K398" s="1186">
        <v>1</v>
      </c>
    </row>
    <row r="399" spans="1:11" x14ac:dyDescent="0.2">
      <c r="A399" s="1186" t="s">
        <v>495</v>
      </c>
      <c r="B399" s="1186" t="s">
        <v>19</v>
      </c>
      <c r="C399" s="1186" t="s">
        <v>31</v>
      </c>
      <c r="D399" s="1186">
        <v>314</v>
      </c>
      <c r="E399" s="1186">
        <v>262</v>
      </c>
      <c r="F399" s="1186">
        <v>50</v>
      </c>
      <c r="G399" s="1186">
        <v>2</v>
      </c>
      <c r="H399" s="1186"/>
      <c r="I399" s="1186"/>
      <c r="J399" s="1186"/>
      <c r="K399" s="1186"/>
    </row>
    <row r="400" spans="1:11" x14ac:dyDescent="0.2">
      <c r="A400" s="1186" t="s">
        <v>495</v>
      </c>
      <c r="B400" s="1186" t="s">
        <v>19</v>
      </c>
      <c r="C400" s="1186" t="s">
        <v>32</v>
      </c>
      <c r="D400" s="1186">
        <v>345</v>
      </c>
      <c r="E400" s="1186">
        <v>322</v>
      </c>
      <c r="F400" s="1186">
        <v>22</v>
      </c>
      <c r="G400" s="1186">
        <v>1</v>
      </c>
      <c r="H400" s="1186"/>
      <c r="I400" s="1186"/>
      <c r="J400" s="1186"/>
      <c r="K400" s="1186"/>
    </row>
    <row r="401" spans="1:11" x14ac:dyDescent="0.2">
      <c r="A401" s="1186" t="s">
        <v>495</v>
      </c>
      <c r="B401" s="1186" t="s">
        <v>19</v>
      </c>
      <c r="C401" s="1186" t="s">
        <v>33</v>
      </c>
      <c r="D401" s="1186">
        <v>283</v>
      </c>
      <c r="E401" s="1186">
        <v>233</v>
      </c>
      <c r="F401" s="1186">
        <v>45</v>
      </c>
      <c r="G401" s="1186">
        <v>5</v>
      </c>
      <c r="H401" s="1186"/>
      <c r="I401" s="1186"/>
      <c r="J401" s="1186"/>
      <c r="K401" s="1186"/>
    </row>
    <row r="402" spans="1:11" x14ac:dyDescent="0.2">
      <c r="A402" s="1186" t="s">
        <v>495</v>
      </c>
      <c r="B402" s="1186" t="s">
        <v>19</v>
      </c>
      <c r="C402" s="1186" t="s">
        <v>34</v>
      </c>
      <c r="D402" s="1186">
        <v>751</v>
      </c>
      <c r="E402" s="1186">
        <v>707</v>
      </c>
      <c r="F402" s="1186">
        <v>36</v>
      </c>
      <c r="G402" s="1186">
        <v>8</v>
      </c>
      <c r="H402" s="1186"/>
      <c r="I402" s="1186"/>
      <c r="J402" s="1186"/>
      <c r="K402" s="1186"/>
    </row>
    <row r="403" spans="1:11" x14ac:dyDescent="0.2">
      <c r="A403" s="1186" t="s">
        <v>495</v>
      </c>
      <c r="B403" s="1186" t="s">
        <v>19</v>
      </c>
      <c r="C403" s="1186" t="s">
        <v>35</v>
      </c>
      <c r="D403" s="1186">
        <v>1311</v>
      </c>
      <c r="E403" s="1186">
        <v>1232</v>
      </c>
      <c r="F403" s="1186">
        <v>70</v>
      </c>
      <c r="G403" s="1186">
        <v>9</v>
      </c>
      <c r="H403" s="1186"/>
      <c r="I403" s="1186"/>
      <c r="J403" s="1186"/>
      <c r="K403" s="1186"/>
    </row>
    <row r="404" spans="1:11" x14ac:dyDescent="0.2">
      <c r="A404" s="1186" t="s">
        <v>495</v>
      </c>
      <c r="B404" s="1186" t="s">
        <v>19</v>
      </c>
      <c r="C404" s="1186" t="s">
        <v>36</v>
      </c>
      <c r="D404" s="1186">
        <v>3809</v>
      </c>
      <c r="E404" s="1186">
        <v>2954</v>
      </c>
      <c r="F404" s="1186">
        <v>637</v>
      </c>
      <c r="G404" s="1186">
        <v>194</v>
      </c>
      <c r="H404" s="1186"/>
      <c r="I404" s="1186">
        <v>1</v>
      </c>
      <c r="J404" s="1186"/>
      <c r="K404" s="1186">
        <v>23</v>
      </c>
    </row>
    <row r="405" spans="1:11" x14ac:dyDescent="0.2">
      <c r="A405" s="1186" t="s">
        <v>495</v>
      </c>
      <c r="B405" s="1186" t="s">
        <v>19</v>
      </c>
      <c r="C405" s="1186" t="s">
        <v>37</v>
      </c>
      <c r="D405" s="1186">
        <v>568</v>
      </c>
      <c r="E405" s="1186">
        <v>495</v>
      </c>
      <c r="F405" s="1186">
        <v>59</v>
      </c>
      <c r="G405" s="1186">
        <v>14</v>
      </c>
      <c r="H405" s="1186"/>
      <c r="I405" s="1186"/>
      <c r="J405" s="1186"/>
      <c r="K405" s="1186"/>
    </row>
    <row r="406" spans="1:11" x14ac:dyDescent="0.2">
      <c r="A406" s="1186" t="s">
        <v>495</v>
      </c>
      <c r="B406" s="1186" t="s">
        <v>19</v>
      </c>
      <c r="C406" s="1186" t="s">
        <v>38</v>
      </c>
      <c r="D406" s="1186">
        <v>625</v>
      </c>
      <c r="E406" s="1186">
        <v>464</v>
      </c>
      <c r="F406" s="1186">
        <v>137</v>
      </c>
      <c r="G406" s="1186">
        <v>23</v>
      </c>
      <c r="H406" s="1186"/>
      <c r="I406" s="1186"/>
      <c r="J406" s="1186"/>
      <c r="K406" s="1186">
        <v>1</v>
      </c>
    </row>
    <row r="407" spans="1:11" x14ac:dyDescent="0.2">
      <c r="A407" s="1186" t="s">
        <v>495</v>
      </c>
      <c r="B407" s="1186" t="s">
        <v>19</v>
      </c>
      <c r="C407" s="1186" t="s">
        <v>39</v>
      </c>
      <c r="D407" s="1186">
        <v>371</v>
      </c>
      <c r="E407" s="1186">
        <v>347</v>
      </c>
      <c r="F407" s="1186">
        <v>22</v>
      </c>
      <c r="G407" s="1186">
        <v>2</v>
      </c>
      <c r="H407" s="1186"/>
      <c r="I407" s="1186"/>
      <c r="J407" s="1186"/>
      <c r="K407" s="1186"/>
    </row>
    <row r="408" spans="1:11" x14ac:dyDescent="0.2">
      <c r="A408" s="1186" t="s">
        <v>495</v>
      </c>
      <c r="B408" s="1186" t="s">
        <v>19</v>
      </c>
      <c r="C408" s="1186" t="s">
        <v>40</v>
      </c>
      <c r="D408" s="1186">
        <v>167</v>
      </c>
      <c r="E408" s="1186">
        <v>144</v>
      </c>
      <c r="F408" s="1186">
        <v>18</v>
      </c>
      <c r="G408" s="1186">
        <v>5</v>
      </c>
      <c r="H408" s="1186"/>
      <c r="I408" s="1186"/>
      <c r="J408" s="1186"/>
      <c r="K408" s="1186"/>
    </row>
    <row r="409" spans="1:11" x14ac:dyDescent="0.2">
      <c r="A409" s="1186" t="s">
        <v>495</v>
      </c>
      <c r="B409" s="1186" t="s">
        <v>19</v>
      </c>
      <c r="C409" s="1186" t="s">
        <v>295</v>
      </c>
      <c r="D409" s="1186">
        <v>33</v>
      </c>
      <c r="E409" s="1186">
        <v>25</v>
      </c>
      <c r="F409" s="1186">
        <v>7</v>
      </c>
      <c r="G409" s="1186">
        <v>1</v>
      </c>
      <c r="H409" s="1186"/>
      <c r="I409" s="1186"/>
      <c r="J409" s="1186"/>
      <c r="K409" s="1186"/>
    </row>
    <row r="410" spans="1:11" x14ac:dyDescent="0.2">
      <c r="A410" s="1186" t="s">
        <v>495</v>
      </c>
      <c r="B410" s="1186" t="s">
        <v>19</v>
      </c>
      <c r="C410" s="1186" t="s">
        <v>41</v>
      </c>
      <c r="D410" s="1186">
        <v>907</v>
      </c>
      <c r="E410" s="1186">
        <v>803</v>
      </c>
      <c r="F410" s="1186">
        <v>96</v>
      </c>
      <c r="G410" s="1186">
        <v>7</v>
      </c>
      <c r="H410" s="1186"/>
      <c r="I410" s="1186"/>
      <c r="J410" s="1186"/>
      <c r="K410" s="1186">
        <v>1</v>
      </c>
    </row>
    <row r="411" spans="1:11" x14ac:dyDescent="0.2">
      <c r="A411" s="1186" t="s">
        <v>495</v>
      </c>
      <c r="B411" s="1186" t="s">
        <v>19</v>
      </c>
      <c r="C411" s="1186" t="s">
        <v>42</v>
      </c>
      <c r="D411" s="1186">
        <v>2211</v>
      </c>
      <c r="E411" s="1186">
        <v>1783</v>
      </c>
      <c r="F411" s="1186">
        <v>389</v>
      </c>
      <c r="G411" s="1186">
        <v>36</v>
      </c>
      <c r="H411" s="1186"/>
      <c r="I411" s="1186"/>
      <c r="J411" s="1186"/>
      <c r="K411" s="1186">
        <v>3</v>
      </c>
    </row>
    <row r="412" spans="1:11" x14ac:dyDescent="0.2">
      <c r="A412" s="1186" t="s">
        <v>495</v>
      </c>
      <c r="B412" s="1186" t="s">
        <v>19</v>
      </c>
      <c r="C412" s="1186" t="s">
        <v>43</v>
      </c>
      <c r="D412" s="1186">
        <v>18</v>
      </c>
      <c r="E412" s="1186">
        <v>15</v>
      </c>
      <c r="F412" s="1186">
        <v>1</v>
      </c>
      <c r="G412" s="1186">
        <v>2</v>
      </c>
      <c r="H412" s="1186"/>
      <c r="I412" s="1186"/>
      <c r="J412" s="1186"/>
      <c r="K412" s="1186"/>
    </row>
    <row r="413" spans="1:11" x14ac:dyDescent="0.2">
      <c r="A413" s="1186" t="s">
        <v>495</v>
      </c>
      <c r="B413" s="1186" t="s">
        <v>19</v>
      </c>
      <c r="C413" s="1186" t="s">
        <v>44</v>
      </c>
      <c r="D413" s="1186">
        <v>224</v>
      </c>
      <c r="E413" s="1186">
        <v>193</v>
      </c>
      <c r="F413" s="1186">
        <v>27</v>
      </c>
      <c r="G413" s="1186">
        <v>4</v>
      </c>
      <c r="H413" s="1186"/>
      <c r="I413" s="1186"/>
      <c r="J413" s="1186"/>
      <c r="K413" s="1186"/>
    </row>
    <row r="414" spans="1:11" x14ac:dyDescent="0.2">
      <c r="A414" s="1186" t="s">
        <v>495</v>
      </c>
      <c r="B414" s="1186" t="s">
        <v>19</v>
      </c>
      <c r="C414" s="1186" t="s">
        <v>45</v>
      </c>
      <c r="D414" s="1186">
        <v>871</v>
      </c>
      <c r="E414" s="1186">
        <v>644</v>
      </c>
      <c r="F414" s="1186">
        <v>189</v>
      </c>
      <c r="G414" s="1186">
        <v>31</v>
      </c>
      <c r="H414" s="1186"/>
      <c r="I414" s="1186"/>
      <c r="J414" s="1186"/>
      <c r="K414" s="1186">
        <v>7</v>
      </c>
    </row>
    <row r="415" spans="1:11" x14ac:dyDescent="0.2">
      <c r="A415" s="1186" t="s">
        <v>495</v>
      </c>
      <c r="B415" s="1186" t="s">
        <v>19</v>
      </c>
      <c r="C415" s="1186" t="s">
        <v>46</v>
      </c>
      <c r="D415" s="1186">
        <v>147</v>
      </c>
      <c r="E415" s="1186">
        <v>130</v>
      </c>
      <c r="F415" s="1186">
        <v>16</v>
      </c>
      <c r="G415" s="1186">
        <v>1</v>
      </c>
      <c r="H415" s="1186"/>
      <c r="I415" s="1186"/>
      <c r="J415" s="1186"/>
      <c r="K415" s="1186"/>
    </row>
    <row r="416" spans="1:11" x14ac:dyDescent="0.2">
      <c r="A416" s="1186" t="s">
        <v>495</v>
      </c>
      <c r="B416" s="1186" t="s">
        <v>19</v>
      </c>
      <c r="C416" s="1186" t="s">
        <v>47</v>
      </c>
      <c r="D416" s="1186">
        <v>14</v>
      </c>
      <c r="E416" s="1186">
        <v>12</v>
      </c>
      <c r="F416" s="1186">
        <v>2</v>
      </c>
      <c r="G416" s="1186"/>
      <c r="H416" s="1186"/>
      <c r="I416" s="1186"/>
      <c r="J416" s="1186"/>
      <c r="K416" s="1186"/>
    </row>
    <row r="417" spans="1:11" x14ac:dyDescent="0.2">
      <c r="A417" s="1186" t="s">
        <v>495</v>
      </c>
      <c r="B417" s="1186" t="s">
        <v>19</v>
      </c>
      <c r="C417" s="1186" t="s">
        <v>48</v>
      </c>
      <c r="D417" s="1186">
        <v>415</v>
      </c>
      <c r="E417" s="1186">
        <v>349</v>
      </c>
      <c r="F417" s="1186">
        <v>59</v>
      </c>
      <c r="G417" s="1186">
        <v>4</v>
      </c>
      <c r="H417" s="1186"/>
      <c r="I417" s="1186"/>
      <c r="J417" s="1186"/>
      <c r="K417" s="1186">
        <v>3</v>
      </c>
    </row>
    <row r="418" spans="1:11" x14ac:dyDescent="0.2">
      <c r="A418" s="1186" t="s">
        <v>495</v>
      </c>
      <c r="B418" s="1186" t="s">
        <v>19</v>
      </c>
      <c r="C418" s="1186" t="s">
        <v>49</v>
      </c>
      <c r="D418" s="1186">
        <v>1787</v>
      </c>
      <c r="E418" s="1186">
        <v>1449</v>
      </c>
      <c r="F418" s="1186">
        <v>304</v>
      </c>
      <c r="G418" s="1186">
        <v>33</v>
      </c>
      <c r="H418" s="1186"/>
      <c r="I418" s="1186"/>
      <c r="J418" s="1186"/>
      <c r="K418" s="1186">
        <v>1</v>
      </c>
    </row>
    <row r="419" spans="1:11" x14ac:dyDescent="0.2">
      <c r="A419" s="1186" t="s">
        <v>495</v>
      </c>
      <c r="B419" s="1186" t="s">
        <v>19</v>
      </c>
      <c r="C419" s="1186" t="s">
        <v>50</v>
      </c>
      <c r="D419" s="1186">
        <v>249</v>
      </c>
      <c r="E419" s="1186">
        <v>225</v>
      </c>
      <c r="F419" s="1186">
        <v>21</v>
      </c>
      <c r="G419" s="1186">
        <v>3</v>
      </c>
      <c r="H419" s="1186"/>
      <c r="I419" s="1186"/>
      <c r="J419" s="1186"/>
      <c r="K419" s="1186"/>
    </row>
    <row r="420" spans="1:11" x14ac:dyDescent="0.2">
      <c r="A420" s="1186" t="s">
        <v>495</v>
      </c>
      <c r="B420" s="1186" t="s">
        <v>19</v>
      </c>
      <c r="C420" s="1186" t="s">
        <v>51</v>
      </c>
      <c r="D420" s="1186">
        <v>795</v>
      </c>
      <c r="E420" s="1186">
        <v>663</v>
      </c>
      <c r="F420" s="1186">
        <v>119</v>
      </c>
      <c r="G420" s="1186">
        <v>12</v>
      </c>
      <c r="H420" s="1186"/>
      <c r="I420" s="1186"/>
      <c r="J420" s="1186"/>
      <c r="K420" s="1186">
        <v>1</v>
      </c>
    </row>
    <row r="421" spans="1:11" x14ac:dyDescent="0.2">
      <c r="A421" s="1186" t="s">
        <v>495</v>
      </c>
      <c r="B421" s="1186" t="s">
        <v>19</v>
      </c>
      <c r="C421" s="1186" t="s">
        <v>52</v>
      </c>
      <c r="D421" s="1186">
        <v>968</v>
      </c>
      <c r="E421" s="1186">
        <v>904</v>
      </c>
      <c r="F421" s="1186">
        <v>58</v>
      </c>
      <c r="G421" s="1186">
        <v>6</v>
      </c>
      <c r="H421" s="1186"/>
      <c r="I421" s="1186"/>
      <c r="J421" s="1186"/>
      <c r="K421" s="1186"/>
    </row>
    <row r="422" spans="1:11" x14ac:dyDescent="0.2">
      <c r="A422" s="1186" t="s">
        <v>495</v>
      </c>
      <c r="B422" s="1186" t="s">
        <v>20</v>
      </c>
      <c r="C422" s="1186" t="s">
        <v>23</v>
      </c>
      <c r="D422" s="1186">
        <v>522</v>
      </c>
      <c r="E422" s="1186">
        <v>480</v>
      </c>
      <c r="F422" s="1186">
        <v>33</v>
      </c>
      <c r="G422" s="1186">
        <v>9</v>
      </c>
      <c r="H422" s="1186"/>
      <c r="I422" s="1186"/>
      <c r="J422" s="1186"/>
      <c r="K422" s="1186"/>
    </row>
    <row r="423" spans="1:11" x14ac:dyDescent="0.2">
      <c r="A423" s="1186" t="s">
        <v>495</v>
      </c>
      <c r="B423" s="1186" t="s">
        <v>20</v>
      </c>
      <c r="C423" s="1186" t="s">
        <v>24</v>
      </c>
      <c r="D423" s="1186">
        <v>264</v>
      </c>
      <c r="E423" s="1186">
        <v>233</v>
      </c>
      <c r="F423" s="1186">
        <v>26</v>
      </c>
      <c r="G423" s="1186">
        <v>5</v>
      </c>
      <c r="H423" s="1186"/>
      <c r="I423" s="1186"/>
      <c r="J423" s="1186"/>
      <c r="K423" s="1186"/>
    </row>
    <row r="424" spans="1:11" x14ac:dyDescent="0.2">
      <c r="A424" s="1186" t="s">
        <v>495</v>
      </c>
      <c r="B424" s="1186" t="s">
        <v>20</v>
      </c>
      <c r="C424" s="1186" t="s">
        <v>25</v>
      </c>
      <c r="D424" s="1186">
        <v>196</v>
      </c>
      <c r="E424" s="1186">
        <v>177</v>
      </c>
      <c r="F424" s="1186">
        <v>15</v>
      </c>
      <c r="G424" s="1186">
        <v>2</v>
      </c>
      <c r="H424" s="1186">
        <v>2</v>
      </c>
      <c r="I424" s="1186"/>
      <c r="J424" s="1186"/>
      <c r="K424" s="1186"/>
    </row>
    <row r="425" spans="1:11" x14ac:dyDescent="0.2">
      <c r="A425" s="1186" t="s">
        <v>495</v>
      </c>
      <c r="B425" s="1186" t="s">
        <v>20</v>
      </c>
      <c r="C425" s="1186" t="s">
        <v>26</v>
      </c>
      <c r="D425" s="1186">
        <v>259</v>
      </c>
      <c r="E425" s="1186">
        <v>172</v>
      </c>
      <c r="F425" s="1186">
        <v>67</v>
      </c>
      <c r="G425" s="1186">
        <v>14</v>
      </c>
      <c r="H425" s="1186"/>
      <c r="I425" s="1186"/>
      <c r="J425" s="1186"/>
      <c r="K425" s="1186">
        <v>6</v>
      </c>
    </row>
    <row r="426" spans="1:11" x14ac:dyDescent="0.2">
      <c r="A426" s="1186" t="s">
        <v>495</v>
      </c>
      <c r="B426" s="1186" t="s">
        <v>20</v>
      </c>
      <c r="C426" s="1186" t="s">
        <v>619</v>
      </c>
      <c r="D426" s="1186">
        <v>1883</v>
      </c>
      <c r="E426" s="1186">
        <v>1721</v>
      </c>
      <c r="F426" s="1186">
        <v>125</v>
      </c>
      <c r="G426" s="1186">
        <v>36</v>
      </c>
      <c r="H426" s="1186"/>
      <c r="I426" s="1186"/>
      <c r="J426" s="1186"/>
      <c r="K426" s="1186">
        <v>1</v>
      </c>
    </row>
    <row r="427" spans="1:11" x14ac:dyDescent="0.2">
      <c r="A427" s="1186" t="s">
        <v>495</v>
      </c>
      <c r="B427" s="1186" t="s">
        <v>20</v>
      </c>
      <c r="C427" s="1186" t="s">
        <v>27</v>
      </c>
      <c r="D427" s="1186">
        <v>194</v>
      </c>
      <c r="E427" s="1186">
        <v>175</v>
      </c>
      <c r="F427" s="1186">
        <v>18</v>
      </c>
      <c r="G427" s="1186">
        <v>1</v>
      </c>
      <c r="H427" s="1186"/>
      <c r="I427" s="1186"/>
      <c r="J427" s="1186"/>
      <c r="K427" s="1186"/>
    </row>
    <row r="428" spans="1:11" x14ac:dyDescent="0.2">
      <c r="A428" s="1186" t="s">
        <v>495</v>
      </c>
      <c r="B428" s="1186" t="s">
        <v>20</v>
      </c>
      <c r="C428" s="1186" t="s">
        <v>28</v>
      </c>
      <c r="D428" s="1186">
        <v>260</v>
      </c>
      <c r="E428" s="1186">
        <v>243</v>
      </c>
      <c r="F428" s="1186">
        <v>13</v>
      </c>
      <c r="G428" s="1186">
        <v>4</v>
      </c>
      <c r="H428" s="1186"/>
      <c r="I428" s="1186"/>
      <c r="J428" s="1186"/>
      <c r="K428" s="1186"/>
    </row>
    <row r="429" spans="1:11" x14ac:dyDescent="0.2">
      <c r="A429" s="1186" t="s">
        <v>495</v>
      </c>
      <c r="B429" s="1186" t="s">
        <v>20</v>
      </c>
      <c r="C429" s="1186" t="s">
        <v>29</v>
      </c>
      <c r="D429" s="1186">
        <v>914</v>
      </c>
      <c r="E429" s="1186">
        <v>870</v>
      </c>
      <c r="F429" s="1186">
        <v>38</v>
      </c>
      <c r="G429" s="1186">
        <v>6</v>
      </c>
      <c r="H429" s="1186"/>
      <c r="I429" s="1186"/>
      <c r="J429" s="1186"/>
      <c r="K429" s="1186"/>
    </row>
    <row r="430" spans="1:11" x14ac:dyDescent="0.2">
      <c r="A430" s="1186" t="s">
        <v>495</v>
      </c>
      <c r="B430" s="1186" t="s">
        <v>20</v>
      </c>
      <c r="C430" s="1186" t="s">
        <v>30</v>
      </c>
      <c r="D430" s="1186">
        <v>1075</v>
      </c>
      <c r="E430" s="1186">
        <v>889</v>
      </c>
      <c r="F430" s="1186">
        <v>177</v>
      </c>
      <c r="G430" s="1186">
        <v>9</v>
      </c>
      <c r="H430" s="1186"/>
      <c r="I430" s="1186"/>
      <c r="J430" s="1186"/>
      <c r="K430" s="1186"/>
    </row>
    <row r="431" spans="1:11" x14ac:dyDescent="0.2">
      <c r="A431" s="1186" t="s">
        <v>495</v>
      </c>
      <c r="B431" s="1186" t="s">
        <v>20</v>
      </c>
      <c r="C431" s="1186" t="s">
        <v>31</v>
      </c>
      <c r="D431" s="1186">
        <v>342</v>
      </c>
      <c r="E431" s="1186">
        <v>289</v>
      </c>
      <c r="F431" s="1186">
        <v>49</v>
      </c>
      <c r="G431" s="1186">
        <v>4</v>
      </c>
      <c r="H431" s="1186"/>
      <c r="I431" s="1186"/>
      <c r="J431" s="1186"/>
      <c r="K431" s="1186"/>
    </row>
    <row r="432" spans="1:11" x14ac:dyDescent="0.2">
      <c r="A432" s="1186" t="s">
        <v>495</v>
      </c>
      <c r="B432" s="1186" t="s">
        <v>20</v>
      </c>
      <c r="C432" s="1186" t="s">
        <v>32</v>
      </c>
      <c r="D432" s="1186">
        <v>286</v>
      </c>
      <c r="E432" s="1186">
        <v>266</v>
      </c>
      <c r="F432" s="1186">
        <v>19</v>
      </c>
      <c r="G432" s="1186">
        <v>1</v>
      </c>
      <c r="H432" s="1186"/>
      <c r="I432" s="1186"/>
      <c r="J432" s="1186"/>
      <c r="K432" s="1186"/>
    </row>
    <row r="433" spans="1:11" x14ac:dyDescent="0.2">
      <c r="A433" s="1186" t="s">
        <v>495</v>
      </c>
      <c r="B433" s="1186" t="s">
        <v>20</v>
      </c>
      <c r="C433" s="1186" t="s">
        <v>33</v>
      </c>
      <c r="D433" s="1186">
        <v>293</v>
      </c>
      <c r="E433" s="1186">
        <v>253</v>
      </c>
      <c r="F433" s="1186">
        <v>34</v>
      </c>
      <c r="G433" s="1186">
        <v>6</v>
      </c>
      <c r="H433" s="1186"/>
      <c r="I433" s="1186"/>
      <c r="J433" s="1186"/>
      <c r="K433" s="1186"/>
    </row>
    <row r="434" spans="1:11" x14ac:dyDescent="0.2">
      <c r="A434" s="1186" t="s">
        <v>495</v>
      </c>
      <c r="B434" s="1186" t="s">
        <v>20</v>
      </c>
      <c r="C434" s="1186" t="s">
        <v>34</v>
      </c>
      <c r="D434" s="1186">
        <v>727</v>
      </c>
      <c r="E434" s="1186">
        <v>662</v>
      </c>
      <c r="F434" s="1186">
        <v>56</v>
      </c>
      <c r="G434" s="1186">
        <v>9</v>
      </c>
      <c r="H434" s="1186"/>
      <c r="I434" s="1186"/>
      <c r="J434" s="1186"/>
      <c r="K434" s="1186"/>
    </row>
    <row r="435" spans="1:11" x14ac:dyDescent="0.2">
      <c r="A435" s="1186" t="s">
        <v>495</v>
      </c>
      <c r="B435" s="1186" t="s">
        <v>20</v>
      </c>
      <c r="C435" s="1186" t="s">
        <v>35</v>
      </c>
      <c r="D435" s="1186">
        <v>1121</v>
      </c>
      <c r="E435" s="1186">
        <v>1048</v>
      </c>
      <c r="F435" s="1186">
        <v>64</v>
      </c>
      <c r="G435" s="1186">
        <v>9</v>
      </c>
      <c r="H435" s="1186"/>
      <c r="I435" s="1186"/>
      <c r="J435" s="1186"/>
      <c r="K435" s="1186"/>
    </row>
    <row r="436" spans="1:11" x14ac:dyDescent="0.2">
      <c r="A436" s="1186" t="s">
        <v>495</v>
      </c>
      <c r="B436" s="1186" t="s">
        <v>20</v>
      </c>
      <c r="C436" s="1186" t="s">
        <v>36</v>
      </c>
      <c r="D436" s="1186">
        <v>3958</v>
      </c>
      <c r="E436" s="1186">
        <v>3073</v>
      </c>
      <c r="F436" s="1186">
        <v>703</v>
      </c>
      <c r="G436" s="1186">
        <v>176</v>
      </c>
      <c r="H436" s="1186"/>
      <c r="I436" s="1186"/>
      <c r="J436" s="1186"/>
      <c r="K436" s="1186">
        <v>6</v>
      </c>
    </row>
    <row r="437" spans="1:11" x14ac:dyDescent="0.2">
      <c r="A437" s="1186" t="s">
        <v>495</v>
      </c>
      <c r="B437" s="1186" t="s">
        <v>20</v>
      </c>
      <c r="C437" s="1186" t="s">
        <v>37</v>
      </c>
      <c r="D437" s="1186">
        <v>593</v>
      </c>
      <c r="E437" s="1186">
        <v>511</v>
      </c>
      <c r="F437" s="1186">
        <v>55</v>
      </c>
      <c r="G437" s="1186">
        <v>25</v>
      </c>
      <c r="H437" s="1186">
        <v>1</v>
      </c>
      <c r="I437" s="1186"/>
      <c r="J437" s="1186"/>
      <c r="K437" s="1186">
        <v>1</v>
      </c>
    </row>
    <row r="438" spans="1:11" x14ac:dyDescent="0.2">
      <c r="A438" s="1186" t="s">
        <v>495</v>
      </c>
      <c r="B438" s="1186" t="s">
        <v>20</v>
      </c>
      <c r="C438" s="1186" t="s">
        <v>38</v>
      </c>
      <c r="D438" s="1186">
        <v>896</v>
      </c>
      <c r="E438" s="1186">
        <v>721</v>
      </c>
      <c r="F438" s="1186">
        <v>153</v>
      </c>
      <c r="G438" s="1186">
        <v>19</v>
      </c>
      <c r="H438" s="1186"/>
      <c r="I438" s="1186"/>
      <c r="J438" s="1186"/>
      <c r="K438" s="1186">
        <v>3</v>
      </c>
    </row>
    <row r="439" spans="1:11" x14ac:dyDescent="0.2">
      <c r="A439" s="1186" t="s">
        <v>495</v>
      </c>
      <c r="B439" s="1186" t="s">
        <v>20</v>
      </c>
      <c r="C439" s="1186" t="s">
        <v>39</v>
      </c>
      <c r="D439" s="1186">
        <v>360</v>
      </c>
      <c r="E439" s="1186">
        <v>325</v>
      </c>
      <c r="F439" s="1186">
        <v>29</v>
      </c>
      <c r="G439" s="1186">
        <v>6</v>
      </c>
      <c r="H439" s="1186"/>
      <c r="I439" s="1186"/>
      <c r="J439" s="1186"/>
      <c r="K439" s="1186"/>
    </row>
    <row r="440" spans="1:11" x14ac:dyDescent="0.2">
      <c r="A440" s="1186" t="s">
        <v>495</v>
      </c>
      <c r="B440" s="1186" t="s">
        <v>20</v>
      </c>
      <c r="C440" s="1186" t="s">
        <v>40</v>
      </c>
      <c r="D440" s="1186">
        <v>172</v>
      </c>
      <c r="E440" s="1186">
        <v>155</v>
      </c>
      <c r="F440" s="1186">
        <v>14</v>
      </c>
      <c r="G440" s="1186">
        <v>3</v>
      </c>
      <c r="H440" s="1186"/>
      <c r="I440" s="1186"/>
      <c r="J440" s="1186"/>
      <c r="K440" s="1186"/>
    </row>
    <row r="441" spans="1:11" x14ac:dyDescent="0.2">
      <c r="A441" s="1186" t="s">
        <v>495</v>
      </c>
      <c r="B441" s="1186" t="s">
        <v>20</v>
      </c>
      <c r="C441" s="1186" t="s">
        <v>295</v>
      </c>
      <c r="D441" s="1186">
        <v>46</v>
      </c>
      <c r="E441" s="1186">
        <v>36</v>
      </c>
      <c r="F441" s="1186">
        <v>8</v>
      </c>
      <c r="G441" s="1186">
        <v>2</v>
      </c>
      <c r="H441" s="1186"/>
      <c r="I441" s="1186"/>
      <c r="J441" s="1186"/>
      <c r="K441" s="1186"/>
    </row>
    <row r="442" spans="1:11" x14ac:dyDescent="0.2">
      <c r="A442" s="1186" t="s">
        <v>495</v>
      </c>
      <c r="B442" s="1186" t="s">
        <v>20</v>
      </c>
      <c r="C442" s="1186" t="s">
        <v>41</v>
      </c>
      <c r="D442" s="1186">
        <v>1023</v>
      </c>
      <c r="E442" s="1186">
        <v>895</v>
      </c>
      <c r="F442" s="1186">
        <v>120</v>
      </c>
      <c r="G442" s="1186">
        <v>6</v>
      </c>
      <c r="H442" s="1186"/>
      <c r="I442" s="1186"/>
      <c r="J442" s="1186"/>
      <c r="K442" s="1186">
        <v>2</v>
      </c>
    </row>
    <row r="443" spans="1:11" x14ac:dyDescent="0.2">
      <c r="A443" s="1186" t="s">
        <v>495</v>
      </c>
      <c r="B443" s="1186" t="s">
        <v>20</v>
      </c>
      <c r="C443" s="1186" t="s">
        <v>42</v>
      </c>
      <c r="D443" s="1186">
        <v>2718</v>
      </c>
      <c r="E443" s="1186">
        <v>2218</v>
      </c>
      <c r="F443" s="1186">
        <v>474</v>
      </c>
      <c r="G443" s="1186">
        <v>24</v>
      </c>
      <c r="H443" s="1186"/>
      <c r="I443" s="1186"/>
      <c r="J443" s="1186"/>
      <c r="K443" s="1186">
        <v>2</v>
      </c>
    </row>
    <row r="444" spans="1:11" x14ac:dyDescent="0.2">
      <c r="A444" s="1186" t="s">
        <v>495</v>
      </c>
      <c r="B444" s="1186" t="s">
        <v>20</v>
      </c>
      <c r="C444" s="1186" t="s">
        <v>43</v>
      </c>
      <c r="D444" s="1186">
        <v>10</v>
      </c>
      <c r="E444" s="1186">
        <v>9</v>
      </c>
      <c r="F444" s="1186"/>
      <c r="G444" s="1186">
        <v>1</v>
      </c>
      <c r="H444" s="1186"/>
      <c r="I444" s="1186"/>
      <c r="J444" s="1186"/>
      <c r="K444" s="1186"/>
    </row>
    <row r="445" spans="1:11" x14ac:dyDescent="0.2">
      <c r="A445" s="1186" t="s">
        <v>495</v>
      </c>
      <c r="B445" s="1186" t="s">
        <v>20</v>
      </c>
      <c r="C445" s="1186" t="s">
        <v>44</v>
      </c>
      <c r="D445" s="1186">
        <v>268</v>
      </c>
      <c r="E445" s="1186">
        <v>241</v>
      </c>
      <c r="F445" s="1186">
        <v>23</v>
      </c>
      <c r="G445" s="1186">
        <v>4</v>
      </c>
      <c r="H445" s="1186"/>
      <c r="I445" s="1186"/>
      <c r="J445" s="1186"/>
      <c r="K445" s="1186"/>
    </row>
    <row r="446" spans="1:11" x14ac:dyDescent="0.2">
      <c r="A446" s="1186" t="s">
        <v>495</v>
      </c>
      <c r="B446" s="1186" t="s">
        <v>20</v>
      </c>
      <c r="C446" s="1186" t="s">
        <v>45</v>
      </c>
      <c r="D446" s="1186">
        <v>1080</v>
      </c>
      <c r="E446" s="1186">
        <v>811</v>
      </c>
      <c r="F446" s="1186">
        <v>222</v>
      </c>
      <c r="G446" s="1186">
        <v>43</v>
      </c>
      <c r="H446" s="1186">
        <v>1</v>
      </c>
      <c r="I446" s="1186"/>
      <c r="J446" s="1186"/>
      <c r="K446" s="1186">
        <v>3</v>
      </c>
    </row>
    <row r="447" spans="1:11" x14ac:dyDescent="0.2">
      <c r="A447" s="1186" t="s">
        <v>495</v>
      </c>
      <c r="B447" s="1186" t="s">
        <v>20</v>
      </c>
      <c r="C447" s="1186" t="s">
        <v>46</v>
      </c>
      <c r="D447" s="1186">
        <v>149</v>
      </c>
      <c r="E447" s="1186">
        <v>130</v>
      </c>
      <c r="F447" s="1186">
        <v>15</v>
      </c>
      <c r="G447" s="1186">
        <v>4</v>
      </c>
      <c r="H447" s="1186"/>
      <c r="I447" s="1186"/>
      <c r="J447" s="1186"/>
      <c r="K447" s="1186"/>
    </row>
    <row r="448" spans="1:11" x14ac:dyDescent="0.2">
      <c r="A448" s="1186" t="s">
        <v>495</v>
      </c>
      <c r="B448" s="1186" t="s">
        <v>20</v>
      </c>
      <c r="C448" s="1186" t="s">
        <v>47</v>
      </c>
      <c r="D448" s="1186">
        <v>17</v>
      </c>
      <c r="E448" s="1186">
        <v>15</v>
      </c>
      <c r="F448" s="1186">
        <v>2</v>
      </c>
      <c r="G448" s="1186"/>
      <c r="H448" s="1186"/>
      <c r="I448" s="1186"/>
      <c r="J448" s="1186"/>
      <c r="K448" s="1186"/>
    </row>
    <row r="449" spans="1:11" x14ac:dyDescent="0.2">
      <c r="A449" s="1186" t="s">
        <v>495</v>
      </c>
      <c r="B449" s="1186" t="s">
        <v>20</v>
      </c>
      <c r="C449" s="1186" t="s">
        <v>48</v>
      </c>
      <c r="D449" s="1186">
        <v>620</v>
      </c>
      <c r="E449" s="1186">
        <v>506</v>
      </c>
      <c r="F449" s="1186">
        <v>104</v>
      </c>
      <c r="G449" s="1186">
        <v>9</v>
      </c>
      <c r="H449" s="1186"/>
      <c r="I449" s="1186"/>
      <c r="J449" s="1186"/>
      <c r="K449" s="1186">
        <v>1</v>
      </c>
    </row>
    <row r="450" spans="1:11" x14ac:dyDescent="0.2">
      <c r="A450" s="1186" t="s">
        <v>495</v>
      </c>
      <c r="B450" s="1186" t="s">
        <v>20</v>
      </c>
      <c r="C450" s="1186" t="s">
        <v>49</v>
      </c>
      <c r="D450" s="1186">
        <v>1944</v>
      </c>
      <c r="E450" s="1186">
        <v>1605</v>
      </c>
      <c r="F450" s="1186">
        <v>309</v>
      </c>
      <c r="G450" s="1186">
        <v>30</v>
      </c>
      <c r="H450" s="1186"/>
      <c r="I450" s="1186"/>
      <c r="J450" s="1186"/>
      <c r="K450" s="1186"/>
    </row>
    <row r="451" spans="1:11" x14ac:dyDescent="0.2">
      <c r="A451" s="1186" t="s">
        <v>495</v>
      </c>
      <c r="B451" s="1186" t="s">
        <v>20</v>
      </c>
      <c r="C451" s="1186" t="s">
        <v>50</v>
      </c>
      <c r="D451" s="1186">
        <v>226</v>
      </c>
      <c r="E451" s="1186">
        <v>203</v>
      </c>
      <c r="F451" s="1186">
        <v>20</v>
      </c>
      <c r="G451" s="1186">
        <v>3</v>
      </c>
      <c r="H451" s="1186"/>
      <c r="I451" s="1186"/>
      <c r="J451" s="1186"/>
      <c r="K451" s="1186"/>
    </row>
    <row r="452" spans="1:11" x14ac:dyDescent="0.2">
      <c r="A452" s="1186" t="s">
        <v>495</v>
      </c>
      <c r="B452" s="1186" t="s">
        <v>20</v>
      </c>
      <c r="C452" s="1186" t="s">
        <v>51</v>
      </c>
      <c r="D452" s="1186">
        <v>855</v>
      </c>
      <c r="E452" s="1186">
        <v>694</v>
      </c>
      <c r="F452" s="1186">
        <v>149</v>
      </c>
      <c r="G452" s="1186">
        <v>12</v>
      </c>
      <c r="H452" s="1186"/>
      <c r="I452" s="1186"/>
      <c r="J452" s="1186"/>
      <c r="K452" s="1186"/>
    </row>
    <row r="453" spans="1:11" x14ac:dyDescent="0.2">
      <c r="A453" s="1186" t="s">
        <v>495</v>
      </c>
      <c r="B453" s="1186" t="s">
        <v>20</v>
      </c>
      <c r="C453" s="1186" t="s">
        <v>52</v>
      </c>
      <c r="D453" s="1186">
        <v>918</v>
      </c>
      <c r="E453" s="1186">
        <v>849</v>
      </c>
      <c r="F453" s="1186">
        <v>60</v>
      </c>
      <c r="G453" s="1186">
        <v>9</v>
      </c>
      <c r="H453" s="1186"/>
      <c r="I453" s="1186"/>
      <c r="J453" s="1186"/>
      <c r="K453" s="1186"/>
    </row>
    <row r="454" spans="1:11" x14ac:dyDescent="0.2">
      <c r="A454" s="1186" t="s">
        <v>495</v>
      </c>
      <c r="B454" s="1186" t="s">
        <v>13</v>
      </c>
      <c r="C454" s="1186" t="s">
        <v>23</v>
      </c>
      <c r="D454" s="1186">
        <v>604</v>
      </c>
      <c r="E454" s="1186">
        <v>543</v>
      </c>
      <c r="F454" s="1186">
        <v>48</v>
      </c>
      <c r="G454" s="1186">
        <v>11</v>
      </c>
      <c r="H454" s="1186">
        <v>2</v>
      </c>
      <c r="I454" s="1186"/>
      <c r="J454" s="1186"/>
      <c r="K454" s="1186"/>
    </row>
    <row r="455" spans="1:11" x14ac:dyDescent="0.2">
      <c r="A455" s="1186" t="s">
        <v>495</v>
      </c>
      <c r="B455" s="1186" t="s">
        <v>13</v>
      </c>
      <c r="C455" s="1186" t="s">
        <v>24</v>
      </c>
      <c r="D455" s="1186">
        <v>293</v>
      </c>
      <c r="E455" s="1186">
        <v>245</v>
      </c>
      <c r="F455" s="1186">
        <v>34</v>
      </c>
      <c r="G455" s="1186">
        <v>12</v>
      </c>
      <c r="H455" s="1186">
        <v>2</v>
      </c>
      <c r="I455" s="1186"/>
      <c r="J455" s="1186"/>
      <c r="K455" s="1186"/>
    </row>
    <row r="456" spans="1:11" x14ac:dyDescent="0.2">
      <c r="A456" s="1186" t="s">
        <v>495</v>
      </c>
      <c r="B456" s="1186" t="s">
        <v>13</v>
      </c>
      <c r="C456" s="1186" t="s">
        <v>25</v>
      </c>
      <c r="D456" s="1186">
        <v>201</v>
      </c>
      <c r="E456" s="1186">
        <v>182</v>
      </c>
      <c r="F456" s="1186">
        <v>19</v>
      </c>
      <c r="G456" s="1186"/>
      <c r="H456" s="1186"/>
      <c r="I456" s="1186"/>
      <c r="J456" s="1186"/>
      <c r="K456" s="1186"/>
    </row>
    <row r="457" spans="1:11" x14ac:dyDescent="0.2">
      <c r="A457" s="1186" t="s">
        <v>495</v>
      </c>
      <c r="B457" s="1186" t="s">
        <v>13</v>
      </c>
      <c r="C457" s="1186" t="s">
        <v>26</v>
      </c>
      <c r="D457" s="1186">
        <v>160</v>
      </c>
      <c r="E457" s="1186">
        <v>113</v>
      </c>
      <c r="F457" s="1186">
        <v>37</v>
      </c>
      <c r="G457" s="1186">
        <v>8</v>
      </c>
      <c r="H457" s="1186"/>
      <c r="I457" s="1186"/>
      <c r="J457" s="1186"/>
      <c r="K457" s="1186">
        <v>2</v>
      </c>
    </row>
    <row r="458" spans="1:11" x14ac:dyDescent="0.2">
      <c r="A458" s="1186" t="s">
        <v>495</v>
      </c>
      <c r="B458" s="1186" t="s">
        <v>13</v>
      </c>
      <c r="C458" s="1186" t="s">
        <v>619</v>
      </c>
      <c r="D458" s="1186">
        <v>1815</v>
      </c>
      <c r="E458" s="1186">
        <v>1672</v>
      </c>
      <c r="F458" s="1186">
        <v>108</v>
      </c>
      <c r="G458" s="1186">
        <v>34</v>
      </c>
      <c r="H458" s="1186"/>
      <c r="I458" s="1186"/>
      <c r="J458" s="1186"/>
      <c r="K458" s="1186">
        <v>1</v>
      </c>
    </row>
    <row r="459" spans="1:11" x14ac:dyDescent="0.2">
      <c r="A459" s="1186" t="s">
        <v>495</v>
      </c>
      <c r="B459" s="1186" t="s">
        <v>13</v>
      </c>
      <c r="C459" s="1186" t="s">
        <v>27</v>
      </c>
      <c r="D459" s="1186">
        <v>119</v>
      </c>
      <c r="E459" s="1186">
        <v>110</v>
      </c>
      <c r="F459" s="1186">
        <v>8</v>
      </c>
      <c r="G459" s="1186">
        <v>1</v>
      </c>
      <c r="H459" s="1186"/>
      <c r="I459" s="1186"/>
      <c r="J459" s="1186"/>
      <c r="K459" s="1186"/>
    </row>
    <row r="460" spans="1:11" x14ac:dyDescent="0.2">
      <c r="A460" s="1186" t="s">
        <v>495</v>
      </c>
      <c r="B460" s="1186" t="s">
        <v>13</v>
      </c>
      <c r="C460" s="1186" t="s">
        <v>28</v>
      </c>
      <c r="D460" s="1186">
        <v>184</v>
      </c>
      <c r="E460" s="1186">
        <v>167</v>
      </c>
      <c r="F460" s="1186">
        <v>14</v>
      </c>
      <c r="G460" s="1186">
        <v>2</v>
      </c>
      <c r="H460" s="1186"/>
      <c r="I460" s="1186"/>
      <c r="J460" s="1186"/>
      <c r="K460" s="1186">
        <v>1</v>
      </c>
    </row>
    <row r="461" spans="1:11" x14ac:dyDescent="0.2">
      <c r="A461" s="1186" t="s">
        <v>495</v>
      </c>
      <c r="B461" s="1186" t="s">
        <v>13</v>
      </c>
      <c r="C461" s="1186" t="s">
        <v>29</v>
      </c>
      <c r="D461" s="1186">
        <v>714</v>
      </c>
      <c r="E461" s="1186">
        <v>665</v>
      </c>
      <c r="F461" s="1186">
        <v>43</v>
      </c>
      <c r="G461" s="1186">
        <v>5</v>
      </c>
      <c r="H461" s="1186">
        <v>1</v>
      </c>
      <c r="I461" s="1186"/>
      <c r="J461" s="1186"/>
      <c r="K461" s="1186"/>
    </row>
    <row r="462" spans="1:11" x14ac:dyDescent="0.2">
      <c r="A462" s="1186" t="s">
        <v>495</v>
      </c>
      <c r="B462" s="1186" t="s">
        <v>13</v>
      </c>
      <c r="C462" s="1186" t="s">
        <v>30</v>
      </c>
      <c r="D462" s="1186">
        <v>753</v>
      </c>
      <c r="E462" s="1186">
        <v>608</v>
      </c>
      <c r="F462" s="1186">
        <v>132</v>
      </c>
      <c r="G462" s="1186">
        <v>11</v>
      </c>
      <c r="H462" s="1186"/>
      <c r="I462" s="1186"/>
      <c r="J462" s="1186"/>
      <c r="K462" s="1186">
        <v>2</v>
      </c>
    </row>
    <row r="463" spans="1:11" x14ac:dyDescent="0.2">
      <c r="A463" s="1186" t="s">
        <v>495</v>
      </c>
      <c r="B463" s="1186" t="s">
        <v>13</v>
      </c>
      <c r="C463" s="1186" t="s">
        <v>31</v>
      </c>
      <c r="D463" s="1186">
        <v>200</v>
      </c>
      <c r="E463" s="1186">
        <v>165</v>
      </c>
      <c r="F463" s="1186">
        <v>32</v>
      </c>
      <c r="G463" s="1186">
        <v>2</v>
      </c>
      <c r="H463" s="1186"/>
      <c r="I463" s="1186"/>
      <c r="J463" s="1186"/>
      <c r="K463" s="1186">
        <v>1</v>
      </c>
    </row>
    <row r="464" spans="1:11" x14ac:dyDescent="0.2">
      <c r="A464" s="1186" t="s">
        <v>495</v>
      </c>
      <c r="B464" s="1186" t="s">
        <v>13</v>
      </c>
      <c r="C464" s="1186" t="s">
        <v>32</v>
      </c>
      <c r="D464" s="1186">
        <v>289</v>
      </c>
      <c r="E464" s="1186">
        <v>269</v>
      </c>
      <c r="F464" s="1186">
        <v>20</v>
      </c>
      <c r="G464" s="1186"/>
      <c r="H464" s="1186"/>
      <c r="I464" s="1186"/>
      <c r="J464" s="1186"/>
      <c r="K464" s="1186"/>
    </row>
    <row r="465" spans="1:11" x14ac:dyDescent="0.2">
      <c r="A465" s="1186" t="s">
        <v>495</v>
      </c>
      <c r="B465" s="1186" t="s">
        <v>13</v>
      </c>
      <c r="C465" s="1186" t="s">
        <v>33</v>
      </c>
      <c r="D465" s="1186">
        <v>190</v>
      </c>
      <c r="E465" s="1186">
        <v>139</v>
      </c>
      <c r="F465" s="1186">
        <v>41</v>
      </c>
      <c r="G465" s="1186">
        <v>10</v>
      </c>
      <c r="H465" s="1186"/>
      <c r="I465" s="1186"/>
      <c r="J465" s="1186"/>
      <c r="K465" s="1186"/>
    </row>
    <row r="466" spans="1:11" x14ac:dyDescent="0.2">
      <c r="A466" s="1186" t="s">
        <v>495</v>
      </c>
      <c r="B466" s="1186" t="s">
        <v>13</v>
      </c>
      <c r="C466" s="1186" t="s">
        <v>34</v>
      </c>
      <c r="D466" s="1186">
        <v>569</v>
      </c>
      <c r="E466" s="1186">
        <v>524</v>
      </c>
      <c r="F466" s="1186">
        <v>43</v>
      </c>
      <c r="G466" s="1186">
        <v>2</v>
      </c>
      <c r="H466" s="1186"/>
      <c r="I466" s="1186"/>
      <c r="J466" s="1186"/>
      <c r="K466" s="1186"/>
    </row>
    <row r="467" spans="1:11" x14ac:dyDescent="0.2">
      <c r="A467" s="1186" t="s">
        <v>495</v>
      </c>
      <c r="B467" s="1186" t="s">
        <v>13</v>
      </c>
      <c r="C467" s="1186" t="s">
        <v>35</v>
      </c>
      <c r="D467" s="1186">
        <v>983</v>
      </c>
      <c r="E467" s="1186">
        <v>909</v>
      </c>
      <c r="F467" s="1186">
        <v>67</v>
      </c>
      <c r="G467" s="1186">
        <v>7</v>
      </c>
      <c r="H467" s="1186"/>
      <c r="I467" s="1186"/>
      <c r="J467" s="1186"/>
      <c r="K467" s="1186"/>
    </row>
    <row r="468" spans="1:11" x14ac:dyDescent="0.2">
      <c r="A468" s="1186" t="s">
        <v>495</v>
      </c>
      <c r="B468" s="1186" t="s">
        <v>13</v>
      </c>
      <c r="C468" s="1186" t="s">
        <v>36</v>
      </c>
      <c r="D468" s="1186">
        <v>2827</v>
      </c>
      <c r="E468" s="1186">
        <v>2129</v>
      </c>
      <c r="F468" s="1186">
        <v>551</v>
      </c>
      <c r="G468" s="1186">
        <v>141</v>
      </c>
      <c r="H468" s="1186">
        <v>2</v>
      </c>
      <c r="I468" s="1186"/>
      <c r="J468" s="1186"/>
      <c r="K468" s="1186">
        <v>4</v>
      </c>
    </row>
    <row r="469" spans="1:11" x14ac:dyDescent="0.2">
      <c r="A469" s="1186" t="s">
        <v>495</v>
      </c>
      <c r="B469" s="1186" t="s">
        <v>13</v>
      </c>
      <c r="C469" s="1186" t="s">
        <v>37</v>
      </c>
      <c r="D469" s="1186">
        <v>658</v>
      </c>
      <c r="E469" s="1186">
        <v>543</v>
      </c>
      <c r="F469" s="1186">
        <v>77</v>
      </c>
      <c r="G469" s="1186">
        <v>37</v>
      </c>
      <c r="H469" s="1186">
        <v>1</v>
      </c>
      <c r="I469" s="1186"/>
      <c r="J469" s="1186"/>
      <c r="K469" s="1186"/>
    </row>
    <row r="470" spans="1:11" x14ac:dyDescent="0.2">
      <c r="A470" s="1186" t="s">
        <v>495</v>
      </c>
      <c r="B470" s="1186" t="s">
        <v>13</v>
      </c>
      <c r="C470" s="1186" t="s">
        <v>38</v>
      </c>
      <c r="D470" s="1186">
        <v>647</v>
      </c>
      <c r="E470" s="1186">
        <v>478</v>
      </c>
      <c r="F470" s="1186">
        <v>139</v>
      </c>
      <c r="G470" s="1186">
        <v>29</v>
      </c>
      <c r="H470" s="1186"/>
      <c r="I470" s="1186"/>
      <c r="J470" s="1186"/>
      <c r="K470" s="1186">
        <v>1</v>
      </c>
    </row>
    <row r="471" spans="1:11" x14ac:dyDescent="0.2">
      <c r="A471" s="1186" t="s">
        <v>495</v>
      </c>
      <c r="B471" s="1186" t="s">
        <v>13</v>
      </c>
      <c r="C471" s="1186" t="s">
        <v>39</v>
      </c>
      <c r="D471" s="1186">
        <v>376</v>
      </c>
      <c r="E471" s="1186">
        <v>343</v>
      </c>
      <c r="F471" s="1186">
        <v>28</v>
      </c>
      <c r="G471" s="1186">
        <v>4</v>
      </c>
      <c r="H471" s="1186"/>
      <c r="I471" s="1186"/>
      <c r="J471" s="1186"/>
      <c r="K471" s="1186">
        <v>1</v>
      </c>
    </row>
    <row r="472" spans="1:11" x14ac:dyDescent="0.2">
      <c r="A472" s="1186" t="s">
        <v>495</v>
      </c>
      <c r="B472" s="1186" t="s">
        <v>13</v>
      </c>
      <c r="C472" s="1186" t="s">
        <v>40</v>
      </c>
      <c r="D472" s="1186">
        <v>188</v>
      </c>
      <c r="E472" s="1186">
        <v>155</v>
      </c>
      <c r="F472" s="1186">
        <v>18</v>
      </c>
      <c r="G472" s="1186">
        <v>15</v>
      </c>
      <c r="H472" s="1186"/>
      <c r="I472" s="1186"/>
      <c r="J472" s="1186"/>
      <c r="K472" s="1186"/>
    </row>
    <row r="473" spans="1:11" x14ac:dyDescent="0.2">
      <c r="A473" s="1186" t="s">
        <v>495</v>
      </c>
      <c r="B473" s="1186" t="s">
        <v>13</v>
      </c>
      <c r="C473" s="1186" t="s">
        <v>295</v>
      </c>
      <c r="D473" s="1186">
        <v>74</v>
      </c>
      <c r="E473" s="1186">
        <v>57</v>
      </c>
      <c r="F473" s="1186">
        <v>16</v>
      </c>
      <c r="G473" s="1186">
        <v>1</v>
      </c>
      <c r="H473" s="1186"/>
      <c r="I473" s="1186"/>
      <c r="J473" s="1186"/>
      <c r="K473" s="1186"/>
    </row>
    <row r="474" spans="1:11" x14ac:dyDescent="0.2">
      <c r="A474" s="1186" t="s">
        <v>495</v>
      </c>
      <c r="B474" s="1186" t="s">
        <v>13</v>
      </c>
      <c r="C474" s="1186" t="s">
        <v>41</v>
      </c>
      <c r="D474" s="1186">
        <v>641</v>
      </c>
      <c r="E474" s="1186">
        <v>558</v>
      </c>
      <c r="F474" s="1186">
        <v>75</v>
      </c>
      <c r="G474" s="1186">
        <v>6</v>
      </c>
      <c r="H474" s="1186"/>
      <c r="I474" s="1186"/>
      <c r="J474" s="1186"/>
      <c r="K474" s="1186">
        <v>2</v>
      </c>
    </row>
    <row r="475" spans="1:11" x14ac:dyDescent="0.2">
      <c r="A475" s="1186" t="s">
        <v>495</v>
      </c>
      <c r="B475" s="1186" t="s">
        <v>13</v>
      </c>
      <c r="C475" s="1186" t="s">
        <v>42</v>
      </c>
      <c r="D475" s="1186">
        <v>1961</v>
      </c>
      <c r="E475" s="1186">
        <v>1556</v>
      </c>
      <c r="F475" s="1186">
        <v>390</v>
      </c>
      <c r="G475" s="1186">
        <v>13</v>
      </c>
      <c r="H475" s="1186"/>
      <c r="I475" s="1186"/>
      <c r="J475" s="1186"/>
      <c r="K475" s="1186">
        <v>2</v>
      </c>
    </row>
    <row r="476" spans="1:11" x14ac:dyDescent="0.2">
      <c r="A476" s="1186" t="s">
        <v>495</v>
      </c>
      <c r="B476" s="1186" t="s">
        <v>13</v>
      </c>
      <c r="C476" s="1186" t="s">
        <v>43</v>
      </c>
      <c r="D476" s="1186">
        <v>6</v>
      </c>
      <c r="E476" s="1186">
        <v>5</v>
      </c>
      <c r="F476" s="1186">
        <v>1</v>
      </c>
      <c r="G476" s="1186"/>
      <c r="H476" s="1186"/>
      <c r="I476" s="1186"/>
      <c r="J476" s="1186"/>
      <c r="K476" s="1186"/>
    </row>
    <row r="477" spans="1:11" x14ac:dyDescent="0.2">
      <c r="A477" s="1186" t="s">
        <v>495</v>
      </c>
      <c r="B477" s="1186" t="s">
        <v>13</v>
      </c>
      <c r="C477" s="1186" t="s">
        <v>44</v>
      </c>
      <c r="D477" s="1186">
        <v>231</v>
      </c>
      <c r="E477" s="1186">
        <v>208</v>
      </c>
      <c r="F477" s="1186">
        <v>20</v>
      </c>
      <c r="G477" s="1186">
        <v>3</v>
      </c>
      <c r="H477" s="1186"/>
      <c r="I477" s="1186"/>
      <c r="J477" s="1186"/>
      <c r="K477" s="1186"/>
    </row>
    <row r="478" spans="1:11" x14ac:dyDescent="0.2">
      <c r="A478" s="1186" t="s">
        <v>495</v>
      </c>
      <c r="B478" s="1186" t="s">
        <v>13</v>
      </c>
      <c r="C478" s="1186" t="s">
        <v>45</v>
      </c>
      <c r="D478" s="1186">
        <v>759</v>
      </c>
      <c r="E478" s="1186">
        <v>569</v>
      </c>
      <c r="F478" s="1186">
        <v>162</v>
      </c>
      <c r="G478" s="1186">
        <v>27</v>
      </c>
      <c r="H478" s="1186"/>
      <c r="I478" s="1186"/>
      <c r="J478" s="1186"/>
      <c r="K478" s="1186">
        <v>1</v>
      </c>
    </row>
    <row r="479" spans="1:11" x14ac:dyDescent="0.2">
      <c r="A479" s="1186" t="s">
        <v>495</v>
      </c>
      <c r="B479" s="1186" t="s">
        <v>13</v>
      </c>
      <c r="C479" s="1186" t="s">
        <v>46</v>
      </c>
      <c r="D479" s="1186">
        <v>125</v>
      </c>
      <c r="E479" s="1186">
        <v>111</v>
      </c>
      <c r="F479" s="1186">
        <v>12</v>
      </c>
      <c r="G479" s="1186">
        <v>2</v>
      </c>
      <c r="H479" s="1186"/>
      <c r="I479" s="1186"/>
      <c r="J479" s="1186"/>
      <c r="K479" s="1186"/>
    </row>
    <row r="480" spans="1:11" x14ac:dyDescent="0.2">
      <c r="A480" s="1186" t="s">
        <v>495</v>
      </c>
      <c r="B480" s="1186" t="s">
        <v>13</v>
      </c>
      <c r="C480" s="1186" t="s">
        <v>47</v>
      </c>
      <c r="D480" s="1186">
        <v>13</v>
      </c>
      <c r="E480" s="1186">
        <v>11</v>
      </c>
      <c r="F480" s="1186">
        <v>1</v>
      </c>
      <c r="G480" s="1186">
        <v>1</v>
      </c>
      <c r="H480" s="1186"/>
      <c r="I480" s="1186"/>
      <c r="J480" s="1186"/>
      <c r="K480" s="1186"/>
    </row>
    <row r="481" spans="1:11" x14ac:dyDescent="0.2">
      <c r="A481" s="1186" t="s">
        <v>495</v>
      </c>
      <c r="B481" s="1186" t="s">
        <v>13</v>
      </c>
      <c r="C481" s="1186" t="s">
        <v>48</v>
      </c>
      <c r="D481" s="1186">
        <v>358</v>
      </c>
      <c r="E481" s="1186">
        <v>287</v>
      </c>
      <c r="F481" s="1186">
        <v>69</v>
      </c>
      <c r="G481" s="1186">
        <v>1</v>
      </c>
      <c r="H481" s="1186"/>
      <c r="I481" s="1186"/>
      <c r="J481" s="1186"/>
      <c r="K481" s="1186">
        <v>1</v>
      </c>
    </row>
    <row r="482" spans="1:11" x14ac:dyDescent="0.2">
      <c r="A482" s="1186" t="s">
        <v>495</v>
      </c>
      <c r="B482" s="1186" t="s">
        <v>13</v>
      </c>
      <c r="C482" s="1186" t="s">
        <v>49</v>
      </c>
      <c r="D482" s="1186">
        <v>1293</v>
      </c>
      <c r="E482" s="1186">
        <v>1065</v>
      </c>
      <c r="F482" s="1186">
        <v>204</v>
      </c>
      <c r="G482" s="1186">
        <v>22</v>
      </c>
      <c r="H482" s="1186"/>
      <c r="I482" s="1186"/>
      <c r="J482" s="1186"/>
      <c r="K482" s="1186">
        <v>2</v>
      </c>
    </row>
    <row r="483" spans="1:11" x14ac:dyDescent="0.2">
      <c r="A483" s="1186" t="s">
        <v>495</v>
      </c>
      <c r="B483" s="1186" t="s">
        <v>13</v>
      </c>
      <c r="C483" s="1186" t="s">
        <v>50</v>
      </c>
      <c r="D483" s="1186">
        <v>166</v>
      </c>
      <c r="E483" s="1186">
        <v>151</v>
      </c>
      <c r="F483" s="1186">
        <v>13</v>
      </c>
      <c r="G483" s="1186">
        <v>2</v>
      </c>
      <c r="H483" s="1186"/>
      <c r="I483" s="1186"/>
      <c r="J483" s="1186"/>
      <c r="K483" s="1186"/>
    </row>
    <row r="484" spans="1:11" x14ac:dyDescent="0.2">
      <c r="A484" s="1186" t="s">
        <v>495</v>
      </c>
      <c r="B484" s="1186" t="s">
        <v>13</v>
      </c>
      <c r="C484" s="1186" t="s">
        <v>51</v>
      </c>
      <c r="D484" s="1186">
        <v>510</v>
      </c>
      <c r="E484" s="1186">
        <v>378</v>
      </c>
      <c r="F484" s="1186">
        <v>122</v>
      </c>
      <c r="G484" s="1186">
        <v>9</v>
      </c>
      <c r="H484" s="1186">
        <v>1</v>
      </c>
      <c r="I484" s="1186"/>
      <c r="J484" s="1186"/>
      <c r="K484" s="1186"/>
    </row>
    <row r="485" spans="1:11" x14ac:dyDescent="0.2">
      <c r="A485" s="1186" t="s">
        <v>495</v>
      </c>
      <c r="B485" s="1186" t="s">
        <v>13</v>
      </c>
      <c r="C485" s="1186" t="s">
        <v>52</v>
      </c>
      <c r="D485" s="1186">
        <v>747</v>
      </c>
      <c r="E485" s="1186">
        <v>710</v>
      </c>
      <c r="F485" s="1186">
        <v>32</v>
      </c>
      <c r="G485" s="1186">
        <v>5</v>
      </c>
      <c r="H485" s="1186"/>
      <c r="I485" s="1186"/>
      <c r="J485" s="1186"/>
      <c r="K485" s="1186"/>
    </row>
    <row r="486" spans="1:11" x14ac:dyDescent="0.2">
      <c r="A486" s="1186" t="s">
        <v>495</v>
      </c>
      <c r="B486" s="1186" t="s">
        <v>15</v>
      </c>
      <c r="C486" s="1186" t="s">
        <v>23</v>
      </c>
      <c r="D486" s="1186">
        <v>447</v>
      </c>
      <c r="E486" s="1186">
        <v>397</v>
      </c>
      <c r="F486" s="1186">
        <v>37</v>
      </c>
      <c r="G486" s="1186">
        <v>13</v>
      </c>
      <c r="H486" s="1186"/>
      <c r="I486" s="1186"/>
      <c r="J486" s="1186"/>
      <c r="K486" s="1186"/>
    </row>
    <row r="487" spans="1:11" x14ac:dyDescent="0.2">
      <c r="A487" s="1186" t="s">
        <v>495</v>
      </c>
      <c r="B487" s="1186" t="s">
        <v>15</v>
      </c>
      <c r="C487" s="1186" t="s">
        <v>24</v>
      </c>
      <c r="D487" s="1186">
        <v>205</v>
      </c>
      <c r="E487" s="1186">
        <v>177</v>
      </c>
      <c r="F487" s="1186">
        <v>24</v>
      </c>
      <c r="G487" s="1186">
        <v>4</v>
      </c>
      <c r="H487" s="1186"/>
      <c r="I487" s="1186"/>
      <c r="J487" s="1186"/>
      <c r="K487" s="1186"/>
    </row>
    <row r="488" spans="1:11" x14ac:dyDescent="0.2">
      <c r="A488" s="1186" t="s">
        <v>495</v>
      </c>
      <c r="B488" s="1186" t="s">
        <v>15</v>
      </c>
      <c r="C488" s="1186" t="s">
        <v>25</v>
      </c>
      <c r="D488" s="1186">
        <v>136</v>
      </c>
      <c r="E488" s="1186">
        <v>124</v>
      </c>
      <c r="F488" s="1186">
        <v>12</v>
      </c>
      <c r="G488" s="1186"/>
      <c r="H488" s="1186"/>
      <c r="I488" s="1186"/>
      <c r="J488" s="1186"/>
      <c r="K488" s="1186"/>
    </row>
    <row r="489" spans="1:11" x14ac:dyDescent="0.2">
      <c r="A489" s="1186" t="s">
        <v>495</v>
      </c>
      <c r="B489" s="1186" t="s">
        <v>15</v>
      </c>
      <c r="C489" s="1186" t="s">
        <v>26</v>
      </c>
      <c r="D489" s="1186">
        <v>148</v>
      </c>
      <c r="E489" s="1186">
        <v>106</v>
      </c>
      <c r="F489" s="1186">
        <v>34</v>
      </c>
      <c r="G489" s="1186">
        <v>7</v>
      </c>
      <c r="H489" s="1186"/>
      <c r="I489" s="1186"/>
      <c r="J489" s="1186"/>
      <c r="K489" s="1186">
        <v>1</v>
      </c>
    </row>
    <row r="490" spans="1:11" x14ac:dyDescent="0.2">
      <c r="A490" s="1186" t="s">
        <v>495</v>
      </c>
      <c r="B490" s="1186" t="s">
        <v>15</v>
      </c>
      <c r="C490" s="1186" t="s">
        <v>619</v>
      </c>
      <c r="D490" s="1186">
        <v>1223</v>
      </c>
      <c r="E490" s="1186">
        <v>1153</v>
      </c>
      <c r="F490" s="1186">
        <v>49</v>
      </c>
      <c r="G490" s="1186">
        <v>19</v>
      </c>
      <c r="H490" s="1186"/>
      <c r="I490" s="1186"/>
      <c r="J490" s="1186"/>
      <c r="K490" s="1186">
        <v>2</v>
      </c>
    </row>
    <row r="491" spans="1:11" x14ac:dyDescent="0.2">
      <c r="A491" s="1186" t="s">
        <v>495</v>
      </c>
      <c r="B491" s="1186" t="s">
        <v>15</v>
      </c>
      <c r="C491" s="1186" t="s">
        <v>27</v>
      </c>
      <c r="D491" s="1186">
        <v>95</v>
      </c>
      <c r="E491" s="1186">
        <v>91</v>
      </c>
      <c r="F491" s="1186">
        <v>4</v>
      </c>
      <c r="G491" s="1186"/>
      <c r="H491" s="1186"/>
      <c r="I491" s="1186"/>
      <c r="J491" s="1186"/>
      <c r="K491" s="1186"/>
    </row>
    <row r="492" spans="1:11" x14ac:dyDescent="0.2">
      <c r="A492" s="1186" t="s">
        <v>495</v>
      </c>
      <c r="B492" s="1186" t="s">
        <v>15</v>
      </c>
      <c r="C492" s="1186" t="s">
        <v>28</v>
      </c>
      <c r="D492" s="1186">
        <v>125</v>
      </c>
      <c r="E492" s="1186">
        <v>118</v>
      </c>
      <c r="F492" s="1186">
        <v>6</v>
      </c>
      <c r="G492" s="1186"/>
      <c r="H492" s="1186">
        <v>1</v>
      </c>
      <c r="I492" s="1186"/>
      <c r="J492" s="1186"/>
      <c r="K492" s="1186"/>
    </row>
    <row r="493" spans="1:11" x14ac:dyDescent="0.2">
      <c r="A493" s="1186" t="s">
        <v>495</v>
      </c>
      <c r="B493" s="1186" t="s">
        <v>15</v>
      </c>
      <c r="C493" s="1186" t="s">
        <v>29</v>
      </c>
      <c r="D493" s="1186">
        <v>412</v>
      </c>
      <c r="E493" s="1186">
        <v>374</v>
      </c>
      <c r="F493" s="1186">
        <v>35</v>
      </c>
      <c r="G493" s="1186">
        <v>3</v>
      </c>
      <c r="H493" s="1186"/>
      <c r="I493" s="1186"/>
      <c r="J493" s="1186"/>
      <c r="K493" s="1186"/>
    </row>
    <row r="494" spans="1:11" x14ac:dyDescent="0.2">
      <c r="A494" s="1186" t="s">
        <v>495</v>
      </c>
      <c r="B494" s="1186" t="s">
        <v>15</v>
      </c>
      <c r="C494" s="1186" t="s">
        <v>30</v>
      </c>
      <c r="D494" s="1186">
        <v>675</v>
      </c>
      <c r="E494" s="1186">
        <v>566</v>
      </c>
      <c r="F494" s="1186">
        <v>101</v>
      </c>
      <c r="G494" s="1186">
        <v>6</v>
      </c>
      <c r="H494" s="1186"/>
      <c r="I494" s="1186"/>
      <c r="J494" s="1186"/>
      <c r="K494" s="1186">
        <v>2</v>
      </c>
    </row>
    <row r="495" spans="1:11" x14ac:dyDescent="0.2">
      <c r="A495" s="1186" t="s">
        <v>495</v>
      </c>
      <c r="B495" s="1186" t="s">
        <v>15</v>
      </c>
      <c r="C495" s="1186" t="s">
        <v>31</v>
      </c>
      <c r="D495" s="1186">
        <v>145</v>
      </c>
      <c r="E495" s="1186">
        <v>126</v>
      </c>
      <c r="F495" s="1186">
        <v>18</v>
      </c>
      <c r="G495" s="1186"/>
      <c r="H495" s="1186"/>
      <c r="I495" s="1186"/>
      <c r="J495" s="1186"/>
      <c r="K495" s="1186">
        <v>1</v>
      </c>
    </row>
    <row r="496" spans="1:11" x14ac:dyDescent="0.2">
      <c r="A496" s="1186" t="s">
        <v>495</v>
      </c>
      <c r="B496" s="1186" t="s">
        <v>15</v>
      </c>
      <c r="C496" s="1186" t="s">
        <v>32</v>
      </c>
      <c r="D496" s="1186">
        <v>128</v>
      </c>
      <c r="E496" s="1186">
        <v>116</v>
      </c>
      <c r="F496" s="1186">
        <v>9</v>
      </c>
      <c r="G496" s="1186">
        <v>3</v>
      </c>
      <c r="H496" s="1186"/>
      <c r="I496" s="1186"/>
      <c r="J496" s="1186"/>
      <c r="K496" s="1186"/>
    </row>
    <row r="497" spans="1:11" x14ac:dyDescent="0.2">
      <c r="A497" s="1186" t="s">
        <v>495</v>
      </c>
      <c r="B497" s="1186" t="s">
        <v>15</v>
      </c>
      <c r="C497" s="1186" t="s">
        <v>33</v>
      </c>
      <c r="D497" s="1186">
        <v>177</v>
      </c>
      <c r="E497" s="1186">
        <v>132</v>
      </c>
      <c r="F497" s="1186">
        <v>31</v>
      </c>
      <c r="G497" s="1186">
        <v>14</v>
      </c>
      <c r="H497" s="1186"/>
      <c r="I497" s="1186"/>
      <c r="J497" s="1186"/>
      <c r="K497" s="1186"/>
    </row>
    <row r="498" spans="1:11" x14ac:dyDescent="0.2">
      <c r="A498" s="1186" t="s">
        <v>495</v>
      </c>
      <c r="B498" s="1186" t="s">
        <v>15</v>
      </c>
      <c r="C498" s="1186" t="s">
        <v>34</v>
      </c>
      <c r="D498" s="1186">
        <v>371</v>
      </c>
      <c r="E498" s="1186">
        <v>353</v>
      </c>
      <c r="F498" s="1186">
        <v>15</v>
      </c>
      <c r="G498" s="1186">
        <v>3</v>
      </c>
      <c r="H498" s="1186"/>
      <c r="I498" s="1186"/>
      <c r="J498" s="1186"/>
      <c r="K498" s="1186"/>
    </row>
    <row r="499" spans="1:11" x14ac:dyDescent="0.2">
      <c r="A499" s="1186" t="s">
        <v>495</v>
      </c>
      <c r="B499" s="1186" t="s">
        <v>15</v>
      </c>
      <c r="C499" s="1186" t="s">
        <v>35</v>
      </c>
      <c r="D499" s="1186">
        <v>691</v>
      </c>
      <c r="E499" s="1186">
        <v>652</v>
      </c>
      <c r="F499" s="1186">
        <v>34</v>
      </c>
      <c r="G499" s="1186">
        <v>5</v>
      </c>
      <c r="H499" s="1186"/>
      <c r="I499" s="1186"/>
      <c r="J499" s="1186"/>
      <c r="K499" s="1186"/>
    </row>
    <row r="500" spans="1:11" x14ac:dyDescent="0.2">
      <c r="A500" s="1186" t="s">
        <v>495</v>
      </c>
      <c r="B500" s="1186" t="s">
        <v>15</v>
      </c>
      <c r="C500" s="1186" t="s">
        <v>36</v>
      </c>
      <c r="D500" s="1186">
        <v>2475</v>
      </c>
      <c r="E500" s="1186">
        <v>1903</v>
      </c>
      <c r="F500" s="1186">
        <v>418</v>
      </c>
      <c r="G500" s="1186">
        <v>148</v>
      </c>
      <c r="H500" s="1186"/>
      <c r="I500" s="1186"/>
      <c r="J500" s="1186"/>
      <c r="K500" s="1186">
        <v>6</v>
      </c>
    </row>
    <row r="501" spans="1:11" x14ac:dyDescent="0.2">
      <c r="A501" s="1186" t="s">
        <v>495</v>
      </c>
      <c r="B501" s="1186" t="s">
        <v>15</v>
      </c>
      <c r="C501" s="1186" t="s">
        <v>37</v>
      </c>
      <c r="D501" s="1186">
        <v>504</v>
      </c>
      <c r="E501" s="1186">
        <v>431</v>
      </c>
      <c r="F501" s="1186">
        <v>56</v>
      </c>
      <c r="G501" s="1186">
        <v>17</v>
      </c>
      <c r="H501" s="1186"/>
      <c r="I501" s="1186"/>
      <c r="J501" s="1186"/>
      <c r="K501" s="1186"/>
    </row>
    <row r="502" spans="1:11" x14ac:dyDescent="0.2">
      <c r="A502" s="1186" t="s">
        <v>495</v>
      </c>
      <c r="B502" s="1186" t="s">
        <v>15</v>
      </c>
      <c r="C502" s="1186" t="s">
        <v>38</v>
      </c>
      <c r="D502" s="1186">
        <v>513</v>
      </c>
      <c r="E502" s="1186">
        <v>396</v>
      </c>
      <c r="F502" s="1186">
        <v>101</v>
      </c>
      <c r="G502" s="1186">
        <v>16</v>
      </c>
      <c r="H502" s="1186"/>
      <c r="I502" s="1186"/>
      <c r="J502" s="1186"/>
      <c r="K502" s="1186"/>
    </row>
    <row r="503" spans="1:11" x14ac:dyDescent="0.2">
      <c r="A503" s="1186" t="s">
        <v>495</v>
      </c>
      <c r="B503" s="1186" t="s">
        <v>15</v>
      </c>
      <c r="C503" s="1186" t="s">
        <v>39</v>
      </c>
      <c r="D503" s="1186">
        <v>166</v>
      </c>
      <c r="E503" s="1186">
        <v>160</v>
      </c>
      <c r="F503" s="1186">
        <v>5</v>
      </c>
      <c r="G503" s="1186">
        <v>1</v>
      </c>
      <c r="H503" s="1186"/>
      <c r="I503" s="1186"/>
      <c r="J503" s="1186"/>
      <c r="K503" s="1186"/>
    </row>
    <row r="504" spans="1:11" x14ac:dyDescent="0.2">
      <c r="A504" s="1186" t="s">
        <v>495</v>
      </c>
      <c r="B504" s="1186" t="s">
        <v>15</v>
      </c>
      <c r="C504" s="1186" t="s">
        <v>40</v>
      </c>
      <c r="D504" s="1186">
        <v>105</v>
      </c>
      <c r="E504" s="1186">
        <v>94</v>
      </c>
      <c r="F504" s="1186">
        <v>7</v>
      </c>
      <c r="G504" s="1186">
        <v>4</v>
      </c>
      <c r="H504" s="1186"/>
      <c r="I504" s="1186"/>
      <c r="J504" s="1186"/>
      <c r="K504" s="1186"/>
    </row>
    <row r="505" spans="1:11" x14ac:dyDescent="0.2">
      <c r="A505" s="1186" t="s">
        <v>495</v>
      </c>
      <c r="B505" s="1186" t="s">
        <v>15</v>
      </c>
      <c r="C505" s="1186" t="s">
        <v>295</v>
      </c>
      <c r="D505" s="1186">
        <v>130</v>
      </c>
      <c r="E505" s="1186">
        <v>111</v>
      </c>
      <c r="F505" s="1186">
        <v>10</v>
      </c>
      <c r="G505" s="1186">
        <v>9</v>
      </c>
      <c r="H505" s="1186"/>
      <c r="I505" s="1186"/>
      <c r="J505" s="1186"/>
      <c r="K505" s="1186"/>
    </row>
    <row r="506" spans="1:11" x14ac:dyDescent="0.2">
      <c r="A506" s="1186" t="s">
        <v>495</v>
      </c>
      <c r="B506" s="1186" t="s">
        <v>15</v>
      </c>
      <c r="C506" s="1186" t="s">
        <v>41</v>
      </c>
      <c r="D506" s="1186">
        <v>632</v>
      </c>
      <c r="E506" s="1186">
        <v>531</v>
      </c>
      <c r="F506" s="1186">
        <v>97</v>
      </c>
      <c r="G506" s="1186">
        <v>4</v>
      </c>
      <c r="H506" s="1186"/>
      <c r="I506" s="1186"/>
      <c r="J506" s="1186"/>
      <c r="K506" s="1186"/>
    </row>
    <row r="507" spans="1:11" x14ac:dyDescent="0.2">
      <c r="A507" s="1186" t="s">
        <v>495</v>
      </c>
      <c r="B507" s="1186" t="s">
        <v>15</v>
      </c>
      <c r="C507" s="1186" t="s">
        <v>42</v>
      </c>
      <c r="D507" s="1186">
        <v>1512</v>
      </c>
      <c r="E507" s="1186">
        <v>1215</v>
      </c>
      <c r="F507" s="1186">
        <v>286</v>
      </c>
      <c r="G507" s="1186">
        <v>11</v>
      </c>
      <c r="H507" s="1186"/>
      <c r="I507" s="1186"/>
      <c r="J507" s="1186"/>
      <c r="K507" s="1186"/>
    </row>
    <row r="508" spans="1:11" x14ac:dyDescent="0.2">
      <c r="A508" s="1186" t="s">
        <v>495</v>
      </c>
      <c r="B508" s="1186" t="s">
        <v>15</v>
      </c>
      <c r="C508" s="1186" t="s">
        <v>43</v>
      </c>
      <c r="D508" s="1186">
        <v>7</v>
      </c>
      <c r="E508" s="1186">
        <v>5</v>
      </c>
      <c r="F508" s="1186">
        <v>2</v>
      </c>
      <c r="G508" s="1186"/>
      <c r="H508" s="1186"/>
      <c r="I508" s="1186"/>
      <c r="J508" s="1186"/>
      <c r="K508" s="1186"/>
    </row>
    <row r="509" spans="1:11" x14ac:dyDescent="0.2">
      <c r="A509" s="1186" t="s">
        <v>495</v>
      </c>
      <c r="B509" s="1186" t="s">
        <v>15</v>
      </c>
      <c r="C509" s="1186" t="s">
        <v>44</v>
      </c>
      <c r="D509" s="1186">
        <v>130</v>
      </c>
      <c r="E509" s="1186">
        <v>110</v>
      </c>
      <c r="F509" s="1186">
        <v>14</v>
      </c>
      <c r="G509" s="1186">
        <v>6</v>
      </c>
      <c r="H509" s="1186"/>
      <c r="I509" s="1186"/>
      <c r="J509" s="1186"/>
      <c r="K509" s="1186"/>
    </row>
    <row r="510" spans="1:11" x14ac:dyDescent="0.2">
      <c r="A510" s="1186" t="s">
        <v>495</v>
      </c>
      <c r="B510" s="1186" t="s">
        <v>15</v>
      </c>
      <c r="C510" s="1186" t="s">
        <v>45</v>
      </c>
      <c r="D510" s="1186">
        <v>634</v>
      </c>
      <c r="E510" s="1186">
        <v>496</v>
      </c>
      <c r="F510" s="1186">
        <v>118</v>
      </c>
      <c r="G510" s="1186">
        <v>20</v>
      </c>
      <c r="H510" s="1186"/>
      <c r="I510" s="1186"/>
      <c r="J510" s="1186"/>
      <c r="K510" s="1186"/>
    </row>
    <row r="511" spans="1:11" x14ac:dyDescent="0.2">
      <c r="A511" s="1186" t="s">
        <v>495</v>
      </c>
      <c r="B511" s="1186" t="s">
        <v>15</v>
      </c>
      <c r="C511" s="1186" t="s">
        <v>46</v>
      </c>
      <c r="D511" s="1186">
        <v>65</v>
      </c>
      <c r="E511" s="1186">
        <v>56</v>
      </c>
      <c r="F511" s="1186">
        <v>8</v>
      </c>
      <c r="G511" s="1186">
        <v>1</v>
      </c>
      <c r="H511" s="1186"/>
      <c r="I511" s="1186"/>
      <c r="J511" s="1186"/>
      <c r="K511" s="1186"/>
    </row>
    <row r="512" spans="1:11" x14ac:dyDescent="0.2">
      <c r="A512" s="1186" t="s">
        <v>495</v>
      </c>
      <c r="B512" s="1186" t="s">
        <v>15</v>
      </c>
      <c r="C512" s="1186" t="s">
        <v>47</v>
      </c>
      <c r="D512" s="1186">
        <v>13</v>
      </c>
      <c r="E512" s="1186">
        <v>8</v>
      </c>
      <c r="F512" s="1186">
        <v>4</v>
      </c>
      <c r="G512" s="1186">
        <v>1</v>
      </c>
      <c r="H512" s="1186"/>
      <c r="I512" s="1186"/>
      <c r="J512" s="1186"/>
      <c r="K512" s="1186"/>
    </row>
    <row r="513" spans="1:11" x14ac:dyDescent="0.2">
      <c r="A513" s="1186" t="s">
        <v>495</v>
      </c>
      <c r="B513" s="1186" t="s">
        <v>15</v>
      </c>
      <c r="C513" s="1186" t="s">
        <v>48</v>
      </c>
      <c r="D513" s="1186">
        <v>299</v>
      </c>
      <c r="E513" s="1186">
        <v>233</v>
      </c>
      <c r="F513" s="1186">
        <v>62</v>
      </c>
      <c r="G513" s="1186">
        <v>4</v>
      </c>
      <c r="H513" s="1186"/>
      <c r="I513" s="1186"/>
      <c r="J513" s="1186"/>
      <c r="K513" s="1186"/>
    </row>
    <row r="514" spans="1:11" x14ac:dyDescent="0.2">
      <c r="A514" s="1186" t="s">
        <v>495</v>
      </c>
      <c r="B514" s="1186" t="s">
        <v>15</v>
      </c>
      <c r="C514" s="1186" t="s">
        <v>49</v>
      </c>
      <c r="D514" s="1186">
        <v>1087</v>
      </c>
      <c r="E514" s="1186">
        <v>914</v>
      </c>
      <c r="F514" s="1186">
        <v>158</v>
      </c>
      <c r="G514" s="1186">
        <v>14</v>
      </c>
      <c r="H514" s="1186"/>
      <c r="I514" s="1186"/>
      <c r="J514" s="1186"/>
      <c r="K514" s="1186">
        <v>1</v>
      </c>
    </row>
    <row r="515" spans="1:11" x14ac:dyDescent="0.2">
      <c r="A515" s="1186" t="s">
        <v>495</v>
      </c>
      <c r="B515" s="1186" t="s">
        <v>15</v>
      </c>
      <c r="C515" s="1186" t="s">
        <v>50</v>
      </c>
      <c r="D515" s="1186">
        <v>126</v>
      </c>
      <c r="E515" s="1186">
        <v>111</v>
      </c>
      <c r="F515" s="1186">
        <v>13</v>
      </c>
      <c r="G515" s="1186">
        <v>2</v>
      </c>
      <c r="H515" s="1186"/>
      <c r="I515" s="1186"/>
      <c r="J515" s="1186"/>
      <c r="K515" s="1186"/>
    </row>
    <row r="516" spans="1:11" x14ac:dyDescent="0.2">
      <c r="A516" s="1186" t="s">
        <v>495</v>
      </c>
      <c r="B516" s="1186" t="s">
        <v>15</v>
      </c>
      <c r="C516" s="1186" t="s">
        <v>51</v>
      </c>
      <c r="D516" s="1186">
        <v>446</v>
      </c>
      <c r="E516" s="1186">
        <v>340</v>
      </c>
      <c r="F516" s="1186">
        <v>101</v>
      </c>
      <c r="G516" s="1186">
        <v>4</v>
      </c>
      <c r="H516" s="1186"/>
      <c r="I516" s="1186"/>
      <c r="J516" s="1186"/>
      <c r="K516" s="1186">
        <v>1</v>
      </c>
    </row>
    <row r="517" spans="1:11" x14ac:dyDescent="0.2">
      <c r="A517" s="1186" t="s">
        <v>495</v>
      </c>
      <c r="B517" s="1186" t="s">
        <v>15</v>
      </c>
      <c r="C517" s="1186" t="s">
        <v>52</v>
      </c>
      <c r="D517" s="1186">
        <v>440</v>
      </c>
      <c r="E517" s="1186">
        <v>408</v>
      </c>
      <c r="F517" s="1186">
        <v>26</v>
      </c>
      <c r="G517" s="1186">
        <v>6</v>
      </c>
      <c r="H517" s="1186"/>
      <c r="I517" s="1186"/>
      <c r="J517" s="1186"/>
      <c r="K517" s="1186"/>
    </row>
    <row r="518" spans="1:11" x14ac:dyDescent="0.2">
      <c r="A518" s="1186" t="s">
        <v>495</v>
      </c>
      <c r="B518" s="1186" t="s">
        <v>17</v>
      </c>
      <c r="C518" s="1186" t="s">
        <v>23</v>
      </c>
      <c r="D518" s="1186">
        <v>430</v>
      </c>
      <c r="E518" s="1186">
        <v>408</v>
      </c>
      <c r="F518" s="1186">
        <v>20</v>
      </c>
      <c r="G518" s="1186">
        <v>2</v>
      </c>
      <c r="H518" s="1186"/>
      <c r="I518" s="1186"/>
      <c r="J518" s="1186"/>
      <c r="K518" s="1186"/>
    </row>
    <row r="519" spans="1:11" x14ac:dyDescent="0.2">
      <c r="A519" s="1186" t="s">
        <v>495</v>
      </c>
      <c r="B519" s="1186" t="s">
        <v>17</v>
      </c>
      <c r="C519" s="1186" t="s">
        <v>24</v>
      </c>
      <c r="D519" s="1186">
        <v>300</v>
      </c>
      <c r="E519" s="1186">
        <v>247</v>
      </c>
      <c r="F519" s="1186">
        <v>45</v>
      </c>
      <c r="G519" s="1186">
        <v>6</v>
      </c>
      <c r="H519" s="1186">
        <v>2</v>
      </c>
      <c r="I519" s="1186"/>
      <c r="J519" s="1186"/>
      <c r="K519" s="1186"/>
    </row>
    <row r="520" spans="1:11" x14ac:dyDescent="0.2">
      <c r="A520" s="1186" t="s">
        <v>495</v>
      </c>
      <c r="B520" s="1186" t="s">
        <v>17</v>
      </c>
      <c r="C520" s="1186" t="s">
        <v>25</v>
      </c>
      <c r="D520" s="1186">
        <v>199</v>
      </c>
      <c r="E520" s="1186">
        <v>178</v>
      </c>
      <c r="F520" s="1186">
        <v>18</v>
      </c>
      <c r="G520" s="1186">
        <v>3</v>
      </c>
      <c r="H520" s="1186"/>
      <c r="I520" s="1186"/>
      <c r="J520" s="1186"/>
      <c r="K520" s="1186"/>
    </row>
    <row r="521" spans="1:11" x14ac:dyDescent="0.2">
      <c r="A521" s="1186" t="s">
        <v>495</v>
      </c>
      <c r="B521" s="1186" t="s">
        <v>17</v>
      </c>
      <c r="C521" s="1186" t="s">
        <v>26</v>
      </c>
      <c r="D521" s="1186">
        <v>133</v>
      </c>
      <c r="E521" s="1186">
        <v>95</v>
      </c>
      <c r="F521" s="1186">
        <v>35</v>
      </c>
      <c r="G521" s="1186">
        <v>2</v>
      </c>
      <c r="H521" s="1186">
        <v>1</v>
      </c>
      <c r="I521" s="1186"/>
      <c r="J521" s="1186"/>
      <c r="K521" s="1186"/>
    </row>
    <row r="522" spans="1:11" x14ac:dyDescent="0.2">
      <c r="A522" s="1186" t="s">
        <v>495</v>
      </c>
      <c r="B522" s="1186" t="s">
        <v>17</v>
      </c>
      <c r="C522" s="1186" t="s">
        <v>619</v>
      </c>
      <c r="D522" s="1186">
        <v>1458</v>
      </c>
      <c r="E522" s="1186">
        <v>1368</v>
      </c>
      <c r="F522" s="1186">
        <v>68</v>
      </c>
      <c r="G522" s="1186">
        <v>21</v>
      </c>
      <c r="H522" s="1186"/>
      <c r="I522" s="1186"/>
      <c r="J522" s="1186"/>
      <c r="K522" s="1186">
        <v>1</v>
      </c>
    </row>
    <row r="523" spans="1:11" x14ac:dyDescent="0.2">
      <c r="A523" s="1186" t="s">
        <v>495</v>
      </c>
      <c r="B523" s="1186" t="s">
        <v>17</v>
      </c>
      <c r="C523" s="1186" t="s">
        <v>27</v>
      </c>
      <c r="D523" s="1186">
        <v>110</v>
      </c>
      <c r="E523" s="1186">
        <v>104</v>
      </c>
      <c r="F523" s="1186">
        <v>5</v>
      </c>
      <c r="G523" s="1186">
        <v>1</v>
      </c>
      <c r="H523" s="1186"/>
      <c r="I523" s="1186"/>
      <c r="J523" s="1186"/>
      <c r="K523" s="1186"/>
    </row>
    <row r="524" spans="1:11" x14ac:dyDescent="0.2">
      <c r="A524" s="1186" t="s">
        <v>495</v>
      </c>
      <c r="B524" s="1186" t="s">
        <v>17</v>
      </c>
      <c r="C524" s="1186" t="s">
        <v>28</v>
      </c>
      <c r="D524" s="1186">
        <v>172</v>
      </c>
      <c r="E524" s="1186">
        <v>160</v>
      </c>
      <c r="F524" s="1186">
        <v>10</v>
      </c>
      <c r="G524" s="1186">
        <v>2</v>
      </c>
      <c r="H524" s="1186"/>
      <c r="I524" s="1186"/>
      <c r="J524" s="1186"/>
      <c r="K524" s="1186"/>
    </row>
    <row r="525" spans="1:11" x14ac:dyDescent="0.2">
      <c r="A525" s="1186" t="s">
        <v>495</v>
      </c>
      <c r="B525" s="1186" t="s">
        <v>17</v>
      </c>
      <c r="C525" s="1186" t="s">
        <v>29</v>
      </c>
      <c r="D525" s="1186">
        <v>646</v>
      </c>
      <c r="E525" s="1186">
        <v>592</v>
      </c>
      <c r="F525" s="1186">
        <v>49</v>
      </c>
      <c r="G525" s="1186">
        <v>4</v>
      </c>
      <c r="H525" s="1186">
        <v>1</v>
      </c>
      <c r="I525" s="1186"/>
      <c r="J525" s="1186"/>
      <c r="K525" s="1186"/>
    </row>
    <row r="526" spans="1:11" x14ac:dyDescent="0.2">
      <c r="A526" s="1186" t="s">
        <v>495</v>
      </c>
      <c r="B526" s="1186" t="s">
        <v>17</v>
      </c>
      <c r="C526" s="1186" t="s">
        <v>30</v>
      </c>
      <c r="D526" s="1186">
        <v>693</v>
      </c>
      <c r="E526" s="1186">
        <v>603</v>
      </c>
      <c r="F526" s="1186">
        <v>77</v>
      </c>
      <c r="G526" s="1186">
        <v>7</v>
      </c>
      <c r="H526" s="1186"/>
      <c r="I526" s="1186"/>
      <c r="J526" s="1186"/>
      <c r="K526" s="1186">
        <v>6</v>
      </c>
    </row>
    <row r="527" spans="1:11" x14ac:dyDescent="0.2">
      <c r="A527" s="1186" t="s">
        <v>495</v>
      </c>
      <c r="B527" s="1186" t="s">
        <v>17</v>
      </c>
      <c r="C527" s="1186" t="s">
        <v>31</v>
      </c>
      <c r="D527" s="1186">
        <v>221</v>
      </c>
      <c r="E527" s="1186">
        <v>191</v>
      </c>
      <c r="F527" s="1186">
        <v>29</v>
      </c>
      <c r="G527" s="1186">
        <v>1</v>
      </c>
      <c r="H527" s="1186"/>
      <c r="I527" s="1186"/>
      <c r="J527" s="1186"/>
      <c r="K527" s="1186"/>
    </row>
    <row r="528" spans="1:11" x14ac:dyDescent="0.2">
      <c r="A528" s="1186" t="s">
        <v>495</v>
      </c>
      <c r="B528" s="1186" t="s">
        <v>17</v>
      </c>
      <c r="C528" s="1186" t="s">
        <v>32</v>
      </c>
      <c r="D528" s="1186">
        <v>237</v>
      </c>
      <c r="E528" s="1186">
        <v>215</v>
      </c>
      <c r="F528" s="1186">
        <v>19</v>
      </c>
      <c r="G528" s="1186">
        <v>3</v>
      </c>
      <c r="H528" s="1186"/>
      <c r="I528" s="1186"/>
      <c r="J528" s="1186"/>
      <c r="K528" s="1186"/>
    </row>
    <row r="529" spans="1:11" x14ac:dyDescent="0.2">
      <c r="A529" s="1186" t="s">
        <v>495</v>
      </c>
      <c r="B529" s="1186" t="s">
        <v>17</v>
      </c>
      <c r="C529" s="1186" t="s">
        <v>33</v>
      </c>
      <c r="D529" s="1186">
        <v>154</v>
      </c>
      <c r="E529" s="1186">
        <v>127</v>
      </c>
      <c r="F529" s="1186">
        <v>20</v>
      </c>
      <c r="G529" s="1186">
        <v>6</v>
      </c>
      <c r="H529" s="1186"/>
      <c r="I529" s="1186"/>
      <c r="J529" s="1186"/>
      <c r="K529" s="1186">
        <v>1</v>
      </c>
    </row>
    <row r="530" spans="1:11" x14ac:dyDescent="0.2">
      <c r="A530" s="1186" t="s">
        <v>495</v>
      </c>
      <c r="B530" s="1186" t="s">
        <v>17</v>
      </c>
      <c r="C530" s="1186" t="s">
        <v>34</v>
      </c>
      <c r="D530" s="1186">
        <v>498</v>
      </c>
      <c r="E530" s="1186">
        <v>465</v>
      </c>
      <c r="F530" s="1186">
        <v>29</v>
      </c>
      <c r="G530" s="1186">
        <v>4</v>
      </c>
      <c r="H530" s="1186"/>
      <c r="I530" s="1186"/>
      <c r="J530" s="1186"/>
      <c r="K530" s="1186"/>
    </row>
    <row r="531" spans="1:11" x14ac:dyDescent="0.2">
      <c r="A531" s="1186" t="s">
        <v>495</v>
      </c>
      <c r="B531" s="1186" t="s">
        <v>17</v>
      </c>
      <c r="C531" s="1186" t="s">
        <v>35</v>
      </c>
      <c r="D531" s="1186">
        <v>799</v>
      </c>
      <c r="E531" s="1186">
        <v>733</v>
      </c>
      <c r="F531" s="1186">
        <v>57</v>
      </c>
      <c r="G531" s="1186">
        <v>8</v>
      </c>
      <c r="H531" s="1186">
        <v>1</v>
      </c>
      <c r="I531" s="1186"/>
      <c r="J531" s="1186"/>
      <c r="K531" s="1186"/>
    </row>
    <row r="532" spans="1:11" x14ac:dyDescent="0.2">
      <c r="A532" s="1186" t="s">
        <v>495</v>
      </c>
      <c r="B532" s="1186" t="s">
        <v>17</v>
      </c>
      <c r="C532" s="1186" t="s">
        <v>36</v>
      </c>
      <c r="D532" s="1186">
        <v>2842</v>
      </c>
      <c r="E532" s="1186">
        <v>2269</v>
      </c>
      <c r="F532" s="1186">
        <v>439</v>
      </c>
      <c r="G532" s="1186">
        <v>130</v>
      </c>
      <c r="H532" s="1186"/>
      <c r="I532" s="1186"/>
      <c r="J532" s="1186"/>
      <c r="K532" s="1186">
        <v>4</v>
      </c>
    </row>
    <row r="533" spans="1:11" x14ac:dyDescent="0.2">
      <c r="A533" s="1186" t="s">
        <v>495</v>
      </c>
      <c r="B533" s="1186" t="s">
        <v>17</v>
      </c>
      <c r="C533" s="1186" t="s">
        <v>37</v>
      </c>
      <c r="D533" s="1186">
        <v>556</v>
      </c>
      <c r="E533" s="1186">
        <v>480</v>
      </c>
      <c r="F533" s="1186">
        <v>55</v>
      </c>
      <c r="G533" s="1186">
        <v>20</v>
      </c>
      <c r="H533" s="1186"/>
      <c r="I533" s="1186"/>
      <c r="J533" s="1186"/>
      <c r="K533" s="1186">
        <v>1</v>
      </c>
    </row>
    <row r="534" spans="1:11" x14ac:dyDescent="0.2">
      <c r="A534" s="1186" t="s">
        <v>495</v>
      </c>
      <c r="B534" s="1186" t="s">
        <v>17</v>
      </c>
      <c r="C534" s="1186" t="s">
        <v>38</v>
      </c>
      <c r="D534" s="1186">
        <v>447</v>
      </c>
      <c r="E534" s="1186">
        <v>371</v>
      </c>
      <c r="F534" s="1186">
        <v>66</v>
      </c>
      <c r="G534" s="1186">
        <v>9</v>
      </c>
      <c r="H534" s="1186"/>
      <c r="I534" s="1186"/>
      <c r="J534" s="1186"/>
      <c r="K534" s="1186">
        <v>1</v>
      </c>
    </row>
    <row r="535" spans="1:11" x14ac:dyDescent="0.2">
      <c r="A535" s="1186" t="s">
        <v>495</v>
      </c>
      <c r="B535" s="1186" t="s">
        <v>17</v>
      </c>
      <c r="C535" s="1186" t="s">
        <v>39</v>
      </c>
      <c r="D535" s="1186">
        <v>336</v>
      </c>
      <c r="E535" s="1186">
        <v>315</v>
      </c>
      <c r="F535" s="1186">
        <v>16</v>
      </c>
      <c r="G535" s="1186">
        <v>4</v>
      </c>
      <c r="H535" s="1186"/>
      <c r="I535" s="1186">
        <v>1</v>
      </c>
      <c r="J535" s="1186"/>
      <c r="K535" s="1186"/>
    </row>
    <row r="536" spans="1:11" x14ac:dyDescent="0.2">
      <c r="A536" s="1186" t="s">
        <v>495</v>
      </c>
      <c r="B536" s="1186" t="s">
        <v>17</v>
      </c>
      <c r="C536" s="1186" t="s">
        <v>40</v>
      </c>
      <c r="D536" s="1186">
        <v>128</v>
      </c>
      <c r="E536" s="1186">
        <v>100</v>
      </c>
      <c r="F536" s="1186">
        <v>15</v>
      </c>
      <c r="G536" s="1186">
        <v>13</v>
      </c>
      <c r="H536" s="1186"/>
      <c r="I536" s="1186"/>
      <c r="J536" s="1186"/>
      <c r="K536" s="1186"/>
    </row>
    <row r="537" spans="1:11" x14ac:dyDescent="0.2">
      <c r="A537" s="1186" t="s">
        <v>495</v>
      </c>
      <c r="B537" s="1186" t="s">
        <v>17</v>
      </c>
      <c r="C537" s="1186" t="s">
        <v>295</v>
      </c>
      <c r="D537" s="1186">
        <v>87</v>
      </c>
      <c r="E537" s="1186">
        <v>66</v>
      </c>
      <c r="F537" s="1186">
        <v>18</v>
      </c>
      <c r="G537" s="1186">
        <v>3</v>
      </c>
      <c r="H537" s="1186"/>
      <c r="I537" s="1186"/>
      <c r="J537" s="1186"/>
      <c r="K537" s="1186"/>
    </row>
    <row r="538" spans="1:11" x14ac:dyDescent="0.2">
      <c r="A538" s="1186" t="s">
        <v>495</v>
      </c>
      <c r="B538" s="1186" t="s">
        <v>17</v>
      </c>
      <c r="C538" s="1186" t="s">
        <v>41</v>
      </c>
      <c r="D538" s="1186">
        <v>553</v>
      </c>
      <c r="E538" s="1186">
        <v>467</v>
      </c>
      <c r="F538" s="1186">
        <v>76</v>
      </c>
      <c r="G538" s="1186">
        <v>6</v>
      </c>
      <c r="H538" s="1186"/>
      <c r="I538" s="1186"/>
      <c r="J538" s="1186"/>
      <c r="K538" s="1186">
        <v>4</v>
      </c>
    </row>
    <row r="539" spans="1:11" x14ac:dyDescent="0.2">
      <c r="A539" s="1186" t="s">
        <v>495</v>
      </c>
      <c r="B539" s="1186" t="s">
        <v>17</v>
      </c>
      <c r="C539" s="1186" t="s">
        <v>42</v>
      </c>
      <c r="D539" s="1186">
        <v>1844</v>
      </c>
      <c r="E539" s="1186">
        <v>1576</v>
      </c>
      <c r="F539" s="1186">
        <v>249</v>
      </c>
      <c r="G539" s="1186">
        <v>16</v>
      </c>
      <c r="H539" s="1186"/>
      <c r="I539" s="1186"/>
      <c r="J539" s="1186"/>
      <c r="K539" s="1186">
        <v>3</v>
      </c>
    </row>
    <row r="540" spans="1:11" x14ac:dyDescent="0.2">
      <c r="A540" s="1186" t="s">
        <v>495</v>
      </c>
      <c r="B540" s="1186" t="s">
        <v>17</v>
      </c>
      <c r="C540" s="1186" t="s">
        <v>43</v>
      </c>
      <c r="D540" s="1186">
        <v>13</v>
      </c>
      <c r="E540" s="1186">
        <v>12</v>
      </c>
      <c r="F540" s="1186">
        <v>1</v>
      </c>
      <c r="G540" s="1186"/>
      <c r="H540" s="1186"/>
      <c r="I540" s="1186"/>
      <c r="J540" s="1186"/>
      <c r="K540" s="1186"/>
    </row>
    <row r="541" spans="1:11" x14ac:dyDescent="0.2">
      <c r="A541" s="1186" t="s">
        <v>495</v>
      </c>
      <c r="B541" s="1186" t="s">
        <v>17</v>
      </c>
      <c r="C541" s="1186" t="s">
        <v>44</v>
      </c>
      <c r="D541" s="1186">
        <v>126</v>
      </c>
      <c r="E541" s="1186">
        <v>110</v>
      </c>
      <c r="F541" s="1186">
        <v>12</v>
      </c>
      <c r="G541" s="1186">
        <v>4</v>
      </c>
      <c r="H541" s="1186"/>
      <c r="I541" s="1186"/>
      <c r="J541" s="1186"/>
      <c r="K541" s="1186"/>
    </row>
    <row r="542" spans="1:11" x14ac:dyDescent="0.2">
      <c r="A542" s="1186" t="s">
        <v>495</v>
      </c>
      <c r="B542" s="1186" t="s">
        <v>17</v>
      </c>
      <c r="C542" s="1186" t="s">
        <v>45</v>
      </c>
      <c r="D542" s="1186">
        <v>523</v>
      </c>
      <c r="E542" s="1186">
        <v>402</v>
      </c>
      <c r="F542" s="1186">
        <v>103</v>
      </c>
      <c r="G542" s="1186">
        <v>18</v>
      </c>
      <c r="H542" s="1186"/>
      <c r="I542" s="1186"/>
      <c r="J542" s="1186"/>
      <c r="K542" s="1186"/>
    </row>
    <row r="543" spans="1:11" x14ac:dyDescent="0.2">
      <c r="A543" s="1186" t="s">
        <v>495</v>
      </c>
      <c r="B543" s="1186" t="s">
        <v>17</v>
      </c>
      <c r="C543" s="1186" t="s">
        <v>46</v>
      </c>
      <c r="D543" s="1186">
        <v>107</v>
      </c>
      <c r="E543" s="1186">
        <v>86</v>
      </c>
      <c r="F543" s="1186">
        <v>18</v>
      </c>
      <c r="G543" s="1186">
        <v>2</v>
      </c>
      <c r="H543" s="1186"/>
      <c r="I543" s="1186"/>
      <c r="J543" s="1186"/>
      <c r="K543" s="1186">
        <v>1</v>
      </c>
    </row>
    <row r="544" spans="1:11" x14ac:dyDescent="0.2">
      <c r="A544" s="1186" t="s">
        <v>495</v>
      </c>
      <c r="B544" s="1186" t="s">
        <v>17</v>
      </c>
      <c r="C544" s="1186" t="s">
        <v>47</v>
      </c>
      <c r="D544" s="1186">
        <v>9</v>
      </c>
      <c r="E544" s="1186">
        <v>8</v>
      </c>
      <c r="F544" s="1186">
        <v>1</v>
      </c>
      <c r="G544" s="1186"/>
      <c r="H544" s="1186"/>
      <c r="I544" s="1186"/>
      <c r="J544" s="1186"/>
      <c r="K544" s="1186"/>
    </row>
    <row r="545" spans="1:11" x14ac:dyDescent="0.2">
      <c r="A545" s="1186" t="s">
        <v>495</v>
      </c>
      <c r="B545" s="1186" t="s">
        <v>17</v>
      </c>
      <c r="C545" s="1186" t="s">
        <v>48</v>
      </c>
      <c r="D545" s="1186">
        <v>293</v>
      </c>
      <c r="E545" s="1186">
        <v>246</v>
      </c>
      <c r="F545" s="1186">
        <v>45</v>
      </c>
      <c r="G545" s="1186">
        <v>2</v>
      </c>
      <c r="H545" s="1186"/>
      <c r="I545" s="1186"/>
      <c r="J545" s="1186"/>
      <c r="K545" s="1186"/>
    </row>
    <row r="546" spans="1:11" x14ac:dyDescent="0.2">
      <c r="A546" s="1186" t="s">
        <v>495</v>
      </c>
      <c r="B546" s="1186" t="s">
        <v>17</v>
      </c>
      <c r="C546" s="1186" t="s">
        <v>49</v>
      </c>
      <c r="D546" s="1186">
        <v>1209</v>
      </c>
      <c r="E546" s="1186">
        <v>1020</v>
      </c>
      <c r="F546" s="1186">
        <v>171</v>
      </c>
      <c r="G546" s="1186">
        <v>16</v>
      </c>
      <c r="H546" s="1186"/>
      <c r="I546" s="1186"/>
      <c r="J546" s="1186"/>
      <c r="K546" s="1186">
        <v>2</v>
      </c>
    </row>
    <row r="547" spans="1:11" x14ac:dyDescent="0.2">
      <c r="A547" s="1186" t="s">
        <v>495</v>
      </c>
      <c r="B547" s="1186" t="s">
        <v>17</v>
      </c>
      <c r="C547" s="1186" t="s">
        <v>50</v>
      </c>
      <c r="D547" s="1186">
        <v>130</v>
      </c>
      <c r="E547" s="1186">
        <v>115</v>
      </c>
      <c r="F547" s="1186">
        <v>14</v>
      </c>
      <c r="G547" s="1186">
        <v>1</v>
      </c>
      <c r="H547" s="1186"/>
      <c r="I547" s="1186"/>
      <c r="J547" s="1186"/>
      <c r="K547" s="1186"/>
    </row>
    <row r="548" spans="1:11" x14ac:dyDescent="0.2">
      <c r="A548" s="1186" t="s">
        <v>495</v>
      </c>
      <c r="B548" s="1186" t="s">
        <v>17</v>
      </c>
      <c r="C548" s="1186" t="s">
        <v>51</v>
      </c>
      <c r="D548" s="1186">
        <v>496</v>
      </c>
      <c r="E548" s="1186">
        <v>411</v>
      </c>
      <c r="F548" s="1186">
        <v>76</v>
      </c>
      <c r="G548" s="1186">
        <v>9</v>
      </c>
      <c r="H548" s="1186"/>
      <c r="I548" s="1186"/>
      <c r="J548" s="1186"/>
      <c r="K548" s="1186"/>
    </row>
    <row r="549" spans="1:11" x14ac:dyDescent="0.2">
      <c r="A549" s="1186" t="s">
        <v>495</v>
      </c>
      <c r="B549" s="1186" t="s">
        <v>17</v>
      </c>
      <c r="C549" s="1186" t="s">
        <v>52</v>
      </c>
      <c r="D549" s="1186">
        <v>602</v>
      </c>
      <c r="E549" s="1186">
        <v>552</v>
      </c>
      <c r="F549" s="1186">
        <v>39</v>
      </c>
      <c r="G549" s="1186">
        <v>11</v>
      </c>
      <c r="H549" s="1186"/>
      <c r="I549" s="1186"/>
      <c r="J549" s="1186"/>
      <c r="K549" s="1186"/>
    </row>
    <row r="550" spans="1:11" x14ac:dyDescent="0.2">
      <c r="A550" s="1186" t="s">
        <v>495</v>
      </c>
      <c r="B550" s="1186" t="s">
        <v>133</v>
      </c>
      <c r="C550" s="1186" t="s">
        <v>23</v>
      </c>
      <c r="D550" s="1186">
        <v>402</v>
      </c>
      <c r="E550" s="1186">
        <v>368</v>
      </c>
      <c r="F550" s="1186">
        <v>26</v>
      </c>
      <c r="G550" s="1186">
        <v>8</v>
      </c>
      <c r="H550" s="1186"/>
      <c r="I550" s="1186"/>
      <c r="J550" s="1186"/>
      <c r="K550" s="1186"/>
    </row>
    <row r="551" spans="1:11" x14ac:dyDescent="0.2">
      <c r="A551" s="1186" t="s">
        <v>495</v>
      </c>
      <c r="B551" s="1186" t="s">
        <v>133</v>
      </c>
      <c r="C551" s="1186" t="s">
        <v>24</v>
      </c>
      <c r="D551" s="1186">
        <v>221</v>
      </c>
      <c r="E551" s="1186">
        <v>190</v>
      </c>
      <c r="F551" s="1186">
        <v>26</v>
      </c>
      <c r="G551" s="1186">
        <v>5</v>
      </c>
      <c r="H551" s="1186"/>
      <c r="I551" s="1186"/>
      <c r="J551" s="1186"/>
      <c r="K551" s="1186"/>
    </row>
    <row r="552" spans="1:11" x14ac:dyDescent="0.2">
      <c r="A552" s="1186" t="s">
        <v>495</v>
      </c>
      <c r="B552" s="1186" t="s">
        <v>133</v>
      </c>
      <c r="C552" s="1186" t="s">
        <v>25</v>
      </c>
      <c r="D552" s="1186">
        <v>161</v>
      </c>
      <c r="E552" s="1186">
        <v>142</v>
      </c>
      <c r="F552" s="1186">
        <v>16</v>
      </c>
      <c r="G552" s="1186">
        <v>3</v>
      </c>
      <c r="H552" s="1186"/>
      <c r="I552" s="1186"/>
      <c r="J552" s="1186"/>
      <c r="K552" s="1186"/>
    </row>
    <row r="553" spans="1:11" x14ac:dyDescent="0.2">
      <c r="A553" s="1186" t="s">
        <v>495</v>
      </c>
      <c r="B553" s="1186" t="s">
        <v>133</v>
      </c>
      <c r="C553" s="1186" t="s">
        <v>26</v>
      </c>
      <c r="D553" s="1186">
        <v>88</v>
      </c>
      <c r="E553" s="1186">
        <v>53</v>
      </c>
      <c r="F553" s="1186">
        <v>30</v>
      </c>
      <c r="G553" s="1186">
        <v>4</v>
      </c>
      <c r="H553" s="1186"/>
      <c r="I553" s="1186"/>
      <c r="J553" s="1186"/>
      <c r="K553" s="1186">
        <v>1</v>
      </c>
    </row>
    <row r="554" spans="1:11" x14ac:dyDescent="0.2">
      <c r="A554" s="1186" t="s">
        <v>495</v>
      </c>
      <c r="B554" s="1186" t="s">
        <v>133</v>
      </c>
      <c r="C554" s="1186" t="s">
        <v>619</v>
      </c>
      <c r="D554" s="1186">
        <v>1352</v>
      </c>
      <c r="E554" s="1186">
        <v>1272</v>
      </c>
      <c r="F554" s="1186">
        <v>66</v>
      </c>
      <c r="G554" s="1186">
        <v>13</v>
      </c>
      <c r="H554" s="1186"/>
      <c r="I554" s="1186"/>
      <c r="J554" s="1186"/>
      <c r="K554" s="1186">
        <v>1</v>
      </c>
    </row>
    <row r="555" spans="1:11" x14ac:dyDescent="0.2">
      <c r="A555" s="1186" t="s">
        <v>495</v>
      </c>
      <c r="B555" s="1186" t="s">
        <v>133</v>
      </c>
      <c r="C555" s="1186" t="s">
        <v>27</v>
      </c>
      <c r="D555" s="1186">
        <v>85</v>
      </c>
      <c r="E555" s="1186">
        <v>77</v>
      </c>
      <c r="F555" s="1186">
        <v>7</v>
      </c>
      <c r="G555" s="1186">
        <v>1</v>
      </c>
      <c r="H555" s="1186"/>
      <c r="I555" s="1186"/>
      <c r="J555" s="1186"/>
      <c r="K555" s="1186"/>
    </row>
    <row r="556" spans="1:11" x14ac:dyDescent="0.2">
      <c r="A556" s="1186" t="s">
        <v>495</v>
      </c>
      <c r="B556" s="1186" t="s">
        <v>133</v>
      </c>
      <c r="C556" s="1186" t="s">
        <v>28</v>
      </c>
      <c r="D556" s="1186">
        <v>141</v>
      </c>
      <c r="E556" s="1186">
        <v>126</v>
      </c>
      <c r="F556" s="1186">
        <v>14</v>
      </c>
      <c r="G556" s="1186">
        <v>1</v>
      </c>
      <c r="H556" s="1186"/>
      <c r="I556" s="1186"/>
      <c r="J556" s="1186"/>
      <c r="K556" s="1186"/>
    </row>
    <row r="557" spans="1:11" x14ac:dyDescent="0.2">
      <c r="A557" s="1186" t="s">
        <v>495</v>
      </c>
      <c r="B557" s="1186" t="s">
        <v>133</v>
      </c>
      <c r="C557" s="1186" t="s">
        <v>29</v>
      </c>
      <c r="D557" s="1186">
        <v>596</v>
      </c>
      <c r="E557" s="1186">
        <v>576</v>
      </c>
      <c r="F557" s="1186">
        <v>16</v>
      </c>
      <c r="G557" s="1186">
        <v>4</v>
      </c>
      <c r="H557" s="1186"/>
      <c r="I557" s="1186"/>
      <c r="J557" s="1186"/>
      <c r="K557" s="1186"/>
    </row>
    <row r="558" spans="1:11" x14ac:dyDescent="0.2">
      <c r="A558" s="1186" t="s">
        <v>495</v>
      </c>
      <c r="B558" s="1186" t="s">
        <v>133</v>
      </c>
      <c r="C558" s="1186" t="s">
        <v>30</v>
      </c>
      <c r="D558" s="1186">
        <v>444</v>
      </c>
      <c r="E558" s="1186">
        <v>348</v>
      </c>
      <c r="F558" s="1186">
        <v>92</v>
      </c>
      <c r="G558" s="1186">
        <v>3</v>
      </c>
      <c r="H558" s="1186"/>
      <c r="I558" s="1186"/>
      <c r="J558" s="1186"/>
      <c r="K558" s="1186">
        <v>1</v>
      </c>
    </row>
    <row r="559" spans="1:11" x14ac:dyDescent="0.2">
      <c r="A559" s="1186" t="s">
        <v>495</v>
      </c>
      <c r="B559" s="1186" t="s">
        <v>133</v>
      </c>
      <c r="C559" s="1186" t="s">
        <v>31</v>
      </c>
      <c r="D559" s="1186">
        <v>178</v>
      </c>
      <c r="E559" s="1186">
        <v>145</v>
      </c>
      <c r="F559" s="1186">
        <v>28</v>
      </c>
      <c r="G559" s="1186">
        <v>5</v>
      </c>
      <c r="H559" s="1186"/>
      <c r="I559" s="1186"/>
      <c r="J559" s="1186"/>
      <c r="K559" s="1186"/>
    </row>
    <row r="560" spans="1:11" x14ac:dyDescent="0.2">
      <c r="A560" s="1186" t="s">
        <v>495</v>
      </c>
      <c r="B560" s="1186" t="s">
        <v>133</v>
      </c>
      <c r="C560" s="1186" t="s">
        <v>32</v>
      </c>
      <c r="D560" s="1186">
        <v>144</v>
      </c>
      <c r="E560" s="1186">
        <v>122</v>
      </c>
      <c r="F560" s="1186">
        <v>20</v>
      </c>
      <c r="G560" s="1186">
        <v>2</v>
      </c>
      <c r="H560" s="1186"/>
      <c r="I560" s="1186"/>
      <c r="J560" s="1186"/>
      <c r="K560" s="1186"/>
    </row>
    <row r="561" spans="1:11" x14ac:dyDescent="0.2">
      <c r="A561" s="1186" t="s">
        <v>495</v>
      </c>
      <c r="B561" s="1186" t="s">
        <v>133</v>
      </c>
      <c r="C561" s="1186" t="s">
        <v>33</v>
      </c>
      <c r="D561" s="1186">
        <v>132</v>
      </c>
      <c r="E561" s="1186">
        <v>108</v>
      </c>
      <c r="F561" s="1186">
        <v>19</v>
      </c>
      <c r="G561" s="1186">
        <v>5</v>
      </c>
      <c r="H561" s="1186"/>
      <c r="I561" s="1186"/>
      <c r="J561" s="1186"/>
      <c r="K561" s="1186"/>
    </row>
    <row r="562" spans="1:11" x14ac:dyDescent="0.2">
      <c r="A562" s="1186" t="s">
        <v>495</v>
      </c>
      <c r="B562" s="1186" t="s">
        <v>133</v>
      </c>
      <c r="C562" s="1186" t="s">
        <v>34</v>
      </c>
      <c r="D562" s="1186">
        <v>382</v>
      </c>
      <c r="E562" s="1186">
        <v>359</v>
      </c>
      <c r="F562" s="1186">
        <v>21</v>
      </c>
      <c r="G562" s="1186">
        <v>2</v>
      </c>
      <c r="H562" s="1186"/>
      <c r="I562" s="1186"/>
      <c r="J562" s="1186"/>
      <c r="K562" s="1186"/>
    </row>
    <row r="563" spans="1:11" x14ac:dyDescent="0.2">
      <c r="A563" s="1186" t="s">
        <v>495</v>
      </c>
      <c r="B563" s="1186" t="s">
        <v>133</v>
      </c>
      <c r="C563" s="1186" t="s">
        <v>35</v>
      </c>
      <c r="D563" s="1186">
        <v>678</v>
      </c>
      <c r="E563" s="1186">
        <v>635</v>
      </c>
      <c r="F563" s="1186">
        <v>34</v>
      </c>
      <c r="G563" s="1186">
        <v>9</v>
      </c>
      <c r="H563" s="1186"/>
      <c r="I563" s="1186"/>
      <c r="J563" s="1186"/>
      <c r="K563" s="1186"/>
    </row>
    <row r="564" spans="1:11" x14ac:dyDescent="0.2">
      <c r="A564" s="1186" t="s">
        <v>495</v>
      </c>
      <c r="B564" s="1186" t="s">
        <v>133</v>
      </c>
      <c r="C564" s="1186" t="s">
        <v>36</v>
      </c>
      <c r="D564" s="1186">
        <v>2625</v>
      </c>
      <c r="E564" s="1186">
        <v>2089</v>
      </c>
      <c r="F564" s="1186">
        <v>412</v>
      </c>
      <c r="G564" s="1186">
        <v>122</v>
      </c>
      <c r="H564" s="1186"/>
      <c r="I564" s="1186"/>
      <c r="J564" s="1186"/>
      <c r="K564" s="1186">
        <v>2</v>
      </c>
    </row>
    <row r="565" spans="1:11" x14ac:dyDescent="0.2">
      <c r="A565" s="1186" t="s">
        <v>495</v>
      </c>
      <c r="B565" s="1186" t="s">
        <v>133</v>
      </c>
      <c r="C565" s="1186" t="s">
        <v>37</v>
      </c>
      <c r="D565" s="1186">
        <v>337</v>
      </c>
      <c r="E565" s="1186">
        <v>289</v>
      </c>
      <c r="F565" s="1186">
        <v>36</v>
      </c>
      <c r="G565" s="1186">
        <v>12</v>
      </c>
      <c r="H565" s="1186"/>
      <c r="I565" s="1186"/>
      <c r="J565" s="1186"/>
      <c r="K565" s="1186"/>
    </row>
    <row r="566" spans="1:11" x14ac:dyDescent="0.2">
      <c r="A566" s="1186" t="s">
        <v>495</v>
      </c>
      <c r="B566" s="1186" t="s">
        <v>133</v>
      </c>
      <c r="C566" s="1186" t="s">
        <v>38</v>
      </c>
      <c r="D566" s="1186">
        <v>391</v>
      </c>
      <c r="E566" s="1186">
        <v>311</v>
      </c>
      <c r="F566" s="1186">
        <v>65</v>
      </c>
      <c r="G566" s="1186">
        <v>15</v>
      </c>
      <c r="H566" s="1186"/>
      <c r="I566" s="1186"/>
      <c r="J566" s="1186"/>
      <c r="K566" s="1186"/>
    </row>
    <row r="567" spans="1:11" x14ac:dyDescent="0.2">
      <c r="A567" s="1186" t="s">
        <v>495</v>
      </c>
      <c r="B567" s="1186" t="s">
        <v>133</v>
      </c>
      <c r="C567" s="1186" t="s">
        <v>39</v>
      </c>
      <c r="D567" s="1186">
        <v>257</v>
      </c>
      <c r="E567" s="1186">
        <v>252</v>
      </c>
      <c r="F567" s="1186">
        <v>5</v>
      </c>
      <c r="G567" s="1186"/>
      <c r="H567" s="1186"/>
      <c r="I567" s="1186"/>
      <c r="J567" s="1186"/>
      <c r="K567" s="1186"/>
    </row>
    <row r="568" spans="1:11" x14ac:dyDescent="0.2">
      <c r="A568" s="1186" t="s">
        <v>495</v>
      </c>
      <c r="B568" s="1186" t="s">
        <v>133</v>
      </c>
      <c r="C568" s="1186" t="s">
        <v>40</v>
      </c>
      <c r="D568" s="1186">
        <v>104</v>
      </c>
      <c r="E568" s="1186">
        <v>89</v>
      </c>
      <c r="F568" s="1186">
        <v>10</v>
      </c>
      <c r="G568" s="1186">
        <v>5</v>
      </c>
      <c r="H568" s="1186"/>
      <c r="I568" s="1186"/>
      <c r="J568" s="1186"/>
      <c r="K568" s="1186"/>
    </row>
    <row r="569" spans="1:11" x14ac:dyDescent="0.2">
      <c r="A569" s="1186" t="s">
        <v>495</v>
      </c>
      <c r="B569" s="1186" t="s">
        <v>133</v>
      </c>
      <c r="C569" s="1186" t="s">
        <v>295</v>
      </c>
      <c r="D569" s="1186">
        <v>41</v>
      </c>
      <c r="E569" s="1186">
        <v>30</v>
      </c>
      <c r="F569" s="1186">
        <v>6</v>
      </c>
      <c r="G569" s="1186">
        <v>5</v>
      </c>
      <c r="H569" s="1186"/>
      <c r="I569" s="1186"/>
      <c r="J569" s="1186"/>
      <c r="K569" s="1186"/>
    </row>
    <row r="570" spans="1:11" x14ac:dyDescent="0.2">
      <c r="A570" s="1186" t="s">
        <v>495</v>
      </c>
      <c r="B570" s="1186" t="s">
        <v>133</v>
      </c>
      <c r="C570" s="1186" t="s">
        <v>41</v>
      </c>
      <c r="D570" s="1186">
        <v>419</v>
      </c>
      <c r="E570" s="1186">
        <v>363</v>
      </c>
      <c r="F570" s="1186">
        <v>51</v>
      </c>
      <c r="G570" s="1186">
        <v>4</v>
      </c>
      <c r="H570" s="1186"/>
      <c r="I570" s="1186"/>
      <c r="J570" s="1186"/>
      <c r="K570" s="1186">
        <v>1</v>
      </c>
    </row>
    <row r="571" spans="1:11" x14ac:dyDescent="0.2">
      <c r="A571" s="1186" t="s">
        <v>495</v>
      </c>
      <c r="B571" s="1186" t="s">
        <v>133</v>
      </c>
      <c r="C571" s="1186" t="s">
        <v>42</v>
      </c>
      <c r="D571" s="1186">
        <v>1415</v>
      </c>
      <c r="E571" s="1186">
        <v>1193</v>
      </c>
      <c r="F571" s="1186">
        <v>204</v>
      </c>
      <c r="G571" s="1186">
        <v>12</v>
      </c>
      <c r="H571" s="1186"/>
      <c r="I571" s="1186"/>
      <c r="J571" s="1186"/>
      <c r="K571" s="1186">
        <v>6</v>
      </c>
    </row>
    <row r="572" spans="1:11" x14ac:dyDescent="0.2">
      <c r="A572" s="1186" t="s">
        <v>495</v>
      </c>
      <c r="B572" s="1186" t="s">
        <v>133</v>
      </c>
      <c r="C572" s="1186" t="s">
        <v>43</v>
      </c>
      <c r="D572" s="1186">
        <v>7</v>
      </c>
      <c r="E572" s="1186">
        <v>7</v>
      </c>
      <c r="F572" s="1186"/>
      <c r="G572" s="1186"/>
      <c r="H572" s="1186"/>
      <c r="I572" s="1186"/>
      <c r="J572" s="1186"/>
      <c r="K572" s="1186"/>
    </row>
    <row r="573" spans="1:11" x14ac:dyDescent="0.2">
      <c r="A573" s="1186" t="s">
        <v>495</v>
      </c>
      <c r="B573" s="1186" t="s">
        <v>133</v>
      </c>
      <c r="C573" s="1186" t="s">
        <v>44</v>
      </c>
      <c r="D573" s="1186">
        <v>115</v>
      </c>
      <c r="E573" s="1186">
        <v>102</v>
      </c>
      <c r="F573" s="1186">
        <v>10</v>
      </c>
      <c r="G573" s="1186">
        <v>3</v>
      </c>
      <c r="H573" s="1186"/>
      <c r="I573" s="1186"/>
      <c r="J573" s="1186"/>
      <c r="K573" s="1186"/>
    </row>
    <row r="574" spans="1:11" x14ac:dyDescent="0.2">
      <c r="A574" s="1186" t="s">
        <v>495</v>
      </c>
      <c r="B574" s="1186" t="s">
        <v>133</v>
      </c>
      <c r="C574" s="1186" t="s">
        <v>45</v>
      </c>
      <c r="D574" s="1186">
        <v>491</v>
      </c>
      <c r="E574" s="1186">
        <v>378</v>
      </c>
      <c r="F574" s="1186">
        <v>97</v>
      </c>
      <c r="G574" s="1186">
        <v>16</v>
      </c>
      <c r="H574" s="1186"/>
      <c r="I574" s="1186"/>
      <c r="J574" s="1186"/>
      <c r="K574" s="1186"/>
    </row>
    <row r="575" spans="1:11" x14ac:dyDescent="0.2">
      <c r="A575" s="1186" t="s">
        <v>495</v>
      </c>
      <c r="B575" s="1186" t="s">
        <v>133</v>
      </c>
      <c r="C575" s="1186" t="s">
        <v>46</v>
      </c>
      <c r="D575" s="1186">
        <v>93</v>
      </c>
      <c r="E575" s="1186">
        <v>80</v>
      </c>
      <c r="F575" s="1186">
        <v>12</v>
      </c>
      <c r="G575" s="1186">
        <v>1</v>
      </c>
      <c r="H575" s="1186"/>
      <c r="I575" s="1186"/>
      <c r="J575" s="1186"/>
      <c r="K575" s="1186"/>
    </row>
    <row r="576" spans="1:11" x14ac:dyDescent="0.2">
      <c r="A576" s="1186" t="s">
        <v>495</v>
      </c>
      <c r="B576" s="1186" t="s">
        <v>133</v>
      </c>
      <c r="C576" s="1186" t="s">
        <v>47</v>
      </c>
      <c r="D576" s="1186">
        <v>9</v>
      </c>
      <c r="E576" s="1186">
        <v>8</v>
      </c>
      <c r="F576" s="1186">
        <v>1</v>
      </c>
      <c r="G576" s="1186"/>
      <c r="H576" s="1186"/>
      <c r="I576" s="1186"/>
      <c r="J576" s="1186"/>
      <c r="K576" s="1186"/>
    </row>
    <row r="577" spans="1:11" x14ac:dyDescent="0.2">
      <c r="A577" s="1186" t="s">
        <v>495</v>
      </c>
      <c r="B577" s="1186" t="s">
        <v>133</v>
      </c>
      <c r="C577" s="1186" t="s">
        <v>48</v>
      </c>
      <c r="D577" s="1186">
        <v>222</v>
      </c>
      <c r="E577" s="1186">
        <v>194</v>
      </c>
      <c r="F577" s="1186">
        <v>26</v>
      </c>
      <c r="G577" s="1186">
        <v>2</v>
      </c>
      <c r="H577" s="1186"/>
      <c r="I577" s="1186"/>
      <c r="J577" s="1186"/>
      <c r="K577" s="1186"/>
    </row>
    <row r="578" spans="1:11" x14ac:dyDescent="0.2">
      <c r="A578" s="1186" t="s">
        <v>495</v>
      </c>
      <c r="B578" s="1186" t="s">
        <v>133</v>
      </c>
      <c r="C578" s="1186" t="s">
        <v>49</v>
      </c>
      <c r="D578" s="1186">
        <v>882</v>
      </c>
      <c r="E578" s="1186">
        <v>719</v>
      </c>
      <c r="F578" s="1186">
        <v>146</v>
      </c>
      <c r="G578" s="1186">
        <v>16</v>
      </c>
      <c r="H578" s="1186"/>
      <c r="I578" s="1186"/>
      <c r="J578" s="1186"/>
      <c r="K578" s="1186">
        <v>1</v>
      </c>
    </row>
    <row r="579" spans="1:11" x14ac:dyDescent="0.2">
      <c r="A579" s="1186" t="s">
        <v>495</v>
      </c>
      <c r="B579" s="1186" t="s">
        <v>133</v>
      </c>
      <c r="C579" s="1186" t="s">
        <v>50</v>
      </c>
      <c r="D579" s="1186">
        <v>125</v>
      </c>
      <c r="E579" s="1186">
        <v>104</v>
      </c>
      <c r="F579" s="1186">
        <v>18</v>
      </c>
      <c r="G579" s="1186">
        <v>3</v>
      </c>
      <c r="H579" s="1186"/>
      <c r="I579" s="1186"/>
      <c r="J579" s="1186"/>
      <c r="K579" s="1186"/>
    </row>
    <row r="580" spans="1:11" x14ac:dyDescent="0.2">
      <c r="A580" s="1186" t="s">
        <v>495</v>
      </c>
      <c r="B580" s="1186" t="s">
        <v>133</v>
      </c>
      <c r="C580" s="1186" t="s">
        <v>51</v>
      </c>
      <c r="D580" s="1186">
        <v>326</v>
      </c>
      <c r="E580" s="1186">
        <v>272</v>
      </c>
      <c r="F580" s="1186">
        <v>50</v>
      </c>
      <c r="G580" s="1186">
        <v>4</v>
      </c>
      <c r="H580" s="1186"/>
      <c r="I580" s="1186"/>
      <c r="J580" s="1186"/>
      <c r="K580" s="1186"/>
    </row>
    <row r="581" spans="1:11" x14ac:dyDescent="0.2">
      <c r="A581" s="1186" t="s">
        <v>495</v>
      </c>
      <c r="B581" s="1186" t="s">
        <v>133</v>
      </c>
      <c r="C581" s="1186" t="s">
        <v>52</v>
      </c>
      <c r="D581" s="1186">
        <v>527</v>
      </c>
      <c r="E581" s="1186">
        <v>494</v>
      </c>
      <c r="F581" s="1186">
        <v>31</v>
      </c>
      <c r="G581" s="1186">
        <v>2</v>
      </c>
      <c r="H581" s="1186"/>
      <c r="I581" s="1186"/>
      <c r="J581" s="1186"/>
      <c r="K581" s="1186"/>
    </row>
    <row r="582" spans="1:11" x14ac:dyDescent="0.2">
      <c r="A582" s="1186" t="s">
        <v>495</v>
      </c>
      <c r="B582" s="1186" t="s">
        <v>144</v>
      </c>
      <c r="C582" s="1186" t="s">
        <v>23</v>
      </c>
      <c r="D582" s="1186">
        <v>441</v>
      </c>
      <c r="E582" s="1186">
        <v>401</v>
      </c>
      <c r="F582" s="1186">
        <v>26</v>
      </c>
      <c r="G582" s="1186">
        <v>14</v>
      </c>
      <c r="H582" s="1186"/>
      <c r="I582" s="1186"/>
      <c r="J582" s="1186"/>
      <c r="K582" s="1186"/>
    </row>
    <row r="583" spans="1:11" x14ac:dyDescent="0.2">
      <c r="A583" s="1186" t="s">
        <v>495</v>
      </c>
      <c r="B583" s="1186" t="s">
        <v>144</v>
      </c>
      <c r="C583" s="1186" t="s">
        <v>24</v>
      </c>
      <c r="D583" s="1186">
        <v>182</v>
      </c>
      <c r="E583" s="1186">
        <v>160</v>
      </c>
      <c r="F583" s="1186">
        <v>17</v>
      </c>
      <c r="G583" s="1186">
        <v>5</v>
      </c>
      <c r="H583" s="1186"/>
      <c r="I583" s="1186"/>
      <c r="J583" s="1186"/>
      <c r="K583" s="1186"/>
    </row>
    <row r="584" spans="1:11" x14ac:dyDescent="0.2">
      <c r="A584" s="1186" t="s">
        <v>495</v>
      </c>
      <c r="B584" s="1186" t="s">
        <v>144</v>
      </c>
      <c r="C584" s="1186" t="s">
        <v>25</v>
      </c>
      <c r="D584" s="1186">
        <v>147</v>
      </c>
      <c r="E584" s="1186">
        <v>136</v>
      </c>
      <c r="F584" s="1186">
        <v>10</v>
      </c>
      <c r="G584" s="1186">
        <v>1</v>
      </c>
      <c r="H584" s="1186"/>
      <c r="I584" s="1186"/>
      <c r="J584" s="1186"/>
      <c r="K584" s="1186"/>
    </row>
    <row r="585" spans="1:11" x14ac:dyDescent="0.2">
      <c r="A585" s="1186" t="s">
        <v>495</v>
      </c>
      <c r="B585" s="1186" t="s">
        <v>144</v>
      </c>
      <c r="C585" s="1186" t="s">
        <v>26</v>
      </c>
      <c r="D585" s="1186">
        <v>68</v>
      </c>
      <c r="E585" s="1186">
        <v>49</v>
      </c>
      <c r="F585" s="1186">
        <v>16</v>
      </c>
      <c r="G585" s="1186">
        <v>2</v>
      </c>
      <c r="H585" s="1186"/>
      <c r="I585" s="1186"/>
      <c r="J585" s="1186"/>
      <c r="K585" s="1186">
        <v>1</v>
      </c>
    </row>
    <row r="586" spans="1:11" x14ac:dyDescent="0.2">
      <c r="A586" s="1186" t="s">
        <v>495</v>
      </c>
      <c r="B586" s="1186" t="s">
        <v>144</v>
      </c>
      <c r="C586" s="1186" t="s">
        <v>619</v>
      </c>
      <c r="D586" s="1186">
        <v>1889</v>
      </c>
      <c r="E586" s="1186">
        <v>1747</v>
      </c>
      <c r="F586" s="1186">
        <v>77</v>
      </c>
      <c r="G586" s="1186">
        <v>20</v>
      </c>
      <c r="H586" s="1186"/>
      <c r="I586" s="1186"/>
      <c r="J586" s="1186"/>
      <c r="K586" s="1186">
        <v>45</v>
      </c>
    </row>
    <row r="587" spans="1:11" x14ac:dyDescent="0.2">
      <c r="A587" s="1186" t="s">
        <v>495</v>
      </c>
      <c r="B587" s="1186" t="s">
        <v>144</v>
      </c>
      <c r="C587" s="1186" t="s">
        <v>27</v>
      </c>
      <c r="D587" s="1186">
        <v>102</v>
      </c>
      <c r="E587" s="1186">
        <v>86</v>
      </c>
      <c r="F587" s="1186">
        <v>8</v>
      </c>
      <c r="G587" s="1186">
        <v>2</v>
      </c>
      <c r="H587" s="1186"/>
      <c r="I587" s="1186"/>
      <c r="J587" s="1186"/>
      <c r="K587" s="1186">
        <v>6</v>
      </c>
    </row>
    <row r="588" spans="1:11" x14ac:dyDescent="0.2">
      <c r="A588" s="1186" t="s">
        <v>495</v>
      </c>
      <c r="B588" s="1186" t="s">
        <v>144</v>
      </c>
      <c r="C588" s="1186" t="s">
        <v>28</v>
      </c>
      <c r="D588" s="1186">
        <v>153</v>
      </c>
      <c r="E588" s="1186">
        <v>112</v>
      </c>
      <c r="F588" s="1186">
        <v>38</v>
      </c>
      <c r="G588" s="1186">
        <v>2</v>
      </c>
      <c r="H588" s="1186"/>
      <c r="I588" s="1186"/>
      <c r="J588" s="1186"/>
      <c r="K588" s="1186">
        <v>1</v>
      </c>
    </row>
    <row r="589" spans="1:11" x14ac:dyDescent="0.2">
      <c r="A589" s="1186" t="s">
        <v>495</v>
      </c>
      <c r="B589" s="1186" t="s">
        <v>144</v>
      </c>
      <c r="C589" s="1186" t="s">
        <v>29</v>
      </c>
      <c r="D589" s="1186">
        <v>671</v>
      </c>
      <c r="E589" s="1186">
        <v>619</v>
      </c>
      <c r="F589" s="1186">
        <v>42</v>
      </c>
      <c r="G589" s="1186">
        <v>6</v>
      </c>
      <c r="H589" s="1186">
        <v>2</v>
      </c>
      <c r="I589" s="1186"/>
      <c r="J589" s="1186"/>
      <c r="K589" s="1186">
        <v>2</v>
      </c>
    </row>
    <row r="590" spans="1:11" x14ac:dyDescent="0.2">
      <c r="A590" s="1186" t="s">
        <v>495</v>
      </c>
      <c r="B590" s="1186" t="s">
        <v>144</v>
      </c>
      <c r="C590" s="1186" t="s">
        <v>30</v>
      </c>
      <c r="D590" s="1186">
        <v>615</v>
      </c>
      <c r="E590" s="1186">
        <v>523</v>
      </c>
      <c r="F590" s="1186">
        <v>89</v>
      </c>
      <c r="G590" s="1186">
        <v>3</v>
      </c>
      <c r="H590" s="1186"/>
      <c r="I590" s="1186"/>
      <c r="J590" s="1186"/>
      <c r="K590" s="1186"/>
    </row>
    <row r="591" spans="1:11" x14ac:dyDescent="0.2">
      <c r="A591" s="1186" t="s">
        <v>495</v>
      </c>
      <c r="B591" s="1186" t="s">
        <v>144</v>
      </c>
      <c r="C591" s="1186" t="s">
        <v>31</v>
      </c>
      <c r="D591" s="1186">
        <v>171</v>
      </c>
      <c r="E591" s="1186">
        <v>145</v>
      </c>
      <c r="F591" s="1186">
        <v>23</v>
      </c>
      <c r="G591" s="1186">
        <v>3</v>
      </c>
      <c r="H591" s="1186"/>
      <c r="I591" s="1186"/>
      <c r="J591" s="1186"/>
      <c r="K591" s="1186"/>
    </row>
    <row r="592" spans="1:11" x14ac:dyDescent="0.2">
      <c r="A592" s="1186" t="s">
        <v>495</v>
      </c>
      <c r="B592" s="1186" t="s">
        <v>144</v>
      </c>
      <c r="C592" s="1186" t="s">
        <v>32</v>
      </c>
      <c r="D592" s="1186">
        <v>195</v>
      </c>
      <c r="E592" s="1186">
        <v>170</v>
      </c>
      <c r="F592" s="1186">
        <v>16</v>
      </c>
      <c r="G592" s="1186">
        <v>2</v>
      </c>
      <c r="H592" s="1186"/>
      <c r="I592" s="1186"/>
      <c r="J592" s="1186"/>
      <c r="K592" s="1186">
        <v>7</v>
      </c>
    </row>
    <row r="593" spans="1:11" x14ac:dyDescent="0.2">
      <c r="A593" s="1186" t="s">
        <v>495</v>
      </c>
      <c r="B593" s="1186" t="s">
        <v>144</v>
      </c>
      <c r="C593" s="1186" t="s">
        <v>33</v>
      </c>
      <c r="D593" s="1186">
        <v>147</v>
      </c>
      <c r="E593" s="1186">
        <v>126</v>
      </c>
      <c r="F593" s="1186">
        <v>15</v>
      </c>
      <c r="G593" s="1186">
        <v>6</v>
      </c>
      <c r="H593" s="1186"/>
      <c r="I593" s="1186"/>
      <c r="J593" s="1186"/>
      <c r="K593" s="1186"/>
    </row>
    <row r="594" spans="1:11" x14ac:dyDescent="0.2">
      <c r="A594" s="1186" t="s">
        <v>495</v>
      </c>
      <c r="B594" s="1186" t="s">
        <v>144</v>
      </c>
      <c r="C594" s="1186" t="s">
        <v>34</v>
      </c>
      <c r="D594" s="1186">
        <v>341</v>
      </c>
      <c r="E594" s="1186">
        <v>308</v>
      </c>
      <c r="F594" s="1186">
        <v>17</v>
      </c>
      <c r="G594" s="1186">
        <v>1</v>
      </c>
      <c r="H594" s="1186"/>
      <c r="I594" s="1186"/>
      <c r="J594" s="1186"/>
      <c r="K594" s="1186">
        <v>15</v>
      </c>
    </row>
    <row r="595" spans="1:11" x14ac:dyDescent="0.2">
      <c r="A595" s="1186" t="s">
        <v>495</v>
      </c>
      <c r="B595" s="1186" t="s">
        <v>144</v>
      </c>
      <c r="C595" s="1186" t="s">
        <v>35</v>
      </c>
      <c r="D595" s="1186">
        <v>737</v>
      </c>
      <c r="E595" s="1186">
        <v>668</v>
      </c>
      <c r="F595" s="1186">
        <v>59</v>
      </c>
      <c r="G595" s="1186">
        <v>9</v>
      </c>
      <c r="H595" s="1186"/>
      <c r="I595" s="1186"/>
      <c r="J595" s="1186"/>
      <c r="K595" s="1186">
        <v>1</v>
      </c>
    </row>
    <row r="596" spans="1:11" x14ac:dyDescent="0.2">
      <c r="A596" s="1186" t="s">
        <v>495</v>
      </c>
      <c r="B596" s="1186" t="s">
        <v>144</v>
      </c>
      <c r="C596" s="1186" t="s">
        <v>36</v>
      </c>
      <c r="D596" s="1186">
        <v>2435</v>
      </c>
      <c r="E596" s="1186">
        <v>1980</v>
      </c>
      <c r="F596" s="1186">
        <v>349</v>
      </c>
      <c r="G596" s="1186">
        <v>102</v>
      </c>
      <c r="H596" s="1186"/>
      <c r="I596" s="1186"/>
      <c r="J596" s="1186"/>
      <c r="K596" s="1186">
        <v>4</v>
      </c>
    </row>
    <row r="597" spans="1:11" x14ac:dyDescent="0.2">
      <c r="A597" s="1186" t="s">
        <v>495</v>
      </c>
      <c r="B597" s="1186" t="s">
        <v>144</v>
      </c>
      <c r="C597" s="1186" t="s">
        <v>37</v>
      </c>
      <c r="D597" s="1186">
        <v>339</v>
      </c>
      <c r="E597" s="1186">
        <v>291</v>
      </c>
      <c r="F597" s="1186">
        <v>35</v>
      </c>
      <c r="G597" s="1186">
        <v>13</v>
      </c>
      <c r="H597" s="1186"/>
      <c r="I597" s="1186"/>
      <c r="J597" s="1186"/>
      <c r="K597" s="1186"/>
    </row>
    <row r="598" spans="1:11" x14ac:dyDescent="0.2">
      <c r="A598" s="1186" t="s">
        <v>495</v>
      </c>
      <c r="B598" s="1186" t="s">
        <v>144</v>
      </c>
      <c r="C598" s="1186" t="s">
        <v>38</v>
      </c>
      <c r="D598" s="1186">
        <v>405</v>
      </c>
      <c r="E598" s="1186">
        <v>355</v>
      </c>
      <c r="F598" s="1186">
        <v>39</v>
      </c>
      <c r="G598" s="1186">
        <v>11</v>
      </c>
      <c r="H598" s="1186"/>
      <c r="I598" s="1186"/>
      <c r="J598" s="1186"/>
      <c r="K598" s="1186"/>
    </row>
    <row r="599" spans="1:11" x14ac:dyDescent="0.2">
      <c r="A599" s="1186" t="s">
        <v>495</v>
      </c>
      <c r="B599" s="1186" t="s">
        <v>144</v>
      </c>
      <c r="C599" s="1186" t="s">
        <v>39</v>
      </c>
      <c r="D599" s="1186">
        <v>301</v>
      </c>
      <c r="E599" s="1186">
        <v>265</v>
      </c>
      <c r="F599" s="1186">
        <v>15</v>
      </c>
      <c r="G599" s="1186">
        <v>3</v>
      </c>
      <c r="H599" s="1186"/>
      <c r="I599" s="1186"/>
      <c r="J599" s="1186"/>
      <c r="K599" s="1186">
        <v>18</v>
      </c>
    </row>
    <row r="600" spans="1:11" x14ac:dyDescent="0.2">
      <c r="A600" s="1186" t="s">
        <v>495</v>
      </c>
      <c r="B600" s="1186" t="s">
        <v>144</v>
      </c>
      <c r="C600" s="1186" t="s">
        <v>40</v>
      </c>
      <c r="D600" s="1186">
        <v>94</v>
      </c>
      <c r="E600" s="1186">
        <v>83</v>
      </c>
      <c r="F600" s="1186">
        <v>7</v>
      </c>
      <c r="G600" s="1186">
        <v>3</v>
      </c>
      <c r="H600" s="1186">
        <v>1</v>
      </c>
      <c r="I600" s="1186"/>
      <c r="J600" s="1186"/>
      <c r="K600" s="1186"/>
    </row>
    <row r="601" spans="1:11" x14ac:dyDescent="0.2">
      <c r="A601" s="1186" t="s">
        <v>495</v>
      </c>
      <c r="B601" s="1186" t="s">
        <v>144</v>
      </c>
      <c r="C601" s="1186" t="s">
        <v>295</v>
      </c>
      <c r="D601" s="1186">
        <v>30</v>
      </c>
      <c r="E601" s="1186">
        <v>24</v>
      </c>
      <c r="F601" s="1186">
        <v>3</v>
      </c>
      <c r="G601" s="1186">
        <v>3</v>
      </c>
      <c r="H601" s="1186"/>
      <c r="I601" s="1186"/>
      <c r="J601" s="1186"/>
      <c r="K601" s="1186"/>
    </row>
    <row r="602" spans="1:11" x14ac:dyDescent="0.2">
      <c r="A602" s="1186" t="s">
        <v>495</v>
      </c>
      <c r="B602" s="1186" t="s">
        <v>144</v>
      </c>
      <c r="C602" s="1186" t="s">
        <v>41</v>
      </c>
      <c r="D602" s="1186">
        <v>507</v>
      </c>
      <c r="E602" s="1186">
        <v>437</v>
      </c>
      <c r="F602" s="1186">
        <v>69</v>
      </c>
      <c r="G602" s="1186">
        <v>1</v>
      </c>
      <c r="H602" s="1186"/>
      <c r="I602" s="1186"/>
      <c r="J602" s="1186"/>
      <c r="K602" s="1186"/>
    </row>
    <row r="603" spans="1:11" x14ac:dyDescent="0.2">
      <c r="A603" s="1186" t="s">
        <v>495</v>
      </c>
      <c r="B603" s="1186" t="s">
        <v>144</v>
      </c>
      <c r="C603" s="1186" t="s">
        <v>42</v>
      </c>
      <c r="D603" s="1186">
        <v>1540</v>
      </c>
      <c r="E603" s="1186">
        <v>1323</v>
      </c>
      <c r="F603" s="1186">
        <v>188</v>
      </c>
      <c r="G603" s="1186">
        <v>19</v>
      </c>
      <c r="H603" s="1186"/>
      <c r="I603" s="1186"/>
      <c r="J603" s="1186"/>
      <c r="K603" s="1186">
        <v>10</v>
      </c>
    </row>
    <row r="604" spans="1:11" x14ac:dyDescent="0.2">
      <c r="A604" s="1186" t="s">
        <v>495</v>
      </c>
      <c r="B604" s="1186" t="s">
        <v>144</v>
      </c>
      <c r="C604" s="1186" t="s">
        <v>43</v>
      </c>
      <c r="D604" s="1186">
        <v>13</v>
      </c>
      <c r="E604" s="1186">
        <v>11</v>
      </c>
      <c r="F604" s="1186">
        <v>2</v>
      </c>
      <c r="G604" s="1186"/>
      <c r="H604" s="1186"/>
      <c r="I604" s="1186"/>
      <c r="J604" s="1186"/>
      <c r="K604" s="1186"/>
    </row>
    <row r="605" spans="1:11" x14ac:dyDescent="0.2">
      <c r="A605" s="1186" t="s">
        <v>495</v>
      </c>
      <c r="B605" s="1186" t="s">
        <v>144</v>
      </c>
      <c r="C605" s="1186" t="s">
        <v>44</v>
      </c>
      <c r="D605" s="1186">
        <v>144</v>
      </c>
      <c r="E605" s="1186">
        <v>127</v>
      </c>
      <c r="F605" s="1186">
        <v>14</v>
      </c>
      <c r="G605" s="1186">
        <v>3</v>
      </c>
      <c r="H605" s="1186"/>
      <c r="I605" s="1186"/>
      <c r="J605" s="1186"/>
      <c r="K605" s="1186"/>
    </row>
    <row r="606" spans="1:11" x14ac:dyDescent="0.2">
      <c r="A606" s="1186" t="s">
        <v>495</v>
      </c>
      <c r="B606" s="1186" t="s">
        <v>144</v>
      </c>
      <c r="C606" s="1186" t="s">
        <v>45</v>
      </c>
      <c r="D606" s="1186">
        <v>566</v>
      </c>
      <c r="E606" s="1186">
        <v>472</v>
      </c>
      <c r="F606" s="1186">
        <v>83</v>
      </c>
      <c r="G606" s="1186">
        <v>11</v>
      </c>
      <c r="H606" s="1186"/>
      <c r="I606" s="1186"/>
      <c r="J606" s="1186"/>
      <c r="K606" s="1186"/>
    </row>
    <row r="607" spans="1:11" x14ac:dyDescent="0.2">
      <c r="A607" s="1186" t="s">
        <v>495</v>
      </c>
      <c r="B607" s="1186" t="s">
        <v>144</v>
      </c>
      <c r="C607" s="1186" t="s">
        <v>46</v>
      </c>
      <c r="D607" s="1186">
        <v>92</v>
      </c>
      <c r="E607" s="1186">
        <v>78</v>
      </c>
      <c r="F607" s="1186">
        <v>10</v>
      </c>
      <c r="G607" s="1186"/>
      <c r="H607" s="1186"/>
      <c r="I607" s="1186"/>
      <c r="J607" s="1186"/>
      <c r="K607" s="1186">
        <v>4</v>
      </c>
    </row>
    <row r="608" spans="1:11" x14ac:dyDescent="0.2">
      <c r="A608" s="1186" t="s">
        <v>495</v>
      </c>
      <c r="B608" s="1186" t="s">
        <v>144</v>
      </c>
      <c r="C608" s="1186" t="s">
        <v>47</v>
      </c>
      <c r="D608" s="1186">
        <v>11</v>
      </c>
      <c r="E608" s="1186">
        <v>7</v>
      </c>
      <c r="F608" s="1186">
        <v>1</v>
      </c>
      <c r="G608" s="1186">
        <v>3</v>
      </c>
      <c r="H608" s="1186"/>
      <c r="I608" s="1186"/>
      <c r="J608" s="1186"/>
      <c r="K608" s="1186"/>
    </row>
    <row r="609" spans="1:11" x14ac:dyDescent="0.2">
      <c r="A609" s="1186" t="s">
        <v>495</v>
      </c>
      <c r="B609" s="1186" t="s">
        <v>144</v>
      </c>
      <c r="C609" s="1186" t="s">
        <v>48</v>
      </c>
      <c r="D609" s="1186">
        <v>211</v>
      </c>
      <c r="E609" s="1186">
        <v>171</v>
      </c>
      <c r="F609" s="1186">
        <v>37</v>
      </c>
      <c r="G609" s="1186">
        <v>2</v>
      </c>
      <c r="H609" s="1186"/>
      <c r="I609" s="1186"/>
      <c r="J609" s="1186"/>
      <c r="K609" s="1186">
        <v>1</v>
      </c>
    </row>
    <row r="610" spans="1:11" x14ac:dyDescent="0.2">
      <c r="A610" s="1186" t="s">
        <v>495</v>
      </c>
      <c r="B610" s="1186" t="s">
        <v>144</v>
      </c>
      <c r="C610" s="1186" t="s">
        <v>49</v>
      </c>
      <c r="D610" s="1186">
        <v>906</v>
      </c>
      <c r="E610" s="1186">
        <v>788</v>
      </c>
      <c r="F610" s="1186">
        <v>110</v>
      </c>
      <c r="G610" s="1186">
        <v>8</v>
      </c>
      <c r="H610" s="1186"/>
      <c r="I610" s="1186"/>
      <c r="J610" s="1186"/>
      <c r="K610" s="1186"/>
    </row>
    <row r="611" spans="1:11" x14ac:dyDescent="0.2">
      <c r="A611" s="1186" t="s">
        <v>495</v>
      </c>
      <c r="B611" s="1186" t="s">
        <v>144</v>
      </c>
      <c r="C611" s="1186" t="s">
        <v>50</v>
      </c>
      <c r="D611" s="1186">
        <v>209</v>
      </c>
      <c r="E611" s="1186">
        <v>183</v>
      </c>
      <c r="F611" s="1186">
        <v>10</v>
      </c>
      <c r="G611" s="1186">
        <v>3</v>
      </c>
      <c r="H611" s="1186"/>
      <c r="I611" s="1186"/>
      <c r="J611" s="1186"/>
      <c r="K611" s="1186">
        <v>13</v>
      </c>
    </row>
    <row r="612" spans="1:11" x14ac:dyDescent="0.2">
      <c r="A612" s="1186" t="s">
        <v>495</v>
      </c>
      <c r="B612" s="1186" t="s">
        <v>144</v>
      </c>
      <c r="C612" s="1186" t="s">
        <v>51</v>
      </c>
      <c r="D612" s="1186">
        <v>312</v>
      </c>
      <c r="E612" s="1186">
        <v>250</v>
      </c>
      <c r="F612" s="1186">
        <v>54</v>
      </c>
      <c r="G612" s="1186">
        <v>8</v>
      </c>
      <c r="H612" s="1186"/>
      <c r="I612" s="1186"/>
      <c r="J612" s="1186"/>
      <c r="K612" s="1186"/>
    </row>
    <row r="613" spans="1:11" x14ac:dyDescent="0.2">
      <c r="A613" s="1186" t="s">
        <v>495</v>
      </c>
      <c r="B613" s="1186" t="s">
        <v>144</v>
      </c>
      <c r="C613" s="1186" t="s">
        <v>52</v>
      </c>
      <c r="D613" s="1186">
        <v>730</v>
      </c>
      <c r="E613" s="1186">
        <v>649</v>
      </c>
      <c r="F613" s="1186">
        <v>43</v>
      </c>
      <c r="G613" s="1186">
        <v>7</v>
      </c>
      <c r="H613" s="1186"/>
      <c r="I613" s="1186"/>
      <c r="J613" s="1186"/>
      <c r="K613" s="1186">
        <v>31</v>
      </c>
    </row>
    <row r="614" spans="1:11" x14ac:dyDescent="0.2">
      <c r="A614" s="1186" t="s">
        <v>495</v>
      </c>
      <c r="B614" s="1186" t="s">
        <v>282</v>
      </c>
      <c r="C614" s="1186" t="s">
        <v>23</v>
      </c>
      <c r="D614" s="1186">
        <v>314</v>
      </c>
      <c r="E614" s="1186">
        <v>295</v>
      </c>
      <c r="F614" s="1186">
        <v>16</v>
      </c>
      <c r="G614" s="1186">
        <v>3</v>
      </c>
      <c r="H614" s="1186"/>
      <c r="I614" s="1186"/>
      <c r="J614" s="1186"/>
      <c r="K614" s="1186"/>
    </row>
    <row r="615" spans="1:11" x14ac:dyDescent="0.2">
      <c r="A615" s="1186" t="s">
        <v>495</v>
      </c>
      <c r="B615" s="1186" t="s">
        <v>282</v>
      </c>
      <c r="C615" s="1186" t="s">
        <v>24</v>
      </c>
      <c r="D615" s="1186">
        <v>264</v>
      </c>
      <c r="E615" s="1186">
        <v>232</v>
      </c>
      <c r="F615" s="1186">
        <v>23</v>
      </c>
      <c r="G615" s="1186">
        <v>9</v>
      </c>
      <c r="H615" s="1186"/>
      <c r="I615" s="1186"/>
      <c r="J615" s="1186"/>
      <c r="K615" s="1186"/>
    </row>
    <row r="616" spans="1:11" x14ac:dyDescent="0.2">
      <c r="A616" s="1186" t="s">
        <v>495</v>
      </c>
      <c r="B616" s="1186" t="s">
        <v>282</v>
      </c>
      <c r="C616" s="1186" t="s">
        <v>25</v>
      </c>
      <c r="D616" s="1186">
        <v>126</v>
      </c>
      <c r="E616" s="1186">
        <v>110</v>
      </c>
      <c r="F616" s="1186">
        <v>12</v>
      </c>
      <c r="G616" s="1186">
        <v>4</v>
      </c>
      <c r="H616" s="1186"/>
      <c r="I616" s="1186"/>
      <c r="J616" s="1186"/>
      <c r="K616" s="1186"/>
    </row>
    <row r="617" spans="1:11" x14ac:dyDescent="0.2">
      <c r="A617" s="1186" t="s">
        <v>495</v>
      </c>
      <c r="B617" s="1186" t="s">
        <v>282</v>
      </c>
      <c r="C617" s="1186" t="s">
        <v>26</v>
      </c>
      <c r="D617" s="1186">
        <v>122</v>
      </c>
      <c r="E617" s="1186">
        <v>95</v>
      </c>
      <c r="F617" s="1186">
        <v>22</v>
      </c>
      <c r="G617" s="1186">
        <v>5</v>
      </c>
      <c r="H617" s="1186"/>
      <c r="I617" s="1186"/>
      <c r="J617" s="1186"/>
      <c r="K617" s="1186"/>
    </row>
    <row r="618" spans="1:11" x14ac:dyDescent="0.2">
      <c r="A618" s="1186" t="s">
        <v>495</v>
      </c>
      <c r="B618" s="1186" t="s">
        <v>282</v>
      </c>
      <c r="C618" s="1186" t="s">
        <v>619</v>
      </c>
      <c r="D618" s="1186">
        <v>1874</v>
      </c>
      <c r="E618" s="1186">
        <v>1774</v>
      </c>
      <c r="F618" s="1186">
        <v>77</v>
      </c>
      <c r="G618" s="1186">
        <v>19</v>
      </c>
      <c r="H618" s="1186"/>
      <c r="I618" s="1186"/>
      <c r="J618" s="1186"/>
      <c r="K618" s="1186">
        <v>4</v>
      </c>
    </row>
    <row r="619" spans="1:11" x14ac:dyDescent="0.2">
      <c r="A619" s="1186" t="s">
        <v>495</v>
      </c>
      <c r="B619" s="1186" t="s">
        <v>282</v>
      </c>
      <c r="C619" s="1186" t="s">
        <v>27</v>
      </c>
      <c r="D619" s="1186">
        <v>84</v>
      </c>
      <c r="E619" s="1186">
        <v>79</v>
      </c>
      <c r="F619" s="1186">
        <v>5</v>
      </c>
      <c r="G619" s="1186"/>
      <c r="H619" s="1186"/>
      <c r="I619" s="1186"/>
      <c r="J619" s="1186"/>
      <c r="K619" s="1186"/>
    </row>
    <row r="620" spans="1:11" x14ac:dyDescent="0.2">
      <c r="A620" s="1186" t="s">
        <v>495</v>
      </c>
      <c r="B620" s="1186" t="s">
        <v>282</v>
      </c>
      <c r="C620" s="1186" t="s">
        <v>28</v>
      </c>
      <c r="D620" s="1186">
        <v>168</v>
      </c>
      <c r="E620" s="1186">
        <v>133</v>
      </c>
      <c r="F620" s="1186">
        <v>32</v>
      </c>
      <c r="G620" s="1186"/>
      <c r="H620" s="1186"/>
      <c r="I620" s="1186"/>
      <c r="J620" s="1186"/>
      <c r="K620" s="1186">
        <v>3</v>
      </c>
    </row>
    <row r="621" spans="1:11" x14ac:dyDescent="0.2">
      <c r="A621" s="1186" t="s">
        <v>495</v>
      </c>
      <c r="B621" s="1186" t="s">
        <v>282</v>
      </c>
      <c r="C621" s="1186" t="s">
        <v>29</v>
      </c>
      <c r="D621" s="1186">
        <v>816</v>
      </c>
      <c r="E621" s="1186">
        <v>776</v>
      </c>
      <c r="F621" s="1186">
        <v>35</v>
      </c>
      <c r="G621" s="1186">
        <v>5</v>
      </c>
      <c r="H621" s="1186"/>
      <c r="I621" s="1186"/>
      <c r="J621" s="1186"/>
      <c r="K621" s="1186"/>
    </row>
    <row r="622" spans="1:11" x14ac:dyDescent="0.2">
      <c r="A622" s="1186" t="s">
        <v>495</v>
      </c>
      <c r="B622" s="1186" t="s">
        <v>282</v>
      </c>
      <c r="C622" s="1186" t="s">
        <v>30</v>
      </c>
      <c r="D622" s="1186">
        <v>640</v>
      </c>
      <c r="E622" s="1186">
        <v>580</v>
      </c>
      <c r="F622" s="1186">
        <v>58</v>
      </c>
      <c r="G622" s="1186">
        <v>2</v>
      </c>
      <c r="H622" s="1186"/>
      <c r="I622" s="1186"/>
      <c r="J622" s="1186"/>
      <c r="K622" s="1186"/>
    </row>
    <row r="623" spans="1:11" x14ac:dyDescent="0.2">
      <c r="A623" s="1186" t="s">
        <v>495</v>
      </c>
      <c r="B623" s="1186" t="s">
        <v>282</v>
      </c>
      <c r="C623" s="1186" t="s">
        <v>31</v>
      </c>
      <c r="D623" s="1186">
        <v>180</v>
      </c>
      <c r="E623" s="1186">
        <v>151</v>
      </c>
      <c r="F623" s="1186">
        <v>27</v>
      </c>
      <c r="G623" s="1186">
        <v>2</v>
      </c>
      <c r="H623" s="1186"/>
      <c r="I623" s="1186"/>
      <c r="J623" s="1186"/>
      <c r="K623" s="1186"/>
    </row>
    <row r="624" spans="1:11" x14ac:dyDescent="0.2">
      <c r="A624" s="1186" t="s">
        <v>495</v>
      </c>
      <c r="B624" s="1186" t="s">
        <v>282</v>
      </c>
      <c r="C624" s="1186" t="s">
        <v>32</v>
      </c>
      <c r="D624" s="1186">
        <v>254</v>
      </c>
      <c r="E624" s="1186">
        <v>233</v>
      </c>
      <c r="F624" s="1186">
        <v>19</v>
      </c>
      <c r="G624" s="1186">
        <v>2</v>
      </c>
      <c r="H624" s="1186"/>
      <c r="I624" s="1186"/>
      <c r="J624" s="1186"/>
      <c r="K624" s="1186"/>
    </row>
    <row r="625" spans="1:11" x14ac:dyDescent="0.2">
      <c r="A625" s="1186" t="s">
        <v>495</v>
      </c>
      <c r="B625" s="1186" t="s">
        <v>282</v>
      </c>
      <c r="C625" s="1186" t="s">
        <v>33</v>
      </c>
      <c r="D625" s="1186">
        <v>152</v>
      </c>
      <c r="E625" s="1186">
        <v>124</v>
      </c>
      <c r="F625" s="1186">
        <v>21</v>
      </c>
      <c r="G625" s="1186">
        <v>5</v>
      </c>
      <c r="H625" s="1186">
        <v>2</v>
      </c>
      <c r="I625" s="1186"/>
      <c r="J625" s="1186"/>
      <c r="K625" s="1186"/>
    </row>
    <row r="626" spans="1:11" x14ac:dyDescent="0.2">
      <c r="A626" s="1186" t="s">
        <v>495</v>
      </c>
      <c r="B626" s="1186" t="s">
        <v>282</v>
      </c>
      <c r="C626" s="1186" t="s">
        <v>34</v>
      </c>
      <c r="D626" s="1186">
        <v>411</v>
      </c>
      <c r="E626" s="1186">
        <v>384</v>
      </c>
      <c r="F626" s="1186">
        <v>25</v>
      </c>
      <c r="G626" s="1186">
        <v>2</v>
      </c>
      <c r="H626" s="1186"/>
      <c r="I626" s="1186"/>
      <c r="J626" s="1186"/>
      <c r="K626" s="1186"/>
    </row>
    <row r="627" spans="1:11" x14ac:dyDescent="0.2">
      <c r="A627" s="1186" t="s">
        <v>495</v>
      </c>
      <c r="B627" s="1186" t="s">
        <v>282</v>
      </c>
      <c r="C627" s="1186" t="s">
        <v>35</v>
      </c>
      <c r="D627" s="1186">
        <v>735</v>
      </c>
      <c r="E627" s="1186">
        <v>649</v>
      </c>
      <c r="F627" s="1186">
        <v>73</v>
      </c>
      <c r="G627" s="1186">
        <v>13</v>
      </c>
      <c r="H627" s="1186"/>
      <c r="I627" s="1186"/>
      <c r="J627" s="1186"/>
      <c r="K627" s="1186"/>
    </row>
    <row r="628" spans="1:11" x14ac:dyDescent="0.2">
      <c r="A628" s="1186" t="s">
        <v>495</v>
      </c>
      <c r="B628" s="1186" t="s">
        <v>282</v>
      </c>
      <c r="C628" s="1186" t="s">
        <v>36</v>
      </c>
      <c r="D628" s="1186">
        <v>2557</v>
      </c>
      <c r="E628" s="1186">
        <v>2212</v>
      </c>
      <c r="F628" s="1186">
        <v>232</v>
      </c>
      <c r="G628" s="1186">
        <v>112</v>
      </c>
      <c r="H628" s="1186"/>
      <c r="I628" s="1186"/>
      <c r="J628" s="1186"/>
      <c r="K628" s="1186">
        <v>1</v>
      </c>
    </row>
    <row r="629" spans="1:11" x14ac:dyDescent="0.2">
      <c r="A629" s="1186" t="s">
        <v>495</v>
      </c>
      <c r="B629" s="1186" t="s">
        <v>282</v>
      </c>
      <c r="C629" s="1186" t="s">
        <v>37</v>
      </c>
      <c r="D629" s="1186">
        <v>358</v>
      </c>
      <c r="E629" s="1186">
        <v>303</v>
      </c>
      <c r="F629" s="1186">
        <v>43</v>
      </c>
      <c r="G629" s="1186">
        <v>12</v>
      </c>
      <c r="H629" s="1186"/>
      <c r="I629" s="1186"/>
      <c r="J629" s="1186"/>
      <c r="K629" s="1186"/>
    </row>
    <row r="630" spans="1:11" x14ac:dyDescent="0.2">
      <c r="A630" s="1186" t="s">
        <v>495</v>
      </c>
      <c r="B630" s="1186" t="s">
        <v>282</v>
      </c>
      <c r="C630" s="1186" t="s">
        <v>38</v>
      </c>
      <c r="D630" s="1186">
        <v>569</v>
      </c>
      <c r="E630" s="1186">
        <v>501</v>
      </c>
      <c r="F630" s="1186">
        <v>51</v>
      </c>
      <c r="G630" s="1186">
        <v>16</v>
      </c>
      <c r="H630" s="1186"/>
      <c r="I630" s="1186"/>
      <c r="J630" s="1186"/>
      <c r="K630" s="1186">
        <v>1</v>
      </c>
    </row>
    <row r="631" spans="1:11" x14ac:dyDescent="0.2">
      <c r="A631" s="1186" t="s">
        <v>495</v>
      </c>
      <c r="B631" s="1186" t="s">
        <v>282</v>
      </c>
      <c r="C631" s="1186" t="s">
        <v>39</v>
      </c>
      <c r="D631" s="1186">
        <v>371</v>
      </c>
      <c r="E631" s="1186">
        <v>355</v>
      </c>
      <c r="F631" s="1186">
        <v>13</v>
      </c>
      <c r="G631" s="1186">
        <v>3</v>
      </c>
      <c r="H631" s="1186"/>
      <c r="I631" s="1186"/>
      <c r="J631" s="1186"/>
      <c r="K631" s="1186"/>
    </row>
    <row r="632" spans="1:11" x14ac:dyDescent="0.2">
      <c r="A632" s="1186" t="s">
        <v>495</v>
      </c>
      <c r="B632" s="1186" t="s">
        <v>282</v>
      </c>
      <c r="C632" s="1186" t="s">
        <v>40</v>
      </c>
      <c r="D632" s="1186">
        <v>127</v>
      </c>
      <c r="E632" s="1186">
        <v>111</v>
      </c>
      <c r="F632" s="1186">
        <v>10</v>
      </c>
      <c r="G632" s="1186">
        <v>6</v>
      </c>
      <c r="H632" s="1186"/>
      <c r="I632" s="1186"/>
      <c r="J632" s="1186"/>
      <c r="K632" s="1186"/>
    </row>
    <row r="633" spans="1:11" x14ac:dyDescent="0.2">
      <c r="A633" s="1186" t="s">
        <v>495</v>
      </c>
      <c r="B633" s="1186" t="s">
        <v>282</v>
      </c>
      <c r="C633" s="1186" t="s">
        <v>295</v>
      </c>
      <c r="D633" s="1186">
        <v>52</v>
      </c>
      <c r="E633" s="1186">
        <v>40</v>
      </c>
      <c r="F633" s="1186">
        <v>10</v>
      </c>
      <c r="G633" s="1186">
        <v>2</v>
      </c>
      <c r="H633" s="1186"/>
      <c r="I633" s="1186"/>
      <c r="J633" s="1186"/>
      <c r="K633" s="1186"/>
    </row>
    <row r="634" spans="1:11" x14ac:dyDescent="0.2">
      <c r="A634" s="1186" t="s">
        <v>495</v>
      </c>
      <c r="B634" s="1186" t="s">
        <v>282</v>
      </c>
      <c r="C634" s="1186" t="s">
        <v>41</v>
      </c>
      <c r="D634" s="1186">
        <v>621</v>
      </c>
      <c r="E634" s="1186">
        <v>551</v>
      </c>
      <c r="F634" s="1186">
        <v>61</v>
      </c>
      <c r="G634" s="1186">
        <v>9</v>
      </c>
      <c r="H634" s="1186"/>
      <c r="I634" s="1186"/>
      <c r="J634" s="1186"/>
      <c r="K634" s="1186"/>
    </row>
    <row r="635" spans="1:11" x14ac:dyDescent="0.2">
      <c r="A635" s="1186" t="s">
        <v>495</v>
      </c>
      <c r="B635" s="1186" t="s">
        <v>282</v>
      </c>
      <c r="C635" s="1186" t="s">
        <v>42</v>
      </c>
      <c r="D635" s="1186">
        <v>1484</v>
      </c>
      <c r="E635" s="1186">
        <v>1315</v>
      </c>
      <c r="F635" s="1186">
        <v>152</v>
      </c>
      <c r="G635" s="1186">
        <v>17</v>
      </c>
      <c r="H635" s="1186"/>
      <c r="I635" s="1186"/>
      <c r="J635" s="1186"/>
      <c r="K635" s="1186"/>
    </row>
    <row r="636" spans="1:11" x14ac:dyDescent="0.2">
      <c r="A636" s="1186" t="s">
        <v>495</v>
      </c>
      <c r="B636" s="1186" t="s">
        <v>282</v>
      </c>
      <c r="C636" s="1186" t="s">
        <v>43</v>
      </c>
      <c r="D636" s="1186">
        <v>10</v>
      </c>
      <c r="E636" s="1186">
        <v>8</v>
      </c>
      <c r="F636" s="1186">
        <v>2</v>
      </c>
      <c r="G636" s="1186"/>
      <c r="H636" s="1186"/>
      <c r="I636" s="1186"/>
      <c r="J636" s="1186"/>
      <c r="K636" s="1186"/>
    </row>
    <row r="637" spans="1:11" x14ac:dyDescent="0.2">
      <c r="A637" s="1186" t="s">
        <v>495</v>
      </c>
      <c r="B637" s="1186" t="s">
        <v>282</v>
      </c>
      <c r="C637" s="1186" t="s">
        <v>44</v>
      </c>
      <c r="D637" s="1186">
        <v>141</v>
      </c>
      <c r="E637" s="1186">
        <v>122</v>
      </c>
      <c r="F637" s="1186">
        <v>16</v>
      </c>
      <c r="G637" s="1186">
        <v>2</v>
      </c>
      <c r="H637" s="1186">
        <v>1</v>
      </c>
      <c r="I637" s="1186"/>
      <c r="J637" s="1186"/>
      <c r="K637" s="1186"/>
    </row>
    <row r="638" spans="1:11" x14ac:dyDescent="0.2">
      <c r="A638" s="1186" t="s">
        <v>495</v>
      </c>
      <c r="B638" s="1186" t="s">
        <v>282</v>
      </c>
      <c r="C638" s="1186" t="s">
        <v>45</v>
      </c>
      <c r="D638" s="1186">
        <v>693</v>
      </c>
      <c r="E638" s="1186">
        <v>579</v>
      </c>
      <c r="F638" s="1186">
        <v>91</v>
      </c>
      <c r="G638" s="1186">
        <v>23</v>
      </c>
      <c r="H638" s="1186"/>
      <c r="I638" s="1186"/>
      <c r="J638" s="1186"/>
      <c r="K638" s="1186"/>
    </row>
    <row r="639" spans="1:11" x14ac:dyDescent="0.2">
      <c r="A639" s="1186" t="s">
        <v>495</v>
      </c>
      <c r="B639" s="1186" t="s">
        <v>282</v>
      </c>
      <c r="C639" s="1186" t="s">
        <v>46</v>
      </c>
      <c r="D639" s="1186">
        <v>102</v>
      </c>
      <c r="E639" s="1186">
        <v>83</v>
      </c>
      <c r="F639" s="1186">
        <v>16</v>
      </c>
      <c r="G639" s="1186">
        <v>2</v>
      </c>
      <c r="H639" s="1186"/>
      <c r="I639" s="1186"/>
      <c r="J639" s="1186"/>
      <c r="K639" s="1186">
        <v>1</v>
      </c>
    </row>
    <row r="640" spans="1:11" x14ac:dyDescent="0.2">
      <c r="A640" s="1186" t="s">
        <v>495</v>
      </c>
      <c r="B640" s="1186" t="s">
        <v>282</v>
      </c>
      <c r="C640" s="1186" t="s">
        <v>47</v>
      </c>
      <c r="D640" s="1186">
        <v>5</v>
      </c>
      <c r="E640" s="1186">
        <v>5</v>
      </c>
      <c r="F640" s="1186"/>
      <c r="G640" s="1186"/>
      <c r="H640" s="1186"/>
      <c r="I640" s="1186"/>
      <c r="J640" s="1186"/>
      <c r="K640" s="1186"/>
    </row>
    <row r="641" spans="1:11" x14ac:dyDescent="0.2">
      <c r="A641" s="1186" t="s">
        <v>495</v>
      </c>
      <c r="B641" s="1186" t="s">
        <v>282</v>
      </c>
      <c r="C641" s="1186" t="s">
        <v>48</v>
      </c>
      <c r="D641" s="1186">
        <v>231</v>
      </c>
      <c r="E641" s="1186">
        <v>205</v>
      </c>
      <c r="F641" s="1186">
        <v>25</v>
      </c>
      <c r="G641" s="1186">
        <v>1</v>
      </c>
      <c r="H641" s="1186"/>
      <c r="I641" s="1186"/>
      <c r="J641" s="1186"/>
      <c r="K641" s="1186"/>
    </row>
    <row r="642" spans="1:11" x14ac:dyDescent="0.2">
      <c r="A642" s="1186" t="s">
        <v>495</v>
      </c>
      <c r="B642" s="1186" t="s">
        <v>282</v>
      </c>
      <c r="C642" s="1186" t="s">
        <v>49</v>
      </c>
      <c r="D642" s="1186">
        <v>891</v>
      </c>
      <c r="E642" s="1186">
        <v>779</v>
      </c>
      <c r="F642" s="1186">
        <v>98</v>
      </c>
      <c r="G642" s="1186">
        <v>13</v>
      </c>
      <c r="H642" s="1186"/>
      <c r="I642" s="1186"/>
      <c r="J642" s="1186"/>
      <c r="K642" s="1186">
        <v>1</v>
      </c>
    </row>
    <row r="643" spans="1:11" x14ac:dyDescent="0.2">
      <c r="A643" s="1186" t="s">
        <v>495</v>
      </c>
      <c r="B643" s="1186" t="s">
        <v>282</v>
      </c>
      <c r="C643" s="1186" t="s">
        <v>50</v>
      </c>
      <c r="D643" s="1186">
        <v>183</v>
      </c>
      <c r="E643" s="1186">
        <v>167</v>
      </c>
      <c r="F643" s="1186">
        <v>14</v>
      </c>
      <c r="G643" s="1186">
        <v>2</v>
      </c>
      <c r="H643" s="1186"/>
      <c r="I643" s="1186"/>
      <c r="J643" s="1186"/>
      <c r="K643" s="1186"/>
    </row>
    <row r="644" spans="1:11" x14ac:dyDescent="0.2">
      <c r="A644" s="1186" t="s">
        <v>495</v>
      </c>
      <c r="B644" s="1186" t="s">
        <v>282</v>
      </c>
      <c r="C644" s="1186" t="s">
        <v>51</v>
      </c>
      <c r="D644" s="1186">
        <v>424</v>
      </c>
      <c r="E644" s="1186">
        <v>361</v>
      </c>
      <c r="F644" s="1186">
        <v>44</v>
      </c>
      <c r="G644" s="1186">
        <v>18</v>
      </c>
      <c r="H644" s="1186"/>
      <c r="I644" s="1186"/>
      <c r="J644" s="1186"/>
      <c r="K644" s="1186">
        <v>1</v>
      </c>
    </row>
    <row r="645" spans="1:11" x14ac:dyDescent="0.2">
      <c r="A645" s="1186" t="s">
        <v>495</v>
      </c>
      <c r="B645" s="1186" t="s">
        <v>282</v>
      </c>
      <c r="C645" s="1186" t="s">
        <v>52</v>
      </c>
      <c r="D645" s="1186">
        <v>681</v>
      </c>
      <c r="E645" s="1186">
        <v>633</v>
      </c>
      <c r="F645" s="1186">
        <v>44</v>
      </c>
      <c r="G645" s="1186">
        <v>4</v>
      </c>
      <c r="H645" s="1186"/>
      <c r="I645" s="1186"/>
      <c r="J645" s="1186"/>
      <c r="K645" s="1186"/>
    </row>
    <row r="646" spans="1:11" x14ac:dyDescent="0.2">
      <c r="A646" s="1186" t="s">
        <v>495</v>
      </c>
      <c r="B646" s="1186" t="s">
        <v>311</v>
      </c>
      <c r="C646" s="1186" t="s">
        <v>23</v>
      </c>
      <c r="D646" s="1186">
        <v>340</v>
      </c>
      <c r="E646" s="1186">
        <v>316</v>
      </c>
      <c r="F646" s="1186">
        <v>18</v>
      </c>
      <c r="G646" s="1186">
        <v>6</v>
      </c>
      <c r="H646" s="1186"/>
      <c r="I646" s="1186"/>
      <c r="J646" s="1186"/>
      <c r="K646" s="1186"/>
    </row>
    <row r="647" spans="1:11" x14ac:dyDescent="0.2">
      <c r="A647" s="1186" t="s">
        <v>495</v>
      </c>
      <c r="B647" s="1186" t="s">
        <v>311</v>
      </c>
      <c r="C647" s="1186" t="s">
        <v>24</v>
      </c>
      <c r="D647" s="1186">
        <v>215</v>
      </c>
      <c r="E647" s="1186">
        <v>184</v>
      </c>
      <c r="F647" s="1186">
        <v>26</v>
      </c>
      <c r="G647" s="1186">
        <v>5</v>
      </c>
      <c r="H647" s="1186"/>
      <c r="I647" s="1186"/>
      <c r="J647" s="1186"/>
      <c r="K647" s="1186"/>
    </row>
    <row r="648" spans="1:11" x14ac:dyDescent="0.2">
      <c r="A648" s="1186" t="s">
        <v>495</v>
      </c>
      <c r="B648" s="1186" t="s">
        <v>311</v>
      </c>
      <c r="C648" s="1186" t="s">
        <v>25</v>
      </c>
      <c r="D648" s="1186">
        <v>180</v>
      </c>
      <c r="E648" s="1186">
        <v>161</v>
      </c>
      <c r="F648" s="1186">
        <v>12</v>
      </c>
      <c r="G648" s="1186">
        <v>7</v>
      </c>
      <c r="H648" s="1186"/>
      <c r="I648" s="1186"/>
      <c r="J648" s="1186"/>
      <c r="K648" s="1186"/>
    </row>
    <row r="649" spans="1:11" x14ac:dyDescent="0.2">
      <c r="A649" s="1186" t="s">
        <v>495</v>
      </c>
      <c r="B649" s="1186" t="s">
        <v>311</v>
      </c>
      <c r="C649" s="1186" t="s">
        <v>26</v>
      </c>
      <c r="D649" s="1186">
        <v>80</v>
      </c>
      <c r="E649" s="1186">
        <v>57</v>
      </c>
      <c r="F649" s="1186">
        <v>21</v>
      </c>
      <c r="G649" s="1186">
        <v>2</v>
      </c>
      <c r="H649" s="1186"/>
      <c r="I649" s="1186"/>
      <c r="J649" s="1186"/>
      <c r="K649" s="1186"/>
    </row>
    <row r="650" spans="1:11" x14ac:dyDescent="0.2">
      <c r="A650" s="1186" t="s">
        <v>495</v>
      </c>
      <c r="B650" s="1186" t="s">
        <v>311</v>
      </c>
      <c r="C650" s="1186" t="s">
        <v>619</v>
      </c>
      <c r="D650" s="1186">
        <v>1789</v>
      </c>
      <c r="E650" s="1186">
        <v>1675</v>
      </c>
      <c r="F650" s="1186">
        <v>85</v>
      </c>
      <c r="G650" s="1186">
        <v>28</v>
      </c>
      <c r="H650" s="1186"/>
      <c r="I650" s="1186"/>
      <c r="J650" s="1186"/>
      <c r="K650" s="1186">
        <v>1</v>
      </c>
    </row>
    <row r="651" spans="1:11" x14ac:dyDescent="0.2">
      <c r="A651" s="1186" t="s">
        <v>495</v>
      </c>
      <c r="B651" s="1186" t="s">
        <v>311</v>
      </c>
      <c r="C651" s="1186" t="s">
        <v>27</v>
      </c>
      <c r="D651" s="1186">
        <v>110</v>
      </c>
      <c r="E651" s="1186">
        <v>95</v>
      </c>
      <c r="F651" s="1186">
        <v>13</v>
      </c>
      <c r="G651" s="1186">
        <v>2</v>
      </c>
      <c r="H651" s="1186"/>
      <c r="I651" s="1186"/>
      <c r="J651" s="1186"/>
      <c r="K651" s="1186"/>
    </row>
    <row r="652" spans="1:11" x14ac:dyDescent="0.2">
      <c r="A652" s="1186" t="s">
        <v>495</v>
      </c>
      <c r="B652" s="1186" t="s">
        <v>311</v>
      </c>
      <c r="C652" s="1186" t="s">
        <v>28</v>
      </c>
      <c r="D652" s="1186">
        <v>177</v>
      </c>
      <c r="E652" s="1186">
        <v>140</v>
      </c>
      <c r="F652" s="1186">
        <v>29</v>
      </c>
      <c r="G652" s="1186">
        <v>3</v>
      </c>
      <c r="H652" s="1186"/>
      <c r="I652" s="1186"/>
      <c r="J652" s="1186"/>
      <c r="K652" s="1186">
        <v>5</v>
      </c>
    </row>
    <row r="653" spans="1:11" x14ac:dyDescent="0.2">
      <c r="A653" s="1186" t="s">
        <v>495</v>
      </c>
      <c r="B653" s="1186" t="s">
        <v>311</v>
      </c>
      <c r="C653" s="1186" t="s">
        <v>29</v>
      </c>
      <c r="D653" s="1186">
        <v>773</v>
      </c>
      <c r="E653" s="1186">
        <v>743</v>
      </c>
      <c r="F653" s="1186">
        <v>24</v>
      </c>
      <c r="G653" s="1186">
        <v>5</v>
      </c>
      <c r="H653" s="1186"/>
      <c r="I653" s="1186"/>
      <c r="J653" s="1186"/>
      <c r="K653" s="1186">
        <v>1</v>
      </c>
    </row>
    <row r="654" spans="1:11" x14ac:dyDescent="0.2">
      <c r="A654" s="1186" t="s">
        <v>495</v>
      </c>
      <c r="B654" s="1186" t="s">
        <v>311</v>
      </c>
      <c r="C654" s="1186" t="s">
        <v>30</v>
      </c>
      <c r="D654" s="1186">
        <v>591</v>
      </c>
      <c r="E654" s="1186">
        <v>512</v>
      </c>
      <c r="F654" s="1186">
        <v>76</v>
      </c>
      <c r="G654" s="1186">
        <v>3</v>
      </c>
      <c r="H654" s="1186"/>
      <c r="I654" s="1186"/>
      <c r="J654" s="1186"/>
      <c r="K654" s="1186"/>
    </row>
    <row r="655" spans="1:11" x14ac:dyDescent="0.2">
      <c r="A655" s="1186" t="s">
        <v>495</v>
      </c>
      <c r="B655" s="1186" t="s">
        <v>311</v>
      </c>
      <c r="C655" s="1186" t="s">
        <v>31</v>
      </c>
      <c r="D655" s="1186">
        <v>175</v>
      </c>
      <c r="E655" s="1186">
        <v>157</v>
      </c>
      <c r="F655" s="1186">
        <v>17</v>
      </c>
      <c r="G655" s="1186">
        <v>1</v>
      </c>
      <c r="H655" s="1186"/>
      <c r="I655" s="1186"/>
      <c r="J655" s="1186"/>
      <c r="K655" s="1186"/>
    </row>
    <row r="656" spans="1:11" x14ac:dyDescent="0.2">
      <c r="A656" s="1186" t="s">
        <v>495</v>
      </c>
      <c r="B656" s="1186" t="s">
        <v>311</v>
      </c>
      <c r="C656" s="1186" t="s">
        <v>32</v>
      </c>
      <c r="D656" s="1186">
        <v>244</v>
      </c>
      <c r="E656" s="1186">
        <v>225</v>
      </c>
      <c r="F656" s="1186">
        <v>19</v>
      </c>
      <c r="G656" s="1186"/>
      <c r="H656" s="1186"/>
      <c r="I656" s="1186"/>
      <c r="J656" s="1186"/>
      <c r="K656" s="1186"/>
    </row>
    <row r="657" spans="1:11" x14ac:dyDescent="0.2">
      <c r="A657" s="1186" t="s">
        <v>495</v>
      </c>
      <c r="B657" s="1186" t="s">
        <v>311</v>
      </c>
      <c r="C657" s="1186" t="s">
        <v>33</v>
      </c>
      <c r="D657" s="1186">
        <v>165</v>
      </c>
      <c r="E657" s="1186">
        <v>129</v>
      </c>
      <c r="F657" s="1186">
        <v>28</v>
      </c>
      <c r="G657" s="1186">
        <v>8</v>
      </c>
      <c r="H657" s="1186"/>
      <c r="I657" s="1186"/>
      <c r="J657" s="1186"/>
      <c r="K657" s="1186"/>
    </row>
    <row r="658" spans="1:11" x14ac:dyDescent="0.2">
      <c r="A658" s="1186" t="s">
        <v>495</v>
      </c>
      <c r="B658" s="1186" t="s">
        <v>311</v>
      </c>
      <c r="C658" s="1186" t="s">
        <v>34</v>
      </c>
      <c r="D658" s="1186">
        <v>427</v>
      </c>
      <c r="E658" s="1186">
        <v>384</v>
      </c>
      <c r="F658" s="1186">
        <v>37</v>
      </c>
      <c r="G658" s="1186">
        <v>5</v>
      </c>
      <c r="H658" s="1186"/>
      <c r="I658" s="1186"/>
      <c r="J658" s="1186"/>
      <c r="K658" s="1186">
        <v>1</v>
      </c>
    </row>
    <row r="659" spans="1:11" x14ac:dyDescent="0.2">
      <c r="A659" s="1186" t="s">
        <v>495</v>
      </c>
      <c r="B659" s="1186" t="s">
        <v>311</v>
      </c>
      <c r="C659" s="1186" t="s">
        <v>35</v>
      </c>
      <c r="D659" s="1186">
        <v>947</v>
      </c>
      <c r="E659" s="1186">
        <v>816</v>
      </c>
      <c r="F659" s="1186">
        <v>120</v>
      </c>
      <c r="G659" s="1186">
        <v>10</v>
      </c>
      <c r="H659" s="1186"/>
      <c r="I659" s="1186"/>
      <c r="J659" s="1186"/>
      <c r="K659" s="1186">
        <v>1</v>
      </c>
    </row>
    <row r="660" spans="1:11" x14ac:dyDescent="0.2">
      <c r="A660" s="1186" t="s">
        <v>495</v>
      </c>
      <c r="B660" s="1186" t="s">
        <v>311</v>
      </c>
      <c r="C660" s="1186" t="s">
        <v>36</v>
      </c>
      <c r="D660" s="1186">
        <v>2350</v>
      </c>
      <c r="E660" s="1186">
        <v>2009</v>
      </c>
      <c r="F660" s="1186">
        <v>220</v>
      </c>
      <c r="G660" s="1186">
        <v>120</v>
      </c>
      <c r="H660" s="1186"/>
      <c r="I660" s="1186"/>
      <c r="J660" s="1186"/>
      <c r="K660" s="1186">
        <v>1</v>
      </c>
    </row>
    <row r="661" spans="1:11" x14ac:dyDescent="0.2">
      <c r="A661" s="1186" t="s">
        <v>495</v>
      </c>
      <c r="B661" s="1186" t="s">
        <v>311</v>
      </c>
      <c r="C661" s="1186" t="s">
        <v>37</v>
      </c>
      <c r="D661" s="1186">
        <v>467</v>
      </c>
      <c r="E661" s="1186">
        <v>368</v>
      </c>
      <c r="F661" s="1186">
        <v>72</v>
      </c>
      <c r="G661" s="1186">
        <v>27</v>
      </c>
      <c r="H661" s="1186"/>
      <c r="I661" s="1186"/>
      <c r="J661" s="1186"/>
      <c r="K661" s="1186"/>
    </row>
    <row r="662" spans="1:11" x14ac:dyDescent="0.2">
      <c r="A662" s="1186" t="s">
        <v>495</v>
      </c>
      <c r="B662" s="1186" t="s">
        <v>311</v>
      </c>
      <c r="C662" s="1186" t="s">
        <v>38</v>
      </c>
      <c r="D662" s="1186">
        <v>348</v>
      </c>
      <c r="E662" s="1186">
        <v>306</v>
      </c>
      <c r="F662" s="1186">
        <v>37</v>
      </c>
      <c r="G662" s="1186">
        <v>5</v>
      </c>
      <c r="H662" s="1186"/>
      <c r="I662" s="1186"/>
      <c r="J662" s="1186"/>
      <c r="K662" s="1186"/>
    </row>
    <row r="663" spans="1:11" x14ac:dyDescent="0.2">
      <c r="A663" s="1186" t="s">
        <v>495</v>
      </c>
      <c r="B663" s="1186" t="s">
        <v>311</v>
      </c>
      <c r="C663" s="1186" t="s">
        <v>39</v>
      </c>
      <c r="D663" s="1186">
        <v>390</v>
      </c>
      <c r="E663" s="1186">
        <v>367</v>
      </c>
      <c r="F663" s="1186">
        <v>22</v>
      </c>
      <c r="G663" s="1186">
        <v>1</v>
      </c>
      <c r="H663" s="1186"/>
      <c r="I663" s="1186"/>
      <c r="J663" s="1186"/>
      <c r="K663" s="1186"/>
    </row>
    <row r="664" spans="1:11" x14ac:dyDescent="0.2">
      <c r="A664" s="1186" t="s">
        <v>495</v>
      </c>
      <c r="B664" s="1186" t="s">
        <v>311</v>
      </c>
      <c r="C664" s="1186" t="s">
        <v>40</v>
      </c>
      <c r="D664" s="1186">
        <v>82</v>
      </c>
      <c r="E664" s="1186">
        <v>66</v>
      </c>
      <c r="F664" s="1186">
        <v>12</v>
      </c>
      <c r="G664" s="1186">
        <v>4</v>
      </c>
      <c r="H664" s="1186"/>
      <c r="I664" s="1186"/>
      <c r="J664" s="1186"/>
      <c r="K664" s="1186"/>
    </row>
    <row r="665" spans="1:11" x14ac:dyDescent="0.2">
      <c r="A665" s="1186" t="s">
        <v>495</v>
      </c>
      <c r="B665" s="1186" t="s">
        <v>311</v>
      </c>
      <c r="C665" s="1186" t="s">
        <v>295</v>
      </c>
      <c r="D665" s="1186">
        <v>65</v>
      </c>
      <c r="E665" s="1186">
        <v>50</v>
      </c>
      <c r="F665" s="1186">
        <v>11</v>
      </c>
      <c r="G665" s="1186">
        <v>4</v>
      </c>
      <c r="H665" s="1186"/>
      <c r="I665" s="1186"/>
      <c r="J665" s="1186"/>
      <c r="K665" s="1186"/>
    </row>
    <row r="666" spans="1:11" x14ac:dyDescent="0.2">
      <c r="A666" s="1186" t="s">
        <v>495</v>
      </c>
      <c r="B666" s="1186" t="s">
        <v>311</v>
      </c>
      <c r="C666" s="1186" t="s">
        <v>41</v>
      </c>
      <c r="D666" s="1186">
        <v>569</v>
      </c>
      <c r="E666" s="1186">
        <v>500</v>
      </c>
      <c r="F666" s="1186">
        <v>56</v>
      </c>
      <c r="G666" s="1186">
        <v>13</v>
      </c>
      <c r="H666" s="1186"/>
      <c r="I666" s="1186"/>
      <c r="J666" s="1186"/>
      <c r="K666" s="1186"/>
    </row>
    <row r="667" spans="1:11" x14ac:dyDescent="0.2">
      <c r="A667" s="1186" t="s">
        <v>495</v>
      </c>
      <c r="B667" s="1186" t="s">
        <v>311</v>
      </c>
      <c r="C667" s="1186" t="s">
        <v>42</v>
      </c>
      <c r="D667" s="1186">
        <v>1206</v>
      </c>
      <c r="E667" s="1186">
        <v>1036</v>
      </c>
      <c r="F667" s="1186">
        <v>145</v>
      </c>
      <c r="G667" s="1186">
        <v>25</v>
      </c>
      <c r="H667" s="1186"/>
      <c r="I667" s="1186"/>
      <c r="J667" s="1186"/>
      <c r="K667" s="1186"/>
    </row>
    <row r="668" spans="1:11" x14ac:dyDescent="0.2">
      <c r="A668" s="1186" t="s">
        <v>495</v>
      </c>
      <c r="B668" s="1186" t="s">
        <v>311</v>
      </c>
      <c r="C668" s="1186" t="s">
        <v>43</v>
      </c>
      <c r="D668" s="1186">
        <v>9</v>
      </c>
      <c r="E668" s="1186">
        <v>9</v>
      </c>
      <c r="F668" s="1186"/>
      <c r="G668" s="1186"/>
      <c r="H668" s="1186"/>
      <c r="I668" s="1186"/>
      <c r="J668" s="1186"/>
      <c r="K668" s="1186"/>
    </row>
    <row r="669" spans="1:11" x14ac:dyDescent="0.2">
      <c r="A669" s="1186" t="s">
        <v>495</v>
      </c>
      <c r="B669" s="1186" t="s">
        <v>311</v>
      </c>
      <c r="C669" s="1186" t="s">
        <v>44</v>
      </c>
      <c r="D669" s="1186">
        <v>181</v>
      </c>
      <c r="E669" s="1186">
        <v>166</v>
      </c>
      <c r="F669" s="1186">
        <v>12</v>
      </c>
      <c r="G669" s="1186">
        <v>3</v>
      </c>
      <c r="H669" s="1186"/>
      <c r="I669" s="1186"/>
      <c r="J669" s="1186"/>
      <c r="K669" s="1186"/>
    </row>
    <row r="670" spans="1:11" x14ac:dyDescent="0.2">
      <c r="A670" s="1186" t="s">
        <v>495</v>
      </c>
      <c r="B670" s="1186" t="s">
        <v>311</v>
      </c>
      <c r="C670" s="1186" t="s">
        <v>45</v>
      </c>
      <c r="D670" s="1186">
        <v>502</v>
      </c>
      <c r="E670" s="1186">
        <v>409</v>
      </c>
      <c r="F670" s="1186">
        <v>73</v>
      </c>
      <c r="G670" s="1186">
        <v>20</v>
      </c>
      <c r="H670" s="1186"/>
      <c r="I670" s="1186"/>
      <c r="J670" s="1186"/>
      <c r="K670" s="1186"/>
    </row>
    <row r="671" spans="1:11" x14ac:dyDescent="0.2">
      <c r="A671" s="1186" t="s">
        <v>495</v>
      </c>
      <c r="B671" s="1186" t="s">
        <v>311</v>
      </c>
      <c r="C671" s="1186" t="s">
        <v>46</v>
      </c>
      <c r="D671" s="1186">
        <v>131</v>
      </c>
      <c r="E671" s="1186">
        <v>111</v>
      </c>
      <c r="F671" s="1186">
        <v>17</v>
      </c>
      <c r="G671" s="1186">
        <v>3</v>
      </c>
      <c r="H671" s="1186"/>
      <c r="I671" s="1186"/>
      <c r="J671" s="1186"/>
      <c r="K671" s="1186"/>
    </row>
    <row r="672" spans="1:11" x14ac:dyDescent="0.2">
      <c r="A672" s="1186" t="s">
        <v>495</v>
      </c>
      <c r="B672" s="1186" t="s">
        <v>311</v>
      </c>
      <c r="C672" s="1186" t="s">
        <v>47</v>
      </c>
      <c r="D672" s="1186">
        <v>11</v>
      </c>
      <c r="E672" s="1186">
        <v>9</v>
      </c>
      <c r="F672" s="1186">
        <v>2</v>
      </c>
      <c r="G672" s="1186"/>
      <c r="H672" s="1186"/>
      <c r="I672" s="1186"/>
      <c r="J672" s="1186"/>
      <c r="K672" s="1186"/>
    </row>
    <row r="673" spans="1:11" x14ac:dyDescent="0.2">
      <c r="A673" s="1186" t="s">
        <v>495</v>
      </c>
      <c r="B673" s="1186" t="s">
        <v>311</v>
      </c>
      <c r="C673" s="1186" t="s">
        <v>48</v>
      </c>
      <c r="D673" s="1186">
        <v>251</v>
      </c>
      <c r="E673" s="1186">
        <v>230</v>
      </c>
      <c r="F673" s="1186">
        <v>18</v>
      </c>
      <c r="G673" s="1186">
        <v>2</v>
      </c>
      <c r="H673" s="1186"/>
      <c r="I673" s="1186"/>
      <c r="J673" s="1186"/>
      <c r="K673" s="1186">
        <v>1</v>
      </c>
    </row>
    <row r="674" spans="1:11" x14ac:dyDescent="0.2">
      <c r="A674" s="1186" t="s">
        <v>495</v>
      </c>
      <c r="B674" s="1186" t="s">
        <v>311</v>
      </c>
      <c r="C674" s="1186" t="s">
        <v>49</v>
      </c>
      <c r="D674" s="1186">
        <v>797</v>
      </c>
      <c r="E674" s="1186">
        <v>668</v>
      </c>
      <c r="F674" s="1186">
        <v>115</v>
      </c>
      <c r="G674" s="1186">
        <v>14</v>
      </c>
      <c r="H674" s="1186"/>
      <c r="I674" s="1186"/>
      <c r="J674" s="1186"/>
      <c r="K674" s="1186"/>
    </row>
    <row r="675" spans="1:11" x14ac:dyDescent="0.2">
      <c r="A675" s="1186" t="s">
        <v>495</v>
      </c>
      <c r="B675" s="1186" t="s">
        <v>311</v>
      </c>
      <c r="C675" s="1186" t="s">
        <v>50</v>
      </c>
      <c r="D675" s="1186">
        <v>169</v>
      </c>
      <c r="E675" s="1186">
        <v>152</v>
      </c>
      <c r="F675" s="1186">
        <v>12</v>
      </c>
      <c r="G675" s="1186">
        <v>5</v>
      </c>
      <c r="H675" s="1186"/>
      <c r="I675" s="1186"/>
      <c r="J675" s="1186"/>
      <c r="K675" s="1186"/>
    </row>
    <row r="676" spans="1:11" x14ac:dyDescent="0.2">
      <c r="A676" s="1186" t="s">
        <v>495</v>
      </c>
      <c r="B676" s="1186" t="s">
        <v>311</v>
      </c>
      <c r="C676" s="1186" t="s">
        <v>51</v>
      </c>
      <c r="D676" s="1186">
        <v>241</v>
      </c>
      <c r="E676" s="1186">
        <v>207</v>
      </c>
      <c r="F676" s="1186">
        <v>31</v>
      </c>
      <c r="G676" s="1186">
        <v>3</v>
      </c>
      <c r="H676" s="1186"/>
      <c r="I676" s="1186"/>
      <c r="J676" s="1186"/>
      <c r="K676" s="1186"/>
    </row>
    <row r="677" spans="1:11" x14ac:dyDescent="0.2">
      <c r="A677" s="1186" t="s">
        <v>495</v>
      </c>
      <c r="B677" s="1186" t="s">
        <v>311</v>
      </c>
      <c r="C677" s="1186" t="s">
        <v>52</v>
      </c>
      <c r="D677" s="1186">
        <v>721</v>
      </c>
      <c r="E677" s="1186">
        <v>670</v>
      </c>
      <c r="F677" s="1186">
        <v>45</v>
      </c>
      <c r="G677" s="1186">
        <v>6</v>
      </c>
      <c r="H677" s="1186"/>
      <c r="I677" s="1186"/>
      <c r="J677" s="1186"/>
      <c r="K677" s="1186"/>
    </row>
    <row r="678" spans="1:11" x14ac:dyDescent="0.2">
      <c r="A678" s="1186" t="s">
        <v>495</v>
      </c>
      <c r="B678" s="1186" t="s">
        <v>621</v>
      </c>
      <c r="C678" s="1186" t="s">
        <v>23</v>
      </c>
      <c r="D678" s="1186">
        <v>527</v>
      </c>
      <c r="E678" s="1186">
        <v>454</v>
      </c>
      <c r="F678" s="1186">
        <v>31</v>
      </c>
      <c r="G678" s="1186">
        <v>39</v>
      </c>
      <c r="H678" s="1186"/>
      <c r="I678" s="1186"/>
      <c r="J678" s="1186"/>
      <c r="K678" s="1186">
        <v>3</v>
      </c>
    </row>
    <row r="679" spans="1:11" x14ac:dyDescent="0.2">
      <c r="A679" s="1186" t="s">
        <v>495</v>
      </c>
      <c r="B679" s="1186" t="s">
        <v>621</v>
      </c>
      <c r="C679" s="1186" t="s">
        <v>24</v>
      </c>
      <c r="D679" s="1186">
        <v>335</v>
      </c>
      <c r="E679" s="1186">
        <v>264</v>
      </c>
      <c r="F679" s="1186">
        <v>53</v>
      </c>
      <c r="G679" s="1186">
        <v>18</v>
      </c>
      <c r="H679" s="1186"/>
      <c r="I679" s="1186"/>
      <c r="J679" s="1186"/>
      <c r="K679" s="1186"/>
    </row>
    <row r="680" spans="1:11" x14ac:dyDescent="0.2">
      <c r="A680" s="1186" t="s">
        <v>495</v>
      </c>
      <c r="B680" s="1186" t="s">
        <v>621</v>
      </c>
      <c r="C680" s="1186" t="s">
        <v>25</v>
      </c>
      <c r="D680" s="1186">
        <v>200</v>
      </c>
      <c r="E680" s="1186">
        <v>173</v>
      </c>
      <c r="F680" s="1186">
        <v>18</v>
      </c>
      <c r="G680" s="1186">
        <v>9</v>
      </c>
      <c r="H680" s="1186"/>
      <c r="I680" s="1186"/>
      <c r="J680" s="1186"/>
      <c r="K680" s="1186"/>
    </row>
    <row r="681" spans="1:11" x14ac:dyDescent="0.2">
      <c r="A681" s="1186" t="s">
        <v>495</v>
      </c>
      <c r="B681" s="1186" t="s">
        <v>621</v>
      </c>
      <c r="C681" s="1186" t="s">
        <v>26</v>
      </c>
      <c r="D681" s="1186">
        <v>120</v>
      </c>
      <c r="E681" s="1186">
        <v>93</v>
      </c>
      <c r="F681" s="1186">
        <v>19</v>
      </c>
      <c r="G681" s="1186">
        <v>7</v>
      </c>
      <c r="H681" s="1186"/>
      <c r="I681" s="1186"/>
      <c r="J681" s="1186"/>
      <c r="K681" s="1186">
        <v>1</v>
      </c>
    </row>
    <row r="682" spans="1:11" x14ac:dyDescent="0.2">
      <c r="A682" s="1186" t="s">
        <v>495</v>
      </c>
      <c r="B682" s="1186" t="s">
        <v>621</v>
      </c>
      <c r="C682" s="1186" t="s">
        <v>619</v>
      </c>
      <c r="D682" s="1186">
        <v>1845</v>
      </c>
      <c r="E682" s="1186">
        <v>1704</v>
      </c>
      <c r="F682" s="1186">
        <v>105</v>
      </c>
      <c r="G682" s="1186">
        <v>33</v>
      </c>
      <c r="H682" s="1186"/>
      <c r="I682" s="1186"/>
      <c r="J682" s="1186"/>
      <c r="K682" s="1186">
        <v>3</v>
      </c>
    </row>
    <row r="683" spans="1:11" x14ac:dyDescent="0.2">
      <c r="A683" s="1186" t="s">
        <v>495</v>
      </c>
      <c r="B683" s="1186" t="s">
        <v>621</v>
      </c>
      <c r="C683" s="1186" t="s">
        <v>27</v>
      </c>
      <c r="D683" s="1186">
        <v>88</v>
      </c>
      <c r="E683" s="1186">
        <v>75</v>
      </c>
      <c r="F683" s="1186">
        <v>11</v>
      </c>
      <c r="G683" s="1186">
        <v>2</v>
      </c>
      <c r="H683" s="1186"/>
      <c r="I683" s="1186"/>
      <c r="J683" s="1186"/>
      <c r="K683" s="1186"/>
    </row>
    <row r="684" spans="1:11" x14ac:dyDescent="0.2">
      <c r="A684" s="1186" t="s">
        <v>495</v>
      </c>
      <c r="B684" s="1186" t="s">
        <v>621</v>
      </c>
      <c r="C684" s="1186" t="s">
        <v>28</v>
      </c>
      <c r="D684" s="1186">
        <v>198</v>
      </c>
      <c r="E684" s="1186">
        <v>165</v>
      </c>
      <c r="F684" s="1186">
        <v>29</v>
      </c>
      <c r="G684" s="1186">
        <v>2</v>
      </c>
      <c r="H684" s="1186"/>
      <c r="I684" s="1186"/>
      <c r="J684" s="1186"/>
      <c r="K684" s="1186">
        <v>2</v>
      </c>
    </row>
    <row r="685" spans="1:11" x14ac:dyDescent="0.2">
      <c r="A685" s="1186" t="s">
        <v>495</v>
      </c>
      <c r="B685" s="1186" t="s">
        <v>621</v>
      </c>
      <c r="C685" s="1186" t="s">
        <v>29</v>
      </c>
      <c r="D685" s="1186">
        <v>604</v>
      </c>
      <c r="E685" s="1186">
        <v>567</v>
      </c>
      <c r="F685" s="1186">
        <v>34</v>
      </c>
      <c r="G685" s="1186">
        <v>2</v>
      </c>
      <c r="H685" s="1186"/>
      <c r="I685" s="1186"/>
      <c r="J685" s="1186"/>
      <c r="K685" s="1186">
        <v>1</v>
      </c>
    </row>
    <row r="686" spans="1:11" x14ac:dyDescent="0.2">
      <c r="A686" s="1186" t="s">
        <v>495</v>
      </c>
      <c r="B686" s="1186" t="s">
        <v>621</v>
      </c>
      <c r="C686" s="1186" t="s">
        <v>30</v>
      </c>
      <c r="D686" s="1186">
        <v>586</v>
      </c>
      <c r="E686" s="1186">
        <v>518</v>
      </c>
      <c r="F686" s="1186">
        <v>63</v>
      </c>
      <c r="G686" s="1186">
        <v>5</v>
      </c>
      <c r="H686" s="1186"/>
      <c r="I686" s="1186"/>
      <c r="J686" s="1186"/>
      <c r="K686" s="1186"/>
    </row>
    <row r="687" spans="1:11" x14ac:dyDescent="0.2">
      <c r="A687" s="1186" t="s">
        <v>495</v>
      </c>
      <c r="B687" s="1186" t="s">
        <v>621</v>
      </c>
      <c r="C687" s="1186" t="s">
        <v>31</v>
      </c>
      <c r="D687" s="1186">
        <v>232</v>
      </c>
      <c r="E687" s="1186">
        <v>214</v>
      </c>
      <c r="F687" s="1186">
        <v>16</v>
      </c>
      <c r="G687" s="1186">
        <v>2</v>
      </c>
      <c r="H687" s="1186"/>
      <c r="I687" s="1186"/>
      <c r="J687" s="1186"/>
      <c r="K687" s="1186"/>
    </row>
    <row r="688" spans="1:11" x14ac:dyDescent="0.2">
      <c r="A688" s="1186" t="s">
        <v>495</v>
      </c>
      <c r="B688" s="1186" t="s">
        <v>621</v>
      </c>
      <c r="C688" s="1186" t="s">
        <v>32</v>
      </c>
      <c r="D688" s="1186">
        <v>302</v>
      </c>
      <c r="E688" s="1186">
        <v>274</v>
      </c>
      <c r="F688" s="1186">
        <v>25</v>
      </c>
      <c r="G688" s="1186">
        <v>3</v>
      </c>
      <c r="H688" s="1186"/>
      <c r="I688" s="1186"/>
      <c r="J688" s="1186"/>
      <c r="K688" s="1186"/>
    </row>
    <row r="689" spans="1:11" x14ac:dyDescent="0.2">
      <c r="A689" s="1186" t="s">
        <v>495</v>
      </c>
      <c r="B689" s="1186" t="s">
        <v>621</v>
      </c>
      <c r="C689" s="1186" t="s">
        <v>33</v>
      </c>
      <c r="D689" s="1186">
        <v>123</v>
      </c>
      <c r="E689" s="1186">
        <v>111</v>
      </c>
      <c r="F689" s="1186">
        <v>11</v>
      </c>
      <c r="G689" s="1186">
        <v>1</v>
      </c>
      <c r="H689" s="1186"/>
      <c r="I689" s="1186"/>
      <c r="J689" s="1186"/>
      <c r="K689" s="1186"/>
    </row>
    <row r="690" spans="1:11" x14ac:dyDescent="0.2">
      <c r="A690" s="1186" t="s">
        <v>495</v>
      </c>
      <c r="B690" s="1186" t="s">
        <v>621</v>
      </c>
      <c r="C690" s="1186" t="s">
        <v>34</v>
      </c>
      <c r="D690" s="1186">
        <v>359</v>
      </c>
      <c r="E690" s="1186">
        <v>336</v>
      </c>
      <c r="F690" s="1186">
        <v>23</v>
      </c>
      <c r="G690" s="1186"/>
      <c r="H690" s="1186"/>
      <c r="I690" s="1186"/>
      <c r="J690" s="1186"/>
      <c r="K690" s="1186"/>
    </row>
    <row r="691" spans="1:11" x14ac:dyDescent="0.2">
      <c r="A691" s="1186" t="s">
        <v>495</v>
      </c>
      <c r="B691" s="1186" t="s">
        <v>621</v>
      </c>
      <c r="C691" s="1186" t="s">
        <v>35</v>
      </c>
      <c r="D691" s="1186">
        <v>1030</v>
      </c>
      <c r="E691" s="1186">
        <v>933</v>
      </c>
      <c r="F691" s="1186">
        <v>88</v>
      </c>
      <c r="G691" s="1186">
        <v>8</v>
      </c>
      <c r="H691" s="1186">
        <v>1</v>
      </c>
      <c r="I691" s="1186"/>
      <c r="J691" s="1186"/>
      <c r="K691" s="1186"/>
    </row>
    <row r="692" spans="1:11" x14ac:dyDescent="0.2">
      <c r="A692" s="1186" t="s">
        <v>495</v>
      </c>
      <c r="B692" s="1186" t="s">
        <v>621</v>
      </c>
      <c r="C692" s="1186" t="s">
        <v>36</v>
      </c>
      <c r="D692" s="1186">
        <v>2500</v>
      </c>
      <c r="E692" s="1186">
        <v>2195</v>
      </c>
      <c r="F692" s="1186">
        <v>198</v>
      </c>
      <c r="G692" s="1186">
        <v>103</v>
      </c>
      <c r="H692" s="1186"/>
      <c r="I692" s="1186"/>
      <c r="J692" s="1186"/>
      <c r="K692" s="1186">
        <v>4</v>
      </c>
    </row>
    <row r="693" spans="1:11" x14ac:dyDescent="0.2">
      <c r="A693" s="1186" t="s">
        <v>495</v>
      </c>
      <c r="B693" s="1186" t="s">
        <v>621</v>
      </c>
      <c r="C693" s="1186" t="s">
        <v>37</v>
      </c>
      <c r="D693" s="1186">
        <v>520</v>
      </c>
      <c r="E693" s="1186">
        <v>427</v>
      </c>
      <c r="F693" s="1186">
        <v>72</v>
      </c>
      <c r="G693" s="1186">
        <v>21</v>
      </c>
      <c r="H693" s="1186"/>
      <c r="I693" s="1186"/>
      <c r="J693" s="1186"/>
      <c r="K693" s="1186"/>
    </row>
    <row r="694" spans="1:11" x14ac:dyDescent="0.2">
      <c r="A694" s="1186" t="s">
        <v>495</v>
      </c>
      <c r="B694" s="1186" t="s">
        <v>621</v>
      </c>
      <c r="C694" s="1186" t="s">
        <v>38</v>
      </c>
      <c r="D694" s="1186">
        <v>372</v>
      </c>
      <c r="E694" s="1186">
        <v>322</v>
      </c>
      <c r="F694" s="1186">
        <v>44</v>
      </c>
      <c r="G694" s="1186">
        <v>5</v>
      </c>
      <c r="H694" s="1186"/>
      <c r="I694" s="1186"/>
      <c r="J694" s="1186"/>
      <c r="K694" s="1186">
        <v>1</v>
      </c>
    </row>
    <row r="695" spans="1:11" x14ac:dyDescent="0.2">
      <c r="A695" s="1186" t="s">
        <v>495</v>
      </c>
      <c r="B695" s="1186" t="s">
        <v>621</v>
      </c>
      <c r="C695" s="1186" t="s">
        <v>39</v>
      </c>
      <c r="D695" s="1186">
        <v>316</v>
      </c>
      <c r="E695" s="1186">
        <v>293</v>
      </c>
      <c r="F695" s="1186">
        <v>20</v>
      </c>
      <c r="G695" s="1186">
        <v>3</v>
      </c>
      <c r="H695" s="1186"/>
      <c r="I695" s="1186"/>
      <c r="J695" s="1186"/>
      <c r="K695" s="1186"/>
    </row>
    <row r="696" spans="1:11" x14ac:dyDescent="0.2">
      <c r="A696" s="1186" t="s">
        <v>495</v>
      </c>
      <c r="B696" s="1186" t="s">
        <v>621</v>
      </c>
      <c r="C696" s="1186" t="s">
        <v>40</v>
      </c>
      <c r="D696" s="1186">
        <v>237</v>
      </c>
      <c r="E696" s="1186">
        <v>171</v>
      </c>
      <c r="F696" s="1186">
        <v>45</v>
      </c>
      <c r="G696" s="1186">
        <v>21</v>
      </c>
      <c r="H696" s="1186"/>
      <c r="I696" s="1186"/>
      <c r="J696" s="1186"/>
      <c r="K696" s="1186"/>
    </row>
    <row r="697" spans="1:11" x14ac:dyDescent="0.2">
      <c r="A697" s="1186" t="s">
        <v>495</v>
      </c>
      <c r="B697" s="1186" t="s">
        <v>621</v>
      </c>
      <c r="C697" s="1186" t="s">
        <v>295</v>
      </c>
      <c r="D697" s="1186">
        <v>47</v>
      </c>
      <c r="E697" s="1186">
        <v>38</v>
      </c>
      <c r="F697" s="1186">
        <v>6</v>
      </c>
      <c r="G697" s="1186">
        <v>3</v>
      </c>
      <c r="H697" s="1186"/>
      <c r="I697" s="1186"/>
      <c r="J697" s="1186"/>
      <c r="K697" s="1186"/>
    </row>
    <row r="698" spans="1:11" x14ac:dyDescent="0.2">
      <c r="A698" s="1186" t="s">
        <v>495</v>
      </c>
      <c r="B698" s="1186" t="s">
        <v>621</v>
      </c>
      <c r="C698" s="1186" t="s">
        <v>41</v>
      </c>
      <c r="D698" s="1186">
        <v>588</v>
      </c>
      <c r="E698" s="1186">
        <v>520</v>
      </c>
      <c r="F698" s="1186">
        <v>49</v>
      </c>
      <c r="G698" s="1186">
        <v>19</v>
      </c>
      <c r="H698" s="1186"/>
      <c r="I698" s="1186"/>
      <c r="J698" s="1186"/>
      <c r="K698" s="1186"/>
    </row>
    <row r="699" spans="1:11" x14ac:dyDescent="0.2">
      <c r="A699" s="1186" t="s">
        <v>495</v>
      </c>
      <c r="B699" s="1186" t="s">
        <v>621</v>
      </c>
      <c r="C699" s="1186" t="s">
        <v>42</v>
      </c>
      <c r="D699" s="1186">
        <v>1293</v>
      </c>
      <c r="E699" s="1186">
        <v>1126</v>
      </c>
      <c r="F699" s="1186">
        <v>149</v>
      </c>
      <c r="G699" s="1186">
        <v>15</v>
      </c>
      <c r="H699" s="1186">
        <v>2</v>
      </c>
      <c r="I699" s="1186"/>
      <c r="J699" s="1186"/>
      <c r="K699" s="1186">
        <v>1</v>
      </c>
    </row>
    <row r="700" spans="1:11" x14ac:dyDescent="0.2">
      <c r="A700" s="1186" t="s">
        <v>495</v>
      </c>
      <c r="B700" s="1186" t="s">
        <v>621</v>
      </c>
      <c r="C700" s="1186" t="s">
        <v>43</v>
      </c>
      <c r="D700" s="1186">
        <v>22</v>
      </c>
      <c r="E700" s="1186">
        <v>17</v>
      </c>
      <c r="F700" s="1186">
        <v>3</v>
      </c>
      <c r="G700" s="1186">
        <v>2</v>
      </c>
      <c r="H700" s="1186"/>
      <c r="I700" s="1186"/>
      <c r="J700" s="1186"/>
      <c r="K700" s="1186"/>
    </row>
    <row r="701" spans="1:11" x14ac:dyDescent="0.2">
      <c r="A701" s="1186" t="s">
        <v>495</v>
      </c>
      <c r="B701" s="1186" t="s">
        <v>621</v>
      </c>
      <c r="C701" s="1186" t="s">
        <v>44</v>
      </c>
      <c r="D701" s="1186">
        <v>163</v>
      </c>
      <c r="E701" s="1186">
        <v>145</v>
      </c>
      <c r="F701" s="1186">
        <v>15</v>
      </c>
      <c r="G701" s="1186">
        <v>3</v>
      </c>
      <c r="H701" s="1186"/>
      <c r="I701" s="1186"/>
      <c r="J701" s="1186"/>
      <c r="K701" s="1186"/>
    </row>
    <row r="702" spans="1:11" x14ac:dyDescent="0.2">
      <c r="A702" s="1186" t="s">
        <v>495</v>
      </c>
      <c r="B702" s="1186" t="s">
        <v>621</v>
      </c>
      <c r="C702" s="1186" t="s">
        <v>45</v>
      </c>
      <c r="D702" s="1186">
        <v>617</v>
      </c>
      <c r="E702" s="1186">
        <v>534</v>
      </c>
      <c r="F702" s="1186">
        <v>63</v>
      </c>
      <c r="G702" s="1186">
        <v>20</v>
      </c>
      <c r="H702" s="1186"/>
      <c r="I702" s="1186"/>
      <c r="J702" s="1186"/>
      <c r="K702" s="1186"/>
    </row>
    <row r="703" spans="1:11" x14ac:dyDescent="0.2">
      <c r="A703" s="1186" t="s">
        <v>495</v>
      </c>
      <c r="B703" s="1186" t="s">
        <v>621</v>
      </c>
      <c r="C703" s="1186" t="s">
        <v>46</v>
      </c>
      <c r="D703" s="1186">
        <v>133</v>
      </c>
      <c r="E703" s="1186">
        <v>126</v>
      </c>
      <c r="F703" s="1186">
        <v>5</v>
      </c>
      <c r="G703" s="1186">
        <v>2</v>
      </c>
      <c r="H703" s="1186"/>
      <c r="I703" s="1186"/>
      <c r="J703" s="1186"/>
      <c r="K703" s="1186"/>
    </row>
    <row r="704" spans="1:11" x14ac:dyDescent="0.2">
      <c r="A704" s="1186" t="s">
        <v>495</v>
      </c>
      <c r="B704" s="1186" t="s">
        <v>621</v>
      </c>
      <c r="C704" s="1186" t="s">
        <v>47</v>
      </c>
      <c r="D704" s="1186">
        <v>17</v>
      </c>
      <c r="E704" s="1186">
        <v>15</v>
      </c>
      <c r="F704" s="1186">
        <v>1</v>
      </c>
      <c r="G704" s="1186">
        <v>1</v>
      </c>
      <c r="H704" s="1186"/>
      <c r="I704" s="1186"/>
      <c r="J704" s="1186"/>
      <c r="K704" s="1186"/>
    </row>
    <row r="705" spans="1:11" x14ac:dyDescent="0.2">
      <c r="A705" s="1186" t="s">
        <v>495</v>
      </c>
      <c r="B705" s="1186" t="s">
        <v>621</v>
      </c>
      <c r="C705" s="1186" t="s">
        <v>48</v>
      </c>
      <c r="D705" s="1186">
        <v>254</v>
      </c>
      <c r="E705" s="1186">
        <v>225</v>
      </c>
      <c r="F705" s="1186">
        <v>28</v>
      </c>
      <c r="G705" s="1186">
        <v>1</v>
      </c>
      <c r="H705" s="1186"/>
      <c r="I705" s="1186"/>
      <c r="J705" s="1186"/>
      <c r="K705" s="1186"/>
    </row>
    <row r="706" spans="1:11" x14ac:dyDescent="0.2">
      <c r="A706" s="1186" t="s">
        <v>495</v>
      </c>
      <c r="B706" s="1186" t="s">
        <v>621</v>
      </c>
      <c r="C706" s="1186" t="s">
        <v>49</v>
      </c>
      <c r="D706" s="1186">
        <v>753</v>
      </c>
      <c r="E706" s="1186">
        <v>653</v>
      </c>
      <c r="F706" s="1186">
        <v>89</v>
      </c>
      <c r="G706" s="1186">
        <v>11</v>
      </c>
      <c r="H706" s="1186"/>
      <c r="I706" s="1186"/>
      <c r="J706" s="1186"/>
      <c r="K706" s="1186"/>
    </row>
    <row r="707" spans="1:11" x14ac:dyDescent="0.2">
      <c r="A707" s="1186" t="s">
        <v>495</v>
      </c>
      <c r="B707" s="1186" t="s">
        <v>621</v>
      </c>
      <c r="C707" s="1186" t="s">
        <v>50</v>
      </c>
      <c r="D707" s="1186">
        <v>175</v>
      </c>
      <c r="E707" s="1186">
        <v>155</v>
      </c>
      <c r="F707" s="1186">
        <v>20</v>
      </c>
      <c r="G707" s="1186"/>
      <c r="H707" s="1186"/>
      <c r="I707" s="1186"/>
      <c r="J707" s="1186"/>
      <c r="K707" s="1186"/>
    </row>
    <row r="708" spans="1:11" x14ac:dyDescent="0.2">
      <c r="A708" s="1186" t="s">
        <v>495</v>
      </c>
      <c r="B708" s="1186" t="s">
        <v>621</v>
      </c>
      <c r="C708" s="1186" t="s">
        <v>51</v>
      </c>
      <c r="D708" s="1186">
        <v>262</v>
      </c>
      <c r="E708" s="1186">
        <v>235</v>
      </c>
      <c r="F708" s="1186">
        <v>23</v>
      </c>
      <c r="G708" s="1186">
        <v>4</v>
      </c>
      <c r="H708" s="1186"/>
      <c r="I708" s="1186"/>
      <c r="J708" s="1186"/>
      <c r="K708" s="1186"/>
    </row>
    <row r="709" spans="1:11" x14ac:dyDescent="0.2">
      <c r="A709" s="1186" t="s">
        <v>495</v>
      </c>
      <c r="B709" s="1186" t="s">
        <v>621</v>
      </c>
      <c r="C709" s="1186" t="s">
        <v>52</v>
      </c>
      <c r="D709" s="1186">
        <v>854</v>
      </c>
      <c r="E709" s="1186">
        <v>811</v>
      </c>
      <c r="F709" s="1186">
        <v>38</v>
      </c>
      <c r="G709" s="1186">
        <v>4</v>
      </c>
      <c r="H709" s="1186"/>
      <c r="I709" s="1186"/>
      <c r="J709" s="1186"/>
      <c r="K709" s="1186">
        <v>1</v>
      </c>
    </row>
    <row r="710" spans="1:11" x14ac:dyDescent="0.2">
      <c r="A710" s="1186" t="s">
        <v>495</v>
      </c>
      <c r="B710" s="1186" t="s">
        <v>1419</v>
      </c>
      <c r="C710" s="1186" t="s">
        <v>23</v>
      </c>
      <c r="D710" s="1186">
        <v>341</v>
      </c>
      <c r="E710" s="1186">
        <v>304</v>
      </c>
      <c r="F710" s="1186">
        <v>28</v>
      </c>
      <c r="G710" s="1186">
        <v>8</v>
      </c>
      <c r="H710" s="1186"/>
      <c r="I710" s="1186"/>
      <c r="J710" s="1186"/>
      <c r="K710" s="1186">
        <v>1</v>
      </c>
    </row>
    <row r="711" spans="1:11" x14ac:dyDescent="0.2">
      <c r="A711" s="1186" t="s">
        <v>495</v>
      </c>
      <c r="B711" s="1186" t="s">
        <v>1419</v>
      </c>
      <c r="C711" s="1186" t="s">
        <v>24</v>
      </c>
      <c r="D711" s="1186">
        <v>233</v>
      </c>
      <c r="E711" s="1186">
        <v>190</v>
      </c>
      <c r="F711" s="1186">
        <v>28</v>
      </c>
      <c r="G711" s="1186">
        <v>14</v>
      </c>
      <c r="H711" s="1186"/>
      <c r="I711" s="1186"/>
      <c r="J711" s="1186"/>
      <c r="K711" s="1186">
        <v>1</v>
      </c>
    </row>
    <row r="712" spans="1:11" x14ac:dyDescent="0.2">
      <c r="A712" s="1186" t="s">
        <v>495</v>
      </c>
      <c r="B712" s="1186" t="s">
        <v>1419</v>
      </c>
      <c r="C712" s="1186" t="s">
        <v>25</v>
      </c>
      <c r="D712" s="1186">
        <v>145</v>
      </c>
      <c r="E712" s="1186">
        <v>129</v>
      </c>
      <c r="F712" s="1186">
        <v>11</v>
      </c>
      <c r="G712" s="1186">
        <v>4</v>
      </c>
      <c r="H712" s="1186"/>
      <c r="I712" s="1186"/>
      <c r="J712" s="1186"/>
      <c r="K712" s="1186">
        <v>1</v>
      </c>
    </row>
    <row r="713" spans="1:11" x14ac:dyDescent="0.2">
      <c r="A713" s="1186" t="s">
        <v>495</v>
      </c>
      <c r="B713" s="1186" t="s">
        <v>1419</v>
      </c>
      <c r="C713" s="1186" t="s">
        <v>26</v>
      </c>
      <c r="D713" s="1186">
        <v>153</v>
      </c>
      <c r="E713" s="1186">
        <v>126</v>
      </c>
      <c r="F713" s="1186">
        <v>23</v>
      </c>
      <c r="G713" s="1186">
        <v>4</v>
      </c>
      <c r="H713" s="1186"/>
      <c r="I713" s="1186"/>
      <c r="J713" s="1186"/>
      <c r="K713" s="1186"/>
    </row>
    <row r="714" spans="1:11" x14ac:dyDescent="0.2">
      <c r="A714" s="1186" t="s">
        <v>495</v>
      </c>
      <c r="B714" s="1186" t="s">
        <v>1419</v>
      </c>
      <c r="C714" s="1186" t="s">
        <v>619</v>
      </c>
      <c r="D714" s="1186">
        <v>1576</v>
      </c>
      <c r="E714" s="1186">
        <v>1475</v>
      </c>
      <c r="F714" s="1186">
        <v>78</v>
      </c>
      <c r="G714" s="1186">
        <v>22</v>
      </c>
      <c r="H714" s="1186"/>
      <c r="I714" s="1186"/>
      <c r="J714" s="1186"/>
      <c r="K714" s="1186">
        <v>1</v>
      </c>
    </row>
    <row r="715" spans="1:11" x14ac:dyDescent="0.2">
      <c r="A715" s="1186" t="s">
        <v>495</v>
      </c>
      <c r="B715" s="1186" t="s">
        <v>1419</v>
      </c>
      <c r="C715" s="1186" t="s">
        <v>27</v>
      </c>
      <c r="D715" s="1186">
        <v>80</v>
      </c>
      <c r="E715" s="1186">
        <v>75</v>
      </c>
      <c r="F715" s="1186">
        <v>5</v>
      </c>
      <c r="G715" s="1186"/>
      <c r="H715" s="1186"/>
      <c r="I715" s="1186"/>
      <c r="J715" s="1186"/>
      <c r="K715" s="1186"/>
    </row>
    <row r="716" spans="1:11" x14ac:dyDescent="0.2">
      <c r="A716" s="1186" t="s">
        <v>495</v>
      </c>
      <c r="B716" s="1186" t="s">
        <v>1419</v>
      </c>
      <c r="C716" s="1186" t="s">
        <v>28</v>
      </c>
      <c r="D716" s="1186">
        <v>206</v>
      </c>
      <c r="E716" s="1186">
        <v>169</v>
      </c>
      <c r="F716" s="1186">
        <v>31</v>
      </c>
      <c r="G716" s="1186">
        <v>6</v>
      </c>
      <c r="H716" s="1186"/>
      <c r="I716" s="1186"/>
      <c r="J716" s="1186"/>
      <c r="K716" s="1186"/>
    </row>
    <row r="717" spans="1:11" x14ac:dyDescent="0.2">
      <c r="A717" s="1186" t="s">
        <v>495</v>
      </c>
      <c r="B717" s="1186" t="s">
        <v>1419</v>
      </c>
      <c r="C717" s="1186" t="s">
        <v>29</v>
      </c>
      <c r="D717" s="1186">
        <v>496</v>
      </c>
      <c r="E717" s="1186">
        <v>480</v>
      </c>
      <c r="F717" s="1186">
        <v>15</v>
      </c>
      <c r="G717" s="1186">
        <v>1</v>
      </c>
      <c r="H717" s="1186"/>
      <c r="I717" s="1186"/>
      <c r="J717" s="1186"/>
      <c r="K717" s="1186"/>
    </row>
    <row r="718" spans="1:11" x14ac:dyDescent="0.2">
      <c r="A718" s="1186" t="s">
        <v>495</v>
      </c>
      <c r="B718" s="1186" t="s">
        <v>1419</v>
      </c>
      <c r="C718" s="1186" t="s">
        <v>30</v>
      </c>
      <c r="D718" s="1186">
        <v>475</v>
      </c>
      <c r="E718" s="1186">
        <v>429</v>
      </c>
      <c r="F718" s="1186">
        <v>42</v>
      </c>
      <c r="G718" s="1186">
        <v>4</v>
      </c>
      <c r="H718" s="1186"/>
      <c r="I718" s="1186"/>
      <c r="J718" s="1186"/>
      <c r="K718" s="1186"/>
    </row>
    <row r="719" spans="1:11" x14ac:dyDescent="0.2">
      <c r="A719" s="1186" t="s">
        <v>495</v>
      </c>
      <c r="B719" s="1186" t="s">
        <v>1419</v>
      </c>
      <c r="C719" s="1186" t="s">
        <v>31</v>
      </c>
      <c r="D719" s="1186">
        <v>153</v>
      </c>
      <c r="E719" s="1186">
        <v>143</v>
      </c>
      <c r="F719" s="1186">
        <v>10</v>
      </c>
      <c r="G719" s="1186"/>
      <c r="H719" s="1186"/>
      <c r="I719" s="1186"/>
      <c r="J719" s="1186"/>
      <c r="K719" s="1186"/>
    </row>
    <row r="720" spans="1:11" x14ac:dyDescent="0.2">
      <c r="A720" s="1186" t="s">
        <v>495</v>
      </c>
      <c r="B720" s="1186" t="s">
        <v>1419</v>
      </c>
      <c r="C720" s="1186" t="s">
        <v>32</v>
      </c>
      <c r="D720" s="1186">
        <v>196</v>
      </c>
      <c r="E720" s="1186">
        <v>185</v>
      </c>
      <c r="F720" s="1186">
        <v>9</v>
      </c>
      <c r="G720" s="1186">
        <v>1</v>
      </c>
      <c r="H720" s="1186"/>
      <c r="I720" s="1186"/>
      <c r="J720" s="1186"/>
      <c r="K720" s="1186">
        <v>1</v>
      </c>
    </row>
    <row r="721" spans="1:11" x14ac:dyDescent="0.2">
      <c r="A721" s="1186" t="s">
        <v>495</v>
      </c>
      <c r="B721" s="1186" t="s">
        <v>1419</v>
      </c>
      <c r="C721" s="1186" t="s">
        <v>33</v>
      </c>
      <c r="D721" s="1186">
        <v>166</v>
      </c>
      <c r="E721" s="1186">
        <v>150</v>
      </c>
      <c r="F721" s="1186">
        <v>11</v>
      </c>
      <c r="G721" s="1186">
        <v>5</v>
      </c>
      <c r="H721" s="1186"/>
      <c r="I721" s="1186"/>
      <c r="J721" s="1186"/>
      <c r="K721" s="1186"/>
    </row>
    <row r="722" spans="1:11" x14ac:dyDescent="0.2">
      <c r="A722" s="1186" t="s">
        <v>495</v>
      </c>
      <c r="B722" s="1186" t="s">
        <v>1419</v>
      </c>
      <c r="C722" s="1186" t="s">
        <v>34</v>
      </c>
      <c r="D722" s="1186">
        <v>356</v>
      </c>
      <c r="E722" s="1186">
        <v>324</v>
      </c>
      <c r="F722" s="1186">
        <v>30</v>
      </c>
      <c r="G722" s="1186">
        <v>2</v>
      </c>
      <c r="H722" s="1186"/>
      <c r="I722" s="1186"/>
      <c r="J722" s="1186"/>
      <c r="K722" s="1186"/>
    </row>
    <row r="723" spans="1:11" x14ac:dyDescent="0.2">
      <c r="A723" s="1186" t="s">
        <v>495</v>
      </c>
      <c r="B723" s="1186" t="s">
        <v>1419</v>
      </c>
      <c r="C723" s="1186" t="s">
        <v>35</v>
      </c>
      <c r="D723" s="1186">
        <v>760</v>
      </c>
      <c r="E723" s="1186">
        <v>662</v>
      </c>
      <c r="F723" s="1186">
        <v>82</v>
      </c>
      <c r="G723" s="1186">
        <v>16</v>
      </c>
      <c r="H723" s="1186"/>
      <c r="I723" s="1186"/>
      <c r="J723" s="1186"/>
      <c r="K723" s="1186"/>
    </row>
    <row r="724" spans="1:11" x14ac:dyDescent="0.2">
      <c r="A724" s="1186" t="s">
        <v>495</v>
      </c>
      <c r="B724" s="1186" t="s">
        <v>1419</v>
      </c>
      <c r="C724" s="1186" t="s">
        <v>36</v>
      </c>
      <c r="D724" s="1186">
        <v>2617</v>
      </c>
      <c r="E724" s="1186">
        <v>2369</v>
      </c>
      <c r="F724" s="1186">
        <v>176</v>
      </c>
      <c r="G724" s="1186">
        <v>68</v>
      </c>
      <c r="H724" s="1186"/>
      <c r="I724" s="1186"/>
      <c r="J724" s="1186"/>
      <c r="K724" s="1186">
        <v>4</v>
      </c>
    </row>
    <row r="725" spans="1:11" x14ac:dyDescent="0.2">
      <c r="A725" s="1186" t="s">
        <v>495</v>
      </c>
      <c r="B725" s="1186" t="s">
        <v>1419</v>
      </c>
      <c r="C725" s="1186" t="s">
        <v>37</v>
      </c>
      <c r="D725" s="1186">
        <v>422</v>
      </c>
      <c r="E725" s="1186">
        <v>318</v>
      </c>
      <c r="F725" s="1186">
        <v>63</v>
      </c>
      <c r="G725" s="1186">
        <v>41</v>
      </c>
      <c r="H725" s="1186"/>
      <c r="I725" s="1186"/>
      <c r="J725" s="1186"/>
      <c r="K725" s="1186"/>
    </row>
    <row r="726" spans="1:11" x14ac:dyDescent="0.2">
      <c r="A726" s="1186" t="s">
        <v>495</v>
      </c>
      <c r="B726" s="1186" t="s">
        <v>1419</v>
      </c>
      <c r="C726" s="1186" t="s">
        <v>38</v>
      </c>
      <c r="D726" s="1186">
        <v>411</v>
      </c>
      <c r="E726" s="1186">
        <v>371</v>
      </c>
      <c r="F726" s="1186">
        <v>23</v>
      </c>
      <c r="G726" s="1186">
        <v>16</v>
      </c>
      <c r="H726" s="1186"/>
      <c r="I726" s="1186"/>
      <c r="J726" s="1186"/>
      <c r="K726" s="1186">
        <v>1</v>
      </c>
    </row>
    <row r="727" spans="1:11" x14ac:dyDescent="0.2">
      <c r="A727" s="1186" t="s">
        <v>495</v>
      </c>
      <c r="B727" s="1186" t="s">
        <v>1419</v>
      </c>
      <c r="C727" s="1186" t="s">
        <v>39</v>
      </c>
      <c r="D727" s="1186">
        <v>229</v>
      </c>
      <c r="E727" s="1186">
        <v>214</v>
      </c>
      <c r="F727" s="1186">
        <v>13</v>
      </c>
      <c r="G727" s="1186">
        <v>2</v>
      </c>
      <c r="H727" s="1186"/>
      <c r="I727" s="1186"/>
      <c r="J727" s="1186"/>
      <c r="K727" s="1186"/>
    </row>
    <row r="728" spans="1:11" x14ac:dyDescent="0.2">
      <c r="A728" s="1186" t="s">
        <v>495</v>
      </c>
      <c r="B728" s="1186" t="s">
        <v>1419</v>
      </c>
      <c r="C728" s="1186" t="s">
        <v>40</v>
      </c>
      <c r="D728" s="1186">
        <v>103</v>
      </c>
      <c r="E728" s="1186">
        <v>83</v>
      </c>
      <c r="F728" s="1186">
        <v>14</v>
      </c>
      <c r="G728" s="1186">
        <v>5</v>
      </c>
      <c r="H728" s="1186"/>
      <c r="I728" s="1186"/>
      <c r="J728" s="1186"/>
      <c r="K728" s="1186">
        <v>1</v>
      </c>
    </row>
    <row r="729" spans="1:11" x14ac:dyDescent="0.2">
      <c r="A729" s="1186" t="s">
        <v>495</v>
      </c>
      <c r="B729" s="1186" t="s">
        <v>1419</v>
      </c>
      <c r="C729" s="1186" t="s">
        <v>295</v>
      </c>
      <c r="D729" s="1186">
        <v>35</v>
      </c>
      <c r="E729" s="1186">
        <v>22</v>
      </c>
      <c r="F729" s="1186">
        <v>8</v>
      </c>
      <c r="G729" s="1186">
        <v>5</v>
      </c>
      <c r="H729" s="1186"/>
      <c r="I729" s="1186"/>
      <c r="J729" s="1186"/>
      <c r="K729" s="1186"/>
    </row>
    <row r="730" spans="1:11" x14ac:dyDescent="0.2">
      <c r="A730" s="1186" t="s">
        <v>495</v>
      </c>
      <c r="B730" s="1186" t="s">
        <v>1419</v>
      </c>
      <c r="C730" s="1186" t="s">
        <v>41</v>
      </c>
      <c r="D730" s="1186">
        <v>597</v>
      </c>
      <c r="E730" s="1186">
        <v>531</v>
      </c>
      <c r="F730" s="1186">
        <v>56</v>
      </c>
      <c r="G730" s="1186">
        <v>10</v>
      </c>
      <c r="H730" s="1186"/>
      <c r="I730" s="1186"/>
      <c r="J730" s="1186"/>
      <c r="K730" s="1186"/>
    </row>
    <row r="731" spans="1:11" x14ac:dyDescent="0.2">
      <c r="A731" s="1186" t="s">
        <v>495</v>
      </c>
      <c r="B731" s="1186" t="s">
        <v>1419</v>
      </c>
      <c r="C731" s="1186" t="s">
        <v>42</v>
      </c>
      <c r="D731" s="1186">
        <v>1352</v>
      </c>
      <c r="E731" s="1186">
        <v>1208</v>
      </c>
      <c r="F731" s="1186">
        <v>125</v>
      </c>
      <c r="G731" s="1186">
        <v>18</v>
      </c>
      <c r="H731" s="1186"/>
      <c r="I731" s="1186"/>
      <c r="J731" s="1186"/>
      <c r="K731" s="1186">
        <v>1</v>
      </c>
    </row>
    <row r="732" spans="1:11" x14ac:dyDescent="0.2">
      <c r="A732" s="1186" t="s">
        <v>495</v>
      </c>
      <c r="B732" s="1186" t="s">
        <v>1419</v>
      </c>
      <c r="C732" s="1186" t="s">
        <v>43</v>
      </c>
      <c r="D732" s="1186">
        <v>10</v>
      </c>
      <c r="E732" s="1186">
        <v>8</v>
      </c>
      <c r="F732" s="1186">
        <v>2</v>
      </c>
      <c r="G732" s="1186"/>
      <c r="H732" s="1186"/>
      <c r="I732" s="1186"/>
      <c r="J732" s="1186"/>
      <c r="K732" s="1186"/>
    </row>
    <row r="733" spans="1:11" x14ac:dyDescent="0.2">
      <c r="A733" s="1186" t="s">
        <v>495</v>
      </c>
      <c r="B733" s="1186" t="s">
        <v>1419</v>
      </c>
      <c r="C733" s="1186" t="s">
        <v>44</v>
      </c>
      <c r="D733" s="1186">
        <v>144</v>
      </c>
      <c r="E733" s="1186">
        <v>132</v>
      </c>
      <c r="F733" s="1186">
        <v>12</v>
      </c>
      <c r="G733" s="1186"/>
      <c r="H733" s="1186"/>
      <c r="I733" s="1186"/>
      <c r="J733" s="1186"/>
      <c r="K733" s="1186"/>
    </row>
    <row r="734" spans="1:11" x14ac:dyDescent="0.2">
      <c r="A734" s="1186" t="s">
        <v>495</v>
      </c>
      <c r="B734" s="1186" t="s">
        <v>1419</v>
      </c>
      <c r="C734" s="1186" t="s">
        <v>45</v>
      </c>
      <c r="D734" s="1186">
        <v>506</v>
      </c>
      <c r="E734" s="1186">
        <v>439</v>
      </c>
      <c r="F734" s="1186">
        <v>55</v>
      </c>
      <c r="G734" s="1186">
        <v>12</v>
      </c>
      <c r="H734" s="1186"/>
      <c r="I734" s="1186"/>
      <c r="J734" s="1186"/>
      <c r="K734" s="1186"/>
    </row>
    <row r="735" spans="1:11" x14ac:dyDescent="0.2">
      <c r="A735" s="1186" t="s">
        <v>495</v>
      </c>
      <c r="B735" s="1186" t="s">
        <v>1419</v>
      </c>
      <c r="C735" s="1186" t="s">
        <v>46</v>
      </c>
      <c r="D735" s="1186">
        <v>111</v>
      </c>
      <c r="E735" s="1186">
        <v>98</v>
      </c>
      <c r="F735" s="1186">
        <v>12</v>
      </c>
      <c r="G735" s="1186">
        <v>1</v>
      </c>
      <c r="H735" s="1186"/>
      <c r="I735" s="1186"/>
      <c r="J735" s="1186"/>
      <c r="K735" s="1186"/>
    </row>
    <row r="736" spans="1:11" x14ac:dyDescent="0.2">
      <c r="A736" s="1186" t="s">
        <v>495</v>
      </c>
      <c r="B736" s="1186" t="s">
        <v>1419</v>
      </c>
      <c r="C736" s="1186" t="s">
        <v>47</v>
      </c>
      <c r="D736" s="1186">
        <v>9</v>
      </c>
      <c r="E736" s="1186">
        <v>7</v>
      </c>
      <c r="F736" s="1186">
        <v>2</v>
      </c>
      <c r="G736" s="1186"/>
      <c r="H736" s="1186"/>
      <c r="I736" s="1186"/>
      <c r="J736" s="1186"/>
      <c r="K736" s="1186"/>
    </row>
    <row r="737" spans="1:11" x14ac:dyDescent="0.2">
      <c r="A737" s="1186" t="s">
        <v>495</v>
      </c>
      <c r="B737" s="1186" t="s">
        <v>1419</v>
      </c>
      <c r="C737" s="1186" t="s">
        <v>48</v>
      </c>
      <c r="D737" s="1186">
        <v>258</v>
      </c>
      <c r="E737" s="1186">
        <v>229</v>
      </c>
      <c r="F737" s="1186">
        <v>22</v>
      </c>
      <c r="G737" s="1186">
        <v>6</v>
      </c>
      <c r="H737" s="1186">
        <v>1</v>
      </c>
      <c r="I737" s="1186"/>
      <c r="J737" s="1186"/>
      <c r="K737" s="1186"/>
    </row>
    <row r="738" spans="1:11" x14ac:dyDescent="0.2">
      <c r="A738" s="1186" t="s">
        <v>495</v>
      </c>
      <c r="B738" s="1186" t="s">
        <v>1419</v>
      </c>
      <c r="C738" s="1186" t="s">
        <v>49</v>
      </c>
      <c r="D738" s="1186">
        <v>793</v>
      </c>
      <c r="E738" s="1186">
        <v>703</v>
      </c>
      <c r="F738" s="1186">
        <v>77</v>
      </c>
      <c r="G738" s="1186">
        <v>11</v>
      </c>
      <c r="H738" s="1186">
        <v>1</v>
      </c>
      <c r="I738" s="1186"/>
      <c r="J738" s="1186"/>
      <c r="K738" s="1186">
        <v>1</v>
      </c>
    </row>
    <row r="739" spans="1:11" x14ac:dyDescent="0.2">
      <c r="A739" s="1186" t="s">
        <v>495</v>
      </c>
      <c r="B739" s="1186" t="s">
        <v>1419</v>
      </c>
      <c r="C739" s="1186" t="s">
        <v>50</v>
      </c>
      <c r="D739" s="1186">
        <v>118</v>
      </c>
      <c r="E739" s="1186">
        <v>102</v>
      </c>
      <c r="F739" s="1186">
        <v>12</v>
      </c>
      <c r="G739" s="1186">
        <v>4</v>
      </c>
      <c r="H739" s="1186"/>
      <c r="I739" s="1186"/>
      <c r="J739" s="1186"/>
      <c r="K739" s="1186"/>
    </row>
    <row r="740" spans="1:11" x14ac:dyDescent="0.2">
      <c r="A740" s="1186" t="s">
        <v>495</v>
      </c>
      <c r="B740" s="1186" t="s">
        <v>1419</v>
      </c>
      <c r="C740" s="1186" t="s">
        <v>51</v>
      </c>
      <c r="D740" s="1186">
        <v>293</v>
      </c>
      <c r="E740" s="1186">
        <v>261</v>
      </c>
      <c r="F740" s="1186">
        <v>24</v>
      </c>
      <c r="G740" s="1186">
        <v>8</v>
      </c>
      <c r="H740" s="1186"/>
      <c r="I740" s="1186"/>
      <c r="J740" s="1186"/>
      <c r="K740" s="1186"/>
    </row>
    <row r="741" spans="1:11" x14ac:dyDescent="0.2">
      <c r="A741" s="1186" t="s">
        <v>495</v>
      </c>
      <c r="B741" s="1186" t="s">
        <v>1419</v>
      </c>
      <c r="C741" s="1186" t="s">
        <v>52</v>
      </c>
      <c r="D741" s="1186">
        <v>718</v>
      </c>
      <c r="E741" s="1186">
        <v>663</v>
      </c>
      <c r="F741" s="1186">
        <v>49</v>
      </c>
      <c r="G741" s="1186">
        <v>6</v>
      </c>
      <c r="H741" s="1186"/>
      <c r="I741" s="1186"/>
      <c r="J741" s="1186"/>
      <c r="K741" s="1186"/>
    </row>
    <row r="742" spans="1:11" x14ac:dyDescent="0.2">
      <c r="A742" s="1186" t="s">
        <v>495</v>
      </c>
      <c r="B742" s="1186" t="s">
        <v>1572</v>
      </c>
      <c r="C742" s="1186" t="s">
        <v>23</v>
      </c>
      <c r="D742" s="1186">
        <v>328</v>
      </c>
      <c r="E742" s="1186">
        <v>307</v>
      </c>
      <c r="F742" s="1186">
        <v>16</v>
      </c>
      <c r="G742" s="1186">
        <v>5</v>
      </c>
      <c r="H742" s="1186"/>
      <c r="I742" s="1186"/>
      <c r="J742" s="1186"/>
      <c r="K742" s="1186"/>
    </row>
    <row r="743" spans="1:11" x14ac:dyDescent="0.2">
      <c r="A743" s="1186" t="s">
        <v>495</v>
      </c>
      <c r="B743" s="1186" t="s">
        <v>1572</v>
      </c>
      <c r="C743" s="1186" t="s">
        <v>24</v>
      </c>
      <c r="D743" s="1186">
        <v>291</v>
      </c>
      <c r="E743" s="1186">
        <v>241</v>
      </c>
      <c r="F743" s="1186">
        <v>31</v>
      </c>
      <c r="G743" s="1186">
        <v>18</v>
      </c>
      <c r="H743" s="1186"/>
      <c r="I743" s="1186"/>
      <c r="J743" s="1186"/>
      <c r="K743" s="1186">
        <v>1</v>
      </c>
    </row>
    <row r="744" spans="1:11" x14ac:dyDescent="0.2">
      <c r="A744" s="1186" t="s">
        <v>495</v>
      </c>
      <c r="B744" s="1186" t="s">
        <v>1572</v>
      </c>
      <c r="C744" s="1186" t="s">
        <v>25</v>
      </c>
      <c r="D744" s="1186">
        <v>202</v>
      </c>
      <c r="E744" s="1186">
        <v>175</v>
      </c>
      <c r="F744" s="1186">
        <v>19</v>
      </c>
      <c r="G744" s="1186">
        <v>8</v>
      </c>
      <c r="H744" s="1186"/>
      <c r="I744" s="1186"/>
      <c r="J744" s="1186"/>
      <c r="K744" s="1186"/>
    </row>
    <row r="745" spans="1:11" x14ac:dyDescent="0.2">
      <c r="A745" s="1186" t="s">
        <v>495</v>
      </c>
      <c r="B745" s="1186" t="s">
        <v>1572</v>
      </c>
      <c r="C745" s="1186" t="s">
        <v>26</v>
      </c>
      <c r="D745" s="1186">
        <v>133</v>
      </c>
      <c r="E745" s="1186">
        <v>109</v>
      </c>
      <c r="F745" s="1186">
        <v>19</v>
      </c>
      <c r="G745" s="1186">
        <v>4</v>
      </c>
      <c r="H745" s="1186">
        <v>1</v>
      </c>
      <c r="I745" s="1186"/>
      <c r="J745" s="1186"/>
      <c r="K745" s="1186"/>
    </row>
    <row r="746" spans="1:11" x14ac:dyDescent="0.2">
      <c r="A746" s="1186" t="s">
        <v>495</v>
      </c>
      <c r="B746" s="1186" t="s">
        <v>1572</v>
      </c>
      <c r="C746" s="1186" t="s">
        <v>619</v>
      </c>
      <c r="D746" s="1186">
        <v>1465</v>
      </c>
      <c r="E746" s="1186">
        <v>1382</v>
      </c>
      <c r="F746" s="1186">
        <v>67</v>
      </c>
      <c r="G746" s="1186">
        <v>16</v>
      </c>
      <c r="H746" s="1186"/>
      <c r="I746" s="1186"/>
      <c r="J746" s="1186"/>
      <c r="K746" s="1186"/>
    </row>
    <row r="747" spans="1:11" x14ac:dyDescent="0.2">
      <c r="A747" s="1186" t="s">
        <v>495</v>
      </c>
      <c r="B747" s="1186" t="s">
        <v>1572</v>
      </c>
      <c r="C747" s="1186" t="s">
        <v>27</v>
      </c>
      <c r="D747" s="1186">
        <v>112</v>
      </c>
      <c r="E747" s="1186">
        <v>100</v>
      </c>
      <c r="F747" s="1186">
        <v>9</v>
      </c>
      <c r="G747" s="1186">
        <v>3</v>
      </c>
      <c r="H747" s="1186"/>
      <c r="I747" s="1186"/>
      <c r="J747" s="1186"/>
      <c r="K747" s="1186"/>
    </row>
    <row r="748" spans="1:11" x14ac:dyDescent="0.2">
      <c r="A748" s="1186" t="s">
        <v>495</v>
      </c>
      <c r="B748" s="1186" t="s">
        <v>1572</v>
      </c>
      <c r="C748" s="1186" t="s">
        <v>28</v>
      </c>
      <c r="D748" s="1186">
        <v>205</v>
      </c>
      <c r="E748" s="1186">
        <v>154</v>
      </c>
      <c r="F748" s="1186">
        <v>25</v>
      </c>
      <c r="G748" s="1186">
        <v>5</v>
      </c>
      <c r="H748" s="1186"/>
      <c r="I748" s="1186"/>
      <c r="J748" s="1186"/>
      <c r="K748" s="1186">
        <v>21</v>
      </c>
    </row>
    <row r="749" spans="1:11" x14ac:dyDescent="0.2">
      <c r="A749" s="1186" t="s">
        <v>495</v>
      </c>
      <c r="B749" s="1186" t="s">
        <v>1572</v>
      </c>
      <c r="C749" s="1186" t="s">
        <v>29</v>
      </c>
      <c r="D749" s="1186">
        <v>694</v>
      </c>
      <c r="E749" s="1186">
        <v>660</v>
      </c>
      <c r="F749" s="1186">
        <v>33</v>
      </c>
      <c r="G749" s="1186">
        <v>1</v>
      </c>
      <c r="H749" s="1186"/>
      <c r="I749" s="1186"/>
      <c r="J749" s="1186"/>
      <c r="K749" s="1186"/>
    </row>
    <row r="750" spans="1:11" x14ac:dyDescent="0.2">
      <c r="A750" s="1186" t="s">
        <v>495</v>
      </c>
      <c r="B750" s="1186" t="s">
        <v>1572</v>
      </c>
      <c r="C750" s="1186" t="s">
        <v>30</v>
      </c>
      <c r="D750" s="1186">
        <v>584</v>
      </c>
      <c r="E750" s="1186">
        <v>528</v>
      </c>
      <c r="F750" s="1186">
        <v>45</v>
      </c>
      <c r="G750" s="1186">
        <v>4</v>
      </c>
      <c r="H750" s="1186"/>
      <c r="I750" s="1186"/>
      <c r="J750" s="1186"/>
      <c r="K750" s="1186">
        <v>7</v>
      </c>
    </row>
    <row r="751" spans="1:11" x14ac:dyDescent="0.2">
      <c r="A751" s="1186" t="s">
        <v>495</v>
      </c>
      <c r="B751" s="1186" t="s">
        <v>1572</v>
      </c>
      <c r="C751" s="1186" t="s">
        <v>31</v>
      </c>
      <c r="D751" s="1186">
        <v>241</v>
      </c>
      <c r="E751" s="1186">
        <v>223</v>
      </c>
      <c r="F751" s="1186">
        <v>16</v>
      </c>
      <c r="G751" s="1186">
        <v>1</v>
      </c>
      <c r="H751" s="1186"/>
      <c r="I751" s="1186"/>
      <c r="J751" s="1186"/>
      <c r="K751" s="1186">
        <v>1</v>
      </c>
    </row>
    <row r="752" spans="1:11" x14ac:dyDescent="0.2">
      <c r="A752" s="1186" t="s">
        <v>495</v>
      </c>
      <c r="B752" s="1186" t="s">
        <v>1572</v>
      </c>
      <c r="C752" s="1186" t="s">
        <v>32</v>
      </c>
      <c r="D752" s="1186">
        <v>195</v>
      </c>
      <c r="E752" s="1186">
        <v>181</v>
      </c>
      <c r="F752" s="1186">
        <v>13</v>
      </c>
      <c r="G752" s="1186">
        <v>1</v>
      </c>
      <c r="H752" s="1186"/>
      <c r="I752" s="1186"/>
      <c r="J752" s="1186"/>
      <c r="K752" s="1186"/>
    </row>
    <row r="753" spans="1:11" x14ac:dyDescent="0.2">
      <c r="A753" s="1186" t="s">
        <v>495</v>
      </c>
      <c r="B753" s="1186" t="s">
        <v>1572</v>
      </c>
      <c r="C753" s="1186" t="s">
        <v>33</v>
      </c>
      <c r="D753" s="1186">
        <v>182</v>
      </c>
      <c r="E753" s="1186">
        <v>156</v>
      </c>
      <c r="F753" s="1186">
        <v>23</v>
      </c>
      <c r="G753" s="1186">
        <v>3</v>
      </c>
      <c r="H753" s="1186"/>
      <c r="I753" s="1186"/>
      <c r="J753" s="1186"/>
      <c r="K753" s="1186"/>
    </row>
    <row r="754" spans="1:11" x14ac:dyDescent="0.2">
      <c r="A754" s="1186" t="s">
        <v>495</v>
      </c>
      <c r="B754" s="1186" t="s">
        <v>1572</v>
      </c>
      <c r="C754" s="1186" t="s">
        <v>34</v>
      </c>
      <c r="D754" s="1186">
        <v>423</v>
      </c>
      <c r="E754" s="1186">
        <v>392</v>
      </c>
      <c r="F754" s="1186">
        <v>28</v>
      </c>
      <c r="G754" s="1186">
        <v>3</v>
      </c>
      <c r="H754" s="1186"/>
      <c r="I754" s="1186"/>
      <c r="J754" s="1186"/>
      <c r="K754" s="1186"/>
    </row>
    <row r="755" spans="1:11" x14ac:dyDescent="0.2">
      <c r="A755" s="1186" t="s">
        <v>495</v>
      </c>
      <c r="B755" s="1186" t="s">
        <v>1572</v>
      </c>
      <c r="C755" s="1186" t="s">
        <v>35</v>
      </c>
      <c r="D755" s="1186">
        <v>1017</v>
      </c>
      <c r="E755" s="1186">
        <v>888</v>
      </c>
      <c r="F755" s="1186">
        <v>117</v>
      </c>
      <c r="G755" s="1186">
        <v>11</v>
      </c>
      <c r="H755" s="1186"/>
      <c r="I755" s="1186"/>
      <c r="J755" s="1186"/>
      <c r="K755" s="1186">
        <v>1</v>
      </c>
    </row>
    <row r="756" spans="1:11" x14ac:dyDescent="0.2">
      <c r="A756" s="1186" t="s">
        <v>495</v>
      </c>
      <c r="B756" s="1186" t="s">
        <v>1572</v>
      </c>
      <c r="C756" s="1186" t="s">
        <v>36</v>
      </c>
      <c r="D756" s="1186">
        <v>2440</v>
      </c>
      <c r="E756" s="1186">
        <v>2202</v>
      </c>
      <c r="F756" s="1186">
        <v>191</v>
      </c>
      <c r="G756" s="1186">
        <v>42</v>
      </c>
      <c r="H756" s="1186"/>
      <c r="I756" s="1186"/>
      <c r="J756" s="1186"/>
      <c r="K756" s="1186">
        <v>5</v>
      </c>
    </row>
    <row r="757" spans="1:11" x14ac:dyDescent="0.2">
      <c r="A757" s="1186" t="s">
        <v>495</v>
      </c>
      <c r="B757" s="1186" t="s">
        <v>1572</v>
      </c>
      <c r="C757" s="1186" t="s">
        <v>37</v>
      </c>
      <c r="D757" s="1186">
        <v>396</v>
      </c>
      <c r="E757" s="1186">
        <v>319</v>
      </c>
      <c r="F757" s="1186">
        <v>54</v>
      </c>
      <c r="G757" s="1186">
        <v>22</v>
      </c>
      <c r="H757" s="1186"/>
      <c r="I757" s="1186"/>
      <c r="J757" s="1186"/>
      <c r="K757" s="1186">
        <v>1</v>
      </c>
    </row>
    <row r="758" spans="1:11" x14ac:dyDescent="0.2">
      <c r="A758" s="1186" t="s">
        <v>495</v>
      </c>
      <c r="B758" s="1186" t="s">
        <v>1572</v>
      </c>
      <c r="C758" s="1186" t="s">
        <v>38</v>
      </c>
      <c r="D758" s="1186">
        <v>417</v>
      </c>
      <c r="E758" s="1186">
        <v>365</v>
      </c>
      <c r="F758" s="1186">
        <v>42</v>
      </c>
      <c r="G758" s="1186">
        <v>10</v>
      </c>
      <c r="H758" s="1186"/>
      <c r="I758" s="1186"/>
      <c r="J758" s="1186"/>
      <c r="K758" s="1186"/>
    </row>
    <row r="759" spans="1:11" x14ac:dyDescent="0.2">
      <c r="A759" s="1186" t="s">
        <v>495</v>
      </c>
      <c r="B759" s="1186" t="s">
        <v>1572</v>
      </c>
      <c r="C759" s="1186" t="s">
        <v>39</v>
      </c>
      <c r="D759" s="1186">
        <v>201</v>
      </c>
      <c r="E759" s="1186">
        <v>186</v>
      </c>
      <c r="F759" s="1186">
        <v>14</v>
      </c>
      <c r="G759" s="1186">
        <v>1</v>
      </c>
      <c r="H759" s="1186"/>
      <c r="I759" s="1186"/>
      <c r="J759" s="1186"/>
      <c r="K759" s="1186"/>
    </row>
    <row r="760" spans="1:11" x14ac:dyDescent="0.2">
      <c r="A760" s="1186" t="s">
        <v>495</v>
      </c>
      <c r="B760" s="1186" t="s">
        <v>1572</v>
      </c>
      <c r="C760" s="1186" t="s">
        <v>40</v>
      </c>
      <c r="D760" s="1186">
        <v>128</v>
      </c>
      <c r="E760" s="1186">
        <v>113</v>
      </c>
      <c r="F760" s="1186">
        <v>8</v>
      </c>
      <c r="G760" s="1186">
        <v>6</v>
      </c>
      <c r="H760" s="1186"/>
      <c r="I760" s="1186"/>
      <c r="J760" s="1186"/>
      <c r="K760" s="1186">
        <v>1</v>
      </c>
    </row>
    <row r="761" spans="1:11" x14ac:dyDescent="0.2">
      <c r="A761" s="1186" t="s">
        <v>495</v>
      </c>
      <c r="B761" s="1186" t="s">
        <v>1572</v>
      </c>
      <c r="C761" s="1186" t="s">
        <v>295</v>
      </c>
      <c r="D761" s="1186">
        <v>75</v>
      </c>
      <c r="E761" s="1186">
        <v>53</v>
      </c>
      <c r="F761" s="1186">
        <v>16</v>
      </c>
      <c r="G761" s="1186">
        <v>6</v>
      </c>
      <c r="H761" s="1186"/>
      <c r="I761" s="1186"/>
      <c r="J761" s="1186"/>
      <c r="K761" s="1186"/>
    </row>
    <row r="762" spans="1:11" x14ac:dyDescent="0.2">
      <c r="A762" s="1186" t="s">
        <v>495</v>
      </c>
      <c r="B762" s="1186" t="s">
        <v>1572</v>
      </c>
      <c r="C762" s="1186" t="s">
        <v>41</v>
      </c>
      <c r="D762" s="1186">
        <v>491</v>
      </c>
      <c r="E762" s="1186">
        <v>448</v>
      </c>
      <c r="F762" s="1186">
        <v>36</v>
      </c>
      <c r="G762" s="1186">
        <v>7</v>
      </c>
      <c r="H762" s="1186"/>
      <c r="I762" s="1186"/>
      <c r="J762" s="1186"/>
      <c r="K762" s="1186"/>
    </row>
    <row r="763" spans="1:11" x14ac:dyDescent="0.2">
      <c r="A763" s="1186" t="s">
        <v>495</v>
      </c>
      <c r="B763" s="1186" t="s">
        <v>1572</v>
      </c>
      <c r="C763" s="1186" t="s">
        <v>42</v>
      </c>
      <c r="D763" s="1186">
        <v>1475</v>
      </c>
      <c r="E763" s="1186">
        <v>1315</v>
      </c>
      <c r="F763" s="1186">
        <v>139</v>
      </c>
      <c r="G763" s="1186">
        <v>17</v>
      </c>
      <c r="H763" s="1186"/>
      <c r="I763" s="1186"/>
      <c r="J763" s="1186"/>
      <c r="K763" s="1186">
        <v>4</v>
      </c>
    </row>
    <row r="764" spans="1:11" x14ac:dyDescent="0.2">
      <c r="A764" s="1186" t="s">
        <v>495</v>
      </c>
      <c r="B764" s="1186" t="s">
        <v>1572</v>
      </c>
      <c r="C764" s="1186" t="s">
        <v>43</v>
      </c>
      <c r="D764" s="1186">
        <v>14</v>
      </c>
      <c r="E764" s="1186">
        <v>12</v>
      </c>
      <c r="F764" s="1186">
        <v>2</v>
      </c>
      <c r="G764" s="1186"/>
      <c r="H764" s="1186"/>
      <c r="I764" s="1186"/>
      <c r="J764" s="1186"/>
      <c r="K764" s="1186"/>
    </row>
    <row r="765" spans="1:11" x14ac:dyDescent="0.2">
      <c r="A765" s="1186" t="s">
        <v>495</v>
      </c>
      <c r="B765" s="1186" t="s">
        <v>1572</v>
      </c>
      <c r="C765" s="1186" t="s">
        <v>44</v>
      </c>
      <c r="D765" s="1186">
        <v>145</v>
      </c>
      <c r="E765" s="1186">
        <v>127</v>
      </c>
      <c r="F765" s="1186">
        <v>14</v>
      </c>
      <c r="G765" s="1186">
        <v>4</v>
      </c>
      <c r="H765" s="1186"/>
      <c r="I765" s="1186"/>
      <c r="J765" s="1186"/>
      <c r="K765" s="1186"/>
    </row>
    <row r="766" spans="1:11" x14ac:dyDescent="0.2">
      <c r="A766" s="1186" t="s">
        <v>495</v>
      </c>
      <c r="B766" s="1186" t="s">
        <v>1572</v>
      </c>
      <c r="C766" s="1186" t="s">
        <v>45</v>
      </c>
      <c r="D766" s="1186">
        <v>503</v>
      </c>
      <c r="E766" s="1186">
        <v>442</v>
      </c>
      <c r="F766" s="1186">
        <v>54</v>
      </c>
      <c r="G766" s="1186">
        <v>4</v>
      </c>
      <c r="H766" s="1186"/>
      <c r="I766" s="1186"/>
      <c r="J766" s="1186"/>
      <c r="K766" s="1186">
        <v>3</v>
      </c>
    </row>
    <row r="767" spans="1:11" x14ac:dyDescent="0.2">
      <c r="A767" s="1186" t="s">
        <v>495</v>
      </c>
      <c r="B767" s="1186" t="s">
        <v>1572</v>
      </c>
      <c r="C767" s="1186" t="s">
        <v>46</v>
      </c>
      <c r="D767" s="1186">
        <v>124</v>
      </c>
      <c r="E767" s="1186">
        <v>110</v>
      </c>
      <c r="F767" s="1186">
        <v>13</v>
      </c>
      <c r="G767" s="1186">
        <v>1</v>
      </c>
      <c r="H767" s="1186"/>
      <c r="I767" s="1186"/>
      <c r="J767" s="1186"/>
      <c r="K767" s="1186"/>
    </row>
    <row r="768" spans="1:11" x14ac:dyDescent="0.2">
      <c r="A768" s="1186" t="s">
        <v>495</v>
      </c>
      <c r="B768" s="1186" t="s">
        <v>1572</v>
      </c>
      <c r="C768" s="1186" t="s">
        <v>47</v>
      </c>
      <c r="D768" s="1186">
        <v>15</v>
      </c>
      <c r="E768" s="1186">
        <v>12</v>
      </c>
      <c r="F768" s="1186">
        <v>3</v>
      </c>
      <c r="G768" s="1186"/>
      <c r="H768" s="1186"/>
      <c r="I768" s="1186"/>
      <c r="J768" s="1186"/>
      <c r="K768" s="1186"/>
    </row>
    <row r="769" spans="1:11" x14ac:dyDescent="0.2">
      <c r="A769" s="1186" t="s">
        <v>495</v>
      </c>
      <c r="B769" s="1186" t="s">
        <v>1572</v>
      </c>
      <c r="C769" s="1186" t="s">
        <v>48</v>
      </c>
      <c r="D769" s="1186">
        <v>304</v>
      </c>
      <c r="E769" s="1186">
        <v>276</v>
      </c>
      <c r="F769" s="1186">
        <v>27</v>
      </c>
      <c r="G769" s="1186">
        <v>1</v>
      </c>
      <c r="H769" s="1186"/>
      <c r="I769" s="1186"/>
      <c r="J769" s="1186"/>
      <c r="K769" s="1186"/>
    </row>
    <row r="770" spans="1:11" x14ac:dyDescent="0.2">
      <c r="A770" s="1186" t="s">
        <v>495</v>
      </c>
      <c r="B770" s="1186" t="s">
        <v>1572</v>
      </c>
      <c r="C770" s="1186" t="s">
        <v>49</v>
      </c>
      <c r="D770" s="1186">
        <v>1018</v>
      </c>
      <c r="E770" s="1186">
        <v>911</v>
      </c>
      <c r="F770" s="1186">
        <v>88</v>
      </c>
      <c r="G770" s="1186">
        <v>16</v>
      </c>
      <c r="H770" s="1186"/>
      <c r="I770" s="1186"/>
      <c r="J770" s="1186">
        <v>1</v>
      </c>
      <c r="K770" s="1186">
        <v>2</v>
      </c>
    </row>
    <row r="771" spans="1:11" x14ac:dyDescent="0.2">
      <c r="A771" s="1186" t="s">
        <v>495</v>
      </c>
      <c r="B771" s="1186" t="s">
        <v>1572</v>
      </c>
      <c r="C771" s="1186" t="s">
        <v>50</v>
      </c>
      <c r="D771" s="1186">
        <v>195</v>
      </c>
      <c r="E771" s="1186">
        <v>168</v>
      </c>
      <c r="F771" s="1186">
        <v>21</v>
      </c>
      <c r="G771" s="1186">
        <v>6</v>
      </c>
      <c r="H771" s="1186"/>
      <c r="I771" s="1186"/>
      <c r="J771" s="1186"/>
      <c r="K771" s="1186"/>
    </row>
    <row r="772" spans="1:11" x14ac:dyDescent="0.2">
      <c r="A772" s="1186" t="s">
        <v>495</v>
      </c>
      <c r="B772" s="1186" t="s">
        <v>1572</v>
      </c>
      <c r="C772" s="1186" t="s">
        <v>51</v>
      </c>
      <c r="D772" s="1186">
        <v>408</v>
      </c>
      <c r="E772" s="1186">
        <v>366</v>
      </c>
      <c r="F772" s="1186">
        <v>39</v>
      </c>
      <c r="G772" s="1186">
        <v>2</v>
      </c>
      <c r="H772" s="1186"/>
      <c r="I772" s="1186"/>
      <c r="J772" s="1186"/>
      <c r="K772" s="1186">
        <v>1</v>
      </c>
    </row>
    <row r="773" spans="1:11" x14ac:dyDescent="0.2">
      <c r="A773" s="1186" t="s">
        <v>495</v>
      </c>
      <c r="B773" s="1186" t="s">
        <v>1572</v>
      </c>
      <c r="C773" s="1186" t="s">
        <v>52</v>
      </c>
      <c r="D773" s="1186">
        <v>692</v>
      </c>
      <c r="E773" s="1186">
        <v>643</v>
      </c>
      <c r="F773" s="1186">
        <v>39</v>
      </c>
      <c r="G773" s="1186">
        <v>8</v>
      </c>
      <c r="H773" s="1186"/>
      <c r="I773" s="1186"/>
      <c r="J773" s="1186"/>
      <c r="K773" s="1186">
        <v>2</v>
      </c>
    </row>
  </sheetData>
  <pageMargins left="0.7" right="0.7" top="0.75" bottom="0.75" header="0.3" footer="0.3"/>
  <pageSetup paperSize="9" fitToHeight="50" orientation="landscape" r:id="rId1"/>
  <legacyDrawing r:id="rId2"/>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pageSetUpPr fitToPage="1"/>
  </sheetPr>
  <dimension ref="A1:AA40"/>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3" bestFit="1" customWidth="1"/>
    <col min="2" max="2" width="7.42578125" bestFit="1" customWidth="1"/>
    <col min="3" max="3" width="4.85546875" bestFit="1" customWidth="1"/>
    <col min="4" max="9" width="3.85546875" bestFit="1" customWidth="1"/>
    <col min="10" max="10" width="2.85546875" bestFit="1" customWidth="1"/>
    <col min="11" max="27" width="3.85546875" bestFit="1" customWidth="1"/>
  </cols>
  <sheetData>
    <row r="1" spans="1:27" x14ac:dyDescent="0.2"/>
    <row r="4" spans="1:27" x14ac:dyDescent="0.2">
      <c r="A4" s="1223" t="s">
        <v>1486</v>
      </c>
      <c r="B4" s="1223" t="s">
        <v>4</v>
      </c>
      <c r="C4" s="1223" t="s">
        <v>11</v>
      </c>
      <c r="D4" s="1223">
        <v>0</v>
      </c>
      <c r="E4" s="1223">
        <v>1</v>
      </c>
      <c r="F4" s="1223">
        <v>2</v>
      </c>
      <c r="G4" s="1223">
        <v>3</v>
      </c>
      <c r="H4" s="1223">
        <v>4</v>
      </c>
      <c r="I4" s="1223">
        <v>5</v>
      </c>
      <c r="J4" s="1223">
        <v>6</v>
      </c>
      <c r="K4" s="1223">
        <v>7</v>
      </c>
      <c r="L4" s="1223">
        <v>8</v>
      </c>
      <c r="M4" s="1223">
        <v>9</v>
      </c>
      <c r="N4" s="1223">
        <v>10</v>
      </c>
      <c r="O4" s="1223">
        <v>11</v>
      </c>
      <c r="P4" s="1223">
        <v>12</v>
      </c>
      <c r="Q4" s="1223">
        <v>13</v>
      </c>
      <c r="R4" s="1223">
        <v>14</v>
      </c>
      <c r="S4" s="1223">
        <v>15</v>
      </c>
      <c r="T4" s="1223">
        <v>16</v>
      </c>
      <c r="U4" s="1223">
        <v>17</v>
      </c>
      <c r="V4" s="1223">
        <v>18</v>
      </c>
      <c r="W4" s="1223">
        <v>19</v>
      </c>
      <c r="X4" s="1223">
        <v>20</v>
      </c>
      <c r="Y4" s="1223">
        <v>21</v>
      </c>
      <c r="Z4" s="1223">
        <v>22</v>
      </c>
      <c r="AA4" s="1223">
        <v>23</v>
      </c>
    </row>
    <row r="5" spans="1:27" x14ac:dyDescent="0.2">
      <c r="A5" s="1186" t="s">
        <v>752</v>
      </c>
      <c r="B5" s="1186" t="s">
        <v>19</v>
      </c>
      <c r="C5" s="1186">
        <v>6560</v>
      </c>
      <c r="D5" s="1186">
        <v>242</v>
      </c>
      <c r="E5" s="1186">
        <v>212</v>
      </c>
      <c r="F5" s="1186">
        <v>203</v>
      </c>
      <c r="G5" s="1186">
        <v>175</v>
      </c>
      <c r="H5" s="1186">
        <v>134</v>
      </c>
      <c r="I5" s="1186">
        <v>91</v>
      </c>
      <c r="J5" s="1186">
        <v>84</v>
      </c>
      <c r="K5" s="1186">
        <v>105</v>
      </c>
      <c r="L5" s="1186">
        <v>108</v>
      </c>
      <c r="M5" s="1186">
        <v>150</v>
      </c>
      <c r="N5" s="1186">
        <v>171</v>
      </c>
      <c r="O5" s="1186">
        <v>252</v>
      </c>
      <c r="P5" s="1186">
        <v>298</v>
      </c>
      <c r="Q5" s="1186">
        <v>320</v>
      </c>
      <c r="R5" s="1186">
        <v>311</v>
      </c>
      <c r="S5" s="1186">
        <v>328</v>
      </c>
      <c r="T5" s="1186">
        <v>418</v>
      </c>
      <c r="U5" s="1186">
        <v>495</v>
      </c>
      <c r="V5" s="1186">
        <v>529</v>
      </c>
      <c r="W5" s="1186">
        <v>470</v>
      </c>
      <c r="X5" s="1186">
        <v>417</v>
      </c>
      <c r="Y5" s="1186">
        <v>389</v>
      </c>
      <c r="Z5" s="1186">
        <v>369</v>
      </c>
      <c r="AA5" s="1186">
        <v>289</v>
      </c>
    </row>
    <row r="6" spans="1:27" x14ac:dyDescent="0.2">
      <c r="A6" s="1186" t="s">
        <v>752</v>
      </c>
      <c r="B6" s="1186" t="s">
        <v>20</v>
      </c>
      <c r="C6" s="1186">
        <v>6293</v>
      </c>
      <c r="D6" s="1186">
        <v>230</v>
      </c>
      <c r="E6" s="1186">
        <v>251</v>
      </c>
      <c r="F6" s="1186">
        <v>181</v>
      </c>
      <c r="G6" s="1186">
        <v>158</v>
      </c>
      <c r="H6" s="1186">
        <v>117</v>
      </c>
      <c r="I6" s="1186">
        <v>126</v>
      </c>
      <c r="J6" s="1186">
        <v>81</v>
      </c>
      <c r="K6" s="1186">
        <v>101</v>
      </c>
      <c r="L6" s="1186">
        <v>108</v>
      </c>
      <c r="M6" s="1186">
        <v>154</v>
      </c>
      <c r="N6" s="1186">
        <v>185</v>
      </c>
      <c r="O6" s="1186">
        <v>228</v>
      </c>
      <c r="P6" s="1186">
        <v>291</v>
      </c>
      <c r="Q6" s="1186">
        <v>283</v>
      </c>
      <c r="R6" s="1186">
        <v>323</v>
      </c>
      <c r="S6" s="1186">
        <v>309</v>
      </c>
      <c r="T6" s="1186">
        <v>425</v>
      </c>
      <c r="U6" s="1186">
        <v>488</v>
      </c>
      <c r="V6" s="1186">
        <v>473</v>
      </c>
      <c r="W6" s="1186">
        <v>448</v>
      </c>
      <c r="X6" s="1186">
        <v>389</v>
      </c>
      <c r="Y6" s="1186">
        <v>349</v>
      </c>
      <c r="Z6" s="1186">
        <v>318</v>
      </c>
      <c r="AA6" s="1186">
        <v>277</v>
      </c>
    </row>
    <row r="7" spans="1:27" x14ac:dyDescent="0.2">
      <c r="A7" s="1186" t="s">
        <v>752</v>
      </c>
      <c r="B7" s="1186" t="s">
        <v>13</v>
      </c>
      <c r="C7" s="1186">
        <v>6157</v>
      </c>
      <c r="D7" s="1186">
        <v>246</v>
      </c>
      <c r="E7" s="1186">
        <v>203</v>
      </c>
      <c r="F7" s="1186">
        <v>178</v>
      </c>
      <c r="G7" s="1186">
        <v>154</v>
      </c>
      <c r="H7" s="1186">
        <v>137</v>
      </c>
      <c r="I7" s="1186">
        <v>101</v>
      </c>
      <c r="J7" s="1186">
        <v>86</v>
      </c>
      <c r="K7" s="1186">
        <v>93</v>
      </c>
      <c r="L7" s="1186">
        <v>127</v>
      </c>
      <c r="M7" s="1186">
        <v>151</v>
      </c>
      <c r="N7" s="1186">
        <v>199</v>
      </c>
      <c r="O7" s="1186">
        <v>237</v>
      </c>
      <c r="P7" s="1186">
        <v>253</v>
      </c>
      <c r="Q7" s="1186">
        <v>292</v>
      </c>
      <c r="R7" s="1186">
        <v>269</v>
      </c>
      <c r="S7" s="1186">
        <v>329</v>
      </c>
      <c r="T7" s="1186">
        <v>419</v>
      </c>
      <c r="U7" s="1186">
        <v>479</v>
      </c>
      <c r="V7" s="1186">
        <v>448</v>
      </c>
      <c r="W7" s="1186">
        <v>453</v>
      </c>
      <c r="X7" s="1186">
        <v>423</v>
      </c>
      <c r="Y7" s="1186">
        <v>342</v>
      </c>
      <c r="Z7" s="1186">
        <v>280</v>
      </c>
      <c r="AA7" s="1186">
        <v>258</v>
      </c>
    </row>
    <row r="8" spans="1:27" x14ac:dyDescent="0.2">
      <c r="A8" s="1186" t="s">
        <v>752</v>
      </c>
      <c r="B8" s="1186" t="s">
        <v>15</v>
      </c>
      <c r="C8" s="1186">
        <v>5829</v>
      </c>
      <c r="D8" s="1186">
        <v>218</v>
      </c>
      <c r="E8" s="1186">
        <v>183</v>
      </c>
      <c r="F8" s="1186">
        <v>160</v>
      </c>
      <c r="G8" s="1186">
        <v>124</v>
      </c>
      <c r="H8" s="1186">
        <v>97</v>
      </c>
      <c r="I8" s="1186">
        <v>104</v>
      </c>
      <c r="J8" s="1186">
        <v>78</v>
      </c>
      <c r="K8" s="1186">
        <v>102</v>
      </c>
      <c r="L8" s="1186">
        <v>125</v>
      </c>
      <c r="M8" s="1186">
        <v>165</v>
      </c>
      <c r="N8" s="1186">
        <v>182</v>
      </c>
      <c r="O8" s="1186">
        <v>204</v>
      </c>
      <c r="P8" s="1186">
        <v>223</v>
      </c>
      <c r="Q8" s="1186">
        <v>266</v>
      </c>
      <c r="R8" s="1186">
        <v>280</v>
      </c>
      <c r="S8" s="1186">
        <v>325</v>
      </c>
      <c r="T8" s="1186">
        <v>382</v>
      </c>
      <c r="U8" s="1186">
        <v>487</v>
      </c>
      <c r="V8" s="1186">
        <v>472</v>
      </c>
      <c r="W8" s="1186">
        <v>410</v>
      </c>
      <c r="X8" s="1186">
        <v>391</v>
      </c>
      <c r="Y8" s="1186">
        <v>311</v>
      </c>
      <c r="Z8" s="1186">
        <v>290</v>
      </c>
      <c r="AA8" s="1186">
        <v>250</v>
      </c>
    </row>
    <row r="9" spans="1:27" x14ac:dyDescent="0.2">
      <c r="A9" s="1186" t="s">
        <v>752</v>
      </c>
      <c r="B9" s="1186" t="s">
        <v>17</v>
      </c>
      <c r="C9" s="1186">
        <v>5323</v>
      </c>
      <c r="D9" s="1186">
        <v>164</v>
      </c>
      <c r="E9" s="1186">
        <v>149</v>
      </c>
      <c r="F9" s="1186">
        <v>135</v>
      </c>
      <c r="G9" s="1186">
        <v>117</v>
      </c>
      <c r="H9" s="1186">
        <v>107</v>
      </c>
      <c r="I9" s="1186">
        <v>79</v>
      </c>
      <c r="J9" s="1186">
        <v>82</v>
      </c>
      <c r="K9" s="1186">
        <v>103</v>
      </c>
      <c r="L9" s="1186">
        <v>102</v>
      </c>
      <c r="M9" s="1186">
        <v>139</v>
      </c>
      <c r="N9" s="1186">
        <v>171</v>
      </c>
      <c r="O9" s="1186">
        <v>199</v>
      </c>
      <c r="P9" s="1186">
        <v>252</v>
      </c>
      <c r="Q9" s="1186">
        <v>267</v>
      </c>
      <c r="R9" s="1186">
        <v>263</v>
      </c>
      <c r="S9" s="1186">
        <v>298</v>
      </c>
      <c r="T9" s="1186">
        <v>339</v>
      </c>
      <c r="U9" s="1186">
        <v>454</v>
      </c>
      <c r="V9" s="1186">
        <v>423</v>
      </c>
      <c r="W9" s="1186">
        <v>365</v>
      </c>
      <c r="X9" s="1186">
        <v>351</v>
      </c>
      <c r="Y9" s="1186">
        <v>288</v>
      </c>
      <c r="Z9" s="1186">
        <v>273</v>
      </c>
      <c r="AA9" s="1186">
        <v>203</v>
      </c>
    </row>
    <row r="10" spans="1:27" x14ac:dyDescent="0.2">
      <c r="A10" s="1186" t="s">
        <v>752</v>
      </c>
      <c r="B10" s="1186" t="s">
        <v>133</v>
      </c>
      <c r="C10" s="1186">
        <v>5574</v>
      </c>
      <c r="D10" s="1186">
        <v>199</v>
      </c>
      <c r="E10" s="1186">
        <v>159</v>
      </c>
      <c r="F10" s="1186">
        <v>122</v>
      </c>
      <c r="G10" s="1186">
        <v>112</v>
      </c>
      <c r="H10" s="1186">
        <v>113</v>
      </c>
      <c r="I10" s="1186">
        <v>86</v>
      </c>
      <c r="J10" s="1186">
        <v>87</v>
      </c>
      <c r="K10" s="1186">
        <v>92</v>
      </c>
      <c r="L10" s="1186">
        <v>124</v>
      </c>
      <c r="M10" s="1186">
        <v>153</v>
      </c>
      <c r="N10" s="1186">
        <v>204</v>
      </c>
      <c r="O10" s="1186">
        <v>221</v>
      </c>
      <c r="P10" s="1186">
        <v>277</v>
      </c>
      <c r="Q10" s="1186">
        <v>303</v>
      </c>
      <c r="R10" s="1186">
        <v>296</v>
      </c>
      <c r="S10" s="1186">
        <v>320</v>
      </c>
      <c r="T10" s="1186">
        <v>357</v>
      </c>
      <c r="U10" s="1186">
        <v>434</v>
      </c>
      <c r="V10" s="1186">
        <v>427</v>
      </c>
      <c r="W10" s="1186">
        <v>415</v>
      </c>
      <c r="X10" s="1186">
        <v>326</v>
      </c>
      <c r="Y10" s="1186">
        <v>295</v>
      </c>
      <c r="Z10" s="1186">
        <v>238</v>
      </c>
      <c r="AA10" s="1186">
        <v>214</v>
      </c>
    </row>
    <row r="11" spans="1:27" x14ac:dyDescent="0.2">
      <c r="A11" s="1186" t="s">
        <v>752</v>
      </c>
      <c r="B11" s="1186" t="s">
        <v>144</v>
      </c>
      <c r="C11" s="1186">
        <v>5673</v>
      </c>
      <c r="D11" s="1186">
        <v>170</v>
      </c>
      <c r="E11" s="1186">
        <v>175</v>
      </c>
      <c r="F11" s="1186">
        <v>127</v>
      </c>
      <c r="G11" s="1186">
        <v>110</v>
      </c>
      <c r="H11" s="1186">
        <v>94</v>
      </c>
      <c r="I11" s="1186">
        <v>78</v>
      </c>
      <c r="J11" s="1186">
        <v>76</v>
      </c>
      <c r="K11" s="1186">
        <v>91</v>
      </c>
      <c r="L11" s="1186">
        <v>124</v>
      </c>
      <c r="M11" s="1186">
        <v>154</v>
      </c>
      <c r="N11" s="1186">
        <v>194</v>
      </c>
      <c r="O11" s="1186">
        <v>244</v>
      </c>
      <c r="P11" s="1186">
        <v>232</v>
      </c>
      <c r="Q11" s="1186">
        <v>321</v>
      </c>
      <c r="R11" s="1186">
        <v>314</v>
      </c>
      <c r="S11" s="1186">
        <v>321</v>
      </c>
      <c r="T11" s="1186">
        <v>401</v>
      </c>
      <c r="U11" s="1186">
        <v>487</v>
      </c>
      <c r="V11" s="1186">
        <v>429</v>
      </c>
      <c r="W11" s="1186">
        <v>373</v>
      </c>
      <c r="X11" s="1186">
        <v>329</v>
      </c>
      <c r="Y11" s="1186">
        <v>332</v>
      </c>
      <c r="Z11" s="1186">
        <v>262</v>
      </c>
      <c r="AA11" s="1186">
        <v>235</v>
      </c>
    </row>
    <row r="12" spans="1:27" x14ac:dyDescent="0.2">
      <c r="A12" s="1186" t="s">
        <v>752</v>
      </c>
      <c r="B12" s="1186" t="s">
        <v>282</v>
      </c>
      <c r="C12" s="1186">
        <v>5540</v>
      </c>
      <c r="D12" s="1186">
        <v>201</v>
      </c>
      <c r="E12" s="1186">
        <v>167</v>
      </c>
      <c r="F12" s="1186">
        <v>133</v>
      </c>
      <c r="G12" s="1186">
        <v>104</v>
      </c>
      <c r="H12" s="1186">
        <v>79</v>
      </c>
      <c r="I12" s="1186">
        <v>77</v>
      </c>
      <c r="J12" s="1186">
        <v>82</v>
      </c>
      <c r="K12" s="1186">
        <v>109</v>
      </c>
      <c r="L12" s="1186">
        <v>135</v>
      </c>
      <c r="M12" s="1186">
        <v>156</v>
      </c>
      <c r="N12" s="1186">
        <v>194</v>
      </c>
      <c r="O12" s="1186">
        <v>241</v>
      </c>
      <c r="P12" s="1186">
        <v>243</v>
      </c>
      <c r="Q12" s="1186">
        <v>257</v>
      </c>
      <c r="R12" s="1186">
        <v>284</v>
      </c>
      <c r="S12" s="1186">
        <v>254</v>
      </c>
      <c r="T12" s="1186">
        <v>380</v>
      </c>
      <c r="U12" s="1186">
        <v>471</v>
      </c>
      <c r="V12" s="1186">
        <v>430</v>
      </c>
      <c r="W12" s="1186">
        <v>408</v>
      </c>
      <c r="X12" s="1186">
        <v>332</v>
      </c>
      <c r="Y12" s="1186">
        <v>304</v>
      </c>
      <c r="Z12" s="1186">
        <v>265</v>
      </c>
      <c r="AA12" s="1186">
        <v>234</v>
      </c>
    </row>
    <row r="13" spans="1:27" x14ac:dyDescent="0.2">
      <c r="A13" s="1186" t="s">
        <v>752</v>
      </c>
      <c r="B13" s="1186" t="s">
        <v>311</v>
      </c>
      <c r="C13" s="1186">
        <v>5311</v>
      </c>
      <c r="D13" s="1186">
        <v>188</v>
      </c>
      <c r="E13" s="1186">
        <v>144</v>
      </c>
      <c r="F13" s="1186">
        <v>132</v>
      </c>
      <c r="G13" s="1186">
        <v>98</v>
      </c>
      <c r="H13" s="1186">
        <v>99</v>
      </c>
      <c r="I13" s="1186">
        <v>68</v>
      </c>
      <c r="J13" s="1186">
        <v>64</v>
      </c>
      <c r="K13" s="1186">
        <v>99</v>
      </c>
      <c r="L13" s="1186">
        <v>136</v>
      </c>
      <c r="M13" s="1186">
        <v>144</v>
      </c>
      <c r="N13" s="1186">
        <v>176</v>
      </c>
      <c r="O13" s="1186">
        <v>209</v>
      </c>
      <c r="P13" s="1186">
        <v>241</v>
      </c>
      <c r="Q13" s="1186">
        <v>258</v>
      </c>
      <c r="R13" s="1186">
        <v>282</v>
      </c>
      <c r="S13" s="1186">
        <v>305</v>
      </c>
      <c r="T13" s="1186">
        <v>348</v>
      </c>
      <c r="U13" s="1186">
        <v>460</v>
      </c>
      <c r="V13" s="1186">
        <v>403</v>
      </c>
      <c r="W13" s="1186">
        <v>348</v>
      </c>
      <c r="X13" s="1186">
        <v>351</v>
      </c>
      <c r="Y13" s="1186">
        <v>306</v>
      </c>
      <c r="Z13" s="1186">
        <v>248</v>
      </c>
      <c r="AA13" s="1186">
        <v>204</v>
      </c>
    </row>
    <row r="14" spans="1:27" x14ac:dyDescent="0.2">
      <c r="A14" s="1186" t="s">
        <v>752</v>
      </c>
      <c r="B14" s="1186" t="s">
        <v>621</v>
      </c>
      <c r="C14" s="1186">
        <v>5145</v>
      </c>
      <c r="D14" s="1186">
        <v>173</v>
      </c>
      <c r="E14" s="1186">
        <v>157</v>
      </c>
      <c r="F14" s="1186">
        <v>116</v>
      </c>
      <c r="G14" s="1186">
        <v>119</v>
      </c>
      <c r="H14" s="1186">
        <v>84</v>
      </c>
      <c r="I14" s="1186">
        <v>86</v>
      </c>
      <c r="J14" s="1186">
        <v>63</v>
      </c>
      <c r="K14" s="1186">
        <v>104</v>
      </c>
      <c r="L14" s="1186">
        <v>95</v>
      </c>
      <c r="M14" s="1186">
        <v>156</v>
      </c>
      <c r="N14" s="1186">
        <v>145</v>
      </c>
      <c r="O14" s="1186">
        <v>207</v>
      </c>
      <c r="P14" s="1186">
        <v>250</v>
      </c>
      <c r="Q14" s="1186">
        <v>265</v>
      </c>
      <c r="R14" s="1186">
        <v>241</v>
      </c>
      <c r="S14" s="1186">
        <v>295</v>
      </c>
      <c r="T14" s="1186">
        <v>344</v>
      </c>
      <c r="U14" s="1186">
        <v>427</v>
      </c>
      <c r="V14" s="1186">
        <v>399</v>
      </c>
      <c r="W14" s="1186">
        <v>360</v>
      </c>
      <c r="X14" s="1186">
        <v>325</v>
      </c>
      <c r="Y14" s="1186">
        <v>292</v>
      </c>
      <c r="Z14" s="1186">
        <v>215</v>
      </c>
      <c r="AA14" s="1186">
        <v>227</v>
      </c>
    </row>
    <row r="15" spans="1:27" x14ac:dyDescent="0.2">
      <c r="A15" s="1186" t="s">
        <v>752</v>
      </c>
      <c r="B15" s="1186" t="s">
        <v>1419</v>
      </c>
      <c r="C15" s="1186">
        <v>4890</v>
      </c>
      <c r="D15" s="1186">
        <v>157</v>
      </c>
      <c r="E15" s="1186">
        <v>152</v>
      </c>
      <c r="F15" s="1186">
        <v>112</v>
      </c>
      <c r="G15" s="1186">
        <v>107</v>
      </c>
      <c r="H15" s="1186">
        <v>91</v>
      </c>
      <c r="I15" s="1186">
        <v>52</v>
      </c>
      <c r="J15" s="1186">
        <v>74</v>
      </c>
      <c r="K15" s="1186">
        <v>88</v>
      </c>
      <c r="L15" s="1186">
        <v>108</v>
      </c>
      <c r="M15" s="1186">
        <v>140</v>
      </c>
      <c r="N15" s="1186">
        <v>166</v>
      </c>
      <c r="O15" s="1186">
        <v>181</v>
      </c>
      <c r="P15" s="1186">
        <v>220</v>
      </c>
      <c r="Q15" s="1186">
        <v>231</v>
      </c>
      <c r="R15" s="1186">
        <v>270</v>
      </c>
      <c r="S15" s="1186">
        <v>267</v>
      </c>
      <c r="T15" s="1186">
        <v>330</v>
      </c>
      <c r="U15" s="1186">
        <v>344</v>
      </c>
      <c r="V15" s="1186">
        <v>423</v>
      </c>
      <c r="W15" s="1186">
        <v>315</v>
      </c>
      <c r="X15" s="1186">
        <v>358</v>
      </c>
      <c r="Y15" s="1186">
        <v>250</v>
      </c>
      <c r="Z15" s="1186">
        <v>257</v>
      </c>
      <c r="AA15" s="1186">
        <v>197</v>
      </c>
    </row>
    <row r="16" spans="1:27" x14ac:dyDescent="0.2">
      <c r="A16" s="1186" t="s">
        <v>752</v>
      </c>
      <c r="B16" s="1186" t="s">
        <v>1572</v>
      </c>
      <c r="C16" s="1186">
        <v>4661</v>
      </c>
      <c r="D16" s="1186">
        <v>157</v>
      </c>
      <c r="E16" s="1186">
        <v>133</v>
      </c>
      <c r="F16" s="1186">
        <v>108</v>
      </c>
      <c r="G16" s="1186">
        <v>102</v>
      </c>
      <c r="H16" s="1186">
        <v>87</v>
      </c>
      <c r="I16" s="1186">
        <v>56</v>
      </c>
      <c r="J16" s="1186">
        <v>58</v>
      </c>
      <c r="K16" s="1186">
        <v>62</v>
      </c>
      <c r="L16" s="1186">
        <v>96</v>
      </c>
      <c r="M16" s="1186">
        <v>124</v>
      </c>
      <c r="N16" s="1186">
        <v>153</v>
      </c>
      <c r="O16" s="1186">
        <v>194</v>
      </c>
      <c r="P16" s="1186">
        <v>234</v>
      </c>
      <c r="Q16" s="1186">
        <v>240</v>
      </c>
      <c r="R16" s="1186">
        <v>221</v>
      </c>
      <c r="S16" s="1186">
        <v>262</v>
      </c>
      <c r="T16" s="1186">
        <v>340</v>
      </c>
      <c r="U16" s="1186">
        <v>348</v>
      </c>
      <c r="V16" s="1186">
        <v>389</v>
      </c>
      <c r="W16" s="1186">
        <v>329</v>
      </c>
      <c r="X16" s="1186">
        <v>287</v>
      </c>
      <c r="Y16" s="1186">
        <v>271</v>
      </c>
      <c r="Z16" s="1186">
        <v>215</v>
      </c>
      <c r="AA16" s="1186">
        <v>195</v>
      </c>
    </row>
    <row r="17" spans="1:27" x14ac:dyDescent="0.2">
      <c r="A17" s="1186" t="s">
        <v>6</v>
      </c>
      <c r="B17" s="1186" t="s">
        <v>19</v>
      </c>
      <c r="C17" s="1186">
        <v>3004</v>
      </c>
      <c r="D17" s="1186">
        <v>92</v>
      </c>
      <c r="E17" s="1186">
        <v>104</v>
      </c>
      <c r="F17" s="1186">
        <v>83</v>
      </c>
      <c r="G17" s="1186">
        <v>80</v>
      </c>
      <c r="H17" s="1186">
        <v>62</v>
      </c>
      <c r="I17" s="1186">
        <v>56</v>
      </c>
      <c r="J17" s="1186">
        <v>51</v>
      </c>
      <c r="K17" s="1186">
        <v>85</v>
      </c>
      <c r="L17" s="1186">
        <v>105</v>
      </c>
      <c r="M17" s="1186">
        <v>111</v>
      </c>
      <c r="N17" s="1186">
        <v>125</v>
      </c>
      <c r="O17" s="1186">
        <v>132</v>
      </c>
      <c r="P17" s="1186">
        <v>149</v>
      </c>
      <c r="Q17" s="1186">
        <v>165</v>
      </c>
      <c r="R17" s="1186">
        <v>152</v>
      </c>
      <c r="S17" s="1186">
        <v>155</v>
      </c>
      <c r="T17" s="1186">
        <v>153</v>
      </c>
      <c r="U17" s="1186">
        <v>168</v>
      </c>
      <c r="V17" s="1186">
        <v>183</v>
      </c>
      <c r="W17" s="1186">
        <v>181</v>
      </c>
      <c r="X17" s="1186">
        <v>191</v>
      </c>
      <c r="Y17" s="1186">
        <v>180</v>
      </c>
      <c r="Z17" s="1186">
        <v>125</v>
      </c>
      <c r="AA17" s="1186">
        <v>116</v>
      </c>
    </row>
    <row r="18" spans="1:27" x14ac:dyDescent="0.2">
      <c r="A18" s="1186" t="s">
        <v>6</v>
      </c>
      <c r="B18" s="1186" t="s">
        <v>20</v>
      </c>
      <c r="C18" s="1186">
        <v>2795</v>
      </c>
      <c r="D18" s="1186">
        <v>97</v>
      </c>
      <c r="E18" s="1186">
        <v>88</v>
      </c>
      <c r="F18" s="1186">
        <v>78</v>
      </c>
      <c r="G18" s="1186">
        <v>56</v>
      </c>
      <c r="H18" s="1186">
        <v>71</v>
      </c>
      <c r="I18" s="1186">
        <v>49</v>
      </c>
      <c r="J18" s="1186">
        <v>50</v>
      </c>
      <c r="K18" s="1186">
        <v>59</v>
      </c>
      <c r="L18" s="1186">
        <v>91</v>
      </c>
      <c r="M18" s="1186">
        <v>121</v>
      </c>
      <c r="N18" s="1186">
        <v>143</v>
      </c>
      <c r="O18" s="1186">
        <v>159</v>
      </c>
      <c r="P18" s="1186">
        <v>137</v>
      </c>
      <c r="Q18" s="1186">
        <v>138</v>
      </c>
      <c r="R18" s="1186">
        <v>138</v>
      </c>
      <c r="S18" s="1186">
        <v>126</v>
      </c>
      <c r="T18" s="1186">
        <v>132</v>
      </c>
      <c r="U18" s="1186">
        <v>168</v>
      </c>
      <c r="V18" s="1186">
        <v>167</v>
      </c>
      <c r="W18" s="1186">
        <v>166</v>
      </c>
      <c r="X18" s="1186">
        <v>192</v>
      </c>
      <c r="Y18" s="1186">
        <v>144</v>
      </c>
      <c r="Z18" s="1186">
        <v>111</v>
      </c>
      <c r="AA18" s="1186">
        <v>114</v>
      </c>
    </row>
    <row r="19" spans="1:27" x14ac:dyDescent="0.2">
      <c r="A19" s="1186" t="s">
        <v>6</v>
      </c>
      <c r="B19" s="1186" t="s">
        <v>13</v>
      </c>
      <c r="C19" s="1186">
        <v>2717</v>
      </c>
      <c r="D19" s="1186">
        <v>100</v>
      </c>
      <c r="E19" s="1186">
        <v>73</v>
      </c>
      <c r="F19" s="1186">
        <v>66</v>
      </c>
      <c r="G19" s="1186">
        <v>81</v>
      </c>
      <c r="H19" s="1186">
        <v>60</v>
      </c>
      <c r="I19" s="1186">
        <v>46</v>
      </c>
      <c r="J19" s="1186">
        <v>48</v>
      </c>
      <c r="K19" s="1186">
        <v>68</v>
      </c>
      <c r="L19" s="1186">
        <v>94</v>
      </c>
      <c r="M19" s="1186">
        <v>117</v>
      </c>
      <c r="N19" s="1186">
        <v>117</v>
      </c>
      <c r="O19" s="1186">
        <v>119</v>
      </c>
      <c r="P19" s="1186">
        <v>132</v>
      </c>
      <c r="Q19" s="1186">
        <v>143</v>
      </c>
      <c r="R19" s="1186">
        <v>149</v>
      </c>
      <c r="S19" s="1186">
        <v>125</v>
      </c>
      <c r="T19" s="1186">
        <v>154</v>
      </c>
      <c r="U19" s="1186">
        <v>161</v>
      </c>
      <c r="V19" s="1186">
        <v>163</v>
      </c>
      <c r="W19" s="1186">
        <v>183</v>
      </c>
      <c r="X19" s="1186">
        <v>130</v>
      </c>
      <c r="Y19" s="1186">
        <v>149</v>
      </c>
      <c r="Z19" s="1186">
        <v>121</v>
      </c>
      <c r="AA19" s="1186">
        <v>118</v>
      </c>
    </row>
    <row r="20" spans="1:27" x14ac:dyDescent="0.2">
      <c r="A20" s="1186" t="s">
        <v>6</v>
      </c>
      <c r="B20" s="1186" t="s">
        <v>15</v>
      </c>
      <c r="C20" s="1186">
        <v>2408</v>
      </c>
      <c r="D20" s="1186">
        <v>73</v>
      </c>
      <c r="E20" s="1186">
        <v>63</v>
      </c>
      <c r="F20" s="1186">
        <v>71</v>
      </c>
      <c r="G20" s="1186">
        <v>66</v>
      </c>
      <c r="H20" s="1186">
        <v>56</v>
      </c>
      <c r="I20" s="1186">
        <v>42</v>
      </c>
      <c r="J20" s="1186">
        <v>49</v>
      </c>
      <c r="K20" s="1186">
        <v>53</v>
      </c>
      <c r="L20" s="1186">
        <v>102</v>
      </c>
      <c r="M20" s="1186">
        <v>91</v>
      </c>
      <c r="N20" s="1186">
        <v>94</v>
      </c>
      <c r="O20" s="1186">
        <v>113</v>
      </c>
      <c r="P20" s="1186">
        <v>137</v>
      </c>
      <c r="Q20" s="1186">
        <v>140</v>
      </c>
      <c r="R20" s="1186">
        <v>131</v>
      </c>
      <c r="S20" s="1186">
        <v>133</v>
      </c>
      <c r="T20" s="1186">
        <v>139</v>
      </c>
      <c r="U20" s="1186">
        <v>124</v>
      </c>
      <c r="V20" s="1186">
        <v>121</v>
      </c>
      <c r="W20" s="1186">
        <v>146</v>
      </c>
      <c r="X20" s="1186">
        <v>142</v>
      </c>
      <c r="Y20" s="1186">
        <v>125</v>
      </c>
      <c r="Z20" s="1186">
        <v>100</v>
      </c>
      <c r="AA20" s="1186">
        <v>97</v>
      </c>
    </row>
    <row r="21" spans="1:27" x14ac:dyDescent="0.2">
      <c r="A21" s="1186" t="s">
        <v>6</v>
      </c>
      <c r="B21" s="1186" t="s">
        <v>17</v>
      </c>
      <c r="C21" s="1186">
        <v>2346</v>
      </c>
      <c r="D21" s="1186">
        <v>77</v>
      </c>
      <c r="E21" s="1186">
        <v>71</v>
      </c>
      <c r="F21" s="1186">
        <v>61</v>
      </c>
      <c r="G21" s="1186">
        <v>57</v>
      </c>
      <c r="H21" s="1186">
        <v>44</v>
      </c>
      <c r="I21" s="1186">
        <v>39</v>
      </c>
      <c r="J21" s="1186">
        <v>43</v>
      </c>
      <c r="K21" s="1186">
        <v>54</v>
      </c>
      <c r="L21" s="1186">
        <v>91</v>
      </c>
      <c r="M21" s="1186">
        <v>112</v>
      </c>
      <c r="N21" s="1186">
        <v>115</v>
      </c>
      <c r="O21" s="1186">
        <v>111</v>
      </c>
      <c r="P21" s="1186">
        <v>133</v>
      </c>
      <c r="Q21" s="1186">
        <v>136</v>
      </c>
      <c r="R21" s="1186">
        <v>116</v>
      </c>
      <c r="S21" s="1186">
        <v>129</v>
      </c>
      <c r="T21" s="1186">
        <v>117</v>
      </c>
      <c r="U21" s="1186">
        <v>121</v>
      </c>
      <c r="V21" s="1186">
        <v>131</v>
      </c>
      <c r="W21" s="1186">
        <v>137</v>
      </c>
      <c r="X21" s="1186">
        <v>156</v>
      </c>
      <c r="Y21" s="1186">
        <v>115</v>
      </c>
      <c r="Z21" s="1186">
        <v>102</v>
      </c>
      <c r="AA21" s="1186">
        <v>78</v>
      </c>
    </row>
    <row r="22" spans="1:27" x14ac:dyDescent="0.2">
      <c r="A22" s="1186" t="s">
        <v>6</v>
      </c>
      <c r="B22" s="1186" t="s">
        <v>133</v>
      </c>
      <c r="C22" s="1186">
        <v>2324</v>
      </c>
      <c r="D22" s="1186">
        <v>102</v>
      </c>
      <c r="E22" s="1186">
        <v>72</v>
      </c>
      <c r="F22" s="1186">
        <v>85</v>
      </c>
      <c r="G22" s="1186">
        <v>67</v>
      </c>
      <c r="H22" s="1186">
        <v>48</v>
      </c>
      <c r="I22" s="1186">
        <v>43</v>
      </c>
      <c r="J22" s="1186">
        <v>47</v>
      </c>
      <c r="K22" s="1186">
        <v>58</v>
      </c>
      <c r="L22" s="1186">
        <v>76</v>
      </c>
      <c r="M22" s="1186">
        <v>118</v>
      </c>
      <c r="N22" s="1186">
        <v>112</v>
      </c>
      <c r="O22" s="1186">
        <v>116</v>
      </c>
      <c r="P22" s="1186">
        <v>114</v>
      </c>
      <c r="Q22" s="1186">
        <v>113</v>
      </c>
      <c r="R22" s="1186">
        <v>111</v>
      </c>
      <c r="S22" s="1186">
        <v>118</v>
      </c>
      <c r="T22" s="1186">
        <v>117</v>
      </c>
      <c r="U22" s="1186">
        <v>126</v>
      </c>
      <c r="V22" s="1186">
        <v>125</v>
      </c>
      <c r="W22" s="1186">
        <v>110</v>
      </c>
      <c r="X22" s="1186">
        <v>148</v>
      </c>
      <c r="Y22" s="1186">
        <v>135</v>
      </c>
      <c r="Z22" s="1186">
        <v>88</v>
      </c>
      <c r="AA22" s="1186">
        <v>75</v>
      </c>
    </row>
    <row r="23" spans="1:27" x14ac:dyDescent="0.2">
      <c r="A23" s="1186" t="s">
        <v>6</v>
      </c>
      <c r="B23" s="1186" t="s">
        <v>144</v>
      </c>
      <c r="C23" s="1186">
        <v>2494</v>
      </c>
      <c r="D23" s="1186">
        <v>85</v>
      </c>
      <c r="E23" s="1186">
        <v>79</v>
      </c>
      <c r="F23" s="1186">
        <v>62</v>
      </c>
      <c r="G23" s="1186">
        <v>53</v>
      </c>
      <c r="H23" s="1186">
        <v>41</v>
      </c>
      <c r="I23" s="1186">
        <v>43</v>
      </c>
      <c r="J23" s="1186">
        <v>50</v>
      </c>
      <c r="K23" s="1186">
        <v>70</v>
      </c>
      <c r="L23" s="1186">
        <v>106</v>
      </c>
      <c r="M23" s="1186">
        <v>117</v>
      </c>
      <c r="N23" s="1186">
        <v>115</v>
      </c>
      <c r="O23" s="1186">
        <v>138</v>
      </c>
      <c r="P23" s="1186">
        <v>144</v>
      </c>
      <c r="Q23" s="1186">
        <v>132</v>
      </c>
      <c r="R23" s="1186">
        <v>123</v>
      </c>
      <c r="S23" s="1186">
        <v>146</v>
      </c>
      <c r="T23" s="1186">
        <v>150</v>
      </c>
      <c r="U23" s="1186">
        <v>142</v>
      </c>
      <c r="V23" s="1186">
        <v>114</v>
      </c>
      <c r="W23" s="1186">
        <v>134</v>
      </c>
      <c r="X23" s="1186">
        <v>127</v>
      </c>
      <c r="Y23" s="1186">
        <v>134</v>
      </c>
      <c r="Z23" s="1186">
        <v>104</v>
      </c>
      <c r="AA23" s="1186">
        <v>85</v>
      </c>
    </row>
    <row r="24" spans="1:27" x14ac:dyDescent="0.2">
      <c r="A24" s="1186" t="s">
        <v>6</v>
      </c>
      <c r="B24" s="1186" t="s">
        <v>282</v>
      </c>
      <c r="C24" s="1186">
        <v>2277</v>
      </c>
      <c r="D24" s="1186">
        <v>64</v>
      </c>
      <c r="E24" s="1186">
        <v>56</v>
      </c>
      <c r="F24" s="1186">
        <v>60</v>
      </c>
      <c r="G24" s="1186">
        <v>39</v>
      </c>
      <c r="H24" s="1186">
        <v>45</v>
      </c>
      <c r="I24" s="1186">
        <v>50</v>
      </c>
      <c r="J24" s="1186">
        <v>31</v>
      </c>
      <c r="K24" s="1186">
        <v>64</v>
      </c>
      <c r="L24" s="1186">
        <v>94</v>
      </c>
      <c r="M24" s="1186">
        <v>95</v>
      </c>
      <c r="N24" s="1186">
        <v>113</v>
      </c>
      <c r="O24" s="1186">
        <v>114</v>
      </c>
      <c r="P24" s="1186">
        <v>127</v>
      </c>
      <c r="Q24" s="1186">
        <v>129</v>
      </c>
      <c r="R24" s="1186">
        <v>126</v>
      </c>
      <c r="S24" s="1186">
        <v>128</v>
      </c>
      <c r="T24" s="1186">
        <v>144</v>
      </c>
      <c r="U24" s="1186">
        <v>118</v>
      </c>
      <c r="V24" s="1186">
        <v>148</v>
      </c>
      <c r="W24" s="1186">
        <v>131</v>
      </c>
      <c r="X24" s="1186">
        <v>138</v>
      </c>
      <c r="Y24" s="1186">
        <v>86</v>
      </c>
      <c r="Z24" s="1186">
        <v>79</v>
      </c>
      <c r="AA24" s="1186">
        <v>98</v>
      </c>
    </row>
    <row r="25" spans="1:27" x14ac:dyDescent="0.2">
      <c r="A25" s="1186" t="s">
        <v>6</v>
      </c>
      <c r="B25" s="1186" t="s">
        <v>311</v>
      </c>
      <c r="C25" s="1186">
        <v>2287</v>
      </c>
      <c r="D25" s="1186">
        <v>64</v>
      </c>
      <c r="E25" s="1186">
        <v>71</v>
      </c>
      <c r="F25" s="1186">
        <v>52</v>
      </c>
      <c r="G25" s="1186">
        <v>63</v>
      </c>
      <c r="H25" s="1186">
        <v>33</v>
      </c>
      <c r="I25" s="1186">
        <v>44</v>
      </c>
      <c r="J25" s="1186">
        <v>46</v>
      </c>
      <c r="K25" s="1186">
        <v>68</v>
      </c>
      <c r="L25" s="1186">
        <v>79</v>
      </c>
      <c r="M25" s="1186">
        <v>127</v>
      </c>
      <c r="N25" s="1186">
        <v>98</v>
      </c>
      <c r="O25" s="1186">
        <v>113</v>
      </c>
      <c r="P25" s="1186">
        <v>119</v>
      </c>
      <c r="Q25" s="1186">
        <v>124</v>
      </c>
      <c r="R25" s="1186">
        <v>123</v>
      </c>
      <c r="S25" s="1186">
        <v>136</v>
      </c>
      <c r="T25" s="1186">
        <v>113</v>
      </c>
      <c r="U25" s="1186">
        <v>126</v>
      </c>
      <c r="V25" s="1186">
        <v>135</v>
      </c>
      <c r="W25" s="1186">
        <v>137</v>
      </c>
      <c r="X25" s="1186">
        <v>126</v>
      </c>
      <c r="Y25" s="1186">
        <v>113</v>
      </c>
      <c r="Z25" s="1186">
        <v>96</v>
      </c>
      <c r="AA25" s="1186">
        <v>81</v>
      </c>
    </row>
    <row r="26" spans="1:27" x14ac:dyDescent="0.2">
      <c r="A26" s="1186" t="s">
        <v>6</v>
      </c>
      <c r="B26" s="1186" t="s">
        <v>621</v>
      </c>
      <c r="C26" s="1186">
        <v>2252</v>
      </c>
      <c r="D26" s="1186">
        <v>64</v>
      </c>
      <c r="E26" s="1186">
        <v>59</v>
      </c>
      <c r="F26" s="1186">
        <v>48</v>
      </c>
      <c r="G26" s="1186">
        <v>62</v>
      </c>
      <c r="H26" s="1186">
        <v>42</v>
      </c>
      <c r="I26" s="1186">
        <v>39</v>
      </c>
      <c r="J26" s="1186">
        <v>57</v>
      </c>
      <c r="K26" s="1186">
        <v>45</v>
      </c>
      <c r="L26" s="1186">
        <v>90</v>
      </c>
      <c r="M26" s="1186">
        <v>107</v>
      </c>
      <c r="N26" s="1186">
        <v>123</v>
      </c>
      <c r="O26" s="1186">
        <v>121</v>
      </c>
      <c r="P26" s="1186">
        <v>129</v>
      </c>
      <c r="Q26" s="1186">
        <v>117</v>
      </c>
      <c r="R26" s="1186">
        <v>106</v>
      </c>
      <c r="S26" s="1186">
        <v>118</v>
      </c>
      <c r="T26" s="1186">
        <v>117</v>
      </c>
      <c r="U26" s="1186">
        <v>139</v>
      </c>
      <c r="V26" s="1186">
        <v>124</v>
      </c>
      <c r="W26" s="1186">
        <v>137</v>
      </c>
      <c r="X26" s="1186">
        <v>123</v>
      </c>
      <c r="Y26" s="1186">
        <v>101</v>
      </c>
      <c r="Z26" s="1186">
        <v>88</v>
      </c>
      <c r="AA26" s="1186">
        <v>96</v>
      </c>
    </row>
    <row r="27" spans="1:27" x14ac:dyDescent="0.2">
      <c r="A27" s="1186" t="s">
        <v>6</v>
      </c>
      <c r="B27" s="1186" t="s">
        <v>1419</v>
      </c>
      <c r="C27" s="1186">
        <v>1980</v>
      </c>
      <c r="D27" s="1186">
        <v>60</v>
      </c>
      <c r="E27" s="1186">
        <v>72</v>
      </c>
      <c r="F27" s="1186">
        <v>39</v>
      </c>
      <c r="G27" s="1186">
        <v>33</v>
      </c>
      <c r="H27" s="1186">
        <v>38</v>
      </c>
      <c r="I27" s="1186">
        <v>36</v>
      </c>
      <c r="J27" s="1186">
        <v>44</v>
      </c>
      <c r="K27" s="1186">
        <v>46</v>
      </c>
      <c r="L27" s="1186">
        <v>79</v>
      </c>
      <c r="M27" s="1186">
        <v>84</v>
      </c>
      <c r="N27" s="1186">
        <v>85</v>
      </c>
      <c r="O27" s="1186">
        <v>127</v>
      </c>
      <c r="P27" s="1186">
        <v>103</v>
      </c>
      <c r="Q27" s="1186">
        <v>105</v>
      </c>
      <c r="R27" s="1186">
        <v>123</v>
      </c>
      <c r="S27" s="1186">
        <v>97</v>
      </c>
      <c r="T27" s="1186">
        <v>106</v>
      </c>
      <c r="U27" s="1186">
        <v>134</v>
      </c>
      <c r="V27" s="1186">
        <v>122</v>
      </c>
      <c r="W27" s="1186">
        <v>109</v>
      </c>
      <c r="X27" s="1186">
        <v>101</v>
      </c>
      <c r="Y27" s="1186">
        <v>95</v>
      </c>
      <c r="Z27" s="1186">
        <v>74</v>
      </c>
      <c r="AA27" s="1186">
        <v>68</v>
      </c>
    </row>
    <row r="28" spans="1:27" x14ac:dyDescent="0.2">
      <c r="A28" s="1186" t="s">
        <v>6</v>
      </c>
      <c r="B28" s="1186" t="s">
        <v>1572</v>
      </c>
      <c r="C28" s="1186">
        <v>1718</v>
      </c>
      <c r="D28" s="1186">
        <v>54</v>
      </c>
      <c r="E28" s="1186">
        <v>50</v>
      </c>
      <c r="F28" s="1186">
        <v>26</v>
      </c>
      <c r="G28" s="1186">
        <v>26</v>
      </c>
      <c r="H28" s="1186">
        <v>35</v>
      </c>
      <c r="I28" s="1186">
        <v>23</v>
      </c>
      <c r="J28" s="1186">
        <v>47</v>
      </c>
      <c r="K28" s="1186">
        <v>56</v>
      </c>
      <c r="L28" s="1186">
        <v>66</v>
      </c>
      <c r="M28" s="1186">
        <v>72</v>
      </c>
      <c r="N28" s="1186">
        <v>75</v>
      </c>
      <c r="O28" s="1186">
        <v>86</v>
      </c>
      <c r="P28" s="1186">
        <v>83</v>
      </c>
      <c r="Q28" s="1186">
        <v>90</v>
      </c>
      <c r="R28" s="1186">
        <v>95</v>
      </c>
      <c r="S28" s="1186">
        <v>100</v>
      </c>
      <c r="T28" s="1186">
        <v>125</v>
      </c>
      <c r="U28" s="1186">
        <v>86</v>
      </c>
      <c r="V28" s="1186">
        <v>128</v>
      </c>
      <c r="W28" s="1186">
        <v>80</v>
      </c>
      <c r="X28" s="1186">
        <v>99</v>
      </c>
      <c r="Y28" s="1186">
        <v>77</v>
      </c>
      <c r="Z28" s="1186">
        <v>70</v>
      </c>
      <c r="AA28" s="1186">
        <v>69</v>
      </c>
    </row>
    <row r="29" spans="1:27" x14ac:dyDescent="0.2">
      <c r="A29" s="1186" t="s">
        <v>763</v>
      </c>
      <c r="B29" s="1186" t="s">
        <v>19</v>
      </c>
      <c r="C29" s="1186">
        <v>4428</v>
      </c>
      <c r="D29" s="1186">
        <v>270</v>
      </c>
      <c r="E29" s="1186">
        <v>219</v>
      </c>
      <c r="F29" s="1186">
        <v>236</v>
      </c>
      <c r="G29" s="1186">
        <v>172</v>
      </c>
      <c r="H29" s="1186">
        <v>168</v>
      </c>
      <c r="I29" s="1186">
        <v>96</v>
      </c>
      <c r="J29" s="1186">
        <v>73</v>
      </c>
      <c r="K29" s="1186">
        <v>86</v>
      </c>
      <c r="L29" s="1186">
        <v>80</v>
      </c>
      <c r="M29" s="1186">
        <v>88</v>
      </c>
      <c r="N29" s="1186">
        <v>95</v>
      </c>
      <c r="O29" s="1186">
        <v>115</v>
      </c>
      <c r="P29" s="1186">
        <v>131</v>
      </c>
      <c r="Q29" s="1186">
        <v>165</v>
      </c>
      <c r="R29" s="1186">
        <v>179</v>
      </c>
      <c r="S29" s="1186">
        <v>185</v>
      </c>
      <c r="T29" s="1186">
        <v>172</v>
      </c>
      <c r="U29" s="1186">
        <v>186</v>
      </c>
      <c r="V29" s="1186">
        <v>229</v>
      </c>
      <c r="W29" s="1186">
        <v>287</v>
      </c>
      <c r="X29" s="1186">
        <v>297</v>
      </c>
      <c r="Y29" s="1186">
        <v>325</v>
      </c>
      <c r="Z29" s="1186">
        <v>295</v>
      </c>
      <c r="AA29" s="1186">
        <v>279</v>
      </c>
    </row>
    <row r="30" spans="1:27" x14ac:dyDescent="0.2">
      <c r="A30" s="1186" t="s">
        <v>763</v>
      </c>
      <c r="B30" s="1186" t="s">
        <v>20</v>
      </c>
      <c r="C30" s="1186">
        <v>4056</v>
      </c>
      <c r="D30" s="1186">
        <v>249</v>
      </c>
      <c r="E30" s="1186">
        <v>198</v>
      </c>
      <c r="F30" s="1186">
        <v>197</v>
      </c>
      <c r="G30" s="1186">
        <v>177</v>
      </c>
      <c r="H30" s="1186">
        <v>124</v>
      </c>
      <c r="I30" s="1186">
        <v>107</v>
      </c>
      <c r="J30" s="1186">
        <v>67</v>
      </c>
      <c r="K30" s="1186">
        <v>87</v>
      </c>
      <c r="L30" s="1186">
        <v>85</v>
      </c>
      <c r="M30" s="1186">
        <v>94</v>
      </c>
      <c r="N30" s="1186">
        <v>92</v>
      </c>
      <c r="O30" s="1186">
        <v>117</v>
      </c>
      <c r="P30" s="1186">
        <v>121</v>
      </c>
      <c r="Q30" s="1186">
        <v>132</v>
      </c>
      <c r="R30" s="1186">
        <v>153</v>
      </c>
      <c r="S30" s="1186">
        <v>148</v>
      </c>
      <c r="T30" s="1186">
        <v>183</v>
      </c>
      <c r="U30" s="1186">
        <v>227</v>
      </c>
      <c r="V30" s="1186">
        <v>214</v>
      </c>
      <c r="W30" s="1186">
        <v>220</v>
      </c>
      <c r="X30" s="1186">
        <v>289</v>
      </c>
      <c r="Y30" s="1186">
        <v>285</v>
      </c>
      <c r="Z30" s="1186">
        <v>255</v>
      </c>
      <c r="AA30" s="1186">
        <v>235</v>
      </c>
    </row>
    <row r="31" spans="1:27" x14ac:dyDescent="0.2">
      <c r="A31" s="1186" t="s">
        <v>763</v>
      </c>
      <c r="B31" s="1186" t="s">
        <v>13</v>
      </c>
      <c r="C31" s="1186">
        <v>3537</v>
      </c>
      <c r="D31" s="1186">
        <v>206</v>
      </c>
      <c r="E31" s="1186">
        <v>212</v>
      </c>
      <c r="F31" s="1186">
        <v>172</v>
      </c>
      <c r="G31" s="1186">
        <v>143</v>
      </c>
      <c r="H31" s="1186">
        <v>101</v>
      </c>
      <c r="I31" s="1186">
        <v>78</v>
      </c>
      <c r="J31" s="1186">
        <v>86</v>
      </c>
      <c r="K31" s="1186">
        <v>75</v>
      </c>
      <c r="L31" s="1186">
        <v>85</v>
      </c>
      <c r="M31" s="1186">
        <v>63</v>
      </c>
      <c r="N31" s="1186">
        <v>73</v>
      </c>
      <c r="O31" s="1186">
        <v>100</v>
      </c>
      <c r="P31" s="1186">
        <v>121</v>
      </c>
      <c r="Q31" s="1186">
        <v>132</v>
      </c>
      <c r="R31" s="1186">
        <v>127</v>
      </c>
      <c r="S31" s="1186">
        <v>150</v>
      </c>
      <c r="T31" s="1186">
        <v>146</v>
      </c>
      <c r="U31" s="1186">
        <v>180</v>
      </c>
      <c r="V31" s="1186">
        <v>193</v>
      </c>
      <c r="W31" s="1186">
        <v>205</v>
      </c>
      <c r="X31" s="1186">
        <v>220</v>
      </c>
      <c r="Y31" s="1186">
        <v>245</v>
      </c>
      <c r="Z31" s="1186">
        <v>208</v>
      </c>
      <c r="AA31" s="1186">
        <v>216</v>
      </c>
    </row>
    <row r="32" spans="1:27" x14ac:dyDescent="0.2">
      <c r="A32" s="1186" t="s">
        <v>763</v>
      </c>
      <c r="B32" s="1186" t="s">
        <v>15</v>
      </c>
      <c r="C32" s="1186">
        <v>2849</v>
      </c>
      <c r="D32" s="1186">
        <v>152</v>
      </c>
      <c r="E32" s="1186">
        <v>147</v>
      </c>
      <c r="F32" s="1186">
        <v>104</v>
      </c>
      <c r="G32" s="1186">
        <v>93</v>
      </c>
      <c r="H32" s="1186">
        <v>84</v>
      </c>
      <c r="I32" s="1186">
        <v>67</v>
      </c>
      <c r="J32" s="1186">
        <v>60</v>
      </c>
      <c r="K32" s="1186">
        <v>70</v>
      </c>
      <c r="L32" s="1186">
        <v>85</v>
      </c>
      <c r="M32" s="1186">
        <v>84</v>
      </c>
      <c r="N32" s="1186">
        <v>77</v>
      </c>
      <c r="O32" s="1186">
        <v>85</v>
      </c>
      <c r="P32" s="1186">
        <v>106</v>
      </c>
      <c r="Q32" s="1186">
        <v>125</v>
      </c>
      <c r="R32" s="1186">
        <v>122</v>
      </c>
      <c r="S32" s="1186">
        <v>145</v>
      </c>
      <c r="T32" s="1186">
        <v>143</v>
      </c>
      <c r="U32" s="1186">
        <v>133</v>
      </c>
      <c r="V32" s="1186">
        <v>141</v>
      </c>
      <c r="W32" s="1186">
        <v>169</v>
      </c>
      <c r="X32" s="1186">
        <v>168</v>
      </c>
      <c r="Y32" s="1186">
        <v>164</v>
      </c>
      <c r="Z32" s="1186">
        <v>163</v>
      </c>
      <c r="AA32" s="1186">
        <v>162</v>
      </c>
    </row>
    <row r="33" spans="1:27" x14ac:dyDescent="0.2">
      <c r="A33" s="1186" t="s">
        <v>763</v>
      </c>
      <c r="B33" s="1186" t="s">
        <v>17</v>
      </c>
      <c r="C33" s="1186">
        <v>2852</v>
      </c>
      <c r="D33" s="1186">
        <v>133</v>
      </c>
      <c r="E33" s="1186">
        <v>125</v>
      </c>
      <c r="F33" s="1186">
        <v>115</v>
      </c>
      <c r="G33" s="1186">
        <v>90</v>
      </c>
      <c r="H33" s="1186">
        <v>59</v>
      </c>
      <c r="I33" s="1186">
        <v>65</v>
      </c>
      <c r="J33" s="1186">
        <v>56</v>
      </c>
      <c r="K33" s="1186">
        <v>67</v>
      </c>
      <c r="L33" s="1186">
        <v>81</v>
      </c>
      <c r="M33" s="1186">
        <v>81</v>
      </c>
      <c r="N33" s="1186">
        <v>83</v>
      </c>
      <c r="O33" s="1186">
        <v>82</v>
      </c>
      <c r="P33" s="1186">
        <v>106</v>
      </c>
      <c r="Q33" s="1186">
        <v>108</v>
      </c>
      <c r="R33" s="1186">
        <v>130</v>
      </c>
      <c r="S33" s="1186">
        <v>155</v>
      </c>
      <c r="T33" s="1186">
        <v>161</v>
      </c>
      <c r="U33" s="1186">
        <v>201</v>
      </c>
      <c r="V33" s="1186">
        <v>154</v>
      </c>
      <c r="W33" s="1186">
        <v>177</v>
      </c>
      <c r="X33" s="1186">
        <v>189</v>
      </c>
      <c r="Y33" s="1186">
        <v>160</v>
      </c>
      <c r="Z33" s="1186">
        <v>140</v>
      </c>
      <c r="AA33" s="1186">
        <v>134</v>
      </c>
    </row>
    <row r="34" spans="1:27" x14ac:dyDescent="0.2">
      <c r="A34" s="1186" t="s">
        <v>763</v>
      </c>
      <c r="B34" s="1186" t="s">
        <v>133</v>
      </c>
      <c r="C34" s="1186">
        <v>2735</v>
      </c>
      <c r="D34" s="1186">
        <v>142</v>
      </c>
      <c r="E34" s="1186">
        <v>151</v>
      </c>
      <c r="F34" s="1186">
        <v>117</v>
      </c>
      <c r="G34" s="1186">
        <v>92</v>
      </c>
      <c r="H34" s="1186">
        <v>79</v>
      </c>
      <c r="I34" s="1186">
        <v>46</v>
      </c>
      <c r="J34" s="1186">
        <v>55</v>
      </c>
      <c r="K34" s="1186">
        <v>63</v>
      </c>
      <c r="L34" s="1186">
        <v>82</v>
      </c>
      <c r="M34" s="1186">
        <v>52</v>
      </c>
      <c r="N34" s="1186">
        <v>80</v>
      </c>
      <c r="O34" s="1186">
        <v>103</v>
      </c>
      <c r="P34" s="1186">
        <v>91</v>
      </c>
      <c r="Q34" s="1186">
        <v>111</v>
      </c>
      <c r="R34" s="1186">
        <v>110</v>
      </c>
      <c r="S34" s="1186">
        <v>146</v>
      </c>
      <c r="T34" s="1186">
        <v>127</v>
      </c>
      <c r="U34" s="1186">
        <v>156</v>
      </c>
      <c r="V34" s="1186">
        <v>171</v>
      </c>
      <c r="W34" s="1186">
        <v>168</v>
      </c>
      <c r="X34" s="1186">
        <v>141</v>
      </c>
      <c r="Y34" s="1186">
        <v>168</v>
      </c>
      <c r="Z34" s="1186">
        <v>132</v>
      </c>
      <c r="AA34" s="1186">
        <v>152</v>
      </c>
    </row>
    <row r="35" spans="1:27" x14ac:dyDescent="0.2">
      <c r="A35" s="1186" t="s">
        <v>763</v>
      </c>
      <c r="B35" s="1186" t="s">
        <v>144</v>
      </c>
      <c r="C35" s="1186">
        <v>2839</v>
      </c>
      <c r="D35" s="1186">
        <v>141</v>
      </c>
      <c r="E35" s="1186">
        <v>119</v>
      </c>
      <c r="F35" s="1186">
        <v>117</v>
      </c>
      <c r="G35" s="1186">
        <v>69</v>
      </c>
      <c r="H35" s="1186">
        <v>77</v>
      </c>
      <c r="I35" s="1186">
        <v>67</v>
      </c>
      <c r="J35" s="1186">
        <v>46</v>
      </c>
      <c r="K35" s="1186">
        <v>54</v>
      </c>
      <c r="L35" s="1186">
        <v>67</v>
      </c>
      <c r="M35" s="1186">
        <v>76</v>
      </c>
      <c r="N35" s="1186">
        <v>77</v>
      </c>
      <c r="O35" s="1186">
        <v>82</v>
      </c>
      <c r="P35" s="1186">
        <v>108</v>
      </c>
      <c r="Q35" s="1186">
        <v>124</v>
      </c>
      <c r="R35" s="1186">
        <v>120</v>
      </c>
      <c r="S35" s="1186">
        <v>145</v>
      </c>
      <c r="T35" s="1186">
        <v>152</v>
      </c>
      <c r="U35" s="1186">
        <v>156</v>
      </c>
      <c r="V35" s="1186">
        <v>172</v>
      </c>
      <c r="W35" s="1186">
        <v>187</v>
      </c>
      <c r="X35" s="1186">
        <v>181</v>
      </c>
      <c r="Y35" s="1186">
        <v>184</v>
      </c>
      <c r="Z35" s="1186">
        <v>177</v>
      </c>
      <c r="AA35" s="1186">
        <v>141</v>
      </c>
    </row>
    <row r="36" spans="1:27" x14ac:dyDescent="0.2">
      <c r="A36" s="1186" t="s">
        <v>763</v>
      </c>
      <c r="B36" s="1186" t="s">
        <v>282</v>
      </c>
      <c r="C36" s="1186">
        <v>3077</v>
      </c>
      <c r="D36" s="1186">
        <v>135</v>
      </c>
      <c r="E36" s="1186">
        <v>130</v>
      </c>
      <c r="F36" s="1186">
        <v>121</v>
      </c>
      <c r="G36" s="1186">
        <v>113</v>
      </c>
      <c r="H36" s="1186">
        <v>90</v>
      </c>
      <c r="I36" s="1186">
        <v>63</v>
      </c>
      <c r="J36" s="1186">
        <v>58</v>
      </c>
      <c r="K36" s="1186">
        <v>63</v>
      </c>
      <c r="L36" s="1186">
        <v>87</v>
      </c>
      <c r="M36" s="1186">
        <v>56</v>
      </c>
      <c r="N36" s="1186">
        <v>91</v>
      </c>
      <c r="O36" s="1186">
        <v>109</v>
      </c>
      <c r="P36" s="1186">
        <v>109</v>
      </c>
      <c r="Q36" s="1186">
        <v>108</v>
      </c>
      <c r="R36" s="1186">
        <v>136</v>
      </c>
      <c r="S36" s="1186">
        <v>149</v>
      </c>
      <c r="T36" s="1186">
        <v>166</v>
      </c>
      <c r="U36" s="1186">
        <v>156</v>
      </c>
      <c r="V36" s="1186">
        <v>209</v>
      </c>
      <c r="W36" s="1186">
        <v>192</v>
      </c>
      <c r="X36" s="1186">
        <v>207</v>
      </c>
      <c r="Y36" s="1186">
        <v>184</v>
      </c>
      <c r="Z36" s="1186">
        <v>166</v>
      </c>
      <c r="AA36" s="1186">
        <v>179</v>
      </c>
    </row>
    <row r="37" spans="1:27" x14ac:dyDescent="0.2">
      <c r="A37" s="1186" t="s">
        <v>763</v>
      </c>
      <c r="B37" s="1186" t="s">
        <v>311</v>
      </c>
      <c r="C37" s="1186">
        <v>3074</v>
      </c>
      <c r="D37" s="1186">
        <v>143</v>
      </c>
      <c r="E37" s="1186">
        <v>159</v>
      </c>
      <c r="F37" s="1186">
        <v>116</v>
      </c>
      <c r="G37" s="1186">
        <v>80</v>
      </c>
      <c r="H37" s="1186">
        <v>70</v>
      </c>
      <c r="I37" s="1186">
        <v>66</v>
      </c>
      <c r="J37" s="1186">
        <v>55</v>
      </c>
      <c r="K37" s="1186">
        <v>69</v>
      </c>
      <c r="L37" s="1186">
        <v>78</v>
      </c>
      <c r="M37" s="1186">
        <v>73</v>
      </c>
      <c r="N37" s="1186">
        <v>82</v>
      </c>
      <c r="O37" s="1186">
        <v>111</v>
      </c>
      <c r="P37" s="1186">
        <v>100</v>
      </c>
      <c r="Q37" s="1186">
        <v>106</v>
      </c>
      <c r="R37" s="1186">
        <v>153</v>
      </c>
      <c r="S37" s="1186">
        <v>129</v>
      </c>
      <c r="T37" s="1186">
        <v>159</v>
      </c>
      <c r="U37" s="1186">
        <v>175</v>
      </c>
      <c r="V37" s="1186">
        <v>194</v>
      </c>
      <c r="W37" s="1186">
        <v>222</v>
      </c>
      <c r="X37" s="1186">
        <v>210</v>
      </c>
      <c r="Y37" s="1186">
        <v>176</v>
      </c>
      <c r="Z37" s="1186">
        <v>176</v>
      </c>
      <c r="AA37" s="1186">
        <v>172</v>
      </c>
    </row>
    <row r="38" spans="1:27" x14ac:dyDescent="0.2">
      <c r="A38" s="1186" t="s">
        <v>763</v>
      </c>
      <c r="B38" s="1186" t="s">
        <v>621</v>
      </c>
      <c r="C38" s="1186">
        <v>3076</v>
      </c>
      <c r="D38" s="1186">
        <v>168</v>
      </c>
      <c r="E38" s="1186">
        <v>160</v>
      </c>
      <c r="F38" s="1186">
        <v>100</v>
      </c>
      <c r="G38" s="1186">
        <v>83</v>
      </c>
      <c r="H38" s="1186">
        <v>65</v>
      </c>
      <c r="I38" s="1186">
        <v>55</v>
      </c>
      <c r="J38" s="1186">
        <v>45</v>
      </c>
      <c r="K38" s="1186">
        <v>60</v>
      </c>
      <c r="L38" s="1186">
        <v>72</v>
      </c>
      <c r="M38" s="1186">
        <v>86</v>
      </c>
      <c r="N38" s="1186">
        <v>98</v>
      </c>
      <c r="O38" s="1186">
        <v>110</v>
      </c>
      <c r="P38" s="1186">
        <v>120</v>
      </c>
      <c r="Q38" s="1186">
        <v>130</v>
      </c>
      <c r="R38" s="1186">
        <v>142</v>
      </c>
      <c r="S38" s="1186">
        <v>147</v>
      </c>
      <c r="T38" s="1186">
        <v>181</v>
      </c>
      <c r="U38" s="1186">
        <v>170</v>
      </c>
      <c r="V38" s="1186">
        <v>194</v>
      </c>
      <c r="W38" s="1186">
        <v>184</v>
      </c>
      <c r="X38" s="1186">
        <v>201</v>
      </c>
      <c r="Y38" s="1186">
        <v>186</v>
      </c>
      <c r="Z38" s="1186">
        <v>166</v>
      </c>
      <c r="AA38" s="1186">
        <v>153</v>
      </c>
    </row>
    <row r="39" spans="1:27" x14ac:dyDescent="0.2">
      <c r="A39" s="1186" t="s">
        <v>763</v>
      </c>
      <c r="B39" s="1186" t="s">
        <v>1419</v>
      </c>
      <c r="C39" s="1186">
        <v>2982</v>
      </c>
      <c r="D39" s="1186">
        <v>174</v>
      </c>
      <c r="E39" s="1186">
        <v>166</v>
      </c>
      <c r="F39" s="1186">
        <v>135</v>
      </c>
      <c r="G39" s="1186">
        <v>85</v>
      </c>
      <c r="H39" s="1186">
        <v>66</v>
      </c>
      <c r="I39" s="1186">
        <v>62</v>
      </c>
      <c r="J39" s="1186">
        <v>36</v>
      </c>
      <c r="K39" s="1186">
        <v>49</v>
      </c>
      <c r="L39" s="1186">
        <v>70</v>
      </c>
      <c r="M39" s="1186">
        <v>73</v>
      </c>
      <c r="N39" s="1186">
        <v>96</v>
      </c>
      <c r="O39" s="1186">
        <v>90</v>
      </c>
      <c r="P39" s="1186">
        <v>91</v>
      </c>
      <c r="Q39" s="1186">
        <v>118</v>
      </c>
      <c r="R39" s="1186">
        <v>109</v>
      </c>
      <c r="S39" s="1186">
        <v>150</v>
      </c>
      <c r="T39" s="1186">
        <v>166</v>
      </c>
      <c r="U39" s="1186">
        <v>175</v>
      </c>
      <c r="V39" s="1186">
        <v>154</v>
      </c>
      <c r="W39" s="1186">
        <v>176</v>
      </c>
      <c r="X39" s="1186">
        <v>177</v>
      </c>
      <c r="Y39" s="1186">
        <v>187</v>
      </c>
      <c r="Z39" s="1186">
        <v>190</v>
      </c>
      <c r="AA39" s="1186">
        <v>187</v>
      </c>
    </row>
    <row r="40" spans="1:27" x14ac:dyDescent="0.2">
      <c r="A40" s="1186" t="s">
        <v>763</v>
      </c>
      <c r="B40" s="1186" t="s">
        <v>1572</v>
      </c>
      <c r="C40" s="1186">
        <v>3037</v>
      </c>
      <c r="D40" s="1186">
        <v>179</v>
      </c>
      <c r="E40" s="1186">
        <v>159</v>
      </c>
      <c r="F40" s="1186">
        <v>117</v>
      </c>
      <c r="G40" s="1186">
        <v>86</v>
      </c>
      <c r="H40" s="1186">
        <v>61</v>
      </c>
      <c r="I40" s="1186">
        <v>52</v>
      </c>
      <c r="J40" s="1186">
        <v>41</v>
      </c>
      <c r="K40" s="1186">
        <v>42</v>
      </c>
      <c r="L40" s="1186">
        <v>68</v>
      </c>
      <c r="M40" s="1186">
        <v>68</v>
      </c>
      <c r="N40" s="1186">
        <v>78</v>
      </c>
      <c r="O40" s="1186">
        <v>92</v>
      </c>
      <c r="P40" s="1186">
        <v>96</v>
      </c>
      <c r="Q40" s="1186">
        <v>122</v>
      </c>
      <c r="R40" s="1186">
        <v>117</v>
      </c>
      <c r="S40" s="1186">
        <v>137</v>
      </c>
      <c r="T40" s="1186">
        <v>185</v>
      </c>
      <c r="U40" s="1186">
        <v>171</v>
      </c>
      <c r="V40" s="1186">
        <v>197</v>
      </c>
      <c r="W40" s="1186">
        <v>224</v>
      </c>
      <c r="X40" s="1186">
        <v>194</v>
      </c>
      <c r="Y40" s="1186">
        <v>195</v>
      </c>
      <c r="Z40" s="1186">
        <v>181</v>
      </c>
      <c r="AA40" s="1186">
        <v>175</v>
      </c>
    </row>
  </sheetData>
  <pageMargins left="0.7" right="0.7" top="0.75" bottom="0.75" header="0.3" footer="0.3"/>
  <pageSetup paperSize="9" fitToHeight="50" orientation="landscape" r:id="rId1"/>
  <legacyDrawing r:id="rId2"/>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pageSetUpPr fitToPage="1"/>
  </sheetPr>
  <dimension ref="A1:AA2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8" bestFit="1" customWidth="1"/>
    <col min="2" max="2" width="7.42578125" bestFit="1" customWidth="1"/>
    <col min="3" max="3" width="4.85546875" bestFit="1" customWidth="1"/>
    <col min="4" max="21" width="2.85546875" bestFit="1" customWidth="1"/>
    <col min="22" max="22" width="3.85546875" bestFit="1" customWidth="1"/>
    <col min="23" max="27" width="2.85546875" bestFit="1" customWidth="1"/>
  </cols>
  <sheetData>
    <row r="1" spans="1:27" x14ac:dyDescent="0.2"/>
    <row r="4" spans="1:27" x14ac:dyDescent="0.2">
      <c r="A4" s="1223" t="s">
        <v>1925</v>
      </c>
      <c r="B4" s="1223" t="s">
        <v>4</v>
      </c>
      <c r="C4" s="1223" t="s">
        <v>11</v>
      </c>
      <c r="D4" s="1223">
        <v>0</v>
      </c>
      <c r="E4" s="1223">
        <v>1</v>
      </c>
      <c r="F4" s="1223">
        <v>2</v>
      </c>
      <c r="G4" s="1223">
        <v>3</v>
      </c>
      <c r="H4" s="1223">
        <v>4</v>
      </c>
      <c r="I4" s="1223">
        <v>5</v>
      </c>
      <c r="J4" s="1223">
        <v>6</v>
      </c>
      <c r="K4" s="1223">
        <v>7</v>
      </c>
      <c r="L4" s="1223">
        <v>8</v>
      </c>
      <c r="M4" s="1223">
        <v>9</v>
      </c>
      <c r="N4" s="1223">
        <v>10</v>
      </c>
      <c r="O4" s="1223">
        <v>11</v>
      </c>
      <c r="P4" s="1223">
        <v>12</v>
      </c>
      <c r="Q4" s="1223">
        <v>13</v>
      </c>
      <c r="R4" s="1223">
        <v>14</v>
      </c>
      <c r="S4" s="1223">
        <v>15</v>
      </c>
      <c r="T4" s="1223">
        <v>16</v>
      </c>
      <c r="U4" s="1223">
        <v>17</v>
      </c>
      <c r="V4" s="1223">
        <v>18</v>
      </c>
      <c r="W4" s="1223">
        <v>19</v>
      </c>
      <c r="X4" s="1223">
        <v>20</v>
      </c>
      <c r="Y4" s="1223">
        <v>21</v>
      </c>
      <c r="Z4" s="1223">
        <v>22</v>
      </c>
      <c r="AA4" s="1223">
        <v>23</v>
      </c>
    </row>
    <row r="5" spans="1:27" x14ac:dyDescent="0.2">
      <c r="A5" s="1186" t="s">
        <v>97</v>
      </c>
      <c r="B5" s="1186" t="s">
        <v>19</v>
      </c>
      <c r="C5" s="1186">
        <v>53</v>
      </c>
      <c r="D5" s="1186">
        <v>4</v>
      </c>
      <c r="E5" s="1186">
        <v>4</v>
      </c>
      <c r="F5" s="1186">
        <v>7</v>
      </c>
      <c r="G5" s="1186">
        <v>3</v>
      </c>
      <c r="H5" s="1186">
        <v>3</v>
      </c>
      <c r="I5" s="1186">
        <v>1</v>
      </c>
      <c r="J5" s="1186">
        <v>1</v>
      </c>
      <c r="K5" s="1186"/>
      <c r="L5" s="1186">
        <v>2</v>
      </c>
      <c r="M5" s="1186"/>
      <c r="N5" s="1186"/>
      <c r="O5" s="1186">
        <v>3</v>
      </c>
      <c r="P5" s="1186"/>
      <c r="Q5" s="1186">
        <v>2</v>
      </c>
      <c r="R5" s="1186"/>
      <c r="S5" s="1186"/>
      <c r="T5" s="1186">
        <v>4</v>
      </c>
      <c r="U5" s="1186">
        <v>2</v>
      </c>
      <c r="V5" s="1186">
        <v>8</v>
      </c>
      <c r="W5" s="1186">
        <v>3</v>
      </c>
      <c r="X5" s="1186"/>
      <c r="Y5" s="1186"/>
      <c r="Z5" s="1186">
        <v>5</v>
      </c>
      <c r="AA5" s="1186">
        <v>1</v>
      </c>
    </row>
    <row r="6" spans="1:27" x14ac:dyDescent="0.2">
      <c r="A6" s="1186" t="s">
        <v>97</v>
      </c>
      <c r="B6" s="1186" t="s">
        <v>20</v>
      </c>
      <c r="C6" s="1186">
        <v>45</v>
      </c>
      <c r="D6" s="1186">
        <v>1</v>
      </c>
      <c r="E6" s="1186">
        <v>5</v>
      </c>
      <c r="F6" s="1186">
        <v>2</v>
      </c>
      <c r="G6" s="1186">
        <v>5</v>
      </c>
      <c r="H6" s="1186">
        <v>2</v>
      </c>
      <c r="I6" s="1186">
        <v>3</v>
      </c>
      <c r="J6" s="1186">
        <v>3</v>
      </c>
      <c r="K6" s="1186">
        <v>2</v>
      </c>
      <c r="L6" s="1186">
        <v>1</v>
      </c>
      <c r="M6" s="1186"/>
      <c r="N6" s="1186">
        <v>2</v>
      </c>
      <c r="O6" s="1186">
        <v>1</v>
      </c>
      <c r="P6" s="1186">
        <v>1</v>
      </c>
      <c r="Q6" s="1186">
        <v>2</v>
      </c>
      <c r="R6" s="1186">
        <v>2</v>
      </c>
      <c r="S6" s="1186">
        <v>1</v>
      </c>
      <c r="T6" s="1186">
        <v>1</v>
      </c>
      <c r="U6" s="1186">
        <v>3</v>
      </c>
      <c r="V6" s="1186"/>
      <c r="W6" s="1186"/>
      <c r="X6" s="1186">
        <v>1</v>
      </c>
      <c r="Y6" s="1186">
        <v>1</v>
      </c>
      <c r="Z6" s="1186">
        <v>1</v>
      </c>
      <c r="AA6" s="1186">
        <v>5</v>
      </c>
    </row>
    <row r="7" spans="1:27" x14ac:dyDescent="0.2">
      <c r="A7" s="1186" t="s">
        <v>97</v>
      </c>
      <c r="B7" s="1186" t="s">
        <v>13</v>
      </c>
      <c r="C7" s="1186">
        <v>51</v>
      </c>
      <c r="D7" s="1186">
        <v>1</v>
      </c>
      <c r="E7" s="1186">
        <v>2</v>
      </c>
      <c r="F7" s="1186">
        <v>4</v>
      </c>
      <c r="G7" s="1186">
        <v>3</v>
      </c>
      <c r="H7" s="1186">
        <v>2</v>
      </c>
      <c r="I7" s="1186">
        <v>3</v>
      </c>
      <c r="J7" s="1186">
        <v>1</v>
      </c>
      <c r="K7" s="1186">
        <v>2</v>
      </c>
      <c r="L7" s="1186">
        <v>2</v>
      </c>
      <c r="M7" s="1186"/>
      <c r="N7" s="1186">
        <v>3</v>
      </c>
      <c r="O7" s="1186">
        <v>3</v>
      </c>
      <c r="P7" s="1186">
        <v>4</v>
      </c>
      <c r="Q7" s="1186">
        <v>1</v>
      </c>
      <c r="R7" s="1186">
        <v>1</v>
      </c>
      <c r="S7" s="1186">
        <v>2</v>
      </c>
      <c r="T7" s="1186">
        <v>4</v>
      </c>
      <c r="U7" s="1186">
        <v>2</v>
      </c>
      <c r="V7" s="1186"/>
      <c r="W7" s="1186">
        <v>1</v>
      </c>
      <c r="X7" s="1186">
        <v>1</v>
      </c>
      <c r="Y7" s="1186">
        <v>3</v>
      </c>
      <c r="Z7" s="1186">
        <v>5</v>
      </c>
      <c r="AA7" s="1186">
        <v>1</v>
      </c>
    </row>
    <row r="8" spans="1:27" x14ac:dyDescent="0.2">
      <c r="A8" s="1186" t="s">
        <v>97</v>
      </c>
      <c r="B8" s="1186" t="s">
        <v>15</v>
      </c>
      <c r="C8" s="1186">
        <v>40</v>
      </c>
      <c r="D8" s="1186">
        <v>1</v>
      </c>
      <c r="E8" s="1186">
        <v>1</v>
      </c>
      <c r="F8" s="1186">
        <v>3</v>
      </c>
      <c r="G8" s="1186">
        <v>2</v>
      </c>
      <c r="H8" s="1186">
        <v>1</v>
      </c>
      <c r="I8" s="1186">
        <v>5</v>
      </c>
      <c r="J8" s="1186">
        <v>1</v>
      </c>
      <c r="K8" s="1186">
        <v>3</v>
      </c>
      <c r="L8" s="1186">
        <v>2</v>
      </c>
      <c r="M8" s="1186">
        <v>2</v>
      </c>
      <c r="N8" s="1186">
        <v>4</v>
      </c>
      <c r="O8" s="1186">
        <v>1</v>
      </c>
      <c r="P8" s="1186">
        <v>1</v>
      </c>
      <c r="Q8" s="1186"/>
      <c r="R8" s="1186">
        <v>1</v>
      </c>
      <c r="S8" s="1186">
        <v>3</v>
      </c>
      <c r="T8" s="1186">
        <v>1</v>
      </c>
      <c r="U8" s="1186"/>
      <c r="V8" s="1186">
        <v>2</v>
      </c>
      <c r="W8" s="1186"/>
      <c r="X8" s="1186"/>
      <c r="Y8" s="1186">
        <v>2</v>
      </c>
      <c r="Z8" s="1186">
        <v>2</v>
      </c>
      <c r="AA8" s="1186">
        <v>2</v>
      </c>
    </row>
    <row r="9" spans="1:27" x14ac:dyDescent="0.2">
      <c r="A9" s="1186" t="s">
        <v>97</v>
      </c>
      <c r="B9" s="1186" t="s">
        <v>17</v>
      </c>
      <c r="C9" s="1186">
        <v>29</v>
      </c>
      <c r="D9" s="1186">
        <v>1</v>
      </c>
      <c r="E9" s="1186"/>
      <c r="F9" s="1186">
        <v>1</v>
      </c>
      <c r="G9" s="1186">
        <v>2</v>
      </c>
      <c r="H9" s="1186">
        <v>1</v>
      </c>
      <c r="I9" s="1186">
        <v>2</v>
      </c>
      <c r="J9" s="1186">
        <v>1</v>
      </c>
      <c r="K9" s="1186">
        <v>2</v>
      </c>
      <c r="L9" s="1186">
        <v>2</v>
      </c>
      <c r="M9" s="1186">
        <v>1</v>
      </c>
      <c r="N9" s="1186"/>
      <c r="O9" s="1186"/>
      <c r="P9" s="1186">
        <v>1</v>
      </c>
      <c r="Q9" s="1186">
        <v>2</v>
      </c>
      <c r="R9" s="1186">
        <v>1</v>
      </c>
      <c r="S9" s="1186"/>
      <c r="T9" s="1186">
        <v>1</v>
      </c>
      <c r="U9" s="1186">
        <v>1</v>
      </c>
      <c r="V9" s="1186">
        <v>1</v>
      </c>
      <c r="W9" s="1186">
        <v>1</v>
      </c>
      <c r="X9" s="1186">
        <v>5</v>
      </c>
      <c r="Y9" s="1186">
        <v>2</v>
      </c>
      <c r="Z9" s="1186"/>
      <c r="AA9" s="1186">
        <v>1</v>
      </c>
    </row>
    <row r="10" spans="1:27" x14ac:dyDescent="0.2">
      <c r="A10" s="1186" t="s">
        <v>97</v>
      </c>
      <c r="B10" s="1186" t="s">
        <v>133</v>
      </c>
      <c r="C10" s="1186">
        <v>31</v>
      </c>
      <c r="D10" s="1186">
        <v>2</v>
      </c>
      <c r="E10" s="1186"/>
      <c r="F10" s="1186"/>
      <c r="G10" s="1186">
        <v>1</v>
      </c>
      <c r="H10" s="1186">
        <v>1</v>
      </c>
      <c r="I10" s="1186"/>
      <c r="J10" s="1186"/>
      <c r="K10" s="1186">
        <v>2</v>
      </c>
      <c r="L10" s="1186">
        <v>1</v>
      </c>
      <c r="M10" s="1186">
        <v>2</v>
      </c>
      <c r="N10" s="1186">
        <v>2</v>
      </c>
      <c r="O10" s="1186">
        <v>1</v>
      </c>
      <c r="P10" s="1186">
        <v>1</v>
      </c>
      <c r="Q10" s="1186">
        <v>2</v>
      </c>
      <c r="R10" s="1186"/>
      <c r="S10" s="1186">
        <v>4</v>
      </c>
      <c r="T10" s="1186">
        <v>1</v>
      </c>
      <c r="U10" s="1186"/>
      <c r="V10" s="1186">
        <v>4</v>
      </c>
      <c r="W10" s="1186">
        <v>4</v>
      </c>
      <c r="X10" s="1186"/>
      <c r="Y10" s="1186">
        <v>2</v>
      </c>
      <c r="Z10" s="1186">
        <v>1</v>
      </c>
      <c r="AA10" s="1186"/>
    </row>
    <row r="11" spans="1:27" x14ac:dyDescent="0.2">
      <c r="A11" s="1186" t="s">
        <v>97</v>
      </c>
      <c r="B11" s="1186" t="s">
        <v>144</v>
      </c>
      <c r="C11" s="1186">
        <v>39</v>
      </c>
      <c r="D11" s="1186">
        <v>1</v>
      </c>
      <c r="E11" s="1186">
        <v>2</v>
      </c>
      <c r="F11" s="1186">
        <v>1</v>
      </c>
      <c r="G11" s="1186">
        <v>1</v>
      </c>
      <c r="H11" s="1186">
        <v>1</v>
      </c>
      <c r="I11" s="1186">
        <v>1</v>
      </c>
      <c r="J11" s="1186">
        <v>3</v>
      </c>
      <c r="K11" s="1186">
        <v>1</v>
      </c>
      <c r="L11" s="1186">
        <v>1</v>
      </c>
      <c r="M11" s="1186"/>
      <c r="N11" s="1186">
        <v>1</v>
      </c>
      <c r="O11" s="1186">
        <v>4</v>
      </c>
      <c r="P11" s="1186"/>
      <c r="Q11" s="1186">
        <v>1</v>
      </c>
      <c r="R11" s="1186">
        <v>4</v>
      </c>
      <c r="S11" s="1186">
        <v>3</v>
      </c>
      <c r="T11" s="1186">
        <v>3</v>
      </c>
      <c r="U11" s="1186">
        <v>1</v>
      </c>
      <c r="V11" s="1186">
        <v>5</v>
      </c>
      <c r="W11" s="1186">
        <v>2</v>
      </c>
      <c r="X11" s="1186">
        <v>1</v>
      </c>
      <c r="Y11" s="1186">
        <v>1</v>
      </c>
      <c r="Z11" s="1186"/>
      <c r="AA11" s="1186">
        <v>1</v>
      </c>
    </row>
    <row r="12" spans="1:27" x14ac:dyDescent="0.2">
      <c r="A12" s="1186" t="s">
        <v>97</v>
      </c>
      <c r="B12" s="1186" t="s">
        <v>282</v>
      </c>
      <c r="C12" s="1186">
        <v>36</v>
      </c>
      <c r="D12" s="1186"/>
      <c r="E12" s="1186">
        <v>3</v>
      </c>
      <c r="F12" s="1186">
        <v>2</v>
      </c>
      <c r="G12" s="1186">
        <v>1</v>
      </c>
      <c r="H12" s="1186"/>
      <c r="I12" s="1186">
        <v>3</v>
      </c>
      <c r="J12" s="1186">
        <v>2</v>
      </c>
      <c r="K12" s="1186">
        <v>5</v>
      </c>
      <c r="L12" s="1186"/>
      <c r="M12" s="1186">
        <v>3</v>
      </c>
      <c r="N12" s="1186">
        <v>2</v>
      </c>
      <c r="O12" s="1186">
        <v>1</v>
      </c>
      <c r="P12" s="1186">
        <v>1</v>
      </c>
      <c r="Q12" s="1186">
        <v>1</v>
      </c>
      <c r="R12" s="1186"/>
      <c r="S12" s="1186"/>
      <c r="T12" s="1186">
        <v>3</v>
      </c>
      <c r="U12" s="1186">
        <v>2</v>
      </c>
      <c r="V12" s="1186">
        <v>1</v>
      </c>
      <c r="W12" s="1186">
        <v>3</v>
      </c>
      <c r="X12" s="1186">
        <v>1</v>
      </c>
      <c r="Y12" s="1186"/>
      <c r="Z12" s="1186"/>
      <c r="AA12" s="1186">
        <v>2</v>
      </c>
    </row>
    <row r="13" spans="1:27" x14ac:dyDescent="0.2">
      <c r="A13" s="1186" t="s">
        <v>97</v>
      </c>
      <c r="B13" s="1186" t="s">
        <v>311</v>
      </c>
      <c r="C13" s="1186">
        <v>37</v>
      </c>
      <c r="D13" s="1186">
        <v>4</v>
      </c>
      <c r="E13" s="1186">
        <v>1</v>
      </c>
      <c r="F13" s="1186">
        <v>3</v>
      </c>
      <c r="G13" s="1186">
        <v>1</v>
      </c>
      <c r="H13" s="1186"/>
      <c r="I13" s="1186"/>
      <c r="J13" s="1186"/>
      <c r="K13" s="1186">
        <v>1</v>
      </c>
      <c r="L13" s="1186">
        <v>4</v>
      </c>
      <c r="M13" s="1186">
        <v>1</v>
      </c>
      <c r="N13" s="1186"/>
      <c r="O13" s="1186"/>
      <c r="P13" s="1186">
        <v>3</v>
      </c>
      <c r="Q13" s="1186">
        <v>2</v>
      </c>
      <c r="R13" s="1186">
        <v>2</v>
      </c>
      <c r="S13" s="1186"/>
      <c r="T13" s="1186">
        <v>3</v>
      </c>
      <c r="U13" s="1186">
        <v>3</v>
      </c>
      <c r="V13" s="1186"/>
      <c r="W13" s="1186">
        <v>4</v>
      </c>
      <c r="X13" s="1186">
        <v>1</v>
      </c>
      <c r="Y13" s="1186">
        <v>2</v>
      </c>
      <c r="Z13" s="1186">
        <v>1</v>
      </c>
      <c r="AA13" s="1186">
        <v>1</v>
      </c>
    </row>
    <row r="14" spans="1:27" x14ac:dyDescent="0.2">
      <c r="A14" s="1186" t="s">
        <v>97</v>
      </c>
      <c r="B14" s="1186" t="s">
        <v>621</v>
      </c>
      <c r="C14" s="1186">
        <v>40</v>
      </c>
      <c r="D14" s="1186"/>
      <c r="E14" s="1186"/>
      <c r="F14" s="1186">
        <v>3</v>
      </c>
      <c r="G14" s="1186">
        <v>2</v>
      </c>
      <c r="H14" s="1186">
        <v>3</v>
      </c>
      <c r="I14" s="1186">
        <v>3</v>
      </c>
      <c r="J14" s="1186">
        <v>1</v>
      </c>
      <c r="K14" s="1186">
        <v>4</v>
      </c>
      <c r="L14" s="1186"/>
      <c r="M14" s="1186"/>
      <c r="N14" s="1186"/>
      <c r="O14" s="1186"/>
      <c r="P14" s="1186">
        <v>3</v>
      </c>
      <c r="Q14" s="1186">
        <v>2</v>
      </c>
      <c r="R14" s="1186"/>
      <c r="S14" s="1186">
        <v>4</v>
      </c>
      <c r="T14" s="1186">
        <v>3</v>
      </c>
      <c r="U14" s="1186"/>
      <c r="V14" s="1186">
        <v>1</v>
      </c>
      <c r="W14" s="1186">
        <v>1</v>
      </c>
      <c r="X14" s="1186">
        <v>2</v>
      </c>
      <c r="Y14" s="1186">
        <v>3</v>
      </c>
      <c r="Z14" s="1186">
        <v>3</v>
      </c>
      <c r="AA14" s="1186">
        <v>2</v>
      </c>
    </row>
    <row r="15" spans="1:27" x14ac:dyDescent="0.2">
      <c r="A15" s="1186" t="s">
        <v>97</v>
      </c>
      <c r="B15" s="1186" t="s">
        <v>1419</v>
      </c>
      <c r="C15" s="1186">
        <v>21</v>
      </c>
      <c r="D15" s="1186">
        <v>1</v>
      </c>
      <c r="E15" s="1186">
        <v>3</v>
      </c>
      <c r="F15" s="1186">
        <v>1</v>
      </c>
      <c r="G15" s="1186"/>
      <c r="H15" s="1186">
        <v>1</v>
      </c>
      <c r="I15" s="1186">
        <v>1</v>
      </c>
      <c r="J15" s="1186"/>
      <c r="K15" s="1186"/>
      <c r="L15" s="1186">
        <v>1</v>
      </c>
      <c r="M15" s="1186">
        <v>2</v>
      </c>
      <c r="N15" s="1186"/>
      <c r="O15" s="1186"/>
      <c r="P15" s="1186">
        <v>1</v>
      </c>
      <c r="Q15" s="1186">
        <v>1</v>
      </c>
      <c r="R15" s="1186">
        <v>2</v>
      </c>
      <c r="S15" s="1186"/>
      <c r="T15" s="1186">
        <v>2</v>
      </c>
      <c r="U15" s="1186"/>
      <c r="V15" s="1186">
        <v>2</v>
      </c>
      <c r="W15" s="1186">
        <v>1</v>
      </c>
      <c r="X15" s="1186"/>
      <c r="Y15" s="1186"/>
      <c r="Z15" s="1186">
        <v>1</v>
      </c>
      <c r="AA15" s="1186">
        <v>1</v>
      </c>
    </row>
    <row r="16" spans="1:27" x14ac:dyDescent="0.2">
      <c r="A16" s="1186" t="s">
        <v>97</v>
      </c>
      <c r="B16" s="1186" t="s">
        <v>1572</v>
      </c>
      <c r="C16" s="1186">
        <v>44</v>
      </c>
      <c r="D16" s="1186">
        <v>4</v>
      </c>
      <c r="E16" s="1186"/>
      <c r="F16" s="1186">
        <v>1</v>
      </c>
      <c r="G16" s="1186">
        <v>4</v>
      </c>
      <c r="H16" s="1186">
        <v>1</v>
      </c>
      <c r="I16" s="1186">
        <v>1</v>
      </c>
      <c r="J16" s="1186">
        <v>1</v>
      </c>
      <c r="K16" s="1186">
        <v>1</v>
      </c>
      <c r="L16" s="1186">
        <v>1</v>
      </c>
      <c r="M16" s="1186"/>
      <c r="N16" s="1186">
        <v>1</v>
      </c>
      <c r="O16" s="1186">
        <v>2</v>
      </c>
      <c r="P16" s="1186">
        <v>3</v>
      </c>
      <c r="Q16" s="1186">
        <v>2</v>
      </c>
      <c r="R16" s="1186">
        <v>1</v>
      </c>
      <c r="S16" s="1186">
        <v>3</v>
      </c>
      <c r="T16" s="1186">
        <v>1</v>
      </c>
      <c r="U16" s="1186">
        <v>2</v>
      </c>
      <c r="V16" s="1186">
        <v>2</v>
      </c>
      <c r="W16" s="1186"/>
      <c r="X16" s="1186">
        <v>3</v>
      </c>
      <c r="Y16" s="1186">
        <v>5</v>
      </c>
      <c r="Z16" s="1186">
        <v>2</v>
      </c>
      <c r="AA16" s="1186">
        <v>3</v>
      </c>
    </row>
    <row r="17" spans="1:27" x14ac:dyDescent="0.2">
      <c r="A17" s="1186" t="s">
        <v>671</v>
      </c>
      <c r="B17" s="1186" t="s">
        <v>19</v>
      </c>
      <c r="C17" s="1186">
        <v>1032</v>
      </c>
      <c r="D17" s="1186">
        <v>47</v>
      </c>
      <c r="E17" s="1186">
        <v>28</v>
      </c>
      <c r="F17" s="1186">
        <v>43</v>
      </c>
      <c r="G17" s="1186">
        <v>43</v>
      </c>
      <c r="H17" s="1186">
        <v>24</v>
      </c>
      <c r="I17" s="1186">
        <v>26</v>
      </c>
      <c r="J17" s="1186">
        <v>24</v>
      </c>
      <c r="K17" s="1186">
        <v>19</v>
      </c>
      <c r="L17" s="1186">
        <v>24</v>
      </c>
      <c r="M17" s="1186">
        <v>32</v>
      </c>
      <c r="N17" s="1186">
        <v>23</v>
      </c>
      <c r="O17" s="1186">
        <v>25</v>
      </c>
      <c r="P17" s="1186">
        <v>39</v>
      </c>
      <c r="Q17" s="1186">
        <v>26</v>
      </c>
      <c r="R17" s="1186">
        <v>34</v>
      </c>
      <c r="S17" s="1186">
        <v>34</v>
      </c>
      <c r="T17" s="1186">
        <v>55</v>
      </c>
      <c r="U17" s="1186">
        <v>75</v>
      </c>
      <c r="V17" s="1186">
        <v>80</v>
      </c>
      <c r="W17" s="1186">
        <v>71</v>
      </c>
      <c r="X17" s="1186">
        <v>64</v>
      </c>
      <c r="Y17" s="1186">
        <v>71</v>
      </c>
      <c r="Z17" s="1186">
        <v>58</v>
      </c>
      <c r="AA17" s="1186">
        <v>67</v>
      </c>
    </row>
    <row r="18" spans="1:27" x14ac:dyDescent="0.2">
      <c r="A18" s="1186" t="s">
        <v>671</v>
      </c>
      <c r="B18" s="1186" t="s">
        <v>20</v>
      </c>
      <c r="C18" s="1186">
        <v>1142</v>
      </c>
      <c r="D18" s="1186">
        <v>62</v>
      </c>
      <c r="E18" s="1186">
        <v>62</v>
      </c>
      <c r="F18" s="1186">
        <v>52</v>
      </c>
      <c r="G18" s="1186">
        <v>29</v>
      </c>
      <c r="H18" s="1186">
        <v>32</v>
      </c>
      <c r="I18" s="1186">
        <v>28</v>
      </c>
      <c r="J18" s="1186">
        <v>23</v>
      </c>
      <c r="K18" s="1186">
        <v>27</v>
      </c>
      <c r="L18" s="1186">
        <v>19</v>
      </c>
      <c r="M18" s="1186">
        <v>27</v>
      </c>
      <c r="N18" s="1186">
        <v>30</v>
      </c>
      <c r="O18" s="1186">
        <v>40</v>
      </c>
      <c r="P18" s="1186">
        <v>48</v>
      </c>
      <c r="Q18" s="1186">
        <v>29</v>
      </c>
      <c r="R18" s="1186">
        <v>35</v>
      </c>
      <c r="S18" s="1186">
        <v>30</v>
      </c>
      <c r="T18" s="1186">
        <v>55</v>
      </c>
      <c r="U18" s="1186">
        <v>67</v>
      </c>
      <c r="V18" s="1186">
        <v>90</v>
      </c>
      <c r="W18" s="1186">
        <v>93</v>
      </c>
      <c r="X18" s="1186">
        <v>63</v>
      </c>
      <c r="Y18" s="1186">
        <v>78</v>
      </c>
      <c r="Z18" s="1186">
        <v>55</v>
      </c>
      <c r="AA18" s="1186">
        <v>68</v>
      </c>
    </row>
    <row r="19" spans="1:27" x14ac:dyDescent="0.2">
      <c r="A19" s="1186" t="s">
        <v>671</v>
      </c>
      <c r="B19" s="1186" t="s">
        <v>13</v>
      </c>
      <c r="C19" s="1186">
        <v>1219</v>
      </c>
      <c r="D19" s="1186">
        <v>59</v>
      </c>
      <c r="E19" s="1186">
        <v>40</v>
      </c>
      <c r="F19" s="1186">
        <v>68</v>
      </c>
      <c r="G19" s="1186">
        <v>40</v>
      </c>
      <c r="H19" s="1186">
        <v>66</v>
      </c>
      <c r="I19" s="1186">
        <v>28</v>
      </c>
      <c r="J19" s="1186">
        <v>15</v>
      </c>
      <c r="K19" s="1186">
        <v>27</v>
      </c>
      <c r="L19" s="1186">
        <v>16</v>
      </c>
      <c r="M19" s="1186">
        <v>28</v>
      </c>
      <c r="N19" s="1186">
        <v>15</v>
      </c>
      <c r="O19" s="1186">
        <v>22</v>
      </c>
      <c r="P19" s="1186">
        <v>34</v>
      </c>
      <c r="Q19" s="1186">
        <v>39</v>
      </c>
      <c r="R19" s="1186">
        <v>29</v>
      </c>
      <c r="S19" s="1186">
        <v>45</v>
      </c>
      <c r="T19" s="1186">
        <v>72</v>
      </c>
      <c r="U19" s="1186">
        <v>66</v>
      </c>
      <c r="V19" s="1186">
        <v>106</v>
      </c>
      <c r="W19" s="1186">
        <v>81</v>
      </c>
      <c r="X19" s="1186">
        <v>94</v>
      </c>
      <c r="Y19" s="1186">
        <v>86</v>
      </c>
      <c r="Z19" s="1186">
        <v>74</v>
      </c>
      <c r="AA19" s="1186">
        <v>69</v>
      </c>
    </row>
    <row r="20" spans="1:27" x14ac:dyDescent="0.2">
      <c r="A20" s="1186" t="s">
        <v>671</v>
      </c>
      <c r="B20" s="1186" t="s">
        <v>15</v>
      </c>
      <c r="C20" s="1186">
        <v>1166</v>
      </c>
      <c r="D20" s="1186">
        <v>65</v>
      </c>
      <c r="E20" s="1186">
        <v>52</v>
      </c>
      <c r="F20" s="1186">
        <v>30</v>
      </c>
      <c r="G20" s="1186">
        <v>45</v>
      </c>
      <c r="H20" s="1186">
        <v>22</v>
      </c>
      <c r="I20" s="1186">
        <v>34</v>
      </c>
      <c r="J20" s="1186">
        <v>11</v>
      </c>
      <c r="K20" s="1186">
        <v>25</v>
      </c>
      <c r="L20" s="1186">
        <v>22</v>
      </c>
      <c r="M20" s="1186">
        <v>33</v>
      </c>
      <c r="N20" s="1186">
        <v>31</v>
      </c>
      <c r="O20" s="1186">
        <v>24</v>
      </c>
      <c r="P20" s="1186">
        <v>30</v>
      </c>
      <c r="Q20" s="1186">
        <v>42</v>
      </c>
      <c r="R20" s="1186">
        <v>46</v>
      </c>
      <c r="S20" s="1186">
        <v>51</v>
      </c>
      <c r="T20" s="1186">
        <v>59</v>
      </c>
      <c r="U20" s="1186">
        <v>91</v>
      </c>
      <c r="V20" s="1186">
        <v>88</v>
      </c>
      <c r="W20" s="1186">
        <v>79</v>
      </c>
      <c r="X20" s="1186">
        <v>94</v>
      </c>
      <c r="Y20" s="1186">
        <v>62</v>
      </c>
      <c r="Z20" s="1186">
        <v>70</v>
      </c>
      <c r="AA20" s="1186">
        <v>60</v>
      </c>
    </row>
    <row r="21" spans="1:27" x14ac:dyDescent="0.2">
      <c r="A21" s="1186" t="s">
        <v>671</v>
      </c>
      <c r="B21" s="1186" t="s">
        <v>17</v>
      </c>
      <c r="C21" s="1186">
        <v>1140</v>
      </c>
      <c r="D21" s="1186">
        <v>50</v>
      </c>
      <c r="E21" s="1186">
        <v>54</v>
      </c>
      <c r="F21" s="1186">
        <v>57</v>
      </c>
      <c r="G21" s="1186">
        <v>60</v>
      </c>
      <c r="H21" s="1186">
        <v>39</v>
      </c>
      <c r="I21" s="1186">
        <v>19</v>
      </c>
      <c r="J21" s="1186">
        <v>20</v>
      </c>
      <c r="K21" s="1186">
        <v>16</v>
      </c>
      <c r="L21" s="1186">
        <v>19</v>
      </c>
      <c r="M21" s="1186">
        <v>19</v>
      </c>
      <c r="N21" s="1186">
        <v>33</v>
      </c>
      <c r="O21" s="1186">
        <v>39</v>
      </c>
      <c r="P21" s="1186">
        <v>42</v>
      </c>
      <c r="Q21" s="1186">
        <v>36</v>
      </c>
      <c r="R21" s="1186">
        <v>40</v>
      </c>
      <c r="S21" s="1186">
        <v>40</v>
      </c>
      <c r="T21" s="1186">
        <v>57</v>
      </c>
      <c r="U21" s="1186">
        <v>85</v>
      </c>
      <c r="V21" s="1186">
        <v>81</v>
      </c>
      <c r="W21" s="1186">
        <v>84</v>
      </c>
      <c r="X21" s="1186">
        <v>70</v>
      </c>
      <c r="Y21" s="1186">
        <v>79</v>
      </c>
      <c r="Z21" s="1186">
        <v>70</v>
      </c>
      <c r="AA21" s="1186">
        <v>31</v>
      </c>
    </row>
    <row r="22" spans="1:27" x14ac:dyDescent="0.2">
      <c r="A22" s="1186" t="s">
        <v>671</v>
      </c>
      <c r="B22" s="1186" t="s">
        <v>133</v>
      </c>
      <c r="C22" s="1186">
        <v>947</v>
      </c>
      <c r="D22" s="1186">
        <v>40</v>
      </c>
      <c r="E22" s="1186">
        <v>29</v>
      </c>
      <c r="F22" s="1186">
        <v>38</v>
      </c>
      <c r="G22" s="1186">
        <v>30</v>
      </c>
      <c r="H22" s="1186">
        <v>20</v>
      </c>
      <c r="I22" s="1186">
        <v>30</v>
      </c>
      <c r="J22" s="1186">
        <v>18</v>
      </c>
      <c r="K22" s="1186">
        <v>10</v>
      </c>
      <c r="L22" s="1186">
        <v>26</v>
      </c>
      <c r="M22" s="1186">
        <v>24</v>
      </c>
      <c r="N22" s="1186">
        <v>31</v>
      </c>
      <c r="O22" s="1186">
        <v>29</v>
      </c>
      <c r="P22" s="1186">
        <v>18</v>
      </c>
      <c r="Q22" s="1186">
        <v>28</v>
      </c>
      <c r="R22" s="1186">
        <v>40</v>
      </c>
      <c r="S22" s="1186">
        <v>33</v>
      </c>
      <c r="T22" s="1186">
        <v>40</v>
      </c>
      <c r="U22" s="1186">
        <v>75</v>
      </c>
      <c r="V22" s="1186">
        <v>60</v>
      </c>
      <c r="W22" s="1186">
        <v>84</v>
      </c>
      <c r="X22" s="1186">
        <v>73</v>
      </c>
      <c r="Y22" s="1186">
        <v>68</v>
      </c>
      <c r="Z22" s="1186">
        <v>50</v>
      </c>
      <c r="AA22" s="1186">
        <v>53</v>
      </c>
    </row>
    <row r="23" spans="1:27" x14ac:dyDescent="0.2">
      <c r="A23" s="1186" t="s">
        <v>671</v>
      </c>
      <c r="B23" s="1186" t="s">
        <v>144</v>
      </c>
      <c r="C23" s="1186">
        <v>1063</v>
      </c>
      <c r="D23" s="1186">
        <v>34</v>
      </c>
      <c r="E23" s="1186">
        <v>38</v>
      </c>
      <c r="F23" s="1186">
        <v>42</v>
      </c>
      <c r="G23" s="1186">
        <v>43</v>
      </c>
      <c r="H23" s="1186">
        <v>27</v>
      </c>
      <c r="I23" s="1186">
        <v>18</v>
      </c>
      <c r="J23" s="1186">
        <v>25</v>
      </c>
      <c r="K23" s="1186">
        <v>15</v>
      </c>
      <c r="L23" s="1186">
        <v>32</v>
      </c>
      <c r="M23" s="1186">
        <v>19</v>
      </c>
      <c r="N23" s="1186">
        <v>22</v>
      </c>
      <c r="O23" s="1186">
        <v>28</v>
      </c>
      <c r="P23" s="1186">
        <v>28</v>
      </c>
      <c r="Q23" s="1186">
        <v>39</v>
      </c>
      <c r="R23" s="1186">
        <v>54</v>
      </c>
      <c r="S23" s="1186">
        <v>55</v>
      </c>
      <c r="T23" s="1186">
        <v>63</v>
      </c>
      <c r="U23" s="1186">
        <v>75</v>
      </c>
      <c r="V23" s="1186">
        <v>79</v>
      </c>
      <c r="W23" s="1186">
        <v>71</v>
      </c>
      <c r="X23" s="1186">
        <v>70</v>
      </c>
      <c r="Y23" s="1186">
        <v>68</v>
      </c>
      <c r="Z23" s="1186">
        <v>51</v>
      </c>
      <c r="AA23" s="1186">
        <v>67</v>
      </c>
    </row>
    <row r="24" spans="1:27" x14ac:dyDescent="0.2">
      <c r="A24" s="1186" t="s">
        <v>671</v>
      </c>
      <c r="B24" s="1186" t="s">
        <v>282</v>
      </c>
      <c r="C24" s="1186">
        <v>1115</v>
      </c>
      <c r="D24" s="1186">
        <v>52</v>
      </c>
      <c r="E24" s="1186">
        <v>61</v>
      </c>
      <c r="F24" s="1186">
        <v>45</v>
      </c>
      <c r="G24" s="1186">
        <v>37</v>
      </c>
      <c r="H24" s="1186">
        <v>42</v>
      </c>
      <c r="I24" s="1186">
        <v>24</v>
      </c>
      <c r="J24" s="1186">
        <v>32</v>
      </c>
      <c r="K24" s="1186">
        <v>26</v>
      </c>
      <c r="L24" s="1186">
        <v>30</v>
      </c>
      <c r="M24" s="1186">
        <v>30</v>
      </c>
      <c r="N24" s="1186">
        <v>27</v>
      </c>
      <c r="O24" s="1186">
        <v>50</v>
      </c>
      <c r="P24" s="1186">
        <v>22</v>
      </c>
      <c r="Q24" s="1186">
        <v>35</v>
      </c>
      <c r="R24" s="1186">
        <v>43</v>
      </c>
      <c r="S24" s="1186">
        <v>37</v>
      </c>
      <c r="T24" s="1186">
        <v>73</v>
      </c>
      <c r="U24" s="1186">
        <v>72</v>
      </c>
      <c r="V24" s="1186">
        <v>53</v>
      </c>
      <c r="W24" s="1186">
        <v>78</v>
      </c>
      <c r="X24" s="1186">
        <v>61</v>
      </c>
      <c r="Y24" s="1186">
        <v>60</v>
      </c>
      <c r="Z24" s="1186">
        <v>65</v>
      </c>
      <c r="AA24" s="1186">
        <v>60</v>
      </c>
    </row>
    <row r="25" spans="1:27" x14ac:dyDescent="0.2">
      <c r="A25" s="1186" t="s">
        <v>671</v>
      </c>
      <c r="B25" s="1186" t="s">
        <v>311</v>
      </c>
      <c r="C25" s="1186">
        <v>921</v>
      </c>
      <c r="D25" s="1186">
        <v>51</v>
      </c>
      <c r="E25" s="1186">
        <v>31</v>
      </c>
      <c r="F25" s="1186">
        <v>30</v>
      </c>
      <c r="G25" s="1186">
        <v>30</v>
      </c>
      <c r="H25" s="1186">
        <v>26</v>
      </c>
      <c r="I25" s="1186">
        <v>25</v>
      </c>
      <c r="J25" s="1186">
        <v>14</v>
      </c>
      <c r="K25" s="1186">
        <v>16</v>
      </c>
      <c r="L25" s="1186">
        <v>28</v>
      </c>
      <c r="M25" s="1186">
        <v>16</v>
      </c>
      <c r="N25" s="1186">
        <v>26</v>
      </c>
      <c r="O25" s="1186">
        <v>33</v>
      </c>
      <c r="P25" s="1186">
        <v>27</v>
      </c>
      <c r="Q25" s="1186">
        <v>37</v>
      </c>
      <c r="R25" s="1186">
        <v>37</v>
      </c>
      <c r="S25" s="1186">
        <v>43</v>
      </c>
      <c r="T25" s="1186">
        <v>55</v>
      </c>
      <c r="U25" s="1186">
        <v>78</v>
      </c>
      <c r="V25" s="1186">
        <v>64</v>
      </c>
      <c r="W25" s="1186">
        <v>48</v>
      </c>
      <c r="X25" s="1186">
        <v>57</v>
      </c>
      <c r="Y25" s="1186">
        <v>52</v>
      </c>
      <c r="Z25" s="1186">
        <v>52</v>
      </c>
      <c r="AA25" s="1186">
        <v>45</v>
      </c>
    </row>
    <row r="26" spans="1:27" x14ac:dyDescent="0.2">
      <c r="A26" s="1186" t="s">
        <v>671</v>
      </c>
      <c r="B26" s="1186" t="s">
        <v>621</v>
      </c>
      <c r="C26" s="1186">
        <v>1016</v>
      </c>
      <c r="D26" s="1186">
        <v>47</v>
      </c>
      <c r="E26" s="1186">
        <v>60</v>
      </c>
      <c r="F26" s="1186">
        <v>36</v>
      </c>
      <c r="G26" s="1186">
        <v>52</v>
      </c>
      <c r="H26" s="1186">
        <v>26</v>
      </c>
      <c r="I26" s="1186">
        <v>20</v>
      </c>
      <c r="J26" s="1186">
        <v>19</v>
      </c>
      <c r="K26" s="1186">
        <v>24</v>
      </c>
      <c r="L26" s="1186">
        <v>20</v>
      </c>
      <c r="M26" s="1186">
        <v>27</v>
      </c>
      <c r="N26" s="1186">
        <v>15</v>
      </c>
      <c r="O26" s="1186">
        <v>24</v>
      </c>
      <c r="P26" s="1186">
        <v>34</v>
      </c>
      <c r="Q26" s="1186">
        <v>37</v>
      </c>
      <c r="R26" s="1186">
        <v>32</v>
      </c>
      <c r="S26" s="1186">
        <v>40</v>
      </c>
      <c r="T26" s="1186">
        <v>77</v>
      </c>
      <c r="U26" s="1186">
        <v>63</v>
      </c>
      <c r="V26" s="1186">
        <v>77</v>
      </c>
      <c r="W26" s="1186">
        <v>70</v>
      </c>
      <c r="X26" s="1186">
        <v>57</v>
      </c>
      <c r="Y26" s="1186">
        <v>50</v>
      </c>
      <c r="Z26" s="1186">
        <v>50</v>
      </c>
      <c r="AA26" s="1186">
        <v>59</v>
      </c>
    </row>
    <row r="27" spans="1:27" x14ac:dyDescent="0.2">
      <c r="A27" s="1186" t="s">
        <v>671</v>
      </c>
      <c r="B27" s="1186" t="s">
        <v>1419</v>
      </c>
      <c r="C27" s="1186">
        <v>877</v>
      </c>
      <c r="D27" s="1186">
        <v>36</v>
      </c>
      <c r="E27" s="1186">
        <v>44</v>
      </c>
      <c r="F27" s="1186">
        <v>39</v>
      </c>
      <c r="G27" s="1186">
        <v>26</v>
      </c>
      <c r="H27" s="1186">
        <v>31</v>
      </c>
      <c r="I27" s="1186">
        <v>11</v>
      </c>
      <c r="J27" s="1186">
        <v>24</v>
      </c>
      <c r="K27" s="1186">
        <v>16</v>
      </c>
      <c r="L27" s="1186">
        <v>24</v>
      </c>
      <c r="M27" s="1186">
        <v>37</v>
      </c>
      <c r="N27" s="1186">
        <v>22</v>
      </c>
      <c r="O27" s="1186">
        <v>22</v>
      </c>
      <c r="P27" s="1186">
        <v>22</v>
      </c>
      <c r="Q27" s="1186">
        <v>19</v>
      </c>
      <c r="R27" s="1186">
        <v>35</v>
      </c>
      <c r="S27" s="1186">
        <v>29</v>
      </c>
      <c r="T27" s="1186">
        <v>55</v>
      </c>
      <c r="U27" s="1186">
        <v>55</v>
      </c>
      <c r="V27" s="1186">
        <v>71</v>
      </c>
      <c r="W27" s="1186">
        <v>55</v>
      </c>
      <c r="X27" s="1186">
        <v>57</v>
      </c>
      <c r="Y27" s="1186">
        <v>45</v>
      </c>
      <c r="Z27" s="1186">
        <v>58</v>
      </c>
      <c r="AA27" s="1186">
        <v>44</v>
      </c>
    </row>
    <row r="28" spans="1:27" x14ac:dyDescent="0.2">
      <c r="A28" s="1186" t="s">
        <v>671</v>
      </c>
      <c r="B28" s="1186" t="s">
        <v>1572</v>
      </c>
      <c r="C28" s="1186">
        <v>876</v>
      </c>
      <c r="D28" s="1186">
        <v>24</v>
      </c>
      <c r="E28" s="1186">
        <v>25</v>
      </c>
      <c r="F28" s="1186">
        <v>32</v>
      </c>
      <c r="G28" s="1186">
        <v>31</v>
      </c>
      <c r="H28" s="1186">
        <v>27</v>
      </c>
      <c r="I28" s="1186">
        <v>11</v>
      </c>
      <c r="J28" s="1186">
        <v>15</v>
      </c>
      <c r="K28" s="1186">
        <v>13</v>
      </c>
      <c r="L28" s="1186">
        <v>9</v>
      </c>
      <c r="M28" s="1186">
        <v>22</v>
      </c>
      <c r="N28" s="1186">
        <v>20</v>
      </c>
      <c r="O28" s="1186">
        <v>36</v>
      </c>
      <c r="P28" s="1186">
        <v>40</v>
      </c>
      <c r="Q28" s="1186">
        <v>44</v>
      </c>
      <c r="R28" s="1186">
        <v>37</v>
      </c>
      <c r="S28" s="1186">
        <v>38</v>
      </c>
      <c r="T28" s="1186">
        <v>50</v>
      </c>
      <c r="U28" s="1186">
        <v>72</v>
      </c>
      <c r="V28" s="1186">
        <v>50</v>
      </c>
      <c r="W28" s="1186">
        <v>54</v>
      </c>
      <c r="X28" s="1186">
        <v>69</v>
      </c>
      <c r="Y28" s="1186">
        <v>57</v>
      </c>
      <c r="Z28" s="1186">
        <v>47</v>
      </c>
      <c r="AA28" s="1186">
        <v>53</v>
      </c>
    </row>
  </sheetData>
  <pageMargins left="0.7" right="0.7" top="0.75" bottom="0.75" header="0.3" footer="0.3"/>
  <pageSetup paperSize="9" fitToHeight="50" orientation="landscape" r:id="rId1"/>
  <legacyDrawing r:id="rId2"/>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pageSetUpPr fitToPage="1"/>
  </sheetPr>
  <dimension ref="A1:F389"/>
  <sheetViews>
    <sheetView zoomScale="85" zoomScaleNormal="85" workbookViewId="0">
      <pane ySplit="4" topLeftCell="A34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19.5703125" bestFit="1" customWidth="1"/>
    <col min="3" max="3" width="9" bestFit="1" customWidth="1"/>
    <col min="4" max="4" width="9.42578125" bestFit="1" customWidth="1"/>
    <col min="5" max="5" width="4.5703125" bestFit="1" customWidth="1"/>
    <col min="6" max="6" width="8.42578125" bestFit="1" customWidth="1"/>
  </cols>
  <sheetData>
    <row r="1" spans="1:6" x14ac:dyDescent="0.2"/>
    <row r="4" spans="1:6" x14ac:dyDescent="0.2">
      <c r="A4" s="1223" t="s">
        <v>4</v>
      </c>
      <c r="B4" s="1223" t="s">
        <v>1627</v>
      </c>
      <c r="C4" s="1223" t="s">
        <v>828</v>
      </c>
      <c r="D4" s="1223" t="s">
        <v>1629</v>
      </c>
      <c r="E4" s="1223" t="s">
        <v>1926</v>
      </c>
      <c r="F4" s="1223" t="s">
        <v>5</v>
      </c>
    </row>
    <row r="5" spans="1:6" x14ac:dyDescent="0.2">
      <c r="A5" s="1186" t="s">
        <v>19</v>
      </c>
      <c r="B5" s="1186" t="s">
        <v>23</v>
      </c>
      <c r="C5" s="1186">
        <v>391</v>
      </c>
      <c r="D5" s="1186">
        <v>340</v>
      </c>
      <c r="E5" s="1186">
        <v>51</v>
      </c>
      <c r="F5" s="1186">
        <v>110565</v>
      </c>
    </row>
    <row r="6" spans="1:6" x14ac:dyDescent="0.2">
      <c r="A6" s="1186" t="s">
        <v>19</v>
      </c>
      <c r="B6" s="1186" t="s">
        <v>24</v>
      </c>
      <c r="C6" s="1186">
        <v>204</v>
      </c>
      <c r="D6" s="1186">
        <v>191</v>
      </c>
      <c r="E6" s="1186">
        <v>13</v>
      </c>
      <c r="F6" s="1186">
        <v>108051</v>
      </c>
    </row>
    <row r="7" spans="1:6" x14ac:dyDescent="0.2">
      <c r="A7" s="1186" t="s">
        <v>19</v>
      </c>
      <c r="B7" s="1186" t="s">
        <v>25</v>
      </c>
      <c r="C7" s="1186">
        <v>102</v>
      </c>
      <c r="D7" s="1186">
        <v>96</v>
      </c>
      <c r="E7" s="1186">
        <v>6</v>
      </c>
      <c r="F7" s="1186">
        <v>53807</v>
      </c>
    </row>
    <row r="8" spans="1:6" x14ac:dyDescent="0.2">
      <c r="A8" s="1186" t="s">
        <v>19</v>
      </c>
      <c r="B8" s="1186" t="s">
        <v>26</v>
      </c>
      <c r="C8" s="1186">
        <v>86</v>
      </c>
      <c r="D8" s="1186">
        <v>80</v>
      </c>
      <c r="E8" s="1186">
        <v>6</v>
      </c>
      <c r="F8" s="1186">
        <v>46446</v>
      </c>
    </row>
    <row r="9" spans="1:6" x14ac:dyDescent="0.2">
      <c r="A9" s="1186" t="s">
        <v>19</v>
      </c>
      <c r="B9" s="1186" t="s">
        <v>619</v>
      </c>
      <c r="C9" s="1186">
        <v>795</v>
      </c>
      <c r="D9" s="1186">
        <v>587</v>
      </c>
      <c r="E9" s="1186">
        <v>208</v>
      </c>
      <c r="F9" s="1186">
        <v>231903</v>
      </c>
    </row>
    <row r="10" spans="1:6" x14ac:dyDescent="0.2">
      <c r="A10" s="1186" t="s">
        <v>19</v>
      </c>
      <c r="B10" s="1186" t="s">
        <v>27</v>
      </c>
      <c r="C10" s="1186">
        <v>40</v>
      </c>
      <c r="D10" s="1186">
        <v>35</v>
      </c>
      <c r="E10" s="1186">
        <v>5</v>
      </c>
      <c r="F10" s="1186">
        <v>23549</v>
      </c>
    </row>
    <row r="11" spans="1:6" x14ac:dyDescent="0.2">
      <c r="A11" s="1186" t="s">
        <v>19</v>
      </c>
      <c r="B11" s="1186" t="s">
        <v>28</v>
      </c>
      <c r="C11" s="1186">
        <v>132</v>
      </c>
      <c r="D11" s="1186">
        <v>123</v>
      </c>
      <c r="E11" s="1186">
        <v>9</v>
      </c>
      <c r="F11" s="1186">
        <v>72106</v>
      </c>
    </row>
    <row r="12" spans="1:6" x14ac:dyDescent="0.2">
      <c r="A12" s="1186" t="s">
        <v>19</v>
      </c>
      <c r="B12" s="1186" t="s">
        <v>29</v>
      </c>
      <c r="C12" s="1186">
        <v>325</v>
      </c>
      <c r="D12" s="1186">
        <v>276</v>
      </c>
      <c r="E12" s="1186">
        <v>49</v>
      </c>
      <c r="F12" s="1186">
        <v>73696</v>
      </c>
    </row>
    <row r="13" spans="1:6" x14ac:dyDescent="0.2">
      <c r="A13" s="1186" t="s">
        <v>19</v>
      </c>
      <c r="B13" s="1186" t="s">
        <v>30</v>
      </c>
      <c r="C13" s="1186">
        <v>125</v>
      </c>
      <c r="D13" s="1186">
        <v>103</v>
      </c>
      <c r="E13" s="1186">
        <v>22</v>
      </c>
      <c r="F13" s="1186">
        <v>56121</v>
      </c>
    </row>
    <row r="14" spans="1:6" x14ac:dyDescent="0.2">
      <c r="A14" s="1186" t="s">
        <v>19</v>
      </c>
      <c r="B14" s="1186" t="s">
        <v>31</v>
      </c>
      <c r="C14" s="1186">
        <v>78</v>
      </c>
      <c r="D14" s="1186">
        <v>60</v>
      </c>
      <c r="E14" s="1186">
        <v>18</v>
      </c>
      <c r="F14" s="1186">
        <v>44154</v>
      </c>
    </row>
    <row r="15" spans="1:6" x14ac:dyDescent="0.2">
      <c r="A15" s="1186" t="s">
        <v>19</v>
      </c>
      <c r="B15" s="1186" t="s">
        <v>32</v>
      </c>
      <c r="C15" s="1186">
        <v>100</v>
      </c>
      <c r="D15" s="1186">
        <v>88</v>
      </c>
      <c r="E15" s="1186">
        <v>12</v>
      </c>
      <c r="F15" s="1186">
        <v>44175</v>
      </c>
    </row>
    <row r="16" spans="1:6" x14ac:dyDescent="0.2">
      <c r="A16" s="1186" t="s">
        <v>19</v>
      </c>
      <c r="B16" s="1186" t="s">
        <v>33</v>
      </c>
      <c r="C16" s="1186">
        <v>48</v>
      </c>
      <c r="D16" s="1186">
        <v>42</v>
      </c>
      <c r="E16" s="1186">
        <v>6</v>
      </c>
      <c r="F16" s="1186">
        <v>36890</v>
      </c>
    </row>
    <row r="17" spans="1:6" x14ac:dyDescent="0.2">
      <c r="A17" s="1186" t="s">
        <v>19</v>
      </c>
      <c r="B17" s="1186" t="s">
        <v>34</v>
      </c>
      <c r="C17" s="1186">
        <v>113</v>
      </c>
      <c r="D17" s="1186">
        <v>96</v>
      </c>
      <c r="E17" s="1186">
        <v>17</v>
      </c>
      <c r="F17" s="1186">
        <v>70533</v>
      </c>
    </row>
    <row r="18" spans="1:6" x14ac:dyDescent="0.2">
      <c r="A18" s="1186" t="s">
        <v>19</v>
      </c>
      <c r="B18" s="1186" t="s">
        <v>35</v>
      </c>
      <c r="C18" s="1186">
        <v>320</v>
      </c>
      <c r="D18" s="1186">
        <v>266</v>
      </c>
      <c r="E18" s="1186">
        <v>54</v>
      </c>
      <c r="F18" s="1186">
        <v>168677</v>
      </c>
    </row>
    <row r="19" spans="1:6" x14ac:dyDescent="0.2">
      <c r="A19" s="1186" t="s">
        <v>19</v>
      </c>
      <c r="B19" s="1186" t="s">
        <v>36</v>
      </c>
      <c r="C19" s="1186">
        <v>1284</v>
      </c>
      <c r="D19" s="1186">
        <v>1004</v>
      </c>
      <c r="E19" s="1186">
        <v>280</v>
      </c>
      <c r="F19" s="1186">
        <v>299915</v>
      </c>
    </row>
    <row r="20" spans="1:6" x14ac:dyDescent="0.2">
      <c r="A20" s="1186" t="s">
        <v>19</v>
      </c>
      <c r="B20" s="1186" t="s">
        <v>37</v>
      </c>
      <c r="C20" s="1186">
        <v>145</v>
      </c>
      <c r="D20" s="1186">
        <v>141</v>
      </c>
      <c r="E20" s="1186">
        <v>4</v>
      </c>
      <c r="F20" s="1186">
        <v>109617</v>
      </c>
    </row>
    <row r="21" spans="1:6" x14ac:dyDescent="0.2">
      <c r="A21" s="1186" t="s">
        <v>19</v>
      </c>
      <c r="B21" s="1186" t="s">
        <v>38</v>
      </c>
      <c r="C21" s="1186">
        <v>144</v>
      </c>
      <c r="D21" s="1186">
        <v>88</v>
      </c>
      <c r="E21" s="1186">
        <v>56</v>
      </c>
      <c r="F21" s="1186">
        <v>39299</v>
      </c>
    </row>
    <row r="22" spans="1:6" x14ac:dyDescent="0.2">
      <c r="A22" s="1186" t="s">
        <v>19</v>
      </c>
      <c r="B22" s="1186" t="s">
        <v>39</v>
      </c>
      <c r="C22" s="1186">
        <v>73</v>
      </c>
      <c r="D22" s="1186">
        <v>61</v>
      </c>
      <c r="E22" s="1186">
        <v>12</v>
      </c>
      <c r="F22" s="1186">
        <v>35605</v>
      </c>
    </row>
    <row r="23" spans="1:6" x14ac:dyDescent="0.2">
      <c r="A23" s="1186" t="s">
        <v>19</v>
      </c>
      <c r="B23" s="1186" t="s">
        <v>40</v>
      </c>
      <c r="C23" s="1186">
        <v>71</v>
      </c>
      <c r="D23" s="1186">
        <v>63</v>
      </c>
      <c r="E23" s="1186">
        <v>8</v>
      </c>
      <c r="F23" s="1186">
        <v>41981</v>
      </c>
    </row>
    <row r="24" spans="1:6" x14ac:dyDescent="0.2">
      <c r="A24" s="1186" t="s">
        <v>19</v>
      </c>
      <c r="B24" s="1186" t="s">
        <v>295</v>
      </c>
      <c r="C24" s="1186">
        <v>24</v>
      </c>
      <c r="D24" s="1186">
        <v>22</v>
      </c>
      <c r="E24" s="1186">
        <v>2</v>
      </c>
      <c r="F24" s="1186">
        <v>14101</v>
      </c>
    </row>
    <row r="25" spans="1:6" x14ac:dyDescent="0.2">
      <c r="A25" s="1186" t="s">
        <v>19</v>
      </c>
      <c r="B25" s="1186" t="s">
        <v>41</v>
      </c>
      <c r="C25" s="1186">
        <v>177</v>
      </c>
      <c r="D25" s="1186">
        <v>154</v>
      </c>
      <c r="E25" s="1186">
        <v>23</v>
      </c>
      <c r="F25" s="1186">
        <v>66204</v>
      </c>
    </row>
    <row r="26" spans="1:6" x14ac:dyDescent="0.2">
      <c r="A26" s="1186" t="s">
        <v>19</v>
      </c>
      <c r="B26" s="1186" t="s">
        <v>42</v>
      </c>
      <c r="C26" s="1186">
        <v>378</v>
      </c>
      <c r="D26" s="1186">
        <v>283</v>
      </c>
      <c r="E26" s="1186">
        <v>95</v>
      </c>
      <c r="F26" s="1186">
        <v>147604</v>
      </c>
    </row>
    <row r="27" spans="1:6" x14ac:dyDescent="0.2">
      <c r="A27" s="1186" t="s">
        <v>19</v>
      </c>
      <c r="B27" s="1186" t="s">
        <v>43</v>
      </c>
      <c r="C27" s="1186">
        <v>11</v>
      </c>
      <c r="D27" s="1186">
        <v>10</v>
      </c>
      <c r="E27" s="1186">
        <v>1</v>
      </c>
      <c r="F27" s="1186">
        <v>10190</v>
      </c>
    </row>
    <row r="28" spans="1:6" x14ac:dyDescent="0.2">
      <c r="A28" s="1186" t="s">
        <v>19</v>
      </c>
      <c r="B28" s="1186" t="s">
        <v>44</v>
      </c>
      <c r="C28" s="1186">
        <v>122</v>
      </c>
      <c r="D28" s="1186">
        <v>115</v>
      </c>
      <c r="E28" s="1186">
        <v>7</v>
      </c>
      <c r="F28" s="1186">
        <v>68349</v>
      </c>
    </row>
    <row r="29" spans="1:6" x14ac:dyDescent="0.2">
      <c r="A29" s="1186" t="s">
        <v>19</v>
      </c>
      <c r="B29" s="1186" t="s">
        <v>45</v>
      </c>
      <c r="C29" s="1186">
        <v>237</v>
      </c>
      <c r="D29" s="1186">
        <v>189</v>
      </c>
      <c r="E29" s="1186">
        <v>48</v>
      </c>
      <c r="F29" s="1186">
        <v>82663</v>
      </c>
    </row>
    <row r="30" spans="1:6" x14ac:dyDescent="0.2">
      <c r="A30" s="1186" t="s">
        <v>19</v>
      </c>
      <c r="B30" s="1186" t="s">
        <v>46</v>
      </c>
      <c r="C30" s="1186">
        <v>111</v>
      </c>
      <c r="D30" s="1186">
        <v>105</v>
      </c>
      <c r="E30" s="1186">
        <v>6</v>
      </c>
      <c r="F30" s="1186">
        <v>55666</v>
      </c>
    </row>
    <row r="31" spans="1:6" x14ac:dyDescent="0.2">
      <c r="A31" s="1186" t="s">
        <v>19</v>
      </c>
      <c r="B31" s="1186" t="s">
        <v>47</v>
      </c>
      <c r="C31" s="1186">
        <v>11</v>
      </c>
      <c r="D31" s="1186">
        <v>11</v>
      </c>
      <c r="E31" s="1186">
        <v>0</v>
      </c>
      <c r="F31" s="1186">
        <v>10522</v>
      </c>
    </row>
    <row r="32" spans="1:6" x14ac:dyDescent="0.2">
      <c r="A32" s="1186" t="s">
        <v>19</v>
      </c>
      <c r="B32" s="1186" t="s">
        <v>48</v>
      </c>
      <c r="C32" s="1186">
        <v>99</v>
      </c>
      <c r="D32" s="1186">
        <v>84</v>
      </c>
      <c r="E32" s="1186">
        <v>15</v>
      </c>
      <c r="F32" s="1186">
        <v>53424</v>
      </c>
    </row>
    <row r="33" spans="1:6" x14ac:dyDescent="0.2">
      <c r="A33" s="1186" t="s">
        <v>19</v>
      </c>
      <c r="B33" s="1186" t="s">
        <v>49</v>
      </c>
      <c r="C33" s="1186">
        <v>326</v>
      </c>
      <c r="D33" s="1186">
        <v>270</v>
      </c>
      <c r="E33" s="1186">
        <v>56</v>
      </c>
      <c r="F33" s="1186">
        <v>142594</v>
      </c>
    </row>
    <row r="34" spans="1:6" x14ac:dyDescent="0.2">
      <c r="A34" s="1186" t="s">
        <v>19</v>
      </c>
      <c r="B34" s="1186" t="s">
        <v>50</v>
      </c>
      <c r="C34" s="1186">
        <v>94</v>
      </c>
      <c r="D34" s="1186">
        <v>83</v>
      </c>
      <c r="E34" s="1186">
        <v>11</v>
      </c>
      <c r="F34" s="1186">
        <v>39091</v>
      </c>
    </row>
    <row r="35" spans="1:6" x14ac:dyDescent="0.2">
      <c r="A35" s="1186" t="s">
        <v>19</v>
      </c>
      <c r="B35" s="1186" t="s">
        <v>51</v>
      </c>
      <c r="C35" s="1186">
        <v>172</v>
      </c>
      <c r="D35" s="1186">
        <v>127</v>
      </c>
      <c r="E35" s="1186">
        <v>45</v>
      </c>
      <c r="F35" s="1186">
        <v>44262</v>
      </c>
    </row>
    <row r="36" spans="1:6" x14ac:dyDescent="0.2">
      <c r="A36" s="1186" t="s">
        <v>19</v>
      </c>
      <c r="B36" s="1186" t="s">
        <v>52</v>
      </c>
      <c r="C36" s="1186">
        <v>222</v>
      </c>
      <c r="D36" s="1186">
        <v>174</v>
      </c>
      <c r="E36" s="1186">
        <v>48</v>
      </c>
      <c r="F36" s="1186">
        <v>74397</v>
      </c>
    </row>
    <row r="37" spans="1:6" x14ac:dyDescent="0.2">
      <c r="A37" s="1186" t="s">
        <v>20</v>
      </c>
      <c r="B37" s="1186" t="s">
        <v>23</v>
      </c>
      <c r="C37" s="1186">
        <v>340</v>
      </c>
      <c r="D37" s="1186">
        <v>267</v>
      </c>
      <c r="E37" s="1186">
        <v>73</v>
      </c>
      <c r="F37" s="1186">
        <v>110968</v>
      </c>
    </row>
    <row r="38" spans="1:6" x14ac:dyDescent="0.2">
      <c r="A38" s="1186" t="s">
        <v>20</v>
      </c>
      <c r="B38" s="1186" t="s">
        <v>24</v>
      </c>
      <c r="C38" s="1186">
        <v>203</v>
      </c>
      <c r="D38" s="1186">
        <v>192</v>
      </c>
      <c r="E38" s="1186">
        <v>11</v>
      </c>
      <c r="F38" s="1186">
        <v>109552</v>
      </c>
    </row>
    <row r="39" spans="1:6" x14ac:dyDescent="0.2">
      <c r="A39" s="1186" t="s">
        <v>20</v>
      </c>
      <c r="B39" s="1186" t="s">
        <v>25</v>
      </c>
      <c r="C39" s="1186">
        <v>87</v>
      </c>
      <c r="D39" s="1186">
        <v>79</v>
      </c>
      <c r="E39" s="1186">
        <v>8</v>
      </c>
      <c r="F39" s="1186">
        <v>54060</v>
      </c>
    </row>
    <row r="40" spans="1:6" x14ac:dyDescent="0.2">
      <c r="A40" s="1186" t="s">
        <v>20</v>
      </c>
      <c r="B40" s="1186" t="s">
        <v>26</v>
      </c>
      <c r="C40" s="1186">
        <v>126</v>
      </c>
      <c r="D40" s="1186">
        <v>109</v>
      </c>
      <c r="E40" s="1186">
        <v>17</v>
      </c>
      <c r="F40" s="1186">
        <v>46679</v>
      </c>
    </row>
    <row r="41" spans="1:6" x14ac:dyDescent="0.2">
      <c r="A41" s="1186" t="s">
        <v>20</v>
      </c>
      <c r="B41" s="1186" t="s">
        <v>619</v>
      </c>
      <c r="C41" s="1186">
        <v>728</v>
      </c>
      <c r="D41" s="1186">
        <v>593</v>
      </c>
      <c r="E41" s="1186">
        <v>135</v>
      </c>
      <c r="F41" s="1186">
        <v>233068</v>
      </c>
    </row>
    <row r="42" spans="1:6" x14ac:dyDescent="0.2">
      <c r="A42" s="1186" t="s">
        <v>20</v>
      </c>
      <c r="B42" s="1186" t="s">
        <v>27</v>
      </c>
      <c r="C42" s="1186">
        <v>49</v>
      </c>
      <c r="D42" s="1186">
        <v>37</v>
      </c>
      <c r="E42" s="1186">
        <v>12</v>
      </c>
      <c r="F42" s="1186">
        <v>23670</v>
      </c>
    </row>
    <row r="43" spans="1:6" x14ac:dyDescent="0.2">
      <c r="A43" s="1186" t="s">
        <v>20</v>
      </c>
      <c r="B43" s="1186" t="s">
        <v>28</v>
      </c>
      <c r="C43" s="1186">
        <v>110</v>
      </c>
      <c r="D43" s="1186">
        <v>94</v>
      </c>
      <c r="E43" s="1186">
        <v>16</v>
      </c>
      <c r="F43" s="1186">
        <v>72421</v>
      </c>
    </row>
    <row r="44" spans="1:6" x14ac:dyDescent="0.2">
      <c r="A44" s="1186" t="s">
        <v>20</v>
      </c>
      <c r="B44" s="1186" t="s">
        <v>29</v>
      </c>
      <c r="C44" s="1186">
        <v>332</v>
      </c>
      <c r="D44" s="1186">
        <v>294</v>
      </c>
      <c r="E44" s="1186">
        <v>38</v>
      </c>
      <c r="F44" s="1186">
        <v>74015</v>
      </c>
    </row>
    <row r="45" spans="1:6" x14ac:dyDescent="0.2">
      <c r="A45" s="1186" t="s">
        <v>20</v>
      </c>
      <c r="B45" s="1186" t="s">
        <v>30</v>
      </c>
      <c r="C45" s="1186">
        <v>118</v>
      </c>
      <c r="D45" s="1186">
        <v>92</v>
      </c>
      <c r="E45" s="1186">
        <v>26</v>
      </c>
      <c r="F45" s="1186">
        <v>56398</v>
      </c>
    </row>
    <row r="46" spans="1:6" x14ac:dyDescent="0.2">
      <c r="A46" s="1186" t="s">
        <v>20</v>
      </c>
      <c r="B46" s="1186" t="s">
        <v>31</v>
      </c>
      <c r="C46" s="1186">
        <v>69</v>
      </c>
      <c r="D46" s="1186">
        <v>64</v>
      </c>
      <c r="E46" s="1186">
        <v>5</v>
      </c>
      <c r="F46" s="1186">
        <v>44184</v>
      </c>
    </row>
    <row r="47" spans="1:6" x14ac:dyDescent="0.2">
      <c r="A47" s="1186" t="s">
        <v>20</v>
      </c>
      <c r="B47" s="1186" t="s">
        <v>32</v>
      </c>
      <c r="C47" s="1186">
        <v>88</v>
      </c>
      <c r="D47" s="1186">
        <v>81</v>
      </c>
      <c r="E47" s="1186">
        <v>7</v>
      </c>
      <c r="F47" s="1186">
        <v>44544</v>
      </c>
    </row>
    <row r="48" spans="1:6" x14ac:dyDescent="0.2">
      <c r="A48" s="1186" t="s">
        <v>20</v>
      </c>
      <c r="B48" s="1186" t="s">
        <v>33</v>
      </c>
      <c r="C48" s="1186">
        <v>58</v>
      </c>
      <c r="D48" s="1186">
        <v>51</v>
      </c>
      <c r="E48" s="1186">
        <v>7</v>
      </c>
      <c r="F48" s="1186">
        <v>37063</v>
      </c>
    </row>
    <row r="49" spans="1:6" x14ac:dyDescent="0.2">
      <c r="A49" s="1186" t="s">
        <v>20</v>
      </c>
      <c r="B49" s="1186" t="s">
        <v>34</v>
      </c>
      <c r="C49" s="1186">
        <v>130</v>
      </c>
      <c r="D49" s="1186">
        <v>113</v>
      </c>
      <c r="E49" s="1186">
        <v>17</v>
      </c>
      <c r="F49" s="1186">
        <v>71010</v>
      </c>
    </row>
    <row r="50" spans="1:6" x14ac:dyDescent="0.2">
      <c r="A50" s="1186" t="s">
        <v>20</v>
      </c>
      <c r="B50" s="1186" t="s">
        <v>35</v>
      </c>
      <c r="C50" s="1186">
        <v>301</v>
      </c>
      <c r="D50" s="1186">
        <v>257</v>
      </c>
      <c r="E50" s="1186">
        <v>44</v>
      </c>
      <c r="F50" s="1186">
        <v>169435</v>
      </c>
    </row>
    <row r="51" spans="1:6" x14ac:dyDescent="0.2">
      <c r="A51" s="1186" t="s">
        <v>20</v>
      </c>
      <c r="B51" s="1186" t="s">
        <v>36</v>
      </c>
      <c r="C51" s="1186">
        <v>1179</v>
      </c>
      <c r="D51" s="1186">
        <v>923</v>
      </c>
      <c r="E51" s="1186">
        <v>256</v>
      </c>
      <c r="F51" s="1186">
        <v>299160</v>
      </c>
    </row>
    <row r="52" spans="1:6" x14ac:dyDescent="0.2">
      <c r="A52" s="1186" t="s">
        <v>20</v>
      </c>
      <c r="B52" s="1186" t="s">
        <v>37</v>
      </c>
      <c r="C52" s="1186">
        <v>162</v>
      </c>
      <c r="D52" s="1186">
        <v>151</v>
      </c>
      <c r="E52" s="1186">
        <v>11</v>
      </c>
      <c r="F52" s="1186">
        <v>110788</v>
      </c>
    </row>
    <row r="53" spans="1:6" x14ac:dyDescent="0.2">
      <c r="A53" s="1186" t="s">
        <v>20</v>
      </c>
      <c r="B53" s="1186" t="s">
        <v>38</v>
      </c>
      <c r="C53" s="1186">
        <v>132</v>
      </c>
      <c r="D53" s="1186">
        <v>82</v>
      </c>
      <c r="E53" s="1186">
        <v>50</v>
      </c>
      <c r="F53" s="1186">
        <v>39377</v>
      </c>
    </row>
    <row r="54" spans="1:6" x14ac:dyDescent="0.2">
      <c r="A54" s="1186" t="s">
        <v>20</v>
      </c>
      <c r="B54" s="1186" t="s">
        <v>39</v>
      </c>
      <c r="C54" s="1186">
        <v>73</v>
      </c>
      <c r="D54" s="1186">
        <v>63</v>
      </c>
      <c r="E54" s="1186">
        <v>10</v>
      </c>
      <c r="F54" s="1186">
        <v>35986</v>
      </c>
    </row>
    <row r="55" spans="1:6" x14ac:dyDescent="0.2">
      <c r="A55" s="1186" t="s">
        <v>20</v>
      </c>
      <c r="B55" s="1186" t="s">
        <v>40</v>
      </c>
      <c r="C55" s="1186">
        <v>76</v>
      </c>
      <c r="D55" s="1186">
        <v>74</v>
      </c>
      <c r="E55" s="1186">
        <v>2</v>
      </c>
      <c r="F55" s="1186">
        <v>42241</v>
      </c>
    </row>
    <row r="56" spans="1:6" x14ac:dyDescent="0.2">
      <c r="A56" s="1186" t="s">
        <v>20</v>
      </c>
      <c r="B56" s="1186" t="s">
        <v>295</v>
      </c>
      <c r="C56" s="1186">
        <v>17</v>
      </c>
      <c r="D56" s="1186">
        <v>16</v>
      </c>
      <c r="E56" s="1186">
        <v>1</v>
      </c>
      <c r="F56" s="1186">
        <v>14258</v>
      </c>
    </row>
    <row r="57" spans="1:6" x14ac:dyDescent="0.2">
      <c r="A57" s="1186" t="s">
        <v>20</v>
      </c>
      <c r="B57" s="1186" t="s">
        <v>41</v>
      </c>
      <c r="C57" s="1186">
        <v>167</v>
      </c>
      <c r="D57" s="1186">
        <v>147</v>
      </c>
      <c r="E57" s="1186">
        <v>20</v>
      </c>
      <c r="F57" s="1186">
        <v>66461</v>
      </c>
    </row>
    <row r="58" spans="1:6" x14ac:dyDescent="0.2">
      <c r="A58" s="1186" t="s">
        <v>20</v>
      </c>
      <c r="B58" s="1186" t="s">
        <v>42</v>
      </c>
      <c r="C58" s="1186">
        <v>370</v>
      </c>
      <c r="D58" s="1186">
        <v>280</v>
      </c>
      <c r="E58" s="1186">
        <v>90</v>
      </c>
      <c r="F58" s="1186">
        <v>148553</v>
      </c>
    </row>
    <row r="59" spans="1:6" x14ac:dyDescent="0.2">
      <c r="A59" s="1186" t="s">
        <v>20</v>
      </c>
      <c r="B59" s="1186" t="s">
        <v>43</v>
      </c>
      <c r="C59" s="1186">
        <v>9</v>
      </c>
      <c r="D59" s="1186">
        <v>9</v>
      </c>
      <c r="E59" s="1186">
        <v>0</v>
      </c>
      <c r="F59" s="1186">
        <v>10265</v>
      </c>
    </row>
    <row r="60" spans="1:6" x14ac:dyDescent="0.2">
      <c r="A60" s="1186" t="s">
        <v>20</v>
      </c>
      <c r="B60" s="1186" t="s">
        <v>44</v>
      </c>
      <c r="C60" s="1186">
        <v>138</v>
      </c>
      <c r="D60" s="1186">
        <v>135</v>
      </c>
      <c r="E60" s="1186">
        <v>3</v>
      </c>
      <c r="F60" s="1186">
        <v>68788</v>
      </c>
    </row>
    <row r="61" spans="1:6" x14ac:dyDescent="0.2">
      <c r="A61" s="1186" t="s">
        <v>20</v>
      </c>
      <c r="B61" s="1186" t="s">
        <v>45</v>
      </c>
      <c r="C61" s="1186">
        <v>246</v>
      </c>
      <c r="D61" s="1186">
        <v>184</v>
      </c>
      <c r="E61" s="1186">
        <v>62</v>
      </c>
      <c r="F61" s="1186">
        <v>82760</v>
      </c>
    </row>
    <row r="62" spans="1:6" x14ac:dyDescent="0.2">
      <c r="A62" s="1186" t="s">
        <v>20</v>
      </c>
      <c r="B62" s="1186" t="s">
        <v>46</v>
      </c>
      <c r="C62" s="1186">
        <v>113</v>
      </c>
      <c r="D62" s="1186">
        <v>100</v>
      </c>
      <c r="E62" s="1186">
        <v>13</v>
      </c>
      <c r="F62" s="1186">
        <v>56129</v>
      </c>
    </row>
    <row r="63" spans="1:6" x14ac:dyDescent="0.2">
      <c r="A63" s="1186" t="s">
        <v>20</v>
      </c>
      <c r="B63" s="1186" t="s">
        <v>47</v>
      </c>
      <c r="C63" s="1186">
        <v>10</v>
      </c>
      <c r="D63" s="1186">
        <v>9</v>
      </c>
      <c r="E63" s="1186">
        <v>1</v>
      </c>
      <c r="F63" s="1186">
        <v>10621</v>
      </c>
    </row>
    <row r="64" spans="1:6" x14ac:dyDescent="0.2">
      <c r="A64" s="1186" t="s">
        <v>20</v>
      </c>
      <c r="B64" s="1186" t="s">
        <v>48</v>
      </c>
      <c r="C64" s="1186">
        <v>107</v>
      </c>
      <c r="D64" s="1186">
        <v>96</v>
      </c>
      <c r="E64" s="1186">
        <v>11</v>
      </c>
      <c r="F64" s="1186">
        <v>53788</v>
      </c>
    </row>
    <row r="65" spans="1:6" x14ac:dyDescent="0.2">
      <c r="A65" s="1186" t="s">
        <v>20</v>
      </c>
      <c r="B65" s="1186" t="s">
        <v>49</v>
      </c>
      <c r="C65" s="1186">
        <v>316</v>
      </c>
      <c r="D65" s="1186">
        <v>255</v>
      </c>
      <c r="E65" s="1186">
        <v>61</v>
      </c>
      <c r="F65" s="1186">
        <v>143470</v>
      </c>
    </row>
    <row r="66" spans="1:6" x14ac:dyDescent="0.2">
      <c r="A66" s="1186" t="s">
        <v>20</v>
      </c>
      <c r="B66" s="1186" t="s">
        <v>50</v>
      </c>
      <c r="C66" s="1186">
        <v>75</v>
      </c>
      <c r="D66" s="1186">
        <v>71</v>
      </c>
      <c r="E66" s="1186">
        <v>4</v>
      </c>
      <c r="F66" s="1186">
        <v>39246</v>
      </c>
    </row>
    <row r="67" spans="1:6" x14ac:dyDescent="0.2">
      <c r="A67" s="1186" t="s">
        <v>20</v>
      </c>
      <c r="B67" s="1186" t="s">
        <v>51</v>
      </c>
      <c r="C67" s="1186">
        <v>151</v>
      </c>
      <c r="D67" s="1186">
        <v>115</v>
      </c>
      <c r="E67" s="1186">
        <v>36</v>
      </c>
      <c r="F67" s="1186">
        <v>44415</v>
      </c>
    </row>
    <row r="68" spans="1:6" x14ac:dyDescent="0.2">
      <c r="A68" s="1186" t="s">
        <v>20</v>
      </c>
      <c r="B68" s="1186" t="s">
        <v>52</v>
      </c>
      <c r="C68" s="1186">
        <v>213</v>
      </c>
      <c r="D68" s="1186">
        <v>176</v>
      </c>
      <c r="E68" s="1186">
        <v>37</v>
      </c>
      <c r="F68" s="1186">
        <v>75123</v>
      </c>
    </row>
    <row r="69" spans="1:6" x14ac:dyDescent="0.2">
      <c r="A69" s="1186" t="s">
        <v>13</v>
      </c>
      <c r="B69" s="1186" t="s">
        <v>23</v>
      </c>
      <c r="C69" s="1186">
        <v>375</v>
      </c>
      <c r="D69" s="1186">
        <v>322</v>
      </c>
      <c r="E69" s="1186">
        <v>53</v>
      </c>
      <c r="F69" s="1186">
        <v>111419</v>
      </c>
    </row>
    <row r="70" spans="1:6" x14ac:dyDescent="0.2">
      <c r="A70" s="1186" t="s">
        <v>13</v>
      </c>
      <c r="B70" s="1186" t="s">
        <v>24</v>
      </c>
      <c r="C70" s="1186">
        <v>207</v>
      </c>
      <c r="D70" s="1186">
        <v>198</v>
      </c>
      <c r="E70" s="1186">
        <v>9</v>
      </c>
      <c r="F70" s="1186">
        <v>110649</v>
      </c>
    </row>
    <row r="71" spans="1:6" x14ac:dyDescent="0.2">
      <c r="A71" s="1186" t="s">
        <v>13</v>
      </c>
      <c r="B71" s="1186" t="s">
        <v>25</v>
      </c>
      <c r="C71" s="1186">
        <v>101</v>
      </c>
      <c r="D71" s="1186">
        <v>95</v>
      </c>
      <c r="E71" s="1186">
        <v>6</v>
      </c>
      <c r="F71" s="1186">
        <v>54372</v>
      </c>
    </row>
    <row r="72" spans="1:6" x14ac:dyDescent="0.2">
      <c r="A72" s="1186" t="s">
        <v>13</v>
      </c>
      <c r="B72" s="1186" t="s">
        <v>26</v>
      </c>
      <c r="C72" s="1186">
        <v>92</v>
      </c>
      <c r="D72" s="1186">
        <v>83</v>
      </c>
      <c r="E72" s="1186">
        <v>9</v>
      </c>
      <c r="F72" s="1186">
        <v>46896</v>
      </c>
    </row>
    <row r="73" spans="1:6" x14ac:dyDescent="0.2">
      <c r="A73" s="1186" t="s">
        <v>13</v>
      </c>
      <c r="B73" s="1186" t="s">
        <v>619</v>
      </c>
      <c r="C73" s="1186">
        <v>746</v>
      </c>
      <c r="D73" s="1186">
        <v>608</v>
      </c>
      <c r="E73" s="1186">
        <v>138</v>
      </c>
      <c r="F73" s="1186">
        <v>234541</v>
      </c>
    </row>
    <row r="74" spans="1:6" x14ac:dyDescent="0.2">
      <c r="A74" s="1186" t="s">
        <v>13</v>
      </c>
      <c r="B74" s="1186" t="s">
        <v>27</v>
      </c>
      <c r="C74" s="1186">
        <v>58</v>
      </c>
      <c r="D74" s="1186">
        <v>51</v>
      </c>
      <c r="E74" s="1186">
        <v>7</v>
      </c>
      <c r="F74" s="1186">
        <v>23720</v>
      </c>
    </row>
    <row r="75" spans="1:6" x14ac:dyDescent="0.2">
      <c r="A75" s="1186" t="s">
        <v>13</v>
      </c>
      <c r="B75" s="1186" t="s">
        <v>28</v>
      </c>
      <c r="C75" s="1186">
        <v>106</v>
      </c>
      <c r="D75" s="1186">
        <v>96</v>
      </c>
      <c r="E75" s="1186">
        <v>10</v>
      </c>
      <c r="F75" s="1186">
        <v>72871</v>
      </c>
    </row>
    <row r="76" spans="1:6" x14ac:dyDescent="0.2">
      <c r="A76" s="1186" t="s">
        <v>13</v>
      </c>
      <c r="B76" s="1186" t="s">
        <v>29</v>
      </c>
      <c r="C76" s="1186">
        <v>276</v>
      </c>
      <c r="D76" s="1186">
        <v>236</v>
      </c>
      <c r="E76" s="1186">
        <v>40</v>
      </c>
      <c r="F76" s="1186">
        <v>73529</v>
      </c>
    </row>
    <row r="77" spans="1:6" x14ac:dyDescent="0.2">
      <c r="A77" s="1186" t="s">
        <v>13</v>
      </c>
      <c r="B77" s="1186" t="s">
        <v>30</v>
      </c>
      <c r="C77" s="1186">
        <v>116</v>
      </c>
      <c r="D77" s="1186">
        <v>99</v>
      </c>
      <c r="E77" s="1186">
        <v>17</v>
      </c>
      <c r="F77" s="1186">
        <v>56614</v>
      </c>
    </row>
    <row r="78" spans="1:6" x14ac:dyDescent="0.2">
      <c r="A78" s="1186" t="s">
        <v>13</v>
      </c>
      <c r="B78" s="1186" t="s">
        <v>31</v>
      </c>
      <c r="C78" s="1186">
        <v>65</v>
      </c>
      <c r="D78" s="1186">
        <v>64</v>
      </c>
      <c r="E78" s="1186">
        <v>1</v>
      </c>
      <c r="F78" s="1186">
        <v>44332</v>
      </c>
    </row>
    <row r="79" spans="1:6" x14ac:dyDescent="0.2">
      <c r="A79" s="1186" t="s">
        <v>13</v>
      </c>
      <c r="B79" s="1186" t="s">
        <v>32</v>
      </c>
      <c r="C79" s="1186">
        <v>98</v>
      </c>
      <c r="D79" s="1186">
        <v>86</v>
      </c>
      <c r="E79" s="1186">
        <v>12</v>
      </c>
      <c r="F79" s="1186">
        <v>44967</v>
      </c>
    </row>
    <row r="80" spans="1:6" x14ac:dyDescent="0.2">
      <c r="A80" s="1186" t="s">
        <v>13</v>
      </c>
      <c r="B80" s="1186" t="s">
        <v>33</v>
      </c>
      <c r="C80" s="1186">
        <v>68</v>
      </c>
      <c r="D80" s="1186">
        <v>59</v>
      </c>
      <c r="E80" s="1186">
        <v>9</v>
      </c>
      <c r="F80" s="1186">
        <v>37231</v>
      </c>
    </row>
    <row r="81" spans="1:6" x14ac:dyDescent="0.2">
      <c r="A81" s="1186" t="s">
        <v>13</v>
      </c>
      <c r="B81" s="1186" t="s">
        <v>34</v>
      </c>
      <c r="C81" s="1186">
        <v>119</v>
      </c>
      <c r="D81" s="1186">
        <v>101</v>
      </c>
      <c r="E81" s="1186">
        <v>18</v>
      </c>
      <c r="F81" s="1186">
        <v>71303</v>
      </c>
    </row>
    <row r="82" spans="1:6" x14ac:dyDescent="0.2">
      <c r="A82" s="1186" t="s">
        <v>13</v>
      </c>
      <c r="B82" s="1186" t="s">
        <v>35</v>
      </c>
      <c r="C82" s="1186">
        <v>303</v>
      </c>
      <c r="D82" s="1186">
        <v>247</v>
      </c>
      <c r="E82" s="1186">
        <v>56</v>
      </c>
      <c r="F82" s="1186">
        <v>170169</v>
      </c>
    </row>
    <row r="83" spans="1:6" x14ac:dyDescent="0.2">
      <c r="A83" s="1186" t="s">
        <v>13</v>
      </c>
      <c r="B83" s="1186" t="s">
        <v>36</v>
      </c>
      <c r="C83" s="1186">
        <v>1213</v>
      </c>
      <c r="D83" s="1186">
        <v>932</v>
      </c>
      <c r="E83" s="1186">
        <v>281</v>
      </c>
      <c r="F83" s="1186">
        <v>299881</v>
      </c>
    </row>
    <row r="84" spans="1:6" x14ac:dyDescent="0.2">
      <c r="A84" s="1186" t="s">
        <v>13</v>
      </c>
      <c r="B84" s="1186" t="s">
        <v>37</v>
      </c>
      <c r="C84" s="1186">
        <v>143</v>
      </c>
      <c r="D84" s="1186">
        <v>136</v>
      </c>
      <c r="E84" s="1186">
        <v>7</v>
      </c>
      <c r="F84" s="1186">
        <v>111830</v>
      </c>
    </row>
    <row r="85" spans="1:6" x14ac:dyDescent="0.2">
      <c r="A85" s="1186" t="s">
        <v>13</v>
      </c>
      <c r="B85" s="1186" t="s">
        <v>38</v>
      </c>
      <c r="C85" s="1186">
        <v>108</v>
      </c>
      <c r="D85" s="1186">
        <v>72</v>
      </c>
      <c r="E85" s="1186">
        <v>36</v>
      </c>
      <c r="F85" s="1186">
        <v>39457</v>
      </c>
    </row>
    <row r="86" spans="1:6" x14ac:dyDescent="0.2">
      <c r="A86" s="1186" t="s">
        <v>13</v>
      </c>
      <c r="B86" s="1186" t="s">
        <v>39</v>
      </c>
      <c r="C86" s="1186">
        <v>79</v>
      </c>
      <c r="D86" s="1186">
        <v>65</v>
      </c>
      <c r="E86" s="1186">
        <v>14</v>
      </c>
      <c r="F86" s="1186">
        <v>36434</v>
      </c>
    </row>
    <row r="87" spans="1:6" x14ac:dyDescent="0.2">
      <c r="A87" s="1186" t="s">
        <v>13</v>
      </c>
      <c r="B87" s="1186" t="s">
        <v>40</v>
      </c>
      <c r="C87" s="1186">
        <v>75</v>
      </c>
      <c r="D87" s="1186">
        <v>67</v>
      </c>
      <c r="E87" s="1186">
        <v>8</v>
      </c>
      <c r="F87" s="1186">
        <v>42699</v>
      </c>
    </row>
    <row r="88" spans="1:6" x14ac:dyDescent="0.2">
      <c r="A88" s="1186" t="s">
        <v>13</v>
      </c>
      <c r="B88" s="1186" t="s">
        <v>295</v>
      </c>
      <c r="C88" s="1186">
        <v>17</v>
      </c>
      <c r="D88" s="1186">
        <v>17</v>
      </c>
      <c r="E88" s="1186">
        <v>0</v>
      </c>
      <c r="F88" s="1186">
        <v>14396</v>
      </c>
    </row>
    <row r="89" spans="1:6" x14ac:dyDescent="0.2">
      <c r="A89" s="1186" t="s">
        <v>13</v>
      </c>
      <c r="B89" s="1186" t="s">
        <v>41</v>
      </c>
      <c r="C89" s="1186">
        <v>142</v>
      </c>
      <c r="D89" s="1186">
        <v>120</v>
      </c>
      <c r="E89" s="1186">
        <v>22</v>
      </c>
      <c r="F89" s="1186">
        <v>66648</v>
      </c>
    </row>
    <row r="90" spans="1:6" x14ac:dyDescent="0.2">
      <c r="A90" s="1186" t="s">
        <v>13</v>
      </c>
      <c r="B90" s="1186" t="s">
        <v>42</v>
      </c>
      <c r="C90" s="1186">
        <v>345</v>
      </c>
      <c r="D90" s="1186">
        <v>279</v>
      </c>
      <c r="E90" s="1186">
        <v>66</v>
      </c>
      <c r="F90" s="1186">
        <v>149190</v>
      </c>
    </row>
    <row r="91" spans="1:6" x14ac:dyDescent="0.2">
      <c r="A91" s="1186" t="s">
        <v>13</v>
      </c>
      <c r="B91" s="1186" t="s">
        <v>43</v>
      </c>
      <c r="C91" s="1186">
        <v>12</v>
      </c>
      <c r="D91" s="1186">
        <v>12</v>
      </c>
      <c r="E91" s="1186">
        <v>0</v>
      </c>
      <c r="F91" s="1186">
        <v>10438</v>
      </c>
    </row>
    <row r="92" spans="1:6" x14ac:dyDescent="0.2">
      <c r="A92" s="1186" t="s">
        <v>13</v>
      </c>
      <c r="B92" s="1186" t="s">
        <v>44</v>
      </c>
      <c r="C92" s="1186">
        <v>127</v>
      </c>
      <c r="D92" s="1186">
        <v>112</v>
      </c>
      <c r="E92" s="1186">
        <v>15</v>
      </c>
      <c r="F92" s="1186">
        <v>69236</v>
      </c>
    </row>
    <row r="93" spans="1:6" x14ac:dyDescent="0.2">
      <c r="A93" s="1186" t="s">
        <v>13</v>
      </c>
      <c r="B93" s="1186" t="s">
        <v>45</v>
      </c>
      <c r="C93" s="1186">
        <v>264</v>
      </c>
      <c r="D93" s="1186">
        <v>212</v>
      </c>
      <c r="E93" s="1186">
        <v>52</v>
      </c>
      <c r="F93" s="1186">
        <v>82944</v>
      </c>
    </row>
    <row r="94" spans="1:6" x14ac:dyDescent="0.2">
      <c r="A94" s="1186" t="s">
        <v>13</v>
      </c>
      <c r="B94" s="1186" t="s">
        <v>46</v>
      </c>
      <c r="C94" s="1186">
        <v>95</v>
      </c>
      <c r="D94" s="1186">
        <v>92</v>
      </c>
      <c r="E94" s="1186">
        <v>3</v>
      </c>
      <c r="F94" s="1186">
        <v>56530</v>
      </c>
    </row>
    <row r="95" spans="1:6" x14ac:dyDescent="0.2">
      <c r="A95" s="1186" t="s">
        <v>13</v>
      </c>
      <c r="B95" s="1186" t="s">
        <v>47</v>
      </c>
      <c r="C95" s="1186">
        <v>10</v>
      </c>
      <c r="D95" s="1186">
        <v>10</v>
      </c>
      <c r="E95" s="1186">
        <v>0</v>
      </c>
      <c r="F95" s="1186">
        <v>10707</v>
      </c>
    </row>
    <row r="96" spans="1:6" x14ac:dyDescent="0.2">
      <c r="A96" s="1186" t="s">
        <v>13</v>
      </c>
      <c r="B96" s="1186" t="s">
        <v>48</v>
      </c>
      <c r="C96" s="1186">
        <v>86</v>
      </c>
      <c r="D96" s="1186">
        <v>73</v>
      </c>
      <c r="E96" s="1186">
        <v>13</v>
      </c>
      <c r="F96" s="1186">
        <v>53968</v>
      </c>
    </row>
    <row r="97" spans="1:6" x14ac:dyDescent="0.2">
      <c r="A97" s="1186" t="s">
        <v>13</v>
      </c>
      <c r="B97" s="1186" t="s">
        <v>49</v>
      </c>
      <c r="C97" s="1186">
        <v>312</v>
      </c>
      <c r="D97" s="1186">
        <v>254</v>
      </c>
      <c r="E97" s="1186">
        <v>58</v>
      </c>
      <c r="F97" s="1186">
        <v>144386</v>
      </c>
    </row>
    <row r="98" spans="1:6" x14ac:dyDescent="0.2">
      <c r="A98" s="1186" t="s">
        <v>13</v>
      </c>
      <c r="B98" s="1186" t="s">
        <v>50</v>
      </c>
      <c r="C98" s="1186">
        <v>69</v>
      </c>
      <c r="D98" s="1186">
        <v>64</v>
      </c>
      <c r="E98" s="1186">
        <v>5</v>
      </c>
      <c r="F98" s="1186">
        <v>39509</v>
      </c>
    </row>
    <row r="99" spans="1:6" x14ac:dyDescent="0.2">
      <c r="A99" s="1186" t="s">
        <v>13</v>
      </c>
      <c r="B99" s="1186" t="s">
        <v>51</v>
      </c>
      <c r="C99" s="1186">
        <v>148</v>
      </c>
      <c r="D99" s="1186">
        <v>105</v>
      </c>
      <c r="E99" s="1186">
        <v>43</v>
      </c>
      <c r="F99" s="1186">
        <v>44586</v>
      </c>
    </row>
    <row r="100" spans="1:6" x14ac:dyDescent="0.2">
      <c r="A100" s="1186" t="s">
        <v>13</v>
      </c>
      <c r="B100" s="1186" t="s">
        <v>52</v>
      </c>
      <c r="C100" s="1186">
        <v>182</v>
      </c>
      <c r="D100" s="1186">
        <v>150</v>
      </c>
      <c r="E100" s="1186">
        <v>32</v>
      </c>
      <c r="F100" s="1186">
        <v>75397</v>
      </c>
    </row>
    <row r="101" spans="1:6" x14ac:dyDescent="0.2">
      <c r="A101" s="1186" t="s">
        <v>15</v>
      </c>
      <c r="B101" s="1186" t="s">
        <v>23</v>
      </c>
      <c r="C101" s="1186">
        <v>320</v>
      </c>
      <c r="D101" s="1186">
        <v>266</v>
      </c>
      <c r="E101" s="1186">
        <v>54</v>
      </c>
      <c r="F101" s="1186">
        <v>112073</v>
      </c>
    </row>
    <row r="102" spans="1:6" x14ac:dyDescent="0.2">
      <c r="A102" s="1186" t="s">
        <v>15</v>
      </c>
      <c r="B102" s="1186" t="s">
        <v>24</v>
      </c>
      <c r="C102" s="1186">
        <v>179</v>
      </c>
      <c r="D102" s="1186">
        <v>163</v>
      </c>
      <c r="E102" s="1186">
        <v>16</v>
      </c>
      <c r="F102" s="1186">
        <v>111773</v>
      </c>
    </row>
    <row r="103" spans="1:6" x14ac:dyDescent="0.2">
      <c r="A103" s="1186" t="s">
        <v>15</v>
      </c>
      <c r="B103" s="1186" t="s">
        <v>25</v>
      </c>
      <c r="C103" s="1186">
        <v>86</v>
      </c>
      <c r="D103" s="1186">
        <v>79</v>
      </c>
      <c r="E103" s="1186">
        <v>7</v>
      </c>
      <c r="F103" s="1186">
        <v>54566</v>
      </c>
    </row>
    <row r="104" spans="1:6" x14ac:dyDescent="0.2">
      <c r="A104" s="1186" t="s">
        <v>15</v>
      </c>
      <c r="B104" s="1186" t="s">
        <v>26</v>
      </c>
      <c r="C104" s="1186">
        <v>88</v>
      </c>
      <c r="D104" s="1186">
        <v>81</v>
      </c>
      <c r="E104" s="1186">
        <v>7</v>
      </c>
      <c r="F104" s="1186">
        <v>47105</v>
      </c>
    </row>
    <row r="105" spans="1:6" x14ac:dyDescent="0.2">
      <c r="A105" s="1186" t="s">
        <v>15</v>
      </c>
      <c r="B105" s="1186" t="s">
        <v>619</v>
      </c>
      <c r="C105" s="1186">
        <v>700</v>
      </c>
      <c r="D105" s="1186">
        <v>596</v>
      </c>
      <c r="E105" s="1186">
        <v>104</v>
      </c>
      <c r="F105" s="1186">
        <v>235850</v>
      </c>
    </row>
    <row r="106" spans="1:6" x14ac:dyDescent="0.2">
      <c r="A106" s="1186" t="s">
        <v>15</v>
      </c>
      <c r="B106" s="1186" t="s">
        <v>27</v>
      </c>
      <c r="C106" s="1186">
        <v>44</v>
      </c>
      <c r="D106" s="1186">
        <v>38</v>
      </c>
      <c r="E106" s="1186">
        <v>6</v>
      </c>
      <c r="F106" s="1186">
        <v>23774</v>
      </c>
    </row>
    <row r="107" spans="1:6" x14ac:dyDescent="0.2">
      <c r="A107" s="1186" t="s">
        <v>15</v>
      </c>
      <c r="B107" s="1186" t="s">
        <v>28</v>
      </c>
      <c r="C107" s="1186">
        <v>106</v>
      </c>
      <c r="D107" s="1186">
        <v>97</v>
      </c>
      <c r="E107" s="1186">
        <v>9</v>
      </c>
      <c r="F107" s="1186">
        <v>73224</v>
      </c>
    </row>
    <row r="108" spans="1:6" x14ac:dyDescent="0.2">
      <c r="A108" s="1186" t="s">
        <v>15</v>
      </c>
      <c r="B108" s="1186" t="s">
        <v>29</v>
      </c>
      <c r="C108" s="1186">
        <v>269</v>
      </c>
      <c r="D108" s="1186">
        <v>235</v>
      </c>
      <c r="E108" s="1186">
        <v>34</v>
      </c>
      <c r="F108" s="1186">
        <v>73818</v>
      </c>
    </row>
    <row r="109" spans="1:6" x14ac:dyDescent="0.2">
      <c r="A109" s="1186" t="s">
        <v>15</v>
      </c>
      <c r="B109" s="1186" t="s">
        <v>30</v>
      </c>
      <c r="C109" s="1186">
        <v>108</v>
      </c>
      <c r="D109" s="1186">
        <v>99</v>
      </c>
      <c r="E109" s="1186">
        <v>9</v>
      </c>
      <c r="F109" s="1186">
        <v>56919</v>
      </c>
    </row>
    <row r="110" spans="1:6" x14ac:dyDescent="0.2">
      <c r="A110" s="1186" t="s">
        <v>15</v>
      </c>
      <c r="B110" s="1186" t="s">
        <v>31</v>
      </c>
      <c r="C110" s="1186">
        <v>70</v>
      </c>
      <c r="D110" s="1186">
        <v>60</v>
      </c>
      <c r="E110" s="1186">
        <v>10</v>
      </c>
      <c r="F110" s="1186">
        <v>44564</v>
      </c>
    </row>
    <row r="111" spans="1:6" x14ac:dyDescent="0.2">
      <c r="A111" s="1186" t="s">
        <v>15</v>
      </c>
      <c r="B111" s="1186" t="s">
        <v>32</v>
      </c>
      <c r="C111" s="1186">
        <v>103</v>
      </c>
      <c r="D111" s="1186">
        <v>96</v>
      </c>
      <c r="E111" s="1186">
        <v>7</v>
      </c>
      <c r="F111" s="1186">
        <v>45364</v>
      </c>
    </row>
    <row r="112" spans="1:6" x14ac:dyDescent="0.2">
      <c r="A112" s="1186" t="s">
        <v>15</v>
      </c>
      <c r="B112" s="1186" t="s">
        <v>33</v>
      </c>
      <c r="C112" s="1186">
        <v>75</v>
      </c>
      <c r="D112" s="1186">
        <v>60</v>
      </c>
      <c r="E112" s="1186">
        <v>15</v>
      </c>
      <c r="F112" s="1186">
        <v>37448</v>
      </c>
    </row>
    <row r="113" spans="1:6" x14ac:dyDescent="0.2">
      <c r="A113" s="1186" t="s">
        <v>15</v>
      </c>
      <c r="B113" s="1186" t="s">
        <v>34</v>
      </c>
      <c r="C113" s="1186">
        <v>103</v>
      </c>
      <c r="D113" s="1186">
        <v>91</v>
      </c>
      <c r="E113" s="1186">
        <v>12</v>
      </c>
      <c r="F113" s="1186">
        <v>71742</v>
      </c>
    </row>
    <row r="114" spans="1:6" x14ac:dyDescent="0.2">
      <c r="A114" s="1186" t="s">
        <v>15</v>
      </c>
      <c r="B114" s="1186" t="s">
        <v>35</v>
      </c>
      <c r="C114" s="1186">
        <v>298</v>
      </c>
      <c r="D114" s="1186">
        <v>262</v>
      </c>
      <c r="E114" s="1186">
        <v>36</v>
      </c>
      <c r="F114" s="1186">
        <v>170881</v>
      </c>
    </row>
    <row r="115" spans="1:6" x14ac:dyDescent="0.2">
      <c r="A115" s="1186" t="s">
        <v>15</v>
      </c>
      <c r="B115" s="1186" t="s">
        <v>36</v>
      </c>
      <c r="C115" s="1186">
        <v>1040</v>
      </c>
      <c r="D115" s="1186">
        <v>842</v>
      </c>
      <c r="E115" s="1186">
        <v>198</v>
      </c>
      <c r="F115" s="1186">
        <v>301513</v>
      </c>
    </row>
    <row r="116" spans="1:6" x14ac:dyDescent="0.2">
      <c r="A116" s="1186" t="s">
        <v>15</v>
      </c>
      <c r="B116" s="1186" t="s">
        <v>37</v>
      </c>
      <c r="C116" s="1186">
        <v>132</v>
      </c>
      <c r="D116" s="1186">
        <v>126</v>
      </c>
      <c r="E116" s="1186">
        <v>6</v>
      </c>
      <c r="F116" s="1186">
        <v>112812</v>
      </c>
    </row>
    <row r="117" spans="1:6" x14ac:dyDescent="0.2">
      <c r="A117" s="1186" t="s">
        <v>15</v>
      </c>
      <c r="B117" s="1186" t="s">
        <v>38</v>
      </c>
      <c r="C117" s="1186">
        <v>98</v>
      </c>
      <c r="D117" s="1186">
        <v>80</v>
      </c>
      <c r="E117" s="1186">
        <v>18</v>
      </c>
      <c r="F117" s="1186">
        <v>39590</v>
      </c>
    </row>
    <row r="118" spans="1:6" x14ac:dyDescent="0.2">
      <c r="A118" s="1186" t="s">
        <v>15</v>
      </c>
      <c r="B118" s="1186" t="s">
        <v>39</v>
      </c>
      <c r="C118" s="1186">
        <v>93</v>
      </c>
      <c r="D118" s="1186">
        <v>87</v>
      </c>
      <c r="E118" s="1186">
        <v>6</v>
      </c>
      <c r="F118" s="1186">
        <v>37051</v>
      </c>
    </row>
    <row r="119" spans="1:6" x14ac:dyDescent="0.2">
      <c r="A119" s="1186" t="s">
        <v>15</v>
      </c>
      <c r="B119" s="1186" t="s">
        <v>40</v>
      </c>
      <c r="C119" s="1186">
        <v>57</v>
      </c>
      <c r="D119" s="1186">
        <v>55</v>
      </c>
      <c r="E119" s="1186">
        <v>2</v>
      </c>
      <c r="F119" s="1186">
        <v>43139</v>
      </c>
    </row>
    <row r="120" spans="1:6" x14ac:dyDescent="0.2">
      <c r="A120" s="1186" t="s">
        <v>15</v>
      </c>
      <c r="B120" s="1186" t="s">
        <v>295</v>
      </c>
      <c r="C120" s="1186">
        <v>23</v>
      </c>
      <c r="D120" s="1186">
        <v>22</v>
      </c>
      <c r="E120" s="1186">
        <v>1</v>
      </c>
      <c r="F120" s="1186">
        <v>14458</v>
      </c>
    </row>
    <row r="121" spans="1:6" x14ac:dyDescent="0.2">
      <c r="A121" s="1186" t="s">
        <v>15</v>
      </c>
      <c r="B121" s="1186" t="s">
        <v>41</v>
      </c>
      <c r="C121" s="1186">
        <v>154</v>
      </c>
      <c r="D121" s="1186">
        <v>142</v>
      </c>
      <c r="E121" s="1186">
        <v>12</v>
      </c>
      <c r="F121" s="1186">
        <v>66888</v>
      </c>
    </row>
    <row r="122" spans="1:6" x14ac:dyDescent="0.2">
      <c r="A122" s="1186" t="s">
        <v>15</v>
      </c>
      <c r="B122" s="1186" t="s">
        <v>42</v>
      </c>
      <c r="C122" s="1186">
        <v>360</v>
      </c>
      <c r="D122" s="1186">
        <v>284</v>
      </c>
      <c r="E122" s="1186">
        <v>76</v>
      </c>
      <c r="F122" s="1186">
        <v>149763</v>
      </c>
    </row>
    <row r="123" spans="1:6" x14ac:dyDescent="0.2">
      <c r="A123" s="1186" t="s">
        <v>15</v>
      </c>
      <c r="B123" s="1186" t="s">
        <v>43</v>
      </c>
      <c r="C123" s="1186">
        <v>10</v>
      </c>
      <c r="D123" s="1186">
        <v>9</v>
      </c>
      <c r="E123" s="1186">
        <v>1</v>
      </c>
      <c r="F123" s="1186">
        <v>10613</v>
      </c>
    </row>
    <row r="124" spans="1:6" x14ac:dyDescent="0.2">
      <c r="A124" s="1186" t="s">
        <v>15</v>
      </c>
      <c r="B124" s="1186" t="s">
        <v>44</v>
      </c>
      <c r="C124" s="1186">
        <v>121</v>
      </c>
      <c r="D124" s="1186">
        <v>114</v>
      </c>
      <c r="E124" s="1186">
        <v>7</v>
      </c>
      <c r="F124" s="1186">
        <v>69618</v>
      </c>
    </row>
    <row r="125" spans="1:6" x14ac:dyDescent="0.2">
      <c r="A125" s="1186" t="s">
        <v>15</v>
      </c>
      <c r="B125" s="1186" t="s">
        <v>45</v>
      </c>
      <c r="C125" s="1186">
        <v>260</v>
      </c>
      <c r="D125" s="1186">
        <v>219</v>
      </c>
      <c r="E125" s="1186">
        <v>41</v>
      </c>
      <c r="F125" s="1186">
        <v>83166</v>
      </c>
    </row>
    <row r="126" spans="1:6" x14ac:dyDescent="0.2">
      <c r="A126" s="1186" t="s">
        <v>15</v>
      </c>
      <c r="B126" s="1186" t="s">
        <v>46</v>
      </c>
      <c r="C126" s="1186">
        <v>107</v>
      </c>
      <c r="D126" s="1186">
        <v>100</v>
      </c>
      <c r="E126" s="1186">
        <v>7</v>
      </c>
      <c r="F126" s="1186">
        <v>56765</v>
      </c>
    </row>
    <row r="127" spans="1:6" x14ac:dyDescent="0.2">
      <c r="A127" s="1186" t="s">
        <v>15</v>
      </c>
      <c r="B127" s="1186" t="s">
        <v>47</v>
      </c>
      <c r="C127" s="1186">
        <v>18</v>
      </c>
      <c r="D127" s="1186">
        <v>17</v>
      </c>
      <c r="E127" s="1186">
        <v>1</v>
      </c>
      <c r="F127" s="1186">
        <v>10789</v>
      </c>
    </row>
    <row r="128" spans="1:6" x14ac:dyDescent="0.2">
      <c r="A128" s="1186" t="s">
        <v>15</v>
      </c>
      <c r="B128" s="1186" t="s">
        <v>48</v>
      </c>
      <c r="C128" s="1186">
        <v>111</v>
      </c>
      <c r="D128" s="1186">
        <v>99</v>
      </c>
      <c r="E128" s="1186">
        <v>12</v>
      </c>
      <c r="F128" s="1186">
        <v>54202</v>
      </c>
    </row>
    <row r="129" spans="1:6" x14ac:dyDescent="0.2">
      <c r="A129" s="1186" t="s">
        <v>15</v>
      </c>
      <c r="B129" s="1186" t="s">
        <v>49</v>
      </c>
      <c r="C129" s="1186">
        <v>292</v>
      </c>
      <c r="D129" s="1186">
        <v>249</v>
      </c>
      <c r="E129" s="1186">
        <v>43</v>
      </c>
      <c r="F129" s="1186">
        <v>145257</v>
      </c>
    </row>
    <row r="130" spans="1:6" x14ac:dyDescent="0.2">
      <c r="A130" s="1186" t="s">
        <v>15</v>
      </c>
      <c r="B130" s="1186" t="s">
        <v>50</v>
      </c>
      <c r="C130" s="1186">
        <v>57</v>
      </c>
      <c r="D130" s="1186">
        <v>54</v>
      </c>
      <c r="E130" s="1186">
        <v>3</v>
      </c>
      <c r="F130" s="1186">
        <v>39798</v>
      </c>
    </row>
    <row r="131" spans="1:6" x14ac:dyDescent="0.2">
      <c r="A131" s="1186" t="s">
        <v>15</v>
      </c>
      <c r="B131" s="1186" t="s">
        <v>51</v>
      </c>
      <c r="C131" s="1186">
        <v>146</v>
      </c>
      <c r="D131" s="1186">
        <v>96</v>
      </c>
      <c r="E131" s="1186">
        <v>50</v>
      </c>
      <c r="F131" s="1186">
        <v>44790</v>
      </c>
    </row>
    <row r="132" spans="1:6" x14ac:dyDescent="0.2">
      <c r="A132" s="1186" t="s">
        <v>15</v>
      </c>
      <c r="B132" s="1186" t="s">
        <v>52</v>
      </c>
      <c r="C132" s="1186">
        <v>201</v>
      </c>
      <c r="D132" s="1186">
        <v>179</v>
      </c>
      <c r="E132" s="1186">
        <v>22</v>
      </c>
      <c r="F132" s="1186">
        <v>75729</v>
      </c>
    </row>
    <row r="133" spans="1:6" x14ac:dyDescent="0.2">
      <c r="A133" s="1186" t="s">
        <v>17</v>
      </c>
      <c r="B133" s="1186" t="s">
        <v>23</v>
      </c>
      <c r="C133" s="1186">
        <v>294</v>
      </c>
      <c r="D133" s="1186">
        <v>247</v>
      </c>
      <c r="E133" s="1186">
        <v>47</v>
      </c>
      <c r="F133" s="1186">
        <v>112713</v>
      </c>
    </row>
    <row r="134" spans="1:6" x14ac:dyDescent="0.2">
      <c r="A134" s="1186" t="s">
        <v>17</v>
      </c>
      <c r="B134" s="1186" t="s">
        <v>24</v>
      </c>
      <c r="C134" s="1186">
        <v>182</v>
      </c>
      <c r="D134" s="1186">
        <v>173</v>
      </c>
      <c r="E134" s="1186">
        <v>9</v>
      </c>
      <c r="F134" s="1186">
        <v>112867</v>
      </c>
    </row>
    <row r="135" spans="1:6" x14ac:dyDescent="0.2">
      <c r="A135" s="1186" t="s">
        <v>17</v>
      </c>
      <c r="B135" s="1186" t="s">
        <v>25</v>
      </c>
      <c r="C135" s="1186">
        <v>80</v>
      </c>
      <c r="D135" s="1186">
        <v>71</v>
      </c>
      <c r="E135" s="1186">
        <v>9</v>
      </c>
      <c r="F135" s="1186">
        <v>54872</v>
      </c>
    </row>
    <row r="136" spans="1:6" x14ac:dyDescent="0.2">
      <c r="A136" s="1186" t="s">
        <v>17</v>
      </c>
      <c r="B136" s="1186" t="s">
        <v>26</v>
      </c>
      <c r="C136" s="1186">
        <v>88</v>
      </c>
      <c r="D136" s="1186">
        <v>78</v>
      </c>
      <c r="E136" s="1186">
        <v>10</v>
      </c>
      <c r="F136" s="1186">
        <v>47336</v>
      </c>
    </row>
    <row r="137" spans="1:6" x14ac:dyDescent="0.2">
      <c r="A137" s="1186" t="s">
        <v>17</v>
      </c>
      <c r="B137" s="1186" t="s">
        <v>619</v>
      </c>
      <c r="C137" s="1186">
        <v>607</v>
      </c>
      <c r="D137" s="1186">
        <v>523</v>
      </c>
      <c r="E137" s="1186">
        <v>84</v>
      </c>
      <c r="F137" s="1186">
        <v>237524</v>
      </c>
    </row>
    <row r="138" spans="1:6" x14ac:dyDescent="0.2">
      <c r="A138" s="1186" t="s">
        <v>17</v>
      </c>
      <c r="B138" s="1186" t="s">
        <v>27</v>
      </c>
      <c r="C138" s="1186">
        <v>42</v>
      </c>
      <c r="D138" s="1186">
        <v>38</v>
      </c>
      <c r="E138" s="1186">
        <v>4</v>
      </c>
      <c r="F138" s="1186">
        <v>23894</v>
      </c>
    </row>
    <row r="139" spans="1:6" x14ac:dyDescent="0.2">
      <c r="A139" s="1186" t="s">
        <v>17</v>
      </c>
      <c r="B139" s="1186" t="s">
        <v>28</v>
      </c>
      <c r="C139" s="1186">
        <v>112</v>
      </c>
      <c r="D139" s="1186">
        <v>111</v>
      </c>
      <c r="E139" s="1186">
        <v>1</v>
      </c>
      <c r="F139" s="1186">
        <v>73555</v>
      </c>
    </row>
    <row r="140" spans="1:6" x14ac:dyDescent="0.2">
      <c r="A140" s="1186" t="s">
        <v>17</v>
      </c>
      <c r="B140" s="1186" t="s">
        <v>29</v>
      </c>
      <c r="C140" s="1186">
        <v>220</v>
      </c>
      <c r="D140" s="1186">
        <v>195</v>
      </c>
      <c r="E140" s="1186">
        <v>25</v>
      </c>
      <c r="F140" s="1186">
        <v>73560</v>
      </c>
    </row>
    <row r="141" spans="1:6" x14ac:dyDescent="0.2">
      <c r="A141" s="1186" t="s">
        <v>17</v>
      </c>
      <c r="B141" s="1186" t="s">
        <v>30</v>
      </c>
      <c r="C141" s="1186">
        <v>107</v>
      </c>
      <c r="D141" s="1186">
        <v>91</v>
      </c>
      <c r="E141" s="1186">
        <v>16</v>
      </c>
      <c r="F141" s="1186">
        <v>57172</v>
      </c>
    </row>
    <row r="142" spans="1:6" x14ac:dyDescent="0.2">
      <c r="A142" s="1186" t="s">
        <v>17</v>
      </c>
      <c r="B142" s="1186" t="s">
        <v>31</v>
      </c>
      <c r="C142" s="1186">
        <v>57</v>
      </c>
      <c r="D142" s="1186">
        <v>53</v>
      </c>
      <c r="E142" s="1186">
        <v>4</v>
      </c>
      <c r="F142" s="1186">
        <v>44864</v>
      </c>
    </row>
    <row r="143" spans="1:6" x14ac:dyDescent="0.2">
      <c r="A143" s="1186" t="s">
        <v>17</v>
      </c>
      <c r="B143" s="1186" t="s">
        <v>32</v>
      </c>
      <c r="C143" s="1186">
        <v>83</v>
      </c>
      <c r="D143" s="1186">
        <v>81</v>
      </c>
      <c r="E143" s="1186">
        <v>2</v>
      </c>
      <c r="F143" s="1186">
        <v>45613</v>
      </c>
    </row>
    <row r="144" spans="1:6" x14ac:dyDescent="0.2">
      <c r="A144" s="1186" t="s">
        <v>17</v>
      </c>
      <c r="B144" s="1186" t="s">
        <v>33</v>
      </c>
      <c r="C144" s="1186">
        <v>64</v>
      </c>
      <c r="D144" s="1186">
        <v>61</v>
      </c>
      <c r="E144" s="1186">
        <v>3</v>
      </c>
      <c r="F144" s="1186">
        <v>37639</v>
      </c>
    </row>
    <row r="145" spans="1:6" x14ac:dyDescent="0.2">
      <c r="A145" s="1186" t="s">
        <v>17</v>
      </c>
      <c r="B145" s="1186" t="s">
        <v>34</v>
      </c>
      <c r="C145" s="1186">
        <v>130</v>
      </c>
      <c r="D145" s="1186">
        <v>118</v>
      </c>
      <c r="E145" s="1186">
        <v>12</v>
      </c>
      <c r="F145" s="1186">
        <v>72128</v>
      </c>
    </row>
    <row r="146" spans="1:6" x14ac:dyDescent="0.2">
      <c r="A146" s="1186" t="s">
        <v>17</v>
      </c>
      <c r="B146" s="1186" t="s">
        <v>35</v>
      </c>
      <c r="C146" s="1186">
        <v>231</v>
      </c>
      <c r="D146" s="1186">
        <v>216</v>
      </c>
      <c r="E146" s="1186">
        <v>15</v>
      </c>
      <c r="F146" s="1186">
        <v>171560</v>
      </c>
    </row>
    <row r="147" spans="1:6" x14ac:dyDescent="0.2">
      <c r="A147" s="1186" t="s">
        <v>17</v>
      </c>
      <c r="B147" s="1186" t="s">
        <v>36</v>
      </c>
      <c r="C147" s="1186">
        <v>916</v>
      </c>
      <c r="D147" s="1186">
        <v>763</v>
      </c>
      <c r="E147" s="1186">
        <v>153</v>
      </c>
      <c r="F147" s="1186">
        <v>301633</v>
      </c>
    </row>
    <row r="148" spans="1:6" x14ac:dyDescent="0.2">
      <c r="A148" s="1186" t="s">
        <v>17</v>
      </c>
      <c r="B148" s="1186" t="s">
        <v>37</v>
      </c>
      <c r="C148" s="1186">
        <v>143</v>
      </c>
      <c r="D148" s="1186">
        <v>140</v>
      </c>
      <c r="E148" s="1186">
        <v>3</v>
      </c>
      <c r="F148" s="1186">
        <v>113703</v>
      </c>
    </row>
    <row r="149" spans="1:6" x14ac:dyDescent="0.2">
      <c r="A149" s="1186" t="s">
        <v>17</v>
      </c>
      <c r="B149" s="1186" t="s">
        <v>38</v>
      </c>
      <c r="C149" s="1186">
        <v>106</v>
      </c>
      <c r="D149" s="1186">
        <v>87</v>
      </c>
      <c r="E149" s="1186">
        <v>19</v>
      </c>
      <c r="F149" s="1186">
        <v>38791</v>
      </c>
    </row>
    <row r="150" spans="1:6" x14ac:dyDescent="0.2">
      <c r="A150" s="1186" t="s">
        <v>17</v>
      </c>
      <c r="B150" s="1186" t="s">
        <v>39</v>
      </c>
      <c r="C150" s="1186">
        <v>66</v>
      </c>
      <c r="D150" s="1186">
        <v>62</v>
      </c>
      <c r="E150" s="1186">
        <v>4</v>
      </c>
      <c r="F150" s="1186">
        <v>37503</v>
      </c>
    </row>
    <row r="151" spans="1:6" x14ac:dyDescent="0.2">
      <c r="A151" s="1186" t="s">
        <v>17</v>
      </c>
      <c r="B151" s="1186" t="s">
        <v>40</v>
      </c>
      <c r="C151" s="1186">
        <v>74</v>
      </c>
      <c r="D151" s="1186">
        <v>69</v>
      </c>
      <c r="E151" s="1186">
        <v>5</v>
      </c>
      <c r="F151" s="1186">
        <v>43495</v>
      </c>
    </row>
    <row r="152" spans="1:6" x14ac:dyDescent="0.2">
      <c r="A152" s="1186" t="s">
        <v>17</v>
      </c>
      <c r="B152" s="1186" t="s">
        <v>295</v>
      </c>
      <c r="C152" s="1186">
        <v>11</v>
      </c>
      <c r="D152" s="1186">
        <v>11</v>
      </c>
      <c r="E152" s="1186">
        <v>0</v>
      </c>
      <c r="F152" s="1186">
        <v>14490</v>
      </c>
    </row>
    <row r="153" spans="1:6" x14ac:dyDescent="0.2">
      <c r="A153" s="1186" t="s">
        <v>17</v>
      </c>
      <c r="B153" s="1186" t="s">
        <v>41</v>
      </c>
      <c r="C153" s="1186">
        <v>148</v>
      </c>
      <c r="D153" s="1186">
        <v>135</v>
      </c>
      <c r="E153" s="1186">
        <v>13</v>
      </c>
      <c r="F153" s="1186">
        <v>67082</v>
      </c>
    </row>
    <row r="154" spans="1:6" x14ac:dyDescent="0.2">
      <c r="A154" s="1186" t="s">
        <v>17</v>
      </c>
      <c r="B154" s="1186" t="s">
        <v>42</v>
      </c>
      <c r="C154" s="1186">
        <v>315</v>
      </c>
      <c r="D154" s="1186">
        <v>259</v>
      </c>
      <c r="E154" s="1186">
        <v>56</v>
      </c>
      <c r="F154" s="1186">
        <v>150541</v>
      </c>
    </row>
    <row r="155" spans="1:6" x14ac:dyDescent="0.2">
      <c r="A155" s="1186" t="s">
        <v>17</v>
      </c>
      <c r="B155" s="1186" t="s">
        <v>43</v>
      </c>
      <c r="C155" s="1186">
        <v>10</v>
      </c>
      <c r="D155" s="1186">
        <v>10</v>
      </c>
      <c r="E155" s="1186">
        <v>0</v>
      </c>
      <c r="F155" s="1186">
        <v>10717</v>
      </c>
    </row>
    <row r="156" spans="1:6" x14ac:dyDescent="0.2">
      <c r="A156" s="1186" t="s">
        <v>17</v>
      </c>
      <c r="B156" s="1186" t="s">
        <v>44</v>
      </c>
      <c r="C156" s="1186">
        <v>105</v>
      </c>
      <c r="D156" s="1186">
        <v>97</v>
      </c>
      <c r="E156" s="1186">
        <v>8</v>
      </c>
      <c r="F156" s="1186">
        <v>69923</v>
      </c>
    </row>
    <row r="157" spans="1:6" x14ac:dyDescent="0.2">
      <c r="A157" s="1186" t="s">
        <v>17</v>
      </c>
      <c r="B157" s="1186" t="s">
        <v>45</v>
      </c>
      <c r="C157" s="1186">
        <v>262</v>
      </c>
      <c r="D157" s="1186">
        <v>223</v>
      </c>
      <c r="E157" s="1186">
        <v>39</v>
      </c>
      <c r="F157" s="1186">
        <v>83933</v>
      </c>
    </row>
    <row r="158" spans="1:6" x14ac:dyDescent="0.2">
      <c r="A158" s="1186" t="s">
        <v>17</v>
      </c>
      <c r="B158" s="1186" t="s">
        <v>46</v>
      </c>
      <c r="C158" s="1186">
        <v>110</v>
      </c>
      <c r="D158" s="1186">
        <v>101</v>
      </c>
      <c r="E158" s="1186">
        <v>9</v>
      </c>
      <c r="F158" s="1186">
        <v>57097</v>
      </c>
    </row>
    <row r="159" spans="1:6" x14ac:dyDescent="0.2">
      <c r="A159" s="1186" t="s">
        <v>17</v>
      </c>
      <c r="B159" s="1186" t="s">
        <v>47</v>
      </c>
      <c r="C159" s="1186">
        <v>11</v>
      </c>
      <c r="D159" s="1186">
        <v>11</v>
      </c>
      <c r="E159" s="1186">
        <v>0</v>
      </c>
      <c r="F159" s="1186">
        <v>10852</v>
      </c>
    </row>
    <row r="160" spans="1:6" x14ac:dyDescent="0.2">
      <c r="A160" s="1186" t="s">
        <v>17</v>
      </c>
      <c r="B160" s="1186" t="s">
        <v>48</v>
      </c>
      <c r="C160" s="1186">
        <v>93</v>
      </c>
      <c r="D160" s="1186">
        <v>86</v>
      </c>
      <c r="E160" s="1186">
        <v>7</v>
      </c>
      <c r="F160" s="1186">
        <v>54385</v>
      </c>
    </row>
    <row r="161" spans="1:6" x14ac:dyDescent="0.2">
      <c r="A161" s="1186" t="s">
        <v>17</v>
      </c>
      <c r="B161" s="1186" t="s">
        <v>49</v>
      </c>
      <c r="C161" s="1186">
        <v>263</v>
      </c>
      <c r="D161" s="1186">
        <v>228</v>
      </c>
      <c r="E161" s="1186">
        <v>35</v>
      </c>
      <c r="F161" s="1186">
        <v>146110</v>
      </c>
    </row>
    <row r="162" spans="1:6" x14ac:dyDescent="0.2">
      <c r="A162" s="1186" t="s">
        <v>17</v>
      </c>
      <c r="B162" s="1186" t="s">
        <v>50</v>
      </c>
      <c r="C162" s="1186">
        <v>72</v>
      </c>
      <c r="D162" s="1186">
        <v>66</v>
      </c>
      <c r="E162" s="1186">
        <v>6</v>
      </c>
      <c r="F162" s="1186">
        <v>39965</v>
      </c>
    </row>
    <row r="163" spans="1:6" x14ac:dyDescent="0.2">
      <c r="A163" s="1186" t="s">
        <v>17</v>
      </c>
      <c r="B163" s="1186" t="s">
        <v>51</v>
      </c>
      <c r="C163" s="1186">
        <v>133</v>
      </c>
      <c r="D163" s="1186">
        <v>105</v>
      </c>
      <c r="E163" s="1186">
        <v>28</v>
      </c>
      <c r="F163" s="1186">
        <v>44880</v>
      </c>
    </row>
    <row r="164" spans="1:6" x14ac:dyDescent="0.2">
      <c r="A164" s="1186" t="s">
        <v>17</v>
      </c>
      <c r="B164" s="1186" t="s">
        <v>52</v>
      </c>
      <c r="C164" s="1186">
        <v>188</v>
      </c>
      <c r="D164" s="1186">
        <v>164</v>
      </c>
      <c r="E164" s="1186">
        <v>24</v>
      </c>
      <c r="F164" s="1186">
        <v>76473</v>
      </c>
    </row>
    <row r="165" spans="1:6" x14ac:dyDescent="0.2">
      <c r="A165" s="1186" t="s">
        <v>133</v>
      </c>
      <c r="B165" s="1186" t="s">
        <v>23</v>
      </c>
      <c r="C165" s="1186">
        <v>320</v>
      </c>
      <c r="D165" s="1186">
        <v>274</v>
      </c>
      <c r="E165" s="1186">
        <v>46</v>
      </c>
      <c r="F165" s="1186">
        <v>113508</v>
      </c>
    </row>
    <row r="166" spans="1:6" x14ac:dyDescent="0.2">
      <c r="A166" s="1186" t="s">
        <v>133</v>
      </c>
      <c r="B166" s="1186" t="s">
        <v>24</v>
      </c>
      <c r="C166" s="1186">
        <v>200</v>
      </c>
      <c r="D166" s="1186">
        <v>191</v>
      </c>
      <c r="E166" s="1186">
        <v>9</v>
      </c>
      <c r="F166" s="1186">
        <v>114086</v>
      </c>
    </row>
    <row r="167" spans="1:6" x14ac:dyDescent="0.2">
      <c r="A167" s="1186" t="s">
        <v>133</v>
      </c>
      <c r="B167" s="1186" t="s">
        <v>25</v>
      </c>
      <c r="C167" s="1186">
        <v>113</v>
      </c>
      <c r="D167" s="1186">
        <v>103</v>
      </c>
      <c r="E167" s="1186">
        <v>10</v>
      </c>
      <c r="F167" s="1186">
        <v>55267</v>
      </c>
    </row>
    <row r="168" spans="1:6" x14ac:dyDescent="0.2">
      <c r="A168" s="1186" t="s">
        <v>133</v>
      </c>
      <c r="B168" s="1186" t="s">
        <v>26</v>
      </c>
      <c r="C168" s="1186">
        <v>88</v>
      </c>
      <c r="D168" s="1186">
        <v>81</v>
      </c>
      <c r="E168" s="1186">
        <v>7</v>
      </c>
      <c r="F168" s="1186">
        <v>47500</v>
      </c>
    </row>
    <row r="169" spans="1:6" x14ac:dyDescent="0.2">
      <c r="A169" s="1186" t="s">
        <v>133</v>
      </c>
      <c r="B169" s="1186" t="s">
        <v>619</v>
      </c>
      <c r="C169" s="1186">
        <v>663</v>
      </c>
      <c r="D169" s="1186">
        <v>563</v>
      </c>
      <c r="E169" s="1186">
        <v>100</v>
      </c>
      <c r="F169" s="1186">
        <v>239525</v>
      </c>
    </row>
    <row r="170" spans="1:6" x14ac:dyDescent="0.2">
      <c r="A170" s="1186" t="s">
        <v>133</v>
      </c>
      <c r="B170" s="1186" t="s">
        <v>27</v>
      </c>
      <c r="C170" s="1186">
        <v>49</v>
      </c>
      <c r="D170" s="1186">
        <v>43</v>
      </c>
      <c r="E170" s="1186">
        <v>6</v>
      </c>
      <c r="F170" s="1186">
        <v>23995</v>
      </c>
    </row>
    <row r="171" spans="1:6" x14ac:dyDescent="0.2">
      <c r="A171" s="1186" t="s">
        <v>133</v>
      </c>
      <c r="B171" s="1186" t="s">
        <v>28</v>
      </c>
      <c r="C171" s="1186">
        <v>98</v>
      </c>
      <c r="D171" s="1186">
        <v>93</v>
      </c>
      <c r="E171" s="1186">
        <v>5</v>
      </c>
      <c r="F171" s="1186">
        <v>73895</v>
      </c>
    </row>
    <row r="172" spans="1:6" x14ac:dyDescent="0.2">
      <c r="A172" s="1186" t="s">
        <v>133</v>
      </c>
      <c r="B172" s="1186" t="s">
        <v>29</v>
      </c>
      <c r="C172" s="1186">
        <v>214</v>
      </c>
      <c r="D172" s="1186">
        <v>180</v>
      </c>
      <c r="E172" s="1186">
        <v>34</v>
      </c>
      <c r="F172" s="1186">
        <v>73575</v>
      </c>
    </row>
    <row r="173" spans="1:6" x14ac:dyDescent="0.2">
      <c r="A173" s="1186" t="s">
        <v>133</v>
      </c>
      <c r="B173" s="1186" t="s">
        <v>30</v>
      </c>
      <c r="C173" s="1186">
        <v>113</v>
      </c>
      <c r="D173" s="1186">
        <v>101</v>
      </c>
      <c r="E173" s="1186">
        <v>12</v>
      </c>
      <c r="F173" s="1186">
        <v>57324</v>
      </c>
    </row>
    <row r="174" spans="1:6" x14ac:dyDescent="0.2">
      <c r="A174" s="1186" t="s">
        <v>133</v>
      </c>
      <c r="B174" s="1186" t="s">
        <v>31</v>
      </c>
      <c r="C174" s="1186">
        <v>73</v>
      </c>
      <c r="D174" s="1186">
        <v>69</v>
      </c>
      <c r="E174" s="1186">
        <v>4</v>
      </c>
      <c r="F174" s="1186">
        <v>45281</v>
      </c>
    </row>
    <row r="175" spans="1:6" x14ac:dyDescent="0.2">
      <c r="A175" s="1186" t="s">
        <v>133</v>
      </c>
      <c r="B175" s="1186" t="s">
        <v>32</v>
      </c>
      <c r="C175" s="1186">
        <v>75</v>
      </c>
      <c r="D175" s="1186">
        <v>72</v>
      </c>
      <c r="E175" s="1186">
        <v>3</v>
      </c>
      <c r="F175" s="1186">
        <v>45968</v>
      </c>
    </row>
    <row r="176" spans="1:6" x14ac:dyDescent="0.2">
      <c r="A176" s="1186" t="s">
        <v>133</v>
      </c>
      <c r="B176" s="1186" t="s">
        <v>33</v>
      </c>
      <c r="C176" s="1186">
        <v>70</v>
      </c>
      <c r="D176" s="1186">
        <v>66</v>
      </c>
      <c r="E176" s="1186">
        <v>4</v>
      </c>
      <c r="F176" s="1186">
        <v>37852</v>
      </c>
    </row>
    <row r="177" spans="1:6" x14ac:dyDescent="0.2">
      <c r="A177" s="1186" t="s">
        <v>133</v>
      </c>
      <c r="B177" s="1186" t="s">
        <v>34</v>
      </c>
      <c r="C177" s="1186">
        <v>123</v>
      </c>
      <c r="D177" s="1186">
        <v>111</v>
      </c>
      <c r="E177" s="1186">
        <v>12</v>
      </c>
      <c r="F177" s="1186">
        <v>72624</v>
      </c>
    </row>
    <row r="178" spans="1:6" x14ac:dyDescent="0.2">
      <c r="A178" s="1186" t="s">
        <v>133</v>
      </c>
      <c r="B178" s="1186" t="s">
        <v>35</v>
      </c>
      <c r="C178" s="1186">
        <v>251</v>
      </c>
      <c r="D178" s="1186">
        <v>231</v>
      </c>
      <c r="E178" s="1186">
        <v>20</v>
      </c>
      <c r="F178" s="1186">
        <v>172425</v>
      </c>
    </row>
    <row r="179" spans="1:6" x14ac:dyDescent="0.2">
      <c r="A179" s="1186" t="s">
        <v>133</v>
      </c>
      <c r="B179" s="1186" t="s">
        <v>36</v>
      </c>
      <c r="C179" s="1186">
        <v>943</v>
      </c>
      <c r="D179" s="1186">
        <v>836</v>
      </c>
      <c r="E179" s="1186">
        <v>107</v>
      </c>
      <c r="F179" s="1186">
        <v>301891</v>
      </c>
    </row>
    <row r="180" spans="1:6" x14ac:dyDescent="0.2">
      <c r="A180" s="1186" t="s">
        <v>133</v>
      </c>
      <c r="B180" s="1186" t="s">
        <v>37</v>
      </c>
      <c r="C180" s="1186">
        <v>163</v>
      </c>
      <c r="D180" s="1186">
        <v>160</v>
      </c>
      <c r="E180" s="1186">
        <v>3</v>
      </c>
      <c r="F180" s="1186">
        <v>114603</v>
      </c>
    </row>
    <row r="181" spans="1:6" x14ac:dyDescent="0.2">
      <c r="A181" s="1186" t="s">
        <v>133</v>
      </c>
      <c r="B181" s="1186" t="s">
        <v>38</v>
      </c>
      <c r="C181" s="1186">
        <v>113</v>
      </c>
      <c r="D181" s="1186">
        <v>93</v>
      </c>
      <c r="E181" s="1186">
        <v>20</v>
      </c>
      <c r="F181" s="1186">
        <v>38699</v>
      </c>
    </row>
    <row r="182" spans="1:6" x14ac:dyDescent="0.2">
      <c r="A182" s="1186" t="s">
        <v>133</v>
      </c>
      <c r="B182" s="1186" t="s">
        <v>39</v>
      </c>
      <c r="C182" s="1186">
        <v>71</v>
      </c>
      <c r="D182" s="1186">
        <v>56</v>
      </c>
      <c r="E182" s="1186">
        <v>15</v>
      </c>
      <c r="F182" s="1186">
        <v>38159</v>
      </c>
    </row>
    <row r="183" spans="1:6" x14ac:dyDescent="0.2">
      <c r="A183" s="1186" t="s">
        <v>133</v>
      </c>
      <c r="B183" s="1186" t="s">
        <v>40</v>
      </c>
      <c r="C183" s="1186">
        <v>59</v>
      </c>
      <c r="D183" s="1186">
        <v>53</v>
      </c>
      <c r="E183" s="1186">
        <v>6</v>
      </c>
      <c r="F183" s="1186">
        <v>43788</v>
      </c>
    </row>
    <row r="184" spans="1:6" x14ac:dyDescent="0.2">
      <c r="A184" s="1186" t="s">
        <v>133</v>
      </c>
      <c r="B184" s="1186" t="s">
        <v>295</v>
      </c>
      <c r="C184" s="1186">
        <v>22</v>
      </c>
      <c r="D184" s="1186">
        <v>22</v>
      </c>
      <c r="E184" s="1186">
        <v>0</v>
      </c>
      <c r="F184" s="1186">
        <v>14520</v>
      </c>
    </row>
    <row r="185" spans="1:6" x14ac:dyDescent="0.2">
      <c r="A185" s="1186" t="s">
        <v>133</v>
      </c>
      <c r="B185" s="1186" t="s">
        <v>41</v>
      </c>
      <c r="C185" s="1186">
        <v>168</v>
      </c>
      <c r="D185" s="1186">
        <v>154</v>
      </c>
      <c r="E185" s="1186">
        <v>14</v>
      </c>
      <c r="F185" s="1186">
        <v>67204</v>
      </c>
    </row>
    <row r="186" spans="1:6" x14ac:dyDescent="0.2">
      <c r="A186" s="1186" t="s">
        <v>133</v>
      </c>
      <c r="B186" s="1186" t="s">
        <v>42</v>
      </c>
      <c r="C186" s="1186">
        <v>345</v>
      </c>
      <c r="D186" s="1186">
        <v>286</v>
      </c>
      <c r="E186" s="1186">
        <v>59</v>
      </c>
      <c r="F186" s="1186">
        <v>151424</v>
      </c>
    </row>
    <row r="187" spans="1:6" x14ac:dyDescent="0.2">
      <c r="A187" s="1186" t="s">
        <v>133</v>
      </c>
      <c r="B187" s="1186" t="s">
        <v>43</v>
      </c>
      <c r="C187" s="1186">
        <v>15</v>
      </c>
      <c r="D187" s="1186">
        <v>12</v>
      </c>
      <c r="E187" s="1186">
        <v>3</v>
      </c>
      <c r="F187" s="1186">
        <v>10816</v>
      </c>
    </row>
    <row r="188" spans="1:6" x14ac:dyDescent="0.2">
      <c r="A188" s="1186" t="s">
        <v>133</v>
      </c>
      <c r="B188" s="1186" t="s">
        <v>44</v>
      </c>
      <c r="C188" s="1186">
        <v>131</v>
      </c>
      <c r="D188" s="1186">
        <v>124</v>
      </c>
      <c r="E188" s="1186">
        <v>7</v>
      </c>
      <c r="F188" s="1186">
        <v>70312</v>
      </c>
    </row>
    <row r="189" spans="1:6" x14ac:dyDescent="0.2">
      <c r="A189" s="1186" t="s">
        <v>133</v>
      </c>
      <c r="B189" s="1186" t="s">
        <v>45</v>
      </c>
      <c r="C189" s="1186">
        <v>247</v>
      </c>
      <c r="D189" s="1186">
        <v>221</v>
      </c>
      <c r="E189" s="1186">
        <v>26</v>
      </c>
      <c r="F189" s="1186">
        <v>84442</v>
      </c>
    </row>
    <row r="190" spans="1:6" x14ac:dyDescent="0.2">
      <c r="A190" s="1186" t="s">
        <v>133</v>
      </c>
      <c r="B190" s="1186" t="s">
        <v>46</v>
      </c>
      <c r="C190" s="1186">
        <v>83</v>
      </c>
      <c r="D190" s="1186">
        <v>80</v>
      </c>
      <c r="E190" s="1186">
        <v>3</v>
      </c>
      <c r="F190" s="1186">
        <v>57274</v>
      </c>
    </row>
    <row r="191" spans="1:6" x14ac:dyDescent="0.2">
      <c r="A191" s="1186" t="s">
        <v>133</v>
      </c>
      <c r="B191" s="1186" t="s">
        <v>47</v>
      </c>
      <c r="C191" s="1186">
        <v>11</v>
      </c>
      <c r="D191" s="1186">
        <v>11</v>
      </c>
      <c r="E191" s="1186">
        <v>0</v>
      </c>
      <c r="F191" s="1186">
        <v>10950</v>
      </c>
    </row>
    <row r="192" spans="1:6" x14ac:dyDescent="0.2">
      <c r="A192" s="1186" t="s">
        <v>133</v>
      </c>
      <c r="B192" s="1186" t="s">
        <v>48</v>
      </c>
      <c r="C192" s="1186">
        <v>91</v>
      </c>
      <c r="D192" s="1186">
        <v>78</v>
      </c>
      <c r="E192" s="1186">
        <v>13</v>
      </c>
      <c r="F192" s="1186">
        <v>54489</v>
      </c>
    </row>
    <row r="193" spans="1:6" x14ac:dyDescent="0.2">
      <c r="A193" s="1186" t="s">
        <v>133</v>
      </c>
      <c r="B193" s="1186" t="s">
        <v>49</v>
      </c>
      <c r="C193" s="1186">
        <v>304</v>
      </c>
      <c r="D193" s="1186">
        <v>267</v>
      </c>
      <c r="E193" s="1186">
        <v>37</v>
      </c>
      <c r="F193" s="1186">
        <v>146925</v>
      </c>
    </row>
    <row r="194" spans="1:6" x14ac:dyDescent="0.2">
      <c r="A194" s="1186" t="s">
        <v>133</v>
      </c>
      <c r="B194" s="1186" t="s">
        <v>50</v>
      </c>
      <c r="C194" s="1186">
        <v>87</v>
      </c>
      <c r="D194" s="1186">
        <v>83</v>
      </c>
      <c r="E194" s="1186">
        <v>4</v>
      </c>
      <c r="F194" s="1186">
        <v>40320</v>
      </c>
    </row>
    <row r="195" spans="1:6" x14ac:dyDescent="0.2">
      <c r="A195" s="1186" t="s">
        <v>133</v>
      </c>
      <c r="B195" s="1186" t="s">
        <v>51</v>
      </c>
      <c r="C195" s="1186">
        <v>98</v>
      </c>
      <c r="D195" s="1186">
        <v>83</v>
      </c>
      <c r="E195" s="1186">
        <v>15</v>
      </c>
      <c r="F195" s="1186">
        <v>44734</v>
      </c>
    </row>
    <row r="196" spans="1:6" x14ac:dyDescent="0.2">
      <c r="A196" s="1186" t="s">
        <v>133</v>
      </c>
      <c r="B196" s="1186" t="s">
        <v>52</v>
      </c>
      <c r="C196" s="1186">
        <v>173</v>
      </c>
      <c r="D196" s="1186">
        <v>156</v>
      </c>
      <c r="E196" s="1186">
        <v>17</v>
      </c>
      <c r="F196" s="1186">
        <v>77186</v>
      </c>
    </row>
    <row r="197" spans="1:6" x14ac:dyDescent="0.2">
      <c r="A197" s="1186" t="s">
        <v>144</v>
      </c>
      <c r="B197" s="1186" t="s">
        <v>23</v>
      </c>
      <c r="C197" s="1186">
        <v>334</v>
      </c>
      <c r="D197" s="1186">
        <v>299</v>
      </c>
      <c r="E197" s="1186">
        <v>35</v>
      </c>
      <c r="F197" s="1186">
        <v>114234</v>
      </c>
    </row>
    <row r="198" spans="1:6" x14ac:dyDescent="0.2">
      <c r="A198" s="1186" t="s">
        <v>144</v>
      </c>
      <c r="B198" s="1186" t="s">
        <v>24</v>
      </c>
      <c r="C198" s="1186">
        <v>192</v>
      </c>
      <c r="D198" s="1186">
        <v>180</v>
      </c>
      <c r="E198" s="1186">
        <v>12</v>
      </c>
      <c r="F198" s="1186">
        <v>115223</v>
      </c>
    </row>
    <row r="199" spans="1:6" x14ac:dyDescent="0.2">
      <c r="A199" s="1186" t="s">
        <v>144</v>
      </c>
      <c r="B199" s="1186" t="s">
        <v>25</v>
      </c>
      <c r="C199" s="1186">
        <v>95</v>
      </c>
      <c r="D199" s="1186">
        <v>88</v>
      </c>
      <c r="E199" s="1186">
        <v>7</v>
      </c>
      <c r="F199" s="1186">
        <v>55619</v>
      </c>
    </row>
    <row r="200" spans="1:6" x14ac:dyDescent="0.2">
      <c r="A200" s="1186" t="s">
        <v>144</v>
      </c>
      <c r="B200" s="1186" t="s">
        <v>26</v>
      </c>
      <c r="C200" s="1186">
        <v>64</v>
      </c>
      <c r="D200" s="1186">
        <v>60</v>
      </c>
      <c r="E200" s="1186">
        <v>4</v>
      </c>
      <c r="F200" s="1186">
        <v>47712</v>
      </c>
    </row>
    <row r="201" spans="1:6" x14ac:dyDescent="0.2">
      <c r="A201" s="1186" t="s">
        <v>144</v>
      </c>
      <c r="B201" s="1186" t="s">
        <v>619</v>
      </c>
      <c r="C201" s="1186">
        <v>633</v>
      </c>
      <c r="D201" s="1186">
        <v>545</v>
      </c>
      <c r="E201" s="1186">
        <v>88</v>
      </c>
      <c r="F201" s="1186">
        <v>241433</v>
      </c>
    </row>
    <row r="202" spans="1:6" x14ac:dyDescent="0.2">
      <c r="A202" s="1186" t="s">
        <v>144</v>
      </c>
      <c r="B202" s="1186" t="s">
        <v>27</v>
      </c>
      <c r="C202" s="1186">
        <v>75</v>
      </c>
      <c r="D202" s="1186">
        <v>71</v>
      </c>
      <c r="E202" s="1186">
        <v>4</v>
      </c>
      <c r="F202" s="1186">
        <v>24114</v>
      </c>
    </row>
    <row r="203" spans="1:6" x14ac:dyDescent="0.2">
      <c r="A203" s="1186" t="s">
        <v>144</v>
      </c>
      <c r="B203" s="1186" t="s">
        <v>28</v>
      </c>
      <c r="C203" s="1186">
        <v>94</v>
      </c>
      <c r="D203" s="1186">
        <v>82</v>
      </c>
      <c r="E203" s="1186">
        <v>12</v>
      </c>
      <c r="F203" s="1186">
        <v>74190</v>
      </c>
    </row>
    <row r="204" spans="1:6" x14ac:dyDescent="0.2">
      <c r="A204" s="1186" t="s">
        <v>144</v>
      </c>
      <c r="B204" s="1186" t="s">
        <v>29</v>
      </c>
      <c r="C204" s="1186">
        <v>256</v>
      </c>
      <c r="D204" s="1186">
        <v>227</v>
      </c>
      <c r="E204" s="1186">
        <v>29</v>
      </c>
      <c r="F204" s="1186">
        <v>73689</v>
      </c>
    </row>
    <row r="205" spans="1:6" x14ac:dyDescent="0.2">
      <c r="A205" s="1186" t="s">
        <v>144</v>
      </c>
      <c r="B205" s="1186" t="s">
        <v>30</v>
      </c>
      <c r="C205" s="1186">
        <v>104</v>
      </c>
      <c r="D205" s="1186">
        <v>92</v>
      </c>
      <c r="E205" s="1186">
        <v>12</v>
      </c>
      <c r="F205" s="1186">
        <v>57654</v>
      </c>
    </row>
    <row r="206" spans="1:6" x14ac:dyDescent="0.2">
      <c r="A206" s="1186" t="s">
        <v>144</v>
      </c>
      <c r="B206" s="1186" t="s">
        <v>31</v>
      </c>
      <c r="C206" s="1186">
        <v>77</v>
      </c>
      <c r="D206" s="1186">
        <v>71</v>
      </c>
      <c r="E206" s="1186">
        <v>6</v>
      </c>
      <c r="F206" s="1186">
        <v>45678</v>
      </c>
    </row>
    <row r="207" spans="1:6" x14ac:dyDescent="0.2">
      <c r="A207" s="1186" t="s">
        <v>144</v>
      </c>
      <c r="B207" s="1186" t="s">
        <v>32</v>
      </c>
      <c r="C207" s="1186">
        <v>85</v>
      </c>
      <c r="D207" s="1186">
        <v>80</v>
      </c>
      <c r="E207" s="1186">
        <v>5</v>
      </c>
      <c r="F207" s="1186">
        <v>46332</v>
      </c>
    </row>
    <row r="208" spans="1:6" x14ac:dyDescent="0.2">
      <c r="A208" s="1186" t="s">
        <v>144</v>
      </c>
      <c r="B208" s="1186" t="s">
        <v>33</v>
      </c>
      <c r="C208" s="1186">
        <v>71</v>
      </c>
      <c r="D208" s="1186">
        <v>63</v>
      </c>
      <c r="E208" s="1186">
        <v>8</v>
      </c>
      <c r="F208" s="1186">
        <v>38061</v>
      </c>
    </row>
    <row r="209" spans="1:6" x14ac:dyDescent="0.2">
      <c r="A209" s="1186" t="s">
        <v>144</v>
      </c>
      <c r="B209" s="1186" t="s">
        <v>34</v>
      </c>
      <c r="C209" s="1186">
        <v>134</v>
      </c>
      <c r="D209" s="1186">
        <v>123</v>
      </c>
      <c r="E209" s="1186">
        <v>11</v>
      </c>
      <c r="F209" s="1186">
        <v>73290</v>
      </c>
    </row>
    <row r="210" spans="1:6" x14ac:dyDescent="0.2">
      <c r="A210" s="1186" t="s">
        <v>144</v>
      </c>
      <c r="B210" s="1186" t="s">
        <v>35</v>
      </c>
      <c r="C210" s="1186">
        <v>278</v>
      </c>
      <c r="D210" s="1186">
        <v>254</v>
      </c>
      <c r="E210" s="1186">
        <v>24</v>
      </c>
      <c r="F210" s="1186">
        <v>173366</v>
      </c>
    </row>
    <row r="211" spans="1:6" x14ac:dyDescent="0.2">
      <c r="A211" s="1186" t="s">
        <v>144</v>
      </c>
      <c r="B211" s="1186" t="s">
        <v>36</v>
      </c>
      <c r="C211" s="1186">
        <v>960</v>
      </c>
      <c r="D211" s="1186">
        <v>833</v>
      </c>
      <c r="E211" s="1186">
        <v>127</v>
      </c>
      <c r="F211" s="1186">
        <v>304013</v>
      </c>
    </row>
    <row r="212" spans="1:6" x14ac:dyDescent="0.2">
      <c r="A212" s="1186" t="s">
        <v>144</v>
      </c>
      <c r="B212" s="1186" t="s">
        <v>37</v>
      </c>
      <c r="C212" s="1186">
        <v>129</v>
      </c>
      <c r="D212" s="1186">
        <v>120</v>
      </c>
      <c r="E212" s="1186">
        <v>9</v>
      </c>
      <c r="F212" s="1186">
        <v>115538</v>
      </c>
    </row>
    <row r="213" spans="1:6" x14ac:dyDescent="0.2">
      <c r="A213" s="1186" t="s">
        <v>144</v>
      </c>
      <c r="B213" s="1186" t="s">
        <v>38</v>
      </c>
      <c r="C213" s="1186">
        <v>129</v>
      </c>
      <c r="D213" s="1186">
        <v>111</v>
      </c>
      <c r="E213" s="1186">
        <v>18</v>
      </c>
      <c r="F213" s="1186">
        <v>38787</v>
      </c>
    </row>
    <row r="214" spans="1:6" x14ac:dyDescent="0.2">
      <c r="A214" s="1186" t="s">
        <v>144</v>
      </c>
      <c r="B214" s="1186" t="s">
        <v>39</v>
      </c>
      <c r="C214" s="1186">
        <v>69</v>
      </c>
      <c r="D214" s="1186">
        <v>60</v>
      </c>
      <c r="E214" s="1186">
        <v>9</v>
      </c>
      <c r="F214" s="1186">
        <v>38675</v>
      </c>
    </row>
    <row r="215" spans="1:6" x14ac:dyDescent="0.2">
      <c r="A215" s="1186" t="s">
        <v>144</v>
      </c>
      <c r="B215" s="1186" t="s">
        <v>40</v>
      </c>
      <c r="C215" s="1186">
        <v>50</v>
      </c>
      <c r="D215" s="1186">
        <v>47</v>
      </c>
      <c r="E215" s="1186">
        <v>3</v>
      </c>
      <c r="F215" s="1186">
        <v>44096</v>
      </c>
    </row>
    <row r="216" spans="1:6" x14ac:dyDescent="0.2">
      <c r="A216" s="1186" t="s">
        <v>144</v>
      </c>
      <c r="B216" s="1186" t="s">
        <v>295</v>
      </c>
      <c r="C216" s="1186">
        <v>20</v>
      </c>
      <c r="D216" s="1186">
        <v>20</v>
      </c>
      <c r="E216" s="1186">
        <v>0</v>
      </c>
      <c r="F216" s="1186">
        <v>14577</v>
      </c>
    </row>
    <row r="217" spans="1:6" x14ac:dyDescent="0.2">
      <c r="A217" s="1186" t="s">
        <v>144</v>
      </c>
      <c r="B217" s="1186" t="s">
        <v>41</v>
      </c>
      <c r="C217" s="1186">
        <v>176</v>
      </c>
      <c r="D217" s="1186">
        <v>160</v>
      </c>
      <c r="E217" s="1186">
        <v>16</v>
      </c>
      <c r="F217" s="1186">
        <v>67590</v>
      </c>
    </row>
    <row r="218" spans="1:6" x14ac:dyDescent="0.2">
      <c r="A218" s="1186" t="s">
        <v>144</v>
      </c>
      <c r="B218" s="1186" t="s">
        <v>42</v>
      </c>
      <c r="C218" s="1186">
        <v>336</v>
      </c>
      <c r="D218" s="1186">
        <v>294</v>
      </c>
      <c r="E218" s="1186">
        <v>42</v>
      </c>
      <c r="F218" s="1186">
        <v>152293</v>
      </c>
    </row>
    <row r="219" spans="1:6" x14ac:dyDescent="0.2">
      <c r="A219" s="1186" t="s">
        <v>144</v>
      </c>
      <c r="B219" s="1186" t="s">
        <v>43</v>
      </c>
      <c r="C219" s="1186">
        <v>11</v>
      </c>
      <c r="D219" s="1186">
        <v>11</v>
      </c>
      <c r="E219" s="1186">
        <v>0</v>
      </c>
      <c r="F219" s="1186">
        <v>10924</v>
      </c>
    </row>
    <row r="220" spans="1:6" x14ac:dyDescent="0.2">
      <c r="A220" s="1186" t="s">
        <v>144</v>
      </c>
      <c r="B220" s="1186" t="s">
        <v>44</v>
      </c>
      <c r="C220" s="1186">
        <v>122</v>
      </c>
      <c r="D220" s="1186">
        <v>119</v>
      </c>
      <c r="E220" s="1186">
        <v>3</v>
      </c>
      <c r="F220" s="1186">
        <v>70828</v>
      </c>
    </row>
    <row r="221" spans="1:6" x14ac:dyDescent="0.2">
      <c r="A221" s="1186" t="s">
        <v>144</v>
      </c>
      <c r="B221" s="1186" t="s">
        <v>45</v>
      </c>
      <c r="C221" s="1186">
        <v>242</v>
      </c>
      <c r="D221" s="1186">
        <v>207</v>
      </c>
      <c r="E221" s="1186">
        <v>35</v>
      </c>
      <c r="F221" s="1186">
        <v>84997</v>
      </c>
    </row>
    <row r="222" spans="1:6" x14ac:dyDescent="0.2">
      <c r="A222" s="1186" t="s">
        <v>144</v>
      </c>
      <c r="B222" s="1186" t="s">
        <v>46</v>
      </c>
      <c r="C222" s="1186">
        <v>109</v>
      </c>
      <c r="D222" s="1186">
        <v>104</v>
      </c>
      <c r="E222" s="1186">
        <v>5</v>
      </c>
      <c r="F222" s="1186">
        <v>57628</v>
      </c>
    </row>
    <row r="223" spans="1:6" x14ac:dyDescent="0.2">
      <c r="A223" s="1186" t="s">
        <v>144</v>
      </c>
      <c r="B223" s="1186" t="s">
        <v>47</v>
      </c>
      <c r="C223" s="1186">
        <v>19</v>
      </c>
      <c r="D223" s="1186">
        <v>17</v>
      </c>
      <c r="E223" s="1186">
        <v>2</v>
      </c>
      <c r="F223" s="1186">
        <v>11021</v>
      </c>
    </row>
    <row r="224" spans="1:6" x14ac:dyDescent="0.2">
      <c r="A224" s="1186" t="s">
        <v>144</v>
      </c>
      <c r="B224" s="1186" t="s">
        <v>48</v>
      </c>
      <c r="C224" s="1186">
        <v>101</v>
      </c>
      <c r="D224" s="1186">
        <v>89</v>
      </c>
      <c r="E224" s="1186">
        <v>12</v>
      </c>
      <c r="F224" s="1186">
        <v>54635</v>
      </c>
    </row>
    <row r="225" spans="1:6" x14ac:dyDescent="0.2">
      <c r="A225" s="1186" t="s">
        <v>144</v>
      </c>
      <c r="B225" s="1186" t="s">
        <v>49</v>
      </c>
      <c r="C225" s="1186">
        <v>294</v>
      </c>
      <c r="D225" s="1186">
        <v>259</v>
      </c>
      <c r="E225" s="1186">
        <v>35</v>
      </c>
      <c r="F225" s="1186">
        <v>147849</v>
      </c>
    </row>
    <row r="226" spans="1:6" x14ac:dyDescent="0.2">
      <c r="A226" s="1186" t="s">
        <v>144</v>
      </c>
      <c r="B226" s="1186" t="s">
        <v>50</v>
      </c>
      <c r="C226" s="1186">
        <v>108</v>
      </c>
      <c r="D226" s="1186">
        <v>107</v>
      </c>
      <c r="E226" s="1186">
        <v>1</v>
      </c>
      <c r="F226" s="1186">
        <v>40646</v>
      </c>
    </row>
    <row r="227" spans="1:6" x14ac:dyDescent="0.2">
      <c r="A227" s="1186" t="s">
        <v>144</v>
      </c>
      <c r="B227" s="1186" t="s">
        <v>51</v>
      </c>
      <c r="C227" s="1186">
        <v>156</v>
      </c>
      <c r="D227" s="1186">
        <v>144</v>
      </c>
      <c r="E227" s="1186">
        <v>12</v>
      </c>
      <c r="F227" s="1186">
        <v>45056</v>
      </c>
    </row>
    <row r="228" spans="1:6" x14ac:dyDescent="0.2">
      <c r="A228" s="1186" t="s">
        <v>144</v>
      </c>
      <c r="B228" s="1186" t="s">
        <v>52</v>
      </c>
      <c r="C228" s="1186">
        <v>150</v>
      </c>
      <c r="D228" s="1186">
        <v>131</v>
      </c>
      <c r="E228" s="1186">
        <v>19</v>
      </c>
      <c r="F228" s="1186">
        <v>77834</v>
      </c>
    </row>
    <row r="229" spans="1:6" x14ac:dyDescent="0.2">
      <c r="A229" s="1186" t="s">
        <v>282</v>
      </c>
      <c r="B229" s="1186" t="s">
        <v>23</v>
      </c>
      <c r="C229" s="1186">
        <v>350</v>
      </c>
      <c r="D229" s="1186">
        <v>300</v>
      </c>
      <c r="E229" s="1186">
        <v>50</v>
      </c>
      <c r="F229" s="1186">
        <v>115080</v>
      </c>
    </row>
    <row r="230" spans="1:6" x14ac:dyDescent="0.2">
      <c r="A230" s="1186" t="s">
        <v>282</v>
      </c>
      <c r="B230" s="1186" t="s">
        <v>24</v>
      </c>
      <c r="C230" s="1186">
        <v>184</v>
      </c>
      <c r="D230" s="1186">
        <v>170</v>
      </c>
      <c r="E230" s="1186">
        <v>14</v>
      </c>
      <c r="F230" s="1186">
        <v>116421</v>
      </c>
    </row>
    <row r="231" spans="1:6" x14ac:dyDescent="0.2">
      <c r="A231" s="1186" t="s">
        <v>282</v>
      </c>
      <c r="B231" s="1186" t="s">
        <v>25</v>
      </c>
      <c r="C231" s="1186">
        <v>98</v>
      </c>
      <c r="D231" s="1186">
        <v>93</v>
      </c>
      <c r="E231" s="1186">
        <v>5</v>
      </c>
      <c r="F231" s="1186">
        <v>55872</v>
      </c>
    </row>
    <row r="232" spans="1:6" x14ac:dyDescent="0.2">
      <c r="A232" s="1186" t="s">
        <v>282</v>
      </c>
      <c r="B232" s="1186" t="s">
        <v>26</v>
      </c>
      <c r="C232" s="1186">
        <v>80</v>
      </c>
      <c r="D232" s="1186">
        <v>77</v>
      </c>
      <c r="E232" s="1186">
        <v>3</v>
      </c>
      <c r="F232" s="1186">
        <v>47780</v>
      </c>
    </row>
    <row r="233" spans="1:6" x14ac:dyDescent="0.2">
      <c r="A233" s="1186" t="s">
        <v>282</v>
      </c>
      <c r="B233" s="1186" t="s">
        <v>619</v>
      </c>
      <c r="C233" s="1186">
        <v>579</v>
      </c>
      <c r="D233" s="1186">
        <v>490</v>
      </c>
      <c r="E233" s="1186">
        <v>89</v>
      </c>
      <c r="F233" s="1186">
        <v>244131</v>
      </c>
    </row>
    <row r="234" spans="1:6" x14ac:dyDescent="0.2">
      <c r="A234" s="1186" t="s">
        <v>282</v>
      </c>
      <c r="B234" s="1186" t="s">
        <v>27</v>
      </c>
      <c r="C234" s="1186">
        <v>72</v>
      </c>
      <c r="D234" s="1186">
        <v>67</v>
      </c>
      <c r="E234" s="1186">
        <v>5</v>
      </c>
      <c r="F234" s="1186">
        <v>24221</v>
      </c>
    </row>
    <row r="235" spans="1:6" x14ac:dyDescent="0.2">
      <c r="A235" s="1186" t="s">
        <v>282</v>
      </c>
      <c r="B235" s="1186" t="s">
        <v>28</v>
      </c>
      <c r="C235" s="1186">
        <v>118</v>
      </c>
      <c r="D235" s="1186">
        <v>105</v>
      </c>
      <c r="E235" s="1186">
        <v>13</v>
      </c>
      <c r="F235" s="1186">
        <v>74453</v>
      </c>
    </row>
    <row r="236" spans="1:6" x14ac:dyDescent="0.2">
      <c r="A236" s="1186" t="s">
        <v>282</v>
      </c>
      <c r="B236" s="1186" t="s">
        <v>29</v>
      </c>
      <c r="C236" s="1186">
        <v>257</v>
      </c>
      <c r="D236" s="1186">
        <v>225</v>
      </c>
      <c r="E236" s="1186">
        <v>32</v>
      </c>
      <c r="F236" s="1186">
        <v>74026</v>
      </c>
    </row>
    <row r="237" spans="1:6" x14ac:dyDescent="0.2">
      <c r="A237" s="1186" t="s">
        <v>282</v>
      </c>
      <c r="B237" s="1186" t="s">
        <v>30</v>
      </c>
      <c r="C237" s="1186">
        <v>146</v>
      </c>
      <c r="D237" s="1186">
        <v>138</v>
      </c>
      <c r="E237" s="1186">
        <v>8</v>
      </c>
      <c r="F237" s="1186">
        <v>57873</v>
      </c>
    </row>
    <row r="238" spans="1:6" x14ac:dyDescent="0.2">
      <c r="A238" s="1186" t="s">
        <v>282</v>
      </c>
      <c r="B238" s="1186" t="s">
        <v>31</v>
      </c>
      <c r="C238" s="1186">
        <v>82</v>
      </c>
      <c r="D238" s="1186">
        <v>75</v>
      </c>
      <c r="E238" s="1186">
        <v>7</v>
      </c>
      <c r="F238" s="1186">
        <v>46026</v>
      </c>
    </row>
    <row r="239" spans="1:6" x14ac:dyDescent="0.2">
      <c r="A239" s="1186" t="s">
        <v>282</v>
      </c>
      <c r="B239" s="1186" t="s">
        <v>32</v>
      </c>
      <c r="C239" s="1186">
        <v>59</v>
      </c>
      <c r="D239" s="1186">
        <v>52</v>
      </c>
      <c r="E239" s="1186">
        <v>7</v>
      </c>
      <c r="F239" s="1186">
        <v>46672</v>
      </c>
    </row>
    <row r="240" spans="1:6" x14ac:dyDescent="0.2">
      <c r="A240" s="1186" t="s">
        <v>282</v>
      </c>
      <c r="B240" s="1186" t="s">
        <v>33</v>
      </c>
      <c r="C240" s="1186">
        <v>64</v>
      </c>
      <c r="D240" s="1186">
        <v>57</v>
      </c>
      <c r="E240" s="1186">
        <v>7</v>
      </c>
      <c r="F240" s="1186">
        <v>38389</v>
      </c>
    </row>
    <row r="241" spans="1:6" x14ac:dyDescent="0.2">
      <c r="A241" s="1186" t="s">
        <v>282</v>
      </c>
      <c r="B241" s="1186" t="s">
        <v>34</v>
      </c>
      <c r="C241" s="1186">
        <v>117</v>
      </c>
      <c r="D241" s="1186">
        <v>107</v>
      </c>
      <c r="E241" s="1186">
        <v>10</v>
      </c>
      <c r="F241" s="1186">
        <v>73767</v>
      </c>
    </row>
    <row r="242" spans="1:6" x14ac:dyDescent="0.2">
      <c r="A242" s="1186" t="s">
        <v>282</v>
      </c>
      <c r="B242" s="1186" t="s">
        <v>35</v>
      </c>
      <c r="C242" s="1186">
        <v>272</v>
      </c>
      <c r="D242" s="1186">
        <v>246</v>
      </c>
      <c r="E242" s="1186">
        <v>26</v>
      </c>
      <c r="F242" s="1186">
        <v>174528</v>
      </c>
    </row>
    <row r="243" spans="1:6" x14ac:dyDescent="0.2">
      <c r="A243" s="1186" t="s">
        <v>282</v>
      </c>
      <c r="B243" s="1186" t="s">
        <v>36</v>
      </c>
      <c r="C243" s="1186">
        <v>929</v>
      </c>
      <c r="D243" s="1186">
        <v>811</v>
      </c>
      <c r="E243" s="1186">
        <v>118</v>
      </c>
      <c r="F243" s="1186">
        <v>306000</v>
      </c>
    </row>
    <row r="244" spans="1:6" x14ac:dyDescent="0.2">
      <c r="A244" s="1186" t="s">
        <v>282</v>
      </c>
      <c r="B244" s="1186" t="s">
        <v>37</v>
      </c>
      <c r="C244" s="1186">
        <v>156</v>
      </c>
      <c r="D244" s="1186">
        <v>147</v>
      </c>
      <c r="E244" s="1186">
        <v>9</v>
      </c>
      <c r="F244" s="1186">
        <v>116453</v>
      </c>
    </row>
    <row r="245" spans="1:6" x14ac:dyDescent="0.2">
      <c r="A245" s="1186" t="s">
        <v>282</v>
      </c>
      <c r="B245" s="1186" t="s">
        <v>38</v>
      </c>
      <c r="C245" s="1186">
        <v>131</v>
      </c>
      <c r="D245" s="1186">
        <v>119</v>
      </c>
      <c r="E245" s="1186">
        <v>12</v>
      </c>
      <c r="F245" s="1186">
        <v>38835</v>
      </c>
    </row>
    <row r="246" spans="1:6" x14ac:dyDescent="0.2">
      <c r="A246" s="1186" t="s">
        <v>282</v>
      </c>
      <c r="B246" s="1186" t="s">
        <v>39</v>
      </c>
      <c r="C246" s="1186">
        <v>77</v>
      </c>
      <c r="D246" s="1186">
        <v>74</v>
      </c>
      <c r="E246" s="1186">
        <v>3</v>
      </c>
      <c r="F246" s="1186">
        <v>39297</v>
      </c>
    </row>
    <row r="247" spans="1:6" x14ac:dyDescent="0.2">
      <c r="A247" s="1186" t="s">
        <v>282</v>
      </c>
      <c r="B247" s="1186" t="s">
        <v>40</v>
      </c>
      <c r="C247" s="1186">
        <v>55</v>
      </c>
      <c r="D247" s="1186">
        <v>51</v>
      </c>
      <c r="E247" s="1186">
        <v>4</v>
      </c>
      <c r="F247" s="1186">
        <v>44454</v>
      </c>
    </row>
    <row r="248" spans="1:6" x14ac:dyDescent="0.2">
      <c r="A248" s="1186" t="s">
        <v>282</v>
      </c>
      <c r="B248" s="1186" t="s">
        <v>295</v>
      </c>
      <c r="C248" s="1186">
        <v>22</v>
      </c>
      <c r="D248" s="1186">
        <v>22</v>
      </c>
      <c r="E248" s="1186">
        <v>0</v>
      </c>
      <c r="F248" s="1186">
        <v>14599</v>
      </c>
    </row>
    <row r="249" spans="1:6" x14ac:dyDescent="0.2">
      <c r="A249" s="1186" t="s">
        <v>282</v>
      </c>
      <c r="B249" s="1186" t="s">
        <v>41</v>
      </c>
      <c r="C249" s="1186">
        <v>167</v>
      </c>
      <c r="D249" s="1186">
        <v>156</v>
      </c>
      <c r="E249" s="1186">
        <v>11</v>
      </c>
      <c r="F249" s="1186">
        <v>67800</v>
      </c>
    </row>
    <row r="250" spans="1:6" x14ac:dyDescent="0.2">
      <c r="A250" s="1186" t="s">
        <v>282</v>
      </c>
      <c r="B250" s="1186" t="s">
        <v>42</v>
      </c>
      <c r="C250" s="1186">
        <v>353</v>
      </c>
      <c r="D250" s="1186">
        <v>290</v>
      </c>
      <c r="E250" s="1186">
        <v>63</v>
      </c>
      <c r="F250" s="1186">
        <v>153388</v>
      </c>
    </row>
    <row r="251" spans="1:6" x14ac:dyDescent="0.2">
      <c r="A251" s="1186" t="s">
        <v>282</v>
      </c>
      <c r="B251" s="1186" t="s">
        <v>43</v>
      </c>
      <c r="C251" s="1186">
        <v>7</v>
      </c>
      <c r="D251" s="1186">
        <v>7</v>
      </c>
      <c r="E251" s="1186">
        <v>0</v>
      </c>
      <c r="F251" s="1186">
        <v>11063</v>
      </c>
    </row>
    <row r="252" spans="1:6" x14ac:dyDescent="0.2">
      <c r="A252" s="1186" t="s">
        <v>282</v>
      </c>
      <c r="B252" s="1186" t="s">
        <v>44</v>
      </c>
      <c r="C252" s="1186">
        <v>146</v>
      </c>
      <c r="D252" s="1186">
        <v>137</v>
      </c>
      <c r="E252" s="1186">
        <v>9</v>
      </c>
      <c r="F252" s="1186">
        <v>71347</v>
      </c>
    </row>
    <row r="253" spans="1:6" x14ac:dyDescent="0.2">
      <c r="A253" s="1186" t="s">
        <v>282</v>
      </c>
      <c r="B253" s="1186" t="s">
        <v>45</v>
      </c>
      <c r="C253" s="1186">
        <v>205</v>
      </c>
      <c r="D253" s="1186">
        <v>178</v>
      </c>
      <c r="E253" s="1186">
        <v>27</v>
      </c>
      <c r="F253" s="1186">
        <v>85724</v>
      </c>
    </row>
    <row r="254" spans="1:6" x14ac:dyDescent="0.2">
      <c r="A254" s="1186" t="s">
        <v>282</v>
      </c>
      <c r="B254" s="1186" t="s">
        <v>46</v>
      </c>
      <c r="C254" s="1186">
        <v>91</v>
      </c>
      <c r="D254" s="1186">
        <v>87</v>
      </c>
      <c r="E254" s="1186">
        <v>4</v>
      </c>
      <c r="F254" s="1186">
        <v>57940</v>
      </c>
    </row>
    <row r="255" spans="1:6" x14ac:dyDescent="0.2">
      <c r="A255" s="1186" t="s">
        <v>282</v>
      </c>
      <c r="B255" s="1186" t="s">
        <v>47</v>
      </c>
      <c r="C255" s="1186">
        <v>9</v>
      </c>
      <c r="D255" s="1186">
        <v>7</v>
      </c>
      <c r="E255" s="1186">
        <v>2</v>
      </c>
      <c r="F255" s="1186">
        <v>11109</v>
      </c>
    </row>
    <row r="256" spans="1:6" x14ac:dyDescent="0.2">
      <c r="A256" s="1186" t="s">
        <v>282</v>
      </c>
      <c r="B256" s="1186" t="s">
        <v>48</v>
      </c>
      <c r="C256" s="1186">
        <v>97</v>
      </c>
      <c r="D256" s="1186">
        <v>82</v>
      </c>
      <c r="E256" s="1186">
        <v>15</v>
      </c>
      <c r="F256" s="1186">
        <v>54942</v>
      </c>
    </row>
    <row r="257" spans="1:6" x14ac:dyDescent="0.2">
      <c r="A257" s="1186" t="s">
        <v>282</v>
      </c>
      <c r="B257" s="1186" t="s">
        <v>49</v>
      </c>
      <c r="C257" s="1186">
        <v>250</v>
      </c>
      <c r="D257" s="1186">
        <v>222</v>
      </c>
      <c r="E257" s="1186">
        <v>28</v>
      </c>
      <c r="F257" s="1186">
        <v>148771</v>
      </c>
    </row>
    <row r="258" spans="1:6" x14ac:dyDescent="0.2">
      <c r="A258" s="1186" t="s">
        <v>282</v>
      </c>
      <c r="B258" s="1186" t="s">
        <v>50</v>
      </c>
      <c r="C258" s="1186">
        <v>86</v>
      </c>
      <c r="D258" s="1186">
        <v>76</v>
      </c>
      <c r="E258" s="1186">
        <v>10</v>
      </c>
      <c r="F258" s="1186">
        <v>40998</v>
      </c>
    </row>
    <row r="259" spans="1:6" x14ac:dyDescent="0.2">
      <c r="A259" s="1186" t="s">
        <v>282</v>
      </c>
      <c r="B259" s="1186" t="s">
        <v>51</v>
      </c>
      <c r="C259" s="1186">
        <v>143</v>
      </c>
      <c r="D259" s="1186">
        <v>130</v>
      </c>
      <c r="E259" s="1186">
        <v>13</v>
      </c>
      <c r="F259" s="1186">
        <v>45104</v>
      </c>
    </row>
    <row r="260" spans="1:6" x14ac:dyDescent="0.2">
      <c r="A260" s="1186" t="s">
        <v>282</v>
      </c>
      <c r="B260" s="1186" t="s">
        <v>52</v>
      </c>
      <c r="C260" s="1186">
        <v>138</v>
      </c>
      <c r="D260" s="1186">
        <v>124</v>
      </c>
      <c r="E260" s="1186">
        <v>14</v>
      </c>
      <c r="F260" s="1186">
        <v>78604</v>
      </c>
    </row>
    <row r="261" spans="1:6" x14ac:dyDescent="0.2">
      <c r="A261" s="1186" t="s">
        <v>311</v>
      </c>
      <c r="B261" s="1186" t="s">
        <v>23</v>
      </c>
      <c r="C261" s="1186">
        <v>277</v>
      </c>
      <c r="D261" s="1186">
        <v>240</v>
      </c>
      <c r="E261" s="1186">
        <v>37</v>
      </c>
      <c r="F261" s="1186">
        <v>116821</v>
      </c>
    </row>
    <row r="262" spans="1:6" x14ac:dyDescent="0.2">
      <c r="A262" s="1186" t="s">
        <v>311</v>
      </c>
      <c r="B262" s="1186" t="s">
        <v>24</v>
      </c>
      <c r="C262" s="1186">
        <v>167</v>
      </c>
      <c r="D262" s="1186">
        <v>162</v>
      </c>
      <c r="E262" s="1186">
        <v>5</v>
      </c>
      <c r="F262" s="1186">
        <v>117363</v>
      </c>
    </row>
    <row r="263" spans="1:6" x14ac:dyDescent="0.2">
      <c r="A263" s="1186" t="s">
        <v>311</v>
      </c>
      <c r="B263" s="1186" t="s">
        <v>25</v>
      </c>
      <c r="C263" s="1186">
        <v>79</v>
      </c>
      <c r="D263" s="1186">
        <v>76</v>
      </c>
      <c r="E263" s="1186">
        <v>3</v>
      </c>
      <c r="F263" s="1186">
        <v>56135</v>
      </c>
    </row>
    <row r="264" spans="1:6" x14ac:dyDescent="0.2">
      <c r="A264" s="1186" t="s">
        <v>311</v>
      </c>
      <c r="B264" s="1186" t="s">
        <v>26</v>
      </c>
      <c r="C264" s="1186">
        <v>87</v>
      </c>
      <c r="D264" s="1186">
        <v>77</v>
      </c>
      <c r="E264" s="1186">
        <v>10</v>
      </c>
      <c r="F264" s="1186">
        <v>47884</v>
      </c>
    </row>
    <row r="265" spans="1:6" x14ac:dyDescent="0.2">
      <c r="A265" s="1186" t="s">
        <v>311</v>
      </c>
      <c r="B265" s="1186" t="s">
        <v>619</v>
      </c>
      <c r="C265" s="1186">
        <v>526</v>
      </c>
      <c r="D265" s="1186">
        <v>463</v>
      </c>
      <c r="E265" s="1186">
        <v>63</v>
      </c>
      <c r="F265" s="1186">
        <v>246818</v>
      </c>
    </row>
    <row r="266" spans="1:6" x14ac:dyDescent="0.2">
      <c r="A266" s="1186" t="s">
        <v>311</v>
      </c>
      <c r="B266" s="1186" t="s">
        <v>27</v>
      </c>
      <c r="C266" s="1186">
        <v>51</v>
      </c>
      <c r="D266" s="1186">
        <v>47</v>
      </c>
      <c r="E266" s="1186">
        <v>4</v>
      </c>
      <c r="F266" s="1186">
        <v>24377</v>
      </c>
    </row>
    <row r="267" spans="1:6" x14ac:dyDescent="0.2">
      <c r="A267" s="1186" t="s">
        <v>311</v>
      </c>
      <c r="B267" s="1186" t="s">
        <v>28</v>
      </c>
      <c r="C267" s="1186">
        <v>103</v>
      </c>
      <c r="D267" s="1186">
        <v>89</v>
      </c>
      <c r="E267" s="1186">
        <v>14</v>
      </c>
      <c r="F267" s="1186">
        <v>74687</v>
      </c>
    </row>
    <row r="268" spans="1:6" x14ac:dyDescent="0.2">
      <c r="A268" s="1186" t="s">
        <v>311</v>
      </c>
      <c r="B268" s="1186" t="s">
        <v>29</v>
      </c>
      <c r="C268" s="1186">
        <v>215</v>
      </c>
      <c r="D268" s="1186">
        <v>197</v>
      </c>
      <c r="E268" s="1186">
        <v>18</v>
      </c>
      <c r="F268" s="1186">
        <v>74354</v>
      </c>
    </row>
    <row r="269" spans="1:6" x14ac:dyDescent="0.2">
      <c r="A269" s="1186" t="s">
        <v>311</v>
      </c>
      <c r="B269" s="1186" t="s">
        <v>30</v>
      </c>
      <c r="C269" s="1186">
        <v>87</v>
      </c>
      <c r="D269" s="1186">
        <v>76</v>
      </c>
      <c r="E269" s="1186">
        <v>11</v>
      </c>
      <c r="F269" s="1186">
        <v>58158</v>
      </c>
    </row>
    <row r="270" spans="1:6" x14ac:dyDescent="0.2">
      <c r="A270" s="1186" t="s">
        <v>311</v>
      </c>
      <c r="B270" s="1186" t="s">
        <v>31</v>
      </c>
      <c r="C270" s="1186">
        <v>67</v>
      </c>
      <c r="D270" s="1186">
        <v>65</v>
      </c>
      <c r="E270" s="1186">
        <v>2</v>
      </c>
      <c r="F270" s="1186">
        <v>46430</v>
      </c>
    </row>
    <row r="271" spans="1:6" x14ac:dyDescent="0.2">
      <c r="A271" s="1186" t="s">
        <v>311</v>
      </c>
      <c r="B271" s="1186" t="s">
        <v>32</v>
      </c>
      <c r="C271" s="1186">
        <v>76</v>
      </c>
      <c r="D271" s="1186">
        <v>69</v>
      </c>
      <c r="E271" s="1186">
        <v>7</v>
      </c>
      <c r="F271" s="1186">
        <v>47407</v>
      </c>
    </row>
    <row r="272" spans="1:6" x14ac:dyDescent="0.2">
      <c r="A272" s="1186" t="s">
        <v>311</v>
      </c>
      <c r="B272" s="1186" t="s">
        <v>33</v>
      </c>
      <c r="C272" s="1186">
        <v>84</v>
      </c>
      <c r="D272" s="1186">
        <v>79</v>
      </c>
      <c r="E272" s="1186">
        <v>5</v>
      </c>
      <c r="F272" s="1186">
        <v>38677</v>
      </c>
    </row>
    <row r="273" spans="1:6" x14ac:dyDescent="0.2">
      <c r="A273" s="1186" t="s">
        <v>311</v>
      </c>
      <c r="B273" s="1186" t="s">
        <v>34</v>
      </c>
      <c r="C273" s="1186">
        <v>122</v>
      </c>
      <c r="D273" s="1186">
        <v>106</v>
      </c>
      <c r="E273" s="1186">
        <v>16</v>
      </c>
      <c r="F273" s="1186">
        <v>74361</v>
      </c>
    </row>
    <row r="274" spans="1:6" x14ac:dyDescent="0.2">
      <c r="A274" s="1186" t="s">
        <v>311</v>
      </c>
      <c r="B274" s="1186" t="s">
        <v>35</v>
      </c>
      <c r="C274" s="1186">
        <v>304</v>
      </c>
      <c r="D274" s="1186">
        <v>287</v>
      </c>
      <c r="E274" s="1186">
        <v>17</v>
      </c>
      <c r="F274" s="1186">
        <v>175915</v>
      </c>
    </row>
    <row r="275" spans="1:6" x14ac:dyDescent="0.2">
      <c r="A275" s="1186" t="s">
        <v>311</v>
      </c>
      <c r="B275" s="1186" t="s">
        <v>36</v>
      </c>
      <c r="C275" s="1186">
        <v>962</v>
      </c>
      <c r="D275" s="1186">
        <v>847</v>
      </c>
      <c r="E275" s="1186">
        <v>115</v>
      </c>
      <c r="F275" s="1186">
        <v>308293</v>
      </c>
    </row>
    <row r="276" spans="1:6" x14ac:dyDescent="0.2">
      <c r="A276" s="1186" t="s">
        <v>311</v>
      </c>
      <c r="B276" s="1186" t="s">
        <v>37</v>
      </c>
      <c r="C276" s="1186">
        <v>150</v>
      </c>
      <c r="D276" s="1186">
        <v>143</v>
      </c>
      <c r="E276" s="1186">
        <v>7</v>
      </c>
      <c r="F276" s="1186">
        <v>117291</v>
      </c>
    </row>
    <row r="277" spans="1:6" x14ac:dyDescent="0.2">
      <c r="A277" s="1186" t="s">
        <v>311</v>
      </c>
      <c r="B277" s="1186" t="s">
        <v>38</v>
      </c>
      <c r="C277" s="1186">
        <v>103</v>
      </c>
      <c r="D277" s="1186">
        <v>84</v>
      </c>
      <c r="E277" s="1186">
        <v>19</v>
      </c>
      <c r="F277" s="1186">
        <v>38848</v>
      </c>
    </row>
    <row r="278" spans="1:6" x14ac:dyDescent="0.2">
      <c r="A278" s="1186" t="s">
        <v>311</v>
      </c>
      <c r="B278" s="1186" t="s">
        <v>39</v>
      </c>
      <c r="C278" s="1186">
        <v>70</v>
      </c>
      <c r="D278" s="1186">
        <v>60</v>
      </c>
      <c r="E278" s="1186">
        <v>10</v>
      </c>
      <c r="F278" s="1186">
        <v>39937</v>
      </c>
    </row>
    <row r="279" spans="1:6" x14ac:dyDescent="0.2">
      <c r="A279" s="1186" t="s">
        <v>311</v>
      </c>
      <c r="B279" s="1186" t="s">
        <v>40</v>
      </c>
      <c r="C279" s="1186">
        <v>39</v>
      </c>
      <c r="D279" s="1186">
        <v>35</v>
      </c>
      <c r="E279" s="1186">
        <v>4</v>
      </c>
      <c r="F279" s="1186">
        <v>44838</v>
      </c>
    </row>
    <row r="280" spans="1:6" x14ac:dyDescent="0.2">
      <c r="A280" s="1186" t="s">
        <v>311</v>
      </c>
      <c r="B280" s="1186" t="s">
        <v>295</v>
      </c>
      <c r="C280" s="1186">
        <v>15</v>
      </c>
      <c r="D280" s="1186">
        <v>14</v>
      </c>
      <c r="E280" s="1186">
        <v>1</v>
      </c>
      <c r="F280" s="1186">
        <v>14714</v>
      </c>
    </row>
    <row r="281" spans="1:6" x14ac:dyDescent="0.2">
      <c r="A281" s="1186" t="s">
        <v>311</v>
      </c>
      <c r="B281" s="1186" t="s">
        <v>41</v>
      </c>
      <c r="C281" s="1186">
        <v>162</v>
      </c>
      <c r="D281" s="1186">
        <v>147</v>
      </c>
      <c r="E281" s="1186">
        <v>15</v>
      </c>
      <c r="F281" s="1186">
        <v>67960</v>
      </c>
    </row>
    <row r="282" spans="1:6" x14ac:dyDescent="0.2">
      <c r="A282" s="1186" t="s">
        <v>311</v>
      </c>
      <c r="B282" s="1186" t="s">
        <v>42</v>
      </c>
      <c r="C282" s="1186">
        <v>307</v>
      </c>
      <c r="D282" s="1186">
        <v>262</v>
      </c>
      <c r="E282" s="1186">
        <v>45</v>
      </c>
      <c r="F282" s="1186">
        <v>154286</v>
      </c>
    </row>
    <row r="283" spans="1:6" x14ac:dyDescent="0.2">
      <c r="A283" s="1186" t="s">
        <v>311</v>
      </c>
      <c r="B283" s="1186" t="s">
        <v>43</v>
      </c>
      <c r="C283" s="1186">
        <v>6</v>
      </c>
      <c r="D283" s="1186">
        <v>6</v>
      </c>
      <c r="E283" s="1186">
        <v>0</v>
      </c>
      <c r="F283" s="1186">
        <v>11192</v>
      </c>
    </row>
    <row r="284" spans="1:6" x14ac:dyDescent="0.2">
      <c r="A284" s="1186" t="s">
        <v>311</v>
      </c>
      <c r="B284" s="1186" t="s">
        <v>44</v>
      </c>
      <c r="C284" s="1186">
        <v>116</v>
      </c>
      <c r="D284" s="1186">
        <v>113</v>
      </c>
      <c r="E284" s="1186">
        <v>3</v>
      </c>
      <c r="F284" s="1186">
        <v>71810</v>
      </c>
    </row>
    <row r="285" spans="1:6" x14ac:dyDescent="0.2">
      <c r="A285" s="1186" t="s">
        <v>311</v>
      </c>
      <c r="B285" s="1186" t="s">
        <v>45</v>
      </c>
      <c r="C285" s="1186">
        <v>223</v>
      </c>
      <c r="D285" s="1186">
        <v>191</v>
      </c>
      <c r="E285" s="1186">
        <v>32</v>
      </c>
      <c r="F285" s="1186">
        <v>86449</v>
      </c>
    </row>
    <row r="286" spans="1:6" x14ac:dyDescent="0.2">
      <c r="A286" s="1186" t="s">
        <v>311</v>
      </c>
      <c r="B286" s="1186" t="s">
        <v>46</v>
      </c>
      <c r="C286" s="1186">
        <v>100</v>
      </c>
      <c r="D286" s="1186">
        <v>92</v>
      </c>
      <c r="E286" s="1186">
        <v>8</v>
      </c>
      <c r="F286" s="1186">
        <v>58167</v>
      </c>
    </row>
    <row r="287" spans="1:6" x14ac:dyDescent="0.2">
      <c r="A287" s="1186" t="s">
        <v>311</v>
      </c>
      <c r="B287" s="1186" t="s">
        <v>47</v>
      </c>
      <c r="C287" s="1186">
        <v>13</v>
      </c>
      <c r="D287" s="1186">
        <v>12</v>
      </c>
      <c r="E287" s="1186">
        <v>1</v>
      </c>
      <c r="F287" s="1186">
        <v>11180</v>
      </c>
    </row>
    <row r="288" spans="1:6" x14ac:dyDescent="0.2">
      <c r="A288" s="1186" t="s">
        <v>311</v>
      </c>
      <c r="B288" s="1186" t="s">
        <v>48</v>
      </c>
      <c r="C288" s="1186">
        <v>106</v>
      </c>
      <c r="D288" s="1186">
        <v>96</v>
      </c>
      <c r="E288" s="1186">
        <v>10</v>
      </c>
      <c r="F288" s="1186">
        <v>55252</v>
      </c>
    </row>
    <row r="289" spans="1:6" x14ac:dyDescent="0.2">
      <c r="A289" s="1186" t="s">
        <v>311</v>
      </c>
      <c r="B289" s="1186" t="s">
        <v>49</v>
      </c>
      <c r="C289" s="1186">
        <v>278</v>
      </c>
      <c r="D289" s="1186">
        <v>244</v>
      </c>
      <c r="E289" s="1186">
        <v>34</v>
      </c>
      <c r="F289" s="1186">
        <v>149972</v>
      </c>
    </row>
    <row r="290" spans="1:6" x14ac:dyDescent="0.2">
      <c r="A290" s="1186" t="s">
        <v>311</v>
      </c>
      <c r="B290" s="1186" t="s">
        <v>50</v>
      </c>
      <c r="C290" s="1186">
        <v>89</v>
      </c>
      <c r="D290" s="1186">
        <v>82</v>
      </c>
      <c r="E290" s="1186">
        <v>7</v>
      </c>
      <c r="F290" s="1186">
        <v>41250</v>
      </c>
    </row>
    <row r="291" spans="1:6" x14ac:dyDescent="0.2">
      <c r="A291" s="1186" t="s">
        <v>311</v>
      </c>
      <c r="B291" s="1186" t="s">
        <v>51</v>
      </c>
      <c r="C291" s="1186">
        <v>158</v>
      </c>
      <c r="D291" s="1186">
        <v>141</v>
      </c>
      <c r="E291" s="1186">
        <v>17</v>
      </c>
      <c r="F291" s="1186">
        <v>45093</v>
      </c>
    </row>
    <row r="292" spans="1:6" x14ac:dyDescent="0.2">
      <c r="A292" s="1186" t="s">
        <v>311</v>
      </c>
      <c r="B292" s="1186" t="s">
        <v>52</v>
      </c>
      <c r="C292" s="1186">
        <v>169</v>
      </c>
      <c r="D292" s="1186">
        <v>149</v>
      </c>
      <c r="E292" s="1186">
        <v>20</v>
      </c>
      <c r="F292" s="1186">
        <v>79112</v>
      </c>
    </row>
    <row r="293" spans="1:6" x14ac:dyDescent="0.2">
      <c r="A293" s="1186" t="s">
        <v>621</v>
      </c>
      <c r="B293" s="1186" t="s">
        <v>23</v>
      </c>
      <c r="C293" s="1186">
        <v>289</v>
      </c>
      <c r="D293" s="1186">
        <v>262</v>
      </c>
      <c r="E293" s="1186">
        <v>27</v>
      </c>
      <c r="F293" s="1186">
        <v>118131</v>
      </c>
    </row>
    <row r="294" spans="1:6" x14ac:dyDescent="0.2">
      <c r="A294" s="1186" t="s">
        <v>621</v>
      </c>
      <c r="B294" s="1186" t="s">
        <v>24</v>
      </c>
      <c r="C294" s="1186">
        <v>170</v>
      </c>
      <c r="D294" s="1186">
        <v>163</v>
      </c>
      <c r="E294" s="1186">
        <v>7</v>
      </c>
      <c r="F294" s="1186">
        <v>118197</v>
      </c>
    </row>
    <row r="295" spans="1:6" x14ac:dyDescent="0.2">
      <c r="A295" s="1186" t="s">
        <v>621</v>
      </c>
      <c r="B295" s="1186" t="s">
        <v>25</v>
      </c>
      <c r="C295" s="1186">
        <v>83</v>
      </c>
      <c r="D295" s="1186">
        <v>80</v>
      </c>
      <c r="E295" s="1186">
        <v>3</v>
      </c>
      <c r="F295" s="1186">
        <v>56485</v>
      </c>
    </row>
    <row r="296" spans="1:6" x14ac:dyDescent="0.2">
      <c r="A296" s="1186" t="s">
        <v>621</v>
      </c>
      <c r="B296" s="1186" t="s">
        <v>26</v>
      </c>
      <c r="C296" s="1186">
        <v>91</v>
      </c>
      <c r="D296" s="1186">
        <v>85</v>
      </c>
      <c r="E296" s="1186">
        <v>6</v>
      </c>
      <c r="F296" s="1186">
        <v>48020</v>
      </c>
    </row>
    <row r="297" spans="1:6" x14ac:dyDescent="0.2">
      <c r="A297" s="1186" t="s">
        <v>621</v>
      </c>
      <c r="B297" s="1186" t="s">
        <v>619</v>
      </c>
      <c r="C297" s="1186">
        <v>515</v>
      </c>
      <c r="D297" s="1186">
        <v>448</v>
      </c>
      <c r="E297" s="1186">
        <v>67</v>
      </c>
      <c r="F297" s="1186">
        <v>249810</v>
      </c>
    </row>
    <row r="298" spans="1:6" x14ac:dyDescent="0.2">
      <c r="A298" s="1186" t="s">
        <v>621</v>
      </c>
      <c r="B298" s="1186" t="s">
        <v>27</v>
      </c>
      <c r="C298" s="1186">
        <v>46</v>
      </c>
      <c r="D298" s="1186">
        <v>45</v>
      </c>
      <c r="E298" s="1186">
        <v>1</v>
      </c>
      <c r="F298" s="1186">
        <v>24524</v>
      </c>
    </row>
    <row r="299" spans="1:6" x14ac:dyDescent="0.2">
      <c r="A299" s="1186" t="s">
        <v>621</v>
      </c>
      <c r="B299" s="1186" t="s">
        <v>28</v>
      </c>
      <c r="C299" s="1186">
        <v>84</v>
      </c>
      <c r="D299" s="1186">
        <v>76</v>
      </c>
      <c r="E299" s="1186">
        <v>8</v>
      </c>
      <c r="F299" s="1186">
        <v>74823</v>
      </c>
    </row>
    <row r="300" spans="1:6" x14ac:dyDescent="0.2">
      <c r="A300" s="1186" t="s">
        <v>621</v>
      </c>
      <c r="B300" s="1186" t="s">
        <v>29</v>
      </c>
      <c r="C300" s="1186">
        <v>203</v>
      </c>
      <c r="D300" s="1186">
        <v>182</v>
      </c>
      <c r="E300" s="1186">
        <v>21</v>
      </c>
      <c r="F300" s="1186">
        <v>74531</v>
      </c>
    </row>
    <row r="301" spans="1:6" x14ac:dyDescent="0.2">
      <c r="A301" s="1186" t="s">
        <v>621</v>
      </c>
      <c r="B301" s="1186" t="s">
        <v>30</v>
      </c>
      <c r="C301" s="1186">
        <v>88</v>
      </c>
      <c r="D301" s="1186">
        <v>83</v>
      </c>
      <c r="E301" s="1186">
        <v>5</v>
      </c>
      <c r="F301" s="1186">
        <v>58453</v>
      </c>
    </row>
    <row r="302" spans="1:6" x14ac:dyDescent="0.2">
      <c r="A302" s="1186" t="s">
        <v>621</v>
      </c>
      <c r="B302" s="1186" t="s">
        <v>31</v>
      </c>
      <c r="C302" s="1186">
        <v>70</v>
      </c>
      <c r="D302" s="1186">
        <v>64</v>
      </c>
      <c r="E302" s="1186">
        <v>6</v>
      </c>
      <c r="F302" s="1186">
        <v>46721</v>
      </c>
    </row>
    <row r="303" spans="1:6" x14ac:dyDescent="0.2">
      <c r="A303" s="1186" t="s">
        <v>621</v>
      </c>
      <c r="B303" s="1186" t="s">
        <v>32</v>
      </c>
      <c r="C303" s="1186">
        <v>75</v>
      </c>
      <c r="D303" s="1186">
        <v>69</v>
      </c>
      <c r="E303" s="1186">
        <v>6</v>
      </c>
      <c r="F303" s="1186">
        <v>48055</v>
      </c>
    </row>
    <row r="304" spans="1:6" x14ac:dyDescent="0.2">
      <c r="A304" s="1186" t="s">
        <v>621</v>
      </c>
      <c r="B304" s="1186" t="s">
        <v>33</v>
      </c>
      <c r="C304" s="1186">
        <v>60</v>
      </c>
      <c r="D304" s="1186">
        <v>60</v>
      </c>
      <c r="E304" s="1186">
        <v>0</v>
      </c>
      <c r="F304" s="1186">
        <v>38902</v>
      </c>
    </row>
    <row r="305" spans="1:6" x14ac:dyDescent="0.2">
      <c r="A305" s="1186" t="s">
        <v>621</v>
      </c>
      <c r="B305" s="1186" t="s">
        <v>34</v>
      </c>
      <c r="C305" s="1186">
        <v>126</v>
      </c>
      <c r="D305" s="1186">
        <v>112</v>
      </c>
      <c r="E305" s="1186">
        <v>14</v>
      </c>
      <c r="F305" s="1186">
        <v>74826</v>
      </c>
    </row>
    <row r="306" spans="1:6" x14ac:dyDescent="0.2">
      <c r="A306" s="1186" t="s">
        <v>621</v>
      </c>
      <c r="B306" s="1186" t="s">
        <v>35</v>
      </c>
      <c r="C306" s="1186">
        <v>267</v>
      </c>
      <c r="D306" s="1186">
        <v>244</v>
      </c>
      <c r="E306" s="1186">
        <v>23</v>
      </c>
      <c r="F306" s="1186">
        <v>177084</v>
      </c>
    </row>
    <row r="307" spans="1:6" x14ac:dyDescent="0.2">
      <c r="A307" s="1186" t="s">
        <v>621</v>
      </c>
      <c r="B307" s="1186" t="s">
        <v>36</v>
      </c>
      <c r="C307" s="1186">
        <v>895</v>
      </c>
      <c r="D307" s="1186">
        <v>784</v>
      </c>
      <c r="E307" s="1186">
        <v>111</v>
      </c>
      <c r="F307" s="1186">
        <v>311447</v>
      </c>
    </row>
    <row r="308" spans="1:6" x14ac:dyDescent="0.2">
      <c r="A308" s="1186" t="s">
        <v>621</v>
      </c>
      <c r="B308" s="1186" t="s">
        <v>37</v>
      </c>
      <c r="C308" s="1186">
        <v>152</v>
      </c>
      <c r="D308" s="1186">
        <v>145</v>
      </c>
      <c r="E308" s="1186">
        <v>7</v>
      </c>
      <c r="F308" s="1186">
        <v>118117</v>
      </c>
    </row>
    <row r="309" spans="1:6" x14ac:dyDescent="0.2">
      <c r="A309" s="1186" t="s">
        <v>621</v>
      </c>
      <c r="B309" s="1186" t="s">
        <v>38</v>
      </c>
      <c r="C309" s="1186">
        <v>92</v>
      </c>
      <c r="D309" s="1186">
        <v>77</v>
      </c>
      <c r="E309" s="1186">
        <v>15</v>
      </c>
      <c r="F309" s="1186">
        <v>38985</v>
      </c>
    </row>
    <row r="310" spans="1:6" x14ac:dyDescent="0.2">
      <c r="A310" s="1186" t="s">
        <v>621</v>
      </c>
      <c r="B310" s="1186" t="s">
        <v>39</v>
      </c>
      <c r="C310" s="1186">
        <v>57</v>
      </c>
      <c r="D310" s="1186">
        <v>52</v>
      </c>
      <c r="E310" s="1186">
        <v>5</v>
      </c>
      <c r="F310" s="1186">
        <v>40612</v>
      </c>
    </row>
    <row r="311" spans="1:6" x14ac:dyDescent="0.2">
      <c r="A311" s="1186" t="s">
        <v>621</v>
      </c>
      <c r="B311" s="1186" t="s">
        <v>40</v>
      </c>
      <c r="C311" s="1186">
        <v>58</v>
      </c>
      <c r="D311" s="1186">
        <v>55</v>
      </c>
      <c r="E311" s="1186">
        <v>3</v>
      </c>
      <c r="F311" s="1186">
        <v>45209</v>
      </c>
    </row>
    <row r="312" spans="1:6" x14ac:dyDescent="0.2">
      <c r="A312" s="1186" t="s">
        <v>621</v>
      </c>
      <c r="B312" s="1186" t="s">
        <v>295</v>
      </c>
      <c r="C312" s="1186">
        <v>23</v>
      </c>
      <c r="D312" s="1186">
        <v>22</v>
      </c>
      <c r="E312" s="1186">
        <v>1</v>
      </c>
      <c r="F312" s="1186">
        <v>14706</v>
      </c>
    </row>
    <row r="313" spans="1:6" x14ac:dyDescent="0.2">
      <c r="A313" s="1186" t="s">
        <v>621</v>
      </c>
      <c r="B313" s="1186" t="s">
        <v>41</v>
      </c>
      <c r="C313" s="1186">
        <v>180</v>
      </c>
      <c r="D313" s="1186">
        <v>163</v>
      </c>
      <c r="E313" s="1186">
        <v>17</v>
      </c>
      <c r="F313" s="1186">
        <v>68158</v>
      </c>
    </row>
    <row r="314" spans="1:6" x14ac:dyDescent="0.2">
      <c r="A314" s="1186" t="s">
        <v>621</v>
      </c>
      <c r="B314" s="1186" t="s">
        <v>42</v>
      </c>
      <c r="C314" s="1186">
        <v>343</v>
      </c>
      <c r="D314" s="1186">
        <v>296</v>
      </c>
      <c r="E314" s="1186">
        <v>47</v>
      </c>
      <c r="F314" s="1186">
        <v>155364</v>
      </c>
    </row>
    <row r="315" spans="1:6" x14ac:dyDescent="0.2">
      <c r="A315" s="1186" t="s">
        <v>621</v>
      </c>
      <c r="B315" s="1186" t="s">
        <v>43</v>
      </c>
      <c r="C315" s="1186">
        <v>7</v>
      </c>
      <c r="D315" s="1186">
        <v>7</v>
      </c>
      <c r="E315" s="1186">
        <v>0</v>
      </c>
      <c r="F315" s="1186">
        <v>11261</v>
      </c>
    </row>
    <row r="316" spans="1:6" x14ac:dyDescent="0.2">
      <c r="A316" s="1186" t="s">
        <v>621</v>
      </c>
      <c r="B316" s="1186" t="s">
        <v>44</v>
      </c>
      <c r="C316" s="1186">
        <v>113</v>
      </c>
      <c r="D316" s="1186">
        <v>111</v>
      </c>
      <c r="E316" s="1186">
        <v>2</v>
      </c>
      <c r="F316" s="1186">
        <v>72441</v>
      </c>
    </row>
    <row r="317" spans="1:6" x14ac:dyDescent="0.2">
      <c r="A317" s="1186" t="s">
        <v>621</v>
      </c>
      <c r="B317" s="1186" t="s">
        <v>45</v>
      </c>
      <c r="C317" s="1186">
        <v>220</v>
      </c>
      <c r="D317" s="1186">
        <v>199</v>
      </c>
      <c r="E317" s="1186">
        <v>21</v>
      </c>
      <c r="F317" s="1186">
        <v>87265</v>
      </c>
    </row>
    <row r="318" spans="1:6" x14ac:dyDescent="0.2">
      <c r="A318" s="1186" t="s">
        <v>621</v>
      </c>
      <c r="B318" s="1186" t="s">
        <v>46</v>
      </c>
      <c r="C318" s="1186">
        <v>104</v>
      </c>
      <c r="D318" s="1186">
        <v>92</v>
      </c>
      <c r="E318" s="1186">
        <v>12</v>
      </c>
      <c r="F318" s="1186">
        <v>58425</v>
      </c>
    </row>
    <row r="319" spans="1:6" x14ac:dyDescent="0.2">
      <c r="A319" s="1186" t="s">
        <v>621</v>
      </c>
      <c r="B319" s="1186" t="s">
        <v>47</v>
      </c>
      <c r="C319" s="1186">
        <v>4</v>
      </c>
      <c r="D319" s="1186">
        <v>4</v>
      </c>
      <c r="E319" s="1186">
        <v>0</v>
      </c>
      <c r="F319" s="1186">
        <v>11270</v>
      </c>
    </row>
    <row r="320" spans="1:6" x14ac:dyDescent="0.2">
      <c r="A320" s="1186" t="s">
        <v>621</v>
      </c>
      <c r="B320" s="1186" t="s">
        <v>48</v>
      </c>
      <c r="C320" s="1186">
        <v>95</v>
      </c>
      <c r="D320" s="1186">
        <v>84</v>
      </c>
      <c r="E320" s="1186">
        <v>11</v>
      </c>
      <c r="F320" s="1186">
        <v>55486</v>
      </c>
    </row>
    <row r="321" spans="1:6" x14ac:dyDescent="0.2">
      <c r="A321" s="1186" t="s">
        <v>621</v>
      </c>
      <c r="B321" s="1186" t="s">
        <v>49</v>
      </c>
      <c r="C321" s="1186">
        <v>259</v>
      </c>
      <c r="D321" s="1186">
        <v>232</v>
      </c>
      <c r="E321" s="1186">
        <v>27</v>
      </c>
      <c r="F321" s="1186">
        <v>151352</v>
      </c>
    </row>
    <row r="322" spans="1:6" x14ac:dyDescent="0.2">
      <c r="A322" s="1186" t="s">
        <v>621</v>
      </c>
      <c r="B322" s="1186" t="s">
        <v>50</v>
      </c>
      <c r="C322" s="1186">
        <v>70</v>
      </c>
      <c r="D322" s="1186">
        <v>64</v>
      </c>
      <c r="E322" s="1186">
        <v>6</v>
      </c>
      <c r="F322" s="1186">
        <v>41443</v>
      </c>
    </row>
    <row r="323" spans="1:6" x14ac:dyDescent="0.2">
      <c r="A323" s="1186" t="s">
        <v>621</v>
      </c>
      <c r="B323" s="1186" t="s">
        <v>51</v>
      </c>
      <c r="C323" s="1186">
        <v>146</v>
      </c>
      <c r="D323" s="1186">
        <v>135</v>
      </c>
      <c r="E323" s="1186">
        <v>11</v>
      </c>
      <c r="F323" s="1186">
        <v>45228</v>
      </c>
    </row>
    <row r="324" spans="1:6" x14ac:dyDescent="0.2">
      <c r="A324" s="1186" t="s">
        <v>621</v>
      </c>
      <c r="B324" s="1186" t="s">
        <v>52</v>
      </c>
      <c r="C324" s="1186">
        <v>160</v>
      </c>
      <c r="D324" s="1186">
        <v>140</v>
      </c>
      <c r="E324" s="1186">
        <v>20</v>
      </c>
      <c r="F324" s="1186">
        <v>79854</v>
      </c>
    </row>
    <row r="325" spans="1:6" x14ac:dyDescent="0.2">
      <c r="A325" s="1186" t="s">
        <v>1419</v>
      </c>
      <c r="B325" s="1186" t="s">
        <v>23</v>
      </c>
      <c r="C325" s="1186">
        <v>292</v>
      </c>
      <c r="D325" s="1186">
        <v>257</v>
      </c>
      <c r="E325" s="1186">
        <v>35</v>
      </c>
      <c r="F325" s="1186">
        <v>119523</v>
      </c>
    </row>
    <row r="326" spans="1:6" x14ac:dyDescent="0.2">
      <c r="A326" s="1186" t="s">
        <v>1419</v>
      </c>
      <c r="B326" s="1186" t="s">
        <v>24</v>
      </c>
      <c r="C326" s="1186">
        <v>167</v>
      </c>
      <c r="D326" s="1186">
        <v>160</v>
      </c>
      <c r="E326" s="1186">
        <v>7</v>
      </c>
      <c r="F326" s="1186">
        <v>119196</v>
      </c>
    </row>
    <row r="327" spans="1:6" x14ac:dyDescent="0.2">
      <c r="A327" s="1186" t="s">
        <v>1419</v>
      </c>
      <c r="B327" s="1186" t="s">
        <v>25</v>
      </c>
      <c r="C327" s="1186">
        <v>89</v>
      </c>
      <c r="D327" s="1186">
        <v>79</v>
      </c>
      <c r="E327" s="1186">
        <v>10</v>
      </c>
      <c r="F327" s="1186">
        <v>56928</v>
      </c>
    </row>
    <row r="328" spans="1:6" x14ac:dyDescent="0.2">
      <c r="A328" s="1186" t="s">
        <v>1419</v>
      </c>
      <c r="B328" s="1186" t="s">
        <v>26</v>
      </c>
      <c r="C328" s="1186">
        <v>88</v>
      </c>
      <c r="D328" s="1186">
        <v>84</v>
      </c>
      <c r="E328" s="1186">
        <v>4</v>
      </c>
      <c r="F328" s="1186">
        <v>48134</v>
      </c>
    </row>
    <row r="329" spans="1:6" x14ac:dyDescent="0.2">
      <c r="A329" s="1186" t="s">
        <v>1419</v>
      </c>
      <c r="B329" s="1186" t="s">
        <v>619</v>
      </c>
      <c r="C329" s="1186">
        <v>483</v>
      </c>
      <c r="D329" s="1186">
        <v>438</v>
      </c>
      <c r="E329" s="1186">
        <v>45</v>
      </c>
      <c r="F329" s="1186">
        <v>252731</v>
      </c>
    </row>
    <row r="330" spans="1:6" x14ac:dyDescent="0.2">
      <c r="A330" s="1186" t="s">
        <v>1419</v>
      </c>
      <c r="B330" s="1186" t="s">
        <v>27</v>
      </c>
      <c r="C330" s="1186">
        <v>50</v>
      </c>
      <c r="D330" s="1186">
        <v>40</v>
      </c>
      <c r="E330" s="1186">
        <v>10</v>
      </c>
      <c r="F330" s="1186">
        <v>24716</v>
      </c>
    </row>
    <row r="331" spans="1:6" x14ac:dyDescent="0.2">
      <c r="A331" s="1186" t="s">
        <v>1419</v>
      </c>
      <c r="B331" s="1186" t="s">
        <v>28</v>
      </c>
      <c r="C331" s="1186">
        <v>98</v>
      </c>
      <c r="D331" s="1186">
        <v>94</v>
      </c>
      <c r="E331" s="1186">
        <v>4</v>
      </c>
      <c r="F331" s="1186">
        <v>75089</v>
      </c>
    </row>
    <row r="332" spans="1:6" x14ac:dyDescent="0.2">
      <c r="A332" s="1186" t="s">
        <v>1419</v>
      </c>
      <c r="B332" s="1186" t="s">
        <v>29</v>
      </c>
      <c r="C332" s="1186">
        <v>188</v>
      </c>
      <c r="D332" s="1186">
        <v>175</v>
      </c>
      <c r="E332" s="1186">
        <v>13</v>
      </c>
      <c r="F332" s="1186">
        <v>74891</v>
      </c>
    </row>
    <row r="333" spans="1:6" x14ac:dyDescent="0.2">
      <c r="A333" s="1186" t="s">
        <v>1419</v>
      </c>
      <c r="B333" s="1186" t="s">
        <v>30</v>
      </c>
      <c r="C333" s="1186">
        <v>107</v>
      </c>
      <c r="D333" s="1186">
        <v>87</v>
      </c>
      <c r="E333" s="1186">
        <v>20</v>
      </c>
      <c r="F333" s="1186">
        <v>58628</v>
      </c>
    </row>
    <row r="334" spans="1:6" x14ac:dyDescent="0.2">
      <c r="A334" s="1186" t="s">
        <v>1419</v>
      </c>
      <c r="B334" s="1186" t="s">
        <v>31</v>
      </c>
      <c r="C334" s="1186">
        <v>70</v>
      </c>
      <c r="D334" s="1186">
        <v>62</v>
      </c>
      <c r="E334" s="1186">
        <v>8</v>
      </c>
      <c r="F334" s="1186">
        <v>46986</v>
      </c>
    </row>
    <row r="335" spans="1:6" x14ac:dyDescent="0.2">
      <c r="A335" s="1186" t="s">
        <v>1419</v>
      </c>
      <c r="B335" s="1186" t="s">
        <v>32</v>
      </c>
      <c r="C335" s="1186">
        <v>59</v>
      </c>
      <c r="D335" s="1186">
        <v>57</v>
      </c>
      <c r="E335" s="1186">
        <v>2</v>
      </c>
      <c r="F335" s="1186">
        <v>48851</v>
      </c>
    </row>
    <row r="336" spans="1:6" x14ac:dyDescent="0.2">
      <c r="A336" s="1186" t="s">
        <v>1419</v>
      </c>
      <c r="B336" s="1186" t="s">
        <v>33</v>
      </c>
      <c r="C336" s="1186">
        <v>67</v>
      </c>
      <c r="D336" s="1186">
        <v>67</v>
      </c>
      <c r="E336" s="1186">
        <v>0</v>
      </c>
      <c r="F336" s="1186">
        <v>39144</v>
      </c>
    </row>
    <row r="337" spans="1:6" x14ac:dyDescent="0.2">
      <c r="A337" s="1186" t="s">
        <v>1419</v>
      </c>
      <c r="B337" s="1186" t="s">
        <v>34</v>
      </c>
      <c r="C337" s="1186">
        <v>117</v>
      </c>
      <c r="D337" s="1186">
        <v>103</v>
      </c>
      <c r="E337" s="1186">
        <v>14</v>
      </c>
      <c r="F337" s="1186">
        <v>75226</v>
      </c>
    </row>
    <row r="338" spans="1:6" x14ac:dyDescent="0.2">
      <c r="A338" s="1186" t="s">
        <v>1419</v>
      </c>
      <c r="B338" s="1186" t="s">
        <v>35</v>
      </c>
      <c r="C338" s="1186">
        <v>236</v>
      </c>
      <c r="D338" s="1186">
        <v>218</v>
      </c>
      <c r="E338" s="1186">
        <v>18</v>
      </c>
      <c r="F338" s="1186">
        <v>178183</v>
      </c>
    </row>
    <row r="339" spans="1:6" x14ac:dyDescent="0.2">
      <c r="A339" s="1186" t="s">
        <v>1419</v>
      </c>
      <c r="B339" s="1186" t="s">
        <v>36</v>
      </c>
      <c r="C339" s="1186">
        <v>903</v>
      </c>
      <c r="D339" s="1186">
        <v>768</v>
      </c>
      <c r="E339" s="1186">
        <v>135</v>
      </c>
      <c r="F339" s="1186">
        <v>314604</v>
      </c>
    </row>
    <row r="340" spans="1:6" x14ac:dyDescent="0.2">
      <c r="A340" s="1186" t="s">
        <v>1419</v>
      </c>
      <c r="B340" s="1186" t="s">
        <v>37</v>
      </c>
      <c r="C340" s="1186">
        <v>121</v>
      </c>
      <c r="D340" s="1186">
        <v>113</v>
      </c>
      <c r="E340" s="1186">
        <v>8</v>
      </c>
      <c r="F340" s="1186">
        <v>119061</v>
      </c>
    </row>
    <row r="341" spans="1:6" x14ac:dyDescent="0.2">
      <c r="A341" s="1186" t="s">
        <v>1419</v>
      </c>
      <c r="B341" s="1186" t="s">
        <v>38</v>
      </c>
      <c r="C341" s="1186">
        <v>89</v>
      </c>
      <c r="D341" s="1186">
        <v>76</v>
      </c>
      <c r="E341" s="1186">
        <v>13</v>
      </c>
      <c r="F341" s="1186">
        <v>38977</v>
      </c>
    </row>
    <row r="342" spans="1:6" x14ac:dyDescent="0.2">
      <c r="A342" s="1186" t="s">
        <v>1419</v>
      </c>
      <c r="B342" s="1186" t="s">
        <v>39</v>
      </c>
      <c r="C342" s="1186">
        <v>74</v>
      </c>
      <c r="D342" s="1186">
        <v>71</v>
      </c>
      <c r="E342" s="1186">
        <v>3</v>
      </c>
      <c r="F342" s="1186">
        <v>41226</v>
      </c>
    </row>
    <row r="343" spans="1:6" x14ac:dyDescent="0.2">
      <c r="A343" s="1186" t="s">
        <v>1419</v>
      </c>
      <c r="B343" s="1186" t="s">
        <v>40</v>
      </c>
      <c r="C343" s="1186">
        <v>82</v>
      </c>
      <c r="D343" s="1186">
        <v>78</v>
      </c>
      <c r="E343" s="1186">
        <v>4</v>
      </c>
      <c r="F343" s="1186">
        <v>45630</v>
      </c>
    </row>
    <row r="344" spans="1:6" x14ac:dyDescent="0.2">
      <c r="A344" s="1186" t="s">
        <v>1419</v>
      </c>
      <c r="B344" s="1186" t="s">
        <v>295</v>
      </c>
      <c r="C344" s="1186">
        <v>20</v>
      </c>
      <c r="D344" s="1186">
        <v>20</v>
      </c>
      <c r="E344" s="1186">
        <v>0</v>
      </c>
      <c r="F344" s="1186">
        <v>14734</v>
      </c>
    </row>
    <row r="345" spans="1:6" x14ac:dyDescent="0.2">
      <c r="A345" s="1186" t="s">
        <v>1419</v>
      </c>
      <c r="B345" s="1186" t="s">
        <v>41</v>
      </c>
      <c r="C345" s="1186">
        <v>168</v>
      </c>
      <c r="D345" s="1186">
        <v>150</v>
      </c>
      <c r="E345" s="1186">
        <v>18</v>
      </c>
      <c r="F345" s="1186">
        <v>68496</v>
      </c>
    </row>
    <row r="346" spans="1:6" x14ac:dyDescent="0.2">
      <c r="A346" s="1186" t="s">
        <v>1419</v>
      </c>
      <c r="B346" s="1186" t="s">
        <v>42</v>
      </c>
      <c r="C346" s="1186">
        <v>276</v>
      </c>
      <c r="D346" s="1186">
        <v>227</v>
      </c>
      <c r="E346" s="1186">
        <v>49</v>
      </c>
      <c r="F346" s="1186">
        <v>156694</v>
      </c>
    </row>
    <row r="347" spans="1:6" x14ac:dyDescent="0.2">
      <c r="A347" s="1186" t="s">
        <v>1419</v>
      </c>
      <c r="B347" s="1186" t="s">
        <v>43</v>
      </c>
      <c r="C347" s="1186">
        <v>11</v>
      </c>
      <c r="D347" s="1186">
        <v>11</v>
      </c>
      <c r="E347" s="1186">
        <v>0</v>
      </c>
      <c r="F347" s="1186">
        <v>11322</v>
      </c>
    </row>
    <row r="348" spans="1:6" x14ac:dyDescent="0.2">
      <c r="A348" s="1186" t="s">
        <v>1419</v>
      </c>
      <c r="B348" s="1186" t="s">
        <v>44</v>
      </c>
      <c r="C348" s="1186">
        <v>111</v>
      </c>
      <c r="D348" s="1186">
        <v>106</v>
      </c>
      <c r="E348" s="1186">
        <v>5</v>
      </c>
      <c r="F348" s="1186">
        <v>73267</v>
      </c>
    </row>
    <row r="349" spans="1:6" x14ac:dyDescent="0.2">
      <c r="A349" s="1186" t="s">
        <v>1419</v>
      </c>
      <c r="B349" s="1186" t="s">
        <v>45</v>
      </c>
      <c r="C349" s="1186">
        <v>164</v>
      </c>
      <c r="D349" s="1186">
        <v>142</v>
      </c>
      <c r="E349" s="1186">
        <v>22</v>
      </c>
      <c r="F349" s="1186">
        <v>88086</v>
      </c>
    </row>
    <row r="350" spans="1:6" x14ac:dyDescent="0.2">
      <c r="A350" s="1186" t="s">
        <v>1419</v>
      </c>
      <c r="B350" s="1186" t="s">
        <v>46</v>
      </c>
      <c r="C350" s="1186">
        <v>102</v>
      </c>
      <c r="D350" s="1186">
        <v>96</v>
      </c>
      <c r="E350" s="1186">
        <v>6</v>
      </c>
      <c r="F350" s="1186">
        <v>58671</v>
      </c>
    </row>
    <row r="351" spans="1:6" x14ac:dyDescent="0.2">
      <c r="A351" s="1186" t="s">
        <v>1419</v>
      </c>
      <c r="B351" s="1186" t="s">
        <v>47</v>
      </c>
      <c r="C351" s="1186">
        <v>12</v>
      </c>
      <c r="D351" s="1186">
        <v>12</v>
      </c>
      <c r="E351" s="1186">
        <v>0</v>
      </c>
      <c r="F351" s="1186">
        <v>11305</v>
      </c>
    </row>
    <row r="352" spans="1:6" x14ac:dyDescent="0.2">
      <c r="A352" s="1186" t="s">
        <v>1419</v>
      </c>
      <c r="B352" s="1186" t="s">
        <v>48</v>
      </c>
      <c r="C352" s="1186">
        <v>98</v>
      </c>
      <c r="D352" s="1186">
        <v>86</v>
      </c>
      <c r="E352" s="1186">
        <v>12</v>
      </c>
      <c r="F352" s="1186">
        <v>55668</v>
      </c>
    </row>
    <row r="353" spans="1:6" x14ac:dyDescent="0.2">
      <c r="A353" s="1186" t="s">
        <v>1419</v>
      </c>
      <c r="B353" s="1186" t="s">
        <v>49</v>
      </c>
      <c r="C353" s="1186">
        <v>249</v>
      </c>
      <c r="D353" s="1186">
        <v>228</v>
      </c>
      <c r="E353" s="1186">
        <v>21</v>
      </c>
      <c r="F353" s="1186">
        <v>152998</v>
      </c>
    </row>
    <row r="354" spans="1:6" x14ac:dyDescent="0.2">
      <c r="A354" s="1186" t="s">
        <v>1419</v>
      </c>
      <c r="B354" s="1186" t="s">
        <v>50</v>
      </c>
      <c r="C354" s="1186">
        <v>52</v>
      </c>
      <c r="D354" s="1186">
        <v>44</v>
      </c>
      <c r="E354" s="1186">
        <v>8</v>
      </c>
      <c r="F354" s="1186">
        <v>41638</v>
      </c>
    </row>
    <row r="355" spans="1:6" x14ac:dyDescent="0.2">
      <c r="A355" s="1186" t="s">
        <v>1419</v>
      </c>
      <c r="B355" s="1186" t="s">
        <v>51</v>
      </c>
      <c r="C355" s="1186">
        <v>115</v>
      </c>
      <c r="D355" s="1186">
        <v>103</v>
      </c>
      <c r="E355" s="1186">
        <v>12</v>
      </c>
      <c r="F355" s="1186">
        <v>45357</v>
      </c>
    </row>
    <row r="356" spans="1:6" x14ac:dyDescent="0.2">
      <c r="A356" s="1186" t="s">
        <v>1419</v>
      </c>
      <c r="B356" s="1186" t="s">
        <v>52</v>
      </c>
      <c r="C356" s="1186">
        <v>131</v>
      </c>
      <c r="D356" s="1186">
        <v>112</v>
      </c>
      <c r="E356" s="1186">
        <v>19</v>
      </c>
      <c r="F356" s="1186">
        <v>80911</v>
      </c>
    </row>
    <row r="357" spans="1:6" x14ac:dyDescent="0.2">
      <c r="A357" s="1186" t="s">
        <v>1419</v>
      </c>
      <c r="B357" s="1186" t="s">
        <v>1521</v>
      </c>
      <c r="C357" s="1186">
        <v>1</v>
      </c>
      <c r="D357" s="1186">
        <v>1</v>
      </c>
      <c r="E357" s="1186">
        <v>0</v>
      </c>
      <c r="F357" s="1186"/>
    </row>
    <row r="358" spans="1:6" x14ac:dyDescent="0.2">
      <c r="A358" s="1186" t="s">
        <v>1572</v>
      </c>
      <c r="B358" s="1186" t="s">
        <v>23</v>
      </c>
      <c r="C358" s="1186">
        <v>243</v>
      </c>
      <c r="D358" s="1186">
        <v>222</v>
      </c>
      <c r="E358" s="1186">
        <v>21</v>
      </c>
      <c r="F358" s="1186">
        <v>120980</v>
      </c>
    </row>
    <row r="359" spans="1:6" x14ac:dyDescent="0.2">
      <c r="A359" s="1186" t="s">
        <v>1572</v>
      </c>
      <c r="B359" s="1186" t="s">
        <v>24</v>
      </c>
      <c r="C359" s="1186">
        <v>172</v>
      </c>
      <c r="D359" s="1186">
        <v>164</v>
      </c>
      <c r="E359" s="1186">
        <v>8</v>
      </c>
      <c r="F359" s="1186">
        <v>119854</v>
      </c>
    </row>
    <row r="360" spans="1:6" x14ac:dyDescent="0.2">
      <c r="A360" s="1186" t="s">
        <v>1572</v>
      </c>
      <c r="B360" s="1186" t="s">
        <v>25</v>
      </c>
      <c r="C360" s="1186">
        <v>80</v>
      </c>
      <c r="D360" s="1186">
        <v>74</v>
      </c>
      <c r="E360" s="1186">
        <v>6</v>
      </c>
      <c r="F360" s="1186">
        <v>57206</v>
      </c>
    </row>
    <row r="361" spans="1:6" x14ac:dyDescent="0.2">
      <c r="A361" s="1186" t="s">
        <v>1572</v>
      </c>
      <c r="B361" s="1186" t="s">
        <v>26</v>
      </c>
      <c r="C361" s="1186">
        <v>86</v>
      </c>
      <c r="D361" s="1186">
        <v>84</v>
      </c>
      <c r="E361" s="1186">
        <v>2</v>
      </c>
      <c r="F361" s="1186">
        <v>48199</v>
      </c>
    </row>
    <row r="362" spans="1:6" x14ac:dyDescent="0.2">
      <c r="A362" s="1186" t="s">
        <v>1572</v>
      </c>
      <c r="B362" s="1186" t="s">
        <v>619</v>
      </c>
      <c r="C362" s="1186">
        <v>422</v>
      </c>
      <c r="D362" s="1186">
        <v>369</v>
      </c>
      <c r="E362" s="1186">
        <v>53</v>
      </c>
      <c r="F362" s="1186">
        <v>254929</v>
      </c>
    </row>
    <row r="363" spans="1:6" x14ac:dyDescent="0.2">
      <c r="A363" s="1186" t="s">
        <v>1572</v>
      </c>
      <c r="B363" s="1186" t="s">
        <v>27</v>
      </c>
      <c r="C363" s="1186">
        <v>55</v>
      </c>
      <c r="D363" s="1186">
        <v>54</v>
      </c>
      <c r="E363" s="1186">
        <v>1</v>
      </c>
      <c r="F363" s="1186">
        <v>24838</v>
      </c>
    </row>
    <row r="364" spans="1:6" x14ac:dyDescent="0.2">
      <c r="A364" s="1186" t="s">
        <v>1572</v>
      </c>
      <c r="B364" s="1186" t="s">
        <v>28</v>
      </c>
      <c r="C364" s="1186">
        <v>74</v>
      </c>
      <c r="D364" s="1186">
        <v>69</v>
      </c>
      <c r="E364" s="1186">
        <v>5</v>
      </c>
      <c r="F364" s="1186">
        <v>75298</v>
      </c>
    </row>
    <row r="365" spans="1:6" x14ac:dyDescent="0.2">
      <c r="A365" s="1186" t="s">
        <v>1572</v>
      </c>
      <c r="B365" s="1186" t="s">
        <v>29</v>
      </c>
      <c r="C365" s="1186">
        <v>209</v>
      </c>
      <c r="D365" s="1186">
        <v>186</v>
      </c>
      <c r="E365" s="1186">
        <v>23</v>
      </c>
      <c r="F365" s="1186">
        <v>75027</v>
      </c>
    </row>
    <row r="366" spans="1:6" x14ac:dyDescent="0.2">
      <c r="A366" s="1186" t="s">
        <v>1572</v>
      </c>
      <c r="B366" s="1186" t="s">
        <v>30</v>
      </c>
      <c r="C366" s="1186">
        <v>109</v>
      </c>
      <c r="D366" s="1186">
        <v>95</v>
      </c>
      <c r="E366" s="1186">
        <v>14</v>
      </c>
      <c r="F366" s="1186">
        <v>58821</v>
      </c>
    </row>
    <row r="367" spans="1:6" x14ac:dyDescent="0.2">
      <c r="A367" s="1186" t="s">
        <v>1572</v>
      </c>
      <c r="B367" s="1186" t="s">
        <v>31</v>
      </c>
      <c r="C367" s="1186">
        <v>74</v>
      </c>
      <c r="D367" s="1186">
        <v>65</v>
      </c>
      <c r="E367" s="1186">
        <v>9</v>
      </c>
      <c r="F367" s="1186">
        <v>47251</v>
      </c>
    </row>
    <row r="368" spans="1:6" x14ac:dyDescent="0.2">
      <c r="A368" s="1186" t="s">
        <v>1572</v>
      </c>
      <c r="B368" s="1186" t="s">
        <v>32</v>
      </c>
      <c r="C368" s="1186">
        <v>49</v>
      </c>
      <c r="D368" s="1186">
        <v>46</v>
      </c>
      <c r="E368" s="1186">
        <v>3</v>
      </c>
      <c r="F368" s="1186">
        <v>49642</v>
      </c>
    </row>
    <row r="369" spans="1:6" x14ac:dyDescent="0.2">
      <c r="A369" s="1186" t="s">
        <v>1572</v>
      </c>
      <c r="B369" s="1186" t="s">
        <v>33</v>
      </c>
      <c r="C369" s="1186">
        <v>53</v>
      </c>
      <c r="D369" s="1186">
        <v>49</v>
      </c>
      <c r="E369" s="1186">
        <v>4</v>
      </c>
      <c r="F369" s="1186">
        <v>39453</v>
      </c>
    </row>
    <row r="370" spans="1:6" x14ac:dyDescent="0.2">
      <c r="A370" s="1186" t="s">
        <v>1572</v>
      </c>
      <c r="B370" s="1186" t="s">
        <v>34</v>
      </c>
      <c r="C370" s="1186">
        <v>109</v>
      </c>
      <c r="D370" s="1186">
        <v>99</v>
      </c>
      <c r="E370" s="1186">
        <v>10</v>
      </c>
      <c r="F370" s="1186">
        <v>75595</v>
      </c>
    </row>
    <row r="371" spans="1:6" x14ac:dyDescent="0.2">
      <c r="A371" s="1186" t="s">
        <v>1572</v>
      </c>
      <c r="B371" s="1186" t="s">
        <v>35</v>
      </c>
      <c r="C371" s="1186">
        <v>247</v>
      </c>
      <c r="D371" s="1186">
        <v>227</v>
      </c>
      <c r="E371" s="1186">
        <v>20</v>
      </c>
      <c r="F371" s="1186">
        <v>179232</v>
      </c>
    </row>
    <row r="372" spans="1:6" x14ac:dyDescent="0.2">
      <c r="A372" s="1186" t="s">
        <v>1572</v>
      </c>
      <c r="B372" s="1186" t="s">
        <v>36</v>
      </c>
      <c r="C372" s="1186">
        <v>795</v>
      </c>
      <c r="D372" s="1186">
        <v>685</v>
      </c>
      <c r="E372" s="1186">
        <v>110</v>
      </c>
      <c r="F372" s="1186">
        <v>317193</v>
      </c>
    </row>
    <row r="373" spans="1:6" x14ac:dyDescent="0.2">
      <c r="A373" s="1186" t="s">
        <v>1572</v>
      </c>
      <c r="B373" s="1186" t="s">
        <v>37</v>
      </c>
      <c r="C373" s="1186">
        <v>132</v>
      </c>
      <c r="D373" s="1186">
        <v>126</v>
      </c>
      <c r="E373" s="1186">
        <v>6</v>
      </c>
      <c r="F373" s="1186">
        <v>119918</v>
      </c>
    </row>
    <row r="374" spans="1:6" x14ac:dyDescent="0.2">
      <c r="A374" s="1186" t="s">
        <v>1572</v>
      </c>
      <c r="B374" s="1186" t="s">
        <v>38</v>
      </c>
      <c r="C374" s="1186">
        <v>110</v>
      </c>
      <c r="D374" s="1186">
        <v>88</v>
      </c>
      <c r="E374" s="1186">
        <v>22</v>
      </c>
      <c r="F374" s="1186">
        <v>39107</v>
      </c>
    </row>
    <row r="375" spans="1:6" x14ac:dyDescent="0.2">
      <c r="A375" s="1186" t="s">
        <v>1572</v>
      </c>
      <c r="B375" s="1186" t="s">
        <v>39</v>
      </c>
      <c r="C375" s="1186">
        <v>59</v>
      </c>
      <c r="D375" s="1186">
        <v>57</v>
      </c>
      <c r="E375" s="1186">
        <v>2</v>
      </c>
      <c r="F375" s="1186">
        <v>41657</v>
      </c>
    </row>
    <row r="376" spans="1:6" x14ac:dyDescent="0.2">
      <c r="A376" s="1186" t="s">
        <v>1572</v>
      </c>
      <c r="B376" s="1186" t="s">
        <v>40</v>
      </c>
      <c r="C376" s="1186">
        <v>51</v>
      </c>
      <c r="D376" s="1186">
        <v>50</v>
      </c>
      <c r="E376" s="1186">
        <v>1</v>
      </c>
      <c r="F376" s="1186">
        <v>45838</v>
      </c>
    </row>
    <row r="377" spans="1:6" x14ac:dyDescent="0.2">
      <c r="A377" s="1186" t="s">
        <v>1572</v>
      </c>
      <c r="B377" s="1186" t="s">
        <v>295</v>
      </c>
      <c r="C377" s="1186">
        <v>22</v>
      </c>
      <c r="D377" s="1186">
        <v>21</v>
      </c>
      <c r="E377" s="1186">
        <v>1</v>
      </c>
      <c r="F377" s="1186">
        <v>14764</v>
      </c>
    </row>
    <row r="378" spans="1:6" x14ac:dyDescent="0.2">
      <c r="A378" s="1186" t="s">
        <v>1572</v>
      </c>
      <c r="B378" s="1186" t="s">
        <v>41</v>
      </c>
      <c r="C378" s="1186">
        <v>153</v>
      </c>
      <c r="D378" s="1186">
        <v>136</v>
      </c>
      <c r="E378" s="1186">
        <v>17</v>
      </c>
      <c r="F378" s="1186">
        <v>68843</v>
      </c>
    </row>
    <row r="379" spans="1:6" x14ac:dyDescent="0.2">
      <c r="A379" s="1186" t="s">
        <v>1572</v>
      </c>
      <c r="B379" s="1186" t="s">
        <v>42</v>
      </c>
      <c r="C379" s="1186">
        <v>318</v>
      </c>
      <c r="D379" s="1186">
        <v>279</v>
      </c>
      <c r="E379" s="1186">
        <v>39</v>
      </c>
      <c r="F379" s="1186">
        <v>157625</v>
      </c>
    </row>
    <row r="380" spans="1:6" x14ac:dyDescent="0.2">
      <c r="A380" s="1186" t="s">
        <v>1572</v>
      </c>
      <c r="B380" s="1186" t="s">
        <v>43</v>
      </c>
      <c r="C380" s="1186">
        <v>4</v>
      </c>
      <c r="D380" s="1186">
        <v>4</v>
      </c>
      <c r="E380" s="1186">
        <v>0</v>
      </c>
      <c r="F380" s="1186">
        <v>11391</v>
      </c>
    </row>
    <row r="381" spans="1:6" x14ac:dyDescent="0.2">
      <c r="A381" s="1186" t="s">
        <v>1572</v>
      </c>
      <c r="B381" s="1186" t="s">
        <v>44</v>
      </c>
      <c r="C381" s="1186">
        <v>104</v>
      </c>
      <c r="D381" s="1186">
        <v>97</v>
      </c>
      <c r="E381" s="1186">
        <v>7</v>
      </c>
      <c r="F381" s="1186">
        <v>73775</v>
      </c>
    </row>
    <row r="382" spans="1:6" x14ac:dyDescent="0.2">
      <c r="A382" s="1186" t="s">
        <v>1572</v>
      </c>
      <c r="B382" s="1186" t="s">
        <v>45</v>
      </c>
      <c r="C382" s="1186">
        <v>185</v>
      </c>
      <c r="D382" s="1186">
        <v>151</v>
      </c>
      <c r="E382" s="1186">
        <v>34</v>
      </c>
      <c r="F382" s="1186">
        <v>88624</v>
      </c>
    </row>
    <row r="383" spans="1:6" x14ac:dyDescent="0.2">
      <c r="A383" s="1186" t="s">
        <v>1572</v>
      </c>
      <c r="B383" s="1186" t="s">
        <v>46</v>
      </c>
      <c r="C383" s="1186">
        <v>85</v>
      </c>
      <c r="D383" s="1186">
        <v>77</v>
      </c>
      <c r="E383" s="1186">
        <v>8</v>
      </c>
      <c r="F383" s="1186">
        <v>58814</v>
      </c>
    </row>
    <row r="384" spans="1:6" x14ac:dyDescent="0.2">
      <c r="A384" s="1186" t="s">
        <v>1572</v>
      </c>
      <c r="B384" s="1186" t="s">
        <v>47</v>
      </c>
      <c r="C384" s="1186">
        <v>25</v>
      </c>
      <c r="D384" s="1186">
        <v>24</v>
      </c>
      <c r="E384" s="1186">
        <v>1</v>
      </c>
      <c r="F384" s="1186">
        <v>11374</v>
      </c>
    </row>
    <row r="385" spans="1:6" x14ac:dyDescent="0.2">
      <c r="A385" s="1186" t="s">
        <v>1572</v>
      </c>
      <c r="B385" s="1186" t="s">
        <v>48</v>
      </c>
      <c r="C385" s="1186">
        <v>90</v>
      </c>
      <c r="D385" s="1186">
        <v>73</v>
      </c>
      <c r="E385" s="1186">
        <v>17</v>
      </c>
      <c r="F385" s="1186">
        <v>55793</v>
      </c>
    </row>
    <row r="386" spans="1:6" x14ac:dyDescent="0.2">
      <c r="A386" s="1186" t="s">
        <v>1572</v>
      </c>
      <c r="B386" s="1186" t="s">
        <v>49</v>
      </c>
      <c r="C386" s="1186">
        <v>255</v>
      </c>
      <c r="D386" s="1186">
        <v>221</v>
      </c>
      <c r="E386" s="1186">
        <v>34</v>
      </c>
      <c r="F386" s="1186">
        <v>153863</v>
      </c>
    </row>
    <row r="387" spans="1:6" x14ac:dyDescent="0.2">
      <c r="A387" s="1186" t="s">
        <v>1572</v>
      </c>
      <c r="B387" s="1186" t="s">
        <v>50</v>
      </c>
      <c r="C387" s="1186">
        <v>59</v>
      </c>
      <c r="D387" s="1186">
        <v>48</v>
      </c>
      <c r="E387" s="1186">
        <v>11</v>
      </c>
      <c r="F387" s="1186">
        <v>41950</v>
      </c>
    </row>
    <row r="388" spans="1:6" x14ac:dyDescent="0.2">
      <c r="A388" s="1186" t="s">
        <v>1572</v>
      </c>
      <c r="B388" s="1186" t="s">
        <v>51</v>
      </c>
      <c r="C388" s="1186">
        <v>117</v>
      </c>
      <c r="D388" s="1186">
        <v>102</v>
      </c>
      <c r="E388" s="1186">
        <v>15</v>
      </c>
      <c r="F388" s="1186">
        <v>45148</v>
      </c>
    </row>
    <row r="389" spans="1:6" x14ac:dyDescent="0.2">
      <c r="A389" s="1186" t="s">
        <v>1572</v>
      </c>
      <c r="B389" s="1186" t="s">
        <v>52</v>
      </c>
      <c r="C389" s="1186">
        <v>115</v>
      </c>
      <c r="D389" s="1186">
        <v>99</v>
      </c>
      <c r="E389" s="1186">
        <v>16</v>
      </c>
      <c r="F389" s="1186">
        <v>81723</v>
      </c>
    </row>
  </sheetData>
  <pageMargins left="0.7" right="0.7" top="0.75" bottom="0.75" header="0.3" footer="0.3"/>
  <pageSetup paperSize="9" fitToHeight="50" orientation="landscape" r:id="rId1"/>
  <legacyDrawing r:id="rId2"/>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pageSetUpPr fitToPage="1"/>
  </sheetPr>
  <dimension ref="A1:Y44"/>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28515625" bestFit="1" customWidth="1"/>
    <col min="2" max="2" width="7.42578125" bestFit="1" customWidth="1"/>
    <col min="3" max="3" width="4.85546875" bestFit="1" customWidth="1"/>
    <col min="4" max="4" width="7.28515625" bestFit="1" customWidth="1"/>
    <col min="5" max="5" width="7.42578125" bestFit="1" customWidth="1"/>
    <col min="6" max="6" width="9.85546875" bestFit="1" customWidth="1"/>
    <col min="7" max="7" width="8.28515625" bestFit="1" customWidth="1"/>
    <col min="8" max="8" width="10.7109375" bestFit="1" customWidth="1"/>
    <col min="9" max="9" width="11.140625" bestFit="1" customWidth="1"/>
    <col min="10" max="10" width="13.5703125" bestFit="1" customWidth="1"/>
    <col min="11" max="11" width="9.140625" bestFit="1" customWidth="1"/>
    <col min="12" max="12" width="13.5703125" bestFit="1" customWidth="1"/>
    <col min="13" max="13" width="15.85546875" bestFit="1" customWidth="1"/>
    <col min="14" max="14" width="11.85546875" bestFit="1" customWidth="1"/>
    <col min="15" max="15" width="14.28515625" bestFit="1" customWidth="1"/>
    <col min="16" max="16" width="11.42578125" bestFit="1" customWidth="1"/>
    <col min="17" max="17" width="14" bestFit="1" customWidth="1"/>
    <col min="18" max="18" width="13.85546875" bestFit="1" customWidth="1"/>
    <col min="19" max="19" width="16.42578125" bestFit="1" customWidth="1"/>
    <col min="20" max="20" width="14.28515625" bestFit="1" customWidth="1"/>
    <col min="21" max="21" width="16.85546875" bestFit="1" customWidth="1"/>
    <col min="22" max="22" width="11.85546875" bestFit="1" customWidth="1"/>
    <col min="23" max="23" width="14.42578125" bestFit="1" customWidth="1"/>
    <col min="24" max="24" width="15.42578125" bestFit="1" customWidth="1"/>
    <col min="25" max="25" width="18" bestFit="1" customWidth="1"/>
  </cols>
  <sheetData>
    <row r="1" spans="1:25" x14ac:dyDescent="0.2"/>
    <row r="4" spans="1:25" x14ac:dyDescent="0.2">
      <c r="A4" s="1223" t="s">
        <v>1927</v>
      </c>
      <c r="B4" s="1223" t="s">
        <v>4</v>
      </c>
      <c r="C4" s="1223" t="s">
        <v>97</v>
      </c>
      <c r="D4" s="1223" t="s">
        <v>1928</v>
      </c>
      <c r="E4" s="1223" t="s">
        <v>1929</v>
      </c>
      <c r="F4" s="1223" t="s">
        <v>1930</v>
      </c>
      <c r="G4" s="1223" t="s">
        <v>1931</v>
      </c>
      <c r="H4" s="1223" t="s">
        <v>1932</v>
      </c>
      <c r="I4" s="1223" t="s">
        <v>1933</v>
      </c>
      <c r="J4" s="1223" t="s">
        <v>1934</v>
      </c>
      <c r="K4" s="1223" t="s">
        <v>141</v>
      </c>
      <c r="L4" s="1223" t="s">
        <v>1935</v>
      </c>
      <c r="M4" s="1223" t="s">
        <v>1936</v>
      </c>
      <c r="N4" s="1223" t="s">
        <v>1937</v>
      </c>
      <c r="O4" s="1223" t="s">
        <v>1938</v>
      </c>
      <c r="P4" s="1223" t="s">
        <v>1939</v>
      </c>
      <c r="Q4" s="1223" t="s">
        <v>1940</v>
      </c>
      <c r="R4" s="1223" t="s">
        <v>1941</v>
      </c>
      <c r="S4" s="1223" t="s">
        <v>1942</v>
      </c>
      <c r="T4" s="1223" t="s">
        <v>1943</v>
      </c>
      <c r="U4" s="1223" t="s">
        <v>1944</v>
      </c>
      <c r="V4" s="1223" t="s">
        <v>1945</v>
      </c>
      <c r="W4" s="1223" t="s">
        <v>1946</v>
      </c>
      <c r="X4" s="1223" t="s">
        <v>1947</v>
      </c>
      <c r="Y4" s="1223" t="s">
        <v>1948</v>
      </c>
    </row>
    <row r="5" spans="1:25" x14ac:dyDescent="0.2">
      <c r="A5" s="1186" t="s">
        <v>124</v>
      </c>
      <c r="B5" s="1186" t="s">
        <v>123</v>
      </c>
      <c r="C5" s="1186">
        <v>458</v>
      </c>
      <c r="D5" s="1186">
        <v>9.26</v>
      </c>
      <c r="E5" s="1186">
        <v>13948</v>
      </c>
      <c r="F5" s="1186">
        <v>282.06</v>
      </c>
      <c r="G5" s="1186">
        <v>431838</v>
      </c>
      <c r="H5" s="1186">
        <v>8732.8700000000008</v>
      </c>
      <c r="I5" s="1186">
        <v>189068</v>
      </c>
      <c r="J5" s="1186">
        <v>3823.44</v>
      </c>
      <c r="K5" s="1186">
        <v>49449700</v>
      </c>
      <c r="L5" s="1186">
        <v>234569</v>
      </c>
      <c r="M5" s="1186">
        <v>4743.59</v>
      </c>
      <c r="N5" s="1186">
        <v>8201</v>
      </c>
      <c r="O5" s="1186">
        <v>165.85</v>
      </c>
      <c r="P5" s="1186">
        <v>54531</v>
      </c>
      <c r="Q5" s="1186">
        <v>1102.76</v>
      </c>
      <c r="R5" s="1186">
        <v>393852</v>
      </c>
      <c r="S5" s="1186">
        <v>7964.7</v>
      </c>
      <c r="T5" s="1186"/>
      <c r="U5" s="1186"/>
      <c r="V5" s="1186">
        <v>990793</v>
      </c>
      <c r="W5" s="1186">
        <v>20036.38</v>
      </c>
      <c r="X5" s="1186">
        <v>9242</v>
      </c>
      <c r="Y5" s="1186">
        <v>186.9</v>
      </c>
    </row>
    <row r="6" spans="1:25" x14ac:dyDescent="0.2">
      <c r="A6" s="1186" t="s">
        <v>124</v>
      </c>
      <c r="B6" s="1186" t="s">
        <v>314</v>
      </c>
      <c r="C6" s="1186">
        <v>417</v>
      </c>
      <c r="D6" s="1186">
        <v>8.39</v>
      </c>
      <c r="E6" s="1186">
        <v>12317</v>
      </c>
      <c r="F6" s="1186">
        <v>247.93</v>
      </c>
      <c r="G6" s="1186">
        <v>412491</v>
      </c>
      <c r="H6" s="1186">
        <v>8303.08</v>
      </c>
      <c r="I6" s="1186">
        <v>173455</v>
      </c>
      <c r="J6" s="1186">
        <v>3491.49</v>
      </c>
      <c r="K6" s="1186">
        <v>49679300</v>
      </c>
      <c r="L6" s="1186">
        <v>232181</v>
      </c>
      <c r="M6" s="1186">
        <v>4673.6000000000004</v>
      </c>
      <c r="N6" s="1186">
        <v>6855</v>
      </c>
      <c r="O6" s="1186">
        <v>137.99</v>
      </c>
      <c r="P6" s="1186">
        <v>48899</v>
      </c>
      <c r="Q6" s="1186">
        <v>984.29</v>
      </c>
      <c r="R6" s="1186">
        <v>375353</v>
      </c>
      <c r="S6" s="1186">
        <v>7555.52</v>
      </c>
      <c r="T6" s="1186"/>
      <c r="U6" s="1186"/>
      <c r="V6" s="1186">
        <v>958142</v>
      </c>
      <c r="W6" s="1186">
        <v>19286.54</v>
      </c>
      <c r="X6" s="1186">
        <v>8291</v>
      </c>
      <c r="Y6" s="1186">
        <v>166.89</v>
      </c>
    </row>
    <row r="7" spans="1:25" x14ac:dyDescent="0.2">
      <c r="A7" s="1186" t="s">
        <v>124</v>
      </c>
      <c r="B7" s="1186" t="s">
        <v>112</v>
      </c>
      <c r="C7" s="1186">
        <v>454</v>
      </c>
      <c r="D7" s="1186">
        <v>9.09</v>
      </c>
      <c r="E7" s="1186">
        <v>12448</v>
      </c>
      <c r="F7" s="1186">
        <v>249.33</v>
      </c>
      <c r="G7" s="1186">
        <v>473563</v>
      </c>
      <c r="H7" s="1186">
        <v>9485.39</v>
      </c>
      <c r="I7" s="1186">
        <v>172384</v>
      </c>
      <c r="J7" s="1186">
        <v>3452.82</v>
      </c>
      <c r="K7" s="1186">
        <v>49925500</v>
      </c>
      <c r="L7" s="1186">
        <v>294688</v>
      </c>
      <c r="M7" s="1186">
        <v>5902.55</v>
      </c>
      <c r="N7" s="1186">
        <v>6491</v>
      </c>
      <c r="O7" s="1186">
        <v>130.01</v>
      </c>
      <c r="P7" s="1186">
        <v>50830</v>
      </c>
      <c r="Q7" s="1186">
        <v>1018.12</v>
      </c>
      <c r="R7" s="1186">
        <v>384082</v>
      </c>
      <c r="S7" s="1186">
        <v>7693.1</v>
      </c>
      <c r="T7" s="1186"/>
      <c r="U7" s="1186"/>
      <c r="V7" s="1186">
        <v>1016028</v>
      </c>
      <c r="W7" s="1186">
        <v>20350.88</v>
      </c>
      <c r="X7" s="1186">
        <v>8044</v>
      </c>
      <c r="Y7" s="1186">
        <v>161.12</v>
      </c>
    </row>
    <row r="8" spans="1:25" x14ac:dyDescent="0.2">
      <c r="A8" s="1186" t="s">
        <v>124</v>
      </c>
      <c r="B8" s="1186" t="s">
        <v>9</v>
      </c>
      <c r="C8" s="1186">
        <v>371</v>
      </c>
      <c r="D8" s="1186">
        <v>7.39</v>
      </c>
      <c r="E8" s="1186">
        <v>11147</v>
      </c>
      <c r="F8" s="1186">
        <v>222.08</v>
      </c>
      <c r="G8" s="1186">
        <v>341968</v>
      </c>
      <c r="H8" s="1186">
        <v>6812.84</v>
      </c>
      <c r="I8" s="1186">
        <v>147224</v>
      </c>
      <c r="J8" s="1186">
        <v>2933.06</v>
      </c>
      <c r="K8" s="1186">
        <v>50194600</v>
      </c>
      <c r="L8" s="1186">
        <v>188403</v>
      </c>
      <c r="M8" s="1186">
        <v>3753.45</v>
      </c>
      <c r="N8" s="1186">
        <v>6341</v>
      </c>
      <c r="O8" s="1186">
        <v>126.33</v>
      </c>
      <c r="P8" s="1186">
        <v>47434</v>
      </c>
      <c r="Q8" s="1186">
        <v>945</v>
      </c>
      <c r="R8" s="1186">
        <v>360997</v>
      </c>
      <c r="S8" s="1186">
        <v>7191.95</v>
      </c>
      <c r="T8" s="1186"/>
      <c r="U8" s="1186"/>
      <c r="V8" s="1186">
        <v>861384</v>
      </c>
      <c r="W8" s="1186">
        <v>17160.89</v>
      </c>
      <c r="X8" s="1186">
        <v>7148</v>
      </c>
      <c r="Y8" s="1186">
        <v>142.41</v>
      </c>
    </row>
    <row r="9" spans="1:25" x14ac:dyDescent="0.2">
      <c r="A9" s="1186" t="s">
        <v>124</v>
      </c>
      <c r="B9" s="1186" t="s">
        <v>12</v>
      </c>
      <c r="C9" s="1186">
        <v>386</v>
      </c>
      <c r="D9" s="1186">
        <v>7.63</v>
      </c>
      <c r="E9" s="1186">
        <v>11127</v>
      </c>
      <c r="F9" s="1186">
        <v>219.88</v>
      </c>
      <c r="G9" s="1186">
        <v>336107</v>
      </c>
      <c r="H9" s="1186">
        <v>6641.64</v>
      </c>
      <c r="I9" s="1186">
        <v>137726</v>
      </c>
      <c r="J9" s="1186">
        <v>2721.53</v>
      </c>
      <c r="K9" s="1186">
        <v>50606000</v>
      </c>
      <c r="L9" s="1186">
        <v>191393</v>
      </c>
      <c r="M9" s="1186">
        <v>3782.02</v>
      </c>
      <c r="N9" s="1186">
        <v>6988</v>
      </c>
      <c r="O9" s="1186">
        <v>138.09</v>
      </c>
      <c r="P9" s="1186">
        <v>46248</v>
      </c>
      <c r="Q9" s="1186">
        <v>913.88</v>
      </c>
      <c r="R9" s="1186">
        <v>350606</v>
      </c>
      <c r="S9" s="1186">
        <v>6928.15</v>
      </c>
      <c r="T9" s="1186"/>
      <c r="U9" s="1186"/>
      <c r="V9" s="1186">
        <v>843734</v>
      </c>
      <c r="W9" s="1186">
        <v>16672.61</v>
      </c>
      <c r="X9" s="1186">
        <v>6780</v>
      </c>
      <c r="Y9" s="1186">
        <v>133.97999999999999</v>
      </c>
    </row>
    <row r="10" spans="1:25" x14ac:dyDescent="0.2">
      <c r="A10" s="1186" t="s">
        <v>124</v>
      </c>
      <c r="B10" s="1186" t="s">
        <v>14</v>
      </c>
      <c r="C10" s="1186">
        <v>364</v>
      </c>
      <c r="D10" s="1186">
        <v>7.14</v>
      </c>
      <c r="E10" s="1186">
        <v>10783</v>
      </c>
      <c r="F10" s="1186">
        <v>211.58</v>
      </c>
      <c r="G10" s="1186">
        <v>336233</v>
      </c>
      <c r="H10" s="1186">
        <v>6597.31</v>
      </c>
      <c r="I10" s="1186">
        <v>129134</v>
      </c>
      <c r="J10" s="1186">
        <v>2533.77</v>
      </c>
      <c r="K10" s="1186">
        <v>50965200</v>
      </c>
      <c r="L10" s="1186">
        <v>201551</v>
      </c>
      <c r="M10" s="1186">
        <v>3954.68</v>
      </c>
      <c r="N10" s="1186">
        <v>5548</v>
      </c>
      <c r="O10" s="1186">
        <v>108.86</v>
      </c>
      <c r="P10" s="1186">
        <v>44422</v>
      </c>
      <c r="Q10" s="1186">
        <v>871.61</v>
      </c>
      <c r="R10" s="1186">
        <v>352136</v>
      </c>
      <c r="S10" s="1186">
        <v>6909.34</v>
      </c>
      <c r="T10" s="1186"/>
      <c r="U10" s="1186"/>
      <c r="V10" s="1186">
        <v>854371</v>
      </c>
      <c r="W10" s="1186">
        <v>16763.810000000001</v>
      </c>
      <c r="X10" s="1186">
        <v>6351</v>
      </c>
      <c r="Y10" s="1186">
        <v>124.61</v>
      </c>
    </row>
    <row r="11" spans="1:25" x14ac:dyDescent="0.2">
      <c r="A11" s="1186" t="s">
        <v>124</v>
      </c>
      <c r="B11" s="1186" t="s">
        <v>16</v>
      </c>
      <c r="C11" s="1186">
        <v>358</v>
      </c>
      <c r="D11" s="1186">
        <v>6.97</v>
      </c>
      <c r="E11" s="1186">
        <v>10319</v>
      </c>
      <c r="F11" s="1186">
        <v>200.83</v>
      </c>
      <c r="G11" s="1186">
        <v>293920</v>
      </c>
      <c r="H11" s="1186">
        <v>5720.39</v>
      </c>
      <c r="I11" s="1186">
        <v>115271</v>
      </c>
      <c r="J11" s="1186">
        <v>2243.4499999999998</v>
      </c>
      <c r="K11" s="1186">
        <v>51381100</v>
      </c>
      <c r="L11" s="1186">
        <v>172306</v>
      </c>
      <c r="M11" s="1186">
        <v>3353.49</v>
      </c>
      <c r="N11" s="1186">
        <v>6343</v>
      </c>
      <c r="O11" s="1186">
        <v>123.45</v>
      </c>
      <c r="P11" s="1186">
        <v>41336</v>
      </c>
      <c r="Q11" s="1186">
        <v>804.5</v>
      </c>
      <c r="R11" s="1186">
        <v>331478</v>
      </c>
      <c r="S11" s="1186">
        <v>6451.36</v>
      </c>
      <c r="T11" s="1186"/>
      <c r="U11" s="1186"/>
      <c r="V11" s="1186">
        <v>791746</v>
      </c>
      <c r="W11" s="1186">
        <v>15409.28</v>
      </c>
      <c r="X11" s="1186">
        <v>5749</v>
      </c>
      <c r="Y11" s="1186">
        <v>111.89</v>
      </c>
    </row>
    <row r="12" spans="1:25" x14ac:dyDescent="0.2">
      <c r="A12" s="1186" t="s">
        <v>124</v>
      </c>
      <c r="B12" s="1186" t="s">
        <v>18</v>
      </c>
      <c r="C12" s="1186">
        <v>323</v>
      </c>
      <c r="D12" s="1186">
        <v>6.23</v>
      </c>
      <c r="E12" s="1186">
        <v>9227</v>
      </c>
      <c r="F12" s="1186">
        <v>178.07</v>
      </c>
      <c r="G12" s="1186">
        <v>249237</v>
      </c>
      <c r="H12" s="1186">
        <v>4810.05</v>
      </c>
      <c r="I12" s="1186">
        <v>104348</v>
      </c>
      <c r="J12" s="1186">
        <v>2013.82</v>
      </c>
      <c r="K12" s="1186">
        <v>51815900</v>
      </c>
      <c r="L12" s="1186">
        <v>136744</v>
      </c>
      <c r="M12" s="1186">
        <v>2639.04</v>
      </c>
      <c r="N12" s="1186">
        <v>8145</v>
      </c>
      <c r="O12" s="1186">
        <v>157.19</v>
      </c>
      <c r="P12" s="1186">
        <v>38584</v>
      </c>
      <c r="Q12" s="1186">
        <v>744.64</v>
      </c>
      <c r="R12" s="1186">
        <v>312914</v>
      </c>
      <c r="S12" s="1186">
        <v>6038.96</v>
      </c>
      <c r="T12" s="1186"/>
      <c r="U12" s="1186"/>
      <c r="V12" s="1186">
        <v>717805</v>
      </c>
      <c r="W12" s="1186">
        <v>13852.99</v>
      </c>
      <c r="X12" s="1186">
        <v>5030</v>
      </c>
      <c r="Y12" s="1186">
        <v>97.07</v>
      </c>
    </row>
    <row r="13" spans="1:25" x14ac:dyDescent="0.2">
      <c r="A13" s="1186" t="s">
        <v>124</v>
      </c>
      <c r="B13" s="1186" t="s">
        <v>19</v>
      </c>
      <c r="C13" s="1186">
        <v>340</v>
      </c>
      <c r="D13" s="1186">
        <v>6.51</v>
      </c>
      <c r="E13" s="1186">
        <v>8864</v>
      </c>
      <c r="F13" s="1186">
        <v>169.82</v>
      </c>
      <c r="G13" s="1186">
        <v>241462</v>
      </c>
      <c r="H13" s="1186">
        <v>4626.03</v>
      </c>
      <c r="I13" s="1186">
        <v>101159</v>
      </c>
      <c r="J13" s="1186">
        <v>1938.05</v>
      </c>
      <c r="K13" s="1186">
        <v>52196400</v>
      </c>
      <c r="L13" s="1186">
        <v>132941</v>
      </c>
      <c r="M13" s="1186">
        <v>2546.94</v>
      </c>
      <c r="N13" s="1186">
        <v>7362</v>
      </c>
      <c r="O13" s="1186">
        <v>141.04</v>
      </c>
      <c r="P13" s="1186">
        <v>38376</v>
      </c>
      <c r="Q13" s="1186">
        <v>735.22</v>
      </c>
      <c r="R13" s="1186">
        <v>285368</v>
      </c>
      <c r="S13" s="1186">
        <v>5467.2</v>
      </c>
      <c r="T13" s="1186">
        <v>140596</v>
      </c>
      <c r="U13" s="1186">
        <v>2693.6</v>
      </c>
      <c r="V13" s="1186">
        <v>680634</v>
      </c>
      <c r="W13" s="1186">
        <v>13039.86</v>
      </c>
      <c r="X13" s="1186">
        <v>4155</v>
      </c>
      <c r="Y13" s="1186">
        <v>79.599999999999994</v>
      </c>
    </row>
    <row r="14" spans="1:25" x14ac:dyDescent="0.2">
      <c r="A14" s="1186" t="s">
        <v>124</v>
      </c>
      <c r="B14" s="1186" t="s">
        <v>20</v>
      </c>
      <c r="C14" s="1186">
        <v>335</v>
      </c>
      <c r="D14" s="1186">
        <v>6.36</v>
      </c>
      <c r="E14" s="1186">
        <v>9397</v>
      </c>
      <c r="F14" s="1186">
        <v>178.51</v>
      </c>
      <c r="G14" s="1186">
        <v>228412</v>
      </c>
      <c r="H14" s="1186">
        <v>4338.93</v>
      </c>
      <c r="I14" s="1186">
        <v>92248</v>
      </c>
      <c r="J14" s="1186">
        <v>1752.35</v>
      </c>
      <c r="K14" s="1186">
        <v>52642500</v>
      </c>
      <c r="L14" s="1186">
        <v>128478</v>
      </c>
      <c r="M14" s="1186">
        <v>2440.58</v>
      </c>
      <c r="N14" s="1186">
        <v>7686</v>
      </c>
      <c r="O14" s="1186">
        <v>146</v>
      </c>
      <c r="P14" s="1186">
        <v>36611</v>
      </c>
      <c r="Q14" s="1186">
        <v>695.46</v>
      </c>
      <c r="R14" s="1186">
        <v>272179</v>
      </c>
      <c r="S14" s="1186">
        <v>5170.33</v>
      </c>
      <c r="T14" s="1186">
        <v>134670</v>
      </c>
      <c r="U14" s="1186">
        <v>2558.1999999999998</v>
      </c>
      <c r="V14" s="1186">
        <v>647362</v>
      </c>
      <c r="W14" s="1186">
        <v>12297.33</v>
      </c>
      <c r="X14" s="1186">
        <v>4371</v>
      </c>
      <c r="Y14" s="1186">
        <v>83.03</v>
      </c>
    </row>
    <row r="15" spans="1:25" x14ac:dyDescent="0.2">
      <c r="A15" s="1186" t="s">
        <v>124</v>
      </c>
      <c r="B15" s="1186" t="s">
        <v>13</v>
      </c>
      <c r="C15" s="1186">
        <v>315</v>
      </c>
      <c r="D15" s="1186">
        <v>5.93</v>
      </c>
      <c r="E15" s="1186">
        <v>9375</v>
      </c>
      <c r="F15" s="1186">
        <v>176.53</v>
      </c>
      <c r="G15" s="1186">
        <v>223937</v>
      </c>
      <c r="H15" s="1186">
        <v>4216.7</v>
      </c>
      <c r="I15" s="1186">
        <v>86982</v>
      </c>
      <c r="J15" s="1186">
        <v>1637.86</v>
      </c>
      <c r="K15" s="1186">
        <v>53107200</v>
      </c>
      <c r="L15" s="1186">
        <v>131124</v>
      </c>
      <c r="M15" s="1186">
        <v>2469.04</v>
      </c>
      <c r="N15" s="1186">
        <v>5831</v>
      </c>
      <c r="O15" s="1186">
        <v>109.8</v>
      </c>
      <c r="P15" s="1186">
        <v>35417</v>
      </c>
      <c r="Q15" s="1186">
        <v>666.9</v>
      </c>
      <c r="R15" s="1186">
        <v>249484</v>
      </c>
      <c r="S15" s="1186">
        <v>4697.74</v>
      </c>
      <c r="T15" s="1186">
        <v>123573</v>
      </c>
      <c r="U15" s="1186">
        <v>2326.86</v>
      </c>
      <c r="V15" s="1186">
        <v>606941</v>
      </c>
      <c r="W15" s="1186">
        <v>11428.6</v>
      </c>
      <c r="X15" s="1186">
        <v>4297</v>
      </c>
      <c r="Y15" s="1186">
        <v>80.91</v>
      </c>
    </row>
    <row r="16" spans="1:25" x14ac:dyDescent="0.2">
      <c r="A16" s="1186" t="s">
        <v>124</v>
      </c>
      <c r="B16" s="1186" t="s">
        <v>15</v>
      </c>
      <c r="C16" s="1186">
        <v>286</v>
      </c>
      <c r="D16" s="1186">
        <v>5.35</v>
      </c>
      <c r="E16" s="1186">
        <v>8429</v>
      </c>
      <c r="F16" s="1186">
        <v>157.57</v>
      </c>
      <c r="G16" s="1186">
        <v>154462</v>
      </c>
      <c r="H16" s="1186">
        <v>2887.48</v>
      </c>
      <c r="I16" s="1186">
        <v>74714</v>
      </c>
      <c r="J16" s="1186">
        <v>1396.69</v>
      </c>
      <c r="K16" s="1186">
        <v>53493700</v>
      </c>
      <c r="L16" s="1186">
        <v>72496</v>
      </c>
      <c r="M16" s="1186">
        <v>1355.23</v>
      </c>
      <c r="N16" s="1186">
        <v>7252</v>
      </c>
      <c r="O16" s="1186">
        <v>135.57</v>
      </c>
      <c r="P16" s="1186">
        <v>33300</v>
      </c>
      <c r="Q16" s="1186">
        <v>622.5</v>
      </c>
      <c r="R16" s="1186">
        <v>231772</v>
      </c>
      <c r="S16" s="1186">
        <v>4332.7</v>
      </c>
      <c r="T16" s="1186">
        <v>128749</v>
      </c>
      <c r="U16" s="1186">
        <v>2406.81</v>
      </c>
      <c r="V16" s="1186">
        <v>521322</v>
      </c>
      <c r="W16" s="1186">
        <v>9745.48</v>
      </c>
      <c r="X16" s="1186">
        <v>3811</v>
      </c>
      <c r="Y16" s="1186">
        <v>71.239999999999995</v>
      </c>
    </row>
    <row r="17" spans="1:25" x14ac:dyDescent="0.2">
      <c r="A17" s="1186" t="s">
        <v>124</v>
      </c>
      <c r="B17" s="1186" t="s">
        <v>17</v>
      </c>
      <c r="C17" s="1186">
        <v>278</v>
      </c>
      <c r="D17" s="1186">
        <v>5.16</v>
      </c>
      <c r="E17" s="1186">
        <v>7819</v>
      </c>
      <c r="F17" s="1186">
        <v>145.16</v>
      </c>
      <c r="G17" s="1186">
        <v>171355</v>
      </c>
      <c r="H17" s="1186">
        <v>3181.15</v>
      </c>
      <c r="I17" s="1186">
        <v>73235</v>
      </c>
      <c r="J17" s="1186">
        <v>1359.58</v>
      </c>
      <c r="K17" s="1186">
        <v>53865800</v>
      </c>
      <c r="L17" s="1186">
        <v>92133</v>
      </c>
      <c r="M17" s="1186">
        <v>1710.42</v>
      </c>
      <c r="N17" s="1186">
        <v>5987</v>
      </c>
      <c r="O17" s="1186">
        <v>111.15</v>
      </c>
      <c r="P17" s="1186">
        <v>31912</v>
      </c>
      <c r="Q17" s="1186">
        <v>592.44000000000005</v>
      </c>
      <c r="R17" s="1186">
        <v>224122</v>
      </c>
      <c r="S17" s="1186">
        <v>4160.75</v>
      </c>
      <c r="T17" s="1186">
        <v>125765</v>
      </c>
      <c r="U17" s="1186">
        <v>2334.7800000000002</v>
      </c>
      <c r="V17" s="1186">
        <v>526895</v>
      </c>
      <c r="W17" s="1186">
        <v>9781.6200000000008</v>
      </c>
      <c r="X17" s="1186">
        <v>3453</v>
      </c>
      <c r="Y17" s="1186">
        <v>64.099999999999994</v>
      </c>
    </row>
    <row r="18" spans="1:25" x14ac:dyDescent="0.2">
      <c r="A18" s="1186" t="s">
        <v>124</v>
      </c>
      <c r="B18" s="1186" t="s">
        <v>133</v>
      </c>
      <c r="C18" s="1186">
        <v>264</v>
      </c>
      <c r="D18" s="1186">
        <v>4.8600000000000003</v>
      </c>
      <c r="E18" s="1186">
        <v>7596</v>
      </c>
      <c r="F18" s="1186">
        <v>139.85</v>
      </c>
      <c r="G18" s="1186">
        <v>155065</v>
      </c>
      <c r="H18" s="1186">
        <v>2854.84</v>
      </c>
      <c r="I18" s="1186">
        <v>71126</v>
      </c>
      <c r="J18" s="1186">
        <v>1309.47</v>
      </c>
      <c r="K18" s="1186">
        <v>54316600</v>
      </c>
      <c r="L18" s="1186">
        <v>78753</v>
      </c>
      <c r="M18" s="1186">
        <v>1449.89</v>
      </c>
      <c r="N18" s="1186">
        <v>5186</v>
      </c>
      <c r="O18" s="1186">
        <v>95.48</v>
      </c>
      <c r="P18" s="1186">
        <v>31338</v>
      </c>
      <c r="Q18" s="1186">
        <v>576.95000000000005</v>
      </c>
      <c r="R18" s="1186">
        <v>215873</v>
      </c>
      <c r="S18" s="1186">
        <v>3974.35</v>
      </c>
      <c r="T18" s="1186">
        <v>120093</v>
      </c>
      <c r="U18" s="1186">
        <v>2210.98</v>
      </c>
      <c r="V18" s="1186">
        <v>496275</v>
      </c>
      <c r="W18" s="1186">
        <v>9136.7099999999991</v>
      </c>
      <c r="X18" s="1186">
        <v>3252</v>
      </c>
      <c r="Y18" s="1186">
        <v>59.87</v>
      </c>
    </row>
    <row r="19" spans="1:25" x14ac:dyDescent="0.2">
      <c r="A19" s="1186" t="s">
        <v>124</v>
      </c>
      <c r="B19" s="1186" t="s">
        <v>144</v>
      </c>
      <c r="C19" s="1186">
        <v>302</v>
      </c>
      <c r="D19" s="1186">
        <v>5.51</v>
      </c>
      <c r="E19" s="1186">
        <v>7672</v>
      </c>
      <c r="F19" s="1186">
        <v>140.04</v>
      </c>
      <c r="G19" s="1186">
        <v>162276</v>
      </c>
      <c r="H19" s="1186">
        <v>2961.98</v>
      </c>
      <c r="I19" s="1186">
        <v>73479</v>
      </c>
      <c r="J19" s="1186">
        <v>1341.19</v>
      </c>
      <c r="K19" s="1186">
        <v>54786300</v>
      </c>
      <c r="L19" s="1186">
        <v>84590</v>
      </c>
      <c r="M19" s="1186">
        <v>1544</v>
      </c>
      <c r="N19" s="1186">
        <v>4207</v>
      </c>
      <c r="O19" s="1186">
        <v>76.790000000000006</v>
      </c>
      <c r="P19" s="1186">
        <v>31376</v>
      </c>
      <c r="Q19" s="1186">
        <v>572.70000000000005</v>
      </c>
      <c r="R19" s="1186">
        <v>214411</v>
      </c>
      <c r="S19" s="1186">
        <v>3913.59</v>
      </c>
      <c r="T19" s="1186">
        <v>146899</v>
      </c>
      <c r="U19" s="1186">
        <v>2681.31</v>
      </c>
      <c r="V19" s="1186">
        <v>529674</v>
      </c>
      <c r="W19" s="1186">
        <v>9668</v>
      </c>
      <c r="X19" s="1186">
        <v>3279</v>
      </c>
      <c r="Y19" s="1186">
        <v>59.85</v>
      </c>
    </row>
    <row r="20" spans="1:25" x14ac:dyDescent="0.2">
      <c r="A20" s="1186" t="s">
        <v>124</v>
      </c>
      <c r="B20" s="1186" t="s">
        <v>282</v>
      </c>
      <c r="C20" s="1186">
        <v>265</v>
      </c>
      <c r="D20" s="1186">
        <v>4.79</v>
      </c>
      <c r="E20" s="1186">
        <v>7103</v>
      </c>
      <c r="F20" s="1186">
        <v>128.52000000000001</v>
      </c>
      <c r="G20" s="1186">
        <v>162048</v>
      </c>
      <c r="H20" s="1186">
        <v>2932.03</v>
      </c>
      <c r="I20" s="1186">
        <v>74947</v>
      </c>
      <c r="J20" s="1186">
        <v>1356.06</v>
      </c>
      <c r="K20" s="1186">
        <v>55268100</v>
      </c>
      <c r="L20" s="1186">
        <v>82860</v>
      </c>
      <c r="M20" s="1186">
        <v>1499.24</v>
      </c>
      <c r="N20" s="1186">
        <v>4241</v>
      </c>
      <c r="O20" s="1186">
        <v>76.739999999999995</v>
      </c>
      <c r="P20" s="1186">
        <v>30351</v>
      </c>
      <c r="Q20" s="1186">
        <v>549.16</v>
      </c>
      <c r="R20" s="1186">
        <v>223962</v>
      </c>
      <c r="S20" s="1186">
        <v>4052.28</v>
      </c>
      <c r="T20" s="1186">
        <v>168632</v>
      </c>
      <c r="U20" s="1186">
        <v>3051.16</v>
      </c>
      <c r="V20" s="1186">
        <v>560689</v>
      </c>
      <c r="W20" s="1186">
        <v>10144.89</v>
      </c>
      <c r="X20" s="1186">
        <v>3126</v>
      </c>
      <c r="Y20" s="1186">
        <v>56.56</v>
      </c>
    </row>
    <row r="21" spans="1:25" x14ac:dyDescent="0.2">
      <c r="A21" s="1186" t="s">
        <v>124</v>
      </c>
      <c r="B21" s="1186" t="s">
        <v>311</v>
      </c>
      <c r="C21" s="1186">
        <v>340</v>
      </c>
      <c r="D21" s="1186">
        <v>6.11</v>
      </c>
      <c r="E21" s="1186">
        <v>7302</v>
      </c>
      <c r="F21" s="1186">
        <v>131.29</v>
      </c>
      <c r="G21" s="1186">
        <v>167355</v>
      </c>
      <c r="H21" s="1186">
        <v>3008.93</v>
      </c>
      <c r="I21" s="1186">
        <v>74274</v>
      </c>
      <c r="J21" s="1186">
        <v>1335.4</v>
      </c>
      <c r="K21" s="1186">
        <v>55619400</v>
      </c>
      <c r="L21" s="1186">
        <v>89040</v>
      </c>
      <c r="M21" s="1186">
        <v>1600.88</v>
      </c>
      <c r="N21" s="1186">
        <v>4041</v>
      </c>
      <c r="O21" s="1186">
        <v>72.650000000000006</v>
      </c>
      <c r="P21" s="1186">
        <v>30821</v>
      </c>
      <c r="Q21" s="1186">
        <v>554.14</v>
      </c>
      <c r="R21" s="1186">
        <v>226054</v>
      </c>
      <c r="S21" s="1186">
        <v>4064.3</v>
      </c>
      <c r="T21" s="1186">
        <v>165940</v>
      </c>
      <c r="U21" s="1186">
        <v>2983.49</v>
      </c>
      <c r="V21" s="1186">
        <v>566120</v>
      </c>
      <c r="W21" s="1186">
        <v>10178.459999999999</v>
      </c>
      <c r="X21" s="1186">
        <v>3297</v>
      </c>
      <c r="Y21" s="1186">
        <v>59.28</v>
      </c>
    </row>
    <row r="22" spans="1:25" x14ac:dyDescent="0.2">
      <c r="A22" s="1186" t="s">
        <v>124</v>
      </c>
      <c r="B22" s="1186" t="s">
        <v>621</v>
      </c>
      <c r="C22" s="1186">
        <v>255</v>
      </c>
      <c r="D22" s="1186">
        <v>4.5599999999999996</v>
      </c>
      <c r="E22" s="1186">
        <v>7164</v>
      </c>
      <c r="F22" s="1186">
        <v>127.98</v>
      </c>
      <c r="G22" s="1186">
        <v>182933</v>
      </c>
      <c r="H22" s="1186">
        <v>3267.99</v>
      </c>
      <c r="I22" s="1186">
        <v>73288</v>
      </c>
      <c r="J22" s="1186">
        <v>1309.25</v>
      </c>
      <c r="K22" s="1186">
        <v>55977200</v>
      </c>
      <c r="L22" s="1186">
        <v>106301</v>
      </c>
      <c r="M22" s="1186">
        <v>1899.01</v>
      </c>
      <c r="N22" s="1186">
        <v>3334</v>
      </c>
      <c r="O22" s="1186">
        <v>59.56</v>
      </c>
      <c r="P22" s="1186">
        <v>29598</v>
      </c>
      <c r="Q22" s="1186">
        <v>528.75</v>
      </c>
      <c r="R22" s="1186">
        <v>231222</v>
      </c>
      <c r="S22" s="1186">
        <v>4130.6499999999996</v>
      </c>
      <c r="T22" s="1186">
        <v>155105</v>
      </c>
      <c r="U22" s="1186">
        <v>2770.86</v>
      </c>
      <c r="V22" s="1186">
        <v>576532</v>
      </c>
      <c r="W22" s="1186">
        <v>10299.41</v>
      </c>
      <c r="X22" s="1186">
        <v>3143</v>
      </c>
      <c r="Y22" s="1186">
        <v>56.15</v>
      </c>
    </row>
    <row r="23" spans="1:25" x14ac:dyDescent="0.2">
      <c r="A23" s="1186" t="s">
        <v>124</v>
      </c>
      <c r="B23" s="1186" t="s">
        <v>1419</v>
      </c>
      <c r="C23" s="1186">
        <v>245</v>
      </c>
      <c r="D23" s="1186">
        <v>4.3499999999999996</v>
      </c>
      <c r="E23" s="1186">
        <v>6933</v>
      </c>
      <c r="F23" s="1186">
        <v>123.17</v>
      </c>
      <c r="G23" s="1186">
        <v>154180</v>
      </c>
      <c r="H23" s="1186">
        <v>2739.18</v>
      </c>
      <c r="I23" s="1186">
        <v>68771</v>
      </c>
      <c r="J23" s="1186">
        <v>1221.79</v>
      </c>
      <c r="K23" s="1186">
        <v>56287000</v>
      </c>
      <c r="L23" s="1186">
        <v>82265</v>
      </c>
      <c r="M23" s="1186">
        <v>1461.53</v>
      </c>
      <c r="N23" s="1186">
        <v>3144</v>
      </c>
      <c r="O23" s="1186">
        <v>55.86</v>
      </c>
      <c r="P23" s="1186">
        <v>28499</v>
      </c>
      <c r="Q23" s="1186">
        <v>506.32</v>
      </c>
      <c r="R23" s="1186">
        <v>231630</v>
      </c>
      <c r="S23" s="1186">
        <v>4115.16</v>
      </c>
      <c r="T23" s="1186">
        <v>164736</v>
      </c>
      <c r="U23" s="1186">
        <v>2926.71</v>
      </c>
      <c r="V23" s="1186">
        <v>558013</v>
      </c>
      <c r="W23" s="1186">
        <v>9913.7099999999991</v>
      </c>
      <c r="X23" s="1186">
        <v>2977</v>
      </c>
      <c r="Y23" s="1186">
        <v>52.89</v>
      </c>
    </row>
    <row r="24" spans="1:25" x14ac:dyDescent="0.2">
      <c r="A24" s="1186" t="s">
        <v>124</v>
      </c>
      <c r="B24" s="1186" t="s">
        <v>1572</v>
      </c>
      <c r="C24" s="1186">
        <v>240</v>
      </c>
      <c r="D24" s="1186">
        <v>4.24</v>
      </c>
      <c r="E24" s="1186">
        <v>6347</v>
      </c>
      <c r="F24" s="1186">
        <v>112.24</v>
      </c>
      <c r="G24" s="1186">
        <v>151086</v>
      </c>
      <c r="H24" s="1186">
        <v>2671.72</v>
      </c>
      <c r="I24" s="1186">
        <v>61912</v>
      </c>
      <c r="J24" s="1186">
        <v>1094.82</v>
      </c>
      <c r="K24" s="1186">
        <v>56550000</v>
      </c>
      <c r="L24" s="1186">
        <v>86069</v>
      </c>
      <c r="M24" s="1186">
        <v>1522</v>
      </c>
      <c r="N24" s="1186">
        <v>3105</v>
      </c>
      <c r="O24" s="1186">
        <v>54.91</v>
      </c>
      <c r="P24" s="1186">
        <v>27021</v>
      </c>
      <c r="Q24" s="1186">
        <v>477.82</v>
      </c>
      <c r="R24" s="1186">
        <v>216149</v>
      </c>
      <c r="S24" s="1186">
        <v>3822.26</v>
      </c>
      <c r="T24" s="1186">
        <v>144348</v>
      </c>
      <c r="U24" s="1186">
        <v>2552.5700000000002</v>
      </c>
      <c r="V24" s="1186">
        <v>518263</v>
      </c>
      <c r="W24" s="1186">
        <v>9164.69</v>
      </c>
      <c r="X24" s="1186">
        <v>2603</v>
      </c>
      <c r="Y24" s="1186">
        <v>46.03</v>
      </c>
    </row>
    <row r="25" spans="1:25" x14ac:dyDescent="0.2">
      <c r="A25" s="1186" t="s">
        <v>125</v>
      </c>
      <c r="B25" s="1186" t="s">
        <v>123</v>
      </c>
      <c r="C25" s="1186">
        <v>38</v>
      </c>
      <c r="D25" s="1186">
        <v>13.06</v>
      </c>
      <c r="E25" s="1186">
        <v>933</v>
      </c>
      <c r="F25" s="1186">
        <v>320.60000000000002</v>
      </c>
      <c r="G25" s="1186">
        <v>35203</v>
      </c>
      <c r="H25" s="1186">
        <v>12096.42</v>
      </c>
      <c r="I25" s="1186">
        <v>12722</v>
      </c>
      <c r="J25" s="1186">
        <v>4371.5200000000004</v>
      </c>
      <c r="K25" s="1186">
        <v>2910200</v>
      </c>
      <c r="L25" s="1186">
        <v>21585</v>
      </c>
      <c r="M25" s="1186">
        <v>7417.02</v>
      </c>
      <c r="N25" s="1186">
        <v>896</v>
      </c>
      <c r="O25" s="1186">
        <v>307.88</v>
      </c>
      <c r="P25" s="1186">
        <v>3086</v>
      </c>
      <c r="Q25" s="1186">
        <v>1060.4100000000001</v>
      </c>
      <c r="R25" s="1186">
        <v>19545</v>
      </c>
      <c r="S25" s="1186">
        <v>6716.03</v>
      </c>
      <c r="T25" s="1186">
        <v>9159</v>
      </c>
      <c r="U25" s="1186">
        <v>3147.21</v>
      </c>
      <c r="V25" s="1186">
        <v>63907</v>
      </c>
      <c r="W25" s="1186">
        <v>21959.66</v>
      </c>
      <c r="X25" s="1186"/>
      <c r="Y25" s="1186"/>
    </row>
    <row r="26" spans="1:25" x14ac:dyDescent="0.2">
      <c r="A26" s="1186" t="s">
        <v>125</v>
      </c>
      <c r="B26" s="1186" t="s">
        <v>314</v>
      </c>
      <c r="C26" s="1186">
        <v>25</v>
      </c>
      <c r="D26" s="1186">
        <v>8.5500000000000007</v>
      </c>
      <c r="E26" s="1186">
        <v>862</v>
      </c>
      <c r="F26" s="1186">
        <v>294.91000000000003</v>
      </c>
      <c r="G26" s="1186">
        <v>34992</v>
      </c>
      <c r="H26" s="1186">
        <v>11971.67</v>
      </c>
      <c r="I26" s="1186">
        <v>12030</v>
      </c>
      <c r="J26" s="1186">
        <v>4115.78</v>
      </c>
      <c r="K26" s="1186">
        <v>2922900</v>
      </c>
      <c r="L26" s="1186">
        <v>22191</v>
      </c>
      <c r="M26" s="1186">
        <v>7592.12</v>
      </c>
      <c r="N26" s="1186">
        <v>771</v>
      </c>
      <c r="O26" s="1186">
        <v>263.77999999999997</v>
      </c>
      <c r="P26" s="1186">
        <v>2924</v>
      </c>
      <c r="Q26" s="1186">
        <v>1000.38</v>
      </c>
      <c r="R26" s="1186">
        <v>19069</v>
      </c>
      <c r="S26" s="1186">
        <v>6524</v>
      </c>
      <c r="T26" s="1186">
        <v>8479</v>
      </c>
      <c r="U26" s="1186">
        <v>2900.89</v>
      </c>
      <c r="V26" s="1186">
        <v>62540</v>
      </c>
      <c r="W26" s="1186">
        <v>21396.560000000001</v>
      </c>
      <c r="X26" s="1186"/>
      <c r="Y26" s="1186"/>
    </row>
    <row r="27" spans="1:25" x14ac:dyDescent="0.2">
      <c r="A27" s="1186" t="s">
        <v>125</v>
      </c>
      <c r="B27" s="1186" t="s">
        <v>112</v>
      </c>
      <c r="C27" s="1186">
        <v>33</v>
      </c>
      <c r="D27" s="1186">
        <v>11.23</v>
      </c>
      <c r="E27" s="1186">
        <v>829</v>
      </c>
      <c r="F27" s="1186">
        <v>282.19</v>
      </c>
      <c r="G27" s="1186">
        <v>36247</v>
      </c>
      <c r="H27" s="1186">
        <v>12338.56</v>
      </c>
      <c r="I27" s="1186">
        <v>11802</v>
      </c>
      <c r="J27" s="1186">
        <v>4017.43</v>
      </c>
      <c r="K27" s="1186">
        <v>2937700</v>
      </c>
      <c r="L27" s="1186">
        <v>23742</v>
      </c>
      <c r="M27" s="1186">
        <v>8081.83</v>
      </c>
      <c r="N27" s="1186">
        <v>703</v>
      </c>
      <c r="O27" s="1186">
        <v>239.3</v>
      </c>
      <c r="P27" s="1186">
        <v>2787</v>
      </c>
      <c r="Q27" s="1186">
        <v>948.7</v>
      </c>
      <c r="R27" s="1186">
        <v>19309</v>
      </c>
      <c r="S27" s="1186">
        <v>6572.83</v>
      </c>
      <c r="T27" s="1186">
        <v>8276</v>
      </c>
      <c r="U27" s="1186">
        <v>2817.17</v>
      </c>
      <c r="V27" s="1186">
        <v>63832</v>
      </c>
      <c r="W27" s="1186">
        <v>21728.560000000001</v>
      </c>
      <c r="X27" s="1186"/>
      <c r="Y27" s="1186"/>
    </row>
    <row r="28" spans="1:25" x14ac:dyDescent="0.2">
      <c r="A28" s="1186" t="s">
        <v>125</v>
      </c>
      <c r="B28" s="1186" t="s">
        <v>9</v>
      </c>
      <c r="C28" s="1186">
        <v>27</v>
      </c>
      <c r="D28" s="1186">
        <v>9.1300000000000008</v>
      </c>
      <c r="E28" s="1186">
        <v>795</v>
      </c>
      <c r="F28" s="1186">
        <v>268.82</v>
      </c>
      <c r="G28" s="1186">
        <v>26335</v>
      </c>
      <c r="H28" s="1186">
        <v>8904.7800000000007</v>
      </c>
      <c r="I28" s="1186">
        <v>9633</v>
      </c>
      <c r="J28" s="1186">
        <v>3257.25</v>
      </c>
      <c r="K28" s="1186">
        <v>2957400</v>
      </c>
      <c r="L28" s="1186">
        <v>16048</v>
      </c>
      <c r="M28" s="1186">
        <v>5426.39</v>
      </c>
      <c r="N28" s="1186">
        <v>654</v>
      </c>
      <c r="O28" s="1186">
        <v>221.14</v>
      </c>
      <c r="P28" s="1186">
        <v>2592</v>
      </c>
      <c r="Q28" s="1186">
        <v>876.45</v>
      </c>
      <c r="R28" s="1186">
        <v>17662</v>
      </c>
      <c r="S28" s="1186">
        <v>5972.14</v>
      </c>
      <c r="T28" s="1186">
        <v>8869</v>
      </c>
      <c r="U28" s="1186">
        <v>2998.92</v>
      </c>
      <c r="V28" s="1186">
        <v>52866</v>
      </c>
      <c r="W28" s="1186">
        <v>17875.84</v>
      </c>
      <c r="X28" s="1186"/>
      <c r="Y28" s="1186"/>
    </row>
    <row r="29" spans="1:25" x14ac:dyDescent="0.2">
      <c r="A29" s="1186" t="s">
        <v>125</v>
      </c>
      <c r="B29" s="1186" t="s">
        <v>12</v>
      </c>
      <c r="C29" s="1186">
        <v>24</v>
      </c>
      <c r="D29" s="1186">
        <v>8.08</v>
      </c>
      <c r="E29" s="1186">
        <v>759</v>
      </c>
      <c r="F29" s="1186">
        <v>255.62</v>
      </c>
      <c r="G29" s="1186">
        <v>24370</v>
      </c>
      <c r="H29" s="1186">
        <v>8207.32</v>
      </c>
      <c r="I29" s="1186">
        <v>9017</v>
      </c>
      <c r="J29" s="1186">
        <v>3036.74</v>
      </c>
      <c r="K29" s="1186">
        <v>2969300</v>
      </c>
      <c r="L29" s="1186">
        <v>14684</v>
      </c>
      <c r="M29" s="1186">
        <v>4945.2700000000004</v>
      </c>
      <c r="N29" s="1186">
        <v>669</v>
      </c>
      <c r="O29" s="1186">
        <v>225.31</v>
      </c>
      <c r="P29" s="1186">
        <v>2548</v>
      </c>
      <c r="Q29" s="1186">
        <v>858.11</v>
      </c>
      <c r="R29" s="1186">
        <v>18901</v>
      </c>
      <c r="S29" s="1186">
        <v>6365.47</v>
      </c>
      <c r="T29" s="1186">
        <v>9214</v>
      </c>
      <c r="U29" s="1186">
        <v>3103.09</v>
      </c>
      <c r="V29" s="1186">
        <v>52485</v>
      </c>
      <c r="W29" s="1186">
        <v>17675.88</v>
      </c>
      <c r="X29" s="1186"/>
      <c r="Y29" s="1186"/>
    </row>
    <row r="30" spans="1:25" x14ac:dyDescent="0.2">
      <c r="A30" s="1186" t="s">
        <v>125</v>
      </c>
      <c r="B30" s="1186" t="s">
        <v>14</v>
      </c>
      <c r="C30" s="1186">
        <v>20</v>
      </c>
      <c r="D30" s="1186">
        <v>6.7</v>
      </c>
      <c r="E30" s="1186">
        <v>632</v>
      </c>
      <c r="F30" s="1186">
        <v>211.68</v>
      </c>
      <c r="G30" s="1186">
        <v>26497</v>
      </c>
      <c r="H30" s="1186">
        <v>8874.64</v>
      </c>
      <c r="I30" s="1186">
        <v>8587</v>
      </c>
      <c r="J30" s="1186">
        <v>2876.04</v>
      </c>
      <c r="K30" s="1186">
        <v>2985700</v>
      </c>
      <c r="L30" s="1186">
        <v>17315</v>
      </c>
      <c r="M30" s="1186">
        <v>5799.31</v>
      </c>
      <c r="N30" s="1186">
        <v>595</v>
      </c>
      <c r="O30" s="1186">
        <v>199.28</v>
      </c>
      <c r="P30" s="1186">
        <v>2400</v>
      </c>
      <c r="Q30" s="1186">
        <v>803.83</v>
      </c>
      <c r="R30" s="1186">
        <v>19993</v>
      </c>
      <c r="S30" s="1186">
        <v>6696.25</v>
      </c>
      <c r="T30" s="1186">
        <v>10185</v>
      </c>
      <c r="U30" s="1186">
        <v>3411.26</v>
      </c>
      <c r="V30" s="1186">
        <v>56675</v>
      </c>
      <c r="W30" s="1186">
        <v>18982.150000000001</v>
      </c>
      <c r="X30" s="1186"/>
      <c r="Y30" s="1186"/>
    </row>
    <row r="31" spans="1:25" x14ac:dyDescent="0.2">
      <c r="A31" s="1186" t="s">
        <v>125</v>
      </c>
      <c r="B31" s="1186" t="s">
        <v>16</v>
      </c>
      <c r="C31" s="1186">
        <v>28</v>
      </c>
      <c r="D31" s="1186">
        <v>9.31</v>
      </c>
      <c r="E31" s="1186">
        <v>632</v>
      </c>
      <c r="F31" s="1186">
        <v>210.23</v>
      </c>
      <c r="G31" s="1186">
        <v>24661</v>
      </c>
      <c r="H31" s="1186">
        <v>8203.11</v>
      </c>
      <c r="I31" s="1186">
        <v>7689</v>
      </c>
      <c r="J31" s="1186">
        <v>2557.63</v>
      </c>
      <c r="K31" s="1186">
        <v>3006300</v>
      </c>
      <c r="L31" s="1186">
        <v>16352</v>
      </c>
      <c r="M31" s="1186">
        <v>5439.24</v>
      </c>
      <c r="N31" s="1186">
        <v>620</v>
      </c>
      <c r="O31" s="1186">
        <v>206.23</v>
      </c>
      <c r="P31" s="1186">
        <v>2380</v>
      </c>
      <c r="Q31" s="1186">
        <v>791.67</v>
      </c>
      <c r="R31" s="1186">
        <v>19598</v>
      </c>
      <c r="S31" s="1186">
        <v>6518.98</v>
      </c>
      <c r="T31" s="1186">
        <v>10827</v>
      </c>
      <c r="U31" s="1186">
        <v>3601.44</v>
      </c>
      <c r="V31" s="1186">
        <v>55086</v>
      </c>
      <c r="W31" s="1186">
        <v>18323.52</v>
      </c>
      <c r="X31" s="1186"/>
      <c r="Y31" s="1186"/>
    </row>
    <row r="32" spans="1:25" x14ac:dyDescent="0.2">
      <c r="A32" s="1186" t="s">
        <v>125</v>
      </c>
      <c r="B32" s="1186" t="s">
        <v>18</v>
      </c>
      <c r="C32" s="1186">
        <v>17</v>
      </c>
      <c r="D32" s="1186">
        <v>5.62</v>
      </c>
      <c r="E32" s="1186">
        <v>657</v>
      </c>
      <c r="F32" s="1186">
        <v>217.13</v>
      </c>
      <c r="G32" s="1186">
        <v>19521</v>
      </c>
      <c r="H32" s="1186">
        <v>6451.3</v>
      </c>
      <c r="I32" s="1186">
        <v>6985</v>
      </c>
      <c r="J32" s="1186">
        <v>2308.4</v>
      </c>
      <c r="K32" s="1186">
        <v>3025900</v>
      </c>
      <c r="L32" s="1186">
        <v>11724</v>
      </c>
      <c r="M32" s="1186">
        <v>3874.55</v>
      </c>
      <c r="N32" s="1186">
        <v>812</v>
      </c>
      <c r="O32" s="1186">
        <v>268.35000000000002</v>
      </c>
      <c r="P32" s="1186">
        <v>2257</v>
      </c>
      <c r="Q32" s="1186">
        <v>745.89</v>
      </c>
      <c r="R32" s="1186">
        <v>18855</v>
      </c>
      <c r="S32" s="1186">
        <v>6231.2</v>
      </c>
      <c r="T32" s="1186">
        <v>10917</v>
      </c>
      <c r="U32" s="1186">
        <v>3607.85</v>
      </c>
      <c r="V32" s="1186">
        <v>49293</v>
      </c>
      <c r="W32" s="1186">
        <v>16290.36</v>
      </c>
      <c r="X32" s="1186"/>
      <c r="Y32" s="1186"/>
    </row>
    <row r="33" spans="1:25" x14ac:dyDescent="0.2">
      <c r="A33" s="1186" t="s">
        <v>125</v>
      </c>
      <c r="B33" s="1186" t="s">
        <v>19</v>
      </c>
      <c r="C33" s="1186">
        <v>23</v>
      </c>
      <c r="D33" s="1186">
        <v>7.57</v>
      </c>
      <c r="E33" s="1186">
        <v>575</v>
      </c>
      <c r="F33" s="1186">
        <v>189.21</v>
      </c>
      <c r="G33" s="1186">
        <v>19152</v>
      </c>
      <c r="H33" s="1186">
        <v>6302.28</v>
      </c>
      <c r="I33" s="1186">
        <v>6800</v>
      </c>
      <c r="J33" s="1186">
        <v>2237.65</v>
      </c>
      <c r="K33" s="1186">
        <v>3038900</v>
      </c>
      <c r="L33" s="1186">
        <v>11562</v>
      </c>
      <c r="M33" s="1186">
        <v>3804.67</v>
      </c>
      <c r="N33" s="1186">
        <v>790</v>
      </c>
      <c r="O33" s="1186">
        <v>259.95999999999998</v>
      </c>
      <c r="P33" s="1186">
        <v>2202</v>
      </c>
      <c r="Q33" s="1186">
        <v>724.6</v>
      </c>
      <c r="R33" s="1186">
        <v>16901</v>
      </c>
      <c r="S33" s="1186">
        <v>5561.55</v>
      </c>
      <c r="T33" s="1186">
        <v>10288</v>
      </c>
      <c r="U33" s="1186">
        <v>3385.44</v>
      </c>
      <c r="V33" s="1186">
        <v>46341</v>
      </c>
      <c r="W33" s="1186">
        <v>15249.27</v>
      </c>
      <c r="X33" s="1186">
        <v>250</v>
      </c>
      <c r="Y33" s="1186">
        <v>82.27</v>
      </c>
    </row>
    <row r="34" spans="1:25" x14ac:dyDescent="0.2">
      <c r="A34" s="1186" t="s">
        <v>125</v>
      </c>
      <c r="B34" s="1186" t="s">
        <v>20</v>
      </c>
      <c r="C34" s="1186">
        <v>21</v>
      </c>
      <c r="D34" s="1186">
        <v>6.89</v>
      </c>
      <c r="E34" s="1186">
        <v>607</v>
      </c>
      <c r="F34" s="1186">
        <v>199.02</v>
      </c>
      <c r="G34" s="1186">
        <v>20688</v>
      </c>
      <c r="H34" s="1186">
        <v>6782.95</v>
      </c>
      <c r="I34" s="1186">
        <v>6414</v>
      </c>
      <c r="J34" s="1186">
        <v>2102.9499999999998</v>
      </c>
      <c r="K34" s="1186">
        <v>3050000</v>
      </c>
      <c r="L34" s="1186">
        <v>13503</v>
      </c>
      <c r="M34" s="1186">
        <v>4427.21</v>
      </c>
      <c r="N34" s="1186">
        <v>771</v>
      </c>
      <c r="O34" s="1186">
        <v>252.79</v>
      </c>
      <c r="P34" s="1186">
        <v>2108</v>
      </c>
      <c r="Q34" s="1186">
        <v>691.15</v>
      </c>
      <c r="R34" s="1186">
        <v>17006</v>
      </c>
      <c r="S34" s="1186">
        <v>5575.74</v>
      </c>
      <c r="T34" s="1186">
        <v>9187</v>
      </c>
      <c r="U34" s="1186">
        <v>3012.13</v>
      </c>
      <c r="V34" s="1186">
        <v>46881</v>
      </c>
      <c r="W34" s="1186">
        <v>15370.82</v>
      </c>
      <c r="X34" s="1186">
        <v>278</v>
      </c>
      <c r="Y34" s="1186">
        <v>91.15</v>
      </c>
    </row>
    <row r="35" spans="1:25" x14ac:dyDescent="0.2">
      <c r="A35" s="1186" t="s">
        <v>125</v>
      </c>
      <c r="B35" s="1186" t="s">
        <v>13</v>
      </c>
      <c r="C35" s="1186">
        <v>23</v>
      </c>
      <c r="D35" s="1186">
        <v>7.51</v>
      </c>
      <c r="E35" s="1186">
        <v>592</v>
      </c>
      <c r="F35" s="1186">
        <v>193.22</v>
      </c>
      <c r="G35" s="1186">
        <v>16464</v>
      </c>
      <c r="H35" s="1186">
        <v>5373.72</v>
      </c>
      <c r="I35" s="1186">
        <v>5687</v>
      </c>
      <c r="J35" s="1186">
        <v>1856.19</v>
      </c>
      <c r="K35" s="1186">
        <v>3063800</v>
      </c>
      <c r="L35" s="1186">
        <v>10162</v>
      </c>
      <c r="M35" s="1186">
        <v>3316.8</v>
      </c>
      <c r="N35" s="1186">
        <v>615</v>
      </c>
      <c r="O35" s="1186">
        <v>200.73</v>
      </c>
      <c r="P35" s="1186">
        <v>2022</v>
      </c>
      <c r="Q35" s="1186">
        <v>659.96</v>
      </c>
      <c r="R35" s="1186">
        <v>15874</v>
      </c>
      <c r="S35" s="1186">
        <v>5181.1499999999996</v>
      </c>
      <c r="T35" s="1186">
        <v>7658</v>
      </c>
      <c r="U35" s="1186">
        <v>2499.5100000000002</v>
      </c>
      <c r="V35" s="1186">
        <v>39996</v>
      </c>
      <c r="W35" s="1186">
        <v>13054.38</v>
      </c>
      <c r="X35" s="1186">
        <v>240</v>
      </c>
      <c r="Y35" s="1186">
        <v>78.33</v>
      </c>
    </row>
    <row r="36" spans="1:25" x14ac:dyDescent="0.2">
      <c r="A36" s="1186" t="s">
        <v>125</v>
      </c>
      <c r="B36" s="1186" t="s">
        <v>15</v>
      </c>
      <c r="C36" s="1186">
        <v>17</v>
      </c>
      <c r="D36" s="1186">
        <v>5.53</v>
      </c>
      <c r="E36" s="1186">
        <v>541</v>
      </c>
      <c r="F36" s="1186">
        <v>175.99</v>
      </c>
      <c r="G36" s="1186">
        <v>11438</v>
      </c>
      <c r="H36" s="1186">
        <v>3720.76</v>
      </c>
      <c r="I36" s="1186">
        <v>4745</v>
      </c>
      <c r="J36" s="1186">
        <v>1543.54</v>
      </c>
      <c r="K36" s="1186">
        <v>3074100</v>
      </c>
      <c r="L36" s="1186">
        <v>5922</v>
      </c>
      <c r="M36" s="1186">
        <v>1926.42</v>
      </c>
      <c r="N36" s="1186">
        <v>771</v>
      </c>
      <c r="O36" s="1186">
        <v>250.81</v>
      </c>
      <c r="P36" s="1186">
        <v>1911</v>
      </c>
      <c r="Q36" s="1186">
        <v>621.65</v>
      </c>
      <c r="R36" s="1186">
        <v>15088</v>
      </c>
      <c r="S36" s="1186">
        <v>4908.1000000000004</v>
      </c>
      <c r="T36" s="1186">
        <v>9725</v>
      </c>
      <c r="U36" s="1186">
        <v>3163.53</v>
      </c>
      <c r="V36" s="1186">
        <v>36251</v>
      </c>
      <c r="W36" s="1186">
        <v>11792.39</v>
      </c>
      <c r="X36" s="1186">
        <v>225</v>
      </c>
      <c r="Y36" s="1186">
        <v>73.19</v>
      </c>
    </row>
    <row r="37" spans="1:25" x14ac:dyDescent="0.2">
      <c r="A37" s="1186" t="s">
        <v>125</v>
      </c>
      <c r="B37" s="1186" t="s">
        <v>17</v>
      </c>
      <c r="C37" s="1186">
        <v>17</v>
      </c>
      <c r="D37" s="1186">
        <v>5.52</v>
      </c>
      <c r="E37" s="1186">
        <v>626</v>
      </c>
      <c r="F37" s="1186">
        <v>203.09</v>
      </c>
      <c r="G37" s="1186">
        <v>13169</v>
      </c>
      <c r="H37" s="1186">
        <v>4272.32</v>
      </c>
      <c r="I37" s="1186">
        <v>4790</v>
      </c>
      <c r="J37" s="1186">
        <v>1553.98</v>
      </c>
      <c r="K37" s="1186">
        <v>3082400</v>
      </c>
      <c r="L37" s="1186">
        <v>7801</v>
      </c>
      <c r="M37" s="1186">
        <v>2530.8200000000002</v>
      </c>
      <c r="N37" s="1186">
        <v>578</v>
      </c>
      <c r="O37" s="1186">
        <v>187.52</v>
      </c>
      <c r="P37" s="1186">
        <v>1910</v>
      </c>
      <c r="Q37" s="1186">
        <v>619.65</v>
      </c>
      <c r="R37" s="1186">
        <v>15312</v>
      </c>
      <c r="S37" s="1186">
        <v>4967.5600000000004</v>
      </c>
      <c r="T37" s="1186">
        <v>10118</v>
      </c>
      <c r="U37" s="1186">
        <v>3282.51</v>
      </c>
      <c r="V37" s="1186">
        <v>38599</v>
      </c>
      <c r="W37" s="1186">
        <v>12522.39</v>
      </c>
      <c r="X37" s="1186">
        <v>242</v>
      </c>
      <c r="Y37" s="1186">
        <v>78.510000000000005</v>
      </c>
    </row>
    <row r="38" spans="1:25" x14ac:dyDescent="0.2">
      <c r="A38" s="1186" t="s">
        <v>125</v>
      </c>
      <c r="B38" s="1186" t="s">
        <v>133</v>
      </c>
      <c r="C38" s="1186">
        <v>20</v>
      </c>
      <c r="D38" s="1186">
        <v>6.47</v>
      </c>
      <c r="E38" s="1186">
        <v>543</v>
      </c>
      <c r="F38" s="1186">
        <v>175.61</v>
      </c>
      <c r="G38" s="1186">
        <v>11651</v>
      </c>
      <c r="H38" s="1186">
        <v>3768.11</v>
      </c>
      <c r="I38" s="1186">
        <v>4561</v>
      </c>
      <c r="J38" s="1186">
        <v>1475.1</v>
      </c>
      <c r="K38" s="1186">
        <v>3092000</v>
      </c>
      <c r="L38" s="1186">
        <v>6541</v>
      </c>
      <c r="M38" s="1186">
        <v>2115.46</v>
      </c>
      <c r="N38" s="1186">
        <v>549</v>
      </c>
      <c r="O38" s="1186">
        <v>177.55</v>
      </c>
      <c r="P38" s="1186">
        <v>1808</v>
      </c>
      <c r="Q38" s="1186">
        <v>584.73</v>
      </c>
      <c r="R38" s="1186">
        <v>15485</v>
      </c>
      <c r="S38" s="1186">
        <v>5008.09</v>
      </c>
      <c r="T38" s="1186">
        <v>9289</v>
      </c>
      <c r="U38" s="1186">
        <v>3004.2</v>
      </c>
      <c r="V38" s="1186">
        <v>36425</v>
      </c>
      <c r="W38" s="1186">
        <v>11780.4</v>
      </c>
      <c r="X38" s="1186">
        <v>209</v>
      </c>
      <c r="Y38" s="1186">
        <v>67.59</v>
      </c>
    </row>
    <row r="39" spans="1:25" x14ac:dyDescent="0.2">
      <c r="A39" s="1186" t="s">
        <v>125</v>
      </c>
      <c r="B39" s="1186" t="s">
        <v>144</v>
      </c>
      <c r="C39" s="1186">
        <v>19</v>
      </c>
      <c r="D39" s="1186">
        <v>6.13</v>
      </c>
      <c r="E39" s="1186">
        <v>592</v>
      </c>
      <c r="F39" s="1186">
        <v>191.02</v>
      </c>
      <c r="G39" s="1186">
        <v>12108</v>
      </c>
      <c r="H39" s="1186">
        <v>3906.94</v>
      </c>
      <c r="I39" s="1186">
        <v>4678</v>
      </c>
      <c r="J39" s="1186">
        <v>1509.47</v>
      </c>
      <c r="K39" s="1186">
        <v>3099100</v>
      </c>
      <c r="L39" s="1186">
        <v>6998</v>
      </c>
      <c r="M39" s="1186">
        <v>2258.0700000000002</v>
      </c>
      <c r="N39" s="1186">
        <v>432</v>
      </c>
      <c r="O39" s="1186">
        <v>139.4</v>
      </c>
      <c r="P39" s="1186">
        <v>1775</v>
      </c>
      <c r="Q39" s="1186">
        <v>572.75</v>
      </c>
      <c r="R39" s="1186">
        <v>14491</v>
      </c>
      <c r="S39" s="1186">
        <v>4675.87</v>
      </c>
      <c r="T39" s="1186">
        <v>10151</v>
      </c>
      <c r="U39" s="1186">
        <v>3275.47</v>
      </c>
      <c r="V39" s="1186">
        <v>36750</v>
      </c>
      <c r="W39" s="1186">
        <v>11858.28</v>
      </c>
      <c r="X39" s="1186">
        <v>269</v>
      </c>
      <c r="Y39" s="1186">
        <v>86.8</v>
      </c>
    </row>
    <row r="40" spans="1:25" x14ac:dyDescent="0.2">
      <c r="A40" s="1186" t="s">
        <v>125</v>
      </c>
      <c r="B40" s="1186" t="s">
        <v>282</v>
      </c>
      <c r="C40" s="1186">
        <v>19</v>
      </c>
      <c r="D40" s="1186">
        <v>6.1</v>
      </c>
      <c r="E40" s="1186">
        <v>621</v>
      </c>
      <c r="F40" s="1186">
        <v>199.47</v>
      </c>
      <c r="G40" s="1186">
        <v>10750</v>
      </c>
      <c r="H40" s="1186">
        <v>3453.04</v>
      </c>
      <c r="I40" s="1186">
        <v>4757</v>
      </c>
      <c r="J40" s="1186">
        <v>1528.01</v>
      </c>
      <c r="K40" s="1186">
        <v>3113200</v>
      </c>
      <c r="L40" s="1186">
        <v>5576</v>
      </c>
      <c r="M40" s="1186">
        <v>1791.08</v>
      </c>
      <c r="N40" s="1186">
        <v>417</v>
      </c>
      <c r="O40" s="1186">
        <v>133.94999999999999</v>
      </c>
      <c r="P40" s="1186">
        <v>1858</v>
      </c>
      <c r="Q40" s="1186">
        <v>596.80999999999995</v>
      </c>
      <c r="R40" s="1186">
        <v>14790</v>
      </c>
      <c r="S40" s="1186">
        <v>4750.74</v>
      </c>
      <c r="T40" s="1186">
        <v>11676</v>
      </c>
      <c r="U40" s="1186">
        <v>3750.48</v>
      </c>
      <c r="V40" s="1186">
        <v>37216</v>
      </c>
      <c r="W40" s="1186">
        <v>11954.26</v>
      </c>
      <c r="X40" s="1186">
        <v>203</v>
      </c>
      <c r="Y40" s="1186">
        <v>65.209999999999994</v>
      </c>
    </row>
    <row r="41" spans="1:25" x14ac:dyDescent="0.2">
      <c r="A41" s="1186" t="s">
        <v>125</v>
      </c>
      <c r="B41" s="1186" t="s">
        <v>311</v>
      </c>
      <c r="C41" s="1186">
        <v>15</v>
      </c>
      <c r="D41" s="1186">
        <v>4.8</v>
      </c>
      <c r="E41" s="1186">
        <v>526</v>
      </c>
      <c r="F41" s="1186">
        <v>168.31</v>
      </c>
      <c r="G41" s="1186">
        <v>11023</v>
      </c>
      <c r="H41" s="1186">
        <v>3527.13</v>
      </c>
      <c r="I41" s="1186">
        <v>4316</v>
      </c>
      <c r="J41" s="1186">
        <v>1381.03</v>
      </c>
      <c r="K41" s="1186">
        <v>3125200</v>
      </c>
      <c r="L41" s="1186">
        <v>6301</v>
      </c>
      <c r="M41" s="1186">
        <v>2016.19</v>
      </c>
      <c r="N41" s="1186">
        <v>406</v>
      </c>
      <c r="O41" s="1186">
        <v>129.91</v>
      </c>
      <c r="P41" s="1186">
        <v>1617</v>
      </c>
      <c r="Q41" s="1186">
        <v>517.41</v>
      </c>
      <c r="R41" s="1186">
        <v>14161</v>
      </c>
      <c r="S41" s="1186">
        <v>4531.2299999999996</v>
      </c>
      <c r="T41" s="1186">
        <v>11584</v>
      </c>
      <c r="U41" s="1186">
        <v>3706.64</v>
      </c>
      <c r="V41" s="1186">
        <v>36768</v>
      </c>
      <c r="W41" s="1186">
        <v>11765.01</v>
      </c>
      <c r="X41" s="1186">
        <v>208</v>
      </c>
      <c r="Y41" s="1186">
        <v>66.56</v>
      </c>
    </row>
    <row r="42" spans="1:25" x14ac:dyDescent="0.2">
      <c r="A42" s="1186" t="s">
        <v>125</v>
      </c>
      <c r="B42" s="1186" t="s">
        <v>621</v>
      </c>
      <c r="C42" s="1186">
        <v>20</v>
      </c>
      <c r="D42" s="1186">
        <v>6.37</v>
      </c>
      <c r="E42" s="1186">
        <v>396</v>
      </c>
      <c r="F42" s="1186">
        <v>126.17</v>
      </c>
      <c r="G42" s="1186">
        <v>12911</v>
      </c>
      <c r="H42" s="1186">
        <v>4113.62</v>
      </c>
      <c r="I42" s="1186">
        <v>4392</v>
      </c>
      <c r="J42" s="1186">
        <v>1399.35</v>
      </c>
      <c r="K42" s="1186">
        <v>3138600</v>
      </c>
      <c r="L42" s="1186">
        <v>8184</v>
      </c>
      <c r="M42" s="1186">
        <v>2607.5300000000002</v>
      </c>
      <c r="N42" s="1186">
        <v>335</v>
      </c>
      <c r="O42" s="1186">
        <v>106.74</v>
      </c>
      <c r="P42" s="1186">
        <v>1555</v>
      </c>
      <c r="Q42" s="1186">
        <v>495.44</v>
      </c>
      <c r="R42" s="1186">
        <v>14485</v>
      </c>
      <c r="S42" s="1186">
        <v>4615.12</v>
      </c>
      <c r="T42" s="1186">
        <v>9278</v>
      </c>
      <c r="U42" s="1186">
        <v>2956.1</v>
      </c>
      <c r="V42" s="1186">
        <v>36674</v>
      </c>
      <c r="W42" s="1186">
        <v>11684.83</v>
      </c>
      <c r="X42" s="1186">
        <v>184</v>
      </c>
      <c r="Y42" s="1186">
        <v>58.62</v>
      </c>
    </row>
    <row r="43" spans="1:25" x14ac:dyDescent="0.2">
      <c r="A43" s="1186" t="s">
        <v>125</v>
      </c>
      <c r="B43" s="1186" t="s">
        <v>1419</v>
      </c>
      <c r="C43" s="1186">
        <v>16</v>
      </c>
      <c r="D43" s="1186">
        <v>5.07</v>
      </c>
      <c r="E43" s="1186">
        <v>509</v>
      </c>
      <c r="F43" s="1186">
        <v>161.44</v>
      </c>
      <c r="G43" s="1186">
        <v>10587</v>
      </c>
      <c r="H43" s="1186">
        <v>3357.86</v>
      </c>
      <c r="I43" s="1186">
        <v>4279</v>
      </c>
      <c r="J43" s="1186">
        <v>1357.16</v>
      </c>
      <c r="K43" s="1186">
        <v>3152900</v>
      </c>
      <c r="L43" s="1186">
        <v>5978</v>
      </c>
      <c r="M43" s="1186">
        <v>1896.03</v>
      </c>
      <c r="N43" s="1186">
        <v>330</v>
      </c>
      <c r="O43" s="1186">
        <v>104.67</v>
      </c>
      <c r="P43" s="1186">
        <v>1628</v>
      </c>
      <c r="Q43" s="1186">
        <v>516.35</v>
      </c>
      <c r="R43" s="1186">
        <v>14281</v>
      </c>
      <c r="S43" s="1186">
        <v>4529.4799999999996</v>
      </c>
      <c r="T43" s="1186">
        <v>10125</v>
      </c>
      <c r="U43" s="1186">
        <v>3211.33</v>
      </c>
      <c r="V43" s="1186">
        <v>34993</v>
      </c>
      <c r="W43" s="1186">
        <v>11098.67</v>
      </c>
      <c r="X43" s="1186">
        <v>199</v>
      </c>
      <c r="Y43" s="1186">
        <v>63.12</v>
      </c>
    </row>
    <row r="44" spans="1:25" x14ac:dyDescent="0.2">
      <c r="A44" s="1186" t="s">
        <v>125</v>
      </c>
      <c r="B44" s="1186" t="s">
        <v>1572</v>
      </c>
      <c r="C44" s="1186">
        <v>21</v>
      </c>
      <c r="D44" s="1186">
        <v>6.63</v>
      </c>
      <c r="E44" s="1186">
        <v>408</v>
      </c>
      <c r="F44" s="1186">
        <v>128.72</v>
      </c>
      <c r="G44" s="1186">
        <v>10328</v>
      </c>
      <c r="H44" s="1186">
        <v>3258.46</v>
      </c>
      <c r="I44" s="1186">
        <v>3796</v>
      </c>
      <c r="J44" s="1186">
        <v>1197.6300000000001</v>
      </c>
      <c r="K44" s="1186">
        <v>3169600</v>
      </c>
      <c r="L44" s="1186">
        <v>6199</v>
      </c>
      <c r="M44" s="1186">
        <v>1955.77</v>
      </c>
      <c r="N44" s="1186">
        <v>333</v>
      </c>
      <c r="O44" s="1186">
        <v>105.06</v>
      </c>
      <c r="P44" s="1186">
        <v>1501</v>
      </c>
      <c r="Q44" s="1186">
        <v>473.56</v>
      </c>
      <c r="R44" s="1186">
        <v>14880</v>
      </c>
      <c r="S44" s="1186">
        <v>4694.6000000000004</v>
      </c>
      <c r="T44" s="1186">
        <v>7020</v>
      </c>
      <c r="U44" s="1186">
        <v>2214.79</v>
      </c>
      <c r="V44" s="1186">
        <v>32228</v>
      </c>
      <c r="W44" s="1186">
        <v>10167.84</v>
      </c>
      <c r="X44" s="1186">
        <v>130</v>
      </c>
      <c r="Y44" s="1186">
        <v>41.01</v>
      </c>
    </row>
  </sheetData>
  <pageMargins left="0.7" right="0.7" top="0.75" bottom="0.75" header="0.3" footer="0.3"/>
  <pageSetup paperSize="9" fitToHeight="50" orientation="landscape" r:id="rId1"/>
  <legacyDrawing r:id="rId2"/>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pageSetUpPr fitToPage="1"/>
  </sheetPr>
  <dimension ref="A1:L464"/>
  <sheetViews>
    <sheetView zoomScale="85" zoomScaleNormal="85" workbookViewId="0">
      <pane ySplit="4" topLeftCell="A80"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7.85546875" bestFit="1" customWidth="1"/>
    <col min="3" max="11" width="6.85546875" bestFit="1" customWidth="1"/>
    <col min="12" max="12" width="5.85546875" bestFit="1" customWidth="1"/>
  </cols>
  <sheetData>
    <row r="1" spans="1:6" x14ac:dyDescent="0.2"/>
    <row r="4" spans="1:6" x14ac:dyDescent="0.2">
      <c r="A4" s="1223" t="s">
        <v>4</v>
      </c>
      <c r="B4" s="1223" t="s">
        <v>11</v>
      </c>
      <c r="C4" s="1223" t="s">
        <v>175</v>
      </c>
      <c r="D4" s="1223" t="s">
        <v>176</v>
      </c>
      <c r="E4" s="1223" t="s">
        <v>177</v>
      </c>
      <c r="F4" s="1223" t="s">
        <v>178</v>
      </c>
    </row>
    <row r="5" spans="1:6" x14ac:dyDescent="0.2">
      <c r="A5" s="1186" t="s">
        <v>19</v>
      </c>
      <c r="B5" s="1186">
        <v>5231900</v>
      </c>
      <c r="C5" s="1186">
        <v>984309</v>
      </c>
      <c r="D5" s="1186">
        <v>893916</v>
      </c>
      <c r="E5" s="1186">
        <v>2159788</v>
      </c>
      <c r="F5" s="1186">
        <v>1193887</v>
      </c>
    </row>
    <row r="6" spans="1:6" x14ac:dyDescent="0.2">
      <c r="A6" s="1186" t="s">
        <v>20</v>
      </c>
      <c r="B6" s="1186">
        <v>5262200</v>
      </c>
      <c r="C6" s="1186">
        <v>981096</v>
      </c>
      <c r="D6" s="1186">
        <v>903573</v>
      </c>
      <c r="E6" s="1186">
        <v>2163995</v>
      </c>
      <c r="F6" s="1186">
        <v>1213536</v>
      </c>
    </row>
    <row r="7" spans="1:6" x14ac:dyDescent="0.2">
      <c r="A7" s="1186" t="s">
        <v>13</v>
      </c>
      <c r="B7" s="1186">
        <v>5299900</v>
      </c>
      <c r="C7" s="1186">
        <v>978075</v>
      </c>
      <c r="D7" s="1186">
        <v>915437</v>
      </c>
      <c r="E7" s="1186">
        <v>2173561</v>
      </c>
      <c r="F7" s="1186">
        <v>1232827</v>
      </c>
    </row>
    <row r="8" spans="1:6" x14ac:dyDescent="0.2">
      <c r="A8" s="1186" t="s">
        <v>15</v>
      </c>
      <c r="B8" s="1186">
        <v>5313600</v>
      </c>
      <c r="C8" s="1186">
        <v>976055</v>
      </c>
      <c r="D8" s="1186">
        <v>914515</v>
      </c>
      <c r="E8" s="1186">
        <v>2174666</v>
      </c>
      <c r="F8" s="1186">
        <v>1248364</v>
      </c>
    </row>
    <row r="9" spans="1:6" x14ac:dyDescent="0.2">
      <c r="A9" s="1186" t="s">
        <v>17</v>
      </c>
      <c r="B9" s="1186">
        <v>5327700</v>
      </c>
      <c r="C9" s="1186">
        <v>973340</v>
      </c>
      <c r="D9" s="1186">
        <v>914383</v>
      </c>
      <c r="E9" s="1186">
        <v>2175770</v>
      </c>
      <c r="F9" s="1186">
        <v>1264207</v>
      </c>
    </row>
    <row r="10" spans="1:6" x14ac:dyDescent="0.2">
      <c r="A10" s="1186" t="s">
        <v>133</v>
      </c>
      <c r="B10" s="1186">
        <v>5347600</v>
      </c>
      <c r="C10" s="1186">
        <v>970875</v>
      </c>
      <c r="D10" s="1186">
        <v>915972</v>
      </c>
      <c r="E10" s="1186">
        <v>2176493</v>
      </c>
      <c r="F10" s="1186">
        <v>1284260</v>
      </c>
    </row>
    <row r="11" spans="1:6" x14ac:dyDescent="0.2">
      <c r="A11" s="1186" t="s">
        <v>144</v>
      </c>
      <c r="B11" s="1186">
        <v>5373000</v>
      </c>
      <c r="C11" s="1186">
        <v>971022</v>
      </c>
      <c r="D11" s="1186">
        <v>920189</v>
      </c>
      <c r="E11" s="1186">
        <v>2181793</v>
      </c>
      <c r="F11" s="1186">
        <v>1299996</v>
      </c>
    </row>
    <row r="12" spans="1:6" x14ac:dyDescent="0.2">
      <c r="A12" s="1186" t="s">
        <v>282</v>
      </c>
      <c r="B12" s="1186">
        <v>5404700</v>
      </c>
      <c r="C12" s="1186">
        <v>972780</v>
      </c>
      <c r="D12" s="1186">
        <v>924449</v>
      </c>
      <c r="E12" s="1186">
        <v>2187067</v>
      </c>
      <c r="F12" s="1186">
        <v>1320404</v>
      </c>
    </row>
    <row r="13" spans="1:6" x14ac:dyDescent="0.2">
      <c r="A13" s="1186" t="s">
        <v>311</v>
      </c>
      <c r="B13" s="1186">
        <v>5424800</v>
      </c>
      <c r="C13" s="1186">
        <v>973036</v>
      </c>
      <c r="D13" s="1186">
        <v>920015</v>
      </c>
      <c r="E13" s="1186">
        <v>2190171</v>
      </c>
      <c r="F13" s="1186">
        <v>1341578</v>
      </c>
    </row>
    <row r="14" spans="1:6" x14ac:dyDescent="0.2">
      <c r="A14" s="1186" t="s">
        <v>621</v>
      </c>
      <c r="B14" s="1186">
        <v>5438100</v>
      </c>
      <c r="C14" s="1186">
        <v>972972</v>
      </c>
      <c r="D14" s="1186">
        <v>910297</v>
      </c>
      <c r="E14" s="1186">
        <v>2192411</v>
      </c>
      <c r="F14" s="1186">
        <v>1362420</v>
      </c>
    </row>
    <row r="15" spans="1:6" x14ac:dyDescent="0.2">
      <c r="A15" s="1186" t="s">
        <v>1419</v>
      </c>
      <c r="B15" s="1186">
        <v>5463300</v>
      </c>
      <c r="C15" s="1186">
        <v>975449</v>
      </c>
      <c r="D15" s="1186">
        <v>901925</v>
      </c>
      <c r="E15" s="1186">
        <v>2197088</v>
      </c>
      <c r="F15" s="1186">
        <v>1388838</v>
      </c>
    </row>
    <row r="16" spans="1:6" x14ac:dyDescent="0.2">
      <c r="A16" s="1186" t="s">
        <v>1572</v>
      </c>
      <c r="B16" s="1186">
        <v>5466000</v>
      </c>
      <c r="C16" s="1186">
        <v>972673</v>
      </c>
      <c r="D16" s="1186">
        <v>888196</v>
      </c>
      <c r="E16" s="1186">
        <v>2196482</v>
      </c>
      <c r="F16" s="1186">
        <v>1408649</v>
      </c>
    </row>
    <row r="25" spans="1:4" x14ac:dyDescent="0.2">
      <c r="A25" s="1224" t="s">
        <v>4</v>
      </c>
      <c r="B25" s="1224" t="s">
        <v>1949</v>
      </c>
      <c r="C25" s="1224" t="s">
        <v>1786</v>
      </c>
      <c r="D25" s="1224" t="s">
        <v>1787</v>
      </c>
    </row>
    <row r="26" spans="1:4" x14ac:dyDescent="0.2">
      <c r="A26" s="1186" t="s">
        <v>1950</v>
      </c>
      <c r="B26" s="1186">
        <v>5064200</v>
      </c>
      <c r="C26" s="1186">
        <v>2630467</v>
      </c>
      <c r="D26" s="1186">
        <v>2433733</v>
      </c>
    </row>
    <row r="27" spans="1:4" x14ac:dyDescent="0.2">
      <c r="A27" s="1186" t="s">
        <v>1951</v>
      </c>
      <c r="B27" s="1186">
        <v>5066000</v>
      </c>
      <c r="C27" s="1186">
        <v>2630365</v>
      </c>
      <c r="D27" s="1186">
        <v>2435635</v>
      </c>
    </row>
    <row r="28" spans="1:4" x14ac:dyDescent="0.2">
      <c r="A28" s="1186" t="s">
        <v>1952</v>
      </c>
      <c r="B28" s="1186">
        <v>5068500</v>
      </c>
      <c r="C28" s="1186">
        <v>2630412</v>
      </c>
      <c r="D28" s="1186">
        <v>2438088</v>
      </c>
    </row>
    <row r="29" spans="1:4" x14ac:dyDescent="0.2">
      <c r="A29" s="1186" t="s">
        <v>1953</v>
      </c>
      <c r="B29" s="1186">
        <v>5084300</v>
      </c>
      <c r="C29" s="1186">
        <v>2637697</v>
      </c>
      <c r="D29" s="1186">
        <v>2446603</v>
      </c>
    </row>
    <row r="30" spans="1:4" x14ac:dyDescent="0.2">
      <c r="A30" s="1186" t="s">
        <v>1954</v>
      </c>
      <c r="B30" s="1186">
        <v>5110200</v>
      </c>
      <c r="C30" s="1186">
        <v>2648926</v>
      </c>
      <c r="D30" s="1186">
        <v>2461274</v>
      </c>
    </row>
    <row r="31" spans="1:4" x14ac:dyDescent="0.2">
      <c r="A31" s="1186" t="s">
        <v>1955</v>
      </c>
      <c r="B31" s="1186">
        <v>5133000</v>
      </c>
      <c r="C31" s="1186">
        <v>2657936</v>
      </c>
      <c r="D31" s="1186">
        <v>2475064</v>
      </c>
    </row>
    <row r="32" spans="1:4" x14ac:dyDescent="0.2">
      <c r="A32" s="1186" t="s">
        <v>1956</v>
      </c>
      <c r="B32" s="1186">
        <v>5170000</v>
      </c>
      <c r="C32" s="1186">
        <v>2673441</v>
      </c>
      <c r="D32" s="1186">
        <v>2496559</v>
      </c>
    </row>
    <row r="33" spans="1:4" x14ac:dyDescent="0.2">
      <c r="A33" s="1186" t="s">
        <v>1957</v>
      </c>
      <c r="B33" s="1186">
        <v>5202900</v>
      </c>
      <c r="C33" s="1186">
        <v>2687602</v>
      </c>
      <c r="D33" s="1186">
        <v>2515298</v>
      </c>
    </row>
    <row r="34" spans="1:4" x14ac:dyDescent="0.2">
      <c r="A34" s="1186" t="s">
        <v>1958</v>
      </c>
      <c r="B34" s="1186">
        <v>5231900</v>
      </c>
      <c r="C34" s="1186">
        <v>2699931</v>
      </c>
      <c r="D34" s="1186">
        <v>2531969</v>
      </c>
    </row>
    <row r="35" spans="1:4" x14ac:dyDescent="0.2">
      <c r="A35" s="1186" t="s">
        <v>1959</v>
      </c>
      <c r="B35" s="1186">
        <v>5262200</v>
      </c>
      <c r="C35" s="1186">
        <v>2713982</v>
      </c>
      <c r="D35" s="1186">
        <v>2548218</v>
      </c>
    </row>
    <row r="36" spans="1:4" x14ac:dyDescent="0.2">
      <c r="A36" s="1186" t="s">
        <v>1960</v>
      </c>
      <c r="B36" s="1186">
        <v>5299900</v>
      </c>
      <c r="C36" s="1186">
        <v>2729600</v>
      </c>
      <c r="D36" s="1186">
        <v>2570300</v>
      </c>
    </row>
    <row r="37" spans="1:4" x14ac:dyDescent="0.2">
      <c r="A37" s="1186" t="s">
        <v>1961</v>
      </c>
      <c r="B37" s="1186">
        <v>5313600</v>
      </c>
      <c r="C37" s="1186">
        <v>2736310</v>
      </c>
      <c r="D37" s="1186">
        <v>2577290</v>
      </c>
    </row>
    <row r="38" spans="1:4" x14ac:dyDescent="0.2">
      <c r="A38" s="1186" t="s">
        <v>1962</v>
      </c>
      <c r="B38" s="1186">
        <v>5327700</v>
      </c>
      <c r="C38" s="1186">
        <v>2741020</v>
      </c>
      <c r="D38" s="1186">
        <v>2586680</v>
      </c>
    </row>
    <row r="39" spans="1:4" x14ac:dyDescent="0.2">
      <c r="A39" s="1186" t="s">
        <v>1963</v>
      </c>
      <c r="B39" s="1186">
        <v>5347600</v>
      </c>
      <c r="C39" s="1186">
        <v>2751070</v>
      </c>
      <c r="D39" s="1186">
        <v>2596530</v>
      </c>
    </row>
    <row r="40" spans="1:4" x14ac:dyDescent="0.2">
      <c r="A40" s="1186" t="s">
        <v>1964</v>
      </c>
      <c r="B40" s="1186">
        <v>5373000</v>
      </c>
      <c r="C40" s="1186">
        <v>2762531</v>
      </c>
      <c r="D40" s="1186">
        <v>2610469</v>
      </c>
    </row>
    <row r="41" spans="1:4" x14ac:dyDescent="0.2">
      <c r="A41" s="1186" t="s">
        <v>1965</v>
      </c>
      <c r="B41" s="1186">
        <v>5404700</v>
      </c>
      <c r="C41" s="1186">
        <v>2777197</v>
      </c>
      <c r="D41" s="1186">
        <v>2627503</v>
      </c>
    </row>
    <row r="42" spans="1:4" x14ac:dyDescent="0.2">
      <c r="A42" s="1186" t="s">
        <v>1966</v>
      </c>
      <c r="B42" s="1186">
        <v>5424800</v>
      </c>
      <c r="C42" s="1186">
        <v>2784500</v>
      </c>
      <c r="D42" s="1186">
        <v>2640300</v>
      </c>
    </row>
    <row r="43" spans="1:4" x14ac:dyDescent="0.2">
      <c r="A43" s="1186" t="s">
        <v>1967</v>
      </c>
      <c r="B43" s="1186">
        <v>5438100</v>
      </c>
      <c r="C43" s="1186">
        <v>2789349</v>
      </c>
      <c r="D43" s="1186">
        <v>2648751</v>
      </c>
    </row>
    <row r="44" spans="1:4" x14ac:dyDescent="0.2">
      <c r="A44" s="1186" t="s">
        <v>1968</v>
      </c>
      <c r="B44" s="1186">
        <v>5463300</v>
      </c>
      <c r="C44" s="1186">
        <v>2800297</v>
      </c>
      <c r="D44" s="1186">
        <v>2663003</v>
      </c>
    </row>
    <row r="45" spans="1:4" x14ac:dyDescent="0.2">
      <c r="A45" s="1186" t="s">
        <v>1969</v>
      </c>
      <c r="B45" s="1186">
        <v>5466000</v>
      </c>
      <c r="C45" s="1186">
        <v>2800788</v>
      </c>
      <c r="D45" s="1186">
        <v>2665212</v>
      </c>
    </row>
    <row r="57" spans="1:12" x14ac:dyDescent="0.2">
      <c r="A57" s="1224" t="s">
        <v>4</v>
      </c>
      <c r="B57" s="1224" t="s">
        <v>11</v>
      </c>
      <c r="C57" s="1224" t="s">
        <v>830</v>
      </c>
      <c r="D57" s="1224" t="s">
        <v>176</v>
      </c>
      <c r="E57" s="1224" t="s">
        <v>832</v>
      </c>
      <c r="F57" s="1224" t="s">
        <v>833</v>
      </c>
      <c r="G57" s="1224" t="s">
        <v>834</v>
      </c>
      <c r="H57" s="1227">
        <v>44332</v>
      </c>
      <c r="I57" s="1224" t="s">
        <v>835</v>
      </c>
      <c r="J57" s="1224" t="s">
        <v>836</v>
      </c>
      <c r="K57" s="1224" t="s">
        <v>837</v>
      </c>
      <c r="L57" s="1224" t="s">
        <v>838</v>
      </c>
    </row>
    <row r="58" spans="1:12" x14ac:dyDescent="0.2">
      <c r="A58" s="1186" t="s">
        <v>19</v>
      </c>
      <c r="B58" s="1186">
        <v>5231900</v>
      </c>
      <c r="C58" s="1186">
        <v>287506</v>
      </c>
      <c r="D58" s="1186">
        <v>893916</v>
      </c>
      <c r="E58" s="1186">
        <v>666974</v>
      </c>
      <c r="F58" s="1186">
        <v>805633</v>
      </c>
      <c r="G58" s="1186">
        <v>687181</v>
      </c>
      <c r="H58" s="1186">
        <v>696803</v>
      </c>
      <c r="I58" s="1186">
        <v>577319</v>
      </c>
      <c r="J58" s="1186">
        <v>394438</v>
      </c>
      <c r="K58" s="1186">
        <v>193058</v>
      </c>
      <c r="L58" s="1186">
        <v>29072</v>
      </c>
    </row>
    <row r="59" spans="1:12" x14ac:dyDescent="0.2">
      <c r="A59" s="1186" t="s">
        <v>20</v>
      </c>
      <c r="B59" s="1186">
        <v>5262200</v>
      </c>
      <c r="C59" s="1186">
        <v>290920</v>
      </c>
      <c r="D59" s="1186">
        <v>903573</v>
      </c>
      <c r="E59" s="1186">
        <v>662431</v>
      </c>
      <c r="F59" s="1186">
        <v>805190</v>
      </c>
      <c r="G59" s="1186">
        <v>696374</v>
      </c>
      <c r="H59" s="1186">
        <v>690176</v>
      </c>
      <c r="I59" s="1186">
        <v>588297</v>
      </c>
      <c r="J59" s="1186">
        <v>398192</v>
      </c>
      <c r="K59" s="1186">
        <v>194617</v>
      </c>
      <c r="L59" s="1186">
        <v>32430</v>
      </c>
    </row>
    <row r="60" spans="1:12" x14ac:dyDescent="0.2">
      <c r="A60" s="1186" t="s">
        <v>13</v>
      </c>
      <c r="B60" s="1186">
        <v>5299900</v>
      </c>
      <c r="C60" s="1186">
        <v>293586</v>
      </c>
      <c r="D60" s="1186">
        <v>915437</v>
      </c>
      <c r="E60" s="1186">
        <v>659887</v>
      </c>
      <c r="F60" s="1186">
        <v>804433</v>
      </c>
      <c r="G60" s="1186">
        <v>709241</v>
      </c>
      <c r="H60" s="1186">
        <v>684489</v>
      </c>
      <c r="I60" s="1186">
        <v>600876</v>
      </c>
      <c r="J60" s="1186">
        <v>399511</v>
      </c>
      <c r="K60" s="1186">
        <v>197271</v>
      </c>
      <c r="L60" s="1186">
        <v>35169</v>
      </c>
    </row>
    <row r="61" spans="1:12" x14ac:dyDescent="0.2">
      <c r="A61" s="1186" t="s">
        <v>15</v>
      </c>
      <c r="B61" s="1186">
        <v>5313600</v>
      </c>
      <c r="C61" s="1186">
        <v>295790</v>
      </c>
      <c r="D61" s="1186">
        <v>914515</v>
      </c>
      <c r="E61" s="1186">
        <v>654926</v>
      </c>
      <c r="F61" s="1186">
        <v>795737</v>
      </c>
      <c r="G61" s="1186">
        <v>724003</v>
      </c>
      <c r="H61" s="1186">
        <v>680265</v>
      </c>
      <c r="I61" s="1186">
        <v>608368</v>
      </c>
      <c r="J61" s="1186">
        <v>402142</v>
      </c>
      <c r="K61" s="1186">
        <v>200949</v>
      </c>
      <c r="L61" s="1186">
        <v>36905</v>
      </c>
    </row>
    <row r="62" spans="1:12" x14ac:dyDescent="0.2">
      <c r="A62" s="1186" t="s">
        <v>17</v>
      </c>
      <c r="B62" s="1186">
        <v>5327700</v>
      </c>
      <c r="C62" s="1186">
        <v>294043</v>
      </c>
      <c r="D62" s="1186">
        <v>914383</v>
      </c>
      <c r="E62" s="1186">
        <v>654819</v>
      </c>
      <c r="F62" s="1186">
        <v>782093</v>
      </c>
      <c r="G62" s="1186">
        <v>738858</v>
      </c>
      <c r="H62" s="1186">
        <v>679297</v>
      </c>
      <c r="I62" s="1186">
        <v>614691</v>
      </c>
      <c r="J62" s="1186">
        <v>408463</v>
      </c>
      <c r="K62" s="1186">
        <v>203363</v>
      </c>
      <c r="L62" s="1186">
        <v>37690</v>
      </c>
    </row>
    <row r="63" spans="1:12" x14ac:dyDescent="0.2">
      <c r="A63" s="1186" t="s">
        <v>133</v>
      </c>
      <c r="B63" s="1186">
        <v>5347600</v>
      </c>
      <c r="C63" s="1186">
        <v>291857</v>
      </c>
      <c r="D63" s="1186">
        <v>915972</v>
      </c>
      <c r="E63" s="1186">
        <v>658639</v>
      </c>
      <c r="F63" s="1186">
        <v>764566</v>
      </c>
      <c r="G63" s="1186">
        <v>753288</v>
      </c>
      <c r="H63" s="1186">
        <v>679018</v>
      </c>
      <c r="I63" s="1186">
        <v>621387</v>
      </c>
      <c r="J63" s="1186">
        <v>416049</v>
      </c>
      <c r="K63" s="1186">
        <v>207272</v>
      </c>
      <c r="L63" s="1186">
        <v>39552</v>
      </c>
    </row>
    <row r="64" spans="1:12" x14ac:dyDescent="0.2">
      <c r="A64" s="1186" t="s">
        <v>144</v>
      </c>
      <c r="B64" s="1186">
        <v>5373000</v>
      </c>
      <c r="C64" s="1186">
        <v>291174</v>
      </c>
      <c r="D64" s="1186">
        <v>920189</v>
      </c>
      <c r="E64" s="1186">
        <v>668037</v>
      </c>
      <c r="F64" s="1186">
        <v>745643</v>
      </c>
      <c r="G64" s="1186">
        <v>768113</v>
      </c>
      <c r="H64" s="1186">
        <v>679848</v>
      </c>
      <c r="I64" s="1186">
        <v>629953</v>
      </c>
      <c r="J64" s="1186">
        <v>419895</v>
      </c>
      <c r="K64" s="1186">
        <v>210353</v>
      </c>
      <c r="L64" s="1186">
        <v>39795</v>
      </c>
    </row>
    <row r="65" spans="1:12" x14ac:dyDescent="0.2">
      <c r="A65" s="1186" t="s">
        <v>282</v>
      </c>
      <c r="B65" s="1186">
        <v>5404700</v>
      </c>
      <c r="C65" s="1186">
        <v>287238</v>
      </c>
      <c r="D65" s="1186">
        <v>924449</v>
      </c>
      <c r="E65" s="1186">
        <v>679666</v>
      </c>
      <c r="F65" s="1186">
        <v>729889</v>
      </c>
      <c r="G65" s="1186">
        <v>777512</v>
      </c>
      <c r="H65" s="1186">
        <v>685542</v>
      </c>
      <c r="I65" s="1186">
        <v>639076</v>
      </c>
      <c r="J65" s="1186">
        <v>425865</v>
      </c>
      <c r="K65" s="1186">
        <v>214396</v>
      </c>
      <c r="L65" s="1186">
        <v>41067</v>
      </c>
    </row>
    <row r="66" spans="1:12" x14ac:dyDescent="0.2">
      <c r="A66" s="1186" t="s">
        <v>311</v>
      </c>
      <c r="B66" s="1186">
        <v>5424800</v>
      </c>
      <c r="C66" s="1186">
        <v>282106</v>
      </c>
      <c r="D66" s="1186">
        <v>920015</v>
      </c>
      <c r="E66" s="1186">
        <v>694133</v>
      </c>
      <c r="F66" s="1186">
        <v>710103</v>
      </c>
      <c r="G66" s="1186">
        <v>785935</v>
      </c>
      <c r="H66" s="1186">
        <v>690930</v>
      </c>
      <c r="I66" s="1186">
        <v>634077</v>
      </c>
      <c r="J66" s="1186">
        <v>447792</v>
      </c>
      <c r="K66" s="1186">
        <v>217984</v>
      </c>
      <c r="L66" s="1186">
        <v>41725</v>
      </c>
    </row>
    <row r="67" spans="1:12" x14ac:dyDescent="0.2">
      <c r="A67" s="1186" t="s">
        <v>621</v>
      </c>
      <c r="B67" s="1186">
        <v>5438100</v>
      </c>
      <c r="C67" s="1186">
        <v>276862</v>
      </c>
      <c r="D67" s="1186">
        <v>910297</v>
      </c>
      <c r="E67" s="1186">
        <v>709255</v>
      </c>
      <c r="F67" s="1186">
        <v>691809</v>
      </c>
      <c r="G67" s="1186">
        <v>791347</v>
      </c>
      <c r="H67" s="1186">
        <v>696110</v>
      </c>
      <c r="I67" s="1186">
        <v>636719</v>
      </c>
      <c r="J67" s="1186">
        <v>462067</v>
      </c>
      <c r="K67" s="1186">
        <v>221707</v>
      </c>
      <c r="L67" s="1186">
        <v>41927</v>
      </c>
    </row>
    <row r="68" spans="1:12" x14ac:dyDescent="0.2">
      <c r="A68" s="1186" t="s">
        <v>1419</v>
      </c>
      <c r="B68" s="1186">
        <v>5463300</v>
      </c>
      <c r="C68" s="1186">
        <v>271715</v>
      </c>
      <c r="D68" s="1186">
        <v>901925</v>
      </c>
      <c r="E68" s="1186">
        <v>721985</v>
      </c>
      <c r="F68" s="1186">
        <v>680890</v>
      </c>
      <c r="G68" s="1186">
        <v>794213</v>
      </c>
      <c r="H68" s="1186">
        <v>703734</v>
      </c>
      <c r="I68" s="1186">
        <v>644137</v>
      </c>
      <c r="J68" s="1186">
        <v>474807</v>
      </c>
      <c r="K68" s="1186">
        <v>226236</v>
      </c>
      <c r="L68" s="1186">
        <v>43658</v>
      </c>
    </row>
    <row r="69" spans="1:12" x14ac:dyDescent="0.2">
      <c r="A69" s="1186" t="s">
        <v>1572</v>
      </c>
      <c r="B69" s="1186">
        <v>5466000</v>
      </c>
      <c r="C69" s="1186">
        <v>263806</v>
      </c>
      <c r="D69" s="1186">
        <v>888196</v>
      </c>
      <c r="E69" s="1186">
        <v>729735</v>
      </c>
      <c r="F69" s="1186">
        <v>674290</v>
      </c>
      <c r="G69" s="1186">
        <v>792457</v>
      </c>
      <c r="H69" s="1186">
        <v>708867</v>
      </c>
      <c r="I69" s="1186">
        <v>653002</v>
      </c>
      <c r="J69" s="1186">
        <v>484040</v>
      </c>
      <c r="K69" s="1186">
        <v>227858</v>
      </c>
      <c r="L69" s="1186">
        <v>43749</v>
      </c>
    </row>
    <row r="80" spans="1:12" x14ac:dyDescent="0.2">
      <c r="A80" s="1224" t="s">
        <v>751</v>
      </c>
      <c r="B80" s="1224" t="s">
        <v>1970</v>
      </c>
      <c r="C80" s="1224" t="s">
        <v>5</v>
      </c>
    </row>
    <row r="81" spans="1:3" x14ac:dyDescent="0.2">
      <c r="A81" s="1186" t="s">
        <v>19</v>
      </c>
      <c r="B81" s="1186" t="s">
        <v>23</v>
      </c>
      <c r="C81" s="1186">
        <v>110565</v>
      </c>
    </row>
    <row r="82" spans="1:3" x14ac:dyDescent="0.2">
      <c r="A82" s="1186" t="s">
        <v>19</v>
      </c>
      <c r="B82" s="1186" t="s">
        <v>24</v>
      </c>
      <c r="C82" s="1186">
        <v>108051</v>
      </c>
    </row>
    <row r="83" spans="1:3" x14ac:dyDescent="0.2">
      <c r="A83" s="1186" t="s">
        <v>19</v>
      </c>
      <c r="B83" s="1186" t="s">
        <v>25</v>
      </c>
      <c r="C83" s="1186">
        <v>53807</v>
      </c>
    </row>
    <row r="84" spans="1:3" x14ac:dyDescent="0.2">
      <c r="A84" s="1186" t="s">
        <v>19</v>
      </c>
      <c r="B84" s="1186" t="s">
        <v>26</v>
      </c>
      <c r="C84" s="1186">
        <v>46446</v>
      </c>
    </row>
    <row r="85" spans="1:3" x14ac:dyDescent="0.2">
      <c r="A85" s="1186" t="s">
        <v>19</v>
      </c>
      <c r="B85" s="1186" t="s">
        <v>619</v>
      </c>
      <c r="C85" s="1186">
        <v>231903</v>
      </c>
    </row>
    <row r="86" spans="1:3" x14ac:dyDescent="0.2">
      <c r="A86" s="1186" t="s">
        <v>19</v>
      </c>
      <c r="B86" s="1186" t="s">
        <v>27</v>
      </c>
      <c r="C86" s="1186">
        <v>23549</v>
      </c>
    </row>
    <row r="87" spans="1:3" x14ac:dyDescent="0.2">
      <c r="A87" s="1186" t="s">
        <v>19</v>
      </c>
      <c r="B87" s="1186" t="s">
        <v>28</v>
      </c>
      <c r="C87" s="1186">
        <v>72106</v>
      </c>
    </row>
    <row r="88" spans="1:3" x14ac:dyDescent="0.2">
      <c r="A88" s="1186" t="s">
        <v>19</v>
      </c>
      <c r="B88" s="1186" t="s">
        <v>29</v>
      </c>
      <c r="C88" s="1186">
        <v>73696</v>
      </c>
    </row>
    <row r="89" spans="1:3" x14ac:dyDescent="0.2">
      <c r="A89" s="1186" t="s">
        <v>19</v>
      </c>
      <c r="B89" s="1186" t="s">
        <v>30</v>
      </c>
      <c r="C89" s="1186">
        <v>56121</v>
      </c>
    </row>
    <row r="90" spans="1:3" x14ac:dyDescent="0.2">
      <c r="A90" s="1186" t="s">
        <v>19</v>
      </c>
      <c r="B90" s="1186" t="s">
        <v>31</v>
      </c>
      <c r="C90" s="1186">
        <v>44154</v>
      </c>
    </row>
    <row r="91" spans="1:3" x14ac:dyDescent="0.2">
      <c r="A91" s="1186" t="s">
        <v>19</v>
      </c>
      <c r="B91" s="1186" t="s">
        <v>32</v>
      </c>
      <c r="C91" s="1186">
        <v>44175</v>
      </c>
    </row>
    <row r="92" spans="1:3" x14ac:dyDescent="0.2">
      <c r="A92" s="1186" t="s">
        <v>19</v>
      </c>
      <c r="B92" s="1186" t="s">
        <v>33</v>
      </c>
      <c r="C92" s="1186">
        <v>36890</v>
      </c>
    </row>
    <row r="93" spans="1:3" x14ac:dyDescent="0.2">
      <c r="A93" s="1186" t="s">
        <v>19</v>
      </c>
      <c r="B93" s="1186" t="s">
        <v>34</v>
      </c>
      <c r="C93" s="1186">
        <v>70533</v>
      </c>
    </row>
    <row r="94" spans="1:3" x14ac:dyDescent="0.2">
      <c r="A94" s="1186" t="s">
        <v>19</v>
      </c>
      <c r="B94" s="1186" t="s">
        <v>35</v>
      </c>
      <c r="C94" s="1186">
        <v>168677</v>
      </c>
    </row>
    <row r="95" spans="1:3" x14ac:dyDescent="0.2">
      <c r="A95" s="1186" t="s">
        <v>19</v>
      </c>
      <c r="B95" s="1186" t="s">
        <v>36</v>
      </c>
      <c r="C95" s="1186">
        <v>299915</v>
      </c>
    </row>
    <row r="96" spans="1:3" x14ac:dyDescent="0.2">
      <c r="A96" s="1186" t="s">
        <v>19</v>
      </c>
      <c r="B96" s="1186" t="s">
        <v>37</v>
      </c>
      <c r="C96" s="1186">
        <v>109617</v>
      </c>
    </row>
    <row r="97" spans="1:3" x14ac:dyDescent="0.2">
      <c r="A97" s="1186" t="s">
        <v>19</v>
      </c>
      <c r="B97" s="1186" t="s">
        <v>38</v>
      </c>
      <c r="C97" s="1186">
        <v>39299</v>
      </c>
    </row>
    <row r="98" spans="1:3" x14ac:dyDescent="0.2">
      <c r="A98" s="1186" t="s">
        <v>19</v>
      </c>
      <c r="B98" s="1186" t="s">
        <v>39</v>
      </c>
      <c r="C98" s="1186">
        <v>35605</v>
      </c>
    </row>
    <row r="99" spans="1:3" x14ac:dyDescent="0.2">
      <c r="A99" s="1186" t="s">
        <v>19</v>
      </c>
      <c r="B99" s="1186" t="s">
        <v>40</v>
      </c>
      <c r="C99" s="1186">
        <v>41981</v>
      </c>
    </row>
    <row r="100" spans="1:3" x14ac:dyDescent="0.2">
      <c r="A100" s="1186" t="s">
        <v>19</v>
      </c>
      <c r="B100" s="1186" t="s">
        <v>295</v>
      </c>
      <c r="C100" s="1186">
        <v>14101</v>
      </c>
    </row>
    <row r="101" spans="1:3" x14ac:dyDescent="0.2">
      <c r="A101" s="1186" t="s">
        <v>19</v>
      </c>
      <c r="B101" s="1186" t="s">
        <v>41</v>
      </c>
      <c r="C101" s="1186">
        <v>66204</v>
      </c>
    </row>
    <row r="102" spans="1:3" x14ac:dyDescent="0.2">
      <c r="A102" s="1186" t="s">
        <v>19</v>
      </c>
      <c r="B102" s="1186" t="s">
        <v>42</v>
      </c>
      <c r="C102" s="1186">
        <v>147604</v>
      </c>
    </row>
    <row r="103" spans="1:3" x14ac:dyDescent="0.2">
      <c r="A103" s="1186" t="s">
        <v>19</v>
      </c>
      <c r="B103" s="1186" t="s">
        <v>43</v>
      </c>
      <c r="C103" s="1186">
        <v>10190</v>
      </c>
    </row>
    <row r="104" spans="1:3" x14ac:dyDescent="0.2">
      <c r="A104" s="1186" t="s">
        <v>19</v>
      </c>
      <c r="B104" s="1186" t="s">
        <v>44</v>
      </c>
      <c r="C104" s="1186">
        <v>68349</v>
      </c>
    </row>
    <row r="105" spans="1:3" x14ac:dyDescent="0.2">
      <c r="A105" s="1186" t="s">
        <v>19</v>
      </c>
      <c r="B105" s="1186" t="s">
        <v>45</v>
      </c>
      <c r="C105" s="1186">
        <v>82663</v>
      </c>
    </row>
    <row r="106" spans="1:3" x14ac:dyDescent="0.2">
      <c r="A106" s="1186" t="s">
        <v>19</v>
      </c>
      <c r="B106" s="1186" t="s">
        <v>46</v>
      </c>
      <c r="C106" s="1186">
        <v>55666</v>
      </c>
    </row>
    <row r="107" spans="1:3" x14ac:dyDescent="0.2">
      <c r="A107" s="1186" t="s">
        <v>19</v>
      </c>
      <c r="B107" s="1186" t="s">
        <v>47</v>
      </c>
      <c r="C107" s="1186">
        <v>10522</v>
      </c>
    </row>
    <row r="108" spans="1:3" x14ac:dyDescent="0.2">
      <c r="A108" s="1186" t="s">
        <v>19</v>
      </c>
      <c r="B108" s="1186" t="s">
        <v>48</v>
      </c>
      <c r="C108" s="1186">
        <v>53424</v>
      </c>
    </row>
    <row r="109" spans="1:3" x14ac:dyDescent="0.2">
      <c r="A109" s="1186" t="s">
        <v>19</v>
      </c>
      <c r="B109" s="1186" t="s">
        <v>49</v>
      </c>
      <c r="C109" s="1186">
        <v>142594</v>
      </c>
    </row>
    <row r="110" spans="1:3" x14ac:dyDescent="0.2">
      <c r="A110" s="1186" t="s">
        <v>19</v>
      </c>
      <c r="B110" s="1186" t="s">
        <v>50</v>
      </c>
      <c r="C110" s="1186">
        <v>39091</v>
      </c>
    </row>
    <row r="111" spans="1:3" x14ac:dyDescent="0.2">
      <c r="A111" s="1186" t="s">
        <v>19</v>
      </c>
      <c r="B111" s="1186" t="s">
        <v>51</v>
      </c>
      <c r="C111" s="1186">
        <v>44262</v>
      </c>
    </row>
    <row r="112" spans="1:3" x14ac:dyDescent="0.2">
      <c r="A112" s="1186" t="s">
        <v>19</v>
      </c>
      <c r="B112" s="1186" t="s">
        <v>52</v>
      </c>
      <c r="C112" s="1186">
        <v>74397</v>
      </c>
    </row>
    <row r="113" spans="1:3" x14ac:dyDescent="0.2">
      <c r="A113" s="1186" t="s">
        <v>20</v>
      </c>
      <c r="B113" s="1186" t="s">
        <v>23</v>
      </c>
      <c r="C113" s="1186">
        <v>110968</v>
      </c>
    </row>
    <row r="114" spans="1:3" x14ac:dyDescent="0.2">
      <c r="A114" s="1186" t="s">
        <v>20</v>
      </c>
      <c r="B114" s="1186" t="s">
        <v>24</v>
      </c>
      <c r="C114" s="1186">
        <v>109552</v>
      </c>
    </row>
    <row r="115" spans="1:3" x14ac:dyDescent="0.2">
      <c r="A115" s="1186" t="s">
        <v>20</v>
      </c>
      <c r="B115" s="1186" t="s">
        <v>25</v>
      </c>
      <c r="C115" s="1186">
        <v>54060</v>
      </c>
    </row>
    <row r="116" spans="1:3" x14ac:dyDescent="0.2">
      <c r="A116" s="1186" t="s">
        <v>20</v>
      </c>
      <c r="B116" s="1186" t="s">
        <v>26</v>
      </c>
      <c r="C116" s="1186">
        <v>46679</v>
      </c>
    </row>
    <row r="117" spans="1:3" x14ac:dyDescent="0.2">
      <c r="A117" s="1186" t="s">
        <v>20</v>
      </c>
      <c r="B117" s="1186" t="s">
        <v>619</v>
      </c>
      <c r="C117" s="1186">
        <v>233068</v>
      </c>
    </row>
    <row r="118" spans="1:3" x14ac:dyDescent="0.2">
      <c r="A118" s="1186" t="s">
        <v>20</v>
      </c>
      <c r="B118" s="1186" t="s">
        <v>27</v>
      </c>
      <c r="C118" s="1186">
        <v>23670</v>
      </c>
    </row>
    <row r="119" spans="1:3" x14ac:dyDescent="0.2">
      <c r="A119" s="1186" t="s">
        <v>20</v>
      </c>
      <c r="B119" s="1186" t="s">
        <v>28</v>
      </c>
      <c r="C119" s="1186">
        <v>72421</v>
      </c>
    </row>
    <row r="120" spans="1:3" x14ac:dyDescent="0.2">
      <c r="A120" s="1186" t="s">
        <v>20</v>
      </c>
      <c r="B120" s="1186" t="s">
        <v>29</v>
      </c>
      <c r="C120" s="1186">
        <v>74015</v>
      </c>
    </row>
    <row r="121" spans="1:3" x14ac:dyDescent="0.2">
      <c r="A121" s="1186" t="s">
        <v>20</v>
      </c>
      <c r="B121" s="1186" t="s">
        <v>30</v>
      </c>
      <c r="C121" s="1186">
        <v>56398</v>
      </c>
    </row>
    <row r="122" spans="1:3" x14ac:dyDescent="0.2">
      <c r="A122" s="1186" t="s">
        <v>20</v>
      </c>
      <c r="B122" s="1186" t="s">
        <v>31</v>
      </c>
      <c r="C122" s="1186">
        <v>44184</v>
      </c>
    </row>
    <row r="123" spans="1:3" x14ac:dyDescent="0.2">
      <c r="A123" s="1186" t="s">
        <v>20</v>
      </c>
      <c r="B123" s="1186" t="s">
        <v>32</v>
      </c>
      <c r="C123" s="1186">
        <v>44544</v>
      </c>
    </row>
    <row r="124" spans="1:3" x14ac:dyDescent="0.2">
      <c r="A124" s="1186" t="s">
        <v>20</v>
      </c>
      <c r="B124" s="1186" t="s">
        <v>33</v>
      </c>
      <c r="C124" s="1186">
        <v>37063</v>
      </c>
    </row>
    <row r="125" spans="1:3" x14ac:dyDescent="0.2">
      <c r="A125" s="1186" t="s">
        <v>20</v>
      </c>
      <c r="B125" s="1186" t="s">
        <v>34</v>
      </c>
      <c r="C125" s="1186">
        <v>71010</v>
      </c>
    </row>
    <row r="126" spans="1:3" x14ac:dyDescent="0.2">
      <c r="A126" s="1186" t="s">
        <v>20</v>
      </c>
      <c r="B126" s="1186" t="s">
        <v>35</v>
      </c>
      <c r="C126" s="1186">
        <v>169435</v>
      </c>
    </row>
    <row r="127" spans="1:3" x14ac:dyDescent="0.2">
      <c r="A127" s="1186" t="s">
        <v>20</v>
      </c>
      <c r="B127" s="1186" t="s">
        <v>36</v>
      </c>
      <c r="C127" s="1186">
        <v>299160</v>
      </c>
    </row>
    <row r="128" spans="1:3" x14ac:dyDescent="0.2">
      <c r="A128" s="1186" t="s">
        <v>20</v>
      </c>
      <c r="B128" s="1186" t="s">
        <v>37</v>
      </c>
      <c r="C128" s="1186">
        <v>110788</v>
      </c>
    </row>
    <row r="129" spans="1:3" x14ac:dyDescent="0.2">
      <c r="A129" s="1186" t="s">
        <v>20</v>
      </c>
      <c r="B129" s="1186" t="s">
        <v>38</v>
      </c>
      <c r="C129" s="1186">
        <v>39377</v>
      </c>
    </row>
    <row r="130" spans="1:3" x14ac:dyDescent="0.2">
      <c r="A130" s="1186" t="s">
        <v>20</v>
      </c>
      <c r="B130" s="1186" t="s">
        <v>39</v>
      </c>
      <c r="C130" s="1186">
        <v>35986</v>
      </c>
    </row>
    <row r="131" spans="1:3" x14ac:dyDescent="0.2">
      <c r="A131" s="1186" t="s">
        <v>20</v>
      </c>
      <c r="B131" s="1186" t="s">
        <v>40</v>
      </c>
      <c r="C131" s="1186">
        <v>42241</v>
      </c>
    </row>
    <row r="132" spans="1:3" x14ac:dyDescent="0.2">
      <c r="A132" s="1186" t="s">
        <v>20</v>
      </c>
      <c r="B132" s="1186" t="s">
        <v>295</v>
      </c>
      <c r="C132" s="1186">
        <v>14258</v>
      </c>
    </row>
    <row r="133" spans="1:3" x14ac:dyDescent="0.2">
      <c r="A133" s="1186" t="s">
        <v>20</v>
      </c>
      <c r="B133" s="1186" t="s">
        <v>41</v>
      </c>
      <c r="C133" s="1186">
        <v>66461</v>
      </c>
    </row>
    <row r="134" spans="1:3" x14ac:dyDescent="0.2">
      <c r="A134" s="1186" t="s">
        <v>20</v>
      </c>
      <c r="B134" s="1186" t="s">
        <v>42</v>
      </c>
      <c r="C134" s="1186">
        <v>148553</v>
      </c>
    </row>
    <row r="135" spans="1:3" x14ac:dyDescent="0.2">
      <c r="A135" s="1186" t="s">
        <v>20</v>
      </c>
      <c r="B135" s="1186" t="s">
        <v>43</v>
      </c>
      <c r="C135" s="1186">
        <v>10265</v>
      </c>
    </row>
    <row r="136" spans="1:3" x14ac:dyDescent="0.2">
      <c r="A136" s="1186" t="s">
        <v>20</v>
      </c>
      <c r="B136" s="1186" t="s">
        <v>44</v>
      </c>
      <c r="C136" s="1186">
        <v>68788</v>
      </c>
    </row>
    <row r="137" spans="1:3" x14ac:dyDescent="0.2">
      <c r="A137" s="1186" t="s">
        <v>20</v>
      </c>
      <c r="B137" s="1186" t="s">
        <v>45</v>
      </c>
      <c r="C137" s="1186">
        <v>82760</v>
      </c>
    </row>
    <row r="138" spans="1:3" x14ac:dyDescent="0.2">
      <c r="A138" s="1186" t="s">
        <v>20</v>
      </c>
      <c r="B138" s="1186" t="s">
        <v>46</v>
      </c>
      <c r="C138" s="1186">
        <v>56129</v>
      </c>
    </row>
    <row r="139" spans="1:3" x14ac:dyDescent="0.2">
      <c r="A139" s="1186" t="s">
        <v>20</v>
      </c>
      <c r="B139" s="1186" t="s">
        <v>47</v>
      </c>
      <c r="C139" s="1186">
        <v>10621</v>
      </c>
    </row>
    <row r="140" spans="1:3" x14ac:dyDescent="0.2">
      <c r="A140" s="1186" t="s">
        <v>20</v>
      </c>
      <c r="B140" s="1186" t="s">
        <v>48</v>
      </c>
      <c r="C140" s="1186">
        <v>53788</v>
      </c>
    </row>
    <row r="141" spans="1:3" x14ac:dyDescent="0.2">
      <c r="A141" s="1186" t="s">
        <v>20</v>
      </c>
      <c r="B141" s="1186" t="s">
        <v>49</v>
      </c>
      <c r="C141" s="1186">
        <v>143470</v>
      </c>
    </row>
    <row r="142" spans="1:3" x14ac:dyDescent="0.2">
      <c r="A142" s="1186" t="s">
        <v>20</v>
      </c>
      <c r="B142" s="1186" t="s">
        <v>50</v>
      </c>
      <c r="C142" s="1186">
        <v>39246</v>
      </c>
    </row>
    <row r="143" spans="1:3" x14ac:dyDescent="0.2">
      <c r="A143" s="1186" t="s">
        <v>20</v>
      </c>
      <c r="B143" s="1186" t="s">
        <v>51</v>
      </c>
      <c r="C143" s="1186">
        <v>44415</v>
      </c>
    </row>
    <row r="144" spans="1:3" x14ac:dyDescent="0.2">
      <c r="A144" s="1186" t="s">
        <v>20</v>
      </c>
      <c r="B144" s="1186" t="s">
        <v>52</v>
      </c>
      <c r="C144" s="1186">
        <v>75123</v>
      </c>
    </row>
    <row r="145" spans="1:3" x14ac:dyDescent="0.2">
      <c r="A145" s="1186" t="s">
        <v>13</v>
      </c>
      <c r="B145" s="1186" t="s">
        <v>23</v>
      </c>
      <c r="C145" s="1186">
        <v>111419</v>
      </c>
    </row>
    <row r="146" spans="1:3" x14ac:dyDescent="0.2">
      <c r="A146" s="1186" t="s">
        <v>13</v>
      </c>
      <c r="B146" s="1186" t="s">
        <v>24</v>
      </c>
      <c r="C146" s="1186">
        <v>110649</v>
      </c>
    </row>
    <row r="147" spans="1:3" x14ac:dyDescent="0.2">
      <c r="A147" s="1186" t="s">
        <v>13</v>
      </c>
      <c r="B147" s="1186" t="s">
        <v>25</v>
      </c>
      <c r="C147" s="1186">
        <v>54372</v>
      </c>
    </row>
    <row r="148" spans="1:3" x14ac:dyDescent="0.2">
      <c r="A148" s="1186" t="s">
        <v>13</v>
      </c>
      <c r="B148" s="1186" t="s">
        <v>26</v>
      </c>
      <c r="C148" s="1186">
        <v>46896</v>
      </c>
    </row>
    <row r="149" spans="1:3" x14ac:dyDescent="0.2">
      <c r="A149" s="1186" t="s">
        <v>13</v>
      </c>
      <c r="B149" s="1186" t="s">
        <v>619</v>
      </c>
      <c r="C149" s="1186">
        <v>234541</v>
      </c>
    </row>
    <row r="150" spans="1:3" x14ac:dyDescent="0.2">
      <c r="A150" s="1186" t="s">
        <v>13</v>
      </c>
      <c r="B150" s="1186" t="s">
        <v>27</v>
      </c>
      <c r="C150" s="1186">
        <v>23720</v>
      </c>
    </row>
    <row r="151" spans="1:3" x14ac:dyDescent="0.2">
      <c r="A151" s="1186" t="s">
        <v>13</v>
      </c>
      <c r="B151" s="1186" t="s">
        <v>28</v>
      </c>
      <c r="C151" s="1186">
        <v>72871</v>
      </c>
    </row>
    <row r="152" spans="1:3" x14ac:dyDescent="0.2">
      <c r="A152" s="1186" t="s">
        <v>13</v>
      </c>
      <c r="B152" s="1186" t="s">
        <v>29</v>
      </c>
      <c r="C152" s="1186">
        <v>73529</v>
      </c>
    </row>
    <row r="153" spans="1:3" x14ac:dyDescent="0.2">
      <c r="A153" s="1186" t="s">
        <v>13</v>
      </c>
      <c r="B153" s="1186" t="s">
        <v>30</v>
      </c>
      <c r="C153" s="1186">
        <v>56614</v>
      </c>
    </row>
    <row r="154" spans="1:3" x14ac:dyDescent="0.2">
      <c r="A154" s="1186" t="s">
        <v>13</v>
      </c>
      <c r="B154" s="1186" t="s">
        <v>31</v>
      </c>
      <c r="C154" s="1186">
        <v>44332</v>
      </c>
    </row>
    <row r="155" spans="1:3" x14ac:dyDescent="0.2">
      <c r="A155" s="1186" t="s">
        <v>13</v>
      </c>
      <c r="B155" s="1186" t="s">
        <v>32</v>
      </c>
      <c r="C155" s="1186">
        <v>44967</v>
      </c>
    </row>
    <row r="156" spans="1:3" x14ac:dyDescent="0.2">
      <c r="A156" s="1186" t="s">
        <v>13</v>
      </c>
      <c r="B156" s="1186" t="s">
        <v>33</v>
      </c>
      <c r="C156" s="1186">
        <v>37231</v>
      </c>
    </row>
    <row r="157" spans="1:3" x14ac:dyDescent="0.2">
      <c r="A157" s="1186" t="s">
        <v>13</v>
      </c>
      <c r="B157" s="1186" t="s">
        <v>34</v>
      </c>
      <c r="C157" s="1186">
        <v>71303</v>
      </c>
    </row>
    <row r="158" spans="1:3" x14ac:dyDescent="0.2">
      <c r="A158" s="1186" t="s">
        <v>13</v>
      </c>
      <c r="B158" s="1186" t="s">
        <v>35</v>
      </c>
      <c r="C158" s="1186">
        <v>170169</v>
      </c>
    </row>
    <row r="159" spans="1:3" x14ac:dyDescent="0.2">
      <c r="A159" s="1186" t="s">
        <v>13</v>
      </c>
      <c r="B159" s="1186" t="s">
        <v>36</v>
      </c>
      <c r="C159" s="1186">
        <v>299881</v>
      </c>
    </row>
    <row r="160" spans="1:3" x14ac:dyDescent="0.2">
      <c r="A160" s="1186" t="s">
        <v>13</v>
      </c>
      <c r="B160" s="1186" t="s">
        <v>37</v>
      </c>
      <c r="C160" s="1186">
        <v>111830</v>
      </c>
    </row>
    <row r="161" spans="1:3" x14ac:dyDescent="0.2">
      <c r="A161" s="1186" t="s">
        <v>13</v>
      </c>
      <c r="B161" s="1186" t="s">
        <v>38</v>
      </c>
      <c r="C161" s="1186">
        <v>39457</v>
      </c>
    </row>
    <row r="162" spans="1:3" x14ac:dyDescent="0.2">
      <c r="A162" s="1186" t="s">
        <v>13</v>
      </c>
      <c r="B162" s="1186" t="s">
        <v>39</v>
      </c>
      <c r="C162" s="1186">
        <v>36434</v>
      </c>
    </row>
    <row r="163" spans="1:3" x14ac:dyDescent="0.2">
      <c r="A163" s="1186" t="s">
        <v>13</v>
      </c>
      <c r="B163" s="1186" t="s">
        <v>40</v>
      </c>
      <c r="C163" s="1186">
        <v>42699</v>
      </c>
    </row>
    <row r="164" spans="1:3" x14ac:dyDescent="0.2">
      <c r="A164" s="1186" t="s">
        <v>13</v>
      </c>
      <c r="B164" s="1186" t="s">
        <v>295</v>
      </c>
      <c r="C164" s="1186">
        <v>14396</v>
      </c>
    </row>
    <row r="165" spans="1:3" x14ac:dyDescent="0.2">
      <c r="A165" s="1186" t="s">
        <v>13</v>
      </c>
      <c r="B165" s="1186" t="s">
        <v>41</v>
      </c>
      <c r="C165" s="1186">
        <v>66648</v>
      </c>
    </row>
    <row r="166" spans="1:3" x14ac:dyDescent="0.2">
      <c r="A166" s="1186" t="s">
        <v>13</v>
      </c>
      <c r="B166" s="1186" t="s">
        <v>42</v>
      </c>
      <c r="C166" s="1186">
        <v>149190</v>
      </c>
    </row>
    <row r="167" spans="1:3" x14ac:dyDescent="0.2">
      <c r="A167" s="1186" t="s">
        <v>13</v>
      </c>
      <c r="B167" s="1186" t="s">
        <v>43</v>
      </c>
      <c r="C167" s="1186">
        <v>10438</v>
      </c>
    </row>
    <row r="168" spans="1:3" x14ac:dyDescent="0.2">
      <c r="A168" s="1186" t="s">
        <v>13</v>
      </c>
      <c r="B168" s="1186" t="s">
        <v>44</v>
      </c>
      <c r="C168" s="1186">
        <v>69236</v>
      </c>
    </row>
    <row r="169" spans="1:3" x14ac:dyDescent="0.2">
      <c r="A169" s="1186" t="s">
        <v>13</v>
      </c>
      <c r="B169" s="1186" t="s">
        <v>45</v>
      </c>
      <c r="C169" s="1186">
        <v>82944</v>
      </c>
    </row>
    <row r="170" spans="1:3" x14ac:dyDescent="0.2">
      <c r="A170" s="1186" t="s">
        <v>13</v>
      </c>
      <c r="B170" s="1186" t="s">
        <v>46</v>
      </c>
      <c r="C170" s="1186">
        <v>56530</v>
      </c>
    </row>
    <row r="171" spans="1:3" x14ac:dyDescent="0.2">
      <c r="A171" s="1186" t="s">
        <v>13</v>
      </c>
      <c r="B171" s="1186" t="s">
        <v>47</v>
      </c>
      <c r="C171" s="1186">
        <v>10707</v>
      </c>
    </row>
    <row r="172" spans="1:3" x14ac:dyDescent="0.2">
      <c r="A172" s="1186" t="s">
        <v>13</v>
      </c>
      <c r="B172" s="1186" t="s">
        <v>48</v>
      </c>
      <c r="C172" s="1186">
        <v>53968</v>
      </c>
    </row>
    <row r="173" spans="1:3" x14ac:dyDescent="0.2">
      <c r="A173" s="1186" t="s">
        <v>13</v>
      </c>
      <c r="B173" s="1186" t="s">
        <v>49</v>
      </c>
      <c r="C173" s="1186">
        <v>144386</v>
      </c>
    </row>
    <row r="174" spans="1:3" x14ac:dyDescent="0.2">
      <c r="A174" s="1186" t="s">
        <v>13</v>
      </c>
      <c r="B174" s="1186" t="s">
        <v>50</v>
      </c>
      <c r="C174" s="1186">
        <v>39509</v>
      </c>
    </row>
    <row r="175" spans="1:3" x14ac:dyDescent="0.2">
      <c r="A175" s="1186" t="s">
        <v>13</v>
      </c>
      <c r="B175" s="1186" t="s">
        <v>51</v>
      </c>
      <c r="C175" s="1186">
        <v>44586</v>
      </c>
    </row>
    <row r="176" spans="1:3" x14ac:dyDescent="0.2">
      <c r="A176" s="1186" t="s">
        <v>13</v>
      </c>
      <c r="B176" s="1186" t="s">
        <v>52</v>
      </c>
      <c r="C176" s="1186">
        <v>75397</v>
      </c>
    </row>
    <row r="177" spans="1:3" x14ac:dyDescent="0.2">
      <c r="A177" s="1186" t="s">
        <v>15</v>
      </c>
      <c r="B177" s="1186" t="s">
        <v>23</v>
      </c>
      <c r="C177" s="1186">
        <v>112073</v>
      </c>
    </row>
    <row r="178" spans="1:3" x14ac:dyDescent="0.2">
      <c r="A178" s="1186" t="s">
        <v>15</v>
      </c>
      <c r="B178" s="1186" t="s">
        <v>24</v>
      </c>
      <c r="C178" s="1186">
        <v>111773</v>
      </c>
    </row>
    <row r="179" spans="1:3" x14ac:dyDescent="0.2">
      <c r="A179" s="1186" t="s">
        <v>15</v>
      </c>
      <c r="B179" s="1186" t="s">
        <v>25</v>
      </c>
      <c r="C179" s="1186">
        <v>54566</v>
      </c>
    </row>
    <row r="180" spans="1:3" x14ac:dyDescent="0.2">
      <c r="A180" s="1186" t="s">
        <v>15</v>
      </c>
      <c r="B180" s="1186" t="s">
        <v>26</v>
      </c>
      <c r="C180" s="1186">
        <v>47105</v>
      </c>
    </row>
    <row r="181" spans="1:3" x14ac:dyDescent="0.2">
      <c r="A181" s="1186" t="s">
        <v>15</v>
      </c>
      <c r="B181" s="1186" t="s">
        <v>619</v>
      </c>
      <c r="C181" s="1186">
        <v>235850</v>
      </c>
    </row>
    <row r="182" spans="1:3" x14ac:dyDescent="0.2">
      <c r="A182" s="1186" t="s">
        <v>15</v>
      </c>
      <c r="B182" s="1186" t="s">
        <v>27</v>
      </c>
      <c r="C182" s="1186">
        <v>23774</v>
      </c>
    </row>
    <row r="183" spans="1:3" x14ac:dyDescent="0.2">
      <c r="A183" s="1186" t="s">
        <v>15</v>
      </c>
      <c r="B183" s="1186" t="s">
        <v>28</v>
      </c>
      <c r="C183" s="1186">
        <v>73224</v>
      </c>
    </row>
    <row r="184" spans="1:3" x14ac:dyDescent="0.2">
      <c r="A184" s="1186" t="s">
        <v>15</v>
      </c>
      <c r="B184" s="1186" t="s">
        <v>29</v>
      </c>
      <c r="C184" s="1186">
        <v>73818</v>
      </c>
    </row>
    <row r="185" spans="1:3" x14ac:dyDescent="0.2">
      <c r="A185" s="1186" t="s">
        <v>15</v>
      </c>
      <c r="B185" s="1186" t="s">
        <v>30</v>
      </c>
      <c r="C185" s="1186">
        <v>56919</v>
      </c>
    </row>
    <row r="186" spans="1:3" x14ac:dyDescent="0.2">
      <c r="A186" s="1186" t="s">
        <v>15</v>
      </c>
      <c r="B186" s="1186" t="s">
        <v>31</v>
      </c>
      <c r="C186" s="1186">
        <v>44564</v>
      </c>
    </row>
    <row r="187" spans="1:3" x14ac:dyDescent="0.2">
      <c r="A187" s="1186" t="s">
        <v>15</v>
      </c>
      <c r="B187" s="1186" t="s">
        <v>32</v>
      </c>
      <c r="C187" s="1186">
        <v>45364</v>
      </c>
    </row>
    <row r="188" spans="1:3" x14ac:dyDescent="0.2">
      <c r="A188" s="1186" t="s">
        <v>15</v>
      </c>
      <c r="B188" s="1186" t="s">
        <v>33</v>
      </c>
      <c r="C188" s="1186">
        <v>37448</v>
      </c>
    </row>
    <row r="189" spans="1:3" x14ac:dyDescent="0.2">
      <c r="A189" s="1186" t="s">
        <v>15</v>
      </c>
      <c r="B189" s="1186" t="s">
        <v>34</v>
      </c>
      <c r="C189" s="1186">
        <v>71742</v>
      </c>
    </row>
    <row r="190" spans="1:3" x14ac:dyDescent="0.2">
      <c r="A190" s="1186" t="s">
        <v>15</v>
      </c>
      <c r="B190" s="1186" t="s">
        <v>35</v>
      </c>
      <c r="C190" s="1186">
        <v>170881</v>
      </c>
    </row>
    <row r="191" spans="1:3" x14ac:dyDescent="0.2">
      <c r="A191" s="1186" t="s">
        <v>15</v>
      </c>
      <c r="B191" s="1186" t="s">
        <v>36</v>
      </c>
      <c r="C191" s="1186">
        <v>301513</v>
      </c>
    </row>
    <row r="192" spans="1:3" x14ac:dyDescent="0.2">
      <c r="A192" s="1186" t="s">
        <v>15</v>
      </c>
      <c r="B192" s="1186" t="s">
        <v>37</v>
      </c>
      <c r="C192" s="1186">
        <v>112812</v>
      </c>
    </row>
    <row r="193" spans="1:3" x14ac:dyDescent="0.2">
      <c r="A193" s="1186" t="s">
        <v>15</v>
      </c>
      <c r="B193" s="1186" t="s">
        <v>38</v>
      </c>
      <c r="C193" s="1186">
        <v>39590</v>
      </c>
    </row>
    <row r="194" spans="1:3" x14ac:dyDescent="0.2">
      <c r="A194" s="1186" t="s">
        <v>15</v>
      </c>
      <c r="B194" s="1186" t="s">
        <v>39</v>
      </c>
      <c r="C194" s="1186">
        <v>37051</v>
      </c>
    </row>
    <row r="195" spans="1:3" x14ac:dyDescent="0.2">
      <c r="A195" s="1186" t="s">
        <v>15</v>
      </c>
      <c r="B195" s="1186" t="s">
        <v>40</v>
      </c>
      <c r="C195" s="1186">
        <v>43139</v>
      </c>
    </row>
    <row r="196" spans="1:3" x14ac:dyDescent="0.2">
      <c r="A196" s="1186" t="s">
        <v>15</v>
      </c>
      <c r="B196" s="1186" t="s">
        <v>295</v>
      </c>
      <c r="C196" s="1186">
        <v>14458</v>
      </c>
    </row>
    <row r="197" spans="1:3" x14ac:dyDescent="0.2">
      <c r="A197" s="1186" t="s">
        <v>15</v>
      </c>
      <c r="B197" s="1186" t="s">
        <v>41</v>
      </c>
      <c r="C197" s="1186">
        <v>66888</v>
      </c>
    </row>
    <row r="198" spans="1:3" x14ac:dyDescent="0.2">
      <c r="A198" s="1186" t="s">
        <v>15</v>
      </c>
      <c r="B198" s="1186" t="s">
        <v>42</v>
      </c>
      <c r="C198" s="1186">
        <v>149763</v>
      </c>
    </row>
    <row r="199" spans="1:3" x14ac:dyDescent="0.2">
      <c r="A199" s="1186" t="s">
        <v>15</v>
      </c>
      <c r="B199" s="1186" t="s">
        <v>43</v>
      </c>
      <c r="C199" s="1186">
        <v>10613</v>
      </c>
    </row>
    <row r="200" spans="1:3" x14ac:dyDescent="0.2">
      <c r="A200" s="1186" t="s">
        <v>15</v>
      </c>
      <c r="B200" s="1186" t="s">
        <v>44</v>
      </c>
      <c r="C200" s="1186">
        <v>69618</v>
      </c>
    </row>
    <row r="201" spans="1:3" x14ac:dyDescent="0.2">
      <c r="A201" s="1186" t="s">
        <v>15</v>
      </c>
      <c r="B201" s="1186" t="s">
        <v>45</v>
      </c>
      <c r="C201" s="1186">
        <v>83166</v>
      </c>
    </row>
    <row r="202" spans="1:3" x14ac:dyDescent="0.2">
      <c r="A202" s="1186" t="s">
        <v>15</v>
      </c>
      <c r="B202" s="1186" t="s">
        <v>46</v>
      </c>
      <c r="C202" s="1186">
        <v>56765</v>
      </c>
    </row>
    <row r="203" spans="1:3" x14ac:dyDescent="0.2">
      <c r="A203" s="1186" t="s">
        <v>15</v>
      </c>
      <c r="B203" s="1186" t="s">
        <v>47</v>
      </c>
      <c r="C203" s="1186">
        <v>10789</v>
      </c>
    </row>
    <row r="204" spans="1:3" x14ac:dyDescent="0.2">
      <c r="A204" s="1186" t="s">
        <v>15</v>
      </c>
      <c r="B204" s="1186" t="s">
        <v>48</v>
      </c>
      <c r="C204" s="1186">
        <v>54202</v>
      </c>
    </row>
    <row r="205" spans="1:3" x14ac:dyDescent="0.2">
      <c r="A205" s="1186" t="s">
        <v>15</v>
      </c>
      <c r="B205" s="1186" t="s">
        <v>49</v>
      </c>
      <c r="C205" s="1186">
        <v>145257</v>
      </c>
    </row>
    <row r="206" spans="1:3" x14ac:dyDescent="0.2">
      <c r="A206" s="1186" t="s">
        <v>15</v>
      </c>
      <c r="B206" s="1186" t="s">
        <v>50</v>
      </c>
      <c r="C206" s="1186">
        <v>39798</v>
      </c>
    </row>
    <row r="207" spans="1:3" x14ac:dyDescent="0.2">
      <c r="A207" s="1186" t="s">
        <v>15</v>
      </c>
      <c r="B207" s="1186" t="s">
        <v>51</v>
      </c>
      <c r="C207" s="1186">
        <v>44790</v>
      </c>
    </row>
    <row r="208" spans="1:3" x14ac:dyDescent="0.2">
      <c r="A208" s="1186" t="s">
        <v>15</v>
      </c>
      <c r="B208" s="1186" t="s">
        <v>52</v>
      </c>
      <c r="C208" s="1186">
        <v>75729</v>
      </c>
    </row>
    <row r="209" spans="1:3" x14ac:dyDescent="0.2">
      <c r="A209" s="1186" t="s">
        <v>17</v>
      </c>
      <c r="B209" s="1186" t="s">
        <v>23</v>
      </c>
      <c r="C209" s="1186">
        <v>112713</v>
      </c>
    </row>
    <row r="210" spans="1:3" x14ac:dyDescent="0.2">
      <c r="A210" s="1186" t="s">
        <v>17</v>
      </c>
      <c r="B210" s="1186" t="s">
        <v>24</v>
      </c>
      <c r="C210" s="1186">
        <v>112867</v>
      </c>
    </row>
    <row r="211" spans="1:3" x14ac:dyDescent="0.2">
      <c r="A211" s="1186" t="s">
        <v>17</v>
      </c>
      <c r="B211" s="1186" t="s">
        <v>25</v>
      </c>
      <c r="C211" s="1186">
        <v>54872</v>
      </c>
    </row>
    <row r="212" spans="1:3" x14ac:dyDescent="0.2">
      <c r="A212" s="1186" t="s">
        <v>17</v>
      </c>
      <c r="B212" s="1186" t="s">
        <v>26</v>
      </c>
      <c r="C212" s="1186">
        <v>47336</v>
      </c>
    </row>
    <row r="213" spans="1:3" x14ac:dyDescent="0.2">
      <c r="A213" s="1186" t="s">
        <v>17</v>
      </c>
      <c r="B213" s="1186" t="s">
        <v>619</v>
      </c>
      <c r="C213" s="1186">
        <v>237524</v>
      </c>
    </row>
    <row r="214" spans="1:3" x14ac:dyDescent="0.2">
      <c r="A214" s="1186" t="s">
        <v>17</v>
      </c>
      <c r="B214" s="1186" t="s">
        <v>27</v>
      </c>
      <c r="C214" s="1186">
        <v>23894</v>
      </c>
    </row>
    <row r="215" spans="1:3" x14ac:dyDescent="0.2">
      <c r="A215" s="1186" t="s">
        <v>17</v>
      </c>
      <c r="B215" s="1186" t="s">
        <v>28</v>
      </c>
      <c r="C215" s="1186">
        <v>73555</v>
      </c>
    </row>
    <row r="216" spans="1:3" x14ac:dyDescent="0.2">
      <c r="A216" s="1186" t="s">
        <v>17</v>
      </c>
      <c r="B216" s="1186" t="s">
        <v>29</v>
      </c>
      <c r="C216" s="1186">
        <v>73560</v>
      </c>
    </row>
    <row r="217" spans="1:3" x14ac:dyDescent="0.2">
      <c r="A217" s="1186" t="s">
        <v>17</v>
      </c>
      <c r="B217" s="1186" t="s">
        <v>30</v>
      </c>
      <c r="C217" s="1186">
        <v>57172</v>
      </c>
    </row>
    <row r="218" spans="1:3" x14ac:dyDescent="0.2">
      <c r="A218" s="1186" t="s">
        <v>17</v>
      </c>
      <c r="B218" s="1186" t="s">
        <v>31</v>
      </c>
      <c r="C218" s="1186">
        <v>44864</v>
      </c>
    </row>
    <row r="219" spans="1:3" x14ac:dyDescent="0.2">
      <c r="A219" s="1186" t="s">
        <v>17</v>
      </c>
      <c r="B219" s="1186" t="s">
        <v>32</v>
      </c>
      <c r="C219" s="1186">
        <v>45613</v>
      </c>
    </row>
    <row r="220" spans="1:3" x14ac:dyDescent="0.2">
      <c r="A220" s="1186" t="s">
        <v>17</v>
      </c>
      <c r="B220" s="1186" t="s">
        <v>33</v>
      </c>
      <c r="C220" s="1186">
        <v>37639</v>
      </c>
    </row>
    <row r="221" spans="1:3" x14ac:dyDescent="0.2">
      <c r="A221" s="1186" t="s">
        <v>17</v>
      </c>
      <c r="B221" s="1186" t="s">
        <v>34</v>
      </c>
      <c r="C221" s="1186">
        <v>72128</v>
      </c>
    </row>
    <row r="222" spans="1:3" x14ac:dyDescent="0.2">
      <c r="A222" s="1186" t="s">
        <v>17</v>
      </c>
      <c r="B222" s="1186" t="s">
        <v>35</v>
      </c>
      <c r="C222" s="1186">
        <v>171560</v>
      </c>
    </row>
    <row r="223" spans="1:3" x14ac:dyDescent="0.2">
      <c r="A223" s="1186" t="s">
        <v>17</v>
      </c>
      <c r="B223" s="1186" t="s">
        <v>36</v>
      </c>
      <c r="C223" s="1186">
        <v>301633</v>
      </c>
    </row>
    <row r="224" spans="1:3" x14ac:dyDescent="0.2">
      <c r="A224" s="1186" t="s">
        <v>17</v>
      </c>
      <c r="B224" s="1186" t="s">
        <v>37</v>
      </c>
      <c r="C224" s="1186">
        <v>113703</v>
      </c>
    </row>
    <row r="225" spans="1:3" x14ac:dyDescent="0.2">
      <c r="A225" s="1186" t="s">
        <v>17</v>
      </c>
      <c r="B225" s="1186" t="s">
        <v>38</v>
      </c>
      <c r="C225" s="1186">
        <v>38791</v>
      </c>
    </row>
    <row r="226" spans="1:3" x14ac:dyDescent="0.2">
      <c r="A226" s="1186" t="s">
        <v>17</v>
      </c>
      <c r="B226" s="1186" t="s">
        <v>39</v>
      </c>
      <c r="C226" s="1186">
        <v>37503</v>
      </c>
    </row>
    <row r="227" spans="1:3" x14ac:dyDescent="0.2">
      <c r="A227" s="1186" t="s">
        <v>17</v>
      </c>
      <c r="B227" s="1186" t="s">
        <v>40</v>
      </c>
      <c r="C227" s="1186">
        <v>43495</v>
      </c>
    </row>
    <row r="228" spans="1:3" x14ac:dyDescent="0.2">
      <c r="A228" s="1186" t="s">
        <v>17</v>
      </c>
      <c r="B228" s="1186" t="s">
        <v>295</v>
      </c>
      <c r="C228" s="1186">
        <v>14490</v>
      </c>
    </row>
    <row r="229" spans="1:3" x14ac:dyDescent="0.2">
      <c r="A229" s="1186" t="s">
        <v>17</v>
      </c>
      <c r="B229" s="1186" t="s">
        <v>41</v>
      </c>
      <c r="C229" s="1186">
        <v>67082</v>
      </c>
    </row>
    <row r="230" spans="1:3" x14ac:dyDescent="0.2">
      <c r="A230" s="1186" t="s">
        <v>17</v>
      </c>
      <c r="B230" s="1186" t="s">
        <v>42</v>
      </c>
      <c r="C230" s="1186">
        <v>150541</v>
      </c>
    </row>
    <row r="231" spans="1:3" x14ac:dyDescent="0.2">
      <c r="A231" s="1186" t="s">
        <v>17</v>
      </c>
      <c r="B231" s="1186" t="s">
        <v>43</v>
      </c>
      <c r="C231" s="1186">
        <v>10717</v>
      </c>
    </row>
    <row r="232" spans="1:3" x14ac:dyDescent="0.2">
      <c r="A232" s="1186" t="s">
        <v>17</v>
      </c>
      <c r="B232" s="1186" t="s">
        <v>44</v>
      </c>
      <c r="C232" s="1186">
        <v>69923</v>
      </c>
    </row>
    <row r="233" spans="1:3" x14ac:dyDescent="0.2">
      <c r="A233" s="1186" t="s">
        <v>17</v>
      </c>
      <c r="B233" s="1186" t="s">
        <v>45</v>
      </c>
      <c r="C233" s="1186">
        <v>83933</v>
      </c>
    </row>
    <row r="234" spans="1:3" x14ac:dyDescent="0.2">
      <c r="A234" s="1186" t="s">
        <v>17</v>
      </c>
      <c r="B234" s="1186" t="s">
        <v>46</v>
      </c>
      <c r="C234" s="1186">
        <v>57097</v>
      </c>
    </row>
    <row r="235" spans="1:3" x14ac:dyDescent="0.2">
      <c r="A235" s="1186" t="s">
        <v>17</v>
      </c>
      <c r="B235" s="1186" t="s">
        <v>47</v>
      </c>
      <c r="C235" s="1186">
        <v>10852</v>
      </c>
    </row>
    <row r="236" spans="1:3" x14ac:dyDescent="0.2">
      <c r="A236" s="1186" t="s">
        <v>17</v>
      </c>
      <c r="B236" s="1186" t="s">
        <v>48</v>
      </c>
      <c r="C236" s="1186">
        <v>54385</v>
      </c>
    </row>
    <row r="237" spans="1:3" x14ac:dyDescent="0.2">
      <c r="A237" s="1186" t="s">
        <v>17</v>
      </c>
      <c r="B237" s="1186" t="s">
        <v>49</v>
      </c>
      <c r="C237" s="1186">
        <v>146110</v>
      </c>
    </row>
    <row r="238" spans="1:3" x14ac:dyDescent="0.2">
      <c r="A238" s="1186" t="s">
        <v>17</v>
      </c>
      <c r="B238" s="1186" t="s">
        <v>50</v>
      </c>
      <c r="C238" s="1186">
        <v>39965</v>
      </c>
    </row>
    <row r="239" spans="1:3" x14ac:dyDescent="0.2">
      <c r="A239" s="1186" t="s">
        <v>17</v>
      </c>
      <c r="B239" s="1186" t="s">
        <v>51</v>
      </c>
      <c r="C239" s="1186">
        <v>44880</v>
      </c>
    </row>
    <row r="240" spans="1:3" x14ac:dyDescent="0.2">
      <c r="A240" s="1186" t="s">
        <v>17</v>
      </c>
      <c r="B240" s="1186" t="s">
        <v>52</v>
      </c>
      <c r="C240" s="1186">
        <v>76473</v>
      </c>
    </row>
    <row r="241" spans="1:3" x14ac:dyDescent="0.2">
      <c r="A241" s="1186" t="s">
        <v>133</v>
      </c>
      <c r="B241" s="1186" t="s">
        <v>23</v>
      </c>
      <c r="C241" s="1186">
        <v>113508</v>
      </c>
    </row>
    <row r="242" spans="1:3" x14ac:dyDescent="0.2">
      <c r="A242" s="1186" t="s">
        <v>133</v>
      </c>
      <c r="B242" s="1186" t="s">
        <v>24</v>
      </c>
      <c r="C242" s="1186">
        <v>114086</v>
      </c>
    </row>
    <row r="243" spans="1:3" x14ac:dyDescent="0.2">
      <c r="A243" s="1186" t="s">
        <v>133</v>
      </c>
      <c r="B243" s="1186" t="s">
        <v>25</v>
      </c>
      <c r="C243" s="1186">
        <v>55267</v>
      </c>
    </row>
    <row r="244" spans="1:3" x14ac:dyDescent="0.2">
      <c r="A244" s="1186" t="s">
        <v>133</v>
      </c>
      <c r="B244" s="1186" t="s">
        <v>26</v>
      </c>
      <c r="C244" s="1186">
        <v>47500</v>
      </c>
    </row>
    <row r="245" spans="1:3" x14ac:dyDescent="0.2">
      <c r="A245" s="1186" t="s">
        <v>133</v>
      </c>
      <c r="B245" s="1186" t="s">
        <v>619</v>
      </c>
      <c r="C245" s="1186">
        <v>239525</v>
      </c>
    </row>
    <row r="246" spans="1:3" x14ac:dyDescent="0.2">
      <c r="A246" s="1186" t="s">
        <v>133</v>
      </c>
      <c r="B246" s="1186" t="s">
        <v>27</v>
      </c>
      <c r="C246" s="1186">
        <v>23995</v>
      </c>
    </row>
    <row r="247" spans="1:3" x14ac:dyDescent="0.2">
      <c r="A247" s="1186" t="s">
        <v>133</v>
      </c>
      <c r="B247" s="1186" t="s">
        <v>28</v>
      </c>
      <c r="C247" s="1186">
        <v>73895</v>
      </c>
    </row>
    <row r="248" spans="1:3" x14ac:dyDescent="0.2">
      <c r="A248" s="1186" t="s">
        <v>133</v>
      </c>
      <c r="B248" s="1186" t="s">
        <v>29</v>
      </c>
      <c r="C248" s="1186">
        <v>73575</v>
      </c>
    </row>
    <row r="249" spans="1:3" x14ac:dyDescent="0.2">
      <c r="A249" s="1186" t="s">
        <v>133</v>
      </c>
      <c r="B249" s="1186" t="s">
        <v>30</v>
      </c>
      <c r="C249" s="1186">
        <v>57324</v>
      </c>
    </row>
    <row r="250" spans="1:3" x14ac:dyDescent="0.2">
      <c r="A250" s="1186" t="s">
        <v>133</v>
      </c>
      <c r="B250" s="1186" t="s">
        <v>31</v>
      </c>
      <c r="C250" s="1186">
        <v>45281</v>
      </c>
    </row>
    <row r="251" spans="1:3" x14ac:dyDescent="0.2">
      <c r="A251" s="1186" t="s">
        <v>133</v>
      </c>
      <c r="B251" s="1186" t="s">
        <v>32</v>
      </c>
      <c r="C251" s="1186">
        <v>45968</v>
      </c>
    </row>
    <row r="252" spans="1:3" x14ac:dyDescent="0.2">
      <c r="A252" s="1186" t="s">
        <v>133</v>
      </c>
      <c r="B252" s="1186" t="s">
        <v>33</v>
      </c>
      <c r="C252" s="1186">
        <v>37852</v>
      </c>
    </row>
    <row r="253" spans="1:3" x14ac:dyDescent="0.2">
      <c r="A253" s="1186" t="s">
        <v>133</v>
      </c>
      <c r="B253" s="1186" t="s">
        <v>34</v>
      </c>
      <c r="C253" s="1186">
        <v>72624</v>
      </c>
    </row>
    <row r="254" spans="1:3" x14ac:dyDescent="0.2">
      <c r="A254" s="1186" t="s">
        <v>133</v>
      </c>
      <c r="B254" s="1186" t="s">
        <v>35</v>
      </c>
      <c r="C254" s="1186">
        <v>172425</v>
      </c>
    </row>
    <row r="255" spans="1:3" x14ac:dyDescent="0.2">
      <c r="A255" s="1186" t="s">
        <v>133</v>
      </c>
      <c r="B255" s="1186" t="s">
        <v>36</v>
      </c>
      <c r="C255" s="1186">
        <v>301891</v>
      </c>
    </row>
    <row r="256" spans="1:3" x14ac:dyDescent="0.2">
      <c r="A256" s="1186" t="s">
        <v>133</v>
      </c>
      <c r="B256" s="1186" t="s">
        <v>37</v>
      </c>
      <c r="C256" s="1186">
        <v>114603</v>
      </c>
    </row>
    <row r="257" spans="1:3" x14ac:dyDescent="0.2">
      <c r="A257" s="1186" t="s">
        <v>133</v>
      </c>
      <c r="B257" s="1186" t="s">
        <v>38</v>
      </c>
      <c r="C257" s="1186">
        <v>38699</v>
      </c>
    </row>
    <row r="258" spans="1:3" x14ac:dyDescent="0.2">
      <c r="A258" s="1186" t="s">
        <v>133</v>
      </c>
      <c r="B258" s="1186" t="s">
        <v>39</v>
      </c>
      <c r="C258" s="1186">
        <v>38159</v>
      </c>
    </row>
    <row r="259" spans="1:3" x14ac:dyDescent="0.2">
      <c r="A259" s="1186" t="s">
        <v>133</v>
      </c>
      <c r="B259" s="1186" t="s">
        <v>40</v>
      </c>
      <c r="C259" s="1186">
        <v>43788</v>
      </c>
    </row>
    <row r="260" spans="1:3" x14ac:dyDescent="0.2">
      <c r="A260" s="1186" t="s">
        <v>133</v>
      </c>
      <c r="B260" s="1186" t="s">
        <v>295</v>
      </c>
      <c r="C260" s="1186">
        <v>14520</v>
      </c>
    </row>
    <row r="261" spans="1:3" x14ac:dyDescent="0.2">
      <c r="A261" s="1186" t="s">
        <v>133</v>
      </c>
      <c r="B261" s="1186" t="s">
        <v>41</v>
      </c>
      <c r="C261" s="1186">
        <v>67204</v>
      </c>
    </row>
    <row r="262" spans="1:3" x14ac:dyDescent="0.2">
      <c r="A262" s="1186" t="s">
        <v>133</v>
      </c>
      <c r="B262" s="1186" t="s">
        <v>42</v>
      </c>
      <c r="C262" s="1186">
        <v>151424</v>
      </c>
    </row>
    <row r="263" spans="1:3" x14ac:dyDescent="0.2">
      <c r="A263" s="1186" t="s">
        <v>133</v>
      </c>
      <c r="B263" s="1186" t="s">
        <v>43</v>
      </c>
      <c r="C263" s="1186">
        <v>10816</v>
      </c>
    </row>
    <row r="264" spans="1:3" x14ac:dyDescent="0.2">
      <c r="A264" s="1186" t="s">
        <v>133</v>
      </c>
      <c r="B264" s="1186" t="s">
        <v>44</v>
      </c>
      <c r="C264" s="1186">
        <v>70312</v>
      </c>
    </row>
    <row r="265" spans="1:3" x14ac:dyDescent="0.2">
      <c r="A265" s="1186" t="s">
        <v>133</v>
      </c>
      <c r="B265" s="1186" t="s">
        <v>45</v>
      </c>
      <c r="C265" s="1186">
        <v>84442</v>
      </c>
    </row>
    <row r="266" spans="1:3" x14ac:dyDescent="0.2">
      <c r="A266" s="1186" t="s">
        <v>133</v>
      </c>
      <c r="B266" s="1186" t="s">
        <v>46</v>
      </c>
      <c r="C266" s="1186">
        <v>57274</v>
      </c>
    </row>
    <row r="267" spans="1:3" x14ac:dyDescent="0.2">
      <c r="A267" s="1186" t="s">
        <v>133</v>
      </c>
      <c r="B267" s="1186" t="s">
        <v>47</v>
      </c>
      <c r="C267" s="1186">
        <v>10950</v>
      </c>
    </row>
    <row r="268" spans="1:3" x14ac:dyDescent="0.2">
      <c r="A268" s="1186" t="s">
        <v>133</v>
      </c>
      <c r="B268" s="1186" t="s">
        <v>48</v>
      </c>
      <c r="C268" s="1186">
        <v>54489</v>
      </c>
    </row>
    <row r="269" spans="1:3" x14ac:dyDescent="0.2">
      <c r="A269" s="1186" t="s">
        <v>133</v>
      </c>
      <c r="B269" s="1186" t="s">
        <v>49</v>
      </c>
      <c r="C269" s="1186">
        <v>146925</v>
      </c>
    </row>
    <row r="270" spans="1:3" x14ac:dyDescent="0.2">
      <c r="A270" s="1186" t="s">
        <v>133</v>
      </c>
      <c r="B270" s="1186" t="s">
        <v>50</v>
      </c>
      <c r="C270" s="1186">
        <v>40320</v>
      </c>
    </row>
    <row r="271" spans="1:3" x14ac:dyDescent="0.2">
      <c r="A271" s="1186" t="s">
        <v>133</v>
      </c>
      <c r="B271" s="1186" t="s">
        <v>51</v>
      </c>
      <c r="C271" s="1186">
        <v>44734</v>
      </c>
    </row>
    <row r="272" spans="1:3" x14ac:dyDescent="0.2">
      <c r="A272" s="1186" t="s">
        <v>133</v>
      </c>
      <c r="B272" s="1186" t="s">
        <v>52</v>
      </c>
      <c r="C272" s="1186">
        <v>77186</v>
      </c>
    </row>
    <row r="273" spans="1:3" x14ac:dyDescent="0.2">
      <c r="A273" s="1186" t="s">
        <v>144</v>
      </c>
      <c r="B273" s="1186" t="s">
        <v>23</v>
      </c>
      <c r="C273" s="1186">
        <v>114234</v>
      </c>
    </row>
    <row r="274" spans="1:3" x14ac:dyDescent="0.2">
      <c r="A274" s="1186" t="s">
        <v>144</v>
      </c>
      <c r="B274" s="1186" t="s">
        <v>24</v>
      </c>
      <c r="C274" s="1186">
        <v>115223</v>
      </c>
    </row>
    <row r="275" spans="1:3" x14ac:dyDescent="0.2">
      <c r="A275" s="1186" t="s">
        <v>144</v>
      </c>
      <c r="B275" s="1186" t="s">
        <v>25</v>
      </c>
      <c r="C275" s="1186">
        <v>55619</v>
      </c>
    </row>
    <row r="276" spans="1:3" x14ac:dyDescent="0.2">
      <c r="A276" s="1186" t="s">
        <v>144</v>
      </c>
      <c r="B276" s="1186" t="s">
        <v>26</v>
      </c>
      <c r="C276" s="1186">
        <v>47712</v>
      </c>
    </row>
    <row r="277" spans="1:3" x14ac:dyDescent="0.2">
      <c r="A277" s="1186" t="s">
        <v>144</v>
      </c>
      <c r="B277" s="1186" t="s">
        <v>619</v>
      </c>
      <c r="C277" s="1186">
        <v>241433</v>
      </c>
    </row>
    <row r="278" spans="1:3" x14ac:dyDescent="0.2">
      <c r="A278" s="1186" t="s">
        <v>144</v>
      </c>
      <c r="B278" s="1186" t="s">
        <v>27</v>
      </c>
      <c r="C278" s="1186">
        <v>24114</v>
      </c>
    </row>
    <row r="279" spans="1:3" x14ac:dyDescent="0.2">
      <c r="A279" s="1186" t="s">
        <v>144</v>
      </c>
      <c r="B279" s="1186" t="s">
        <v>28</v>
      </c>
      <c r="C279" s="1186">
        <v>74190</v>
      </c>
    </row>
    <row r="280" spans="1:3" x14ac:dyDescent="0.2">
      <c r="A280" s="1186" t="s">
        <v>144</v>
      </c>
      <c r="B280" s="1186" t="s">
        <v>29</v>
      </c>
      <c r="C280" s="1186">
        <v>73689</v>
      </c>
    </row>
    <row r="281" spans="1:3" x14ac:dyDescent="0.2">
      <c r="A281" s="1186" t="s">
        <v>144</v>
      </c>
      <c r="B281" s="1186" t="s">
        <v>30</v>
      </c>
      <c r="C281" s="1186">
        <v>57654</v>
      </c>
    </row>
    <row r="282" spans="1:3" x14ac:dyDescent="0.2">
      <c r="A282" s="1186" t="s">
        <v>144</v>
      </c>
      <c r="B282" s="1186" t="s">
        <v>31</v>
      </c>
      <c r="C282" s="1186">
        <v>45678</v>
      </c>
    </row>
    <row r="283" spans="1:3" x14ac:dyDescent="0.2">
      <c r="A283" s="1186" t="s">
        <v>144</v>
      </c>
      <c r="B283" s="1186" t="s">
        <v>32</v>
      </c>
      <c r="C283" s="1186">
        <v>46332</v>
      </c>
    </row>
    <row r="284" spans="1:3" x14ac:dyDescent="0.2">
      <c r="A284" s="1186" t="s">
        <v>144</v>
      </c>
      <c r="B284" s="1186" t="s">
        <v>33</v>
      </c>
      <c r="C284" s="1186">
        <v>38061</v>
      </c>
    </row>
    <row r="285" spans="1:3" x14ac:dyDescent="0.2">
      <c r="A285" s="1186" t="s">
        <v>144</v>
      </c>
      <c r="B285" s="1186" t="s">
        <v>34</v>
      </c>
      <c r="C285" s="1186">
        <v>73290</v>
      </c>
    </row>
    <row r="286" spans="1:3" x14ac:dyDescent="0.2">
      <c r="A286" s="1186" t="s">
        <v>144</v>
      </c>
      <c r="B286" s="1186" t="s">
        <v>35</v>
      </c>
      <c r="C286" s="1186">
        <v>173366</v>
      </c>
    </row>
    <row r="287" spans="1:3" x14ac:dyDescent="0.2">
      <c r="A287" s="1186" t="s">
        <v>144</v>
      </c>
      <c r="B287" s="1186" t="s">
        <v>36</v>
      </c>
      <c r="C287" s="1186">
        <v>304013</v>
      </c>
    </row>
    <row r="288" spans="1:3" x14ac:dyDescent="0.2">
      <c r="A288" s="1186" t="s">
        <v>144</v>
      </c>
      <c r="B288" s="1186" t="s">
        <v>37</v>
      </c>
      <c r="C288" s="1186">
        <v>115538</v>
      </c>
    </row>
    <row r="289" spans="1:3" x14ac:dyDescent="0.2">
      <c r="A289" s="1186" t="s">
        <v>144</v>
      </c>
      <c r="B289" s="1186" t="s">
        <v>38</v>
      </c>
      <c r="C289" s="1186">
        <v>38787</v>
      </c>
    </row>
    <row r="290" spans="1:3" x14ac:dyDescent="0.2">
      <c r="A290" s="1186" t="s">
        <v>144</v>
      </c>
      <c r="B290" s="1186" t="s">
        <v>39</v>
      </c>
      <c r="C290" s="1186">
        <v>38675</v>
      </c>
    </row>
    <row r="291" spans="1:3" x14ac:dyDescent="0.2">
      <c r="A291" s="1186" t="s">
        <v>144</v>
      </c>
      <c r="B291" s="1186" t="s">
        <v>40</v>
      </c>
      <c r="C291" s="1186">
        <v>44096</v>
      </c>
    </row>
    <row r="292" spans="1:3" x14ac:dyDescent="0.2">
      <c r="A292" s="1186" t="s">
        <v>144</v>
      </c>
      <c r="B292" s="1186" t="s">
        <v>295</v>
      </c>
      <c r="C292" s="1186">
        <v>14577</v>
      </c>
    </row>
    <row r="293" spans="1:3" x14ac:dyDescent="0.2">
      <c r="A293" s="1186" t="s">
        <v>144</v>
      </c>
      <c r="B293" s="1186" t="s">
        <v>41</v>
      </c>
      <c r="C293" s="1186">
        <v>67590</v>
      </c>
    </row>
    <row r="294" spans="1:3" x14ac:dyDescent="0.2">
      <c r="A294" s="1186" t="s">
        <v>144</v>
      </c>
      <c r="B294" s="1186" t="s">
        <v>42</v>
      </c>
      <c r="C294" s="1186">
        <v>152293</v>
      </c>
    </row>
    <row r="295" spans="1:3" x14ac:dyDescent="0.2">
      <c r="A295" s="1186" t="s">
        <v>144</v>
      </c>
      <c r="B295" s="1186" t="s">
        <v>43</v>
      </c>
      <c r="C295" s="1186">
        <v>10924</v>
      </c>
    </row>
    <row r="296" spans="1:3" x14ac:dyDescent="0.2">
      <c r="A296" s="1186" t="s">
        <v>144</v>
      </c>
      <c r="B296" s="1186" t="s">
        <v>44</v>
      </c>
      <c r="C296" s="1186">
        <v>70828</v>
      </c>
    </row>
    <row r="297" spans="1:3" x14ac:dyDescent="0.2">
      <c r="A297" s="1186" t="s">
        <v>144</v>
      </c>
      <c r="B297" s="1186" t="s">
        <v>45</v>
      </c>
      <c r="C297" s="1186">
        <v>84997</v>
      </c>
    </row>
    <row r="298" spans="1:3" x14ac:dyDescent="0.2">
      <c r="A298" s="1186" t="s">
        <v>144</v>
      </c>
      <c r="B298" s="1186" t="s">
        <v>46</v>
      </c>
      <c r="C298" s="1186">
        <v>57628</v>
      </c>
    </row>
    <row r="299" spans="1:3" x14ac:dyDescent="0.2">
      <c r="A299" s="1186" t="s">
        <v>144</v>
      </c>
      <c r="B299" s="1186" t="s">
        <v>47</v>
      </c>
      <c r="C299" s="1186">
        <v>11021</v>
      </c>
    </row>
    <row r="300" spans="1:3" x14ac:dyDescent="0.2">
      <c r="A300" s="1186" t="s">
        <v>144</v>
      </c>
      <c r="B300" s="1186" t="s">
        <v>48</v>
      </c>
      <c r="C300" s="1186">
        <v>54635</v>
      </c>
    </row>
    <row r="301" spans="1:3" x14ac:dyDescent="0.2">
      <c r="A301" s="1186" t="s">
        <v>144</v>
      </c>
      <c r="B301" s="1186" t="s">
        <v>49</v>
      </c>
      <c r="C301" s="1186">
        <v>147849</v>
      </c>
    </row>
    <row r="302" spans="1:3" x14ac:dyDescent="0.2">
      <c r="A302" s="1186" t="s">
        <v>144</v>
      </c>
      <c r="B302" s="1186" t="s">
        <v>50</v>
      </c>
      <c r="C302" s="1186">
        <v>40646</v>
      </c>
    </row>
    <row r="303" spans="1:3" x14ac:dyDescent="0.2">
      <c r="A303" s="1186" t="s">
        <v>144</v>
      </c>
      <c r="B303" s="1186" t="s">
        <v>51</v>
      </c>
      <c r="C303" s="1186">
        <v>45056</v>
      </c>
    </row>
    <row r="304" spans="1:3" x14ac:dyDescent="0.2">
      <c r="A304" s="1186" t="s">
        <v>144</v>
      </c>
      <c r="B304" s="1186" t="s">
        <v>52</v>
      </c>
      <c r="C304" s="1186">
        <v>77834</v>
      </c>
    </row>
    <row r="305" spans="1:3" x14ac:dyDescent="0.2">
      <c r="A305" s="1186" t="s">
        <v>282</v>
      </c>
      <c r="B305" s="1186" t="s">
        <v>23</v>
      </c>
      <c r="C305" s="1186">
        <v>115080</v>
      </c>
    </row>
    <row r="306" spans="1:3" x14ac:dyDescent="0.2">
      <c r="A306" s="1186" t="s">
        <v>282</v>
      </c>
      <c r="B306" s="1186" t="s">
        <v>24</v>
      </c>
      <c r="C306" s="1186">
        <v>116421</v>
      </c>
    </row>
    <row r="307" spans="1:3" x14ac:dyDescent="0.2">
      <c r="A307" s="1186" t="s">
        <v>282</v>
      </c>
      <c r="B307" s="1186" t="s">
        <v>25</v>
      </c>
      <c r="C307" s="1186">
        <v>55872</v>
      </c>
    </row>
    <row r="308" spans="1:3" x14ac:dyDescent="0.2">
      <c r="A308" s="1186" t="s">
        <v>282</v>
      </c>
      <c r="B308" s="1186" t="s">
        <v>26</v>
      </c>
      <c r="C308" s="1186">
        <v>47780</v>
      </c>
    </row>
    <row r="309" spans="1:3" x14ac:dyDescent="0.2">
      <c r="A309" s="1186" t="s">
        <v>282</v>
      </c>
      <c r="B309" s="1186" t="s">
        <v>619</v>
      </c>
      <c r="C309" s="1186">
        <v>244131</v>
      </c>
    </row>
    <row r="310" spans="1:3" x14ac:dyDescent="0.2">
      <c r="A310" s="1186" t="s">
        <v>282</v>
      </c>
      <c r="B310" s="1186" t="s">
        <v>27</v>
      </c>
      <c r="C310" s="1186">
        <v>24221</v>
      </c>
    </row>
    <row r="311" spans="1:3" x14ac:dyDescent="0.2">
      <c r="A311" s="1186" t="s">
        <v>282</v>
      </c>
      <c r="B311" s="1186" t="s">
        <v>28</v>
      </c>
      <c r="C311" s="1186">
        <v>74453</v>
      </c>
    </row>
    <row r="312" spans="1:3" x14ac:dyDescent="0.2">
      <c r="A312" s="1186" t="s">
        <v>282</v>
      </c>
      <c r="B312" s="1186" t="s">
        <v>29</v>
      </c>
      <c r="C312" s="1186">
        <v>74026</v>
      </c>
    </row>
    <row r="313" spans="1:3" x14ac:dyDescent="0.2">
      <c r="A313" s="1186" t="s">
        <v>282</v>
      </c>
      <c r="B313" s="1186" t="s">
        <v>30</v>
      </c>
      <c r="C313" s="1186">
        <v>57873</v>
      </c>
    </row>
    <row r="314" spans="1:3" x14ac:dyDescent="0.2">
      <c r="A314" s="1186" t="s">
        <v>282</v>
      </c>
      <c r="B314" s="1186" t="s">
        <v>31</v>
      </c>
      <c r="C314" s="1186">
        <v>46026</v>
      </c>
    </row>
    <row r="315" spans="1:3" x14ac:dyDescent="0.2">
      <c r="A315" s="1186" t="s">
        <v>282</v>
      </c>
      <c r="B315" s="1186" t="s">
        <v>32</v>
      </c>
      <c r="C315" s="1186">
        <v>46672</v>
      </c>
    </row>
    <row r="316" spans="1:3" x14ac:dyDescent="0.2">
      <c r="A316" s="1186" t="s">
        <v>282</v>
      </c>
      <c r="B316" s="1186" t="s">
        <v>33</v>
      </c>
      <c r="C316" s="1186">
        <v>38389</v>
      </c>
    </row>
    <row r="317" spans="1:3" x14ac:dyDescent="0.2">
      <c r="A317" s="1186" t="s">
        <v>282</v>
      </c>
      <c r="B317" s="1186" t="s">
        <v>34</v>
      </c>
      <c r="C317" s="1186">
        <v>73767</v>
      </c>
    </row>
    <row r="318" spans="1:3" x14ac:dyDescent="0.2">
      <c r="A318" s="1186" t="s">
        <v>282</v>
      </c>
      <c r="B318" s="1186" t="s">
        <v>35</v>
      </c>
      <c r="C318" s="1186">
        <v>174528</v>
      </c>
    </row>
    <row r="319" spans="1:3" x14ac:dyDescent="0.2">
      <c r="A319" s="1186" t="s">
        <v>282</v>
      </c>
      <c r="B319" s="1186" t="s">
        <v>36</v>
      </c>
      <c r="C319" s="1186">
        <v>306000</v>
      </c>
    </row>
    <row r="320" spans="1:3" x14ac:dyDescent="0.2">
      <c r="A320" s="1186" t="s">
        <v>282</v>
      </c>
      <c r="B320" s="1186" t="s">
        <v>37</v>
      </c>
      <c r="C320" s="1186">
        <v>116453</v>
      </c>
    </row>
    <row r="321" spans="1:3" x14ac:dyDescent="0.2">
      <c r="A321" s="1186" t="s">
        <v>282</v>
      </c>
      <c r="B321" s="1186" t="s">
        <v>38</v>
      </c>
      <c r="C321" s="1186">
        <v>38835</v>
      </c>
    </row>
    <row r="322" spans="1:3" x14ac:dyDescent="0.2">
      <c r="A322" s="1186" t="s">
        <v>282</v>
      </c>
      <c r="B322" s="1186" t="s">
        <v>39</v>
      </c>
      <c r="C322" s="1186">
        <v>39297</v>
      </c>
    </row>
    <row r="323" spans="1:3" x14ac:dyDescent="0.2">
      <c r="A323" s="1186" t="s">
        <v>282</v>
      </c>
      <c r="B323" s="1186" t="s">
        <v>40</v>
      </c>
      <c r="C323" s="1186">
        <v>44454</v>
      </c>
    </row>
    <row r="324" spans="1:3" x14ac:dyDescent="0.2">
      <c r="A324" s="1186" t="s">
        <v>282</v>
      </c>
      <c r="B324" s="1186" t="s">
        <v>295</v>
      </c>
      <c r="C324" s="1186">
        <v>14599</v>
      </c>
    </row>
    <row r="325" spans="1:3" x14ac:dyDescent="0.2">
      <c r="A325" s="1186" t="s">
        <v>282</v>
      </c>
      <c r="B325" s="1186" t="s">
        <v>41</v>
      </c>
      <c r="C325" s="1186">
        <v>67800</v>
      </c>
    </row>
    <row r="326" spans="1:3" x14ac:dyDescent="0.2">
      <c r="A326" s="1186" t="s">
        <v>282</v>
      </c>
      <c r="B326" s="1186" t="s">
        <v>42</v>
      </c>
      <c r="C326" s="1186">
        <v>153388</v>
      </c>
    </row>
    <row r="327" spans="1:3" x14ac:dyDescent="0.2">
      <c r="A327" s="1186" t="s">
        <v>282</v>
      </c>
      <c r="B327" s="1186" t="s">
        <v>43</v>
      </c>
      <c r="C327" s="1186">
        <v>11063</v>
      </c>
    </row>
    <row r="328" spans="1:3" x14ac:dyDescent="0.2">
      <c r="A328" s="1186" t="s">
        <v>282</v>
      </c>
      <c r="B328" s="1186" t="s">
        <v>44</v>
      </c>
      <c r="C328" s="1186">
        <v>71347</v>
      </c>
    </row>
    <row r="329" spans="1:3" x14ac:dyDescent="0.2">
      <c r="A329" s="1186" t="s">
        <v>282</v>
      </c>
      <c r="B329" s="1186" t="s">
        <v>45</v>
      </c>
      <c r="C329" s="1186">
        <v>85724</v>
      </c>
    </row>
    <row r="330" spans="1:3" x14ac:dyDescent="0.2">
      <c r="A330" s="1186" t="s">
        <v>282</v>
      </c>
      <c r="B330" s="1186" t="s">
        <v>46</v>
      </c>
      <c r="C330" s="1186">
        <v>57940</v>
      </c>
    </row>
    <row r="331" spans="1:3" x14ac:dyDescent="0.2">
      <c r="A331" s="1186" t="s">
        <v>282</v>
      </c>
      <c r="B331" s="1186" t="s">
        <v>47</v>
      </c>
      <c r="C331" s="1186">
        <v>11109</v>
      </c>
    </row>
    <row r="332" spans="1:3" x14ac:dyDescent="0.2">
      <c r="A332" s="1186" t="s">
        <v>282</v>
      </c>
      <c r="B332" s="1186" t="s">
        <v>48</v>
      </c>
      <c r="C332" s="1186">
        <v>54942</v>
      </c>
    </row>
    <row r="333" spans="1:3" x14ac:dyDescent="0.2">
      <c r="A333" s="1186" t="s">
        <v>282</v>
      </c>
      <c r="B333" s="1186" t="s">
        <v>49</v>
      </c>
      <c r="C333" s="1186">
        <v>148771</v>
      </c>
    </row>
    <row r="334" spans="1:3" x14ac:dyDescent="0.2">
      <c r="A334" s="1186" t="s">
        <v>282</v>
      </c>
      <c r="B334" s="1186" t="s">
        <v>50</v>
      </c>
      <c r="C334" s="1186">
        <v>40998</v>
      </c>
    </row>
    <row r="335" spans="1:3" x14ac:dyDescent="0.2">
      <c r="A335" s="1186" t="s">
        <v>282</v>
      </c>
      <c r="B335" s="1186" t="s">
        <v>51</v>
      </c>
      <c r="C335" s="1186">
        <v>45104</v>
      </c>
    </row>
    <row r="336" spans="1:3" x14ac:dyDescent="0.2">
      <c r="A336" s="1186" t="s">
        <v>282</v>
      </c>
      <c r="B336" s="1186" t="s">
        <v>52</v>
      </c>
      <c r="C336" s="1186">
        <v>78604</v>
      </c>
    </row>
    <row r="337" spans="1:3" x14ac:dyDescent="0.2">
      <c r="A337" s="1186" t="s">
        <v>311</v>
      </c>
      <c r="B337" s="1186" t="s">
        <v>23</v>
      </c>
      <c r="C337" s="1186">
        <v>116821</v>
      </c>
    </row>
    <row r="338" spans="1:3" x14ac:dyDescent="0.2">
      <c r="A338" s="1186" t="s">
        <v>311</v>
      </c>
      <c r="B338" s="1186" t="s">
        <v>24</v>
      </c>
      <c r="C338" s="1186">
        <v>117363</v>
      </c>
    </row>
    <row r="339" spans="1:3" x14ac:dyDescent="0.2">
      <c r="A339" s="1186" t="s">
        <v>311</v>
      </c>
      <c r="B339" s="1186" t="s">
        <v>25</v>
      </c>
      <c r="C339" s="1186">
        <v>56135</v>
      </c>
    </row>
    <row r="340" spans="1:3" x14ac:dyDescent="0.2">
      <c r="A340" s="1186" t="s">
        <v>311</v>
      </c>
      <c r="B340" s="1186" t="s">
        <v>26</v>
      </c>
      <c r="C340" s="1186">
        <v>47884</v>
      </c>
    </row>
    <row r="341" spans="1:3" x14ac:dyDescent="0.2">
      <c r="A341" s="1186" t="s">
        <v>311</v>
      </c>
      <c r="B341" s="1186" t="s">
        <v>619</v>
      </c>
      <c r="C341" s="1186">
        <v>246818</v>
      </c>
    </row>
    <row r="342" spans="1:3" x14ac:dyDescent="0.2">
      <c r="A342" s="1186" t="s">
        <v>311</v>
      </c>
      <c r="B342" s="1186" t="s">
        <v>27</v>
      </c>
      <c r="C342" s="1186">
        <v>24377</v>
      </c>
    </row>
    <row r="343" spans="1:3" x14ac:dyDescent="0.2">
      <c r="A343" s="1186" t="s">
        <v>311</v>
      </c>
      <c r="B343" s="1186" t="s">
        <v>28</v>
      </c>
      <c r="C343" s="1186">
        <v>74687</v>
      </c>
    </row>
    <row r="344" spans="1:3" x14ac:dyDescent="0.2">
      <c r="A344" s="1186" t="s">
        <v>311</v>
      </c>
      <c r="B344" s="1186" t="s">
        <v>29</v>
      </c>
      <c r="C344" s="1186">
        <v>74354</v>
      </c>
    </row>
    <row r="345" spans="1:3" x14ac:dyDescent="0.2">
      <c r="A345" s="1186" t="s">
        <v>311</v>
      </c>
      <c r="B345" s="1186" t="s">
        <v>30</v>
      </c>
      <c r="C345" s="1186">
        <v>58158</v>
      </c>
    </row>
    <row r="346" spans="1:3" x14ac:dyDescent="0.2">
      <c r="A346" s="1186" t="s">
        <v>311</v>
      </c>
      <c r="B346" s="1186" t="s">
        <v>31</v>
      </c>
      <c r="C346" s="1186">
        <v>46430</v>
      </c>
    </row>
    <row r="347" spans="1:3" x14ac:dyDescent="0.2">
      <c r="A347" s="1186" t="s">
        <v>311</v>
      </c>
      <c r="B347" s="1186" t="s">
        <v>32</v>
      </c>
      <c r="C347" s="1186">
        <v>47407</v>
      </c>
    </row>
    <row r="348" spans="1:3" x14ac:dyDescent="0.2">
      <c r="A348" s="1186" t="s">
        <v>311</v>
      </c>
      <c r="B348" s="1186" t="s">
        <v>33</v>
      </c>
      <c r="C348" s="1186">
        <v>38677</v>
      </c>
    </row>
    <row r="349" spans="1:3" x14ac:dyDescent="0.2">
      <c r="A349" s="1186" t="s">
        <v>311</v>
      </c>
      <c r="B349" s="1186" t="s">
        <v>34</v>
      </c>
      <c r="C349" s="1186">
        <v>74361</v>
      </c>
    </row>
    <row r="350" spans="1:3" x14ac:dyDescent="0.2">
      <c r="A350" s="1186" t="s">
        <v>311</v>
      </c>
      <c r="B350" s="1186" t="s">
        <v>35</v>
      </c>
      <c r="C350" s="1186">
        <v>175915</v>
      </c>
    </row>
    <row r="351" spans="1:3" x14ac:dyDescent="0.2">
      <c r="A351" s="1186" t="s">
        <v>311</v>
      </c>
      <c r="B351" s="1186" t="s">
        <v>36</v>
      </c>
      <c r="C351" s="1186">
        <v>308293</v>
      </c>
    </row>
    <row r="352" spans="1:3" x14ac:dyDescent="0.2">
      <c r="A352" s="1186" t="s">
        <v>311</v>
      </c>
      <c r="B352" s="1186" t="s">
        <v>37</v>
      </c>
      <c r="C352" s="1186">
        <v>117291</v>
      </c>
    </row>
    <row r="353" spans="1:3" x14ac:dyDescent="0.2">
      <c r="A353" s="1186" t="s">
        <v>311</v>
      </c>
      <c r="B353" s="1186" t="s">
        <v>38</v>
      </c>
      <c r="C353" s="1186">
        <v>38848</v>
      </c>
    </row>
    <row r="354" spans="1:3" x14ac:dyDescent="0.2">
      <c r="A354" s="1186" t="s">
        <v>311</v>
      </c>
      <c r="B354" s="1186" t="s">
        <v>39</v>
      </c>
      <c r="C354" s="1186">
        <v>39937</v>
      </c>
    </row>
    <row r="355" spans="1:3" x14ac:dyDescent="0.2">
      <c r="A355" s="1186" t="s">
        <v>311</v>
      </c>
      <c r="B355" s="1186" t="s">
        <v>40</v>
      </c>
      <c r="C355" s="1186">
        <v>44838</v>
      </c>
    </row>
    <row r="356" spans="1:3" x14ac:dyDescent="0.2">
      <c r="A356" s="1186" t="s">
        <v>311</v>
      </c>
      <c r="B356" s="1186" t="s">
        <v>295</v>
      </c>
      <c r="C356" s="1186">
        <v>14714</v>
      </c>
    </row>
    <row r="357" spans="1:3" x14ac:dyDescent="0.2">
      <c r="A357" s="1186" t="s">
        <v>311</v>
      </c>
      <c r="B357" s="1186" t="s">
        <v>41</v>
      </c>
      <c r="C357" s="1186">
        <v>67960</v>
      </c>
    </row>
    <row r="358" spans="1:3" x14ac:dyDescent="0.2">
      <c r="A358" s="1186" t="s">
        <v>311</v>
      </c>
      <c r="B358" s="1186" t="s">
        <v>42</v>
      </c>
      <c r="C358" s="1186">
        <v>154286</v>
      </c>
    </row>
    <row r="359" spans="1:3" x14ac:dyDescent="0.2">
      <c r="A359" s="1186" t="s">
        <v>311</v>
      </c>
      <c r="B359" s="1186" t="s">
        <v>43</v>
      </c>
      <c r="C359" s="1186">
        <v>11192</v>
      </c>
    </row>
    <row r="360" spans="1:3" x14ac:dyDescent="0.2">
      <c r="A360" s="1186" t="s">
        <v>311</v>
      </c>
      <c r="B360" s="1186" t="s">
        <v>44</v>
      </c>
      <c r="C360" s="1186">
        <v>71810</v>
      </c>
    </row>
    <row r="361" spans="1:3" x14ac:dyDescent="0.2">
      <c r="A361" s="1186" t="s">
        <v>311</v>
      </c>
      <c r="B361" s="1186" t="s">
        <v>45</v>
      </c>
      <c r="C361" s="1186">
        <v>86449</v>
      </c>
    </row>
    <row r="362" spans="1:3" x14ac:dyDescent="0.2">
      <c r="A362" s="1186" t="s">
        <v>311</v>
      </c>
      <c r="B362" s="1186" t="s">
        <v>46</v>
      </c>
      <c r="C362" s="1186">
        <v>58167</v>
      </c>
    </row>
    <row r="363" spans="1:3" x14ac:dyDescent="0.2">
      <c r="A363" s="1186" t="s">
        <v>311</v>
      </c>
      <c r="B363" s="1186" t="s">
        <v>47</v>
      </c>
      <c r="C363" s="1186">
        <v>11180</v>
      </c>
    </row>
    <row r="364" spans="1:3" x14ac:dyDescent="0.2">
      <c r="A364" s="1186" t="s">
        <v>311</v>
      </c>
      <c r="B364" s="1186" t="s">
        <v>48</v>
      </c>
      <c r="C364" s="1186">
        <v>55252</v>
      </c>
    </row>
    <row r="365" spans="1:3" x14ac:dyDescent="0.2">
      <c r="A365" s="1186" t="s">
        <v>311</v>
      </c>
      <c r="B365" s="1186" t="s">
        <v>49</v>
      </c>
      <c r="C365" s="1186">
        <v>149972</v>
      </c>
    </row>
    <row r="366" spans="1:3" x14ac:dyDescent="0.2">
      <c r="A366" s="1186" t="s">
        <v>311</v>
      </c>
      <c r="B366" s="1186" t="s">
        <v>50</v>
      </c>
      <c r="C366" s="1186">
        <v>41250</v>
      </c>
    </row>
    <row r="367" spans="1:3" x14ac:dyDescent="0.2">
      <c r="A367" s="1186" t="s">
        <v>311</v>
      </c>
      <c r="B367" s="1186" t="s">
        <v>51</v>
      </c>
      <c r="C367" s="1186">
        <v>45093</v>
      </c>
    </row>
    <row r="368" spans="1:3" x14ac:dyDescent="0.2">
      <c r="A368" s="1186" t="s">
        <v>311</v>
      </c>
      <c r="B368" s="1186" t="s">
        <v>52</v>
      </c>
      <c r="C368" s="1186">
        <v>79112</v>
      </c>
    </row>
    <row r="369" spans="1:3" x14ac:dyDescent="0.2">
      <c r="A369" s="1186" t="s">
        <v>621</v>
      </c>
      <c r="B369" s="1186" t="s">
        <v>23</v>
      </c>
      <c r="C369" s="1186">
        <v>118131</v>
      </c>
    </row>
    <row r="370" spans="1:3" x14ac:dyDescent="0.2">
      <c r="A370" s="1186" t="s">
        <v>621</v>
      </c>
      <c r="B370" s="1186" t="s">
        <v>24</v>
      </c>
      <c r="C370" s="1186">
        <v>118197</v>
      </c>
    </row>
    <row r="371" spans="1:3" x14ac:dyDescent="0.2">
      <c r="A371" s="1186" t="s">
        <v>621</v>
      </c>
      <c r="B371" s="1186" t="s">
        <v>25</v>
      </c>
      <c r="C371" s="1186">
        <v>56485</v>
      </c>
    </row>
    <row r="372" spans="1:3" x14ac:dyDescent="0.2">
      <c r="A372" s="1186" t="s">
        <v>621</v>
      </c>
      <c r="B372" s="1186" t="s">
        <v>26</v>
      </c>
      <c r="C372" s="1186">
        <v>48020</v>
      </c>
    </row>
    <row r="373" spans="1:3" x14ac:dyDescent="0.2">
      <c r="A373" s="1186" t="s">
        <v>621</v>
      </c>
      <c r="B373" s="1186" t="s">
        <v>619</v>
      </c>
      <c r="C373" s="1186">
        <v>249810</v>
      </c>
    </row>
    <row r="374" spans="1:3" x14ac:dyDescent="0.2">
      <c r="A374" s="1186" t="s">
        <v>621</v>
      </c>
      <c r="B374" s="1186" t="s">
        <v>27</v>
      </c>
      <c r="C374" s="1186">
        <v>24524</v>
      </c>
    </row>
    <row r="375" spans="1:3" x14ac:dyDescent="0.2">
      <c r="A375" s="1186" t="s">
        <v>621</v>
      </c>
      <c r="B375" s="1186" t="s">
        <v>28</v>
      </c>
      <c r="C375" s="1186">
        <v>74823</v>
      </c>
    </row>
    <row r="376" spans="1:3" x14ac:dyDescent="0.2">
      <c r="A376" s="1186" t="s">
        <v>621</v>
      </c>
      <c r="B376" s="1186" t="s">
        <v>29</v>
      </c>
      <c r="C376" s="1186">
        <v>74531</v>
      </c>
    </row>
    <row r="377" spans="1:3" x14ac:dyDescent="0.2">
      <c r="A377" s="1186" t="s">
        <v>621</v>
      </c>
      <c r="B377" s="1186" t="s">
        <v>30</v>
      </c>
      <c r="C377" s="1186">
        <v>58453</v>
      </c>
    </row>
    <row r="378" spans="1:3" x14ac:dyDescent="0.2">
      <c r="A378" s="1186" t="s">
        <v>621</v>
      </c>
      <c r="B378" s="1186" t="s">
        <v>31</v>
      </c>
      <c r="C378" s="1186">
        <v>46721</v>
      </c>
    </row>
    <row r="379" spans="1:3" x14ac:dyDescent="0.2">
      <c r="A379" s="1186" t="s">
        <v>621</v>
      </c>
      <c r="B379" s="1186" t="s">
        <v>32</v>
      </c>
      <c r="C379" s="1186">
        <v>48055</v>
      </c>
    </row>
    <row r="380" spans="1:3" x14ac:dyDescent="0.2">
      <c r="A380" s="1186" t="s">
        <v>621</v>
      </c>
      <c r="B380" s="1186" t="s">
        <v>33</v>
      </c>
      <c r="C380" s="1186">
        <v>38902</v>
      </c>
    </row>
    <row r="381" spans="1:3" x14ac:dyDescent="0.2">
      <c r="A381" s="1186" t="s">
        <v>621</v>
      </c>
      <c r="B381" s="1186" t="s">
        <v>34</v>
      </c>
      <c r="C381" s="1186">
        <v>74826</v>
      </c>
    </row>
    <row r="382" spans="1:3" x14ac:dyDescent="0.2">
      <c r="A382" s="1186" t="s">
        <v>621</v>
      </c>
      <c r="B382" s="1186" t="s">
        <v>35</v>
      </c>
      <c r="C382" s="1186">
        <v>177084</v>
      </c>
    </row>
    <row r="383" spans="1:3" x14ac:dyDescent="0.2">
      <c r="A383" s="1186" t="s">
        <v>621</v>
      </c>
      <c r="B383" s="1186" t="s">
        <v>36</v>
      </c>
      <c r="C383" s="1186">
        <v>311447</v>
      </c>
    </row>
    <row r="384" spans="1:3" x14ac:dyDescent="0.2">
      <c r="A384" s="1186" t="s">
        <v>621</v>
      </c>
      <c r="B384" s="1186" t="s">
        <v>37</v>
      </c>
      <c r="C384" s="1186">
        <v>118117</v>
      </c>
    </row>
    <row r="385" spans="1:3" x14ac:dyDescent="0.2">
      <c r="A385" s="1186" t="s">
        <v>621</v>
      </c>
      <c r="B385" s="1186" t="s">
        <v>38</v>
      </c>
      <c r="C385" s="1186">
        <v>38985</v>
      </c>
    </row>
    <row r="386" spans="1:3" x14ac:dyDescent="0.2">
      <c r="A386" s="1186" t="s">
        <v>621</v>
      </c>
      <c r="B386" s="1186" t="s">
        <v>39</v>
      </c>
      <c r="C386" s="1186">
        <v>40612</v>
      </c>
    </row>
    <row r="387" spans="1:3" x14ac:dyDescent="0.2">
      <c r="A387" s="1186" t="s">
        <v>621</v>
      </c>
      <c r="B387" s="1186" t="s">
        <v>40</v>
      </c>
      <c r="C387" s="1186">
        <v>45209</v>
      </c>
    </row>
    <row r="388" spans="1:3" x14ac:dyDescent="0.2">
      <c r="A388" s="1186" t="s">
        <v>621</v>
      </c>
      <c r="B388" s="1186" t="s">
        <v>295</v>
      </c>
      <c r="C388" s="1186">
        <v>14706</v>
      </c>
    </row>
    <row r="389" spans="1:3" x14ac:dyDescent="0.2">
      <c r="A389" s="1186" t="s">
        <v>621</v>
      </c>
      <c r="B389" s="1186" t="s">
        <v>41</v>
      </c>
      <c r="C389" s="1186">
        <v>68158</v>
      </c>
    </row>
    <row r="390" spans="1:3" x14ac:dyDescent="0.2">
      <c r="A390" s="1186" t="s">
        <v>621</v>
      </c>
      <c r="B390" s="1186" t="s">
        <v>42</v>
      </c>
      <c r="C390" s="1186">
        <v>155364</v>
      </c>
    </row>
    <row r="391" spans="1:3" x14ac:dyDescent="0.2">
      <c r="A391" s="1186" t="s">
        <v>621</v>
      </c>
      <c r="B391" s="1186" t="s">
        <v>43</v>
      </c>
      <c r="C391" s="1186">
        <v>11261</v>
      </c>
    </row>
    <row r="392" spans="1:3" x14ac:dyDescent="0.2">
      <c r="A392" s="1186" t="s">
        <v>621</v>
      </c>
      <c r="B392" s="1186" t="s">
        <v>44</v>
      </c>
      <c r="C392" s="1186">
        <v>72441</v>
      </c>
    </row>
    <row r="393" spans="1:3" x14ac:dyDescent="0.2">
      <c r="A393" s="1186" t="s">
        <v>621</v>
      </c>
      <c r="B393" s="1186" t="s">
        <v>45</v>
      </c>
      <c r="C393" s="1186">
        <v>87265</v>
      </c>
    </row>
    <row r="394" spans="1:3" x14ac:dyDescent="0.2">
      <c r="A394" s="1186" t="s">
        <v>621</v>
      </c>
      <c r="B394" s="1186" t="s">
        <v>46</v>
      </c>
      <c r="C394" s="1186">
        <v>58425</v>
      </c>
    </row>
    <row r="395" spans="1:3" x14ac:dyDescent="0.2">
      <c r="A395" s="1186" t="s">
        <v>621</v>
      </c>
      <c r="B395" s="1186" t="s">
        <v>47</v>
      </c>
      <c r="C395" s="1186">
        <v>11270</v>
      </c>
    </row>
    <row r="396" spans="1:3" x14ac:dyDescent="0.2">
      <c r="A396" s="1186" t="s">
        <v>621</v>
      </c>
      <c r="B396" s="1186" t="s">
        <v>48</v>
      </c>
      <c r="C396" s="1186">
        <v>55486</v>
      </c>
    </row>
    <row r="397" spans="1:3" x14ac:dyDescent="0.2">
      <c r="A397" s="1186" t="s">
        <v>621</v>
      </c>
      <c r="B397" s="1186" t="s">
        <v>49</v>
      </c>
      <c r="C397" s="1186">
        <v>151352</v>
      </c>
    </row>
    <row r="398" spans="1:3" x14ac:dyDescent="0.2">
      <c r="A398" s="1186" t="s">
        <v>621</v>
      </c>
      <c r="B398" s="1186" t="s">
        <v>50</v>
      </c>
      <c r="C398" s="1186">
        <v>41443</v>
      </c>
    </row>
    <row r="399" spans="1:3" x14ac:dyDescent="0.2">
      <c r="A399" s="1186" t="s">
        <v>621</v>
      </c>
      <c r="B399" s="1186" t="s">
        <v>51</v>
      </c>
      <c r="C399" s="1186">
        <v>45228</v>
      </c>
    </row>
    <row r="400" spans="1:3" x14ac:dyDescent="0.2">
      <c r="A400" s="1186" t="s">
        <v>621</v>
      </c>
      <c r="B400" s="1186" t="s">
        <v>52</v>
      </c>
      <c r="C400" s="1186">
        <v>79854</v>
      </c>
    </row>
    <row r="401" spans="1:3" x14ac:dyDescent="0.2">
      <c r="A401" s="1186" t="s">
        <v>1419</v>
      </c>
      <c r="B401" s="1186" t="s">
        <v>23</v>
      </c>
      <c r="C401" s="1186">
        <v>119523</v>
      </c>
    </row>
    <row r="402" spans="1:3" x14ac:dyDescent="0.2">
      <c r="A402" s="1186" t="s">
        <v>1419</v>
      </c>
      <c r="B402" s="1186" t="s">
        <v>24</v>
      </c>
      <c r="C402" s="1186">
        <v>119196</v>
      </c>
    </row>
    <row r="403" spans="1:3" x14ac:dyDescent="0.2">
      <c r="A403" s="1186" t="s">
        <v>1419</v>
      </c>
      <c r="B403" s="1186" t="s">
        <v>25</v>
      </c>
      <c r="C403" s="1186">
        <v>56928</v>
      </c>
    </row>
    <row r="404" spans="1:3" x14ac:dyDescent="0.2">
      <c r="A404" s="1186" t="s">
        <v>1419</v>
      </c>
      <c r="B404" s="1186" t="s">
        <v>26</v>
      </c>
      <c r="C404" s="1186">
        <v>48134</v>
      </c>
    </row>
    <row r="405" spans="1:3" x14ac:dyDescent="0.2">
      <c r="A405" s="1186" t="s">
        <v>1419</v>
      </c>
      <c r="B405" s="1186" t="s">
        <v>619</v>
      </c>
      <c r="C405" s="1186">
        <v>252731</v>
      </c>
    </row>
    <row r="406" spans="1:3" x14ac:dyDescent="0.2">
      <c r="A406" s="1186" t="s">
        <v>1419</v>
      </c>
      <c r="B406" s="1186" t="s">
        <v>27</v>
      </c>
      <c r="C406" s="1186">
        <v>24716</v>
      </c>
    </row>
    <row r="407" spans="1:3" x14ac:dyDescent="0.2">
      <c r="A407" s="1186" t="s">
        <v>1419</v>
      </c>
      <c r="B407" s="1186" t="s">
        <v>28</v>
      </c>
      <c r="C407" s="1186">
        <v>75089</v>
      </c>
    </row>
    <row r="408" spans="1:3" x14ac:dyDescent="0.2">
      <c r="A408" s="1186" t="s">
        <v>1419</v>
      </c>
      <c r="B408" s="1186" t="s">
        <v>29</v>
      </c>
      <c r="C408" s="1186">
        <v>74891</v>
      </c>
    </row>
    <row r="409" spans="1:3" x14ac:dyDescent="0.2">
      <c r="A409" s="1186" t="s">
        <v>1419</v>
      </c>
      <c r="B409" s="1186" t="s">
        <v>30</v>
      </c>
      <c r="C409" s="1186">
        <v>58628</v>
      </c>
    </row>
    <row r="410" spans="1:3" x14ac:dyDescent="0.2">
      <c r="A410" s="1186" t="s">
        <v>1419</v>
      </c>
      <c r="B410" s="1186" t="s">
        <v>31</v>
      </c>
      <c r="C410" s="1186">
        <v>46986</v>
      </c>
    </row>
    <row r="411" spans="1:3" x14ac:dyDescent="0.2">
      <c r="A411" s="1186" t="s">
        <v>1419</v>
      </c>
      <c r="B411" s="1186" t="s">
        <v>32</v>
      </c>
      <c r="C411" s="1186">
        <v>48851</v>
      </c>
    </row>
    <row r="412" spans="1:3" x14ac:dyDescent="0.2">
      <c r="A412" s="1186" t="s">
        <v>1419</v>
      </c>
      <c r="B412" s="1186" t="s">
        <v>33</v>
      </c>
      <c r="C412" s="1186">
        <v>39144</v>
      </c>
    </row>
    <row r="413" spans="1:3" x14ac:dyDescent="0.2">
      <c r="A413" s="1186" t="s">
        <v>1419</v>
      </c>
      <c r="B413" s="1186" t="s">
        <v>34</v>
      </c>
      <c r="C413" s="1186">
        <v>75226</v>
      </c>
    </row>
    <row r="414" spans="1:3" x14ac:dyDescent="0.2">
      <c r="A414" s="1186" t="s">
        <v>1419</v>
      </c>
      <c r="B414" s="1186" t="s">
        <v>35</v>
      </c>
      <c r="C414" s="1186">
        <v>178183</v>
      </c>
    </row>
    <row r="415" spans="1:3" x14ac:dyDescent="0.2">
      <c r="A415" s="1186" t="s">
        <v>1419</v>
      </c>
      <c r="B415" s="1186" t="s">
        <v>36</v>
      </c>
      <c r="C415" s="1186">
        <v>314604</v>
      </c>
    </row>
    <row r="416" spans="1:3" x14ac:dyDescent="0.2">
      <c r="A416" s="1186" t="s">
        <v>1419</v>
      </c>
      <c r="B416" s="1186" t="s">
        <v>37</v>
      </c>
      <c r="C416" s="1186">
        <v>119061</v>
      </c>
    </row>
    <row r="417" spans="1:3" x14ac:dyDescent="0.2">
      <c r="A417" s="1186" t="s">
        <v>1419</v>
      </c>
      <c r="B417" s="1186" t="s">
        <v>38</v>
      </c>
      <c r="C417" s="1186">
        <v>38977</v>
      </c>
    </row>
    <row r="418" spans="1:3" x14ac:dyDescent="0.2">
      <c r="A418" s="1186" t="s">
        <v>1419</v>
      </c>
      <c r="B418" s="1186" t="s">
        <v>39</v>
      </c>
      <c r="C418" s="1186">
        <v>41226</v>
      </c>
    </row>
    <row r="419" spans="1:3" x14ac:dyDescent="0.2">
      <c r="A419" s="1186" t="s">
        <v>1419</v>
      </c>
      <c r="B419" s="1186" t="s">
        <v>40</v>
      </c>
      <c r="C419" s="1186">
        <v>45630</v>
      </c>
    </row>
    <row r="420" spans="1:3" x14ac:dyDescent="0.2">
      <c r="A420" s="1186" t="s">
        <v>1419</v>
      </c>
      <c r="B420" s="1186" t="s">
        <v>295</v>
      </c>
      <c r="C420" s="1186">
        <v>14734</v>
      </c>
    </row>
    <row r="421" spans="1:3" x14ac:dyDescent="0.2">
      <c r="A421" s="1186" t="s">
        <v>1419</v>
      </c>
      <c r="B421" s="1186" t="s">
        <v>41</v>
      </c>
      <c r="C421" s="1186">
        <v>68496</v>
      </c>
    </row>
    <row r="422" spans="1:3" x14ac:dyDescent="0.2">
      <c r="A422" s="1186" t="s">
        <v>1419</v>
      </c>
      <c r="B422" s="1186" t="s">
        <v>42</v>
      </c>
      <c r="C422" s="1186">
        <v>156694</v>
      </c>
    </row>
    <row r="423" spans="1:3" x14ac:dyDescent="0.2">
      <c r="A423" s="1186" t="s">
        <v>1419</v>
      </c>
      <c r="B423" s="1186" t="s">
        <v>43</v>
      </c>
      <c r="C423" s="1186">
        <v>11322</v>
      </c>
    </row>
    <row r="424" spans="1:3" x14ac:dyDescent="0.2">
      <c r="A424" s="1186" t="s">
        <v>1419</v>
      </c>
      <c r="B424" s="1186" t="s">
        <v>44</v>
      </c>
      <c r="C424" s="1186">
        <v>73267</v>
      </c>
    </row>
    <row r="425" spans="1:3" x14ac:dyDescent="0.2">
      <c r="A425" s="1186" t="s">
        <v>1419</v>
      </c>
      <c r="B425" s="1186" t="s">
        <v>45</v>
      </c>
      <c r="C425" s="1186">
        <v>88086</v>
      </c>
    </row>
    <row r="426" spans="1:3" x14ac:dyDescent="0.2">
      <c r="A426" s="1186" t="s">
        <v>1419</v>
      </c>
      <c r="B426" s="1186" t="s">
        <v>46</v>
      </c>
      <c r="C426" s="1186">
        <v>58671</v>
      </c>
    </row>
    <row r="427" spans="1:3" x14ac:dyDescent="0.2">
      <c r="A427" s="1186" t="s">
        <v>1419</v>
      </c>
      <c r="B427" s="1186" t="s">
        <v>47</v>
      </c>
      <c r="C427" s="1186">
        <v>11305</v>
      </c>
    </row>
    <row r="428" spans="1:3" x14ac:dyDescent="0.2">
      <c r="A428" s="1186" t="s">
        <v>1419</v>
      </c>
      <c r="B428" s="1186" t="s">
        <v>48</v>
      </c>
      <c r="C428" s="1186">
        <v>55668</v>
      </c>
    </row>
    <row r="429" spans="1:3" x14ac:dyDescent="0.2">
      <c r="A429" s="1186" t="s">
        <v>1419</v>
      </c>
      <c r="B429" s="1186" t="s">
        <v>49</v>
      </c>
      <c r="C429" s="1186">
        <v>152998</v>
      </c>
    </row>
    <row r="430" spans="1:3" x14ac:dyDescent="0.2">
      <c r="A430" s="1186" t="s">
        <v>1419</v>
      </c>
      <c r="B430" s="1186" t="s">
        <v>50</v>
      </c>
      <c r="C430" s="1186">
        <v>41638</v>
      </c>
    </row>
    <row r="431" spans="1:3" x14ac:dyDescent="0.2">
      <c r="A431" s="1186" t="s">
        <v>1419</v>
      </c>
      <c r="B431" s="1186" t="s">
        <v>51</v>
      </c>
      <c r="C431" s="1186">
        <v>45357</v>
      </c>
    </row>
    <row r="432" spans="1:3" x14ac:dyDescent="0.2">
      <c r="A432" s="1186" t="s">
        <v>1419</v>
      </c>
      <c r="B432" s="1186" t="s">
        <v>52</v>
      </c>
      <c r="C432" s="1186">
        <v>80911</v>
      </c>
    </row>
    <row r="433" spans="1:3" x14ac:dyDescent="0.2">
      <c r="A433" s="1186" t="s">
        <v>1572</v>
      </c>
      <c r="B433" s="1186" t="s">
        <v>23</v>
      </c>
      <c r="C433" s="1186">
        <v>120980</v>
      </c>
    </row>
    <row r="434" spans="1:3" x14ac:dyDescent="0.2">
      <c r="A434" s="1186" t="s">
        <v>1572</v>
      </c>
      <c r="B434" s="1186" t="s">
        <v>24</v>
      </c>
      <c r="C434" s="1186">
        <v>119854</v>
      </c>
    </row>
    <row r="435" spans="1:3" x14ac:dyDescent="0.2">
      <c r="A435" s="1186" t="s">
        <v>1572</v>
      </c>
      <c r="B435" s="1186" t="s">
        <v>25</v>
      </c>
      <c r="C435" s="1186">
        <v>57206</v>
      </c>
    </row>
    <row r="436" spans="1:3" x14ac:dyDescent="0.2">
      <c r="A436" s="1186" t="s">
        <v>1572</v>
      </c>
      <c r="B436" s="1186" t="s">
        <v>26</v>
      </c>
      <c r="C436" s="1186">
        <v>48199</v>
      </c>
    </row>
    <row r="437" spans="1:3" x14ac:dyDescent="0.2">
      <c r="A437" s="1186" t="s">
        <v>1572</v>
      </c>
      <c r="B437" s="1186" t="s">
        <v>619</v>
      </c>
      <c r="C437" s="1186">
        <v>254929</v>
      </c>
    </row>
    <row r="438" spans="1:3" x14ac:dyDescent="0.2">
      <c r="A438" s="1186" t="s">
        <v>1572</v>
      </c>
      <c r="B438" s="1186" t="s">
        <v>27</v>
      </c>
      <c r="C438" s="1186">
        <v>24838</v>
      </c>
    </row>
    <row r="439" spans="1:3" x14ac:dyDescent="0.2">
      <c r="A439" s="1186" t="s">
        <v>1572</v>
      </c>
      <c r="B439" s="1186" t="s">
        <v>28</v>
      </c>
      <c r="C439" s="1186">
        <v>75298</v>
      </c>
    </row>
    <row r="440" spans="1:3" x14ac:dyDescent="0.2">
      <c r="A440" s="1186" t="s">
        <v>1572</v>
      </c>
      <c r="B440" s="1186" t="s">
        <v>29</v>
      </c>
      <c r="C440" s="1186">
        <v>75027</v>
      </c>
    </row>
    <row r="441" spans="1:3" x14ac:dyDescent="0.2">
      <c r="A441" s="1186" t="s">
        <v>1572</v>
      </c>
      <c r="B441" s="1186" t="s">
        <v>30</v>
      </c>
      <c r="C441" s="1186">
        <v>58821</v>
      </c>
    </row>
    <row r="442" spans="1:3" x14ac:dyDescent="0.2">
      <c r="A442" s="1186" t="s">
        <v>1572</v>
      </c>
      <c r="B442" s="1186" t="s">
        <v>31</v>
      </c>
      <c r="C442" s="1186">
        <v>47251</v>
      </c>
    </row>
    <row r="443" spans="1:3" x14ac:dyDescent="0.2">
      <c r="A443" s="1186" t="s">
        <v>1572</v>
      </c>
      <c r="B443" s="1186" t="s">
        <v>32</v>
      </c>
      <c r="C443" s="1186">
        <v>49642</v>
      </c>
    </row>
    <row r="444" spans="1:3" x14ac:dyDescent="0.2">
      <c r="A444" s="1186" t="s">
        <v>1572</v>
      </c>
      <c r="B444" s="1186" t="s">
        <v>33</v>
      </c>
      <c r="C444" s="1186">
        <v>39453</v>
      </c>
    </row>
    <row r="445" spans="1:3" x14ac:dyDescent="0.2">
      <c r="A445" s="1186" t="s">
        <v>1572</v>
      </c>
      <c r="B445" s="1186" t="s">
        <v>34</v>
      </c>
      <c r="C445" s="1186">
        <v>75595</v>
      </c>
    </row>
    <row r="446" spans="1:3" x14ac:dyDescent="0.2">
      <c r="A446" s="1186" t="s">
        <v>1572</v>
      </c>
      <c r="B446" s="1186" t="s">
        <v>35</v>
      </c>
      <c r="C446" s="1186">
        <v>179232</v>
      </c>
    </row>
    <row r="447" spans="1:3" x14ac:dyDescent="0.2">
      <c r="A447" s="1186" t="s">
        <v>1572</v>
      </c>
      <c r="B447" s="1186" t="s">
        <v>36</v>
      </c>
      <c r="C447" s="1186">
        <v>317193</v>
      </c>
    </row>
    <row r="448" spans="1:3" x14ac:dyDescent="0.2">
      <c r="A448" s="1186" t="s">
        <v>1572</v>
      </c>
      <c r="B448" s="1186" t="s">
        <v>37</v>
      </c>
      <c r="C448" s="1186">
        <v>119918</v>
      </c>
    </row>
    <row r="449" spans="1:3" x14ac:dyDescent="0.2">
      <c r="A449" s="1186" t="s">
        <v>1572</v>
      </c>
      <c r="B449" s="1186" t="s">
        <v>38</v>
      </c>
      <c r="C449" s="1186">
        <v>39107</v>
      </c>
    </row>
    <row r="450" spans="1:3" x14ac:dyDescent="0.2">
      <c r="A450" s="1186" t="s">
        <v>1572</v>
      </c>
      <c r="B450" s="1186" t="s">
        <v>39</v>
      </c>
      <c r="C450" s="1186">
        <v>41657</v>
      </c>
    </row>
    <row r="451" spans="1:3" x14ac:dyDescent="0.2">
      <c r="A451" s="1186" t="s">
        <v>1572</v>
      </c>
      <c r="B451" s="1186" t="s">
        <v>40</v>
      </c>
      <c r="C451" s="1186">
        <v>45838</v>
      </c>
    </row>
    <row r="452" spans="1:3" x14ac:dyDescent="0.2">
      <c r="A452" s="1186" t="s">
        <v>1572</v>
      </c>
      <c r="B452" s="1186" t="s">
        <v>295</v>
      </c>
      <c r="C452" s="1186">
        <v>14764</v>
      </c>
    </row>
    <row r="453" spans="1:3" x14ac:dyDescent="0.2">
      <c r="A453" s="1186" t="s">
        <v>1572</v>
      </c>
      <c r="B453" s="1186" t="s">
        <v>41</v>
      </c>
      <c r="C453" s="1186">
        <v>68843</v>
      </c>
    </row>
    <row r="454" spans="1:3" x14ac:dyDescent="0.2">
      <c r="A454" s="1186" t="s">
        <v>1572</v>
      </c>
      <c r="B454" s="1186" t="s">
        <v>42</v>
      </c>
      <c r="C454" s="1186">
        <v>157625</v>
      </c>
    </row>
    <row r="455" spans="1:3" x14ac:dyDescent="0.2">
      <c r="A455" s="1186" t="s">
        <v>1572</v>
      </c>
      <c r="B455" s="1186" t="s">
        <v>43</v>
      </c>
      <c r="C455" s="1186">
        <v>11391</v>
      </c>
    </row>
    <row r="456" spans="1:3" x14ac:dyDescent="0.2">
      <c r="A456" s="1186" t="s">
        <v>1572</v>
      </c>
      <c r="B456" s="1186" t="s">
        <v>44</v>
      </c>
      <c r="C456" s="1186">
        <v>73775</v>
      </c>
    </row>
    <row r="457" spans="1:3" x14ac:dyDescent="0.2">
      <c r="A457" s="1186" t="s">
        <v>1572</v>
      </c>
      <c r="B457" s="1186" t="s">
        <v>45</v>
      </c>
      <c r="C457" s="1186">
        <v>88624</v>
      </c>
    </row>
    <row r="458" spans="1:3" x14ac:dyDescent="0.2">
      <c r="A458" s="1186" t="s">
        <v>1572</v>
      </c>
      <c r="B458" s="1186" t="s">
        <v>46</v>
      </c>
      <c r="C458" s="1186">
        <v>58814</v>
      </c>
    </row>
    <row r="459" spans="1:3" x14ac:dyDescent="0.2">
      <c r="A459" s="1186" t="s">
        <v>1572</v>
      </c>
      <c r="B459" s="1186" t="s">
        <v>47</v>
      </c>
      <c r="C459" s="1186">
        <v>11374</v>
      </c>
    </row>
    <row r="460" spans="1:3" x14ac:dyDescent="0.2">
      <c r="A460" s="1186" t="s">
        <v>1572</v>
      </c>
      <c r="B460" s="1186" t="s">
        <v>48</v>
      </c>
      <c r="C460" s="1186">
        <v>55793</v>
      </c>
    </row>
    <row r="461" spans="1:3" x14ac:dyDescent="0.2">
      <c r="A461" s="1186" t="s">
        <v>1572</v>
      </c>
      <c r="B461" s="1186" t="s">
        <v>49</v>
      </c>
      <c r="C461" s="1186">
        <v>153863</v>
      </c>
    </row>
    <row r="462" spans="1:3" x14ac:dyDescent="0.2">
      <c r="A462" s="1186" t="s">
        <v>1572</v>
      </c>
      <c r="B462" s="1186" t="s">
        <v>50</v>
      </c>
      <c r="C462" s="1186">
        <v>41950</v>
      </c>
    </row>
    <row r="463" spans="1:3" x14ac:dyDescent="0.2">
      <c r="A463" s="1186" t="s">
        <v>1572</v>
      </c>
      <c r="B463" s="1186" t="s">
        <v>51</v>
      </c>
      <c r="C463" s="1186">
        <v>45148</v>
      </c>
    </row>
    <row r="464" spans="1:3" x14ac:dyDescent="0.2">
      <c r="A464" s="1186" t="s">
        <v>1572</v>
      </c>
      <c r="B464" s="1186" t="s">
        <v>52</v>
      </c>
      <c r="C464" s="1186">
        <v>81723</v>
      </c>
    </row>
  </sheetData>
  <pageMargins left="0.7" right="0.7" top="0.75" bottom="0.75" header="0.3" footer="0.3"/>
  <pageSetup paperSize="9" fitToHeight="50" orientation="landscape" r:id="rId1"/>
  <legacy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pageSetUpPr fitToPage="1"/>
  </sheetPr>
  <dimension ref="A4:O5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sheetData>
    <row r="4" spans="1:15" x14ac:dyDescent="0.2">
      <c r="A4" s="1223" t="s">
        <v>464</v>
      </c>
      <c r="B4" s="1223" t="s">
        <v>444</v>
      </c>
      <c r="C4" s="1223" t="s">
        <v>1784</v>
      </c>
      <c r="D4" s="1223" t="s">
        <v>1785</v>
      </c>
      <c r="E4" s="1223" t="s">
        <v>1782</v>
      </c>
      <c r="F4" s="1223" t="s">
        <v>1773</v>
      </c>
      <c r="G4" s="1223" t="s">
        <v>1774</v>
      </c>
      <c r="H4" s="1223" t="s">
        <v>1775</v>
      </c>
      <c r="I4" s="1223" t="s">
        <v>1776</v>
      </c>
      <c r="J4" s="1223" t="s">
        <v>1632</v>
      </c>
      <c r="K4" s="1223" t="s">
        <v>11</v>
      </c>
      <c r="L4" s="1223" t="s">
        <v>1777</v>
      </c>
      <c r="M4" s="1223" t="s">
        <v>1778</v>
      </c>
      <c r="N4" s="1223" t="s">
        <v>1779</v>
      </c>
      <c r="O4" s="1223" t="s">
        <v>1780</v>
      </c>
    </row>
    <row r="5" spans="1:15" x14ac:dyDescent="0.2">
      <c r="A5" s="1186" t="s">
        <v>19</v>
      </c>
      <c r="B5" s="1186" t="s">
        <v>414</v>
      </c>
      <c r="C5" s="1186">
        <v>1</v>
      </c>
      <c r="D5" s="1186" t="s">
        <v>162</v>
      </c>
      <c r="E5" s="1186">
        <v>13</v>
      </c>
      <c r="F5" s="1186"/>
      <c r="G5" s="1186">
        <v>1</v>
      </c>
      <c r="H5" s="1186">
        <v>4</v>
      </c>
      <c r="I5" s="1186">
        <v>8</v>
      </c>
      <c r="J5" s="1186" t="s">
        <v>19</v>
      </c>
      <c r="K5" s="1186">
        <v>5231900</v>
      </c>
      <c r="L5" s="1186">
        <v>984309</v>
      </c>
      <c r="M5" s="1186">
        <v>893916</v>
      </c>
      <c r="N5" s="1186">
        <v>2159788</v>
      </c>
      <c r="O5" s="1186">
        <v>1193887</v>
      </c>
    </row>
    <row r="6" spans="1:15" x14ac:dyDescent="0.2">
      <c r="A6" s="1186" t="s">
        <v>19</v>
      </c>
      <c r="B6" s="1186" t="s">
        <v>414</v>
      </c>
      <c r="C6" s="1186">
        <v>2</v>
      </c>
      <c r="D6" s="1186" t="s">
        <v>417</v>
      </c>
      <c r="E6" s="1186">
        <v>10</v>
      </c>
      <c r="F6" s="1186"/>
      <c r="G6" s="1186"/>
      <c r="H6" s="1186">
        <v>8</v>
      </c>
      <c r="I6" s="1186">
        <v>2</v>
      </c>
      <c r="J6" s="1186" t="s">
        <v>19</v>
      </c>
      <c r="K6" s="1186">
        <v>5231900</v>
      </c>
      <c r="L6" s="1186">
        <v>984309</v>
      </c>
      <c r="M6" s="1186">
        <v>893916</v>
      </c>
      <c r="N6" s="1186">
        <v>2159788</v>
      </c>
      <c r="O6" s="1186">
        <v>1193887</v>
      </c>
    </row>
    <row r="7" spans="1:15" x14ac:dyDescent="0.2">
      <c r="A7" s="1186" t="s">
        <v>19</v>
      </c>
      <c r="B7" s="1186" t="s">
        <v>414</v>
      </c>
      <c r="C7" s="1186">
        <v>3</v>
      </c>
      <c r="D7" s="1186" t="s">
        <v>418</v>
      </c>
      <c r="E7" s="1186">
        <v>22</v>
      </c>
      <c r="F7" s="1186"/>
      <c r="G7" s="1186">
        <v>1</v>
      </c>
      <c r="H7" s="1186">
        <v>10</v>
      </c>
      <c r="I7" s="1186">
        <v>11</v>
      </c>
      <c r="J7" s="1186" t="s">
        <v>19</v>
      </c>
      <c r="K7" s="1186">
        <v>5231900</v>
      </c>
      <c r="L7" s="1186">
        <v>984309</v>
      </c>
      <c r="M7" s="1186">
        <v>893916</v>
      </c>
      <c r="N7" s="1186">
        <v>2159788</v>
      </c>
      <c r="O7" s="1186">
        <v>1193887</v>
      </c>
    </row>
    <row r="8" spans="1:15" x14ac:dyDescent="0.2">
      <c r="A8" s="1186" t="s">
        <v>19</v>
      </c>
      <c r="B8" s="1186" t="s">
        <v>414</v>
      </c>
      <c r="C8" s="1186">
        <v>6</v>
      </c>
      <c r="D8" s="1186" t="s">
        <v>1788</v>
      </c>
      <c r="E8" s="1186">
        <v>3</v>
      </c>
      <c r="F8" s="1186"/>
      <c r="G8" s="1186"/>
      <c r="H8" s="1186"/>
      <c r="I8" s="1186">
        <v>3</v>
      </c>
      <c r="J8" s="1186" t="s">
        <v>19</v>
      </c>
      <c r="K8" s="1186">
        <v>5231900</v>
      </c>
      <c r="L8" s="1186">
        <v>984309</v>
      </c>
      <c r="M8" s="1186">
        <v>893916</v>
      </c>
      <c r="N8" s="1186">
        <v>2159788</v>
      </c>
      <c r="O8" s="1186">
        <v>1193887</v>
      </c>
    </row>
    <row r="9" spans="1:15" x14ac:dyDescent="0.2">
      <c r="A9" s="1186" t="s">
        <v>19</v>
      </c>
      <c r="B9" s="1186" t="s">
        <v>421</v>
      </c>
      <c r="C9" s="1186">
        <v>8</v>
      </c>
      <c r="D9" s="1186" t="s">
        <v>201</v>
      </c>
      <c r="E9" s="1186">
        <v>1</v>
      </c>
      <c r="F9" s="1186"/>
      <c r="G9" s="1186"/>
      <c r="H9" s="1186">
        <v>1</v>
      </c>
      <c r="I9" s="1186"/>
      <c r="J9" s="1186" t="s">
        <v>19</v>
      </c>
      <c r="K9" s="1186">
        <v>5231900</v>
      </c>
      <c r="L9" s="1186">
        <v>984309</v>
      </c>
      <c r="M9" s="1186">
        <v>893916</v>
      </c>
      <c r="N9" s="1186">
        <v>2159788</v>
      </c>
      <c r="O9" s="1186">
        <v>1193887</v>
      </c>
    </row>
    <row r="10" spans="1:15" x14ac:dyDescent="0.2">
      <c r="A10" s="1186" t="s">
        <v>19</v>
      </c>
      <c r="B10" s="1186" t="s">
        <v>414</v>
      </c>
      <c r="C10" s="1186">
        <v>8</v>
      </c>
      <c r="D10" s="1186" t="s">
        <v>201</v>
      </c>
      <c r="E10" s="1186">
        <v>13</v>
      </c>
      <c r="F10" s="1186">
        <v>2</v>
      </c>
      <c r="G10" s="1186">
        <v>2</v>
      </c>
      <c r="H10" s="1186">
        <v>5</v>
      </c>
      <c r="I10" s="1186">
        <v>4</v>
      </c>
      <c r="J10" s="1186" t="s">
        <v>19</v>
      </c>
      <c r="K10" s="1186">
        <v>5231900</v>
      </c>
      <c r="L10" s="1186">
        <v>984309</v>
      </c>
      <c r="M10" s="1186">
        <v>893916</v>
      </c>
      <c r="N10" s="1186">
        <v>2159788</v>
      </c>
      <c r="O10" s="1186">
        <v>1193887</v>
      </c>
    </row>
    <row r="11" spans="1:15" x14ac:dyDescent="0.2">
      <c r="A11" s="1186" t="s">
        <v>20</v>
      </c>
      <c r="B11" s="1186" t="s">
        <v>414</v>
      </c>
      <c r="C11" s="1186">
        <v>1</v>
      </c>
      <c r="D11" s="1186" t="s">
        <v>162</v>
      </c>
      <c r="E11" s="1186">
        <v>11</v>
      </c>
      <c r="F11" s="1186"/>
      <c r="G11" s="1186"/>
      <c r="H11" s="1186">
        <v>5</v>
      </c>
      <c r="I11" s="1186">
        <v>6</v>
      </c>
      <c r="J11" s="1186" t="s">
        <v>20</v>
      </c>
      <c r="K11" s="1186">
        <v>5262200</v>
      </c>
      <c r="L11" s="1186">
        <v>981096</v>
      </c>
      <c r="M11" s="1186">
        <v>903573</v>
      </c>
      <c r="N11" s="1186">
        <v>2163995</v>
      </c>
      <c r="O11" s="1186">
        <v>1213536</v>
      </c>
    </row>
    <row r="12" spans="1:15" x14ac:dyDescent="0.2">
      <c r="A12" s="1186" t="s">
        <v>20</v>
      </c>
      <c r="B12" s="1186" t="s">
        <v>414</v>
      </c>
      <c r="C12" s="1186">
        <v>2</v>
      </c>
      <c r="D12" s="1186" t="s">
        <v>417</v>
      </c>
      <c r="E12" s="1186">
        <v>11</v>
      </c>
      <c r="F12" s="1186"/>
      <c r="G12" s="1186">
        <v>2</v>
      </c>
      <c r="H12" s="1186">
        <v>5</v>
      </c>
      <c r="I12" s="1186">
        <v>4</v>
      </c>
      <c r="J12" s="1186" t="s">
        <v>20</v>
      </c>
      <c r="K12" s="1186">
        <v>5262200</v>
      </c>
      <c r="L12" s="1186">
        <v>981096</v>
      </c>
      <c r="M12" s="1186">
        <v>903573</v>
      </c>
      <c r="N12" s="1186">
        <v>2163995</v>
      </c>
      <c r="O12" s="1186">
        <v>1213536</v>
      </c>
    </row>
    <row r="13" spans="1:15" x14ac:dyDescent="0.2">
      <c r="A13" s="1186" t="s">
        <v>20</v>
      </c>
      <c r="B13" s="1186" t="s">
        <v>414</v>
      </c>
      <c r="C13" s="1186">
        <v>3</v>
      </c>
      <c r="D13" s="1186" t="s">
        <v>418</v>
      </c>
      <c r="E13" s="1186">
        <v>22</v>
      </c>
      <c r="F13" s="1186"/>
      <c r="G13" s="1186">
        <v>3</v>
      </c>
      <c r="H13" s="1186">
        <v>10</v>
      </c>
      <c r="I13" s="1186">
        <v>9</v>
      </c>
      <c r="J13" s="1186" t="s">
        <v>20</v>
      </c>
      <c r="K13" s="1186">
        <v>5262200</v>
      </c>
      <c r="L13" s="1186">
        <v>981096</v>
      </c>
      <c r="M13" s="1186">
        <v>903573</v>
      </c>
      <c r="N13" s="1186">
        <v>2163995</v>
      </c>
      <c r="O13" s="1186">
        <v>1213536</v>
      </c>
    </row>
    <row r="14" spans="1:15" x14ac:dyDescent="0.2">
      <c r="A14" s="1186" t="s">
        <v>20</v>
      </c>
      <c r="B14" s="1186" t="s">
        <v>414</v>
      </c>
      <c r="C14" s="1186">
        <v>4</v>
      </c>
      <c r="D14" s="1186" t="s">
        <v>1789</v>
      </c>
      <c r="E14" s="1186">
        <v>1</v>
      </c>
      <c r="F14" s="1186"/>
      <c r="G14" s="1186"/>
      <c r="H14" s="1186">
        <v>1</v>
      </c>
      <c r="I14" s="1186"/>
      <c r="J14" s="1186" t="s">
        <v>20</v>
      </c>
      <c r="K14" s="1186">
        <v>5262200</v>
      </c>
      <c r="L14" s="1186">
        <v>981096</v>
      </c>
      <c r="M14" s="1186">
        <v>903573</v>
      </c>
      <c r="N14" s="1186">
        <v>2163995</v>
      </c>
      <c r="O14" s="1186">
        <v>1213536</v>
      </c>
    </row>
    <row r="15" spans="1:15" x14ac:dyDescent="0.2">
      <c r="A15" s="1186" t="s">
        <v>20</v>
      </c>
      <c r="B15" s="1186" t="s">
        <v>414</v>
      </c>
      <c r="C15" s="1186">
        <v>6</v>
      </c>
      <c r="D15" s="1186" t="s">
        <v>1788</v>
      </c>
      <c r="E15" s="1186">
        <v>1</v>
      </c>
      <c r="F15" s="1186"/>
      <c r="G15" s="1186"/>
      <c r="H15" s="1186">
        <v>1</v>
      </c>
      <c r="I15" s="1186"/>
      <c r="J15" s="1186" t="s">
        <v>20</v>
      </c>
      <c r="K15" s="1186">
        <v>5262200</v>
      </c>
      <c r="L15" s="1186">
        <v>981096</v>
      </c>
      <c r="M15" s="1186">
        <v>903573</v>
      </c>
      <c r="N15" s="1186">
        <v>2163995</v>
      </c>
      <c r="O15" s="1186">
        <v>1213536</v>
      </c>
    </row>
    <row r="16" spans="1:15" x14ac:dyDescent="0.2">
      <c r="A16" s="1186" t="s">
        <v>20</v>
      </c>
      <c r="B16" s="1186" t="s">
        <v>414</v>
      </c>
      <c r="C16" s="1186">
        <v>8</v>
      </c>
      <c r="D16" s="1186" t="s">
        <v>201</v>
      </c>
      <c r="E16" s="1186">
        <v>6</v>
      </c>
      <c r="F16" s="1186"/>
      <c r="G16" s="1186">
        <v>1</v>
      </c>
      <c r="H16" s="1186">
        <v>1</v>
      </c>
      <c r="I16" s="1186">
        <v>4</v>
      </c>
      <c r="J16" s="1186" t="s">
        <v>20</v>
      </c>
      <c r="K16" s="1186">
        <v>5262200</v>
      </c>
      <c r="L16" s="1186">
        <v>981096</v>
      </c>
      <c r="M16" s="1186">
        <v>903573</v>
      </c>
      <c r="N16" s="1186">
        <v>2163995</v>
      </c>
      <c r="O16" s="1186">
        <v>1213536</v>
      </c>
    </row>
    <row r="17" spans="1:15" x14ac:dyDescent="0.2">
      <c r="A17" s="1186" t="s">
        <v>13</v>
      </c>
      <c r="B17" s="1186" t="s">
        <v>414</v>
      </c>
      <c r="C17" s="1186">
        <v>1</v>
      </c>
      <c r="D17" s="1186" t="s">
        <v>162</v>
      </c>
      <c r="E17" s="1186">
        <v>7</v>
      </c>
      <c r="F17" s="1186"/>
      <c r="G17" s="1186"/>
      <c r="H17" s="1186">
        <v>3</v>
      </c>
      <c r="I17" s="1186">
        <v>4</v>
      </c>
      <c r="J17" s="1186" t="s">
        <v>13</v>
      </c>
      <c r="K17" s="1186">
        <v>5299900</v>
      </c>
      <c r="L17" s="1186">
        <v>978075</v>
      </c>
      <c r="M17" s="1186">
        <v>915437</v>
      </c>
      <c r="N17" s="1186">
        <v>2173561</v>
      </c>
      <c r="O17" s="1186">
        <v>1232827</v>
      </c>
    </row>
    <row r="18" spans="1:15" x14ac:dyDescent="0.2">
      <c r="A18" s="1186" t="s">
        <v>13</v>
      </c>
      <c r="B18" s="1186" t="s">
        <v>414</v>
      </c>
      <c r="C18" s="1186">
        <v>2</v>
      </c>
      <c r="D18" s="1186" t="s">
        <v>417</v>
      </c>
      <c r="E18" s="1186">
        <v>18</v>
      </c>
      <c r="F18" s="1186">
        <v>2</v>
      </c>
      <c r="G18" s="1186">
        <v>2</v>
      </c>
      <c r="H18" s="1186">
        <v>5</v>
      </c>
      <c r="I18" s="1186">
        <v>9</v>
      </c>
      <c r="J18" s="1186" t="s">
        <v>13</v>
      </c>
      <c r="K18" s="1186">
        <v>5299900</v>
      </c>
      <c r="L18" s="1186">
        <v>978075</v>
      </c>
      <c r="M18" s="1186">
        <v>915437</v>
      </c>
      <c r="N18" s="1186">
        <v>2173561</v>
      </c>
      <c r="O18" s="1186">
        <v>1232827</v>
      </c>
    </row>
    <row r="19" spans="1:15" x14ac:dyDescent="0.2">
      <c r="A19" s="1186" t="s">
        <v>13</v>
      </c>
      <c r="B19" s="1186" t="s">
        <v>414</v>
      </c>
      <c r="C19" s="1186">
        <v>3</v>
      </c>
      <c r="D19" s="1186" t="s">
        <v>418</v>
      </c>
      <c r="E19" s="1186">
        <v>27</v>
      </c>
      <c r="F19" s="1186">
        <v>1</v>
      </c>
      <c r="G19" s="1186"/>
      <c r="H19" s="1186">
        <v>14</v>
      </c>
      <c r="I19" s="1186">
        <v>12</v>
      </c>
      <c r="J19" s="1186" t="s">
        <v>13</v>
      </c>
      <c r="K19" s="1186">
        <v>5299900</v>
      </c>
      <c r="L19" s="1186">
        <v>978075</v>
      </c>
      <c r="M19" s="1186">
        <v>915437</v>
      </c>
      <c r="N19" s="1186">
        <v>2173561</v>
      </c>
      <c r="O19" s="1186">
        <v>1232827</v>
      </c>
    </row>
    <row r="20" spans="1:15" x14ac:dyDescent="0.2">
      <c r="A20" s="1186" t="s">
        <v>13</v>
      </c>
      <c r="B20" s="1186" t="s">
        <v>414</v>
      </c>
      <c r="C20" s="1186">
        <v>8</v>
      </c>
      <c r="D20" s="1186" t="s">
        <v>201</v>
      </c>
      <c r="E20" s="1186">
        <v>7</v>
      </c>
      <c r="F20" s="1186"/>
      <c r="G20" s="1186">
        <v>1</v>
      </c>
      <c r="H20" s="1186">
        <v>1</v>
      </c>
      <c r="I20" s="1186">
        <v>5</v>
      </c>
      <c r="J20" s="1186" t="s">
        <v>13</v>
      </c>
      <c r="K20" s="1186">
        <v>5299900</v>
      </c>
      <c r="L20" s="1186">
        <v>978075</v>
      </c>
      <c r="M20" s="1186">
        <v>915437</v>
      </c>
      <c r="N20" s="1186">
        <v>2173561</v>
      </c>
      <c r="O20" s="1186">
        <v>1232827</v>
      </c>
    </row>
    <row r="21" spans="1:15" x14ac:dyDescent="0.2">
      <c r="A21" s="1186" t="s">
        <v>15</v>
      </c>
      <c r="B21" s="1186" t="s">
        <v>414</v>
      </c>
      <c r="C21" s="1186">
        <v>1</v>
      </c>
      <c r="D21" s="1186" t="s">
        <v>162</v>
      </c>
      <c r="E21" s="1186">
        <v>12</v>
      </c>
      <c r="F21" s="1186"/>
      <c r="G21" s="1186">
        <v>1</v>
      </c>
      <c r="H21" s="1186"/>
      <c r="I21" s="1186">
        <v>11</v>
      </c>
      <c r="J21" s="1186" t="s">
        <v>15</v>
      </c>
      <c r="K21" s="1186">
        <v>5313600</v>
      </c>
      <c r="L21" s="1186">
        <v>976055</v>
      </c>
      <c r="M21" s="1186">
        <v>914515</v>
      </c>
      <c r="N21" s="1186">
        <v>2174666</v>
      </c>
      <c r="O21" s="1186">
        <v>1248364</v>
      </c>
    </row>
    <row r="22" spans="1:15" x14ac:dyDescent="0.2">
      <c r="A22" s="1186" t="s">
        <v>15</v>
      </c>
      <c r="B22" s="1186" t="s">
        <v>414</v>
      </c>
      <c r="C22" s="1186">
        <v>2</v>
      </c>
      <c r="D22" s="1186" t="s">
        <v>417</v>
      </c>
      <c r="E22" s="1186">
        <v>4</v>
      </c>
      <c r="F22" s="1186"/>
      <c r="G22" s="1186"/>
      <c r="H22" s="1186">
        <v>2</v>
      </c>
      <c r="I22" s="1186">
        <v>2</v>
      </c>
      <c r="J22" s="1186" t="s">
        <v>15</v>
      </c>
      <c r="K22" s="1186">
        <v>5313600</v>
      </c>
      <c r="L22" s="1186">
        <v>976055</v>
      </c>
      <c r="M22" s="1186">
        <v>914515</v>
      </c>
      <c r="N22" s="1186">
        <v>2174666</v>
      </c>
      <c r="O22" s="1186">
        <v>1248364</v>
      </c>
    </row>
    <row r="23" spans="1:15" x14ac:dyDescent="0.2">
      <c r="A23" s="1186" t="s">
        <v>15</v>
      </c>
      <c r="B23" s="1186" t="s">
        <v>414</v>
      </c>
      <c r="C23" s="1186">
        <v>3</v>
      </c>
      <c r="D23" s="1186" t="s">
        <v>418</v>
      </c>
      <c r="E23" s="1186">
        <v>18</v>
      </c>
      <c r="F23" s="1186"/>
      <c r="G23" s="1186"/>
      <c r="H23" s="1186">
        <v>12</v>
      </c>
      <c r="I23" s="1186">
        <v>6</v>
      </c>
      <c r="J23" s="1186" t="s">
        <v>15</v>
      </c>
      <c r="K23" s="1186">
        <v>5313600</v>
      </c>
      <c r="L23" s="1186">
        <v>976055</v>
      </c>
      <c r="M23" s="1186">
        <v>914515</v>
      </c>
      <c r="N23" s="1186">
        <v>2174666</v>
      </c>
      <c r="O23" s="1186">
        <v>1248364</v>
      </c>
    </row>
    <row r="24" spans="1:15" x14ac:dyDescent="0.2">
      <c r="A24" s="1186" t="s">
        <v>15</v>
      </c>
      <c r="B24" s="1186" t="s">
        <v>414</v>
      </c>
      <c r="C24" s="1186">
        <v>8</v>
      </c>
      <c r="D24" s="1186" t="s">
        <v>201</v>
      </c>
      <c r="E24" s="1186">
        <v>12</v>
      </c>
      <c r="F24" s="1186"/>
      <c r="G24" s="1186"/>
      <c r="H24" s="1186">
        <v>5</v>
      </c>
      <c r="I24" s="1186">
        <v>7</v>
      </c>
      <c r="J24" s="1186" t="s">
        <v>15</v>
      </c>
      <c r="K24" s="1186">
        <v>5313600</v>
      </c>
      <c r="L24" s="1186">
        <v>976055</v>
      </c>
      <c r="M24" s="1186">
        <v>914515</v>
      </c>
      <c r="N24" s="1186">
        <v>2174666</v>
      </c>
      <c r="O24" s="1186">
        <v>1248364</v>
      </c>
    </row>
    <row r="25" spans="1:15" x14ac:dyDescent="0.2">
      <c r="A25" s="1186" t="s">
        <v>17</v>
      </c>
      <c r="B25" s="1186" t="s">
        <v>414</v>
      </c>
      <c r="C25" s="1186">
        <v>1</v>
      </c>
      <c r="D25" s="1186" t="s">
        <v>162</v>
      </c>
      <c r="E25" s="1186">
        <v>7</v>
      </c>
      <c r="F25" s="1186"/>
      <c r="G25" s="1186"/>
      <c r="H25" s="1186">
        <v>4</v>
      </c>
      <c r="I25" s="1186">
        <v>3</v>
      </c>
      <c r="J25" s="1186" t="s">
        <v>17</v>
      </c>
      <c r="K25" s="1186">
        <v>5327700</v>
      </c>
      <c r="L25" s="1186">
        <v>973340</v>
      </c>
      <c r="M25" s="1186">
        <v>914383</v>
      </c>
      <c r="N25" s="1186">
        <v>2175770</v>
      </c>
      <c r="O25" s="1186">
        <v>1264207</v>
      </c>
    </row>
    <row r="26" spans="1:15" x14ac:dyDescent="0.2">
      <c r="A26" s="1186" t="s">
        <v>17</v>
      </c>
      <c r="B26" s="1186" t="s">
        <v>414</v>
      </c>
      <c r="C26" s="1186">
        <v>2</v>
      </c>
      <c r="D26" s="1186" t="s">
        <v>417</v>
      </c>
      <c r="E26" s="1186">
        <v>7</v>
      </c>
      <c r="F26" s="1186"/>
      <c r="G26" s="1186"/>
      <c r="H26" s="1186">
        <v>4</v>
      </c>
      <c r="I26" s="1186">
        <v>3</v>
      </c>
      <c r="J26" s="1186" t="s">
        <v>17</v>
      </c>
      <c r="K26" s="1186">
        <v>5327700</v>
      </c>
      <c r="L26" s="1186">
        <v>973340</v>
      </c>
      <c r="M26" s="1186">
        <v>914383</v>
      </c>
      <c r="N26" s="1186">
        <v>2175770</v>
      </c>
      <c r="O26" s="1186">
        <v>1264207</v>
      </c>
    </row>
    <row r="27" spans="1:15" x14ac:dyDescent="0.2">
      <c r="A27" s="1186" t="s">
        <v>17</v>
      </c>
      <c r="B27" s="1186" t="s">
        <v>414</v>
      </c>
      <c r="C27" s="1186">
        <v>3</v>
      </c>
      <c r="D27" s="1186" t="s">
        <v>418</v>
      </c>
      <c r="E27" s="1186">
        <v>14</v>
      </c>
      <c r="F27" s="1186"/>
      <c r="G27" s="1186"/>
      <c r="H27" s="1186">
        <v>6</v>
      </c>
      <c r="I27" s="1186">
        <v>8</v>
      </c>
      <c r="J27" s="1186" t="s">
        <v>17</v>
      </c>
      <c r="K27" s="1186">
        <v>5327700</v>
      </c>
      <c r="L27" s="1186">
        <v>973340</v>
      </c>
      <c r="M27" s="1186">
        <v>914383</v>
      </c>
      <c r="N27" s="1186">
        <v>2175770</v>
      </c>
      <c r="O27" s="1186">
        <v>1264207</v>
      </c>
    </row>
    <row r="28" spans="1:15" x14ac:dyDescent="0.2">
      <c r="A28" s="1186" t="s">
        <v>17</v>
      </c>
      <c r="B28" s="1186" t="s">
        <v>414</v>
      </c>
      <c r="C28" s="1186">
        <v>8</v>
      </c>
      <c r="D28" s="1186" t="s">
        <v>201</v>
      </c>
      <c r="E28" s="1186">
        <v>3</v>
      </c>
      <c r="F28" s="1186"/>
      <c r="G28" s="1186"/>
      <c r="H28" s="1186">
        <v>1</v>
      </c>
      <c r="I28" s="1186">
        <v>2</v>
      </c>
      <c r="J28" s="1186" t="s">
        <v>17</v>
      </c>
      <c r="K28" s="1186">
        <v>5327700</v>
      </c>
      <c r="L28" s="1186">
        <v>973340</v>
      </c>
      <c r="M28" s="1186">
        <v>914383</v>
      </c>
      <c r="N28" s="1186">
        <v>2175770</v>
      </c>
      <c r="O28" s="1186">
        <v>1264207</v>
      </c>
    </row>
    <row r="29" spans="1:15" x14ac:dyDescent="0.2">
      <c r="A29" s="1186" t="s">
        <v>133</v>
      </c>
      <c r="B29" s="1186" t="s">
        <v>414</v>
      </c>
      <c r="C29" s="1186">
        <v>1</v>
      </c>
      <c r="D29" s="1186" t="s">
        <v>162</v>
      </c>
      <c r="E29" s="1186">
        <v>11</v>
      </c>
      <c r="F29" s="1186">
        <v>1</v>
      </c>
      <c r="G29" s="1186">
        <v>1</v>
      </c>
      <c r="H29" s="1186">
        <v>4</v>
      </c>
      <c r="I29" s="1186">
        <v>5</v>
      </c>
      <c r="J29" s="1186" t="s">
        <v>133</v>
      </c>
      <c r="K29" s="1186">
        <v>5347600</v>
      </c>
      <c r="L29" s="1186">
        <v>970875</v>
      </c>
      <c r="M29" s="1186">
        <v>915972</v>
      </c>
      <c r="N29" s="1186">
        <v>2176493</v>
      </c>
      <c r="O29" s="1186">
        <v>1284260</v>
      </c>
    </row>
    <row r="30" spans="1:15" x14ac:dyDescent="0.2">
      <c r="A30" s="1186" t="s">
        <v>133</v>
      </c>
      <c r="B30" s="1186" t="s">
        <v>414</v>
      </c>
      <c r="C30" s="1186">
        <v>2</v>
      </c>
      <c r="D30" s="1186" t="s">
        <v>417</v>
      </c>
      <c r="E30" s="1186">
        <v>12</v>
      </c>
      <c r="F30" s="1186"/>
      <c r="G30" s="1186">
        <v>1</v>
      </c>
      <c r="H30" s="1186">
        <v>6</v>
      </c>
      <c r="I30" s="1186">
        <v>5</v>
      </c>
      <c r="J30" s="1186" t="s">
        <v>133</v>
      </c>
      <c r="K30" s="1186">
        <v>5347600</v>
      </c>
      <c r="L30" s="1186">
        <v>970875</v>
      </c>
      <c r="M30" s="1186">
        <v>915972</v>
      </c>
      <c r="N30" s="1186">
        <v>2176493</v>
      </c>
      <c r="O30" s="1186">
        <v>1284260</v>
      </c>
    </row>
    <row r="31" spans="1:15" x14ac:dyDescent="0.2">
      <c r="A31" s="1186" t="s">
        <v>133</v>
      </c>
      <c r="B31" s="1186" t="s">
        <v>414</v>
      </c>
      <c r="C31" s="1186">
        <v>3</v>
      </c>
      <c r="D31" s="1186" t="s">
        <v>418</v>
      </c>
      <c r="E31" s="1186">
        <v>13</v>
      </c>
      <c r="F31" s="1186"/>
      <c r="G31" s="1186"/>
      <c r="H31" s="1186">
        <v>3</v>
      </c>
      <c r="I31" s="1186">
        <v>10</v>
      </c>
      <c r="J31" s="1186" t="s">
        <v>133</v>
      </c>
      <c r="K31" s="1186">
        <v>5347600</v>
      </c>
      <c r="L31" s="1186">
        <v>970875</v>
      </c>
      <c r="M31" s="1186">
        <v>915972</v>
      </c>
      <c r="N31" s="1186">
        <v>2176493</v>
      </c>
      <c r="O31" s="1186">
        <v>1284260</v>
      </c>
    </row>
    <row r="32" spans="1:15" x14ac:dyDescent="0.2">
      <c r="A32" s="1186" t="s">
        <v>133</v>
      </c>
      <c r="B32" s="1186" t="s">
        <v>414</v>
      </c>
      <c r="C32" s="1186">
        <v>8</v>
      </c>
      <c r="D32" s="1186" t="s">
        <v>201</v>
      </c>
      <c r="E32" s="1186">
        <v>4</v>
      </c>
      <c r="F32" s="1186"/>
      <c r="G32" s="1186"/>
      <c r="H32" s="1186">
        <v>1</v>
      </c>
      <c r="I32" s="1186">
        <v>3</v>
      </c>
      <c r="J32" s="1186" t="s">
        <v>133</v>
      </c>
      <c r="K32" s="1186">
        <v>5347600</v>
      </c>
      <c r="L32" s="1186">
        <v>970875</v>
      </c>
      <c r="M32" s="1186">
        <v>915972</v>
      </c>
      <c r="N32" s="1186">
        <v>2176493</v>
      </c>
      <c r="O32" s="1186">
        <v>1284260</v>
      </c>
    </row>
    <row r="33" spans="1:15" x14ac:dyDescent="0.2">
      <c r="A33" s="1186" t="s">
        <v>144</v>
      </c>
      <c r="B33" s="1186" t="s">
        <v>414</v>
      </c>
      <c r="C33" s="1186">
        <v>1</v>
      </c>
      <c r="D33" s="1186" t="s">
        <v>162</v>
      </c>
      <c r="E33" s="1186">
        <v>7</v>
      </c>
      <c r="F33" s="1186"/>
      <c r="G33" s="1186"/>
      <c r="H33" s="1186">
        <v>2</v>
      </c>
      <c r="I33" s="1186">
        <v>5</v>
      </c>
      <c r="J33" s="1186" t="s">
        <v>144</v>
      </c>
      <c r="K33" s="1186">
        <v>5373000</v>
      </c>
      <c r="L33" s="1186">
        <v>971022</v>
      </c>
      <c r="M33" s="1186">
        <v>920189</v>
      </c>
      <c r="N33" s="1186">
        <v>2181793</v>
      </c>
      <c r="O33" s="1186">
        <v>1299996</v>
      </c>
    </row>
    <row r="34" spans="1:15" x14ac:dyDescent="0.2">
      <c r="A34" s="1186" t="s">
        <v>144</v>
      </c>
      <c r="B34" s="1186" t="s">
        <v>414</v>
      </c>
      <c r="C34" s="1186">
        <v>2</v>
      </c>
      <c r="D34" s="1186" t="s">
        <v>417</v>
      </c>
      <c r="E34" s="1186">
        <v>10</v>
      </c>
      <c r="F34" s="1186"/>
      <c r="G34" s="1186"/>
      <c r="H34" s="1186">
        <v>5</v>
      </c>
      <c r="I34" s="1186">
        <v>5</v>
      </c>
      <c r="J34" s="1186" t="s">
        <v>144</v>
      </c>
      <c r="K34" s="1186">
        <v>5373000</v>
      </c>
      <c r="L34" s="1186">
        <v>971022</v>
      </c>
      <c r="M34" s="1186">
        <v>920189</v>
      </c>
      <c r="N34" s="1186">
        <v>2181793</v>
      </c>
      <c r="O34" s="1186">
        <v>1299996</v>
      </c>
    </row>
    <row r="35" spans="1:15" x14ac:dyDescent="0.2">
      <c r="A35" s="1186" t="s">
        <v>144</v>
      </c>
      <c r="B35" s="1186" t="s">
        <v>414</v>
      </c>
      <c r="C35" s="1186">
        <v>3</v>
      </c>
      <c r="D35" s="1186" t="s">
        <v>418</v>
      </c>
      <c r="E35" s="1186">
        <v>24</v>
      </c>
      <c r="F35" s="1186"/>
      <c r="G35" s="1186">
        <v>3</v>
      </c>
      <c r="H35" s="1186">
        <v>9</v>
      </c>
      <c r="I35" s="1186">
        <v>12</v>
      </c>
      <c r="J35" s="1186" t="s">
        <v>144</v>
      </c>
      <c r="K35" s="1186">
        <v>5373000</v>
      </c>
      <c r="L35" s="1186">
        <v>971022</v>
      </c>
      <c r="M35" s="1186">
        <v>920189</v>
      </c>
      <c r="N35" s="1186">
        <v>2181793</v>
      </c>
      <c r="O35" s="1186">
        <v>1299996</v>
      </c>
    </row>
    <row r="36" spans="1:15" x14ac:dyDescent="0.2">
      <c r="A36" s="1186" t="s">
        <v>144</v>
      </c>
      <c r="B36" s="1186" t="s">
        <v>414</v>
      </c>
      <c r="C36" s="1186">
        <v>6</v>
      </c>
      <c r="D36" s="1186" t="s">
        <v>1788</v>
      </c>
      <c r="E36" s="1186">
        <v>1</v>
      </c>
      <c r="F36" s="1186"/>
      <c r="G36" s="1186"/>
      <c r="H36" s="1186"/>
      <c r="I36" s="1186">
        <v>1</v>
      </c>
      <c r="J36" s="1186" t="s">
        <v>144</v>
      </c>
      <c r="K36" s="1186">
        <v>5373000</v>
      </c>
      <c r="L36" s="1186">
        <v>971022</v>
      </c>
      <c r="M36" s="1186">
        <v>920189</v>
      </c>
      <c r="N36" s="1186">
        <v>2181793</v>
      </c>
      <c r="O36" s="1186">
        <v>1299996</v>
      </c>
    </row>
    <row r="37" spans="1:15" x14ac:dyDescent="0.2">
      <c r="A37" s="1186" t="s">
        <v>144</v>
      </c>
      <c r="B37" s="1186" t="s">
        <v>414</v>
      </c>
      <c r="C37" s="1186">
        <v>8</v>
      </c>
      <c r="D37" s="1186" t="s">
        <v>201</v>
      </c>
      <c r="E37" s="1186">
        <v>3</v>
      </c>
      <c r="F37" s="1186"/>
      <c r="G37" s="1186"/>
      <c r="H37" s="1186">
        <v>3</v>
      </c>
      <c r="I37" s="1186"/>
      <c r="J37" s="1186" t="s">
        <v>144</v>
      </c>
      <c r="K37" s="1186">
        <v>5373000</v>
      </c>
      <c r="L37" s="1186">
        <v>971022</v>
      </c>
      <c r="M37" s="1186">
        <v>920189</v>
      </c>
      <c r="N37" s="1186">
        <v>2181793</v>
      </c>
      <c r="O37" s="1186">
        <v>1299996</v>
      </c>
    </row>
    <row r="38" spans="1:15" x14ac:dyDescent="0.2">
      <c r="A38" s="1186" t="s">
        <v>282</v>
      </c>
      <c r="B38" s="1186" t="s">
        <v>414</v>
      </c>
      <c r="C38" s="1186">
        <v>1</v>
      </c>
      <c r="D38" s="1186" t="s">
        <v>162</v>
      </c>
      <c r="E38" s="1186">
        <v>7</v>
      </c>
      <c r="F38" s="1186"/>
      <c r="G38" s="1186"/>
      <c r="H38" s="1186">
        <v>5</v>
      </c>
      <c r="I38" s="1186">
        <v>2</v>
      </c>
      <c r="J38" s="1186" t="s">
        <v>282</v>
      </c>
      <c r="K38" s="1186">
        <v>5404700</v>
      </c>
      <c r="L38" s="1186">
        <v>972780</v>
      </c>
      <c r="M38" s="1186">
        <v>924449</v>
      </c>
      <c r="N38" s="1186">
        <v>2187067</v>
      </c>
      <c r="O38" s="1186">
        <v>1320404</v>
      </c>
    </row>
    <row r="39" spans="1:15" x14ac:dyDescent="0.2">
      <c r="A39" s="1186" t="s">
        <v>282</v>
      </c>
      <c r="B39" s="1186" t="s">
        <v>414</v>
      </c>
      <c r="C39" s="1186">
        <v>2</v>
      </c>
      <c r="D39" s="1186" t="s">
        <v>417</v>
      </c>
      <c r="E39" s="1186">
        <v>9</v>
      </c>
      <c r="F39" s="1186"/>
      <c r="G39" s="1186">
        <v>1</v>
      </c>
      <c r="H39" s="1186">
        <v>3</v>
      </c>
      <c r="I39" s="1186">
        <v>5</v>
      </c>
      <c r="J39" s="1186" t="s">
        <v>282</v>
      </c>
      <c r="K39" s="1186">
        <v>5404700</v>
      </c>
      <c r="L39" s="1186">
        <v>972780</v>
      </c>
      <c r="M39" s="1186">
        <v>924449</v>
      </c>
      <c r="N39" s="1186">
        <v>2187067</v>
      </c>
      <c r="O39" s="1186">
        <v>1320404</v>
      </c>
    </row>
    <row r="40" spans="1:15" x14ac:dyDescent="0.2">
      <c r="A40" s="1186" t="s">
        <v>282</v>
      </c>
      <c r="B40" s="1186" t="s">
        <v>414</v>
      </c>
      <c r="C40" s="1186">
        <v>3</v>
      </c>
      <c r="D40" s="1186" t="s">
        <v>418</v>
      </c>
      <c r="E40" s="1186">
        <v>24</v>
      </c>
      <c r="F40" s="1186"/>
      <c r="G40" s="1186">
        <v>3</v>
      </c>
      <c r="H40" s="1186">
        <v>10</v>
      </c>
      <c r="I40" s="1186">
        <v>11</v>
      </c>
      <c r="J40" s="1186" t="s">
        <v>282</v>
      </c>
      <c r="K40" s="1186">
        <v>5404700</v>
      </c>
      <c r="L40" s="1186">
        <v>972780</v>
      </c>
      <c r="M40" s="1186">
        <v>924449</v>
      </c>
      <c r="N40" s="1186">
        <v>2187067</v>
      </c>
      <c r="O40" s="1186">
        <v>1320404</v>
      </c>
    </row>
    <row r="41" spans="1:15" x14ac:dyDescent="0.2">
      <c r="A41" s="1186" t="s">
        <v>282</v>
      </c>
      <c r="B41" s="1186" t="s">
        <v>414</v>
      </c>
      <c r="C41" s="1186">
        <v>8</v>
      </c>
      <c r="D41" s="1186" t="s">
        <v>201</v>
      </c>
      <c r="E41" s="1186">
        <v>4</v>
      </c>
      <c r="F41" s="1186"/>
      <c r="G41" s="1186"/>
      <c r="H41" s="1186">
        <v>4</v>
      </c>
      <c r="I41" s="1186"/>
      <c r="J41" s="1186" t="s">
        <v>282</v>
      </c>
      <c r="K41" s="1186">
        <v>5404700</v>
      </c>
      <c r="L41" s="1186">
        <v>972780</v>
      </c>
      <c r="M41" s="1186">
        <v>924449</v>
      </c>
      <c r="N41" s="1186">
        <v>2187067</v>
      </c>
      <c r="O41" s="1186">
        <v>1320404</v>
      </c>
    </row>
    <row r="42" spans="1:15" x14ac:dyDescent="0.2">
      <c r="A42" s="1186" t="s">
        <v>311</v>
      </c>
      <c r="B42" s="1186" t="s">
        <v>414</v>
      </c>
      <c r="C42" s="1186">
        <v>1</v>
      </c>
      <c r="D42" s="1186" t="s">
        <v>162</v>
      </c>
      <c r="E42" s="1186">
        <v>15</v>
      </c>
      <c r="F42" s="1186"/>
      <c r="G42" s="1186">
        <v>1</v>
      </c>
      <c r="H42" s="1186">
        <v>4</v>
      </c>
      <c r="I42" s="1186">
        <v>10</v>
      </c>
      <c r="J42" s="1186" t="s">
        <v>311</v>
      </c>
      <c r="K42" s="1186">
        <v>5424800</v>
      </c>
      <c r="L42" s="1186">
        <v>973036</v>
      </c>
      <c r="M42" s="1186">
        <v>920015</v>
      </c>
      <c r="N42" s="1186">
        <v>2190171</v>
      </c>
      <c r="O42" s="1186">
        <v>1341578</v>
      </c>
    </row>
    <row r="43" spans="1:15" x14ac:dyDescent="0.2">
      <c r="A43" s="1186" t="s">
        <v>311</v>
      </c>
      <c r="B43" s="1186" t="s">
        <v>414</v>
      </c>
      <c r="C43" s="1186">
        <v>2</v>
      </c>
      <c r="D43" s="1186" t="s">
        <v>417</v>
      </c>
      <c r="E43" s="1186">
        <v>5</v>
      </c>
      <c r="F43" s="1186"/>
      <c r="G43" s="1186"/>
      <c r="H43" s="1186">
        <v>1</v>
      </c>
      <c r="I43" s="1186">
        <v>4</v>
      </c>
      <c r="J43" s="1186" t="s">
        <v>311</v>
      </c>
      <c r="K43" s="1186">
        <v>5424800</v>
      </c>
      <c r="L43" s="1186">
        <v>973036</v>
      </c>
      <c r="M43" s="1186">
        <v>920015</v>
      </c>
      <c r="N43" s="1186">
        <v>2190171</v>
      </c>
      <c r="O43" s="1186">
        <v>1341578</v>
      </c>
    </row>
    <row r="44" spans="1:15" x14ac:dyDescent="0.2">
      <c r="A44" s="1186" t="s">
        <v>311</v>
      </c>
      <c r="B44" s="1186" t="s">
        <v>414</v>
      </c>
      <c r="C44" s="1186">
        <v>3</v>
      </c>
      <c r="D44" s="1186" t="s">
        <v>418</v>
      </c>
      <c r="E44" s="1186">
        <v>18</v>
      </c>
      <c r="F44" s="1186"/>
      <c r="G44" s="1186">
        <v>2</v>
      </c>
      <c r="H44" s="1186">
        <v>8</v>
      </c>
      <c r="I44" s="1186">
        <v>8</v>
      </c>
      <c r="J44" s="1186" t="s">
        <v>311</v>
      </c>
      <c r="K44" s="1186">
        <v>5424800</v>
      </c>
      <c r="L44" s="1186">
        <v>973036</v>
      </c>
      <c r="M44" s="1186">
        <v>920015</v>
      </c>
      <c r="N44" s="1186">
        <v>2190171</v>
      </c>
      <c r="O44" s="1186">
        <v>1341578</v>
      </c>
    </row>
    <row r="45" spans="1:15" x14ac:dyDescent="0.2">
      <c r="A45" s="1186" t="s">
        <v>311</v>
      </c>
      <c r="B45" s="1186" t="s">
        <v>414</v>
      </c>
      <c r="C45" s="1186">
        <v>4</v>
      </c>
      <c r="D45" s="1186" t="s">
        <v>1789</v>
      </c>
      <c r="E45" s="1186">
        <v>1</v>
      </c>
      <c r="F45" s="1186"/>
      <c r="G45" s="1186"/>
      <c r="H45" s="1186">
        <v>1</v>
      </c>
      <c r="I45" s="1186"/>
      <c r="J45" s="1186" t="s">
        <v>311</v>
      </c>
      <c r="K45" s="1186">
        <v>5424800</v>
      </c>
      <c r="L45" s="1186">
        <v>973036</v>
      </c>
      <c r="M45" s="1186">
        <v>920015</v>
      </c>
      <c r="N45" s="1186">
        <v>2190171</v>
      </c>
      <c r="O45" s="1186">
        <v>1341578</v>
      </c>
    </row>
    <row r="46" spans="1:15" x14ac:dyDescent="0.2">
      <c r="A46" s="1186" t="s">
        <v>311</v>
      </c>
      <c r="B46" s="1186" t="s">
        <v>414</v>
      </c>
      <c r="C46" s="1186">
        <v>8</v>
      </c>
      <c r="D46" s="1186" t="s">
        <v>201</v>
      </c>
      <c r="E46" s="1186">
        <v>5</v>
      </c>
      <c r="F46" s="1186"/>
      <c r="G46" s="1186"/>
      <c r="H46" s="1186">
        <v>4</v>
      </c>
      <c r="I46" s="1186">
        <v>1</v>
      </c>
      <c r="J46" s="1186" t="s">
        <v>311</v>
      </c>
      <c r="K46" s="1186">
        <v>5424800</v>
      </c>
      <c r="L46" s="1186">
        <v>973036</v>
      </c>
      <c r="M46" s="1186">
        <v>920015</v>
      </c>
      <c r="N46" s="1186">
        <v>2190171</v>
      </c>
      <c r="O46" s="1186">
        <v>1341578</v>
      </c>
    </row>
    <row r="47" spans="1:15" x14ac:dyDescent="0.2">
      <c r="A47" s="1186" t="s">
        <v>621</v>
      </c>
      <c r="B47" s="1186" t="s">
        <v>414</v>
      </c>
      <c r="C47" s="1186">
        <v>1</v>
      </c>
      <c r="D47" s="1186" t="s">
        <v>162</v>
      </c>
      <c r="E47" s="1186">
        <v>9</v>
      </c>
      <c r="F47" s="1186"/>
      <c r="G47" s="1186">
        <v>1</v>
      </c>
      <c r="H47" s="1186">
        <v>2</v>
      </c>
      <c r="I47" s="1186">
        <v>6</v>
      </c>
      <c r="J47" s="1186" t="s">
        <v>621</v>
      </c>
      <c r="K47" s="1186">
        <v>5438100</v>
      </c>
      <c r="L47" s="1186">
        <v>972972</v>
      </c>
      <c r="M47" s="1186">
        <v>910297</v>
      </c>
      <c r="N47" s="1186">
        <v>2192411</v>
      </c>
      <c r="O47" s="1186">
        <v>1362420</v>
      </c>
    </row>
    <row r="48" spans="1:15" x14ac:dyDescent="0.2">
      <c r="A48" s="1186" t="s">
        <v>621</v>
      </c>
      <c r="B48" s="1186" t="s">
        <v>414</v>
      </c>
      <c r="C48" s="1186">
        <v>2</v>
      </c>
      <c r="D48" s="1186" t="s">
        <v>417</v>
      </c>
      <c r="E48" s="1186">
        <v>13</v>
      </c>
      <c r="F48" s="1186"/>
      <c r="G48" s="1186">
        <v>1</v>
      </c>
      <c r="H48" s="1186">
        <v>5</v>
      </c>
      <c r="I48" s="1186">
        <v>7</v>
      </c>
      <c r="J48" s="1186" t="s">
        <v>621</v>
      </c>
      <c r="K48" s="1186">
        <v>5438100</v>
      </c>
      <c r="L48" s="1186">
        <v>972972</v>
      </c>
      <c r="M48" s="1186">
        <v>910297</v>
      </c>
      <c r="N48" s="1186">
        <v>2192411</v>
      </c>
      <c r="O48" s="1186">
        <v>1362420</v>
      </c>
    </row>
    <row r="49" spans="1:15" x14ac:dyDescent="0.2">
      <c r="A49" s="1186" t="s">
        <v>621</v>
      </c>
      <c r="B49" s="1186" t="s">
        <v>414</v>
      </c>
      <c r="C49" s="1186">
        <v>3</v>
      </c>
      <c r="D49" s="1186" t="s">
        <v>418</v>
      </c>
      <c r="E49" s="1186">
        <v>20</v>
      </c>
      <c r="F49" s="1186"/>
      <c r="G49" s="1186"/>
      <c r="H49" s="1186">
        <v>9</v>
      </c>
      <c r="I49" s="1186">
        <v>11</v>
      </c>
      <c r="J49" s="1186" t="s">
        <v>621</v>
      </c>
      <c r="K49" s="1186">
        <v>5438100</v>
      </c>
      <c r="L49" s="1186">
        <v>972972</v>
      </c>
      <c r="M49" s="1186">
        <v>910297</v>
      </c>
      <c r="N49" s="1186">
        <v>2192411</v>
      </c>
      <c r="O49" s="1186">
        <v>1362420</v>
      </c>
    </row>
    <row r="50" spans="1:15" x14ac:dyDescent="0.2">
      <c r="A50" s="1186" t="s">
        <v>621</v>
      </c>
      <c r="B50" s="1186" t="s">
        <v>414</v>
      </c>
      <c r="C50" s="1186">
        <v>8</v>
      </c>
      <c r="D50" s="1186" t="s">
        <v>201</v>
      </c>
      <c r="E50" s="1186">
        <v>2</v>
      </c>
      <c r="F50" s="1186"/>
      <c r="G50" s="1186"/>
      <c r="H50" s="1186"/>
      <c r="I50" s="1186">
        <v>2</v>
      </c>
      <c r="J50" s="1186" t="s">
        <v>621</v>
      </c>
      <c r="K50" s="1186">
        <v>5438100</v>
      </c>
      <c r="L50" s="1186">
        <v>972972</v>
      </c>
      <c r="M50" s="1186">
        <v>910297</v>
      </c>
      <c r="N50" s="1186">
        <v>2192411</v>
      </c>
      <c r="O50" s="1186">
        <v>1362420</v>
      </c>
    </row>
    <row r="51" spans="1:15" x14ac:dyDescent="0.2">
      <c r="A51" s="1186" t="s">
        <v>1419</v>
      </c>
      <c r="B51" s="1186" t="s">
        <v>414</v>
      </c>
      <c r="C51" s="1186">
        <v>1</v>
      </c>
      <c r="D51" s="1186" t="s">
        <v>162</v>
      </c>
      <c r="E51" s="1186">
        <v>6</v>
      </c>
      <c r="F51" s="1186"/>
      <c r="G51" s="1186"/>
      <c r="H51" s="1186">
        <v>3</v>
      </c>
      <c r="I51" s="1186">
        <v>3</v>
      </c>
      <c r="J51" s="1186" t="s">
        <v>1419</v>
      </c>
      <c r="K51" s="1186">
        <v>5463300</v>
      </c>
      <c r="L51" s="1186">
        <v>975449</v>
      </c>
      <c r="M51" s="1186">
        <v>901925</v>
      </c>
      <c r="N51" s="1186">
        <v>2197088</v>
      </c>
      <c r="O51" s="1186">
        <v>1388838</v>
      </c>
    </row>
    <row r="52" spans="1:15" x14ac:dyDescent="0.2">
      <c r="A52" s="1186" t="s">
        <v>1419</v>
      </c>
      <c r="B52" s="1186" t="s">
        <v>414</v>
      </c>
      <c r="C52" s="1186">
        <v>2</v>
      </c>
      <c r="D52" s="1186" t="s">
        <v>417</v>
      </c>
      <c r="E52" s="1186">
        <v>6</v>
      </c>
      <c r="F52" s="1186"/>
      <c r="G52" s="1186"/>
      <c r="H52" s="1186">
        <v>1</v>
      </c>
      <c r="I52" s="1186">
        <v>5</v>
      </c>
      <c r="J52" s="1186" t="s">
        <v>1419</v>
      </c>
      <c r="K52" s="1186">
        <v>5463300</v>
      </c>
      <c r="L52" s="1186">
        <v>975449</v>
      </c>
      <c r="M52" s="1186">
        <v>901925</v>
      </c>
      <c r="N52" s="1186">
        <v>2197088</v>
      </c>
      <c r="O52" s="1186">
        <v>1388838</v>
      </c>
    </row>
    <row r="53" spans="1:15" x14ac:dyDescent="0.2">
      <c r="A53" s="1186" t="s">
        <v>1419</v>
      </c>
      <c r="B53" s="1186" t="s">
        <v>414</v>
      </c>
      <c r="C53" s="1186">
        <v>3</v>
      </c>
      <c r="D53" s="1186" t="s">
        <v>418</v>
      </c>
      <c r="E53" s="1186">
        <v>11</v>
      </c>
      <c r="F53" s="1186"/>
      <c r="G53" s="1186"/>
      <c r="H53" s="1186">
        <v>6</v>
      </c>
      <c r="I53" s="1186">
        <v>5</v>
      </c>
      <c r="J53" s="1186" t="s">
        <v>1419</v>
      </c>
      <c r="K53" s="1186">
        <v>5463300</v>
      </c>
      <c r="L53" s="1186">
        <v>975449</v>
      </c>
      <c r="M53" s="1186">
        <v>901925</v>
      </c>
      <c r="N53" s="1186">
        <v>2197088</v>
      </c>
      <c r="O53" s="1186">
        <v>1388838</v>
      </c>
    </row>
    <row r="54" spans="1:15" x14ac:dyDescent="0.2">
      <c r="A54" s="1186" t="s">
        <v>1419</v>
      </c>
      <c r="B54" s="1186" t="s">
        <v>414</v>
      </c>
      <c r="C54" s="1186">
        <v>8</v>
      </c>
      <c r="D54" s="1186" t="s">
        <v>201</v>
      </c>
      <c r="E54" s="1186">
        <v>4</v>
      </c>
      <c r="F54" s="1186"/>
      <c r="G54" s="1186"/>
      <c r="H54" s="1186">
        <v>3</v>
      </c>
      <c r="I54" s="1186">
        <v>1</v>
      </c>
      <c r="J54" s="1186" t="s">
        <v>1419</v>
      </c>
      <c r="K54" s="1186">
        <v>5463300</v>
      </c>
      <c r="L54" s="1186">
        <v>975449</v>
      </c>
      <c r="M54" s="1186">
        <v>901925</v>
      </c>
      <c r="N54" s="1186">
        <v>2197088</v>
      </c>
      <c r="O54" s="1186">
        <v>1388838</v>
      </c>
    </row>
    <row r="55" spans="1:15" x14ac:dyDescent="0.2">
      <c r="A55" s="1186" t="s">
        <v>1572</v>
      </c>
      <c r="B55" s="1186" t="s">
        <v>414</v>
      </c>
      <c r="C55" s="1186">
        <v>1</v>
      </c>
      <c r="D55" s="1186" t="s">
        <v>162</v>
      </c>
      <c r="E55" s="1186">
        <v>17</v>
      </c>
      <c r="F55" s="1186"/>
      <c r="G55" s="1186">
        <v>2</v>
      </c>
      <c r="H55" s="1186">
        <v>8</v>
      </c>
      <c r="I55" s="1186">
        <v>7</v>
      </c>
      <c r="J55" s="1186" t="s">
        <v>1572</v>
      </c>
      <c r="K55" s="1186">
        <v>5466000</v>
      </c>
      <c r="L55" s="1186">
        <v>972673</v>
      </c>
      <c r="M55" s="1186">
        <v>888196</v>
      </c>
      <c r="N55" s="1186">
        <v>2196482</v>
      </c>
      <c r="O55" s="1186">
        <v>1408649</v>
      </c>
    </row>
    <row r="56" spans="1:15" x14ac:dyDescent="0.2">
      <c r="A56" s="1186" t="s">
        <v>1572</v>
      </c>
      <c r="B56" s="1186" t="s">
        <v>414</v>
      </c>
      <c r="C56" s="1186">
        <v>2</v>
      </c>
      <c r="D56" s="1186" t="s">
        <v>417</v>
      </c>
      <c r="E56" s="1186">
        <v>8</v>
      </c>
      <c r="F56" s="1186"/>
      <c r="G56" s="1186"/>
      <c r="H56" s="1186">
        <v>4</v>
      </c>
      <c r="I56" s="1186">
        <v>4</v>
      </c>
      <c r="J56" s="1186" t="s">
        <v>1572</v>
      </c>
      <c r="K56" s="1186">
        <v>5466000</v>
      </c>
      <c r="L56" s="1186">
        <v>972673</v>
      </c>
      <c r="M56" s="1186">
        <v>888196</v>
      </c>
      <c r="N56" s="1186">
        <v>2196482</v>
      </c>
      <c r="O56" s="1186">
        <v>1408649</v>
      </c>
    </row>
    <row r="57" spans="1:15" x14ac:dyDescent="0.2">
      <c r="A57" s="1186" t="s">
        <v>1572</v>
      </c>
      <c r="B57" s="1186" t="s">
        <v>414</v>
      </c>
      <c r="C57" s="1186">
        <v>3</v>
      </c>
      <c r="D57" s="1186" t="s">
        <v>418</v>
      </c>
      <c r="E57" s="1186">
        <v>20</v>
      </c>
      <c r="F57" s="1186">
        <v>3</v>
      </c>
      <c r="G57" s="1186"/>
      <c r="H57" s="1186">
        <v>5</v>
      </c>
      <c r="I57" s="1186">
        <v>12</v>
      </c>
      <c r="J57" s="1186" t="s">
        <v>1572</v>
      </c>
      <c r="K57" s="1186">
        <v>5466000</v>
      </c>
      <c r="L57" s="1186">
        <v>972673</v>
      </c>
      <c r="M57" s="1186">
        <v>888196</v>
      </c>
      <c r="N57" s="1186">
        <v>2196482</v>
      </c>
      <c r="O57" s="1186">
        <v>1408649</v>
      </c>
    </row>
    <row r="58" spans="1:15" x14ac:dyDescent="0.2">
      <c r="A58" s="1186" t="s">
        <v>1572</v>
      </c>
      <c r="B58" s="1186" t="s">
        <v>414</v>
      </c>
      <c r="C58" s="1186">
        <v>8</v>
      </c>
      <c r="D58" s="1186" t="s">
        <v>201</v>
      </c>
      <c r="E58" s="1186">
        <v>8</v>
      </c>
      <c r="F58" s="1186"/>
      <c r="G58" s="1186"/>
      <c r="H58" s="1186">
        <v>3</v>
      </c>
      <c r="I58" s="1186">
        <v>5</v>
      </c>
      <c r="J58" s="1186" t="s">
        <v>1572</v>
      </c>
      <c r="K58" s="1186">
        <v>5466000</v>
      </c>
      <c r="L58" s="1186">
        <v>972673</v>
      </c>
      <c r="M58" s="1186">
        <v>888196</v>
      </c>
      <c r="N58" s="1186">
        <v>2196482</v>
      </c>
      <c r="O58" s="1186">
        <v>1408649</v>
      </c>
    </row>
  </sheetData>
  <pageMargins left="0.7" right="0.7" top="0.75" bottom="0.75" header="0.3" footer="0.3"/>
  <pageSetup paperSize="9" fitToHeight="50" orientation="landscape" r:id="rId1"/>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pageSetUpPr fitToPage="1"/>
  </sheetPr>
  <dimension ref="A1:G423"/>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23.42578125" bestFit="1" customWidth="1"/>
    <col min="3" max="3" width="18" bestFit="1" customWidth="1"/>
    <col min="4" max="4" width="5.85546875" bestFit="1" customWidth="1"/>
    <col min="5" max="5" width="6.28515625" bestFit="1" customWidth="1"/>
    <col min="6" max="6" width="18" bestFit="1" customWidth="1"/>
    <col min="7" max="7" width="7.85546875" bestFit="1" customWidth="1"/>
  </cols>
  <sheetData>
    <row r="1" spans="1:7" x14ac:dyDescent="0.2"/>
    <row r="4" spans="1:7" x14ac:dyDescent="0.2">
      <c r="A4" s="1223" t="s">
        <v>464</v>
      </c>
      <c r="B4" s="1223" t="s">
        <v>1971</v>
      </c>
      <c r="C4" s="1223" t="s">
        <v>1972</v>
      </c>
      <c r="D4" s="1223" t="s">
        <v>11</v>
      </c>
      <c r="E4" s="1223" t="s">
        <v>1632</v>
      </c>
      <c r="F4" s="1223" t="s">
        <v>1973</v>
      </c>
      <c r="G4" s="1223" t="s">
        <v>1582</v>
      </c>
    </row>
    <row r="5" spans="1:7" x14ac:dyDescent="0.2">
      <c r="A5" s="1186" t="s">
        <v>15</v>
      </c>
      <c r="B5" s="1186" t="s">
        <v>828</v>
      </c>
      <c r="C5" s="1186"/>
      <c r="D5" s="1186">
        <v>1</v>
      </c>
      <c r="E5" s="1186"/>
      <c r="F5" s="1186"/>
      <c r="G5" s="1186"/>
    </row>
    <row r="6" spans="1:7" x14ac:dyDescent="0.2">
      <c r="A6" s="1186" t="s">
        <v>15</v>
      </c>
      <c r="B6" s="1186" t="s">
        <v>828</v>
      </c>
      <c r="C6" s="1186">
        <v>1</v>
      </c>
      <c r="D6" s="1186">
        <v>2305</v>
      </c>
      <c r="E6" s="1186">
        <v>2012</v>
      </c>
      <c r="F6" s="1186">
        <v>1</v>
      </c>
      <c r="G6" s="1186">
        <v>1053621</v>
      </c>
    </row>
    <row r="7" spans="1:7" x14ac:dyDescent="0.2">
      <c r="A7" s="1186" t="s">
        <v>15</v>
      </c>
      <c r="B7" s="1186" t="s">
        <v>828</v>
      </c>
      <c r="C7" s="1186">
        <v>2</v>
      </c>
      <c r="D7" s="1186">
        <v>1337</v>
      </c>
      <c r="E7" s="1186">
        <v>2012</v>
      </c>
      <c r="F7" s="1186">
        <v>2</v>
      </c>
      <c r="G7" s="1186">
        <v>1052734</v>
      </c>
    </row>
    <row r="8" spans="1:7" x14ac:dyDescent="0.2">
      <c r="A8" s="1186" t="s">
        <v>15</v>
      </c>
      <c r="B8" s="1186" t="s">
        <v>828</v>
      </c>
      <c r="C8" s="1186">
        <v>3</v>
      </c>
      <c r="D8" s="1186">
        <v>934</v>
      </c>
      <c r="E8" s="1186">
        <v>2012</v>
      </c>
      <c r="F8" s="1186">
        <v>3</v>
      </c>
      <c r="G8" s="1186">
        <v>1061383</v>
      </c>
    </row>
    <row r="9" spans="1:7" x14ac:dyDescent="0.2">
      <c r="A9" s="1186" t="s">
        <v>15</v>
      </c>
      <c r="B9" s="1186" t="s">
        <v>828</v>
      </c>
      <c r="C9" s="1186">
        <v>4</v>
      </c>
      <c r="D9" s="1186">
        <v>693</v>
      </c>
      <c r="E9" s="1186">
        <v>2012</v>
      </c>
      <c r="F9" s="1186">
        <v>4</v>
      </c>
      <c r="G9" s="1186">
        <v>1060010</v>
      </c>
    </row>
    <row r="10" spans="1:7" x14ac:dyDescent="0.2">
      <c r="A10" s="1186" t="s">
        <v>15</v>
      </c>
      <c r="B10" s="1186" t="s">
        <v>828</v>
      </c>
      <c r="C10" s="1186">
        <v>5</v>
      </c>
      <c r="D10" s="1186">
        <v>559</v>
      </c>
      <c r="E10" s="1186">
        <v>2012</v>
      </c>
      <c r="F10" s="1186">
        <v>5</v>
      </c>
      <c r="G10" s="1186">
        <v>1085852</v>
      </c>
    </row>
    <row r="11" spans="1:7" x14ac:dyDescent="0.2">
      <c r="A11" s="1186" t="s">
        <v>15</v>
      </c>
      <c r="B11" s="1186" t="s">
        <v>850</v>
      </c>
      <c r="C11" s="1186">
        <v>1</v>
      </c>
      <c r="D11" s="1186">
        <v>549</v>
      </c>
      <c r="E11" s="1186">
        <v>2012</v>
      </c>
      <c r="F11" s="1186">
        <v>1</v>
      </c>
      <c r="G11" s="1186">
        <v>1053621</v>
      </c>
    </row>
    <row r="12" spans="1:7" x14ac:dyDescent="0.2">
      <c r="A12" s="1186" t="s">
        <v>15</v>
      </c>
      <c r="B12" s="1186" t="s">
        <v>850</v>
      </c>
      <c r="C12" s="1186">
        <v>2</v>
      </c>
      <c r="D12" s="1186">
        <v>611</v>
      </c>
      <c r="E12" s="1186">
        <v>2012</v>
      </c>
      <c r="F12" s="1186">
        <v>2</v>
      </c>
      <c r="G12" s="1186">
        <v>1052734</v>
      </c>
    </row>
    <row r="13" spans="1:7" x14ac:dyDescent="0.2">
      <c r="A13" s="1186" t="s">
        <v>15</v>
      </c>
      <c r="B13" s="1186" t="s">
        <v>850</v>
      </c>
      <c r="C13" s="1186">
        <v>3</v>
      </c>
      <c r="D13" s="1186">
        <v>500</v>
      </c>
      <c r="E13" s="1186">
        <v>2012</v>
      </c>
      <c r="F13" s="1186">
        <v>3</v>
      </c>
      <c r="G13" s="1186">
        <v>1061383</v>
      </c>
    </row>
    <row r="14" spans="1:7" x14ac:dyDescent="0.2">
      <c r="A14" s="1186" t="s">
        <v>15</v>
      </c>
      <c r="B14" s="1186" t="s">
        <v>850</v>
      </c>
      <c r="C14" s="1186">
        <v>4</v>
      </c>
      <c r="D14" s="1186">
        <v>473</v>
      </c>
      <c r="E14" s="1186">
        <v>2012</v>
      </c>
      <c r="F14" s="1186">
        <v>4</v>
      </c>
      <c r="G14" s="1186">
        <v>1060010</v>
      </c>
    </row>
    <row r="15" spans="1:7" x14ac:dyDescent="0.2">
      <c r="A15" s="1186" t="s">
        <v>15</v>
      </c>
      <c r="B15" s="1186" t="s">
        <v>850</v>
      </c>
      <c r="C15" s="1186">
        <v>5</v>
      </c>
      <c r="D15" s="1186">
        <v>275</v>
      </c>
      <c r="E15" s="1186">
        <v>2012</v>
      </c>
      <c r="F15" s="1186">
        <v>5</v>
      </c>
      <c r="G15" s="1186">
        <v>1085852</v>
      </c>
    </row>
    <row r="16" spans="1:7" x14ac:dyDescent="0.2">
      <c r="A16" s="1186" t="s">
        <v>15</v>
      </c>
      <c r="B16" s="1186" t="s">
        <v>851</v>
      </c>
      <c r="C16" s="1186"/>
      <c r="D16" s="1186">
        <v>4</v>
      </c>
      <c r="E16" s="1186"/>
      <c r="F16" s="1186"/>
      <c r="G16" s="1186"/>
    </row>
    <row r="17" spans="1:7" x14ac:dyDescent="0.2">
      <c r="A17" s="1186" t="s">
        <v>15</v>
      </c>
      <c r="B17" s="1186" t="s">
        <v>851</v>
      </c>
      <c r="C17" s="1186">
        <v>1</v>
      </c>
      <c r="D17" s="1186">
        <v>514</v>
      </c>
      <c r="E17" s="1186">
        <v>2012</v>
      </c>
      <c r="F17" s="1186">
        <v>1</v>
      </c>
      <c r="G17" s="1186">
        <v>1053621</v>
      </c>
    </row>
    <row r="18" spans="1:7" x14ac:dyDescent="0.2">
      <c r="A18" s="1186" t="s">
        <v>15</v>
      </c>
      <c r="B18" s="1186" t="s">
        <v>851</v>
      </c>
      <c r="C18" s="1186">
        <v>2</v>
      </c>
      <c r="D18" s="1186">
        <v>431</v>
      </c>
      <c r="E18" s="1186">
        <v>2012</v>
      </c>
      <c r="F18" s="1186">
        <v>2</v>
      </c>
      <c r="G18" s="1186">
        <v>1052734</v>
      </c>
    </row>
    <row r="19" spans="1:7" x14ac:dyDescent="0.2">
      <c r="A19" s="1186" t="s">
        <v>15</v>
      </c>
      <c r="B19" s="1186" t="s">
        <v>851</v>
      </c>
      <c r="C19" s="1186">
        <v>3</v>
      </c>
      <c r="D19" s="1186">
        <v>448</v>
      </c>
      <c r="E19" s="1186">
        <v>2012</v>
      </c>
      <c r="F19" s="1186">
        <v>3</v>
      </c>
      <c r="G19" s="1186">
        <v>1061383</v>
      </c>
    </row>
    <row r="20" spans="1:7" x14ac:dyDescent="0.2">
      <c r="A20" s="1186" t="s">
        <v>15</v>
      </c>
      <c r="B20" s="1186" t="s">
        <v>851</v>
      </c>
      <c r="C20" s="1186">
        <v>4</v>
      </c>
      <c r="D20" s="1186">
        <v>465</v>
      </c>
      <c r="E20" s="1186">
        <v>2012</v>
      </c>
      <c r="F20" s="1186">
        <v>4</v>
      </c>
      <c r="G20" s="1186">
        <v>1060010</v>
      </c>
    </row>
    <row r="21" spans="1:7" x14ac:dyDescent="0.2">
      <c r="A21" s="1186" t="s">
        <v>15</v>
      </c>
      <c r="B21" s="1186" t="s">
        <v>851</v>
      </c>
      <c r="C21" s="1186">
        <v>5</v>
      </c>
      <c r="D21" s="1186">
        <v>172</v>
      </c>
      <c r="E21" s="1186">
        <v>2012</v>
      </c>
      <c r="F21" s="1186">
        <v>5</v>
      </c>
      <c r="G21" s="1186">
        <v>1085852</v>
      </c>
    </row>
    <row r="22" spans="1:7" x14ac:dyDescent="0.2">
      <c r="A22" s="1186" t="s">
        <v>15</v>
      </c>
      <c r="B22" s="1186" t="s">
        <v>852</v>
      </c>
      <c r="C22" s="1186"/>
      <c r="D22" s="1186">
        <v>5</v>
      </c>
      <c r="E22" s="1186"/>
      <c r="F22" s="1186"/>
      <c r="G22" s="1186"/>
    </row>
    <row r="23" spans="1:7" x14ac:dyDescent="0.2">
      <c r="A23" s="1186" t="s">
        <v>15</v>
      </c>
      <c r="B23" s="1186" t="s">
        <v>852</v>
      </c>
      <c r="C23" s="1186">
        <v>1</v>
      </c>
      <c r="D23" s="1186">
        <v>204</v>
      </c>
      <c r="E23" s="1186">
        <v>2012</v>
      </c>
      <c r="F23" s="1186">
        <v>1</v>
      </c>
      <c r="G23" s="1186">
        <v>1053621</v>
      </c>
    </row>
    <row r="24" spans="1:7" x14ac:dyDescent="0.2">
      <c r="A24" s="1186" t="s">
        <v>15</v>
      </c>
      <c r="B24" s="1186" t="s">
        <v>852</v>
      </c>
      <c r="C24" s="1186">
        <v>2</v>
      </c>
      <c r="D24" s="1186">
        <v>161</v>
      </c>
      <c r="E24" s="1186">
        <v>2012</v>
      </c>
      <c r="F24" s="1186">
        <v>2</v>
      </c>
      <c r="G24" s="1186">
        <v>1052734</v>
      </c>
    </row>
    <row r="25" spans="1:7" x14ac:dyDescent="0.2">
      <c r="A25" s="1186" t="s">
        <v>15</v>
      </c>
      <c r="B25" s="1186" t="s">
        <v>852</v>
      </c>
      <c r="C25" s="1186">
        <v>3</v>
      </c>
      <c r="D25" s="1186">
        <v>171</v>
      </c>
      <c r="E25" s="1186">
        <v>2012</v>
      </c>
      <c r="F25" s="1186">
        <v>3</v>
      </c>
      <c r="G25" s="1186">
        <v>1061383</v>
      </c>
    </row>
    <row r="26" spans="1:7" x14ac:dyDescent="0.2">
      <c r="A26" s="1186" t="s">
        <v>15</v>
      </c>
      <c r="B26" s="1186" t="s">
        <v>852</v>
      </c>
      <c r="C26" s="1186">
        <v>4</v>
      </c>
      <c r="D26" s="1186">
        <v>196</v>
      </c>
      <c r="E26" s="1186">
        <v>2012</v>
      </c>
      <c r="F26" s="1186">
        <v>4</v>
      </c>
      <c r="G26" s="1186">
        <v>1060010</v>
      </c>
    </row>
    <row r="27" spans="1:7" x14ac:dyDescent="0.2">
      <c r="A27" s="1186" t="s">
        <v>15</v>
      </c>
      <c r="B27" s="1186" t="s">
        <v>852</v>
      </c>
      <c r="C27" s="1186">
        <v>5</v>
      </c>
      <c r="D27" s="1186">
        <v>78</v>
      </c>
      <c r="E27" s="1186">
        <v>2012</v>
      </c>
      <c r="F27" s="1186">
        <v>5</v>
      </c>
      <c r="G27" s="1186">
        <v>1085852</v>
      </c>
    </row>
    <row r="28" spans="1:7" x14ac:dyDescent="0.2">
      <c r="A28" s="1186" t="s">
        <v>15</v>
      </c>
      <c r="B28" s="1186" t="s">
        <v>853</v>
      </c>
      <c r="C28" s="1186"/>
      <c r="D28" s="1186">
        <v>8</v>
      </c>
      <c r="E28" s="1186"/>
      <c r="F28" s="1186"/>
      <c r="G28" s="1186"/>
    </row>
    <row r="29" spans="1:7" x14ac:dyDescent="0.2">
      <c r="A29" s="1186" t="s">
        <v>15</v>
      </c>
      <c r="B29" s="1186" t="s">
        <v>853</v>
      </c>
      <c r="C29" s="1186">
        <v>1</v>
      </c>
      <c r="D29" s="1186">
        <v>8071</v>
      </c>
      <c r="E29" s="1186">
        <v>2012</v>
      </c>
      <c r="F29" s="1186">
        <v>1</v>
      </c>
      <c r="G29" s="1186">
        <v>1053621</v>
      </c>
    </row>
    <row r="30" spans="1:7" x14ac:dyDescent="0.2">
      <c r="A30" s="1186" t="s">
        <v>15</v>
      </c>
      <c r="B30" s="1186" t="s">
        <v>853</v>
      </c>
      <c r="C30" s="1186">
        <v>2</v>
      </c>
      <c r="D30" s="1186">
        <v>7803</v>
      </c>
      <c r="E30" s="1186">
        <v>2012</v>
      </c>
      <c r="F30" s="1186">
        <v>2</v>
      </c>
      <c r="G30" s="1186">
        <v>1052734</v>
      </c>
    </row>
    <row r="31" spans="1:7" x14ac:dyDescent="0.2">
      <c r="A31" s="1186" t="s">
        <v>15</v>
      </c>
      <c r="B31" s="1186" t="s">
        <v>853</v>
      </c>
      <c r="C31" s="1186">
        <v>3</v>
      </c>
      <c r="D31" s="1186">
        <v>7823</v>
      </c>
      <c r="E31" s="1186">
        <v>2012</v>
      </c>
      <c r="F31" s="1186">
        <v>3</v>
      </c>
      <c r="G31" s="1186">
        <v>1061383</v>
      </c>
    </row>
    <row r="32" spans="1:7" x14ac:dyDescent="0.2">
      <c r="A32" s="1186" t="s">
        <v>15</v>
      </c>
      <c r="B32" s="1186" t="s">
        <v>853</v>
      </c>
      <c r="C32" s="1186">
        <v>4</v>
      </c>
      <c r="D32" s="1186">
        <v>6801</v>
      </c>
      <c r="E32" s="1186">
        <v>2012</v>
      </c>
      <c r="F32" s="1186">
        <v>4</v>
      </c>
      <c r="G32" s="1186">
        <v>1060010</v>
      </c>
    </row>
    <row r="33" spans="1:7" x14ac:dyDescent="0.2">
      <c r="A33" s="1186" t="s">
        <v>15</v>
      </c>
      <c r="B33" s="1186" t="s">
        <v>853</v>
      </c>
      <c r="C33" s="1186">
        <v>5</v>
      </c>
      <c r="D33" s="1186">
        <v>4604</v>
      </c>
      <c r="E33" s="1186">
        <v>2012</v>
      </c>
      <c r="F33" s="1186">
        <v>5</v>
      </c>
      <c r="G33" s="1186">
        <v>1085852</v>
      </c>
    </row>
    <row r="34" spans="1:7" x14ac:dyDescent="0.2">
      <c r="A34" s="1186" t="s">
        <v>15</v>
      </c>
      <c r="B34" s="1186" t="s">
        <v>854</v>
      </c>
      <c r="C34" s="1186"/>
      <c r="D34" s="1186">
        <v>11</v>
      </c>
      <c r="E34" s="1186"/>
      <c r="F34" s="1186"/>
      <c r="G34" s="1186"/>
    </row>
    <row r="35" spans="1:7" x14ac:dyDescent="0.2">
      <c r="A35" s="1186" t="s">
        <v>15</v>
      </c>
      <c r="B35" s="1186" t="s">
        <v>854</v>
      </c>
      <c r="C35" s="1186">
        <v>1</v>
      </c>
      <c r="D35" s="1186">
        <v>2847</v>
      </c>
      <c r="E35" s="1186">
        <v>2012</v>
      </c>
      <c r="F35" s="1186">
        <v>1</v>
      </c>
      <c r="G35" s="1186">
        <v>1053621</v>
      </c>
    </row>
    <row r="36" spans="1:7" x14ac:dyDescent="0.2">
      <c r="A36" s="1186" t="s">
        <v>15</v>
      </c>
      <c r="B36" s="1186" t="s">
        <v>854</v>
      </c>
      <c r="C36" s="1186">
        <v>2</v>
      </c>
      <c r="D36" s="1186">
        <v>2294</v>
      </c>
      <c r="E36" s="1186">
        <v>2012</v>
      </c>
      <c r="F36" s="1186">
        <v>2</v>
      </c>
      <c r="G36" s="1186">
        <v>1052734</v>
      </c>
    </row>
    <row r="37" spans="1:7" x14ac:dyDescent="0.2">
      <c r="A37" s="1186" t="s">
        <v>15</v>
      </c>
      <c r="B37" s="1186" t="s">
        <v>854</v>
      </c>
      <c r="C37" s="1186">
        <v>3</v>
      </c>
      <c r="D37" s="1186">
        <v>1899</v>
      </c>
      <c r="E37" s="1186">
        <v>2012</v>
      </c>
      <c r="F37" s="1186">
        <v>3</v>
      </c>
      <c r="G37" s="1186">
        <v>1061383</v>
      </c>
    </row>
    <row r="38" spans="1:7" x14ac:dyDescent="0.2">
      <c r="A38" s="1186" t="s">
        <v>15</v>
      </c>
      <c r="B38" s="1186" t="s">
        <v>854</v>
      </c>
      <c r="C38" s="1186">
        <v>4</v>
      </c>
      <c r="D38" s="1186">
        <v>1658</v>
      </c>
      <c r="E38" s="1186">
        <v>2012</v>
      </c>
      <c r="F38" s="1186">
        <v>4</v>
      </c>
      <c r="G38" s="1186">
        <v>1060010</v>
      </c>
    </row>
    <row r="39" spans="1:7" x14ac:dyDescent="0.2">
      <c r="A39" s="1186" t="s">
        <v>15</v>
      </c>
      <c r="B39" s="1186" t="s">
        <v>854</v>
      </c>
      <c r="C39" s="1186">
        <v>5</v>
      </c>
      <c r="D39" s="1186">
        <v>1162</v>
      </c>
      <c r="E39" s="1186">
        <v>2012</v>
      </c>
      <c r="F39" s="1186">
        <v>5</v>
      </c>
      <c r="G39" s="1186">
        <v>1085852</v>
      </c>
    </row>
    <row r="40" spans="1:7" x14ac:dyDescent="0.2">
      <c r="A40" s="1186" t="s">
        <v>15</v>
      </c>
      <c r="B40" s="1186" t="s">
        <v>855</v>
      </c>
      <c r="C40" s="1186"/>
      <c r="D40" s="1186">
        <v>1</v>
      </c>
      <c r="E40" s="1186"/>
      <c r="F40" s="1186"/>
      <c r="G40" s="1186"/>
    </row>
    <row r="41" spans="1:7" x14ac:dyDescent="0.2">
      <c r="A41" s="1186" t="s">
        <v>15</v>
      </c>
      <c r="B41" s="1186" t="s">
        <v>855</v>
      </c>
      <c r="C41" s="1186">
        <v>1</v>
      </c>
      <c r="D41" s="1186">
        <v>894</v>
      </c>
      <c r="E41" s="1186">
        <v>2012</v>
      </c>
      <c r="F41" s="1186">
        <v>1</v>
      </c>
      <c r="G41" s="1186">
        <v>1053621</v>
      </c>
    </row>
    <row r="42" spans="1:7" x14ac:dyDescent="0.2">
      <c r="A42" s="1186" t="s">
        <v>15</v>
      </c>
      <c r="B42" s="1186" t="s">
        <v>855</v>
      </c>
      <c r="C42" s="1186">
        <v>2</v>
      </c>
      <c r="D42" s="1186">
        <v>516</v>
      </c>
      <c r="E42" s="1186">
        <v>2012</v>
      </c>
      <c r="F42" s="1186">
        <v>2</v>
      </c>
      <c r="G42" s="1186">
        <v>1052734</v>
      </c>
    </row>
    <row r="43" spans="1:7" x14ac:dyDescent="0.2">
      <c r="A43" s="1186" t="s">
        <v>15</v>
      </c>
      <c r="B43" s="1186" t="s">
        <v>855</v>
      </c>
      <c r="C43" s="1186">
        <v>3</v>
      </c>
      <c r="D43" s="1186">
        <v>397</v>
      </c>
      <c r="E43" s="1186">
        <v>2012</v>
      </c>
      <c r="F43" s="1186">
        <v>3</v>
      </c>
      <c r="G43" s="1186">
        <v>1061383</v>
      </c>
    </row>
    <row r="44" spans="1:7" x14ac:dyDescent="0.2">
      <c r="A44" s="1186" t="s">
        <v>15</v>
      </c>
      <c r="B44" s="1186" t="s">
        <v>855</v>
      </c>
      <c r="C44" s="1186">
        <v>4</v>
      </c>
      <c r="D44" s="1186">
        <v>320</v>
      </c>
      <c r="E44" s="1186">
        <v>2012</v>
      </c>
      <c r="F44" s="1186">
        <v>4</v>
      </c>
      <c r="G44" s="1186">
        <v>1060010</v>
      </c>
    </row>
    <row r="45" spans="1:7" x14ac:dyDescent="0.2">
      <c r="A45" s="1186" t="s">
        <v>15</v>
      </c>
      <c r="B45" s="1186" t="s">
        <v>855</v>
      </c>
      <c r="C45" s="1186">
        <v>5</v>
      </c>
      <c r="D45" s="1186">
        <v>179</v>
      </c>
      <c r="E45" s="1186">
        <v>2012</v>
      </c>
      <c r="F45" s="1186">
        <v>5</v>
      </c>
      <c r="G45" s="1186">
        <v>1085852</v>
      </c>
    </row>
    <row r="46" spans="1:7" x14ac:dyDescent="0.2">
      <c r="A46" s="1186" t="s">
        <v>15</v>
      </c>
      <c r="B46" s="1186" t="s">
        <v>308</v>
      </c>
      <c r="C46" s="1186"/>
      <c r="D46" s="1186">
        <v>32</v>
      </c>
      <c r="E46" s="1186"/>
      <c r="F46" s="1186"/>
      <c r="G46" s="1186"/>
    </row>
    <row r="47" spans="1:7" x14ac:dyDescent="0.2">
      <c r="A47" s="1186" t="s">
        <v>15</v>
      </c>
      <c r="B47" s="1186" t="s">
        <v>308</v>
      </c>
      <c r="C47" s="1186">
        <v>1</v>
      </c>
      <c r="D47" s="1186">
        <v>5839</v>
      </c>
      <c r="E47" s="1186">
        <v>2012</v>
      </c>
      <c r="F47" s="1186">
        <v>1</v>
      </c>
      <c r="G47" s="1186">
        <v>1053621</v>
      </c>
    </row>
    <row r="48" spans="1:7" x14ac:dyDescent="0.2">
      <c r="A48" s="1186" t="s">
        <v>15</v>
      </c>
      <c r="B48" s="1186" t="s">
        <v>308</v>
      </c>
      <c r="C48" s="1186">
        <v>2</v>
      </c>
      <c r="D48" s="1186">
        <v>3069</v>
      </c>
      <c r="E48" s="1186">
        <v>2012</v>
      </c>
      <c r="F48" s="1186">
        <v>2</v>
      </c>
      <c r="G48" s="1186">
        <v>1052734</v>
      </c>
    </row>
    <row r="49" spans="1:7" x14ac:dyDescent="0.2">
      <c r="A49" s="1186" t="s">
        <v>15</v>
      </c>
      <c r="B49" s="1186" t="s">
        <v>308</v>
      </c>
      <c r="C49" s="1186">
        <v>3</v>
      </c>
      <c r="D49" s="1186">
        <v>2431</v>
      </c>
      <c r="E49" s="1186">
        <v>2012</v>
      </c>
      <c r="F49" s="1186">
        <v>3</v>
      </c>
      <c r="G49" s="1186">
        <v>1061383</v>
      </c>
    </row>
    <row r="50" spans="1:7" x14ac:dyDescent="0.2">
      <c r="A50" s="1186" t="s">
        <v>15</v>
      </c>
      <c r="B50" s="1186" t="s">
        <v>308</v>
      </c>
      <c r="C50" s="1186">
        <v>4</v>
      </c>
      <c r="D50" s="1186">
        <v>1908</v>
      </c>
      <c r="E50" s="1186">
        <v>2012</v>
      </c>
      <c r="F50" s="1186">
        <v>4</v>
      </c>
      <c r="G50" s="1186">
        <v>1060010</v>
      </c>
    </row>
    <row r="51" spans="1:7" x14ac:dyDescent="0.2">
      <c r="A51" s="1186" t="s">
        <v>15</v>
      </c>
      <c r="B51" s="1186" t="s">
        <v>308</v>
      </c>
      <c r="C51" s="1186">
        <v>5</v>
      </c>
      <c r="D51" s="1186">
        <v>994</v>
      </c>
      <c r="E51" s="1186">
        <v>2012</v>
      </c>
      <c r="F51" s="1186">
        <v>5</v>
      </c>
      <c r="G51" s="1186">
        <v>1085852</v>
      </c>
    </row>
    <row r="52" spans="1:7" x14ac:dyDescent="0.2">
      <c r="A52" s="1186" t="s">
        <v>17</v>
      </c>
      <c r="B52" s="1186" t="s">
        <v>828</v>
      </c>
      <c r="C52" s="1186">
        <v>1</v>
      </c>
      <c r="D52" s="1186">
        <v>2109</v>
      </c>
      <c r="E52" s="1186">
        <v>2013</v>
      </c>
      <c r="F52" s="1186">
        <v>1</v>
      </c>
      <c r="G52" s="1186">
        <v>1052242</v>
      </c>
    </row>
    <row r="53" spans="1:7" x14ac:dyDescent="0.2">
      <c r="A53" s="1186" t="s">
        <v>17</v>
      </c>
      <c r="B53" s="1186" t="s">
        <v>828</v>
      </c>
      <c r="C53" s="1186">
        <v>2</v>
      </c>
      <c r="D53" s="1186">
        <v>1204</v>
      </c>
      <c r="E53" s="1186">
        <v>2013</v>
      </c>
      <c r="F53" s="1186">
        <v>2</v>
      </c>
      <c r="G53" s="1186">
        <v>1051706</v>
      </c>
    </row>
    <row r="54" spans="1:7" x14ac:dyDescent="0.2">
      <c r="A54" s="1186" t="s">
        <v>17</v>
      </c>
      <c r="B54" s="1186" t="s">
        <v>828</v>
      </c>
      <c r="C54" s="1186">
        <v>3</v>
      </c>
      <c r="D54" s="1186">
        <v>824</v>
      </c>
      <c r="E54" s="1186">
        <v>2013</v>
      </c>
      <c r="F54" s="1186">
        <v>3</v>
      </c>
      <c r="G54" s="1186">
        <v>1062201</v>
      </c>
    </row>
    <row r="55" spans="1:7" x14ac:dyDescent="0.2">
      <c r="A55" s="1186" t="s">
        <v>17</v>
      </c>
      <c r="B55" s="1186" t="s">
        <v>828</v>
      </c>
      <c r="C55" s="1186">
        <v>4</v>
      </c>
      <c r="D55" s="1186">
        <v>650</v>
      </c>
      <c r="E55" s="1186">
        <v>2013</v>
      </c>
      <c r="F55" s="1186">
        <v>4</v>
      </c>
      <c r="G55" s="1186">
        <v>1066971</v>
      </c>
    </row>
    <row r="56" spans="1:7" x14ac:dyDescent="0.2">
      <c r="A56" s="1186" t="s">
        <v>17</v>
      </c>
      <c r="B56" s="1186" t="s">
        <v>828</v>
      </c>
      <c r="C56" s="1186">
        <v>5</v>
      </c>
      <c r="D56" s="1186">
        <v>536</v>
      </c>
      <c r="E56" s="1186">
        <v>2013</v>
      </c>
      <c r="F56" s="1186">
        <v>5</v>
      </c>
      <c r="G56" s="1186">
        <v>1094580</v>
      </c>
    </row>
    <row r="57" spans="1:7" x14ac:dyDescent="0.2">
      <c r="A57" s="1186" t="s">
        <v>17</v>
      </c>
      <c r="B57" s="1186" t="s">
        <v>850</v>
      </c>
      <c r="C57" s="1186">
        <v>1</v>
      </c>
      <c r="D57" s="1186">
        <v>502</v>
      </c>
      <c r="E57" s="1186">
        <v>2013</v>
      </c>
      <c r="F57" s="1186">
        <v>1</v>
      </c>
      <c r="G57" s="1186">
        <v>1052242</v>
      </c>
    </row>
    <row r="58" spans="1:7" x14ac:dyDescent="0.2">
      <c r="A58" s="1186" t="s">
        <v>17</v>
      </c>
      <c r="B58" s="1186" t="s">
        <v>850</v>
      </c>
      <c r="C58" s="1186">
        <v>2</v>
      </c>
      <c r="D58" s="1186">
        <v>574</v>
      </c>
      <c r="E58" s="1186">
        <v>2013</v>
      </c>
      <c r="F58" s="1186">
        <v>2</v>
      </c>
      <c r="G58" s="1186">
        <v>1051706</v>
      </c>
    </row>
    <row r="59" spans="1:7" x14ac:dyDescent="0.2">
      <c r="A59" s="1186" t="s">
        <v>17</v>
      </c>
      <c r="B59" s="1186" t="s">
        <v>850</v>
      </c>
      <c r="C59" s="1186">
        <v>3</v>
      </c>
      <c r="D59" s="1186">
        <v>514</v>
      </c>
      <c r="E59" s="1186">
        <v>2013</v>
      </c>
      <c r="F59" s="1186">
        <v>3</v>
      </c>
      <c r="G59" s="1186">
        <v>1062201</v>
      </c>
    </row>
    <row r="60" spans="1:7" x14ac:dyDescent="0.2">
      <c r="A60" s="1186" t="s">
        <v>17</v>
      </c>
      <c r="B60" s="1186" t="s">
        <v>850</v>
      </c>
      <c r="C60" s="1186">
        <v>4</v>
      </c>
      <c r="D60" s="1186">
        <v>469</v>
      </c>
      <c r="E60" s="1186">
        <v>2013</v>
      </c>
      <c r="F60" s="1186">
        <v>4</v>
      </c>
      <c r="G60" s="1186">
        <v>1066971</v>
      </c>
    </row>
    <row r="61" spans="1:7" x14ac:dyDescent="0.2">
      <c r="A61" s="1186" t="s">
        <v>17</v>
      </c>
      <c r="B61" s="1186" t="s">
        <v>850</v>
      </c>
      <c r="C61" s="1186">
        <v>5</v>
      </c>
      <c r="D61" s="1186">
        <v>287</v>
      </c>
      <c r="E61" s="1186">
        <v>2013</v>
      </c>
      <c r="F61" s="1186">
        <v>5</v>
      </c>
      <c r="G61" s="1186">
        <v>1094580</v>
      </c>
    </row>
    <row r="62" spans="1:7" x14ac:dyDescent="0.2">
      <c r="A62" s="1186" t="s">
        <v>17</v>
      </c>
      <c r="B62" s="1186" t="s">
        <v>851</v>
      </c>
      <c r="C62" s="1186"/>
      <c r="D62" s="1186">
        <v>3</v>
      </c>
      <c r="E62" s="1186"/>
      <c r="F62" s="1186"/>
      <c r="G62" s="1186"/>
    </row>
    <row r="63" spans="1:7" x14ac:dyDescent="0.2">
      <c r="A63" s="1186" t="s">
        <v>17</v>
      </c>
      <c r="B63" s="1186" t="s">
        <v>851</v>
      </c>
      <c r="C63" s="1186">
        <v>1</v>
      </c>
      <c r="D63" s="1186">
        <v>498</v>
      </c>
      <c r="E63" s="1186">
        <v>2013</v>
      </c>
      <c r="F63" s="1186">
        <v>1</v>
      </c>
      <c r="G63" s="1186">
        <v>1052242</v>
      </c>
    </row>
    <row r="64" spans="1:7" x14ac:dyDescent="0.2">
      <c r="A64" s="1186" t="s">
        <v>17</v>
      </c>
      <c r="B64" s="1186" t="s">
        <v>851</v>
      </c>
      <c r="C64" s="1186">
        <v>2</v>
      </c>
      <c r="D64" s="1186">
        <v>398</v>
      </c>
      <c r="E64" s="1186">
        <v>2013</v>
      </c>
      <c r="F64" s="1186">
        <v>2</v>
      </c>
      <c r="G64" s="1186">
        <v>1051706</v>
      </c>
    </row>
    <row r="65" spans="1:7" x14ac:dyDescent="0.2">
      <c r="A65" s="1186" t="s">
        <v>17</v>
      </c>
      <c r="B65" s="1186" t="s">
        <v>851</v>
      </c>
      <c r="C65" s="1186">
        <v>3</v>
      </c>
      <c r="D65" s="1186">
        <v>399</v>
      </c>
      <c r="E65" s="1186">
        <v>2013</v>
      </c>
      <c r="F65" s="1186">
        <v>3</v>
      </c>
      <c r="G65" s="1186">
        <v>1062201</v>
      </c>
    </row>
    <row r="66" spans="1:7" x14ac:dyDescent="0.2">
      <c r="A66" s="1186" t="s">
        <v>17</v>
      </c>
      <c r="B66" s="1186" t="s">
        <v>851</v>
      </c>
      <c r="C66" s="1186">
        <v>4</v>
      </c>
      <c r="D66" s="1186">
        <v>414</v>
      </c>
      <c r="E66" s="1186">
        <v>2013</v>
      </c>
      <c r="F66" s="1186">
        <v>4</v>
      </c>
      <c r="G66" s="1186">
        <v>1066971</v>
      </c>
    </row>
    <row r="67" spans="1:7" x14ac:dyDescent="0.2">
      <c r="A67" s="1186" t="s">
        <v>17</v>
      </c>
      <c r="B67" s="1186" t="s">
        <v>851</v>
      </c>
      <c r="C67" s="1186">
        <v>5</v>
      </c>
      <c r="D67" s="1186">
        <v>226</v>
      </c>
      <c r="E67" s="1186">
        <v>2013</v>
      </c>
      <c r="F67" s="1186">
        <v>5</v>
      </c>
      <c r="G67" s="1186">
        <v>1094580</v>
      </c>
    </row>
    <row r="68" spans="1:7" x14ac:dyDescent="0.2">
      <c r="A68" s="1186" t="s">
        <v>17</v>
      </c>
      <c r="B68" s="1186" t="s">
        <v>852</v>
      </c>
      <c r="C68" s="1186"/>
      <c r="D68" s="1186">
        <v>6</v>
      </c>
      <c r="E68" s="1186"/>
      <c r="F68" s="1186"/>
      <c r="G68" s="1186"/>
    </row>
    <row r="69" spans="1:7" x14ac:dyDescent="0.2">
      <c r="A69" s="1186" t="s">
        <v>17</v>
      </c>
      <c r="B69" s="1186" t="s">
        <v>852</v>
      </c>
      <c r="C69" s="1186">
        <v>1</v>
      </c>
      <c r="D69" s="1186">
        <v>185</v>
      </c>
      <c r="E69" s="1186">
        <v>2013</v>
      </c>
      <c r="F69" s="1186">
        <v>1</v>
      </c>
      <c r="G69" s="1186">
        <v>1052242</v>
      </c>
    </row>
    <row r="70" spans="1:7" x14ac:dyDescent="0.2">
      <c r="A70" s="1186" t="s">
        <v>17</v>
      </c>
      <c r="B70" s="1186" t="s">
        <v>852</v>
      </c>
      <c r="C70" s="1186">
        <v>2</v>
      </c>
      <c r="D70" s="1186">
        <v>183</v>
      </c>
      <c r="E70" s="1186">
        <v>2013</v>
      </c>
      <c r="F70" s="1186">
        <v>2</v>
      </c>
      <c r="G70" s="1186">
        <v>1051706</v>
      </c>
    </row>
    <row r="71" spans="1:7" x14ac:dyDescent="0.2">
      <c r="A71" s="1186" t="s">
        <v>17</v>
      </c>
      <c r="B71" s="1186" t="s">
        <v>852</v>
      </c>
      <c r="C71" s="1186">
        <v>3</v>
      </c>
      <c r="D71" s="1186">
        <v>199</v>
      </c>
      <c r="E71" s="1186">
        <v>2013</v>
      </c>
      <c r="F71" s="1186">
        <v>3</v>
      </c>
      <c r="G71" s="1186">
        <v>1062201</v>
      </c>
    </row>
    <row r="72" spans="1:7" x14ac:dyDescent="0.2">
      <c r="A72" s="1186" t="s">
        <v>17</v>
      </c>
      <c r="B72" s="1186" t="s">
        <v>852</v>
      </c>
      <c r="C72" s="1186">
        <v>4</v>
      </c>
      <c r="D72" s="1186">
        <v>224</v>
      </c>
      <c r="E72" s="1186">
        <v>2013</v>
      </c>
      <c r="F72" s="1186">
        <v>4</v>
      </c>
      <c r="G72" s="1186">
        <v>1066971</v>
      </c>
    </row>
    <row r="73" spans="1:7" x14ac:dyDescent="0.2">
      <c r="A73" s="1186" t="s">
        <v>17</v>
      </c>
      <c r="B73" s="1186" t="s">
        <v>852</v>
      </c>
      <c r="C73" s="1186">
        <v>5</v>
      </c>
      <c r="D73" s="1186">
        <v>117</v>
      </c>
      <c r="E73" s="1186">
        <v>2013</v>
      </c>
      <c r="F73" s="1186">
        <v>5</v>
      </c>
      <c r="G73" s="1186">
        <v>1094580</v>
      </c>
    </row>
    <row r="74" spans="1:7" x14ac:dyDescent="0.2">
      <c r="A74" s="1186" t="s">
        <v>17</v>
      </c>
      <c r="B74" s="1186" t="s">
        <v>853</v>
      </c>
      <c r="C74" s="1186"/>
      <c r="D74" s="1186">
        <v>2</v>
      </c>
      <c r="E74" s="1186"/>
      <c r="F74" s="1186"/>
      <c r="G74" s="1186"/>
    </row>
    <row r="75" spans="1:7" x14ac:dyDescent="0.2">
      <c r="A75" s="1186" t="s">
        <v>17</v>
      </c>
      <c r="B75" s="1186" t="s">
        <v>853</v>
      </c>
      <c r="C75" s="1186">
        <v>1</v>
      </c>
      <c r="D75" s="1186">
        <v>8034</v>
      </c>
      <c r="E75" s="1186">
        <v>2013</v>
      </c>
      <c r="F75" s="1186">
        <v>1</v>
      </c>
      <c r="G75" s="1186">
        <v>1052242</v>
      </c>
    </row>
    <row r="76" spans="1:7" x14ac:dyDescent="0.2">
      <c r="A76" s="1186" t="s">
        <v>17</v>
      </c>
      <c r="B76" s="1186" t="s">
        <v>853</v>
      </c>
      <c r="C76" s="1186">
        <v>2</v>
      </c>
      <c r="D76" s="1186">
        <v>8115</v>
      </c>
      <c r="E76" s="1186">
        <v>2013</v>
      </c>
      <c r="F76" s="1186">
        <v>2</v>
      </c>
      <c r="G76" s="1186">
        <v>1051706</v>
      </c>
    </row>
    <row r="77" spans="1:7" x14ac:dyDescent="0.2">
      <c r="A77" s="1186" t="s">
        <v>17</v>
      </c>
      <c r="B77" s="1186" t="s">
        <v>853</v>
      </c>
      <c r="C77" s="1186">
        <v>3</v>
      </c>
      <c r="D77" s="1186">
        <v>7632</v>
      </c>
      <c r="E77" s="1186">
        <v>2013</v>
      </c>
      <c r="F77" s="1186">
        <v>3</v>
      </c>
      <c r="G77" s="1186">
        <v>1062201</v>
      </c>
    </row>
    <row r="78" spans="1:7" x14ac:dyDescent="0.2">
      <c r="A78" s="1186" t="s">
        <v>17</v>
      </c>
      <c r="B78" s="1186" t="s">
        <v>853</v>
      </c>
      <c r="C78" s="1186">
        <v>4</v>
      </c>
      <c r="D78" s="1186">
        <v>6612</v>
      </c>
      <c r="E78" s="1186">
        <v>2013</v>
      </c>
      <c r="F78" s="1186">
        <v>4</v>
      </c>
      <c r="G78" s="1186">
        <v>1066971</v>
      </c>
    </row>
    <row r="79" spans="1:7" x14ac:dyDescent="0.2">
      <c r="A79" s="1186" t="s">
        <v>17</v>
      </c>
      <c r="B79" s="1186" t="s">
        <v>853</v>
      </c>
      <c r="C79" s="1186">
        <v>5</v>
      </c>
      <c r="D79" s="1186">
        <v>4818</v>
      </c>
      <c r="E79" s="1186">
        <v>2013</v>
      </c>
      <c r="F79" s="1186">
        <v>5</v>
      </c>
      <c r="G79" s="1186">
        <v>1094580</v>
      </c>
    </row>
    <row r="80" spans="1:7" x14ac:dyDescent="0.2">
      <c r="A80" s="1186" t="s">
        <v>17</v>
      </c>
      <c r="B80" s="1186" t="s">
        <v>854</v>
      </c>
      <c r="C80" s="1186"/>
      <c r="D80" s="1186">
        <v>5</v>
      </c>
      <c r="E80" s="1186"/>
      <c r="F80" s="1186"/>
      <c r="G80" s="1186"/>
    </row>
    <row r="81" spans="1:7" x14ac:dyDescent="0.2">
      <c r="A81" s="1186" t="s">
        <v>17</v>
      </c>
      <c r="B81" s="1186" t="s">
        <v>854</v>
      </c>
      <c r="C81" s="1186">
        <v>1</v>
      </c>
      <c r="D81" s="1186">
        <v>2700</v>
      </c>
      <c r="E81" s="1186">
        <v>2013</v>
      </c>
      <c r="F81" s="1186">
        <v>1</v>
      </c>
      <c r="G81" s="1186">
        <v>1052242</v>
      </c>
    </row>
    <row r="82" spans="1:7" x14ac:dyDescent="0.2">
      <c r="A82" s="1186" t="s">
        <v>17</v>
      </c>
      <c r="B82" s="1186" t="s">
        <v>854</v>
      </c>
      <c r="C82" s="1186">
        <v>2</v>
      </c>
      <c r="D82" s="1186">
        <v>2224</v>
      </c>
      <c r="E82" s="1186">
        <v>2013</v>
      </c>
      <c r="F82" s="1186">
        <v>2</v>
      </c>
      <c r="G82" s="1186">
        <v>1051706</v>
      </c>
    </row>
    <row r="83" spans="1:7" x14ac:dyDescent="0.2">
      <c r="A83" s="1186" t="s">
        <v>17</v>
      </c>
      <c r="B83" s="1186" t="s">
        <v>854</v>
      </c>
      <c r="C83" s="1186">
        <v>3</v>
      </c>
      <c r="D83" s="1186">
        <v>1872</v>
      </c>
      <c r="E83" s="1186">
        <v>2013</v>
      </c>
      <c r="F83" s="1186">
        <v>3</v>
      </c>
      <c r="G83" s="1186">
        <v>1062201</v>
      </c>
    </row>
    <row r="84" spans="1:7" x14ac:dyDescent="0.2">
      <c r="A84" s="1186" t="s">
        <v>17</v>
      </c>
      <c r="B84" s="1186" t="s">
        <v>854</v>
      </c>
      <c r="C84" s="1186">
        <v>4</v>
      </c>
      <c r="D84" s="1186">
        <v>1694</v>
      </c>
      <c r="E84" s="1186">
        <v>2013</v>
      </c>
      <c r="F84" s="1186">
        <v>4</v>
      </c>
      <c r="G84" s="1186">
        <v>1066971</v>
      </c>
    </row>
    <row r="85" spans="1:7" x14ac:dyDescent="0.2">
      <c r="A85" s="1186" t="s">
        <v>17</v>
      </c>
      <c r="B85" s="1186" t="s">
        <v>854</v>
      </c>
      <c r="C85" s="1186">
        <v>5</v>
      </c>
      <c r="D85" s="1186">
        <v>1122</v>
      </c>
      <c r="E85" s="1186">
        <v>2013</v>
      </c>
      <c r="F85" s="1186">
        <v>5</v>
      </c>
      <c r="G85" s="1186">
        <v>1094580</v>
      </c>
    </row>
    <row r="86" spans="1:7" x14ac:dyDescent="0.2">
      <c r="A86" s="1186" t="s">
        <v>17</v>
      </c>
      <c r="B86" s="1186" t="s">
        <v>855</v>
      </c>
      <c r="C86" s="1186">
        <v>1</v>
      </c>
      <c r="D86" s="1186">
        <v>858</v>
      </c>
      <c r="E86" s="1186">
        <v>2013</v>
      </c>
      <c r="F86" s="1186">
        <v>1</v>
      </c>
      <c r="G86" s="1186">
        <v>1052242</v>
      </c>
    </row>
    <row r="87" spans="1:7" x14ac:dyDescent="0.2">
      <c r="A87" s="1186" t="s">
        <v>17</v>
      </c>
      <c r="B87" s="1186" t="s">
        <v>855</v>
      </c>
      <c r="C87" s="1186">
        <v>2</v>
      </c>
      <c r="D87" s="1186">
        <v>543</v>
      </c>
      <c r="E87" s="1186">
        <v>2013</v>
      </c>
      <c r="F87" s="1186">
        <v>2</v>
      </c>
      <c r="G87" s="1186">
        <v>1051706</v>
      </c>
    </row>
    <row r="88" spans="1:7" x14ac:dyDescent="0.2">
      <c r="A88" s="1186" t="s">
        <v>17</v>
      </c>
      <c r="B88" s="1186" t="s">
        <v>855</v>
      </c>
      <c r="C88" s="1186">
        <v>3</v>
      </c>
      <c r="D88" s="1186">
        <v>459</v>
      </c>
      <c r="E88" s="1186">
        <v>2013</v>
      </c>
      <c r="F88" s="1186">
        <v>3</v>
      </c>
      <c r="G88" s="1186">
        <v>1062201</v>
      </c>
    </row>
    <row r="89" spans="1:7" x14ac:dyDescent="0.2">
      <c r="A89" s="1186" t="s">
        <v>17</v>
      </c>
      <c r="B89" s="1186" t="s">
        <v>855</v>
      </c>
      <c r="C89" s="1186">
        <v>4</v>
      </c>
      <c r="D89" s="1186">
        <v>330</v>
      </c>
      <c r="E89" s="1186">
        <v>2013</v>
      </c>
      <c r="F89" s="1186">
        <v>4</v>
      </c>
      <c r="G89" s="1186">
        <v>1066971</v>
      </c>
    </row>
    <row r="90" spans="1:7" x14ac:dyDescent="0.2">
      <c r="A90" s="1186" t="s">
        <v>17</v>
      </c>
      <c r="B90" s="1186" t="s">
        <v>855</v>
      </c>
      <c r="C90" s="1186">
        <v>5</v>
      </c>
      <c r="D90" s="1186">
        <v>175</v>
      </c>
      <c r="E90" s="1186">
        <v>2013</v>
      </c>
      <c r="F90" s="1186">
        <v>5</v>
      </c>
      <c r="G90" s="1186">
        <v>1094580</v>
      </c>
    </row>
    <row r="91" spans="1:7" x14ac:dyDescent="0.2">
      <c r="A91" s="1186" t="s">
        <v>17</v>
      </c>
      <c r="B91" s="1186" t="s">
        <v>308</v>
      </c>
      <c r="C91" s="1186"/>
      <c r="D91" s="1186">
        <v>37</v>
      </c>
      <c r="E91" s="1186"/>
      <c r="F91" s="1186"/>
      <c r="G91" s="1186"/>
    </row>
    <row r="92" spans="1:7" x14ac:dyDescent="0.2">
      <c r="A92" s="1186" t="s">
        <v>17</v>
      </c>
      <c r="B92" s="1186" t="s">
        <v>308</v>
      </c>
      <c r="C92" s="1186">
        <v>1</v>
      </c>
      <c r="D92" s="1186">
        <v>6234</v>
      </c>
      <c r="E92" s="1186">
        <v>2013</v>
      </c>
      <c r="F92" s="1186">
        <v>1</v>
      </c>
      <c r="G92" s="1186">
        <v>1052242</v>
      </c>
    </row>
    <row r="93" spans="1:7" x14ac:dyDescent="0.2">
      <c r="A93" s="1186" t="s">
        <v>17</v>
      </c>
      <c r="B93" s="1186" t="s">
        <v>308</v>
      </c>
      <c r="C93" s="1186">
        <v>2</v>
      </c>
      <c r="D93" s="1186">
        <v>3500</v>
      </c>
      <c r="E93" s="1186">
        <v>2013</v>
      </c>
      <c r="F93" s="1186">
        <v>2</v>
      </c>
      <c r="G93" s="1186">
        <v>1051706</v>
      </c>
    </row>
    <row r="94" spans="1:7" x14ac:dyDescent="0.2">
      <c r="A94" s="1186" t="s">
        <v>17</v>
      </c>
      <c r="B94" s="1186" t="s">
        <v>308</v>
      </c>
      <c r="C94" s="1186">
        <v>3</v>
      </c>
      <c r="D94" s="1186">
        <v>2762</v>
      </c>
      <c r="E94" s="1186">
        <v>2013</v>
      </c>
      <c r="F94" s="1186">
        <v>3</v>
      </c>
      <c r="G94" s="1186">
        <v>1062201</v>
      </c>
    </row>
    <row r="95" spans="1:7" x14ac:dyDescent="0.2">
      <c r="A95" s="1186" t="s">
        <v>17</v>
      </c>
      <c r="B95" s="1186" t="s">
        <v>308</v>
      </c>
      <c r="C95" s="1186">
        <v>4</v>
      </c>
      <c r="D95" s="1186">
        <v>2551</v>
      </c>
      <c r="E95" s="1186">
        <v>2013</v>
      </c>
      <c r="F95" s="1186">
        <v>4</v>
      </c>
      <c r="G95" s="1186">
        <v>1066971</v>
      </c>
    </row>
    <row r="96" spans="1:7" x14ac:dyDescent="0.2">
      <c r="A96" s="1186" t="s">
        <v>17</v>
      </c>
      <c r="B96" s="1186" t="s">
        <v>308</v>
      </c>
      <c r="C96" s="1186">
        <v>5</v>
      </c>
      <c r="D96" s="1186">
        <v>1277</v>
      </c>
      <c r="E96" s="1186">
        <v>2013</v>
      </c>
      <c r="F96" s="1186">
        <v>5</v>
      </c>
      <c r="G96" s="1186">
        <v>1094580</v>
      </c>
    </row>
    <row r="97" spans="1:7" x14ac:dyDescent="0.2">
      <c r="A97" s="1186" t="s">
        <v>133</v>
      </c>
      <c r="B97" s="1186" t="s">
        <v>828</v>
      </c>
      <c r="C97" s="1186"/>
      <c r="D97" s="1186">
        <v>1</v>
      </c>
      <c r="E97" s="1186"/>
      <c r="F97" s="1186"/>
      <c r="G97" s="1186"/>
    </row>
    <row r="98" spans="1:7" x14ac:dyDescent="0.2">
      <c r="A98" s="1186" t="s">
        <v>133</v>
      </c>
      <c r="B98" s="1186" t="s">
        <v>828</v>
      </c>
      <c r="C98" s="1186">
        <v>1</v>
      </c>
      <c r="D98" s="1186">
        <v>2138</v>
      </c>
      <c r="E98" s="1186">
        <v>2014</v>
      </c>
      <c r="F98" s="1186">
        <v>1</v>
      </c>
      <c r="G98" s="1186">
        <v>1051892</v>
      </c>
    </row>
    <row r="99" spans="1:7" x14ac:dyDescent="0.2">
      <c r="A99" s="1186" t="s">
        <v>133</v>
      </c>
      <c r="B99" s="1186" t="s">
        <v>828</v>
      </c>
      <c r="C99" s="1186">
        <v>2</v>
      </c>
      <c r="D99" s="1186">
        <v>1263</v>
      </c>
      <c r="E99" s="1186">
        <v>2014</v>
      </c>
      <c r="F99" s="1186">
        <v>2</v>
      </c>
      <c r="G99" s="1186">
        <v>1052469</v>
      </c>
    </row>
    <row r="100" spans="1:7" x14ac:dyDescent="0.2">
      <c r="A100" s="1186" t="s">
        <v>133</v>
      </c>
      <c r="B100" s="1186" t="s">
        <v>828</v>
      </c>
      <c r="C100" s="1186">
        <v>3</v>
      </c>
      <c r="D100" s="1186">
        <v>954</v>
      </c>
      <c r="E100" s="1186">
        <v>2014</v>
      </c>
      <c r="F100" s="1186">
        <v>3</v>
      </c>
      <c r="G100" s="1186">
        <v>1063532</v>
      </c>
    </row>
    <row r="101" spans="1:7" x14ac:dyDescent="0.2">
      <c r="A101" s="1186" t="s">
        <v>133</v>
      </c>
      <c r="B101" s="1186" t="s">
        <v>828</v>
      </c>
      <c r="C101" s="1186">
        <v>4</v>
      </c>
      <c r="D101" s="1186">
        <v>681</v>
      </c>
      <c r="E101" s="1186">
        <v>2014</v>
      </c>
      <c r="F101" s="1186">
        <v>4</v>
      </c>
      <c r="G101" s="1186">
        <v>1076943</v>
      </c>
    </row>
    <row r="102" spans="1:7" x14ac:dyDescent="0.2">
      <c r="A102" s="1186" t="s">
        <v>133</v>
      </c>
      <c r="B102" s="1186" t="s">
        <v>828</v>
      </c>
      <c r="C102" s="1186">
        <v>5</v>
      </c>
      <c r="D102" s="1186">
        <v>537</v>
      </c>
      <c r="E102" s="1186">
        <v>2014</v>
      </c>
      <c r="F102" s="1186">
        <v>5</v>
      </c>
      <c r="G102" s="1186">
        <v>1102764</v>
      </c>
    </row>
    <row r="103" spans="1:7" x14ac:dyDescent="0.2">
      <c r="A103" s="1186" t="s">
        <v>133</v>
      </c>
      <c r="B103" s="1186" t="s">
        <v>850</v>
      </c>
      <c r="C103" s="1186">
        <v>1</v>
      </c>
      <c r="D103" s="1186">
        <v>543</v>
      </c>
      <c r="E103" s="1186">
        <v>2014</v>
      </c>
      <c r="F103" s="1186">
        <v>1</v>
      </c>
      <c r="G103" s="1186">
        <v>1051892</v>
      </c>
    </row>
    <row r="104" spans="1:7" x14ac:dyDescent="0.2">
      <c r="A104" s="1186" t="s">
        <v>133</v>
      </c>
      <c r="B104" s="1186" t="s">
        <v>850</v>
      </c>
      <c r="C104" s="1186">
        <v>2</v>
      </c>
      <c r="D104" s="1186">
        <v>518</v>
      </c>
      <c r="E104" s="1186">
        <v>2014</v>
      </c>
      <c r="F104" s="1186">
        <v>2</v>
      </c>
      <c r="G104" s="1186">
        <v>1052469</v>
      </c>
    </row>
    <row r="105" spans="1:7" x14ac:dyDescent="0.2">
      <c r="A105" s="1186" t="s">
        <v>133</v>
      </c>
      <c r="B105" s="1186" t="s">
        <v>850</v>
      </c>
      <c r="C105" s="1186">
        <v>3</v>
      </c>
      <c r="D105" s="1186">
        <v>544</v>
      </c>
      <c r="E105" s="1186">
        <v>2014</v>
      </c>
      <c r="F105" s="1186">
        <v>3</v>
      </c>
      <c r="G105" s="1186">
        <v>1063532</v>
      </c>
    </row>
    <row r="106" spans="1:7" x14ac:dyDescent="0.2">
      <c r="A106" s="1186" t="s">
        <v>133</v>
      </c>
      <c r="B106" s="1186" t="s">
        <v>850</v>
      </c>
      <c r="C106" s="1186">
        <v>4</v>
      </c>
      <c r="D106" s="1186">
        <v>459</v>
      </c>
      <c r="E106" s="1186">
        <v>2014</v>
      </c>
      <c r="F106" s="1186">
        <v>4</v>
      </c>
      <c r="G106" s="1186">
        <v>1076943</v>
      </c>
    </row>
    <row r="107" spans="1:7" x14ac:dyDescent="0.2">
      <c r="A107" s="1186" t="s">
        <v>133</v>
      </c>
      <c r="B107" s="1186" t="s">
        <v>850</v>
      </c>
      <c r="C107" s="1186">
        <v>5</v>
      </c>
      <c r="D107" s="1186">
        <v>260</v>
      </c>
      <c r="E107" s="1186">
        <v>2014</v>
      </c>
      <c r="F107" s="1186">
        <v>5</v>
      </c>
      <c r="G107" s="1186">
        <v>1102764</v>
      </c>
    </row>
    <row r="108" spans="1:7" x14ac:dyDescent="0.2">
      <c r="A108" s="1186" t="s">
        <v>133</v>
      </c>
      <c r="B108" s="1186" t="s">
        <v>851</v>
      </c>
      <c r="C108" s="1186"/>
      <c r="D108" s="1186">
        <v>1</v>
      </c>
      <c r="E108" s="1186"/>
      <c r="F108" s="1186"/>
      <c r="G108" s="1186"/>
    </row>
    <row r="109" spans="1:7" x14ac:dyDescent="0.2">
      <c r="A109" s="1186" t="s">
        <v>133</v>
      </c>
      <c r="B109" s="1186" t="s">
        <v>851</v>
      </c>
      <c r="C109" s="1186">
        <v>1</v>
      </c>
      <c r="D109" s="1186">
        <v>530</v>
      </c>
      <c r="E109" s="1186">
        <v>2014</v>
      </c>
      <c r="F109" s="1186">
        <v>1</v>
      </c>
      <c r="G109" s="1186">
        <v>1051892</v>
      </c>
    </row>
    <row r="110" spans="1:7" x14ac:dyDescent="0.2">
      <c r="A110" s="1186" t="s">
        <v>133</v>
      </c>
      <c r="B110" s="1186" t="s">
        <v>851</v>
      </c>
      <c r="C110" s="1186">
        <v>2</v>
      </c>
      <c r="D110" s="1186">
        <v>377</v>
      </c>
      <c r="E110" s="1186">
        <v>2014</v>
      </c>
      <c r="F110" s="1186">
        <v>2</v>
      </c>
      <c r="G110" s="1186">
        <v>1052469</v>
      </c>
    </row>
    <row r="111" spans="1:7" x14ac:dyDescent="0.2">
      <c r="A111" s="1186" t="s">
        <v>133</v>
      </c>
      <c r="B111" s="1186" t="s">
        <v>851</v>
      </c>
      <c r="C111" s="1186">
        <v>3</v>
      </c>
      <c r="D111" s="1186">
        <v>402</v>
      </c>
      <c r="E111" s="1186">
        <v>2014</v>
      </c>
      <c r="F111" s="1186">
        <v>3</v>
      </c>
      <c r="G111" s="1186">
        <v>1063532</v>
      </c>
    </row>
    <row r="112" spans="1:7" x14ac:dyDescent="0.2">
      <c r="A112" s="1186" t="s">
        <v>133</v>
      </c>
      <c r="B112" s="1186" t="s">
        <v>851</v>
      </c>
      <c r="C112" s="1186">
        <v>4</v>
      </c>
      <c r="D112" s="1186">
        <v>411</v>
      </c>
      <c r="E112" s="1186">
        <v>2014</v>
      </c>
      <c r="F112" s="1186">
        <v>4</v>
      </c>
      <c r="G112" s="1186">
        <v>1076943</v>
      </c>
    </row>
    <row r="113" spans="1:7" x14ac:dyDescent="0.2">
      <c r="A113" s="1186" t="s">
        <v>133</v>
      </c>
      <c r="B113" s="1186" t="s">
        <v>851</v>
      </c>
      <c r="C113" s="1186">
        <v>5</v>
      </c>
      <c r="D113" s="1186">
        <v>176</v>
      </c>
      <c r="E113" s="1186">
        <v>2014</v>
      </c>
      <c r="F113" s="1186">
        <v>5</v>
      </c>
      <c r="G113" s="1186">
        <v>1102764</v>
      </c>
    </row>
    <row r="114" spans="1:7" x14ac:dyDescent="0.2">
      <c r="A114" s="1186" t="s">
        <v>133</v>
      </c>
      <c r="B114" s="1186" t="s">
        <v>852</v>
      </c>
      <c r="C114" s="1186"/>
      <c r="D114" s="1186">
        <v>3</v>
      </c>
      <c r="E114" s="1186"/>
      <c r="F114" s="1186"/>
      <c r="G114" s="1186"/>
    </row>
    <row r="115" spans="1:7" x14ac:dyDescent="0.2">
      <c r="A115" s="1186" t="s">
        <v>133</v>
      </c>
      <c r="B115" s="1186" t="s">
        <v>852</v>
      </c>
      <c r="C115" s="1186">
        <v>1</v>
      </c>
      <c r="D115" s="1186">
        <v>180</v>
      </c>
      <c r="E115" s="1186">
        <v>2014</v>
      </c>
      <c r="F115" s="1186">
        <v>1</v>
      </c>
      <c r="G115" s="1186">
        <v>1051892</v>
      </c>
    </row>
    <row r="116" spans="1:7" x14ac:dyDescent="0.2">
      <c r="A116" s="1186" t="s">
        <v>133</v>
      </c>
      <c r="B116" s="1186" t="s">
        <v>852</v>
      </c>
      <c r="C116" s="1186">
        <v>2</v>
      </c>
      <c r="D116" s="1186">
        <v>166</v>
      </c>
      <c r="E116" s="1186">
        <v>2014</v>
      </c>
      <c r="F116" s="1186">
        <v>2</v>
      </c>
      <c r="G116" s="1186">
        <v>1052469</v>
      </c>
    </row>
    <row r="117" spans="1:7" x14ac:dyDescent="0.2">
      <c r="A117" s="1186" t="s">
        <v>133</v>
      </c>
      <c r="B117" s="1186" t="s">
        <v>852</v>
      </c>
      <c r="C117" s="1186">
        <v>3</v>
      </c>
      <c r="D117" s="1186">
        <v>178</v>
      </c>
      <c r="E117" s="1186">
        <v>2014</v>
      </c>
      <c r="F117" s="1186">
        <v>3</v>
      </c>
      <c r="G117" s="1186">
        <v>1063532</v>
      </c>
    </row>
    <row r="118" spans="1:7" x14ac:dyDescent="0.2">
      <c r="A118" s="1186" t="s">
        <v>133</v>
      </c>
      <c r="B118" s="1186" t="s">
        <v>852</v>
      </c>
      <c r="C118" s="1186">
        <v>4</v>
      </c>
      <c r="D118" s="1186">
        <v>211</v>
      </c>
      <c r="E118" s="1186">
        <v>2014</v>
      </c>
      <c r="F118" s="1186">
        <v>4</v>
      </c>
      <c r="G118" s="1186">
        <v>1076943</v>
      </c>
    </row>
    <row r="119" spans="1:7" x14ac:dyDescent="0.2">
      <c r="A119" s="1186" t="s">
        <v>133</v>
      </c>
      <c r="B119" s="1186" t="s">
        <v>852</v>
      </c>
      <c r="C119" s="1186">
        <v>5</v>
      </c>
      <c r="D119" s="1186">
        <v>100</v>
      </c>
      <c r="E119" s="1186">
        <v>2014</v>
      </c>
      <c r="F119" s="1186">
        <v>5</v>
      </c>
      <c r="G119" s="1186">
        <v>1102764</v>
      </c>
    </row>
    <row r="120" spans="1:7" x14ac:dyDescent="0.2">
      <c r="A120" s="1186" t="s">
        <v>133</v>
      </c>
      <c r="B120" s="1186" t="s">
        <v>853</v>
      </c>
      <c r="C120" s="1186"/>
      <c r="D120" s="1186">
        <v>1</v>
      </c>
      <c r="E120" s="1186"/>
      <c r="F120" s="1186"/>
      <c r="G120" s="1186"/>
    </row>
    <row r="121" spans="1:7" x14ac:dyDescent="0.2">
      <c r="A121" s="1186" t="s">
        <v>133</v>
      </c>
      <c r="B121" s="1186" t="s">
        <v>853</v>
      </c>
      <c r="C121" s="1186">
        <v>1</v>
      </c>
      <c r="D121" s="1186">
        <v>8503</v>
      </c>
      <c r="E121" s="1186">
        <v>2014</v>
      </c>
      <c r="F121" s="1186">
        <v>1</v>
      </c>
      <c r="G121" s="1186">
        <v>1051892</v>
      </c>
    </row>
    <row r="122" spans="1:7" x14ac:dyDescent="0.2">
      <c r="A122" s="1186" t="s">
        <v>133</v>
      </c>
      <c r="B122" s="1186" t="s">
        <v>853</v>
      </c>
      <c r="C122" s="1186">
        <v>2</v>
      </c>
      <c r="D122" s="1186">
        <v>8379</v>
      </c>
      <c r="E122" s="1186">
        <v>2014</v>
      </c>
      <c r="F122" s="1186">
        <v>2</v>
      </c>
      <c r="G122" s="1186">
        <v>1052469</v>
      </c>
    </row>
    <row r="123" spans="1:7" x14ac:dyDescent="0.2">
      <c r="A123" s="1186" t="s">
        <v>133</v>
      </c>
      <c r="B123" s="1186" t="s">
        <v>853</v>
      </c>
      <c r="C123" s="1186">
        <v>3</v>
      </c>
      <c r="D123" s="1186">
        <v>8367</v>
      </c>
      <c r="E123" s="1186">
        <v>2014</v>
      </c>
      <c r="F123" s="1186">
        <v>3</v>
      </c>
      <c r="G123" s="1186">
        <v>1063532</v>
      </c>
    </row>
    <row r="124" spans="1:7" x14ac:dyDescent="0.2">
      <c r="A124" s="1186" t="s">
        <v>133</v>
      </c>
      <c r="B124" s="1186" t="s">
        <v>853</v>
      </c>
      <c r="C124" s="1186">
        <v>4</v>
      </c>
      <c r="D124" s="1186">
        <v>7047</v>
      </c>
      <c r="E124" s="1186">
        <v>2014</v>
      </c>
      <c r="F124" s="1186">
        <v>4</v>
      </c>
      <c r="G124" s="1186">
        <v>1076943</v>
      </c>
    </row>
    <row r="125" spans="1:7" x14ac:dyDescent="0.2">
      <c r="A125" s="1186" t="s">
        <v>133</v>
      </c>
      <c r="B125" s="1186" t="s">
        <v>853</v>
      </c>
      <c r="C125" s="1186">
        <v>5</v>
      </c>
      <c r="D125" s="1186">
        <v>5040</v>
      </c>
      <c r="E125" s="1186">
        <v>2014</v>
      </c>
      <c r="F125" s="1186">
        <v>5</v>
      </c>
      <c r="G125" s="1186">
        <v>1102764</v>
      </c>
    </row>
    <row r="126" spans="1:7" x14ac:dyDescent="0.2">
      <c r="A126" s="1186" t="s">
        <v>133</v>
      </c>
      <c r="B126" s="1186" t="s">
        <v>854</v>
      </c>
      <c r="C126" s="1186"/>
      <c r="D126" s="1186">
        <v>3</v>
      </c>
      <c r="E126" s="1186"/>
      <c r="F126" s="1186"/>
      <c r="G126" s="1186"/>
    </row>
    <row r="127" spans="1:7" x14ac:dyDescent="0.2">
      <c r="A127" s="1186" t="s">
        <v>133</v>
      </c>
      <c r="B127" s="1186" t="s">
        <v>854</v>
      </c>
      <c r="C127" s="1186">
        <v>1</v>
      </c>
      <c r="D127" s="1186">
        <v>2543</v>
      </c>
      <c r="E127" s="1186">
        <v>2014</v>
      </c>
      <c r="F127" s="1186">
        <v>1</v>
      </c>
      <c r="G127" s="1186">
        <v>1051892</v>
      </c>
    </row>
    <row r="128" spans="1:7" x14ac:dyDescent="0.2">
      <c r="A128" s="1186" t="s">
        <v>133</v>
      </c>
      <c r="B128" s="1186" t="s">
        <v>854</v>
      </c>
      <c r="C128" s="1186">
        <v>2</v>
      </c>
      <c r="D128" s="1186">
        <v>2198</v>
      </c>
      <c r="E128" s="1186">
        <v>2014</v>
      </c>
      <c r="F128" s="1186">
        <v>2</v>
      </c>
      <c r="G128" s="1186">
        <v>1052469</v>
      </c>
    </row>
    <row r="129" spans="1:7" x14ac:dyDescent="0.2">
      <c r="A129" s="1186" t="s">
        <v>133</v>
      </c>
      <c r="B129" s="1186" t="s">
        <v>854</v>
      </c>
      <c r="C129" s="1186">
        <v>3</v>
      </c>
      <c r="D129" s="1186">
        <v>1826</v>
      </c>
      <c r="E129" s="1186">
        <v>2014</v>
      </c>
      <c r="F129" s="1186">
        <v>3</v>
      </c>
      <c r="G129" s="1186">
        <v>1063532</v>
      </c>
    </row>
    <row r="130" spans="1:7" x14ac:dyDescent="0.2">
      <c r="A130" s="1186" t="s">
        <v>133</v>
      </c>
      <c r="B130" s="1186" t="s">
        <v>854</v>
      </c>
      <c r="C130" s="1186">
        <v>4</v>
      </c>
      <c r="D130" s="1186">
        <v>1620</v>
      </c>
      <c r="E130" s="1186">
        <v>2014</v>
      </c>
      <c r="F130" s="1186">
        <v>4</v>
      </c>
      <c r="G130" s="1186">
        <v>1076943</v>
      </c>
    </row>
    <row r="131" spans="1:7" x14ac:dyDescent="0.2">
      <c r="A131" s="1186" t="s">
        <v>133</v>
      </c>
      <c r="B131" s="1186" t="s">
        <v>854</v>
      </c>
      <c r="C131" s="1186">
        <v>5</v>
      </c>
      <c r="D131" s="1186">
        <v>1066</v>
      </c>
      <c r="E131" s="1186">
        <v>2014</v>
      </c>
      <c r="F131" s="1186">
        <v>5</v>
      </c>
      <c r="G131" s="1186">
        <v>1102764</v>
      </c>
    </row>
    <row r="132" spans="1:7" x14ac:dyDescent="0.2">
      <c r="A132" s="1186" t="s">
        <v>133</v>
      </c>
      <c r="B132" s="1186" t="s">
        <v>855</v>
      </c>
      <c r="C132" s="1186"/>
      <c r="D132" s="1186">
        <v>1</v>
      </c>
      <c r="E132" s="1186"/>
      <c r="F132" s="1186"/>
      <c r="G132" s="1186"/>
    </row>
    <row r="133" spans="1:7" x14ac:dyDescent="0.2">
      <c r="A133" s="1186" t="s">
        <v>133</v>
      </c>
      <c r="B133" s="1186" t="s">
        <v>855</v>
      </c>
      <c r="C133" s="1186">
        <v>1</v>
      </c>
      <c r="D133" s="1186">
        <v>756</v>
      </c>
      <c r="E133" s="1186">
        <v>2014</v>
      </c>
      <c r="F133" s="1186">
        <v>1</v>
      </c>
      <c r="G133" s="1186">
        <v>1051892</v>
      </c>
    </row>
    <row r="134" spans="1:7" x14ac:dyDescent="0.2">
      <c r="A134" s="1186" t="s">
        <v>133</v>
      </c>
      <c r="B134" s="1186" t="s">
        <v>855</v>
      </c>
      <c r="C134" s="1186">
        <v>2</v>
      </c>
      <c r="D134" s="1186">
        <v>448</v>
      </c>
      <c r="E134" s="1186">
        <v>2014</v>
      </c>
      <c r="F134" s="1186">
        <v>2</v>
      </c>
      <c r="G134" s="1186">
        <v>1052469</v>
      </c>
    </row>
    <row r="135" spans="1:7" x14ac:dyDescent="0.2">
      <c r="A135" s="1186" t="s">
        <v>133</v>
      </c>
      <c r="B135" s="1186" t="s">
        <v>855</v>
      </c>
      <c r="C135" s="1186">
        <v>3</v>
      </c>
      <c r="D135" s="1186">
        <v>410</v>
      </c>
      <c r="E135" s="1186">
        <v>2014</v>
      </c>
      <c r="F135" s="1186">
        <v>3</v>
      </c>
      <c r="G135" s="1186">
        <v>1063532</v>
      </c>
    </row>
    <row r="136" spans="1:7" x14ac:dyDescent="0.2">
      <c r="A136" s="1186" t="s">
        <v>133</v>
      </c>
      <c r="B136" s="1186" t="s">
        <v>855</v>
      </c>
      <c r="C136" s="1186">
        <v>4</v>
      </c>
      <c r="D136" s="1186">
        <v>273</v>
      </c>
      <c r="E136" s="1186">
        <v>2014</v>
      </c>
      <c r="F136" s="1186">
        <v>4</v>
      </c>
      <c r="G136" s="1186">
        <v>1076943</v>
      </c>
    </row>
    <row r="137" spans="1:7" x14ac:dyDescent="0.2">
      <c r="A137" s="1186" t="s">
        <v>133</v>
      </c>
      <c r="B137" s="1186" t="s">
        <v>855</v>
      </c>
      <c r="C137" s="1186">
        <v>5</v>
      </c>
      <c r="D137" s="1186">
        <v>168</v>
      </c>
      <c r="E137" s="1186">
        <v>2014</v>
      </c>
      <c r="F137" s="1186">
        <v>5</v>
      </c>
      <c r="G137" s="1186">
        <v>1102764</v>
      </c>
    </row>
    <row r="138" spans="1:7" x14ac:dyDescent="0.2">
      <c r="A138" s="1186" t="s">
        <v>133</v>
      </c>
      <c r="B138" s="1186" t="s">
        <v>308</v>
      </c>
      <c r="C138" s="1186"/>
      <c r="D138" s="1186">
        <v>17</v>
      </c>
      <c r="E138" s="1186"/>
      <c r="F138" s="1186"/>
      <c r="G138" s="1186"/>
    </row>
    <row r="139" spans="1:7" x14ac:dyDescent="0.2">
      <c r="A139" s="1186" t="s">
        <v>133</v>
      </c>
      <c r="B139" s="1186" t="s">
        <v>308</v>
      </c>
      <c r="C139" s="1186">
        <v>1</v>
      </c>
      <c r="D139" s="1186">
        <v>5461</v>
      </c>
      <c r="E139" s="1186">
        <v>2014</v>
      </c>
      <c r="F139" s="1186">
        <v>1</v>
      </c>
      <c r="G139" s="1186">
        <v>1051892</v>
      </c>
    </row>
    <row r="140" spans="1:7" x14ac:dyDescent="0.2">
      <c r="A140" s="1186" t="s">
        <v>133</v>
      </c>
      <c r="B140" s="1186" t="s">
        <v>308</v>
      </c>
      <c r="C140" s="1186">
        <v>2</v>
      </c>
      <c r="D140" s="1186">
        <v>2781</v>
      </c>
      <c r="E140" s="1186">
        <v>2014</v>
      </c>
      <c r="F140" s="1186">
        <v>2</v>
      </c>
      <c r="G140" s="1186">
        <v>1052469</v>
      </c>
    </row>
    <row r="141" spans="1:7" x14ac:dyDescent="0.2">
      <c r="A141" s="1186" t="s">
        <v>133</v>
      </c>
      <c r="B141" s="1186" t="s">
        <v>308</v>
      </c>
      <c r="C141" s="1186">
        <v>3</v>
      </c>
      <c r="D141" s="1186">
        <v>2093</v>
      </c>
      <c r="E141" s="1186">
        <v>2014</v>
      </c>
      <c r="F141" s="1186">
        <v>3</v>
      </c>
      <c r="G141" s="1186">
        <v>1063532</v>
      </c>
    </row>
    <row r="142" spans="1:7" x14ac:dyDescent="0.2">
      <c r="A142" s="1186" t="s">
        <v>133</v>
      </c>
      <c r="B142" s="1186" t="s">
        <v>308</v>
      </c>
      <c r="C142" s="1186">
        <v>4</v>
      </c>
      <c r="D142" s="1186">
        <v>2006</v>
      </c>
      <c r="E142" s="1186">
        <v>2014</v>
      </c>
      <c r="F142" s="1186">
        <v>4</v>
      </c>
      <c r="G142" s="1186">
        <v>1076943</v>
      </c>
    </row>
    <row r="143" spans="1:7" x14ac:dyDescent="0.2">
      <c r="A143" s="1186" t="s">
        <v>133</v>
      </c>
      <c r="B143" s="1186" t="s">
        <v>308</v>
      </c>
      <c r="C143" s="1186">
        <v>5</v>
      </c>
      <c r="D143" s="1186">
        <v>1048</v>
      </c>
      <c r="E143" s="1186">
        <v>2014</v>
      </c>
      <c r="F143" s="1186">
        <v>5</v>
      </c>
      <c r="G143" s="1186">
        <v>1102764</v>
      </c>
    </row>
    <row r="144" spans="1:7" x14ac:dyDescent="0.2">
      <c r="A144" s="1186" t="s">
        <v>144</v>
      </c>
      <c r="B144" s="1186" t="s">
        <v>828</v>
      </c>
      <c r="C144" s="1186">
        <v>1</v>
      </c>
      <c r="D144" s="1186">
        <v>2230</v>
      </c>
      <c r="E144" s="1186">
        <v>2015</v>
      </c>
      <c r="F144" s="1186">
        <v>1</v>
      </c>
      <c r="G144" s="1186">
        <v>1054168</v>
      </c>
    </row>
    <row r="145" spans="1:7" x14ac:dyDescent="0.2">
      <c r="A145" s="1186" t="s">
        <v>144</v>
      </c>
      <c r="B145" s="1186" t="s">
        <v>828</v>
      </c>
      <c r="C145" s="1186">
        <v>2</v>
      </c>
      <c r="D145" s="1186">
        <v>1298</v>
      </c>
      <c r="E145" s="1186">
        <v>2015</v>
      </c>
      <c r="F145" s="1186">
        <v>2</v>
      </c>
      <c r="G145" s="1186">
        <v>1055402</v>
      </c>
    </row>
    <row r="146" spans="1:7" x14ac:dyDescent="0.2">
      <c r="A146" s="1186" t="s">
        <v>144</v>
      </c>
      <c r="B146" s="1186" t="s">
        <v>828</v>
      </c>
      <c r="C146" s="1186">
        <v>3</v>
      </c>
      <c r="D146" s="1186">
        <v>945</v>
      </c>
      <c r="E146" s="1186">
        <v>2015</v>
      </c>
      <c r="F146" s="1186">
        <v>3</v>
      </c>
      <c r="G146" s="1186">
        <v>1065989</v>
      </c>
    </row>
    <row r="147" spans="1:7" x14ac:dyDescent="0.2">
      <c r="A147" s="1186" t="s">
        <v>144</v>
      </c>
      <c r="B147" s="1186" t="s">
        <v>828</v>
      </c>
      <c r="C147" s="1186">
        <v>4</v>
      </c>
      <c r="D147" s="1186">
        <v>737</v>
      </c>
      <c r="E147" s="1186">
        <v>2015</v>
      </c>
      <c r="F147" s="1186">
        <v>4</v>
      </c>
      <c r="G147" s="1186">
        <v>1087470</v>
      </c>
    </row>
    <row r="148" spans="1:7" x14ac:dyDescent="0.2">
      <c r="A148" s="1186" t="s">
        <v>144</v>
      </c>
      <c r="B148" s="1186" t="s">
        <v>828</v>
      </c>
      <c r="C148" s="1186">
        <v>5</v>
      </c>
      <c r="D148" s="1186">
        <v>463</v>
      </c>
      <c r="E148" s="1186">
        <v>2015</v>
      </c>
      <c r="F148" s="1186">
        <v>5</v>
      </c>
      <c r="G148" s="1186">
        <v>1109971</v>
      </c>
    </row>
    <row r="149" spans="1:7" x14ac:dyDescent="0.2">
      <c r="A149" s="1186" t="s">
        <v>144</v>
      </c>
      <c r="B149" s="1186" t="s">
        <v>850</v>
      </c>
      <c r="C149" s="1186"/>
      <c r="D149" s="1186">
        <v>2</v>
      </c>
      <c r="E149" s="1186"/>
      <c r="F149" s="1186"/>
      <c r="G149" s="1186"/>
    </row>
    <row r="150" spans="1:7" x14ac:dyDescent="0.2">
      <c r="A150" s="1186" t="s">
        <v>144</v>
      </c>
      <c r="B150" s="1186" t="s">
        <v>850</v>
      </c>
      <c r="C150" s="1186">
        <v>1</v>
      </c>
      <c r="D150" s="1186">
        <v>592</v>
      </c>
      <c r="E150" s="1186">
        <v>2015</v>
      </c>
      <c r="F150" s="1186">
        <v>1</v>
      </c>
      <c r="G150" s="1186">
        <v>1054168</v>
      </c>
    </row>
    <row r="151" spans="1:7" x14ac:dyDescent="0.2">
      <c r="A151" s="1186" t="s">
        <v>144</v>
      </c>
      <c r="B151" s="1186" t="s">
        <v>850</v>
      </c>
      <c r="C151" s="1186">
        <v>2</v>
      </c>
      <c r="D151" s="1186">
        <v>522</v>
      </c>
      <c r="E151" s="1186">
        <v>2015</v>
      </c>
      <c r="F151" s="1186">
        <v>2</v>
      </c>
      <c r="G151" s="1186">
        <v>1055402</v>
      </c>
    </row>
    <row r="152" spans="1:7" x14ac:dyDescent="0.2">
      <c r="A152" s="1186" t="s">
        <v>144</v>
      </c>
      <c r="B152" s="1186" t="s">
        <v>850</v>
      </c>
      <c r="C152" s="1186">
        <v>3</v>
      </c>
      <c r="D152" s="1186">
        <v>537</v>
      </c>
      <c r="E152" s="1186">
        <v>2015</v>
      </c>
      <c r="F152" s="1186">
        <v>3</v>
      </c>
      <c r="G152" s="1186">
        <v>1065989</v>
      </c>
    </row>
    <row r="153" spans="1:7" x14ac:dyDescent="0.2">
      <c r="A153" s="1186" t="s">
        <v>144</v>
      </c>
      <c r="B153" s="1186" t="s">
        <v>850</v>
      </c>
      <c r="C153" s="1186">
        <v>4</v>
      </c>
      <c r="D153" s="1186">
        <v>542</v>
      </c>
      <c r="E153" s="1186">
        <v>2015</v>
      </c>
      <c r="F153" s="1186">
        <v>4</v>
      </c>
      <c r="G153" s="1186">
        <v>1087470</v>
      </c>
    </row>
    <row r="154" spans="1:7" x14ac:dyDescent="0.2">
      <c r="A154" s="1186" t="s">
        <v>144</v>
      </c>
      <c r="B154" s="1186" t="s">
        <v>850</v>
      </c>
      <c r="C154" s="1186">
        <v>5</v>
      </c>
      <c r="D154" s="1186">
        <v>299</v>
      </c>
      <c r="E154" s="1186">
        <v>2015</v>
      </c>
      <c r="F154" s="1186">
        <v>5</v>
      </c>
      <c r="G154" s="1186">
        <v>1109971</v>
      </c>
    </row>
    <row r="155" spans="1:7" x14ac:dyDescent="0.2">
      <c r="A155" s="1186" t="s">
        <v>144</v>
      </c>
      <c r="B155" s="1186" t="s">
        <v>851</v>
      </c>
      <c r="C155" s="1186"/>
      <c r="D155" s="1186">
        <v>1</v>
      </c>
      <c r="E155" s="1186"/>
      <c r="F155" s="1186"/>
      <c r="G155" s="1186"/>
    </row>
    <row r="156" spans="1:7" x14ac:dyDescent="0.2">
      <c r="A156" s="1186" t="s">
        <v>144</v>
      </c>
      <c r="B156" s="1186" t="s">
        <v>851</v>
      </c>
      <c r="C156" s="1186">
        <v>1</v>
      </c>
      <c r="D156" s="1186">
        <v>517</v>
      </c>
      <c r="E156" s="1186">
        <v>2015</v>
      </c>
      <c r="F156" s="1186">
        <v>1</v>
      </c>
      <c r="G156" s="1186">
        <v>1054168</v>
      </c>
    </row>
    <row r="157" spans="1:7" x14ac:dyDescent="0.2">
      <c r="A157" s="1186" t="s">
        <v>144</v>
      </c>
      <c r="B157" s="1186" t="s">
        <v>851</v>
      </c>
      <c r="C157" s="1186">
        <v>2</v>
      </c>
      <c r="D157" s="1186">
        <v>392</v>
      </c>
      <c r="E157" s="1186">
        <v>2015</v>
      </c>
      <c r="F157" s="1186">
        <v>2</v>
      </c>
      <c r="G157" s="1186">
        <v>1055402</v>
      </c>
    </row>
    <row r="158" spans="1:7" x14ac:dyDescent="0.2">
      <c r="A158" s="1186" t="s">
        <v>144</v>
      </c>
      <c r="B158" s="1186" t="s">
        <v>851</v>
      </c>
      <c r="C158" s="1186">
        <v>3</v>
      </c>
      <c r="D158" s="1186">
        <v>409</v>
      </c>
      <c r="E158" s="1186">
        <v>2015</v>
      </c>
      <c r="F158" s="1186">
        <v>3</v>
      </c>
      <c r="G158" s="1186">
        <v>1065989</v>
      </c>
    </row>
    <row r="159" spans="1:7" x14ac:dyDescent="0.2">
      <c r="A159" s="1186" t="s">
        <v>144</v>
      </c>
      <c r="B159" s="1186" t="s">
        <v>851</v>
      </c>
      <c r="C159" s="1186">
        <v>4</v>
      </c>
      <c r="D159" s="1186">
        <v>425</v>
      </c>
      <c r="E159" s="1186">
        <v>2015</v>
      </c>
      <c r="F159" s="1186">
        <v>4</v>
      </c>
      <c r="G159" s="1186">
        <v>1087470</v>
      </c>
    </row>
    <row r="160" spans="1:7" x14ac:dyDescent="0.2">
      <c r="A160" s="1186" t="s">
        <v>144</v>
      </c>
      <c r="B160" s="1186" t="s">
        <v>851</v>
      </c>
      <c r="C160" s="1186">
        <v>5</v>
      </c>
      <c r="D160" s="1186">
        <v>221</v>
      </c>
      <c r="E160" s="1186">
        <v>2015</v>
      </c>
      <c r="F160" s="1186">
        <v>5</v>
      </c>
      <c r="G160" s="1186">
        <v>1109971</v>
      </c>
    </row>
    <row r="161" spans="1:7" x14ac:dyDescent="0.2">
      <c r="A161" s="1186" t="s">
        <v>144</v>
      </c>
      <c r="B161" s="1186" t="s">
        <v>852</v>
      </c>
      <c r="C161" s="1186"/>
      <c r="D161" s="1186">
        <v>11</v>
      </c>
      <c r="E161" s="1186"/>
      <c r="F161" s="1186"/>
      <c r="G161" s="1186"/>
    </row>
    <row r="162" spans="1:7" x14ac:dyDescent="0.2">
      <c r="A162" s="1186" t="s">
        <v>144</v>
      </c>
      <c r="B162" s="1186" t="s">
        <v>852</v>
      </c>
      <c r="C162" s="1186">
        <v>1</v>
      </c>
      <c r="D162" s="1186">
        <v>163</v>
      </c>
      <c r="E162" s="1186">
        <v>2015</v>
      </c>
      <c r="F162" s="1186">
        <v>1</v>
      </c>
      <c r="G162" s="1186">
        <v>1054168</v>
      </c>
    </row>
    <row r="163" spans="1:7" x14ac:dyDescent="0.2">
      <c r="A163" s="1186" t="s">
        <v>144</v>
      </c>
      <c r="B163" s="1186" t="s">
        <v>852</v>
      </c>
      <c r="C163" s="1186">
        <v>2</v>
      </c>
      <c r="D163" s="1186">
        <v>195</v>
      </c>
      <c r="E163" s="1186">
        <v>2015</v>
      </c>
      <c r="F163" s="1186">
        <v>2</v>
      </c>
      <c r="G163" s="1186">
        <v>1055402</v>
      </c>
    </row>
    <row r="164" spans="1:7" x14ac:dyDescent="0.2">
      <c r="A164" s="1186" t="s">
        <v>144</v>
      </c>
      <c r="B164" s="1186" t="s">
        <v>852</v>
      </c>
      <c r="C164" s="1186">
        <v>3</v>
      </c>
      <c r="D164" s="1186">
        <v>184</v>
      </c>
      <c r="E164" s="1186">
        <v>2015</v>
      </c>
      <c r="F164" s="1186">
        <v>3</v>
      </c>
      <c r="G164" s="1186">
        <v>1065989</v>
      </c>
    </row>
    <row r="165" spans="1:7" x14ac:dyDescent="0.2">
      <c r="A165" s="1186" t="s">
        <v>144</v>
      </c>
      <c r="B165" s="1186" t="s">
        <v>852</v>
      </c>
      <c r="C165" s="1186">
        <v>4</v>
      </c>
      <c r="D165" s="1186">
        <v>212</v>
      </c>
      <c r="E165" s="1186">
        <v>2015</v>
      </c>
      <c r="F165" s="1186">
        <v>4</v>
      </c>
      <c r="G165" s="1186">
        <v>1087470</v>
      </c>
    </row>
    <row r="166" spans="1:7" x14ac:dyDescent="0.2">
      <c r="A166" s="1186" t="s">
        <v>144</v>
      </c>
      <c r="B166" s="1186" t="s">
        <v>852</v>
      </c>
      <c r="C166" s="1186">
        <v>5</v>
      </c>
      <c r="D166" s="1186">
        <v>109</v>
      </c>
      <c r="E166" s="1186">
        <v>2015</v>
      </c>
      <c r="F166" s="1186">
        <v>5</v>
      </c>
      <c r="G166" s="1186">
        <v>1109971</v>
      </c>
    </row>
    <row r="167" spans="1:7" x14ac:dyDescent="0.2">
      <c r="A167" s="1186" t="s">
        <v>144</v>
      </c>
      <c r="B167" s="1186" t="s">
        <v>853</v>
      </c>
      <c r="C167" s="1186"/>
      <c r="D167" s="1186">
        <v>11</v>
      </c>
      <c r="E167" s="1186"/>
      <c r="F167" s="1186"/>
      <c r="G167" s="1186"/>
    </row>
    <row r="168" spans="1:7" x14ac:dyDescent="0.2">
      <c r="A168" s="1186" t="s">
        <v>144</v>
      </c>
      <c r="B168" s="1186" t="s">
        <v>853</v>
      </c>
      <c r="C168" s="1186">
        <v>1</v>
      </c>
      <c r="D168" s="1186">
        <v>8520</v>
      </c>
      <c r="E168" s="1186">
        <v>2015</v>
      </c>
      <c r="F168" s="1186">
        <v>1</v>
      </c>
      <c r="G168" s="1186">
        <v>1054168</v>
      </c>
    </row>
    <row r="169" spans="1:7" x14ac:dyDescent="0.2">
      <c r="A169" s="1186" t="s">
        <v>144</v>
      </c>
      <c r="B169" s="1186" t="s">
        <v>853</v>
      </c>
      <c r="C169" s="1186">
        <v>2</v>
      </c>
      <c r="D169" s="1186">
        <v>8415</v>
      </c>
      <c r="E169" s="1186">
        <v>2015</v>
      </c>
      <c r="F169" s="1186">
        <v>2</v>
      </c>
      <c r="G169" s="1186">
        <v>1055402</v>
      </c>
    </row>
    <row r="170" spans="1:7" x14ac:dyDescent="0.2">
      <c r="A170" s="1186" t="s">
        <v>144</v>
      </c>
      <c r="B170" s="1186" t="s">
        <v>853</v>
      </c>
      <c r="C170" s="1186">
        <v>3</v>
      </c>
      <c r="D170" s="1186">
        <v>8540</v>
      </c>
      <c r="E170" s="1186">
        <v>2015</v>
      </c>
      <c r="F170" s="1186">
        <v>3</v>
      </c>
      <c r="G170" s="1186">
        <v>1065989</v>
      </c>
    </row>
    <row r="171" spans="1:7" x14ac:dyDescent="0.2">
      <c r="A171" s="1186" t="s">
        <v>144</v>
      </c>
      <c r="B171" s="1186" t="s">
        <v>853</v>
      </c>
      <c r="C171" s="1186">
        <v>4</v>
      </c>
      <c r="D171" s="1186">
        <v>7133</v>
      </c>
      <c r="E171" s="1186">
        <v>2015</v>
      </c>
      <c r="F171" s="1186">
        <v>4</v>
      </c>
      <c r="G171" s="1186">
        <v>1087470</v>
      </c>
    </row>
    <row r="172" spans="1:7" x14ac:dyDescent="0.2">
      <c r="A172" s="1186" t="s">
        <v>144</v>
      </c>
      <c r="B172" s="1186" t="s">
        <v>853</v>
      </c>
      <c r="C172" s="1186">
        <v>5</v>
      </c>
      <c r="D172" s="1186">
        <v>5002</v>
      </c>
      <c r="E172" s="1186">
        <v>2015</v>
      </c>
      <c r="F172" s="1186">
        <v>5</v>
      </c>
      <c r="G172" s="1186">
        <v>1109971</v>
      </c>
    </row>
    <row r="173" spans="1:7" x14ac:dyDescent="0.2">
      <c r="A173" s="1186" t="s">
        <v>144</v>
      </c>
      <c r="B173" s="1186" t="s">
        <v>854</v>
      </c>
      <c r="C173" s="1186"/>
      <c r="D173" s="1186">
        <v>10</v>
      </c>
      <c r="E173" s="1186"/>
      <c r="F173" s="1186"/>
      <c r="G173" s="1186"/>
    </row>
    <row r="174" spans="1:7" x14ac:dyDescent="0.2">
      <c r="A174" s="1186" t="s">
        <v>144</v>
      </c>
      <c r="B174" s="1186" t="s">
        <v>854</v>
      </c>
      <c r="C174" s="1186">
        <v>1</v>
      </c>
      <c r="D174" s="1186">
        <v>2382</v>
      </c>
      <c r="E174" s="1186">
        <v>2015</v>
      </c>
      <c r="F174" s="1186">
        <v>1</v>
      </c>
      <c r="G174" s="1186">
        <v>1054168</v>
      </c>
    </row>
    <row r="175" spans="1:7" x14ac:dyDescent="0.2">
      <c r="A175" s="1186" t="s">
        <v>144</v>
      </c>
      <c r="B175" s="1186" t="s">
        <v>854</v>
      </c>
      <c r="C175" s="1186">
        <v>2</v>
      </c>
      <c r="D175" s="1186">
        <v>2039</v>
      </c>
      <c r="E175" s="1186">
        <v>2015</v>
      </c>
      <c r="F175" s="1186">
        <v>2</v>
      </c>
      <c r="G175" s="1186">
        <v>1055402</v>
      </c>
    </row>
    <row r="176" spans="1:7" x14ac:dyDescent="0.2">
      <c r="A176" s="1186" t="s">
        <v>144</v>
      </c>
      <c r="B176" s="1186" t="s">
        <v>854</v>
      </c>
      <c r="C176" s="1186">
        <v>3</v>
      </c>
      <c r="D176" s="1186">
        <v>1792</v>
      </c>
      <c r="E176" s="1186">
        <v>2015</v>
      </c>
      <c r="F176" s="1186">
        <v>3</v>
      </c>
      <c r="G176" s="1186">
        <v>1065989</v>
      </c>
    </row>
    <row r="177" spans="1:7" x14ac:dyDescent="0.2">
      <c r="A177" s="1186" t="s">
        <v>144</v>
      </c>
      <c r="B177" s="1186" t="s">
        <v>854</v>
      </c>
      <c r="C177" s="1186">
        <v>4</v>
      </c>
      <c r="D177" s="1186">
        <v>1591</v>
      </c>
      <c r="E177" s="1186">
        <v>2015</v>
      </c>
      <c r="F177" s="1186">
        <v>4</v>
      </c>
      <c r="G177" s="1186">
        <v>1087470</v>
      </c>
    </row>
    <row r="178" spans="1:7" x14ac:dyDescent="0.2">
      <c r="A178" s="1186" t="s">
        <v>144</v>
      </c>
      <c r="B178" s="1186" t="s">
        <v>854</v>
      </c>
      <c r="C178" s="1186">
        <v>5</v>
      </c>
      <c r="D178" s="1186">
        <v>1036</v>
      </c>
      <c r="E178" s="1186">
        <v>2015</v>
      </c>
      <c r="F178" s="1186">
        <v>5</v>
      </c>
      <c r="G178" s="1186">
        <v>1109971</v>
      </c>
    </row>
    <row r="179" spans="1:7" x14ac:dyDescent="0.2">
      <c r="A179" s="1186" t="s">
        <v>144</v>
      </c>
      <c r="B179" s="1186" t="s">
        <v>855</v>
      </c>
      <c r="C179" s="1186">
        <v>1</v>
      </c>
      <c r="D179" s="1186">
        <v>870</v>
      </c>
      <c r="E179" s="1186">
        <v>2015</v>
      </c>
      <c r="F179" s="1186">
        <v>1</v>
      </c>
      <c r="G179" s="1186">
        <v>1054168</v>
      </c>
    </row>
    <row r="180" spans="1:7" x14ac:dyDescent="0.2">
      <c r="A180" s="1186" t="s">
        <v>144</v>
      </c>
      <c r="B180" s="1186" t="s">
        <v>855</v>
      </c>
      <c r="C180" s="1186">
        <v>2</v>
      </c>
      <c r="D180" s="1186">
        <v>480</v>
      </c>
      <c r="E180" s="1186">
        <v>2015</v>
      </c>
      <c r="F180" s="1186">
        <v>2</v>
      </c>
      <c r="G180" s="1186">
        <v>1055402</v>
      </c>
    </row>
    <row r="181" spans="1:7" x14ac:dyDescent="0.2">
      <c r="A181" s="1186" t="s">
        <v>144</v>
      </c>
      <c r="B181" s="1186" t="s">
        <v>855</v>
      </c>
      <c r="C181" s="1186">
        <v>3</v>
      </c>
      <c r="D181" s="1186">
        <v>474</v>
      </c>
      <c r="E181" s="1186">
        <v>2015</v>
      </c>
      <c r="F181" s="1186">
        <v>3</v>
      </c>
      <c r="G181" s="1186">
        <v>1065989</v>
      </c>
    </row>
    <row r="182" spans="1:7" x14ac:dyDescent="0.2">
      <c r="A182" s="1186" t="s">
        <v>144</v>
      </c>
      <c r="B182" s="1186" t="s">
        <v>855</v>
      </c>
      <c r="C182" s="1186">
        <v>4</v>
      </c>
      <c r="D182" s="1186">
        <v>336</v>
      </c>
      <c r="E182" s="1186">
        <v>2015</v>
      </c>
      <c r="F182" s="1186">
        <v>4</v>
      </c>
      <c r="G182" s="1186">
        <v>1087470</v>
      </c>
    </row>
    <row r="183" spans="1:7" x14ac:dyDescent="0.2">
      <c r="A183" s="1186" t="s">
        <v>144</v>
      </c>
      <c r="B183" s="1186" t="s">
        <v>855</v>
      </c>
      <c r="C183" s="1186">
        <v>5</v>
      </c>
      <c r="D183" s="1186">
        <v>215</v>
      </c>
      <c r="E183" s="1186">
        <v>2015</v>
      </c>
      <c r="F183" s="1186">
        <v>5</v>
      </c>
      <c r="G183" s="1186">
        <v>1109971</v>
      </c>
    </row>
    <row r="184" spans="1:7" x14ac:dyDescent="0.2">
      <c r="A184" s="1186" t="s">
        <v>144</v>
      </c>
      <c r="B184" s="1186" t="s">
        <v>308</v>
      </c>
      <c r="C184" s="1186"/>
      <c r="D184" s="1186">
        <v>26</v>
      </c>
      <c r="E184" s="1186"/>
      <c r="F184" s="1186"/>
      <c r="G184" s="1186"/>
    </row>
    <row r="185" spans="1:7" x14ac:dyDescent="0.2">
      <c r="A185" s="1186" t="s">
        <v>144</v>
      </c>
      <c r="B185" s="1186" t="s">
        <v>308</v>
      </c>
      <c r="C185" s="1186">
        <v>1</v>
      </c>
      <c r="D185" s="1186">
        <v>5436</v>
      </c>
      <c r="E185" s="1186">
        <v>2015</v>
      </c>
      <c r="F185" s="1186">
        <v>1</v>
      </c>
      <c r="G185" s="1186">
        <v>1054168</v>
      </c>
    </row>
    <row r="186" spans="1:7" x14ac:dyDescent="0.2">
      <c r="A186" s="1186" t="s">
        <v>144</v>
      </c>
      <c r="B186" s="1186" t="s">
        <v>308</v>
      </c>
      <c r="C186" s="1186">
        <v>2</v>
      </c>
      <c r="D186" s="1186">
        <v>3305</v>
      </c>
      <c r="E186" s="1186">
        <v>2015</v>
      </c>
      <c r="F186" s="1186">
        <v>2</v>
      </c>
      <c r="G186" s="1186">
        <v>1055402</v>
      </c>
    </row>
    <row r="187" spans="1:7" x14ac:dyDescent="0.2">
      <c r="A187" s="1186" t="s">
        <v>144</v>
      </c>
      <c r="B187" s="1186" t="s">
        <v>308</v>
      </c>
      <c r="C187" s="1186">
        <v>3</v>
      </c>
      <c r="D187" s="1186">
        <v>2336</v>
      </c>
      <c r="E187" s="1186">
        <v>2015</v>
      </c>
      <c r="F187" s="1186">
        <v>3</v>
      </c>
      <c r="G187" s="1186">
        <v>1065989</v>
      </c>
    </row>
    <row r="188" spans="1:7" x14ac:dyDescent="0.2">
      <c r="A188" s="1186" t="s">
        <v>144</v>
      </c>
      <c r="B188" s="1186" t="s">
        <v>308</v>
      </c>
      <c r="C188" s="1186">
        <v>4</v>
      </c>
      <c r="D188" s="1186">
        <v>2409</v>
      </c>
      <c r="E188" s="1186">
        <v>2015</v>
      </c>
      <c r="F188" s="1186">
        <v>4</v>
      </c>
      <c r="G188" s="1186">
        <v>1087470</v>
      </c>
    </row>
    <row r="189" spans="1:7" x14ac:dyDescent="0.2">
      <c r="A189" s="1186" t="s">
        <v>144</v>
      </c>
      <c r="B189" s="1186" t="s">
        <v>308</v>
      </c>
      <c r="C189" s="1186">
        <v>5</v>
      </c>
      <c r="D189" s="1186">
        <v>1220</v>
      </c>
      <c r="E189" s="1186">
        <v>2015</v>
      </c>
      <c r="F189" s="1186">
        <v>5</v>
      </c>
      <c r="G189" s="1186">
        <v>1109971</v>
      </c>
    </row>
    <row r="190" spans="1:7" x14ac:dyDescent="0.2">
      <c r="A190" s="1186" t="s">
        <v>282</v>
      </c>
      <c r="B190" s="1186" t="s">
        <v>828</v>
      </c>
      <c r="C190" s="1186">
        <v>1</v>
      </c>
      <c r="D190" s="1186">
        <v>2141</v>
      </c>
      <c r="E190" s="1186">
        <v>2016</v>
      </c>
      <c r="F190" s="1186">
        <v>1</v>
      </c>
      <c r="G190" s="1186">
        <v>1058713</v>
      </c>
    </row>
    <row r="191" spans="1:7" x14ac:dyDescent="0.2">
      <c r="A191" s="1186" t="s">
        <v>282</v>
      </c>
      <c r="B191" s="1186" t="s">
        <v>828</v>
      </c>
      <c r="C191" s="1186">
        <v>2</v>
      </c>
      <c r="D191" s="1186">
        <v>1337</v>
      </c>
      <c r="E191" s="1186">
        <v>2016</v>
      </c>
      <c r="F191" s="1186">
        <v>2</v>
      </c>
      <c r="G191" s="1186">
        <v>1057929</v>
      </c>
    </row>
    <row r="192" spans="1:7" x14ac:dyDescent="0.2">
      <c r="A192" s="1186" t="s">
        <v>282</v>
      </c>
      <c r="B192" s="1186" t="s">
        <v>828</v>
      </c>
      <c r="C192" s="1186">
        <v>3</v>
      </c>
      <c r="D192" s="1186">
        <v>882</v>
      </c>
      <c r="E192" s="1186">
        <v>2016</v>
      </c>
      <c r="F192" s="1186">
        <v>3</v>
      </c>
      <c r="G192" s="1186">
        <v>1070719</v>
      </c>
    </row>
    <row r="193" spans="1:7" x14ac:dyDescent="0.2">
      <c r="A193" s="1186" t="s">
        <v>282</v>
      </c>
      <c r="B193" s="1186" t="s">
        <v>828</v>
      </c>
      <c r="C193" s="1186">
        <v>4</v>
      </c>
      <c r="D193" s="1186">
        <v>646</v>
      </c>
      <c r="E193" s="1186">
        <v>2016</v>
      </c>
      <c r="F193" s="1186">
        <v>4</v>
      </c>
      <c r="G193" s="1186">
        <v>1099208</v>
      </c>
    </row>
    <row r="194" spans="1:7" x14ac:dyDescent="0.2">
      <c r="A194" s="1186" t="s">
        <v>282</v>
      </c>
      <c r="B194" s="1186" t="s">
        <v>828</v>
      </c>
      <c r="C194" s="1186">
        <v>5</v>
      </c>
      <c r="D194" s="1186">
        <v>534</v>
      </c>
      <c r="E194" s="1186">
        <v>2016</v>
      </c>
      <c r="F194" s="1186">
        <v>5</v>
      </c>
      <c r="G194" s="1186">
        <v>1118131</v>
      </c>
    </row>
    <row r="195" spans="1:7" x14ac:dyDescent="0.2">
      <c r="A195" s="1186" t="s">
        <v>282</v>
      </c>
      <c r="B195" s="1186" t="s">
        <v>850</v>
      </c>
      <c r="C195" s="1186">
        <v>1</v>
      </c>
      <c r="D195" s="1186">
        <v>536</v>
      </c>
      <c r="E195" s="1186">
        <v>2016</v>
      </c>
      <c r="F195" s="1186">
        <v>1</v>
      </c>
      <c r="G195" s="1186">
        <v>1058713</v>
      </c>
    </row>
    <row r="196" spans="1:7" x14ac:dyDescent="0.2">
      <c r="A196" s="1186" t="s">
        <v>282</v>
      </c>
      <c r="B196" s="1186" t="s">
        <v>850</v>
      </c>
      <c r="C196" s="1186">
        <v>2</v>
      </c>
      <c r="D196" s="1186">
        <v>523</v>
      </c>
      <c r="E196" s="1186">
        <v>2016</v>
      </c>
      <c r="F196" s="1186">
        <v>2</v>
      </c>
      <c r="G196" s="1186">
        <v>1057929</v>
      </c>
    </row>
    <row r="197" spans="1:7" x14ac:dyDescent="0.2">
      <c r="A197" s="1186" t="s">
        <v>282</v>
      </c>
      <c r="B197" s="1186" t="s">
        <v>850</v>
      </c>
      <c r="C197" s="1186">
        <v>3</v>
      </c>
      <c r="D197" s="1186">
        <v>506</v>
      </c>
      <c r="E197" s="1186">
        <v>2016</v>
      </c>
      <c r="F197" s="1186">
        <v>3</v>
      </c>
      <c r="G197" s="1186">
        <v>1070719</v>
      </c>
    </row>
    <row r="198" spans="1:7" x14ac:dyDescent="0.2">
      <c r="A198" s="1186" t="s">
        <v>282</v>
      </c>
      <c r="B198" s="1186" t="s">
        <v>850</v>
      </c>
      <c r="C198" s="1186">
        <v>4</v>
      </c>
      <c r="D198" s="1186">
        <v>465</v>
      </c>
      <c r="E198" s="1186">
        <v>2016</v>
      </c>
      <c r="F198" s="1186">
        <v>4</v>
      </c>
      <c r="G198" s="1186">
        <v>1099208</v>
      </c>
    </row>
    <row r="199" spans="1:7" x14ac:dyDescent="0.2">
      <c r="A199" s="1186" t="s">
        <v>282</v>
      </c>
      <c r="B199" s="1186" t="s">
        <v>850</v>
      </c>
      <c r="C199" s="1186">
        <v>5</v>
      </c>
      <c r="D199" s="1186">
        <v>247</v>
      </c>
      <c r="E199" s="1186">
        <v>2016</v>
      </c>
      <c r="F199" s="1186">
        <v>5</v>
      </c>
      <c r="G199" s="1186">
        <v>1118131</v>
      </c>
    </row>
    <row r="200" spans="1:7" x14ac:dyDescent="0.2">
      <c r="A200" s="1186" t="s">
        <v>282</v>
      </c>
      <c r="B200" s="1186" t="s">
        <v>851</v>
      </c>
      <c r="C200" s="1186"/>
      <c r="D200" s="1186">
        <v>1</v>
      </c>
      <c r="E200" s="1186"/>
      <c r="F200" s="1186"/>
      <c r="G200" s="1186"/>
    </row>
    <row r="201" spans="1:7" x14ac:dyDescent="0.2">
      <c r="A201" s="1186" t="s">
        <v>282</v>
      </c>
      <c r="B201" s="1186" t="s">
        <v>851</v>
      </c>
      <c r="C201" s="1186">
        <v>1</v>
      </c>
      <c r="D201" s="1186">
        <v>547</v>
      </c>
      <c r="E201" s="1186">
        <v>2016</v>
      </c>
      <c r="F201" s="1186">
        <v>1</v>
      </c>
      <c r="G201" s="1186">
        <v>1058713</v>
      </c>
    </row>
    <row r="202" spans="1:7" x14ac:dyDescent="0.2">
      <c r="A202" s="1186" t="s">
        <v>282</v>
      </c>
      <c r="B202" s="1186" t="s">
        <v>851</v>
      </c>
      <c r="C202" s="1186">
        <v>2</v>
      </c>
      <c r="D202" s="1186">
        <v>423</v>
      </c>
      <c r="E202" s="1186">
        <v>2016</v>
      </c>
      <c r="F202" s="1186">
        <v>2</v>
      </c>
      <c r="G202" s="1186">
        <v>1057929</v>
      </c>
    </row>
    <row r="203" spans="1:7" x14ac:dyDescent="0.2">
      <c r="A203" s="1186" t="s">
        <v>282</v>
      </c>
      <c r="B203" s="1186" t="s">
        <v>851</v>
      </c>
      <c r="C203" s="1186">
        <v>3</v>
      </c>
      <c r="D203" s="1186">
        <v>481</v>
      </c>
      <c r="E203" s="1186">
        <v>2016</v>
      </c>
      <c r="F203" s="1186">
        <v>3</v>
      </c>
      <c r="G203" s="1186">
        <v>1070719</v>
      </c>
    </row>
    <row r="204" spans="1:7" x14ac:dyDescent="0.2">
      <c r="A204" s="1186" t="s">
        <v>282</v>
      </c>
      <c r="B204" s="1186" t="s">
        <v>851</v>
      </c>
      <c r="C204" s="1186">
        <v>4</v>
      </c>
      <c r="D204" s="1186">
        <v>455</v>
      </c>
      <c r="E204" s="1186">
        <v>2016</v>
      </c>
      <c r="F204" s="1186">
        <v>4</v>
      </c>
      <c r="G204" s="1186">
        <v>1099208</v>
      </c>
    </row>
    <row r="205" spans="1:7" x14ac:dyDescent="0.2">
      <c r="A205" s="1186" t="s">
        <v>282</v>
      </c>
      <c r="B205" s="1186" t="s">
        <v>851</v>
      </c>
      <c r="C205" s="1186">
        <v>5</v>
      </c>
      <c r="D205" s="1186">
        <v>213</v>
      </c>
      <c r="E205" s="1186">
        <v>2016</v>
      </c>
      <c r="F205" s="1186">
        <v>5</v>
      </c>
      <c r="G205" s="1186">
        <v>1118131</v>
      </c>
    </row>
    <row r="206" spans="1:7" x14ac:dyDescent="0.2">
      <c r="A206" s="1186" t="s">
        <v>282</v>
      </c>
      <c r="B206" s="1186" t="s">
        <v>852</v>
      </c>
      <c r="C206" s="1186"/>
      <c r="D206" s="1186">
        <v>5</v>
      </c>
      <c r="E206" s="1186"/>
      <c r="F206" s="1186"/>
      <c r="G206" s="1186"/>
    </row>
    <row r="207" spans="1:7" x14ac:dyDescent="0.2">
      <c r="A207" s="1186" t="s">
        <v>282</v>
      </c>
      <c r="B207" s="1186" t="s">
        <v>852</v>
      </c>
      <c r="C207" s="1186">
        <v>1</v>
      </c>
      <c r="D207" s="1186">
        <v>189</v>
      </c>
      <c r="E207" s="1186">
        <v>2016</v>
      </c>
      <c r="F207" s="1186">
        <v>1</v>
      </c>
      <c r="G207" s="1186">
        <v>1058713</v>
      </c>
    </row>
    <row r="208" spans="1:7" x14ac:dyDescent="0.2">
      <c r="A208" s="1186" t="s">
        <v>282</v>
      </c>
      <c r="B208" s="1186" t="s">
        <v>852</v>
      </c>
      <c r="C208" s="1186">
        <v>2</v>
      </c>
      <c r="D208" s="1186">
        <v>202</v>
      </c>
      <c r="E208" s="1186">
        <v>2016</v>
      </c>
      <c r="F208" s="1186">
        <v>2</v>
      </c>
      <c r="G208" s="1186">
        <v>1057929</v>
      </c>
    </row>
    <row r="209" spans="1:7" x14ac:dyDescent="0.2">
      <c r="A209" s="1186" t="s">
        <v>282</v>
      </c>
      <c r="B209" s="1186" t="s">
        <v>852</v>
      </c>
      <c r="C209" s="1186">
        <v>3</v>
      </c>
      <c r="D209" s="1186">
        <v>197</v>
      </c>
      <c r="E209" s="1186">
        <v>2016</v>
      </c>
      <c r="F209" s="1186">
        <v>3</v>
      </c>
      <c r="G209" s="1186">
        <v>1070719</v>
      </c>
    </row>
    <row r="210" spans="1:7" x14ac:dyDescent="0.2">
      <c r="A210" s="1186" t="s">
        <v>282</v>
      </c>
      <c r="B210" s="1186" t="s">
        <v>852</v>
      </c>
      <c r="C210" s="1186">
        <v>4</v>
      </c>
      <c r="D210" s="1186">
        <v>225</v>
      </c>
      <c r="E210" s="1186">
        <v>2016</v>
      </c>
      <c r="F210" s="1186">
        <v>4</v>
      </c>
      <c r="G210" s="1186">
        <v>1099208</v>
      </c>
    </row>
    <row r="211" spans="1:7" x14ac:dyDescent="0.2">
      <c r="A211" s="1186" t="s">
        <v>282</v>
      </c>
      <c r="B211" s="1186" t="s">
        <v>852</v>
      </c>
      <c r="C211" s="1186">
        <v>5</v>
      </c>
      <c r="D211" s="1186">
        <v>139</v>
      </c>
      <c r="E211" s="1186">
        <v>2016</v>
      </c>
      <c r="F211" s="1186">
        <v>5</v>
      </c>
      <c r="G211" s="1186">
        <v>1118131</v>
      </c>
    </row>
    <row r="212" spans="1:7" x14ac:dyDescent="0.2">
      <c r="A212" s="1186" t="s">
        <v>282</v>
      </c>
      <c r="B212" s="1186" t="s">
        <v>853</v>
      </c>
      <c r="C212" s="1186"/>
      <c r="D212" s="1186">
        <v>13</v>
      </c>
      <c r="E212" s="1186"/>
      <c r="F212" s="1186"/>
      <c r="G212" s="1186"/>
    </row>
    <row r="213" spans="1:7" x14ac:dyDescent="0.2">
      <c r="A213" s="1186" t="s">
        <v>282</v>
      </c>
      <c r="B213" s="1186" t="s">
        <v>853</v>
      </c>
      <c r="C213" s="1186">
        <v>1</v>
      </c>
      <c r="D213" s="1186">
        <v>9211</v>
      </c>
      <c r="E213" s="1186">
        <v>2016</v>
      </c>
      <c r="F213" s="1186">
        <v>1</v>
      </c>
      <c r="G213" s="1186">
        <v>1058713</v>
      </c>
    </row>
    <row r="214" spans="1:7" x14ac:dyDescent="0.2">
      <c r="A214" s="1186" t="s">
        <v>282</v>
      </c>
      <c r="B214" s="1186" t="s">
        <v>853</v>
      </c>
      <c r="C214" s="1186">
        <v>2</v>
      </c>
      <c r="D214" s="1186">
        <v>9182</v>
      </c>
      <c r="E214" s="1186">
        <v>2016</v>
      </c>
      <c r="F214" s="1186">
        <v>2</v>
      </c>
      <c r="G214" s="1186">
        <v>1057929</v>
      </c>
    </row>
    <row r="215" spans="1:7" x14ac:dyDescent="0.2">
      <c r="A215" s="1186" t="s">
        <v>282</v>
      </c>
      <c r="B215" s="1186" t="s">
        <v>853</v>
      </c>
      <c r="C215" s="1186">
        <v>3</v>
      </c>
      <c r="D215" s="1186">
        <v>8634</v>
      </c>
      <c r="E215" s="1186">
        <v>2016</v>
      </c>
      <c r="F215" s="1186">
        <v>3</v>
      </c>
      <c r="G215" s="1186">
        <v>1070719</v>
      </c>
    </row>
    <row r="216" spans="1:7" x14ac:dyDescent="0.2">
      <c r="A216" s="1186" t="s">
        <v>282</v>
      </c>
      <c r="B216" s="1186" t="s">
        <v>853</v>
      </c>
      <c r="C216" s="1186">
        <v>4</v>
      </c>
      <c r="D216" s="1186">
        <v>7372</v>
      </c>
      <c r="E216" s="1186">
        <v>2016</v>
      </c>
      <c r="F216" s="1186">
        <v>4</v>
      </c>
      <c r="G216" s="1186">
        <v>1099208</v>
      </c>
    </row>
    <row r="217" spans="1:7" x14ac:dyDescent="0.2">
      <c r="A217" s="1186" t="s">
        <v>282</v>
      </c>
      <c r="B217" s="1186" t="s">
        <v>853</v>
      </c>
      <c r="C217" s="1186">
        <v>5</v>
      </c>
      <c r="D217" s="1186">
        <v>5218</v>
      </c>
      <c r="E217" s="1186">
        <v>2016</v>
      </c>
      <c r="F217" s="1186">
        <v>5</v>
      </c>
      <c r="G217" s="1186">
        <v>1118131</v>
      </c>
    </row>
    <row r="218" spans="1:7" x14ac:dyDescent="0.2">
      <c r="A218" s="1186" t="s">
        <v>282</v>
      </c>
      <c r="B218" s="1186" t="s">
        <v>854</v>
      </c>
      <c r="C218" s="1186"/>
      <c r="D218" s="1186">
        <v>13</v>
      </c>
      <c r="E218" s="1186"/>
      <c r="F218" s="1186"/>
      <c r="G218" s="1186"/>
    </row>
    <row r="219" spans="1:7" x14ac:dyDescent="0.2">
      <c r="A219" s="1186" t="s">
        <v>282</v>
      </c>
      <c r="B219" s="1186" t="s">
        <v>854</v>
      </c>
      <c r="C219" s="1186">
        <v>1</v>
      </c>
      <c r="D219" s="1186">
        <v>2476</v>
      </c>
      <c r="E219" s="1186">
        <v>2016</v>
      </c>
      <c r="F219" s="1186">
        <v>1</v>
      </c>
      <c r="G219" s="1186">
        <v>1058713</v>
      </c>
    </row>
    <row r="220" spans="1:7" x14ac:dyDescent="0.2">
      <c r="A220" s="1186" t="s">
        <v>282</v>
      </c>
      <c r="B220" s="1186" t="s">
        <v>854</v>
      </c>
      <c r="C220" s="1186">
        <v>2</v>
      </c>
      <c r="D220" s="1186">
        <v>2039</v>
      </c>
      <c r="E220" s="1186">
        <v>2016</v>
      </c>
      <c r="F220" s="1186">
        <v>2</v>
      </c>
      <c r="G220" s="1186">
        <v>1057929</v>
      </c>
    </row>
    <row r="221" spans="1:7" x14ac:dyDescent="0.2">
      <c r="A221" s="1186" t="s">
        <v>282</v>
      </c>
      <c r="B221" s="1186" t="s">
        <v>854</v>
      </c>
      <c r="C221" s="1186">
        <v>3</v>
      </c>
      <c r="D221" s="1186">
        <v>1831</v>
      </c>
      <c r="E221" s="1186">
        <v>2016</v>
      </c>
      <c r="F221" s="1186">
        <v>3</v>
      </c>
      <c r="G221" s="1186">
        <v>1070719</v>
      </c>
    </row>
    <row r="222" spans="1:7" x14ac:dyDescent="0.2">
      <c r="A222" s="1186" t="s">
        <v>282</v>
      </c>
      <c r="B222" s="1186" t="s">
        <v>854</v>
      </c>
      <c r="C222" s="1186">
        <v>4</v>
      </c>
      <c r="D222" s="1186">
        <v>1637</v>
      </c>
      <c r="E222" s="1186">
        <v>2016</v>
      </c>
      <c r="F222" s="1186">
        <v>4</v>
      </c>
      <c r="G222" s="1186">
        <v>1099208</v>
      </c>
    </row>
    <row r="223" spans="1:7" x14ac:dyDescent="0.2">
      <c r="A223" s="1186" t="s">
        <v>282</v>
      </c>
      <c r="B223" s="1186" t="s">
        <v>854</v>
      </c>
      <c r="C223" s="1186">
        <v>5</v>
      </c>
      <c r="D223" s="1186">
        <v>961</v>
      </c>
      <c r="E223" s="1186">
        <v>2016</v>
      </c>
      <c r="F223" s="1186">
        <v>5</v>
      </c>
      <c r="G223" s="1186">
        <v>1118131</v>
      </c>
    </row>
    <row r="224" spans="1:7" x14ac:dyDescent="0.2">
      <c r="A224" s="1186" t="s">
        <v>282</v>
      </c>
      <c r="B224" s="1186" t="s">
        <v>855</v>
      </c>
      <c r="C224" s="1186"/>
      <c r="D224" s="1186">
        <v>1</v>
      </c>
      <c r="E224" s="1186"/>
      <c r="F224" s="1186"/>
      <c r="G224" s="1186"/>
    </row>
    <row r="225" spans="1:7" x14ac:dyDescent="0.2">
      <c r="A225" s="1186" t="s">
        <v>282</v>
      </c>
      <c r="B225" s="1186" t="s">
        <v>855</v>
      </c>
      <c r="C225" s="1186">
        <v>1</v>
      </c>
      <c r="D225" s="1186">
        <v>827</v>
      </c>
      <c r="E225" s="1186">
        <v>2016</v>
      </c>
      <c r="F225" s="1186">
        <v>1</v>
      </c>
      <c r="G225" s="1186">
        <v>1058713</v>
      </c>
    </row>
    <row r="226" spans="1:7" x14ac:dyDescent="0.2">
      <c r="A226" s="1186" t="s">
        <v>282</v>
      </c>
      <c r="B226" s="1186" t="s">
        <v>855</v>
      </c>
      <c r="C226" s="1186">
        <v>2</v>
      </c>
      <c r="D226" s="1186">
        <v>505</v>
      </c>
      <c r="E226" s="1186">
        <v>2016</v>
      </c>
      <c r="F226" s="1186">
        <v>2</v>
      </c>
      <c r="G226" s="1186">
        <v>1057929</v>
      </c>
    </row>
    <row r="227" spans="1:7" x14ac:dyDescent="0.2">
      <c r="A227" s="1186" t="s">
        <v>282</v>
      </c>
      <c r="B227" s="1186" t="s">
        <v>855</v>
      </c>
      <c r="C227" s="1186">
        <v>3</v>
      </c>
      <c r="D227" s="1186">
        <v>397</v>
      </c>
      <c r="E227" s="1186">
        <v>2016</v>
      </c>
      <c r="F227" s="1186">
        <v>3</v>
      </c>
      <c r="G227" s="1186">
        <v>1070719</v>
      </c>
    </row>
    <row r="228" spans="1:7" x14ac:dyDescent="0.2">
      <c r="A228" s="1186" t="s">
        <v>282</v>
      </c>
      <c r="B228" s="1186" t="s">
        <v>855</v>
      </c>
      <c r="C228" s="1186">
        <v>4</v>
      </c>
      <c r="D228" s="1186">
        <v>310</v>
      </c>
      <c r="E228" s="1186">
        <v>2016</v>
      </c>
      <c r="F228" s="1186">
        <v>4</v>
      </c>
      <c r="G228" s="1186">
        <v>1099208</v>
      </c>
    </row>
    <row r="229" spans="1:7" x14ac:dyDescent="0.2">
      <c r="A229" s="1186" t="s">
        <v>282</v>
      </c>
      <c r="B229" s="1186" t="s">
        <v>855</v>
      </c>
      <c r="C229" s="1186">
        <v>5</v>
      </c>
      <c r="D229" s="1186">
        <v>241</v>
      </c>
      <c r="E229" s="1186">
        <v>2016</v>
      </c>
      <c r="F229" s="1186">
        <v>5</v>
      </c>
      <c r="G229" s="1186">
        <v>1118131</v>
      </c>
    </row>
    <row r="230" spans="1:7" x14ac:dyDescent="0.2">
      <c r="A230" s="1186" t="s">
        <v>282</v>
      </c>
      <c r="B230" s="1186" t="s">
        <v>308</v>
      </c>
      <c r="C230" s="1186"/>
      <c r="D230" s="1186">
        <v>31</v>
      </c>
      <c r="E230" s="1186"/>
      <c r="F230" s="1186"/>
      <c r="G230" s="1186"/>
    </row>
    <row r="231" spans="1:7" x14ac:dyDescent="0.2">
      <c r="A231" s="1186" t="s">
        <v>282</v>
      </c>
      <c r="B231" s="1186" t="s">
        <v>308</v>
      </c>
      <c r="C231" s="1186">
        <v>1</v>
      </c>
      <c r="D231" s="1186">
        <v>5843</v>
      </c>
      <c r="E231" s="1186">
        <v>2016</v>
      </c>
      <c r="F231" s="1186">
        <v>1</v>
      </c>
      <c r="G231" s="1186">
        <v>1058713</v>
      </c>
    </row>
    <row r="232" spans="1:7" x14ac:dyDescent="0.2">
      <c r="A232" s="1186" t="s">
        <v>282</v>
      </c>
      <c r="B232" s="1186" t="s">
        <v>308</v>
      </c>
      <c r="C232" s="1186">
        <v>2</v>
      </c>
      <c r="D232" s="1186">
        <v>3333</v>
      </c>
      <c r="E232" s="1186">
        <v>2016</v>
      </c>
      <c r="F232" s="1186">
        <v>2</v>
      </c>
      <c r="G232" s="1186">
        <v>1057929</v>
      </c>
    </row>
    <row r="233" spans="1:7" x14ac:dyDescent="0.2">
      <c r="A233" s="1186" t="s">
        <v>282</v>
      </c>
      <c r="B233" s="1186" t="s">
        <v>308</v>
      </c>
      <c r="C233" s="1186">
        <v>3</v>
      </c>
      <c r="D233" s="1186">
        <v>2609</v>
      </c>
      <c r="E233" s="1186">
        <v>2016</v>
      </c>
      <c r="F233" s="1186">
        <v>3</v>
      </c>
      <c r="G233" s="1186">
        <v>1070719</v>
      </c>
    </row>
    <row r="234" spans="1:7" x14ac:dyDescent="0.2">
      <c r="A234" s="1186" t="s">
        <v>282</v>
      </c>
      <c r="B234" s="1186" t="s">
        <v>308</v>
      </c>
      <c r="C234" s="1186">
        <v>4</v>
      </c>
      <c r="D234" s="1186">
        <v>2516</v>
      </c>
      <c r="E234" s="1186">
        <v>2016</v>
      </c>
      <c r="F234" s="1186">
        <v>4</v>
      </c>
      <c r="G234" s="1186">
        <v>1099208</v>
      </c>
    </row>
    <row r="235" spans="1:7" x14ac:dyDescent="0.2">
      <c r="A235" s="1186" t="s">
        <v>282</v>
      </c>
      <c r="B235" s="1186" t="s">
        <v>308</v>
      </c>
      <c r="C235" s="1186">
        <v>5</v>
      </c>
      <c r="D235" s="1186">
        <v>1328</v>
      </c>
      <c r="E235" s="1186">
        <v>2016</v>
      </c>
      <c r="F235" s="1186">
        <v>5</v>
      </c>
      <c r="G235" s="1186">
        <v>1118131</v>
      </c>
    </row>
    <row r="236" spans="1:7" x14ac:dyDescent="0.2">
      <c r="A236" s="1186" t="s">
        <v>311</v>
      </c>
      <c r="B236" s="1186" t="s">
        <v>828</v>
      </c>
      <c r="C236" s="1186">
        <v>1</v>
      </c>
      <c r="D236" s="1186">
        <v>2128</v>
      </c>
      <c r="E236" s="1186">
        <v>2017</v>
      </c>
      <c r="F236" s="1186">
        <v>1</v>
      </c>
      <c r="G236" s="1186">
        <v>1059288</v>
      </c>
    </row>
    <row r="237" spans="1:7" x14ac:dyDescent="0.2">
      <c r="A237" s="1186" t="s">
        <v>311</v>
      </c>
      <c r="B237" s="1186" t="s">
        <v>828</v>
      </c>
      <c r="C237" s="1186">
        <v>2</v>
      </c>
      <c r="D237" s="1186">
        <v>1218</v>
      </c>
      <c r="E237" s="1186">
        <v>2017</v>
      </c>
      <c r="F237" s="1186">
        <v>2</v>
      </c>
      <c r="G237" s="1186">
        <v>1059104</v>
      </c>
    </row>
    <row r="238" spans="1:7" x14ac:dyDescent="0.2">
      <c r="A238" s="1186" t="s">
        <v>311</v>
      </c>
      <c r="B238" s="1186" t="s">
        <v>828</v>
      </c>
      <c r="C238" s="1186">
        <v>3</v>
      </c>
      <c r="D238" s="1186">
        <v>805</v>
      </c>
      <c r="E238" s="1186">
        <v>2017</v>
      </c>
      <c r="F238" s="1186">
        <v>3</v>
      </c>
      <c r="G238" s="1186">
        <v>1072629</v>
      </c>
    </row>
    <row r="239" spans="1:7" x14ac:dyDescent="0.2">
      <c r="A239" s="1186" t="s">
        <v>311</v>
      </c>
      <c r="B239" s="1186" t="s">
        <v>828</v>
      </c>
      <c r="C239" s="1186">
        <v>4</v>
      </c>
      <c r="D239" s="1186">
        <v>641</v>
      </c>
      <c r="E239" s="1186">
        <v>2017</v>
      </c>
      <c r="F239" s="1186">
        <v>4</v>
      </c>
      <c r="G239" s="1186">
        <v>1110521</v>
      </c>
    </row>
    <row r="240" spans="1:7" x14ac:dyDescent="0.2">
      <c r="A240" s="1186" t="s">
        <v>311</v>
      </c>
      <c r="B240" s="1186" t="s">
        <v>828</v>
      </c>
      <c r="C240" s="1186">
        <v>5</v>
      </c>
      <c r="D240" s="1186">
        <v>519</v>
      </c>
      <c r="E240" s="1186">
        <v>2017</v>
      </c>
      <c r="F240" s="1186">
        <v>5</v>
      </c>
      <c r="G240" s="1186">
        <v>1123258</v>
      </c>
    </row>
    <row r="241" spans="1:7" x14ac:dyDescent="0.2">
      <c r="A241" s="1186" t="s">
        <v>311</v>
      </c>
      <c r="B241" s="1186" t="s">
        <v>850</v>
      </c>
      <c r="C241" s="1186"/>
      <c r="D241" s="1186">
        <v>1</v>
      </c>
      <c r="E241" s="1186"/>
      <c r="F241" s="1186"/>
      <c r="G241" s="1186"/>
    </row>
    <row r="242" spans="1:7" x14ac:dyDescent="0.2">
      <c r="A242" s="1186" t="s">
        <v>311</v>
      </c>
      <c r="B242" s="1186" t="s">
        <v>850</v>
      </c>
      <c r="C242" s="1186">
        <v>1</v>
      </c>
      <c r="D242" s="1186">
        <v>492</v>
      </c>
      <c r="E242" s="1186">
        <v>2017</v>
      </c>
      <c r="F242" s="1186">
        <v>1</v>
      </c>
      <c r="G242" s="1186">
        <v>1059288</v>
      </c>
    </row>
    <row r="243" spans="1:7" x14ac:dyDescent="0.2">
      <c r="A243" s="1186" t="s">
        <v>311</v>
      </c>
      <c r="B243" s="1186" t="s">
        <v>850</v>
      </c>
      <c r="C243" s="1186">
        <v>2</v>
      </c>
      <c r="D243" s="1186">
        <v>524</v>
      </c>
      <c r="E243" s="1186">
        <v>2017</v>
      </c>
      <c r="F243" s="1186">
        <v>2</v>
      </c>
      <c r="G243" s="1186">
        <v>1059104</v>
      </c>
    </row>
    <row r="244" spans="1:7" x14ac:dyDescent="0.2">
      <c r="A244" s="1186" t="s">
        <v>311</v>
      </c>
      <c r="B244" s="1186" t="s">
        <v>850</v>
      </c>
      <c r="C244" s="1186">
        <v>3</v>
      </c>
      <c r="D244" s="1186">
        <v>511</v>
      </c>
      <c r="E244" s="1186">
        <v>2017</v>
      </c>
      <c r="F244" s="1186">
        <v>3</v>
      </c>
      <c r="G244" s="1186">
        <v>1072629</v>
      </c>
    </row>
    <row r="245" spans="1:7" x14ac:dyDescent="0.2">
      <c r="A245" s="1186" t="s">
        <v>311</v>
      </c>
      <c r="B245" s="1186" t="s">
        <v>850</v>
      </c>
      <c r="C245" s="1186">
        <v>4</v>
      </c>
      <c r="D245" s="1186">
        <v>490</v>
      </c>
      <c r="E245" s="1186">
        <v>2017</v>
      </c>
      <c r="F245" s="1186">
        <v>4</v>
      </c>
      <c r="G245" s="1186">
        <v>1110521</v>
      </c>
    </row>
    <row r="246" spans="1:7" x14ac:dyDescent="0.2">
      <c r="A246" s="1186" t="s">
        <v>311</v>
      </c>
      <c r="B246" s="1186" t="s">
        <v>850</v>
      </c>
      <c r="C246" s="1186">
        <v>5</v>
      </c>
      <c r="D246" s="1186">
        <v>269</v>
      </c>
      <c r="E246" s="1186">
        <v>2017</v>
      </c>
      <c r="F246" s="1186">
        <v>5</v>
      </c>
      <c r="G246" s="1186">
        <v>1123258</v>
      </c>
    </row>
    <row r="247" spans="1:7" x14ac:dyDescent="0.2">
      <c r="A247" s="1186" t="s">
        <v>311</v>
      </c>
      <c r="B247" s="1186" t="s">
        <v>851</v>
      </c>
      <c r="C247" s="1186"/>
      <c r="D247" s="1186">
        <v>2</v>
      </c>
      <c r="E247" s="1186"/>
      <c r="F247" s="1186"/>
      <c r="G247" s="1186"/>
    </row>
    <row r="248" spans="1:7" x14ac:dyDescent="0.2">
      <c r="A248" s="1186" t="s">
        <v>311</v>
      </c>
      <c r="B248" s="1186" t="s">
        <v>851</v>
      </c>
      <c r="C248" s="1186">
        <v>1</v>
      </c>
      <c r="D248" s="1186">
        <v>569</v>
      </c>
      <c r="E248" s="1186">
        <v>2017</v>
      </c>
      <c r="F248" s="1186">
        <v>1</v>
      </c>
      <c r="G248" s="1186">
        <v>1059288</v>
      </c>
    </row>
    <row r="249" spans="1:7" x14ac:dyDescent="0.2">
      <c r="A249" s="1186" t="s">
        <v>311</v>
      </c>
      <c r="B249" s="1186" t="s">
        <v>851</v>
      </c>
      <c r="C249" s="1186">
        <v>2</v>
      </c>
      <c r="D249" s="1186">
        <v>398</v>
      </c>
      <c r="E249" s="1186">
        <v>2017</v>
      </c>
      <c r="F249" s="1186">
        <v>2</v>
      </c>
      <c r="G249" s="1186">
        <v>1059104</v>
      </c>
    </row>
    <row r="250" spans="1:7" x14ac:dyDescent="0.2">
      <c r="A250" s="1186" t="s">
        <v>311</v>
      </c>
      <c r="B250" s="1186" t="s">
        <v>851</v>
      </c>
      <c r="C250" s="1186">
        <v>3</v>
      </c>
      <c r="D250" s="1186">
        <v>419</v>
      </c>
      <c r="E250" s="1186">
        <v>2017</v>
      </c>
      <c r="F250" s="1186">
        <v>3</v>
      </c>
      <c r="G250" s="1186">
        <v>1072629</v>
      </c>
    </row>
    <row r="251" spans="1:7" x14ac:dyDescent="0.2">
      <c r="A251" s="1186" t="s">
        <v>311</v>
      </c>
      <c r="B251" s="1186" t="s">
        <v>851</v>
      </c>
      <c r="C251" s="1186">
        <v>4</v>
      </c>
      <c r="D251" s="1186">
        <v>423</v>
      </c>
      <c r="E251" s="1186">
        <v>2017</v>
      </c>
      <c r="F251" s="1186">
        <v>4</v>
      </c>
      <c r="G251" s="1186">
        <v>1110521</v>
      </c>
    </row>
    <row r="252" spans="1:7" x14ac:dyDescent="0.2">
      <c r="A252" s="1186" t="s">
        <v>311</v>
      </c>
      <c r="B252" s="1186" t="s">
        <v>851</v>
      </c>
      <c r="C252" s="1186">
        <v>5</v>
      </c>
      <c r="D252" s="1186">
        <v>205</v>
      </c>
      <c r="E252" s="1186">
        <v>2017</v>
      </c>
      <c r="F252" s="1186">
        <v>5</v>
      </c>
      <c r="G252" s="1186">
        <v>1123258</v>
      </c>
    </row>
    <row r="253" spans="1:7" x14ac:dyDescent="0.2">
      <c r="A253" s="1186" t="s">
        <v>311</v>
      </c>
      <c r="B253" s="1186" t="s">
        <v>852</v>
      </c>
      <c r="C253" s="1186"/>
      <c r="D253" s="1186">
        <v>10</v>
      </c>
      <c r="E253" s="1186"/>
      <c r="F253" s="1186"/>
      <c r="G253" s="1186"/>
    </row>
    <row r="254" spans="1:7" x14ac:dyDescent="0.2">
      <c r="A254" s="1186" t="s">
        <v>311</v>
      </c>
      <c r="B254" s="1186" t="s">
        <v>852</v>
      </c>
      <c r="C254" s="1186">
        <v>1</v>
      </c>
      <c r="D254" s="1186">
        <v>186</v>
      </c>
      <c r="E254" s="1186">
        <v>2017</v>
      </c>
      <c r="F254" s="1186">
        <v>1</v>
      </c>
      <c r="G254" s="1186">
        <v>1059288</v>
      </c>
    </row>
    <row r="255" spans="1:7" x14ac:dyDescent="0.2">
      <c r="A255" s="1186" t="s">
        <v>311</v>
      </c>
      <c r="B255" s="1186" t="s">
        <v>852</v>
      </c>
      <c r="C255" s="1186">
        <v>2</v>
      </c>
      <c r="D255" s="1186">
        <v>230</v>
      </c>
      <c r="E255" s="1186">
        <v>2017</v>
      </c>
      <c r="F255" s="1186">
        <v>2</v>
      </c>
      <c r="G255" s="1186">
        <v>1059104</v>
      </c>
    </row>
    <row r="256" spans="1:7" x14ac:dyDescent="0.2">
      <c r="A256" s="1186" t="s">
        <v>311</v>
      </c>
      <c r="B256" s="1186" t="s">
        <v>852</v>
      </c>
      <c r="C256" s="1186">
        <v>3</v>
      </c>
      <c r="D256" s="1186">
        <v>228</v>
      </c>
      <c r="E256" s="1186">
        <v>2017</v>
      </c>
      <c r="F256" s="1186">
        <v>3</v>
      </c>
      <c r="G256" s="1186">
        <v>1072629</v>
      </c>
    </row>
    <row r="257" spans="1:7" x14ac:dyDescent="0.2">
      <c r="A257" s="1186" t="s">
        <v>311</v>
      </c>
      <c r="B257" s="1186" t="s">
        <v>852</v>
      </c>
      <c r="C257" s="1186">
        <v>4</v>
      </c>
      <c r="D257" s="1186">
        <v>252</v>
      </c>
      <c r="E257" s="1186">
        <v>2017</v>
      </c>
      <c r="F257" s="1186">
        <v>4</v>
      </c>
      <c r="G257" s="1186">
        <v>1110521</v>
      </c>
    </row>
    <row r="258" spans="1:7" x14ac:dyDescent="0.2">
      <c r="A258" s="1186" t="s">
        <v>311</v>
      </c>
      <c r="B258" s="1186" t="s">
        <v>852</v>
      </c>
      <c r="C258" s="1186">
        <v>5</v>
      </c>
      <c r="D258" s="1186">
        <v>152</v>
      </c>
      <c r="E258" s="1186">
        <v>2017</v>
      </c>
      <c r="F258" s="1186">
        <v>5</v>
      </c>
      <c r="G258" s="1186">
        <v>1123258</v>
      </c>
    </row>
    <row r="259" spans="1:7" x14ac:dyDescent="0.2">
      <c r="A259" s="1186" t="s">
        <v>311</v>
      </c>
      <c r="B259" s="1186" t="s">
        <v>853</v>
      </c>
      <c r="C259" s="1186"/>
      <c r="D259" s="1186">
        <v>11</v>
      </c>
      <c r="E259" s="1186"/>
      <c r="F259" s="1186"/>
      <c r="G259" s="1186"/>
    </row>
    <row r="260" spans="1:7" x14ac:dyDescent="0.2">
      <c r="A260" s="1186" t="s">
        <v>311</v>
      </c>
      <c r="B260" s="1186" t="s">
        <v>853</v>
      </c>
      <c r="C260" s="1186">
        <v>1</v>
      </c>
      <c r="D260" s="1186">
        <v>9594</v>
      </c>
      <c r="E260" s="1186">
        <v>2017</v>
      </c>
      <c r="F260" s="1186">
        <v>1</v>
      </c>
      <c r="G260" s="1186">
        <v>1059288</v>
      </c>
    </row>
    <row r="261" spans="1:7" x14ac:dyDescent="0.2">
      <c r="A261" s="1186" t="s">
        <v>311</v>
      </c>
      <c r="B261" s="1186" t="s">
        <v>853</v>
      </c>
      <c r="C261" s="1186">
        <v>2</v>
      </c>
      <c r="D261" s="1186">
        <v>9329</v>
      </c>
      <c r="E261" s="1186">
        <v>2017</v>
      </c>
      <c r="F261" s="1186">
        <v>2</v>
      </c>
      <c r="G261" s="1186">
        <v>1059104</v>
      </c>
    </row>
    <row r="262" spans="1:7" x14ac:dyDescent="0.2">
      <c r="A262" s="1186" t="s">
        <v>311</v>
      </c>
      <c r="B262" s="1186" t="s">
        <v>853</v>
      </c>
      <c r="C262" s="1186">
        <v>3</v>
      </c>
      <c r="D262" s="1186">
        <v>8622</v>
      </c>
      <c r="E262" s="1186">
        <v>2017</v>
      </c>
      <c r="F262" s="1186">
        <v>3</v>
      </c>
      <c r="G262" s="1186">
        <v>1072629</v>
      </c>
    </row>
    <row r="263" spans="1:7" x14ac:dyDescent="0.2">
      <c r="A263" s="1186" t="s">
        <v>311</v>
      </c>
      <c r="B263" s="1186" t="s">
        <v>853</v>
      </c>
      <c r="C263" s="1186">
        <v>4</v>
      </c>
      <c r="D263" s="1186">
        <v>7658</v>
      </c>
      <c r="E263" s="1186">
        <v>2017</v>
      </c>
      <c r="F263" s="1186">
        <v>4</v>
      </c>
      <c r="G263" s="1186">
        <v>1110521</v>
      </c>
    </row>
    <row r="264" spans="1:7" x14ac:dyDescent="0.2">
      <c r="A264" s="1186" t="s">
        <v>311</v>
      </c>
      <c r="B264" s="1186" t="s">
        <v>853</v>
      </c>
      <c r="C264" s="1186">
        <v>5</v>
      </c>
      <c r="D264" s="1186">
        <v>5222</v>
      </c>
      <c r="E264" s="1186">
        <v>2017</v>
      </c>
      <c r="F264" s="1186">
        <v>5</v>
      </c>
      <c r="G264" s="1186">
        <v>1123258</v>
      </c>
    </row>
    <row r="265" spans="1:7" x14ac:dyDescent="0.2">
      <c r="A265" s="1186" t="s">
        <v>311</v>
      </c>
      <c r="B265" s="1186" t="s">
        <v>854</v>
      </c>
      <c r="C265" s="1186"/>
      <c r="D265" s="1186">
        <v>10</v>
      </c>
      <c r="E265" s="1186"/>
      <c r="F265" s="1186"/>
      <c r="G265" s="1186"/>
    </row>
    <row r="266" spans="1:7" x14ac:dyDescent="0.2">
      <c r="A266" s="1186" t="s">
        <v>311</v>
      </c>
      <c r="B266" s="1186" t="s">
        <v>854</v>
      </c>
      <c r="C266" s="1186">
        <v>1</v>
      </c>
      <c r="D266" s="1186">
        <v>2413</v>
      </c>
      <c r="E266" s="1186">
        <v>2017</v>
      </c>
      <c r="F266" s="1186">
        <v>1</v>
      </c>
      <c r="G266" s="1186">
        <v>1059288</v>
      </c>
    </row>
    <row r="267" spans="1:7" x14ac:dyDescent="0.2">
      <c r="A267" s="1186" t="s">
        <v>311</v>
      </c>
      <c r="B267" s="1186" t="s">
        <v>854</v>
      </c>
      <c r="C267" s="1186">
        <v>2</v>
      </c>
      <c r="D267" s="1186">
        <v>2080</v>
      </c>
      <c r="E267" s="1186">
        <v>2017</v>
      </c>
      <c r="F267" s="1186">
        <v>2</v>
      </c>
      <c r="G267" s="1186">
        <v>1059104</v>
      </c>
    </row>
    <row r="268" spans="1:7" x14ac:dyDescent="0.2">
      <c r="A268" s="1186" t="s">
        <v>311</v>
      </c>
      <c r="B268" s="1186" t="s">
        <v>854</v>
      </c>
      <c r="C268" s="1186">
        <v>3</v>
      </c>
      <c r="D268" s="1186">
        <v>1877</v>
      </c>
      <c r="E268" s="1186">
        <v>2017</v>
      </c>
      <c r="F268" s="1186">
        <v>3</v>
      </c>
      <c r="G268" s="1186">
        <v>1072629</v>
      </c>
    </row>
    <row r="269" spans="1:7" x14ac:dyDescent="0.2">
      <c r="A269" s="1186" t="s">
        <v>311</v>
      </c>
      <c r="B269" s="1186" t="s">
        <v>854</v>
      </c>
      <c r="C269" s="1186">
        <v>4</v>
      </c>
      <c r="D269" s="1186">
        <v>1663</v>
      </c>
      <c r="E269" s="1186">
        <v>2017</v>
      </c>
      <c r="F269" s="1186">
        <v>4</v>
      </c>
      <c r="G269" s="1186">
        <v>1110521</v>
      </c>
    </row>
    <row r="270" spans="1:7" x14ac:dyDescent="0.2">
      <c r="A270" s="1186" t="s">
        <v>311</v>
      </c>
      <c r="B270" s="1186" t="s">
        <v>854</v>
      </c>
      <c r="C270" s="1186">
        <v>5</v>
      </c>
      <c r="D270" s="1186">
        <v>1068</v>
      </c>
      <c r="E270" s="1186">
        <v>2017</v>
      </c>
      <c r="F270" s="1186">
        <v>5</v>
      </c>
      <c r="G270" s="1186">
        <v>1123258</v>
      </c>
    </row>
    <row r="271" spans="1:7" x14ac:dyDescent="0.2">
      <c r="A271" s="1186" t="s">
        <v>311</v>
      </c>
      <c r="B271" s="1186" t="s">
        <v>855</v>
      </c>
      <c r="C271" s="1186"/>
      <c r="D271" s="1186">
        <v>2</v>
      </c>
      <c r="E271" s="1186"/>
      <c r="F271" s="1186"/>
      <c r="G271" s="1186"/>
    </row>
    <row r="272" spans="1:7" x14ac:dyDescent="0.2">
      <c r="A272" s="1186" t="s">
        <v>311</v>
      </c>
      <c r="B272" s="1186" t="s">
        <v>855</v>
      </c>
      <c r="C272" s="1186">
        <v>1</v>
      </c>
      <c r="D272" s="1186">
        <v>797</v>
      </c>
      <c r="E272" s="1186">
        <v>2017</v>
      </c>
      <c r="F272" s="1186">
        <v>1</v>
      </c>
      <c r="G272" s="1186">
        <v>1059288</v>
      </c>
    </row>
    <row r="273" spans="1:7" x14ac:dyDescent="0.2">
      <c r="A273" s="1186" t="s">
        <v>311</v>
      </c>
      <c r="B273" s="1186" t="s">
        <v>855</v>
      </c>
      <c r="C273" s="1186">
        <v>2</v>
      </c>
      <c r="D273" s="1186">
        <v>512</v>
      </c>
      <c r="E273" s="1186">
        <v>2017</v>
      </c>
      <c r="F273" s="1186">
        <v>2</v>
      </c>
      <c r="G273" s="1186">
        <v>1059104</v>
      </c>
    </row>
    <row r="274" spans="1:7" x14ac:dyDescent="0.2">
      <c r="A274" s="1186" t="s">
        <v>311</v>
      </c>
      <c r="B274" s="1186" t="s">
        <v>855</v>
      </c>
      <c r="C274" s="1186">
        <v>3</v>
      </c>
      <c r="D274" s="1186">
        <v>432</v>
      </c>
      <c r="E274" s="1186">
        <v>2017</v>
      </c>
      <c r="F274" s="1186">
        <v>3</v>
      </c>
      <c r="G274" s="1186">
        <v>1072629</v>
      </c>
    </row>
    <row r="275" spans="1:7" x14ac:dyDescent="0.2">
      <c r="A275" s="1186" t="s">
        <v>311</v>
      </c>
      <c r="B275" s="1186" t="s">
        <v>855</v>
      </c>
      <c r="C275" s="1186">
        <v>4</v>
      </c>
      <c r="D275" s="1186">
        <v>337</v>
      </c>
      <c r="E275" s="1186">
        <v>2017</v>
      </c>
      <c r="F275" s="1186">
        <v>4</v>
      </c>
      <c r="G275" s="1186">
        <v>1110521</v>
      </c>
    </row>
    <row r="276" spans="1:7" x14ac:dyDescent="0.2">
      <c r="A276" s="1186" t="s">
        <v>311</v>
      </c>
      <c r="B276" s="1186" t="s">
        <v>855</v>
      </c>
      <c r="C276" s="1186">
        <v>5</v>
      </c>
      <c r="D276" s="1186">
        <v>257</v>
      </c>
      <c r="E276" s="1186">
        <v>2017</v>
      </c>
      <c r="F276" s="1186">
        <v>5</v>
      </c>
      <c r="G276" s="1186">
        <v>1123258</v>
      </c>
    </row>
    <row r="277" spans="1:7" x14ac:dyDescent="0.2">
      <c r="A277" s="1186" t="s">
        <v>311</v>
      </c>
      <c r="B277" s="1186" t="s">
        <v>308</v>
      </c>
      <c r="C277" s="1186"/>
      <c r="D277" s="1186">
        <v>33</v>
      </c>
      <c r="E277" s="1186"/>
      <c r="F277" s="1186"/>
      <c r="G277" s="1186"/>
    </row>
    <row r="278" spans="1:7" x14ac:dyDescent="0.2">
      <c r="A278" s="1186" t="s">
        <v>311</v>
      </c>
      <c r="B278" s="1186" t="s">
        <v>308</v>
      </c>
      <c r="C278" s="1186">
        <v>1</v>
      </c>
      <c r="D278" s="1186">
        <v>5042</v>
      </c>
      <c r="E278" s="1186">
        <v>2017</v>
      </c>
      <c r="F278" s="1186">
        <v>1</v>
      </c>
      <c r="G278" s="1186">
        <v>1059288</v>
      </c>
    </row>
    <row r="279" spans="1:7" x14ac:dyDescent="0.2">
      <c r="A279" s="1186" t="s">
        <v>311</v>
      </c>
      <c r="B279" s="1186" t="s">
        <v>308</v>
      </c>
      <c r="C279" s="1186">
        <v>2</v>
      </c>
      <c r="D279" s="1186">
        <v>3248</v>
      </c>
      <c r="E279" s="1186">
        <v>2017</v>
      </c>
      <c r="F279" s="1186">
        <v>2</v>
      </c>
      <c r="G279" s="1186">
        <v>1059104</v>
      </c>
    </row>
    <row r="280" spans="1:7" x14ac:dyDescent="0.2">
      <c r="A280" s="1186" t="s">
        <v>311</v>
      </c>
      <c r="B280" s="1186" t="s">
        <v>308</v>
      </c>
      <c r="C280" s="1186">
        <v>3</v>
      </c>
      <c r="D280" s="1186">
        <v>2634</v>
      </c>
      <c r="E280" s="1186">
        <v>2017</v>
      </c>
      <c r="F280" s="1186">
        <v>3</v>
      </c>
      <c r="G280" s="1186">
        <v>1072629</v>
      </c>
    </row>
    <row r="281" spans="1:7" x14ac:dyDescent="0.2">
      <c r="A281" s="1186" t="s">
        <v>311</v>
      </c>
      <c r="B281" s="1186" t="s">
        <v>308</v>
      </c>
      <c r="C281" s="1186">
        <v>4</v>
      </c>
      <c r="D281" s="1186">
        <v>2499</v>
      </c>
      <c r="E281" s="1186">
        <v>2017</v>
      </c>
      <c r="F281" s="1186">
        <v>4</v>
      </c>
      <c r="G281" s="1186">
        <v>1110521</v>
      </c>
    </row>
    <row r="282" spans="1:7" x14ac:dyDescent="0.2">
      <c r="A282" s="1186" t="s">
        <v>311</v>
      </c>
      <c r="B282" s="1186" t="s">
        <v>308</v>
      </c>
      <c r="C282" s="1186">
        <v>5</v>
      </c>
      <c r="D282" s="1186">
        <v>1272</v>
      </c>
      <c r="E282" s="1186">
        <v>2017</v>
      </c>
      <c r="F282" s="1186">
        <v>5</v>
      </c>
      <c r="G282" s="1186">
        <v>1123258</v>
      </c>
    </row>
    <row r="283" spans="1:7" x14ac:dyDescent="0.2">
      <c r="A283" s="1186" t="s">
        <v>621</v>
      </c>
      <c r="B283" s="1186" t="s">
        <v>828</v>
      </c>
      <c r="C283" s="1186">
        <v>1</v>
      </c>
      <c r="D283" s="1186">
        <v>2027</v>
      </c>
      <c r="E283" s="1186">
        <v>2018</v>
      </c>
      <c r="F283" s="1186">
        <v>1</v>
      </c>
      <c r="G283" s="1186">
        <v>1059180</v>
      </c>
    </row>
    <row r="284" spans="1:7" x14ac:dyDescent="0.2">
      <c r="A284" s="1186" t="s">
        <v>621</v>
      </c>
      <c r="B284" s="1186" t="s">
        <v>828</v>
      </c>
      <c r="C284" s="1186">
        <v>2</v>
      </c>
      <c r="D284" s="1186">
        <v>1198</v>
      </c>
      <c r="E284" s="1186">
        <v>2018</v>
      </c>
      <c r="F284" s="1186">
        <v>2</v>
      </c>
      <c r="G284" s="1186">
        <v>1058116</v>
      </c>
    </row>
    <row r="285" spans="1:7" x14ac:dyDescent="0.2">
      <c r="A285" s="1186" t="s">
        <v>621</v>
      </c>
      <c r="B285" s="1186" t="s">
        <v>828</v>
      </c>
      <c r="C285" s="1186">
        <v>3</v>
      </c>
      <c r="D285" s="1186">
        <v>824</v>
      </c>
      <c r="E285" s="1186">
        <v>2018</v>
      </c>
      <c r="F285" s="1186">
        <v>3</v>
      </c>
      <c r="G285" s="1186">
        <v>1075006</v>
      </c>
    </row>
    <row r="286" spans="1:7" x14ac:dyDescent="0.2">
      <c r="A286" s="1186" t="s">
        <v>621</v>
      </c>
      <c r="B286" s="1186" t="s">
        <v>828</v>
      </c>
      <c r="C286" s="1186">
        <v>4</v>
      </c>
      <c r="D286" s="1186">
        <v>624</v>
      </c>
      <c r="E286" s="1186">
        <v>2018</v>
      </c>
      <c r="F286" s="1186">
        <v>4</v>
      </c>
      <c r="G286" s="1186">
        <v>1120192</v>
      </c>
    </row>
    <row r="287" spans="1:7" x14ac:dyDescent="0.2">
      <c r="A287" s="1186" t="s">
        <v>621</v>
      </c>
      <c r="B287" s="1186" t="s">
        <v>828</v>
      </c>
      <c r="C287" s="1186">
        <v>5</v>
      </c>
      <c r="D287" s="1186">
        <v>472</v>
      </c>
      <c r="E287" s="1186">
        <v>2018</v>
      </c>
      <c r="F287" s="1186">
        <v>5</v>
      </c>
      <c r="G287" s="1186">
        <v>1125606</v>
      </c>
    </row>
    <row r="288" spans="1:7" x14ac:dyDescent="0.2">
      <c r="A288" s="1186" t="s">
        <v>621</v>
      </c>
      <c r="B288" s="1186" t="s">
        <v>850</v>
      </c>
      <c r="C288" s="1186">
        <v>1</v>
      </c>
      <c r="D288" s="1186">
        <v>480</v>
      </c>
      <c r="E288" s="1186">
        <v>2018</v>
      </c>
      <c r="F288" s="1186">
        <v>1</v>
      </c>
      <c r="G288" s="1186">
        <v>1059180</v>
      </c>
    </row>
    <row r="289" spans="1:7" x14ac:dyDescent="0.2">
      <c r="A289" s="1186" t="s">
        <v>621</v>
      </c>
      <c r="B289" s="1186" t="s">
        <v>850</v>
      </c>
      <c r="C289" s="1186">
        <v>2</v>
      </c>
      <c r="D289" s="1186">
        <v>508</v>
      </c>
      <c r="E289" s="1186">
        <v>2018</v>
      </c>
      <c r="F289" s="1186">
        <v>2</v>
      </c>
      <c r="G289" s="1186">
        <v>1058116</v>
      </c>
    </row>
    <row r="290" spans="1:7" x14ac:dyDescent="0.2">
      <c r="A290" s="1186" t="s">
        <v>621</v>
      </c>
      <c r="B290" s="1186" t="s">
        <v>850</v>
      </c>
      <c r="C290" s="1186">
        <v>3</v>
      </c>
      <c r="D290" s="1186">
        <v>527</v>
      </c>
      <c r="E290" s="1186">
        <v>2018</v>
      </c>
      <c r="F290" s="1186">
        <v>3</v>
      </c>
      <c r="G290" s="1186">
        <v>1075006</v>
      </c>
    </row>
    <row r="291" spans="1:7" x14ac:dyDescent="0.2">
      <c r="A291" s="1186" t="s">
        <v>621</v>
      </c>
      <c r="B291" s="1186" t="s">
        <v>850</v>
      </c>
      <c r="C291" s="1186">
        <v>4</v>
      </c>
      <c r="D291" s="1186">
        <v>464</v>
      </c>
      <c r="E291" s="1186">
        <v>2018</v>
      </c>
      <c r="F291" s="1186">
        <v>4</v>
      </c>
      <c r="G291" s="1186">
        <v>1120192</v>
      </c>
    </row>
    <row r="292" spans="1:7" x14ac:dyDescent="0.2">
      <c r="A292" s="1186" t="s">
        <v>621</v>
      </c>
      <c r="B292" s="1186" t="s">
        <v>850</v>
      </c>
      <c r="C292" s="1186">
        <v>5</v>
      </c>
      <c r="D292" s="1186">
        <v>273</v>
      </c>
      <c r="E292" s="1186">
        <v>2018</v>
      </c>
      <c r="F292" s="1186">
        <v>5</v>
      </c>
      <c r="G292" s="1186">
        <v>1125606</v>
      </c>
    </row>
    <row r="293" spans="1:7" x14ac:dyDescent="0.2">
      <c r="A293" s="1186" t="s">
        <v>621</v>
      </c>
      <c r="B293" s="1186" t="s">
        <v>851</v>
      </c>
      <c r="C293" s="1186"/>
      <c r="D293" s="1186">
        <v>5</v>
      </c>
      <c r="E293" s="1186"/>
      <c r="F293" s="1186"/>
      <c r="G293" s="1186"/>
    </row>
    <row r="294" spans="1:7" x14ac:dyDescent="0.2">
      <c r="A294" s="1186" t="s">
        <v>621</v>
      </c>
      <c r="B294" s="1186" t="s">
        <v>851</v>
      </c>
      <c r="C294" s="1186">
        <v>1</v>
      </c>
      <c r="D294" s="1186">
        <v>534</v>
      </c>
      <c r="E294" s="1186">
        <v>2018</v>
      </c>
      <c r="F294" s="1186">
        <v>1</v>
      </c>
      <c r="G294" s="1186">
        <v>1059180</v>
      </c>
    </row>
    <row r="295" spans="1:7" x14ac:dyDescent="0.2">
      <c r="A295" s="1186" t="s">
        <v>621</v>
      </c>
      <c r="B295" s="1186" t="s">
        <v>851</v>
      </c>
      <c r="C295" s="1186">
        <v>2</v>
      </c>
      <c r="D295" s="1186">
        <v>381</v>
      </c>
      <c r="E295" s="1186">
        <v>2018</v>
      </c>
      <c r="F295" s="1186">
        <v>2</v>
      </c>
      <c r="G295" s="1186">
        <v>1058116</v>
      </c>
    </row>
    <row r="296" spans="1:7" x14ac:dyDescent="0.2">
      <c r="A296" s="1186" t="s">
        <v>621</v>
      </c>
      <c r="B296" s="1186" t="s">
        <v>851</v>
      </c>
      <c r="C296" s="1186">
        <v>3</v>
      </c>
      <c r="D296" s="1186">
        <v>415</v>
      </c>
      <c r="E296" s="1186">
        <v>2018</v>
      </c>
      <c r="F296" s="1186">
        <v>3</v>
      </c>
      <c r="G296" s="1186">
        <v>1075006</v>
      </c>
    </row>
    <row r="297" spans="1:7" x14ac:dyDescent="0.2">
      <c r="A297" s="1186" t="s">
        <v>621</v>
      </c>
      <c r="B297" s="1186" t="s">
        <v>851</v>
      </c>
      <c r="C297" s="1186">
        <v>4</v>
      </c>
      <c r="D297" s="1186">
        <v>433</v>
      </c>
      <c r="E297" s="1186">
        <v>2018</v>
      </c>
      <c r="F297" s="1186">
        <v>4</v>
      </c>
      <c r="G297" s="1186">
        <v>1120192</v>
      </c>
    </row>
    <row r="298" spans="1:7" x14ac:dyDescent="0.2">
      <c r="A298" s="1186" t="s">
        <v>621</v>
      </c>
      <c r="B298" s="1186" t="s">
        <v>851</v>
      </c>
      <c r="C298" s="1186">
        <v>5</v>
      </c>
      <c r="D298" s="1186">
        <v>184</v>
      </c>
      <c r="E298" s="1186">
        <v>2018</v>
      </c>
      <c r="F298" s="1186">
        <v>5</v>
      </c>
      <c r="G298" s="1186">
        <v>1125606</v>
      </c>
    </row>
    <row r="299" spans="1:7" x14ac:dyDescent="0.2">
      <c r="A299" s="1186" t="s">
        <v>621</v>
      </c>
      <c r="B299" s="1186" t="s">
        <v>852</v>
      </c>
      <c r="C299" s="1186"/>
      <c r="D299" s="1186">
        <v>5</v>
      </c>
      <c r="E299" s="1186"/>
      <c r="F299" s="1186"/>
      <c r="G299" s="1186"/>
    </row>
    <row r="300" spans="1:7" x14ac:dyDescent="0.2">
      <c r="A300" s="1186" t="s">
        <v>621</v>
      </c>
      <c r="B300" s="1186" t="s">
        <v>852</v>
      </c>
      <c r="C300" s="1186">
        <v>1</v>
      </c>
      <c r="D300" s="1186">
        <v>219</v>
      </c>
      <c r="E300" s="1186">
        <v>2018</v>
      </c>
      <c r="F300" s="1186">
        <v>1</v>
      </c>
      <c r="G300" s="1186">
        <v>1059180</v>
      </c>
    </row>
    <row r="301" spans="1:7" x14ac:dyDescent="0.2">
      <c r="A301" s="1186" t="s">
        <v>621</v>
      </c>
      <c r="B301" s="1186" t="s">
        <v>852</v>
      </c>
      <c r="C301" s="1186">
        <v>2</v>
      </c>
      <c r="D301" s="1186">
        <v>203</v>
      </c>
      <c r="E301" s="1186">
        <v>2018</v>
      </c>
      <c r="F301" s="1186">
        <v>2</v>
      </c>
      <c r="G301" s="1186">
        <v>1058116</v>
      </c>
    </row>
    <row r="302" spans="1:7" x14ac:dyDescent="0.2">
      <c r="A302" s="1186" t="s">
        <v>621</v>
      </c>
      <c r="B302" s="1186" t="s">
        <v>852</v>
      </c>
      <c r="C302" s="1186">
        <v>3</v>
      </c>
      <c r="D302" s="1186">
        <v>265</v>
      </c>
      <c r="E302" s="1186">
        <v>2018</v>
      </c>
      <c r="F302" s="1186">
        <v>3</v>
      </c>
      <c r="G302" s="1186">
        <v>1075006</v>
      </c>
    </row>
    <row r="303" spans="1:7" x14ac:dyDescent="0.2">
      <c r="A303" s="1186" t="s">
        <v>621</v>
      </c>
      <c r="B303" s="1186" t="s">
        <v>852</v>
      </c>
      <c r="C303" s="1186">
        <v>4</v>
      </c>
      <c r="D303" s="1186">
        <v>290</v>
      </c>
      <c r="E303" s="1186">
        <v>2018</v>
      </c>
      <c r="F303" s="1186">
        <v>4</v>
      </c>
      <c r="G303" s="1186">
        <v>1120192</v>
      </c>
    </row>
    <row r="304" spans="1:7" x14ac:dyDescent="0.2">
      <c r="A304" s="1186" t="s">
        <v>621</v>
      </c>
      <c r="B304" s="1186" t="s">
        <v>852</v>
      </c>
      <c r="C304" s="1186">
        <v>5</v>
      </c>
      <c r="D304" s="1186">
        <v>142</v>
      </c>
      <c r="E304" s="1186">
        <v>2018</v>
      </c>
      <c r="F304" s="1186">
        <v>5</v>
      </c>
      <c r="G304" s="1186">
        <v>1125606</v>
      </c>
    </row>
    <row r="305" spans="1:7" x14ac:dyDescent="0.2">
      <c r="A305" s="1186" t="s">
        <v>621</v>
      </c>
      <c r="B305" s="1186" t="s">
        <v>853</v>
      </c>
      <c r="C305" s="1186"/>
      <c r="D305" s="1186">
        <v>27</v>
      </c>
      <c r="E305" s="1186"/>
      <c r="F305" s="1186"/>
      <c r="G305" s="1186"/>
    </row>
    <row r="306" spans="1:7" x14ac:dyDescent="0.2">
      <c r="A306" s="1186" t="s">
        <v>621</v>
      </c>
      <c r="B306" s="1186" t="s">
        <v>853</v>
      </c>
      <c r="C306" s="1186">
        <v>1</v>
      </c>
      <c r="D306" s="1186">
        <v>9770</v>
      </c>
      <c r="E306" s="1186">
        <v>2018</v>
      </c>
      <c r="F306" s="1186">
        <v>1</v>
      </c>
      <c r="G306" s="1186">
        <v>1059180</v>
      </c>
    </row>
    <row r="307" spans="1:7" x14ac:dyDescent="0.2">
      <c r="A307" s="1186" t="s">
        <v>621</v>
      </c>
      <c r="B307" s="1186" t="s">
        <v>853</v>
      </c>
      <c r="C307" s="1186">
        <v>2</v>
      </c>
      <c r="D307" s="1186">
        <v>9212</v>
      </c>
      <c r="E307" s="1186">
        <v>2018</v>
      </c>
      <c r="F307" s="1186">
        <v>2</v>
      </c>
      <c r="G307" s="1186">
        <v>1058116</v>
      </c>
    </row>
    <row r="308" spans="1:7" x14ac:dyDescent="0.2">
      <c r="A308" s="1186" t="s">
        <v>621</v>
      </c>
      <c r="B308" s="1186" t="s">
        <v>853</v>
      </c>
      <c r="C308" s="1186">
        <v>3</v>
      </c>
      <c r="D308" s="1186">
        <v>8769</v>
      </c>
      <c r="E308" s="1186">
        <v>2018</v>
      </c>
      <c r="F308" s="1186">
        <v>3</v>
      </c>
      <c r="G308" s="1186">
        <v>1075006</v>
      </c>
    </row>
    <row r="309" spans="1:7" x14ac:dyDescent="0.2">
      <c r="A309" s="1186" t="s">
        <v>621</v>
      </c>
      <c r="B309" s="1186" t="s">
        <v>853</v>
      </c>
      <c r="C309" s="1186">
        <v>4</v>
      </c>
      <c r="D309" s="1186">
        <v>7667</v>
      </c>
      <c r="E309" s="1186">
        <v>2018</v>
      </c>
      <c r="F309" s="1186">
        <v>4</v>
      </c>
      <c r="G309" s="1186">
        <v>1120192</v>
      </c>
    </row>
    <row r="310" spans="1:7" x14ac:dyDescent="0.2">
      <c r="A310" s="1186" t="s">
        <v>621</v>
      </c>
      <c r="B310" s="1186" t="s">
        <v>853</v>
      </c>
      <c r="C310" s="1186">
        <v>5</v>
      </c>
      <c r="D310" s="1186">
        <v>5196</v>
      </c>
      <c r="E310" s="1186">
        <v>2018</v>
      </c>
      <c r="F310" s="1186">
        <v>5</v>
      </c>
      <c r="G310" s="1186">
        <v>1125606</v>
      </c>
    </row>
    <row r="311" spans="1:7" x14ac:dyDescent="0.2">
      <c r="A311" s="1186" t="s">
        <v>621</v>
      </c>
      <c r="B311" s="1186" t="s">
        <v>854</v>
      </c>
      <c r="C311" s="1186"/>
      <c r="D311" s="1186">
        <v>19</v>
      </c>
      <c r="E311" s="1186"/>
      <c r="F311" s="1186"/>
      <c r="G311" s="1186"/>
    </row>
    <row r="312" spans="1:7" x14ac:dyDescent="0.2">
      <c r="A312" s="1186" t="s">
        <v>621</v>
      </c>
      <c r="B312" s="1186" t="s">
        <v>854</v>
      </c>
      <c r="C312" s="1186">
        <v>1</v>
      </c>
      <c r="D312" s="1186">
        <v>2495</v>
      </c>
      <c r="E312" s="1186">
        <v>2018</v>
      </c>
      <c r="F312" s="1186">
        <v>1</v>
      </c>
      <c r="G312" s="1186">
        <v>1059180</v>
      </c>
    </row>
    <row r="313" spans="1:7" x14ac:dyDescent="0.2">
      <c r="A313" s="1186" t="s">
        <v>621</v>
      </c>
      <c r="B313" s="1186" t="s">
        <v>854</v>
      </c>
      <c r="C313" s="1186">
        <v>2</v>
      </c>
      <c r="D313" s="1186">
        <v>2005</v>
      </c>
      <c r="E313" s="1186">
        <v>2018</v>
      </c>
      <c r="F313" s="1186">
        <v>2</v>
      </c>
      <c r="G313" s="1186">
        <v>1058116</v>
      </c>
    </row>
    <row r="314" spans="1:7" x14ac:dyDescent="0.2">
      <c r="A314" s="1186" t="s">
        <v>621</v>
      </c>
      <c r="B314" s="1186" t="s">
        <v>854</v>
      </c>
      <c r="C314" s="1186">
        <v>3</v>
      </c>
      <c r="D314" s="1186">
        <v>1893</v>
      </c>
      <c r="E314" s="1186">
        <v>2018</v>
      </c>
      <c r="F314" s="1186">
        <v>3</v>
      </c>
      <c r="G314" s="1186">
        <v>1075006</v>
      </c>
    </row>
    <row r="315" spans="1:7" x14ac:dyDescent="0.2">
      <c r="A315" s="1186" t="s">
        <v>621</v>
      </c>
      <c r="B315" s="1186" t="s">
        <v>854</v>
      </c>
      <c r="C315" s="1186">
        <v>4</v>
      </c>
      <c r="D315" s="1186">
        <v>1716</v>
      </c>
      <c r="E315" s="1186">
        <v>2018</v>
      </c>
      <c r="F315" s="1186">
        <v>4</v>
      </c>
      <c r="G315" s="1186">
        <v>1120192</v>
      </c>
    </row>
    <row r="316" spans="1:7" x14ac:dyDescent="0.2">
      <c r="A316" s="1186" t="s">
        <v>621</v>
      </c>
      <c r="B316" s="1186" t="s">
        <v>854</v>
      </c>
      <c r="C316" s="1186">
        <v>5</v>
      </c>
      <c r="D316" s="1186">
        <v>1110</v>
      </c>
      <c r="E316" s="1186">
        <v>2018</v>
      </c>
      <c r="F316" s="1186">
        <v>5</v>
      </c>
      <c r="G316" s="1186">
        <v>1125606</v>
      </c>
    </row>
    <row r="317" spans="1:7" x14ac:dyDescent="0.2">
      <c r="A317" s="1186" t="s">
        <v>621</v>
      </c>
      <c r="B317" s="1186" t="s">
        <v>855</v>
      </c>
      <c r="C317" s="1186"/>
      <c r="D317" s="1186">
        <v>2</v>
      </c>
      <c r="E317" s="1186"/>
      <c r="F317" s="1186"/>
      <c r="G317" s="1186"/>
    </row>
    <row r="318" spans="1:7" x14ac:dyDescent="0.2">
      <c r="A318" s="1186" t="s">
        <v>621</v>
      </c>
      <c r="B318" s="1186" t="s">
        <v>855</v>
      </c>
      <c r="C318" s="1186">
        <v>1</v>
      </c>
      <c r="D318" s="1186">
        <v>812</v>
      </c>
      <c r="E318" s="1186">
        <v>2018</v>
      </c>
      <c r="F318" s="1186">
        <v>1</v>
      </c>
      <c r="G318" s="1186">
        <v>1059180</v>
      </c>
    </row>
    <row r="319" spans="1:7" x14ac:dyDescent="0.2">
      <c r="A319" s="1186" t="s">
        <v>621</v>
      </c>
      <c r="B319" s="1186" t="s">
        <v>855</v>
      </c>
      <c r="C319" s="1186">
        <v>2</v>
      </c>
      <c r="D319" s="1186">
        <v>510</v>
      </c>
      <c r="E319" s="1186">
        <v>2018</v>
      </c>
      <c r="F319" s="1186">
        <v>2</v>
      </c>
      <c r="G319" s="1186">
        <v>1058116</v>
      </c>
    </row>
    <row r="320" spans="1:7" x14ac:dyDescent="0.2">
      <c r="A320" s="1186" t="s">
        <v>621</v>
      </c>
      <c r="B320" s="1186" t="s">
        <v>855</v>
      </c>
      <c r="C320" s="1186">
        <v>3</v>
      </c>
      <c r="D320" s="1186">
        <v>420</v>
      </c>
      <c r="E320" s="1186">
        <v>2018</v>
      </c>
      <c r="F320" s="1186">
        <v>3</v>
      </c>
      <c r="G320" s="1186">
        <v>1075006</v>
      </c>
    </row>
    <row r="321" spans="1:7" x14ac:dyDescent="0.2">
      <c r="A321" s="1186" t="s">
        <v>621</v>
      </c>
      <c r="B321" s="1186" t="s">
        <v>855</v>
      </c>
      <c r="C321" s="1186">
        <v>4</v>
      </c>
      <c r="D321" s="1186">
        <v>339</v>
      </c>
      <c r="E321" s="1186">
        <v>2018</v>
      </c>
      <c r="F321" s="1186">
        <v>4</v>
      </c>
      <c r="G321" s="1186">
        <v>1120192</v>
      </c>
    </row>
    <row r="322" spans="1:7" x14ac:dyDescent="0.2">
      <c r="A322" s="1186" t="s">
        <v>621</v>
      </c>
      <c r="B322" s="1186" t="s">
        <v>855</v>
      </c>
      <c r="C322" s="1186">
        <v>5</v>
      </c>
      <c r="D322" s="1186">
        <v>196</v>
      </c>
      <c r="E322" s="1186">
        <v>2018</v>
      </c>
      <c r="F322" s="1186">
        <v>5</v>
      </c>
      <c r="G322" s="1186">
        <v>1125606</v>
      </c>
    </row>
    <row r="323" spans="1:7" x14ac:dyDescent="0.2">
      <c r="A323" s="1186" t="s">
        <v>621</v>
      </c>
      <c r="B323" s="1186" t="s">
        <v>308</v>
      </c>
      <c r="C323" s="1186"/>
      <c r="D323" s="1186">
        <v>52</v>
      </c>
      <c r="E323" s="1186"/>
      <c r="F323" s="1186"/>
      <c r="G323" s="1186"/>
    </row>
    <row r="324" spans="1:7" x14ac:dyDescent="0.2">
      <c r="A324" s="1186" t="s">
        <v>621</v>
      </c>
      <c r="B324" s="1186" t="s">
        <v>308</v>
      </c>
      <c r="C324" s="1186">
        <v>1</v>
      </c>
      <c r="D324" s="1186">
        <v>5344</v>
      </c>
      <c r="E324" s="1186">
        <v>2018</v>
      </c>
      <c r="F324" s="1186">
        <v>1</v>
      </c>
      <c r="G324" s="1186">
        <v>1059180</v>
      </c>
    </row>
    <row r="325" spans="1:7" x14ac:dyDescent="0.2">
      <c r="A325" s="1186" t="s">
        <v>621</v>
      </c>
      <c r="B325" s="1186" t="s">
        <v>308</v>
      </c>
      <c r="C325" s="1186">
        <v>2</v>
      </c>
      <c r="D325" s="1186">
        <v>3283</v>
      </c>
      <c r="E325" s="1186">
        <v>2018</v>
      </c>
      <c r="F325" s="1186">
        <v>2</v>
      </c>
      <c r="G325" s="1186">
        <v>1058116</v>
      </c>
    </row>
    <row r="326" spans="1:7" x14ac:dyDescent="0.2">
      <c r="A326" s="1186" t="s">
        <v>621</v>
      </c>
      <c r="B326" s="1186" t="s">
        <v>308</v>
      </c>
      <c r="C326" s="1186">
        <v>3</v>
      </c>
      <c r="D326" s="1186">
        <v>2710</v>
      </c>
      <c r="E326" s="1186">
        <v>2018</v>
      </c>
      <c r="F326" s="1186">
        <v>3</v>
      </c>
      <c r="G326" s="1186">
        <v>1075006</v>
      </c>
    </row>
    <row r="327" spans="1:7" x14ac:dyDescent="0.2">
      <c r="A327" s="1186" t="s">
        <v>621</v>
      </c>
      <c r="B327" s="1186" t="s">
        <v>308</v>
      </c>
      <c r="C327" s="1186">
        <v>4</v>
      </c>
      <c r="D327" s="1186">
        <v>2732</v>
      </c>
      <c r="E327" s="1186">
        <v>2018</v>
      </c>
      <c r="F327" s="1186">
        <v>4</v>
      </c>
      <c r="G327" s="1186">
        <v>1120192</v>
      </c>
    </row>
    <row r="328" spans="1:7" x14ac:dyDescent="0.2">
      <c r="A328" s="1186" t="s">
        <v>621</v>
      </c>
      <c r="B328" s="1186" t="s">
        <v>308</v>
      </c>
      <c r="C328" s="1186">
        <v>5</v>
      </c>
      <c r="D328" s="1186">
        <v>1576</v>
      </c>
      <c r="E328" s="1186">
        <v>2018</v>
      </c>
      <c r="F328" s="1186">
        <v>5</v>
      </c>
      <c r="G328" s="1186">
        <v>1125606</v>
      </c>
    </row>
    <row r="329" spans="1:7" x14ac:dyDescent="0.2">
      <c r="A329" s="1186" t="s">
        <v>1419</v>
      </c>
      <c r="B329" s="1186" t="s">
        <v>828</v>
      </c>
      <c r="C329" s="1186"/>
      <c r="D329" s="1186">
        <v>1</v>
      </c>
      <c r="E329" s="1186"/>
      <c r="F329" s="1186"/>
      <c r="G329" s="1186"/>
    </row>
    <row r="330" spans="1:7" x14ac:dyDescent="0.2">
      <c r="A330" s="1186" t="s">
        <v>1419</v>
      </c>
      <c r="B330" s="1186" t="s">
        <v>828</v>
      </c>
      <c r="C330" s="1186">
        <v>1</v>
      </c>
      <c r="D330" s="1186">
        <v>1837</v>
      </c>
      <c r="E330" s="1186">
        <v>2019</v>
      </c>
      <c r="F330" s="1186">
        <v>1</v>
      </c>
      <c r="G330" s="1186">
        <v>1060939</v>
      </c>
    </row>
    <row r="331" spans="1:7" x14ac:dyDescent="0.2">
      <c r="A331" s="1186" t="s">
        <v>1419</v>
      </c>
      <c r="B331" s="1186" t="s">
        <v>828</v>
      </c>
      <c r="C331" s="1186">
        <v>2</v>
      </c>
      <c r="D331" s="1186">
        <v>1141</v>
      </c>
      <c r="E331" s="1186">
        <v>2019</v>
      </c>
      <c r="F331" s="1186">
        <v>2</v>
      </c>
      <c r="G331" s="1186">
        <v>1060924</v>
      </c>
    </row>
    <row r="332" spans="1:7" x14ac:dyDescent="0.2">
      <c r="A332" s="1186" t="s">
        <v>1419</v>
      </c>
      <c r="B332" s="1186" t="s">
        <v>828</v>
      </c>
      <c r="C332" s="1186">
        <v>3</v>
      </c>
      <c r="D332" s="1186">
        <v>819</v>
      </c>
      <c r="E332" s="1186">
        <v>2019</v>
      </c>
      <c r="F332" s="1186">
        <v>3</v>
      </c>
      <c r="G332" s="1186">
        <v>1078198</v>
      </c>
    </row>
    <row r="333" spans="1:7" x14ac:dyDescent="0.2">
      <c r="A333" s="1186" t="s">
        <v>1419</v>
      </c>
      <c r="B333" s="1186" t="s">
        <v>828</v>
      </c>
      <c r="C333" s="1186">
        <v>4</v>
      </c>
      <c r="D333" s="1186">
        <v>622</v>
      </c>
      <c r="E333" s="1186">
        <v>2019</v>
      </c>
      <c r="F333" s="1186">
        <v>4</v>
      </c>
      <c r="G333" s="1186">
        <v>1132425</v>
      </c>
    </row>
    <row r="334" spans="1:7" x14ac:dyDescent="0.2">
      <c r="A334" s="1186" t="s">
        <v>1419</v>
      </c>
      <c r="B334" s="1186" t="s">
        <v>828</v>
      </c>
      <c r="C334" s="1186">
        <v>5</v>
      </c>
      <c r="D334" s="1186">
        <v>470</v>
      </c>
      <c r="E334" s="1186">
        <v>2019</v>
      </c>
      <c r="F334" s="1186">
        <v>5</v>
      </c>
      <c r="G334" s="1186">
        <v>1130814</v>
      </c>
    </row>
    <row r="335" spans="1:7" x14ac:dyDescent="0.2">
      <c r="A335" s="1186" t="s">
        <v>1419</v>
      </c>
      <c r="B335" s="1186" t="s">
        <v>850</v>
      </c>
      <c r="C335" s="1186"/>
      <c r="D335" s="1186">
        <v>1</v>
      </c>
      <c r="E335" s="1186"/>
      <c r="F335" s="1186"/>
      <c r="G335" s="1186"/>
    </row>
    <row r="336" spans="1:7" x14ac:dyDescent="0.2">
      <c r="A336" s="1186" t="s">
        <v>1419</v>
      </c>
      <c r="B336" s="1186" t="s">
        <v>850</v>
      </c>
      <c r="C336" s="1186">
        <v>1</v>
      </c>
      <c r="D336" s="1186">
        <v>471</v>
      </c>
      <c r="E336" s="1186">
        <v>2019</v>
      </c>
      <c r="F336" s="1186">
        <v>1</v>
      </c>
      <c r="G336" s="1186">
        <v>1060939</v>
      </c>
    </row>
    <row r="337" spans="1:7" x14ac:dyDescent="0.2">
      <c r="A337" s="1186" t="s">
        <v>1419</v>
      </c>
      <c r="B337" s="1186" t="s">
        <v>850</v>
      </c>
      <c r="C337" s="1186">
        <v>2</v>
      </c>
      <c r="D337" s="1186">
        <v>433</v>
      </c>
      <c r="E337" s="1186">
        <v>2019</v>
      </c>
      <c r="F337" s="1186">
        <v>2</v>
      </c>
      <c r="G337" s="1186">
        <v>1060924</v>
      </c>
    </row>
    <row r="338" spans="1:7" x14ac:dyDescent="0.2">
      <c r="A338" s="1186" t="s">
        <v>1419</v>
      </c>
      <c r="B338" s="1186" t="s">
        <v>850</v>
      </c>
      <c r="C338" s="1186">
        <v>3</v>
      </c>
      <c r="D338" s="1186">
        <v>419</v>
      </c>
      <c r="E338" s="1186">
        <v>2019</v>
      </c>
      <c r="F338" s="1186">
        <v>3</v>
      </c>
      <c r="G338" s="1186">
        <v>1078198</v>
      </c>
    </row>
    <row r="339" spans="1:7" x14ac:dyDescent="0.2">
      <c r="A339" s="1186" t="s">
        <v>1419</v>
      </c>
      <c r="B339" s="1186" t="s">
        <v>850</v>
      </c>
      <c r="C339" s="1186">
        <v>4</v>
      </c>
      <c r="D339" s="1186">
        <v>431</v>
      </c>
      <c r="E339" s="1186">
        <v>2019</v>
      </c>
      <c r="F339" s="1186">
        <v>4</v>
      </c>
      <c r="G339" s="1186">
        <v>1132425</v>
      </c>
    </row>
    <row r="340" spans="1:7" x14ac:dyDescent="0.2">
      <c r="A340" s="1186" t="s">
        <v>1419</v>
      </c>
      <c r="B340" s="1186" t="s">
        <v>850</v>
      </c>
      <c r="C340" s="1186">
        <v>5</v>
      </c>
      <c r="D340" s="1186">
        <v>225</v>
      </c>
      <c r="E340" s="1186">
        <v>2019</v>
      </c>
      <c r="F340" s="1186">
        <v>5</v>
      </c>
      <c r="G340" s="1186">
        <v>1130814</v>
      </c>
    </row>
    <row r="341" spans="1:7" x14ac:dyDescent="0.2">
      <c r="A341" s="1186" t="s">
        <v>1419</v>
      </c>
      <c r="B341" s="1186" t="s">
        <v>851</v>
      </c>
      <c r="C341" s="1186"/>
      <c r="D341" s="1186">
        <v>2</v>
      </c>
      <c r="E341" s="1186"/>
      <c r="F341" s="1186"/>
      <c r="G341" s="1186"/>
    </row>
    <row r="342" spans="1:7" x14ac:dyDescent="0.2">
      <c r="A342" s="1186" t="s">
        <v>1419</v>
      </c>
      <c r="B342" s="1186" t="s">
        <v>851</v>
      </c>
      <c r="C342" s="1186">
        <v>1</v>
      </c>
      <c r="D342" s="1186">
        <v>558</v>
      </c>
      <c r="E342" s="1186">
        <v>2019</v>
      </c>
      <c r="F342" s="1186">
        <v>1</v>
      </c>
      <c r="G342" s="1186">
        <v>1060939</v>
      </c>
    </row>
    <row r="343" spans="1:7" x14ac:dyDescent="0.2">
      <c r="A343" s="1186" t="s">
        <v>1419</v>
      </c>
      <c r="B343" s="1186" t="s">
        <v>851</v>
      </c>
      <c r="C343" s="1186">
        <v>2</v>
      </c>
      <c r="D343" s="1186">
        <v>450</v>
      </c>
      <c r="E343" s="1186">
        <v>2019</v>
      </c>
      <c r="F343" s="1186">
        <v>2</v>
      </c>
      <c r="G343" s="1186">
        <v>1060924</v>
      </c>
    </row>
    <row r="344" spans="1:7" x14ac:dyDescent="0.2">
      <c r="A344" s="1186" t="s">
        <v>1419</v>
      </c>
      <c r="B344" s="1186" t="s">
        <v>851</v>
      </c>
      <c r="C344" s="1186">
        <v>3</v>
      </c>
      <c r="D344" s="1186">
        <v>419</v>
      </c>
      <c r="E344" s="1186">
        <v>2019</v>
      </c>
      <c r="F344" s="1186">
        <v>3</v>
      </c>
      <c r="G344" s="1186">
        <v>1078198</v>
      </c>
    </row>
    <row r="345" spans="1:7" x14ac:dyDescent="0.2">
      <c r="A345" s="1186" t="s">
        <v>1419</v>
      </c>
      <c r="B345" s="1186" t="s">
        <v>851</v>
      </c>
      <c r="C345" s="1186">
        <v>4</v>
      </c>
      <c r="D345" s="1186">
        <v>460</v>
      </c>
      <c r="E345" s="1186">
        <v>2019</v>
      </c>
      <c r="F345" s="1186">
        <v>4</v>
      </c>
      <c r="G345" s="1186">
        <v>1132425</v>
      </c>
    </row>
    <row r="346" spans="1:7" x14ac:dyDescent="0.2">
      <c r="A346" s="1186" t="s">
        <v>1419</v>
      </c>
      <c r="B346" s="1186" t="s">
        <v>851</v>
      </c>
      <c r="C346" s="1186">
        <v>5</v>
      </c>
      <c r="D346" s="1186">
        <v>210</v>
      </c>
      <c r="E346" s="1186">
        <v>2019</v>
      </c>
      <c r="F346" s="1186">
        <v>5</v>
      </c>
      <c r="G346" s="1186">
        <v>1130814</v>
      </c>
    </row>
    <row r="347" spans="1:7" x14ac:dyDescent="0.2">
      <c r="A347" s="1186" t="s">
        <v>1419</v>
      </c>
      <c r="B347" s="1186" t="s">
        <v>852</v>
      </c>
      <c r="C347" s="1186"/>
      <c r="D347" s="1186">
        <v>7</v>
      </c>
      <c r="E347" s="1186"/>
      <c r="F347" s="1186"/>
      <c r="G347" s="1186"/>
    </row>
    <row r="348" spans="1:7" x14ac:dyDescent="0.2">
      <c r="A348" s="1186" t="s">
        <v>1419</v>
      </c>
      <c r="B348" s="1186" t="s">
        <v>852</v>
      </c>
      <c r="C348" s="1186">
        <v>1</v>
      </c>
      <c r="D348" s="1186">
        <v>182</v>
      </c>
      <c r="E348" s="1186">
        <v>2019</v>
      </c>
      <c r="F348" s="1186">
        <v>1</v>
      </c>
      <c r="G348" s="1186">
        <v>1060939</v>
      </c>
    </row>
    <row r="349" spans="1:7" x14ac:dyDescent="0.2">
      <c r="A349" s="1186" t="s">
        <v>1419</v>
      </c>
      <c r="B349" s="1186" t="s">
        <v>852</v>
      </c>
      <c r="C349" s="1186">
        <v>2</v>
      </c>
      <c r="D349" s="1186">
        <v>161</v>
      </c>
      <c r="E349" s="1186">
        <v>2019</v>
      </c>
      <c r="F349" s="1186">
        <v>2</v>
      </c>
      <c r="G349" s="1186">
        <v>1060924</v>
      </c>
    </row>
    <row r="350" spans="1:7" x14ac:dyDescent="0.2">
      <c r="A350" s="1186" t="s">
        <v>1419</v>
      </c>
      <c r="B350" s="1186" t="s">
        <v>852</v>
      </c>
      <c r="C350" s="1186">
        <v>3</v>
      </c>
      <c r="D350" s="1186">
        <v>195</v>
      </c>
      <c r="E350" s="1186">
        <v>2019</v>
      </c>
      <c r="F350" s="1186">
        <v>3</v>
      </c>
      <c r="G350" s="1186">
        <v>1078198</v>
      </c>
    </row>
    <row r="351" spans="1:7" x14ac:dyDescent="0.2">
      <c r="A351" s="1186" t="s">
        <v>1419</v>
      </c>
      <c r="B351" s="1186" t="s">
        <v>852</v>
      </c>
      <c r="C351" s="1186">
        <v>4</v>
      </c>
      <c r="D351" s="1186">
        <v>228</v>
      </c>
      <c r="E351" s="1186">
        <v>2019</v>
      </c>
      <c r="F351" s="1186">
        <v>4</v>
      </c>
      <c r="G351" s="1186">
        <v>1132425</v>
      </c>
    </row>
    <row r="352" spans="1:7" x14ac:dyDescent="0.2">
      <c r="A352" s="1186" t="s">
        <v>1419</v>
      </c>
      <c r="B352" s="1186" t="s">
        <v>852</v>
      </c>
      <c r="C352" s="1186">
        <v>5</v>
      </c>
      <c r="D352" s="1186">
        <v>110</v>
      </c>
      <c r="E352" s="1186">
        <v>2019</v>
      </c>
      <c r="F352" s="1186">
        <v>5</v>
      </c>
      <c r="G352" s="1186">
        <v>1130814</v>
      </c>
    </row>
    <row r="353" spans="1:7" x14ac:dyDescent="0.2">
      <c r="A353" s="1186" t="s">
        <v>1419</v>
      </c>
      <c r="B353" s="1186" t="s">
        <v>853</v>
      </c>
      <c r="C353" s="1186"/>
      <c r="D353" s="1186">
        <v>25</v>
      </c>
      <c r="E353" s="1186"/>
      <c r="F353" s="1186"/>
      <c r="G353" s="1186"/>
    </row>
    <row r="354" spans="1:7" x14ac:dyDescent="0.2">
      <c r="A354" s="1186" t="s">
        <v>1419</v>
      </c>
      <c r="B354" s="1186" t="s">
        <v>853</v>
      </c>
      <c r="C354" s="1186">
        <v>1</v>
      </c>
      <c r="D354" s="1186">
        <v>10019</v>
      </c>
      <c r="E354" s="1186">
        <v>2019</v>
      </c>
      <c r="F354" s="1186">
        <v>1</v>
      </c>
      <c r="G354" s="1186">
        <v>1060939</v>
      </c>
    </row>
    <row r="355" spans="1:7" x14ac:dyDescent="0.2">
      <c r="A355" s="1186" t="s">
        <v>1419</v>
      </c>
      <c r="B355" s="1186" t="s">
        <v>853</v>
      </c>
      <c r="C355" s="1186">
        <v>2</v>
      </c>
      <c r="D355" s="1186">
        <v>9344</v>
      </c>
      <c r="E355" s="1186">
        <v>2019</v>
      </c>
      <c r="F355" s="1186">
        <v>2</v>
      </c>
      <c r="G355" s="1186">
        <v>1060924</v>
      </c>
    </row>
    <row r="356" spans="1:7" x14ac:dyDescent="0.2">
      <c r="A356" s="1186" t="s">
        <v>1419</v>
      </c>
      <c r="B356" s="1186" t="s">
        <v>853</v>
      </c>
      <c r="C356" s="1186">
        <v>3</v>
      </c>
      <c r="D356" s="1186">
        <v>9016</v>
      </c>
      <c r="E356" s="1186">
        <v>2019</v>
      </c>
      <c r="F356" s="1186">
        <v>3</v>
      </c>
      <c r="G356" s="1186">
        <v>1078198</v>
      </c>
    </row>
    <row r="357" spans="1:7" x14ac:dyDescent="0.2">
      <c r="A357" s="1186" t="s">
        <v>1419</v>
      </c>
      <c r="B357" s="1186" t="s">
        <v>853</v>
      </c>
      <c r="C357" s="1186">
        <v>4</v>
      </c>
      <c r="D357" s="1186">
        <v>7955</v>
      </c>
      <c r="E357" s="1186">
        <v>2019</v>
      </c>
      <c r="F357" s="1186">
        <v>4</v>
      </c>
      <c r="G357" s="1186">
        <v>1132425</v>
      </c>
    </row>
    <row r="358" spans="1:7" x14ac:dyDescent="0.2">
      <c r="A358" s="1186" t="s">
        <v>1419</v>
      </c>
      <c r="B358" s="1186" t="s">
        <v>853</v>
      </c>
      <c r="C358" s="1186">
        <v>5</v>
      </c>
      <c r="D358" s="1186">
        <v>5108</v>
      </c>
      <c r="E358" s="1186">
        <v>2019</v>
      </c>
      <c r="F358" s="1186">
        <v>5</v>
      </c>
      <c r="G358" s="1186">
        <v>1130814</v>
      </c>
    </row>
    <row r="359" spans="1:7" x14ac:dyDescent="0.2">
      <c r="A359" s="1186" t="s">
        <v>1419</v>
      </c>
      <c r="B359" s="1186" t="s">
        <v>854</v>
      </c>
      <c r="C359" s="1186"/>
      <c r="D359" s="1186">
        <v>10</v>
      </c>
      <c r="E359" s="1186"/>
      <c r="F359" s="1186"/>
      <c r="G359" s="1186"/>
    </row>
    <row r="360" spans="1:7" x14ac:dyDescent="0.2">
      <c r="A360" s="1186" t="s">
        <v>1419</v>
      </c>
      <c r="B360" s="1186" t="s">
        <v>854</v>
      </c>
      <c r="C360" s="1186">
        <v>1</v>
      </c>
      <c r="D360" s="1186">
        <v>2382</v>
      </c>
      <c r="E360" s="1186">
        <v>2019</v>
      </c>
      <c r="F360" s="1186">
        <v>1</v>
      </c>
      <c r="G360" s="1186">
        <v>1060939</v>
      </c>
    </row>
    <row r="361" spans="1:7" x14ac:dyDescent="0.2">
      <c r="A361" s="1186" t="s">
        <v>1419</v>
      </c>
      <c r="B361" s="1186" t="s">
        <v>854</v>
      </c>
      <c r="C361" s="1186">
        <v>2</v>
      </c>
      <c r="D361" s="1186">
        <v>1976</v>
      </c>
      <c r="E361" s="1186">
        <v>2019</v>
      </c>
      <c r="F361" s="1186">
        <v>2</v>
      </c>
      <c r="G361" s="1186">
        <v>1060924</v>
      </c>
    </row>
    <row r="362" spans="1:7" x14ac:dyDescent="0.2">
      <c r="A362" s="1186" t="s">
        <v>1419</v>
      </c>
      <c r="B362" s="1186" t="s">
        <v>854</v>
      </c>
      <c r="C362" s="1186">
        <v>3</v>
      </c>
      <c r="D362" s="1186">
        <v>1757</v>
      </c>
      <c r="E362" s="1186">
        <v>2019</v>
      </c>
      <c r="F362" s="1186">
        <v>3</v>
      </c>
      <c r="G362" s="1186">
        <v>1078198</v>
      </c>
    </row>
    <row r="363" spans="1:7" x14ac:dyDescent="0.2">
      <c r="A363" s="1186" t="s">
        <v>1419</v>
      </c>
      <c r="B363" s="1186" t="s">
        <v>854</v>
      </c>
      <c r="C363" s="1186">
        <v>4</v>
      </c>
      <c r="D363" s="1186">
        <v>1529</v>
      </c>
      <c r="E363" s="1186">
        <v>2019</v>
      </c>
      <c r="F363" s="1186">
        <v>4</v>
      </c>
      <c r="G363" s="1186">
        <v>1132425</v>
      </c>
    </row>
    <row r="364" spans="1:7" x14ac:dyDescent="0.2">
      <c r="A364" s="1186" t="s">
        <v>1419</v>
      </c>
      <c r="B364" s="1186" t="s">
        <v>854</v>
      </c>
      <c r="C364" s="1186">
        <v>5</v>
      </c>
      <c r="D364" s="1186">
        <v>983</v>
      </c>
      <c r="E364" s="1186">
        <v>2019</v>
      </c>
      <c r="F364" s="1186">
        <v>5</v>
      </c>
      <c r="G364" s="1186">
        <v>1130814</v>
      </c>
    </row>
    <row r="365" spans="1:7" x14ac:dyDescent="0.2">
      <c r="A365" s="1186" t="s">
        <v>1419</v>
      </c>
      <c r="B365" s="1186" t="s">
        <v>855</v>
      </c>
      <c r="C365" s="1186"/>
      <c r="D365" s="1186">
        <v>1</v>
      </c>
      <c r="E365" s="1186"/>
      <c r="F365" s="1186"/>
      <c r="G365" s="1186"/>
    </row>
    <row r="366" spans="1:7" x14ac:dyDescent="0.2">
      <c r="A366" s="1186" t="s">
        <v>1419</v>
      </c>
      <c r="B366" s="1186" t="s">
        <v>855</v>
      </c>
      <c r="C366" s="1186">
        <v>1</v>
      </c>
      <c r="D366" s="1186">
        <v>702</v>
      </c>
      <c r="E366" s="1186">
        <v>2019</v>
      </c>
      <c r="F366" s="1186">
        <v>1</v>
      </c>
      <c r="G366" s="1186">
        <v>1060939</v>
      </c>
    </row>
    <row r="367" spans="1:7" x14ac:dyDescent="0.2">
      <c r="A367" s="1186" t="s">
        <v>1419</v>
      </c>
      <c r="B367" s="1186" t="s">
        <v>855</v>
      </c>
      <c r="C367" s="1186">
        <v>2</v>
      </c>
      <c r="D367" s="1186">
        <v>513</v>
      </c>
      <c r="E367" s="1186">
        <v>2019</v>
      </c>
      <c r="F367" s="1186">
        <v>2</v>
      </c>
      <c r="G367" s="1186">
        <v>1060924</v>
      </c>
    </row>
    <row r="368" spans="1:7" x14ac:dyDescent="0.2">
      <c r="A368" s="1186" t="s">
        <v>1419</v>
      </c>
      <c r="B368" s="1186" t="s">
        <v>855</v>
      </c>
      <c r="C368" s="1186">
        <v>3</v>
      </c>
      <c r="D368" s="1186">
        <v>434</v>
      </c>
      <c r="E368" s="1186">
        <v>2019</v>
      </c>
      <c r="F368" s="1186">
        <v>3</v>
      </c>
      <c r="G368" s="1186">
        <v>1078198</v>
      </c>
    </row>
    <row r="369" spans="1:7" x14ac:dyDescent="0.2">
      <c r="A369" s="1186" t="s">
        <v>1419</v>
      </c>
      <c r="B369" s="1186" t="s">
        <v>855</v>
      </c>
      <c r="C369" s="1186">
        <v>4</v>
      </c>
      <c r="D369" s="1186">
        <v>329</v>
      </c>
      <c r="E369" s="1186">
        <v>2019</v>
      </c>
      <c r="F369" s="1186">
        <v>4</v>
      </c>
      <c r="G369" s="1186">
        <v>1132425</v>
      </c>
    </row>
    <row r="370" spans="1:7" x14ac:dyDescent="0.2">
      <c r="A370" s="1186" t="s">
        <v>1419</v>
      </c>
      <c r="B370" s="1186" t="s">
        <v>855</v>
      </c>
      <c r="C370" s="1186">
        <v>5</v>
      </c>
      <c r="D370" s="1186">
        <v>219</v>
      </c>
      <c r="E370" s="1186">
        <v>2019</v>
      </c>
      <c r="F370" s="1186">
        <v>5</v>
      </c>
      <c r="G370" s="1186">
        <v>1130814</v>
      </c>
    </row>
    <row r="371" spans="1:7" x14ac:dyDescent="0.2">
      <c r="A371" s="1186" t="s">
        <v>1419</v>
      </c>
      <c r="B371" s="1186" t="s">
        <v>308</v>
      </c>
      <c r="C371" s="1186"/>
      <c r="D371" s="1186">
        <v>24</v>
      </c>
      <c r="E371" s="1186"/>
      <c r="F371" s="1186"/>
      <c r="G371" s="1186"/>
    </row>
    <row r="372" spans="1:7" x14ac:dyDescent="0.2">
      <c r="A372" s="1186" t="s">
        <v>1419</v>
      </c>
      <c r="B372" s="1186" t="s">
        <v>308</v>
      </c>
      <c r="C372" s="1186">
        <v>1</v>
      </c>
      <c r="D372" s="1186">
        <v>5283</v>
      </c>
      <c r="E372" s="1186">
        <v>2019</v>
      </c>
      <c r="F372" s="1186">
        <v>1</v>
      </c>
      <c r="G372" s="1186">
        <v>1060939</v>
      </c>
    </row>
    <row r="373" spans="1:7" x14ac:dyDescent="0.2">
      <c r="A373" s="1186" t="s">
        <v>1419</v>
      </c>
      <c r="B373" s="1186" t="s">
        <v>308</v>
      </c>
      <c r="C373" s="1186">
        <v>2</v>
      </c>
      <c r="D373" s="1186">
        <v>2961</v>
      </c>
      <c r="E373" s="1186">
        <v>2019</v>
      </c>
      <c r="F373" s="1186">
        <v>2</v>
      </c>
      <c r="G373" s="1186">
        <v>1060924</v>
      </c>
    </row>
    <row r="374" spans="1:7" x14ac:dyDescent="0.2">
      <c r="A374" s="1186" t="s">
        <v>1419</v>
      </c>
      <c r="B374" s="1186" t="s">
        <v>308</v>
      </c>
      <c r="C374" s="1186">
        <v>3</v>
      </c>
      <c r="D374" s="1186">
        <v>2381</v>
      </c>
      <c r="E374" s="1186">
        <v>2019</v>
      </c>
      <c r="F374" s="1186">
        <v>3</v>
      </c>
      <c r="G374" s="1186">
        <v>1078198</v>
      </c>
    </row>
    <row r="375" spans="1:7" x14ac:dyDescent="0.2">
      <c r="A375" s="1186" t="s">
        <v>1419</v>
      </c>
      <c r="B375" s="1186" t="s">
        <v>308</v>
      </c>
      <c r="C375" s="1186">
        <v>4</v>
      </c>
      <c r="D375" s="1186">
        <v>2229</v>
      </c>
      <c r="E375" s="1186">
        <v>2019</v>
      </c>
      <c r="F375" s="1186">
        <v>4</v>
      </c>
      <c r="G375" s="1186">
        <v>1132425</v>
      </c>
    </row>
    <row r="376" spans="1:7" x14ac:dyDescent="0.2">
      <c r="A376" s="1186" t="s">
        <v>1419</v>
      </c>
      <c r="B376" s="1186" t="s">
        <v>308</v>
      </c>
      <c r="C376" s="1186">
        <v>5</v>
      </c>
      <c r="D376" s="1186">
        <v>1212</v>
      </c>
      <c r="E376" s="1186">
        <v>2019</v>
      </c>
      <c r="F376" s="1186">
        <v>5</v>
      </c>
      <c r="G376" s="1186">
        <v>1130814</v>
      </c>
    </row>
    <row r="377" spans="1:7" x14ac:dyDescent="0.2">
      <c r="A377" s="1186" t="s">
        <v>1572</v>
      </c>
      <c r="B377" s="1186" t="s">
        <v>828</v>
      </c>
      <c r="C377" s="1186"/>
      <c r="D377" s="1186">
        <v>1</v>
      </c>
      <c r="E377" s="1186"/>
      <c r="F377" s="1186"/>
      <c r="G377" s="1186"/>
    </row>
    <row r="378" spans="1:7" x14ac:dyDescent="0.2">
      <c r="A378" s="1186" t="s">
        <v>1572</v>
      </c>
      <c r="B378" s="1186" t="s">
        <v>828</v>
      </c>
      <c r="C378" s="1186">
        <v>1</v>
      </c>
      <c r="D378" s="1186">
        <v>1853</v>
      </c>
      <c r="E378" s="1186">
        <v>2020</v>
      </c>
      <c r="F378" s="1186">
        <v>1</v>
      </c>
      <c r="G378" s="1186">
        <v>1057767</v>
      </c>
    </row>
    <row r="379" spans="1:7" x14ac:dyDescent="0.2">
      <c r="A379" s="1186" t="s">
        <v>1572</v>
      </c>
      <c r="B379" s="1186" t="s">
        <v>828</v>
      </c>
      <c r="C379" s="1186">
        <v>2</v>
      </c>
      <c r="D379" s="1186">
        <v>1110</v>
      </c>
      <c r="E379" s="1186">
        <v>2020</v>
      </c>
      <c r="F379" s="1186">
        <v>2</v>
      </c>
      <c r="G379" s="1186">
        <v>1057929</v>
      </c>
    </row>
    <row r="380" spans="1:7" x14ac:dyDescent="0.2">
      <c r="A380" s="1186" t="s">
        <v>1572</v>
      </c>
      <c r="B380" s="1186" t="s">
        <v>828</v>
      </c>
      <c r="C380" s="1186">
        <v>3</v>
      </c>
      <c r="D380" s="1186">
        <v>715</v>
      </c>
      <c r="E380" s="1186">
        <v>2020</v>
      </c>
      <c r="F380" s="1186">
        <v>3</v>
      </c>
      <c r="G380" s="1186">
        <v>1077589</v>
      </c>
    </row>
    <row r="381" spans="1:7" x14ac:dyDescent="0.2">
      <c r="A381" s="1186" t="s">
        <v>1572</v>
      </c>
      <c r="B381" s="1186" t="s">
        <v>828</v>
      </c>
      <c r="C381" s="1186">
        <v>4</v>
      </c>
      <c r="D381" s="1186">
        <v>555</v>
      </c>
      <c r="E381" s="1186">
        <v>2020</v>
      </c>
      <c r="F381" s="1186">
        <v>4</v>
      </c>
      <c r="G381" s="1186">
        <v>1140448</v>
      </c>
    </row>
    <row r="382" spans="1:7" x14ac:dyDescent="0.2">
      <c r="A382" s="1186" t="s">
        <v>1572</v>
      </c>
      <c r="B382" s="1186" t="s">
        <v>828</v>
      </c>
      <c r="C382" s="1186">
        <v>5</v>
      </c>
      <c r="D382" s="1186">
        <v>427</v>
      </c>
      <c r="E382" s="1186">
        <v>2020</v>
      </c>
      <c r="F382" s="1186">
        <v>5</v>
      </c>
      <c r="G382" s="1186">
        <v>1132267</v>
      </c>
    </row>
    <row r="383" spans="1:7" x14ac:dyDescent="0.2">
      <c r="A383" s="1186" t="s">
        <v>1572</v>
      </c>
      <c r="B383" s="1186" t="s">
        <v>850</v>
      </c>
      <c r="C383" s="1186"/>
      <c r="D383" s="1186">
        <v>1</v>
      </c>
      <c r="E383" s="1186"/>
      <c r="F383" s="1186"/>
      <c r="G383" s="1186"/>
    </row>
    <row r="384" spans="1:7" x14ac:dyDescent="0.2">
      <c r="A384" s="1186" t="s">
        <v>1572</v>
      </c>
      <c r="B384" s="1186" t="s">
        <v>850</v>
      </c>
      <c r="C384" s="1186">
        <v>1</v>
      </c>
      <c r="D384" s="1186">
        <v>376</v>
      </c>
      <c r="E384" s="1186">
        <v>2020</v>
      </c>
      <c r="F384" s="1186">
        <v>1</v>
      </c>
      <c r="G384" s="1186">
        <v>1057767</v>
      </c>
    </row>
    <row r="385" spans="1:7" x14ac:dyDescent="0.2">
      <c r="A385" s="1186" t="s">
        <v>1572</v>
      </c>
      <c r="B385" s="1186" t="s">
        <v>850</v>
      </c>
      <c r="C385" s="1186">
        <v>2</v>
      </c>
      <c r="D385" s="1186">
        <v>395</v>
      </c>
      <c r="E385" s="1186">
        <v>2020</v>
      </c>
      <c r="F385" s="1186">
        <v>2</v>
      </c>
      <c r="G385" s="1186">
        <v>1057929</v>
      </c>
    </row>
    <row r="386" spans="1:7" x14ac:dyDescent="0.2">
      <c r="A386" s="1186" t="s">
        <v>1572</v>
      </c>
      <c r="B386" s="1186" t="s">
        <v>850</v>
      </c>
      <c r="C386" s="1186">
        <v>3</v>
      </c>
      <c r="D386" s="1186">
        <v>378</v>
      </c>
      <c r="E386" s="1186">
        <v>2020</v>
      </c>
      <c r="F386" s="1186">
        <v>3</v>
      </c>
      <c r="G386" s="1186">
        <v>1077589</v>
      </c>
    </row>
    <row r="387" spans="1:7" x14ac:dyDescent="0.2">
      <c r="A387" s="1186" t="s">
        <v>1572</v>
      </c>
      <c r="B387" s="1186" t="s">
        <v>850</v>
      </c>
      <c r="C387" s="1186">
        <v>4</v>
      </c>
      <c r="D387" s="1186">
        <v>379</v>
      </c>
      <c r="E387" s="1186">
        <v>2020</v>
      </c>
      <c r="F387" s="1186">
        <v>4</v>
      </c>
      <c r="G387" s="1186">
        <v>1140448</v>
      </c>
    </row>
    <row r="388" spans="1:7" x14ac:dyDescent="0.2">
      <c r="A388" s="1186" t="s">
        <v>1572</v>
      </c>
      <c r="B388" s="1186" t="s">
        <v>850</v>
      </c>
      <c r="C388" s="1186">
        <v>5</v>
      </c>
      <c r="D388" s="1186">
        <v>189</v>
      </c>
      <c r="E388" s="1186">
        <v>2020</v>
      </c>
      <c r="F388" s="1186">
        <v>5</v>
      </c>
      <c r="G388" s="1186">
        <v>1132267</v>
      </c>
    </row>
    <row r="389" spans="1:7" x14ac:dyDescent="0.2">
      <c r="A389" s="1186" t="s">
        <v>1572</v>
      </c>
      <c r="B389" s="1186" t="s">
        <v>851</v>
      </c>
      <c r="C389" s="1186"/>
      <c r="D389" s="1186">
        <v>1</v>
      </c>
      <c r="E389" s="1186"/>
      <c r="F389" s="1186"/>
      <c r="G389" s="1186"/>
    </row>
    <row r="390" spans="1:7" x14ac:dyDescent="0.2">
      <c r="A390" s="1186" t="s">
        <v>1572</v>
      </c>
      <c r="B390" s="1186" t="s">
        <v>851</v>
      </c>
      <c r="C390" s="1186">
        <v>1</v>
      </c>
      <c r="D390" s="1186">
        <v>533</v>
      </c>
      <c r="E390" s="1186">
        <v>2020</v>
      </c>
      <c r="F390" s="1186">
        <v>1</v>
      </c>
      <c r="G390" s="1186">
        <v>1057767</v>
      </c>
    </row>
    <row r="391" spans="1:7" x14ac:dyDescent="0.2">
      <c r="A391" s="1186" t="s">
        <v>1572</v>
      </c>
      <c r="B391" s="1186" t="s">
        <v>851</v>
      </c>
      <c r="C391" s="1186">
        <v>2</v>
      </c>
      <c r="D391" s="1186">
        <v>381</v>
      </c>
      <c r="E391" s="1186">
        <v>2020</v>
      </c>
      <c r="F391" s="1186">
        <v>2</v>
      </c>
      <c r="G391" s="1186">
        <v>1057929</v>
      </c>
    </row>
    <row r="392" spans="1:7" x14ac:dyDescent="0.2">
      <c r="A392" s="1186" t="s">
        <v>1572</v>
      </c>
      <c r="B392" s="1186" t="s">
        <v>851</v>
      </c>
      <c r="C392" s="1186">
        <v>3</v>
      </c>
      <c r="D392" s="1186">
        <v>361</v>
      </c>
      <c r="E392" s="1186">
        <v>2020</v>
      </c>
      <c r="F392" s="1186">
        <v>3</v>
      </c>
      <c r="G392" s="1186">
        <v>1077589</v>
      </c>
    </row>
    <row r="393" spans="1:7" x14ac:dyDescent="0.2">
      <c r="A393" s="1186" t="s">
        <v>1572</v>
      </c>
      <c r="B393" s="1186" t="s">
        <v>851</v>
      </c>
      <c r="C393" s="1186">
        <v>4</v>
      </c>
      <c r="D393" s="1186">
        <v>362</v>
      </c>
      <c r="E393" s="1186">
        <v>2020</v>
      </c>
      <c r="F393" s="1186">
        <v>4</v>
      </c>
      <c r="G393" s="1186">
        <v>1140448</v>
      </c>
    </row>
    <row r="394" spans="1:7" x14ac:dyDescent="0.2">
      <c r="A394" s="1186" t="s">
        <v>1572</v>
      </c>
      <c r="B394" s="1186" t="s">
        <v>851</v>
      </c>
      <c r="C394" s="1186">
        <v>5</v>
      </c>
      <c r="D394" s="1186">
        <v>178</v>
      </c>
      <c r="E394" s="1186">
        <v>2020</v>
      </c>
      <c r="F394" s="1186">
        <v>5</v>
      </c>
      <c r="G394" s="1186">
        <v>1132267</v>
      </c>
    </row>
    <row r="395" spans="1:7" x14ac:dyDescent="0.2">
      <c r="A395" s="1186" t="s">
        <v>1572</v>
      </c>
      <c r="B395" s="1186" t="s">
        <v>852</v>
      </c>
      <c r="C395" s="1186"/>
      <c r="D395" s="1186">
        <v>9</v>
      </c>
      <c r="E395" s="1186"/>
      <c r="F395" s="1186"/>
      <c r="G395" s="1186"/>
    </row>
    <row r="396" spans="1:7" x14ac:dyDescent="0.2">
      <c r="A396" s="1186" t="s">
        <v>1572</v>
      </c>
      <c r="B396" s="1186" t="s">
        <v>852</v>
      </c>
      <c r="C396" s="1186">
        <v>1</v>
      </c>
      <c r="D396" s="1186">
        <v>214</v>
      </c>
      <c r="E396" s="1186">
        <v>2020</v>
      </c>
      <c r="F396" s="1186">
        <v>1</v>
      </c>
      <c r="G396" s="1186">
        <v>1057767</v>
      </c>
    </row>
    <row r="397" spans="1:7" x14ac:dyDescent="0.2">
      <c r="A397" s="1186" t="s">
        <v>1572</v>
      </c>
      <c r="B397" s="1186" t="s">
        <v>852</v>
      </c>
      <c r="C397" s="1186">
        <v>2</v>
      </c>
      <c r="D397" s="1186">
        <v>222</v>
      </c>
      <c r="E397" s="1186">
        <v>2020</v>
      </c>
      <c r="F397" s="1186">
        <v>2</v>
      </c>
      <c r="G397" s="1186">
        <v>1057929</v>
      </c>
    </row>
    <row r="398" spans="1:7" x14ac:dyDescent="0.2">
      <c r="A398" s="1186" t="s">
        <v>1572</v>
      </c>
      <c r="B398" s="1186" t="s">
        <v>852</v>
      </c>
      <c r="C398" s="1186">
        <v>3</v>
      </c>
      <c r="D398" s="1186">
        <v>271</v>
      </c>
      <c r="E398" s="1186">
        <v>2020</v>
      </c>
      <c r="F398" s="1186">
        <v>3</v>
      </c>
      <c r="G398" s="1186">
        <v>1077589</v>
      </c>
    </row>
    <row r="399" spans="1:7" x14ac:dyDescent="0.2">
      <c r="A399" s="1186" t="s">
        <v>1572</v>
      </c>
      <c r="B399" s="1186" t="s">
        <v>852</v>
      </c>
      <c r="C399" s="1186">
        <v>4</v>
      </c>
      <c r="D399" s="1186">
        <v>316</v>
      </c>
      <c r="E399" s="1186">
        <v>2020</v>
      </c>
      <c r="F399" s="1186">
        <v>4</v>
      </c>
      <c r="G399" s="1186">
        <v>1140448</v>
      </c>
    </row>
    <row r="400" spans="1:7" x14ac:dyDescent="0.2">
      <c r="A400" s="1186" t="s">
        <v>1572</v>
      </c>
      <c r="B400" s="1186" t="s">
        <v>852</v>
      </c>
      <c r="C400" s="1186">
        <v>5</v>
      </c>
      <c r="D400" s="1186">
        <v>189</v>
      </c>
      <c r="E400" s="1186">
        <v>2020</v>
      </c>
      <c r="F400" s="1186">
        <v>5</v>
      </c>
      <c r="G400" s="1186">
        <v>1132267</v>
      </c>
    </row>
    <row r="401" spans="1:7" x14ac:dyDescent="0.2">
      <c r="A401" s="1186" t="s">
        <v>1572</v>
      </c>
      <c r="B401" s="1186" t="s">
        <v>853</v>
      </c>
      <c r="C401" s="1186"/>
      <c r="D401" s="1186">
        <v>9</v>
      </c>
      <c r="E401" s="1186"/>
      <c r="F401" s="1186"/>
      <c r="G401" s="1186"/>
    </row>
    <row r="402" spans="1:7" x14ac:dyDescent="0.2">
      <c r="A402" s="1186" t="s">
        <v>1572</v>
      </c>
      <c r="B402" s="1186" t="s">
        <v>853</v>
      </c>
      <c r="C402" s="1186">
        <v>1</v>
      </c>
      <c r="D402" s="1186">
        <v>8842</v>
      </c>
      <c r="E402" s="1186">
        <v>2020</v>
      </c>
      <c r="F402" s="1186">
        <v>1</v>
      </c>
      <c r="G402" s="1186">
        <v>1057767</v>
      </c>
    </row>
    <row r="403" spans="1:7" x14ac:dyDescent="0.2">
      <c r="A403" s="1186" t="s">
        <v>1572</v>
      </c>
      <c r="B403" s="1186" t="s">
        <v>853</v>
      </c>
      <c r="C403" s="1186">
        <v>2</v>
      </c>
      <c r="D403" s="1186">
        <v>8216</v>
      </c>
      <c r="E403" s="1186">
        <v>2020</v>
      </c>
      <c r="F403" s="1186">
        <v>2</v>
      </c>
      <c r="G403" s="1186">
        <v>1057929</v>
      </c>
    </row>
    <row r="404" spans="1:7" x14ac:dyDescent="0.2">
      <c r="A404" s="1186" t="s">
        <v>1572</v>
      </c>
      <c r="B404" s="1186" t="s">
        <v>853</v>
      </c>
      <c r="C404" s="1186">
        <v>3</v>
      </c>
      <c r="D404" s="1186">
        <v>7570</v>
      </c>
      <c r="E404" s="1186">
        <v>2020</v>
      </c>
      <c r="F404" s="1186">
        <v>3</v>
      </c>
      <c r="G404" s="1186">
        <v>1077589</v>
      </c>
    </row>
    <row r="405" spans="1:7" x14ac:dyDescent="0.2">
      <c r="A405" s="1186" t="s">
        <v>1572</v>
      </c>
      <c r="B405" s="1186" t="s">
        <v>853</v>
      </c>
      <c r="C405" s="1186">
        <v>4</v>
      </c>
      <c r="D405" s="1186">
        <v>6809</v>
      </c>
      <c r="E405" s="1186">
        <v>2020</v>
      </c>
      <c r="F405" s="1186">
        <v>4</v>
      </c>
      <c r="G405" s="1186">
        <v>1140448</v>
      </c>
    </row>
    <row r="406" spans="1:7" x14ac:dyDescent="0.2">
      <c r="A406" s="1186" t="s">
        <v>1572</v>
      </c>
      <c r="B406" s="1186" t="s">
        <v>853</v>
      </c>
      <c r="C406" s="1186">
        <v>5</v>
      </c>
      <c r="D406" s="1186">
        <v>4363</v>
      </c>
      <c r="E406" s="1186">
        <v>2020</v>
      </c>
      <c r="F406" s="1186">
        <v>5</v>
      </c>
      <c r="G406" s="1186">
        <v>1132267</v>
      </c>
    </row>
    <row r="407" spans="1:7" x14ac:dyDescent="0.2">
      <c r="A407" s="1186" t="s">
        <v>1572</v>
      </c>
      <c r="B407" s="1186" t="s">
        <v>854</v>
      </c>
      <c r="C407" s="1186"/>
      <c r="D407" s="1186">
        <v>13</v>
      </c>
      <c r="E407" s="1186"/>
      <c r="F407" s="1186"/>
      <c r="G407" s="1186"/>
    </row>
    <row r="408" spans="1:7" x14ac:dyDescent="0.2">
      <c r="A408" s="1186" t="s">
        <v>1572</v>
      </c>
      <c r="B408" s="1186" t="s">
        <v>854</v>
      </c>
      <c r="C408" s="1186">
        <v>1</v>
      </c>
      <c r="D408" s="1186">
        <v>2624</v>
      </c>
      <c r="E408" s="1186">
        <v>2020</v>
      </c>
      <c r="F408" s="1186">
        <v>1</v>
      </c>
      <c r="G408" s="1186">
        <v>1057767</v>
      </c>
    </row>
    <row r="409" spans="1:7" x14ac:dyDescent="0.2">
      <c r="A409" s="1186" t="s">
        <v>1572</v>
      </c>
      <c r="B409" s="1186" t="s">
        <v>854</v>
      </c>
      <c r="C409" s="1186">
        <v>2</v>
      </c>
      <c r="D409" s="1186">
        <v>2249</v>
      </c>
      <c r="E409" s="1186">
        <v>2020</v>
      </c>
      <c r="F409" s="1186">
        <v>2</v>
      </c>
      <c r="G409" s="1186">
        <v>1057929</v>
      </c>
    </row>
    <row r="410" spans="1:7" x14ac:dyDescent="0.2">
      <c r="A410" s="1186" t="s">
        <v>1572</v>
      </c>
      <c r="B410" s="1186" t="s">
        <v>854</v>
      </c>
      <c r="C410" s="1186">
        <v>3</v>
      </c>
      <c r="D410" s="1186">
        <v>1850</v>
      </c>
      <c r="E410" s="1186">
        <v>2020</v>
      </c>
      <c r="F410" s="1186">
        <v>3</v>
      </c>
      <c r="G410" s="1186">
        <v>1077589</v>
      </c>
    </row>
    <row r="411" spans="1:7" x14ac:dyDescent="0.2">
      <c r="A411" s="1186" t="s">
        <v>1572</v>
      </c>
      <c r="B411" s="1186" t="s">
        <v>854</v>
      </c>
      <c r="C411" s="1186">
        <v>4</v>
      </c>
      <c r="D411" s="1186">
        <v>1655</v>
      </c>
      <c r="E411" s="1186">
        <v>2020</v>
      </c>
      <c r="F411" s="1186">
        <v>4</v>
      </c>
      <c r="G411" s="1186">
        <v>1140448</v>
      </c>
    </row>
    <row r="412" spans="1:7" x14ac:dyDescent="0.2">
      <c r="A412" s="1186" t="s">
        <v>1572</v>
      </c>
      <c r="B412" s="1186" t="s">
        <v>854</v>
      </c>
      <c r="C412" s="1186">
        <v>5</v>
      </c>
      <c r="D412" s="1186">
        <v>1126</v>
      </c>
      <c r="E412" s="1186">
        <v>2020</v>
      </c>
      <c r="F412" s="1186">
        <v>5</v>
      </c>
      <c r="G412" s="1186">
        <v>1132267</v>
      </c>
    </row>
    <row r="413" spans="1:7" x14ac:dyDescent="0.2">
      <c r="A413" s="1186" t="s">
        <v>1572</v>
      </c>
      <c r="B413" s="1186" t="s">
        <v>855</v>
      </c>
      <c r="C413" s="1186">
        <v>1</v>
      </c>
      <c r="D413" s="1186">
        <v>488</v>
      </c>
      <c r="E413" s="1186">
        <v>2020</v>
      </c>
      <c r="F413" s="1186">
        <v>1</v>
      </c>
      <c r="G413" s="1186">
        <v>1057767</v>
      </c>
    </row>
    <row r="414" spans="1:7" x14ac:dyDescent="0.2">
      <c r="A414" s="1186" t="s">
        <v>1572</v>
      </c>
      <c r="B414" s="1186" t="s">
        <v>855</v>
      </c>
      <c r="C414" s="1186">
        <v>2</v>
      </c>
      <c r="D414" s="1186">
        <v>315</v>
      </c>
      <c r="E414" s="1186">
        <v>2020</v>
      </c>
      <c r="F414" s="1186">
        <v>2</v>
      </c>
      <c r="G414" s="1186">
        <v>1057929</v>
      </c>
    </row>
    <row r="415" spans="1:7" x14ac:dyDescent="0.2">
      <c r="A415" s="1186" t="s">
        <v>1572</v>
      </c>
      <c r="B415" s="1186" t="s">
        <v>855</v>
      </c>
      <c r="C415" s="1186">
        <v>3</v>
      </c>
      <c r="D415" s="1186">
        <v>290</v>
      </c>
      <c r="E415" s="1186">
        <v>2020</v>
      </c>
      <c r="F415" s="1186">
        <v>3</v>
      </c>
      <c r="G415" s="1186">
        <v>1077589</v>
      </c>
    </row>
    <row r="416" spans="1:7" x14ac:dyDescent="0.2">
      <c r="A416" s="1186" t="s">
        <v>1572</v>
      </c>
      <c r="B416" s="1186" t="s">
        <v>855</v>
      </c>
      <c r="C416" s="1186">
        <v>4</v>
      </c>
      <c r="D416" s="1186">
        <v>251</v>
      </c>
      <c r="E416" s="1186">
        <v>2020</v>
      </c>
      <c r="F416" s="1186">
        <v>4</v>
      </c>
      <c r="G416" s="1186">
        <v>1140448</v>
      </c>
    </row>
    <row r="417" spans="1:7" x14ac:dyDescent="0.2">
      <c r="A417" s="1186" t="s">
        <v>1572</v>
      </c>
      <c r="B417" s="1186" t="s">
        <v>855</v>
      </c>
      <c r="C417" s="1186">
        <v>5</v>
      </c>
      <c r="D417" s="1186">
        <v>150</v>
      </c>
      <c r="E417" s="1186">
        <v>2020</v>
      </c>
      <c r="F417" s="1186">
        <v>5</v>
      </c>
      <c r="G417" s="1186">
        <v>1132267</v>
      </c>
    </row>
    <row r="418" spans="1:7" x14ac:dyDescent="0.2">
      <c r="A418" s="1186" t="s">
        <v>1572</v>
      </c>
      <c r="B418" s="1186" t="s">
        <v>308</v>
      </c>
      <c r="C418" s="1186"/>
      <c r="D418" s="1186">
        <v>39</v>
      </c>
      <c r="E418" s="1186"/>
      <c r="F418" s="1186"/>
      <c r="G418" s="1186"/>
    </row>
    <row r="419" spans="1:7" x14ac:dyDescent="0.2">
      <c r="A419" s="1186" t="s">
        <v>1572</v>
      </c>
      <c r="B419" s="1186" t="s">
        <v>308</v>
      </c>
      <c r="C419" s="1186">
        <v>1</v>
      </c>
      <c r="D419" s="1186">
        <v>5572</v>
      </c>
      <c r="E419" s="1186">
        <v>2020</v>
      </c>
      <c r="F419" s="1186">
        <v>1</v>
      </c>
      <c r="G419" s="1186">
        <v>1057767</v>
      </c>
    </row>
    <row r="420" spans="1:7" x14ac:dyDescent="0.2">
      <c r="A420" s="1186" t="s">
        <v>1572</v>
      </c>
      <c r="B420" s="1186" t="s">
        <v>308</v>
      </c>
      <c r="C420" s="1186">
        <v>2</v>
      </c>
      <c r="D420" s="1186">
        <v>3197</v>
      </c>
      <c r="E420" s="1186">
        <v>2020</v>
      </c>
      <c r="F420" s="1186">
        <v>2</v>
      </c>
      <c r="G420" s="1186">
        <v>1057929</v>
      </c>
    </row>
    <row r="421" spans="1:7" x14ac:dyDescent="0.2">
      <c r="A421" s="1186" t="s">
        <v>1572</v>
      </c>
      <c r="B421" s="1186" t="s">
        <v>308</v>
      </c>
      <c r="C421" s="1186">
        <v>3</v>
      </c>
      <c r="D421" s="1186">
        <v>2509</v>
      </c>
      <c r="E421" s="1186">
        <v>2020</v>
      </c>
      <c r="F421" s="1186">
        <v>3</v>
      </c>
      <c r="G421" s="1186">
        <v>1077589</v>
      </c>
    </row>
    <row r="422" spans="1:7" x14ac:dyDescent="0.2">
      <c r="A422" s="1186" t="s">
        <v>1572</v>
      </c>
      <c r="B422" s="1186" t="s">
        <v>308</v>
      </c>
      <c r="C422" s="1186">
        <v>4</v>
      </c>
      <c r="D422" s="1186">
        <v>2428</v>
      </c>
      <c r="E422" s="1186">
        <v>2020</v>
      </c>
      <c r="F422" s="1186">
        <v>4</v>
      </c>
      <c r="G422" s="1186">
        <v>1140448</v>
      </c>
    </row>
    <row r="423" spans="1:7" x14ac:dyDescent="0.2">
      <c r="A423" s="1186" t="s">
        <v>1572</v>
      </c>
      <c r="B423" s="1186" t="s">
        <v>308</v>
      </c>
      <c r="C423" s="1186">
        <v>5</v>
      </c>
      <c r="D423" s="1186">
        <v>1385</v>
      </c>
      <c r="E423" s="1186">
        <v>2020</v>
      </c>
      <c r="F423" s="1186">
        <v>5</v>
      </c>
      <c r="G423" s="1186">
        <v>1132267</v>
      </c>
    </row>
  </sheetData>
  <pageMargins left="0.7" right="0.7" top="0.75" bottom="0.75" header="0.3" footer="0.3"/>
  <pageSetup paperSize="9" fitToHeight="50" orientation="landscape" r:id="rId1"/>
  <legacyDrawing r:id="rId2"/>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pageSetUpPr fitToPage="1"/>
  </sheetPr>
  <dimension ref="A1:G495"/>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23.42578125" bestFit="1" customWidth="1"/>
    <col min="3" max="3" width="10.5703125" bestFit="1" customWidth="1"/>
    <col min="4" max="4" width="5.85546875" bestFit="1" customWidth="1"/>
    <col min="5" max="5" width="6.28515625" bestFit="1" customWidth="1"/>
    <col min="6" max="6" width="10.5703125" bestFit="1" customWidth="1"/>
    <col min="7" max="7" width="7.85546875" bestFit="1" customWidth="1"/>
  </cols>
  <sheetData>
    <row r="1" spans="1:7" x14ac:dyDescent="0.2"/>
    <row r="4" spans="1:7" x14ac:dyDescent="0.2">
      <c r="A4" s="1223" t="s">
        <v>464</v>
      </c>
      <c r="B4" s="1223" t="s">
        <v>1971</v>
      </c>
      <c r="C4" s="1223" t="s">
        <v>1974</v>
      </c>
      <c r="D4" s="1223" t="s">
        <v>11</v>
      </c>
      <c r="E4" s="1223" t="s">
        <v>1632</v>
      </c>
      <c r="F4" s="1223" t="s">
        <v>1975</v>
      </c>
      <c r="G4" s="1223" t="s">
        <v>1582</v>
      </c>
    </row>
    <row r="5" spans="1:7" x14ac:dyDescent="0.2">
      <c r="A5" s="1186" t="s">
        <v>15</v>
      </c>
      <c r="B5" s="1186" t="s">
        <v>828</v>
      </c>
      <c r="C5" s="1186"/>
      <c r="D5" s="1186">
        <v>1</v>
      </c>
      <c r="E5" s="1186"/>
      <c r="F5" s="1186"/>
      <c r="G5" s="1186"/>
    </row>
    <row r="6" spans="1:7" x14ac:dyDescent="0.2">
      <c r="A6" s="1186" t="s">
        <v>15</v>
      </c>
      <c r="B6" s="1186" t="s">
        <v>828</v>
      </c>
      <c r="C6" s="1186">
        <v>1</v>
      </c>
      <c r="D6" s="1186">
        <v>2817</v>
      </c>
      <c r="E6" s="1186">
        <v>2012</v>
      </c>
      <c r="F6" s="1186">
        <v>1</v>
      </c>
      <c r="G6" s="1186">
        <v>1819758</v>
      </c>
    </row>
    <row r="7" spans="1:7" x14ac:dyDescent="0.2">
      <c r="A7" s="1186" t="s">
        <v>15</v>
      </c>
      <c r="B7" s="1186" t="s">
        <v>828</v>
      </c>
      <c r="C7" s="1186">
        <v>2</v>
      </c>
      <c r="D7" s="1186">
        <v>1945</v>
      </c>
      <c r="E7" s="1186">
        <v>2012</v>
      </c>
      <c r="F7" s="1186">
        <v>2</v>
      </c>
      <c r="G7" s="1186">
        <v>1946513</v>
      </c>
    </row>
    <row r="8" spans="1:7" x14ac:dyDescent="0.2">
      <c r="A8" s="1186" t="s">
        <v>15</v>
      </c>
      <c r="B8" s="1186" t="s">
        <v>828</v>
      </c>
      <c r="C8" s="1186">
        <v>3</v>
      </c>
      <c r="D8" s="1186">
        <v>356</v>
      </c>
      <c r="E8" s="1186">
        <v>2012</v>
      </c>
      <c r="F8" s="1186">
        <v>3</v>
      </c>
      <c r="G8" s="1186">
        <v>461593</v>
      </c>
    </row>
    <row r="9" spans="1:7" x14ac:dyDescent="0.2">
      <c r="A9" s="1186" t="s">
        <v>15</v>
      </c>
      <c r="B9" s="1186" t="s">
        <v>828</v>
      </c>
      <c r="C9" s="1186">
        <v>4</v>
      </c>
      <c r="D9" s="1186">
        <v>143</v>
      </c>
      <c r="E9" s="1186">
        <v>2012</v>
      </c>
      <c r="F9" s="1186">
        <v>4</v>
      </c>
      <c r="G9" s="1186">
        <v>193502</v>
      </c>
    </row>
    <row r="10" spans="1:7" x14ac:dyDescent="0.2">
      <c r="A10" s="1186" t="s">
        <v>15</v>
      </c>
      <c r="B10" s="1186" t="s">
        <v>828</v>
      </c>
      <c r="C10" s="1186">
        <v>5</v>
      </c>
      <c r="D10" s="1186">
        <v>373</v>
      </c>
      <c r="E10" s="1186">
        <v>2012</v>
      </c>
      <c r="F10" s="1186">
        <v>5</v>
      </c>
      <c r="G10" s="1186">
        <v>576605</v>
      </c>
    </row>
    <row r="11" spans="1:7" x14ac:dyDescent="0.2">
      <c r="A11" s="1186" t="s">
        <v>15</v>
      </c>
      <c r="B11" s="1186" t="s">
        <v>828</v>
      </c>
      <c r="C11" s="1186">
        <v>6</v>
      </c>
      <c r="D11" s="1186">
        <v>194</v>
      </c>
      <c r="E11" s="1186">
        <v>2012</v>
      </c>
      <c r="F11" s="1186">
        <v>6</v>
      </c>
      <c r="G11" s="1186">
        <v>315629</v>
      </c>
    </row>
    <row r="12" spans="1:7" x14ac:dyDescent="0.2">
      <c r="A12" s="1186" t="s">
        <v>15</v>
      </c>
      <c r="B12" s="1186" t="s">
        <v>850</v>
      </c>
      <c r="C12" s="1186">
        <v>1</v>
      </c>
      <c r="D12" s="1186">
        <v>1032</v>
      </c>
      <c r="E12" s="1186">
        <v>2012</v>
      </c>
      <c r="F12" s="1186">
        <v>1</v>
      </c>
      <c r="G12" s="1186">
        <v>1819758</v>
      </c>
    </row>
    <row r="13" spans="1:7" x14ac:dyDescent="0.2">
      <c r="A13" s="1186" t="s">
        <v>15</v>
      </c>
      <c r="B13" s="1186" t="s">
        <v>850</v>
      </c>
      <c r="C13" s="1186">
        <v>2</v>
      </c>
      <c r="D13" s="1186">
        <v>789</v>
      </c>
      <c r="E13" s="1186">
        <v>2012</v>
      </c>
      <c r="F13" s="1186">
        <v>2</v>
      </c>
      <c r="G13" s="1186">
        <v>1946513</v>
      </c>
    </row>
    <row r="14" spans="1:7" x14ac:dyDescent="0.2">
      <c r="A14" s="1186" t="s">
        <v>15</v>
      </c>
      <c r="B14" s="1186" t="s">
        <v>850</v>
      </c>
      <c r="C14" s="1186">
        <v>3</v>
      </c>
      <c r="D14" s="1186">
        <v>126</v>
      </c>
      <c r="E14" s="1186">
        <v>2012</v>
      </c>
      <c r="F14" s="1186">
        <v>3</v>
      </c>
      <c r="G14" s="1186">
        <v>461593</v>
      </c>
    </row>
    <row r="15" spans="1:7" x14ac:dyDescent="0.2">
      <c r="A15" s="1186" t="s">
        <v>15</v>
      </c>
      <c r="B15" s="1186" t="s">
        <v>850</v>
      </c>
      <c r="C15" s="1186">
        <v>4</v>
      </c>
      <c r="D15" s="1186">
        <v>81</v>
      </c>
      <c r="E15" s="1186">
        <v>2012</v>
      </c>
      <c r="F15" s="1186">
        <v>4</v>
      </c>
      <c r="G15" s="1186">
        <v>193502</v>
      </c>
    </row>
    <row r="16" spans="1:7" x14ac:dyDescent="0.2">
      <c r="A16" s="1186" t="s">
        <v>15</v>
      </c>
      <c r="B16" s="1186" t="s">
        <v>850</v>
      </c>
      <c r="C16" s="1186">
        <v>5</v>
      </c>
      <c r="D16" s="1186">
        <v>226</v>
      </c>
      <c r="E16" s="1186">
        <v>2012</v>
      </c>
      <c r="F16" s="1186">
        <v>5</v>
      </c>
      <c r="G16" s="1186">
        <v>576605</v>
      </c>
    </row>
    <row r="17" spans="1:7" x14ac:dyDescent="0.2">
      <c r="A17" s="1186" t="s">
        <v>15</v>
      </c>
      <c r="B17" s="1186" t="s">
        <v>850</v>
      </c>
      <c r="C17" s="1186">
        <v>6</v>
      </c>
      <c r="D17" s="1186">
        <v>154</v>
      </c>
      <c r="E17" s="1186">
        <v>2012</v>
      </c>
      <c r="F17" s="1186">
        <v>6</v>
      </c>
      <c r="G17" s="1186">
        <v>315629</v>
      </c>
    </row>
    <row r="18" spans="1:7" x14ac:dyDescent="0.2">
      <c r="A18" s="1186" t="s">
        <v>15</v>
      </c>
      <c r="B18" s="1186" t="s">
        <v>851</v>
      </c>
      <c r="C18" s="1186"/>
      <c r="D18" s="1186">
        <v>4</v>
      </c>
      <c r="E18" s="1186"/>
      <c r="F18" s="1186"/>
      <c r="G18" s="1186"/>
    </row>
    <row r="19" spans="1:7" x14ac:dyDescent="0.2">
      <c r="A19" s="1186" t="s">
        <v>15</v>
      </c>
      <c r="B19" s="1186" t="s">
        <v>851</v>
      </c>
      <c r="C19" s="1186">
        <v>1</v>
      </c>
      <c r="D19" s="1186">
        <v>678</v>
      </c>
      <c r="E19" s="1186">
        <v>2012</v>
      </c>
      <c r="F19" s="1186">
        <v>1</v>
      </c>
      <c r="G19" s="1186">
        <v>1819758</v>
      </c>
    </row>
    <row r="20" spans="1:7" x14ac:dyDescent="0.2">
      <c r="A20" s="1186" t="s">
        <v>15</v>
      </c>
      <c r="B20" s="1186" t="s">
        <v>851</v>
      </c>
      <c r="C20" s="1186">
        <v>2</v>
      </c>
      <c r="D20" s="1186">
        <v>634</v>
      </c>
      <c r="E20" s="1186">
        <v>2012</v>
      </c>
      <c r="F20" s="1186">
        <v>2</v>
      </c>
      <c r="G20" s="1186">
        <v>1946513</v>
      </c>
    </row>
    <row r="21" spans="1:7" x14ac:dyDescent="0.2">
      <c r="A21" s="1186" t="s">
        <v>15</v>
      </c>
      <c r="B21" s="1186" t="s">
        <v>851</v>
      </c>
      <c r="C21" s="1186">
        <v>3</v>
      </c>
      <c r="D21" s="1186">
        <v>148</v>
      </c>
      <c r="E21" s="1186">
        <v>2012</v>
      </c>
      <c r="F21" s="1186">
        <v>3</v>
      </c>
      <c r="G21" s="1186">
        <v>461593</v>
      </c>
    </row>
    <row r="22" spans="1:7" x14ac:dyDescent="0.2">
      <c r="A22" s="1186" t="s">
        <v>15</v>
      </c>
      <c r="B22" s="1186" t="s">
        <v>851</v>
      </c>
      <c r="C22" s="1186">
        <v>4</v>
      </c>
      <c r="D22" s="1186">
        <v>36</v>
      </c>
      <c r="E22" s="1186">
        <v>2012</v>
      </c>
      <c r="F22" s="1186">
        <v>4</v>
      </c>
      <c r="G22" s="1186">
        <v>193502</v>
      </c>
    </row>
    <row r="23" spans="1:7" x14ac:dyDescent="0.2">
      <c r="A23" s="1186" t="s">
        <v>15</v>
      </c>
      <c r="B23" s="1186" t="s">
        <v>851</v>
      </c>
      <c r="C23" s="1186">
        <v>5</v>
      </c>
      <c r="D23" s="1186">
        <v>383</v>
      </c>
      <c r="E23" s="1186">
        <v>2012</v>
      </c>
      <c r="F23" s="1186">
        <v>5</v>
      </c>
      <c r="G23" s="1186">
        <v>576605</v>
      </c>
    </row>
    <row r="24" spans="1:7" x14ac:dyDescent="0.2">
      <c r="A24" s="1186" t="s">
        <v>15</v>
      </c>
      <c r="B24" s="1186" t="s">
        <v>851</v>
      </c>
      <c r="C24" s="1186">
        <v>6</v>
      </c>
      <c r="D24" s="1186">
        <v>151</v>
      </c>
      <c r="E24" s="1186">
        <v>2012</v>
      </c>
      <c r="F24" s="1186">
        <v>6</v>
      </c>
      <c r="G24" s="1186">
        <v>315629</v>
      </c>
    </row>
    <row r="25" spans="1:7" x14ac:dyDescent="0.2">
      <c r="A25" s="1186" t="s">
        <v>15</v>
      </c>
      <c r="B25" s="1186" t="s">
        <v>852</v>
      </c>
      <c r="C25" s="1186"/>
      <c r="D25" s="1186">
        <v>5</v>
      </c>
      <c r="E25" s="1186"/>
      <c r="F25" s="1186"/>
      <c r="G25" s="1186"/>
    </row>
    <row r="26" spans="1:7" x14ac:dyDescent="0.2">
      <c r="A26" s="1186" t="s">
        <v>15</v>
      </c>
      <c r="B26" s="1186" t="s">
        <v>852</v>
      </c>
      <c r="C26" s="1186">
        <v>1</v>
      </c>
      <c r="D26" s="1186">
        <v>267</v>
      </c>
      <c r="E26" s="1186">
        <v>2012</v>
      </c>
      <c r="F26" s="1186">
        <v>1</v>
      </c>
      <c r="G26" s="1186">
        <v>1819758</v>
      </c>
    </row>
    <row r="27" spans="1:7" x14ac:dyDescent="0.2">
      <c r="A27" s="1186" t="s">
        <v>15</v>
      </c>
      <c r="B27" s="1186" t="s">
        <v>852</v>
      </c>
      <c r="C27" s="1186">
        <v>2</v>
      </c>
      <c r="D27" s="1186">
        <v>251</v>
      </c>
      <c r="E27" s="1186">
        <v>2012</v>
      </c>
      <c r="F27" s="1186">
        <v>2</v>
      </c>
      <c r="G27" s="1186">
        <v>1946513</v>
      </c>
    </row>
    <row r="28" spans="1:7" x14ac:dyDescent="0.2">
      <c r="A28" s="1186" t="s">
        <v>15</v>
      </c>
      <c r="B28" s="1186" t="s">
        <v>852</v>
      </c>
      <c r="C28" s="1186">
        <v>3</v>
      </c>
      <c r="D28" s="1186">
        <v>47</v>
      </c>
      <c r="E28" s="1186">
        <v>2012</v>
      </c>
      <c r="F28" s="1186">
        <v>3</v>
      </c>
      <c r="G28" s="1186">
        <v>461593</v>
      </c>
    </row>
    <row r="29" spans="1:7" x14ac:dyDescent="0.2">
      <c r="A29" s="1186" t="s">
        <v>15</v>
      </c>
      <c r="B29" s="1186" t="s">
        <v>852</v>
      </c>
      <c r="C29" s="1186">
        <v>4</v>
      </c>
      <c r="D29" s="1186">
        <v>22</v>
      </c>
      <c r="E29" s="1186">
        <v>2012</v>
      </c>
      <c r="F29" s="1186">
        <v>4</v>
      </c>
      <c r="G29" s="1186">
        <v>193502</v>
      </c>
    </row>
    <row r="30" spans="1:7" x14ac:dyDescent="0.2">
      <c r="A30" s="1186" t="s">
        <v>15</v>
      </c>
      <c r="B30" s="1186" t="s">
        <v>852</v>
      </c>
      <c r="C30" s="1186">
        <v>5</v>
      </c>
      <c r="D30" s="1186">
        <v>130</v>
      </c>
      <c r="E30" s="1186">
        <v>2012</v>
      </c>
      <c r="F30" s="1186">
        <v>5</v>
      </c>
      <c r="G30" s="1186">
        <v>576605</v>
      </c>
    </row>
    <row r="31" spans="1:7" x14ac:dyDescent="0.2">
      <c r="A31" s="1186" t="s">
        <v>15</v>
      </c>
      <c r="B31" s="1186" t="s">
        <v>852</v>
      </c>
      <c r="C31" s="1186">
        <v>6</v>
      </c>
      <c r="D31" s="1186">
        <v>93</v>
      </c>
      <c r="E31" s="1186">
        <v>2012</v>
      </c>
      <c r="F31" s="1186">
        <v>6</v>
      </c>
      <c r="G31" s="1186">
        <v>315629</v>
      </c>
    </row>
    <row r="32" spans="1:7" x14ac:dyDescent="0.2">
      <c r="A32" s="1186" t="s">
        <v>15</v>
      </c>
      <c r="B32" s="1186" t="s">
        <v>853</v>
      </c>
      <c r="C32" s="1186"/>
      <c r="D32" s="1186">
        <v>8</v>
      </c>
      <c r="E32" s="1186"/>
      <c r="F32" s="1186"/>
      <c r="G32" s="1186"/>
    </row>
    <row r="33" spans="1:7" x14ac:dyDescent="0.2">
      <c r="A33" s="1186" t="s">
        <v>15</v>
      </c>
      <c r="B33" s="1186" t="s">
        <v>853</v>
      </c>
      <c r="C33" s="1186">
        <v>1</v>
      </c>
      <c r="D33" s="1186">
        <v>16592</v>
      </c>
      <c r="E33" s="1186">
        <v>2012</v>
      </c>
      <c r="F33" s="1186">
        <v>1</v>
      </c>
      <c r="G33" s="1186">
        <v>1819758</v>
      </c>
    </row>
    <row r="34" spans="1:7" x14ac:dyDescent="0.2">
      <c r="A34" s="1186" t="s">
        <v>15</v>
      </c>
      <c r="B34" s="1186" t="s">
        <v>853</v>
      </c>
      <c r="C34" s="1186">
        <v>2</v>
      </c>
      <c r="D34" s="1186">
        <v>11586</v>
      </c>
      <c r="E34" s="1186">
        <v>2012</v>
      </c>
      <c r="F34" s="1186">
        <v>2</v>
      </c>
      <c r="G34" s="1186">
        <v>1946513</v>
      </c>
    </row>
    <row r="35" spans="1:7" x14ac:dyDescent="0.2">
      <c r="A35" s="1186" t="s">
        <v>15</v>
      </c>
      <c r="B35" s="1186" t="s">
        <v>853</v>
      </c>
      <c r="C35" s="1186">
        <v>3</v>
      </c>
      <c r="D35" s="1186">
        <v>1759</v>
      </c>
      <c r="E35" s="1186">
        <v>2012</v>
      </c>
      <c r="F35" s="1186">
        <v>3</v>
      </c>
      <c r="G35" s="1186">
        <v>461593</v>
      </c>
    </row>
    <row r="36" spans="1:7" x14ac:dyDescent="0.2">
      <c r="A36" s="1186" t="s">
        <v>15</v>
      </c>
      <c r="B36" s="1186" t="s">
        <v>853</v>
      </c>
      <c r="C36" s="1186">
        <v>4</v>
      </c>
      <c r="D36" s="1186">
        <v>1122</v>
      </c>
      <c r="E36" s="1186">
        <v>2012</v>
      </c>
      <c r="F36" s="1186">
        <v>4</v>
      </c>
      <c r="G36" s="1186">
        <v>193502</v>
      </c>
    </row>
    <row r="37" spans="1:7" x14ac:dyDescent="0.2">
      <c r="A37" s="1186" t="s">
        <v>15</v>
      </c>
      <c r="B37" s="1186" t="s">
        <v>853</v>
      </c>
      <c r="C37" s="1186">
        <v>5</v>
      </c>
      <c r="D37" s="1186">
        <v>2616</v>
      </c>
      <c r="E37" s="1186">
        <v>2012</v>
      </c>
      <c r="F37" s="1186">
        <v>5</v>
      </c>
      <c r="G37" s="1186">
        <v>576605</v>
      </c>
    </row>
    <row r="38" spans="1:7" x14ac:dyDescent="0.2">
      <c r="A38" s="1186" t="s">
        <v>15</v>
      </c>
      <c r="B38" s="1186" t="s">
        <v>853</v>
      </c>
      <c r="C38" s="1186">
        <v>6</v>
      </c>
      <c r="D38" s="1186">
        <v>1427</v>
      </c>
      <c r="E38" s="1186">
        <v>2012</v>
      </c>
      <c r="F38" s="1186">
        <v>6</v>
      </c>
      <c r="G38" s="1186">
        <v>315629</v>
      </c>
    </row>
    <row r="39" spans="1:7" x14ac:dyDescent="0.2">
      <c r="A39" s="1186" t="s">
        <v>15</v>
      </c>
      <c r="B39" s="1186" t="s">
        <v>854</v>
      </c>
      <c r="C39" s="1186"/>
      <c r="D39" s="1186">
        <v>11</v>
      </c>
      <c r="E39" s="1186"/>
      <c r="F39" s="1186"/>
      <c r="G39" s="1186"/>
    </row>
    <row r="40" spans="1:7" x14ac:dyDescent="0.2">
      <c r="A40" s="1186" t="s">
        <v>15</v>
      </c>
      <c r="B40" s="1186" t="s">
        <v>854</v>
      </c>
      <c r="C40" s="1186">
        <v>1</v>
      </c>
      <c r="D40" s="1186">
        <v>4149</v>
      </c>
      <c r="E40" s="1186">
        <v>2012</v>
      </c>
      <c r="F40" s="1186">
        <v>1</v>
      </c>
      <c r="G40" s="1186">
        <v>1819758</v>
      </c>
    </row>
    <row r="41" spans="1:7" x14ac:dyDescent="0.2">
      <c r="A41" s="1186" t="s">
        <v>15</v>
      </c>
      <c r="B41" s="1186" t="s">
        <v>854</v>
      </c>
      <c r="C41" s="1186">
        <v>2</v>
      </c>
      <c r="D41" s="1186">
        <v>3343</v>
      </c>
      <c r="E41" s="1186">
        <v>2012</v>
      </c>
      <c r="F41" s="1186">
        <v>2</v>
      </c>
      <c r="G41" s="1186">
        <v>1946513</v>
      </c>
    </row>
    <row r="42" spans="1:7" x14ac:dyDescent="0.2">
      <c r="A42" s="1186" t="s">
        <v>15</v>
      </c>
      <c r="B42" s="1186" t="s">
        <v>854</v>
      </c>
      <c r="C42" s="1186">
        <v>3</v>
      </c>
      <c r="D42" s="1186">
        <v>607</v>
      </c>
      <c r="E42" s="1186">
        <v>2012</v>
      </c>
      <c r="F42" s="1186">
        <v>3</v>
      </c>
      <c r="G42" s="1186">
        <v>461593</v>
      </c>
    </row>
    <row r="43" spans="1:7" x14ac:dyDescent="0.2">
      <c r="A43" s="1186" t="s">
        <v>15</v>
      </c>
      <c r="B43" s="1186" t="s">
        <v>854</v>
      </c>
      <c r="C43" s="1186">
        <v>4</v>
      </c>
      <c r="D43" s="1186">
        <v>373</v>
      </c>
      <c r="E43" s="1186">
        <v>2012</v>
      </c>
      <c r="F43" s="1186">
        <v>4</v>
      </c>
      <c r="G43" s="1186">
        <v>193502</v>
      </c>
    </row>
    <row r="44" spans="1:7" x14ac:dyDescent="0.2">
      <c r="A44" s="1186" t="s">
        <v>15</v>
      </c>
      <c r="B44" s="1186" t="s">
        <v>854</v>
      </c>
      <c r="C44" s="1186">
        <v>5</v>
      </c>
      <c r="D44" s="1186">
        <v>870</v>
      </c>
      <c r="E44" s="1186">
        <v>2012</v>
      </c>
      <c r="F44" s="1186">
        <v>5</v>
      </c>
      <c r="G44" s="1186">
        <v>576605</v>
      </c>
    </row>
    <row r="45" spans="1:7" x14ac:dyDescent="0.2">
      <c r="A45" s="1186" t="s">
        <v>15</v>
      </c>
      <c r="B45" s="1186" t="s">
        <v>854</v>
      </c>
      <c r="C45" s="1186">
        <v>6</v>
      </c>
      <c r="D45" s="1186">
        <v>518</v>
      </c>
      <c r="E45" s="1186">
        <v>2012</v>
      </c>
      <c r="F45" s="1186">
        <v>6</v>
      </c>
      <c r="G45" s="1186">
        <v>315629</v>
      </c>
    </row>
    <row r="46" spans="1:7" x14ac:dyDescent="0.2">
      <c r="A46" s="1186" t="s">
        <v>15</v>
      </c>
      <c r="B46" s="1186" t="s">
        <v>855</v>
      </c>
      <c r="C46" s="1186"/>
      <c r="D46" s="1186">
        <v>1</v>
      </c>
      <c r="E46" s="1186"/>
      <c r="F46" s="1186"/>
      <c r="G46" s="1186"/>
    </row>
    <row r="47" spans="1:7" x14ac:dyDescent="0.2">
      <c r="A47" s="1186" t="s">
        <v>15</v>
      </c>
      <c r="B47" s="1186" t="s">
        <v>855</v>
      </c>
      <c r="C47" s="1186">
        <v>1</v>
      </c>
      <c r="D47" s="1186">
        <v>1206</v>
      </c>
      <c r="E47" s="1186">
        <v>2012</v>
      </c>
      <c r="F47" s="1186">
        <v>1</v>
      </c>
      <c r="G47" s="1186">
        <v>1819758</v>
      </c>
    </row>
    <row r="48" spans="1:7" x14ac:dyDescent="0.2">
      <c r="A48" s="1186" t="s">
        <v>15</v>
      </c>
      <c r="B48" s="1186" t="s">
        <v>855</v>
      </c>
      <c r="C48" s="1186">
        <v>2</v>
      </c>
      <c r="D48" s="1186">
        <v>803</v>
      </c>
      <c r="E48" s="1186">
        <v>2012</v>
      </c>
      <c r="F48" s="1186">
        <v>2</v>
      </c>
      <c r="G48" s="1186">
        <v>1946513</v>
      </c>
    </row>
    <row r="49" spans="1:7" x14ac:dyDescent="0.2">
      <c r="A49" s="1186" t="s">
        <v>15</v>
      </c>
      <c r="B49" s="1186" t="s">
        <v>855</v>
      </c>
      <c r="C49" s="1186">
        <v>3</v>
      </c>
      <c r="D49" s="1186">
        <v>98</v>
      </c>
      <c r="E49" s="1186">
        <v>2012</v>
      </c>
      <c r="F49" s="1186">
        <v>3</v>
      </c>
      <c r="G49" s="1186">
        <v>461593</v>
      </c>
    </row>
    <row r="50" spans="1:7" x14ac:dyDescent="0.2">
      <c r="A50" s="1186" t="s">
        <v>15</v>
      </c>
      <c r="B50" s="1186" t="s">
        <v>855</v>
      </c>
      <c r="C50" s="1186">
        <v>4</v>
      </c>
      <c r="D50" s="1186">
        <v>46</v>
      </c>
      <c r="E50" s="1186">
        <v>2012</v>
      </c>
      <c r="F50" s="1186">
        <v>4</v>
      </c>
      <c r="G50" s="1186">
        <v>193502</v>
      </c>
    </row>
    <row r="51" spans="1:7" x14ac:dyDescent="0.2">
      <c r="A51" s="1186" t="s">
        <v>15</v>
      </c>
      <c r="B51" s="1186" t="s">
        <v>855</v>
      </c>
      <c r="C51" s="1186">
        <v>5</v>
      </c>
      <c r="D51" s="1186">
        <v>114</v>
      </c>
      <c r="E51" s="1186">
        <v>2012</v>
      </c>
      <c r="F51" s="1186">
        <v>5</v>
      </c>
      <c r="G51" s="1186">
        <v>576605</v>
      </c>
    </row>
    <row r="52" spans="1:7" x14ac:dyDescent="0.2">
      <c r="A52" s="1186" t="s">
        <v>15</v>
      </c>
      <c r="B52" s="1186" t="s">
        <v>855</v>
      </c>
      <c r="C52" s="1186">
        <v>6</v>
      </c>
      <c r="D52" s="1186">
        <v>39</v>
      </c>
      <c r="E52" s="1186">
        <v>2012</v>
      </c>
      <c r="F52" s="1186">
        <v>6</v>
      </c>
      <c r="G52" s="1186">
        <v>315629</v>
      </c>
    </row>
    <row r="53" spans="1:7" x14ac:dyDescent="0.2">
      <c r="A53" s="1186" t="s">
        <v>15</v>
      </c>
      <c r="B53" s="1186" t="s">
        <v>308</v>
      </c>
      <c r="C53" s="1186"/>
      <c r="D53" s="1186">
        <v>32</v>
      </c>
      <c r="E53" s="1186"/>
      <c r="F53" s="1186"/>
      <c r="G53" s="1186"/>
    </row>
    <row r="54" spans="1:7" x14ac:dyDescent="0.2">
      <c r="A54" s="1186" t="s">
        <v>15</v>
      </c>
      <c r="B54" s="1186" t="s">
        <v>308</v>
      </c>
      <c r="C54" s="1186">
        <v>1</v>
      </c>
      <c r="D54" s="1186">
        <v>5784</v>
      </c>
      <c r="E54" s="1186">
        <v>2012</v>
      </c>
      <c r="F54" s="1186">
        <v>1</v>
      </c>
      <c r="G54" s="1186">
        <v>1819758</v>
      </c>
    </row>
    <row r="55" spans="1:7" x14ac:dyDescent="0.2">
      <c r="A55" s="1186" t="s">
        <v>15</v>
      </c>
      <c r="B55" s="1186" t="s">
        <v>308</v>
      </c>
      <c r="C55" s="1186">
        <v>2</v>
      </c>
      <c r="D55" s="1186">
        <v>5524</v>
      </c>
      <c r="E55" s="1186">
        <v>2012</v>
      </c>
      <c r="F55" s="1186">
        <v>2</v>
      </c>
      <c r="G55" s="1186">
        <v>1946513</v>
      </c>
    </row>
    <row r="56" spans="1:7" x14ac:dyDescent="0.2">
      <c r="A56" s="1186" t="s">
        <v>15</v>
      </c>
      <c r="B56" s="1186" t="s">
        <v>308</v>
      </c>
      <c r="C56" s="1186">
        <v>3</v>
      </c>
      <c r="D56" s="1186">
        <v>819</v>
      </c>
      <c r="E56" s="1186">
        <v>2012</v>
      </c>
      <c r="F56" s="1186">
        <v>3</v>
      </c>
      <c r="G56" s="1186">
        <v>461593</v>
      </c>
    </row>
    <row r="57" spans="1:7" x14ac:dyDescent="0.2">
      <c r="A57" s="1186" t="s">
        <v>15</v>
      </c>
      <c r="B57" s="1186" t="s">
        <v>308</v>
      </c>
      <c r="C57" s="1186">
        <v>4</v>
      </c>
      <c r="D57" s="1186">
        <v>273</v>
      </c>
      <c r="E57" s="1186">
        <v>2012</v>
      </c>
      <c r="F57" s="1186">
        <v>4</v>
      </c>
      <c r="G57" s="1186">
        <v>193502</v>
      </c>
    </row>
    <row r="58" spans="1:7" x14ac:dyDescent="0.2">
      <c r="A58" s="1186" t="s">
        <v>15</v>
      </c>
      <c r="B58" s="1186" t="s">
        <v>308</v>
      </c>
      <c r="C58" s="1186">
        <v>5</v>
      </c>
      <c r="D58" s="1186">
        <v>1096</v>
      </c>
      <c r="E58" s="1186">
        <v>2012</v>
      </c>
      <c r="F58" s="1186">
        <v>5</v>
      </c>
      <c r="G58" s="1186">
        <v>576605</v>
      </c>
    </row>
    <row r="59" spans="1:7" x14ac:dyDescent="0.2">
      <c r="A59" s="1186" t="s">
        <v>15</v>
      </c>
      <c r="B59" s="1186" t="s">
        <v>308</v>
      </c>
      <c r="C59" s="1186">
        <v>6</v>
      </c>
      <c r="D59" s="1186">
        <v>745</v>
      </c>
      <c r="E59" s="1186">
        <v>2012</v>
      </c>
      <c r="F59" s="1186">
        <v>6</v>
      </c>
      <c r="G59" s="1186">
        <v>315629</v>
      </c>
    </row>
    <row r="60" spans="1:7" x14ac:dyDescent="0.2">
      <c r="A60" s="1186" t="s">
        <v>17</v>
      </c>
      <c r="B60" s="1186" t="s">
        <v>828</v>
      </c>
      <c r="C60" s="1186">
        <v>1</v>
      </c>
      <c r="D60" s="1186">
        <v>2519</v>
      </c>
      <c r="E60" s="1186">
        <v>2013</v>
      </c>
      <c r="F60" s="1186">
        <v>1</v>
      </c>
      <c r="G60" s="1186">
        <v>1828026</v>
      </c>
    </row>
    <row r="61" spans="1:7" x14ac:dyDescent="0.2">
      <c r="A61" s="1186" t="s">
        <v>17</v>
      </c>
      <c r="B61" s="1186" t="s">
        <v>828</v>
      </c>
      <c r="C61" s="1186">
        <v>2</v>
      </c>
      <c r="D61" s="1186">
        <v>1741</v>
      </c>
      <c r="E61" s="1186">
        <v>2013</v>
      </c>
      <c r="F61" s="1186">
        <v>2</v>
      </c>
      <c r="G61" s="1186">
        <v>1948246</v>
      </c>
    </row>
    <row r="62" spans="1:7" x14ac:dyDescent="0.2">
      <c r="A62" s="1186" t="s">
        <v>17</v>
      </c>
      <c r="B62" s="1186" t="s">
        <v>828</v>
      </c>
      <c r="C62" s="1186">
        <v>3</v>
      </c>
      <c r="D62" s="1186">
        <v>327</v>
      </c>
      <c r="E62" s="1186">
        <v>2013</v>
      </c>
      <c r="F62" s="1186">
        <v>3</v>
      </c>
      <c r="G62" s="1186">
        <v>463037</v>
      </c>
    </row>
    <row r="63" spans="1:7" x14ac:dyDescent="0.2">
      <c r="A63" s="1186" t="s">
        <v>17</v>
      </c>
      <c r="B63" s="1186" t="s">
        <v>828</v>
      </c>
      <c r="C63" s="1186">
        <v>4</v>
      </c>
      <c r="D63" s="1186">
        <v>173</v>
      </c>
      <c r="E63" s="1186">
        <v>2013</v>
      </c>
      <c r="F63" s="1186">
        <v>4</v>
      </c>
      <c r="G63" s="1186">
        <v>193081</v>
      </c>
    </row>
    <row r="64" spans="1:7" x14ac:dyDescent="0.2">
      <c r="A64" s="1186" t="s">
        <v>17</v>
      </c>
      <c r="B64" s="1186" t="s">
        <v>828</v>
      </c>
      <c r="C64" s="1186">
        <v>5</v>
      </c>
      <c r="D64" s="1186">
        <v>360</v>
      </c>
      <c r="E64" s="1186">
        <v>2013</v>
      </c>
      <c r="F64" s="1186">
        <v>5</v>
      </c>
      <c r="G64" s="1186">
        <v>580159</v>
      </c>
    </row>
    <row r="65" spans="1:7" x14ac:dyDescent="0.2">
      <c r="A65" s="1186" t="s">
        <v>17</v>
      </c>
      <c r="B65" s="1186" t="s">
        <v>828</v>
      </c>
      <c r="C65" s="1186">
        <v>6</v>
      </c>
      <c r="D65" s="1186">
        <v>203</v>
      </c>
      <c r="E65" s="1186">
        <v>2013</v>
      </c>
      <c r="F65" s="1186">
        <v>6</v>
      </c>
      <c r="G65" s="1186">
        <v>315151</v>
      </c>
    </row>
    <row r="66" spans="1:7" x14ac:dyDescent="0.2">
      <c r="A66" s="1186" t="s">
        <v>17</v>
      </c>
      <c r="B66" s="1186" t="s">
        <v>850</v>
      </c>
      <c r="C66" s="1186">
        <v>1</v>
      </c>
      <c r="D66" s="1186">
        <v>1017</v>
      </c>
      <c r="E66" s="1186">
        <v>2013</v>
      </c>
      <c r="F66" s="1186">
        <v>1</v>
      </c>
      <c r="G66" s="1186">
        <v>1828026</v>
      </c>
    </row>
    <row r="67" spans="1:7" x14ac:dyDescent="0.2">
      <c r="A67" s="1186" t="s">
        <v>17</v>
      </c>
      <c r="B67" s="1186" t="s">
        <v>850</v>
      </c>
      <c r="C67" s="1186">
        <v>2</v>
      </c>
      <c r="D67" s="1186">
        <v>762</v>
      </c>
      <c r="E67" s="1186">
        <v>2013</v>
      </c>
      <c r="F67" s="1186">
        <v>2</v>
      </c>
      <c r="G67" s="1186">
        <v>1948246</v>
      </c>
    </row>
    <row r="68" spans="1:7" x14ac:dyDescent="0.2">
      <c r="A68" s="1186" t="s">
        <v>17</v>
      </c>
      <c r="B68" s="1186" t="s">
        <v>850</v>
      </c>
      <c r="C68" s="1186">
        <v>3</v>
      </c>
      <c r="D68" s="1186">
        <v>121</v>
      </c>
      <c r="E68" s="1186">
        <v>2013</v>
      </c>
      <c r="F68" s="1186">
        <v>3</v>
      </c>
      <c r="G68" s="1186">
        <v>463037</v>
      </c>
    </row>
    <row r="69" spans="1:7" x14ac:dyDescent="0.2">
      <c r="A69" s="1186" t="s">
        <v>17</v>
      </c>
      <c r="B69" s="1186" t="s">
        <v>850</v>
      </c>
      <c r="C69" s="1186">
        <v>4</v>
      </c>
      <c r="D69" s="1186">
        <v>87</v>
      </c>
      <c r="E69" s="1186">
        <v>2013</v>
      </c>
      <c r="F69" s="1186">
        <v>4</v>
      </c>
      <c r="G69" s="1186">
        <v>193081</v>
      </c>
    </row>
    <row r="70" spans="1:7" x14ac:dyDescent="0.2">
      <c r="A70" s="1186" t="s">
        <v>17</v>
      </c>
      <c r="B70" s="1186" t="s">
        <v>850</v>
      </c>
      <c r="C70" s="1186">
        <v>5</v>
      </c>
      <c r="D70" s="1186">
        <v>242</v>
      </c>
      <c r="E70" s="1186">
        <v>2013</v>
      </c>
      <c r="F70" s="1186">
        <v>5</v>
      </c>
      <c r="G70" s="1186">
        <v>580159</v>
      </c>
    </row>
    <row r="71" spans="1:7" x14ac:dyDescent="0.2">
      <c r="A71" s="1186" t="s">
        <v>17</v>
      </c>
      <c r="B71" s="1186" t="s">
        <v>850</v>
      </c>
      <c r="C71" s="1186">
        <v>6</v>
      </c>
      <c r="D71" s="1186">
        <v>117</v>
      </c>
      <c r="E71" s="1186">
        <v>2013</v>
      </c>
      <c r="F71" s="1186">
        <v>6</v>
      </c>
      <c r="G71" s="1186">
        <v>315151</v>
      </c>
    </row>
    <row r="72" spans="1:7" x14ac:dyDescent="0.2">
      <c r="A72" s="1186" t="s">
        <v>17</v>
      </c>
      <c r="B72" s="1186" t="s">
        <v>851</v>
      </c>
      <c r="C72" s="1186"/>
      <c r="D72" s="1186">
        <v>3</v>
      </c>
      <c r="E72" s="1186"/>
      <c r="F72" s="1186"/>
      <c r="G72" s="1186"/>
    </row>
    <row r="73" spans="1:7" x14ac:dyDescent="0.2">
      <c r="A73" s="1186" t="s">
        <v>17</v>
      </c>
      <c r="B73" s="1186" t="s">
        <v>851</v>
      </c>
      <c r="C73" s="1186">
        <v>1</v>
      </c>
      <c r="D73" s="1186">
        <v>737</v>
      </c>
      <c r="E73" s="1186">
        <v>2013</v>
      </c>
      <c r="F73" s="1186">
        <v>1</v>
      </c>
      <c r="G73" s="1186">
        <v>1828026</v>
      </c>
    </row>
    <row r="74" spans="1:7" x14ac:dyDescent="0.2">
      <c r="A74" s="1186" t="s">
        <v>17</v>
      </c>
      <c r="B74" s="1186" t="s">
        <v>851</v>
      </c>
      <c r="C74" s="1186">
        <v>2</v>
      </c>
      <c r="D74" s="1186">
        <v>546</v>
      </c>
      <c r="E74" s="1186">
        <v>2013</v>
      </c>
      <c r="F74" s="1186">
        <v>2</v>
      </c>
      <c r="G74" s="1186">
        <v>1948246</v>
      </c>
    </row>
    <row r="75" spans="1:7" x14ac:dyDescent="0.2">
      <c r="A75" s="1186" t="s">
        <v>17</v>
      </c>
      <c r="B75" s="1186" t="s">
        <v>851</v>
      </c>
      <c r="C75" s="1186">
        <v>3</v>
      </c>
      <c r="D75" s="1186">
        <v>112</v>
      </c>
      <c r="E75" s="1186">
        <v>2013</v>
      </c>
      <c r="F75" s="1186">
        <v>3</v>
      </c>
      <c r="G75" s="1186">
        <v>463037</v>
      </c>
    </row>
    <row r="76" spans="1:7" x14ac:dyDescent="0.2">
      <c r="A76" s="1186" t="s">
        <v>17</v>
      </c>
      <c r="B76" s="1186" t="s">
        <v>851</v>
      </c>
      <c r="C76" s="1186">
        <v>4</v>
      </c>
      <c r="D76" s="1186">
        <v>44</v>
      </c>
      <c r="E76" s="1186">
        <v>2013</v>
      </c>
      <c r="F76" s="1186">
        <v>4</v>
      </c>
      <c r="G76" s="1186">
        <v>193081</v>
      </c>
    </row>
    <row r="77" spans="1:7" x14ac:dyDescent="0.2">
      <c r="A77" s="1186" t="s">
        <v>17</v>
      </c>
      <c r="B77" s="1186" t="s">
        <v>851</v>
      </c>
      <c r="C77" s="1186">
        <v>5</v>
      </c>
      <c r="D77" s="1186">
        <v>363</v>
      </c>
      <c r="E77" s="1186">
        <v>2013</v>
      </c>
      <c r="F77" s="1186">
        <v>5</v>
      </c>
      <c r="G77" s="1186">
        <v>580159</v>
      </c>
    </row>
    <row r="78" spans="1:7" x14ac:dyDescent="0.2">
      <c r="A78" s="1186" t="s">
        <v>17</v>
      </c>
      <c r="B78" s="1186" t="s">
        <v>851</v>
      </c>
      <c r="C78" s="1186">
        <v>6</v>
      </c>
      <c r="D78" s="1186">
        <v>133</v>
      </c>
      <c r="E78" s="1186">
        <v>2013</v>
      </c>
      <c r="F78" s="1186">
        <v>6</v>
      </c>
      <c r="G78" s="1186">
        <v>315151</v>
      </c>
    </row>
    <row r="79" spans="1:7" x14ac:dyDescent="0.2">
      <c r="A79" s="1186" t="s">
        <v>17</v>
      </c>
      <c r="B79" s="1186" t="s">
        <v>852</v>
      </c>
      <c r="C79" s="1186"/>
      <c r="D79" s="1186">
        <v>6</v>
      </c>
      <c r="E79" s="1186"/>
      <c r="F79" s="1186"/>
      <c r="G79" s="1186"/>
    </row>
    <row r="80" spans="1:7" x14ac:dyDescent="0.2">
      <c r="A80" s="1186" t="s">
        <v>17</v>
      </c>
      <c r="B80" s="1186" t="s">
        <v>852</v>
      </c>
      <c r="C80" s="1186">
        <v>1</v>
      </c>
      <c r="D80" s="1186">
        <v>239</v>
      </c>
      <c r="E80" s="1186">
        <v>2013</v>
      </c>
      <c r="F80" s="1186">
        <v>1</v>
      </c>
      <c r="G80" s="1186">
        <v>1828026</v>
      </c>
    </row>
    <row r="81" spans="1:7" x14ac:dyDescent="0.2">
      <c r="A81" s="1186" t="s">
        <v>17</v>
      </c>
      <c r="B81" s="1186" t="s">
        <v>852</v>
      </c>
      <c r="C81" s="1186">
        <v>2</v>
      </c>
      <c r="D81" s="1186">
        <v>302</v>
      </c>
      <c r="E81" s="1186">
        <v>2013</v>
      </c>
      <c r="F81" s="1186">
        <v>2</v>
      </c>
      <c r="G81" s="1186">
        <v>1948246</v>
      </c>
    </row>
    <row r="82" spans="1:7" x14ac:dyDescent="0.2">
      <c r="A82" s="1186" t="s">
        <v>17</v>
      </c>
      <c r="B82" s="1186" t="s">
        <v>852</v>
      </c>
      <c r="C82" s="1186">
        <v>3</v>
      </c>
      <c r="D82" s="1186">
        <v>61</v>
      </c>
      <c r="E82" s="1186">
        <v>2013</v>
      </c>
      <c r="F82" s="1186">
        <v>3</v>
      </c>
      <c r="G82" s="1186">
        <v>463037</v>
      </c>
    </row>
    <row r="83" spans="1:7" x14ac:dyDescent="0.2">
      <c r="A83" s="1186" t="s">
        <v>17</v>
      </c>
      <c r="B83" s="1186" t="s">
        <v>852</v>
      </c>
      <c r="C83" s="1186">
        <v>4</v>
      </c>
      <c r="D83" s="1186">
        <v>22</v>
      </c>
      <c r="E83" s="1186">
        <v>2013</v>
      </c>
      <c r="F83" s="1186">
        <v>4</v>
      </c>
      <c r="G83" s="1186">
        <v>193081</v>
      </c>
    </row>
    <row r="84" spans="1:7" x14ac:dyDescent="0.2">
      <c r="A84" s="1186" t="s">
        <v>17</v>
      </c>
      <c r="B84" s="1186" t="s">
        <v>852</v>
      </c>
      <c r="C84" s="1186">
        <v>5</v>
      </c>
      <c r="D84" s="1186">
        <v>192</v>
      </c>
      <c r="E84" s="1186">
        <v>2013</v>
      </c>
      <c r="F84" s="1186">
        <v>5</v>
      </c>
      <c r="G84" s="1186">
        <v>580159</v>
      </c>
    </row>
    <row r="85" spans="1:7" x14ac:dyDescent="0.2">
      <c r="A85" s="1186" t="s">
        <v>17</v>
      </c>
      <c r="B85" s="1186" t="s">
        <v>852</v>
      </c>
      <c r="C85" s="1186">
        <v>6</v>
      </c>
      <c r="D85" s="1186">
        <v>92</v>
      </c>
      <c r="E85" s="1186">
        <v>2013</v>
      </c>
      <c r="F85" s="1186">
        <v>6</v>
      </c>
      <c r="G85" s="1186">
        <v>315151</v>
      </c>
    </row>
    <row r="86" spans="1:7" x14ac:dyDescent="0.2">
      <c r="A86" s="1186" t="s">
        <v>17</v>
      </c>
      <c r="B86" s="1186" t="s">
        <v>853</v>
      </c>
      <c r="C86" s="1186"/>
      <c r="D86" s="1186">
        <v>2</v>
      </c>
      <c r="E86" s="1186"/>
      <c r="F86" s="1186"/>
      <c r="G86" s="1186"/>
    </row>
    <row r="87" spans="1:7" x14ac:dyDescent="0.2">
      <c r="A87" s="1186" t="s">
        <v>17</v>
      </c>
      <c r="B87" s="1186" t="s">
        <v>853</v>
      </c>
      <c r="C87" s="1186">
        <v>1</v>
      </c>
      <c r="D87" s="1186">
        <v>16593</v>
      </c>
      <c r="E87" s="1186">
        <v>2013</v>
      </c>
      <c r="F87" s="1186">
        <v>1</v>
      </c>
      <c r="G87" s="1186">
        <v>1828026</v>
      </c>
    </row>
    <row r="88" spans="1:7" x14ac:dyDescent="0.2">
      <c r="A88" s="1186" t="s">
        <v>17</v>
      </c>
      <c r="B88" s="1186" t="s">
        <v>853</v>
      </c>
      <c r="C88" s="1186">
        <v>2</v>
      </c>
      <c r="D88" s="1186">
        <v>11532</v>
      </c>
      <c r="E88" s="1186">
        <v>2013</v>
      </c>
      <c r="F88" s="1186">
        <v>2</v>
      </c>
      <c r="G88" s="1186">
        <v>1948246</v>
      </c>
    </row>
    <row r="89" spans="1:7" x14ac:dyDescent="0.2">
      <c r="A89" s="1186" t="s">
        <v>17</v>
      </c>
      <c r="B89" s="1186" t="s">
        <v>853</v>
      </c>
      <c r="C89" s="1186">
        <v>3</v>
      </c>
      <c r="D89" s="1186">
        <v>1807</v>
      </c>
      <c r="E89" s="1186">
        <v>2013</v>
      </c>
      <c r="F89" s="1186">
        <v>3</v>
      </c>
      <c r="G89" s="1186">
        <v>463037</v>
      </c>
    </row>
    <row r="90" spans="1:7" x14ac:dyDescent="0.2">
      <c r="A90" s="1186" t="s">
        <v>17</v>
      </c>
      <c r="B90" s="1186" t="s">
        <v>853</v>
      </c>
      <c r="C90" s="1186">
        <v>4</v>
      </c>
      <c r="D90" s="1186">
        <v>1231</v>
      </c>
      <c r="E90" s="1186">
        <v>2013</v>
      </c>
      <c r="F90" s="1186">
        <v>4</v>
      </c>
      <c r="G90" s="1186">
        <v>193081</v>
      </c>
    </row>
    <row r="91" spans="1:7" x14ac:dyDescent="0.2">
      <c r="A91" s="1186" t="s">
        <v>17</v>
      </c>
      <c r="B91" s="1186" t="s">
        <v>853</v>
      </c>
      <c r="C91" s="1186">
        <v>5</v>
      </c>
      <c r="D91" s="1186">
        <v>2428</v>
      </c>
      <c r="E91" s="1186">
        <v>2013</v>
      </c>
      <c r="F91" s="1186">
        <v>5</v>
      </c>
      <c r="G91" s="1186">
        <v>580159</v>
      </c>
    </row>
    <row r="92" spans="1:7" x14ac:dyDescent="0.2">
      <c r="A92" s="1186" t="s">
        <v>17</v>
      </c>
      <c r="B92" s="1186" t="s">
        <v>853</v>
      </c>
      <c r="C92" s="1186">
        <v>6</v>
      </c>
      <c r="D92" s="1186">
        <v>1620</v>
      </c>
      <c r="E92" s="1186">
        <v>2013</v>
      </c>
      <c r="F92" s="1186">
        <v>6</v>
      </c>
      <c r="G92" s="1186">
        <v>315151</v>
      </c>
    </row>
    <row r="93" spans="1:7" x14ac:dyDescent="0.2">
      <c r="A93" s="1186" t="s">
        <v>17</v>
      </c>
      <c r="B93" s="1186" t="s">
        <v>854</v>
      </c>
      <c r="C93" s="1186"/>
      <c r="D93" s="1186">
        <v>5</v>
      </c>
      <c r="E93" s="1186"/>
      <c r="F93" s="1186"/>
      <c r="G93" s="1186"/>
    </row>
    <row r="94" spans="1:7" x14ac:dyDescent="0.2">
      <c r="A94" s="1186" t="s">
        <v>17</v>
      </c>
      <c r="B94" s="1186" t="s">
        <v>854</v>
      </c>
      <c r="C94" s="1186">
        <v>1</v>
      </c>
      <c r="D94" s="1186">
        <v>3815</v>
      </c>
      <c r="E94" s="1186">
        <v>2013</v>
      </c>
      <c r="F94" s="1186">
        <v>1</v>
      </c>
      <c r="G94" s="1186">
        <v>1828026</v>
      </c>
    </row>
    <row r="95" spans="1:7" x14ac:dyDescent="0.2">
      <c r="A95" s="1186" t="s">
        <v>17</v>
      </c>
      <c r="B95" s="1186" t="s">
        <v>854</v>
      </c>
      <c r="C95" s="1186">
        <v>2</v>
      </c>
      <c r="D95" s="1186">
        <v>3377</v>
      </c>
      <c r="E95" s="1186">
        <v>2013</v>
      </c>
      <c r="F95" s="1186">
        <v>2</v>
      </c>
      <c r="G95" s="1186">
        <v>1948246</v>
      </c>
    </row>
    <row r="96" spans="1:7" x14ac:dyDescent="0.2">
      <c r="A96" s="1186" t="s">
        <v>17</v>
      </c>
      <c r="B96" s="1186" t="s">
        <v>854</v>
      </c>
      <c r="C96" s="1186">
        <v>3</v>
      </c>
      <c r="D96" s="1186">
        <v>564</v>
      </c>
      <c r="E96" s="1186">
        <v>2013</v>
      </c>
      <c r="F96" s="1186">
        <v>3</v>
      </c>
      <c r="G96" s="1186">
        <v>463037</v>
      </c>
    </row>
    <row r="97" spans="1:7" x14ac:dyDescent="0.2">
      <c r="A97" s="1186" t="s">
        <v>17</v>
      </c>
      <c r="B97" s="1186" t="s">
        <v>854</v>
      </c>
      <c r="C97" s="1186">
        <v>4</v>
      </c>
      <c r="D97" s="1186">
        <v>310</v>
      </c>
      <c r="E97" s="1186">
        <v>2013</v>
      </c>
      <c r="F97" s="1186">
        <v>4</v>
      </c>
      <c r="G97" s="1186">
        <v>193081</v>
      </c>
    </row>
    <row r="98" spans="1:7" x14ac:dyDescent="0.2">
      <c r="A98" s="1186" t="s">
        <v>17</v>
      </c>
      <c r="B98" s="1186" t="s">
        <v>854</v>
      </c>
      <c r="C98" s="1186">
        <v>5</v>
      </c>
      <c r="D98" s="1186">
        <v>987</v>
      </c>
      <c r="E98" s="1186">
        <v>2013</v>
      </c>
      <c r="F98" s="1186">
        <v>5</v>
      </c>
      <c r="G98" s="1186">
        <v>580159</v>
      </c>
    </row>
    <row r="99" spans="1:7" x14ac:dyDescent="0.2">
      <c r="A99" s="1186" t="s">
        <v>17</v>
      </c>
      <c r="B99" s="1186" t="s">
        <v>854</v>
      </c>
      <c r="C99" s="1186">
        <v>6</v>
      </c>
      <c r="D99" s="1186">
        <v>559</v>
      </c>
      <c r="E99" s="1186">
        <v>2013</v>
      </c>
      <c r="F99" s="1186">
        <v>6</v>
      </c>
      <c r="G99" s="1186">
        <v>315151</v>
      </c>
    </row>
    <row r="100" spans="1:7" x14ac:dyDescent="0.2">
      <c r="A100" s="1186" t="s">
        <v>17</v>
      </c>
      <c r="B100" s="1186" t="s">
        <v>855</v>
      </c>
      <c r="C100" s="1186">
        <v>1</v>
      </c>
      <c r="D100" s="1186">
        <v>1283</v>
      </c>
      <c r="E100" s="1186">
        <v>2013</v>
      </c>
      <c r="F100" s="1186">
        <v>1</v>
      </c>
      <c r="G100" s="1186">
        <v>1828026</v>
      </c>
    </row>
    <row r="101" spans="1:7" x14ac:dyDescent="0.2">
      <c r="A101" s="1186" t="s">
        <v>17</v>
      </c>
      <c r="B101" s="1186" t="s">
        <v>855</v>
      </c>
      <c r="C101" s="1186">
        <v>2</v>
      </c>
      <c r="D101" s="1186">
        <v>797</v>
      </c>
      <c r="E101" s="1186">
        <v>2013</v>
      </c>
      <c r="F101" s="1186">
        <v>2</v>
      </c>
      <c r="G101" s="1186">
        <v>1948246</v>
      </c>
    </row>
    <row r="102" spans="1:7" x14ac:dyDescent="0.2">
      <c r="A102" s="1186" t="s">
        <v>17</v>
      </c>
      <c r="B102" s="1186" t="s">
        <v>855</v>
      </c>
      <c r="C102" s="1186">
        <v>3</v>
      </c>
      <c r="D102" s="1186">
        <v>96</v>
      </c>
      <c r="E102" s="1186">
        <v>2013</v>
      </c>
      <c r="F102" s="1186">
        <v>3</v>
      </c>
      <c r="G102" s="1186">
        <v>463037</v>
      </c>
    </row>
    <row r="103" spans="1:7" x14ac:dyDescent="0.2">
      <c r="A103" s="1186" t="s">
        <v>17</v>
      </c>
      <c r="B103" s="1186" t="s">
        <v>855</v>
      </c>
      <c r="C103" s="1186">
        <v>4</v>
      </c>
      <c r="D103" s="1186">
        <v>27</v>
      </c>
      <c r="E103" s="1186">
        <v>2013</v>
      </c>
      <c r="F103" s="1186">
        <v>4</v>
      </c>
      <c r="G103" s="1186">
        <v>193081</v>
      </c>
    </row>
    <row r="104" spans="1:7" x14ac:dyDescent="0.2">
      <c r="A104" s="1186" t="s">
        <v>17</v>
      </c>
      <c r="B104" s="1186" t="s">
        <v>855</v>
      </c>
      <c r="C104" s="1186">
        <v>5</v>
      </c>
      <c r="D104" s="1186">
        <v>127</v>
      </c>
      <c r="E104" s="1186">
        <v>2013</v>
      </c>
      <c r="F104" s="1186">
        <v>5</v>
      </c>
      <c r="G104" s="1186">
        <v>580159</v>
      </c>
    </row>
    <row r="105" spans="1:7" x14ac:dyDescent="0.2">
      <c r="A105" s="1186" t="s">
        <v>17</v>
      </c>
      <c r="B105" s="1186" t="s">
        <v>855</v>
      </c>
      <c r="C105" s="1186">
        <v>6</v>
      </c>
      <c r="D105" s="1186">
        <v>35</v>
      </c>
      <c r="E105" s="1186">
        <v>2013</v>
      </c>
      <c r="F105" s="1186">
        <v>6</v>
      </c>
      <c r="G105" s="1186">
        <v>315151</v>
      </c>
    </row>
    <row r="106" spans="1:7" x14ac:dyDescent="0.2">
      <c r="A106" s="1186" t="s">
        <v>17</v>
      </c>
      <c r="B106" s="1186" t="s">
        <v>308</v>
      </c>
      <c r="C106" s="1186"/>
      <c r="D106" s="1186">
        <v>37</v>
      </c>
      <c r="E106" s="1186"/>
      <c r="F106" s="1186"/>
      <c r="G106" s="1186"/>
    </row>
    <row r="107" spans="1:7" x14ac:dyDescent="0.2">
      <c r="A107" s="1186" t="s">
        <v>17</v>
      </c>
      <c r="B107" s="1186" t="s">
        <v>308</v>
      </c>
      <c r="C107" s="1186">
        <v>1</v>
      </c>
      <c r="D107" s="1186">
        <v>6542</v>
      </c>
      <c r="E107" s="1186">
        <v>2013</v>
      </c>
      <c r="F107" s="1186">
        <v>1</v>
      </c>
      <c r="G107" s="1186">
        <v>1828026</v>
      </c>
    </row>
    <row r="108" spans="1:7" x14ac:dyDescent="0.2">
      <c r="A108" s="1186" t="s">
        <v>17</v>
      </c>
      <c r="B108" s="1186" t="s">
        <v>308</v>
      </c>
      <c r="C108" s="1186">
        <v>2</v>
      </c>
      <c r="D108" s="1186">
        <v>5924</v>
      </c>
      <c r="E108" s="1186">
        <v>2013</v>
      </c>
      <c r="F108" s="1186">
        <v>2</v>
      </c>
      <c r="G108" s="1186">
        <v>1948246</v>
      </c>
    </row>
    <row r="109" spans="1:7" x14ac:dyDescent="0.2">
      <c r="A109" s="1186" t="s">
        <v>17</v>
      </c>
      <c r="B109" s="1186" t="s">
        <v>308</v>
      </c>
      <c r="C109" s="1186">
        <v>3</v>
      </c>
      <c r="D109" s="1186">
        <v>964</v>
      </c>
      <c r="E109" s="1186">
        <v>2013</v>
      </c>
      <c r="F109" s="1186">
        <v>3</v>
      </c>
      <c r="G109" s="1186">
        <v>463037</v>
      </c>
    </row>
    <row r="110" spans="1:7" x14ac:dyDescent="0.2">
      <c r="A110" s="1186" t="s">
        <v>17</v>
      </c>
      <c r="B110" s="1186" t="s">
        <v>308</v>
      </c>
      <c r="C110" s="1186">
        <v>4</v>
      </c>
      <c r="D110" s="1186">
        <v>250</v>
      </c>
      <c r="E110" s="1186">
        <v>2013</v>
      </c>
      <c r="F110" s="1186">
        <v>4</v>
      </c>
      <c r="G110" s="1186">
        <v>193081</v>
      </c>
    </row>
    <row r="111" spans="1:7" x14ac:dyDescent="0.2">
      <c r="A111" s="1186" t="s">
        <v>17</v>
      </c>
      <c r="B111" s="1186" t="s">
        <v>308</v>
      </c>
      <c r="C111" s="1186">
        <v>5</v>
      </c>
      <c r="D111" s="1186">
        <v>1841</v>
      </c>
      <c r="E111" s="1186">
        <v>2013</v>
      </c>
      <c r="F111" s="1186">
        <v>5</v>
      </c>
      <c r="G111" s="1186">
        <v>580159</v>
      </c>
    </row>
    <row r="112" spans="1:7" x14ac:dyDescent="0.2">
      <c r="A112" s="1186" t="s">
        <v>17</v>
      </c>
      <c r="B112" s="1186" t="s">
        <v>308</v>
      </c>
      <c r="C112" s="1186">
        <v>6</v>
      </c>
      <c r="D112" s="1186">
        <v>803</v>
      </c>
      <c r="E112" s="1186">
        <v>2013</v>
      </c>
      <c r="F112" s="1186">
        <v>6</v>
      </c>
      <c r="G112" s="1186">
        <v>315151</v>
      </c>
    </row>
    <row r="113" spans="1:7" x14ac:dyDescent="0.2">
      <c r="A113" s="1186" t="s">
        <v>133</v>
      </c>
      <c r="B113" s="1186" t="s">
        <v>828</v>
      </c>
      <c r="C113" s="1186"/>
      <c r="D113" s="1186">
        <v>1</v>
      </c>
      <c r="E113" s="1186"/>
      <c r="F113" s="1186"/>
      <c r="G113" s="1186"/>
    </row>
    <row r="114" spans="1:7" x14ac:dyDescent="0.2">
      <c r="A114" s="1186" t="s">
        <v>133</v>
      </c>
      <c r="B114" s="1186" t="s">
        <v>828</v>
      </c>
      <c r="C114" s="1186">
        <v>1</v>
      </c>
      <c r="D114" s="1186">
        <v>2580</v>
      </c>
      <c r="E114" s="1186">
        <v>2014</v>
      </c>
      <c r="F114" s="1186">
        <v>1</v>
      </c>
      <c r="G114" s="1186">
        <v>1839393</v>
      </c>
    </row>
    <row r="115" spans="1:7" x14ac:dyDescent="0.2">
      <c r="A115" s="1186" t="s">
        <v>133</v>
      </c>
      <c r="B115" s="1186" t="s">
        <v>828</v>
      </c>
      <c r="C115" s="1186">
        <v>2</v>
      </c>
      <c r="D115" s="1186">
        <v>1919</v>
      </c>
      <c r="E115" s="1186">
        <v>2014</v>
      </c>
      <c r="F115" s="1186">
        <v>2</v>
      </c>
      <c r="G115" s="1186">
        <v>1951361</v>
      </c>
    </row>
    <row r="116" spans="1:7" x14ac:dyDescent="0.2">
      <c r="A116" s="1186" t="s">
        <v>133</v>
      </c>
      <c r="B116" s="1186" t="s">
        <v>828</v>
      </c>
      <c r="C116" s="1186">
        <v>3</v>
      </c>
      <c r="D116" s="1186">
        <v>300</v>
      </c>
      <c r="E116" s="1186">
        <v>2014</v>
      </c>
      <c r="F116" s="1186">
        <v>3</v>
      </c>
      <c r="G116" s="1186">
        <v>463205</v>
      </c>
    </row>
    <row r="117" spans="1:7" x14ac:dyDescent="0.2">
      <c r="A117" s="1186" t="s">
        <v>133</v>
      </c>
      <c r="B117" s="1186" t="s">
        <v>828</v>
      </c>
      <c r="C117" s="1186">
        <v>4</v>
      </c>
      <c r="D117" s="1186">
        <v>175</v>
      </c>
      <c r="E117" s="1186">
        <v>2014</v>
      </c>
      <c r="F117" s="1186">
        <v>4</v>
      </c>
      <c r="G117" s="1186">
        <v>192400</v>
      </c>
    </row>
    <row r="118" spans="1:7" x14ac:dyDescent="0.2">
      <c r="A118" s="1186" t="s">
        <v>133</v>
      </c>
      <c r="B118" s="1186" t="s">
        <v>828</v>
      </c>
      <c r="C118" s="1186">
        <v>5</v>
      </c>
      <c r="D118" s="1186">
        <v>364</v>
      </c>
      <c r="E118" s="1186">
        <v>2014</v>
      </c>
      <c r="F118" s="1186">
        <v>5</v>
      </c>
      <c r="G118" s="1186">
        <v>585566</v>
      </c>
    </row>
    <row r="119" spans="1:7" x14ac:dyDescent="0.2">
      <c r="A119" s="1186" t="s">
        <v>133</v>
      </c>
      <c r="B119" s="1186" t="s">
        <v>828</v>
      </c>
      <c r="C119" s="1186">
        <v>6</v>
      </c>
      <c r="D119" s="1186">
        <v>235</v>
      </c>
      <c r="E119" s="1186">
        <v>2014</v>
      </c>
      <c r="F119" s="1186">
        <v>6</v>
      </c>
      <c r="G119" s="1186">
        <v>315675</v>
      </c>
    </row>
    <row r="120" spans="1:7" x14ac:dyDescent="0.2">
      <c r="A120" s="1186" t="s">
        <v>133</v>
      </c>
      <c r="B120" s="1186" t="s">
        <v>850</v>
      </c>
      <c r="C120" s="1186">
        <v>1</v>
      </c>
      <c r="D120" s="1186">
        <v>995</v>
      </c>
      <c r="E120" s="1186">
        <v>2014</v>
      </c>
      <c r="F120" s="1186">
        <v>1</v>
      </c>
      <c r="G120" s="1186">
        <v>1839393</v>
      </c>
    </row>
    <row r="121" spans="1:7" x14ac:dyDescent="0.2">
      <c r="A121" s="1186" t="s">
        <v>133</v>
      </c>
      <c r="B121" s="1186" t="s">
        <v>850</v>
      </c>
      <c r="C121" s="1186">
        <v>2</v>
      </c>
      <c r="D121" s="1186">
        <v>778</v>
      </c>
      <c r="E121" s="1186">
        <v>2014</v>
      </c>
      <c r="F121" s="1186">
        <v>2</v>
      </c>
      <c r="G121" s="1186">
        <v>1951361</v>
      </c>
    </row>
    <row r="122" spans="1:7" x14ac:dyDescent="0.2">
      <c r="A122" s="1186" t="s">
        <v>133</v>
      </c>
      <c r="B122" s="1186" t="s">
        <v>850</v>
      </c>
      <c r="C122" s="1186">
        <v>3</v>
      </c>
      <c r="D122" s="1186">
        <v>104</v>
      </c>
      <c r="E122" s="1186">
        <v>2014</v>
      </c>
      <c r="F122" s="1186">
        <v>3</v>
      </c>
      <c r="G122" s="1186">
        <v>463205</v>
      </c>
    </row>
    <row r="123" spans="1:7" x14ac:dyDescent="0.2">
      <c r="A123" s="1186" t="s">
        <v>133</v>
      </c>
      <c r="B123" s="1186" t="s">
        <v>850</v>
      </c>
      <c r="C123" s="1186">
        <v>4</v>
      </c>
      <c r="D123" s="1186">
        <v>76</v>
      </c>
      <c r="E123" s="1186">
        <v>2014</v>
      </c>
      <c r="F123" s="1186">
        <v>4</v>
      </c>
      <c r="G123" s="1186">
        <v>192400</v>
      </c>
    </row>
    <row r="124" spans="1:7" x14ac:dyDescent="0.2">
      <c r="A124" s="1186" t="s">
        <v>133</v>
      </c>
      <c r="B124" s="1186" t="s">
        <v>850</v>
      </c>
      <c r="C124" s="1186">
        <v>5</v>
      </c>
      <c r="D124" s="1186">
        <v>254</v>
      </c>
      <c r="E124" s="1186">
        <v>2014</v>
      </c>
      <c r="F124" s="1186">
        <v>5</v>
      </c>
      <c r="G124" s="1186">
        <v>585566</v>
      </c>
    </row>
    <row r="125" spans="1:7" x14ac:dyDescent="0.2">
      <c r="A125" s="1186" t="s">
        <v>133</v>
      </c>
      <c r="B125" s="1186" t="s">
        <v>850</v>
      </c>
      <c r="C125" s="1186">
        <v>6</v>
      </c>
      <c r="D125" s="1186">
        <v>117</v>
      </c>
      <c r="E125" s="1186">
        <v>2014</v>
      </c>
      <c r="F125" s="1186">
        <v>6</v>
      </c>
      <c r="G125" s="1186">
        <v>315675</v>
      </c>
    </row>
    <row r="126" spans="1:7" x14ac:dyDescent="0.2">
      <c r="A126" s="1186" t="s">
        <v>133</v>
      </c>
      <c r="B126" s="1186" t="s">
        <v>851</v>
      </c>
      <c r="C126" s="1186"/>
      <c r="D126" s="1186">
        <v>1</v>
      </c>
      <c r="E126" s="1186"/>
      <c r="F126" s="1186"/>
      <c r="G126" s="1186"/>
    </row>
    <row r="127" spans="1:7" x14ac:dyDescent="0.2">
      <c r="A127" s="1186" t="s">
        <v>133</v>
      </c>
      <c r="B127" s="1186" t="s">
        <v>851</v>
      </c>
      <c r="C127" s="1186">
        <v>1</v>
      </c>
      <c r="D127" s="1186">
        <v>692</v>
      </c>
      <c r="E127" s="1186">
        <v>2014</v>
      </c>
      <c r="F127" s="1186">
        <v>1</v>
      </c>
      <c r="G127" s="1186">
        <v>1839393</v>
      </c>
    </row>
    <row r="128" spans="1:7" x14ac:dyDescent="0.2">
      <c r="A128" s="1186" t="s">
        <v>133</v>
      </c>
      <c r="B128" s="1186" t="s">
        <v>851</v>
      </c>
      <c r="C128" s="1186">
        <v>2</v>
      </c>
      <c r="D128" s="1186">
        <v>564</v>
      </c>
      <c r="E128" s="1186">
        <v>2014</v>
      </c>
      <c r="F128" s="1186">
        <v>2</v>
      </c>
      <c r="G128" s="1186">
        <v>1951361</v>
      </c>
    </row>
    <row r="129" spans="1:7" x14ac:dyDescent="0.2">
      <c r="A129" s="1186" t="s">
        <v>133</v>
      </c>
      <c r="B129" s="1186" t="s">
        <v>851</v>
      </c>
      <c r="C129" s="1186">
        <v>3</v>
      </c>
      <c r="D129" s="1186">
        <v>98</v>
      </c>
      <c r="E129" s="1186">
        <v>2014</v>
      </c>
      <c r="F129" s="1186">
        <v>3</v>
      </c>
      <c r="G129" s="1186">
        <v>463205</v>
      </c>
    </row>
    <row r="130" spans="1:7" x14ac:dyDescent="0.2">
      <c r="A130" s="1186" t="s">
        <v>133</v>
      </c>
      <c r="B130" s="1186" t="s">
        <v>851</v>
      </c>
      <c r="C130" s="1186">
        <v>4</v>
      </c>
      <c r="D130" s="1186">
        <v>35</v>
      </c>
      <c r="E130" s="1186">
        <v>2014</v>
      </c>
      <c r="F130" s="1186">
        <v>4</v>
      </c>
      <c r="G130" s="1186">
        <v>192400</v>
      </c>
    </row>
    <row r="131" spans="1:7" x14ac:dyDescent="0.2">
      <c r="A131" s="1186" t="s">
        <v>133</v>
      </c>
      <c r="B131" s="1186" t="s">
        <v>851</v>
      </c>
      <c r="C131" s="1186">
        <v>5</v>
      </c>
      <c r="D131" s="1186">
        <v>364</v>
      </c>
      <c r="E131" s="1186">
        <v>2014</v>
      </c>
      <c r="F131" s="1186">
        <v>5</v>
      </c>
      <c r="G131" s="1186">
        <v>585566</v>
      </c>
    </row>
    <row r="132" spans="1:7" x14ac:dyDescent="0.2">
      <c r="A132" s="1186" t="s">
        <v>133</v>
      </c>
      <c r="B132" s="1186" t="s">
        <v>851</v>
      </c>
      <c r="C132" s="1186">
        <v>6</v>
      </c>
      <c r="D132" s="1186">
        <v>143</v>
      </c>
      <c r="E132" s="1186">
        <v>2014</v>
      </c>
      <c r="F132" s="1186">
        <v>6</v>
      </c>
      <c r="G132" s="1186">
        <v>315675</v>
      </c>
    </row>
    <row r="133" spans="1:7" x14ac:dyDescent="0.2">
      <c r="A133" s="1186" t="s">
        <v>133</v>
      </c>
      <c r="B133" s="1186" t="s">
        <v>852</v>
      </c>
      <c r="C133" s="1186"/>
      <c r="D133" s="1186">
        <v>3</v>
      </c>
      <c r="E133" s="1186"/>
      <c r="F133" s="1186"/>
      <c r="G133" s="1186"/>
    </row>
    <row r="134" spans="1:7" x14ac:dyDescent="0.2">
      <c r="A134" s="1186" t="s">
        <v>133</v>
      </c>
      <c r="B134" s="1186" t="s">
        <v>852</v>
      </c>
      <c r="C134" s="1186">
        <v>1</v>
      </c>
      <c r="D134" s="1186">
        <v>226</v>
      </c>
      <c r="E134" s="1186">
        <v>2014</v>
      </c>
      <c r="F134" s="1186">
        <v>1</v>
      </c>
      <c r="G134" s="1186">
        <v>1839393</v>
      </c>
    </row>
    <row r="135" spans="1:7" x14ac:dyDescent="0.2">
      <c r="A135" s="1186" t="s">
        <v>133</v>
      </c>
      <c r="B135" s="1186" t="s">
        <v>852</v>
      </c>
      <c r="C135" s="1186">
        <v>2</v>
      </c>
      <c r="D135" s="1186">
        <v>285</v>
      </c>
      <c r="E135" s="1186">
        <v>2014</v>
      </c>
      <c r="F135" s="1186">
        <v>2</v>
      </c>
      <c r="G135" s="1186">
        <v>1951361</v>
      </c>
    </row>
    <row r="136" spans="1:7" x14ac:dyDescent="0.2">
      <c r="A136" s="1186" t="s">
        <v>133</v>
      </c>
      <c r="B136" s="1186" t="s">
        <v>852</v>
      </c>
      <c r="C136" s="1186">
        <v>3</v>
      </c>
      <c r="D136" s="1186">
        <v>54</v>
      </c>
      <c r="E136" s="1186">
        <v>2014</v>
      </c>
      <c r="F136" s="1186">
        <v>3</v>
      </c>
      <c r="G136" s="1186">
        <v>463205</v>
      </c>
    </row>
    <row r="137" spans="1:7" x14ac:dyDescent="0.2">
      <c r="A137" s="1186" t="s">
        <v>133</v>
      </c>
      <c r="B137" s="1186" t="s">
        <v>852</v>
      </c>
      <c r="C137" s="1186">
        <v>4</v>
      </c>
      <c r="D137" s="1186">
        <v>16</v>
      </c>
      <c r="E137" s="1186">
        <v>2014</v>
      </c>
      <c r="F137" s="1186">
        <v>4</v>
      </c>
      <c r="G137" s="1186">
        <v>192400</v>
      </c>
    </row>
    <row r="138" spans="1:7" x14ac:dyDescent="0.2">
      <c r="A138" s="1186" t="s">
        <v>133</v>
      </c>
      <c r="B138" s="1186" t="s">
        <v>852</v>
      </c>
      <c r="C138" s="1186">
        <v>5</v>
      </c>
      <c r="D138" s="1186">
        <v>159</v>
      </c>
      <c r="E138" s="1186">
        <v>2014</v>
      </c>
      <c r="F138" s="1186">
        <v>5</v>
      </c>
      <c r="G138" s="1186">
        <v>585566</v>
      </c>
    </row>
    <row r="139" spans="1:7" x14ac:dyDescent="0.2">
      <c r="A139" s="1186" t="s">
        <v>133</v>
      </c>
      <c r="B139" s="1186" t="s">
        <v>852</v>
      </c>
      <c r="C139" s="1186">
        <v>6</v>
      </c>
      <c r="D139" s="1186">
        <v>95</v>
      </c>
      <c r="E139" s="1186">
        <v>2014</v>
      </c>
      <c r="F139" s="1186">
        <v>6</v>
      </c>
      <c r="G139" s="1186">
        <v>315675</v>
      </c>
    </row>
    <row r="140" spans="1:7" x14ac:dyDescent="0.2">
      <c r="A140" s="1186" t="s">
        <v>133</v>
      </c>
      <c r="B140" s="1186" t="s">
        <v>853</v>
      </c>
      <c r="C140" s="1186"/>
      <c r="D140" s="1186">
        <v>1</v>
      </c>
      <c r="E140" s="1186"/>
      <c r="F140" s="1186"/>
      <c r="G140" s="1186"/>
    </row>
    <row r="141" spans="1:7" x14ac:dyDescent="0.2">
      <c r="A141" s="1186" t="s">
        <v>133</v>
      </c>
      <c r="B141" s="1186" t="s">
        <v>853</v>
      </c>
      <c r="C141" s="1186">
        <v>1</v>
      </c>
      <c r="D141" s="1186">
        <v>17286</v>
      </c>
      <c r="E141" s="1186">
        <v>2014</v>
      </c>
      <c r="F141" s="1186">
        <v>1</v>
      </c>
      <c r="G141" s="1186">
        <v>1839393</v>
      </c>
    </row>
    <row r="142" spans="1:7" x14ac:dyDescent="0.2">
      <c r="A142" s="1186" t="s">
        <v>133</v>
      </c>
      <c r="B142" s="1186" t="s">
        <v>853</v>
      </c>
      <c r="C142" s="1186">
        <v>2</v>
      </c>
      <c r="D142" s="1186">
        <v>12260</v>
      </c>
      <c r="E142" s="1186">
        <v>2014</v>
      </c>
      <c r="F142" s="1186">
        <v>2</v>
      </c>
      <c r="G142" s="1186">
        <v>1951361</v>
      </c>
    </row>
    <row r="143" spans="1:7" x14ac:dyDescent="0.2">
      <c r="A143" s="1186" t="s">
        <v>133</v>
      </c>
      <c r="B143" s="1186" t="s">
        <v>853</v>
      </c>
      <c r="C143" s="1186">
        <v>3</v>
      </c>
      <c r="D143" s="1186">
        <v>1949</v>
      </c>
      <c r="E143" s="1186">
        <v>2014</v>
      </c>
      <c r="F143" s="1186">
        <v>3</v>
      </c>
      <c r="G143" s="1186">
        <v>463205</v>
      </c>
    </row>
    <row r="144" spans="1:7" x14ac:dyDescent="0.2">
      <c r="A144" s="1186" t="s">
        <v>133</v>
      </c>
      <c r="B144" s="1186" t="s">
        <v>853</v>
      </c>
      <c r="C144" s="1186">
        <v>4</v>
      </c>
      <c r="D144" s="1186">
        <v>1350</v>
      </c>
      <c r="E144" s="1186">
        <v>2014</v>
      </c>
      <c r="F144" s="1186">
        <v>4</v>
      </c>
      <c r="G144" s="1186">
        <v>192400</v>
      </c>
    </row>
    <row r="145" spans="1:7" x14ac:dyDescent="0.2">
      <c r="A145" s="1186" t="s">
        <v>133</v>
      </c>
      <c r="B145" s="1186" t="s">
        <v>853</v>
      </c>
      <c r="C145" s="1186">
        <v>5</v>
      </c>
      <c r="D145" s="1186">
        <v>2741</v>
      </c>
      <c r="E145" s="1186">
        <v>2014</v>
      </c>
      <c r="F145" s="1186">
        <v>5</v>
      </c>
      <c r="G145" s="1186">
        <v>585566</v>
      </c>
    </row>
    <row r="146" spans="1:7" x14ac:dyDescent="0.2">
      <c r="A146" s="1186" t="s">
        <v>133</v>
      </c>
      <c r="B146" s="1186" t="s">
        <v>853</v>
      </c>
      <c r="C146" s="1186">
        <v>6</v>
      </c>
      <c r="D146" s="1186">
        <v>1750</v>
      </c>
      <c r="E146" s="1186">
        <v>2014</v>
      </c>
      <c r="F146" s="1186">
        <v>6</v>
      </c>
      <c r="G146" s="1186">
        <v>315675</v>
      </c>
    </row>
    <row r="147" spans="1:7" x14ac:dyDescent="0.2">
      <c r="A147" s="1186" t="s">
        <v>133</v>
      </c>
      <c r="B147" s="1186" t="s">
        <v>854</v>
      </c>
      <c r="C147" s="1186"/>
      <c r="D147" s="1186">
        <v>3</v>
      </c>
      <c r="E147" s="1186"/>
      <c r="F147" s="1186"/>
      <c r="G147" s="1186"/>
    </row>
    <row r="148" spans="1:7" x14ac:dyDescent="0.2">
      <c r="A148" s="1186" t="s">
        <v>133</v>
      </c>
      <c r="B148" s="1186" t="s">
        <v>854</v>
      </c>
      <c r="C148" s="1186">
        <v>1</v>
      </c>
      <c r="D148" s="1186">
        <v>3670</v>
      </c>
      <c r="E148" s="1186">
        <v>2014</v>
      </c>
      <c r="F148" s="1186">
        <v>1</v>
      </c>
      <c r="G148" s="1186">
        <v>1839393</v>
      </c>
    </row>
    <row r="149" spans="1:7" x14ac:dyDescent="0.2">
      <c r="A149" s="1186" t="s">
        <v>133</v>
      </c>
      <c r="B149" s="1186" t="s">
        <v>854</v>
      </c>
      <c r="C149" s="1186">
        <v>2</v>
      </c>
      <c r="D149" s="1186">
        <v>3125</v>
      </c>
      <c r="E149" s="1186">
        <v>2014</v>
      </c>
      <c r="F149" s="1186">
        <v>2</v>
      </c>
      <c r="G149" s="1186">
        <v>1951361</v>
      </c>
    </row>
    <row r="150" spans="1:7" x14ac:dyDescent="0.2">
      <c r="A150" s="1186" t="s">
        <v>133</v>
      </c>
      <c r="B150" s="1186" t="s">
        <v>854</v>
      </c>
      <c r="C150" s="1186">
        <v>3</v>
      </c>
      <c r="D150" s="1186">
        <v>566</v>
      </c>
      <c r="E150" s="1186">
        <v>2014</v>
      </c>
      <c r="F150" s="1186">
        <v>3</v>
      </c>
      <c r="G150" s="1186">
        <v>463205</v>
      </c>
    </row>
    <row r="151" spans="1:7" x14ac:dyDescent="0.2">
      <c r="A151" s="1186" t="s">
        <v>133</v>
      </c>
      <c r="B151" s="1186" t="s">
        <v>854</v>
      </c>
      <c r="C151" s="1186">
        <v>4</v>
      </c>
      <c r="D151" s="1186">
        <v>312</v>
      </c>
      <c r="E151" s="1186">
        <v>2014</v>
      </c>
      <c r="F151" s="1186">
        <v>4</v>
      </c>
      <c r="G151" s="1186">
        <v>192400</v>
      </c>
    </row>
    <row r="152" spans="1:7" x14ac:dyDescent="0.2">
      <c r="A152" s="1186" t="s">
        <v>133</v>
      </c>
      <c r="B152" s="1186" t="s">
        <v>854</v>
      </c>
      <c r="C152" s="1186">
        <v>5</v>
      </c>
      <c r="D152" s="1186">
        <v>1005</v>
      </c>
      <c r="E152" s="1186">
        <v>2014</v>
      </c>
      <c r="F152" s="1186">
        <v>5</v>
      </c>
      <c r="G152" s="1186">
        <v>585566</v>
      </c>
    </row>
    <row r="153" spans="1:7" x14ac:dyDescent="0.2">
      <c r="A153" s="1186" t="s">
        <v>133</v>
      </c>
      <c r="B153" s="1186" t="s">
        <v>854</v>
      </c>
      <c r="C153" s="1186">
        <v>6</v>
      </c>
      <c r="D153" s="1186">
        <v>575</v>
      </c>
      <c r="E153" s="1186">
        <v>2014</v>
      </c>
      <c r="F153" s="1186">
        <v>6</v>
      </c>
      <c r="G153" s="1186">
        <v>315675</v>
      </c>
    </row>
    <row r="154" spans="1:7" x14ac:dyDescent="0.2">
      <c r="A154" s="1186" t="s">
        <v>133</v>
      </c>
      <c r="B154" s="1186" t="s">
        <v>855</v>
      </c>
      <c r="C154" s="1186"/>
      <c r="D154" s="1186">
        <v>1</v>
      </c>
      <c r="E154" s="1186"/>
      <c r="F154" s="1186"/>
      <c r="G154" s="1186"/>
    </row>
    <row r="155" spans="1:7" x14ac:dyDescent="0.2">
      <c r="A155" s="1186" t="s">
        <v>133</v>
      </c>
      <c r="B155" s="1186" t="s">
        <v>855</v>
      </c>
      <c r="C155" s="1186">
        <v>1</v>
      </c>
      <c r="D155" s="1186">
        <v>1143</v>
      </c>
      <c r="E155" s="1186">
        <v>2014</v>
      </c>
      <c r="F155" s="1186">
        <v>1</v>
      </c>
      <c r="G155" s="1186">
        <v>1839393</v>
      </c>
    </row>
    <row r="156" spans="1:7" x14ac:dyDescent="0.2">
      <c r="A156" s="1186" t="s">
        <v>133</v>
      </c>
      <c r="B156" s="1186" t="s">
        <v>855</v>
      </c>
      <c r="C156" s="1186">
        <v>2</v>
      </c>
      <c r="D156" s="1186">
        <v>647</v>
      </c>
      <c r="E156" s="1186">
        <v>2014</v>
      </c>
      <c r="F156" s="1186">
        <v>2</v>
      </c>
      <c r="G156" s="1186">
        <v>1951361</v>
      </c>
    </row>
    <row r="157" spans="1:7" x14ac:dyDescent="0.2">
      <c r="A157" s="1186" t="s">
        <v>133</v>
      </c>
      <c r="B157" s="1186" t="s">
        <v>855</v>
      </c>
      <c r="C157" s="1186">
        <v>3</v>
      </c>
      <c r="D157" s="1186">
        <v>63</v>
      </c>
      <c r="E157" s="1186">
        <v>2014</v>
      </c>
      <c r="F157" s="1186">
        <v>3</v>
      </c>
      <c r="G157" s="1186">
        <v>463205</v>
      </c>
    </row>
    <row r="158" spans="1:7" x14ac:dyDescent="0.2">
      <c r="A158" s="1186" t="s">
        <v>133</v>
      </c>
      <c r="B158" s="1186" t="s">
        <v>855</v>
      </c>
      <c r="C158" s="1186">
        <v>4</v>
      </c>
      <c r="D158" s="1186">
        <v>47</v>
      </c>
      <c r="E158" s="1186">
        <v>2014</v>
      </c>
      <c r="F158" s="1186">
        <v>4</v>
      </c>
      <c r="G158" s="1186">
        <v>192400</v>
      </c>
    </row>
    <row r="159" spans="1:7" x14ac:dyDescent="0.2">
      <c r="A159" s="1186" t="s">
        <v>133</v>
      </c>
      <c r="B159" s="1186" t="s">
        <v>855</v>
      </c>
      <c r="C159" s="1186">
        <v>5</v>
      </c>
      <c r="D159" s="1186">
        <v>129</v>
      </c>
      <c r="E159" s="1186">
        <v>2014</v>
      </c>
      <c r="F159" s="1186">
        <v>5</v>
      </c>
      <c r="G159" s="1186">
        <v>585566</v>
      </c>
    </row>
    <row r="160" spans="1:7" x14ac:dyDescent="0.2">
      <c r="A160" s="1186" t="s">
        <v>133</v>
      </c>
      <c r="B160" s="1186" t="s">
        <v>855</v>
      </c>
      <c r="C160" s="1186">
        <v>6</v>
      </c>
      <c r="D160" s="1186">
        <v>26</v>
      </c>
      <c r="E160" s="1186">
        <v>2014</v>
      </c>
      <c r="F160" s="1186">
        <v>6</v>
      </c>
      <c r="G160" s="1186">
        <v>315675</v>
      </c>
    </row>
    <row r="161" spans="1:7" x14ac:dyDescent="0.2">
      <c r="A161" s="1186" t="s">
        <v>133</v>
      </c>
      <c r="B161" s="1186" t="s">
        <v>308</v>
      </c>
      <c r="C161" s="1186"/>
      <c r="D161" s="1186">
        <v>17</v>
      </c>
      <c r="E161" s="1186"/>
      <c r="F161" s="1186"/>
      <c r="G161" s="1186"/>
    </row>
    <row r="162" spans="1:7" x14ac:dyDescent="0.2">
      <c r="A162" s="1186" t="s">
        <v>133</v>
      </c>
      <c r="B162" s="1186" t="s">
        <v>308</v>
      </c>
      <c r="C162" s="1186">
        <v>1</v>
      </c>
      <c r="D162" s="1186">
        <v>5845</v>
      </c>
      <c r="E162" s="1186">
        <v>2014</v>
      </c>
      <c r="F162" s="1186">
        <v>1</v>
      </c>
      <c r="G162" s="1186">
        <v>1839393</v>
      </c>
    </row>
    <row r="163" spans="1:7" x14ac:dyDescent="0.2">
      <c r="A163" s="1186" t="s">
        <v>133</v>
      </c>
      <c r="B163" s="1186" t="s">
        <v>308</v>
      </c>
      <c r="C163" s="1186">
        <v>2</v>
      </c>
      <c r="D163" s="1186">
        <v>4924</v>
      </c>
      <c r="E163" s="1186">
        <v>2014</v>
      </c>
      <c r="F163" s="1186">
        <v>2</v>
      </c>
      <c r="G163" s="1186">
        <v>1951361</v>
      </c>
    </row>
    <row r="164" spans="1:7" x14ac:dyDescent="0.2">
      <c r="A164" s="1186" t="s">
        <v>133</v>
      </c>
      <c r="B164" s="1186" t="s">
        <v>308</v>
      </c>
      <c r="C164" s="1186">
        <v>3</v>
      </c>
      <c r="D164" s="1186">
        <v>747</v>
      </c>
      <c r="E164" s="1186">
        <v>2014</v>
      </c>
      <c r="F164" s="1186">
        <v>3</v>
      </c>
      <c r="G164" s="1186">
        <v>463205</v>
      </c>
    </row>
    <row r="165" spans="1:7" x14ac:dyDescent="0.2">
      <c r="A165" s="1186" t="s">
        <v>133</v>
      </c>
      <c r="B165" s="1186" t="s">
        <v>308</v>
      </c>
      <c r="C165" s="1186">
        <v>4</v>
      </c>
      <c r="D165" s="1186">
        <v>194</v>
      </c>
      <c r="E165" s="1186">
        <v>2014</v>
      </c>
      <c r="F165" s="1186">
        <v>4</v>
      </c>
      <c r="G165" s="1186">
        <v>192400</v>
      </c>
    </row>
    <row r="166" spans="1:7" x14ac:dyDescent="0.2">
      <c r="A166" s="1186" t="s">
        <v>133</v>
      </c>
      <c r="B166" s="1186" t="s">
        <v>308</v>
      </c>
      <c r="C166" s="1186">
        <v>5</v>
      </c>
      <c r="D166" s="1186">
        <v>1253</v>
      </c>
      <c r="E166" s="1186">
        <v>2014</v>
      </c>
      <c r="F166" s="1186">
        <v>5</v>
      </c>
      <c r="G166" s="1186">
        <v>585566</v>
      </c>
    </row>
    <row r="167" spans="1:7" x14ac:dyDescent="0.2">
      <c r="A167" s="1186" t="s">
        <v>133</v>
      </c>
      <c r="B167" s="1186" t="s">
        <v>308</v>
      </c>
      <c r="C167" s="1186">
        <v>6</v>
      </c>
      <c r="D167" s="1186">
        <v>426</v>
      </c>
      <c r="E167" s="1186">
        <v>2014</v>
      </c>
      <c r="F167" s="1186">
        <v>6</v>
      </c>
      <c r="G167" s="1186">
        <v>315675</v>
      </c>
    </row>
    <row r="168" spans="1:7" x14ac:dyDescent="0.2">
      <c r="A168" s="1186" t="s">
        <v>144</v>
      </c>
      <c r="B168" s="1186" t="s">
        <v>828</v>
      </c>
      <c r="C168" s="1186">
        <v>1</v>
      </c>
      <c r="D168" s="1186">
        <v>2641</v>
      </c>
      <c r="E168" s="1186">
        <v>2015</v>
      </c>
      <c r="F168" s="1186">
        <v>1</v>
      </c>
      <c r="G168" s="1186">
        <v>1854344</v>
      </c>
    </row>
    <row r="169" spans="1:7" x14ac:dyDescent="0.2">
      <c r="A169" s="1186" t="s">
        <v>144</v>
      </c>
      <c r="B169" s="1186" t="s">
        <v>828</v>
      </c>
      <c r="C169" s="1186">
        <v>2</v>
      </c>
      <c r="D169" s="1186">
        <v>1930</v>
      </c>
      <c r="E169" s="1186">
        <v>2015</v>
      </c>
      <c r="F169" s="1186">
        <v>2</v>
      </c>
      <c r="G169" s="1186">
        <v>1956221</v>
      </c>
    </row>
    <row r="170" spans="1:7" x14ac:dyDescent="0.2">
      <c r="A170" s="1186" t="s">
        <v>144</v>
      </c>
      <c r="B170" s="1186" t="s">
        <v>828</v>
      </c>
      <c r="C170" s="1186">
        <v>3</v>
      </c>
      <c r="D170" s="1186">
        <v>372</v>
      </c>
      <c r="E170" s="1186">
        <v>2015</v>
      </c>
      <c r="F170" s="1186">
        <v>3</v>
      </c>
      <c r="G170" s="1186">
        <v>463264</v>
      </c>
    </row>
    <row r="171" spans="1:7" x14ac:dyDescent="0.2">
      <c r="A171" s="1186" t="s">
        <v>144</v>
      </c>
      <c r="B171" s="1186" t="s">
        <v>828</v>
      </c>
      <c r="C171" s="1186">
        <v>4</v>
      </c>
      <c r="D171" s="1186">
        <v>168</v>
      </c>
      <c r="E171" s="1186">
        <v>2015</v>
      </c>
      <c r="F171" s="1186">
        <v>4</v>
      </c>
      <c r="G171" s="1186">
        <v>192266</v>
      </c>
    </row>
    <row r="172" spans="1:7" x14ac:dyDescent="0.2">
      <c r="A172" s="1186" t="s">
        <v>144</v>
      </c>
      <c r="B172" s="1186" t="s">
        <v>828</v>
      </c>
      <c r="C172" s="1186">
        <v>5</v>
      </c>
      <c r="D172" s="1186">
        <v>360</v>
      </c>
      <c r="E172" s="1186">
        <v>2015</v>
      </c>
      <c r="F172" s="1186">
        <v>5</v>
      </c>
      <c r="G172" s="1186">
        <v>591482</v>
      </c>
    </row>
    <row r="173" spans="1:7" x14ac:dyDescent="0.2">
      <c r="A173" s="1186" t="s">
        <v>144</v>
      </c>
      <c r="B173" s="1186" t="s">
        <v>828</v>
      </c>
      <c r="C173" s="1186">
        <v>6</v>
      </c>
      <c r="D173" s="1186">
        <v>202</v>
      </c>
      <c r="E173" s="1186">
        <v>2015</v>
      </c>
      <c r="F173" s="1186">
        <v>6</v>
      </c>
      <c r="G173" s="1186">
        <v>315423</v>
      </c>
    </row>
    <row r="174" spans="1:7" x14ac:dyDescent="0.2">
      <c r="A174" s="1186" t="s">
        <v>144</v>
      </c>
      <c r="B174" s="1186" t="s">
        <v>850</v>
      </c>
      <c r="C174" s="1186"/>
      <c r="D174" s="1186">
        <v>2</v>
      </c>
      <c r="E174" s="1186"/>
      <c r="F174" s="1186"/>
      <c r="G174" s="1186"/>
    </row>
    <row r="175" spans="1:7" x14ac:dyDescent="0.2">
      <c r="A175" s="1186" t="s">
        <v>144</v>
      </c>
      <c r="B175" s="1186" t="s">
        <v>850</v>
      </c>
      <c r="C175" s="1186">
        <v>1</v>
      </c>
      <c r="D175" s="1186">
        <v>1067</v>
      </c>
      <c r="E175" s="1186">
        <v>2015</v>
      </c>
      <c r="F175" s="1186">
        <v>1</v>
      </c>
      <c r="G175" s="1186">
        <v>1854344</v>
      </c>
    </row>
    <row r="176" spans="1:7" x14ac:dyDescent="0.2">
      <c r="A176" s="1186" t="s">
        <v>144</v>
      </c>
      <c r="B176" s="1186" t="s">
        <v>850</v>
      </c>
      <c r="C176" s="1186">
        <v>2</v>
      </c>
      <c r="D176" s="1186">
        <v>861</v>
      </c>
      <c r="E176" s="1186">
        <v>2015</v>
      </c>
      <c r="F176" s="1186">
        <v>2</v>
      </c>
      <c r="G176" s="1186">
        <v>1956221</v>
      </c>
    </row>
    <row r="177" spans="1:7" x14ac:dyDescent="0.2">
      <c r="A177" s="1186" t="s">
        <v>144</v>
      </c>
      <c r="B177" s="1186" t="s">
        <v>850</v>
      </c>
      <c r="C177" s="1186">
        <v>3</v>
      </c>
      <c r="D177" s="1186">
        <v>129</v>
      </c>
      <c r="E177" s="1186">
        <v>2015</v>
      </c>
      <c r="F177" s="1186">
        <v>3</v>
      </c>
      <c r="G177" s="1186">
        <v>463264</v>
      </c>
    </row>
    <row r="178" spans="1:7" x14ac:dyDescent="0.2">
      <c r="A178" s="1186" t="s">
        <v>144</v>
      </c>
      <c r="B178" s="1186" t="s">
        <v>850</v>
      </c>
      <c r="C178" s="1186">
        <v>4</v>
      </c>
      <c r="D178" s="1186">
        <v>76</v>
      </c>
      <c r="E178" s="1186">
        <v>2015</v>
      </c>
      <c r="F178" s="1186">
        <v>4</v>
      </c>
      <c r="G178" s="1186">
        <v>192266</v>
      </c>
    </row>
    <row r="179" spans="1:7" x14ac:dyDescent="0.2">
      <c r="A179" s="1186" t="s">
        <v>144</v>
      </c>
      <c r="B179" s="1186" t="s">
        <v>850</v>
      </c>
      <c r="C179" s="1186">
        <v>5</v>
      </c>
      <c r="D179" s="1186">
        <v>224</v>
      </c>
      <c r="E179" s="1186">
        <v>2015</v>
      </c>
      <c r="F179" s="1186">
        <v>5</v>
      </c>
      <c r="G179" s="1186">
        <v>591482</v>
      </c>
    </row>
    <row r="180" spans="1:7" x14ac:dyDescent="0.2">
      <c r="A180" s="1186" t="s">
        <v>144</v>
      </c>
      <c r="B180" s="1186" t="s">
        <v>850</v>
      </c>
      <c r="C180" s="1186">
        <v>6</v>
      </c>
      <c r="D180" s="1186">
        <v>135</v>
      </c>
      <c r="E180" s="1186">
        <v>2015</v>
      </c>
      <c r="F180" s="1186">
        <v>6</v>
      </c>
      <c r="G180" s="1186">
        <v>315423</v>
      </c>
    </row>
    <row r="181" spans="1:7" x14ac:dyDescent="0.2">
      <c r="A181" s="1186" t="s">
        <v>144</v>
      </c>
      <c r="B181" s="1186" t="s">
        <v>851</v>
      </c>
      <c r="C181" s="1186"/>
      <c r="D181" s="1186">
        <v>1</v>
      </c>
      <c r="E181" s="1186"/>
      <c r="F181" s="1186"/>
      <c r="G181" s="1186"/>
    </row>
    <row r="182" spans="1:7" x14ac:dyDescent="0.2">
      <c r="A182" s="1186" t="s">
        <v>144</v>
      </c>
      <c r="B182" s="1186" t="s">
        <v>851</v>
      </c>
      <c r="C182" s="1186">
        <v>1</v>
      </c>
      <c r="D182" s="1186">
        <v>725</v>
      </c>
      <c r="E182" s="1186">
        <v>2015</v>
      </c>
      <c r="F182" s="1186">
        <v>1</v>
      </c>
      <c r="G182" s="1186">
        <v>1854344</v>
      </c>
    </row>
    <row r="183" spans="1:7" x14ac:dyDescent="0.2">
      <c r="A183" s="1186" t="s">
        <v>144</v>
      </c>
      <c r="B183" s="1186" t="s">
        <v>851</v>
      </c>
      <c r="C183" s="1186">
        <v>2</v>
      </c>
      <c r="D183" s="1186">
        <v>579</v>
      </c>
      <c r="E183" s="1186">
        <v>2015</v>
      </c>
      <c r="F183" s="1186">
        <v>2</v>
      </c>
      <c r="G183" s="1186">
        <v>1956221</v>
      </c>
    </row>
    <row r="184" spans="1:7" x14ac:dyDescent="0.2">
      <c r="A184" s="1186" t="s">
        <v>144</v>
      </c>
      <c r="B184" s="1186" t="s">
        <v>851</v>
      </c>
      <c r="C184" s="1186">
        <v>3</v>
      </c>
      <c r="D184" s="1186">
        <v>108</v>
      </c>
      <c r="E184" s="1186">
        <v>2015</v>
      </c>
      <c r="F184" s="1186">
        <v>3</v>
      </c>
      <c r="G184" s="1186">
        <v>463264</v>
      </c>
    </row>
    <row r="185" spans="1:7" x14ac:dyDescent="0.2">
      <c r="A185" s="1186" t="s">
        <v>144</v>
      </c>
      <c r="B185" s="1186" t="s">
        <v>851</v>
      </c>
      <c r="C185" s="1186">
        <v>4</v>
      </c>
      <c r="D185" s="1186">
        <v>33</v>
      </c>
      <c r="E185" s="1186">
        <v>2015</v>
      </c>
      <c r="F185" s="1186">
        <v>4</v>
      </c>
      <c r="G185" s="1186">
        <v>192266</v>
      </c>
    </row>
    <row r="186" spans="1:7" x14ac:dyDescent="0.2">
      <c r="A186" s="1186" t="s">
        <v>144</v>
      </c>
      <c r="B186" s="1186" t="s">
        <v>851</v>
      </c>
      <c r="C186" s="1186">
        <v>5</v>
      </c>
      <c r="D186" s="1186">
        <v>380</v>
      </c>
      <c r="E186" s="1186">
        <v>2015</v>
      </c>
      <c r="F186" s="1186">
        <v>5</v>
      </c>
      <c r="G186" s="1186">
        <v>591482</v>
      </c>
    </row>
    <row r="187" spans="1:7" x14ac:dyDescent="0.2">
      <c r="A187" s="1186" t="s">
        <v>144</v>
      </c>
      <c r="B187" s="1186" t="s">
        <v>851</v>
      </c>
      <c r="C187" s="1186">
        <v>6</v>
      </c>
      <c r="D187" s="1186">
        <v>139</v>
      </c>
      <c r="E187" s="1186">
        <v>2015</v>
      </c>
      <c r="F187" s="1186">
        <v>6</v>
      </c>
      <c r="G187" s="1186">
        <v>315423</v>
      </c>
    </row>
    <row r="188" spans="1:7" x14ac:dyDescent="0.2">
      <c r="A188" s="1186" t="s">
        <v>144</v>
      </c>
      <c r="B188" s="1186" t="s">
        <v>852</v>
      </c>
      <c r="C188" s="1186"/>
      <c r="D188" s="1186">
        <v>11</v>
      </c>
      <c r="E188" s="1186"/>
      <c r="F188" s="1186"/>
      <c r="G188" s="1186"/>
    </row>
    <row r="189" spans="1:7" x14ac:dyDescent="0.2">
      <c r="A189" s="1186" t="s">
        <v>144</v>
      </c>
      <c r="B189" s="1186" t="s">
        <v>852</v>
      </c>
      <c r="C189" s="1186">
        <v>1</v>
      </c>
      <c r="D189" s="1186">
        <v>237</v>
      </c>
      <c r="E189" s="1186">
        <v>2015</v>
      </c>
      <c r="F189" s="1186">
        <v>1</v>
      </c>
      <c r="G189" s="1186">
        <v>1854344</v>
      </c>
    </row>
    <row r="190" spans="1:7" x14ac:dyDescent="0.2">
      <c r="A190" s="1186" t="s">
        <v>144</v>
      </c>
      <c r="B190" s="1186" t="s">
        <v>852</v>
      </c>
      <c r="C190" s="1186">
        <v>2</v>
      </c>
      <c r="D190" s="1186">
        <v>266</v>
      </c>
      <c r="E190" s="1186">
        <v>2015</v>
      </c>
      <c r="F190" s="1186">
        <v>2</v>
      </c>
      <c r="G190" s="1186">
        <v>1956221</v>
      </c>
    </row>
    <row r="191" spans="1:7" x14ac:dyDescent="0.2">
      <c r="A191" s="1186" t="s">
        <v>144</v>
      </c>
      <c r="B191" s="1186" t="s">
        <v>852</v>
      </c>
      <c r="C191" s="1186">
        <v>3</v>
      </c>
      <c r="D191" s="1186">
        <v>74</v>
      </c>
      <c r="E191" s="1186">
        <v>2015</v>
      </c>
      <c r="F191" s="1186">
        <v>3</v>
      </c>
      <c r="G191" s="1186">
        <v>463264</v>
      </c>
    </row>
    <row r="192" spans="1:7" x14ac:dyDescent="0.2">
      <c r="A192" s="1186" t="s">
        <v>144</v>
      </c>
      <c r="B192" s="1186" t="s">
        <v>852</v>
      </c>
      <c r="C192" s="1186">
        <v>4</v>
      </c>
      <c r="D192" s="1186">
        <v>17</v>
      </c>
      <c r="E192" s="1186">
        <v>2015</v>
      </c>
      <c r="F192" s="1186">
        <v>4</v>
      </c>
      <c r="G192" s="1186">
        <v>192266</v>
      </c>
    </row>
    <row r="193" spans="1:7" x14ac:dyDescent="0.2">
      <c r="A193" s="1186" t="s">
        <v>144</v>
      </c>
      <c r="B193" s="1186" t="s">
        <v>852</v>
      </c>
      <c r="C193" s="1186">
        <v>5</v>
      </c>
      <c r="D193" s="1186">
        <v>190</v>
      </c>
      <c r="E193" s="1186">
        <v>2015</v>
      </c>
      <c r="F193" s="1186">
        <v>5</v>
      </c>
      <c r="G193" s="1186">
        <v>591482</v>
      </c>
    </row>
    <row r="194" spans="1:7" x14ac:dyDescent="0.2">
      <c r="A194" s="1186" t="s">
        <v>144</v>
      </c>
      <c r="B194" s="1186" t="s">
        <v>852</v>
      </c>
      <c r="C194" s="1186">
        <v>6</v>
      </c>
      <c r="D194" s="1186">
        <v>79</v>
      </c>
      <c r="E194" s="1186">
        <v>2015</v>
      </c>
      <c r="F194" s="1186">
        <v>6</v>
      </c>
      <c r="G194" s="1186">
        <v>315423</v>
      </c>
    </row>
    <row r="195" spans="1:7" x14ac:dyDescent="0.2">
      <c r="A195" s="1186" t="s">
        <v>144</v>
      </c>
      <c r="B195" s="1186" t="s">
        <v>853</v>
      </c>
      <c r="C195" s="1186"/>
      <c r="D195" s="1186">
        <v>11</v>
      </c>
      <c r="E195" s="1186"/>
      <c r="F195" s="1186"/>
      <c r="G195" s="1186"/>
    </row>
    <row r="196" spans="1:7" x14ac:dyDescent="0.2">
      <c r="A196" s="1186" t="s">
        <v>144</v>
      </c>
      <c r="B196" s="1186" t="s">
        <v>853</v>
      </c>
      <c r="C196" s="1186">
        <v>1</v>
      </c>
      <c r="D196" s="1186">
        <v>17295</v>
      </c>
      <c r="E196" s="1186">
        <v>2015</v>
      </c>
      <c r="F196" s="1186">
        <v>1</v>
      </c>
      <c r="G196" s="1186">
        <v>1854344</v>
      </c>
    </row>
    <row r="197" spans="1:7" x14ac:dyDescent="0.2">
      <c r="A197" s="1186" t="s">
        <v>144</v>
      </c>
      <c r="B197" s="1186" t="s">
        <v>853</v>
      </c>
      <c r="C197" s="1186">
        <v>2</v>
      </c>
      <c r="D197" s="1186">
        <v>12430</v>
      </c>
      <c r="E197" s="1186">
        <v>2015</v>
      </c>
      <c r="F197" s="1186">
        <v>2</v>
      </c>
      <c r="G197" s="1186">
        <v>1956221</v>
      </c>
    </row>
    <row r="198" spans="1:7" x14ac:dyDescent="0.2">
      <c r="A198" s="1186" t="s">
        <v>144</v>
      </c>
      <c r="B198" s="1186" t="s">
        <v>853</v>
      </c>
      <c r="C198" s="1186">
        <v>3</v>
      </c>
      <c r="D198" s="1186">
        <v>2098</v>
      </c>
      <c r="E198" s="1186">
        <v>2015</v>
      </c>
      <c r="F198" s="1186">
        <v>3</v>
      </c>
      <c r="G198" s="1186">
        <v>463264</v>
      </c>
    </row>
    <row r="199" spans="1:7" x14ac:dyDescent="0.2">
      <c r="A199" s="1186" t="s">
        <v>144</v>
      </c>
      <c r="B199" s="1186" t="s">
        <v>853</v>
      </c>
      <c r="C199" s="1186">
        <v>4</v>
      </c>
      <c r="D199" s="1186">
        <v>1204</v>
      </c>
      <c r="E199" s="1186">
        <v>2015</v>
      </c>
      <c r="F199" s="1186">
        <v>4</v>
      </c>
      <c r="G199" s="1186">
        <v>192266</v>
      </c>
    </row>
    <row r="200" spans="1:7" x14ac:dyDescent="0.2">
      <c r="A200" s="1186" t="s">
        <v>144</v>
      </c>
      <c r="B200" s="1186" t="s">
        <v>853</v>
      </c>
      <c r="C200" s="1186">
        <v>5</v>
      </c>
      <c r="D200" s="1186">
        <v>2917</v>
      </c>
      <c r="E200" s="1186">
        <v>2015</v>
      </c>
      <c r="F200" s="1186">
        <v>5</v>
      </c>
      <c r="G200" s="1186">
        <v>591482</v>
      </c>
    </row>
    <row r="201" spans="1:7" x14ac:dyDescent="0.2">
      <c r="A201" s="1186" t="s">
        <v>144</v>
      </c>
      <c r="B201" s="1186" t="s">
        <v>853</v>
      </c>
      <c r="C201" s="1186">
        <v>6</v>
      </c>
      <c r="D201" s="1186">
        <v>1666</v>
      </c>
      <c r="E201" s="1186">
        <v>2015</v>
      </c>
      <c r="F201" s="1186">
        <v>6</v>
      </c>
      <c r="G201" s="1186">
        <v>315423</v>
      </c>
    </row>
    <row r="202" spans="1:7" x14ac:dyDescent="0.2">
      <c r="A202" s="1186" t="s">
        <v>144</v>
      </c>
      <c r="B202" s="1186" t="s">
        <v>854</v>
      </c>
      <c r="C202" s="1186"/>
      <c r="D202" s="1186">
        <v>10</v>
      </c>
      <c r="E202" s="1186"/>
      <c r="F202" s="1186"/>
      <c r="G202" s="1186"/>
    </row>
    <row r="203" spans="1:7" x14ac:dyDescent="0.2">
      <c r="A203" s="1186" t="s">
        <v>144</v>
      </c>
      <c r="B203" s="1186" t="s">
        <v>854</v>
      </c>
      <c r="C203" s="1186">
        <v>1</v>
      </c>
      <c r="D203" s="1186">
        <v>3311</v>
      </c>
      <c r="E203" s="1186">
        <v>2015</v>
      </c>
      <c r="F203" s="1186">
        <v>1</v>
      </c>
      <c r="G203" s="1186">
        <v>1854344</v>
      </c>
    </row>
    <row r="204" spans="1:7" x14ac:dyDescent="0.2">
      <c r="A204" s="1186" t="s">
        <v>144</v>
      </c>
      <c r="B204" s="1186" t="s">
        <v>854</v>
      </c>
      <c r="C204" s="1186">
        <v>2</v>
      </c>
      <c r="D204" s="1186">
        <v>3042</v>
      </c>
      <c r="E204" s="1186">
        <v>2015</v>
      </c>
      <c r="F204" s="1186">
        <v>2</v>
      </c>
      <c r="G204" s="1186">
        <v>1956221</v>
      </c>
    </row>
    <row r="205" spans="1:7" x14ac:dyDescent="0.2">
      <c r="A205" s="1186" t="s">
        <v>144</v>
      </c>
      <c r="B205" s="1186" t="s">
        <v>854</v>
      </c>
      <c r="C205" s="1186">
        <v>3</v>
      </c>
      <c r="D205" s="1186">
        <v>621</v>
      </c>
      <c r="E205" s="1186">
        <v>2015</v>
      </c>
      <c r="F205" s="1186">
        <v>3</v>
      </c>
      <c r="G205" s="1186">
        <v>463264</v>
      </c>
    </row>
    <row r="206" spans="1:7" x14ac:dyDescent="0.2">
      <c r="A206" s="1186" t="s">
        <v>144</v>
      </c>
      <c r="B206" s="1186" t="s">
        <v>854</v>
      </c>
      <c r="C206" s="1186">
        <v>4</v>
      </c>
      <c r="D206" s="1186">
        <v>334</v>
      </c>
      <c r="E206" s="1186">
        <v>2015</v>
      </c>
      <c r="F206" s="1186">
        <v>4</v>
      </c>
      <c r="G206" s="1186">
        <v>192266</v>
      </c>
    </row>
    <row r="207" spans="1:7" x14ac:dyDescent="0.2">
      <c r="A207" s="1186" t="s">
        <v>144</v>
      </c>
      <c r="B207" s="1186" t="s">
        <v>854</v>
      </c>
      <c r="C207" s="1186">
        <v>5</v>
      </c>
      <c r="D207" s="1186">
        <v>969</v>
      </c>
      <c r="E207" s="1186">
        <v>2015</v>
      </c>
      <c r="F207" s="1186">
        <v>5</v>
      </c>
      <c r="G207" s="1186">
        <v>591482</v>
      </c>
    </row>
    <row r="208" spans="1:7" x14ac:dyDescent="0.2">
      <c r="A208" s="1186" t="s">
        <v>144</v>
      </c>
      <c r="B208" s="1186" t="s">
        <v>854</v>
      </c>
      <c r="C208" s="1186">
        <v>6</v>
      </c>
      <c r="D208" s="1186">
        <v>563</v>
      </c>
      <c r="E208" s="1186">
        <v>2015</v>
      </c>
      <c r="F208" s="1186">
        <v>6</v>
      </c>
      <c r="G208" s="1186">
        <v>315423</v>
      </c>
    </row>
    <row r="209" spans="1:7" x14ac:dyDescent="0.2">
      <c r="A209" s="1186" t="s">
        <v>144</v>
      </c>
      <c r="B209" s="1186" t="s">
        <v>855</v>
      </c>
      <c r="C209" s="1186">
        <v>1</v>
      </c>
      <c r="D209" s="1186">
        <v>1270</v>
      </c>
      <c r="E209" s="1186">
        <v>2015</v>
      </c>
      <c r="F209" s="1186">
        <v>1</v>
      </c>
      <c r="G209" s="1186">
        <v>1854344</v>
      </c>
    </row>
    <row r="210" spans="1:7" x14ac:dyDescent="0.2">
      <c r="A210" s="1186" t="s">
        <v>144</v>
      </c>
      <c r="B210" s="1186" t="s">
        <v>855</v>
      </c>
      <c r="C210" s="1186">
        <v>2</v>
      </c>
      <c r="D210" s="1186">
        <v>746</v>
      </c>
      <c r="E210" s="1186">
        <v>2015</v>
      </c>
      <c r="F210" s="1186">
        <v>2</v>
      </c>
      <c r="G210" s="1186">
        <v>1956221</v>
      </c>
    </row>
    <row r="211" spans="1:7" x14ac:dyDescent="0.2">
      <c r="A211" s="1186" t="s">
        <v>144</v>
      </c>
      <c r="B211" s="1186" t="s">
        <v>855</v>
      </c>
      <c r="C211" s="1186">
        <v>3</v>
      </c>
      <c r="D211" s="1186">
        <v>82</v>
      </c>
      <c r="E211" s="1186">
        <v>2015</v>
      </c>
      <c r="F211" s="1186">
        <v>3</v>
      </c>
      <c r="G211" s="1186">
        <v>463264</v>
      </c>
    </row>
    <row r="212" spans="1:7" x14ac:dyDescent="0.2">
      <c r="A212" s="1186" t="s">
        <v>144</v>
      </c>
      <c r="B212" s="1186" t="s">
        <v>855</v>
      </c>
      <c r="C212" s="1186">
        <v>4</v>
      </c>
      <c r="D212" s="1186">
        <v>44</v>
      </c>
      <c r="E212" s="1186">
        <v>2015</v>
      </c>
      <c r="F212" s="1186">
        <v>4</v>
      </c>
      <c r="G212" s="1186">
        <v>192266</v>
      </c>
    </row>
    <row r="213" spans="1:7" x14ac:dyDescent="0.2">
      <c r="A213" s="1186" t="s">
        <v>144</v>
      </c>
      <c r="B213" s="1186" t="s">
        <v>855</v>
      </c>
      <c r="C213" s="1186">
        <v>5</v>
      </c>
      <c r="D213" s="1186">
        <v>203</v>
      </c>
      <c r="E213" s="1186">
        <v>2015</v>
      </c>
      <c r="F213" s="1186">
        <v>5</v>
      </c>
      <c r="G213" s="1186">
        <v>591482</v>
      </c>
    </row>
    <row r="214" spans="1:7" x14ac:dyDescent="0.2">
      <c r="A214" s="1186" t="s">
        <v>144</v>
      </c>
      <c r="B214" s="1186" t="s">
        <v>855</v>
      </c>
      <c r="C214" s="1186">
        <v>6</v>
      </c>
      <c r="D214" s="1186">
        <v>30</v>
      </c>
      <c r="E214" s="1186">
        <v>2015</v>
      </c>
      <c r="F214" s="1186">
        <v>6</v>
      </c>
      <c r="G214" s="1186">
        <v>315423</v>
      </c>
    </row>
    <row r="215" spans="1:7" x14ac:dyDescent="0.2">
      <c r="A215" s="1186" t="s">
        <v>144</v>
      </c>
      <c r="B215" s="1186" t="s">
        <v>308</v>
      </c>
      <c r="C215" s="1186"/>
      <c r="D215" s="1186">
        <v>26</v>
      </c>
      <c r="E215" s="1186"/>
      <c r="F215" s="1186"/>
      <c r="G215" s="1186"/>
    </row>
    <row r="216" spans="1:7" x14ac:dyDescent="0.2">
      <c r="A216" s="1186" t="s">
        <v>144</v>
      </c>
      <c r="B216" s="1186" t="s">
        <v>308</v>
      </c>
      <c r="C216" s="1186">
        <v>1</v>
      </c>
      <c r="D216" s="1186">
        <v>6390</v>
      </c>
      <c r="E216" s="1186">
        <v>2015</v>
      </c>
      <c r="F216" s="1186">
        <v>1</v>
      </c>
      <c r="G216" s="1186">
        <v>1854344</v>
      </c>
    </row>
    <row r="217" spans="1:7" x14ac:dyDescent="0.2">
      <c r="A217" s="1186" t="s">
        <v>144</v>
      </c>
      <c r="B217" s="1186" t="s">
        <v>308</v>
      </c>
      <c r="C217" s="1186">
        <v>2</v>
      </c>
      <c r="D217" s="1186">
        <v>5328</v>
      </c>
      <c r="E217" s="1186">
        <v>2015</v>
      </c>
      <c r="F217" s="1186">
        <v>2</v>
      </c>
      <c r="G217" s="1186">
        <v>1956221</v>
      </c>
    </row>
    <row r="218" spans="1:7" x14ac:dyDescent="0.2">
      <c r="A218" s="1186" t="s">
        <v>144</v>
      </c>
      <c r="B218" s="1186" t="s">
        <v>308</v>
      </c>
      <c r="C218" s="1186">
        <v>3</v>
      </c>
      <c r="D218" s="1186">
        <v>795</v>
      </c>
      <c r="E218" s="1186">
        <v>2015</v>
      </c>
      <c r="F218" s="1186">
        <v>3</v>
      </c>
      <c r="G218" s="1186">
        <v>463264</v>
      </c>
    </row>
    <row r="219" spans="1:7" x14ac:dyDescent="0.2">
      <c r="A219" s="1186" t="s">
        <v>144</v>
      </c>
      <c r="B219" s="1186" t="s">
        <v>308</v>
      </c>
      <c r="C219" s="1186">
        <v>4</v>
      </c>
      <c r="D219" s="1186">
        <v>200</v>
      </c>
      <c r="E219" s="1186">
        <v>2015</v>
      </c>
      <c r="F219" s="1186">
        <v>4</v>
      </c>
      <c r="G219" s="1186">
        <v>192266</v>
      </c>
    </row>
    <row r="220" spans="1:7" x14ac:dyDescent="0.2">
      <c r="A220" s="1186" t="s">
        <v>144</v>
      </c>
      <c r="B220" s="1186" t="s">
        <v>308</v>
      </c>
      <c r="C220" s="1186">
        <v>5</v>
      </c>
      <c r="D220" s="1186">
        <v>1471</v>
      </c>
      <c r="E220" s="1186">
        <v>2015</v>
      </c>
      <c r="F220" s="1186">
        <v>5</v>
      </c>
      <c r="G220" s="1186">
        <v>591482</v>
      </c>
    </row>
    <row r="221" spans="1:7" x14ac:dyDescent="0.2">
      <c r="A221" s="1186" t="s">
        <v>144</v>
      </c>
      <c r="B221" s="1186" t="s">
        <v>308</v>
      </c>
      <c r="C221" s="1186">
        <v>6</v>
      </c>
      <c r="D221" s="1186">
        <v>522</v>
      </c>
      <c r="E221" s="1186">
        <v>2015</v>
      </c>
      <c r="F221" s="1186">
        <v>6</v>
      </c>
      <c r="G221" s="1186">
        <v>315423</v>
      </c>
    </row>
    <row r="222" spans="1:7" x14ac:dyDescent="0.2">
      <c r="A222" s="1186" t="s">
        <v>282</v>
      </c>
      <c r="B222" s="1186" t="s">
        <v>828</v>
      </c>
      <c r="C222" s="1186">
        <v>1</v>
      </c>
      <c r="D222" s="1186">
        <v>2543</v>
      </c>
      <c r="E222" s="1186">
        <v>2016</v>
      </c>
      <c r="F222" s="1186">
        <v>1</v>
      </c>
      <c r="G222" s="1186">
        <v>1872642</v>
      </c>
    </row>
    <row r="223" spans="1:7" x14ac:dyDescent="0.2">
      <c r="A223" s="1186" t="s">
        <v>282</v>
      </c>
      <c r="B223" s="1186" t="s">
        <v>828</v>
      </c>
      <c r="C223" s="1186">
        <v>2</v>
      </c>
      <c r="D223" s="1186">
        <v>1894</v>
      </c>
      <c r="E223" s="1186">
        <v>2016</v>
      </c>
      <c r="F223" s="1186">
        <v>2</v>
      </c>
      <c r="G223" s="1186">
        <v>1960470</v>
      </c>
    </row>
    <row r="224" spans="1:7" x14ac:dyDescent="0.2">
      <c r="A224" s="1186" t="s">
        <v>282</v>
      </c>
      <c r="B224" s="1186" t="s">
        <v>828</v>
      </c>
      <c r="C224" s="1186">
        <v>3</v>
      </c>
      <c r="D224" s="1186">
        <v>360</v>
      </c>
      <c r="E224" s="1186">
        <v>2016</v>
      </c>
      <c r="F224" s="1186">
        <v>3</v>
      </c>
      <c r="G224" s="1186">
        <v>465834</v>
      </c>
    </row>
    <row r="225" spans="1:7" x14ac:dyDescent="0.2">
      <c r="A225" s="1186" t="s">
        <v>282</v>
      </c>
      <c r="B225" s="1186" t="s">
        <v>828</v>
      </c>
      <c r="C225" s="1186">
        <v>4</v>
      </c>
      <c r="D225" s="1186">
        <v>183</v>
      </c>
      <c r="E225" s="1186">
        <v>2016</v>
      </c>
      <c r="F225" s="1186">
        <v>4</v>
      </c>
      <c r="G225" s="1186">
        <v>192175</v>
      </c>
    </row>
    <row r="226" spans="1:7" x14ac:dyDescent="0.2">
      <c r="A226" s="1186" t="s">
        <v>282</v>
      </c>
      <c r="B226" s="1186" t="s">
        <v>828</v>
      </c>
      <c r="C226" s="1186">
        <v>5</v>
      </c>
      <c r="D226" s="1186">
        <v>379</v>
      </c>
      <c r="E226" s="1186">
        <v>2016</v>
      </c>
      <c r="F226" s="1186">
        <v>5</v>
      </c>
      <c r="G226" s="1186">
        <v>598082</v>
      </c>
    </row>
    <row r="227" spans="1:7" x14ac:dyDescent="0.2">
      <c r="A227" s="1186" t="s">
        <v>282</v>
      </c>
      <c r="B227" s="1186" t="s">
        <v>828</v>
      </c>
      <c r="C227" s="1186">
        <v>6</v>
      </c>
      <c r="D227" s="1186">
        <v>181</v>
      </c>
      <c r="E227" s="1186">
        <v>2016</v>
      </c>
      <c r="F227" s="1186">
        <v>6</v>
      </c>
      <c r="G227" s="1186">
        <v>315497</v>
      </c>
    </row>
    <row r="228" spans="1:7" x14ac:dyDescent="0.2">
      <c r="A228" s="1186" t="s">
        <v>282</v>
      </c>
      <c r="B228" s="1186" t="s">
        <v>850</v>
      </c>
      <c r="C228" s="1186">
        <v>1</v>
      </c>
      <c r="D228" s="1186">
        <v>980</v>
      </c>
      <c r="E228" s="1186">
        <v>2016</v>
      </c>
      <c r="F228" s="1186">
        <v>1</v>
      </c>
      <c r="G228" s="1186">
        <v>1872642</v>
      </c>
    </row>
    <row r="229" spans="1:7" x14ac:dyDescent="0.2">
      <c r="A229" s="1186" t="s">
        <v>282</v>
      </c>
      <c r="B229" s="1186" t="s">
        <v>850</v>
      </c>
      <c r="C229" s="1186">
        <v>2</v>
      </c>
      <c r="D229" s="1186">
        <v>746</v>
      </c>
      <c r="E229" s="1186">
        <v>2016</v>
      </c>
      <c r="F229" s="1186">
        <v>2</v>
      </c>
      <c r="G229" s="1186">
        <v>1960470</v>
      </c>
    </row>
    <row r="230" spans="1:7" x14ac:dyDescent="0.2">
      <c r="A230" s="1186" t="s">
        <v>282</v>
      </c>
      <c r="B230" s="1186" t="s">
        <v>850</v>
      </c>
      <c r="C230" s="1186">
        <v>3</v>
      </c>
      <c r="D230" s="1186">
        <v>128</v>
      </c>
      <c r="E230" s="1186">
        <v>2016</v>
      </c>
      <c r="F230" s="1186">
        <v>3</v>
      </c>
      <c r="G230" s="1186">
        <v>465834</v>
      </c>
    </row>
    <row r="231" spans="1:7" x14ac:dyDescent="0.2">
      <c r="A231" s="1186" t="s">
        <v>282</v>
      </c>
      <c r="B231" s="1186" t="s">
        <v>850</v>
      </c>
      <c r="C231" s="1186">
        <v>4</v>
      </c>
      <c r="D231" s="1186">
        <v>75</v>
      </c>
      <c r="E231" s="1186">
        <v>2016</v>
      </c>
      <c r="F231" s="1186">
        <v>4</v>
      </c>
      <c r="G231" s="1186">
        <v>192175</v>
      </c>
    </row>
    <row r="232" spans="1:7" x14ac:dyDescent="0.2">
      <c r="A232" s="1186" t="s">
        <v>282</v>
      </c>
      <c r="B232" s="1186" t="s">
        <v>850</v>
      </c>
      <c r="C232" s="1186">
        <v>5</v>
      </c>
      <c r="D232" s="1186">
        <v>233</v>
      </c>
      <c r="E232" s="1186">
        <v>2016</v>
      </c>
      <c r="F232" s="1186">
        <v>5</v>
      </c>
      <c r="G232" s="1186">
        <v>598082</v>
      </c>
    </row>
    <row r="233" spans="1:7" x14ac:dyDescent="0.2">
      <c r="A233" s="1186" t="s">
        <v>282</v>
      </c>
      <c r="B233" s="1186" t="s">
        <v>850</v>
      </c>
      <c r="C233" s="1186">
        <v>6</v>
      </c>
      <c r="D233" s="1186">
        <v>115</v>
      </c>
      <c r="E233" s="1186">
        <v>2016</v>
      </c>
      <c r="F233" s="1186">
        <v>6</v>
      </c>
      <c r="G233" s="1186">
        <v>315497</v>
      </c>
    </row>
    <row r="234" spans="1:7" x14ac:dyDescent="0.2">
      <c r="A234" s="1186" t="s">
        <v>282</v>
      </c>
      <c r="B234" s="1186" t="s">
        <v>851</v>
      </c>
      <c r="C234" s="1186"/>
      <c r="D234" s="1186">
        <v>1</v>
      </c>
      <c r="E234" s="1186"/>
      <c r="F234" s="1186"/>
      <c r="G234" s="1186"/>
    </row>
    <row r="235" spans="1:7" x14ac:dyDescent="0.2">
      <c r="A235" s="1186" t="s">
        <v>282</v>
      </c>
      <c r="B235" s="1186" t="s">
        <v>851</v>
      </c>
      <c r="C235" s="1186">
        <v>1</v>
      </c>
      <c r="D235" s="1186">
        <v>795</v>
      </c>
      <c r="E235" s="1186">
        <v>2016</v>
      </c>
      <c r="F235" s="1186">
        <v>1</v>
      </c>
      <c r="G235" s="1186">
        <v>1872642</v>
      </c>
    </row>
    <row r="236" spans="1:7" x14ac:dyDescent="0.2">
      <c r="A236" s="1186" t="s">
        <v>282</v>
      </c>
      <c r="B236" s="1186" t="s">
        <v>851</v>
      </c>
      <c r="C236" s="1186">
        <v>2</v>
      </c>
      <c r="D236" s="1186">
        <v>604</v>
      </c>
      <c r="E236" s="1186">
        <v>2016</v>
      </c>
      <c r="F236" s="1186">
        <v>2</v>
      </c>
      <c r="G236" s="1186">
        <v>1960470</v>
      </c>
    </row>
    <row r="237" spans="1:7" x14ac:dyDescent="0.2">
      <c r="A237" s="1186" t="s">
        <v>282</v>
      </c>
      <c r="B237" s="1186" t="s">
        <v>851</v>
      </c>
      <c r="C237" s="1186">
        <v>3</v>
      </c>
      <c r="D237" s="1186">
        <v>132</v>
      </c>
      <c r="E237" s="1186">
        <v>2016</v>
      </c>
      <c r="F237" s="1186">
        <v>3</v>
      </c>
      <c r="G237" s="1186">
        <v>465834</v>
      </c>
    </row>
    <row r="238" spans="1:7" x14ac:dyDescent="0.2">
      <c r="A238" s="1186" t="s">
        <v>282</v>
      </c>
      <c r="B238" s="1186" t="s">
        <v>851</v>
      </c>
      <c r="C238" s="1186">
        <v>4</v>
      </c>
      <c r="D238" s="1186">
        <v>29</v>
      </c>
      <c r="E238" s="1186">
        <v>2016</v>
      </c>
      <c r="F238" s="1186">
        <v>4</v>
      </c>
      <c r="G238" s="1186">
        <v>192175</v>
      </c>
    </row>
    <row r="239" spans="1:7" x14ac:dyDescent="0.2">
      <c r="A239" s="1186" t="s">
        <v>282</v>
      </c>
      <c r="B239" s="1186" t="s">
        <v>851</v>
      </c>
      <c r="C239" s="1186">
        <v>5</v>
      </c>
      <c r="D239" s="1186">
        <v>414</v>
      </c>
      <c r="E239" s="1186">
        <v>2016</v>
      </c>
      <c r="F239" s="1186">
        <v>5</v>
      </c>
      <c r="G239" s="1186">
        <v>598082</v>
      </c>
    </row>
    <row r="240" spans="1:7" x14ac:dyDescent="0.2">
      <c r="A240" s="1186" t="s">
        <v>282</v>
      </c>
      <c r="B240" s="1186" t="s">
        <v>851</v>
      </c>
      <c r="C240" s="1186">
        <v>6</v>
      </c>
      <c r="D240" s="1186">
        <v>145</v>
      </c>
      <c r="E240" s="1186">
        <v>2016</v>
      </c>
      <c r="F240" s="1186">
        <v>6</v>
      </c>
      <c r="G240" s="1186">
        <v>315497</v>
      </c>
    </row>
    <row r="241" spans="1:7" x14ac:dyDescent="0.2">
      <c r="A241" s="1186" t="s">
        <v>282</v>
      </c>
      <c r="B241" s="1186" t="s">
        <v>852</v>
      </c>
      <c r="C241" s="1186"/>
      <c r="D241" s="1186">
        <v>5</v>
      </c>
      <c r="E241" s="1186"/>
      <c r="F241" s="1186"/>
      <c r="G241" s="1186"/>
    </row>
    <row r="242" spans="1:7" x14ac:dyDescent="0.2">
      <c r="A242" s="1186" t="s">
        <v>282</v>
      </c>
      <c r="B242" s="1186" t="s">
        <v>852</v>
      </c>
      <c r="C242" s="1186">
        <v>1</v>
      </c>
      <c r="D242" s="1186">
        <v>265</v>
      </c>
      <c r="E242" s="1186">
        <v>2016</v>
      </c>
      <c r="F242" s="1186">
        <v>1</v>
      </c>
      <c r="G242" s="1186">
        <v>1872642</v>
      </c>
    </row>
    <row r="243" spans="1:7" x14ac:dyDescent="0.2">
      <c r="A243" s="1186" t="s">
        <v>282</v>
      </c>
      <c r="B243" s="1186" t="s">
        <v>852</v>
      </c>
      <c r="C243" s="1186">
        <v>2</v>
      </c>
      <c r="D243" s="1186">
        <v>341</v>
      </c>
      <c r="E243" s="1186">
        <v>2016</v>
      </c>
      <c r="F243" s="1186">
        <v>2</v>
      </c>
      <c r="G243" s="1186">
        <v>1960470</v>
      </c>
    </row>
    <row r="244" spans="1:7" x14ac:dyDescent="0.2">
      <c r="A244" s="1186" t="s">
        <v>282</v>
      </c>
      <c r="B244" s="1186" t="s">
        <v>852</v>
      </c>
      <c r="C244" s="1186">
        <v>3</v>
      </c>
      <c r="D244" s="1186">
        <v>72</v>
      </c>
      <c r="E244" s="1186">
        <v>2016</v>
      </c>
      <c r="F244" s="1186">
        <v>3</v>
      </c>
      <c r="G244" s="1186">
        <v>465834</v>
      </c>
    </row>
    <row r="245" spans="1:7" x14ac:dyDescent="0.2">
      <c r="A245" s="1186" t="s">
        <v>282</v>
      </c>
      <c r="B245" s="1186" t="s">
        <v>852</v>
      </c>
      <c r="C245" s="1186">
        <v>4</v>
      </c>
      <c r="D245" s="1186">
        <v>17</v>
      </c>
      <c r="E245" s="1186">
        <v>2016</v>
      </c>
      <c r="F245" s="1186">
        <v>4</v>
      </c>
      <c r="G245" s="1186">
        <v>192175</v>
      </c>
    </row>
    <row r="246" spans="1:7" x14ac:dyDescent="0.2">
      <c r="A246" s="1186" t="s">
        <v>282</v>
      </c>
      <c r="B246" s="1186" t="s">
        <v>852</v>
      </c>
      <c r="C246" s="1186">
        <v>5</v>
      </c>
      <c r="D246" s="1186">
        <v>190</v>
      </c>
      <c r="E246" s="1186">
        <v>2016</v>
      </c>
      <c r="F246" s="1186">
        <v>5</v>
      </c>
      <c r="G246" s="1186">
        <v>598082</v>
      </c>
    </row>
    <row r="247" spans="1:7" x14ac:dyDescent="0.2">
      <c r="A247" s="1186" t="s">
        <v>282</v>
      </c>
      <c r="B247" s="1186" t="s">
        <v>852</v>
      </c>
      <c r="C247" s="1186">
        <v>6</v>
      </c>
      <c r="D247" s="1186">
        <v>67</v>
      </c>
      <c r="E247" s="1186">
        <v>2016</v>
      </c>
      <c r="F247" s="1186">
        <v>6</v>
      </c>
      <c r="G247" s="1186">
        <v>315497</v>
      </c>
    </row>
    <row r="248" spans="1:7" x14ac:dyDescent="0.2">
      <c r="A248" s="1186" t="s">
        <v>282</v>
      </c>
      <c r="B248" s="1186" t="s">
        <v>853</v>
      </c>
      <c r="C248" s="1186"/>
      <c r="D248" s="1186">
        <v>13</v>
      </c>
      <c r="E248" s="1186"/>
      <c r="F248" s="1186"/>
      <c r="G248" s="1186"/>
    </row>
    <row r="249" spans="1:7" x14ac:dyDescent="0.2">
      <c r="A249" s="1186" t="s">
        <v>282</v>
      </c>
      <c r="B249" s="1186" t="s">
        <v>853</v>
      </c>
      <c r="C249" s="1186">
        <v>1</v>
      </c>
      <c r="D249" s="1186">
        <v>17900</v>
      </c>
      <c r="E249" s="1186">
        <v>2016</v>
      </c>
      <c r="F249" s="1186">
        <v>1</v>
      </c>
      <c r="G249" s="1186">
        <v>1872642</v>
      </c>
    </row>
    <row r="250" spans="1:7" x14ac:dyDescent="0.2">
      <c r="A250" s="1186" t="s">
        <v>282</v>
      </c>
      <c r="B250" s="1186" t="s">
        <v>853</v>
      </c>
      <c r="C250" s="1186">
        <v>2</v>
      </c>
      <c r="D250" s="1186">
        <v>13514</v>
      </c>
      <c r="E250" s="1186">
        <v>2016</v>
      </c>
      <c r="F250" s="1186">
        <v>2</v>
      </c>
      <c r="G250" s="1186">
        <v>1960470</v>
      </c>
    </row>
    <row r="251" spans="1:7" x14ac:dyDescent="0.2">
      <c r="A251" s="1186" t="s">
        <v>282</v>
      </c>
      <c r="B251" s="1186" t="s">
        <v>853</v>
      </c>
      <c r="C251" s="1186">
        <v>3</v>
      </c>
      <c r="D251" s="1186">
        <v>2250</v>
      </c>
      <c r="E251" s="1186">
        <v>2016</v>
      </c>
      <c r="F251" s="1186">
        <v>3</v>
      </c>
      <c r="G251" s="1186">
        <v>465834</v>
      </c>
    </row>
    <row r="252" spans="1:7" x14ac:dyDescent="0.2">
      <c r="A252" s="1186" t="s">
        <v>282</v>
      </c>
      <c r="B252" s="1186" t="s">
        <v>853</v>
      </c>
      <c r="C252" s="1186">
        <v>4</v>
      </c>
      <c r="D252" s="1186">
        <v>1225</v>
      </c>
      <c r="E252" s="1186">
        <v>2016</v>
      </c>
      <c r="F252" s="1186">
        <v>4</v>
      </c>
      <c r="G252" s="1186">
        <v>192175</v>
      </c>
    </row>
    <row r="253" spans="1:7" x14ac:dyDescent="0.2">
      <c r="A253" s="1186" t="s">
        <v>282</v>
      </c>
      <c r="B253" s="1186" t="s">
        <v>853</v>
      </c>
      <c r="C253" s="1186">
        <v>5</v>
      </c>
      <c r="D253" s="1186">
        <v>3021</v>
      </c>
      <c r="E253" s="1186">
        <v>2016</v>
      </c>
      <c r="F253" s="1186">
        <v>5</v>
      </c>
      <c r="G253" s="1186">
        <v>598082</v>
      </c>
    </row>
    <row r="254" spans="1:7" x14ac:dyDescent="0.2">
      <c r="A254" s="1186" t="s">
        <v>282</v>
      </c>
      <c r="B254" s="1186" t="s">
        <v>853</v>
      </c>
      <c r="C254" s="1186">
        <v>6</v>
      </c>
      <c r="D254" s="1186">
        <v>1707</v>
      </c>
      <c r="E254" s="1186">
        <v>2016</v>
      </c>
      <c r="F254" s="1186">
        <v>6</v>
      </c>
      <c r="G254" s="1186">
        <v>315497</v>
      </c>
    </row>
    <row r="255" spans="1:7" x14ac:dyDescent="0.2">
      <c r="A255" s="1186" t="s">
        <v>282</v>
      </c>
      <c r="B255" s="1186" t="s">
        <v>854</v>
      </c>
      <c r="C255" s="1186"/>
      <c r="D255" s="1186">
        <v>13</v>
      </c>
      <c r="E255" s="1186"/>
      <c r="F255" s="1186"/>
      <c r="G255" s="1186"/>
    </row>
    <row r="256" spans="1:7" x14ac:dyDescent="0.2">
      <c r="A256" s="1186" t="s">
        <v>282</v>
      </c>
      <c r="B256" s="1186" t="s">
        <v>854</v>
      </c>
      <c r="C256" s="1186">
        <v>1</v>
      </c>
      <c r="D256" s="1186">
        <v>3269</v>
      </c>
      <c r="E256" s="1186">
        <v>2016</v>
      </c>
      <c r="F256" s="1186">
        <v>1</v>
      </c>
      <c r="G256" s="1186">
        <v>1872642</v>
      </c>
    </row>
    <row r="257" spans="1:7" x14ac:dyDescent="0.2">
      <c r="A257" s="1186" t="s">
        <v>282</v>
      </c>
      <c r="B257" s="1186" t="s">
        <v>854</v>
      </c>
      <c r="C257" s="1186">
        <v>2</v>
      </c>
      <c r="D257" s="1186">
        <v>3176</v>
      </c>
      <c r="E257" s="1186">
        <v>2016</v>
      </c>
      <c r="F257" s="1186">
        <v>2</v>
      </c>
      <c r="G257" s="1186">
        <v>1960470</v>
      </c>
    </row>
    <row r="258" spans="1:7" x14ac:dyDescent="0.2">
      <c r="A258" s="1186" t="s">
        <v>282</v>
      </c>
      <c r="B258" s="1186" t="s">
        <v>854</v>
      </c>
      <c r="C258" s="1186">
        <v>3</v>
      </c>
      <c r="D258" s="1186">
        <v>675</v>
      </c>
      <c r="E258" s="1186">
        <v>2016</v>
      </c>
      <c r="F258" s="1186">
        <v>3</v>
      </c>
      <c r="G258" s="1186">
        <v>465834</v>
      </c>
    </row>
    <row r="259" spans="1:7" x14ac:dyDescent="0.2">
      <c r="A259" s="1186" t="s">
        <v>282</v>
      </c>
      <c r="B259" s="1186" t="s">
        <v>854</v>
      </c>
      <c r="C259" s="1186">
        <v>4</v>
      </c>
      <c r="D259" s="1186">
        <v>327</v>
      </c>
      <c r="E259" s="1186">
        <v>2016</v>
      </c>
      <c r="F259" s="1186">
        <v>4</v>
      </c>
      <c r="G259" s="1186">
        <v>192175</v>
      </c>
    </row>
    <row r="260" spans="1:7" x14ac:dyDescent="0.2">
      <c r="A260" s="1186" t="s">
        <v>282</v>
      </c>
      <c r="B260" s="1186" t="s">
        <v>854</v>
      </c>
      <c r="C260" s="1186">
        <v>5</v>
      </c>
      <c r="D260" s="1186">
        <v>947</v>
      </c>
      <c r="E260" s="1186">
        <v>2016</v>
      </c>
      <c r="F260" s="1186">
        <v>5</v>
      </c>
      <c r="G260" s="1186">
        <v>598082</v>
      </c>
    </row>
    <row r="261" spans="1:7" x14ac:dyDescent="0.2">
      <c r="A261" s="1186" t="s">
        <v>282</v>
      </c>
      <c r="B261" s="1186" t="s">
        <v>854</v>
      </c>
      <c r="C261" s="1186">
        <v>6</v>
      </c>
      <c r="D261" s="1186">
        <v>550</v>
      </c>
      <c r="E261" s="1186">
        <v>2016</v>
      </c>
      <c r="F261" s="1186">
        <v>6</v>
      </c>
      <c r="G261" s="1186">
        <v>315497</v>
      </c>
    </row>
    <row r="262" spans="1:7" x14ac:dyDescent="0.2">
      <c r="A262" s="1186" t="s">
        <v>282</v>
      </c>
      <c r="B262" s="1186" t="s">
        <v>855</v>
      </c>
      <c r="C262" s="1186"/>
      <c r="D262" s="1186">
        <v>1</v>
      </c>
      <c r="E262" s="1186"/>
      <c r="F262" s="1186"/>
      <c r="G262" s="1186"/>
    </row>
    <row r="263" spans="1:7" x14ac:dyDescent="0.2">
      <c r="A263" s="1186" t="s">
        <v>282</v>
      </c>
      <c r="B263" s="1186" t="s">
        <v>855</v>
      </c>
      <c r="C263" s="1186">
        <v>1</v>
      </c>
      <c r="D263" s="1186">
        <v>1275</v>
      </c>
      <c r="E263" s="1186">
        <v>2016</v>
      </c>
      <c r="F263" s="1186">
        <v>1</v>
      </c>
      <c r="G263" s="1186">
        <v>1872642</v>
      </c>
    </row>
    <row r="264" spans="1:7" x14ac:dyDescent="0.2">
      <c r="A264" s="1186" t="s">
        <v>282</v>
      </c>
      <c r="B264" s="1186" t="s">
        <v>855</v>
      </c>
      <c r="C264" s="1186">
        <v>2</v>
      </c>
      <c r="D264" s="1186">
        <v>720</v>
      </c>
      <c r="E264" s="1186">
        <v>2016</v>
      </c>
      <c r="F264" s="1186">
        <v>2</v>
      </c>
      <c r="G264" s="1186">
        <v>1960470</v>
      </c>
    </row>
    <row r="265" spans="1:7" x14ac:dyDescent="0.2">
      <c r="A265" s="1186" t="s">
        <v>282</v>
      </c>
      <c r="B265" s="1186" t="s">
        <v>855</v>
      </c>
      <c r="C265" s="1186">
        <v>3</v>
      </c>
      <c r="D265" s="1186">
        <v>100</v>
      </c>
      <c r="E265" s="1186">
        <v>2016</v>
      </c>
      <c r="F265" s="1186">
        <v>3</v>
      </c>
      <c r="G265" s="1186">
        <v>465834</v>
      </c>
    </row>
    <row r="266" spans="1:7" x14ac:dyDescent="0.2">
      <c r="A266" s="1186" t="s">
        <v>282</v>
      </c>
      <c r="B266" s="1186" t="s">
        <v>855</v>
      </c>
      <c r="C266" s="1186">
        <v>4</v>
      </c>
      <c r="D266" s="1186">
        <v>55</v>
      </c>
      <c r="E266" s="1186">
        <v>2016</v>
      </c>
      <c r="F266" s="1186">
        <v>4</v>
      </c>
      <c r="G266" s="1186">
        <v>192175</v>
      </c>
    </row>
    <row r="267" spans="1:7" x14ac:dyDescent="0.2">
      <c r="A267" s="1186" t="s">
        <v>282</v>
      </c>
      <c r="B267" s="1186" t="s">
        <v>855</v>
      </c>
      <c r="C267" s="1186">
        <v>5</v>
      </c>
      <c r="D267" s="1186">
        <v>97</v>
      </c>
      <c r="E267" s="1186">
        <v>2016</v>
      </c>
      <c r="F267" s="1186">
        <v>5</v>
      </c>
      <c r="G267" s="1186">
        <v>598082</v>
      </c>
    </row>
    <row r="268" spans="1:7" x14ac:dyDescent="0.2">
      <c r="A268" s="1186" t="s">
        <v>282</v>
      </c>
      <c r="B268" s="1186" t="s">
        <v>855</v>
      </c>
      <c r="C268" s="1186">
        <v>6</v>
      </c>
      <c r="D268" s="1186">
        <v>33</v>
      </c>
      <c r="E268" s="1186">
        <v>2016</v>
      </c>
      <c r="F268" s="1186">
        <v>6</v>
      </c>
      <c r="G268" s="1186">
        <v>315497</v>
      </c>
    </row>
    <row r="269" spans="1:7" x14ac:dyDescent="0.2">
      <c r="A269" s="1186" t="s">
        <v>282</v>
      </c>
      <c r="B269" s="1186" t="s">
        <v>308</v>
      </c>
      <c r="C269" s="1186"/>
      <c r="D269" s="1186">
        <v>31</v>
      </c>
      <c r="E269" s="1186"/>
      <c r="F269" s="1186"/>
      <c r="G269" s="1186"/>
    </row>
    <row r="270" spans="1:7" x14ac:dyDescent="0.2">
      <c r="A270" s="1186" t="s">
        <v>282</v>
      </c>
      <c r="B270" s="1186" t="s">
        <v>308</v>
      </c>
      <c r="C270" s="1186">
        <v>1</v>
      </c>
      <c r="D270" s="1186">
        <v>6696</v>
      </c>
      <c r="E270" s="1186">
        <v>2016</v>
      </c>
      <c r="F270" s="1186">
        <v>1</v>
      </c>
      <c r="G270" s="1186">
        <v>1872642</v>
      </c>
    </row>
    <row r="271" spans="1:7" x14ac:dyDescent="0.2">
      <c r="A271" s="1186" t="s">
        <v>282</v>
      </c>
      <c r="B271" s="1186" t="s">
        <v>308</v>
      </c>
      <c r="C271" s="1186">
        <v>2</v>
      </c>
      <c r="D271" s="1186">
        <v>5731</v>
      </c>
      <c r="E271" s="1186">
        <v>2016</v>
      </c>
      <c r="F271" s="1186">
        <v>2</v>
      </c>
      <c r="G271" s="1186">
        <v>1960470</v>
      </c>
    </row>
    <row r="272" spans="1:7" x14ac:dyDescent="0.2">
      <c r="A272" s="1186" t="s">
        <v>282</v>
      </c>
      <c r="B272" s="1186" t="s">
        <v>308</v>
      </c>
      <c r="C272" s="1186">
        <v>3</v>
      </c>
      <c r="D272" s="1186">
        <v>916</v>
      </c>
      <c r="E272" s="1186">
        <v>2016</v>
      </c>
      <c r="F272" s="1186">
        <v>3</v>
      </c>
      <c r="G272" s="1186">
        <v>465834</v>
      </c>
    </row>
    <row r="273" spans="1:7" x14ac:dyDescent="0.2">
      <c r="A273" s="1186" t="s">
        <v>282</v>
      </c>
      <c r="B273" s="1186" t="s">
        <v>308</v>
      </c>
      <c r="C273" s="1186">
        <v>4</v>
      </c>
      <c r="D273" s="1186">
        <v>175</v>
      </c>
      <c r="E273" s="1186">
        <v>2016</v>
      </c>
      <c r="F273" s="1186">
        <v>4</v>
      </c>
      <c r="G273" s="1186">
        <v>192175</v>
      </c>
    </row>
    <row r="274" spans="1:7" x14ac:dyDescent="0.2">
      <c r="A274" s="1186" t="s">
        <v>282</v>
      </c>
      <c r="B274" s="1186" t="s">
        <v>308</v>
      </c>
      <c r="C274" s="1186">
        <v>5</v>
      </c>
      <c r="D274" s="1186">
        <v>1517</v>
      </c>
      <c r="E274" s="1186">
        <v>2016</v>
      </c>
      <c r="F274" s="1186">
        <v>5</v>
      </c>
      <c r="G274" s="1186">
        <v>598082</v>
      </c>
    </row>
    <row r="275" spans="1:7" x14ac:dyDescent="0.2">
      <c r="A275" s="1186" t="s">
        <v>282</v>
      </c>
      <c r="B275" s="1186" t="s">
        <v>308</v>
      </c>
      <c r="C275" s="1186">
        <v>6</v>
      </c>
      <c r="D275" s="1186">
        <v>594</v>
      </c>
      <c r="E275" s="1186">
        <v>2016</v>
      </c>
      <c r="F275" s="1186">
        <v>6</v>
      </c>
      <c r="G275" s="1186">
        <v>315497</v>
      </c>
    </row>
    <row r="276" spans="1:7" x14ac:dyDescent="0.2">
      <c r="A276" s="1186" t="s">
        <v>311</v>
      </c>
      <c r="B276" s="1186" t="s">
        <v>828</v>
      </c>
      <c r="C276" s="1186">
        <v>1</v>
      </c>
      <c r="D276" s="1186">
        <v>2415</v>
      </c>
      <c r="E276" s="1186">
        <v>2017</v>
      </c>
      <c r="F276" s="1186">
        <v>1</v>
      </c>
      <c r="G276" s="1186">
        <v>1884644</v>
      </c>
    </row>
    <row r="277" spans="1:7" x14ac:dyDescent="0.2">
      <c r="A277" s="1186" t="s">
        <v>311</v>
      </c>
      <c r="B277" s="1186" t="s">
        <v>828</v>
      </c>
      <c r="C277" s="1186">
        <v>2</v>
      </c>
      <c r="D277" s="1186">
        <v>1903</v>
      </c>
      <c r="E277" s="1186">
        <v>2017</v>
      </c>
      <c r="F277" s="1186">
        <v>2</v>
      </c>
      <c r="G277" s="1186">
        <v>1961709</v>
      </c>
    </row>
    <row r="278" spans="1:7" x14ac:dyDescent="0.2">
      <c r="A278" s="1186" t="s">
        <v>311</v>
      </c>
      <c r="B278" s="1186" t="s">
        <v>828</v>
      </c>
      <c r="C278" s="1186">
        <v>3</v>
      </c>
      <c r="D278" s="1186">
        <v>324</v>
      </c>
      <c r="E278" s="1186">
        <v>2017</v>
      </c>
      <c r="F278" s="1186">
        <v>3</v>
      </c>
      <c r="G278" s="1186">
        <v>467115</v>
      </c>
    </row>
    <row r="279" spans="1:7" x14ac:dyDescent="0.2">
      <c r="A279" s="1186" t="s">
        <v>311</v>
      </c>
      <c r="B279" s="1186" t="s">
        <v>828</v>
      </c>
      <c r="C279" s="1186">
        <v>4</v>
      </c>
      <c r="D279" s="1186">
        <v>143</v>
      </c>
      <c r="E279" s="1186">
        <v>2017</v>
      </c>
      <c r="F279" s="1186">
        <v>4</v>
      </c>
      <c r="G279" s="1186">
        <v>191497</v>
      </c>
    </row>
    <row r="280" spans="1:7" x14ac:dyDescent="0.2">
      <c r="A280" s="1186" t="s">
        <v>311</v>
      </c>
      <c r="B280" s="1186" t="s">
        <v>828</v>
      </c>
      <c r="C280" s="1186">
        <v>5</v>
      </c>
      <c r="D280" s="1186">
        <v>326</v>
      </c>
      <c r="E280" s="1186">
        <v>2017</v>
      </c>
      <c r="F280" s="1186">
        <v>5</v>
      </c>
      <c r="G280" s="1186">
        <v>603678</v>
      </c>
    </row>
    <row r="281" spans="1:7" x14ac:dyDescent="0.2">
      <c r="A281" s="1186" t="s">
        <v>311</v>
      </c>
      <c r="B281" s="1186" t="s">
        <v>828</v>
      </c>
      <c r="C281" s="1186">
        <v>6</v>
      </c>
      <c r="D281" s="1186">
        <v>200</v>
      </c>
      <c r="E281" s="1186">
        <v>2017</v>
      </c>
      <c r="F281" s="1186">
        <v>6</v>
      </c>
      <c r="G281" s="1186">
        <v>316157</v>
      </c>
    </row>
    <row r="282" spans="1:7" x14ac:dyDescent="0.2">
      <c r="A282" s="1186" t="s">
        <v>311</v>
      </c>
      <c r="B282" s="1186" t="s">
        <v>850</v>
      </c>
      <c r="C282" s="1186"/>
      <c r="D282" s="1186">
        <v>1</v>
      </c>
      <c r="E282" s="1186"/>
      <c r="F282" s="1186"/>
      <c r="G282" s="1186"/>
    </row>
    <row r="283" spans="1:7" x14ac:dyDescent="0.2">
      <c r="A283" s="1186" t="s">
        <v>311</v>
      </c>
      <c r="B283" s="1186" t="s">
        <v>850</v>
      </c>
      <c r="C283" s="1186">
        <v>1</v>
      </c>
      <c r="D283" s="1186">
        <v>885</v>
      </c>
      <c r="E283" s="1186">
        <v>2017</v>
      </c>
      <c r="F283" s="1186">
        <v>1</v>
      </c>
      <c r="G283" s="1186">
        <v>1884644</v>
      </c>
    </row>
    <row r="284" spans="1:7" x14ac:dyDescent="0.2">
      <c r="A284" s="1186" t="s">
        <v>311</v>
      </c>
      <c r="B284" s="1186" t="s">
        <v>850</v>
      </c>
      <c r="C284" s="1186">
        <v>2</v>
      </c>
      <c r="D284" s="1186">
        <v>810</v>
      </c>
      <c r="E284" s="1186">
        <v>2017</v>
      </c>
      <c r="F284" s="1186">
        <v>2</v>
      </c>
      <c r="G284" s="1186">
        <v>1961709</v>
      </c>
    </row>
    <row r="285" spans="1:7" x14ac:dyDescent="0.2">
      <c r="A285" s="1186" t="s">
        <v>311</v>
      </c>
      <c r="B285" s="1186" t="s">
        <v>850</v>
      </c>
      <c r="C285" s="1186">
        <v>3</v>
      </c>
      <c r="D285" s="1186">
        <v>145</v>
      </c>
      <c r="E285" s="1186">
        <v>2017</v>
      </c>
      <c r="F285" s="1186">
        <v>3</v>
      </c>
      <c r="G285" s="1186">
        <v>467115</v>
      </c>
    </row>
    <row r="286" spans="1:7" x14ac:dyDescent="0.2">
      <c r="A286" s="1186" t="s">
        <v>311</v>
      </c>
      <c r="B286" s="1186" t="s">
        <v>850</v>
      </c>
      <c r="C286" s="1186">
        <v>4</v>
      </c>
      <c r="D286" s="1186">
        <v>59</v>
      </c>
      <c r="E286" s="1186">
        <v>2017</v>
      </c>
      <c r="F286" s="1186">
        <v>4</v>
      </c>
      <c r="G286" s="1186">
        <v>191497</v>
      </c>
    </row>
    <row r="287" spans="1:7" x14ac:dyDescent="0.2">
      <c r="A287" s="1186" t="s">
        <v>311</v>
      </c>
      <c r="B287" s="1186" t="s">
        <v>850</v>
      </c>
      <c r="C287" s="1186">
        <v>5</v>
      </c>
      <c r="D287" s="1186">
        <v>265</v>
      </c>
      <c r="E287" s="1186">
        <v>2017</v>
      </c>
      <c r="F287" s="1186">
        <v>5</v>
      </c>
      <c r="G287" s="1186">
        <v>603678</v>
      </c>
    </row>
    <row r="288" spans="1:7" x14ac:dyDescent="0.2">
      <c r="A288" s="1186" t="s">
        <v>311</v>
      </c>
      <c r="B288" s="1186" t="s">
        <v>850</v>
      </c>
      <c r="C288" s="1186">
        <v>6</v>
      </c>
      <c r="D288" s="1186">
        <v>122</v>
      </c>
      <c r="E288" s="1186">
        <v>2017</v>
      </c>
      <c r="F288" s="1186">
        <v>6</v>
      </c>
      <c r="G288" s="1186">
        <v>316157</v>
      </c>
    </row>
    <row r="289" spans="1:7" x14ac:dyDescent="0.2">
      <c r="A289" s="1186" t="s">
        <v>311</v>
      </c>
      <c r="B289" s="1186" t="s">
        <v>851</v>
      </c>
      <c r="C289" s="1186"/>
      <c r="D289" s="1186">
        <v>2</v>
      </c>
      <c r="E289" s="1186"/>
      <c r="F289" s="1186"/>
      <c r="G289" s="1186"/>
    </row>
    <row r="290" spans="1:7" x14ac:dyDescent="0.2">
      <c r="A290" s="1186" t="s">
        <v>311</v>
      </c>
      <c r="B290" s="1186" t="s">
        <v>851</v>
      </c>
      <c r="C290" s="1186">
        <v>1</v>
      </c>
      <c r="D290" s="1186">
        <v>726</v>
      </c>
      <c r="E290" s="1186">
        <v>2017</v>
      </c>
      <c r="F290" s="1186">
        <v>1</v>
      </c>
      <c r="G290" s="1186">
        <v>1884644</v>
      </c>
    </row>
    <row r="291" spans="1:7" x14ac:dyDescent="0.2">
      <c r="A291" s="1186" t="s">
        <v>311</v>
      </c>
      <c r="B291" s="1186" t="s">
        <v>851</v>
      </c>
      <c r="C291" s="1186">
        <v>2</v>
      </c>
      <c r="D291" s="1186">
        <v>636</v>
      </c>
      <c r="E291" s="1186">
        <v>2017</v>
      </c>
      <c r="F291" s="1186">
        <v>2</v>
      </c>
      <c r="G291" s="1186">
        <v>1961709</v>
      </c>
    </row>
    <row r="292" spans="1:7" x14ac:dyDescent="0.2">
      <c r="A292" s="1186" t="s">
        <v>311</v>
      </c>
      <c r="B292" s="1186" t="s">
        <v>851</v>
      </c>
      <c r="C292" s="1186">
        <v>3</v>
      </c>
      <c r="D292" s="1186">
        <v>120</v>
      </c>
      <c r="E292" s="1186">
        <v>2017</v>
      </c>
      <c r="F292" s="1186">
        <v>3</v>
      </c>
      <c r="G292" s="1186">
        <v>467115</v>
      </c>
    </row>
    <row r="293" spans="1:7" x14ac:dyDescent="0.2">
      <c r="A293" s="1186" t="s">
        <v>311</v>
      </c>
      <c r="B293" s="1186" t="s">
        <v>851</v>
      </c>
      <c r="C293" s="1186">
        <v>4</v>
      </c>
      <c r="D293" s="1186">
        <v>39</v>
      </c>
      <c r="E293" s="1186">
        <v>2017</v>
      </c>
      <c r="F293" s="1186">
        <v>4</v>
      </c>
      <c r="G293" s="1186">
        <v>191497</v>
      </c>
    </row>
    <row r="294" spans="1:7" x14ac:dyDescent="0.2">
      <c r="A294" s="1186" t="s">
        <v>311</v>
      </c>
      <c r="B294" s="1186" t="s">
        <v>851</v>
      </c>
      <c r="C294" s="1186">
        <v>5</v>
      </c>
      <c r="D294" s="1186">
        <v>368</v>
      </c>
      <c r="E294" s="1186">
        <v>2017</v>
      </c>
      <c r="F294" s="1186">
        <v>5</v>
      </c>
      <c r="G294" s="1186">
        <v>603678</v>
      </c>
    </row>
    <row r="295" spans="1:7" x14ac:dyDescent="0.2">
      <c r="A295" s="1186" t="s">
        <v>311</v>
      </c>
      <c r="B295" s="1186" t="s">
        <v>851</v>
      </c>
      <c r="C295" s="1186">
        <v>6</v>
      </c>
      <c r="D295" s="1186">
        <v>125</v>
      </c>
      <c r="E295" s="1186">
        <v>2017</v>
      </c>
      <c r="F295" s="1186">
        <v>6</v>
      </c>
      <c r="G295" s="1186">
        <v>316157</v>
      </c>
    </row>
    <row r="296" spans="1:7" x14ac:dyDescent="0.2">
      <c r="A296" s="1186" t="s">
        <v>311</v>
      </c>
      <c r="B296" s="1186" t="s">
        <v>852</v>
      </c>
      <c r="C296" s="1186"/>
      <c r="D296" s="1186">
        <v>10</v>
      </c>
      <c r="E296" s="1186"/>
      <c r="F296" s="1186"/>
      <c r="G296" s="1186"/>
    </row>
    <row r="297" spans="1:7" x14ac:dyDescent="0.2">
      <c r="A297" s="1186" t="s">
        <v>311</v>
      </c>
      <c r="B297" s="1186" t="s">
        <v>852</v>
      </c>
      <c r="C297" s="1186">
        <v>1</v>
      </c>
      <c r="D297" s="1186">
        <v>258</v>
      </c>
      <c r="E297" s="1186">
        <v>2017</v>
      </c>
      <c r="F297" s="1186">
        <v>1</v>
      </c>
      <c r="G297" s="1186">
        <v>1884644</v>
      </c>
    </row>
    <row r="298" spans="1:7" x14ac:dyDescent="0.2">
      <c r="A298" s="1186" t="s">
        <v>311</v>
      </c>
      <c r="B298" s="1186" t="s">
        <v>852</v>
      </c>
      <c r="C298" s="1186">
        <v>2</v>
      </c>
      <c r="D298" s="1186">
        <v>361</v>
      </c>
      <c r="E298" s="1186">
        <v>2017</v>
      </c>
      <c r="F298" s="1186">
        <v>2</v>
      </c>
      <c r="G298" s="1186">
        <v>1961709</v>
      </c>
    </row>
    <row r="299" spans="1:7" x14ac:dyDescent="0.2">
      <c r="A299" s="1186" t="s">
        <v>311</v>
      </c>
      <c r="B299" s="1186" t="s">
        <v>852</v>
      </c>
      <c r="C299" s="1186">
        <v>3</v>
      </c>
      <c r="D299" s="1186">
        <v>80</v>
      </c>
      <c r="E299" s="1186">
        <v>2017</v>
      </c>
      <c r="F299" s="1186">
        <v>3</v>
      </c>
      <c r="G299" s="1186">
        <v>467115</v>
      </c>
    </row>
    <row r="300" spans="1:7" x14ac:dyDescent="0.2">
      <c r="A300" s="1186" t="s">
        <v>311</v>
      </c>
      <c r="B300" s="1186" t="s">
        <v>852</v>
      </c>
      <c r="C300" s="1186">
        <v>4</v>
      </c>
      <c r="D300" s="1186">
        <v>13</v>
      </c>
      <c r="E300" s="1186">
        <v>2017</v>
      </c>
      <c r="F300" s="1186">
        <v>4</v>
      </c>
      <c r="G300" s="1186">
        <v>191497</v>
      </c>
    </row>
    <row r="301" spans="1:7" x14ac:dyDescent="0.2">
      <c r="A301" s="1186" t="s">
        <v>311</v>
      </c>
      <c r="B301" s="1186" t="s">
        <v>852</v>
      </c>
      <c r="C301" s="1186">
        <v>5</v>
      </c>
      <c r="D301" s="1186">
        <v>252</v>
      </c>
      <c r="E301" s="1186">
        <v>2017</v>
      </c>
      <c r="F301" s="1186">
        <v>5</v>
      </c>
      <c r="G301" s="1186">
        <v>603678</v>
      </c>
    </row>
    <row r="302" spans="1:7" x14ac:dyDescent="0.2">
      <c r="A302" s="1186" t="s">
        <v>311</v>
      </c>
      <c r="B302" s="1186" t="s">
        <v>852</v>
      </c>
      <c r="C302" s="1186">
        <v>6</v>
      </c>
      <c r="D302" s="1186">
        <v>84</v>
      </c>
      <c r="E302" s="1186">
        <v>2017</v>
      </c>
      <c r="F302" s="1186">
        <v>6</v>
      </c>
      <c r="G302" s="1186">
        <v>316157</v>
      </c>
    </row>
    <row r="303" spans="1:7" x14ac:dyDescent="0.2">
      <c r="A303" s="1186" t="s">
        <v>311</v>
      </c>
      <c r="B303" s="1186" t="s">
        <v>853</v>
      </c>
      <c r="C303" s="1186"/>
      <c r="D303" s="1186">
        <v>11</v>
      </c>
      <c r="E303" s="1186"/>
      <c r="F303" s="1186"/>
      <c r="G303" s="1186"/>
    </row>
    <row r="304" spans="1:7" x14ac:dyDescent="0.2">
      <c r="A304" s="1186" t="s">
        <v>311</v>
      </c>
      <c r="B304" s="1186" t="s">
        <v>853</v>
      </c>
      <c r="C304" s="1186">
        <v>1</v>
      </c>
      <c r="D304" s="1186">
        <v>18087</v>
      </c>
      <c r="E304" s="1186">
        <v>2017</v>
      </c>
      <c r="F304" s="1186">
        <v>1</v>
      </c>
      <c r="G304" s="1186">
        <v>1884644</v>
      </c>
    </row>
    <row r="305" spans="1:7" x14ac:dyDescent="0.2">
      <c r="A305" s="1186" t="s">
        <v>311</v>
      </c>
      <c r="B305" s="1186" t="s">
        <v>853</v>
      </c>
      <c r="C305" s="1186">
        <v>2</v>
      </c>
      <c r="D305" s="1186">
        <v>13627</v>
      </c>
      <c r="E305" s="1186">
        <v>2017</v>
      </c>
      <c r="F305" s="1186">
        <v>2</v>
      </c>
      <c r="G305" s="1186">
        <v>1961709</v>
      </c>
    </row>
    <row r="306" spans="1:7" x14ac:dyDescent="0.2">
      <c r="A306" s="1186" t="s">
        <v>311</v>
      </c>
      <c r="B306" s="1186" t="s">
        <v>853</v>
      </c>
      <c r="C306" s="1186">
        <v>3</v>
      </c>
      <c r="D306" s="1186">
        <v>2417</v>
      </c>
      <c r="E306" s="1186">
        <v>2017</v>
      </c>
      <c r="F306" s="1186">
        <v>3</v>
      </c>
      <c r="G306" s="1186">
        <v>467115</v>
      </c>
    </row>
    <row r="307" spans="1:7" x14ac:dyDescent="0.2">
      <c r="A307" s="1186" t="s">
        <v>311</v>
      </c>
      <c r="B307" s="1186" t="s">
        <v>853</v>
      </c>
      <c r="C307" s="1186">
        <v>4</v>
      </c>
      <c r="D307" s="1186">
        <v>1350</v>
      </c>
      <c r="E307" s="1186">
        <v>2017</v>
      </c>
      <c r="F307" s="1186">
        <v>4</v>
      </c>
      <c r="G307" s="1186">
        <v>191497</v>
      </c>
    </row>
    <row r="308" spans="1:7" x14ac:dyDescent="0.2">
      <c r="A308" s="1186" t="s">
        <v>311</v>
      </c>
      <c r="B308" s="1186" t="s">
        <v>853</v>
      </c>
      <c r="C308" s="1186">
        <v>5</v>
      </c>
      <c r="D308" s="1186">
        <v>3107</v>
      </c>
      <c r="E308" s="1186">
        <v>2017</v>
      </c>
      <c r="F308" s="1186">
        <v>5</v>
      </c>
      <c r="G308" s="1186">
        <v>603678</v>
      </c>
    </row>
    <row r="309" spans="1:7" x14ac:dyDescent="0.2">
      <c r="A309" s="1186" t="s">
        <v>311</v>
      </c>
      <c r="B309" s="1186" t="s">
        <v>853</v>
      </c>
      <c r="C309" s="1186">
        <v>6</v>
      </c>
      <c r="D309" s="1186">
        <v>1837</v>
      </c>
      <c r="E309" s="1186">
        <v>2017</v>
      </c>
      <c r="F309" s="1186">
        <v>6</v>
      </c>
      <c r="G309" s="1186">
        <v>316157</v>
      </c>
    </row>
    <row r="310" spans="1:7" x14ac:dyDescent="0.2">
      <c r="A310" s="1186" t="s">
        <v>311</v>
      </c>
      <c r="B310" s="1186" t="s">
        <v>854</v>
      </c>
      <c r="C310" s="1186"/>
      <c r="D310" s="1186">
        <v>10</v>
      </c>
      <c r="E310" s="1186"/>
      <c r="F310" s="1186"/>
      <c r="G310" s="1186"/>
    </row>
    <row r="311" spans="1:7" x14ac:dyDescent="0.2">
      <c r="A311" s="1186" t="s">
        <v>311</v>
      </c>
      <c r="B311" s="1186" t="s">
        <v>854</v>
      </c>
      <c r="C311" s="1186">
        <v>1</v>
      </c>
      <c r="D311" s="1186">
        <v>3294</v>
      </c>
      <c r="E311" s="1186">
        <v>2017</v>
      </c>
      <c r="F311" s="1186">
        <v>1</v>
      </c>
      <c r="G311" s="1186">
        <v>1884644</v>
      </c>
    </row>
    <row r="312" spans="1:7" x14ac:dyDescent="0.2">
      <c r="A312" s="1186" t="s">
        <v>311</v>
      </c>
      <c r="B312" s="1186" t="s">
        <v>854</v>
      </c>
      <c r="C312" s="1186">
        <v>2</v>
      </c>
      <c r="D312" s="1186">
        <v>3171</v>
      </c>
      <c r="E312" s="1186">
        <v>2017</v>
      </c>
      <c r="F312" s="1186">
        <v>2</v>
      </c>
      <c r="G312" s="1186">
        <v>1961709</v>
      </c>
    </row>
    <row r="313" spans="1:7" x14ac:dyDescent="0.2">
      <c r="A313" s="1186" t="s">
        <v>311</v>
      </c>
      <c r="B313" s="1186" t="s">
        <v>854</v>
      </c>
      <c r="C313" s="1186">
        <v>3</v>
      </c>
      <c r="D313" s="1186">
        <v>666</v>
      </c>
      <c r="E313" s="1186">
        <v>2017</v>
      </c>
      <c r="F313" s="1186">
        <v>3</v>
      </c>
      <c r="G313" s="1186">
        <v>467115</v>
      </c>
    </row>
    <row r="314" spans="1:7" x14ac:dyDescent="0.2">
      <c r="A314" s="1186" t="s">
        <v>311</v>
      </c>
      <c r="B314" s="1186" t="s">
        <v>854</v>
      </c>
      <c r="C314" s="1186">
        <v>4</v>
      </c>
      <c r="D314" s="1186">
        <v>332</v>
      </c>
      <c r="E314" s="1186">
        <v>2017</v>
      </c>
      <c r="F314" s="1186">
        <v>4</v>
      </c>
      <c r="G314" s="1186">
        <v>191497</v>
      </c>
    </row>
    <row r="315" spans="1:7" x14ac:dyDescent="0.2">
      <c r="A315" s="1186" t="s">
        <v>311</v>
      </c>
      <c r="B315" s="1186" t="s">
        <v>854</v>
      </c>
      <c r="C315" s="1186">
        <v>5</v>
      </c>
      <c r="D315" s="1186">
        <v>1067</v>
      </c>
      <c r="E315" s="1186">
        <v>2017</v>
      </c>
      <c r="F315" s="1186">
        <v>5</v>
      </c>
      <c r="G315" s="1186">
        <v>603678</v>
      </c>
    </row>
    <row r="316" spans="1:7" x14ac:dyDescent="0.2">
      <c r="A316" s="1186" t="s">
        <v>311</v>
      </c>
      <c r="B316" s="1186" t="s">
        <v>854</v>
      </c>
      <c r="C316" s="1186">
        <v>6</v>
      </c>
      <c r="D316" s="1186">
        <v>571</v>
      </c>
      <c r="E316" s="1186">
        <v>2017</v>
      </c>
      <c r="F316" s="1186">
        <v>6</v>
      </c>
      <c r="G316" s="1186">
        <v>316157</v>
      </c>
    </row>
    <row r="317" spans="1:7" x14ac:dyDescent="0.2">
      <c r="A317" s="1186" t="s">
        <v>311</v>
      </c>
      <c r="B317" s="1186" t="s">
        <v>855</v>
      </c>
      <c r="C317" s="1186"/>
      <c r="D317" s="1186">
        <v>2</v>
      </c>
      <c r="E317" s="1186"/>
      <c r="F317" s="1186"/>
      <c r="G317" s="1186"/>
    </row>
    <row r="318" spans="1:7" x14ac:dyDescent="0.2">
      <c r="A318" s="1186" t="s">
        <v>311</v>
      </c>
      <c r="B318" s="1186" t="s">
        <v>855</v>
      </c>
      <c r="C318" s="1186">
        <v>1</v>
      </c>
      <c r="D318" s="1186">
        <v>1241</v>
      </c>
      <c r="E318" s="1186">
        <v>2017</v>
      </c>
      <c r="F318" s="1186">
        <v>1</v>
      </c>
      <c r="G318" s="1186">
        <v>1884644</v>
      </c>
    </row>
    <row r="319" spans="1:7" x14ac:dyDescent="0.2">
      <c r="A319" s="1186" t="s">
        <v>311</v>
      </c>
      <c r="B319" s="1186" t="s">
        <v>855</v>
      </c>
      <c r="C319" s="1186">
        <v>2</v>
      </c>
      <c r="D319" s="1186">
        <v>779</v>
      </c>
      <c r="E319" s="1186">
        <v>2017</v>
      </c>
      <c r="F319" s="1186">
        <v>2</v>
      </c>
      <c r="G319" s="1186">
        <v>1961709</v>
      </c>
    </row>
    <row r="320" spans="1:7" x14ac:dyDescent="0.2">
      <c r="A320" s="1186" t="s">
        <v>311</v>
      </c>
      <c r="B320" s="1186" t="s">
        <v>855</v>
      </c>
      <c r="C320" s="1186">
        <v>3</v>
      </c>
      <c r="D320" s="1186">
        <v>91</v>
      </c>
      <c r="E320" s="1186">
        <v>2017</v>
      </c>
      <c r="F320" s="1186">
        <v>3</v>
      </c>
      <c r="G320" s="1186">
        <v>467115</v>
      </c>
    </row>
    <row r="321" spans="1:7" x14ac:dyDescent="0.2">
      <c r="A321" s="1186" t="s">
        <v>311</v>
      </c>
      <c r="B321" s="1186" t="s">
        <v>855</v>
      </c>
      <c r="C321" s="1186">
        <v>4</v>
      </c>
      <c r="D321" s="1186">
        <v>45</v>
      </c>
      <c r="E321" s="1186">
        <v>2017</v>
      </c>
      <c r="F321" s="1186">
        <v>4</v>
      </c>
      <c r="G321" s="1186">
        <v>191497</v>
      </c>
    </row>
    <row r="322" spans="1:7" x14ac:dyDescent="0.2">
      <c r="A322" s="1186" t="s">
        <v>311</v>
      </c>
      <c r="B322" s="1186" t="s">
        <v>855</v>
      </c>
      <c r="C322" s="1186">
        <v>5</v>
      </c>
      <c r="D322" s="1186">
        <v>143</v>
      </c>
      <c r="E322" s="1186">
        <v>2017</v>
      </c>
      <c r="F322" s="1186">
        <v>5</v>
      </c>
      <c r="G322" s="1186">
        <v>603678</v>
      </c>
    </row>
    <row r="323" spans="1:7" x14ac:dyDescent="0.2">
      <c r="A323" s="1186" t="s">
        <v>311</v>
      </c>
      <c r="B323" s="1186" t="s">
        <v>855</v>
      </c>
      <c r="C323" s="1186">
        <v>6</v>
      </c>
      <c r="D323" s="1186">
        <v>36</v>
      </c>
      <c r="E323" s="1186">
        <v>2017</v>
      </c>
      <c r="F323" s="1186">
        <v>6</v>
      </c>
      <c r="G323" s="1186">
        <v>316157</v>
      </c>
    </row>
    <row r="324" spans="1:7" x14ac:dyDescent="0.2">
      <c r="A324" s="1186" t="s">
        <v>311</v>
      </c>
      <c r="B324" s="1186" t="s">
        <v>308</v>
      </c>
      <c r="C324" s="1186"/>
      <c r="D324" s="1186">
        <v>33</v>
      </c>
      <c r="E324" s="1186"/>
      <c r="F324" s="1186"/>
      <c r="G324" s="1186"/>
    </row>
    <row r="325" spans="1:7" x14ac:dyDescent="0.2">
      <c r="A325" s="1186" t="s">
        <v>311</v>
      </c>
      <c r="B325" s="1186" t="s">
        <v>308</v>
      </c>
      <c r="C325" s="1186">
        <v>1</v>
      </c>
      <c r="D325" s="1186">
        <v>6070</v>
      </c>
      <c r="E325" s="1186">
        <v>2017</v>
      </c>
      <c r="F325" s="1186">
        <v>1</v>
      </c>
      <c r="G325" s="1186">
        <v>1884644</v>
      </c>
    </row>
    <row r="326" spans="1:7" x14ac:dyDescent="0.2">
      <c r="A326" s="1186" t="s">
        <v>311</v>
      </c>
      <c r="B326" s="1186" t="s">
        <v>308</v>
      </c>
      <c r="C326" s="1186">
        <v>2</v>
      </c>
      <c r="D326" s="1186">
        <v>5329</v>
      </c>
      <c r="E326" s="1186">
        <v>2017</v>
      </c>
      <c r="F326" s="1186">
        <v>2</v>
      </c>
      <c r="G326" s="1186">
        <v>1961709</v>
      </c>
    </row>
    <row r="327" spans="1:7" x14ac:dyDescent="0.2">
      <c r="A327" s="1186" t="s">
        <v>311</v>
      </c>
      <c r="B327" s="1186" t="s">
        <v>308</v>
      </c>
      <c r="C327" s="1186">
        <v>3</v>
      </c>
      <c r="D327" s="1186">
        <v>864</v>
      </c>
      <c r="E327" s="1186">
        <v>2017</v>
      </c>
      <c r="F327" s="1186">
        <v>3</v>
      </c>
      <c r="G327" s="1186">
        <v>467115</v>
      </c>
    </row>
    <row r="328" spans="1:7" x14ac:dyDescent="0.2">
      <c r="A328" s="1186" t="s">
        <v>311</v>
      </c>
      <c r="B328" s="1186" t="s">
        <v>308</v>
      </c>
      <c r="C328" s="1186">
        <v>4</v>
      </c>
      <c r="D328" s="1186">
        <v>215</v>
      </c>
      <c r="E328" s="1186">
        <v>2017</v>
      </c>
      <c r="F328" s="1186">
        <v>4</v>
      </c>
      <c r="G328" s="1186">
        <v>191497</v>
      </c>
    </row>
    <row r="329" spans="1:7" x14ac:dyDescent="0.2">
      <c r="A329" s="1186" t="s">
        <v>311</v>
      </c>
      <c r="B329" s="1186" t="s">
        <v>308</v>
      </c>
      <c r="C329" s="1186">
        <v>5</v>
      </c>
      <c r="D329" s="1186">
        <v>1601</v>
      </c>
      <c r="E329" s="1186">
        <v>2017</v>
      </c>
      <c r="F329" s="1186">
        <v>5</v>
      </c>
      <c r="G329" s="1186">
        <v>603678</v>
      </c>
    </row>
    <row r="330" spans="1:7" x14ac:dyDescent="0.2">
      <c r="A330" s="1186" t="s">
        <v>311</v>
      </c>
      <c r="B330" s="1186" t="s">
        <v>308</v>
      </c>
      <c r="C330" s="1186">
        <v>6</v>
      </c>
      <c r="D330" s="1186">
        <v>616</v>
      </c>
      <c r="E330" s="1186">
        <v>2017</v>
      </c>
      <c r="F330" s="1186">
        <v>6</v>
      </c>
      <c r="G330" s="1186">
        <v>316157</v>
      </c>
    </row>
    <row r="331" spans="1:7" x14ac:dyDescent="0.2">
      <c r="A331" s="1186" t="s">
        <v>621</v>
      </c>
      <c r="B331" s="1186" t="s">
        <v>828</v>
      </c>
      <c r="C331" s="1186">
        <v>1</v>
      </c>
      <c r="D331" s="1186">
        <v>2315</v>
      </c>
      <c r="E331" s="1186">
        <v>2018</v>
      </c>
      <c r="F331" s="1186">
        <v>1</v>
      </c>
      <c r="G331" s="1186">
        <v>1894973</v>
      </c>
    </row>
    <row r="332" spans="1:7" x14ac:dyDescent="0.2">
      <c r="A332" s="1186" t="s">
        <v>621</v>
      </c>
      <c r="B332" s="1186" t="s">
        <v>828</v>
      </c>
      <c r="C332" s="1186">
        <v>2</v>
      </c>
      <c r="D332" s="1186">
        <v>1775</v>
      </c>
      <c r="E332" s="1186">
        <v>2018</v>
      </c>
      <c r="F332" s="1186">
        <v>2</v>
      </c>
      <c r="G332" s="1186">
        <v>1959405</v>
      </c>
    </row>
    <row r="333" spans="1:7" x14ac:dyDescent="0.2">
      <c r="A333" s="1186" t="s">
        <v>621</v>
      </c>
      <c r="B333" s="1186" t="s">
        <v>828</v>
      </c>
      <c r="C333" s="1186">
        <v>3</v>
      </c>
      <c r="D333" s="1186">
        <v>334</v>
      </c>
      <c r="E333" s="1186">
        <v>2018</v>
      </c>
      <c r="F333" s="1186">
        <v>3</v>
      </c>
      <c r="G333" s="1186">
        <v>467717</v>
      </c>
    </row>
    <row r="334" spans="1:7" x14ac:dyDescent="0.2">
      <c r="A334" s="1186" t="s">
        <v>621</v>
      </c>
      <c r="B334" s="1186" t="s">
        <v>828</v>
      </c>
      <c r="C334" s="1186">
        <v>4</v>
      </c>
      <c r="D334" s="1186">
        <v>166</v>
      </c>
      <c r="E334" s="1186">
        <v>2018</v>
      </c>
      <c r="F334" s="1186">
        <v>4</v>
      </c>
      <c r="G334" s="1186">
        <v>191207</v>
      </c>
    </row>
    <row r="335" spans="1:7" x14ac:dyDescent="0.2">
      <c r="A335" s="1186" t="s">
        <v>621</v>
      </c>
      <c r="B335" s="1186" t="s">
        <v>828</v>
      </c>
      <c r="C335" s="1186">
        <v>5</v>
      </c>
      <c r="D335" s="1186">
        <v>337</v>
      </c>
      <c r="E335" s="1186">
        <v>2018</v>
      </c>
      <c r="F335" s="1186">
        <v>5</v>
      </c>
      <c r="G335" s="1186">
        <v>608611</v>
      </c>
    </row>
    <row r="336" spans="1:7" x14ac:dyDescent="0.2">
      <c r="A336" s="1186" t="s">
        <v>621</v>
      </c>
      <c r="B336" s="1186" t="s">
        <v>828</v>
      </c>
      <c r="C336" s="1186">
        <v>6</v>
      </c>
      <c r="D336" s="1186">
        <v>218</v>
      </c>
      <c r="E336" s="1186">
        <v>2018</v>
      </c>
      <c r="F336" s="1186">
        <v>6</v>
      </c>
      <c r="G336" s="1186">
        <v>316187</v>
      </c>
    </row>
    <row r="337" spans="1:7" x14ac:dyDescent="0.2">
      <c r="A337" s="1186" t="s">
        <v>621</v>
      </c>
      <c r="B337" s="1186" t="s">
        <v>850</v>
      </c>
      <c r="C337" s="1186">
        <v>1</v>
      </c>
      <c r="D337" s="1186">
        <v>907</v>
      </c>
      <c r="E337" s="1186">
        <v>2018</v>
      </c>
      <c r="F337" s="1186">
        <v>1</v>
      </c>
      <c r="G337" s="1186">
        <v>1894973</v>
      </c>
    </row>
    <row r="338" spans="1:7" x14ac:dyDescent="0.2">
      <c r="A338" s="1186" t="s">
        <v>621</v>
      </c>
      <c r="B338" s="1186" t="s">
        <v>850</v>
      </c>
      <c r="C338" s="1186">
        <v>2</v>
      </c>
      <c r="D338" s="1186">
        <v>747</v>
      </c>
      <c r="E338" s="1186">
        <v>2018</v>
      </c>
      <c r="F338" s="1186">
        <v>2</v>
      </c>
      <c r="G338" s="1186">
        <v>1959405</v>
      </c>
    </row>
    <row r="339" spans="1:7" x14ac:dyDescent="0.2">
      <c r="A339" s="1186" t="s">
        <v>621</v>
      </c>
      <c r="B339" s="1186" t="s">
        <v>850</v>
      </c>
      <c r="C339" s="1186">
        <v>3</v>
      </c>
      <c r="D339" s="1186">
        <v>140</v>
      </c>
      <c r="E339" s="1186">
        <v>2018</v>
      </c>
      <c r="F339" s="1186">
        <v>3</v>
      </c>
      <c r="G339" s="1186">
        <v>467717</v>
      </c>
    </row>
    <row r="340" spans="1:7" x14ac:dyDescent="0.2">
      <c r="A340" s="1186" t="s">
        <v>621</v>
      </c>
      <c r="B340" s="1186" t="s">
        <v>850</v>
      </c>
      <c r="C340" s="1186">
        <v>4</v>
      </c>
      <c r="D340" s="1186">
        <v>66</v>
      </c>
      <c r="E340" s="1186">
        <v>2018</v>
      </c>
      <c r="F340" s="1186">
        <v>4</v>
      </c>
      <c r="G340" s="1186">
        <v>191207</v>
      </c>
    </row>
    <row r="341" spans="1:7" x14ac:dyDescent="0.2">
      <c r="A341" s="1186" t="s">
        <v>621</v>
      </c>
      <c r="B341" s="1186" t="s">
        <v>850</v>
      </c>
      <c r="C341" s="1186">
        <v>5</v>
      </c>
      <c r="D341" s="1186">
        <v>234</v>
      </c>
      <c r="E341" s="1186">
        <v>2018</v>
      </c>
      <c r="F341" s="1186">
        <v>5</v>
      </c>
      <c r="G341" s="1186">
        <v>608611</v>
      </c>
    </row>
    <row r="342" spans="1:7" x14ac:dyDescent="0.2">
      <c r="A342" s="1186" t="s">
        <v>621</v>
      </c>
      <c r="B342" s="1186" t="s">
        <v>850</v>
      </c>
      <c r="C342" s="1186">
        <v>6</v>
      </c>
      <c r="D342" s="1186">
        <v>158</v>
      </c>
      <c r="E342" s="1186">
        <v>2018</v>
      </c>
      <c r="F342" s="1186">
        <v>6</v>
      </c>
      <c r="G342" s="1186">
        <v>316187</v>
      </c>
    </row>
    <row r="343" spans="1:7" x14ac:dyDescent="0.2">
      <c r="A343" s="1186" t="s">
        <v>621</v>
      </c>
      <c r="B343" s="1186" t="s">
        <v>851</v>
      </c>
      <c r="C343" s="1186"/>
      <c r="D343" s="1186">
        <v>5</v>
      </c>
      <c r="E343" s="1186"/>
      <c r="F343" s="1186"/>
      <c r="G343" s="1186"/>
    </row>
    <row r="344" spans="1:7" x14ac:dyDescent="0.2">
      <c r="A344" s="1186" t="s">
        <v>621</v>
      </c>
      <c r="B344" s="1186" t="s">
        <v>851</v>
      </c>
      <c r="C344" s="1186">
        <v>1</v>
      </c>
      <c r="D344" s="1186">
        <v>681</v>
      </c>
      <c r="E344" s="1186">
        <v>2018</v>
      </c>
      <c r="F344" s="1186">
        <v>1</v>
      </c>
      <c r="G344" s="1186">
        <v>1894973</v>
      </c>
    </row>
    <row r="345" spans="1:7" x14ac:dyDescent="0.2">
      <c r="A345" s="1186" t="s">
        <v>621</v>
      </c>
      <c r="B345" s="1186" t="s">
        <v>851</v>
      </c>
      <c r="C345" s="1186">
        <v>2</v>
      </c>
      <c r="D345" s="1186">
        <v>597</v>
      </c>
      <c r="E345" s="1186">
        <v>2018</v>
      </c>
      <c r="F345" s="1186">
        <v>2</v>
      </c>
      <c r="G345" s="1186">
        <v>1959405</v>
      </c>
    </row>
    <row r="346" spans="1:7" x14ac:dyDescent="0.2">
      <c r="A346" s="1186" t="s">
        <v>621</v>
      </c>
      <c r="B346" s="1186" t="s">
        <v>851</v>
      </c>
      <c r="C346" s="1186">
        <v>3</v>
      </c>
      <c r="D346" s="1186">
        <v>114</v>
      </c>
      <c r="E346" s="1186">
        <v>2018</v>
      </c>
      <c r="F346" s="1186">
        <v>3</v>
      </c>
      <c r="G346" s="1186">
        <v>467717</v>
      </c>
    </row>
    <row r="347" spans="1:7" x14ac:dyDescent="0.2">
      <c r="A347" s="1186" t="s">
        <v>621</v>
      </c>
      <c r="B347" s="1186" t="s">
        <v>851</v>
      </c>
      <c r="C347" s="1186">
        <v>4</v>
      </c>
      <c r="D347" s="1186">
        <v>35</v>
      </c>
      <c r="E347" s="1186">
        <v>2018</v>
      </c>
      <c r="F347" s="1186">
        <v>4</v>
      </c>
      <c r="G347" s="1186">
        <v>191207</v>
      </c>
    </row>
    <row r="348" spans="1:7" x14ac:dyDescent="0.2">
      <c r="A348" s="1186" t="s">
        <v>621</v>
      </c>
      <c r="B348" s="1186" t="s">
        <v>851</v>
      </c>
      <c r="C348" s="1186">
        <v>5</v>
      </c>
      <c r="D348" s="1186">
        <v>367</v>
      </c>
      <c r="E348" s="1186">
        <v>2018</v>
      </c>
      <c r="F348" s="1186">
        <v>5</v>
      </c>
      <c r="G348" s="1186">
        <v>608611</v>
      </c>
    </row>
    <row r="349" spans="1:7" x14ac:dyDescent="0.2">
      <c r="A349" s="1186" t="s">
        <v>621</v>
      </c>
      <c r="B349" s="1186" t="s">
        <v>851</v>
      </c>
      <c r="C349" s="1186">
        <v>6</v>
      </c>
      <c r="D349" s="1186">
        <v>153</v>
      </c>
      <c r="E349" s="1186">
        <v>2018</v>
      </c>
      <c r="F349" s="1186">
        <v>6</v>
      </c>
      <c r="G349" s="1186">
        <v>316187</v>
      </c>
    </row>
    <row r="350" spans="1:7" x14ac:dyDescent="0.2">
      <c r="A350" s="1186" t="s">
        <v>621</v>
      </c>
      <c r="B350" s="1186" t="s">
        <v>852</v>
      </c>
      <c r="C350" s="1186"/>
      <c r="D350" s="1186">
        <v>5</v>
      </c>
      <c r="E350" s="1186"/>
      <c r="F350" s="1186"/>
      <c r="G350" s="1186"/>
    </row>
    <row r="351" spans="1:7" x14ac:dyDescent="0.2">
      <c r="A351" s="1186" t="s">
        <v>621</v>
      </c>
      <c r="B351" s="1186" t="s">
        <v>852</v>
      </c>
      <c r="C351" s="1186">
        <v>1</v>
      </c>
      <c r="D351" s="1186">
        <v>267</v>
      </c>
      <c r="E351" s="1186">
        <v>2018</v>
      </c>
      <c r="F351" s="1186">
        <v>1</v>
      </c>
      <c r="G351" s="1186">
        <v>1894973</v>
      </c>
    </row>
    <row r="352" spans="1:7" x14ac:dyDescent="0.2">
      <c r="A352" s="1186" t="s">
        <v>621</v>
      </c>
      <c r="B352" s="1186" t="s">
        <v>852</v>
      </c>
      <c r="C352" s="1186">
        <v>2</v>
      </c>
      <c r="D352" s="1186">
        <v>357</v>
      </c>
      <c r="E352" s="1186">
        <v>2018</v>
      </c>
      <c r="F352" s="1186">
        <v>2</v>
      </c>
      <c r="G352" s="1186">
        <v>1959405</v>
      </c>
    </row>
    <row r="353" spans="1:7" x14ac:dyDescent="0.2">
      <c r="A353" s="1186" t="s">
        <v>621</v>
      </c>
      <c r="B353" s="1186" t="s">
        <v>852</v>
      </c>
      <c r="C353" s="1186">
        <v>3</v>
      </c>
      <c r="D353" s="1186">
        <v>90</v>
      </c>
      <c r="E353" s="1186">
        <v>2018</v>
      </c>
      <c r="F353" s="1186">
        <v>3</v>
      </c>
      <c r="G353" s="1186">
        <v>467717</v>
      </c>
    </row>
    <row r="354" spans="1:7" x14ac:dyDescent="0.2">
      <c r="A354" s="1186" t="s">
        <v>621</v>
      </c>
      <c r="B354" s="1186" t="s">
        <v>852</v>
      </c>
      <c r="C354" s="1186">
        <v>4</v>
      </c>
      <c r="D354" s="1186">
        <v>29</v>
      </c>
      <c r="E354" s="1186">
        <v>2018</v>
      </c>
      <c r="F354" s="1186">
        <v>4</v>
      </c>
      <c r="G354" s="1186">
        <v>191207</v>
      </c>
    </row>
    <row r="355" spans="1:7" x14ac:dyDescent="0.2">
      <c r="A355" s="1186" t="s">
        <v>621</v>
      </c>
      <c r="B355" s="1186" t="s">
        <v>852</v>
      </c>
      <c r="C355" s="1186">
        <v>5</v>
      </c>
      <c r="D355" s="1186">
        <v>268</v>
      </c>
      <c r="E355" s="1186">
        <v>2018</v>
      </c>
      <c r="F355" s="1186">
        <v>5</v>
      </c>
      <c r="G355" s="1186">
        <v>608611</v>
      </c>
    </row>
    <row r="356" spans="1:7" x14ac:dyDescent="0.2">
      <c r="A356" s="1186" t="s">
        <v>621</v>
      </c>
      <c r="B356" s="1186" t="s">
        <v>852</v>
      </c>
      <c r="C356" s="1186">
        <v>6</v>
      </c>
      <c r="D356" s="1186">
        <v>108</v>
      </c>
      <c r="E356" s="1186">
        <v>2018</v>
      </c>
      <c r="F356" s="1186">
        <v>6</v>
      </c>
      <c r="G356" s="1186">
        <v>316187</v>
      </c>
    </row>
    <row r="357" spans="1:7" x14ac:dyDescent="0.2">
      <c r="A357" s="1186" t="s">
        <v>621</v>
      </c>
      <c r="B357" s="1186" t="s">
        <v>853</v>
      </c>
      <c r="C357" s="1186"/>
      <c r="D357" s="1186">
        <v>27</v>
      </c>
      <c r="E357" s="1186"/>
      <c r="F357" s="1186"/>
      <c r="G357" s="1186"/>
    </row>
    <row r="358" spans="1:7" x14ac:dyDescent="0.2">
      <c r="A358" s="1186" t="s">
        <v>621</v>
      </c>
      <c r="B358" s="1186" t="s">
        <v>853</v>
      </c>
      <c r="C358" s="1186">
        <v>1</v>
      </c>
      <c r="D358" s="1186">
        <v>18344</v>
      </c>
      <c r="E358" s="1186">
        <v>2018</v>
      </c>
      <c r="F358" s="1186">
        <v>1</v>
      </c>
      <c r="G358" s="1186">
        <v>1894973</v>
      </c>
    </row>
    <row r="359" spans="1:7" x14ac:dyDescent="0.2">
      <c r="A359" s="1186" t="s">
        <v>621</v>
      </c>
      <c r="B359" s="1186" t="s">
        <v>853</v>
      </c>
      <c r="C359" s="1186">
        <v>2</v>
      </c>
      <c r="D359" s="1186">
        <v>13470</v>
      </c>
      <c r="E359" s="1186">
        <v>2018</v>
      </c>
      <c r="F359" s="1186">
        <v>2</v>
      </c>
      <c r="G359" s="1186">
        <v>1959405</v>
      </c>
    </row>
    <row r="360" spans="1:7" x14ac:dyDescent="0.2">
      <c r="A360" s="1186" t="s">
        <v>621</v>
      </c>
      <c r="B360" s="1186" t="s">
        <v>853</v>
      </c>
      <c r="C360" s="1186">
        <v>3</v>
      </c>
      <c r="D360" s="1186">
        <v>2309</v>
      </c>
      <c r="E360" s="1186">
        <v>2018</v>
      </c>
      <c r="F360" s="1186">
        <v>3</v>
      </c>
      <c r="G360" s="1186">
        <v>467717</v>
      </c>
    </row>
    <row r="361" spans="1:7" x14ac:dyDescent="0.2">
      <c r="A361" s="1186" t="s">
        <v>621</v>
      </c>
      <c r="B361" s="1186" t="s">
        <v>853</v>
      </c>
      <c r="C361" s="1186">
        <v>4</v>
      </c>
      <c r="D361" s="1186">
        <v>1456</v>
      </c>
      <c r="E361" s="1186">
        <v>2018</v>
      </c>
      <c r="F361" s="1186">
        <v>4</v>
      </c>
      <c r="G361" s="1186">
        <v>191207</v>
      </c>
    </row>
    <row r="362" spans="1:7" x14ac:dyDescent="0.2">
      <c r="A362" s="1186" t="s">
        <v>621</v>
      </c>
      <c r="B362" s="1186" t="s">
        <v>853</v>
      </c>
      <c r="C362" s="1186">
        <v>5</v>
      </c>
      <c r="D362" s="1186">
        <v>3203</v>
      </c>
      <c r="E362" s="1186">
        <v>2018</v>
      </c>
      <c r="F362" s="1186">
        <v>5</v>
      </c>
      <c r="G362" s="1186">
        <v>608611</v>
      </c>
    </row>
    <row r="363" spans="1:7" x14ac:dyDescent="0.2">
      <c r="A363" s="1186" t="s">
        <v>621</v>
      </c>
      <c r="B363" s="1186" t="s">
        <v>853</v>
      </c>
      <c r="C363" s="1186">
        <v>6</v>
      </c>
      <c r="D363" s="1186">
        <v>1832</v>
      </c>
      <c r="E363" s="1186">
        <v>2018</v>
      </c>
      <c r="F363" s="1186">
        <v>6</v>
      </c>
      <c r="G363" s="1186">
        <v>316187</v>
      </c>
    </row>
    <row r="364" spans="1:7" x14ac:dyDescent="0.2">
      <c r="A364" s="1186" t="s">
        <v>621</v>
      </c>
      <c r="B364" s="1186" t="s">
        <v>854</v>
      </c>
      <c r="C364" s="1186"/>
      <c r="D364" s="1186">
        <v>19</v>
      </c>
      <c r="E364" s="1186"/>
      <c r="F364" s="1186"/>
      <c r="G364" s="1186"/>
    </row>
    <row r="365" spans="1:7" x14ac:dyDescent="0.2">
      <c r="A365" s="1186" t="s">
        <v>621</v>
      </c>
      <c r="B365" s="1186" t="s">
        <v>854</v>
      </c>
      <c r="C365" s="1186">
        <v>1</v>
      </c>
      <c r="D365" s="1186">
        <v>3242</v>
      </c>
      <c r="E365" s="1186">
        <v>2018</v>
      </c>
      <c r="F365" s="1186">
        <v>1</v>
      </c>
      <c r="G365" s="1186">
        <v>1894973</v>
      </c>
    </row>
    <row r="366" spans="1:7" x14ac:dyDescent="0.2">
      <c r="A366" s="1186" t="s">
        <v>621</v>
      </c>
      <c r="B366" s="1186" t="s">
        <v>854</v>
      </c>
      <c r="C366" s="1186">
        <v>2</v>
      </c>
      <c r="D366" s="1186">
        <v>3213</v>
      </c>
      <c r="E366" s="1186">
        <v>2018</v>
      </c>
      <c r="F366" s="1186">
        <v>2</v>
      </c>
      <c r="G366" s="1186">
        <v>1959405</v>
      </c>
    </row>
    <row r="367" spans="1:7" x14ac:dyDescent="0.2">
      <c r="A367" s="1186" t="s">
        <v>621</v>
      </c>
      <c r="B367" s="1186" t="s">
        <v>854</v>
      </c>
      <c r="C367" s="1186">
        <v>3</v>
      </c>
      <c r="D367" s="1186">
        <v>663</v>
      </c>
      <c r="E367" s="1186">
        <v>2018</v>
      </c>
      <c r="F367" s="1186">
        <v>3</v>
      </c>
      <c r="G367" s="1186">
        <v>467717</v>
      </c>
    </row>
    <row r="368" spans="1:7" x14ac:dyDescent="0.2">
      <c r="A368" s="1186" t="s">
        <v>621</v>
      </c>
      <c r="B368" s="1186" t="s">
        <v>854</v>
      </c>
      <c r="C368" s="1186">
        <v>4</v>
      </c>
      <c r="D368" s="1186">
        <v>307</v>
      </c>
      <c r="E368" s="1186">
        <v>2018</v>
      </c>
      <c r="F368" s="1186">
        <v>4</v>
      </c>
      <c r="G368" s="1186">
        <v>191207</v>
      </c>
    </row>
    <row r="369" spans="1:7" x14ac:dyDescent="0.2">
      <c r="A369" s="1186" t="s">
        <v>621</v>
      </c>
      <c r="B369" s="1186" t="s">
        <v>854</v>
      </c>
      <c r="C369" s="1186">
        <v>5</v>
      </c>
      <c r="D369" s="1186">
        <v>1148</v>
      </c>
      <c r="E369" s="1186">
        <v>2018</v>
      </c>
      <c r="F369" s="1186">
        <v>5</v>
      </c>
      <c r="G369" s="1186">
        <v>608611</v>
      </c>
    </row>
    <row r="370" spans="1:7" x14ac:dyDescent="0.2">
      <c r="A370" s="1186" t="s">
        <v>621</v>
      </c>
      <c r="B370" s="1186" t="s">
        <v>854</v>
      </c>
      <c r="C370" s="1186">
        <v>6</v>
      </c>
      <c r="D370" s="1186">
        <v>646</v>
      </c>
      <c r="E370" s="1186">
        <v>2018</v>
      </c>
      <c r="F370" s="1186">
        <v>6</v>
      </c>
      <c r="G370" s="1186">
        <v>316187</v>
      </c>
    </row>
    <row r="371" spans="1:7" x14ac:dyDescent="0.2">
      <c r="A371" s="1186" t="s">
        <v>621</v>
      </c>
      <c r="B371" s="1186" t="s">
        <v>855</v>
      </c>
      <c r="C371" s="1186"/>
      <c r="D371" s="1186">
        <v>2</v>
      </c>
      <c r="E371" s="1186"/>
      <c r="F371" s="1186"/>
      <c r="G371" s="1186"/>
    </row>
    <row r="372" spans="1:7" x14ac:dyDescent="0.2">
      <c r="A372" s="1186" t="s">
        <v>621</v>
      </c>
      <c r="B372" s="1186" t="s">
        <v>855</v>
      </c>
      <c r="C372" s="1186">
        <v>1</v>
      </c>
      <c r="D372" s="1186">
        <v>1110</v>
      </c>
      <c r="E372" s="1186">
        <v>2018</v>
      </c>
      <c r="F372" s="1186">
        <v>1</v>
      </c>
      <c r="G372" s="1186">
        <v>1894973</v>
      </c>
    </row>
    <row r="373" spans="1:7" x14ac:dyDescent="0.2">
      <c r="A373" s="1186" t="s">
        <v>621</v>
      </c>
      <c r="B373" s="1186" t="s">
        <v>855</v>
      </c>
      <c r="C373" s="1186">
        <v>2</v>
      </c>
      <c r="D373" s="1186">
        <v>797</v>
      </c>
      <c r="E373" s="1186">
        <v>2018</v>
      </c>
      <c r="F373" s="1186">
        <v>2</v>
      </c>
      <c r="G373" s="1186">
        <v>1959405</v>
      </c>
    </row>
    <row r="374" spans="1:7" x14ac:dyDescent="0.2">
      <c r="A374" s="1186" t="s">
        <v>621</v>
      </c>
      <c r="B374" s="1186" t="s">
        <v>855</v>
      </c>
      <c r="C374" s="1186">
        <v>3</v>
      </c>
      <c r="D374" s="1186">
        <v>105</v>
      </c>
      <c r="E374" s="1186">
        <v>2018</v>
      </c>
      <c r="F374" s="1186">
        <v>3</v>
      </c>
      <c r="G374" s="1186">
        <v>467717</v>
      </c>
    </row>
    <row r="375" spans="1:7" x14ac:dyDescent="0.2">
      <c r="A375" s="1186" t="s">
        <v>621</v>
      </c>
      <c r="B375" s="1186" t="s">
        <v>855</v>
      </c>
      <c r="C375" s="1186">
        <v>4</v>
      </c>
      <c r="D375" s="1186">
        <v>64</v>
      </c>
      <c r="E375" s="1186">
        <v>2018</v>
      </c>
      <c r="F375" s="1186">
        <v>4</v>
      </c>
      <c r="G375" s="1186">
        <v>191207</v>
      </c>
    </row>
    <row r="376" spans="1:7" x14ac:dyDescent="0.2">
      <c r="A376" s="1186" t="s">
        <v>621</v>
      </c>
      <c r="B376" s="1186" t="s">
        <v>855</v>
      </c>
      <c r="C376" s="1186">
        <v>5</v>
      </c>
      <c r="D376" s="1186">
        <v>152</v>
      </c>
      <c r="E376" s="1186">
        <v>2018</v>
      </c>
      <c r="F376" s="1186">
        <v>5</v>
      </c>
      <c r="G376" s="1186">
        <v>608611</v>
      </c>
    </row>
    <row r="377" spans="1:7" x14ac:dyDescent="0.2">
      <c r="A377" s="1186" t="s">
        <v>621</v>
      </c>
      <c r="B377" s="1186" t="s">
        <v>855</v>
      </c>
      <c r="C377" s="1186">
        <v>6</v>
      </c>
      <c r="D377" s="1186">
        <v>49</v>
      </c>
      <c r="E377" s="1186">
        <v>2018</v>
      </c>
      <c r="F377" s="1186">
        <v>6</v>
      </c>
      <c r="G377" s="1186">
        <v>316187</v>
      </c>
    </row>
    <row r="378" spans="1:7" x14ac:dyDescent="0.2">
      <c r="A378" s="1186" t="s">
        <v>621</v>
      </c>
      <c r="B378" s="1186" t="s">
        <v>308</v>
      </c>
      <c r="C378" s="1186"/>
      <c r="D378" s="1186">
        <v>52</v>
      </c>
      <c r="E378" s="1186"/>
      <c r="F378" s="1186"/>
      <c r="G378" s="1186"/>
    </row>
    <row r="379" spans="1:7" x14ac:dyDescent="0.2">
      <c r="A379" s="1186" t="s">
        <v>621</v>
      </c>
      <c r="B379" s="1186" t="s">
        <v>308</v>
      </c>
      <c r="C379" s="1186">
        <v>1</v>
      </c>
      <c r="D379" s="1186">
        <v>6388</v>
      </c>
      <c r="E379" s="1186">
        <v>2018</v>
      </c>
      <c r="F379" s="1186">
        <v>1</v>
      </c>
      <c r="G379" s="1186">
        <v>1894973</v>
      </c>
    </row>
    <row r="380" spans="1:7" x14ac:dyDescent="0.2">
      <c r="A380" s="1186" t="s">
        <v>621</v>
      </c>
      <c r="B380" s="1186" t="s">
        <v>308</v>
      </c>
      <c r="C380" s="1186">
        <v>2</v>
      </c>
      <c r="D380" s="1186">
        <v>5500</v>
      </c>
      <c r="E380" s="1186">
        <v>2018</v>
      </c>
      <c r="F380" s="1186">
        <v>2</v>
      </c>
      <c r="G380" s="1186">
        <v>1959405</v>
      </c>
    </row>
    <row r="381" spans="1:7" x14ac:dyDescent="0.2">
      <c r="A381" s="1186" t="s">
        <v>621</v>
      </c>
      <c r="B381" s="1186" t="s">
        <v>308</v>
      </c>
      <c r="C381" s="1186">
        <v>3</v>
      </c>
      <c r="D381" s="1186">
        <v>882</v>
      </c>
      <c r="E381" s="1186">
        <v>2018</v>
      </c>
      <c r="F381" s="1186">
        <v>3</v>
      </c>
      <c r="G381" s="1186">
        <v>467717</v>
      </c>
    </row>
    <row r="382" spans="1:7" x14ac:dyDescent="0.2">
      <c r="A382" s="1186" t="s">
        <v>621</v>
      </c>
      <c r="B382" s="1186" t="s">
        <v>308</v>
      </c>
      <c r="C382" s="1186">
        <v>4</v>
      </c>
      <c r="D382" s="1186">
        <v>255</v>
      </c>
      <c r="E382" s="1186">
        <v>2018</v>
      </c>
      <c r="F382" s="1186">
        <v>4</v>
      </c>
      <c r="G382" s="1186">
        <v>191207</v>
      </c>
    </row>
    <row r="383" spans="1:7" x14ac:dyDescent="0.2">
      <c r="A383" s="1186" t="s">
        <v>621</v>
      </c>
      <c r="B383" s="1186" t="s">
        <v>308</v>
      </c>
      <c r="C383" s="1186">
        <v>5</v>
      </c>
      <c r="D383" s="1186">
        <v>1896</v>
      </c>
      <c r="E383" s="1186">
        <v>2018</v>
      </c>
      <c r="F383" s="1186">
        <v>5</v>
      </c>
      <c r="G383" s="1186">
        <v>608611</v>
      </c>
    </row>
    <row r="384" spans="1:7" x14ac:dyDescent="0.2">
      <c r="A384" s="1186" t="s">
        <v>621</v>
      </c>
      <c r="B384" s="1186" t="s">
        <v>308</v>
      </c>
      <c r="C384" s="1186">
        <v>6</v>
      </c>
      <c r="D384" s="1186">
        <v>724</v>
      </c>
      <c r="E384" s="1186">
        <v>2018</v>
      </c>
      <c r="F384" s="1186">
        <v>6</v>
      </c>
      <c r="G384" s="1186">
        <v>316187</v>
      </c>
    </row>
    <row r="385" spans="1:7" x14ac:dyDescent="0.2">
      <c r="A385" s="1186" t="s">
        <v>1419</v>
      </c>
      <c r="B385" s="1186" t="s">
        <v>828</v>
      </c>
      <c r="C385" s="1186"/>
      <c r="D385" s="1186">
        <v>1</v>
      </c>
      <c r="E385" s="1186"/>
      <c r="F385" s="1186"/>
      <c r="G385" s="1186"/>
    </row>
    <row r="386" spans="1:7" x14ac:dyDescent="0.2">
      <c r="A386" s="1186" t="s">
        <v>1419</v>
      </c>
      <c r="B386" s="1186" t="s">
        <v>828</v>
      </c>
      <c r="C386" s="1186">
        <v>1</v>
      </c>
      <c r="D386" s="1186">
        <v>2215</v>
      </c>
      <c r="E386" s="1186">
        <v>2019</v>
      </c>
      <c r="F386" s="1186">
        <v>1</v>
      </c>
      <c r="G386" s="1186">
        <v>1910606</v>
      </c>
    </row>
    <row r="387" spans="1:7" x14ac:dyDescent="0.2">
      <c r="A387" s="1186" t="s">
        <v>1419</v>
      </c>
      <c r="B387" s="1186" t="s">
        <v>828</v>
      </c>
      <c r="C387" s="1186">
        <v>2</v>
      </c>
      <c r="D387" s="1186">
        <v>1692</v>
      </c>
      <c r="E387" s="1186">
        <v>2019</v>
      </c>
      <c r="F387" s="1186">
        <v>2</v>
      </c>
      <c r="G387" s="1186">
        <v>1960069</v>
      </c>
    </row>
    <row r="388" spans="1:7" x14ac:dyDescent="0.2">
      <c r="A388" s="1186" t="s">
        <v>1419</v>
      </c>
      <c r="B388" s="1186" t="s">
        <v>828</v>
      </c>
      <c r="C388" s="1186">
        <v>3</v>
      </c>
      <c r="D388" s="1186">
        <v>318</v>
      </c>
      <c r="E388" s="1186">
        <v>2019</v>
      </c>
      <c r="F388" s="1186">
        <v>3</v>
      </c>
      <c r="G388" s="1186">
        <v>468895</v>
      </c>
    </row>
    <row r="389" spans="1:7" x14ac:dyDescent="0.2">
      <c r="A389" s="1186" t="s">
        <v>1419</v>
      </c>
      <c r="B389" s="1186" t="s">
        <v>828</v>
      </c>
      <c r="C389" s="1186">
        <v>4</v>
      </c>
      <c r="D389" s="1186">
        <v>134</v>
      </c>
      <c r="E389" s="1186">
        <v>2019</v>
      </c>
      <c r="F389" s="1186">
        <v>4</v>
      </c>
      <c r="G389" s="1186">
        <v>191028</v>
      </c>
    </row>
    <row r="390" spans="1:7" x14ac:dyDescent="0.2">
      <c r="A390" s="1186" t="s">
        <v>1419</v>
      </c>
      <c r="B390" s="1186" t="s">
        <v>828</v>
      </c>
      <c r="C390" s="1186">
        <v>5</v>
      </c>
      <c r="D390" s="1186">
        <v>342</v>
      </c>
      <c r="E390" s="1186">
        <v>2019</v>
      </c>
      <c r="F390" s="1186">
        <v>5</v>
      </c>
      <c r="G390" s="1186">
        <v>616536</v>
      </c>
    </row>
    <row r="391" spans="1:7" x14ac:dyDescent="0.2">
      <c r="A391" s="1186" t="s">
        <v>1419</v>
      </c>
      <c r="B391" s="1186" t="s">
        <v>828</v>
      </c>
      <c r="C391" s="1186">
        <v>6</v>
      </c>
      <c r="D391" s="1186">
        <v>188</v>
      </c>
      <c r="E391" s="1186">
        <v>2019</v>
      </c>
      <c r="F391" s="1186">
        <v>6</v>
      </c>
      <c r="G391" s="1186">
        <v>316166</v>
      </c>
    </row>
    <row r="392" spans="1:7" x14ac:dyDescent="0.2">
      <c r="A392" s="1186" t="s">
        <v>1419</v>
      </c>
      <c r="B392" s="1186" t="s">
        <v>850</v>
      </c>
      <c r="C392" s="1186"/>
      <c r="D392" s="1186">
        <v>1</v>
      </c>
      <c r="E392" s="1186"/>
      <c r="F392" s="1186"/>
      <c r="G392" s="1186"/>
    </row>
    <row r="393" spans="1:7" x14ac:dyDescent="0.2">
      <c r="A393" s="1186" t="s">
        <v>1419</v>
      </c>
      <c r="B393" s="1186" t="s">
        <v>850</v>
      </c>
      <c r="C393" s="1186">
        <v>1</v>
      </c>
      <c r="D393" s="1186">
        <v>815</v>
      </c>
      <c r="E393" s="1186">
        <v>2019</v>
      </c>
      <c r="F393" s="1186">
        <v>1</v>
      </c>
      <c r="G393" s="1186">
        <v>1910606</v>
      </c>
    </row>
    <row r="394" spans="1:7" x14ac:dyDescent="0.2">
      <c r="A394" s="1186" t="s">
        <v>1419</v>
      </c>
      <c r="B394" s="1186" t="s">
        <v>850</v>
      </c>
      <c r="C394" s="1186">
        <v>2</v>
      </c>
      <c r="D394" s="1186">
        <v>664</v>
      </c>
      <c r="E394" s="1186">
        <v>2019</v>
      </c>
      <c r="F394" s="1186">
        <v>2</v>
      </c>
      <c r="G394" s="1186">
        <v>1960069</v>
      </c>
    </row>
    <row r="395" spans="1:7" x14ac:dyDescent="0.2">
      <c r="A395" s="1186" t="s">
        <v>1419</v>
      </c>
      <c r="B395" s="1186" t="s">
        <v>850</v>
      </c>
      <c r="C395" s="1186">
        <v>3</v>
      </c>
      <c r="D395" s="1186">
        <v>113</v>
      </c>
      <c r="E395" s="1186">
        <v>2019</v>
      </c>
      <c r="F395" s="1186">
        <v>3</v>
      </c>
      <c r="G395" s="1186">
        <v>468895</v>
      </c>
    </row>
    <row r="396" spans="1:7" x14ac:dyDescent="0.2">
      <c r="A396" s="1186" t="s">
        <v>1419</v>
      </c>
      <c r="B396" s="1186" t="s">
        <v>850</v>
      </c>
      <c r="C396" s="1186">
        <v>4</v>
      </c>
      <c r="D396" s="1186">
        <v>61</v>
      </c>
      <c r="E396" s="1186">
        <v>2019</v>
      </c>
      <c r="F396" s="1186">
        <v>4</v>
      </c>
      <c r="G396" s="1186">
        <v>191028</v>
      </c>
    </row>
    <row r="397" spans="1:7" x14ac:dyDescent="0.2">
      <c r="A397" s="1186" t="s">
        <v>1419</v>
      </c>
      <c r="B397" s="1186" t="s">
        <v>850</v>
      </c>
      <c r="C397" s="1186">
        <v>5</v>
      </c>
      <c r="D397" s="1186">
        <v>204</v>
      </c>
      <c r="E397" s="1186">
        <v>2019</v>
      </c>
      <c r="F397" s="1186">
        <v>5</v>
      </c>
      <c r="G397" s="1186">
        <v>616536</v>
      </c>
    </row>
    <row r="398" spans="1:7" x14ac:dyDescent="0.2">
      <c r="A398" s="1186" t="s">
        <v>1419</v>
      </c>
      <c r="B398" s="1186" t="s">
        <v>850</v>
      </c>
      <c r="C398" s="1186">
        <v>6</v>
      </c>
      <c r="D398" s="1186">
        <v>122</v>
      </c>
      <c r="E398" s="1186">
        <v>2019</v>
      </c>
      <c r="F398" s="1186">
        <v>6</v>
      </c>
      <c r="G398" s="1186">
        <v>316166</v>
      </c>
    </row>
    <row r="399" spans="1:7" x14ac:dyDescent="0.2">
      <c r="A399" s="1186" t="s">
        <v>1419</v>
      </c>
      <c r="B399" s="1186" t="s">
        <v>851</v>
      </c>
      <c r="C399" s="1186"/>
      <c r="D399" s="1186">
        <v>2</v>
      </c>
      <c r="E399" s="1186"/>
      <c r="F399" s="1186"/>
      <c r="G399" s="1186"/>
    </row>
    <row r="400" spans="1:7" x14ac:dyDescent="0.2">
      <c r="A400" s="1186" t="s">
        <v>1419</v>
      </c>
      <c r="B400" s="1186" t="s">
        <v>851</v>
      </c>
      <c r="C400" s="1186">
        <v>1</v>
      </c>
      <c r="D400" s="1186">
        <v>751</v>
      </c>
      <c r="E400" s="1186">
        <v>2019</v>
      </c>
      <c r="F400" s="1186">
        <v>1</v>
      </c>
      <c r="G400" s="1186">
        <v>1910606</v>
      </c>
    </row>
    <row r="401" spans="1:7" x14ac:dyDescent="0.2">
      <c r="A401" s="1186" t="s">
        <v>1419</v>
      </c>
      <c r="B401" s="1186" t="s">
        <v>851</v>
      </c>
      <c r="C401" s="1186">
        <v>2</v>
      </c>
      <c r="D401" s="1186">
        <v>599</v>
      </c>
      <c r="E401" s="1186">
        <v>2019</v>
      </c>
      <c r="F401" s="1186">
        <v>2</v>
      </c>
      <c r="G401" s="1186">
        <v>1960069</v>
      </c>
    </row>
    <row r="402" spans="1:7" x14ac:dyDescent="0.2">
      <c r="A402" s="1186" t="s">
        <v>1419</v>
      </c>
      <c r="B402" s="1186" t="s">
        <v>851</v>
      </c>
      <c r="C402" s="1186">
        <v>3</v>
      </c>
      <c r="D402" s="1186">
        <v>146</v>
      </c>
      <c r="E402" s="1186">
        <v>2019</v>
      </c>
      <c r="F402" s="1186">
        <v>3</v>
      </c>
      <c r="G402" s="1186">
        <v>468895</v>
      </c>
    </row>
    <row r="403" spans="1:7" x14ac:dyDescent="0.2">
      <c r="A403" s="1186" t="s">
        <v>1419</v>
      </c>
      <c r="B403" s="1186" t="s">
        <v>851</v>
      </c>
      <c r="C403" s="1186">
        <v>4</v>
      </c>
      <c r="D403" s="1186">
        <v>37</v>
      </c>
      <c r="E403" s="1186">
        <v>2019</v>
      </c>
      <c r="F403" s="1186">
        <v>4</v>
      </c>
      <c r="G403" s="1186">
        <v>191028</v>
      </c>
    </row>
    <row r="404" spans="1:7" x14ac:dyDescent="0.2">
      <c r="A404" s="1186" t="s">
        <v>1419</v>
      </c>
      <c r="B404" s="1186" t="s">
        <v>851</v>
      </c>
      <c r="C404" s="1186">
        <v>5</v>
      </c>
      <c r="D404" s="1186">
        <v>420</v>
      </c>
      <c r="E404" s="1186">
        <v>2019</v>
      </c>
      <c r="F404" s="1186">
        <v>5</v>
      </c>
      <c r="G404" s="1186">
        <v>616536</v>
      </c>
    </row>
    <row r="405" spans="1:7" x14ac:dyDescent="0.2">
      <c r="A405" s="1186" t="s">
        <v>1419</v>
      </c>
      <c r="B405" s="1186" t="s">
        <v>851</v>
      </c>
      <c r="C405" s="1186">
        <v>6</v>
      </c>
      <c r="D405" s="1186">
        <v>144</v>
      </c>
      <c r="E405" s="1186">
        <v>2019</v>
      </c>
      <c r="F405" s="1186">
        <v>6</v>
      </c>
      <c r="G405" s="1186">
        <v>316166</v>
      </c>
    </row>
    <row r="406" spans="1:7" x14ac:dyDescent="0.2">
      <c r="A406" s="1186" t="s">
        <v>1419</v>
      </c>
      <c r="B406" s="1186" t="s">
        <v>852</v>
      </c>
      <c r="C406" s="1186"/>
      <c r="D406" s="1186">
        <v>7</v>
      </c>
      <c r="E406" s="1186"/>
      <c r="F406" s="1186"/>
      <c r="G406" s="1186"/>
    </row>
    <row r="407" spans="1:7" x14ac:dyDescent="0.2">
      <c r="A407" s="1186" t="s">
        <v>1419</v>
      </c>
      <c r="B407" s="1186" t="s">
        <v>852</v>
      </c>
      <c r="C407" s="1186">
        <v>1</v>
      </c>
      <c r="D407" s="1186">
        <v>225</v>
      </c>
      <c r="E407" s="1186">
        <v>2019</v>
      </c>
      <c r="F407" s="1186">
        <v>1</v>
      </c>
      <c r="G407" s="1186">
        <v>1910606</v>
      </c>
    </row>
    <row r="408" spans="1:7" x14ac:dyDescent="0.2">
      <c r="A408" s="1186" t="s">
        <v>1419</v>
      </c>
      <c r="B408" s="1186" t="s">
        <v>852</v>
      </c>
      <c r="C408" s="1186">
        <v>2</v>
      </c>
      <c r="D408" s="1186">
        <v>277</v>
      </c>
      <c r="E408" s="1186">
        <v>2019</v>
      </c>
      <c r="F408" s="1186">
        <v>2</v>
      </c>
      <c r="G408" s="1186">
        <v>1960069</v>
      </c>
    </row>
    <row r="409" spans="1:7" x14ac:dyDescent="0.2">
      <c r="A409" s="1186" t="s">
        <v>1419</v>
      </c>
      <c r="B409" s="1186" t="s">
        <v>852</v>
      </c>
      <c r="C409" s="1186">
        <v>3</v>
      </c>
      <c r="D409" s="1186">
        <v>67</v>
      </c>
      <c r="E409" s="1186">
        <v>2019</v>
      </c>
      <c r="F409" s="1186">
        <v>3</v>
      </c>
      <c r="G409" s="1186">
        <v>468895</v>
      </c>
    </row>
    <row r="410" spans="1:7" x14ac:dyDescent="0.2">
      <c r="A410" s="1186" t="s">
        <v>1419</v>
      </c>
      <c r="B410" s="1186" t="s">
        <v>852</v>
      </c>
      <c r="C410" s="1186">
        <v>4</v>
      </c>
      <c r="D410" s="1186">
        <v>24</v>
      </c>
      <c r="E410" s="1186">
        <v>2019</v>
      </c>
      <c r="F410" s="1186">
        <v>4</v>
      </c>
      <c r="G410" s="1186">
        <v>191028</v>
      </c>
    </row>
    <row r="411" spans="1:7" x14ac:dyDescent="0.2">
      <c r="A411" s="1186" t="s">
        <v>1419</v>
      </c>
      <c r="B411" s="1186" t="s">
        <v>852</v>
      </c>
      <c r="C411" s="1186">
        <v>5</v>
      </c>
      <c r="D411" s="1186">
        <v>194</v>
      </c>
      <c r="E411" s="1186">
        <v>2019</v>
      </c>
      <c r="F411" s="1186">
        <v>5</v>
      </c>
      <c r="G411" s="1186">
        <v>616536</v>
      </c>
    </row>
    <row r="412" spans="1:7" x14ac:dyDescent="0.2">
      <c r="A412" s="1186" t="s">
        <v>1419</v>
      </c>
      <c r="B412" s="1186" t="s">
        <v>852</v>
      </c>
      <c r="C412" s="1186">
        <v>6</v>
      </c>
      <c r="D412" s="1186">
        <v>89</v>
      </c>
      <c r="E412" s="1186">
        <v>2019</v>
      </c>
      <c r="F412" s="1186">
        <v>6</v>
      </c>
      <c r="G412" s="1186">
        <v>316166</v>
      </c>
    </row>
    <row r="413" spans="1:7" x14ac:dyDescent="0.2">
      <c r="A413" s="1186" t="s">
        <v>1419</v>
      </c>
      <c r="B413" s="1186" t="s">
        <v>853</v>
      </c>
      <c r="C413" s="1186"/>
      <c r="D413" s="1186">
        <v>25</v>
      </c>
      <c r="E413" s="1186"/>
      <c r="F413" s="1186"/>
      <c r="G413" s="1186"/>
    </row>
    <row r="414" spans="1:7" x14ac:dyDescent="0.2">
      <c r="A414" s="1186" t="s">
        <v>1419</v>
      </c>
      <c r="B414" s="1186" t="s">
        <v>853</v>
      </c>
      <c r="C414" s="1186">
        <v>1</v>
      </c>
      <c r="D414" s="1186">
        <v>18649</v>
      </c>
      <c r="E414" s="1186">
        <v>2019</v>
      </c>
      <c r="F414" s="1186">
        <v>1</v>
      </c>
      <c r="G414" s="1186">
        <v>1910606</v>
      </c>
    </row>
    <row r="415" spans="1:7" x14ac:dyDescent="0.2">
      <c r="A415" s="1186" t="s">
        <v>1419</v>
      </c>
      <c r="B415" s="1186" t="s">
        <v>853</v>
      </c>
      <c r="C415" s="1186">
        <v>2</v>
      </c>
      <c r="D415" s="1186">
        <v>13991</v>
      </c>
      <c r="E415" s="1186">
        <v>2019</v>
      </c>
      <c r="F415" s="1186">
        <v>2</v>
      </c>
      <c r="G415" s="1186">
        <v>1960069</v>
      </c>
    </row>
    <row r="416" spans="1:7" x14ac:dyDescent="0.2">
      <c r="A416" s="1186" t="s">
        <v>1419</v>
      </c>
      <c r="B416" s="1186" t="s">
        <v>853</v>
      </c>
      <c r="C416" s="1186">
        <v>3</v>
      </c>
      <c r="D416" s="1186">
        <v>2336</v>
      </c>
      <c r="E416" s="1186">
        <v>2019</v>
      </c>
      <c r="F416" s="1186">
        <v>3</v>
      </c>
      <c r="G416" s="1186">
        <v>468895</v>
      </c>
    </row>
    <row r="417" spans="1:7" x14ac:dyDescent="0.2">
      <c r="A417" s="1186" t="s">
        <v>1419</v>
      </c>
      <c r="B417" s="1186" t="s">
        <v>853</v>
      </c>
      <c r="C417" s="1186">
        <v>4</v>
      </c>
      <c r="D417" s="1186">
        <v>1331</v>
      </c>
      <c r="E417" s="1186">
        <v>2019</v>
      </c>
      <c r="F417" s="1186">
        <v>4</v>
      </c>
      <c r="G417" s="1186">
        <v>191028</v>
      </c>
    </row>
    <row r="418" spans="1:7" x14ac:dyDescent="0.2">
      <c r="A418" s="1186" t="s">
        <v>1419</v>
      </c>
      <c r="B418" s="1186" t="s">
        <v>853</v>
      </c>
      <c r="C418" s="1186">
        <v>5</v>
      </c>
      <c r="D418" s="1186">
        <v>3322</v>
      </c>
      <c r="E418" s="1186">
        <v>2019</v>
      </c>
      <c r="F418" s="1186">
        <v>5</v>
      </c>
      <c r="G418" s="1186">
        <v>616536</v>
      </c>
    </row>
    <row r="419" spans="1:7" x14ac:dyDescent="0.2">
      <c r="A419" s="1186" t="s">
        <v>1419</v>
      </c>
      <c r="B419" s="1186" t="s">
        <v>853</v>
      </c>
      <c r="C419" s="1186">
        <v>6</v>
      </c>
      <c r="D419" s="1186">
        <v>1813</v>
      </c>
      <c r="E419" s="1186">
        <v>2019</v>
      </c>
      <c r="F419" s="1186">
        <v>6</v>
      </c>
      <c r="G419" s="1186">
        <v>316166</v>
      </c>
    </row>
    <row r="420" spans="1:7" x14ac:dyDescent="0.2">
      <c r="A420" s="1186" t="s">
        <v>1419</v>
      </c>
      <c r="B420" s="1186" t="s">
        <v>854</v>
      </c>
      <c r="C420" s="1186"/>
      <c r="D420" s="1186">
        <v>10</v>
      </c>
      <c r="E420" s="1186"/>
      <c r="F420" s="1186"/>
      <c r="G420" s="1186"/>
    </row>
    <row r="421" spans="1:7" x14ac:dyDescent="0.2">
      <c r="A421" s="1186" t="s">
        <v>1419</v>
      </c>
      <c r="B421" s="1186" t="s">
        <v>854</v>
      </c>
      <c r="C421" s="1186">
        <v>1</v>
      </c>
      <c r="D421" s="1186">
        <v>3085</v>
      </c>
      <c r="E421" s="1186">
        <v>2019</v>
      </c>
      <c r="F421" s="1186">
        <v>1</v>
      </c>
      <c r="G421" s="1186">
        <v>1910606</v>
      </c>
    </row>
    <row r="422" spans="1:7" x14ac:dyDescent="0.2">
      <c r="A422" s="1186" t="s">
        <v>1419</v>
      </c>
      <c r="B422" s="1186" t="s">
        <v>854</v>
      </c>
      <c r="C422" s="1186">
        <v>2</v>
      </c>
      <c r="D422" s="1186">
        <v>3043</v>
      </c>
      <c r="E422" s="1186">
        <v>2019</v>
      </c>
      <c r="F422" s="1186">
        <v>2</v>
      </c>
      <c r="G422" s="1186">
        <v>1960069</v>
      </c>
    </row>
    <row r="423" spans="1:7" x14ac:dyDescent="0.2">
      <c r="A423" s="1186" t="s">
        <v>1419</v>
      </c>
      <c r="B423" s="1186" t="s">
        <v>854</v>
      </c>
      <c r="C423" s="1186">
        <v>3</v>
      </c>
      <c r="D423" s="1186">
        <v>599</v>
      </c>
      <c r="E423" s="1186">
        <v>2019</v>
      </c>
      <c r="F423" s="1186">
        <v>3</v>
      </c>
      <c r="G423" s="1186">
        <v>468895</v>
      </c>
    </row>
    <row r="424" spans="1:7" x14ac:dyDescent="0.2">
      <c r="A424" s="1186" t="s">
        <v>1419</v>
      </c>
      <c r="B424" s="1186" t="s">
        <v>854</v>
      </c>
      <c r="C424" s="1186">
        <v>4</v>
      </c>
      <c r="D424" s="1186">
        <v>296</v>
      </c>
      <c r="E424" s="1186">
        <v>2019</v>
      </c>
      <c r="F424" s="1186">
        <v>4</v>
      </c>
      <c r="G424" s="1186">
        <v>191028</v>
      </c>
    </row>
    <row r="425" spans="1:7" x14ac:dyDescent="0.2">
      <c r="A425" s="1186" t="s">
        <v>1419</v>
      </c>
      <c r="B425" s="1186" t="s">
        <v>854</v>
      </c>
      <c r="C425" s="1186">
        <v>5</v>
      </c>
      <c r="D425" s="1186">
        <v>1041</v>
      </c>
      <c r="E425" s="1186">
        <v>2019</v>
      </c>
      <c r="F425" s="1186">
        <v>5</v>
      </c>
      <c r="G425" s="1186">
        <v>616536</v>
      </c>
    </row>
    <row r="426" spans="1:7" x14ac:dyDescent="0.2">
      <c r="A426" s="1186" t="s">
        <v>1419</v>
      </c>
      <c r="B426" s="1186" t="s">
        <v>854</v>
      </c>
      <c r="C426" s="1186">
        <v>6</v>
      </c>
      <c r="D426" s="1186">
        <v>563</v>
      </c>
      <c r="E426" s="1186">
        <v>2019</v>
      </c>
      <c r="F426" s="1186">
        <v>6</v>
      </c>
      <c r="G426" s="1186">
        <v>316166</v>
      </c>
    </row>
    <row r="427" spans="1:7" x14ac:dyDescent="0.2">
      <c r="A427" s="1186" t="s">
        <v>1419</v>
      </c>
      <c r="B427" s="1186" t="s">
        <v>855</v>
      </c>
      <c r="C427" s="1186"/>
      <c r="D427" s="1186">
        <v>1</v>
      </c>
      <c r="E427" s="1186"/>
      <c r="F427" s="1186"/>
      <c r="G427" s="1186"/>
    </row>
    <row r="428" spans="1:7" x14ac:dyDescent="0.2">
      <c r="A428" s="1186" t="s">
        <v>1419</v>
      </c>
      <c r="B428" s="1186" t="s">
        <v>855</v>
      </c>
      <c r="C428" s="1186">
        <v>1</v>
      </c>
      <c r="D428" s="1186">
        <v>1086</v>
      </c>
      <c r="E428" s="1186">
        <v>2019</v>
      </c>
      <c r="F428" s="1186">
        <v>1</v>
      </c>
      <c r="G428" s="1186">
        <v>1910606</v>
      </c>
    </row>
    <row r="429" spans="1:7" x14ac:dyDescent="0.2">
      <c r="A429" s="1186" t="s">
        <v>1419</v>
      </c>
      <c r="B429" s="1186" t="s">
        <v>855</v>
      </c>
      <c r="C429" s="1186">
        <v>2</v>
      </c>
      <c r="D429" s="1186">
        <v>754</v>
      </c>
      <c r="E429" s="1186">
        <v>2019</v>
      </c>
      <c r="F429" s="1186">
        <v>2</v>
      </c>
      <c r="G429" s="1186">
        <v>1960069</v>
      </c>
    </row>
    <row r="430" spans="1:7" x14ac:dyDescent="0.2">
      <c r="A430" s="1186" t="s">
        <v>1419</v>
      </c>
      <c r="B430" s="1186" t="s">
        <v>855</v>
      </c>
      <c r="C430" s="1186">
        <v>3</v>
      </c>
      <c r="D430" s="1186">
        <v>101</v>
      </c>
      <c r="E430" s="1186">
        <v>2019</v>
      </c>
      <c r="F430" s="1186">
        <v>3</v>
      </c>
      <c r="G430" s="1186">
        <v>468895</v>
      </c>
    </row>
    <row r="431" spans="1:7" x14ac:dyDescent="0.2">
      <c r="A431" s="1186" t="s">
        <v>1419</v>
      </c>
      <c r="B431" s="1186" t="s">
        <v>855</v>
      </c>
      <c r="C431" s="1186">
        <v>4</v>
      </c>
      <c r="D431" s="1186">
        <v>70</v>
      </c>
      <c r="E431" s="1186">
        <v>2019</v>
      </c>
      <c r="F431" s="1186">
        <v>4</v>
      </c>
      <c r="G431" s="1186">
        <v>191028</v>
      </c>
    </row>
    <row r="432" spans="1:7" x14ac:dyDescent="0.2">
      <c r="A432" s="1186" t="s">
        <v>1419</v>
      </c>
      <c r="B432" s="1186" t="s">
        <v>855</v>
      </c>
      <c r="C432" s="1186">
        <v>5</v>
      </c>
      <c r="D432" s="1186">
        <v>120</v>
      </c>
      <c r="E432" s="1186">
        <v>2019</v>
      </c>
      <c r="F432" s="1186">
        <v>5</v>
      </c>
      <c r="G432" s="1186">
        <v>616536</v>
      </c>
    </row>
    <row r="433" spans="1:7" x14ac:dyDescent="0.2">
      <c r="A433" s="1186" t="s">
        <v>1419</v>
      </c>
      <c r="B433" s="1186" t="s">
        <v>855</v>
      </c>
      <c r="C433" s="1186">
        <v>6</v>
      </c>
      <c r="D433" s="1186">
        <v>66</v>
      </c>
      <c r="E433" s="1186">
        <v>2019</v>
      </c>
      <c r="F433" s="1186">
        <v>6</v>
      </c>
      <c r="G433" s="1186">
        <v>316166</v>
      </c>
    </row>
    <row r="434" spans="1:7" x14ac:dyDescent="0.2">
      <c r="A434" s="1186" t="s">
        <v>1419</v>
      </c>
      <c r="B434" s="1186" t="s">
        <v>308</v>
      </c>
      <c r="C434" s="1186"/>
      <c r="D434" s="1186">
        <v>24</v>
      </c>
      <c r="E434" s="1186"/>
      <c r="F434" s="1186"/>
      <c r="G434" s="1186"/>
    </row>
    <row r="435" spans="1:7" x14ac:dyDescent="0.2">
      <c r="A435" s="1186" t="s">
        <v>1419</v>
      </c>
      <c r="B435" s="1186" t="s">
        <v>308</v>
      </c>
      <c r="C435" s="1186">
        <v>1</v>
      </c>
      <c r="D435" s="1186">
        <v>5835</v>
      </c>
      <c r="E435" s="1186">
        <v>2019</v>
      </c>
      <c r="F435" s="1186">
        <v>1</v>
      </c>
      <c r="G435" s="1186">
        <v>1910606</v>
      </c>
    </row>
    <row r="436" spans="1:7" x14ac:dyDescent="0.2">
      <c r="A436" s="1186" t="s">
        <v>1419</v>
      </c>
      <c r="B436" s="1186" t="s">
        <v>308</v>
      </c>
      <c r="C436" s="1186">
        <v>2</v>
      </c>
      <c r="D436" s="1186">
        <v>5179</v>
      </c>
      <c r="E436" s="1186">
        <v>2019</v>
      </c>
      <c r="F436" s="1186">
        <v>2</v>
      </c>
      <c r="G436" s="1186">
        <v>1960069</v>
      </c>
    </row>
    <row r="437" spans="1:7" x14ac:dyDescent="0.2">
      <c r="A437" s="1186" t="s">
        <v>1419</v>
      </c>
      <c r="B437" s="1186" t="s">
        <v>308</v>
      </c>
      <c r="C437" s="1186">
        <v>3</v>
      </c>
      <c r="D437" s="1186">
        <v>795</v>
      </c>
      <c r="E437" s="1186">
        <v>2019</v>
      </c>
      <c r="F437" s="1186">
        <v>3</v>
      </c>
      <c r="G437" s="1186">
        <v>468895</v>
      </c>
    </row>
    <row r="438" spans="1:7" x14ac:dyDescent="0.2">
      <c r="A438" s="1186" t="s">
        <v>1419</v>
      </c>
      <c r="B438" s="1186" t="s">
        <v>308</v>
      </c>
      <c r="C438" s="1186">
        <v>4</v>
      </c>
      <c r="D438" s="1186">
        <v>230</v>
      </c>
      <c r="E438" s="1186">
        <v>2019</v>
      </c>
      <c r="F438" s="1186">
        <v>4</v>
      </c>
      <c r="G438" s="1186">
        <v>191028</v>
      </c>
    </row>
    <row r="439" spans="1:7" x14ac:dyDescent="0.2">
      <c r="A439" s="1186" t="s">
        <v>1419</v>
      </c>
      <c r="B439" s="1186" t="s">
        <v>308</v>
      </c>
      <c r="C439" s="1186">
        <v>5</v>
      </c>
      <c r="D439" s="1186">
        <v>1473</v>
      </c>
      <c r="E439" s="1186">
        <v>2019</v>
      </c>
      <c r="F439" s="1186">
        <v>5</v>
      </c>
      <c r="G439" s="1186">
        <v>616536</v>
      </c>
    </row>
    <row r="440" spans="1:7" x14ac:dyDescent="0.2">
      <c r="A440" s="1186" t="s">
        <v>1419</v>
      </c>
      <c r="B440" s="1186" t="s">
        <v>308</v>
      </c>
      <c r="C440" s="1186">
        <v>6</v>
      </c>
      <c r="D440" s="1186">
        <v>554</v>
      </c>
      <c r="E440" s="1186">
        <v>2019</v>
      </c>
      <c r="F440" s="1186">
        <v>6</v>
      </c>
      <c r="G440" s="1186">
        <v>316166</v>
      </c>
    </row>
    <row r="441" spans="1:7" x14ac:dyDescent="0.2">
      <c r="A441" s="1186" t="s">
        <v>1572</v>
      </c>
      <c r="B441" s="1186" t="s">
        <v>828</v>
      </c>
      <c r="C441" s="1186"/>
      <c r="D441" s="1186">
        <v>1</v>
      </c>
      <c r="E441" s="1186"/>
      <c r="F441" s="1186"/>
      <c r="G441" s="1186"/>
    </row>
    <row r="442" spans="1:7" x14ac:dyDescent="0.2">
      <c r="A442" s="1186" t="s">
        <v>1572</v>
      </c>
      <c r="B442" s="1186" t="s">
        <v>828</v>
      </c>
      <c r="C442" s="1186">
        <v>1</v>
      </c>
      <c r="D442" s="1186">
        <v>2049</v>
      </c>
      <c r="E442" s="1186">
        <v>2020</v>
      </c>
      <c r="F442" s="1186">
        <v>1</v>
      </c>
      <c r="G442" s="1186">
        <v>1914450</v>
      </c>
    </row>
    <row r="443" spans="1:7" x14ac:dyDescent="0.2">
      <c r="A443" s="1186" t="s">
        <v>1572</v>
      </c>
      <c r="B443" s="1186" t="s">
        <v>828</v>
      </c>
      <c r="C443" s="1186">
        <v>2</v>
      </c>
      <c r="D443" s="1186">
        <v>1699</v>
      </c>
      <c r="E443" s="1186">
        <v>2020</v>
      </c>
      <c r="F443" s="1186">
        <v>2</v>
      </c>
      <c r="G443" s="1186">
        <v>1954572</v>
      </c>
    </row>
    <row r="444" spans="1:7" x14ac:dyDescent="0.2">
      <c r="A444" s="1186" t="s">
        <v>1572</v>
      </c>
      <c r="B444" s="1186" t="s">
        <v>828</v>
      </c>
      <c r="C444" s="1186">
        <v>3</v>
      </c>
      <c r="D444" s="1186">
        <v>307</v>
      </c>
      <c r="E444" s="1186">
        <v>2020</v>
      </c>
      <c r="F444" s="1186">
        <v>3</v>
      </c>
      <c r="G444" s="1186">
        <v>468634</v>
      </c>
    </row>
    <row r="445" spans="1:7" x14ac:dyDescent="0.2">
      <c r="A445" s="1186" t="s">
        <v>1572</v>
      </c>
      <c r="B445" s="1186" t="s">
        <v>828</v>
      </c>
      <c r="C445" s="1186">
        <v>4</v>
      </c>
      <c r="D445" s="1186">
        <v>155</v>
      </c>
      <c r="E445" s="1186">
        <v>2020</v>
      </c>
      <c r="F445" s="1186">
        <v>4</v>
      </c>
      <c r="G445" s="1186">
        <v>189997</v>
      </c>
    </row>
    <row r="446" spans="1:7" x14ac:dyDescent="0.2">
      <c r="A446" s="1186" t="s">
        <v>1572</v>
      </c>
      <c r="B446" s="1186" t="s">
        <v>828</v>
      </c>
      <c r="C446" s="1186">
        <v>5</v>
      </c>
      <c r="D446" s="1186">
        <v>260</v>
      </c>
      <c r="E446" s="1186">
        <v>2020</v>
      </c>
      <c r="F446" s="1186">
        <v>5</v>
      </c>
      <c r="G446" s="1186">
        <v>623257</v>
      </c>
    </row>
    <row r="447" spans="1:7" x14ac:dyDescent="0.2">
      <c r="A447" s="1186" t="s">
        <v>1572</v>
      </c>
      <c r="B447" s="1186" t="s">
        <v>828</v>
      </c>
      <c r="C447" s="1186">
        <v>6</v>
      </c>
      <c r="D447" s="1186">
        <v>190</v>
      </c>
      <c r="E447" s="1186">
        <v>2020</v>
      </c>
      <c r="F447" s="1186">
        <v>6</v>
      </c>
      <c r="G447" s="1186">
        <v>315090</v>
      </c>
    </row>
    <row r="448" spans="1:7" x14ac:dyDescent="0.2">
      <c r="A448" s="1186" t="s">
        <v>1572</v>
      </c>
      <c r="B448" s="1186" t="s">
        <v>850</v>
      </c>
      <c r="C448" s="1186"/>
      <c r="D448" s="1186">
        <v>1</v>
      </c>
      <c r="E448" s="1186"/>
      <c r="F448" s="1186"/>
      <c r="G448" s="1186"/>
    </row>
    <row r="449" spans="1:7" x14ac:dyDescent="0.2">
      <c r="A449" s="1186" t="s">
        <v>1572</v>
      </c>
      <c r="B449" s="1186" t="s">
        <v>850</v>
      </c>
      <c r="C449" s="1186">
        <v>1</v>
      </c>
      <c r="D449" s="1186">
        <v>617</v>
      </c>
      <c r="E449" s="1186">
        <v>2020</v>
      </c>
      <c r="F449" s="1186">
        <v>1</v>
      </c>
      <c r="G449" s="1186">
        <v>1914450</v>
      </c>
    </row>
    <row r="450" spans="1:7" x14ac:dyDescent="0.2">
      <c r="A450" s="1186" t="s">
        <v>1572</v>
      </c>
      <c r="B450" s="1186" t="s">
        <v>850</v>
      </c>
      <c r="C450" s="1186">
        <v>2</v>
      </c>
      <c r="D450" s="1186">
        <v>584</v>
      </c>
      <c r="E450" s="1186">
        <v>2020</v>
      </c>
      <c r="F450" s="1186">
        <v>2</v>
      </c>
      <c r="G450" s="1186">
        <v>1954572</v>
      </c>
    </row>
    <row r="451" spans="1:7" x14ac:dyDescent="0.2">
      <c r="A451" s="1186" t="s">
        <v>1572</v>
      </c>
      <c r="B451" s="1186" t="s">
        <v>850</v>
      </c>
      <c r="C451" s="1186">
        <v>3</v>
      </c>
      <c r="D451" s="1186">
        <v>99</v>
      </c>
      <c r="E451" s="1186">
        <v>2020</v>
      </c>
      <c r="F451" s="1186">
        <v>3</v>
      </c>
      <c r="G451" s="1186">
        <v>468634</v>
      </c>
    </row>
    <row r="452" spans="1:7" x14ac:dyDescent="0.2">
      <c r="A452" s="1186" t="s">
        <v>1572</v>
      </c>
      <c r="B452" s="1186" t="s">
        <v>850</v>
      </c>
      <c r="C452" s="1186">
        <v>4</v>
      </c>
      <c r="D452" s="1186">
        <v>63</v>
      </c>
      <c r="E452" s="1186">
        <v>2020</v>
      </c>
      <c r="F452" s="1186">
        <v>4</v>
      </c>
      <c r="G452" s="1186">
        <v>189997</v>
      </c>
    </row>
    <row r="453" spans="1:7" x14ac:dyDescent="0.2">
      <c r="A453" s="1186" t="s">
        <v>1572</v>
      </c>
      <c r="B453" s="1186" t="s">
        <v>850</v>
      </c>
      <c r="C453" s="1186">
        <v>5</v>
      </c>
      <c r="D453" s="1186">
        <v>219</v>
      </c>
      <c r="E453" s="1186">
        <v>2020</v>
      </c>
      <c r="F453" s="1186">
        <v>5</v>
      </c>
      <c r="G453" s="1186">
        <v>623257</v>
      </c>
    </row>
    <row r="454" spans="1:7" x14ac:dyDescent="0.2">
      <c r="A454" s="1186" t="s">
        <v>1572</v>
      </c>
      <c r="B454" s="1186" t="s">
        <v>850</v>
      </c>
      <c r="C454" s="1186">
        <v>6</v>
      </c>
      <c r="D454" s="1186">
        <v>135</v>
      </c>
      <c r="E454" s="1186">
        <v>2020</v>
      </c>
      <c r="F454" s="1186">
        <v>6</v>
      </c>
      <c r="G454" s="1186">
        <v>315090</v>
      </c>
    </row>
    <row r="455" spans="1:7" x14ac:dyDescent="0.2">
      <c r="A455" s="1186" t="s">
        <v>1572</v>
      </c>
      <c r="B455" s="1186" t="s">
        <v>851</v>
      </c>
      <c r="C455" s="1186"/>
      <c r="D455" s="1186">
        <v>1</v>
      </c>
      <c r="E455" s="1186"/>
      <c r="F455" s="1186"/>
      <c r="G455" s="1186"/>
    </row>
    <row r="456" spans="1:7" x14ac:dyDescent="0.2">
      <c r="A456" s="1186" t="s">
        <v>1572</v>
      </c>
      <c r="B456" s="1186" t="s">
        <v>851</v>
      </c>
      <c r="C456" s="1186">
        <v>1</v>
      </c>
      <c r="D456" s="1186">
        <v>617</v>
      </c>
      <c r="E456" s="1186">
        <v>2020</v>
      </c>
      <c r="F456" s="1186">
        <v>1</v>
      </c>
      <c r="G456" s="1186">
        <v>1914450</v>
      </c>
    </row>
    <row r="457" spans="1:7" x14ac:dyDescent="0.2">
      <c r="A457" s="1186" t="s">
        <v>1572</v>
      </c>
      <c r="B457" s="1186" t="s">
        <v>851</v>
      </c>
      <c r="C457" s="1186">
        <v>2</v>
      </c>
      <c r="D457" s="1186">
        <v>567</v>
      </c>
      <c r="E457" s="1186">
        <v>2020</v>
      </c>
      <c r="F457" s="1186">
        <v>2</v>
      </c>
      <c r="G457" s="1186">
        <v>1954572</v>
      </c>
    </row>
    <row r="458" spans="1:7" x14ac:dyDescent="0.2">
      <c r="A458" s="1186" t="s">
        <v>1572</v>
      </c>
      <c r="B458" s="1186" t="s">
        <v>851</v>
      </c>
      <c r="C458" s="1186">
        <v>3</v>
      </c>
      <c r="D458" s="1186">
        <v>123</v>
      </c>
      <c r="E458" s="1186">
        <v>2020</v>
      </c>
      <c r="F458" s="1186">
        <v>3</v>
      </c>
      <c r="G458" s="1186">
        <v>468634</v>
      </c>
    </row>
    <row r="459" spans="1:7" x14ac:dyDescent="0.2">
      <c r="A459" s="1186" t="s">
        <v>1572</v>
      </c>
      <c r="B459" s="1186" t="s">
        <v>851</v>
      </c>
      <c r="C459" s="1186">
        <v>4</v>
      </c>
      <c r="D459" s="1186">
        <v>27</v>
      </c>
      <c r="E459" s="1186">
        <v>2020</v>
      </c>
      <c r="F459" s="1186">
        <v>4</v>
      </c>
      <c r="G459" s="1186">
        <v>189997</v>
      </c>
    </row>
    <row r="460" spans="1:7" x14ac:dyDescent="0.2">
      <c r="A460" s="1186" t="s">
        <v>1572</v>
      </c>
      <c r="B460" s="1186" t="s">
        <v>851</v>
      </c>
      <c r="C460" s="1186">
        <v>5</v>
      </c>
      <c r="D460" s="1186">
        <v>356</v>
      </c>
      <c r="E460" s="1186">
        <v>2020</v>
      </c>
      <c r="F460" s="1186">
        <v>5</v>
      </c>
      <c r="G460" s="1186">
        <v>623257</v>
      </c>
    </row>
    <row r="461" spans="1:7" x14ac:dyDescent="0.2">
      <c r="A461" s="1186" t="s">
        <v>1572</v>
      </c>
      <c r="B461" s="1186" t="s">
        <v>851</v>
      </c>
      <c r="C461" s="1186">
        <v>6</v>
      </c>
      <c r="D461" s="1186">
        <v>125</v>
      </c>
      <c r="E461" s="1186">
        <v>2020</v>
      </c>
      <c r="F461" s="1186">
        <v>6</v>
      </c>
      <c r="G461" s="1186">
        <v>315090</v>
      </c>
    </row>
    <row r="462" spans="1:7" x14ac:dyDescent="0.2">
      <c r="A462" s="1186" t="s">
        <v>1572</v>
      </c>
      <c r="B462" s="1186" t="s">
        <v>852</v>
      </c>
      <c r="C462" s="1186"/>
      <c r="D462" s="1186">
        <v>9</v>
      </c>
      <c r="E462" s="1186"/>
      <c r="F462" s="1186"/>
      <c r="G462" s="1186"/>
    </row>
    <row r="463" spans="1:7" x14ac:dyDescent="0.2">
      <c r="A463" s="1186" t="s">
        <v>1572</v>
      </c>
      <c r="B463" s="1186" t="s">
        <v>852</v>
      </c>
      <c r="C463" s="1186">
        <v>1</v>
      </c>
      <c r="D463" s="1186">
        <v>313</v>
      </c>
      <c r="E463" s="1186">
        <v>2020</v>
      </c>
      <c r="F463" s="1186">
        <v>1</v>
      </c>
      <c r="G463" s="1186">
        <v>1914450</v>
      </c>
    </row>
    <row r="464" spans="1:7" x14ac:dyDescent="0.2">
      <c r="A464" s="1186" t="s">
        <v>1572</v>
      </c>
      <c r="B464" s="1186" t="s">
        <v>852</v>
      </c>
      <c r="C464" s="1186">
        <v>2</v>
      </c>
      <c r="D464" s="1186">
        <v>385</v>
      </c>
      <c r="E464" s="1186">
        <v>2020</v>
      </c>
      <c r="F464" s="1186">
        <v>2</v>
      </c>
      <c r="G464" s="1186">
        <v>1954572</v>
      </c>
    </row>
    <row r="465" spans="1:7" x14ac:dyDescent="0.2">
      <c r="A465" s="1186" t="s">
        <v>1572</v>
      </c>
      <c r="B465" s="1186" t="s">
        <v>852</v>
      </c>
      <c r="C465" s="1186">
        <v>3</v>
      </c>
      <c r="D465" s="1186">
        <v>96</v>
      </c>
      <c r="E465" s="1186">
        <v>2020</v>
      </c>
      <c r="F465" s="1186">
        <v>3</v>
      </c>
      <c r="G465" s="1186">
        <v>468634</v>
      </c>
    </row>
    <row r="466" spans="1:7" x14ac:dyDescent="0.2">
      <c r="A466" s="1186" t="s">
        <v>1572</v>
      </c>
      <c r="B466" s="1186" t="s">
        <v>852</v>
      </c>
      <c r="C466" s="1186">
        <v>4</v>
      </c>
      <c r="D466" s="1186">
        <v>38</v>
      </c>
      <c r="E466" s="1186">
        <v>2020</v>
      </c>
      <c r="F466" s="1186">
        <v>4</v>
      </c>
      <c r="G466" s="1186">
        <v>189997</v>
      </c>
    </row>
    <row r="467" spans="1:7" x14ac:dyDescent="0.2">
      <c r="A467" s="1186" t="s">
        <v>1572</v>
      </c>
      <c r="B467" s="1186" t="s">
        <v>852</v>
      </c>
      <c r="C467" s="1186">
        <v>5</v>
      </c>
      <c r="D467" s="1186">
        <v>271</v>
      </c>
      <c r="E467" s="1186">
        <v>2020</v>
      </c>
      <c r="F467" s="1186">
        <v>5</v>
      </c>
      <c r="G467" s="1186">
        <v>623257</v>
      </c>
    </row>
    <row r="468" spans="1:7" x14ac:dyDescent="0.2">
      <c r="A468" s="1186" t="s">
        <v>1572</v>
      </c>
      <c r="B468" s="1186" t="s">
        <v>852</v>
      </c>
      <c r="C468" s="1186">
        <v>6</v>
      </c>
      <c r="D468" s="1186">
        <v>109</v>
      </c>
      <c r="E468" s="1186">
        <v>2020</v>
      </c>
      <c r="F468" s="1186">
        <v>6</v>
      </c>
      <c r="G468" s="1186">
        <v>315090</v>
      </c>
    </row>
    <row r="469" spans="1:7" x14ac:dyDescent="0.2">
      <c r="A469" s="1186" t="s">
        <v>1572</v>
      </c>
      <c r="B469" s="1186" t="s">
        <v>853</v>
      </c>
      <c r="C469" s="1186"/>
      <c r="D469" s="1186">
        <v>9</v>
      </c>
      <c r="E469" s="1186"/>
      <c r="F469" s="1186"/>
      <c r="G469" s="1186"/>
    </row>
    <row r="470" spans="1:7" x14ac:dyDescent="0.2">
      <c r="A470" s="1186" t="s">
        <v>1572</v>
      </c>
      <c r="B470" s="1186" t="s">
        <v>853</v>
      </c>
      <c r="C470" s="1186">
        <v>1</v>
      </c>
      <c r="D470" s="1186">
        <v>15389</v>
      </c>
      <c r="E470" s="1186">
        <v>2020</v>
      </c>
      <c r="F470" s="1186">
        <v>1</v>
      </c>
      <c r="G470" s="1186">
        <v>1914450</v>
      </c>
    </row>
    <row r="471" spans="1:7" x14ac:dyDescent="0.2">
      <c r="A471" s="1186" t="s">
        <v>1572</v>
      </c>
      <c r="B471" s="1186" t="s">
        <v>853</v>
      </c>
      <c r="C471" s="1186">
        <v>2</v>
      </c>
      <c r="D471" s="1186">
        <v>12374</v>
      </c>
      <c r="E471" s="1186">
        <v>2020</v>
      </c>
      <c r="F471" s="1186">
        <v>2</v>
      </c>
      <c r="G471" s="1186">
        <v>1954572</v>
      </c>
    </row>
    <row r="472" spans="1:7" x14ac:dyDescent="0.2">
      <c r="A472" s="1186" t="s">
        <v>1572</v>
      </c>
      <c r="B472" s="1186" t="s">
        <v>853</v>
      </c>
      <c r="C472" s="1186">
        <v>3</v>
      </c>
      <c r="D472" s="1186">
        <v>2206</v>
      </c>
      <c r="E472" s="1186">
        <v>2020</v>
      </c>
      <c r="F472" s="1186">
        <v>3</v>
      </c>
      <c r="G472" s="1186">
        <v>468634</v>
      </c>
    </row>
    <row r="473" spans="1:7" x14ac:dyDescent="0.2">
      <c r="A473" s="1186" t="s">
        <v>1572</v>
      </c>
      <c r="B473" s="1186" t="s">
        <v>853</v>
      </c>
      <c r="C473" s="1186">
        <v>4</v>
      </c>
      <c r="D473" s="1186">
        <v>1227</v>
      </c>
      <c r="E473" s="1186">
        <v>2020</v>
      </c>
      <c r="F473" s="1186">
        <v>4</v>
      </c>
      <c r="G473" s="1186">
        <v>189997</v>
      </c>
    </row>
    <row r="474" spans="1:7" x14ac:dyDescent="0.2">
      <c r="A474" s="1186" t="s">
        <v>1572</v>
      </c>
      <c r="B474" s="1186" t="s">
        <v>853</v>
      </c>
      <c r="C474" s="1186">
        <v>5</v>
      </c>
      <c r="D474" s="1186">
        <v>3027</v>
      </c>
      <c r="E474" s="1186">
        <v>2020</v>
      </c>
      <c r="F474" s="1186">
        <v>5</v>
      </c>
      <c r="G474" s="1186">
        <v>623257</v>
      </c>
    </row>
    <row r="475" spans="1:7" x14ac:dyDescent="0.2">
      <c r="A475" s="1186" t="s">
        <v>1572</v>
      </c>
      <c r="B475" s="1186" t="s">
        <v>853</v>
      </c>
      <c r="C475" s="1186">
        <v>6</v>
      </c>
      <c r="D475" s="1186">
        <v>1577</v>
      </c>
      <c r="E475" s="1186">
        <v>2020</v>
      </c>
      <c r="F475" s="1186">
        <v>6</v>
      </c>
      <c r="G475" s="1186">
        <v>315090</v>
      </c>
    </row>
    <row r="476" spans="1:7" x14ac:dyDescent="0.2">
      <c r="A476" s="1186" t="s">
        <v>1572</v>
      </c>
      <c r="B476" s="1186" t="s">
        <v>854</v>
      </c>
      <c r="C476" s="1186"/>
      <c r="D476" s="1186">
        <v>13</v>
      </c>
      <c r="E476" s="1186"/>
      <c r="F476" s="1186"/>
      <c r="G476" s="1186"/>
    </row>
    <row r="477" spans="1:7" x14ac:dyDescent="0.2">
      <c r="A477" s="1186" t="s">
        <v>1572</v>
      </c>
      <c r="B477" s="1186" t="s">
        <v>854</v>
      </c>
      <c r="C477" s="1186">
        <v>1</v>
      </c>
      <c r="D477" s="1186">
        <v>3304</v>
      </c>
      <c r="E477" s="1186">
        <v>2020</v>
      </c>
      <c r="F477" s="1186">
        <v>1</v>
      </c>
      <c r="G477" s="1186">
        <v>1914450</v>
      </c>
    </row>
    <row r="478" spans="1:7" x14ac:dyDescent="0.2">
      <c r="A478" s="1186" t="s">
        <v>1572</v>
      </c>
      <c r="B478" s="1186" t="s">
        <v>854</v>
      </c>
      <c r="C478" s="1186">
        <v>2</v>
      </c>
      <c r="D478" s="1186">
        <v>3496</v>
      </c>
      <c r="E478" s="1186">
        <v>2020</v>
      </c>
      <c r="F478" s="1186">
        <v>2</v>
      </c>
      <c r="G478" s="1186">
        <v>1954572</v>
      </c>
    </row>
    <row r="479" spans="1:7" x14ac:dyDescent="0.2">
      <c r="A479" s="1186" t="s">
        <v>1572</v>
      </c>
      <c r="B479" s="1186" t="s">
        <v>854</v>
      </c>
      <c r="C479" s="1186">
        <v>3</v>
      </c>
      <c r="D479" s="1186">
        <v>735</v>
      </c>
      <c r="E479" s="1186">
        <v>2020</v>
      </c>
      <c r="F479" s="1186">
        <v>3</v>
      </c>
      <c r="G479" s="1186">
        <v>468634</v>
      </c>
    </row>
    <row r="480" spans="1:7" x14ac:dyDescent="0.2">
      <c r="A480" s="1186" t="s">
        <v>1572</v>
      </c>
      <c r="B480" s="1186" t="s">
        <v>854</v>
      </c>
      <c r="C480" s="1186">
        <v>4</v>
      </c>
      <c r="D480" s="1186">
        <v>317</v>
      </c>
      <c r="E480" s="1186">
        <v>2020</v>
      </c>
      <c r="F480" s="1186">
        <v>4</v>
      </c>
      <c r="G480" s="1186">
        <v>189997</v>
      </c>
    </row>
    <row r="481" spans="1:7" x14ac:dyDescent="0.2">
      <c r="A481" s="1186" t="s">
        <v>1572</v>
      </c>
      <c r="B481" s="1186" t="s">
        <v>854</v>
      </c>
      <c r="C481" s="1186">
        <v>5</v>
      </c>
      <c r="D481" s="1186">
        <v>1137</v>
      </c>
      <c r="E481" s="1186">
        <v>2020</v>
      </c>
      <c r="F481" s="1186">
        <v>5</v>
      </c>
      <c r="G481" s="1186">
        <v>623257</v>
      </c>
    </row>
    <row r="482" spans="1:7" x14ac:dyDescent="0.2">
      <c r="A482" s="1186" t="s">
        <v>1572</v>
      </c>
      <c r="B482" s="1186" t="s">
        <v>854</v>
      </c>
      <c r="C482" s="1186">
        <v>6</v>
      </c>
      <c r="D482" s="1186">
        <v>515</v>
      </c>
      <c r="E482" s="1186">
        <v>2020</v>
      </c>
      <c r="F482" s="1186">
        <v>6</v>
      </c>
      <c r="G482" s="1186">
        <v>315090</v>
      </c>
    </row>
    <row r="483" spans="1:7" x14ac:dyDescent="0.2">
      <c r="A483" s="1186" t="s">
        <v>1572</v>
      </c>
      <c r="B483" s="1186" t="s">
        <v>855</v>
      </c>
      <c r="C483" s="1186">
        <v>1</v>
      </c>
      <c r="D483" s="1186">
        <v>703</v>
      </c>
      <c r="E483" s="1186">
        <v>2020</v>
      </c>
      <c r="F483" s="1186">
        <v>1</v>
      </c>
      <c r="G483" s="1186">
        <v>1914450</v>
      </c>
    </row>
    <row r="484" spans="1:7" x14ac:dyDescent="0.2">
      <c r="A484" s="1186" t="s">
        <v>1572</v>
      </c>
      <c r="B484" s="1186" t="s">
        <v>855</v>
      </c>
      <c r="C484" s="1186">
        <v>2</v>
      </c>
      <c r="D484" s="1186">
        <v>555</v>
      </c>
      <c r="E484" s="1186">
        <v>2020</v>
      </c>
      <c r="F484" s="1186">
        <v>2</v>
      </c>
      <c r="G484" s="1186">
        <v>1954572</v>
      </c>
    </row>
    <row r="485" spans="1:7" x14ac:dyDescent="0.2">
      <c r="A485" s="1186" t="s">
        <v>1572</v>
      </c>
      <c r="B485" s="1186" t="s">
        <v>855</v>
      </c>
      <c r="C485" s="1186">
        <v>3</v>
      </c>
      <c r="D485" s="1186">
        <v>81</v>
      </c>
      <c r="E485" s="1186">
        <v>2020</v>
      </c>
      <c r="F485" s="1186">
        <v>3</v>
      </c>
      <c r="G485" s="1186">
        <v>468634</v>
      </c>
    </row>
    <row r="486" spans="1:7" x14ac:dyDescent="0.2">
      <c r="A486" s="1186" t="s">
        <v>1572</v>
      </c>
      <c r="B486" s="1186" t="s">
        <v>855</v>
      </c>
      <c r="C486" s="1186">
        <v>4</v>
      </c>
      <c r="D486" s="1186">
        <v>41</v>
      </c>
      <c r="E486" s="1186">
        <v>2020</v>
      </c>
      <c r="F486" s="1186">
        <v>4</v>
      </c>
      <c r="G486" s="1186">
        <v>189997</v>
      </c>
    </row>
    <row r="487" spans="1:7" x14ac:dyDescent="0.2">
      <c r="A487" s="1186" t="s">
        <v>1572</v>
      </c>
      <c r="B487" s="1186" t="s">
        <v>855</v>
      </c>
      <c r="C487" s="1186">
        <v>5</v>
      </c>
      <c r="D487" s="1186">
        <v>86</v>
      </c>
      <c r="E487" s="1186">
        <v>2020</v>
      </c>
      <c r="F487" s="1186">
        <v>5</v>
      </c>
      <c r="G487" s="1186">
        <v>623257</v>
      </c>
    </row>
    <row r="488" spans="1:7" x14ac:dyDescent="0.2">
      <c r="A488" s="1186" t="s">
        <v>1572</v>
      </c>
      <c r="B488" s="1186" t="s">
        <v>855</v>
      </c>
      <c r="C488" s="1186">
        <v>6</v>
      </c>
      <c r="D488" s="1186">
        <v>28</v>
      </c>
      <c r="E488" s="1186">
        <v>2020</v>
      </c>
      <c r="F488" s="1186">
        <v>6</v>
      </c>
      <c r="G488" s="1186">
        <v>315090</v>
      </c>
    </row>
    <row r="489" spans="1:7" x14ac:dyDescent="0.2">
      <c r="A489" s="1186" t="s">
        <v>1572</v>
      </c>
      <c r="B489" s="1186" t="s">
        <v>308</v>
      </c>
      <c r="C489" s="1186"/>
      <c r="D489" s="1186">
        <v>39</v>
      </c>
      <c r="E489" s="1186"/>
      <c r="F489" s="1186"/>
      <c r="G489" s="1186"/>
    </row>
    <row r="490" spans="1:7" x14ac:dyDescent="0.2">
      <c r="A490" s="1186" t="s">
        <v>1572</v>
      </c>
      <c r="B490" s="1186" t="s">
        <v>308</v>
      </c>
      <c r="C490" s="1186">
        <v>1</v>
      </c>
      <c r="D490" s="1186">
        <v>5919</v>
      </c>
      <c r="E490" s="1186">
        <v>2020</v>
      </c>
      <c r="F490" s="1186">
        <v>1</v>
      </c>
      <c r="G490" s="1186">
        <v>1914450</v>
      </c>
    </row>
    <row r="491" spans="1:7" x14ac:dyDescent="0.2">
      <c r="A491" s="1186" t="s">
        <v>1572</v>
      </c>
      <c r="B491" s="1186" t="s">
        <v>308</v>
      </c>
      <c r="C491" s="1186">
        <v>2</v>
      </c>
      <c r="D491" s="1186">
        <v>5565</v>
      </c>
      <c r="E491" s="1186">
        <v>2020</v>
      </c>
      <c r="F491" s="1186">
        <v>2</v>
      </c>
      <c r="G491" s="1186">
        <v>1954572</v>
      </c>
    </row>
    <row r="492" spans="1:7" x14ac:dyDescent="0.2">
      <c r="A492" s="1186" t="s">
        <v>1572</v>
      </c>
      <c r="B492" s="1186" t="s">
        <v>308</v>
      </c>
      <c r="C492" s="1186">
        <v>3</v>
      </c>
      <c r="D492" s="1186">
        <v>944</v>
      </c>
      <c r="E492" s="1186">
        <v>2020</v>
      </c>
      <c r="F492" s="1186">
        <v>3</v>
      </c>
      <c r="G492" s="1186">
        <v>468634</v>
      </c>
    </row>
    <row r="493" spans="1:7" x14ac:dyDescent="0.2">
      <c r="A493" s="1186" t="s">
        <v>1572</v>
      </c>
      <c r="B493" s="1186" t="s">
        <v>308</v>
      </c>
      <c r="C493" s="1186">
        <v>4</v>
      </c>
      <c r="D493" s="1186">
        <v>224</v>
      </c>
      <c r="E493" s="1186">
        <v>2020</v>
      </c>
      <c r="F493" s="1186">
        <v>4</v>
      </c>
      <c r="G493" s="1186">
        <v>189997</v>
      </c>
    </row>
    <row r="494" spans="1:7" x14ac:dyDescent="0.2">
      <c r="A494" s="1186" t="s">
        <v>1572</v>
      </c>
      <c r="B494" s="1186" t="s">
        <v>308</v>
      </c>
      <c r="C494" s="1186">
        <v>5</v>
      </c>
      <c r="D494" s="1186">
        <v>1748</v>
      </c>
      <c r="E494" s="1186">
        <v>2020</v>
      </c>
      <c r="F494" s="1186">
        <v>5</v>
      </c>
      <c r="G494" s="1186">
        <v>623257</v>
      </c>
    </row>
    <row r="495" spans="1:7" x14ac:dyDescent="0.2">
      <c r="A495" s="1186" t="s">
        <v>1572</v>
      </c>
      <c r="B495" s="1186" t="s">
        <v>308</v>
      </c>
      <c r="C495" s="1186">
        <v>6</v>
      </c>
      <c r="D495" s="1186">
        <v>691</v>
      </c>
      <c r="E495" s="1186">
        <v>2020</v>
      </c>
      <c r="F495" s="1186">
        <v>6</v>
      </c>
      <c r="G495" s="1186">
        <v>315090</v>
      </c>
    </row>
  </sheetData>
  <pageMargins left="0.7" right="0.7" top="0.75" bottom="0.75" header="0.3" footer="0.3"/>
  <pageSetup paperSize="9" fitToHeight="50" orientation="landscape" r:id="rId1"/>
  <legacy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pageSetUpPr fitToPage="1"/>
  </sheetPr>
  <dimension ref="A4:F4141"/>
  <sheetViews>
    <sheetView zoomScale="85" zoomScaleNormal="85" workbookViewId="0">
      <pane ySplit="4" topLeftCell="A4097" activePane="bottomLeft" state="frozen"/>
      <selection activeCell="A5" sqref="A5"/>
      <selection pane="bottomLeft" activeCell="A5" sqref="A5"/>
    </sheetView>
  </sheetViews>
  <sheetFormatPr defaultColWidth="8.7109375" defaultRowHeight="12.75" x14ac:dyDescent="0.2"/>
  <sheetData>
    <row r="4" spans="1:6" x14ac:dyDescent="0.2">
      <c r="A4" s="1223" t="s">
        <v>4</v>
      </c>
      <c r="B4" s="1223" t="s">
        <v>1971</v>
      </c>
      <c r="C4" s="1223" t="s">
        <v>1764</v>
      </c>
      <c r="D4" s="1223" t="s">
        <v>1627</v>
      </c>
      <c r="E4" s="1223" t="s">
        <v>1976</v>
      </c>
      <c r="F4" s="1223" t="s">
        <v>1582</v>
      </c>
    </row>
    <row r="5" spans="1:6" x14ac:dyDescent="0.2">
      <c r="A5" s="1186" t="s">
        <v>19</v>
      </c>
      <c r="B5" s="1186" t="s">
        <v>309</v>
      </c>
      <c r="C5" s="1186" t="s">
        <v>61</v>
      </c>
      <c r="D5" s="1186" t="s">
        <v>23</v>
      </c>
      <c r="E5" s="1186">
        <v>12</v>
      </c>
      <c r="F5" s="1186">
        <v>217020</v>
      </c>
    </row>
    <row r="6" spans="1:6" x14ac:dyDescent="0.2">
      <c r="A6" s="1186" t="s">
        <v>19</v>
      </c>
      <c r="B6" s="1186" t="s">
        <v>309</v>
      </c>
      <c r="C6" s="1186" t="s">
        <v>61</v>
      </c>
      <c r="D6" s="1186" t="s">
        <v>24</v>
      </c>
      <c r="E6" s="1186">
        <v>140</v>
      </c>
      <c r="F6" s="1186">
        <v>249020</v>
      </c>
    </row>
    <row r="7" spans="1:6" x14ac:dyDescent="0.2">
      <c r="A7" s="1186" t="s">
        <v>19</v>
      </c>
      <c r="B7" s="1186" t="s">
        <v>309</v>
      </c>
      <c r="C7" s="1186" t="s">
        <v>61</v>
      </c>
      <c r="D7" s="1186" t="s">
        <v>25</v>
      </c>
      <c r="E7" s="1186">
        <v>26</v>
      </c>
      <c r="F7" s="1186">
        <v>114830</v>
      </c>
    </row>
    <row r="8" spans="1:6" x14ac:dyDescent="0.2">
      <c r="A8" s="1186" t="s">
        <v>19</v>
      </c>
      <c r="B8" s="1186" t="s">
        <v>309</v>
      </c>
      <c r="C8" s="1186" t="s">
        <v>61</v>
      </c>
      <c r="D8" s="1186" t="s">
        <v>26</v>
      </c>
      <c r="E8" s="1186">
        <v>184</v>
      </c>
      <c r="F8" s="1186">
        <v>89450</v>
      </c>
    </row>
    <row r="9" spans="1:6" x14ac:dyDescent="0.2">
      <c r="A9" s="1186" t="s">
        <v>19</v>
      </c>
      <c r="B9" s="1186" t="s">
        <v>309</v>
      </c>
      <c r="C9" s="1186" t="s">
        <v>61</v>
      </c>
      <c r="D9" s="1186" t="s">
        <v>619</v>
      </c>
      <c r="E9" s="1186">
        <v>23</v>
      </c>
      <c r="F9" s="1186">
        <v>463230</v>
      </c>
    </row>
    <row r="10" spans="1:6" x14ac:dyDescent="0.2">
      <c r="A10" s="1186" t="s">
        <v>19</v>
      </c>
      <c r="B10" s="1186" t="s">
        <v>309</v>
      </c>
      <c r="C10" s="1186" t="s">
        <v>61</v>
      </c>
      <c r="D10" s="1186" t="s">
        <v>27</v>
      </c>
      <c r="E10" s="1186">
        <v>5</v>
      </c>
      <c r="F10" s="1186">
        <v>51290</v>
      </c>
    </row>
    <row r="11" spans="1:6" x14ac:dyDescent="0.2">
      <c r="A11" s="1186" t="s">
        <v>19</v>
      </c>
      <c r="B11" s="1186" t="s">
        <v>309</v>
      </c>
      <c r="C11" s="1186" t="s">
        <v>61</v>
      </c>
      <c r="D11" s="1186" t="s">
        <v>28</v>
      </c>
      <c r="E11" s="1186">
        <v>132</v>
      </c>
      <c r="F11" s="1186">
        <v>151160</v>
      </c>
    </row>
    <row r="12" spans="1:6" x14ac:dyDescent="0.2">
      <c r="A12" s="1186" t="s">
        <v>19</v>
      </c>
      <c r="B12" s="1186" t="s">
        <v>309</v>
      </c>
      <c r="C12" s="1186" t="s">
        <v>61</v>
      </c>
      <c r="D12" s="1186" t="s">
        <v>29</v>
      </c>
      <c r="E12" s="1186">
        <v>3</v>
      </c>
      <c r="F12" s="1186">
        <v>145170</v>
      </c>
    </row>
    <row r="13" spans="1:6" x14ac:dyDescent="0.2">
      <c r="A13" s="1186" t="s">
        <v>19</v>
      </c>
      <c r="B13" s="1186" t="s">
        <v>309</v>
      </c>
      <c r="C13" s="1186" t="s">
        <v>61</v>
      </c>
      <c r="D13" s="1186" t="s">
        <v>30</v>
      </c>
      <c r="E13" s="1186">
        <v>16</v>
      </c>
      <c r="F13" s="1186">
        <v>122110</v>
      </c>
    </row>
    <row r="14" spans="1:6" x14ac:dyDescent="0.2">
      <c r="A14" s="1186" t="s">
        <v>19</v>
      </c>
      <c r="B14" s="1186" t="s">
        <v>309</v>
      </c>
      <c r="C14" s="1186" t="s">
        <v>61</v>
      </c>
      <c r="D14" s="1186" t="s">
        <v>31</v>
      </c>
      <c r="E14" s="1186">
        <v>9</v>
      </c>
      <c r="F14" s="1186">
        <v>104960</v>
      </c>
    </row>
    <row r="15" spans="1:6" x14ac:dyDescent="0.2">
      <c r="A15" s="1186" t="s">
        <v>19</v>
      </c>
      <c r="B15" s="1186" t="s">
        <v>309</v>
      </c>
      <c r="C15" s="1186" t="s">
        <v>61</v>
      </c>
      <c r="D15" s="1186" t="s">
        <v>32</v>
      </c>
      <c r="E15" s="1186">
        <v>32</v>
      </c>
      <c r="F15" s="1186">
        <v>98340</v>
      </c>
    </row>
    <row r="16" spans="1:6" x14ac:dyDescent="0.2">
      <c r="A16" s="1186" t="s">
        <v>19</v>
      </c>
      <c r="B16" s="1186" t="s">
        <v>309</v>
      </c>
      <c r="C16" s="1186" t="s">
        <v>61</v>
      </c>
      <c r="D16" s="1186" t="s">
        <v>34</v>
      </c>
      <c r="E16" s="1186">
        <v>13</v>
      </c>
      <c r="F16" s="1186">
        <v>154210</v>
      </c>
    </row>
    <row r="17" spans="1:6" x14ac:dyDescent="0.2">
      <c r="A17" s="1186" t="s">
        <v>19</v>
      </c>
      <c r="B17" s="1186" t="s">
        <v>309</v>
      </c>
      <c r="C17" s="1186" t="s">
        <v>61</v>
      </c>
      <c r="D17" s="1186" t="s">
        <v>35</v>
      </c>
      <c r="E17" s="1186">
        <v>55</v>
      </c>
      <c r="F17" s="1186">
        <v>361420</v>
      </c>
    </row>
    <row r="18" spans="1:6" x14ac:dyDescent="0.2">
      <c r="A18" s="1186" t="s">
        <v>19</v>
      </c>
      <c r="B18" s="1186" t="s">
        <v>309</v>
      </c>
      <c r="C18" s="1186" t="s">
        <v>61</v>
      </c>
      <c r="D18" s="1186" t="s">
        <v>36</v>
      </c>
      <c r="E18" s="1186">
        <v>18</v>
      </c>
      <c r="F18" s="1186">
        <v>581620</v>
      </c>
    </row>
    <row r="19" spans="1:6" x14ac:dyDescent="0.2">
      <c r="A19" s="1186" t="s">
        <v>19</v>
      </c>
      <c r="B19" s="1186" t="s">
        <v>309</v>
      </c>
      <c r="C19" s="1186" t="s">
        <v>61</v>
      </c>
      <c r="D19" s="1186" t="s">
        <v>37</v>
      </c>
      <c r="E19" s="1186">
        <v>501</v>
      </c>
      <c r="F19" s="1186">
        <v>228750</v>
      </c>
    </row>
    <row r="20" spans="1:6" x14ac:dyDescent="0.2">
      <c r="A20" s="1186" t="s">
        <v>19</v>
      </c>
      <c r="B20" s="1186" t="s">
        <v>309</v>
      </c>
      <c r="C20" s="1186" t="s">
        <v>61</v>
      </c>
      <c r="D20" s="1186" t="s">
        <v>38</v>
      </c>
      <c r="E20" s="1186">
        <v>3</v>
      </c>
      <c r="F20" s="1186">
        <v>81670</v>
      </c>
    </row>
    <row r="21" spans="1:6" x14ac:dyDescent="0.2">
      <c r="A21" s="1186" t="s">
        <v>19</v>
      </c>
      <c r="B21" s="1186" t="s">
        <v>309</v>
      </c>
      <c r="C21" s="1186" t="s">
        <v>61</v>
      </c>
      <c r="D21" s="1186" t="s">
        <v>39</v>
      </c>
      <c r="E21" s="1186">
        <v>22</v>
      </c>
      <c r="F21" s="1186">
        <v>81900</v>
      </c>
    </row>
    <row r="22" spans="1:6" x14ac:dyDescent="0.2">
      <c r="A22" s="1186" t="s">
        <v>19</v>
      </c>
      <c r="B22" s="1186" t="s">
        <v>309</v>
      </c>
      <c r="C22" s="1186" t="s">
        <v>61</v>
      </c>
      <c r="D22" s="1186" t="s">
        <v>40</v>
      </c>
      <c r="E22" s="1186">
        <v>62</v>
      </c>
      <c r="F22" s="1186">
        <v>93160</v>
      </c>
    </row>
    <row r="23" spans="1:6" x14ac:dyDescent="0.2">
      <c r="A23" s="1186" t="s">
        <v>19</v>
      </c>
      <c r="B23" s="1186" t="s">
        <v>309</v>
      </c>
      <c r="C23" s="1186" t="s">
        <v>61</v>
      </c>
      <c r="D23" s="1186" t="s">
        <v>295</v>
      </c>
      <c r="E23" s="1186">
        <v>91</v>
      </c>
      <c r="F23" s="1186">
        <v>27420</v>
      </c>
    </row>
    <row r="24" spans="1:6" x14ac:dyDescent="0.2">
      <c r="A24" s="1186" t="s">
        <v>19</v>
      </c>
      <c r="B24" s="1186" t="s">
        <v>309</v>
      </c>
      <c r="C24" s="1186" t="s">
        <v>61</v>
      </c>
      <c r="D24" s="1186" t="s">
        <v>41</v>
      </c>
      <c r="E24" s="1186">
        <v>26</v>
      </c>
      <c r="F24" s="1186">
        <v>137830</v>
      </c>
    </row>
    <row r="25" spans="1:6" x14ac:dyDescent="0.2">
      <c r="A25" s="1186" t="s">
        <v>19</v>
      </c>
      <c r="B25" s="1186" t="s">
        <v>309</v>
      </c>
      <c r="C25" s="1186" t="s">
        <v>61</v>
      </c>
      <c r="D25" s="1186" t="s">
        <v>42</v>
      </c>
      <c r="E25" s="1186">
        <v>8</v>
      </c>
      <c r="F25" s="1186">
        <v>335160</v>
      </c>
    </row>
    <row r="26" spans="1:6" x14ac:dyDescent="0.2">
      <c r="A26" s="1186" t="s">
        <v>19</v>
      </c>
      <c r="B26" s="1186" t="s">
        <v>309</v>
      </c>
      <c r="C26" s="1186" t="s">
        <v>61</v>
      </c>
      <c r="D26" s="1186" t="s">
        <v>43</v>
      </c>
      <c r="E26" s="1186">
        <v>18</v>
      </c>
      <c r="F26" s="1186">
        <v>20940</v>
      </c>
    </row>
    <row r="27" spans="1:6" x14ac:dyDescent="0.2">
      <c r="A27" s="1186" t="s">
        <v>19</v>
      </c>
      <c r="B27" s="1186" t="s">
        <v>309</v>
      </c>
      <c r="C27" s="1186" t="s">
        <v>61</v>
      </c>
      <c r="D27" s="1186" t="s">
        <v>44</v>
      </c>
      <c r="E27" s="1186">
        <v>111</v>
      </c>
      <c r="F27" s="1186">
        <v>144370</v>
      </c>
    </row>
    <row r="28" spans="1:6" x14ac:dyDescent="0.2">
      <c r="A28" s="1186" t="s">
        <v>19</v>
      </c>
      <c r="B28" s="1186" t="s">
        <v>309</v>
      </c>
      <c r="C28" s="1186" t="s">
        <v>61</v>
      </c>
      <c r="D28" s="1186" t="s">
        <v>45</v>
      </c>
      <c r="E28" s="1186">
        <v>2</v>
      </c>
      <c r="F28" s="1186">
        <v>173020</v>
      </c>
    </row>
    <row r="29" spans="1:6" x14ac:dyDescent="0.2">
      <c r="A29" s="1186" t="s">
        <v>19</v>
      </c>
      <c r="B29" s="1186" t="s">
        <v>309</v>
      </c>
      <c r="C29" s="1186" t="s">
        <v>61</v>
      </c>
      <c r="D29" s="1186" t="s">
        <v>46</v>
      </c>
      <c r="E29" s="1186">
        <v>100</v>
      </c>
      <c r="F29" s="1186">
        <v>113590</v>
      </c>
    </row>
    <row r="30" spans="1:6" x14ac:dyDescent="0.2">
      <c r="A30" s="1186" t="s">
        <v>19</v>
      </c>
      <c r="B30" s="1186" t="s">
        <v>309</v>
      </c>
      <c r="C30" s="1186" t="s">
        <v>61</v>
      </c>
      <c r="D30" s="1186" t="s">
        <v>47</v>
      </c>
      <c r="E30" s="1186">
        <v>5</v>
      </c>
      <c r="F30" s="1186">
        <v>22800</v>
      </c>
    </row>
    <row r="31" spans="1:6" x14ac:dyDescent="0.2">
      <c r="A31" s="1186" t="s">
        <v>19</v>
      </c>
      <c r="B31" s="1186" t="s">
        <v>309</v>
      </c>
      <c r="C31" s="1186" t="s">
        <v>61</v>
      </c>
      <c r="D31" s="1186" t="s">
        <v>48</v>
      </c>
      <c r="E31" s="1186">
        <v>30</v>
      </c>
      <c r="F31" s="1186">
        <v>112490</v>
      </c>
    </row>
    <row r="32" spans="1:6" x14ac:dyDescent="0.2">
      <c r="A32" s="1186" t="s">
        <v>19</v>
      </c>
      <c r="B32" s="1186" t="s">
        <v>309</v>
      </c>
      <c r="C32" s="1186" t="s">
        <v>61</v>
      </c>
      <c r="D32" s="1186" t="s">
        <v>49</v>
      </c>
      <c r="E32" s="1186">
        <v>36</v>
      </c>
      <c r="F32" s="1186">
        <v>312180</v>
      </c>
    </row>
    <row r="33" spans="1:6" x14ac:dyDescent="0.2">
      <c r="A33" s="1186" t="s">
        <v>19</v>
      </c>
      <c r="B33" s="1186" t="s">
        <v>309</v>
      </c>
      <c r="C33" s="1186" t="s">
        <v>61</v>
      </c>
      <c r="D33" s="1186" t="s">
        <v>50</v>
      </c>
      <c r="E33" s="1186">
        <v>36</v>
      </c>
      <c r="F33" s="1186">
        <v>88690</v>
      </c>
    </row>
    <row r="34" spans="1:6" x14ac:dyDescent="0.2">
      <c r="A34" s="1186" t="s">
        <v>19</v>
      </c>
      <c r="B34" s="1186" t="s">
        <v>309</v>
      </c>
      <c r="C34" s="1186" t="s">
        <v>61</v>
      </c>
      <c r="D34" s="1186" t="s">
        <v>51</v>
      </c>
      <c r="E34" s="1186">
        <v>8</v>
      </c>
      <c r="F34" s="1186">
        <v>91080</v>
      </c>
    </row>
    <row r="35" spans="1:6" x14ac:dyDescent="0.2">
      <c r="A35" s="1186" t="s">
        <v>19</v>
      </c>
      <c r="B35" s="1186" t="s">
        <v>309</v>
      </c>
      <c r="C35" s="1186" t="s">
        <v>61</v>
      </c>
      <c r="D35" s="1186" t="s">
        <v>52</v>
      </c>
      <c r="E35" s="1186">
        <v>12</v>
      </c>
      <c r="F35" s="1186">
        <v>173040</v>
      </c>
    </row>
    <row r="36" spans="1:6" x14ac:dyDescent="0.2">
      <c r="A36" s="1186" t="s">
        <v>19</v>
      </c>
      <c r="B36" s="1186" t="s">
        <v>309</v>
      </c>
      <c r="C36" s="1186" t="s">
        <v>116</v>
      </c>
      <c r="D36" s="1186" t="s">
        <v>35</v>
      </c>
      <c r="E36" s="1186">
        <v>1</v>
      </c>
      <c r="F36" s="1186">
        <v>361420</v>
      </c>
    </row>
    <row r="37" spans="1:6" x14ac:dyDescent="0.2">
      <c r="A37" s="1186" t="s">
        <v>19</v>
      </c>
      <c r="B37" s="1186" t="s">
        <v>823</v>
      </c>
      <c r="C37" s="1186" t="s">
        <v>61</v>
      </c>
      <c r="D37" s="1186" t="s">
        <v>23</v>
      </c>
      <c r="E37" s="1186">
        <v>340</v>
      </c>
      <c r="F37" s="1186">
        <v>217020</v>
      </c>
    </row>
    <row r="38" spans="1:6" x14ac:dyDescent="0.2">
      <c r="A38" s="1186" t="s">
        <v>19</v>
      </c>
      <c r="B38" s="1186" t="s">
        <v>823</v>
      </c>
      <c r="C38" s="1186" t="s">
        <v>61</v>
      </c>
      <c r="D38" s="1186" t="s">
        <v>24</v>
      </c>
      <c r="E38" s="1186">
        <v>191</v>
      </c>
      <c r="F38" s="1186">
        <v>249020</v>
      </c>
    </row>
    <row r="39" spans="1:6" x14ac:dyDescent="0.2">
      <c r="A39" s="1186" t="s">
        <v>19</v>
      </c>
      <c r="B39" s="1186" t="s">
        <v>823</v>
      </c>
      <c r="C39" s="1186" t="s">
        <v>61</v>
      </c>
      <c r="D39" s="1186" t="s">
        <v>25</v>
      </c>
      <c r="E39" s="1186">
        <v>96</v>
      </c>
      <c r="F39" s="1186">
        <v>114830</v>
      </c>
    </row>
    <row r="40" spans="1:6" x14ac:dyDescent="0.2">
      <c r="A40" s="1186" t="s">
        <v>19</v>
      </c>
      <c r="B40" s="1186" t="s">
        <v>823</v>
      </c>
      <c r="C40" s="1186" t="s">
        <v>61</v>
      </c>
      <c r="D40" s="1186" t="s">
        <v>26</v>
      </c>
      <c r="E40" s="1186">
        <v>80</v>
      </c>
      <c r="F40" s="1186">
        <v>89450</v>
      </c>
    </row>
    <row r="41" spans="1:6" x14ac:dyDescent="0.2">
      <c r="A41" s="1186" t="s">
        <v>19</v>
      </c>
      <c r="B41" s="1186" t="s">
        <v>823</v>
      </c>
      <c r="C41" s="1186" t="s">
        <v>61</v>
      </c>
      <c r="D41" s="1186" t="s">
        <v>619</v>
      </c>
      <c r="E41" s="1186">
        <v>587</v>
      </c>
      <c r="F41" s="1186">
        <v>463230</v>
      </c>
    </row>
    <row r="42" spans="1:6" x14ac:dyDescent="0.2">
      <c r="A42" s="1186" t="s">
        <v>19</v>
      </c>
      <c r="B42" s="1186" t="s">
        <v>823</v>
      </c>
      <c r="C42" s="1186" t="s">
        <v>61</v>
      </c>
      <c r="D42" s="1186" t="s">
        <v>27</v>
      </c>
      <c r="E42" s="1186">
        <v>35</v>
      </c>
      <c r="F42" s="1186">
        <v>51290</v>
      </c>
    </row>
    <row r="43" spans="1:6" x14ac:dyDescent="0.2">
      <c r="A43" s="1186" t="s">
        <v>19</v>
      </c>
      <c r="B43" s="1186" t="s">
        <v>823</v>
      </c>
      <c r="C43" s="1186" t="s">
        <v>61</v>
      </c>
      <c r="D43" s="1186" t="s">
        <v>28</v>
      </c>
      <c r="E43" s="1186">
        <v>123</v>
      </c>
      <c r="F43" s="1186">
        <v>151160</v>
      </c>
    </row>
    <row r="44" spans="1:6" x14ac:dyDescent="0.2">
      <c r="A44" s="1186" t="s">
        <v>19</v>
      </c>
      <c r="B44" s="1186" t="s">
        <v>823</v>
      </c>
      <c r="C44" s="1186" t="s">
        <v>61</v>
      </c>
      <c r="D44" s="1186" t="s">
        <v>29</v>
      </c>
      <c r="E44" s="1186">
        <v>276</v>
      </c>
      <c r="F44" s="1186">
        <v>145170</v>
      </c>
    </row>
    <row r="45" spans="1:6" x14ac:dyDescent="0.2">
      <c r="A45" s="1186" t="s">
        <v>19</v>
      </c>
      <c r="B45" s="1186" t="s">
        <v>823</v>
      </c>
      <c r="C45" s="1186" t="s">
        <v>61</v>
      </c>
      <c r="D45" s="1186" t="s">
        <v>30</v>
      </c>
      <c r="E45" s="1186">
        <v>103</v>
      </c>
      <c r="F45" s="1186">
        <v>122110</v>
      </c>
    </row>
    <row r="46" spans="1:6" x14ac:dyDescent="0.2">
      <c r="A46" s="1186" t="s">
        <v>19</v>
      </c>
      <c r="B46" s="1186" t="s">
        <v>823</v>
      </c>
      <c r="C46" s="1186" t="s">
        <v>61</v>
      </c>
      <c r="D46" s="1186" t="s">
        <v>31</v>
      </c>
      <c r="E46" s="1186">
        <v>60</v>
      </c>
      <c r="F46" s="1186">
        <v>104960</v>
      </c>
    </row>
    <row r="47" spans="1:6" x14ac:dyDescent="0.2">
      <c r="A47" s="1186" t="s">
        <v>19</v>
      </c>
      <c r="B47" s="1186" t="s">
        <v>823</v>
      </c>
      <c r="C47" s="1186" t="s">
        <v>61</v>
      </c>
      <c r="D47" s="1186" t="s">
        <v>32</v>
      </c>
      <c r="E47" s="1186">
        <v>88</v>
      </c>
      <c r="F47" s="1186">
        <v>98340</v>
      </c>
    </row>
    <row r="48" spans="1:6" x14ac:dyDescent="0.2">
      <c r="A48" s="1186" t="s">
        <v>19</v>
      </c>
      <c r="B48" s="1186" t="s">
        <v>823</v>
      </c>
      <c r="C48" s="1186" t="s">
        <v>61</v>
      </c>
      <c r="D48" s="1186" t="s">
        <v>33</v>
      </c>
      <c r="E48" s="1186">
        <v>42</v>
      </c>
      <c r="F48" s="1186">
        <v>89980</v>
      </c>
    </row>
    <row r="49" spans="1:6" x14ac:dyDescent="0.2">
      <c r="A49" s="1186" t="s">
        <v>19</v>
      </c>
      <c r="B49" s="1186" t="s">
        <v>823</v>
      </c>
      <c r="C49" s="1186" t="s">
        <v>61</v>
      </c>
      <c r="D49" s="1186" t="s">
        <v>34</v>
      </c>
      <c r="E49" s="1186">
        <v>96</v>
      </c>
      <c r="F49" s="1186">
        <v>154210</v>
      </c>
    </row>
    <row r="50" spans="1:6" x14ac:dyDescent="0.2">
      <c r="A50" s="1186" t="s">
        <v>19</v>
      </c>
      <c r="B50" s="1186" t="s">
        <v>823</v>
      </c>
      <c r="C50" s="1186" t="s">
        <v>61</v>
      </c>
      <c r="D50" s="1186" t="s">
        <v>35</v>
      </c>
      <c r="E50" s="1186">
        <v>266</v>
      </c>
      <c r="F50" s="1186">
        <v>361420</v>
      </c>
    </row>
    <row r="51" spans="1:6" x14ac:dyDescent="0.2">
      <c r="A51" s="1186" t="s">
        <v>19</v>
      </c>
      <c r="B51" s="1186" t="s">
        <v>823</v>
      </c>
      <c r="C51" s="1186" t="s">
        <v>61</v>
      </c>
      <c r="D51" s="1186" t="s">
        <v>36</v>
      </c>
      <c r="E51" s="1186">
        <v>1004</v>
      </c>
      <c r="F51" s="1186">
        <v>581620</v>
      </c>
    </row>
    <row r="52" spans="1:6" x14ac:dyDescent="0.2">
      <c r="A52" s="1186" t="s">
        <v>19</v>
      </c>
      <c r="B52" s="1186" t="s">
        <v>823</v>
      </c>
      <c r="C52" s="1186" t="s">
        <v>61</v>
      </c>
      <c r="D52" s="1186" t="s">
        <v>37</v>
      </c>
      <c r="E52" s="1186">
        <v>141</v>
      </c>
      <c r="F52" s="1186">
        <v>228750</v>
      </c>
    </row>
    <row r="53" spans="1:6" x14ac:dyDescent="0.2">
      <c r="A53" s="1186" t="s">
        <v>19</v>
      </c>
      <c r="B53" s="1186" t="s">
        <v>823</v>
      </c>
      <c r="C53" s="1186" t="s">
        <v>61</v>
      </c>
      <c r="D53" s="1186" t="s">
        <v>38</v>
      </c>
      <c r="E53" s="1186">
        <v>88</v>
      </c>
      <c r="F53" s="1186">
        <v>81670</v>
      </c>
    </row>
    <row r="54" spans="1:6" x14ac:dyDescent="0.2">
      <c r="A54" s="1186" t="s">
        <v>19</v>
      </c>
      <c r="B54" s="1186" t="s">
        <v>823</v>
      </c>
      <c r="C54" s="1186" t="s">
        <v>61</v>
      </c>
      <c r="D54" s="1186" t="s">
        <v>39</v>
      </c>
      <c r="E54" s="1186">
        <v>61</v>
      </c>
      <c r="F54" s="1186">
        <v>81900</v>
      </c>
    </row>
    <row r="55" spans="1:6" x14ac:dyDescent="0.2">
      <c r="A55" s="1186" t="s">
        <v>19</v>
      </c>
      <c r="B55" s="1186" t="s">
        <v>823</v>
      </c>
      <c r="C55" s="1186" t="s">
        <v>61</v>
      </c>
      <c r="D55" s="1186" t="s">
        <v>40</v>
      </c>
      <c r="E55" s="1186">
        <v>63</v>
      </c>
      <c r="F55" s="1186">
        <v>93160</v>
      </c>
    </row>
    <row r="56" spans="1:6" x14ac:dyDescent="0.2">
      <c r="A56" s="1186" t="s">
        <v>19</v>
      </c>
      <c r="B56" s="1186" t="s">
        <v>823</v>
      </c>
      <c r="C56" s="1186" t="s">
        <v>61</v>
      </c>
      <c r="D56" s="1186" t="s">
        <v>295</v>
      </c>
      <c r="E56" s="1186">
        <v>22</v>
      </c>
      <c r="F56" s="1186">
        <v>27420</v>
      </c>
    </row>
    <row r="57" spans="1:6" x14ac:dyDescent="0.2">
      <c r="A57" s="1186" t="s">
        <v>19</v>
      </c>
      <c r="B57" s="1186" t="s">
        <v>823</v>
      </c>
      <c r="C57" s="1186" t="s">
        <v>61</v>
      </c>
      <c r="D57" s="1186" t="s">
        <v>41</v>
      </c>
      <c r="E57" s="1186">
        <v>154</v>
      </c>
      <c r="F57" s="1186">
        <v>137830</v>
      </c>
    </row>
    <row r="58" spans="1:6" x14ac:dyDescent="0.2">
      <c r="A58" s="1186" t="s">
        <v>19</v>
      </c>
      <c r="B58" s="1186" t="s">
        <v>823</v>
      </c>
      <c r="C58" s="1186" t="s">
        <v>61</v>
      </c>
      <c r="D58" s="1186" t="s">
        <v>42</v>
      </c>
      <c r="E58" s="1186">
        <v>283</v>
      </c>
      <c r="F58" s="1186">
        <v>335160</v>
      </c>
    </row>
    <row r="59" spans="1:6" x14ac:dyDescent="0.2">
      <c r="A59" s="1186" t="s">
        <v>19</v>
      </c>
      <c r="B59" s="1186" t="s">
        <v>823</v>
      </c>
      <c r="C59" s="1186" t="s">
        <v>61</v>
      </c>
      <c r="D59" s="1186" t="s">
        <v>43</v>
      </c>
      <c r="E59" s="1186">
        <v>10</v>
      </c>
      <c r="F59" s="1186">
        <v>20940</v>
      </c>
    </row>
    <row r="60" spans="1:6" x14ac:dyDescent="0.2">
      <c r="A60" s="1186" t="s">
        <v>19</v>
      </c>
      <c r="B60" s="1186" t="s">
        <v>823</v>
      </c>
      <c r="C60" s="1186" t="s">
        <v>61</v>
      </c>
      <c r="D60" s="1186" t="s">
        <v>44</v>
      </c>
      <c r="E60" s="1186">
        <v>115</v>
      </c>
      <c r="F60" s="1186">
        <v>144370</v>
      </c>
    </row>
    <row r="61" spans="1:6" x14ac:dyDescent="0.2">
      <c r="A61" s="1186" t="s">
        <v>19</v>
      </c>
      <c r="B61" s="1186" t="s">
        <v>823</v>
      </c>
      <c r="C61" s="1186" t="s">
        <v>61</v>
      </c>
      <c r="D61" s="1186" t="s">
        <v>45</v>
      </c>
      <c r="E61" s="1186">
        <v>189</v>
      </c>
      <c r="F61" s="1186">
        <v>173020</v>
      </c>
    </row>
    <row r="62" spans="1:6" x14ac:dyDescent="0.2">
      <c r="A62" s="1186" t="s">
        <v>19</v>
      </c>
      <c r="B62" s="1186" t="s">
        <v>823</v>
      </c>
      <c r="C62" s="1186" t="s">
        <v>61</v>
      </c>
      <c r="D62" s="1186" t="s">
        <v>46</v>
      </c>
      <c r="E62" s="1186">
        <v>105</v>
      </c>
      <c r="F62" s="1186">
        <v>113590</v>
      </c>
    </row>
    <row r="63" spans="1:6" x14ac:dyDescent="0.2">
      <c r="A63" s="1186" t="s">
        <v>19</v>
      </c>
      <c r="B63" s="1186" t="s">
        <v>823</v>
      </c>
      <c r="C63" s="1186" t="s">
        <v>61</v>
      </c>
      <c r="D63" s="1186" t="s">
        <v>47</v>
      </c>
      <c r="E63" s="1186">
        <v>11</v>
      </c>
      <c r="F63" s="1186">
        <v>22800</v>
      </c>
    </row>
    <row r="64" spans="1:6" x14ac:dyDescent="0.2">
      <c r="A64" s="1186" t="s">
        <v>19</v>
      </c>
      <c r="B64" s="1186" t="s">
        <v>823</v>
      </c>
      <c r="C64" s="1186" t="s">
        <v>61</v>
      </c>
      <c r="D64" s="1186" t="s">
        <v>48</v>
      </c>
      <c r="E64" s="1186">
        <v>84</v>
      </c>
      <c r="F64" s="1186">
        <v>112490</v>
      </c>
    </row>
    <row r="65" spans="1:6" x14ac:dyDescent="0.2">
      <c r="A65" s="1186" t="s">
        <v>19</v>
      </c>
      <c r="B65" s="1186" t="s">
        <v>823</v>
      </c>
      <c r="C65" s="1186" t="s">
        <v>61</v>
      </c>
      <c r="D65" s="1186" t="s">
        <v>49</v>
      </c>
      <c r="E65" s="1186">
        <v>270</v>
      </c>
      <c r="F65" s="1186">
        <v>312180</v>
      </c>
    </row>
    <row r="66" spans="1:6" x14ac:dyDescent="0.2">
      <c r="A66" s="1186" t="s">
        <v>19</v>
      </c>
      <c r="B66" s="1186" t="s">
        <v>823</v>
      </c>
      <c r="C66" s="1186" t="s">
        <v>61</v>
      </c>
      <c r="D66" s="1186" t="s">
        <v>50</v>
      </c>
      <c r="E66" s="1186">
        <v>83</v>
      </c>
      <c r="F66" s="1186">
        <v>88690</v>
      </c>
    </row>
    <row r="67" spans="1:6" x14ac:dyDescent="0.2">
      <c r="A67" s="1186" t="s">
        <v>19</v>
      </c>
      <c r="B67" s="1186" t="s">
        <v>823</v>
      </c>
      <c r="C67" s="1186" t="s">
        <v>61</v>
      </c>
      <c r="D67" s="1186" t="s">
        <v>51</v>
      </c>
      <c r="E67" s="1186">
        <v>127</v>
      </c>
      <c r="F67" s="1186">
        <v>91080</v>
      </c>
    </row>
    <row r="68" spans="1:6" x14ac:dyDescent="0.2">
      <c r="A68" s="1186" t="s">
        <v>19</v>
      </c>
      <c r="B68" s="1186" t="s">
        <v>823</v>
      </c>
      <c r="C68" s="1186" t="s">
        <v>61</v>
      </c>
      <c r="D68" s="1186" t="s">
        <v>52</v>
      </c>
      <c r="E68" s="1186">
        <v>174</v>
      </c>
      <c r="F68" s="1186">
        <v>173040</v>
      </c>
    </row>
    <row r="69" spans="1:6" x14ac:dyDescent="0.2">
      <c r="A69" s="1186" t="s">
        <v>19</v>
      </c>
      <c r="B69" s="1186" t="s">
        <v>823</v>
      </c>
      <c r="C69" s="1186" t="s">
        <v>116</v>
      </c>
      <c r="D69" s="1186" t="s">
        <v>23</v>
      </c>
      <c r="E69" s="1186">
        <v>51</v>
      </c>
      <c r="F69" s="1186">
        <v>217020</v>
      </c>
    </row>
    <row r="70" spans="1:6" x14ac:dyDescent="0.2">
      <c r="A70" s="1186" t="s">
        <v>19</v>
      </c>
      <c r="B70" s="1186" t="s">
        <v>823</v>
      </c>
      <c r="C70" s="1186" t="s">
        <v>116</v>
      </c>
      <c r="D70" s="1186" t="s">
        <v>24</v>
      </c>
      <c r="E70" s="1186">
        <v>13</v>
      </c>
      <c r="F70" s="1186">
        <v>249020</v>
      </c>
    </row>
    <row r="71" spans="1:6" x14ac:dyDescent="0.2">
      <c r="A71" s="1186" t="s">
        <v>19</v>
      </c>
      <c r="B71" s="1186" t="s">
        <v>823</v>
      </c>
      <c r="C71" s="1186" t="s">
        <v>116</v>
      </c>
      <c r="D71" s="1186" t="s">
        <v>25</v>
      </c>
      <c r="E71" s="1186">
        <v>6</v>
      </c>
      <c r="F71" s="1186">
        <v>114830</v>
      </c>
    </row>
    <row r="72" spans="1:6" x14ac:dyDescent="0.2">
      <c r="A72" s="1186" t="s">
        <v>19</v>
      </c>
      <c r="B72" s="1186" t="s">
        <v>823</v>
      </c>
      <c r="C72" s="1186" t="s">
        <v>116</v>
      </c>
      <c r="D72" s="1186" t="s">
        <v>26</v>
      </c>
      <c r="E72" s="1186">
        <v>6</v>
      </c>
      <c r="F72" s="1186">
        <v>89450</v>
      </c>
    </row>
    <row r="73" spans="1:6" x14ac:dyDescent="0.2">
      <c r="A73" s="1186" t="s">
        <v>19</v>
      </c>
      <c r="B73" s="1186" t="s">
        <v>823</v>
      </c>
      <c r="C73" s="1186" t="s">
        <v>116</v>
      </c>
      <c r="D73" s="1186" t="s">
        <v>619</v>
      </c>
      <c r="E73" s="1186">
        <v>208</v>
      </c>
      <c r="F73" s="1186">
        <v>463230</v>
      </c>
    </row>
    <row r="74" spans="1:6" x14ac:dyDescent="0.2">
      <c r="A74" s="1186" t="s">
        <v>19</v>
      </c>
      <c r="B74" s="1186" t="s">
        <v>823</v>
      </c>
      <c r="C74" s="1186" t="s">
        <v>116</v>
      </c>
      <c r="D74" s="1186" t="s">
        <v>27</v>
      </c>
      <c r="E74" s="1186">
        <v>5</v>
      </c>
      <c r="F74" s="1186">
        <v>51290</v>
      </c>
    </row>
    <row r="75" spans="1:6" x14ac:dyDescent="0.2">
      <c r="A75" s="1186" t="s">
        <v>19</v>
      </c>
      <c r="B75" s="1186" t="s">
        <v>823</v>
      </c>
      <c r="C75" s="1186" t="s">
        <v>116</v>
      </c>
      <c r="D75" s="1186" t="s">
        <v>28</v>
      </c>
      <c r="E75" s="1186">
        <v>9</v>
      </c>
      <c r="F75" s="1186">
        <v>151160</v>
      </c>
    </row>
    <row r="76" spans="1:6" x14ac:dyDescent="0.2">
      <c r="A76" s="1186" t="s">
        <v>19</v>
      </c>
      <c r="B76" s="1186" t="s">
        <v>823</v>
      </c>
      <c r="C76" s="1186" t="s">
        <v>116</v>
      </c>
      <c r="D76" s="1186" t="s">
        <v>29</v>
      </c>
      <c r="E76" s="1186">
        <v>49</v>
      </c>
      <c r="F76" s="1186">
        <v>145170</v>
      </c>
    </row>
    <row r="77" spans="1:6" x14ac:dyDescent="0.2">
      <c r="A77" s="1186" t="s">
        <v>19</v>
      </c>
      <c r="B77" s="1186" t="s">
        <v>823</v>
      </c>
      <c r="C77" s="1186" t="s">
        <v>116</v>
      </c>
      <c r="D77" s="1186" t="s">
        <v>30</v>
      </c>
      <c r="E77" s="1186">
        <v>22</v>
      </c>
      <c r="F77" s="1186">
        <v>122110</v>
      </c>
    </row>
    <row r="78" spans="1:6" x14ac:dyDescent="0.2">
      <c r="A78" s="1186" t="s">
        <v>19</v>
      </c>
      <c r="B78" s="1186" t="s">
        <v>823</v>
      </c>
      <c r="C78" s="1186" t="s">
        <v>116</v>
      </c>
      <c r="D78" s="1186" t="s">
        <v>31</v>
      </c>
      <c r="E78" s="1186">
        <v>18</v>
      </c>
      <c r="F78" s="1186">
        <v>104960</v>
      </c>
    </row>
    <row r="79" spans="1:6" x14ac:dyDescent="0.2">
      <c r="A79" s="1186" t="s">
        <v>19</v>
      </c>
      <c r="B79" s="1186" t="s">
        <v>823</v>
      </c>
      <c r="C79" s="1186" t="s">
        <v>116</v>
      </c>
      <c r="D79" s="1186" t="s">
        <v>32</v>
      </c>
      <c r="E79" s="1186">
        <v>12</v>
      </c>
      <c r="F79" s="1186">
        <v>98340</v>
      </c>
    </row>
    <row r="80" spans="1:6" x14ac:dyDescent="0.2">
      <c r="A80" s="1186" t="s">
        <v>19</v>
      </c>
      <c r="B80" s="1186" t="s">
        <v>823</v>
      </c>
      <c r="C80" s="1186" t="s">
        <v>116</v>
      </c>
      <c r="D80" s="1186" t="s">
        <v>33</v>
      </c>
      <c r="E80" s="1186">
        <v>6</v>
      </c>
      <c r="F80" s="1186">
        <v>89980</v>
      </c>
    </row>
    <row r="81" spans="1:6" x14ac:dyDescent="0.2">
      <c r="A81" s="1186" t="s">
        <v>19</v>
      </c>
      <c r="B81" s="1186" t="s">
        <v>823</v>
      </c>
      <c r="C81" s="1186" t="s">
        <v>116</v>
      </c>
      <c r="D81" s="1186" t="s">
        <v>34</v>
      </c>
      <c r="E81" s="1186">
        <v>17</v>
      </c>
      <c r="F81" s="1186">
        <v>154210</v>
      </c>
    </row>
    <row r="82" spans="1:6" x14ac:dyDescent="0.2">
      <c r="A82" s="1186" t="s">
        <v>19</v>
      </c>
      <c r="B82" s="1186" t="s">
        <v>823</v>
      </c>
      <c r="C82" s="1186" t="s">
        <v>116</v>
      </c>
      <c r="D82" s="1186" t="s">
        <v>35</v>
      </c>
      <c r="E82" s="1186">
        <v>54</v>
      </c>
      <c r="F82" s="1186">
        <v>361420</v>
      </c>
    </row>
    <row r="83" spans="1:6" x14ac:dyDescent="0.2">
      <c r="A83" s="1186" t="s">
        <v>19</v>
      </c>
      <c r="B83" s="1186" t="s">
        <v>823</v>
      </c>
      <c r="C83" s="1186" t="s">
        <v>116</v>
      </c>
      <c r="D83" s="1186" t="s">
        <v>36</v>
      </c>
      <c r="E83" s="1186">
        <v>280</v>
      </c>
      <c r="F83" s="1186">
        <v>581620</v>
      </c>
    </row>
    <row r="84" spans="1:6" x14ac:dyDescent="0.2">
      <c r="A84" s="1186" t="s">
        <v>19</v>
      </c>
      <c r="B84" s="1186" t="s">
        <v>823</v>
      </c>
      <c r="C84" s="1186" t="s">
        <v>116</v>
      </c>
      <c r="D84" s="1186" t="s">
        <v>37</v>
      </c>
      <c r="E84" s="1186">
        <v>4</v>
      </c>
      <c r="F84" s="1186">
        <v>228750</v>
      </c>
    </row>
    <row r="85" spans="1:6" x14ac:dyDescent="0.2">
      <c r="A85" s="1186" t="s">
        <v>19</v>
      </c>
      <c r="B85" s="1186" t="s">
        <v>823</v>
      </c>
      <c r="C85" s="1186" t="s">
        <v>116</v>
      </c>
      <c r="D85" s="1186" t="s">
        <v>38</v>
      </c>
      <c r="E85" s="1186">
        <v>56</v>
      </c>
      <c r="F85" s="1186">
        <v>81670</v>
      </c>
    </row>
    <row r="86" spans="1:6" x14ac:dyDescent="0.2">
      <c r="A86" s="1186" t="s">
        <v>19</v>
      </c>
      <c r="B86" s="1186" t="s">
        <v>823</v>
      </c>
      <c r="C86" s="1186" t="s">
        <v>116</v>
      </c>
      <c r="D86" s="1186" t="s">
        <v>39</v>
      </c>
      <c r="E86" s="1186">
        <v>12</v>
      </c>
      <c r="F86" s="1186">
        <v>81900</v>
      </c>
    </row>
    <row r="87" spans="1:6" x14ac:dyDescent="0.2">
      <c r="A87" s="1186" t="s">
        <v>19</v>
      </c>
      <c r="B87" s="1186" t="s">
        <v>823</v>
      </c>
      <c r="C87" s="1186" t="s">
        <v>116</v>
      </c>
      <c r="D87" s="1186" t="s">
        <v>40</v>
      </c>
      <c r="E87" s="1186">
        <v>8</v>
      </c>
      <c r="F87" s="1186">
        <v>93160</v>
      </c>
    </row>
    <row r="88" spans="1:6" x14ac:dyDescent="0.2">
      <c r="A88" s="1186" t="s">
        <v>19</v>
      </c>
      <c r="B88" s="1186" t="s">
        <v>823</v>
      </c>
      <c r="C88" s="1186" t="s">
        <v>116</v>
      </c>
      <c r="D88" s="1186" t="s">
        <v>295</v>
      </c>
      <c r="E88" s="1186">
        <v>2</v>
      </c>
      <c r="F88" s="1186">
        <v>27420</v>
      </c>
    </row>
    <row r="89" spans="1:6" x14ac:dyDescent="0.2">
      <c r="A89" s="1186" t="s">
        <v>19</v>
      </c>
      <c r="B89" s="1186" t="s">
        <v>823</v>
      </c>
      <c r="C89" s="1186" t="s">
        <v>116</v>
      </c>
      <c r="D89" s="1186" t="s">
        <v>41</v>
      </c>
      <c r="E89" s="1186">
        <v>23</v>
      </c>
      <c r="F89" s="1186">
        <v>137830</v>
      </c>
    </row>
    <row r="90" spans="1:6" x14ac:dyDescent="0.2">
      <c r="A90" s="1186" t="s">
        <v>19</v>
      </c>
      <c r="B90" s="1186" t="s">
        <v>823</v>
      </c>
      <c r="C90" s="1186" t="s">
        <v>116</v>
      </c>
      <c r="D90" s="1186" t="s">
        <v>42</v>
      </c>
      <c r="E90" s="1186">
        <v>95</v>
      </c>
      <c r="F90" s="1186">
        <v>335160</v>
      </c>
    </row>
    <row r="91" spans="1:6" x14ac:dyDescent="0.2">
      <c r="A91" s="1186" t="s">
        <v>19</v>
      </c>
      <c r="B91" s="1186" t="s">
        <v>823</v>
      </c>
      <c r="C91" s="1186" t="s">
        <v>116</v>
      </c>
      <c r="D91" s="1186" t="s">
        <v>43</v>
      </c>
      <c r="E91" s="1186">
        <v>1</v>
      </c>
      <c r="F91" s="1186">
        <v>20940</v>
      </c>
    </row>
    <row r="92" spans="1:6" x14ac:dyDescent="0.2">
      <c r="A92" s="1186" t="s">
        <v>19</v>
      </c>
      <c r="B92" s="1186" t="s">
        <v>823</v>
      </c>
      <c r="C92" s="1186" t="s">
        <v>116</v>
      </c>
      <c r="D92" s="1186" t="s">
        <v>44</v>
      </c>
      <c r="E92" s="1186">
        <v>7</v>
      </c>
      <c r="F92" s="1186">
        <v>144370</v>
      </c>
    </row>
    <row r="93" spans="1:6" x14ac:dyDescent="0.2">
      <c r="A93" s="1186" t="s">
        <v>19</v>
      </c>
      <c r="B93" s="1186" t="s">
        <v>823</v>
      </c>
      <c r="C93" s="1186" t="s">
        <v>116</v>
      </c>
      <c r="D93" s="1186" t="s">
        <v>45</v>
      </c>
      <c r="E93" s="1186">
        <v>48</v>
      </c>
      <c r="F93" s="1186">
        <v>173020</v>
      </c>
    </row>
    <row r="94" spans="1:6" x14ac:dyDescent="0.2">
      <c r="A94" s="1186" t="s">
        <v>19</v>
      </c>
      <c r="B94" s="1186" t="s">
        <v>823</v>
      </c>
      <c r="C94" s="1186" t="s">
        <v>116</v>
      </c>
      <c r="D94" s="1186" t="s">
        <v>46</v>
      </c>
      <c r="E94" s="1186">
        <v>6</v>
      </c>
      <c r="F94" s="1186">
        <v>113590</v>
      </c>
    </row>
    <row r="95" spans="1:6" x14ac:dyDescent="0.2">
      <c r="A95" s="1186" t="s">
        <v>19</v>
      </c>
      <c r="B95" s="1186" t="s">
        <v>823</v>
      </c>
      <c r="C95" s="1186" t="s">
        <v>116</v>
      </c>
      <c r="D95" s="1186" t="s">
        <v>48</v>
      </c>
      <c r="E95" s="1186">
        <v>15</v>
      </c>
      <c r="F95" s="1186">
        <v>112490</v>
      </c>
    </row>
    <row r="96" spans="1:6" x14ac:dyDescent="0.2">
      <c r="A96" s="1186" t="s">
        <v>19</v>
      </c>
      <c r="B96" s="1186" t="s">
        <v>823</v>
      </c>
      <c r="C96" s="1186" t="s">
        <v>116</v>
      </c>
      <c r="D96" s="1186" t="s">
        <v>49</v>
      </c>
      <c r="E96" s="1186">
        <v>56</v>
      </c>
      <c r="F96" s="1186">
        <v>312180</v>
      </c>
    </row>
    <row r="97" spans="1:6" x14ac:dyDescent="0.2">
      <c r="A97" s="1186" t="s">
        <v>19</v>
      </c>
      <c r="B97" s="1186" t="s">
        <v>823</v>
      </c>
      <c r="C97" s="1186" t="s">
        <v>116</v>
      </c>
      <c r="D97" s="1186" t="s">
        <v>50</v>
      </c>
      <c r="E97" s="1186">
        <v>11</v>
      </c>
      <c r="F97" s="1186">
        <v>88690</v>
      </c>
    </row>
    <row r="98" spans="1:6" x14ac:dyDescent="0.2">
      <c r="A98" s="1186" t="s">
        <v>19</v>
      </c>
      <c r="B98" s="1186" t="s">
        <v>823</v>
      </c>
      <c r="C98" s="1186" t="s">
        <v>116</v>
      </c>
      <c r="D98" s="1186" t="s">
        <v>51</v>
      </c>
      <c r="E98" s="1186">
        <v>45</v>
      </c>
      <c r="F98" s="1186">
        <v>91080</v>
      </c>
    </row>
    <row r="99" spans="1:6" x14ac:dyDescent="0.2">
      <c r="A99" s="1186" t="s">
        <v>19</v>
      </c>
      <c r="B99" s="1186" t="s">
        <v>823</v>
      </c>
      <c r="C99" s="1186" t="s">
        <v>116</v>
      </c>
      <c r="D99" s="1186" t="s">
        <v>52</v>
      </c>
      <c r="E99" s="1186">
        <v>48</v>
      </c>
      <c r="F99" s="1186">
        <v>173040</v>
      </c>
    </row>
    <row r="100" spans="1:6" x14ac:dyDescent="0.2">
      <c r="A100" s="1186" t="s">
        <v>19</v>
      </c>
      <c r="B100" s="1186" t="s">
        <v>824</v>
      </c>
      <c r="C100" s="1186" t="s">
        <v>61</v>
      </c>
      <c r="D100" s="1186" t="s">
        <v>23</v>
      </c>
      <c r="E100" s="1186">
        <v>114</v>
      </c>
      <c r="F100" s="1186">
        <v>217020</v>
      </c>
    </row>
    <row r="101" spans="1:6" x14ac:dyDescent="0.2">
      <c r="A101" s="1186" t="s">
        <v>19</v>
      </c>
      <c r="B101" s="1186" t="s">
        <v>824</v>
      </c>
      <c r="C101" s="1186" t="s">
        <v>61</v>
      </c>
      <c r="D101" s="1186" t="s">
        <v>24</v>
      </c>
      <c r="E101" s="1186">
        <v>77</v>
      </c>
      <c r="F101" s="1186">
        <v>249020</v>
      </c>
    </row>
    <row r="102" spans="1:6" x14ac:dyDescent="0.2">
      <c r="A102" s="1186" t="s">
        <v>19</v>
      </c>
      <c r="B102" s="1186" t="s">
        <v>824</v>
      </c>
      <c r="C102" s="1186" t="s">
        <v>61</v>
      </c>
      <c r="D102" s="1186" t="s">
        <v>25</v>
      </c>
      <c r="E102" s="1186">
        <v>34</v>
      </c>
      <c r="F102" s="1186">
        <v>114830</v>
      </c>
    </row>
    <row r="103" spans="1:6" x14ac:dyDescent="0.2">
      <c r="A103" s="1186" t="s">
        <v>19</v>
      </c>
      <c r="B103" s="1186" t="s">
        <v>824</v>
      </c>
      <c r="C103" s="1186" t="s">
        <v>61</v>
      </c>
      <c r="D103" s="1186" t="s">
        <v>26</v>
      </c>
      <c r="E103" s="1186">
        <v>38</v>
      </c>
      <c r="F103" s="1186">
        <v>89450</v>
      </c>
    </row>
    <row r="104" spans="1:6" x14ac:dyDescent="0.2">
      <c r="A104" s="1186" t="s">
        <v>19</v>
      </c>
      <c r="B104" s="1186" t="s">
        <v>824</v>
      </c>
      <c r="C104" s="1186" t="s">
        <v>61</v>
      </c>
      <c r="D104" s="1186" t="s">
        <v>619</v>
      </c>
      <c r="E104" s="1186">
        <v>241</v>
      </c>
      <c r="F104" s="1186">
        <v>463230</v>
      </c>
    </row>
    <row r="105" spans="1:6" x14ac:dyDescent="0.2">
      <c r="A105" s="1186" t="s">
        <v>19</v>
      </c>
      <c r="B105" s="1186" t="s">
        <v>824</v>
      </c>
      <c r="C105" s="1186" t="s">
        <v>61</v>
      </c>
      <c r="D105" s="1186" t="s">
        <v>27</v>
      </c>
      <c r="E105" s="1186">
        <v>16</v>
      </c>
      <c r="F105" s="1186">
        <v>51290</v>
      </c>
    </row>
    <row r="106" spans="1:6" x14ac:dyDescent="0.2">
      <c r="A106" s="1186" t="s">
        <v>19</v>
      </c>
      <c r="B106" s="1186" t="s">
        <v>824</v>
      </c>
      <c r="C106" s="1186" t="s">
        <v>61</v>
      </c>
      <c r="D106" s="1186" t="s">
        <v>28</v>
      </c>
      <c r="E106" s="1186">
        <v>50</v>
      </c>
      <c r="F106" s="1186">
        <v>151160</v>
      </c>
    </row>
    <row r="107" spans="1:6" x14ac:dyDescent="0.2">
      <c r="A107" s="1186" t="s">
        <v>19</v>
      </c>
      <c r="B107" s="1186" t="s">
        <v>824</v>
      </c>
      <c r="C107" s="1186" t="s">
        <v>61</v>
      </c>
      <c r="D107" s="1186" t="s">
        <v>29</v>
      </c>
      <c r="E107" s="1186">
        <v>95</v>
      </c>
      <c r="F107" s="1186">
        <v>145170</v>
      </c>
    </row>
    <row r="108" spans="1:6" x14ac:dyDescent="0.2">
      <c r="A108" s="1186" t="s">
        <v>19</v>
      </c>
      <c r="B108" s="1186" t="s">
        <v>824</v>
      </c>
      <c r="C108" s="1186" t="s">
        <v>61</v>
      </c>
      <c r="D108" s="1186" t="s">
        <v>30</v>
      </c>
      <c r="E108" s="1186">
        <v>34</v>
      </c>
      <c r="F108" s="1186">
        <v>122110</v>
      </c>
    </row>
    <row r="109" spans="1:6" x14ac:dyDescent="0.2">
      <c r="A109" s="1186" t="s">
        <v>19</v>
      </c>
      <c r="B109" s="1186" t="s">
        <v>824</v>
      </c>
      <c r="C109" s="1186" t="s">
        <v>61</v>
      </c>
      <c r="D109" s="1186" t="s">
        <v>31</v>
      </c>
      <c r="E109" s="1186">
        <v>21</v>
      </c>
      <c r="F109" s="1186">
        <v>104960</v>
      </c>
    </row>
    <row r="110" spans="1:6" x14ac:dyDescent="0.2">
      <c r="A110" s="1186" t="s">
        <v>19</v>
      </c>
      <c r="B110" s="1186" t="s">
        <v>824</v>
      </c>
      <c r="C110" s="1186" t="s">
        <v>61</v>
      </c>
      <c r="D110" s="1186" t="s">
        <v>32</v>
      </c>
      <c r="E110" s="1186">
        <v>36</v>
      </c>
      <c r="F110" s="1186">
        <v>98340</v>
      </c>
    </row>
    <row r="111" spans="1:6" x14ac:dyDescent="0.2">
      <c r="A111" s="1186" t="s">
        <v>19</v>
      </c>
      <c r="B111" s="1186" t="s">
        <v>824</v>
      </c>
      <c r="C111" s="1186" t="s">
        <v>61</v>
      </c>
      <c r="D111" s="1186" t="s">
        <v>33</v>
      </c>
      <c r="E111" s="1186">
        <v>21</v>
      </c>
      <c r="F111" s="1186">
        <v>89980</v>
      </c>
    </row>
    <row r="112" spans="1:6" x14ac:dyDescent="0.2">
      <c r="A112" s="1186" t="s">
        <v>19</v>
      </c>
      <c r="B112" s="1186" t="s">
        <v>824</v>
      </c>
      <c r="C112" s="1186" t="s">
        <v>61</v>
      </c>
      <c r="D112" s="1186" t="s">
        <v>34</v>
      </c>
      <c r="E112" s="1186">
        <v>40</v>
      </c>
      <c r="F112" s="1186">
        <v>154210</v>
      </c>
    </row>
    <row r="113" spans="1:6" x14ac:dyDescent="0.2">
      <c r="A113" s="1186" t="s">
        <v>19</v>
      </c>
      <c r="B113" s="1186" t="s">
        <v>824</v>
      </c>
      <c r="C113" s="1186" t="s">
        <v>61</v>
      </c>
      <c r="D113" s="1186" t="s">
        <v>35</v>
      </c>
      <c r="E113" s="1186">
        <v>110</v>
      </c>
      <c r="F113" s="1186">
        <v>361420</v>
      </c>
    </row>
    <row r="114" spans="1:6" x14ac:dyDescent="0.2">
      <c r="A114" s="1186" t="s">
        <v>19</v>
      </c>
      <c r="B114" s="1186" t="s">
        <v>824</v>
      </c>
      <c r="C114" s="1186" t="s">
        <v>61</v>
      </c>
      <c r="D114" s="1186" t="s">
        <v>36</v>
      </c>
      <c r="E114" s="1186">
        <v>360</v>
      </c>
      <c r="F114" s="1186">
        <v>581620</v>
      </c>
    </row>
    <row r="115" spans="1:6" x14ac:dyDescent="0.2">
      <c r="A115" s="1186" t="s">
        <v>19</v>
      </c>
      <c r="B115" s="1186" t="s">
        <v>824</v>
      </c>
      <c r="C115" s="1186" t="s">
        <v>61</v>
      </c>
      <c r="D115" s="1186" t="s">
        <v>37</v>
      </c>
      <c r="E115" s="1186">
        <v>69</v>
      </c>
      <c r="F115" s="1186">
        <v>228750</v>
      </c>
    </row>
    <row r="116" spans="1:6" x14ac:dyDescent="0.2">
      <c r="A116" s="1186" t="s">
        <v>19</v>
      </c>
      <c r="B116" s="1186" t="s">
        <v>824</v>
      </c>
      <c r="C116" s="1186" t="s">
        <v>61</v>
      </c>
      <c r="D116" s="1186" t="s">
        <v>38</v>
      </c>
      <c r="E116" s="1186">
        <v>31</v>
      </c>
      <c r="F116" s="1186">
        <v>81670</v>
      </c>
    </row>
    <row r="117" spans="1:6" x14ac:dyDescent="0.2">
      <c r="A117" s="1186" t="s">
        <v>19</v>
      </c>
      <c r="B117" s="1186" t="s">
        <v>824</v>
      </c>
      <c r="C117" s="1186" t="s">
        <v>61</v>
      </c>
      <c r="D117" s="1186" t="s">
        <v>39</v>
      </c>
      <c r="E117" s="1186">
        <v>27</v>
      </c>
      <c r="F117" s="1186">
        <v>81900</v>
      </c>
    </row>
    <row r="118" spans="1:6" x14ac:dyDescent="0.2">
      <c r="A118" s="1186" t="s">
        <v>19</v>
      </c>
      <c r="B118" s="1186" t="s">
        <v>824</v>
      </c>
      <c r="C118" s="1186" t="s">
        <v>61</v>
      </c>
      <c r="D118" s="1186" t="s">
        <v>40</v>
      </c>
      <c r="E118" s="1186">
        <v>32</v>
      </c>
      <c r="F118" s="1186">
        <v>93160</v>
      </c>
    </row>
    <row r="119" spans="1:6" x14ac:dyDescent="0.2">
      <c r="A119" s="1186" t="s">
        <v>19</v>
      </c>
      <c r="B119" s="1186" t="s">
        <v>824</v>
      </c>
      <c r="C119" s="1186" t="s">
        <v>61</v>
      </c>
      <c r="D119" s="1186" t="s">
        <v>295</v>
      </c>
      <c r="E119" s="1186">
        <v>8</v>
      </c>
      <c r="F119" s="1186">
        <v>27420</v>
      </c>
    </row>
    <row r="120" spans="1:6" x14ac:dyDescent="0.2">
      <c r="A120" s="1186" t="s">
        <v>19</v>
      </c>
      <c r="B120" s="1186" t="s">
        <v>824</v>
      </c>
      <c r="C120" s="1186" t="s">
        <v>61</v>
      </c>
      <c r="D120" s="1186" t="s">
        <v>41</v>
      </c>
      <c r="E120" s="1186">
        <v>42</v>
      </c>
      <c r="F120" s="1186">
        <v>137830</v>
      </c>
    </row>
    <row r="121" spans="1:6" x14ac:dyDescent="0.2">
      <c r="A121" s="1186" t="s">
        <v>19</v>
      </c>
      <c r="B121" s="1186" t="s">
        <v>824</v>
      </c>
      <c r="C121" s="1186" t="s">
        <v>61</v>
      </c>
      <c r="D121" s="1186" t="s">
        <v>42</v>
      </c>
      <c r="E121" s="1186">
        <v>83</v>
      </c>
      <c r="F121" s="1186">
        <v>335160</v>
      </c>
    </row>
    <row r="122" spans="1:6" x14ac:dyDescent="0.2">
      <c r="A122" s="1186" t="s">
        <v>19</v>
      </c>
      <c r="B122" s="1186" t="s">
        <v>824</v>
      </c>
      <c r="C122" s="1186" t="s">
        <v>61</v>
      </c>
      <c r="D122" s="1186" t="s">
        <v>43</v>
      </c>
      <c r="E122" s="1186">
        <v>5</v>
      </c>
      <c r="F122" s="1186">
        <v>20940</v>
      </c>
    </row>
    <row r="123" spans="1:6" x14ac:dyDescent="0.2">
      <c r="A123" s="1186" t="s">
        <v>19</v>
      </c>
      <c r="B123" s="1186" t="s">
        <v>824</v>
      </c>
      <c r="C123" s="1186" t="s">
        <v>61</v>
      </c>
      <c r="D123" s="1186" t="s">
        <v>44</v>
      </c>
      <c r="E123" s="1186">
        <v>66</v>
      </c>
      <c r="F123" s="1186">
        <v>144370</v>
      </c>
    </row>
    <row r="124" spans="1:6" x14ac:dyDescent="0.2">
      <c r="A124" s="1186" t="s">
        <v>19</v>
      </c>
      <c r="B124" s="1186" t="s">
        <v>824</v>
      </c>
      <c r="C124" s="1186" t="s">
        <v>61</v>
      </c>
      <c r="D124" s="1186" t="s">
        <v>45</v>
      </c>
      <c r="E124" s="1186">
        <v>90</v>
      </c>
      <c r="F124" s="1186">
        <v>173020</v>
      </c>
    </row>
    <row r="125" spans="1:6" x14ac:dyDescent="0.2">
      <c r="A125" s="1186" t="s">
        <v>19</v>
      </c>
      <c r="B125" s="1186" t="s">
        <v>824</v>
      </c>
      <c r="C125" s="1186" t="s">
        <v>61</v>
      </c>
      <c r="D125" s="1186" t="s">
        <v>46</v>
      </c>
      <c r="E125" s="1186">
        <v>38</v>
      </c>
      <c r="F125" s="1186">
        <v>113590</v>
      </c>
    </row>
    <row r="126" spans="1:6" x14ac:dyDescent="0.2">
      <c r="A126" s="1186" t="s">
        <v>19</v>
      </c>
      <c r="B126" s="1186" t="s">
        <v>824</v>
      </c>
      <c r="C126" s="1186" t="s">
        <v>61</v>
      </c>
      <c r="D126" s="1186" t="s">
        <v>47</v>
      </c>
      <c r="E126" s="1186">
        <v>10</v>
      </c>
      <c r="F126" s="1186">
        <v>22800</v>
      </c>
    </row>
    <row r="127" spans="1:6" x14ac:dyDescent="0.2">
      <c r="A127" s="1186" t="s">
        <v>19</v>
      </c>
      <c r="B127" s="1186" t="s">
        <v>824</v>
      </c>
      <c r="C127" s="1186" t="s">
        <v>61</v>
      </c>
      <c r="D127" s="1186" t="s">
        <v>48</v>
      </c>
      <c r="E127" s="1186">
        <v>38</v>
      </c>
      <c r="F127" s="1186">
        <v>112490</v>
      </c>
    </row>
    <row r="128" spans="1:6" x14ac:dyDescent="0.2">
      <c r="A128" s="1186" t="s">
        <v>19</v>
      </c>
      <c r="B128" s="1186" t="s">
        <v>824</v>
      </c>
      <c r="C128" s="1186" t="s">
        <v>61</v>
      </c>
      <c r="D128" s="1186" t="s">
        <v>49</v>
      </c>
      <c r="E128" s="1186">
        <v>86</v>
      </c>
      <c r="F128" s="1186">
        <v>312180</v>
      </c>
    </row>
    <row r="129" spans="1:6" x14ac:dyDescent="0.2">
      <c r="A129" s="1186" t="s">
        <v>19</v>
      </c>
      <c r="B129" s="1186" t="s">
        <v>824</v>
      </c>
      <c r="C129" s="1186" t="s">
        <v>61</v>
      </c>
      <c r="D129" s="1186" t="s">
        <v>50</v>
      </c>
      <c r="E129" s="1186">
        <v>36</v>
      </c>
      <c r="F129" s="1186">
        <v>88690</v>
      </c>
    </row>
    <row r="130" spans="1:6" x14ac:dyDescent="0.2">
      <c r="A130" s="1186" t="s">
        <v>19</v>
      </c>
      <c r="B130" s="1186" t="s">
        <v>824</v>
      </c>
      <c r="C130" s="1186" t="s">
        <v>61</v>
      </c>
      <c r="D130" s="1186" t="s">
        <v>51</v>
      </c>
      <c r="E130" s="1186">
        <v>24</v>
      </c>
      <c r="F130" s="1186">
        <v>91080</v>
      </c>
    </row>
    <row r="131" spans="1:6" x14ac:dyDescent="0.2">
      <c r="A131" s="1186" t="s">
        <v>19</v>
      </c>
      <c r="B131" s="1186" t="s">
        <v>824</v>
      </c>
      <c r="C131" s="1186" t="s">
        <v>61</v>
      </c>
      <c r="D131" s="1186" t="s">
        <v>52</v>
      </c>
      <c r="E131" s="1186">
        <v>59</v>
      </c>
      <c r="F131" s="1186">
        <v>173040</v>
      </c>
    </row>
    <row r="132" spans="1:6" x14ac:dyDescent="0.2">
      <c r="A132" s="1186" t="s">
        <v>19</v>
      </c>
      <c r="B132" s="1186" t="s">
        <v>824</v>
      </c>
      <c r="C132" s="1186" t="s">
        <v>116</v>
      </c>
      <c r="D132" s="1186" t="s">
        <v>23</v>
      </c>
      <c r="E132" s="1186">
        <v>32</v>
      </c>
      <c r="F132" s="1186">
        <v>217020</v>
      </c>
    </row>
    <row r="133" spans="1:6" x14ac:dyDescent="0.2">
      <c r="A133" s="1186" t="s">
        <v>19</v>
      </c>
      <c r="B133" s="1186" t="s">
        <v>824</v>
      </c>
      <c r="C133" s="1186" t="s">
        <v>116</v>
      </c>
      <c r="D133" s="1186" t="s">
        <v>24</v>
      </c>
      <c r="E133" s="1186">
        <v>12</v>
      </c>
      <c r="F133" s="1186">
        <v>249020</v>
      </c>
    </row>
    <row r="134" spans="1:6" x14ac:dyDescent="0.2">
      <c r="A134" s="1186" t="s">
        <v>19</v>
      </c>
      <c r="B134" s="1186" t="s">
        <v>824</v>
      </c>
      <c r="C134" s="1186" t="s">
        <v>116</v>
      </c>
      <c r="D134" s="1186" t="s">
        <v>25</v>
      </c>
      <c r="E134" s="1186">
        <v>9</v>
      </c>
      <c r="F134" s="1186">
        <v>114830</v>
      </c>
    </row>
    <row r="135" spans="1:6" x14ac:dyDescent="0.2">
      <c r="A135" s="1186" t="s">
        <v>19</v>
      </c>
      <c r="B135" s="1186" t="s">
        <v>824</v>
      </c>
      <c r="C135" s="1186" t="s">
        <v>116</v>
      </c>
      <c r="D135" s="1186" t="s">
        <v>26</v>
      </c>
      <c r="E135" s="1186">
        <v>12</v>
      </c>
      <c r="F135" s="1186">
        <v>89450</v>
      </c>
    </row>
    <row r="136" spans="1:6" x14ac:dyDescent="0.2">
      <c r="A136" s="1186" t="s">
        <v>19</v>
      </c>
      <c r="B136" s="1186" t="s">
        <v>824</v>
      </c>
      <c r="C136" s="1186" t="s">
        <v>116</v>
      </c>
      <c r="D136" s="1186" t="s">
        <v>619</v>
      </c>
      <c r="E136" s="1186">
        <v>99</v>
      </c>
      <c r="F136" s="1186">
        <v>463230</v>
      </c>
    </row>
    <row r="137" spans="1:6" x14ac:dyDescent="0.2">
      <c r="A137" s="1186" t="s">
        <v>19</v>
      </c>
      <c r="B137" s="1186" t="s">
        <v>824</v>
      </c>
      <c r="C137" s="1186" t="s">
        <v>116</v>
      </c>
      <c r="D137" s="1186" t="s">
        <v>27</v>
      </c>
      <c r="E137" s="1186">
        <v>8</v>
      </c>
      <c r="F137" s="1186">
        <v>51290</v>
      </c>
    </row>
    <row r="138" spans="1:6" x14ac:dyDescent="0.2">
      <c r="A138" s="1186" t="s">
        <v>19</v>
      </c>
      <c r="B138" s="1186" t="s">
        <v>824</v>
      </c>
      <c r="C138" s="1186" t="s">
        <v>116</v>
      </c>
      <c r="D138" s="1186" t="s">
        <v>28</v>
      </c>
      <c r="E138" s="1186">
        <v>17</v>
      </c>
      <c r="F138" s="1186">
        <v>151160</v>
      </c>
    </row>
    <row r="139" spans="1:6" x14ac:dyDescent="0.2">
      <c r="A139" s="1186" t="s">
        <v>19</v>
      </c>
      <c r="B139" s="1186" t="s">
        <v>824</v>
      </c>
      <c r="C139" s="1186" t="s">
        <v>116</v>
      </c>
      <c r="D139" s="1186" t="s">
        <v>29</v>
      </c>
      <c r="E139" s="1186">
        <v>12</v>
      </c>
      <c r="F139" s="1186">
        <v>145170</v>
      </c>
    </row>
    <row r="140" spans="1:6" x14ac:dyDescent="0.2">
      <c r="A140" s="1186" t="s">
        <v>19</v>
      </c>
      <c r="B140" s="1186" t="s">
        <v>824</v>
      </c>
      <c r="C140" s="1186" t="s">
        <v>116</v>
      </c>
      <c r="D140" s="1186" t="s">
        <v>30</v>
      </c>
      <c r="E140" s="1186">
        <v>32</v>
      </c>
      <c r="F140" s="1186">
        <v>122110</v>
      </c>
    </row>
    <row r="141" spans="1:6" x14ac:dyDescent="0.2">
      <c r="A141" s="1186" t="s">
        <v>19</v>
      </c>
      <c r="B141" s="1186" t="s">
        <v>824</v>
      </c>
      <c r="C141" s="1186" t="s">
        <v>116</v>
      </c>
      <c r="D141" s="1186" t="s">
        <v>31</v>
      </c>
      <c r="E141" s="1186">
        <v>19</v>
      </c>
      <c r="F141" s="1186">
        <v>104960</v>
      </c>
    </row>
    <row r="142" spans="1:6" x14ac:dyDescent="0.2">
      <c r="A142" s="1186" t="s">
        <v>19</v>
      </c>
      <c r="B142" s="1186" t="s">
        <v>824</v>
      </c>
      <c r="C142" s="1186" t="s">
        <v>116</v>
      </c>
      <c r="D142" s="1186" t="s">
        <v>32</v>
      </c>
      <c r="E142" s="1186">
        <v>14</v>
      </c>
      <c r="F142" s="1186">
        <v>98340</v>
      </c>
    </row>
    <row r="143" spans="1:6" x14ac:dyDescent="0.2">
      <c r="A143" s="1186" t="s">
        <v>19</v>
      </c>
      <c r="B143" s="1186" t="s">
        <v>824</v>
      </c>
      <c r="C143" s="1186" t="s">
        <v>116</v>
      </c>
      <c r="D143" s="1186" t="s">
        <v>33</v>
      </c>
      <c r="E143" s="1186">
        <v>15</v>
      </c>
      <c r="F143" s="1186">
        <v>89980</v>
      </c>
    </row>
    <row r="144" spans="1:6" x14ac:dyDescent="0.2">
      <c r="A144" s="1186" t="s">
        <v>19</v>
      </c>
      <c r="B144" s="1186" t="s">
        <v>824</v>
      </c>
      <c r="C144" s="1186" t="s">
        <v>116</v>
      </c>
      <c r="D144" s="1186" t="s">
        <v>34</v>
      </c>
      <c r="E144" s="1186">
        <v>17</v>
      </c>
      <c r="F144" s="1186">
        <v>154210</v>
      </c>
    </row>
    <row r="145" spans="1:6" x14ac:dyDescent="0.2">
      <c r="A145" s="1186" t="s">
        <v>19</v>
      </c>
      <c r="B145" s="1186" t="s">
        <v>824</v>
      </c>
      <c r="C145" s="1186" t="s">
        <v>116</v>
      </c>
      <c r="D145" s="1186" t="s">
        <v>35</v>
      </c>
      <c r="E145" s="1186">
        <v>43</v>
      </c>
      <c r="F145" s="1186">
        <v>361420</v>
      </c>
    </row>
    <row r="146" spans="1:6" x14ac:dyDescent="0.2">
      <c r="A146" s="1186" t="s">
        <v>19</v>
      </c>
      <c r="B146" s="1186" t="s">
        <v>824</v>
      </c>
      <c r="C146" s="1186" t="s">
        <v>116</v>
      </c>
      <c r="D146" s="1186" t="s">
        <v>36</v>
      </c>
      <c r="E146" s="1186">
        <v>156</v>
      </c>
      <c r="F146" s="1186">
        <v>581620</v>
      </c>
    </row>
    <row r="147" spans="1:6" x14ac:dyDescent="0.2">
      <c r="A147" s="1186" t="s">
        <v>19</v>
      </c>
      <c r="B147" s="1186" t="s">
        <v>824</v>
      </c>
      <c r="C147" s="1186" t="s">
        <v>116</v>
      </c>
      <c r="D147" s="1186" t="s">
        <v>37</v>
      </c>
      <c r="E147" s="1186">
        <v>12</v>
      </c>
      <c r="F147" s="1186">
        <v>228750</v>
      </c>
    </row>
    <row r="148" spans="1:6" x14ac:dyDescent="0.2">
      <c r="A148" s="1186" t="s">
        <v>19</v>
      </c>
      <c r="B148" s="1186" t="s">
        <v>824</v>
      </c>
      <c r="C148" s="1186" t="s">
        <v>116</v>
      </c>
      <c r="D148" s="1186" t="s">
        <v>38</v>
      </c>
      <c r="E148" s="1186">
        <v>20</v>
      </c>
      <c r="F148" s="1186">
        <v>81670</v>
      </c>
    </row>
    <row r="149" spans="1:6" x14ac:dyDescent="0.2">
      <c r="A149" s="1186" t="s">
        <v>19</v>
      </c>
      <c r="B149" s="1186" t="s">
        <v>824</v>
      </c>
      <c r="C149" s="1186" t="s">
        <v>116</v>
      </c>
      <c r="D149" s="1186" t="s">
        <v>39</v>
      </c>
      <c r="E149" s="1186">
        <v>20</v>
      </c>
      <c r="F149" s="1186">
        <v>81900</v>
      </c>
    </row>
    <row r="150" spans="1:6" x14ac:dyDescent="0.2">
      <c r="A150" s="1186" t="s">
        <v>19</v>
      </c>
      <c r="B150" s="1186" t="s">
        <v>824</v>
      </c>
      <c r="C150" s="1186" t="s">
        <v>116</v>
      </c>
      <c r="D150" s="1186" t="s">
        <v>40</v>
      </c>
      <c r="E150" s="1186">
        <v>7</v>
      </c>
      <c r="F150" s="1186">
        <v>93160</v>
      </c>
    </row>
    <row r="151" spans="1:6" x14ac:dyDescent="0.2">
      <c r="A151" s="1186" t="s">
        <v>19</v>
      </c>
      <c r="B151" s="1186" t="s">
        <v>824</v>
      </c>
      <c r="C151" s="1186" t="s">
        <v>116</v>
      </c>
      <c r="D151" s="1186" t="s">
        <v>41</v>
      </c>
      <c r="E151" s="1186">
        <v>32</v>
      </c>
      <c r="F151" s="1186">
        <v>137830</v>
      </c>
    </row>
    <row r="152" spans="1:6" x14ac:dyDescent="0.2">
      <c r="A152" s="1186" t="s">
        <v>19</v>
      </c>
      <c r="B152" s="1186" t="s">
        <v>824</v>
      </c>
      <c r="C152" s="1186" t="s">
        <v>116</v>
      </c>
      <c r="D152" s="1186" t="s">
        <v>42</v>
      </c>
      <c r="E152" s="1186">
        <v>106</v>
      </c>
      <c r="F152" s="1186">
        <v>335160</v>
      </c>
    </row>
    <row r="153" spans="1:6" x14ac:dyDescent="0.2">
      <c r="A153" s="1186" t="s">
        <v>19</v>
      </c>
      <c r="B153" s="1186" t="s">
        <v>824</v>
      </c>
      <c r="C153" s="1186" t="s">
        <v>116</v>
      </c>
      <c r="D153" s="1186" t="s">
        <v>44</v>
      </c>
      <c r="E153" s="1186">
        <v>18</v>
      </c>
      <c r="F153" s="1186">
        <v>144370</v>
      </c>
    </row>
    <row r="154" spans="1:6" x14ac:dyDescent="0.2">
      <c r="A154" s="1186" t="s">
        <v>19</v>
      </c>
      <c r="B154" s="1186" t="s">
        <v>824</v>
      </c>
      <c r="C154" s="1186" t="s">
        <v>116</v>
      </c>
      <c r="D154" s="1186" t="s">
        <v>45</v>
      </c>
      <c r="E154" s="1186">
        <v>55</v>
      </c>
      <c r="F154" s="1186">
        <v>173020</v>
      </c>
    </row>
    <row r="155" spans="1:6" x14ac:dyDescent="0.2">
      <c r="A155" s="1186" t="s">
        <v>19</v>
      </c>
      <c r="B155" s="1186" t="s">
        <v>824</v>
      </c>
      <c r="C155" s="1186" t="s">
        <v>116</v>
      </c>
      <c r="D155" s="1186" t="s">
        <v>46</v>
      </c>
      <c r="E155" s="1186">
        <v>8</v>
      </c>
      <c r="F155" s="1186">
        <v>113590</v>
      </c>
    </row>
    <row r="156" spans="1:6" x14ac:dyDescent="0.2">
      <c r="A156" s="1186" t="s">
        <v>19</v>
      </c>
      <c r="B156" s="1186" t="s">
        <v>824</v>
      </c>
      <c r="C156" s="1186" t="s">
        <v>116</v>
      </c>
      <c r="D156" s="1186" t="s">
        <v>48</v>
      </c>
      <c r="E156" s="1186">
        <v>21</v>
      </c>
      <c r="F156" s="1186">
        <v>112490</v>
      </c>
    </row>
    <row r="157" spans="1:6" x14ac:dyDescent="0.2">
      <c r="A157" s="1186" t="s">
        <v>19</v>
      </c>
      <c r="B157" s="1186" t="s">
        <v>824</v>
      </c>
      <c r="C157" s="1186" t="s">
        <v>116</v>
      </c>
      <c r="D157" s="1186" t="s">
        <v>49</v>
      </c>
      <c r="E157" s="1186">
        <v>84</v>
      </c>
      <c r="F157" s="1186">
        <v>312180</v>
      </c>
    </row>
    <row r="158" spans="1:6" x14ac:dyDescent="0.2">
      <c r="A158" s="1186" t="s">
        <v>19</v>
      </c>
      <c r="B158" s="1186" t="s">
        <v>824</v>
      </c>
      <c r="C158" s="1186" t="s">
        <v>116</v>
      </c>
      <c r="D158" s="1186" t="s">
        <v>50</v>
      </c>
      <c r="E158" s="1186">
        <v>10</v>
      </c>
      <c r="F158" s="1186">
        <v>88690</v>
      </c>
    </row>
    <row r="159" spans="1:6" x14ac:dyDescent="0.2">
      <c r="A159" s="1186" t="s">
        <v>19</v>
      </c>
      <c r="B159" s="1186" t="s">
        <v>824</v>
      </c>
      <c r="C159" s="1186" t="s">
        <v>116</v>
      </c>
      <c r="D159" s="1186" t="s">
        <v>51</v>
      </c>
      <c r="E159" s="1186">
        <v>27</v>
      </c>
      <c r="F159" s="1186">
        <v>91080</v>
      </c>
    </row>
    <row r="160" spans="1:6" x14ac:dyDescent="0.2">
      <c r="A160" s="1186" t="s">
        <v>19</v>
      </c>
      <c r="B160" s="1186" t="s">
        <v>824</v>
      </c>
      <c r="C160" s="1186" t="s">
        <v>116</v>
      </c>
      <c r="D160" s="1186" t="s">
        <v>52</v>
      </c>
      <c r="E160" s="1186">
        <v>56</v>
      </c>
      <c r="F160" s="1186">
        <v>173040</v>
      </c>
    </row>
    <row r="161" spans="1:6" x14ac:dyDescent="0.2">
      <c r="A161" s="1186" t="s">
        <v>19</v>
      </c>
      <c r="B161" s="1186" t="s">
        <v>825</v>
      </c>
      <c r="C161" s="1186" t="s">
        <v>61</v>
      </c>
      <c r="D161" s="1186" t="s">
        <v>23</v>
      </c>
      <c r="E161" s="1186">
        <v>45</v>
      </c>
      <c r="F161" s="1186">
        <v>217020</v>
      </c>
    </row>
    <row r="162" spans="1:6" x14ac:dyDescent="0.2">
      <c r="A162" s="1186" t="s">
        <v>19</v>
      </c>
      <c r="B162" s="1186" t="s">
        <v>825</v>
      </c>
      <c r="C162" s="1186" t="s">
        <v>61</v>
      </c>
      <c r="D162" s="1186" t="s">
        <v>24</v>
      </c>
      <c r="E162" s="1186">
        <v>83</v>
      </c>
      <c r="F162" s="1186">
        <v>249020</v>
      </c>
    </row>
    <row r="163" spans="1:6" x14ac:dyDescent="0.2">
      <c r="A163" s="1186" t="s">
        <v>19</v>
      </c>
      <c r="B163" s="1186" t="s">
        <v>825</v>
      </c>
      <c r="C163" s="1186" t="s">
        <v>61</v>
      </c>
      <c r="D163" s="1186" t="s">
        <v>25</v>
      </c>
      <c r="E163" s="1186">
        <v>33</v>
      </c>
      <c r="F163" s="1186">
        <v>114830</v>
      </c>
    </row>
    <row r="164" spans="1:6" x14ac:dyDescent="0.2">
      <c r="A164" s="1186" t="s">
        <v>19</v>
      </c>
      <c r="B164" s="1186" t="s">
        <v>825</v>
      </c>
      <c r="C164" s="1186" t="s">
        <v>61</v>
      </c>
      <c r="D164" s="1186" t="s">
        <v>26</v>
      </c>
      <c r="E164" s="1186">
        <v>25</v>
      </c>
      <c r="F164" s="1186">
        <v>89450</v>
      </c>
    </row>
    <row r="165" spans="1:6" x14ac:dyDescent="0.2">
      <c r="A165" s="1186" t="s">
        <v>19</v>
      </c>
      <c r="B165" s="1186" t="s">
        <v>825</v>
      </c>
      <c r="C165" s="1186" t="s">
        <v>61</v>
      </c>
      <c r="D165" s="1186" t="s">
        <v>619</v>
      </c>
      <c r="E165" s="1186">
        <v>94</v>
      </c>
      <c r="F165" s="1186">
        <v>463230</v>
      </c>
    </row>
    <row r="166" spans="1:6" x14ac:dyDescent="0.2">
      <c r="A166" s="1186" t="s">
        <v>19</v>
      </c>
      <c r="B166" s="1186" t="s">
        <v>825</v>
      </c>
      <c r="C166" s="1186" t="s">
        <v>61</v>
      </c>
      <c r="D166" s="1186" t="s">
        <v>27</v>
      </c>
      <c r="E166" s="1186">
        <v>16</v>
      </c>
      <c r="F166" s="1186">
        <v>51290</v>
      </c>
    </row>
    <row r="167" spans="1:6" x14ac:dyDescent="0.2">
      <c r="A167" s="1186" t="s">
        <v>19</v>
      </c>
      <c r="B167" s="1186" t="s">
        <v>825</v>
      </c>
      <c r="C167" s="1186" t="s">
        <v>61</v>
      </c>
      <c r="D167" s="1186" t="s">
        <v>28</v>
      </c>
      <c r="E167" s="1186">
        <v>71</v>
      </c>
      <c r="F167" s="1186">
        <v>151160</v>
      </c>
    </row>
    <row r="168" spans="1:6" x14ac:dyDescent="0.2">
      <c r="A168" s="1186" t="s">
        <v>19</v>
      </c>
      <c r="B168" s="1186" t="s">
        <v>825</v>
      </c>
      <c r="C168" s="1186" t="s">
        <v>61</v>
      </c>
      <c r="D168" s="1186" t="s">
        <v>29</v>
      </c>
      <c r="E168" s="1186">
        <v>25</v>
      </c>
      <c r="F168" s="1186">
        <v>145170</v>
      </c>
    </row>
    <row r="169" spans="1:6" x14ac:dyDescent="0.2">
      <c r="A169" s="1186" t="s">
        <v>19</v>
      </c>
      <c r="B169" s="1186" t="s">
        <v>825</v>
      </c>
      <c r="C169" s="1186" t="s">
        <v>61</v>
      </c>
      <c r="D169" s="1186" t="s">
        <v>30</v>
      </c>
      <c r="E169" s="1186">
        <v>31</v>
      </c>
      <c r="F169" s="1186">
        <v>122110</v>
      </c>
    </row>
    <row r="170" spans="1:6" x14ac:dyDescent="0.2">
      <c r="A170" s="1186" t="s">
        <v>19</v>
      </c>
      <c r="B170" s="1186" t="s">
        <v>825</v>
      </c>
      <c r="C170" s="1186" t="s">
        <v>61</v>
      </c>
      <c r="D170" s="1186" t="s">
        <v>31</v>
      </c>
      <c r="E170" s="1186">
        <v>18</v>
      </c>
      <c r="F170" s="1186">
        <v>104960</v>
      </c>
    </row>
    <row r="171" spans="1:6" x14ac:dyDescent="0.2">
      <c r="A171" s="1186" t="s">
        <v>19</v>
      </c>
      <c r="B171" s="1186" t="s">
        <v>825</v>
      </c>
      <c r="C171" s="1186" t="s">
        <v>61</v>
      </c>
      <c r="D171" s="1186" t="s">
        <v>32</v>
      </c>
      <c r="E171" s="1186">
        <v>31</v>
      </c>
      <c r="F171" s="1186">
        <v>98340</v>
      </c>
    </row>
    <row r="172" spans="1:6" x14ac:dyDescent="0.2">
      <c r="A172" s="1186" t="s">
        <v>19</v>
      </c>
      <c r="B172" s="1186" t="s">
        <v>825</v>
      </c>
      <c r="C172" s="1186" t="s">
        <v>61</v>
      </c>
      <c r="D172" s="1186" t="s">
        <v>33</v>
      </c>
      <c r="E172" s="1186">
        <v>18</v>
      </c>
      <c r="F172" s="1186">
        <v>89980</v>
      </c>
    </row>
    <row r="173" spans="1:6" x14ac:dyDescent="0.2">
      <c r="A173" s="1186" t="s">
        <v>19</v>
      </c>
      <c r="B173" s="1186" t="s">
        <v>825</v>
      </c>
      <c r="C173" s="1186" t="s">
        <v>61</v>
      </c>
      <c r="D173" s="1186" t="s">
        <v>34</v>
      </c>
      <c r="E173" s="1186">
        <v>40</v>
      </c>
      <c r="F173" s="1186">
        <v>154210</v>
      </c>
    </row>
    <row r="174" spans="1:6" x14ac:dyDescent="0.2">
      <c r="A174" s="1186" t="s">
        <v>19</v>
      </c>
      <c r="B174" s="1186" t="s">
        <v>825</v>
      </c>
      <c r="C174" s="1186" t="s">
        <v>61</v>
      </c>
      <c r="D174" s="1186" t="s">
        <v>35</v>
      </c>
      <c r="E174" s="1186">
        <v>97</v>
      </c>
      <c r="F174" s="1186">
        <v>361420</v>
      </c>
    </row>
    <row r="175" spans="1:6" x14ac:dyDescent="0.2">
      <c r="A175" s="1186" t="s">
        <v>19</v>
      </c>
      <c r="B175" s="1186" t="s">
        <v>825</v>
      </c>
      <c r="C175" s="1186" t="s">
        <v>61</v>
      </c>
      <c r="D175" s="1186" t="s">
        <v>36</v>
      </c>
      <c r="E175" s="1186">
        <v>159</v>
      </c>
      <c r="F175" s="1186">
        <v>581620</v>
      </c>
    </row>
    <row r="176" spans="1:6" x14ac:dyDescent="0.2">
      <c r="A176" s="1186" t="s">
        <v>19</v>
      </c>
      <c r="B176" s="1186" t="s">
        <v>825</v>
      </c>
      <c r="C176" s="1186" t="s">
        <v>61</v>
      </c>
      <c r="D176" s="1186" t="s">
        <v>37</v>
      </c>
      <c r="E176" s="1186">
        <v>68</v>
      </c>
      <c r="F176" s="1186">
        <v>228750</v>
      </c>
    </row>
    <row r="177" spans="1:6" x14ac:dyDescent="0.2">
      <c r="A177" s="1186" t="s">
        <v>19</v>
      </c>
      <c r="B177" s="1186" t="s">
        <v>825</v>
      </c>
      <c r="C177" s="1186" t="s">
        <v>61</v>
      </c>
      <c r="D177" s="1186" t="s">
        <v>38</v>
      </c>
      <c r="E177" s="1186">
        <v>26</v>
      </c>
      <c r="F177" s="1186">
        <v>81670</v>
      </c>
    </row>
    <row r="178" spans="1:6" x14ac:dyDescent="0.2">
      <c r="A178" s="1186" t="s">
        <v>19</v>
      </c>
      <c r="B178" s="1186" t="s">
        <v>825</v>
      </c>
      <c r="C178" s="1186" t="s">
        <v>61</v>
      </c>
      <c r="D178" s="1186" t="s">
        <v>39</v>
      </c>
      <c r="E178" s="1186">
        <v>25</v>
      </c>
      <c r="F178" s="1186">
        <v>81900</v>
      </c>
    </row>
    <row r="179" spans="1:6" x14ac:dyDescent="0.2">
      <c r="A179" s="1186" t="s">
        <v>19</v>
      </c>
      <c r="B179" s="1186" t="s">
        <v>825</v>
      </c>
      <c r="C179" s="1186" t="s">
        <v>61</v>
      </c>
      <c r="D179" s="1186" t="s">
        <v>40</v>
      </c>
      <c r="E179" s="1186">
        <v>26</v>
      </c>
      <c r="F179" s="1186">
        <v>93160</v>
      </c>
    </row>
    <row r="180" spans="1:6" x14ac:dyDescent="0.2">
      <c r="A180" s="1186" t="s">
        <v>19</v>
      </c>
      <c r="B180" s="1186" t="s">
        <v>825</v>
      </c>
      <c r="C180" s="1186" t="s">
        <v>61</v>
      </c>
      <c r="D180" s="1186" t="s">
        <v>295</v>
      </c>
      <c r="E180" s="1186">
        <v>2</v>
      </c>
      <c r="F180" s="1186">
        <v>27420</v>
      </c>
    </row>
    <row r="181" spans="1:6" x14ac:dyDescent="0.2">
      <c r="A181" s="1186" t="s">
        <v>19</v>
      </c>
      <c r="B181" s="1186" t="s">
        <v>825</v>
      </c>
      <c r="C181" s="1186" t="s">
        <v>61</v>
      </c>
      <c r="D181" s="1186" t="s">
        <v>41</v>
      </c>
      <c r="E181" s="1186">
        <v>43</v>
      </c>
      <c r="F181" s="1186">
        <v>137830</v>
      </c>
    </row>
    <row r="182" spans="1:6" x14ac:dyDescent="0.2">
      <c r="A182" s="1186" t="s">
        <v>19</v>
      </c>
      <c r="B182" s="1186" t="s">
        <v>825</v>
      </c>
      <c r="C182" s="1186" t="s">
        <v>61</v>
      </c>
      <c r="D182" s="1186" t="s">
        <v>42</v>
      </c>
      <c r="E182" s="1186">
        <v>118</v>
      </c>
      <c r="F182" s="1186">
        <v>335160</v>
      </c>
    </row>
    <row r="183" spans="1:6" x14ac:dyDescent="0.2">
      <c r="A183" s="1186" t="s">
        <v>19</v>
      </c>
      <c r="B183" s="1186" t="s">
        <v>825</v>
      </c>
      <c r="C183" s="1186" t="s">
        <v>61</v>
      </c>
      <c r="D183" s="1186" t="s">
        <v>43</v>
      </c>
      <c r="E183" s="1186">
        <v>4</v>
      </c>
      <c r="F183" s="1186">
        <v>20940</v>
      </c>
    </row>
    <row r="184" spans="1:6" x14ac:dyDescent="0.2">
      <c r="A184" s="1186" t="s">
        <v>19</v>
      </c>
      <c r="B184" s="1186" t="s">
        <v>825</v>
      </c>
      <c r="C184" s="1186" t="s">
        <v>61</v>
      </c>
      <c r="D184" s="1186" t="s">
        <v>44</v>
      </c>
      <c r="E184" s="1186">
        <v>54</v>
      </c>
      <c r="F184" s="1186">
        <v>144370</v>
      </c>
    </row>
    <row r="185" spans="1:6" x14ac:dyDescent="0.2">
      <c r="A185" s="1186" t="s">
        <v>19</v>
      </c>
      <c r="B185" s="1186" t="s">
        <v>825</v>
      </c>
      <c r="C185" s="1186" t="s">
        <v>61</v>
      </c>
      <c r="D185" s="1186" t="s">
        <v>45</v>
      </c>
      <c r="E185" s="1186">
        <v>43</v>
      </c>
      <c r="F185" s="1186">
        <v>173020</v>
      </c>
    </row>
    <row r="186" spans="1:6" x14ac:dyDescent="0.2">
      <c r="A186" s="1186" t="s">
        <v>19</v>
      </c>
      <c r="B186" s="1186" t="s">
        <v>825</v>
      </c>
      <c r="C186" s="1186" t="s">
        <v>61</v>
      </c>
      <c r="D186" s="1186" t="s">
        <v>46</v>
      </c>
      <c r="E186" s="1186">
        <v>40</v>
      </c>
      <c r="F186" s="1186">
        <v>113590</v>
      </c>
    </row>
    <row r="187" spans="1:6" x14ac:dyDescent="0.2">
      <c r="A187" s="1186" t="s">
        <v>19</v>
      </c>
      <c r="B187" s="1186" t="s">
        <v>825</v>
      </c>
      <c r="C187" s="1186" t="s">
        <v>61</v>
      </c>
      <c r="D187" s="1186" t="s">
        <v>47</v>
      </c>
      <c r="E187" s="1186">
        <v>6</v>
      </c>
      <c r="F187" s="1186">
        <v>22800</v>
      </c>
    </row>
    <row r="188" spans="1:6" x14ac:dyDescent="0.2">
      <c r="A188" s="1186" t="s">
        <v>19</v>
      </c>
      <c r="B188" s="1186" t="s">
        <v>825</v>
      </c>
      <c r="C188" s="1186" t="s">
        <v>61</v>
      </c>
      <c r="D188" s="1186" t="s">
        <v>48</v>
      </c>
      <c r="E188" s="1186">
        <v>22</v>
      </c>
      <c r="F188" s="1186">
        <v>112490</v>
      </c>
    </row>
    <row r="189" spans="1:6" x14ac:dyDescent="0.2">
      <c r="A189" s="1186" t="s">
        <v>19</v>
      </c>
      <c r="B189" s="1186" t="s">
        <v>825</v>
      </c>
      <c r="C189" s="1186" t="s">
        <v>61</v>
      </c>
      <c r="D189" s="1186" t="s">
        <v>49</v>
      </c>
      <c r="E189" s="1186">
        <v>113</v>
      </c>
      <c r="F189" s="1186">
        <v>312180</v>
      </c>
    </row>
    <row r="190" spans="1:6" x14ac:dyDescent="0.2">
      <c r="A190" s="1186" t="s">
        <v>19</v>
      </c>
      <c r="B190" s="1186" t="s">
        <v>825</v>
      </c>
      <c r="C190" s="1186" t="s">
        <v>61</v>
      </c>
      <c r="D190" s="1186" t="s">
        <v>50</v>
      </c>
      <c r="E190" s="1186">
        <v>33</v>
      </c>
      <c r="F190" s="1186">
        <v>88690</v>
      </c>
    </row>
    <row r="191" spans="1:6" x14ac:dyDescent="0.2">
      <c r="A191" s="1186" t="s">
        <v>19</v>
      </c>
      <c r="B191" s="1186" t="s">
        <v>825</v>
      </c>
      <c r="C191" s="1186" t="s">
        <v>61</v>
      </c>
      <c r="D191" s="1186" t="s">
        <v>51</v>
      </c>
      <c r="E191" s="1186">
        <v>33</v>
      </c>
      <c r="F191" s="1186">
        <v>91080</v>
      </c>
    </row>
    <row r="192" spans="1:6" x14ac:dyDescent="0.2">
      <c r="A192" s="1186" t="s">
        <v>19</v>
      </c>
      <c r="B192" s="1186" t="s">
        <v>825</v>
      </c>
      <c r="C192" s="1186" t="s">
        <v>61</v>
      </c>
      <c r="D192" s="1186" t="s">
        <v>52</v>
      </c>
      <c r="E192" s="1186">
        <v>65</v>
      </c>
      <c r="F192" s="1186">
        <v>173040</v>
      </c>
    </row>
    <row r="193" spans="1:6" x14ac:dyDescent="0.2">
      <c r="A193" s="1186" t="s">
        <v>19</v>
      </c>
      <c r="B193" s="1186" t="s">
        <v>825</v>
      </c>
      <c r="C193" s="1186" t="s">
        <v>116</v>
      </c>
      <c r="D193" s="1186" t="s">
        <v>23</v>
      </c>
      <c r="E193" s="1186">
        <v>92</v>
      </c>
      <c r="F193" s="1186">
        <v>217020</v>
      </c>
    </row>
    <row r="194" spans="1:6" x14ac:dyDescent="0.2">
      <c r="A194" s="1186" t="s">
        <v>19</v>
      </c>
      <c r="B194" s="1186" t="s">
        <v>825</v>
      </c>
      <c r="C194" s="1186" t="s">
        <v>116</v>
      </c>
      <c r="D194" s="1186" t="s">
        <v>24</v>
      </c>
      <c r="E194" s="1186">
        <v>17</v>
      </c>
      <c r="F194" s="1186">
        <v>249020</v>
      </c>
    </row>
    <row r="195" spans="1:6" x14ac:dyDescent="0.2">
      <c r="A195" s="1186" t="s">
        <v>19</v>
      </c>
      <c r="B195" s="1186" t="s">
        <v>825</v>
      </c>
      <c r="C195" s="1186" t="s">
        <v>116</v>
      </c>
      <c r="D195" s="1186" t="s">
        <v>25</v>
      </c>
      <c r="E195" s="1186">
        <v>6</v>
      </c>
      <c r="F195" s="1186">
        <v>114830</v>
      </c>
    </row>
    <row r="196" spans="1:6" x14ac:dyDescent="0.2">
      <c r="A196" s="1186" t="s">
        <v>19</v>
      </c>
      <c r="B196" s="1186" t="s">
        <v>825</v>
      </c>
      <c r="C196" s="1186" t="s">
        <v>116</v>
      </c>
      <c r="D196" s="1186" t="s">
        <v>26</v>
      </c>
      <c r="E196" s="1186">
        <v>13</v>
      </c>
      <c r="F196" s="1186">
        <v>89450</v>
      </c>
    </row>
    <row r="197" spans="1:6" x14ac:dyDescent="0.2">
      <c r="A197" s="1186" t="s">
        <v>19</v>
      </c>
      <c r="B197" s="1186" t="s">
        <v>825</v>
      </c>
      <c r="C197" s="1186" t="s">
        <v>116</v>
      </c>
      <c r="D197" s="1186" t="s">
        <v>619</v>
      </c>
      <c r="E197" s="1186">
        <v>162</v>
      </c>
      <c r="F197" s="1186">
        <v>463230</v>
      </c>
    </row>
    <row r="198" spans="1:6" x14ac:dyDescent="0.2">
      <c r="A198" s="1186" t="s">
        <v>19</v>
      </c>
      <c r="B198" s="1186" t="s">
        <v>825</v>
      </c>
      <c r="C198" s="1186" t="s">
        <v>116</v>
      </c>
      <c r="D198" s="1186" t="s">
        <v>27</v>
      </c>
      <c r="E198" s="1186">
        <v>5</v>
      </c>
      <c r="F198" s="1186">
        <v>51290</v>
      </c>
    </row>
    <row r="199" spans="1:6" x14ac:dyDescent="0.2">
      <c r="A199" s="1186" t="s">
        <v>19</v>
      </c>
      <c r="B199" s="1186" t="s">
        <v>825</v>
      </c>
      <c r="C199" s="1186" t="s">
        <v>116</v>
      </c>
      <c r="D199" s="1186" t="s">
        <v>28</v>
      </c>
      <c r="E199" s="1186">
        <v>17</v>
      </c>
      <c r="F199" s="1186">
        <v>151160</v>
      </c>
    </row>
    <row r="200" spans="1:6" x14ac:dyDescent="0.2">
      <c r="A200" s="1186" t="s">
        <v>19</v>
      </c>
      <c r="B200" s="1186" t="s">
        <v>825</v>
      </c>
      <c r="C200" s="1186" t="s">
        <v>116</v>
      </c>
      <c r="D200" s="1186" t="s">
        <v>29</v>
      </c>
      <c r="E200" s="1186">
        <v>27</v>
      </c>
      <c r="F200" s="1186">
        <v>145170</v>
      </c>
    </row>
    <row r="201" spans="1:6" x14ac:dyDescent="0.2">
      <c r="A201" s="1186" t="s">
        <v>19</v>
      </c>
      <c r="B201" s="1186" t="s">
        <v>825</v>
      </c>
      <c r="C201" s="1186" t="s">
        <v>116</v>
      </c>
      <c r="D201" s="1186" t="s">
        <v>30</v>
      </c>
      <c r="E201" s="1186">
        <v>33</v>
      </c>
      <c r="F201" s="1186">
        <v>122110</v>
      </c>
    </row>
    <row r="202" spans="1:6" x14ac:dyDescent="0.2">
      <c r="A202" s="1186" t="s">
        <v>19</v>
      </c>
      <c r="B202" s="1186" t="s">
        <v>825</v>
      </c>
      <c r="C202" s="1186" t="s">
        <v>116</v>
      </c>
      <c r="D202" s="1186" t="s">
        <v>31</v>
      </c>
      <c r="E202" s="1186">
        <v>34</v>
      </c>
      <c r="F202" s="1186">
        <v>104960</v>
      </c>
    </row>
    <row r="203" spans="1:6" x14ac:dyDescent="0.2">
      <c r="A203" s="1186" t="s">
        <v>19</v>
      </c>
      <c r="B203" s="1186" t="s">
        <v>825</v>
      </c>
      <c r="C203" s="1186" t="s">
        <v>116</v>
      </c>
      <c r="D203" s="1186" t="s">
        <v>32</v>
      </c>
      <c r="E203" s="1186">
        <v>24</v>
      </c>
      <c r="F203" s="1186">
        <v>98340</v>
      </c>
    </row>
    <row r="204" spans="1:6" x14ac:dyDescent="0.2">
      <c r="A204" s="1186" t="s">
        <v>19</v>
      </c>
      <c r="B204" s="1186" t="s">
        <v>825</v>
      </c>
      <c r="C204" s="1186" t="s">
        <v>116</v>
      </c>
      <c r="D204" s="1186" t="s">
        <v>33</v>
      </c>
      <c r="E204" s="1186">
        <v>22</v>
      </c>
      <c r="F204" s="1186">
        <v>89980</v>
      </c>
    </row>
    <row r="205" spans="1:6" x14ac:dyDescent="0.2">
      <c r="A205" s="1186" t="s">
        <v>19</v>
      </c>
      <c r="B205" s="1186" t="s">
        <v>825</v>
      </c>
      <c r="C205" s="1186" t="s">
        <v>116</v>
      </c>
      <c r="D205" s="1186" t="s">
        <v>34</v>
      </c>
      <c r="E205" s="1186">
        <v>25</v>
      </c>
      <c r="F205" s="1186">
        <v>154210</v>
      </c>
    </row>
    <row r="206" spans="1:6" x14ac:dyDescent="0.2">
      <c r="A206" s="1186" t="s">
        <v>19</v>
      </c>
      <c r="B206" s="1186" t="s">
        <v>825</v>
      </c>
      <c r="C206" s="1186" t="s">
        <v>116</v>
      </c>
      <c r="D206" s="1186" t="s">
        <v>35</v>
      </c>
      <c r="E206" s="1186">
        <v>50</v>
      </c>
      <c r="F206" s="1186">
        <v>361420</v>
      </c>
    </row>
    <row r="207" spans="1:6" x14ac:dyDescent="0.2">
      <c r="A207" s="1186" t="s">
        <v>19</v>
      </c>
      <c r="B207" s="1186" t="s">
        <v>825</v>
      </c>
      <c r="C207" s="1186" t="s">
        <v>116</v>
      </c>
      <c r="D207" s="1186" t="s">
        <v>36</v>
      </c>
      <c r="E207" s="1186">
        <v>298</v>
      </c>
      <c r="F207" s="1186">
        <v>581620</v>
      </c>
    </row>
    <row r="208" spans="1:6" x14ac:dyDescent="0.2">
      <c r="A208" s="1186" t="s">
        <v>19</v>
      </c>
      <c r="B208" s="1186" t="s">
        <v>825</v>
      </c>
      <c r="C208" s="1186" t="s">
        <v>116</v>
      </c>
      <c r="D208" s="1186" t="s">
        <v>37</v>
      </c>
      <c r="E208" s="1186">
        <v>14</v>
      </c>
      <c r="F208" s="1186">
        <v>228750</v>
      </c>
    </row>
    <row r="209" spans="1:6" x14ac:dyDescent="0.2">
      <c r="A209" s="1186" t="s">
        <v>19</v>
      </c>
      <c r="B209" s="1186" t="s">
        <v>825</v>
      </c>
      <c r="C209" s="1186" t="s">
        <v>116</v>
      </c>
      <c r="D209" s="1186" t="s">
        <v>38</v>
      </c>
      <c r="E209" s="1186">
        <v>53</v>
      </c>
      <c r="F209" s="1186">
        <v>81670</v>
      </c>
    </row>
    <row r="210" spans="1:6" x14ac:dyDescent="0.2">
      <c r="A210" s="1186" t="s">
        <v>19</v>
      </c>
      <c r="B210" s="1186" t="s">
        <v>825</v>
      </c>
      <c r="C210" s="1186" t="s">
        <v>116</v>
      </c>
      <c r="D210" s="1186" t="s">
        <v>39</v>
      </c>
      <c r="E210" s="1186">
        <v>20</v>
      </c>
      <c r="F210" s="1186">
        <v>81900</v>
      </c>
    </row>
    <row r="211" spans="1:6" x14ac:dyDescent="0.2">
      <c r="A211" s="1186" t="s">
        <v>19</v>
      </c>
      <c r="B211" s="1186" t="s">
        <v>825</v>
      </c>
      <c r="C211" s="1186" t="s">
        <v>116</v>
      </c>
      <c r="D211" s="1186" t="s">
        <v>40</v>
      </c>
      <c r="E211" s="1186">
        <v>9</v>
      </c>
      <c r="F211" s="1186">
        <v>93160</v>
      </c>
    </row>
    <row r="212" spans="1:6" x14ac:dyDescent="0.2">
      <c r="A212" s="1186" t="s">
        <v>19</v>
      </c>
      <c r="B212" s="1186" t="s">
        <v>825</v>
      </c>
      <c r="C212" s="1186" t="s">
        <v>116</v>
      </c>
      <c r="D212" s="1186" t="s">
        <v>295</v>
      </c>
      <c r="E212" s="1186">
        <v>1</v>
      </c>
      <c r="F212" s="1186">
        <v>27420</v>
      </c>
    </row>
    <row r="213" spans="1:6" x14ac:dyDescent="0.2">
      <c r="A213" s="1186" t="s">
        <v>19</v>
      </c>
      <c r="B213" s="1186" t="s">
        <v>825</v>
      </c>
      <c r="C213" s="1186" t="s">
        <v>116</v>
      </c>
      <c r="D213" s="1186" t="s">
        <v>41</v>
      </c>
      <c r="E213" s="1186">
        <v>33</v>
      </c>
      <c r="F213" s="1186">
        <v>137830</v>
      </c>
    </row>
    <row r="214" spans="1:6" x14ac:dyDescent="0.2">
      <c r="A214" s="1186" t="s">
        <v>19</v>
      </c>
      <c r="B214" s="1186" t="s">
        <v>825</v>
      </c>
      <c r="C214" s="1186" t="s">
        <v>116</v>
      </c>
      <c r="D214" s="1186" t="s">
        <v>42</v>
      </c>
      <c r="E214" s="1186">
        <v>192</v>
      </c>
      <c r="F214" s="1186">
        <v>335160</v>
      </c>
    </row>
    <row r="215" spans="1:6" x14ac:dyDescent="0.2">
      <c r="A215" s="1186" t="s">
        <v>19</v>
      </c>
      <c r="B215" s="1186" t="s">
        <v>825</v>
      </c>
      <c r="C215" s="1186" t="s">
        <v>116</v>
      </c>
      <c r="D215" s="1186" t="s">
        <v>44</v>
      </c>
      <c r="E215" s="1186">
        <v>5</v>
      </c>
      <c r="F215" s="1186">
        <v>144370</v>
      </c>
    </row>
    <row r="216" spans="1:6" x14ac:dyDescent="0.2">
      <c r="A216" s="1186" t="s">
        <v>19</v>
      </c>
      <c r="B216" s="1186" t="s">
        <v>825</v>
      </c>
      <c r="C216" s="1186" t="s">
        <v>116</v>
      </c>
      <c r="D216" s="1186" t="s">
        <v>45</v>
      </c>
      <c r="E216" s="1186">
        <v>59</v>
      </c>
      <c r="F216" s="1186">
        <v>173020</v>
      </c>
    </row>
    <row r="217" spans="1:6" x14ac:dyDescent="0.2">
      <c r="A217" s="1186" t="s">
        <v>19</v>
      </c>
      <c r="B217" s="1186" t="s">
        <v>825</v>
      </c>
      <c r="C217" s="1186" t="s">
        <v>116</v>
      </c>
      <c r="D217" s="1186" t="s">
        <v>46</v>
      </c>
      <c r="E217" s="1186">
        <v>8</v>
      </c>
      <c r="F217" s="1186">
        <v>113590</v>
      </c>
    </row>
    <row r="218" spans="1:6" x14ac:dyDescent="0.2">
      <c r="A218" s="1186" t="s">
        <v>19</v>
      </c>
      <c r="B218" s="1186" t="s">
        <v>825</v>
      </c>
      <c r="C218" s="1186" t="s">
        <v>116</v>
      </c>
      <c r="D218" s="1186" t="s">
        <v>48</v>
      </c>
      <c r="E218" s="1186">
        <v>14</v>
      </c>
      <c r="F218" s="1186">
        <v>112490</v>
      </c>
    </row>
    <row r="219" spans="1:6" x14ac:dyDescent="0.2">
      <c r="A219" s="1186" t="s">
        <v>19</v>
      </c>
      <c r="B219" s="1186" t="s">
        <v>825</v>
      </c>
      <c r="C219" s="1186" t="s">
        <v>116</v>
      </c>
      <c r="D219" s="1186" t="s">
        <v>49</v>
      </c>
      <c r="E219" s="1186">
        <v>87</v>
      </c>
      <c r="F219" s="1186">
        <v>312180</v>
      </c>
    </row>
    <row r="220" spans="1:6" x14ac:dyDescent="0.2">
      <c r="A220" s="1186" t="s">
        <v>19</v>
      </c>
      <c r="B220" s="1186" t="s">
        <v>825</v>
      </c>
      <c r="C220" s="1186" t="s">
        <v>116</v>
      </c>
      <c r="D220" s="1186" t="s">
        <v>50</v>
      </c>
      <c r="E220" s="1186">
        <v>15</v>
      </c>
      <c r="F220" s="1186">
        <v>88690</v>
      </c>
    </row>
    <row r="221" spans="1:6" x14ac:dyDescent="0.2">
      <c r="A221" s="1186" t="s">
        <v>19</v>
      </c>
      <c r="B221" s="1186" t="s">
        <v>825</v>
      </c>
      <c r="C221" s="1186" t="s">
        <v>116</v>
      </c>
      <c r="D221" s="1186" t="s">
        <v>51</v>
      </c>
      <c r="E221" s="1186">
        <v>60</v>
      </c>
      <c r="F221" s="1186">
        <v>91080</v>
      </c>
    </row>
    <row r="222" spans="1:6" x14ac:dyDescent="0.2">
      <c r="A222" s="1186" t="s">
        <v>19</v>
      </c>
      <c r="B222" s="1186" t="s">
        <v>825</v>
      </c>
      <c r="C222" s="1186" t="s">
        <v>116</v>
      </c>
      <c r="D222" s="1186" t="s">
        <v>52</v>
      </c>
      <c r="E222" s="1186">
        <v>83</v>
      </c>
      <c r="F222" s="1186">
        <v>173040</v>
      </c>
    </row>
    <row r="223" spans="1:6" x14ac:dyDescent="0.2">
      <c r="A223" s="1186" t="s">
        <v>19</v>
      </c>
      <c r="B223" s="1186" t="s">
        <v>826</v>
      </c>
      <c r="C223" s="1186" t="s">
        <v>61</v>
      </c>
      <c r="D223" s="1186" t="s">
        <v>23</v>
      </c>
      <c r="E223" s="1186">
        <v>6</v>
      </c>
      <c r="F223" s="1186">
        <v>217020</v>
      </c>
    </row>
    <row r="224" spans="1:6" x14ac:dyDescent="0.2">
      <c r="A224" s="1186" t="s">
        <v>19</v>
      </c>
      <c r="B224" s="1186" t="s">
        <v>826</v>
      </c>
      <c r="C224" s="1186" t="s">
        <v>61</v>
      </c>
      <c r="D224" s="1186" t="s">
        <v>24</v>
      </c>
      <c r="E224" s="1186">
        <v>36</v>
      </c>
      <c r="F224" s="1186">
        <v>249020</v>
      </c>
    </row>
    <row r="225" spans="1:6" x14ac:dyDescent="0.2">
      <c r="A225" s="1186" t="s">
        <v>19</v>
      </c>
      <c r="B225" s="1186" t="s">
        <v>826</v>
      </c>
      <c r="C225" s="1186" t="s">
        <v>61</v>
      </c>
      <c r="D225" s="1186" t="s">
        <v>25</v>
      </c>
      <c r="E225" s="1186">
        <v>3</v>
      </c>
      <c r="F225" s="1186">
        <v>114830</v>
      </c>
    </row>
    <row r="226" spans="1:6" x14ac:dyDescent="0.2">
      <c r="A226" s="1186" t="s">
        <v>19</v>
      </c>
      <c r="B226" s="1186" t="s">
        <v>826</v>
      </c>
      <c r="C226" s="1186" t="s">
        <v>61</v>
      </c>
      <c r="D226" s="1186" t="s">
        <v>26</v>
      </c>
      <c r="E226" s="1186">
        <v>9</v>
      </c>
      <c r="F226" s="1186">
        <v>89450</v>
      </c>
    </row>
    <row r="227" spans="1:6" x14ac:dyDescent="0.2">
      <c r="A227" s="1186" t="s">
        <v>19</v>
      </c>
      <c r="B227" s="1186" t="s">
        <v>826</v>
      </c>
      <c r="C227" s="1186" t="s">
        <v>61</v>
      </c>
      <c r="D227" s="1186" t="s">
        <v>619</v>
      </c>
      <c r="E227" s="1186">
        <v>27</v>
      </c>
      <c r="F227" s="1186">
        <v>463230</v>
      </c>
    </row>
    <row r="228" spans="1:6" x14ac:dyDescent="0.2">
      <c r="A228" s="1186" t="s">
        <v>19</v>
      </c>
      <c r="B228" s="1186" t="s">
        <v>826</v>
      </c>
      <c r="C228" s="1186" t="s">
        <v>61</v>
      </c>
      <c r="D228" s="1186" t="s">
        <v>27</v>
      </c>
      <c r="E228" s="1186">
        <v>6</v>
      </c>
      <c r="F228" s="1186">
        <v>51290</v>
      </c>
    </row>
    <row r="229" spans="1:6" x14ac:dyDescent="0.2">
      <c r="A229" s="1186" t="s">
        <v>19</v>
      </c>
      <c r="B229" s="1186" t="s">
        <v>826</v>
      </c>
      <c r="C229" s="1186" t="s">
        <v>61</v>
      </c>
      <c r="D229" s="1186" t="s">
        <v>28</v>
      </c>
      <c r="E229" s="1186">
        <v>9</v>
      </c>
      <c r="F229" s="1186">
        <v>151160</v>
      </c>
    </row>
    <row r="230" spans="1:6" x14ac:dyDescent="0.2">
      <c r="A230" s="1186" t="s">
        <v>19</v>
      </c>
      <c r="B230" s="1186" t="s">
        <v>826</v>
      </c>
      <c r="C230" s="1186" t="s">
        <v>61</v>
      </c>
      <c r="D230" s="1186" t="s">
        <v>29</v>
      </c>
      <c r="E230" s="1186">
        <v>7</v>
      </c>
      <c r="F230" s="1186">
        <v>145170</v>
      </c>
    </row>
    <row r="231" spans="1:6" x14ac:dyDescent="0.2">
      <c r="A231" s="1186" t="s">
        <v>19</v>
      </c>
      <c r="B231" s="1186" t="s">
        <v>826</v>
      </c>
      <c r="C231" s="1186" t="s">
        <v>61</v>
      </c>
      <c r="D231" s="1186" t="s">
        <v>30</v>
      </c>
      <c r="E231" s="1186">
        <v>10</v>
      </c>
      <c r="F231" s="1186">
        <v>122110</v>
      </c>
    </row>
    <row r="232" spans="1:6" x14ac:dyDescent="0.2">
      <c r="A232" s="1186" t="s">
        <v>19</v>
      </c>
      <c r="B232" s="1186" t="s">
        <v>826</v>
      </c>
      <c r="C232" s="1186" t="s">
        <v>61</v>
      </c>
      <c r="D232" s="1186" t="s">
        <v>31</v>
      </c>
      <c r="E232" s="1186">
        <v>8</v>
      </c>
      <c r="F232" s="1186">
        <v>104960</v>
      </c>
    </row>
    <row r="233" spans="1:6" x14ac:dyDescent="0.2">
      <c r="A233" s="1186" t="s">
        <v>19</v>
      </c>
      <c r="B233" s="1186" t="s">
        <v>826</v>
      </c>
      <c r="C233" s="1186" t="s">
        <v>61</v>
      </c>
      <c r="D233" s="1186" t="s">
        <v>32</v>
      </c>
      <c r="E233" s="1186">
        <v>5</v>
      </c>
      <c r="F233" s="1186">
        <v>98340</v>
      </c>
    </row>
    <row r="234" spans="1:6" x14ac:dyDescent="0.2">
      <c r="A234" s="1186" t="s">
        <v>19</v>
      </c>
      <c r="B234" s="1186" t="s">
        <v>826</v>
      </c>
      <c r="C234" s="1186" t="s">
        <v>61</v>
      </c>
      <c r="D234" s="1186" t="s">
        <v>33</v>
      </c>
      <c r="E234" s="1186">
        <v>9</v>
      </c>
      <c r="F234" s="1186">
        <v>89980</v>
      </c>
    </row>
    <row r="235" spans="1:6" x14ac:dyDescent="0.2">
      <c r="A235" s="1186" t="s">
        <v>19</v>
      </c>
      <c r="B235" s="1186" t="s">
        <v>826</v>
      </c>
      <c r="C235" s="1186" t="s">
        <v>61</v>
      </c>
      <c r="D235" s="1186" t="s">
        <v>34</v>
      </c>
      <c r="E235" s="1186">
        <v>8</v>
      </c>
      <c r="F235" s="1186">
        <v>154210</v>
      </c>
    </row>
    <row r="236" spans="1:6" x14ac:dyDescent="0.2">
      <c r="A236" s="1186" t="s">
        <v>19</v>
      </c>
      <c r="B236" s="1186" t="s">
        <v>826</v>
      </c>
      <c r="C236" s="1186" t="s">
        <v>61</v>
      </c>
      <c r="D236" s="1186" t="s">
        <v>35</v>
      </c>
      <c r="E236" s="1186">
        <v>19</v>
      </c>
      <c r="F236" s="1186">
        <v>361420</v>
      </c>
    </row>
    <row r="237" spans="1:6" x14ac:dyDescent="0.2">
      <c r="A237" s="1186" t="s">
        <v>19</v>
      </c>
      <c r="B237" s="1186" t="s">
        <v>826</v>
      </c>
      <c r="C237" s="1186" t="s">
        <v>61</v>
      </c>
      <c r="D237" s="1186" t="s">
        <v>36</v>
      </c>
      <c r="E237" s="1186">
        <v>50</v>
      </c>
      <c r="F237" s="1186">
        <v>581620</v>
      </c>
    </row>
    <row r="238" spans="1:6" x14ac:dyDescent="0.2">
      <c r="A238" s="1186" t="s">
        <v>19</v>
      </c>
      <c r="B238" s="1186" t="s">
        <v>826</v>
      </c>
      <c r="C238" s="1186" t="s">
        <v>61</v>
      </c>
      <c r="D238" s="1186" t="s">
        <v>37</v>
      </c>
      <c r="E238" s="1186">
        <v>27</v>
      </c>
      <c r="F238" s="1186">
        <v>228750</v>
      </c>
    </row>
    <row r="239" spans="1:6" x14ac:dyDescent="0.2">
      <c r="A239" s="1186" t="s">
        <v>19</v>
      </c>
      <c r="B239" s="1186" t="s">
        <v>826</v>
      </c>
      <c r="C239" s="1186" t="s">
        <v>61</v>
      </c>
      <c r="D239" s="1186" t="s">
        <v>38</v>
      </c>
      <c r="E239" s="1186">
        <v>7</v>
      </c>
      <c r="F239" s="1186">
        <v>81670</v>
      </c>
    </row>
    <row r="240" spans="1:6" x14ac:dyDescent="0.2">
      <c r="A240" s="1186" t="s">
        <v>19</v>
      </c>
      <c r="B240" s="1186" t="s">
        <v>826</v>
      </c>
      <c r="C240" s="1186" t="s">
        <v>61</v>
      </c>
      <c r="D240" s="1186" t="s">
        <v>39</v>
      </c>
      <c r="E240" s="1186">
        <v>4</v>
      </c>
      <c r="F240" s="1186">
        <v>81900</v>
      </c>
    </row>
    <row r="241" spans="1:6" x14ac:dyDescent="0.2">
      <c r="A241" s="1186" t="s">
        <v>19</v>
      </c>
      <c r="B241" s="1186" t="s">
        <v>826</v>
      </c>
      <c r="C241" s="1186" t="s">
        <v>61</v>
      </c>
      <c r="D241" s="1186" t="s">
        <v>40</v>
      </c>
      <c r="E241" s="1186">
        <v>14</v>
      </c>
      <c r="F241" s="1186">
        <v>93160</v>
      </c>
    </row>
    <row r="242" spans="1:6" x14ac:dyDescent="0.2">
      <c r="A242" s="1186" t="s">
        <v>19</v>
      </c>
      <c r="B242" s="1186" t="s">
        <v>826</v>
      </c>
      <c r="C242" s="1186" t="s">
        <v>61</v>
      </c>
      <c r="D242" s="1186" t="s">
        <v>295</v>
      </c>
      <c r="E242" s="1186">
        <v>4</v>
      </c>
      <c r="F242" s="1186">
        <v>27420</v>
      </c>
    </row>
    <row r="243" spans="1:6" x14ac:dyDescent="0.2">
      <c r="A243" s="1186" t="s">
        <v>19</v>
      </c>
      <c r="B243" s="1186" t="s">
        <v>826</v>
      </c>
      <c r="C243" s="1186" t="s">
        <v>61</v>
      </c>
      <c r="D243" s="1186" t="s">
        <v>41</v>
      </c>
      <c r="E243" s="1186">
        <v>17</v>
      </c>
      <c r="F243" s="1186">
        <v>137830</v>
      </c>
    </row>
    <row r="244" spans="1:6" x14ac:dyDescent="0.2">
      <c r="A244" s="1186" t="s">
        <v>19</v>
      </c>
      <c r="B244" s="1186" t="s">
        <v>826</v>
      </c>
      <c r="C244" s="1186" t="s">
        <v>61</v>
      </c>
      <c r="D244" s="1186" t="s">
        <v>42</v>
      </c>
      <c r="E244" s="1186">
        <v>53</v>
      </c>
      <c r="F244" s="1186">
        <v>335160</v>
      </c>
    </row>
    <row r="245" spans="1:6" x14ac:dyDescent="0.2">
      <c r="A245" s="1186" t="s">
        <v>19</v>
      </c>
      <c r="B245" s="1186" t="s">
        <v>826</v>
      </c>
      <c r="C245" s="1186" t="s">
        <v>61</v>
      </c>
      <c r="D245" s="1186" t="s">
        <v>43</v>
      </c>
      <c r="E245" s="1186">
        <v>1</v>
      </c>
      <c r="F245" s="1186">
        <v>20940</v>
      </c>
    </row>
    <row r="246" spans="1:6" x14ac:dyDescent="0.2">
      <c r="A246" s="1186" t="s">
        <v>19</v>
      </c>
      <c r="B246" s="1186" t="s">
        <v>826</v>
      </c>
      <c r="C246" s="1186" t="s">
        <v>61</v>
      </c>
      <c r="D246" s="1186" t="s">
        <v>44</v>
      </c>
      <c r="E246" s="1186">
        <v>11</v>
      </c>
      <c r="F246" s="1186">
        <v>144370</v>
      </c>
    </row>
    <row r="247" spans="1:6" x14ac:dyDescent="0.2">
      <c r="A247" s="1186" t="s">
        <v>19</v>
      </c>
      <c r="B247" s="1186" t="s">
        <v>826</v>
      </c>
      <c r="C247" s="1186" t="s">
        <v>61</v>
      </c>
      <c r="D247" s="1186" t="s">
        <v>45</v>
      </c>
      <c r="E247" s="1186">
        <v>16</v>
      </c>
      <c r="F247" s="1186">
        <v>173020</v>
      </c>
    </row>
    <row r="248" spans="1:6" x14ac:dyDescent="0.2">
      <c r="A248" s="1186" t="s">
        <v>19</v>
      </c>
      <c r="B248" s="1186" t="s">
        <v>826</v>
      </c>
      <c r="C248" s="1186" t="s">
        <v>61</v>
      </c>
      <c r="D248" s="1186" t="s">
        <v>46</v>
      </c>
      <c r="E248" s="1186">
        <v>10</v>
      </c>
      <c r="F248" s="1186">
        <v>113590</v>
      </c>
    </row>
    <row r="249" spans="1:6" x14ac:dyDescent="0.2">
      <c r="A249" s="1186" t="s">
        <v>19</v>
      </c>
      <c r="B249" s="1186" t="s">
        <v>826</v>
      </c>
      <c r="C249" s="1186" t="s">
        <v>61</v>
      </c>
      <c r="D249" s="1186" t="s">
        <v>47</v>
      </c>
      <c r="E249" s="1186">
        <v>4</v>
      </c>
      <c r="F249" s="1186">
        <v>22800</v>
      </c>
    </row>
    <row r="250" spans="1:6" x14ac:dyDescent="0.2">
      <c r="A250" s="1186" t="s">
        <v>19</v>
      </c>
      <c r="B250" s="1186" t="s">
        <v>826</v>
      </c>
      <c r="C250" s="1186" t="s">
        <v>61</v>
      </c>
      <c r="D250" s="1186" t="s">
        <v>48</v>
      </c>
      <c r="E250" s="1186">
        <v>7</v>
      </c>
      <c r="F250" s="1186">
        <v>112490</v>
      </c>
    </row>
    <row r="251" spans="1:6" x14ac:dyDescent="0.2">
      <c r="A251" s="1186" t="s">
        <v>19</v>
      </c>
      <c r="B251" s="1186" t="s">
        <v>826</v>
      </c>
      <c r="C251" s="1186" t="s">
        <v>61</v>
      </c>
      <c r="D251" s="1186" t="s">
        <v>49</v>
      </c>
      <c r="E251" s="1186">
        <v>60</v>
      </c>
      <c r="F251" s="1186">
        <v>312180</v>
      </c>
    </row>
    <row r="252" spans="1:6" x14ac:dyDescent="0.2">
      <c r="A252" s="1186" t="s">
        <v>19</v>
      </c>
      <c r="B252" s="1186" t="s">
        <v>826</v>
      </c>
      <c r="C252" s="1186" t="s">
        <v>61</v>
      </c>
      <c r="D252" s="1186" t="s">
        <v>50</v>
      </c>
      <c r="E252" s="1186">
        <v>5</v>
      </c>
      <c r="F252" s="1186">
        <v>88690</v>
      </c>
    </row>
    <row r="253" spans="1:6" x14ac:dyDescent="0.2">
      <c r="A253" s="1186" t="s">
        <v>19</v>
      </c>
      <c r="B253" s="1186" t="s">
        <v>826</v>
      </c>
      <c r="C253" s="1186" t="s">
        <v>61</v>
      </c>
      <c r="D253" s="1186" t="s">
        <v>51</v>
      </c>
      <c r="E253" s="1186">
        <v>9</v>
      </c>
      <c r="F253" s="1186">
        <v>91080</v>
      </c>
    </row>
    <row r="254" spans="1:6" x14ac:dyDescent="0.2">
      <c r="A254" s="1186" t="s">
        <v>19</v>
      </c>
      <c r="B254" s="1186" t="s">
        <v>826</v>
      </c>
      <c r="C254" s="1186" t="s">
        <v>61</v>
      </c>
      <c r="D254" s="1186" t="s">
        <v>52</v>
      </c>
      <c r="E254" s="1186">
        <v>11</v>
      </c>
      <c r="F254" s="1186">
        <v>173040</v>
      </c>
    </row>
    <row r="255" spans="1:6" x14ac:dyDescent="0.2">
      <c r="A255" s="1186" t="s">
        <v>19</v>
      </c>
      <c r="B255" s="1186" t="s">
        <v>826</v>
      </c>
      <c r="C255" s="1186" t="s">
        <v>116</v>
      </c>
      <c r="D255" s="1186" t="s">
        <v>23</v>
      </c>
      <c r="E255" s="1186">
        <v>23</v>
      </c>
      <c r="F255" s="1186">
        <v>217020</v>
      </c>
    </row>
    <row r="256" spans="1:6" x14ac:dyDescent="0.2">
      <c r="A256" s="1186" t="s">
        <v>19</v>
      </c>
      <c r="B256" s="1186" t="s">
        <v>826</v>
      </c>
      <c r="C256" s="1186" t="s">
        <v>116</v>
      </c>
      <c r="D256" s="1186" t="s">
        <v>24</v>
      </c>
      <c r="E256" s="1186">
        <v>22</v>
      </c>
      <c r="F256" s="1186">
        <v>249020</v>
      </c>
    </row>
    <row r="257" spans="1:6" x14ac:dyDescent="0.2">
      <c r="A257" s="1186" t="s">
        <v>19</v>
      </c>
      <c r="B257" s="1186" t="s">
        <v>826</v>
      </c>
      <c r="C257" s="1186" t="s">
        <v>116</v>
      </c>
      <c r="D257" s="1186" t="s">
        <v>25</v>
      </c>
      <c r="E257" s="1186">
        <v>4</v>
      </c>
      <c r="F257" s="1186">
        <v>114830</v>
      </c>
    </row>
    <row r="258" spans="1:6" x14ac:dyDescent="0.2">
      <c r="A258" s="1186" t="s">
        <v>19</v>
      </c>
      <c r="B258" s="1186" t="s">
        <v>826</v>
      </c>
      <c r="C258" s="1186" t="s">
        <v>116</v>
      </c>
      <c r="D258" s="1186" t="s">
        <v>26</v>
      </c>
      <c r="E258" s="1186">
        <v>4</v>
      </c>
      <c r="F258" s="1186">
        <v>89450</v>
      </c>
    </row>
    <row r="259" spans="1:6" x14ac:dyDescent="0.2">
      <c r="A259" s="1186" t="s">
        <v>19</v>
      </c>
      <c r="B259" s="1186" t="s">
        <v>826</v>
      </c>
      <c r="C259" s="1186" t="s">
        <v>116</v>
      </c>
      <c r="D259" s="1186" t="s">
        <v>619</v>
      </c>
      <c r="E259" s="1186">
        <v>154</v>
      </c>
      <c r="F259" s="1186">
        <v>463230</v>
      </c>
    </row>
    <row r="260" spans="1:6" x14ac:dyDescent="0.2">
      <c r="A260" s="1186" t="s">
        <v>19</v>
      </c>
      <c r="B260" s="1186" t="s">
        <v>826</v>
      </c>
      <c r="C260" s="1186" t="s">
        <v>116</v>
      </c>
      <c r="D260" s="1186" t="s">
        <v>27</v>
      </c>
      <c r="E260" s="1186">
        <v>24</v>
      </c>
      <c r="F260" s="1186">
        <v>51290</v>
      </c>
    </row>
    <row r="261" spans="1:6" x14ac:dyDescent="0.2">
      <c r="A261" s="1186" t="s">
        <v>19</v>
      </c>
      <c r="B261" s="1186" t="s">
        <v>826</v>
      </c>
      <c r="C261" s="1186" t="s">
        <v>116</v>
      </c>
      <c r="D261" s="1186" t="s">
        <v>28</v>
      </c>
      <c r="E261" s="1186">
        <v>10</v>
      </c>
      <c r="F261" s="1186">
        <v>151160</v>
      </c>
    </row>
    <row r="262" spans="1:6" x14ac:dyDescent="0.2">
      <c r="A262" s="1186" t="s">
        <v>19</v>
      </c>
      <c r="B262" s="1186" t="s">
        <v>826</v>
      </c>
      <c r="C262" s="1186" t="s">
        <v>116</v>
      </c>
      <c r="D262" s="1186" t="s">
        <v>29</v>
      </c>
      <c r="E262" s="1186">
        <v>14</v>
      </c>
      <c r="F262" s="1186">
        <v>145170</v>
      </c>
    </row>
    <row r="263" spans="1:6" x14ac:dyDescent="0.2">
      <c r="A263" s="1186" t="s">
        <v>19</v>
      </c>
      <c r="B263" s="1186" t="s">
        <v>826</v>
      </c>
      <c r="C263" s="1186" t="s">
        <v>116</v>
      </c>
      <c r="D263" s="1186" t="s">
        <v>30</v>
      </c>
      <c r="E263" s="1186">
        <v>31</v>
      </c>
      <c r="F263" s="1186">
        <v>122110</v>
      </c>
    </row>
    <row r="264" spans="1:6" x14ac:dyDescent="0.2">
      <c r="A264" s="1186" t="s">
        <v>19</v>
      </c>
      <c r="B264" s="1186" t="s">
        <v>826</v>
      </c>
      <c r="C264" s="1186" t="s">
        <v>116</v>
      </c>
      <c r="D264" s="1186" t="s">
        <v>31</v>
      </c>
      <c r="E264" s="1186">
        <v>11</v>
      </c>
      <c r="F264" s="1186">
        <v>104960</v>
      </c>
    </row>
    <row r="265" spans="1:6" x14ac:dyDescent="0.2">
      <c r="A265" s="1186" t="s">
        <v>19</v>
      </c>
      <c r="B265" s="1186" t="s">
        <v>826</v>
      </c>
      <c r="C265" s="1186" t="s">
        <v>116</v>
      </c>
      <c r="D265" s="1186" t="s">
        <v>32</v>
      </c>
      <c r="E265" s="1186">
        <v>36</v>
      </c>
      <c r="F265" s="1186">
        <v>98340</v>
      </c>
    </row>
    <row r="266" spans="1:6" x14ac:dyDescent="0.2">
      <c r="A266" s="1186" t="s">
        <v>19</v>
      </c>
      <c r="B266" s="1186" t="s">
        <v>826</v>
      </c>
      <c r="C266" s="1186" t="s">
        <v>116</v>
      </c>
      <c r="D266" s="1186" t="s">
        <v>33</v>
      </c>
      <c r="E266" s="1186">
        <v>21</v>
      </c>
      <c r="F266" s="1186">
        <v>89980</v>
      </c>
    </row>
    <row r="267" spans="1:6" x14ac:dyDescent="0.2">
      <c r="A267" s="1186" t="s">
        <v>19</v>
      </c>
      <c r="B267" s="1186" t="s">
        <v>826</v>
      </c>
      <c r="C267" s="1186" t="s">
        <v>116</v>
      </c>
      <c r="D267" s="1186" t="s">
        <v>34</v>
      </c>
      <c r="E267" s="1186">
        <v>14</v>
      </c>
      <c r="F267" s="1186">
        <v>154210</v>
      </c>
    </row>
    <row r="268" spans="1:6" x14ac:dyDescent="0.2">
      <c r="A268" s="1186" t="s">
        <v>19</v>
      </c>
      <c r="B268" s="1186" t="s">
        <v>826</v>
      </c>
      <c r="C268" s="1186" t="s">
        <v>116</v>
      </c>
      <c r="D268" s="1186" t="s">
        <v>35</v>
      </c>
      <c r="E268" s="1186">
        <v>41</v>
      </c>
      <c r="F268" s="1186">
        <v>361420</v>
      </c>
    </row>
    <row r="269" spans="1:6" x14ac:dyDescent="0.2">
      <c r="A269" s="1186" t="s">
        <v>19</v>
      </c>
      <c r="B269" s="1186" t="s">
        <v>826</v>
      </c>
      <c r="C269" s="1186" t="s">
        <v>116</v>
      </c>
      <c r="D269" s="1186" t="s">
        <v>36</v>
      </c>
      <c r="E269" s="1186">
        <v>112</v>
      </c>
      <c r="F269" s="1186">
        <v>581620</v>
      </c>
    </row>
    <row r="270" spans="1:6" x14ac:dyDescent="0.2">
      <c r="A270" s="1186" t="s">
        <v>19</v>
      </c>
      <c r="B270" s="1186" t="s">
        <v>826</v>
      </c>
      <c r="C270" s="1186" t="s">
        <v>116</v>
      </c>
      <c r="D270" s="1186" t="s">
        <v>37</v>
      </c>
      <c r="E270" s="1186">
        <v>22</v>
      </c>
      <c r="F270" s="1186">
        <v>228750</v>
      </c>
    </row>
    <row r="271" spans="1:6" x14ac:dyDescent="0.2">
      <c r="A271" s="1186" t="s">
        <v>19</v>
      </c>
      <c r="B271" s="1186" t="s">
        <v>826</v>
      </c>
      <c r="C271" s="1186" t="s">
        <v>116</v>
      </c>
      <c r="D271" s="1186" t="s">
        <v>38</v>
      </c>
      <c r="E271" s="1186">
        <v>21</v>
      </c>
      <c r="F271" s="1186">
        <v>81670</v>
      </c>
    </row>
    <row r="272" spans="1:6" x14ac:dyDescent="0.2">
      <c r="A272" s="1186" t="s">
        <v>19</v>
      </c>
      <c r="B272" s="1186" t="s">
        <v>826</v>
      </c>
      <c r="C272" s="1186" t="s">
        <v>116</v>
      </c>
      <c r="D272" s="1186" t="s">
        <v>39</v>
      </c>
      <c r="E272" s="1186">
        <v>29</v>
      </c>
      <c r="F272" s="1186">
        <v>81900</v>
      </c>
    </row>
    <row r="273" spans="1:6" x14ac:dyDescent="0.2">
      <c r="A273" s="1186" t="s">
        <v>19</v>
      </c>
      <c r="B273" s="1186" t="s">
        <v>826</v>
      </c>
      <c r="C273" s="1186" t="s">
        <v>116</v>
      </c>
      <c r="D273" s="1186" t="s">
        <v>40</v>
      </c>
      <c r="E273" s="1186">
        <v>7</v>
      </c>
      <c r="F273" s="1186">
        <v>93160</v>
      </c>
    </row>
    <row r="274" spans="1:6" x14ac:dyDescent="0.2">
      <c r="A274" s="1186" t="s">
        <v>19</v>
      </c>
      <c r="B274" s="1186" t="s">
        <v>826</v>
      </c>
      <c r="C274" s="1186" t="s">
        <v>116</v>
      </c>
      <c r="D274" s="1186" t="s">
        <v>41</v>
      </c>
      <c r="E274" s="1186">
        <v>29</v>
      </c>
      <c r="F274" s="1186">
        <v>137830</v>
      </c>
    </row>
    <row r="275" spans="1:6" x14ac:dyDescent="0.2">
      <c r="A275" s="1186" t="s">
        <v>19</v>
      </c>
      <c r="B275" s="1186" t="s">
        <v>826</v>
      </c>
      <c r="C275" s="1186" t="s">
        <v>116</v>
      </c>
      <c r="D275" s="1186" t="s">
        <v>42</v>
      </c>
      <c r="E275" s="1186">
        <v>86</v>
      </c>
      <c r="F275" s="1186">
        <v>335160</v>
      </c>
    </row>
    <row r="276" spans="1:6" x14ac:dyDescent="0.2">
      <c r="A276" s="1186" t="s">
        <v>19</v>
      </c>
      <c r="B276" s="1186" t="s">
        <v>826</v>
      </c>
      <c r="C276" s="1186" t="s">
        <v>116</v>
      </c>
      <c r="D276" s="1186" t="s">
        <v>44</v>
      </c>
      <c r="E276" s="1186">
        <v>8</v>
      </c>
      <c r="F276" s="1186">
        <v>144370</v>
      </c>
    </row>
    <row r="277" spans="1:6" x14ac:dyDescent="0.2">
      <c r="A277" s="1186" t="s">
        <v>19</v>
      </c>
      <c r="B277" s="1186" t="s">
        <v>826</v>
      </c>
      <c r="C277" s="1186" t="s">
        <v>116</v>
      </c>
      <c r="D277" s="1186" t="s">
        <v>45</v>
      </c>
      <c r="E277" s="1186">
        <v>35</v>
      </c>
      <c r="F277" s="1186">
        <v>173020</v>
      </c>
    </row>
    <row r="278" spans="1:6" x14ac:dyDescent="0.2">
      <c r="A278" s="1186" t="s">
        <v>19</v>
      </c>
      <c r="B278" s="1186" t="s">
        <v>826</v>
      </c>
      <c r="C278" s="1186" t="s">
        <v>116</v>
      </c>
      <c r="D278" s="1186" t="s">
        <v>46</v>
      </c>
      <c r="E278" s="1186">
        <v>20</v>
      </c>
      <c r="F278" s="1186">
        <v>113590</v>
      </c>
    </row>
    <row r="279" spans="1:6" x14ac:dyDescent="0.2">
      <c r="A279" s="1186" t="s">
        <v>19</v>
      </c>
      <c r="B279" s="1186" t="s">
        <v>826</v>
      </c>
      <c r="C279" s="1186" t="s">
        <v>116</v>
      </c>
      <c r="D279" s="1186" t="s">
        <v>47</v>
      </c>
      <c r="E279" s="1186">
        <v>2</v>
      </c>
      <c r="F279" s="1186">
        <v>22800</v>
      </c>
    </row>
    <row r="280" spans="1:6" x14ac:dyDescent="0.2">
      <c r="A280" s="1186" t="s">
        <v>19</v>
      </c>
      <c r="B280" s="1186" t="s">
        <v>826</v>
      </c>
      <c r="C280" s="1186" t="s">
        <v>116</v>
      </c>
      <c r="D280" s="1186" t="s">
        <v>48</v>
      </c>
      <c r="E280" s="1186">
        <v>10</v>
      </c>
      <c r="F280" s="1186">
        <v>112490</v>
      </c>
    </row>
    <row r="281" spans="1:6" x14ac:dyDescent="0.2">
      <c r="A281" s="1186" t="s">
        <v>19</v>
      </c>
      <c r="B281" s="1186" t="s">
        <v>826</v>
      </c>
      <c r="C281" s="1186" t="s">
        <v>116</v>
      </c>
      <c r="D281" s="1186" t="s">
        <v>49</v>
      </c>
      <c r="E281" s="1186">
        <v>70</v>
      </c>
      <c r="F281" s="1186">
        <v>312180</v>
      </c>
    </row>
    <row r="282" spans="1:6" x14ac:dyDescent="0.2">
      <c r="A282" s="1186" t="s">
        <v>19</v>
      </c>
      <c r="B282" s="1186" t="s">
        <v>826</v>
      </c>
      <c r="C282" s="1186" t="s">
        <v>116</v>
      </c>
      <c r="D282" s="1186" t="s">
        <v>50</v>
      </c>
      <c r="E282" s="1186">
        <v>6</v>
      </c>
      <c r="F282" s="1186">
        <v>88690</v>
      </c>
    </row>
    <row r="283" spans="1:6" x14ac:dyDescent="0.2">
      <c r="A283" s="1186" t="s">
        <v>19</v>
      </c>
      <c r="B283" s="1186" t="s">
        <v>826</v>
      </c>
      <c r="C283" s="1186" t="s">
        <v>116</v>
      </c>
      <c r="D283" s="1186" t="s">
        <v>51</v>
      </c>
      <c r="E283" s="1186">
        <v>31</v>
      </c>
      <c r="F283" s="1186">
        <v>91080</v>
      </c>
    </row>
    <row r="284" spans="1:6" x14ac:dyDescent="0.2">
      <c r="A284" s="1186" t="s">
        <v>19</v>
      </c>
      <c r="B284" s="1186" t="s">
        <v>826</v>
      </c>
      <c r="C284" s="1186" t="s">
        <v>116</v>
      </c>
      <c r="D284" s="1186" t="s">
        <v>52</v>
      </c>
      <c r="E284" s="1186">
        <v>74</v>
      </c>
      <c r="F284" s="1186">
        <v>173040</v>
      </c>
    </row>
    <row r="285" spans="1:6" x14ac:dyDescent="0.2">
      <c r="A285" s="1186" t="s">
        <v>19</v>
      </c>
      <c r="B285" s="1186" t="s">
        <v>308</v>
      </c>
      <c r="C285" s="1186" t="s">
        <v>61</v>
      </c>
      <c r="D285" s="1186" t="s">
        <v>23</v>
      </c>
      <c r="E285" s="1186">
        <v>96</v>
      </c>
      <c r="F285" s="1186">
        <v>217020</v>
      </c>
    </row>
    <row r="286" spans="1:6" x14ac:dyDescent="0.2">
      <c r="A286" s="1186" t="s">
        <v>19</v>
      </c>
      <c r="B286" s="1186" t="s">
        <v>308</v>
      </c>
      <c r="C286" s="1186" t="s">
        <v>61</v>
      </c>
      <c r="D286" s="1186" t="s">
        <v>24</v>
      </c>
      <c r="E286" s="1186">
        <v>113</v>
      </c>
      <c r="F286" s="1186">
        <v>249020</v>
      </c>
    </row>
    <row r="287" spans="1:6" x14ac:dyDescent="0.2">
      <c r="A287" s="1186" t="s">
        <v>19</v>
      </c>
      <c r="B287" s="1186" t="s">
        <v>308</v>
      </c>
      <c r="C287" s="1186" t="s">
        <v>61</v>
      </c>
      <c r="D287" s="1186" t="s">
        <v>25</v>
      </c>
      <c r="E287" s="1186">
        <v>45</v>
      </c>
      <c r="F287" s="1186">
        <v>114830</v>
      </c>
    </row>
    <row r="288" spans="1:6" x14ac:dyDescent="0.2">
      <c r="A288" s="1186" t="s">
        <v>19</v>
      </c>
      <c r="B288" s="1186" t="s">
        <v>308</v>
      </c>
      <c r="C288" s="1186" t="s">
        <v>61</v>
      </c>
      <c r="D288" s="1186" t="s">
        <v>26</v>
      </c>
      <c r="E288" s="1186">
        <v>81</v>
      </c>
      <c r="F288" s="1186">
        <v>89450</v>
      </c>
    </row>
    <row r="289" spans="1:6" x14ac:dyDescent="0.2">
      <c r="A289" s="1186" t="s">
        <v>19</v>
      </c>
      <c r="B289" s="1186" t="s">
        <v>308</v>
      </c>
      <c r="C289" s="1186" t="s">
        <v>61</v>
      </c>
      <c r="D289" s="1186" t="s">
        <v>619</v>
      </c>
      <c r="E289" s="1186">
        <v>312</v>
      </c>
      <c r="F289" s="1186">
        <v>463230</v>
      </c>
    </row>
    <row r="290" spans="1:6" x14ac:dyDescent="0.2">
      <c r="A290" s="1186" t="s">
        <v>19</v>
      </c>
      <c r="B290" s="1186" t="s">
        <v>308</v>
      </c>
      <c r="C290" s="1186" t="s">
        <v>61</v>
      </c>
      <c r="D290" s="1186" t="s">
        <v>27</v>
      </c>
      <c r="E290" s="1186">
        <v>30</v>
      </c>
      <c r="F290" s="1186">
        <v>51290</v>
      </c>
    </row>
    <row r="291" spans="1:6" x14ac:dyDescent="0.2">
      <c r="A291" s="1186" t="s">
        <v>19</v>
      </c>
      <c r="B291" s="1186" t="s">
        <v>308</v>
      </c>
      <c r="C291" s="1186" t="s">
        <v>61</v>
      </c>
      <c r="D291" s="1186" t="s">
        <v>28</v>
      </c>
      <c r="E291" s="1186">
        <v>74</v>
      </c>
      <c r="F291" s="1186">
        <v>151160</v>
      </c>
    </row>
    <row r="292" spans="1:6" x14ac:dyDescent="0.2">
      <c r="A292" s="1186" t="s">
        <v>19</v>
      </c>
      <c r="B292" s="1186" t="s">
        <v>308</v>
      </c>
      <c r="C292" s="1186" t="s">
        <v>61</v>
      </c>
      <c r="D292" s="1186" t="s">
        <v>29</v>
      </c>
      <c r="E292" s="1186">
        <v>142</v>
      </c>
      <c r="F292" s="1186">
        <v>145170</v>
      </c>
    </row>
    <row r="293" spans="1:6" x14ac:dyDescent="0.2">
      <c r="A293" s="1186" t="s">
        <v>19</v>
      </c>
      <c r="B293" s="1186" t="s">
        <v>308</v>
      </c>
      <c r="C293" s="1186" t="s">
        <v>61</v>
      </c>
      <c r="D293" s="1186" t="s">
        <v>30</v>
      </c>
      <c r="E293" s="1186">
        <v>200</v>
      </c>
      <c r="F293" s="1186">
        <v>122110</v>
      </c>
    </row>
    <row r="294" spans="1:6" x14ac:dyDescent="0.2">
      <c r="A294" s="1186" t="s">
        <v>19</v>
      </c>
      <c r="B294" s="1186" t="s">
        <v>308</v>
      </c>
      <c r="C294" s="1186" t="s">
        <v>61</v>
      </c>
      <c r="D294" s="1186" t="s">
        <v>31</v>
      </c>
      <c r="E294" s="1186">
        <v>94</v>
      </c>
      <c r="F294" s="1186">
        <v>104960</v>
      </c>
    </row>
    <row r="295" spans="1:6" x14ac:dyDescent="0.2">
      <c r="A295" s="1186" t="s">
        <v>19</v>
      </c>
      <c r="B295" s="1186" t="s">
        <v>308</v>
      </c>
      <c r="C295" s="1186" t="s">
        <v>61</v>
      </c>
      <c r="D295" s="1186" t="s">
        <v>32</v>
      </c>
      <c r="E295" s="1186">
        <v>60</v>
      </c>
      <c r="F295" s="1186">
        <v>98340</v>
      </c>
    </row>
    <row r="296" spans="1:6" x14ac:dyDescent="0.2">
      <c r="A296" s="1186" t="s">
        <v>19</v>
      </c>
      <c r="B296" s="1186" t="s">
        <v>308</v>
      </c>
      <c r="C296" s="1186" t="s">
        <v>61</v>
      </c>
      <c r="D296" s="1186" t="s">
        <v>33</v>
      </c>
      <c r="E296" s="1186">
        <v>45</v>
      </c>
      <c r="F296" s="1186">
        <v>89980</v>
      </c>
    </row>
    <row r="297" spans="1:6" x14ac:dyDescent="0.2">
      <c r="A297" s="1186" t="s">
        <v>19</v>
      </c>
      <c r="B297" s="1186" t="s">
        <v>308</v>
      </c>
      <c r="C297" s="1186" t="s">
        <v>61</v>
      </c>
      <c r="D297" s="1186" t="s">
        <v>34</v>
      </c>
      <c r="E297" s="1186">
        <v>96</v>
      </c>
      <c r="F297" s="1186">
        <v>154210</v>
      </c>
    </row>
    <row r="298" spans="1:6" x14ac:dyDescent="0.2">
      <c r="A298" s="1186" t="s">
        <v>19</v>
      </c>
      <c r="B298" s="1186" t="s">
        <v>308</v>
      </c>
      <c r="C298" s="1186" t="s">
        <v>61</v>
      </c>
      <c r="D298" s="1186" t="s">
        <v>35</v>
      </c>
      <c r="E298" s="1186">
        <v>280</v>
      </c>
      <c r="F298" s="1186">
        <v>361420</v>
      </c>
    </row>
    <row r="299" spans="1:6" x14ac:dyDescent="0.2">
      <c r="A299" s="1186" t="s">
        <v>19</v>
      </c>
      <c r="B299" s="1186" t="s">
        <v>308</v>
      </c>
      <c r="C299" s="1186" t="s">
        <v>61</v>
      </c>
      <c r="D299" s="1186" t="s">
        <v>36</v>
      </c>
      <c r="E299" s="1186">
        <v>786</v>
      </c>
      <c r="F299" s="1186">
        <v>581620</v>
      </c>
    </row>
    <row r="300" spans="1:6" x14ac:dyDescent="0.2">
      <c r="A300" s="1186" t="s">
        <v>19</v>
      </c>
      <c r="B300" s="1186" t="s">
        <v>308</v>
      </c>
      <c r="C300" s="1186" t="s">
        <v>61</v>
      </c>
      <c r="D300" s="1186" t="s">
        <v>37</v>
      </c>
      <c r="E300" s="1186">
        <v>308</v>
      </c>
      <c r="F300" s="1186">
        <v>228750</v>
      </c>
    </row>
    <row r="301" spans="1:6" x14ac:dyDescent="0.2">
      <c r="A301" s="1186" t="s">
        <v>19</v>
      </c>
      <c r="B301" s="1186" t="s">
        <v>308</v>
      </c>
      <c r="C301" s="1186" t="s">
        <v>61</v>
      </c>
      <c r="D301" s="1186" t="s">
        <v>38</v>
      </c>
      <c r="E301" s="1186">
        <v>74</v>
      </c>
      <c r="F301" s="1186">
        <v>81670</v>
      </c>
    </row>
    <row r="302" spans="1:6" x14ac:dyDescent="0.2">
      <c r="A302" s="1186" t="s">
        <v>19</v>
      </c>
      <c r="B302" s="1186" t="s">
        <v>308</v>
      </c>
      <c r="C302" s="1186" t="s">
        <v>61</v>
      </c>
      <c r="D302" s="1186" t="s">
        <v>39</v>
      </c>
      <c r="E302" s="1186">
        <v>26</v>
      </c>
      <c r="F302" s="1186">
        <v>81900</v>
      </c>
    </row>
    <row r="303" spans="1:6" x14ac:dyDescent="0.2">
      <c r="A303" s="1186" t="s">
        <v>19</v>
      </c>
      <c r="B303" s="1186" t="s">
        <v>308</v>
      </c>
      <c r="C303" s="1186" t="s">
        <v>61</v>
      </c>
      <c r="D303" s="1186" t="s">
        <v>40</v>
      </c>
      <c r="E303" s="1186">
        <v>59</v>
      </c>
      <c r="F303" s="1186">
        <v>93160</v>
      </c>
    </row>
    <row r="304" spans="1:6" x14ac:dyDescent="0.2">
      <c r="A304" s="1186" t="s">
        <v>19</v>
      </c>
      <c r="B304" s="1186" t="s">
        <v>308</v>
      </c>
      <c r="C304" s="1186" t="s">
        <v>61</v>
      </c>
      <c r="D304" s="1186" t="s">
        <v>295</v>
      </c>
      <c r="E304" s="1186">
        <v>26</v>
      </c>
      <c r="F304" s="1186">
        <v>27420</v>
      </c>
    </row>
    <row r="305" spans="1:6" x14ac:dyDescent="0.2">
      <c r="A305" s="1186" t="s">
        <v>19</v>
      </c>
      <c r="B305" s="1186" t="s">
        <v>308</v>
      </c>
      <c r="C305" s="1186" t="s">
        <v>61</v>
      </c>
      <c r="D305" s="1186" t="s">
        <v>41</v>
      </c>
      <c r="E305" s="1186">
        <v>149</v>
      </c>
      <c r="F305" s="1186">
        <v>137830</v>
      </c>
    </row>
    <row r="306" spans="1:6" x14ac:dyDescent="0.2">
      <c r="A306" s="1186" t="s">
        <v>19</v>
      </c>
      <c r="B306" s="1186" t="s">
        <v>308</v>
      </c>
      <c r="C306" s="1186" t="s">
        <v>61</v>
      </c>
      <c r="D306" s="1186" t="s">
        <v>42</v>
      </c>
      <c r="E306" s="1186">
        <v>528</v>
      </c>
      <c r="F306" s="1186">
        <v>335160</v>
      </c>
    </row>
    <row r="307" spans="1:6" x14ac:dyDescent="0.2">
      <c r="A307" s="1186" t="s">
        <v>19</v>
      </c>
      <c r="B307" s="1186" t="s">
        <v>308</v>
      </c>
      <c r="C307" s="1186" t="s">
        <v>61</v>
      </c>
      <c r="D307" s="1186" t="s">
        <v>43</v>
      </c>
      <c r="E307" s="1186">
        <v>12</v>
      </c>
      <c r="F307" s="1186">
        <v>20940</v>
      </c>
    </row>
    <row r="308" spans="1:6" x14ac:dyDescent="0.2">
      <c r="A308" s="1186" t="s">
        <v>19</v>
      </c>
      <c r="B308" s="1186" t="s">
        <v>308</v>
      </c>
      <c r="C308" s="1186" t="s">
        <v>61</v>
      </c>
      <c r="D308" s="1186" t="s">
        <v>44</v>
      </c>
      <c r="E308" s="1186">
        <v>83</v>
      </c>
      <c r="F308" s="1186">
        <v>144370</v>
      </c>
    </row>
    <row r="309" spans="1:6" x14ac:dyDescent="0.2">
      <c r="A309" s="1186" t="s">
        <v>19</v>
      </c>
      <c r="B309" s="1186" t="s">
        <v>308</v>
      </c>
      <c r="C309" s="1186" t="s">
        <v>61</v>
      </c>
      <c r="D309" s="1186" t="s">
        <v>45</v>
      </c>
      <c r="E309" s="1186">
        <v>100</v>
      </c>
      <c r="F309" s="1186">
        <v>173020</v>
      </c>
    </row>
    <row r="310" spans="1:6" x14ac:dyDescent="0.2">
      <c r="A310" s="1186" t="s">
        <v>19</v>
      </c>
      <c r="B310" s="1186" t="s">
        <v>308</v>
      </c>
      <c r="C310" s="1186" t="s">
        <v>61</v>
      </c>
      <c r="D310" s="1186" t="s">
        <v>46</v>
      </c>
      <c r="E310" s="1186">
        <v>40</v>
      </c>
      <c r="F310" s="1186">
        <v>113590</v>
      </c>
    </row>
    <row r="311" spans="1:6" x14ac:dyDescent="0.2">
      <c r="A311" s="1186" t="s">
        <v>19</v>
      </c>
      <c r="B311" s="1186" t="s">
        <v>308</v>
      </c>
      <c r="C311" s="1186" t="s">
        <v>61</v>
      </c>
      <c r="D311" s="1186" t="s">
        <v>47</v>
      </c>
      <c r="E311" s="1186">
        <v>11</v>
      </c>
      <c r="F311" s="1186">
        <v>22800</v>
      </c>
    </row>
    <row r="312" spans="1:6" x14ac:dyDescent="0.2">
      <c r="A312" s="1186" t="s">
        <v>19</v>
      </c>
      <c r="B312" s="1186" t="s">
        <v>308</v>
      </c>
      <c r="C312" s="1186" t="s">
        <v>61</v>
      </c>
      <c r="D312" s="1186" t="s">
        <v>48</v>
      </c>
      <c r="E312" s="1186">
        <v>82</v>
      </c>
      <c r="F312" s="1186">
        <v>112490</v>
      </c>
    </row>
    <row r="313" spans="1:6" x14ac:dyDescent="0.2">
      <c r="A313" s="1186" t="s">
        <v>19</v>
      </c>
      <c r="B313" s="1186" t="s">
        <v>308</v>
      </c>
      <c r="C313" s="1186" t="s">
        <v>61</v>
      </c>
      <c r="D313" s="1186" t="s">
        <v>49</v>
      </c>
      <c r="E313" s="1186">
        <v>427</v>
      </c>
      <c r="F313" s="1186">
        <v>312180</v>
      </c>
    </row>
    <row r="314" spans="1:6" x14ac:dyDescent="0.2">
      <c r="A314" s="1186" t="s">
        <v>19</v>
      </c>
      <c r="B314" s="1186" t="s">
        <v>308</v>
      </c>
      <c r="C314" s="1186" t="s">
        <v>61</v>
      </c>
      <c r="D314" s="1186" t="s">
        <v>50</v>
      </c>
      <c r="E314" s="1186">
        <v>67</v>
      </c>
      <c r="F314" s="1186">
        <v>88690</v>
      </c>
    </row>
    <row r="315" spans="1:6" x14ac:dyDescent="0.2">
      <c r="A315" s="1186" t="s">
        <v>19</v>
      </c>
      <c r="B315" s="1186" t="s">
        <v>308</v>
      </c>
      <c r="C315" s="1186" t="s">
        <v>61</v>
      </c>
      <c r="D315" s="1186" t="s">
        <v>51</v>
      </c>
      <c r="E315" s="1186">
        <v>186</v>
      </c>
      <c r="F315" s="1186">
        <v>91080</v>
      </c>
    </row>
    <row r="316" spans="1:6" x14ac:dyDescent="0.2">
      <c r="A316" s="1186" t="s">
        <v>19</v>
      </c>
      <c r="B316" s="1186" t="s">
        <v>308</v>
      </c>
      <c r="C316" s="1186" t="s">
        <v>61</v>
      </c>
      <c r="D316" s="1186" t="s">
        <v>52</v>
      </c>
      <c r="E316" s="1186">
        <v>86</v>
      </c>
      <c r="F316" s="1186">
        <v>173040</v>
      </c>
    </row>
    <row r="317" spans="1:6" x14ac:dyDescent="0.2">
      <c r="A317" s="1186" t="s">
        <v>19</v>
      </c>
      <c r="B317" s="1186" t="s">
        <v>308</v>
      </c>
      <c r="C317" s="1186" t="s">
        <v>116</v>
      </c>
      <c r="D317" s="1186" t="s">
        <v>23</v>
      </c>
      <c r="E317" s="1186">
        <v>562</v>
      </c>
      <c r="F317" s="1186">
        <v>217020</v>
      </c>
    </row>
    <row r="318" spans="1:6" x14ac:dyDescent="0.2">
      <c r="A318" s="1186" t="s">
        <v>19</v>
      </c>
      <c r="B318" s="1186" t="s">
        <v>308</v>
      </c>
      <c r="C318" s="1186" t="s">
        <v>116</v>
      </c>
      <c r="D318" s="1186" t="s">
        <v>24</v>
      </c>
      <c r="E318" s="1186">
        <v>141</v>
      </c>
      <c r="F318" s="1186">
        <v>249020</v>
      </c>
    </row>
    <row r="319" spans="1:6" x14ac:dyDescent="0.2">
      <c r="A319" s="1186" t="s">
        <v>19</v>
      </c>
      <c r="B319" s="1186" t="s">
        <v>308</v>
      </c>
      <c r="C319" s="1186" t="s">
        <v>116</v>
      </c>
      <c r="D319" s="1186" t="s">
        <v>25</v>
      </c>
      <c r="E319" s="1186">
        <v>146</v>
      </c>
      <c r="F319" s="1186">
        <v>114830</v>
      </c>
    </row>
    <row r="320" spans="1:6" x14ac:dyDescent="0.2">
      <c r="A320" s="1186" t="s">
        <v>19</v>
      </c>
      <c r="B320" s="1186" t="s">
        <v>308</v>
      </c>
      <c r="C320" s="1186" t="s">
        <v>116</v>
      </c>
      <c r="D320" s="1186" t="s">
        <v>26</v>
      </c>
      <c r="E320" s="1186">
        <v>75</v>
      </c>
      <c r="F320" s="1186">
        <v>89450</v>
      </c>
    </row>
    <row r="321" spans="1:6" x14ac:dyDescent="0.2">
      <c r="A321" s="1186" t="s">
        <v>19</v>
      </c>
      <c r="B321" s="1186" t="s">
        <v>308</v>
      </c>
      <c r="C321" s="1186" t="s">
        <v>116</v>
      </c>
      <c r="D321" s="1186" t="s">
        <v>619</v>
      </c>
      <c r="E321" s="1186">
        <v>1908</v>
      </c>
      <c r="F321" s="1186">
        <v>463230</v>
      </c>
    </row>
    <row r="322" spans="1:6" x14ac:dyDescent="0.2">
      <c r="A322" s="1186" t="s">
        <v>19</v>
      </c>
      <c r="B322" s="1186" t="s">
        <v>308</v>
      </c>
      <c r="C322" s="1186" t="s">
        <v>116</v>
      </c>
      <c r="D322" s="1186" t="s">
        <v>27</v>
      </c>
      <c r="E322" s="1186">
        <v>188</v>
      </c>
      <c r="F322" s="1186">
        <v>51290</v>
      </c>
    </row>
    <row r="323" spans="1:6" x14ac:dyDescent="0.2">
      <c r="A323" s="1186" t="s">
        <v>19</v>
      </c>
      <c r="B323" s="1186" t="s">
        <v>308</v>
      </c>
      <c r="C323" s="1186" t="s">
        <v>116</v>
      </c>
      <c r="D323" s="1186" t="s">
        <v>28</v>
      </c>
      <c r="E323" s="1186">
        <v>165</v>
      </c>
      <c r="F323" s="1186">
        <v>151160</v>
      </c>
    </row>
    <row r="324" spans="1:6" x14ac:dyDescent="0.2">
      <c r="A324" s="1186" t="s">
        <v>19</v>
      </c>
      <c r="B324" s="1186" t="s">
        <v>308</v>
      </c>
      <c r="C324" s="1186" t="s">
        <v>116</v>
      </c>
      <c r="D324" s="1186" t="s">
        <v>29</v>
      </c>
      <c r="E324" s="1186">
        <v>867</v>
      </c>
      <c r="F324" s="1186">
        <v>145170</v>
      </c>
    </row>
    <row r="325" spans="1:6" x14ac:dyDescent="0.2">
      <c r="A325" s="1186" t="s">
        <v>19</v>
      </c>
      <c r="B325" s="1186" t="s">
        <v>308</v>
      </c>
      <c r="C325" s="1186" t="s">
        <v>116</v>
      </c>
      <c r="D325" s="1186" t="s">
        <v>30</v>
      </c>
      <c r="E325" s="1186">
        <v>668</v>
      </c>
      <c r="F325" s="1186">
        <v>122110</v>
      </c>
    </row>
    <row r="326" spans="1:6" x14ac:dyDescent="0.2">
      <c r="A326" s="1186" t="s">
        <v>19</v>
      </c>
      <c r="B326" s="1186" t="s">
        <v>308</v>
      </c>
      <c r="C326" s="1186" t="s">
        <v>116</v>
      </c>
      <c r="D326" s="1186" t="s">
        <v>31</v>
      </c>
      <c r="E326" s="1186">
        <v>220</v>
      </c>
      <c r="F326" s="1186">
        <v>104960</v>
      </c>
    </row>
    <row r="327" spans="1:6" x14ac:dyDescent="0.2">
      <c r="A327" s="1186" t="s">
        <v>19</v>
      </c>
      <c r="B327" s="1186" t="s">
        <v>308</v>
      </c>
      <c r="C327" s="1186" t="s">
        <v>116</v>
      </c>
      <c r="D327" s="1186" t="s">
        <v>32</v>
      </c>
      <c r="E327" s="1186">
        <v>285</v>
      </c>
      <c r="F327" s="1186">
        <v>98340</v>
      </c>
    </row>
    <row r="328" spans="1:6" x14ac:dyDescent="0.2">
      <c r="A328" s="1186" t="s">
        <v>19</v>
      </c>
      <c r="B328" s="1186" t="s">
        <v>308</v>
      </c>
      <c r="C328" s="1186" t="s">
        <v>116</v>
      </c>
      <c r="D328" s="1186" t="s">
        <v>33</v>
      </c>
      <c r="E328" s="1186">
        <v>238</v>
      </c>
      <c r="F328" s="1186">
        <v>89980</v>
      </c>
    </row>
    <row r="329" spans="1:6" x14ac:dyDescent="0.2">
      <c r="A329" s="1186" t="s">
        <v>19</v>
      </c>
      <c r="B329" s="1186" t="s">
        <v>308</v>
      </c>
      <c r="C329" s="1186" t="s">
        <v>116</v>
      </c>
      <c r="D329" s="1186" t="s">
        <v>34</v>
      </c>
      <c r="E329" s="1186">
        <v>655</v>
      </c>
      <c r="F329" s="1186">
        <v>154210</v>
      </c>
    </row>
    <row r="330" spans="1:6" x14ac:dyDescent="0.2">
      <c r="A330" s="1186" t="s">
        <v>19</v>
      </c>
      <c r="B330" s="1186" t="s">
        <v>308</v>
      </c>
      <c r="C330" s="1186" t="s">
        <v>116</v>
      </c>
      <c r="D330" s="1186" t="s">
        <v>35</v>
      </c>
      <c r="E330" s="1186">
        <v>1035</v>
      </c>
      <c r="F330" s="1186">
        <v>361420</v>
      </c>
    </row>
    <row r="331" spans="1:6" x14ac:dyDescent="0.2">
      <c r="A331" s="1186" t="s">
        <v>19</v>
      </c>
      <c r="B331" s="1186" t="s">
        <v>308</v>
      </c>
      <c r="C331" s="1186" t="s">
        <v>116</v>
      </c>
      <c r="D331" s="1186" t="s">
        <v>36</v>
      </c>
      <c r="E331" s="1186">
        <v>3024</v>
      </c>
      <c r="F331" s="1186">
        <v>581620</v>
      </c>
    </row>
    <row r="332" spans="1:6" x14ac:dyDescent="0.2">
      <c r="A332" s="1186" t="s">
        <v>19</v>
      </c>
      <c r="B332" s="1186" t="s">
        <v>308</v>
      </c>
      <c r="C332" s="1186" t="s">
        <v>116</v>
      </c>
      <c r="D332" s="1186" t="s">
        <v>37</v>
      </c>
      <c r="E332" s="1186">
        <v>262</v>
      </c>
      <c r="F332" s="1186">
        <v>228750</v>
      </c>
    </row>
    <row r="333" spans="1:6" x14ac:dyDescent="0.2">
      <c r="A333" s="1186" t="s">
        <v>19</v>
      </c>
      <c r="B333" s="1186" t="s">
        <v>308</v>
      </c>
      <c r="C333" s="1186" t="s">
        <v>116</v>
      </c>
      <c r="D333" s="1186" t="s">
        <v>38</v>
      </c>
      <c r="E333" s="1186">
        <v>551</v>
      </c>
      <c r="F333" s="1186">
        <v>81670</v>
      </c>
    </row>
    <row r="334" spans="1:6" x14ac:dyDescent="0.2">
      <c r="A334" s="1186" t="s">
        <v>19</v>
      </c>
      <c r="B334" s="1186" t="s">
        <v>308</v>
      </c>
      <c r="C334" s="1186" t="s">
        <v>116</v>
      </c>
      <c r="D334" s="1186" t="s">
        <v>39</v>
      </c>
      <c r="E334" s="1186">
        <v>345</v>
      </c>
      <c r="F334" s="1186">
        <v>81900</v>
      </c>
    </row>
    <row r="335" spans="1:6" x14ac:dyDescent="0.2">
      <c r="A335" s="1186" t="s">
        <v>19</v>
      </c>
      <c r="B335" s="1186" t="s">
        <v>308</v>
      </c>
      <c r="C335" s="1186" t="s">
        <v>116</v>
      </c>
      <c r="D335" s="1186" t="s">
        <v>40</v>
      </c>
      <c r="E335" s="1186">
        <v>108</v>
      </c>
      <c r="F335" s="1186">
        <v>93160</v>
      </c>
    </row>
    <row r="336" spans="1:6" x14ac:dyDescent="0.2">
      <c r="A336" s="1186" t="s">
        <v>19</v>
      </c>
      <c r="B336" s="1186" t="s">
        <v>308</v>
      </c>
      <c r="C336" s="1186" t="s">
        <v>116</v>
      </c>
      <c r="D336" s="1186" t="s">
        <v>295</v>
      </c>
      <c r="E336" s="1186">
        <v>7</v>
      </c>
      <c r="F336" s="1186">
        <v>27420</v>
      </c>
    </row>
    <row r="337" spans="1:6" x14ac:dyDescent="0.2">
      <c r="A337" s="1186" t="s">
        <v>19</v>
      </c>
      <c r="B337" s="1186" t="s">
        <v>308</v>
      </c>
      <c r="C337" s="1186" t="s">
        <v>116</v>
      </c>
      <c r="D337" s="1186" t="s">
        <v>41</v>
      </c>
      <c r="E337" s="1186">
        <v>758</v>
      </c>
      <c r="F337" s="1186">
        <v>137830</v>
      </c>
    </row>
    <row r="338" spans="1:6" x14ac:dyDescent="0.2">
      <c r="A338" s="1186" t="s">
        <v>19</v>
      </c>
      <c r="B338" s="1186" t="s">
        <v>308</v>
      </c>
      <c r="C338" s="1186" t="s">
        <v>116</v>
      </c>
      <c r="D338" s="1186" t="s">
        <v>42</v>
      </c>
      <c r="E338" s="1186">
        <v>1683</v>
      </c>
      <c r="F338" s="1186">
        <v>335160</v>
      </c>
    </row>
    <row r="339" spans="1:6" x14ac:dyDescent="0.2">
      <c r="A339" s="1186" t="s">
        <v>19</v>
      </c>
      <c r="B339" s="1186" t="s">
        <v>308</v>
      </c>
      <c r="C339" s="1186" t="s">
        <v>116</v>
      </c>
      <c r="D339" s="1186" t="s">
        <v>43</v>
      </c>
      <c r="E339" s="1186">
        <v>6</v>
      </c>
      <c r="F339" s="1186">
        <v>20940</v>
      </c>
    </row>
    <row r="340" spans="1:6" x14ac:dyDescent="0.2">
      <c r="A340" s="1186" t="s">
        <v>19</v>
      </c>
      <c r="B340" s="1186" t="s">
        <v>308</v>
      </c>
      <c r="C340" s="1186" t="s">
        <v>116</v>
      </c>
      <c r="D340" s="1186" t="s">
        <v>44</v>
      </c>
      <c r="E340" s="1186">
        <v>142</v>
      </c>
      <c r="F340" s="1186">
        <v>144370</v>
      </c>
    </row>
    <row r="341" spans="1:6" x14ac:dyDescent="0.2">
      <c r="A341" s="1186" t="s">
        <v>19</v>
      </c>
      <c r="B341" s="1186" t="s">
        <v>308</v>
      </c>
      <c r="C341" s="1186" t="s">
        <v>116</v>
      </c>
      <c r="D341" s="1186" t="s">
        <v>45</v>
      </c>
      <c r="E341" s="1186">
        <v>771</v>
      </c>
      <c r="F341" s="1186">
        <v>173020</v>
      </c>
    </row>
    <row r="342" spans="1:6" x14ac:dyDescent="0.2">
      <c r="A342" s="1186" t="s">
        <v>19</v>
      </c>
      <c r="B342" s="1186" t="s">
        <v>308</v>
      </c>
      <c r="C342" s="1186" t="s">
        <v>116</v>
      </c>
      <c r="D342" s="1186" t="s">
        <v>46</v>
      </c>
      <c r="E342" s="1186">
        <v>107</v>
      </c>
      <c r="F342" s="1186">
        <v>113590</v>
      </c>
    </row>
    <row r="343" spans="1:6" x14ac:dyDescent="0.2">
      <c r="A343" s="1186" t="s">
        <v>19</v>
      </c>
      <c r="B343" s="1186" t="s">
        <v>308</v>
      </c>
      <c r="C343" s="1186" t="s">
        <v>116</v>
      </c>
      <c r="D343" s="1186" t="s">
        <v>47</v>
      </c>
      <c r="E343" s="1186">
        <v>3</v>
      </c>
      <c r="F343" s="1186">
        <v>22800</v>
      </c>
    </row>
    <row r="344" spans="1:6" x14ac:dyDescent="0.2">
      <c r="A344" s="1186" t="s">
        <v>19</v>
      </c>
      <c r="B344" s="1186" t="s">
        <v>308</v>
      </c>
      <c r="C344" s="1186" t="s">
        <v>116</v>
      </c>
      <c r="D344" s="1186" t="s">
        <v>48</v>
      </c>
      <c r="E344" s="1186">
        <v>333</v>
      </c>
      <c r="F344" s="1186">
        <v>112490</v>
      </c>
    </row>
    <row r="345" spans="1:6" x14ac:dyDescent="0.2">
      <c r="A345" s="1186" t="s">
        <v>19</v>
      </c>
      <c r="B345" s="1186" t="s">
        <v>308</v>
      </c>
      <c r="C345" s="1186" t="s">
        <v>116</v>
      </c>
      <c r="D345" s="1186" t="s">
        <v>49</v>
      </c>
      <c r="E345" s="1186">
        <v>1361</v>
      </c>
      <c r="F345" s="1186">
        <v>312180</v>
      </c>
    </row>
    <row r="346" spans="1:6" x14ac:dyDescent="0.2">
      <c r="A346" s="1186" t="s">
        <v>19</v>
      </c>
      <c r="B346" s="1186" t="s">
        <v>308</v>
      </c>
      <c r="C346" s="1186" t="s">
        <v>116</v>
      </c>
      <c r="D346" s="1186" t="s">
        <v>50</v>
      </c>
      <c r="E346" s="1186">
        <v>182</v>
      </c>
      <c r="F346" s="1186">
        <v>88690</v>
      </c>
    </row>
    <row r="347" spans="1:6" x14ac:dyDescent="0.2">
      <c r="A347" s="1186" t="s">
        <v>19</v>
      </c>
      <c r="B347" s="1186" t="s">
        <v>308</v>
      </c>
      <c r="C347" s="1186" t="s">
        <v>116</v>
      </c>
      <c r="D347" s="1186" t="s">
        <v>51</v>
      </c>
      <c r="E347" s="1186">
        <v>609</v>
      </c>
      <c r="F347" s="1186">
        <v>91080</v>
      </c>
    </row>
    <row r="348" spans="1:6" x14ac:dyDescent="0.2">
      <c r="A348" s="1186" t="s">
        <v>19</v>
      </c>
      <c r="B348" s="1186" t="s">
        <v>308</v>
      </c>
      <c r="C348" s="1186" t="s">
        <v>116</v>
      </c>
      <c r="D348" s="1186" t="s">
        <v>52</v>
      </c>
      <c r="E348" s="1186">
        <v>882</v>
      </c>
      <c r="F348" s="1186">
        <v>173040</v>
      </c>
    </row>
    <row r="349" spans="1:6" x14ac:dyDescent="0.2">
      <c r="A349" s="1186" t="s">
        <v>20</v>
      </c>
      <c r="B349" s="1186" t="s">
        <v>309</v>
      </c>
      <c r="C349" s="1186" t="s">
        <v>61</v>
      </c>
      <c r="D349" s="1186" t="s">
        <v>23</v>
      </c>
      <c r="E349" s="1186">
        <v>17</v>
      </c>
      <c r="F349" s="1186">
        <v>219730</v>
      </c>
    </row>
    <row r="350" spans="1:6" x14ac:dyDescent="0.2">
      <c r="A350" s="1186" t="s">
        <v>20</v>
      </c>
      <c r="B350" s="1186" t="s">
        <v>309</v>
      </c>
      <c r="C350" s="1186" t="s">
        <v>61</v>
      </c>
      <c r="D350" s="1186" t="s">
        <v>24</v>
      </c>
      <c r="E350" s="1186">
        <v>139</v>
      </c>
      <c r="F350" s="1186">
        <v>251430</v>
      </c>
    </row>
    <row r="351" spans="1:6" x14ac:dyDescent="0.2">
      <c r="A351" s="1186" t="s">
        <v>20</v>
      </c>
      <c r="B351" s="1186" t="s">
        <v>309</v>
      </c>
      <c r="C351" s="1186" t="s">
        <v>61</v>
      </c>
      <c r="D351" s="1186" t="s">
        <v>25</v>
      </c>
      <c r="E351" s="1186">
        <v>31</v>
      </c>
      <c r="F351" s="1186">
        <v>115410</v>
      </c>
    </row>
    <row r="352" spans="1:6" x14ac:dyDescent="0.2">
      <c r="A352" s="1186" t="s">
        <v>20</v>
      </c>
      <c r="B352" s="1186" t="s">
        <v>309</v>
      </c>
      <c r="C352" s="1186" t="s">
        <v>61</v>
      </c>
      <c r="D352" s="1186" t="s">
        <v>26</v>
      </c>
      <c r="E352" s="1186">
        <v>121</v>
      </c>
      <c r="F352" s="1186">
        <v>88620</v>
      </c>
    </row>
    <row r="353" spans="1:6" x14ac:dyDescent="0.2">
      <c r="A353" s="1186" t="s">
        <v>20</v>
      </c>
      <c r="B353" s="1186" t="s">
        <v>309</v>
      </c>
      <c r="C353" s="1186" t="s">
        <v>61</v>
      </c>
      <c r="D353" s="1186" t="s">
        <v>619</v>
      </c>
      <c r="E353" s="1186">
        <v>13</v>
      </c>
      <c r="F353" s="1186">
        <v>469930</v>
      </c>
    </row>
    <row r="354" spans="1:6" x14ac:dyDescent="0.2">
      <c r="A354" s="1186" t="s">
        <v>20</v>
      </c>
      <c r="B354" s="1186" t="s">
        <v>309</v>
      </c>
      <c r="C354" s="1186" t="s">
        <v>61</v>
      </c>
      <c r="D354" s="1186" t="s">
        <v>27</v>
      </c>
      <c r="E354" s="1186">
        <v>4</v>
      </c>
      <c r="F354" s="1186">
        <v>51330</v>
      </c>
    </row>
    <row r="355" spans="1:6" x14ac:dyDescent="0.2">
      <c r="A355" s="1186" t="s">
        <v>20</v>
      </c>
      <c r="B355" s="1186" t="s">
        <v>309</v>
      </c>
      <c r="C355" s="1186" t="s">
        <v>61</v>
      </c>
      <c r="D355" s="1186" t="s">
        <v>28</v>
      </c>
      <c r="E355" s="1186">
        <v>135</v>
      </c>
      <c r="F355" s="1186">
        <v>151100</v>
      </c>
    </row>
    <row r="356" spans="1:6" x14ac:dyDescent="0.2">
      <c r="A356" s="1186" t="s">
        <v>20</v>
      </c>
      <c r="B356" s="1186" t="s">
        <v>309</v>
      </c>
      <c r="C356" s="1186" t="s">
        <v>61</v>
      </c>
      <c r="D356" s="1186" t="s">
        <v>29</v>
      </c>
      <c r="E356" s="1186">
        <v>1</v>
      </c>
      <c r="F356" s="1186">
        <v>146060</v>
      </c>
    </row>
    <row r="357" spans="1:6" x14ac:dyDescent="0.2">
      <c r="A357" s="1186" t="s">
        <v>20</v>
      </c>
      <c r="B357" s="1186" t="s">
        <v>309</v>
      </c>
      <c r="C357" s="1186" t="s">
        <v>61</v>
      </c>
      <c r="D357" s="1186" t="s">
        <v>30</v>
      </c>
      <c r="E357" s="1186">
        <v>18</v>
      </c>
      <c r="F357" s="1186">
        <v>122410</v>
      </c>
    </row>
    <row r="358" spans="1:6" x14ac:dyDescent="0.2">
      <c r="A358" s="1186" t="s">
        <v>20</v>
      </c>
      <c r="B358" s="1186" t="s">
        <v>309</v>
      </c>
      <c r="C358" s="1186" t="s">
        <v>61</v>
      </c>
      <c r="D358" s="1186" t="s">
        <v>31</v>
      </c>
      <c r="E358" s="1186">
        <v>1</v>
      </c>
      <c r="F358" s="1186">
        <v>104920</v>
      </c>
    </row>
    <row r="359" spans="1:6" x14ac:dyDescent="0.2">
      <c r="A359" s="1186" t="s">
        <v>20</v>
      </c>
      <c r="B359" s="1186" t="s">
        <v>309</v>
      </c>
      <c r="C359" s="1186" t="s">
        <v>61</v>
      </c>
      <c r="D359" s="1186" t="s">
        <v>32</v>
      </c>
      <c r="E359" s="1186">
        <v>29</v>
      </c>
      <c r="F359" s="1186">
        <v>99140</v>
      </c>
    </row>
    <row r="360" spans="1:6" x14ac:dyDescent="0.2">
      <c r="A360" s="1186" t="s">
        <v>20</v>
      </c>
      <c r="B360" s="1186" t="s">
        <v>309</v>
      </c>
      <c r="C360" s="1186" t="s">
        <v>61</v>
      </c>
      <c r="D360" s="1186" t="s">
        <v>33</v>
      </c>
      <c r="E360" s="1186">
        <v>3</v>
      </c>
      <c r="F360" s="1186">
        <v>90410</v>
      </c>
    </row>
    <row r="361" spans="1:6" x14ac:dyDescent="0.2">
      <c r="A361" s="1186" t="s">
        <v>20</v>
      </c>
      <c r="B361" s="1186" t="s">
        <v>309</v>
      </c>
      <c r="C361" s="1186" t="s">
        <v>61</v>
      </c>
      <c r="D361" s="1186" t="s">
        <v>34</v>
      </c>
      <c r="E361" s="1186">
        <v>14</v>
      </c>
      <c r="F361" s="1186">
        <v>155130</v>
      </c>
    </row>
    <row r="362" spans="1:6" x14ac:dyDescent="0.2">
      <c r="A362" s="1186" t="s">
        <v>20</v>
      </c>
      <c r="B362" s="1186" t="s">
        <v>309</v>
      </c>
      <c r="C362" s="1186" t="s">
        <v>61</v>
      </c>
      <c r="D362" s="1186" t="s">
        <v>35</v>
      </c>
      <c r="E362" s="1186">
        <v>48</v>
      </c>
      <c r="F362" s="1186">
        <v>362610</v>
      </c>
    </row>
    <row r="363" spans="1:6" x14ac:dyDescent="0.2">
      <c r="A363" s="1186" t="s">
        <v>20</v>
      </c>
      <c r="B363" s="1186" t="s">
        <v>309</v>
      </c>
      <c r="C363" s="1186" t="s">
        <v>61</v>
      </c>
      <c r="D363" s="1186" t="s">
        <v>36</v>
      </c>
      <c r="E363" s="1186">
        <v>10</v>
      </c>
      <c r="F363" s="1186">
        <v>586500</v>
      </c>
    </row>
    <row r="364" spans="1:6" x14ac:dyDescent="0.2">
      <c r="A364" s="1186" t="s">
        <v>20</v>
      </c>
      <c r="B364" s="1186" t="s">
        <v>309</v>
      </c>
      <c r="C364" s="1186" t="s">
        <v>61</v>
      </c>
      <c r="D364" s="1186" t="s">
        <v>37</v>
      </c>
      <c r="E364" s="1186">
        <v>471</v>
      </c>
      <c r="F364" s="1186">
        <v>230730</v>
      </c>
    </row>
    <row r="365" spans="1:6" x14ac:dyDescent="0.2">
      <c r="A365" s="1186" t="s">
        <v>20</v>
      </c>
      <c r="B365" s="1186" t="s">
        <v>309</v>
      </c>
      <c r="C365" s="1186" t="s">
        <v>61</v>
      </c>
      <c r="D365" s="1186" t="s">
        <v>38</v>
      </c>
      <c r="E365" s="1186">
        <v>2</v>
      </c>
      <c r="F365" s="1186">
        <v>81510</v>
      </c>
    </row>
    <row r="366" spans="1:6" x14ac:dyDescent="0.2">
      <c r="A366" s="1186" t="s">
        <v>20</v>
      </c>
      <c r="B366" s="1186" t="s">
        <v>309</v>
      </c>
      <c r="C366" s="1186" t="s">
        <v>61</v>
      </c>
      <c r="D366" s="1186" t="s">
        <v>39</v>
      </c>
      <c r="E366" s="1186">
        <v>18</v>
      </c>
      <c r="F366" s="1186">
        <v>82360</v>
      </c>
    </row>
    <row r="367" spans="1:6" x14ac:dyDescent="0.2">
      <c r="A367" s="1186" t="s">
        <v>20</v>
      </c>
      <c r="B367" s="1186" t="s">
        <v>309</v>
      </c>
      <c r="C367" s="1186" t="s">
        <v>61</v>
      </c>
      <c r="D367" s="1186" t="s">
        <v>40</v>
      </c>
      <c r="E367" s="1186">
        <v>66</v>
      </c>
      <c r="F367" s="1186">
        <v>93690</v>
      </c>
    </row>
    <row r="368" spans="1:6" x14ac:dyDescent="0.2">
      <c r="A368" s="1186" t="s">
        <v>20</v>
      </c>
      <c r="B368" s="1186" t="s">
        <v>309</v>
      </c>
      <c r="C368" s="1186" t="s">
        <v>61</v>
      </c>
      <c r="D368" s="1186" t="s">
        <v>295</v>
      </c>
      <c r="E368" s="1186">
        <v>82</v>
      </c>
      <c r="F368" s="1186">
        <v>27600</v>
      </c>
    </row>
    <row r="369" spans="1:6" x14ac:dyDescent="0.2">
      <c r="A369" s="1186" t="s">
        <v>20</v>
      </c>
      <c r="B369" s="1186" t="s">
        <v>309</v>
      </c>
      <c r="C369" s="1186" t="s">
        <v>61</v>
      </c>
      <c r="D369" s="1186" t="s">
        <v>41</v>
      </c>
      <c r="E369" s="1186">
        <v>19</v>
      </c>
      <c r="F369" s="1186">
        <v>137800</v>
      </c>
    </row>
    <row r="370" spans="1:6" x14ac:dyDescent="0.2">
      <c r="A370" s="1186" t="s">
        <v>20</v>
      </c>
      <c r="B370" s="1186" t="s">
        <v>309</v>
      </c>
      <c r="C370" s="1186" t="s">
        <v>61</v>
      </c>
      <c r="D370" s="1186" t="s">
        <v>42</v>
      </c>
      <c r="E370" s="1186">
        <v>11</v>
      </c>
      <c r="F370" s="1186">
        <v>336280</v>
      </c>
    </row>
    <row r="371" spans="1:6" x14ac:dyDescent="0.2">
      <c r="A371" s="1186" t="s">
        <v>20</v>
      </c>
      <c r="B371" s="1186" t="s">
        <v>309</v>
      </c>
      <c r="C371" s="1186" t="s">
        <v>61</v>
      </c>
      <c r="D371" s="1186" t="s">
        <v>43</v>
      </c>
      <c r="E371" s="1186">
        <v>19</v>
      </c>
      <c r="F371" s="1186">
        <v>21220</v>
      </c>
    </row>
    <row r="372" spans="1:6" x14ac:dyDescent="0.2">
      <c r="A372" s="1186" t="s">
        <v>20</v>
      </c>
      <c r="B372" s="1186" t="s">
        <v>309</v>
      </c>
      <c r="C372" s="1186" t="s">
        <v>61</v>
      </c>
      <c r="D372" s="1186" t="s">
        <v>44</v>
      </c>
      <c r="E372" s="1186">
        <v>78</v>
      </c>
      <c r="F372" s="1186">
        <v>145600</v>
      </c>
    </row>
    <row r="373" spans="1:6" x14ac:dyDescent="0.2">
      <c r="A373" s="1186" t="s">
        <v>20</v>
      </c>
      <c r="B373" s="1186" t="s">
        <v>309</v>
      </c>
      <c r="C373" s="1186" t="s">
        <v>61</v>
      </c>
      <c r="D373" s="1186" t="s">
        <v>45</v>
      </c>
      <c r="E373" s="1186">
        <v>3</v>
      </c>
      <c r="F373" s="1186">
        <v>173700</v>
      </c>
    </row>
    <row r="374" spans="1:6" x14ac:dyDescent="0.2">
      <c r="A374" s="1186" t="s">
        <v>20</v>
      </c>
      <c r="B374" s="1186" t="s">
        <v>309</v>
      </c>
      <c r="C374" s="1186" t="s">
        <v>61</v>
      </c>
      <c r="D374" s="1186" t="s">
        <v>46</v>
      </c>
      <c r="E374" s="1186">
        <v>94</v>
      </c>
      <c r="F374" s="1186">
        <v>113700</v>
      </c>
    </row>
    <row r="375" spans="1:6" x14ac:dyDescent="0.2">
      <c r="A375" s="1186" t="s">
        <v>20</v>
      </c>
      <c r="B375" s="1186" t="s">
        <v>309</v>
      </c>
      <c r="C375" s="1186" t="s">
        <v>61</v>
      </c>
      <c r="D375" s="1186" t="s">
        <v>47</v>
      </c>
      <c r="E375" s="1186">
        <v>18</v>
      </c>
      <c r="F375" s="1186">
        <v>23060</v>
      </c>
    </row>
    <row r="376" spans="1:6" x14ac:dyDescent="0.2">
      <c r="A376" s="1186" t="s">
        <v>20</v>
      </c>
      <c r="B376" s="1186" t="s">
        <v>309</v>
      </c>
      <c r="C376" s="1186" t="s">
        <v>61</v>
      </c>
      <c r="D376" s="1186" t="s">
        <v>48</v>
      </c>
      <c r="E376" s="1186">
        <v>19</v>
      </c>
      <c r="F376" s="1186">
        <v>112600</v>
      </c>
    </row>
    <row r="377" spans="1:6" x14ac:dyDescent="0.2">
      <c r="A377" s="1186" t="s">
        <v>20</v>
      </c>
      <c r="B377" s="1186" t="s">
        <v>309</v>
      </c>
      <c r="C377" s="1186" t="s">
        <v>61</v>
      </c>
      <c r="D377" s="1186" t="s">
        <v>49</v>
      </c>
      <c r="E377" s="1186">
        <v>32</v>
      </c>
      <c r="F377" s="1186">
        <v>313180</v>
      </c>
    </row>
    <row r="378" spans="1:6" x14ac:dyDescent="0.2">
      <c r="A378" s="1186" t="s">
        <v>20</v>
      </c>
      <c r="B378" s="1186" t="s">
        <v>309</v>
      </c>
      <c r="C378" s="1186" t="s">
        <v>61</v>
      </c>
      <c r="D378" s="1186" t="s">
        <v>50</v>
      </c>
      <c r="E378" s="1186">
        <v>33</v>
      </c>
      <c r="F378" s="1186">
        <v>89550</v>
      </c>
    </row>
    <row r="379" spans="1:6" x14ac:dyDescent="0.2">
      <c r="A379" s="1186" t="s">
        <v>20</v>
      </c>
      <c r="B379" s="1186" t="s">
        <v>309</v>
      </c>
      <c r="C379" s="1186" t="s">
        <v>61</v>
      </c>
      <c r="D379" s="1186" t="s">
        <v>51</v>
      </c>
      <c r="E379" s="1186">
        <v>7</v>
      </c>
      <c r="F379" s="1186">
        <v>90800</v>
      </c>
    </row>
    <row r="380" spans="1:6" x14ac:dyDescent="0.2">
      <c r="A380" s="1186" t="s">
        <v>20</v>
      </c>
      <c r="B380" s="1186" t="s">
        <v>309</v>
      </c>
      <c r="C380" s="1186" t="s">
        <v>61</v>
      </c>
      <c r="D380" s="1186" t="s">
        <v>52</v>
      </c>
      <c r="E380" s="1186">
        <v>14</v>
      </c>
      <c r="F380" s="1186">
        <v>174090</v>
      </c>
    </row>
    <row r="381" spans="1:6" x14ac:dyDescent="0.2">
      <c r="A381" s="1186" t="s">
        <v>20</v>
      </c>
      <c r="B381" s="1186" t="s">
        <v>309</v>
      </c>
      <c r="C381" s="1186" t="s">
        <v>116</v>
      </c>
      <c r="D381" s="1186" t="s">
        <v>26</v>
      </c>
      <c r="E381" s="1186">
        <v>2</v>
      </c>
      <c r="F381" s="1186">
        <v>88620</v>
      </c>
    </row>
    <row r="382" spans="1:6" x14ac:dyDescent="0.2">
      <c r="A382" s="1186" t="s">
        <v>20</v>
      </c>
      <c r="B382" s="1186" t="s">
        <v>309</v>
      </c>
      <c r="C382" s="1186" t="s">
        <v>116</v>
      </c>
      <c r="D382" s="1186" t="s">
        <v>619</v>
      </c>
      <c r="E382" s="1186">
        <v>1</v>
      </c>
      <c r="F382" s="1186">
        <v>469930</v>
      </c>
    </row>
    <row r="383" spans="1:6" x14ac:dyDescent="0.2">
      <c r="A383" s="1186" t="s">
        <v>20</v>
      </c>
      <c r="B383" s="1186" t="s">
        <v>309</v>
      </c>
      <c r="C383" s="1186" t="s">
        <v>116</v>
      </c>
      <c r="D383" s="1186" t="s">
        <v>35</v>
      </c>
      <c r="E383" s="1186">
        <v>1</v>
      </c>
      <c r="F383" s="1186">
        <v>362610</v>
      </c>
    </row>
    <row r="384" spans="1:6" x14ac:dyDescent="0.2">
      <c r="A384" s="1186" t="s">
        <v>20</v>
      </c>
      <c r="B384" s="1186" t="s">
        <v>823</v>
      </c>
      <c r="C384" s="1186" t="s">
        <v>61</v>
      </c>
      <c r="D384" s="1186" t="s">
        <v>23</v>
      </c>
      <c r="E384" s="1186">
        <v>267</v>
      </c>
      <c r="F384" s="1186">
        <v>219730</v>
      </c>
    </row>
    <row r="385" spans="1:6" x14ac:dyDescent="0.2">
      <c r="A385" s="1186" t="s">
        <v>20</v>
      </c>
      <c r="B385" s="1186" t="s">
        <v>823</v>
      </c>
      <c r="C385" s="1186" t="s">
        <v>61</v>
      </c>
      <c r="D385" s="1186" t="s">
        <v>24</v>
      </c>
      <c r="E385" s="1186">
        <v>192</v>
      </c>
      <c r="F385" s="1186">
        <v>251430</v>
      </c>
    </row>
    <row r="386" spans="1:6" x14ac:dyDescent="0.2">
      <c r="A386" s="1186" t="s">
        <v>20</v>
      </c>
      <c r="B386" s="1186" t="s">
        <v>823</v>
      </c>
      <c r="C386" s="1186" t="s">
        <v>61</v>
      </c>
      <c r="D386" s="1186" t="s">
        <v>25</v>
      </c>
      <c r="E386" s="1186">
        <v>79</v>
      </c>
      <c r="F386" s="1186">
        <v>115410</v>
      </c>
    </row>
    <row r="387" spans="1:6" x14ac:dyDescent="0.2">
      <c r="A387" s="1186" t="s">
        <v>20</v>
      </c>
      <c r="B387" s="1186" t="s">
        <v>823</v>
      </c>
      <c r="C387" s="1186" t="s">
        <v>61</v>
      </c>
      <c r="D387" s="1186" t="s">
        <v>26</v>
      </c>
      <c r="E387" s="1186">
        <v>109</v>
      </c>
      <c r="F387" s="1186">
        <v>88620</v>
      </c>
    </row>
    <row r="388" spans="1:6" x14ac:dyDescent="0.2">
      <c r="A388" s="1186" t="s">
        <v>20</v>
      </c>
      <c r="B388" s="1186" t="s">
        <v>823</v>
      </c>
      <c r="C388" s="1186" t="s">
        <v>61</v>
      </c>
      <c r="D388" s="1186" t="s">
        <v>619</v>
      </c>
      <c r="E388" s="1186">
        <v>593</v>
      </c>
      <c r="F388" s="1186">
        <v>469930</v>
      </c>
    </row>
    <row r="389" spans="1:6" x14ac:dyDescent="0.2">
      <c r="A389" s="1186" t="s">
        <v>20</v>
      </c>
      <c r="B389" s="1186" t="s">
        <v>823</v>
      </c>
      <c r="C389" s="1186" t="s">
        <v>61</v>
      </c>
      <c r="D389" s="1186" t="s">
        <v>27</v>
      </c>
      <c r="E389" s="1186">
        <v>37</v>
      </c>
      <c r="F389" s="1186">
        <v>51330</v>
      </c>
    </row>
    <row r="390" spans="1:6" x14ac:dyDescent="0.2">
      <c r="A390" s="1186" t="s">
        <v>20</v>
      </c>
      <c r="B390" s="1186" t="s">
        <v>823</v>
      </c>
      <c r="C390" s="1186" t="s">
        <v>61</v>
      </c>
      <c r="D390" s="1186" t="s">
        <v>28</v>
      </c>
      <c r="E390" s="1186">
        <v>94</v>
      </c>
      <c r="F390" s="1186">
        <v>151100</v>
      </c>
    </row>
    <row r="391" spans="1:6" x14ac:dyDescent="0.2">
      <c r="A391" s="1186" t="s">
        <v>20</v>
      </c>
      <c r="B391" s="1186" t="s">
        <v>823</v>
      </c>
      <c r="C391" s="1186" t="s">
        <v>61</v>
      </c>
      <c r="D391" s="1186" t="s">
        <v>29</v>
      </c>
      <c r="E391" s="1186">
        <v>294</v>
      </c>
      <c r="F391" s="1186">
        <v>146060</v>
      </c>
    </row>
    <row r="392" spans="1:6" x14ac:dyDescent="0.2">
      <c r="A392" s="1186" t="s">
        <v>20</v>
      </c>
      <c r="B392" s="1186" t="s">
        <v>823</v>
      </c>
      <c r="C392" s="1186" t="s">
        <v>61</v>
      </c>
      <c r="D392" s="1186" t="s">
        <v>30</v>
      </c>
      <c r="E392" s="1186">
        <v>92</v>
      </c>
      <c r="F392" s="1186">
        <v>122410</v>
      </c>
    </row>
    <row r="393" spans="1:6" x14ac:dyDescent="0.2">
      <c r="A393" s="1186" t="s">
        <v>20</v>
      </c>
      <c r="B393" s="1186" t="s">
        <v>823</v>
      </c>
      <c r="C393" s="1186" t="s">
        <v>61</v>
      </c>
      <c r="D393" s="1186" t="s">
        <v>31</v>
      </c>
      <c r="E393" s="1186">
        <v>64</v>
      </c>
      <c r="F393" s="1186">
        <v>104920</v>
      </c>
    </row>
    <row r="394" spans="1:6" x14ac:dyDescent="0.2">
      <c r="A394" s="1186" t="s">
        <v>20</v>
      </c>
      <c r="B394" s="1186" t="s">
        <v>823</v>
      </c>
      <c r="C394" s="1186" t="s">
        <v>61</v>
      </c>
      <c r="D394" s="1186" t="s">
        <v>32</v>
      </c>
      <c r="E394" s="1186">
        <v>81</v>
      </c>
      <c r="F394" s="1186">
        <v>99140</v>
      </c>
    </row>
    <row r="395" spans="1:6" x14ac:dyDescent="0.2">
      <c r="A395" s="1186" t="s">
        <v>20</v>
      </c>
      <c r="B395" s="1186" t="s">
        <v>823</v>
      </c>
      <c r="C395" s="1186" t="s">
        <v>61</v>
      </c>
      <c r="D395" s="1186" t="s">
        <v>33</v>
      </c>
      <c r="E395" s="1186">
        <v>51</v>
      </c>
      <c r="F395" s="1186">
        <v>90410</v>
      </c>
    </row>
    <row r="396" spans="1:6" x14ac:dyDescent="0.2">
      <c r="A396" s="1186" t="s">
        <v>20</v>
      </c>
      <c r="B396" s="1186" t="s">
        <v>823</v>
      </c>
      <c r="C396" s="1186" t="s">
        <v>61</v>
      </c>
      <c r="D396" s="1186" t="s">
        <v>34</v>
      </c>
      <c r="E396" s="1186">
        <v>113</v>
      </c>
      <c r="F396" s="1186">
        <v>155130</v>
      </c>
    </row>
    <row r="397" spans="1:6" x14ac:dyDescent="0.2">
      <c r="A397" s="1186" t="s">
        <v>20</v>
      </c>
      <c r="B397" s="1186" t="s">
        <v>823</v>
      </c>
      <c r="C397" s="1186" t="s">
        <v>61</v>
      </c>
      <c r="D397" s="1186" t="s">
        <v>35</v>
      </c>
      <c r="E397" s="1186">
        <v>257</v>
      </c>
      <c r="F397" s="1186">
        <v>362610</v>
      </c>
    </row>
    <row r="398" spans="1:6" x14ac:dyDescent="0.2">
      <c r="A398" s="1186" t="s">
        <v>20</v>
      </c>
      <c r="B398" s="1186" t="s">
        <v>823</v>
      </c>
      <c r="C398" s="1186" t="s">
        <v>61</v>
      </c>
      <c r="D398" s="1186" t="s">
        <v>36</v>
      </c>
      <c r="E398" s="1186">
        <v>923</v>
      </c>
      <c r="F398" s="1186">
        <v>586500</v>
      </c>
    </row>
    <row r="399" spans="1:6" x14ac:dyDescent="0.2">
      <c r="A399" s="1186" t="s">
        <v>20</v>
      </c>
      <c r="B399" s="1186" t="s">
        <v>823</v>
      </c>
      <c r="C399" s="1186" t="s">
        <v>61</v>
      </c>
      <c r="D399" s="1186" t="s">
        <v>37</v>
      </c>
      <c r="E399" s="1186">
        <v>151</v>
      </c>
      <c r="F399" s="1186">
        <v>230730</v>
      </c>
    </row>
    <row r="400" spans="1:6" x14ac:dyDescent="0.2">
      <c r="A400" s="1186" t="s">
        <v>20</v>
      </c>
      <c r="B400" s="1186" t="s">
        <v>823</v>
      </c>
      <c r="C400" s="1186" t="s">
        <v>61</v>
      </c>
      <c r="D400" s="1186" t="s">
        <v>38</v>
      </c>
      <c r="E400" s="1186">
        <v>82</v>
      </c>
      <c r="F400" s="1186">
        <v>81510</v>
      </c>
    </row>
    <row r="401" spans="1:6" x14ac:dyDescent="0.2">
      <c r="A401" s="1186" t="s">
        <v>20</v>
      </c>
      <c r="B401" s="1186" t="s">
        <v>823</v>
      </c>
      <c r="C401" s="1186" t="s">
        <v>61</v>
      </c>
      <c r="D401" s="1186" t="s">
        <v>39</v>
      </c>
      <c r="E401" s="1186">
        <v>63</v>
      </c>
      <c r="F401" s="1186">
        <v>82360</v>
      </c>
    </row>
    <row r="402" spans="1:6" x14ac:dyDescent="0.2">
      <c r="A402" s="1186" t="s">
        <v>20</v>
      </c>
      <c r="B402" s="1186" t="s">
        <v>823</v>
      </c>
      <c r="C402" s="1186" t="s">
        <v>61</v>
      </c>
      <c r="D402" s="1186" t="s">
        <v>40</v>
      </c>
      <c r="E402" s="1186">
        <v>74</v>
      </c>
      <c r="F402" s="1186">
        <v>93690</v>
      </c>
    </row>
    <row r="403" spans="1:6" x14ac:dyDescent="0.2">
      <c r="A403" s="1186" t="s">
        <v>20</v>
      </c>
      <c r="B403" s="1186" t="s">
        <v>823</v>
      </c>
      <c r="C403" s="1186" t="s">
        <v>61</v>
      </c>
      <c r="D403" s="1186" t="s">
        <v>295</v>
      </c>
      <c r="E403" s="1186">
        <v>16</v>
      </c>
      <c r="F403" s="1186">
        <v>27600</v>
      </c>
    </row>
    <row r="404" spans="1:6" x14ac:dyDescent="0.2">
      <c r="A404" s="1186" t="s">
        <v>20</v>
      </c>
      <c r="B404" s="1186" t="s">
        <v>823</v>
      </c>
      <c r="C404" s="1186" t="s">
        <v>61</v>
      </c>
      <c r="D404" s="1186" t="s">
        <v>41</v>
      </c>
      <c r="E404" s="1186">
        <v>147</v>
      </c>
      <c r="F404" s="1186">
        <v>137800</v>
      </c>
    </row>
    <row r="405" spans="1:6" x14ac:dyDescent="0.2">
      <c r="A405" s="1186" t="s">
        <v>20</v>
      </c>
      <c r="B405" s="1186" t="s">
        <v>823</v>
      </c>
      <c r="C405" s="1186" t="s">
        <v>61</v>
      </c>
      <c r="D405" s="1186" t="s">
        <v>42</v>
      </c>
      <c r="E405" s="1186">
        <v>280</v>
      </c>
      <c r="F405" s="1186">
        <v>336280</v>
      </c>
    </row>
    <row r="406" spans="1:6" x14ac:dyDescent="0.2">
      <c r="A406" s="1186" t="s">
        <v>20</v>
      </c>
      <c r="B406" s="1186" t="s">
        <v>823</v>
      </c>
      <c r="C406" s="1186" t="s">
        <v>61</v>
      </c>
      <c r="D406" s="1186" t="s">
        <v>43</v>
      </c>
      <c r="E406" s="1186">
        <v>9</v>
      </c>
      <c r="F406" s="1186">
        <v>21220</v>
      </c>
    </row>
    <row r="407" spans="1:6" x14ac:dyDescent="0.2">
      <c r="A407" s="1186" t="s">
        <v>20</v>
      </c>
      <c r="B407" s="1186" t="s">
        <v>823</v>
      </c>
      <c r="C407" s="1186" t="s">
        <v>61</v>
      </c>
      <c r="D407" s="1186" t="s">
        <v>44</v>
      </c>
      <c r="E407" s="1186">
        <v>135</v>
      </c>
      <c r="F407" s="1186">
        <v>145600</v>
      </c>
    </row>
    <row r="408" spans="1:6" x14ac:dyDescent="0.2">
      <c r="A408" s="1186" t="s">
        <v>20</v>
      </c>
      <c r="B408" s="1186" t="s">
        <v>823</v>
      </c>
      <c r="C408" s="1186" t="s">
        <v>61</v>
      </c>
      <c r="D408" s="1186" t="s">
        <v>45</v>
      </c>
      <c r="E408" s="1186">
        <v>184</v>
      </c>
      <c r="F408" s="1186">
        <v>173700</v>
      </c>
    </row>
    <row r="409" spans="1:6" x14ac:dyDescent="0.2">
      <c r="A409" s="1186" t="s">
        <v>20</v>
      </c>
      <c r="B409" s="1186" t="s">
        <v>823</v>
      </c>
      <c r="C409" s="1186" t="s">
        <v>61</v>
      </c>
      <c r="D409" s="1186" t="s">
        <v>46</v>
      </c>
      <c r="E409" s="1186">
        <v>100</v>
      </c>
      <c r="F409" s="1186">
        <v>113700</v>
      </c>
    </row>
    <row r="410" spans="1:6" x14ac:dyDescent="0.2">
      <c r="A410" s="1186" t="s">
        <v>20</v>
      </c>
      <c r="B410" s="1186" t="s">
        <v>823</v>
      </c>
      <c r="C410" s="1186" t="s">
        <v>61</v>
      </c>
      <c r="D410" s="1186" t="s">
        <v>47</v>
      </c>
      <c r="E410" s="1186">
        <v>9</v>
      </c>
      <c r="F410" s="1186">
        <v>23060</v>
      </c>
    </row>
    <row r="411" spans="1:6" x14ac:dyDescent="0.2">
      <c r="A411" s="1186" t="s">
        <v>20</v>
      </c>
      <c r="B411" s="1186" t="s">
        <v>823</v>
      </c>
      <c r="C411" s="1186" t="s">
        <v>61</v>
      </c>
      <c r="D411" s="1186" t="s">
        <v>48</v>
      </c>
      <c r="E411" s="1186">
        <v>96</v>
      </c>
      <c r="F411" s="1186">
        <v>112600</v>
      </c>
    </row>
    <row r="412" spans="1:6" x14ac:dyDescent="0.2">
      <c r="A412" s="1186" t="s">
        <v>20</v>
      </c>
      <c r="B412" s="1186" t="s">
        <v>823</v>
      </c>
      <c r="C412" s="1186" t="s">
        <v>61</v>
      </c>
      <c r="D412" s="1186" t="s">
        <v>49</v>
      </c>
      <c r="E412" s="1186">
        <v>255</v>
      </c>
      <c r="F412" s="1186">
        <v>313180</v>
      </c>
    </row>
    <row r="413" spans="1:6" x14ac:dyDescent="0.2">
      <c r="A413" s="1186" t="s">
        <v>20</v>
      </c>
      <c r="B413" s="1186" t="s">
        <v>823</v>
      </c>
      <c r="C413" s="1186" t="s">
        <v>61</v>
      </c>
      <c r="D413" s="1186" t="s">
        <v>50</v>
      </c>
      <c r="E413" s="1186">
        <v>71</v>
      </c>
      <c r="F413" s="1186">
        <v>89550</v>
      </c>
    </row>
    <row r="414" spans="1:6" x14ac:dyDescent="0.2">
      <c r="A414" s="1186" t="s">
        <v>20</v>
      </c>
      <c r="B414" s="1186" t="s">
        <v>823</v>
      </c>
      <c r="C414" s="1186" t="s">
        <v>61</v>
      </c>
      <c r="D414" s="1186" t="s">
        <v>51</v>
      </c>
      <c r="E414" s="1186">
        <v>115</v>
      </c>
      <c r="F414" s="1186">
        <v>90800</v>
      </c>
    </row>
    <row r="415" spans="1:6" x14ac:dyDescent="0.2">
      <c r="A415" s="1186" t="s">
        <v>20</v>
      </c>
      <c r="B415" s="1186" t="s">
        <v>823</v>
      </c>
      <c r="C415" s="1186" t="s">
        <v>61</v>
      </c>
      <c r="D415" s="1186" t="s">
        <v>52</v>
      </c>
      <c r="E415" s="1186">
        <v>176</v>
      </c>
      <c r="F415" s="1186">
        <v>174090</v>
      </c>
    </row>
    <row r="416" spans="1:6" x14ac:dyDescent="0.2">
      <c r="A416" s="1186" t="s">
        <v>20</v>
      </c>
      <c r="B416" s="1186" t="s">
        <v>823</v>
      </c>
      <c r="C416" s="1186" t="s">
        <v>116</v>
      </c>
      <c r="D416" s="1186" t="s">
        <v>23</v>
      </c>
      <c r="E416" s="1186">
        <v>73</v>
      </c>
      <c r="F416" s="1186">
        <v>219730</v>
      </c>
    </row>
    <row r="417" spans="1:6" x14ac:dyDescent="0.2">
      <c r="A417" s="1186" t="s">
        <v>20</v>
      </c>
      <c r="B417" s="1186" t="s">
        <v>823</v>
      </c>
      <c r="C417" s="1186" t="s">
        <v>116</v>
      </c>
      <c r="D417" s="1186" t="s">
        <v>24</v>
      </c>
      <c r="E417" s="1186">
        <v>11</v>
      </c>
      <c r="F417" s="1186">
        <v>251430</v>
      </c>
    </row>
    <row r="418" spans="1:6" x14ac:dyDescent="0.2">
      <c r="A418" s="1186" t="s">
        <v>20</v>
      </c>
      <c r="B418" s="1186" t="s">
        <v>823</v>
      </c>
      <c r="C418" s="1186" t="s">
        <v>116</v>
      </c>
      <c r="D418" s="1186" t="s">
        <v>25</v>
      </c>
      <c r="E418" s="1186">
        <v>8</v>
      </c>
      <c r="F418" s="1186">
        <v>115410</v>
      </c>
    </row>
    <row r="419" spans="1:6" x14ac:dyDescent="0.2">
      <c r="A419" s="1186" t="s">
        <v>20</v>
      </c>
      <c r="B419" s="1186" t="s">
        <v>823</v>
      </c>
      <c r="C419" s="1186" t="s">
        <v>116</v>
      </c>
      <c r="D419" s="1186" t="s">
        <v>26</v>
      </c>
      <c r="E419" s="1186">
        <v>17</v>
      </c>
      <c r="F419" s="1186">
        <v>88620</v>
      </c>
    </row>
    <row r="420" spans="1:6" x14ac:dyDescent="0.2">
      <c r="A420" s="1186" t="s">
        <v>20</v>
      </c>
      <c r="B420" s="1186" t="s">
        <v>823</v>
      </c>
      <c r="C420" s="1186" t="s">
        <v>116</v>
      </c>
      <c r="D420" s="1186" t="s">
        <v>619</v>
      </c>
      <c r="E420" s="1186">
        <v>135</v>
      </c>
      <c r="F420" s="1186">
        <v>469930</v>
      </c>
    </row>
    <row r="421" spans="1:6" x14ac:dyDescent="0.2">
      <c r="A421" s="1186" t="s">
        <v>20</v>
      </c>
      <c r="B421" s="1186" t="s">
        <v>823</v>
      </c>
      <c r="C421" s="1186" t="s">
        <v>116</v>
      </c>
      <c r="D421" s="1186" t="s">
        <v>27</v>
      </c>
      <c r="E421" s="1186">
        <v>12</v>
      </c>
      <c r="F421" s="1186">
        <v>51330</v>
      </c>
    </row>
    <row r="422" spans="1:6" x14ac:dyDescent="0.2">
      <c r="A422" s="1186" t="s">
        <v>20</v>
      </c>
      <c r="B422" s="1186" t="s">
        <v>823</v>
      </c>
      <c r="C422" s="1186" t="s">
        <v>116</v>
      </c>
      <c r="D422" s="1186" t="s">
        <v>28</v>
      </c>
      <c r="E422" s="1186">
        <v>16</v>
      </c>
      <c r="F422" s="1186">
        <v>151100</v>
      </c>
    </row>
    <row r="423" spans="1:6" x14ac:dyDescent="0.2">
      <c r="A423" s="1186" t="s">
        <v>20</v>
      </c>
      <c r="B423" s="1186" t="s">
        <v>823</v>
      </c>
      <c r="C423" s="1186" t="s">
        <v>116</v>
      </c>
      <c r="D423" s="1186" t="s">
        <v>29</v>
      </c>
      <c r="E423" s="1186">
        <v>38</v>
      </c>
      <c r="F423" s="1186">
        <v>146060</v>
      </c>
    </row>
    <row r="424" spans="1:6" x14ac:dyDescent="0.2">
      <c r="A424" s="1186" t="s">
        <v>20</v>
      </c>
      <c r="B424" s="1186" t="s">
        <v>823</v>
      </c>
      <c r="C424" s="1186" t="s">
        <v>116</v>
      </c>
      <c r="D424" s="1186" t="s">
        <v>30</v>
      </c>
      <c r="E424" s="1186">
        <v>26</v>
      </c>
      <c r="F424" s="1186">
        <v>122410</v>
      </c>
    </row>
    <row r="425" spans="1:6" x14ac:dyDescent="0.2">
      <c r="A425" s="1186" t="s">
        <v>20</v>
      </c>
      <c r="B425" s="1186" t="s">
        <v>823</v>
      </c>
      <c r="C425" s="1186" t="s">
        <v>116</v>
      </c>
      <c r="D425" s="1186" t="s">
        <v>31</v>
      </c>
      <c r="E425" s="1186">
        <v>5</v>
      </c>
      <c r="F425" s="1186">
        <v>104920</v>
      </c>
    </row>
    <row r="426" spans="1:6" x14ac:dyDescent="0.2">
      <c r="A426" s="1186" t="s">
        <v>20</v>
      </c>
      <c r="B426" s="1186" t="s">
        <v>823</v>
      </c>
      <c r="C426" s="1186" t="s">
        <v>116</v>
      </c>
      <c r="D426" s="1186" t="s">
        <v>32</v>
      </c>
      <c r="E426" s="1186">
        <v>7</v>
      </c>
      <c r="F426" s="1186">
        <v>99140</v>
      </c>
    </row>
    <row r="427" spans="1:6" x14ac:dyDescent="0.2">
      <c r="A427" s="1186" t="s">
        <v>20</v>
      </c>
      <c r="B427" s="1186" t="s">
        <v>823</v>
      </c>
      <c r="C427" s="1186" t="s">
        <v>116</v>
      </c>
      <c r="D427" s="1186" t="s">
        <v>33</v>
      </c>
      <c r="E427" s="1186">
        <v>7</v>
      </c>
      <c r="F427" s="1186">
        <v>90410</v>
      </c>
    </row>
    <row r="428" spans="1:6" x14ac:dyDescent="0.2">
      <c r="A428" s="1186" t="s">
        <v>20</v>
      </c>
      <c r="B428" s="1186" t="s">
        <v>823</v>
      </c>
      <c r="C428" s="1186" t="s">
        <v>116</v>
      </c>
      <c r="D428" s="1186" t="s">
        <v>34</v>
      </c>
      <c r="E428" s="1186">
        <v>17</v>
      </c>
      <c r="F428" s="1186">
        <v>155130</v>
      </c>
    </row>
    <row r="429" spans="1:6" x14ac:dyDescent="0.2">
      <c r="A429" s="1186" t="s">
        <v>20</v>
      </c>
      <c r="B429" s="1186" t="s">
        <v>823</v>
      </c>
      <c r="C429" s="1186" t="s">
        <v>116</v>
      </c>
      <c r="D429" s="1186" t="s">
        <v>35</v>
      </c>
      <c r="E429" s="1186">
        <v>44</v>
      </c>
      <c r="F429" s="1186">
        <v>362610</v>
      </c>
    </row>
    <row r="430" spans="1:6" x14ac:dyDescent="0.2">
      <c r="A430" s="1186" t="s">
        <v>20</v>
      </c>
      <c r="B430" s="1186" t="s">
        <v>823</v>
      </c>
      <c r="C430" s="1186" t="s">
        <v>116</v>
      </c>
      <c r="D430" s="1186" t="s">
        <v>36</v>
      </c>
      <c r="E430" s="1186">
        <v>256</v>
      </c>
      <c r="F430" s="1186">
        <v>586500</v>
      </c>
    </row>
    <row r="431" spans="1:6" x14ac:dyDescent="0.2">
      <c r="A431" s="1186" t="s">
        <v>20</v>
      </c>
      <c r="B431" s="1186" t="s">
        <v>823</v>
      </c>
      <c r="C431" s="1186" t="s">
        <v>116</v>
      </c>
      <c r="D431" s="1186" t="s">
        <v>37</v>
      </c>
      <c r="E431" s="1186">
        <v>11</v>
      </c>
      <c r="F431" s="1186">
        <v>230730</v>
      </c>
    </row>
    <row r="432" spans="1:6" x14ac:dyDescent="0.2">
      <c r="A432" s="1186" t="s">
        <v>20</v>
      </c>
      <c r="B432" s="1186" t="s">
        <v>823</v>
      </c>
      <c r="C432" s="1186" t="s">
        <v>116</v>
      </c>
      <c r="D432" s="1186" t="s">
        <v>38</v>
      </c>
      <c r="E432" s="1186">
        <v>50</v>
      </c>
      <c r="F432" s="1186">
        <v>81510</v>
      </c>
    </row>
    <row r="433" spans="1:6" x14ac:dyDescent="0.2">
      <c r="A433" s="1186" t="s">
        <v>20</v>
      </c>
      <c r="B433" s="1186" t="s">
        <v>823</v>
      </c>
      <c r="C433" s="1186" t="s">
        <v>116</v>
      </c>
      <c r="D433" s="1186" t="s">
        <v>39</v>
      </c>
      <c r="E433" s="1186">
        <v>10</v>
      </c>
      <c r="F433" s="1186">
        <v>82360</v>
      </c>
    </row>
    <row r="434" spans="1:6" x14ac:dyDescent="0.2">
      <c r="A434" s="1186" t="s">
        <v>20</v>
      </c>
      <c r="B434" s="1186" t="s">
        <v>823</v>
      </c>
      <c r="C434" s="1186" t="s">
        <v>116</v>
      </c>
      <c r="D434" s="1186" t="s">
        <v>40</v>
      </c>
      <c r="E434" s="1186">
        <v>2</v>
      </c>
      <c r="F434" s="1186">
        <v>93690</v>
      </c>
    </row>
    <row r="435" spans="1:6" x14ac:dyDescent="0.2">
      <c r="A435" s="1186" t="s">
        <v>20</v>
      </c>
      <c r="B435" s="1186" t="s">
        <v>823</v>
      </c>
      <c r="C435" s="1186" t="s">
        <v>116</v>
      </c>
      <c r="D435" s="1186" t="s">
        <v>295</v>
      </c>
      <c r="E435" s="1186">
        <v>1</v>
      </c>
      <c r="F435" s="1186">
        <v>27600</v>
      </c>
    </row>
    <row r="436" spans="1:6" x14ac:dyDescent="0.2">
      <c r="A436" s="1186" t="s">
        <v>20</v>
      </c>
      <c r="B436" s="1186" t="s">
        <v>823</v>
      </c>
      <c r="C436" s="1186" t="s">
        <v>116</v>
      </c>
      <c r="D436" s="1186" t="s">
        <v>41</v>
      </c>
      <c r="E436" s="1186">
        <v>20</v>
      </c>
      <c r="F436" s="1186">
        <v>137800</v>
      </c>
    </row>
    <row r="437" spans="1:6" x14ac:dyDescent="0.2">
      <c r="A437" s="1186" t="s">
        <v>20</v>
      </c>
      <c r="B437" s="1186" t="s">
        <v>823</v>
      </c>
      <c r="C437" s="1186" t="s">
        <v>116</v>
      </c>
      <c r="D437" s="1186" t="s">
        <v>42</v>
      </c>
      <c r="E437" s="1186">
        <v>90</v>
      </c>
      <c r="F437" s="1186">
        <v>336280</v>
      </c>
    </row>
    <row r="438" spans="1:6" x14ac:dyDescent="0.2">
      <c r="A438" s="1186" t="s">
        <v>20</v>
      </c>
      <c r="B438" s="1186" t="s">
        <v>823</v>
      </c>
      <c r="C438" s="1186" t="s">
        <v>116</v>
      </c>
      <c r="D438" s="1186" t="s">
        <v>44</v>
      </c>
      <c r="E438" s="1186">
        <v>3</v>
      </c>
      <c r="F438" s="1186">
        <v>145600</v>
      </c>
    </row>
    <row r="439" spans="1:6" x14ac:dyDescent="0.2">
      <c r="A439" s="1186" t="s">
        <v>20</v>
      </c>
      <c r="B439" s="1186" t="s">
        <v>823</v>
      </c>
      <c r="C439" s="1186" t="s">
        <v>116</v>
      </c>
      <c r="D439" s="1186" t="s">
        <v>45</v>
      </c>
      <c r="E439" s="1186">
        <v>62</v>
      </c>
      <c r="F439" s="1186">
        <v>173700</v>
      </c>
    </row>
    <row r="440" spans="1:6" x14ac:dyDescent="0.2">
      <c r="A440" s="1186" t="s">
        <v>20</v>
      </c>
      <c r="B440" s="1186" t="s">
        <v>823</v>
      </c>
      <c r="C440" s="1186" t="s">
        <v>116</v>
      </c>
      <c r="D440" s="1186" t="s">
        <v>46</v>
      </c>
      <c r="E440" s="1186">
        <v>13</v>
      </c>
      <c r="F440" s="1186">
        <v>113700</v>
      </c>
    </row>
    <row r="441" spans="1:6" x14ac:dyDescent="0.2">
      <c r="A441" s="1186" t="s">
        <v>20</v>
      </c>
      <c r="B441" s="1186" t="s">
        <v>823</v>
      </c>
      <c r="C441" s="1186" t="s">
        <v>116</v>
      </c>
      <c r="D441" s="1186" t="s">
        <v>47</v>
      </c>
      <c r="E441" s="1186">
        <v>1</v>
      </c>
      <c r="F441" s="1186">
        <v>23060</v>
      </c>
    </row>
    <row r="442" spans="1:6" x14ac:dyDescent="0.2">
      <c r="A442" s="1186" t="s">
        <v>20</v>
      </c>
      <c r="B442" s="1186" t="s">
        <v>823</v>
      </c>
      <c r="C442" s="1186" t="s">
        <v>116</v>
      </c>
      <c r="D442" s="1186" t="s">
        <v>48</v>
      </c>
      <c r="E442" s="1186">
        <v>11</v>
      </c>
      <c r="F442" s="1186">
        <v>112600</v>
      </c>
    </row>
    <row r="443" spans="1:6" x14ac:dyDescent="0.2">
      <c r="A443" s="1186" t="s">
        <v>20</v>
      </c>
      <c r="B443" s="1186" t="s">
        <v>823</v>
      </c>
      <c r="C443" s="1186" t="s">
        <v>116</v>
      </c>
      <c r="D443" s="1186" t="s">
        <v>49</v>
      </c>
      <c r="E443" s="1186">
        <v>61</v>
      </c>
      <c r="F443" s="1186">
        <v>313180</v>
      </c>
    </row>
    <row r="444" spans="1:6" x14ac:dyDescent="0.2">
      <c r="A444" s="1186" t="s">
        <v>20</v>
      </c>
      <c r="B444" s="1186" t="s">
        <v>823</v>
      </c>
      <c r="C444" s="1186" t="s">
        <v>116</v>
      </c>
      <c r="D444" s="1186" t="s">
        <v>50</v>
      </c>
      <c r="E444" s="1186">
        <v>4</v>
      </c>
      <c r="F444" s="1186">
        <v>89550</v>
      </c>
    </row>
    <row r="445" spans="1:6" x14ac:dyDescent="0.2">
      <c r="A445" s="1186" t="s">
        <v>20</v>
      </c>
      <c r="B445" s="1186" t="s">
        <v>823</v>
      </c>
      <c r="C445" s="1186" t="s">
        <v>116</v>
      </c>
      <c r="D445" s="1186" t="s">
        <v>51</v>
      </c>
      <c r="E445" s="1186">
        <v>36</v>
      </c>
      <c r="F445" s="1186">
        <v>90800</v>
      </c>
    </row>
    <row r="446" spans="1:6" x14ac:dyDescent="0.2">
      <c r="A446" s="1186" t="s">
        <v>20</v>
      </c>
      <c r="B446" s="1186" t="s">
        <v>823</v>
      </c>
      <c r="C446" s="1186" t="s">
        <v>116</v>
      </c>
      <c r="D446" s="1186" t="s">
        <v>52</v>
      </c>
      <c r="E446" s="1186">
        <v>37</v>
      </c>
      <c r="F446" s="1186">
        <v>174090</v>
      </c>
    </row>
    <row r="447" spans="1:6" x14ac:dyDescent="0.2">
      <c r="A447" s="1186" t="s">
        <v>20</v>
      </c>
      <c r="B447" s="1186" t="s">
        <v>824</v>
      </c>
      <c r="C447" s="1186" t="s">
        <v>61</v>
      </c>
      <c r="D447" s="1186" t="s">
        <v>23</v>
      </c>
      <c r="E447" s="1186">
        <v>109</v>
      </c>
      <c r="F447" s="1186">
        <v>219730</v>
      </c>
    </row>
    <row r="448" spans="1:6" x14ac:dyDescent="0.2">
      <c r="A448" s="1186" t="s">
        <v>20</v>
      </c>
      <c r="B448" s="1186" t="s">
        <v>824</v>
      </c>
      <c r="C448" s="1186" t="s">
        <v>61</v>
      </c>
      <c r="D448" s="1186" t="s">
        <v>24</v>
      </c>
      <c r="E448" s="1186">
        <v>89</v>
      </c>
      <c r="F448" s="1186">
        <v>251430</v>
      </c>
    </row>
    <row r="449" spans="1:6" x14ac:dyDescent="0.2">
      <c r="A449" s="1186" t="s">
        <v>20</v>
      </c>
      <c r="B449" s="1186" t="s">
        <v>824</v>
      </c>
      <c r="C449" s="1186" t="s">
        <v>61</v>
      </c>
      <c r="D449" s="1186" t="s">
        <v>25</v>
      </c>
      <c r="E449" s="1186">
        <v>35</v>
      </c>
      <c r="F449" s="1186">
        <v>115410</v>
      </c>
    </row>
    <row r="450" spans="1:6" x14ac:dyDescent="0.2">
      <c r="A450" s="1186" t="s">
        <v>20</v>
      </c>
      <c r="B450" s="1186" t="s">
        <v>824</v>
      </c>
      <c r="C450" s="1186" t="s">
        <v>61</v>
      </c>
      <c r="D450" s="1186" t="s">
        <v>26</v>
      </c>
      <c r="E450" s="1186">
        <v>53</v>
      </c>
      <c r="F450" s="1186">
        <v>88620</v>
      </c>
    </row>
    <row r="451" spans="1:6" x14ac:dyDescent="0.2">
      <c r="A451" s="1186" t="s">
        <v>20</v>
      </c>
      <c r="B451" s="1186" t="s">
        <v>824</v>
      </c>
      <c r="C451" s="1186" t="s">
        <v>61</v>
      </c>
      <c r="D451" s="1186" t="s">
        <v>619</v>
      </c>
      <c r="E451" s="1186">
        <v>245</v>
      </c>
      <c r="F451" s="1186">
        <v>469930</v>
      </c>
    </row>
    <row r="452" spans="1:6" x14ac:dyDescent="0.2">
      <c r="A452" s="1186" t="s">
        <v>20</v>
      </c>
      <c r="B452" s="1186" t="s">
        <v>824</v>
      </c>
      <c r="C452" s="1186" t="s">
        <v>61</v>
      </c>
      <c r="D452" s="1186" t="s">
        <v>27</v>
      </c>
      <c r="E452" s="1186">
        <v>19</v>
      </c>
      <c r="F452" s="1186">
        <v>51330</v>
      </c>
    </row>
    <row r="453" spans="1:6" x14ac:dyDescent="0.2">
      <c r="A453" s="1186" t="s">
        <v>20</v>
      </c>
      <c r="B453" s="1186" t="s">
        <v>824</v>
      </c>
      <c r="C453" s="1186" t="s">
        <v>61</v>
      </c>
      <c r="D453" s="1186" t="s">
        <v>28</v>
      </c>
      <c r="E453" s="1186">
        <v>54</v>
      </c>
      <c r="F453" s="1186">
        <v>151100</v>
      </c>
    </row>
    <row r="454" spans="1:6" x14ac:dyDescent="0.2">
      <c r="A454" s="1186" t="s">
        <v>20</v>
      </c>
      <c r="B454" s="1186" t="s">
        <v>824</v>
      </c>
      <c r="C454" s="1186" t="s">
        <v>61</v>
      </c>
      <c r="D454" s="1186" t="s">
        <v>29</v>
      </c>
      <c r="E454" s="1186">
        <v>86</v>
      </c>
      <c r="F454" s="1186">
        <v>146060</v>
      </c>
    </row>
    <row r="455" spans="1:6" x14ac:dyDescent="0.2">
      <c r="A455" s="1186" t="s">
        <v>20</v>
      </c>
      <c r="B455" s="1186" t="s">
        <v>824</v>
      </c>
      <c r="C455" s="1186" t="s">
        <v>61</v>
      </c>
      <c r="D455" s="1186" t="s">
        <v>30</v>
      </c>
      <c r="E455" s="1186">
        <v>23</v>
      </c>
      <c r="F455" s="1186">
        <v>122410</v>
      </c>
    </row>
    <row r="456" spans="1:6" x14ac:dyDescent="0.2">
      <c r="A456" s="1186" t="s">
        <v>20</v>
      </c>
      <c r="B456" s="1186" t="s">
        <v>824</v>
      </c>
      <c r="C456" s="1186" t="s">
        <v>61</v>
      </c>
      <c r="D456" s="1186" t="s">
        <v>31</v>
      </c>
      <c r="E456" s="1186">
        <v>24</v>
      </c>
      <c r="F456" s="1186">
        <v>104920</v>
      </c>
    </row>
    <row r="457" spans="1:6" x14ac:dyDescent="0.2">
      <c r="A457" s="1186" t="s">
        <v>20</v>
      </c>
      <c r="B457" s="1186" t="s">
        <v>824</v>
      </c>
      <c r="C457" s="1186" t="s">
        <v>61</v>
      </c>
      <c r="D457" s="1186" t="s">
        <v>32</v>
      </c>
      <c r="E457" s="1186">
        <v>33</v>
      </c>
      <c r="F457" s="1186">
        <v>99140</v>
      </c>
    </row>
    <row r="458" spans="1:6" x14ac:dyDescent="0.2">
      <c r="A458" s="1186" t="s">
        <v>20</v>
      </c>
      <c r="B458" s="1186" t="s">
        <v>824</v>
      </c>
      <c r="C458" s="1186" t="s">
        <v>61</v>
      </c>
      <c r="D458" s="1186" t="s">
        <v>33</v>
      </c>
      <c r="E458" s="1186">
        <v>17</v>
      </c>
      <c r="F458" s="1186">
        <v>90410</v>
      </c>
    </row>
    <row r="459" spans="1:6" x14ac:dyDescent="0.2">
      <c r="A459" s="1186" t="s">
        <v>20</v>
      </c>
      <c r="B459" s="1186" t="s">
        <v>824</v>
      </c>
      <c r="C459" s="1186" t="s">
        <v>61</v>
      </c>
      <c r="D459" s="1186" t="s">
        <v>34</v>
      </c>
      <c r="E459" s="1186">
        <v>58</v>
      </c>
      <c r="F459" s="1186">
        <v>155130</v>
      </c>
    </row>
    <row r="460" spans="1:6" x14ac:dyDescent="0.2">
      <c r="A460" s="1186" t="s">
        <v>20</v>
      </c>
      <c r="B460" s="1186" t="s">
        <v>824</v>
      </c>
      <c r="C460" s="1186" t="s">
        <v>61</v>
      </c>
      <c r="D460" s="1186" t="s">
        <v>35</v>
      </c>
      <c r="E460" s="1186">
        <v>105</v>
      </c>
      <c r="F460" s="1186">
        <v>362610</v>
      </c>
    </row>
    <row r="461" spans="1:6" x14ac:dyDescent="0.2">
      <c r="A461" s="1186" t="s">
        <v>20</v>
      </c>
      <c r="B461" s="1186" t="s">
        <v>824</v>
      </c>
      <c r="C461" s="1186" t="s">
        <v>61</v>
      </c>
      <c r="D461" s="1186" t="s">
        <v>36</v>
      </c>
      <c r="E461" s="1186">
        <v>319</v>
      </c>
      <c r="F461" s="1186">
        <v>586500</v>
      </c>
    </row>
    <row r="462" spans="1:6" x14ac:dyDescent="0.2">
      <c r="A462" s="1186" t="s">
        <v>20</v>
      </c>
      <c r="B462" s="1186" t="s">
        <v>824</v>
      </c>
      <c r="C462" s="1186" t="s">
        <v>61</v>
      </c>
      <c r="D462" s="1186" t="s">
        <v>37</v>
      </c>
      <c r="E462" s="1186">
        <v>82</v>
      </c>
      <c r="F462" s="1186">
        <v>230730</v>
      </c>
    </row>
    <row r="463" spans="1:6" x14ac:dyDescent="0.2">
      <c r="A463" s="1186" t="s">
        <v>20</v>
      </c>
      <c r="B463" s="1186" t="s">
        <v>824</v>
      </c>
      <c r="C463" s="1186" t="s">
        <v>61</v>
      </c>
      <c r="D463" s="1186" t="s">
        <v>38</v>
      </c>
      <c r="E463" s="1186">
        <v>31</v>
      </c>
      <c r="F463" s="1186">
        <v>81510</v>
      </c>
    </row>
    <row r="464" spans="1:6" x14ac:dyDescent="0.2">
      <c r="A464" s="1186" t="s">
        <v>20</v>
      </c>
      <c r="B464" s="1186" t="s">
        <v>824</v>
      </c>
      <c r="C464" s="1186" t="s">
        <v>61</v>
      </c>
      <c r="D464" s="1186" t="s">
        <v>39</v>
      </c>
      <c r="E464" s="1186">
        <v>24</v>
      </c>
      <c r="F464" s="1186">
        <v>82360</v>
      </c>
    </row>
    <row r="465" spans="1:6" x14ac:dyDescent="0.2">
      <c r="A465" s="1186" t="s">
        <v>20</v>
      </c>
      <c r="B465" s="1186" t="s">
        <v>824</v>
      </c>
      <c r="C465" s="1186" t="s">
        <v>61</v>
      </c>
      <c r="D465" s="1186" t="s">
        <v>40</v>
      </c>
      <c r="E465" s="1186">
        <v>36</v>
      </c>
      <c r="F465" s="1186">
        <v>93690</v>
      </c>
    </row>
    <row r="466" spans="1:6" x14ac:dyDescent="0.2">
      <c r="A466" s="1186" t="s">
        <v>20</v>
      </c>
      <c r="B466" s="1186" t="s">
        <v>824</v>
      </c>
      <c r="C466" s="1186" t="s">
        <v>61</v>
      </c>
      <c r="D466" s="1186" t="s">
        <v>295</v>
      </c>
      <c r="E466" s="1186">
        <v>8</v>
      </c>
      <c r="F466" s="1186">
        <v>27600</v>
      </c>
    </row>
    <row r="467" spans="1:6" x14ac:dyDescent="0.2">
      <c r="A467" s="1186" t="s">
        <v>20</v>
      </c>
      <c r="B467" s="1186" t="s">
        <v>824</v>
      </c>
      <c r="C467" s="1186" t="s">
        <v>61</v>
      </c>
      <c r="D467" s="1186" t="s">
        <v>41</v>
      </c>
      <c r="E467" s="1186">
        <v>39</v>
      </c>
      <c r="F467" s="1186">
        <v>137800</v>
      </c>
    </row>
    <row r="468" spans="1:6" x14ac:dyDescent="0.2">
      <c r="A468" s="1186" t="s">
        <v>20</v>
      </c>
      <c r="B468" s="1186" t="s">
        <v>824</v>
      </c>
      <c r="C468" s="1186" t="s">
        <v>61</v>
      </c>
      <c r="D468" s="1186" t="s">
        <v>42</v>
      </c>
      <c r="E468" s="1186">
        <v>76</v>
      </c>
      <c r="F468" s="1186">
        <v>336280</v>
      </c>
    </row>
    <row r="469" spans="1:6" x14ac:dyDescent="0.2">
      <c r="A469" s="1186" t="s">
        <v>20</v>
      </c>
      <c r="B469" s="1186" t="s">
        <v>824</v>
      </c>
      <c r="C469" s="1186" t="s">
        <v>61</v>
      </c>
      <c r="D469" s="1186" t="s">
        <v>43</v>
      </c>
      <c r="E469" s="1186">
        <v>5</v>
      </c>
      <c r="F469" s="1186">
        <v>21220</v>
      </c>
    </row>
    <row r="470" spans="1:6" x14ac:dyDescent="0.2">
      <c r="A470" s="1186" t="s">
        <v>20</v>
      </c>
      <c r="B470" s="1186" t="s">
        <v>824</v>
      </c>
      <c r="C470" s="1186" t="s">
        <v>61</v>
      </c>
      <c r="D470" s="1186" t="s">
        <v>44</v>
      </c>
      <c r="E470" s="1186">
        <v>61</v>
      </c>
      <c r="F470" s="1186">
        <v>145600</v>
      </c>
    </row>
    <row r="471" spans="1:6" x14ac:dyDescent="0.2">
      <c r="A471" s="1186" t="s">
        <v>20</v>
      </c>
      <c r="B471" s="1186" t="s">
        <v>824</v>
      </c>
      <c r="C471" s="1186" t="s">
        <v>61</v>
      </c>
      <c r="D471" s="1186" t="s">
        <v>45</v>
      </c>
      <c r="E471" s="1186">
        <v>62</v>
      </c>
      <c r="F471" s="1186">
        <v>173700</v>
      </c>
    </row>
    <row r="472" spans="1:6" x14ac:dyDescent="0.2">
      <c r="A472" s="1186" t="s">
        <v>20</v>
      </c>
      <c r="B472" s="1186" t="s">
        <v>824</v>
      </c>
      <c r="C472" s="1186" t="s">
        <v>61</v>
      </c>
      <c r="D472" s="1186" t="s">
        <v>46</v>
      </c>
      <c r="E472" s="1186">
        <v>40</v>
      </c>
      <c r="F472" s="1186">
        <v>113700</v>
      </c>
    </row>
    <row r="473" spans="1:6" x14ac:dyDescent="0.2">
      <c r="A473" s="1186" t="s">
        <v>20</v>
      </c>
      <c r="B473" s="1186" t="s">
        <v>824</v>
      </c>
      <c r="C473" s="1186" t="s">
        <v>61</v>
      </c>
      <c r="D473" s="1186" t="s">
        <v>47</v>
      </c>
      <c r="E473" s="1186">
        <v>2</v>
      </c>
      <c r="F473" s="1186">
        <v>23060</v>
      </c>
    </row>
    <row r="474" spans="1:6" x14ac:dyDescent="0.2">
      <c r="A474" s="1186" t="s">
        <v>20</v>
      </c>
      <c r="B474" s="1186" t="s">
        <v>824</v>
      </c>
      <c r="C474" s="1186" t="s">
        <v>61</v>
      </c>
      <c r="D474" s="1186" t="s">
        <v>48</v>
      </c>
      <c r="E474" s="1186">
        <v>39</v>
      </c>
      <c r="F474" s="1186">
        <v>112600</v>
      </c>
    </row>
    <row r="475" spans="1:6" x14ac:dyDescent="0.2">
      <c r="A475" s="1186" t="s">
        <v>20</v>
      </c>
      <c r="B475" s="1186" t="s">
        <v>824</v>
      </c>
      <c r="C475" s="1186" t="s">
        <v>61</v>
      </c>
      <c r="D475" s="1186" t="s">
        <v>49</v>
      </c>
      <c r="E475" s="1186">
        <v>88</v>
      </c>
      <c r="F475" s="1186">
        <v>313180</v>
      </c>
    </row>
    <row r="476" spans="1:6" x14ac:dyDescent="0.2">
      <c r="A476" s="1186" t="s">
        <v>20</v>
      </c>
      <c r="B476" s="1186" t="s">
        <v>824</v>
      </c>
      <c r="C476" s="1186" t="s">
        <v>61</v>
      </c>
      <c r="D476" s="1186" t="s">
        <v>50</v>
      </c>
      <c r="E476" s="1186">
        <v>46</v>
      </c>
      <c r="F476" s="1186">
        <v>89550</v>
      </c>
    </row>
    <row r="477" spans="1:6" x14ac:dyDescent="0.2">
      <c r="A477" s="1186" t="s">
        <v>20</v>
      </c>
      <c r="B477" s="1186" t="s">
        <v>824</v>
      </c>
      <c r="C477" s="1186" t="s">
        <v>61</v>
      </c>
      <c r="D477" s="1186" t="s">
        <v>51</v>
      </c>
      <c r="E477" s="1186">
        <v>25</v>
      </c>
      <c r="F477" s="1186">
        <v>90800</v>
      </c>
    </row>
    <row r="478" spans="1:6" x14ac:dyDescent="0.2">
      <c r="A478" s="1186" t="s">
        <v>20</v>
      </c>
      <c r="B478" s="1186" t="s">
        <v>824</v>
      </c>
      <c r="C478" s="1186" t="s">
        <v>61</v>
      </c>
      <c r="D478" s="1186" t="s">
        <v>52</v>
      </c>
      <c r="E478" s="1186">
        <v>47</v>
      </c>
      <c r="F478" s="1186">
        <v>174090</v>
      </c>
    </row>
    <row r="479" spans="1:6" x14ac:dyDescent="0.2">
      <c r="A479" s="1186" t="s">
        <v>20</v>
      </c>
      <c r="B479" s="1186" t="s">
        <v>824</v>
      </c>
      <c r="C479" s="1186" t="s">
        <v>116</v>
      </c>
      <c r="D479" s="1186" t="s">
        <v>23</v>
      </c>
      <c r="E479" s="1186">
        <v>30</v>
      </c>
      <c r="F479" s="1186">
        <v>219730</v>
      </c>
    </row>
    <row r="480" spans="1:6" x14ac:dyDescent="0.2">
      <c r="A480" s="1186" t="s">
        <v>20</v>
      </c>
      <c r="B480" s="1186" t="s">
        <v>824</v>
      </c>
      <c r="C480" s="1186" t="s">
        <v>116</v>
      </c>
      <c r="D480" s="1186" t="s">
        <v>24</v>
      </c>
      <c r="E480" s="1186">
        <v>17</v>
      </c>
      <c r="F480" s="1186">
        <v>251430</v>
      </c>
    </row>
    <row r="481" spans="1:6" x14ac:dyDescent="0.2">
      <c r="A481" s="1186" t="s">
        <v>20</v>
      </c>
      <c r="B481" s="1186" t="s">
        <v>824</v>
      </c>
      <c r="C481" s="1186" t="s">
        <v>116</v>
      </c>
      <c r="D481" s="1186" t="s">
        <v>25</v>
      </c>
      <c r="E481" s="1186">
        <v>3</v>
      </c>
      <c r="F481" s="1186">
        <v>115410</v>
      </c>
    </row>
    <row r="482" spans="1:6" x14ac:dyDescent="0.2">
      <c r="A482" s="1186" t="s">
        <v>20</v>
      </c>
      <c r="B482" s="1186" t="s">
        <v>824</v>
      </c>
      <c r="C482" s="1186" t="s">
        <v>116</v>
      </c>
      <c r="D482" s="1186" t="s">
        <v>26</v>
      </c>
      <c r="E482" s="1186">
        <v>9</v>
      </c>
      <c r="F482" s="1186">
        <v>88620</v>
      </c>
    </row>
    <row r="483" spans="1:6" x14ac:dyDescent="0.2">
      <c r="A483" s="1186" t="s">
        <v>20</v>
      </c>
      <c r="B483" s="1186" t="s">
        <v>824</v>
      </c>
      <c r="C483" s="1186" t="s">
        <v>116</v>
      </c>
      <c r="D483" s="1186" t="s">
        <v>619</v>
      </c>
      <c r="E483" s="1186">
        <v>88</v>
      </c>
      <c r="F483" s="1186">
        <v>469930</v>
      </c>
    </row>
    <row r="484" spans="1:6" x14ac:dyDescent="0.2">
      <c r="A484" s="1186" t="s">
        <v>20</v>
      </c>
      <c r="B484" s="1186" t="s">
        <v>824</v>
      </c>
      <c r="C484" s="1186" t="s">
        <v>116</v>
      </c>
      <c r="D484" s="1186" t="s">
        <v>27</v>
      </c>
      <c r="E484" s="1186">
        <v>6</v>
      </c>
      <c r="F484" s="1186">
        <v>51330</v>
      </c>
    </row>
    <row r="485" spans="1:6" x14ac:dyDescent="0.2">
      <c r="A485" s="1186" t="s">
        <v>20</v>
      </c>
      <c r="B485" s="1186" t="s">
        <v>824</v>
      </c>
      <c r="C485" s="1186" t="s">
        <v>116</v>
      </c>
      <c r="D485" s="1186" t="s">
        <v>28</v>
      </c>
      <c r="E485" s="1186">
        <v>27</v>
      </c>
      <c r="F485" s="1186">
        <v>151100</v>
      </c>
    </row>
    <row r="486" spans="1:6" x14ac:dyDescent="0.2">
      <c r="A486" s="1186" t="s">
        <v>20</v>
      </c>
      <c r="B486" s="1186" t="s">
        <v>824</v>
      </c>
      <c r="C486" s="1186" t="s">
        <v>116</v>
      </c>
      <c r="D486" s="1186" t="s">
        <v>29</v>
      </c>
      <c r="E486" s="1186">
        <v>17</v>
      </c>
      <c r="F486" s="1186">
        <v>146060</v>
      </c>
    </row>
    <row r="487" spans="1:6" x14ac:dyDescent="0.2">
      <c r="A487" s="1186" t="s">
        <v>20</v>
      </c>
      <c r="B487" s="1186" t="s">
        <v>824</v>
      </c>
      <c r="C487" s="1186" t="s">
        <v>116</v>
      </c>
      <c r="D487" s="1186" t="s">
        <v>30</v>
      </c>
      <c r="E487" s="1186">
        <v>21</v>
      </c>
      <c r="F487" s="1186">
        <v>122410</v>
      </c>
    </row>
    <row r="488" spans="1:6" x14ac:dyDescent="0.2">
      <c r="A488" s="1186" t="s">
        <v>20</v>
      </c>
      <c r="B488" s="1186" t="s">
        <v>824</v>
      </c>
      <c r="C488" s="1186" t="s">
        <v>116</v>
      </c>
      <c r="D488" s="1186" t="s">
        <v>31</v>
      </c>
      <c r="E488" s="1186">
        <v>13</v>
      </c>
      <c r="F488" s="1186">
        <v>104920</v>
      </c>
    </row>
    <row r="489" spans="1:6" x14ac:dyDescent="0.2">
      <c r="A489" s="1186" t="s">
        <v>20</v>
      </c>
      <c r="B489" s="1186" t="s">
        <v>824</v>
      </c>
      <c r="C489" s="1186" t="s">
        <v>116</v>
      </c>
      <c r="D489" s="1186" t="s">
        <v>32</v>
      </c>
      <c r="E489" s="1186">
        <v>8</v>
      </c>
      <c r="F489" s="1186">
        <v>99140</v>
      </c>
    </row>
    <row r="490" spans="1:6" x14ac:dyDescent="0.2">
      <c r="A490" s="1186" t="s">
        <v>20</v>
      </c>
      <c r="B490" s="1186" t="s">
        <v>824</v>
      </c>
      <c r="C490" s="1186" t="s">
        <v>116</v>
      </c>
      <c r="D490" s="1186" t="s">
        <v>33</v>
      </c>
      <c r="E490" s="1186">
        <v>9</v>
      </c>
      <c r="F490" s="1186">
        <v>90410</v>
      </c>
    </row>
    <row r="491" spans="1:6" x14ac:dyDescent="0.2">
      <c r="A491" s="1186" t="s">
        <v>20</v>
      </c>
      <c r="B491" s="1186" t="s">
        <v>824</v>
      </c>
      <c r="C491" s="1186" t="s">
        <v>116</v>
      </c>
      <c r="D491" s="1186" t="s">
        <v>34</v>
      </c>
      <c r="E491" s="1186">
        <v>24</v>
      </c>
      <c r="F491" s="1186">
        <v>155130</v>
      </c>
    </row>
    <row r="492" spans="1:6" x14ac:dyDescent="0.2">
      <c r="A492" s="1186" t="s">
        <v>20</v>
      </c>
      <c r="B492" s="1186" t="s">
        <v>824</v>
      </c>
      <c r="C492" s="1186" t="s">
        <v>116</v>
      </c>
      <c r="D492" s="1186" t="s">
        <v>35</v>
      </c>
      <c r="E492" s="1186">
        <v>32</v>
      </c>
      <c r="F492" s="1186">
        <v>362610</v>
      </c>
    </row>
    <row r="493" spans="1:6" x14ac:dyDescent="0.2">
      <c r="A493" s="1186" t="s">
        <v>20</v>
      </c>
      <c r="B493" s="1186" t="s">
        <v>824</v>
      </c>
      <c r="C493" s="1186" t="s">
        <v>116</v>
      </c>
      <c r="D493" s="1186" t="s">
        <v>36</v>
      </c>
      <c r="E493" s="1186">
        <v>121</v>
      </c>
      <c r="F493" s="1186">
        <v>586500</v>
      </c>
    </row>
    <row r="494" spans="1:6" x14ac:dyDescent="0.2">
      <c r="A494" s="1186" t="s">
        <v>20</v>
      </c>
      <c r="B494" s="1186" t="s">
        <v>824</v>
      </c>
      <c r="C494" s="1186" t="s">
        <v>116</v>
      </c>
      <c r="D494" s="1186" t="s">
        <v>37</v>
      </c>
      <c r="E494" s="1186">
        <v>8</v>
      </c>
      <c r="F494" s="1186">
        <v>230730</v>
      </c>
    </row>
    <row r="495" spans="1:6" x14ac:dyDescent="0.2">
      <c r="A495" s="1186" t="s">
        <v>20</v>
      </c>
      <c r="B495" s="1186" t="s">
        <v>824</v>
      </c>
      <c r="C495" s="1186" t="s">
        <v>116</v>
      </c>
      <c r="D495" s="1186" t="s">
        <v>38</v>
      </c>
      <c r="E495" s="1186">
        <v>30</v>
      </c>
      <c r="F495" s="1186">
        <v>81510</v>
      </c>
    </row>
    <row r="496" spans="1:6" x14ac:dyDescent="0.2">
      <c r="A496" s="1186" t="s">
        <v>20</v>
      </c>
      <c r="B496" s="1186" t="s">
        <v>824</v>
      </c>
      <c r="C496" s="1186" t="s">
        <v>116</v>
      </c>
      <c r="D496" s="1186" t="s">
        <v>39</v>
      </c>
      <c r="E496" s="1186">
        <v>9</v>
      </c>
      <c r="F496" s="1186">
        <v>82360</v>
      </c>
    </row>
    <row r="497" spans="1:6" x14ac:dyDescent="0.2">
      <c r="A497" s="1186" t="s">
        <v>20</v>
      </c>
      <c r="B497" s="1186" t="s">
        <v>824</v>
      </c>
      <c r="C497" s="1186" t="s">
        <v>116</v>
      </c>
      <c r="D497" s="1186" t="s">
        <v>40</v>
      </c>
      <c r="E497" s="1186">
        <v>10</v>
      </c>
      <c r="F497" s="1186">
        <v>93690</v>
      </c>
    </row>
    <row r="498" spans="1:6" x14ac:dyDescent="0.2">
      <c r="A498" s="1186" t="s">
        <v>20</v>
      </c>
      <c r="B498" s="1186" t="s">
        <v>824</v>
      </c>
      <c r="C498" s="1186" t="s">
        <v>116</v>
      </c>
      <c r="D498" s="1186" t="s">
        <v>295</v>
      </c>
      <c r="E498" s="1186">
        <v>2</v>
      </c>
      <c r="F498" s="1186">
        <v>27600</v>
      </c>
    </row>
    <row r="499" spans="1:6" x14ac:dyDescent="0.2">
      <c r="A499" s="1186" t="s">
        <v>20</v>
      </c>
      <c r="B499" s="1186" t="s">
        <v>824</v>
      </c>
      <c r="C499" s="1186" t="s">
        <v>116</v>
      </c>
      <c r="D499" s="1186" t="s">
        <v>41</v>
      </c>
      <c r="E499" s="1186">
        <v>39</v>
      </c>
      <c r="F499" s="1186">
        <v>137800</v>
      </c>
    </row>
    <row r="500" spans="1:6" x14ac:dyDescent="0.2">
      <c r="A500" s="1186" t="s">
        <v>20</v>
      </c>
      <c r="B500" s="1186" t="s">
        <v>824</v>
      </c>
      <c r="C500" s="1186" t="s">
        <v>116</v>
      </c>
      <c r="D500" s="1186" t="s">
        <v>42</v>
      </c>
      <c r="E500" s="1186">
        <v>53</v>
      </c>
      <c r="F500" s="1186">
        <v>336280</v>
      </c>
    </row>
    <row r="501" spans="1:6" x14ac:dyDescent="0.2">
      <c r="A501" s="1186" t="s">
        <v>20</v>
      </c>
      <c r="B501" s="1186" t="s">
        <v>824</v>
      </c>
      <c r="C501" s="1186" t="s">
        <v>116</v>
      </c>
      <c r="D501" s="1186" t="s">
        <v>43</v>
      </c>
      <c r="E501" s="1186">
        <v>3</v>
      </c>
      <c r="F501" s="1186">
        <v>21220</v>
      </c>
    </row>
    <row r="502" spans="1:6" x14ac:dyDescent="0.2">
      <c r="A502" s="1186" t="s">
        <v>20</v>
      </c>
      <c r="B502" s="1186" t="s">
        <v>824</v>
      </c>
      <c r="C502" s="1186" t="s">
        <v>116</v>
      </c>
      <c r="D502" s="1186" t="s">
        <v>44</v>
      </c>
      <c r="E502" s="1186">
        <v>8</v>
      </c>
      <c r="F502" s="1186">
        <v>145600</v>
      </c>
    </row>
    <row r="503" spans="1:6" x14ac:dyDescent="0.2">
      <c r="A503" s="1186" t="s">
        <v>20</v>
      </c>
      <c r="B503" s="1186" t="s">
        <v>824</v>
      </c>
      <c r="C503" s="1186" t="s">
        <v>116</v>
      </c>
      <c r="D503" s="1186" t="s">
        <v>45</v>
      </c>
      <c r="E503" s="1186">
        <v>36</v>
      </c>
      <c r="F503" s="1186">
        <v>173700</v>
      </c>
    </row>
    <row r="504" spans="1:6" x14ac:dyDescent="0.2">
      <c r="A504" s="1186" t="s">
        <v>20</v>
      </c>
      <c r="B504" s="1186" t="s">
        <v>824</v>
      </c>
      <c r="C504" s="1186" t="s">
        <v>116</v>
      </c>
      <c r="D504" s="1186" t="s">
        <v>46</v>
      </c>
      <c r="E504" s="1186">
        <v>9</v>
      </c>
      <c r="F504" s="1186">
        <v>113700</v>
      </c>
    </row>
    <row r="505" spans="1:6" x14ac:dyDescent="0.2">
      <c r="A505" s="1186" t="s">
        <v>20</v>
      </c>
      <c r="B505" s="1186" t="s">
        <v>824</v>
      </c>
      <c r="C505" s="1186" t="s">
        <v>116</v>
      </c>
      <c r="D505" s="1186" t="s">
        <v>48</v>
      </c>
      <c r="E505" s="1186">
        <v>20</v>
      </c>
      <c r="F505" s="1186">
        <v>112600</v>
      </c>
    </row>
    <row r="506" spans="1:6" x14ac:dyDescent="0.2">
      <c r="A506" s="1186" t="s">
        <v>20</v>
      </c>
      <c r="B506" s="1186" t="s">
        <v>824</v>
      </c>
      <c r="C506" s="1186" t="s">
        <v>116</v>
      </c>
      <c r="D506" s="1186" t="s">
        <v>49</v>
      </c>
      <c r="E506" s="1186">
        <v>77</v>
      </c>
      <c r="F506" s="1186">
        <v>313180</v>
      </c>
    </row>
    <row r="507" spans="1:6" x14ac:dyDescent="0.2">
      <c r="A507" s="1186" t="s">
        <v>20</v>
      </c>
      <c r="B507" s="1186" t="s">
        <v>824</v>
      </c>
      <c r="C507" s="1186" t="s">
        <v>116</v>
      </c>
      <c r="D507" s="1186" t="s">
        <v>50</v>
      </c>
      <c r="E507" s="1186">
        <v>15</v>
      </c>
      <c r="F507" s="1186">
        <v>89550</v>
      </c>
    </row>
    <row r="508" spans="1:6" x14ac:dyDescent="0.2">
      <c r="A508" s="1186" t="s">
        <v>20</v>
      </c>
      <c r="B508" s="1186" t="s">
        <v>824</v>
      </c>
      <c r="C508" s="1186" t="s">
        <v>116</v>
      </c>
      <c r="D508" s="1186" t="s">
        <v>51</v>
      </c>
      <c r="E508" s="1186">
        <v>20</v>
      </c>
      <c r="F508" s="1186">
        <v>90800</v>
      </c>
    </row>
    <row r="509" spans="1:6" x14ac:dyDescent="0.2">
      <c r="A509" s="1186" t="s">
        <v>20</v>
      </c>
      <c r="B509" s="1186" t="s">
        <v>824</v>
      </c>
      <c r="C509" s="1186" t="s">
        <v>116</v>
      </c>
      <c r="D509" s="1186" t="s">
        <v>52</v>
      </c>
      <c r="E509" s="1186">
        <v>51</v>
      </c>
      <c r="F509" s="1186">
        <v>174090</v>
      </c>
    </row>
    <row r="510" spans="1:6" x14ac:dyDescent="0.2">
      <c r="A510" s="1186" t="s">
        <v>20</v>
      </c>
      <c r="B510" s="1186" t="s">
        <v>825</v>
      </c>
      <c r="C510" s="1186" t="s">
        <v>61</v>
      </c>
      <c r="D510" s="1186" t="s">
        <v>23</v>
      </c>
      <c r="E510" s="1186">
        <v>50</v>
      </c>
      <c r="F510" s="1186">
        <v>219730</v>
      </c>
    </row>
    <row r="511" spans="1:6" x14ac:dyDescent="0.2">
      <c r="A511" s="1186" t="s">
        <v>20</v>
      </c>
      <c r="B511" s="1186" t="s">
        <v>825</v>
      </c>
      <c r="C511" s="1186" t="s">
        <v>61</v>
      </c>
      <c r="D511" s="1186" t="s">
        <v>24</v>
      </c>
      <c r="E511" s="1186">
        <v>70</v>
      </c>
      <c r="F511" s="1186">
        <v>251430</v>
      </c>
    </row>
    <row r="512" spans="1:6" x14ac:dyDescent="0.2">
      <c r="A512" s="1186" t="s">
        <v>20</v>
      </c>
      <c r="B512" s="1186" t="s">
        <v>825</v>
      </c>
      <c r="C512" s="1186" t="s">
        <v>61</v>
      </c>
      <c r="D512" s="1186" t="s">
        <v>25</v>
      </c>
      <c r="E512" s="1186">
        <v>34</v>
      </c>
      <c r="F512" s="1186">
        <v>115410</v>
      </c>
    </row>
    <row r="513" spans="1:6" x14ac:dyDescent="0.2">
      <c r="A513" s="1186" t="s">
        <v>20</v>
      </c>
      <c r="B513" s="1186" t="s">
        <v>825</v>
      </c>
      <c r="C513" s="1186" t="s">
        <v>61</v>
      </c>
      <c r="D513" s="1186" t="s">
        <v>26</v>
      </c>
      <c r="E513" s="1186">
        <v>25</v>
      </c>
      <c r="F513" s="1186">
        <v>88620</v>
      </c>
    </row>
    <row r="514" spans="1:6" x14ac:dyDescent="0.2">
      <c r="A514" s="1186" t="s">
        <v>20</v>
      </c>
      <c r="B514" s="1186" t="s">
        <v>825</v>
      </c>
      <c r="C514" s="1186" t="s">
        <v>61</v>
      </c>
      <c r="D514" s="1186" t="s">
        <v>619</v>
      </c>
      <c r="E514" s="1186">
        <v>93</v>
      </c>
      <c r="F514" s="1186">
        <v>469930</v>
      </c>
    </row>
    <row r="515" spans="1:6" x14ac:dyDescent="0.2">
      <c r="A515" s="1186" t="s">
        <v>20</v>
      </c>
      <c r="B515" s="1186" t="s">
        <v>825</v>
      </c>
      <c r="C515" s="1186" t="s">
        <v>61</v>
      </c>
      <c r="D515" s="1186" t="s">
        <v>27</v>
      </c>
      <c r="E515" s="1186">
        <v>9</v>
      </c>
      <c r="F515" s="1186">
        <v>51330</v>
      </c>
    </row>
    <row r="516" spans="1:6" x14ac:dyDescent="0.2">
      <c r="A516" s="1186" t="s">
        <v>20</v>
      </c>
      <c r="B516" s="1186" t="s">
        <v>825</v>
      </c>
      <c r="C516" s="1186" t="s">
        <v>61</v>
      </c>
      <c r="D516" s="1186" t="s">
        <v>28</v>
      </c>
      <c r="E516" s="1186">
        <v>46</v>
      </c>
      <c r="F516" s="1186">
        <v>151100</v>
      </c>
    </row>
    <row r="517" spans="1:6" x14ac:dyDescent="0.2">
      <c r="A517" s="1186" t="s">
        <v>20</v>
      </c>
      <c r="B517" s="1186" t="s">
        <v>825</v>
      </c>
      <c r="C517" s="1186" t="s">
        <v>61</v>
      </c>
      <c r="D517" s="1186" t="s">
        <v>29</v>
      </c>
      <c r="E517" s="1186">
        <v>39</v>
      </c>
      <c r="F517" s="1186">
        <v>146060</v>
      </c>
    </row>
    <row r="518" spans="1:6" x14ac:dyDescent="0.2">
      <c r="A518" s="1186" t="s">
        <v>20</v>
      </c>
      <c r="B518" s="1186" t="s">
        <v>825</v>
      </c>
      <c r="C518" s="1186" t="s">
        <v>61</v>
      </c>
      <c r="D518" s="1186" t="s">
        <v>30</v>
      </c>
      <c r="E518" s="1186">
        <v>42</v>
      </c>
      <c r="F518" s="1186">
        <v>122410</v>
      </c>
    </row>
    <row r="519" spans="1:6" x14ac:dyDescent="0.2">
      <c r="A519" s="1186" t="s">
        <v>20</v>
      </c>
      <c r="B519" s="1186" t="s">
        <v>825</v>
      </c>
      <c r="C519" s="1186" t="s">
        <v>61</v>
      </c>
      <c r="D519" s="1186" t="s">
        <v>31</v>
      </c>
      <c r="E519" s="1186">
        <v>15</v>
      </c>
      <c r="F519" s="1186">
        <v>104920</v>
      </c>
    </row>
    <row r="520" spans="1:6" x14ac:dyDescent="0.2">
      <c r="A520" s="1186" t="s">
        <v>20</v>
      </c>
      <c r="B520" s="1186" t="s">
        <v>825</v>
      </c>
      <c r="C520" s="1186" t="s">
        <v>61</v>
      </c>
      <c r="D520" s="1186" t="s">
        <v>32</v>
      </c>
      <c r="E520" s="1186">
        <v>26</v>
      </c>
      <c r="F520" s="1186">
        <v>99140</v>
      </c>
    </row>
    <row r="521" spans="1:6" x14ac:dyDescent="0.2">
      <c r="A521" s="1186" t="s">
        <v>20</v>
      </c>
      <c r="B521" s="1186" t="s">
        <v>825</v>
      </c>
      <c r="C521" s="1186" t="s">
        <v>61</v>
      </c>
      <c r="D521" s="1186" t="s">
        <v>33</v>
      </c>
      <c r="E521" s="1186">
        <v>19</v>
      </c>
      <c r="F521" s="1186">
        <v>90410</v>
      </c>
    </row>
    <row r="522" spans="1:6" x14ac:dyDescent="0.2">
      <c r="A522" s="1186" t="s">
        <v>20</v>
      </c>
      <c r="B522" s="1186" t="s">
        <v>825</v>
      </c>
      <c r="C522" s="1186" t="s">
        <v>61</v>
      </c>
      <c r="D522" s="1186" t="s">
        <v>34</v>
      </c>
      <c r="E522" s="1186">
        <v>36</v>
      </c>
      <c r="F522" s="1186">
        <v>155130</v>
      </c>
    </row>
    <row r="523" spans="1:6" x14ac:dyDescent="0.2">
      <c r="A523" s="1186" t="s">
        <v>20</v>
      </c>
      <c r="B523" s="1186" t="s">
        <v>825</v>
      </c>
      <c r="C523" s="1186" t="s">
        <v>61</v>
      </c>
      <c r="D523" s="1186" t="s">
        <v>35</v>
      </c>
      <c r="E523" s="1186">
        <v>91</v>
      </c>
      <c r="F523" s="1186">
        <v>362610</v>
      </c>
    </row>
    <row r="524" spans="1:6" x14ac:dyDescent="0.2">
      <c r="A524" s="1186" t="s">
        <v>20</v>
      </c>
      <c r="B524" s="1186" t="s">
        <v>825</v>
      </c>
      <c r="C524" s="1186" t="s">
        <v>61</v>
      </c>
      <c r="D524" s="1186" t="s">
        <v>36</v>
      </c>
      <c r="E524" s="1186">
        <v>151</v>
      </c>
      <c r="F524" s="1186">
        <v>586500</v>
      </c>
    </row>
    <row r="525" spans="1:6" x14ac:dyDescent="0.2">
      <c r="A525" s="1186" t="s">
        <v>20</v>
      </c>
      <c r="B525" s="1186" t="s">
        <v>825</v>
      </c>
      <c r="C525" s="1186" t="s">
        <v>61</v>
      </c>
      <c r="D525" s="1186" t="s">
        <v>37</v>
      </c>
      <c r="E525" s="1186">
        <v>80</v>
      </c>
      <c r="F525" s="1186">
        <v>230730</v>
      </c>
    </row>
    <row r="526" spans="1:6" x14ac:dyDescent="0.2">
      <c r="A526" s="1186" t="s">
        <v>20</v>
      </c>
      <c r="B526" s="1186" t="s">
        <v>825</v>
      </c>
      <c r="C526" s="1186" t="s">
        <v>61</v>
      </c>
      <c r="D526" s="1186" t="s">
        <v>38</v>
      </c>
      <c r="E526" s="1186">
        <v>14</v>
      </c>
      <c r="F526" s="1186">
        <v>81510</v>
      </c>
    </row>
    <row r="527" spans="1:6" x14ac:dyDescent="0.2">
      <c r="A527" s="1186" t="s">
        <v>20</v>
      </c>
      <c r="B527" s="1186" t="s">
        <v>825</v>
      </c>
      <c r="C527" s="1186" t="s">
        <v>61</v>
      </c>
      <c r="D527" s="1186" t="s">
        <v>39</v>
      </c>
      <c r="E527" s="1186">
        <v>23</v>
      </c>
      <c r="F527" s="1186">
        <v>82360</v>
      </c>
    </row>
    <row r="528" spans="1:6" x14ac:dyDescent="0.2">
      <c r="A528" s="1186" t="s">
        <v>20</v>
      </c>
      <c r="B528" s="1186" t="s">
        <v>825</v>
      </c>
      <c r="C528" s="1186" t="s">
        <v>61</v>
      </c>
      <c r="D528" s="1186" t="s">
        <v>40</v>
      </c>
      <c r="E528" s="1186">
        <v>22</v>
      </c>
      <c r="F528" s="1186">
        <v>93690</v>
      </c>
    </row>
    <row r="529" spans="1:6" x14ac:dyDescent="0.2">
      <c r="A529" s="1186" t="s">
        <v>20</v>
      </c>
      <c r="B529" s="1186" t="s">
        <v>825</v>
      </c>
      <c r="C529" s="1186" t="s">
        <v>61</v>
      </c>
      <c r="D529" s="1186" t="s">
        <v>295</v>
      </c>
      <c r="E529" s="1186">
        <v>10</v>
      </c>
      <c r="F529" s="1186">
        <v>27600</v>
      </c>
    </row>
    <row r="530" spans="1:6" x14ac:dyDescent="0.2">
      <c r="A530" s="1186" t="s">
        <v>20</v>
      </c>
      <c r="B530" s="1186" t="s">
        <v>825</v>
      </c>
      <c r="C530" s="1186" t="s">
        <v>61</v>
      </c>
      <c r="D530" s="1186" t="s">
        <v>41</v>
      </c>
      <c r="E530" s="1186">
        <v>26</v>
      </c>
      <c r="F530" s="1186">
        <v>137800</v>
      </c>
    </row>
    <row r="531" spans="1:6" x14ac:dyDescent="0.2">
      <c r="A531" s="1186" t="s">
        <v>20</v>
      </c>
      <c r="B531" s="1186" t="s">
        <v>825</v>
      </c>
      <c r="C531" s="1186" t="s">
        <v>61</v>
      </c>
      <c r="D531" s="1186" t="s">
        <v>42</v>
      </c>
      <c r="E531" s="1186">
        <v>104</v>
      </c>
      <c r="F531" s="1186">
        <v>336280</v>
      </c>
    </row>
    <row r="532" spans="1:6" x14ac:dyDescent="0.2">
      <c r="A532" s="1186" t="s">
        <v>20</v>
      </c>
      <c r="B532" s="1186" t="s">
        <v>825</v>
      </c>
      <c r="C532" s="1186" t="s">
        <v>61</v>
      </c>
      <c r="D532" s="1186" t="s">
        <v>43</v>
      </c>
      <c r="E532" s="1186">
        <v>13</v>
      </c>
      <c r="F532" s="1186">
        <v>21220</v>
      </c>
    </row>
    <row r="533" spans="1:6" x14ac:dyDescent="0.2">
      <c r="A533" s="1186" t="s">
        <v>20</v>
      </c>
      <c r="B533" s="1186" t="s">
        <v>825</v>
      </c>
      <c r="C533" s="1186" t="s">
        <v>61</v>
      </c>
      <c r="D533" s="1186" t="s">
        <v>44</v>
      </c>
      <c r="E533" s="1186">
        <v>85</v>
      </c>
      <c r="F533" s="1186">
        <v>145600</v>
      </c>
    </row>
    <row r="534" spans="1:6" x14ac:dyDescent="0.2">
      <c r="A534" s="1186" t="s">
        <v>20</v>
      </c>
      <c r="B534" s="1186" t="s">
        <v>825</v>
      </c>
      <c r="C534" s="1186" t="s">
        <v>61</v>
      </c>
      <c r="D534" s="1186" t="s">
        <v>45</v>
      </c>
      <c r="E534" s="1186">
        <v>44</v>
      </c>
      <c r="F534" s="1186">
        <v>173700</v>
      </c>
    </row>
    <row r="535" spans="1:6" x14ac:dyDescent="0.2">
      <c r="A535" s="1186" t="s">
        <v>20</v>
      </c>
      <c r="B535" s="1186" t="s">
        <v>825</v>
      </c>
      <c r="C535" s="1186" t="s">
        <v>61</v>
      </c>
      <c r="D535" s="1186" t="s">
        <v>46</v>
      </c>
      <c r="E535" s="1186">
        <v>31</v>
      </c>
      <c r="F535" s="1186">
        <v>113700</v>
      </c>
    </row>
    <row r="536" spans="1:6" x14ac:dyDescent="0.2">
      <c r="A536" s="1186" t="s">
        <v>20</v>
      </c>
      <c r="B536" s="1186" t="s">
        <v>825</v>
      </c>
      <c r="C536" s="1186" t="s">
        <v>61</v>
      </c>
      <c r="D536" s="1186" t="s">
        <v>47</v>
      </c>
      <c r="E536" s="1186">
        <v>4</v>
      </c>
      <c r="F536" s="1186">
        <v>23060</v>
      </c>
    </row>
    <row r="537" spans="1:6" x14ac:dyDescent="0.2">
      <c r="A537" s="1186" t="s">
        <v>20</v>
      </c>
      <c r="B537" s="1186" t="s">
        <v>825</v>
      </c>
      <c r="C537" s="1186" t="s">
        <v>61</v>
      </c>
      <c r="D537" s="1186" t="s">
        <v>48</v>
      </c>
      <c r="E537" s="1186">
        <v>24</v>
      </c>
      <c r="F537" s="1186">
        <v>112600</v>
      </c>
    </row>
    <row r="538" spans="1:6" x14ac:dyDescent="0.2">
      <c r="A538" s="1186" t="s">
        <v>20</v>
      </c>
      <c r="B538" s="1186" t="s">
        <v>825</v>
      </c>
      <c r="C538" s="1186" t="s">
        <v>61</v>
      </c>
      <c r="D538" s="1186" t="s">
        <v>49</v>
      </c>
      <c r="E538" s="1186">
        <v>95</v>
      </c>
      <c r="F538" s="1186">
        <v>313180</v>
      </c>
    </row>
    <row r="539" spans="1:6" x14ac:dyDescent="0.2">
      <c r="A539" s="1186" t="s">
        <v>20</v>
      </c>
      <c r="B539" s="1186" t="s">
        <v>825</v>
      </c>
      <c r="C539" s="1186" t="s">
        <v>61</v>
      </c>
      <c r="D539" s="1186" t="s">
        <v>50</v>
      </c>
      <c r="E539" s="1186">
        <v>30</v>
      </c>
      <c r="F539" s="1186">
        <v>89550</v>
      </c>
    </row>
    <row r="540" spans="1:6" x14ac:dyDescent="0.2">
      <c r="A540" s="1186" t="s">
        <v>20</v>
      </c>
      <c r="B540" s="1186" t="s">
        <v>825</v>
      </c>
      <c r="C540" s="1186" t="s">
        <v>61</v>
      </c>
      <c r="D540" s="1186" t="s">
        <v>51</v>
      </c>
      <c r="E540" s="1186">
        <v>26</v>
      </c>
      <c r="F540" s="1186">
        <v>90800</v>
      </c>
    </row>
    <row r="541" spans="1:6" x14ac:dyDescent="0.2">
      <c r="A541" s="1186" t="s">
        <v>20</v>
      </c>
      <c r="B541" s="1186" t="s">
        <v>825</v>
      </c>
      <c r="C541" s="1186" t="s">
        <v>61</v>
      </c>
      <c r="D541" s="1186" t="s">
        <v>52</v>
      </c>
      <c r="E541" s="1186">
        <v>56</v>
      </c>
      <c r="F541" s="1186">
        <v>174090</v>
      </c>
    </row>
    <row r="542" spans="1:6" x14ac:dyDescent="0.2">
      <c r="A542" s="1186" t="s">
        <v>20</v>
      </c>
      <c r="B542" s="1186" t="s">
        <v>825</v>
      </c>
      <c r="C542" s="1186" t="s">
        <v>116</v>
      </c>
      <c r="D542" s="1186" t="s">
        <v>23</v>
      </c>
      <c r="E542" s="1186">
        <v>93</v>
      </c>
      <c r="F542" s="1186">
        <v>219730</v>
      </c>
    </row>
    <row r="543" spans="1:6" x14ac:dyDescent="0.2">
      <c r="A543" s="1186" t="s">
        <v>20</v>
      </c>
      <c r="B543" s="1186" t="s">
        <v>825</v>
      </c>
      <c r="C543" s="1186" t="s">
        <v>116</v>
      </c>
      <c r="D543" s="1186" t="s">
        <v>24</v>
      </c>
      <c r="E543" s="1186">
        <v>20</v>
      </c>
      <c r="F543" s="1186">
        <v>251430</v>
      </c>
    </row>
    <row r="544" spans="1:6" x14ac:dyDescent="0.2">
      <c r="A544" s="1186" t="s">
        <v>20</v>
      </c>
      <c r="B544" s="1186" t="s">
        <v>825</v>
      </c>
      <c r="C544" s="1186" t="s">
        <v>116</v>
      </c>
      <c r="D544" s="1186" t="s">
        <v>25</v>
      </c>
      <c r="E544" s="1186">
        <v>6</v>
      </c>
      <c r="F544" s="1186">
        <v>115410</v>
      </c>
    </row>
    <row r="545" spans="1:6" x14ac:dyDescent="0.2">
      <c r="A545" s="1186" t="s">
        <v>20</v>
      </c>
      <c r="B545" s="1186" t="s">
        <v>825</v>
      </c>
      <c r="C545" s="1186" t="s">
        <v>116</v>
      </c>
      <c r="D545" s="1186" t="s">
        <v>26</v>
      </c>
      <c r="E545" s="1186">
        <v>7</v>
      </c>
      <c r="F545" s="1186">
        <v>88620</v>
      </c>
    </row>
    <row r="546" spans="1:6" x14ac:dyDescent="0.2">
      <c r="A546" s="1186" t="s">
        <v>20</v>
      </c>
      <c r="B546" s="1186" t="s">
        <v>825</v>
      </c>
      <c r="C546" s="1186" t="s">
        <v>116</v>
      </c>
      <c r="D546" s="1186" t="s">
        <v>619</v>
      </c>
      <c r="E546" s="1186">
        <v>103</v>
      </c>
      <c r="F546" s="1186">
        <v>469930</v>
      </c>
    </row>
    <row r="547" spans="1:6" x14ac:dyDescent="0.2">
      <c r="A547" s="1186" t="s">
        <v>20</v>
      </c>
      <c r="B547" s="1186" t="s">
        <v>825</v>
      </c>
      <c r="C547" s="1186" t="s">
        <v>116</v>
      </c>
      <c r="D547" s="1186" t="s">
        <v>27</v>
      </c>
      <c r="E547" s="1186">
        <v>10</v>
      </c>
      <c r="F547" s="1186">
        <v>51330</v>
      </c>
    </row>
    <row r="548" spans="1:6" x14ac:dyDescent="0.2">
      <c r="A548" s="1186" t="s">
        <v>20</v>
      </c>
      <c r="B548" s="1186" t="s">
        <v>825</v>
      </c>
      <c r="C548" s="1186" t="s">
        <v>116</v>
      </c>
      <c r="D548" s="1186" t="s">
        <v>28</v>
      </c>
      <c r="E548" s="1186">
        <v>19</v>
      </c>
      <c r="F548" s="1186">
        <v>151100</v>
      </c>
    </row>
    <row r="549" spans="1:6" x14ac:dyDescent="0.2">
      <c r="A549" s="1186" t="s">
        <v>20</v>
      </c>
      <c r="B549" s="1186" t="s">
        <v>825</v>
      </c>
      <c r="C549" s="1186" t="s">
        <v>116</v>
      </c>
      <c r="D549" s="1186" t="s">
        <v>29</v>
      </c>
      <c r="E549" s="1186">
        <v>30</v>
      </c>
      <c r="F549" s="1186">
        <v>146060</v>
      </c>
    </row>
    <row r="550" spans="1:6" x14ac:dyDescent="0.2">
      <c r="A550" s="1186" t="s">
        <v>20</v>
      </c>
      <c r="B550" s="1186" t="s">
        <v>825</v>
      </c>
      <c r="C550" s="1186" t="s">
        <v>116</v>
      </c>
      <c r="D550" s="1186" t="s">
        <v>30</v>
      </c>
      <c r="E550" s="1186">
        <v>20</v>
      </c>
      <c r="F550" s="1186">
        <v>122410</v>
      </c>
    </row>
    <row r="551" spans="1:6" x14ac:dyDescent="0.2">
      <c r="A551" s="1186" t="s">
        <v>20</v>
      </c>
      <c r="B551" s="1186" t="s">
        <v>825</v>
      </c>
      <c r="C551" s="1186" t="s">
        <v>116</v>
      </c>
      <c r="D551" s="1186" t="s">
        <v>31</v>
      </c>
      <c r="E551" s="1186">
        <v>20</v>
      </c>
      <c r="F551" s="1186">
        <v>104920</v>
      </c>
    </row>
    <row r="552" spans="1:6" x14ac:dyDescent="0.2">
      <c r="A552" s="1186" t="s">
        <v>20</v>
      </c>
      <c r="B552" s="1186" t="s">
        <v>825</v>
      </c>
      <c r="C552" s="1186" t="s">
        <v>116</v>
      </c>
      <c r="D552" s="1186" t="s">
        <v>32</v>
      </c>
      <c r="E552" s="1186">
        <v>16</v>
      </c>
      <c r="F552" s="1186">
        <v>99140</v>
      </c>
    </row>
    <row r="553" spans="1:6" x14ac:dyDescent="0.2">
      <c r="A553" s="1186" t="s">
        <v>20</v>
      </c>
      <c r="B553" s="1186" t="s">
        <v>825</v>
      </c>
      <c r="C553" s="1186" t="s">
        <v>116</v>
      </c>
      <c r="D553" s="1186" t="s">
        <v>33</v>
      </c>
      <c r="E553" s="1186">
        <v>15</v>
      </c>
      <c r="F553" s="1186">
        <v>90410</v>
      </c>
    </row>
    <row r="554" spans="1:6" x14ac:dyDescent="0.2">
      <c r="A554" s="1186" t="s">
        <v>20</v>
      </c>
      <c r="B554" s="1186" t="s">
        <v>825</v>
      </c>
      <c r="C554" s="1186" t="s">
        <v>116</v>
      </c>
      <c r="D554" s="1186" t="s">
        <v>34</v>
      </c>
      <c r="E554" s="1186">
        <v>16</v>
      </c>
      <c r="F554" s="1186">
        <v>155130</v>
      </c>
    </row>
    <row r="555" spans="1:6" x14ac:dyDescent="0.2">
      <c r="A555" s="1186" t="s">
        <v>20</v>
      </c>
      <c r="B555" s="1186" t="s">
        <v>825</v>
      </c>
      <c r="C555" s="1186" t="s">
        <v>116</v>
      </c>
      <c r="D555" s="1186" t="s">
        <v>35</v>
      </c>
      <c r="E555" s="1186">
        <v>64</v>
      </c>
      <c r="F555" s="1186">
        <v>362610</v>
      </c>
    </row>
    <row r="556" spans="1:6" x14ac:dyDescent="0.2">
      <c r="A556" s="1186" t="s">
        <v>20</v>
      </c>
      <c r="B556" s="1186" t="s">
        <v>825</v>
      </c>
      <c r="C556" s="1186" t="s">
        <v>116</v>
      </c>
      <c r="D556" s="1186" t="s">
        <v>36</v>
      </c>
      <c r="E556" s="1186">
        <v>283</v>
      </c>
      <c r="F556" s="1186">
        <v>586500</v>
      </c>
    </row>
    <row r="557" spans="1:6" x14ac:dyDescent="0.2">
      <c r="A557" s="1186" t="s">
        <v>20</v>
      </c>
      <c r="B557" s="1186" t="s">
        <v>825</v>
      </c>
      <c r="C557" s="1186" t="s">
        <v>116</v>
      </c>
      <c r="D557" s="1186" t="s">
        <v>37</v>
      </c>
      <c r="E557" s="1186">
        <v>8</v>
      </c>
      <c r="F557" s="1186">
        <v>230730</v>
      </c>
    </row>
    <row r="558" spans="1:6" x14ac:dyDescent="0.2">
      <c r="A558" s="1186" t="s">
        <v>20</v>
      </c>
      <c r="B558" s="1186" t="s">
        <v>825</v>
      </c>
      <c r="C558" s="1186" t="s">
        <v>116</v>
      </c>
      <c r="D558" s="1186" t="s">
        <v>38</v>
      </c>
      <c r="E558" s="1186">
        <v>41</v>
      </c>
      <c r="F558" s="1186">
        <v>81510</v>
      </c>
    </row>
    <row r="559" spans="1:6" x14ac:dyDescent="0.2">
      <c r="A559" s="1186" t="s">
        <v>20</v>
      </c>
      <c r="B559" s="1186" t="s">
        <v>825</v>
      </c>
      <c r="C559" s="1186" t="s">
        <v>116</v>
      </c>
      <c r="D559" s="1186" t="s">
        <v>39</v>
      </c>
      <c r="E559" s="1186">
        <v>22</v>
      </c>
      <c r="F559" s="1186">
        <v>82360</v>
      </c>
    </row>
    <row r="560" spans="1:6" x14ac:dyDescent="0.2">
      <c r="A560" s="1186" t="s">
        <v>20</v>
      </c>
      <c r="B560" s="1186" t="s">
        <v>825</v>
      </c>
      <c r="C560" s="1186" t="s">
        <v>116</v>
      </c>
      <c r="D560" s="1186" t="s">
        <v>40</v>
      </c>
      <c r="E560" s="1186">
        <v>4</v>
      </c>
      <c r="F560" s="1186">
        <v>93690</v>
      </c>
    </row>
    <row r="561" spans="1:6" x14ac:dyDescent="0.2">
      <c r="A561" s="1186" t="s">
        <v>20</v>
      </c>
      <c r="B561" s="1186" t="s">
        <v>825</v>
      </c>
      <c r="C561" s="1186" t="s">
        <v>116</v>
      </c>
      <c r="D561" s="1186" t="s">
        <v>295</v>
      </c>
      <c r="E561" s="1186">
        <v>1</v>
      </c>
      <c r="F561" s="1186">
        <v>27600</v>
      </c>
    </row>
    <row r="562" spans="1:6" x14ac:dyDescent="0.2">
      <c r="A562" s="1186" t="s">
        <v>20</v>
      </c>
      <c r="B562" s="1186" t="s">
        <v>825</v>
      </c>
      <c r="C562" s="1186" t="s">
        <v>116</v>
      </c>
      <c r="D562" s="1186" t="s">
        <v>41</v>
      </c>
      <c r="E562" s="1186">
        <v>35</v>
      </c>
      <c r="F562" s="1186">
        <v>137800</v>
      </c>
    </row>
    <row r="563" spans="1:6" x14ac:dyDescent="0.2">
      <c r="A563" s="1186" t="s">
        <v>20</v>
      </c>
      <c r="B563" s="1186" t="s">
        <v>825</v>
      </c>
      <c r="C563" s="1186" t="s">
        <v>116</v>
      </c>
      <c r="D563" s="1186" t="s">
        <v>42</v>
      </c>
      <c r="E563" s="1186">
        <v>132</v>
      </c>
      <c r="F563" s="1186">
        <v>336280</v>
      </c>
    </row>
    <row r="564" spans="1:6" x14ac:dyDescent="0.2">
      <c r="A564" s="1186" t="s">
        <v>20</v>
      </c>
      <c r="B564" s="1186" t="s">
        <v>825</v>
      </c>
      <c r="C564" s="1186" t="s">
        <v>116</v>
      </c>
      <c r="D564" s="1186" t="s">
        <v>44</v>
      </c>
      <c r="E564" s="1186">
        <v>12</v>
      </c>
      <c r="F564" s="1186">
        <v>145600</v>
      </c>
    </row>
    <row r="565" spans="1:6" x14ac:dyDescent="0.2">
      <c r="A565" s="1186" t="s">
        <v>20</v>
      </c>
      <c r="B565" s="1186" t="s">
        <v>825</v>
      </c>
      <c r="C565" s="1186" t="s">
        <v>116</v>
      </c>
      <c r="D565" s="1186" t="s">
        <v>45</v>
      </c>
      <c r="E565" s="1186">
        <v>60</v>
      </c>
      <c r="F565" s="1186">
        <v>173700</v>
      </c>
    </row>
    <row r="566" spans="1:6" x14ac:dyDescent="0.2">
      <c r="A566" s="1186" t="s">
        <v>20</v>
      </c>
      <c r="B566" s="1186" t="s">
        <v>825</v>
      </c>
      <c r="C566" s="1186" t="s">
        <v>116</v>
      </c>
      <c r="D566" s="1186" t="s">
        <v>46</v>
      </c>
      <c r="E566" s="1186">
        <v>7</v>
      </c>
      <c r="F566" s="1186">
        <v>113700</v>
      </c>
    </row>
    <row r="567" spans="1:6" x14ac:dyDescent="0.2">
      <c r="A567" s="1186" t="s">
        <v>20</v>
      </c>
      <c r="B567" s="1186" t="s">
        <v>825</v>
      </c>
      <c r="C567" s="1186" t="s">
        <v>116</v>
      </c>
      <c r="D567" s="1186" t="s">
        <v>48</v>
      </c>
      <c r="E567" s="1186">
        <v>9</v>
      </c>
      <c r="F567" s="1186">
        <v>112600</v>
      </c>
    </row>
    <row r="568" spans="1:6" x14ac:dyDescent="0.2">
      <c r="A568" s="1186" t="s">
        <v>20</v>
      </c>
      <c r="B568" s="1186" t="s">
        <v>825</v>
      </c>
      <c r="C568" s="1186" t="s">
        <v>116</v>
      </c>
      <c r="D568" s="1186" t="s">
        <v>49</v>
      </c>
      <c r="E568" s="1186">
        <v>97</v>
      </c>
      <c r="F568" s="1186">
        <v>313180</v>
      </c>
    </row>
    <row r="569" spans="1:6" x14ac:dyDescent="0.2">
      <c r="A569" s="1186" t="s">
        <v>20</v>
      </c>
      <c r="B569" s="1186" t="s">
        <v>825</v>
      </c>
      <c r="C569" s="1186" t="s">
        <v>116</v>
      </c>
      <c r="D569" s="1186" t="s">
        <v>50</v>
      </c>
      <c r="E569" s="1186">
        <v>7</v>
      </c>
      <c r="F569" s="1186">
        <v>89550</v>
      </c>
    </row>
    <row r="570" spans="1:6" x14ac:dyDescent="0.2">
      <c r="A570" s="1186" t="s">
        <v>20</v>
      </c>
      <c r="B570" s="1186" t="s">
        <v>825</v>
      </c>
      <c r="C570" s="1186" t="s">
        <v>116</v>
      </c>
      <c r="D570" s="1186" t="s">
        <v>51</v>
      </c>
      <c r="E570" s="1186">
        <v>45</v>
      </c>
      <c r="F570" s="1186">
        <v>90800</v>
      </c>
    </row>
    <row r="571" spans="1:6" x14ac:dyDescent="0.2">
      <c r="A571" s="1186" t="s">
        <v>20</v>
      </c>
      <c r="B571" s="1186" t="s">
        <v>825</v>
      </c>
      <c r="C571" s="1186" t="s">
        <v>116</v>
      </c>
      <c r="D571" s="1186" t="s">
        <v>52</v>
      </c>
      <c r="E571" s="1186">
        <v>49</v>
      </c>
      <c r="F571" s="1186">
        <v>174090</v>
      </c>
    </row>
    <row r="572" spans="1:6" x14ac:dyDescent="0.2">
      <c r="A572" s="1186" t="s">
        <v>20</v>
      </c>
      <c r="B572" s="1186" t="s">
        <v>826</v>
      </c>
      <c r="C572" s="1186" t="s">
        <v>61</v>
      </c>
      <c r="D572" s="1186" t="s">
        <v>23</v>
      </c>
      <c r="E572" s="1186">
        <v>2</v>
      </c>
      <c r="F572" s="1186">
        <v>219730</v>
      </c>
    </row>
    <row r="573" spans="1:6" x14ac:dyDescent="0.2">
      <c r="A573" s="1186" t="s">
        <v>20</v>
      </c>
      <c r="B573" s="1186" t="s">
        <v>826</v>
      </c>
      <c r="C573" s="1186" t="s">
        <v>61</v>
      </c>
      <c r="D573" s="1186" t="s">
        <v>24</v>
      </c>
      <c r="E573" s="1186">
        <v>29</v>
      </c>
      <c r="F573" s="1186">
        <v>251430</v>
      </c>
    </row>
    <row r="574" spans="1:6" x14ac:dyDescent="0.2">
      <c r="A574" s="1186" t="s">
        <v>20</v>
      </c>
      <c r="B574" s="1186" t="s">
        <v>826</v>
      </c>
      <c r="C574" s="1186" t="s">
        <v>61</v>
      </c>
      <c r="D574" s="1186" t="s">
        <v>25</v>
      </c>
      <c r="E574" s="1186">
        <v>7</v>
      </c>
      <c r="F574" s="1186">
        <v>115410</v>
      </c>
    </row>
    <row r="575" spans="1:6" x14ac:dyDescent="0.2">
      <c r="A575" s="1186" t="s">
        <v>20</v>
      </c>
      <c r="B575" s="1186" t="s">
        <v>826</v>
      </c>
      <c r="C575" s="1186" t="s">
        <v>61</v>
      </c>
      <c r="D575" s="1186" t="s">
        <v>26</v>
      </c>
      <c r="E575" s="1186">
        <v>16</v>
      </c>
      <c r="F575" s="1186">
        <v>88620</v>
      </c>
    </row>
    <row r="576" spans="1:6" x14ac:dyDescent="0.2">
      <c r="A576" s="1186" t="s">
        <v>20</v>
      </c>
      <c r="B576" s="1186" t="s">
        <v>826</v>
      </c>
      <c r="C576" s="1186" t="s">
        <v>61</v>
      </c>
      <c r="D576" s="1186" t="s">
        <v>619</v>
      </c>
      <c r="E576" s="1186">
        <v>28</v>
      </c>
      <c r="F576" s="1186">
        <v>469930</v>
      </c>
    </row>
    <row r="577" spans="1:6" x14ac:dyDescent="0.2">
      <c r="A577" s="1186" t="s">
        <v>20</v>
      </c>
      <c r="B577" s="1186" t="s">
        <v>826</v>
      </c>
      <c r="C577" s="1186" t="s">
        <v>61</v>
      </c>
      <c r="D577" s="1186" t="s">
        <v>27</v>
      </c>
      <c r="E577" s="1186">
        <v>5</v>
      </c>
      <c r="F577" s="1186">
        <v>51330</v>
      </c>
    </row>
    <row r="578" spans="1:6" x14ac:dyDescent="0.2">
      <c r="A578" s="1186" t="s">
        <v>20</v>
      </c>
      <c r="B578" s="1186" t="s">
        <v>826</v>
      </c>
      <c r="C578" s="1186" t="s">
        <v>61</v>
      </c>
      <c r="D578" s="1186" t="s">
        <v>28</v>
      </c>
      <c r="E578" s="1186">
        <v>7</v>
      </c>
      <c r="F578" s="1186">
        <v>151100</v>
      </c>
    </row>
    <row r="579" spans="1:6" x14ac:dyDescent="0.2">
      <c r="A579" s="1186" t="s">
        <v>20</v>
      </c>
      <c r="B579" s="1186" t="s">
        <v>826</v>
      </c>
      <c r="C579" s="1186" t="s">
        <v>61</v>
      </c>
      <c r="D579" s="1186" t="s">
        <v>29</v>
      </c>
      <c r="E579" s="1186">
        <v>7</v>
      </c>
      <c r="F579" s="1186">
        <v>146060</v>
      </c>
    </row>
    <row r="580" spans="1:6" x14ac:dyDescent="0.2">
      <c r="A580" s="1186" t="s">
        <v>20</v>
      </c>
      <c r="B580" s="1186" t="s">
        <v>826</v>
      </c>
      <c r="C580" s="1186" t="s">
        <v>61</v>
      </c>
      <c r="D580" s="1186" t="s">
        <v>30</v>
      </c>
      <c r="E580" s="1186">
        <v>17</v>
      </c>
      <c r="F580" s="1186">
        <v>122410</v>
      </c>
    </row>
    <row r="581" spans="1:6" x14ac:dyDescent="0.2">
      <c r="A581" s="1186" t="s">
        <v>20</v>
      </c>
      <c r="B581" s="1186" t="s">
        <v>826</v>
      </c>
      <c r="C581" s="1186" t="s">
        <v>61</v>
      </c>
      <c r="D581" s="1186" t="s">
        <v>31</v>
      </c>
      <c r="E581" s="1186">
        <v>1</v>
      </c>
      <c r="F581" s="1186">
        <v>104920</v>
      </c>
    </row>
    <row r="582" spans="1:6" x14ac:dyDescent="0.2">
      <c r="A582" s="1186" t="s">
        <v>20</v>
      </c>
      <c r="B582" s="1186" t="s">
        <v>826</v>
      </c>
      <c r="C582" s="1186" t="s">
        <v>61</v>
      </c>
      <c r="D582" s="1186" t="s">
        <v>32</v>
      </c>
      <c r="E582" s="1186">
        <v>10</v>
      </c>
      <c r="F582" s="1186">
        <v>99140</v>
      </c>
    </row>
    <row r="583" spans="1:6" x14ac:dyDescent="0.2">
      <c r="A583" s="1186" t="s">
        <v>20</v>
      </c>
      <c r="B583" s="1186" t="s">
        <v>826</v>
      </c>
      <c r="C583" s="1186" t="s">
        <v>61</v>
      </c>
      <c r="D583" s="1186" t="s">
        <v>33</v>
      </c>
      <c r="E583" s="1186">
        <v>4</v>
      </c>
      <c r="F583" s="1186">
        <v>90410</v>
      </c>
    </row>
    <row r="584" spans="1:6" x14ac:dyDescent="0.2">
      <c r="A584" s="1186" t="s">
        <v>20</v>
      </c>
      <c r="B584" s="1186" t="s">
        <v>826</v>
      </c>
      <c r="C584" s="1186" t="s">
        <v>61</v>
      </c>
      <c r="D584" s="1186" t="s">
        <v>34</v>
      </c>
      <c r="E584" s="1186">
        <v>18</v>
      </c>
      <c r="F584" s="1186">
        <v>155130</v>
      </c>
    </row>
    <row r="585" spans="1:6" x14ac:dyDescent="0.2">
      <c r="A585" s="1186" t="s">
        <v>20</v>
      </c>
      <c r="B585" s="1186" t="s">
        <v>826</v>
      </c>
      <c r="C585" s="1186" t="s">
        <v>61</v>
      </c>
      <c r="D585" s="1186" t="s">
        <v>35</v>
      </c>
      <c r="E585" s="1186">
        <v>28</v>
      </c>
      <c r="F585" s="1186">
        <v>362610</v>
      </c>
    </row>
    <row r="586" spans="1:6" x14ac:dyDescent="0.2">
      <c r="A586" s="1186" t="s">
        <v>20</v>
      </c>
      <c r="B586" s="1186" t="s">
        <v>826</v>
      </c>
      <c r="C586" s="1186" t="s">
        <v>61</v>
      </c>
      <c r="D586" s="1186" t="s">
        <v>36</v>
      </c>
      <c r="E586" s="1186">
        <v>35</v>
      </c>
      <c r="F586" s="1186">
        <v>586500</v>
      </c>
    </row>
    <row r="587" spans="1:6" x14ac:dyDescent="0.2">
      <c r="A587" s="1186" t="s">
        <v>20</v>
      </c>
      <c r="B587" s="1186" t="s">
        <v>826</v>
      </c>
      <c r="C587" s="1186" t="s">
        <v>61</v>
      </c>
      <c r="D587" s="1186" t="s">
        <v>37</v>
      </c>
      <c r="E587" s="1186">
        <v>53</v>
      </c>
      <c r="F587" s="1186">
        <v>230730</v>
      </c>
    </row>
    <row r="588" spans="1:6" x14ac:dyDescent="0.2">
      <c r="A588" s="1186" t="s">
        <v>20</v>
      </c>
      <c r="B588" s="1186" t="s">
        <v>826</v>
      </c>
      <c r="C588" s="1186" t="s">
        <v>61</v>
      </c>
      <c r="D588" s="1186" t="s">
        <v>38</v>
      </c>
      <c r="E588" s="1186">
        <v>6</v>
      </c>
      <c r="F588" s="1186">
        <v>81510</v>
      </c>
    </row>
    <row r="589" spans="1:6" x14ac:dyDescent="0.2">
      <c r="A589" s="1186" t="s">
        <v>20</v>
      </c>
      <c r="B589" s="1186" t="s">
        <v>826</v>
      </c>
      <c r="C589" s="1186" t="s">
        <v>61</v>
      </c>
      <c r="D589" s="1186" t="s">
        <v>39</v>
      </c>
      <c r="E589" s="1186">
        <v>6</v>
      </c>
      <c r="F589" s="1186">
        <v>82360</v>
      </c>
    </row>
    <row r="590" spans="1:6" x14ac:dyDescent="0.2">
      <c r="A590" s="1186" t="s">
        <v>20</v>
      </c>
      <c r="B590" s="1186" t="s">
        <v>826</v>
      </c>
      <c r="C590" s="1186" t="s">
        <v>61</v>
      </c>
      <c r="D590" s="1186" t="s">
        <v>40</v>
      </c>
      <c r="E590" s="1186">
        <v>4</v>
      </c>
      <c r="F590" s="1186">
        <v>93690</v>
      </c>
    </row>
    <row r="591" spans="1:6" x14ac:dyDescent="0.2">
      <c r="A591" s="1186" t="s">
        <v>20</v>
      </c>
      <c r="B591" s="1186" t="s">
        <v>826</v>
      </c>
      <c r="C591" s="1186" t="s">
        <v>61</v>
      </c>
      <c r="D591" s="1186" t="s">
        <v>295</v>
      </c>
      <c r="E591" s="1186">
        <v>7</v>
      </c>
      <c r="F591" s="1186">
        <v>27600</v>
      </c>
    </row>
    <row r="592" spans="1:6" x14ac:dyDescent="0.2">
      <c r="A592" s="1186" t="s">
        <v>20</v>
      </c>
      <c r="B592" s="1186" t="s">
        <v>826</v>
      </c>
      <c r="C592" s="1186" t="s">
        <v>61</v>
      </c>
      <c r="D592" s="1186" t="s">
        <v>41</v>
      </c>
      <c r="E592" s="1186">
        <v>14</v>
      </c>
      <c r="F592" s="1186">
        <v>137800</v>
      </c>
    </row>
    <row r="593" spans="1:6" x14ac:dyDescent="0.2">
      <c r="A593" s="1186" t="s">
        <v>20</v>
      </c>
      <c r="B593" s="1186" t="s">
        <v>826</v>
      </c>
      <c r="C593" s="1186" t="s">
        <v>61</v>
      </c>
      <c r="D593" s="1186" t="s">
        <v>42</v>
      </c>
      <c r="E593" s="1186">
        <v>23</v>
      </c>
      <c r="F593" s="1186">
        <v>336280</v>
      </c>
    </row>
    <row r="594" spans="1:6" x14ac:dyDescent="0.2">
      <c r="A594" s="1186" t="s">
        <v>20</v>
      </c>
      <c r="B594" s="1186" t="s">
        <v>826</v>
      </c>
      <c r="C594" s="1186" t="s">
        <v>61</v>
      </c>
      <c r="D594" s="1186" t="s">
        <v>43</v>
      </c>
      <c r="E594" s="1186">
        <v>4</v>
      </c>
      <c r="F594" s="1186">
        <v>21220</v>
      </c>
    </row>
    <row r="595" spans="1:6" x14ac:dyDescent="0.2">
      <c r="A595" s="1186" t="s">
        <v>20</v>
      </c>
      <c r="B595" s="1186" t="s">
        <v>826</v>
      </c>
      <c r="C595" s="1186" t="s">
        <v>61</v>
      </c>
      <c r="D595" s="1186" t="s">
        <v>44</v>
      </c>
      <c r="E595" s="1186">
        <v>14</v>
      </c>
      <c r="F595" s="1186">
        <v>145600</v>
      </c>
    </row>
    <row r="596" spans="1:6" x14ac:dyDescent="0.2">
      <c r="A596" s="1186" t="s">
        <v>20</v>
      </c>
      <c r="B596" s="1186" t="s">
        <v>826</v>
      </c>
      <c r="C596" s="1186" t="s">
        <v>61</v>
      </c>
      <c r="D596" s="1186" t="s">
        <v>45</v>
      </c>
      <c r="E596" s="1186">
        <v>11</v>
      </c>
      <c r="F596" s="1186">
        <v>173700</v>
      </c>
    </row>
    <row r="597" spans="1:6" x14ac:dyDescent="0.2">
      <c r="A597" s="1186" t="s">
        <v>20</v>
      </c>
      <c r="B597" s="1186" t="s">
        <v>826</v>
      </c>
      <c r="C597" s="1186" t="s">
        <v>61</v>
      </c>
      <c r="D597" s="1186" t="s">
        <v>46</v>
      </c>
      <c r="E597" s="1186">
        <v>16</v>
      </c>
      <c r="F597" s="1186">
        <v>113700</v>
      </c>
    </row>
    <row r="598" spans="1:6" x14ac:dyDescent="0.2">
      <c r="A598" s="1186" t="s">
        <v>20</v>
      </c>
      <c r="B598" s="1186" t="s">
        <v>826</v>
      </c>
      <c r="C598" s="1186" t="s">
        <v>61</v>
      </c>
      <c r="D598" s="1186" t="s">
        <v>47</v>
      </c>
      <c r="E598" s="1186">
        <v>4</v>
      </c>
      <c r="F598" s="1186">
        <v>23060</v>
      </c>
    </row>
    <row r="599" spans="1:6" x14ac:dyDescent="0.2">
      <c r="A599" s="1186" t="s">
        <v>20</v>
      </c>
      <c r="B599" s="1186" t="s">
        <v>826</v>
      </c>
      <c r="C599" s="1186" t="s">
        <v>61</v>
      </c>
      <c r="D599" s="1186" t="s">
        <v>48</v>
      </c>
      <c r="E599" s="1186">
        <v>10</v>
      </c>
      <c r="F599" s="1186">
        <v>112600</v>
      </c>
    </row>
    <row r="600" spans="1:6" x14ac:dyDescent="0.2">
      <c r="A600" s="1186" t="s">
        <v>20</v>
      </c>
      <c r="B600" s="1186" t="s">
        <v>826</v>
      </c>
      <c r="C600" s="1186" t="s">
        <v>61</v>
      </c>
      <c r="D600" s="1186" t="s">
        <v>49</v>
      </c>
      <c r="E600" s="1186">
        <v>22</v>
      </c>
      <c r="F600" s="1186">
        <v>313180</v>
      </c>
    </row>
    <row r="601" spans="1:6" x14ac:dyDescent="0.2">
      <c r="A601" s="1186" t="s">
        <v>20</v>
      </c>
      <c r="B601" s="1186" t="s">
        <v>826</v>
      </c>
      <c r="C601" s="1186" t="s">
        <v>61</v>
      </c>
      <c r="D601" s="1186" t="s">
        <v>50</v>
      </c>
      <c r="E601" s="1186">
        <v>9</v>
      </c>
      <c r="F601" s="1186">
        <v>89550</v>
      </c>
    </row>
    <row r="602" spans="1:6" x14ac:dyDescent="0.2">
      <c r="A602" s="1186" t="s">
        <v>20</v>
      </c>
      <c r="B602" s="1186" t="s">
        <v>826</v>
      </c>
      <c r="C602" s="1186" t="s">
        <v>61</v>
      </c>
      <c r="D602" s="1186" t="s">
        <v>51</v>
      </c>
      <c r="E602" s="1186">
        <v>8</v>
      </c>
      <c r="F602" s="1186">
        <v>90800</v>
      </c>
    </row>
    <row r="603" spans="1:6" x14ac:dyDescent="0.2">
      <c r="A603" s="1186" t="s">
        <v>20</v>
      </c>
      <c r="B603" s="1186" t="s">
        <v>826</v>
      </c>
      <c r="C603" s="1186" t="s">
        <v>61</v>
      </c>
      <c r="D603" s="1186" t="s">
        <v>52</v>
      </c>
      <c r="E603" s="1186">
        <v>13</v>
      </c>
      <c r="F603" s="1186">
        <v>174090</v>
      </c>
    </row>
    <row r="604" spans="1:6" x14ac:dyDescent="0.2">
      <c r="A604" s="1186" t="s">
        <v>20</v>
      </c>
      <c r="B604" s="1186" t="s">
        <v>826</v>
      </c>
      <c r="C604" s="1186" t="s">
        <v>116</v>
      </c>
      <c r="D604" s="1186" t="s">
        <v>23</v>
      </c>
      <c r="E604" s="1186">
        <v>14</v>
      </c>
      <c r="F604" s="1186">
        <v>219730</v>
      </c>
    </row>
    <row r="605" spans="1:6" x14ac:dyDescent="0.2">
      <c r="A605" s="1186" t="s">
        <v>20</v>
      </c>
      <c r="B605" s="1186" t="s">
        <v>826</v>
      </c>
      <c r="C605" s="1186" t="s">
        <v>116</v>
      </c>
      <c r="D605" s="1186" t="s">
        <v>24</v>
      </c>
      <c r="E605" s="1186">
        <v>18</v>
      </c>
      <c r="F605" s="1186">
        <v>251430</v>
      </c>
    </row>
    <row r="606" spans="1:6" x14ac:dyDescent="0.2">
      <c r="A606" s="1186" t="s">
        <v>20</v>
      </c>
      <c r="B606" s="1186" t="s">
        <v>826</v>
      </c>
      <c r="C606" s="1186" t="s">
        <v>116</v>
      </c>
      <c r="D606" s="1186" t="s">
        <v>25</v>
      </c>
      <c r="E606" s="1186">
        <v>12</v>
      </c>
      <c r="F606" s="1186">
        <v>115410</v>
      </c>
    </row>
    <row r="607" spans="1:6" x14ac:dyDescent="0.2">
      <c r="A607" s="1186" t="s">
        <v>20</v>
      </c>
      <c r="B607" s="1186" t="s">
        <v>826</v>
      </c>
      <c r="C607" s="1186" t="s">
        <v>116</v>
      </c>
      <c r="D607" s="1186" t="s">
        <v>26</v>
      </c>
      <c r="E607" s="1186">
        <v>8</v>
      </c>
      <c r="F607" s="1186">
        <v>88620</v>
      </c>
    </row>
    <row r="608" spans="1:6" x14ac:dyDescent="0.2">
      <c r="A608" s="1186" t="s">
        <v>20</v>
      </c>
      <c r="B608" s="1186" t="s">
        <v>826</v>
      </c>
      <c r="C608" s="1186" t="s">
        <v>116</v>
      </c>
      <c r="D608" s="1186" t="s">
        <v>619</v>
      </c>
      <c r="E608" s="1186">
        <v>118</v>
      </c>
      <c r="F608" s="1186">
        <v>469930</v>
      </c>
    </row>
    <row r="609" spans="1:6" x14ac:dyDescent="0.2">
      <c r="A609" s="1186" t="s">
        <v>20</v>
      </c>
      <c r="B609" s="1186" t="s">
        <v>826</v>
      </c>
      <c r="C609" s="1186" t="s">
        <v>116</v>
      </c>
      <c r="D609" s="1186" t="s">
        <v>27</v>
      </c>
      <c r="E609" s="1186">
        <v>17</v>
      </c>
      <c r="F609" s="1186">
        <v>51330</v>
      </c>
    </row>
    <row r="610" spans="1:6" x14ac:dyDescent="0.2">
      <c r="A610" s="1186" t="s">
        <v>20</v>
      </c>
      <c r="B610" s="1186" t="s">
        <v>826</v>
      </c>
      <c r="C610" s="1186" t="s">
        <v>116</v>
      </c>
      <c r="D610" s="1186" t="s">
        <v>28</v>
      </c>
      <c r="E610" s="1186">
        <v>6</v>
      </c>
      <c r="F610" s="1186">
        <v>151100</v>
      </c>
    </row>
    <row r="611" spans="1:6" x14ac:dyDescent="0.2">
      <c r="A611" s="1186" t="s">
        <v>20</v>
      </c>
      <c r="B611" s="1186" t="s">
        <v>826</v>
      </c>
      <c r="C611" s="1186" t="s">
        <v>116</v>
      </c>
      <c r="D611" s="1186" t="s">
        <v>29</v>
      </c>
      <c r="E611" s="1186">
        <v>19</v>
      </c>
      <c r="F611" s="1186">
        <v>146060</v>
      </c>
    </row>
    <row r="612" spans="1:6" x14ac:dyDescent="0.2">
      <c r="A612" s="1186" t="s">
        <v>20</v>
      </c>
      <c r="B612" s="1186" t="s">
        <v>826</v>
      </c>
      <c r="C612" s="1186" t="s">
        <v>116</v>
      </c>
      <c r="D612" s="1186" t="s">
        <v>30</v>
      </c>
      <c r="E612" s="1186">
        <v>27</v>
      </c>
      <c r="F612" s="1186">
        <v>122410</v>
      </c>
    </row>
    <row r="613" spans="1:6" x14ac:dyDescent="0.2">
      <c r="A613" s="1186" t="s">
        <v>20</v>
      </c>
      <c r="B613" s="1186" t="s">
        <v>826</v>
      </c>
      <c r="C613" s="1186" t="s">
        <v>116</v>
      </c>
      <c r="D613" s="1186" t="s">
        <v>31</v>
      </c>
      <c r="E613" s="1186">
        <v>14</v>
      </c>
      <c r="F613" s="1186">
        <v>104920</v>
      </c>
    </row>
    <row r="614" spans="1:6" x14ac:dyDescent="0.2">
      <c r="A614" s="1186" t="s">
        <v>20</v>
      </c>
      <c r="B614" s="1186" t="s">
        <v>826</v>
      </c>
      <c r="C614" s="1186" t="s">
        <v>116</v>
      </c>
      <c r="D614" s="1186" t="s">
        <v>32</v>
      </c>
      <c r="E614" s="1186">
        <v>28</v>
      </c>
      <c r="F614" s="1186">
        <v>99140</v>
      </c>
    </row>
    <row r="615" spans="1:6" x14ac:dyDescent="0.2">
      <c r="A615" s="1186" t="s">
        <v>20</v>
      </c>
      <c r="B615" s="1186" t="s">
        <v>826</v>
      </c>
      <c r="C615" s="1186" t="s">
        <v>116</v>
      </c>
      <c r="D615" s="1186" t="s">
        <v>33</v>
      </c>
      <c r="E615" s="1186">
        <v>10</v>
      </c>
      <c r="F615" s="1186">
        <v>90410</v>
      </c>
    </row>
    <row r="616" spans="1:6" x14ac:dyDescent="0.2">
      <c r="A616" s="1186" t="s">
        <v>20</v>
      </c>
      <c r="B616" s="1186" t="s">
        <v>826</v>
      </c>
      <c r="C616" s="1186" t="s">
        <v>116</v>
      </c>
      <c r="D616" s="1186" t="s">
        <v>34</v>
      </c>
      <c r="E616" s="1186">
        <v>29</v>
      </c>
      <c r="F616" s="1186">
        <v>155130</v>
      </c>
    </row>
    <row r="617" spans="1:6" x14ac:dyDescent="0.2">
      <c r="A617" s="1186" t="s">
        <v>20</v>
      </c>
      <c r="B617" s="1186" t="s">
        <v>826</v>
      </c>
      <c r="C617" s="1186" t="s">
        <v>116</v>
      </c>
      <c r="D617" s="1186" t="s">
        <v>35</v>
      </c>
      <c r="E617" s="1186">
        <v>38</v>
      </c>
      <c r="F617" s="1186">
        <v>362610</v>
      </c>
    </row>
    <row r="618" spans="1:6" x14ac:dyDescent="0.2">
      <c r="A618" s="1186" t="s">
        <v>20</v>
      </c>
      <c r="B618" s="1186" t="s">
        <v>826</v>
      </c>
      <c r="C618" s="1186" t="s">
        <v>116</v>
      </c>
      <c r="D618" s="1186" t="s">
        <v>36</v>
      </c>
      <c r="E618" s="1186">
        <v>117</v>
      </c>
      <c r="F618" s="1186">
        <v>586500</v>
      </c>
    </row>
    <row r="619" spans="1:6" x14ac:dyDescent="0.2">
      <c r="A619" s="1186" t="s">
        <v>20</v>
      </c>
      <c r="B619" s="1186" t="s">
        <v>826</v>
      </c>
      <c r="C619" s="1186" t="s">
        <v>116</v>
      </c>
      <c r="D619" s="1186" t="s">
        <v>37</v>
      </c>
      <c r="E619" s="1186">
        <v>23</v>
      </c>
      <c r="F619" s="1186">
        <v>230730</v>
      </c>
    </row>
    <row r="620" spans="1:6" x14ac:dyDescent="0.2">
      <c r="A620" s="1186" t="s">
        <v>20</v>
      </c>
      <c r="B620" s="1186" t="s">
        <v>826</v>
      </c>
      <c r="C620" s="1186" t="s">
        <v>116</v>
      </c>
      <c r="D620" s="1186" t="s">
        <v>38</v>
      </c>
      <c r="E620" s="1186">
        <v>25</v>
      </c>
      <c r="F620" s="1186">
        <v>81510</v>
      </c>
    </row>
    <row r="621" spans="1:6" x14ac:dyDescent="0.2">
      <c r="A621" s="1186" t="s">
        <v>20</v>
      </c>
      <c r="B621" s="1186" t="s">
        <v>826</v>
      </c>
      <c r="C621" s="1186" t="s">
        <v>116</v>
      </c>
      <c r="D621" s="1186" t="s">
        <v>39</v>
      </c>
      <c r="E621" s="1186">
        <v>32</v>
      </c>
      <c r="F621" s="1186">
        <v>82360</v>
      </c>
    </row>
    <row r="622" spans="1:6" x14ac:dyDescent="0.2">
      <c r="A622" s="1186" t="s">
        <v>20</v>
      </c>
      <c r="B622" s="1186" t="s">
        <v>826</v>
      </c>
      <c r="C622" s="1186" t="s">
        <v>116</v>
      </c>
      <c r="D622" s="1186" t="s">
        <v>40</v>
      </c>
      <c r="E622" s="1186">
        <v>8</v>
      </c>
      <c r="F622" s="1186">
        <v>93690</v>
      </c>
    </row>
    <row r="623" spans="1:6" x14ac:dyDescent="0.2">
      <c r="A623" s="1186" t="s">
        <v>20</v>
      </c>
      <c r="B623" s="1186" t="s">
        <v>826</v>
      </c>
      <c r="C623" s="1186" t="s">
        <v>116</v>
      </c>
      <c r="D623" s="1186" t="s">
        <v>41</v>
      </c>
      <c r="E623" s="1186">
        <v>29</v>
      </c>
      <c r="F623" s="1186">
        <v>137800</v>
      </c>
    </row>
    <row r="624" spans="1:6" x14ac:dyDescent="0.2">
      <c r="A624" s="1186" t="s">
        <v>20</v>
      </c>
      <c r="B624" s="1186" t="s">
        <v>826</v>
      </c>
      <c r="C624" s="1186" t="s">
        <v>116</v>
      </c>
      <c r="D624" s="1186" t="s">
        <v>42</v>
      </c>
      <c r="E624" s="1186">
        <v>83</v>
      </c>
      <c r="F624" s="1186">
        <v>336280</v>
      </c>
    </row>
    <row r="625" spans="1:6" x14ac:dyDescent="0.2">
      <c r="A625" s="1186" t="s">
        <v>20</v>
      </c>
      <c r="B625" s="1186" t="s">
        <v>826</v>
      </c>
      <c r="C625" s="1186" t="s">
        <v>116</v>
      </c>
      <c r="D625" s="1186" t="s">
        <v>43</v>
      </c>
      <c r="E625" s="1186">
        <v>1</v>
      </c>
      <c r="F625" s="1186">
        <v>21220</v>
      </c>
    </row>
    <row r="626" spans="1:6" x14ac:dyDescent="0.2">
      <c r="A626" s="1186" t="s">
        <v>20</v>
      </c>
      <c r="B626" s="1186" t="s">
        <v>826</v>
      </c>
      <c r="C626" s="1186" t="s">
        <v>116</v>
      </c>
      <c r="D626" s="1186" t="s">
        <v>44</v>
      </c>
      <c r="E626" s="1186">
        <v>3</v>
      </c>
      <c r="F626" s="1186">
        <v>145600</v>
      </c>
    </row>
    <row r="627" spans="1:6" x14ac:dyDescent="0.2">
      <c r="A627" s="1186" t="s">
        <v>20</v>
      </c>
      <c r="B627" s="1186" t="s">
        <v>826</v>
      </c>
      <c r="C627" s="1186" t="s">
        <v>116</v>
      </c>
      <c r="D627" s="1186" t="s">
        <v>45</v>
      </c>
      <c r="E627" s="1186">
        <v>37</v>
      </c>
      <c r="F627" s="1186">
        <v>173700</v>
      </c>
    </row>
    <row r="628" spans="1:6" x14ac:dyDescent="0.2">
      <c r="A628" s="1186" t="s">
        <v>20</v>
      </c>
      <c r="B628" s="1186" t="s">
        <v>826</v>
      </c>
      <c r="C628" s="1186" t="s">
        <v>116</v>
      </c>
      <c r="D628" s="1186" t="s">
        <v>46</v>
      </c>
      <c r="E628" s="1186">
        <v>33</v>
      </c>
      <c r="F628" s="1186">
        <v>113700</v>
      </c>
    </row>
    <row r="629" spans="1:6" x14ac:dyDescent="0.2">
      <c r="A629" s="1186" t="s">
        <v>20</v>
      </c>
      <c r="B629" s="1186" t="s">
        <v>826</v>
      </c>
      <c r="C629" s="1186" t="s">
        <v>116</v>
      </c>
      <c r="D629" s="1186" t="s">
        <v>47</v>
      </c>
      <c r="E629" s="1186">
        <v>1</v>
      </c>
      <c r="F629" s="1186">
        <v>23060</v>
      </c>
    </row>
    <row r="630" spans="1:6" x14ac:dyDescent="0.2">
      <c r="A630" s="1186" t="s">
        <v>20</v>
      </c>
      <c r="B630" s="1186" t="s">
        <v>826</v>
      </c>
      <c r="C630" s="1186" t="s">
        <v>116</v>
      </c>
      <c r="D630" s="1186" t="s">
        <v>48</v>
      </c>
      <c r="E630" s="1186">
        <v>9</v>
      </c>
      <c r="F630" s="1186">
        <v>112600</v>
      </c>
    </row>
    <row r="631" spans="1:6" x14ac:dyDescent="0.2">
      <c r="A631" s="1186" t="s">
        <v>20</v>
      </c>
      <c r="B631" s="1186" t="s">
        <v>826</v>
      </c>
      <c r="C631" s="1186" t="s">
        <v>116</v>
      </c>
      <c r="D631" s="1186" t="s">
        <v>49</v>
      </c>
      <c r="E631" s="1186">
        <v>78</v>
      </c>
      <c r="F631" s="1186">
        <v>313180</v>
      </c>
    </row>
    <row r="632" spans="1:6" x14ac:dyDescent="0.2">
      <c r="A632" s="1186" t="s">
        <v>20</v>
      </c>
      <c r="B632" s="1186" t="s">
        <v>826</v>
      </c>
      <c r="C632" s="1186" t="s">
        <v>116</v>
      </c>
      <c r="D632" s="1186" t="s">
        <v>50</v>
      </c>
      <c r="E632" s="1186">
        <v>6</v>
      </c>
      <c r="F632" s="1186">
        <v>89550</v>
      </c>
    </row>
    <row r="633" spans="1:6" x14ac:dyDescent="0.2">
      <c r="A633" s="1186" t="s">
        <v>20</v>
      </c>
      <c r="B633" s="1186" t="s">
        <v>826</v>
      </c>
      <c r="C633" s="1186" t="s">
        <v>116</v>
      </c>
      <c r="D633" s="1186" t="s">
        <v>51</v>
      </c>
      <c r="E633" s="1186">
        <v>13</v>
      </c>
      <c r="F633" s="1186">
        <v>90800</v>
      </c>
    </row>
    <row r="634" spans="1:6" x14ac:dyDescent="0.2">
      <c r="A634" s="1186" t="s">
        <v>20</v>
      </c>
      <c r="B634" s="1186" t="s">
        <v>826</v>
      </c>
      <c r="C634" s="1186" t="s">
        <v>116</v>
      </c>
      <c r="D634" s="1186" t="s">
        <v>52</v>
      </c>
      <c r="E634" s="1186">
        <v>78</v>
      </c>
      <c r="F634" s="1186">
        <v>174090</v>
      </c>
    </row>
    <row r="635" spans="1:6" x14ac:dyDescent="0.2">
      <c r="A635" s="1186" t="s">
        <v>20</v>
      </c>
      <c r="B635" s="1186" t="s">
        <v>308</v>
      </c>
      <c r="C635" s="1186" t="s">
        <v>61</v>
      </c>
      <c r="D635" s="1186" t="s">
        <v>23</v>
      </c>
      <c r="E635" s="1186">
        <v>77</v>
      </c>
      <c r="F635" s="1186">
        <v>219730</v>
      </c>
    </row>
    <row r="636" spans="1:6" x14ac:dyDescent="0.2">
      <c r="A636" s="1186" t="s">
        <v>20</v>
      </c>
      <c r="B636" s="1186" t="s">
        <v>308</v>
      </c>
      <c r="C636" s="1186" t="s">
        <v>61</v>
      </c>
      <c r="D636" s="1186" t="s">
        <v>24</v>
      </c>
      <c r="E636" s="1186">
        <v>84</v>
      </c>
      <c r="F636" s="1186">
        <v>251430</v>
      </c>
    </row>
    <row r="637" spans="1:6" x14ac:dyDescent="0.2">
      <c r="A637" s="1186" t="s">
        <v>20</v>
      </c>
      <c r="B637" s="1186" t="s">
        <v>308</v>
      </c>
      <c r="C637" s="1186" t="s">
        <v>61</v>
      </c>
      <c r="D637" s="1186" t="s">
        <v>25</v>
      </c>
      <c r="E637" s="1186">
        <v>58</v>
      </c>
      <c r="F637" s="1186">
        <v>115410</v>
      </c>
    </row>
    <row r="638" spans="1:6" x14ac:dyDescent="0.2">
      <c r="A638" s="1186" t="s">
        <v>20</v>
      </c>
      <c r="B638" s="1186" t="s">
        <v>308</v>
      </c>
      <c r="C638" s="1186" t="s">
        <v>61</v>
      </c>
      <c r="D638" s="1186" t="s">
        <v>26</v>
      </c>
      <c r="E638" s="1186">
        <v>120</v>
      </c>
      <c r="F638" s="1186">
        <v>88620</v>
      </c>
    </row>
    <row r="639" spans="1:6" x14ac:dyDescent="0.2">
      <c r="A639" s="1186" t="s">
        <v>20</v>
      </c>
      <c r="B639" s="1186" t="s">
        <v>308</v>
      </c>
      <c r="C639" s="1186" t="s">
        <v>61</v>
      </c>
      <c r="D639" s="1186" t="s">
        <v>619</v>
      </c>
      <c r="E639" s="1186">
        <v>311</v>
      </c>
      <c r="F639" s="1186">
        <v>469930</v>
      </c>
    </row>
    <row r="640" spans="1:6" x14ac:dyDescent="0.2">
      <c r="A640" s="1186" t="s">
        <v>20</v>
      </c>
      <c r="B640" s="1186" t="s">
        <v>308</v>
      </c>
      <c r="C640" s="1186" t="s">
        <v>61</v>
      </c>
      <c r="D640" s="1186" t="s">
        <v>27</v>
      </c>
      <c r="E640" s="1186">
        <v>37</v>
      </c>
      <c r="F640" s="1186">
        <v>51330</v>
      </c>
    </row>
    <row r="641" spans="1:6" x14ac:dyDescent="0.2">
      <c r="A641" s="1186" t="s">
        <v>20</v>
      </c>
      <c r="B641" s="1186" t="s">
        <v>308</v>
      </c>
      <c r="C641" s="1186" t="s">
        <v>61</v>
      </c>
      <c r="D641" s="1186" t="s">
        <v>28</v>
      </c>
      <c r="E641" s="1186">
        <v>93</v>
      </c>
      <c r="F641" s="1186">
        <v>151100</v>
      </c>
    </row>
    <row r="642" spans="1:6" x14ac:dyDescent="0.2">
      <c r="A642" s="1186" t="s">
        <v>20</v>
      </c>
      <c r="B642" s="1186" t="s">
        <v>308</v>
      </c>
      <c r="C642" s="1186" t="s">
        <v>61</v>
      </c>
      <c r="D642" s="1186" t="s">
        <v>29</v>
      </c>
      <c r="E642" s="1186">
        <v>94</v>
      </c>
      <c r="F642" s="1186">
        <v>146060</v>
      </c>
    </row>
    <row r="643" spans="1:6" x14ac:dyDescent="0.2">
      <c r="A643" s="1186" t="s">
        <v>20</v>
      </c>
      <c r="B643" s="1186" t="s">
        <v>308</v>
      </c>
      <c r="C643" s="1186" t="s">
        <v>61</v>
      </c>
      <c r="D643" s="1186" t="s">
        <v>30</v>
      </c>
      <c r="E643" s="1186">
        <v>51</v>
      </c>
      <c r="F643" s="1186">
        <v>122410</v>
      </c>
    </row>
    <row r="644" spans="1:6" x14ac:dyDescent="0.2">
      <c r="A644" s="1186" t="s">
        <v>20</v>
      </c>
      <c r="B644" s="1186" t="s">
        <v>308</v>
      </c>
      <c r="C644" s="1186" t="s">
        <v>61</v>
      </c>
      <c r="D644" s="1186" t="s">
        <v>31</v>
      </c>
      <c r="E644" s="1186">
        <v>31</v>
      </c>
      <c r="F644" s="1186">
        <v>104920</v>
      </c>
    </row>
    <row r="645" spans="1:6" x14ac:dyDescent="0.2">
      <c r="A645" s="1186" t="s">
        <v>20</v>
      </c>
      <c r="B645" s="1186" t="s">
        <v>308</v>
      </c>
      <c r="C645" s="1186" t="s">
        <v>61</v>
      </c>
      <c r="D645" s="1186" t="s">
        <v>32</v>
      </c>
      <c r="E645" s="1186">
        <v>34</v>
      </c>
      <c r="F645" s="1186">
        <v>99140</v>
      </c>
    </row>
    <row r="646" spans="1:6" x14ac:dyDescent="0.2">
      <c r="A646" s="1186" t="s">
        <v>20</v>
      </c>
      <c r="B646" s="1186" t="s">
        <v>308</v>
      </c>
      <c r="C646" s="1186" t="s">
        <v>61</v>
      </c>
      <c r="D646" s="1186" t="s">
        <v>33</v>
      </c>
      <c r="E646" s="1186">
        <v>9</v>
      </c>
      <c r="F646" s="1186">
        <v>90410</v>
      </c>
    </row>
    <row r="647" spans="1:6" x14ac:dyDescent="0.2">
      <c r="A647" s="1186" t="s">
        <v>20</v>
      </c>
      <c r="B647" s="1186" t="s">
        <v>308</v>
      </c>
      <c r="C647" s="1186" t="s">
        <v>61</v>
      </c>
      <c r="D647" s="1186" t="s">
        <v>34</v>
      </c>
      <c r="E647" s="1186">
        <v>111</v>
      </c>
      <c r="F647" s="1186">
        <v>155130</v>
      </c>
    </row>
    <row r="648" spans="1:6" x14ac:dyDescent="0.2">
      <c r="A648" s="1186" t="s">
        <v>20</v>
      </c>
      <c r="B648" s="1186" t="s">
        <v>308</v>
      </c>
      <c r="C648" s="1186" t="s">
        <v>61</v>
      </c>
      <c r="D648" s="1186" t="s">
        <v>35</v>
      </c>
      <c r="E648" s="1186">
        <v>226</v>
      </c>
      <c r="F648" s="1186">
        <v>362610</v>
      </c>
    </row>
    <row r="649" spans="1:6" x14ac:dyDescent="0.2">
      <c r="A649" s="1186" t="s">
        <v>20</v>
      </c>
      <c r="B649" s="1186" t="s">
        <v>308</v>
      </c>
      <c r="C649" s="1186" t="s">
        <v>61</v>
      </c>
      <c r="D649" s="1186" t="s">
        <v>36</v>
      </c>
      <c r="E649" s="1186">
        <v>187</v>
      </c>
      <c r="F649" s="1186">
        <v>586500</v>
      </c>
    </row>
    <row r="650" spans="1:6" x14ac:dyDescent="0.2">
      <c r="A650" s="1186" t="s">
        <v>20</v>
      </c>
      <c r="B650" s="1186" t="s">
        <v>308</v>
      </c>
      <c r="C650" s="1186" t="s">
        <v>61</v>
      </c>
      <c r="D650" s="1186" t="s">
        <v>37</v>
      </c>
      <c r="E650" s="1186">
        <v>342</v>
      </c>
      <c r="F650" s="1186">
        <v>230730</v>
      </c>
    </row>
    <row r="651" spans="1:6" x14ac:dyDescent="0.2">
      <c r="A651" s="1186" t="s">
        <v>20</v>
      </c>
      <c r="B651" s="1186" t="s">
        <v>308</v>
      </c>
      <c r="C651" s="1186" t="s">
        <v>61</v>
      </c>
      <c r="D651" s="1186" t="s">
        <v>38</v>
      </c>
      <c r="E651" s="1186">
        <v>14</v>
      </c>
      <c r="F651" s="1186">
        <v>81510</v>
      </c>
    </row>
    <row r="652" spans="1:6" x14ac:dyDescent="0.2">
      <c r="A652" s="1186" t="s">
        <v>20</v>
      </c>
      <c r="B652" s="1186" t="s">
        <v>308</v>
      </c>
      <c r="C652" s="1186" t="s">
        <v>61</v>
      </c>
      <c r="D652" s="1186" t="s">
        <v>39</v>
      </c>
      <c r="E652" s="1186">
        <v>29</v>
      </c>
      <c r="F652" s="1186">
        <v>82360</v>
      </c>
    </row>
    <row r="653" spans="1:6" x14ac:dyDescent="0.2">
      <c r="A653" s="1186" t="s">
        <v>20</v>
      </c>
      <c r="B653" s="1186" t="s">
        <v>308</v>
      </c>
      <c r="C653" s="1186" t="s">
        <v>61</v>
      </c>
      <c r="D653" s="1186" t="s">
        <v>40</v>
      </c>
      <c r="E653" s="1186">
        <v>42</v>
      </c>
      <c r="F653" s="1186">
        <v>93690</v>
      </c>
    </row>
    <row r="654" spans="1:6" x14ac:dyDescent="0.2">
      <c r="A654" s="1186" t="s">
        <v>20</v>
      </c>
      <c r="B654" s="1186" t="s">
        <v>308</v>
      </c>
      <c r="C654" s="1186" t="s">
        <v>61</v>
      </c>
      <c r="D654" s="1186" t="s">
        <v>295</v>
      </c>
      <c r="E654" s="1186">
        <v>33</v>
      </c>
      <c r="F654" s="1186">
        <v>27600</v>
      </c>
    </row>
    <row r="655" spans="1:6" x14ac:dyDescent="0.2">
      <c r="A655" s="1186" t="s">
        <v>20</v>
      </c>
      <c r="B655" s="1186" t="s">
        <v>308</v>
      </c>
      <c r="C655" s="1186" t="s">
        <v>61</v>
      </c>
      <c r="D655" s="1186" t="s">
        <v>41</v>
      </c>
      <c r="E655" s="1186">
        <v>57</v>
      </c>
      <c r="F655" s="1186">
        <v>137800</v>
      </c>
    </row>
    <row r="656" spans="1:6" x14ac:dyDescent="0.2">
      <c r="A656" s="1186" t="s">
        <v>20</v>
      </c>
      <c r="B656" s="1186" t="s">
        <v>308</v>
      </c>
      <c r="C656" s="1186" t="s">
        <v>61</v>
      </c>
      <c r="D656" s="1186" t="s">
        <v>42</v>
      </c>
      <c r="E656" s="1186">
        <v>58</v>
      </c>
      <c r="F656" s="1186">
        <v>336280</v>
      </c>
    </row>
    <row r="657" spans="1:6" x14ac:dyDescent="0.2">
      <c r="A657" s="1186" t="s">
        <v>20</v>
      </c>
      <c r="B657" s="1186" t="s">
        <v>308</v>
      </c>
      <c r="C657" s="1186" t="s">
        <v>61</v>
      </c>
      <c r="D657" s="1186" t="s">
        <v>43</v>
      </c>
      <c r="E657" s="1186">
        <v>4</v>
      </c>
      <c r="F657" s="1186">
        <v>21220</v>
      </c>
    </row>
    <row r="658" spans="1:6" x14ac:dyDescent="0.2">
      <c r="A658" s="1186" t="s">
        <v>20</v>
      </c>
      <c r="B658" s="1186" t="s">
        <v>308</v>
      </c>
      <c r="C658" s="1186" t="s">
        <v>61</v>
      </c>
      <c r="D658" s="1186" t="s">
        <v>44</v>
      </c>
      <c r="E658" s="1186">
        <v>112</v>
      </c>
      <c r="F658" s="1186">
        <v>145600</v>
      </c>
    </row>
    <row r="659" spans="1:6" x14ac:dyDescent="0.2">
      <c r="A659" s="1186" t="s">
        <v>20</v>
      </c>
      <c r="B659" s="1186" t="s">
        <v>308</v>
      </c>
      <c r="C659" s="1186" t="s">
        <v>61</v>
      </c>
      <c r="D659" s="1186" t="s">
        <v>45</v>
      </c>
      <c r="E659" s="1186">
        <v>29</v>
      </c>
      <c r="F659" s="1186">
        <v>173700</v>
      </c>
    </row>
    <row r="660" spans="1:6" x14ac:dyDescent="0.2">
      <c r="A660" s="1186" t="s">
        <v>20</v>
      </c>
      <c r="B660" s="1186" t="s">
        <v>308</v>
      </c>
      <c r="C660" s="1186" t="s">
        <v>61</v>
      </c>
      <c r="D660" s="1186" t="s">
        <v>46</v>
      </c>
      <c r="E660" s="1186">
        <v>49</v>
      </c>
      <c r="F660" s="1186">
        <v>113700</v>
      </c>
    </row>
    <row r="661" spans="1:6" x14ac:dyDescent="0.2">
      <c r="A661" s="1186" t="s">
        <v>20</v>
      </c>
      <c r="B661" s="1186" t="s">
        <v>308</v>
      </c>
      <c r="C661" s="1186" t="s">
        <v>61</v>
      </c>
      <c r="D661" s="1186" t="s">
        <v>47</v>
      </c>
      <c r="E661" s="1186">
        <v>17</v>
      </c>
      <c r="F661" s="1186">
        <v>23060</v>
      </c>
    </row>
    <row r="662" spans="1:6" x14ac:dyDescent="0.2">
      <c r="A662" s="1186" t="s">
        <v>20</v>
      </c>
      <c r="B662" s="1186" t="s">
        <v>308</v>
      </c>
      <c r="C662" s="1186" t="s">
        <v>61</v>
      </c>
      <c r="D662" s="1186" t="s">
        <v>48</v>
      </c>
      <c r="E662" s="1186">
        <v>49</v>
      </c>
      <c r="F662" s="1186">
        <v>112600</v>
      </c>
    </row>
    <row r="663" spans="1:6" x14ac:dyDescent="0.2">
      <c r="A663" s="1186" t="s">
        <v>20</v>
      </c>
      <c r="B663" s="1186" t="s">
        <v>308</v>
      </c>
      <c r="C663" s="1186" t="s">
        <v>61</v>
      </c>
      <c r="D663" s="1186" t="s">
        <v>49</v>
      </c>
      <c r="E663" s="1186">
        <v>83</v>
      </c>
      <c r="F663" s="1186">
        <v>313180</v>
      </c>
    </row>
    <row r="664" spans="1:6" x14ac:dyDescent="0.2">
      <c r="A664" s="1186" t="s">
        <v>20</v>
      </c>
      <c r="B664" s="1186" t="s">
        <v>308</v>
      </c>
      <c r="C664" s="1186" t="s">
        <v>61</v>
      </c>
      <c r="D664" s="1186" t="s">
        <v>50</v>
      </c>
      <c r="E664" s="1186">
        <v>59</v>
      </c>
      <c r="F664" s="1186">
        <v>89550</v>
      </c>
    </row>
    <row r="665" spans="1:6" x14ac:dyDescent="0.2">
      <c r="A665" s="1186" t="s">
        <v>20</v>
      </c>
      <c r="B665" s="1186" t="s">
        <v>308</v>
      </c>
      <c r="C665" s="1186" t="s">
        <v>61</v>
      </c>
      <c r="D665" s="1186" t="s">
        <v>51</v>
      </c>
      <c r="E665" s="1186">
        <v>20</v>
      </c>
      <c r="F665" s="1186">
        <v>90800</v>
      </c>
    </row>
    <row r="666" spans="1:6" x14ac:dyDescent="0.2">
      <c r="A666" s="1186" t="s">
        <v>20</v>
      </c>
      <c r="B666" s="1186" t="s">
        <v>308</v>
      </c>
      <c r="C666" s="1186" t="s">
        <v>61</v>
      </c>
      <c r="D666" s="1186" t="s">
        <v>52</v>
      </c>
      <c r="E666" s="1186">
        <v>95</v>
      </c>
      <c r="F666" s="1186">
        <v>174090</v>
      </c>
    </row>
    <row r="667" spans="1:6" x14ac:dyDescent="0.2">
      <c r="A667" s="1186" t="s">
        <v>20</v>
      </c>
      <c r="B667" s="1186" t="s">
        <v>308</v>
      </c>
      <c r="C667" s="1186" t="s">
        <v>116</v>
      </c>
      <c r="D667" s="1186" t="s">
        <v>23</v>
      </c>
      <c r="E667" s="1186">
        <v>445</v>
      </c>
      <c r="F667" s="1186">
        <v>219730</v>
      </c>
    </row>
    <row r="668" spans="1:6" x14ac:dyDescent="0.2">
      <c r="A668" s="1186" t="s">
        <v>20</v>
      </c>
      <c r="B668" s="1186" t="s">
        <v>308</v>
      </c>
      <c r="C668" s="1186" t="s">
        <v>116</v>
      </c>
      <c r="D668" s="1186" t="s">
        <v>24</v>
      </c>
      <c r="E668" s="1186">
        <v>180</v>
      </c>
      <c r="F668" s="1186">
        <v>251430</v>
      </c>
    </row>
    <row r="669" spans="1:6" x14ac:dyDescent="0.2">
      <c r="A669" s="1186" t="s">
        <v>20</v>
      </c>
      <c r="B669" s="1186" t="s">
        <v>308</v>
      </c>
      <c r="C669" s="1186" t="s">
        <v>116</v>
      </c>
      <c r="D669" s="1186" t="s">
        <v>25</v>
      </c>
      <c r="E669" s="1186">
        <v>139</v>
      </c>
      <c r="F669" s="1186">
        <v>115410</v>
      </c>
    </row>
    <row r="670" spans="1:6" x14ac:dyDescent="0.2">
      <c r="A670" s="1186" t="s">
        <v>20</v>
      </c>
      <c r="B670" s="1186" t="s">
        <v>308</v>
      </c>
      <c r="C670" s="1186" t="s">
        <v>116</v>
      </c>
      <c r="D670" s="1186" t="s">
        <v>26</v>
      </c>
      <c r="E670" s="1186">
        <v>140</v>
      </c>
      <c r="F670" s="1186">
        <v>88620</v>
      </c>
    </row>
    <row r="671" spans="1:6" x14ac:dyDescent="0.2">
      <c r="A671" s="1186" t="s">
        <v>20</v>
      </c>
      <c r="B671" s="1186" t="s">
        <v>308</v>
      </c>
      <c r="C671" s="1186" t="s">
        <v>116</v>
      </c>
      <c r="D671" s="1186" t="s">
        <v>619</v>
      </c>
      <c r="E671" s="1186">
        <v>1575</v>
      </c>
      <c r="F671" s="1186">
        <v>469930</v>
      </c>
    </row>
    <row r="672" spans="1:6" x14ac:dyDescent="0.2">
      <c r="A672" s="1186" t="s">
        <v>20</v>
      </c>
      <c r="B672" s="1186" t="s">
        <v>308</v>
      </c>
      <c r="C672" s="1186" t="s">
        <v>116</v>
      </c>
      <c r="D672" s="1186" t="s">
        <v>27</v>
      </c>
      <c r="E672" s="1186">
        <v>159</v>
      </c>
      <c r="F672" s="1186">
        <v>51330</v>
      </c>
    </row>
    <row r="673" spans="1:6" x14ac:dyDescent="0.2">
      <c r="A673" s="1186" t="s">
        <v>20</v>
      </c>
      <c r="B673" s="1186" t="s">
        <v>308</v>
      </c>
      <c r="C673" s="1186" t="s">
        <v>116</v>
      </c>
      <c r="D673" s="1186" t="s">
        <v>28</v>
      </c>
      <c r="E673" s="1186">
        <v>167</v>
      </c>
      <c r="F673" s="1186">
        <v>151100</v>
      </c>
    </row>
    <row r="674" spans="1:6" x14ac:dyDescent="0.2">
      <c r="A674" s="1186" t="s">
        <v>20</v>
      </c>
      <c r="B674" s="1186" t="s">
        <v>308</v>
      </c>
      <c r="C674" s="1186" t="s">
        <v>116</v>
      </c>
      <c r="D674" s="1186" t="s">
        <v>29</v>
      </c>
      <c r="E674" s="1186">
        <v>820</v>
      </c>
      <c r="F674" s="1186">
        <v>146060</v>
      </c>
    </row>
    <row r="675" spans="1:6" x14ac:dyDescent="0.2">
      <c r="A675" s="1186" t="s">
        <v>20</v>
      </c>
      <c r="B675" s="1186" t="s">
        <v>308</v>
      </c>
      <c r="C675" s="1186" t="s">
        <v>116</v>
      </c>
      <c r="D675" s="1186" t="s">
        <v>30</v>
      </c>
      <c r="E675" s="1186">
        <v>1025</v>
      </c>
      <c r="F675" s="1186">
        <v>122410</v>
      </c>
    </row>
    <row r="676" spans="1:6" x14ac:dyDescent="0.2">
      <c r="A676" s="1186" t="s">
        <v>20</v>
      </c>
      <c r="B676" s="1186" t="s">
        <v>308</v>
      </c>
      <c r="C676" s="1186" t="s">
        <v>116</v>
      </c>
      <c r="D676" s="1186" t="s">
        <v>31</v>
      </c>
      <c r="E676" s="1186">
        <v>311</v>
      </c>
      <c r="F676" s="1186">
        <v>104920</v>
      </c>
    </row>
    <row r="677" spans="1:6" x14ac:dyDescent="0.2">
      <c r="A677" s="1186" t="s">
        <v>20</v>
      </c>
      <c r="B677" s="1186" t="s">
        <v>308</v>
      </c>
      <c r="C677" s="1186" t="s">
        <v>116</v>
      </c>
      <c r="D677" s="1186" t="s">
        <v>32</v>
      </c>
      <c r="E677" s="1186">
        <v>252</v>
      </c>
      <c r="F677" s="1186">
        <v>99140</v>
      </c>
    </row>
    <row r="678" spans="1:6" x14ac:dyDescent="0.2">
      <c r="A678" s="1186" t="s">
        <v>20</v>
      </c>
      <c r="B678" s="1186" t="s">
        <v>308</v>
      </c>
      <c r="C678" s="1186" t="s">
        <v>116</v>
      </c>
      <c r="D678" s="1186" t="s">
        <v>33</v>
      </c>
      <c r="E678" s="1186">
        <v>284</v>
      </c>
      <c r="F678" s="1186">
        <v>90410</v>
      </c>
    </row>
    <row r="679" spans="1:6" x14ac:dyDescent="0.2">
      <c r="A679" s="1186" t="s">
        <v>20</v>
      </c>
      <c r="B679" s="1186" t="s">
        <v>308</v>
      </c>
      <c r="C679" s="1186" t="s">
        <v>116</v>
      </c>
      <c r="D679" s="1186" t="s">
        <v>34</v>
      </c>
      <c r="E679" s="1186">
        <v>617</v>
      </c>
      <c r="F679" s="1186">
        <v>155130</v>
      </c>
    </row>
    <row r="680" spans="1:6" x14ac:dyDescent="0.2">
      <c r="A680" s="1186" t="s">
        <v>20</v>
      </c>
      <c r="B680" s="1186" t="s">
        <v>308</v>
      </c>
      <c r="C680" s="1186" t="s">
        <v>116</v>
      </c>
      <c r="D680" s="1186" t="s">
        <v>35</v>
      </c>
      <c r="E680" s="1186">
        <v>899</v>
      </c>
      <c r="F680" s="1186">
        <v>362610</v>
      </c>
    </row>
    <row r="681" spans="1:6" x14ac:dyDescent="0.2">
      <c r="A681" s="1186" t="s">
        <v>20</v>
      </c>
      <c r="B681" s="1186" t="s">
        <v>308</v>
      </c>
      <c r="C681" s="1186" t="s">
        <v>116</v>
      </c>
      <c r="D681" s="1186" t="s">
        <v>36</v>
      </c>
      <c r="E681" s="1186">
        <v>3771</v>
      </c>
      <c r="F681" s="1186">
        <v>586500</v>
      </c>
    </row>
    <row r="682" spans="1:6" x14ac:dyDescent="0.2">
      <c r="A682" s="1186" t="s">
        <v>20</v>
      </c>
      <c r="B682" s="1186" t="s">
        <v>308</v>
      </c>
      <c r="C682" s="1186" t="s">
        <v>116</v>
      </c>
      <c r="D682" s="1186" t="s">
        <v>37</v>
      </c>
      <c r="E682" s="1186">
        <v>255</v>
      </c>
      <c r="F682" s="1186">
        <v>230730</v>
      </c>
    </row>
    <row r="683" spans="1:6" x14ac:dyDescent="0.2">
      <c r="A683" s="1186" t="s">
        <v>20</v>
      </c>
      <c r="B683" s="1186" t="s">
        <v>308</v>
      </c>
      <c r="C683" s="1186" t="s">
        <v>116</v>
      </c>
      <c r="D683" s="1186" t="s">
        <v>38</v>
      </c>
      <c r="E683" s="1186">
        <v>885</v>
      </c>
      <c r="F683" s="1186">
        <v>81510</v>
      </c>
    </row>
    <row r="684" spans="1:6" x14ac:dyDescent="0.2">
      <c r="A684" s="1186" t="s">
        <v>20</v>
      </c>
      <c r="B684" s="1186" t="s">
        <v>308</v>
      </c>
      <c r="C684" s="1186" t="s">
        <v>116</v>
      </c>
      <c r="D684" s="1186" t="s">
        <v>39</v>
      </c>
      <c r="E684" s="1186">
        <v>331</v>
      </c>
      <c r="F684" s="1186">
        <v>82360</v>
      </c>
    </row>
    <row r="685" spans="1:6" x14ac:dyDescent="0.2">
      <c r="A685" s="1186" t="s">
        <v>20</v>
      </c>
      <c r="B685" s="1186" t="s">
        <v>308</v>
      </c>
      <c r="C685" s="1186" t="s">
        <v>116</v>
      </c>
      <c r="D685" s="1186" t="s">
        <v>40</v>
      </c>
      <c r="E685" s="1186">
        <v>131</v>
      </c>
      <c r="F685" s="1186">
        <v>93690</v>
      </c>
    </row>
    <row r="686" spans="1:6" x14ac:dyDescent="0.2">
      <c r="A686" s="1186" t="s">
        <v>20</v>
      </c>
      <c r="B686" s="1186" t="s">
        <v>308</v>
      </c>
      <c r="C686" s="1186" t="s">
        <v>116</v>
      </c>
      <c r="D686" s="1186" t="s">
        <v>295</v>
      </c>
      <c r="E686" s="1186">
        <v>13</v>
      </c>
      <c r="F686" s="1186">
        <v>27600</v>
      </c>
    </row>
    <row r="687" spans="1:6" x14ac:dyDescent="0.2">
      <c r="A687" s="1186" t="s">
        <v>20</v>
      </c>
      <c r="B687" s="1186" t="s">
        <v>308</v>
      </c>
      <c r="C687" s="1186" t="s">
        <v>116</v>
      </c>
      <c r="D687" s="1186" t="s">
        <v>41</v>
      </c>
      <c r="E687" s="1186">
        <v>966</v>
      </c>
      <c r="F687" s="1186">
        <v>137800</v>
      </c>
    </row>
    <row r="688" spans="1:6" x14ac:dyDescent="0.2">
      <c r="A688" s="1186" t="s">
        <v>20</v>
      </c>
      <c r="B688" s="1186" t="s">
        <v>308</v>
      </c>
      <c r="C688" s="1186" t="s">
        <v>116</v>
      </c>
      <c r="D688" s="1186" t="s">
        <v>42</v>
      </c>
      <c r="E688" s="1186">
        <v>2661</v>
      </c>
      <c r="F688" s="1186">
        <v>336280</v>
      </c>
    </row>
    <row r="689" spans="1:6" x14ac:dyDescent="0.2">
      <c r="A689" s="1186" t="s">
        <v>20</v>
      </c>
      <c r="B689" s="1186" t="s">
        <v>308</v>
      </c>
      <c r="C689" s="1186" t="s">
        <v>116</v>
      </c>
      <c r="D689" s="1186" t="s">
        <v>43</v>
      </c>
      <c r="E689" s="1186">
        <v>7</v>
      </c>
      <c r="F689" s="1186">
        <v>21220</v>
      </c>
    </row>
    <row r="690" spans="1:6" x14ac:dyDescent="0.2">
      <c r="A690" s="1186" t="s">
        <v>20</v>
      </c>
      <c r="B690" s="1186" t="s">
        <v>308</v>
      </c>
      <c r="C690" s="1186" t="s">
        <v>116</v>
      </c>
      <c r="D690" s="1186" t="s">
        <v>44</v>
      </c>
      <c r="E690" s="1186">
        <v>158</v>
      </c>
      <c r="F690" s="1186">
        <v>145600</v>
      </c>
    </row>
    <row r="691" spans="1:6" x14ac:dyDescent="0.2">
      <c r="A691" s="1186" t="s">
        <v>20</v>
      </c>
      <c r="B691" s="1186" t="s">
        <v>308</v>
      </c>
      <c r="C691" s="1186" t="s">
        <v>116</v>
      </c>
      <c r="D691" s="1186" t="s">
        <v>45</v>
      </c>
      <c r="E691" s="1186">
        <v>1051</v>
      </c>
      <c r="F691" s="1186">
        <v>173700</v>
      </c>
    </row>
    <row r="692" spans="1:6" x14ac:dyDescent="0.2">
      <c r="A692" s="1186" t="s">
        <v>20</v>
      </c>
      <c r="B692" s="1186" t="s">
        <v>308</v>
      </c>
      <c r="C692" s="1186" t="s">
        <v>116</v>
      </c>
      <c r="D692" s="1186" t="s">
        <v>46</v>
      </c>
      <c r="E692" s="1186">
        <v>101</v>
      </c>
      <c r="F692" s="1186">
        <v>113700</v>
      </c>
    </row>
    <row r="693" spans="1:6" x14ac:dyDescent="0.2">
      <c r="A693" s="1186" t="s">
        <v>20</v>
      </c>
      <c r="B693" s="1186" t="s">
        <v>308</v>
      </c>
      <c r="C693" s="1186" t="s">
        <v>116</v>
      </c>
      <c r="D693" s="1186" t="s">
        <v>48</v>
      </c>
      <c r="E693" s="1186">
        <v>571</v>
      </c>
      <c r="F693" s="1186">
        <v>112600</v>
      </c>
    </row>
    <row r="694" spans="1:6" x14ac:dyDescent="0.2">
      <c r="A694" s="1186" t="s">
        <v>20</v>
      </c>
      <c r="B694" s="1186" t="s">
        <v>308</v>
      </c>
      <c r="C694" s="1186" t="s">
        <v>116</v>
      </c>
      <c r="D694" s="1186" t="s">
        <v>49</v>
      </c>
      <c r="E694" s="1186">
        <v>1861</v>
      </c>
      <c r="F694" s="1186">
        <v>313180</v>
      </c>
    </row>
    <row r="695" spans="1:6" x14ac:dyDescent="0.2">
      <c r="A695" s="1186" t="s">
        <v>20</v>
      </c>
      <c r="B695" s="1186" t="s">
        <v>308</v>
      </c>
      <c r="C695" s="1186" t="s">
        <v>116</v>
      </c>
      <c r="D695" s="1186" t="s">
        <v>50</v>
      </c>
      <c r="E695" s="1186">
        <v>168</v>
      </c>
      <c r="F695" s="1186">
        <v>89550</v>
      </c>
    </row>
    <row r="696" spans="1:6" x14ac:dyDescent="0.2">
      <c r="A696" s="1186" t="s">
        <v>20</v>
      </c>
      <c r="B696" s="1186" t="s">
        <v>308</v>
      </c>
      <c r="C696" s="1186" t="s">
        <v>116</v>
      </c>
      <c r="D696" s="1186" t="s">
        <v>51</v>
      </c>
      <c r="E696" s="1186">
        <v>836</v>
      </c>
      <c r="F696" s="1186">
        <v>90800</v>
      </c>
    </row>
    <row r="697" spans="1:6" x14ac:dyDescent="0.2">
      <c r="A697" s="1186" t="s">
        <v>20</v>
      </c>
      <c r="B697" s="1186" t="s">
        <v>308</v>
      </c>
      <c r="C697" s="1186" t="s">
        <v>116</v>
      </c>
      <c r="D697" s="1186" t="s">
        <v>52</v>
      </c>
      <c r="E697" s="1186">
        <v>823</v>
      </c>
      <c r="F697" s="1186">
        <v>174090</v>
      </c>
    </row>
    <row r="698" spans="1:6" x14ac:dyDescent="0.2">
      <c r="A698" s="1186" t="s">
        <v>13</v>
      </c>
      <c r="B698" s="1186" t="s">
        <v>309</v>
      </c>
      <c r="C698" s="1186" t="s">
        <v>61</v>
      </c>
      <c r="D698" s="1186" t="s">
        <v>23</v>
      </c>
      <c r="E698" s="1186">
        <v>13</v>
      </c>
      <c r="F698" s="1186">
        <v>222460</v>
      </c>
    </row>
    <row r="699" spans="1:6" x14ac:dyDescent="0.2">
      <c r="A699" s="1186" t="s">
        <v>13</v>
      </c>
      <c r="B699" s="1186" t="s">
        <v>309</v>
      </c>
      <c r="C699" s="1186" t="s">
        <v>61</v>
      </c>
      <c r="D699" s="1186" t="s">
        <v>24</v>
      </c>
      <c r="E699" s="1186">
        <v>102</v>
      </c>
      <c r="F699" s="1186">
        <v>253650</v>
      </c>
    </row>
    <row r="700" spans="1:6" x14ac:dyDescent="0.2">
      <c r="A700" s="1186" t="s">
        <v>13</v>
      </c>
      <c r="B700" s="1186" t="s">
        <v>309</v>
      </c>
      <c r="C700" s="1186" t="s">
        <v>61</v>
      </c>
      <c r="D700" s="1186" t="s">
        <v>25</v>
      </c>
      <c r="E700" s="1186">
        <v>34</v>
      </c>
      <c r="F700" s="1186">
        <v>116200</v>
      </c>
    </row>
    <row r="701" spans="1:6" x14ac:dyDescent="0.2">
      <c r="A701" s="1186" t="s">
        <v>13</v>
      </c>
      <c r="B701" s="1186" t="s">
        <v>309</v>
      </c>
      <c r="C701" s="1186" t="s">
        <v>61</v>
      </c>
      <c r="D701" s="1186" t="s">
        <v>26</v>
      </c>
      <c r="E701" s="1186">
        <v>96</v>
      </c>
      <c r="F701" s="1186">
        <v>88930</v>
      </c>
    </row>
    <row r="702" spans="1:6" x14ac:dyDescent="0.2">
      <c r="A702" s="1186" t="s">
        <v>13</v>
      </c>
      <c r="B702" s="1186" t="s">
        <v>309</v>
      </c>
      <c r="C702" s="1186" t="s">
        <v>61</v>
      </c>
      <c r="D702" s="1186" t="s">
        <v>619</v>
      </c>
      <c r="E702" s="1186">
        <v>14</v>
      </c>
      <c r="F702" s="1186">
        <v>477940</v>
      </c>
    </row>
    <row r="703" spans="1:6" x14ac:dyDescent="0.2">
      <c r="A703" s="1186" t="s">
        <v>13</v>
      </c>
      <c r="B703" s="1186" t="s">
        <v>309</v>
      </c>
      <c r="C703" s="1186" t="s">
        <v>61</v>
      </c>
      <c r="D703" s="1186" t="s">
        <v>27</v>
      </c>
      <c r="E703" s="1186">
        <v>3</v>
      </c>
      <c r="F703" s="1186">
        <v>51500</v>
      </c>
    </row>
    <row r="704" spans="1:6" x14ac:dyDescent="0.2">
      <c r="A704" s="1186" t="s">
        <v>13</v>
      </c>
      <c r="B704" s="1186" t="s">
        <v>309</v>
      </c>
      <c r="C704" s="1186" t="s">
        <v>61</v>
      </c>
      <c r="D704" s="1186" t="s">
        <v>28</v>
      </c>
      <c r="E704" s="1186">
        <v>73</v>
      </c>
      <c r="F704" s="1186">
        <v>151410</v>
      </c>
    </row>
    <row r="705" spans="1:6" x14ac:dyDescent="0.2">
      <c r="A705" s="1186" t="s">
        <v>13</v>
      </c>
      <c r="B705" s="1186" t="s">
        <v>309</v>
      </c>
      <c r="C705" s="1186" t="s">
        <v>61</v>
      </c>
      <c r="D705" s="1186" t="s">
        <v>29</v>
      </c>
      <c r="E705" s="1186">
        <v>1</v>
      </c>
      <c r="F705" s="1186">
        <v>147200</v>
      </c>
    </row>
    <row r="706" spans="1:6" x14ac:dyDescent="0.2">
      <c r="A706" s="1186" t="s">
        <v>13</v>
      </c>
      <c r="B706" s="1186" t="s">
        <v>309</v>
      </c>
      <c r="C706" s="1186" t="s">
        <v>61</v>
      </c>
      <c r="D706" s="1186" t="s">
        <v>30</v>
      </c>
      <c r="E706" s="1186">
        <v>15</v>
      </c>
      <c r="F706" s="1186">
        <v>122690</v>
      </c>
    </row>
    <row r="707" spans="1:6" x14ac:dyDescent="0.2">
      <c r="A707" s="1186" t="s">
        <v>13</v>
      </c>
      <c r="B707" s="1186" t="s">
        <v>309</v>
      </c>
      <c r="C707" s="1186" t="s">
        <v>61</v>
      </c>
      <c r="D707" s="1186" t="s">
        <v>31</v>
      </c>
      <c r="E707" s="1186">
        <v>2</v>
      </c>
      <c r="F707" s="1186">
        <v>105000</v>
      </c>
    </row>
    <row r="708" spans="1:6" x14ac:dyDescent="0.2">
      <c r="A708" s="1186" t="s">
        <v>13</v>
      </c>
      <c r="B708" s="1186" t="s">
        <v>309</v>
      </c>
      <c r="C708" s="1186" t="s">
        <v>61</v>
      </c>
      <c r="D708" s="1186" t="s">
        <v>32</v>
      </c>
      <c r="E708" s="1186">
        <v>30</v>
      </c>
      <c r="F708" s="1186">
        <v>99920</v>
      </c>
    </row>
    <row r="709" spans="1:6" x14ac:dyDescent="0.2">
      <c r="A709" s="1186" t="s">
        <v>13</v>
      </c>
      <c r="B709" s="1186" t="s">
        <v>309</v>
      </c>
      <c r="C709" s="1186" t="s">
        <v>61</v>
      </c>
      <c r="D709" s="1186" t="s">
        <v>33</v>
      </c>
      <c r="E709" s="1186">
        <v>6</v>
      </c>
      <c r="F709" s="1186">
        <v>90810</v>
      </c>
    </row>
    <row r="710" spans="1:6" x14ac:dyDescent="0.2">
      <c r="A710" s="1186" t="s">
        <v>13</v>
      </c>
      <c r="B710" s="1186" t="s">
        <v>309</v>
      </c>
      <c r="C710" s="1186" t="s">
        <v>61</v>
      </c>
      <c r="D710" s="1186" t="s">
        <v>34</v>
      </c>
      <c r="E710" s="1186">
        <v>11</v>
      </c>
      <c r="F710" s="1186">
        <v>156250</v>
      </c>
    </row>
    <row r="711" spans="1:6" x14ac:dyDescent="0.2">
      <c r="A711" s="1186" t="s">
        <v>13</v>
      </c>
      <c r="B711" s="1186" t="s">
        <v>309</v>
      </c>
      <c r="C711" s="1186" t="s">
        <v>61</v>
      </c>
      <c r="D711" s="1186" t="s">
        <v>35</v>
      </c>
      <c r="E711" s="1186">
        <v>39</v>
      </c>
      <c r="F711" s="1186">
        <v>365300</v>
      </c>
    </row>
    <row r="712" spans="1:6" x14ac:dyDescent="0.2">
      <c r="A712" s="1186" t="s">
        <v>13</v>
      </c>
      <c r="B712" s="1186" t="s">
        <v>309</v>
      </c>
      <c r="C712" s="1186" t="s">
        <v>61</v>
      </c>
      <c r="D712" s="1186" t="s">
        <v>36</v>
      </c>
      <c r="E712" s="1186">
        <v>6</v>
      </c>
      <c r="F712" s="1186">
        <v>593060</v>
      </c>
    </row>
    <row r="713" spans="1:6" x14ac:dyDescent="0.2">
      <c r="A713" s="1186" t="s">
        <v>13</v>
      </c>
      <c r="B713" s="1186" t="s">
        <v>309</v>
      </c>
      <c r="C713" s="1186" t="s">
        <v>61</v>
      </c>
      <c r="D713" s="1186" t="s">
        <v>37</v>
      </c>
      <c r="E713" s="1186">
        <v>334</v>
      </c>
      <c r="F713" s="1186">
        <v>232730</v>
      </c>
    </row>
    <row r="714" spans="1:6" x14ac:dyDescent="0.2">
      <c r="A714" s="1186" t="s">
        <v>13</v>
      </c>
      <c r="B714" s="1186" t="s">
        <v>309</v>
      </c>
      <c r="C714" s="1186" t="s">
        <v>61</v>
      </c>
      <c r="D714" s="1186" t="s">
        <v>38</v>
      </c>
      <c r="E714" s="1186">
        <v>6</v>
      </c>
      <c r="F714" s="1186">
        <v>81220</v>
      </c>
    </row>
    <row r="715" spans="1:6" x14ac:dyDescent="0.2">
      <c r="A715" s="1186" t="s">
        <v>13</v>
      </c>
      <c r="B715" s="1186" t="s">
        <v>309</v>
      </c>
      <c r="C715" s="1186" t="s">
        <v>61</v>
      </c>
      <c r="D715" s="1186" t="s">
        <v>39</v>
      </c>
      <c r="E715" s="1186">
        <v>7</v>
      </c>
      <c r="F715" s="1186">
        <v>83450</v>
      </c>
    </row>
    <row r="716" spans="1:6" x14ac:dyDescent="0.2">
      <c r="A716" s="1186" t="s">
        <v>13</v>
      </c>
      <c r="B716" s="1186" t="s">
        <v>309</v>
      </c>
      <c r="C716" s="1186" t="s">
        <v>61</v>
      </c>
      <c r="D716" s="1186" t="s">
        <v>40</v>
      </c>
      <c r="E716" s="1186">
        <v>56</v>
      </c>
      <c r="F716" s="1186">
        <v>93470</v>
      </c>
    </row>
    <row r="717" spans="1:6" x14ac:dyDescent="0.2">
      <c r="A717" s="1186" t="s">
        <v>13</v>
      </c>
      <c r="B717" s="1186" t="s">
        <v>309</v>
      </c>
      <c r="C717" s="1186" t="s">
        <v>61</v>
      </c>
      <c r="D717" s="1186" t="s">
        <v>295</v>
      </c>
      <c r="E717" s="1186">
        <v>81</v>
      </c>
      <c r="F717" s="1186">
        <v>27690</v>
      </c>
    </row>
    <row r="718" spans="1:6" x14ac:dyDescent="0.2">
      <c r="A718" s="1186" t="s">
        <v>13</v>
      </c>
      <c r="B718" s="1186" t="s">
        <v>309</v>
      </c>
      <c r="C718" s="1186" t="s">
        <v>61</v>
      </c>
      <c r="D718" s="1186" t="s">
        <v>41</v>
      </c>
      <c r="E718" s="1186">
        <v>17</v>
      </c>
      <c r="F718" s="1186">
        <v>138090</v>
      </c>
    </row>
    <row r="719" spans="1:6" x14ac:dyDescent="0.2">
      <c r="A719" s="1186" t="s">
        <v>13</v>
      </c>
      <c r="B719" s="1186" t="s">
        <v>309</v>
      </c>
      <c r="C719" s="1186" t="s">
        <v>61</v>
      </c>
      <c r="D719" s="1186" t="s">
        <v>42</v>
      </c>
      <c r="E719" s="1186">
        <v>9</v>
      </c>
      <c r="F719" s="1186">
        <v>337720</v>
      </c>
    </row>
    <row r="720" spans="1:6" x14ac:dyDescent="0.2">
      <c r="A720" s="1186" t="s">
        <v>13</v>
      </c>
      <c r="B720" s="1186" t="s">
        <v>309</v>
      </c>
      <c r="C720" s="1186" t="s">
        <v>61</v>
      </c>
      <c r="D720" s="1186" t="s">
        <v>43</v>
      </c>
      <c r="E720" s="1186">
        <v>19</v>
      </c>
      <c r="F720" s="1186">
        <v>21420</v>
      </c>
    </row>
    <row r="721" spans="1:6" x14ac:dyDescent="0.2">
      <c r="A721" s="1186" t="s">
        <v>13</v>
      </c>
      <c r="B721" s="1186" t="s">
        <v>309</v>
      </c>
      <c r="C721" s="1186" t="s">
        <v>61</v>
      </c>
      <c r="D721" s="1186" t="s">
        <v>44</v>
      </c>
      <c r="E721" s="1186">
        <v>83</v>
      </c>
      <c r="F721" s="1186">
        <v>146850</v>
      </c>
    </row>
    <row r="722" spans="1:6" x14ac:dyDescent="0.2">
      <c r="A722" s="1186" t="s">
        <v>13</v>
      </c>
      <c r="B722" s="1186" t="s">
        <v>309</v>
      </c>
      <c r="C722" s="1186" t="s">
        <v>61</v>
      </c>
      <c r="D722" s="1186" t="s">
        <v>45</v>
      </c>
      <c r="E722" s="1186">
        <v>4</v>
      </c>
      <c r="F722" s="1186">
        <v>174700</v>
      </c>
    </row>
    <row r="723" spans="1:6" x14ac:dyDescent="0.2">
      <c r="A723" s="1186" t="s">
        <v>13</v>
      </c>
      <c r="B723" s="1186" t="s">
        <v>309</v>
      </c>
      <c r="C723" s="1186" t="s">
        <v>61</v>
      </c>
      <c r="D723" s="1186" t="s">
        <v>46</v>
      </c>
      <c r="E723" s="1186">
        <v>75</v>
      </c>
      <c r="F723" s="1186">
        <v>113880</v>
      </c>
    </row>
    <row r="724" spans="1:6" x14ac:dyDescent="0.2">
      <c r="A724" s="1186" t="s">
        <v>13</v>
      </c>
      <c r="B724" s="1186" t="s">
        <v>309</v>
      </c>
      <c r="C724" s="1186" t="s">
        <v>61</v>
      </c>
      <c r="D724" s="1186" t="s">
        <v>47</v>
      </c>
      <c r="E724" s="1186">
        <v>13</v>
      </c>
      <c r="F724" s="1186">
        <v>23240</v>
      </c>
    </row>
    <row r="725" spans="1:6" x14ac:dyDescent="0.2">
      <c r="A725" s="1186" t="s">
        <v>13</v>
      </c>
      <c r="B725" s="1186" t="s">
        <v>309</v>
      </c>
      <c r="C725" s="1186" t="s">
        <v>61</v>
      </c>
      <c r="D725" s="1186" t="s">
        <v>48</v>
      </c>
      <c r="E725" s="1186">
        <v>28</v>
      </c>
      <c r="F725" s="1186">
        <v>112980</v>
      </c>
    </row>
    <row r="726" spans="1:6" x14ac:dyDescent="0.2">
      <c r="A726" s="1186" t="s">
        <v>13</v>
      </c>
      <c r="B726" s="1186" t="s">
        <v>309</v>
      </c>
      <c r="C726" s="1186" t="s">
        <v>61</v>
      </c>
      <c r="D726" s="1186" t="s">
        <v>49</v>
      </c>
      <c r="E726" s="1186">
        <v>29</v>
      </c>
      <c r="F726" s="1186">
        <v>313900</v>
      </c>
    </row>
    <row r="727" spans="1:6" x14ac:dyDescent="0.2">
      <c r="A727" s="1186" t="s">
        <v>13</v>
      </c>
      <c r="B727" s="1186" t="s">
        <v>309</v>
      </c>
      <c r="C727" s="1186" t="s">
        <v>61</v>
      </c>
      <c r="D727" s="1186" t="s">
        <v>50</v>
      </c>
      <c r="E727" s="1186">
        <v>24</v>
      </c>
      <c r="F727" s="1186">
        <v>90330</v>
      </c>
    </row>
    <row r="728" spans="1:6" x14ac:dyDescent="0.2">
      <c r="A728" s="1186" t="s">
        <v>13</v>
      </c>
      <c r="B728" s="1186" t="s">
        <v>309</v>
      </c>
      <c r="C728" s="1186" t="s">
        <v>61</v>
      </c>
      <c r="D728" s="1186" t="s">
        <v>51</v>
      </c>
      <c r="E728" s="1186">
        <v>4</v>
      </c>
      <c r="F728" s="1186">
        <v>90610</v>
      </c>
    </row>
    <row r="729" spans="1:6" x14ac:dyDescent="0.2">
      <c r="A729" s="1186" t="s">
        <v>13</v>
      </c>
      <c r="B729" s="1186" t="s">
        <v>309</v>
      </c>
      <c r="C729" s="1186" t="s">
        <v>61</v>
      </c>
      <c r="D729" s="1186" t="s">
        <v>52</v>
      </c>
      <c r="E729" s="1186">
        <v>9</v>
      </c>
      <c r="F729" s="1186">
        <v>175300</v>
      </c>
    </row>
    <row r="730" spans="1:6" x14ac:dyDescent="0.2">
      <c r="A730" s="1186" t="s">
        <v>13</v>
      </c>
      <c r="B730" s="1186" t="s">
        <v>309</v>
      </c>
      <c r="C730" s="1186" t="s">
        <v>116</v>
      </c>
      <c r="D730" s="1186" t="s">
        <v>26</v>
      </c>
      <c r="E730" s="1186">
        <v>1</v>
      </c>
      <c r="F730" s="1186">
        <v>88930</v>
      </c>
    </row>
    <row r="731" spans="1:6" x14ac:dyDescent="0.2">
      <c r="A731" s="1186" t="s">
        <v>13</v>
      </c>
      <c r="B731" s="1186" t="s">
        <v>309</v>
      </c>
      <c r="C731" s="1186" t="s">
        <v>116</v>
      </c>
      <c r="D731" s="1186" t="s">
        <v>38</v>
      </c>
      <c r="E731" s="1186">
        <v>1</v>
      </c>
      <c r="F731" s="1186">
        <v>81220</v>
      </c>
    </row>
    <row r="732" spans="1:6" x14ac:dyDescent="0.2">
      <c r="A732" s="1186" t="s">
        <v>13</v>
      </c>
      <c r="B732" s="1186" t="s">
        <v>823</v>
      </c>
      <c r="C732" s="1186" t="s">
        <v>61</v>
      </c>
      <c r="D732" s="1186" t="s">
        <v>23</v>
      </c>
      <c r="E732" s="1186">
        <v>322</v>
      </c>
      <c r="F732" s="1186">
        <v>222460</v>
      </c>
    </row>
    <row r="733" spans="1:6" x14ac:dyDescent="0.2">
      <c r="A733" s="1186" t="s">
        <v>13</v>
      </c>
      <c r="B733" s="1186" t="s">
        <v>823</v>
      </c>
      <c r="C733" s="1186" t="s">
        <v>61</v>
      </c>
      <c r="D733" s="1186" t="s">
        <v>24</v>
      </c>
      <c r="E733" s="1186">
        <v>198</v>
      </c>
      <c r="F733" s="1186">
        <v>253650</v>
      </c>
    </row>
    <row r="734" spans="1:6" x14ac:dyDescent="0.2">
      <c r="A734" s="1186" t="s">
        <v>13</v>
      </c>
      <c r="B734" s="1186" t="s">
        <v>823</v>
      </c>
      <c r="C734" s="1186" t="s">
        <v>61</v>
      </c>
      <c r="D734" s="1186" t="s">
        <v>25</v>
      </c>
      <c r="E734" s="1186">
        <v>95</v>
      </c>
      <c r="F734" s="1186">
        <v>116200</v>
      </c>
    </row>
    <row r="735" spans="1:6" x14ac:dyDescent="0.2">
      <c r="A735" s="1186" t="s">
        <v>13</v>
      </c>
      <c r="B735" s="1186" t="s">
        <v>823</v>
      </c>
      <c r="C735" s="1186" t="s">
        <v>61</v>
      </c>
      <c r="D735" s="1186" t="s">
        <v>26</v>
      </c>
      <c r="E735" s="1186">
        <v>83</v>
      </c>
      <c r="F735" s="1186">
        <v>88930</v>
      </c>
    </row>
    <row r="736" spans="1:6" x14ac:dyDescent="0.2">
      <c r="A736" s="1186" t="s">
        <v>13</v>
      </c>
      <c r="B736" s="1186" t="s">
        <v>823</v>
      </c>
      <c r="C736" s="1186" t="s">
        <v>61</v>
      </c>
      <c r="D736" s="1186" t="s">
        <v>619</v>
      </c>
      <c r="E736" s="1186">
        <v>608</v>
      </c>
      <c r="F736" s="1186">
        <v>477940</v>
      </c>
    </row>
    <row r="737" spans="1:6" x14ac:dyDescent="0.2">
      <c r="A737" s="1186" t="s">
        <v>13</v>
      </c>
      <c r="B737" s="1186" t="s">
        <v>823</v>
      </c>
      <c r="C737" s="1186" t="s">
        <v>61</v>
      </c>
      <c r="D737" s="1186" t="s">
        <v>27</v>
      </c>
      <c r="E737" s="1186">
        <v>51</v>
      </c>
      <c r="F737" s="1186">
        <v>51500</v>
      </c>
    </row>
    <row r="738" spans="1:6" x14ac:dyDescent="0.2">
      <c r="A738" s="1186" t="s">
        <v>13</v>
      </c>
      <c r="B738" s="1186" t="s">
        <v>823</v>
      </c>
      <c r="C738" s="1186" t="s">
        <v>61</v>
      </c>
      <c r="D738" s="1186" t="s">
        <v>28</v>
      </c>
      <c r="E738" s="1186">
        <v>96</v>
      </c>
      <c r="F738" s="1186">
        <v>151410</v>
      </c>
    </row>
    <row r="739" spans="1:6" x14ac:dyDescent="0.2">
      <c r="A739" s="1186" t="s">
        <v>13</v>
      </c>
      <c r="B739" s="1186" t="s">
        <v>823</v>
      </c>
      <c r="C739" s="1186" t="s">
        <v>61</v>
      </c>
      <c r="D739" s="1186" t="s">
        <v>29</v>
      </c>
      <c r="E739" s="1186">
        <v>236</v>
      </c>
      <c r="F739" s="1186">
        <v>147200</v>
      </c>
    </row>
    <row r="740" spans="1:6" x14ac:dyDescent="0.2">
      <c r="A740" s="1186" t="s">
        <v>13</v>
      </c>
      <c r="B740" s="1186" t="s">
        <v>823</v>
      </c>
      <c r="C740" s="1186" t="s">
        <v>61</v>
      </c>
      <c r="D740" s="1186" t="s">
        <v>30</v>
      </c>
      <c r="E740" s="1186">
        <v>99</v>
      </c>
      <c r="F740" s="1186">
        <v>122690</v>
      </c>
    </row>
    <row r="741" spans="1:6" x14ac:dyDescent="0.2">
      <c r="A741" s="1186" t="s">
        <v>13</v>
      </c>
      <c r="B741" s="1186" t="s">
        <v>823</v>
      </c>
      <c r="C741" s="1186" t="s">
        <v>61</v>
      </c>
      <c r="D741" s="1186" t="s">
        <v>31</v>
      </c>
      <c r="E741" s="1186">
        <v>64</v>
      </c>
      <c r="F741" s="1186">
        <v>105000</v>
      </c>
    </row>
    <row r="742" spans="1:6" x14ac:dyDescent="0.2">
      <c r="A742" s="1186" t="s">
        <v>13</v>
      </c>
      <c r="B742" s="1186" t="s">
        <v>823</v>
      </c>
      <c r="C742" s="1186" t="s">
        <v>61</v>
      </c>
      <c r="D742" s="1186" t="s">
        <v>32</v>
      </c>
      <c r="E742" s="1186">
        <v>86</v>
      </c>
      <c r="F742" s="1186">
        <v>99920</v>
      </c>
    </row>
    <row r="743" spans="1:6" x14ac:dyDescent="0.2">
      <c r="A743" s="1186" t="s">
        <v>13</v>
      </c>
      <c r="B743" s="1186" t="s">
        <v>823</v>
      </c>
      <c r="C743" s="1186" t="s">
        <v>61</v>
      </c>
      <c r="D743" s="1186" t="s">
        <v>33</v>
      </c>
      <c r="E743" s="1186">
        <v>59</v>
      </c>
      <c r="F743" s="1186">
        <v>90810</v>
      </c>
    </row>
    <row r="744" spans="1:6" x14ac:dyDescent="0.2">
      <c r="A744" s="1186" t="s">
        <v>13</v>
      </c>
      <c r="B744" s="1186" t="s">
        <v>823</v>
      </c>
      <c r="C744" s="1186" t="s">
        <v>61</v>
      </c>
      <c r="D744" s="1186" t="s">
        <v>34</v>
      </c>
      <c r="E744" s="1186">
        <v>101</v>
      </c>
      <c r="F744" s="1186">
        <v>156250</v>
      </c>
    </row>
    <row r="745" spans="1:6" x14ac:dyDescent="0.2">
      <c r="A745" s="1186" t="s">
        <v>13</v>
      </c>
      <c r="B745" s="1186" t="s">
        <v>823</v>
      </c>
      <c r="C745" s="1186" t="s">
        <v>61</v>
      </c>
      <c r="D745" s="1186" t="s">
        <v>35</v>
      </c>
      <c r="E745" s="1186">
        <v>247</v>
      </c>
      <c r="F745" s="1186">
        <v>365300</v>
      </c>
    </row>
    <row r="746" spans="1:6" x14ac:dyDescent="0.2">
      <c r="A746" s="1186" t="s">
        <v>13</v>
      </c>
      <c r="B746" s="1186" t="s">
        <v>823</v>
      </c>
      <c r="C746" s="1186" t="s">
        <v>61</v>
      </c>
      <c r="D746" s="1186" t="s">
        <v>36</v>
      </c>
      <c r="E746" s="1186">
        <v>932</v>
      </c>
      <c r="F746" s="1186">
        <v>593060</v>
      </c>
    </row>
    <row r="747" spans="1:6" x14ac:dyDescent="0.2">
      <c r="A747" s="1186" t="s">
        <v>13</v>
      </c>
      <c r="B747" s="1186" t="s">
        <v>823</v>
      </c>
      <c r="C747" s="1186" t="s">
        <v>61</v>
      </c>
      <c r="D747" s="1186" t="s">
        <v>37</v>
      </c>
      <c r="E747" s="1186">
        <v>136</v>
      </c>
      <c r="F747" s="1186">
        <v>232730</v>
      </c>
    </row>
    <row r="748" spans="1:6" x14ac:dyDescent="0.2">
      <c r="A748" s="1186" t="s">
        <v>13</v>
      </c>
      <c r="B748" s="1186" t="s">
        <v>823</v>
      </c>
      <c r="C748" s="1186" t="s">
        <v>61</v>
      </c>
      <c r="D748" s="1186" t="s">
        <v>38</v>
      </c>
      <c r="E748" s="1186">
        <v>72</v>
      </c>
      <c r="F748" s="1186">
        <v>81220</v>
      </c>
    </row>
    <row r="749" spans="1:6" x14ac:dyDescent="0.2">
      <c r="A749" s="1186" t="s">
        <v>13</v>
      </c>
      <c r="B749" s="1186" t="s">
        <v>823</v>
      </c>
      <c r="C749" s="1186" t="s">
        <v>61</v>
      </c>
      <c r="D749" s="1186" t="s">
        <v>39</v>
      </c>
      <c r="E749" s="1186">
        <v>65</v>
      </c>
      <c r="F749" s="1186">
        <v>83450</v>
      </c>
    </row>
    <row r="750" spans="1:6" x14ac:dyDescent="0.2">
      <c r="A750" s="1186" t="s">
        <v>13</v>
      </c>
      <c r="B750" s="1186" t="s">
        <v>823</v>
      </c>
      <c r="C750" s="1186" t="s">
        <v>61</v>
      </c>
      <c r="D750" s="1186" t="s">
        <v>40</v>
      </c>
      <c r="E750" s="1186">
        <v>67</v>
      </c>
      <c r="F750" s="1186">
        <v>93470</v>
      </c>
    </row>
    <row r="751" spans="1:6" x14ac:dyDescent="0.2">
      <c r="A751" s="1186" t="s">
        <v>13</v>
      </c>
      <c r="B751" s="1186" t="s">
        <v>823</v>
      </c>
      <c r="C751" s="1186" t="s">
        <v>61</v>
      </c>
      <c r="D751" s="1186" t="s">
        <v>295</v>
      </c>
      <c r="E751" s="1186">
        <v>17</v>
      </c>
      <c r="F751" s="1186">
        <v>27690</v>
      </c>
    </row>
    <row r="752" spans="1:6" x14ac:dyDescent="0.2">
      <c r="A752" s="1186" t="s">
        <v>13</v>
      </c>
      <c r="B752" s="1186" t="s">
        <v>823</v>
      </c>
      <c r="C752" s="1186" t="s">
        <v>61</v>
      </c>
      <c r="D752" s="1186" t="s">
        <v>41</v>
      </c>
      <c r="E752" s="1186">
        <v>120</v>
      </c>
      <c r="F752" s="1186">
        <v>138090</v>
      </c>
    </row>
    <row r="753" spans="1:6" x14ac:dyDescent="0.2">
      <c r="A753" s="1186" t="s">
        <v>13</v>
      </c>
      <c r="B753" s="1186" t="s">
        <v>823</v>
      </c>
      <c r="C753" s="1186" t="s">
        <v>61</v>
      </c>
      <c r="D753" s="1186" t="s">
        <v>42</v>
      </c>
      <c r="E753" s="1186">
        <v>279</v>
      </c>
      <c r="F753" s="1186">
        <v>337720</v>
      </c>
    </row>
    <row r="754" spans="1:6" x14ac:dyDescent="0.2">
      <c r="A754" s="1186" t="s">
        <v>13</v>
      </c>
      <c r="B754" s="1186" t="s">
        <v>823</v>
      </c>
      <c r="C754" s="1186" t="s">
        <v>61</v>
      </c>
      <c r="D754" s="1186" t="s">
        <v>43</v>
      </c>
      <c r="E754" s="1186">
        <v>12</v>
      </c>
      <c r="F754" s="1186">
        <v>21420</v>
      </c>
    </row>
    <row r="755" spans="1:6" x14ac:dyDescent="0.2">
      <c r="A755" s="1186" t="s">
        <v>13</v>
      </c>
      <c r="B755" s="1186" t="s">
        <v>823</v>
      </c>
      <c r="C755" s="1186" t="s">
        <v>61</v>
      </c>
      <c r="D755" s="1186" t="s">
        <v>44</v>
      </c>
      <c r="E755" s="1186">
        <v>112</v>
      </c>
      <c r="F755" s="1186">
        <v>146850</v>
      </c>
    </row>
    <row r="756" spans="1:6" x14ac:dyDescent="0.2">
      <c r="A756" s="1186" t="s">
        <v>13</v>
      </c>
      <c r="B756" s="1186" t="s">
        <v>823</v>
      </c>
      <c r="C756" s="1186" t="s">
        <v>61</v>
      </c>
      <c r="D756" s="1186" t="s">
        <v>45</v>
      </c>
      <c r="E756" s="1186">
        <v>212</v>
      </c>
      <c r="F756" s="1186">
        <v>174700</v>
      </c>
    </row>
    <row r="757" spans="1:6" x14ac:dyDescent="0.2">
      <c r="A757" s="1186" t="s">
        <v>13</v>
      </c>
      <c r="B757" s="1186" t="s">
        <v>823</v>
      </c>
      <c r="C757" s="1186" t="s">
        <v>61</v>
      </c>
      <c r="D757" s="1186" t="s">
        <v>46</v>
      </c>
      <c r="E757" s="1186">
        <v>92</v>
      </c>
      <c r="F757" s="1186">
        <v>113880</v>
      </c>
    </row>
    <row r="758" spans="1:6" x14ac:dyDescent="0.2">
      <c r="A758" s="1186" t="s">
        <v>13</v>
      </c>
      <c r="B758" s="1186" t="s">
        <v>823</v>
      </c>
      <c r="C758" s="1186" t="s">
        <v>61</v>
      </c>
      <c r="D758" s="1186" t="s">
        <v>47</v>
      </c>
      <c r="E758" s="1186">
        <v>10</v>
      </c>
      <c r="F758" s="1186">
        <v>23240</v>
      </c>
    </row>
    <row r="759" spans="1:6" x14ac:dyDescent="0.2">
      <c r="A759" s="1186" t="s">
        <v>13</v>
      </c>
      <c r="B759" s="1186" t="s">
        <v>823</v>
      </c>
      <c r="C759" s="1186" t="s">
        <v>61</v>
      </c>
      <c r="D759" s="1186" t="s">
        <v>48</v>
      </c>
      <c r="E759" s="1186">
        <v>73</v>
      </c>
      <c r="F759" s="1186">
        <v>112980</v>
      </c>
    </row>
    <row r="760" spans="1:6" x14ac:dyDescent="0.2">
      <c r="A760" s="1186" t="s">
        <v>13</v>
      </c>
      <c r="B760" s="1186" t="s">
        <v>823</v>
      </c>
      <c r="C760" s="1186" t="s">
        <v>61</v>
      </c>
      <c r="D760" s="1186" t="s">
        <v>49</v>
      </c>
      <c r="E760" s="1186">
        <v>254</v>
      </c>
      <c r="F760" s="1186">
        <v>313900</v>
      </c>
    </row>
    <row r="761" spans="1:6" x14ac:dyDescent="0.2">
      <c r="A761" s="1186" t="s">
        <v>13</v>
      </c>
      <c r="B761" s="1186" t="s">
        <v>823</v>
      </c>
      <c r="C761" s="1186" t="s">
        <v>61</v>
      </c>
      <c r="D761" s="1186" t="s">
        <v>50</v>
      </c>
      <c r="E761" s="1186">
        <v>64</v>
      </c>
      <c r="F761" s="1186">
        <v>90330</v>
      </c>
    </row>
    <row r="762" spans="1:6" x14ac:dyDescent="0.2">
      <c r="A762" s="1186" t="s">
        <v>13</v>
      </c>
      <c r="B762" s="1186" t="s">
        <v>823</v>
      </c>
      <c r="C762" s="1186" t="s">
        <v>61</v>
      </c>
      <c r="D762" s="1186" t="s">
        <v>51</v>
      </c>
      <c r="E762" s="1186">
        <v>105</v>
      </c>
      <c r="F762" s="1186">
        <v>90610</v>
      </c>
    </row>
    <row r="763" spans="1:6" x14ac:dyDescent="0.2">
      <c r="A763" s="1186" t="s">
        <v>13</v>
      </c>
      <c r="B763" s="1186" t="s">
        <v>823</v>
      </c>
      <c r="C763" s="1186" t="s">
        <v>61</v>
      </c>
      <c r="D763" s="1186" t="s">
        <v>52</v>
      </c>
      <c r="E763" s="1186">
        <v>150</v>
      </c>
      <c r="F763" s="1186">
        <v>175300</v>
      </c>
    </row>
    <row r="764" spans="1:6" x14ac:dyDescent="0.2">
      <c r="A764" s="1186" t="s">
        <v>13</v>
      </c>
      <c r="B764" s="1186" t="s">
        <v>823</v>
      </c>
      <c r="C764" s="1186" t="s">
        <v>116</v>
      </c>
      <c r="D764" s="1186" t="s">
        <v>23</v>
      </c>
      <c r="E764" s="1186">
        <v>53</v>
      </c>
      <c r="F764" s="1186">
        <v>222460</v>
      </c>
    </row>
    <row r="765" spans="1:6" x14ac:dyDescent="0.2">
      <c r="A765" s="1186" t="s">
        <v>13</v>
      </c>
      <c r="B765" s="1186" t="s">
        <v>823</v>
      </c>
      <c r="C765" s="1186" t="s">
        <v>116</v>
      </c>
      <c r="D765" s="1186" t="s">
        <v>24</v>
      </c>
      <c r="E765" s="1186">
        <v>9</v>
      </c>
      <c r="F765" s="1186">
        <v>253650</v>
      </c>
    </row>
    <row r="766" spans="1:6" x14ac:dyDescent="0.2">
      <c r="A766" s="1186" t="s">
        <v>13</v>
      </c>
      <c r="B766" s="1186" t="s">
        <v>823</v>
      </c>
      <c r="C766" s="1186" t="s">
        <v>116</v>
      </c>
      <c r="D766" s="1186" t="s">
        <v>25</v>
      </c>
      <c r="E766" s="1186">
        <v>6</v>
      </c>
      <c r="F766" s="1186">
        <v>116200</v>
      </c>
    </row>
    <row r="767" spans="1:6" x14ac:dyDescent="0.2">
      <c r="A767" s="1186" t="s">
        <v>13</v>
      </c>
      <c r="B767" s="1186" t="s">
        <v>823</v>
      </c>
      <c r="C767" s="1186" t="s">
        <v>116</v>
      </c>
      <c r="D767" s="1186" t="s">
        <v>26</v>
      </c>
      <c r="E767" s="1186">
        <v>9</v>
      </c>
      <c r="F767" s="1186">
        <v>88930</v>
      </c>
    </row>
    <row r="768" spans="1:6" x14ac:dyDescent="0.2">
      <c r="A768" s="1186" t="s">
        <v>13</v>
      </c>
      <c r="B768" s="1186" t="s">
        <v>823</v>
      </c>
      <c r="C768" s="1186" t="s">
        <v>116</v>
      </c>
      <c r="D768" s="1186" t="s">
        <v>619</v>
      </c>
      <c r="E768" s="1186">
        <v>138</v>
      </c>
      <c r="F768" s="1186">
        <v>477940</v>
      </c>
    </row>
    <row r="769" spans="1:6" x14ac:dyDescent="0.2">
      <c r="A769" s="1186" t="s">
        <v>13</v>
      </c>
      <c r="B769" s="1186" t="s">
        <v>823</v>
      </c>
      <c r="C769" s="1186" t="s">
        <v>116</v>
      </c>
      <c r="D769" s="1186" t="s">
        <v>27</v>
      </c>
      <c r="E769" s="1186">
        <v>7</v>
      </c>
      <c r="F769" s="1186">
        <v>51500</v>
      </c>
    </row>
    <row r="770" spans="1:6" x14ac:dyDescent="0.2">
      <c r="A770" s="1186" t="s">
        <v>13</v>
      </c>
      <c r="B770" s="1186" t="s">
        <v>823</v>
      </c>
      <c r="C770" s="1186" t="s">
        <v>116</v>
      </c>
      <c r="D770" s="1186" t="s">
        <v>28</v>
      </c>
      <c r="E770" s="1186">
        <v>10</v>
      </c>
      <c r="F770" s="1186">
        <v>151410</v>
      </c>
    </row>
    <row r="771" spans="1:6" x14ac:dyDescent="0.2">
      <c r="A771" s="1186" t="s">
        <v>13</v>
      </c>
      <c r="B771" s="1186" t="s">
        <v>823</v>
      </c>
      <c r="C771" s="1186" t="s">
        <v>116</v>
      </c>
      <c r="D771" s="1186" t="s">
        <v>29</v>
      </c>
      <c r="E771" s="1186">
        <v>40</v>
      </c>
      <c r="F771" s="1186">
        <v>147200</v>
      </c>
    </row>
    <row r="772" spans="1:6" x14ac:dyDescent="0.2">
      <c r="A772" s="1186" t="s">
        <v>13</v>
      </c>
      <c r="B772" s="1186" t="s">
        <v>823</v>
      </c>
      <c r="C772" s="1186" t="s">
        <v>116</v>
      </c>
      <c r="D772" s="1186" t="s">
        <v>30</v>
      </c>
      <c r="E772" s="1186">
        <v>17</v>
      </c>
      <c r="F772" s="1186">
        <v>122690</v>
      </c>
    </row>
    <row r="773" spans="1:6" x14ac:dyDescent="0.2">
      <c r="A773" s="1186" t="s">
        <v>13</v>
      </c>
      <c r="B773" s="1186" t="s">
        <v>823</v>
      </c>
      <c r="C773" s="1186" t="s">
        <v>116</v>
      </c>
      <c r="D773" s="1186" t="s">
        <v>31</v>
      </c>
      <c r="E773" s="1186">
        <v>1</v>
      </c>
      <c r="F773" s="1186">
        <v>105000</v>
      </c>
    </row>
    <row r="774" spans="1:6" x14ac:dyDescent="0.2">
      <c r="A774" s="1186" t="s">
        <v>13</v>
      </c>
      <c r="B774" s="1186" t="s">
        <v>823</v>
      </c>
      <c r="C774" s="1186" t="s">
        <v>116</v>
      </c>
      <c r="D774" s="1186" t="s">
        <v>32</v>
      </c>
      <c r="E774" s="1186">
        <v>12</v>
      </c>
      <c r="F774" s="1186">
        <v>99920</v>
      </c>
    </row>
    <row r="775" spans="1:6" x14ac:dyDescent="0.2">
      <c r="A775" s="1186" t="s">
        <v>13</v>
      </c>
      <c r="B775" s="1186" t="s">
        <v>823</v>
      </c>
      <c r="C775" s="1186" t="s">
        <v>116</v>
      </c>
      <c r="D775" s="1186" t="s">
        <v>33</v>
      </c>
      <c r="E775" s="1186">
        <v>9</v>
      </c>
      <c r="F775" s="1186">
        <v>90810</v>
      </c>
    </row>
    <row r="776" spans="1:6" x14ac:dyDescent="0.2">
      <c r="A776" s="1186" t="s">
        <v>13</v>
      </c>
      <c r="B776" s="1186" t="s">
        <v>823</v>
      </c>
      <c r="C776" s="1186" t="s">
        <v>116</v>
      </c>
      <c r="D776" s="1186" t="s">
        <v>34</v>
      </c>
      <c r="E776" s="1186">
        <v>18</v>
      </c>
      <c r="F776" s="1186">
        <v>156250</v>
      </c>
    </row>
    <row r="777" spans="1:6" x14ac:dyDescent="0.2">
      <c r="A777" s="1186" t="s">
        <v>13</v>
      </c>
      <c r="B777" s="1186" t="s">
        <v>823</v>
      </c>
      <c r="C777" s="1186" t="s">
        <v>116</v>
      </c>
      <c r="D777" s="1186" t="s">
        <v>35</v>
      </c>
      <c r="E777" s="1186">
        <v>56</v>
      </c>
      <c r="F777" s="1186">
        <v>365300</v>
      </c>
    </row>
    <row r="778" spans="1:6" x14ac:dyDescent="0.2">
      <c r="A778" s="1186" t="s">
        <v>13</v>
      </c>
      <c r="B778" s="1186" t="s">
        <v>823</v>
      </c>
      <c r="C778" s="1186" t="s">
        <v>116</v>
      </c>
      <c r="D778" s="1186" t="s">
        <v>36</v>
      </c>
      <c r="E778" s="1186">
        <v>281</v>
      </c>
      <c r="F778" s="1186">
        <v>593060</v>
      </c>
    </row>
    <row r="779" spans="1:6" x14ac:dyDescent="0.2">
      <c r="A779" s="1186" t="s">
        <v>13</v>
      </c>
      <c r="B779" s="1186" t="s">
        <v>823</v>
      </c>
      <c r="C779" s="1186" t="s">
        <v>116</v>
      </c>
      <c r="D779" s="1186" t="s">
        <v>37</v>
      </c>
      <c r="E779" s="1186">
        <v>7</v>
      </c>
      <c r="F779" s="1186">
        <v>232730</v>
      </c>
    </row>
    <row r="780" spans="1:6" x14ac:dyDescent="0.2">
      <c r="A780" s="1186" t="s">
        <v>13</v>
      </c>
      <c r="B780" s="1186" t="s">
        <v>823</v>
      </c>
      <c r="C780" s="1186" t="s">
        <v>116</v>
      </c>
      <c r="D780" s="1186" t="s">
        <v>38</v>
      </c>
      <c r="E780" s="1186">
        <v>36</v>
      </c>
      <c r="F780" s="1186">
        <v>81220</v>
      </c>
    </row>
    <row r="781" spans="1:6" x14ac:dyDescent="0.2">
      <c r="A781" s="1186" t="s">
        <v>13</v>
      </c>
      <c r="B781" s="1186" t="s">
        <v>823</v>
      </c>
      <c r="C781" s="1186" t="s">
        <v>116</v>
      </c>
      <c r="D781" s="1186" t="s">
        <v>39</v>
      </c>
      <c r="E781" s="1186">
        <v>14</v>
      </c>
      <c r="F781" s="1186">
        <v>83450</v>
      </c>
    </row>
    <row r="782" spans="1:6" x14ac:dyDescent="0.2">
      <c r="A782" s="1186" t="s">
        <v>13</v>
      </c>
      <c r="B782" s="1186" t="s">
        <v>823</v>
      </c>
      <c r="C782" s="1186" t="s">
        <v>116</v>
      </c>
      <c r="D782" s="1186" t="s">
        <v>40</v>
      </c>
      <c r="E782" s="1186">
        <v>8</v>
      </c>
      <c r="F782" s="1186">
        <v>93470</v>
      </c>
    </row>
    <row r="783" spans="1:6" x14ac:dyDescent="0.2">
      <c r="A783" s="1186" t="s">
        <v>13</v>
      </c>
      <c r="B783" s="1186" t="s">
        <v>823</v>
      </c>
      <c r="C783" s="1186" t="s">
        <v>116</v>
      </c>
      <c r="D783" s="1186" t="s">
        <v>41</v>
      </c>
      <c r="E783" s="1186">
        <v>22</v>
      </c>
      <c r="F783" s="1186">
        <v>138090</v>
      </c>
    </row>
    <row r="784" spans="1:6" x14ac:dyDescent="0.2">
      <c r="A784" s="1186" t="s">
        <v>13</v>
      </c>
      <c r="B784" s="1186" t="s">
        <v>823</v>
      </c>
      <c r="C784" s="1186" t="s">
        <v>116</v>
      </c>
      <c r="D784" s="1186" t="s">
        <v>42</v>
      </c>
      <c r="E784" s="1186">
        <v>66</v>
      </c>
      <c r="F784" s="1186">
        <v>337720</v>
      </c>
    </row>
    <row r="785" spans="1:6" x14ac:dyDescent="0.2">
      <c r="A785" s="1186" t="s">
        <v>13</v>
      </c>
      <c r="B785" s="1186" t="s">
        <v>823</v>
      </c>
      <c r="C785" s="1186" t="s">
        <v>116</v>
      </c>
      <c r="D785" s="1186" t="s">
        <v>44</v>
      </c>
      <c r="E785" s="1186">
        <v>15</v>
      </c>
      <c r="F785" s="1186">
        <v>146850</v>
      </c>
    </row>
    <row r="786" spans="1:6" x14ac:dyDescent="0.2">
      <c r="A786" s="1186" t="s">
        <v>13</v>
      </c>
      <c r="B786" s="1186" t="s">
        <v>823</v>
      </c>
      <c r="C786" s="1186" t="s">
        <v>116</v>
      </c>
      <c r="D786" s="1186" t="s">
        <v>45</v>
      </c>
      <c r="E786" s="1186">
        <v>52</v>
      </c>
      <c r="F786" s="1186">
        <v>174700</v>
      </c>
    </row>
    <row r="787" spans="1:6" x14ac:dyDescent="0.2">
      <c r="A787" s="1186" t="s">
        <v>13</v>
      </c>
      <c r="B787" s="1186" t="s">
        <v>823</v>
      </c>
      <c r="C787" s="1186" t="s">
        <v>116</v>
      </c>
      <c r="D787" s="1186" t="s">
        <v>46</v>
      </c>
      <c r="E787" s="1186">
        <v>3</v>
      </c>
      <c r="F787" s="1186">
        <v>113880</v>
      </c>
    </row>
    <row r="788" spans="1:6" x14ac:dyDescent="0.2">
      <c r="A788" s="1186" t="s">
        <v>13</v>
      </c>
      <c r="B788" s="1186" t="s">
        <v>823</v>
      </c>
      <c r="C788" s="1186" t="s">
        <v>116</v>
      </c>
      <c r="D788" s="1186" t="s">
        <v>48</v>
      </c>
      <c r="E788" s="1186">
        <v>13</v>
      </c>
      <c r="F788" s="1186">
        <v>112980</v>
      </c>
    </row>
    <row r="789" spans="1:6" x14ac:dyDescent="0.2">
      <c r="A789" s="1186" t="s">
        <v>13</v>
      </c>
      <c r="B789" s="1186" t="s">
        <v>823</v>
      </c>
      <c r="C789" s="1186" t="s">
        <v>116</v>
      </c>
      <c r="D789" s="1186" t="s">
        <v>49</v>
      </c>
      <c r="E789" s="1186">
        <v>58</v>
      </c>
      <c r="F789" s="1186">
        <v>313900</v>
      </c>
    </row>
    <row r="790" spans="1:6" x14ac:dyDescent="0.2">
      <c r="A790" s="1186" t="s">
        <v>13</v>
      </c>
      <c r="B790" s="1186" t="s">
        <v>823</v>
      </c>
      <c r="C790" s="1186" t="s">
        <v>116</v>
      </c>
      <c r="D790" s="1186" t="s">
        <v>50</v>
      </c>
      <c r="E790" s="1186">
        <v>5</v>
      </c>
      <c r="F790" s="1186">
        <v>90330</v>
      </c>
    </row>
    <row r="791" spans="1:6" x14ac:dyDescent="0.2">
      <c r="A791" s="1186" t="s">
        <v>13</v>
      </c>
      <c r="B791" s="1186" t="s">
        <v>823</v>
      </c>
      <c r="C791" s="1186" t="s">
        <v>116</v>
      </c>
      <c r="D791" s="1186" t="s">
        <v>51</v>
      </c>
      <c r="E791" s="1186">
        <v>43</v>
      </c>
      <c r="F791" s="1186">
        <v>90610</v>
      </c>
    </row>
    <row r="792" spans="1:6" x14ac:dyDescent="0.2">
      <c r="A792" s="1186" t="s">
        <v>13</v>
      </c>
      <c r="B792" s="1186" t="s">
        <v>823</v>
      </c>
      <c r="C792" s="1186" t="s">
        <v>116</v>
      </c>
      <c r="D792" s="1186" t="s">
        <v>52</v>
      </c>
      <c r="E792" s="1186">
        <v>32</v>
      </c>
      <c r="F792" s="1186">
        <v>175300</v>
      </c>
    </row>
    <row r="793" spans="1:6" x14ac:dyDescent="0.2">
      <c r="A793" s="1186" t="s">
        <v>13</v>
      </c>
      <c r="B793" s="1186" t="s">
        <v>824</v>
      </c>
      <c r="C793" s="1186" t="s">
        <v>61</v>
      </c>
      <c r="D793" s="1186" t="s">
        <v>23</v>
      </c>
      <c r="E793" s="1186">
        <v>112</v>
      </c>
      <c r="F793" s="1186">
        <v>222460</v>
      </c>
    </row>
    <row r="794" spans="1:6" x14ac:dyDescent="0.2">
      <c r="A794" s="1186" t="s">
        <v>13</v>
      </c>
      <c r="B794" s="1186" t="s">
        <v>824</v>
      </c>
      <c r="C794" s="1186" t="s">
        <v>61</v>
      </c>
      <c r="D794" s="1186" t="s">
        <v>24</v>
      </c>
      <c r="E794" s="1186">
        <v>70</v>
      </c>
      <c r="F794" s="1186">
        <v>253650</v>
      </c>
    </row>
    <row r="795" spans="1:6" x14ac:dyDescent="0.2">
      <c r="A795" s="1186" t="s">
        <v>13</v>
      </c>
      <c r="B795" s="1186" t="s">
        <v>824</v>
      </c>
      <c r="C795" s="1186" t="s">
        <v>61</v>
      </c>
      <c r="D795" s="1186" t="s">
        <v>25</v>
      </c>
      <c r="E795" s="1186">
        <v>22</v>
      </c>
      <c r="F795" s="1186">
        <v>116200</v>
      </c>
    </row>
    <row r="796" spans="1:6" x14ac:dyDescent="0.2">
      <c r="A796" s="1186" t="s">
        <v>13</v>
      </c>
      <c r="B796" s="1186" t="s">
        <v>824</v>
      </c>
      <c r="C796" s="1186" t="s">
        <v>61</v>
      </c>
      <c r="D796" s="1186" t="s">
        <v>26</v>
      </c>
      <c r="E796" s="1186">
        <v>51</v>
      </c>
      <c r="F796" s="1186">
        <v>88930</v>
      </c>
    </row>
    <row r="797" spans="1:6" x14ac:dyDescent="0.2">
      <c r="A797" s="1186" t="s">
        <v>13</v>
      </c>
      <c r="B797" s="1186" t="s">
        <v>824</v>
      </c>
      <c r="C797" s="1186" t="s">
        <v>61</v>
      </c>
      <c r="D797" s="1186" t="s">
        <v>619</v>
      </c>
      <c r="E797" s="1186">
        <v>238</v>
      </c>
      <c r="F797" s="1186">
        <v>477940</v>
      </c>
    </row>
    <row r="798" spans="1:6" x14ac:dyDescent="0.2">
      <c r="A798" s="1186" t="s">
        <v>13</v>
      </c>
      <c r="B798" s="1186" t="s">
        <v>824</v>
      </c>
      <c r="C798" s="1186" t="s">
        <v>61</v>
      </c>
      <c r="D798" s="1186" t="s">
        <v>27</v>
      </c>
      <c r="E798" s="1186">
        <v>10</v>
      </c>
      <c r="F798" s="1186">
        <v>51500</v>
      </c>
    </row>
    <row r="799" spans="1:6" x14ac:dyDescent="0.2">
      <c r="A799" s="1186" t="s">
        <v>13</v>
      </c>
      <c r="B799" s="1186" t="s">
        <v>824</v>
      </c>
      <c r="C799" s="1186" t="s">
        <v>61</v>
      </c>
      <c r="D799" s="1186" t="s">
        <v>28</v>
      </c>
      <c r="E799" s="1186">
        <v>37</v>
      </c>
      <c r="F799" s="1186">
        <v>151410</v>
      </c>
    </row>
    <row r="800" spans="1:6" x14ac:dyDescent="0.2">
      <c r="A800" s="1186" t="s">
        <v>13</v>
      </c>
      <c r="B800" s="1186" t="s">
        <v>824</v>
      </c>
      <c r="C800" s="1186" t="s">
        <v>61</v>
      </c>
      <c r="D800" s="1186" t="s">
        <v>29</v>
      </c>
      <c r="E800" s="1186">
        <v>73</v>
      </c>
      <c r="F800" s="1186">
        <v>147200</v>
      </c>
    </row>
    <row r="801" spans="1:6" x14ac:dyDescent="0.2">
      <c r="A801" s="1186" t="s">
        <v>13</v>
      </c>
      <c r="B801" s="1186" t="s">
        <v>824</v>
      </c>
      <c r="C801" s="1186" t="s">
        <v>61</v>
      </c>
      <c r="D801" s="1186" t="s">
        <v>30</v>
      </c>
      <c r="E801" s="1186">
        <v>31</v>
      </c>
      <c r="F801" s="1186">
        <v>122690</v>
      </c>
    </row>
    <row r="802" spans="1:6" x14ac:dyDescent="0.2">
      <c r="A802" s="1186" t="s">
        <v>13</v>
      </c>
      <c r="B802" s="1186" t="s">
        <v>824</v>
      </c>
      <c r="C802" s="1186" t="s">
        <v>61</v>
      </c>
      <c r="D802" s="1186" t="s">
        <v>31</v>
      </c>
      <c r="E802" s="1186">
        <v>19</v>
      </c>
      <c r="F802" s="1186">
        <v>105000</v>
      </c>
    </row>
    <row r="803" spans="1:6" x14ac:dyDescent="0.2">
      <c r="A803" s="1186" t="s">
        <v>13</v>
      </c>
      <c r="B803" s="1186" t="s">
        <v>824</v>
      </c>
      <c r="C803" s="1186" t="s">
        <v>61</v>
      </c>
      <c r="D803" s="1186" t="s">
        <v>32</v>
      </c>
      <c r="E803" s="1186">
        <v>31</v>
      </c>
      <c r="F803" s="1186">
        <v>99920</v>
      </c>
    </row>
    <row r="804" spans="1:6" x14ac:dyDescent="0.2">
      <c r="A804" s="1186" t="s">
        <v>13</v>
      </c>
      <c r="B804" s="1186" t="s">
        <v>824</v>
      </c>
      <c r="C804" s="1186" t="s">
        <v>61</v>
      </c>
      <c r="D804" s="1186" t="s">
        <v>33</v>
      </c>
      <c r="E804" s="1186">
        <v>16</v>
      </c>
      <c r="F804" s="1186">
        <v>90810</v>
      </c>
    </row>
    <row r="805" spans="1:6" x14ac:dyDescent="0.2">
      <c r="A805" s="1186" t="s">
        <v>13</v>
      </c>
      <c r="B805" s="1186" t="s">
        <v>824</v>
      </c>
      <c r="C805" s="1186" t="s">
        <v>61</v>
      </c>
      <c r="D805" s="1186" t="s">
        <v>34</v>
      </c>
      <c r="E805" s="1186">
        <v>46</v>
      </c>
      <c r="F805" s="1186">
        <v>156250</v>
      </c>
    </row>
    <row r="806" spans="1:6" x14ac:dyDescent="0.2">
      <c r="A806" s="1186" t="s">
        <v>13</v>
      </c>
      <c r="B806" s="1186" t="s">
        <v>824</v>
      </c>
      <c r="C806" s="1186" t="s">
        <v>61</v>
      </c>
      <c r="D806" s="1186" t="s">
        <v>35</v>
      </c>
      <c r="E806" s="1186">
        <v>92</v>
      </c>
      <c r="F806" s="1186">
        <v>365300</v>
      </c>
    </row>
    <row r="807" spans="1:6" x14ac:dyDescent="0.2">
      <c r="A807" s="1186" t="s">
        <v>13</v>
      </c>
      <c r="B807" s="1186" t="s">
        <v>824</v>
      </c>
      <c r="C807" s="1186" t="s">
        <v>61</v>
      </c>
      <c r="D807" s="1186" t="s">
        <v>36</v>
      </c>
      <c r="E807" s="1186">
        <v>375</v>
      </c>
      <c r="F807" s="1186">
        <v>593060</v>
      </c>
    </row>
    <row r="808" spans="1:6" x14ac:dyDescent="0.2">
      <c r="A808" s="1186" t="s">
        <v>13</v>
      </c>
      <c r="B808" s="1186" t="s">
        <v>824</v>
      </c>
      <c r="C808" s="1186" t="s">
        <v>61</v>
      </c>
      <c r="D808" s="1186" t="s">
        <v>37</v>
      </c>
      <c r="E808" s="1186">
        <v>73</v>
      </c>
      <c r="F808" s="1186">
        <v>232730</v>
      </c>
    </row>
    <row r="809" spans="1:6" x14ac:dyDescent="0.2">
      <c r="A809" s="1186" t="s">
        <v>13</v>
      </c>
      <c r="B809" s="1186" t="s">
        <v>824</v>
      </c>
      <c r="C809" s="1186" t="s">
        <v>61</v>
      </c>
      <c r="D809" s="1186" t="s">
        <v>38</v>
      </c>
      <c r="E809" s="1186">
        <v>19</v>
      </c>
      <c r="F809" s="1186">
        <v>81220</v>
      </c>
    </row>
    <row r="810" spans="1:6" x14ac:dyDescent="0.2">
      <c r="A810" s="1186" t="s">
        <v>13</v>
      </c>
      <c r="B810" s="1186" t="s">
        <v>824</v>
      </c>
      <c r="C810" s="1186" t="s">
        <v>61</v>
      </c>
      <c r="D810" s="1186" t="s">
        <v>39</v>
      </c>
      <c r="E810" s="1186">
        <v>19</v>
      </c>
      <c r="F810" s="1186">
        <v>83450</v>
      </c>
    </row>
    <row r="811" spans="1:6" x14ac:dyDescent="0.2">
      <c r="A811" s="1186" t="s">
        <v>13</v>
      </c>
      <c r="B811" s="1186" t="s">
        <v>824</v>
      </c>
      <c r="C811" s="1186" t="s">
        <v>61</v>
      </c>
      <c r="D811" s="1186" t="s">
        <v>40</v>
      </c>
      <c r="E811" s="1186">
        <v>23</v>
      </c>
      <c r="F811" s="1186">
        <v>93470</v>
      </c>
    </row>
    <row r="812" spans="1:6" x14ac:dyDescent="0.2">
      <c r="A812" s="1186" t="s">
        <v>13</v>
      </c>
      <c r="B812" s="1186" t="s">
        <v>824</v>
      </c>
      <c r="C812" s="1186" t="s">
        <v>61</v>
      </c>
      <c r="D812" s="1186" t="s">
        <v>295</v>
      </c>
      <c r="E812" s="1186">
        <v>5</v>
      </c>
      <c r="F812" s="1186">
        <v>27690</v>
      </c>
    </row>
    <row r="813" spans="1:6" x14ac:dyDescent="0.2">
      <c r="A813" s="1186" t="s">
        <v>13</v>
      </c>
      <c r="B813" s="1186" t="s">
        <v>824</v>
      </c>
      <c r="C813" s="1186" t="s">
        <v>61</v>
      </c>
      <c r="D813" s="1186" t="s">
        <v>41</v>
      </c>
      <c r="E813" s="1186">
        <v>38</v>
      </c>
      <c r="F813" s="1186">
        <v>138090</v>
      </c>
    </row>
    <row r="814" spans="1:6" x14ac:dyDescent="0.2">
      <c r="A814" s="1186" t="s">
        <v>13</v>
      </c>
      <c r="B814" s="1186" t="s">
        <v>824</v>
      </c>
      <c r="C814" s="1186" t="s">
        <v>61</v>
      </c>
      <c r="D814" s="1186" t="s">
        <v>42</v>
      </c>
      <c r="E814" s="1186">
        <v>73</v>
      </c>
      <c r="F814" s="1186">
        <v>337720</v>
      </c>
    </row>
    <row r="815" spans="1:6" x14ac:dyDescent="0.2">
      <c r="A815" s="1186" t="s">
        <v>13</v>
      </c>
      <c r="B815" s="1186" t="s">
        <v>824</v>
      </c>
      <c r="C815" s="1186" t="s">
        <v>61</v>
      </c>
      <c r="D815" s="1186" t="s">
        <v>43</v>
      </c>
      <c r="E815" s="1186">
        <v>5</v>
      </c>
      <c r="F815" s="1186">
        <v>21420</v>
      </c>
    </row>
    <row r="816" spans="1:6" x14ac:dyDescent="0.2">
      <c r="A816" s="1186" t="s">
        <v>13</v>
      </c>
      <c r="B816" s="1186" t="s">
        <v>824</v>
      </c>
      <c r="C816" s="1186" t="s">
        <v>61</v>
      </c>
      <c r="D816" s="1186" t="s">
        <v>44</v>
      </c>
      <c r="E816" s="1186">
        <v>63</v>
      </c>
      <c r="F816" s="1186">
        <v>146850</v>
      </c>
    </row>
    <row r="817" spans="1:6" x14ac:dyDescent="0.2">
      <c r="A817" s="1186" t="s">
        <v>13</v>
      </c>
      <c r="B817" s="1186" t="s">
        <v>824</v>
      </c>
      <c r="C817" s="1186" t="s">
        <v>61</v>
      </c>
      <c r="D817" s="1186" t="s">
        <v>45</v>
      </c>
      <c r="E817" s="1186">
        <v>54</v>
      </c>
      <c r="F817" s="1186">
        <v>174700</v>
      </c>
    </row>
    <row r="818" spans="1:6" x14ac:dyDescent="0.2">
      <c r="A818" s="1186" t="s">
        <v>13</v>
      </c>
      <c r="B818" s="1186" t="s">
        <v>824</v>
      </c>
      <c r="C818" s="1186" t="s">
        <v>61</v>
      </c>
      <c r="D818" s="1186" t="s">
        <v>46</v>
      </c>
      <c r="E818" s="1186">
        <v>39</v>
      </c>
      <c r="F818" s="1186">
        <v>113880</v>
      </c>
    </row>
    <row r="819" spans="1:6" x14ac:dyDescent="0.2">
      <c r="A819" s="1186" t="s">
        <v>13</v>
      </c>
      <c r="B819" s="1186" t="s">
        <v>824</v>
      </c>
      <c r="C819" s="1186" t="s">
        <v>61</v>
      </c>
      <c r="D819" s="1186" t="s">
        <v>47</v>
      </c>
      <c r="E819" s="1186">
        <v>8</v>
      </c>
      <c r="F819" s="1186">
        <v>23240</v>
      </c>
    </row>
    <row r="820" spans="1:6" x14ac:dyDescent="0.2">
      <c r="A820" s="1186" t="s">
        <v>13</v>
      </c>
      <c r="B820" s="1186" t="s">
        <v>824</v>
      </c>
      <c r="C820" s="1186" t="s">
        <v>61</v>
      </c>
      <c r="D820" s="1186" t="s">
        <v>48</v>
      </c>
      <c r="E820" s="1186">
        <v>35</v>
      </c>
      <c r="F820" s="1186">
        <v>112980</v>
      </c>
    </row>
    <row r="821" spans="1:6" x14ac:dyDescent="0.2">
      <c r="A821" s="1186" t="s">
        <v>13</v>
      </c>
      <c r="B821" s="1186" t="s">
        <v>824</v>
      </c>
      <c r="C821" s="1186" t="s">
        <v>61</v>
      </c>
      <c r="D821" s="1186" t="s">
        <v>49</v>
      </c>
      <c r="E821" s="1186">
        <v>59</v>
      </c>
      <c r="F821" s="1186">
        <v>313900</v>
      </c>
    </row>
    <row r="822" spans="1:6" x14ac:dyDescent="0.2">
      <c r="A822" s="1186" t="s">
        <v>13</v>
      </c>
      <c r="B822" s="1186" t="s">
        <v>824</v>
      </c>
      <c r="C822" s="1186" t="s">
        <v>61</v>
      </c>
      <c r="D822" s="1186" t="s">
        <v>50</v>
      </c>
      <c r="E822" s="1186">
        <v>33</v>
      </c>
      <c r="F822" s="1186">
        <v>90330</v>
      </c>
    </row>
    <row r="823" spans="1:6" x14ac:dyDescent="0.2">
      <c r="A823" s="1186" t="s">
        <v>13</v>
      </c>
      <c r="B823" s="1186" t="s">
        <v>824</v>
      </c>
      <c r="C823" s="1186" t="s">
        <v>61</v>
      </c>
      <c r="D823" s="1186" t="s">
        <v>51</v>
      </c>
      <c r="E823" s="1186">
        <v>29</v>
      </c>
      <c r="F823" s="1186">
        <v>90610</v>
      </c>
    </row>
    <row r="824" spans="1:6" x14ac:dyDescent="0.2">
      <c r="A824" s="1186" t="s">
        <v>13</v>
      </c>
      <c r="B824" s="1186" t="s">
        <v>824</v>
      </c>
      <c r="C824" s="1186" t="s">
        <v>61</v>
      </c>
      <c r="D824" s="1186" t="s">
        <v>52</v>
      </c>
      <c r="E824" s="1186">
        <v>56</v>
      </c>
      <c r="F824" s="1186">
        <v>175300</v>
      </c>
    </row>
    <row r="825" spans="1:6" x14ac:dyDescent="0.2">
      <c r="A825" s="1186" t="s">
        <v>13</v>
      </c>
      <c r="B825" s="1186" t="s">
        <v>824</v>
      </c>
      <c r="C825" s="1186" t="s">
        <v>116</v>
      </c>
      <c r="D825" s="1186" t="s">
        <v>23</v>
      </c>
      <c r="E825" s="1186">
        <v>43</v>
      </c>
      <c r="F825" s="1186">
        <v>222460</v>
      </c>
    </row>
    <row r="826" spans="1:6" x14ac:dyDescent="0.2">
      <c r="A826" s="1186" t="s">
        <v>13</v>
      </c>
      <c r="B826" s="1186" t="s">
        <v>824</v>
      </c>
      <c r="C826" s="1186" t="s">
        <v>116</v>
      </c>
      <c r="D826" s="1186" t="s">
        <v>24</v>
      </c>
      <c r="E826" s="1186">
        <v>23</v>
      </c>
      <c r="F826" s="1186">
        <v>253650</v>
      </c>
    </row>
    <row r="827" spans="1:6" x14ac:dyDescent="0.2">
      <c r="A827" s="1186" t="s">
        <v>13</v>
      </c>
      <c r="B827" s="1186" t="s">
        <v>824</v>
      </c>
      <c r="C827" s="1186" t="s">
        <v>116</v>
      </c>
      <c r="D827" s="1186" t="s">
        <v>25</v>
      </c>
      <c r="E827" s="1186">
        <v>10</v>
      </c>
      <c r="F827" s="1186">
        <v>116200</v>
      </c>
    </row>
    <row r="828" spans="1:6" x14ac:dyDescent="0.2">
      <c r="A828" s="1186" t="s">
        <v>13</v>
      </c>
      <c r="B828" s="1186" t="s">
        <v>824</v>
      </c>
      <c r="C828" s="1186" t="s">
        <v>116</v>
      </c>
      <c r="D828" s="1186" t="s">
        <v>26</v>
      </c>
      <c r="E828" s="1186">
        <v>5</v>
      </c>
      <c r="F828" s="1186">
        <v>88930</v>
      </c>
    </row>
    <row r="829" spans="1:6" x14ac:dyDescent="0.2">
      <c r="A829" s="1186" t="s">
        <v>13</v>
      </c>
      <c r="B829" s="1186" t="s">
        <v>824</v>
      </c>
      <c r="C829" s="1186" t="s">
        <v>116</v>
      </c>
      <c r="D829" s="1186" t="s">
        <v>619</v>
      </c>
      <c r="E829" s="1186">
        <v>78</v>
      </c>
      <c r="F829" s="1186">
        <v>477940</v>
      </c>
    </row>
    <row r="830" spans="1:6" x14ac:dyDescent="0.2">
      <c r="A830" s="1186" t="s">
        <v>13</v>
      </c>
      <c r="B830" s="1186" t="s">
        <v>824</v>
      </c>
      <c r="C830" s="1186" t="s">
        <v>116</v>
      </c>
      <c r="D830" s="1186" t="s">
        <v>27</v>
      </c>
      <c r="E830" s="1186">
        <v>6</v>
      </c>
      <c r="F830" s="1186">
        <v>51500</v>
      </c>
    </row>
    <row r="831" spans="1:6" x14ac:dyDescent="0.2">
      <c r="A831" s="1186" t="s">
        <v>13</v>
      </c>
      <c r="B831" s="1186" t="s">
        <v>824</v>
      </c>
      <c r="C831" s="1186" t="s">
        <v>116</v>
      </c>
      <c r="D831" s="1186" t="s">
        <v>28</v>
      </c>
      <c r="E831" s="1186">
        <v>20</v>
      </c>
      <c r="F831" s="1186">
        <v>151410</v>
      </c>
    </row>
    <row r="832" spans="1:6" x14ac:dyDescent="0.2">
      <c r="A832" s="1186" t="s">
        <v>13</v>
      </c>
      <c r="B832" s="1186" t="s">
        <v>824</v>
      </c>
      <c r="C832" s="1186" t="s">
        <v>116</v>
      </c>
      <c r="D832" s="1186" t="s">
        <v>29</v>
      </c>
      <c r="E832" s="1186">
        <v>12</v>
      </c>
      <c r="F832" s="1186">
        <v>147200</v>
      </c>
    </row>
    <row r="833" spans="1:6" x14ac:dyDescent="0.2">
      <c r="A833" s="1186" t="s">
        <v>13</v>
      </c>
      <c r="B833" s="1186" t="s">
        <v>824</v>
      </c>
      <c r="C833" s="1186" t="s">
        <v>116</v>
      </c>
      <c r="D833" s="1186" t="s">
        <v>30</v>
      </c>
      <c r="E833" s="1186">
        <v>32</v>
      </c>
      <c r="F833" s="1186">
        <v>122690</v>
      </c>
    </row>
    <row r="834" spans="1:6" x14ac:dyDescent="0.2">
      <c r="A834" s="1186" t="s">
        <v>13</v>
      </c>
      <c r="B834" s="1186" t="s">
        <v>824</v>
      </c>
      <c r="C834" s="1186" t="s">
        <v>116</v>
      </c>
      <c r="D834" s="1186" t="s">
        <v>31</v>
      </c>
      <c r="E834" s="1186">
        <v>12</v>
      </c>
      <c r="F834" s="1186">
        <v>105000</v>
      </c>
    </row>
    <row r="835" spans="1:6" x14ac:dyDescent="0.2">
      <c r="A835" s="1186" t="s">
        <v>13</v>
      </c>
      <c r="B835" s="1186" t="s">
        <v>824</v>
      </c>
      <c r="C835" s="1186" t="s">
        <v>116</v>
      </c>
      <c r="D835" s="1186" t="s">
        <v>32</v>
      </c>
      <c r="E835" s="1186">
        <v>11</v>
      </c>
      <c r="F835" s="1186">
        <v>99920</v>
      </c>
    </row>
    <row r="836" spans="1:6" x14ac:dyDescent="0.2">
      <c r="A836" s="1186" t="s">
        <v>13</v>
      </c>
      <c r="B836" s="1186" t="s">
        <v>824</v>
      </c>
      <c r="C836" s="1186" t="s">
        <v>116</v>
      </c>
      <c r="D836" s="1186" t="s">
        <v>33</v>
      </c>
      <c r="E836" s="1186">
        <v>14</v>
      </c>
      <c r="F836" s="1186">
        <v>90810</v>
      </c>
    </row>
    <row r="837" spans="1:6" x14ac:dyDescent="0.2">
      <c r="A837" s="1186" t="s">
        <v>13</v>
      </c>
      <c r="B837" s="1186" t="s">
        <v>824</v>
      </c>
      <c r="C837" s="1186" t="s">
        <v>116</v>
      </c>
      <c r="D837" s="1186" t="s">
        <v>34</v>
      </c>
      <c r="E837" s="1186">
        <v>29</v>
      </c>
      <c r="F837" s="1186">
        <v>156250</v>
      </c>
    </row>
    <row r="838" spans="1:6" x14ac:dyDescent="0.2">
      <c r="A838" s="1186" t="s">
        <v>13</v>
      </c>
      <c r="B838" s="1186" t="s">
        <v>824</v>
      </c>
      <c r="C838" s="1186" t="s">
        <v>116</v>
      </c>
      <c r="D838" s="1186" t="s">
        <v>35</v>
      </c>
      <c r="E838" s="1186">
        <v>41</v>
      </c>
      <c r="F838" s="1186">
        <v>365300</v>
      </c>
    </row>
    <row r="839" spans="1:6" x14ac:dyDescent="0.2">
      <c r="A839" s="1186" t="s">
        <v>13</v>
      </c>
      <c r="B839" s="1186" t="s">
        <v>824</v>
      </c>
      <c r="C839" s="1186" t="s">
        <v>116</v>
      </c>
      <c r="D839" s="1186" t="s">
        <v>36</v>
      </c>
      <c r="E839" s="1186">
        <v>136</v>
      </c>
      <c r="F839" s="1186">
        <v>593060</v>
      </c>
    </row>
    <row r="840" spans="1:6" x14ac:dyDescent="0.2">
      <c r="A840" s="1186" t="s">
        <v>13</v>
      </c>
      <c r="B840" s="1186" t="s">
        <v>824</v>
      </c>
      <c r="C840" s="1186" t="s">
        <v>116</v>
      </c>
      <c r="D840" s="1186" t="s">
        <v>37</v>
      </c>
      <c r="E840" s="1186">
        <v>15</v>
      </c>
      <c r="F840" s="1186">
        <v>232730</v>
      </c>
    </row>
    <row r="841" spans="1:6" x14ac:dyDescent="0.2">
      <c r="A841" s="1186" t="s">
        <v>13</v>
      </c>
      <c r="B841" s="1186" t="s">
        <v>824</v>
      </c>
      <c r="C841" s="1186" t="s">
        <v>116</v>
      </c>
      <c r="D841" s="1186" t="s">
        <v>38</v>
      </c>
      <c r="E841" s="1186">
        <v>24</v>
      </c>
      <c r="F841" s="1186">
        <v>81220</v>
      </c>
    </row>
    <row r="842" spans="1:6" x14ac:dyDescent="0.2">
      <c r="A842" s="1186" t="s">
        <v>13</v>
      </c>
      <c r="B842" s="1186" t="s">
        <v>824</v>
      </c>
      <c r="C842" s="1186" t="s">
        <v>116</v>
      </c>
      <c r="D842" s="1186" t="s">
        <v>39</v>
      </c>
      <c r="E842" s="1186">
        <v>21</v>
      </c>
      <c r="F842" s="1186">
        <v>83450</v>
      </c>
    </row>
    <row r="843" spans="1:6" x14ac:dyDescent="0.2">
      <c r="A843" s="1186" t="s">
        <v>13</v>
      </c>
      <c r="B843" s="1186" t="s">
        <v>824</v>
      </c>
      <c r="C843" s="1186" t="s">
        <v>116</v>
      </c>
      <c r="D843" s="1186" t="s">
        <v>40</v>
      </c>
      <c r="E843" s="1186">
        <v>12</v>
      </c>
      <c r="F843" s="1186">
        <v>93470</v>
      </c>
    </row>
    <row r="844" spans="1:6" x14ac:dyDescent="0.2">
      <c r="A844" s="1186" t="s">
        <v>13</v>
      </c>
      <c r="B844" s="1186" t="s">
        <v>824</v>
      </c>
      <c r="C844" s="1186" t="s">
        <v>116</v>
      </c>
      <c r="D844" s="1186" t="s">
        <v>41</v>
      </c>
      <c r="E844" s="1186">
        <v>30</v>
      </c>
      <c r="F844" s="1186">
        <v>138090</v>
      </c>
    </row>
    <row r="845" spans="1:6" x14ac:dyDescent="0.2">
      <c r="A845" s="1186" t="s">
        <v>13</v>
      </c>
      <c r="B845" s="1186" t="s">
        <v>824</v>
      </c>
      <c r="C845" s="1186" t="s">
        <v>116</v>
      </c>
      <c r="D845" s="1186" t="s">
        <v>42</v>
      </c>
      <c r="E845" s="1186">
        <v>91</v>
      </c>
      <c r="F845" s="1186">
        <v>337720</v>
      </c>
    </row>
    <row r="846" spans="1:6" x14ac:dyDescent="0.2">
      <c r="A846" s="1186" t="s">
        <v>13</v>
      </c>
      <c r="B846" s="1186" t="s">
        <v>824</v>
      </c>
      <c r="C846" s="1186" t="s">
        <v>116</v>
      </c>
      <c r="D846" s="1186" t="s">
        <v>44</v>
      </c>
      <c r="E846" s="1186">
        <v>9</v>
      </c>
      <c r="F846" s="1186">
        <v>146850</v>
      </c>
    </row>
    <row r="847" spans="1:6" x14ac:dyDescent="0.2">
      <c r="A847" s="1186" t="s">
        <v>13</v>
      </c>
      <c r="B847" s="1186" t="s">
        <v>824</v>
      </c>
      <c r="C847" s="1186" t="s">
        <v>116</v>
      </c>
      <c r="D847" s="1186" t="s">
        <v>45</v>
      </c>
      <c r="E847" s="1186">
        <v>37</v>
      </c>
      <c r="F847" s="1186">
        <v>174700</v>
      </c>
    </row>
    <row r="848" spans="1:6" x14ac:dyDescent="0.2">
      <c r="A848" s="1186" t="s">
        <v>13</v>
      </c>
      <c r="B848" s="1186" t="s">
        <v>824</v>
      </c>
      <c r="C848" s="1186" t="s">
        <v>116</v>
      </c>
      <c r="D848" s="1186" t="s">
        <v>46</v>
      </c>
      <c r="E848" s="1186">
        <v>5</v>
      </c>
      <c r="F848" s="1186">
        <v>113880</v>
      </c>
    </row>
    <row r="849" spans="1:6" x14ac:dyDescent="0.2">
      <c r="A849" s="1186" t="s">
        <v>13</v>
      </c>
      <c r="B849" s="1186" t="s">
        <v>824</v>
      </c>
      <c r="C849" s="1186" t="s">
        <v>116</v>
      </c>
      <c r="D849" s="1186" t="s">
        <v>48</v>
      </c>
      <c r="E849" s="1186">
        <v>5</v>
      </c>
      <c r="F849" s="1186">
        <v>112980</v>
      </c>
    </row>
    <row r="850" spans="1:6" x14ac:dyDescent="0.2">
      <c r="A850" s="1186" t="s">
        <v>13</v>
      </c>
      <c r="B850" s="1186" t="s">
        <v>824</v>
      </c>
      <c r="C850" s="1186" t="s">
        <v>116</v>
      </c>
      <c r="D850" s="1186" t="s">
        <v>49</v>
      </c>
      <c r="E850" s="1186">
        <v>57</v>
      </c>
      <c r="F850" s="1186">
        <v>313900</v>
      </c>
    </row>
    <row r="851" spans="1:6" x14ac:dyDescent="0.2">
      <c r="A851" s="1186" t="s">
        <v>13</v>
      </c>
      <c r="B851" s="1186" t="s">
        <v>824</v>
      </c>
      <c r="C851" s="1186" t="s">
        <v>116</v>
      </c>
      <c r="D851" s="1186" t="s">
        <v>50</v>
      </c>
      <c r="E851" s="1186">
        <v>21</v>
      </c>
      <c r="F851" s="1186">
        <v>90330</v>
      </c>
    </row>
    <row r="852" spans="1:6" x14ac:dyDescent="0.2">
      <c r="A852" s="1186" t="s">
        <v>13</v>
      </c>
      <c r="B852" s="1186" t="s">
        <v>824</v>
      </c>
      <c r="C852" s="1186" t="s">
        <v>116</v>
      </c>
      <c r="D852" s="1186" t="s">
        <v>51</v>
      </c>
      <c r="E852" s="1186">
        <v>17</v>
      </c>
      <c r="F852" s="1186">
        <v>90610</v>
      </c>
    </row>
    <row r="853" spans="1:6" x14ac:dyDescent="0.2">
      <c r="A853" s="1186" t="s">
        <v>13</v>
      </c>
      <c r="B853" s="1186" t="s">
        <v>824</v>
      </c>
      <c r="C853" s="1186" t="s">
        <v>116</v>
      </c>
      <c r="D853" s="1186" t="s">
        <v>52</v>
      </c>
      <c r="E853" s="1186">
        <v>47</v>
      </c>
      <c r="F853" s="1186">
        <v>175300</v>
      </c>
    </row>
    <row r="854" spans="1:6" x14ac:dyDescent="0.2">
      <c r="A854" s="1186" t="s">
        <v>13</v>
      </c>
      <c r="B854" s="1186" t="s">
        <v>825</v>
      </c>
      <c r="C854" s="1186" t="s">
        <v>61</v>
      </c>
      <c r="D854" s="1186" t="s">
        <v>23</v>
      </c>
      <c r="E854" s="1186">
        <v>34</v>
      </c>
      <c r="F854" s="1186">
        <v>222460</v>
      </c>
    </row>
    <row r="855" spans="1:6" x14ac:dyDescent="0.2">
      <c r="A855" s="1186" t="s">
        <v>13</v>
      </c>
      <c r="B855" s="1186" t="s">
        <v>825</v>
      </c>
      <c r="C855" s="1186" t="s">
        <v>61</v>
      </c>
      <c r="D855" s="1186" t="s">
        <v>24</v>
      </c>
      <c r="E855" s="1186">
        <v>62</v>
      </c>
      <c r="F855" s="1186">
        <v>253650</v>
      </c>
    </row>
    <row r="856" spans="1:6" x14ac:dyDescent="0.2">
      <c r="A856" s="1186" t="s">
        <v>13</v>
      </c>
      <c r="B856" s="1186" t="s">
        <v>825</v>
      </c>
      <c r="C856" s="1186" t="s">
        <v>61</v>
      </c>
      <c r="D856" s="1186" t="s">
        <v>25</v>
      </c>
      <c r="E856" s="1186">
        <v>34</v>
      </c>
      <c r="F856" s="1186">
        <v>116200</v>
      </c>
    </row>
    <row r="857" spans="1:6" x14ac:dyDescent="0.2">
      <c r="A857" s="1186" t="s">
        <v>13</v>
      </c>
      <c r="B857" s="1186" t="s">
        <v>825</v>
      </c>
      <c r="C857" s="1186" t="s">
        <v>61</v>
      </c>
      <c r="D857" s="1186" t="s">
        <v>26</v>
      </c>
      <c r="E857" s="1186">
        <v>24</v>
      </c>
      <c r="F857" s="1186">
        <v>88930</v>
      </c>
    </row>
    <row r="858" spans="1:6" x14ac:dyDescent="0.2">
      <c r="A858" s="1186" t="s">
        <v>13</v>
      </c>
      <c r="B858" s="1186" t="s">
        <v>825</v>
      </c>
      <c r="C858" s="1186" t="s">
        <v>61</v>
      </c>
      <c r="D858" s="1186" t="s">
        <v>619</v>
      </c>
      <c r="E858" s="1186">
        <v>78</v>
      </c>
      <c r="F858" s="1186">
        <v>477940</v>
      </c>
    </row>
    <row r="859" spans="1:6" x14ac:dyDescent="0.2">
      <c r="A859" s="1186" t="s">
        <v>13</v>
      </c>
      <c r="B859" s="1186" t="s">
        <v>825</v>
      </c>
      <c r="C859" s="1186" t="s">
        <v>61</v>
      </c>
      <c r="D859" s="1186" t="s">
        <v>27</v>
      </c>
      <c r="E859" s="1186">
        <v>8</v>
      </c>
      <c r="F859" s="1186">
        <v>51500</v>
      </c>
    </row>
    <row r="860" spans="1:6" x14ac:dyDescent="0.2">
      <c r="A860" s="1186" t="s">
        <v>13</v>
      </c>
      <c r="B860" s="1186" t="s">
        <v>825</v>
      </c>
      <c r="C860" s="1186" t="s">
        <v>61</v>
      </c>
      <c r="D860" s="1186" t="s">
        <v>28</v>
      </c>
      <c r="E860" s="1186">
        <v>57</v>
      </c>
      <c r="F860" s="1186">
        <v>151410</v>
      </c>
    </row>
    <row r="861" spans="1:6" x14ac:dyDescent="0.2">
      <c r="A861" s="1186" t="s">
        <v>13</v>
      </c>
      <c r="B861" s="1186" t="s">
        <v>825</v>
      </c>
      <c r="C861" s="1186" t="s">
        <v>61</v>
      </c>
      <c r="D861" s="1186" t="s">
        <v>29</v>
      </c>
      <c r="E861" s="1186">
        <v>32</v>
      </c>
      <c r="F861" s="1186">
        <v>147200</v>
      </c>
    </row>
    <row r="862" spans="1:6" x14ac:dyDescent="0.2">
      <c r="A862" s="1186" t="s">
        <v>13</v>
      </c>
      <c r="B862" s="1186" t="s">
        <v>825</v>
      </c>
      <c r="C862" s="1186" t="s">
        <v>61</v>
      </c>
      <c r="D862" s="1186" t="s">
        <v>30</v>
      </c>
      <c r="E862" s="1186">
        <v>27</v>
      </c>
      <c r="F862" s="1186">
        <v>122690</v>
      </c>
    </row>
    <row r="863" spans="1:6" x14ac:dyDescent="0.2">
      <c r="A863" s="1186" t="s">
        <v>13</v>
      </c>
      <c r="B863" s="1186" t="s">
        <v>825</v>
      </c>
      <c r="C863" s="1186" t="s">
        <v>61</v>
      </c>
      <c r="D863" s="1186" t="s">
        <v>31</v>
      </c>
      <c r="E863" s="1186">
        <v>10</v>
      </c>
      <c r="F863" s="1186">
        <v>105000</v>
      </c>
    </row>
    <row r="864" spans="1:6" x14ac:dyDescent="0.2">
      <c r="A864" s="1186" t="s">
        <v>13</v>
      </c>
      <c r="B864" s="1186" t="s">
        <v>825</v>
      </c>
      <c r="C864" s="1186" t="s">
        <v>61</v>
      </c>
      <c r="D864" s="1186" t="s">
        <v>32</v>
      </c>
      <c r="E864" s="1186">
        <v>15</v>
      </c>
      <c r="F864" s="1186">
        <v>99920</v>
      </c>
    </row>
    <row r="865" spans="1:6" x14ac:dyDescent="0.2">
      <c r="A865" s="1186" t="s">
        <v>13</v>
      </c>
      <c r="B865" s="1186" t="s">
        <v>825</v>
      </c>
      <c r="C865" s="1186" t="s">
        <v>61</v>
      </c>
      <c r="D865" s="1186" t="s">
        <v>33</v>
      </c>
      <c r="E865" s="1186">
        <v>22</v>
      </c>
      <c r="F865" s="1186">
        <v>90810</v>
      </c>
    </row>
    <row r="866" spans="1:6" x14ac:dyDescent="0.2">
      <c r="A866" s="1186" t="s">
        <v>13</v>
      </c>
      <c r="B866" s="1186" t="s">
        <v>825</v>
      </c>
      <c r="C866" s="1186" t="s">
        <v>61</v>
      </c>
      <c r="D866" s="1186" t="s">
        <v>34</v>
      </c>
      <c r="E866" s="1186">
        <v>28</v>
      </c>
      <c r="F866" s="1186">
        <v>156250</v>
      </c>
    </row>
    <row r="867" spans="1:6" x14ac:dyDescent="0.2">
      <c r="A867" s="1186" t="s">
        <v>13</v>
      </c>
      <c r="B867" s="1186" t="s">
        <v>825</v>
      </c>
      <c r="C867" s="1186" t="s">
        <v>61</v>
      </c>
      <c r="D867" s="1186" t="s">
        <v>35</v>
      </c>
      <c r="E867" s="1186">
        <v>78</v>
      </c>
      <c r="F867" s="1186">
        <v>365300</v>
      </c>
    </row>
    <row r="868" spans="1:6" x14ac:dyDescent="0.2">
      <c r="A868" s="1186" t="s">
        <v>13</v>
      </c>
      <c r="B868" s="1186" t="s">
        <v>825</v>
      </c>
      <c r="C868" s="1186" t="s">
        <v>61</v>
      </c>
      <c r="D868" s="1186" t="s">
        <v>36</v>
      </c>
      <c r="E868" s="1186">
        <v>129</v>
      </c>
      <c r="F868" s="1186">
        <v>593060</v>
      </c>
    </row>
    <row r="869" spans="1:6" x14ac:dyDescent="0.2">
      <c r="A869" s="1186" t="s">
        <v>13</v>
      </c>
      <c r="B869" s="1186" t="s">
        <v>825</v>
      </c>
      <c r="C869" s="1186" t="s">
        <v>61</v>
      </c>
      <c r="D869" s="1186" t="s">
        <v>37</v>
      </c>
      <c r="E869" s="1186">
        <v>78</v>
      </c>
      <c r="F869" s="1186">
        <v>232730</v>
      </c>
    </row>
    <row r="870" spans="1:6" x14ac:dyDescent="0.2">
      <c r="A870" s="1186" t="s">
        <v>13</v>
      </c>
      <c r="B870" s="1186" t="s">
        <v>825</v>
      </c>
      <c r="C870" s="1186" t="s">
        <v>61</v>
      </c>
      <c r="D870" s="1186" t="s">
        <v>38</v>
      </c>
      <c r="E870" s="1186">
        <v>10</v>
      </c>
      <c r="F870" s="1186">
        <v>81220</v>
      </c>
    </row>
    <row r="871" spans="1:6" x14ac:dyDescent="0.2">
      <c r="A871" s="1186" t="s">
        <v>13</v>
      </c>
      <c r="B871" s="1186" t="s">
        <v>825</v>
      </c>
      <c r="C871" s="1186" t="s">
        <v>61</v>
      </c>
      <c r="D871" s="1186" t="s">
        <v>39</v>
      </c>
      <c r="E871" s="1186">
        <v>21</v>
      </c>
      <c r="F871" s="1186">
        <v>83450</v>
      </c>
    </row>
    <row r="872" spans="1:6" x14ac:dyDescent="0.2">
      <c r="A872" s="1186" t="s">
        <v>13</v>
      </c>
      <c r="B872" s="1186" t="s">
        <v>825</v>
      </c>
      <c r="C872" s="1186" t="s">
        <v>61</v>
      </c>
      <c r="D872" s="1186" t="s">
        <v>40</v>
      </c>
      <c r="E872" s="1186">
        <v>18</v>
      </c>
      <c r="F872" s="1186">
        <v>93470</v>
      </c>
    </row>
    <row r="873" spans="1:6" x14ac:dyDescent="0.2">
      <c r="A873" s="1186" t="s">
        <v>13</v>
      </c>
      <c r="B873" s="1186" t="s">
        <v>825</v>
      </c>
      <c r="C873" s="1186" t="s">
        <v>61</v>
      </c>
      <c r="D873" s="1186" t="s">
        <v>295</v>
      </c>
      <c r="E873" s="1186">
        <v>7</v>
      </c>
      <c r="F873" s="1186">
        <v>27690</v>
      </c>
    </row>
    <row r="874" spans="1:6" x14ac:dyDescent="0.2">
      <c r="A874" s="1186" t="s">
        <v>13</v>
      </c>
      <c r="B874" s="1186" t="s">
        <v>825</v>
      </c>
      <c r="C874" s="1186" t="s">
        <v>61</v>
      </c>
      <c r="D874" s="1186" t="s">
        <v>41</v>
      </c>
      <c r="E874" s="1186">
        <v>27</v>
      </c>
      <c r="F874" s="1186">
        <v>138090</v>
      </c>
    </row>
    <row r="875" spans="1:6" x14ac:dyDescent="0.2">
      <c r="A875" s="1186" t="s">
        <v>13</v>
      </c>
      <c r="B875" s="1186" t="s">
        <v>825</v>
      </c>
      <c r="C875" s="1186" t="s">
        <v>61</v>
      </c>
      <c r="D875" s="1186" t="s">
        <v>42</v>
      </c>
      <c r="E875" s="1186">
        <v>84</v>
      </c>
      <c r="F875" s="1186">
        <v>337720</v>
      </c>
    </row>
    <row r="876" spans="1:6" x14ac:dyDescent="0.2">
      <c r="A876" s="1186" t="s">
        <v>13</v>
      </c>
      <c r="B876" s="1186" t="s">
        <v>825</v>
      </c>
      <c r="C876" s="1186" t="s">
        <v>61</v>
      </c>
      <c r="D876" s="1186" t="s">
        <v>43</v>
      </c>
      <c r="E876" s="1186">
        <v>10</v>
      </c>
      <c r="F876" s="1186">
        <v>21420</v>
      </c>
    </row>
    <row r="877" spans="1:6" x14ac:dyDescent="0.2">
      <c r="A877" s="1186" t="s">
        <v>13</v>
      </c>
      <c r="B877" s="1186" t="s">
        <v>825</v>
      </c>
      <c r="C877" s="1186" t="s">
        <v>61</v>
      </c>
      <c r="D877" s="1186" t="s">
        <v>44</v>
      </c>
      <c r="E877" s="1186">
        <v>65</v>
      </c>
      <c r="F877" s="1186">
        <v>146850</v>
      </c>
    </row>
    <row r="878" spans="1:6" x14ac:dyDescent="0.2">
      <c r="A878" s="1186" t="s">
        <v>13</v>
      </c>
      <c r="B878" s="1186" t="s">
        <v>825</v>
      </c>
      <c r="C878" s="1186" t="s">
        <v>61</v>
      </c>
      <c r="D878" s="1186" t="s">
        <v>45</v>
      </c>
      <c r="E878" s="1186">
        <v>31</v>
      </c>
      <c r="F878" s="1186">
        <v>174700</v>
      </c>
    </row>
    <row r="879" spans="1:6" x14ac:dyDescent="0.2">
      <c r="A879" s="1186" t="s">
        <v>13</v>
      </c>
      <c r="B879" s="1186" t="s">
        <v>825</v>
      </c>
      <c r="C879" s="1186" t="s">
        <v>61</v>
      </c>
      <c r="D879" s="1186" t="s">
        <v>46</v>
      </c>
      <c r="E879" s="1186">
        <v>36</v>
      </c>
      <c r="F879" s="1186">
        <v>113880</v>
      </c>
    </row>
    <row r="880" spans="1:6" x14ac:dyDescent="0.2">
      <c r="A880" s="1186" t="s">
        <v>13</v>
      </c>
      <c r="B880" s="1186" t="s">
        <v>825</v>
      </c>
      <c r="C880" s="1186" t="s">
        <v>61</v>
      </c>
      <c r="D880" s="1186" t="s">
        <v>47</v>
      </c>
      <c r="E880" s="1186">
        <v>1</v>
      </c>
      <c r="F880" s="1186">
        <v>23240</v>
      </c>
    </row>
    <row r="881" spans="1:6" x14ac:dyDescent="0.2">
      <c r="A881" s="1186" t="s">
        <v>13</v>
      </c>
      <c r="B881" s="1186" t="s">
        <v>825</v>
      </c>
      <c r="C881" s="1186" t="s">
        <v>61</v>
      </c>
      <c r="D881" s="1186" t="s">
        <v>48</v>
      </c>
      <c r="E881" s="1186">
        <v>33</v>
      </c>
      <c r="F881" s="1186">
        <v>112980</v>
      </c>
    </row>
    <row r="882" spans="1:6" x14ac:dyDescent="0.2">
      <c r="A882" s="1186" t="s">
        <v>13</v>
      </c>
      <c r="B882" s="1186" t="s">
        <v>825</v>
      </c>
      <c r="C882" s="1186" t="s">
        <v>61</v>
      </c>
      <c r="D882" s="1186" t="s">
        <v>49</v>
      </c>
      <c r="E882" s="1186">
        <v>76</v>
      </c>
      <c r="F882" s="1186">
        <v>313900</v>
      </c>
    </row>
    <row r="883" spans="1:6" x14ac:dyDescent="0.2">
      <c r="A883" s="1186" t="s">
        <v>13</v>
      </c>
      <c r="B883" s="1186" t="s">
        <v>825</v>
      </c>
      <c r="C883" s="1186" t="s">
        <v>61</v>
      </c>
      <c r="D883" s="1186" t="s">
        <v>50</v>
      </c>
      <c r="E883" s="1186">
        <v>23</v>
      </c>
      <c r="F883" s="1186">
        <v>90330</v>
      </c>
    </row>
    <row r="884" spans="1:6" x14ac:dyDescent="0.2">
      <c r="A884" s="1186" t="s">
        <v>13</v>
      </c>
      <c r="B884" s="1186" t="s">
        <v>825</v>
      </c>
      <c r="C884" s="1186" t="s">
        <v>61</v>
      </c>
      <c r="D884" s="1186" t="s">
        <v>51</v>
      </c>
      <c r="E884" s="1186">
        <v>30</v>
      </c>
      <c r="F884" s="1186">
        <v>90610</v>
      </c>
    </row>
    <row r="885" spans="1:6" x14ac:dyDescent="0.2">
      <c r="A885" s="1186" t="s">
        <v>13</v>
      </c>
      <c r="B885" s="1186" t="s">
        <v>825</v>
      </c>
      <c r="C885" s="1186" t="s">
        <v>61</v>
      </c>
      <c r="D885" s="1186" t="s">
        <v>52</v>
      </c>
      <c r="E885" s="1186">
        <v>59</v>
      </c>
      <c r="F885" s="1186">
        <v>175300</v>
      </c>
    </row>
    <row r="886" spans="1:6" x14ac:dyDescent="0.2">
      <c r="A886" s="1186" t="s">
        <v>13</v>
      </c>
      <c r="B886" s="1186" t="s">
        <v>825</v>
      </c>
      <c r="C886" s="1186" t="s">
        <v>116</v>
      </c>
      <c r="D886" s="1186" t="s">
        <v>23</v>
      </c>
      <c r="E886" s="1186">
        <v>62</v>
      </c>
      <c r="F886" s="1186">
        <v>222460</v>
      </c>
    </row>
    <row r="887" spans="1:6" x14ac:dyDescent="0.2">
      <c r="A887" s="1186" t="s">
        <v>13</v>
      </c>
      <c r="B887" s="1186" t="s">
        <v>825</v>
      </c>
      <c r="C887" s="1186" t="s">
        <v>116</v>
      </c>
      <c r="D887" s="1186" t="s">
        <v>24</v>
      </c>
      <c r="E887" s="1186">
        <v>20</v>
      </c>
      <c r="F887" s="1186">
        <v>253650</v>
      </c>
    </row>
    <row r="888" spans="1:6" x14ac:dyDescent="0.2">
      <c r="A888" s="1186" t="s">
        <v>13</v>
      </c>
      <c r="B888" s="1186" t="s">
        <v>825</v>
      </c>
      <c r="C888" s="1186" t="s">
        <v>116</v>
      </c>
      <c r="D888" s="1186" t="s">
        <v>25</v>
      </c>
      <c r="E888" s="1186">
        <v>1</v>
      </c>
      <c r="F888" s="1186">
        <v>116200</v>
      </c>
    </row>
    <row r="889" spans="1:6" x14ac:dyDescent="0.2">
      <c r="A889" s="1186" t="s">
        <v>13</v>
      </c>
      <c r="B889" s="1186" t="s">
        <v>825</v>
      </c>
      <c r="C889" s="1186" t="s">
        <v>116</v>
      </c>
      <c r="D889" s="1186" t="s">
        <v>26</v>
      </c>
      <c r="E889" s="1186">
        <v>9</v>
      </c>
      <c r="F889" s="1186">
        <v>88930</v>
      </c>
    </row>
    <row r="890" spans="1:6" x14ac:dyDescent="0.2">
      <c r="A890" s="1186" t="s">
        <v>13</v>
      </c>
      <c r="B890" s="1186" t="s">
        <v>825</v>
      </c>
      <c r="C890" s="1186" t="s">
        <v>116</v>
      </c>
      <c r="D890" s="1186" t="s">
        <v>619</v>
      </c>
      <c r="E890" s="1186">
        <v>117</v>
      </c>
      <c r="F890" s="1186">
        <v>477940</v>
      </c>
    </row>
    <row r="891" spans="1:6" x14ac:dyDescent="0.2">
      <c r="A891" s="1186" t="s">
        <v>13</v>
      </c>
      <c r="B891" s="1186" t="s">
        <v>825</v>
      </c>
      <c r="C891" s="1186" t="s">
        <v>116</v>
      </c>
      <c r="D891" s="1186" t="s">
        <v>27</v>
      </c>
      <c r="E891" s="1186">
        <v>3</v>
      </c>
      <c r="F891" s="1186">
        <v>51500</v>
      </c>
    </row>
    <row r="892" spans="1:6" x14ac:dyDescent="0.2">
      <c r="A892" s="1186" t="s">
        <v>13</v>
      </c>
      <c r="B892" s="1186" t="s">
        <v>825</v>
      </c>
      <c r="C892" s="1186" t="s">
        <v>116</v>
      </c>
      <c r="D892" s="1186" t="s">
        <v>28</v>
      </c>
      <c r="E892" s="1186">
        <v>27</v>
      </c>
      <c r="F892" s="1186">
        <v>151410</v>
      </c>
    </row>
    <row r="893" spans="1:6" x14ac:dyDescent="0.2">
      <c r="A893" s="1186" t="s">
        <v>13</v>
      </c>
      <c r="B893" s="1186" t="s">
        <v>825</v>
      </c>
      <c r="C893" s="1186" t="s">
        <v>116</v>
      </c>
      <c r="D893" s="1186" t="s">
        <v>29</v>
      </c>
      <c r="E893" s="1186">
        <v>26</v>
      </c>
      <c r="F893" s="1186">
        <v>147200</v>
      </c>
    </row>
    <row r="894" spans="1:6" x14ac:dyDescent="0.2">
      <c r="A894" s="1186" t="s">
        <v>13</v>
      </c>
      <c r="B894" s="1186" t="s">
        <v>825</v>
      </c>
      <c r="C894" s="1186" t="s">
        <v>116</v>
      </c>
      <c r="D894" s="1186" t="s">
        <v>30</v>
      </c>
      <c r="E894" s="1186">
        <v>30</v>
      </c>
      <c r="F894" s="1186">
        <v>122690</v>
      </c>
    </row>
    <row r="895" spans="1:6" x14ac:dyDescent="0.2">
      <c r="A895" s="1186" t="s">
        <v>13</v>
      </c>
      <c r="B895" s="1186" t="s">
        <v>825</v>
      </c>
      <c r="C895" s="1186" t="s">
        <v>116</v>
      </c>
      <c r="D895" s="1186" t="s">
        <v>31</v>
      </c>
      <c r="E895" s="1186">
        <v>21</v>
      </c>
      <c r="F895" s="1186">
        <v>105000</v>
      </c>
    </row>
    <row r="896" spans="1:6" x14ac:dyDescent="0.2">
      <c r="A896" s="1186" t="s">
        <v>13</v>
      </c>
      <c r="B896" s="1186" t="s">
        <v>825</v>
      </c>
      <c r="C896" s="1186" t="s">
        <v>116</v>
      </c>
      <c r="D896" s="1186" t="s">
        <v>32</v>
      </c>
      <c r="E896" s="1186">
        <v>9</v>
      </c>
      <c r="F896" s="1186">
        <v>99920</v>
      </c>
    </row>
    <row r="897" spans="1:6" x14ac:dyDescent="0.2">
      <c r="A897" s="1186" t="s">
        <v>13</v>
      </c>
      <c r="B897" s="1186" t="s">
        <v>825</v>
      </c>
      <c r="C897" s="1186" t="s">
        <v>116</v>
      </c>
      <c r="D897" s="1186" t="s">
        <v>33</v>
      </c>
      <c r="E897" s="1186">
        <v>12</v>
      </c>
      <c r="F897" s="1186">
        <v>90810</v>
      </c>
    </row>
    <row r="898" spans="1:6" x14ac:dyDescent="0.2">
      <c r="A898" s="1186" t="s">
        <v>13</v>
      </c>
      <c r="B898" s="1186" t="s">
        <v>825</v>
      </c>
      <c r="C898" s="1186" t="s">
        <v>116</v>
      </c>
      <c r="D898" s="1186" t="s">
        <v>34</v>
      </c>
      <c r="E898" s="1186">
        <v>25</v>
      </c>
      <c r="F898" s="1186">
        <v>156250</v>
      </c>
    </row>
    <row r="899" spans="1:6" x14ac:dyDescent="0.2">
      <c r="A899" s="1186" t="s">
        <v>13</v>
      </c>
      <c r="B899" s="1186" t="s">
        <v>825</v>
      </c>
      <c r="C899" s="1186" t="s">
        <v>116</v>
      </c>
      <c r="D899" s="1186" t="s">
        <v>35</v>
      </c>
      <c r="E899" s="1186">
        <v>42</v>
      </c>
      <c r="F899" s="1186">
        <v>365300</v>
      </c>
    </row>
    <row r="900" spans="1:6" x14ac:dyDescent="0.2">
      <c r="A900" s="1186" t="s">
        <v>13</v>
      </c>
      <c r="B900" s="1186" t="s">
        <v>825</v>
      </c>
      <c r="C900" s="1186" t="s">
        <v>116</v>
      </c>
      <c r="D900" s="1186" t="s">
        <v>36</v>
      </c>
      <c r="E900" s="1186">
        <v>222</v>
      </c>
      <c r="F900" s="1186">
        <v>593060</v>
      </c>
    </row>
    <row r="901" spans="1:6" x14ac:dyDescent="0.2">
      <c r="A901" s="1186" t="s">
        <v>13</v>
      </c>
      <c r="B901" s="1186" t="s">
        <v>825</v>
      </c>
      <c r="C901" s="1186" t="s">
        <v>116</v>
      </c>
      <c r="D901" s="1186" t="s">
        <v>37</v>
      </c>
      <c r="E901" s="1186">
        <v>9</v>
      </c>
      <c r="F901" s="1186">
        <v>232730</v>
      </c>
    </row>
    <row r="902" spans="1:6" x14ac:dyDescent="0.2">
      <c r="A902" s="1186" t="s">
        <v>13</v>
      </c>
      <c r="B902" s="1186" t="s">
        <v>825</v>
      </c>
      <c r="C902" s="1186" t="s">
        <v>116</v>
      </c>
      <c r="D902" s="1186" t="s">
        <v>38</v>
      </c>
      <c r="E902" s="1186">
        <v>43</v>
      </c>
      <c r="F902" s="1186">
        <v>81220</v>
      </c>
    </row>
    <row r="903" spans="1:6" x14ac:dyDescent="0.2">
      <c r="A903" s="1186" t="s">
        <v>13</v>
      </c>
      <c r="B903" s="1186" t="s">
        <v>825</v>
      </c>
      <c r="C903" s="1186" t="s">
        <v>116</v>
      </c>
      <c r="D903" s="1186" t="s">
        <v>39</v>
      </c>
      <c r="E903" s="1186">
        <v>23</v>
      </c>
      <c r="F903" s="1186">
        <v>83450</v>
      </c>
    </row>
    <row r="904" spans="1:6" x14ac:dyDescent="0.2">
      <c r="A904" s="1186" t="s">
        <v>13</v>
      </c>
      <c r="B904" s="1186" t="s">
        <v>825</v>
      </c>
      <c r="C904" s="1186" t="s">
        <v>116</v>
      </c>
      <c r="D904" s="1186" t="s">
        <v>40</v>
      </c>
      <c r="E904" s="1186">
        <v>4</v>
      </c>
      <c r="F904" s="1186">
        <v>93470</v>
      </c>
    </row>
    <row r="905" spans="1:6" x14ac:dyDescent="0.2">
      <c r="A905" s="1186" t="s">
        <v>13</v>
      </c>
      <c r="B905" s="1186" t="s">
        <v>825</v>
      </c>
      <c r="C905" s="1186" t="s">
        <v>116</v>
      </c>
      <c r="D905" s="1186" t="s">
        <v>41</v>
      </c>
      <c r="E905" s="1186">
        <v>22</v>
      </c>
      <c r="F905" s="1186">
        <v>138090</v>
      </c>
    </row>
    <row r="906" spans="1:6" x14ac:dyDescent="0.2">
      <c r="A906" s="1186" t="s">
        <v>13</v>
      </c>
      <c r="B906" s="1186" t="s">
        <v>825</v>
      </c>
      <c r="C906" s="1186" t="s">
        <v>116</v>
      </c>
      <c r="D906" s="1186" t="s">
        <v>42</v>
      </c>
      <c r="E906" s="1186">
        <v>115</v>
      </c>
      <c r="F906" s="1186">
        <v>337720</v>
      </c>
    </row>
    <row r="907" spans="1:6" x14ac:dyDescent="0.2">
      <c r="A907" s="1186" t="s">
        <v>13</v>
      </c>
      <c r="B907" s="1186" t="s">
        <v>825</v>
      </c>
      <c r="C907" s="1186" t="s">
        <v>116</v>
      </c>
      <c r="D907" s="1186" t="s">
        <v>43</v>
      </c>
      <c r="E907" s="1186">
        <v>1</v>
      </c>
      <c r="F907" s="1186">
        <v>21420</v>
      </c>
    </row>
    <row r="908" spans="1:6" x14ac:dyDescent="0.2">
      <c r="A908" s="1186" t="s">
        <v>13</v>
      </c>
      <c r="B908" s="1186" t="s">
        <v>825</v>
      </c>
      <c r="C908" s="1186" t="s">
        <v>116</v>
      </c>
      <c r="D908" s="1186" t="s">
        <v>44</v>
      </c>
      <c r="E908" s="1186">
        <v>16</v>
      </c>
      <c r="F908" s="1186">
        <v>146850</v>
      </c>
    </row>
    <row r="909" spans="1:6" x14ac:dyDescent="0.2">
      <c r="A909" s="1186" t="s">
        <v>13</v>
      </c>
      <c r="B909" s="1186" t="s">
        <v>825</v>
      </c>
      <c r="C909" s="1186" t="s">
        <v>116</v>
      </c>
      <c r="D909" s="1186" t="s">
        <v>45</v>
      </c>
      <c r="E909" s="1186">
        <v>47</v>
      </c>
      <c r="F909" s="1186">
        <v>174700</v>
      </c>
    </row>
    <row r="910" spans="1:6" x14ac:dyDescent="0.2">
      <c r="A910" s="1186" t="s">
        <v>13</v>
      </c>
      <c r="B910" s="1186" t="s">
        <v>825</v>
      </c>
      <c r="C910" s="1186" t="s">
        <v>116</v>
      </c>
      <c r="D910" s="1186" t="s">
        <v>46</v>
      </c>
      <c r="E910" s="1186">
        <v>6</v>
      </c>
      <c r="F910" s="1186">
        <v>113880</v>
      </c>
    </row>
    <row r="911" spans="1:6" x14ac:dyDescent="0.2">
      <c r="A911" s="1186" t="s">
        <v>13</v>
      </c>
      <c r="B911" s="1186" t="s">
        <v>825</v>
      </c>
      <c r="C911" s="1186" t="s">
        <v>116</v>
      </c>
      <c r="D911" s="1186" t="s">
        <v>48</v>
      </c>
      <c r="E911" s="1186">
        <v>9</v>
      </c>
      <c r="F911" s="1186">
        <v>112980</v>
      </c>
    </row>
    <row r="912" spans="1:6" x14ac:dyDescent="0.2">
      <c r="A912" s="1186" t="s">
        <v>13</v>
      </c>
      <c r="B912" s="1186" t="s">
        <v>825</v>
      </c>
      <c r="C912" s="1186" t="s">
        <v>116</v>
      </c>
      <c r="D912" s="1186" t="s">
        <v>49</v>
      </c>
      <c r="E912" s="1186">
        <v>84</v>
      </c>
      <c r="F912" s="1186">
        <v>313900</v>
      </c>
    </row>
    <row r="913" spans="1:6" x14ac:dyDescent="0.2">
      <c r="A913" s="1186" t="s">
        <v>13</v>
      </c>
      <c r="B913" s="1186" t="s">
        <v>825</v>
      </c>
      <c r="C913" s="1186" t="s">
        <v>116</v>
      </c>
      <c r="D913" s="1186" t="s">
        <v>50</v>
      </c>
      <c r="E913" s="1186">
        <v>2</v>
      </c>
      <c r="F913" s="1186">
        <v>90330</v>
      </c>
    </row>
    <row r="914" spans="1:6" x14ac:dyDescent="0.2">
      <c r="A914" s="1186" t="s">
        <v>13</v>
      </c>
      <c r="B914" s="1186" t="s">
        <v>825</v>
      </c>
      <c r="C914" s="1186" t="s">
        <v>116</v>
      </c>
      <c r="D914" s="1186" t="s">
        <v>51</v>
      </c>
      <c r="E914" s="1186">
        <v>57</v>
      </c>
      <c r="F914" s="1186">
        <v>90610</v>
      </c>
    </row>
    <row r="915" spans="1:6" x14ac:dyDescent="0.2">
      <c r="A915" s="1186" t="s">
        <v>13</v>
      </c>
      <c r="B915" s="1186" t="s">
        <v>825</v>
      </c>
      <c r="C915" s="1186" t="s">
        <v>116</v>
      </c>
      <c r="D915" s="1186" t="s">
        <v>52</v>
      </c>
      <c r="E915" s="1186">
        <v>51</v>
      </c>
      <c r="F915" s="1186">
        <v>175300</v>
      </c>
    </row>
    <row r="916" spans="1:6" x14ac:dyDescent="0.2">
      <c r="A916" s="1186" t="s">
        <v>13</v>
      </c>
      <c r="B916" s="1186" t="s">
        <v>826</v>
      </c>
      <c r="C916" s="1186" t="s">
        <v>61</v>
      </c>
      <c r="D916" s="1186" t="s">
        <v>23</v>
      </c>
      <c r="E916" s="1186">
        <v>1</v>
      </c>
      <c r="F916" s="1186">
        <v>222460</v>
      </c>
    </row>
    <row r="917" spans="1:6" x14ac:dyDescent="0.2">
      <c r="A917" s="1186" t="s">
        <v>13</v>
      </c>
      <c r="B917" s="1186" t="s">
        <v>826</v>
      </c>
      <c r="C917" s="1186" t="s">
        <v>61</v>
      </c>
      <c r="D917" s="1186" t="s">
        <v>24</v>
      </c>
      <c r="E917" s="1186">
        <v>39</v>
      </c>
      <c r="F917" s="1186">
        <v>253650</v>
      </c>
    </row>
    <row r="918" spans="1:6" x14ac:dyDescent="0.2">
      <c r="A918" s="1186" t="s">
        <v>13</v>
      </c>
      <c r="B918" s="1186" t="s">
        <v>826</v>
      </c>
      <c r="C918" s="1186" t="s">
        <v>61</v>
      </c>
      <c r="D918" s="1186" t="s">
        <v>25</v>
      </c>
      <c r="E918" s="1186">
        <v>10</v>
      </c>
      <c r="F918" s="1186">
        <v>116200</v>
      </c>
    </row>
    <row r="919" spans="1:6" x14ac:dyDescent="0.2">
      <c r="A919" s="1186" t="s">
        <v>13</v>
      </c>
      <c r="B919" s="1186" t="s">
        <v>826</v>
      </c>
      <c r="C919" s="1186" t="s">
        <v>61</v>
      </c>
      <c r="D919" s="1186" t="s">
        <v>26</v>
      </c>
      <c r="E919" s="1186">
        <v>13</v>
      </c>
      <c r="F919" s="1186">
        <v>88930</v>
      </c>
    </row>
    <row r="920" spans="1:6" x14ac:dyDescent="0.2">
      <c r="A920" s="1186" t="s">
        <v>13</v>
      </c>
      <c r="B920" s="1186" t="s">
        <v>826</v>
      </c>
      <c r="C920" s="1186" t="s">
        <v>61</v>
      </c>
      <c r="D920" s="1186" t="s">
        <v>619</v>
      </c>
      <c r="E920" s="1186">
        <v>36</v>
      </c>
      <c r="F920" s="1186">
        <v>477940</v>
      </c>
    </row>
    <row r="921" spans="1:6" x14ac:dyDescent="0.2">
      <c r="A921" s="1186" t="s">
        <v>13</v>
      </c>
      <c r="B921" s="1186" t="s">
        <v>826</v>
      </c>
      <c r="C921" s="1186" t="s">
        <v>61</v>
      </c>
      <c r="D921" s="1186" t="s">
        <v>27</v>
      </c>
      <c r="E921" s="1186">
        <v>1</v>
      </c>
      <c r="F921" s="1186">
        <v>51500</v>
      </c>
    </row>
    <row r="922" spans="1:6" x14ac:dyDescent="0.2">
      <c r="A922" s="1186" t="s">
        <v>13</v>
      </c>
      <c r="B922" s="1186" t="s">
        <v>826</v>
      </c>
      <c r="C922" s="1186" t="s">
        <v>61</v>
      </c>
      <c r="D922" s="1186" t="s">
        <v>28</v>
      </c>
      <c r="E922" s="1186">
        <v>14</v>
      </c>
      <c r="F922" s="1186">
        <v>151410</v>
      </c>
    </row>
    <row r="923" spans="1:6" x14ac:dyDescent="0.2">
      <c r="A923" s="1186" t="s">
        <v>13</v>
      </c>
      <c r="B923" s="1186" t="s">
        <v>826</v>
      </c>
      <c r="C923" s="1186" t="s">
        <v>61</v>
      </c>
      <c r="D923" s="1186" t="s">
        <v>29</v>
      </c>
      <c r="E923" s="1186">
        <v>7</v>
      </c>
      <c r="F923" s="1186">
        <v>147200</v>
      </c>
    </row>
    <row r="924" spans="1:6" x14ac:dyDescent="0.2">
      <c r="A924" s="1186" t="s">
        <v>13</v>
      </c>
      <c r="B924" s="1186" t="s">
        <v>826</v>
      </c>
      <c r="C924" s="1186" t="s">
        <v>61</v>
      </c>
      <c r="D924" s="1186" t="s">
        <v>30</v>
      </c>
      <c r="E924" s="1186">
        <v>6</v>
      </c>
      <c r="F924" s="1186">
        <v>122690</v>
      </c>
    </row>
    <row r="925" spans="1:6" x14ac:dyDescent="0.2">
      <c r="A925" s="1186" t="s">
        <v>13</v>
      </c>
      <c r="B925" s="1186" t="s">
        <v>826</v>
      </c>
      <c r="C925" s="1186" t="s">
        <v>61</v>
      </c>
      <c r="D925" s="1186" t="s">
        <v>31</v>
      </c>
      <c r="E925" s="1186">
        <v>1</v>
      </c>
      <c r="F925" s="1186">
        <v>105000</v>
      </c>
    </row>
    <row r="926" spans="1:6" x14ac:dyDescent="0.2">
      <c r="A926" s="1186" t="s">
        <v>13</v>
      </c>
      <c r="B926" s="1186" t="s">
        <v>826</v>
      </c>
      <c r="C926" s="1186" t="s">
        <v>61</v>
      </c>
      <c r="D926" s="1186" t="s">
        <v>32</v>
      </c>
      <c r="E926" s="1186">
        <v>19</v>
      </c>
      <c r="F926" s="1186">
        <v>99920</v>
      </c>
    </row>
    <row r="927" spans="1:6" x14ac:dyDescent="0.2">
      <c r="A927" s="1186" t="s">
        <v>13</v>
      </c>
      <c r="B927" s="1186" t="s">
        <v>826</v>
      </c>
      <c r="C927" s="1186" t="s">
        <v>61</v>
      </c>
      <c r="D927" s="1186" t="s">
        <v>33</v>
      </c>
      <c r="E927" s="1186">
        <v>4</v>
      </c>
      <c r="F927" s="1186">
        <v>90810</v>
      </c>
    </row>
    <row r="928" spans="1:6" x14ac:dyDescent="0.2">
      <c r="A928" s="1186" t="s">
        <v>13</v>
      </c>
      <c r="B928" s="1186" t="s">
        <v>826</v>
      </c>
      <c r="C928" s="1186" t="s">
        <v>61</v>
      </c>
      <c r="D928" s="1186" t="s">
        <v>34</v>
      </c>
      <c r="E928" s="1186">
        <v>10</v>
      </c>
      <c r="F928" s="1186">
        <v>156250</v>
      </c>
    </row>
    <row r="929" spans="1:6" x14ac:dyDescent="0.2">
      <c r="A929" s="1186" t="s">
        <v>13</v>
      </c>
      <c r="B929" s="1186" t="s">
        <v>826</v>
      </c>
      <c r="C929" s="1186" t="s">
        <v>61</v>
      </c>
      <c r="D929" s="1186" t="s">
        <v>35</v>
      </c>
      <c r="E929" s="1186">
        <v>29</v>
      </c>
      <c r="F929" s="1186">
        <v>365300</v>
      </c>
    </row>
    <row r="930" spans="1:6" x14ac:dyDescent="0.2">
      <c r="A930" s="1186" t="s">
        <v>13</v>
      </c>
      <c r="B930" s="1186" t="s">
        <v>826</v>
      </c>
      <c r="C930" s="1186" t="s">
        <v>61</v>
      </c>
      <c r="D930" s="1186" t="s">
        <v>36</v>
      </c>
      <c r="E930" s="1186">
        <v>21</v>
      </c>
      <c r="F930" s="1186">
        <v>593060</v>
      </c>
    </row>
    <row r="931" spans="1:6" x14ac:dyDescent="0.2">
      <c r="A931" s="1186" t="s">
        <v>13</v>
      </c>
      <c r="B931" s="1186" t="s">
        <v>826</v>
      </c>
      <c r="C931" s="1186" t="s">
        <v>61</v>
      </c>
      <c r="D931" s="1186" t="s">
        <v>37</v>
      </c>
      <c r="E931" s="1186">
        <v>72</v>
      </c>
      <c r="F931" s="1186">
        <v>232730</v>
      </c>
    </row>
    <row r="932" spans="1:6" x14ac:dyDescent="0.2">
      <c r="A932" s="1186" t="s">
        <v>13</v>
      </c>
      <c r="B932" s="1186" t="s">
        <v>826</v>
      </c>
      <c r="C932" s="1186" t="s">
        <v>61</v>
      </c>
      <c r="D932" s="1186" t="s">
        <v>38</v>
      </c>
      <c r="E932" s="1186">
        <v>1</v>
      </c>
      <c r="F932" s="1186">
        <v>81220</v>
      </c>
    </row>
    <row r="933" spans="1:6" x14ac:dyDescent="0.2">
      <c r="A933" s="1186" t="s">
        <v>13</v>
      </c>
      <c r="B933" s="1186" t="s">
        <v>826</v>
      </c>
      <c r="C933" s="1186" t="s">
        <v>61</v>
      </c>
      <c r="D933" s="1186" t="s">
        <v>39</v>
      </c>
      <c r="E933" s="1186">
        <v>2</v>
      </c>
      <c r="F933" s="1186">
        <v>83450</v>
      </c>
    </row>
    <row r="934" spans="1:6" x14ac:dyDescent="0.2">
      <c r="A934" s="1186" t="s">
        <v>13</v>
      </c>
      <c r="B934" s="1186" t="s">
        <v>826</v>
      </c>
      <c r="C934" s="1186" t="s">
        <v>61</v>
      </c>
      <c r="D934" s="1186" t="s">
        <v>40</v>
      </c>
      <c r="E934" s="1186">
        <v>5</v>
      </c>
      <c r="F934" s="1186">
        <v>93470</v>
      </c>
    </row>
    <row r="935" spans="1:6" x14ac:dyDescent="0.2">
      <c r="A935" s="1186" t="s">
        <v>13</v>
      </c>
      <c r="B935" s="1186" t="s">
        <v>826</v>
      </c>
      <c r="C935" s="1186" t="s">
        <v>61</v>
      </c>
      <c r="D935" s="1186" t="s">
        <v>295</v>
      </c>
      <c r="E935" s="1186">
        <v>10</v>
      </c>
      <c r="F935" s="1186">
        <v>27690</v>
      </c>
    </row>
    <row r="936" spans="1:6" x14ac:dyDescent="0.2">
      <c r="A936" s="1186" t="s">
        <v>13</v>
      </c>
      <c r="B936" s="1186" t="s">
        <v>826</v>
      </c>
      <c r="C936" s="1186" t="s">
        <v>61</v>
      </c>
      <c r="D936" s="1186" t="s">
        <v>41</v>
      </c>
      <c r="E936" s="1186">
        <v>6</v>
      </c>
      <c r="F936" s="1186">
        <v>138090</v>
      </c>
    </row>
    <row r="937" spans="1:6" x14ac:dyDescent="0.2">
      <c r="A937" s="1186" t="s">
        <v>13</v>
      </c>
      <c r="B937" s="1186" t="s">
        <v>826</v>
      </c>
      <c r="C937" s="1186" t="s">
        <v>61</v>
      </c>
      <c r="D937" s="1186" t="s">
        <v>42</v>
      </c>
      <c r="E937" s="1186">
        <v>12</v>
      </c>
      <c r="F937" s="1186">
        <v>337720</v>
      </c>
    </row>
    <row r="938" spans="1:6" x14ac:dyDescent="0.2">
      <c r="A938" s="1186" t="s">
        <v>13</v>
      </c>
      <c r="B938" s="1186" t="s">
        <v>826</v>
      </c>
      <c r="C938" s="1186" t="s">
        <v>61</v>
      </c>
      <c r="D938" s="1186" t="s">
        <v>43</v>
      </c>
      <c r="E938" s="1186">
        <v>2</v>
      </c>
      <c r="F938" s="1186">
        <v>21420</v>
      </c>
    </row>
    <row r="939" spans="1:6" x14ac:dyDescent="0.2">
      <c r="A939" s="1186" t="s">
        <v>13</v>
      </c>
      <c r="B939" s="1186" t="s">
        <v>826</v>
      </c>
      <c r="C939" s="1186" t="s">
        <v>61</v>
      </c>
      <c r="D939" s="1186" t="s">
        <v>44</v>
      </c>
      <c r="E939" s="1186">
        <v>14</v>
      </c>
      <c r="F939" s="1186">
        <v>146850</v>
      </c>
    </row>
    <row r="940" spans="1:6" x14ac:dyDescent="0.2">
      <c r="A940" s="1186" t="s">
        <v>13</v>
      </c>
      <c r="B940" s="1186" t="s">
        <v>826</v>
      </c>
      <c r="C940" s="1186" t="s">
        <v>61</v>
      </c>
      <c r="D940" s="1186" t="s">
        <v>45</v>
      </c>
      <c r="E940" s="1186">
        <v>5</v>
      </c>
      <c r="F940" s="1186">
        <v>174700</v>
      </c>
    </row>
    <row r="941" spans="1:6" x14ac:dyDescent="0.2">
      <c r="A941" s="1186" t="s">
        <v>13</v>
      </c>
      <c r="B941" s="1186" t="s">
        <v>826</v>
      </c>
      <c r="C941" s="1186" t="s">
        <v>61</v>
      </c>
      <c r="D941" s="1186" t="s">
        <v>46</v>
      </c>
      <c r="E941" s="1186">
        <v>18</v>
      </c>
      <c r="F941" s="1186">
        <v>113880</v>
      </c>
    </row>
    <row r="942" spans="1:6" x14ac:dyDescent="0.2">
      <c r="A942" s="1186" t="s">
        <v>13</v>
      </c>
      <c r="B942" s="1186" t="s">
        <v>826</v>
      </c>
      <c r="C942" s="1186" t="s">
        <v>61</v>
      </c>
      <c r="D942" s="1186" t="s">
        <v>47</v>
      </c>
      <c r="E942" s="1186">
        <v>10</v>
      </c>
      <c r="F942" s="1186">
        <v>23240</v>
      </c>
    </row>
    <row r="943" spans="1:6" x14ac:dyDescent="0.2">
      <c r="A943" s="1186" t="s">
        <v>13</v>
      </c>
      <c r="B943" s="1186" t="s">
        <v>826</v>
      </c>
      <c r="C943" s="1186" t="s">
        <v>61</v>
      </c>
      <c r="D943" s="1186" t="s">
        <v>48</v>
      </c>
      <c r="E943" s="1186">
        <v>4</v>
      </c>
      <c r="F943" s="1186">
        <v>112980</v>
      </c>
    </row>
    <row r="944" spans="1:6" x14ac:dyDescent="0.2">
      <c r="A944" s="1186" t="s">
        <v>13</v>
      </c>
      <c r="B944" s="1186" t="s">
        <v>826</v>
      </c>
      <c r="C944" s="1186" t="s">
        <v>61</v>
      </c>
      <c r="D944" s="1186" t="s">
        <v>49</v>
      </c>
      <c r="E944" s="1186">
        <v>13</v>
      </c>
      <c r="F944" s="1186">
        <v>313900</v>
      </c>
    </row>
    <row r="945" spans="1:6" x14ac:dyDescent="0.2">
      <c r="A945" s="1186" t="s">
        <v>13</v>
      </c>
      <c r="B945" s="1186" t="s">
        <v>826</v>
      </c>
      <c r="C945" s="1186" t="s">
        <v>61</v>
      </c>
      <c r="D945" s="1186" t="s">
        <v>50</v>
      </c>
      <c r="E945" s="1186">
        <v>7</v>
      </c>
      <c r="F945" s="1186">
        <v>90330</v>
      </c>
    </row>
    <row r="946" spans="1:6" x14ac:dyDescent="0.2">
      <c r="A946" s="1186" t="s">
        <v>13</v>
      </c>
      <c r="B946" s="1186" t="s">
        <v>826</v>
      </c>
      <c r="C946" s="1186" t="s">
        <v>61</v>
      </c>
      <c r="D946" s="1186" t="s">
        <v>51</v>
      </c>
      <c r="E946" s="1186">
        <v>5</v>
      </c>
      <c r="F946" s="1186">
        <v>90610</v>
      </c>
    </row>
    <row r="947" spans="1:6" x14ac:dyDescent="0.2">
      <c r="A947" s="1186" t="s">
        <v>13</v>
      </c>
      <c r="B947" s="1186" t="s">
        <v>826</v>
      </c>
      <c r="C947" s="1186" t="s">
        <v>61</v>
      </c>
      <c r="D947" s="1186" t="s">
        <v>52</v>
      </c>
      <c r="E947" s="1186">
        <v>16</v>
      </c>
      <c r="F947" s="1186">
        <v>175300</v>
      </c>
    </row>
    <row r="948" spans="1:6" x14ac:dyDescent="0.2">
      <c r="A948" s="1186" t="s">
        <v>13</v>
      </c>
      <c r="B948" s="1186" t="s">
        <v>826</v>
      </c>
      <c r="C948" s="1186" t="s">
        <v>116</v>
      </c>
      <c r="D948" s="1186" t="s">
        <v>23</v>
      </c>
      <c r="E948" s="1186">
        <v>22</v>
      </c>
      <c r="F948" s="1186">
        <v>222460</v>
      </c>
    </row>
    <row r="949" spans="1:6" x14ac:dyDescent="0.2">
      <c r="A949" s="1186" t="s">
        <v>13</v>
      </c>
      <c r="B949" s="1186" t="s">
        <v>826</v>
      </c>
      <c r="C949" s="1186" t="s">
        <v>116</v>
      </c>
      <c r="D949" s="1186" t="s">
        <v>24</v>
      </c>
      <c r="E949" s="1186">
        <v>12</v>
      </c>
      <c r="F949" s="1186">
        <v>253650</v>
      </c>
    </row>
    <row r="950" spans="1:6" x14ac:dyDescent="0.2">
      <c r="A950" s="1186" t="s">
        <v>13</v>
      </c>
      <c r="B950" s="1186" t="s">
        <v>826</v>
      </c>
      <c r="C950" s="1186" t="s">
        <v>116</v>
      </c>
      <c r="D950" s="1186" t="s">
        <v>25</v>
      </c>
      <c r="E950" s="1186">
        <v>4</v>
      </c>
      <c r="F950" s="1186">
        <v>116200</v>
      </c>
    </row>
    <row r="951" spans="1:6" x14ac:dyDescent="0.2">
      <c r="A951" s="1186" t="s">
        <v>13</v>
      </c>
      <c r="B951" s="1186" t="s">
        <v>826</v>
      </c>
      <c r="C951" s="1186" t="s">
        <v>116</v>
      </c>
      <c r="D951" s="1186" t="s">
        <v>26</v>
      </c>
      <c r="E951" s="1186">
        <v>8</v>
      </c>
      <c r="F951" s="1186">
        <v>88930</v>
      </c>
    </row>
    <row r="952" spans="1:6" x14ac:dyDescent="0.2">
      <c r="A952" s="1186" t="s">
        <v>13</v>
      </c>
      <c r="B952" s="1186" t="s">
        <v>826</v>
      </c>
      <c r="C952" s="1186" t="s">
        <v>116</v>
      </c>
      <c r="D952" s="1186" t="s">
        <v>619</v>
      </c>
      <c r="E952" s="1186">
        <v>105</v>
      </c>
      <c r="F952" s="1186">
        <v>477940</v>
      </c>
    </row>
    <row r="953" spans="1:6" x14ac:dyDescent="0.2">
      <c r="A953" s="1186" t="s">
        <v>13</v>
      </c>
      <c r="B953" s="1186" t="s">
        <v>826</v>
      </c>
      <c r="C953" s="1186" t="s">
        <v>116</v>
      </c>
      <c r="D953" s="1186" t="s">
        <v>27</v>
      </c>
      <c r="E953" s="1186">
        <v>4</v>
      </c>
      <c r="F953" s="1186">
        <v>51500</v>
      </c>
    </row>
    <row r="954" spans="1:6" x14ac:dyDescent="0.2">
      <c r="A954" s="1186" t="s">
        <v>13</v>
      </c>
      <c r="B954" s="1186" t="s">
        <v>826</v>
      </c>
      <c r="C954" s="1186" t="s">
        <v>116</v>
      </c>
      <c r="D954" s="1186" t="s">
        <v>28</v>
      </c>
      <c r="E954" s="1186">
        <v>5</v>
      </c>
      <c r="F954" s="1186">
        <v>151410</v>
      </c>
    </row>
    <row r="955" spans="1:6" x14ac:dyDescent="0.2">
      <c r="A955" s="1186" t="s">
        <v>13</v>
      </c>
      <c r="B955" s="1186" t="s">
        <v>826</v>
      </c>
      <c r="C955" s="1186" t="s">
        <v>116</v>
      </c>
      <c r="D955" s="1186" t="s">
        <v>29</v>
      </c>
      <c r="E955" s="1186">
        <v>17</v>
      </c>
      <c r="F955" s="1186">
        <v>147200</v>
      </c>
    </row>
    <row r="956" spans="1:6" x14ac:dyDescent="0.2">
      <c r="A956" s="1186" t="s">
        <v>13</v>
      </c>
      <c r="B956" s="1186" t="s">
        <v>826</v>
      </c>
      <c r="C956" s="1186" t="s">
        <v>116</v>
      </c>
      <c r="D956" s="1186" t="s">
        <v>30</v>
      </c>
      <c r="E956" s="1186">
        <v>19</v>
      </c>
      <c r="F956" s="1186">
        <v>122690</v>
      </c>
    </row>
    <row r="957" spans="1:6" x14ac:dyDescent="0.2">
      <c r="A957" s="1186" t="s">
        <v>13</v>
      </c>
      <c r="B957" s="1186" t="s">
        <v>826</v>
      </c>
      <c r="C957" s="1186" t="s">
        <v>116</v>
      </c>
      <c r="D957" s="1186" t="s">
        <v>31</v>
      </c>
      <c r="E957" s="1186">
        <v>6</v>
      </c>
      <c r="F957" s="1186">
        <v>105000</v>
      </c>
    </row>
    <row r="958" spans="1:6" x14ac:dyDescent="0.2">
      <c r="A958" s="1186" t="s">
        <v>13</v>
      </c>
      <c r="B958" s="1186" t="s">
        <v>826</v>
      </c>
      <c r="C958" s="1186" t="s">
        <v>116</v>
      </c>
      <c r="D958" s="1186" t="s">
        <v>32</v>
      </c>
      <c r="E958" s="1186">
        <v>36</v>
      </c>
      <c r="F958" s="1186">
        <v>99920</v>
      </c>
    </row>
    <row r="959" spans="1:6" x14ac:dyDescent="0.2">
      <c r="A959" s="1186" t="s">
        <v>13</v>
      </c>
      <c r="B959" s="1186" t="s">
        <v>826</v>
      </c>
      <c r="C959" s="1186" t="s">
        <v>116</v>
      </c>
      <c r="D959" s="1186" t="s">
        <v>33</v>
      </c>
      <c r="E959" s="1186">
        <v>11</v>
      </c>
      <c r="F959" s="1186">
        <v>90810</v>
      </c>
    </row>
    <row r="960" spans="1:6" x14ac:dyDescent="0.2">
      <c r="A960" s="1186" t="s">
        <v>13</v>
      </c>
      <c r="B960" s="1186" t="s">
        <v>826</v>
      </c>
      <c r="C960" s="1186" t="s">
        <v>116</v>
      </c>
      <c r="D960" s="1186" t="s">
        <v>34</v>
      </c>
      <c r="E960" s="1186">
        <v>26</v>
      </c>
      <c r="F960" s="1186">
        <v>156250</v>
      </c>
    </row>
    <row r="961" spans="1:6" x14ac:dyDescent="0.2">
      <c r="A961" s="1186" t="s">
        <v>13</v>
      </c>
      <c r="B961" s="1186" t="s">
        <v>826</v>
      </c>
      <c r="C961" s="1186" t="s">
        <v>116</v>
      </c>
      <c r="D961" s="1186" t="s">
        <v>35</v>
      </c>
      <c r="E961" s="1186">
        <v>47</v>
      </c>
      <c r="F961" s="1186">
        <v>365300</v>
      </c>
    </row>
    <row r="962" spans="1:6" x14ac:dyDescent="0.2">
      <c r="A962" s="1186" t="s">
        <v>13</v>
      </c>
      <c r="B962" s="1186" t="s">
        <v>826</v>
      </c>
      <c r="C962" s="1186" t="s">
        <v>116</v>
      </c>
      <c r="D962" s="1186" t="s">
        <v>36</v>
      </c>
      <c r="E962" s="1186">
        <v>83</v>
      </c>
      <c r="F962" s="1186">
        <v>593060</v>
      </c>
    </row>
    <row r="963" spans="1:6" x14ac:dyDescent="0.2">
      <c r="A963" s="1186" t="s">
        <v>13</v>
      </c>
      <c r="B963" s="1186" t="s">
        <v>826</v>
      </c>
      <c r="C963" s="1186" t="s">
        <v>116</v>
      </c>
      <c r="D963" s="1186" t="s">
        <v>37</v>
      </c>
      <c r="E963" s="1186">
        <v>15</v>
      </c>
      <c r="F963" s="1186">
        <v>232730</v>
      </c>
    </row>
    <row r="964" spans="1:6" x14ac:dyDescent="0.2">
      <c r="A964" s="1186" t="s">
        <v>13</v>
      </c>
      <c r="B964" s="1186" t="s">
        <v>826</v>
      </c>
      <c r="C964" s="1186" t="s">
        <v>116</v>
      </c>
      <c r="D964" s="1186" t="s">
        <v>38</v>
      </c>
      <c r="E964" s="1186">
        <v>18</v>
      </c>
      <c r="F964" s="1186">
        <v>81220</v>
      </c>
    </row>
    <row r="965" spans="1:6" x14ac:dyDescent="0.2">
      <c r="A965" s="1186" t="s">
        <v>13</v>
      </c>
      <c r="B965" s="1186" t="s">
        <v>826</v>
      </c>
      <c r="C965" s="1186" t="s">
        <v>116</v>
      </c>
      <c r="D965" s="1186" t="s">
        <v>39</v>
      </c>
      <c r="E965" s="1186">
        <v>34</v>
      </c>
      <c r="F965" s="1186">
        <v>83450</v>
      </c>
    </row>
    <row r="966" spans="1:6" x14ac:dyDescent="0.2">
      <c r="A966" s="1186" t="s">
        <v>13</v>
      </c>
      <c r="B966" s="1186" t="s">
        <v>826</v>
      </c>
      <c r="C966" s="1186" t="s">
        <v>116</v>
      </c>
      <c r="D966" s="1186" t="s">
        <v>40</v>
      </c>
      <c r="E966" s="1186">
        <v>9</v>
      </c>
      <c r="F966" s="1186">
        <v>93470</v>
      </c>
    </row>
    <row r="967" spans="1:6" x14ac:dyDescent="0.2">
      <c r="A967" s="1186" t="s">
        <v>13</v>
      </c>
      <c r="B967" s="1186" t="s">
        <v>826</v>
      </c>
      <c r="C967" s="1186" t="s">
        <v>116</v>
      </c>
      <c r="D967" s="1186" t="s">
        <v>41</v>
      </c>
      <c r="E967" s="1186">
        <v>17</v>
      </c>
      <c r="F967" s="1186">
        <v>138090</v>
      </c>
    </row>
    <row r="968" spans="1:6" x14ac:dyDescent="0.2">
      <c r="A968" s="1186" t="s">
        <v>13</v>
      </c>
      <c r="B968" s="1186" t="s">
        <v>826</v>
      </c>
      <c r="C968" s="1186" t="s">
        <v>116</v>
      </c>
      <c r="D968" s="1186" t="s">
        <v>42</v>
      </c>
      <c r="E968" s="1186">
        <v>64</v>
      </c>
      <c r="F968" s="1186">
        <v>337720</v>
      </c>
    </row>
    <row r="969" spans="1:6" x14ac:dyDescent="0.2">
      <c r="A969" s="1186" t="s">
        <v>13</v>
      </c>
      <c r="B969" s="1186" t="s">
        <v>826</v>
      </c>
      <c r="C969" s="1186" t="s">
        <v>116</v>
      </c>
      <c r="D969" s="1186" t="s">
        <v>44</v>
      </c>
      <c r="E969" s="1186">
        <v>13</v>
      </c>
      <c r="F969" s="1186">
        <v>146850</v>
      </c>
    </row>
    <row r="970" spans="1:6" x14ac:dyDescent="0.2">
      <c r="A970" s="1186" t="s">
        <v>13</v>
      </c>
      <c r="B970" s="1186" t="s">
        <v>826</v>
      </c>
      <c r="C970" s="1186" t="s">
        <v>116</v>
      </c>
      <c r="D970" s="1186" t="s">
        <v>45</v>
      </c>
      <c r="E970" s="1186">
        <v>24</v>
      </c>
      <c r="F970" s="1186">
        <v>174700</v>
      </c>
    </row>
    <row r="971" spans="1:6" x14ac:dyDescent="0.2">
      <c r="A971" s="1186" t="s">
        <v>13</v>
      </c>
      <c r="B971" s="1186" t="s">
        <v>826</v>
      </c>
      <c r="C971" s="1186" t="s">
        <v>116</v>
      </c>
      <c r="D971" s="1186" t="s">
        <v>46</v>
      </c>
      <c r="E971" s="1186">
        <v>25</v>
      </c>
      <c r="F971" s="1186">
        <v>113880</v>
      </c>
    </row>
    <row r="972" spans="1:6" x14ac:dyDescent="0.2">
      <c r="A972" s="1186" t="s">
        <v>13</v>
      </c>
      <c r="B972" s="1186" t="s">
        <v>826</v>
      </c>
      <c r="C972" s="1186" t="s">
        <v>116</v>
      </c>
      <c r="D972" s="1186" t="s">
        <v>48</v>
      </c>
      <c r="E972" s="1186">
        <v>12</v>
      </c>
      <c r="F972" s="1186">
        <v>112980</v>
      </c>
    </row>
    <row r="973" spans="1:6" x14ac:dyDescent="0.2">
      <c r="A973" s="1186" t="s">
        <v>13</v>
      </c>
      <c r="B973" s="1186" t="s">
        <v>826</v>
      </c>
      <c r="C973" s="1186" t="s">
        <v>116</v>
      </c>
      <c r="D973" s="1186" t="s">
        <v>49</v>
      </c>
      <c r="E973" s="1186">
        <v>41</v>
      </c>
      <c r="F973" s="1186">
        <v>313900</v>
      </c>
    </row>
    <row r="974" spans="1:6" x14ac:dyDescent="0.2">
      <c r="A974" s="1186" t="s">
        <v>13</v>
      </c>
      <c r="B974" s="1186" t="s">
        <v>826</v>
      </c>
      <c r="C974" s="1186" t="s">
        <v>116</v>
      </c>
      <c r="D974" s="1186" t="s">
        <v>50</v>
      </c>
      <c r="E974" s="1186">
        <v>15</v>
      </c>
      <c r="F974" s="1186">
        <v>90330</v>
      </c>
    </row>
    <row r="975" spans="1:6" x14ac:dyDescent="0.2">
      <c r="A975" s="1186" t="s">
        <v>13</v>
      </c>
      <c r="B975" s="1186" t="s">
        <v>826</v>
      </c>
      <c r="C975" s="1186" t="s">
        <v>116</v>
      </c>
      <c r="D975" s="1186" t="s">
        <v>51</v>
      </c>
      <c r="E975" s="1186">
        <v>14</v>
      </c>
      <c r="F975" s="1186">
        <v>90610</v>
      </c>
    </row>
    <row r="976" spans="1:6" x14ac:dyDescent="0.2">
      <c r="A976" s="1186" t="s">
        <v>13</v>
      </c>
      <c r="B976" s="1186" t="s">
        <v>826</v>
      </c>
      <c r="C976" s="1186" t="s">
        <v>116</v>
      </c>
      <c r="D976" s="1186" t="s">
        <v>52</v>
      </c>
      <c r="E976" s="1186">
        <v>56</v>
      </c>
      <c r="F976" s="1186">
        <v>175300</v>
      </c>
    </row>
    <row r="977" spans="1:6" x14ac:dyDescent="0.2">
      <c r="A977" s="1186" t="s">
        <v>13</v>
      </c>
      <c r="B977" s="1186" t="s">
        <v>308</v>
      </c>
      <c r="C977" s="1186" t="s">
        <v>61</v>
      </c>
      <c r="D977" s="1186" t="s">
        <v>23</v>
      </c>
      <c r="E977" s="1186">
        <v>91</v>
      </c>
      <c r="F977" s="1186">
        <v>222460</v>
      </c>
    </row>
    <row r="978" spans="1:6" x14ac:dyDescent="0.2">
      <c r="A978" s="1186" t="s">
        <v>13</v>
      </c>
      <c r="B978" s="1186" t="s">
        <v>308</v>
      </c>
      <c r="C978" s="1186" t="s">
        <v>61</v>
      </c>
      <c r="D978" s="1186" t="s">
        <v>24</v>
      </c>
      <c r="E978" s="1186">
        <v>130</v>
      </c>
      <c r="F978" s="1186">
        <v>253650</v>
      </c>
    </row>
    <row r="979" spans="1:6" x14ac:dyDescent="0.2">
      <c r="A979" s="1186" t="s">
        <v>13</v>
      </c>
      <c r="B979" s="1186" t="s">
        <v>308</v>
      </c>
      <c r="C979" s="1186" t="s">
        <v>61</v>
      </c>
      <c r="D979" s="1186" t="s">
        <v>25</v>
      </c>
      <c r="E979" s="1186">
        <v>75</v>
      </c>
      <c r="F979" s="1186">
        <v>116200</v>
      </c>
    </row>
    <row r="980" spans="1:6" x14ac:dyDescent="0.2">
      <c r="A980" s="1186" t="s">
        <v>13</v>
      </c>
      <c r="B980" s="1186" t="s">
        <v>308</v>
      </c>
      <c r="C980" s="1186" t="s">
        <v>61</v>
      </c>
      <c r="D980" s="1186" t="s">
        <v>26</v>
      </c>
      <c r="E980" s="1186">
        <v>72</v>
      </c>
      <c r="F980" s="1186">
        <v>88930</v>
      </c>
    </row>
    <row r="981" spans="1:6" x14ac:dyDescent="0.2">
      <c r="A981" s="1186" t="s">
        <v>13</v>
      </c>
      <c r="B981" s="1186" t="s">
        <v>308</v>
      </c>
      <c r="C981" s="1186" t="s">
        <v>61</v>
      </c>
      <c r="D981" s="1186" t="s">
        <v>619</v>
      </c>
      <c r="E981" s="1186">
        <v>340</v>
      </c>
      <c r="F981" s="1186">
        <v>477940</v>
      </c>
    </row>
    <row r="982" spans="1:6" x14ac:dyDescent="0.2">
      <c r="A982" s="1186" t="s">
        <v>13</v>
      </c>
      <c r="B982" s="1186" t="s">
        <v>308</v>
      </c>
      <c r="C982" s="1186" t="s">
        <v>61</v>
      </c>
      <c r="D982" s="1186" t="s">
        <v>27</v>
      </c>
      <c r="E982" s="1186">
        <v>16</v>
      </c>
      <c r="F982" s="1186">
        <v>51500</v>
      </c>
    </row>
    <row r="983" spans="1:6" x14ac:dyDescent="0.2">
      <c r="A983" s="1186" t="s">
        <v>13</v>
      </c>
      <c r="B983" s="1186" t="s">
        <v>308</v>
      </c>
      <c r="C983" s="1186" t="s">
        <v>61</v>
      </c>
      <c r="D983" s="1186" t="s">
        <v>28</v>
      </c>
      <c r="E983" s="1186">
        <v>90</v>
      </c>
      <c r="F983" s="1186">
        <v>151410</v>
      </c>
    </row>
    <row r="984" spans="1:6" x14ac:dyDescent="0.2">
      <c r="A984" s="1186" t="s">
        <v>13</v>
      </c>
      <c r="B984" s="1186" t="s">
        <v>308</v>
      </c>
      <c r="C984" s="1186" t="s">
        <v>61</v>
      </c>
      <c r="D984" s="1186" t="s">
        <v>29</v>
      </c>
      <c r="E984" s="1186">
        <v>101</v>
      </c>
      <c r="F984" s="1186">
        <v>147200</v>
      </c>
    </row>
    <row r="985" spans="1:6" x14ac:dyDescent="0.2">
      <c r="A985" s="1186" t="s">
        <v>13</v>
      </c>
      <c r="B985" s="1186" t="s">
        <v>308</v>
      </c>
      <c r="C985" s="1186" t="s">
        <v>61</v>
      </c>
      <c r="D985" s="1186" t="s">
        <v>30</v>
      </c>
      <c r="E985" s="1186">
        <v>41</v>
      </c>
      <c r="F985" s="1186">
        <v>122690</v>
      </c>
    </row>
    <row r="986" spans="1:6" x14ac:dyDescent="0.2">
      <c r="A986" s="1186" t="s">
        <v>13</v>
      </c>
      <c r="B986" s="1186" t="s">
        <v>308</v>
      </c>
      <c r="C986" s="1186" t="s">
        <v>61</v>
      </c>
      <c r="D986" s="1186" t="s">
        <v>31</v>
      </c>
      <c r="E986" s="1186">
        <v>21</v>
      </c>
      <c r="F986" s="1186">
        <v>105000</v>
      </c>
    </row>
    <row r="987" spans="1:6" x14ac:dyDescent="0.2">
      <c r="A987" s="1186" t="s">
        <v>13</v>
      </c>
      <c r="B987" s="1186" t="s">
        <v>308</v>
      </c>
      <c r="C987" s="1186" t="s">
        <v>61</v>
      </c>
      <c r="D987" s="1186" t="s">
        <v>32</v>
      </c>
      <c r="E987" s="1186">
        <v>47</v>
      </c>
      <c r="F987" s="1186">
        <v>99920</v>
      </c>
    </row>
    <row r="988" spans="1:6" x14ac:dyDescent="0.2">
      <c r="A988" s="1186" t="s">
        <v>13</v>
      </c>
      <c r="B988" s="1186" t="s">
        <v>308</v>
      </c>
      <c r="C988" s="1186" t="s">
        <v>61</v>
      </c>
      <c r="D988" s="1186" t="s">
        <v>33</v>
      </c>
      <c r="E988" s="1186">
        <v>7</v>
      </c>
      <c r="F988" s="1186">
        <v>90810</v>
      </c>
    </row>
    <row r="989" spans="1:6" x14ac:dyDescent="0.2">
      <c r="A989" s="1186" t="s">
        <v>13</v>
      </c>
      <c r="B989" s="1186" t="s">
        <v>308</v>
      </c>
      <c r="C989" s="1186" t="s">
        <v>61</v>
      </c>
      <c r="D989" s="1186" t="s">
        <v>34</v>
      </c>
      <c r="E989" s="1186">
        <v>93</v>
      </c>
      <c r="F989" s="1186">
        <v>156250</v>
      </c>
    </row>
    <row r="990" spans="1:6" x14ac:dyDescent="0.2">
      <c r="A990" s="1186" t="s">
        <v>13</v>
      </c>
      <c r="B990" s="1186" t="s">
        <v>308</v>
      </c>
      <c r="C990" s="1186" t="s">
        <v>61</v>
      </c>
      <c r="D990" s="1186" t="s">
        <v>35</v>
      </c>
      <c r="E990" s="1186">
        <v>158</v>
      </c>
      <c r="F990" s="1186">
        <v>365300</v>
      </c>
    </row>
    <row r="991" spans="1:6" x14ac:dyDescent="0.2">
      <c r="A991" s="1186" t="s">
        <v>13</v>
      </c>
      <c r="B991" s="1186" t="s">
        <v>308</v>
      </c>
      <c r="C991" s="1186" t="s">
        <v>61</v>
      </c>
      <c r="D991" s="1186" t="s">
        <v>36</v>
      </c>
      <c r="E991" s="1186">
        <v>164</v>
      </c>
      <c r="F991" s="1186">
        <v>593060</v>
      </c>
    </row>
    <row r="992" spans="1:6" x14ac:dyDescent="0.2">
      <c r="A992" s="1186" t="s">
        <v>13</v>
      </c>
      <c r="B992" s="1186" t="s">
        <v>308</v>
      </c>
      <c r="C992" s="1186" t="s">
        <v>61</v>
      </c>
      <c r="D992" s="1186" t="s">
        <v>37</v>
      </c>
      <c r="E992" s="1186">
        <v>376</v>
      </c>
      <c r="F992" s="1186">
        <v>232730</v>
      </c>
    </row>
    <row r="993" spans="1:6" x14ac:dyDescent="0.2">
      <c r="A993" s="1186" t="s">
        <v>13</v>
      </c>
      <c r="B993" s="1186" t="s">
        <v>308</v>
      </c>
      <c r="C993" s="1186" t="s">
        <v>61</v>
      </c>
      <c r="D993" s="1186" t="s">
        <v>38</v>
      </c>
      <c r="E993" s="1186">
        <v>10</v>
      </c>
      <c r="F993" s="1186">
        <v>81220</v>
      </c>
    </row>
    <row r="994" spans="1:6" x14ac:dyDescent="0.2">
      <c r="A994" s="1186" t="s">
        <v>13</v>
      </c>
      <c r="B994" s="1186" t="s">
        <v>308</v>
      </c>
      <c r="C994" s="1186" t="s">
        <v>61</v>
      </c>
      <c r="D994" s="1186" t="s">
        <v>39</v>
      </c>
      <c r="E994" s="1186">
        <v>31</v>
      </c>
      <c r="F994" s="1186">
        <v>83450</v>
      </c>
    </row>
    <row r="995" spans="1:6" x14ac:dyDescent="0.2">
      <c r="A995" s="1186" t="s">
        <v>13</v>
      </c>
      <c r="B995" s="1186" t="s">
        <v>308</v>
      </c>
      <c r="C995" s="1186" t="s">
        <v>61</v>
      </c>
      <c r="D995" s="1186" t="s">
        <v>40</v>
      </c>
      <c r="E995" s="1186">
        <v>61</v>
      </c>
      <c r="F995" s="1186">
        <v>93470</v>
      </c>
    </row>
    <row r="996" spans="1:6" x14ac:dyDescent="0.2">
      <c r="A996" s="1186" t="s">
        <v>13</v>
      </c>
      <c r="B996" s="1186" t="s">
        <v>308</v>
      </c>
      <c r="C996" s="1186" t="s">
        <v>61</v>
      </c>
      <c r="D996" s="1186" t="s">
        <v>295</v>
      </c>
      <c r="E996" s="1186">
        <v>68</v>
      </c>
      <c r="F996" s="1186">
        <v>27690</v>
      </c>
    </row>
    <row r="997" spans="1:6" x14ac:dyDescent="0.2">
      <c r="A997" s="1186" t="s">
        <v>13</v>
      </c>
      <c r="B997" s="1186" t="s">
        <v>308</v>
      </c>
      <c r="C997" s="1186" t="s">
        <v>61</v>
      </c>
      <c r="D997" s="1186" t="s">
        <v>41</v>
      </c>
      <c r="E997" s="1186">
        <v>32</v>
      </c>
      <c r="F997" s="1186">
        <v>138090</v>
      </c>
    </row>
    <row r="998" spans="1:6" x14ac:dyDescent="0.2">
      <c r="A998" s="1186" t="s">
        <v>13</v>
      </c>
      <c r="B998" s="1186" t="s">
        <v>308</v>
      </c>
      <c r="C998" s="1186" t="s">
        <v>61</v>
      </c>
      <c r="D998" s="1186" t="s">
        <v>42</v>
      </c>
      <c r="E998" s="1186">
        <v>59</v>
      </c>
      <c r="F998" s="1186">
        <v>337720</v>
      </c>
    </row>
    <row r="999" spans="1:6" x14ac:dyDescent="0.2">
      <c r="A999" s="1186" t="s">
        <v>13</v>
      </c>
      <c r="B999" s="1186" t="s">
        <v>308</v>
      </c>
      <c r="C999" s="1186" t="s">
        <v>61</v>
      </c>
      <c r="D999" s="1186" t="s">
        <v>43</v>
      </c>
      <c r="E999" s="1186">
        <v>6</v>
      </c>
      <c r="F999" s="1186">
        <v>21420</v>
      </c>
    </row>
    <row r="1000" spans="1:6" x14ac:dyDescent="0.2">
      <c r="A1000" s="1186" t="s">
        <v>13</v>
      </c>
      <c r="B1000" s="1186" t="s">
        <v>308</v>
      </c>
      <c r="C1000" s="1186" t="s">
        <v>61</v>
      </c>
      <c r="D1000" s="1186" t="s">
        <v>44</v>
      </c>
      <c r="E1000" s="1186">
        <v>103</v>
      </c>
      <c r="F1000" s="1186">
        <v>146850</v>
      </c>
    </row>
    <row r="1001" spans="1:6" x14ac:dyDescent="0.2">
      <c r="A1001" s="1186" t="s">
        <v>13</v>
      </c>
      <c r="B1001" s="1186" t="s">
        <v>308</v>
      </c>
      <c r="C1001" s="1186" t="s">
        <v>61</v>
      </c>
      <c r="D1001" s="1186" t="s">
        <v>45</v>
      </c>
      <c r="E1001" s="1186">
        <v>38</v>
      </c>
      <c r="F1001" s="1186">
        <v>174700</v>
      </c>
    </row>
    <row r="1002" spans="1:6" x14ac:dyDescent="0.2">
      <c r="A1002" s="1186" t="s">
        <v>13</v>
      </c>
      <c r="B1002" s="1186" t="s">
        <v>308</v>
      </c>
      <c r="C1002" s="1186" t="s">
        <v>61</v>
      </c>
      <c r="D1002" s="1186" t="s">
        <v>46</v>
      </c>
      <c r="E1002" s="1186">
        <v>37</v>
      </c>
      <c r="F1002" s="1186">
        <v>113880</v>
      </c>
    </row>
    <row r="1003" spans="1:6" x14ac:dyDescent="0.2">
      <c r="A1003" s="1186" t="s">
        <v>13</v>
      </c>
      <c r="B1003" s="1186" t="s">
        <v>308</v>
      </c>
      <c r="C1003" s="1186" t="s">
        <v>61</v>
      </c>
      <c r="D1003" s="1186" t="s">
        <v>47</v>
      </c>
      <c r="E1003" s="1186">
        <v>9</v>
      </c>
      <c r="F1003" s="1186">
        <v>23240</v>
      </c>
    </row>
    <row r="1004" spans="1:6" x14ac:dyDescent="0.2">
      <c r="A1004" s="1186" t="s">
        <v>13</v>
      </c>
      <c r="B1004" s="1186" t="s">
        <v>308</v>
      </c>
      <c r="C1004" s="1186" t="s">
        <v>61</v>
      </c>
      <c r="D1004" s="1186" t="s">
        <v>48</v>
      </c>
      <c r="E1004" s="1186">
        <v>31</v>
      </c>
      <c r="F1004" s="1186">
        <v>112980</v>
      </c>
    </row>
    <row r="1005" spans="1:6" x14ac:dyDescent="0.2">
      <c r="A1005" s="1186" t="s">
        <v>13</v>
      </c>
      <c r="B1005" s="1186" t="s">
        <v>308</v>
      </c>
      <c r="C1005" s="1186" t="s">
        <v>61</v>
      </c>
      <c r="D1005" s="1186" t="s">
        <v>49</v>
      </c>
      <c r="E1005" s="1186">
        <v>61</v>
      </c>
      <c r="F1005" s="1186">
        <v>313900</v>
      </c>
    </row>
    <row r="1006" spans="1:6" x14ac:dyDescent="0.2">
      <c r="A1006" s="1186" t="s">
        <v>13</v>
      </c>
      <c r="B1006" s="1186" t="s">
        <v>308</v>
      </c>
      <c r="C1006" s="1186" t="s">
        <v>61</v>
      </c>
      <c r="D1006" s="1186" t="s">
        <v>50</v>
      </c>
      <c r="E1006" s="1186">
        <v>40</v>
      </c>
      <c r="F1006" s="1186">
        <v>90330</v>
      </c>
    </row>
    <row r="1007" spans="1:6" x14ac:dyDescent="0.2">
      <c r="A1007" s="1186" t="s">
        <v>13</v>
      </c>
      <c r="B1007" s="1186" t="s">
        <v>308</v>
      </c>
      <c r="C1007" s="1186" t="s">
        <v>61</v>
      </c>
      <c r="D1007" s="1186" t="s">
        <v>51</v>
      </c>
      <c r="E1007" s="1186">
        <v>13</v>
      </c>
      <c r="F1007" s="1186">
        <v>90610</v>
      </c>
    </row>
    <row r="1008" spans="1:6" x14ac:dyDescent="0.2">
      <c r="A1008" s="1186" t="s">
        <v>13</v>
      </c>
      <c r="B1008" s="1186" t="s">
        <v>308</v>
      </c>
      <c r="C1008" s="1186" t="s">
        <v>61</v>
      </c>
      <c r="D1008" s="1186" t="s">
        <v>52</v>
      </c>
      <c r="E1008" s="1186">
        <v>64</v>
      </c>
      <c r="F1008" s="1186">
        <v>175300</v>
      </c>
    </row>
    <row r="1009" spans="1:6" x14ac:dyDescent="0.2">
      <c r="A1009" s="1186" t="s">
        <v>13</v>
      </c>
      <c r="B1009" s="1186" t="s">
        <v>308</v>
      </c>
      <c r="C1009" s="1186" t="s">
        <v>116</v>
      </c>
      <c r="D1009" s="1186" t="s">
        <v>23</v>
      </c>
      <c r="E1009" s="1186">
        <v>514</v>
      </c>
      <c r="F1009" s="1186">
        <v>222460</v>
      </c>
    </row>
    <row r="1010" spans="1:6" x14ac:dyDescent="0.2">
      <c r="A1010" s="1186" t="s">
        <v>13</v>
      </c>
      <c r="B1010" s="1186" t="s">
        <v>308</v>
      </c>
      <c r="C1010" s="1186" t="s">
        <v>116</v>
      </c>
      <c r="D1010" s="1186" t="s">
        <v>24</v>
      </c>
      <c r="E1010" s="1186">
        <v>163</v>
      </c>
      <c r="F1010" s="1186">
        <v>253650</v>
      </c>
    </row>
    <row r="1011" spans="1:6" x14ac:dyDescent="0.2">
      <c r="A1011" s="1186" t="s">
        <v>13</v>
      </c>
      <c r="B1011" s="1186" t="s">
        <v>308</v>
      </c>
      <c r="C1011" s="1186" t="s">
        <v>116</v>
      </c>
      <c r="D1011" s="1186" t="s">
        <v>25</v>
      </c>
      <c r="E1011" s="1186">
        <v>126</v>
      </c>
      <c r="F1011" s="1186">
        <v>116200</v>
      </c>
    </row>
    <row r="1012" spans="1:6" x14ac:dyDescent="0.2">
      <c r="A1012" s="1186" t="s">
        <v>13</v>
      </c>
      <c r="B1012" s="1186" t="s">
        <v>308</v>
      </c>
      <c r="C1012" s="1186" t="s">
        <v>116</v>
      </c>
      <c r="D1012" s="1186" t="s">
        <v>26</v>
      </c>
      <c r="E1012" s="1186">
        <v>88</v>
      </c>
      <c r="F1012" s="1186">
        <v>88930</v>
      </c>
    </row>
    <row r="1013" spans="1:6" x14ac:dyDescent="0.2">
      <c r="A1013" s="1186" t="s">
        <v>13</v>
      </c>
      <c r="B1013" s="1186" t="s">
        <v>308</v>
      </c>
      <c r="C1013" s="1186" t="s">
        <v>116</v>
      </c>
      <c r="D1013" s="1186" t="s">
        <v>619</v>
      </c>
      <c r="E1013" s="1186">
        <v>1475</v>
      </c>
      <c r="F1013" s="1186">
        <v>477940</v>
      </c>
    </row>
    <row r="1014" spans="1:6" x14ac:dyDescent="0.2">
      <c r="A1014" s="1186" t="s">
        <v>13</v>
      </c>
      <c r="B1014" s="1186" t="s">
        <v>308</v>
      </c>
      <c r="C1014" s="1186" t="s">
        <v>116</v>
      </c>
      <c r="D1014" s="1186" t="s">
        <v>27</v>
      </c>
      <c r="E1014" s="1186">
        <v>104</v>
      </c>
      <c r="F1014" s="1186">
        <v>51500</v>
      </c>
    </row>
    <row r="1015" spans="1:6" x14ac:dyDescent="0.2">
      <c r="A1015" s="1186" t="s">
        <v>13</v>
      </c>
      <c r="B1015" s="1186" t="s">
        <v>308</v>
      </c>
      <c r="C1015" s="1186" t="s">
        <v>116</v>
      </c>
      <c r="D1015" s="1186" t="s">
        <v>28</v>
      </c>
      <c r="E1015" s="1186">
        <v>94</v>
      </c>
      <c r="F1015" s="1186">
        <v>151410</v>
      </c>
    </row>
    <row r="1016" spans="1:6" x14ac:dyDescent="0.2">
      <c r="A1016" s="1186" t="s">
        <v>13</v>
      </c>
      <c r="B1016" s="1186" t="s">
        <v>308</v>
      </c>
      <c r="C1016" s="1186" t="s">
        <v>116</v>
      </c>
      <c r="D1016" s="1186" t="s">
        <v>29</v>
      </c>
      <c r="E1016" s="1186">
        <v>615</v>
      </c>
      <c r="F1016" s="1186">
        <v>147200</v>
      </c>
    </row>
    <row r="1017" spans="1:6" x14ac:dyDescent="0.2">
      <c r="A1017" s="1186" t="s">
        <v>13</v>
      </c>
      <c r="B1017" s="1186" t="s">
        <v>308</v>
      </c>
      <c r="C1017" s="1186" t="s">
        <v>116</v>
      </c>
      <c r="D1017" s="1186" t="s">
        <v>30</v>
      </c>
      <c r="E1017" s="1186">
        <v>712</v>
      </c>
      <c r="F1017" s="1186">
        <v>122690</v>
      </c>
    </row>
    <row r="1018" spans="1:6" x14ac:dyDescent="0.2">
      <c r="A1018" s="1186" t="s">
        <v>13</v>
      </c>
      <c r="B1018" s="1186" t="s">
        <v>308</v>
      </c>
      <c r="C1018" s="1186" t="s">
        <v>116</v>
      </c>
      <c r="D1018" s="1186" t="s">
        <v>31</v>
      </c>
      <c r="E1018" s="1186">
        <v>180</v>
      </c>
      <c r="F1018" s="1186">
        <v>105000</v>
      </c>
    </row>
    <row r="1019" spans="1:6" x14ac:dyDescent="0.2">
      <c r="A1019" s="1186" t="s">
        <v>13</v>
      </c>
      <c r="B1019" s="1186" t="s">
        <v>308</v>
      </c>
      <c r="C1019" s="1186" t="s">
        <v>116</v>
      </c>
      <c r="D1019" s="1186" t="s">
        <v>32</v>
      </c>
      <c r="E1019" s="1186">
        <v>242</v>
      </c>
      <c r="F1019" s="1186">
        <v>99920</v>
      </c>
    </row>
    <row r="1020" spans="1:6" x14ac:dyDescent="0.2">
      <c r="A1020" s="1186" t="s">
        <v>13</v>
      </c>
      <c r="B1020" s="1186" t="s">
        <v>308</v>
      </c>
      <c r="C1020" s="1186" t="s">
        <v>116</v>
      </c>
      <c r="D1020" s="1186" t="s">
        <v>33</v>
      </c>
      <c r="E1020" s="1186">
        <v>183</v>
      </c>
      <c r="F1020" s="1186">
        <v>90810</v>
      </c>
    </row>
    <row r="1021" spans="1:6" x14ac:dyDescent="0.2">
      <c r="A1021" s="1186" t="s">
        <v>13</v>
      </c>
      <c r="B1021" s="1186" t="s">
        <v>308</v>
      </c>
      <c r="C1021" s="1186" t="s">
        <v>116</v>
      </c>
      <c r="D1021" s="1186" t="s">
        <v>34</v>
      </c>
      <c r="E1021" s="1186">
        <v>478</v>
      </c>
      <c r="F1021" s="1186">
        <v>156250</v>
      </c>
    </row>
    <row r="1022" spans="1:6" x14ac:dyDescent="0.2">
      <c r="A1022" s="1186" t="s">
        <v>13</v>
      </c>
      <c r="B1022" s="1186" t="s">
        <v>308</v>
      </c>
      <c r="C1022" s="1186" t="s">
        <v>116</v>
      </c>
      <c r="D1022" s="1186" t="s">
        <v>35</v>
      </c>
      <c r="E1022" s="1186">
        <v>828</v>
      </c>
      <c r="F1022" s="1186">
        <v>365300</v>
      </c>
    </row>
    <row r="1023" spans="1:6" x14ac:dyDescent="0.2">
      <c r="A1023" s="1186" t="s">
        <v>13</v>
      </c>
      <c r="B1023" s="1186" t="s">
        <v>308</v>
      </c>
      <c r="C1023" s="1186" t="s">
        <v>116</v>
      </c>
      <c r="D1023" s="1186" t="s">
        <v>36</v>
      </c>
      <c r="E1023" s="1186">
        <v>2664</v>
      </c>
      <c r="F1023" s="1186">
        <v>593060</v>
      </c>
    </row>
    <row r="1024" spans="1:6" x14ac:dyDescent="0.2">
      <c r="A1024" s="1186" t="s">
        <v>13</v>
      </c>
      <c r="B1024" s="1186" t="s">
        <v>308</v>
      </c>
      <c r="C1024" s="1186" t="s">
        <v>116</v>
      </c>
      <c r="D1024" s="1186" t="s">
        <v>37</v>
      </c>
      <c r="E1024" s="1186">
        <v>288</v>
      </c>
      <c r="F1024" s="1186">
        <v>232730</v>
      </c>
    </row>
    <row r="1025" spans="1:6" x14ac:dyDescent="0.2">
      <c r="A1025" s="1186" t="s">
        <v>13</v>
      </c>
      <c r="B1025" s="1186" t="s">
        <v>308</v>
      </c>
      <c r="C1025" s="1186" t="s">
        <v>116</v>
      </c>
      <c r="D1025" s="1186" t="s">
        <v>38</v>
      </c>
      <c r="E1025" s="1186">
        <v>638</v>
      </c>
      <c r="F1025" s="1186">
        <v>81220</v>
      </c>
    </row>
    <row r="1026" spans="1:6" x14ac:dyDescent="0.2">
      <c r="A1026" s="1186" t="s">
        <v>13</v>
      </c>
      <c r="B1026" s="1186" t="s">
        <v>308</v>
      </c>
      <c r="C1026" s="1186" t="s">
        <v>116</v>
      </c>
      <c r="D1026" s="1186" t="s">
        <v>39</v>
      </c>
      <c r="E1026" s="1186">
        <v>345</v>
      </c>
      <c r="F1026" s="1186">
        <v>83450</v>
      </c>
    </row>
    <row r="1027" spans="1:6" x14ac:dyDescent="0.2">
      <c r="A1027" s="1186" t="s">
        <v>13</v>
      </c>
      <c r="B1027" s="1186" t="s">
        <v>308</v>
      </c>
      <c r="C1027" s="1186" t="s">
        <v>116</v>
      </c>
      <c r="D1027" s="1186" t="s">
        <v>40</v>
      </c>
      <c r="E1027" s="1186">
        <v>130</v>
      </c>
      <c r="F1027" s="1186">
        <v>93470</v>
      </c>
    </row>
    <row r="1028" spans="1:6" x14ac:dyDescent="0.2">
      <c r="A1028" s="1186" t="s">
        <v>13</v>
      </c>
      <c r="B1028" s="1186" t="s">
        <v>308</v>
      </c>
      <c r="C1028" s="1186" t="s">
        <v>116</v>
      </c>
      <c r="D1028" s="1186" t="s">
        <v>295</v>
      </c>
      <c r="E1028" s="1186">
        <v>6</v>
      </c>
      <c r="F1028" s="1186">
        <v>27690</v>
      </c>
    </row>
    <row r="1029" spans="1:6" x14ac:dyDescent="0.2">
      <c r="A1029" s="1186" t="s">
        <v>13</v>
      </c>
      <c r="B1029" s="1186" t="s">
        <v>308</v>
      </c>
      <c r="C1029" s="1186" t="s">
        <v>116</v>
      </c>
      <c r="D1029" s="1186" t="s">
        <v>41</v>
      </c>
      <c r="E1029" s="1186">
        <v>609</v>
      </c>
      <c r="F1029" s="1186">
        <v>138090</v>
      </c>
    </row>
    <row r="1030" spans="1:6" x14ac:dyDescent="0.2">
      <c r="A1030" s="1186" t="s">
        <v>13</v>
      </c>
      <c r="B1030" s="1186" t="s">
        <v>308</v>
      </c>
      <c r="C1030" s="1186" t="s">
        <v>116</v>
      </c>
      <c r="D1030" s="1186" t="s">
        <v>42</v>
      </c>
      <c r="E1030" s="1186">
        <v>1903</v>
      </c>
      <c r="F1030" s="1186">
        <v>337720</v>
      </c>
    </row>
    <row r="1031" spans="1:6" x14ac:dyDescent="0.2">
      <c r="A1031" s="1186" t="s">
        <v>13</v>
      </c>
      <c r="B1031" s="1186" t="s">
        <v>308</v>
      </c>
      <c r="C1031" s="1186" t="s">
        <v>116</v>
      </c>
      <c r="D1031" s="1186" t="s">
        <v>44</v>
      </c>
      <c r="E1031" s="1186">
        <v>131</v>
      </c>
      <c r="F1031" s="1186">
        <v>146850</v>
      </c>
    </row>
    <row r="1032" spans="1:6" x14ac:dyDescent="0.2">
      <c r="A1032" s="1186" t="s">
        <v>13</v>
      </c>
      <c r="B1032" s="1186" t="s">
        <v>308</v>
      </c>
      <c r="C1032" s="1186" t="s">
        <v>116</v>
      </c>
      <c r="D1032" s="1186" t="s">
        <v>45</v>
      </c>
      <c r="E1032" s="1186">
        <v>721</v>
      </c>
      <c r="F1032" s="1186">
        <v>174700</v>
      </c>
    </row>
    <row r="1033" spans="1:6" x14ac:dyDescent="0.2">
      <c r="A1033" s="1186" t="s">
        <v>13</v>
      </c>
      <c r="B1033" s="1186" t="s">
        <v>308</v>
      </c>
      <c r="C1033" s="1186" t="s">
        <v>116</v>
      </c>
      <c r="D1033" s="1186" t="s">
        <v>46</v>
      </c>
      <c r="E1033" s="1186">
        <v>89</v>
      </c>
      <c r="F1033" s="1186">
        <v>113880</v>
      </c>
    </row>
    <row r="1034" spans="1:6" x14ac:dyDescent="0.2">
      <c r="A1034" s="1186" t="s">
        <v>13</v>
      </c>
      <c r="B1034" s="1186" t="s">
        <v>308</v>
      </c>
      <c r="C1034" s="1186" t="s">
        <v>116</v>
      </c>
      <c r="D1034" s="1186" t="s">
        <v>47</v>
      </c>
      <c r="E1034" s="1186">
        <v>4</v>
      </c>
      <c r="F1034" s="1186">
        <v>23240</v>
      </c>
    </row>
    <row r="1035" spans="1:6" x14ac:dyDescent="0.2">
      <c r="A1035" s="1186" t="s">
        <v>13</v>
      </c>
      <c r="B1035" s="1186" t="s">
        <v>308</v>
      </c>
      <c r="C1035" s="1186" t="s">
        <v>116</v>
      </c>
      <c r="D1035" s="1186" t="s">
        <v>48</v>
      </c>
      <c r="E1035" s="1186">
        <v>328</v>
      </c>
      <c r="F1035" s="1186">
        <v>112980</v>
      </c>
    </row>
    <row r="1036" spans="1:6" x14ac:dyDescent="0.2">
      <c r="A1036" s="1186" t="s">
        <v>13</v>
      </c>
      <c r="B1036" s="1186" t="s">
        <v>308</v>
      </c>
      <c r="C1036" s="1186" t="s">
        <v>116</v>
      </c>
      <c r="D1036" s="1186" t="s">
        <v>49</v>
      </c>
      <c r="E1036" s="1186">
        <v>1232</v>
      </c>
      <c r="F1036" s="1186">
        <v>313900</v>
      </c>
    </row>
    <row r="1037" spans="1:6" x14ac:dyDescent="0.2">
      <c r="A1037" s="1186" t="s">
        <v>13</v>
      </c>
      <c r="B1037" s="1186" t="s">
        <v>308</v>
      </c>
      <c r="C1037" s="1186" t="s">
        <v>116</v>
      </c>
      <c r="D1037" s="1186" t="s">
        <v>50</v>
      </c>
      <c r="E1037" s="1186">
        <v>128</v>
      </c>
      <c r="F1037" s="1186">
        <v>90330</v>
      </c>
    </row>
    <row r="1038" spans="1:6" x14ac:dyDescent="0.2">
      <c r="A1038" s="1186" t="s">
        <v>13</v>
      </c>
      <c r="B1038" s="1186" t="s">
        <v>308</v>
      </c>
      <c r="C1038" s="1186" t="s">
        <v>116</v>
      </c>
      <c r="D1038" s="1186" t="s">
        <v>51</v>
      </c>
      <c r="E1038" s="1186">
        <v>497</v>
      </c>
      <c r="F1038" s="1186">
        <v>90610</v>
      </c>
    </row>
    <row r="1039" spans="1:6" x14ac:dyDescent="0.2">
      <c r="A1039" s="1186" t="s">
        <v>13</v>
      </c>
      <c r="B1039" s="1186" t="s">
        <v>308</v>
      </c>
      <c r="C1039" s="1186" t="s">
        <v>116</v>
      </c>
      <c r="D1039" s="1186" t="s">
        <v>52</v>
      </c>
      <c r="E1039" s="1186">
        <v>683</v>
      </c>
      <c r="F1039" s="1186">
        <v>175300</v>
      </c>
    </row>
    <row r="1040" spans="1:6" x14ac:dyDescent="0.2">
      <c r="A1040" s="1186" t="s">
        <v>15</v>
      </c>
      <c r="B1040" s="1186" t="s">
        <v>309</v>
      </c>
      <c r="C1040" s="1186" t="s">
        <v>61</v>
      </c>
      <c r="D1040" s="1186" t="s">
        <v>23</v>
      </c>
      <c r="E1040" s="1186">
        <v>8</v>
      </c>
      <c r="F1040" s="1186">
        <v>224910</v>
      </c>
    </row>
    <row r="1041" spans="1:6" x14ac:dyDescent="0.2">
      <c r="A1041" s="1186" t="s">
        <v>15</v>
      </c>
      <c r="B1041" s="1186" t="s">
        <v>309</v>
      </c>
      <c r="C1041" s="1186" t="s">
        <v>61</v>
      </c>
      <c r="D1041" s="1186" t="s">
        <v>24</v>
      </c>
      <c r="E1041" s="1186">
        <v>126</v>
      </c>
      <c r="F1041" s="1186">
        <v>255560</v>
      </c>
    </row>
    <row r="1042" spans="1:6" x14ac:dyDescent="0.2">
      <c r="A1042" s="1186" t="s">
        <v>15</v>
      </c>
      <c r="B1042" s="1186" t="s">
        <v>309</v>
      </c>
      <c r="C1042" s="1186" t="s">
        <v>61</v>
      </c>
      <c r="D1042" s="1186" t="s">
        <v>25</v>
      </c>
      <c r="E1042" s="1186">
        <v>29</v>
      </c>
      <c r="F1042" s="1186">
        <v>116220</v>
      </c>
    </row>
    <row r="1043" spans="1:6" x14ac:dyDescent="0.2">
      <c r="A1043" s="1186" t="s">
        <v>15</v>
      </c>
      <c r="B1043" s="1186" t="s">
        <v>309</v>
      </c>
      <c r="C1043" s="1186" t="s">
        <v>61</v>
      </c>
      <c r="D1043" s="1186" t="s">
        <v>26</v>
      </c>
      <c r="E1043" s="1186">
        <v>99</v>
      </c>
      <c r="F1043" s="1186">
        <v>86910</v>
      </c>
    </row>
    <row r="1044" spans="1:6" x14ac:dyDescent="0.2">
      <c r="A1044" s="1186" t="s">
        <v>15</v>
      </c>
      <c r="B1044" s="1186" t="s">
        <v>309</v>
      </c>
      <c r="C1044" s="1186" t="s">
        <v>61</v>
      </c>
      <c r="D1044" s="1186" t="s">
        <v>619</v>
      </c>
      <c r="E1044" s="1186">
        <v>11</v>
      </c>
      <c r="F1044" s="1186">
        <v>482630</v>
      </c>
    </row>
    <row r="1045" spans="1:6" x14ac:dyDescent="0.2">
      <c r="A1045" s="1186" t="s">
        <v>15</v>
      </c>
      <c r="B1045" s="1186" t="s">
        <v>309</v>
      </c>
      <c r="C1045" s="1186" t="s">
        <v>61</v>
      </c>
      <c r="D1045" s="1186" t="s">
        <v>27</v>
      </c>
      <c r="E1045" s="1186">
        <v>4</v>
      </c>
      <c r="F1045" s="1186">
        <v>51280</v>
      </c>
    </row>
    <row r="1046" spans="1:6" x14ac:dyDescent="0.2">
      <c r="A1046" s="1186" t="s">
        <v>15</v>
      </c>
      <c r="B1046" s="1186" t="s">
        <v>309</v>
      </c>
      <c r="C1046" s="1186" t="s">
        <v>61</v>
      </c>
      <c r="D1046" s="1186" t="s">
        <v>28</v>
      </c>
      <c r="E1046" s="1186">
        <v>107</v>
      </c>
      <c r="F1046" s="1186">
        <v>150840</v>
      </c>
    </row>
    <row r="1047" spans="1:6" x14ac:dyDescent="0.2">
      <c r="A1047" s="1186" t="s">
        <v>15</v>
      </c>
      <c r="B1047" s="1186" t="s">
        <v>309</v>
      </c>
      <c r="C1047" s="1186" t="s">
        <v>61</v>
      </c>
      <c r="D1047" s="1186" t="s">
        <v>30</v>
      </c>
      <c r="E1047" s="1186">
        <v>19</v>
      </c>
      <c r="F1047" s="1186">
        <v>122730</v>
      </c>
    </row>
    <row r="1048" spans="1:6" x14ac:dyDescent="0.2">
      <c r="A1048" s="1186" t="s">
        <v>15</v>
      </c>
      <c r="B1048" s="1186" t="s">
        <v>309</v>
      </c>
      <c r="C1048" s="1186" t="s">
        <v>61</v>
      </c>
      <c r="D1048" s="1186" t="s">
        <v>31</v>
      </c>
      <c r="E1048" s="1186">
        <v>4</v>
      </c>
      <c r="F1048" s="1186">
        <v>105880</v>
      </c>
    </row>
    <row r="1049" spans="1:6" x14ac:dyDescent="0.2">
      <c r="A1049" s="1186" t="s">
        <v>15</v>
      </c>
      <c r="B1049" s="1186" t="s">
        <v>309</v>
      </c>
      <c r="C1049" s="1186" t="s">
        <v>61</v>
      </c>
      <c r="D1049" s="1186" t="s">
        <v>32</v>
      </c>
      <c r="E1049" s="1186">
        <v>23</v>
      </c>
      <c r="F1049" s="1186">
        <v>100860</v>
      </c>
    </row>
    <row r="1050" spans="1:6" x14ac:dyDescent="0.2">
      <c r="A1050" s="1186" t="s">
        <v>15</v>
      </c>
      <c r="B1050" s="1186" t="s">
        <v>309</v>
      </c>
      <c r="C1050" s="1186" t="s">
        <v>61</v>
      </c>
      <c r="D1050" s="1186" t="s">
        <v>33</v>
      </c>
      <c r="E1050" s="1186">
        <v>9</v>
      </c>
      <c r="F1050" s="1186">
        <v>91040</v>
      </c>
    </row>
    <row r="1051" spans="1:6" x14ac:dyDescent="0.2">
      <c r="A1051" s="1186" t="s">
        <v>15</v>
      </c>
      <c r="B1051" s="1186" t="s">
        <v>309</v>
      </c>
      <c r="C1051" s="1186" t="s">
        <v>61</v>
      </c>
      <c r="D1051" s="1186" t="s">
        <v>34</v>
      </c>
      <c r="E1051" s="1186">
        <v>3</v>
      </c>
      <c r="F1051" s="1186">
        <v>156800</v>
      </c>
    </row>
    <row r="1052" spans="1:6" x14ac:dyDescent="0.2">
      <c r="A1052" s="1186" t="s">
        <v>15</v>
      </c>
      <c r="B1052" s="1186" t="s">
        <v>309</v>
      </c>
      <c r="C1052" s="1186" t="s">
        <v>61</v>
      </c>
      <c r="D1052" s="1186" t="s">
        <v>35</v>
      </c>
      <c r="E1052" s="1186">
        <v>39</v>
      </c>
      <c r="F1052" s="1186">
        <v>366210</v>
      </c>
    </row>
    <row r="1053" spans="1:6" x14ac:dyDescent="0.2">
      <c r="A1053" s="1186" t="s">
        <v>15</v>
      </c>
      <c r="B1053" s="1186" t="s">
        <v>309</v>
      </c>
      <c r="C1053" s="1186" t="s">
        <v>61</v>
      </c>
      <c r="D1053" s="1186" t="s">
        <v>36</v>
      </c>
      <c r="E1053" s="1186">
        <v>8</v>
      </c>
      <c r="F1053" s="1186">
        <v>595070</v>
      </c>
    </row>
    <row r="1054" spans="1:6" x14ac:dyDescent="0.2">
      <c r="A1054" s="1186" t="s">
        <v>15</v>
      </c>
      <c r="B1054" s="1186" t="s">
        <v>309</v>
      </c>
      <c r="C1054" s="1186" t="s">
        <v>61</v>
      </c>
      <c r="D1054" s="1186" t="s">
        <v>37</v>
      </c>
      <c r="E1054" s="1186">
        <v>400</v>
      </c>
      <c r="F1054" s="1186">
        <v>232890</v>
      </c>
    </row>
    <row r="1055" spans="1:6" x14ac:dyDescent="0.2">
      <c r="A1055" s="1186" t="s">
        <v>15</v>
      </c>
      <c r="B1055" s="1186" t="s">
        <v>309</v>
      </c>
      <c r="C1055" s="1186" t="s">
        <v>61</v>
      </c>
      <c r="D1055" s="1186" t="s">
        <v>38</v>
      </c>
      <c r="E1055" s="1186">
        <v>3</v>
      </c>
      <c r="F1055" s="1186">
        <v>80690</v>
      </c>
    </row>
    <row r="1056" spans="1:6" x14ac:dyDescent="0.2">
      <c r="A1056" s="1186" t="s">
        <v>15</v>
      </c>
      <c r="B1056" s="1186" t="s">
        <v>309</v>
      </c>
      <c r="C1056" s="1186" t="s">
        <v>61</v>
      </c>
      <c r="D1056" s="1186" t="s">
        <v>39</v>
      </c>
      <c r="E1056" s="1186">
        <v>19</v>
      </c>
      <c r="F1056" s="1186">
        <v>84240</v>
      </c>
    </row>
    <row r="1057" spans="1:6" x14ac:dyDescent="0.2">
      <c r="A1057" s="1186" t="s">
        <v>15</v>
      </c>
      <c r="B1057" s="1186" t="s">
        <v>309</v>
      </c>
      <c r="C1057" s="1186" t="s">
        <v>61</v>
      </c>
      <c r="D1057" s="1186" t="s">
        <v>40</v>
      </c>
      <c r="E1057" s="1186">
        <v>63</v>
      </c>
      <c r="F1057" s="1186">
        <v>92930</v>
      </c>
    </row>
    <row r="1058" spans="1:6" x14ac:dyDescent="0.2">
      <c r="A1058" s="1186" t="s">
        <v>15</v>
      </c>
      <c r="B1058" s="1186" t="s">
        <v>309</v>
      </c>
      <c r="C1058" s="1186" t="s">
        <v>61</v>
      </c>
      <c r="D1058" s="1186" t="s">
        <v>295</v>
      </c>
      <c r="E1058" s="1186">
        <v>79</v>
      </c>
      <c r="F1058" s="1186">
        <v>27560</v>
      </c>
    </row>
    <row r="1059" spans="1:6" x14ac:dyDescent="0.2">
      <c r="A1059" s="1186" t="s">
        <v>15</v>
      </c>
      <c r="B1059" s="1186" t="s">
        <v>309</v>
      </c>
      <c r="C1059" s="1186" t="s">
        <v>61</v>
      </c>
      <c r="D1059" s="1186" t="s">
        <v>41</v>
      </c>
      <c r="E1059" s="1186">
        <v>17</v>
      </c>
      <c r="F1059" s="1186">
        <v>137570</v>
      </c>
    </row>
    <row r="1060" spans="1:6" x14ac:dyDescent="0.2">
      <c r="A1060" s="1186" t="s">
        <v>15</v>
      </c>
      <c r="B1060" s="1186" t="s">
        <v>309</v>
      </c>
      <c r="C1060" s="1186" t="s">
        <v>61</v>
      </c>
      <c r="D1060" s="1186" t="s">
        <v>42</v>
      </c>
      <c r="E1060" s="1186">
        <v>4</v>
      </c>
      <c r="F1060" s="1186">
        <v>337890</v>
      </c>
    </row>
    <row r="1061" spans="1:6" x14ac:dyDescent="0.2">
      <c r="A1061" s="1186" t="s">
        <v>15</v>
      </c>
      <c r="B1061" s="1186" t="s">
        <v>309</v>
      </c>
      <c r="C1061" s="1186" t="s">
        <v>61</v>
      </c>
      <c r="D1061" s="1186" t="s">
        <v>43</v>
      </c>
      <c r="E1061" s="1186">
        <v>18</v>
      </c>
      <c r="F1061" s="1186">
        <v>21530</v>
      </c>
    </row>
    <row r="1062" spans="1:6" x14ac:dyDescent="0.2">
      <c r="A1062" s="1186" t="s">
        <v>15</v>
      </c>
      <c r="B1062" s="1186" t="s">
        <v>309</v>
      </c>
      <c r="C1062" s="1186" t="s">
        <v>61</v>
      </c>
      <c r="D1062" s="1186" t="s">
        <v>44</v>
      </c>
      <c r="E1062" s="1186">
        <v>85</v>
      </c>
      <c r="F1062" s="1186">
        <v>147740</v>
      </c>
    </row>
    <row r="1063" spans="1:6" x14ac:dyDescent="0.2">
      <c r="A1063" s="1186" t="s">
        <v>15</v>
      </c>
      <c r="B1063" s="1186" t="s">
        <v>309</v>
      </c>
      <c r="C1063" s="1186" t="s">
        <v>61</v>
      </c>
      <c r="D1063" s="1186" t="s">
        <v>45</v>
      </c>
      <c r="E1063" s="1186">
        <v>4</v>
      </c>
      <c r="F1063" s="1186">
        <v>174300</v>
      </c>
    </row>
    <row r="1064" spans="1:6" x14ac:dyDescent="0.2">
      <c r="A1064" s="1186" t="s">
        <v>15</v>
      </c>
      <c r="B1064" s="1186" t="s">
        <v>309</v>
      </c>
      <c r="C1064" s="1186" t="s">
        <v>61</v>
      </c>
      <c r="D1064" s="1186" t="s">
        <v>46</v>
      </c>
      <c r="E1064" s="1186">
        <v>100</v>
      </c>
      <c r="F1064" s="1186">
        <v>113720</v>
      </c>
    </row>
    <row r="1065" spans="1:6" x14ac:dyDescent="0.2">
      <c r="A1065" s="1186" t="s">
        <v>15</v>
      </c>
      <c r="B1065" s="1186" t="s">
        <v>309</v>
      </c>
      <c r="C1065" s="1186" t="s">
        <v>61</v>
      </c>
      <c r="D1065" s="1186" t="s">
        <v>47</v>
      </c>
      <c r="E1065" s="1186">
        <v>11</v>
      </c>
      <c r="F1065" s="1186">
        <v>23210</v>
      </c>
    </row>
    <row r="1066" spans="1:6" x14ac:dyDescent="0.2">
      <c r="A1066" s="1186" t="s">
        <v>15</v>
      </c>
      <c r="B1066" s="1186" t="s">
        <v>309</v>
      </c>
      <c r="C1066" s="1186" t="s">
        <v>61</v>
      </c>
      <c r="D1066" s="1186" t="s">
        <v>48</v>
      </c>
      <c r="E1066" s="1186">
        <v>21</v>
      </c>
      <c r="F1066" s="1186">
        <v>112920</v>
      </c>
    </row>
    <row r="1067" spans="1:6" x14ac:dyDescent="0.2">
      <c r="A1067" s="1186" t="s">
        <v>15</v>
      </c>
      <c r="B1067" s="1186" t="s">
        <v>309</v>
      </c>
      <c r="C1067" s="1186" t="s">
        <v>61</v>
      </c>
      <c r="D1067" s="1186" t="s">
        <v>49</v>
      </c>
      <c r="E1067" s="1186">
        <v>27</v>
      </c>
      <c r="F1067" s="1186">
        <v>314330</v>
      </c>
    </row>
    <row r="1068" spans="1:6" x14ac:dyDescent="0.2">
      <c r="A1068" s="1186" t="s">
        <v>15</v>
      </c>
      <c r="B1068" s="1186" t="s">
        <v>309</v>
      </c>
      <c r="C1068" s="1186" t="s">
        <v>61</v>
      </c>
      <c r="D1068" s="1186" t="s">
        <v>50</v>
      </c>
      <c r="E1068" s="1186">
        <v>27</v>
      </c>
      <c r="F1068" s="1186">
        <v>91010</v>
      </c>
    </row>
    <row r="1069" spans="1:6" x14ac:dyDescent="0.2">
      <c r="A1069" s="1186" t="s">
        <v>15</v>
      </c>
      <c r="B1069" s="1186" t="s">
        <v>309</v>
      </c>
      <c r="C1069" s="1186" t="s">
        <v>61</v>
      </c>
      <c r="D1069" s="1186" t="s">
        <v>51</v>
      </c>
      <c r="E1069" s="1186">
        <v>6</v>
      </c>
      <c r="F1069" s="1186">
        <v>90340</v>
      </c>
    </row>
    <row r="1070" spans="1:6" x14ac:dyDescent="0.2">
      <c r="A1070" s="1186" t="s">
        <v>15</v>
      </c>
      <c r="B1070" s="1186" t="s">
        <v>309</v>
      </c>
      <c r="C1070" s="1186" t="s">
        <v>61</v>
      </c>
      <c r="D1070" s="1186" t="s">
        <v>52</v>
      </c>
      <c r="E1070" s="1186">
        <v>8</v>
      </c>
      <c r="F1070" s="1186">
        <v>176010</v>
      </c>
    </row>
    <row r="1071" spans="1:6" x14ac:dyDescent="0.2">
      <c r="A1071" s="1186" t="s">
        <v>15</v>
      </c>
      <c r="B1071" s="1186" t="s">
        <v>823</v>
      </c>
      <c r="C1071" s="1186" t="s">
        <v>61</v>
      </c>
      <c r="D1071" s="1186" t="s">
        <v>23</v>
      </c>
      <c r="E1071" s="1186">
        <v>266</v>
      </c>
      <c r="F1071" s="1186">
        <v>224910</v>
      </c>
    </row>
    <row r="1072" spans="1:6" x14ac:dyDescent="0.2">
      <c r="A1072" s="1186" t="s">
        <v>15</v>
      </c>
      <c r="B1072" s="1186" t="s">
        <v>823</v>
      </c>
      <c r="C1072" s="1186" t="s">
        <v>61</v>
      </c>
      <c r="D1072" s="1186" t="s">
        <v>24</v>
      </c>
      <c r="E1072" s="1186">
        <v>163</v>
      </c>
      <c r="F1072" s="1186">
        <v>255560</v>
      </c>
    </row>
    <row r="1073" spans="1:6" x14ac:dyDescent="0.2">
      <c r="A1073" s="1186" t="s">
        <v>15</v>
      </c>
      <c r="B1073" s="1186" t="s">
        <v>823</v>
      </c>
      <c r="C1073" s="1186" t="s">
        <v>61</v>
      </c>
      <c r="D1073" s="1186" t="s">
        <v>25</v>
      </c>
      <c r="E1073" s="1186">
        <v>79</v>
      </c>
      <c r="F1073" s="1186">
        <v>116220</v>
      </c>
    </row>
    <row r="1074" spans="1:6" x14ac:dyDescent="0.2">
      <c r="A1074" s="1186" t="s">
        <v>15</v>
      </c>
      <c r="B1074" s="1186" t="s">
        <v>823</v>
      </c>
      <c r="C1074" s="1186" t="s">
        <v>61</v>
      </c>
      <c r="D1074" s="1186" t="s">
        <v>26</v>
      </c>
      <c r="E1074" s="1186">
        <v>81</v>
      </c>
      <c r="F1074" s="1186">
        <v>86910</v>
      </c>
    </row>
    <row r="1075" spans="1:6" x14ac:dyDescent="0.2">
      <c r="A1075" s="1186" t="s">
        <v>15</v>
      </c>
      <c r="B1075" s="1186" t="s">
        <v>823</v>
      </c>
      <c r="C1075" s="1186" t="s">
        <v>61</v>
      </c>
      <c r="D1075" s="1186" t="s">
        <v>619</v>
      </c>
      <c r="E1075" s="1186">
        <v>596</v>
      </c>
      <c r="F1075" s="1186">
        <v>482630</v>
      </c>
    </row>
    <row r="1076" spans="1:6" x14ac:dyDescent="0.2">
      <c r="A1076" s="1186" t="s">
        <v>15</v>
      </c>
      <c r="B1076" s="1186" t="s">
        <v>823</v>
      </c>
      <c r="C1076" s="1186" t="s">
        <v>61</v>
      </c>
      <c r="D1076" s="1186" t="s">
        <v>27</v>
      </c>
      <c r="E1076" s="1186">
        <v>38</v>
      </c>
      <c r="F1076" s="1186">
        <v>51280</v>
      </c>
    </row>
    <row r="1077" spans="1:6" x14ac:dyDescent="0.2">
      <c r="A1077" s="1186" t="s">
        <v>15</v>
      </c>
      <c r="B1077" s="1186" t="s">
        <v>823</v>
      </c>
      <c r="C1077" s="1186" t="s">
        <v>61</v>
      </c>
      <c r="D1077" s="1186" t="s">
        <v>28</v>
      </c>
      <c r="E1077" s="1186">
        <v>97</v>
      </c>
      <c r="F1077" s="1186">
        <v>150840</v>
      </c>
    </row>
    <row r="1078" spans="1:6" x14ac:dyDescent="0.2">
      <c r="A1078" s="1186" t="s">
        <v>15</v>
      </c>
      <c r="B1078" s="1186" t="s">
        <v>823</v>
      </c>
      <c r="C1078" s="1186" t="s">
        <v>61</v>
      </c>
      <c r="D1078" s="1186" t="s">
        <v>29</v>
      </c>
      <c r="E1078" s="1186">
        <v>235</v>
      </c>
      <c r="F1078" s="1186">
        <v>147780</v>
      </c>
    </row>
    <row r="1079" spans="1:6" x14ac:dyDescent="0.2">
      <c r="A1079" s="1186" t="s">
        <v>15</v>
      </c>
      <c r="B1079" s="1186" t="s">
        <v>823</v>
      </c>
      <c r="C1079" s="1186" t="s">
        <v>61</v>
      </c>
      <c r="D1079" s="1186" t="s">
        <v>30</v>
      </c>
      <c r="E1079" s="1186">
        <v>99</v>
      </c>
      <c r="F1079" s="1186">
        <v>122730</v>
      </c>
    </row>
    <row r="1080" spans="1:6" x14ac:dyDescent="0.2">
      <c r="A1080" s="1186" t="s">
        <v>15</v>
      </c>
      <c r="B1080" s="1186" t="s">
        <v>823</v>
      </c>
      <c r="C1080" s="1186" t="s">
        <v>61</v>
      </c>
      <c r="D1080" s="1186" t="s">
        <v>31</v>
      </c>
      <c r="E1080" s="1186">
        <v>60</v>
      </c>
      <c r="F1080" s="1186">
        <v>105880</v>
      </c>
    </row>
    <row r="1081" spans="1:6" x14ac:dyDescent="0.2">
      <c r="A1081" s="1186" t="s">
        <v>15</v>
      </c>
      <c r="B1081" s="1186" t="s">
        <v>823</v>
      </c>
      <c r="C1081" s="1186" t="s">
        <v>61</v>
      </c>
      <c r="D1081" s="1186" t="s">
        <v>32</v>
      </c>
      <c r="E1081" s="1186">
        <v>96</v>
      </c>
      <c r="F1081" s="1186">
        <v>100860</v>
      </c>
    </row>
    <row r="1082" spans="1:6" x14ac:dyDescent="0.2">
      <c r="A1082" s="1186" t="s">
        <v>15</v>
      </c>
      <c r="B1082" s="1186" t="s">
        <v>823</v>
      </c>
      <c r="C1082" s="1186" t="s">
        <v>61</v>
      </c>
      <c r="D1082" s="1186" t="s">
        <v>33</v>
      </c>
      <c r="E1082" s="1186">
        <v>60</v>
      </c>
      <c r="F1082" s="1186">
        <v>91040</v>
      </c>
    </row>
    <row r="1083" spans="1:6" x14ac:dyDescent="0.2">
      <c r="A1083" s="1186" t="s">
        <v>15</v>
      </c>
      <c r="B1083" s="1186" t="s">
        <v>823</v>
      </c>
      <c r="C1083" s="1186" t="s">
        <v>61</v>
      </c>
      <c r="D1083" s="1186" t="s">
        <v>34</v>
      </c>
      <c r="E1083" s="1186">
        <v>91</v>
      </c>
      <c r="F1083" s="1186">
        <v>156800</v>
      </c>
    </row>
    <row r="1084" spans="1:6" x14ac:dyDescent="0.2">
      <c r="A1084" s="1186" t="s">
        <v>15</v>
      </c>
      <c r="B1084" s="1186" t="s">
        <v>823</v>
      </c>
      <c r="C1084" s="1186" t="s">
        <v>61</v>
      </c>
      <c r="D1084" s="1186" t="s">
        <v>35</v>
      </c>
      <c r="E1084" s="1186">
        <v>262</v>
      </c>
      <c r="F1084" s="1186">
        <v>366210</v>
      </c>
    </row>
    <row r="1085" spans="1:6" x14ac:dyDescent="0.2">
      <c r="A1085" s="1186" t="s">
        <v>15</v>
      </c>
      <c r="B1085" s="1186" t="s">
        <v>823</v>
      </c>
      <c r="C1085" s="1186" t="s">
        <v>61</v>
      </c>
      <c r="D1085" s="1186" t="s">
        <v>36</v>
      </c>
      <c r="E1085" s="1186">
        <v>842</v>
      </c>
      <c r="F1085" s="1186">
        <v>595070</v>
      </c>
    </row>
    <row r="1086" spans="1:6" x14ac:dyDescent="0.2">
      <c r="A1086" s="1186" t="s">
        <v>15</v>
      </c>
      <c r="B1086" s="1186" t="s">
        <v>823</v>
      </c>
      <c r="C1086" s="1186" t="s">
        <v>61</v>
      </c>
      <c r="D1086" s="1186" t="s">
        <v>37</v>
      </c>
      <c r="E1086" s="1186">
        <v>126</v>
      </c>
      <c r="F1086" s="1186">
        <v>232890</v>
      </c>
    </row>
    <row r="1087" spans="1:6" x14ac:dyDescent="0.2">
      <c r="A1087" s="1186" t="s">
        <v>15</v>
      </c>
      <c r="B1087" s="1186" t="s">
        <v>823</v>
      </c>
      <c r="C1087" s="1186" t="s">
        <v>61</v>
      </c>
      <c r="D1087" s="1186" t="s">
        <v>38</v>
      </c>
      <c r="E1087" s="1186">
        <v>80</v>
      </c>
      <c r="F1087" s="1186">
        <v>80690</v>
      </c>
    </row>
    <row r="1088" spans="1:6" x14ac:dyDescent="0.2">
      <c r="A1088" s="1186" t="s">
        <v>15</v>
      </c>
      <c r="B1088" s="1186" t="s">
        <v>823</v>
      </c>
      <c r="C1088" s="1186" t="s">
        <v>61</v>
      </c>
      <c r="D1088" s="1186" t="s">
        <v>39</v>
      </c>
      <c r="E1088" s="1186">
        <v>87</v>
      </c>
      <c r="F1088" s="1186">
        <v>84240</v>
      </c>
    </row>
    <row r="1089" spans="1:6" x14ac:dyDescent="0.2">
      <c r="A1089" s="1186" t="s">
        <v>15</v>
      </c>
      <c r="B1089" s="1186" t="s">
        <v>823</v>
      </c>
      <c r="C1089" s="1186" t="s">
        <v>61</v>
      </c>
      <c r="D1089" s="1186" t="s">
        <v>40</v>
      </c>
      <c r="E1089" s="1186">
        <v>55</v>
      </c>
      <c r="F1089" s="1186">
        <v>92930</v>
      </c>
    </row>
    <row r="1090" spans="1:6" x14ac:dyDescent="0.2">
      <c r="A1090" s="1186" t="s">
        <v>15</v>
      </c>
      <c r="B1090" s="1186" t="s">
        <v>823</v>
      </c>
      <c r="C1090" s="1186" t="s">
        <v>61</v>
      </c>
      <c r="D1090" s="1186" t="s">
        <v>295</v>
      </c>
      <c r="E1090" s="1186">
        <v>22</v>
      </c>
      <c r="F1090" s="1186">
        <v>27560</v>
      </c>
    </row>
    <row r="1091" spans="1:6" x14ac:dyDescent="0.2">
      <c r="A1091" s="1186" t="s">
        <v>15</v>
      </c>
      <c r="B1091" s="1186" t="s">
        <v>823</v>
      </c>
      <c r="C1091" s="1186" t="s">
        <v>61</v>
      </c>
      <c r="D1091" s="1186" t="s">
        <v>41</v>
      </c>
      <c r="E1091" s="1186">
        <v>142</v>
      </c>
      <c r="F1091" s="1186">
        <v>137570</v>
      </c>
    </row>
    <row r="1092" spans="1:6" x14ac:dyDescent="0.2">
      <c r="A1092" s="1186" t="s">
        <v>15</v>
      </c>
      <c r="B1092" s="1186" t="s">
        <v>823</v>
      </c>
      <c r="C1092" s="1186" t="s">
        <v>61</v>
      </c>
      <c r="D1092" s="1186" t="s">
        <v>42</v>
      </c>
      <c r="E1092" s="1186">
        <v>284</v>
      </c>
      <c r="F1092" s="1186">
        <v>337890</v>
      </c>
    </row>
    <row r="1093" spans="1:6" x14ac:dyDescent="0.2">
      <c r="A1093" s="1186" t="s">
        <v>15</v>
      </c>
      <c r="B1093" s="1186" t="s">
        <v>823</v>
      </c>
      <c r="C1093" s="1186" t="s">
        <v>61</v>
      </c>
      <c r="D1093" s="1186" t="s">
        <v>43</v>
      </c>
      <c r="E1093" s="1186">
        <v>9</v>
      </c>
      <c r="F1093" s="1186">
        <v>21530</v>
      </c>
    </row>
    <row r="1094" spans="1:6" x14ac:dyDescent="0.2">
      <c r="A1094" s="1186" t="s">
        <v>15</v>
      </c>
      <c r="B1094" s="1186" t="s">
        <v>823</v>
      </c>
      <c r="C1094" s="1186" t="s">
        <v>61</v>
      </c>
      <c r="D1094" s="1186" t="s">
        <v>44</v>
      </c>
      <c r="E1094" s="1186">
        <v>114</v>
      </c>
      <c r="F1094" s="1186">
        <v>147740</v>
      </c>
    </row>
    <row r="1095" spans="1:6" x14ac:dyDescent="0.2">
      <c r="A1095" s="1186" t="s">
        <v>15</v>
      </c>
      <c r="B1095" s="1186" t="s">
        <v>823</v>
      </c>
      <c r="C1095" s="1186" t="s">
        <v>61</v>
      </c>
      <c r="D1095" s="1186" t="s">
        <v>45</v>
      </c>
      <c r="E1095" s="1186">
        <v>219</v>
      </c>
      <c r="F1095" s="1186">
        <v>174300</v>
      </c>
    </row>
    <row r="1096" spans="1:6" x14ac:dyDescent="0.2">
      <c r="A1096" s="1186" t="s">
        <v>15</v>
      </c>
      <c r="B1096" s="1186" t="s">
        <v>823</v>
      </c>
      <c r="C1096" s="1186" t="s">
        <v>61</v>
      </c>
      <c r="D1096" s="1186" t="s">
        <v>46</v>
      </c>
      <c r="E1096" s="1186">
        <v>100</v>
      </c>
      <c r="F1096" s="1186">
        <v>113720</v>
      </c>
    </row>
    <row r="1097" spans="1:6" x14ac:dyDescent="0.2">
      <c r="A1097" s="1186" t="s">
        <v>15</v>
      </c>
      <c r="B1097" s="1186" t="s">
        <v>823</v>
      </c>
      <c r="C1097" s="1186" t="s">
        <v>61</v>
      </c>
      <c r="D1097" s="1186" t="s">
        <v>47</v>
      </c>
      <c r="E1097" s="1186">
        <v>17</v>
      </c>
      <c r="F1097" s="1186">
        <v>23210</v>
      </c>
    </row>
    <row r="1098" spans="1:6" x14ac:dyDescent="0.2">
      <c r="A1098" s="1186" t="s">
        <v>15</v>
      </c>
      <c r="B1098" s="1186" t="s">
        <v>823</v>
      </c>
      <c r="C1098" s="1186" t="s">
        <v>61</v>
      </c>
      <c r="D1098" s="1186" t="s">
        <v>48</v>
      </c>
      <c r="E1098" s="1186">
        <v>99</v>
      </c>
      <c r="F1098" s="1186">
        <v>112920</v>
      </c>
    </row>
    <row r="1099" spans="1:6" x14ac:dyDescent="0.2">
      <c r="A1099" s="1186" t="s">
        <v>15</v>
      </c>
      <c r="B1099" s="1186" t="s">
        <v>823</v>
      </c>
      <c r="C1099" s="1186" t="s">
        <v>61</v>
      </c>
      <c r="D1099" s="1186" t="s">
        <v>49</v>
      </c>
      <c r="E1099" s="1186">
        <v>249</v>
      </c>
      <c r="F1099" s="1186">
        <v>314330</v>
      </c>
    </row>
    <row r="1100" spans="1:6" x14ac:dyDescent="0.2">
      <c r="A1100" s="1186" t="s">
        <v>15</v>
      </c>
      <c r="B1100" s="1186" t="s">
        <v>823</v>
      </c>
      <c r="C1100" s="1186" t="s">
        <v>61</v>
      </c>
      <c r="D1100" s="1186" t="s">
        <v>50</v>
      </c>
      <c r="E1100" s="1186">
        <v>54</v>
      </c>
      <c r="F1100" s="1186">
        <v>91010</v>
      </c>
    </row>
    <row r="1101" spans="1:6" x14ac:dyDescent="0.2">
      <c r="A1101" s="1186" t="s">
        <v>15</v>
      </c>
      <c r="B1101" s="1186" t="s">
        <v>823</v>
      </c>
      <c r="C1101" s="1186" t="s">
        <v>61</v>
      </c>
      <c r="D1101" s="1186" t="s">
        <v>51</v>
      </c>
      <c r="E1101" s="1186">
        <v>96</v>
      </c>
      <c r="F1101" s="1186">
        <v>90340</v>
      </c>
    </row>
    <row r="1102" spans="1:6" x14ac:dyDescent="0.2">
      <c r="A1102" s="1186" t="s">
        <v>15</v>
      </c>
      <c r="B1102" s="1186" t="s">
        <v>823</v>
      </c>
      <c r="C1102" s="1186" t="s">
        <v>61</v>
      </c>
      <c r="D1102" s="1186" t="s">
        <v>52</v>
      </c>
      <c r="E1102" s="1186">
        <v>179</v>
      </c>
      <c r="F1102" s="1186">
        <v>176010</v>
      </c>
    </row>
    <row r="1103" spans="1:6" x14ac:dyDescent="0.2">
      <c r="A1103" s="1186" t="s">
        <v>15</v>
      </c>
      <c r="B1103" s="1186" t="s">
        <v>823</v>
      </c>
      <c r="C1103" s="1186" t="s">
        <v>116</v>
      </c>
      <c r="D1103" s="1186" t="s">
        <v>23</v>
      </c>
      <c r="E1103" s="1186">
        <v>54</v>
      </c>
      <c r="F1103" s="1186">
        <v>224910</v>
      </c>
    </row>
    <row r="1104" spans="1:6" x14ac:dyDescent="0.2">
      <c r="A1104" s="1186" t="s">
        <v>15</v>
      </c>
      <c r="B1104" s="1186" t="s">
        <v>823</v>
      </c>
      <c r="C1104" s="1186" t="s">
        <v>116</v>
      </c>
      <c r="D1104" s="1186" t="s">
        <v>24</v>
      </c>
      <c r="E1104" s="1186">
        <v>16</v>
      </c>
      <c r="F1104" s="1186">
        <v>255560</v>
      </c>
    </row>
    <row r="1105" spans="1:6" x14ac:dyDescent="0.2">
      <c r="A1105" s="1186" t="s">
        <v>15</v>
      </c>
      <c r="B1105" s="1186" t="s">
        <v>823</v>
      </c>
      <c r="C1105" s="1186" t="s">
        <v>116</v>
      </c>
      <c r="D1105" s="1186" t="s">
        <v>25</v>
      </c>
      <c r="E1105" s="1186">
        <v>7</v>
      </c>
      <c r="F1105" s="1186">
        <v>116220</v>
      </c>
    </row>
    <row r="1106" spans="1:6" x14ac:dyDescent="0.2">
      <c r="A1106" s="1186" t="s">
        <v>15</v>
      </c>
      <c r="B1106" s="1186" t="s">
        <v>823</v>
      </c>
      <c r="C1106" s="1186" t="s">
        <v>116</v>
      </c>
      <c r="D1106" s="1186" t="s">
        <v>26</v>
      </c>
      <c r="E1106" s="1186">
        <v>7</v>
      </c>
      <c r="F1106" s="1186">
        <v>86910</v>
      </c>
    </row>
    <row r="1107" spans="1:6" x14ac:dyDescent="0.2">
      <c r="A1107" s="1186" t="s">
        <v>15</v>
      </c>
      <c r="B1107" s="1186" t="s">
        <v>823</v>
      </c>
      <c r="C1107" s="1186" t="s">
        <v>116</v>
      </c>
      <c r="D1107" s="1186" t="s">
        <v>619</v>
      </c>
      <c r="E1107" s="1186">
        <v>104</v>
      </c>
      <c r="F1107" s="1186">
        <v>482630</v>
      </c>
    </row>
    <row r="1108" spans="1:6" x14ac:dyDescent="0.2">
      <c r="A1108" s="1186" t="s">
        <v>15</v>
      </c>
      <c r="B1108" s="1186" t="s">
        <v>823</v>
      </c>
      <c r="C1108" s="1186" t="s">
        <v>116</v>
      </c>
      <c r="D1108" s="1186" t="s">
        <v>27</v>
      </c>
      <c r="E1108" s="1186">
        <v>6</v>
      </c>
      <c r="F1108" s="1186">
        <v>51280</v>
      </c>
    </row>
    <row r="1109" spans="1:6" x14ac:dyDescent="0.2">
      <c r="A1109" s="1186" t="s">
        <v>15</v>
      </c>
      <c r="B1109" s="1186" t="s">
        <v>823</v>
      </c>
      <c r="C1109" s="1186" t="s">
        <v>116</v>
      </c>
      <c r="D1109" s="1186" t="s">
        <v>28</v>
      </c>
      <c r="E1109" s="1186">
        <v>9</v>
      </c>
      <c r="F1109" s="1186">
        <v>150840</v>
      </c>
    </row>
    <row r="1110" spans="1:6" x14ac:dyDescent="0.2">
      <c r="A1110" s="1186" t="s">
        <v>15</v>
      </c>
      <c r="B1110" s="1186" t="s">
        <v>823</v>
      </c>
      <c r="C1110" s="1186" t="s">
        <v>116</v>
      </c>
      <c r="D1110" s="1186" t="s">
        <v>29</v>
      </c>
      <c r="E1110" s="1186">
        <v>34</v>
      </c>
      <c r="F1110" s="1186">
        <v>147780</v>
      </c>
    </row>
    <row r="1111" spans="1:6" x14ac:dyDescent="0.2">
      <c r="A1111" s="1186" t="s">
        <v>15</v>
      </c>
      <c r="B1111" s="1186" t="s">
        <v>823</v>
      </c>
      <c r="C1111" s="1186" t="s">
        <v>116</v>
      </c>
      <c r="D1111" s="1186" t="s">
        <v>30</v>
      </c>
      <c r="E1111" s="1186">
        <v>9</v>
      </c>
      <c r="F1111" s="1186">
        <v>122730</v>
      </c>
    </row>
    <row r="1112" spans="1:6" x14ac:dyDescent="0.2">
      <c r="A1112" s="1186" t="s">
        <v>15</v>
      </c>
      <c r="B1112" s="1186" t="s">
        <v>823</v>
      </c>
      <c r="C1112" s="1186" t="s">
        <v>116</v>
      </c>
      <c r="D1112" s="1186" t="s">
        <v>31</v>
      </c>
      <c r="E1112" s="1186">
        <v>10</v>
      </c>
      <c r="F1112" s="1186">
        <v>105880</v>
      </c>
    </row>
    <row r="1113" spans="1:6" x14ac:dyDescent="0.2">
      <c r="A1113" s="1186" t="s">
        <v>15</v>
      </c>
      <c r="B1113" s="1186" t="s">
        <v>823</v>
      </c>
      <c r="C1113" s="1186" t="s">
        <v>116</v>
      </c>
      <c r="D1113" s="1186" t="s">
        <v>32</v>
      </c>
      <c r="E1113" s="1186">
        <v>7</v>
      </c>
      <c r="F1113" s="1186">
        <v>100860</v>
      </c>
    </row>
    <row r="1114" spans="1:6" x14ac:dyDescent="0.2">
      <c r="A1114" s="1186" t="s">
        <v>15</v>
      </c>
      <c r="B1114" s="1186" t="s">
        <v>823</v>
      </c>
      <c r="C1114" s="1186" t="s">
        <v>116</v>
      </c>
      <c r="D1114" s="1186" t="s">
        <v>33</v>
      </c>
      <c r="E1114" s="1186">
        <v>15</v>
      </c>
      <c r="F1114" s="1186">
        <v>91040</v>
      </c>
    </row>
    <row r="1115" spans="1:6" x14ac:dyDescent="0.2">
      <c r="A1115" s="1186" t="s">
        <v>15</v>
      </c>
      <c r="B1115" s="1186" t="s">
        <v>823</v>
      </c>
      <c r="C1115" s="1186" t="s">
        <v>116</v>
      </c>
      <c r="D1115" s="1186" t="s">
        <v>34</v>
      </c>
      <c r="E1115" s="1186">
        <v>12</v>
      </c>
      <c r="F1115" s="1186">
        <v>156800</v>
      </c>
    </row>
    <row r="1116" spans="1:6" x14ac:dyDescent="0.2">
      <c r="A1116" s="1186" t="s">
        <v>15</v>
      </c>
      <c r="B1116" s="1186" t="s">
        <v>823</v>
      </c>
      <c r="C1116" s="1186" t="s">
        <v>116</v>
      </c>
      <c r="D1116" s="1186" t="s">
        <v>35</v>
      </c>
      <c r="E1116" s="1186">
        <v>36</v>
      </c>
      <c r="F1116" s="1186">
        <v>366210</v>
      </c>
    </row>
    <row r="1117" spans="1:6" x14ac:dyDescent="0.2">
      <c r="A1117" s="1186" t="s">
        <v>15</v>
      </c>
      <c r="B1117" s="1186" t="s">
        <v>823</v>
      </c>
      <c r="C1117" s="1186" t="s">
        <v>116</v>
      </c>
      <c r="D1117" s="1186" t="s">
        <v>36</v>
      </c>
      <c r="E1117" s="1186">
        <v>198</v>
      </c>
      <c r="F1117" s="1186">
        <v>595070</v>
      </c>
    </row>
    <row r="1118" spans="1:6" x14ac:dyDescent="0.2">
      <c r="A1118" s="1186" t="s">
        <v>15</v>
      </c>
      <c r="B1118" s="1186" t="s">
        <v>823</v>
      </c>
      <c r="C1118" s="1186" t="s">
        <v>116</v>
      </c>
      <c r="D1118" s="1186" t="s">
        <v>37</v>
      </c>
      <c r="E1118" s="1186">
        <v>6</v>
      </c>
      <c r="F1118" s="1186">
        <v>232890</v>
      </c>
    </row>
    <row r="1119" spans="1:6" x14ac:dyDescent="0.2">
      <c r="A1119" s="1186" t="s">
        <v>15</v>
      </c>
      <c r="B1119" s="1186" t="s">
        <v>823</v>
      </c>
      <c r="C1119" s="1186" t="s">
        <v>116</v>
      </c>
      <c r="D1119" s="1186" t="s">
        <v>38</v>
      </c>
      <c r="E1119" s="1186">
        <v>18</v>
      </c>
      <c r="F1119" s="1186">
        <v>80690</v>
      </c>
    </row>
    <row r="1120" spans="1:6" x14ac:dyDescent="0.2">
      <c r="A1120" s="1186" t="s">
        <v>15</v>
      </c>
      <c r="B1120" s="1186" t="s">
        <v>823</v>
      </c>
      <c r="C1120" s="1186" t="s">
        <v>116</v>
      </c>
      <c r="D1120" s="1186" t="s">
        <v>39</v>
      </c>
      <c r="E1120" s="1186">
        <v>6</v>
      </c>
      <c r="F1120" s="1186">
        <v>84240</v>
      </c>
    </row>
    <row r="1121" spans="1:6" x14ac:dyDescent="0.2">
      <c r="A1121" s="1186" t="s">
        <v>15</v>
      </c>
      <c r="B1121" s="1186" t="s">
        <v>823</v>
      </c>
      <c r="C1121" s="1186" t="s">
        <v>116</v>
      </c>
      <c r="D1121" s="1186" t="s">
        <v>40</v>
      </c>
      <c r="E1121" s="1186">
        <v>2</v>
      </c>
      <c r="F1121" s="1186">
        <v>92930</v>
      </c>
    </row>
    <row r="1122" spans="1:6" x14ac:dyDescent="0.2">
      <c r="A1122" s="1186" t="s">
        <v>15</v>
      </c>
      <c r="B1122" s="1186" t="s">
        <v>823</v>
      </c>
      <c r="C1122" s="1186" t="s">
        <v>116</v>
      </c>
      <c r="D1122" s="1186" t="s">
        <v>295</v>
      </c>
      <c r="E1122" s="1186">
        <v>1</v>
      </c>
      <c r="F1122" s="1186">
        <v>27560</v>
      </c>
    </row>
    <row r="1123" spans="1:6" x14ac:dyDescent="0.2">
      <c r="A1123" s="1186" t="s">
        <v>15</v>
      </c>
      <c r="B1123" s="1186" t="s">
        <v>823</v>
      </c>
      <c r="C1123" s="1186" t="s">
        <v>116</v>
      </c>
      <c r="D1123" s="1186" t="s">
        <v>41</v>
      </c>
      <c r="E1123" s="1186">
        <v>12</v>
      </c>
      <c r="F1123" s="1186">
        <v>137570</v>
      </c>
    </row>
    <row r="1124" spans="1:6" x14ac:dyDescent="0.2">
      <c r="A1124" s="1186" t="s">
        <v>15</v>
      </c>
      <c r="B1124" s="1186" t="s">
        <v>823</v>
      </c>
      <c r="C1124" s="1186" t="s">
        <v>116</v>
      </c>
      <c r="D1124" s="1186" t="s">
        <v>42</v>
      </c>
      <c r="E1124" s="1186">
        <v>76</v>
      </c>
      <c r="F1124" s="1186">
        <v>337890</v>
      </c>
    </row>
    <row r="1125" spans="1:6" x14ac:dyDescent="0.2">
      <c r="A1125" s="1186" t="s">
        <v>15</v>
      </c>
      <c r="B1125" s="1186" t="s">
        <v>823</v>
      </c>
      <c r="C1125" s="1186" t="s">
        <v>116</v>
      </c>
      <c r="D1125" s="1186" t="s">
        <v>43</v>
      </c>
      <c r="E1125" s="1186">
        <v>1</v>
      </c>
      <c r="F1125" s="1186">
        <v>21530</v>
      </c>
    </row>
    <row r="1126" spans="1:6" x14ac:dyDescent="0.2">
      <c r="A1126" s="1186" t="s">
        <v>15</v>
      </c>
      <c r="B1126" s="1186" t="s">
        <v>823</v>
      </c>
      <c r="C1126" s="1186" t="s">
        <v>116</v>
      </c>
      <c r="D1126" s="1186" t="s">
        <v>44</v>
      </c>
      <c r="E1126" s="1186">
        <v>7</v>
      </c>
      <c r="F1126" s="1186">
        <v>147740</v>
      </c>
    </row>
    <row r="1127" spans="1:6" x14ac:dyDescent="0.2">
      <c r="A1127" s="1186" t="s">
        <v>15</v>
      </c>
      <c r="B1127" s="1186" t="s">
        <v>823</v>
      </c>
      <c r="C1127" s="1186" t="s">
        <v>116</v>
      </c>
      <c r="D1127" s="1186" t="s">
        <v>45</v>
      </c>
      <c r="E1127" s="1186">
        <v>41</v>
      </c>
      <c r="F1127" s="1186">
        <v>174300</v>
      </c>
    </row>
    <row r="1128" spans="1:6" x14ac:dyDescent="0.2">
      <c r="A1128" s="1186" t="s">
        <v>15</v>
      </c>
      <c r="B1128" s="1186" t="s">
        <v>823</v>
      </c>
      <c r="C1128" s="1186" t="s">
        <v>116</v>
      </c>
      <c r="D1128" s="1186" t="s">
        <v>46</v>
      </c>
      <c r="E1128" s="1186">
        <v>7</v>
      </c>
      <c r="F1128" s="1186">
        <v>113720</v>
      </c>
    </row>
    <row r="1129" spans="1:6" x14ac:dyDescent="0.2">
      <c r="A1129" s="1186" t="s">
        <v>15</v>
      </c>
      <c r="B1129" s="1186" t="s">
        <v>823</v>
      </c>
      <c r="C1129" s="1186" t="s">
        <v>116</v>
      </c>
      <c r="D1129" s="1186" t="s">
        <v>47</v>
      </c>
      <c r="E1129" s="1186">
        <v>1</v>
      </c>
      <c r="F1129" s="1186">
        <v>23210</v>
      </c>
    </row>
    <row r="1130" spans="1:6" x14ac:dyDescent="0.2">
      <c r="A1130" s="1186" t="s">
        <v>15</v>
      </c>
      <c r="B1130" s="1186" t="s">
        <v>823</v>
      </c>
      <c r="C1130" s="1186" t="s">
        <v>116</v>
      </c>
      <c r="D1130" s="1186" t="s">
        <v>48</v>
      </c>
      <c r="E1130" s="1186">
        <v>12</v>
      </c>
      <c r="F1130" s="1186">
        <v>112920</v>
      </c>
    </row>
    <row r="1131" spans="1:6" x14ac:dyDescent="0.2">
      <c r="A1131" s="1186" t="s">
        <v>15</v>
      </c>
      <c r="B1131" s="1186" t="s">
        <v>823</v>
      </c>
      <c r="C1131" s="1186" t="s">
        <v>116</v>
      </c>
      <c r="D1131" s="1186" t="s">
        <v>49</v>
      </c>
      <c r="E1131" s="1186">
        <v>43</v>
      </c>
      <c r="F1131" s="1186">
        <v>314330</v>
      </c>
    </row>
    <row r="1132" spans="1:6" x14ac:dyDescent="0.2">
      <c r="A1132" s="1186" t="s">
        <v>15</v>
      </c>
      <c r="B1132" s="1186" t="s">
        <v>823</v>
      </c>
      <c r="C1132" s="1186" t="s">
        <v>116</v>
      </c>
      <c r="D1132" s="1186" t="s">
        <v>50</v>
      </c>
      <c r="E1132" s="1186">
        <v>3</v>
      </c>
      <c r="F1132" s="1186">
        <v>91010</v>
      </c>
    </row>
    <row r="1133" spans="1:6" x14ac:dyDescent="0.2">
      <c r="A1133" s="1186" t="s">
        <v>15</v>
      </c>
      <c r="B1133" s="1186" t="s">
        <v>823</v>
      </c>
      <c r="C1133" s="1186" t="s">
        <v>116</v>
      </c>
      <c r="D1133" s="1186" t="s">
        <v>51</v>
      </c>
      <c r="E1133" s="1186">
        <v>50</v>
      </c>
      <c r="F1133" s="1186">
        <v>90340</v>
      </c>
    </row>
    <row r="1134" spans="1:6" x14ac:dyDescent="0.2">
      <c r="A1134" s="1186" t="s">
        <v>15</v>
      </c>
      <c r="B1134" s="1186" t="s">
        <v>823</v>
      </c>
      <c r="C1134" s="1186" t="s">
        <v>116</v>
      </c>
      <c r="D1134" s="1186" t="s">
        <v>52</v>
      </c>
      <c r="E1134" s="1186">
        <v>22</v>
      </c>
      <c r="F1134" s="1186">
        <v>176010</v>
      </c>
    </row>
    <row r="1135" spans="1:6" x14ac:dyDescent="0.2">
      <c r="A1135" s="1186" t="s">
        <v>15</v>
      </c>
      <c r="B1135" s="1186" t="s">
        <v>824</v>
      </c>
      <c r="C1135" s="1186" t="s">
        <v>61</v>
      </c>
      <c r="D1135" s="1186" t="s">
        <v>23</v>
      </c>
      <c r="E1135" s="1186">
        <v>106</v>
      </c>
      <c r="F1135" s="1186">
        <v>224910</v>
      </c>
    </row>
    <row r="1136" spans="1:6" x14ac:dyDescent="0.2">
      <c r="A1136" s="1186" t="s">
        <v>15</v>
      </c>
      <c r="B1136" s="1186" t="s">
        <v>824</v>
      </c>
      <c r="C1136" s="1186" t="s">
        <v>61</v>
      </c>
      <c r="D1136" s="1186" t="s">
        <v>24</v>
      </c>
      <c r="E1136" s="1186">
        <v>79</v>
      </c>
      <c r="F1136" s="1186">
        <v>255560</v>
      </c>
    </row>
    <row r="1137" spans="1:6" x14ac:dyDescent="0.2">
      <c r="A1137" s="1186" t="s">
        <v>15</v>
      </c>
      <c r="B1137" s="1186" t="s">
        <v>824</v>
      </c>
      <c r="C1137" s="1186" t="s">
        <v>61</v>
      </c>
      <c r="D1137" s="1186" t="s">
        <v>25</v>
      </c>
      <c r="E1137" s="1186">
        <v>42</v>
      </c>
      <c r="F1137" s="1186">
        <v>116220</v>
      </c>
    </row>
    <row r="1138" spans="1:6" x14ac:dyDescent="0.2">
      <c r="A1138" s="1186" t="s">
        <v>15</v>
      </c>
      <c r="B1138" s="1186" t="s">
        <v>824</v>
      </c>
      <c r="C1138" s="1186" t="s">
        <v>61</v>
      </c>
      <c r="D1138" s="1186" t="s">
        <v>26</v>
      </c>
      <c r="E1138" s="1186">
        <v>41</v>
      </c>
      <c r="F1138" s="1186">
        <v>86910</v>
      </c>
    </row>
    <row r="1139" spans="1:6" x14ac:dyDescent="0.2">
      <c r="A1139" s="1186" t="s">
        <v>15</v>
      </c>
      <c r="B1139" s="1186" t="s">
        <v>824</v>
      </c>
      <c r="C1139" s="1186" t="s">
        <v>61</v>
      </c>
      <c r="D1139" s="1186" t="s">
        <v>619</v>
      </c>
      <c r="E1139" s="1186">
        <v>207</v>
      </c>
      <c r="F1139" s="1186">
        <v>482630</v>
      </c>
    </row>
    <row r="1140" spans="1:6" x14ac:dyDescent="0.2">
      <c r="A1140" s="1186" t="s">
        <v>15</v>
      </c>
      <c r="B1140" s="1186" t="s">
        <v>824</v>
      </c>
      <c r="C1140" s="1186" t="s">
        <v>61</v>
      </c>
      <c r="D1140" s="1186" t="s">
        <v>27</v>
      </c>
      <c r="E1140" s="1186">
        <v>14</v>
      </c>
      <c r="F1140" s="1186">
        <v>51280</v>
      </c>
    </row>
    <row r="1141" spans="1:6" x14ac:dyDescent="0.2">
      <c r="A1141" s="1186" t="s">
        <v>15</v>
      </c>
      <c r="B1141" s="1186" t="s">
        <v>824</v>
      </c>
      <c r="C1141" s="1186" t="s">
        <v>61</v>
      </c>
      <c r="D1141" s="1186" t="s">
        <v>28</v>
      </c>
      <c r="E1141" s="1186">
        <v>51</v>
      </c>
      <c r="F1141" s="1186">
        <v>150840</v>
      </c>
    </row>
    <row r="1142" spans="1:6" x14ac:dyDescent="0.2">
      <c r="A1142" s="1186" t="s">
        <v>15</v>
      </c>
      <c r="B1142" s="1186" t="s">
        <v>824</v>
      </c>
      <c r="C1142" s="1186" t="s">
        <v>61</v>
      </c>
      <c r="D1142" s="1186" t="s">
        <v>29</v>
      </c>
      <c r="E1142" s="1186">
        <v>58</v>
      </c>
      <c r="F1142" s="1186">
        <v>147780</v>
      </c>
    </row>
    <row r="1143" spans="1:6" x14ac:dyDescent="0.2">
      <c r="A1143" s="1186" t="s">
        <v>15</v>
      </c>
      <c r="B1143" s="1186" t="s">
        <v>824</v>
      </c>
      <c r="C1143" s="1186" t="s">
        <v>61</v>
      </c>
      <c r="D1143" s="1186" t="s">
        <v>30</v>
      </c>
      <c r="E1143" s="1186">
        <v>30</v>
      </c>
      <c r="F1143" s="1186">
        <v>122730</v>
      </c>
    </row>
    <row r="1144" spans="1:6" x14ac:dyDescent="0.2">
      <c r="A1144" s="1186" t="s">
        <v>15</v>
      </c>
      <c r="B1144" s="1186" t="s">
        <v>824</v>
      </c>
      <c r="C1144" s="1186" t="s">
        <v>61</v>
      </c>
      <c r="D1144" s="1186" t="s">
        <v>31</v>
      </c>
      <c r="E1144" s="1186">
        <v>25</v>
      </c>
      <c r="F1144" s="1186">
        <v>105880</v>
      </c>
    </row>
    <row r="1145" spans="1:6" x14ac:dyDescent="0.2">
      <c r="A1145" s="1186" t="s">
        <v>15</v>
      </c>
      <c r="B1145" s="1186" t="s">
        <v>824</v>
      </c>
      <c r="C1145" s="1186" t="s">
        <v>61</v>
      </c>
      <c r="D1145" s="1186" t="s">
        <v>32</v>
      </c>
      <c r="E1145" s="1186">
        <v>21</v>
      </c>
      <c r="F1145" s="1186">
        <v>100860</v>
      </c>
    </row>
    <row r="1146" spans="1:6" x14ac:dyDescent="0.2">
      <c r="A1146" s="1186" t="s">
        <v>15</v>
      </c>
      <c r="B1146" s="1186" t="s">
        <v>824</v>
      </c>
      <c r="C1146" s="1186" t="s">
        <v>61</v>
      </c>
      <c r="D1146" s="1186" t="s">
        <v>33</v>
      </c>
      <c r="E1146" s="1186">
        <v>18</v>
      </c>
      <c r="F1146" s="1186">
        <v>91040</v>
      </c>
    </row>
    <row r="1147" spans="1:6" x14ac:dyDescent="0.2">
      <c r="A1147" s="1186" t="s">
        <v>15</v>
      </c>
      <c r="B1147" s="1186" t="s">
        <v>824</v>
      </c>
      <c r="C1147" s="1186" t="s">
        <v>61</v>
      </c>
      <c r="D1147" s="1186" t="s">
        <v>34</v>
      </c>
      <c r="E1147" s="1186">
        <v>27</v>
      </c>
      <c r="F1147" s="1186">
        <v>156800</v>
      </c>
    </row>
    <row r="1148" spans="1:6" x14ac:dyDescent="0.2">
      <c r="A1148" s="1186" t="s">
        <v>15</v>
      </c>
      <c r="B1148" s="1186" t="s">
        <v>824</v>
      </c>
      <c r="C1148" s="1186" t="s">
        <v>61</v>
      </c>
      <c r="D1148" s="1186" t="s">
        <v>35</v>
      </c>
      <c r="E1148" s="1186">
        <v>94</v>
      </c>
      <c r="F1148" s="1186">
        <v>366210</v>
      </c>
    </row>
    <row r="1149" spans="1:6" x14ac:dyDescent="0.2">
      <c r="A1149" s="1186" t="s">
        <v>15</v>
      </c>
      <c r="B1149" s="1186" t="s">
        <v>824</v>
      </c>
      <c r="C1149" s="1186" t="s">
        <v>61</v>
      </c>
      <c r="D1149" s="1186" t="s">
        <v>36</v>
      </c>
      <c r="E1149" s="1186">
        <v>308</v>
      </c>
      <c r="F1149" s="1186">
        <v>595070</v>
      </c>
    </row>
    <row r="1150" spans="1:6" x14ac:dyDescent="0.2">
      <c r="A1150" s="1186" t="s">
        <v>15</v>
      </c>
      <c r="B1150" s="1186" t="s">
        <v>824</v>
      </c>
      <c r="C1150" s="1186" t="s">
        <v>61</v>
      </c>
      <c r="D1150" s="1186" t="s">
        <v>37</v>
      </c>
      <c r="E1150" s="1186">
        <v>78</v>
      </c>
      <c r="F1150" s="1186">
        <v>232890</v>
      </c>
    </row>
    <row r="1151" spans="1:6" x14ac:dyDescent="0.2">
      <c r="A1151" s="1186" t="s">
        <v>15</v>
      </c>
      <c r="B1151" s="1186" t="s">
        <v>824</v>
      </c>
      <c r="C1151" s="1186" t="s">
        <v>61</v>
      </c>
      <c r="D1151" s="1186" t="s">
        <v>38</v>
      </c>
      <c r="E1151" s="1186">
        <v>17</v>
      </c>
      <c r="F1151" s="1186">
        <v>80690</v>
      </c>
    </row>
    <row r="1152" spans="1:6" x14ac:dyDescent="0.2">
      <c r="A1152" s="1186" t="s">
        <v>15</v>
      </c>
      <c r="B1152" s="1186" t="s">
        <v>824</v>
      </c>
      <c r="C1152" s="1186" t="s">
        <v>61</v>
      </c>
      <c r="D1152" s="1186" t="s">
        <v>39</v>
      </c>
      <c r="E1152" s="1186">
        <v>19</v>
      </c>
      <c r="F1152" s="1186">
        <v>84240</v>
      </c>
    </row>
    <row r="1153" spans="1:6" x14ac:dyDescent="0.2">
      <c r="A1153" s="1186" t="s">
        <v>15</v>
      </c>
      <c r="B1153" s="1186" t="s">
        <v>824</v>
      </c>
      <c r="C1153" s="1186" t="s">
        <v>61</v>
      </c>
      <c r="D1153" s="1186" t="s">
        <v>40</v>
      </c>
      <c r="E1153" s="1186">
        <v>30</v>
      </c>
      <c r="F1153" s="1186">
        <v>92930</v>
      </c>
    </row>
    <row r="1154" spans="1:6" x14ac:dyDescent="0.2">
      <c r="A1154" s="1186" t="s">
        <v>15</v>
      </c>
      <c r="B1154" s="1186" t="s">
        <v>824</v>
      </c>
      <c r="C1154" s="1186" t="s">
        <v>61</v>
      </c>
      <c r="D1154" s="1186" t="s">
        <v>295</v>
      </c>
      <c r="E1154" s="1186">
        <v>7</v>
      </c>
      <c r="F1154" s="1186">
        <v>27560</v>
      </c>
    </row>
    <row r="1155" spans="1:6" x14ac:dyDescent="0.2">
      <c r="A1155" s="1186" t="s">
        <v>15</v>
      </c>
      <c r="B1155" s="1186" t="s">
        <v>824</v>
      </c>
      <c r="C1155" s="1186" t="s">
        <v>61</v>
      </c>
      <c r="D1155" s="1186" t="s">
        <v>41</v>
      </c>
      <c r="E1155" s="1186">
        <v>33</v>
      </c>
      <c r="F1155" s="1186">
        <v>137570</v>
      </c>
    </row>
    <row r="1156" spans="1:6" x14ac:dyDescent="0.2">
      <c r="A1156" s="1186" t="s">
        <v>15</v>
      </c>
      <c r="B1156" s="1186" t="s">
        <v>824</v>
      </c>
      <c r="C1156" s="1186" t="s">
        <v>61</v>
      </c>
      <c r="D1156" s="1186" t="s">
        <v>42</v>
      </c>
      <c r="E1156" s="1186">
        <v>65</v>
      </c>
      <c r="F1156" s="1186">
        <v>337890</v>
      </c>
    </row>
    <row r="1157" spans="1:6" x14ac:dyDescent="0.2">
      <c r="A1157" s="1186" t="s">
        <v>15</v>
      </c>
      <c r="B1157" s="1186" t="s">
        <v>824</v>
      </c>
      <c r="C1157" s="1186" t="s">
        <v>61</v>
      </c>
      <c r="D1157" s="1186" t="s">
        <v>43</v>
      </c>
      <c r="E1157" s="1186">
        <v>6</v>
      </c>
      <c r="F1157" s="1186">
        <v>21530</v>
      </c>
    </row>
    <row r="1158" spans="1:6" x14ac:dyDescent="0.2">
      <c r="A1158" s="1186" t="s">
        <v>15</v>
      </c>
      <c r="B1158" s="1186" t="s">
        <v>824</v>
      </c>
      <c r="C1158" s="1186" t="s">
        <v>61</v>
      </c>
      <c r="D1158" s="1186" t="s">
        <v>44</v>
      </c>
      <c r="E1158" s="1186">
        <v>55</v>
      </c>
      <c r="F1158" s="1186">
        <v>147740</v>
      </c>
    </row>
    <row r="1159" spans="1:6" x14ac:dyDescent="0.2">
      <c r="A1159" s="1186" t="s">
        <v>15</v>
      </c>
      <c r="B1159" s="1186" t="s">
        <v>824</v>
      </c>
      <c r="C1159" s="1186" t="s">
        <v>61</v>
      </c>
      <c r="D1159" s="1186" t="s">
        <v>45</v>
      </c>
      <c r="E1159" s="1186">
        <v>50</v>
      </c>
      <c r="F1159" s="1186">
        <v>174300</v>
      </c>
    </row>
    <row r="1160" spans="1:6" x14ac:dyDescent="0.2">
      <c r="A1160" s="1186" t="s">
        <v>15</v>
      </c>
      <c r="B1160" s="1186" t="s">
        <v>824</v>
      </c>
      <c r="C1160" s="1186" t="s">
        <v>61</v>
      </c>
      <c r="D1160" s="1186" t="s">
        <v>46</v>
      </c>
      <c r="E1160" s="1186">
        <v>23</v>
      </c>
      <c r="F1160" s="1186">
        <v>113720</v>
      </c>
    </row>
    <row r="1161" spans="1:6" x14ac:dyDescent="0.2">
      <c r="A1161" s="1186" t="s">
        <v>15</v>
      </c>
      <c r="B1161" s="1186" t="s">
        <v>824</v>
      </c>
      <c r="C1161" s="1186" t="s">
        <v>61</v>
      </c>
      <c r="D1161" s="1186" t="s">
        <v>47</v>
      </c>
      <c r="E1161" s="1186">
        <v>6</v>
      </c>
      <c r="F1161" s="1186">
        <v>23210</v>
      </c>
    </row>
    <row r="1162" spans="1:6" x14ac:dyDescent="0.2">
      <c r="A1162" s="1186" t="s">
        <v>15</v>
      </c>
      <c r="B1162" s="1186" t="s">
        <v>824</v>
      </c>
      <c r="C1162" s="1186" t="s">
        <v>61</v>
      </c>
      <c r="D1162" s="1186" t="s">
        <v>48</v>
      </c>
      <c r="E1162" s="1186">
        <v>40</v>
      </c>
      <c r="F1162" s="1186">
        <v>112920</v>
      </c>
    </row>
    <row r="1163" spans="1:6" x14ac:dyDescent="0.2">
      <c r="A1163" s="1186" t="s">
        <v>15</v>
      </c>
      <c r="B1163" s="1186" t="s">
        <v>824</v>
      </c>
      <c r="C1163" s="1186" t="s">
        <v>61</v>
      </c>
      <c r="D1163" s="1186" t="s">
        <v>49</v>
      </c>
      <c r="E1163" s="1186">
        <v>67</v>
      </c>
      <c r="F1163" s="1186">
        <v>314330</v>
      </c>
    </row>
    <row r="1164" spans="1:6" x14ac:dyDescent="0.2">
      <c r="A1164" s="1186" t="s">
        <v>15</v>
      </c>
      <c r="B1164" s="1186" t="s">
        <v>824</v>
      </c>
      <c r="C1164" s="1186" t="s">
        <v>61</v>
      </c>
      <c r="D1164" s="1186" t="s">
        <v>50</v>
      </c>
      <c r="E1164" s="1186">
        <v>29</v>
      </c>
      <c r="F1164" s="1186">
        <v>91010</v>
      </c>
    </row>
    <row r="1165" spans="1:6" x14ac:dyDescent="0.2">
      <c r="A1165" s="1186" t="s">
        <v>15</v>
      </c>
      <c r="B1165" s="1186" t="s">
        <v>824</v>
      </c>
      <c r="C1165" s="1186" t="s">
        <v>61</v>
      </c>
      <c r="D1165" s="1186" t="s">
        <v>51</v>
      </c>
      <c r="E1165" s="1186">
        <v>26</v>
      </c>
      <c r="F1165" s="1186">
        <v>90340</v>
      </c>
    </row>
    <row r="1166" spans="1:6" x14ac:dyDescent="0.2">
      <c r="A1166" s="1186" t="s">
        <v>15</v>
      </c>
      <c r="B1166" s="1186" t="s">
        <v>824</v>
      </c>
      <c r="C1166" s="1186" t="s">
        <v>61</v>
      </c>
      <c r="D1166" s="1186" t="s">
        <v>52</v>
      </c>
      <c r="E1166" s="1186">
        <v>47</v>
      </c>
      <c r="F1166" s="1186">
        <v>176010</v>
      </c>
    </row>
    <row r="1167" spans="1:6" x14ac:dyDescent="0.2">
      <c r="A1167" s="1186" t="s">
        <v>15</v>
      </c>
      <c r="B1167" s="1186" t="s">
        <v>824</v>
      </c>
      <c r="C1167" s="1186" t="s">
        <v>116</v>
      </c>
      <c r="D1167" s="1186" t="s">
        <v>23</v>
      </c>
      <c r="E1167" s="1186">
        <v>26</v>
      </c>
      <c r="F1167" s="1186">
        <v>224910</v>
      </c>
    </row>
    <row r="1168" spans="1:6" x14ac:dyDescent="0.2">
      <c r="A1168" s="1186" t="s">
        <v>15</v>
      </c>
      <c r="B1168" s="1186" t="s">
        <v>824</v>
      </c>
      <c r="C1168" s="1186" t="s">
        <v>116</v>
      </c>
      <c r="D1168" s="1186" t="s">
        <v>24</v>
      </c>
      <c r="E1168" s="1186">
        <v>10</v>
      </c>
      <c r="F1168" s="1186">
        <v>255560</v>
      </c>
    </row>
    <row r="1169" spans="1:6" x14ac:dyDescent="0.2">
      <c r="A1169" s="1186" t="s">
        <v>15</v>
      </c>
      <c r="B1169" s="1186" t="s">
        <v>824</v>
      </c>
      <c r="C1169" s="1186" t="s">
        <v>116</v>
      </c>
      <c r="D1169" s="1186" t="s">
        <v>25</v>
      </c>
      <c r="E1169" s="1186">
        <v>6</v>
      </c>
      <c r="F1169" s="1186">
        <v>116220</v>
      </c>
    </row>
    <row r="1170" spans="1:6" x14ac:dyDescent="0.2">
      <c r="A1170" s="1186" t="s">
        <v>15</v>
      </c>
      <c r="B1170" s="1186" t="s">
        <v>824</v>
      </c>
      <c r="C1170" s="1186" t="s">
        <v>116</v>
      </c>
      <c r="D1170" s="1186" t="s">
        <v>26</v>
      </c>
      <c r="E1170" s="1186">
        <v>5</v>
      </c>
      <c r="F1170" s="1186">
        <v>86910</v>
      </c>
    </row>
    <row r="1171" spans="1:6" x14ac:dyDescent="0.2">
      <c r="A1171" s="1186" t="s">
        <v>15</v>
      </c>
      <c r="B1171" s="1186" t="s">
        <v>824</v>
      </c>
      <c r="C1171" s="1186" t="s">
        <v>116</v>
      </c>
      <c r="D1171" s="1186" t="s">
        <v>619</v>
      </c>
      <c r="E1171" s="1186">
        <v>50</v>
      </c>
      <c r="F1171" s="1186">
        <v>482630</v>
      </c>
    </row>
    <row r="1172" spans="1:6" x14ac:dyDescent="0.2">
      <c r="A1172" s="1186" t="s">
        <v>15</v>
      </c>
      <c r="B1172" s="1186" t="s">
        <v>824</v>
      </c>
      <c r="C1172" s="1186" t="s">
        <v>116</v>
      </c>
      <c r="D1172" s="1186" t="s">
        <v>27</v>
      </c>
      <c r="E1172" s="1186">
        <v>8</v>
      </c>
      <c r="F1172" s="1186">
        <v>51280</v>
      </c>
    </row>
    <row r="1173" spans="1:6" x14ac:dyDescent="0.2">
      <c r="A1173" s="1186" t="s">
        <v>15</v>
      </c>
      <c r="B1173" s="1186" t="s">
        <v>824</v>
      </c>
      <c r="C1173" s="1186" t="s">
        <v>116</v>
      </c>
      <c r="D1173" s="1186" t="s">
        <v>28</v>
      </c>
      <c r="E1173" s="1186">
        <v>14</v>
      </c>
      <c r="F1173" s="1186">
        <v>150840</v>
      </c>
    </row>
    <row r="1174" spans="1:6" x14ac:dyDescent="0.2">
      <c r="A1174" s="1186" t="s">
        <v>15</v>
      </c>
      <c r="B1174" s="1186" t="s">
        <v>824</v>
      </c>
      <c r="C1174" s="1186" t="s">
        <v>116</v>
      </c>
      <c r="D1174" s="1186" t="s">
        <v>29</v>
      </c>
      <c r="E1174" s="1186">
        <v>16</v>
      </c>
      <c r="F1174" s="1186">
        <v>147780</v>
      </c>
    </row>
    <row r="1175" spans="1:6" x14ac:dyDescent="0.2">
      <c r="A1175" s="1186" t="s">
        <v>15</v>
      </c>
      <c r="B1175" s="1186" t="s">
        <v>824</v>
      </c>
      <c r="C1175" s="1186" t="s">
        <v>116</v>
      </c>
      <c r="D1175" s="1186" t="s">
        <v>30</v>
      </c>
      <c r="E1175" s="1186">
        <v>23</v>
      </c>
      <c r="F1175" s="1186">
        <v>122730</v>
      </c>
    </row>
    <row r="1176" spans="1:6" x14ac:dyDescent="0.2">
      <c r="A1176" s="1186" t="s">
        <v>15</v>
      </c>
      <c r="B1176" s="1186" t="s">
        <v>824</v>
      </c>
      <c r="C1176" s="1186" t="s">
        <v>116</v>
      </c>
      <c r="D1176" s="1186" t="s">
        <v>31</v>
      </c>
      <c r="E1176" s="1186">
        <v>17</v>
      </c>
      <c r="F1176" s="1186">
        <v>105880</v>
      </c>
    </row>
    <row r="1177" spans="1:6" x14ac:dyDescent="0.2">
      <c r="A1177" s="1186" t="s">
        <v>15</v>
      </c>
      <c r="B1177" s="1186" t="s">
        <v>824</v>
      </c>
      <c r="C1177" s="1186" t="s">
        <v>116</v>
      </c>
      <c r="D1177" s="1186" t="s">
        <v>32</v>
      </c>
      <c r="E1177" s="1186">
        <v>15</v>
      </c>
      <c r="F1177" s="1186">
        <v>100860</v>
      </c>
    </row>
    <row r="1178" spans="1:6" x14ac:dyDescent="0.2">
      <c r="A1178" s="1186" t="s">
        <v>15</v>
      </c>
      <c r="B1178" s="1186" t="s">
        <v>824</v>
      </c>
      <c r="C1178" s="1186" t="s">
        <v>116</v>
      </c>
      <c r="D1178" s="1186" t="s">
        <v>33</v>
      </c>
      <c r="E1178" s="1186">
        <v>12</v>
      </c>
      <c r="F1178" s="1186">
        <v>91040</v>
      </c>
    </row>
    <row r="1179" spans="1:6" x14ac:dyDescent="0.2">
      <c r="A1179" s="1186" t="s">
        <v>15</v>
      </c>
      <c r="B1179" s="1186" t="s">
        <v>824</v>
      </c>
      <c r="C1179" s="1186" t="s">
        <v>116</v>
      </c>
      <c r="D1179" s="1186" t="s">
        <v>34</v>
      </c>
      <c r="E1179" s="1186">
        <v>26</v>
      </c>
      <c r="F1179" s="1186">
        <v>156800</v>
      </c>
    </row>
    <row r="1180" spans="1:6" x14ac:dyDescent="0.2">
      <c r="A1180" s="1186" t="s">
        <v>15</v>
      </c>
      <c r="B1180" s="1186" t="s">
        <v>824</v>
      </c>
      <c r="C1180" s="1186" t="s">
        <v>116</v>
      </c>
      <c r="D1180" s="1186" t="s">
        <v>35</v>
      </c>
      <c r="E1180" s="1186">
        <v>38</v>
      </c>
      <c r="F1180" s="1186">
        <v>366210</v>
      </c>
    </row>
    <row r="1181" spans="1:6" x14ac:dyDescent="0.2">
      <c r="A1181" s="1186" t="s">
        <v>15</v>
      </c>
      <c r="B1181" s="1186" t="s">
        <v>824</v>
      </c>
      <c r="C1181" s="1186" t="s">
        <v>116</v>
      </c>
      <c r="D1181" s="1186" t="s">
        <v>36</v>
      </c>
      <c r="E1181" s="1186">
        <v>120</v>
      </c>
      <c r="F1181" s="1186">
        <v>595070</v>
      </c>
    </row>
    <row r="1182" spans="1:6" x14ac:dyDescent="0.2">
      <c r="A1182" s="1186" t="s">
        <v>15</v>
      </c>
      <c r="B1182" s="1186" t="s">
        <v>824</v>
      </c>
      <c r="C1182" s="1186" t="s">
        <v>116</v>
      </c>
      <c r="D1182" s="1186" t="s">
        <v>37</v>
      </c>
      <c r="E1182" s="1186">
        <v>10</v>
      </c>
      <c r="F1182" s="1186">
        <v>232890</v>
      </c>
    </row>
    <row r="1183" spans="1:6" x14ac:dyDescent="0.2">
      <c r="A1183" s="1186" t="s">
        <v>15</v>
      </c>
      <c r="B1183" s="1186" t="s">
        <v>824</v>
      </c>
      <c r="C1183" s="1186" t="s">
        <v>116</v>
      </c>
      <c r="D1183" s="1186" t="s">
        <v>38</v>
      </c>
      <c r="E1183" s="1186">
        <v>10</v>
      </c>
      <c r="F1183" s="1186">
        <v>80690</v>
      </c>
    </row>
    <row r="1184" spans="1:6" x14ac:dyDescent="0.2">
      <c r="A1184" s="1186" t="s">
        <v>15</v>
      </c>
      <c r="B1184" s="1186" t="s">
        <v>824</v>
      </c>
      <c r="C1184" s="1186" t="s">
        <v>116</v>
      </c>
      <c r="D1184" s="1186" t="s">
        <v>39</v>
      </c>
      <c r="E1184" s="1186">
        <v>10</v>
      </c>
      <c r="F1184" s="1186">
        <v>84240</v>
      </c>
    </row>
    <row r="1185" spans="1:6" x14ac:dyDescent="0.2">
      <c r="A1185" s="1186" t="s">
        <v>15</v>
      </c>
      <c r="B1185" s="1186" t="s">
        <v>824</v>
      </c>
      <c r="C1185" s="1186" t="s">
        <v>116</v>
      </c>
      <c r="D1185" s="1186" t="s">
        <v>40</v>
      </c>
      <c r="E1185" s="1186">
        <v>2</v>
      </c>
      <c r="F1185" s="1186">
        <v>92930</v>
      </c>
    </row>
    <row r="1186" spans="1:6" x14ac:dyDescent="0.2">
      <c r="A1186" s="1186" t="s">
        <v>15</v>
      </c>
      <c r="B1186" s="1186" t="s">
        <v>824</v>
      </c>
      <c r="C1186" s="1186" t="s">
        <v>116</v>
      </c>
      <c r="D1186" s="1186" t="s">
        <v>295</v>
      </c>
      <c r="E1186" s="1186">
        <v>2</v>
      </c>
      <c r="F1186" s="1186">
        <v>27560</v>
      </c>
    </row>
    <row r="1187" spans="1:6" x14ac:dyDescent="0.2">
      <c r="A1187" s="1186" t="s">
        <v>15</v>
      </c>
      <c r="B1187" s="1186" t="s">
        <v>824</v>
      </c>
      <c r="C1187" s="1186" t="s">
        <v>116</v>
      </c>
      <c r="D1187" s="1186" t="s">
        <v>41</v>
      </c>
      <c r="E1187" s="1186">
        <v>13</v>
      </c>
      <c r="F1187" s="1186">
        <v>137570</v>
      </c>
    </row>
    <row r="1188" spans="1:6" x14ac:dyDescent="0.2">
      <c r="A1188" s="1186" t="s">
        <v>15</v>
      </c>
      <c r="B1188" s="1186" t="s">
        <v>824</v>
      </c>
      <c r="C1188" s="1186" t="s">
        <v>116</v>
      </c>
      <c r="D1188" s="1186" t="s">
        <v>42</v>
      </c>
      <c r="E1188" s="1186">
        <v>78</v>
      </c>
      <c r="F1188" s="1186">
        <v>337890</v>
      </c>
    </row>
    <row r="1189" spans="1:6" x14ac:dyDescent="0.2">
      <c r="A1189" s="1186" t="s">
        <v>15</v>
      </c>
      <c r="B1189" s="1186" t="s">
        <v>824</v>
      </c>
      <c r="C1189" s="1186" t="s">
        <v>116</v>
      </c>
      <c r="D1189" s="1186" t="s">
        <v>44</v>
      </c>
      <c r="E1189" s="1186">
        <v>13</v>
      </c>
      <c r="F1189" s="1186">
        <v>147740</v>
      </c>
    </row>
    <row r="1190" spans="1:6" x14ac:dyDescent="0.2">
      <c r="A1190" s="1186" t="s">
        <v>15</v>
      </c>
      <c r="B1190" s="1186" t="s">
        <v>824</v>
      </c>
      <c r="C1190" s="1186" t="s">
        <v>116</v>
      </c>
      <c r="D1190" s="1186" t="s">
        <v>45</v>
      </c>
      <c r="E1190" s="1186">
        <v>32</v>
      </c>
      <c r="F1190" s="1186">
        <v>174300</v>
      </c>
    </row>
    <row r="1191" spans="1:6" x14ac:dyDescent="0.2">
      <c r="A1191" s="1186" t="s">
        <v>15</v>
      </c>
      <c r="B1191" s="1186" t="s">
        <v>824</v>
      </c>
      <c r="C1191" s="1186" t="s">
        <v>116</v>
      </c>
      <c r="D1191" s="1186" t="s">
        <v>46</v>
      </c>
      <c r="E1191" s="1186">
        <v>2</v>
      </c>
      <c r="F1191" s="1186">
        <v>113720</v>
      </c>
    </row>
    <row r="1192" spans="1:6" x14ac:dyDescent="0.2">
      <c r="A1192" s="1186" t="s">
        <v>15</v>
      </c>
      <c r="B1192" s="1186" t="s">
        <v>824</v>
      </c>
      <c r="C1192" s="1186" t="s">
        <v>116</v>
      </c>
      <c r="D1192" s="1186" t="s">
        <v>48</v>
      </c>
      <c r="E1192" s="1186">
        <v>11</v>
      </c>
      <c r="F1192" s="1186">
        <v>112920</v>
      </c>
    </row>
    <row r="1193" spans="1:6" x14ac:dyDescent="0.2">
      <c r="A1193" s="1186" t="s">
        <v>15</v>
      </c>
      <c r="B1193" s="1186" t="s">
        <v>824</v>
      </c>
      <c r="C1193" s="1186" t="s">
        <v>116</v>
      </c>
      <c r="D1193" s="1186" t="s">
        <v>49</v>
      </c>
      <c r="E1193" s="1186">
        <v>60</v>
      </c>
      <c r="F1193" s="1186">
        <v>314330</v>
      </c>
    </row>
    <row r="1194" spans="1:6" x14ac:dyDescent="0.2">
      <c r="A1194" s="1186" t="s">
        <v>15</v>
      </c>
      <c r="B1194" s="1186" t="s">
        <v>824</v>
      </c>
      <c r="C1194" s="1186" t="s">
        <v>116</v>
      </c>
      <c r="D1194" s="1186" t="s">
        <v>50</v>
      </c>
      <c r="E1194" s="1186">
        <v>14</v>
      </c>
      <c r="F1194" s="1186">
        <v>91010</v>
      </c>
    </row>
    <row r="1195" spans="1:6" x14ac:dyDescent="0.2">
      <c r="A1195" s="1186" t="s">
        <v>15</v>
      </c>
      <c r="B1195" s="1186" t="s">
        <v>824</v>
      </c>
      <c r="C1195" s="1186" t="s">
        <v>116</v>
      </c>
      <c r="D1195" s="1186" t="s">
        <v>51</v>
      </c>
      <c r="E1195" s="1186">
        <v>18</v>
      </c>
      <c r="F1195" s="1186">
        <v>90340</v>
      </c>
    </row>
    <row r="1196" spans="1:6" x14ac:dyDescent="0.2">
      <c r="A1196" s="1186" t="s">
        <v>15</v>
      </c>
      <c r="B1196" s="1186" t="s">
        <v>824</v>
      </c>
      <c r="C1196" s="1186" t="s">
        <v>116</v>
      </c>
      <c r="D1196" s="1186" t="s">
        <v>52</v>
      </c>
      <c r="E1196" s="1186">
        <v>28</v>
      </c>
      <c r="F1196" s="1186">
        <v>176010</v>
      </c>
    </row>
    <row r="1197" spans="1:6" x14ac:dyDescent="0.2">
      <c r="A1197" s="1186" t="s">
        <v>15</v>
      </c>
      <c r="B1197" s="1186" t="s">
        <v>825</v>
      </c>
      <c r="C1197" s="1186" t="s">
        <v>61</v>
      </c>
      <c r="D1197" s="1186" t="s">
        <v>23</v>
      </c>
      <c r="E1197" s="1186">
        <v>48</v>
      </c>
      <c r="F1197" s="1186">
        <v>224910</v>
      </c>
    </row>
    <row r="1198" spans="1:6" x14ac:dyDescent="0.2">
      <c r="A1198" s="1186" t="s">
        <v>15</v>
      </c>
      <c r="B1198" s="1186" t="s">
        <v>825</v>
      </c>
      <c r="C1198" s="1186" t="s">
        <v>61</v>
      </c>
      <c r="D1198" s="1186" t="s">
        <v>24</v>
      </c>
      <c r="E1198" s="1186">
        <v>82</v>
      </c>
      <c r="F1198" s="1186">
        <v>255560</v>
      </c>
    </row>
    <row r="1199" spans="1:6" x14ac:dyDescent="0.2">
      <c r="A1199" s="1186" t="s">
        <v>15</v>
      </c>
      <c r="B1199" s="1186" t="s">
        <v>825</v>
      </c>
      <c r="C1199" s="1186" t="s">
        <v>61</v>
      </c>
      <c r="D1199" s="1186" t="s">
        <v>25</v>
      </c>
      <c r="E1199" s="1186">
        <v>28</v>
      </c>
      <c r="F1199" s="1186">
        <v>116220</v>
      </c>
    </row>
    <row r="1200" spans="1:6" x14ac:dyDescent="0.2">
      <c r="A1200" s="1186" t="s">
        <v>15</v>
      </c>
      <c r="B1200" s="1186" t="s">
        <v>825</v>
      </c>
      <c r="C1200" s="1186" t="s">
        <v>61</v>
      </c>
      <c r="D1200" s="1186" t="s">
        <v>26</v>
      </c>
      <c r="E1200" s="1186">
        <v>24</v>
      </c>
      <c r="F1200" s="1186">
        <v>86910</v>
      </c>
    </row>
    <row r="1201" spans="1:6" x14ac:dyDescent="0.2">
      <c r="A1201" s="1186" t="s">
        <v>15</v>
      </c>
      <c r="B1201" s="1186" t="s">
        <v>825</v>
      </c>
      <c r="C1201" s="1186" t="s">
        <v>61</v>
      </c>
      <c r="D1201" s="1186" t="s">
        <v>619</v>
      </c>
      <c r="E1201" s="1186">
        <v>78</v>
      </c>
      <c r="F1201" s="1186">
        <v>482630</v>
      </c>
    </row>
    <row r="1202" spans="1:6" x14ac:dyDescent="0.2">
      <c r="A1202" s="1186" t="s">
        <v>15</v>
      </c>
      <c r="B1202" s="1186" t="s">
        <v>825</v>
      </c>
      <c r="C1202" s="1186" t="s">
        <v>61</v>
      </c>
      <c r="D1202" s="1186" t="s">
        <v>27</v>
      </c>
      <c r="E1202" s="1186">
        <v>4</v>
      </c>
      <c r="F1202" s="1186">
        <v>51280</v>
      </c>
    </row>
    <row r="1203" spans="1:6" x14ac:dyDescent="0.2">
      <c r="A1203" s="1186" t="s">
        <v>15</v>
      </c>
      <c r="B1203" s="1186" t="s">
        <v>825</v>
      </c>
      <c r="C1203" s="1186" t="s">
        <v>61</v>
      </c>
      <c r="D1203" s="1186" t="s">
        <v>28</v>
      </c>
      <c r="E1203" s="1186">
        <v>41</v>
      </c>
      <c r="F1203" s="1186">
        <v>150840</v>
      </c>
    </row>
    <row r="1204" spans="1:6" x14ac:dyDescent="0.2">
      <c r="A1204" s="1186" t="s">
        <v>15</v>
      </c>
      <c r="B1204" s="1186" t="s">
        <v>825</v>
      </c>
      <c r="C1204" s="1186" t="s">
        <v>61</v>
      </c>
      <c r="D1204" s="1186" t="s">
        <v>29</v>
      </c>
      <c r="E1204" s="1186">
        <v>26</v>
      </c>
      <c r="F1204" s="1186">
        <v>147780</v>
      </c>
    </row>
    <row r="1205" spans="1:6" x14ac:dyDescent="0.2">
      <c r="A1205" s="1186" t="s">
        <v>15</v>
      </c>
      <c r="B1205" s="1186" t="s">
        <v>825</v>
      </c>
      <c r="C1205" s="1186" t="s">
        <v>61</v>
      </c>
      <c r="D1205" s="1186" t="s">
        <v>30</v>
      </c>
      <c r="E1205" s="1186">
        <v>34</v>
      </c>
      <c r="F1205" s="1186">
        <v>122730</v>
      </c>
    </row>
    <row r="1206" spans="1:6" x14ac:dyDescent="0.2">
      <c r="A1206" s="1186" t="s">
        <v>15</v>
      </c>
      <c r="B1206" s="1186" t="s">
        <v>825</v>
      </c>
      <c r="C1206" s="1186" t="s">
        <v>61</v>
      </c>
      <c r="D1206" s="1186" t="s">
        <v>31</v>
      </c>
      <c r="E1206" s="1186">
        <v>11</v>
      </c>
      <c r="F1206" s="1186">
        <v>105880</v>
      </c>
    </row>
    <row r="1207" spans="1:6" x14ac:dyDescent="0.2">
      <c r="A1207" s="1186" t="s">
        <v>15</v>
      </c>
      <c r="B1207" s="1186" t="s">
        <v>825</v>
      </c>
      <c r="C1207" s="1186" t="s">
        <v>61</v>
      </c>
      <c r="D1207" s="1186" t="s">
        <v>32</v>
      </c>
      <c r="E1207" s="1186">
        <v>21</v>
      </c>
      <c r="F1207" s="1186">
        <v>100860</v>
      </c>
    </row>
    <row r="1208" spans="1:6" x14ac:dyDescent="0.2">
      <c r="A1208" s="1186" t="s">
        <v>15</v>
      </c>
      <c r="B1208" s="1186" t="s">
        <v>825</v>
      </c>
      <c r="C1208" s="1186" t="s">
        <v>61</v>
      </c>
      <c r="D1208" s="1186" t="s">
        <v>33</v>
      </c>
      <c r="E1208" s="1186">
        <v>14</v>
      </c>
      <c r="F1208" s="1186">
        <v>91040</v>
      </c>
    </row>
    <row r="1209" spans="1:6" x14ac:dyDescent="0.2">
      <c r="A1209" s="1186" t="s">
        <v>15</v>
      </c>
      <c r="B1209" s="1186" t="s">
        <v>825</v>
      </c>
      <c r="C1209" s="1186" t="s">
        <v>61</v>
      </c>
      <c r="D1209" s="1186" t="s">
        <v>34</v>
      </c>
      <c r="E1209" s="1186">
        <v>30</v>
      </c>
      <c r="F1209" s="1186">
        <v>156800</v>
      </c>
    </row>
    <row r="1210" spans="1:6" x14ac:dyDescent="0.2">
      <c r="A1210" s="1186" t="s">
        <v>15</v>
      </c>
      <c r="B1210" s="1186" t="s">
        <v>825</v>
      </c>
      <c r="C1210" s="1186" t="s">
        <v>61</v>
      </c>
      <c r="D1210" s="1186" t="s">
        <v>35</v>
      </c>
      <c r="E1210" s="1186">
        <v>83</v>
      </c>
      <c r="F1210" s="1186">
        <v>366210</v>
      </c>
    </row>
    <row r="1211" spans="1:6" x14ac:dyDescent="0.2">
      <c r="A1211" s="1186" t="s">
        <v>15</v>
      </c>
      <c r="B1211" s="1186" t="s">
        <v>825</v>
      </c>
      <c r="C1211" s="1186" t="s">
        <v>61</v>
      </c>
      <c r="D1211" s="1186" t="s">
        <v>36</v>
      </c>
      <c r="E1211" s="1186">
        <v>116</v>
      </c>
      <c r="F1211" s="1186">
        <v>595070</v>
      </c>
    </row>
    <row r="1212" spans="1:6" x14ac:dyDescent="0.2">
      <c r="A1212" s="1186" t="s">
        <v>15</v>
      </c>
      <c r="B1212" s="1186" t="s">
        <v>825</v>
      </c>
      <c r="C1212" s="1186" t="s">
        <v>61</v>
      </c>
      <c r="D1212" s="1186" t="s">
        <v>37</v>
      </c>
      <c r="E1212" s="1186">
        <v>87</v>
      </c>
      <c r="F1212" s="1186">
        <v>232890</v>
      </c>
    </row>
    <row r="1213" spans="1:6" x14ac:dyDescent="0.2">
      <c r="A1213" s="1186" t="s">
        <v>15</v>
      </c>
      <c r="B1213" s="1186" t="s">
        <v>825</v>
      </c>
      <c r="C1213" s="1186" t="s">
        <v>61</v>
      </c>
      <c r="D1213" s="1186" t="s">
        <v>38</v>
      </c>
      <c r="E1213" s="1186">
        <v>21</v>
      </c>
      <c r="F1213" s="1186">
        <v>80690</v>
      </c>
    </row>
    <row r="1214" spans="1:6" x14ac:dyDescent="0.2">
      <c r="A1214" s="1186" t="s">
        <v>15</v>
      </c>
      <c r="B1214" s="1186" t="s">
        <v>825</v>
      </c>
      <c r="C1214" s="1186" t="s">
        <v>61</v>
      </c>
      <c r="D1214" s="1186" t="s">
        <v>39</v>
      </c>
      <c r="E1214" s="1186">
        <v>15</v>
      </c>
      <c r="F1214" s="1186">
        <v>84240</v>
      </c>
    </row>
    <row r="1215" spans="1:6" x14ac:dyDescent="0.2">
      <c r="A1215" s="1186" t="s">
        <v>15</v>
      </c>
      <c r="B1215" s="1186" t="s">
        <v>825</v>
      </c>
      <c r="C1215" s="1186" t="s">
        <v>61</v>
      </c>
      <c r="D1215" s="1186" t="s">
        <v>40</v>
      </c>
      <c r="E1215" s="1186">
        <v>18</v>
      </c>
      <c r="F1215" s="1186">
        <v>92930</v>
      </c>
    </row>
    <row r="1216" spans="1:6" x14ac:dyDescent="0.2">
      <c r="A1216" s="1186" t="s">
        <v>15</v>
      </c>
      <c r="B1216" s="1186" t="s">
        <v>825</v>
      </c>
      <c r="C1216" s="1186" t="s">
        <v>61</v>
      </c>
      <c r="D1216" s="1186" t="s">
        <v>295</v>
      </c>
      <c r="E1216" s="1186">
        <v>13</v>
      </c>
      <c r="F1216" s="1186">
        <v>27560</v>
      </c>
    </row>
    <row r="1217" spans="1:6" x14ac:dyDescent="0.2">
      <c r="A1217" s="1186" t="s">
        <v>15</v>
      </c>
      <c r="B1217" s="1186" t="s">
        <v>825</v>
      </c>
      <c r="C1217" s="1186" t="s">
        <v>61</v>
      </c>
      <c r="D1217" s="1186" t="s">
        <v>41</v>
      </c>
      <c r="E1217" s="1186">
        <v>19</v>
      </c>
      <c r="F1217" s="1186">
        <v>137570</v>
      </c>
    </row>
    <row r="1218" spans="1:6" x14ac:dyDescent="0.2">
      <c r="A1218" s="1186" t="s">
        <v>15</v>
      </c>
      <c r="B1218" s="1186" t="s">
        <v>825</v>
      </c>
      <c r="C1218" s="1186" t="s">
        <v>61</v>
      </c>
      <c r="D1218" s="1186" t="s">
        <v>42</v>
      </c>
      <c r="E1218" s="1186">
        <v>73</v>
      </c>
      <c r="F1218" s="1186">
        <v>337890</v>
      </c>
    </row>
    <row r="1219" spans="1:6" x14ac:dyDescent="0.2">
      <c r="A1219" s="1186" t="s">
        <v>15</v>
      </c>
      <c r="B1219" s="1186" t="s">
        <v>825</v>
      </c>
      <c r="C1219" s="1186" t="s">
        <v>61</v>
      </c>
      <c r="D1219" s="1186" t="s">
        <v>43</v>
      </c>
      <c r="E1219" s="1186">
        <v>12</v>
      </c>
      <c r="F1219" s="1186">
        <v>21530</v>
      </c>
    </row>
    <row r="1220" spans="1:6" x14ac:dyDescent="0.2">
      <c r="A1220" s="1186" t="s">
        <v>15</v>
      </c>
      <c r="B1220" s="1186" t="s">
        <v>825</v>
      </c>
      <c r="C1220" s="1186" t="s">
        <v>61</v>
      </c>
      <c r="D1220" s="1186" t="s">
        <v>44</v>
      </c>
      <c r="E1220" s="1186">
        <v>59</v>
      </c>
      <c r="F1220" s="1186">
        <v>147740</v>
      </c>
    </row>
    <row r="1221" spans="1:6" x14ac:dyDescent="0.2">
      <c r="A1221" s="1186" t="s">
        <v>15</v>
      </c>
      <c r="B1221" s="1186" t="s">
        <v>825</v>
      </c>
      <c r="C1221" s="1186" t="s">
        <v>61</v>
      </c>
      <c r="D1221" s="1186" t="s">
        <v>45</v>
      </c>
      <c r="E1221" s="1186">
        <v>24</v>
      </c>
      <c r="F1221" s="1186">
        <v>174300</v>
      </c>
    </row>
    <row r="1222" spans="1:6" x14ac:dyDescent="0.2">
      <c r="A1222" s="1186" t="s">
        <v>15</v>
      </c>
      <c r="B1222" s="1186" t="s">
        <v>825</v>
      </c>
      <c r="C1222" s="1186" t="s">
        <v>61</v>
      </c>
      <c r="D1222" s="1186" t="s">
        <v>46</v>
      </c>
      <c r="E1222" s="1186">
        <v>35</v>
      </c>
      <c r="F1222" s="1186">
        <v>113720</v>
      </c>
    </row>
    <row r="1223" spans="1:6" x14ac:dyDescent="0.2">
      <c r="A1223" s="1186" t="s">
        <v>15</v>
      </c>
      <c r="B1223" s="1186" t="s">
        <v>825</v>
      </c>
      <c r="C1223" s="1186" t="s">
        <v>61</v>
      </c>
      <c r="D1223" s="1186" t="s">
        <v>47</v>
      </c>
      <c r="E1223" s="1186">
        <v>1</v>
      </c>
      <c r="F1223" s="1186">
        <v>23210</v>
      </c>
    </row>
    <row r="1224" spans="1:6" x14ac:dyDescent="0.2">
      <c r="A1224" s="1186" t="s">
        <v>15</v>
      </c>
      <c r="B1224" s="1186" t="s">
        <v>825</v>
      </c>
      <c r="C1224" s="1186" t="s">
        <v>61</v>
      </c>
      <c r="D1224" s="1186" t="s">
        <v>48</v>
      </c>
      <c r="E1224" s="1186">
        <v>26</v>
      </c>
      <c r="F1224" s="1186">
        <v>112920</v>
      </c>
    </row>
    <row r="1225" spans="1:6" x14ac:dyDescent="0.2">
      <c r="A1225" s="1186" t="s">
        <v>15</v>
      </c>
      <c r="B1225" s="1186" t="s">
        <v>825</v>
      </c>
      <c r="C1225" s="1186" t="s">
        <v>61</v>
      </c>
      <c r="D1225" s="1186" t="s">
        <v>49</v>
      </c>
      <c r="E1225" s="1186">
        <v>90</v>
      </c>
      <c r="F1225" s="1186">
        <v>314330</v>
      </c>
    </row>
    <row r="1226" spans="1:6" x14ac:dyDescent="0.2">
      <c r="A1226" s="1186" t="s">
        <v>15</v>
      </c>
      <c r="B1226" s="1186" t="s">
        <v>825</v>
      </c>
      <c r="C1226" s="1186" t="s">
        <v>61</v>
      </c>
      <c r="D1226" s="1186" t="s">
        <v>50</v>
      </c>
      <c r="E1226" s="1186">
        <v>22</v>
      </c>
      <c r="F1226" s="1186">
        <v>91010</v>
      </c>
    </row>
    <row r="1227" spans="1:6" x14ac:dyDescent="0.2">
      <c r="A1227" s="1186" t="s">
        <v>15</v>
      </c>
      <c r="B1227" s="1186" t="s">
        <v>825</v>
      </c>
      <c r="C1227" s="1186" t="s">
        <v>61</v>
      </c>
      <c r="D1227" s="1186" t="s">
        <v>51</v>
      </c>
      <c r="E1227" s="1186">
        <v>26</v>
      </c>
      <c r="F1227" s="1186">
        <v>90340</v>
      </c>
    </row>
    <row r="1228" spans="1:6" x14ac:dyDescent="0.2">
      <c r="A1228" s="1186" t="s">
        <v>15</v>
      </c>
      <c r="B1228" s="1186" t="s">
        <v>825</v>
      </c>
      <c r="C1228" s="1186" t="s">
        <v>61</v>
      </c>
      <c r="D1228" s="1186" t="s">
        <v>52</v>
      </c>
      <c r="E1228" s="1186">
        <v>39</v>
      </c>
      <c r="F1228" s="1186">
        <v>176010</v>
      </c>
    </row>
    <row r="1229" spans="1:6" x14ac:dyDescent="0.2">
      <c r="A1229" s="1186" t="s">
        <v>15</v>
      </c>
      <c r="B1229" s="1186" t="s">
        <v>825</v>
      </c>
      <c r="C1229" s="1186" t="s">
        <v>116</v>
      </c>
      <c r="D1229" s="1186" t="s">
        <v>23</v>
      </c>
      <c r="E1229" s="1186">
        <v>42</v>
      </c>
      <c r="F1229" s="1186">
        <v>224910</v>
      </c>
    </row>
    <row r="1230" spans="1:6" x14ac:dyDescent="0.2">
      <c r="A1230" s="1186" t="s">
        <v>15</v>
      </c>
      <c r="B1230" s="1186" t="s">
        <v>825</v>
      </c>
      <c r="C1230" s="1186" t="s">
        <v>116</v>
      </c>
      <c r="D1230" s="1186" t="s">
        <v>24</v>
      </c>
      <c r="E1230" s="1186">
        <v>21</v>
      </c>
      <c r="F1230" s="1186">
        <v>255560</v>
      </c>
    </row>
    <row r="1231" spans="1:6" x14ac:dyDescent="0.2">
      <c r="A1231" s="1186" t="s">
        <v>15</v>
      </c>
      <c r="B1231" s="1186" t="s">
        <v>825</v>
      </c>
      <c r="C1231" s="1186" t="s">
        <v>116</v>
      </c>
      <c r="D1231" s="1186" t="s">
        <v>25</v>
      </c>
      <c r="E1231" s="1186">
        <v>9</v>
      </c>
      <c r="F1231" s="1186">
        <v>116220</v>
      </c>
    </row>
    <row r="1232" spans="1:6" x14ac:dyDescent="0.2">
      <c r="A1232" s="1186" t="s">
        <v>15</v>
      </c>
      <c r="B1232" s="1186" t="s">
        <v>825</v>
      </c>
      <c r="C1232" s="1186" t="s">
        <v>116</v>
      </c>
      <c r="D1232" s="1186" t="s">
        <v>26</v>
      </c>
      <c r="E1232" s="1186">
        <v>7</v>
      </c>
      <c r="F1232" s="1186">
        <v>86910</v>
      </c>
    </row>
    <row r="1233" spans="1:6" x14ac:dyDescent="0.2">
      <c r="A1233" s="1186" t="s">
        <v>15</v>
      </c>
      <c r="B1233" s="1186" t="s">
        <v>825</v>
      </c>
      <c r="C1233" s="1186" t="s">
        <v>116</v>
      </c>
      <c r="D1233" s="1186" t="s">
        <v>619</v>
      </c>
      <c r="E1233" s="1186">
        <v>63</v>
      </c>
      <c r="F1233" s="1186">
        <v>482630</v>
      </c>
    </row>
    <row r="1234" spans="1:6" x14ac:dyDescent="0.2">
      <c r="A1234" s="1186" t="s">
        <v>15</v>
      </c>
      <c r="B1234" s="1186" t="s">
        <v>825</v>
      </c>
      <c r="C1234" s="1186" t="s">
        <v>116</v>
      </c>
      <c r="D1234" s="1186" t="s">
        <v>27</v>
      </c>
      <c r="E1234" s="1186">
        <v>4</v>
      </c>
      <c r="F1234" s="1186">
        <v>51280</v>
      </c>
    </row>
    <row r="1235" spans="1:6" x14ac:dyDescent="0.2">
      <c r="A1235" s="1186" t="s">
        <v>15</v>
      </c>
      <c r="B1235" s="1186" t="s">
        <v>825</v>
      </c>
      <c r="C1235" s="1186" t="s">
        <v>116</v>
      </c>
      <c r="D1235" s="1186" t="s">
        <v>28</v>
      </c>
      <c r="E1235" s="1186">
        <v>14</v>
      </c>
      <c r="F1235" s="1186">
        <v>150840</v>
      </c>
    </row>
    <row r="1236" spans="1:6" x14ac:dyDescent="0.2">
      <c r="A1236" s="1186" t="s">
        <v>15</v>
      </c>
      <c r="B1236" s="1186" t="s">
        <v>825</v>
      </c>
      <c r="C1236" s="1186" t="s">
        <v>116</v>
      </c>
      <c r="D1236" s="1186" t="s">
        <v>29</v>
      </c>
      <c r="E1236" s="1186">
        <v>12</v>
      </c>
      <c r="F1236" s="1186">
        <v>147780</v>
      </c>
    </row>
    <row r="1237" spans="1:6" x14ac:dyDescent="0.2">
      <c r="A1237" s="1186" t="s">
        <v>15</v>
      </c>
      <c r="B1237" s="1186" t="s">
        <v>825</v>
      </c>
      <c r="C1237" s="1186" t="s">
        <v>116</v>
      </c>
      <c r="D1237" s="1186" t="s">
        <v>30</v>
      </c>
      <c r="E1237" s="1186">
        <v>17</v>
      </c>
      <c r="F1237" s="1186">
        <v>122730</v>
      </c>
    </row>
    <row r="1238" spans="1:6" x14ac:dyDescent="0.2">
      <c r="A1238" s="1186" t="s">
        <v>15</v>
      </c>
      <c r="B1238" s="1186" t="s">
        <v>825</v>
      </c>
      <c r="C1238" s="1186" t="s">
        <v>116</v>
      </c>
      <c r="D1238" s="1186" t="s">
        <v>31</v>
      </c>
      <c r="E1238" s="1186">
        <v>25</v>
      </c>
      <c r="F1238" s="1186">
        <v>105880</v>
      </c>
    </row>
    <row r="1239" spans="1:6" x14ac:dyDescent="0.2">
      <c r="A1239" s="1186" t="s">
        <v>15</v>
      </c>
      <c r="B1239" s="1186" t="s">
        <v>825</v>
      </c>
      <c r="C1239" s="1186" t="s">
        <v>116</v>
      </c>
      <c r="D1239" s="1186" t="s">
        <v>32</v>
      </c>
      <c r="E1239" s="1186">
        <v>10</v>
      </c>
      <c r="F1239" s="1186">
        <v>100860</v>
      </c>
    </row>
    <row r="1240" spans="1:6" x14ac:dyDescent="0.2">
      <c r="A1240" s="1186" t="s">
        <v>15</v>
      </c>
      <c r="B1240" s="1186" t="s">
        <v>825</v>
      </c>
      <c r="C1240" s="1186" t="s">
        <v>116</v>
      </c>
      <c r="D1240" s="1186" t="s">
        <v>33</v>
      </c>
      <c r="E1240" s="1186">
        <v>10</v>
      </c>
      <c r="F1240" s="1186">
        <v>91040</v>
      </c>
    </row>
    <row r="1241" spans="1:6" x14ac:dyDescent="0.2">
      <c r="A1241" s="1186" t="s">
        <v>15</v>
      </c>
      <c r="B1241" s="1186" t="s">
        <v>825</v>
      </c>
      <c r="C1241" s="1186" t="s">
        <v>116</v>
      </c>
      <c r="D1241" s="1186" t="s">
        <v>34</v>
      </c>
      <c r="E1241" s="1186">
        <v>17</v>
      </c>
      <c r="F1241" s="1186">
        <v>156800</v>
      </c>
    </row>
    <row r="1242" spans="1:6" x14ac:dyDescent="0.2">
      <c r="A1242" s="1186" t="s">
        <v>15</v>
      </c>
      <c r="B1242" s="1186" t="s">
        <v>825</v>
      </c>
      <c r="C1242" s="1186" t="s">
        <v>116</v>
      </c>
      <c r="D1242" s="1186" t="s">
        <v>35</v>
      </c>
      <c r="E1242" s="1186">
        <v>45</v>
      </c>
      <c r="F1242" s="1186">
        <v>366210</v>
      </c>
    </row>
    <row r="1243" spans="1:6" x14ac:dyDescent="0.2">
      <c r="A1243" s="1186" t="s">
        <v>15</v>
      </c>
      <c r="B1243" s="1186" t="s">
        <v>825</v>
      </c>
      <c r="C1243" s="1186" t="s">
        <v>116</v>
      </c>
      <c r="D1243" s="1186" t="s">
        <v>36</v>
      </c>
      <c r="E1243" s="1186">
        <v>190</v>
      </c>
      <c r="F1243" s="1186">
        <v>595070</v>
      </c>
    </row>
    <row r="1244" spans="1:6" x14ac:dyDescent="0.2">
      <c r="A1244" s="1186" t="s">
        <v>15</v>
      </c>
      <c r="B1244" s="1186" t="s">
        <v>825</v>
      </c>
      <c r="C1244" s="1186" t="s">
        <v>116</v>
      </c>
      <c r="D1244" s="1186" t="s">
        <v>37</v>
      </c>
      <c r="E1244" s="1186">
        <v>4</v>
      </c>
      <c r="F1244" s="1186">
        <v>232890</v>
      </c>
    </row>
    <row r="1245" spans="1:6" x14ac:dyDescent="0.2">
      <c r="A1245" s="1186" t="s">
        <v>15</v>
      </c>
      <c r="B1245" s="1186" t="s">
        <v>825</v>
      </c>
      <c r="C1245" s="1186" t="s">
        <v>116</v>
      </c>
      <c r="D1245" s="1186" t="s">
        <v>38</v>
      </c>
      <c r="E1245" s="1186">
        <v>22</v>
      </c>
      <c r="F1245" s="1186">
        <v>80690</v>
      </c>
    </row>
    <row r="1246" spans="1:6" x14ac:dyDescent="0.2">
      <c r="A1246" s="1186" t="s">
        <v>15</v>
      </c>
      <c r="B1246" s="1186" t="s">
        <v>825</v>
      </c>
      <c r="C1246" s="1186" t="s">
        <v>116</v>
      </c>
      <c r="D1246" s="1186" t="s">
        <v>39</v>
      </c>
      <c r="E1246" s="1186">
        <v>9</v>
      </c>
      <c r="F1246" s="1186">
        <v>84240</v>
      </c>
    </row>
    <row r="1247" spans="1:6" x14ac:dyDescent="0.2">
      <c r="A1247" s="1186" t="s">
        <v>15</v>
      </c>
      <c r="B1247" s="1186" t="s">
        <v>825</v>
      </c>
      <c r="C1247" s="1186" t="s">
        <v>116</v>
      </c>
      <c r="D1247" s="1186" t="s">
        <v>40</v>
      </c>
      <c r="E1247" s="1186">
        <v>4</v>
      </c>
      <c r="F1247" s="1186">
        <v>92930</v>
      </c>
    </row>
    <row r="1248" spans="1:6" x14ac:dyDescent="0.2">
      <c r="A1248" s="1186" t="s">
        <v>15</v>
      </c>
      <c r="B1248" s="1186" t="s">
        <v>825</v>
      </c>
      <c r="C1248" s="1186" t="s">
        <v>116</v>
      </c>
      <c r="D1248" s="1186" t="s">
        <v>295</v>
      </c>
      <c r="E1248" s="1186">
        <v>3</v>
      </c>
      <c r="F1248" s="1186">
        <v>27560</v>
      </c>
    </row>
    <row r="1249" spans="1:6" x14ac:dyDescent="0.2">
      <c r="A1249" s="1186" t="s">
        <v>15</v>
      </c>
      <c r="B1249" s="1186" t="s">
        <v>825</v>
      </c>
      <c r="C1249" s="1186" t="s">
        <v>116</v>
      </c>
      <c r="D1249" s="1186" t="s">
        <v>41</v>
      </c>
      <c r="E1249" s="1186">
        <v>21</v>
      </c>
      <c r="F1249" s="1186">
        <v>137570</v>
      </c>
    </row>
    <row r="1250" spans="1:6" x14ac:dyDescent="0.2">
      <c r="A1250" s="1186" t="s">
        <v>15</v>
      </c>
      <c r="B1250" s="1186" t="s">
        <v>825</v>
      </c>
      <c r="C1250" s="1186" t="s">
        <v>116</v>
      </c>
      <c r="D1250" s="1186" t="s">
        <v>42</v>
      </c>
      <c r="E1250" s="1186">
        <v>87</v>
      </c>
      <c r="F1250" s="1186">
        <v>337890</v>
      </c>
    </row>
    <row r="1251" spans="1:6" x14ac:dyDescent="0.2">
      <c r="A1251" s="1186" t="s">
        <v>15</v>
      </c>
      <c r="B1251" s="1186" t="s">
        <v>825</v>
      </c>
      <c r="C1251" s="1186" t="s">
        <v>116</v>
      </c>
      <c r="D1251" s="1186" t="s">
        <v>44</v>
      </c>
      <c r="E1251" s="1186">
        <v>5</v>
      </c>
      <c r="F1251" s="1186">
        <v>147740</v>
      </c>
    </row>
    <row r="1252" spans="1:6" x14ac:dyDescent="0.2">
      <c r="A1252" s="1186" t="s">
        <v>15</v>
      </c>
      <c r="B1252" s="1186" t="s">
        <v>825</v>
      </c>
      <c r="C1252" s="1186" t="s">
        <v>116</v>
      </c>
      <c r="D1252" s="1186" t="s">
        <v>45</v>
      </c>
      <c r="E1252" s="1186">
        <v>38</v>
      </c>
      <c r="F1252" s="1186">
        <v>174300</v>
      </c>
    </row>
    <row r="1253" spans="1:6" x14ac:dyDescent="0.2">
      <c r="A1253" s="1186" t="s">
        <v>15</v>
      </c>
      <c r="B1253" s="1186" t="s">
        <v>825</v>
      </c>
      <c r="C1253" s="1186" t="s">
        <v>116</v>
      </c>
      <c r="D1253" s="1186" t="s">
        <v>46</v>
      </c>
      <c r="E1253" s="1186">
        <v>6</v>
      </c>
      <c r="F1253" s="1186">
        <v>113720</v>
      </c>
    </row>
    <row r="1254" spans="1:6" x14ac:dyDescent="0.2">
      <c r="A1254" s="1186" t="s">
        <v>15</v>
      </c>
      <c r="B1254" s="1186" t="s">
        <v>825</v>
      </c>
      <c r="C1254" s="1186" t="s">
        <v>116</v>
      </c>
      <c r="D1254" s="1186" t="s">
        <v>48</v>
      </c>
      <c r="E1254" s="1186">
        <v>9</v>
      </c>
      <c r="F1254" s="1186">
        <v>112920</v>
      </c>
    </row>
    <row r="1255" spans="1:6" x14ac:dyDescent="0.2">
      <c r="A1255" s="1186" t="s">
        <v>15</v>
      </c>
      <c r="B1255" s="1186" t="s">
        <v>825</v>
      </c>
      <c r="C1255" s="1186" t="s">
        <v>116</v>
      </c>
      <c r="D1255" s="1186" t="s">
        <v>49</v>
      </c>
      <c r="E1255" s="1186">
        <v>57</v>
      </c>
      <c r="F1255" s="1186">
        <v>314330</v>
      </c>
    </row>
    <row r="1256" spans="1:6" x14ac:dyDescent="0.2">
      <c r="A1256" s="1186" t="s">
        <v>15</v>
      </c>
      <c r="B1256" s="1186" t="s">
        <v>825</v>
      </c>
      <c r="C1256" s="1186" t="s">
        <v>116</v>
      </c>
      <c r="D1256" s="1186" t="s">
        <v>50</v>
      </c>
      <c r="E1256" s="1186">
        <v>5</v>
      </c>
      <c r="F1256" s="1186">
        <v>91010</v>
      </c>
    </row>
    <row r="1257" spans="1:6" x14ac:dyDescent="0.2">
      <c r="A1257" s="1186" t="s">
        <v>15</v>
      </c>
      <c r="B1257" s="1186" t="s">
        <v>825</v>
      </c>
      <c r="C1257" s="1186" t="s">
        <v>116</v>
      </c>
      <c r="D1257" s="1186" t="s">
        <v>51</v>
      </c>
      <c r="E1257" s="1186">
        <v>39</v>
      </c>
      <c r="F1257" s="1186">
        <v>90340</v>
      </c>
    </row>
    <row r="1258" spans="1:6" x14ac:dyDescent="0.2">
      <c r="A1258" s="1186" t="s">
        <v>15</v>
      </c>
      <c r="B1258" s="1186" t="s">
        <v>825</v>
      </c>
      <c r="C1258" s="1186" t="s">
        <v>116</v>
      </c>
      <c r="D1258" s="1186" t="s">
        <v>52</v>
      </c>
      <c r="E1258" s="1186">
        <v>19</v>
      </c>
      <c r="F1258" s="1186">
        <v>176010</v>
      </c>
    </row>
    <row r="1259" spans="1:6" x14ac:dyDescent="0.2">
      <c r="A1259" s="1186" t="s">
        <v>15</v>
      </c>
      <c r="B1259" s="1186" t="s">
        <v>826</v>
      </c>
      <c r="C1259" s="1186" t="s">
        <v>61</v>
      </c>
      <c r="D1259" s="1186" t="s">
        <v>23</v>
      </c>
      <c r="E1259" s="1186">
        <v>5</v>
      </c>
      <c r="F1259" s="1186">
        <v>224910</v>
      </c>
    </row>
    <row r="1260" spans="1:6" x14ac:dyDescent="0.2">
      <c r="A1260" s="1186" t="s">
        <v>15</v>
      </c>
      <c r="B1260" s="1186" t="s">
        <v>826</v>
      </c>
      <c r="C1260" s="1186" t="s">
        <v>61</v>
      </c>
      <c r="D1260" s="1186" t="s">
        <v>24</v>
      </c>
      <c r="E1260" s="1186">
        <v>30</v>
      </c>
      <c r="F1260" s="1186">
        <v>255560</v>
      </c>
    </row>
    <row r="1261" spans="1:6" x14ac:dyDescent="0.2">
      <c r="A1261" s="1186" t="s">
        <v>15</v>
      </c>
      <c r="B1261" s="1186" t="s">
        <v>826</v>
      </c>
      <c r="C1261" s="1186" t="s">
        <v>61</v>
      </c>
      <c r="D1261" s="1186" t="s">
        <v>25</v>
      </c>
      <c r="E1261" s="1186">
        <v>8</v>
      </c>
      <c r="F1261" s="1186">
        <v>116220</v>
      </c>
    </row>
    <row r="1262" spans="1:6" x14ac:dyDescent="0.2">
      <c r="A1262" s="1186" t="s">
        <v>15</v>
      </c>
      <c r="B1262" s="1186" t="s">
        <v>826</v>
      </c>
      <c r="C1262" s="1186" t="s">
        <v>61</v>
      </c>
      <c r="D1262" s="1186" t="s">
        <v>26</v>
      </c>
      <c r="E1262" s="1186">
        <v>16</v>
      </c>
      <c r="F1262" s="1186">
        <v>86910</v>
      </c>
    </row>
    <row r="1263" spans="1:6" x14ac:dyDescent="0.2">
      <c r="A1263" s="1186" t="s">
        <v>15</v>
      </c>
      <c r="B1263" s="1186" t="s">
        <v>826</v>
      </c>
      <c r="C1263" s="1186" t="s">
        <v>61</v>
      </c>
      <c r="D1263" s="1186" t="s">
        <v>619</v>
      </c>
      <c r="E1263" s="1186">
        <v>19</v>
      </c>
      <c r="F1263" s="1186">
        <v>482630</v>
      </c>
    </row>
    <row r="1264" spans="1:6" x14ac:dyDescent="0.2">
      <c r="A1264" s="1186" t="s">
        <v>15</v>
      </c>
      <c r="B1264" s="1186" t="s">
        <v>826</v>
      </c>
      <c r="C1264" s="1186" t="s">
        <v>61</v>
      </c>
      <c r="D1264" s="1186" t="s">
        <v>27</v>
      </c>
      <c r="E1264" s="1186">
        <v>2</v>
      </c>
      <c r="F1264" s="1186">
        <v>51280</v>
      </c>
    </row>
    <row r="1265" spans="1:6" x14ac:dyDescent="0.2">
      <c r="A1265" s="1186" t="s">
        <v>15</v>
      </c>
      <c r="B1265" s="1186" t="s">
        <v>826</v>
      </c>
      <c r="C1265" s="1186" t="s">
        <v>61</v>
      </c>
      <c r="D1265" s="1186" t="s">
        <v>28</v>
      </c>
      <c r="E1265" s="1186">
        <v>10</v>
      </c>
      <c r="F1265" s="1186">
        <v>150840</v>
      </c>
    </row>
    <row r="1266" spans="1:6" x14ac:dyDescent="0.2">
      <c r="A1266" s="1186" t="s">
        <v>15</v>
      </c>
      <c r="B1266" s="1186" t="s">
        <v>826</v>
      </c>
      <c r="C1266" s="1186" t="s">
        <v>61</v>
      </c>
      <c r="D1266" s="1186" t="s">
        <v>29</v>
      </c>
      <c r="E1266" s="1186">
        <v>4</v>
      </c>
      <c r="F1266" s="1186">
        <v>147780</v>
      </c>
    </row>
    <row r="1267" spans="1:6" x14ac:dyDescent="0.2">
      <c r="A1267" s="1186" t="s">
        <v>15</v>
      </c>
      <c r="B1267" s="1186" t="s">
        <v>826</v>
      </c>
      <c r="C1267" s="1186" t="s">
        <v>61</v>
      </c>
      <c r="D1267" s="1186" t="s">
        <v>30</v>
      </c>
      <c r="E1267" s="1186">
        <v>5</v>
      </c>
      <c r="F1267" s="1186">
        <v>122730</v>
      </c>
    </row>
    <row r="1268" spans="1:6" x14ac:dyDescent="0.2">
      <c r="A1268" s="1186" t="s">
        <v>15</v>
      </c>
      <c r="B1268" s="1186" t="s">
        <v>826</v>
      </c>
      <c r="C1268" s="1186" t="s">
        <v>61</v>
      </c>
      <c r="D1268" s="1186" t="s">
        <v>31</v>
      </c>
      <c r="E1268" s="1186">
        <v>1</v>
      </c>
      <c r="F1268" s="1186">
        <v>105880</v>
      </c>
    </row>
    <row r="1269" spans="1:6" x14ac:dyDescent="0.2">
      <c r="A1269" s="1186" t="s">
        <v>15</v>
      </c>
      <c r="B1269" s="1186" t="s">
        <v>826</v>
      </c>
      <c r="C1269" s="1186" t="s">
        <v>61</v>
      </c>
      <c r="D1269" s="1186" t="s">
        <v>32</v>
      </c>
      <c r="E1269" s="1186">
        <v>4</v>
      </c>
      <c r="F1269" s="1186">
        <v>100860</v>
      </c>
    </row>
    <row r="1270" spans="1:6" x14ac:dyDescent="0.2">
      <c r="A1270" s="1186" t="s">
        <v>15</v>
      </c>
      <c r="B1270" s="1186" t="s">
        <v>826</v>
      </c>
      <c r="C1270" s="1186" t="s">
        <v>61</v>
      </c>
      <c r="D1270" s="1186" t="s">
        <v>33</v>
      </c>
      <c r="E1270" s="1186">
        <v>3</v>
      </c>
      <c r="F1270" s="1186">
        <v>91040</v>
      </c>
    </row>
    <row r="1271" spans="1:6" x14ac:dyDescent="0.2">
      <c r="A1271" s="1186" t="s">
        <v>15</v>
      </c>
      <c r="B1271" s="1186" t="s">
        <v>826</v>
      </c>
      <c r="C1271" s="1186" t="s">
        <v>61</v>
      </c>
      <c r="D1271" s="1186" t="s">
        <v>34</v>
      </c>
      <c r="E1271" s="1186">
        <v>4</v>
      </c>
      <c r="F1271" s="1186">
        <v>156800</v>
      </c>
    </row>
    <row r="1272" spans="1:6" x14ac:dyDescent="0.2">
      <c r="A1272" s="1186" t="s">
        <v>15</v>
      </c>
      <c r="B1272" s="1186" t="s">
        <v>826</v>
      </c>
      <c r="C1272" s="1186" t="s">
        <v>61</v>
      </c>
      <c r="D1272" s="1186" t="s">
        <v>35</v>
      </c>
      <c r="E1272" s="1186">
        <v>31</v>
      </c>
      <c r="F1272" s="1186">
        <v>366210</v>
      </c>
    </row>
    <row r="1273" spans="1:6" x14ac:dyDescent="0.2">
      <c r="A1273" s="1186" t="s">
        <v>15</v>
      </c>
      <c r="B1273" s="1186" t="s">
        <v>826</v>
      </c>
      <c r="C1273" s="1186" t="s">
        <v>61</v>
      </c>
      <c r="D1273" s="1186" t="s">
        <v>36</v>
      </c>
      <c r="E1273" s="1186">
        <v>24</v>
      </c>
      <c r="F1273" s="1186">
        <v>595070</v>
      </c>
    </row>
    <row r="1274" spans="1:6" x14ac:dyDescent="0.2">
      <c r="A1274" s="1186" t="s">
        <v>15</v>
      </c>
      <c r="B1274" s="1186" t="s">
        <v>826</v>
      </c>
      <c r="C1274" s="1186" t="s">
        <v>61</v>
      </c>
      <c r="D1274" s="1186" t="s">
        <v>37</v>
      </c>
      <c r="E1274" s="1186">
        <v>37</v>
      </c>
      <c r="F1274" s="1186">
        <v>232890</v>
      </c>
    </row>
    <row r="1275" spans="1:6" x14ac:dyDescent="0.2">
      <c r="A1275" s="1186" t="s">
        <v>15</v>
      </c>
      <c r="B1275" s="1186" t="s">
        <v>826</v>
      </c>
      <c r="C1275" s="1186" t="s">
        <v>61</v>
      </c>
      <c r="D1275" s="1186" t="s">
        <v>38</v>
      </c>
      <c r="E1275" s="1186">
        <v>3</v>
      </c>
      <c r="F1275" s="1186">
        <v>80690</v>
      </c>
    </row>
    <row r="1276" spans="1:6" x14ac:dyDescent="0.2">
      <c r="A1276" s="1186" t="s">
        <v>15</v>
      </c>
      <c r="B1276" s="1186" t="s">
        <v>826</v>
      </c>
      <c r="C1276" s="1186" t="s">
        <v>61</v>
      </c>
      <c r="D1276" s="1186" t="s">
        <v>39</v>
      </c>
      <c r="E1276" s="1186">
        <v>4</v>
      </c>
      <c r="F1276" s="1186">
        <v>84240</v>
      </c>
    </row>
    <row r="1277" spans="1:6" x14ac:dyDescent="0.2">
      <c r="A1277" s="1186" t="s">
        <v>15</v>
      </c>
      <c r="B1277" s="1186" t="s">
        <v>826</v>
      </c>
      <c r="C1277" s="1186" t="s">
        <v>61</v>
      </c>
      <c r="D1277" s="1186" t="s">
        <v>40</v>
      </c>
      <c r="E1277" s="1186">
        <v>6</v>
      </c>
      <c r="F1277" s="1186">
        <v>92930</v>
      </c>
    </row>
    <row r="1278" spans="1:6" x14ac:dyDescent="0.2">
      <c r="A1278" s="1186" t="s">
        <v>15</v>
      </c>
      <c r="B1278" s="1186" t="s">
        <v>826</v>
      </c>
      <c r="C1278" s="1186" t="s">
        <v>61</v>
      </c>
      <c r="D1278" s="1186" t="s">
        <v>295</v>
      </c>
      <c r="E1278" s="1186">
        <v>14</v>
      </c>
      <c r="F1278" s="1186">
        <v>27560</v>
      </c>
    </row>
    <row r="1279" spans="1:6" x14ac:dyDescent="0.2">
      <c r="A1279" s="1186" t="s">
        <v>15</v>
      </c>
      <c r="B1279" s="1186" t="s">
        <v>826</v>
      </c>
      <c r="C1279" s="1186" t="s">
        <v>61</v>
      </c>
      <c r="D1279" s="1186" t="s">
        <v>41</v>
      </c>
      <c r="E1279" s="1186">
        <v>9</v>
      </c>
      <c r="F1279" s="1186">
        <v>137570</v>
      </c>
    </row>
    <row r="1280" spans="1:6" x14ac:dyDescent="0.2">
      <c r="A1280" s="1186" t="s">
        <v>15</v>
      </c>
      <c r="B1280" s="1186" t="s">
        <v>826</v>
      </c>
      <c r="C1280" s="1186" t="s">
        <v>61</v>
      </c>
      <c r="D1280" s="1186" t="s">
        <v>42</v>
      </c>
      <c r="E1280" s="1186">
        <v>7</v>
      </c>
      <c r="F1280" s="1186">
        <v>337890</v>
      </c>
    </row>
    <row r="1281" spans="1:6" x14ac:dyDescent="0.2">
      <c r="A1281" s="1186" t="s">
        <v>15</v>
      </c>
      <c r="B1281" s="1186" t="s">
        <v>826</v>
      </c>
      <c r="C1281" s="1186" t="s">
        <v>61</v>
      </c>
      <c r="D1281" s="1186" t="s">
        <v>43</v>
      </c>
      <c r="E1281" s="1186">
        <v>3</v>
      </c>
      <c r="F1281" s="1186">
        <v>21530</v>
      </c>
    </row>
    <row r="1282" spans="1:6" x14ac:dyDescent="0.2">
      <c r="A1282" s="1186" t="s">
        <v>15</v>
      </c>
      <c r="B1282" s="1186" t="s">
        <v>826</v>
      </c>
      <c r="C1282" s="1186" t="s">
        <v>61</v>
      </c>
      <c r="D1282" s="1186" t="s">
        <v>44</v>
      </c>
      <c r="E1282" s="1186">
        <v>9</v>
      </c>
      <c r="F1282" s="1186">
        <v>147740</v>
      </c>
    </row>
    <row r="1283" spans="1:6" x14ac:dyDescent="0.2">
      <c r="A1283" s="1186" t="s">
        <v>15</v>
      </c>
      <c r="B1283" s="1186" t="s">
        <v>826</v>
      </c>
      <c r="C1283" s="1186" t="s">
        <v>61</v>
      </c>
      <c r="D1283" s="1186" t="s">
        <v>45</v>
      </c>
      <c r="E1283" s="1186">
        <v>7</v>
      </c>
      <c r="F1283" s="1186">
        <v>174300</v>
      </c>
    </row>
    <row r="1284" spans="1:6" x14ac:dyDescent="0.2">
      <c r="A1284" s="1186" t="s">
        <v>15</v>
      </c>
      <c r="B1284" s="1186" t="s">
        <v>826</v>
      </c>
      <c r="C1284" s="1186" t="s">
        <v>61</v>
      </c>
      <c r="D1284" s="1186" t="s">
        <v>46</v>
      </c>
      <c r="E1284" s="1186">
        <v>11</v>
      </c>
      <c r="F1284" s="1186">
        <v>113720</v>
      </c>
    </row>
    <row r="1285" spans="1:6" x14ac:dyDescent="0.2">
      <c r="A1285" s="1186" t="s">
        <v>15</v>
      </c>
      <c r="B1285" s="1186" t="s">
        <v>826</v>
      </c>
      <c r="C1285" s="1186" t="s">
        <v>61</v>
      </c>
      <c r="D1285" s="1186" t="s">
        <v>47</v>
      </c>
      <c r="E1285" s="1186">
        <v>5</v>
      </c>
      <c r="F1285" s="1186">
        <v>23210</v>
      </c>
    </row>
    <row r="1286" spans="1:6" x14ac:dyDescent="0.2">
      <c r="A1286" s="1186" t="s">
        <v>15</v>
      </c>
      <c r="B1286" s="1186" t="s">
        <v>826</v>
      </c>
      <c r="C1286" s="1186" t="s">
        <v>61</v>
      </c>
      <c r="D1286" s="1186" t="s">
        <v>48</v>
      </c>
      <c r="E1286" s="1186">
        <v>9</v>
      </c>
      <c r="F1286" s="1186">
        <v>112920</v>
      </c>
    </row>
    <row r="1287" spans="1:6" x14ac:dyDescent="0.2">
      <c r="A1287" s="1186" t="s">
        <v>15</v>
      </c>
      <c r="B1287" s="1186" t="s">
        <v>826</v>
      </c>
      <c r="C1287" s="1186" t="s">
        <v>61</v>
      </c>
      <c r="D1287" s="1186" t="s">
        <v>49</v>
      </c>
      <c r="E1287" s="1186">
        <v>5</v>
      </c>
      <c r="F1287" s="1186">
        <v>314330</v>
      </c>
    </row>
    <row r="1288" spans="1:6" x14ac:dyDescent="0.2">
      <c r="A1288" s="1186" t="s">
        <v>15</v>
      </c>
      <c r="B1288" s="1186" t="s">
        <v>826</v>
      </c>
      <c r="C1288" s="1186" t="s">
        <v>61</v>
      </c>
      <c r="D1288" s="1186" t="s">
        <v>50</v>
      </c>
      <c r="E1288" s="1186">
        <v>6</v>
      </c>
      <c r="F1288" s="1186">
        <v>91010</v>
      </c>
    </row>
    <row r="1289" spans="1:6" x14ac:dyDescent="0.2">
      <c r="A1289" s="1186" t="s">
        <v>15</v>
      </c>
      <c r="B1289" s="1186" t="s">
        <v>826</v>
      </c>
      <c r="C1289" s="1186" t="s">
        <v>61</v>
      </c>
      <c r="D1289" s="1186" t="s">
        <v>51</v>
      </c>
      <c r="E1289" s="1186">
        <v>4</v>
      </c>
      <c r="F1289" s="1186">
        <v>90340</v>
      </c>
    </row>
    <row r="1290" spans="1:6" x14ac:dyDescent="0.2">
      <c r="A1290" s="1186" t="s">
        <v>15</v>
      </c>
      <c r="B1290" s="1186" t="s">
        <v>826</v>
      </c>
      <c r="C1290" s="1186" t="s">
        <v>61</v>
      </c>
      <c r="D1290" s="1186" t="s">
        <v>52</v>
      </c>
      <c r="E1290" s="1186">
        <v>12</v>
      </c>
      <c r="F1290" s="1186">
        <v>176010</v>
      </c>
    </row>
    <row r="1291" spans="1:6" x14ac:dyDescent="0.2">
      <c r="A1291" s="1186" t="s">
        <v>15</v>
      </c>
      <c r="B1291" s="1186" t="s">
        <v>826</v>
      </c>
      <c r="C1291" s="1186" t="s">
        <v>116</v>
      </c>
      <c r="D1291" s="1186" t="s">
        <v>23</v>
      </c>
      <c r="E1291" s="1186">
        <v>12</v>
      </c>
      <c r="F1291" s="1186">
        <v>224910</v>
      </c>
    </row>
    <row r="1292" spans="1:6" x14ac:dyDescent="0.2">
      <c r="A1292" s="1186" t="s">
        <v>15</v>
      </c>
      <c r="B1292" s="1186" t="s">
        <v>826</v>
      </c>
      <c r="C1292" s="1186" t="s">
        <v>116</v>
      </c>
      <c r="D1292" s="1186" t="s">
        <v>24</v>
      </c>
      <c r="E1292" s="1186">
        <v>11</v>
      </c>
      <c r="F1292" s="1186">
        <v>255560</v>
      </c>
    </row>
    <row r="1293" spans="1:6" x14ac:dyDescent="0.2">
      <c r="A1293" s="1186" t="s">
        <v>15</v>
      </c>
      <c r="B1293" s="1186" t="s">
        <v>826</v>
      </c>
      <c r="C1293" s="1186" t="s">
        <v>116</v>
      </c>
      <c r="D1293" s="1186" t="s">
        <v>25</v>
      </c>
      <c r="E1293" s="1186">
        <v>5</v>
      </c>
      <c r="F1293" s="1186">
        <v>116220</v>
      </c>
    </row>
    <row r="1294" spans="1:6" x14ac:dyDescent="0.2">
      <c r="A1294" s="1186" t="s">
        <v>15</v>
      </c>
      <c r="B1294" s="1186" t="s">
        <v>826</v>
      </c>
      <c r="C1294" s="1186" t="s">
        <v>116</v>
      </c>
      <c r="D1294" s="1186" t="s">
        <v>26</v>
      </c>
      <c r="E1294" s="1186">
        <v>3</v>
      </c>
      <c r="F1294" s="1186">
        <v>86910</v>
      </c>
    </row>
    <row r="1295" spans="1:6" x14ac:dyDescent="0.2">
      <c r="A1295" s="1186" t="s">
        <v>15</v>
      </c>
      <c r="B1295" s="1186" t="s">
        <v>826</v>
      </c>
      <c r="C1295" s="1186" t="s">
        <v>116</v>
      </c>
      <c r="D1295" s="1186" t="s">
        <v>619</v>
      </c>
      <c r="E1295" s="1186">
        <v>69</v>
      </c>
      <c r="F1295" s="1186">
        <v>482630</v>
      </c>
    </row>
    <row r="1296" spans="1:6" x14ac:dyDescent="0.2">
      <c r="A1296" s="1186" t="s">
        <v>15</v>
      </c>
      <c r="B1296" s="1186" t="s">
        <v>826</v>
      </c>
      <c r="C1296" s="1186" t="s">
        <v>116</v>
      </c>
      <c r="D1296" s="1186" t="s">
        <v>27</v>
      </c>
      <c r="E1296" s="1186">
        <v>7</v>
      </c>
      <c r="F1296" s="1186">
        <v>51280</v>
      </c>
    </row>
    <row r="1297" spans="1:6" x14ac:dyDescent="0.2">
      <c r="A1297" s="1186" t="s">
        <v>15</v>
      </c>
      <c r="B1297" s="1186" t="s">
        <v>826</v>
      </c>
      <c r="C1297" s="1186" t="s">
        <v>116</v>
      </c>
      <c r="D1297" s="1186" t="s">
        <v>28</v>
      </c>
      <c r="E1297" s="1186">
        <v>1</v>
      </c>
      <c r="F1297" s="1186">
        <v>150840</v>
      </c>
    </row>
    <row r="1298" spans="1:6" x14ac:dyDescent="0.2">
      <c r="A1298" s="1186" t="s">
        <v>15</v>
      </c>
      <c r="B1298" s="1186" t="s">
        <v>826</v>
      </c>
      <c r="C1298" s="1186" t="s">
        <v>116</v>
      </c>
      <c r="D1298" s="1186" t="s">
        <v>29</v>
      </c>
      <c r="E1298" s="1186">
        <v>11</v>
      </c>
      <c r="F1298" s="1186">
        <v>147780</v>
      </c>
    </row>
    <row r="1299" spans="1:6" x14ac:dyDescent="0.2">
      <c r="A1299" s="1186" t="s">
        <v>15</v>
      </c>
      <c r="B1299" s="1186" t="s">
        <v>826</v>
      </c>
      <c r="C1299" s="1186" t="s">
        <v>116</v>
      </c>
      <c r="D1299" s="1186" t="s">
        <v>30</v>
      </c>
      <c r="E1299" s="1186">
        <v>13</v>
      </c>
      <c r="F1299" s="1186">
        <v>122730</v>
      </c>
    </row>
    <row r="1300" spans="1:6" x14ac:dyDescent="0.2">
      <c r="A1300" s="1186" t="s">
        <v>15</v>
      </c>
      <c r="B1300" s="1186" t="s">
        <v>826</v>
      </c>
      <c r="C1300" s="1186" t="s">
        <v>116</v>
      </c>
      <c r="D1300" s="1186" t="s">
        <v>31</v>
      </c>
      <c r="E1300" s="1186">
        <v>5</v>
      </c>
      <c r="F1300" s="1186">
        <v>105880</v>
      </c>
    </row>
    <row r="1301" spans="1:6" x14ac:dyDescent="0.2">
      <c r="A1301" s="1186" t="s">
        <v>15</v>
      </c>
      <c r="B1301" s="1186" t="s">
        <v>826</v>
      </c>
      <c r="C1301" s="1186" t="s">
        <v>116</v>
      </c>
      <c r="D1301" s="1186" t="s">
        <v>32</v>
      </c>
      <c r="E1301" s="1186">
        <v>12</v>
      </c>
      <c r="F1301" s="1186">
        <v>100860</v>
      </c>
    </row>
    <row r="1302" spans="1:6" x14ac:dyDescent="0.2">
      <c r="A1302" s="1186" t="s">
        <v>15</v>
      </c>
      <c r="B1302" s="1186" t="s">
        <v>826</v>
      </c>
      <c r="C1302" s="1186" t="s">
        <v>116</v>
      </c>
      <c r="D1302" s="1186" t="s">
        <v>33</v>
      </c>
      <c r="E1302" s="1186">
        <v>6</v>
      </c>
      <c r="F1302" s="1186">
        <v>91040</v>
      </c>
    </row>
    <row r="1303" spans="1:6" x14ac:dyDescent="0.2">
      <c r="A1303" s="1186" t="s">
        <v>15</v>
      </c>
      <c r="B1303" s="1186" t="s">
        <v>826</v>
      </c>
      <c r="C1303" s="1186" t="s">
        <v>116</v>
      </c>
      <c r="D1303" s="1186" t="s">
        <v>34</v>
      </c>
      <c r="E1303" s="1186">
        <v>15</v>
      </c>
      <c r="F1303" s="1186">
        <v>156800</v>
      </c>
    </row>
    <row r="1304" spans="1:6" x14ac:dyDescent="0.2">
      <c r="A1304" s="1186" t="s">
        <v>15</v>
      </c>
      <c r="B1304" s="1186" t="s">
        <v>826</v>
      </c>
      <c r="C1304" s="1186" t="s">
        <v>116</v>
      </c>
      <c r="D1304" s="1186" t="s">
        <v>35</v>
      </c>
      <c r="E1304" s="1186">
        <v>37</v>
      </c>
      <c r="F1304" s="1186">
        <v>366210</v>
      </c>
    </row>
    <row r="1305" spans="1:6" x14ac:dyDescent="0.2">
      <c r="A1305" s="1186" t="s">
        <v>15</v>
      </c>
      <c r="B1305" s="1186" t="s">
        <v>826</v>
      </c>
      <c r="C1305" s="1186" t="s">
        <v>116</v>
      </c>
      <c r="D1305" s="1186" t="s">
        <v>36</v>
      </c>
      <c r="E1305" s="1186">
        <v>85</v>
      </c>
      <c r="F1305" s="1186">
        <v>595070</v>
      </c>
    </row>
    <row r="1306" spans="1:6" x14ac:dyDescent="0.2">
      <c r="A1306" s="1186" t="s">
        <v>15</v>
      </c>
      <c r="B1306" s="1186" t="s">
        <v>826</v>
      </c>
      <c r="C1306" s="1186" t="s">
        <v>116</v>
      </c>
      <c r="D1306" s="1186" t="s">
        <v>37</v>
      </c>
      <c r="E1306" s="1186">
        <v>6</v>
      </c>
      <c r="F1306" s="1186">
        <v>232890</v>
      </c>
    </row>
    <row r="1307" spans="1:6" x14ac:dyDescent="0.2">
      <c r="A1307" s="1186" t="s">
        <v>15</v>
      </c>
      <c r="B1307" s="1186" t="s">
        <v>826</v>
      </c>
      <c r="C1307" s="1186" t="s">
        <v>116</v>
      </c>
      <c r="D1307" s="1186" t="s">
        <v>38</v>
      </c>
      <c r="E1307" s="1186">
        <v>9</v>
      </c>
      <c r="F1307" s="1186">
        <v>80690</v>
      </c>
    </row>
    <row r="1308" spans="1:6" x14ac:dyDescent="0.2">
      <c r="A1308" s="1186" t="s">
        <v>15</v>
      </c>
      <c r="B1308" s="1186" t="s">
        <v>826</v>
      </c>
      <c r="C1308" s="1186" t="s">
        <v>116</v>
      </c>
      <c r="D1308" s="1186" t="s">
        <v>39</v>
      </c>
      <c r="E1308" s="1186">
        <v>18</v>
      </c>
      <c r="F1308" s="1186">
        <v>84240</v>
      </c>
    </row>
    <row r="1309" spans="1:6" x14ac:dyDescent="0.2">
      <c r="A1309" s="1186" t="s">
        <v>15</v>
      </c>
      <c r="B1309" s="1186" t="s">
        <v>826</v>
      </c>
      <c r="C1309" s="1186" t="s">
        <v>116</v>
      </c>
      <c r="D1309" s="1186" t="s">
        <v>40</v>
      </c>
      <c r="E1309" s="1186">
        <v>8</v>
      </c>
      <c r="F1309" s="1186">
        <v>92930</v>
      </c>
    </row>
    <row r="1310" spans="1:6" x14ac:dyDescent="0.2">
      <c r="A1310" s="1186" t="s">
        <v>15</v>
      </c>
      <c r="B1310" s="1186" t="s">
        <v>826</v>
      </c>
      <c r="C1310" s="1186" t="s">
        <v>116</v>
      </c>
      <c r="D1310" s="1186" t="s">
        <v>295</v>
      </c>
      <c r="E1310" s="1186">
        <v>4</v>
      </c>
      <c r="F1310" s="1186">
        <v>27560</v>
      </c>
    </row>
    <row r="1311" spans="1:6" x14ac:dyDescent="0.2">
      <c r="A1311" s="1186" t="s">
        <v>15</v>
      </c>
      <c r="B1311" s="1186" t="s">
        <v>826</v>
      </c>
      <c r="C1311" s="1186" t="s">
        <v>116</v>
      </c>
      <c r="D1311" s="1186" t="s">
        <v>41</v>
      </c>
      <c r="E1311" s="1186">
        <v>7</v>
      </c>
      <c r="F1311" s="1186">
        <v>137570</v>
      </c>
    </row>
    <row r="1312" spans="1:6" x14ac:dyDescent="0.2">
      <c r="A1312" s="1186" t="s">
        <v>15</v>
      </c>
      <c r="B1312" s="1186" t="s">
        <v>826</v>
      </c>
      <c r="C1312" s="1186" t="s">
        <v>116</v>
      </c>
      <c r="D1312" s="1186" t="s">
        <v>42</v>
      </c>
      <c r="E1312" s="1186">
        <v>43</v>
      </c>
      <c r="F1312" s="1186">
        <v>337890</v>
      </c>
    </row>
    <row r="1313" spans="1:6" x14ac:dyDescent="0.2">
      <c r="A1313" s="1186" t="s">
        <v>15</v>
      </c>
      <c r="B1313" s="1186" t="s">
        <v>826</v>
      </c>
      <c r="C1313" s="1186" t="s">
        <v>116</v>
      </c>
      <c r="D1313" s="1186" t="s">
        <v>44</v>
      </c>
      <c r="E1313" s="1186">
        <v>6</v>
      </c>
      <c r="F1313" s="1186">
        <v>147740</v>
      </c>
    </row>
    <row r="1314" spans="1:6" x14ac:dyDescent="0.2">
      <c r="A1314" s="1186" t="s">
        <v>15</v>
      </c>
      <c r="B1314" s="1186" t="s">
        <v>826</v>
      </c>
      <c r="C1314" s="1186" t="s">
        <v>116</v>
      </c>
      <c r="D1314" s="1186" t="s">
        <v>45</v>
      </c>
      <c r="E1314" s="1186">
        <v>17</v>
      </c>
      <c r="F1314" s="1186">
        <v>174300</v>
      </c>
    </row>
    <row r="1315" spans="1:6" x14ac:dyDescent="0.2">
      <c r="A1315" s="1186" t="s">
        <v>15</v>
      </c>
      <c r="B1315" s="1186" t="s">
        <v>826</v>
      </c>
      <c r="C1315" s="1186" t="s">
        <v>116</v>
      </c>
      <c r="D1315" s="1186" t="s">
        <v>46</v>
      </c>
      <c r="E1315" s="1186">
        <v>9</v>
      </c>
      <c r="F1315" s="1186">
        <v>113720</v>
      </c>
    </row>
    <row r="1316" spans="1:6" x14ac:dyDescent="0.2">
      <c r="A1316" s="1186" t="s">
        <v>15</v>
      </c>
      <c r="B1316" s="1186" t="s">
        <v>826</v>
      </c>
      <c r="C1316" s="1186" t="s">
        <v>116</v>
      </c>
      <c r="D1316" s="1186" t="s">
        <v>48</v>
      </c>
      <c r="E1316" s="1186">
        <v>6</v>
      </c>
      <c r="F1316" s="1186">
        <v>112920</v>
      </c>
    </row>
    <row r="1317" spans="1:6" x14ac:dyDescent="0.2">
      <c r="A1317" s="1186" t="s">
        <v>15</v>
      </c>
      <c r="B1317" s="1186" t="s">
        <v>826</v>
      </c>
      <c r="C1317" s="1186" t="s">
        <v>116</v>
      </c>
      <c r="D1317" s="1186" t="s">
        <v>49</v>
      </c>
      <c r="E1317" s="1186">
        <v>27</v>
      </c>
      <c r="F1317" s="1186">
        <v>314330</v>
      </c>
    </row>
    <row r="1318" spans="1:6" x14ac:dyDescent="0.2">
      <c r="A1318" s="1186" t="s">
        <v>15</v>
      </c>
      <c r="B1318" s="1186" t="s">
        <v>826</v>
      </c>
      <c r="C1318" s="1186" t="s">
        <v>116</v>
      </c>
      <c r="D1318" s="1186" t="s">
        <v>50</v>
      </c>
      <c r="E1318" s="1186">
        <v>5</v>
      </c>
      <c r="F1318" s="1186">
        <v>91010</v>
      </c>
    </row>
    <row r="1319" spans="1:6" x14ac:dyDescent="0.2">
      <c r="A1319" s="1186" t="s">
        <v>15</v>
      </c>
      <c r="B1319" s="1186" t="s">
        <v>826</v>
      </c>
      <c r="C1319" s="1186" t="s">
        <v>116</v>
      </c>
      <c r="D1319" s="1186" t="s">
        <v>51</v>
      </c>
      <c r="E1319" s="1186">
        <v>14</v>
      </c>
      <c r="F1319" s="1186">
        <v>90340</v>
      </c>
    </row>
    <row r="1320" spans="1:6" x14ac:dyDescent="0.2">
      <c r="A1320" s="1186" t="s">
        <v>15</v>
      </c>
      <c r="B1320" s="1186" t="s">
        <v>826</v>
      </c>
      <c r="C1320" s="1186" t="s">
        <v>116</v>
      </c>
      <c r="D1320" s="1186" t="s">
        <v>52</v>
      </c>
      <c r="E1320" s="1186">
        <v>27</v>
      </c>
      <c r="F1320" s="1186">
        <v>176010</v>
      </c>
    </row>
    <row r="1321" spans="1:6" x14ac:dyDescent="0.2">
      <c r="A1321" s="1186" t="s">
        <v>15</v>
      </c>
      <c r="B1321" s="1186" t="s">
        <v>308</v>
      </c>
      <c r="C1321" s="1186" t="s">
        <v>61</v>
      </c>
      <c r="D1321" s="1186" t="s">
        <v>23</v>
      </c>
      <c r="E1321" s="1186">
        <v>100</v>
      </c>
      <c r="F1321" s="1186">
        <v>224910</v>
      </c>
    </row>
    <row r="1322" spans="1:6" x14ac:dyDescent="0.2">
      <c r="A1322" s="1186" t="s">
        <v>15</v>
      </c>
      <c r="B1322" s="1186" t="s">
        <v>308</v>
      </c>
      <c r="C1322" s="1186" t="s">
        <v>61</v>
      </c>
      <c r="D1322" s="1186" t="s">
        <v>24</v>
      </c>
      <c r="E1322" s="1186">
        <v>85</v>
      </c>
      <c r="F1322" s="1186">
        <v>255560</v>
      </c>
    </row>
    <row r="1323" spans="1:6" x14ac:dyDescent="0.2">
      <c r="A1323" s="1186" t="s">
        <v>15</v>
      </c>
      <c r="B1323" s="1186" t="s">
        <v>308</v>
      </c>
      <c r="C1323" s="1186" t="s">
        <v>61</v>
      </c>
      <c r="D1323" s="1186" t="s">
        <v>25</v>
      </c>
      <c r="E1323" s="1186">
        <v>51</v>
      </c>
      <c r="F1323" s="1186">
        <v>116220</v>
      </c>
    </row>
    <row r="1324" spans="1:6" x14ac:dyDescent="0.2">
      <c r="A1324" s="1186" t="s">
        <v>15</v>
      </c>
      <c r="B1324" s="1186" t="s">
        <v>308</v>
      </c>
      <c r="C1324" s="1186" t="s">
        <v>61</v>
      </c>
      <c r="D1324" s="1186" t="s">
        <v>26</v>
      </c>
      <c r="E1324" s="1186">
        <v>63</v>
      </c>
      <c r="F1324" s="1186">
        <v>86910</v>
      </c>
    </row>
    <row r="1325" spans="1:6" x14ac:dyDescent="0.2">
      <c r="A1325" s="1186" t="s">
        <v>15</v>
      </c>
      <c r="B1325" s="1186" t="s">
        <v>308</v>
      </c>
      <c r="C1325" s="1186" t="s">
        <v>61</v>
      </c>
      <c r="D1325" s="1186" t="s">
        <v>619</v>
      </c>
      <c r="E1325" s="1186">
        <v>271</v>
      </c>
      <c r="F1325" s="1186">
        <v>482630</v>
      </c>
    </row>
    <row r="1326" spans="1:6" x14ac:dyDescent="0.2">
      <c r="A1326" s="1186" t="s">
        <v>15</v>
      </c>
      <c r="B1326" s="1186" t="s">
        <v>308</v>
      </c>
      <c r="C1326" s="1186" t="s">
        <v>61</v>
      </c>
      <c r="D1326" s="1186" t="s">
        <v>27</v>
      </c>
      <c r="E1326" s="1186">
        <v>10</v>
      </c>
      <c r="F1326" s="1186">
        <v>51280</v>
      </c>
    </row>
    <row r="1327" spans="1:6" x14ac:dyDescent="0.2">
      <c r="A1327" s="1186" t="s">
        <v>15</v>
      </c>
      <c r="B1327" s="1186" t="s">
        <v>308</v>
      </c>
      <c r="C1327" s="1186" t="s">
        <v>61</v>
      </c>
      <c r="D1327" s="1186" t="s">
        <v>28</v>
      </c>
      <c r="E1327" s="1186">
        <v>48</v>
      </c>
      <c r="F1327" s="1186">
        <v>150840</v>
      </c>
    </row>
    <row r="1328" spans="1:6" x14ac:dyDescent="0.2">
      <c r="A1328" s="1186" t="s">
        <v>15</v>
      </c>
      <c r="B1328" s="1186" t="s">
        <v>308</v>
      </c>
      <c r="C1328" s="1186" t="s">
        <v>61</v>
      </c>
      <c r="D1328" s="1186" t="s">
        <v>29</v>
      </c>
      <c r="E1328" s="1186">
        <v>48</v>
      </c>
      <c r="F1328" s="1186">
        <v>147780</v>
      </c>
    </row>
    <row r="1329" spans="1:6" x14ac:dyDescent="0.2">
      <c r="A1329" s="1186" t="s">
        <v>15</v>
      </c>
      <c r="B1329" s="1186" t="s">
        <v>308</v>
      </c>
      <c r="C1329" s="1186" t="s">
        <v>61</v>
      </c>
      <c r="D1329" s="1186" t="s">
        <v>30</v>
      </c>
      <c r="E1329" s="1186">
        <v>33</v>
      </c>
      <c r="F1329" s="1186">
        <v>122730</v>
      </c>
    </row>
    <row r="1330" spans="1:6" x14ac:dyDescent="0.2">
      <c r="A1330" s="1186" t="s">
        <v>15</v>
      </c>
      <c r="B1330" s="1186" t="s">
        <v>308</v>
      </c>
      <c r="C1330" s="1186" t="s">
        <v>61</v>
      </c>
      <c r="D1330" s="1186" t="s">
        <v>31</v>
      </c>
      <c r="E1330" s="1186">
        <v>15</v>
      </c>
      <c r="F1330" s="1186">
        <v>105880</v>
      </c>
    </row>
    <row r="1331" spans="1:6" x14ac:dyDescent="0.2">
      <c r="A1331" s="1186" t="s">
        <v>15</v>
      </c>
      <c r="B1331" s="1186" t="s">
        <v>308</v>
      </c>
      <c r="C1331" s="1186" t="s">
        <v>61</v>
      </c>
      <c r="D1331" s="1186" t="s">
        <v>32</v>
      </c>
      <c r="E1331" s="1186">
        <v>22</v>
      </c>
      <c r="F1331" s="1186">
        <v>100860</v>
      </c>
    </row>
    <row r="1332" spans="1:6" x14ac:dyDescent="0.2">
      <c r="A1332" s="1186" t="s">
        <v>15</v>
      </c>
      <c r="B1332" s="1186" t="s">
        <v>308</v>
      </c>
      <c r="C1332" s="1186" t="s">
        <v>61</v>
      </c>
      <c r="D1332" s="1186" t="s">
        <v>33</v>
      </c>
      <c r="E1332" s="1186">
        <v>12</v>
      </c>
      <c r="F1332" s="1186">
        <v>91040</v>
      </c>
    </row>
    <row r="1333" spans="1:6" x14ac:dyDescent="0.2">
      <c r="A1333" s="1186" t="s">
        <v>15</v>
      </c>
      <c r="B1333" s="1186" t="s">
        <v>308</v>
      </c>
      <c r="C1333" s="1186" t="s">
        <v>61</v>
      </c>
      <c r="D1333" s="1186" t="s">
        <v>34</v>
      </c>
      <c r="E1333" s="1186">
        <v>51</v>
      </c>
      <c r="F1333" s="1186">
        <v>156800</v>
      </c>
    </row>
    <row r="1334" spans="1:6" x14ac:dyDescent="0.2">
      <c r="A1334" s="1186" t="s">
        <v>15</v>
      </c>
      <c r="B1334" s="1186" t="s">
        <v>308</v>
      </c>
      <c r="C1334" s="1186" t="s">
        <v>61</v>
      </c>
      <c r="D1334" s="1186" t="s">
        <v>35</v>
      </c>
      <c r="E1334" s="1186">
        <v>130</v>
      </c>
      <c r="F1334" s="1186">
        <v>366210</v>
      </c>
    </row>
    <row r="1335" spans="1:6" x14ac:dyDescent="0.2">
      <c r="A1335" s="1186" t="s">
        <v>15</v>
      </c>
      <c r="B1335" s="1186" t="s">
        <v>308</v>
      </c>
      <c r="C1335" s="1186" t="s">
        <v>61</v>
      </c>
      <c r="D1335" s="1186" t="s">
        <v>36</v>
      </c>
      <c r="E1335" s="1186">
        <v>187</v>
      </c>
      <c r="F1335" s="1186">
        <v>595070</v>
      </c>
    </row>
    <row r="1336" spans="1:6" x14ac:dyDescent="0.2">
      <c r="A1336" s="1186" t="s">
        <v>15</v>
      </c>
      <c r="B1336" s="1186" t="s">
        <v>308</v>
      </c>
      <c r="C1336" s="1186" t="s">
        <v>61</v>
      </c>
      <c r="D1336" s="1186" t="s">
        <v>37</v>
      </c>
      <c r="E1336" s="1186">
        <v>344</v>
      </c>
      <c r="F1336" s="1186">
        <v>232890</v>
      </c>
    </row>
    <row r="1337" spans="1:6" x14ac:dyDescent="0.2">
      <c r="A1337" s="1186" t="s">
        <v>15</v>
      </c>
      <c r="B1337" s="1186" t="s">
        <v>308</v>
      </c>
      <c r="C1337" s="1186" t="s">
        <v>61</v>
      </c>
      <c r="D1337" s="1186" t="s">
        <v>38</v>
      </c>
      <c r="E1337" s="1186">
        <v>23</v>
      </c>
      <c r="F1337" s="1186">
        <v>80690</v>
      </c>
    </row>
    <row r="1338" spans="1:6" x14ac:dyDescent="0.2">
      <c r="A1338" s="1186" t="s">
        <v>15</v>
      </c>
      <c r="B1338" s="1186" t="s">
        <v>308</v>
      </c>
      <c r="C1338" s="1186" t="s">
        <v>61</v>
      </c>
      <c r="D1338" s="1186" t="s">
        <v>39</v>
      </c>
      <c r="E1338" s="1186">
        <v>22</v>
      </c>
      <c r="F1338" s="1186">
        <v>84240</v>
      </c>
    </row>
    <row r="1339" spans="1:6" x14ac:dyDescent="0.2">
      <c r="A1339" s="1186" t="s">
        <v>15</v>
      </c>
      <c r="B1339" s="1186" t="s">
        <v>308</v>
      </c>
      <c r="C1339" s="1186" t="s">
        <v>61</v>
      </c>
      <c r="D1339" s="1186" t="s">
        <v>40</v>
      </c>
      <c r="E1339" s="1186">
        <v>37</v>
      </c>
      <c r="F1339" s="1186">
        <v>92930</v>
      </c>
    </row>
    <row r="1340" spans="1:6" x14ac:dyDescent="0.2">
      <c r="A1340" s="1186" t="s">
        <v>15</v>
      </c>
      <c r="B1340" s="1186" t="s">
        <v>308</v>
      </c>
      <c r="C1340" s="1186" t="s">
        <v>61</v>
      </c>
      <c r="D1340" s="1186" t="s">
        <v>295</v>
      </c>
      <c r="E1340" s="1186">
        <v>117</v>
      </c>
      <c r="F1340" s="1186">
        <v>27560</v>
      </c>
    </row>
    <row r="1341" spans="1:6" x14ac:dyDescent="0.2">
      <c r="A1341" s="1186" t="s">
        <v>15</v>
      </c>
      <c r="B1341" s="1186" t="s">
        <v>308</v>
      </c>
      <c r="C1341" s="1186" t="s">
        <v>61</v>
      </c>
      <c r="D1341" s="1186" t="s">
        <v>41</v>
      </c>
      <c r="E1341" s="1186">
        <v>37</v>
      </c>
      <c r="F1341" s="1186">
        <v>137570</v>
      </c>
    </row>
    <row r="1342" spans="1:6" x14ac:dyDescent="0.2">
      <c r="A1342" s="1186" t="s">
        <v>15</v>
      </c>
      <c r="B1342" s="1186" t="s">
        <v>308</v>
      </c>
      <c r="C1342" s="1186" t="s">
        <v>61</v>
      </c>
      <c r="D1342" s="1186" t="s">
        <v>42</v>
      </c>
      <c r="E1342" s="1186">
        <v>39</v>
      </c>
      <c r="F1342" s="1186">
        <v>337890</v>
      </c>
    </row>
    <row r="1343" spans="1:6" x14ac:dyDescent="0.2">
      <c r="A1343" s="1186" t="s">
        <v>15</v>
      </c>
      <c r="B1343" s="1186" t="s">
        <v>308</v>
      </c>
      <c r="C1343" s="1186" t="s">
        <v>61</v>
      </c>
      <c r="D1343" s="1186" t="s">
        <v>43</v>
      </c>
      <c r="E1343" s="1186">
        <v>5</v>
      </c>
      <c r="F1343" s="1186">
        <v>21530</v>
      </c>
    </row>
    <row r="1344" spans="1:6" x14ac:dyDescent="0.2">
      <c r="A1344" s="1186" t="s">
        <v>15</v>
      </c>
      <c r="B1344" s="1186" t="s">
        <v>308</v>
      </c>
      <c r="C1344" s="1186" t="s">
        <v>61</v>
      </c>
      <c r="D1344" s="1186" t="s">
        <v>44</v>
      </c>
      <c r="E1344" s="1186">
        <v>48</v>
      </c>
      <c r="F1344" s="1186">
        <v>147740</v>
      </c>
    </row>
    <row r="1345" spans="1:6" x14ac:dyDescent="0.2">
      <c r="A1345" s="1186" t="s">
        <v>15</v>
      </c>
      <c r="B1345" s="1186" t="s">
        <v>308</v>
      </c>
      <c r="C1345" s="1186" t="s">
        <v>61</v>
      </c>
      <c r="D1345" s="1186" t="s">
        <v>45</v>
      </c>
      <c r="E1345" s="1186">
        <v>26</v>
      </c>
      <c r="F1345" s="1186">
        <v>174300</v>
      </c>
    </row>
    <row r="1346" spans="1:6" x14ac:dyDescent="0.2">
      <c r="A1346" s="1186" t="s">
        <v>15</v>
      </c>
      <c r="B1346" s="1186" t="s">
        <v>308</v>
      </c>
      <c r="C1346" s="1186" t="s">
        <v>61</v>
      </c>
      <c r="D1346" s="1186" t="s">
        <v>46</v>
      </c>
      <c r="E1346" s="1186">
        <v>19</v>
      </c>
      <c r="F1346" s="1186">
        <v>113720</v>
      </c>
    </row>
    <row r="1347" spans="1:6" x14ac:dyDescent="0.2">
      <c r="A1347" s="1186" t="s">
        <v>15</v>
      </c>
      <c r="B1347" s="1186" t="s">
        <v>308</v>
      </c>
      <c r="C1347" s="1186" t="s">
        <v>61</v>
      </c>
      <c r="D1347" s="1186" t="s">
        <v>47</v>
      </c>
      <c r="E1347" s="1186">
        <v>10</v>
      </c>
      <c r="F1347" s="1186">
        <v>23210</v>
      </c>
    </row>
    <row r="1348" spans="1:6" x14ac:dyDescent="0.2">
      <c r="A1348" s="1186" t="s">
        <v>15</v>
      </c>
      <c r="B1348" s="1186" t="s">
        <v>308</v>
      </c>
      <c r="C1348" s="1186" t="s">
        <v>61</v>
      </c>
      <c r="D1348" s="1186" t="s">
        <v>48</v>
      </c>
      <c r="E1348" s="1186">
        <v>32</v>
      </c>
      <c r="F1348" s="1186">
        <v>112920</v>
      </c>
    </row>
    <row r="1349" spans="1:6" x14ac:dyDescent="0.2">
      <c r="A1349" s="1186" t="s">
        <v>15</v>
      </c>
      <c r="B1349" s="1186" t="s">
        <v>308</v>
      </c>
      <c r="C1349" s="1186" t="s">
        <v>61</v>
      </c>
      <c r="D1349" s="1186" t="s">
        <v>49</v>
      </c>
      <c r="E1349" s="1186">
        <v>51</v>
      </c>
      <c r="F1349" s="1186">
        <v>314330</v>
      </c>
    </row>
    <row r="1350" spans="1:6" x14ac:dyDescent="0.2">
      <c r="A1350" s="1186" t="s">
        <v>15</v>
      </c>
      <c r="B1350" s="1186" t="s">
        <v>308</v>
      </c>
      <c r="C1350" s="1186" t="s">
        <v>61</v>
      </c>
      <c r="D1350" s="1186" t="s">
        <v>50</v>
      </c>
      <c r="E1350" s="1186">
        <v>34</v>
      </c>
      <c r="F1350" s="1186">
        <v>91010</v>
      </c>
    </row>
    <row r="1351" spans="1:6" x14ac:dyDescent="0.2">
      <c r="A1351" s="1186" t="s">
        <v>15</v>
      </c>
      <c r="B1351" s="1186" t="s">
        <v>308</v>
      </c>
      <c r="C1351" s="1186" t="s">
        <v>61</v>
      </c>
      <c r="D1351" s="1186" t="s">
        <v>51</v>
      </c>
      <c r="E1351" s="1186">
        <v>13</v>
      </c>
      <c r="F1351" s="1186">
        <v>90340</v>
      </c>
    </row>
    <row r="1352" spans="1:6" x14ac:dyDescent="0.2">
      <c r="A1352" s="1186" t="s">
        <v>15</v>
      </c>
      <c r="B1352" s="1186" t="s">
        <v>308</v>
      </c>
      <c r="C1352" s="1186" t="s">
        <v>61</v>
      </c>
      <c r="D1352" s="1186" t="s">
        <v>52</v>
      </c>
      <c r="E1352" s="1186">
        <v>38</v>
      </c>
      <c r="F1352" s="1186">
        <v>176010</v>
      </c>
    </row>
    <row r="1353" spans="1:6" x14ac:dyDescent="0.2">
      <c r="A1353" s="1186" t="s">
        <v>15</v>
      </c>
      <c r="B1353" s="1186" t="s">
        <v>308</v>
      </c>
      <c r="C1353" s="1186" t="s">
        <v>116</v>
      </c>
      <c r="D1353" s="1186" t="s">
        <v>23</v>
      </c>
      <c r="E1353" s="1186">
        <v>347</v>
      </c>
      <c r="F1353" s="1186">
        <v>224910</v>
      </c>
    </row>
    <row r="1354" spans="1:6" x14ac:dyDescent="0.2">
      <c r="A1354" s="1186" t="s">
        <v>15</v>
      </c>
      <c r="B1354" s="1186" t="s">
        <v>308</v>
      </c>
      <c r="C1354" s="1186" t="s">
        <v>116</v>
      </c>
      <c r="D1354" s="1186" t="s">
        <v>24</v>
      </c>
      <c r="E1354" s="1186">
        <v>120</v>
      </c>
      <c r="F1354" s="1186">
        <v>255560</v>
      </c>
    </row>
    <row r="1355" spans="1:6" x14ac:dyDescent="0.2">
      <c r="A1355" s="1186" t="s">
        <v>15</v>
      </c>
      <c r="B1355" s="1186" t="s">
        <v>308</v>
      </c>
      <c r="C1355" s="1186" t="s">
        <v>116</v>
      </c>
      <c r="D1355" s="1186" t="s">
        <v>25</v>
      </c>
      <c r="E1355" s="1186">
        <v>86</v>
      </c>
      <c r="F1355" s="1186">
        <v>116220</v>
      </c>
    </row>
    <row r="1356" spans="1:6" x14ac:dyDescent="0.2">
      <c r="A1356" s="1186" t="s">
        <v>15</v>
      </c>
      <c r="B1356" s="1186" t="s">
        <v>308</v>
      </c>
      <c r="C1356" s="1186" t="s">
        <v>116</v>
      </c>
      <c r="D1356" s="1186" t="s">
        <v>26</v>
      </c>
      <c r="E1356" s="1186">
        <v>85</v>
      </c>
      <c r="F1356" s="1186">
        <v>86910</v>
      </c>
    </row>
    <row r="1357" spans="1:6" x14ac:dyDescent="0.2">
      <c r="A1357" s="1186" t="s">
        <v>15</v>
      </c>
      <c r="B1357" s="1186" t="s">
        <v>308</v>
      </c>
      <c r="C1357" s="1186" t="s">
        <v>116</v>
      </c>
      <c r="D1357" s="1186" t="s">
        <v>619</v>
      </c>
      <c r="E1357" s="1186">
        <v>952</v>
      </c>
      <c r="F1357" s="1186">
        <v>482630</v>
      </c>
    </row>
    <row r="1358" spans="1:6" x14ac:dyDescent="0.2">
      <c r="A1358" s="1186" t="s">
        <v>15</v>
      </c>
      <c r="B1358" s="1186" t="s">
        <v>308</v>
      </c>
      <c r="C1358" s="1186" t="s">
        <v>116</v>
      </c>
      <c r="D1358" s="1186" t="s">
        <v>27</v>
      </c>
      <c r="E1358" s="1186">
        <v>86</v>
      </c>
      <c r="F1358" s="1186">
        <v>51280</v>
      </c>
    </row>
    <row r="1359" spans="1:6" x14ac:dyDescent="0.2">
      <c r="A1359" s="1186" t="s">
        <v>15</v>
      </c>
      <c r="B1359" s="1186" t="s">
        <v>308</v>
      </c>
      <c r="C1359" s="1186" t="s">
        <v>116</v>
      </c>
      <c r="D1359" s="1186" t="s">
        <v>28</v>
      </c>
      <c r="E1359" s="1186">
        <v>77</v>
      </c>
      <c r="F1359" s="1186">
        <v>150840</v>
      </c>
    </row>
    <row r="1360" spans="1:6" x14ac:dyDescent="0.2">
      <c r="A1360" s="1186" t="s">
        <v>15</v>
      </c>
      <c r="B1360" s="1186" t="s">
        <v>308</v>
      </c>
      <c r="C1360" s="1186" t="s">
        <v>116</v>
      </c>
      <c r="D1360" s="1186" t="s">
        <v>29</v>
      </c>
      <c r="E1360" s="1186">
        <v>365</v>
      </c>
      <c r="F1360" s="1186">
        <v>147780</v>
      </c>
    </row>
    <row r="1361" spans="1:6" x14ac:dyDescent="0.2">
      <c r="A1361" s="1186" t="s">
        <v>15</v>
      </c>
      <c r="B1361" s="1186" t="s">
        <v>308</v>
      </c>
      <c r="C1361" s="1186" t="s">
        <v>116</v>
      </c>
      <c r="D1361" s="1186" t="s">
        <v>30</v>
      </c>
      <c r="E1361" s="1186">
        <v>642</v>
      </c>
      <c r="F1361" s="1186">
        <v>122730</v>
      </c>
    </row>
    <row r="1362" spans="1:6" x14ac:dyDescent="0.2">
      <c r="A1362" s="1186" t="s">
        <v>15</v>
      </c>
      <c r="B1362" s="1186" t="s">
        <v>308</v>
      </c>
      <c r="C1362" s="1186" t="s">
        <v>116</v>
      </c>
      <c r="D1362" s="1186" t="s">
        <v>31</v>
      </c>
      <c r="E1362" s="1186">
        <v>130</v>
      </c>
      <c r="F1362" s="1186">
        <v>105880</v>
      </c>
    </row>
    <row r="1363" spans="1:6" x14ac:dyDescent="0.2">
      <c r="A1363" s="1186" t="s">
        <v>15</v>
      </c>
      <c r="B1363" s="1186" t="s">
        <v>308</v>
      </c>
      <c r="C1363" s="1186" t="s">
        <v>116</v>
      </c>
      <c r="D1363" s="1186" t="s">
        <v>32</v>
      </c>
      <c r="E1363" s="1186">
        <v>106</v>
      </c>
      <c r="F1363" s="1186">
        <v>100860</v>
      </c>
    </row>
    <row r="1364" spans="1:6" x14ac:dyDescent="0.2">
      <c r="A1364" s="1186" t="s">
        <v>15</v>
      </c>
      <c r="B1364" s="1186" t="s">
        <v>308</v>
      </c>
      <c r="C1364" s="1186" t="s">
        <v>116</v>
      </c>
      <c r="D1364" s="1186" t="s">
        <v>33</v>
      </c>
      <c r="E1364" s="1186">
        <v>165</v>
      </c>
      <c r="F1364" s="1186">
        <v>91040</v>
      </c>
    </row>
    <row r="1365" spans="1:6" x14ac:dyDescent="0.2">
      <c r="A1365" s="1186" t="s">
        <v>15</v>
      </c>
      <c r="B1365" s="1186" t="s">
        <v>308</v>
      </c>
      <c r="C1365" s="1186" t="s">
        <v>116</v>
      </c>
      <c r="D1365" s="1186" t="s">
        <v>34</v>
      </c>
      <c r="E1365" s="1186">
        <v>323</v>
      </c>
      <c r="F1365" s="1186">
        <v>156800</v>
      </c>
    </row>
    <row r="1366" spans="1:6" x14ac:dyDescent="0.2">
      <c r="A1366" s="1186" t="s">
        <v>15</v>
      </c>
      <c r="B1366" s="1186" t="s">
        <v>308</v>
      </c>
      <c r="C1366" s="1186" t="s">
        <v>116</v>
      </c>
      <c r="D1366" s="1186" t="s">
        <v>35</v>
      </c>
      <c r="E1366" s="1186">
        <v>563</v>
      </c>
      <c r="F1366" s="1186">
        <v>366210</v>
      </c>
    </row>
    <row r="1367" spans="1:6" x14ac:dyDescent="0.2">
      <c r="A1367" s="1186" t="s">
        <v>15</v>
      </c>
      <c r="B1367" s="1186" t="s">
        <v>308</v>
      </c>
      <c r="C1367" s="1186" t="s">
        <v>116</v>
      </c>
      <c r="D1367" s="1186" t="s">
        <v>36</v>
      </c>
      <c r="E1367" s="1186">
        <v>2288</v>
      </c>
      <c r="F1367" s="1186">
        <v>595070</v>
      </c>
    </row>
    <row r="1368" spans="1:6" x14ac:dyDescent="0.2">
      <c r="A1368" s="1186" t="s">
        <v>15</v>
      </c>
      <c r="B1368" s="1186" t="s">
        <v>308</v>
      </c>
      <c r="C1368" s="1186" t="s">
        <v>116</v>
      </c>
      <c r="D1368" s="1186" t="s">
        <v>37</v>
      </c>
      <c r="E1368" s="1186">
        <v>160</v>
      </c>
      <c r="F1368" s="1186">
        <v>232890</v>
      </c>
    </row>
    <row r="1369" spans="1:6" x14ac:dyDescent="0.2">
      <c r="A1369" s="1186" t="s">
        <v>15</v>
      </c>
      <c r="B1369" s="1186" t="s">
        <v>308</v>
      </c>
      <c r="C1369" s="1186" t="s">
        <v>116</v>
      </c>
      <c r="D1369" s="1186" t="s">
        <v>38</v>
      </c>
      <c r="E1369" s="1186">
        <v>490</v>
      </c>
      <c r="F1369" s="1186">
        <v>80690</v>
      </c>
    </row>
    <row r="1370" spans="1:6" x14ac:dyDescent="0.2">
      <c r="A1370" s="1186" t="s">
        <v>15</v>
      </c>
      <c r="B1370" s="1186" t="s">
        <v>308</v>
      </c>
      <c r="C1370" s="1186" t="s">
        <v>116</v>
      </c>
      <c r="D1370" s="1186" t="s">
        <v>39</v>
      </c>
      <c r="E1370" s="1186">
        <v>144</v>
      </c>
      <c r="F1370" s="1186">
        <v>84240</v>
      </c>
    </row>
    <row r="1371" spans="1:6" x14ac:dyDescent="0.2">
      <c r="A1371" s="1186" t="s">
        <v>15</v>
      </c>
      <c r="B1371" s="1186" t="s">
        <v>308</v>
      </c>
      <c r="C1371" s="1186" t="s">
        <v>116</v>
      </c>
      <c r="D1371" s="1186" t="s">
        <v>40</v>
      </c>
      <c r="E1371" s="1186">
        <v>68</v>
      </c>
      <c r="F1371" s="1186">
        <v>92930</v>
      </c>
    </row>
    <row r="1372" spans="1:6" x14ac:dyDescent="0.2">
      <c r="A1372" s="1186" t="s">
        <v>15</v>
      </c>
      <c r="B1372" s="1186" t="s">
        <v>308</v>
      </c>
      <c r="C1372" s="1186" t="s">
        <v>116</v>
      </c>
      <c r="D1372" s="1186" t="s">
        <v>295</v>
      </c>
      <c r="E1372" s="1186">
        <v>13</v>
      </c>
      <c r="F1372" s="1186">
        <v>27560</v>
      </c>
    </row>
    <row r="1373" spans="1:6" x14ac:dyDescent="0.2">
      <c r="A1373" s="1186" t="s">
        <v>15</v>
      </c>
      <c r="B1373" s="1186" t="s">
        <v>308</v>
      </c>
      <c r="C1373" s="1186" t="s">
        <v>116</v>
      </c>
      <c r="D1373" s="1186" t="s">
        <v>41</v>
      </c>
      <c r="E1373" s="1186">
        <v>595</v>
      </c>
      <c r="F1373" s="1186">
        <v>137570</v>
      </c>
    </row>
    <row r="1374" spans="1:6" x14ac:dyDescent="0.2">
      <c r="A1374" s="1186" t="s">
        <v>15</v>
      </c>
      <c r="B1374" s="1186" t="s">
        <v>308</v>
      </c>
      <c r="C1374" s="1186" t="s">
        <v>116</v>
      </c>
      <c r="D1374" s="1186" t="s">
        <v>42</v>
      </c>
      <c r="E1374" s="1186">
        <v>1474</v>
      </c>
      <c r="F1374" s="1186">
        <v>337890</v>
      </c>
    </row>
    <row r="1375" spans="1:6" x14ac:dyDescent="0.2">
      <c r="A1375" s="1186" t="s">
        <v>15</v>
      </c>
      <c r="B1375" s="1186" t="s">
        <v>308</v>
      </c>
      <c r="C1375" s="1186" t="s">
        <v>116</v>
      </c>
      <c r="D1375" s="1186" t="s">
        <v>43</v>
      </c>
      <c r="E1375" s="1186">
        <v>2</v>
      </c>
      <c r="F1375" s="1186">
        <v>21530</v>
      </c>
    </row>
    <row r="1376" spans="1:6" x14ac:dyDescent="0.2">
      <c r="A1376" s="1186" t="s">
        <v>15</v>
      </c>
      <c r="B1376" s="1186" t="s">
        <v>308</v>
      </c>
      <c r="C1376" s="1186" t="s">
        <v>116</v>
      </c>
      <c r="D1376" s="1186" t="s">
        <v>44</v>
      </c>
      <c r="E1376" s="1186">
        <v>83</v>
      </c>
      <c r="F1376" s="1186">
        <v>147740</v>
      </c>
    </row>
    <row r="1377" spans="1:6" x14ac:dyDescent="0.2">
      <c r="A1377" s="1186" t="s">
        <v>15</v>
      </c>
      <c r="B1377" s="1186" t="s">
        <v>308</v>
      </c>
      <c r="C1377" s="1186" t="s">
        <v>116</v>
      </c>
      <c r="D1377" s="1186" t="s">
        <v>45</v>
      </c>
      <c r="E1377" s="1186">
        <v>608</v>
      </c>
      <c r="F1377" s="1186">
        <v>174300</v>
      </c>
    </row>
    <row r="1378" spans="1:6" x14ac:dyDescent="0.2">
      <c r="A1378" s="1186" t="s">
        <v>15</v>
      </c>
      <c r="B1378" s="1186" t="s">
        <v>308</v>
      </c>
      <c r="C1378" s="1186" t="s">
        <v>116</v>
      </c>
      <c r="D1378" s="1186" t="s">
        <v>46</v>
      </c>
      <c r="E1378" s="1186">
        <v>46</v>
      </c>
      <c r="F1378" s="1186">
        <v>113720</v>
      </c>
    </row>
    <row r="1379" spans="1:6" x14ac:dyDescent="0.2">
      <c r="A1379" s="1186" t="s">
        <v>15</v>
      </c>
      <c r="B1379" s="1186" t="s">
        <v>308</v>
      </c>
      <c r="C1379" s="1186" t="s">
        <v>116</v>
      </c>
      <c r="D1379" s="1186" t="s">
        <v>47</v>
      </c>
      <c r="E1379" s="1186">
        <v>3</v>
      </c>
      <c r="F1379" s="1186">
        <v>23210</v>
      </c>
    </row>
    <row r="1380" spans="1:6" x14ac:dyDescent="0.2">
      <c r="A1380" s="1186" t="s">
        <v>15</v>
      </c>
      <c r="B1380" s="1186" t="s">
        <v>308</v>
      </c>
      <c r="C1380" s="1186" t="s">
        <v>116</v>
      </c>
      <c r="D1380" s="1186" t="s">
        <v>48</v>
      </c>
      <c r="E1380" s="1186">
        <v>267</v>
      </c>
      <c r="F1380" s="1186">
        <v>112920</v>
      </c>
    </row>
    <row r="1381" spans="1:6" x14ac:dyDescent="0.2">
      <c r="A1381" s="1186" t="s">
        <v>15</v>
      </c>
      <c r="B1381" s="1186" t="s">
        <v>308</v>
      </c>
      <c r="C1381" s="1186" t="s">
        <v>116</v>
      </c>
      <c r="D1381" s="1186" t="s">
        <v>49</v>
      </c>
      <c r="E1381" s="1186">
        <v>1036</v>
      </c>
      <c r="F1381" s="1186">
        <v>314330</v>
      </c>
    </row>
    <row r="1382" spans="1:6" x14ac:dyDescent="0.2">
      <c r="A1382" s="1186" t="s">
        <v>15</v>
      </c>
      <c r="B1382" s="1186" t="s">
        <v>308</v>
      </c>
      <c r="C1382" s="1186" t="s">
        <v>116</v>
      </c>
      <c r="D1382" s="1186" t="s">
        <v>50</v>
      </c>
      <c r="E1382" s="1186">
        <v>93</v>
      </c>
      <c r="F1382" s="1186">
        <v>91010</v>
      </c>
    </row>
    <row r="1383" spans="1:6" x14ac:dyDescent="0.2">
      <c r="A1383" s="1186" t="s">
        <v>15</v>
      </c>
      <c r="B1383" s="1186" t="s">
        <v>308</v>
      </c>
      <c r="C1383" s="1186" t="s">
        <v>116</v>
      </c>
      <c r="D1383" s="1186" t="s">
        <v>51</v>
      </c>
      <c r="E1383" s="1186">
        <v>433</v>
      </c>
      <c r="F1383" s="1186">
        <v>90340</v>
      </c>
    </row>
    <row r="1384" spans="1:6" x14ac:dyDescent="0.2">
      <c r="A1384" s="1186" t="s">
        <v>15</v>
      </c>
      <c r="B1384" s="1186" t="s">
        <v>308</v>
      </c>
      <c r="C1384" s="1186" t="s">
        <v>116</v>
      </c>
      <c r="D1384" s="1186" t="s">
        <v>52</v>
      </c>
      <c r="E1384" s="1186">
        <v>402</v>
      </c>
      <c r="F1384" s="1186">
        <v>176010</v>
      </c>
    </row>
    <row r="1385" spans="1:6" x14ac:dyDescent="0.2">
      <c r="A1385" s="1186" t="s">
        <v>17</v>
      </c>
      <c r="B1385" s="1186" t="s">
        <v>309</v>
      </c>
      <c r="C1385" s="1186" t="s">
        <v>61</v>
      </c>
      <c r="D1385" s="1186" t="s">
        <v>23</v>
      </c>
      <c r="E1385" s="1186">
        <v>19</v>
      </c>
      <c r="F1385" s="1186">
        <v>227070</v>
      </c>
    </row>
    <row r="1386" spans="1:6" x14ac:dyDescent="0.2">
      <c r="A1386" s="1186" t="s">
        <v>17</v>
      </c>
      <c r="B1386" s="1186" t="s">
        <v>309</v>
      </c>
      <c r="C1386" s="1186" t="s">
        <v>61</v>
      </c>
      <c r="D1386" s="1186" t="s">
        <v>24</v>
      </c>
      <c r="E1386" s="1186">
        <v>106</v>
      </c>
      <c r="F1386" s="1186">
        <v>257770</v>
      </c>
    </row>
    <row r="1387" spans="1:6" x14ac:dyDescent="0.2">
      <c r="A1387" s="1186" t="s">
        <v>17</v>
      </c>
      <c r="B1387" s="1186" t="s">
        <v>309</v>
      </c>
      <c r="C1387" s="1186" t="s">
        <v>61</v>
      </c>
      <c r="D1387" s="1186" t="s">
        <v>25</v>
      </c>
      <c r="E1387" s="1186">
        <v>30</v>
      </c>
      <c r="F1387" s="1186">
        <v>116290</v>
      </c>
    </row>
    <row r="1388" spans="1:6" x14ac:dyDescent="0.2">
      <c r="A1388" s="1186" t="s">
        <v>17</v>
      </c>
      <c r="B1388" s="1186" t="s">
        <v>309</v>
      </c>
      <c r="C1388" s="1186" t="s">
        <v>61</v>
      </c>
      <c r="D1388" s="1186" t="s">
        <v>26</v>
      </c>
      <c r="E1388" s="1186">
        <v>79</v>
      </c>
      <c r="F1388" s="1186">
        <v>88050</v>
      </c>
    </row>
    <row r="1389" spans="1:6" x14ac:dyDescent="0.2">
      <c r="A1389" s="1186" t="s">
        <v>17</v>
      </c>
      <c r="B1389" s="1186" t="s">
        <v>309</v>
      </c>
      <c r="C1389" s="1186" t="s">
        <v>61</v>
      </c>
      <c r="D1389" s="1186" t="s">
        <v>619</v>
      </c>
      <c r="E1389" s="1186">
        <v>22</v>
      </c>
      <c r="F1389" s="1186">
        <v>487460</v>
      </c>
    </row>
    <row r="1390" spans="1:6" x14ac:dyDescent="0.2">
      <c r="A1390" s="1186" t="s">
        <v>17</v>
      </c>
      <c r="B1390" s="1186" t="s">
        <v>309</v>
      </c>
      <c r="C1390" s="1186" t="s">
        <v>61</v>
      </c>
      <c r="D1390" s="1186" t="s">
        <v>27</v>
      </c>
      <c r="E1390" s="1186">
        <v>6</v>
      </c>
      <c r="F1390" s="1186">
        <v>51280</v>
      </c>
    </row>
    <row r="1391" spans="1:6" x14ac:dyDescent="0.2">
      <c r="A1391" s="1186" t="s">
        <v>17</v>
      </c>
      <c r="B1391" s="1186" t="s">
        <v>309</v>
      </c>
      <c r="C1391" s="1186" t="s">
        <v>61</v>
      </c>
      <c r="D1391" s="1186" t="s">
        <v>28</v>
      </c>
      <c r="E1391" s="1186">
        <v>80</v>
      </c>
      <c r="F1391" s="1186">
        <v>150280</v>
      </c>
    </row>
    <row r="1392" spans="1:6" x14ac:dyDescent="0.2">
      <c r="A1392" s="1186" t="s">
        <v>17</v>
      </c>
      <c r="B1392" s="1186" t="s">
        <v>309</v>
      </c>
      <c r="C1392" s="1186" t="s">
        <v>61</v>
      </c>
      <c r="D1392" s="1186" t="s">
        <v>29</v>
      </c>
      <c r="E1392" s="1186">
        <v>4</v>
      </c>
      <c r="F1392" s="1186">
        <v>148100</v>
      </c>
    </row>
    <row r="1393" spans="1:6" x14ac:dyDescent="0.2">
      <c r="A1393" s="1186" t="s">
        <v>17</v>
      </c>
      <c r="B1393" s="1186" t="s">
        <v>309</v>
      </c>
      <c r="C1393" s="1186" t="s">
        <v>61</v>
      </c>
      <c r="D1393" s="1186" t="s">
        <v>30</v>
      </c>
      <c r="E1393" s="1186">
        <v>18</v>
      </c>
      <c r="F1393" s="1186">
        <v>122430</v>
      </c>
    </row>
    <row r="1394" spans="1:6" x14ac:dyDescent="0.2">
      <c r="A1394" s="1186" t="s">
        <v>17</v>
      </c>
      <c r="B1394" s="1186" t="s">
        <v>309</v>
      </c>
      <c r="C1394" s="1186" t="s">
        <v>61</v>
      </c>
      <c r="D1394" s="1186" t="s">
        <v>31</v>
      </c>
      <c r="E1394" s="1186">
        <v>6</v>
      </c>
      <c r="F1394" s="1186">
        <v>105840</v>
      </c>
    </row>
    <row r="1395" spans="1:6" x14ac:dyDescent="0.2">
      <c r="A1395" s="1186" t="s">
        <v>17</v>
      </c>
      <c r="B1395" s="1186" t="s">
        <v>309</v>
      </c>
      <c r="C1395" s="1186" t="s">
        <v>61</v>
      </c>
      <c r="D1395" s="1186" t="s">
        <v>32</v>
      </c>
      <c r="E1395" s="1186">
        <v>24</v>
      </c>
      <c r="F1395" s="1186">
        <v>101390</v>
      </c>
    </row>
    <row r="1396" spans="1:6" x14ac:dyDescent="0.2">
      <c r="A1396" s="1186" t="s">
        <v>17</v>
      </c>
      <c r="B1396" s="1186" t="s">
        <v>309</v>
      </c>
      <c r="C1396" s="1186" t="s">
        <v>61</v>
      </c>
      <c r="D1396" s="1186" t="s">
        <v>33</v>
      </c>
      <c r="E1396" s="1186">
        <v>3</v>
      </c>
      <c r="F1396" s="1186">
        <v>91530</v>
      </c>
    </row>
    <row r="1397" spans="1:6" x14ac:dyDescent="0.2">
      <c r="A1397" s="1186" t="s">
        <v>17</v>
      </c>
      <c r="B1397" s="1186" t="s">
        <v>309</v>
      </c>
      <c r="C1397" s="1186" t="s">
        <v>61</v>
      </c>
      <c r="D1397" s="1186" t="s">
        <v>34</v>
      </c>
      <c r="E1397" s="1186">
        <v>8</v>
      </c>
      <c r="F1397" s="1186">
        <v>157160</v>
      </c>
    </row>
    <row r="1398" spans="1:6" x14ac:dyDescent="0.2">
      <c r="A1398" s="1186" t="s">
        <v>17</v>
      </c>
      <c r="B1398" s="1186" t="s">
        <v>309</v>
      </c>
      <c r="C1398" s="1186" t="s">
        <v>61</v>
      </c>
      <c r="D1398" s="1186" t="s">
        <v>35</v>
      </c>
      <c r="E1398" s="1186">
        <v>30</v>
      </c>
      <c r="F1398" s="1186">
        <v>366900</v>
      </c>
    </row>
    <row r="1399" spans="1:6" x14ac:dyDescent="0.2">
      <c r="A1399" s="1186" t="s">
        <v>17</v>
      </c>
      <c r="B1399" s="1186" t="s">
        <v>309</v>
      </c>
      <c r="C1399" s="1186" t="s">
        <v>61</v>
      </c>
      <c r="D1399" s="1186" t="s">
        <v>36</v>
      </c>
      <c r="E1399" s="1186">
        <v>10</v>
      </c>
      <c r="F1399" s="1186">
        <v>596520</v>
      </c>
    </row>
    <row r="1400" spans="1:6" x14ac:dyDescent="0.2">
      <c r="A1400" s="1186" t="s">
        <v>17</v>
      </c>
      <c r="B1400" s="1186" t="s">
        <v>309</v>
      </c>
      <c r="C1400" s="1186" t="s">
        <v>61</v>
      </c>
      <c r="D1400" s="1186" t="s">
        <v>37</v>
      </c>
      <c r="E1400" s="1186">
        <v>270</v>
      </c>
      <c r="F1400" s="1186">
        <v>232930</v>
      </c>
    </row>
    <row r="1401" spans="1:6" x14ac:dyDescent="0.2">
      <c r="A1401" s="1186" t="s">
        <v>17</v>
      </c>
      <c r="B1401" s="1186" t="s">
        <v>309</v>
      </c>
      <c r="C1401" s="1186" t="s">
        <v>61</v>
      </c>
      <c r="D1401" s="1186" t="s">
        <v>38</v>
      </c>
      <c r="E1401" s="1186">
        <v>2</v>
      </c>
      <c r="F1401" s="1186">
        <v>80340</v>
      </c>
    </row>
    <row r="1402" spans="1:6" x14ac:dyDescent="0.2">
      <c r="A1402" s="1186" t="s">
        <v>17</v>
      </c>
      <c r="B1402" s="1186" t="s">
        <v>309</v>
      </c>
      <c r="C1402" s="1186" t="s">
        <v>61</v>
      </c>
      <c r="D1402" s="1186" t="s">
        <v>39</v>
      </c>
      <c r="E1402" s="1186">
        <v>10</v>
      </c>
      <c r="F1402" s="1186">
        <v>84710</v>
      </c>
    </row>
    <row r="1403" spans="1:6" x14ac:dyDescent="0.2">
      <c r="A1403" s="1186" t="s">
        <v>17</v>
      </c>
      <c r="B1403" s="1186" t="s">
        <v>309</v>
      </c>
      <c r="C1403" s="1186" t="s">
        <v>61</v>
      </c>
      <c r="D1403" s="1186" t="s">
        <v>40</v>
      </c>
      <c r="E1403" s="1186">
        <v>47</v>
      </c>
      <c r="F1403" s="1186">
        <v>94360</v>
      </c>
    </row>
    <row r="1404" spans="1:6" x14ac:dyDescent="0.2">
      <c r="A1404" s="1186" t="s">
        <v>17</v>
      </c>
      <c r="B1404" s="1186" t="s">
        <v>309</v>
      </c>
      <c r="C1404" s="1186" t="s">
        <v>61</v>
      </c>
      <c r="D1404" s="1186" t="s">
        <v>295</v>
      </c>
      <c r="E1404" s="1186">
        <v>62</v>
      </c>
      <c r="F1404" s="1186">
        <v>27400</v>
      </c>
    </row>
    <row r="1405" spans="1:6" x14ac:dyDescent="0.2">
      <c r="A1405" s="1186" t="s">
        <v>17</v>
      </c>
      <c r="B1405" s="1186" t="s">
        <v>309</v>
      </c>
      <c r="C1405" s="1186" t="s">
        <v>61</v>
      </c>
      <c r="D1405" s="1186" t="s">
        <v>41</v>
      </c>
      <c r="E1405" s="1186">
        <v>15</v>
      </c>
      <c r="F1405" s="1186">
        <v>136940</v>
      </c>
    </row>
    <row r="1406" spans="1:6" x14ac:dyDescent="0.2">
      <c r="A1406" s="1186" t="s">
        <v>17</v>
      </c>
      <c r="B1406" s="1186" t="s">
        <v>309</v>
      </c>
      <c r="C1406" s="1186" t="s">
        <v>61</v>
      </c>
      <c r="D1406" s="1186" t="s">
        <v>42</v>
      </c>
      <c r="E1406" s="1186">
        <v>5</v>
      </c>
      <c r="F1406" s="1186">
        <v>337780</v>
      </c>
    </row>
    <row r="1407" spans="1:6" x14ac:dyDescent="0.2">
      <c r="A1407" s="1186" t="s">
        <v>17</v>
      </c>
      <c r="B1407" s="1186" t="s">
        <v>309</v>
      </c>
      <c r="C1407" s="1186" t="s">
        <v>61</v>
      </c>
      <c r="D1407" s="1186" t="s">
        <v>43</v>
      </c>
      <c r="E1407" s="1186">
        <v>17</v>
      </c>
      <c r="F1407" s="1186">
        <v>21560</v>
      </c>
    </row>
    <row r="1408" spans="1:6" x14ac:dyDescent="0.2">
      <c r="A1408" s="1186" t="s">
        <v>17</v>
      </c>
      <c r="B1408" s="1186" t="s">
        <v>309</v>
      </c>
      <c r="C1408" s="1186" t="s">
        <v>61</v>
      </c>
      <c r="D1408" s="1186" t="s">
        <v>44</v>
      </c>
      <c r="E1408" s="1186">
        <v>73</v>
      </c>
      <c r="F1408" s="1186">
        <v>147770</v>
      </c>
    </row>
    <row r="1409" spans="1:6" x14ac:dyDescent="0.2">
      <c r="A1409" s="1186" t="s">
        <v>17</v>
      </c>
      <c r="B1409" s="1186" t="s">
        <v>309</v>
      </c>
      <c r="C1409" s="1186" t="s">
        <v>61</v>
      </c>
      <c r="D1409" s="1186" t="s">
        <v>45</v>
      </c>
      <c r="E1409" s="1186">
        <v>2</v>
      </c>
      <c r="F1409" s="1186">
        <v>173890</v>
      </c>
    </row>
    <row r="1410" spans="1:6" x14ac:dyDescent="0.2">
      <c r="A1410" s="1186" t="s">
        <v>17</v>
      </c>
      <c r="B1410" s="1186" t="s">
        <v>309</v>
      </c>
      <c r="C1410" s="1186" t="s">
        <v>61</v>
      </c>
      <c r="D1410" s="1186" t="s">
        <v>46</v>
      </c>
      <c r="E1410" s="1186">
        <v>65</v>
      </c>
      <c r="F1410" s="1186">
        <v>113880</v>
      </c>
    </row>
    <row r="1411" spans="1:6" x14ac:dyDescent="0.2">
      <c r="A1411" s="1186" t="s">
        <v>17</v>
      </c>
      <c r="B1411" s="1186" t="s">
        <v>309</v>
      </c>
      <c r="C1411" s="1186" t="s">
        <v>61</v>
      </c>
      <c r="D1411" s="1186" t="s">
        <v>47</v>
      </c>
      <c r="E1411" s="1186">
        <v>16</v>
      </c>
      <c r="F1411" s="1186">
        <v>23200</v>
      </c>
    </row>
    <row r="1412" spans="1:6" x14ac:dyDescent="0.2">
      <c r="A1412" s="1186" t="s">
        <v>17</v>
      </c>
      <c r="B1412" s="1186" t="s">
        <v>309</v>
      </c>
      <c r="C1412" s="1186" t="s">
        <v>61</v>
      </c>
      <c r="D1412" s="1186" t="s">
        <v>48</v>
      </c>
      <c r="E1412" s="1186">
        <v>17</v>
      </c>
      <c r="F1412" s="1186">
        <v>112870</v>
      </c>
    </row>
    <row r="1413" spans="1:6" x14ac:dyDescent="0.2">
      <c r="A1413" s="1186" t="s">
        <v>17</v>
      </c>
      <c r="B1413" s="1186" t="s">
        <v>309</v>
      </c>
      <c r="C1413" s="1186" t="s">
        <v>61</v>
      </c>
      <c r="D1413" s="1186" t="s">
        <v>49</v>
      </c>
      <c r="E1413" s="1186">
        <v>19</v>
      </c>
      <c r="F1413" s="1186">
        <v>314810</v>
      </c>
    </row>
    <row r="1414" spans="1:6" x14ac:dyDescent="0.2">
      <c r="A1414" s="1186" t="s">
        <v>17</v>
      </c>
      <c r="B1414" s="1186" t="s">
        <v>309</v>
      </c>
      <c r="C1414" s="1186" t="s">
        <v>61</v>
      </c>
      <c r="D1414" s="1186" t="s">
        <v>50</v>
      </c>
      <c r="E1414" s="1186">
        <v>27</v>
      </c>
      <c r="F1414" s="1186">
        <v>91230</v>
      </c>
    </row>
    <row r="1415" spans="1:6" x14ac:dyDescent="0.2">
      <c r="A1415" s="1186" t="s">
        <v>17</v>
      </c>
      <c r="B1415" s="1186" t="s">
        <v>309</v>
      </c>
      <c r="C1415" s="1186" t="s">
        <v>61</v>
      </c>
      <c r="D1415" s="1186" t="s">
        <v>51</v>
      </c>
      <c r="E1415" s="1186">
        <v>4</v>
      </c>
      <c r="F1415" s="1186">
        <v>89800</v>
      </c>
    </row>
    <row r="1416" spans="1:6" x14ac:dyDescent="0.2">
      <c r="A1416" s="1186" t="s">
        <v>17</v>
      </c>
      <c r="B1416" s="1186" t="s">
        <v>309</v>
      </c>
      <c r="C1416" s="1186" t="s">
        <v>61</v>
      </c>
      <c r="D1416" s="1186" t="s">
        <v>52</v>
      </c>
      <c r="E1416" s="1186">
        <v>9</v>
      </c>
      <c r="F1416" s="1186">
        <v>176160</v>
      </c>
    </row>
    <row r="1417" spans="1:6" x14ac:dyDescent="0.2">
      <c r="A1417" s="1186" t="s">
        <v>17</v>
      </c>
      <c r="B1417" s="1186" t="s">
        <v>309</v>
      </c>
      <c r="C1417" s="1186" t="s">
        <v>116</v>
      </c>
      <c r="D1417" s="1186" t="s">
        <v>26</v>
      </c>
      <c r="E1417" s="1186">
        <v>1</v>
      </c>
      <c r="F1417" s="1186">
        <v>88050</v>
      </c>
    </row>
    <row r="1418" spans="1:6" x14ac:dyDescent="0.2">
      <c r="A1418" s="1186" t="s">
        <v>17</v>
      </c>
      <c r="B1418" s="1186" t="s">
        <v>309</v>
      </c>
      <c r="C1418" s="1186" t="s">
        <v>116</v>
      </c>
      <c r="D1418" s="1186" t="s">
        <v>32</v>
      </c>
      <c r="E1418" s="1186">
        <v>1</v>
      </c>
      <c r="F1418" s="1186">
        <v>101390</v>
      </c>
    </row>
    <row r="1419" spans="1:6" x14ac:dyDescent="0.2">
      <c r="A1419" s="1186" t="s">
        <v>17</v>
      </c>
      <c r="B1419" s="1186" t="s">
        <v>823</v>
      </c>
      <c r="C1419" s="1186" t="s">
        <v>61</v>
      </c>
      <c r="D1419" s="1186" t="s">
        <v>23</v>
      </c>
      <c r="E1419" s="1186">
        <v>247</v>
      </c>
      <c r="F1419" s="1186">
        <v>227070</v>
      </c>
    </row>
    <row r="1420" spans="1:6" x14ac:dyDescent="0.2">
      <c r="A1420" s="1186" t="s">
        <v>17</v>
      </c>
      <c r="B1420" s="1186" t="s">
        <v>823</v>
      </c>
      <c r="C1420" s="1186" t="s">
        <v>61</v>
      </c>
      <c r="D1420" s="1186" t="s">
        <v>24</v>
      </c>
      <c r="E1420" s="1186">
        <v>173</v>
      </c>
      <c r="F1420" s="1186">
        <v>257770</v>
      </c>
    </row>
    <row r="1421" spans="1:6" x14ac:dyDescent="0.2">
      <c r="A1421" s="1186" t="s">
        <v>17</v>
      </c>
      <c r="B1421" s="1186" t="s">
        <v>823</v>
      </c>
      <c r="C1421" s="1186" t="s">
        <v>61</v>
      </c>
      <c r="D1421" s="1186" t="s">
        <v>25</v>
      </c>
      <c r="E1421" s="1186">
        <v>71</v>
      </c>
      <c r="F1421" s="1186">
        <v>116290</v>
      </c>
    </row>
    <row r="1422" spans="1:6" x14ac:dyDescent="0.2">
      <c r="A1422" s="1186" t="s">
        <v>17</v>
      </c>
      <c r="B1422" s="1186" t="s">
        <v>823</v>
      </c>
      <c r="C1422" s="1186" t="s">
        <v>61</v>
      </c>
      <c r="D1422" s="1186" t="s">
        <v>26</v>
      </c>
      <c r="E1422" s="1186">
        <v>78</v>
      </c>
      <c r="F1422" s="1186">
        <v>88050</v>
      </c>
    </row>
    <row r="1423" spans="1:6" x14ac:dyDescent="0.2">
      <c r="A1423" s="1186" t="s">
        <v>17</v>
      </c>
      <c r="B1423" s="1186" t="s">
        <v>823</v>
      </c>
      <c r="C1423" s="1186" t="s">
        <v>61</v>
      </c>
      <c r="D1423" s="1186" t="s">
        <v>619</v>
      </c>
      <c r="E1423" s="1186">
        <v>523</v>
      </c>
      <c r="F1423" s="1186">
        <v>487460</v>
      </c>
    </row>
    <row r="1424" spans="1:6" x14ac:dyDescent="0.2">
      <c r="A1424" s="1186" t="s">
        <v>17</v>
      </c>
      <c r="B1424" s="1186" t="s">
        <v>823</v>
      </c>
      <c r="C1424" s="1186" t="s">
        <v>61</v>
      </c>
      <c r="D1424" s="1186" t="s">
        <v>27</v>
      </c>
      <c r="E1424" s="1186">
        <v>38</v>
      </c>
      <c r="F1424" s="1186">
        <v>51280</v>
      </c>
    </row>
    <row r="1425" spans="1:6" x14ac:dyDescent="0.2">
      <c r="A1425" s="1186" t="s">
        <v>17</v>
      </c>
      <c r="B1425" s="1186" t="s">
        <v>823</v>
      </c>
      <c r="C1425" s="1186" t="s">
        <v>61</v>
      </c>
      <c r="D1425" s="1186" t="s">
        <v>28</v>
      </c>
      <c r="E1425" s="1186">
        <v>111</v>
      </c>
      <c r="F1425" s="1186">
        <v>150280</v>
      </c>
    </row>
    <row r="1426" spans="1:6" x14ac:dyDescent="0.2">
      <c r="A1426" s="1186" t="s">
        <v>17</v>
      </c>
      <c r="B1426" s="1186" t="s">
        <v>823</v>
      </c>
      <c r="C1426" s="1186" t="s">
        <v>61</v>
      </c>
      <c r="D1426" s="1186" t="s">
        <v>29</v>
      </c>
      <c r="E1426" s="1186">
        <v>195</v>
      </c>
      <c r="F1426" s="1186">
        <v>148100</v>
      </c>
    </row>
    <row r="1427" spans="1:6" x14ac:dyDescent="0.2">
      <c r="A1427" s="1186" t="s">
        <v>17</v>
      </c>
      <c r="B1427" s="1186" t="s">
        <v>823</v>
      </c>
      <c r="C1427" s="1186" t="s">
        <v>61</v>
      </c>
      <c r="D1427" s="1186" t="s">
        <v>30</v>
      </c>
      <c r="E1427" s="1186">
        <v>91</v>
      </c>
      <c r="F1427" s="1186">
        <v>122430</v>
      </c>
    </row>
    <row r="1428" spans="1:6" x14ac:dyDescent="0.2">
      <c r="A1428" s="1186" t="s">
        <v>17</v>
      </c>
      <c r="B1428" s="1186" t="s">
        <v>823</v>
      </c>
      <c r="C1428" s="1186" t="s">
        <v>61</v>
      </c>
      <c r="D1428" s="1186" t="s">
        <v>31</v>
      </c>
      <c r="E1428" s="1186">
        <v>53</v>
      </c>
      <c r="F1428" s="1186">
        <v>105840</v>
      </c>
    </row>
    <row r="1429" spans="1:6" x14ac:dyDescent="0.2">
      <c r="A1429" s="1186" t="s">
        <v>17</v>
      </c>
      <c r="B1429" s="1186" t="s">
        <v>823</v>
      </c>
      <c r="C1429" s="1186" t="s">
        <v>61</v>
      </c>
      <c r="D1429" s="1186" t="s">
        <v>32</v>
      </c>
      <c r="E1429" s="1186">
        <v>81</v>
      </c>
      <c r="F1429" s="1186">
        <v>101390</v>
      </c>
    </row>
    <row r="1430" spans="1:6" x14ac:dyDescent="0.2">
      <c r="A1430" s="1186" t="s">
        <v>17</v>
      </c>
      <c r="B1430" s="1186" t="s">
        <v>823</v>
      </c>
      <c r="C1430" s="1186" t="s">
        <v>61</v>
      </c>
      <c r="D1430" s="1186" t="s">
        <v>33</v>
      </c>
      <c r="E1430" s="1186">
        <v>61</v>
      </c>
      <c r="F1430" s="1186">
        <v>91530</v>
      </c>
    </row>
    <row r="1431" spans="1:6" x14ac:dyDescent="0.2">
      <c r="A1431" s="1186" t="s">
        <v>17</v>
      </c>
      <c r="B1431" s="1186" t="s">
        <v>823</v>
      </c>
      <c r="C1431" s="1186" t="s">
        <v>61</v>
      </c>
      <c r="D1431" s="1186" t="s">
        <v>34</v>
      </c>
      <c r="E1431" s="1186">
        <v>118</v>
      </c>
      <c r="F1431" s="1186">
        <v>157160</v>
      </c>
    </row>
    <row r="1432" spans="1:6" x14ac:dyDescent="0.2">
      <c r="A1432" s="1186" t="s">
        <v>17</v>
      </c>
      <c r="B1432" s="1186" t="s">
        <v>823</v>
      </c>
      <c r="C1432" s="1186" t="s">
        <v>61</v>
      </c>
      <c r="D1432" s="1186" t="s">
        <v>35</v>
      </c>
      <c r="E1432" s="1186">
        <v>216</v>
      </c>
      <c r="F1432" s="1186">
        <v>366900</v>
      </c>
    </row>
    <row r="1433" spans="1:6" x14ac:dyDescent="0.2">
      <c r="A1433" s="1186" t="s">
        <v>17</v>
      </c>
      <c r="B1433" s="1186" t="s">
        <v>823</v>
      </c>
      <c r="C1433" s="1186" t="s">
        <v>61</v>
      </c>
      <c r="D1433" s="1186" t="s">
        <v>36</v>
      </c>
      <c r="E1433" s="1186">
        <v>763</v>
      </c>
      <c r="F1433" s="1186">
        <v>596520</v>
      </c>
    </row>
    <row r="1434" spans="1:6" x14ac:dyDescent="0.2">
      <c r="A1434" s="1186" t="s">
        <v>17</v>
      </c>
      <c r="B1434" s="1186" t="s">
        <v>823</v>
      </c>
      <c r="C1434" s="1186" t="s">
        <v>61</v>
      </c>
      <c r="D1434" s="1186" t="s">
        <v>37</v>
      </c>
      <c r="E1434" s="1186">
        <v>140</v>
      </c>
      <c r="F1434" s="1186">
        <v>232930</v>
      </c>
    </row>
    <row r="1435" spans="1:6" x14ac:dyDescent="0.2">
      <c r="A1435" s="1186" t="s">
        <v>17</v>
      </c>
      <c r="B1435" s="1186" t="s">
        <v>823</v>
      </c>
      <c r="C1435" s="1186" t="s">
        <v>61</v>
      </c>
      <c r="D1435" s="1186" t="s">
        <v>38</v>
      </c>
      <c r="E1435" s="1186">
        <v>87</v>
      </c>
      <c r="F1435" s="1186">
        <v>80340</v>
      </c>
    </row>
    <row r="1436" spans="1:6" x14ac:dyDescent="0.2">
      <c r="A1436" s="1186" t="s">
        <v>17</v>
      </c>
      <c r="B1436" s="1186" t="s">
        <v>823</v>
      </c>
      <c r="C1436" s="1186" t="s">
        <v>61</v>
      </c>
      <c r="D1436" s="1186" t="s">
        <v>39</v>
      </c>
      <c r="E1436" s="1186">
        <v>62</v>
      </c>
      <c r="F1436" s="1186">
        <v>84710</v>
      </c>
    </row>
    <row r="1437" spans="1:6" x14ac:dyDescent="0.2">
      <c r="A1437" s="1186" t="s">
        <v>17</v>
      </c>
      <c r="B1437" s="1186" t="s">
        <v>823</v>
      </c>
      <c r="C1437" s="1186" t="s">
        <v>61</v>
      </c>
      <c r="D1437" s="1186" t="s">
        <v>40</v>
      </c>
      <c r="E1437" s="1186">
        <v>69</v>
      </c>
      <c r="F1437" s="1186">
        <v>94360</v>
      </c>
    </row>
    <row r="1438" spans="1:6" x14ac:dyDescent="0.2">
      <c r="A1438" s="1186" t="s">
        <v>17</v>
      </c>
      <c r="B1438" s="1186" t="s">
        <v>823</v>
      </c>
      <c r="C1438" s="1186" t="s">
        <v>61</v>
      </c>
      <c r="D1438" s="1186" t="s">
        <v>295</v>
      </c>
      <c r="E1438" s="1186">
        <v>11</v>
      </c>
      <c r="F1438" s="1186">
        <v>27400</v>
      </c>
    </row>
    <row r="1439" spans="1:6" x14ac:dyDescent="0.2">
      <c r="A1439" s="1186" t="s">
        <v>17</v>
      </c>
      <c r="B1439" s="1186" t="s">
        <v>823</v>
      </c>
      <c r="C1439" s="1186" t="s">
        <v>61</v>
      </c>
      <c r="D1439" s="1186" t="s">
        <v>41</v>
      </c>
      <c r="E1439" s="1186">
        <v>135</v>
      </c>
      <c r="F1439" s="1186">
        <v>136940</v>
      </c>
    </row>
    <row r="1440" spans="1:6" x14ac:dyDescent="0.2">
      <c r="A1440" s="1186" t="s">
        <v>17</v>
      </c>
      <c r="B1440" s="1186" t="s">
        <v>823</v>
      </c>
      <c r="C1440" s="1186" t="s">
        <v>61</v>
      </c>
      <c r="D1440" s="1186" t="s">
        <v>42</v>
      </c>
      <c r="E1440" s="1186">
        <v>259</v>
      </c>
      <c r="F1440" s="1186">
        <v>337780</v>
      </c>
    </row>
    <row r="1441" spans="1:6" x14ac:dyDescent="0.2">
      <c r="A1441" s="1186" t="s">
        <v>17</v>
      </c>
      <c r="B1441" s="1186" t="s">
        <v>823</v>
      </c>
      <c r="C1441" s="1186" t="s">
        <v>61</v>
      </c>
      <c r="D1441" s="1186" t="s">
        <v>43</v>
      </c>
      <c r="E1441" s="1186">
        <v>10</v>
      </c>
      <c r="F1441" s="1186">
        <v>21560</v>
      </c>
    </row>
    <row r="1442" spans="1:6" x14ac:dyDescent="0.2">
      <c r="A1442" s="1186" t="s">
        <v>17</v>
      </c>
      <c r="B1442" s="1186" t="s">
        <v>823</v>
      </c>
      <c r="C1442" s="1186" t="s">
        <v>61</v>
      </c>
      <c r="D1442" s="1186" t="s">
        <v>44</v>
      </c>
      <c r="E1442" s="1186">
        <v>97</v>
      </c>
      <c r="F1442" s="1186">
        <v>147770</v>
      </c>
    </row>
    <row r="1443" spans="1:6" x14ac:dyDescent="0.2">
      <c r="A1443" s="1186" t="s">
        <v>17</v>
      </c>
      <c r="B1443" s="1186" t="s">
        <v>823</v>
      </c>
      <c r="C1443" s="1186" t="s">
        <v>61</v>
      </c>
      <c r="D1443" s="1186" t="s">
        <v>45</v>
      </c>
      <c r="E1443" s="1186">
        <v>223</v>
      </c>
      <c r="F1443" s="1186">
        <v>173890</v>
      </c>
    </row>
    <row r="1444" spans="1:6" x14ac:dyDescent="0.2">
      <c r="A1444" s="1186" t="s">
        <v>17</v>
      </c>
      <c r="B1444" s="1186" t="s">
        <v>823</v>
      </c>
      <c r="C1444" s="1186" t="s">
        <v>61</v>
      </c>
      <c r="D1444" s="1186" t="s">
        <v>46</v>
      </c>
      <c r="E1444" s="1186">
        <v>101</v>
      </c>
      <c r="F1444" s="1186">
        <v>113880</v>
      </c>
    </row>
    <row r="1445" spans="1:6" x14ac:dyDescent="0.2">
      <c r="A1445" s="1186" t="s">
        <v>17</v>
      </c>
      <c r="B1445" s="1186" t="s">
        <v>823</v>
      </c>
      <c r="C1445" s="1186" t="s">
        <v>61</v>
      </c>
      <c r="D1445" s="1186" t="s">
        <v>47</v>
      </c>
      <c r="E1445" s="1186">
        <v>11</v>
      </c>
      <c r="F1445" s="1186">
        <v>23200</v>
      </c>
    </row>
    <row r="1446" spans="1:6" x14ac:dyDescent="0.2">
      <c r="A1446" s="1186" t="s">
        <v>17</v>
      </c>
      <c r="B1446" s="1186" t="s">
        <v>823</v>
      </c>
      <c r="C1446" s="1186" t="s">
        <v>61</v>
      </c>
      <c r="D1446" s="1186" t="s">
        <v>48</v>
      </c>
      <c r="E1446" s="1186">
        <v>86</v>
      </c>
      <c r="F1446" s="1186">
        <v>112870</v>
      </c>
    </row>
    <row r="1447" spans="1:6" x14ac:dyDescent="0.2">
      <c r="A1447" s="1186" t="s">
        <v>17</v>
      </c>
      <c r="B1447" s="1186" t="s">
        <v>823</v>
      </c>
      <c r="C1447" s="1186" t="s">
        <v>61</v>
      </c>
      <c r="D1447" s="1186" t="s">
        <v>49</v>
      </c>
      <c r="E1447" s="1186">
        <v>228</v>
      </c>
      <c r="F1447" s="1186">
        <v>314810</v>
      </c>
    </row>
    <row r="1448" spans="1:6" x14ac:dyDescent="0.2">
      <c r="A1448" s="1186" t="s">
        <v>17</v>
      </c>
      <c r="B1448" s="1186" t="s">
        <v>823</v>
      </c>
      <c r="C1448" s="1186" t="s">
        <v>61</v>
      </c>
      <c r="D1448" s="1186" t="s">
        <v>50</v>
      </c>
      <c r="E1448" s="1186">
        <v>66</v>
      </c>
      <c r="F1448" s="1186">
        <v>91230</v>
      </c>
    </row>
    <row r="1449" spans="1:6" x14ac:dyDescent="0.2">
      <c r="A1449" s="1186" t="s">
        <v>17</v>
      </c>
      <c r="B1449" s="1186" t="s">
        <v>823</v>
      </c>
      <c r="C1449" s="1186" t="s">
        <v>61</v>
      </c>
      <c r="D1449" s="1186" t="s">
        <v>51</v>
      </c>
      <c r="E1449" s="1186">
        <v>105</v>
      </c>
      <c r="F1449" s="1186">
        <v>89800</v>
      </c>
    </row>
    <row r="1450" spans="1:6" x14ac:dyDescent="0.2">
      <c r="A1450" s="1186" t="s">
        <v>17</v>
      </c>
      <c r="B1450" s="1186" t="s">
        <v>823</v>
      </c>
      <c r="C1450" s="1186" t="s">
        <v>61</v>
      </c>
      <c r="D1450" s="1186" t="s">
        <v>52</v>
      </c>
      <c r="E1450" s="1186">
        <v>164</v>
      </c>
      <c r="F1450" s="1186">
        <v>176160</v>
      </c>
    </row>
    <row r="1451" spans="1:6" x14ac:dyDescent="0.2">
      <c r="A1451" s="1186" t="s">
        <v>17</v>
      </c>
      <c r="B1451" s="1186" t="s">
        <v>823</v>
      </c>
      <c r="C1451" s="1186" t="s">
        <v>116</v>
      </c>
      <c r="D1451" s="1186" t="s">
        <v>23</v>
      </c>
      <c r="E1451" s="1186">
        <v>47</v>
      </c>
      <c r="F1451" s="1186">
        <v>227070</v>
      </c>
    </row>
    <row r="1452" spans="1:6" x14ac:dyDescent="0.2">
      <c r="A1452" s="1186" t="s">
        <v>17</v>
      </c>
      <c r="B1452" s="1186" t="s">
        <v>823</v>
      </c>
      <c r="C1452" s="1186" t="s">
        <v>116</v>
      </c>
      <c r="D1452" s="1186" t="s">
        <v>24</v>
      </c>
      <c r="E1452" s="1186">
        <v>9</v>
      </c>
      <c r="F1452" s="1186">
        <v>257770</v>
      </c>
    </row>
    <row r="1453" spans="1:6" x14ac:dyDescent="0.2">
      <c r="A1453" s="1186" t="s">
        <v>17</v>
      </c>
      <c r="B1453" s="1186" t="s">
        <v>823</v>
      </c>
      <c r="C1453" s="1186" t="s">
        <v>116</v>
      </c>
      <c r="D1453" s="1186" t="s">
        <v>25</v>
      </c>
      <c r="E1453" s="1186">
        <v>9</v>
      </c>
      <c r="F1453" s="1186">
        <v>116290</v>
      </c>
    </row>
    <row r="1454" spans="1:6" x14ac:dyDescent="0.2">
      <c r="A1454" s="1186" t="s">
        <v>17</v>
      </c>
      <c r="B1454" s="1186" t="s">
        <v>823</v>
      </c>
      <c r="C1454" s="1186" t="s">
        <v>116</v>
      </c>
      <c r="D1454" s="1186" t="s">
        <v>26</v>
      </c>
      <c r="E1454" s="1186">
        <v>10</v>
      </c>
      <c r="F1454" s="1186">
        <v>88050</v>
      </c>
    </row>
    <row r="1455" spans="1:6" x14ac:dyDescent="0.2">
      <c r="A1455" s="1186" t="s">
        <v>17</v>
      </c>
      <c r="B1455" s="1186" t="s">
        <v>823</v>
      </c>
      <c r="C1455" s="1186" t="s">
        <v>116</v>
      </c>
      <c r="D1455" s="1186" t="s">
        <v>619</v>
      </c>
      <c r="E1455" s="1186">
        <v>84</v>
      </c>
      <c r="F1455" s="1186">
        <v>487460</v>
      </c>
    </row>
    <row r="1456" spans="1:6" x14ac:dyDescent="0.2">
      <c r="A1456" s="1186" t="s">
        <v>17</v>
      </c>
      <c r="B1456" s="1186" t="s">
        <v>823</v>
      </c>
      <c r="C1456" s="1186" t="s">
        <v>116</v>
      </c>
      <c r="D1456" s="1186" t="s">
        <v>27</v>
      </c>
      <c r="E1456" s="1186">
        <v>4</v>
      </c>
      <c r="F1456" s="1186">
        <v>51280</v>
      </c>
    </row>
    <row r="1457" spans="1:6" x14ac:dyDescent="0.2">
      <c r="A1457" s="1186" t="s">
        <v>17</v>
      </c>
      <c r="B1457" s="1186" t="s">
        <v>823</v>
      </c>
      <c r="C1457" s="1186" t="s">
        <v>116</v>
      </c>
      <c r="D1457" s="1186" t="s">
        <v>28</v>
      </c>
      <c r="E1457" s="1186">
        <v>1</v>
      </c>
      <c r="F1457" s="1186">
        <v>150280</v>
      </c>
    </row>
    <row r="1458" spans="1:6" x14ac:dyDescent="0.2">
      <c r="A1458" s="1186" t="s">
        <v>17</v>
      </c>
      <c r="B1458" s="1186" t="s">
        <v>823</v>
      </c>
      <c r="C1458" s="1186" t="s">
        <v>116</v>
      </c>
      <c r="D1458" s="1186" t="s">
        <v>29</v>
      </c>
      <c r="E1458" s="1186">
        <v>25</v>
      </c>
      <c r="F1458" s="1186">
        <v>148100</v>
      </c>
    </row>
    <row r="1459" spans="1:6" x14ac:dyDescent="0.2">
      <c r="A1459" s="1186" t="s">
        <v>17</v>
      </c>
      <c r="B1459" s="1186" t="s">
        <v>823</v>
      </c>
      <c r="C1459" s="1186" t="s">
        <v>116</v>
      </c>
      <c r="D1459" s="1186" t="s">
        <v>30</v>
      </c>
      <c r="E1459" s="1186">
        <v>16</v>
      </c>
      <c r="F1459" s="1186">
        <v>122430</v>
      </c>
    </row>
    <row r="1460" spans="1:6" x14ac:dyDescent="0.2">
      <c r="A1460" s="1186" t="s">
        <v>17</v>
      </c>
      <c r="B1460" s="1186" t="s">
        <v>823</v>
      </c>
      <c r="C1460" s="1186" t="s">
        <v>116</v>
      </c>
      <c r="D1460" s="1186" t="s">
        <v>31</v>
      </c>
      <c r="E1460" s="1186">
        <v>4</v>
      </c>
      <c r="F1460" s="1186">
        <v>105840</v>
      </c>
    </row>
    <row r="1461" spans="1:6" x14ac:dyDescent="0.2">
      <c r="A1461" s="1186" t="s">
        <v>17</v>
      </c>
      <c r="B1461" s="1186" t="s">
        <v>823</v>
      </c>
      <c r="C1461" s="1186" t="s">
        <v>116</v>
      </c>
      <c r="D1461" s="1186" t="s">
        <v>32</v>
      </c>
      <c r="E1461" s="1186">
        <v>2</v>
      </c>
      <c r="F1461" s="1186">
        <v>101390</v>
      </c>
    </row>
    <row r="1462" spans="1:6" x14ac:dyDescent="0.2">
      <c r="A1462" s="1186" t="s">
        <v>17</v>
      </c>
      <c r="B1462" s="1186" t="s">
        <v>823</v>
      </c>
      <c r="C1462" s="1186" t="s">
        <v>116</v>
      </c>
      <c r="D1462" s="1186" t="s">
        <v>33</v>
      </c>
      <c r="E1462" s="1186">
        <v>3</v>
      </c>
      <c r="F1462" s="1186">
        <v>91530</v>
      </c>
    </row>
    <row r="1463" spans="1:6" x14ac:dyDescent="0.2">
      <c r="A1463" s="1186" t="s">
        <v>17</v>
      </c>
      <c r="B1463" s="1186" t="s">
        <v>823</v>
      </c>
      <c r="C1463" s="1186" t="s">
        <v>116</v>
      </c>
      <c r="D1463" s="1186" t="s">
        <v>34</v>
      </c>
      <c r="E1463" s="1186">
        <v>12</v>
      </c>
      <c r="F1463" s="1186">
        <v>157160</v>
      </c>
    </row>
    <row r="1464" spans="1:6" x14ac:dyDescent="0.2">
      <c r="A1464" s="1186" t="s">
        <v>17</v>
      </c>
      <c r="B1464" s="1186" t="s">
        <v>823</v>
      </c>
      <c r="C1464" s="1186" t="s">
        <v>116</v>
      </c>
      <c r="D1464" s="1186" t="s">
        <v>35</v>
      </c>
      <c r="E1464" s="1186">
        <v>15</v>
      </c>
      <c r="F1464" s="1186">
        <v>366900</v>
      </c>
    </row>
    <row r="1465" spans="1:6" x14ac:dyDescent="0.2">
      <c r="A1465" s="1186" t="s">
        <v>17</v>
      </c>
      <c r="B1465" s="1186" t="s">
        <v>823</v>
      </c>
      <c r="C1465" s="1186" t="s">
        <v>116</v>
      </c>
      <c r="D1465" s="1186" t="s">
        <v>36</v>
      </c>
      <c r="E1465" s="1186">
        <v>153</v>
      </c>
      <c r="F1465" s="1186">
        <v>596520</v>
      </c>
    </row>
    <row r="1466" spans="1:6" x14ac:dyDescent="0.2">
      <c r="A1466" s="1186" t="s">
        <v>17</v>
      </c>
      <c r="B1466" s="1186" t="s">
        <v>823</v>
      </c>
      <c r="C1466" s="1186" t="s">
        <v>116</v>
      </c>
      <c r="D1466" s="1186" t="s">
        <v>37</v>
      </c>
      <c r="E1466" s="1186">
        <v>3</v>
      </c>
      <c r="F1466" s="1186">
        <v>232930</v>
      </c>
    </row>
    <row r="1467" spans="1:6" x14ac:dyDescent="0.2">
      <c r="A1467" s="1186" t="s">
        <v>17</v>
      </c>
      <c r="B1467" s="1186" t="s">
        <v>823</v>
      </c>
      <c r="C1467" s="1186" t="s">
        <v>116</v>
      </c>
      <c r="D1467" s="1186" t="s">
        <v>38</v>
      </c>
      <c r="E1467" s="1186">
        <v>19</v>
      </c>
      <c r="F1467" s="1186">
        <v>80340</v>
      </c>
    </row>
    <row r="1468" spans="1:6" x14ac:dyDescent="0.2">
      <c r="A1468" s="1186" t="s">
        <v>17</v>
      </c>
      <c r="B1468" s="1186" t="s">
        <v>823</v>
      </c>
      <c r="C1468" s="1186" t="s">
        <v>116</v>
      </c>
      <c r="D1468" s="1186" t="s">
        <v>39</v>
      </c>
      <c r="E1468" s="1186">
        <v>4</v>
      </c>
      <c r="F1468" s="1186">
        <v>84710</v>
      </c>
    </row>
    <row r="1469" spans="1:6" x14ac:dyDescent="0.2">
      <c r="A1469" s="1186" t="s">
        <v>17</v>
      </c>
      <c r="B1469" s="1186" t="s">
        <v>823</v>
      </c>
      <c r="C1469" s="1186" t="s">
        <v>116</v>
      </c>
      <c r="D1469" s="1186" t="s">
        <v>40</v>
      </c>
      <c r="E1469" s="1186">
        <v>5</v>
      </c>
      <c r="F1469" s="1186">
        <v>94360</v>
      </c>
    </row>
    <row r="1470" spans="1:6" x14ac:dyDescent="0.2">
      <c r="A1470" s="1186" t="s">
        <v>17</v>
      </c>
      <c r="B1470" s="1186" t="s">
        <v>823</v>
      </c>
      <c r="C1470" s="1186" t="s">
        <v>116</v>
      </c>
      <c r="D1470" s="1186" t="s">
        <v>41</v>
      </c>
      <c r="E1470" s="1186">
        <v>13</v>
      </c>
      <c r="F1470" s="1186">
        <v>136940</v>
      </c>
    </row>
    <row r="1471" spans="1:6" x14ac:dyDescent="0.2">
      <c r="A1471" s="1186" t="s">
        <v>17</v>
      </c>
      <c r="B1471" s="1186" t="s">
        <v>823</v>
      </c>
      <c r="C1471" s="1186" t="s">
        <v>116</v>
      </c>
      <c r="D1471" s="1186" t="s">
        <v>42</v>
      </c>
      <c r="E1471" s="1186">
        <v>56</v>
      </c>
      <c r="F1471" s="1186">
        <v>337780</v>
      </c>
    </row>
    <row r="1472" spans="1:6" x14ac:dyDescent="0.2">
      <c r="A1472" s="1186" t="s">
        <v>17</v>
      </c>
      <c r="B1472" s="1186" t="s">
        <v>823</v>
      </c>
      <c r="C1472" s="1186" t="s">
        <v>116</v>
      </c>
      <c r="D1472" s="1186" t="s">
        <v>44</v>
      </c>
      <c r="E1472" s="1186">
        <v>8</v>
      </c>
      <c r="F1472" s="1186">
        <v>147770</v>
      </c>
    </row>
    <row r="1473" spans="1:6" x14ac:dyDescent="0.2">
      <c r="A1473" s="1186" t="s">
        <v>17</v>
      </c>
      <c r="B1473" s="1186" t="s">
        <v>823</v>
      </c>
      <c r="C1473" s="1186" t="s">
        <v>116</v>
      </c>
      <c r="D1473" s="1186" t="s">
        <v>45</v>
      </c>
      <c r="E1473" s="1186">
        <v>39</v>
      </c>
      <c r="F1473" s="1186">
        <v>173890</v>
      </c>
    </row>
    <row r="1474" spans="1:6" x14ac:dyDescent="0.2">
      <c r="A1474" s="1186" t="s">
        <v>17</v>
      </c>
      <c r="B1474" s="1186" t="s">
        <v>823</v>
      </c>
      <c r="C1474" s="1186" t="s">
        <v>116</v>
      </c>
      <c r="D1474" s="1186" t="s">
        <v>46</v>
      </c>
      <c r="E1474" s="1186">
        <v>9</v>
      </c>
      <c r="F1474" s="1186">
        <v>113880</v>
      </c>
    </row>
    <row r="1475" spans="1:6" x14ac:dyDescent="0.2">
      <c r="A1475" s="1186" t="s">
        <v>17</v>
      </c>
      <c r="B1475" s="1186" t="s">
        <v>823</v>
      </c>
      <c r="C1475" s="1186" t="s">
        <v>116</v>
      </c>
      <c r="D1475" s="1186" t="s">
        <v>48</v>
      </c>
      <c r="E1475" s="1186">
        <v>7</v>
      </c>
      <c r="F1475" s="1186">
        <v>112870</v>
      </c>
    </row>
    <row r="1476" spans="1:6" x14ac:dyDescent="0.2">
      <c r="A1476" s="1186" t="s">
        <v>17</v>
      </c>
      <c r="B1476" s="1186" t="s">
        <v>823</v>
      </c>
      <c r="C1476" s="1186" t="s">
        <v>116</v>
      </c>
      <c r="D1476" s="1186" t="s">
        <v>49</v>
      </c>
      <c r="E1476" s="1186">
        <v>35</v>
      </c>
      <c r="F1476" s="1186">
        <v>314810</v>
      </c>
    </row>
    <row r="1477" spans="1:6" x14ac:dyDescent="0.2">
      <c r="A1477" s="1186" t="s">
        <v>17</v>
      </c>
      <c r="B1477" s="1186" t="s">
        <v>823</v>
      </c>
      <c r="C1477" s="1186" t="s">
        <v>116</v>
      </c>
      <c r="D1477" s="1186" t="s">
        <v>50</v>
      </c>
      <c r="E1477" s="1186">
        <v>6</v>
      </c>
      <c r="F1477" s="1186">
        <v>91230</v>
      </c>
    </row>
    <row r="1478" spans="1:6" x14ac:dyDescent="0.2">
      <c r="A1478" s="1186" t="s">
        <v>17</v>
      </c>
      <c r="B1478" s="1186" t="s">
        <v>823</v>
      </c>
      <c r="C1478" s="1186" t="s">
        <v>116</v>
      </c>
      <c r="D1478" s="1186" t="s">
        <v>51</v>
      </c>
      <c r="E1478" s="1186">
        <v>28</v>
      </c>
      <c r="F1478" s="1186">
        <v>89800</v>
      </c>
    </row>
    <row r="1479" spans="1:6" x14ac:dyDescent="0.2">
      <c r="A1479" s="1186" t="s">
        <v>17</v>
      </c>
      <c r="B1479" s="1186" t="s">
        <v>823</v>
      </c>
      <c r="C1479" s="1186" t="s">
        <v>116</v>
      </c>
      <c r="D1479" s="1186" t="s">
        <v>52</v>
      </c>
      <c r="E1479" s="1186">
        <v>24</v>
      </c>
      <c r="F1479" s="1186">
        <v>176160</v>
      </c>
    </row>
    <row r="1480" spans="1:6" x14ac:dyDescent="0.2">
      <c r="A1480" s="1186" t="s">
        <v>17</v>
      </c>
      <c r="B1480" s="1186" t="s">
        <v>824</v>
      </c>
      <c r="C1480" s="1186" t="s">
        <v>61</v>
      </c>
      <c r="D1480" s="1186" t="s">
        <v>23</v>
      </c>
      <c r="E1480" s="1186">
        <v>119</v>
      </c>
      <c r="F1480" s="1186">
        <v>227070</v>
      </c>
    </row>
    <row r="1481" spans="1:6" x14ac:dyDescent="0.2">
      <c r="A1481" s="1186" t="s">
        <v>17</v>
      </c>
      <c r="B1481" s="1186" t="s">
        <v>824</v>
      </c>
      <c r="C1481" s="1186" t="s">
        <v>61</v>
      </c>
      <c r="D1481" s="1186" t="s">
        <v>24</v>
      </c>
      <c r="E1481" s="1186">
        <v>72</v>
      </c>
      <c r="F1481" s="1186">
        <v>257770</v>
      </c>
    </row>
    <row r="1482" spans="1:6" x14ac:dyDescent="0.2">
      <c r="A1482" s="1186" t="s">
        <v>17</v>
      </c>
      <c r="B1482" s="1186" t="s">
        <v>824</v>
      </c>
      <c r="C1482" s="1186" t="s">
        <v>61</v>
      </c>
      <c r="D1482" s="1186" t="s">
        <v>25</v>
      </c>
      <c r="E1482" s="1186">
        <v>39</v>
      </c>
      <c r="F1482" s="1186">
        <v>116290</v>
      </c>
    </row>
    <row r="1483" spans="1:6" x14ac:dyDescent="0.2">
      <c r="A1483" s="1186" t="s">
        <v>17</v>
      </c>
      <c r="B1483" s="1186" t="s">
        <v>824</v>
      </c>
      <c r="C1483" s="1186" t="s">
        <v>61</v>
      </c>
      <c r="D1483" s="1186" t="s">
        <v>26</v>
      </c>
      <c r="E1483" s="1186">
        <v>42</v>
      </c>
      <c r="F1483" s="1186">
        <v>88050</v>
      </c>
    </row>
    <row r="1484" spans="1:6" x14ac:dyDescent="0.2">
      <c r="A1484" s="1186" t="s">
        <v>17</v>
      </c>
      <c r="B1484" s="1186" t="s">
        <v>824</v>
      </c>
      <c r="C1484" s="1186" t="s">
        <v>61</v>
      </c>
      <c r="D1484" s="1186" t="s">
        <v>619</v>
      </c>
      <c r="E1484" s="1186">
        <v>201</v>
      </c>
      <c r="F1484" s="1186">
        <v>487460</v>
      </c>
    </row>
    <row r="1485" spans="1:6" x14ac:dyDescent="0.2">
      <c r="A1485" s="1186" t="s">
        <v>17</v>
      </c>
      <c r="B1485" s="1186" t="s">
        <v>824</v>
      </c>
      <c r="C1485" s="1186" t="s">
        <v>61</v>
      </c>
      <c r="D1485" s="1186" t="s">
        <v>27</v>
      </c>
      <c r="E1485" s="1186">
        <v>17</v>
      </c>
      <c r="F1485" s="1186">
        <v>51280</v>
      </c>
    </row>
    <row r="1486" spans="1:6" x14ac:dyDescent="0.2">
      <c r="A1486" s="1186" t="s">
        <v>17</v>
      </c>
      <c r="B1486" s="1186" t="s">
        <v>824</v>
      </c>
      <c r="C1486" s="1186" t="s">
        <v>61</v>
      </c>
      <c r="D1486" s="1186" t="s">
        <v>28</v>
      </c>
      <c r="E1486" s="1186">
        <v>43</v>
      </c>
      <c r="F1486" s="1186">
        <v>150280</v>
      </c>
    </row>
    <row r="1487" spans="1:6" x14ac:dyDescent="0.2">
      <c r="A1487" s="1186" t="s">
        <v>17</v>
      </c>
      <c r="B1487" s="1186" t="s">
        <v>824</v>
      </c>
      <c r="C1487" s="1186" t="s">
        <v>61</v>
      </c>
      <c r="D1487" s="1186" t="s">
        <v>29</v>
      </c>
      <c r="E1487" s="1186">
        <v>48</v>
      </c>
      <c r="F1487" s="1186">
        <v>148100</v>
      </c>
    </row>
    <row r="1488" spans="1:6" x14ac:dyDescent="0.2">
      <c r="A1488" s="1186" t="s">
        <v>17</v>
      </c>
      <c r="B1488" s="1186" t="s">
        <v>824</v>
      </c>
      <c r="C1488" s="1186" t="s">
        <v>61</v>
      </c>
      <c r="D1488" s="1186" t="s">
        <v>30</v>
      </c>
      <c r="E1488" s="1186">
        <v>27</v>
      </c>
      <c r="F1488" s="1186">
        <v>122430</v>
      </c>
    </row>
    <row r="1489" spans="1:6" x14ac:dyDescent="0.2">
      <c r="A1489" s="1186" t="s">
        <v>17</v>
      </c>
      <c r="B1489" s="1186" t="s">
        <v>824</v>
      </c>
      <c r="C1489" s="1186" t="s">
        <v>61</v>
      </c>
      <c r="D1489" s="1186" t="s">
        <v>31</v>
      </c>
      <c r="E1489" s="1186">
        <v>15</v>
      </c>
      <c r="F1489" s="1186">
        <v>105840</v>
      </c>
    </row>
    <row r="1490" spans="1:6" x14ac:dyDescent="0.2">
      <c r="A1490" s="1186" t="s">
        <v>17</v>
      </c>
      <c r="B1490" s="1186" t="s">
        <v>824</v>
      </c>
      <c r="C1490" s="1186" t="s">
        <v>61</v>
      </c>
      <c r="D1490" s="1186" t="s">
        <v>32</v>
      </c>
      <c r="E1490" s="1186">
        <v>25</v>
      </c>
      <c r="F1490" s="1186">
        <v>101390</v>
      </c>
    </row>
    <row r="1491" spans="1:6" x14ac:dyDescent="0.2">
      <c r="A1491" s="1186" t="s">
        <v>17</v>
      </c>
      <c r="B1491" s="1186" t="s">
        <v>824</v>
      </c>
      <c r="C1491" s="1186" t="s">
        <v>61</v>
      </c>
      <c r="D1491" s="1186" t="s">
        <v>33</v>
      </c>
      <c r="E1491" s="1186">
        <v>16</v>
      </c>
      <c r="F1491" s="1186">
        <v>91530</v>
      </c>
    </row>
    <row r="1492" spans="1:6" x14ac:dyDescent="0.2">
      <c r="A1492" s="1186" t="s">
        <v>17</v>
      </c>
      <c r="B1492" s="1186" t="s">
        <v>824</v>
      </c>
      <c r="C1492" s="1186" t="s">
        <v>61</v>
      </c>
      <c r="D1492" s="1186" t="s">
        <v>34</v>
      </c>
      <c r="E1492" s="1186">
        <v>46</v>
      </c>
      <c r="F1492" s="1186">
        <v>157160</v>
      </c>
    </row>
    <row r="1493" spans="1:6" x14ac:dyDescent="0.2">
      <c r="A1493" s="1186" t="s">
        <v>17</v>
      </c>
      <c r="B1493" s="1186" t="s">
        <v>824</v>
      </c>
      <c r="C1493" s="1186" t="s">
        <v>61</v>
      </c>
      <c r="D1493" s="1186" t="s">
        <v>35</v>
      </c>
      <c r="E1493" s="1186">
        <v>97</v>
      </c>
      <c r="F1493" s="1186">
        <v>366900</v>
      </c>
    </row>
    <row r="1494" spans="1:6" x14ac:dyDescent="0.2">
      <c r="A1494" s="1186" t="s">
        <v>17</v>
      </c>
      <c r="B1494" s="1186" t="s">
        <v>824</v>
      </c>
      <c r="C1494" s="1186" t="s">
        <v>61</v>
      </c>
      <c r="D1494" s="1186" t="s">
        <v>36</v>
      </c>
      <c r="E1494" s="1186">
        <v>308</v>
      </c>
      <c r="F1494" s="1186">
        <v>596520</v>
      </c>
    </row>
    <row r="1495" spans="1:6" x14ac:dyDescent="0.2">
      <c r="A1495" s="1186" t="s">
        <v>17</v>
      </c>
      <c r="B1495" s="1186" t="s">
        <v>824</v>
      </c>
      <c r="C1495" s="1186" t="s">
        <v>61</v>
      </c>
      <c r="D1495" s="1186" t="s">
        <v>37</v>
      </c>
      <c r="E1495" s="1186">
        <v>71</v>
      </c>
      <c r="F1495" s="1186">
        <v>232930</v>
      </c>
    </row>
    <row r="1496" spans="1:6" x14ac:dyDescent="0.2">
      <c r="A1496" s="1186" t="s">
        <v>17</v>
      </c>
      <c r="B1496" s="1186" t="s">
        <v>824</v>
      </c>
      <c r="C1496" s="1186" t="s">
        <v>61</v>
      </c>
      <c r="D1496" s="1186" t="s">
        <v>38</v>
      </c>
      <c r="E1496" s="1186">
        <v>16</v>
      </c>
      <c r="F1496" s="1186">
        <v>80340</v>
      </c>
    </row>
    <row r="1497" spans="1:6" x14ac:dyDescent="0.2">
      <c r="A1497" s="1186" t="s">
        <v>17</v>
      </c>
      <c r="B1497" s="1186" t="s">
        <v>824</v>
      </c>
      <c r="C1497" s="1186" t="s">
        <v>61</v>
      </c>
      <c r="D1497" s="1186" t="s">
        <v>39</v>
      </c>
      <c r="E1497" s="1186">
        <v>18</v>
      </c>
      <c r="F1497" s="1186">
        <v>84710</v>
      </c>
    </row>
    <row r="1498" spans="1:6" x14ac:dyDescent="0.2">
      <c r="A1498" s="1186" t="s">
        <v>17</v>
      </c>
      <c r="B1498" s="1186" t="s">
        <v>824</v>
      </c>
      <c r="C1498" s="1186" t="s">
        <v>61</v>
      </c>
      <c r="D1498" s="1186" t="s">
        <v>40</v>
      </c>
      <c r="E1498" s="1186">
        <v>36</v>
      </c>
      <c r="F1498" s="1186">
        <v>94360</v>
      </c>
    </row>
    <row r="1499" spans="1:6" x14ac:dyDescent="0.2">
      <c r="A1499" s="1186" t="s">
        <v>17</v>
      </c>
      <c r="B1499" s="1186" t="s">
        <v>824</v>
      </c>
      <c r="C1499" s="1186" t="s">
        <v>61</v>
      </c>
      <c r="D1499" s="1186" t="s">
        <v>295</v>
      </c>
      <c r="E1499" s="1186">
        <v>9</v>
      </c>
      <c r="F1499" s="1186">
        <v>27400</v>
      </c>
    </row>
    <row r="1500" spans="1:6" x14ac:dyDescent="0.2">
      <c r="A1500" s="1186" t="s">
        <v>17</v>
      </c>
      <c r="B1500" s="1186" t="s">
        <v>824</v>
      </c>
      <c r="C1500" s="1186" t="s">
        <v>61</v>
      </c>
      <c r="D1500" s="1186" t="s">
        <v>41</v>
      </c>
      <c r="E1500" s="1186">
        <v>31</v>
      </c>
      <c r="F1500" s="1186">
        <v>136940</v>
      </c>
    </row>
    <row r="1501" spans="1:6" x14ac:dyDescent="0.2">
      <c r="A1501" s="1186" t="s">
        <v>17</v>
      </c>
      <c r="B1501" s="1186" t="s">
        <v>824</v>
      </c>
      <c r="C1501" s="1186" t="s">
        <v>61</v>
      </c>
      <c r="D1501" s="1186" t="s">
        <v>42</v>
      </c>
      <c r="E1501" s="1186">
        <v>71</v>
      </c>
      <c r="F1501" s="1186">
        <v>337780</v>
      </c>
    </row>
    <row r="1502" spans="1:6" x14ac:dyDescent="0.2">
      <c r="A1502" s="1186" t="s">
        <v>17</v>
      </c>
      <c r="B1502" s="1186" t="s">
        <v>824</v>
      </c>
      <c r="C1502" s="1186" t="s">
        <v>61</v>
      </c>
      <c r="D1502" s="1186" t="s">
        <v>43</v>
      </c>
      <c r="E1502" s="1186">
        <v>9</v>
      </c>
      <c r="F1502" s="1186">
        <v>21560</v>
      </c>
    </row>
    <row r="1503" spans="1:6" x14ac:dyDescent="0.2">
      <c r="A1503" s="1186" t="s">
        <v>17</v>
      </c>
      <c r="B1503" s="1186" t="s">
        <v>824</v>
      </c>
      <c r="C1503" s="1186" t="s">
        <v>61</v>
      </c>
      <c r="D1503" s="1186" t="s">
        <v>44</v>
      </c>
      <c r="E1503" s="1186">
        <v>41</v>
      </c>
      <c r="F1503" s="1186">
        <v>147770</v>
      </c>
    </row>
    <row r="1504" spans="1:6" x14ac:dyDescent="0.2">
      <c r="A1504" s="1186" t="s">
        <v>17</v>
      </c>
      <c r="B1504" s="1186" t="s">
        <v>824</v>
      </c>
      <c r="C1504" s="1186" t="s">
        <v>61</v>
      </c>
      <c r="D1504" s="1186" t="s">
        <v>45</v>
      </c>
      <c r="E1504" s="1186">
        <v>57</v>
      </c>
      <c r="F1504" s="1186">
        <v>173890</v>
      </c>
    </row>
    <row r="1505" spans="1:6" x14ac:dyDescent="0.2">
      <c r="A1505" s="1186" t="s">
        <v>17</v>
      </c>
      <c r="B1505" s="1186" t="s">
        <v>824</v>
      </c>
      <c r="C1505" s="1186" t="s">
        <v>61</v>
      </c>
      <c r="D1505" s="1186" t="s">
        <v>46</v>
      </c>
      <c r="E1505" s="1186">
        <v>27</v>
      </c>
      <c r="F1505" s="1186">
        <v>113880</v>
      </c>
    </row>
    <row r="1506" spans="1:6" x14ac:dyDescent="0.2">
      <c r="A1506" s="1186" t="s">
        <v>17</v>
      </c>
      <c r="B1506" s="1186" t="s">
        <v>824</v>
      </c>
      <c r="C1506" s="1186" t="s">
        <v>61</v>
      </c>
      <c r="D1506" s="1186" t="s">
        <v>47</v>
      </c>
      <c r="E1506" s="1186">
        <v>3</v>
      </c>
      <c r="F1506" s="1186">
        <v>23200</v>
      </c>
    </row>
    <row r="1507" spans="1:6" x14ac:dyDescent="0.2">
      <c r="A1507" s="1186" t="s">
        <v>17</v>
      </c>
      <c r="B1507" s="1186" t="s">
        <v>824</v>
      </c>
      <c r="C1507" s="1186" t="s">
        <v>61</v>
      </c>
      <c r="D1507" s="1186" t="s">
        <v>48</v>
      </c>
      <c r="E1507" s="1186">
        <v>37</v>
      </c>
      <c r="F1507" s="1186">
        <v>112870</v>
      </c>
    </row>
    <row r="1508" spans="1:6" x14ac:dyDescent="0.2">
      <c r="A1508" s="1186" t="s">
        <v>17</v>
      </c>
      <c r="B1508" s="1186" t="s">
        <v>824</v>
      </c>
      <c r="C1508" s="1186" t="s">
        <v>61</v>
      </c>
      <c r="D1508" s="1186" t="s">
        <v>49</v>
      </c>
      <c r="E1508" s="1186">
        <v>56</v>
      </c>
      <c r="F1508" s="1186">
        <v>314810</v>
      </c>
    </row>
    <row r="1509" spans="1:6" x14ac:dyDescent="0.2">
      <c r="A1509" s="1186" t="s">
        <v>17</v>
      </c>
      <c r="B1509" s="1186" t="s">
        <v>824</v>
      </c>
      <c r="C1509" s="1186" t="s">
        <v>61</v>
      </c>
      <c r="D1509" s="1186" t="s">
        <v>50</v>
      </c>
      <c r="E1509" s="1186">
        <v>36</v>
      </c>
      <c r="F1509" s="1186">
        <v>91230</v>
      </c>
    </row>
    <row r="1510" spans="1:6" x14ac:dyDescent="0.2">
      <c r="A1510" s="1186" t="s">
        <v>17</v>
      </c>
      <c r="B1510" s="1186" t="s">
        <v>824</v>
      </c>
      <c r="C1510" s="1186" t="s">
        <v>61</v>
      </c>
      <c r="D1510" s="1186" t="s">
        <v>51</v>
      </c>
      <c r="E1510" s="1186">
        <v>21</v>
      </c>
      <c r="F1510" s="1186">
        <v>89800</v>
      </c>
    </row>
    <row r="1511" spans="1:6" x14ac:dyDescent="0.2">
      <c r="A1511" s="1186" t="s">
        <v>17</v>
      </c>
      <c r="B1511" s="1186" t="s">
        <v>824</v>
      </c>
      <c r="C1511" s="1186" t="s">
        <v>61</v>
      </c>
      <c r="D1511" s="1186" t="s">
        <v>52</v>
      </c>
      <c r="E1511" s="1186">
        <v>57</v>
      </c>
      <c r="F1511" s="1186">
        <v>176160</v>
      </c>
    </row>
    <row r="1512" spans="1:6" x14ac:dyDescent="0.2">
      <c r="A1512" s="1186" t="s">
        <v>17</v>
      </c>
      <c r="B1512" s="1186" t="s">
        <v>824</v>
      </c>
      <c r="C1512" s="1186" t="s">
        <v>116</v>
      </c>
      <c r="D1512" s="1186" t="s">
        <v>23</v>
      </c>
      <c r="E1512" s="1186">
        <v>23</v>
      </c>
      <c r="F1512" s="1186">
        <v>227070</v>
      </c>
    </row>
    <row r="1513" spans="1:6" x14ac:dyDescent="0.2">
      <c r="A1513" s="1186" t="s">
        <v>17</v>
      </c>
      <c r="B1513" s="1186" t="s">
        <v>824</v>
      </c>
      <c r="C1513" s="1186" t="s">
        <v>116</v>
      </c>
      <c r="D1513" s="1186" t="s">
        <v>24</v>
      </c>
      <c r="E1513" s="1186">
        <v>16</v>
      </c>
      <c r="F1513" s="1186">
        <v>257770</v>
      </c>
    </row>
    <row r="1514" spans="1:6" x14ac:dyDescent="0.2">
      <c r="A1514" s="1186" t="s">
        <v>17</v>
      </c>
      <c r="B1514" s="1186" t="s">
        <v>824</v>
      </c>
      <c r="C1514" s="1186" t="s">
        <v>116</v>
      </c>
      <c r="D1514" s="1186" t="s">
        <v>25</v>
      </c>
      <c r="E1514" s="1186">
        <v>6</v>
      </c>
      <c r="F1514" s="1186">
        <v>116290</v>
      </c>
    </row>
    <row r="1515" spans="1:6" x14ac:dyDescent="0.2">
      <c r="A1515" s="1186" t="s">
        <v>17</v>
      </c>
      <c r="B1515" s="1186" t="s">
        <v>824</v>
      </c>
      <c r="C1515" s="1186" t="s">
        <v>116</v>
      </c>
      <c r="D1515" s="1186" t="s">
        <v>26</v>
      </c>
      <c r="E1515" s="1186">
        <v>4</v>
      </c>
      <c r="F1515" s="1186">
        <v>88050</v>
      </c>
    </row>
    <row r="1516" spans="1:6" x14ac:dyDescent="0.2">
      <c r="A1516" s="1186" t="s">
        <v>17</v>
      </c>
      <c r="B1516" s="1186" t="s">
        <v>824</v>
      </c>
      <c r="C1516" s="1186" t="s">
        <v>116</v>
      </c>
      <c r="D1516" s="1186" t="s">
        <v>619</v>
      </c>
      <c r="E1516" s="1186">
        <v>66</v>
      </c>
      <c r="F1516" s="1186">
        <v>487460</v>
      </c>
    </row>
    <row r="1517" spans="1:6" x14ac:dyDescent="0.2">
      <c r="A1517" s="1186" t="s">
        <v>17</v>
      </c>
      <c r="B1517" s="1186" t="s">
        <v>824</v>
      </c>
      <c r="C1517" s="1186" t="s">
        <v>116</v>
      </c>
      <c r="D1517" s="1186" t="s">
        <v>27</v>
      </c>
      <c r="E1517" s="1186">
        <v>4</v>
      </c>
      <c r="F1517" s="1186">
        <v>51280</v>
      </c>
    </row>
    <row r="1518" spans="1:6" x14ac:dyDescent="0.2">
      <c r="A1518" s="1186" t="s">
        <v>17</v>
      </c>
      <c r="B1518" s="1186" t="s">
        <v>824</v>
      </c>
      <c r="C1518" s="1186" t="s">
        <v>116</v>
      </c>
      <c r="D1518" s="1186" t="s">
        <v>28</v>
      </c>
      <c r="E1518" s="1186">
        <v>14</v>
      </c>
      <c r="F1518" s="1186">
        <v>150280</v>
      </c>
    </row>
    <row r="1519" spans="1:6" x14ac:dyDescent="0.2">
      <c r="A1519" s="1186" t="s">
        <v>17</v>
      </c>
      <c r="B1519" s="1186" t="s">
        <v>824</v>
      </c>
      <c r="C1519" s="1186" t="s">
        <v>116</v>
      </c>
      <c r="D1519" s="1186" t="s">
        <v>29</v>
      </c>
      <c r="E1519" s="1186">
        <v>11</v>
      </c>
      <c r="F1519" s="1186">
        <v>148100</v>
      </c>
    </row>
    <row r="1520" spans="1:6" x14ac:dyDescent="0.2">
      <c r="A1520" s="1186" t="s">
        <v>17</v>
      </c>
      <c r="B1520" s="1186" t="s">
        <v>824</v>
      </c>
      <c r="C1520" s="1186" t="s">
        <v>116</v>
      </c>
      <c r="D1520" s="1186" t="s">
        <v>30</v>
      </c>
      <c r="E1520" s="1186">
        <v>17</v>
      </c>
      <c r="F1520" s="1186">
        <v>122430</v>
      </c>
    </row>
    <row r="1521" spans="1:6" x14ac:dyDescent="0.2">
      <c r="A1521" s="1186" t="s">
        <v>17</v>
      </c>
      <c r="B1521" s="1186" t="s">
        <v>824</v>
      </c>
      <c r="C1521" s="1186" t="s">
        <v>116</v>
      </c>
      <c r="D1521" s="1186" t="s">
        <v>31</v>
      </c>
      <c r="E1521" s="1186">
        <v>13</v>
      </c>
      <c r="F1521" s="1186">
        <v>105840</v>
      </c>
    </row>
    <row r="1522" spans="1:6" x14ac:dyDescent="0.2">
      <c r="A1522" s="1186" t="s">
        <v>17</v>
      </c>
      <c r="B1522" s="1186" t="s">
        <v>824</v>
      </c>
      <c r="C1522" s="1186" t="s">
        <v>116</v>
      </c>
      <c r="D1522" s="1186" t="s">
        <v>32</v>
      </c>
      <c r="E1522" s="1186">
        <v>12</v>
      </c>
      <c r="F1522" s="1186">
        <v>101390</v>
      </c>
    </row>
    <row r="1523" spans="1:6" x14ac:dyDescent="0.2">
      <c r="A1523" s="1186" t="s">
        <v>17</v>
      </c>
      <c r="B1523" s="1186" t="s">
        <v>824</v>
      </c>
      <c r="C1523" s="1186" t="s">
        <v>116</v>
      </c>
      <c r="D1523" s="1186" t="s">
        <v>33</v>
      </c>
      <c r="E1523" s="1186">
        <v>9</v>
      </c>
      <c r="F1523" s="1186">
        <v>91530</v>
      </c>
    </row>
    <row r="1524" spans="1:6" x14ac:dyDescent="0.2">
      <c r="A1524" s="1186" t="s">
        <v>17</v>
      </c>
      <c r="B1524" s="1186" t="s">
        <v>824</v>
      </c>
      <c r="C1524" s="1186" t="s">
        <v>116</v>
      </c>
      <c r="D1524" s="1186" t="s">
        <v>34</v>
      </c>
      <c r="E1524" s="1186">
        <v>24</v>
      </c>
      <c r="F1524" s="1186">
        <v>157160</v>
      </c>
    </row>
    <row r="1525" spans="1:6" x14ac:dyDescent="0.2">
      <c r="A1525" s="1186" t="s">
        <v>17</v>
      </c>
      <c r="B1525" s="1186" t="s">
        <v>824</v>
      </c>
      <c r="C1525" s="1186" t="s">
        <v>116</v>
      </c>
      <c r="D1525" s="1186" t="s">
        <v>35</v>
      </c>
      <c r="E1525" s="1186">
        <v>30</v>
      </c>
      <c r="F1525" s="1186">
        <v>366900</v>
      </c>
    </row>
    <row r="1526" spans="1:6" x14ac:dyDescent="0.2">
      <c r="A1526" s="1186" t="s">
        <v>17</v>
      </c>
      <c r="B1526" s="1186" t="s">
        <v>824</v>
      </c>
      <c r="C1526" s="1186" t="s">
        <v>116</v>
      </c>
      <c r="D1526" s="1186" t="s">
        <v>36</v>
      </c>
      <c r="E1526" s="1186">
        <v>117</v>
      </c>
      <c r="F1526" s="1186">
        <v>596520</v>
      </c>
    </row>
    <row r="1527" spans="1:6" x14ac:dyDescent="0.2">
      <c r="A1527" s="1186" t="s">
        <v>17</v>
      </c>
      <c r="B1527" s="1186" t="s">
        <v>824</v>
      </c>
      <c r="C1527" s="1186" t="s">
        <v>116</v>
      </c>
      <c r="D1527" s="1186" t="s">
        <v>37</v>
      </c>
      <c r="E1527" s="1186">
        <v>14</v>
      </c>
      <c r="F1527" s="1186">
        <v>232930</v>
      </c>
    </row>
    <row r="1528" spans="1:6" x14ac:dyDescent="0.2">
      <c r="A1528" s="1186" t="s">
        <v>17</v>
      </c>
      <c r="B1528" s="1186" t="s">
        <v>824</v>
      </c>
      <c r="C1528" s="1186" t="s">
        <v>116</v>
      </c>
      <c r="D1528" s="1186" t="s">
        <v>38</v>
      </c>
      <c r="E1528" s="1186">
        <v>15</v>
      </c>
      <c r="F1528" s="1186">
        <v>80340</v>
      </c>
    </row>
    <row r="1529" spans="1:6" x14ac:dyDescent="0.2">
      <c r="A1529" s="1186" t="s">
        <v>17</v>
      </c>
      <c r="B1529" s="1186" t="s">
        <v>824</v>
      </c>
      <c r="C1529" s="1186" t="s">
        <v>116</v>
      </c>
      <c r="D1529" s="1186" t="s">
        <v>39</v>
      </c>
      <c r="E1529" s="1186">
        <v>12</v>
      </c>
      <c r="F1529" s="1186">
        <v>84710</v>
      </c>
    </row>
    <row r="1530" spans="1:6" x14ac:dyDescent="0.2">
      <c r="A1530" s="1186" t="s">
        <v>17</v>
      </c>
      <c r="B1530" s="1186" t="s">
        <v>824</v>
      </c>
      <c r="C1530" s="1186" t="s">
        <v>116</v>
      </c>
      <c r="D1530" s="1186" t="s">
        <v>40</v>
      </c>
      <c r="E1530" s="1186">
        <v>9</v>
      </c>
      <c r="F1530" s="1186">
        <v>94360</v>
      </c>
    </row>
    <row r="1531" spans="1:6" x14ac:dyDescent="0.2">
      <c r="A1531" s="1186" t="s">
        <v>17</v>
      </c>
      <c r="B1531" s="1186" t="s">
        <v>824</v>
      </c>
      <c r="C1531" s="1186" t="s">
        <v>116</v>
      </c>
      <c r="D1531" s="1186" t="s">
        <v>41</v>
      </c>
      <c r="E1531" s="1186">
        <v>11</v>
      </c>
      <c r="F1531" s="1186">
        <v>136940</v>
      </c>
    </row>
    <row r="1532" spans="1:6" x14ac:dyDescent="0.2">
      <c r="A1532" s="1186" t="s">
        <v>17</v>
      </c>
      <c r="B1532" s="1186" t="s">
        <v>824</v>
      </c>
      <c r="C1532" s="1186" t="s">
        <v>116</v>
      </c>
      <c r="D1532" s="1186" t="s">
        <v>42</v>
      </c>
      <c r="E1532" s="1186">
        <v>64</v>
      </c>
      <c r="F1532" s="1186">
        <v>337780</v>
      </c>
    </row>
    <row r="1533" spans="1:6" x14ac:dyDescent="0.2">
      <c r="A1533" s="1186" t="s">
        <v>17</v>
      </c>
      <c r="B1533" s="1186" t="s">
        <v>824</v>
      </c>
      <c r="C1533" s="1186" t="s">
        <v>116</v>
      </c>
      <c r="D1533" s="1186" t="s">
        <v>43</v>
      </c>
      <c r="E1533" s="1186">
        <v>2</v>
      </c>
      <c r="F1533" s="1186">
        <v>21560</v>
      </c>
    </row>
    <row r="1534" spans="1:6" x14ac:dyDescent="0.2">
      <c r="A1534" s="1186" t="s">
        <v>17</v>
      </c>
      <c r="B1534" s="1186" t="s">
        <v>824</v>
      </c>
      <c r="C1534" s="1186" t="s">
        <v>116</v>
      </c>
      <c r="D1534" s="1186" t="s">
        <v>44</v>
      </c>
      <c r="E1534" s="1186">
        <v>17</v>
      </c>
      <c r="F1534" s="1186">
        <v>147770</v>
      </c>
    </row>
    <row r="1535" spans="1:6" x14ac:dyDescent="0.2">
      <c r="A1535" s="1186" t="s">
        <v>17</v>
      </c>
      <c r="B1535" s="1186" t="s">
        <v>824</v>
      </c>
      <c r="C1535" s="1186" t="s">
        <v>116</v>
      </c>
      <c r="D1535" s="1186" t="s">
        <v>45</v>
      </c>
      <c r="E1535" s="1186">
        <v>20</v>
      </c>
      <c r="F1535" s="1186">
        <v>173890</v>
      </c>
    </row>
    <row r="1536" spans="1:6" x14ac:dyDescent="0.2">
      <c r="A1536" s="1186" t="s">
        <v>17</v>
      </c>
      <c r="B1536" s="1186" t="s">
        <v>824</v>
      </c>
      <c r="C1536" s="1186" t="s">
        <v>116</v>
      </c>
      <c r="D1536" s="1186" t="s">
        <v>46</v>
      </c>
      <c r="E1536" s="1186">
        <v>2</v>
      </c>
      <c r="F1536" s="1186">
        <v>113880</v>
      </c>
    </row>
    <row r="1537" spans="1:6" x14ac:dyDescent="0.2">
      <c r="A1537" s="1186" t="s">
        <v>17</v>
      </c>
      <c r="B1537" s="1186" t="s">
        <v>824</v>
      </c>
      <c r="C1537" s="1186" t="s">
        <v>116</v>
      </c>
      <c r="D1537" s="1186" t="s">
        <v>47</v>
      </c>
      <c r="E1537" s="1186">
        <v>1</v>
      </c>
      <c r="F1537" s="1186">
        <v>23200</v>
      </c>
    </row>
    <row r="1538" spans="1:6" x14ac:dyDescent="0.2">
      <c r="A1538" s="1186" t="s">
        <v>17</v>
      </c>
      <c r="B1538" s="1186" t="s">
        <v>824</v>
      </c>
      <c r="C1538" s="1186" t="s">
        <v>116</v>
      </c>
      <c r="D1538" s="1186" t="s">
        <v>48</v>
      </c>
      <c r="E1538" s="1186">
        <v>11</v>
      </c>
      <c r="F1538" s="1186">
        <v>112870</v>
      </c>
    </row>
    <row r="1539" spans="1:6" x14ac:dyDescent="0.2">
      <c r="A1539" s="1186" t="s">
        <v>17</v>
      </c>
      <c r="B1539" s="1186" t="s">
        <v>824</v>
      </c>
      <c r="C1539" s="1186" t="s">
        <v>116</v>
      </c>
      <c r="D1539" s="1186" t="s">
        <v>49</v>
      </c>
      <c r="E1539" s="1186">
        <v>41</v>
      </c>
      <c r="F1539" s="1186">
        <v>314810</v>
      </c>
    </row>
    <row r="1540" spans="1:6" x14ac:dyDescent="0.2">
      <c r="A1540" s="1186" t="s">
        <v>17</v>
      </c>
      <c r="B1540" s="1186" t="s">
        <v>824</v>
      </c>
      <c r="C1540" s="1186" t="s">
        <v>116</v>
      </c>
      <c r="D1540" s="1186" t="s">
        <v>50</v>
      </c>
      <c r="E1540" s="1186">
        <v>10</v>
      </c>
      <c r="F1540" s="1186">
        <v>91230</v>
      </c>
    </row>
    <row r="1541" spans="1:6" x14ac:dyDescent="0.2">
      <c r="A1541" s="1186" t="s">
        <v>17</v>
      </c>
      <c r="B1541" s="1186" t="s">
        <v>824</v>
      </c>
      <c r="C1541" s="1186" t="s">
        <v>116</v>
      </c>
      <c r="D1541" s="1186" t="s">
        <v>51</v>
      </c>
      <c r="E1541" s="1186">
        <v>16</v>
      </c>
      <c r="F1541" s="1186">
        <v>89800</v>
      </c>
    </row>
    <row r="1542" spans="1:6" x14ac:dyDescent="0.2">
      <c r="A1542" s="1186" t="s">
        <v>17</v>
      </c>
      <c r="B1542" s="1186" t="s">
        <v>824</v>
      </c>
      <c r="C1542" s="1186" t="s">
        <v>116</v>
      </c>
      <c r="D1542" s="1186" t="s">
        <v>52</v>
      </c>
      <c r="E1542" s="1186">
        <v>24</v>
      </c>
      <c r="F1542" s="1186">
        <v>176160</v>
      </c>
    </row>
    <row r="1543" spans="1:6" x14ac:dyDescent="0.2">
      <c r="A1543" s="1186" t="s">
        <v>17</v>
      </c>
      <c r="B1543" s="1186" t="s">
        <v>825</v>
      </c>
      <c r="C1543" s="1186" t="s">
        <v>61</v>
      </c>
      <c r="D1543" s="1186" t="s">
        <v>23</v>
      </c>
      <c r="E1543" s="1186">
        <v>44</v>
      </c>
      <c r="F1543" s="1186">
        <v>227070</v>
      </c>
    </row>
    <row r="1544" spans="1:6" x14ac:dyDescent="0.2">
      <c r="A1544" s="1186" t="s">
        <v>17</v>
      </c>
      <c r="B1544" s="1186" t="s">
        <v>825</v>
      </c>
      <c r="C1544" s="1186" t="s">
        <v>61</v>
      </c>
      <c r="D1544" s="1186" t="s">
        <v>24</v>
      </c>
      <c r="E1544" s="1186">
        <v>84</v>
      </c>
      <c r="F1544" s="1186">
        <v>257770</v>
      </c>
    </row>
    <row r="1545" spans="1:6" x14ac:dyDescent="0.2">
      <c r="A1545" s="1186" t="s">
        <v>17</v>
      </c>
      <c r="B1545" s="1186" t="s">
        <v>825</v>
      </c>
      <c r="C1545" s="1186" t="s">
        <v>61</v>
      </c>
      <c r="D1545" s="1186" t="s">
        <v>25</v>
      </c>
      <c r="E1545" s="1186">
        <v>27</v>
      </c>
      <c r="F1545" s="1186">
        <v>116290</v>
      </c>
    </row>
    <row r="1546" spans="1:6" x14ac:dyDescent="0.2">
      <c r="A1546" s="1186" t="s">
        <v>17</v>
      </c>
      <c r="B1546" s="1186" t="s">
        <v>825</v>
      </c>
      <c r="C1546" s="1186" t="s">
        <v>61</v>
      </c>
      <c r="D1546" s="1186" t="s">
        <v>26</v>
      </c>
      <c r="E1546" s="1186">
        <v>25</v>
      </c>
      <c r="F1546" s="1186">
        <v>88050</v>
      </c>
    </row>
    <row r="1547" spans="1:6" x14ac:dyDescent="0.2">
      <c r="A1547" s="1186" t="s">
        <v>17</v>
      </c>
      <c r="B1547" s="1186" t="s">
        <v>825</v>
      </c>
      <c r="C1547" s="1186" t="s">
        <v>61</v>
      </c>
      <c r="D1547" s="1186" t="s">
        <v>619</v>
      </c>
      <c r="E1547" s="1186">
        <v>70</v>
      </c>
      <c r="F1547" s="1186">
        <v>487460</v>
      </c>
    </row>
    <row r="1548" spans="1:6" x14ac:dyDescent="0.2">
      <c r="A1548" s="1186" t="s">
        <v>17</v>
      </c>
      <c r="B1548" s="1186" t="s">
        <v>825</v>
      </c>
      <c r="C1548" s="1186" t="s">
        <v>61</v>
      </c>
      <c r="D1548" s="1186" t="s">
        <v>27</v>
      </c>
      <c r="E1548" s="1186">
        <v>7</v>
      </c>
      <c r="F1548" s="1186">
        <v>51280</v>
      </c>
    </row>
    <row r="1549" spans="1:6" x14ac:dyDescent="0.2">
      <c r="A1549" s="1186" t="s">
        <v>17</v>
      </c>
      <c r="B1549" s="1186" t="s">
        <v>825</v>
      </c>
      <c r="C1549" s="1186" t="s">
        <v>61</v>
      </c>
      <c r="D1549" s="1186" t="s">
        <v>28</v>
      </c>
      <c r="E1549" s="1186">
        <v>45</v>
      </c>
      <c r="F1549" s="1186">
        <v>150280</v>
      </c>
    </row>
    <row r="1550" spans="1:6" x14ac:dyDescent="0.2">
      <c r="A1550" s="1186" t="s">
        <v>17</v>
      </c>
      <c r="B1550" s="1186" t="s">
        <v>825</v>
      </c>
      <c r="C1550" s="1186" t="s">
        <v>61</v>
      </c>
      <c r="D1550" s="1186" t="s">
        <v>29</v>
      </c>
      <c r="E1550" s="1186">
        <v>32</v>
      </c>
      <c r="F1550" s="1186">
        <v>148100</v>
      </c>
    </row>
    <row r="1551" spans="1:6" x14ac:dyDescent="0.2">
      <c r="A1551" s="1186" t="s">
        <v>17</v>
      </c>
      <c r="B1551" s="1186" t="s">
        <v>825</v>
      </c>
      <c r="C1551" s="1186" t="s">
        <v>61</v>
      </c>
      <c r="D1551" s="1186" t="s">
        <v>30</v>
      </c>
      <c r="E1551" s="1186">
        <v>25</v>
      </c>
      <c r="F1551" s="1186">
        <v>122430</v>
      </c>
    </row>
    <row r="1552" spans="1:6" x14ac:dyDescent="0.2">
      <c r="A1552" s="1186" t="s">
        <v>17</v>
      </c>
      <c r="B1552" s="1186" t="s">
        <v>825</v>
      </c>
      <c r="C1552" s="1186" t="s">
        <v>61</v>
      </c>
      <c r="D1552" s="1186" t="s">
        <v>31</v>
      </c>
      <c r="E1552" s="1186">
        <v>20</v>
      </c>
      <c r="F1552" s="1186">
        <v>105840</v>
      </c>
    </row>
    <row r="1553" spans="1:6" x14ac:dyDescent="0.2">
      <c r="A1553" s="1186" t="s">
        <v>17</v>
      </c>
      <c r="B1553" s="1186" t="s">
        <v>825</v>
      </c>
      <c r="C1553" s="1186" t="s">
        <v>61</v>
      </c>
      <c r="D1553" s="1186" t="s">
        <v>32</v>
      </c>
      <c r="E1553" s="1186">
        <v>26</v>
      </c>
      <c r="F1553" s="1186">
        <v>101390</v>
      </c>
    </row>
    <row r="1554" spans="1:6" x14ac:dyDescent="0.2">
      <c r="A1554" s="1186" t="s">
        <v>17</v>
      </c>
      <c r="B1554" s="1186" t="s">
        <v>825</v>
      </c>
      <c r="C1554" s="1186" t="s">
        <v>61</v>
      </c>
      <c r="D1554" s="1186" t="s">
        <v>33</v>
      </c>
      <c r="E1554" s="1186">
        <v>15</v>
      </c>
      <c r="F1554" s="1186">
        <v>91530</v>
      </c>
    </row>
    <row r="1555" spans="1:6" x14ac:dyDescent="0.2">
      <c r="A1555" s="1186" t="s">
        <v>17</v>
      </c>
      <c r="B1555" s="1186" t="s">
        <v>825</v>
      </c>
      <c r="C1555" s="1186" t="s">
        <v>61</v>
      </c>
      <c r="D1555" s="1186" t="s">
        <v>34</v>
      </c>
      <c r="E1555" s="1186">
        <v>35</v>
      </c>
      <c r="F1555" s="1186">
        <v>157160</v>
      </c>
    </row>
    <row r="1556" spans="1:6" x14ac:dyDescent="0.2">
      <c r="A1556" s="1186" t="s">
        <v>17</v>
      </c>
      <c r="B1556" s="1186" t="s">
        <v>825</v>
      </c>
      <c r="C1556" s="1186" t="s">
        <v>61</v>
      </c>
      <c r="D1556" s="1186" t="s">
        <v>35</v>
      </c>
      <c r="E1556" s="1186">
        <v>71</v>
      </c>
      <c r="F1556" s="1186">
        <v>366900</v>
      </c>
    </row>
    <row r="1557" spans="1:6" x14ac:dyDescent="0.2">
      <c r="A1557" s="1186" t="s">
        <v>17</v>
      </c>
      <c r="B1557" s="1186" t="s">
        <v>825</v>
      </c>
      <c r="C1557" s="1186" t="s">
        <v>61</v>
      </c>
      <c r="D1557" s="1186" t="s">
        <v>36</v>
      </c>
      <c r="E1557" s="1186">
        <v>113</v>
      </c>
      <c r="F1557" s="1186">
        <v>596520</v>
      </c>
    </row>
    <row r="1558" spans="1:6" x14ac:dyDescent="0.2">
      <c r="A1558" s="1186" t="s">
        <v>17</v>
      </c>
      <c r="B1558" s="1186" t="s">
        <v>825</v>
      </c>
      <c r="C1558" s="1186" t="s">
        <v>61</v>
      </c>
      <c r="D1558" s="1186" t="s">
        <v>37</v>
      </c>
      <c r="E1558" s="1186">
        <v>70</v>
      </c>
      <c r="F1558" s="1186">
        <v>232930</v>
      </c>
    </row>
    <row r="1559" spans="1:6" x14ac:dyDescent="0.2">
      <c r="A1559" s="1186" t="s">
        <v>17</v>
      </c>
      <c r="B1559" s="1186" t="s">
        <v>825</v>
      </c>
      <c r="C1559" s="1186" t="s">
        <v>61</v>
      </c>
      <c r="D1559" s="1186" t="s">
        <v>38</v>
      </c>
      <c r="E1559" s="1186">
        <v>22</v>
      </c>
      <c r="F1559" s="1186">
        <v>80340</v>
      </c>
    </row>
    <row r="1560" spans="1:6" x14ac:dyDescent="0.2">
      <c r="A1560" s="1186" t="s">
        <v>17</v>
      </c>
      <c r="B1560" s="1186" t="s">
        <v>825</v>
      </c>
      <c r="C1560" s="1186" t="s">
        <v>61</v>
      </c>
      <c r="D1560" s="1186" t="s">
        <v>39</v>
      </c>
      <c r="E1560" s="1186">
        <v>21</v>
      </c>
      <c r="F1560" s="1186">
        <v>84710</v>
      </c>
    </row>
    <row r="1561" spans="1:6" x14ac:dyDescent="0.2">
      <c r="A1561" s="1186" t="s">
        <v>17</v>
      </c>
      <c r="B1561" s="1186" t="s">
        <v>825</v>
      </c>
      <c r="C1561" s="1186" t="s">
        <v>61</v>
      </c>
      <c r="D1561" s="1186" t="s">
        <v>40</v>
      </c>
      <c r="E1561" s="1186">
        <v>24</v>
      </c>
      <c r="F1561" s="1186">
        <v>94360</v>
      </c>
    </row>
    <row r="1562" spans="1:6" x14ac:dyDescent="0.2">
      <c r="A1562" s="1186" t="s">
        <v>17</v>
      </c>
      <c r="B1562" s="1186" t="s">
        <v>825</v>
      </c>
      <c r="C1562" s="1186" t="s">
        <v>61</v>
      </c>
      <c r="D1562" s="1186" t="s">
        <v>295</v>
      </c>
      <c r="E1562" s="1186">
        <v>4</v>
      </c>
      <c r="F1562" s="1186">
        <v>27400</v>
      </c>
    </row>
    <row r="1563" spans="1:6" x14ac:dyDescent="0.2">
      <c r="A1563" s="1186" t="s">
        <v>17</v>
      </c>
      <c r="B1563" s="1186" t="s">
        <v>825</v>
      </c>
      <c r="C1563" s="1186" t="s">
        <v>61</v>
      </c>
      <c r="D1563" s="1186" t="s">
        <v>41</v>
      </c>
      <c r="E1563" s="1186">
        <v>14</v>
      </c>
      <c r="F1563" s="1186">
        <v>136940</v>
      </c>
    </row>
    <row r="1564" spans="1:6" x14ac:dyDescent="0.2">
      <c r="A1564" s="1186" t="s">
        <v>17</v>
      </c>
      <c r="B1564" s="1186" t="s">
        <v>825</v>
      </c>
      <c r="C1564" s="1186" t="s">
        <v>61</v>
      </c>
      <c r="D1564" s="1186" t="s">
        <v>42</v>
      </c>
      <c r="E1564" s="1186">
        <v>79</v>
      </c>
      <c r="F1564" s="1186">
        <v>337780</v>
      </c>
    </row>
    <row r="1565" spans="1:6" x14ac:dyDescent="0.2">
      <c r="A1565" s="1186" t="s">
        <v>17</v>
      </c>
      <c r="B1565" s="1186" t="s">
        <v>825</v>
      </c>
      <c r="C1565" s="1186" t="s">
        <v>61</v>
      </c>
      <c r="D1565" s="1186" t="s">
        <v>43</v>
      </c>
      <c r="E1565" s="1186">
        <v>3</v>
      </c>
      <c r="F1565" s="1186">
        <v>21560</v>
      </c>
    </row>
    <row r="1566" spans="1:6" x14ac:dyDescent="0.2">
      <c r="A1566" s="1186" t="s">
        <v>17</v>
      </c>
      <c r="B1566" s="1186" t="s">
        <v>825</v>
      </c>
      <c r="C1566" s="1186" t="s">
        <v>61</v>
      </c>
      <c r="D1566" s="1186" t="s">
        <v>44</v>
      </c>
      <c r="E1566" s="1186">
        <v>42</v>
      </c>
      <c r="F1566" s="1186">
        <v>147770</v>
      </c>
    </row>
    <row r="1567" spans="1:6" x14ac:dyDescent="0.2">
      <c r="A1567" s="1186" t="s">
        <v>17</v>
      </c>
      <c r="B1567" s="1186" t="s">
        <v>825</v>
      </c>
      <c r="C1567" s="1186" t="s">
        <v>61</v>
      </c>
      <c r="D1567" s="1186" t="s">
        <v>45</v>
      </c>
      <c r="E1567" s="1186">
        <v>46</v>
      </c>
      <c r="F1567" s="1186">
        <v>173890</v>
      </c>
    </row>
    <row r="1568" spans="1:6" x14ac:dyDescent="0.2">
      <c r="A1568" s="1186" t="s">
        <v>17</v>
      </c>
      <c r="B1568" s="1186" t="s">
        <v>825</v>
      </c>
      <c r="C1568" s="1186" t="s">
        <v>61</v>
      </c>
      <c r="D1568" s="1186" t="s">
        <v>46</v>
      </c>
      <c r="E1568" s="1186">
        <v>30</v>
      </c>
      <c r="F1568" s="1186">
        <v>113880</v>
      </c>
    </row>
    <row r="1569" spans="1:6" x14ac:dyDescent="0.2">
      <c r="A1569" s="1186" t="s">
        <v>17</v>
      </c>
      <c r="B1569" s="1186" t="s">
        <v>825</v>
      </c>
      <c r="C1569" s="1186" t="s">
        <v>61</v>
      </c>
      <c r="D1569" s="1186" t="s">
        <v>47</v>
      </c>
      <c r="E1569" s="1186">
        <v>7</v>
      </c>
      <c r="F1569" s="1186">
        <v>23200</v>
      </c>
    </row>
    <row r="1570" spans="1:6" x14ac:dyDescent="0.2">
      <c r="A1570" s="1186" t="s">
        <v>17</v>
      </c>
      <c r="B1570" s="1186" t="s">
        <v>825</v>
      </c>
      <c r="C1570" s="1186" t="s">
        <v>61</v>
      </c>
      <c r="D1570" s="1186" t="s">
        <v>48</v>
      </c>
      <c r="E1570" s="1186">
        <v>21</v>
      </c>
      <c r="F1570" s="1186">
        <v>112870</v>
      </c>
    </row>
    <row r="1571" spans="1:6" x14ac:dyDescent="0.2">
      <c r="A1571" s="1186" t="s">
        <v>17</v>
      </c>
      <c r="B1571" s="1186" t="s">
        <v>825</v>
      </c>
      <c r="C1571" s="1186" t="s">
        <v>61</v>
      </c>
      <c r="D1571" s="1186" t="s">
        <v>49</v>
      </c>
      <c r="E1571" s="1186">
        <v>62</v>
      </c>
      <c r="F1571" s="1186">
        <v>314810</v>
      </c>
    </row>
    <row r="1572" spans="1:6" x14ac:dyDescent="0.2">
      <c r="A1572" s="1186" t="s">
        <v>17</v>
      </c>
      <c r="B1572" s="1186" t="s">
        <v>825</v>
      </c>
      <c r="C1572" s="1186" t="s">
        <v>61</v>
      </c>
      <c r="D1572" s="1186" t="s">
        <v>50</v>
      </c>
      <c r="E1572" s="1186">
        <v>28</v>
      </c>
      <c r="F1572" s="1186">
        <v>91230</v>
      </c>
    </row>
    <row r="1573" spans="1:6" x14ac:dyDescent="0.2">
      <c r="A1573" s="1186" t="s">
        <v>17</v>
      </c>
      <c r="B1573" s="1186" t="s">
        <v>825</v>
      </c>
      <c r="C1573" s="1186" t="s">
        <v>61</v>
      </c>
      <c r="D1573" s="1186" t="s">
        <v>51</v>
      </c>
      <c r="E1573" s="1186">
        <v>18</v>
      </c>
      <c r="F1573" s="1186">
        <v>89800</v>
      </c>
    </row>
    <row r="1574" spans="1:6" x14ac:dyDescent="0.2">
      <c r="A1574" s="1186" t="s">
        <v>17</v>
      </c>
      <c r="B1574" s="1186" t="s">
        <v>825</v>
      </c>
      <c r="C1574" s="1186" t="s">
        <v>61</v>
      </c>
      <c r="D1574" s="1186" t="s">
        <v>52</v>
      </c>
      <c r="E1574" s="1186">
        <v>39</v>
      </c>
      <c r="F1574" s="1186">
        <v>176160</v>
      </c>
    </row>
    <row r="1575" spans="1:6" x14ac:dyDescent="0.2">
      <c r="A1575" s="1186" t="s">
        <v>17</v>
      </c>
      <c r="B1575" s="1186" t="s">
        <v>825</v>
      </c>
      <c r="C1575" s="1186" t="s">
        <v>116</v>
      </c>
      <c r="D1575" s="1186" t="s">
        <v>23</v>
      </c>
      <c r="E1575" s="1186">
        <v>53</v>
      </c>
      <c r="F1575" s="1186">
        <v>227070</v>
      </c>
    </row>
    <row r="1576" spans="1:6" x14ac:dyDescent="0.2">
      <c r="A1576" s="1186" t="s">
        <v>17</v>
      </c>
      <c r="B1576" s="1186" t="s">
        <v>825</v>
      </c>
      <c r="C1576" s="1186" t="s">
        <v>116</v>
      </c>
      <c r="D1576" s="1186" t="s">
        <v>24</v>
      </c>
      <c r="E1576" s="1186">
        <v>13</v>
      </c>
      <c r="F1576" s="1186">
        <v>257770</v>
      </c>
    </row>
    <row r="1577" spans="1:6" x14ac:dyDescent="0.2">
      <c r="A1577" s="1186" t="s">
        <v>17</v>
      </c>
      <c r="B1577" s="1186" t="s">
        <v>825</v>
      </c>
      <c r="C1577" s="1186" t="s">
        <v>116</v>
      </c>
      <c r="D1577" s="1186" t="s">
        <v>25</v>
      </c>
      <c r="E1577" s="1186">
        <v>6</v>
      </c>
      <c r="F1577" s="1186">
        <v>116290</v>
      </c>
    </row>
    <row r="1578" spans="1:6" x14ac:dyDescent="0.2">
      <c r="A1578" s="1186" t="s">
        <v>17</v>
      </c>
      <c r="B1578" s="1186" t="s">
        <v>825</v>
      </c>
      <c r="C1578" s="1186" t="s">
        <v>116</v>
      </c>
      <c r="D1578" s="1186" t="s">
        <v>26</v>
      </c>
      <c r="E1578" s="1186">
        <v>3</v>
      </c>
      <c r="F1578" s="1186">
        <v>88050</v>
      </c>
    </row>
    <row r="1579" spans="1:6" x14ac:dyDescent="0.2">
      <c r="A1579" s="1186" t="s">
        <v>17</v>
      </c>
      <c r="B1579" s="1186" t="s">
        <v>825</v>
      </c>
      <c r="C1579" s="1186" t="s">
        <v>116</v>
      </c>
      <c r="D1579" s="1186" t="s">
        <v>619</v>
      </c>
      <c r="E1579" s="1186">
        <v>132</v>
      </c>
      <c r="F1579" s="1186">
        <v>487460</v>
      </c>
    </row>
    <row r="1580" spans="1:6" x14ac:dyDescent="0.2">
      <c r="A1580" s="1186" t="s">
        <v>17</v>
      </c>
      <c r="B1580" s="1186" t="s">
        <v>825</v>
      </c>
      <c r="C1580" s="1186" t="s">
        <v>116</v>
      </c>
      <c r="D1580" s="1186" t="s">
        <v>27</v>
      </c>
      <c r="E1580" s="1186">
        <v>3</v>
      </c>
      <c r="F1580" s="1186">
        <v>51280</v>
      </c>
    </row>
    <row r="1581" spans="1:6" x14ac:dyDescent="0.2">
      <c r="A1581" s="1186" t="s">
        <v>17</v>
      </c>
      <c r="B1581" s="1186" t="s">
        <v>825</v>
      </c>
      <c r="C1581" s="1186" t="s">
        <v>116</v>
      </c>
      <c r="D1581" s="1186" t="s">
        <v>28</v>
      </c>
      <c r="E1581" s="1186">
        <v>16</v>
      </c>
      <c r="F1581" s="1186">
        <v>150280</v>
      </c>
    </row>
    <row r="1582" spans="1:6" x14ac:dyDescent="0.2">
      <c r="A1582" s="1186" t="s">
        <v>17</v>
      </c>
      <c r="B1582" s="1186" t="s">
        <v>825</v>
      </c>
      <c r="C1582" s="1186" t="s">
        <v>116</v>
      </c>
      <c r="D1582" s="1186" t="s">
        <v>29</v>
      </c>
      <c r="E1582" s="1186">
        <v>8</v>
      </c>
      <c r="F1582" s="1186">
        <v>148100</v>
      </c>
    </row>
    <row r="1583" spans="1:6" x14ac:dyDescent="0.2">
      <c r="A1583" s="1186" t="s">
        <v>17</v>
      </c>
      <c r="B1583" s="1186" t="s">
        <v>825</v>
      </c>
      <c r="C1583" s="1186" t="s">
        <v>116</v>
      </c>
      <c r="D1583" s="1186" t="s">
        <v>30</v>
      </c>
      <c r="E1583" s="1186">
        <v>18</v>
      </c>
      <c r="F1583" s="1186">
        <v>122430</v>
      </c>
    </row>
    <row r="1584" spans="1:6" x14ac:dyDescent="0.2">
      <c r="A1584" s="1186" t="s">
        <v>17</v>
      </c>
      <c r="B1584" s="1186" t="s">
        <v>825</v>
      </c>
      <c r="C1584" s="1186" t="s">
        <v>116</v>
      </c>
      <c r="D1584" s="1186" t="s">
        <v>31</v>
      </c>
      <c r="E1584" s="1186">
        <v>13</v>
      </c>
      <c r="F1584" s="1186">
        <v>105840</v>
      </c>
    </row>
    <row r="1585" spans="1:6" x14ac:dyDescent="0.2">
      <c r="A1585" s="1186" t="s">
        <v>17</v>
      </c>
      <c r="B1585" s="1186" t="s">
        <v>825</v>
      </c>
      <c r="C1585" s="1186" t="s">
        <v>116</v>
      </c>
      <c r="D1585" s="1186" t="s">
        <v>32</v>
      </c>
      <c r="E1585" s="1186">
        <v>7</v>
      </c>
      <c r="F1585" s="1186">
        <v>101390</v>
      </c>
    </row>
    <row r="1586" spans="1:6" x14ac:dyDescent="0.2">
      <c r="A1586" s="1186" t="s">
        <v>17</v>
      </c>
      <c r="B1586" s="1186" t="s">
        <v>825</v>
      </c>
      <c r="C1586" s="1186" t="s">
        <v>116</v>
      </c>
      <c r="D1586" s="1186" t="s">
        <v>33</v>
      </c>
      <c r="E1586" s="1186">
        <v>10</v>
      </c>
      <c r="F1586" s="1186">
        <v>91530</v>
      </c>
    </row>
    <row r="1587" spans="1:6" x14ac:dyDescent="0.2">
      <c r="A1587" s="1186" t="s">
        <v>17</v>
      </c>
      <c r="B1587" s="1186" t="s">
        <v>825</v>
      </c>
      <c r="C1587" s="1186" t="s">
        <v>116</v>
      </c>
      <c r="D1587" s="1186" t="s">
        <v>34</v>
      </c>
      <c r="E1587" s="1186">
        <v>12</v>
      </c>
      <c r="F1587" s="1186">
        <v>157160</v>
      </c>
    </row>
    <row r="1588" spans="1:6" x14ac:dyDescent="0.2">
      <c r="A1588" s="1186" t="s">
        <v>17</v>
      </c>
      <c r="B1588" s="1186" t="s">
        <v>825</v>
      </c>
      <c r="C1588" s="1186" t="s">
        <v>116</v>
      </c>
      <c r="D1588" s="1186" t="s">
        <v>35</v>
      </c>
      <c r="E1588" s="1186">
        <v>25</v>
      </c>
      <c r="F1588" s="1186">
        <v>366900</v>
      </c>
    </row>
    <row r="1589" spans="1:6" x14ac:dyDescent="0.2">
      <c r="A1589" s="1186" t="s">
        <v>17</v>
      </c>
      <c r="B1589" s="1186" t="s">
        <v>825</v>
      </c>
      <c r="C1589" s="1186" t="s">
        <v>116</v>
      </c>
      <c r="D1589" s="1186" t="s">
        <v>36</v>
      </c>
      <c r="E1589" s="1186">
        <v>155</v>
      </c>
      <c r="F1589" s="1186">
        <v>596520</v>
      </c>
    </row>
    <row r="1590" spans="1:6" x14ac:dyDescent="0.2">
      <c r="A1590" s="1186" t="s">
        <v>17</v>
      </c>
      <c r="B1590" s="1186" t="s">
        <v>825</v>
      </c>
      <c r="C1590" s="1186" t="s">
        <v>116</v>
      </c>
      <c r="D1590" s="1186" t="s">
        <v>37</v>
      </c>
      <c r="E1590" s="1186">
        <v>7</v>
      </c>
      <c r="F1590" s="1186">
        <v>232930</v>
      </c>
    </row>
    <row r="1591" spans="1:6" x14ac:dyDescent="0.2">
      <c r="A1591" s="1186" t="s">
        <v>17</v>
      </c>
      <c r="B1591" s="1186" t="s">
        <v>825</v>
      </c>
      <c r="C1591" s="1186" t="s">
        <v>116</v>
      </c>
      <c r="D1591" s="1186" t="s">
        <v>38</v>
      </c>
      <c r="E1591" s="1186">
        <v>17</v>
      </c>
      <c r="F1591" s="1186">
        <v>80340</v>
      </c>
    </row>
    <row r="1592" spans="1:6" x14ac:dyDescent="0.2">
      <c r="A1592" s="1186" t="s">
        <v>17</v>
      </c>
      <c r="B1592" s="1186" t="s">
        <v>825</v>
      </c>
      <c r="C1592" s="1186" t="s">
        <v>116</v>
      </c>
      <c r="D1592" s="1186" t="s">
        <v>39</v>
      </c>
      <c r="E1592" s="1186">
        <v>4</v>
      </c>
      <c r="F1592" s="1186">
        <v>84710</v>
      </c>
    </row>
    <row r="1593" spans="1:6" x14ac:dyDescent="0.2">
      <c r="A1593" s="1186" t="s">
        <v>17</v>
      </c>
      <c r="B1593" s="1186" t="s">
        <v>825</v>
      </c>
      <c r="C1593" s="1186" t="s">
        <v>116</v>
      </c>
      <c r="D1593" s="1186" t="s">
        <v>40</v>
      </c>
      <c r="E1593" s="1186">
        <v>8</v>
      </c>
      <c r="F1593" s="1186">
        <v>94360</v>
      </c>
    </row>
    <row r="1594" spans="1:6" x14ac:dyDescent="0.2">
      <c r="A1594" s="1186" t="s">
        <v>17</v>
      </c>
      <c r="B1594" s="1186" t="s">
        <v>825</v>
      </c>
      <c r="C1594" s="1186" t="s">
        <v>116</v>
      </c>
      <c r="D1594" s="1186" t="s">
        <v>41</v>
      </c>
      <c r="E1594" s="1186">
        <v>16</v>
      </c>
      <c r="F1594" s="1186">
        <v>136940</v>
      </c>
    </row>
    <row r="1595" spans="1:6" x14ac:dyDescent="0.2">
      <c r="A1595" s="1186" t="s">
        <v>17</v>
      </c>
      <c r="B1595" s="1186" t="s">
        <v>825</v>
      </c>
      <c r="C1595" s="1186" t="s">
        <v>116</v>
      </c>
      <c r="D1595" s="1186" t="s">
        <v>42</v>
      </c>
      <c r="E1595" s="1186">
        <v>88</v>
      </c>
      <c r="F1595" s="1186">
        <v>337780</v>
      </c>
    </row>
    <row r="1596" spans="1:6" x14ac:dyDescent="0.2">
      <c r="A1596" s="1186" t="s">
        <v>17</v>
      </c>
      <c r="B1596" s="1186" t="s">
        <v>825</v>
      </c>
      <c r="C1596" s="1186" t="s">
        <v>116</v>
      </c>
      <c r="D1596" s="1186" t="s">
        <v>44</v>
      </c>
      <c r="E1596" s="1186">
        <v>4</v>
      </c>
      <c r="F1596" s="1186">
        <v>147770</v>
      </c>
    </row>
    <row r="1597" spans="1:6" x14ac:dyDescent="0.2">
      <c r="A1597" s="1186" t="s">
        <v>17</v>
      </c>
      <c r="B1597" s="1186" t="s">
        <v>825</v>
      </c>
      <c r="C1597" s="1186" t="s">
        <v>116</v>
      </c>
      <c r="D1597" s="1186" t="s">
        <v>45</v>
      </c>
      <c r="E1597" s="1186">
        <v>39</v>
      </c>
      <c r="F1597" s="1186">
        <v>173890</v>
      </c>
    </row>
    <row r="1598" spans="1:6" x14ac:dyDescent="0.2">
      <c r="A1598" s="1186" t="s">
        <v>17</v>
      </c>
      <c r="B1598" s="1186" t="s">
        <v>825</v>
      </c>
      <c r="C1598" s="1186" t="s">
        <v>116</v>
      </c>
      <c r="D1598" s="1186" t="s">
        <v>46</v>
      </c>
      <c r="E1598" s="1186">
        <v>4</v>
      </c>
      <c r="F1598" s="1186">
        <v>113880</v>
      </c>
    </row>
    <row r="1599" spans="1:6" x14ac:dyDescent="0.2">
      <c r="A1599" s="1186" t="s">
        <v>17</v>
      </c>
      <c r="B1599" s="1186" t="s">
        <v>825</v>
      </c>
      <c r="C1599" s="1186" t="s">
        <v>116</v>
      </c>
      <c r="D1599" s="1186" t="s">
        <v>48</v>
      </c>
      <c r="E1599" s="1186">
        <v>9</v>
      </c>
      <c r="F1599" s="1186">
        <v>112870</v>
      </c>
    </row>
    <row r="1600" spans="1:6" x14ac:dyDescent="0.2">
      <c r="A1600" s="1186" t="s">
        <v>17</v>
      </c>
      <c r="B1600" s="1186" t="s">
        <v>825</v>
      </c>
      <c r="C1600" s="1186" t="s">
        <v>116</v>
      </c>
      <c r="D1600" s="1186" t="s">
        <v>49</v>
      </c>
      <c r="E1600" s="1186">
        <v>35</v>
      </c>
      <c r="F1600" s="1186">
        <v>314810</v>
      </c>
    </row>
    <row r="1601" spans="1:6" x14ac:dyDescent="0.2">
      <c r="A1601" s="1186" t="s">
        <v>17</v>
      </c>
      <c r="B1601" s="1186" t="s">
        <v>825</v>
      </c>
      <c r="C1601" s="1186" t="s">
        <v>116</v>
      </c>
      <c r="D1601" s="1186" t="s">
        <v>50</v>
      </c>
      <c r="E1601" s="1186">
        <v>1</v>
      </c>
      <c r="F1601" s="1186">
        <v>91230</v>
      </c>
    </row>
    <row r="1602" spans="1:6" x14ac:dyDescent="0.2">
      <c r="A1602" s="1186" t="s">
        <v>17</v>
      </c>
      <c r="B1602" s="1186" t="s">
        <v>825</v>
      </c>
      <c r="C1602" s="1186" t="s">
        <v>116</v>
      </c>
      <c r="D1602" s="1186" t="s">
        <v>51</v>
      </c>
      <c r="E1602" s="1186">
        <v>34</v>
      </c>
      <c r="F1602" s="1186">
        <v>89800</v>
      </c>
    </row>
    <row r="1603" spans="1:6" x14ac:dyDescent="0.2">
      <c r="A1603" s="1186" t="s">
        <v>17</v>
      </c>
      <c r="B1603" s="1186" t="s">
        <v>825</v>
      </c>
      <c r="C1603" s="1186" t="s">
        <v>116</v>
      </c>
      <c r="D1603" s="1186" t="s">
        <v>52</v>
      </c>
      <c r="E1603" s="1186">
        <v>29</v>
      </c>
      <c r="F1603" s="1186">
        <v>176160</v>
      </c>
    </row>
    <row r="1604" spans="1:6" x14ac:dyDescent="0.2">
      <c r="A1604" s="1186" t="s">
        <v>17</v>
      </c>
      <c r="B1604" s="1186" t="s">
        <v>826</v>
      </c>
      <c r="C1604" s="1186" t="s">
        <v>61</v>
      </c>
      <c r="D1604" s="1186" t="s">
        <v>23</v>
      </c>
      <c r="E1604" s="1186">
        <v>5</v>
      </c>
      <c r="F1604" s="1186">
        <v>227070</v>
      </c>
    </row>
    <row r="1605" spans="1:6" x14ac:dyDescent="0.2">
      <c r="A1605" s="1186" t="s">
        <v>17</v>
      </c>
      <c r="B1605" s="1186" t="s">
        <v>826</v>
      </c>
      <c r="C1605" s="1186" t="s">
        <v>61</v>
      </c>
      <c r="D1605" s="1186" t="s">
        <v>24</v>
      </c>
      <c r="E1605" s="1186">
        <v>36</v>
      </c>
      <c r="F1605" s="1186">
        <v>257770</v>
      </c>
    </row>
    <row r="1606" spans="1:6" x14ac:dyDescent="0.2">
      <c r="A1606" s="1186" t="s">
        <v>17</v>
      </c>
      <c r="B1606" s="1186" t="s">
        <v>826</v>
      </c>
      <c r="C1606" s="1186" t="s">
        <v>61</v>
      </c>
      <c r="D1606" s="1186" t="s">
        <v>25</v>
      </c>
      <c r="E1606" s="1186">
        <v>13</v>
      </c>
      <c r="F1606" s="1186">
        <v>116290</v>
      </c>
    </row>
    <row r="1607" spans="1:6" x14ac:dyDescent="0.2">
      <c r="A1607" s="1186" t="s">
        <v>17</v>
      </c>
      <c r="B1607" s="1186" t="s">
        <v>826</v>
      </c>
      <c r="C1607" s="1186" t="s">
        <v>61</v>
      </c>
      <c r="D1607" s="1186" t="s">
        <v>26</v>
      </c>
      <c r="E1607" s="1186">
        <v>12</v>
      </c>
      <c r="F1607" s="1186">
        <v>88050</v>
      </c>
    </row>
    <row r="1608" spans="1:6" x14ac:dyDescent="0.2">
      <c r="A1608" s="1186" t="s">
        <v>17</v>
      </c>
      <c r="B1608" s="1186" t="s">
        <v>826</v>
      </c>
      <c r="C1608" s="1186" t="s">
        <v>61</v>
      </c>
      <c r="D1608" s="1186" t="s">
        <v>619</v>
      </c>
      <c r="E1608" s="1186">
        <v>25</v>
      </c>
      <c r="F1608" s="1186">
        <v>487460</v>
      </c>
    </row>
    <row r="1609" spans="1:6" x14ac:dyDescent="0.2">
      <c r="A1609" s="1186" t="s">
        <v>17</v>
      </c>
      <c r="B1609" s="1186" t="s">
        <v>826</v>
      </c>
      <c r="C1609" s="1186" t="s">
        <v>61</v>
      </c>
      <c r="D1609" s="1186" t="s">
        <v>27</v>
      </c>
      <c r="E1609" s="1186">
        <v>11</v>
      </c>
      <c r="F1609" s="1186">
        <v>51280</v>
      </c>
    </row>
    <row r="1610" spans="1:6" x14ac:dyDescent="0.2">
      <c r="A1610" s="1186" t="s">
        <v>17</v>
      </c>
      <c r="B1610" s="1186" t="s">
        <v>826</v>
      </c>
      <c r="C1610" s="1186" t="s">
        <v>61</v>
      </c>
      <c r="D1610" s="1186" t="s">
        <v>28</v>
      </c>
      <c r="E1610" s="1186">
        <v>13</v>
      </c>
      <c r="F1610" s="1186">
        <v>150280</v>
      </c>
    </row>
    <row r="1611" spans="1:6" x14ac:dyDescent="0.2">
      <c r="A1611" s="1186" t="s">
        <v>17</v>
      </c>
      <c r="B1611" s="1186" t="s">
        <v>826</v>
      </c>
      <c r="C1611" s="1186" t="s">
        <v>61</v>
      </c>
      <c r="D1611" s="1186" t="s">
        <v>29</v>
      </c>
      <c r="E1611" s="1186">
        <v>3</v>
      </c>
      <c r="F1611" s="1186">
        <v>148100</v>
      </c>
    </row>
    <row r="1612" spans="1:6" x14ac:dyDescent="0.2">
      <c r="A1612" s="1186" t="s">
        <v>17</v>
      </c>
      <c r="B1612" s="1186" t="s">
        <v>826</v>
      </c>
      <c r="C1612" s="1186" t="s">
        <v>61</v>
      </c>
      <c r="D1612" s="1186" t="s">
        <v>30</v>
      </c>
      <c r="E1612" s="1186">
        <v>10</v>
      </c>
      <c r="F1612" s="1186">
        <v>122430</v>
      </c>
    </row>
    <row r="1613" spans="1:6" x14ac:dyDescent="0.2">
      <c r="A1613" s="1186" t="s">
        <v>17</v>
      </c>
      <c r="B1613" s="1186" t="s">
        <v>826</v>
      </c>
      <c r="C1613" s="1186" t="s">
        <v>61</v>
      </c>
      <c r="D1613" s="1186" t="s">
        <v>31</v>
      </c>
      <c r="E1613" s="1186">
        <v>3</v>
      </c>
      <c r="F1613" s="1186">
        <v>105840</v>
      </c>
    </row>
    <row r="1614" spans="1:6" x14ac:dyDescent="0.2">
      <c r="A1614" s="1186" t="s">
        <v>17</v>
      </c>
      <c r="B1614" s="1186" t="s">
        <v>826</v>
      </c>
      <c r="C1614" s="1186" t="s">
        <v>61</v>
      </c>
      <c r="D1614" s="1186" t="s">
        <v>32</v>
      </c>
      <c r="E1614" s="1186">
        <v>4</v>
      </c>
      <c r="F1614" s="1186">
        <v>101390</v>
      </c>
    </row>
    <row r="1615" spans="1:6" x14ac:dyDescent="0.2">
      <c r="A1615" s="1186" t="s">
        <v>17</v>
      </c>
      <c r="B1615" s="1186" t="s">
        <v>826</v>
      </c>
      <c r="C1615" s="1186" t="s">
        <v>61</v>
      </c>
      <c r="D1615" s="1186" t="s">
        <v>33</v>
      </c>
      <c r="E1615" s="1186">
        <v>4</v>
      </c>
      <c r="F1615" s="1186">
        <v>91530</v>
      </c>
    </row>
    <row r="1616" spans="1:6" x14ac:dyDescent="0.2">
      <c r="A1616" s="1186" t="s">
        <v>17</v>
      </c>
      <c r="B1616" s="1186" t="s">
        <v>826</v>
      </c>
      <c r="C1616" s="1186" t="s">
        <v>61</v>
      </c>
      <c r="D1616" s="1186" t="s">
        <v>34</v>
      </c>
      <c r="E1616" s="1186">
        <v>16</v>
      </c>
      <c r="F1616" s="1186">
        <v>157160</v>
      </c>
    </row>
    <row r="1617" spans="1:6" x14ac:dyDescent="0.2">
      <c r="A1617" s="1186" t="s">
        <v>17</v>
      </c>
      <c r="B1617" s="1186" t="s">
        <v>826</v>
      </c>
      <c r="C1617" s="1186" t="s">
        <v>61</v>
      </c>
      <c r="D1617" s="1186" t="s">
        <v>35</v>
      </c>
      <c r="E1617" s="1186">
        <v>30</v>
      </c>
      <c r="F1617" s="1186">
        <v>366900</v>
      </c>
    </row>
    <row r="1618" spans="1:6" x14ac:dyDescent="0.2">
      <c r="A1618" s="1186" t="s">
        <v>17</v>
      </c>
      <c r="B1618" s="1186" t="s">
        <v>826</v>
      </c>
      <c r="C1618" s="1186" t="s">
        <v>61</v>
      </c>
      <c r="D1618" s="1186" t="s">
        <v>36</v>
      </c>
      <c r="E1618" s="1186">
        <v>17</v>
      </c>
      <c r="F1618" s="1186">
        <v>596520</v>
      </c>
    </row>
    <row r="1619" spans="1:6" x14ac:dyDescent="0.2">
      <c r="A1619" s="1186" t="s">
        <v>17</v>
      </c>
      <c r="B1619" s="1186" t="s">
        <v>826</v>
      </c>
      <c r="C1619" s="1186" t="s">
        <v>61</v>
      </c>
      <c r="D1619" s="1186" t="s">
        <v>37</v>
      </c>
      <c r="E1619" s="1186">
        <v>51</v>
      </c>
      <c r="F1619" s="1186">
        <v>232930</v>
      </c>
    </row>
    <row r="1620" spans="1:6" x14ac:dyDescent="0.2">
      <c r="A1620" s="1186" t="s">
        <v>17</v>
      </c>
      <c r="B1620" s="1186" t="s">
        <v>826</v>
      </c>
      <c r="C1620" s="1186" t="s">
        <v>61</v>
      </c>
      <c r="D1620" s="1186" t="s">
        <v>38</v>
      </c>
      <c r="E1620" s="1186">
        <v>2</v>
      </c>
      <c r="F1620" s="1186">
        <v>80340</v>
      </c>
    </row>
    <row r="1621" spans="1:6" x14ac:dyDescent="0.2">
      <c r="A1621" s="1186" t="s">
        <v>17</v>
      </c>
      <c r="B1621" s="1186" t="s">
        <v>826</v>
      </c>
      <c r="C1621" s="1186" t="s">
        <v>61</v>
      </c>
      <c r="D1621" s="1186" t="s">
        <v>39</v>
      </c>
      <c r="E1621" s="1186">
        <v>7</v>
      </c>
      <c r="F1621" s="1186">
        <v>84710</v>
      </c>
    </row>
    <row r="1622" spans="1:6" x14ac:dyDescent="0.2">
      <c r="A1622" s="1186" t="s">
        <v>17</v>
      </c>
      <c r="B1622" s="1186" t="s">
        <v>826</v>
      </c>
      <c r="C1622" s="1186" t="s">
        <v>61</v>
      </c>
      <c r="D1622" s="1186" t="s">
        <v>40</v>
      </c>
      <c r="E1622" s="1186">
        <v>6</v>
      </c>
      <c r="F1622" s="1186">
        <v>94360</v>
      </c>
    </row>
    <row r="1623" spans="1:6" x14ac:dyDescent="0.2">
      <c r="A1623" s="1186" t="s">
        <v>17</v>
      </c>
      <c r="B1623" s="1186" t="s">
        <v>826</v>
      </c>
      <c r="C1623" s="1186" t="s">
        <v>61</v>
      </c>
      <c r="D1623" s="1186" t="s">
        <v>295</v>
      </c>
      <c r="E1623" s="1186">
        <v>8</v>
      </c>
      <c r="F1623" s="1186">
        <v>27400</v>
      </c>
    </row>
    <row r="1624" spans="1:6" x14ac:dyDescent="0.2">
      <c r="A1624" s="1186" t="s">
        <v>17</v>
      </c>
      <c r="B1624" s="1186" t="s">
        <v>826</v>
      </c>
      <c r="C1624" s="1186" t="s">
        <v>61</v>
      </c>
      <c r="D1624" s="1186" t="s">
        <v>41</v>
      </c>
      <c r="E1624" s="1186">
        <v>9</v>
      </c>
      <c r="F1624" s="1186">
        <v>136940</v>
      </c>
    </row>
    <row r="1625" spans="1:6" x14ac:dyDescent="0.2">
      <c r="A1625" s="1186" t="s">
        <v>17</v>
      </c>
      <c r="B1625" s="1186" t="s">
        <v>826</v>
      </c>
      <c r="C1625" s="1186" t="s">
        <v>61</v>
      </c>
      <c r="D1625" s="1186" t="s">
        <v>42</v>
      </c>
      <c r="E1625" s="1186">
        <v>13</v>
      </c>
      <c r="F1625" s="1186">
        <v>337780</v>
      </c>
    </row>
    <row r="1626" spans="1:6" x14ac:dyDescent="0.2">
      <c r="A1626" s="1186" t="s">
        <v>17</v>
      </c>
      <c r="B1626" s="1186" t="s">
        <v>826</v>
      </c>
      <c r="C1626" s="1186" t="s">
        <v>61</v>
      </c>
      <c r="D1626" s="1186" t="s">
        <v>43</v>
      </c>
      <c r="E1626" s="1186">
        <v>6</v>
      </c>
      <c r="F1626" s="1186">
        <v>21560</v>
      </c>
    </row>
    <row r="1627" spans="1:6" x14ac:dyDescent="0.2">
      <c r="A1627" s="1186" t="s">
        <v>17</v>
      </c>
      <c r="B1627" s="1186" t="s">
        <v>826</v>
      </c>
      <c r="C1627" s="1186" t="s">
        <v>61</v>
      </c>
      <c r="D1627" s="1186" t="s">
        <v>44</v>
      </c>
      <c r="E1627" s="1186">
        <v>12</v>
      </c>
      <c r="F1627" s="1186">
        <v>147770</v>
      </c>
    </row>
    <row r="1628" spans="1:6" x14ac:dyDescent="0.2">
      <c r="A1628" s="1186" t="s">
        <v>17</v>
      </c>
      <c r="B1628" s="1186" t="s">
        <v>826</v>
      </c>
      <c r="C1628" s="1186" t="s">
        <v>61</v>
      </c>
      <c r="D1628" s="1186" t="s">
        <v>45</v>
      </c>
      <c r="E1628" s="1186">
        <v>5</v>
      </c>
      <c r="F1628" s="1186">
        <v>173890</v>
      </c>
    </row>
    <row r="1629" spans="1:6" x14ac:dyDescent="0.2">
      <c r="A1629" s="1186" t="s">
        <v>17</v>
      </c>
      <c r="B1629" s="1186" t="s">
        <v>826</v>
      </c>
      <c r="C1629" s="1186" t="s">
        <v>61</v>
      </c>
      <c r="D1629" s="1186" t="s">
        <v>46</v>
      </c>
      <c r="E1629" s="1186">
        <v>15</v>
      </c>
      <c r="F1629" s="1186">
        <v>113880</v>
      </c>
    </row>
    <row r="1630" spans="1:6" x14ac:dyDescent="0.2">
      <c r="A1630" s="1186" t="s">
        <v>17</v>
      </c>
      <c r="B1630" s="1186" t="s">
        <v>826</v>
      </c>
      <c r="C1630" s="1186" t="s">
        <v>61</v>
      </c>
      <c r="D1630" s="1186" t="s">
        <v>47</v>
      </c>
      <c r="E1630" s="1186">
        <v>4</v>
      </c>
      <c r="F1630" s="1186">
        <v>23200</v>
      </c>
    </row>
    <row r="1631" spans="1:6" x14ac:dyDescent="0.2">
      <c r="A1631" s="1186" t="s">
        <v>17</v>
      </c>
      <c r="B1631" s="1186" t="s">
        <v>826</v>
      </c>
      <c r="C1631" s="1186" t="s">
        <v>61</v>
      </c>
      <c r="D1631" s="1186" t="s">
        <v>48</v>
      </c>
      <c r="E1631" s="1186">
        <v>8</v>
      </c>
      <c r="F1631" s="1186">
        <v>112870</v>
      </c>
    </row>
    <row r="1632" spans="1:6" x14ac:dyDescent="0.2">
      <c r="A1632" s="1186" t="s">
        <v>17</v>
      </c>
      <c r="B1632" s="1186" t="s">
        <v>826</v>
      </c>
      <c r="C1632" s="1186" t="s">
        <v>61</v>
      </c>
      <c r="D1632" s="1186" t="s">
        <v>49</v>
      </c>
      <c r="E1632" s="1186">
        <v>12</v>
      </c>
      <c r="F1632" s="1186">
        <v>314810</v>
      </c>
    </row>
    <row r="1633" spans="1:6" x14ac:dyDescent="0.2">
      <c r="A1633" s="1186" t="s">
        <v>17</v>
      </c>
      <c r="B1633" s="1186" t="s">
        <v>826</v>
      </c>
      <c r="C1633" s="1186" t="s">
        <v>61</v>
      </c>
      <c r="D1633" s="1186" t="s">
        <v>50</v>
      </c>
      <c r="E1633" s="1186">
        <v>4</v>
      </c>
      <c r="F1633" s="1186">
        <v>91230</v>
      </c>
    </row>
    <row r="1634" spans="1:6" x14ac:dyDescent="0.2">
      <c r="A1634" s="1186" t="s">
        <v>17</v>
      </c>
      <c r="B1634" s="1186" t="s">
        <v>826</v>
      </c>
      <c r="C1634" s="1186" t="s">
        <v>61</v>
      </c>
      <c r="D1634" s="1186" t="s">
        <v>51</v>
      </c>
      <c r="E1634" s="1186">
        <v>1</v>
      </c>
      <c r="F1634" s="1186">
        <v>89800</v>
      </c>
    </row>
    <row r="1635" spans="1:6" x14ac:dyDescent="0.2">
      <c r="A1635" s="1186" t="s">
        <v>17</v>
      </c>
      <c r="B1635" s="1186" t="s">
        <v>826</v>
      </c>
      <c r="C1635" s="1186" t="s">
        <v>61</v>
      </c>
      <c r="D1635" s="1186" t="s">
        <v>52</v>
      </c>
      <c r="E1635" s="1186">
        <v>23</v>
      </c>
      <c r="F1635" s="1186">
        <v>176160</v>
      </c>
    </row>
    <row r="1636" spans="1:6" x14ac:dyDescent="0.2">
      <c r="A1636" s="1186" t="s">
        <v>17</v>
      </c>
      <c r="B1636" s="1186" t="s">
        <v>826</v>
      </c>
      <c r="C1636" s="1186" t="s">
        <v>116</v>
      </c>
      <c r="D1636" s="1186" t="s">
        <v>23</v>
      </c>
      <c r="E1636" s="1186">
        <v>19</v>
      </c>
      <c r="F1636" s="1186">
        <v>227070</v>
      </c>
    </row>
    <row r="1637" spans="1:6" x14ac:dyDescent="0.2">
      <c r="A1637" s="1186" t="s">
        <v>17</v>
      </c>
      <c r="B1637" s="1186" t="s">
        <v>826</v>
      </c>
      <c r="C1637" s="1186" t="s">
        <v>116</v>
      </c>
      <c r="D1637" s="1186" t="s">
        <v>24</v>
      </c>
      <c r="E1637" s="1186">
        <v>9</v>
      </c>
      <c r="F1637" s="1186">
        <v>257770</v>
      </c>
    </row>
    <row r="1638" spans="1:6" x14ac:dyDescent="0.2">
      <c r="A1638" s="1186" t="s">
        <v>17</v>
      </c>
      <c r="B1638" s="1186" t="s">
        <v>826</v>
      </c>
      <c r="C1638" s="1186" t="s">
        <v>116</v>
      </c>
      <c r="D1638" s="1186" t="s">
        <v>25</v>
      </c>
      <c r="E1638" s="1186">
        <v>2</v>
      </c>
      <c r="F1638" s="1186">
        <v>116290</v>
      </c>
    </row>
    <row r="1639" spans="1:6" x14ac:dyDescent="0.2">
      <c r="A1639" s="1186" t="s">
        <v>17</v>
      </c>
      <c r="B1639" s="1186" t="s">
        <v>826</v>
      </c>
      <c r="C1639" s="1186" t="s">
        <v>116</v>
      </c>
      <c r="D1639" s="1186" t="s">
        <v>619</v>
      </c>
      <c r="E1639" s="1186">
        <v>70</v>
      </c>
      <c r="F1639" s="1186">
        <v>487460</v>
      </c>
    </row>
    <row r="1640" spans="1:6" x14ac:dyDescent="0.2">
      <c r="A1640" s="1186" t="s">
        <v>17</v>
      </c>
      <c r="B1640" s="1186" t="s">
        <v>826</v>
      </c>
      <c r="C1640" s="1186" t="s">
        <v>116</v>
      </c>
      <c r="D1640" s="1186" t="s">
        <v>27</v>
      </c>
      <c r="E1640" s="1186">
        <v>10</v>
      </c>
      <c r="F1640" s="1186">
        <v>51280</v>
      </c>
    </row>
    <row r="1641" spans="1:6" x14ac:dyDescent="0.2">
      <c r="A1641" s="1186" t="s">
        <v>17</v>
      </c>
      <c r="B1641" s="1186" t="s">
        <v>826</v>
      </c>
      <c r="C1641" s="1186" t="s">
        <v>116</v>
      </c>
      <c r="D1641" s="1186" t="s">
        <v>28</v>
      </c>
      <c r="E1641" s="1186">
        <v>2</v>
      </c>
      <c r="F1641" s="1186">
        <v>150280</v>
      </c>
    </row>
    <row r="1642" spans="1:6" x14ac:dyDescent="0.2">
      <c r="A1642" s="1186" t="s">
        <v>17</v>
      </c>
      <c r="B1642" s="1186" t="s">
        <v>826</v>
      </c>
      <c r="C1642" s="1186" t="s">
        <v>116</v>
      </c>
      <c r="D1642" s="1186" t="s">
        <v>29</v>
      </c>
      <c r="E1642" s="1186">
        <v>8</v>
      </c>
      <c r="F1642" s="1186">
        <v>148100</v>
      </c>
    </row>
    <row r="1643" spans="1:6" x14ac:dyDescent="0.2">
      <c r="A1643" s="1186" t="s">
        <v>17</v>
      </c>
      <c r="B1643" s="1186" t="s">
        <v>826</v>
      </c>
      <c r="C1643" s="1186" t="s">
        <v>116</v>
      </c>
      <c r="D1643" s="1186" t="s">
        <v>30</v>
      </c>
      <c r="E1643" s="1186">
        <v>13</v>
      </c>
      <c r="F1643" s="1186">
        <v>122430</v>
      </c>
    </row>
    <row r="1644" spans="1:6" x14ac:dyDescent="0.2">
      <c r="A1644" s="1186" t="s">
        <v>17</v>
      </c>
      <c r="B1644" s="1186" t="s">
        <v>826</v>
      </c>
      <c r="C1644" s="1186" t="s">
        <v>116</v>
      </c>
      <c r="D1644" s="1186" t="s">
        <v>31</v>
      </c>
      <c r="E1644" s="1186">
        <v>4</v>
      </c>
      <c r="F1644" s="1186">
        <v>105840</v>
      </c>
    </row>
    <row r="1645" spans="1:6" x14ac:dyDescent="0.2">
      <c r="A1645" s="1186" t="s">
        <v>17</v>
      </c>
      <c r="B1645" s="1186" t="s">
        <v>826</v>
      </c>
      <c r="C1645" s="1186" t="s">
        <v>116</v>
      </c>
      <c r="D1645" s="1186" t="s">
        <v>32</v>
      </c>
      <c r="E1645" s="1186">
        <v>15</v>
      </c>
      <c r="F1645" s="1186">
        <v>101390</v>
      </c>
    </row>
    <row r="1646" spans="1:6" x14ac:dyDescent="0.2">
      <c r="A1646" s="1186" t="s">
        <v>17</v>
      </c>
      <c r="B1646" s="1186" t="s">
        <v>826</v>
      </c>
      <c r="C1646" s="1186" t="s">
        <v>116</v>
      </c>
      <c r="D1646" s="1186" t="s">
        <v>33</v>
      </c>
      <c r="E1646" s="1186">
        <v>4</v>
      </c>
      <c r="F1646" s="1186">
        <v>91530</v>
      </c>
    </row>
    <row r="1647" spans="1:6" x14ac:dyDescent="0.2">
      <c r="A1647" s="1186" t="s">
        <v>17</v>
      </c>
      <c r="B1647" s="1186" t="s">
        <v>826</v>
      </c>
      <c r="C1647" s="1186" t="s">
        <v>116</v>
      </c>
      <c r="D1647" s="1186" t="s">
        <v>34</v>
      </c>
      <c r="E1647" s="1186">
        <v>30</v>
      </c>
      <c r="F1647" s="1186">
        <v>157160</v>
      </c>
    </row>
    <row r="1648" spans="1:6" x14ac:dyDescent="0.2">
      <c r="A1648" s="1186" t="s">
        <v>17</v>
      </c>
      <c r="B1648" s="1186" t="s">
        <v>826</v>
      </c>
      <c r="C1648" s="1186" t="s">
        <v>116</v>
      </c>
      <c r="D1648" s="1186" t="s">
        <v>35</v>
      </c>
      <c r="E1648" s="1186">
        <v>28</v>
      </c>
      <c r="F1648" s="1186">
        <v>366900</v>
      </c>
    </row>
    <row r="1649" spans="1:6" x14ac:dyDescent="0.2">
      <c r="A1649" s="1186" t="s">
        <v>17</v>
      </c>
      <c r="B1649" s="1186" t="s">
        <v>826</v>
      </c>
      <c r="C1649" s="1186" t="s">
        <v>116</v>
      </c>
      <c r="D1649" s="1186" t="s">
        <v>36</v>
      </c>
      <c r="E1649" s="1186">
        <v>58</v>
      </c>
      <c r="F1649" s="1186">
        <v>596520</v>
      </c>
    </row>
    <row r="1650" spans="1:6" x14ac:dyDescent="0.2">
      <c r="A1650" s="1186" t="s">
        <v>17</v>
      </c>
      <c r="B1650" s="1186" t="s">
        <v>826</v>
      </c>
      <c r="C1650" s="1186" t="s">
        <v>116</v>
      </c>
      <c r="D1650" s="1186" t="s">
        <v>37</v>
      </c>
      <c r="E1650" s="1186">
        <v>10</v>
      </c>
      <c r="F1650" s="1186">
        <v>232930</v>
      </c>
    </row>
    <row r="1651" spans="1:6" x14ac:dyDescent="0.2">
      <c r="A1651" s="1186" t="s">
        <v>17</v>
      </c>
      <c r="B1651" s="1186" t="s">
        <v>826</v>
      </c>
      <c r="C1651" s="1186" t="s">
        <v>116</v>
      </c>
      <c r="D1651" s="1186" t="s">
        <v>38</v>
      </c>
      <c r="E1651" s="1186">
        <v>12</v>
      </c>
      <c r="F1651" s="1186">
        <v>80340</v>
      </c>
    </row>
    <row r="1652" spans="1:6" x14ac:dyDescent="0.2">
      <c r="A1652" s="1186" t="s">
        <v>17</v>
      </c>
      <c r="B1652" s="1186" t="s">
        <v>826</v>
      </c>
      <c r="C1652" s="1186" t="s">
        <v>116</v>
      </c>
      <c r="D1652" s="1186" t="s">
        <v>39</v>
      </c>
      <c r="E1652" s="1186">
        <v>24</v>
      </c>
      <c r="F1652" s="1186">
        <v>84710</v>
      </c>
    </row>
    <row r="1653" spans="1:6" x14ac:dyDescent="0.2">
      <c r="A1653" s="1186" t="s">
        <v>17</v>
      </c>
      <c r="B1653" s="1186" t="s">
        <v>826</v>
      </c>
      <c r="C1653" s="1186" t="s">
        <v>116</v>
      </c>
      <c r="D1653" s="1186" t="s">
        <v>40</v>
      </c>
      <c r="E1653" s="1186">
        <v>7</v>
      </c>
      <c r="F1653" s="1186">
        <v>94360</v>
      </c>
    </row>
    <row r="1654" spans="1:6" x14ac:dyDescent="0.2">
      <c r="A1654" s="1186" t="s">
        <v>17</v>
      </c>
      <c r="B1654" s="1186" t="s">
        <v>826</v>
      </c>
      <c r="C1654" s="1186" t="s">
        <v>116</v>
      </c>
      <c r="D1654" s="1186" t="s">
        <v>295</v>
      </c>
      <c r="E1654" s="1186">
        <v>1</v>
      </c>
      <c r="F1654" s="1186">
        <v>27400</v>
      </c>
    </row>
    <row r="1655" spans="1:6" x14ac:dyDescent="0.2">
      <c r="A1655" s="1186" t="s">
        <v>17</v>
      </c>
      <c r="B1655" s="1186" t="s">
        <v>826</v>
      </c>
      <c r="C1655" s="1186" t="s">
        <v>116</v>
      </c>
      <c r="D1655" s="1186" t="s">
        <v>41</v>
      </c>
      <c r="E1655" s="1186">
        <v>7</v>
      </c>
      <c r="F1655" s="1186">
        <v>136940</v>
      </c>
    </row>
    <row r="1656" spans="1:6" x14ac:dyDescent="0.2">
      <c r="A1656" s="1186" t="s">
        <v>17</v>
      </c>
      <c r="B1656" s="1186" t="s">
        <v>826</v>
      </c>
      <c r="C1656" s="1186" t="s">
        <v>116</v>
      </c>
      <c r="D1656" s="1186" t="s">
        <v>42</v>
      </c>
      <c r="E1656" s="1186">
        <v>45</v>
      </c>
      <c r="F1656" s="1186">
        <v>337780</v>
      </c>
    </row>
    <row r="1657" spans="1:6" x14ac:dyDescent="0.2">
      <c r="A1657" s="1186" t="s">
        <v>17</v>
      </c>
      <c r="B1657" s="1186" t="s">
        <v>826</v>
      </c>
      <c r="C1657" s="1186" t="s">
        <v>116</v>
      </c>
      <c r="D1657" s="1186" t="s">
        <v>44</v>
      </c>
      <c r="E1657" s="1186">
        <v>5</v>
      </c>
      <c r="F1657" s="1186">
        <v>147770</v>
      </c>
    </row>
    <row r="1658" spans="1:6" x14ac:dyDescent="0.2">
      <c r="A1658" s="1186" t="s">
        <v>17</v>
      </c>
      <c r="B1658" s="1186" t="s">
        <v>826</v>
      </c>
      <c r="C1658" s="1186" t="s">
        <v>116</v>
      </c>
      <c r="D1658" s="1186" t="s">
        <v>45</v>
      </c>
      <c r="E1658" s="1186">
        <v>18</v>
      </c>
      <c r="F1658" s="1186">
        <v>173890</v>
      </c>
    </row>
    <row r="1659" spans="1:6" x14ac:dyDescent="0.2">
      <c r="A1659" s="1186" t="s">
        <v>17</v>
      </c>
      <c r="B1659" s="1186" t="s">
        <v>826</v>
      </c>
      <c r="C1659" s="1186" t="s">
        <v>116</v>
      </c>
      <c r="D1659" s="1186" t="s">
        <v>46</v>
      </c>
      <c r="E1659" s="1186">
        <v>16</v>
      </c>
      <c r="F1659" s="1186">
        <v>113880</v>
      </c>
    </row>
    <row r="1660" spans="1:6" x14ac:dyDescent="0.2">
      <c r="A1660" s="1186" t="s">
        <v>17</v>
      </c>
      <c r="B1660" s="1186" t="s">
        <v>826</v>
      </c>
      <c r="C1660" s="1186" t="s">
        <v>116</v>
      </c>
      <c r="D1660" s="1186" t="s">
        <v>48</v>
      </c>
      <c r="E1660" s="1186">
        <v>2</v>
      </c>
      <c r="F1660" s="1186">
        <v>112870</v>
      </c>
    </row>
    <row r="1661" spans="1:6" x14ac:dyDescent="0.2">
      <c r="A1661" s="1186" t="s">
        <v>17</v>
      </c>
      <c r="B1661" s="1186" t="s">
        <v>826</v>
      </c>
      <c r="C1661" s="1186" t="s">
        <v>116</v>
      </c>
      <c r="D1661" s="1186" t="s">
        <v>49</v>
      </c>
      <c r="E1661" s="1186">
        <v>31</v>
      </c>
      <c r="F1661" s="1186">
        <v>314810</v>
      </c>
    </row>
    <row r="1662" spans="1:6" x14ac:dyDescent="0.2">
      <c r="A1662" s="1186" t="s">
        <v>17</v>
      </c>
      <c r="B1662" s="1186" t="s">
        <v>826</v>
      </c>
      <c r="C1662" s="1186" t="s">
        <v>116</v>
      </c>
      <c r="D1662" s="1186" t="s">
        <v>50</v>
      </c>
      <c r="E1662" s="1186">
        <v>9</v>
      </c>
      <c r="F1662" s="1186">
        <v>91230</v>
      </c>
    </row>
    <row r="1663" spans="1:6" x14ac:dyDescent="0.2">
      <c r="A1663" s="1186" t="s">
        <v>17</v>
      </c>
      <c r="B1663" s="1186" t="s">
        <v>826</v>
      </c>
      <c r="C1663" s="1186" t="s">
        <v>116</v>
      </c>
      <c r="D1663" s="1186" t="s">
        <v>51</v>
      </c>
      <c r="E1663" s="1186">
        <v>13</v>
      </c>
      <c r="F1663" s="1186">
        <v>89800</v>
      </c>
    </row>
    <row r="1664" spans="1:6" x14ac:dyDescent="0.2">
      <c r="A1664" s="1186" t="s">
        <v>17</v>
      </c>
      <c r="B1664" s="1186" t="s">
        <v>826</v>
      </c>
      <c r="C1664" s="1186" t="s">
        <v>116</v>
      </c>
      <c r="D1664" s="1186" t="s">
        <v>52</v>
      </c>
      <c r="E1664" s="1186">
        <v>54</v>
      </c>
      <c r="F1664" s="1186">
        <v>176160</v>
      </c>
    </row>
    <row r="1665" spans="1:6" x14ac:dyDescent="0.2">
      <c r="A1665" s="1186" t="s">
        <v>17</v>
      </c>
      <c r="B1665" s="1186" t="s">
        <v>308</v>
      </c>
      <c r="C1665" s="1186" t="s">
        <v>61</v>
      </c>
      <c r="D1665" s="1186" t="s">
        <v>23</v>
      </c>
      <c r="E1665" s="1186">
        <v>153</v>
      </c>
      <c r="F1665" s="1186">
        <v>227070</v>
      </c>
    </row>
    <row r="1666" spans="1:6" x14ac:dyDescent="0.2">
      <c r="A1666" s="1186" t="s">
        <v>17</v>
      </c>
      <c r="B1666" s="1186" t="s">
        <v>308</v>
      </c>
      <c r="C1666" s="1186" t="s">
        <v>61</v>
      </c>
      <c r="D1666" s="1186" t="s">
        <v>24</v>
      </c>
      <c r="E1666" s="1186">
        <v>160</v>
      </c>
      <c r="F1666" s="1186">
        <v>257770</v>
      </c>
    </row>
    <row r="1667" spans="1:6" x14ac:dyDescent="0.2">
      <c r="A1667" s="1186" t="s">
        <v>17</v>
      </c>
      <c r="B1667" s="1186" t="s">
        <v>308</v>
      </c>
      <c r="C1667" s="1186" t="s">
        <v>61</v>
      </c>
      <c r="D1667" s="1186" t="s">
        <v>25</v>
      </c>
      <c r="E1667" s="1186">
        <v>60</v>
      </c>
      <c r="F1667" s="1186">
        <v>116290</v>
      </c>
    </row>
    <row r="1668" spans="1:6" x14ac:dyDescent="0.2">
      <c r="A1668" s="1186" t="s">
        <v>17</v>
      </c>
      <c r="B1668" s="1186" t="s">
        <v>308</v>
      </c>
      <c r="C1668" s="1186" t="s">
        <v>61</v>
      </c>
      <c r="D1668" s="1186" t="s">
        <v>26</v>
      </c>
      <c r="E1668" s="1186">
        <v>78</v>
      </c>
      <c r="F1668" s="1186">
        <v>88050</v>
      </c>
    </row>
    <row r="1669" spans="1:6" x14ac:dyDescent="0.2">
      <c r="A1669" s="1186" t="s">
        <v>17</v>
      </c>
      <c r="B1669" s="1186" t="s">
        <v>308</v>
      </c>
      <c r="C1669" s="1186" t="s">
        <v>61</v>
      </c>
      <c r="D1669" s="1186" t="s">
        <v>619</v>
      </c>
      <c r="E1669" s="1186">
        <v>438</v>
      </c>
      <c r="F1669" s="1186">
        <v>487460</v>
      </c>
    </row>
    <row r="1670" spans="1:6" x14ac:dyDescent="0.2">
      <c r="A1670" s="1186" t="s">
        <v>17</v>
      </c>
      <c r="B1670" s="1186" t="s">
        <v>308</v>
      </c>
      <c r="C1670" s="1186" t="s">
        <v>61</v>
      </c>
      <c r="D1670" s="1186" t="s">
        <v>27</v>
      </c>
      <c r="E1670" s="1186">
        <v>17</v>
      </c>
      <c r="F1670" s="1186">
        <v>51280</v>
      </c>
    </row>
    <row r="1671" spans="1:6" x14ac:dyDescent="0.2">
      <c r="A1671" s="1186" t="s">
        <v>17</v>
      </c>
      <c r="B1671" s="1186" t="s">
        <v>308</v>
      </c>
      <c r="C1671" s="1186" t="s">
        <v>61</v>
      </c>
      <c r="D1671" s="1186" t="s">
        <v>28</v>
      </c>
      <c r="E1671" s="1186">
        <v>85</v>
      </c>
      <c r="F1671" s="1186">
        <v>150280</v>
      </c>
    </row>
    <row r="1672" spans="1:6" x14ac:dyDescent="0.2">
      <c r="A1672" s="1186" t="s">
        <v>17</v>
      </c>
      <c r="B1672" s="1186" t="s">
        <v>308</v>
      </c>
      <c r="C1672" s="1186" t="s">
        <v>61</v>
      </c>
      <c r="D1672" s="1186" t="s">
        <v>29</v>
      </c>
      <c r="E1672" s="1186">
        <v>69</v>
      </c>
      <c r="F1672" s="1186">
        <v>148100</v>
      </c>
    </row>
    <row r="1673" spans="1:6" x14ac:dyDescent="0.2">
      <c r="A1673" s="1186" t="s">
        <v>17</v>
      </c>
      <c r="B1673" s="1186" t="s">
        <v>308</v>
      </c>
      <c r="C1673" s="1186" t="s">
        <v>61</v>
      </c>
      <c r="D1673" s="1186" t="s">
        <v>30</v>
      </c>
      <c r="E1673" s="1186">
        <v>43</v>
      </c>
      <c r="F1673" s="1186">
        <v>122430</v>
      </c>
    </row>
    <row r="1674" spans="1:6" x14ac:dyDescent="0.2">
      <c r="A1674" s="1186" t="s">
        <v>17</v>
      </c>
      <c r="B1674" s="1186" t="s">
        <v>308</v>
      </c>
      <c r="C1674" s="1186" t="s">
        <v>61</v>
      </c>
      <c r="D1674" s="1186" t="s">
        <v>31</v>
      </c>
      <c r="E1674" s="1186">
        <v>28</v>
      </c>
      <c r="F1674" s="1186">
        <v>105840</v>
      </c>
    </row>
    <row r="1675" spans="1:6" x14ac:dyDescent="0.2">
      <c r="A1675" s="1186" t="s">
        <v>17</v>
      </c>
      <c r="B1675" s="1186" t="s">
        <v>308</v>
      </c>
      <c r="C1675" s="1186" t="s">
        <v>61</v>
      </c>
      <c r="D1675" s="1186" t="s">
        <v>32</v>
      </c>
      <c r="E1675" s="1186">
        <v>83</v>
      </c>
      <c r="F1675" s="1186">
        <v>101390</v>
      </c>
    </row>
    <row r="1676" spans="1:6" x14ac:dyDescent="0.2">
      <c r="A1676" s="1186" t="s">
        <v>17</v>
      </c>
      <c r="B1676" s="1186" t="s">
        <v>308</v>
      </c>
      <c r="C1676" s="1186" t="s">
        <v>61</v>
      </c>
      <c r="D1676" s="1186" t="s">
        <v>33</v>
      </c>
      <c r="E1676" s="1186">
        <v>22</v>
      </c>
      <c r="F1676" s="1186">
        <v>91530</v>
      </c>
    </row>
    <row r="1677" spans="1:6" x14ac:dyDescent="0.2">
      <c r="A1677" s="1186" t="s">
        <v>17</v>
      </c>
      <c r="B1677" s="1186" t="s">
        <v>308</v>
      </c>
      <c r="C1677" s="1186" t="s">
        <v>61</v>
      </c>
      <c r="D1677" s="1186" t="s">
        <v>34</v>
      </c>
      <c r="E1677" s="1186">
        <v>110</v>
      </c>
      <c r="F1677" s="1186">
        <v>157160</v>
      </c>
    </row>
    <row r="1678" spans="1:6" x14ac:dyDescent="0.2">
      <c r="A1678" s="1186" t="s">
        <v>17</v>
      </c>
      <c r="B1678" s="1186" t="s">
        <v>308</v>
      </c>
      <c r="C1678" s="1186" t="s">
        <v>61</v>
      </c>
      <c r="D1678" s="1186" t="s">
        <v>35</v>
      </c>
      <c r="E1678" s="1186">
        <v>180</v>
      </c>
      <c r="F1678" s="1186">
        <v>366900</v>
      </c>
    </row>
    <row r="1679" spans="1:6" x14ac:dyDescent="0.2">
      <c r="A1679" s="1186" t="s">
        <v>17</v>
      </c>
      <c r="B1679" s="1186" t="s">
        <v>308</v>
      </c>
      <c r="C1679" s="1186" t="s">
        <v>61</v>
      </c>
      <c r="D1679" s="1186" t="s">
        <v>36</v>
      </c>
      <c r="E1679" s="1186">
        <v>191</v>
      </c>
      <c r="F1679" s="1186">
        <v>596520</v>
      </c>
    </row>
    <row r="1680" spans="1:6" x14ac:dyDescent="0.2">
      <c r="A1680" s="1186" t="s">
        <v>17</v>
      </c>
      <c r="B1680" s="1186" t="s">
        <v>308</v>
      </c>
      <c r="C1680" s="1186" t="s">
        <v>61</v>
      </c>
      <c r="D1680" s="1186" t="s">
        <v>37</v>
      </c>
      <c r="E1680" s="1186">
        <v>371</v>
      </c>
      <c r="F1680" s="1186">
        <v>232930</v>
      </c>
    </row>
    <row r="1681" spans="1:6" x14ac:dyDescent="0.2">
      <c r="A1681" s="1186" t="s">
        <v>17</v>
      </c>
      <c r="B1681" s="1186" t="s">
        <v>308</v>
      </c>
      <c r="C1681" s="1186" t="s">
        <v>61</v>
      </c>
      <c r="D1681" s="1186" t="s">
        <v>38</v>
      </c>
      <c r="E1681" s="1186">
        <v>32</v>
      </c>
      <c r="F1681" s="1186">
        <v>80340</v>
      </c>
    </row>
    <row r="1682" spans="1:6" x14ac:dyDescent="0.2">
      <c r="A1682" s="1186" t="s">
        <v>17</v>
      </c>
      <c r="B1682" s="1186" t="s">
        <v>308</v>
      </c>
      <c r="C1682" s="1186" t="s">
        <v>61</v>
      </c>
      <c r="D1682" s="1186" t="s">
        <v>39</v>
      </c>
      <c r="E1682" s="1186">
        <v>64</v>
      </c>
      <c r="F1682" s="1186">
        <v>84710</v>
      </c>
    </row>
    <row r="1683" spans="1:6" x14ac:dyDescent="0.2">
      <c r="A1683" s="1186" t="s">
        <v>17</v>
      </c>
      <c r="B1683" s="1186" t="s">
        <v>308</v>
      </c>
      <c r="C1683" s="1186" t="s">
        <v>61</v>
      </c>
      <c r="D1683" s="1186" t="s">
        <v>40</v>
      </c>
      <c r="E1683" s="1186">
        <v>54</v>
      </c>
      <c r="F1683" s="1186">
        <v>94360</v>
      </c>
    </row>
    <row r="1684" spans="1:6" x14ac:dyDescent="0.2">
      <c r="A1684" s="1186" t="s">
        <v>17</v>
      </c>
      <c r="B1684" s="1186" t="s">
        <v>308</v>
      </c>
      <c r="C1684" s="1186" t="s">
        <v>61</v>
      </c>
      <c r="D1684" s="1186" t="s">
        <v>295</v>
      </c>
      <c r="E1684" s="1186">
        <v>77</v>
      </c>
      <c r="F1684" s="1186">
        <v>27400</v>
      </c>
    </row>
    <row r="1685" spans="1:6" x14ac:dyDescent="0.2">
      <c r="A1685" s="1186" t="s">
        <v>17</v>
      </c>
      <c r="B1685" s="1186" t="s">
        <v>308</v>
      </c>
      <c r="C1685" s="1186" t="s">
        <v>61</v>
      </c>
      <c r="D1685" s="1186" t="s">
        <v>41</v>
      </c>
      <c r="E1685" s="1186">
        <v>61</v>
      </c>
      <c r="F1685" s="1186">
        <v>136940</v>
      </c>
    </row>
    <row r="1686" spans="1:6" x14ac:dyDescent="0.2">
      <c r="A1686" s="1186" t="s">
        <v>17</v>
      </c>
      <c r="B1686" s="1186" t="s">
        <v>308</v>
      </c>
      <c r="C1686" s="1186" t="s">
        <v>61</v>
      </c>
      <c r="D1686" s="1186" t="s">
        <v>42</v>
      </c>
      <c r="E1686" s="1186">
        <v>117</v>
      </c>
      <c r="F1686" s="1186">
        <v>337780</v>
      </c>
    </row>
    <row r="1687" spans="1:6" x14ac:dyDescent="0.2">
      <c r="A1687" s="1186" t="s">
        <v>17</v>
      </c>
      <c r="B1687" s="1186" t="s">
        <v>308</v>
      </c>
      <c r="C1687" s="1186" t="s">
        <v>61</v>
      </c>
      <c r="D1687" s="1186" t="s">
        <v>43</v>
      </c>
      <c r="E1687" s="1186">
        <v>8</v>
      </c>
      <c r="F1687" s="1186">
        <v>21560</v>
      </c>
    </row>
    <row r="1688" spans="1:6" x14ac:dyDescent="0.2">
      <c r="A1688" s="1186" t="s">
        <v>17</v>
      </c>
      <c r="B1688" s="1186" t="s">
        <v>308</v>
      </c>
      <c r="C1688" s="1186" t="s">
        <v>61</v>
      </c>
      <c r="D1688" s="1186" t="s">
        <v>44</v>
      </c>
      <c r="E1688" s="1186">
        <v>50</v>
      </c>
      <c r="F1688" s="1186">
        <v>147770</v>
      </c>
    </row>
    <row r="1689" spans="1:6" x14ac:dyDescent="0.2">
      <c r="A1689" s="1186" t="s">
        <v>17</v>
      </c>
      <c r="B1689" s="1186" t="s">
        <v>308</v>
      </c>
      <c r="C1689" s="1186" t="s">
        <v>61</v>
      </c>
      <c r="D1689" s="1186" t="s">
        <v>45</v>
      </c>
      <c r="E1689" s="1186">
        <v>35</v>
      </c>
      <c r="F1689" s="1186">
        <v>173890</v>
      </c>
    </row>
    <row r="1690" spans="1:6" x14ac:dyDescent="0.2">
      <c r="A1690" s="1186" t="s">
        <v>17</v>
      </c>
      <c r="B1690" s="1186" t="s">
        <v>308</v>
      </c>
      <c r="C1690" s="1186" t="s">
        <v>61</v>
      </c>
      <c r="D1690" s="1186" t="s">
        <v>46</v>
      </c>
      <c r="E1690" s="1186">
        <v>50</v>
      </c>
      <c r="F1690" s="1186">
        <v>113880</v>
      </c>
    </row>
    <row r="1691" spans="1:6" x14ac:dyDescent="0.2">
      <c r="A1691" s="1186" t="s">
        <v>17</v>
      </c>
      <c r="B1691" s="1186" t="s">
        <v>308</v>
      </c>
      <c r="C1691" s="1186" t="s">
        <v>61</v>
      </c>
      <c r="D1691" s="1186" t="s">
        <v>47</v>
      </c>
      <c r="E1691" s="1186">
        <v>7</v>
      </c>
      <c r="F1691" s="1186">
        <v>23200</v>
      </c>
    </row>
    <row r="1692" spans="1:6" x14ac:dyDescent="0.2">
      <c r="A1692" s="1186" t="s">
        <v>17</v>
      </c>
      <c r="B1692" s="1186" t="s">
        <v>308</v>
      </c>
      <c r="C1692" s="1186" t="s">
        <v>61</v>
      </c>
      <c r="D1692" s="1186" t="s">
        <v>48</v>
      </c>
      <c r="E1692" s="1186">
        <v>29</v>
      </c>
      <c r="F1692" s="1186">
        <v>112870</v>
      </c>
    </row>
    <row r="1693" spans="1:6" x14ac:dyDescent="0.2">
      <c r="A1693" s="1186" t="s">
        <v>17</v>
      </c>
      <c r="B1693" s="1186" t="s">
        <v>308</v>
      </c>
      <c r="C1693" s="1186" t="s">
        <v>61</v>
      </c>
      <c r="D1693" s="1186" t="s">
        <v>49</v>
      </c>
      <c r="E1693" s="1186">
        <v>66</v>
      </c>
      <c r="F1693" s="1186">
        <v>314810</v>
      </c>
    </row>
    <row r="1694" spans="1:6" x14ac:dyDescent="0.2">
      <c r="A1694" s="1186" t="s">
        <v>17</v>
      </c>
      <c r="B1694" s="1186" t="s">
        <v>308</v>
      </c>
      <c r="C1694" s="1186" t="s">
        <v>61</v>
      </c>
      <c r="D1694" s="1186" t="s">
        <v>50</v>
      </c>
      <c r="E1694" s="1186">
        <v>42</v>
      </c>
      <c r="F1694" s="1186">
        <v>91230</v>
      </c>
    </row>
    <row r="1695" spans="1:6" x14ac:dyDescent="0.2">
      <c r="A1695" s="1186" t="s">
        <v>17</v>
      </c>
      <c r="B1695" s="1186" t="s">
        <v>308</v>
      </c>
      <c r="C1695" s="1186" t="s">
        <v>61</v>
      </c>
      <c r="D1695" s="1186" t="s">
        <v>51</v>
      </c>
      <c r="E1695" s="1186">
        <v>8</v>
      </c>
      <c r="F1695" s="1186">
        <v>89800</v>
      </c>
    </row>
    <row r="1696" spans="1:6" x14ac:dyDescent="0.2">
      <c r="A1696" s="1186" t="s">
        <v>17</v>
      </c>
      <c r="B1696" s="1186" t="s">
        <v>308</v>
      </c>
      <c r="C1696" s="1186" t="s">
        <v>61</v>
      </c>
      <c r="D1696" s="1186" t="s">
        <v>52</v>
      </c>
      <c r="E1696" s="1186">
        <v>126</v>
      </c>
      <c r="F1696" s="1186">
        <v>176160</v>
      </c>
    </row>
    <row r="1697" spans="1:6" x14ac:dyDescent="0.2">
      <c r="A1697" s="1186" t="s">
        <v>17</v>
      </c>
      <c r="B1697" s="1186" t="s">
        <v>308</v>
      </c>
      <c r="C1697" s="1186" t="s">
        <v>116</v>
      </c>
      <c r="D1697" s="1186" t="s">
        <v>23</v>
      </c>
      <c r="E1697" s="1186">
        <v>277</v>
      </c>
      <c r="F1697" s="1186">
        <v>227070</v>
      </c>
    </row>
    <row r="1698" spans="1:6" x14ac:dyDescent="0.2">
      <c r="A1698" s="1186" t="s">
        <v>17</v>
      </c>
      <c r="B1698" s="1186" t="s">
        <v>308</v>
      </c>
      <c r="C1698" s="1186" t="s">
        <v>116</v>
      </c>
      <c r="D1698" s="1186" t="s">
        <v>24</v>
      </c>
      <c r="E1698" s="1186">
        <v>141</v>
      </c>
      <c r="F1698" s="1186">
        <v>257770</v>
      </c>
    </row>
    <row r="1699" spans="1:6" x14ac:dyDescent="0.2">
      <c r="A1699" s="1186" t="s">
        <v>17</v>
      </c>
      <c r="B1699" s="1186" t="s">
        <v>308</v>
      </c>
      <c r="C1699" s="1186" t="s">
        <v>116</v>
      </c>
      <c r="D1699" s="1186" t="s">
        <v>25</v>
      </c>
      <c r="E1699" s="1186">
        <v>139</v>
      </c>
      <c r="F1699" s="1186">
        <v>116290</v>
      </c>
    </row>
    <row r="1700" spans="1:6" x14ac:dyDescent="0.2">
      <c r="A1700" s="1186" t="s">
        <v>17</v>
      </c>
      <c r="B1700" s="1186" t="s">
        <v>308</v>
      </c>
      <c r="C1700" s="1186" t="s">
        <v>116</v>
      </c>
      <c r="D1700" s="1186" t="s">
        <v>26</v>
      </c>
      <c r="E1700" s="1186">
        <v>55</v>
      </c>
      <c r="F1700" s="1186">
        <v>88050</v>
      </c>
    </row>
    <row r="1701" spans="1:6" x14ac:dyDescent="0.2">
      <c r="A1701" s="1186" t="s">
        <v>17</v>
      </c>
      <c r="B1701" s="1186" t="s">
        <v>308</v>
      </c>
      <c r="C1701" s="1186" t="s">
        <v>116</v>
      </c>
      <c r="D1701" s="1186" t="s">
        <v>619</v>
      </c>
      <c r="E1701" s="1186">
        <v>1022</v>
      </c>
      <c r="F1701" s="1186">
        <v>487460</v>
      </c>
    </row>
    <row r="1702" spans="1:6" x14ac:dyDescent="0.2">
      <c r="A1702" s="1186" t="s">
        <v>17</v>
      </c>
      <c r="B1702" s="1186" t="s">
        <v>308</v>
      </c>
      <c r="C1702" s="1186" t="s">
        <v>116</v>
      </c>
      <c r="D1702" s="1186" t="s">
        <v>27</v>
      </c>
      <c r="E1702" s="1186">
        <v>93</v>
      </c>
      <c r="F1702" s="1186">
        <v>51280</v>
      </c>
    </row>
    <row r="1703" spans="1:6" x14ac:dyDescent="0.2">
      <c r="A1703" s="1186" t="s">
        <v>17</v>
      </c>
      <c r="B1703" s="1186" t="s">
        <v>308</v>
      </c>
      <c r="C1703" s="1186" t="s">
        <v>116</v>
      </c>
      <c r="D1703" s="1186" t="s">
        <v>28</v>
      </c>
      <c r="E1703" s="1186">
        <v>87</v>
      </c>
      <c r="F1703" s="1186">
        <v>150280</v>
      </c>
    </row>
    <row r="1704" spans="1:6" x14ac:dyDescent="0.2">
      <c r="A1704" s="1186" t="s">
        <v>17</v>
      </c>
      <c r="B1704" s="1186" t="s">
        <v>308</v>
      </c>
      <c r="C1704" s="1186" t="s">
        <v>116</v>
      </c>
      <c r="D1704" s="1186" t="s">
        <v>29</v>
      </c>
      <c r="E1704" s="1186">
        <v>578</v>
      </c>
      <c r="F1704" s="1186">
        <v>148100</v>
      </c>
    </row>
    <row r="1705" spans="1:6" x14ac:dyDescent="0.2">
      <c r="A1705" s="1186" t="s">
        <v>17</v>
      </c>
      <c r="B1705" s="1186" t="s">
        <v>308</v>
      </c>
      <c r="C1705" s="1186" t="s">
        <v>116</v>
      </c>
      <c r="D1705" s="1186" t="s">
        <v>30</v>
      </c>
      <c r="E1705" s="1186">
        <v>650</v>
      </c>
      <c r="F1705" s="1186">
        <v>122430</v>
      </c>
    </row>
    <row r="1706" spans="1:6" x14ac:dyDescent="0.2">
      <c r="A1706" s="1186" t="s">
        <v>17</v>
      </c>
      <c r="B1706" s="1186" t="s">
        <v>308</v>
      </c>
      <c r="C1706" s="1186" t="s">
        <v>116</v>
      </c>
      <c r="D1706" s="1186" t="s">
        <v>31</v>
      </c>
      <c r="E1706" s="1186">
        <v>193</v>
      </c>
      <c r="F1706" s="1186">
        <v>105840</v>
      </c>
    </row>
    <row r="1707" spans="1:6" x14ac:dyDescent="0.2">
      <c r="A1707" s="1186" t="s">
        <v>17</v>
      </c>
      <c r="B1707" s="1186" t="s">
        <v>308</v>
      </c>
      <c r="C1707" s="1186" t="s">
        <v>116</v>
      </c>
      <c r="D1707" s="1186" t="s">
        <v>32</v>
      </c>
      <c r="E1707" s="1186">
        <v>154</v>
      </c>
      <c r="F1707" s="1186">
        <v>101390</v>
      </c>
    </row>
    <row r="1708" spans="1:6" x14ac:dyDescent="0.2">
      <c r="A1708" s="1186" t="s">
        <v>17</v>
      </c>
      <c r="B1708" s="1186" t="s">
        <v>308</v>
      </c>
      <c r="C1708" s="1186" t="s">
        <v>116</v>
      </c>
      <c r="D1708" s="1186" t="s">
        <v>33</v>
      </c>
      <c r="E1708" s="1186">
        <v>132</v>
      </c>
      <c r="F1708" s="1186">
        <v>91530</v>
      </c>
    </row>
    <row r="1709" spans="1:6" x14ac:dyDescent="0.2">
      <c r="A1709" s="1186" t="s">
        <v>17</v>
      </c>
      <c r="B1709" s="1186" t="s">
        <v>308</v>
      </c>
      <c r="C1709" s="1186" t="s">
        <v>116</v>
      </c>
      <c r="D1709" s="1186" t="s">
        <v>34</v>
      </c>
      <c r="E1709" s="1186">
        <v>389</v>
      </c>
      <c r="F1709" s="1186">
        <v>157160</v>
      </c>
    </row>
    <row r="1710" spans="1:6" x14ac:dyDescent="0.2">
      <c r="A1710" s="1186" t="s">
        <v>17</v>
      </c>
      <c r="B1710" s="1186" t="s">
        <v>308</v>
      </c>
      <c r="C1710" s="1186" t="s">
        <v>116</v>
      </c>
      <c r="D1710" s="1186" t="s">
        <v>35</v>
      </c>
      <c r="E1710" s="1186">
        <v>621</v>
      </c>
      <c r="F1710" s="1186">
        <v>366900</v>
      </c>
    </row>
    <row r="1711" spans="1:6" x14ac:dyDescent="0.2">
      <c r="A1711" s="1186" t="s">
        <v>17</v>
      </c>
      <c r="B1711" s="1186" t="s">
        <v>308</v>
      </c>
      <c r="C1711" s="1186" t="s">
        <v>116</v>
      </c>
      <c r="D1711" s="1186" t="s">
        <v>36</v>
      </c>
      <c r="E1711" s="1186">
        <v>2651</v>
      </c>
      <c r="F1711" s="1186">
        <v>596520</v>
      </c>
    </row>
    <row r="1712" spans="1:6" x14ac:dyDescent="0.2">
      <c r="A1712" s="1186" t="s">
        <v>17</v>
      </c>
      <c r="B1712" s="1186" t="s">
        <v>308</v>
      </c>
      <c r="C1712" s="1186" t="s">
        <v>116</v>
      </c>
      <c r="D1712" s="1186" t="s">
        <v>37</v>
      </c>
      <c r="E1712" s="1186">
        <v>185</v>
      </c>
      <c r="F1712" s="1186">
        <v>232930</v>
      </c>
    </row>
    <row r="1713" spans="1:6" x14ac:dyDescent="0.2">
      <c r="A1713" s="1186" t="s">
        <v>17</v>
      </c>
      <c r="B1713" s="1186" t="s">
        <v>308</v>
      </c>
      <c r="C1713" s="1186" t="s">
        <v>116</v>
      </c>
      <c r="D1713" s="1186" t="s">
        <v>38</v>
      </c>
      <c r="E1713" s="1186">
        <v>415</v>
      </c>
      <c r="F1713" s="1186">
        <v>80340</v>
      </c>
    </row>
    <row r="1714" spans="1:6" x14ac:dyDescent="0.2">
      <c r="A1714" s="1186" t="s">
        <v>17</v>
      </c>
      <c r="B1714" s="1186" t="s">
        <v>308</v>
      </c>
      <c r="C1714" s="1186" t="s">
        <v>116</v>
      </c>
      <c r="D1714" s="1186" t="s">
        <v>39</v>
      </c>
      <c r="E1714" s="1186">
        <v>272</v>
      </c>
      <c r="F1714" s="1186">
        <v>84710</v>
      </c>
    </row>
    <row r="1715" spans="1:6" x14ac:dyDescent="0.2">
      <c r="A1715" s="1186" t="s">
        <v>17</v>
      </c>
      <c r="B1715" s="1186" t="s">
        <v>308</v>
      </c>
      <c r="C1715" s="1186" t="s">
        <v>116</v>
      </c>
      <c r="D1715" s="1186" t="s">
        <v>40</v>
      </c>
      <c r="E1715" s="1186">
        <v>74</v>
      </c>
      <c r="F1715" s="1186">
        <v>94360</v>
      </c>
    </row>
    <row r="1716" spans="1:6" x14ac:dyDescent="0.2">
      <c r="A1716" s="1186" t="s">
        <v>17</v>
      </c>
      <c r="B1716" s="1186" t="s">
        <v>308</v>
      </c>
      <c r="C1716" s="1186" t="s">
        <v>116</v>
      </c>
      <c r="D1716" s="1186" t="s">
        <v>295</v>
      </c>
      <c r="E1716" s="1186">
        <v>10</v>
      </c>
      <c r="F1716" s="1186">
        <v>27400</v>
      </c>
    </row>
    <row r="1717" spans="1:6" x14ac:dyDescent="0.2">
      <c r="A1717" s="1186" t="s">
        <v>17</v>
      </c>
      <c r="B1717" s="1186" t="s">
        <v>308</v>
      </c>
      <c r="C1717" s="1186" t="s">
        <v>116</v>
      </c>
      <c r="D1717" s="1186" t="s">
        <v>41</v>
      </c>
      <c r="E1717" s="1186">
        <v>492</v>
      </c>
      <c r="F1717" s="1186">
        <v>136940</v>
      </c>
    </row>
    <row r="1718" spans="1:6" x14ac:dyDescent="0.2">
      <c r="A1718" s="1186" t="s">
        <v>17</v>
      </c>
      <c r="B1718" s="1186" t="s">
        <v>308</v>
      </c>
      <c r="C1718" s="1186" t="s">
        <v>116</v>
      </c>
      <c r="D1718" s="1186" t="s">
        <v>42</v>
      </c>
      <c r="E1718" s="1186">
        <v>1727</v>
      </c>
      <c r="F1718" s="1186">
        <v>337780</v>
      </c>
    </row>
    <row r="1719" spans="1:6" x14ac:dyDescent="0.2">
      <c r="A1719" s="1186" t="s">
        <v>17</v>
      </c>
      <c r="B1719" s="1186" t="s">
        <v>308</v>
      </c>
      <c r="C1719" s="1186" t="s">
        <v>116</v>
      </c>
      <c r="D1719" s="1186" t="s">
        <v>43</v>
      </c>
      <c r="E1719" s="1186">
        <v>5</v>
      </c>
      <c r="F1719" s="1186">
        <v>21560</v>
      </c>
    </row>
    <row r="1720" spans="1:6" x14ac:dyDescent="0.2">
      <c r="A1720" s="1186" t="s">
        <v>17</v>
      </c>
      <c r="B1720" s="1186" t="s">
        <v>308</v>
      </c>
      <c r="C1720" s="1186" t="s">
        <v>116</v>
      </c>
      <c r="D1720" s="1186" t="s">
        <v>44</v>
      </c>
      <c r="E1720" s="1186">
        <v>78</v>
      </c>
      <c r="F1720" s="1186">
        <v>147770</v>
      </c>
    </row>
    <row r="1721" spans="1:6" x14ac:dyDescent="0.2">
      <c r="A1721" s="1186" t="s">
        <v>17</v>
      </c>
      <c r="B1721" s="1186" t="s">
        <v>308</v>
      </c>
      <c r="C1721" s="1186" t="s">
        <v>116</v>
      </c>
      <c r="D1721" s="1186" t="s">
        <v>45</v>
      </c>
      <c r="E1721" s="1186">
        <v>488</v>
      </c>
      <c r="F1721" s="1186">
        <v>173890</v>
      </c>
    </row>
    <row r="1722" spans="1:6" x14ac:dyDescent="0.2">
      <c r="A1722" s="1186" t="s">
        <v>17</v>
      </c>
      <c r="B1722" s="1186" t="s">
        <v>308</v>
      </c>
      <c r="C1722" s="1186" t="s">
        <v>116</v>
      </c>
      <c r="D1722" s="1186" t="s">
        <v>46</v>
      </c>
      <c r="E1722" s="1186">
        <v>57</v>
      </c>
      <c r="F1722" s="1186">
        <v>113880</v>
      </c>
    </row>
    <row r="1723" spans="1:6" x14ac:dyDescent="0.2">
      <c r="A1723" s="1186" t="s">
        <v>17</v>
      </c>
      <c r="B1723" s="1186" t="s">
        <v>308</v>
      </c>
      <c r="C1723" s="1186" t="s">
        <v>116</v>
      </c>
      <c r="D1723" s="1186" t="s">
        <v>47</v>
      </c>
      <c r="E1723" s="1186">
        <v>2</v>
      </c>
      <c r="F1723" s="1186">
        <v>23200</v>
      </c>
    </row>
    <row r="1724" spans="1:6" x14ac:dyDescent="0.2">
      <c r="A1724" s="1186" t="s">
        <v>17</v>
      </c>
      <c r="B1724" s="1186" t="s">
        <v>308</v>
      </c>
      <c r="C1724" s="1186" t="s">
        <v>116</v>
      </c>
      <c r="D1724" s="1186" t="s">
        <v>48</v>
      </c>
      <c r="E1724" s="1186">
        <v>265</v>
      </c>
      <c r="F1724" s="1186">
        <v>112870</v>
      </c>
    </row>
    <row r="1725" spans="1:6" x14ac:dyDescent="0.2">
      <c r="A1725" s="1186" t="s">
        <v>17</v>
      </c>
      <c r="B1725" s="1186" t="s">
        <v>308</v>
      </c>
      <c r="C1725" s="1186" t="s">
        <v>116</v>
      </c>
      <c r="D1725" s="1186" t="s">
        <v>49</v>
      </c>
      <c r="E1725" s="1186">
        <v>1143</v>
      </c>
      <c r="F1725" s="1186">
        <v>314810</v>
      </c>
    </row>
    <row r="1726" spans="1:6" x14ac:dyDescent="0.2">
      <c r="A1726" s="1186" t="s">
        <v>17</v>
      </c>
      <c r="B1726" s="1186" t="s">
        <v>308</v>
      </c>
      <c r="C1726" s="1186" t="s">
        <v>116</v>
      </c>
      <c r="D1726" s="1186" t="s">
        <v>50</v>
      </c>
      <c r="E1726" s="1186">
        <v>88</v>
      </c>
      <c r="F1726" s="1186">
        <v>91230</v>
      </c>
    </row>
    <row r="1727" spans="1:6" x14ac:dyDescent="0.2">
      <c r="A1727" s="1186" t="s">
        <v>17</v>
      </c>
      <c r="B1727" s="1186" t="s">
        <v>308</v>
      </c>
      <c r="C1727" s="1186" t="s">
        <v>116</v>
      </c>
      <c r="D1727" s="1186" t="s">
        <v>51</v>
      </c>
      <c r="E1727" s="1186">
        <v>488</v>
      </c>
      <c r="F1727" s="1186">
        <v>89800</v>
      </c>
    </row>
    <row r="1728" spans="1:6" x14ac:dyDescent="0.2">
      <c r="A1728" s="1186" t="s">
        <v>17</v>
      </c>
      <c r="B1728" s="1186" t="s">
        <v>308</v>
      </c>
      <c r="C1728" s="1186" t="s">
        <v>116</v>
      </c>
      <c r="D1728" s="1186" t="s">
        <v>52</v>
      </c>
      <c r="E1728" s="1186">
        <v>476</v>
      </c>
      <c r="F1728" s="1186">
        <v>176160</v>
      </c>
    </row>
    <row r="1729" spans="1:6" x14ac:dyDescent="0.2">
      <c r="A1729" s="1186" t="s">
        <v>133</v>
      </c>
      <c r="B1729" s="1186" t="s">
        <v>309</v>
      </c>
      <c r="C1729" s="1186" t="s">
        <v>61</v>
      </c>
      <c r="D1729" s="1186" t="s">
        <v>23</v>
      </c>
      <c r="E1729" s="1186">
        <v>12</v>
      </c>
      <c r="F1729" s="1186">
        <v>228920</v>
      </c>
    </row>
    <row r="1730" spans="1:6" x14ac:dyDescent="0.2">
      <c r="A1730" s="1186" t="s">
        <v>133</v>
      </c>
      <c r="B1730" s="1186" t="s">
        <v>309</v>
      </c>
      <c r="C1730" s="1186" t="s">
        <v>61</v>
      </c>
      <c r="D1730" s="1186" t="s">
        <v>24</v>
      </c>
      <c r="E1730" s="1186">
        <v>98</v>
      </c>
      <c r="F1730" s="1186">
        <v>260530</v>
      </c>
    </row>
    <row r="1731" spans="1:6" x14ac:dyDescent="0.2">
      <c r="A1731" s="1186" t="s">
        <v>133</v>
      </c>
      <c r="B1731" s="1186" t="s">
        <v>309</v>
      </c>
      <c r="C1731" s="1186" t="s">
        <v>61</v>
      </c>
      <c r="D1731" s="1186" t="s">
        <v>25</v>
      </c>
      <c r="E1731" s="1186">
        <v>27</v>
      </c>
      <c r="F1731" s="1186">
        <v>116740</v>
      </c>
    </row>
    <row r="1732" spans="1:6" x14ac:dyDescent="0.2">
      <c r="A1732" s="1186" t="s">
        <v>133</v>
      </c>
      <c r="B1732" s="1186" t="s">
        <v>309</v>
      </c>
      <c r="C1732" s="1186" t="s">
        <v>61</v>
      </c>
      <c r="D1732" s="1186" t="s">
        <v>26</v>
      </c>
      <c r="E1732" s="1186">
        <v>42</v>
      </c>
      <c r="F1732" s="1186">
        <v>87650</v>
      </c>
    </row>
    <row r="1733" spans="1:6" x14ac:dyDescent="0.2">
      <c r="A1733" s="1186" t="s">
        <v>133</v>
      </c>
      <c r="B1733" s="1186" t="s">
        <v>309</v>
      </c>
      <c r="C1733" s="1186" t="s">
        <v>61</v>
      </c>
      <c r="D1733" s="1186" t="s">
        <v>619</v>
      </c>
      <c r="E1733" s="1186">
        <v>13</v>
      </c>
      <c r="F1733" s="1186">
        <v>492610</v>
      </c>
    </row>
    <row r="1734" spans="1:6" x14ac:dyDescent="0.2">
      <c r="A1734" s="1186" t="s">
        <v>133</v>
      </c>
      <c r="B1734" s="1186" t="s">
        <v>309</v>
      </c>
      <c r="C1734" s="1186" t="s">
        <v>61</v>
      </c>
      <c r="D1734" s="1186" t="s">
        <v>27</v>
      </c>
      <c r="E1734" s="1186">
        <v>5</v>
      </c>
      <c r="F1734" s="1186">
        <v>51190</v>
      </c>
    </row>
    <row r="1735" spans="1:6" x14ac:dyDescent="0.2">
      <c r="A1735" s="1186" t="s">
        <v>133</v>
      </c>
      <c r="B1735" s="1186" t="s">
        <v>309</v>
      </c>
      <c r="C1735" s="1186" t="s">
        <v>61</v>
      </c>
      <c r="D1735" s="1186" t="s">
        <v>28</v>
      </c>
      <c r="E1735" s="1186">
        <v>61</v>
      </c>
      <c r="F1735" s="1186">
        <v>149960</v>
      </c>
    </row>
    <row r="1736" spans="1:6" x14ac:dyDescent="0.2">
      <c r="A1736" s="1186" t="s">
        <v>133</v>
      </c>
      <c r="B1736" s="1186" t="s">
        <v>309</v>
      </c>
      <c r="C1736" s="1186" t="s">
        <v>61</v>
      </c>
      <c r="D1736" s="1186" t="s">
        <v>29</v>
      </c>
      <c r="E1736" s="1186">
        <v>4</v>
      </c>
      <c r="F1736" s="1186">
        <v>148130</v>
      </c>
    </row>
    <row r="1737" spans="1:6" x14ac:dyDescent="0.2">
      <c r="A1737" s="1186" t="s">
        <v>133</v>
      </c>
      <c r="B1737" s="1186" t="s">
        <v>309</v>
      </c>
      <c r="C1737" s="1186" t="s">
        <v>61</v>
      </c>
      <c r="D1737" s="1186" t="s">
        <v>30</v>
      </c>
      <c r="E1737" s="1186">
        <v>15</v>
      </c>
      <c r="F1737" s="1186">
        <v>122130</v>
      </c>
    </row>
    <row r="1738" spans="1:6" x14ac:dyDescent="0.2">
      <c r="A1738" s="1186" t="s">
        <v>133</v>
      </c>
      <c r="B1738" s="1186" t="s">
        <v>309</v>
      </c>
      <c r="C1738" s="1186" t="s">
        <v>61</v>
      </c>
      <c r="D1738" s="1186" t="s">
        <v>31</v>
      </c>
      <c r="E1738" s="1186">
        <v>3</v>
      </c>
      <c r="F1738" s="1186">
        <v>106710</v>
      </c>
    </row>
    <row r="1739" spans="1:6" x14ac:dyDescent="0.2">
      <c r="A1739" s="1186" t="s">
        <v>133</v>
      </c>
      <c r="B1739" s="1186" t="s">
        <v>309</v>
      </c>
      <c r="C1739" s="1186" t="s">
        <v>61</v>
      </c>
      <c r="D1739" s="1186" t="s">
        <v>32</v>
      </c>
      <c r="E1739" s="1186">
        <v>10</v>
      </c>
      <c r="F1739" s="1186">
        <v>102090</v>
      </c>
    </row>
    <row r="1740" spans="1:6" x14ac:dyDescent="0.2">
      <c r="A1740" s="1186" t="s">
        <v>133</v>
      </c>
      <c r="B1740" s="1186" t="s">
        <v>309</v>
      </c>
      <c r="C1740" s="1186" t="s">
        <v>61</v>
      </c>
      <c r="D1740" s="1186" t="s">
        <v>33</v>
      </c>
      <c r="E1740" s="1186">
        <v>8</v>
      </c>
      <c r="F1740" s="1186">
        <v>92410</v>
      </c>
    </row>
    <row r="1741" spans="1:6" x14ac:dyDescent="0.2">
      <c r="A1741" s="1186" t="s">
        <v>133</v>
      </c>
      <c r="B1741" s="1186" t="s">
        <v>309</v>
      </c>
      <c r="C1741" s="1186" t="s">
        <v>61</v>
      </c>
      <c r="D1741" s="1186" t="s">
        <v>34</v>
      </c>
      <c r="E1741" s="1186">
        <v>6</v>
      </c>
      <c r="F1741" s="1186">
        <v>157690</v>
      </c>
    </row>
    <row r="1742" spans="1:6" x14ac:dyDescent="0.2">
      <c r="A1742" s="1186" t="s">
        <v>133</v>
      </c>
      <c r="B1742" s="1186" t="s">
        <v>309</v>
      </c>
      <c r="C1742" s="1186" t="s">
        <v>61</v>
      </c>
      <c r="D1742" s="1186" t="s">
        <v>35</v>
      </c>
      <c r="E1742" s="1186">
        <v>33</v>
      </c>
      <c r="F1742" s="1186">
        <v>367250</v>
      </c>
    </row>
    <row r="1743" spans="1:6" x14ac:dyDescent="0.2">
      <c r="A1743" s="1186" t="s">
        <v>133</v>
      </c>
      <c r="B1743" s="1186" t="s">
        <v>309</v>
      </c>
      <c r="C1743" s="1186" t="s">
        <v>61</v>
      </c>
      <c r="D1743" s="1186" t="s">
        <v>36</v>
      </c>
      <c r="E1743" s="1186">
        <v>3</v>
      </c>
      <c r="F1743" s="1186">
        <v>599640</v>
      </c>
    </row>
    <row r="1744" spans="1:6" x14ac:dyDescent="0.2">
      <c r="A1744" s="1186" t="s">
        <v>133</v>
      </c>
      <c r="B1744" s="1186" t="s">
        <v>309</v>
      </c>
      <c r="C1744" s="1186" t="s">
        <v>61</v>
      </c>
      <c r="D1744" s="1186" t="s">
        <v>37</v>
      </c>
      <c r="E1744" s="1186">
        <v>278</v>
      </c>
      <c r="F1744" s="1186">
        <v>233080</v>
      </c>
    </row>
    <row r="1745" spans="1:6" x14ac:dyDescent="0.2">
      <c r="A1745" s="1186" t="s">
        <v>133</v>
      </c>
      <c r="B1745" s="1186" t="s">
        <v>309</v>
      </c>
      <c r="C1745" s="1186" t="s">
        <v>61</v>
      </c>
      <c r="D1745" s="1186" t="s">
        <v>38</v>
      </c>
      <c r="E1745" s="1186">
        <v>1</v>
      </c>
      <c r="F1745" s="1186">
        <v>79890</v>
      </c>
    </row>
    <row r="1746" spans="1:6" x14ac:dyDescent="0.2">
      <c r="A1746" s="1186" t="s">
        <v>133</v>
      </c>
      <c r="B1746" s="1186" t="s">
        <v>309</v>
      </c>
      <c r="C1746" s="1186" t="s">
        <v>61</v>
      </c>
      <c r="D1746" s="1186" t="s">
        <v>39</v>
      </c>
      <c r="E1746" s="1186">
        <v>13</v>
      </c>
      <c r="F1746" s="1186">
        <v>86220</v>
      </c>
    </row>
    <row r="1747" spans="1:6" x14ac:dyDescent="0.2">
      <c r="A1747" s="1186" t="s">
        <v>133</v>
      </c>
      <c r="B1747" s="1186" t="s">
        <v>309</v>
      </c>
      <c r="C1747" s="1186" t="s">
        <v>61</v>
      </c>
      <c r="D1747" s="1186" t="s">
        <v>40</v>
      </c>
      <c r="E1747" s="1186">
        <v>38</v>
      </c>
      <c r="F1747" s="1186">
        <v>94770</v>
      </c>
    </row>
    <row r="1748" spans="1:6" x14ac:dyDescent="0.2">
      <c r="A1748" s="1186" t="s">
        <v>133</v>
      </c>
      <c r="B1748" s="1186" t="s">
        <v>309</v>
      </c>
      <c r="C1748" s="1186" t="s">
        <v>61</v>
      </c>
      <c r="D1748" s="1186" t="s">
        <v>295</v>
      </c>
      <c r="E1748" s="1186">
        <v>57</v>
      </c>
      <c r="F1748" s="1186">
        <v>27250</v>
      </c>
    </row>
    <row r="1749" spans="1:6" x14ac:dyDescent="0.2">
      <c r="A1749" s="1186" t="s">
        <v>133</v>
      </c>
      <c r="B1749" s="1186" t="s">
        <v>309</v>
      </c>
      <c r="C1749" s="1186" t="s">
        <v>61</v>
      </c>
      <c r="D1749" s="1186" t="s">
        <v>41</v>
      </c>
      <c r="E1749" s="1186">
        <v>22</v>
      </c>
      <c r="F1749" s="1186">
        <v>136480</v>
      </c>
    </row>
    <row r="1750" spans="1:6" x14ac:dyDescent="0.2">
      <c r="A1750" s="1186" t="s">
        <v>133</v>
      </c>
      <c r="B1750" s="1186" t="s">
        <v>309</v>
      </c>
      <c r="C1750" s="1186" t="s">
        <v>61</v>
      </c>
      <c r="D1750" s="1186" t="s">
        <v>42</v>
      </c>
      <c r="E1750" s="1186">
        <v>4</v>
      </c>
      <c r="F1750" s="1186">
        <v>338000</v>
      </c>
    </row>
    <row r="1751" spans="1:6" x14ac:dyDescent="0.2">
      <c r="A1751" s="1186" t="s">
        <v>133</v>
      </c>
      <c r="B1751" s="1186" t="s">
        <v>309</v>
      </c>
      <c r="C1751" s="1186" t="s">
        <v>61</v>
      </c>
      <c r="D1751" s="1186" t="s">
        <v>43</v>
      </c>
      <c r="E1751" s="1186">
        <v>12</v>
      </c>
      <c r="F1751" s="1186">
        <v>21580</v>
      </c>
    </row>
    <row r="1752" spans="1:6" x14ac:dyDescent="0.2">
      <c r="A1752" s="1186" t="s">
        <v>133</v>
      </c>
      <c r="B1752" s="1186" t="s">
        <v>309</v>
      </c>
      <c r="C1752" s="1186" t="s">
        <v>61</v>
      </c>
      <c r="D1752" s="1186" t="s">
        <v>44</v>
      </c>
      <c r="E1752" s="1186">
        <v>61</v>
      </c>
      <c r="F1752" s="1186">
        <v>148930</v>
      </c>
    </row>
    <row r="1753" spans="1:6" x14ac:dyDescent="0.2">
      <c r="A1753" s="1186" t="s">
        <v>133</v>
      </c>
      <c r="B1753" s="1186" t="s">
        <v>309</v>
      </c>
      <c r="C1753" s="1186" t="s">
        <v>61</v>
      </c>
      <c r="D1753" s="1186" t="s">
        <v>45</v>
      </c>
      <c r="E1753" s="1186">
        <v>4</v>
      </c>
      <c r="F1753" s="1186">
        <v>174230</v>
      </c>
    </row>
    <row r="1754" spans="1:6" x14ac:dyDescent="0.2">
      <c r="A1754" s="1186" t="s">
        <v>133</v>
      </c>
      <c r="B1754" s="1186" t="s">
        <v>309</v>
      </c>
      <c r="C1754" s="1186" t="s">
        <v>61</v>
      </c>
      <c r="D1754" s="1186" t="s">
        <v>46</v>
      </c>
      <c r="E1754" s="1186">
        <v>76</v>
      </c>
      <c r="F1754" s="1186">
        <v>114040</v>
      </c>
    </row>
    <row r="1755" spans="1:6" x14ac:dyDescent="0.2">
      <c r="A1755" s="1186" t="s">
        <v>133</v>
      </c>
      <c r="B1755" s="1186" t="s">
        <v>309</v>
      </c>
      <c r="C1755" s="1186" t="s">
        <v>61</v>
      </c>
      <c r="D1755" s="1186" t="s">
        <v>47</v>
      </c>
      <c r="E1755" s="1186">
        <v>6</v>
      </c>
      <c r="F1755" s="1186">
        <v>23220</v>
      </c>
    </row>
    <row r="1756" spans="1:6" x14ac:dyDescent="0.2">
      <c r="A1756" s="1186" t="s">
        <v>133</v>
      </c>
      <c r="B1756" s="1186" t="s">
        <v>309</v>
      </c>
      <c r="C1756" s="1186" t="s">
        <v>61</v>
      </c>
      <c r="D1756" s="1186" t="s">
        <v>48</v>
      </c>
      <c r="E1756" s="1186">
        <v>20</v>
      </c>
      <c r="F1756" s="1186">
        <v>112530</v>
      </c>
    </row>
    <row r="1757" spans="1:6" x14ac:dyDescent="0.2">
      <c r="A1757" s="1186" t="s">
        <v>133</v>
      </c>
      <c r="B1757" s="1186" t="s">
        <v>309</v>
      </c>
      <c r="C1757" s="1186" t="s">
        <v>61</v>
      </c>
      <c r="D1757" s="1186" t="s">
        <v>49</v>
      </c>
      <c r="E1757" s="1186">
        <v>20</v>
      </c>
      <c r="F1757" s="1186">
        <v>315300</v>
      </c>
    </row>
    <row r="1758" spans="1:6" x14ac:dyDescent="0.2">
      <c r="A1758" s="1186" t="s">
        <v>133</v>
      </c>
      <c r="B1758" s="1186" t="s">
        <v>309</v>
      </c>
      <c r="C1758" s="1186" t="s">
        <v>61</v>
      </c>
      <c r="D1758" s="1186" t="s">
        <v>50</v>
      </c>
      <c r="E1758" s="1186">
        <v>20</v>
      </c>
      <c r="F1758" s="1186">
        <v>91520</v>
      </c>
    </row>
    <row r="1759" spans="1:6" x14ac:dyDescent="0.2">
      <c r="A1759" s="1186" t="s">
        <v>133</v>
      </c>
      <c r="B1759" s="1186" t="s">
        <v>309</v>
      </c>
      <c r="C1759" s="1186" t="s">
        <v>61</v>
      </c>
      <c r="D1759" s="1186" t="s">
        <v>52</v>
      </c>
      <c r="E1759" s="1186">
        <v>11</v>
      </c>
      <c r="F1759" s="1186">
        <v>177200</v>
      </c>
    </row>
    <row r="1760" spans="1:6" x14ac:dyDescent="0.2">
      <c r="A1760" s="1186" t="s">
        <v>133</v>
      </c>
      <c r="B1760" s="1186" t="s">
        <v>309</v>
      </c>
      <c r="C1760" s="1186" t="s">
        <v>116</v>
      </c>
      <c r="D1760" s="1186" t="s">
        <v>37</v>
      </c>
      <c r="E1760" s="1186">
        <v>1</v>
      </c>
      <c r="F1760" s="1186">
        <v>233080</v>
      </c>
    </row>
    <row r="1761" spans="1:6" x14ac:dyDescent="0.2">
      <c r="A1761" s="1186" t="s">
        <v>133</v>
      </c>
      <c r="B1761" s="1186" t="s">
        <v>309</v>
      </c>
      <c r="C1761" s="1186" t="s">
        <v>116</v>
      </c>
      <c r="D1761" s="1186" t="s">
        <v>46</v>
      </c>
      <c r="E1761" s="1186">
        <v>1</v>
      </c>
      <c r="F1761" s="1186">
        <v>114040</v>
      </c>
    </row>
    <row r="1762" spans="1:6" x14ac:dyDescent="0.2">
      <c r="A1762" s="1186" t="s">
        <v>133</v>
      </c>
      <c r="B1762" s="1186" t="s">
        <v>823</v>
      </c>
      <c r="C1762" s="1186" t="s">
        <v>61</v>
      </c>
      <c r="D1762" s="1186" t="s">
        <v>23</v>
      </c>
      <c r="E1762" s="1186">
        <v>274</v>
      </c>
      <c r="F1762" s="1186">
        <v>228920</v>
      </c>
    </row>
    <row r="1763" spans="1:6" x14ac:dyDescent="0.2">
      <c r="A1763" s="1186" t="s">
        <v>133</v>
      </c>
      <c r="B1763" s="1186" t="s">
        <v>823</v>
      </c>
      <c r="C1763" s="1186" t="s">
        <v>61</v>
      </c>
      <c r="D1763" s="1186" t="s">
        <v>24</v>
      </c>
      <c r="E1763" s="1186">
        <v>191</v>
      </c>
      <c r="F1763" s="1186">
        <v>260530</v>
      </c>
    </row>
    <row r="1764" spans="1:6" x14ac:dyDescent="0.2">
      <c r="A1764" s="1186" t="s">
        <v>133</v>
      </c>
      <c r="B1764" s="1186" t="s">
        <v>823</v>
      </c>
      <c r="C1764" s="1186" t="s">
        <v>61</v>
      </c>
      <c r="D1764" s="1186" t="s">
        <v>25</v>
      </c>
      <c r="E1764" s="1186">
        <v>103</v>
      </c>
      <c r="F1764" s="1186">
        <v>116740</v>
      </c>
    </row>
    <row r="1765" spans="1:6" x14ac:dyDescent="0.2">
      <c r="A1765" s="1186" t="s">
        <v>133</v>
      </c>
      <c r="B1765" s="1186" t="s">
        <v>823</v>
      </c>
      <c r="C1765" s="1186" t="s">
        <v>61</v>
      </c>
      <c r="D1765" s="1186" t="s">
        <v>26</v>
      </c>
      <c r="E1765" s="1186">
        <v>81</v>
      </c>
      <c r="F1765" s="1186">
        <v>87650</v>
      </c>
    </row>
    <row r="1766" spans="1:6" x14ac:dyDescent="0.2">
      <c r="A1766" s="1186" t="s">
        <v>133</v>
      </c>
      <c r="B1766" s="1186" t="s">
        <v>823</v>
      </c>
      <c r="C1766" s="1186" t="s">
        <v>61</v>
      </c>
      <c r="D1766" s="1186" t="s">
        <v>619</v>
      </c>
      <c r="E1766" s="1186">
        <v>563</v>
      </c>
      <c r="F1766" s="1186">
        <v>492610</v>
      </c>
    </row>
    <row r="1767" spans="1:6" x14ac:dyDescent="0.2">
      <c r="A1767" s="1186" t="s">
        <v>133</v>
      </c>
      <c r="B1767" s="1186" t="s">
        <v>823</v>
      </c>
      <c r="C1767" s="1186" t="s">
        <v>61</v>
      </c>
      <c r="D1767" s="1186" t="s">
        <v>27</v>
      </c>
      <c r="E1767" s="1186">
        <v>43</v>
      </c>
      <c r="F1767" s="1186">
        <v>51190</v>
      </c>
    </row>
    <row r="1768" spans="1:6" x14ac:dyDescent="0.2">
      <c r="A1768" s="1186" t="s">
        <v>133</v>
      </c>
      <c r="B1768" s="1186" t="s">
        <v>823</v>
      </c>
      <c r="C1768" s="1186" t="s">
        <v>61</v>
      </c>
      <c r="D1768" s="1186" t="s">
        <v>28</v>
      </c>
      <c r="E1768" s="1186">
        <v>93</v>
      </c>
      <c r="F1768" s="1186">
        <v>149960</v>
      </c>
    </row>
    <row r="1769" spans="1:6" x14ac:dyDescent="0.2">
      <c r="A1769" s="1186" t="s">
        <v>133</v>
      </c>
      <c r="B1769" s="1186" t="s">
        <v>823</v>
      </c>
      <c r="C1769" s="1186" t="s">
        <v>61</v>
      </c>
      <c r="D1769" s="1186" t="s">
        <v>29</v>
      </c>
      <c r="E1769" s="1186">
        <v>180</v>
      </c>
      <c r="F1769" s="1186">
        <v>148130</v>
      </c>
    </row>
    <row r="1770" spans="1:6" x14ac:dyDescent="0.2">
      <c r="A1770" s="1186" t="s">
        <v>133</v>
      </c>
      <c r="B1770" s="1186" t="s">
        <v>823</v>
      </c>
      <c r="C1770" s="1186" t="s">
        <v>61</v>
      </c>
      <c r="D1770" s="1186" t="s">
        <v>30</v>
      </c>
      <c r="E1770" s="1186">
        <v>101</v>
      </c>
      <c r="F1770" s="1186">
        <v>122130</v>
      </c>
    </row>
    <row r="1771" spans="1:6" x14ac:dyDescent="0.2">
      <c r="A1771" s="1186" t="s">
        <v>133</v>
      </c>
      <c r="B1771" s="1186" t="s">
        <v>823</v>
      </c>
      <c r="C1771" s="1186" t="s">
        <v>61</v>
      </c>
      <c r="D1771" s="1186" t="s">
        <v>31</v>
      </c>
      <c r="E1771" s="1186">
        <v>69</v>
      </c>
      <c r="F1771" s="1186">
        <v>106710</v>
      </c>
    </row>
    <row r="1772" spans="1:6" x14ac:dyDescent="0.2">
      <c r="A1772" s="1186" t="s">
        <v>133</v>
      </c>
      <c r="B1772" s="1186" t="s">
        <v>823</v>
      </c>
      <c r="C1772" s="1186" t="s">
        <v>61</v>
      </c>
      <c r="D1772" s="1186" t="s">
        <v>32</v>
      </c>
      <c r="E1772" s="1186">
        <v>72</v>
      </c>
      <c r="F1772" s="1186">
        <v>102090</v>
      </c>
    </row>
    <row r="1773" spans="1:6" x14ac:dyDescent="0.2">
      <c r="A1773" s="1186" t="s">
        <v>133</v>
      </c>
      <c r="B1773" s="1186" t="s">
        <v>823</v>
      </c>
      <c r="C1773" s="1186" t="s">
        <v>61</v>
      </c>
      <c r="D1773" s="1186" t="s">
        <v>33</v>
      </c>
      <c r="E1773" s="1186">
        <v>66</v>
      </c>
      <c r="F1773" s="1186">
        <v>92410</v>
      </c>
    </row>
    <row r="1774" spans="1:6" x14ac:dyDescent="0.2">
      <c r="A1774" s="1186" t="s">
        <v>133</v>
      </c>
      <c r="B1774" s="1186" t="s">
        <v>823</v>
      </c>
      <c r="C1774" s="1186" t="s">
        <v>61</v>
      </c>
      <c r="D1774" s="1186" t="s">
        <v>34</v>
      </c>
      <c r="E1774" s="1186">
        <v>111</v>
      </c>
      <c r="F1774" s="1186">
        <v>157690</v>
      </c>
    </row>
    <row r="1775" spans="1:6" x14ac:dyDescent="0.2">
      <c r="A1775" s="1186" t="s">
        <v>133</v>
      </c>
      <c r="B1775" s="1186" t="s">
        <v>823</v>
      </c>
      <c r="C1775" s="1186" t="s">
        <v>61</v>
      </c>
      <c r="D1775" s="1186" t="s">
        <v>35</v>
      </c>
      <c r="E1775" s="1186">
        <v>231</v>
      </c>
      <c r="F1775" s="1186">
        <v>367250</v>
      </c>
    </row>
    <row r="1776" spans="1:6" x14ac:dyDescent="0.2">
      <c r="A1776" s="1186" t="s">
        <v>133</v>
      </c>
      <c r="B1776" s="1186" t="s">
        <v>823</v>
      </c>
      <c r="C1776" s="1186" t="s">
        <v>61</v>
      </c>
      <c r="D1776" s="1186" t="s">
        <v>36</v>
      </c>
      <c r="E1776" s="1186">
        <v>836</v>
      </c>
      <c r="F1776" s="1186">
        <v>599640</v>
      </c>
    </row>
    <row r="1777" spans="1:6" x14ac:dyDescent="0.2">
      <c r="A1777" s="1186" t="s">
        <v>133</v>
      </c>
      <c r="B1777" s="1186" t="s">
        <v>823</v>
      </c>
      <c r="C1777" s="1186" t="s">
        <v>61</v>
      </c>
      <c r="D1777" s="1186" t="s">
        <v>37</v>
      </c>
      <c r="E1777" s="1186">
        <v>160</v>
      </c>
      <c r="F1777" s="1186">
        <v>233080</v>
      </c>
    </row>
    <row r="1778" spans="1:6" x14ac:dyDescent="0.2">
      <c r="A1778" s="1186" t="s">
        <v>133</v>
      </c>
      <c r="B1778" s="1186" t="s">
        <v>823</v>
      </c>
      <c r="C1778" s="1186" t="s">
        <v>61</v>
      </c>
      <c r="D1778" s="1186" t="s">
        <v>38</v>
      </c>
      <c r="E1778" s="1186">
        <v>93</v>
      </c>
      <c r="F1778" s="1186">
        <v>79890</v>
      </c>
    </row>
    <row r="1779" spans="1:6" x14ac:dyDescent="0.2">
      <c r="A1779" s="1186" t="s">
        <v>133</v>
      </c>
      <c r="B1779" s="1186" t="s">
        <v>823</v>
      </c>
      <c r="C1779" s="1186" t="s">
        <v>61</v>
      </c>
      <c r="D1779" s="1186" t="s">
        <v>39</v>
      </c>
      <c r="E1779" s="1186">
        <v>56</v>
      </c>
      <c r="F1779" s="1186">
        <v>86220</v>
      </c>
    </row>
    <row r="1780" spans="1:6" x14ac:dyDescent="0.2">
      <c r="A1780" s="1186" t="s">
        <v>133</v>
      </c>
      <c r="B1780" s="1186" t="s">
        <v>823</v>
      </c>
      <c r="C1780" s="1186" t="s">
        <v>61</v>
      </c>
      <c r="D1780" s="1186" t="s">
        <v>40</v>
      </c>
      <c r="E1780" s="1186">
        <v>53</v>
      </c>
      <c r="F1780" s="1186">
        <v>94770</v>
      </c>
    </row>
    <row r="1781" spans="1:6" x14ac:dyDescent="0.2">
      <c r="A1781" s="1186" t="s">
        <v>133</v>
      </c>
      <c r="B1781" s="1186" t="s">
        <v>823</v>
      </c>
      <c r="C1781" s="1186" t="s">
        <v>61</v>
      </c>
      <c r="D1781" s="1186" t="s">
        <v>295</v>
      </c>
      <c r="E1781" s="1186">
        <v>22</v>
      </c>
      <c r="F1781" s="1186">
        <v>27250</v>
      </c>
    </row>
    <row r="1782" spans="1:6" x14ac:dyDescent="0.2">
      <c r="A1782" s="1186" t="s">
        <v>133</v>
      </c>
      <c r="B1782" s="1186" t="s">
        <v>823</v>
      </c>
      <c r="C1782" s="1186" t="s">
        <v>61</v>
      </c>
      <c r="D1782" s="1186" t="s">
        <v>41</v>
      </c>
      <c r="E1782" s="1186">
        <v>154</v>
      </c>
      <c r="F1782" s="1186">
        <v>136480</v>
      </c>
    </row>
    <row r="1783" spans="1:6" x14ac:dyDescent="0.2">
      <c r="A1783" s="1186" t="s">
        <v>133</v>
      </c>
      <c r="B1783" s="1186" t="s">
        <v>823</v>
      </c>
      <c r="C1783" s="1186" t="s">
        <v>61</v>
      </c>
      <c r="D1783" s="1186" t="s">
        <v>42</v>
      </c>
      <c r="E1783" s="1186">
        <v>286</v>
      </c>
      <c r="F1783" s="1186">
        <v>338000</v>
      </c>
    </row>
    <row r="1784" spans="1:6" x14ac:dyDescent="0.2">
      <c r="A1784" s="1186" t="s">
        <v>133</v>
      </c>
      <c r="B1784" s="1186" t="s">
        <v>823</v>
      </c>
      <c r="C1784" s="1186" t="s">
        <v>61</v>
      </c>
      <c r="D1784" s="1186" t="s">
        <v>43</v>
      </c>
      <c r="E1784" s="1186">
        <v>12</v>
      </c>
      <c r="F1784" s="1186">
        <v>21580</v>
      </c>
    </row>
    <row r="1785" spans="1:6" x14ac:dyDescent="0.2">
      <c r="A1785" s="1186" t="s">
        <v>133</v>
      </c>
      <c r="B1785" s="1186" t="s">
        <v>823</v>
      </c>
      <c r="C1785" s="1186" t="s">
        <v>61</v>
      </c>
      <c r="D1785" s="1186" t="s">
        <v>44</v>
      </c>
      <c r="E1785" s="1186">
        <v>124</v>
      </c>
      <c r="F1785" s="1186">
        <v>148930</v>
      </c>
    </row>
    <row r="1786" spans="1:6" x14ac:dyDescent="0.2">
      <c r="A1786" s="1186" t="s">
        <v>133</v>
      </c>
      <c r="B1786" s="1186" t="s">
        <v>823</v>
      </c>
      <c r="C1786" s="1186" t="s">
        <v>61</v>
      </c>
      <c r="D1786" s="1186" t="s">
        <v>45</v>
      </c>
      <c r="E1786" s="1186">
        <v>221</v>
      </c>
      <c r="F1786" s="1186">
        <v>174230</v>
      </c>
    </row>
    <row r="1787" spans="1:6" x14ac:dyDescent="0.2">
      <c r="A1787" s="1186" t="s">
        <v>133</v>
      </c>
      <c r="B1787" s="1186" t="s">
        <v>823</v>
      </c>
      <c r="C1787" s="1186" t="s">
        <v>61</v>
      </c>
      <c r="D1787" s="1186" t="s">
        <v>46</v>
      </c>
      <c r="E1787" s="1186">
        <v>80</v>
      </c>
      <c r="F1787" s="1186">
        <v>114040</v>
      </c>
    </row>
    <row r="1788" spans="1:6" x14ac:dyDescent="0.2">
      <c r="A1788" s="1186" t="s">
        <v>133</v>
      </c>
      <c r="B1788" s="1186" t="s">
        <v>823</v>
      </c>
      <c r="C1788" s="1186" t="s">
        <v>61</v>
      </c>
      <c r="D1788" s="1186" t="s">
        <v>47</v>
      </c>
      <c r="E1788" s="1186">
        <v>11</v>
      </c>
      <c r="F1788" s="1186">
        <v>23220</v>
      </c>
    </row>
    <row r="1789" spans="1:6" x14ac:dyDescent="0.2">
      <c r="A1789" s="1186" t="s">
        <v>133</v>
      </c>
      <c r="B1789" s="1186" t="s">
        <v>823</v>
      </c>
      <c r="C1789" s="1186" t="s">
        <v>61</v>
      </c>
      <c r="D1789" s="1186" t="s">
        <v>48</v>
      </c>
      <c r="E1789" s="1186">
        <v>78</v>
      </c>
      <c r="F1789" s="1186">
        <v>112530</v>
      </c>
    </row>
    <row r="1790" spans="1:6" x14ac:dyDescent="0.2">
      <c r="A1790" s="1186" t="s">
        <v>133</v>
      </c>
      <c r="B1790" s="1186" t="s">
        <v>823</v>
      </c>
      <c r="C1790" s="1186" t="s">
        <v>61</v>
      </c>
      <c r="D1790" s="1186" t="s">
        <v>49</v>
      </c>
      <c r="E1790" s="1186">
        <v>267</v>
      </c>
      <c r="F1790" s="1186">
        <v>315300</v>
      </c>
    </row>
    <row r="1791" spans="1:6" x14ac:dyDescent="0.2">
      <c r="A1791" s="1186" t="s">
        <v>133</v>
      </c>
      <c r="B1791" s="1186" t="s">
        <v>823</v>
      </c>
      <c r="C1791" s="1186" t="s">
        <v>61</v>
      </c>
      <c r="D1791" s="1186" t="s">
        <v>50</v>
      </c>
      <c r="E1791" s="1186">
        <v>83</v>
      </c>
      <c r="F1791" s="1186">
        <v>91520</v>
      </c>
    </row>
    <row r="1792" spans="1:6" x14ac:dyDescent="0.2">
      <c r="A1792" s="1186" t="s">
        <v>133</v>
      </c>
      <c r="B1792" s="1186" t="s">
        <v>823</v>
      </c>
      <c r="C1792" s="1186" t="s">
        <v>61</v>
      </c>
      <c r="D1792" s="1186" t="s">
        <v>51</v>
      </c>
      <c r="E1792" s="1186">
        <v>83</v>
      </c>
      <c r="F1792" s="1186">
        <v>89710</v>
      </c>
    </row>
    <row r="1793" spans="1:6" x14ac:dyDescent="0.2">
      <c r="A1793" s="1186" t="s">
        <v>133</v>
      </c>
      <c r="B1793" s="1186" t="s">
        <v>823</v>
      </c>
      <c r="C1793" s="1186" t="s">
        <v>61</v>
      </c>
      <c r="D1793" s="1186" t="s">
        <v>52</v>
      </c>
      <c r="E1793" s="1186">
        <v>156</v>
      </c>
      <c r="F1793" s="1186">
        <v>177200</v>
      </c>
    </row>
    <row r="1794" spans="1:6" x14ac:dyDescent="0.2">
      <c r="A1794" s="1186" t="s">
        <v>133</v>
      </c>
      <c r="B1794" s="1186" t="s">
        <v>823</v>
      </c>
      <c r="C1794" s="1186" t="s">
        <v>116</v>
      </c>
      <c r="D1794" s="1186" t="s">
        <v>23</v>
      </c>
      <c r="E1794" s="1186">
        <v>46</v>
      </c>
      <c r="F1794" s="1186">
        <v>228920</v>
      </c>
    </row>
    <row r="1795" spans="1:6" x14ac:dyDescent="0.2">
      <c r="A1795" s="1186" t="s">
        <v>133</v>
      </c>
      <c r="B1795" s="1186" t="s">
        <v>823</v>
      </c>
      <c r="C1795" s="1186" t="s">
        <v>116</v>
      </c>
      <c r="D1795" s="1186" t="s">
        <v>24</v>
      </c>
      <c r="E1795" s="1186">
        <v>9</v>
      </c>
      <c r="F1795" s="1186">
        <v>260530</v>
      </c>
    </row>
    <row r="1796" spans="1:6" x14ac:dyDescent="0.2">
      <c r="A1796" s="1186" t="s">
        <v>133</v>
      </c>
      <c r="B1796" s="1186" t="s">
        <v>823</v>
      </c>
      <c r="C1796" s="1186" t="s">
        <v>116</v>
      </c>
      <c r="D1796" s="1186" t="s">
        <v>25</v>
      </c>
      <c r="E1796" s="1186">
        <v>10</v>
      </c>
      <c r="F1796" s="1186">
        <v>116740</v>
      </c>
    </row>
    <row r="1797" spans="1:6" x14ac:dyDescent="0.2">
      <c r="A1797" s="1186" t="s">
        <v>133</v>
      </c>
      <c r="B1797" s="1186" t="s">
        <v>823</v>
      </c>
      <c r="C1797" s="1186" t="s">
        <v>116</v>
      </c>
      <c r="D1797" s="1186" t="s">
        <v>26</v>
      </c>
      <c r="E1797" s="1186">
        <v>7</v>
      </c>
      <c r="F1797" s="1186">
        <v>87650</v>
      </c>
    </row>
    <row r="1798" spans="1:6" x14ac:dyDescent="0.2">
      <c r="A1798" s="1186" t="s">
        <v>133</v>
      </c>
      <c r="B1798" s="1186" t="s">
        <v>823</v>
      </c>
      <c r="C1798" s="1186" t="s">
        <v>116</v>
      </c>
      <c r="D1798" s="1186" t="s">
        <v>619</v>
      </c>
      <c r="E1798" s="1186">
        <v>100</v>
      </c>
      <c r="F1798" s="1186">
        <v>492610</v>
      </c>
    </row>
    <row r="1799" spans="1:6" x14ac:dyDescent="0.2">
      <c r="A1799" s="1186" t="s">
        <v>133</v>
      </c>
      <c r="B1799" s="1186" t="s">
        <v>823</v>
      </c>
      <c r="C1799" s="1186" t="s">
        <v>116</v>
      </c>
      <c r="D1799" s="1186" t="s">
        <v>27</v>
      </c>
      <c r="E1799" s="1186">
        <v>6</v>
      </c>
      <c r="F1799" s="1186">
        <v>51190</v>
      </c>
    </row>
    <row r="1800" spans="1:6" x14ac:dyDescent="0.2">
      <c r="A1800" s="1186" t="s">
        <v>133</v>
      </c>
      <c r="B1800" s="1186" t="s">
        <v>823</v>
      </c>
      <c r="C1800" s="1186" t="s">
        <v>116</v>
      </c>
      <c r="D1800" s="1186" t="s">
        <v>28</v>
      </c>
      <c r="E1800" s="1186">
        <v>5</v>
      </c>
      <c r="F1800" s="1186">
        <v>149960</v>
      </c>
    </row>
    <row r="1801" spans="1:6" x14ac:dyDescent="0.2">
      <c r="A1801" s="1186" t="s">
        <v>133</v>
      </c>
      <c r="B1801" s="1186" t="s">
        <v>823</v>
      </c>
      <c r="C1801" s="1186" t="s">
        <v>116</v>
      </c>
      <c r="D1801" s="1186" t="s">
        <v>29</v>
      </c>
      <c r="E1801" s="1186">
        <v>34</v>
      </c>
      <c r="F1801" s="1186">
        <v>148130</v>
      </c>
    </row>
    <row r="1802" spans="1:6" x14ac:dyDescent="0.2">
      <c r="A1802" s="1186" t="s">
        <v>133</v>
      </c>
      <c r="B1802" s="1186" t="s">
        <v>823</v>
      </c>
      <c r="C1802" s="1186" t="s">
        <v>116</v>
      </c>
      <c r="D1802" s="1186" t="s">
        <v>30</v>
      </c>
      <c r="E1802" s="1186">
        <v>12</v>
      </c>
      <c r="F1802" s="1186">
        <v>122130</v>
      </c>
    </row>
    <row r="1803" spans="1:6" x14ac:dyDescent="0.2">
      <c r="A1803" s="1186" t="s">
        <v>133</v>
      </c>
      <c r="B1803" s="1186" t="s">
        <v>823</v>
      </c>
      <c r="C1803" s="1186" t="s">
        <v>116</v>
      </c>
      <c r="D1803" s="1186" t="s">
        <v>31</v>
      </c>
      <c r="E1803" s="1186">
        <v>4</v>
      </c>
      <c r="F1803" s="1186">
        <v>106710</v>
      </c>
    </row>
    <row r="1804" spans="1:6" x14ac:dyDescent="0.2">
      <c r="A1804" s="1186" t="s">
        <v>133</v>
      </c>
      <c r="B1804" s="1186" t="s">
        <v>823</v>
      </c>
      <c r="C1804" s="1186" t="s">
        <v>116</v>
      </c>
      <c r="D1804" s="1186" t="s">
        <v>32</v>
      </c>
      <c r="E1804" s="1186">
        <v>3</v>
      </c>
      <c r="F1804" s="1186">
        <v>102090</v>
      </c>
    </row>
    <row r="1805" spans="1:6" x14ac:dyDescent="0.2">
      <c r="A1805" s="1186" t="s">
        <v>133</v>
      </c>
      <c r="B1805" s="1186" t="s">
        <v>823</v>
      </c>
      <c r="C1805" s="1186" t="s">
        <v>116</v>
      </c>
      <c r="D1805" s="1186" t="s">
        <v>33</v>
      </c>
      <c r="E1805" s="1186">
        <v>4</v>
      </c>
      <c r="F1805" s="1186">
        <v>92410</v>
      </c>
    </row>
    <row r="1806" spans="1:6" x14ac:dyDescent="0.2">
      <c r="A1806" s="1186" t="s">
        <v>133</v>
      </c>
      <c r="B1806" s="1186" t="s">
        <v>823</v>
      </c>
      <c r="C1806" s="1186" t="s">
        <v>116</v>
      </c>
      <c r="D1806" s="1186" t="s">
        <v>34</v>
      </c>
      <c r="E1806" s="1186">
        <v>12</v>
      </c>
      <c r="F1806" s="1186">
        <v>157690</v>
      </c>
    </row>
    <row r="1807" spans="1:6" x14ac:dyDescent="0.2">
      <c r="A1807" s="1186" t="s">
        <v>133</v>
      </c>
      <c r="B1807" s="1186" t="s">
        <v>823</v>
      </c>
      <c r="C1807" s="1186" t="s">
        <v>116</v>
      </c>
      <c r="D1807" s="1186" t="s">
        <v>35</v>
      </c>
      <c r="E1807" s="1186">
        <v>20</v>
      </c>
      <c r="F1807" s="1186">
        <v>367250</v>
      </c>
    </row>
    <row r="1808" spans="1:6" x14ac:dyDescent="0.2">
      <c r="A1808" s="1186" t="s">
        <v>133</v>
      </c>
      <c r="B1808" s="1186" t="s">
        <v>823</v>
      </c>
      <c r="C1808" s="1186" t="s">
        <v>116</v>
      </c>
      <c r="D1808" s="1186" t="s">
        <v>36</v>
      </c>
      <c r="E1808" s="1186">
        <v>107</v>
      </c>
      <c r="F1808" s="1186">
        <v>599640</v>
      </c>
    </row>
    <row r="1809" spans="1:6" x14ac:dyDescent="0.2">
      <c r="A1809" s="1186" t="s">
        <v>133</v>
      </c>
      <c r="B1809" s="1186" t="s">
        <v>823</v>
      </c>
      <c r="C1809" s="1186" t="s">
        <v>116</v>
      </c>
      <c r="D1809" s="1186" t="s">
        <v>37</v>
      </c>
      <c r="E1809" s="1186">
        <v>3</v>
      </c>
      <c r="F1809" s="1186">
        <v>233080</v>
      </c>
    </row>
    <row r="1810" spans="1:6" x14ac:dyDescent="0.2">
      <c r="A1810" s="1186" t="s">
        <v>133</v>
      </c>
      <c r="B1810" s="1186" t="s">
        <v>823</v>
      </c>
      <c r="C1810" s="1186" t="s">
        <v>116</v>
      </c>
      <c r="D1810" s="1186" t="s">
        <v>38</v>
      </c>
      <c r="E1810" s="1186">
        <v>20</v>
      </c>
      <c r="F1810" s="1186">
        <v>79890</v>
      </c>
    </row>
    <row r="1811" spans="1:6" x14ac:dyDescent="0.2">
      <c r="A1811" s="1186" t="s">
        <v>133</v>
      </c>
      <c r="B1811" s="1186" t="s">
        <v>823</v>
      </c>
      <c r="C1811" s="1186" t="s">
        <v>116</v>
      </c>
      <c r="D1811" s="1186" t="s">
        <v>39</v>
      </c>
      <c r="E1811" s="1186">
        <v>15</v>
      </c>
      <c r="F1811" s="1186">
        <v>86220</v>
      </c>
    </row>
    <row r="1812" spans="1:6" x14ac:dyDescent="0.2">
      <c r="A1812" s="1186" t="s">
        <v>133</v>
      </c>
      <c r="B1812" s="1186" t="s">
        <v>823</v>
      </c>
      <c r="C1812" s="1186" t="s">
        <v>116</v>
      </c>
      <c r="D1812" s="1186" t="s">
        <v>40</v>
      </c>
      <c r="E1812" s="1186">
        <v>6</v>
      </c>
      <c r="F1812" s="1186">
        <v>94770</v>
      </c>
    </row>
    <row r="1813" spans="1:6" x14ac:dyDescent="0.2">
      <c r="A1813" s="1186" t="s">
        <v>133</v>
      </c>
      <c r="B1813" s="1186" t="s">
        <v>823</v>
      </c>
      <c r="C1813" s="1186" t="s">
        <v>116</v>
      </c>
      <c r="D1813" s="1186" t="s">
        <v>41</v>
      </c>
      <c r="E1813" s="1186">
        <v>14</v>
      </c>
      <c r="F1813" s="1186">
        <v>136480</v>
      </c>
    </row>
    <row r="1814" spans="1:6" x14ac:dyDescent="0.2">
      <c r="A1814" s="1186" t="s">
        <v>133</v>
      </c>
      <c r="B1814" s="1186" t="s">
        <v>823</v>
      </c>
      <c r="C1814" s="1186" t="s">
        <v>116</v>
      </c>
      <c r="D1814" s="1186" t="s">
        <v>42</v>
      </c>
      <c r="E1814" s="1186">
        <v>59</v>
      </c>
      <c r="F1814" s="1186">
        <v>338000</v>
      </c>
    </row>
    <row r="1815" spans="1:6" x14ac:dyDescent="0.2">
      <c r="A1815" s="1186" t="s">
        <v>133</v>
      </c>
      <c r="B1815" s="1186" t="s">
        <v>823</v>
      </c>
      <c r="C1815" s="1186" t="s">
        <v>116</v>
      </c>
      <c r="D1815" s="1186" t="s">
        <v>43</v>
      </c>
      <c r="E1815" s="1186">
        <v>3</v>
      </c>
      <c r="F1815" s="1186">
        <v>21580</v>
      </c>
    </row>
    <row r="1816" spans="1:6" x14ac:dyDescent="0.2">
      <c r="A1816" s="1186" t="s">
        <v>133</v>
      </c>
      <c r="B1816" s="1186" t="s">
        <v>823</v>
      </c>
      <c r="C1816" s="1186" t="s">
        <v>116</v>
      </c>
      <c r="D1816" s="1186" t="s">
        <v>44</v>
      </c>
      <c r="E1816" s="1186">
        <v>7</v>
      </c>
      <c r="F1816" s="1186">
        <v>148930</v>
      </c>
    </row>
    <row r="1817" spans="1:6" x14ac:dyDescent="0.2">
      <c r="A1817" s="1186" t="s">
        <v>133</v>
      </c>
      <c r="B1817" s="1186" t="s">
        <v>823</v>
      </c>
      <c r="C1817" s="1186" t="s">
        <v>116</v>
      </c>
      <c r="D1817" s="1186" t="s">
        <v>45</v>
      </c>
      <c r="E1817" s="1186">
        <v>26</v>
      </c>
      <c r="F1817" s="1186">
        <v>174230</v>
      </c>
    </row>
    <row r="1818" spans="1:6" x14ac:dyDescent="0.2">
      <c r="A1818" s="1186" t="s">
        <v>133</v>
      </c>
      <c r="B1818" s="1186" t="s">
        <v>823</v>
      </c>
      <c r="C1818" s="1186" t="s">
        <v>116</v>
      </c>
      <c r="D1818" s="1186" t="s">
        <v>46</v>
      </c>
      <c r="E1818" s="1186">
        <v>3</v>
      </c>
      <c r="F1818" s="1186">
        <v>114040</v>
      </c>
    </row>
    <row r="1819" spans="1:6" x14ac:dyDescent="0.2">
      <c r="A1819" s="1186" t="s">
        <v>133</v>
      </c>
      <c r="B1819" s="1186" t="s">
        <v>823</v>
      </c>
      <c r="C1819" s="1186" t="s">
        <v>116</v>
      </c>
      <c r="D1819" s="1186" t="s">
        <v>48</v>
      </c>
      <c r="E1819" s="1186">
        <v>13</v>
      </c>
      <c r="F1819" s="1186">
        <v>112530</v>
      </c>
    </row>
    <row r="1820" spans="1:6" x14ac:dyDescent="0.2">
      <c r="A1820" s="1186" t="s">
        <v>133</v>
      </c>
      <c r="B1820" s="1186" t="s">
        <v>823</v>
      </c>
      <c r="C1820" s="1186" t="s">
        <v>116</v>
      </c>
      <c r="D1820" s="1186" t="s">
        <v>49</v>
      </c>
      <c r="E1820" s="1186">
        <v>37</v>
      </c>
      <c r="F1820" s="1186">
        <v>315300</v>
      </c>
    </row>
    <row r="1821" spans="1:6" x14ac:dyDescent="0.2">
      <c r="A1821" s="1186" t="s">
        <v>133</v>
      </c>
      <c r="B1821" s="1186" t="s">
        <v>823</v>
      </c>
      <c r="C1821" s="1186" t="s">
        <v>116</v>
      </c>
      <c r="D1821" s="1186" t="s">
        <v>50</v>
      </c>
      <c r="E1821" s="1186">
        <v>4</v>
      </c>
      <c r="F1821" s="1186">
        <v>91520</v>
      </c>
    </row>
    <row r="1822" spans="1:6" x14ac:dyDescent="0.2">
      <c r="A1822" s="1186" t="s">
        <v>133</v>
      </c>
      <c r="B1822" s="1186" t="s">
        <v>823</v>
      </c>
      <c r="C1822" s="1186" t="s">
        <v>116</v>
      </c>
      <c r="D1822" s="1186" t="s">
        <v>51</v>
      </c>
      <c r="E1822" s="1186">
        <v>15</v>
      </c>
      <c r="F1822" s="1186">
        <v>89710</v>
      </c>
    </row>
    <row r="1823" spans="1:6" x14ac:dyDescent="0.2">
      <c r="A1823" s="1186" t="s">
        <v>133</v>
      </c>
      <c r="B1823" s="1186" t="s">
        <v>823</v>
      </c>
      <c r="C1823" s="1186" t="s">
        <v>116</v>
      </c>
      <c r="D1823" s="1186" t="s">
        <v>52</v>
      </c>
      <c r="E1823" s="1186">
        <v>17</v>
      </c>
      <c r="F1823" s="1186">
        <v>177200</v>
      </c>
    </row>
    <row r="1824" spans="1:6" x14ac:dyDescent="0.2">
      <c r="A1824" s="1186" t="s">
        <v>133</v>
      </c>
      <c r="B1824" s="1186" t="s">
        <v>824</v>
      </c>
      <c r="C1824" s="1186" t="s">
        <v>61</v>
      </c>
      <c r="D1824" s="1186" t="s">
        <v>23</v>
      </c>
      <c r="E1824" s="1186">
        <v>108</v>
      </c>
      <c r="F1824" s="1186">
        <v>228920</v>
      </c>
    </row>
    <row r="1825" spans="1:6" x14ac:dyDescent="0.2">
      <c r="A1825" s="1186" t="s">
        <v>133</v>
      </c>
      <c r="B1825" s="1186" t="s">
        <v>824</v>
      </c>
      <c r="C1825" s="1186" t="s">
        <v>61</v>
      </c>
      <c r="D1825" s="1186" t="s">
        <v>24</v>
      </c>
      <c r="E1825" s="1186">
        <v>82</v>
      </c>
      <c r="F1825" s="1186">
        <v>260530</v>
      </c>
    </row>
    <row r="1826" spans="1:6" x14ac:dyDescent="0.2">
      <c r="A1826" s="1186" t="s">
        <v>133</v>
      </c>
      <c r="B1826" s="1186" t="s">
        <v>824</v>
      </c>
      <c r="C1826" s="1186" t="s">
        <v>61</v>
      </c>
      <c r="D1826" s="1186" t="s">
        <v>25</v>
      </c>
      <c r="E1826" s="1186">
        <v>25</v>
      </c>
      <c r="F1826" s="1186">
        <v>116740</v>
      </c>
    </row>
    <row r="1827" spans="1:6" x14ac:dyDescent="0.2">
      <c r="A1827" s="1186" t="s">
        <v>133</v>
      </c>
      <c r="B1827" s="1186" t="s">
        <v>824</v>
      </c>
      <c r="C1827" s="1186" t="s">
        <v>61</v>
      </c>
      <c r="D1827" s="1186" t="s">
        <v>26</v>
      </c>
      <c r="E1827" s="1186">
        <v>33</v>
      </c>
      <c r="F1827" s="1186">
        <v>87650</v>
      </c>
    </row>
    <row r="1828" spans="1:6" x14ac:dyDescent="0.2">
      <c r="A1828" s="1186" t="s">
        <v>133</v>
      </c>
      <c r="B1828" s="1186" t="s">
        <v>824</v>
      </c>
      <c r="C1828" s="1186" t="s">
        <v>61</v>
      </c>
      <c r="D1828" s="1186" t="s">
        <v>619</v>
      </c>
      <c r="E1828" s="1186">
        <v>237</v>
      </c>
      <c r="F1828" s="1186">
        <v>492610</v>
      </c>
    </row>
    <row r="1829" spans="1:6" x14ac:dyDescent="0.2">
      <c r="A1829" s="1186" t="s">
        <v>133</v>
      </c>
      <c r="B1829" s="1186" t="s">
        <v>824</v>
      </c>
      <c r="C1829" s="1186" t="s">
        <v>61</v>
      </c>
      <c r="D1829" s="1186" t="s">
        <v>27</v>
      </c>
      <c r="E1829" s="1186">
        <v>18</v>
      </c>
      <c r="F1829" s="1186">
        <v>51190</v>
      </c>
    </row>
    <row r="1830" spans="1:6" x14ac:dyDescent="0.2">
      <c r="A1830" s="1186" t="s">
        <v>133</v>
      </c>
      <c r="B1830" s="1186" t="s">
        <v>824</v>
      </c>
      <c r="C1830" s="1186" t="s">
        <v>61</v>
      </c>
      <c r="D1830" s="1186" t="s">
        <v>28</v>
      </c>
      <c r="E1830" s="1186">
        <v>39</v>
      </c>
      <c r="F1830" s="1186">
        <v>149960</v>
      </c>
    </row>
    <row r="1831" spans="1:6" x14ac:dyDescent="0.2">
      <c r="A1831" s="1186" t="s">
        <v>133</v>
      </c>
      <c r="B1831" s="1186" t="s">
        <v>824</v>
      </c>
      <c r="C1831" s="1186" t="s">
        <v>61</v>
      </c>
      <c r="D1831" s="1186" t="s">
        <v>29</v>
      </c>
      <c r="E1831" s="1186">
        <v>51</v>
      </c>
      <c r="F1831" s="1186">
        <v>148130</v>
      </c>
    </row>
    <row r="1832" spans="1:6" x14ac:dyDescent="0.2">
      <c r="A1832" s="1186" t="s">
        <v>133</v>
      </c>
      <c r="B1832" s="1186" t="s">
        <v>824</v>
      </c>
      <c r="C1832" s="1186" t="s">
        <v>61</v>
      </c>
      <c r="D1832" s="1186" t="s">
        <v>30</v>
      </c>
      <c r="E1832" s="1186">
        <v>23</v>
      </c>
      <c r="F1832" s="1186">
        <v>122130</v>
      </c>
    </row>
    <row r="1833" spans="1:6" x14ac:dyDescent="0.2">
      <c r="A1833" s="1186" t="s">
        <v>133</v>
      </c>
      <c r="B1833" s="1186" t="s">
        <v>824</v>
      </c>
      <c r="C1833" s="1186" t="s">
        <v>61</v>
      </c>
      <c r="D1833" s="1186" t="s">
        <v>31</v>
      </c>
      <c r="E1833" s="1186">
        <v>12</v>
      </c>
      <c r="F1833" s="1186">
        <v>106710</v>
      </c>
    </row>
    <row r="1834" spans="1:6" x14ac:dyDescent="0.2">
      <c r="A1834" s="1186" t="s">
        <v>133</v>
      </c>
      <c r="B1834" s="1186" t="s">
        <v>824</v>
      </c>
      <c r="C1834" s="1186" t="s">
        <v>61</v>
      </c>
      <c r="D1834" s="1186" t="s">
        <v>32</v>
      </c>
      <c r="E1834" s="1186">
        <v>35</v>
      </c>
      <c r="F1834" s="1186">
        <v>102090</v>
      </c>
    </row>
    <row r="1835" spans="1:6" x14ac:dyDescent="0.2">
      <c r="A1835" s="1186" t="s">
        <v>133</v>
      </c>
      <c r="B1835" s="1186" t="s">
        <v>824</v>
      </c>
      <c r="C1835" s="1186" t="s">
        <v>61</v>
      </c>
      <c r="D1835" s="1186" t="s">
        <v>33</v>
      </c>
      <c r="E1835" s="1186">
        <v>11</v>
      </c>
      <c r="F1835" s="1186">
        <v>92410</v>
      </c>
    </row>
    <row r="1836" spans="1:6" x14ac:dyDescent="0.2">
      <c r="A1836" s="1186" t="s">
        <v>133</v>
      </c>
      <c r="B1836" s="1186" t="s">
        <v>824</v>
      </c>
      <c r="C1836" s="1186" t="s">
        <v>61</v>
      </c>
      <c r="D1836" s="1186" t="s">
        <v>34</v>
      </c>
      <c r="E1836" s="1186">
        <v>34</v>
      </c>
      <c r="F1836" s="1186">
        <v>157690</v>
      </c>
    </row>
    <row r="1837" spans="1:6" x14ac:dyDescent="0.2">
      <c r="A1837" s="1186" t="s">
        <v>133</v>
      </c>
      <c r="B1837" s="1186" t="s">
        <v>824</v>
      </c>
      <c r="C1837" s="1186" t="s">
        <v>61</v>
      </c>
      <c r="D1837" s="1186" t="s">
        <v>35</v>
      </c>
      <c r="E1837" s="1186">
        <v>94</v>
      </c>
      <c r="F1837" s="1186">
        <v>367250</v>
      </c>
    </row>
    <row r="1838" spans="1:6" x14ac:dyDescent="0.2">
      <c r="A1838" s="1186" t="s">
        <v>133</v>
      </c>
      <c r="B1838" s="1186" t="s">
        <v>824</v>
      </c>
      <c r="C1838" s="1186" t="s">
        <v>61</v>
      </c>
      <c r="D1838" s="1186" t="s">
        <v>36</v>
      </c>
      <c r="E1838" s="1186">
        <v>302</v>
      </c>
      <c r="F1838" s="1186">
        <v>599640</v>
      </c>
    </row>
    <row r="1839" spans="1:6" x14ac:dyDescent="0.2">
      <c r="A1839" s="1186" t="s">
        <v>133</v>
      </c>
      <c r="B1839" s="1186" t="s">
        <v>824</v>
      </c>
      <c r="C1839" s="1186" t="s">
        <v>61</v>
      </c>
      <c r="D1839" s="1186" t="s">
        <v>37</v>
      </c>
      <c r="E1839" s="1186">
        <v>61</v>
      </c>
      <c r="F1839" s="1186">
        <v>233080</v>
      </c>
    </row>
    <row r="1840" spans="1:6" x14ac:dyDescent="0.2">
      <c r="A1840" s="1186" t="s">
        <v>133</v>
      </c>
      <c r="B1840" s="1186" t="s">
        <v>824</v>
      </c>
      <c r="C1840" s="1186" t="s">
        <v>61</v>
      </c>
      <c r="D1840" s="1186" t="s">
        <v>38</v>
      </c>
      <c r="E1840" s="1186">
        <v>28</v>
      </c>
      <c r="F1840" s="1186">
        <v>79890</v>
      </c>
    </row>
    <row r="1841" spans="1:6" x14ac:dyDescent="0.2">
      <c r="A1841" s="1186" t="s">
        <v>133</v>
      </c>
      <c r="B1841" s="1186" t="s">
        <v>824</v>
      </c>
      <c r="C1841" s="1186" t="s">
        <v>61</v>
      </c>
      <c r="D1841" s="1186" t="s">
        <v>39</v>
      </c>
      <c r="E1841" s="1186">
        <v>25</v>
      </c>
      <c r="F1841" s="1186">
        <v>86220</v>
      </c>
    </row>
    <row r="1842" spans="1:6" x14ac:dyDescent="0.2">
      <c r="A1842" s="1186" t="s">
        <v>133</v>
      </c>
      <c r="B1842" s="1186" t="s">
        <v>824</v>
      </c>
      <c r="C1842" s="1186" t="s">
        <v>61</v>
      </c>
      <c r="D1842" s="1186" t="s">
        <v>40</v>
      </c>
      <c r="E1842" s="1186">
        <v>41</v>
      </c>
      <c r="F1842" s="1186">
        <v>94770</v>
      </c>
    </row>
    <row r="1843" spans="1:6" x14ac:dyDescent="0.2">
      <c r="A1843" s="1186" t="s">
        <v>133</v>
      </c>
      <c r="B1843" s="1186" t="s">
        <v>824</v>
      </c>
      <c r="C1843" s="1186" t="s">
        <v>61</v>
      </c>
      <c r="D1843" s="1186" t="s">
        <v>295</v>
      </c>
      <c r="E1843" s="1186">
        <v>5</v>
      </c>
      <c r="F1843" s="1186">
        <v>27250</v>
      </c>
    </row>
    <row r="1844" spans="1:6" x14ac:dyDescent="0.2">
      <c r="A1844" s="1186" t="s">
        <v>133</v>
      </c>
      <c r="B1844" s="1186" t="s">
        <v>824</v>
      </c>
      <c r="C1844" s="1186" t="s">
        <v>61</v>
      </c>
      <c r="D1844" s="1186" t="s">
        <v>41</v>
      </c>
      <c r="E1844" s="1186">
        <v>33</v>
      </c>
      <c r="F1844" s="1186">
        <v>136480</v>
      </c>
    </row>
    <row r="1845" spans="1:6" x14ac:dyDescent="0.2">
      <c r="A1845" s="1186" t="s">
        <v>133</v>
      </c>
      <c r="B1845" s="1186" t="s">
        <v>824</v>
      </c>
      <c r="C1845" s="1186" t="s">
        <v>61</v>
      </c>
      <c r="D1845" s="1186" t="s">
        <v>42</v>
      </c>
      <c r="E1845" s="1186">
        <v>85</v>
      </c>
      <c r="F1845" s="1186">
        <v>338000</v>
      </c>
    </row>
    <row r="1846" spans="1:6" x14ac:dyDescent="0.2">
      <c r="A1846" s="1186" t="s">
        <v>133</v>
      </c>
      <c r="B1846" s="1186" t="s">
        <v>824</v>
      </c>
      <c r="C1846" s="1186" t="s">
        <v>61</v>
      </c>
      <c r="D1846" s="1186" t="s">
        <v>43</v>
      </c>
      <c r="E1846" s="1186">
        <v>3</v>
      </c>
      <c r="F1846" s="1186">
        <v>21580</v>
      </c>
    </row>
    <row r="1847" spans="1:6" x14ac:dyDescent="0.2">
      <c r="A1847" s="1186" t="s">
        <v>133</v>
      </c>
      <c r="B1847" s="1186" t="s">
        <v>824</v>
      </c>
      <c r="C1847" s="1186" t="s">
        <v>61</v>
      </c>
      <c r="D1847" s="1186" t="s">
        <v>44</v>
      </c>
      <c r="E1847" s="1186">
        <v>51</v>
      </c>
      <c r="F1847" s="1186">
        <v>148930</v>
      </c>
    </row>
    <row r="1848" spans="1:6" x14ac:dyDescent="0.2">
      <c r="A1848" s="1186" t="s">
        <v>133</v>
      </c>
      <c r="B1848" s="1186" t="s">
        <v>824</v>
      </c>
      <c r="C1848" s="1186" t="s">
        <v>61</v>
      </c>
      <c r="D1848" s="1186" t="s">
        <v>45</v>
      </c>
      <c r="E1848" s="1186">
        <v>58</v>
      </c>
      <c r="F1848" s="1186">
        <v>174230</v>
      </c>
    </row>
    <row r="1849" spans="1:6" x14ac:dyDescent="0.2">
      <c r="A1849" s="1186" t="s">
        <v>133</v>
      </c>
      <c r="B1849" s="1186" t="s">
        <v>824</v>
      </c>
      <c r="C1849" s="1186" t="s">
        <v>61</v>
      </c>
      <c r="D1849" s="1186" t="s">
        <v>46</v>
      </c>
      <c r="E1849" s="1186">
        <v>32</v>
      </c>
      <c r="F1849" s="1186">
        <v>114040</v>
      </c>
    </row>
    <row r="1850" spans="1:6" x14ac:dyDescent="0.2">
      <c r="A1850" s="1186" t="s">
        <v>133</v>
      </c>
      <c r="B1850" s="1186" t="s">
        <v>824</v>
      </c>
      <c r="C1850" s="1186" t="s">
        <v>61</v>
      </c>
      <c r="D1850" s="1186" t="s">
        <v>47</v>
      </c>
      <c r="E1850" s="1186">
        <v>14</v>
      </c>
      <c r="F1850" s="1186">
        <v>23220</v>
      </c>
    </row>
    <row r="1851" spans="1:6" x14ac:dyDescent="0.2">
      <c r="A1851" s="1186" t="s">
        <v>133</v>
      </c>
      <c r="B1851" s="1186" t="s">
        <v>824</v>
      </c>
      <c r="C1851" s="1186" t="s">
        <v>61</v>
      </c>
      <c r="D1851" s="1186" t="s">
        <v>48</v>
      </c>
      <c r="E1851" s="1186">
        <v>41</v>
      </c>
      <c r="F1851" s="1186">
        <v>112530</v>
      </c>
    </row>
    <row r="1852" spans="1:6" x14ac:dyDescent="0.2">
      <c r="A1852" s="1186" t="s">
        <v>133</v>
      </c>
      <c r="B1852" s="1186" t="s">
        <v>824</v>
      </c>
      <c r="C1852" s="1186" t="s">
        <v>61</v>
      </c>
      <c r="D1852" s="1186" t="s">
        <v>49</v>
      </c>
      <c r="E1852" s="1186">
        <v>67</v>
      </c>
      <c r="F1852" s="1186">
        <v>315300</v>
      </c>
    </row>
    <row r="1853" spans="1:6" x14ac:dyDescent="0.2">
      <c r="A1853" s="1186" t="s">
        <v>133</v>
      </c>
      <c r="B1853" s="1186" t="s">
        <v>824</v>
      </c>
      <c r="C1853" s="1186" t="s">
        <v>61</v>
      </c>
      <c r="D1853" s="1186" t="s">
        <v>50</v>
      </c>
      <c r="E1853" s="1186">
        <v>28</v>
      </c>
      <c r="F1853" s="1186">
        <v>91520</v>
      </c>
    </row>
    <row r="1854" spans="1:6" x14ac:dyDescent="0.2">
      <c r="A1854" s="1186" t="s">
        <v>133</v>
      </c>
      <c r="B1854" s="1186" t="s">
        <v>824</v>
      </c>
      <c r="C1854" s="1186" t="s">
        <v>61</v>
      </c>
      <c r="D1854" s="1186" t="s">
        <v>51</v>
      </c>
      <c r="E1854" s="1186">
        <v>21</v>
      </c>
      <c r="F1854" s="1186">
        <v>89710</v>
      </c>
    </row>
    <row r="1855" spans="1:6" x14ac:dyDescent="0.2">
      <c r="A1855" s="1186" t="s">
        <v>133</v>
      </c>
      <c r="B1855" s="1186" t="s">
        <v>824</v>
      </c>
      <c r="C1855" s="1186" t="s">
        <v>61</v>
      </c>
      <c r="D1855" s="1186" t="s">
        <v>52</v>
      </c>
      <c r="E1855" s="1186">
        <v>62</v>
      </c>
      <c r="F1855" s="1186">
        <v>177200</v>
      </c>
    </row>
    <row r="1856" spans="1:6" x14ac:dyDescent="0.2">
      <c r="A1856" s="1186" t="s">
        <v>133</v>
      </c>
      <c r="B1856" s="1186" t="s">
        <v>824</v>
      </c>
      <c r="C1856" s="1186" t="s">
        <v>116</v>
      </c>
      <c r="D1856" s="1186" t="s">
        <v>23</v>
      </c>
      <c r="E1856" s="1186">
        <v>17</v>
      </c>
      <c r="F1856" s="1186">
        <v>228920</v>
      </c>
    </row>
    <row r="1857" spans="1:6" x14ac:dyDescent="0.2">
      <c r="A1857" s="1186" t="s">
        <v>133</v>
      </c>
      <c r="B1857" s="1186" t="s">
        <v>824</v>
      </c>
      <c r="C1857" s="1186" t="s">
        <v>116</v>
      </c>
      <c r="D1857" s="1186" t="s">
        <v>24</v>
      </c>
      <c r="E1857" s="1186">
        <v>26</v>
      </c>
      <c r="F1857" s="1186">
        <v>260530</v>
      </c>
    </row>
    <row r="1858" spans="1:6" x14ac:dyDescent="0.2">
      <c r="A1858" s="1186" t="s">
        <v>133</v>
      </c>
      <c r="B1858" s="1186" t="s">
        <v>824</v>
      </c>
      <c r="C1858" s="1186" t="s">
        <v>116</v>
      </c>
      <c r="D1858" s="1186" t="s">
        <v>25</v>
      </c>
      <c r="E1858" s="1186">
        <v>10</v>
      </c>
      <c r="F1858" s="1186">
        <v>116740</v>
      </c>
    </row>
    <row r="1859" spans="1:6" x14ac:dyDescent="0.2">
      <c r="A1859" s="1186" t="s">
        <v>133</v>
      </c>
      <c r="B1859" s="1186" t="s">
        <v>824</v>
      </c>
      <c r="C1859" s="1186" t="s">
        <v>116</v>
      </c>
      <c r="D1859" s="1186" t="s">
        <v>26</v>
      </c>
      <c r="E1859" s="1186">
        <v>3</v>
      </c>
      <c r="F1859" s="1186">
        <v>87650</v>
      </c>
    </row>
    <row r="1860" spans="1:6" x14ac:dyDescent="0.2">
      <c r="A1860" s="1186" t="s">
        <v>133</v>
      </c>
      <c r="B1860" s="1186" t="s">
        <v>824</v>
      </c>
      <c r="C1860" s="1186" t="s">
        <v>116</v>
      </c>
      <c r="D1860" s="1186" t="s">
        <v>619</v>
      </c>
      <c r="E1860" s="1186">
        <v>36</v>
      </c>
      <c r="F1860" s="1186">
        <v>492610</v>
      </c>
    </row>
    <row r="1861" spans="1:6" x14ac:dyDescent="0.2">
      <c r="A1861" s="1186" t="s">
        <v>133</v>
      </c>
      <c r="B1861" s="1186" t="s">
        <v>824</v>
      </c>
      <c r="C1861" s="1186" t="s">
        <v>116</v>
      </c>
      <c r="D1861" s="1186" t="s">
        <v>27</v>
      </c>
      <c r="E1861" s="1186">
        <v>5</v>
      </c>
      <c r="F1861" s="1186">
        <v>51190</v>
      </c>
    </row>
    <row r="1862" spans="1:6" x14ac:dyDescent="0.2">
      <c r="A1862" s="1186" t="s">
        <v>133</v>
      </c>
      <c r="B1862" s="1186" t="s">
        <v>824</v>
      </c>
      <c r="C1862" s="1186" t="s">
        <v>116</v>
      </c>
      <c r="D1862" s="1186" t="s">
        <v>28</v>
      </c>
      <c r="E1862" s="1186">
        <v>10</v>
      </c>
      <c r="F1862" s="1186">
        <v>149960</v>
      </c>
    </row>
    <row r="1863" spans="1:6" x14ac:dyDescent="0.2">
      <c r="A1863" s="1186" t="s">
        <v>133</v>
      </c>
      <c r="B1863" s="1186" t="s">
        <v>824</v>
      </c>
      <c r="C1863" s="1186" t="s">
        <v>116</v>
      </c>
      <c r="D1863" s="1186" t="s">
        <v>29</v>
      </c>
      <c r="E1863" s="1186">
        <v>18</v>
      </c>
      <c r="F1863" s="1186">
        <v>148130</v>
      </c>
    </row>
    <row r="1864" spans="1:6" x14ac:dyDescent="0.2">
      <c r="A1864" s="1186" t="s">
        <v>133</v>
      </c>
      <c r="B1864" s="1186" t="s">
        <v>824</v>
      </c>
      <c r="C1864" s="1186" t="s">
        <v>116</v>
      </c>
      <c r="D1864" s="1186" t="s">
        <v>30</v>
      </c>
      <c r="E1864" s="1186">
        <v>14</v>
      </c>
      <c r="F1864" s="1186">
        <v>122130</v>
      </c>
    </row>
    <row r="1865" spans="1:6" x14ac:dyDescent="0.2">
      <c r="A1865" s="1186" t="s">
        <v>133</v>
      </c>
      <c r="B1865" s="1186" t="s">
        <v>824</v>
      </c>
      <c r="C1865" s="1186" t="s">
        <v>116</v>
      </c>
      <c r="D1865" s="1186" t="s">
        <v>31</v>
      </c>
      <c r="E1865" s="1186">
        <v>13</v>
      </c>
      <c r="F1865" s="1186">
        <v>106710</v>
      </c>
    </row>
    <row r="1866" spans="1:6" x14ac:dyDescent="0.2">
      <c r="A1866" s="1186" t="s">
        <v>133</v>
      </c>
      <c r="B1866" s="1186" t="s">
        <v>824</v>
      </c>
      <c r="C1866" s="1186" t="s">
        <v>116</v>
      </c>
      <c r="D1866" s="1186" t="s">
        <v>32</v>
      </c>
      <c r="E1866" s="1186">
        <v>9</v>
      </c>
      <c r="F1866" s="1186">
        <v>102090</v>
      </c>
    </row>
    <row r="1867" spans="1:6" x14ac:dyDescent="0.2">
      <c r="A1867" s="1186" t="s">
        <v>133</v>
      </c>
      <c r="B1867" s="1186" t="s">
        <v>824</v>
      </c>
      <c r="C1867" s="1186" t="s">
        <v>116</v>
      </c>
      <c r="D1867" s="1186" t="s">
        <v>33</v>
      </c>
      <c r="E1867" s="1186">
        <v>6</v>
      </c>
      <c r="F1867" s="1186">
        <v>92410</v>
      </c>
    </row>
    <row r="1868" spans="1:6" x14ac:dyDescent="0.2">
      <c r="A1868" s="1186" t="s">
        <v>133</v>
      </c>
      <c r="B1868" s="1186" t="s">
        <v>824</v>
      </c>
      <c r="C1868" s="1186" t="s">
        <v>116</v>
      </c>
      <c r="D1868" s="1186" t="s">
        <v>34</v>
      </c>
      <c r="E1868" s="1186">
        <v>12</v>
      </c>
      <c r="F1868" s="1186">
        <v>157690</v>
      </c>
    </row>
    <row r="1869" spans="1:6" x14ac:dyDescent="0.2">
      <c r="A1869" s="1186" t="s">
        <v>133</v>
      </c>
      <c r="B1869" s="1186" t="s">
        <v>824</v>
      </c>
      <c r="C1869" s="1186" t="s">
        <v>116</v>
      </c>
      <c r="D1869" s="1186" t="s">
        <v>35</v>
      </c>
      <c r="E1869" s="1186">
        <v>27</v>
      </c>
      <c r="F1869" s="1186">
        <v>367250</v>
      </c>
    </row>
    <row r="1870" spans="1:6" x14ac:dyDescent="0.2">
      <c r="A1870" s="1186" t="s">
        <v>133</v>
      </c>
      <c r="B1870" s="1186" t="s">
        <v>824</v>
      </c>
      <c r="C1870" s="1186" t="s">
        <v>116</v>
      </c>
      <c r="D1870" s="1186" t="s">
        <v>36</v>
      </c>
      <c r="E1870" s="1186">
        <v>92</v>
      </c>
      <c r="F1870" s="1186">
        <v>599640</v>
      </c>
    </row>
    <row r="1871" spans="1:6" x14ac:dyDescent="0.2">
      <c r="A1871" s="1186" t="s">
        <v>133</v>
      </c>
      <c r="B1871" s="1186" t="s">
        <v>824</v>
      </c>
      <c r="C1871" s="1186" t="s">
        <v>116</v>
      </c>
      <c r="D1871" s="1186" t="s">
        <v>37</v>
      </c>
      <c r="E1871" s="1186">
        <v>10</v>
      </c>
      <c r="F1871" s="1186">
        <v>233080</v>
      </c>
    </row>
    <row r="1872" spans="1:6" x14ac:dyDescent="0.2">
      <c r="A1872" s="1186" t="s">
        <v>133</v>
      </c>
      <c r="B1872" s="1186" t="s">
        <v>824</v>
      </c>
      <c r="C1872" s="1186" t="s">
        <v>116</v>
      </c>
      <c r="D1872" s="1186" t="s">
        <v>38</v>
      </c>
      <c r="E1872" s="1186">
        <v>7</v>
      </c>
      <c r="F1872" s="1186">
        <v>79890</v>
      </c>
    </row>
    <row r="1873" spans="1:6" x14ac:dyDescent="0.2">
      <c r="A1873" s="1186" t="s">
        <v>133</v>
      </c>
      <c r="B1873" s="1186" t="s">
        <v>824</v>
      </c>
      <c r="C1873" s="1186" t="s">
        <v>116</v>
      </c>
      <c r="D1873" s="1186" t="s">
        <v>39</v>
      </c>
      <c r="E1873" s="1186">
        <v>11</v>
      </c>
      <c r="F1873" s="1186">
        <v>86220</v>
      </c>
    </row>
    <row r="1874" spans="1:6" x14ac:dyDescent="0.2">
      <c r="A1874" s="1186" t="s">
        <v>133</v>
      </c>
      <c r="B1874" s="1186" t="s">
        <v>824</v>
      </c>
      <c r="C1874" s="1186" t="s">
        <v>116</v>
      </c>
      <c r="D1874" s="1186" t="s">
        <v>40</v>
      </c>
      <c r="E1874" s="1186">
        <v>2</v>
      </c>
      <c r="F1874" s="1186">
        <v>94770</v>
      </c>
    </row>
    <row r="1875" spans="1:6" x14ac:dyDescent="0.2">
      <c r="A1875" s="1186" t="s">
        <v>133</v>
      </c>
      <c r="B1875" s="1186" t="s">
        <v>824</v>
      </c>
      <c r="C1875" s="1186" t="s">
        <v>116</v>
      </c>
      <c r="D1875" s="1186" t="s">
        <v>295</v>
      </c>
      <c r="E1875" s="1186">
        <v>2</v>
      </c>
      <c r="F1875" s="1186">
        <v>27250</v>
      </c>
    </row>
    <row r="1876" spans="1:6" x14ac:dyDescent="0.2">
      <c r="A1876" s="1186" t="s">
        <v>133</v>
      </c>
      <c r="B1876" s="1186" t="s">
        <v>824</v>
      </c>
      <c r="C1876" s="1186" t="s">
        <v>116</v>
      </c>
      <c r="D1876" s="1186" t="s">
        <v>41</v>
      </c>
      <c r="E1876" s="1186">
        <v>23</v>
      </c>
      <c r="F1876" s="1186">
        <v>136480</v>
      </c>
    </row>
    <row r="1877" spans="1:6" x14ac:dyDescent="0.2">
      <c r="A1877" s="1186" t="s">
        <v>133</v>
      </c>
      <c r="B1877" s="1186" t="s">
        <v>824</v>
      </c>
      <c r="C1877" s="1186" t="s">
        <v>116</v>
      </c>
      <c r="D1877" s="1186" t="s">
        <v>42</v>
      </c>
      <c r="E1877" s="1186">
        <v>41</v>
      </c>
      <c r="F1877" s="1186">
        <v>338000</v>
      </c>
    </row>
    <row r="1878" spans="1:6" x14ac:dyDescent="0.2">
      <c r="A1878" s="1186" t="s">
        <v>133</v>
      </c>
      <c r="B1878" s="1186" t="s">
        <v>824</v>
      </c>
      <c r="C1878" s="1186" t="s">
        <v>116</v>
      </c>
      <c r="D1878" s="1186" t="s">
        <v>43</v>
      </c>
      <c r="E1878" s="1186">
        <v>3</v>
      </c>
      <c r="F1878" s="1186">
        <v>21580</v>
      </c>
    </row>
    <row r="1879" spans="1:6" x14ac:dyDescent="0.2">
      <c r="A1879" s="1186" t="s">
        <v>133</v>
      </c>
      <c r="B1879" s="1186" t="s">
        <v>824</v>
      </c>
      <c r="C1879" s="1186" t="s">
        <v>116</v>
      </c>
      <c r="D1879" s="1186" t="s">
        <v>44</v>
      </c>
      <c r="E1879" s="1186">
        <v>19</v>
      </c>
      <c r="F1879" s="1186">
        <v>148930</v>
      </c>
    </row>
    <row r="1880" spans="1:6" x14ac:dyDescent="0.2">
      <c r="A1880" s="1186" t="s">
        <v>133</v>
      </c>
      <c r="B1880" s="1186" t="s">
        <v>824</v>
      </c>
      <c r="C1880" s="1186" t="s">
        <v>116</v>
      </c>
      <c r="D1880" s="1186" t="s">
        <v>45</v>
      </c>
      <c r="E1880" s="1186">
        <v>28</v>
      </c>
      <c r="F1880" s="1186">
        <v>174230</v>
      </c>
    </row>
    <row r="1881" spans="1:6" x14ac:dyDescent="0.2">
      <c r="A1881" s="1186" t="s">
        <v>133</v>
      </c>
      <c r="B1881" s="1186" t="s">
        <v>824</v>
      </c>
      <c r="C1881" s="1186" t="s">
        <v>116</v>
      </c>
      <c r="D1881" s="1186" t="s">
        <v>46</v>
      </c>
      <c r="E1881" s="1186">
        <v>10</v>
      </c>
      <c r="F1881" s="1186">
        <v>114040</v>
      </c>
    </row>
    <row r="1882" spans="1:6" x14ac:dyDescent="0.2">
      <c r="A1882" s="1186" t="s">
        <v>133</v>
      </c>
      <c r="B1882" s="1186" t="s">
        <v>824</v>
      </c>
      <c r="C1882" s="1186" t="s">
        <v>116</v>
      </c>
      <c r="D1882" s="1186" t="s">
        <v>47</v>
      </c>
      <c r="E1882" s="1186">
        <v>3</v>
      </c>
      <c r="F1882" s="1186">
        <v>23220</v>
      </c>
    </row>
    <row r="1883" spans="1:6" x14ac:dyDescent="0.2">
      <c r="A1883" s="1186" t="s">
        <v>133</v>
      </c>
      <c r="B1883" s="1186" t="s">
        <v>824</v>
      </c>
      <c r="C1883" s="1186" t="s">
        <v>116</v>
      </c>
      <c r="D1883" s="1186" t="s">
        <v>48</v>
      </c>
      <c r="E1883" s="1186">
        <v>12</v>
      </c>
      <c r="F1883" s="1186">
        <v>112530</v>
      </c>
    </row>
    <row r="1884" spans="1:6" x14ac:dyDescent="0.2">
      <c r="A1884" s="1186" t="s">
        <v>133</v>
      </c>
      <c r="B1884" s="1186" t="s">
        <v>824</v>
      </c>
      <c r="C1884" s="1186" t="s">
        <v>116</v>
      </c>
      <c r="D1884" s="1186" t="s">
        <v>49</v>
      </c>
      <c r="E1884" s="1186">
        <v>46</v>
      </c>
      <c r="F1884" s="1186">
        <v>315300</v>
      </c>
    </row>
    <row r="1885" spans="1:6" x14ac:dyDescent="0.2">
      <c r="A1885" s="1186" t="s">
        <v>133</v>
      </c>
      <c r="B1885" s="1186" t="s">
        <v>824</v>
      </c>
      <c r="C1885" s="1186" t="s">
        <v>116</v>
      </c>
      <c r="D1885" s="1186" t="s">
        <v>50</v>
      </c>
      <c r="E1885" s="1186">
        <v>12</v>
      </c>
      <c r="F1885" s="1186">
        <v>91520</v>
      </c>
    </row>
    <row r="1886" spans="1:6" x14ac:dyDescent="0.2">
      <c r="A1886" s="1186" t="s">
        <v>133</v>
      </c>
      <c r="B1886" s="1186" t="s">
        <v>824</v>
      </c>
      <c r="C1886" s="1186" t="s">
        <v>116</v>
      </c>
      <c r="D1886" s="1186" t="s">
        <v>51</v>
      </c>
      <c r="E1886" s="1186">
        <v>13</v>
      </c>
      <c r="F1886" s="1186">
        <v>89710</v>
      </c>
    </row>
    <row r="1887" spans="1:6" x14ac:dyDescent="0.2">
      <c r="A1887" s="1186" t="s">
        <v>133</v>
      </c>
      <c r="B1887" s="1186" t="s">
        <v>824</v>
      </c>
      <c r="C1887" s="1186" t="s">
        <v>116</v>
      </c>
      <c r="D1887" s="1186" t="s">
        <v>52</v>
      </c>
      <c r="E1887" s="1186">
        <v>25</v>
      </c>
      <c r="F1887" s="1186">
        <v>177200</v>
      </c>
    </row>
    <row r="1888" spans="1:6" x14ac:dyDescent="0.2">
      <c r="A1888" s="1186" t="s">
        <v>133</v>
      </c>
      <c r="B1888" s="1186" t="s">
        <v>825</v>
      </c>
      <c r="C1888" s="1186" t="s">
        <v>61</v>
      </c>
      <c r="D1888" s="1186" t="s">
        <v>23</v>
      </c>
      <c r="E1888" s="1186">
        <v>37</v>
      </c>
      <c r="F1888" s="1186">
        <v>228920</v>
      </c>
    </row>
    <row r="1889" spans="1:6" x14ac:dyDescent="0.2">
      <c r="A1889" s="1186" t="s">
        <v>133</v>
      </c>
      <c r="B1889" s="1186" t="s">
        <v>825</v>
      </c>
      <c r="C1889" s="1186" t="s">
        <v>61</v>
      </c>
      <c r="D1889" s="1186" t="s">
        <v>24</v>
      </c>
      <c r="E1889" s="1186">
        <v>76</v>
      </c>
      <c r="F1889" s="1186">
        <v>260530</v>
      </c>
    </row>
    <row r="1890" spans="1:6" x14ac:dyDescent="0.2">
      <c r="A1890" s="1186" t="s">
        <v>133</v>
      </c>
      <c r="B1890" s="1186" t="s">
        <v>825</v>
      </c>
      <c r="C1890" s="1186" t="s">
        <v>61</v>
      </c>
      <c r="D1890" s="1186" t="s">
        <v>25</v>
      </c>
      <c r="E1890" s="1186">
        <v>24</v>
      </c>
      <c r="F1890" s="1186">
        <v>116740</v>
      </c>
    </row>
    <row r="1891" spans="1:6" x14ac:dyDescent="0.2">
      <c r="A1891" s="1186" t="s">
        <v>133</v>
      </c>
      <c r="B1891" s="1186" t="s">
        <v>825</v>
      </c>
      <c r="C1891" s="1186" t="s">
        <v>61</v>
      </c>
      <c r="D1891" s="1186" t="s">
        <v>26</v>
      </c>
      <c r="E1891" s="1186">
        <v>21</v>
      </c>
      <c r="F1891" s="1186">
        <v>87650</v>
      </c>
    </row>
    <row r="1892" spans="1:6" x14ac:dyDescent="0.2">
      <c r="A1892" s="1186" t="s">
        <v>133</v>
      </c>
      <c r="B1892" s="1186" t="s">
        <v>825</v>
      </c>
      <c r="C1892" s="1186" t="s">
        <v>61</v>
      </c>
      <c r="D1892" s="1186" t="s">
        <v>619</v>
      </c>
      <c r="E1892" s="1186">
        <v>77</v>
      </c>
      <c r="F1892" s="1186">
        <v>492610</v>
      </c>
    </row>
    <row r="1893" spans="1:6" x14ac:dyDescent="0.2">
      <c r="A1893" s="1186" t="s">
        <v>133</v>
      </c>
      <c r="B1893" s="1186" t="s">
        <v>825</v>
      </c>
      <c r="C1893" s="1186" t="s">
        <v>61</v>
      </c>
      <c r="D1893" s="1186" t="s">
        <v>27</v>
      </c>
      <c r="E1893" s="1186">
        <v>9</v>
      </c>
      <c r="F1893" s="1186">
        <v>51190</v>
      </c>
    </row>
    <row r="1894" spans="1:6" x14ac:dyDescent="0.2">
      <c r="A1894" s="1186" t="s">
        <v>133</v>
      </c>
      <c r="B1894" s="1186" t="s">
        <v>825</v>
      </c>
      <c r="C1894" s="1186" t="s">
        <v>61</v>
      </c>
      <c r="D1894" s="1186" t="s">
        <v>28</v>
      </c>
      <c r="E1894" s="1186">
        <v>41</v>
      </c>
      <c r="F1894" s="1186">
        <v>149960</v>
      </c>
    </row>
    <row r="1895" spans="1:6" x14ac:dyDescent="0.2">
      <c r="A1895" s="1186" t="s">
        <v>133</v>
      </c>
      <c r="B1895" s="1186" t="s">
        <v>825</v>
      </c>
      <c r="C1895" s="1186" t="s">
        <v>61</v>
      </c>
      <c r="D1895" s="1186" t="s">
        <v>29</v>
      </c>
      <c r="E1895" s="1186">
        <v>24</v>
      </c>
      <c r="F1895" s="1186">
        <v>148130</v>
      </c>
    </row>
    <row r="1896" spans="1:6" x14ac:dyDescent="0.2">
      <c r="A1896" s="1186" t="s">
        <v>133</v>
      </c>
      <c r="B1896" s="1186" t="s">
        <v>825</v>
      </c>
      <c r="C1896" s="1186" t="s">
        <v>61</v>
      </c>
      <c r="D1896" s="1186" t="s">
        <v>30</v>
      </c>
      <c r="E1896" s="1186">
        <v>27</v>
      </c>
      <c r="F1896" s="1186">
        <v>122130</v>
      </c>
    </row>
    <row r="1897" spans="1:6" x14ac:dyDescent="0.2">
      <c r="A1897" s="1186" t="s">
        <v>133</v>
      </c>
      <c r="B1897" s="1186" t="s">
        <v>825</v>
      </c>
      <c r="C1897" s="1186" t="s">
        <v>61</v>
      </c>
      <c r="D1897" s="1186" t="s">
        <v>31</v>
      </c>
      <c r="E1897" s="1186">
        <v>15</v>
      </c>
      <c r="F1897" s="1186">
        <v>106710</v>
      </c>
    </row>
    <row r="1898" spans="1:6" x14ac:dyDescent="0.2">
      <c r="A1898" s="1186" t="s">
        <v>133</v>
      </c>
      <c r="B1898" s="1186" t="s">
        <v>825</v>
      </c>
      <c r="C1898" s="1186" t="s">
        <v>61</v>
      </c>
      <c r="D1898" s="1186" t="s">
        <v>32</v>
      </c>
      <c r="E1898" s="1186">
        <v>29</v>
      </c>
      <c r="F1898" s="1186">
        <v>102090</v>
      </c>
    </row>
    <row r="1899" spans="1:6" x14ac:dyDescent="0.2">
      <c r="A1899" s="1186" t="s">
        <v>133</v>
      </c>
      <c r="B1899" s="1186" t="s">
        <v>825</v>
      </c>
      <c r="C1899" s="1186" t="s">
        <v>61</v>
      </c>
      <c r="D1899" s="1186" t="s">
        <v>33</v>
      </c>
      <c r="E1899" s="1186">
        <v>8</v>
      </c>
      <c r="F1899" s="1186">
        <v>92410</v>
      </c>
    </row>
    <row r="1900" spans="1:6" x14ac:dyDescent="0.2">
      <c r="A1900" s="1186" t="s">
        <v>133</v>
      </c>
      <c r="B1900" s="1186" t="s">
        <v>825</v>
      </c>
      <c r="C1900" s="1186" t="s">
        <v>61</v>
      </c>
      <c r="D1900" s="1186" t="s">
        <v>34</v>
      </c>
      <c r="E1900" s="1186">
        <v>35</v>
      </c>
      <c r="F1900" s="1186">
        <v>157690</v>
      </c>
    </row>
    <row r="1901" spans="1:6" x14ac:dyDescent="0.2">
      <c r="A1901" s="1186" t="s">
        <v>133</v>
      </c>
      <c r="B1901" s="1186" t="s">
        <v>825</v>
      </c>
      <c r="C1901" s="1186" t="s">
        <v>61</v>
      </c>
      <c r="D1901" s="1186" t="s">
        <v>35</v>
      </c>
      <c r="E1901" s="1186">
        <v>72</v>
      </c>
      <c r="F1901" s="1186">
        <v>367250</v>
      </c>
    </row>
    <row r="1902" spans="1:6" x14ac:dyDescent="0.2">
      <c r="A1902" s="1186" t="s">
        <v>133</v>
      </c>
      <c r="B1902" s="1186" t="s">
        <v>825</v>
      </c>
      <c r="C1902" s="1186" t="s">
        <v>61</v>
      </c>
      <c r="D1902" s="1186" t="s">
        <v>36</v>
      </c>
      <c r="E1902" s="1186">
        <v>115</v>
      </c>
      <c r="F1902" s="1186">
        <v>599640</v>
      </c>
    </row>
    <row r="1903" spans="1:6" x14ac:dyDescent="0.2">
      <c r="A1903" s="1186" t="s">
        <v>133</v>
      </c>
      <c r="B1903" s="1186" t="s">
        <v>825</v>
      </c>
      <c r="C1903" s="1186" t="s">
        <v>61</v>
      </c>
      <c r="D1903" s="1186" t="s">
        <v>37</v>
      </c>
      <c r="E1903" s="1186">
        <v>75</v>
      </c>
      <c r="F1903" s="1186">
        <v>233080</v>
      </c>
    </row>
    <row r="1904" spans="1:6" x14ac:dyDescent="0.2">
      <c r="A1904" s="1186" t="s">
        <v>133</v>
      </c>
      <c r="B1904" s="1186" t="s">
        <v>825</v>
      </c>
      <c r="C1904" s="1186" t="s">
        <v>61</v>
      </c>
      <c r="D1904" s="1186" t="s">
        <v>38</v>
      </c>
      <c r="E1904" s="1186">
        <v>8</v>
      </c>
      <c r="F1904" s="1186">
        <v>79890</v>
      </c>
    </row>
    <row r="1905" spans="1:6" x14ac:dyDescent="0.2">
      <c r="A1905" s="1186" t="s">
        <v>133</v>
      </c>
      <c r="B1905" s="1186" t="s">
        <v>825</v>
      </c>
      <c r="C1905" s="1186" t="s">
        <v>61</v>
      </c>
      <c r="D1905" s="1186" t="s">
        <v>39</v>
      </c>
      <c r="E1905" s="1186">
        <v>14</v>
      </c>
      <c r="F1905" s="1186">
        <v>86220</v>
      </c>
    </row>
    <row r="1906" spans="1:6" x14ac:dyDescent="0.2">
      <c r="A1906" s="1186" t="s">
        <v>133</v>
      </c>
      <c r="B1906" s="1186" t="s">
        <v>825</v>
      </c>
      <c r="C1906" s="1186" t="s">
        <v>61</v>
      </c>
      <c r="D1906" s="1186" t="s">
        <v>40</v>
      </c>
      <c r="E1906" s="1186">
        <v>22</v>
      </c>
      <c r="F1906" s="1186">
        <v>94770</v>
      </c>
    </row>
    <row r="1907" spans="1:6" x14ac:dyDescent="0.2">
      <c r="A1907" s="1186" t="s">
        <v>133</v>
      </c>
      <c r="B1907" s="1186" t="s">
        <v>825</v>
      </c>
      <c r="C1907" s="1186" t="s">
        <v>61</v>
      </c>
      <c r="D1907" s="1186" t="s">
        <v>295</v>
      </c>
      <c r="E1907" s="1186">
        <v>7</v>
      </c>
      <c r="F1907" s="1186">
        <v>27250</v>
      </c>
    </row>
    <row r="1908" spans="1:6" x14ac:dyDescent="0.2">
      <c r="A1908" s="1186" t="s">
        <v>133</v>
      </c>
      <c r="B1908" s="1186" t="s">
        <v>825</v>
      </c>
      <c r="C1908" s="1186" t="s">
        <v>61</v>
      </c>
      <c r="D1908" s="1186" t="s">
        <v>41</v>
      </c>
      <c r="E1908" s="1186">
        <v>21</v>
      </c>
      <c r="F1908" s="1186">
        <v>136480</v>
      </c>
    </row>
    <row r="1909" spans="1:6" x14ac:dyDescent="0.2">
      <c r="A1909" s="1186" t="s">
        <v>133</v>
      </c>
      <c r="B1909" s="1186" t="s">
        <v>825</v>
      </c>
      <c r="C1909" s="1186" t="s">
        <v>61</v>
      </c>
      <c r="D1909" s="1186" t="s">
        <v>42</v>
      </c>
      <c r="E1909" s="1186">
        <v>73</v>
      </c>
      <c r="F1909" s="1186">
        <v>338000</v>
      </c>
    </row>
    <row r="1910" spans="1:6" x14ac:dyDescent="0.2">
      <c r="A1910" s="1186" t="s">
        <v>133</v>
      </c>
      <c r="B1910" s="1186" t="s">
        <v>825</v>
      </c>
      <c r="C1910" s="1186" t="s">
        <v>61</v>
      </c>
      <c r="D1910" s="1186" t="s">
        <v>43</v>
      </c>
      <c r="E1910" s="1186">
        <v>13</v>
      </c>
      <c r="F1910" s="1186">
        <v>21580</v>
      </c>
    </row>
    <row r="1911" spans="1:6" x14ac:dyDescent="0.2">
      <c r="A1911" s="1186" t="s">
        <v>133</v>
      </c>
      <c r="B1911" s="1186" t="s">
        <v>825</v>
      </c>
      <c r="C1911" s="1186" t="s">
        <v>61</v>
      </c>
      <c r="D1911" s="1186" t="s">
        <v>44</v>
      </c>
      <c r="E1911" s="1186">
        <v>45</v>
      </c>
      <c r="F1911" s="1186">
        <v>148930</v>
      </c>
    </row>
    <row r="1912" spans="1:6" x14ac:dyDescent="0.2">
      <c r="A1912" s="1186" t="s">
        <v>133</v>
      </c>
      <c r="B1912" s="1186" t="s">
        <v>825</v>
      </c>
      <c r="C1912" s="1186" t="s">
        <v>61</v>
      </c>
      <c r="D1912" s="1186" t="s">
        <v>45</v>
      </c>
      <c r="E1912" s="1186">
        <v>35</v>
      </c>
      <c r="F1912" s="1186">
        <v>174230</v>
      </c>
    </row>
    <row r="1913" spans="1:6" x14ac:dyDescent="0.2">
      <c r="A1913" s="1186" t="s">
        <v>133</v>
      </c>
      <c r="B1913" s="1186" t="s">
        <v>825</v>
      </c>
      <c r="C1913" s="1186" t="s">
        <v>61</v>
      </c>
      <c r="D1913" s="1186" t="s">
        <v>46</v>
      </c>
      <c r="E1913" s="1186">
        <v>28</v>
      </c>
      <c r="F1913" s="1186">
        <v>114040</v>
      </c>
    </row>
    <row r="1914" spans="1:6" x14ac:dyDescent="0.2">
      <c r="A1914" s="1186" t="s">
        <v>133</v>
      </c>
      <c r="B1914" s="1186" t="s">
        <v>825</v>
      </c>
      <c r="C1914" s="1186" t="s">
        <v>61</v>
      </c>
      <c r="D1914" s="1186" t="s">
        <v>47</v>
      </c>
      <c r="E1914" s="1186">
        <v>5</v>
      </c>
      <c r="F1914" s="1186">
        <v>23220</v>
      </c>
    </row>
    <row r="1915" spans="1:6" x14ac:dyDescent="0.2">
      <c r="A1915" s="1186" t="s">
        <v>133</v>
      </c>
      <c r="B1915" s="1186" t="s">
        <v>825</v>
      </c>
      <c r="C1915" s="1186" t="s">
        <v>61</v>
      </c>
      <c r="D1915" s="1186" t="s">
        <v>48</v>
      </c>
      <c r="E1915" s="1186">
        <v>26</v>
      </c>
      <c r="F1915" s="1186">
        <v>112530</v>
      </c>
    </row>
    <row r="1916" spans="1:6" x14ac:dyDescent="0.2">
      <c r="A1916" s="1186" t="s">
        <v>133</v>
      </c>
      <c r="B1916" s="1186" t="s">
        <v>825</v>
      </c>
      <c r="C1916" s="1186" t="s">
        <v>61</v>
      </c>
      <c r="D1916" s="1186" t="s">
        <v>49</v>
      </c>
      <c r="E1916" s="1186">
        <v>76</v>
      </c>
      <c r="F1916" s="1186">
        <v>315300</v>
      </c>
    </row>
    <row r="1917" spans="1:6" x14ac:dyDescent="0.2">
      <c r="A1917" s="1186" t="s">
        <v>133</v>
      </c>
      <c r="B1917" s="1186" t="s">
        <v>825</v>
      </c>
      <c r="C1917" s="1186" t="s">
        <v>61</v>
      </c>
      <c r="D1917" s="1186" t="s">
        <v>50</v>
      </c>
      <c r="E1917" s="1186">
        <v>27</v>
      </c>
      <c r="F1917" s="1186">
        <v>91520</v>
      </c>
    </row>
    <row r="1918" spans="1:6" x14ac:dyDescent="0.2">
      <c r="A1918" s="1186" t="s">
        <v>133</v>
      </c>
      <c r="B1918" s="1186" t="s">
        <v>825</v>
      </c>
      <c r="C1918" s="1186" t="s">
        <v>61</v>
      </c>
      <c r="D1918" s="1186" t="s">
        <v>51</v>
      </c>
      <c r="E1918" s="1186">
        <v>16</v>
      </c>
      <c r="F1918" s="1186">
        <v>89710</v>
      </c>
    </row>
    <row r="1919" spans="1:6" x14ac:dyDescent="0.2">
      <c r="A1919" s="1186" t="s">
        <v>133</v>
      </c>
      <c r="B1919" s="1186" t="s">
        <v>825</v>
      </c>
      <c r="C1919" s="1186" t="s">
        <v>61</v>
      </c>
      <c r="D1919" s="1186" t="s">
        <v>52</v>
      </c>
      <c r="E1919" s="1186">
        <v>47</v>
      </c>
      <c r="F1919" s="1186">
        <v>177200</v>
      </c>
    </row>
    <row r="1920" spans="1:6" x14ac:dyDescent="0.2">
      <c r="A1920" s="1186" t="s">
        <v>133</v>
      </c>
      <c r="B1920" s="1186" t="s">
        <v>825</v>
      </c>
      <c r="C1920" s="1186" t="s">
        <v>116</v>
      </c>
      <c r="D1920" s="1186" t="s">
        <v>23</v>
      </c>
      <c r="E1920" s="1186">
        <v>45</v>
      </c>
      <c r="F1920" s="1186">
        <v>228920</v>
      </c>
    </row>
    <row r="1921" spans="1:6" x14ac:dyDescent="0.2">
      <c r="A1921" s="1186" t="s">
        <v>133</v>
      </c>
      <c r="B1921" s="1186" t="s">
        <v>825</v>
      </c>
      <c r="C1921" s="1186" t="s">
        <v>116</v>
      </c>
      <c r="D1921" s="1186" t="s">
        <v>24</v>
      </c>
      <c r="E1921" s="1186">
        <v>13</v>
      </c>
      <c r="F1921" s="1186">
        <v>260530</v>
      </c>
    </row>
    <row r="1922" spans="1:6" x14ac:dyDescent="0.2">
      <c r="A1922" s="1186" t="s">
        <v>133</v>
      </c>
      <c r="B1922" s="1186" t="s">
        <v>825</v>
      </c>
      <c r="C1922" s="1186" t="s">
        <v>116</v>
      </c>
      <c r="D1922" s="1186" t="s">
        <v>25</v>
      </c>
      <c r="E1922" s="1186">
        <v>5</v>
      </c>
      <c r="F1922" s="1186">
        <v>116740</v>
      </c>
    </row>
    <row r="1923" spans="1:6" x14ac:dyDescent="0.2">
      <c r="A1923" s="1186" t="s">
        <v>133</v>
      </c>
      <c r="B1923" s="1186" t="s">
        <v>825</v>
      </c>
      <c r="C1923" s="1186" t="s">
        <v>116</v>
      </c>
      <c r="D1923" s="1186" t="s">
        <v>26</v>
      </c>
      <c r="E1923" s="1186">
        <v>3</v>
      </c>
      <c r="F1923" s="1186">
        <v>87650</v>
      </c>
    </row>
    <row r="1924" spans="1:6" x14ac:dyDescent="0.2">
      <c r="A1924" s="1186" t="s">
        <v>133</v>
      </c>
      <c r="B1924" s="1186" t="s">
        <v>825</v>
      </c>
      <c r="C1924" s="1186" t="s">
        <v>116</v>
      </c>
      <c r="D1924" s="1186" t="s">
        <v>619</v>
      </c>
      <c r="E1924" s="1186">
        <v>121</v>
      </c>
      <c r="F1924" s="1186">
        <v>492610</v>
      </c>
    </row>
    <row r="1925" spans="1:6" x14ac:dyDescent="0.2">
      <c r="A1925" s="1186" t="s">
        <v>133</v>
      </c>
      <c r="B1925" s="1186" t="s">
        <v>825</v>
      </c>
      <c r="C1925" s="1186" t="s">
        <v>116</v>
      </c>
      <c r="D1925" s="1186" t="s">
        <v>27</v>
      </c>
      <c r="E1925" s="1186">
        <v>3</v>
      </c>
      <c r="F1925" s="1186">
        <v>51190</v>
      </c>
    </row>
    <row r="1926" spans="1:6" x14ac:dyDescent="0.2">
      <c r="A1926" s="1186" t="s">
        <v>133</v>
      </c>
      <c r="B1926" s="1186" t="s">
        <v>825</v>
      </c>
      <c r="C1926" s="1186" t="s">
        <v>116</v>
      </c>
      <c r="D1926" s="1186" t="s">
        <v>28</v>
      </c>
      <c r="E1926" s="1186">
        <v>6</v>
      </c>
      <c r="F1926" s="1186">
        <v>149960</v>
      </c>
    </row>
    <row r="1927" spans="1:6" x14ac:dyDescent="0.2">
      <c r="A1927" s="1186" t="s">
        <v>133</v>
      </c>
      <c r="B1927" s="1186" t="s">
        <v>825</v>
      </c>
      <c r="C1927" s="1186" t="s">
        <v>116</v>
      </c>
      <c r="D1927" s="1186" t="s">
        <v>29</v>
      </c>
      <c r="E1927" s="1186">
        <v>13</v>
      </c>
      <c r="F1927" s="1186">
        <v>148130</v>
      </c>
    </row>
    <row r="1928" spans="1:6" x14ac:dyDescent="0.2">
      <c r="A1928" s="1186" t="s">
        <v>133</v>
      </c>
      <c r="B1928" s="1186" t="s">
        <v>825</v>
      </c>
      <c r="C1928" s="1186" t="s">
        <v>116</v>
      </c>
      <c r="D1928" s="1186" t="s">
        <v>30</v>
      </c>
      <c r="E1928" s="1186">
        <v>10</v>
      </c>
      <c r="F1928" s="1186">
        <v>122130</v>
      </c>
    </row>
    <row r="1929" spans="1:6" x14ac:dyDescent="0.2">
      <c r="A1929" s="1186" t="s">
        <v>133</v>
      </c>
      <c r="B1929" s="1186" t="s">
        <v>825</v>
      </c>
      <c r="C1929" s="1186" t="s">
        <v>116</v>
      </c>
      <c r="D1929" s="1186" t="s">
        <v>31</v>
      </c>
      <c r="E1929" s="1186">
        <v>16</v>
      </c>
      <c r="F1929" s="1186">
        <v>106710</v>
      </c>
    </row>
    <row r="1930" spans="1:6" x14ac:dyDescent="0.2">
      <c r="A1930" s="1186" t="s">
        <v>133</v>
      </c>
      <c r="B1930" s="1186" t="s">
        <v>825</v>
      </c>
      <c r="C1930" s="1186" t="s">
        <v>116</v>
      </c>
      <c r="D1930" s="1186" t="s">
        <v>32</v>
      </c>
      <c r="E1930" s="1186">
        <v>8</v>
      </c>
      <c r="F1930" s="1186">
        <v>102090</v>
      </c>
    </row>
    <row r="1931" spans="1:6" x14ac:dyDescent="0.2">
      <c r="A1931" s="1186" t="s">
        <v>133</v>
      </c>
      <c r="B1931" s="1186" t="s">
        <v>825</v>
      </c>
      <c r="C1931" s="1186" t="s">
        <v>116</v>
      </c>
      <c r="D1931" s="1186" t="s">
        <v>33</v>
      </c>
      <c r="E1931" s="1186">
        <v>5</v>
      </c>
      <c r="F1931" s="1186">
        <v>92410</v>
      </c>
    </row>
    <row r="1932" spans="1:6" x14ac:dyDescent="0.2">
      <c r="A1932" s="1186" t="s">
        <v>133</v>
      </c>
      <c r="B1932" s="1186" t="s">
        <v>825</v>
      </c>
      <c r="C1932" s="1186" t="s">
        <v>116</v>
      </c>
      <c r="D1932" s="1186" t="s">
        <v>34</v>
      </c>
      <c r="E1932" s="1186">
        <v>11</v>
      </c>
      <c r="F1932" s="1186">
        <v>157690</v>
      </c>
    </row>
    <row r="1933" spans="1:6" x14ac:dyDescent="0.2">
      <c r="A1933" s="1186" t="s">
        <v>133</v>
      </c>
      <c r="B1933" s="1186" t="s">
        <v>825</v>
      </c>
      <c r="C1933" s="1186" t="s">
        <v>116</v>
      </c>
      <c r="D1933" s="1186" t="s">
        <v>35</v>
      </c>
      <c r="E1933" s="1186">
        <v>31</v>
      </c>
      <c r="F1933" s="1186">
        <v>367250</v>
      </c>
    </row>
    <row r="1934" spans="1:6" x14ac:dyDescent="0.2">
      <c r="A1934" s="1186" t="s">
        <v>133</v>
      </c>
      <c r="B1934" s="1186" t="s">
        <v>825</v>
      </c>
      <c r="C1934" s="1186" t="s">
        <v>116</v>
      </c>
      <c r="D1934" s="1186" t="s">
        <v>36</v>
      </c>
      <c r="E1934" s="1186">
        <v>171</v>
      </c>
      <c r="F1934" s="1186">
        <v>599640</v>
      </c>
    </row>
    <row r="1935" spans="1:6" x14ac:dyDescent="0.2">
      <c r="A1935" s="1186" t="s">
        <v>133</v>
      </c>
      <c r="B1935" s="1186" t="s">
        <v>825</v>
      </c>
      <c r="C1935" s="1186" t="s">
        <v>116</v>
      </c>
      <c r="D1935" s="1186" t="s">
        <v>37</v>
      </c>
      <c r="E1935" s="1186">
        <v>5</v>
      </c>
      <c r="F1935" s="1186">
        <v>233080</v>
      </c>
    </row>
    <row r="1936" spans="1:6" x14ac:dyDescent="0.2">
      <c r="A1936" s="1186" t="s">
        <v>133</v>
      </c>
      <c r="B1936" s="1186" t="s">
        <v>825</v>
      </c>
      <c r="C1936" s="1186" t="s">
        <v>116</v>
      </c>
      <c r="D1936" s="1186" t="s">
        <v>38</v>
      </c>
      <c r="E1936" s="1186">
        <v>25</v>
      </c>
      <c r="F1936" s="1186">
        <v>79890</v>
      </c>
    </row>
    <row r="1937" spans="1:6" x14ac:dyDescent="0.2">
      <c r="A1937" s="1186" t="s">
        <v>133</v>
      </c>
      <c r="B1937" s="1186" t="s">
        <v>825</v>
      </c>
      <c r="C1937" s="1186" t="s">
        <v>116</v>
      </c>
      <c r="D1937" s="1186" t="s">
        <v>39</v>
      </c>
      <c r="E1937" s="1186">
        <v>14</v>
      </c>
      <c r="F1937" s="1186">
        <v>86220</v>
      </c>
    </row>
    <row r="1938" spans="1:6" x14ac:dyDescent="0.2">
      <c r="A1938" s="1186" t="s">
        <v>133</v>
      </c>
      <c r="B1938" s="1186" t="s">
        <v>825</v>
      </c>
      <c r="C1938" s="1186" t="s">
        <v>116</v>
      </c>
      <c r="D1938" s="1186" t="s">
        <v>40</v>
      </c>
      <c r="E1938" s="1186">
        <v>3</v>
      </c>
      <c r="F1938" s="1186">
        <v>94770</v>
      </c>
    </row>
    <row r="1939" spans="1:6" x14ac:dyDescent="0.2">
      <c r="A1939" s="1186" t="s">
        <v>133</v>
      </c>
      <c r="B1939" s="1186" t="s">
        <v>825</v>
      </c>
      <c r="C1939" s="1186" t="s">
        <v>116</v>
      </c>
      <c r="D1939" s="1186" t="s">
        <v>41</v>
      </c>
      <c r="E1939" s="1186">
        <v>17</v>
      </c>
      <c r="F1939" s="1186">
        <v>136480</v>
      </c>
    </row>
    <row r="1940" spans="1:6" x14ac:dyDescent="0.2">
      <c r="A1940" s="1186" t="s">
        <v>133</v>
      </c>
      <c r="B1940" s="1186" t="s">
        <v>825</v>
      </c>
      <c r="C1940" s="1186" t="s">
        <v>116</v>
      </c>
      <c r="D1940" s="1186" t="s">
        <v>42</v>
      </c>
      <c r="E1940" s="1186">
        <v>76</v>
      </c>
      <c r="F1940" s="1186">
        <v>338000</v>
      </c>
    </row>
    <row r="1941" spans="1:6" x14ac:dyDescent="0.2">
      <c r="A1941" s="1186" t="s">
        <v>133</v>
      </c>
      <c r="B1941" s="1186" t="s">
        <v>825</v>
      </c>
      <c r="C1941" s="1186" t="s">
        <v>116</v>
      </c>
      <c r="D1941" s="1186" t="s">
        <v>44</v>
      </c>
      <c r="E1941" s="1186">
        <v>3</v>
      </c>
      <c r="F1941" s="1186">
        <v>148930</v>
      </c>
    </row>
    <row r="1942" spans="1:6" x14ac:dyDescent="0.2">
      <c r="A1942" s="1186" t="s">
        <v>133</v>
      </c>
      <c r="B1942" s="1186" t="s">
        <v>825</v>
      </c>
      <c r="C1942" s="1186" t="s">
        <v>116</v>
      </c>
      <c r="D1942" s="1186" t="s">
        <v>45</v>
      </c>
      <c r="E1942" s="1186">
        <v>26</v>
      </c>
      <c r="F1942" s="1186">
        <v>174230</v>
      </c>
    </row>
    <row r="1943" spans="1:6" x14ac:dyDescent="0.2">
      <c r="A1943" s="1186" t="s">
        <v>133</v>
      </c>
      <c r="B1943" s="1186" t="s">
        <v>825</v>
      </c>
      <c r="C1943" s="1186" t="s">
        <v>116</v>
      </c>
      <c r="D1943" s="1186" t="s">
        <v>46</v>
      </c>
      <c r="E1943" s="1186">
        <v>6</v>
      </c>
      <c r="F1943" s="1186">
        <v>114040</v>
      </c>
    </row>
    <row r="1944" spans="1:6" x14ac:dyDescent="0.2">
      <c r="A1944" s="1186" t="s">
        <v>133</v>
      </c>
      <c r="B1944" s="1186" t="s">
        <v>825</v>
      </c>
      <c r="C1944" s="1186" t="s">
        <v>116</v>
      </c>
      <c r="D1944" s="1186" t="s">
        <v>48</v>
      </c>
      <c r="E1944" s="1186">
        <v>8</v>
      </c>
      <c r="F1944" s="1186">
        <v>112530</v>
      </c>
    </row>
    <row r="1945" spans="1:6" x14ac:dyDescent="0.2">
      <c r="A1945" s="1186" t="s">
        <v>133</v>
      </c>
      <c r="B1945" s="1186" t="s">
        <v>825</v>
      </c>
      <c r="C1945" s="1186" t="s">
        <v>116</v>
      </c>
      <c r="D1945" s="1186" t="s">
        <v>49</v>
      </c>
      <c r="E1945" s="1186">
        <v>50</v>
      </c>
      <c r="F1945" s="1186">
        <v>315300</v>
      </c>
    </row>
    <row r="1946" spans="1:6" x14ac:dyDescent="0.2">
      <c r="A1946" s="1186" t="s">
        <v>133</v>
      </c>
      <c r="B1946" s="1186" t="s">
        <v>825</v>
      </c>
      <c r="C1946" s="1186" t="s">
        <v>116</v>
      </c>
      <c r="D1946" s="1186" t="s">
        <v>50</v>
      </c>
      <c r="E1946" s="1186">
        <v>8</v>
      </c>
      <c r="F1946" s="1186">
        <v>91520</v>
      </c>
    </row>
    <row r="1947" spans="1:6" x14ac:dyDescent="0.2">
      <c r="A1947" s="1186" t="s">
        <v>133</v>
      </c>
      <c r="B1947" s="1186" t="s">
        <v>825</v>
      </c>
      <c r="C1947" s="1186" t="s">
        <v>116</v>
      </c>
      <c r="D1947" s="1186" t="s">
        <v>51</v>
      </c>
      <c r="E1947" s="1186">
        <v>20</v>
      </c>
      <c r="F1947" s="1186">
        <v>89710</v>
      </c>
    </row>
    <row r="1948" spans="1:6" x14ac:dyDescent="0.2">
      <c r="A1948" s="1186" t="s">
        <v>133</v>
      </c>
      <c r="B1948" s="1186" t="s">
        <v>825</v>
      </c>
      <c r="C1948" s="1186" t="s">
        <v>116</v>
      </c>
      <c r="D1948" s="1186" t="s">
        <v>52</v>
      </c>
      <c r="E1948" s="1186">
        <v>27</v>
      </c>
      <c r="F1948" s="1186">
        <v>177200</v>
      </c>
    </row>
    <row r="1949" spans="1:6" x14ac:dyDescent="0.2">
      <c r="A1949" s="1186" t="s">
        <v>133</v>
      </c>
      <c r="B1949" s="1186" t="s">
        <v>826</v>
      </c>
      <c r="C1949" s="1186" t="s">
        <v>61</v>
      </c>
      <c r="D1949" s="1186" t="s">
        <v>23</v>
      </c>
      <c r="E1949" s="1186">
        <v>7</v>
      </c>
      <c r="F1949" s="1186">
        <v>228920</v>
      </c>
    </row>
    <row r="1950" spans="1:6" x14ac:dyDescent="0.2">
      <c r="A1950" s="1186" t="s">
        <v>133</v>
      </c>
      <c r="B1950" s="1186" t="s">
        <v>826</v>
      </c>
      <c r="C1950" s="1186" t="s">
        <v>61</v>
      </c>
      <c r="D1950" s="1186" t="s">
        <v>24</v>
      </c>
      <c r="E1950" s="1186">
        <v>21</v>
      </c>
      <c r="F1950" s="1186">
        <v>260530</v>
      </c>
    </row>
    <row r="1951" spans="1:6" x14ac:dyDescent="0.2">
      <c r="A1951" s="1186" t="s">
        <v>133</v>
      </c>
      <c r="B1951" s="1186" t="s">
        <v>826</v>
      </c>
      <c r="C1951" s="1186" t="s">
        <v>61</v>
      </c>
      <c r="D1951" s="1186" t="s">
        <v>25</v>
      </c>
      <c r="E1951" s="1186">
        <v>9</v>
      </c>
      <c r="F1951" s="1186">
        <v>116740</v>
      </c>
    </row>
    <row r="1952" spans="1:6" x14ac:dyDescent="0.2">
      <c r="A1952" s="1186" t="s">
        <v>133</v>
      </c>
      <c r="B1952" s="1186" t="s">
        <v>826</v>
      </c>
      <c r="C1952" s="1186" t="s">
        <v>61</v>
      </c>
      <c r="D1952" s="1186" t="s">
        <v>26</v>
      </c>
      <c r="E1952" s="1186">
        <v>10</v>
      </c>
      <c r="F1952" s="1186">
        <v>87650</v>
      </c>
    </row>
    <row r="1953" spans="1:6" x14ac:dyDescent="0.2">
      <c r="A1953" s="1186" t="s">
        <v>133</v>
      </c>
      <c r="B1953" s="1186" t="s">
        <v>826</v>
      </c>
      <c r="C1953" s="1186" t="s">
        <v>61</v>
      </c>
      <c r="D1953" s="1186" t="s">
        <v>619</v>
      </c>
      <c r="E1953" s="1186">
        <v>26</v>
      </c>
      <c r="F1953" s="1186">
        <v>492610</v>
      </c>
    </row>
    <row r="1954" spans="1:6" x14ac:dyDescent="0.2">
      <c r="A1954" s="1186" t="s">
        <v>133</v>
      </c>
      <c r="B1954" s="1186" t="s">
        <v>826</v>
      </c>
      <c r="C1954" s="1186" t="s">
        <v>61</v>
      </c>
      <c r="D1954" s="1186" t="s">
        <v>27</v>
      </c>
      <c r="E1954" s="1186">
        <v>2</v>
      </c>
      <c r="F1954" s="1186">
        <v>51190</v>
      </c>
    </row>
    <row r="1955" spans="1:6" x14ac:dyDescent="0.2">
      <c r="A1955" s="1186" t="s">
        <v>133</v>
      </c>
      <c r="B1955" s="1186" t="s">
        <v>826</v>
      </c>
      <c r="C1955" s="1186" t="s">
        <v>61</v>
      </c>
      <c r="D1955" s="1186" t="s">
        <v>28</v>
      </c>
      <c r="E1955" s="1186">
        <v>10</v>
      </c>
      <c r="F1955" s="1186">
        <v>149960</v>
      </c>
    </row>
    <row r="1956" spans="1:6" x14ac:dyDescent="0.2">
      <c r="A1956" s="1186" t="s">
        <v>133</v>
      </c>
      <c r="B1956" s="1186" t="s">
        <v>826</v>
      </c>
      <c r="C1956" s="1186" t="s">
        <v>61</v>
      </c>
      <c r="D1956" s="1186" t="s">
        <v>29</v>
      </c>
      <c r="E1956" s="1186">
        <v>4</v>
      </c>
      <c r="F1956" s="1186">
        <v>148130</v>
      </c>
    </row>
    <row r="1957" spans="1:6" x14ac:dyDescent="0.2">
      <c r="A1957" s="1186" t="s">
        <v>133</v>
      </c>
      <c r="B1957" s="1186" t="s">
        <v>826</v>
      </c>
      <c r="C1957" s="1186" t="s">
        <v>61</v>
      </c>
      <c r="D1957" s="1186" t="s">
        <v>30</v>
      </c>
      <c r="E1957" s="1186">
        <v>8</v>
      </c>
      <c r="F1957" s="1186">
        <v>122130</v>
      </c>
    </row>
    <row r="1958" spans="1:6" x14ac:dyDescent="0.2">
      <c r="A1958" s="1186" t="s">
        <v>133</v>
      </c>
      <c r="B1958" s="1186" t="s">
        <v>826</v>
      </c>
      <c r="C1958" s="1186" t="s">
        <v>61</v>
      </c>
      <c r="D1958" s="1186" t="s">
        <v>31</v>
      </c>
      <c r="E1958" s="1186">
        <v>5</v>
      </c>
      <c r="F1958" s="1186">
        <v>106710</v>
      </c>
    </row>
    <row r="1959" spans="1:6" x14ac:dyDescent="0.2">
      <c r="A1959" s="1186" t="s">
        <v>133</v>
      </c>
      <c r="B1959" s="1186" t="s">
        <v>826</v>
      </c>
      <c r="C1959" s="1186" t="s">
        <v>61</v>
      </c>
      <c r="D1959" s="1186" t="s">
        <v>32</v>
      </c>
      <c r="E1959" s="1186">
        <v>11</v>
      </c>
      <c r="F1959" s="1186">
        <v>102090</v>
      </c>
    </row>
    <row r="1960" spans="1:6" x14ac:dyDescent="0.2">
      <c r="A1960" s="1186" t="s">
        <v>133</v>
      </c>
      <c r="B1960" s="1186" t="s">
        <v>826</v>
      </c>
      <c r="C1960" s="1186" t="s">
        <v>61</v>
      </c>
      <c r="D1960" s="1186" t="s">
        <v>33</v>
      </c>
      <c r="E1960" s="1186">
        <v>1</v>
      </c>
      <c r="F1960" s="1186">
        <v>92410</v>
      </c>
    </row>
    <row r="1961" spans="1:6" x14ac:dyDescent="0.2">
      <c r="A1961" s="1186" t="s">
        <v>133</v>
      </c>
      <c r="B1961" s="1186" t="s">
        <v>826</v>
      </c>
      <c r="C1961" s="1186" t="s">
        <v>61</v>
      </c>
      <c r="D1961" s="1186" t="s">
        <v>34</v>
      </c>
      <c r="E1961" s="1186">
        <v>20</v>
      </c>
      <c r="F1961" s="1186">
        <v>157690</v>
      </c>
    </row>
    <row r="1962" spans="1:6" x14ac:dyDescent="0.2">
      <c r="A1962" s="1186" t="s">
        <v>133</v>
      </c>
      <c r="B1962" s="1186" t="s">
        <v>826</v>
      </c>
      <c r="C1962" s="1186" t="s">
        <v>61</v>
      </c>
      <c r="D1962" s="1186" t="s">
        <v>35</v>
      </c>
      <c r="E1962" s="1186">
        <v>19</v>
      </c>
      <c r="F1962" s="1186">
        <v>367250</v>
      </c>
    </row>
    <row r="1963" spans="1:6" x14ac:dyDescent="0.2">
      <c r="A1963" s="1186" t="s">
        <v>133</v>
      </c>
      <c r="B1963" s="1186" t="s">
        <v>826</v>
      </c>
      <c r="C1963" s="1186" t="s">
        <v>61</v>
      </c>
      <c r="D1963" s="1186" t="s">
        <v>36</v>
      </c>
      <c r="E1963" s="1186">
        <v>22</v>
      </c>
      <c r="F1963" s="1186">
        <v>599640</v>
      </c>
    </row>
    <row r="1964" spans="1:6" x14ac:dyDescent="0.2">
      <c r="A1964" s="1186" t="s">
        <v>133</v>
      </c>
      <c r="B1964" s="1186" t="s">
        <v>826</v>
      </c>
      <c r="C1964" s="1186" t="s">
        <v>61</v>
      </c>
      <c r="D1964" s="1186" t="s">
        <v>37</v>
      </c>
      <c r="E1964" s="1186">
        <v>40</v>
      </c>
      <c r="F1964" s="1186">
        <v>233080</v>
      </c>
    </row>
    <row r="1965" spans="1:6" x14ac:dyDescent="0.2">
      <c r="A1965" s="1186" t="s">
        <v>133</v>
      </c>
      <c r="B1965" s="1186" t="s">
        <v>826</v>
      </c>
      <c r="C1965" s="1186" t="s">
        <v>61</v>
      </c>
      <c r="D1965" s="1186" t="s">
        <v>38</v>
      </c>
      <c r="E1965" s="1186">
        <v>2</v>
      </c>
      <c r="F1965" s="1186">
        <v>79890</v>
      </c>
    </row>
    <row r="1966" spans="1:6" x14ac:dyDescent="0.2">
      <c r="A1966" s="1186" t="s">
        <v>133</v>
      </c>
      <c r="B1966" s="1186" t="s">
        <v>826</v>
      </c>
      <c r="C1966" s="1186" t="s">
        <v>61</v>
      </c>
      <c r="D1966" s="1186" t="s">
        <v>39</v>
      </c>
      <c r="E1966" s="1186">
        <v>9</v>
      </c>
      <c r="F1966" s="1186">
        <v>86220</v>
      </c>
    </row>
    <row r="1967" spans="1:6" x14ac:dyDescent="0.2">
      <c r="A1967" s="1186" t="s">
        <v>133</v>
      </c>
      <c r="B1967" s="1186" t="s">
        <v>826</v>
      </c>
      <c r="C1967" s="1186" t="s">
        <v>61</v>
      </c>
      <c r="D1967" s="1186" t="s">
        <v>40</v>
      </c>
      <c r="E1967" s="1186">
        <v>7</v>
      </c>
      <c r="F1967" s="1186">
        <v>94770</v>
      </c>
    </row>
    <row r="1968" spans="1:6" x14ac:dyDescent="0.2">
      <c r="A1968" s="1186" t="s">
        <v>133</v>
      </c>
      <c r="B1968" s="1186" t="s">
        <v>826</v>
      </c>
      <c r="C1968" s="1186" t="s">
        <v>61</v>
      </c>
      <c r="D1968" s="1186" t="s">
        <v>295</v>
      </c>
      <c r="E1968" s="1186">
        <v>17</v>
      </c>
      <c r="F1968" s="1186">
        <v>27250</v>
      </c>
    </row>
    <row r="1969" spans="1:6" x14ac:dyDescent="0.2">
      <c r="A1969" s="1186" t="s">
        <v>133</v>
      </c>
      <c r="B1969" s="1186" t="s">
        <v>826</v>
      </c>
      <c r="C1969" s="1186" t="s">
        <v>61</v>
      </c>
      <c r="D1969" s="1186" t="s">
        <v>41</v>
      </c>
      <c r="E1969" s="1186">
        <v>17</v>
      </c>
      <c r="F1969" s="1186">
        <v>136480</v>
      </c>
    </row>
    <row r="1970" spans="1:6" x14ac:dyDescent="0.2">
      <c r="A1970" s="1186" t="s">
        <v>133</v>
      </c>
      <c r="B1970" s="1186" t="s">
        <v>826</v>
      </c>
      <c r="C1970" s="1186" t="s">
        <v>61</v>
      </c>
      <c r="D1970" s="1186" t="s">
        <v>42</v>
      </c>
      <c r="E1970" s="1186">
        <v>8</v>
      </c>
      <c r="F1970" s="1186">
        <v>338000</v>
      </c>
    </row>
    <row r="1971" spans="1:6" x14ac:dyDescent="0.2">
      <c r="A1971" s="1186" t="s">
        <v>133</v>
      </c>
      <c r="B1971" s="1186" t="s">
        <v>826</v>
      </c>
      <c r="C1971" s="1186" t="s">
        <v>61</v>
      </c>
      <c r="D1971" s="1186" t="s">
        <v>43</v>
      </c>
      <c r="E1971" s="1186">
        <v>5</v>
      </c>
      <c r="F1971" s="1186">
        <v>21580</v>
      </c>
    </row>
    <row r="1972" spans="1:6" x14ac:dyDescent="0.2">
      <c r="A1972" s="1186" t="s">
        <v>133</v>
      </c>
      <c r="B1972" s="1186" t="s">
        <v>826</v>
      </c>
      <c r="C1972" s="1186" t="s">
        <v>61</v>
      </c>
      <c r="D1972" s="1186" t="s">
        <v>44</v>
      </c>
      <c r="E1972" s="1186">
        <v>10</v>
      </c>
      <c r="F1972" s="1186">
        <v>148930</v>
      </c>
    </row>
    <row r="1973" spans="1:6" x14ac:dyDescent="0.2">
      <c r="A1973" s="1186" t="s">
        <v>133</v>
      </c>
      <c r="B1973" s="1186" t="s">
        <v>826</v>
      </c>
      <c r="C1973" s="1186" t="s">
        <v>61</v>
      </c>
      <c r="D1973" s="1186" t="s">
        <v>45</v>
      </c>
      <c r="E1973" s="1186">
        <v>5</v>
      </c>
      <c r="F1973" s="1186">
        <v>174230</v>
      </c>
    </row>
    <row r="1974" spans="1:6" x14ac:dyDescent="0.2">
      <c r="A1974" s="1186" t="s">
        <v>133</v>
      </c>
      <c r="B1974" s="1186" t="s">
        <v>826</v>
      </c>
      <c r="C1974" s="1186" t="s">
        <v>61</v>
      </c>
      <c r="D1974" s="1186" t="s">
        <v>46</v>
      </c>
      <c r="E1974" s="1186">
        <v>9</v>
      </c>
      <c r="F1974" s="1186">
        <v>114040</v>
      </c>
    </row>
    <row r="1975" spans="1:6" x14ac:dyDescent="0.2">
      <c r="A1975" s="1186" t="s">
        <v>133</v>
      </c>
      <c r="B1975" s="1186" t="s">
        <v>826</v>
      </c>
      <c r="C1975" s="1186" t="s">
        <v>61</v>
      </c>
      <c r="D1975" s="1186" t="s">
        <v>47</v>
      </c>
      <c r="E1975" s="1186">
        <v>9</v>
      </c>
      <c r="F1975" s="1186">
        <v>23220</v>
      </c>
    </row>
    <row r="1976" spans="1:6" x14ac:dyDescent="0.2">
      <c r="A1976" s="1186" t="s">
        <v>133</v>
      </c>
      <c r="B1976" s="1186" t="s">
        <v>826</v>
      </c>
      <c r="C1976" s="1186" t="s">
        <v>61</v>
      </c>
      <c r="D1976" s="1186" t="s">
        <v>48</v>
      </c>
      <c r="E1976" s="1186">
        <v>7</v>
      </c>
      <c r="F1976" s="1186">
        <v>112530</v>
      </c>
    </row>
    <row r="1977" spans="1:6" x14ac:dyDescent="0.2">
      <c r="A1977" s="1186" t="s">
        <v>133</v>
      </c>
      <c r="B1977" s="1186" t="s">
        <v>826</v>
      </c>
      <c r="C1977" s="1186" t="s">
        <v>61</v>
      </c>
      <c r="D1977" s="1186" t="s">
        <v>49</v>
      </c>
      <c r="E1977" s="1186">
        <v>15</v>
      </c>
      <c r="F1977" s="1186">
        <v>315300</v>
      </c>
    </row>
    <row r="1978" spans="1:6" x14ac:dyDescent="0.2">
      <c r="A1978" s="1186" t="s">
        <v>133</v>
      </c>
      <c r="B1978" s="1186" t="s">
        <v>826</v>
      </c>
      <c r="C1978" s="1186" t="s">
        <v>61</v>
      </c>
      <c r="D1978" s="1186" t="s">
        <v>50</v>
      </c>
      <c r="E1978" s="1186">
        <v>10</v>
      </c>
      <c r="F1978" s="1186">
        <v>91520</v>
      </c>
    </row>
    <row r="1979" spans="1:6" x14ac:dyDescent="0.2">
      <c r="A1979" s="1186" t="s">
        <v>133</v>
      </c>
      <c r="B1979" s="1186" t="s">
        <v>826</v>
      </c>
      <c r="C1979" s="1186" t="s">
        <v>61</v>
      </c>
      <c r="D1979" s="1186" t="s">
        <v>51</v>
      </c>
      <c r="E1979" s="1186">
        <v>4</v>
      </c>
      <c r="F1979" s="1186">
        <v>89710</v>
      </c>
    </row>
    <row r="1980" spans="1:6" x14ac:dyDescent="0.2">
      <c r="A1980" s="1186" t="s">
        <v>133</v>
      </c>
      <c r="B1980" s="1186" t="s">
        <v>826</v>
      </c>
      <c r="C1980" s="1186" t="s">
        <v>61</v>
      </c>
      <c r="D1980" s="1186" t="s">
        <v>52</v>
      </c>
      <c r="E1980" s="1186">
        <v>11</v>
      </c>
      <c r="F1980" s="1186">
        <v>177200</v>
      </c>
    </row>
    <row r="1981" spans="1:6" x14ac:dyDescent="0.2">
      <c r="A1981" s="1186" t="s">
        <v>133</v>
      </c>
      <c r="B1981" s="1186" t="s">
        <v>826</v>
      </c>
      <c r="C1981" s="1186" t="s">
        <v>116</v>
      </c>
      <c r="D1981" s="1186" t="s">
        <v>23</v>
      </c>
      <c r="E1981" s="1186">
        <v>13</v>
      </c>
      <c r="F1981" s="1186">
        <v>228920</v>
      </c>
    </row>
    <row r="1982" spans="1:6" x14ac:dyDescent="0.2">
      <c r="A1982" s="1186" t="s">
        <v>133</v>
      </c>
      <c r="B1982" s="1186" t="s">
        <v>826</v>
      </c>
      <c r="C1982" s="1186" t="s">
        <v>116</v>
      </c>
      <c r="D1982" s="1186" t="s">
        <v>24</v>
      </c>
      <c r="E1982" s="1186">
        <v>15</v>
      </c>
      <c r="F1982" s="1186">
        <v>260530</v>
      </c>
    </row>
    <row r="1983" spans="1:6" x14ac:dyDescent="0.2">
      <c r="A1983" s="1186" t="s">
        <v>133</v>
      </c>
      <c r="B1983" s="1186" t="s">
        <v>826</v>
      </c>
      <c r="C1983" s="1186" t="s">
        <v>116</v>
      </c>
      <c r="D1983" s="1186" t="s">
        <v>25</v>
      </c>
      <c r="E1983" s="1186">
        <v>4</v>
      </c>
      <c r="F1983" s="1186">
        <v>116740</v>
      </c>
    </row>
    <row r="1984" spans="1:6" x14ac:dyDescent="0.2">
      <c r="A1984" s="1186" t="s">
        <v>133</v>
      </c>
      <c r="B1984" s="1186" t="s">
        <v>826</v>
      </c>
      <c r="C1984" s="1186" t="s">
        <v>116</v>
      </c>
      <c r="D1984" s="1186" t="s">
        <v>26</v>
      </c>
      <c r="E1984" s="1186">
        <v>1</v>
      </c>
      <c r="F1984" s="1186">
        <v>87650</v>
      </c>
    </row>
    <row r="1985" spans="1:6" x14ac:dyDescent="0.2">
      <c r="A1985" s="1186" t="s">
        <v>133</v>
      </c>
      <c r="B1985" s="1186" t="s">
        <v>826</v>
      </c>
      <c r="C1985" s="1186" t="s">
        <v>116</v>
      </c>
      <c r="D1985" s="1186" t="s">
        <v>619</v>
      </c>
      <c r="E1985" s="1186">
        <v>61</v>
      </c>
      <c r="F1985" s="1186">
        <v>492610</v>
      </c>
    </row>
    <row r="1986" spans="1:6" x14ac:dyDescent="0.2">
      <c r="A1986" s="1186" t="s">
        <v>133</v>
      </c>
      <c r="B1986" s="1186" t="s">
        <v>826</v>
      </c>
      <c r="C1986" s="1186" t="s">
        <v>116</v>
      </c>
      <c r="D1986" s="1186" t="s">
        <v>27</v>
      </c>
      <c r="E1986" s="1186">
        <v>11</v>
      </c>
      <c r="F1986" s="1186">
        <v>51190</v>
      </c>
    </row>
    <row r="1987" spans="1:6" x14ac:dyDescent="0.2">
      <c r="A1987" s="1186" t="s">
        <v>133</v>
      </c>
      <c r="B1987" s="1186" t="s">
        <v>826</v>
      </c>
      <c r="C1987" s="1186" t="s">
        <v>116</v>
      </c>
      <c r="D1987" s="1186" t="s">
        <v>28</v>
      </c>
      <c r="E1987" s="1186">
        <v>1</v>
      </c>
      <c r="F1987" s="1186">
        <v>149960</v>
      </c>
    </row>
    <row r="1988" spans="1:6" x14ac:dyDescent="0.2">
      <c r="A1988" s="1186" t="s">
        <v>133</v>
      </c>
      <c r="B1988" s="1186" t="s">
        <v>826</v>
      </c>
      <c r="C1988" s="1186" t="s">
        <v>116</v>
      </c>
      <c r="D1988" s="1186" t="s">
        <v>29</v>
      </c>
      <c r="E1988" s="1186">
        <v>19</v>
      </c>
      <c r="F1988" s="1186">
        <v>148130</v>
      </c>
    </row>
    <row r="1989" spans="1:6" x14ac:dyDescent="0.2">
      <c r="A1989" s="1186" t="s">
        <v>133</v>
      </c>
      <c r="B1989" s="1186" t="s">
        <v>826</v>
      </c>
      <c r="C1989" s="1186" t="s">
        <v>116</v>
      </c>
      <c r="D1989" s="1186" t="s">
        <v>30</v>
      </c>
      <c r="E1989" s="1186">
        <v>7</v>
      </c>
      <c r="F1989" s="1186">
        <v>122130</v>
      </c>
    </row>
    <row r="1990" spans="1:6" x14ac:dyDescent="0.2">
      <c r="A1990" s="1186" t="s">
        <v>133</v>
      </c>
      <c r="B1990" s="1186" t="s">
        <v>826</v>
      </c>
      <c r="C1990" s="1186" t="s">
        <v>116</v>
      </c>
      <c r="D1990" s="1186" t="s">
        <v>31</v>
      </c>
      <c r="E1990" s="1186">
        <v>7</v>
      </c>
      <c r="F1990" s="1186">
        <v>106710</v>
      </c>
    </row>
    <row r="1991" spans="1:6" x14ac:dyDescent="0.2">
      <c r="A1991" s="1186" t="s">
        <v>133</v>
      </c>
      <c r="B1991" s="1186" t="s">
        <v>826</v>
      </c>
      <c r="C1991" s="1186" t="s">
        <v>116</v>
      </c>
      <c r="D1991" s="1186" t="s">
        <v>32</v>
      </c>
      <c r="E1991" s="1186">
        <v>24</v>
      </c>
      <c r="F1991" s="1186">
        <v>102090</v>
      </c>
    </row>
    <row r="1992" spans="1:6" x14ac:dyDescent="0.2">
      <c r="A1992" s="1186" t="s">
        <v>133</v>
      </c>
      <c r="B1992" s="1186" t="s">
        <v>826</v>
      </c>
      <c r="C1992" s="1186" t="s">
        <v>116</v>
      </c>
      <c r="D1992" s="1186" t="s">
        <v>33</v>
      </c>
      <c r="E1992" s="1186">
        <v>3</v>
      </c>
      <c r="F1992" s="1186">
        <v>92410</v>
      </c>
    </row>
    <row r="1993" spans="1:6" x14ac:dyDescent="0.2">
      <c r="A1993" s="1186" t="s">
        <v>133</v>
      </c>
      <c r="B1993" s="1186" t="s">
        <v>826</v>
      </c>
      <c r="C1993" s="1186" t="s">
        <v>116</v>
      </c>
      <c r="D1993" s="1186" t="s">
        <v>34</v>
      </c>
      <c r="E1993" s="1186">
        <v>36</v>
      </c>
      <c r="F1993" s="1186">
        <v>157690</v>
      </c>
    </row>
    <row r="1994" spans="1:6" x14ac:dyDescent="0.2">
      <c r="A1994" s="1186" t="s">
        <v>133</v>
      </c>
      <c r="B1994" s="1186" t="s">
        <v>826</v>
      </c>
      <c r="C1994" s="1186" t="s">
        <v>116</v>
      </c>
      <c r="D1994" s="1186" t="s">
        <v>35</v>
      </c>
      <c r="E1994" s="1186">
        <v>23</v>
      </c>
      <c r="F1994" s="1186">
        <v>367250</v>
      </c>
    </row>
    <row r="1995" spans="1:6" x14ac:dyDescent="0.2">
      <c r="A1995" s="1186" t="s">
        <v>133</v>
      </c>
      <c r="B1995" s="1186" t="s">
        <v>826</v>
      </c>
      <c r="C1995" s="1186" t="s">
        <v>116</v>
      </c>
      <c r="D1995" s="1186" t="s">
        <v>36</v>
      </c>
      <c r="E1995" s="1186">
        <v>46</v>
      </c>
      <c r="F1995" s="1186">
        <v>599640</v>
      </c>
    </row>
    <row r="1996" spans="1:6" x14ac:dyDescent="0.2">
      <c r="A1996" s="1186" t="s">
        <v>133</v>
      </c>
      <c r="B1996" s="1186" t="s">
        <v>826</v>
      </c>
      <c r="C1996" s="1186" t="s">
        <v>116</v>
      </c>
      <c r="D1996" s="1186" t="s">
        <v>37</v>
      </c>
      <c r="E1996" s="1186">
        <v>13</v>
      </c>
      <c r="F1996" s="1186">
        <v>233080</v>
      </c>
    </row>
    <row r="1997" spans="1:6" x14ac:dyDescent="0.2">
      <c r="A1997" s="1186" t="s">
        <v>133</v>
      </c>
      <c r="B1997" s="1186" t="s">
        <v>826</v>
      </c>
      <c r="C1997" s="1186" t="s">
        <v>116</v>
      </c>
      <c r="D1997" s="1186" t="s">
        <v>38</v>
      </c>
      <c r="E1997" s="1186">
        <v>17</v>
      </c>
      <c r="F1997" s="1186">
        <v>79890</v>
      </c>
    </row>
    <row r="1998" spans="1:6" x14ac:dyDescent="0.2">
      <c r="A1998" s="1186" t="s">
        <v>133</v>
      </c>
      <c r="B1998" s="1186" t="s">
        <v>826</v>
      </c>
      <c r="C1998" s="1186" t="s">
        <v>116</v>
      </c>
      <c r="D1998" s="1186" t="s">
        <v>39</v>
      </c>
      <c r="E1998" s="1186">
        <v>25</v>
      </c>
      <c r="F1998" s="1186">
        <v>86220</v>
      </c>
    </row>
    <row r="1999" spans="1:6" x14ac:dyDescent="0.2">
      <c r="A1999" s="1186" t="s">
        <v>133</v>
      </c>
      <c r="B1999" s="1186" t="s">
        <v>826</v>
      </c>
      <c r="C1999" s="1186" t="s">
        <v>116</v>
      </c>
      <c r="D1999" s="1186" t="s">
        <v>40</v>
      </c>
      <c r="E1999" s="1186">
        <v>8</v>
      </c>
      <c r="F1999" s="1186">
        <v>94770</v>
      </c>
    </row>
    <row r="2000" spans="1:6" x14ac:dyDescent="0.2">
      <c r="A2000" s="1186" t="s">
        <v>133</v>
      </c>
      <c r="B2000" s="1186" t="s">
        <v>826</v>
      </c>
      <c r="C2000" s="1186" t="s">
        <v>116</v>
      </c>
      <c r="D2000" s="1186" t="s">
        <v>41</v>
      </c>
      <c r="E2000" s="1186">
        <v>5</v>
      </c>
      <c r="F2000" s="1186">
        <v>136480</v>
      </c>
    </row>
    <row r="2001" spans="1:6" x14ac:dyDescent="0.2">
      <c r="A2001" s="1186" t="s">
        <v>133</v>
      </c>
      <c r="B2001" s="1186" t="s">
        <v>826</v>
      </c>
      <c r="C2001" s="1186" t="s">
        <v>116</v>
      </c>
      <c r="D2001" s="1186" t="s">
        <v>42</v>
      </c>
      <c r="E2001" s="1186">
        <v>33</v>
      </c>
      <c r="F2001" s="1186">
        <v>338000</v>
      </c>
    </row>
    <row r="2002" spans="1:6" x14ac:dyDescent="0.2">
      <c r="A2002" s="1186" t="s">
        <v>133</v>
      </c>
      <c r="B2002" s="1186" t="s">
        <v>826</v>
      </c>
      <c r="C2002" s="1186" t="s">
        <v>116</v>
      </c>
      <c r="D2002" s="1186" t="s">
        <v>44</v>
      </c>
      <c r="E2002" s="1186">
        <v>3</v>
      </c>
      <c r="F2002" s="1186">
        <v>148930</v>
      </c>
    </row>
    <row r="2003" spans="1:6" x14ac:dyDescent="0.2">
      <c r="A2003" s="1186" t="s">
        <v>133</v>
      </c>
      <c r="B2003" s="1186" t="s">
        <v>826</v>
      </c>
      <c r="C2003" s="1186" t="s">
        <v>116</v>
      </c>
      <c r="D2003" s="1186" t="s">
        <v>45</v>
      </c>
      <c r="E2003" s="1186">
        <v>19</v>
      </c>
      <c r="F2003" s="1186">
        <v>174230</v>
      </c>
    </row>
    <row r="2004" spans="1:6" x14ac:dyDescent="0.2">
      <c r="A2004" s="1186" t="s">
        <v>133</v>
      </c>
      <c r="B2004" s="1186" t="s">
        <v>826</v>
      </c>
      <c r="C2004" s="1186" t="s">
        <v>116</v>
      </c>
      <c r="D2004" s="1186" t="s">
        <v>46</v>
      </c>
      <c r="E2004" s="1186">
        <v>11</v>
      </c>
      <c r="F2004" s="1186">
        <v>114040</v>
      </c>
    </row>
    <row r="2005" spans="1:6" x14ac:dyDescent="0.2">
      <c r="A2005" s="1186" t="s">
        <v>133</v>
      </c>
      <c r="B2005" s="1186" t="s">
        <v>826</v>
      </c>
      <c r="C2005" s="1186" t="s">
        <v>116</v>
      </c>
      <c r="D2005" s="1186" t="s">
        <v>48</v>
      </c>
      <c r="E2005" s="1186">
        <v>3</v>
      </c>
      <c r="F2005" s="1186">
        <v>112530</v>
      </c>
    </row>
    <row r="2006" spans="1:6" x14ac:dyDescent="0.2">
      <c r="A2006" s="1186" t="s">
        <v>133</v>
      </c>
      <c r="B2006" s="1186" t="s">
        <v>826</v>
      </c>
      <c r="C2006" s="1186" t="s">
        <v>116</v>
      </c>
      <c r="D2006" s="1186" t="s">
        <v>49</v>
      </c>
      <c r="E2006" s="1186">
        <v>27</v>
      </c>
      <c r="F2006" s="1186">
        <v>315300</v>
      </c>
    </row>
    <row r="2007" spans="1:6" x14ac:dyDescent="0.2">
      <c r="A2007" s="1186" t="s">
        <v>133</v>
      </c>
      <c r="B2007" s="1186" t="s">
        <v>826</v>
      </c>
      <c r="C2007" s="1186" t="s">
        <v>116</v>
      </c>
      <c r="D2007" s="1186" t="s">
        <v>50</v>
      </c>
      <c r="E2007" s="1186">
        <v>7</v>
      </c>
      <c r="F2007" s="1186">
        <v>91520</v>
      </c>
    </row>
    <row r="2008" spans="1:6" x14ac:dyDescent="0.2">
      <c r="A2008" s="1186" t="s">
        <v>133</v>
      </c>
      <c r="B2008" s="1186" t="s">
        <v>826</v>
      </c>
      <c r="C2008" s="1186" t="s">
        <v>116</v>
      </c>
      <c r="D2008" s="1186" t="s">
        <v>51</v>
      </c>
      <c r="E2008" s="1186">
        <v>4</v>
      </c>
      <c r="F2008" s="1186">
        <v>89710</v>
      </c>
    </row>
    <row r="2009" spans="1:6" x14ac:dyDescent="0.2">
      <c r="A2009" s="1186" t="s">
        <v>133</v>
      </c>
      <c r="B2009" s="1186" t="s">
        <v>826</v>
      </c>
      <c r="C2009" s="1186" t="s">
        <v>116</v>
      </c>
      <c r="D2009" s="1186" t="s">
        <v>52</v>
      </c>
      <c r="E2009" s="1186">
        <v>32</v>
      </c>
      <c r="F2009" s="1186">
        <v>177200</v>
      </c>
    </row>
    <row r="2010" spans="1:6" x14ac:dyDescent="0.2">
      <c r="A2010" s="1186" t="s">
        <v>133</v>
      </c>
      <c r="B2010" s="1186" t="s">
        <v>308</v>
      </c>
      <c r="C2010" s="1186" t="s">
        <v>61</v>
      </c>
      <c r="D2010" s="1186" t="s">
        <v>23</v>
      </c>
      <c r="E2010" s="1186">
        <v>116</v>
      </c>
      <c r="F2010" s="1186">
        <v>228920</v>
      </c>
    </row>
    <row r="2011" spans="1:6" x14ac:dyDescent="0.2">
      <c r="A2011" s="1186" t="s">
        <v>133</v>
      </c>
      <c r="B2011" s="1186" t="s">
        <v>308</v>
      </c>
      <c r="C2011" s="1186" t="s">
        <v>61</v>
      </c>
      <c r="D2011" s="1186" t="s">
        <v>24</v>
      </c>
      <c r="E2011" s="1186">
        <v>111</v>
      </c>
      <c r="F2011" s="1186">
        <v>260530</v>
      </c>
    </row>
    <row r="2012" spans="1:6" x14ac:dyDescent="0.2">
      <c r="A2012" s="1186" t="s">
        <v>133</v>
      </c>
      <c r="B2012" s="1186" t="s">
        <v>308</v>
      </c>
      <c r="C2012" s="1186" t="s">
        <v>61</v>
      </c>
      <c r="D2012" s="1186" t="s">
        <v>25</v>
      </c>
      <c r="E2012" s="1186">
        <v>56</v>
      </c>
      <c r="F2012" s="1186">
        <v>116740</v>
      </c>
    </row>
    <row r="2013" spans="1:6" x14ac:dyDescent="0.2">
      <c r="A2013" s="1186" t="s">
        <v>133</v>
      </c>
      <c r="B2013" s="1186" t="s">
        <v>308</v>
      </c>
      <c r="C2013" s="1186" t="s">
        <v>61</v>
      </c>
      <c r="D2013" s="1186" t="s">
        <v>26</v>
      </c>
      <c r="E2013" s="1186">
        <v>46</v>
      </c>
      <c r="F2013" s="1186">
        <v>87650</v>
      </c>
    </row>
    <row r="2014" spans="1:6" x14ac:dyDescent="0.2">
      <c r="A2014" s="1186" t="s">
        <v>133</v>
      </c>
      <c r="B2014" s="1186" t="s">
        <v>308</v>
      </c>
      <c r="C2014" s="1186" t="s">
        <v>61</v>
      </c>
      <c r="D2014" s="1186" t="s">
        <v>619</v>
      </c>
      <c r="E2014" s="1186">
        <v>423</v>
      </c>
      <c r="F2014" s="1186">
        <v>492610</v>
      </c>
    </row>
    <row r="2015" spans="1:6" x14ac:dyDescent="0.2">
      <c r="A2015" s="1186" t="s">
        <v>133</v>
      </c>
      <c r="B2015" s="1186" t="s">
        <v>308</v>
      </c>
      <c r="C2015" s="1186" t="s">
        <v>61</v>
      </c>
      <c r="D2015" s="1186" t="s">
        <v>27</v>
      </c>
      <c r="E2015" s="1186">
        <v>16</v>
      </c>
      <c r="F2015" s="1186">
        <v>51190</v>
      </c>
    </row>
    <row r="2016" spans="1:6" x14ac:dyDescent="0.2">
      <c r="A2016" s="1186" t="s">
        <v>133</v>
      </c>
      <c r="B2016" s="1186" t="s">
        <v>308</v>
      </c>
      <c r="C2016" s="1186" t="s">
        <v>61</v>
      </c>
      <c r="D2016" s="1186" t="s">
        <v>28</v>
      </c>
      <c r="E2016" s="1186">
        <v>69</v>
      </c>
      <c r="F2016" s="1186">
        <v>149960</v>
      </c>
    </row>
    <row r="2017" spans="1:6" x14ac:dyDescent="0.2">
      <c r="A2017" s="1186" t="s">
        <v>133</v>
      </c>
      <c r="B2017" s="1186" t="s">
        <v>308</v>
      </c>
      <c r="C2017" s="1186" t="s">
        <v>61</v>
      </c>
      <c r="D2017" s="1186" t="s">
        <v>29</v>
      </c>
      <c r="E2017" s="1186">
        <v>76</v>
      </c>
      <c r="F2017" s="1186">
        <v>148130</v>
      </c>
    </row>
    <row r="2018" spans="1:6" x14ac:dyDescent="0.2">
      <c r="A2018" s="1186" t="s">
        <v>133</v>
      </c>
      <c r="B2018" s="1186" t="s">
        <v>308</v>
      </c>
      <c r="C2018" s="1186" t="s">
        <v>61</v>
      </c>
      <c r="D2018" s="1186" t="s">
        <v>30</v>
      </c>
      <c r="E2018" s="1186">
        <v>20</v>
      </c>
      <c r="F2018" s="1186">
        <v>122130</v>
      </c>
    </row>
    <row r="2019" spans="1:6" x14ac:dyDescent="0.2">
      <c r="A2019" s="1186" t="s">
        <v>133</v>
      </c>
      <c r="B2019" s="1186" t="s">
        <v>308</v>
      </c>
      <c r="C2019" s="1186" t="s">
        <v>61</v>
      </c>
      <c r="D2019" s="1186" t="s">
        <v>31</v>
      </c>
      <c r="E2019" s="1186">
        <v>14</v>
      </c>
      <c r="F2019" s="1186">
        <v>106710</v>
      </c>
    </row>
    <row r="2020" spans="1:6" x14ac:dyDescent="0.2">
      <c r="A2020" s="1186" t="s">
        <v>133</v>
      </c>
      <c r="B2020" s="1186" t="s">
        <v>308</v>
      </c>
      <c r="C2020" s="1186" t="s">
        <v>61</v>
      </c>
      <c r="D2020" s="1186" t="s">
        <v>32</v>
      </c>
      <c r="E2020" s="1186">
        <v>47</v>
      </c>
      <c r="F2020" s="1186">
        <v>102090</v>
      </c>
    </row>
    <row r="2021" spans="1:6" x14ac:dyDescent="0.2">
      <c r="A2021" s="1186" t="s">
        <v>133</v>
      </c>
      <c r="B2021" s="1186" t="s">
        <v>308</v>
      </c>
      <c r="C2021" s="1186" t="s">
        <v>61</v>
      </c>
      <c r="D2021" s="1186" t="s">
        <v>33</v>
      </c>
      <c r="E2021" s="1186">
        <v>12</v>
      </c>
      <c r="F2021" s="1186">
        <v>92410</v>
      </c>
    </row>
    <row r="2022" spans="1:6" x14ac:dyDescent="0.2">
      <c r="A2022" s="1186" t="s">
        <v>133</v>
      </c>
      <c r="B2022" s="1186" t="s">
        <v>308</v>
      </c>
      <c r="C2022" s="1186" t="s">
        <v>61</v>
      </c>
      <c r="D2022" s="1186" t="s">
        <v>34</v>
      </c>
      <c r="E2022" s="1186">
        <v>100</v>
      </c>
      <c r="F2022" s="1186">
        <v>157690</v>
      </c>
    </row>
    <row r="2023" spans="1:6" x14ac:dyDescent="0.2">
      <c r="A2023" s="1186" t="s">
        <v>133</v>
      </c>
      <c r="B2023" s="1186" t="s">
        <v>308</v>
      </c>
      <c r="C2023" s="1186" t="s">
        <v>61</v>
      </c>
      <c r="D2023" s="1186" t="s">
        <v>35</v>
      </c>
      <c r="E2023" s="1186">
        <v>150</v>
      </c>
      <c r="F2023" s="1186">
        <v>367250</v>
      </c>
    </row>
    <row r="2024" spans="1:6" x14ac:dyDescent="0.2">
      <c r="A2024" s="1186" t="s">
        <v>133</v>
      </c>
      <c r="B2024" s="1186" t="s">
        <v>308</v>
      </c>
      <c r="C2024" s="1186" t="s">
        <v>61</v>
      </c>
      <c r="D2024" s="1186" t="s">
        <v>36</v>
      </c>
      <c r="E2024" s="1186">
        <v>172</v>
      </c>
      <c r="F2024" s="1186">
        <v>599640</v>
      </c>
    </row>
    <row r="2025" spans="1:6" x14ac:dyDescent="0.2">
      <c r="A2025" s="1186" t="s">
        <v>133</v>
      </c>
      <c r="B2025" s="1186" t="s">
        <v>308</v>
      </c>
      <c r="C2025" s="1186" t="s">
        <v>61</v>
      </c>
      <c r="D2025" s="1186" t="s">
        <v>37</v>
      </c>
      <c r="E2025" s="1186">
        <v>208</v>
      </c>
      <c r="F2025" s="1186">
        <v>233080</v>
      </c>
    </row>
    <row r="2026" spans="1:6" x14ac:dyDescent="0.2">
      <c r="A2026" s="1186" t="s">
        <v>133</v>
      </c>
      <c r="B2026" s="1186" t="s">
        <v>308</v>
      </c>
      <c r="C2026" s="1186" t="s">
        <v>61</v>
      </c>
      <c r="D2026" s="1186" t="s">
        <v>38</v>
      </c>
      <c r="E2026" s="1186">
        <v>16</v>
      </c>
      <c r="F2026" s="1186">
        <v>79890</v>
      </c>
    </row>
    <row r="2027" spans="1:6" x14ac:dyDescent="0.2">
      <c r="A2027" s="1186" t="s">
        <v>133</v>
      </c>
      <c r="B2027" s="1186" t="s">
        <v>308</v>
      </c>
      <c r="C2027" s="1186" t="s">
        <v>61</v>
      </c>
      <c r="D2027" s="1186" t="s">
        <v>39</v>
      </c>
      <c r="E2027" s="1186">
        <v>47</v>
      </c>
      <c r="F2027" s="1186">
        <v>86220</v>
      </c>
    </row>
    <row r="2028" spans="1:6" x14ac:dyDescent="0.2">
      <c r="A2028" s="1186" t="s">
        <v>133</v>
      </c>
      <c r="B2028" s="1186" t="s">
        <v>308</v>
      </c>
      <c r="C2028" s="1186" t="s">
        <v>61</v>
      </c>
      <c r="D2028" s="1186" t="s">
        <v>40</v>
      </c>
      <c r="E2028" s="1186">
        <v>51</v>
      </c>
      <c r="F2028" s="1186">
        <v>94770</v>
      </c>
    </row>
    <row r="2029" spans="1:6" x14ac:dyDescent="0.2">
      <c r="A2029" s="1186" t="s">
        <v>133</v>
      </c>
      <c r="B2029" s="1186" t="s">
        <v>308</v>
      </c>
      <c r="C2029" s="1186" t="s">
        <v>61</v>
      </c>
      <c r="D2029" s="1186" t="s">
        <v>295</v>
      </c>
      <c r="E2029" s="1186">
        <v>38</v>
      </c>
      <c r="F2029" s="1186">
        <v>27250</v>
      </c>
    </row>
    <row r="2030" spans="1:6" x14ac:dyDescent="0.2">
      <c r="A2030" s="1186" t="s">
        <v>133</v>
      </c>
      <c r="B2030" s="1186" t="s">
        <v>308</v>
      </c>
      <c r="C2030" s="1186" t="s">
        <v>61</v>
      </c>
      <c r="D2030" s="1186" t="s">
        <v>41</v>
      </c>
      <c r="E2030" s="1186">
        <v>30</v>
      </c>
      <c r="F2030" s="1186">
        <v>136480</v>
      </c>
    </row>
    <row r="2031" spans="1:6" x14ac:dyDescent="0.2">
      <c r="A2031" s="1186" t="s">
        <v>133</v>
      </c>
      <c r="B2031" s="1186" t="s">
        <v>308</v>
      </c>
      <c r="C2031" s="1186" t="s">
        <v>61</v>
      </c>
      <c r="D2031" s="1186" t="s">
        <v>42</v>
      </c>
      <c r="E2031" s="1186">
        <v>36</v>
      </c>
      <c r="F2031" s="1186">
        <v>338000</v>
      </c>
    </row>
    <row r="2032" spans="1:6" x14ac:dyDescent="0.2">
      <c r="A2032" s="1186" t="s">
        <v>133</v>
      </c>
      <c r="B2032" s="1186" t="s">
        <v>308</v>
      </c>
      <c r="C2032" s="1186" t="s">
        <v>61</v>
      </c>
      <c r="D2032" s="1186" t="s">
        <v>43</v>
      </c>
      <c r="E2032" s="1186">
        <v>5</v>
      </c>
      <c r="F2032" s="1186">
        <v>21580</v>
      </c>
    </row>
    <row r="2033" spans="1:6" x14ac:dyDescent="0.2">
      <c r="A2033" s="1186" t="s">
        <v>133</v>
      </c>
      <c r="B2033" s="1186" t="s">
        <v>308</v>
      </c>
      <c r="C2033" s="1186" t="s">
        <v>61</v>
      </c>
      <c r="D2033" s="1186" t="s">
        <v>44</v>
      </c>
      <c r="E2033" s="1186">
        <v>56</v>
      </c>
      <c r="F2033" s="1186">
        <v>148930</v>
      </c>
    </row>
    <row r="2034" spans="1:6" x14ac:dyDescent="0.2">
      <c r="A2034" s="1186" t="s">
        <v>133</v>
      </c>
      <c r="B2034" s="1186" t="s">
        <v>308</v>
      </c>
      <c r="C2034" s="1186" t="s">
        <v>61</v>
      </c>
      <c r="D2034" s="1186" t="s">
        <v>45</v>
      </c>
      <c r="E2034" s="1186">
        <v>48</v>
      </c>
      <c r="F2034" s="1186">
        <v>174230</v>
      </c>
    </row>
    <row r="2035" spans="1:6" x14ac:dyDescent="0.2">
      <c r="A2035" s="1186" t="s">
        <v>133</v>
      </c>
      <c r="B2035" s="1186" t="s">
        <v>308</v>
      </c>
      <c r="C2035" s="1186" t="s">
        <v>61</v>
      </c>
      <c r="D2035" s="1186" t="s">
        <v>46</v>
      </c>
      <c r="E2035" s="1186">
        <v>28</v>
      </c>
      <c r="F2035" s="1186">
        <v>114040</v>
      </c>
    </row>
    <row r="2036" spans="1:6" x14ac:dyDescent="0.2">
      <c r="A2036" s="1186" t="s">
        <v>133</v>
      </c>
      <c r="B2036" s="1186" t="s">
        <v>308</v>
      </c>
      <c r="C2036" s="1186" t="s">
        <v>61</v>
      </c>
      <c r="D2036" s="1186" t="s">
        <v>47</v>
      </c>
      <c r="E2036" s="1186">
        <v>5</v>
      </c>
      <c r="F2036" s="1186">
        <v>23220</v>
      </c>
    </row>
    <row r="2037" spans="1:6" x14ac:dyDescent="0.2">
      <c r="A2037" s="1186" t="s">
        <v>133</v>
      </c>
      <c r="B2037" s="1186" t="s">
        <v>308</v>
      </c>
      <c r="C2037" s="1186" t="s">
        <v>61</v>
      </c>
      <c r="D2037" s="1186" t="s">
        <v>48</v>
      </c>
      <c r="E2037" s="1186">
        <v>33</v>
      </c>
      <c r="F2037" s="1186">
        <v>112530</v>
      </c>
    </row>
    <row r="2038" spans="1:6" x14ac:dyDescent="0.2">
      <c r="A2038" s="1186" t="s">
        <v>133</v>
      </c>
      <c r="B2038" s="1186" t="s">
        <v>308</v>
      </c>
      <c r="C2038" s="1186" t="s">
        <v>61</v>
      </c>
      <c r="D2038" s="1186" t="s">
        <v>49</v>
      </c>
      <c r="E2038" s="1186">
        <v>63</v>
      </c>
      <c r="F2038" s="1186">
        <v>315300</v>
      </c>
    </row>
    <row r="2039" spans="1:6" x14ac:dyDescent="0.2">
      <c r="A2039" s="1186" t="s">
        <v>133</v>
      </c>
      <c r="B2039" s="1186" t="s">
        <v>308</v>
      </c>
      <c r="C2039" s="1186" t="s">
        <v>61</v>
      </c>
      <c r="D2039" s="1186" t="s">
        <v>50</v>
      </c>
      <c r="E2039" s="1186">
        <v>58</v>
      </c>
      <c r="F2039" s="1186">
        <v>91520</v>
      </c>
    </row>
    <row r="2040" spans="1:6" x14ac:dyDescent="0.2">
      <c r="A2040" s="1186" t="s">
        <v>133</v>
      </c>
      <c r="B2040" s="1186" t="s">
        <v>308</v>
      </c>
      <c r="C2040" s="1186" t="s">
        <v>61</v>
      </c>
      <c r="D2040" s="1186" t="s">
        <v>51</v>
      </c>
      <c r="E2040" s="1186">
        <v>13</v>
      </c>
      <c r="F2040" s="1186">
        <v>89710</v>
      </c>
    </row>
    <row r="2041" spans="1:6" x14ac:dyDescent="0.2">
      <c r="A2041" s="1186" t="s">
        <v>133</v>
      </c>
      <c r="B2041" s="1186" t="s">
        <v>308</v>
      </c>
      <c r="C2041" s="1186" t="s">
        <v>61</v>
      </c>
      <c r="D2041" s="1186" t="s">
        <v>52</v>
      </c>
      <c r="E2041" s="1186">
        <v>76</v>
      </c>
      <c r="F2041" s="1186">
        <v>177200</v>
      </c>
    </row>
    <row r="2042" spans="1:6" x14ac:dyDescent="0.2">
      <c r="A2042" s="1186" t="s">
        <v>133</v>
      </c>
      <c r="B2042" s="1186" t="s">
        <v>308</v>
      </c>
      <c r="C2042" s="1186" t="s">
        <v>116</v>
      </c>
      <c r="D2042" s="1186" t="s">
        <v>23</v>
      </c>
      <c r="E2042" s="1186">
        <v>286</v>
      </c>
      <c r="F2042" s="1186">
        <v>228920</v>
      </c>
    </row>
    <row r="2043" spans="1:6" x14ac:dyDescent="0.2">
      <c r="A2043" s="1186" t="s">
        <v>133</v>
      </c>
      <c r="B2043" s="1186" t="s">
        <v>308</v>
      </c>
      <c r="C2043" s="1186" t="s">
        <v>116</v>
      </c>
      <c r="D2043" s="1186" t="s">
        <v>24</v>
      </c>
      <c r="E2043" s="1186">
        <v>110</v>
      </c>
      <c r="F2043" s="1186">
        <v>260530</v>
      </c>
    </row>
    <row r="2044" spans="1:6" x14ac:dyDescent="0.2">
      <c r="A2044" s="1186" t="s">
        <v>133</v>
      </c>
      <c r="B2044" s="1186" t="s">
        <v>308</v>
      </c>
      <c r="C2044" s="1186" t="s">
        <v>116</v>
      </c>
      <c r="D2044" s="1186" t="s">
        <v>25</v>
      </c>
      <c r="E2044" s="1186">
        <v>105</v>
      </c>
      <c r="F2044" s="1186">
        <v>116740</v>
      </c>
    </row>
    <row r="2045" spans="1:6" x14ac:dyDescent="0.2">
      <c r="A2045" s="1186" t="s">
        <v>133</v>
      </c>
      <c r="B2045" s="1186" t="s">
        <v>308</v>
      </c>
      <c r="C2045" s="1186" t="s">
        <v>116</v>
      </c>
      <c r="D2045" s="1186" t="s">
        <v>26</v>
      </c>
      <c r="E2045" s="1186">
        <v>42</v>
      </c>
      <c r="F2045" s="1186">
        <v>87650</v>
      </c>
    </row>
    <row r="2046" spans="1:6" x14ac:dyDescent="0.2">
      <c r="A2046" s="1186" t="s">
        <v>133</v>
      </c>
      <c r="B2046" s="1186" t="s">
        <v>308</v>
      </c>
      <c r="C2046" s="1186" t="s">
        <v>116</v>
      </c>
      <c r="D2046" s="1186" t="s">
        <v>619</v>
      </c>
      <c r="E2046" s="1186">
        <v>931</v>
      </c>
      <c r="F2046" s="1186">
        <v>492610</v>
      </c>
    </row>
    <row r="2047" spans="1:6" x14ac:dyDescent="0.2">
      <c r="A2047" s="1186" t="s">
        <v>133</v>
      </c>
      <c r="B2047" s="1186" t="s">
        <v>308</v>
      </c>
      <c r="C2047" s="1186" t="s">
        <v>116</v>
      </c>
      <c r="D2047" s="1186" t="s">
        <v>27</v>
      </c>
      <c r="E2047" s="1186">
        <v>69</v>
      </c>
      <c r="F2047" s="1186">
        <v>51190</v>
      </c>
    </row>
    <row r="2048" spans="1:6" x14ac:dyDescent="0.2">
      <c r="A2048" s="1186" t="s">
        <v>133</v>
      </c>
      <c r="B2048" s="1186" t="s">
        <v>308</v>
      </c>
      <c r="C2048" s="1186" t="s">
        <v>116</v>
      </c>
      <c r="D2048" s="1186" t="s">
        <v>28</v>
      </c>
      <c r="E2048" s="1186">
        <v>74</v>
      </c>
      <c r="F2048" s="1186">
        <v>149960</v>
      </c>
    </row>
    <row r="2049" spans="1:6" x14ac:dyDescent="0.2">
      <c r="A2049" s="1186" t="s">
        <v>133</v>
      </c>
      <c r="B2049" s="1186" t="s">
        <v>308</v>
      </c>
      <c r="C2049" s="1186" t="s">
        <v>116</v>
      </c>
      <c r="D2049" s="1186" t="s">
        <v>29</v>
      </c>
      <c r="E2049" s="1186">
        <v>522</v>
      </c>
      <c r="F2049" s="1186">
        <v>148130</v>
      </c>
    </row>
    <row r="2050" spans="1:6" x14ac:dyDescent="0.2">
      <c r="A2050" s="1186" t="s">
        <v>133</v>
      </c>
      <c r="B2050" s="1186" t="s">
        <v>308</v>
      </c>
      <c r="C2050" s="1186" t="s">
        <v>116</v>
      </c>
      <c r="D2050" s="1186" t="s">
        <v>30</v>
      </c>
      <c r="E2050" s="1186">
        <v>424</v>
      </c>
      <c r="F2050" s="1186">
        <v>122130</v>
      </c>
    </row>
    <row r="2051" spans="1:6" x14ac:dyDescent="0.2">
      <c r="A2051" s="1186" t="s">
        <v>133</v>
      </c>
      <c r="B2051" s="1186" t="s">
        <v>308</v>
      </c>
      <c r="C2051" s="1186" t="s">
        <v>116</v>
      </c>
      <c r="D2051" s="1186" t="s">
        <v>31</v>
      </c>
      <c r="E2051" s="1186">
        <v>164</v>
      </c>
      <c r="F2051" s="1186">
        <v>106710</v>
      </c>
    </row>
    <row r="2052" spans="1:6" x14ac:dyDescent="0.2">
      <c r="A2052" s="1186" t="s">
        <v>133</v>
      </c>
      <c r="B2052" s="1186" t="s">
        <v>308</v>
      </c>
      <c r="C2052" s="1186" t="s">
        <v>116</v>
      </c>
      <c r="D2052" s="1186" t="s">
        <v>32</v>
      </c>
      <c r="E2052" s="1186">
        <v>97</v>
      </c>
      <c r="F2052" s="1186">
        <v>102090</v>
      </c>
    </row>
    <row r="2053" spans="1:6" x14ac:dyDescent="0.2">
      <c r="A2053" s="1186" t="s">
        <v>133</v>
      </c>
      <c r="B2053" s="1186" t="s">
        <v>308</v>
      </c>
      <c r="C2053" s="1186" t="s">
        <v>116</v>
      </c>
      <c r="D2053" s="1186" t="s">
        <v>33</v>
      </c>
      <c r="E2053" s="1186">
        <v>120</v>
      </c>
      <c r="F2053" s="1186">
        <v>92410</v>
      </c>
    </row>
    <row r="2054" spans="1:6" x14ac:dyDescent="0.2">
      <c r="A2054" s="1186" t="s">
        <v>133</v>
      </c>
      <c r="B2054" s="1186" t="s">
        <v>308</v>
      </c>
      <c r="C2054" s="1186" t="s">
        <v>116</v>
      </c>
      <c r="D2054" s="1186" t="s">
        <v>34</v>
      </c>
      <c r="E2054" s="1186">
        <v>283</v>
      </c>
      <c r="F2054" s="1186">
        <v>157690</v>
      </c>
    </row>
    <row r="2055" spans="1:6" x14ac:dyDescent="0.2">
      <c r="A2055" s="1186" t="s">
        <v>133</v>
      </c>
      <c r="B2055" s="1186" t="s">
        <v>308</v>
      </c>
      <c r="C2055" s="1186" t="s">
        <v>116</v>
      </c>
      <c r="D2055" s="1186" t="s">
        <v>35</v>
      </c>
      <c r="E2055" s="1186">
        <v>531</v>
      </c>
      <c r="F2055" s="1186">
        <v>367250</v>
      </c>
    </row>
    <row r="2056" spans="1:6" x14ac:dyDescent="0.2">
      <c r="A2056" s="1186" t="s">
        <v>133</v>
      </c>
      <c r="B2056" s="1186" t="s">
        <v>308</v>
      </c>
      <c r="C2056" s="1186" t="s">
        <v>116</v>
      </c>
      <c r="D2056" s="1186" t="s">
        <v>36</v>
      </c>
      <c r="E2056" s="1186">
        <v>2454</v>
      </c>
      <c r="F2056" s="1186">
        <v>599640</v>
      </c>
    </row>
    <row r="2057" spans="1:6" x14ac:dyDescent="0.2">
      <c r="A2057" s="1186" t="s">
        <v>133</v>
      </c>
      <c r="B2057" s="1186" t="s">
        <v>308</v>
      </c>
      <c r="C2057" s="1186" t="s">
        <v>116</v>
      </c>
      <c r="D2057" s="1186" t="s">
        <v>37</v>
      </c>
      <c r="E2057" s="1186">
        <v>129</v>
      </c>
      <c r="F2057" s="1186">
        <v>233080</v>
      </c>
    </row>
    <row r="2058" spans="1:6" x14ac:dyDescent="0.2">
      <c r="A2058" s="1186" t="s">
        <v>133</v>
      </c>
      <c r="B2058" s="1186" t="s">
        <v>308</v>
      </c>
      <c r="C2058" s="1186" t="s">
        <v>116</v>
      </c>
      <c r="D2058" s="1186" t="s">
        <v>38</v>
      </c>
      <c r="E2058" s="1186">
        <v>375</v>
      </c>
      <c r="F2058" s="1186">
        <v>79890</v>
      </c>
    </row>
    <row r="2059" spans="1:6" x14ac:dyDescent="0.2">
      <c r="A2059" s="1186" t="s">
        <v>133</v>
      </c>
      <c r="B2059" s="1186" t="s">
        <v>308</v>
      </c>
      <c r="C2059" s="1186" t="s">
        <v>116</v>
      </c>
      <c r="D2059" s="1186" t="s">
        <v>39</v>
      </c>
      <c r="E2059" s="1186">
        <v>210</v>
      </c>
      <c r="F2059" s="1186">
        <v>86220</v>
      </c>
    </row>
    <row r="2060" spans="1:6" x14ac:dyDescent="0.2">
      <c r="A2060" s="1186" t="s">
        <v>133</v>
      </c>
      <c r="B2060" s="1186" t="s">
        <v>308</v>
      </c>
      <c r="C2060" s="1186" t="s">
        <v>116</v>
      </c>
      <c r="D2060" s="1186" t="s">
        <v>40</v>
      </c>
      <c r="E2060" s="1186">
        <v>53</v>
      </c>
      <c r="F2060" s="1186">
        <v>94770</v>
      </c>
    </row>
    <row r="2061" spans="1:6" x14ac:dyDescent="0.2">
      <c r="A2061" s="1186" t="s">
        <v>133</v>
      </c>
      <c r="B2061" s="1186" t="s">
        <v>308</v>
      </c>
      <c r="C2061" s="1186" t="s">
        <v>116</v>
      </c>
      <c r="D2061" s="1186" t="s">
        <v>295</v>
      </c>
      <c r="E2061" s="1186">
        <v>3</v>
      </c>
      <c r="F2061" s="1186">
        <v>27250</v>
      </c>
    </row>
    <row r="2062" spans="1:6" x14ac:dyDescent="0.2">
      <c r="A2062" s="1186" t="s">
        <v>133</v>
      </c>
      <c r="B2062" s="1186" t="s">
        <v>308</v>
      </c>
      <c r="C2062" s="1186" t="s">
        <v>116</v>
      </c>
      <c r="D2062" s="1186" t="s">
        <v>41</v>
      </c>
      <c r="E2062" s="1186">
        <v>389</v>
      </c>
      <c r="F2062" s="1186">
        <v>136480</v>
      </c>
    </row>
    <row r="2063" spans="1:6" x14ac:dyDescent="0.2">
      <c r="A2063" s="1186" t="s">
        <v>133</v>
      </c>
      <c r="B2063" s="1186" t="s">
        <v>308</v>
      </c>
      <c r="C2063" s="1186" t="s">
        <v>116</v>
      </c>
      <c r="D2063" s="1186" t="s">
        <v>42</v>
      </c>
      <c r="E2063" s="1186">
        <v>1379</v>
      </c>
      <c r="F2063" s="1186">
        <v>338000</v>
      </c>
    </row>
    <row r="2064" spans="1:6" x14ac:dyDescent="0.2">
      <c r="A2064" s="1186" t="s">
        <v>133</v>
      </c>
      <c r="B2064" s="1186" t="s">
        <v>308</v>
      </c>
      <c r="C2064" s="1186" t="s">
        <v>116</v>
      </c>
      <c r="D2064" s="1186" t="s">
        <v>43</v>
      </c>
      <c r="E2064" s="1186">
        <v>2</v>
      </c>
      <c r="F2064" s="1186">
        <v>21580</v>
      </c>
    </row>
    <row r="2065" spans="1:6" x14ac:dyDescent="0.2">
      <c r="A2065" s="1186" t="s">
        <v>133</v>
      </c>
      <c r="B2065" s="1186" t="s">
        <v>308</v>
      </c>
      <c r="C2065" s="1186" t="s">
        <v>116</v>
      </c>
      <c r="D2065" s="1186" t="s">
        <v>44</v>
      </c>
      <c r="E2065" s="1186">
        <v>60</v>
      </c>
      <c r="F2065" s="1186">
        <v>148930</v>
      </c>
    </row>
    <row r="2066" spans="1:6" x14ac:dyDescent="0.2">
      <c r="A2066" s="1186" t="s">
        <v>133</v>
      </c>
      <c r="B2066" s="1186" t="s">
        <v>308</v>
      </c>
      <c r="C2066" s="1186" t="s">
        <v>116</v>
      </c>
      <c r="D2066" s="1186" t="s">
        <v>45</v>
      </c>
      <c r="E2066" s="1186">
        <v>444</v>
      </c>
      <c r="F2066" s="1186">
        <v>174230</v>
      </c>
    </row>
    <row r="2067" spans="1:6" x14ac:dyDescent="0.2">
      <c r="A2067" s="1186" t="s">
        <v>133</v>
      </c>
      <c r="B2067" s="1186" t="s">
        <v>308</v>
      </c>
      <c r="C2067" s="1186" t="s">
        <v>116</v>
      </c>
      <c r="D2067" s="1186" t="s">
        <v>46</v>
      </c>
      <c r="E2067" s="1186">
        <v>65</v>
      </c>
      <c r="F2067" s="1186">
        <v>114040</v>
      </c>
    </row>
    <row r="2068" spans="1:6" x14ac:dyDescent="0.2">
      <c r="A2068" s="1186" t="s">
        <v>133</v>
      </c>
      <c r="B2068" s="1186" t="s">
        <v>308</v>
      </c>
      <c r="C2068" s="1186" t="s">
        <v>116</v>
      </c>
      <c r="D2068" s="1186" t="s">
        <v>47</v>
      </c>
      <c r="E2068" s="1186">
        <v>4</v>
      </c>
      <c r="F2068" s="1186">
        <v>23220</v>
      </c>
    </row>
    <row r="2069" spans="1:6" x14ac:dyDescent="0.2">
      <c r="A2069" s="1186" t="s">
        <v>133</v>
      </c>
      <c r="B2069" s="1186" t="s">
        <v>308</v>
      </c>
      <c r="C2069" s="1186" t="s">
        <v>116</v>
      </c>
      <c r="D2069" s="1186" t="s">
        <v>48</v>
      </c>
      <c r="E2069" s="1186">
        <v>189</v>
      </c>
      <c r="F2069" s="1186">
        <v>112530</v>
      </c>
    </row>
    <row r="2070" spans="1:6" x14ac:dyDescent="0.2">
      <c r="A2070" s="1186" t="s">
        <v>133</v>
      </c>
      <c r="B2070" s="1186" t="s">
        <v>308</v>
      </c>
      <c r="C2070" s="1186" t="s">
        <v>116</v>
      </c>
      <c r="D2070" s="1186" t="s">
        <v>49</v>
      </c>
      <c r="E2070" s="1186">
        <v>821</v>
      </c>
      <c r="F2070" s="1186">
        <v>315300</v>
      </c>
    </row>
    <row r="2071" spans="1:6" x14ac:dyDescent="0.2">
      <c r="A2071" s="1186" t="s">
        <v>133</v>
      </c>
      <c r="B2071" s="1186" t="s">
        <v>308</v>
      </c>
      <c r="C2071" s="1186" t="s">
        <v>116</v>
      </c>
      <c r="D2071" s="1186" t="s">
        <v>50</v>
      </c>
      <c r="E2071" s="1186">
        <v>68</v>
      </c>
      <c r="F2071" s="1186">
        <v>91520</v>
      </c>
    </row>
    <row r="2072" spans="1:6" x14ac:dyDescent="0.2">
      <c r="A2072" s="1186" t="s">
        <v>133</v>
      </c>
      <c r="B2072" s="1186" t="s">
        <v>308</v>
      </c>
      <c r="C2072" s="1186" t="s">
        <v>116</v>
      </c>
      <c r="D2072" s="1186" t="s">
        <v>51</v>
      </c>
      <c r="E2072" s="1186">
        <v>313</v>
      </c>
      <c r="F2072" s="1186">
        <v>89710</v>
      </c>
    </row>
    <row r="2073" spans="1:6" x14ac:dyDescent="0.2">
      <c r="A2073" s="1186" t="s">
        <v>133</v>
      </c>
      <c r="B2073" s="1186" t="s">
        <v>308</v>
      </c>
      <c r="C2073" s="1186" t="s">
        <v>116</v>
      </c>
      <c r="D2073" s="1186" t="s">
        <v>52</v>
      </c>
      <c r="E2073" s="1186">
        <v>451</v>
      </c>
      <c r="F2073" s="1186">
        <v>177200</v>
      </c>
    </row>
    <row r="2074" spans="1:6" x14ac:dyDescent="0.2">
      <c r="A2074" s="1186" t="s">
        <v>144</v>
      </c>
      <c r="B2074" s="1186" t="s">
        <v>309</v>
      </c>
      <c r="C2074" s="1186" t="s">
        <v>61</v>
      </c>
      <c r="D2074" s="1186" t="s">
        <v>23</v>
      </c>
      <c r="E2074" s="1186">
        <v>10</v>
      </c>
      <c r="F2074" s="1186">
        <v>230350</v>
      </c>
    </row>
    <row r="2075" spans="1:6" x14ac:dyDescent="0.2">
      <c r="A2075" s="1186" t="s">
        <v>144</v>
      </c>
      <c r="B2075" s="1186" t="s">
        <v>309</v>
      </c>
      <c r="C2075" s="1186" t="s">
        <v>61</v>
      </c>
      <c r="D2075" s="1186" t="s">
        <v>24</v>
      </c>
      <c r="E2075" s="1186">
        <v>77</v>
      </c>
      <c r="F2075" s="1186">
        <v>261960</v>
      </c>
    </row>
    <row r="2076" spans="1:6" x14ac:dyDescent="0.2">
      <c r="A2076" s="1186" t="s">
        <v>144</v>
      </c>
      <c r="B2076" s="1186" t="s">
        <v>309</v>
      </c>
      <c r="C2076" s="1186" t="s">
        <v>61</v>
      </c>
      <c r="D2076" s="1186" t="s">
        <v>25</v>
      </c>
      <c r="E2076" s="1186">
        <v>21</v>
      </c>
      <c r="F2076" s="1186">
        <v>116900</v>
      </c>
    </row>
    <row r="2077" spans="1:6" x14ac:dyDescent="0.2">
      <c r="A2077" s="1186" t="s">
        <v>144</v>
      </c>
      <c r="B2077" s="1186" t="s">
        <v>309</v>
      </c>
      <c r="C2077" s="1186" t="s">
        <v>61</v>
      </c>
      <c r="D2077" s="1186" t="s">
        <v>26</v>
      </c>
      <c r="E2077" s="1186">
        <v>67</v>
      </c>
      <c r="F2077" s="1186">
        <v>86890</v>
      </c>
    </row>
    <row r="2078" spans="1:6" x14ac:dyDescent="0.2">
      <c r="A2078" s="1186" t="s">
        <v>144</v>
      </c>
      <c r="B2078" s="1186" t="s">
        <v>309</v>
      </c>
      <c r="C2078" s="1186" t="s">
        <v>61</v>
      </c>
      <c r="D2078" s="1186" t="s">
        <v>619</v>
      </c>
      <c r="E2078" s="1186">
        <v>8</v>
      </c>
      <c r="F2078" s="1186">
        <v>498810</v>
      </c>
    </row>
    <row r="2079" spans="1:6" x14ac:dyDescent="0.2">
      <c r="A2079" s="1186" t="s">
        <v>144</v>
      </c>
      <c r="B2079" s="1186" t="s">
        <v>309</v>
      </c>
      <c r="C2079" s="1186" t="s">
        <v>61</v>
      </c>
      <c r="D2079" s="1186" t="s">
        <v>27</v>
      </c>
      <c r="E2079" s="1186">
        <v>4</v>
      </c>
      <c r="F2079" s="1186">
        <v>51360</v>
      </c>
    </row>
    <row r="2080" spans="1:6" x14ac:dyDescent="0.2">
      <c r="A2080" s="1186" t="s">
        <v>144</v>
      </c>
      <c r="B2080" s="1186" t="s">
        <v>309</v>
      </c>
      <c r="C2080" s="1186" t="s">
        <v>61</v>
      </c>
      <c r="D2080" s="1186" t="s">
        <v>28</v>
      </c>
      <c r="E2080" s="1186">
        <v>57</v>
      </c>
      <c r="F2080" s="1186">
        <v>149670</v>
      </c>
    </row>
    <row r="2081" spans="1:6" x14ac:dyDescent="0.2">
      <c r="A2081" s="1186" t="s">
        <v>144</v>
      </c>
      <c r="B2081" s="1186" t="s">
        <v>309</v>
      </c>
      <c r="C2081" s="1186" t="s">
        <v>61</v>
      </c>
      <c r="D2081" s="1186" t="s">
        <v>29</v>
      </c>
      <c r="E2081" s="1186">
        <v>3</v>
      </c>
      <c r="F2081" s="1186">
        <v>148210</v>
      </c>
    </row>
    <row r="2082" spans="1:6" x14ac:dyDescent="0.2">
      <c r="A2082" s="1186" t="s">
        <v>144</v>
      </c>
      <c r="B2082" s="1186" t="s">
        <v>309</v>
      </c>
      <c r="C2082" s="1186" t="s">
        <v>61</v>
      </c>
      <c r="D2082" s="1186" t="s">
        <v>30</v>
      </c>
      <c r="E2082" s="1186">
        <v>12</v>
      </c>
      <c r="F2082" s="1186">
        <v>122060</v>
      </c>
    </row>
    <row r="2083" spans="1:6" x14ac:dyDescent="0.2">
      <c r="A2083" s="1186" t="s">
        <v>144</v>
      </c>
      <c r="B2083" s="1186" t="s">
        <v>309</v>
      </c>
      <c r="C2083" s="1186" t="s">
        <v>61</v>
      </c>
      <c r="D2083" s="1186" t="s">
        <v>31</v>
      </c>
      <c r="E2083" s="1186">
        <v>1</v>
      </c>
      <c r="F2083" s="1186">
        <v>106960</v>
      </c>
    </row>
    <row r="2084" spans="1:6" x14ac:dyDescent="0.2">
      <c r="A2084" s="1186" t="s">
        <v>144</v>
      </c>
      <c r="B2084" s="1186" t="s">
        <v>309</v>
      </c>
      <c r="C2084" s="1186" t="s">
        <v>61</v>
      </c>
      <c r="D2084" s="1186" t="s">
        <v>32</v>
      </c>
      <c r="E2084" s="1186">
        <v>27</v>
      </c>
      <c r="F2084" s="1186">
        <v>103050</v>
      </c>
    </row>
    <row r="2085" spans="1:6" x14ac:dyDescent="0.2">
      <c r="A2085" s="1186" t="s">
        <v>144</v>
      </c>
      <c r="B2085" s="1186" t="s">
        <v>309</v>
      </c>
      <c r="C2085" s="1186" t="s">
        <v>61</v>
      </c>
      <c r="D2085" s="1186" t="s">
        <v>33</v>
      </c>
      <c r="E2085" s="1186">
        <v>3</v>
      </c>
      <c r="F2085" s="1186">
        <v>92940</v>
      </c>
    </row>
    <row r="2086" spans="1:6" x14ac:dyDescent="0.2">
      <c r="A2086" s="1186" t="s">
        <v>144</v>
      </c>
      <c r="B2086" s="1186" t="s">
        <v>309</v>
      </c>
      <c r="C2086" s="1186" t="s">
        <v>61</v>
      </c>
      <c r="D2086" s="1186" t="s">
        <v>34</v>
      </c>
      <c r="E2086" s="1186">
        <v>5</v>
      </c>
      <c r="F2086" s="1186">
        <v>158460</v>
      </c>
    </row>
    <row r="2087" spans="1:6" x14ac:dyDescent="0.2">
      <c r="A2087" s="1186" t="s">
        <v>144</v>
      </c>
      <c r="B2087" s="1186" t="s">
        <v>309</v>
      </c>
      <c r="C2087" s="1186" t="s">
        <v>61</v>
      </c>
      <c r="D2087" s="1186" t="s">
        <v>35</v>
      </c>
      <c r="E2087" s="1186">
        <v>29</v>
      </c>
      <c r="F2087" s="1186">
        <v>368080</v>
      </c>
    </row>
    <row r="2088" spans="1:6" x14ac:dyDescent="0.2">
      <c r="A2088" s="1186" t="s">
        <v>144</v>
      </c>
      <c r="B2088" s="1186" t="s">
        <v>309</v>
      </c>
      <c r="C2088" s="1186" t="s">
        <v>61</v>
      </c>
      <c r="D2088" s="1186" t="s">
        <v>36</v>
      </c>
      <c r="E2088" s="1186">
        <v>9</v>
      </c>
      <c r="F2088" s="1186">
        <v>606340</v>
      </c>
    </row>
    <row r="2089" spans="1:6" x14ac:dyDescent="0.2">
      <c r="A2089" s="1186" t="s">
        <v>144</v>
      </c>
      <c r="B2089" s="1186" t="s">
        <v>309</v>
      </c>
      <c r="C2089" s="1186" t="s">
        <v>61</v>
      </c>
      <c r="D2089" s="1186" t="s">
        <v>37</v>
      </c>
      <c r="E2089" s="1186">
        <v>241</v>
      </c>
      <c r="F2089" s="1186">
        <v>234110</v>
      </c>
    </row>
    <row r="2090" spans="1:6" x14ac:dyDescent="0.2">
      <c r="A2090" s="1186" t="s">
        <v>144</v>
      </c>
      <c r="B2090" s="1186" t="s">
        <v>309</v>
      </c>
      <c r="C2090" s="1186" t="s">
        <v>61</v>
      </c>
      <c r="D2090" s="1186" t="s">
        <v>38</v>
      </c>
      <c r="E2090" s="1186">
        <v>2</v>
      </c>
      <c r="F2090" s="1186">
        <v>79500</v>
      </c>
    </row>
    <row r="2091" spans="1:6" x14ac:dyDescent="0.2">
      <c r="A2091" s="1186" t="s">
        <v>144</v>
      </c>
      <c r="B2091" s="1186" t="s">
        <v>309</v>
      </c>
      <c r="C2091" s="1186" t="s">
        <v>61</v>
      </c>
      <c r="D2091" s="1186" t="s">
        <v>39</v>
      </c>
      <c r="E2091" s="1186">
        <v>14</v>
      </c>
      <c r="F2091" s="1186">
        <v>87390</v>
      </c>
    </row>
    <row r="2092" spans="1:6" x14ac:dyDescent="0.2">
      <c r="A2092" s="1186" t="s">
        <v>144</v>
      </c>
      <c r="B2092" s="1186" t="s">
        <v>309</v>
      </c>
      <c r="C2092" s="1186" t="s">
        <v>61</v>
      </c>
      <c r="D2092" s="1186" t="s">
        <v>40</v>
      </c>
      <c r="E2092" s="1186">
        <v>29</v>
      </c>
      <c r="F2092" s="1186">
        <v>95510</v>
      </c>
    </row>
    <row r="2093" spans="1:6" x14ac:dyDescent="0.2">
      <c r="A2093" s="1186" t="s">
        <v>144</v>
      </c>
      <c r="B2093" s="1186" t="s">
        <v>309</v>
      </c>
      <c r="C2093" s="1186" t="s">
        <v>61</v>
      </c>
      <c r="D2093" s="1186" t="s">
        <v>295</v>
      </c>
      <c r="E2093" s="1186">
        <v>38</v>
      </c>
      <c r="F2093" s="1186">
        <v>27070</v>
      </c>
    </row>
    <row r="2094" spans="1:6" x14ac:dyDescent="0.2">
      <c r="A2094" s="1186" t="s">
        <v>144</v>
      </c>
      <c r="B2094" s="1186" t="s">
        <v>309</v>
      </c>
      <c r="C2094" s="1186" t="s">
        <v>61</v>
      </c>
      <c r="D2094" s="1186" t="s">
        <v>41</v>
      </c>
      <c r="E2094" s="1186">
        <v>16</v>
      </c>
      <c r="F2094" s="1186">
        <v>136130</v>
      </c>
    </row>
    <row r="2095" spans="1:6" x14ac:dyDescent="0.2">
      <c r="A2095" s="1186" t="s">
        <v>144</v>
      </c>
      <c r="B2095" s="1186" t="s">
        <v>309</v>
      </c>
      <c r="C2095" s="1186" t="s">
        <v>61</v>
      </c>
      <c r="D2095" s="1186" t="s">
        <v>42</v>
      </c>
      <c r="E2095" s="1186">
        <v>4</v>
      </c>
      <c r="F2095" s="1186">
        <v>338260</v>
      </c>
    </row>
    <row r="2096" spans="1:6" x14ac:dyDescent="0.2">
      <c r="A2096" s="1186" t="s">
        <v>144</v>
      </c>
      <c r="B2096" s="1186" t="s">
        <v>309</v>
      </c>
      <c r="C2096" s="1186" t="s">
        <v>61</v>
      </c>
      <c r="D2096" s="1186" t="s">
        <v>43</v>
      </c>
      <c r="E2096" s="1186">
        <v>13</v>
      </c>
      <c r="F2096" s="1186">
        <v>21670</v>
      </c>
    </row>
    <row r="2097" spans="1:6" x14ac:dyDescent="0.2">
      <c r="A2097" s="1186" t="s">
        <v>144</v>
      </c>
      <c r="B2097" s="1186" t="s">
        <v>309</v>
      </c>
      <c r="C2097" s="1186" t="s">
        <v>61</v>
      </c>
      <c r="D2097" s="1186" t="s">
        <v>44</v>
      </c>
      <c r="E2097" s="1186">
        <v>67</v>
      </c>
      <c r="F2097" s="1186">
        <v>149930</v>
      </c>
    </row>
    <row r="2098" spans="1:6" x14ac:dyDescent="0.2">
      <c r="A2098" s="1186" t="s">
        <v>144</v>
      </c>
      <c r="B2098" s="1186" t="s">
        <v>309</v>
      </c>
      <c r="C2098" s="1186" t="s">
        <v>61</v>
      </c>
      <c r="D2098" s="1186" t="s">
        <v>45</v>
      </c>
      <c r="E2098" s="1186">
        <v>4</v>
      </c>
      <c r="F2098" s="1186">
        <v>174560</v>
      </c>
    </row>
    <row r="2099" spans="1:6" x14ac:dyDescent="0.2">
      <c r="A2099" s="1186" t="s">
        <v>144</v>
      </c>
      <c r="B2099" s="1186" t="s">
        <v>309</v>
      </c>
      <c r="C2099" s="1186" t="s">
        <v>61</v>
      </c>
      <c r="D2099" s="1186" t="s">
        <v>46</v>
      </c>
      <c r="E2099" s="1186">
        <v>55</v>
      </c>
      <c r="F2099" s="1186">
        <v>114030</v>
      </c>
    </row>
    <row r="2100" spans="1:6" x14ac:dyDescent="0.2">
      <c r="A2100" s="1186" t="s">
        <v>144</v>
      </c>
      <c r="B2100" s="1186" t="s">
        <v>309</v>
      </c>
      <c r="C2100" s="1186" t="s">
        <v>61</v>
      </c>
      <c r="D2100" s="1186" t="s">
        <v>47</v>
      </c>
      <c r="E2100" s="1186">
        <v>11</v>
      </c>
      <c r="F2100" s="1186">
        <v>23200</v>
      </c>
    </row>
    <row r="2101" spans="1:6" x14ac:dyDescent="0.2">
      <c r="A2101" s="1186" t="s">
        <v>144</v>
      </c>
      <c r="B2101" s="1186" t="s">
        <v>309</v>
      </c>
      <c r="C2101" s="1186" t="s">
        <v>61</v>
      </c>
      <c r="D2101" s="1186" t="s">
        <v>48</v>
      </c>
      <c r="E2101" s="1186">
        <v>16</v>
      </c>
      <c r="F2101" s="1186">
        <v>112400</v>
      </c>
    </row>
    <row r="2102" spans="1:6" x14ac:dyDescent="0.2">
      <c r="A2102" s="1186" t="s">
        <v>144</v>
      </c>
      <c r="B2102" s="1186" t="s">
        <v>309</v>
      </c>
      <c r="C2102" s="1186" t="s">
        <v>61</v>
      </c>
      <c r="D2102" s="1186" t="s">
        <v>49</v>
      </c>
      <c r="E2102" s="1186">
        <v>14</v>
      </c>
      <c r="F2102" s="1186">
        <v>316230</v>
      </c>
    </row>
    <row r="2103" spans="1:6" x14ac:dyDescent="0.2">
      <c r="A2103" s="1186" t="s">
        <v>144</v>
      </c>
      <c r="B2103" s="1186" t="s">
        <v>309</v>
      </c>
      <c r="C2103" s="1186" t="s">
        <v>61</v>
      </c>
      <c r="D2103" s="1186" t="s">
        <v>50</v>
      </c>
      <c r="E2103" s="1186">
        <v>23</v>
      </c>
      <c r="F2103" s="1186">
        <v>92830</v>
      </c>
    </row>
    <row r="2104" spans="1:6" x14ac:dyDescent="0.2">
      <c r="A2104" s="1186" t="s">
        <v>144</v>
      </c>
      <c r="B2104" s="1186" t="s">
        <v>309</v>
      </c>
      <c r="C2104" s="1186" t="s">
        <v>61</v>
      </c>
      <c r="D2104" s="1186" t="s">
        <v>51</v>
      </c>
      <c r="E2104" s="1186">
        <v>1</v>
      </c>
      <c r="F2104" s="1186">
        <v>89590</v>
      </c>
    </row>
    <row r="2105" spans="1:6" x14ac:dyDescent="0.2">
      <c r="A2105" s="1186" t="s">
        <v>144</v>
      </c>
      <c r="B2105" s="1186" t="s">
        <v>309</v>
      </c>
      <c r="C2105" s="1186" t="s">
        <v>61</v>
      </c>
      <c r="D2105" s="1186" t="s">
        <v>52</v>
      </c>
      <c r="E2105" s="1186">
        <v>4</v>
      </c>
      <c r="F2105" s="1186">
        <v>178550</v>
      </c>
    </row>
    <row r="2106" spans="1:6" x14ac:dyDescent="0.2">
      <c r="A2106" s="1186" t="s">
        <v>144</v>
      </c>
      <c r="B2106" s="1186" t="s">
        <v>309</v>
      </c>
      <c r="C2106" s="1186" t="s">
        <v>116</v>
      </c>
      <c r="D2106" s="1186" t="s">
        <v>619</v>
      </c>
      <c r="E2106" s="1186">
        <v>1</v>
      </c>
      <c r="F2106" s="1186">
        <v>498810</v>
      </c>
    </row>
    <row r="2107" spans="1:6" x14ac:dyDescent="0.2">
      <c r="A2107" s="1186" t="s">
        <v>144</v>
      </c>
      <c r="B2107" s="1186" t="s">
        <v>309</v>
      </c>
      <c r="C2107" s="1186" t="s">
        <v>116</v>
      </c>
      <c r="D2107" s="1186" t="s">
        <v>28</v>
      </c>
      <c r="E2107" s="1186">
        <v>1</v>
      </c>
      <c r="F2107" s="1186">
        <v>149670</v>
      </c>
    </row>
    <row r="2108" spans="1:6" x14ac:dyDescent="0.2">
      <c r="A2108" s="1186" t="s">
        <v>144</v>
      </c>
      <c r="B2108" s="1186" t="s">
        <v>309</v>
      </c>
      <c r="C2108" s="1186" t="s">
        <v>116</v>
      </c>
      <c r="D2108" s="1186" t="s">
        <v>30</v>
      </c>
      <c r="E2108" s="1186">
        <v>1</v>
      </c>
      <c r="F2108" s="1186">
        <v>122060</v>
      </c>
    </row>
    <row r="2109" spans="1:6" x14ac:dyDescent="0.2">
      <c r="A2109" s="1186" t="s">
        <v>144</v>
      </c>
      <c r="B2109" s="1186" t="s">
        <v>309</v>
      </c>
      <c r="C2109" s="1186" t="s">
        <v>116</v>
      </c>
      <c r="D2109" s="1186" t="s">
        <v>36</v>
      </c>
      <c r="E2109" s="1186">
        <v>1</v>
      </c>
      <c r="F2109" s="1186">
        <v>606340</v>
      </c>
    </row>
    <row r="2110" spans="1:6" x14ac:dyDescent="0.2">
      <c r="A2110" s="1186" t="s">
        <v>144</v>
      </c>
      <c r="B2110" s="1186" t="s">
        <v>309</v>
      </c>
      <c r="C2110" s="1186" t="s">
        <v>116</v>
      </c>
      <c r="D2110" s="1186" t="s">
        <v>45</v>
      </c>
      <c r="E2110" s="1186">
        <v>1</v>
      </c>
      <c r="F2110" s="1186">
        <v>174560</v>
      </c>
    </row>
    <row r="2111" spans="1:6" x14ac:dyDescent="0.2">
      <c r="A2111" s="1186" t="s">
        <v>144</v>
      </c>
      <c r="B2111" s="1186" t="s">
        <v>823</v>
      </c>
      <c r="C2111" s="1186" t="s">
        <v>61</v>
      </c>
      <c r="D2111" s="1186" t="s">
        <v>23</v>
      </c>
      <c r="E2111" s="1186">
        <v>299</v>
      </c>
      <c r="F2111" s="1186">
        <v>230350</v>
      </c>
    </row>
    <row r="2112" spans="1:6" x14ac:dyDescent="0.2">
      <c r="A2112" s="1186" t="s">
        <v>144</v>
      </c>
      <c r="B2112" s="1186" t="s">
        <v>823</v>
      </c>
      <c r="C2112" s="1186" t="s">
        <v>61</v>
      </c>
      <c r="D2112" s="1186" t="s">
        <v>24</v>
      </c>
      <c r="E2112" s="1186">
        <v>180</v>
      </c>
      <c r="F2112" s="1186">
        <v>261960</v>
      </c>
    </row>
    <row r="2113" spans="1:6" x14ac:dyDescent="0.2">
      <c r="A2113" s="1186" t="s">
        <v>144</v>
      </c>
      <c r="B2113" s="1186" t="s">
        <v>823</v>
      </c>
      <c r="C2113" s="1186" t="s">
        <v>61</v>
      </c>
      <c r="D2113" s="1186" t="s">
        <v>25</v>
      </c>
      <c r="E2113" s="1186">
        <v>88</v>
      </c>
      <c r="F2113" s="1186">
        <v>116900</v>
      </c>
    </row>
    <row r="2114" spans="1:6" x14ac:dyDescent="0.2">
      <c r="A2114" s="1186" t="s">
        <v>144</v>
      </c>
      <c r="B2114" s="1186" t="s">
        <v>823</v>
      </c>
      <c r="C2114" s="1186" t="s">
        <v>61</v>
      </c>
      <c r="D2114" s="1186" t="s">
        <v>26</v>
      </c>
      <c r="E2114" s="1186">
        <v>60</v>
      </c>
      <c r="F2114" s="1186">
        <v>86890</v>
      </c>
    </row>
    <row r="2115" spans="1:6" x14ac:dyDescent="0.2">
      <c r="A2115" s="1186" t="s">
        <v>144</v>
      </c>
      <c r="B2115" s="1186" t="s">
        <v>823</v>
      </c>
      <c r="C2115" s="1186" t="s">
        <v>61</v>
      </c>
      <c r="D2115" s="1186" t="s">
        <v>619</v>
      </c>
      <c r="E2115" s="1186">
        <v>545</v>
      </c>
      <c r="F2115" s="1186">
        <v>498810</v>
      </c>
    </row>
    <row r="2116" spans="1:6" x14ac:dyDescent="0.2">
      <c r="A2116" s="1186" t="s">
        <v>144</v>
      </c>
      <c r="B2116" s="1186" t="s">
        <v>823</v>
      </c>
      <c r="C2116" s="1186" t="s">
        <v>61</v>
      </c>
      <c r="D2116" s="1186" t="s">
        <v>27</v>
      </c>
      <c r="E2116" s="1186">
        <v>71</v>
      </c>
      <c r="F2116" s="1186">
        <v>51360</v>
      </c>
    </row>
    <row r="2117" spans="1:6" x14ac:dyDescent="0.2">
      <c r="A2117" s="1186" t="s">
        <v>144</v>
      </c>
      <c r="B2117" s="1186" t="s">
        <v>823</v>
      </c>
      <c r="C2117" s="1186" t="s">
        <v>61</v>
      </c>
      <c r="D2117" s="1186" t="s">
        <v>28</v>
      </c>
      <c r="E2117" s="1186">
        <v>82</v>
      </c>
      <c r="F2117" s="1186">
        <v>149670</v>
      </c>
    </row>
    <row r="2118" spans="1:6" x14ac:dyDescent="0.2">
      <c r="A2118" s="1186" t="s">
        <v>144</v>
      </c>
      <c r="B2118" s="1186" t="s">
        <v>823</v>
      </c>
      <c r="C2118" s="1186" t="s">
        <v>61</v>
      </c>
      <c r="D2118" s="1186" t="s">
        <v>29</v>
      </c>
      <c r="E2118" s="1186">
        <v>227</v>
      </c>
      <c r="F2118" s="1186">
        <v>148210</v>
      </c>
    </row>
    <row r="2119" spans="1:6" x14ac:dyDescent="0.2">
      <c r="A2119" s="1186" t="s">
        <v>144</v>
      </c>
      <c r="B2119" s="1186" t="s">
        <v>823</v>
      </c>
      <c r="C2119" s="1186" t="s">
        <v>61</v>
      </c>
      <c r="D2119" s="1186" t="s">
        <v>30</v>
      </c>
      <c r="E2119" s="1186">
        <v>92</v>
      </c>
      <c r="F2119" s="1186">
        <v>122060</v>
      </c>
    </row>
    <row r="2120" spans="1:6" x14ac:dyDescent="0.2">
      <c r="A2120" s="1186" t="s">
        <v>144</v>
      </c>
      <c r="B2120" s="1186" t="s">
        <v>823</v>
      </c>
      <c r="C2120" s="1186" t="s">
        <v>61</v>
      </c>
      <c r="D2120" s="1186" t="s">
        <v>31</v>
      </c>
      <c r="E2120" s="1186">
        <v>71</v>
      </c>
      <c r="F2120" s="1186">
        <v>106960</v>
      </c>
    </row>
    <row r="2121" spans="1:6" x14ac:dyDescent="0.2">
      <c r="A2121" s="1186" t="s">
        <v>144</v>
      </c>
      <c r="B2121" s="1186" t="s">
        <v>823</v>
      </c>
      <c r="C2121" s="1186" t="s">
        <v>61</v>
      </c>
      <c r="D2121" s="1186" t="s">
        <v>32</v>
      </c>
      <c r="E2121" s="1186">
        <v>80</v>
      </c>
      <c r="F2121" s="1186">
        <v>103050</v>
      </c>
    </row>
    <row r="2122" spans="1:6" x14ac:dyDescent="0.2">
      <c r="A2122" s="1186" t="s">
        <v>144</v>
      </c>
      <c r="B2122" s="1186" t="s">
        <v>823</v>
      </c>
      <c r="C2122" s="1186" t="s">
        <v>61</v>
      </c>
      <c r="D2122" s="1186" t="s">
        <v>33</v>
      </c>
      <c r="E2122" s="1186">
        <v>63</v>
      </c>
      <c r="F2122" s="1186">
        <v>92940</v>
      </c>
    </row>
    <row r="2123" spans="1:6" x14ac:dyDescent="0.2">
      <c r="A2123" s="1186" t="s">
        <v>144</v>
      </c>
      <c r="B2123" s="1186" t="s">
        <v>823</v>
      </c>
      <c r="C2123" s="1186" t="s">
        <v>61</v>
      </c>
      <c r="D2123" s="1186" t="s">
        <v>34</v>
      </c>
      <c r="E2123" s="1186">
        <v>123</v>
      </c>
      <c r="F2123" s="1186">
        <v>158460</v>
      </c>
    </row>
    <row r="2124" spans="1:6" x14ac:dyDescent="0.2">
      <c r="A2124" s="1186" t="s">
        <v>144</v>
      </c>
      <c r="B2124" s="1186" t="s">
        <v>823</v>
      </c>
      <c r="C2124" s="1186" t="s">
        <v>61</v>
      </c>
      <c r="D2124" s="1186" t="s">
        <v>35</v>
      </c>
      <c r="E2124" s="1186">
        <v>254</v>
      </c>
      <c r="F2124" s="1186">
        <v>368080</v>
      </c>
    </row>
    <row r="2125" spans="1:6" x14ac:dyDescent="0.2">
      <c r="A2125" s="1186" t="s">
        <v>144</v>
      </c>
      <c r="B2125" s="1186" t="s">
        <v>823</v>
      </c>
      <c r="C2125" s="1186" t="s">
        <v>61</v>
      </c>
      <c r="D2125" s="1186" t="s">
        <v>36</v>
      </c>
      <c r="E2125" s="1186">
        <v>833</v>
      </c>
      <c r="F2125" s="1186">
        <v>606340</v>
      </c>
    </row>
    <row r="2126" spans="1:6" x14ac:dyDescent="0.2">
      <c r="A2126" s="1186" t="s">
        <v>144</v>
      </c>
      <c r="B2126" s="1186" t="s">
        <v>823</v>
      </c>
      <c r="C2126" s="1186" t="s">
        <v>61</v>
      </c>
      <c r="D2126" s="1186" t="s">
        <v>37</v>
      </c>
      <c r="E2126" s="1186">
        <v>120</v>
      </c>
      <c r="F2126" s="1186">
        <v>234110</v>
      </c>
    </row>
    <row r="2127" spans="1:6" x14ac:dyDescent="0.2">
      <c r="A2127" s="1186" t="s">
        <v>144</v>
      </c>
      <c r="B2127" s="1186" t="s">
        <v>823</v>
      </c>
      <c r="C2127" s="1186" t="s">
        <v>61</v>
      </c>
      <c r="D2127" s="1186" t="s">
        <v>38</v>
      </c>
      <c r="E2127" s="1186">
        <v>111</v>
      </c>
      <c r="F2127" s="1186">
        <v>79500</v>
      </c>
    </row>
    <row r="2128" spans="1:6" x14ac:dyDescent="0.2">
      <c r="A2128" s="1186" t="s">
        <v>144</v>
      </c>
      <c r="B2128" s="1186" t="s">
        <v>823</v>
      </c>
      <c r="C2128" s="1186" t="s">
        <v>61</v>
      </c>
      <c r="D2128" s="1186" t="s">
        <v>39</v>
      </c>
      <c r="E2128" s="1186">
        <v>60</v>
      </c>
      <c r="F2128" s="1186">
        <v>87390</v>
      </c>
    </row>
    <row r="2129" spans="1:6" x14ac:dyDescent="0.2">
      <c r="A2129" s="1186" t="s">
        <v>144</v>
      </c>
      <c r="B2129" s="1186" t="s">
        <v>823</v>
      </c>
      <c r="C2129" s="1186" t="s">
        <v>61</v>
      </c>
      <c r="D2129" s="1186" t="s">
        <v>40</v>
      </c>
      <c r="E2129" s="1186">
        <v>47</v>
      </c>
      <c r="F2129" s="1186">
        <v>95510</v>
      </c>
    </row>
    <row r="2130" spans="1:6" x14ac:dyDescent="0.2">
      <c r="A2130" s="1186" t="s">
        <v>144</v>
      </c>
      <c r="B2130" s="1186" t="s">
        <v>823</v>
      </c>
      <c r="C2130" s="1186" t="s">
        <v>61</v>
      </c>
      <c r="D2130" s="1186" t="s">
        <v>295</v>
      </c>
      <c r="E2130" s="1186">
        <v>20</v>
      </c>
      <c r="F2130" s="1186">
        <v>27070</v>
      </c>
    </row>
    <row r="2131" spans="1:6" x14ac:dyDescent="0.2">
      <c r="A2131" s="1186" t="s">
        <v>144</v>
      </c>
      <c r="B2131" s="1186" t="s">
        <v>823</v>
      </c>
      <c r="C2131" s="1186" t="s">
        <v>61</v>
      </c>
      <c r="D2131" s="1186" t="s">
        <v>41</v>
      </c>
      <c r="E2131" s="1186">
        <v>160</v>
      </c>
      <c r="F2131" s="1186">
        <v>136130</v>
      </c>
    </row>
    <row r="2132" spans="1:6" x14ac:dyDescent="0.2">
      <c r="A2132" s="1186" t="s">
        <v>144</v>
      </c>
      <c r="B2132" s="1186" t="s">
        <v>823</v>
      </c>
      <c r="C2132" s="1186" t="s">
        <v>61</v>
      </c>
      <c r="D2132" s="1186" t="s">
        <v>42</v>
      </c>
      <c r="E2132" s="1186">
        <v>294</v>
      </c>
      <c r="F2132" s="1186">
        <v>338260</v>
      </c>
    </row>
    <row r="2133" spans="1:6" x14ac:dyDescent="0.2">
      <c r="A2133" s="1186" t="s">
        <v>144</v>
      </c>
      <c r="B2133" s="1186" t="s">
        <v>823</v>
      </c>
      <c r="C2133" s="1186" t="s">
        <v>61</v>
      </c>
      <c r="D2133" s="1186" t="s">
        <v>43</v>
      </c>
      <c r="E2133" s="1186">
        <v>11</v>
      </c>
      <c r="F2133" s="1186">
        <v>21670</v>
      </c>
    </row>
    <row r="2134" spans="1:6" x14ac:dyDescent="0.2">
      <c r="A2134" s="1186" t="s">
        <v>144</v>
      </c>
      <c r="B2134" s="1186" t="s">
        <v>823</v>
      </c>
      <c r="C2134" s="1186" t="s">
        <v>61</v>
      </c>
      <c r="D2134" s="1186" t="s">
        <v>44</v>
      </c>
      <c r="E2134" s="1186">
        <v>119</v>
      </c>
      <c r="F2134" s="1186">
        <v>149930</v>
      </c>
    </row>
    <row r="2135" spans="1:6" x14ac:dyDescent="0.2">
      <c r="A2135" s="1186" t="s">
        <v>144</v>
      </c>
      <c r="B2135" s="1186" t="s">
        <v>823</v>
      </c>
      <c r="C2135" s="1186" t="s">
        <v>61</v>
      </c>
      <c r="D2135" s="1186" t="s">
        <v>45</v>
      </c>
      <c r="E2135" s="1186">
        <v>207</v>
      </c>
      <c r="F2135" s="1186">
        <v>174560</v>
      </c>
    </row>
    <row r="2136" spans="1:6" x14ac:dyDescent="0.2">
      <c r="A2136" s="1186" t="s">
        <v>144</v>
      </c>
      <c r="B2136" s="1186" t="s">
        <v>823</v>
      </c>
      <c r="C2136" s="1186" t="s">
        <v>61</v>
      </c>
      <c r="D2136" s="1186" t="s">
        <v>46</v>
      </c>
      <c r="E2136" s="1186">
        <v>104</v>
      </c>
      <c r="F2136" s="1186">
        <v>114030</v>
      </c>
    </row>
    <row r="2137" spans="1:6" x14ac:dyDescent="0.2">
      <c r="A2137" s="1186" t="s">
        <v>144</v>
      </c>
      <c r="B2137" s="1186" t="s">
        <v>823</v>
      </c>
      <c r="C2137" s="1186" t="s">
        <v>61</v>
      </c>
      <c r="D2137" s="1186" t="s">
        <v>47</v>
      </c>
      <c r="E2137" s="1186">
        <v>17</v>
      </c>
      <c r="F2137" s="1186">
        <v>23200</v>
      </c>
    </row>
    <row r="2138" spans="1:6" x14ac:dyDescent="0.2">
      <c r="A2138" s="1186" t="s">
        <v>144</v>
      </c>
      <c r="B2138" s="1186" t="s">
        <v>823</v>
      </c>
      <c r="C2138" s="1186" t="s">
        <v>61</v>
      </c>
      <c r="D2138" s="1186" t="s">
        <v>48</v>
      </c>
      <c r="E2138" s="1186">
        <v>89</v>
      </c>
      <c r="F2138" s="1186">
        <v>112400</v>
      </c>
    </row>
    <row r="2139" spans="1:6" x14ac:dyDescent="0.2">
      <c r="A2139" s="1186" t="s">
        <v>144</v>
      </c>
      <c r="B2139" s="1186" t="s">
        <v>823</v>
      </c>
      <c r="C2139" s="1186" t="s">
        <v>61</v>
      </c>
      <c r="D2139" s="1186" t="s">
        <v>49</v>
      </c>
      <c r="E2139" s="1186">
        <v>259</v>
      </c>
      <c r="F2139" s="1186">
        <v>316230</v>
      </c>
    </row>
    <row r="2140" spans="1:6" x14ac:dyDescent="0.2">
      <c r="A2140" s="1186" t="s">
        <v>144</v>
      </c>
      <c r="B2140" s="1186" t="s">
        <v>823</v>
      </c>
      <c r="C2140" s="1186" t="s">
        <v>61</v>
      </c>
      <c r="D2140" s="1186" t="s">
        <v>50</v>
      </c>
      <c r="E2140" s="1186">
        <v>107</v>
      </c>
      <c r="F2140" s="1186">
        <v>92830</v>
      </c>
    </row>
    <row r="2141" spans="1:6" x14ac:dyDescent="0.2">
      <c r="A2141" s="1186" t="s">
        <v>144</v>
      </c>
      <c r="B2141" s="1186" t="s">
        <v>823</v>
      </c>
      <c r="C2141" s="1186" t="s">
        <v>61</v>
      </c>
      <c r="D2141" s="1186" t="s">
        <v>51</v>
      </c>
      <c r="E2141" s="1186">
        <v>144</v>
      </c>
      <c r="F2141" s="1186">
        <v>89590</v>
      </c>
    </row>
    <row r="2142" spans="1:6" x14ac:dyDescent="0.2">
      <c r="A2142" s="1186" t="s">
        <v>144</v>
      </c>
      <c r="B2142" s="1186" t="s">
        <v>823</v>
      </c>
      <c r="C2142" s="1186" t="s">
        <v>61</v>
      </c>
      <c r="D2142" s="1186" t="s">
        <v>52</v>
      </c>
      <c r="E2142" s="1186">
        <v>131</v>
      </c>
      <c r="F2142" s="1186">
        <v>178550</v>
      </c>
    </row>
    <row r="2143" spans="1:6" x14ac:dyDescent="0.2">
      <c r="A2143" s="1186" t="s">
        <v>144</v>
      </c>
      <c r="B2143" s="1186" t="s">
        <v>823</v>
      </c>
      <c r="C2143" s="1186" t="s">
        <v>116</v>
      </c>
      <c r="D2143" s="1186" t="s">
        <v>23</v>
      </c>
      <c r="E2143" s="1186">
        <v>35</v>
      </c>
      <c r="F2143" s="1186">
        <v>230350</v>
      </c>
    </row>
    <row r="2144" spans="1:6" x14ac:dyDescent="0.2">
      <c r="A2144" s="1186" t="s">
        <v>144</v>
      </c>
      <c r="B2144" s="1186" t="s">
        <v>823</v>
      </c>
      <c r="C2144" s="1186" t="s">
        <v>116</v>
      </c>
      <c r="D2144" s="1186" t="s">
        <v>24</v>
      </c>
      <c r="E2144" s="1186">
        <v>12</v>
      </c>
      <c r="F2144" s="1186">
        <v>261960</v>
      </c>
    </row>
    <row r="2145" spans="1:6" x14ac:dyDescent="0.2">
      <c r="A2145" s="1186" t="s">
        <v>144</v>
      </c>
      <c r="B2145" s="1186" t="s">
        <v>823</v>
      </c>
      <c r="C2145" s="1186" t="s">
        <v>116</v>
      </c>
      <c r="D2145" s="1186" t="s">
        <v>25</v>
      </c>
      <c r="E2145" s="1186">
        <v>7</v>
      </c>
      <c r="F2145" s="1186">
        <v>116900</v>
      </c>
    </row>
    <row r="2146" spans="1:6" x14ac:dyDescent="0.2">
      <c r="A2146" s="1186" t="s">
        <v>144</v>
      </c>
      <c r="B2146" s="1186" t="s">
        <v>823</v>
      </c>
      <c r="C2146" s="1186" t="s">
        <v>116</v>
      </c>
      <c r="D2146" s="1186" t="s">
        <v>26</v>
      </c>
      <c r="E2146" s="1186">
        <v>4</v>
      </c>
      <c r="F2146" s="1186">
        <v>86890</v>
      </c>
    </row>
    <row r="2147" spans="1:6" x14ac:dyDescent="0.2">
      <c r="A2147" s="1186" t="s">
        <v>144</v>
      </c>
      <c r="B2147" s="1186" t="s">
        <v>823</v>
      </c>
      <c r="C2147" s="1186" t="s">
        <v>116</v>
      </c>
      <c r="D2147" s="1186" t="s">
        <v>619</v>
      </c>
      <c r="E2147" s="1186">
        <v>88</v>
      </c>
      <c r="F2147" s="1186">
        <v>498810</v>
      </c>
    </row>
    <row r="2148" spans="1:6" x14ac:dyDescent="0.2">
      <c r="A2148" s="1186" t="s">
        <v>144</v>
      </c>
      <c r="B2148" s="1186" t="s">
        <v>823</v>
      </c>
      <c r="C2148" s="1186" t="s">
        <v>116</v>
      </c>
      <c r="D2148" s="1186" t="s">
        <v>27</v>
      </c>
      <c r="E2148" s="1186">
        <v>4</v>
      </c>
      <c r="F2148" s="1186">
        <v>51360</v>
      </c>
    </row>
    <row r="2149" spans="1:6" x14ac:dyDescent="0.2">
      <c r="A2149" s="1186" t="s">
        <v>144</v>
      </c>
      <c r="B2149" s="1186" t="s">
        <v>823</v>
      </c>
      <c r="C2149" s="1186" t="s">
        <v>116</v>
      </c>
      <c r="D2149" s="1186" t="s">
        <v>28</v>
      </c>
      <c r="E2149" s="1186">
        <v>12</v>
      </c>
      <c r="F2149" s="1186">
        <v>149670</v>
      </c>
    </row>
    <row r="2150" spans="1:6" x14ac:dyDescent="0.2">
      <c r="A2150" s="1186" t="s">
        <v>144</v>
      </c>
      <c r="B2150" s="1186" t="s">
        <v>823</v>
      </c>
      <c r="C2150" s="1186" t="s">
        <v>116</v>
      </c>
      <c r="D2150" s="1186" t="s">
        <v>29</v>
      </c>
      <c r="E2150" s="1186">
        <v>29</v>
      </c>
      <c r="F2150" s="1186">
        <v>148210</v>
      </c>
    </row>
    <row r="2151" spans="1:6" x14ac:dyDescent="0.2">
      <c r="A2151" s="1186" t="s">
        <v>144</v>
      </c>
      <c r="B2151" s="1186" t="s">
        <v>823</v>
      </c>
      <c r="C2151" s="1186" t="s">
        <v>116</v>
      </c>
      <c r="D2151" s="1186" t="s">
        <v>30</v>
      </c>
      <c r="E2151" s="1186">
        <v>12</v>
      </c>
      <c r="F2151" s="1186">
        <v>122060</v>
      </c>
    </row>
    <row r="2152" spans="1:6" x14ac:dyDescent="0.2">
      <c r="A2152" s="1186" t="s">
        <v>144</v>
      </c>
      <c r="B2152" s="1186" t="s">
        <v>823</v>
      </c>
      <c r="C2152" s="1186" t="s">
        <v>116</v>
      </c>
      <c r="D2152" s="1186" t="s">
        <v>31</v>
      </c>
      <c r="E2152" s="1186">
        <v>6</v>
      </c>
      <c r="F2152" s="1186">
        <v>106960</v>
      </c>
    </row>
    <row r="2153" spans="1:6" x14ac:dyDescent="0.2">
      <c r="A2153" s="1186" t="s">
        <v>144</v>
      </c>
      <c r="B2153" s="1186" t="s">
        <v>823</v>
      </c>
      <c r="C2153" s="1186" t="s">
        <v>116</v>
      </c>
      <c r="D2153" s="1186" t="s">
        <v>32</v>
      </c>
      <c r="E2153" s="1186">
        <v>5</v>
      </c>
      <c r="F2153" s="1186">
        <v>103050</v>
      </c>
    </row>
    <row r="2154" spans="1:6" x14ac:dyDescent="0.2">
      <c r="A2154" s="1186" t="s">
        <v>144</v>
      </c>
      <c r="B2154" s="1186" t="s">
        <v>823</v>
      </c>
      <c r="C2154" s="1186" t="s">
        <v>116</v>
      </c>
      <c r="D2154" s="1186" t="s">
        <v>33</v>
      </c>
      <c r="E2154" s="1186">
        <v>8</v>
      </c>
      <c r="F2154" s="1186">
        <v>92940</v>
      </c>
    </row>
    <row r="2155" spans="1:6" x14ac:dyDescent="0.2">
      <c r="A2155" s="1186" t="s">
        <v>144</v>
      </c>
      <c r="B2155" s="1186" t="s">
        <v>823</v>
      </c>
      <c r="C2155" s="1186" t="s">
        <v>116</v>
      </c>
      <c r="D2155" s="1186" t="s">
        <v>34</v>
      </c>
      <c r="E2155" s="1186">
        <v>11</v>
      </c>
      <c r="F2155" s="1186">
        <v>158460</v>
      </c>
    </row>
    <row r="2156" spans="1:6" x14ac:dyDescent="0.2">
      <c r="A2156" s="1186" t="s">
        <v>144</v>
      </c>
      <c r="B2156" s="1186" t="s">
        <v>823</v>
      </c>
      <c r="C2156" s="1186" t="s">
        <v>116</v>
      </c>
      <c r="D2156" s="1186" t="s">
        <v>35</v>
      </c>
      <c r="E2156" s="1186">
        <v>24</v>
      </c>
      <c r="F2156" s="1186">
        <v>368080</v>
      </c>
    </row>
    <row r="2157" spans="1:6" x14ac:dyDescent="0.2">
      <c r="A2157" s="1186" t="s">
        <v>144</v>
      </c>
      <c r="B2157" s="1186" t="s">
        <v>823</v>
      </c>
      <c r="C2157" s="1186" t="s">
        <v>116</v>
      </c>
      <c r="D2157" s="1186" t="s">
        <v>36</v>
      </c>
      <c r="E2157" s="1186">
        <v>127</v>
      </c>
      <c r="F2157" s="1186">
        <v>606340</v>
      </c>
    </row>
    <row r="2158" spans="1:6" x14ac:dyDescent="0.2">
      <c r="A2158" s="1186" t="s">
        <v>144</v>
      </c>
      <c r="B2158" s="1186" t="s">
        <v>823</v>
      </c>
      <c r="C2158" s="1186" t="s">
        <v>116</v>
      </c>
      <c r="D2158" s="1186" t="s">
        <v>37</v>
      </c>
      <c r="E2158" s="1186">
        <v>9</v>
      </c>
      <c r="F2158" s="1186">
        <v>234110</v>
      </c>
    </row>
    <row r="2159" spans="1:6" x14ac:dyDescent="0.2">
      <c r="A2159" s="1186" t="s">
        <v>144</v>
      </c>
      <c r="B2159" s="1186" t="s">
        <v>823</v>
      </c>
      <c r="C2159" s="1186" t="s">
        <v>116</v>
      </c>
      <c r="D2159" s="1186" t="s">
        <v>38</v>
      </c>
      <c r="E2159" s="1186">
        <v>18</v>
      </c>
      <c r="F2159" s="1186">
        <v>79500</v>
      </c>
    </row>
    <row r="2160" spans="1:6" x14ac:dyDescent="0.2">
      <c r="A2160" s="1186" t="s">
        <v>144</v>
      </c>
      <c r="B2160" s="1186" t="s">
        <v>823</v>
      </c>
      <c r="C2160" s="1186" t="s">
        <v>116</v>
      </c>
      <c r="D2160" s="1186" t="s">
        <v>39</v>
      </c>
      <c r="E2160" s="1186">
        <v>9</v>
      </c>
      <c r="F2160" s="1186">
        <v>87390</v>
      </c>
    </row>
    <row r="2161" spans="1:6" x14ac:dyDescent="0.2">
      <c r="A2161" s="1186" t="s">
        <v>144</v>
      </c>
      <c r="B2161" s="1186" t="s">
        <v>823</v>
      </c>
      <c r="C2161" s="1186" t="s">
        <v>116</v>
      </c>
      <c r="D2161" s="1186" t="s">
        <v>40</v>
      </c>
      <c r="E2161" s="1186">
        <v>3</v>
      </c>
      <c r="F2161" s="1186">
        <v>95510</v>
      </c>
    </row>
    <row r="2162" spans="1:6" x14ac:dyDescent="0.2">
      <c r="A2162" s="1186" t="s">
        <v>144</v>
      </c>
      <c r="B2162" s="1186" t="s">
        <v>823</v>
      </c>
      <c r="C2162" s="1186" t="s">
        <v>116</v>
      </c>
      <c r="D2162" s="1186" t="s">
        <v>41</v>
      </c>
      <c r="E2162" s="1186">
        <v>16</v>
      </c>
      <c r="F2162" s="1186">
        <v>136130</v>
      </c>
    </row>
    <row r="2163" spans="1:6" x14ac:dyDescent="0.2">
      <c r="A2163" s="1186" t="s">
        <v>144</v>
      </c>
      <c r="B2163" s="1186" t="s">
        <v>823</v>
      </c>
      <c r="C2163" s="1186" t="s">
        <v>116</v>
      </c>
      <c r="D2163" s="1186" t="s">
        <v>42</v>
      </c>
      <c r="E2163" s="1186">
        <v>42</v>
      </c>
      <c r="F2163" s="1186">
        <v>338260</v>
      </c>
    </row>
    <row r="2164" spans="1:6" x14ac:dyDescent="0.2">
      <c r="A2164" s="1186" t="s">
        <v>144</v>
      </c>
      <c r="B2164" s="1186" t="s">
        <v>823</v>
      </c>
      <c r="C2164" s="1186" t="s">
        <v>116</v>
      </c>
      <c r="D2164" s="1186" t="s">
        <v>44</v>
      </c>
      <c r="E2164" s="1186">
        <v>3</v>
      </c>
      <c r="F2164" s="1186">
        <v>149930</v>
      </c>
    </row>
    <row r="2165" spans="1:6" x14ac:dyDescent="0.2">
      <c r="A2165" s="1186" t="s">
        <v>144</v>
      </c>
      <c r="B2165" s="1186" t="s">
        <v>823</v>
      </c>
      <c r="C2165" s="1186" t="s">
        <v>116</v>
      </c>
      <c r="D2165" s="1186" t="s">
        <v>45</v>
      </c>
      <c r="E2165" s="1186">
        <v>35</v>
      </c>
      <c r="F2165" s="1186">
        <v>174560</v>
      </c>
    </row>
    <row r="2166" spans="1:6" x14ac:dyDescent="0.2">
      <c r="A2166" s="1186" t="s">
        <v>144</v>
      </c>
      <c r="B2166" s="1186" t="s">
        <v>823</v>
      </c>
      <c r="C2166" s="1186" t="s">
        <v>116</v>
      </c>
      <c r="D2166" s="1186" t="s">
        <v>46</v>
      </c>
      <c r="E2166" s="1186">
        <v>5</v>
      </c>
      <c r="F2166" s="1186">
        <v>114030</v>
      </c>
    </row>
    <row r="2167" spans="1:6" x14ac:dyDescent="0.2">
      <c r="A2167" s="1186" t="s">
        <v>144</v>
      </c>
      <c r="B2167" s="1186" t="s">
        <v>823</v>
      </c>
      <c r="C2167" s="1186" t="s">
        <v>116</v>
      </c>
      <c r="D2167" s="1186" t="s">
        <v>47</v>
      </c>
      <c r="E2167" s="1186">
        <v>2</v>
      </c>
      <c r="F2167" s="1186">
        <v>23200</v>
      </c>
    </row>
    <row r="2168" spans="1:6" x14ac:dyDescent="0.2">
      <c r="A2168" s="1186" t="s">
        <v>144</v>
      </c>
      <c r="B2168" s="1186" t="s">
        <v>823</v>
      </c>
      <c r="C2168" s="1186" t="s">
        <v>116</v>
      </c>
      <c r="D2168" s="1186" t="s">
        <v>48</v>
      </c>
      <c r="E2168" s="1186">
        <v>12</v>
      </c>
      <c r="F2168" s="1186">
        <v>112400</v>
      </c>
    </row>
    <row r="2169" spans="1:6" x14ac:dyDescent="0.2">
      <c r="A2169" s="1186" t="s">
        <v>144</v>
      </c>
      <c r="B2169" s="1186" t="s">
        <v>823</v>
      </c>
      <c r="C2169" s="1186" t="s">
        <v>116</v>
      </c>
      <c r="D2169" s="1186" t="s">
        <v>49</v>
      </c>
      <c r="E2169" s="1186">
        <v>35</v>
      </c>
      <c r="F2169" s="1186">
        <v>316230</v>
      </c>
    </row>
    <row r="2170" spans="1:6" x14ac:dyDescent="0.2">
      <c r="A2170" s="1186" t="s">
        <v>144</v>
      </c>
      <c r="B2170" s="1186" t="s">
        <v>823</v>
      </c>
      <c r="C2170" s="1186" t="s">
        <v>116</v>
      </c>
      <c r="D2170" s="1186" t="s">
        <v>50</v>
      </c>
      <c r="E2170" s="1186">
        <v>1</v>
      </c>
      <c r="F2170" s="1186">
        <v>92830</v>
      </c>
    </row>
    <row r="2171" spans="1:6" x14ac:dyDescent="0.2">
      <c r="A2171" s="1186" t="s">
        <v>144</v>
      </c>
      <c r="B2171" s="1186" t="s">
        <v>823</v>
      </c>
      <c r="C2171" s="1186" t="s">
        <v>116</v>
      </c>
      <c r="D2171" s="1186" t="s">
        <v>51</v>
      </c>
      <c r="E2171" s="1186">
        <v>12</v>
      </c>
      <c r="F2171" s="1186">
        <v>89590</v>
      </c>
    </row>
    <row r="2172" spans="1:6" x14ac:dyDescent="0.2">
      <c r="A2172" s="1186" t="s">
        <v>144</v>
      </c>
      <c r="B2172" s="1186" t="s">
        <v>823</v>
      </c>
      <c r="C2172" s="1186" t="s">
        <v>116</v>
      </c>
      <c r="D2172" s="1186" t="s">
        <v>52</v>
      </c>
      <c r="E2172" s="1186">
        <v>19</v>
      </c>
      <c r="F2172" s="1186">
        <v>178550</v>
      </c>
    </row>
    <row r="2173" spans="1:6" x14ac:dyDescent="0.2">
      <c r="A2173" s="1186" t="s">
        <v>144</v>
      </c>
      <c r="B2173" s="1186" t="s">
        <v>824</v>
      </c>
      <c r="C2173" s="1186" t="s">
        <v>61</v>
      </c>
      <c r="D2173" s="1186" t="s">
        <v>23</v>
      </c>
      <c r="E2173" s="1186">
        <v>104</v>
      </c>
      <c r="F2173" s="1186">
        <v>230350</v>
      </c>
    </row>
    <row r="2174" spans="1:6" x14ac:dyDescent="0.2">
      <c r="A2174" s="1186" t="s">
        <v>144</v>
      </c>
      <c r="B2174" s="1186" t="s">
        <v>824</v>
      </c>
      <c r="C2174" s="1186" t="s">
        <v>61</v>
      </c>
      <c r="D2174" s="1186" t="s">
        <v>24</v>
      </c>
      <c r="E2174" s="1186">
        <v>68</v>
      </c>
      <c r="F2174" s="1186">
        <v>261960</v>
      </c>
    </row>
    <row r="2175" spans="1:6" x14ac:dyDescent="0.2">
      <c r="A2175" s="1186" t="s">
        <v>144</v>
      </c>
      <c r="B2175" s="1186" t="s">
        <v>824</v>
      </c>
      <c r="C2175" s="1186" t="s">
        <v>61</v>
      </c>
      <c r="D2175" s="1186" t="s">
        <v>25</v>
      </c>
      <c r="E2175" s="1186">
        <v>34</v>
      </c>
      <c r="F2175" s="1186">
        <v>116900</v>
      </c>
    </row>
    <row r="2176" spans="1:6" x14ac:dyDescent="0.2">
      <c r="A2176" s="1186" t="s">
        <v>144</v>
      </c>
      <c r="B2176" s="1186" t="s">
        <v>824</v>
      </c>
      <c r="C2176" s="1186" t="s">
        <v>61</v>
      </c>
      <c r="D2176" s="1186" t="s">
        <v>26</v>
      </c>
      <c r="E2176" s="1186">
        <v>37</v>
      </c>
      <c r="F2176" s="1186">
        <v>86890</v>
      </c>
    </row>
    <row r="2177" spans="1:6" x14ac:dyDescent="0.2">
      <c r="A2177" s="1186" t="s">
        <v>144</v>
      </c>
      <c r="B2177" s="1186" t="s">
        <v>824</v>
      </c>
      <c r="C2177" s="1186" t="s">
        <v>61</v>
      </c>
      <c r="D2177" s="1186" t="s">
        <v>619</v>
      </c>
      <c r="E2177" s="1186">
        <v>224</v>
      </c>
      <c r="F2177" s="1186">
        <v>498810</v>
      </c>
    </row>
    <row r="2178" spans="1:6" x14ac:dyDescent="0.2">
      <c r="A2178" s="1186" t="s">
        <v>144</v>
      </c>
      <c r="B2178" s="1186" t="s">
        <v>824</v>
      </c>
      <c r="C2178" s="1186" t="s">
        <v>61</v>
      </c>
      <c r="D2178" s="1186" t="s">
        <v>27</v>
      </c>
      <c r="E2178" s="1186">
        <v>19</v>
      </c>
      <c r="F2178" s="1186">
        <v>51360</v>
      </c>
    </row>
    <row r="2179" spans="1:6" x14ac:dyDescent="0.2">
      <c r="A2179" s="1186" t="s">
        <v>144</v>
      </c>
      <c r="B2179" s="1186" t="s">
        <v>824</v>
      </c>
      <c r="C2179" s="1186" t="s">
        <v>61</v>
      </c>
      <c r="D2179" s="1186" t="s">
        <v>28</v>
      </c>
      <c r="E2179" s="1186">
        <v>36</v>
      </c>
      <c r="F2179" s="1186">
        <v>149670</v>
      </c>
    </row>
    <row r="2180" spans="1:6" x14ac:dyDescent="0.2">
      <c r="A2180" s="1186" t="s">
        <v>144</v>
      </c>
      <c r="B2180" s="1186" t="s">
        <v>824</v>
      </c>
      <c r="C2180" s="1186" t="s">
        <v>61</v>
      </c>
      <c r="D2180" s="1186" t="s">
        <v>29</v>
      </c>
      <c r="E2180" s="1186">
        <v>62</v>
      </c>
      <c r="F2180" s="1186">
        <v>148210</v>
      </c>
    </row>
    <row r="2181" spans="1:6" x14ac:dyDescent="0.2">
      <c r="A2181" s="1186" t="s">
        <v>144</v>
      </c>
      <c r="B2181" s="1186" t="s">
        <v>824</v>
      </c>
      <c r="C2181" s="1186" t="s">
        <v>61</v>
      </c>
      <c r="D2181" s="1186" t="s">
        <v>30</v>
      </c>
      <c r="E2181" s="1186">
        <v>31</v>
      </c>
      <c r="F2181" s="1186">
        <v>122060</v>
      </c>
    </row>
    <row r="2182" spans="1:6" x14ac:dyDescent="0.2">
      <c r="A2182" s="1186" t="s">
        <v>144</v>
      </c>
      <c r="B2182" s="1186" t="s">
        <v>824</v>
      </c>
      <c r="C2182" s="1186" t="s">
        <v>61</v>
      </c>
      <c r="D2182" s="1186" t="s">
        <v>31</v>
      </c>
      <c r="E2182" s="1186">
        <v>17</v>
      </c>
      <c r="F2182" s="1186">
        <v>106960</v>
      </c>
    </row>
    <row r="2183" spans="1:6" x14ac:dyDescent="0.2">
      <c r="A2183" s="1186" t="s">
        <v>144</v>
      </c>
      <c r="B2183" s="1186" t="s">
        <v>824</v>
      </c>
      <c r="C2183" s="1186" t="s">
        <v>61</v>
      </c>
      <c r="D2183" s="1186" t="s">
        <v>32</v>
      </c>
      <c r="E2183" s="1186">
        <v>25</v>
      </c>
      <c r="F2183" s="1186">
        <v>103050</v>
      </c>
    </row>
    <row r="2184" spans="1:6" x14ac:dyDescent="0.2">
      <c r="A2184" s="1186" t="s">
        <v>144</v>
      </c>
      <c r="B2184" s="1186" t="s">
        <v>824</v>
      </c>
      <c r="C2184" s="1186" t="s">
        <v>61</v>
      </c>
      <c r="D2184" s="1186" t="s">
        <v>33</v>
      </c>
      <c r="E2184" s="1186">
        <v>19</v>
      </c>
      <c r="F2184" s="1186">
        <v>92940</v>
      </c>
    </row>
    <row r="2185" spans="1:6" x14ac:dyDescent="0.2">
      <c r="A2185" s="1186" t="s">
        <v>144</v>
      </c>
      <c r="B2185" s="1186" t="s">
        <v>824</v>
      </c>
      <c r="C2185" s="1186" t="s">
        <v>61</v>
      </c>
      <c r="D2185" s="1186" t="s">
        <v>34</v>
      </c>
      <c r="E2185" s="1186">
        <v>47</v>
      </c>
      <c r="F2185" s="1186">
        <v>158460</v>
      </c>
    </row>
    <row r="2186" spans="1:6" x14ac:dyDescent="0.2">
      <c r="A2186" s="1186" t="s">
        <v>144</v>
      </c>
      <c r="B2186" s="1186" t="s">
        <v>824</v>
      </c>
      <c r="C2186" s="1186" t="s">
        <v>61</v>
      </c>
      <c r="D2186" s="1186" t="s">
        <v>35</v>
      </c>
      <c r="E2186" s="1186">
        <v>99</v>
      </c>
      <c r="F2186" s="1186">
        <v>368080</v>
      </c>
    </row>
    <row r="2187" spans="1:6" x14ac:dyDescent="0.2">
      <c r="A2187" s="1186" t="s">
        <v>144</v>
      </c>
      <c r="B2187" s="1186" t="s">
        <v>824</v>
      </c>
      <c r="C2187" s="1186" t="s">
        <v>61</v>
      </c>
      <c r="D2187" s="1186" t="s">
        <v>36</v>
      </c>
      <c r="E2187" s="1186">
        <v>307</v>
      </c>
      <c r="F2187" s="1186">
        <v>606340</v>
      </c>
    </row>
    <row r="2188" spans="1:6" x14ac:dyDescent="0.2">
      <c r="A2188" s="1186" t="s">
        <v>144</v>
      </c>
      <c r="B2188" s="1186" t="s">
        <v>824</v>
      </c>
      <c r="C2188" s="1186" t="s">
        <v>61</v>
      </c>
      <c r="D2188" s="1186" t="s">
        <v>37</v>
      </c>
      <c r="E2188" s="1186">
        <v>92</v>
      </c>
      <c r="F2188" s="1186">
        <v>234110</v>
      </c>
    </row>
    <row r="2189" spans="1:6" x14ac:dyDescent="0.2">
      <c r="A2189" s="1186" t="s">
        <v>144</v>
      </c>
      <c r="B2189" s="1186" t="s">
        <v>824</v>
      </c>
      <c r="C2189" s="1186" t="s">
        <v>61</v>
      </c>
      <c r="D2189" s="1186" t="s">
        <v>38</v>
      </c>
      <c r="E2189" s="1186">
        <v>24</v>
      </c>
      <c r="F2189" s="1186">
        <v>79500</v>
      </c>
    </row>
    <row r="2190" spans="1:6" x14ac:dyDescent="0.2">
      <c r="A2190" s="1186" t="s">
        <v>144</v>
      </c>
      <c r="B2190" s="1186" t="s">
        <v>824</v>
      </c>
      <c r="C2190" s="1186" t="s">
        <v>61</v>
      </c>
      <c r="D2190" s="1186" t="s">
        <v>39</v>
      </c>
      <c r="E2190" s="1186">
        <v>22</v>
      </c>
      <c r="F2190" s="1186">
        <v>87390</v>
      </c>
    </row>
    <row r="2191" spans="1:6" x14ac:dyDescent="0.2">
      <c r="A2191" s="1186" t="s">
        <v>144</v>
      </c>
      <c r="B2191" s="1186" t="s">
        <v>824</v>
      </c>
      <c r="C2191" s="1186" t="s">
        <v>61</v>
      </c>
      <c r="D2191" s="1186" t="s">
        <v>40</v>
      </c>
      <c r="E2191" s="1186">
        <v>29</v>
      </c>
      <c r="F2191" s="1186">
        <v>95510</v>
      </c>
    </row>
    <row r="2192" spans="1:6" x14ac:dyDescent="0.2">
      <c r="A2192" s="1186" t="s">
        <v>144</v>
      </c>
      <c r="B2192" s="1186" t="s">
        <v>824</v>
      </c>
      <c r="C2192" s="1186" t="s">
        <v>61</v>
      </c>
      <c r="D2192" s="1186" t="s">
        <v>295</v>
      </c>
      <c r="E2192" s="1186">
        <v>7</v>
      </c>
      <c r="F2192" s="1186">
        <v>27070</v>
      </c>
    </row>
    <row r="2193" spans="1:6" x14ac:dyDescent="0.2">
      <c r="A2193" s="1186" t="s">
        <v>144</v>
      </c>
      <c r="B2193" s="1186" t="s">
        <v>824</v>
      </c>
      <c r="C2193" s="1186" t="s">
        <v>61</v>
      </c>
      <c r="D2193" s="1186" t="s">
        <v>41</v>
      </c>
      <c r="E2193" s="1186">
        <v>43</v>
      </c>
      <c r="F2193" s="1186">
        <v>136130</v>
      </c>
    </row>
    <row r="2194" spans="1:6" x14ac:dyDescent="0.2">
      <c r="A2194" s="1186" t="s">
        <v>144</v>
      </c>
      <c r="B2194" s="1186" t="s">
        <v>824</v>
      </c>
      <c r="C2194" s="1186" t="s">
        <v>61</v>
      </c>
      <c r="D2194" s="1186" t="s">
        <v>42</v>
      </c>
      <c r="E2194" s="1186">
        <v>78</v>
      </c>
      <c r="F2194" s="1186">
        <v>338260</v>
      </c>
    </row>
    <row r="2195" spans="1:6" x14ac:dyDescent="0.2">
      <c r="A2195" s="1186" t="s">
        <v>144</v>
      </c>
      <c r="B2195" s="1186" t="s">
        <v>824</v>
      </c>
      <c r="C2195" s="1186" t="s">
        <v>61</v>
      </c>
      <c r="D2195" s="1186" t="s">
        <v>43</v>
      </c>
      <c r="E2195" s="1186">
        <v>9</v>
      </c>
      <c r="F2195" s="1186">
        <v>21670</v>
      </c>
    </row>
    <row r="2196" spans="1:6" x14ac:dyDescent="0.2">
      <c r="A2196" s="1186" t="s">
        <v>144</v>
      </c>
      <c r="B2196" s="1186" t="s">
        <v>824</v>
      </c>
      <c r="C2196" s="1186" t="s">
        <v>61</v>
      </c>
      <c r="D2196" s="1186" t="s">
        <v>44</v>
      </c>
      <c r="E2196" s="1186">
        <v>58</v>
      </c>
      <c r="F2196" s="1186">
        <v>149930</v>
      </c>
    </row>
    <row r="2197" spans="1:6" x14ac:dyDescent="0.2">
      <c r="A2197" s="1186" t="s">
        <v>144</v>
      </c>
      <c r="B2197" s="1186" t="s">
        <v>824</v>
      </c>
      <c r="C2197" s="1186" t="s">
        <v>61</v>
      </c>
      <c r="D2197" s="1186" t="s">
        <v>45</v>
      </c>
      <c r="E2197" s="1186">
        <v>65</v>
      </c>
      <c r="F2197" s="1186">
        <v>174560</v>
      </c>
    </row>
    <row r="2198" spans="1:6" x14ac:dyDescent="0.2">
      <c r="A2198" s="1186" t="s">
        <v>144</v>
      </c>
      <c r="B2198" s="1186" t="s">
        <v>824</v>
      </c>
      <c r="C2198" s="1186" t="s">
        <v>61</v>
      </c>
      <c r="D2198" s="1186" t="s">
        <v>46</v>
      </c>
      <c r="E2198" s="1186">
        <v>39</v>
      </c>
      <c r="F2198" s="1186">
        <v>114030</v>
      </c>
    </row>
    <row r="2199" spans="1:6" x14ac:dyDescent="0.2">
      <c r="A2199" s="1186" t="s">
        <v>144</v>
      </c>
      <c r="B2199" s="1186" t="s">
        <v>824</v>
      </c>
      <c r="C2199" s="1186" t="s">
        <v>61</v>
      </c>
      <c r="D2199" s="1186" t="s">
        <v>47</v>
      </c>
      <c r="E2199" s="1186">
        <v>3</v>
      </c>
      <c r="F2199" s="1186">
        <v>23200</v>
      </c>
    </row>
    <row r="2200" spans="1:6" x14ac:dyDescent="0.2">
      <c r="A2200" s="1186" t="s">
        <v>144</v>
      </c>
      <c r="B2200" s="1186" t="s">
        <v>824</v>
      </c>
      <c r="C2200" s="1186" t="s">
        <v>61</v>
      </c>
      <c r="D2200" s="1186" t="s">
        <v>48</v>
      </c>
      <c r="E2200" s="1186">
        <v>42</v>
      </c>
      <c r="F2200" s="1186">
        <v>112400</v>
      </c>
    </row>
    <row r="2201" spans="1:6" x14ac:dyDescent="0.2">
      <c r="A2201" s="1186" t="s">
        <v>144</v>
      </c>
      <c r="B2201" s="1186" t="s">
        <v>824</v>
      </c>
      <c r="C2201" s="1186" t="s">
        <v>61</v>
      </c>
      <c r="D2201" s="1186" t="s">
        <v>49</v>
      </c>
      <c r="E2201" s="1186">
        <v>76</v>
      </c>
      <c r="F2201" s="1186">
        <v>316230</v>
      </c>
    </row>
    <row r="2202" spans="1:6" x14ac:dyDescent="0.2">
      <c r="A2202" s="1186" t="s">
        <v>144</v>
      </c>
      <c r="B2202" s="1186" t="s">
        <v>824</v>
      </c>
      <c r="C2202" s="1186" t="s">
        <v>61</v>
      </c>
      <c r="D2202" s="1186" t="s">
        <v>50</v>
      </c>
      <c r="E2202" s="1186">
        <v>36</v>
      </c>
      <c r="F2202" s="1186">
        <v>92830</v>
      </c>
    </row>
    <row r="2203" spans="1:6" x14ac:dyDescent="0.2">
      <c r="A2203" s="1186" t="s">
        <v>144</v>
      </c>
      <c r="B2203" s="1186" t="s">
        <v>824</v>
      </c>
      <c r="C2203" s="1186" t="s">
        <v>61</v>
      </c>
      <c r="D2203" s="1186" t="s">
        <v>51</v>
      </c>
      <c r="E2203" s="1186">
        <v>44</v>
      </c>
      <c r="F2203" s="1186">
        <v>89590</v>
      </c>
    </row>
    <row r="2204" spans="1:6" x14ac:dyDescent="0.2">
      <c r="A2204" s="1186" t="s">
        <v>144</v>
      </c>
      <c r="B2204" s="1186" t="s">
        <v>824</v>
      </c>
      <c r="C2204" s="1186" t="s">
        <v>61</v>
      </c>
      <c r="D2204" s="1186" t="s">
        <v>52</v>
      </c>
      <c r="E2204" s="1186">
        <v>54</v>
      </c>
      <c r="F2204" s="1186">
        <v>178550</v>
      </c>
    </row>
    <row r="2205" spans="1:6" x14ac:dyDescent="0.2">
      <c r="A2205" s="1186" t="s">
        <v>144</v>
      </c>
      <c r="B2205" s="1186" t="s">
        <v>824</v>
      </c>
      <c r="C2205" s="1186" t="s">
        <v>116</v>
      </c>
      <c r="D2205" s="1186" t="s">
        <v>23</v>
      </c>
      <c r="E2205" s="1186">
        <v>17</v>
      </c>
      <c r="F2205" s="1186">
        <v>230350</v>
      </c>
    </row>
    <row r="2206" spans="1:6" x14ac:dyDescent="0.2">
      <c r="A2206" s="1186" t="s">
        <v>144</v>
      </c>
      <c r="B2206" s="1186" t="s">
        <v>824</v>
      </c>
      <c r="C2206" s="1186" t="s">
        <v>116</v>
      </c>
      <c r="D2206" s="1186" t="s">
        <v>24</v>
      </c>
      <c r="E2206" s="1186">
        <v>15</v>
      </c>
      <c r="F2206" s="1186">
        <v>261960</v>
      </c>
    </row>
    <row r="2207" spans="1:6" x14ac:dyDescent="0.2">
      <c r="A2207" s="1186" t="s">
        <v>144</v>
      </c>
      <c r="B2207" s="1186" t="s">
        <v>824</v>
      </c>
      <c r="C2207" s="1186" t="s">
        <v>116</v>
      </c>
      <c r="D2207" s="1186" t="s">
        <v>25</v>
      </c>
      <c r="E2207" s="1186">
        <v>8</v>
      </c>
      <c r="F2207" s="1186">
        <v>116900</v>
      </c>
    </row>
    <row r="2208" spans="1:6" x14ac:dyDescent="0.2">
      <c r="A2208" s="1186" t="s">
        <v>144</v>
      </c>
      <c r="B2208" s="1186" t="s">
        <v>824</v>
      </c>
      <c r="C2208" s="1186" t="s">
        <v>116</v>
      </c>
      <c r="D2208" s="1186" t="s">
        <v>26</v>
      </c>
      <c r="E2208" s="1186">
        <v>1</v>
      </c>
      <c r="F2208" s="1186">
        <v>86890</v>
      </c>
    </row>
    <row r="2209" spans="1:6" x14ac:dyDescent="0.2">
      <c r="A2209" s="1186" t="s">
        <v>144</v>
      </c>
      <c r="B2209" s="1186" t="s">
        <v>824</v>
      </c>
      <c r="C2209" s="1186" t="s">
        <v>116</v>
      </c>
      <c r="D2209" s="1186" t="s">
        <v>619</v>
      </c>
      <c r="E2209" s="1186">
        <v>64</v>
      </c>
      <c r="F2209" s="1186">
        <v>498810</v>
      </c>
    </row>
    <row r="2210" spans="1:6" x14ac:dyDescent="0.2">
      <c r="A2210" s="1186" t="s">
        <v>144</v>
      </c>
      <c r="B2210" s="1186" t="s">
        <v>824</v>
      </c>
      <c r="C2210" s="1186" t="s">
        <v>116</v>
      </c>
      <c r="D2210" s="1186" t="s">
        <v>27</v>
      </c>
      <c r="E2210" s="1186">
        <v>4</v>
      </c>
      <c r="F2210" s="1186">
        <v>51360</v>
      </c>
    </row>
    <row r="2211" spans="1:6" x14ac:dyDescent="0.2">
      <c r="A2211" s="1186" t="s">
        <v>144</v>
      </c>
      <c r="B2211" s="1186" t="s">
        <v>824</v>
      </c>
      <c r="C2211" s="1186" t="s">
        <v>116</v>
      </c>
      <c r="D2211" s="1186" t="s">
        <v>28</v>
      </c>
      <c r="E2211" s="1186">
        <v>8</v>
      </c>
      <c r="F2211" s="1186">
        <v>149670</v>
      </c>
    </row>
    <row r="2212" spans="1:6" x14ac:dyDescent="0.2">
      <c r="A2212" s="1186" t="s">
        <v>144</v>
      </c>
      <c r="B2212" s="1186" t="s">
        <v>824</v>
      </c>
      <c r="C2212" s="1186" t="s">
        <v>116</v>
      </c>
      <c r="D2212" s="1186" t="s">
        <v>29</v>
      </c>
      <c r="E2212" s="1186">
        <v>16</v>
      </c>
      <c r="F2212" s="1186">
        <v>148210</v>
      </c>
    </row>
    <row r="2213" spans="1:6" x14ac:dyDescent="0.2">
      <c r="A2213" s="1186" t="s">
        <v>144</v>
      </c>
      <c r="B2213" s="1186" t="s">
        <v>824</v>
      </c>
      <c r="C2213" s="1186" t="s">
        <v>116</v>
      </c>
      <c r="D2213" s="1186" t="s">
        <v>30</v>
      </c>
      <c r="E2213" s="1186">
        <v>23</v>
      </c>
      <c r="F2213" s="1186">
        <v>122060</v>
      </c>
    </row>
    <row r="2214" spans="1:6" x14ac:dyDescent="0.2">
      <c r="A2214" s="1186" t="s">
        <v>144</v>
      </c>
      <c r="B2214" s="1186" t="s">
        <v>824</v>
      </c>
      <c r="C2214" s="1186" t="s">
        <v>116</v>
      </c>
      <c r="D2214" s="1186" t="s">
        <v>31</v>
      </c>
      <c r="E2214" s="1186">
        <v>12</v>
      </c>
      <c r="F2214" s="1186">
        <v>106960</v>
      </c>
    </row>
    <row r="2215" spans="1:6" x14ac:dyDescent="0.2">
      <c r="A2215" s="1186" t="s">
        <v>144</v>
      </c>
      <c r="B2215" s="1186" t="s">
        <v>824</v>
      </c>
      <c r="C2215" s="1186" t="s">
        <v>116</v>
      </c>
      <c r="D2215" s="1186" t="s">
        <v>32</v>
      </c>
      <c r="E2215" s="1186">
        <v>10</v>
      </c>
      <c r="F2215" s="1186">
        <v>103050</v>
      </c>
    </row>
    <row r="2216" spans="1:6" x14ac:dyDescent="0.2">
      <c r="A2216" s="1186" t="s">
        <v>144</v>
      </c>
      <c r="B2216" s="1186" t="s">
        <v>824</v>
      </c>
      <c r="C2216" s="1186" t="s">
        <v>116</v>
      </c>
      <c r="D2216" s="1186" t="s">
        <v>33</v>
      </c>
      <c r="E2216" s="1186">
        <v>14</v>
      </c>
      <c r="F2216" s="1186">
        <v>92940</v>
      </c>
    </row>
    <row r="2217" spans="1:6" x14ac:dyDescent="0.2">
      <c r="A2217" s="1186" t="s">
        <v>144</v>
      </c>
      <c r="B2217" s="1186" t="s">
        <v>824</v>
      </c>
      <c r="C2217" s="1186" t="s">
        <v>116</v>
      </c>
      <c r="D2217" s="1186" t="s">
        <v>34</v>
      </c>
      <c r="E2217" s="1186">
        <v>24</v>
      </c>
      <c r="F2217" s="1186">
        <v>158460</v>
      </c>
    </row>
    <row r="2218" spans="1:6" x14ac:dyDescent="0.2">
      <c r="A2218" s="1186" t="s">
        <v>144</v>
      </c>
      <c r="B2218" s="1186" t="s">
        <v>824</v>
      </c>
      <c r="C2218" s="1186" t="s">
        <v>116</v>
      </c>
      <c r="D2218" s="1186" t="s">
        <v>35</v>
      </c>
      <c r="E2218" s="1186">
        <v>35</v>
      </c>
      <c r="F2218" s="1186">
        <v>368080</v>
      </c>
    </row>
    <row r="2219" spans="1:6" x14ac:dyDescent="0.2">
      <c r="A2219" s="1186" t="s">
        <v>144</v>
      </c>
      <c r="B2219" s="1186" t="s">
        <v>824</v>
      </c>
      <c r="C2219" s="1186" t="s">
        <v>116</v>
      </c>
      <c r="D2219" s="1186" t="s">
        <v>36</v>
      </c>
      <c r="E2219" s="1186">
        <v>101</v>
      </c>
      <c r="F2219" s="1186">
        <v>606340</v>
      </c>
    </row>
    <row r="2220" spans="1:6" x14ac:dyDescent="0.2">
      <c r="A2220" s="1186" t="s">
        <v>144</v>
      </c>
      <c r="B2220" s="1186" t="s">
        <v>824</v>
      </c>
      <c r="C2220" s="1186" t="s">
        <v>116</v>
      </c>
      <c r="D2220" s="1186" t="s">
        <v>37</v>
      </c>
      <c r="E2220" s="1186">
        <v>10</v>
      </c>
      <c r="F2220" s="1186">
        <v>234110</v>
      </c>
    </row>
    <row r="2221" spans="1:6" x14ac:dyDescent="0.2">
      <c r="A2221" s="1186" t="s">
        <v>144</v>
      </c>
      <c r="B2221" s="1186" t="s">
        <v>824</v>
      </c>
      <c r="C2221" s="1186" t="s">
        <v>116</v>
      </c>
      <c r="D2221" s="1186" t="s">
        <v>38</v>
      </c>
      <c r="E2221" s="1186">
        <v>13</v>
      </c>
      <c r="F2221" s="1186">
        <v>79500</v>
      </c>
    </row>
    <row r="2222" spans="1:6" x14ac:dyDescent="0.2">
      <c r="A2222" s="1186" t="s">
        <v>144</v>
      </c>
      <c r="B2222" s="1186" t="s">
        <v>824</v>
      </c>
      <c r="C2222" s="1186" t="s">
        <v>116</v>
      </c>
      <c r="D2222" s="1186" t="s">
        <v>39</v>
      </c>
      <c r="E2222" s="1186">
        <v>10</v>
      </c>
      <c r="F2222" s="1186">
        <v>87390</v>
      </c>
    </row>
    <row r="2223" spans="1:6" x14ac:dyDescent="0.2">
      <c r="A2223" s="1186" t="s">
        <v>144</v>
      </c>
      <c r="B2223" s="1186" t="s">
        <v>824</v>
      </c>
      <c r="C2223" s="1186" t="s">
        <v>116</v>
      </c>
      <c r="D2223" s="1186" t="s">
        <v>40</v>
      </c>
      <c r="E2223" s="1186">
        <v>7</v>
      </c>
      <c r="F2223" s="1186">
        <v>95510</v>
      </c>
    </row>
    <row r="2224" spans="1:6" x14ac:dyDescent="0.2">
      <c r="A2224" s="1186" t="s">
        <v>144</v>
      </c>
      <c r="B2224" s="1186" t="s">
        <v>824</v>
      </c>
      <c r="C2224" s="1186" t="s">
        <v>116</v>
      </c>
      <c r="D2224" s="1186" t="s">
        <v>41</v>
      </c>
      <c r="E2224" s="1186">
        <v>20</v>
      </c>
      <c r="F2224" s="1186">
        <v>136130</v>
      </c>
    </row>
    <row r="2225" spans="1:6" x14ac:dyDescent="0.2">
      <c r="A2225" s="1186" t="s">
        <v>144</v>
      </c>
      <c r="B2225" s="1186" t="s">
        <v>824</v>
      </c>
      <c r="C2225" s="1186" t="s">
        <v>116</v>
      </c>
      <c r="D2225" s="1186" t="s">
        <v>42</v>
      </c>
      <c r="E2225" s="1186">
        <v>62</v>
      </c>
      <c r="F2225" s="1186">
        <v>338260</v>
      </c>
    </row>
    <row r="2226" spans="1:6" x14ac:dyDescent="0.2">
      <c r="A2226" s="1186" t="s">
        <v>144</v>
      </c>
      <c r="B2226" s="1186" t="s">
        <v>824</v>
      </c>
      <c r="C2226" s="1186" t="s">
        <v>116</v>
      </c>
      <c r="D2226" s="1186" t="s">
        <v>44</v>
      </c>
      <c r="E2226" s="1186">
        <v>16</v>
      </c>
      <c r="F2226" s="1186">
        <v>149930</v>
      </c>
    </row>
    <row r="2227" spans="1:6" x14ac:dyDescent="0.2">
      <c r="A2227" s="1186" t="s">
        <v>144</v>
      </c>
      <c r="B2227" s="1186" t="s">
        <v>824</v>
      </c>
      <c r="C2227" s="1186" t="s">
        <v>116</v>
      </c>
      <c r="D2227" s="1186" t="s">
        <v>45</v>
      </c>
      <c r="E2227" s="1186">
        <v>24</v>
      </c>
      <c r="F2227" s="1186">
        <v>174560</v>
      </c>
    </row>
    <row r="2228" spans="1:6" x14ac:dyDescent="0.2">
      <c r="A2228" s="1186" t="s">
        <v>144</v>
      </c>
      <c r="B2228" s="1186" t="s">
        <v>824</v>
      </c>
      <c r="C2228" s="1186" t="s">
        <v>116</v>
      </c>
      <c r="D2228" s="1186" t="s">
        <v>46</v>
      </c>
      <c r="E2228" s="1186">
        <v>9</v>
      </c>
      <c r="F2228" s="1186">
        <v>114030</v>
      </c>
    </row>
    <row r="2229" spans="1:6" x14ac:dyDescent="0.2">
      <c r="A2229" s="1186" t="s">
        <v>144</v>
      </c>
      <c r="B2229" s="1186" t="s">
        <v>824</v>
      </c>
      <c r="C2229" s="1186" t="s">
        <v>116</v>
      </c>
      <c r="D2229" s="1186" t="s">
        <v>47</v>
      </c>
      <c r="E2229" s="1186">
        <v>1</v>
      </c>
      <c r="F2229" s="1186">
        <v>23200</v>
      </c>
    </row>
    <row r="2230" spans="1:6" x14ac:dyDescent="0.2">
      <c r="A2230" s="1186" t="s">
        <v>144</v>
      </c>
      <c r="B2230" s="1186" t="s">
        <v>824</v>
      </c>
      <c r="C2230" s="1186" t="s">
        <v>116</v>
      </c>
      <c r="D2230" s="1186" t="s">
        <v>48</v>
      </c>
      <c r="E2230" s="1186">
        <v>12</v>
      </c>
      <c r="F2230" s="1186">
        <v>112400</v>
      </c>
    </row>
    <row r="2231" spans="1:6" x14ac:dyDescent="0.2">
      <c r="A2231" s="1186" t="s">
        <v>144</v>
      </c>
      <c r="B2231" s="1186" t="s">
        <v>824</v>
      </c>
      <c r="C2231" s="1186" t="s">
        <v>116</v>
      </c>
      <c r="D2231" s="1186" t="s">
        <v>49</v>
      </c>
      <c r="E2231" s="1186">
        <v>23</v>
      </c>
      <c r="F2231" s="1186">
        <v>316230</v>
      </c>
    </row>
    <row r="2232" spans="1:6" x14ac:dyDescent="0.2">
      <c r="A2232" s="1186" t="s">
        <v>144</v>
      </c>
      <c r="B2232" s="1186" t="s">
        <v>824</v>
      </c>
      <c r="C2232" s="1186" t="s">
        <v>116</v>
      </c>
      <c r="D2232" s="1186" t="s">
        <v>50</v>
      </c>
      <c r="E2232" s="1186">
        <v>36</v>
      </c>
      <c r="F2232" s="1186">
        <v>92830</v>
      </c>
    </row>
    <row r="2233" spans="1:6" x14ac:dyDescent="0.2">
      <c r="A2233" s="1186" t="s">
        <v>144</v>
      </c>
      <c r="B2233" s="1186" t="s">
        <v>824</v>
      </c>
      <c r="C2233" s="1186" t="s">
        <v>116</v>
      </c>
      <c r="D2233" s="1186" t="s">
        <v>51</v>
      </c>
      <c r="E2233" s="1186">
        <v>15</v>
      </c>
      <c r="F2233" s="1186">
        <v>89590</v>
      </c>
    </row>
    <row r="2234" spans="1:6" x14ac:dyDescent="0.2">
      <c r="A2234" s="1186" t="s">
        <v>144</v>
      </c>
      <c r="B2234" s="1186" t="s">
        <v>824</v>
      </c>
      <c r="C2234" s="1186" t="s">
        <v>116</v>
      </c>
      <c r="D2234" s="1186" t="s">
        <v>52</v>
      </c>
      <c r="E2234" s="1186">
        <v>34</v>
      </c>
      <c r="F2234" s="1186">
        <v>178550</v>
      </c>
    </row>
    <row r="2235" spans="1:6" x14ac:dyDescent="0.2">
      <c r="A2235" s="1186" t="s">
        <v>144</v>
      </c>
      <c r="B2235" s="1186" t="s">
        <v>825</v>
      </c>
      <c r="C2235" s="1186" t="s">
        <v>61</v>
      </c>
      <c r="D2235" s="1186" t="s">
        <v>23</v>
      </c>
      <c r="E2235" s="1186">
        <v>30</v>
      </c>
      <c r="F2235" s="1186">
        <v>230350</v>
      </c>
    </row>
    <row r="2236" spans="1:6" x14ac:dyDescent="0.2">
      <c r="A2236" s="1186" t="s">
        <v>144</v>
      </c>
      <c r="B2236" s="1186" t="s">
        <v>825</v>
      </c>
      <c r="C2236" s="1186" t="s">
        <v>61</v>
      </c>
      <c r="D2236" s="1186" t="s">
        <v>24</v>
      </c>
      <c r="E2236" s="1186">
        <v>74</v>
      </c>
      <c r="F2236" s="1186">
        <v>261960</v>
      </c>
    </row>
    <row r="2237" spans="1:6" x14ac:dyDescent="0.2">
      <c r="A2237" s="1186" t="s">
        <v>144</v>
      </c>
      <c r="B2237" s="1186" t="s">
        <v>825</v>
      </c>
      <c r="C2237" s="1186" t="s">
        <v>61</v>
      </c>
      <c r="D2237" s="1186" t="s">
        <v>25</v>
      </c>
      <c r="E2237" s="1186">
        <v>27</v>
      </c>
      <c r="F2237" s="1186">
        <v>116900</v>
      </c>
    </row>
    <row r="2238" spans="1:6" x14ac:dyDescent="0.2">
      <c r="A2238" s="1186" t="s">
        <v>144</v>
      </c>
      <c r="B2238" s="1186" t="s">
        <v>825</v>
      </c>
      <c r="C2238" s="1186" t="s">
        <v>61</v>
      </c>
      <c r="D2238" s="1186" t="s">
        <v>26</v>
      </c>
      <c r="E2238" s="1186">
        <v>18</v>
      </c>
      <c r="F2238" s="1186">
        <v>86890</v>
      </c>
    </row>
    <row r="2239" spans="1:6" x14ac:dyDescent="0.2">
      <c r="A2239" s="1186" t="s">
        <v>144</v>
      </c>
      <c r="B2239" s="1186" t="s">
        <v>825</v>
      </c>
      <c r="C2239" s="1186" t="s">
        <v>61</v>
      </c>
      <c r="D2239" s="1186" t="s">
        <v>619</v>
      </c>
      <c r="E2239" s="1186">
        <v>84</v>
      </c>
      <c r="F2239" s="1186">
        <v>498810</v>
      </c>
    </row>
    <row r="2240" spans="1:6" x14ac:dyDescent="0.2">
      <c r="A2240" s="1186" t="s">
        <v>144</v>
      </c>
      <c r="B2240" s="1186" t="s">
        <v>825</v>
      </c>
      <c r="C2240" s="1186" t="s">
        <v>61</v>
      </c>
      <c r="D2240" s="1186" t="s">
        <v>27</v>
      </c>
      <c r="E2240" s="1186">
        <v>1</v>
      </c>
      <c r="F2240" s="1186">
        <v>51360</v>
      </c>
    </row>
    <row r="2241" spans="1:6" x14ac:dyDescent="0.2">
      <c r="A2241" s="1186" t="s">
        <v>144</v>
      </c>
      <c r="B2241" s="1186" t="s">
        <v>825</v>
      </c>
      <c r="C2241" s="1186" t="s">
        <v>61</v>
      </c>
      <c r="D2241" s="1186" t="s">
        <v>28</v>
      </c>
      <c r="E2241" s="1186">
        <v>60</v>
      </c>
      <c r="F2241" s="1186">
        <v>149670</v>
      </c>
    </row>
    <row r="2242" spans="1:6" x14ac:dyDescent="0.2">
      <c r="A2242" s="1186" t="s">
        <v>144</v>
      </c>
      <c r="B2242" s="1186" t="s">
        <v>825</v>
      </c>
      <c r="C2242" s="1186" t="s">
        <v>61</v>
      </c>
      <c r="D2242" s="1186" t="s">
        <v>29</v>
      </c>
      <c r="E2242" s="1186">
        <v>17</v>
      </c>
      <c r="F2242" s="1186">
        <v>148210</v>
      </c>
    </row>
    <row r="2243" spans="1:6" x14ac:dyDescent="0.2">
      <c r="A2243" s="1186" t="s">
        <v>144</v>
      </c>
      <c r="B2243" s="1186" t="s">
        <v>825</v>
      </c>
      <c r="C2243" s="1186" t="s">
        <v>61</v>
      </c>
      <c r="D2243" s="1186" t="s">
        <v>30</v>
      </c>
      <c r="E2243" s="1186">
        <v>26</v>
      </c>
      <c r="F2243" s="1186">
        <v>122060</v>
      </c>
    </row>
    <row r="2244" spans="1:6" x14ac:dyDescent="0.2">
      <c r="A2244" s="1186" t="s">
        <v>144</v>
      </c>
      <c r="B2244" s="1186" t="s">
        <v>825</v>
      </c>
      <c r="C2244" s="1186" t="s">
        <v>61</v>
      </c>
      <c r="D2244" s="1186" t="s">
        <v>31</v>
      </c>
      <c r="E2244" s="1186">
        <v>11</v>
      </c>
      <c r="F2244" s="1186">
        <v>106960</v>
      </c>
    </row>
    <row r="2245" spans="1:6" x14ac:dyDescent="0.2">
      <c r="A2245" s="1186" t="s">
        <v>144</v>
      </c>
      <c r="B2245" s="1186" t="s">
        <v>825</v>
      </c>
      <c r="C2245" s="1186" t="s">
        <v>61</v>
      </c>
      <c r="D2245" s="1186" t="s">
        <v>32</v>
      </c>
      <c r="E2245" s="1186">
        <v>25</v>
      </c>
      <c r="F2245" s="1186">
        <v>103050</v>
      </c>
    </row>
    <row r="2246" spans="1:6" x14ac:dyDescent="0.2">
      <c r="A2246" s="1186" t="s">
        <v>144</v>
      </c>
      <c r="B2246" s="1186" t="s">
        <v>825</v>
      </c>
      <c r="C2246" s="1186" t="s">
        <v>61</v>
      </c>
      <c r="D2246" s="1186" t="s">
        <v>33</v>
      </c>
      <c r="E2246" s="1186">
        <v>12</v>
      </c>
      <c r="F2246" s="1186">
        <v>92940</v>
      </c>
    </row>
    <row r="2247" spans="1:6" x14ac:dyDescent="0.2">
      <c r="A2247" s="1186" t="s">
        <v>144</v>
      </c>
      <c r="B2247" s="1186" t="s">
        <v>825</v>
      </c>
      <c r="C2247" s="1186" t="s">
        <v>61</v>
      </c>
      <c r="D2247" s="1186" t="s">
        <v>34</v>
      </c>
      <c r="E2247" s="1186">
        <v>46</v>
      </c>
      <c r="F2247" s="1186">
        <v>158460</v>
      </c>
    </row>
    <row r="2248" spans="1:6" x14ac:dyDescent="0.2">
      <c r="A2248" s="1186" t="s">
        <v>144</v>
      </c>
      <c r="B2248" s="1186" t="s">
        <v>825</v>
      </c>
      <c r="C2248" s="1186" t="s">
        <v>61</v>
      </c>
      <c r="D2248" s="1186" t="s">
        <v>35</v>
      </c>
      <c r="E2248" s="1186">
        <v>76</v>
      </c>
      <c r="F2248" s="1186">
        <v>368080</v>
      </c>
    </row>
    <row r="2249" spans="1:6" x14ac:dyDescent="0.2">
      <c r="A2249" s="1186" t="s">
        <v>144</v>
      </c>
      <c r="B2249" s="1186" t="s">
        <v>825</v>
      </c>
      <c r="C2249" s="1186" t="s">
        <v>61</v>
      </c>
      <c r="D2249" s="1186" t="s">
        <v>36</v>
      </c>
      <c r="E2249" s="1186">
        <v>133</v>
      </c>
      <c r="F2249" s="1186">
        <v>606340</v>
      </c>
    </row>
    <row r="2250" spans="1:6" x14ac:dyDescent="0.2">
      <c r="A2250" s="1186" t="s">
        <v>144</v>
      </c>
      <c r="B2250" s="1186" t="s">
        <v>825</v>
      </c>
      <c r="C2250" s="1186" t="s">
        <v>61</v>
      </c>
      <c r="D2250" s="1186" t="s">
        <v>37</v>
      </c>
      <c r="E2250" s="1186">
        <v>77</v>
      </c>
      <c r="F2250" s="1186">
        <v>234110</v>
      </c>
    </row>
    <row r="2251" spans="1:6" x14ac:dyDescent="0.2">
      <c r="A2251" s="1186" t="s">
        <v>144</v>
      </c>
      <c r="B2251" s="1186" t="s">
        <v>825</v>
      </c>
      <c r="C2251" s="1186" t="s">
        <v>61</v>
      </c>
      <c r="D2251" s="1186" t="s">
        <v>38</v>
      </c>
      <c r="E2251" s="1186">
        <v>12</v>
      </c>
      <c r="F2251" s="1186">
        <v>79500</v>
      </c>
    </row>
    <row r="2252" spans="1:6" x14ac:dyDescent="0.2">
      <c r="A2252" s="1186" t="s">
        <v>144</v>
      </c>
      <c r="B2252" s="1186" t="s">
        <v>825</v>
      </c>
      <c r="C2252" s="1186" t="s">
        <v>61</v>
      </c>
      <c r="D2252" s="1186" t="s">
        <v>39</v>
      </c>
      <c r="E2252" s="1186">
        <v>15</v>
      </c>
      <c r="F2252" s="1186">
        <v>87390</v>
      </c>
    </row>
    <row r="2253" spans="1:6" x14ac:dyDescent="0.2">
      <c r="A2253" s="1186" t="s">
        <v>144</v>
      </c>
      <c r="B2253" s="1186" t="s">
        <v>825</v>
      </c>
      <c r="C2253" s="1186" t="s">
        <v>61</v>
      </c>
      <c r="D2253" s="1186" t="s">
        <v>40</v>
      </c>
      <c r="E2253" s="1186">
        <v>24</v>
      </c>
      <c r="F2253" s="1186">
        <v>95510</v>
      </c>
    </row>
    <row r="2254" spans="1:6" x14ac:dyDescent="0.2">
      <c r="A2254" s="1186" t="s">
        <v>144</v>
      </c>
      <c r="B2254" s="1186" t="s">
        <v>825</v>
      </c>
      <c r="C2254" s="1186" t="s">
        <v>61</v>
      </c>
      <c r="D2254" s="1186" t="s">
        <v>295</v>
      </c>
      <c r="E2254" s="1186">
        <v>7</v>
      </c>
      <c r="F2254" s="1186">
        <v>27070</v>
      </c>
    </row>
    <row r="2255" spans="1:6" x14ac:dyDescent="0.2">
      <c r="A2255" s="1186" t="s">
        <v>144</v>
      </c>
      <c r="B2255" s="1186" t="s">
        <v>825</v>
      </c>
      <c r="C2255" s="1186" t="s">
        <v>61</v>
      </c>
      <c r="D2255" s="1186" t="s">
        <v>41</v>
      </c>
      <c r="E2255" s="1186">
        <v>23</v>
      </c>
      <c r="F2255" s="1186">
        <v>136130</v>
      </c>
    </row>
    <row r="2256" spans="1:6" x14ac:dyDescent="0.2">
      <c r="A2256" s="1186" t="s">
        <v>144</v>
      </c>
      <c r="B2256" s="1186" t="s">
        <v>825</v>
      </c>
      <c r="C2256" s="1186" t="s">
        <v>61</v>
      </c>
      <c r="D2256" s="1186" t="s">
        <v>42</v>
      </c>
      <c r="E2256" s="1186">
        <v>59</v>
      </c>
      <c r="F2256" s="1186">
        <v>338260</v>
      </c>
    </row>
    <row r="2257" spans="1:6" x14ac:dyDescent="0.2">
      <c r="A2257" s="1186" t="s">
        <v>144</v>
      </c>
      <c r="B2257" s="1186" t="s">
        <v>825</v>
      </c>
      <c r="C2257" s="1186" t="s">
        <v>61</v>
      </c>
      <c r="D2257" s="1186" t="s">
        <v>43</v>
      </c>
      <c r="E2257" s="1186">
        <v>11</v>
      </c>
      <c r="F2257" s="1186">
        <v>21670</v>
      </c>
    </row>
    <row r="2258" spans="1:6" x14ac:dyDescent="0.2">
      <c r="A2258" s="1186" t="s">
        <v>144</v>
      </c>
      <c r="B2258" s="1186" t="s">
        <v>825</v>
      </c>
      <c r="C2258" s="1186" t="s">
        <v>61</v>
      </c>
      <c r="D2258" s="1186" t="s">
        <v>44</v>
      </c>
      <c r="E2258" s="1186">
        <v>43</v>
      </c>
      <c r="F2258" s="1186">
        <v>149930</v>
      </c>
    </row>
    <row r="2259" spans="1:6" x14ac:dyDescent="0.2">
      <c r="A2259" s="1186" t="s">
        <v>144</v>
      </c>
      <c r="B2259" s="1186" t="s">
        <v>825</v>
      </c>
      <c r="C2259" s="1186" t="s">
        <v>61</v>
      </c>
      <c r="D2259" s="1186" t="s">
        <v>45</v>
      </c>
      <c r="E2259" s="1186">
        <v>27</v>
      </c>
      <c r="F2259" s="1186">
        <v>174560</v>
      </c>
    </row>
    <row r="2260" spans="1:6" x14ac:dyDescent="0.2">
      <c r="A2260" s="1186" t="s">
        <v>144</v>
      </c>
      <c r="B2260" s="1186" t="s">
        <v>825</v>
      </c>
      <c r="C2260" s="1186" t="s">
        <v>61</v>
      </c>
      <c r="D2260" s="1186" t="s">
        <v>46</v>
      </c>
      <c r="E2260" s="1186">
        <v>29</v>
      </c>
      <c r="F2260" s="1186">
        <v>114030</v>
      </c>
    </row>
    <row r="2261" spans="1:6" x14ac:dyDescent="0.2">
      <c r="A2261" s="1186" t="s">
        <v>144</v>
      </c>
      <c r="B2261" s="1186" t="s">
        <v>825</v>
      </c>
      <c r="C2261" s="1186" t="s">
        <v>61</v>
      </c>
      <c r="D2261" s="1186" t="s">
        <v>47</v>
      </c>
      <c r="E2261" s="1186">
        <v>7</v>
      </c>
      <c r="F2261" s="1186">
        <v>23200</v>
      </c>
    </row>
    <row r="2262" spans="1:6" x14ac:dyDescent="0.2">
      <c r="A2262" s="1186" t="s">
        <v>144</v>
      </c>
      <c r="B2262" s="1186" t="s">
        <v>825</v>
      </c>
      <c r="C2262" s="1186" t="s">
        <v>61</v>
      </c>
      <c r="D2262" s="1186" t="s">
        <v>48</v>
      </c>
      <c r="E2262" s="1186">
        <v>21</v>
      </c>
      <c r="F2262" s="1186">
        <v>112400</v>
      </c>
    </row>
    <row r="2263" spans="1:6" x14ac:dyDescent="0.2">
      <c r="A2263" s="1186" t="s">
        <v>144</v>
      </c>
      <c r="B2263" s="1186" t="s">
        <v>825</v>
      </c>
      <c r="C2263" s="1186" t="s">
        <v>61</v>
      </c>
      <c r="D2263" s="1186" t="s">
        <v>49</v>
      </c>
      <c r="E2263" s="1186">
        <v>77</v>
      </c>
      <c r="F2263" s="1186">
        <v>316230</v>
      </c>
    </row>
    <row r="2264" spans="1:6" x14ac:dyDescent="0.2">
      <c r="A2264" s="1186" t="s">
        <v>144</v>
      </c>
      <c r="B2264" s="1186" t="s">
        <v>825</v>
      </c>
      <c r="C2264" s="1186" t="s">
        <v>61</v>
      </c>
      <c r="D2264" s="1186" t="s">
        <v>50</v>
      </c>
      <c r="E2264" s="1186">
        <v>30</v>
      </c>
      <c r="F2264" s="1186">
        <v>92830</v>
      </c>
    </row>
    <row r="2265" spans="1:6" x14ac:dyDescent="0.2">
      <c r="A2265" s="1186" t="s">
        <v>144</v>
      </c>
      <c r="B2265" s="1186" t="s">
        <v>825</v>
      </c>
      <c r="C2265" s="1186" t="s">
        <v>61</v>
      </c>
      <c r="D2265" s="1186" t="s">
        <v>51</v>
      </c>
      <c r="E2265" s="1186">
        <v>16</v>
      </c>
      <c r="F2265" s="1186">
        <v>89590</v>
      </c>
    </row>
    <row r="2266" spans="1:6" x14ac:dyDescent="0.2">
      <c r="A2266" s="1186" t="s">
        <v>144</v>
      </c>
      <c r="B2266" s="1186" t="s">
        <v>825</v>
      </c>
      <c r="C2266" s="1186" t="s">
        <v>61</v>
      </c>
      <c r="D2266" s="1186" t="s">
        <v>52</v>
      </c>
      <c r="E2266" s="1186">
        <v>47</v>
      </c>
      <c r="F2266" s="1186">
        <v>178550</v>
      </c>
    </row>
    <row r="2267" spans="1:6" x14ac:dyDescent="0.2">
      <c r="A2267" s="1186" t="s">
        <v>144</v>
      </c>
      <c r="B2267" s="1186" t="s">
        <v>825</v>
      </c>
      <c r="C2267" s="1186" t="s">
        <v>116</v>
      </c>
      <c r="D2267" s="1186" t="s">
        <v>23</v>
      </c>
      <c r="E2267" s="1186">
        <v>50</v>
      </c>
      <c r="F2267" s="1186">
        <v>230350</v>
      </c>
    </row>
    <row r="2268" spans="1:6" x14ac:dyDescent="0.2">
      <c r="A2268" s="1186" t="s">
        <v>144</v>
      </c>
      <c r="B2268" s="1186" t="s">
        <v>825</v>
      </c>
      <c r="C2268" s="1186" t="s">
        <v>116</v>
      </c>
      <c r="D2268" s="1186" t="s">
        <v>24</v>
      </c>
      <c r="E2268" s="1186">
        <v>16</v>
      </c>
      <c r="F2268" s="1186">
        <v>261960</v>
      </c>
    </row>
    <row r="2269" spans="1:6" x14ac:dyDescent="0.2">
      <c r="A2269" s="1186" t="s">
        <v>144</v>
      </c>
      <c r="B2269" s="1186" t="s">
        <v>825</v>
      </c>
      <c r="C2269" s="1186" t="s">
        <v>116</v>
      </c>
      <c r="D2269" s="1186" t="s">
        <v>25</v>
      </c>
      <c r="E2269" s="1186">
        <v>5</v>
      </c>
      <c r="F2269" s="1186">
        <v>116900</v>
      </c>
    </row>
    <row r="2270" spans="1:6" x14ac:dyDescent="0.2">
      <c r="A2270" s="1186" t="s">
        <v>144</v>
      </c>
      <c r="B2270" s="1186" t="s">
        <v>825</v>
      </c>
      <c r="C2270" s="1186" t="s">
        <v>116</v>
      </c>
      <c r="D2270" s="1186" t="s">
        <v>26</v>
      </c>
      <c r="E2270" s="1186">
        <v>3</v>
      </c>
      <c r="F2270" s="1186">
        <v>86890</v>
      </c>
    </row>
    <row r="2271" spans="1:6" x14ac:dyDescent="0.2">
      <c r="A2271" s="1186" t="s">
        <v>144</v>
      </c>
      <c r="B2271" s="1186" t="s">
        <v>825</v>
      </c>
      <c r="C2271" s="1186" t="s">
        <v>116</v>
      </c>
      <c r="D2271" s="1186" t="s">
        <v>619</v>
      </c>
      <c r="E2271" s="1186">
        <v>119</v>
      </c>
      <c r="F2271" s="1186">
        <v>498810</v>
      </c>
    </row>
    <row r="2272" spans="1:6" x14ac:dyDescent="0.2">
      <c r="A2272" s="1186" t="s">
        <v>144</v>
      </c>
      <c r="B2272" s="1186" t="s">
        <v>825</v>
      </c>
      <c r="C2272" s="1186" t="s">
        <v>116</v>
      </c>
      <c r="D2272" s="1186" t="s">
        <v>27</v>
      </c>
      <c r="E2272" s="1186">
        <v>3</v>
      </c>
      <c r="F2272" s="1186">
        <v>51360</v>
      </c>
    </row>
    <row r="2273" spans="1:6" x14ac:dyDescent="0.2">
      <c r="A2273" s="1186" t="s">
        <v>144</v>
      </c>
      <c r="B2273" s="1186" t="s">
        <v>825</v>
      </c>
      <c r="C2273" s="1186" t="s">
        <v>116</v>
      </c>
      <c r="D2273" s="1186" t="s">
        <v>28</v>
      </c>
      <c r="E2273" s="1186">
        <v>7</v>
      </c>
      <c r="F2273" s="1186">
        <v>149670</v>
      </c>
    </row>
    <row r="2274" spans="1:6" x14ac:dyDescent="0.2">
      <c r="A2274" s="1186" t="s">
        <v>144</v>
      </c>
      <c r="B2274" s="1186" t="s">
        <v>825</v>
      </c>
      <c r="C2274" s="1186" t="s">
        <v>116</v>
      </c>
      <c r="D2274" s="1186" t="s">
        <v>29</v>
      </c>
      <c r="E2274" s="1186">
        <v>23</v>
      </c>
      <c r="F2274" s="1186">
        <v>148210</v>
      </c>
    </row>
    <row r="2275" spans="1:6" x14ac:dyDescent="0.2">
      <c r="A2275" s="1186" t="s">
        <v>144</v>
      </c>
      <c r="B2275" s="1186" t="s">
        <v>825</v>
      </c>
      <c r="C2275" s="1186" t="s">
        <v>116</v>
      </c>
      <c r="D2275" s="1186" t="s">
        <v>30</v>
      </c>
      <c r="E2275" s="1186">
        <v>16</v>
      </c>
      <c r="F2275" s="1186">
        <v>122060</v>
      </c>
    </row>
    <row r="2276" spans="1:6" x14ac:dyDescent="0.2">
      <c r="A2276" s="1186" t="s">
        <v>144</v>
      </c>
      <c r="B2276" s="1186" t="s">
        <v>825</v>
      </c>
      <c r="C2276" s="1186" t="s">
        <v>116</v>
      </c>
      <c r="D2276" s="1186" t="s">
        <v>31</v>
      </c>
      <c r="E2276" s="1186">
        <v>20</v>
      </c>
      <c r="F2276" s="1186">
        <v>106960</v>
      </c>
    </row>
    <row r="2277" spans="1:6" x14ac:dyDescent="0.2">
      <c r="A2277" s="1186" t="s">
        <v>144</v>
      </c>
      <c r="B2277" s="1186" t="s">
        <v>825</v>
      </c>
      <c r="C2277" s="1186" t="s">
        <v>116</v>
      </c>
      <c r="D2277" s="1186" t="s">
        <v>32</v>
      </c>
      <c r="E2277" s="1186">
        <v>25</v>
      </c>
      <c r="F2277" s="1186">
        <v>103050</v>
      </c>
    </row>
    <row r="2278" spans="1:6" x14ac:dyDescent="0.2">
      <c r="A2278" s="1186" t="s">
        <v>144</v>
      </c>
      <c r="B2278" s="1186" t="s">
        <v>825</v>
      </c>
      <c r="C2278" s="1186" t="s">
        <v>116</v>
      </c>
      <c r="D2278" s="1186" t="s">
        <v>33</v>
      </c>
      <c r="E2278" s="1186">
        <v>4</v>
      </c>
      <c r="F2278" s="1186">
        <v>92940</v>
      </c>
    </row>
    <row r="2279" spans="1:6" x14ac:dyDescent="0.2">
      <c r="A2279" s="1186" t="s">
        <v>144</v>
      </c>
      <c r="B2279" s="1186" t="s">
        <v>825</v>
      </c>
      <c r="C2279" s="1186" t="s">
        <v>116</v>
      </c>
      <c r="D2279" s="1186" t="s">
        <v>34</v>
      </c>
      <c r="E2279" s="1186">
        <v>9</v>
      </c>
      <c r="F2279" s="1186">
        <v>158460</v>
      </c>
    </row>
    <row r="2280" spans="1:6" x14ac:dyDescent="0.2">
      <c r="A2280" s="1186" t="s">
        <v>144</v>
      </c>
      <c r="B2280" s="1186" t="s">
        <v>825</v>
      </c>
      <c r="C2280" s="1186" t="s">
        <v>116</v>
      </c>
      <c r="D2280" s="1186" t="s">
        <v>35</v>
      </c>
      <c r="E2280" s="1186">
        <v>41</v>
      </c>
      <c r="F2280" s="1186">
        <v>368080</v>
      </c>
    </row>
    <row r="2281" spans="1:6" x14ac:dyDescent="0.2">
      <c r="A2281" s="1186" t="s">
        <v>144</v>
      </c>
      <c r="B2281" s="1186" t="s">
        <v>825</v>
      </c>
      <c r="C2281" s="1186" t="s">
        <v>116</v>
      </c>
      <c r="D2281" s="1186" t="s">
        <v>36</v>
      </c>
      <c r="E2281" s="1186">
        <v>158</v>
      </c>
      <c r="F2281" s="1186">
        <v>606340</v>
      </c>
    </row>
    <row r="2282" spans="1:6" x14ac:dyDescent="0.2">
      <c r="A2282" s="1186" t="s">
        <v>144</v>
      </c>
      <c r="B2282" s="1186" t="s">
        <v>825</v>
      </c>
      <c r="C2282" s="1186" t="s">
        <v>116</v>
      </c>
      <c r="D2282" s="1186" t="s">
        <v>37</v>
      </c>
      <c r="E2282" s="1186">
        <v>10</v>
      </c>
      <c r="F2282" s="1186">
        <v>234110</v>
      </c>
    </row>
    <row r="2283" spans="1:6" x14ac:dyDescent="0.2">
      <c r="A2283" s="1186" t="s">
        <v>144</v>
      </c>
      <c r="B2283" s="1186" t="s">
        <v>825</v>
      </c>
      <c r="C2283" s="1186" t="s">
        <v>116</v>
      </c>
      <c r="D2283" s="1186" t="s">
        <v>38</v>
      </c>
      <c r="E2283" s="1186">
        <v>20</v>
      </c>
      <c r="F2283" s="1186">
        <v>79500</v>
      </c>
    </row>
    <row r="2284" spans="1:6" x14ac:dyDescent="0.2">
      <c r="A2284" s="1186" t="s">
        <v>144</v>
      </c>
      <c r="B2284" s="1186" t="s">
        <v>825</v>
      </c>
      <c r="C2284" s="1186" t="s">
        <v>116</v>
      </c>
      <c r="D2284" s="1186" t="s">
        <v>39</v>
      </c>
      <c r="E2284" s="1186">
        <v>14</v>
      </c>
      <c r="F2284" s="1186">
        <v>87390</v>
      </c>
    </row>
    <row r="2285" spans="1:6" x14ac:dyDescent="0.2">
      <c r="A2285" s="1186" t="s">
        <v>144</v>
      </c>
      <c r="B2285" s="1186" t="s">
        <v>825</v>
      </c>
      <c r="C2285" s="1186" t="s">
        <v>116</v>
      </c>
      <c r="D2285" s="1186" t="s">
        <v>40</v>
      </c>
      <c r="E2285" s="1186">
        <v>4</v>
      </c>
      <c r="F2285" s="1186">
        <v>95510</v>
      </c>
    </row>
    <row r="2286" spans="1:6" x14ac:dyDescent="0.2">
      <c r="A2286" s="1186" t="s">
        <v>144</v>
      </c>
      <c r="B2286" s="1186" t="s">
        <v>825</v>
      </c>
      <c r="C2286" s="1186" t="s">
        <v>116</v>
      </c>
      <c r="D2286" s="1186" t="s">
        <v>295</v>
      </c>
      <c r="E2286" s="1186">
        <v>2</v>
      </c>
      <c r="F2286" s="1186">
        <v>27070</v>
      </c>
    </row>
    <row r="2287" spans="1:6" x14ac:dyDescent="0.2">
      <c r="A2287" s="1186" t="s">
        <v>144</v>
      </c>
      <c r="B2287" s="1186" t="s">
        <v>825</v>
      </c>
      <c r="C2287" s="1186" t="s">
        <v>116</v>
      </c>
      <c r="D2287" s="1186" t="s">
        <v>41</v>
      </c>
      <c r="E2287" s="1186">
        <v>11</v>
      </c>
      <c r="F2287" s="1186">
        <v>136130</v>
      </c>
    </row>
    <row r="2288" spans="1:6" x14ac:dyDescent="0.2">
      <c r="A2288" s="1186" t="s">
        <v>144</v>
      </c>
      <c r="B2288" s="1186" t="s">
        <v>825</v>
      </c>
      <c r="C2288" s="1186" t="s">
        <v>116</v>
      </c>
      <c r="D2288" s="1186" t="s">
        <v>42</v>
      </c>
      <c r="E2288" s="1186">
        <v>87</v>
      </c>
      <c r="F2288" s="1186">
        <v>338260</v>
      </c>
    </row>
    <row r="2289" spans="1:6" x14ac:dyDescent="0.2">
      <c r="A2289" s="1186" t="s">
        <v>144</v>
      </c>
      <c r="B2289" s="1186" t="s">
        <v>825</v>
      </c>
      <c r="C2289" s="1186" t="s">
        <v>116</v>
      </c>
      <c r="D2289" s="1186" t="s">
        <v>44</v>
      </c>
      <c r="E2289" s="1186">
        <v>7</v>
      </c>
      <c r="F2289" s="1186">
        <v>149930</v>
      </c>
    </row>
    <row r="2290" spans="1:6" x14ac:dyDescent="0.2">
      <c r="A2290" s="1186" t="s">
        <v>144</v>
      </c>
      <c r="B2290" s="1186" t="s">
        <v>825</v>
      </c>
      <c r="C2290" s="1186" t="s">
        <v>116</v>
      </c>
      <c r="D2290" s="1186" t="s">
        <v>45</v>
      </c>
      <c r="E2290" s="1186">
        <v>29</v>
      </c>
      <c r="F2290" s="1186">
        <v>174560</v>
      </c>
    </row>
    <row r="2291" spans="1:6" x14ac:dyDescent="0.2">
      <c r="A2291" s="1186" t="s">
        <v>144</v>
      </c>
      <c r="B2291" s="1186" t="s">
        <v>825</v>
      </c>
      <c r="C2291" s="1186" t="s">
        <v>116</v>
      </c>
      <c r="D2291" s="1186" t="s">
        <v>46</v>
      </c>
      <c r="E2291" s="1186">
        <v>3</v>
      </c>
      <c r="F2291" s="1186">
        <v>114030</v>
      </c>
    </row>
    <row r="2292" spans="1:6" x14ac:dyDescent="0.2">
      <c r="A2292" s="1186" t="s">
        <v>144</v>
      </c>
      <c r="B2292" s="1186" t="s">
        <v>825</v>
      </c>
      <c r="C2292" s="1186" t="s">
        <v>116</v>
      </c>
      <c r="D2292" s="1186" t="s">
        <v>48</v>
      </c>
      <c r="E2292" s="1186">
        <v>9</v>
      </c>
      <c r="F2292" s="1186">
        <v>112400</v>
      </c>
    </row>
    <row r="2293" spans="1:6" x14ac:dyDescent="0.2">
      <c r="A2293" s="1186" t="s">
        <v>144</v>
      </c>
      <c r="B2293" s="1186" t="s">
        <v>825</v>
      </c>
      <c r="C2293" s="1186" t="s">
        <v>116</v>
      </c>
      <c r="D2293" s="1186" t="s">
        <v>49</v>
      </c>
      <c r="E2293" s="1186">
        <v>46</v>
      </c>
      <c r="F2293" s="1186">
        <v>316230</v>
      </c>
    </row>
    <row r="2294" spans="1:6" x14ac:dyDescent="0.2">
      <c r="A2294" s="1186" t="s">
        <v>144</v>
      </c>
      <c r="B2294" s="1186" t="s">
        <v>825</v>
      </c>
      <c r="C2294" s="1186" t="s">
        <v>116</v>
      </c>
      <c r="D2294" s="1186" t="s">
        <v>50</v>
      </c>
      <c r="E2294" s="1186">
        <v>4</v>
      </c>
      <c r="F2294" s="1186">
        <v>92830</v>
      </c>
    </row>
    <row r="2295" spans="1:6" x14ac:dyDescent="0.2">
      <c r="A2295" s="1186" t="s">
        <v>144</v>
      </c>
      <c r="B2295" s="1186" t="s">
        <v>825</v>
      </c>
      <c r="C2295" s="1186" t="s">
        <v>116</v>
      </c>
      <c r="D2295" s="1186" t="s">
        <v>51</v>
      </c>
      <c r="E2295" s="1186">
        <v>24</v>
      </c>
      <c r="F2295" s="1186">
        <v>89590</v>
      </c>
    </row>
    <row r="2296" spans="1:6" x14ac:dyDescent="0.2">
      <c r="A2296" s="1186" t="s">
        <v>144</v>
      </c>
      <c r="B2296" s="1186" t="s">
        <v>825</v>
      </c>
      <c r="C2296" s="1186" t="s">
        <v>116</v>
      </c>
      <c r="D2296" s="1186" t="s">
        <v>52</v>
      </c>
      <c r="E2296" s="1186">
        <v>31</v>
      </c>
      <c r="F2296" s="1186">
        <v>178550</v>
      </c>
    </row>
    <row r="2297" spans="1:6" x14ac:dyDescent="0.2">
      <c r="A2297" s="1186" t="s">
        <v>144</v>
      </c>
      <c r="B2297" s="1186" t="s">
        <v>826</v>
      </c>
      <c r="C2297" s="1186" t="s">
        <v>61</v>
      </c>
      <c r="D2297" s="1186" t="s">
        <v>23</v>
      </c>
      <c r="E2297" s="1186">
        <v>2</v>
      </c>
      <c r="F2297" s="1186">
        <v>230350</v>
      </c>
    </row>
    <row r="2298" spans="1:6" x14ac:dyDescent="0.2">
      <c r="A2298" s="1186" t="s">
        <v>144</v>
      </c>
      <c r="B2298" s="1186" t="s">
        <v>826</v>
      </c>
      <c r="C2298" s="1186" t="s">
        <v>61</v>
      </c>
      <c r="D2298" s="1186" t="s">
        <v>24</v>
      </c>
      <c r="E2298" s="1186">
        <v>26</v>
      </c>
      <c r="F2298" s="1186">
        <v>261960</v>
      </c>
    </row>
    <row r="2299" spans="1:6" x14ac:dyDescent="0.2">
      <c r="A2299" s="1186" t="s">
        <v>144</v>
      </c>
      <c r="B2299" s="1186" t="s">
        <v>826</v>
      </c>
      <c r="C2299" s="1186" t="s">
        <v>61</v>
      </c>
      <c r="D2299" s="1186" t="s">
        <v>25</v>
      </c>
      <c r="E2299" s="1186">
        <v>7</v>
      </c>
      <c r="F2299" s="1186">
        <v>116900</v>
      </c>
    </row>
    <row r="2300" spans="1:6" x14ac:dyDescent="0.2">
      <c r="A2300" s="1186" t="s">
        <v>144</v>
      </c>
      <c r="B2300" s="1186" t="s">
        <v>826</v>
      </c>
      <c r="C2300" s="1186" t="s">
        <v>61</v>
      </c>
      <c r="D2300" s="1186" t="s">
        <v>26</v>
      </c>
      <c r="E2300" s="1186">
        <v>13</v>
      </c>
      <c r="F2300" s="1186">
        <v>86890</v>
      </c>
    </row>
    <row r="2301" spans="1:6" x14ac:dyDescent="0.2">
      <c r="A2301" s="1186" t="s">
        <v>144</v>
      </c>
      <c r="B2301" s="1186" t="s">
        <v>826</v>
      </c>
      <c r="C2301" s="1186" t="s">
        <v>61</v>
      </c>
      <c r="D2301" s="1186" t="s">
        <v>619</v>
      </c>
      <c r="E2301" s="1186">
        <v>33</v>
      </c>
      <c r="F2301" s="1186">
        <v>498810</v>
      </c>
    </row>
    <row r="2302" spans="1:6" x14ac:dyDescent="0.2">
      <c r="A2302" s="1186" t="s">
        <v>144</v>
      </c>
      <c r="B2302" s="1186" t="s">
        <v>826</v>
      </c>
      <c r="C2302" s="1186" t="s">
        <v>61</v>
      </c>
      <c r="D2302" s="1186" t="s">
        <v>27</v>
      </c>
      <c r="E2302" s="1186">
        <v>1</v>
      </c>
      <c r="F2302" s="1186">
        <v>51360</v>
      </c>
    </row>
    <row r="2303" spans="1:6" x14ac:dyDescent="0.2">
      <c r="A2303" s="1186" t="s">
        <v>144</v>
      </c>
      <c r="B2303" s="1186" t="s">
        <v>826</v>
      </c>
      <c r="C2303" s="1186" t="s">
        <v>61</v>
      </c>
      <c r="D2303" s="1186" t="s">
        <v>28</v>
      </c>
      <c r="E2303" s="1186">
        <v>16</v>
      </c>
      <c r="F2303" s="1186">
        <v>149670</v>
      </c>
    </row>
    <row r="2304" spans="1:6" x14ac:dyDescent="0.2">
      <c r="A2304" s="1186" t="s">
        <v>144</v>
      </c>
      <c r="B2304" s="1186" t="s">
        <v>826</v>
      </c>
      <c r="C2304" s="1186" t="s">
        <v>61</v>
      </c>
      <c r="D2304" s="1186" t="s">
        <v>29</v>
      </c>
      <c r="E2304" s="1186">
        <v>2</v>
      </c>
      <c r="F2304" s="1186">
        <v>148210</v>
      </c>
    </row>
    <row r="2305" spans="1:6" x14ac:dyDescent="0.2">
      <c r="A2305" s="1186" t="s">
        <v>144</v>
      </c>
      <c r="B2305" s="1186" t="s">
        <v>826</v>
      </c>
      <c r="C2305" s="1186" t="s">
        <v>61</v>
      </c>
      <c r="D2305" s="1186" t="s">
        <v>30</v>
      </c>
      <c r="E2305" s="1186">
        <v>8</v>
      </c>
      <c r="F2305" s="1186">
        <v>122060</v>
      </c>
    </row>
    <row r="2306" spans="1:6" x14ac:dyDescent="0.2">
      <c r="A2306" s="1186" t="s">
        <v>144</v>
      </c>
      <c r="B2306" s="1186" t="s">
        <v>826</v>
      </c>
      <c r="C2306" s="1186" t="s">
        <v>61</v>
      </c>
      <c r="D2306" s="1186" t="s">
        <v>31</v>
      </c>
      <c r="E2306" s="1186">
        <v>3</v>
      </c>
      <c r="F2306" s="1186">
        <v>106960</v>
      </c>
    </row>
    <row r="2307" spans="1:6" x14ac:dyDescent="0.2">
      <c r="A2307" s="1186" t="s">
        <v>144</v>
      </c>
      <c r="B2307" s="1186" t="s">
        <v>826</v>
      </c>
      <c r="C2307" s="1186" t="s">
        <v>61</v>
      </c>
      <c r="D2307" s="1186" t="s">
        <v>32</v>
      </c>
      <c r="E2307" s="1186">
        <v>4</v>
      </c>
      <c r="F2307" s="1186">
        <v>103050</v>
      </c>
    </row>
    <row r="2308" spans="1:6" x14ac:dyDescent="0.2">
      <c r="A2308" s="1186" t="s">
        <v>144</v>
      </c>
      <c r="B2308" s="1186" t="s">
        <v>826</v>
      </c>
      <c r="C2308" s="1186" t="s">
        <v>61</v>
      </c>
      <c r="D2308" s="1186" t="s">
        <v>33</v>
      </c>
      <c r="E2308" s="1186">
        <v>3</v>
      </c>
      <c r="F2308" s="1186">
        <v>92940</v>
      </c>
    </row>
    <row r="2309" spans="1:6" x14ac:dyDescent="0.2">
      <c r="A2309" s="1186" t="s">
        <v>144</v>
      </c>
      <c r="B2309" s="1186" t="s">
        <v>826</v>
      </c>
      <c r="C2309" s="1186" t="s">
        <v>61</v>
      </c>
      <c r="D2309" s="1186" t="s">
        <v>34</v>
      </c>
      <c r="E2309" s="1186">
        <v>9</v>
      </c>
      <c r="F2309" s="1186">
        <v>158460</v>
      </c>
    </row>
    <row r="2310" spans="1:6" x14ac:dyDescent="0.2">
      <c r="A2310" s="1186" t="s">
        <v>144</v>
      </c>
      <c r="B2310" s="1186" t="s">
        <v>826</v>
      </c>
      <c r="C2310" s="1186" t="s">
        <v>61</v>
      </c>
      <c r="D2310" s="1186" t="s">
        <v>35</v>
      </c>
      <c r="E2310" s="1186">
        <v>23</v>
      </c>
      <c r="F2310" s="1186">
        <v>368080</v>
      </c>
    </row>
    <row r="2311" spans="1:6" x14ac:dyDescent="0.2">
      <c r="A2311" s="1186" t="s">
        <v>144</v>
      </c>
      <c r="B2311" s="1186" t="s">
        <v>826</v>
      </c>
      <c r="C2311" s="1186" t="s">
        <v>61</v>
      </c>
      <c r="D2311" s="1186" t="s">
        <v>36</v>
      </c>
      <c r="E2311" s="1186">
        <v>25</v>
      </c>
      <c r="F2311" s="1186">
        <v>606340</v>
      </c>
    </row>
    <row r="2312" spans="1:6" x14ac:dyDescent="0.2">
      <c r="A2312" s="1186" t="s">
        <v>144</v>
      </c>
      <c r="B2312" s="1186" t="s">
        <v>826</v>
      </c>
      <c r="C2312" s="1186" t="s">
        <v>61</v>
      </c>
      <c r="D2312" s="1186" t="s">
        <v>37</v>
      </c>
      <c r="E2312" s="1186">
        <v>37</v>
      </c>
      <c r="F2312" s="1186">
        <v>234110</v>
      </c>
    </row>
    <row r="2313" spans="1:6" x14ac:dyDescent="0.2">
      <c r="A2313" s="1186" t="s">
        <v>144</v>
      </c>
      <c r="B2313" s="1186" t="s">
        <v>826</v>
      </c>
      <c r="C2313" s="1186" t="s">
        <v>61</v>
      </c>
      <c r="D2313" s="1186" t="s">
        <v>38</v>
      </c>
      <c r="E2313" s="1186">
        <v>6</v>
      </c>
      <c r="F2313" s="1186">
        <v>79500</v>
      </c>
    </row>
    <row r="2314" spans="1:6" x14ac:dyDescent="0.2">
      <c r="A2314" s="1186" t="s">
        <v>144</v>
      </c>
      <c r="B2314" s="1186" t="s">
        <v>826</v>
      </c>
      <c r="C2314" s="1186" t="s">
        <v>61</v>
      </c>
      <c r="D2314" s="1186" t="s">
        <v>39</v>
      </c>
      <c r="E2314" s="1186">
        <v>8</v>
      </c>
      <c r="F2314" s="1186">
        <v>87390</v>
      </c>
    </row>
    <row r="2315" spans="1:6" x14ac:dyDescent="0.2">
      <c r="A2315" s="1186" t="s">
        <v>144</v>
      </c>
      <c r="B2315" s="1186" t="s">
        <v>826</v>
      </c>
      <c r="C2315" s="1186" t="s">
        <v>61</v>
      </c>
      <c r="D2315" s="1186" t="s">
        <v>40</v>
      </c>
      <c r="E2315" s="1186">
        <v>9</v>
      </c>
      <c r="F2315" s="1186">
        <v>95510</v>
      </c>
    </row>
    <row r="2316" spans="1:6" x14ac:dyDescent="0.2">
      <c r="A2316" s="1186" t="s">
        <v>144</v>
      </c>
      <c r="B2316" s="1186" t="s">
        <v>826</v>
      </c>
      <c r="C2316" s="1186" t="s">
        <v>61</v>
      </c>
      <c r="D2316" s="1186" t="s">
        <v>295</v>
      </c>
      <c r="E2316" s="1186">
        <v>4</v>
      </c>
      <c r="F2316" s="1186">
        <v>27070</v>
      </c>
    </row>
    <row r="2317" spans="1:6" x14ac:dyDescent="0.2">
      <c r="A2317" s="1186" t="s">
        <v>144</v>
      </c>
      <c r="B2317" s="1186" t="s">
        <v>826</v>
      </c>
      <c r="C2317" s="1186" t="s">
        <v>61</v>
      </c>
      <c r="D2317" s="1186" t="s">
        <v>41</v>
      </c>
      <c r="E2317" s="1186">
        <v>6</v>
      </c>
      <c r="F2317" s="1186">
        <v>136130</v>
      </c>
    </row>
    <row r="2318" spans="1:6" x14ac:dyDescent="0.2">
      <c r="A2318" s="1186" t="s">
        <v>144</v>
      </c>
      <c r="B2318" s="1186" t="s">
        <v>826</v>
      </c>
      <c r="C2318" s="1186" t="s">
        <v>61</v>
      </c>
      <c r="D2318" s="1186" t="s">
        <v>42</v>
      </c>
      <c r="E2318" s="1186">
        <v>8</v>
      </c>
      <c r="F2318" s="1186">
        <v>338260</v>
      </c>
    </row>
    <row r="2319" spans="1:6" x14ac:dyDescent="0.2">
      <c r="A2319" s="1186" t="s">
        <v>144</v>
      </c>
      <c r="B2319" s="1186" t="s">
        <v>826</v>
      </c>
      <c r="C2319" s="1186" t="s">
        <v>61</v>
      </c>
      <c r="D2319" s="1186" t="s">
        <v>43</v>
      </c>
      <c r="E2319" s="1186">
        <v>6</v>
      </c>
      <c r="F2319" s="1186">
        <v>21670</v>
      </c>
    </row>
    <row r="2320" spans="1:6" x14ac:dyDescent="0.2">
      <c r="A2320" s="1186" t="s">
        <v>144</v>
      </c>
      <c r="B2320" s="1186" t="s">
        <v>826</v>
      </c>
      <c r="C2320" s="1186" t="s">
        <v>61</v>
      </c>
      <c r="D2320" s="1186" t="s">
        <v>44</v>
      </c>
      <c r="E2320" s="1186">
        <v>17</v>
      </c>
      <c r="F2320" s="1186">
        <v>149930</v>
      </c>
    </row>
    <row r="2321" spans="1:6" x14ac:dyDescent="0.2">
      <c r="A2321" s="1186" t="s">
        <v>144</v>
      </c>
      <c r="B2321" s="1186" t="s">
        <v>826</v>
      </c>
      <c r="C2321" s="1186" t="s">
        <v>61</v>
      </c>
      <c r="D2321" s="1186" t="s">
        <v>45</v>
      </c>
      <c r="E2321" s="1186">
        <v>6</v>
      </c>
      <c r="F2321" s="1186">
        <v>174560</v>
      </c>
    </row>
    <row r="2322" spans="1:6" x14ac:dyDescent="0.2">
      <c r="A2322" s="1186" t="s">
        <v>144</v>
      </c>
      <c r="B2322" s="1186" t="s">
        <v>826</v>
      </c>
      <c r="C2322" s="1186" t="s">
        <v>61</v>
      </c>
      <c r="D2322" s="1186" t="s">
        <v>46</v>
      </c>
      <c r="E2322" s="1186">
        <v>12</v>
      </c>
      <c r="F2322" s="1186">
        <v>114030</v>
      </c>
    </row>
    <row r="2323" spans="1:6" x14ac:dyDescent="0.2">
      <c r="A2323" s="1186" t="s">
        <v>144</v>
      </c>
      <c r="B2323" s="1186" t="s">
        <v>826</v>
      </c>
      <c r="C2323" s="1186" t="s">
        <v>61</v>
      </c>
      <c r="D2323" s="1186" t="s">
        <v>47</v>
      </c>
      <c r="E2323" s="1186">
        <v>7</v>
      </c>
      <c r="F2323" s="1186">
        <v>23200</v>
      </c>
    </row>
    <row r="2324" spans="1:6" x14ac:dyDescent="0.2">
      <c r="A2324" s="1186" t="s">
        <v>144</v>
      </c>
      <c r="B2324" s="1186" t="s">
        <v>826</v>
      </c>
      <c r="C2324" s="1186" t="s">
        <v>61</v>
      </c>
      <c r="D2324" s="1186" t="s">
        <v>48</v>
      </c>
      <c r="E2324" s="1186">
        <v>2</v>
      </c>
      <c r="F2324" s="1186">
        <v>112400</v>
      </c>
    </row>
    <row r="2325" spans="1:6" x14ac:dyDescent="0.2">
      <c r="A2325" s="1186" t="s">
        <v>144</v>
      </c>
      <c r="B2325" s="1186" t="s">
        <v>826</v>
      </c>
      <c r="C2325" s="1186" t="s">
        <v>61</v>
      </c>
      <c r="D2325" s="1186" t="s">
        <v>49</v>
      </c>
      <c r="E2325" s="1186">
        <v>4</v>
      </c>
      <c r="F2325" s="1186">
        <v>316230</v>
      </c>
    </row>
    <row r="2326" spans="1:6" x14ac:dyDescent="0.2">
      <c r="A2326" s="1186" t="s">
        <v>144</v>
      </c>
      <c r="B2326" s="1186" t="s">
        <v>826</v>
      </c>
      <c r="C2326" s="1186" t="s">
        <v>61</v>
      </c>
      <c r="D2326" s="1186" t="s">
        <v>50</v>
      </c>
      <c r="E2326" s="1186">
        <v>10</v>
      </c>
      <c r="F2326" s="1186">
        <v>92830</v>
      </c>
    </row>
    <row r="2327" spans="1:6" x14ac:dyDescent="0.2">
      <c r="A2327" s="1186" t="s">
        <v>144</v>
      </c>
      <c r="B2327" s="1186" t="s">
        <v>826</v>
      </c>
      <c r="C2327" s="1186" t="s">
        <v>61</v>
      </c>
      <c r="D2327" s="1186" t="s">
        <v>51</v>
      </c>
      <c r="E2327" s="1186">
        <v>4</v>
      </c>
      <c r="F2327" s="1186">
        <v>89590</v>
      </c>
    </row>
    <row r="2328" spans="1:6" x14ac:dyDescent="0.2">
      <c r="A2328" s="1186" t="s">
        <v>144</v>
      </c>
      <c r="B2328" s="1186" t="s">
        <v>826</v>
      </c>
      <c r="C2328" s="1186" t="s">
        <v>61</v>
      </c>
      <c r="D2328" s="1186" t="s">
        <v>52</v>
      </c>
      <c r="E2328" s="1186">
        <v>15</v>
      </c>
      <c r="F2328" s="1186">
        <v>178550</v>
      </c>
    </row>
    <row r="2329" spans="1:6" x14ac:dyDescent="0.2">
      <c r="A2329" s="1186" t="s">
        <v>144</v>
      </c>
      <c r="B2329" s="1186" t="s">
        <v>826</v>
      </c>
      <c r="C2329" s="1186" t="s">
        <v>116</v>
      </c>
      <c r="D2329" s="1186" t="s">
        <v>23</v>
      </c>
      <c r="E2329" s="1186">
        <v>16</v>
      </c>
      <c r="F2329" s="1186">
        <v>230350</v>
      </c>
    </row>
    <row r="2330" spans="1:6" x14ac:dyDescent="0.2">
      <c r="A2330" s="1186" t="s">
        <v>144</v>
      </c>
      <c r="B2330" s="1186" t="s">
        <v>826</v>
      </c>
      <c r="C2330" s="1186" t="s">
        <v>116</v>
      </c>
      <c r="D2330" s="1186" t="s">
        <v>24</v>
      </c>
      <c r="E2330" s="1186">
        <v>13</v>
      </c>
      <c r="F2330" s="1186">
        <v>261960</v>
      </c>
    </row>
    <row r="2331" spans="1:6" x14ac:dyDescent="0.2">
      <c r="A2331" s="1186" t="s">
        <v>144</v>
      </c>
      <c r="B2331" s="1186" t="s">
        <v>826</v>
      </c>
      <c r="C2331" s="1186" t="s">
        <v>116</v>
      </c>
      <c r="D2331" s="1186" t="s">
        <v>25</v>
      </c>
      <c r="E2331" s="1186">
        <v>5</v>
      </c>
      <c r="F2331" s="1186">
        <v>116900</v>
      </c>
    </row>
    <row r="2332" spans="1:6" x14ac:dyDescent="0.2">
      <c r="A2332" s="1186" t="s">
        <v>144</v>
      </c>
      <c r="B2332" s="1186" t="s">
        <v>826</v>
      </c>
      <c r="C2332" s="1186" t="s">
        <v>116</v>
      </c>
      <c r="D2332" s="1186" t="s">
        <v>26</v>
      </c>
      <c r="E2332" s="1186">
        <v>1</v>
      </c>
      <c r="F2332" s="1186">
        <v>86890</v>
      </c>
    </row>
    <row r="2333" spans="1:6" x14ac:dyDescent="0.2">
      <c r="A2333" s="1186" t="s">
        <v>144</v>
      </c>
      <c r="B2333" s="1186" t="s">
        <v>826</v>
      </c>
      <c r="C2333" s="1186" t="s">
        <v>116</v>
      </c>
      <c r="D2333" s="1186" t="s">
        <v>619</v>
      </c>
      <c r="E2333" s="1186">
        <v>66</v>
      </c>
      <c r="F2333" s="1186">
        <v>498810</v>
      </c>
    </row>
    <row r="2334" spans="1:6" x14ac:dyDescent="0.2">
      <c r="A2334" s="1186" t="s">
        <v>144</v>
      </c>
      <c r="B2334" s="1186" t="s">
        <v>826</v>
      </c>
      <c r="C2334" s="1186" t="s">
        <v>116</v>
      </c>
      <c r="D2334" s="1186" t="s">
        <v>27</v>
      </c>
      <c r="E2334" s="1186">
        <v>9</v>
      </c>
      <c r="F2334" s="1186">
        <v>51360</v>
      </c>
    </row>
    <row r="2335" spans="1:6" x14ac:dyDescent="0.2">
      <c r="A2335" s="1186" t="s">
        <v>144</v>
      </c>
      <c r="B2335" s="1186" t="s">
        <v>826</v>
      </c>
      <c r="C2335" s="1186" t="s">
        <v>116</v>
      </c>
      <c r="D2335" s="1186" t="s">
        <v>28</v>
      </c>
      <c r="E2335" s="1186">
        <v>7</v>
      </c>
      <c r="F2335" s="1186">
        <v>149670</v>
      </c>
    </row>
    <row r="2336" spans="1:6" x14ac:dyDescent="0.2">
      <c r="A2336" s="1186" t="s">
        <v>144</v>
      </c>
      <c r="B2336" s="1186" t="s">
        <v>826</v>
      </c>
      <c r="C2336" s="1186" t="s">
        <v>116</v>
      </c>
      <c r="D2336" s="1186" t="s">
        <v>29</v>
      </c>
      <c r="E2336" s="1186">
        <v>7</v>
      </c>
      <c r="F2336" s="1186">
        <v>148210</v>
      </c>
    </row>
    <row r="2337" spans="1:6" x14ac:dyDescent="0.2">
      <c r="A2337" s="1186" t="s">
        <v>144</v>
      </c>
      <c r="B2337" s="1186" t="s">
        <v>826</v>
      </c>
      <c r="C2337" s="1186" t="s">
        <v>116</v>
      </c>
      <c r="D2337" s="1186" t="s">
        <v>30</v>
      </c>
      <c r="E2337" s="1186">
        <v>11</v>
      </c>
      <c r="F2337" s="1186">
        <v>122060</v>
      </c>
    </row>
    <row r="2338" spans="1:6" x14ac:dyDescent="0.2">
      <c r="A2338" s="1186" t="s">
        <v>144</v>
      </c>
      <c r="B2338" s="1186" t="s">
        <v>826</v>
      </c>
      <c r="C2338" s="1186" t="s">
        <v>116</v>
      </c>
      <c r="D2338" s="1186" t="s">
        <v>31</v>
      </c>
      <c r="E2338" s="1186">
        <v>7</v>
      </c>
      <c r="F2338" s="1186">
        <v>106960</v>
      </c>
    </row>
    <row r="2339" spans="1:6" x14ac:dyDescent="0.2">
      <c r="A2339" s="1186" t="s">
        <v>144</v>
      </c>
      <c r="B2339" s="1186" t="s">
        <v>826</v>
      </c>
      <c r="C2339" s="1186" t="s">
        <v>116</v>
      </c>
      <c r="D2339" s="1186" t="s">
        <v>32</v>
      </c>
      <c r="E2339" s="1186">
        <v>23</v>
      </c>
      <c r="F2339" s="1186">
        <v>103050</v>
      </c>
    </row>
    <row r="2340" spans="1:6" x14ac:dyDescent="0.2">
      <c r="A2340" s="1186" t="s">
        <v>144</v>
      </c>
      <c r="B2340" s="1186" t="s">
        <v>826</v>
      </c>
      <c r="C2340" s="1186" t="s">
        <v>116</v>
      </c>
      <c r="D2340" s="1186" t="s">
        <v>33</v>
      </c>
      <c r="E2340" s="1186">
        <v>8</v>
      </c>
      <c r="F2340" s="1186">
        <v>92940</v>
      </c>
    </row>
    <row r="2341" spans="1:6" x14ac:dyDescent="0.2">
      <c r="A2341" s="1186" t="s">
        <v>144</v>
      </c>
      <c r="B2341" s="1186" t="s">
        <v>826</v>
      </c>
      <c r="C2341" s="1186" t="s">
        <v>116</v>
      </c>
      <c r="D2341" s="1186" t="s">
        <v>34</v>
      </c>
      <c r="E2341" s="1186">
        <v>38</v>
      </c>
      <c r="F2341" s="1186">
        <v>158460</v>
      </c>
    </row>
    <row r="2342" spans="1:6" x14ac:dyDescent="0.2">
      <c r="A2342" s="1186" t="s">
        <v>144</v>
      </c>
      <c r="B2342" s="1186" t="s">
        <v>826</v>
      </c>
      <c r="C2342" s="1186" t="s">
        <v>116</v>
      </c>
      <c r="D2342" s="1186" t="s">
        <v>35</v>
      </c>
      <c r="E2342" s="1186">
        <v>25</v>
      </c>
      <c r="F2342" s="1186">
        <v>368080</v>
      </c>
    </row>
    <row r="2343" spans="1:6" x14ac:dyDescent="0.2">
      <c r="A2343" s="1186" t="s">
        <v>144</v>
      </c>
      <c r="B2343" s="1186" t="s">
        <v>826</v>
      </c>
      <c r="C2343" s="1186" t="s">
        <v>116</v>
      </c>
      <c r="D2343" s="1186" t="s">
        <v>36</v>
      </c>
      <c r="E2343" s="1186">
        <v>54</v>
      </c>
      <c r="F2343" s="1186">
        <v>606340</v>
      </c>
    </row>
    <row r="2344" spans="1:6" x14ac:dyDescent="0.2">
      <c r="A2344" s="1186" t="s">
        <v>144</v>
      </c>
      <c r="B2344" s="1186" t="s">
        <v>826</v>
      </c>
      <c r="C2344" s="1186" t="s">
        <v>116</v>
      </c>
      <c r="D2344" s="1186" t="s">
        <v>37</v>
      </c>
      <c r="E2344" s="1186">
        <v>19</v>
      </c>
      <c r="F2344" s="1186">
        <v>234110</v>
      </c>
    </row>
    <row r="2345" spans="1:6" x14ac:dyDescent="0.2">
      <c r="A2345" s="1186" t="s">
        <v>144</v>
      </c>
      <c r="B2345" s="1186" t="s">
        <v>826</v>
      </c>
      <c r="C2345" s="1186" t="s">
        <v>116</v>
      </c>
      <c r="D2345" s="1186" t="s">
        <v>38</v>
      </c>
      <c r="E2345" s="1186">
        <v>11</v>
      </c>
      <c r="F2345" s="1186">
        <v>79500</v>
      </c>
    </row>
    <row r="2346" spans="1:6" x14ac:dyDescent="0.2">
      <c r="A2346" s="1186" t="s">
        <v>144</v>
      </c>
      <c r="B2346" s="1186" t="s">
        <v>826</v>
      </c>
      <c r="C2346" s="1186" t="s">
        <v>116</v>
      </c>
      <c r="D2346" s="1186" t="s">
        <v>39</v>
      </c>
      <c r="E2346" s="1186">
        <v>32</v>
      </c>
      <c r="F2346" s="1186">
        <v>87390</v>
      </c>
    </row>
    <row r="2347" spans="1:6" x14ac:dyDescent="0.2">
      <c r="A2347" s="1186" t="s">
        <v>144</v>
      </c>
      <c r="B2347" s="1186" t="s">
        <v>826</v>
      </c>
      <c r="C2347" s="1186" t="s">
        <v>116</v>
      </c>
      <c r="D2347" s="1186" t="s">
        <v>40</v>
      </c>
      <c r="E2347" s="1186">
        <v>2</v>
      </c>
      <c r="F2347" s="1186">
        <v>95510</v>
      </c>
    </row>
    <row r="2348" spans="1:6" x14ac:dyDescent="0.2">
      <c r="A2348" s="1186" t="s">
        <v>144</v>
      </c>
      <c r="B2348" s="1186" t="s">
        <v>826</v>
      </c>
      <c r="C2348" s="1186" t="s">
        <v>116</v>
      </c>
      <c r="D2348" s="1186" t="s">
        <v>295</v>
      </c>
      <c r="E2348" s="1186">
        <v>1</v>
      </c>
      <c r="F2348" s="1186">
        <v>27070</v>
      </c>
    </row>
    <row r="2349" spans="1:6" x14ac:dyDescent="0.2">
      <c r="A2349" s="1186" t="s">
        <v>144</v>
      </c>
      <c r="B2349" s="1186" t="s">
        <v>826</v>
      </c>
      <c r="C2349" s="1186" t="s">
        <v>116</v>
      </c>
      <c r="D2349" s="1186" t="s">
        <v>41</v>
      </c>
      <c r="E2349" s="1186">
        <v>5</v>
      </c>
      <c r="F2349" s="1186">
        <v>136130</v>
      </c>
    </row>
    <row r="2350" spans="1:6" x14ac:dyDescent="0.2">
      <c r="A2350" s="1186" t="s">
        <v>144</v>
      </c>
      <c r="B2350" s="1186" t="s">
        <v>826</v>
      </c>
      <c r="C2350" s="1186" t="s">
        <v>116</v>
      </c>
      <c r="D2350" s="1186" t="s">
        <v>42</v>
      </c>
      <c r="E2350" s="1186">
        <v>25</v>
      </c>
      <c r="F2350" s="1186">
        <v>338260</v>
      </c>
    </row>
    <row r="2351" spans="1:6" x14ac:dyDescent="0.2">
      <c r="A2351" s="1186" t="s">
        <v>144</v>
      </c>
      <c r="B2351" s="1186" t="s">
        <v>826</v>
      </c>
      <c r="C2351" s="1186" t="s">
        <v>116</v>
      </c>
      <c r="D2351" s="1186" t="s">
        <v>44</v>
      </c>
      <c r="E2351" s="1186">
        <v>6</v>
      </c>
      <c r="F2351" s="1186">
        <v>149930</v>
      </c>
    </row>
    <row r="2352" spans="1:6" x14ac:dyDescent="0.2">
      <c r="A2352" s="1186" t="s">
        <v>144</v>
      </c>
      <c r="B2352" s="1186" t="s">
        <v>826</v>
      </c>
      <c r="C2352" s="1186" t="s">
        <v>116</v>
      </c>
      <c r="D2352" s="1186" t="s">
        <v>45</v>
      </c>
      <c r="E2352" s="1186">
        <v>13</v>
      </c>
      <c r="F2352" s="1186">
        <v>174560</v>
      </c>
    </row>
    <row r="2353" spans="1:6" x14ac:dyDescent="0.2">
      <c r="A2353" s="1186" t="s">
        <v>144</v>
      </c>
      <c r="B2353" s="1186" t="s">
        <v>826</v>
      </c>
      <c r="C2353" s="1186" t="s">
        <v>116</v>
      </c>
      <c r="D2353" s="1186" t="s">
        <v>46</v>
      </c>
      <c r="E2353" s="1186">
        <v>25</v>
      </c>
      <c r="F2353" s="1186">
        <v>114030</v>
      </c>
    </row>
    <row r="2354" spans="1:6" x14ac:dyDescent="0.2">
      <c r="A2354" s="1186" t="s">
        <v>144</v>
      </c>
      <c r="B2354" s="1186" t="s">
        <v>826</v>
      </c>
      <c r="C2354" s="1186" t="s">
        <v>116</v>
      </c>
      <c r="D2354" s="1186" t="s">
        <v>48</v>
      </c>
      <c r="E2354" s="1186">
        <v>2</v>
      </c>
      <c r="F2354" s="1186">
        <v>112400</v>
      </c>
    </row>
    <row r="2355" spans="1:6" x14ac:dyDescent="0.2">
      <c r="A2355" s="1186" t="s">
        <v>144</v>
      </c>
      <c r="B2355" s="1186" t="s">
        <v>826</v>
      </c>
      <c r="C2355" s="1186" t="s">
        <v>116</v>
      </c>
      <c r="D2355" s="1186" t="s">
        <v>49</v>
      </c>
      <c r="E2355" s="1186">
        <v>19</v>
      </c>
      <c r="F2355" s="1186">
        <v>316230</v>
      </c>
    </row>
    <row r="2356" spans="1:6" x14ac:dyDescent="0.2">
      <c r="A2356" s="1186" t="s">
        <v>144</v>
      </c>
      <c r="B2356" s="1186" t="s">
        <v>826</v>
      </c>
      <c r="C2356" s="1186" t="s">
        <v>116</v>
      </c>
      <c r="D2356" s="1186" t="s">
        <v>50</v>
      </c>
      <c r="E2356" s="1186">
        <v>8</v>
      </c>
      <c r="F2356" s="1186">
        <v>92830</v>
      </c>
    </row>
    <row r="2357" spans="1:6" x14ac:dyDescent="0.2">
      <c r="A2357" s="1186" t="s">
        <v>144</v>
      </c>
      <c r="B2357" s="1186" t="s">
        <v>826</v>
      </c>
      <c r="C2357" s="1186" t="s">
        <v>116</v>
      </c>
      <c r="D2357" s="1186" t="s">
        <v>51</v>
      </c>
      <c r="E2357" s="1186">
        <v>11</v>
      </c>
      <c r="F2357" s="1186">
        <v>89590</v>
      </c>
    </row>
    <row r="2358" spans="1:6" x14ac:dyDescent="0.2">
      <c r="A2358" s="1186" t="s">
        <v>144</v>
      </c>
      <c r="B2358" s="1186" t="s">
        <v>826</v>
      </c>
      <c r="C2358" s="1186" t="s">
        <v>116</v>
      </c>
      <c r="D2358" s="1186" t="s">
        <v>52</v>
      </c>
      <c r="E2358" s="1186">
        <v>69</v>
      </c>
      <c r="F2358" s="1186">
        <v>178550</v>
      </c>
    </row>
    <row r="2359" spans="1:6" x14ac:dyDescent="0.2">
      <c r="A2359" s="1186" t="s">
        <v>144</v>
      </c>
      <c r="B2359" s="1186" t="s">
        <v>308</v>
      </c>
      <c r="C2359" s="1186" t="s">
        <v>61</v>
      </c>
      <c r="D2359" s="1186" t="s">
        <v>23</v>
      </c>
      <c r="E2359" s="1186">
        <v>122</v>
      </c>
      <c r="F2359" s="1186">
        <v>230350</v>
      </c>
    </row>
    <row r="2360" spans="1:6" x14ac:dyDescent="0.2">
      <c r="A2360" s="1186" t="s">
        <v>144</v>
      </c>
      <c r="B2360" s="1186" t="s">
        <v>308</v>
      </c>
      <c r="C2360" s="1186" t="s">
        <v>61</v>
      </c>
      <c r="D2360" s="1186" t="s">
        <v>24</v>
      </c>
      <c r="E2360" s="1186">
        <v>92</v>
      </c>
      <c r="F2360" s="1186">
        <v>261960</v>
      </c>
    </row>
    <row r="2361" spans="1:6" x14ac:dyDescent="0.2">
      <c r="A2361" s="1186" t="s">
        <v>144</v>
      </c>
      <c r="B2361" s="1186" t="s">
        <v>308</v>
      </c>
      <c r="C2361" s="1186" t="s">
        <v>61</v>
      </c>
      <c r="D2361" s="1186" t="s">
        <v>25</v>
      </c>
      <c r="E2361" s="1186">
        <v>55</v>
      </c>
      <c r="F2361" s="1186">
        <v>116900</v>
      </c>
    </row>
    <row r="2362" spans="1:6" x14ac:dyDescent="0.2">
      <c r="A2362" s="1186" t="s">
        <v>144</v>
      </c>
      <c r="B2362" s="1186" t="s">
        <v>308</v>
      </c>
      <c r="C2362" s="1186" t="s">
        <v>61</v>
      </c>
      <c r="D2362" s="1186" t="s">
        <v>26</v>
      </c>
      <c r="E2362" s="1186">
        <v>29</v>
      </c>
      <c r="F2362" s="1186">
        <v>86890</v>
      </c>
    </row>
    <row r="2363" spans="1:6" x14ac:dyDescent="0.2">
      <c r="A2363" s="1186" t="s">
        <v>144</v>
      </c>
      <c r="B2363" s="1186" t="s">
        <v>308</v>
      </c>
      <c r="C2363" s="1186" t="s">
        <v>61</v>
      </c>
      <c r="D2363" s="1186" t="s">
        <v>619</v>
      </c>
      <c r="E2363" s="1186">
        <v>584</v>
      </c>
      <c r="F2363" s="1186">
        <v>498810</v>
      </c>
    </row>
    <row r="2364" spans="1:6" x14ac:dyDescent="0.2">
      <c r="A2364" s="1186" t="s">
        <v>144</v>
      </c>
      <c r="B2364" s="1186" t="s">
        <v>308</v>
      </c>
      <c r="C2364" s="1186" t="s">
        <v>61</v>
      </c>
      <c r="D2364" s="1186" t="s">
        <v>27</v>
      </c>
      <c r="E2364" s="1186">
        <v>19</v>
      </c>
      <c r="F2364" s="1186">
        <v>51360</v>
      </c>
    </row>
    <row r="2365" spans="1:6" x14ac:dyDescent="0.2">
      <c r="A2365" s="1186" t="s">
        <v>144</v>
      </c>
      <c r="B2365" s="1186" t="s">
        <v>308</v>
      </c>
      <c r="C2365" s="1186" t="s">
        <v>61</v>
      </c>
      <c r="D2365" s="1186" t="s">
        <v>28</v>
      </c>
      <c r="E2365" s="1186">
        <v>61</v>
      </c>
      <c r="F2365" s="1186">
        <v>149670</v>
      </c>
    </row>
    <row r="2366" spans="1:6" x14ac:dyDescent="0.2">
      <c r="A2366" s="1186" t="s">
        <v>144</v>
      </c>
      <c r="B2366" s="1186" t="s">
        <v>308</v>
      </c>
      <c r="C2366" s="1186" t="s">
        <v>61</v>
      </c>
      <c r="D2366" s="1186" t="s">
        <v>29</v>
      </c>
      <c r="E2366" s="1186">
        <v>140</v>
      </c>
      <c r="F2366" s="1186">
        <v>148210</v>
      </c>
    </row>
    <row r="2367" spans="1:6" x14ac:dyDescent="0.2">
      <c r="A2367" s="1186" t="s">
        <v>144</v>
      </c>
      <c r="B2367" s="1186" t="s">
        <v>308</v>
      </c>
      <c r="C2367" s="1186" t="s">
        <v>61</v>
      </c>
      <c r="D2367" s="1186" t="s">
        <v>30</v>
      </c>
      <c r="E2367" s="1186">
        <v>23</v>
      </c>
      <c r="F2367" s="1186">
        <v>122060</v>
      </c>
    </row>
    <row r="2368" spans="1:6" x14ac:dyDescent="0.2">
      <c r="A2368" s="1186" t="s">
        <v>144</v>
      </c>
      <c r="B2368" s="1186" t="s">
        <v>308</v>
      </c>
      <c r="C2368" s="1186" t="s">
        <v>61</v>
      </c>
      <c r="D2368" s="1186" t="s">
        <v>31</v>
      </c>
      <c r="E2368" s="1186">
        <v>11</v>
      </c>
      <c r="F2368" s="1186">
        <v>106960</v>
      </c>
    </row>
    <row r="2369" spans="1:6" x14ac:dyDescent="0.2">
      <c r="A2369" s="1186" t="s">
        <v>144</v>
      </c>
      <c r="B2369" s="1186" t="s">
        <v>308</v>
      </c>
      <c r="C2369" s="1186" t="s">
        <v>61</v>
      </c>
      <c r="D2369" s="1186" t="s">
        <v>32</v>
      </c>
      <c r="E2369" s="1186">
        <v>58</v>
      </c>
      <c r="F2369" s="1186">
        <v>103050</v>
      </c>
    </row>
    <row r="2370" spans="1:6" x14ac:dyDescent="0.2">
      <c r="A2370" s="1186" t="s">
        <v>144</v>
      </c>
      <c r="B2370" s="1186" t="s">
        <v>308</v>
      </c>
      <c r="C2370" s="1186" t="s">
        <v>61</v>
      </c>
      <c r="D2370" s="1186" t="s">
        <v>33</v>
      </c>
      <c r="E2370" s="1186">
        <v>10</v>
      </c>
      <c r="F2370" s="1186">
        <v>92940</v>
      </c>
    </row>
    <row r="2371" spans="1:6" x14ac:dyDescent="0.2">
      <c r="A2371" s="1186" t="s">
        <v>144</v>
      </c>
      <c r="B2371" s="1186" t="s">
        <v>308</v>
      </c>
      <c r="C2371" s="1186" t="s">
        <v>61</v>
      </c>
      <c r="D2371" s="1186" t="s">
        <v>34</v>
      </c>
      <c r="E2371" s="1186">
        <v>56</v>
      </c>
      <c r="F2371" s="1186">
        <v>158460</v>
      </c>
    </row>
    <row r="2372" spans="1:6" x14ac:dyDescent="0.2">
      <c r="A2372" s="1186" t="s">
        <v>144</v>
      </c>
      <c r="B2372" s="1186" t="s">
        <v>308</v>
      </c>
      <c r="C2372" s="1186" t="s">
        <v>61</v>
      </c>
      <c r="D2372" s="1186" t="s">
        <v>35</v>
      </c>
      <c r="E2372" s="1186">
        <v>158</v>
      </c>
      <c r="F2372" s="1186">
        <v>368080</v>
      </c>
    </row>
    <row r="2373" spans="1:6" x14ac:dyDescent="0.2">
      <c r="A2373" s="1186" t="s">
        <v>144</v>
      </c>
      <c r="B2373" s="1186" t="s">
        <v>308</v>
      </c>
      <c r="C2373" s="1186" t="s">
        <v>61</v>
      </c>
      <c r="D2373" s="1186" t="s">
        <v>36</v>
      </c>
      <c r="E2373" s="1186">
        <v>139</v>
      </c>
      <c r="F2373" s="1186">
        <v>606340</v>
      </c>
    </row>
    <row r="2374" spans="1:6" x14ac:dyDescent="0.2">
      <c r="A2374" s="1186" t="s">
        <v>144</v>
      </c>
      <c r="B2374" s="1186" t="s">
        <v>308</v>
      </c>
      <c r="C2374" s="1186" t="s">
        <v>61</v>
      </c>
      <c r="D2374" s="1186" t="s">
        <v>37</v>
      </c>
      <c r="E2374" s="1186">
        <v>267</v>
      </c>
      <c r="F2374" s="1186">
        <v>234110</v>
      </c>
    </row>
    <row r="2375" spans="1:6" x14ac:dyDescent="0.2">
      <c r="A2375" s="1186" t="s">
        <v>144</v>
      </c>
      <c r="B2375" s="1186" t="s">
        <v>308</v>
      </c>
      <c r="C2375" s="1186" t="s">
        <v>61</v>
      </c>
      <c r="D2375" s="1186" t="s">
        <v>38</v>
      </c>
      <c r="E2375" s="1186">
        <v>12</v>
      </c>
      <c r="F2375" s="1186">
        <v>79500</v>
      </c>
    </row>
    <row r="2376" spans="1:6" x14ac:dyDescent="0.2">
      <c r="A2376" s="1186" t="s">
        <v>144</v>
      </c>
      <c r="B2376" s="1186" t="s">
        <v>308</v>
      </c>
      <c r="C2376" s="1186" t="s">
        <v>61</v>
      </c>
      <c r="D2376" s="1186" t="s">
        <v>39</v>
      </c>
      <c r="E2376" s="1186">
        <v>79</v>
      </c>
      <c r="F2376" s="1186">
        <v>87390</v>
      </c>
    </row>
    <row r="2377" spans="1:6" x14ac:dyDescent="0.2">
      <c r="A2377" s="1186" t="s">
        <v>144</v>
      </c>
      <c r="B2377" s="1186" t="s">
        <v>308</v>
      </c>
      <c r="C2377" s="1186" t="s">
        <v>61</v>
      </c>
      <c r="D2377" s="1186" t="s">
        <v>40</v>
      </c>
      <c r="E2377" s="1186">
        <v>43</v>
      </c>
      <c r="F2377" s="1186">
        <v>95510</v>
      </c>
    </row>
    <row r="2378" spans="1:6" x14ac:dyDescent="0.2">
      <c r="A2378" s="1186" t="s">
        <v>144</v>
      </c>
      <c r="B2378" s="1186" t="s">
        <v>308</v>
      </c>
      <c r="C2378" s="1186" t="s">
        <v>61</v>
      </c>
      <c r="D2378" s="1186" t="s">
        <v>295</v>
      </c>
      <c r="E2378" s="1186">
        <v>25</v>
      </c>
      <c r="F2378" s="1186">
        <v>27070</v>
      </c>
    </row>
    <row r="2379" spans="1:6" x14ac:dyDescent="0.2">
      <c r="A2379" s="1186" t="s">
        <v>144</v>
      </c>
      <c r="B2379" s="1186" t="s">
        <v>308</v>
      </c>
      <c r="C2379" s="1186" t="s">
        <v>61</v>
      </c>
      <c r="D2379" s="1186" t="s">
        <v>41</v>
      </c>
      <c r="E2379" s="1186">
        <v>22</v>
      </c>
      <c r="F2379" s="1186">
        <v>136130</v>
      </c>
    </row>
    <row r="2380" spans="1:6" x14ac:dyDescent="0.2">
      <c r="A2380" s="1186" t="s">
        <v>144</v>
      </c>
      <c r="B2380" s="1186" t="s">
        <v>308</v>
      </c>
      <c r="C2380" s="1186" t="s">
        <v>61</v>
      </c>
      <c r="D2380" s="1186" t="s">
        <v>42</v>
      </c>
      <c r="E2380" s="1186">
        <v>35</v>
      </c>
      <c r="F2380" s="1186">
        <v>338260</v>
      </c>
    </row>
    <row r="2381" spans="1:6" x14ac:dyDescent="0.2">
      <c r="A2381" s="1186" t="s">
        <v>144</v>
      </c>
      <c r="B2381" s="1186" t="s">
        <v>308</v>
      </c>
      <c r="C2381" s="1186" t="s">
        <v>61</v>
      </c>
      <c r="D2381" s="1186" t="s">
        <v>43</v>
      </c>
      <c r="E2381" s="1186">
        <v>12</v>
      </c>
      <c r="F2381" s="1186">
        <v>21670</v>
      </c>
    </row>
    <row r="2382" spans="1:6" x14ac:dyDescent="0.2">
      <c r="A2382" s="1186" t="s">
        <v>144</v>
      </c>
      <c r="B2382" s="1186" t="s">
        <v>308</v>
      </c>
      <c r="C2382" s="1186" t="s">
        <v>61</v>
      </c>
      <c r="D2382" s="1186" t="s">
        <v>44</v>
      </c>
      <c r="E2382" s="1186">
        <v>56</v>
      </c>
      <c r="F2382" s="1186">
        <v>149930</v>
      </c>
    </row>
    <row r="2383" spans="1:6" x14ac:dyDescent="0.2">
      <c r="A2383" s="1186" t="s">
        <v>144</v>
      </c>
      <c r="B2383" s="1186" t="s">
        <v>308</v>
      </c>
      <c r="C2383" s="1186" t="s">
        <v>61</v>
      </c>
      <c r="D2383" s="1186" t="s">
        <v>45</v>
      </c>
      <c r="E2383" s="1186">
        <v>41</v>
      </c>
      <c r="F2383" s="1186">
        <v>174560</v>
      </c>
    </row>
    <row r="2384" spans="1:6" x14ac:dyDescent="0.2">
      <c r="A2384" s="1186" t="s">
        <v>144</v>
      </c>
      <c r="B2384" s="1186" t="s">
        <v>308</v>
      </c>
      <c r="C2384" s="1186" t="s">
        <v>61</v>
      </c>
      <c r="D2384" s="1186" t="s">
        <v>46</v>
      </c>
      <c r="E2384" s="1186">
        <v>28</v>
      </c>
      <c r="F2384" s="1186">
        <v>114030</v>
      </c>
    </row>
    <row r="2385" spans="1:6" x14ac:dyDescent="0.2">
      <c r="A2385" s="1186" t="s">
        <v>144</v>
      </c>
      <c r="B2385" s="1186" t="s">
        <v>308</v>
      </c>
      <c r="C2385" s="1186" t="s">
        <v>61</v>
      </c>
      <c r="D2385" s="1186" t="s">
        <v>47</v>
      </c>
      <c r="E2385" s="1186">
        <v>11</v>
      </c>
      <c r="F2385" s="1186">
        <v>23200</v>
      </c>
    </row>
    <row r="2386" spans="1:6" x14ac:dyDescent="0.2">
      <c r="A2386" s="1186" t="s">
        <v>144</v>
      </c>
      <c r="B2386" s="1186" t="s">
        <v>308</v>
      </c>
      <c r="C2386" s="1186" t="s">
        <v>61</v>
      </c>
      <c r="D2386" s="1186" t="s">
        <v>48</v>
      </c>
      <c r="E2386" s="1186">
        <v>29</v>
      </c>
      <c r="F2386" s="1186">
        <v>112400</v>
      </c>
    </row>
    <row r="2387" spans="1:6" x14ac:dyDescent="0.2">
      <c r="A2387" s="1186" t="s">
        <v>144</v>
      </c>
      <c r="B2387" s="1186" t="s">
        <v>308</v>
      </c>
      <c r="C2387" s="1186" t="s">
        <v>61</v>
      </c>
      <c r="D2387" s="1186" t="s">
        <v>49</v>
      </c>
      <c r="E2387" s="1186">
        <v>46</v>
      </c>
      <c r="F2387" s="1186">
        <v>316230</v>
      </c>
    </row>
    <row r="2388" spans="1:6" x14ac:dyDescent="0.2">
      <c r="A2388" s="1186" t="s">
        <v>144</v>
      </c>
      <c r="B2388" s="1186" t="s">
        <v>308</v>
      </c>
      <c r="C2388" s="1186" t="s">
        <v>61</v>
      </c>
      <c r="D2388" s="1186" t="s">
        <v>50</v>
      </c>
      <c r="E2388" s="1186">
        <v>59</v>
      </c>
      <c r="F2388" s="1186">
        <v>92830</v>
      </c>
    </row>
    <row r="2389" spans="1:6" x14ac:dyDescent="0.2">
      <c r="A2389" s="1186" t="s">
        <v>144</v>
      </c>
      <c r="B2389" s="1186" t="s">
        <v>308</v>
      </c>
      <c r="C2389" s="1186" t="s">
        <v>61</v>
      </c>
      <c r="D2389" s="1186" t="s">
        <v>51</v>
      </c>
      <c r="E2389" s="1186">
        <v>12</v>
      </c>
      <c r="F2389" s="1186">
        <v>89590</v>
      </c>
    </row>
    <row r="2390" spans="1:6" x14ac:dyDescent="0.2">
      <c r="A2390" s="1186" t="s">
        <v>144</v>
      </c>
      <c r="B2390" s="1186" t="s">
        <v>308</v>
      </c>
      <c r="C2390" s="1186" t="s">
        <v>61</v>
      </c>
      <c r="D2390" s="1186" t="s">
        <v>52</v>
      </c>
      <c r="E2390" s="1186">
        <v>120</v>
      </c>
      <c r="F2390" s="1186">
        <v>178550</v>
      </c>
    </row>
    <row r="2391" spans="1:6" x14ac:dyDescent="0.2">
      <c r="A2391" s="1186" t="s">
        <v>144</v>
      </c>
      <c r="B2391" s="1186" t="s">
        <v>308</v>
      </c>
      <c r="C2391" s="1186" t="s">
        <v>116</v>
      </c>
      <c r="D2391" s="1186" t="s">
        <v>23</v>
      </c>
      <c r="E2391" s="1186">
        <v>319</v>
      </c>
      <c r="F2391" s="1186">
        <v>230350</v>
      </c>
    </row>
    <row r="2392" spans="1:6" x14ac:dyDescent="0.2">
      <c r="A2392" s="1186" t="s">
        <v>144</v>
      </c>
      <c r="B2392" s="1186" t="s">
        <v>308</v>
      </c>
      <c r="C2392" s="1186" t="s">
        <v>116</v>
      </c>
      <c r="D2392" s="1186" t="s">
        <v>24</v>
      </c>
      <c r="E2392" s="1186">
        <v>92</v>
      </c>
      <c r="F2392" s="1186">
        <v>261960</v>
      </c>
    </row>
    <row r="2393" spans="1:6" x14ac:dyDescent="0.2">
      <c r="A2393" s="1186" t="s">
        <v>144</v>
      </c>
      <c r="B2393" s="1186" t="s">
        <v>308</v>
      </c>
      <c r="C2393" s="1186" t="s">
        <v>116</v>
      </c>
      <c r="D2393" s="1186" t="s">
        <v>25</v>
      </c>
      <c r="E2393" s="1186">
        <v>92</v>
      </c>
      <c r="F2393" s="1186">
        <v>116900</v>
      </c>
    </row>
    <row r="2394" spans="1:6" x14ac:dyDescent="0.2">
      <c r="A2394" s="1186" t="s">
        <v>144</v>
      </c>
      <c r="B2394" s="1186" t="s">
        <v>308</v>
      </c>
      <c r="C2394" s="1186" t="s">
        <v>116</v>
      </c>
      <c r="D2394" s="1186" t="s">
        <v>26</v>
      </c>
      <c r="E2394" s="1186">
        <v>39</v>
      </c>
      <c r="F2394" s="1186">
        <v>86890</v>
      </c>
    </row>
    <row r="2395" spans="1:6" x14ac:dyDescent="0.2">
      <c r="A2395" s="1186" t="s">
        <v>144</v>
      </c>
      <c r="B2395" s="1186" t="s">
        <v>308</v>
      </c>
      <c r="C2395" s="1186" t="s">
        <v>116</v>
      </c>
      <c r="D2395" s="1186" t="s">
        <v>619</v>
      </c>
      <c r="E2395" s="1186">
        <v>1309</v>
      </c>
      <c r="F2395" s="1186">
        <v>498810</v>
      </c>
    </row>
    <row r="2396" spans="1:6" x14ac:dyDescent="0.2">
      <c r="A2396" s="1186" t="s">
        <v>144</v>
      </c>
      <c r="B2396" s="1186" t="s">
        <v>308</v>
      </c>
      <c r="C2396" s="1186" t="s">
        <v>116</v>
      </c>
      <c r="D2396" s="1186" t="s">
        <v>27</v>
      </c>
      <c r="E2396" s="1186">
        <v>83</v>
      </c>
      <c r="F2396" s="1186">
        <v>51360</v>
      </c>
    </row>
    <row r="2397" spans="1:6" x14ac:dyDescent="0.2">
      <c r="A2397" s="1186" t="s">
        <v>144</v>
      </c>
      <c r="B2397" s="1186" t="s">
        <v>308</v>
      </c>
      <c r="C2397" s="1186" t="s">
        <v>116</v>
      </c>
      <c r="D2397" s="1186" t="s">
        <v>28</v>
      </c>
      <c r="E2397" s="1186">
        <v>94</v>
      </c>
      <c r="F2397" s="1186">
        <v>149670</v>
      </c>
    </row>
    <row r="2398" spans="1:6" x14ac:dyDescent="0.2">
      <c r="A2398" s="1186" t="s">
        <v>144</v>
      </c>
      <c r="B2398" s="1186" t="s">
        <v>308</v>
      </c>
      <c r="C2398" s="1186" t="s">
        <v>116</v>
      </c>
      <c r="D2398" s="1186" t="s">
        <v>29</v>
      </c>
      <c r="E2398" s="1186">
        <v>540</v>
      </c>
      <c r="F2398" s="1186">
        <v>148210</v>
      </c>
    </row>
    <row r="2399" spans="1:6" x14ac:dyDescent="0.2">
      <c r="A2399" s="1186" t="s">
        <v>144</v>
      </c>
      <c r="B2399" s="1186" t="s">
        <v>308</v>
      </c>
      <c r="C2399" s="1186" t="s">
        <v>116</v>
      </c>
      <c r="D2399" s="1186" t="s">
        <v>30</v>
      </c>
      <c r="E2399" s="1186">
        <v>593</v>
      </c>
      <c r="F2399" s="1186">
        <v>122060</v>
      </c>
    </row>
    <row r="2400" spans="1:6" x14ac:dyDescent="0.2">
      <c r="A2400" s="1186" t="s">
        <v>144</v>
      </c>
      <c r="B2400" s="1186" t="s">
        <v>308</v>
      </c>
      <c r="C2400" s="1186" t="s">
        <v>116</v>
      </c>
      <c r="D2400" s="1186" t="s">
        <v>31</v>
      </c>
      <c r="E2400" s="1186">
        <v>160</v>
      </c>
      <c r="F2400" s="1186">
        <v>106960</v>
      </c>
    </row>
    <row r="2401" spans="1:6" x14ac:dyDescent="0.2">
      <c r="A2401" s="1186" t="s">
        <v>144</v>
      </c>
      <c r="B2401" s="1186" t="s">
        <v>308</v>
      </c>
      <c r="C2401" s="1186" t="s">
        <v>116</v>
      </c>
      <c r="D2401" s="1186" t="s">
        <v>32</v>
      </c>
      <c r="E2401" s="1186">
        <v>137</v>
      </c>
      <c r="F2401" s="1186">
        <v>103050</v>
      </c>
    </row>
    <row r="2402" spans="1:6" x14ac:dyDescent="0.2">
      <c r="A2402" s="1186" t="s">
        <v>144</v>
      </c>
      <c r="B2402" s="1186" t="s">
        <v>308</v>
      </c>
      <c r="C2402" s="1186" t="s">
        <v>116</v>
      </c>
      <c r="D2402" s="1186" t="s">
        <v>33</v>
      </c>
      <c r="E2402" s="1186">
        <v>137</v>
      </c>
      <c r="F2402" s="1186">
        <v>92940</v>
      </c>
    </row>
    <row r="2403" spans="1:6" x14ac:dyDescent="0.2">
      <c r="A2403" s="1186" t="s">
        <v>144</v>
      </c>
      <c r="B2403" s="1186" t="s">
        <v>308</v>
      </c>
      <c r="C2403" s="1186" t="s">
        <v>116</v>
      </c>
      <c r="D2403" s="1186" t="s">
        <v>34</v>
      </c>
      <c r="E2403" s="1186">
        <v>287</v>
      </c>
      <c r="F2403" s="1186">
        <v>158460</v>
      </c>
    </row>
    <row r="2404" spans="1:6" x14ac:dyDescent="0.2">
      <c r="A2404" s="1186" t="s">
        <v>144</v>
      </c>
      <c r="B2404" s="1186" t="s">
        <v>308</v>
      </c>
      <c r="C2404" s="1186" t="s">
        <v>116</v>
      </c>
      <c r="D2404" s="1186" t="s">
        <v>35</v>
      </c>
      <c r="E2404" s="1186">
        <v>582</v>
      </c>
      <c r="F2404" s="1186">
        <v>368080</v>
      </c>
    </row>
    <row r="2405" spans="1:6" x14ac:dyDescent="0.2">
      <c r="A2405" s="1186" t="s">
        <v>144</v>
      </c>
      <c r="B2405" s="1186" t="s">
        <v>308</v>
      </c>
      <c r="C2405" s="1186" t="s">
        <v>116</v>
      </c>
      <c r="D2405" s="1186" t="s">
        <v>36</v>
      </c>
      <c r="E2405" s="1186">
        <v>2297</v>
      </c>
      <c r="F2405" s="1186">
        <v>606340</v>
      </c>
    </row>
    <row r="2406" spans="1:6" x14ac:dyDescent="0.2">
      <c r="A2406" s="1186" t="s">
        <v>144</v>
      </c>
      <c r="B2406" s="1186" t="s">
        <v>308</v>
      </c>
      <c r="C2406" s="1186" t="s">
        <v>116</v>
      </c>
      <c r="D2406" s="1186" t="s">
        <v>37</v>
      </c>
      <c r="E2406" s="1186">
        <v>75</v>
      </c>
      <c r="F2406" s="1186">
        <v>234110</v>
      </c>
    </row>
    <row r="2407" spans="1:6" x14ac:dyDescent="0.2">
      <c r="A2407" s="1186" t="s">
        <v>144</v>
      </c>
      <c r="B2407" s="1186" t="s">
        <v>308</v>
      </c>
      <c r="C2407" s="1186" t="s">
        <v>116</v>
      </c>
      <c r="D2407" s="1186" t="s">
        <v>38</v>
      </c>
      <c r="E2407" s="1186">
        <v>393</v>
      </c>
      <c r="F2407" s="1186">
        <v>79500</v>
      </c>
    </row>
    <row r="2408" spans="1:6" x14ac:dyDescent="0.2">
      <c r="A2408" s="1186" t="s">
        <v>144</v>
      </c>
      <c r="B2408" s="1186" t="s">
        <v>308</v>
      </c>
      <c r="C2408" s="1186" t="s">
        <v>116</v>
      </c>
      <c r="D2408" s="1186" t="s">
        <v>39</v>
      </c>
      <c r="E2408" s="1186">
        <v>222</v>
      </c>
      <c r="F2408" s="1186">
        <v>87390</v>
      </c>
    </row>
    <row r="2409" spans="1:6" x14ac:dyDescent="0.2">
      <c r="A2409" s="1186" t="s">
        <v>144</v>
      </c>
      <c r="B2409" s="1186" t="s">
        <v>308</v>
      </c>
      <c r="C2409" s="1186" t="s">
        <v>116</v>
      </c>
      <c r="D2409" s="1186" t="s">
        <v>40</v>
      </c>
      <c r="E2409" s="1186">
        <v>52</v>
      </c>
      <c r="F2409" s="1186">
        <v>95510</v>
      </c>
    </row>
    <row r="2410" spans="1:6" x14ac:dyDescent="0.2">
      <c r="A2410" s="1186" t="s">
        <v>144</v>
      </c>
      <c r="B2410" s="1186" t="s">
        <v>308</v>
      </c>
      <c r="C2410" s="1186" t="s">
        <v>116</v>
      </c>
      <c r="D2410" s="1186" t="s">
        <v>295</v>
      </c>
      <c r="E2410" s="1186">
        <v>5</v>
      </c>
      <c r="F2410" s="1186">
        <v>27070</v>
      </c>
    </row>
    <row r="2411" spans="1:6" x14ac:dyDescent="0.2">
      <c r="A2411" s="1186" t="s">
        <v>144</v>
      </c>
      <c r="B2411" s="1186" t="s">
        <v>308</v>
      </c>
      <c r="C2411" s="1186" t="s">
        <v>116</v>
      </c>
      <c r="D2411" s="1186" t="s">
        <v>41</v>
      </c>
      <c r="E2411" s="1186">
        <v>485</v>
      </c>
      <c r="F2411" s="1186">
        <v>136130</v>
      </c>
    </row>
    <row r="2412" spans="1:6" x14ac:dyDescent="0.2">
      <c r="A2412" s="1186" t="s">
        <v>144</v>
      </c>
      <c r="B2412" s="1186" t="s">
        <v>308</v>
      </c>
      <c r="C2412" s="1186" t="s">
        <v>116</v>
      </c>
      <c r="D2412" s="1186" t="s">
        <v>42</v>
      </c>
      <c r="E2412" s="1186">
        <v>1505</v>
      </c>
      <c r="F2412" s="1186">
        <v>338260</v>
      </c>
    </row>
    <row r="2413" spans="1:6" x14ac:dyDescent="0.2">
      <c r="A2413" s="1186" t="s">
        <v>144</v>
      </c>
      <c r="B2413" s="1186" t="s">
        <v>308</v>
      </c>
      <c r="C2413" s="1186" t="s">
        <v>116</v>
      </c>
      <c r="D2413" s="1186" t="s">
        <v>43</v>
      </c>
      <c r="E2413" s="1186">
        <v>1</v>
      </c>
      <c r="F2413" s="1186">
        <v>21670</v>
      </c>
    </row>
    <row r="2414" spans="1:6" x14ac:dyDescent="0.2">
      <c r="A2414" s="1186" t="s">
        <v>144</v>
      </c>
      <c r="B2414" s="1186" t="s">
        <v>308</v>
      </c>
      <c r="C2414" s="1186" t="s">
        <v>116</v>
      </c>
      <c r="D2414" s="1186" t="s">
        <v>44</v>
      </c>
      <c r="E2414" s="1186">
        <v>88</v>
      </c>
      <c r="F2414" s="1186">
        <v>149930</v>
      </c>
    </row>
    <row r="2415" spans="1:6" x14ac:dyDescent="0.2">
      <c r="A2415" s="1186" t="s">
        <v>144</v>
      </c>
      <c r="B2415" s="1186" t="s">
        <v>308</v>
      </c>
      <c r="C2415" s="1186" t="s">
        <v>116</v>
      </c>
      <c r="D2415" s="1186" t="s">
        <v>45</v>
      </c>
      <c r="E2415" s="1186">
        <v>525</v>
      </c>
      <c r="F2415" s="1186">
        <v>174560</v>
      </c>
    </row>
    <row r="2416" spans="1:6" x14ac:dyDescent="0.2">
      <c r="A2416" s="1186" t="s">
        <v>144</v>
      </c>
      <c r="B2416" s="1186" t="s">
        <v>308</v>
      </c>
      <c r="C2416" s="1186" t="s">
        <v>116</v>
      </c>
      <c r="D2416" s="1186" t="s">
        <v>46</v>
      </c>
      <c r="E2416" s="1186">
        <v>64</v>
      </c>
      <c r="F2416" s="1186">
        <v>114030</v>
      </c>
    </row>
    <row r="2417" spans="1:6" x14ac:dyDescent="0.2">
      <c r="A2417" s="1186" t="s">
        <v>144</v>
      </c>
      <c r="B2417" s="1186" t="s">
        <v>308</v>
      </c>
      <c r="C2417" s="1186" t="s">
        <v>116</v>
      </c>
      <c r="D2417" s="1186" t="s">
        <v>48</v>
      </c>
      <c r="E2417" s="1186">
        <v>182</v>
      </c>
      <c r="F2417" s="1186">
        <v>112400</v>
      </c>
    </row>
    <row r="2418" spans="1:6" x14ac:dyDescent="0.2">
      <c r="A2418" s="1186" t="s">
        <v>144</v>
      </c>
      <c r="B2418" s="1186" t="s">
        <v>308</v>
      </c>
      <c r="C2418" s="1186" t="s">
        <v>116</v>
      </c>
      <c r="D2418" s="1186" t="s">
        <v>49</v>
      </c>
      <c r="E2418" s="1186">
        <v>860</v>
      </c>
      <c r="F2418" s="1186">
        <v>316230</v>
      </c>
    </row>
    <row r="2419" spans="1:6" x14ac:dyDescent="0.2">
      <c r="A2419" s="1186" t="s">
        <v>144</v>
      </c>
      <c r="B2419" s="1186" t="s">
        <v>308</v>
      </c>
      <c r="C2419" s="1186" t="s">
        <v>116</v>
      </c>
      <c r="D2419" s="1186" t="s">
        <v>50</v>
      </c>
      <c r="E2419" s="1186">
        <v>150</v>
      </c>
      <c r="F2419" s="1186">
        <v>92830</v>
      </c>
    </row>
    <row r="2420" spans="1:6" x14ac:dyDescent="0.2">
      <c r="A2420" s="1186" t="s">
        <v>144</v>
      </c>
      <c r="B2420" s="1186" t="s">
        <v>308</v>
      </c>
      <c r="C2420" s="1186" t="s">
        <v>116</v>
      </c>
      <c r="D2420" s="1186" t="s">
        <v>51</v>
      </c>
      <c r="E2420" s="1186">
        <v>300</v>
      </c>
      <c r="F2420" s="1186">
        <v>89590</v>
      </c>
    </row>
    <row r="2421" spans="1:6" x14ac:dyDescent="0.2">
      <c r="A2421" s="1186" t="s">
        <v>144</v>
      </c>
      <c r="B2421" s="1186" t="s">
        <v>308</v>
      </c>
      <c r="C2421" s="1186" t="s">
        <v>116</v>
      </c>
      <c r="D2421" s="1186" t="s">
        <v>52</v>
      </c>
      <c r="E2421" s="1186">
        <v>610</v>
      </c>
      <c r="F2421" s="1186">
        <v>178550</v>
      </c>
    </row>
    <row r="2422" spans="1:6" x14ac:dyDescent="0.2">
      <c r="A2422" s="1186" t="s">
        <v>282</v>
      </c>
      <c r="B2422" s="1186" t="s">
        <v>309</v>
      </c>
      <c r="C2422" s="1186" t="s">
        <v>61</v>
      </c>
      <c r="D2422" s="1186" t="s">
        <v>23</v>
      </c>
      <c r="E2422" s="1186">
        <v>13</v>
      </c>
      <c r="F2422" s="1186">
        <v>229840</v>
      </c>
    </row>
    <row r="2423" spans="1:6" x14ac:dyDescent="0.2">
      <c r="A2423" s="1186" t="s">
        <v>282</v>
      </c>
      <c r="B2423" s="1186" t="s">
        <v>309</v>
      </c>
      <c r="C2423" s="1186" t="s">
        <v>61</v>
      </c>
      <c r="D2423" s="1186" t="s">
        <v>24</v>
      </c>
      <c r="E2423" s="1186">
        <v>90</v>
      </c>
      <c r="F2423" s="1186">
        <v>262190</v>
      </c>
    </row>
    <row r="2424" spans="1:6" x14ac:dyDescent="0.2">
      <c r="A2424" s="1186" t="s">
        <v>282</v>
      </c>
      <c r="B2424" s="1186" t="s">
        <v>309</v>
      </c>
      <c r="C2424" s="1186" t="s">
        <v>61</v>
      </c>
      <c r="D2424" s="1186" t="s">
        <v>25</v>
      </c>
      <c r="E2424" s="1186">
        <v>11</v>
      </c>
      <c r="F2424" s="1186">
        <v>116520</v>
      </c>
    </row>
    <row r="2425" spans="1:6" x14ac:dyDescent="0.2">
      <c r="A2425" s="1186" t="s">
        <v>282</v>
      </c>
      <c r="B2425" s="1186" t="s">
        <v>309</v>
      </c>
      <c r="C2425" s="1186" t="s">
        <v>61</v>
      </c>
      <c r="D2425" s="1186" t="s">
        <v>26</v>
      </c>
      <c r="E2425" s="1186">
        <v>42</v>
      </c>
      <c r="F2425" s="1186">
        <v>87130</v>
      </c>
    </row>
    <row r="2426" spans="1:6" x14ac:dyDescent="0.2">
      <c r="A2426" s="1186" t="s">
        <v>282</v>
      </c>
      <c r="B2426" s="1186" t="s">
        <v>309</v>
      </c>
      <c r="C2426" s="1186" t="s">
        <v>61</v>
      </c>
      <c r="D2426" s="1186" t="s">
        <v>619</v>
      </c>
      <c r="E2426" s="1186">
        <v>10</v>
      </c>
      <c r="F2426" s="1186">
        <v>507170</v>
      </c>
    </row>
    <row r="2427" spans="1:6" x14ac:dyDescent="0.2">
      <c r="A2427" s="1186" t="s">
        <v>282</v>
      </c>
      <c r="B2427" s="1186" t="s">
        <v>309</v>
      </c>
      <c r="C2427" s="1186" t="s">
        <v>61</v>
      </c>
      <c r="D2427" s="1186" t="s">
        <v>27</v>
      </c>
      <c r="E2427" s="1186">
        <v>3</v>
      </c>
      <c r="F2427" s="1186">
        <v>51350</v>
      </c>
    </row>
    <row r="2428" spans="1:6" x14ac:dyDescent="0.2">
      <c r="A2428" s="1186" t="s">
        <v>282</v>
      </c>
      <c r="B2428" s="1186" t="s">
        <v>309</v>
      </c>
      <c r="C2428" s="1186" t="s">
        <v>61</v>
      </c>
      <c r="D2428" s="1186" t="s">
        <v>28</v>
      </c>
      <c r="E2428" s="1186">
        <v>47</v>
      </c>
      <c r="F2428" s="1186">
        <v>149520</v>
      </c>
    </row>
    <row r="2429" spans="1:6" x14ac:dyDescent="0.2">
      <c r="A2429" s="1186" t="s">
        <v>282</v>
      </c>
      <c r="B2429" s="1186" t="s">
        <v>309</v>
      </c>
      <c r="C2429" s="1186" t="s">
        <v>61</v>
      </c>
      <c r="D2429" s="1186" t="s">
        <v>29</v>
      </c>
      <c r="E2429" s="1186">
        <v>2</v>
      </c>
      <c r="F2429" s="1186">
        <v>148270</v>
      </c>
    </row>
    <row r="2430" spans="1:6" x14ac:dyDescent="0.2">
      <c r="A2430" s="1186" t="s">
        <v>282</v>
      </c>
      <c r="B2430" s="1186" t="s">
        <v>309</v>
      </c>
      <c r="C2430" s="1186" t="s">
        <v>61</v>
      </c>
      <c r="D2430" s="1186" t="s">
        <v>30</v>
      </c>
      <c r="E2430" s="1186">
        <v>11</v>
      </c>
      <c r="F2430" s="1186">
        <v>122200</v>
      </c>
    </row>
    <row r="2431" spans="1:6" x14ac:dyDescent="0.2">
      <c r="A2431" s="1186" t="s">
        <v>282</v>
      </c>
      <c r="B2431" s="1186" t="s">
        <v>309</v>
      </c>
      <c r="C2431" s="1186" t="s">
        <v>61</v>
      </c>
      <c r="D2431" s="1186" t="s">
        <v>31</v>
      </c>
      <c r="E2431" s="1186">
        <v>2</v>
      </c>
      <c r="F2431" s="1186">
        <v>107540</v>
      </c>
    </row>
    <row r="2432" spans="1:6" x14ac:dyDescent="0.2">
      <c r="A2432" s="1186" t="s">
        <v>282</v>
      </c>
      <c r="B2432" s="1186" t="s">
        <v>309</v>
      </c>
      <c r="C2432" s="1186" t="s">
        <v>61</v>
      </c>
      <c r="D2432" s="1186" t="s">
        <v>32</v>
      </c>
      <c r="E2432" s="1186">
        <v>19</v>
      </c>
      <c r="F2432" s="1186">
        <v>104090</v>
      </c>
    </row>
    <row r="2433" spans="1:6" x14ac:dyDescent="0.2">
      <c r="A2433" s="1186" t="s">
        <v>282</v>
      </c>
      <c r="B2433" s="1186" t="s">
        <v>309</v>
      </c>
      <c r="C2433" s="1186" t="s">
        <v>61</v>
      </c>
      <c r="D2433" s="1186" t="s">
        <v>33</v>
      </c>
      <c r="E2433" s="1186">
        <v>5</v>
      </c>
      <c r="F2433" s="1186">
        <v>93810</v>
      </c>
    </row>
    <row r="2434" spans="1:6" x14ac:dyDescent="0.2">
      <c r="A2434" s="1186" t="s">
        <v>282</v>
      </c>
      <c r="B2434" s="1186" t="s">
        <v>309</v>
      </c>
      <c r="C2434" s="1186" t="s">
        <v>61</v>
      </c>
      <c r="D2434" s="1186" t="s">
        <v>34</v>
      </c>
      <c r="E2434" s="1186">
        <v>5</v>
      </c>
      <c r="F2434" s="1186">
        <v>159380</v>
      </c>
    </row>
    <row r="2435" spans="1:6" x14ac:dyDescent="0.2">
      <c r="A2435" s="1186" t="s">
        <v>282</v>
      </c>
      <c r="B2435" s="1186" t="s">
        <v>309</v>
      </c>
      <c r="C2435" s="1186" t="s">
        <v>61</v>
      </c>
      <c r="D2435" s="1186" t="s">
        <v>35</v>
      </c>
      <c r="E2435" s="1186">
        <v>16</v>
      </c>
      <c r="F2435" s="1186">
        <v>370330</v>
      </c>
    </row>
    <row r="2436" spans="1:6" x14ac:dyDescent="0.2">
      <c r="A2436" s="1186" t="s">
        <v>282</v>
      </c>
      <c r="B2436" s="1186" t="s">
        <v>309</v>
      </c>
      <c r="C2436" s="1186" t="s">
        <v>61</v>
      </c>
      <c r="D2436" s="1186" t="s">
        <v>36</v>
      </c>
      <c r="E2436" s="1186">
        <v>5</v>
      </c>
      <c r="F2436" s="1186">
        <v>615070</v>
      </c>
    </row>
    <row r="2437" spans="1:6" x14ac:dyDescent="0.2">
      <c r="A2437" s="1186" t="s">
        <v>282</v>
      </c>
      <c r="B2437" s="1186" t="s">
        <v>309</v>
      </c>
      <c r="C2437" s="1186" t="s">
        <v>61</v>
      </c>
      <c r="D2437" s="1186" t="s">
        <v>37</v>
      </c>
      <c r="E2437" s="1186">
        <v>188</v>
      </c>
      <c r="F2437" s="1186">
        <v>234770</v>
      </c>
    </row>
    <row r="2438" spans="1:6" x14ac:dyDescent="0.2">
      <c r="A2438" s="1186" t="s">
        <v>282</v>
      </c>
      <c r="B2438" s="1186" t="s">
        <v>309</v>
      </c>
      <c r="C2438" s="1186" t="s">
        <v>61</v>
      </c>
      <c r="D2438" s="1186" t="s">
        <v>38</v>
      </c>
      <c r="E2438" s="1186">
        <v>2</v>
      </c>
      <c r="F2438" s="1186">
        <v>79160</v>
      </c>
    </row>
    <row r="2439" spans="1:6" x14ac:dyDescent="0.2">
      <c r="A2439" s="1186" t="s">
        <v>282</v>
      </c>
      <c r="B2439" s="1186" t="s">
        <v>309</v>
      </c>
      <c r="C2439" s="1186" t="s">
        <v>61</v>
      </c>
      <c r="D2439" s="1186" t="s">
        <v>39</v>
      </c>
      <c r="E2439" s="1186">
        <v>10</v>
      </c>
      <c r="F2439" s="1186">
        <v>88610</v>
      </c>
    </row>
    <row r="2440" spans="1:6" x14ac:dyDescent="0.2">
      <c r="A2440" s="1186" t="s">
        <v>282</v>
      </c>
      <c r="B2440" s="1186" t="s">
        <v>309</v>
      </c>
      <c r="C2440" s="1186" t="s">
        <v>61</v>
      </c>
      <c r="D2440" s="1186" t="s">
        <v>40</v>
      </c>
      <c r="E2440" s="1186">
        <v>38</v>
      </c>
      <c r="F2440" s="1186">
        <v>96070</v>
      </c>
    </row>
    <row r="2441" spans="1:6" x14ac:dyDescent="0.2">
      <c r="A2441" s="1186" t="s">
        <v>282</v>
      </c>
      <c r="B2441" s="1186" t="s">
        <v>309</v>
      </c>
      <c r="C2441" s="1186" t="s">
        <v>61</v>
      </c>
      <c r="D2441" s="1186" t="s">
        <v>295</v>
      </c>
      <c r="E2441" s="1186">
        <v>39</v>
      </c>
      <c r="F2441" s="1186">
        <v>26900</v>
      </c>
    </row>
    <row r="2442" spans="1:6" x14ac:dyDescent="0.2">
      <c r="A2442" s="1186" t="s">
        <v>282</v>
      </c>
      <c r="B2442" s="1186" t="s">
        <v>309</v>
      </c>
      <c r="C2442" s="1186" t="s">
        <v>61</v>
      </c>
      <c r="D2442" s="1186" t="s">
        <v>41</v>
      </c>
      <c r="E2442" s="1186">
        <v>11</v>
      </c>
      <c r="F2442" s="1186">
        <v>135890</v>
      </c>
    </row>
    <row r="2443" spans="1:6" x14ac:dyDescent="0.2">
      <c r="A2443" s="1186" t="s">
        <v>282</v>
      </c>
      <c r="B2443" s="1186" t="s">
        <v>309</v>
      </c>
      <c r="C2443" s="1186" t="s">
        <v>61</v>
      </c>
      <c r="D2443" s="1186" t="s">
        <v>42</v>
      </c>
      <c r="E2443" s="1186">
        <v>8</v>
      </c>
      <c r="F2443" s="1186">
        <v>339390</v>
      </c>
    </row>
    <row r="2444" spans="1:6" x14ac:dyDescent="0.2">
      <c r="A2444" s="1186" t="s">
        <v>282</v>
      </c>
      <c r="B2444" s="1186" t="s">
        <v>309</v>
      </c>
      <c r="C2444" s="1186" t="s">
        <v>61</v>
      </c>
      <c r="D2444" s="1186" t="s">
        <v>43</v>
      </c>
      <c r="E2444" s="1186">
        <v>10</v>
      </c>
      <c r="F2444" s="1186">
        <v>21850</v>
      </c>
    </row>
    <row r="2445" spans="1:6" x14ac:dyDescent="0.2">
      <c r="A2445" s="1186" t="s">
        <v>282</v>
      </c>
      <c r="B2445" s="1186" t="s">
        <v>309</v>
      </c>
      <c r="C2445" s="1186" t="s">
        <v>61</v>
      </c>
      <c r="D2445" s="1186" t="s">
        <v>44</v>
      </c>
      <c r="E2445" s="1186">
        <v>47</v>
      </c>
      <c r="F2445" s="1186">
        <v>150680</v>
      </c>
    </row>
    <row r="2446" spans="1:6" x14ac:dyDescent="0.2">
      <c r="A2446" s="1186" t="s">
        <v>282</v>
      </c>
      <c r="B2446" s="1186" t="s">
        <v>309</v>
      </c>
      <c r="C2446" s="1186" t="s">
        <v>61</v>
      </c>
      <c r="D2446" s="1186" t="s">
        <v>45</v>
      </c>
      <c r="E2446" s="1186">
        <v>4</v>
      </c>
      <c r="F2446" s="1186">
        <v>175930</v>
      </c>
    </row>
    <row r="2447" spans="1:6" x14ac:dyDescent="0.2">
      <c r="A2447" s="1186" t="s">
        <v>282</v>
      </c>
      <c r="B2447" s="1186" t="s">
        <v>309</v>
      </c>
      <c r="C2447" s="1186" t="s">
        <v>61</v>
      </c>
      <c r="D2447" s="1186" t="s">
        <v>46</v>
      </c>
      <c r="E2447" s="1186">
        <v>47</v>
      </c>
      <c r="F2447" s="1186">
        <v>114530</v>
      </c>
    </row>
    <row r="2448" spans="1:6" x14ac:dyDescent="0.2">
      <c r="A2448" s="1186" t="s">
        <v>282</v>
      </c>
      <c r="B2448" s="1186" t="s">
        <v>309</v>
      </c>
      <c r="C2448" s="1186" t="s">
        <v>61</v>
      </c>
      <c r="D2448" s="1186" t="s">
        <v>47</v>
      </c>
      <c r="E2448" s="1186">
        <v>9</v>
      </c>
      <c r="F2448" s="1186">
        <v>23200</v>
      </c>
    </row>
    <row r="2449" spans="1:6" x14ac:dyDescent="0.2">
      <c r="A2449" s="1186" t="s">
        <v>282</v>
      </c>
      <c r="B2449" s="1186" t="s">
        <v>309</v>
      </c>
      <c r="C2449" s="1186" t="s">
        <v>61</v>
      </c>
      <c r="D2449" s="1186" t="s">
        <v>48</v>
      </c>
      <c r="E2449" s="1186">
        <v>19</v>
      </c>
      <c r="F2449" s="1186">
        <v>112470</v>
      </c>
    </row>
    <row r="2450" spans="1:6" x14ac:dyDescent="0.2">
      <c r="A2450" s="1186" t="s">
        <v>282</v>
      </c>
      <c r="B2450" s="1186" t="s">
        <v>309</v>
      </c>
      <c r="C2450" s="1186" t="s">
        <v>61</v>
      </c>
      <c r="D2450" s="1186" t="s">
        <v>49</v>
      </c>
      <c r="E2450" s="1186">
        <v>7</v>
      </c>
      <c r="F2450" s="1186">
        <v>317100</v>
      </c>
    </row>
    <row r="2451" spans="1:6" x14ac:dyDescent="0.2">
      <c r="A2451" s="1186" t="s">
        <v>282</v>
      </c>
      <c r="B2451" s="1186" t="s">
        <v>309</v>
      </c>
      <c r="C2451" s="1186" t="s">
        <v>61</v>
      </c>
      <c r="D2451" s="1186" t="s">
        <v>50</v>
      </c>
      <c r="E2451" s="1186">
        <v>15</v>
      </c>
      <c r="F2451" s="1186">
        <v>93750</v>
      </c>
    </row>
    <row r="2452" spans="1:6" x14ac:dyDescent="0.2">
      <c r="A2452" s="1186" t="s">
        <v>282</v>
      </c>
      <c r="B2452" s="1186" t="s">
        <v>309</v>
      </c>
      <c r="C2452" s="1186" t="s">
        <v>61</v>
      </c>
      <c r="D2452" s="1186" t="s">
        <v>51</v>
      </c>
      <c r="E2452" s="1186">
        <v>3</v>
      </c>
      <c r="F2452" s="1186">
        <v>89860</v>
      </c>
    </row>
    <row r="2453" spans="1:6" x14ac:dyDescent="0.2">
      <c r="A2453" s="1186" t="s">
        <v>282</v>
      </c>
      <c r="B2453" s="1186" t="s">
        <v>309</v>
      </c>
      <c r="C2453" s="1186" t="s">
        <v>61</v>
      </c>
      <c r="D2453" s="1186" t="s">
        <v>52</v>
      </c>
      <c r="E2453" s="1186">
        <v>9</v>
      </c>
      <c r="F2453" s="1186">
        <v>180130</v>
      </c>
    </row>
    <row r="2454" spans="1:6" x14ac:dyDescent="0.2">
      <c r="A2454" s="1186" t="s">
        <v>282</v>
      </c>
      <c r="B2454" s="1186" t="s">
        <v>309</v>
      </c>
      <c r="C2454" s="1186" t="s">
        <v>116</v>
      </c>
      <c r="D2454" s="1186" t="s">
        <v>26</v>
      </c>
      <c r="E2454" s="1186">
        <v>1</v>
      </c>
      <c r="F2454" s="1186">
        <v>87130</v>
      </c>
    </row>
    <row r="2455" spans="1:6" x14ac:dyDescent="0.2">
      <c r="A2455" s="1186" t="s">
        <v>282</v>
      </c>
      <c r="B2455" s="1186" t="s">
        <v>309</v>
      </c>
      <c r="C2455" s="1186" t="s">
        <v>116</v>
      </c>
      <c r="D2455" s="1186" t="s">
        <v>30</v>
      </c>
      <c r="E2455" s="1186">
        <v>1</v>
      </c>
      <c r="F2455" s="1186">
        <v>122200</v>
      </c>
    </row>
    <row r="2456" spans="1:6" x14ac:dyDescent="0.2">
      <c r="A2456" s="1186" t="s">
        <v>282</v>
      </c>
      <c r="B2456" s="1186" t="s">
        <v>309</v>
      </c>
      <c r="C2456" s="1186" t="s">
        <v>116</v>
      </c>
      <c r="D2456" s="1186" t="s">
        <v>46</v>
      </c>
      <c r="E2456" s="1186">
        <v>1</v>
      </c>
      <c r="F2456" s="1186">
        <v>114530</v>
      </c>
    </row>
    <row r="2457" spans="1:6" x14ac:dyDescent="0.2">
      <c r="A2457" s="1186" t="s">
        <v>282</v>
      </c>
      <c r="B2457" s="1186" t="s">
        <v>823</v>
      </c>
      <c r="C2457" s="1186" t="s">
        <v>61</v>
      </c>
      <c r="D2457" s="1186" t="s">
        <v>23</v>
      </c>
      <c r="E2457" s="1186">
        <v>300</v>
      </c>
      <c r="F2457" s="1186">
        <v>229840</v>
      </c>
    </row>
    <row r="2458" spans="1:6" x14ac:dyDescent="0.2">
      <c r="A2458" s="1186" t="s">
        <v>282</v>
      </c>
      <c r="B2458" s="1186" t="s">
        <v>823</v>
      </c>
      <c r="C2458" s="1186" t="s">
        <v>61</v>
      </c>
      <c r="D2458" s="1186" t="s">
        <v>24</v>
      </c>
      <c r="E2458" s="1186">
        <v>170</v>
      </c>
      <c r="F2458" s="1186">
        <v>262190</v>
      </c>
    </row>
    <row r="2459" spans="1:6" x14ac:dyDescent="0.2">
      <c r="A2459" s="1186" t="s">
        <v>282</v>
      </c>
      <c r="B2459" s="1186" t="s">
        <v>823</v>
      </c>
      <c r="C2459" s="1186" t="s">
        <v>61</v>
      </c>
      <c r="D2459" s="1186" t="s">
        <v>25</v>
      </c>
      <c r="E2459" s="1186">
        <v>93</v>
      </c>
      <c r="F2459" s="1186">
        <v>116520</v>
      </c>
    </row>
    <row r="2460" spans="1:6" x14ac:dyDescent="0.2">
      <c r="A2460" s="1186" t="s">
        <v>282</v>
      </c>
      <c r="B2460" s="1186" t="s">
        <v>823</v>
      </c>
      <c r="C2460" s="1186" t="s">
        <v>61</v>
      </c>
      <c r="D2460" s="1186" t="s">
        <v>26</v>
      </c>
      <c r="E2460" s="1186">
        <v>77</v>
      </c>
      <c r="F2460" s="1186">
        <v>87130</v>
      </c>
    </row>
    <row r="2461" spans="1:6" x14ac:dyDescent="0.2">
      <c r="A2461" s="1186" t="s">
        <v>282</v>
      </c>
      <c r="B2461" s="1186" t="s">
        <v>823</v>
      </c>
      <c r="C2461" s="1186" t="s">
        <v>61</v>
      </c>
      <c r="D2461" s="1186" t="s">
        <v>619</v>
      </c>
      <c r="E2461" s="1186">
        <v>490</v>
      </c>
      <c r="F2461" s="1186">
        <v>507170</v>
      </c>
    </row>
    <row r="2462" spans="1:6" x14ac:dyDescent="0.2">
      <c r="A2462" s="1186" t="s">
        <v>282</v>
      </c>
      <c r="B2462" s="1186" t="s">
        <v>823</v>
      </c>
      <c r="C2462" s="1186" t="s">
        <v>61</v>
      </c>
      <c r="D2462" s="1186" t="s">
        <v>27</v>
      </c>
      <c r="E2462" s="1186">
        <v>67</v>
      </c>
      <c r="F2462" s="1186">
        <v>51350</v>
      </c>
    </row>
    <row r="2463" spans="1:6" x14ac:dyDescent="0.2">
      <c r="A2463" s="1186" t="s">
        <v>282</v>
      </c>
      <c r="B2463" s="1186" t="s">
        <v>823</v>
      </c>
      <c r="C2463" s="1186" t="s">
        <v>61</v>
      </c>
      <c r="D2463" s="1186" t="s">
        <v>28</v>
      </c>
      <c r="E2463" s="1186">
        <v>105</v>
      </c>
      <c r="F2463" s="1186">
        <v>149520</v>
      </c>
    </row>
    <row r="2464" spans="1:6" x14ac:dyDescent="0.2">
      <c r="A2464" s="1186" t="s">
        <v>282</v>
      </c>
      <c r="B2464" s="1186" t="s">
        <v>823</v>
      </c>
      <c r="C2464" s="1186" t="s">
        <v>61</v>
      </c>
      <c r="D2464" s="1186" t="s">
        <v>29</v>
      </c>
      <c r="E2464" s="1186">
        <v>225</v>
      </c>
      <c r="F2464" s="1186">
        <v>148270</v>
      </c>
    </row>
    <row r="2465" spans="1:6" x14ac:dyDescent="0.2">
      <c r="A2465" s="1186" t="s">
        <v>282</v>
      </c>
      <c r="B2465" s="1186" t="s">
        <v>823</v>
      </c>
      <c r="C2465" s="1186" t="s">
        <v>61</v>
      </c>
      <c r="D2465" s="1186" t="s">
        <v>30</v>
      </c>
      <c r="E2465" s="1186">
        <v>138</v>
      </c>
      <c r="F2465" s="1186">
        <v>122200</v>
      </c>
    </row>
    <row r="2466" spans="1:6" x14ac:dyDescent="0.2">
      <c r="A2466" s="1186" t="s">
        <v>282</v>
      </c>
      <c r="B2466" s="1186" t="s">
        <v>823</v>
      </c>
      <c r="C2466" s="1186" t="s">
        <v>61</v>
      </c>
      <c r="D2466" s="1186" t="s">
        <v>31</v>
      </c>
      <c r="E2466" s="1186">
        <v>75</v>
      </c>
      <c r="F2466" s="1186">
        <v>107540</v>
      </c>
    </row>
    <row r="2467" spans="1:6" x14ac:dyDescent="0.2">
      <c r="A2467" s="1186" t="s">
        <v>282</v>
      </c>
      <c r="B2467" s="1186" t="s">
        <v>823</v>
      </c>
      <c r="C2467" s="1186" t="s">
        <v>61</v>
      </c>
      <c r="D2467" s="1186" t="s">
        <v>32</v>
      </c>
      <c r="E2467" s="1186">
        <v>52</v>
      </c>
      <c r="F2467" s="1186">
        <v>104090</v>
      </c>
    </row>
    <row r="2468" spans="1:6" x14ac:dyDescent="0.2">
      <c r="A2468" s="1186" t="s">
        <v>282</v>
      </c>
      <c r="B2468" s="1186" t="s">
        <v>823</v>
      </c>
      <c r="C2468" s="1186" t="s">
        <v>61</v>
      </c>
      <c r="D2468" s="1186" t="s">
        <v>33</v>
      </c>
      <c r="E2468" s="1186">
        <v>57</v>
      </c>
      <c r="F2468" s="1186">
        <v>93810</v>
      </c>
    </row>
    <row r="2469" spans="1:6" x14ac:dyDescent="0.2">
      <c r="A2469" s="1186" t="s">
        <v>282</v>
      </c>
      <c r="B2469" s="1186" t="s">
        <v>823</v>
      </c>
      <c r="C2469" s="1186" t="s">
        <v>61</v>
      </c>
      <c r="D2469" s="1186" t="s">
        <v>34</v>
      </c>
      <c r="E2469" s="1186">
        <v>107</v>
      </c>
      <c r="F2469" s="1186">
        <v>159380</v>
      </c>
    </row>
    <row r="2470" spans="1:6" x14ac:dyDescent="0.2">
      <c r="A2470" s="1186" t="s">
        <v>282</v>
      </c>
      <c r="B2470" s="1186" t="s">
        <v>823</v>
      </c>
      <c r="C2470" s="1186" t="s">
        <v>61</v>
      </c>
      <c r="D2470" s="1186" t="s">
        <v>35</v>
      </c>
      <c r="E2470" s="1186">
        <v>246</v>
      </c>
      <c r="F2470" s="1186">
        <v>370330</v>
      </c>
    </row>
    <row r="2471" spans="1:6" x14ac:dyDescent="0.2">
      <c r="A2471" s="1186" t="s">
        <v>282</v>
      </c>
      <c r="B2471" s="1186" t="s">
        <v>823</v>
      </c>
      <c r="C2471" s="1186" t="s">
        <v>61</v>
      </c>
      <c r="D2471" s="1186" t="s">
        <v>36</v>
      </c>
      <c r="E2471" s="1186">
        <v>811</v>
      </c>
      <c r="F2471" s="1186">
        <v>615070</v>
      </c>
    </row>
    <row r="2472" spans="1:6" x14ac:dyDescent="0.2">
      <c r="A2472" s="1186" t="s">
        <v>282</v>
      </c>
      <c r="B2472" s="1186" t="s">
        <v>823</v>
      </c>
      <c r="C2472" s="1186" t="s">
        <v>61</v>
      </c>
      <c r="D2472" s="1186" t="s">
        <v>37</v>
      </c>
      <c r="E2472" s="1186">
        <v>147</v>
      </c>
      <c r="F2472" s="1186">
        <v>234770</v>
      </c>
    </row>
    <row r="2473" spans="1:6" x14ac:dyDescent="0.2">
      <c r="A2473" s="1186" t="s">
        <v>282</v>
      </c>
      <c r="B2473" s="1186" t="s">
        <v>823</v>
      </c>
      <c r="C2473" s="1186" t="s">
        <v>61</v>
      </c>
      <c r="D2473" s="1186" t="s">
        <v>38</v>
      </c>
      <c r="E2473" s="1186">
        <v>119</v>
      </c>
      <c r="F2473" s="1186">
        <v>79160</v>
      </c>
    </row>
    <row r="2474" spans="1:6" x14ac:dyDescent="0.2">
      <c r="A2474" s="1186" t="s">
        <v>282</v>
      </c>
      <c r="B2474" s="1186" t="s">
        <v>823</v>
      </c>
      <c r="C2474" s="1186" t="s">
        <v>61</v>
      </c>
      <c r="D2474" s="1186" t="s">
        <v>39</v>
      </c>
      <c r="E2474" s="1186">
        <v>74</v>
      </c>
      <c r="F2474" s="1186">
        <v>88610</v>
      </c>
    </row>
    <row r="2475" spans="1:6" x14ac:dyDescent="0.2">
      <c r="A2475" s="1186" t="s">
        <v>282</v>
      </c>
      <c r="B2475" s="1186" t="s">
        <v>823</v>
      </c>
      <c r="C2475" s="1186" t="s">
        <v>61</v>
      </c>
      <c r="D2475" s="1186" t="s">
        <v>40</v>
      </c>
      <c r="E2475" s="1186">
        <v>51</v>
      </c>
      <c r="F2475" s="1186">
        <v>96070</v>
      </c>
    </row>
    <row r="2476" spans="1:6" x14ac:dyDescent="0.2">
      <c r="A2476" s="1186" t="s">
        <v>282</v>
      </c>
      <c r="B2476" s="1186" t="s">
        <v>823</v>
      </c>
      <c r="C2476" s="1186" t="s">
        <v>61</v>
      </c>
      <c r="D2476" s="1186" t="s">
        <v>295</v>
      </c>
      <c r="E2476" s="1186">
        <v>22</v>
      </c>
      <c r="F2476" s="1186">
        <v>26900</v>
      </c>
    </row>
    <row r="2477" spans="1:6" x14ac:dyDescent="0.2">
      <c r="A2477" s="1186" t="s">
        <v>282</v>
      </c>
      <c r="B2477" s="1186" t="s">
        <v>823</v>
      </c>
      <c r="C2477" s="1186" t="s">
        <v>61</v>
      </c>
      <c r="D2477" s="1186" t="s">
        <v>41</v>
      </c>
      <c r="E2477" s="1186">
        <v>156</v>
      </c>
      <c r="F2477" s="1186">
        <v>135890</v>
      </c>
    </row>
    <row r="2478" spans="1:6" x14ac:dyDescent="0.2">
      <c r="A2478" s="1186" t="s">
        <v>282</v>
      </c>
      <c r="B2478" s="1186" t="s">
        <v>823</v>
      </c>
      <c r="C2478" s="1186" t="s">
        <v>61</v>
      </c>
      <c r="D2478" s="1186" t="s">
        <v>42</v>
      </c>
      <c r="E2478" s="1186">
        <v>290</v>
      </c>
      <c r="F2478" s="1186">
        <v>339390</v>
      </c>
    </row>
    <row r="2479" spans="1:6" x14ac:dyDescent="0.2">
      <c r="A2479" s="1186" t="s">
        <v>282</v>
      </c>
      <c r="B2479" s="1186" t="s">
        <v>823</v>
      </c>
      <c r="C2479" s="1186" t="s">
        <v>61</v>
      </c>
      <c r="D2479" s="1186" t="s">
        <v>43</v>
      </c>
      <c r="E2479" s="1186">
        <v>7</v>
      </c>
      <c r="F2479" s="1186">
        <v>21850</v>
      </c>
    </row>
    <row r="2480" spans="1:6" x14ac:dyDescent="0.2">
      <c r="A2480" s="1186" t="s">
        <v>282</v>
      </c>
      <c r="B2480" s="1186" t="s">
        <v>823</v>
      </c>
      <c r="C2480" s="1186" t="s">
        <v>61</v>
      </c>
      <c r="D2480" s="1186" t="s">
        <v>44</v>
      </c>
      <c r="E2480" s="1186">
        <v>137</v>
      </c>
      <c r="F2480" s="1186">
        <v>150680</v>
      </c>
    </row>
    <row r="2481" spans="1:6" x14ac:dyDescent="0.2">
      <c r="A2481" s="1186" t="s">
        <v>282</v>
      </c>
      <c r="B2481" s="1186" t="s">
        <v>823</v>
      </c>
      <c r="C2481" s="1186" t="s">
        <v>61</v>
      </c>
      <c r="D2481" s="1186" t="s">
        <v>45</v>
      </c>
      <c r="E2481" s="1186">
        <v>178</v>
      </c>
      <c r="F2481" s="1186">
        <v>175930</v>
      </c>
    </row>
    <row r="2482" spans="1:6" x14ac:dyDescent="0.2">
      <c r="A2482" s="1186" t="s">
        <v>282</v>
      </c>
      <c r="B2482" s="1186" t="s">
        <v>823</v>
      </c>
      <c r="C2482" s="1186" t="s">
        <v>61</v>
      </c>
      <c r="D2482" s="1186" t="s">
        <v>46</v>
      </c>
      <c r="E2482" s="1186">
        <v>87</v>
      </c>
      <c r="F2482" s="1186">
        <v>114530</v>
      </c>
    </row>
    <row r="2483" spans="1:6" x14ac:dyDescent="0.2">
      <c r="A2483" s="1186" t="s">
        <v>282</v>
      </c>
      <c r="B2483" s="1186" t="s">
        <v>823</v>
      </c>
      <c r="C2483" s="1186" t="s">
        <v>61</v>
      </c>
      <c r="D2483" s="1186" t="s">
        <v>47</v>
      </c>
      <c r="E2483" s="1186">
        <v>7</v>
      </c>
      <c r="F2483" s="1186">
        <v>23200</v>
      </c>
    </row>
    <row r="2484" spans="1:6" x14ac:dyDescent="0.2">
      <c r="A2484" s="1186" t="s">
        <v>282</v>
      </c>
      <c r="B2484" s="1186" t="s">
        <v>823</v>
      </c>
      <c r="C2484" s="1186" t="s">
        <v>61</v>
      </c>
      <c r="D2484" s="1186" t="s">
        <v>48</v>
      </c>
      <c r="E2484" s="1186">
        <v>82</v>
      </c>
      <c r="F2484" s="1186">
        <v>112470</v>
      </c>
    </row>
    <row r="2485" spans="1:6" x14ac:dyDescent="0.2">
      <c r="A2485" s="1186" t="s">
        <v>282</v>
      </c>
      <c r="B2485" s="1186" t="s">
        <v>823</v>
      </c>
      <c r="C2485" s="1186" t="s">
        <v>61</v>
      </c>
      <c r="D2485" s="1186" t="s">
        <v>49</v>
      </c>
      <c r="E2485" s="1186">
        <v>222</v>
      </c>
      <c r="F2485" s="1186">
        <v>317100</v>
      </c>
    </row>
    <row r="2486" spans="1:6" x14ac:dyDescent="0.2">
      <c r="A2486" s="1186" t="s">
        <v>282</v>
      </c>
      <c r="B2486" s="1186" t="s">
        <v>823</v>
      </c>
      <c r="C2486" s="1186" t="s">
        <v>61</v>
      </c>
      <c r="D2486" s="1186" t="s">
        <v>50</v>
      </c>
      <c r="E2486" s="1186">
        <v>76</v>
      </c>
      <c r="F2486" s="1186">
        <v>93750</v>
      </c>
    </row>
    <row r="2487" spans="1:6" x14ac:dyDescent="0.2">
      <c r="A2487" s="1186" t="s">
        <v>282</v>
      </c>
      <c r="B2487" s="1186" t="s">
        <v>823</v>
      </c>
      <c r="C2487" s="1186" t="s">
        <v>61</v>
      </c>
      <c r="D2487" s="1186" t="s">
        <v>51</v>
      </c>
      <c r="E2487" s="1186">
        <v>130</v>
      </c>
      <c r="F2487" s="1186">
        <v>89860</v>
      </c>
    </row>
    <row r="2488" spans="1:6" x14ac:dyDescent="0.2">
      <c r="A2488" s="1186" t="s">
        <v>282</v>
      </c>
      <c r="B2488" s="1186" t="s">
        <v>823</v>
      </c>
      <c r="C2488" s="1186" t="s">
        <v>61</v>
      </c>
      <c r="D2488" s="1186" t="s">
        <v>52</v>
      </c>
      <c r="E2488" s="1186">
        <v>124</v>
      </c>
      <c r="F2488" s="1186">
        <v>180130</v>
      </c>
    </row>
    <row r="2489" spans="1:6" x14ac:dyDescent="0.2">
      <c r="A2489" s="1186" t="s">
        <v>282</v>
      </c>
      <c r="B2489" s="1186" t="s">
        <v>823</v>
      </c>
      <c r="C2489" s="1186" t="s">
        <v>116</v>
      </c>
      <c r="D2489" s="1186" t="s">
        <v>23</v>
      </c>
      <c r="E2489" s="1186">
        <v>50</v>
      </c>
      <c r="F2489" s="1186">
        <v>229840</v>
      </c>
    </row>
    <row r="2490" spans="1:6" x14ac:dyDescent="0.2">
      <c r="A2490" s="1186" t="s">
        <v>282</v>
      </c>
      <c r="B2490" s="1186" t="s">
        <v>823</v>
      </c>
      <c r="C2490" s="1186" t="s">
        <v>116</v>
      </c>
      <c r="D2490" s="1186" t="s">
        <v>24</v>
      </c>
      <c r="E2490" s="1186">
        <v>14</v>
      </c>
      <c r="F2490" s="1186">
        <v>262190</v>
      </c>
    </row>
    <row r="2491" spans="1:6" x14ac:dyDescent="0.2">
      <c r="A2491" s="1186" t="s">
        <v>282</v>
      </c>
      <c r="B2491" s="1186" t="s">
        <v>823</v>
      </c>
      <c r="C2491" s="1186" t="s">
        <v>116</v>
      </c>
      <c r="D2491" s="1186" t="s">
        <v>25</v>
      </c>
      <c r="E2491" s="1186">
        <v>5</v>
      </c>
      <c r="F2491" s="1186">
        <v>116520</v>
      </c>
    </row>
    <row r="2492" spans="1:6" x14ac:dyDescent="0.2">
      <c r="A2492" s="1186" t="s">
        <v>282</v>
      </c>
      <c r="B2492" s="1186" t="s">
        <v>823</v>
      </c>
      <c r="C2492" s="1186" t="s">
        <v>116</v>
      </c>
      <c r="D2492" s="1186" t="s">
        <v>26</v>
      </c>
      <c r="E2492" s="1186">
        <v>3</v>
      </c>
      <c r="F2492" s="1186">
        <v>87130</v>
      </c>
    </row>
    <row r="2493" spans="1:6" x14ac:dyDescent="0.2">
      <c r="A2493" s="1186" t="s">
        <v>282</v>
      </c>
      <c r="B2493" s="1186" t="s">
        <v>823</v>
      </c>
      <c r="C2493" s="1186" t="s">
        <v>116</v>
      </c>
      <c r="D2493" s="1186" t="s">
        <v>619</v>
      </c>
      <c r="E2493" s="1186">
        <v>89</v>
      </c>
      <c r="F2493" s="1186">
        <v>507170</v>
      </c>
    </row>
    <row r="2494" spans="1:6" x14ac:dyDescent="0.2">
      <c r="A2494" s="1186" t="s">
        <v>282</v>
      </c>
      <c r="B2494" s="1186" t="s">
        <v>823</v>
      </c>
      <c r="C2494" s="1186" t="s">
        <v>116</v>
      </c>
      <c r="D2494" s="1186" t="s">
        <v>27</v>
      </c>
      <c r="E2494" s="1186">
        <v>5</v>
      </c>
      <c r="F2494" s="1186">
        <v>51350</v>
      </c>
    </row>
    <row r="2495" spans="1:6" x14ac:dyDescent="0.2">
      <c r="A2495" s="1186" t="s">
        <v>282</v>
      </c>
      <c r="B2495" s="1186" t="s">
        <v>823</v>
      </c>
      <c r="C2495" s="1186" t="s">
        <v>116</v>
      </c>
      <c r="D2495" s="1186" t="s">
        <v>28</v>
      </c>
      <c r="E2495" s="1186">
        <v>13</v>
      </c>
      <c r="F2495" s="1186">
        <v>149520</v>
      </c>
    </row>
    <row r="2496" spans="1:6" x14ac:dyDescent="0.2">
      <c r="A2496" s="1186" t="s">
        <v>282</v>
      </c>
      <c r="B2496" s="1186" t="s">
        <v>823</v>
      </c>
      <c r="C2496" s="1186" t="s">
        <v>116</v>
      </c>
      <c r="D2496" s="1186" t="s">
        <v>29</v>
      </c>
      <c r="E2496" s="1186">
        <v>32</v>
      </c>
      <c r="F2496" s="1186">
        <v>148270</v>
      </c>
    </row>
    <row r="2497" spans="1:6" x14ac:dyDescent="0.2">
      <c r="A2497" s="1186" t="s">
        <v>282</v>
      </c>
      <c r="B2497" s="1186" t="s">
        <v>823</v>
      </c>
      <c r="C2497" s="1186" t="s">
        <v>116</v>
      </c>
      <c r="D2497" s="1186" t="s">
        <v>30</v>
      </c>
      <c r="E2497" s="1186">
        <v>8</v>
      </c>
      <c r="F2497" s="1186">
        <v>122200</v>
      </c>
    </row>
    <row r="2498" spans="1:6" x14ac:dyDescent="0.2">
      <c r="A2498" s="1186" t="s">
        <v>282</v>
      </c>
      <c r="B2498" s="1186" t="s">
        <v>823</v>
      </c>
      <c r="C2498" s="1186" t="s">
        <v>116</v>
      </c>
      <c r="D2498" s="1186" t="s">
        <v>31</v>
      </c>
      <c r="E2498" s="1186">
        <v>7</v>
      </c>
      <c r="F2498" s="1186">
        <v>107540</v>
      </c>
    </row>
    <row r="2499" spans="1:6" x14ac:dyDescent="0.2">
      <c r="A2499" s="1186" t="s">
        <v>282</v>
      </c>
      <c r="B2499" s="1186" t="s">
        <v>823</v>
      </c>
      <c r="C2499" s="1186" t="s">
        <v>116</v>
      </c>
      <c r="D2499" s="1186" t="s">
        <v>32</v>
      </c>
      <c r="E2499" s="1186">
        <v>7</v>
      </c>
      <c r="F2499" s="1186">
        <v>104090</v>
      </c>
    </row>
    <row r="2500" spans="1:6" x14ac:dyDescent="0.2">
      <c r="A2500" s="1186" t="s">
        <v>282</v>
      </c>
      <c r="B2500" s="1186" t="s">
        <v>823</v>
      </c>
      <c r="C2500" s="1186" t="s">
        <v>116</v>
      </c>
      <c r="D2500" s="1186" t="s">
        <v>33</v>
      </c>
      <c r="E2500" s="1186">
        <v>7</v>
      </c>
      <c r="F2500" s="1186">
        <v>93810</v>
      </c>
    </row>
    <row r="2501" spans="1:6" x14ac:dyDescent="0.2">
      <c r="A2501" s="1186" t="s">
        <v>282</v>
      </c>
      <c r="B2501" s="1186" t="s">
        <v>823</v>
      </c>
      <c r="C2501" s="1186" t="s">
        <v>116</v>
      </c>
      <c r="D2501" s="1186" t="s">
        <v>34</v>
      </c>
      <c r="E2501" s="1186">
        <v>10</v>
      </c>
      <c r="F2501" s="1186">
        <v>159380</v>
      </c>
    </row>
    <row r="2502" spans="1:6" x14ac:dyDescent="0.2">
      <c r="A2502" s="1186" t="s">
        <v>282</v>
      </c>
      <c r="B2502" s="1186" t="s">
        <v>823</v>
      </c>
      <c r="C2502" s="1186" t="s">
        <v>116</v>
      </c>
      <c r="D2502" s="1186" t="s">
        <v>35</v>
      </c>
      <c r="E2502" s="1186">
        <v>26</v>
      </c>
      <c r="F2502" s="1186">
        <v>370330</v>
      </c>
    </row>
    <row r="2503" spans="1:6" x14ac:dyDescent="0.2">
      <c r="A2503" s="1186" t="s">
        <v>282</v>
      </c>
      <c r="B2503" s="1186" t="s">
        <v>823</v>
      </c>
      <c r="C2503" s="1186" t="s">
        <v>116</v>
      </c>
      <c r="D2503" s="1186" t="s">
        <v>36</v>
      </c>
      <c r="E2503" s="1186">
        <v>118</v>
      </c>
      <c r="F2503" s="1186">
        <v>615070</v>
      </c>
    </row>
    <row r="2504" spans="1:6" x14ac:dyDescent="0.2">
      <c r="A2504" s="1186" t="s">
        <v>282</v>
      </c>
      <c r="B2504" s="1186" t="s">
        <v>823</v>
      </c>
      <c r="C2504" s="1186" t="s">
        <v>116</v>
      </c>
      <c r="D2504" s="1186" t="s">
        <v>37</v>
      </c>
      <c r="E2504" s="1186">
        <v>9</v>
      </c>
      <c r="F2504" s="1186">
        <v>234770</v>
      </c>
    </row>
    <row r="2505" spans="1:6" x14ac:dyDescent="0.2">
      <c r="A2505" s="1186" t="s">
        <v>282</v>
      </c>
      <c r="B2505" s="1186" t="s">
        <v>823</v>
      </c>
      <c r="C2505" s="1186" t="s">
        <v>116</v>
      </c>
      <c r="D2505" s="1186" t="s">
        <v>38</v>
      </c>
      <c r="E2505" s="1186">
        <v>12</v>
      </c>
      <c r="F2505" s="1186">
        <v>79160</v>
      </c>
    </row>
    <row r="2506" spans="1:6" x14ac:dyDescent="0.2">
      <c r="A2506" s="1186" t="s">
        <v>282</v>
      </c>
      <c r="B2506" s="1186" t="s">
        <v>823</v>
      </c>
      <c r="C2506" s="1186" t="s">
        <v>116</v>
      </c>
      <c r="D2506" s="1186" t="s">
        <v>39</v>
      </c>
      <c r="E2506" s="1186">
        <v>3</v>
      </c>
      <c r="F2506" s="1186">
        <v>88610</v>
      </c>
    </row>
    <row r="2507" spans="1:6" x14ac:dyDescent="0.2">
      <c r="A2507" s="1186" t="s">
        <v>282</v>
      </c>
      <c r="B2507" s="1186" t="s">
        <v>823</v>
      </c>
      <c r="C2507" s="1186" t="s">
        <v>116</v>
      </c>
      <c r="D2507" s="1186" t="s">
        <v>40</v>
      </c>
      <c r="E2507" s="1186">
        <v>4</v>
      </c>
      <c r="F2507" s="1186">
        <v>96070</v>
      </c>
    </row>
    <row r="2508" spans="1:6" x14ac:dyDescent="0.2">
      <c r="A2508" s="1186" t="s">
        <v>282</v>
      </c>
      <c r="B2508" s="1186" t="s">
        <v>823</v>
      </c>
      <c r="C2508" s="1186" t="s">
        <v>116</v>
      </c>
      <c r="D2508" s="1186" t="s">
        <v>41</v>
      </c>
      <c r="E2508" s="1186">
        <v>11</v>
      </c>
      <c r="F2508" s="1186">
        <v>135890</v>
      </c>
    </row>
    <row r="2509" spans="1:6" x14ac:dyDescent="0.2">
      <c r="A2509" s="1186" t="s">
        <v>282</v>
      </c>
      <c r="B2509" s="1186" t="s">
        <v>823</v>
      </c>
      <c r="C2509" s="1186" t="s">
        <v>116</v>
      </c>
      <c r="D2509" s="1186" t="s">
        <v>42</v>
      </c>
      <c r="E2509" s="1186">
        <v>63</v>
      </c>
      <c r="F2509" s="1186">
        <v>339390</v>
      </c>
    </row>
    <row r="2510" spans="1:6" x14ac:dyDescent="0.2">
      <c r="A2510" s="1186" t="s">
        <v>282</v>
      </c>
      <c r="B2510" s="1186" t="s">
        <v>823</v>
      </c>
      <c r="C2510" s="1186" t="s">
        <v>116</v>
      </c>
      <c r="D2510" s="1186" t="s">
        <v>44</v>
      </c>
      <c r="E2510" s="1186">
        <v>9</v>
      </c>
      <c r="F2510" s="1186">
        <v>150680</v>
      </c>
    </row>
    <row r="2511" spans="1:6" x14ac:dyDescent="0.2">
      <c r="A2511" s="1186" t="s">
        <v>282</v>
      </c>
      <c r="B2511" s="1186" t="s">
        <v>823</v>
      </c>
      <c r="C2511" s="1186" t="s">
        <v>116</v>
      </c>
      <c r="D2511" s="1186" t="s">
        <v>45</v>
      </c>
      <c r="E2511" s="1186">
        <v>27</v>
      </c>
      <c r="F2511" s="1186">
        <v>175930</v>
      </c>
    </row>
    <row r="2512" spans="1:6" x14ac:dyDescent="0.2">
      <c r="A2512" s="1186" t="s">
        <v>282</v>
      </c>
      <c r="B2512" s="1186" t="s">
        <v>823</v>
      </c>
      <c r="C2512" s="1186" t="s">
        <v>116</v>
      </c>
      <c r="D2512" s="1186" t="s">
        <v>46</v>
      </c>
      <c r="E2512" s="1186">
        <v>4</v>
      </c>
      <c r="F2512" s="1186">
        <v>114530</v>
      </c>
    </row>
    <row r="2513" spans="1:6" x14ac:dyDescent="0.2">
      <c r="A2513" s="1186" t="s">
        <v>282</v>
      </c>
      <c r="B2513" s="1186" t="s">
        <v>823</v>
      </c>
      <c r="C2513" s="1186" t="s">
        <v>116</v>
      </c>
      <c r="D2513" s="1186" t="s">
        <v>47</v>
      </c>
      <c r="E2513" s="1186">
        <v>2</v>
      </c>
      <c r="F2513" s="1186">
        <v>23200</v>
      </c>
    </row>
    <row r="2514" spans="1:6" x14ac:dyDescent="0.2">
      <c r="A2514" s="1186" t="s">
        <v>282</v>
      </c>
      <c r="B2514" s="1186" t="s">
        <v>823</v>
      </c>
      <c r="C2514" s="1186" t="s">
        <v>116</v>
      </c>
      <c r="D2514" s="1186" t="s">
        <v>48</v>
      </c>
      <c r="E2514" s="1186">
        <v>15</v>
      </c>
      <c r="F2514" s="1186">
        <v>112470</v>
      </c>
    </row>
    <row r="2515" spans="1:6" x14ac:dyDescent="0.2">
      <c r="A2515" s="1186" t="s">
        <v>282</v>
      </c>
      <c r="B2515" s="1186" t="s">
        <v>823</v>
      </c>
      <c r="C2515" s="1186" t="s">
        <v>116</v>
      </c>
      <c r="D2515" s="1186" t="s">
        <v>49</v>
      </c>
      <c r="E2515" s="1186">
        <v>28</v>
      </c>
      <c r="F2515" s="1186">
        <v>317100</v>
      </c>
    </row>
    <row r="2516" spans="1:6" x14ac:dyDescent="0.2">
      <c r="A2516" s="1186" t="s">
        <v>282</v>
      </c>
      <c r="B2516" s="1186" t="s">
        <v>823</v>
      </c>
      <c r="C2516" s="1186" t="s">
        <v>116</v>
      </c>
      <c r="D2516" s="1186" t="s">
        <v>50</v>
      </c>
      <c r="E2516" s="1186">
        <v>10</v>
      </c>
      <c r="F2516" s="1186">
        <v>93750</v>
      </c>
    </row>
    <row r="2517" spans="1:6" x14ac:dyDescent="0.2">
      <c r="A2517" s="1186" t="s">
        <v>282</v>
      </c>
      <c r="B2517" s="1186" t="s">
        <v>823</v>
      </c>
      <c r="C2517" s="1186" t="s">
        <v>116</v>
      </c>
      <c r="D2517" s="1186" t="s">
        <v>51</v>
      </c>
      <c r="E2517" s="1186">
        <v>13</v>
      </c>
      <c r="F2517" s="1186">
        <v>89860</v>
      </c>
    </row>
    <row r="2518" spans="1:6" x14ac:dyDescent="0.2">
      <c r="A2518" s="1186" t="s">
        <v>282</v>
      </c>
      <c r="B2518" s="1186" t="s">
        <v>823</v>
      </c>
      <c r="C2518" s="1186" t="s">
        <v>116</v>
      </c>
      <c r="D2518" s="1186" t="s">
        <v>52</v>
      </c>
      <c r="E2518" s="1186">
        <v>14</v>
      </c>
      <c r="F2518" s="1186">
        <v>180130</v>
      </c>
    </row>
    <row r="2519" spans="1:6" x14ac:dyDescent="0.2">
      <c r="A2519" s="1186" t="s">
        <v>282</v>
      </c>
      <c r="B2519" s="1186" t="s">
        <v>824</v>
      </c>
      <c r="C2519" s="1186" t="s">
        <v>61</v>
      </c>
      <c r="D2519" s="1186" t="s">
        <v>23</v>
      </c>
      <c r="E2519" s="1186">
        <v>97</v>
      </c>
      <c r="F2519" s="1186">
        <v>229840</v>
      </c>
    </row>
    <row r="2520" spans="1:6" x14ac:dyDescent="0.2">
      <c r="A2520" s="1186" t="s">
        <v>282</v>
      </c>
      <c r="B2520" s="1186" t="s">
        <v>824</v>
      </c>
      <c r="C2520" s="1186" t="s">
        <v>61</v>
      </c>
      <c r="D2520" s="1186" t="s">
        <v>24</v>
      </c>
      <c r="E2520" s="1186">
        <v>78</v>
      </c>
      <c r="F2520" s="1186">
        <v>262190</v>
      </c>
    </row>
    <row r="2521" spans="1:6" x14ac:dyDescent="0.2">
      <c r="A2521" s="1186" t="s">
        <v>282</v>
      </c>
      <c r="B2521" s="1186" t="s">
        <v>824</v>
      </c>
      <c r="C2521" s="1186" t="s">
        <v>61</v>
      </c>
      <c r="D2521" s="1186" t="s">
        <v>25</v>
      </c>
      <c r="E2521" s="1186">
        <v>22</v>
      </c>
      <c r="F2521" s="1186">
        <v>116520</v>
      </c>
    </row>
    <row r="2522" spans="1:6" x14ac:dyDescent="0.2">
      <c r="A2522" s="1186" t="s">
        <v>282</v>
      </c>
      <c r="B2522" s="1186" t="s">
        <v>824</v>
      </c>
      <c r="C2522" s="1186" t="s">
        <v>61</v>
      </c>
      <c r="D2522" s="1186" t="s">
        <v>26</v>
      </c>
      <c r="E2522" s="1186">
        <v>31</v>
      </c>
      <c r="F2522" s="1186">
        <v>87130</v>
      </c>
    </row>
    <row r="2523" spans="1:6" x14ac:dyDescent="0.2">
      <c r="A2523" s="1186" t="s">
        <v>282</v>
      </c>
      <c r="B2523" s="1186" t="s">
        <v>824</v>
      </c>
      <c r="C2523" s="1186" t="s">
        <v>61</v>
      </c>
      <c r="D2523" s="1186" t="s">
        <v>619</v>
      </c>
      <c r="E2523" s="1186">
        <v>200</v>
      </c>
      <c r="F2523" s="1186">
        <v>507170</v>
      </c>
    </row>
    <row r="2524" spans="1:6" x14ac:dyDescent="0.2">
      <c r="A2524" s="1186" t="s">
        <v>282</v>
      </c>
      <c r="B2524" s="1186" t="s">
        <v>824</v>
      </c>
      <c r="C2524" s="1186" t="s">
        <v>61</v>
      </c>
      <c r="D2524" s="1186" t="s">
        <v>27</v>
      </c>
      <c r="E2524" s="1186">
        <v>20</v>
      </c>
      <c r="F2524" s="1186">
        <v>51350</v>
      </c>
    </row>
    <row r="2525" spans="1:6" x14ac:dyDescent="0.2">
      <c r="A2525" s="1186" t="s">
        <v>282</v>
      </c>
      <c r="B2525" s="1186" t="s">
        <v>824</v>
      </c>
      <c r="C2525" s="1186" t="s">
        <v>61</v>
      </c>
      <c r="D2525" s="1186" t="s">
        <v>28</v>
      </c>
      <c r="E2525" s="1186">
        <v>44</v>
      </c>
      <c r="F2525" s="1186">
        <v>149520</v>
      </c>
    </row>
    <row r="2526" spans="1:6" x14ac:dyDescent="0.2">
      <c r="A2526" s="1186" t="s">
        <v>282</v>
      </c>
      <c r="B2526" s="1186" t="s">
        <v>824</v>
      </c>
      <c r="C2526" s="1186" t="s">
        <v>61</v>
      </c>
      <c r="D2526" s="1186" t="s">
        <v>29</v>
      </c>
      <c r="E2526" s="1186">
        <v>52</v>
      </c>
      <c r="F2526" s="1186">
        <v>148270</v>
      </c>
    </row>
    <row r="2527" spans="1:6" x14ac:dyDescent="0.2">
      <c r="A2527" s="1186" t="s">
        <v>282</v>
      </c>
      <c r="B2527" s="1186" t="s">
        <v>824</v>
      </c>
      <c r="C2527" s="1186" t="s">
        <v>61</v>
      </c>
      <c r="D2527" s="1186" t="s">
        <v>30</v>
      </c>
      <c r="E2527" s="1186">
        <v>35</v>
      </c>
      <c r="F2527" s="1186">
        <v>122200</v>
      </c>
    </row>
    <row r="2528" spans="1:6" x14ac:dyDescent="0.2">
      <c r="A2528" s="1186" t="s">
        <v>282</v>
      </c>
      <c r="B2528" s="1186" t="s">
        <v>824</v>
      </c>
      <c r="C2528" s="1186" t="s">
        <v>61</v>
      </c>
      <c r="D2528" s="1186" t="s">
        <v>31</v>
      </c>
      <c r="E2528" s="1186">
        <v>24</v>
      </c>
      <c r="F2528" s="1186">
        <v>107540</v>
      </c>
    </row>
    <row r="2529" spans="1:6" x14ac:dyDescent="0.2">
      <c r="A2529" s="1186" t="s">
        <v>282</v>
      </c>
      <c r="B2529" s="1186" t="s">
        <v>824</v>
      </c>
      <c r="C2529" s="1186" t="s">
        <v>61</v>
      </c>
      <c r="D2529" s="1186" t="s">
        <v>32</v>
      </c>
      <c r="E2529" s="1186">
        <v>34</v>
      </c>
      <c r="F2529" s="1186">
        <v>104090</v>
      </c>
    </row>
    <row r="2530" spans="1:6" x14ac:dyDescent="0.2">
      <c r="A2530" s="1186" t="s">
        <v>282</v>
      </c>
      <c r="B2530" s="1186" t="s">
        <v>824</v>
      </c>
      <c r="C2530" s="1186" t="s">
        <v>61</v>
      </c>
      <c r="D2530" s="1186" t="s">
        <v>33</v>
      </c>
      <c r="E2530" s="1186">
        <v>11</v>
      </c>
      <c r="F2530" s="1186">
        <v>93810</v>
      </c>
    </row>
    <row r="2531" spans="1:6" x14ac:dyDescent="0.2">
      <c r="A2531" s="1186" t="s">
        <v>282</v>
      </c>
      <c r="B2531" s="1186" t="s">
        <v>824</v>
      </c>
      <c r="C2531" s="1186" t="s">
        <v>61</v>
      </c>
      <c r="D2531" s="1186" t="s">
        <v>34</v>
      </c>
      <c r="E2531" s="1186">
        <v>51</v>
      </c>
      <c r="F2531" s="1186">
        <v>159380</v>
      </c>
    </row>
    <row r="2532" spans="1:6" x14ac:dyDescent="0.2">
      <c r="A2532" s="1186" t="s">
        <v>282</v>
      </c>
      <c r="B2532" s="1186" t="s">
        <v>824</v>
      </c>
      <c r="C2532" s="1186" t="s">
        <v>61</v>
      </c>
      <c r="D2532" s="1186" t="s">
        <v>35</v>
      </c>
      <c r="E2532" s="1186">
        <v>93</v>
      </c>
      <c r="F2532" s="1186">
        <v>370330</v>
      </c>
    </row>
    <row r="2533" spans="1:6" x14ac:dyDescent="0.2">
      <c r="A2533" s="1186" t="s">
        <v>282</v>
      </c>
      <c r="B2533" s="1186" t="s">
        <v>824</v>
      </c>
      <c r="C2533" s="1186" t="s">
        <v>61</v>
      </c>
      <c r="D2533" s="1186" t="s">
        <v>36</v>
      </c>
      <c r="E2533" s="1186">
        <v>298</v>
      </c>
      <c r="F2533" s="1186">
        <v>615070</v>
      </c>
    </row>
    <row r="2534" spans="1:6" x14ac:dyDescent="0.2">
      <c r="A2534" s="1186" t="s">
        <v>282</v>
      </c>
      <c r="B2534" s="1186" t="s">
        <v>824</v>
      </c>
      <c r="C2534" s="1186" t="s">
        <v>61</v>
      </c>
      <c r="D2534" s="1186" t="s">
        <v>37</v>
      </c>
      <c r="E2534" s="1186">
        <v>85</v>
      </c>
      <c r="F2534" s="1186">
        <v>234770</v>
      </c>
    </row>
    <row r="2535" spans="1:6" x14ac:dyDescent="0.2">
      <c r="A2535" s="1186" t="s">
        <v>282</v>
      </c>
      <c r="B2535" s="1186" t="s">
        <v>824</v>
      </c>
      <c r="C2535" s="1186" t="s">
        <v>61</v>
      </c>
      <c r="D2535" s="1186" t="s">
        <v>38</v>
      </c>
      <c r="E2535" s="1186">
        <v>23</v>
      </c>
      <c r="F2535" s="1186">
        <v>79160</v>
      </c>
    </row>
    <row r="2536" spans="1:6" x14ac:dyDescent="0.2">
      <c r="A2536" s="1186" t="s">
        <v>282</v>
      </c>
      <c r="B2536" s="1186" t="s">
        <v>824</v>
      </c>
      <c r="C2536" s="1186" t="s">
        <v>61</v>
      </c>
      <c r="D2536" s="1186" t="s">
        <v>39</v>
      </c>
      <c r="E2536" s="1186">
        <v>18</v>
      </c>
      <c r="F2536" s="1186">
        <v>88610</v>
      </c>
    </row>
    <row r="2537" spans="1:6" x14ac:dyDescent="0.2">
      <c r="A2537" s="1186" t="s">
        <v>282</v>
      </c>
      <c r="B2537" s="1186" t="s">
        <v>824</v>
      </c>
      <c r="C2537" s="1186" t="s">
        <v>61</v>
      </c>
      <c r="D2537" s="1186" t="s">
        <v>40</v>
      </c>
      <c r="E2537" s="1186">
        <v>23</v>
      </c>
      <c r="F2537" s="1186">
        <v>96070</v>
      </c>
    </row>
    <row r="2538" spans="1:6" x14ac:dyDescent="0.2">
      <c r="A2538" s="1186" t="s">
        <v>282</v>
      </c>
      <c r="B2538" s="1186" t="s">
        <v>824</v>
      </c>
      <c r="C2538" s="1186" t="s">
        <v>61</v>
      </c>
      <c r="D2538" s="1186" t="s">
        <v>295</v>
      </c>
      <c r="E2538" s="1186">
        <v>5</v>
      </c>
      <c r="F2538" s="1186">
        <v>26900</v>
      </c>
    </row>
    <row r="2539" spans="1:6" x14ac:dyDescent="0.2">
      <c r="A2539" s="1186" t="s">
        <v>282</v>
      </c>
      <c r="B2539" s="1186" t="s">
        <v>824</v>
      </c>
      <c r="C2539" s="1186" t="s">
        <v>61</v>
      </c>
      <c r="D2539" s="1186" t="s">
        <v>41</v>
      </c>
      <c r="E2539" s="1186">
        <v>30</v>
      </c>
      <c r="F2539" s="1186">
        <v>135890</v>
      </c>
    </row>
    <row r="2540" spans="1:6" x14ac:dyDescent="0.2">
      <c r="A2540" s="1186" t="s">
        <v>282</v>
      </c>
      <c r="B2540" s="1186" t="s">
        <v>824</v>
      </c>
      <c r="C2540" s="1186" t="s">
        <v>61</v>
      </c>
      <c r="D2540" s="1186" t="s">
        <v>42</v>
      </c>
      <c r="E2540" s="1186">
        <v>72</v>
      </c>
      <c r="F2540" s="1186">
        <v>339390</v>
      </c>
    </row>
    <row r="2541" spans="1:6" x14ac:dyDescent="0.2">
      <c r="A2541" s="1186" t="s">
        <v>282</v>
      </c>
      <c r="B2541" s="1186" t="s">
        <v>824</v>
      </c>
      <c r="C2541" s="1186" t="s">
        <v>61</v>
      </c>
      <c r="D2541" s="1186" t="s">
        <v>43</v>
      </c>
      <c r="E2541" s="1186">
        <v>4</v>
      </c>
      <c r="F2541" s="1186">
        <v>21850</v>
      </c>
    </row>
    <row r="2542" spans="1:6" x14ac:dyDescent="0.2">
      <c r="A2542" s="1186" t="s">
        <v>282</v>
      </c>
      <c r="B2542" s="1186" t="s">
        <v>824</v>
      </c>
      <c r="C2542" s="1186" t="s">
        <v>61</v>
      </c>
      <c r="D2542" s="1186" t="s">
        <v>44</v>
      </c>
      <c r="E2542" s="1186">
        <v>62</v>
      </c>
      <c r="F2542" s="1186">
        <v>150680</v>
      </c>
    </row>
    <row r="2543" spans="1:6" x14ac:dyDescent="0.2">
      <c r="A2543" s="1186" t="s">
        <v>282</v>
      </c>
      <c r="B2543" s="1186" t="s">
        <v>824</v>
      </c>
      <c r="C2543" s="1186" t="s">
        <v>61</v>
      </c>
      <c r="D2543" s="1186" t="s">
        <v>45</v>
      </c>
      <c r="E2543" s="1186">
        <v>57</v>
      </c>
      <c r="F2543" s="1186">
        <v>175930</v>
      </c>
    </row>
    <row r="2544" spans="1:6" x14ac:dyDescent="0.2">
      <c r="A2544" s="1186" t="s">
        <v>282</v>
      </c>
      <c r="B2544" s="1186" t="s">
        <v>824</v>
      </c>
      <c r="C2544" s="1186" t="s">
        <v>61</v>
      </c>
      <c r="D2544" s="1186" t="s">
        <v>46</v>
      </c>
      <c r="E2544" s="1186">
        <v>31</v>
      </c>
      <c r="F2544" s="1186">
        <v>114530</v>
      </c>
    </row>
    <row r="2545" spans="1:6" x14ac:dyDescent="0.2">
      <c r="A2545" s="1186" t="s">
        <v>282</v>
      </c>
      <c r="B2545" s="1186" t="s">
        <v>824</v>
      </c>
      <c r="C2545" s="1186" t="s">
        <v>61</v>
      </c>
      <c r="D2545" s="1186" t="s">
        <v>47</v>
      </c>
      <c r="E2545" s="1186">
        <v>8</v>
      </c>
      <c r="F2545" s="1186">
        <v>23200</v>
      </c>
    </row>
    <row r="2546" spans="1:6" x14ac:dyDescent="0.2">
      <c r="A2546" s="1186" t="s">
        <v>282</v>
      </c>
      <c r="B2546" s="1186" t="s">
        <v>824</v>
      </c>
      <c r="C2546" s="1186" t="s">
        <v>61</v>
      </c>
      <c r="D2546" s="1186" t="s">
        <v>48</v>
      </c>
      <c r="E2546" s="1186">
        <v>35</v>
      </c>
      <c r="F2546" s="1186">
        <v>112470</v>
      </c>
    </row>
    <row r="2547" spans="1:6" x14ac:dyDescent="0.2">
      <c r="A2547" s="1186" t="s">
        <v>282</v>
      </c>
      <c r="B2547" s="1186" t="s">
        <v>824</v>
      </c>
      <c r="C2547" s="1186" t="s">
        <v>61</v>
      </c>
      <c r="D2547" s="1186" t="s">
        <v>49</v>
      </c>
      <c r="E2547" s="1186">
        <v>73</v>
      </c>
      <c r="F2547" s="1186">
        <v>317100</v>
      </c>
    </row>
    <row r="2548" spans="1:6" x14ac:dyDescent="0.2">
      <c r="A2548" s="1186" t="s">
        <v>282</v>
      </c>
      <c r="B2548" s="1186" t="s">
        <v>824</v>
      </c>
      <c r="C2548" s="1186" t="s">
        <v>61</v>
      </c>
      <c r="D2548" s="1186" t="s">
        <v>50</v>
      </c>
      <c r="E2548" s="1186">
        <v>25</v>
      </c>
      <c r="F2548" s="1186">
        <v>93750</v>
      </c>
    </row>
    <row r="2549" spans="1:6" x14ac:dyDescent="0.2">
      <c r="A2549" s="1186" t="s">
        <v>282</v>
      </c>
      <c r="B2549" s="1186" t="s">
        <v>824</v>
      </c>
      <c r="C2549" s="1186" t="s">
        <v>61</v>
      </c>
      <c r="D2549" s="1186" t="s">
        <v>51</v>
      </c>
      <c r="E2549" s="1186">
        <v>30</v>
      </c>
      <c r="F2549" s="1186">
        <v>89860</v>
      </c>
    </row>
    <row r="2550" spans="1:6" x14ac:dyDescent="0.2">
      <c r="A2550" s="1186" t="s">
        <v>282</v>
      </c>
      <c r="B2550" s="1186" t="s">
        <v>824</v>
      </c>
      <c r="C2550" s="1186" t="s">
        <v>61</v>
      </c>
      <c r="D2550" s="1186" t="s">
        <v>52</v>
      </c>
      <c r="E2550" s="1186">
        <v>49</v>
      </c>
      <c r="F2550" s="1186">
        <v>180130</v>
      </c>
    </row>
    <row r="2551" spans="1:6" x14ac:dyDescent="0.2">
      <c r="A2551" s="1186" t="s">
        <v>282</v>
      </c>
      <c r="B2551" s="1186" t="s">
        <v>824</v>
      </c>
      <c r="C2551" s="1186" t="s">
        <v>116</v>
      </c>
      <c r="D2551" s="1186" t="s">
        <v>23</v>
      </c>
      <c r="E2551" s="1186">
        <v>11</v>
      </c>
      <c r="F2551" s="1186">
        <v>229840</v>
      </c>
    </row>
    <row r="2552" spans="1:6" x14ac:dyDescent="0.2">
      <c r="A2552" s="1186" t="s">
        <v>282</v>
      </c>
      <c r="B2552" s="1186" t="s">
        <v>824</v>
      </c>
      <c r="C2552" s="1186" t="s">
        <v>116</v>
      </c>
      <c r="D2552" s="1186" t="s">
        <v>24</v>
      </c>
      <c r="E2552" s="1186">
        <v>10</v>
      </c>
      <c r="F2552" s="1186">
        <v>262190</v>
      </c>
    </row>
    <row r="2553" spans="1:6" x14ac:dyDescent="0.2">
      <c r="A2553" s="1186" t="s">
        <v>282</v>
      </c>
      <c r="B2553" s="1186" t="s">
        <v>824</v>
      </c>
      <c r="C2553" s="1186" t="s">
        <v>116</v>
      </c>
      <c r="D2553" s="1186" t="s">
        <v>25</v>
      </c>
      <c r="E2553" s="1186">
        <v>6</v>
      </c>
      <c r="F2553" s="1186">
        <v>116520</v>
      </c>
    </row>
    <row r="2554" spans="1:6" x14ac:dyDescent="0.2">
      <c r="A2554" s="1186" t="s">
        <v>282</v>
      </c>
      <c r="B2554" s="1186" t="s">
        <v>824</v>
      </c>
      <c r="C2554" s="1186" t="s">
        <v>116</v>
      </c>
      <c r="D2554" s="1186" t="s">
        <v>619</v>
      </c>
      <c r="E2554" s="1186">
        <v>59</v>
      </c>
      <c r="F2554" s="1186">
        <v>507170</v>
      </c>
    </row>
    <row r="2555" spans="1:6" x14ac:dyDescent="0.2">
      <c r="A2555" s="1186" t="s">
        <v>282</v>
      </c>
      <c r="B2555" s="1186" t="s">
        <v>824</v>
      </c>
      <c r="C2555" s="1186" t="s">
        <v>116</v>
      </c>
      <c r="D2555" s="1186" t="s">
        <v>28</v>
      </c>
      <c r="E2555" s="1186">
        <v>10</v>
      </c>
      <c r="F2555" s="1186">
        <v>149520</v>
      </c>
    </row>
    <row r="2556" spans="1:6" x14ac:dyDescent="0.2">
      <c r="A2556" s="1186" t="s">
        <v>282</v>
      </c>
      <c r="B2556" s="1186" t="s">
        <v>824</v>
      </c>
      <c r="C2556" s="1186" t="s">
        <v>116</v>
      </c>
      <c r="D2556" s="1186" t="s">
        <v>29</v>
      </c>
      <c r="E2556" s="1186">
        <v>15</v>
      </c>
      <c r="F2556" s="1186">
        <v>148270</v>
      </c>
    </row>
    <row r="2557" spans="1:6" x14ac:dyDescent="0.2">
      <c r="A2557" s="1186" t="s">
        <v>282</v>
      </c>
      <c r="B2557" s="1186" t="s">
        <v>824</v>
      </c>
      <c r="C2557" s="1186" t="s">
        <v>116</v>
      </c>
      <c r="D2557" s="1186" t="s">
        <v>30</v>
      </c>
      <c r="E2557" s="1186">
        <v>20</v>
      </c>
      <c r="F2557" s="1186">
        <v>122200</v>
      </c>
    </row>
    <row r="2558" spans="1:6" x14ac:dyDescent="0.2">
      <c r="A2558" s="1186" t="s">
        <v>282</v>
      </c>
      <c r="B2558" s="1186" t="s">
        <v>824</v>
      </c>
      <c r="C2558" s="1186" t="s">
        <v>116</v>
      </c>
      <c r="D2558" s="1186" t="s">
        <v>31</v>
      </c>
      <c r="E2558" s="1186">
        <v>12</v>
      </c>
      <c r="F2558" s="1186">
        <v>107540</v>
      </c>
    </row>
    <row r="2559" spans="1:6" x14ac:dyDescent="0.2">
      <c r="A2559" s="1186" t="s">
        <v>282</v>
      </c>
      <c r="B2559" s="1186" t="s">
        <v>824</v>
      </c>
      <c r="C2559" s="1186" t="s">
        <v>116</v>
      </c>
      <c r="D2559" s="1186" t="s">
        <v>32</v>
      </c>
      <c r="E2559" s="1186">
        <v>10</v>
      </c>
      <c r="F2559" s="1186">
        <v>104090</v>
      </c>
    </row>
    <row r="2560" spans="1:6" x14ac:dyDescent="0.2">
      <c r="A2560" s="1186" t="s">
        <v>282</v>
      </c>
      <c r="B2560" s="1186" t="s">
        <v>824</v>
      </c>
      <c r="C2560" s="1186" t="s">
        <v>116</v>
      </c>
      <c r="D2560" s="1186" t="s">
        <v>33</v>
      </c>
      <c r="E2560" s="1186">
        <v>7</v>
      </c>
      <c r="F2560" s="1186">
        <v>93810</v>
      </c>
    </row>
    <row r="2561" spans="1:6" x14ac:dyDescent="0.2">
      <c r="A2561" s="1186" t="s">
        <v>282</v>
      </c>
      <c r="B2561" s="1186" t="s">
        <v>824</v>
      </c>
      <c r="C2561" s="1186" t="s">
        <v>116</v>
      </c>
      <c r="D2561" s="1186" t="s">
        <v>34</v>
      </c>
      <c r="E2561" s="1186">
        <v>14</v>
      </c>
      <c r="F2561" s="1186">
        <v>159380</v>
      </c>
    </row>
    <row r="2562" spans="1:6" x14ac:dyDescent="0.2">
      <c r="A2562" s="1186" t="s">
        <v>282</v>
      </c>
      <c r="B2562" s="1186" t="s">
        <v>824</v>
      </c>
      <c r="C2562" s="1186" t="s">
        <v>116</v>
      </c>
      <c r="D2562" s="1186" t="s">
        <v>35</v>
      </c>
      <c r="E2562" s="1186">
        <v>52</v>
      </c>
      <c r="F2562" s="1186">
        <v>370330</v>
      </c>
    </row>
    <row r="2563" spans="1:6" x14ac:dyDescent="0.2">
      <c r="A2563" s="1186" t="s">
        <v>282</v>
      </c>
      <c r="B2563" s="1186" t="s">
        <v>824</v>
      </c>
      <c r="C2563" s="1186" t="s">
        <v>116</v>
      </c>
      <c r="D2563" s="1186" t="s">
        <v>36</v>
      </c>
      <c r="E2563" s="1186">
        <v>97</v>
      </c>
      <c r="F2563" s="1186">
        <v>615070</v>
      </c>
    </row>
    <row r="2564" spans="1:6" x14ac:dyDescent="0.2">
      <c r="A2564" s="1186" t="s">
        <v>282</v>
      </c>
      <c r="B2564" s="1186" t="s">
        <v>824</v>
      </c>
      <c r="C2564" s="1186" t="s">
        <v>116</v>
      </c>
      <c r="D2564" s="1186" t="s">
        <v>37</v>
      </c>
      <c r="E2564" s="1186">
        <v>6</v>
      </c>
      <c r="F2564" s="1186">
        <v>234770</v>
      </c>
    </row>
    <row r="2565" spans="1:6" x14ac:dyDescent="0.2">
      <c r="A2565" s="1186" t="s">
        <v>282</v>
      </c>
      <c r="B2565" s="1186" t="s">
        <v>824</v>
      </c>
      <c r="C2565" s="1186" t="s">
        <v>116</v>
      </c>
      <c r="D2565" s="1186" t="s">
        <v>38</v>
      </c>
      <c r="E2565" s="1186">
        <v>9</v>
      </c>
      <c r="F2565" s="1186">
        <v>79160</v>
      </c>
    </row>
    <row r="2566" spans="1:6" x14ac:dyDescent="0.2">
      <c r="A2566" s="1186" t="s">
        <v>282</v>
      </c>
      <c r="B2566" s="1186" t="s">
        <v>824</v>
      </c>
      <c r="C2566" s="1186" t="s">
        <v>116</v>
      </c>
      <c r="D2566" s="1186" t="s">
        <v>39</v>
      </c>
      <c r="E2566" s="1186">
        <v>14</v>
      </c>
      <c r="F2566" s="1186">
        <v>88610</v>
      </c>
    </row>
    <row r="2567" spans="1:6" x14ac:dyDescent="0.2">
      <c r="A2567" s="1186" t="s">
        <v>282</v>
      </c>
      <c r="B2567" s="1186" t="s">
        <v>824</v>
      </c>
      <c r="C2567" s="1186" t="s">
        <v>116</v>
      </c>
      <c r="D2567" s="1186" t="s">
        <v>40</v>
      </c>
      <c r="E2567" s="1186">
        <v>6</v>
      </c>
      <c r="F2567" s="1186">
        <v>96070</v>
      </c>
    </row>
    <row r="2568" spans="1:6" x14ac:dyDescent="0.2">
      <c r="A2568" s="1186" t="s">
        <v>282</v>
      </c>
      <c r="B2568" s="1186" t="s">
        <v>824</v>
      </c>
      <c r="C2568" s="1186" t="s">
        <v>116</v>
      </c>
      <c r="D2568" s="1186" t="s">
        <v>41</v>
      </c>
      <c r="E2568" s="1186">
        <v>13</v>
      </c>
      <c r="F2568" s="1186">
        <v>135890</v>
      </c>
    </row>
    <row r="2569" spans="1:6" x14ac:dyDescent="0.2">
      <c r="A2569" s="1186" t="s">
        <v>282</v>
      </c>
      <c r="B2569" s="1186" t="s">
        <v>824</v>
      </c>
      <c r="C2569" s="1186" t="s">
        <v>116</v>
      </c>
      <c r="D2569" s="1186" t="s">
        <v>42</v>
      </c>
      <c r="E2569" s="1186">
        <v>40</v>
      </c>
      <c r="F2569" s="1186">
        <v>339390</v>
      </c>
    </row>
    <row r="2570" spans="1:6" x14ac:dyDescent="0.2">
      <c r="A2570" s="1186" t="s">
        <v>282</v>
      </c>
      <c r="B2570" s="1186" t="s">
        <v>824</v>
      </c>
      <c r="C2570" s="1186" t="s">
        <v>116</v>
      </c>
      <c r="D2570" s="1186" t="s">
        <v>43</v>
      </c>
      <c r="E2570" s="1186">
        <v>1</v>
      </c>
      <c r="F2570" s="1186">
        <v>21850</v>
      </c>
    </row>
    <row r="2571" spans="1:6" x14ac:dyDescent="0.2">
      <c r="A2571" s="1186" t="s">
        <v>282</v>
      </c>
      <c r="B2571" s="1186" t="s">
        <v>824</v>
      </c>
      <c r="C2571" s="1186" t="s">
        <v>116</v>
      </c>
      <c r="D2571" s="1186" t="s">
        <v>44</v>
      </c>
      <c r="E2571" s="1186">
        <v>8</v>
      </c>
      <c r="F2571" s="1186">
        <v>150680</v>
      </c>
    </row>
    <row r="2572" spans="1:6" x14ac:dyDescent="0.2">
      <c r="A2572" s="1186" t="s">
        <v>282</v>
      </c>
      <c r="B2572" s="1186" t="s">
        <v>824</v>
      </c>
      <c r="C2572" s="1186" t="s">
        <v>116</v>
      </c>
      <c r="D2572" s="1186" t="s">
        <v>45</v>
      </c>
      <c r="E2572" s="1186">
        <v>21</v>
      </c>
      <c r="F2572" s="1186">
        <v>175930</v>
      </c>
    </row>
    <row r="2573" spans="1:6" x14ac:dyDescent="0.2">
      <c r="A2573" s="1186" t="s">
        <v>282</v>
      </c>
      <c r="B2573" s="1186" t="s">
        <v>824</v>
      </c>
      <c r="C2573" s="1186" t="s">
        <v>116</v>
      </c>
      <c r="D2573" s="1186" t="s">
        <v>46</v>
      </c>
      <c r="E2573" s="1186">
        <v>11</v>
      </c>
      <c r="F2573" s="1186">
        <v>114530</v>
      </c>
    </row>
    <row r="2574" spans="1:6" x14ac:dyDescent="0.2">
      <c r="A2574" s="1186" t="s">
        <v>282</v>
      </c>
      <c r="B2574" s="1186" t="s">
        <v>824</v>
      </c>
      <c r="C2574" s="1186" t="s">
        <v>116</v>
      </c>
      <c r="D2574" s="1186" t="s">
        <v>48</v>
      </c>
      <c r="E2574" s="1186">
        <v>9</v>
      </c>
      <c r="F2574" s="1186">
        <v>112470</v>
      </c>
    </row>
    <row r="2575" spans="1:6" x14ac:dyDescent="0.2">
      <c r="A2575" s="1186" t="s">
        <v>282</v>
      </c>
      <c r="B2575" s="1186" t="s">
        <v>824</v>
      </c>
      <c r="C2575" s="1186" t="s">
        <v>116</v>
      </c>
      <c r="D2575" s="1186" t="s">
        <v>49</v>
      </c>
      <c r="E2575" s="1186">
        <v>38</v>
      </c>
      <c r="F2575" s="1186">
        <v>317100</v>
      </c>
    </row>
    <row r="2576" spans="1:6" x14ac:dyDescent="0.2">
      <c r="A2576" s="1186" t="s">
        <v>282</v>
      </c>
      <c r="B2576" s="1186" t="s">
        <v>824</v>
      </c>
      <c r="C2576" s="1186" t="s">
        <v>116</v>
      </c>
      <c r="D2576" s="1186" t="s">
        <v>50</v>
      </c>
      <c r="E2576" s="1186">
        <v>19</v>
      </c>
      <c r="F2576" s="1186">
        <v>93750</v>
      </c>
    </row>
    <row r="2577" spans="1:6" x14ac:dyDescent="0.2">
      <c r="A2577" s="1186" t="s">
        <v>282</v>
      </c>
      <c r="B2577" s="1186" t="s">
        <v>824</v>
      </c>
      <c r="C2577" s="1186" t="s">
        <v>116</v>
      </c>
      <c r="D2577" s="1186" t="s">
        <v>51</v>
      </c>
      <c r="E2577" s="1186">
        <v>14</v>
      </c>
      <c r="F2577" s="1186">
        <v>89860</v>
      </c>
    </row>
    <row r="2578" spans="1:6" x14ac:dyDescent="0.2">
      <c r="A2578" s="1186" t="s">
        <v>282</v>
      </c>
      <c r="B2578" s="1186" t="s">
        <v>824</v>
      </c>
      <c r="C2578" s="1186" t="s">
        <v>116</v>
      </c>
      <c r="D2578" s="1186" t="s">
        <v>52</v>
      </c>
      <c r="E2578" s="1186">
        <v>25</v>
      </c>
      <c r="F2578" s="1186">
        <v>180130</v>
      </c>
    </row>
    <row r="2579" spans="1:6" x14ac:dyDescent="0.2">
      <c r="A2579" s="1186" t="s">
        <v>282</v>
      </c>
      <c r="B2579" s="1186" t="s">
        <v>825</v>
      </c>
      <c r="C2579" s="1186" t="s">
        <v>61</v>
      </c>
      <c r="D2579" s="1186" t="s">
        <v>23</v>
      </c>
      <c r="E2579" s="1186">
        <v>33</v>
      </c>
      <c r="F2579" s="1186">
        <v>229840</v>
      </c>
    </row>
    <row r="2580" spans="1:6" x14ac:dyDescent="0.2">
      <c r="A2580" s="1186" t="s">
        <v>282</v>
      </c>
      <c r="B2580" s="1186" t="s">
        <v>825</v>
      </c>
      <c r="C2580" s="1186" t="s">
        <v>61</v>
      </c>
      <c r="D2580" s="1186" t="s">
        <v>24</v>
      </c>
      <c r="E2580" s="1186">
        <v>73</v>
      </c>
      <c r="F2580" s="1186">
        <v>262190</v>
      </c>
    </row>
    <row r="2581" spans="1:6" x14ac:dyDescent="0.2">
      <c r="A2581" s="1186" t="s">
        <v>282</v>
      </c>
      <c r="B2581" s="1186" t="s">
        <v>825</v>
      </c>
      <c r="C2581" s="1186" t="s">
        <v>61</v>
      </c>
      <c r="D2581" s="1186" t="s">
        <v>25</v>
      </c>
      <c r="E2581" s="1186">
        <v>39</v>
      </c>
      <c r="F2581" s="1186">
        <v>116520</v>
      </c>
    </row>
    <row r="2582" spans="1:6" x14ac:dyDescent="0.2">
      <c r="A2582" s="1186" t="s">
        <v>282</v>
      </c>
      <c r="B2582" s="1186" t="s">
        <v>825</v>
      </c>
      <c r="C2582" s="1186" t="s">
        <v>61</v>
      </c>
      <c r="D2582" s="1186" t="s">
        <v>26</v>
      </c>
      <c r="E2582" s="1186">
        <v>23</v>
      </c>
      <c r="F2582" s="1186">
        <v>87130</v>
      </c>
    </row>
    <row r="2583" spans="1:6" x14ac:dyDescent="0.2">
      <c r="A2583" s="1186" t="s">
        <v>282</v>
      </c>
      <c r="B2583" s="1186" t="s">
        <v>825</v>
      </c>
      <c r="C2583" s="1186" t="s">
        <v>61</v>
      </c>
      <c r="D2583" s="1186" t="s">
        <v>619</v>
      </c>
      <c r="E2583" s="1186">
        <v>68</v>
      </c>
      <c r="F2583" s="1186">
        <v>507170</v>
      </c>
    </row>
    <row r="2584" spans="1:6" x14ac:dyDescent="0.2">
      <c r="A2584" s="1186" t="s">
        <v>282</v>
      </c>
      <c r="B2584" s="1186" t="s">
        <v>825</v>
      </c>
      <c r="C2584" s="1186" t="s">
        <v>61</v>
      </c>
      <c r="D2584" s="1186" t="s">
        <v>27</v>
      </c>
      <c r="E2584" s="1186">
        <v>8</v>
      </c>
      <c r="F2584" s="1186">
        <v>51350</v>
      </c>
    </row>
    <row r="2585" spans="1:6" x14ac:dyDescent="0.2">
      <c r="A2585" s="1186" t="s">
        <v>282</v>
      </c>
      <c r="B2585" s="1186" t="s">
        <v>825</v>
      </c>
      <c r="C2585" s="1186" t="s">
        <v>61</v>
      </c>
      <c r="D2585" s="1186" t="s">
        <v>28</v>
      </c>
      <c r="E2585" s="1186">
        <v>39</v>
      </c>
      <c r="F2585" s="1186">
        <v>149520</v>
      </c>
    </row>
    <row r="2586" spans="1:6" x14ac:dyDescent="0.2">
      <c r="A2586" s="1186" t="s">
        <v>282</v>
      </c>
      <c r="B2586" s="1186" t="s">
        <v>825</v>
      </c>
      <c r="C2586" s="1186" t="s">
        <v>61</v>
      </c>
      <c r="D2586" s="1186" t="s">
        <v>29</v>
      </c>
      <c r="E2586" s="1186">
        <v>28</v>
      </c>
      <c r="F2586" s="1186">
        <v>148270</v>
      </c>
    </row>
    <row r="2587" spans="1:6" x14ac:dyDescent="0.2">
      <c r="A2587" s="1186" t="s">
        <v>282</v>
      </c>
      <c r="B2587" s="1186" t="s">
        <v>825</v>
      </c>
      <c r="C2587" s="1186" t="s">
        <v>61</v>
      </c>
      <c r="D2587" s="1186" t="s">
        <v>30</v>
      </c>
      <c r="E2587" s="1186">
        <v>26</v>
      </c>
      <c r="F2587" s="1186">
        <v>122200</v>
      </c>
    </row>
    <row r="2588" spans="1:6" x14ac:dyDescent="0.2">
      <c r="A2588" s="1186" t="s">
        <v>282</v>
      </c>
      <c r="B2588" s="1186" t="s">
        <v>825</v>
      </c>
      <c r="C2588" s="1186" t="s">
        <v>61</v>
      </c>
      <c r="D2588" s="1186" t="s">
        <v>31</v>
      </c>
      <c r="E2588" s="1186">
        <v>16</v>
      </c>
      <c r="F2588" s="1186">
        <v>107540</v>
      </c>
    </row>
    <row r="2589" spans="1:6" x14ac:dyDescent="0.2">
      <c r="A2589" s="1186" t="s">
        <v>282</v>
      </c>
      <c r="B2589" s="1186" t="s">
        <v>825</v>
      </c>
      <c r="C2589" s="1186" t="s">
        <v>61</v>
      </c>
      <c r="D2589" s="1186" t="s">
        <v>32</v>
      </c>
      <c r="E2589" s="1186">
        <v>23</v>
      </c>
      <c r="F2589" s="1186">
        <v>104090</v>
      </c>
    </row>
    <row r="2590" spans="1:6" x14ac:dyDescent="0.2">
      <c r="A2590" s="1186" t="s">
        <v>282</v>
      </c>
      <c r="B2590" s="1186" t="s">
        <v>825</v>
      </c>
      <c r="C2590" s="1186" t="s">
        <v>61</v>
      </c>
      <c r="D2590" s="1186" t="s">
        <v>33</v>
      </c>
      <c r="E2590" s="1186">
        <v>10</v>
      </c>
      <c r="F2590" s="1186">
        <v>93810</v>
      </c>
    </row>
    <row r="2591" spans="1:6" x14ac:dyDescent="0.2">
      <c r="A2591" s="1186" t="s">
        <v>282</v>
      </c>
      <c r="B2591" s="1186" t="s">
        <v>825</v>
      </c>
      <c r="C2591" s="1186" t="s">
        <v>61</v>
      </c>
      <c r="D2591" s="1186" t="s">
        <v>34</v>
      </c>
      <c r="E2591" s="1186">
        <v>37</v>
      </c>
      <c r="F2591" s="1186">
        <v>159380</v>
      </c>
    </row>
    <row r="2592" spans="1:6" x14ac:dyDescent="0.2">
      <c r="A2592" s="1186" t="s">
        <v>282</v>
      </c>
      <c r="B2592" s="1186" t="s">
        <v>825</v>
      </c>
      <c r="C2592" s="1186" t="s">
        <v>61</v>
      </c>
      <c r="D2592" s="1186" t="s">
        <v>35</v>
      </c>
      <c r="E2592" s="1186">
        <v>78</v>
      </c>
      <c r="F2592" s="1186">
        <v>370330</v>
      </c>
    </row>
    <row r="2593" spans="1:6" x14ac:dyDescent="0.2">
      <c r="A2593" s="1186" t="s">
        <v>282</v>
      </c>
      <c r="B2593" s="1186" t="s">
        <v>825</v>
      </c>
      <c r="C2593" s="1186" t="s">
        <v>61</v>
      </c>
      <c r="D2593" s="1186" t="s">
        <v>36</v>
      </c>
      <c r="E2593" s="1186">
        <v>126</v>
      </c>
      <c r="F2593" s="1186">
        <v>615070</v>
      </c>
    </row>
    <row r="2594" spans="1:6" x14ac:dyDescent="0.2">
      <c r="A2594" s="1186" t="s">
        <v>282</v>
      </c>
      <c r="B2594" s="1186" t="s">
        <v>825</v>
      </c>
      <c r="C2594" s="1186" t="s">
        <v>61</v>
      </c>
      <c r="D2594" s="1186" t="s">
        <v>37</v>
      </c>
      <c r="E2594" s="1186">
        <v>79</v>
      </c>
      <c r="F2594" s="1186">
        <v>234770</v>
      </c>
    </row>
    <row r="2595" spans="1:6" x14ac:dyDescent="0.2">
      <c r="A2595" s="1186" t="s">
        <v>282</v>
      </c>
      <c r="B2595" s="1186" t="s">
        <v>825</v>
      </c>
      <c r="C2595" s="1186" t="s">
        <v>61</v>
      </c>
      <c r="D2595" s="1186" t="s">
        <v>38</v>
      </c>
      <c r="E2595" s="1186">
        <v>17</v>
      </c>
      <c r="F2595" s="1186">
        <v>79160</v>
      </c>
    </row>
    <row r="2596" spans="1:6" x14ac:dyDescent="0.2">
      <c r="A2596" s="1186" t="s">
        <v>282</v>
      </c>
      <c r="B2596" s="1186" t="s">
        <v>825</v>
      </c>
      <c r="C2596" s="1186" t="s">
        <v>61</v>
      </c>
      <c r="D2596" s="1186" t="s">
        <v>39</v>
      </c>
      <c r="E2596" s="1186">
        <v>22</v>
      </c>
      <c r="F2596" s="1186">
        <v>88610</v>
      </c>
    </row>
    <row r="2597" spans="1:6" x14ac:dyDescent="0.2">
      <c r="A2597" s="1186" t="s">
        <v>282</v>
      </c>
      <c r="B2597" s="1186" t="s">
        <v>825</v>
      </c>
      <c r="C2597" s="1186" t="s">
        <v>61</v>
      </c>
      <c r="D2597" s="1186" t="s">
        <v>40</v>
      </c>
      <c r="E2597" s="1186">
        <v>32</v>
      </c>
      <c r="F2597" s="1186">
        <v>96070</v>
      </c>
    </row>
    <row r="2598" spans="1:6" x14ac:dyDescent="0.2">
      <c r="A2598" s="1186" t="s">
        <v>282</v>
      </c>
      <c r="B2598" s="1186" t="s">
        <v>825</v>
      </c>
      <c r="C2598" s="1186" t="s">
        <v>61</v>
      </c>
      <c r="D2598" s="1186" t="s">
        <v>295</v>
      </c>
      <c r="E2598" s="1186">
        <v>1</v>
      </c>
      <c r="F2598" s="1186">
        <v>26900</v>
      </c>
    </row>
    <row r="2599" spans="1:6" x14ac:dyDescent="0.2">
      <c r="A2599" s="1186" t="s">
        <v>282</v>
      </c>
      <c r="B2599" s="1186" t="s">
        <v>825</v>
      </c>
      <c r="C2599" s="1186" t="s">
        <v>61</v>
      </c>
      <c r="D2599" s="1186" t="s">
        <v>41</v>
      </c>
      <c r="E2599" s="1186">
        <v>21</v>
      </c>
      <c r="F2599" s="1186">
        <v>135890</v>
      </c>
    </row>
    <row r="2600" spans="1:6" x14ac:dyDescent="0.2">
      <c r="A2600" s="1186" t="s">
        <v>282</v>
      </c>
      <c r="B2600" s="1186" t="s">
        <v>825</v>
      </c>
      <c r="C2600" s="1186" t="s">
        <v>61</v>
      </c>
      <c r="D2600" s="1186" t="s">
        <v>42</v>
      </c>
      <c r="E2600" s="1186">
        <v>87</v>
      </c>
      <c r="F2600" s="1186">
        <v>339390</v>
      </c>
    </row>
    <row r="2601" spans="1:6" x14ac:dyDescent="0.2">
      <c r="A2601" s="1186" t="s">
        <v>282</v>
      </c>
      <c r="B2601" s="1186" t="s">
        <v>825</v>
      </c>
      <c r="C2601" s="1186" t="s">
        <v>61</v>
      </c>
      <c r="D2601" s="1186" t="s">
        <v>43</v>
      </c>
      <c r="E2601" s="1186">
        <v>7</v>
      </c>
      <c r="F2601" s="1186">
        <v>21850</v>
      </c>
    </row>
    <row r="2602" spans="1:6" x14ac:dyDescent="0.2">
      <c r="A2602" s="1186" t="s">
        <v>282</v>
      </c>
      <c r="B2602" s="1186" t="s">
        <v>825</v>
      </c>
      <c r="C2602" s="1186" t="s">
        <v>61</v>
      </c>
      <c r="D2602" s="1186" t="s">
        <v>44</v>
      </c>
      <c r="E2602" s="1186">
        <v>42</v>
      </c>
      <c r="F2602" s="1186">
        <v>150680</v>
      </c>
    </row>
    <row r="2603" spans="1:6" x14ac:dyDescent="0.2">
      <c r="A2603" s="1186" t="s">
        <v>282</v>
      </c>
      <c r="B2603" s="1186" t="s">
        <v>825</v>
      </c>
      <c r="C2603" s="1186" t="s">
        <v>61</v>
      </c>
      <c r="D2603" s="1186" t="s">
        <v>45</v>
      </c>
      <c r="E2603" s="1186">
        <v>39</v>
      </c>
      <c r="F2603" s="1186">
        <v>175930</v>
      </c>
    </row>
    <row r="2604" spans="1:6" x14ac:dyDescent="0.2">
      <c r="A2604" s="1186" t="s">
        <v>282</v>
      </c>
      <c r="B2604" s="1186" t="s">
        <v>825</v>
      </c>
      <c r="C2604" s="1186" t="s">
        <v>61</v>
      </c>
      <c r="D2604" s="1186" t="s">
        <v>46</v>
      </c>
      <c r="E2604" s="1186">
        <v>31</v>
      </c>
      <c r="F2604" s="1186">
        <v>114530</v>
      </c>
    </row>
    <row r="2605" spans="1:6" x14ac:dyDescent="0.2">
      <c r="A2605" s="1186" t="s">
        <v>282</v>
      </c>
      <c r="B2605" s="1186" t="s">
        <v>825</v>
      </c>
      <c r="C2605" s="1186" t="s">
        <v>61</v>
      </c>
      <c r="D2605" s="1186" t="s">
        <v>47</v>
      </c>
      <c r="E2605" s="1186">
        <v>3</v>
      </c>
      <c r="F2605" s="1186">
        <v>23200</v>
      </c>
    </row>
    <row r="2606" spans="1:6" x14ac:dyDescent="0.2">
      <c r="A2606" s="1186" t="s">
        <v>282</v>
      </c>
      <c r="B2606" s="1186" t="s">
        <v>825</v>
      </c>
      <c r="C2606" s="1186" t="s">
        <v>61</v>
      </c>
      <c r="D2606" s="1186" t="s">
        <v>48</v>
      </c>
      <c r="E2606" s="1186">
        <v>24</v>
      </c>
      <c r="F2606" s="1186">
        <v>112470</v>
      </c>
    </row>
    <row r="2607" spans="1:6" x14ac:dyDescent="0.2">
      <c r="A2607" s="1186" t="s">
        <v>282</v>
      </c>
      <c r="B2607" s="1186" t="s">
        <v>825</v>
      </c>
      <c r="C2607" s="1186" t="s">
        <v>61</v>
      </c>
      <c r="D2607" s="1186" t="s">
        <v>49</v>
      </c>
      <c r="E2607" s="1186">
        <v>87</v>
      </c>
      <c r="F2607" s="1186">
        <v>317100</v>
      </c>
    </row>
    <row r="2608" spans="1:6" x14ac:dyDescent="0.2">
      <c r="A2608" s="1186" t="s">
        <v>282</v>
      </c>
      <c r="B2608" s="1186" t="s">
        <v>825</v>
      </c>
      <c r="C2608" s="1186" t="s">
        <v>61</v>
      </c>
      <c r="D2608" s="1186" t="s">
        <v>50</v>
      </c>
      <c r="E2608" s="1186">
        <v>36</v>
      </c>
      <c r="F2608" s="1186">
        <v>93750</v>
      </c>
    </row>
    <row r="2609" spans="1:6" x14ac:dyDescent="0.2">
      <c r="A2609" s="1186" t="s">
        <v>282</v>
      </c>
      <c r="B2609" s="1186" t="s">
        <v>825</v>
      </c>
      <c r="C2609" s="1186" t="s">
        <v>61</v>
      </c>
      <c r="D2609" s="1186" t="s">
        <v>51</v>
      </c>
      <c r="E2609" s="1186">
        <v>16</v>
      </c>
      <c r="F2609" s="1186">
        <v>89860</v>
      </c>
    </row>
    <row r="2610" spans="1:6" x14ac:dyDescent="0.2">
      <c r="A2610" s="1186" t="s">
        <v>282</v>
      </c>
      <c r="B2610" s="1186" t="s">
        <v>825</v>
      </c>
      <c r="C2610" s="1186" t="s">
        <v>61</v>
      </c>
      <c r="D2610" s="1186" t="s">
        <v>52</v>
      </c>
      <c r="E2610" s="1186">
        <v>40</v>
      </c>
      <c r="F2610" s="1186">
        <v>180130</v>
      </c>
    </row>
    <row r="2611" spans="1:6" x14ac:dyDescent="0.2">
      <c r="A2611" s="1186" t="s">
        <v>282</v>
      </c>
      <c r="B2611" s="1186" t="s">
        <v>825</v>
      </c>
      <c r="C2611" s="1186" t="s">
        <v>116</v>
      </c>
      <c r="D2611" s="1186" t="s">
        <v>23</v>
      </c>
      <c r="E2611" s="1186">
        <v>51</v>
      </c>
      <c r="F2611" s="1186">
        <v>229840</v>
      </c>
    </row>
    <row r="2612" spans="1:6" x14ac:dyDescent="0.2">
      <c r="A2612" s="1186" t="s">
        <v>282</v>
      </c>
      <c r="B2612" s="1186" t="s">
        <v>825</v>
      </c>
      <c r="C2612" s="1186" t="s">
        <v>116</v>
      </c>
      <c r="D2612" s="1186" t="s">
        <v>24</v>
      </c>
      <c r="E2612" s="1186">
        <v>16</v>
      </c>
      <c r="F2612" s="1186">
        <v>262190</v>
      </c>
    </row>
    <row r="2613" spans="1:6" x14ac:dyDescent="0.2">
      <c r="A2613" s="1186" t="s">
        <v>282</v>
      </c>
      <c r="B2613" s="1186" t="s">
        <v>825</v>
      </c>
      <c r="C2613" s="1186" t="s">
        <v>116</v>
      </c>
      <c r="D2613" s="1186" t="s">
        <v>25</v>
      </c>
      <c r="E2613" s="1186">
        <v>8</v>
      </c>
      <c r="F2613" s="1186">
        <v>116520</v>
      </c>
    </row>
    <row r="2614" spans="1:6" x14ac:dyDescent="0.2">
      <c r="A2614" s="1186" t="s">
        <v>282</v>
      </c>
      <c r="B2614" s="1186" t="s">
        <v>825</v>
      </c>
      <c r="C2614" s="1186" t="s">
        <v>116</v>
      </c>
      <c r="D2614" s="1186" t="s">
        <v>26</v>
      </c>
      <c r="E2614" s="1186">
        <v>3</v>
      </c>
      <c r="F2614" s="1186">
        <v>87130</v>
      </c>
    </row>
    <row r="2615" spans="1:6" x14ac:dyDescent="0.2">
      <c r="A2615" s="1186" t="s">
        <v>282</v>
      </c>
      <c r="B2615" s="1186" t="s">
        <v>825</v>
      </c>
      <c r="C2615" s="1186" t="s">
        <v>116</v>
      </c>
      <c r="D2615" s="1186" t="s">
        <v>619</v>
      </c>
      <c r="E2615" s="1186">
        <v>145</v>
      </c>
      <c r="F2615" s="1186">
        <v>507170</v>
      </c>
    </row>
    <row r="2616" spans="1:6" x14ac:dyDescent="0.2">
      <c r="A2616" s="1186" t="s">
        <v>282</v>
      </c>
      <c r="B2616" s="1186" t="s">
        <v>825</v>
      </c>
      <c r="C2616" s="1186" t="s">
        <v>116</v>
      </c>
      <c r="D2616" s="1186" t="s">
        <v>27</v>
      </c>
      <c r="E2616" s="1186">
        <v>5</v>
      </c>
      <c r="F2616" s="1186">
        <v>51350</v>
      </c>
    </row>
    <row r="2617" spans="1:6" x14ac:dyDescent="0.2">
      <c r="A2617" s="1186" t="s">
        <v>282</v>
      </c>
      <c r="B2617" s="1186" t="s">
        <v>825</v>
      </c>
      <c r="C2617" s="1186" t="s">
        <v>116</v>
      </c>
      <c r="D2617" s="1186" t="s">
        <v>28</v>
      </c>
      <c r="E2617" s="1186">
        <v>15</v>
      </c>
      <c r="F2617" s="1186">
        <v>149520</v>
      </c>
    </row>
    <row r="2618" spans="1:6" x14ac:dyDescent="0.2">
      <c r="A2618" s="1186" t="s">
        <v>282</v>
      </c>
      <c r="B2618" s="1186" t="s">
        <v>825</v>
      </c>
      <c r="C2618" s="1186" t="s">
        <v>116</v>
      </c>
      <c r="D2618" s="1186" t="s">
        <v>29</v>
      </c>
      <c r="E2618" s="1186">
        <v>11</v>
      </c>
      <c r="F2618" s="1186">
        <v>148270</v>
      </c>
    </row>
    <row r="2619" spans="1:6" x14ac:dyDescent="0.2">
      <c r="A2619" s="1186" t="s">
        <v>282</v>
      </c>
      <c r="B2619" s="1186" t="s">
        <v>825</v>
      </c>
      <c r="C2619" s="1186" t="s">
        <v>116</v>
      </c>
      <c r="D2619" s="1186" t="s">
        <v>30</v>
      </c>
      <c r="E2619" s="1186">
        <v>20</v>
      </c>
      <c r="F2619" s="1186">
        <v>122200</v>
      </c>
    </row>
    <row r="2620" spans="1:6" x14ac:dyDescent="0.2">
      <c r="A2620" s="1186" t="s">
        <v>282</v>
      </c>
      <c r="B2620" s="1186" t="s">
        <v>825</v>
      </c>
      <c r="C2620" s="1186" t="s">
        <v>116</v>
      </c>
      <c r="D2620" s="1186" t="s">
        <v>31</v>
      </c>
      <c r="E2620" s="1186">
        <v>22</v>
      </c>
      <c r="F2620" s="1186">
        <v>107540</v>
      </c>
    </row>
    <row r="2621" spans="1:6" x14ac:dyDescent="0.2">
      <c r="A2621" s="1186" t="s">
        <v>282</v>
      </c>
      <c r="B2621" s="1186" t="s">
        <v>825</v>
      </c>
      <c r="C2621" s="1186" t="s">
        <v>116</v>
      </c>
      <c r="D2621" s="1186" t="s">
        <v>32</v>
      </c>
      <c r="E2621" s="1186">
        <v>4</v>
      </c>
      <c r="F2621" s="1186">
        <v>104090</v>
      </c>
    </row>
    <row r="2622" spans="1:6" x14ac:dyDescent="0.2">
      <c r="A2622" s="1186" t="s">
        <v>282</v>
      </c>
      <c r="B2622" s="1186" t="s">
        <v>825</v>
      </c>
      <c r="C2622" s="1186" t="s">
        <v>116</v>
      </c>
      <c r="D2622" s="1186" t="s">
        <v>33</v>
      </c>
      <c r="E2622" s="1186">
        <v>6</v>
      </c>
      <c r="F2622" s="1186">
        <v>93810</v>
      </c>
    </row>
    <row r="2623" spans="1:6" x14ac:dyDescent="0.2">
      <c r="A2623" s="1186" t="s">
        <v>282</v>
      </c>
      <c r="B2623" s="1186" t="s">
        <v>825</v>
      </c>
      <c r="C2623" s="1186" t="s">
        <v>116</v>
      </c>
      <c r="D2623" s="1186" t="s">
        <v>34</v>
      </c>
      <c r="E2623" s="1186">
        <v>13</v>
      </c>
      <c r="F2623" s="1186">
        <v>159380</v>
      </c>
    </row>
    <row r="2624" spans="1:6" x14ac:dyDescent="0.2">
      <c r="A2624" s="1186" t="s">
        <v>282</v>
      </c>
      <c r="B2624" s="1186" t="s">
        <v>825</v>
      </c>
      <c r="C2624" s="1186" t="s">
        <v>116</v>
      </c>
      <c r="D2624" s="1186" t="s">
        <v>35</v>
      </c>
      <c r="E2624" s="1186">
        <v>25</v>
      </c>
      <c r="F2624" s="1186">
        <v>370330</v>
      </c>
    </row>
    <row r="2625" spans="1:6" x14ac:dyDescent="0.2">
      <c r="A2625" s="1186" t="s">
        <v>282</v>
      </c>
      <c r="B2625" s="1186" t="s">
        <v>825</v>
      </c>
      <c r="C2625" s="1186" t="s">
        <v>116</v>
      </c>
      <c r="D2625" s="1186" t="s">
        <v>36</v>
      </c>
      <c r="E2625" s="1186">
        <v>193</v>
      </c>
      <c r="F2625" s="1186">
        <v>615070</v>
      </c>
    </row>
    <row r="2626" spans="1:6" x14ac:dyDescent="0.2">
      <c r="A2626" s="1186" t="s">
        <v>282</v>
      </c>
      <c r="B2626" s="1186" t="s">
        <v>825</v>
      </c>
      <c r="C2626" s="1186" t="s">
        <v>116</v>
      </c>
      <c r="D2626" s="1186" t="s">
        <v>37</v>
      </c>
      <c r="E2626" s="1186">
        <v>10</v>
      </c>
      <c r="F2626" s="1186">
        <v>234770</v>
      </c>
    </row>
    <row r="2627" spans="1:6" x14ac:dyDescent="0.2">
      <c r="A2627" s="1186" t="s">
        <v>282</v>
      </c>
      <c r="B2627" s="1186" t="s">
        <v>825</v>
      </c>
      <c r="C2627" s="1186" t="s">
        <v>116</v>
      </c>
      <c r="D2627" s="1186" t="s">
        <v>38</v>
      </c>
      <c r="E2627" s="1186">
        <v>26</v>
      </c>
      <c r="F2627" s="1186">
        <v>79160</v>
      </c>
    </row>
    <row r="2628" spans="1:6" x14ac:dyDescent="0.2">
      <c r="A2628" s="1186" t="s">
        <v>282</v>
      </c>
      <c r="B2628" s="1186" t="s">
        <v>825</v>
      </c>
      <c r="C2628" s="1186" t="s">
        <v>116</v>
      </c>
      <c r="D2628" s="1186" t="s">
        <v>39</v>
      </c>
      <c r="E2628" s="1186">
        <v>23</v>
      </c>
      <c r="F2628" s="1186">
        <v>88610</v>
      </c>
    </row>
    <row r="2629" spans="1:6" x14ac:dyDescent="0.2">
      <c r="A2629" s="1186" t="s">
        <v>282</v>
      </c>
      <c r="B2629" s="1186" t="s">
        <v>825</v>
      </c>
      <c r="C2629" s="1186" t="s">
        <v>116</v>
      </c>
      <c r="D2629" s="1186" t="s">
        <v>40</v>
      </c>
      <c r="E2629" s="1186">
        <v>4</v>
      </c>
      <c r="F2629" s="1186">
        <v>96070</v>
      </c>
    </row>
    <row r="2630" spans="1:6" x14ac:dyDescent="0.2">
      <c r="A2630" s="1186" t="s">
        <v>282</v>
      </c>
      <c r="B2630" s="1186" t="s">
        <v>825</v>
      </c>
      <c r="C2630" s="1186" t="s">
        <v>116</v>
      </c>
      <c r="D2630" s="1186" t="s">
        <v>41</v>
      </c>
      <c r="E2630" s="1186">
        <v>11</v>
      </c>
      <c r="F2630" s="1186">
        <v>135890</v>
      </c>
    </row>
    <row r="2631" spans="1:6" x14ac:dyDescent="0.2">
      <c r="A2631" s="1186" t="s">
        <v>282</v>
      </c>
      <c r="B2631" s="1186" t="s">
        <v>825</v>
      </c>
      <c r="C2631" s="1186" t="s">
        <v>116</v>
      </c>
      <c r="D2631" s="1186" t="s">
        <v>42</v>
      </c>
      <c r="E2631" s="1186">
        <v>90</v>
      </c>
      <c r="F2631" s="1186">
        <v>339390</v>
      </c>
    </row>
    <row r="2632" spans="1:6" x14ac:dyDescent="0.2">
      <c r="A2632" s="1186" t="s">
        <v>282</v>
      </c>
      <c r="B2632" s="1186" t="s">
        <v>825</v>
      </c>
      <c r="C2632" s="1186" t="s">
        <v>116</v>
      </c>
      <c r="D2632" s="1186" t="s">
        <v>43</v>
      </c>
      <c r="E2632" s="1186">
        <v>1</v>
      </c>
      <c r="F2632" s="1186">
        <v>21850</v>
      </c>
    </row>
    <row r="2633" spans="1:6" x14ac:dyDescent="0.2">
      <c r="A2633" s="1186" t="s">
        <v>282</v>
      </c>
      <c r="B2633" s="1186" t="s">
        <v>825</v>
      </c>
      <c r="C2633" s="1186" t="s">
        <v>116</v>
      </c>
      <c r="D2633" s="1186" t="s">
        <v>44</v>
      </c>
      <c r="E2633" s="1186">
        <v>7</v>
      </c>
      <c r="F2633" s="1186">
        <v>150680</v>
      </c>
    </row>
    <row r="2634" spans="1:6" x14ac:dyDescent="0.2">
      <c r="A2634" s="1186" t="s">
        <v>282</v>
      </c>
      <c r="B2634" s="1186" t="s">
        <v>825</v>
      </c>
      <c r="C2634" s="1186" t="s">
        <v>116</v>
      </c>
      <c r="D2634" s="1186" t="s">
        <v>45</v>
      </c>
      <c r="E2634" s="1186">
        <v>36</v>
      </c>
      <c r="F2634" s="1186">
        <v>175930</v>
      </c>
    </row>
    <row r="2635" spans="1:6" x14ac:dyDescent="0.2">
      <c r="A2635" s="1186" t="s">
        <v>282</v>
      </c>
      <c r="B2635" s="1186" t="s">
        <v>825</v>
      </c>
      <c r="C2635" s="1186" t="s">
        <v>116</v>
      </c>
      <c r="D2635" s="1186" t="s">
        <v>46</v>
      </c>
      <c r="E2635" s="1186">
        <v>5</v>
      </c>
      <c r="F2635" s="1186">
        <v>114530</v>
      </c>
    </row>
    <row r="2636" spans="1:6" x14ac:dyDescent="0.2">
      <c r="A2636" s="1186" t="s">
        <v>282</v>
      </c>
      <c r="B2636" s="1186" t="s">
        <v>825</v>
      </c>
      <c r="C2636" s="1186" t="s">
        <v>116</v>
      </c>
      <c r="D2636" s="1186" t="s">
        <v>48</v>
      </c>
      <c r="E2636" s="1186">
        <v>6</v>
      </c>
      <c r="F2636" s="1186">
        <v>112470</v>
      </c>
    </row>
    <row r="2637" spans="1:6" x14ac:dyDescent="0.2">
      <c r="A2637" s="1186" t="s">
        <v>282</v>
      </c>
      <c r="B2637" s="1186" t="s">
        <v>825</v>
      </c>
      <c r="C2637" s="1186" t="s">
        <v>116</v>
      </c>
      <c r="D2637" s="1186" t="s">
        <v>49</v>
      </c>
      <c r="E2637" s="1186">
        <v>80</v>
      </c>
      <c r="F2637" s="1186">
        <v>317100</v>
      </c>
    </row>
    <row r="2638" spans="1:6" x14ac:dyDescent="0.2">
      <c r="A2638" s="1186" t="s">
        <v>282</v>
      </c>
      <c r="B2638" s="1186" t="s">
        <v>825</v>
      </c>
      <c r="C2638" s="1186" t="s">
        <v>116</v>
      </c>
      <c r="D2638" s="1186" t="s">
        <v>50</v>
      </c>
      <c r="E2638" s="1186">
        <v>8</v>
      </c>
      <c r="F2638" s="1186">
        <v>93750</v>
      </c>
    </row>
    <row r="2639" spans="1:6" x14ac:dyDescent="0.2">
      <c r="A2639" s="1186" t="s">
        <v>282</v>
      </c>
      <c r="B2639" s="1186" t="s">
        <v>825</v>
      </c>
      <c r="C2639" s="1186" t="s">
        <v>116</v>
      </c>
      <c r="D2639" s="1186" t="s">
        <v>51</v>
      </c>
      <c r="E2639" s="1186">
        <v>34</v>
      </c>
      <c r="F2639" s="1186">
        <v>89860</v>
      </c>
    </row>
    <row r="2640" spans="1:6" x14ac:dyDescent="0.2">
      <c r="A2640" s="1186" t="s">
        <v>282</v>
      </c>
      <c r="B2640" s="1186" t="s">
        <v>825</v>
      </c>
      <c r="C2640" s="1186" t="s">
        <v>116</v>
      </c>
      <c r="D2640" s="1186" t="s">
        <v>52</v>
      </c>
      <c r="E2640" s="1186">
        <v>31</v>
      </c>
      <c r="F2640" s="1186">
        <v>180130</v>
      </c>
    </row>
    <row r="2641" spans="1:6" x14ac:dyDescent="0.2">
      <c r="A2641" s="1186" t="s">
        <v>282</v>
      </c>
      <c r="B2641" s="1186" t="s">
        <v>826</v>
      </c>
      <c r="C2641" s="1186" t="s">
        <v>61</v>
      </c>
      <c r="D2641" s="1186" t="s">
        <v>23</v>
      </c>
      <c r="E2641" s="1186">
        <v>9</v>
      </c>
      <c r="F2641" s="1186">
        <v>229840</v>
      </c>
    </row>
    <row r="2642" spans="1:6" x14ac:dyDescent="0.2">
      <c r="A2642" s="1186" t="s">
        <v>282</v>
      </c>
      <c r="B2642" s="1186" t="s">
        <v>826</v>
      </c>
      <c r="C2642" s="1186" t="s">
        <v>61</v>
      </c>
      <c r="D2642" s="1186" t="s">
        <v>24</v>
      </c>
      <c r="E2642" s="1186">
        <v>23</v>
      </c>
      <c r="F2642" s="1186">
        <v>262190</v>
      </c>
    </row>
    <row r="2643" spans="1:6" x14ac:dyDescent="0.2">
      <c r="A2643" s="1186" t="s">
        <v>282</v>
      </c>
      <c r="B2643" s="1186" t="s">
        <v>826</v>
      </c>
      <c r="C2643" s="1186" t="s">
        <v>61</v>
      </c>
      <c r="D2643" s="1186" t="s">
        <v>25</v>
      </c>
      <c r="E2643" s="1186">
        <v>9</v>
      </c>
      <c r="F2643" s="1186">
        <v>116520</v>
      </c>
    </row>
    <row r="2644" spans="1:6" x14ac:dyDescent="0.2">
      <c r="A2644" s="1186" t="s">
        <v>282</v>
      </c>
      <c r="B2644" s="1186" t="s">
        <v>826</v>
      </c>
      <c r="C2644" s="1186" t="s">
        <v>61</v>
      </c>
      <c r="D2644" s="1186" t="s">
        <v>26</v>
      </c>
      <c r="E2644" s="1186">
        <v>10</v>
      </c>
      <c r="F2644" s="1186">
        <v>87130</v>
      </c>
    </row>
    <row r="2645" spans="1:6" x14ac:dyDescent="0.2">
      <c r="A2645" s="1186" t="s">
        <v>282</v>
      </c>
      <c r="B2645" s="1186" t="s">
        <v>826</v>
      </c>
      <c r="C2645" s="1186" t="s">
        <v>61</v>
      </c>
      <c r="D2645" s="1186" t="s">
        <v>619</v>
      </c>
      <c r="E2645" s="1186">
        <v>33</v>
      </c>
      <c r="F2645" s="1186">
        <v>507170</v>
      </c>
    </row>
    <row r="2646" spans="1:6" x14ac:dyDescent="0.2">
      <c r="A2646" s="1186" t="s">
        <v>282</v>
      </c>
      <c r="B2646" s="1186" t="s">
        <v>826</v>
      </c>
      <c r="C2646" s="1186" t="s">
        <v>61</v>
      </c>
      <c r="D2646" s="1186" t="s">
        <v>27</v>
      </c>
      <c r="E2646" s="1186">
        <v>1</v>
      </c>
      <c r="F2646" s="1186">
        <v>51350</v>
      </c>
    </row>
    <row r="2647" spans="1:6" x14ac:dyDescent="0.2">
      <c r="A2647" s="1186" t="s">
        <v>282</v>
      </c>
      <c r="B2647" s="1186" t="s">
        <v>826</v>
      </c>
      <c r="C2647" s="1186" t="s">
        <v>61</v>
      </c>
      <c r="D2647" s="1186" t="s">
        <v>28</v>
      </c>
      <c r="E2647" s="1186">
        <v>14</v>
      </c>
      <c r="F2647" s="1186">
        <v>149520</v>
      </c>
    </row>
    <row r="2648" spans="1:6" x14ac:dyDescent="0.2">
      <c r="A2648" s="1186" t="s">
        <v>282</v>
      </c>
      <c r="B2648" s="1186" t="s">
        <v>826</v>
      </c>
      <c r="C2648" s="1186" t="s">
        <v>61</v>
      </c>
      <c r="D2648" s="1186" t="s">
        <v>29</v>
      </c>
      <c r="E2648" s="1186">
        <v>6</v>
      </c>
      <c r="F2648" s="1186">
        <v>148270</v>
      </c>
    </row>
    <row r="2649" spans="1:6" x14ac:dyDescent="0.2">
      <c r="A2649" s="1186" t="s">
        <v>282</v>
      </c>
      <c r="B2649" s="1186" t="s">
        <v>826</v>
      </c>
      <c r="C2649" s="1186" t="s">
        <v>61</v>
      </c>
      <c r="D2649" s="1186" t="s">
        <v>30</v>
      </c>
      <c r="E2649" s="1186">
        <v>3</v>
      </c>
      <c r="F2649" s="1186">
        <v>122200</v>
      </c>
    </row>
    <row r="2650" spans="1:6" x14ac:dyDescent="0.2">
      <c r="A2650" s="1186" t="s">
        <v>282</v>
      </c>
      <c r="B2650" s="1186" t="s">
        <v>826</v>
      </c>
      <c r="C2650" s="1186" t="s">
        <v>61</v>
      </c>
      <c r="D2650" s="1186" t="s">
        <v>31</v>
      </c>
      <c r="E2650" s="1186">
        <v>2</v>
      </c>
      <c r="F2650" s="1186">
        <v>107540</v>
      </c>
    </row>
    <row r="2651" spans="1:6" x14ac:dyDescent="0.2">
      <c r="A2651" s="1186" t="s">
        <v>282</v>
      </c>
      <c r="B2651" s="1186" t="s">
        <v>826</v>
      </c>
      <c r="C2651" s="1186" t="s">
        <v>61</v>
      </c>
      <c r="D2651" s="1186" t="s">
        <v>32</v>
      </c>
      <c r="E2651" s="1186">
        <v>7</v>
      </c>
      <c r="F2651" s="1186">
        <v>104090</v>
      </c>
    </row>
    <row r="2652" spans="1:6" x14ac:dyDescent="0.2">
      <c r="A2652" s="1186" t="s">
        <v>282</v>
      </c>
      <c r="B2652" s="1186" t="s">
        <v>826</v>
      </c>
      <c r="C2652" s="1186" t="s">
        <v>61</v>
      </c>
      <c r="D2652" s="1186" t="s">
        <v>33</v>
      </c>
      <c r="E2652" s="1186">
        <v>2</v>
      </c>
      <c r="F2652" s="1186">
        <v>93810</v>
      </c>
    </row>
    <row r="2653" spans="1:6" x14ac:dyDescent="0.2">
      <c r="A2653" s="1186" t="s">
        <v>282</v>
      </c>
      <c r="B2653" s="1186" t="s">
        <v>826</v>
      </c>
      <c r="C2653" s="1186" t="s">
        <v>61</v>
      </c>
      <c r="D2653" s="1186" t="s">
        <v>34</v>
      </c>
      <c r="E2653" s="1186">
        <v>7</v>
      </c>
      <c r="F2653" s="1186">
        <v>159380</v>
      </c>
    </row>
    <row r="2654" spans="1:6" x14ac:dyDescent="0.2">
      <c r="A2654" s="1186" t="s">
        <v>282</v>
      </c>
      <c r="B2654" s="1186" t="s">
        <v>826</v>
      </c>
      <c r="C2654" s="1186" t="s">
        <v>61</v>
      </c>
      <c r="D2654" s="1186" t="s">
        <v>35</v>
      </c>
      <c r="E2654" s="1186">
        <v>34</v>
      </c>
      <c r="F2654" s="1186">
        <v>370330</v>
      </c>
    </row>
    <row r="2655" spans="1:6" x14ac:dyDescent="0.2">
      <c r="A2655" s="1186" t="s">
        <v>282</v>
      </c>
      <c r="B2655" s="1186" t="s">
        <v>826</v>
      </c>
      <c r="C2655" s="1186" t="s">
        <v>61</v>
      </c>
      <c r="D2655" s="1186" t="s">
        <v>36</v>
      </c>
      <c r="E2655" s="1186">
        <v>21</v>
      </c>
      <c r="F2655" s="1186">
        <v>615070</v>
      </c>
    </row>
    <row r="2656" spans="1:6" x14ac:dyDescent="0.2">
      <c r="A2656" s="1186" t="s">
        <v>282</v>
      </c>
      <c r="B2656" s="1186" t="s">
        <v>826</v>
      </c>
      <c r="C2656" s="1186" t="s">
        <v>61</v>
      </c>
      <c r="D2656" s="1186" t="s">
        <v>37</v>
      </c>
      <c r="E2656" s="1186">
        <v>29</v>
      </c>
      <c r="F2656" s="1186">
        <v>234770</v>
      </c>
    </row>
    <row r="2657" spans="1:6" x14ac:dyDescent="0.2">
      <c r="A2657" s="1186" t="s">
        <v>282</v>
      </c>
      <c r="B2657" s="1186" t="s">
        <v>826</v>
      </c>
      <c r="C2657" s="1186" t="s">
        <v>61</v>
      </c>
      <c r="D2657" s="1186" t="s">
        <v>38</v>
      </c>
      <c r="E2657" s="1186">
        <v>3</v>
      </c>
      <c r="F2657" s="1186">
        <v>79160</v>
      </c>
    </row>
    <row r="2658" spans="1:6" x14ac:dyDescent="0.2">
      <c r="A2658" s="1186" t="s">
        <v>282</v>
      </c>
      <c r="B2658" s="1186" t="s">
        <v>826</v>
      </c>
      <c r="C2658" s="1186" t="s">
        <v>61</v>
      </c>
      <c r="D2658" s="1186" t="s">
        <v>39</v>
      </c>
      <c r="E2658" s="1186">
        <v>12</v>
      </c>
      <c r="F2658" s="1186">
        <v>88610</v>
      </c>
    </row>
    <row r="2659" spans="1:6" x14ac:dyDescent="0.2">
      <c r="A2659" s="1186" t="s">
        <v>282</v>
      </c>
      <c r="B2659" s="1186" t="s">
        <v>826</v>
      </c>
      <c r="C2659" s="1186" t="s">
        <v>61</v>
      </c>
      <c r="D2659" s="1186" t="s">
        <v>40</v>
      </c>
      <c r="E2659" s="1186">
        <v>4</v>
      </c>
      <c r="F2659" s="1186">
        <v>96070</v>
      </c>
    </row>
    <row r="2660" spans="1:6" x14ac:dyDescent="0.2">
      <c r="A2660" s="1186" t="s">
        <v>282</v>
      </c>
      <c r="B2660" s="1186" t="s">
        <v>826</v>
      </c>
      <c r="C2660" s="1186" t="s">
        <v>61</v>
      </c>
      <c r="D2660" s="1186" t="s">
        <v>295</v>
      </c>
      <c r="E2660" s="1186">
        <v>6</v>
      </c>
      <c r="F2660" s="1186">
        <v>26900</v>
      </c>
    </row>
    <row r="2661" spans="1:6" x14ac:dyDescent="0.2">
      <c r="A2661" s="1186" t="s">
        <v>282</v>
      </c>
      <c r="B2661" s="1186" t="s">
        <v>826</v>
      </c>
      <c r="C2661" s="1186" t="s">
        <v>61</v>
      </c>
      <c r="D2661" s="1186" t="s">
        <v>41</v>
      </c>
      <c r="E2661" s="1186">
        <v>13</v>
      </c>
      <c r="F2661" s="1186">
        <v>135890</v>
      </c>
    </row>
    <row r="2662" spans="1:6" x14ac:dyDescent="0.2">
      <c r="A2662" s="1186" t="s">
        <v>282</v>
      </c>
      <c r="B2662" s="1186" t="s">
        <v>826</v>
      </c>
      <c r="C2662" s="1186" t="s">
        <v>61</v>
      </c>
      <c r="D2662" s="1186" t="s">
        <v>42</v>
      </c>
      <c r="E2662" s="1186">
        <v>14</v>
      </c>
      <c r="F2662" s="1186">
        <v>339390</v>
      </c>
    </row>
    <row r="2663" spans="1:6" x14ac:dyDescent="0.2">
      <c r="A2663" s="1186" t="s">
        <v>282</v>
      </c>
      <c r="B2663" s="1186" t="s">
        <v>826</v>
      </c>
      <c r="C2663" s="1186" t="s">
        <v>61</v>
      </c>
      <c r="D2663" s="1186" t="s">
        <v>43</v>
      </c>
      <c r="E2663" s="1186">
        <v>3</v>
      </c>
      <c r="F2663" s="1186">
        <v>21850</v>
      </c>
    </row>
    <row r="2664" spans="1:6" x14ac:dyDescent="0.2">
      <c r="A2664" s="1186" t="s">
        <v>282</v>
      </c>
      <c r="B2664" s="1186" t="s">
        <v>826</v>
      </c>
      <c r="C2664" s="1186" t="s">
        <v>61</v>
      </c>
      <c r="D2664" s="1186" t="s">
        <v>44</v>
      </c>
      <c r="E2664" s="1186">
        <v>14</v>
      </c>
      <c r="F2664" s="1186">
        <v>150680</v>
      </c>
    </row>
    <row r="2665" spans="1:6" x14ac:dyDescent="0.2">
      <c r="A2665" s="1186" t="s">
        <v>282</v>
      </c>
      <c r="B2665" s="1186" t="s">
        <v>826</v>
      </c>
      <c r="C2665" s="1186" t="s">
        <v>61</v>
      </c>
      <c r="D2665" s="1186" t="s">
        <v>45</v>
      </c>
      <c r="E2665" s="1186">
        <v>2</v>
      </c>
      <c r="F2665" s="1186">
        <v>175930</v>
      </c>
    </row>
    <row r="2666" spans="1:6" x14ac:dyDescent="0.2">
      <c r="A2666" s="1186" t="s">
        <v>282</v>
      </c>
      <c r="B2666" s="1186" t="s">
        <v>826</v>
      </c>
      <c r="C2666" s="1186" t="s">
        <v>61</v>
      </c>
      <c r="D2666" s="1186" t="s">
        <v>46</v>
      </c>
      <c r="E2666" s="1186">
        <v>13</v>
      </c>
      <c r="F2666" s="1186">
        <v>114530</v>
      </c>
    </row>
    <row r="2667" spans="1:6" x14ac:dyDescent="0.2">
      <c r="A2667" s="1186" t="s">
        <v>282</v>
      </c>
      <c r="B2667" s="1186" t="s">
        <v>826</v>
      </c>
      <c r="C2667" s="1186" t="s">
        <v>61</v>
      </c>
      <c r="D2667" s="1186" t="s">
        <v>47</v>
      </c>
      <c r="E2667" s="1186">
        <v>6</v>
      </c>
      <c r="F2667" s="1186">
        <v>23200</v>
      </c>
    </row>
    <row r="2668" spans="1:6" x14ac:dyDescent="0.2">
      <c r="A2668" s="1186" t="s">
        <v>282</v>
      </c>
      <c r="B2668" s="1186" t="s">
        <v>826</v>
      </c>
      <c r="C2668" s="1186" t="s">
        <v>61</v>
      </c>
      <c r="D2668" s="1186" t="s">
        <v>48</v>
      </c>
      <c r="E2668" s="1186">
        <v>11</v>
      </c>
      <c r="F2668" s="1186">
        <v>112470</v>
      </c>
    </row>
    <row r="2669" spans="1:6" x14ac:dyDescent="0.2">
      <c r="A2669" s="1186" t="s">
        <v>282</v>
      </c>
      <c r="B2669" s="1186" t="s">
        <v>826</v>
      </c>
      <c r="C2669" s="1186" t="s">
        <v>61</v>
      </c>
      <c r="D2669" s="1186" t="s">
        <v>49</v>
      </c>
      <c r="E2669" s="1186">
        <v>7</v>
      </c>
      <c r="F2669" s="1186">
        <v>317100</v>
      </c>
    </row>
    <row r="2670" spans="1:6" x14ac:dyDescent="0.2">
      <c r="A2670" s="1186" t="s">
        <v>282</v>
      </c>
      <c r="B2670" s="1186" t="s">
        <v>826</v>
      </c>
      <c r="C2670" s="1186" t="s">
        <v>61</v>
      </c>
      <c r="D2670" s="1186" t="s">
        <v>50</v>
      </c>
      <c r="E2670" s="1186">
        <v>14</v>
      </c>
      <c r="F2670" s="1186">
        <v>93750</v>
      </c>
    </row>
    <row r="2671" spans="1:6" x14ac:dyDescent="0.2">
      <c r="A2671" s="1186" t="s">
        <v>282</v>
      </c>
      <c r="B2671" s="1186" t="s">
        <v>826</v>
      </c>
      <c r="C2671" s="1186" t="s">
        <v>61</v>
      </c>
      <c r="D2671" s="1186" t="s">
        <v>51</v>
      </c>
      <c r="E2671" s="1186">
        <v>3</v>
      </c>
      <c r="F2671" s="1186">
        <v>89860</v>
      </c>
    </row>
    <row r="2672" spans="1:6" x14ac:dyDescent="0.2">
      <c r="A2672" s="1186" t="s">
        <v>282</v>
      </c>
      <c r="B2672" s="1186" t="s">
        <v>826</v>
      </c>
      <c r="C2672" s="1186" t="s">
        <v>61</v>
      </c>
      <c r="D2672" s="1186" t="s">
        <v>52</v>
      </c>
      <c r="E2672" s="1186">
        <v>11</v>
      </c>
      <c r="F2672" s="1186">
        <v>180130</v>
      </c>
    </row>
    <row r="2673" spans="1:6" x14ac:dyDescent="0.2">
      <c r="A2673" s="1186" t="s">
        <v>282</v>
      </c>
      <c r="B2673" s="1186" t="s">
        <v>826</v>
      </c>
      <c r="C2673" s="1186" t="s">
        <v>116</v>
      </c>
      <c r="D2673" s="1186" t="s">
        <v>23</v>
      </c>
      <c r="E2673" s="1186">
        <v>13</v>
      </c>
      <c r="F2673" s="1186">
        <v>229840</v>
      </c>
    </row>
    <row r="2674" spans="1:6" x14ac:dyDescent="0.2">
      <c r="A2674" s="1186" t="s">
        <v>282</v>
      </c>
      <c r="B2674" s="1186" t="s">
        <v>826</v>
      </c>
      <c r="C2674" s="1186" t="s">
        <v>116</v>
      </c>
      <c r="D2674" s="1186" t="s">
        <v>24</v>
      </c>
      <c r="E2674" s="1186">
        <v>15</v>
      </c>
      <c r="F2674" s="1186">
        <v>262190</v>
      </c>
    </row>
    <row r="2675" spans="1:6" x14ac:dyDescent="0.2">
      <c r="A2675" s="1186" t="s">
        <v>282</v>
      </c>
      <c r="B2675" s="1186" t="s">
        <v>826</v>
      </c>
      <c r="C2675" s="1186" t="s">
        <v>116</v>
      </c>
      <c r="D2675" s="1186" t="s">
        <v>25</v>
      </c>
      <c r="E2675" s="1186">
        <v>4</v>
      </c>
      <c r="F2675" s="1186">
        <v>116520</v>
      </c>
    </row>
    <row r="2676" spans="1:6" x14ac:dyDescent="0.2">
      <c r="A2676" s="1186" t="s">
        <v>282</v>
      </c>
      <c r="B2676" s="1186" t="s">
        <v>826</v>
      </c>
      <c r="C2676" s="1186" t="s">
        <v>116</v>
      </c>
      <c r="D2676" s="1186" t="s">
        <v>26</v>
      </c>
      <c r="E2676" s="1186">
        <v>3</v>
      </c>
      <c r="F2676" s="1186">
        <v>87130</v>
      </c>
    </row>
    <row r="2677" spans="1:6" x14ac:dyDescent="0.2">
      <c r="A2677" s="1186" t="s">
        <v>282</v>
      </c>
      <c r="B2677" s="1186" t="s">
        <v>826</v>
      </c>
      <c r="C2677" s="1186" t="s">
        <v>116</v>
      </c>
      <c r="D2677" s="1186" t="s">
        <v>619</v>
      </c>
      <c r="E2677" s="1186">
        <v>85</v>
      </c>
      <c r="F2677" s="1186">
        <v>507170</v>
      </c>
    </row>
    <row r="2678" spans="1:6" x14ac:dyDescent="0.2">
      <c r="A2678" s="1186" t="s">
        <v>282</v>
      </c>
      <c r="B2678" s="1186" t="s">
        <v>826</v>
      </c>
      <c r="C2678" s="1186" t="s">
        <v>116</v>
      </c>
      <c r="D2678" s="1186" t="s">
        <v>27</v>
      </c>
      <c r="E2678" s="1186">
        <v>3</v>
      </c>
      <c r="F2678" s="1186">
        <v>51350</v>
      </c>
    </row>
    <row r="2679" spans="1:6" x14ac:dyDescent="0.2">
      <c r="A2679" s="1186" t="s">
        <v>282</v>
      </c>
      <c r="B2679" s="1186" t="s">
        <v>826</v>
      </c>
      <c r="C2679" s="1186" t="s">
        <v>116</v>
      </c>
      <c r="D2679" s="1186" t="s">
        <v>28</v>
      </c>
      <c r="E2679" s="1186">
        <v>6</v>
      </c>
      <c r="F2679" s="1186">
        <v>149520</v>
      </c>
    </row>
    <row r="2680" spans="1:6" x14ac:dyDescent="0.2">
      <c r="A2680" s="1186" t="s">
        <v>282</v>
      </c>
      <c r="B2680" s="1186" t="s">
        <v>826</v>
      </c>
      <c r="C2680" s="1186" t="s">
        <v>116</v>
      </c>
      <c r="D2680" s="1186" t="s">
        <v>29</v>
      </c>
      <c r="E2680" s="1186">
        <v>13</v>
      </c>
      <c r="F2680" s="1186">
        <v>148270</v>
      </c>
    </row>
    <row r="2681" spans="1:6" x14ac:dyDescent="0.2">
      <c r="A2681" s="1186" t="s">
        <v>282</v>
      </c>
      <c r="B2681" s="1186" t="s">
        <v>826</v>
      </c>
      <c r="C2681" s="1186" t="s">
        <v>116</v>
      </c>
      <c r="D2681" s="1186" t="s">
        <v>30</v>
      </c>
      <c r="E2681" s="1186">
        <v>5</v>
      </c>
      <c r="F2681" s="1186">
        <v>122200</v>
      </c>
    </row>
    <row r="2682" spans="1:6" x14ac:dyDescent="0.2">
      <c r="A2682" s="1186" t="s">
        <v>282</v>
      </c>
      <c r="B2682" s="1186" t="s">
        <v>826</v>
      </c>
      <c r="C2682" s="1186" t="s">
        <v>116</v>
      </c>
      <c r="D2682" s="1186" t="s">
        <v>31</v>
      </c>
      <c r="E2682" s="1186">
        <v>8</v>
      </c>
      <c r="F2682" s="1186">
        <v>107540</v>
      </c>
    </row>
    <row r="2683" spans="1:6" x14ac:dyDescent="0.2">
      <c r="A2683" s="1186" t="s">
        <v>282</v>
      </c>
      <c r="B2683" s="1186" t="s">
        <v>826</v>
      </c>
      <c r="C2683" s="1186" t="s">
        <v>116</v>
      </c>
      <c r="D2683" s="1186" t="s">
        <v>32</v>
      </c>
      <c r="E2683" s="1186">
        <v>18</v>
      </c>
      <c r="F2683" s="1186">
        <v>104090</v>
      </c>
    </row>
    <row r="2684" spans="1:6" x14ac:dyDescent="0.2">
      <c r="A2684" s="1186" t="s">
        <v>282</v>
      </c>
      <c r="B2684" s="1186" t="s">
        <v>826</v>
      </c>
      <c r="C2684" s="1186" t="s">
        <v>116</v>
      </c>
      <c r="D2684" s="1186" t="s">
        <v>33</v>
      </c>
      <c r="E2684" s="1186">
        <v>6</v>
      </c>
      <c r="F2684" s="1186">
        <v>93810</v>
      </c>
    </row>
    <row r="2685" spans="1:6" x14ac:dyDescent="0.2">
      <c r="A2685" s="1186" t="s">
        <v>282</v>
      </c>
      <c r="B2685" s="1186" t="s">
        <v>826</v>
      </c>
      <c r="C2685" s="1186" t="s">
        <v>116</v>
      </c>
      <c r="D2685" s="1186" t="s">
        <v>34</v>
      </c>
      <c r="E2685" s="1186">
        <v>42</v>
      </c>
      <c r="F2685" s="1186">
        <v>159380</v>
      </c>
    </row>
    <row r="2686" spans="1:6" x14ac:dyDescent="0.2">
      <c r="A2686" s="1186" t="s">
        <v>282</v>
      </c>
      <c r="B2686" s="1186" t="s">
        <v>826</v>
      </c>
      <c r="C2686" s="1186" t="s">
        <v>116</v>
      </c>
      <c r="D2686" s="1186" t="s">
        <v>35</v>
      </c>
      <c r="E2686" s="1186">
        <v>77</v>
      </c>
      <c r="F2686" s="1186">
        <v>370330</v>
      </c>
    </row>
    <row r="2687" spans="1:6" x14ac:dyDescent="0.2">
      <c r="A2687" s="1186" t="s">
        <v>282</v>
      </c>
      <c r="B2687" s="1186" t="s">
        <v>826</v>
      </c>
      <c r="C2687" s="1186" t="s">
        <v>116</v>
      </c>
      <c r="D2687" s="1186" t="s">
        <v>36</v>
      </c>
      <c r="E2687" s="1186">
        <v>44</v>
      </c>
      <c r="F2687" s="1186">
        <v>615070</v>
      </c>
    </row>
    <row r="2688" spans="1:6" x14ac:dyDescent="0.2">
      <c r="A2688" s="1186" t="s">
        <v>282</v>
      </c>
      <c r="B2688" s="1186" t="s">
        <v>826</v>
      </c>
      <c r="C2688" s="1186" t="s">
        <v>116</v>
      </c>
      <c r="D2688" s="1186" t="s">
        <v>37</v>
      </c>
      <c r="E2688" s="1186">
        <v>7</v>
      </c>
      <c r="F2688" s="1186">
        <v>234770</v>
      </c>
    </row>
    <row r="2689" spans="1:6" x14ac:dyDescent="0.2">
      <c r="A2689" s="1186" t="s">
        <v>282</v>
      </c>
      <c r="B2689" s="1186" t="s">
        <v>826</v>
      </c>
      <c r="C2689" s="1186" t="s">
        <v>116</v>
      </c>
      <c r="D2689" s="1186" t="s">
        <v>38</v>
      </c>
      <c r="E2689" s="1186">
        <v>6</v>
      </c>
      <c r="F2689" s="1186">
        <v>79160</v>
      </c>
    </row>
    <row r="2690" spans="1:6" x14ac:dyDescent="0.2">
      <c r="A2690" s="1186" t="s">
        <v>282</v>
      </c>
      <c r="B2690" s="1186" t="s">
        <v>826</v>
      </c>
      <c r="C2690" s="1186" t="s">
        <v>116</v>
      </c>
      <c r="D2690" s="1186" t="s">
        <v>39</v>
      </c>
      <c r="E2690" s="1186">
        <v>38</v>
      </c>
      <c r="F2690" s="1186">
        <v>88610</v>
      </c>
    </row>
    <row r="2691" spans="1:6" x14ac:dyDescent="0.2">
      <c r="A2691" s="1186" t="s">
        <v>282</v>
      </c>
      <c r="B2691" s="1186" t="s">
        <v>826</v>
      </c>
      <c r="C2691" s="1186" t="s">
        <v>116</v>
      </c>
      <c r="D2691" s="1186" t="s">
        <v>40</v>
      </c>
      <c r="E2691" s="1186">
        <v>4</v>
      </c>
      <c r="F2691" s="1186">
        <v>96070</v>
      </c>
    </row>
    <row r="2692" spans="1:6" x14ac:dyDescent="0.2">
      <c r="A2692" s="1186" t="s">
        <v>282</v>
      </c>
      <c r="B2692" s="1186" t="s">
        <v>826</v>
      </c>
      <c r="C2692" s="1186" t="s">
        <v>116</v>
      </c>
      <c r="D2692" s="1186" t="s">
        <v>295</v>
      </c>
      <c r="E2692" s="1186">
        <v>1</v>
      </c>
      <c r="F2692" s="1186">
        <v>26900</v>
      </c>
    </row>
    <row r="2693" spans="1:6" x14ac:dyDescent="0.2">
      <c r="A2693" s="1186" t="s">
        <v>282</v>
      </c>
      <c r="B2693" s="1186" t="s">
        <v>826</v>
      </c>
      <c r="C2693" s="1186" t="s">
        <v>116</v>
      </c>
      <c r="D2693" s="1186" t="s">
        <v>41</v>
      </c>
      <c r="E2693" s="1186">
        <v>14</v>
      </c>
      <c r="F2693" s="1186">
        <v>135890</v>
      </c>
    </row>
    <row r="2694" spans="1:6" x14ac:dyDescent="0.2">
      <c r="A2694" s="1186" t="s">
        <v>282</v>
      </c>
      <c r="B2694" s="1186" t="s">
        <v>826</v>
      </c>
      <c r="C2694" s="1186" t="s">
        <v>116</v>
      </c>
      <c r="D2694" s="1186" t="s">
        <v>42</v>
      </c>
      <c r="E2694" s="1186">
        <v>31</v>
      </c>
      <c r="F2694" s="1186">
        <v>339390</v>
      </c>
    </row>
    <row r="2695" spans="1:6" x14ac:dyDescent="0.2">
      <c r="A2695" s="1186" t="s">
        <v>282</v>
      </c>
      <c r="B2695" s="1186" t="s">
        <v>826</v>
      </c>
      <c r="C2695" s="1186" t="s">
        <v>116</v>
      </c>
      <c r="D2695" s="1186" t="s">
        <v>44</v>
      </c>
      <c r="E2695" s="1186">
        <v>9</v>
      </c>
      <c r="F2695" s="1186">
        <v>150680</v>
      </c>
    </row>
    <row r="2696" spans="1:6" x14ac:dyDescent="0.2">
      <c r="A2696" s="1186" t="s">
        <v>282</v>
      </c>
      <c r="B2696" s="1186" t="s">
        <v>826</v>
      </c>
      <c r="C2696" s="1186" t="s">
        <v>116</v>
      </c>
      <c r="D2696" s="1186" t="s">
        <v>45</v>
      </c>
      <c r="E2696" s="1186">
        <v>25</v>
      </c>
      <c r="F2696" s="1186">
        <v>175930</v>
      </c>
    </row>
    <row r="2697" spans="1:6" x14ac:dyDescent="0.2">
      <c r="A2697" s="1186" t="s">
        <v>282</v>
      </c>
      <c r="B2697" s="1186" t="s">
        <v>826</v>
      </c>
      <c r="C2697" s="1186" t="s">
        <v>116</v>
      </c>
      <c r="D2697" s="1186" t="s">
        <v>46</v>
      </c>
      <c r="E2697" s="1186">
        <v>13</v>
      </c>
      <c r="F2697" s="1186">
        <v>114530</v>
      </c>
    </row>
    <row r="2698" spans="1:6" x14ac:dyDescent="0.2">
      <c r="A2698" s="1186" t="s">
        <v>282</v>
      </c>
      <c r="B2698" s="1186" t="s">
        <v>826</v>
      </c>
      <c r="C2698" s="1186" t="s">
        <v>116</v>
      </c>
      <c r="D2698" s="1186" t="s">
        <v>48</v>
      </c>
      <c r="E2698" s="1186">
        <v>6</v>
      </c>
      <c r="F2698" s="1186">
        <v>112470</v>
      </c>
    </row>
    <row r="2699" spans="1:6" x14ac:dyDescent="0.2">
      <c r="A2699" s="1186" t="s">
        <v>282</v>
      </c>
      <c r="B2699" s="1186" t="s">
        <v>826</v>
      </c>
      <c r="C2699" s="1186" t="s">
        <v>116</v>
      </c>
      <c r="D2699" s="1186" t="s">
        <v>49</v>
      </c>
      <c r="E2699" s="1186">
        <v>23</v>
      </c>
      <c r="F2699" s="1186">
        <v>317100</v>
      </c>
    </row>
    <row r="2700" spans="1:6" x14ac:dyDescent="0.2">
      <c r="A2700" s="1186" t="s">
        <v>282</v>
      </c>
      <c r="B2700" s="1186" t="s">
        <v>826</v>
      </c>
      <c r="C2700" s="1186" t="s">
        <v>116</v>
      </c>
      <c r="D2700" s="1186" t="s">
        <v>50</v>
      </c>
      <c r="E2700" s="1186">
        <v>16</v>
      </c>
      <c r="F2700" s="1186">
        <v>93750</v>
      </c>
    </row>
    <row r="2701" spans="1:6" x14ac:dyDescent="0.2">
      <c r="A2701" s="1186" t="s">
        <v>282</v>
      </c>
      <c r="B2701" s="1186" t="s">
        <v>826</v>
      </c>
      <c r="C2701" s="1186" t="s">
        <v>116</v>
      </c>
      <c r="D2701" s="1186" t="s">
        <v>51</v>
      </c>
      <c r="E2701" s="1186">
        <v>20</v>
      </c>
      <c r="F2701" s="1186">
        <v>89860</v>
      </c>
    </row>
    <row r="2702" spans="1:6" x14ac:dyDescent="0.2">
      <c r="A2702" s="1186" t="s">
        <v>282</v>
      </c>
      <c r="B2702" s="1186" t="s">
        <v>826</v>
      </c>
      <c r="C2702" s="1186" t="s">
        <v>116</v>
      </c>
      <c r="D2702" s="1186" t="s">
        <v>52</v>
      </c>
      <c r="E2702" s="1186">
        <v>56</v>
      </c>
      <c r="F2702" s="1186">
        <v>180130</v>
      </c>
    </row>
    <row r="2703" spans="1:6" x14ac:dyDescent="0.2">
      <c r="A2703" s="1186" t="s">
        <v>282</v>
      </c>
      <c r="B2703" s="1186" t="s">
        <v>308</v>
      </c>
      <c r="C2703" s="1186" t="s">
        <v>61</v>
      </c>
      <c r="D2703" s="1186" t="s">
        <v>23</v>
      </c>
      <c r="E2703" s="1186">
        <v>94</v>
      </c>
      <c r="F2703" s="1186">
        <v>229840</v>
      </c>
    </row>
    <row r="2704" spans="1:6" x14ac:dyDescent="0.2">
      <c r="A2704" s="1186" t="s">
        <v>282</v>
      </c>
      <c r="B2704" s="1186" t="s">
        <v>308</v>
      </c>
      <c r="C2704" s="1186" t="s">
        <v>61</v>
      </c>
      <c r="D2704" s="1186" t="s">
        <v>24</v>
      </c>
      <c r="E2704" s="1186">
        <v>135</v>
      </c>
      <c r="F2704" s="1186">
        <v>262190</v>
      </c>
    </row>
    <row r="2705" spans="1:6" x14ac:dyDescent="0.2">
      <c r="A2705" s="1186" t="s">
        <v>282</v>
      </c>
      <c r="B2705" s="1186" t="s">
        <v>308</v>
      </c>
      <c r="C2705" s="1186" t="s">
        <v>61</v>
      </c>
      <c r="D2705" s="1186" t="s">
        <v>25</v>
      </c>
      <c r="E2705" s="1186">
        <v>46</v>
      </c>
      <c r="F2705" s="1186">
        <v>116520</v>
      </c>
    </row>
    <row r="2706" spans="1:6" x14ac:dyDescent="0.2">
      <c r="A2706" s="1186" t="s">
        <v>282</v>
      </c>
      <c r="B2706" s="1186" t="s">
        <v>308</v>
      </c>
      <c r="C2706" s="1186" t="s">
        <v>61</v>
      </c>
      <c r="D2706" s="1186" t="s">
        <v>26</v>
      </c>
      <c r="E2706" s="1186">
        <v>59</v>
      </c>
      <c r="F2706" s="1186">
        <v>87130</v>
      </c>
    </row>
    <row r="2707" spans="1:6" x14ac:dyDescent="0.2">
      <c r="A2707" s="1186" t="s">
        <v>282</v>
      </c>
      <c r="B2707" s="1186" t="s">
        <v>308</v>
      </c>
      <c r="C2707" s="1186" t="s">
        <v>61</v>
      </c>
      <c r="D2707" s="1186" t="s">
        <v>619</v>
      </c>
      <c r="E2707" s="1186">
        <v>566</v>
      </c>
      <c r="F2707" s="1186">
        <v>507170</v>
      </c>
    </row>
    <row r="2708" spans="1:6" x14ac:dyDescent="0.2">
      <c r="A2708" s="1186" t="s">
        <v>282</v>
      </c>
      <c r="B2708" s="1186" t="s">
        <v>308</v>
      </c>
      <c r="C2708" s="1186" t="s">
        <v>61</v>
      </c>
      <c r="D2708" s="1186" t="s">
        <v>27</v>
      </c>
      <c r="E2708" s="1186">
        <v>21</v>
      </c>
      <c r="F2708" s="1186">
        <v>51350</v>
      </c>
    </row>
    <row r="2709" spans="1:6" x14ac:dyDescent="0.2">
      <c r="A2709" s="1186" t="s">
        <v>282</v>
      </c>
      <c r="B2709" s="1186" t="s">
        <v>308</v>
      </c>
      <c r="C2709" s="1186" t="s">
        <v>61</v>
      </c>
      <c r="D2709" s="1186" t="s">
        <v>28</v>
      </c>
      <c r="E2709" s="1186">
        <v>53</v>
      </c>
      <c r="F2709" s="1186">
        <v>149520</v>
      </c>
    </row>
    <row r="2710" spans="1:6" x14ac:dyDescent="0.2">
      <c r="A2710" s="1186" t="s">
        <v>282</v>
      </c>
      <c r="B2710" s="1186" t="s">
        <v>308</v>
      </c>
      <c r="C2710" s="1186" t="s">
        <v>61</v>
      </c>
      <c r="D2710" s="1186" t="s">
        <v>29</v>
      </c>
      <c r="E2710" s="1186">
        <v>122</v>
      </c>
      <c r="F2710" s="1186">
        <v>148270</v>
      </c>
    </row>
    <row r="2711" spans="1:6" x14ac:dyDescent="0.2">
      <c r="A2711" s="1186" t="s">
        <v>282</v>
      </c>
      <c r="B2711" s="1186" t="s">
        <v>308</v>
      </c>
      <c r="C2711" s="1186" t="s">
        <v>61</v>
      </c>
      <c r="D2711" s="1186" t="s">
        <v>30</v>
      </c>
      <c r="E2711" s="1186">
        <v>14</v>
      </c>
      <c r="F2711" s="1186">
        <v>122200</v>
      </c>
    </row>
    <row r="2712" spans="1:6" x14ac:dyDescent="0.2">
      <c r="A2712" s="1186" t="s">
        <v>282</v>
      </c>
      <c r="B2712" s="1186" t="s">
        <v>308</v>
      </c>
      <c r="C2712" s="1186" t="s">
        <v>61</v>
      </c>
      <c r="D2712" s="1186" t="s">
        <v>31</v>
      </c>
      <c r="E2712" s="1186">
        <v>13</v>
      </c>
      <c r="F2712" s="1186">
        <v>107540</v>
      </c>
    </row>
    <row r="2713" spans="1:6" x14ac:dyDescent="0.2">
      <c r="A2713" s="1186" t="s">
        <v>282</v>
      </c>
      <c r="B2713" s="1186" t="s">
        <v>308</v>
      </c>
      <c r="C2713" s="1186" t="s">
        <v>61</v>
      </c>
      <c r="D2713" s="1186" t="s">
        <v>32</v>
      </c>
      <c r="E2713" s="1186">
        <v>55</v>
      </c>
      <c r="F2713" s="1186">
        <v>104090</v>
      </c>
    </row>
    <row r="2714" spans="1:6" x14ac:dyDescent="0.2">
      <c r="A2714" s="1186" t="s">
        <v>282</v>
      </c>
      <c r="B2714" s="1186" t="s">
        <v>308</v>
      </c>
      <c r="C2714" s="1186" t="s">
        <v>61</v>
      </c>
      <c r="D2714" s="1186" t="s">
        <v>33</v>
      </c>
      <c r="E2714" s="1186">
        <v>9</v>
      </c>
      <c r="F2714" s="1186">
        <v>93810</v>
      </c>
    </row>
    <row r="2715" spans="1:6" x14ac:dyDescent="0.2">
      <c r="A2715" s="1186" t="s">
        <v>282</v>
      </c>
      <c r="B2715" s="1186" t="s">
        <v>308</v>
      </c>
      <c r="C2715" s="1186" t="s">
        <v>61</v>
      </c>
      <c r="D2715" s="1186" t="s">
        <v>34</v>
      </c>
      <c r="E2715" s="1186">
        <v>108</v>
      </c>
      <c r="F2715" s="1186">
        <v>159380</v>
      </c>
    </row>
    <row r="2716" spans="1:6" x14ac:dyDescent="0.2">
      <c r="A2716" s="1186" t="s">
        <v>282</v>
      </c>
      <c r="B2716" s="1186" t="s">
        <v>308</v>
      </c>
      <c r="C2716" s="1186" t="s">
        <v>61</v>
      </c>
      <c r="D2716" s="1186" t="s">
        <v>35</v>
      </c>
      <c r="E2716" s="1186">
        <v>156</v>
      </c>
      <c r="F2716" s="1186">
        <v>370330</v>
      </c>
    </row>
    <row r="2717" spans="1:6" x14ac:dyDescent="0.2">
      <c r="A2717" s="1186" t="s">
        <v>282</v>
      </c>
      <c r="B2717" s="1186" t="s">
        <v>308</v>
      </c>
      <c r="C2717" s="1186" t="s">
        <v>61</v>
      </c>
      <c r="D2717" s="1186" t="s">
        <v>36</v>
      </c>
      <c r="E2717" s="1186">
        <v>140</v>
      </c>
      <c r="F2717" s="1186">
        <v>615070</v>
      </c>
    </row>
    <row r="2718" spans="1:6" x14ac:dyDescent="0.2">
      <c r="A2718" s="1186" t="s">
        <v>282</v>
      </c>
      <c r="B2718" s="1186" t="s">
        <v>308</v>
      </c>
      <c r="C2718" s="1186" t="s">
        <v>61</v>
      </c>
      <c r="D2718" s="1186" t="s">
        <v>37</v>
      </c>
      <c r="E2718" s="1186">
        <v>260</v>
      </c>
      <c r="F2718" s="1186">
        <v>234770</v>
      </c>
    </row>
    <row r="2719" spans="1:6" x14ac:dyDescent="0.2">
      <c r="A2719" s="1186" t="s">
        <v>282</v>
      </c>
      <c r="B2719" s="1186" t="s">
        <v>308</v>
      </c>
      <c r="C2719" s="1186" t="s">
        <v>61</v>
      </c>
      <c r="D2719" s="1186" t="s">
        <v>38</v>
      </c>
      <c r="E2719" s="1186">
        <v>12</v>
      </c>
      <c r="F2719" s="1186">
        <v>79160</v>
      </c>
    </row>
    <row r="2720" spans="1:6" x14ac:dyDescent="0.2">
      <c r="A2720" s="1186" t="s">
        <v>282</v>
      </c>
      <c r="B2720" s="1186" t="s">
        <v>308</v>
      </c>
      <c r="C2720" s="1186" t="s">
        <v>61</v>
      </c>
      <c r="D2720" s="1186" t="s">
        <v>39</v>
      </c>
      <c r="E2720" s="1186">
        <v>47</v>
      </c>
      <c r="F2720" s="1186">
        <v>88610</v>
      </c>
    </row>
    <row r="2721" spans="1:6" x14ac:dyDescent="0.2">
      <c r="A2721" s="1186" t="s">
        <v>282</v>
      </c>
      <c r="B2721" s="1186" t="s">
        <v>308</v>
      </c>
      <c r="C2721" s="1186" t="s">
        <v>61</v>
      </c>
      <c r="D2721" s="1186" t="s">
        <v>40</v>
      </c>
      <c r="E2721" s="1186">
        <v>67</v>
      </c>
      <c r="F2721" s="1186">
        <v>96070</v>
      </c>
    </row>
    <row r="2722" spans="1:6" x14ac:dyDescent="0.2">
      <c r="A2722" s="1186" t="s">
        <v>282</v>
      </c>
      <c r="B2722" s="1186" t="s">
        <v>308</v>
      </c>
      <c r="C2722" s="1186" t="s">
        <v>61</v>
      </c>
      <c r="D2722" s="1186" t="s">
        <v>295</v>
      </c>
      <c r="E2722" s="1186">
        <v>49</v>
      </c>
      <c r="F2722" s="1186">
        <v>26900</v>
      </c>
    </row>
    <row r="2723" spans="1:6" x14ac:dyDescent="0.2">
      <c r="A2723" s="1186" t="s">
        <v>282</v>
      </c>
      <c r="B2723" s="1186" t="s">
        <v>308</v>
      </c>
      <c r="C2723" s="1186" t="s">
        <v>61</v>
      </c>
      <c r="D2723" s="1186" t="s">
        <v>41</v>
      </c>
      <c r="E2723" s="1186">
        <v>30</v>
      </c>
      <c r="F2723" s="1186">
        <v>135890</v>
      </c>
    </row>
    <row r="2724" spans="1:6" x14ac:dyDescent="0.2">
      <c r="A2724" s="1186" t="s">
        <v>282</v>
      </c>
      <c r="B2724" s="1186" t="s">
        <v>308</v>
      </c>
      <c r="C2724" s="1186" t="s">
        <v>61</v>
      </c>
      <c r="D2724" s="1186" t="s">
        <v>42</v>
      </c>
      <c r="E2724" s="1186">
        <v>32</v>
      </c>
      <c r="F2724" s="1186">
        <v>339390</v>
      </c>
    </row>
    <row r="2725" spans="1:6" x14ac:dyDescent="0.2">
      <c r="A2725" s="1186" t="s">
        <v>282</v>
      </c>
      <c r="B2725" s="1186" t="s">
        <v>308</v>
      </c>
      <c r="C2725" s="1186" t="s">
        <v>61</v>
      </c>
      <c r="D2725" s="1186" t="s">
        <v>43</v>
      </c>
      <c r="E2725" s="1186">
        <v>9</v>
      </c>
      <c r="F2725" s="1186">
        <v>21850</v>
      </c>
    </row>
    <row r="2726" spans="1:6" x14ac:dyDescent="0.2">
      <c r="A2726" s="1186" t="s">
        <v>282</v>
      </c>
      <c r="B2726" s="1186" t="s">
        <v>308</v>
      </c>
      <c r="C2726" s="1186" t="s">
        <v>61</v>
      </c>
      <c r="D2726" s="1186" t="s">
        <v>44</v>
      </c>
      <c r="E2726" s="1186">
        <v>64</v>
      </c>
      <c r="F2726" s="1186">
        <v>150680</v>
      </c>
    </row>
    <row r="2727" spans="1:6" x14ac:dyDescent="0.2">
      <c r="A2727" s="1186" t="s">
        <v>282</v>
      </c>
      <c r="B2727" s="1186" t="s">
        <v>308</v>
      </c>
      <c r="C2727" s="1186" t="s">
        <v>61</v>
      </c>
      <c r="D2727" s="1186" t="s">
        <v>45</v>
      </c>
      <c r="E2727" s="1186">
        <v>37</v>
      </c>
      <c r="F2727" s="1186">
        <v>175930</v>
      </c>
    </row>
    <row r="2728" spans="1:6" x14ac:dyDescent="0.2">
      <c r="A2728" s="1186" t="s">
        <v>282</v>
      </c>
      <c r="B2728" s="1186" t="s">
        <v>308</v>
      </c>
      <c r="C2728" s="1186" t="s">
        <v>61</v>
      </c>
      <c r="D2728" s="1186" t="s">
        <v>46</v>
      </c>
      <c r="E2728" s="1186">
        <v>34</v>
      </c>
      <c r="F2728" s="1186">
        <v>114530</v>
      </c>
    </row>
    <row r="2729" spans="1:6" x14ac:dyDescent="0.2">
      <c r="A2729" s="1186" t="s">
        <v>282</v>
      </c>
      <c r="B2729" s="1186" t="s">
        <v>308</v>
      </c>
      <c r="C2729" s="1186" t="s">
        <v>61</v>
      </c>
      <c r="D2729" s="1186" t="s">
        <v>47</v>
      </c>
      <c r="E2729" s="1186">
        <v>4</v>
      </c>
      <c r="F2729" s="1186">
        <v>23200</v>
      </c>
    </row>
    <row r="2730" spans="1:6" x14ac:dyDescent="0.2">
      <c r="A2730" s="1186" t="s">
        <v>282</v>
      </c>
      <c r="B2730" s="1186" t="s">
        <v>308</v>
      </c>
      <c r="C2730" s="1186" t="s">
        <v>61</v>
      </c>
      <c r="D2730" s="1186" t="s">
        <v>48</v>
      </c>
      <c r="E2730" s="1186">
        <v>19</v>
      </c>
      <c r="F2730" s="1186">
        <v>112470</v>
      </c>
    </row>
    <row r="2731" spans="1:6" x14ac:dyDescent="0.2">
      <c r="A2731" s="1186" t="s">
        <v>282</v>
      </c>
      <c r="B2731" s="1186" t="s">
        <v>308</v>
      </c>
      <c r="C2731" s="1186" t="s">
        <v>61</v>
      </c>
      <c r="D2731" s="1186" t="s">
        <v>49</v>
      </c>
      <c r="E2731" s="1186">
        <v>41</v>
      </c>
      <c r="F2731" s="1186">
        <v>317100</v>
      </c>
    </row>
    <row r="2732" spans="1:6" x14ac:dyDescent="0.2">
      <c r="A2732" s="1186" t="s">
        <v>282</v>
      </c>
      <c r="B2732" s="1186" t="s">
        <v>308</v>
      </c>
      <c r="C2732" s="1186" t="s">
        <v>61</v>
      </c>
      <c r="D2732" s="1186" t="s">
        <v>50</v>
      </c>
      <c r="E2732" s="1186">
        <v>55</v>
      </c>
      <c r="F2732" s="1186">
        <v>93750</v>
      </c>
    </row>
    <row r="2733" spans="1:6" x14ac:dyDescent="0.2">
      <c r="A2733" s="1186" t="s">
        <v>282</v>
      </c>
      <c r="B2733" s="1186" t="s">
        <v>308</v>
      </c>
      <c r="C2733" s="1186" t="s">
        <v>61</v>
      </c>
      <c r="D2733" s="1186" t="s">
        <v>51</v>
      </c>
      <c r="E2733" s="1186">
        <v>16</v>
      </c>
      <c r="F2733" s="1186">
        <v>89860</v>
      </c>
    </row>
    <row r="2734" spans="1:6" x14ac:dyDescent="0.2">
      <c r="A2734" s="1186" t="s">
        <v>282</v>
      </c>
      <c r="B2734" s="1186" t="s">
        <v>308</v>
      </c>
      <c r="C2734" s="1186" t="s">
        <v>61</v>
      </c>
      <c r="D2734" s="1186" t="s">
        <v>52</v>
      </c>
      <c r="E2734" s="1186">
        <v>100</v>
      </c>
      <c r="F2734" s="1186">
        <v>180130</v>
      </c>
    </row>
    <row r="2735" spans="1:6" x14ac:dyDescent="0.2">
      <c r="A2735" s="1186" t="s">
        <v>282</v>
      </c>
      <c r="B2735" s="1186" t="s">
        <v>308</v>
      </c>
      <c r="C2735" s="1186" t="s">
        <v>116</v>
      </c>
      <c r="D2735" s="1186" t="s">
        <v>23</v>
      </c>
      <c r="E2735" s="1186">
        <v>221</v>
      </c>
      <c r="F2735" s="1186">
        <v>229840</v>
      </c>
    </row>
    <row r="2736" spans="1:6" x14ac:dyDescent="0.2">
      <c r="A2736" s="1186" t="s">
        <v>282</v>
      </c>
      <c r="B2736" s="1186" t="s">
        <v>308</v>
      </c>
      <c r="C2736" s="1186" t="s">
        <v>116</v>
      </c>
      <c r="D2736" s="1186" t="s">
        <v>24</v>
      </c>
      <c r="E2736" s="1186">
        <v>129</v>
      </c>
      <c r="F2736" s="1186">
        <v>262190</v>
      </c>
    </row>
    <row r="2737" spans="1:6" x14ac:dyDescent="0.2">
      <c r="A2737" s="1186" t="s">
        <v>282</v>
      </c>
      <c r="B2737" s="1186" t="s">
        <v>308</v>
      </c>
      <c r="C2737" s="1186" t="s">
        <v>116</v>
      </c>
      <c r="D2737" s="1186" t="s">
        <v>25</v>
      </c>
      <c r="E2737" s="1186">
        <v>80</v>
      </c>
      <c r="F2737" s="1186">
        <v>116520</v>
      </c>
    </row>
    <row r="2738" spans="1:6" x14ac:dyDescent="0.2">
      <c r="A2738" s="1186" t="s">
        <v>282</v>
      </c>
      <c r="B2738" s="1186" t="s">
        <v>308</v>
      </c>
      <c r="C2738" s="1186" t="s">
        <v>116</v>
      </c>
      <c r="D2738" s="1186" t="s">
        <v>26</v>
      </c>
      <c r="E2738" s="1186">
        <v>63</v>
      </c>
      <c r="F2738" s="1186">
        <v>87130</v>
      </c>
    </row>
    <row r="2739" spans="1:6" x14ac:dyDescent="0.2">
      <c r="A2739" s="1186" t="s">
        <v>282</v>
      </c>
      <c r="B2739" s="1186" t="s">
        <v>308</v>
      </c>
      <c r="C2739" s="1186" t="s">
        <v>116</v>
      </c>
      <c r="D2739" s="1186" t="s">
        <v>619</v>
      </c>
      <c r="E2739" s="1186">
        <v>1309</v>
      </c>
      <c r="F2739" s="1186">
        <v>507170</v>
      </c>
    </row>
    <row r="2740" spans="1:6" x14ac:dyDescent="0.2">
      <c r="A2740" s="1186" t="s">
        <v>282</v>
      </c>
      <c r="B2740" s="1186" t="s">
        <v>308</v>
      </c>
      <c r="C2740" s="1186" t="s">
        <v>116</v>
      </c>
      <c r="D2740" s="1186" t="s">
        <v>27</v>
      </c>
      <c r="E2740" s="1186">
        <v>63</v>
      </c>
      <c r="F2740" s="1186">
        <v>51350</v>
      </c>
    </row>
    <row r="2741" spans="1:6" x14ac:dyDescent="0.2">
      <c r="A2741" s="1186" t="s">
        <v>282</v>
      </c>
      <c r="B2741" s="1186" t="s">
        <v>308</v>
      </c>
      <c r="C2741" s="1186" t="s">
        <v>116</v>
      </c>
      <c r="D2741" s="1186" t="s">
        <v>28</v>
      </c>
      <c r="E2741" s="1186">
        <v>116</v>
      </c>
      <c r="F2741" s="1186">
        <v>149520</v>
      </c>
    </row>
    <row r="2742" spans="1:6" x14ac:dyDescent="0.2">
      <c r="A2742" s="1186" t="s">
        <v>282</v>
      </c>
      <c r="B2742" s="1186" t="s">
        <v>308</v>
      </c>
      <c r="C2742" s="1186" t="s">
        <v>116</v>
      </c>
      <c r="D2742" s="1186" t="s">
        <v>29</v>
      </c>
      <c r="E2742" s="1186">
        <v>696</v>
      </c>
      <c r="F2742" s="1186">
        <v>148270</v>
      </c>
    </row>
    <row r="2743" spans="1:6" x14ac:dyDescent="0.2">
      <c r="A2743" s="1186" t="s">
        <v>282</v>
      </c>
      <c r="B2743" s="1186" t="s">
        <v>308</v>
      </c>
      <c r="C2743" s="1186" t="s">
        <v>116</v>
      </c>
      <c r="D2743" s="1186" t="s">
        <v>30</v>
      </c>
      <c r="E2743" s="1186">
        <v>626</v>
      </c>
      <c r="F2743" s="1186">
        <v>122200</v>
      </c>
    </row>
    <row r="2744" spans="1:6" x14ac:dyDescent="0.2">
      <c r="A2744" s="1186" t="s">
        <v>282</v>
      </c>
      <c r="B2744" s="1186" t="s">
        <v>308</v>
      </c>
      <c r="C2744" s="1186" t="s">
        <v>116</v>
      </c>
      <c r="D2744" s="1186" t="s">
        <v>31</v>
      </c>
      <c r="E2744" s="1186">
        <v>167</v>
      </c>
      <c r="F2744" s="1186">
        <v>107540</v>
      </c>
    </row>
    <row r="2745" spans="1:6" x14ac:dyDescent="0.2">
      <c r="A2745" s="1186" t="s">
        <v>282</v>
      </c>
      <c r="B2745" s="1186" t="s">
        <v>308</v>
      </c>
      <c r="C2745" s="1186" t="s">
        <v>116</v>
      </c>
      <c r="D2745" s="1186" t="s">
        <v>32</v>
      </c>
      <c r="E2745" s="1186">
        <v>200</v>
      </c>
      <c r="F2745" s="1186">
        <v>104090</v>
      </c>
    </row>
    <row r="2746" spans="1:6" x14ac:dyDescent="0.2">
      <c r="A2746" s="1186" t="s">
        <v>282</v>
      </c>
      <c r="B2746" s="1186" t="s">
        <v>308</v>
      </c>
      <c r="C2746" s="1186" t="s">
        <v>116</v>
      </c>
      <c r="D2746" s="1186" t="s">
        <v>33</v>
      </c>
      <c r="E2746" s="1186">
        <v>143</v>
      </c>
      <c r="F2746" s="1186">
        <v>93810</v>
      </c>
    </row>
    <row r="2747" spans="1:6" x14ac:dyDescent="0.2">
      <c r="A2747" s="1186" t="s">
        <v>282</v>
      </c>
      <c r="B2747" s="1186" t="s">
        <v>308</v>
      </c>
      <c r="C2747" s="1186" t="s">
        <v>116</v>
      </c>
      <c r="D2747" s="1186" t="s">
        <v>34</v>
      </c>
      <c r="E2747" s="1186">
        <v>304</v>
      </c>
      <c r="F2747" s="1186">
        <v>159380</v>
      </c>
    </row>
    <row r="2748" spans="1:6" x14ac:dyDescent="0.2">
      <c r="A2748" s="1186" t="s">
        <v>282</v>
      </c>
      <c r="B2748" s="1186" t="s">
        <v>308</v>
      </c>
      <c r="C2748" s="1186" t="s">
        <v>116</v>
      </c>
      <c r="D2748" s="1186" t="s">
        <v>35</v>
      </c>
      <c r="E2748" s="1186">
        <v>581</v>
      </c>
      <c r="F2748" s="1186">
        <v>370330</v>
      </c>
    </row>
    <row r="2749" spans="1:6" x14ac:dyDescent="0.2">
      <c r="A2749" s="1186" t="s">
        <v>282</v>
      </c>
      <c r="B2749" s="1186" t="s">
        <v>308</v>
      </c>
      <c r="C2749" s="1186" t="s">
        <v>116</v>
      </c>
      <c r="D2749" s="1186" t="s">
        <v>36</v>
      </c>
      <c r="E2749" s="1186">
        <v>2419</v>
      </c>
      <c r="F2749" s="1186">
        <v>615070</v>
      </c>
    </row>
    <row r="2750" spans="1:6" x14ac:dyDescent="0.2">
      <c r="A2750" s="1186" t="s">
        <v>282</v>
      </c>
      <c r="B2750" s="1186" t="s">
        <v>308</v>
      </c>
      <c r="C2750" s="1186" t="s">
        <v>116</v>
      </c>
      <c r="D2750" s="1186" t="s">
        <v>37</v>
      </c>
      <c r="E2750" s="1186">
        <v>100</v>
      </c>
      <c r="F2750" s="1186">
        <v>234770</v>
      </c>
    </row>
    <row r="2751" spans="1:6" x14ac:dyDescent="0.2">
      <c r="A2751" s="1186" t="s">
        <v>282</v>
      </c>
      <c r="B2751" s="1186" t="s">
        <v>308</v>
      </c>
      <c r="C2751" s="1186" t="s">
        <v>116</v>
      </c>
      <c r="D2751" s="1186" t="s">
        <v>38</v>
      </c>
      <c r="E2751" s="1186">
        <v>557</v>
      </c>
      <c r="F2751" s="1186">
        <v>79160</v>
      </c>
    </row>
    <row r="2752" spans="1:6" x14ac:dyDescent="0.2">
      <c r="A2752" s="1186" t="s">
        <v>282</v>
      </c>
      <c r="B2752" s="1186" t="s">
        <v>308</v>
      </c>
      <c r="C2752" s="1186" t="s">
        <v>116</v>
      </c>
      <c r="D2752" s="1186" t="s">
        <v>39</v>
      </c>
      <c r="E2752" s="1186">
        <v>324</v>
      </c>
      <c r="F2752" s="1186">
        <v>88610</v>
      </c>
    </row>
    <row r="2753" spans="1:6" x14ac:dyDescent="0.2">
      <c r="A2753" s="1186" t="s">
        <v>282</v>
      </c>
      <c r="B2753" s="1186" t="s">
        <v>308</v>
      </c>
      <c r="C2753" s="1186" t="s">
        <v>116</v>
      </c>
      <c r="D2753" s="1186" t="s">
        <v>40</v>
      </c>
      <c r="E2753" s="1186">
        <v>60</v>
      </c>
      <c r="F2753" s="1186">
        <v>96070</v>
      </c>
    </row>
    <row r="2754" spans="1:6" x14ac:dyDescent="0.2">
      <c r="A2754" s="1186" t="s">
        <v>282</v>
      </c>
      <c r="B2754" s="1186" t="s">
        <v>308</v>
      </c>
      <c r="C2754" s="1186" t="s">
        <v>116</v>
      </c>
      <c r="D2754" s="1186" t="s">
        <v>295</v>
      </c>
      <c r="E2754" s="1186">
        <v>3</v>
      </c>
      <c r="F2754" s="1186">
        <v>26900</v>
      </c>
    </row>
    <row r="2755" spans="1:6" x14ac:dyDescent="0.2">
      <c r="A2755" s="1186" t="s">
        <v>282</v>
      </c>
      <c r="B2755" s="1186" t="s">
        <v>308</v>
      </c>
      <c r="C2755" s="1186" t="s">
        <v>116</v>
      </c>
      <c r="D2755" s="1186" t="s">
        <v>41</v>
      </c>
      <c r="E2755" s="1186">
        <v>591</v>
      </c>
      <c r="F2755" s="1186">
        <v>135890</v>
      </c>
    </row>
    <row r="2756" spans="1:6" x14ac:dyDescent="0.2">
      <c r="A2756" s="1186" t="s">
        <v>282</v>
      </c>
      <c r="B2756" s="1186" t="s">
        <v>308</v>
      </c>
      <c r="C2756" s="1186" t="s">
        <v>116</v>
      </c>
      <c r="D2756" s="1186" t="s">
        <v>42</v>
      </c>
      <c r="E2756" s="1186">
        <v>1452</v>
      </c>
      <c r="F2756" s="1186">
        <v>339390</v>
      </c>
    </row>
    <row r="2757" spans="1:6" x14ac:dyDescent="0.2">
      <c r="A2757" s="1186" t="s">
        <v>282</v>
      </c>
      <c r="B2757" s="1186" t="s">
        <v>308</v>
      </c>
      <c r="C2757" s="1186" t="s">
        <v>116</v>
      </c>
      <c r="D2757" s="1186" t="s">
        <v>43</v>
      </c>
      <c r="E2757" s="1186">
        <v>1</v>
      </c>
      <c r="F2757" s="1186">
        <v>21850</v>
      </c>
    </row>
    <row r="2758" spans="1:6" x14ac:dyDescent="0.2">
      <c r="A2758" s="1186" t="s">
        <v>282</v>
      </c>
      <c r="B2758" s="1186" t="s">
        <v>308</v>
      </c>
      <c r="C2758" s="1186" t="s">
        <v>116</v>
      </c>
      <c r="D2758" s="1186" t="s">
        <v>44</v>
      </c>
      <c r="E2758" s="1186">
        <v>79</v>
      </c>
      <c r="F2758" s="1186">
        <v>150680</v>
      </c>
    </row>
    <row r="2759" spans="1:6" x14ac:dyDescent="0.2">
      <c r="A2759" s="1186" t="s">
        <v>282</v>
      </c>
      <c r="B2759" s="1186" t="s">
        <v>308</v>
      </c>
      <c r="C2759" s="1186" t="s">
        <v>116</v>
      </c>
      <c r="D2759" s="1186" t="s">
        <v>45</v>
      </c>
      <c r="E2759" s="1186">
        <v>656</v>
      </c>
      <c r="F2759" s="1186">
        <v>175930</v>
      </c>
    </row>
    <row r="2760" spans="1:6" x14ac:dyDescent="0.2">
      <c r="A2760" s="1186" t="s">
        <v>282</v>
      </c>
      <c r="B2760" s="1186" t="s">
        <v>308</v>
      </c>
      <c r="C2760" s="1186" t="s">
        <v>116</v>
      </c>
      <c r="D2760" s="1186" t="s">
        <v>46</v>
      </c>
      <c r="E2760" s="1186">
        <v>68</v>
      </c>
      <c r="F2760" s="1186">
        <v>114530</v>
      </c>
    </row>
    <row r="2761" spans="1:6" x14ac:dyDescent="0.2">
      <c r="A2761" s="1186" t="s">
        <v>282</v>
      </c>
      <c r="B2761" s="1186" t="s">
        <v>308</v>
      </c>
      <c r="C2761" s="1186" t="s">
        <v>116</v>
      </c>
      <c r="D2761" s="1186" t="s">
        <v>47</v>
      </c>
      <c r="E2761" s="1186">
        <v>1</v>
      </c>
      <c r="F2761" s="1186">
        <v>23200</v>
      </c>
    </row>
    <row r="2762" spans="1:6" x14ac:dyDescent="0.2">
      <c r="A2762" s="1186" t="s">
        <v>282</v>
      </c>
      <c r="B2762" s="1186" t="s">
        <v>308</v>
      </c>
      <c r="C2762" s="1186" t="s">
        <v>116</v>
      </c>
      <c r="D2762" s="1186" t="s">
        <v>48</v>
      </c>
      <c r="E2762" s="1186">
        <v>212</v>
      </c>
      <c r="F2762" s="1186">
        <v>112470</v>
      </c>
    </row>
    <row r="2763" spans="1:6" x14ac:dyDescent="0.2">
      <c r="A2763" s="1186" t="s">
        <v>282</v>
      </c>
      <c r="B2763" s="1186" t="s">
        <v>308</v>
      </c>
      <c r="C2763" s="1186" t="s">
        <v>116</v>
      </c>
      <c r="D2763" s="1186" t="s">
        <v>49</v>
      </c>
      <c r="E2763" s="1186">
        <v>850</v>
      </c>
      <c r="F2763" s="1186">
        <v>317100</v>
      </c>
    </row>
    <row r="2764" spans="1:6" x14ac:dyDescent="0.2">
      <c r="A2764" s="1186" t="s">
        <v>282</v>
      </c>
      <c r="B2764" s="1186" t="s">
        <v>308</v>
      </c>
      <c r="C2764" s="1186" t="s">
        <v>116</v>
      </c>
      <c r="D2764" s="1186" t="s">
        <v>50</v>
      </c>
      <c r="E2764" s="1186">
        <v>130</v>
      </c>
      <c r="F2764" s="1186">
        <v>93750</v>
      </c>
    </row>
    <row r="2765" spans="1:6" x14ac:dyDescent="0.2">
      <c r="A2765" s="1186" t="s">
        <v>282</v>
      </c>
      <c r="B2765" s="1186" t="s">
        <v>308</v>
      </c>
      <c r="C2765" s="1186" t="s">
        <v>116</v>
      </c>
      <c r="D2765" s="1186" t="s">
        <v>51</v>
      </c>
      <c r="E2765" s="1186">
        <v>409</v>
      </c>
      <c r="F2765" s="1186">
        <v>89860</v>
      </c>
    </row>
    <row r="2766" spans="1:6" x14ac:dyDescent="0.2">
      <c r="A2766" s="1186" t="s">
        <v>282</v>
      </c>
      <c r="B2766" s="1186" t="s">
        <v>308</v>
      </c>
      <c r="C2766" s="1186" t="s">
        <v>116</v>
      </c>
      <c r="D2766" s="1186" t="s">
        <v>52</v>
      </c>
      <c r="E2766" s="1186">
        <v>583</v>
      </c>
      <c r="F2766" s="1186">
        <v>180130</v>
      </c>
    </row>
    <row r="2767" spans="1:6" x14ac:dyDescent="0.2">
      <c r="A2767" s="1186" t="s">
        <v>311</v>
      </c>
      <c r="B2767" s="1186" t="s">
        <v>309</v>
      </c>
      <c r="C2767" s="1186" t="s">
        <v>61</v>
      </c>
      <c r="D2767" s="1186" t="s">
        <v>23</v>
      </c>
      <c r="E2767" s="1186">
        <v>9</v>
      </c>
      <c r="F2767" s="1186">
        <v>228800</v>
      </c>
    </row>
    <row r="2768" spans="1:6" x14ac:dyDescent="0.2">
      <c r="A2768" s="1186" t="s">
        <v>311</v>
      </c>
      <c r="B2768" s="1186" t="s">
        <v>309</v>
      </c>
      <c r="C2768" s="1186" t="s">
        <v>61</v>
      </c>
      <c r="D2768" s="1186" t="s">
        <v>24</v>
      </c>
      <c r="E2768" s="1186">
        <v>77</v>
      </c>
      <c r="F2768" s="1186">
        <v>261800</v>
      </c>
    </row>
    <row r="2769" spans="1:6" x14ac:dyDescent="0.2">
      <c r="A2769" s="1186" t="s">
        <v>311</v>
      </c>
      <c r="B2769" s="1186" t="s">
        <v>309</v>
      </c>
      <c r="C2769" s="1186" t="s">
        <v>61</v>
      </c>
      <c r="D2769" s="1186" t="s">
        <v>25</v>
      </c>
      <c r="E2769" s="1186">
        <v>24</v>
      </c>
      <c r="F2769" s="1186">
        <v>116280</v>
      </c>
    </row>
    <row r="2770" spans="1:6" x14ac:dyDescent="0.2">
      <c r="A2770" s="1186" t="s">
        <v>311</v>
      </c>
      <c r="B2770" s="1186" t="s">
        <v>309</v>
      </c>
      <c r="C2770" s="1186" t="s">
        <v>61</v>
      </c>
      <c r="D2770" s="1186" t="s">
        <v>26</v>
      </c>
      <c r="E2770" s="1186">
        <v>46</v>
      </c>
      <c r="F2770" s="1186">
        <v>86810</v>
      </c>
    </row>
    <row r="2771" spans="1:6" x14ac:dyDescent="0.2">
      <c r="A2771" s="1186" t="s">
        <v>311</v>
      </c>
      <c r="B2771" s="1186" t="s">
        <v>309</v>
      </c>
      <c r="C2771" s="1186" t="s">
        <v>61</v>
      </c>
      <c r="D2771" s="1186" t="s">
        <v>619</v>
      </c>
      <c r="E2771" s="1186">
        <v>5</v>
      </c>
      <c r="F2771" s="1186">
        <v>513210</v>
      </c>
    </row>
    <row r="2772" spans="1:6" x14ac:dyDescent="0.2">
      <c r="A2772" s="1186" t="s">
        <v>311</v>
      </c>
      <c r="B2772" s="1186" t="s">
        <v>309</v>
      </c>
      <c r="C2772" s="1186" t="s">
        <v>61</v>
      </c>
      <c r="D2772" s="1186" t="s">
        <v>27</v>
      </c>
      <c r="E2772" s="1186">
        <v>2</v>
      </c>
      <c r="F2772" s="1186">
        <v>51450</v>
      </c>
    </row>
    <row r="2773" spans="1:6" x14ac:dyDescent="0.2">
      <c r="A2773" s="1186" t="s">
        <v>311</v>
      </c>
      <c r="B2773" s="1186" t="s">
        <v>309</v>
      </c>
      <c r="C2773" s="1186" t="s">
        <v>61</v>
      </c>
      <c r="D2773" s="1186" t="s">
        <v>28</v>
      </c>
      <c r="E2773" s="1186">
        <v>63</v>
      </c>
      <c r="F2773" s="1186">
        <v>149200</v>
      </c>
    </row>
    <row r="2774" spans="1:6" x14ac:dyDescent="0.2">
      <c r="A2774" s="1186" t="s">
        <v>311</v>
      </c>
      <c r="B2774" s="1186" t="s">
        <v>309</v>
      </c>
      <c r="C2774" s="1186" t="s">
        <v>61</v>
      </c>
      <c r="D2774" s="1186" t="s">
        <v>29</v>
      </c>
      <c r="E2774" s="1186">
        <v>1</v>
      </c>
      <c r="F2774" s="1186">
        <v>148710</v>
      </c>
    </row>
    <row r="2775" spans="1:6" x14ac:dyDescent="0.2">
      <c r="A2775" s="1186" t="s">
        <v>311</v>
      </c>
      <c r="B2775" s="1186" t="s">
        <v>309</v>
      </c>
      <c r="C2775" s="1186" t="s">
        <v>61</v>
      </c>
      <c r="D2775" s="1186" t="s">
        <v>30</v>
      </c>
      <c r="E2775" s="1186">
        <v>11</v>
      </c>
      <c r="F2775" s="1186">
        <v>121940</v>
      </c>
    </row>
    <row r="2776" spans="1:6" x14ac:dyDescent="0.2">
      <c r="A2776" s="1186" t="s">
        <v>311</v>
      </c>
      <c r="B2776" s="1186" t="s">
        <v>309</v>
      </c>
      <c r="C2776" s="1186" t="s">
        <v>61</v>
      </c>
      <c r="D2776" s="1186" t="s">
        <v>31</v>
      </c>
      <c r="E2776" s="1186">
        <v>4</v>
      </c>
      <c r="F2776" s="1186">
        <v>108130</v>
      </c>
    </row>
    <row r="2777" spans="1:6" x14ac:dyDescent="0.2">
      <c r="A2777" s="1186" t="s">
        <v>311</v>
      </c>
      <c r="B2777" s="1186" t="s">
        <v>309</v>
      </c>
      <c r="C2777" s="1186" t="s">
        <v>61</v>
      </c>
      <c r="D2777" s="1186" t="s">
        <v>32</v>
      </c>
      <c r="E2777" s="1186">
        <v>22</v>
      </c>
      <c r="F2777" s="1186">
        <v>104840</v>
      </c>
    </row>
    <row r="2778" spans="1:6" x14ac:dyDescent="0.2">
      <c r="A2778" s="1186" t="s">
        <v>311</v>
      </c>
      <c r="B2778" s="1186" t="s">
        <v>309</v>
      </c>
      <c r="C2778" s="1186" t="s">
        <v>61</v>
      </c>
      <c r="D2778" s="1186" t="s">
        <v>33</v>
      </c>
      <c r="E2778" s="1186">
        <v>6</v>
      </c>
      <c r="F2778" s="1186">
        <v>94760</v>
      </c>
    </row>
    <row r="2779" spans="1:6" x14ac:dyDescent="0.2">
      <c r="A2779" s="1186" t="s">
        <v>311</v>
      </c>
      <c r="B2779" s="1186" t="s">
        <v>309</v>
      </c>
      <c r="C2779" s="1186" t="s">
        <v>61</v>
      </c>
      <c r="D2779" s="1186" t="s">
        <v>34</v>
      </c>
      <c r="E2779" s="1186">
        <v>1</v>
      </c>
      <c r="F2779" s="1186">
        <v>160130</v>
      </c>
    </row>
    <row r="2780" spans="1:6" x14ac:dyDescent="0.2">
      <c r="A2780" s="1186" t="s">
        <v>311</v>
      </c>
      <c r="B2780" s="1186" t="s">
        <v>309</v>
      </c>
      <c r="C2780" s="1186" t="s">
        <v>61</v>
      </c>
      <c r="D2780" s="1186" t="s">
        <v>35</v>
      </c>
      <c r="E2780" s="1186">
        <v>24</v>
      </c>
      <c r="F2780" s="1186">
        <v>371410</v>
      </c>
    </row>
    <row r="2781" spans="1:6" x14ac:dyDescent="0.2">
      <c r="A2781" s="1186" t="s">
        <v>311</v>
      </c>
      <c r="B2781" s="1186" t="s">
        <v>309</v>
      </c>
      <c r="C2781" s="1186" t="s">
        <v>61</v>
      </c>
      <c r="D2781" s="1186" t="s">
        <v>36</v>
      </c>
      <c r="E2781" s="1186">
        <v>9</v>
      </c>
      <c r="F2781" s="1186">
        <v>621020</v>
      </c>
    </row>
    <row r="2782" spans="1:6" x14ac:dyDescent="0.2">
      <c r="A2782" s="1186" t="s">
        <v>311</v>
      </c>
      <c r="B2782" s="1186" t="s">
        <v>309</v>
      </c>
      <c r="C2782" s="1186" t="s">
        <v>61</v>
      </c>
      <c r="D2782" s="1186" t="s">
        <v>37</v>
      </c>
      <c r="E2782" s="1186">
        <v>184</v>
      </c>
      <c r="F2782" s="1186">
        <v>235180</v>
      </c>
    </row>
    <row r="2783" spans="1:6" x14ac:dyDescent="0.2">
      <c r="A2783" s="1186" t="s">
        <v>311</v>
      </c>
      <c r="B2783" s="1186" t="s">
        <v>309</v>
      </c>
      <c r="C2783" s="1186" t="s">
        <v>61</v>
      </c>
      <c r="D2783" s="1186" t="s">
        <v>39</v>
      </c>
      <c r="E2783" s="1186">
        <v>7</v>
      </c>
      <c r="F2783" s="1186">
        <v>90090</v>
      </c>
    </row>
    <row r="2784" spans="1:6" x14ac:dyDescent="0.2">
      <c r="A2784" s="1186" t="s">
        <v>311</v>
      </c>
      <c r="B2784" s="1186" t="s">
        <v>309</v>
      </c>
      <c r="C2784" s="1186" t="s">
        <v>61</v>
      </c>
      <c r="D2784" s="1186" t="s">
        <v>40</v>
      </c>
      <c r="E2784" s="1186">
        <v>28</v>
      </c>
      <c r="F2784" s="1186">
        <v>95780</v>
      </c>
    </row>
    <row r="2785" spans="1:6" x14ac:dyDescent="0.2">
      <c r="A2785" s="1186" t="s">
        <v>311</v>
      </c>
      <c r="B2785" s="1186" t="s">
        <v>309</v>
      </c>
      <c r="C2785" s="1186" t="s">
        <v>61</v>
      </c>
      <c r="D2785" s="1186" t="s">
        <v>295</v>
      </c>
      <c r="E2785" s="1186">
        <v>45</v>
      </c>
      <c r="F2785" s="1186">
        <v>26950</v>
      </c>
    </row>
    <row r="2786" spans="1:6" x14ac:dyDescent="0.2">
      <c r="A2786" s="1186" t="s">
        <v>311</v>
      </c>
      <c r="B2786" s="1186" t="s">
        <v>309</v>
      </c>
      <c r="C2786" s="1186" t="s">
        <v>61</v>
      </c>
      <c r="D2786" s="1186" t="s">
        <v>41</v>
      </c>
      <c r="E2786" s="1186">
        <v>15</v>
      </c>
      <c r="F2786" s="1186">
        <v>135790</v>
      </c>
    </row>
    <row r="2787" spans="1:6" x14ac:dyDescent="0.2">
      <c r="A2787" s="1186" t="s">
        <v>311</v>
      </c>
      <c r="B2787" s="1186" t="s">
        <v>309</v>
      </c>
      <c r="C2787" s="1186" t="s">
        <v>61</v>
      </c>
      <c r="D2787" s="1186" t="s">
        <v>43</v>
      </c>
      <c r="E2787" s="1186">
        <v>13</v>
      </c>
      <c r="F2787" s="1186">
        <v>22000</v>
      </c>
    </row>
    <row r="2788" spans="1:6" x14ac:dyDescent="0.2">
      <c r="A2788" s="1186" t="s">
        <v>311</v>
      </c>
      <c r="B2788" s="1186" t="s">
        <v>309</v>
      </c>
      <c r="C2788" s="1186" t="s">
        <v>61</v>
      </c>
      <c r="D2788" s="1186" t="s">
        <v>44</v>
      </c>
      <c r="E2788" s="1186">
        <v>51</v>
      </c>
      <c r="F2788" s="1186">
        <v>151100</v>
      </c>
    </row>
    <row r="2789" spans="1:6" x14ac:dyDescent="0.2">
      <c r="A2789" s="1186" t="s">
        <v>311</v>
      </c>
      <c r="B2789" s="1186" t="s">
        <v>309</v>
      </c>
      <c r="C2789" s="1186" t="s">
        <v>61</v>
      </c>
      <c r="D2789" s="1186" t="s">
        <v>45</v>
      </c>
      <c r="E2789" s="1186">
        <v>7</v>
      </c>
      <c r="F2789" s="1186">
        <v>176830</v>
      </c>
    </row>
    <row r="2790" spans="1:6" x14ac:dyDescent="0.2">
      <c r="A2790" s="1186" t="s">
        <v>311</v>
      </c>
      <c r="B2790" s="1186" t="s">
        <v>309</v>
      </c>
      <c r="C2790" s="1186" t="s">
        <v>61</v>
      </c>
      <c r="D2790" s="1186" t="s">
        <v>46</v>
      </c>
      <c r="E2790" s="1186">
        <v>54</v>
      </c>
      <c r="F2790" s="1186">
        <v>115020</v>
      </c>
    </row>
    <row r="2791" spans="1:6" x14ac:dyDescent="0.2">
      <c r="A2791" s="1186" t="s">
        <v>311</v>
      </c>
      <c r="B2791" s="1186" t="s">
        <v>309</v>
      </c>
      <c r="C2791" s="1186" t="s">
        <v>61</v>
      </c>
      <c r="D2791" s="1186" t="s">
        <v>47</v>
      </c>
      <c r="E2791" s="1186">
        <v>12</v>
      </c>
      <c r="F2791" s="1186">
        <v>23080</v>
      </c>
    </row>
    <row r="2792" spans="1:6" x14ac:dyDescent="0.2">
      <c r="A2792" s="1186" t="s">
        <v>311</v>
      </c>
      <c r="B2792" s="1186" t="s">
        <v>309</v>
      </c>
      <c r="C2792" s="1186" t="s">
        <v>61</v>
      </c>
      <c r="D2792" s="1186" t="s">
        <v>48</v>
      </c>
      <c r="E2792" s="1186">
        <v>15</v>
      </c>
      <c r="F2792" s="1186">
        <v>112680</v>
      </c>
    </row>
    <row r="2793" spans="1:6" x14ac:dyDescent="0.2">
      <c r="A2793" s="1186" t="s">
        <v>311</v>
      </c>
      <c r="B2793" s="1186" t="s">
        <v>309</v>
      </c>
      <c r="C2793" s="1186" t="s">
        <v>61</v>
      </c>
      <c r="D2793" s="1186" t="s">
        <v>49</v>
      </c>
      <c r="E2793" s="1186">
        <v>7</v>
      </c>
      <c r="F2793" s="1186">
        <v>318170</v>
      </c>
    </row>
    <row r="2794" spans="1:6" x14ac:dyDescent="0.2">
      <c r="A2794" s="1186" t="s">
        <v>311</v>
      </c>
      <c r="B2794" s="1186" t="s">
        <v>309</v>
      </c>
      <c r="C2794" s="1186" t="s">
        <v>61</v>
      </c>
      <c r="D2794" s="1186" t="s">
        <v>50</v>
      </c>
      <c r="E2794" s="1186">
        <v>21</v>
      </c>
      <c r="F2794" s="1186">
        <v>94000</v>
      </c>
    </row>
    <row r="2795" spans="1:6" x14ac:dyDescent="0.2">
      <c r="A2795" s="1186" t="s">
        <v>311</v>
      </c>
      <c r="B2795" s="1186" t="s">
        <v>309</v>
      </c>
      <c r="C2795" s="1186" t="s">
        <v>61</v>
      </c>
      <c r="D2795" s="1186" t="s">
        <v>51</v>
      </c>
      <c r="E2795" s="1186">
        <v>4</v>
      </c>
      <c r="F2795" s="1186">
        <v>89610</v>
      </c>
    </row>
    <row r="2796" spans="1:6" x14ac:dyDescent="0.2">
      <c r="A2796" s="1186" t="s">
        <v>311</v>
      </c>
      <c r="B2796" s="1186" t="s">
        <v>309</v>
      </c>
      <c r="C2796" s="1186" t="s">
        <v>61</v>
      </c>
      <c r="D2796" s="1186" t="s">
        <v>52</v>
      </c>
      <c r="E2796" s="1186">
        <v>4</v>
      </c>
      <c r="F2796" s="1186">
        <v>181310</v>
      </c>
    </row>
    <row r="2797" spans="1:6" x14ac:dyDescent="0.2">
      <c r="A2797" s="1186" t="s">
        <v>311</v>
      </c>
      <c r="B2797" s="1186" t="s">
        <v>309</v>
      </c>
      <c r="C2797" s="1186" t="s">
        <v>116</v>
      </c>
      <c r="D2797" s="1186" t="s">
        <v>35</v>
      </c>
      <c r="E2797" s="1186">
        <v>1</v>
      </c>
      <c r="F2797" s="1186">
        <v>371410</v>
      </c>
    </row>
    <row r="2798" spans="1:6" x14ac:dyDescent="0.2">
      <c r="A2798" s="1186" t="s">
        <v>311</v>
      </c>
      <c r="B2798" s="1186" t="s">
        <v>309</v>
      </c>
      <c r="C2798" s="1186" t="s">
        <v>116</v>
      </c>
      <c r="D2798" s="1186" t="s">
        <v>44</v>
      </c>
      <c r="E2798" s="1186">
        <v>1</v>
      </c>
      <c r="F2798" s="1186">
        <v>151100</v>
      </c>
    </row>
    <row r="2799" spans="1:6" x14ac:dyDescent="0.2">
      <c r="A2799" s="1186" t="s">
        <v>311</v>
      </c>
      <c r="B2799" s="1186" t="s">
        <v>309</v>
      </c>
      <c r="C2799" s="1186" t="s">
        <v>116</v>
      </c>
      <c r="D2799" s="1186" t="s">
        <v>52</v>
      </c>
      <c r="E2799" s="1186">
        <v>1</v>
      </c>
      <c r="F2799" s="1186">
        <v>181310</v>
      </c>
    </row>
    <row r="2800" spans="1:6" x14ac:dyDescent="0.2">
      <c r="A2800" s="1186" t="s">
        <v>311</v>
      </c>
      <c r="B2800" s="1186" t="s">
        <v>823</v>
      </c>
      <c r="C2800" s="1186" t="s">
        <v>61</v>
      </c>
      <c r="D2800" s="1186" t="s">
        <v>23</v>
      </c>
      <c r="E2800" s="1186">
        <v>240</v>
      </c>
      <c r="F2800" s="1186">
        <v>228800</v>
      </c>
    </row>
    <row r="2801" spans="1:6" x14ac:dyDescent="0.2">
      <c r="A2801" s="1186" t="s">
        <v>311</v>
      </c>
      <c r="B2801" s="1186" t="s">
        <v>823</v>
      </c>
      <c r="C2801" s="1186" t="s">
        <v>61</v>
      </c>
      <c r="D2801" s="1186" t="s">
        <v>24</v>
      </c>
      <c r="E2801" s="1186">
        <v>162</v>
      </c>
      <c r="F2801" s="1186">
        <v>261800</v>
      </c>
    </row>
    <row r="2802" spans="1:6" x14ac:dyDescent="0.2">
      <c r="A2802" s="1186" t="s">
        <v>311</v>
      </c>
      <c r="B2802" s="1186" t="s">
        <v>823</v>
      </c>
      <c r="C2802" s="1186" t="s">
        <v>61</v>
      </c>
      <c r="D2802" s="1186" t="s">
        <v>25</v>
      </c>
      <c r="E2802" s="1186">
        <v>76</v>
      </c>
      <c r="F2802" s="1186">
        <v>116280</v>
      </c>
    </row>
    <row r="2803" spans="1:6" x14ac:dyDescent="0.2">
      <c r="A2803" s="1186" t="s">
        <v>311</v>
      </c>
      <c r="B2803" s="1186" t="s">
        <v>823</v>
      </c>
      <c r="C2803" s="1186" t="s">
        <v>61</v>
      </c>
      <c r="D2803" s="1186" t="s">
        <v>26</v>
      </c>
      <c r="E2803" s="1186">
        <v>77</v>
      </c>
      <c r="F2803" s="1186">
        <v>86810</v>
      </c>
    </row>
    <row r="2804" spans="1:6" x14ac:dyDescent="0.2">
      <c r="A2804" s="1186" t="s">
        <v>311</v>
      </c>
      <c r="B2804" s="1186" t="s">
        <v>823</v>
      </c>
      <c r="C2804" s="1186" t="s">
        <v>61</v>
      </c>
      <c r="D2804" s="1186" t="s">
        <v>619</v>
      </c>
      <c r="E2804" s="1186">
        <v>463</v>
      </c>
      <c r="F2804" s="1186">
        <v>513210</v>
      </c>
    </row>
    <row r="2805" spans="1:6" x14ac:dyDescent="0.2">
      <c r="A2805" s="1186" t="s">
        <v>311</v>
      </c>
      <c r="B2805" s="1186" t="s">
        <v>823</v>
      </c>
      <c r="C2805" s="1186" t="s">
        <v>61</v>
      </c>
      <c r="D2805" s="1186" t="s">
        <v>27</v>
      </c>
      <c r="E2805" s="1186">
        <v>47</v>
      </c>
      <c r="F2805" s="1186">
        <v>51450</v>
      </c>
    </row>
    <row r="2806" spans="1:6" x14ac:dyDescent="0.2">
      <c r="A2806" s="1186" t="s">
        <v>311</v>
      </c>
      <c r="B2806" s="1186" t="s">
        <v>823</v>
      </c>
      <c r="C2806" s="1186" t="s">
        <v>61</v>
      </c>
      <c r="D2806" s="1186" t="s">
        <v>28</v>
      </c>
      <c r="E2806" s="1186">
        <v>89</v>
      </c>
      <c r="F2806" s="1186">
        <v>149200</v>
      </c>
    </row>
    <row r="2807" spans="1:6" x14ac:dyDescent="0.2">
      <c r="A2807" s="1186" t="s">
        <v>311</v>
      </c>
      <c r="B2807" s="1186" t="s">
        <v>823</v>
      </c>
      <c r="C2807" s="1186" t="s">
        <v>61</v>
      </c>
      <c r="D2807" s="1186" t="s">
        <v>29</v>
      </c>
      <c r="E2807" s="1186">
        <v>197</v>
      </c>
      <c r="F2807" s="1186">
        <v>148710</v>
      </c>
    </row>
    <row r="2808" spans="1:6" x14ac:dyDescent="0.2">
      <c r="A2808" s="1186" t="s">
        <v>311</v>
      </c>
      <c r="B2808" s="1186" t="s">
        <v>823</v>
      </c>
      <c r="C2808" s="1186" t="s">
        <v>61</v>
      </c>
      <c r="D2808" s="1186" t="s">
        <v>30</v>
      </c>
      <c r="E2808" s="1186">
        <v>76</v>
      </c>
      <c r="F2808" s="1186">
        <v>121940</v>
      </c>
    </row>
    <row r="2809" spans="1:6" x14ac:dyDescent="0.2">
      <c r="A2809" s="1186" t="s">
        <v>311</v>
      </c>
      <c r="B2809" s="1186" t="s">
        <v>823</v>
      </c>
      <c r="C2809" s="1186" t="s">
        <v>61</v>
      </c>
      <c r="D2809" s="1186" t="s">
        <v>31</v>
      </c>
      <c r="E2809" s="1186">
        <v>65</v>
      </c>
      <c r="F2809" s="1186">
        <v>108130</v>
      </c>
    </row>
    <row r="2810" spans="1:6" x14ac:dyDescent="0.2">
      <c r="A2810" s="1186" t="s">
        <v>311</v>
      </c>
      <c r="B2810" s="1186" t="s">
        <v>823</v>
      </c>
      <c r="C2810" s="1186" t="s">
        <v>61</v>
      </c>
      <c r="D2810" s="1186" t="s">
        <v>32</v>
      </c>
      <c r="E2810" s="1186">
        <v>69</v>
      </c>
      <c r="F2810" s="1186">
        <v>104840</v>
      </c>
    </row>
    <row r="2811" spans="1:6" x14ac:dyDescent="0.2">
      <c r="A2811" s="1186" t="s">
        <v>311</v>
      </c>
      <c r="B2811" s="1186" t="s">
        <v>823</v>
      </c>
      <c r="C2811" s="1186" t="s">
        <v>61</v>
      </c>
      <c r="D2811" s="1186" t="s">
        <v>33</v>
      </c>
      <c r="E2811" s="1186">
        <v>79</v>
      </c>
      <c r="F2811" s="1186">
        <v>94760</v>
      </c>
    </row>
    <row r="2812" spans="1:6" x14ac:dyDescent="0.2">
      <c r="A2812" s="1186" t="s">
        <v>311</v>
      </c>
      <c r="B2812" s="1186" t="s">
        <v>823</v>
      </c>
      <c r="C2812" s="1186" t="s">
        <v>61</v>
      </c>
      <c r="D2812" s="1186" t="s">
        <v>34</v>
      </c>
      <c r="E2812" s="1186">
        <v>106</v>
      </c>
      <c r="F2812" s="1186">
        <v>160130</v>
      </c>
    </row>
    <row r="2813" spans="1:6" x14ac:dyDescent="0.2">
      <c r="A2813" s="1186" t="s">
        <v>311</v>
      </c>
      <c r="B2813" s="1186" t="s">
        <v>823</v>
      </c>
      <c r="C2813" s="1186" t="s">
        <v>61</v>
      </c>
      <c r="D2813" s="1186" t="s">
        <v>35</v>
      </c>
      <c r="E2813" s="1186">
        <v>287</v>
      </c>
      <c r="F2813" s="1186">
        <v>371410</v>
      </c>
    </row>
    <row r="2814" spans="1:6" x14ac:dyDescent="0.2">
      <c r="A2814" s="1186" t="s">
        <v>311</v>
      </c>
      <c r="B2814" s="1186" t="s">
        <v>823</v>
      </c>
      <c r="C2814" s="1186" t="s">
        <v>61</v>
      </c>
      <c r="D2814" s="1186" t="s">
        <v>36</v>
      </c>
      <c r="E2814" s="1186">
        <v>847</v>
      </c>
      <c r="F2814" s="1186">
        <v>621020</v>
      </c>
    </row>
    <row r="2815" spans="1:6" x14ac:dyDescent="0.2">
      <c r="A2815" s="1186" t="s">
        <v>311</v>
      </c>
      <c r="B2815" s="1186" t="s">
        <v>823</v>
      </c>
      <c r="C2815" s="1186" t="s">
        <v>61</v>
      </c>
      <c r="D2815" s="1186" t="s">
        <v>37</v>
      </c>
      <c r="E2815" s="1186">
        <v>143</v>
      </c>
      <c r="F2815" s="1186">
        <v>235180</v>
      </c>
    </row>
    <row r="2816" spans="1:6" x14ac:dyDescent="0.2">
      <c r="A2816" s="1186" t="s">
        <v>311</v>
      </c>
      <c r="B2816" s="1186" t="s">
        <v>823</v>
      </c>
      <c r="C2816" s="1186" t="s">
        <v>61</v>
      </c>
      <c r="D2816" s="1186" t="s">
        <v>38</v>
      </c>
      <c r="E2816" s="1186">
        <v>84</v>
      </c>
      <c r="F2816" s="1186">
        <v>78760</v>
      </c>
    </row>
    <row r="2817" spans="1:6" x14ac:dyDescent="0.2">
      <c r="A2817" s="1186" t="s">
        <v>311</v>
      </c>
      <c r="B2817" s="1186" t="s">
        <v>823</v>
      </c>
      <c r="C2817" s="1186" t="s">
        <v>61</v>
      </c>
      <c r="D2817" s="1186" t="s">
        <v>39</v>
      </c>
      <c r="E2817" s="1186">
        <v>60</v>
      </c>
      <c r="F2817" s="1186">
        <v>90090</v>
      </c>
    </row>
    <row r="2818" spans="1:6" x14ac:dyDescent="0.2">
      <c r="A2818" s="1186" t="s">
        <v>311</v>
      </c>
      <c r="B2818" s="1186" t="s">
        <v>823</v>
      </c>
      <c r="C2818" s="1186" t="s">
        <v>61</v>
      </c>
      <c r="D2818" s="1186" t="s">
        <v>40</v>
      </c>
      <c r="E2818" s="1186">
        <v>35</v>
      </c>
      <c r="F2818" s="1186">
        <v>95780</v>
      </c>
    </row>
    <row r="2819" spans="1:6" x14ac:dyDescent="0.2">
      <c r="A2819" s="1186" t="s">
        <v>311</v>
      </c>
      <c r="B2819" s="1186" t="s">
        <v>823</v>
      </c>
      <c r="C2819" s="1186" t="s">
        <v>61</v>
      </c>
      <c r="D2819" s="1186" t="s">
        <v>295</v>
      </c>
      <c r="E2819" s="1186">
        <v>14</v>
      </c>
      <c r="F2819" s="1186">
        <v>26950</v>
      </c>
    </row>
    <row r="2820" spans="1:6" x14ac:dyDescent="0.2">
      <c r="A2820" s="1186" t="s">
        <v>311</v>
      </c>
      <c r="B2820" s="1186" t="s">
        <v>823</v>
      </c>
      <c r="C2820" s="1186" t="s">
        <v>61</v>
      </c>
      <c r="D2820" s="1186" t="s">
        <v>41</v>
      </c>
      <c r="E2820" s="1186">
        <v>147</v>
      </c>
      <c r="F2820" s="1186">
        <v>135790</v>
      </c>
    </row>
    <row r="2821" spans="1:6" x14ac:dyDescent="0.2">
      <c r="A2821" s="1186" t="s">
        <v>311</v>
      </c>
      <c r="B2821" s="1186" t="s">
        <v>823</v>
      </c>
      <c r="C2821" s="1186" t="s">
        <v>61</v>
      </c>
      <c r="D2821" s="1186" t="s">
        <v>42</v>
      </c>
      <c r="E2821" s="1186">
        <v>262</v>
      </c>
      <c r="F2821" s="1186">
        <v>339960</v>
      </c>
    </row>
    <row r="2822" spans="1:6" x14ac:dyDescent="0.2">
      <c r="A2822" s="1186" t="s">
        <v>311</v>
      </c>
      <c r="B2822" s="1186" t="s">
        <v>823</v>
      </c>
      <c r="C2822" s="1186" t="s">
        <v>61</v>
      </c>
      <c r="D2822" s="1186" t="s">
        <v>43</v>
      </c>
      <c r="E2822" s="1186">
        <v>6</v>
      </c>
      <c r="F2822" s="1186">
        <v>22000</v>
      </c>
    </row>
    <row r="2823" spans="1:6" x14ac:dyDescent="0.2">
      <c r="A2823" s="1186" t="s">
        <v>311</v>
      </c>
      <c r="B2823" s="1186" t="s">
        <v>823</v>
      </c>
      <c r="C2823" s="1186" t="s">
        <v>61</v>
      </c>
      <c r="D2823" s="1186" t="s">
        <v>44</v>
      </c>
      <c r="E2823" s="1186">
        <v>113</v>
      </c>
      <c r="F2823" s="1186">
        <v>151100</v>
      </c>
    </row>
    <row r="2824" spans="1:6" x14ac:dyDescent="0.2">
      <c r="A2824" s="1186" t="s">
        <v>311</v>
      </c>
      <c r="B2824" s="1186" t="s">
        <v>823</v>
      </c>
      <c r="C2824" s="1186" t="s">
        <v>61</v>
      </c>
      <c r="D2824" s="1186" t="s">
        <v>45</v>
      </c>
      <c r="E2824" s="1186">
        <v>191</v>
      </c>
      <c r="F2824" s="1186">
        <v>176830</v>
      </c>
    </row>
    <row r="2825" spans="1:6" x14ac:dyDescent="0.2">
      <c r="A2825" s="1186" t="s">
        <v>311</v>
      </c>
      <c r="B2825" s="1186" t="s">
        <v>823</v>
      </c>
      <c r="C2825" s="1186" t="s">
        <v>61</v>
      </c>
      <c r="D2825" s="1186" t="s">
        <v>46</v>
      </c>
      <c r="E2825" s="1186">
        <v>92</v>
      </c>
      <c r="F2825" s="1186">
        <v>115020</v>
      </c>
    </row>
    <row r="2826" spans="1:6" x14ac:dyDescent="0.2">
      <c r="A2826" s="1186" t="s">
        <v>311</v>
      </c>
      <c r="B2826" s="1186" t="s">
        <v>823</v>
      </c>
      <c r="C2826" s="1186" t="s">
        <v>61</v>
      </c>
      <c r="D2826" s="1186" t="s">
        <v>47</v>
      </c>
      <c r="E2826" s="1186">
        <v>12</v>
      </c>
      <c r="F2826" s="1186">
        <v>23080</v>
      </c>
    </row>
    <row r="2827" spans="1:6" x14ac:dyDescent="0.2">
      <c r="A2827" s="1186" t="s">
        <v>311</v>
      </c>
      <c r="B2827" s="1186" t="s">
        <v>823</v>
      </c>
      <c r="C2827" s="1186" t="s">
        <v>61</v>
      </c>
      <c r="D2827" s="1186" t="s">
        <v>48</v>
      </c>
      <c r="E2827" s="1186">
        <v>96</v>
      </c>
      <c r="F2827" s="1186">
        <v>112680</v>
      </c>
    </row>
    <row r="2828" spans="1:6" x14ac:dyDescent="0.2">
      <c r="A2828" s="1186" t="s">
        <v>311</v>
      </c>
      <c r="B2828" s="1186" t="s">
        <v>823</v>
      </c>
      <c r="C2828" s="1186" t="s">
        <v>61</v>
      </c>
      <c r="D2828" s="1186" t="s">
        <v>49</v>
      </c>
      <c r="E2828" s="1186">
        <v>244</v>
      </c>
      <c r="F2828" s="1186">
        <v>318170</v>
      </c>
    </row>
    <row r="2829" spans="1:6" x14ac:dyDescent="0.2">
      <c r="A2829" s="1186" t="s">
        <v>311</v>
      </c>
      <c r="B2829" s="1186" t="s">
        <v>823</v>
      </c>
      <c r="C2829" s="1186" t="s">
        <v>61</v>
      </c>
      <c r="D2829" s="1186" t="s">
        <v>50</v>
      </c>
      <c r="E2829" s="1186">
        <v>82</v>
      </c>
      <c r="F2829" s="1186">
        <v>94000</v>
      </c>
    </row>
    <row r="2830" spans="1:6" x14ac:dyDescent="0.2">
      <c r="A2830" s="1186" t="s">
        <v>311</v>
      </c>
      <c r="B2830" s="1186" t="s">
        <v>823</v>
      </c>
      <c r="C2830" s="1186" t="s">
        <v>61</v>
      </c>
      <c r="D2830" s="1186" t="s">
        <v>51</v>
      </c>
      <c r="E2830" s="1186">
        <v>141</v>
      </c>
      <c r="F2830" s="1186">
        <v>89610</v>
      </c>
    </row>
    <row r="2831" spans="1:6" x14ac:dyDescent="0.2">
      <c r="A2831" s="1186" t="s">
        <v>311</v>
      </c>
      <c r="B2831" s="1186" t="s">
        <v>823</v>
      </c>
      <c r="C2831" s="1186" t="s">
        <v>61</v>
      </c>
      <c r="D2831" s="1186" t="s">
        <v>52</v>
      </c>
      <c r="E2831" s="1186">
        <v>149</v>
      </c>
      <c r="F2831" s="1186">
        <v>181310</v>
      </c>
    </row>
    <row r="2832" spans="1:6" x14ac:dyDescent="0.2">
      <c r="A2832" s="1186" t="s">
        <v>311</v>
      </c>
      <c r="B2832" s="1186" t="s">
        <v>823</v>
      </c>
      <c r="C2832" s="1186" t="s">
        <v>116</v>
      </c>
      <c r="D2832" s="1186" t="s">
        <v>23</v>
      </c>
      <c r="E2832" s="1186">
        <v>37</v>
      </c>
      <c r="F2832" s="1186">
        <v>228800</v>
      </c>
    </row>
    <row r="2833" spans="1:6" x14ac:dyDescent="0.2">
      <c r="A2833" s="1186" t="s">
        <v>311</v>
      </c>
      <c r="B2833" s="1186" t="s">
        <v>823</v>
      </c>
      <c r="C2833" s="1186" t="s">
        <v>116</v>
      </c>
      <c r="D2833" s="1186" t="s">
        <v>24</v>
      </c>
      <c r="E2833" s="1186">
        <v>5</v>
      </c>
      <c r="F2833" s="1186">
        <v>261800</v>
      </c>
    </row>
    <row r="2834" spans="1:6" x14ac:dyDescent="0.2">
      <c r="A2834" s="1186" t="s">
        <v>311</v>
      </c>
      <c r="B2834" s="1186" t="s">
        <v>823</v>
      </c>
      <c r="C2834" s="1186" t="s">
        <v>116</v>
      </c>
      <c r="D2834" s="1186" t="s">
        <v>25</v>
      </c>
      <c r="E2834" s="1186">
        <v>3</v>
      </c>
      <c r="F2834" s="1186">
        <v>116280</v>
      </c>
    </row>
    <row r="2835" spans="1:6" x14ac:dyDescent="0.2">
      <c r="A2835" s="1186" t="s">
        <v>311</v>
      </c>
      <c r="B2835" s="1186" t="s">
        <v>823</v>
      </c>
      <c r="C2835" s="1186" t="s">
        <v>116</v>
      </c>
      <c r="D2835" s="1186" t="s">
        <v>26</v>
      </c>
      <c r="E2835" s="1186">
        <v>10</v>
      </c>
      <c r="F2835" s="1186">
        <v>86810</v>
      </c>
    </row>
    <row r="2836" spans="1:6" x14ac:dyDescent="0.2">
      <c r="A2836" s="1186" t="s">
        <v>311</v>
      </c>
      <c r="B2836" s="1186" t="s">
        <v>823</v>
      </c>
      <c r="C2836" s="1186" t="s">
        <v>116</v>
      </c>
      <c r="D2836" s="1186" t="s">
        <v>619</v>
      </c>
      <c r="E2836" s="1186">
        <v>63</v>
      </c>
      <c r="F2836" s="1186">
        <v>513210</v>
      </c>
    </row>
    <row r="2837" spans="1:6" x14ac:dyDescent="0.2">
      <c r="A2837" s="1186" t="s">
        <v>311</v>
      </c>
      <c r="B2837" s="1186" t="s">
        <v>823</v>
      </c>
      <c r="C2837" s="1186" t="s">
        <v>116</v>
      </c>
      <c r="D2837" s="1186" t="s">
        <v>27</v>
      </c>
      <c r="E2837" s="1186">
        <v>4</v>
      </c>
      <c r="F2837" s="1186">
        <v>51450</v>
      </c>
    </row>
    <row r="2838" spans="1:6" x14ac:dyDescent="0.2">
      <c r="A2838" s="1186" t="s">
        <v>311</v>
      </c>
      <c r="B2838" s="1186" t="s">
        <v>823</v>
      </c>
      <c r="C2838" s="1186" t="s">
        <v>116</v>
      </c>
      <c r="D2838" s="1186" t="s">
        <v>28</v>
      </c>
      <c r="E2838" s="1186">
        <v>14</v>
      </c>
      <c r="F2838" s="1186">
        <v>149200</v>
      </c>
    </row>
    <row r="2839" spans="1:6" x14ac:dyDescent="0.2">
      <c r="A2839" s="1186" t="s">
        <v>311</v>
      </c>
      <c r="B2839" s="1186" t="s">
        <v>823</v>
      </c>
      <c r="C2839" s="1186" t="s">
        <v>116</v>
      </c>
      <c r="D2839" s="1186" t="s">
        <v>29</v>
      </c>
      <c r="E2839" s="1186">
        <v>18</v>
      </c>
      <c r="F2839" s="1186">
        <v>148710</v>
      </c>
    </row>
    <row r="2840" spans="1:6" x14ac:dyDescent="0.2">
      <c r="A2840" s="1186" t="s">
        <v>311</v>
      </c>
      <c r="B2840" s="1186" t="s">
        <v>823</v>
      </c>
      <c r="C2840" s="1186" t="s">
        <v>116</v>
      </c>
      <c r="D2840" s="1186" t="s">
        <v>30</v>
      </c>
      <c r="E2840" s="1186">
        <v>11</v>
      </c>
      <c r="F2840" s="1186">
        <v>121940</v>
      </c>
    </row>
    <row r="2841" spans="1:6" x14ac:dyDescent="0.2">
      <c r="A2841" s="1186" t="s">
        <v>311</v>
      </c>
      <c r="B2841" s="1186" t="s">
        <v>823</v>
      </c>
      <c r="C2841" s="1186" t="s">
        <v>116</v>
      </c>
      <c r="D2841" s="1186" t="s">
        <v>31</v>
      </c>
      <c r="E2841" s="1186">
        <v>2</v>
      </c>
      <c r="F2841" s="1186">
        <v>108130</v>
      </c>
    </row>
    <row r="2842" spans="1:6" x14ac:dyDescent="0.2">
      <c r="A2842" s="1186" t="s">
        <v>311</v>
      </c>
      <c r="B2842" s="1186" t="s">
        <v>823</v>
      </c>
      <c r="C2842" s="1186" t="s">
        <v>116</v>
      </c>
      <c r="D2842" s="1186" t="s">
        <v>32</v>
      </c>
      <c r="E2842" s="1186">
        <v>7</v>
      </c>
      <c r="F2842" s="1186">
        <v>104840</v>
      </c>
    </row>
    <row r="2843" spans="1:6" x14ac:dyDescent="0.2">
      <c r="A2843" s="1186" t="s">
        <v>311</v>
      </c>
      <c r="B2843" s="1186" t="s">
        <v>823</v>
      </c>
      <c r="C2843" s="1186" t="s">
        <v>116</v>
      </c>
      <c r="D2843" s="1186" t="s">
        <v>33</v>
      </c>
      <c r="E2843" s="1186">
        <v>5</v>
      </c>
      <c r="F2843" s="1186">
        <v>94760</v>
      </c>
    </row>
    <row r="2844" spans="1:6" x14ac:dyDescent="0.2">
      <c r="A2844" s="1186" t="s">
        <v>311</v>
      </c>
      <c r="B2844" s="1186" t="s">
        <v>823</v>
      </c>
      <c r="C2844" s="1186" t="s">
        <v>116</v>
      </c>
      <c r="D2844" s="1186" t="s">
        <v>34</v>
      </c>
      <c r="E2844" s="1186">
        <v>16</v>
      </c>
      <c r="F2844" s="1186">
        <v>160130</v>
      </c>
    </row>
    <row r="2845" spans="1:6" x14ac:dyDescent="0.2">
      <c r="A2845" s="1186" t="s">
        <v>311</v>
      </c>
      <c r="B2845" s="1186" t="s">
        <v>823</v>
      </c>
      <c r="C2845" s="1186" t="s">
        <v>116</v>
      </c>
      <c r="D2845" s="1186" t="s">
        <v>35</v>
      </c>
      <c r="E2845" s="1186">
        <v>17</v>
      </c>
      <c r="F2845" s="1186">
        <v>371410</v>
      </c>
    </row>
    <row r="2846" spans="1:6" x14ac:dyDescent="0.2">
      <c r="A2846" s="1186" t="s">
        <v>311</v>
      </c>
      <c r="B2846" s="1186" t="s">
        <v>823</v>
      </c>
      <c r="C2846" s="1186" t="s">
        <v>116</v>
      </c>
      <c r="D2846" s="1186" t="s">
        <v>36</v>
      </c>
      <c r="E2846" s="1186">
        <v>115</v>
      </c>
      <c r="F2846" s="1186">
        <v>621020</v>
      </c>
    </row>
    <row r="2847" spans="1:6" x14ac:dyDescent="0.2">
      <c r="A2847" s="1186" t="s">
        <v>311</v>
      </c>
      <c r="B2847" s="1186" t="s">
        <v>823</v>
      </c>
      <c r="C2847" s="1186" t="s">
        <v>116</v>
      </c>
      <c r="D2847" s="1186" t="s">
        <v>37</v>
      </c>
      <c r="E2847" s="1186">
        <v>7</v>
      </c>
      <c r="F2847" s="1186">
        <v>235180</v>
      </c>
    </row>
    <row r="2848" spans="1:6" x14ac:dyDescent="0.2">
      <c r="A2848" s="1186" t="s">
        <v>311</v>
      </c>
      <c r="B2848" s="1186" t="s">
        <v>823</v>
      </c>
      <c r="C2848" s="1186" t="s">
        <v>116</v>
      </c>
      <c r="D2848" s="1186" t="s">
        <v>38</v>
      </c>
      <c r="E2848" s="1186">
        <v>19</v>
      </c>
      <c r="F2848" s="1186">
        <v>78760</v>
      </c>
    </row>
    <row r="2849" spans="1:6" x14ac:dyDescent="0.2">
      <c r="A2849" s="1186" t="s">
        <v>311</v>
      </c>
      <c r="B2849" s="1186" t="s">
        <v>823</v>
      </c>
      <c r="C2849" s="1186" t="s">
        <v>116</v>
      </c>
      <c r="D2849" s="1186" t="s">
        <v>39</v>
      </c>
      <c r="E2849" s="1186">
        <v>10</v>
      </c>
      <c r="F2849" s="1186">
        <v>90090</v>
      </c>
    </row>
    <row r="2850" spans="1:6" x14ac:dyDescent="0.2">
      <c r="A2850" s="1186" t="s">
        <v>311</v>
      </c>
      <c r="B2850" s="1186" t="s">
        <v>823</v>
      </c>
      <c r="C2850" s="1186" t="s">
        <v>116</v>
      </c>
      <c r="D2850" s="1186" t="s">
        <v>40</v>
      </c>
      <c r="E2850" s="1186">
        <v>4</v>
      </c>
      <c r="F2850" s="1186">
        <v>95780</v>
      </c>
    </row>
    <row r="2851" spans="1:6" x14ac:dyDescent="0.2">
      <c r="A2851" s="1186" t="s">
        <v>311</v>
      </c>
      <c r="B2851" s="1186" t="s">
        <v>823</v>
      </c>
      <c r="C2851" s="1186" t="s">
        <v>116</v>
      </c>
      <c r="D2851" s="1186" t="s">
        <v>295</v>
      </c>
      <c r="E2851" s="1186">
        <v>1</v>
      </c>
      <c r="F2851" s="1186">
        <v>26950</v>
      </c>
    </row>
    <row r="2852" spans="1:6" x14ac:dyDescent="0.2">
      <c r="A2852" s="1186" t="s">
        <v>311</v>
      </c>
      <c r="B2852" s="1186" t="s">
        <v>823</v>
      </c>
      <c r="C2852" s="1186" t="s">
        <v>116</v>
      </c>
      <c r="D2852" s="1186" t="s">
        <v>41</v>
      </c>
      <c r="E2852" s="1186">
        <v>15</v>
      </c>
      <c r="F2852" s="1186">
        <v>135790</v>
      </c>
    </row>
    <row r="2853" spans="1:6" x14ac:dyDescent="0.2">
      <c r="A2853" s="1186" t="s">
        <v>311</v>
      </c>
      <c r="B2853" s="1186" t="s">
        <v>823</v>
      </c>
      <c r="C2853" s="1186" t="s">
        <v>116</v>
      </c>
      <c r="D2853" s="1186" t="s">
        <v>42</v>
      </c>
      <c r="E2853" s="1186">
        <v>45</v>
      </c>
      <c r="F2853" s="1186">
        <v>339960</v>
      </c>
    </row>
    <row r="2854" spans="1:6" x14ac:dyDescent="0.2">
      <c r="A2854" s="1186" t="s">
        <v>311</v>
      </c>
      <c r="B2854" s="1186" t="s">
        <v>823</v>
      </c>
      <c r="C2854" s="1186" t="s">
        <v>116</v>
      </c>
      <c r="D2854" s="1186" t="s">
        <v>44</v>
      </c>
      <c r="E2854" s="1186">
        <v>3</v>
      </c>
      <c r="F2854" s="1186">
        <v>151100</v>
      </c>
    </row>
    <row r="2855" spans="1:6" x14ac:dyDescent="0.2">
      <c r="A2855" s="1186" t="s">
        <v>311</v>
      </c>
      <c r="B2855" s="1186" t="s">
        <v>823</v>
      </c>
      <c r="C2855" s="1186" t="s">
        <v>116</v>
      </c>
      <c r="D2855" s="1186" t="s">
        <v>45</v>
      </c>
      <c r="E2855" s="1186">
        <v>32</v>
      </c>
      <c r="F2855" s="1186">
        <v>176830</v>
      </c>
    </row>
    <row r="2856" spans="1:6" x14ac:dyDescent="0.2">
      <c r="A2856" s="1186" t="s">
        <v>311</v>
      </c>
      <c r="B2856" s="1186" t="s">
        <v>823</v>
      </c>
      <c r="C2856" s="1186" t="s">
        <v>116</v>
      </c>
      <c r="D2856" s="1186" t="s">
        <v>46</v>
      </c>
      <c r="E2856" s="1186">
        <v>8</v>
      </c>
      <c r="F2856" s="1186">
        <v>115020</v>
      </c>
    </row>
    <row r="2857" spans="1:6" x14ac:dyDescent="0.2">
      <c r="A2857" s="1186" t="s">
        <v>311</v>
      </c>
      <c r="B2857" s="1186" t="s">
        <v>823</v>
      </c>
      <c r="C2857" s="1186" t="s">
        <v>116</v>
      </c>
      <c r="D2857" s="1186" t="s">
        <v>47</v>
      </c>
      <c r="E2857" s="1186">
        <v>1</v>
      </c>
      <c r="F2857" s="1186">
        <v>23080</v>
      </c>
    </row>
    <row r="2858" spans="1:6" x14ac:dyDescent="0.2">
      <c r="A2858" s="1186" t="s">
        <v>311</v>
      </c>
      <c r="B2858" s="1186" t="s">
        <v>823</v>
      </c>
      <c r="C2858" s="1186" t="s">
        <v>116</v>
      </c>
      <c r="D2858" s="1186" t="s">
        <v>48</v>
      </c>
      <c r="E2858" s="1186">
        <v>10</v>
      </c>
      <c r="F2858" s="1186">
        <v>112680</v>
      </c>
    </row>
    <row r="2859" spans="1:6" x14ac:dyDescent="0.2">
      <c r="A2859" s="1186" t="s">
        <v>311</v>
      </c>
      <c r="B2859" s="1186" t="s">
        <v>823</v>
      </c>
      <c r="C2859" s="1186" t="s">
        <v>116</v>
      </c>
      <c r="D2859" s="1186" t="s">
        <v>49</v>
      </c>
      <c r="E2859" s="1186">
        <v>34</v>
      </c>
      <c r="F2859" s="1186">
        <v>318170</v>
      </c>
    </row>
    <row r="2860" spans="1:6" x14ac:dyDescent="0.2">
      <c r="A2860" s="1186" t="s">
        <v>311</v>
      </c>
      <c r="B2860" s="1186" t="s">
        <v>823</v>
      </c>
      <c r="C2860" s="1186" t="s">
        <v>116</v>
      </c>
      <c r="D2860" s="1186" t="s">
        <v>50</v>
      </c>
      <c r="E2860" s="1186">
        <v>7</v>
      </c>
      <c r="F2860" s="1186">
        <v>94000</v>
      </c>
    </row>
    <row r="2861" spans="1:6" x14ac:dyDescent="0.2">
      <c r="A2861" s="1186" t="s">
        <v>311</v>
      </c>
      <c r="B2861" s="1186" t="s">
        <v>823</v>
      </c>
      <c r="C2861" s="1186" t="s">
        <v>116</v>
      </c>
      <c r="D2861" s="1186" t="s">
        <v>51</v>
      </c>
      <c r="E2861" s="1186">
        <v>17</v>
      </c>
      <c r="F2861" s="1186">
        <v>89610</v>
      </c>
    </row>
    <row r="2862" spans="1:6" x14ac:dyDescent="0.2">
      <c r="A2862" s="1186" t="s">
        <v>311</v>
      </c>
      <c r="B2862" s="1186" t="s">
        <v>823</v>
      </c>
      <c r="C2862" s="1186" t="s">
        <v>116</v>
      </c>
      <c r="D2862" s="1186" t="s">
        <v>52</v>
      </c>
      <c r="E2862" s="1186">
        <v>20</v>
      </c>
      <c r="F2862" s="1186">
        <v>181310</v>
      </c>
    </row>
    <row r="2863" spans="1:6" x14ac:dyDescent="0.2">
      <c r="A2863" s="1186" t="s">
        <v>311</v>
      </c>
      <c r="B2863" s="1186" t="s">
        <v>824</v>
      </c>
      <c r="C2863" s="1186" t="s">
        <v>61</v>
      </c>
      <c r="D2863" s="1186" t="s">
        <v>23</v>
      </c>
      <c r="E2863" s="1186">
        <v>80</v>
      </c>
      <c r="F2863" s="1186">
        <v>228800</v>
      </c>
    </row>
    <row r="2864" spans="1:6" x14ac:dyDescent="0.2">
      <c r="A2864" s="1186" t="s">
        <v>311</v>
      </c>
      <c r="B2864" s="1186" t="s">
        <v>824</v>
      </c>
      <c r="C2864" s="1186" t="s">
        <v>61</v>
      </c>
      <c r="D2864" s="1186" t="s">
        <v>24</v>
      </c>
      <c r="E2864" s="1186">
        <v>84</v>
      </c>
      <c r="F2864" s="1186">
        <v>261800</v>
      </c>
    </row>
    <row r="2865" spans="1:6" x14ac:dyDescent="0.2">
      <c r="A2865" s="1186" t="s">
        <v>311</v>
      </c>
      <c r="B2865" s="1186" t="s">
        <v>824</v>
      </c>
      <c r="C2865" s="1186" t="s">
        <v>61</v>
      </c>
      <c r="D2865" s="1186" t="s">
        <v>25</v>
      </c>
      <c r="E2865" s="1186">
        <v>22</v>
      </c>
      <c r="F2865" s="1186">
        <v>116280</v>
      </c>
    </row>
    <row r="2866" spans="1:6" x14ac:dyDescent="0.2">
      <c r="A2866" s="1186" t="s">
        <v>311</v>
      </c>
      <c r="B2866" s="1186" t="s">
        <v>824</v>
      </c>
      <c r="C2866" s="1186" t="s">
        <v>61</v>
      </c>
      <c r="D2866" s="1186" t="s">
        <v>26</v>
      </c>
      <c r="E2866" s="1186">
        <v>43</v>
      </c>
      <c r="F2866" s="1186">
        <v>86810</v>
      </c>
    </row>
    <row r="2867" spans="1:6" x14ac:dyDescent="0.2">
      <c r="A2867" s="1186" t="s">
        <v>311</v>
      </c>
      <c r="B2867" s="1186" t="s">
        <v>824</v>
      </c>
      <c r="C2867" s="1186" t="s">
        <v>61</v>
      </c>
      <c r="D2867" s="1186" t="s">
        <v>619</v>
      </c>
      <c r="E2867" s="1186">
        <v>185</v>
      </c>
      <c r="F2867" s="1186">
        <v>513210</v>
      </c>
    </row>
    <row r="2868" spans="1:6" x14ac:dyDescent="0.2">
      <c r="A2868" s="1186" t="s">
        <v>311</v>
      </c>
      <c r="B2868" s="1186" t="s">
        <v>824</v>
      </c>
      <c r="C2868" s="1186" t="s">
        <v>61</v>
      </c>
      <c r="D2868" s="1186" t="s">
        <v>27</v>
      </c>
      <c r="E2868" s="1186">
        <v>14</v>
      </c>
      <c r="F2868" s="1186">
        <v>51450</v>
      </c>
    </row>
    <row r="2869" spans="1:6" x14ac:dyDescent="0.2">
      <c r="A2869" s="1186" t="s">
        <v>311</v>
      </c>
      <c r="B2869" s="1186" t="s">
        <v>824</v>
      </c>
      <c r="C2869" s="1186" t="s">
        <v>61</v>
      </c>
      <c r="D2869" s="1186" t="s">
        <v>28</v>
      </c>
      <c r="E2869" s="1186">
        <v>40</v>
      </c>
      <c r="F2869" s="1186">
        <v>149200</v>
      </c>
    </row>
    <row r="2870" spans="1:6" x14ac:dyDescent="0.2">
      <c r="A2870" s="1186" t="s">
        <v>311</v>
      </c>
      <c r="B2870" s="1186" t="s">
        <v>824</v>
      </c>
      <c r="C2870" s="1186" t="s">
        <v>61</v>
      </c>
      <c r="D2870" s="1186" t="s">
        <v>29</v>
      </c>
      <c r="E2870" s="1186">
        <v>43</v>
      </c>
      <c r="F2870" s="1186">
        <v>148710</v>
      </c>
    </row>
    <row r="2871" spans="1:6" x14ac:dyDescent="0.2">
      <c r="A2871" s="1186" t="s">
        <v>311</v>
      </c>
      <c r="B2871" s="1186" t="s">
        <v>824</v>
      </c>
      <c r="C2871" s="1186" t="s">
        <v>61</v>
      </c>
      <c r="D2871" s="1186" t="s">
        <v>30</v>
      </c>
      <c r="E2871" s="1186">
        <v>17</v>
      </c>
      <c r="F2871" s="1186">
        <v>121940</v>
      </c>
    </row>
    <row r="2872" spans="1:6" x14ac:dyDescent="0.2">
      <c r="A2872" s="1186" t="s">
        <v>311</v>
      </c>
      <c r="B2872" s="1186" t="s">
        <v>824</v>
      </c>
      <c r="C2872" s="1186" t="s">
        <v>61</v>
      </c>
      <c r="D2872" s="1186" t="s">
        <v>31</v>
      </c>
      <c r="E2872" s="1186">
        <v>21</v>
      </c>
      <c r="F2872" s="1186">
        <v>108130</v>
      </c>
    </row>
    <row r="2873" spans="1:6" x14ac:dyDescent="0.2">
      <c r="A2873" s="1186" t="s">
        <v>311</v>
      </c>
      <c r="B2873" s="1186" t="s">
        <v>824</v>
      </c>
      <c r="C2873" s="1186" t="s">
        <v>61</v>
      </c>
      <c r="D2873" s="1186" t="s">
        <v>32</v>
      </c>
      <c r="E2873" s="1186">
        <v>24</v>
      </c>
      <c r="F2873" s="1186">
        <v>104840</v>
      </c>
    </row>
    <row r="2874" spans="1:6" x14ac:dyDescent="0.2">
      <c r="A2874" s="1186" t="s">
        <v>311</v>
      </c>
      <c r="B2874" s="1186" t="s">
        <v>824</v>
      </c>
      <c r="C2874" s="1186" t="s">
        <v>61</v>
      </c>
      <c r="D2874" s="1186" t="s">
        <v>33</v>
      </c>
      <c r="E2874" s="1186">
        <v>17</v>
      </c>
      <c r="F2874" s="1186">
        <v>94760</v>
      </c>
    </row>
    <row r="2875" spans="1:6" x14ac:dyDescent="0.2">
      <c r="A2875" s="1186" t="s">
        <v>311</v>
      </c>
      <c r="B2875" s="1186" t="s">
        <v>824</v>
      </c>
      <c r="C2875" s="1186" t="s">
        <v>61</v>
      </c>
      <c r="D2875" s="1186" t="s">
        <v>34</v>
      </c>
      <c r="E2875" s="1186">
        <v>46</v>
      </c>
      <c r="F2875" s="1186">
        <v>160130</v>
      </c>
    </row>
    <row r="2876" spans="1:6" x14ac:dyDescent="0.2">
      <c r="A2876" s="1186" t="s">
        <v>311</v>
      </c>
      <c r="B2876" s="1186" t="s">
        <v>824</v>
      </c>
      <c r="C2876" s="1186" t="s">
        <v>61</v>
      </c>
      <c r="D2876" s="1186" t="s">
        <v>35</v>
      </c>
      <c r="E2876" s="1186">
        <v>103</v>
      </c>
      <c r="F2876" s="1186">
        <v>371410</v>
      </c>
    </row>
    <row r="2877" spans="1:6" x14ac:dyDescent="0.2">
      <c r="A2877" s="1186" t="s">
        <v>311</v>
      </c>
      <c r="B2877" s="1186" t="s">
        <v>824</v>
      </c>
      <c r="C2877" s="1186" t="s">
        <v>61</v>
      </c>
      <c r="D2877" s="1186" t="s">
        <v>36</v>
      </c>
      <c r="E2877" s="1186">
        <v>271</v>
      </c>
      <c r="F2877" s="1186">
        <v>621020</v>
      </c>
    </row>
    <row r="2878" spans="1:6" x14ac:dyDescent="0.2">
      <c r="A2878" s="1186" t="s">
        <v>311</v>
      </c>
      <c r="B2878" s="1186" t="s">
        <v>824</v>
      </c>
      <c r="C2878" s="1186" t="s">
        <v>61</v>
      </c>
      <c r="D2878" s="1186" t="s">
        <v>37</v>
      </c>
      <c r="E2878" s="1186">
        <v>80</v>
      </c>
      <c r="F2878" s="1186">
        <v>235180</v>
      </c>
    </row>
    <row r="2879" spans="1:6" x14ac:dyDescent="0.2">
      <c r="A2879" s="1186" t="s">
        <v>311</v>
      </c>
      <c r="B2879" s="1186" t="s">
        <v>824</v>
      </c>
      <c r="C2879" s="1186" t="s">
        <v>61</v>
      </c>
      <c r="D2879" s="1186" t="s">
        <v>38</v>
      </c>
      <c r="E2879" s="1186">
        <v>19</v>
      </c>
      <c r="F2879" s="1186">
        <v>78760</v>
      </c>
    </row>
    <row r="2880" spans="1:6" x14ac:dyDescent="0.2">
      <c r="A2880" s="1186" t="s">
        <v>311</v>
      </c>
      <c r="B2880" s="1186" t="s">
        <v>824</v>
      </c>
      <c r="C2880" s="1186" t="s">
        <v>61</v>
      </c>
      <c r="D2880" s="1186" t="s">
        <v>39</v>
      </c>
      <c r="E2880" s="1186">
        <v>22</v>
      </c>
      <c r="F2880" s="1186">
        <v>90090</v>
      </c>
    </row>
    <row r="2881" spans="1:6" x14ac:dyDescent="0.2">
      <c r="A2881" s="1186" t="s">
        <v>311</v>
      </c>
      <c r="B2881" s="1186" t="s">
        <v>824</v>
      </c>
      <c r="C2881" s="1186" t="s">
        <v>61</v>
      </c>
      <c r="D2881" s="1186" t="s">
        <v>40</v>
      </c>
      <c r="E2881" s="1186">
        <v>28</v>
      </c>
      <c r="F2881" s="1186">
        <v>95780</v>
      </c>
    </row>
    <row r="2882" spans="1:6" x14ac:dyDescent="0.2">
      <c r="A2882" s="1186" t="s">
        <v>311</v>
      </c>
      <c r="B2882" s="1186" t="s">
        <v>824</v>
      </c>
      <c r="C2882" s="1186" t="s">
        <v>61</v>
      </c>
      <c r="D2882" s="1186" t="s">
        <v>295</v>
      </c>
      <c r="E2882" s="1186">
        <v>7</v>
      </c>
      <c r="F2882" s="1186">
        <v>26950</v>
      </c>
    </row>
    <row r="2883" spans="1:6" x14ac:dyDescent="0.2">
      <c r="A2883" s="1186" t="s">
        <v>311</v>
      </c>
      <c r="B2883" s="1186" t="s">
        <v>824</v>
      </c>
      <c r="C2883" s="1186" t="s">
        <v>61</v>
      </c>
      <c r="D2883" s="1186" t="s">
        <v>41</v>
      </c>
      <c r="E2883" s="1186">
        <v>43</v>
      </c>
      <c r="F2883" s="1186">
        <v>135790</v>
      </c>
    </row>
    <row r="2884" spans="1:6" x14ac:dyDescent="0.2">
      <c r="A2884" s="1186" t="s">
        <v>311</v>
      </c>
      <c r="B2884" s="1186" t="s">
        <v>824</v>
      </c>
      <c r="C2884" s="1186" t="s">
        <v>61</v>
      </c>
      <c r="D2884" s="1186" t="s">
        <v>42</v>
      </c>
      <c r="E2884" s="1186">
        <v>83</v>
      </c>
      <c r="F2884" s="1186">
        <v>339960</v>
      </c>
    </row>
    <row r="2885" spans="1:6" x14ac:dyDescent="0.2">
      <c r="A2885" s="1186" t="s">
        <v>311</v>
      </c>
      <c r="B2885" s="1186" t="s">
        <v>824</v>
      </c>
      <c r="C2885" s="1186" t="s">
        <v>61</v>
      </c>
      <c r="D2885" s="1186" t="s">
        <v>43</v>
      </c>
      <c r="E2885" s="1186">
        <v>2</v>
      </c>
      <c r="F2885" s="1186">
        <v>22000</v>
      </c>
    </row>
    <row r="2886" spans="1:6" x14ac:dyDescent="0.2">
      <c r="A2886" s="1186" t="s">
        <v>311</v>
      </c>
      <c r="B2886" s="1186" t="s">
        <v>824</v>
      </c>
      <c r="C2886" s="1186" t="s">
        <v>61</v>
      </c>
      <c r="D2886" s="1186" t="s">
        <v>44</v>
      </c>
      <c r="E2886" s="1186">
        <v>43</v>
      </c>
      <c r="F2886" s="1186">
        <v>151100</v>
      </c>
    </row>
    <row r="2887" spans="1:6" x14ac:dyDescent="0.2">
      <c r="A2887" s="1186" t="s">
        <v>311</v>
      </c>
      <c r="B2887" s="1186" t="s">
        <v>824</v>
      </c>
      <c r="C2887" s="1186" t="s">
        <v>61</v>
      </c>
      <c r="D2887" s="1186" t="s">
        <v>45</v>
      </c>
      <c r="E2887" s="1186">
        <v>47</v>
      </c>
      <c r="F2887" s="1186">
        <v>176830</v>
      </c>
    </row>
    <row r="2888" spans="1:6" x14ac:dyDescent="0.2">
      <c r="A2888" s="1186" t="s">
        <v>311</v>
      </c>
      <c r="B2888" s="1186" t="s">
        <v>824</v>
      </c>
      <c r="C2888" s="1186" t="s">
        <v>61</v>
      </c>
      <c r="D2888" s="1186" t="s">
        <v>46</v>
      </c>
      <c r="E2888" s="1186">
        <v>28</v>
      </c>
      <c r="F2888" s="1186">
        <v>115020</v>
      </c>
    </row>
    <row r="2889" spans="1:6" x14ac:dyDescent="0.2">
      <c r="A2889" s="1186" t="s">
        <v>311</v>
      </c>
      <c r="B2889" s="1186" t="s">
        <v>824</v>
      </c>
      <c r="C2889" s="1186" t="s">
        <v>61</v>
      </c>
      <c r="D2889" s="1186" t="s">
        <v>47</v>
      </c>
      <c r="E2889" s="1186">
        <v>7</v>
      </c>
      <c r="F2889" s="1186">
        <v>23080</v>
      </c>
    </row>
    <row r="2890" spans="1:6" x14ac:dyDescent="0.2">
      <c r="A2890" s="1186" t="s">
        <v>311</v>
      </c>
      <c r="B2890" s="1186" t="s">
        <v>824</v>
      </c>
      <c r="C2890" s="1186" t="s">
        <v>61</v>
      </c>
      <c r="D2890" s="1186" t="s">
        <v>48</v>
      </c>
      <c r="E2890" s="1186">
        <v>34</v>
      </c>
      <c r="F2890" s="1186">
        <v>112680</v>
      </c>
    </row>
    <row r="2891" spans="1:6" x14ac:dyDescent="0.2">
      <c r="A2891" s="1186" t="s">
        <v>311</v>
      </c>
      <c r="B2891" s="1186" t="s">
        <v>824</v>
      </c>
      <c r="C2891" s="1186" t="s">
        <v>61</v>
      </c>
      <c r="D2891" s="1186" t="s">
        <v>49</v>
      </c>
      <c r="E2891" s="1186">
        <v>69</v>
      </c>
      <c r="F2891" s="1186">
        <v>318170</v>
      </c>
    </row>
    <row r="2892" spans="1:6" x14ac:dyDescent="0.2">
      <c r="A2892" s="1186" t="s">
        <v>311</v>
      </c>
      <c r="B2892" s="1186" t="s">
        <v>824</v>
      </c>
      <c r="C2892" s="1186" t="s">
        <v>61</v>
      </c>
      <c r="D2892" s="1186" t="s">
        <v>50</v>
      </c>
      <c r="E2892" s="1186">
        <v>33</v>
      </c>
      <c r="F2892" s="1186">
        <v>94000</v>
      </c>
    </row>
    <row r="2893" spans="1:6" x14ac:dyDescent="0.2">
      <c r="A2893" s="1186" t="s">
        <v>311</v>
      </c>
      <c r="B2893" s="1186" t="s">
        <v>824</v>
      </c>
      <c r="C2893" s="1186" t="s">
        <v>61</v>
      </c>
      <c r="D2893" s="1186" t="s">
        <v>51</v>
      </c>
      <c r="E2893" s="1186">
        <v>34</v>
      </c>
      <c r="F2893" s="1186">
        <v>89610</v>
      </c>
    </row>
    <row r="2894" spans="1:6" x14ac:dyDescent="0.2">
      <c r="A2894" s="1186" t="s">
        <v>311</v>
      </c>
      <c r="B2894" s="1186" t="s">
        <v>824</v>
      </c>
      <c r="C2894" s="1186" t="s">
        <v>61</v>
      </c>
      <c r="D2894" s="1186" t="s">
        <v>52</v>
      </c>
      <c r="E2894" s="1186">
        <v>50</v>
      </c>
      <c r="F2894" s="1186">
        <v>181310</v>
      </c>
    </row>
    <row r="2895" spans="1:6" x14ac:dyDescent="0.2">
      <c r="A2895" s="1186" t="s">
        <v>311</v>
      </c>
      <c r="B2895" s="1186" t="s">
        <v>824</v>
      </c>
      <c r="C2895" s="1186" t="s">
        <v>116</v>
      </c>
      <c r="D2895" s="1186" t="s">
        <v>23</v>
      </c>
      <c r="E2895" s="1186">
        <v>18</v>
      </c>
      <c r="F2895" s="1186">
        <v>228800</v>
      </c>
    </row>
    <row r="2896" spans="1:6" x14ac:dyDescent="0.2">
      <c r="A2896" s="1186" t="s">
        <v>311</v>
      </c>
      <c r="B2896" s="1186" t="s">
        <v>824</v>
      </c>
      <c r="C2896" s="1186" t="s">
        <v>116</v>
      </c>
      <c r="D2896" s="1186" t="s">
        <v>24</v>
      </c>
      <c r="E2896" s="1186">
        <v>22</v>
      </c>
      <c r="F2896" s="1186">
        <v>261800</v>
      </c>
    </row>
    <row r="2897" spans="1:6" x14ac:dyDescent="0.2">
      <c r="A2897" s="1186" t="s">
        <v>311</v>
      </c>
      <c r="B2897" s="1186" t="s">
        <v>824</v>
      </c>
      <c r="C2897" s="1186" t="s">
        <v>116</v>
      </c>
      <c r="D2897" s="1186" t="s">
        <v>25</v>
      </c>
      <c r="E2897" s="1186">
        <v>12</v>
      </c>
      <c r="F2897" s="1186">
        <v>116280</v>
      </c>
    </row>
    <row r="2898" spans="1:6" x14ac:dyDescent="0.2">
      <c r="A2898" s="1186" t="s">
        <v>311</v>
      </c>
      <c r="B2898" s="1186" t="s">
        <v>824</v>
      </c>
      <c r="C2898" s="1186" t="s">
        <v>116</v>
      </c>
      <c r="D2898" s="1186" t="s">
        <v>26</v>
      </c>
      <c r="E2898" s="1186">
        <v>8</v>
      </c>
      <c r="F2898" s="1186">
        <v>86810</v>
      </c>
    </row>
    <row r="2899" spans="1:6" x14ac:dyDescent="0.2">
      <c r="A2899" s="1186" t="s">
        <v>311</v>
      </c>
      <c r="B2899" s="1186" t="s">
        <v>824</v>
      </c>
      <c r="C2899" s="1186" t="s">
        <v>116</v>
      </c>
      <c r="D2899" s="1186" t="s">
        <v>619</v>
      </c>
      <c r="E2899" s="1186">
        <v>55</v>
      </c>
      <c r="F2899" s="1186">
        <v>513210</v>
      </c>
    </row>
    <row r="2900" spans="1:6" x14ac:dyDescent="0.2">
      <c r="A2900" s="1186" t="s">
        <v>311</v>
      </c>
      <c r="B2900" s="1186" t="s">
        <v>824</v>
      </c>
      <c r="C2900" s="1186" t="s">
        <v>116</v>
      </c>
      <c r="D2900" s="1186" t="s">
        <v>27</v>
      </c>
      <c r="E2900" s="1186">
        <v>7</v>
      </c>
      <c r="F2900" s="1186">
        <v>51450</v>
      </c>
    </row>
    <row r="2901" spans="1:6" x14ac:dyDescent="0.2">
      <c r="A2901" s="1186" t="s">
        <v>311</v>
      </c>
      <c r="B2901" s="1186" t="s">
        <v>824</v>
      </c>
      <c r="C2901" s="1186" t="s">
        <v>116</v>
      </c>
      <c r="D2901" s="1186" t="s">
        <v>28</v>
      </c>
      <c r="E2901" s="1186">
        <v>9</v>
      </c>
      <c r="F2901" s="1186">
        <v>149200</v>
      </c>
    </row>
    <row r="2902" spans="1:6" x14ac:dyDescent="0.2">
      <c r="A2902" s="1186" t="s">
        <v>311</v>
      </c>
      <c r="B2902" s="1186" t="s">
        <v>824</v>
      </c>
      <c r="C2902" s="1186" t="s">
        <v>116</v>
      </c>
      <c r="D2902" s="1186" t="s">
        <v>29</v>
      </c>
      <c r="E2902" s="1186">
        <v>17</v>
      </c>
      <c r="F2902" s="1186">
        <v>148710</v>
      </c>
    </row>
    <row r="2903" spans="1:6" x14ac:dyDescent="0.2">
      <c r="A2903" s="1186" t="s">
        <v>311</v>
      </c>
      <c r="B2903" s="1186" t="s">
        <v>824</v>
      </c>
      <c r="C2903" s="1186" t="s">
        <v>116</v>
      </c>
      <c r="D2903" s="1186" t="s">
        <v>30</v>
      </c>
      <c r="E2903" s="1186">
        <v>16</v>
      </c>
      <c r="F2903" s="1186">
        <v>121940</v>
      </c>
    </row>
    <row r="2904" spans="1:6" x14ac:dyDescent="0.2">
      <c r="A2904" s="1186" t="s">
        <v>311</v>
      </c>
      <c r="B2904" s="1186" t="s">
        <v>824</v>
      </c>
      <c r="C2904" s="1186" t="s">
        <v>116</v>
      </c>
      <c r="D2904" s="1186" t="s">
        <v>31</v>
      </c>
      <c r="E2904" s="1186">
        <v>13</v>
      </c>
      <c r="F2904" s="1186">
        <v>108130</v>
      </c>
    </row>
    <row r="2905" spans="1:6" x14ac:dyDescent="0.2">
      <c r="A2905" s="1186" t="s">
        <v>311</v>
      </c>
      <c r="B2905" s="1186" t="s">
        <v>824</v>
      </c>
      <c r="C2905" s="1186" t="s">
        <v>116</v>
      </c>
      <c r="D2905" s="1186" t="s">
        <v>32</v>
      </c>
      <c r="E2905" s="1186">
        <v>14</v>
      </c>
      <c r="F2905" s="1186">
        <v>104840</v>
      </c>
    </row>
    <row r="2906" spans="1:6" x14ac:dyDescent="0.2">
      <c r="A2906" s="1186" t="s">
        <v>311</v>
      </c>
      <c r="B2906" s="1186" t="s">
        <v>824</v>
      </c>
      <c r="C2906" s="1186" t="s">
        <v>116</v>
      </c>
      <c r="D2906" s="1186" t="s">
        <v>33</v>
      </c>
      <c r="E2906" s="1186">
        <v>6</v>
      </c>
      <c r="F2906" s="1186">
        <v>94760</v>
      </c>
    </row>
    <row r="2907" spans="1:6" x14ac:dyDescent="0.2">
      <c r="A2907" s="1186" t="s">
        <v>311</v>
      </c>
      <c r="B2907" s="1186" t="s">
        <v>824</v>
      </c>
      <c r="C2907" s="1186" t="s">
        <v>116</v>
      </c>
      <c r="D2907" s="1186" t="s">
        <v>34</v>
      </c>
      <c r="E2907" s="1186">
        <v>50</v>
      </c>
      <c r="F2907" s="1186">
        <v>160130</v>
      </c>
    </row>
    <row r="2908" spans="1:6" x14ac:dyDescent="0.2">
      <c r="A2908" s="1186" t="s">
        <v>311</v>
      </c>
      <c r="B2908" s="1186" t="s">
        <v>824</v>
      </c>
      <c r="C2908" s="1186" t="s">
        <v>116</v>
      </c>
      <c r="D2908" s="1186" t="s">
        <v>35</v>
      </c>
      <c r="E2908" s="1186">
        <v>52</v>
      </c>
      <c r="F2908" s="1186">
        <v>371410</v>
      </c>
    </row>
    <row r="2909" spans="1:6" x14ac:dyDescent="0.2">
      <c r="A2909" s="1186" t="s">
        <v>311</v>
      </c>
      <c r="B2909" s="1186" t="s">
        <v>824</v>
      </c>
      <c r="C2909" s="1186" t="s">
        <v>116</v>
      </c>
      <c r="D2909" s="1186" t="s">
        <v>36</v>
      </c>
      <c r="E2909" s="1186">
        <v>97</v>
      </c>
      <c r="F2909" s="1186">
        <v>621020</v>
      </c>
    </row>
    <row r="2910" spans="1:6" x14ac:dyDescent="0.2">
      <c r="A2910" s="1186" t="s">
        <v>311</v>
      </c>
      <c r="B2910" s="1186" t="s">
        <v>824</v>
      </c>
      <c r="C2910" s="1186" t="s">
        <v>116</v>
      </c>
      <c r="D2910" s="1186" t="s">
        <v>37</v>
      </c>
      <c r="E2910" s="1186">
        <v>8</v>
      </c>
      <c r="F2910" s="1186">
        <v>235180</v>
      </c>
    </row>
    <row r="2911" spans="1:6" x14ac:dyDescent="0.2">
      <c r="A2911" s="1186" t="s">
        <v>311</v>
      </c>
      <c r="B2911" s="1186" t="s">
        <v>824</v>
      </c>
      <c r="C2911" s="1186" t="s">
        <v>116</v>
      </c>
      <c r="D2911" s="1186" t="s">
        <v>38</v>
      </c>
      <c r="E2911" s="1186">
        <v>14</v>
      </c>
      <c r="F2911" s="1186">
        <v>78760</v>
      </c>
    </row>
    <row r="2912" spans="1:6" x14ac:dyDescent="0.2">
      <c r="A2912" s="1186" t="s">
        <v>311</v>
      </c>
      <c r="B2912" s="1186" t="s">
        <v>824</v>
      </c>
      <c r="C2912" s="1186" t="s">
        <v>116</v>
      </c>
      <c r="D2912" s="1186" t="s">
        <v>39</v>
      </c>
      <c r="E2912" s="1186">
        <v>15</v>
      </c>
      <c r="F2912" s="1186">
        <v>90090</v>
      </c>
    </row>
    <row r="2913" spans="1:6" x14ac:dyDescent="0.2">
      <c r="A2913" s="1186" t="s">
        <v>311</v>
      </c>
      <c r="B2913" s="1186" t="s">
        <v>824</v>
      </c>
      <c r="C2913" s="1186" t="s">
        <v>116</v>
      </c>
      <c r="D2913" s="1186" t="s">
        <v>40</v>
      </c>
      <c r="E2913" s="1186">
        <v>8</v>
      </c>
      <c r="F2913" s="1186">
        <v>95780</v>
      </c>
    </row>
    <row r="2914" spans="1:6" x14ac:dyDescent="0.2">
      <c r="A2914" s="1186" t="s">
        <v>311</v>
      </c>
      <c r="B2914" s="1186" t="s">
        <v>824</v>
      </c>
      <c r="C2914" s="1186" t="s">
        <v>116</v>
      </c>
      <c r="D2914" s="1186" t="s">
        <v>295</v>
      </c>
      <c r="E2914" s="1186">
        <v>1</v>
      </c>
      <c r="F2914" s="1186">
        <v>26950</v>
      </c>
    </row>
    <row r="2915" spans="1:6" x14ac:dyDescent="0.2">
      <c r="A2915" s="1186" t="s">
        <v>311</v>
      </c>
      <c r="B2915" s="1186" t="s">
        <v>824</v>
      </c>
      <c r="C2915" s="1186" t="s">
        <v>116</v>
      </c>
      <c r="D2915" s="1186" t="s">
        <v>41</v>
      </c>
      <c r="E2915" s="1186">
        <v>9</v>
      </c>
      <c r="F2915" s="1186">
        <v>135790</v>
      </c>
    </row>
    <row r="2916" spans="1:6" x14ac:dyDescent="0.2">
      <c r="A2916" s="1186" t="s">
        <v>311</v>
      </c>
      <c r="B2916" s="1186" t="s">
        <v>824</v>
      </c>
      <c r="C2916" s="1186" t="s">
        <v>116</v>
      </c>
      <c r="D2916" s="1186" t="s">
        <v>42</v>
      </c>
      <c r="E2916" s="1186">
        <v>44</v>
      </c>
      <c r="F2916" s="1186">
        <v>339960</v>
      </c>
    </row>
    <row r="2917" spans="1:6" x14ac:dyDescent="0.2">
      <c r="A2917" s="1186" t="s">
        <v>311</v>
      </c>
      <c r="B2917" s="1186" t="s">
        <v>824</v>
      </c>
      <c r="C2917" s="1186" t="s">
        <v>116</v>
      </c>
      <c r="D2917" s="1186" t="s">
        <v>44</v>
      </c>
      <c r="E2917" s="1186">
        <v>14</v>
      </c>
      <c r="F2917" s="1186">
        <v>151100</v>
      </c>
    </row>
    <row r="2918" spans="1:6" x14ac:dyDescent="0.2">
      <c r="A2918" s="1186" t="s">
        <v>311</v>
      </c>
      <c r="B2918" s="1186" t="s">
        <v>824</v>
      </c>
      <c r="C2918" s="1186" t="s">
        <v>116</v>
      </c>
      <c r="D2918" s="1186" t="s">
        <v>45</v>
      </c>
      <c r="E2918" s="1186">
        <v>23</v>
      </c>
      <c r="F2918" s="1186">
        <v>176830</v>
      </c>
    </row>
    <row r="2919" spans="1:6" x14ac:dyDescent="0.2">
      <c r="A2919" s="1186" t="s">
        <v>311</v>
      </c>
      <c r="B2919" s="1186" t="s">
        <v>824</v>
      </c>
      <c r="C2919" s="1186" t="s">
        <v>116</v>
      </c>
      <c r="D2919" s="1186" t="s">
        <v>46</v>
      </c>
      <c r="E2919" s="1186">
        <v>7</v>
      </c>
      <c r="F2919" s="1186">
        <v>115020</v>
      </c>
    </row>
    <row r="2920" spans="1:6" x14ac:dyDescent="0.2">
      <c r="A2920" s="1186" t="s">
        <v>311</v>
      </c>
      <c r="B2920" s="1186" t="s">
        <v>824</v>
      </c>
      <c r="C2920" s="1186" t="s">
        <v>116</v>
      </c>
      <c r="D2920" s="1186" t="s">
        <v>48</v>
      </c>
      <c r="E2920" s="1186">
        <v>10</v>
      </c>
      <c r="F2920" s="1186">
        <v>112680</v>
      </c>
    </row>
    <row r="2921" spans="1:6" x14ac:dyDescent="0.2">
      <c r="A2921" s="1186" t="s">
        <v>311</v>
      </c>
      <c r="B2921" s="1186" t="s">
        <v>824</v>
      </c>
      <c r="C2921" s="1186" t="s">
        <v>116</v>
      </c>
      <c r="D2921" s="1186" t="s">
        <v>49</v>
      </c>
      <c r="E2921" s="1186">
        <v>46</v>
      </c>
      <c r="F2921" s="1186">
        <v>318170</v>
      </c>
    </row>
    <row r="2922" spans="1:6" x14ac:dyDescent="0.2">
      <c r="A2922" s="1186" t="s">
        <v>311</v>
      </c>
      <c r="B2922" s="1186" t="s">
        <v>824</v>
      </c>
      <c r="C2922" s="1186" t="s">
        <v>116</v>
      </c>
      <c r="D2922" s="1186" t="s">
        <v>50</v>
      </c>
      <c r="E2922" s="1186">
        <v>15</v>
      </c>
      <c r="F2922" s="1186">
        <v>94000</v>
      </c>
    </row>
    <row r="2923" spans="1:6" x14ac:dyDescent="0.2">
      <c r="A2923" s="1186" t="s">
        <v>311</v>
      </c>
      <c r="B2923" s="1186" t="s">
        <v>824</v>
      </c>
      <c r="C2923" s="1186" t="s">
        <v>116</v>
      </c>
      <c r="D2923" s="1186" t="s">
        <v>51</v>
      </c>
      <c r="E2923" s="1186">
        <v>13</v>
      </c>
      <c r="F2923" s="1186">
        <v>89610</v>
      </c>
    </row>
    <row r="2924" spans="1:6" x14ac:dyDescent="0.2">
      <c r="A2924" s="1186" t="s">
        <v>311</v>
      </c>
      <c r="B2924" s="1186" t="s">
        <v>824</v>
      </c>
      <c r="C2924" s="1186" t="s">
        <v>116</v>
      </c>
      <c r="D2924" s="1186" t="s">
        <v>52</v>
      </c>
      <c r="E2924" s="1186">
        <v>25</v>
      </c>
      <c r="F2924" s="1186">
        <v>181310</v>
      </c>
    </row>
    <row r="2925" spans="1:6" x14ac:dyDescent="0.2">
      <c r="A2925" s="1186" t="s">
        <v>311</v>
      </c>
      <c r="B2925" s="1186" t="s">
        <v>825</v>
      </c>
      <c r="C2925" s="1186" t="s">
        <v>61</v>
      </c>
      <c r="D2925" s="1186" t="s">
        <v>23</v>
      </c>
      <c r="E2925" s="1186">
        <v>28</v>
      </c>
      <c r="F2925" s="1186">
        <v>228800</v>
      </c>
    </row>
    <row r="2926" spans="1:6" x14ac:dyDescent="0.2">
      <c r="A2926" s="1186" t="s">
        <v>311</v>
      </c>
      <c r="B2926" s="1186" t="s">
        <v>825</v>
      </c>
      <c r="C2926" s="1186" t="s">
        <v>61</v>
      </c>
      <c r="D2926" s="1186" t="s">
        <v>24</v>
      </c>
      <c r="E2926" s="1186">
        <v>67</v>
      </c>
      <c r="F2926" s="1186">
        <v>261800</v>
      </c>
    </row>
    <row r="2927" spans="1:6" x14ac:dyDescent="0.2">
      <c r="A2927" s="1186" t="s">
        <v>311</v>
      </c>
      <c r="B2927" s="1186" t="s">
        <v>825</v>
      </c>
      <c r="C2927" s="1186" t="s">
        <v>61</v>
      </c>
      <c r="D2927" s="1186" t="s">
        <v>25</v>
      </c>
      <c r="E2927" s="1186">
        <v>23</v>
      </c>
      <c r="F2927" s="1186">
        <v>116280</v>
      </c>
    </row>
    <row r="2928" spans="1:6" x14ac:dyDescent="0.2">
      <c r="A2928" s="1186" t="s">
        <v>311</v>
      </c>
      <c r="B2928" s="1186" t="s">
        <v>825</v>
      </c>
      <c r="C2928" s="1186" t="s">
        <v>61</v>
      </c>
      <c r="D2928" s="1186" t="s">
        <v>26</v>
      </c>
      <c r="E2928" s="1186">
        <v>28</v>
      </c>
      <c r="F2928" s="1186">
        <v>86810</v>
      </c>
    </row>
    <row r="2929" spans="1:6" x14ac:dyDescent="0.2">
      <c r="A2929" s="1186" t="s">
        <v>311</v>
      </c>
      <c r="B2929" s="1186" t="s">
        <v>825</v>
      </c>
      <c r="C2929" s="1186" t="s">
        <v>61</v>
      </c>
      <c r="D2929" s="1186" t="s">
        <v>619</v>
      </c>
      <c r="E2929" s="1186">
        <v>70</v>
      </c>
      <c r="F2929" s="1186">
        <v>513210</v>
      </c>
    </row>
    <row r="2930" spans="1:6" x14ac:dyDescent="0.2">
      <c r="A2930" s="1186" t="s">
        <v>311</v>
      </c>
      <c r="B2930" s="1186" t="s">
        <v>825</v>
      </c>
      <c r="C2930" s="1186" t="s">
        <v>61</v>
      </c>
      <c r="D2930" s="1186" t="s">
        <v>27</v>
      </c>
      <c r="E2930" s="1186">
        <v>7</v>
      </c>
      <c r="F2930" s="1186">
        <v>51450</v>
      </c>
    </row>
    <row r="2931" spans="1:6" x14ac:dyDescent="0.2">
      <c r="A2931" s="1186" t="s">
        <v>311</v>
      </c>
      <c r="B2931" s="1186" t="s">
        <v>825</v>
      </c>
      <c r="C2931" s="1186" t="s">
        <v>61</v>
      </c>
      <c r="D2931" s="1186" t="s">
        <v>28</v>
      </c>
      <c r="E2931" s="1186">
        <v>53</v>
      </c>
      <c r="F2931" s="1186">
        <v>149200</v>
      </c>
    </row>
    <row r="2932" spans="1:6" x14ac:dyDescent="0.2">
      <c r="A2932" s="1186" t="s">
        <v>311</v>
      </c>
      <c r="B2932" s="1186" t="s">
        <v>825</v>
      </c>
      <c r="C2932" s="1186" t="s">
        <v>61</v>
      </c>
      <c r="D2932" s="1186" t="s">
        <v>29</v>
      </c>
      <c r="E2932" s="1186">
        <v>27</v>
      </c>
      <c r="F2932" s="1186">
        <v>148710</v>
      </c>
    </row>
    <row r="2933" spans="1:6" x14ac:dyDescent="0.2">
      <c r="A2933" s="1186" t="s">
        <v>311</v>
      </c>
      <c r="B2933" s="1186" t="s">
        <v>825</v>
      </c>
      <c r="C2933" s="1186" t="s">
        <v>61</v>
      </c>
      <c r="D2933" s="1186" t="s">
        <v>30</v>
      </c>
      <c r="E2933" s="1186">
        <v>36</v>
      </c>
      <c r="F2933" s="1186">
        <v>121940</v>
      </c>
    </row>
    <row r="2934" spans="1:6" x14ac:dyDescent="0.2">
      <c r="A2934" s="1186" t="s">
        <v>311</v>
      </c>
      <c r="B2934" s="1186" t="s">
        <v>825</v>
      </c>
      <c r="C2934" s="1186" t="s">
        <v>61</v>
      </c>
      <c r="D2934" s="1186" t="s">
        <v>31</v>
      </c>
      <c r="E2934" s="1186">
        <v>14</v>
      </c>
      <c r="F2934" s="1186">
        <v>108130</v>
      </c>
    </row>
    <row r="2935" spans="1:6" x14ac:dyDescent="0.2">
      <c r="A2935" s="1186" t="s">
        <v>311</v>
      </c>
      <c r="B2935" s="1186" t="s">
        <v>825</v>
      </c>
      <c r="C2935" s="1186" t="s">
        <v>61</v>
      </c>
      <c r="D2935" s="1186" t="s">
        <v>32</v>
      </c>
      <c r="E2935" s="1186">
        <v>22</v>
      </c>
      <c r="F2935" s="1186">
        <v>104840</v>
      </c>
    </row>
    <row r="2936" spans="1:6" x14ac:dyDescent="0.2">
      <c r="A2936" s="1186" t="s">
        <v>311</v>
      </c>
      <c r="B2936" s="1186" t="s">
        <v>825</v>
      </c>
      <c r="C2936" s="1186" t="s">
        <v>61</v>
      </c>
      <c r="D2936" s="1186" t="s">
        <v>33</v>
      </c>
      <c r="E2936" s="1186">
        <v>13</v>
      </c>
      <c r="F2936" s="1186">
        <v>94760</v>
      </c>
    </row>
    <row r="2937" spans="1:6" x14ac:dyDescent="0.2">
      <c r="A2937" s="1186" t="s">
        <v>311</v>
      </c>
      <c r="B2937" s="1186" t="s">
        <v>825</v>
      </c>
      <c r="C2937" s="1186" t="s">
        <v>61</v>
      </c>
      <c r="D2937" s="1186" t="s">
        <v>34</v>
      </c>
      <c r="E2937" s="1186">
        <v>33</v>
      </c>
      <c r="F2937" s="1186">
        <v>160130</v>
      </c>
    </row>
    <row r="2938" spans="1:6" x14ac:dyDescent="0.2">
      <c r="A2938" s="1186" t="s">
        <v>311</v>
      </c>
      <c r="B2938" s="1186" t="s">
        <v>825</v>
      </c>
      <c r="C2938" s="1186" t="s">
        <v>61</v>
      </c>
      <c r="D2938" s="1186" t="s">
        <v>35</v>
      </c>
      <c r="E2938" s="1186">
        <v>73</v>
      </c>
      <c r="F2938" s="1186">
        <v>371410</v>
      </c>
    </row>
    <row r="2939" spans="1:6" x14ac:dyDescent="0.2">
      <c r="A2939" s="1186" t="s">
        <v>311</v>
      </c>
      <c r="B2939" s="1186" t="s">
        <v>825</v>
      </c>
      <c r="C2939" s="1186" t="s">
        <v>61</v>
      </c>
      <c r="D2939" s="1186" t="s">
        <v>36</v>
      </c>
      <c r="E2939" s="1186">
        <v>117</v>
      </c>
      <c r="F2939" s="1186">
        <v>621020</v>
      </c>
    </row>
    <row r="2940" spans="1:6" x14ac:dyDescent="0.2">
      <c r="A2940" s="1186" t="s">
        <v>311</v>
      </c>
      <c r="B2940" s="1186" t="s">
        <v>825</v>
      </c>
      <c r="C2940" s="1186" t="s">
        <v>61</v>
      </c>
      <c r="D2940" s="1186" t="s">
        <v>37</v>
      </c>
      <c r="E2940" s="1186">
        <v>67</v>
      </c>
      <c r="F2940" s="1186">
        <v>235180</v>
      </c>
    </row>
    <row r="2941" spans="1:6" x14ac:dyDescent="0.2">
      <c r="A2941" s="1186" t="s">
        <v>311</v>
      </c>
      <c r="B2941" s="1186" t="s">
        <v>825</v>
      </c>
      <c r="C2941" s="1186" t="s">
        <v>61</v>
      </c>
      <c r="D2941" s="1186" t="s">
        <v>38</v>
      </c>
      <c r="E2941" s="1186">
        <v>16</v>
      </c>
      <c r="F2941" s="1186">
        <v>78760</v>
      </c>
    </row>
    <row r="2942" spans="1:6" x14ac:dyDescent="0.2">
      <c r="A2942" s="1186" t="s">
        <v>311</v>
      </c>
      <c r="B2942" s="1186" t="s">
        <v>825</v>
      </c>
      <c r="C2942" s="1186" t="s">
        <v>61</v>
      </c>
      <c r="D2942" s="1186" t="s">
        <v>39</v>
      </c>
      <c r="E2942" s="1186">
        <v>20</v>
      </c>
      <c r="F2942" s="1186">
        <v>90090</v>
      </c>
    </row>
    <row r="2943" spans="1:6" x14ac:dyDescent="0.2">
      <c r="A2943" s="1186" t="s">
        <v>311</v>
      </c>
      <c r="B2943" s="1186" t="s">
        <v>825</v>
      </c>
      <c r="C2943" s="1186" t="s">
        <v>61</v>
      </c>
      <c r="D2943" s="1186" t="s">
        <v>40</v>
      </c>
      <c r="E2943" s="1186">
        <v>16</v>
      </c>
      <c r="F2943" s="1186">
        <v>95780</v>
      </c>
    </row>
    <row r="2944" spans="1:6" x14ac:dyDescent="0.2">
      <c r="A2944" s="1186" t="s">
        <v>311</v>
      </c>
      <c r="B2944" s="1186" t="s">
        <v>825</v>
      </c>
      <c r="C2944" s="1186" t="s">
        <v>61</v>
      </c>
      <c r="D2944" s="1186" t="s">
        <v>295</v>
      </c>
      <c r="E2944" s="1186">
        <v>8</v>
      </c>
      <c r="F2944" s="1186">
        <v>26950</v>
      </c>
    </row>
    <row r="2945" spans="1:6" x14ac:dyDescent="0.2">
      <c r="A2945" s="1186" t="s">
        <v>311</v>
      </c>
      <c r="B2945" s="1186" t="s">
        <v>825</v>
      </c>
      <c r="C2945" s="1186" t="s">
        <v>61</v>
      </c>
      <c r="D2945" s="1186" t="s">
        <v>41</v>
      </c>
      <c r="E2945" s="1186">
        <v>26</v>
      </c>
      <c r="F2945" s="1186">
        <v>135790</v>
      </c>
    </row>
    <row r="2946" spans="1:6" x14ac:dyDescent="0.2">
      <c r="A2946" s="1186" t="s">
        <v>311</v>
      </c>
      <c r="B2946" s="1186" t="s">
        <v>825</v>
      </c>
      <c r="C2946" s="1186" t="s">
        <v>61</v>
      </c>
      <c r="D2946" s="1186" t="s">
        <v>42</v>
      </c>
      <c r="E2946" s="1186">
        <v>94</v>
      </c>
      <c r="F2946" s="1186">
        <v>339960</v>
      </c>
    </row>
    <row r="2947" spans="1:6" x14ac:dyDescent="0.2">
      <c r="A2947" s="1186" t="s">
        <v>311</v>
      </c>
      <c r="B2947" s="1186" t="s">
        <v>825</v>
      </c>
      <c r="C2947" s="1186" t="s">
        <v>61</v>
      </c>
      <c r="D2947" s="1186" t="s">
        <v>43</v>
      </c>
      <c r="E2947" s="1186">
        <v>5</v>
      </c>
      <c r="F2947" s="1186">
        <v>22000</v>
      </c>
    </row>
    <row r="2948" spans="1:6" x14ac:dyDescent="0.2">
      <c r="A2948" s="1186" t="s">
        <v>311</v>
      </c>
      <c r="B2948" s="1186" t="s">
        <v>825</v>
      </c>
      <c r="C2948" s="1186" t="s">
        <v>61</v>
      </c>
      <c r="D2948" s="1186" t="s">
        <v>44</v>
      </c>
      <c r="E2948" s="1186">
        <v>41</v>
      </c>
      <c r="F2948" s="1186">
        <v>151100</v>
      </c>
    </row>
    <row r="2949" spans="1:6" x14ac:dyDescent="0.2">
      <c r="A2949" s="1186" t="s">
        <v>311</v>
      </c>
      <c r="B2949" s="1186" t="s">
        <v>825</v>
      </c>
      <c r="C2949" s="1186" t="s">
        <v>61</v>
      </c>
      <c r="D2949" s="1186" t="s">
        <v>45</v>
      </c>
      <c r="E2949" s="1186">
        <v>35</v>
      </c>
      <c r="F2949" s="1186">
        <v>176830</v>
      </c>
    </row>
    <row r="2950" spans="1:6" x14ac:dyDescent="0.2">
      <c r="A2950" s="1186" t="s">
        <v>311</v>
      </c>
      <c r="B2950" s="1186" t="s">
        <v>825</v>
      </c>
      <c r="C2950" s="1186" t="s">
        <v>61</v>
      </c>
      <c r="D2950" s="1186" t="s">
        <v>46</v>
      </c>
      <c r="E2950" s="1186">
        <v>21</v>
      </c>
      <c r="F2950" s="1186">
        <v>115020</v>
      </c>
    </row>
    <row r="2951" spans="1:6" x14ac:dyDescent="0.2">
      <c r="A2951" s="1186" t="s">
        <v>311</v>
      </c>
      <c r="B2951" s="1186" t="s">
        <v>825</v>
      </c>
      <c r="C2951" s="1186" t="s">
        <v>61</v>
      </c>
      <c r="D2951" s="1186" t="s">
        <v>47</v>
      </c>
      <c r="E2951" s="1186">
        <v>5</v>
      </c>
      <c r="F2951" s="1186">
        <v>23080</v>
      </c>
    </row>
    <row r="2952" spans="1:6" x14ac:dyDescent="0.2">
      <c r="A2952" s="1186" t="s">
        <v>311</v>
      </c>
      <c r="B2952" s="1186" t="s">
        <v>825</v>
      </c>
      <c r="C2952" s="1186" t="s">
        <v>61</v>
      </c>
      <c r="D2952" s="1186" t="s">
        <v>48</v>
      </c>
      <c r="E2952" s="1186">
        <v>28</v>
      </c>
      <c r="F2952" s="1186">
        <v>112680</v>
      </c>
    </row>
    <row r="2953" spans="1:6" x14ac:dyDescent="0.2">
      <c r="A2953" s="1186" t="s">
        <v>311</v>
      </c>
      <c r="B2953" s="1186" t="s">
        <v>825</v>
      </c>
      <c r="C2953" s="1186" t="s">
        <v>61</v>
      </c>
      <c r="D2953" s="1186" t="s">
        <v>49</v>
      </c>
      <c r="E2953" s="1186">
        <v>75</v>
      </c>
      <c r="F2953" s="1186">
        <v>318170</v>
      </c>
    </row>
    <row r="2954" spans="1:6" x14ac:dyDescent="0.2">
      <c r="A2954" s="1186" t="s">
        <v>311</v>
      </c>
      <c r="B2954" s="1186" t="s">
        <v>825</v>
      </c>
      <c r="C2954" s="1186" t="s">
        <v>61</v>
      </c>
      <c r="D2954" s="1186" t="s">
        <v>50</v>
      </c>
      <c r="E2954" s="1186">
        <v>19</v>
      </c>
      <c r="F2954" s="1186">
        <v>94000</v>
      </c>
    </row>
    <row r="2955" spans="1:6" x14ac:dyDescent="0.2">
      <c r="A2955" s="1186" t="s">
        <v>311</v>
      </c>
      <c r="B2955" s="1186" t="s">
        <v>825</v>
      </c>
      <c r="C2955" s="1186" t="s">
        <v>61</v>
      </c>
      <c r="D2955" s="1186" t="s">
        <v>51</v>
      </c>
      <c r="E2955" s="1186">
        <v>20</v>
      </c>
      <c r="F2955" s="1186">
        <v>89610</v>
      </c>
    </row>
    <row r="2956" spans="1:6" x14ac:dyDescent="0.2">
      <c r="A2956" s="1186" t="s">
        <v>311</v>
      </c>
      <c r="B2956" s="1186" t="s">
        <v>825</v>
      </c>
      <c r="C2956" s="1186" t="s">
        <v>61</v>
      </c>
      <c r="D2956" s="1186" t="s">
        <v>52</v>
      </c>
      <c r="E2956" s="1186">
        <v>46</v>
      </c>
      <c r="F2956" s="1186">
        <v>181310</v>
      </c>
    </row>
    <row r="2957" spans="1:6" x14ac:dyDescent="0.2">
      <c r="A2957" s="1186" t="s">
        <v>311</v>
      </c>
      <c r="B2957" s="1186" t="s">
        <v>825</v>
      </c>
      <c r="C2957" s="1186" t="s">
        <v>116</v>
      </c>
      <c r="D2957" s="1186" t="s">
        <v>23</v>
      </c>
      <c r="E2957" s="1186">
        <v>36</v>
      </c>
      <c r="F2957" s="1186">
        <v>228800</v>
      </c>
    </row>
    <row r="2958" spans="1:6" x14ac:dyDescent="0.2">
      <c r="A2958" s="1186" t="s">
        <v>311</v>
      </c>
      <c r="B2958" s="1186" t="s">
        <v>825</v>
      </c>
      <c r="C2958" s="1186" t="s">
        <v>116</v>
      </c>
      <c r="D2958" s="1186" t="s">
        <v>24</v>
      </c>
      <c r="E2958" s="1186">
        <v>11</v>
      </c>
      <c r="F2958" s="1186">
        <v>261800</v>
      </c>
    </row>
    <row r="2959" spans="1:6" x14ac:dyDescent="0.2">
      <c r="A2959" s="1186" t="s">
        <v>311</v>
      </c>
      <c r="B2959" s="1186" t="s">
        <v>825</v>
      </c>
      <c r="C2959" s="1186" t="s">
        <v>116</v>
      </c>
      <c r="D2959" s="1186" t="s">
        <v>25</v>
      </c>
      <c r="E2959" s="1186">
        <v>7</v>
      </c>
      <c r="F2959" s="1186">
        <v>116280</v>
      </c>
    </row>
    <row r="2960" spans="1:6" x14ac:dyDescent="0.2">
      <c r="A2960" s="1186" t="s">
        <v>311</v>
      </c>
      <c r="B2960" s="1186" t="s">
        <v>825</v>
      </c>
      <c r="C2960" s="1186" t="s">
        <v>116</v>
      </c>
      <c r="D2960" s="1186" t="s">
        <v>26</v>
      </c>
      <c r="E2960" s="1186">
        <v>6</v>
      </c>
      <c r="F2960" s="1186">
        <v>86810</v>
      </c>
    </row>
    <row r="2961" spans="1:6" x14ac:dyDescent="0.2">
      <c r="A2961" s="1186" t="s">
        <v>311</v>
      </c>
      <c r="B2961" s="1186" t="s">
        <v>825</v>
      </c>
      <c r="C2961" s="1186" t="s">
        <v>116</v>
      </c>
      <c r="D2961" s="1186" t="s">
        <v>619</v>
      </c>
      <c r="E2961" s="1186">
        <v>114</v>
      </c>
      <c r="F2961" s="1186">
        <v>513210</v>
      </c>
    </row>
    <row r="2962" spans="1:6" x14ac:dyDescent="0.2">
      <c r="A2962" s="1186" t="s">
        <v>311</v>
      </c>
      <c r="B2962" s="1186" t="s">
        <v>825</v>
      </c>
      <c r="C2962" s="1186" t="s">
        <v>116</v>
      </c>
      <c r="D2962" s="1186" t="s">
        <v>27</v>
      </c>
      <c r="E2962" s="1186">
        <v>3</v>
      </c>
      <c r="F2962" s="1186">
        <v>51450</v>
      </c>
    </row>
    <row r="2963" spans="1:6" x14ac:dyDescent="0.2">
      <c r="A2963" s="1186" t="s">
        <v>311</v>
      </c>
      <c r="B2963" s="1186" t="s">
        <v>825</v>
      </c>
      <c r="C2963" s="1186" t="s">
        <v>116</v>
      </c>
      <c r="D2963" s="1186" t="s">
        <v>28</v>
      </c>
      <c r="E2963" s="1186">
        <v>7</v>
      </c>
      <c r="F2963" s="1186">
        <v>149200</v>
      </c>
    </row>
    <row r="2964" spans="1:6" x14ac:dyDescent="0.2">
      <c r="A2964" s="1186" t="s">
        <v>311</v>
      </c>
      <c r="B2964" s="1186" t="s">
        <v>825</v>
      </c>
      <c r="C2964" s="1186" t="s">
        <v>116</v>
      </c>
      <c r="D2964" s="1186" t="s">
        <v>29</v>
      </c>
      <c r="E2964" s="1186">
        <v>19</v>
      </c>
      <c r="F2964" s="1186">
        <v>148710</v>
      </c>
    </row>
    <row r="2965" spans="1:6" x14ac:dyDescent="0.2">
      <c r="A2965" s="1186" t="s">
        <v>311</v>
      </c>
      <c r="B2965" s="1186" t="s">
        <v>825</v>
      </c>
      <c r="C2965" s="1186" t="s">
        <v>116</v>
      </c>
      <c r="D2965" s="1186" t="s">
        <v>30</v>
      </c>
      <c r="E2965" s="1186">
        <v>13</v>
      </c>
      <c r="F2965" s="1186">
        <v>121940</v>
      </c>
    </row>
    <row r="2966" spans="1:6" x14ac:dyDescent="0.2">
      <c r="A2966" s="1186" t="s">
        <v>311</v>
      </c>
      <c r="B2966" s="1186" t="s">
        <v>825</v>
      </c>
      <c r="C2966" s="1186" t="s">
        <v>116</v>
      </c>
      <c r="D2966" s="1186" t="s">
        <v>31</v>
      </c>
      <c r="E2966" s="1186">
        <v>33</v>
      </c>
      <c r="F2966" s="1186">
        <v>108130</v>
      </c>
    </row>
    <row r="2967" spans="1:6" x14ac:dyDescent="0.2">
      <c r="A2967" s="1186" t="s">
        <v>311</v>
      </c>
      <c r="B2967" s="1186" t="s">
        <v>825</v>
      </c>
      <c r="C2967" s="1186" t="s">
        <v>116</v>
      </c>
      <c r="D2967" s="1186" t="s">
        <v>32</v>
      </c>
      <c r="E2967" s="1186">
        <v>8</v>
      </c>
      <c r="F2967" s="1186">
        <v>104840</v>
      </c>
    </row>
    <row r="2968" spans="1:6" x14ac:dyDescent="0.2">
      <c r="A2968" s="1186" t="s">
        <v>311</v>
      </c>
      <c r="B2968" s="1186" t="s">
        <v>825</v>
      </c>
      <c r="C2968" s="1186" t="s">
        <v>116</v>
      </c>
      <c r="D2968" s="1186" t="s">
        <v>33</v>
      </c>
      <c r="E2968" s="1186">
        <v>6</v>
      </c>
      <c r="F2968" s="1186">
        <v>94760</v>
      </c>
    </row>
    <row r="2969" spans="1:6" x14ac:dyDescent="0.2">
      <c r="A2969" s="1186" t="s">
        <v>311</v>
      </c>
      <c r="B2969" s="1186" t="s">
        <v>825</v>
      </c>
      <c r="C2969" s="1186" t="s">
        <v>116</v>
      </c>
      <c r="D2969" s="1186" t="s">
        <v>34</v>
      </c>
      <c r="E2969" s="1186">
        <v>19</v>
      </c>
      <c r="F2969" s="1186">
        <v>160130</v>
      </c>
    </row>
    <row r="2970" spans="1:6" x14ac:dyDescent="0.2">
      <c r="A2970" s="1186" t="s">
        <v>311</v>
      </c>
      <c r="B2970" s="1186" t="s">
        <v>825</v>
      </c>
      <c r="C2970" s="1186" t="s">
        <v>116</v>
      </c>
      <c r="D2970" s="1186" t="s">
        <v>35</v>
      </c>
      <c r="E2970" s="1186">
        <v>22</v>
      </c>
      <c r="F2970" s="1186">
        <v>371410</v>
      </c>
    </row>
    <row r="2971" spans="1:6" x14ac:dyDescent="0.2">
      <c r="A2971" s="1186" t="s">
        <v>311</v>
      </c>
      <c r="B2971" s="1186" t="s">
        <v>825</v>
      </c>
      <c r="C2971" s="1186" t="s">
        <v>116</v>
      </c>
      <c r="D2971" s="1186" t="s">
        <v>36</v>
      </c>
      <c r="E2971" s="1186">
        <v>183</v>
      </c>
      <c r="F2971" s="1186">
        <v>621020</v>
      </c>
    </row>
    <row r="2972" spans="1:6" x14ac:dyDescent="0.2">
      <c r="A2972" s="1186" t="s">
        <v>311</v>
      </c>
      <c r="B2972" s="1186" t="s">
        <v>825</v>
      </c>
      <c r="C2972" s="1186" t="s">
        <v>116</v>
      </c>
      <c r="D2972" s="1186" t="s">
        <v>37</v>
      </c>
      <c r="E2972" s="1186">
        <v>5</v>
      </c>
      <c r="F2972" s="1186">
        <v>235180</v>
      </c>
    </row>
    <row r="2973" spans="1:6" x14ac:dyDescent="0.2">
      <c r="A2973" s="1186" t="s">
        <v>311</v>
      </c>
      <c r="B2973" s="1186" t="s">
        <v>825</v>
      </c>
      <c r="C2973" s="1186" t="s">
        <v>116</v>
      </c>
      <c r="D2973" s="1186" t="s">
        <v>38</v>
      </c>
      <c r="E2973" s="1186">
        <v>26</v>
      </c>
      <c r="F2973" s="1186">
        <v>78760</v>
      </c>
    </row>
    <row r="2974" spans="1:6" x14ac:dyDescent="0.2">
      <c r="A2974" s="1186" t="s">
        <v>311</v>
      </c>
      <c r="B2974" s="1186" t="s">
        <v>825</v>
      </c>
      <c r="C2974" s="1186" t="s">
        <v>116</v>
      </c>
      <c r="D2974" s="1186" t="s">
        <v>39</v>
      </c>
      <c r="E2974" s="1186">
        <v>23</v>
      </c>
      <c r="F2974" s="1186">
        <v>90090</v>
      </c>
    </row>
    <row r="2975" spans="1:6" x14ac:dyDescent="0.2">
      <c r="A2975" s="1186" t="s">
        <v>311</v>
      </c>
      <c r="B2975" s="1186" t="s">
        <v>825</v>
      </c>
      <c r="C2975" s="1186" t="s">
        <v>116</v>
      </c>
      <c r="D2975" s="1186" t="s">
        <v>40</v>
      </c>
      <c r="E2975" s="1186">
        <v>8</v>
      </c>
      <c r="F2975" s="1186">
        <v>95780</v>
      </c>
    </row>
    <row r="2976" spans="1:6" x14ac:dyDescent="0.2">
      <c r="A2976" s="1186" t="s">
        <v>311</v>
      </c>
      <c r="B2976" s="1186" t="s">
        <v>825</v>
      </c>
      <c r="C2976" s="1186" t="s">
        <v>116</v>
      </c>
      <c r="D2976" s="1186" t="s">
        <v>295</v>
      </c>
      <c r="E2976" s="1186">
        <v>1</v>
      </c>
      <c r="F2976" s="1186">
        <v>26950</v>
      </c>
    </row>
    <row r="2977" spans="1:6" x14ac:dyDescent="0.2">
      <c r="A2977" s="1186" t="s">
        <v>311</v>
      </c>
      <c r="B2977" s="1186" t="s">
        <v>825</v>
      </c>
      <c r="C2977" s="1186" t="s">
        <v>116</v>
      </c>
      <c r="D2977" s="1186" t="s">
        <v>41</v>
      </c>
      <c r="E2977" s="1186">
        <v>15</v>
      </c>
      <c r="F2977" s="1186">
        <v>135790</v>
      </c>
    </row>
    <row r="2978" spans="1:6" x14ac:dyDescent="0.2">
      <c r="A2978" s="1186" t="s">
        <v>311</v>
      </c>
      <c r="B2978" s="1186" t="s">
        <v>825</v>
      </c>
      <c r="C2978" s="1186" t="s">
        <v>116</v>
      </c>
      <c r="D2978" s="1186" t="s">
        <v>42</v>
      </c>
      <c r="E2978" s="1186">
        <v>97</v>
      </c>
      <c r="F2978" s="1186">
        <v>339960</v>
      </c>
    </row>
    <row r="2979" spans="1:6" x14ac:dyDescent="0.2">
      <c r="A2979" s="1186" t="s">
        <v>311</v>
      </c>
      <c r="B2979" s="1186" t="s">
        <v>825</v>
      </c>
      <c r="C2979" s="1186" t="s">
        <v>116</v>
      </c>
      <c r="D2979" s="1186" t="s">
        <v>44</v>
      </c>
      <c r="E2979" s="1186">
        <v>3</v>
      </c>
      <c r="F2979" s="1186">
        <v>151100</v>
      </c>
    </row>
    <row r="2980" spans="1:6" x14ac:dyDescent="0.2">
      <c r="A2980" s="1186" t="s">
        <v>311</v>
      </c>
      <c r="B2980" s="1186" t="s">
        <v>825</v>
      </c>
      <c r="C2980" s="1186" t="s">
        <v>116</v>
      </c>
      <c r="D2980" s="1186" t="s">
        <v>45</v>
      </c>
      <c r="E2980" s="1186">
        <v>36</v>
      </c>
      <c r="F2980" s="1186">
        <v>176830</v>
      </c>
    </row>
    <row r="2981" spans="1:6" x14ac:dyDescent="0.2">
      <c r="A2981" s="1186" t="s">
        <v>311</v>
      </c>
      <c r="B2981" s="1186" t="s">
        <v>825</v>
      </c>
      <c r="C2981" s="1186" t="s">
        <v>116</v>
      </c>
      <c r="D2981" s="1186" t="s">
        <v>46</v>
      </c>
      <c r="E2981" s="1186">
        <v>3</v>
      </c>
      <c r="F2981" s="1186">
        <v>115020</v>
      </c>
    </row>
    <row r="2982" spans="1:6" x14ac:dyDescent="0.2">
      <c r="A2982" s="1186" t="s">
        <v>311</v>
      </c>
      <c r="B2982" s="1186" t="s">
        <v>825</v>
      </c>
      <c r="C2982" s="1186" t="s">
        <v>116</v>
      </c>
      <c r="D2982" s="1186" t="s">
        <v>48</v>
      </c>
      <c r="E2982" s="1186">
        <v>12</v>
      </c>
      <c r="F2982" s="1186">
        <v>112680</v>
      </c>
    </row>
    <row r="2983" spans="1:6" x14ac:dyDescent="0.2">
      <c r="A2983" s="1186" t="s">
        <v>311</v>
      </c>
      <c r="B2983" s="1186" t="s">
        <v>825</v>
      </c>
      <c r="C2983" s="1186" t="s">
        <v>116</v>
      </c>
      <c r="D2983" s="1186" t="s">
        <v>49</v>
      </c>
      <c r="E2983" s="1186">
        <v>75</v>
      </c>
      <c r="F2983" s="1186">
        <v>318170</v>
      </c>
    </row>
    <row r="2984" spans="1:6" x14ac:dyDescent="0.2">
      <c r="A2984" s="1186" t="s">
        <v>311</v>
      </c>
      <c r="B2984" s="1186" t="s">
        <v>825</v>
      </c>
      <c r="C2984" s="1186" t="s">
        <v>116</v>
      </c>
      <c r="D2984" s="1186" t="s">
        <v>50</v>
      </c>
      <c r="E2984" s="1186">
        <v>8</v>
      </c>
      <c r="F2984" s="1186">
        <v>94000</v>
      </c>
    </row>
    <row r="2985" spans="1:6" x14ac:dyDescent="0.2">
      <c r="A2985" s="1186" t="s">
        <v>311</v>
      </c>
      <c r="B2985" s="1186" t="s">
        <v>825</v>
      </c>
      <c r="C2985" s="1186" t="s">
        <v>116</v>
      </c>
      <c r="D2985" s="1186" t="s">
        <v>51</v>
      </c>
      <c r="E2985" s="1186">
        <v>33</v>
      </c>
      <c r="F2985" s="1186">
        <v>89610</v>
      </c>
    </row>
    <row r="2986" spans="1:6" x14ac:dyDescent="0.2">
      <c r="A2986" s="1186" t="s">
        <v>311</v>
      </c>
      <c r="B2986" s="1186" t="s">
        <v>825</v>
      </c>
      <c r="C2986" s="1186" t="s">
        <v>116</v>
      </c>
      <c r="D2986" s="1186" t="s">
        <v>52</v>
      </c>
      <c r="E2986" s="1186">
        <v>31</v>
      </c>
      <c r="F2986" s="1186">
        <v>181310</v>
      </c>
    </row>
    <row r="2987" spans="1:6" x14ac:dyDescent="0.2">
      <c r="A2987" s="1186" t="s">
        <v>311</v>
      </c>
      <c r="B2987" s="1186" t="s">
        <v>826</v>
      </c>
      <c r="C2987" s="1186" t="s">
        <v>61</v>
      </c>
      <c r="D2987" s="1186" t="s">
        <v>23</v>
      </c>
      <c r="E2987" s="1186">
        <v>7</v>
      </c>
      <c r="F2987" s="1186">
        <v>228800</v>
      </c>
    </row>
    <row r="2988" spans="1:6" x14ac:dyDescent="0.2">
      <c r="A2988" s="1186" t="s">
        <v>311</v>
      </c>
      <c r="B2988" s="1186" t="s">
        <v>826</v>
      </c>
      <c r="C2988" s="1186" t="s">
        <v>61</v>
      </c>
      <c r="D2988" s="1186" t="s">
        <v>24</v>
      </c>
      <c r="E2988" s="1186">
        <v>30</v>
      </c>
      <c r="F2988" s="1186">
        <v>261800</v>
      </c>
    </row>
    <row r="2989" spans="1:6" x14ac:dyDescent="0.2">
      <c r="A2989" s="1186" t="s">
        <v>311</v>
      </c>
      <c r="B2989" s="1186" t="s">
        <v>826</v>
      </c>
      <c r="C2989" s="1186" t="s">
        <v>61</v>
      </c>
      <c r="D2989" s="1186" t="s">
        <v>25</v>
      </c>
      <c r="E2989" s="1186">
        <v>10</v>
      </c>
      <c r="F2989" s="1186">
        <v>116280</v>
      </c>
    </row>
    <row r="2990" spans="1:6" x14ac:dyDescent="0.2">
      <c r="A2990" s="1186" t="s">
        <v>311</v>
      </c>
      <c r="B2990" s="1186" t="s">
        <v>826</v>
      </c>
      <c r="C2990" s="1186" t="s">
        <v>61</v>
      </c>
      <c r="D2990" s="1186" t="s">
        <v>26</v>
      </c>
      <c r="E2990" s="1186">
        <v>13</v>
      </c>
      <c r="F2990" s="1186">
        <v>86810</v>
      </c>
    </row>
    <row r="2991" spans="1:6" x14ac:dyDescent="0.2">
      <c r="A2991" s="1186" t="s">
        <v>311</v>
      </c>
      <c r="B2991" s="1186" t="s">
        <v>826</v>
      </c>
      <c r="C2991" s="1186" t="s">
        <v>61</v>
      </c>
      <c r="D2991" s="1186" t="s">
        <v>619</v>
      </c>
      <c r="E2991" s="1186">
        <v>29</v>
      </c>
      <c r="F2991" s="1186">
        <v>513210</v>
      </c>
    </row>
    <row r="2992" spans="1:6" x14ac:dyDescent="0.2">
      <c r="A2992" s="1186" t="s">
        <v>311</v>
      </c>
      <c r="B2992" s="1186" t="s">
        <v>826</v>
      </c>
      <c r="C2992" s="1186" t="s">
        <v>61</v>
      </c>
      <c r="D2992" s="1186" t="s">
        <v>27</v>
      </c>
      <c r="E2992" s="1186">
        <v>1</v>
      </c>
      <c r="F2992" s="1186">
        <v>51450</v>
      </c>
    </row>
    <row r="2993" spans="1:6" x14ac:dyDescent="0.2">
      <c r="A2993" s="1186" t="s">
        <v>311</v>
      </c>
      <c r="B2993" s="1186" t="s">
        <v>826</v>
      </c>
      <c r="C2993" s="1186" t="s">
        <v>61</v>
      </c>
      <c r="D2993" s="1186" t="s">
        <v>28</v>
      </c>
      <c r="E2993" s="1186">
        <v>15</v>
      </c>
      <c r="F2993" s="1186">
        <v>149200</v>
      </c>
    </row>
    <row r="2994" spans="1:6" x14ac:dyDescent="0.2">
      <c r="A2994" s="1186" t="s">
        <v>311</v>
      </c>
      <c r="B2994" s="1186" t="s">
        <v>826</v>
      </c>
      <c r="C2994" s="1186" t="s">
        <v>61</v>
      </c>
      <c r="D2994" s="1186" t="s">
        <v>29</v>
      </c>
      <c r="E2994" s="1186">
        <v>5</v>
      </c>
      <c r="F2994" s="1186">
        <v>148710</v>
      </c>
    </row>
    <row r="2995" spans="1:6" x14ac:dyDescent="0.2">
      <c r="A2995" s="1186" t="s">
        <v>311</v>
      </c>
      <c r="B2995" s="1186" t="s">
        <v>826</v>
      </c>
      <c r="C2995" s="1186" t="s">
        <v>61</v>
      </c>
      <c r="D2995" s="1186" t="s">
        <v>30</v>
      </c>
      <c r="E2995" s="1186">
        <v>4</v>
      </c>
      <c r="F2995" s="1186">
        <v>121940</v>
      </c>
    </row>
    <row r="2996" spans="1:6" x14ac:dyDescent="0.2">
      <c r="A2996" s="1186" t="s">
        <v>311</v>
      </c>
      <c r="B2996" s="1186" t="s">
        <v>826</v>
      </c>
      <c r="C2996" s="1186" t="s">
        <v>61</v>
      </c>
      <c r="D2996" s="1186" t="s">
        <v>31</v>
      </c>
      <c r="E2996" s="1186">
        <v>1</v>
      </c>
      <c r="F2996" s="1186">
        <v>108130</v>
      </c>
    </row>
    <row r="2997" spans="1:6" x14ac:dyDescent="0.2">
      <c r="A2997" s="1186" t="s">
        <v>311</v>
      </c>
      <c r="B2997" s="1186" t="s">
        <v>826</v>
      </c>
      <c r="C2997" s="1186" t="s">
        <v>61</v>
      </c>
      <c r="D2997" s="1186" t="s">
        <v>32</v>
      </c>
      <c r="E2997" s="1186">
        <v>15</v>
      </c>
      <c r="F2997" s="1186">
        <v>104840</v>
      </c>
    </row>
    <row r="2998" spans="1:6" x14ac:dyDescent="0.2">
      <c r="A2998" s="1186" t="s">
        <v>311</v>
      </c>
      <c r="B2998" s="1186" t="s">
        <v>826</v>
      </c>
      <c r="C2998" s="1186" t="s">
        <v>61</v>
      </c>
      <c r="D2998" s="1186" t="s">
        <v>33</v>
      </c>
      <c r="E2998" s="1186">
        <v>2</v>
      </c>
      <c r="F2998" s="1186">
        <v>94760</v>
      </c>
    </row>
    <row r="2999" spans="1:6" x14ac:dyDescent="0.2">
      <c r="A2999" s="1186" t="s">
        <v>311</v>
      </c>
      <c r="B2999" s="1186" t="s">
        <v>826</v>
      </c>
      <c r="C2999" s="1186" t="s">
        <v>61</v>
      </c>
      <c r="D2999" s="1186" t="s">
        <v>34</v>
      </c>
      <c r="E2999" s="1186">
        <v>14</v>
      </c>
      <c r="F2999" s="1186">
        <v>160130</v>
      </c>
    </row>
    <row r="3000" spans="1:6" x14ac:dyDescent="0.2">
      <c r="A3000" s="1186" t="s">
        <v>311</v>
      </c>
      <c r="B3000" s="1186" t="s">
        <v>826</v>
      </c>
      <c r="C3000" s="1186" t="s">
        <v>61</v>
      </c>
      <c r="D3000" s="1186" t="s">
        <v>35</v>
      </c>
      <c r="E3000" s="1186">
        <v>50</v>
      </c>
      <c r="F3000" s="1186">
        <v>371410</v>
      </c>
    </row>
    <row r="3001" spans="1:6" x14ac:dyDescent="0.2">
      <c r="A3001" s="1186" t="s">
        <v>311</v>
      </c>
      <c r="B3001" s="1186" t="s">
        <v>826</v>
      </c>
      <c r="C3001" s="1186" t="s">
        <v>61</v>
      </c>
      <c r="D3001" s="1186" t="s">
        <v>36</v>
      </c>
      <c r="E3001" s="1186">
        <v>27</v>
      </c>
      <c r="F3001" s="1186">
        <v>621020</v>
      </c>
    </row>
    <row r="3002" spans="1:6" x14ac:dyDescent="0.2">
      <c r="A3002" s="1186" t="s">
        <v>311</v>
      </c>
      <c r="B3002" s="1186" t="s">
        <v>826</v>
      </c>
      <c r="C3002" s="1186" t="s">
        <v>61</v>
      </c>
      <c r="D3002" s="1186" t="s">
        <v>37</v>
      </c>
      <c r="E3002" s="1186">
        <v>44</v>
      </c>
      <c r="F3002" s="1186">
        <v>235180</v>
      </c>
    </row>
    <row r="3003" spans="1:6" x14ac:dyDescent="0.2">
      <c r="A3003" s="1186" t="s">
        <v>311</v>
      </c>
      <c r="B3003" s="1186" t="s">
        <v>826</v>
      </c>
      <c r="C3003" s="1186" t="s">
        <v>61</v>
      </c>
      <c r="D3003" s="1186" t="s">
        <v>38</v>
      </c>
      <c r="E3003" s="1186">
        <v>4</v>
      </c>
      <c r="F3003" s="1186">
        <v>78760</v>
      </c>
    </row>
    <row r="3004" spans="1:6" x14ac:dyDescent="0.2">
      <c r="A3004" s="1186" t="s">
        <v>311</v>
      </c>
      <c r="B3004" s="1186" t="s">
        <v>826</v>
      </c>
      <c r="C3004" s="1186" t="s">
        <v>61</v>
      </c>
      <c r="D3004" s="1186" t="s">
        <v>39</v>
      </c>
      <c r="E3004" s="1186">
        <v>14</v>
      </c>
      <c r="F3004" s="1186">
        <v>90090</v>
      </c>
    </row>
    <row r="3005" spans="1:6" x14ac:dyDescent="0.2">
      <c r="A3005" s="1186" t="s">
        <v>311</v>
      </c>
      <c r="B3005" s="1186" t="s">
        <v>826</v>
      </c>
      <c r="C3005" s="1186" t="s">
        <v>61</v>
      </c>
      <c r="D3005" s="1186" t="s">
        <v>40</v>
      </c>
      <c r="E3005" s="1186">
        <v>10</v>
      </c>
      <c r="F3005" s="1186">
        <v>95780</v>
      </c>
    </row>
    <row r="3006" spans="1:6" x14ac:dyDescent="0.2">
      <c r="A3006" s="1186" t="s">
        <v>311</v>
      </c>
      <c r="B3006" s="1186" t="s">
        <v>826</v>
      </c>
      <c r="C3006" s="1186" t="s">
        <v>61</v>
      </c>
      <c r="D3006" s="1186" t="s">
        <v>295</v>
      </c>
      <c r="E3006" s="1186">
        <v>5</v>
      </c>
      <c r="F3006" s="1186">
        <v>26950</v>
      </c>
    </row>
    <row r="3007" spans="1:6" x14ac:dyDescent="0.2">
      <c r="A3007" s="1186" t="s">
        <v>311</v>
      </c>
      <c r="B3007" s="1186" t="s">
        <v>826</v>
      </c>
      <c r="C3007" s="1186" t="s">
        <v>61</v>
      </c>
      <c r="D3007" s="1186" t="s">
        <v>41</v>
      </c>
      <c r="E3007" s="1186">
        <v>6</v>
      </c>
      <c r="F3007" s="1186">
        <v>135790</v>
      </c>
    </row>
    <row r="3008" spans="1:6" x14ac:dyDescent="0.2">
      <c r="A3008" s="1186" t="s">
        <v>311</v>
      </c>
      <c r="B3008" s="1186" t="s">
        <v>826</v>
      </c>
      <c r="C3008" s="1186" t="s">
        <v>61</v>
      </c>
      <c r="D3008" s="1186" t="s">
        <v>42</v>
      </c>
      <c r="E3008" s="1186">
        <v>10</v>
      </c>
      <c r="F3008" s="1186">
        <v>339960</v>
      </c>
    </row>
    <row r="3009" spans="1:6" x14ac:dyDescent="0.2">
      <c r="A3009" s="1186" t="s">
        <v>311</v>
      </c>
      <c r="B3009" s="1186" t="s">
        <v>826</v>
      </c>
      <c r="C3009" s="1186" t="s">
        <v>61</v>
      </c>
      <c r="D3009" s="1186" t="s">
        <v>43</v>
      </c>
      <c r="E3009" s="1186">
        <v>1</v>
      </c>
      <c r="F3009" s="1186">
        <v>22000</v>
      </c>
    </row>
    <row r="3010" spans="1:6" x14ac:dyDescent="0.2">
      <c r="A3010" s="1186" t="s">
        <v>311</v>
      </c>
      <c r="B3010" s="1186" t="s">
        <v>826</v>
      </c>
      <c r="C3010" s="1186" t="s">
        <v>61</v>
      </c>
      <c r="D3010" s="1186" t="s">
        <v>44</v>
      </c>
      <c r="E3010" s="1186">
        <v>10</v>
      </c>
      <c r="F3010" s="1186">
        <v>151100</v>
      </c>
    </row>
    <row r="3011" spans="1:6" x14ac:dyDescent="0.2">
      <c r="A3011" s="1186" t="s">
        <v>311</v>
      </c>
      <c r="B3011" s="1186" t="s">
        <v>826</v>
      </c>
      <c r="C3011" s="1186" t="s">
        <v>61</v>
      </c>
      <c r="D3011" s="1186" t="s">
        <v>45</v>
      </c>
      <c r="E3011" s="1186">
        <v>10</v>
      </c>
      <c r="F3011" s="1186">
        <v>176830</v>
      </c>
    </row>
    <row r="3012" spans="1:6" x14ac:dyDescent="0.2">
      <c r="A3012" s="1186" t="s">
        <v>311</v>
      </c>
      <c r="B3012" s="1186" t="s">
        <v>826</v>
      </c>
      <c r="C3012" s="1186" t="s">
        <v>61</v>
      </c>
      <c r="D3012" s="1186" t="s">
        <v>46</v>
      </c>
      <c r="E3012" s="1186">
        <v>8</v>
      </c>
      <c r="F3012" s="1186">
        <v>115020</v>
      </c>
    </row>
    <row r="3013" spans="1:6" x14ac:dyDescent="0.2">
      <c r="A3013" s="1186" t="s">
        <v>311</v>
      </c>
      <c r="B3013" s="1186" t="s">
        <v>826</v>
      </c>
      <c r="C3013" s="1186" t="s">
        <v>61</v>
      </c>
      <c r="D3013" s="1186" t="s">
        <v>47</v>
      </c>
      <c r="E3013" s="1186">
        <v>8</v>
      </c>
      <c r="F3013" s="1186">
        <v>23080</v>
      </c>
    </row>
    <row r="3014" spans="1:6" x14ac:dyDescent="0.2">
      <c r="A3014" s="1186" t="s">
        <v>311</v>
      </c>
      <c r="B3014" s="1186" t="s">
        <v>826</v>
      </c>
      <c r="C3014" s="1186" t="s">
        <v>61</v>
      </c>
      <c r="D3014" s="1186" t="s">
        <v>48</v>
      </c>
      <c r="E3014" s="1186">
        <v>7</v>
      </c>
      <c r="F3014" s="1186">
        <v>112680</v>
      </c>
    </row>
    <row r="3015" spans="1:6" x14ac:dyDescent="0.2">
      <c r="A3015" s="1186" t="s">
        <v>311</v>
      </c>
      <c r="B3015" s="1186" t="s">
        <v>826</v>
      </c>
      <c r="C3015" s="1186" t="s">
        <v>61</v>
      </c>
      <c r="D3015" s="1186" t="s">
        <v>49</v>
      </c>
      <c r="E3015" s="1186">
        <v>13</v>
      </c>
      <c r="F3015" s="1186">
        <v>318170</v>
      </c>
    </row>
    <row r="3016" spans="1:6" x14ac:dyDescent="0.2">
      <c r="A3016" s="1186" t="s">
        <v>311</v>
      </c>
      <c r="B3016" s="1186" t="s">
        <v>826</v>
      </c>
      <c r="C3016" s="1186" t="s">
        <v>61</v>
      </c>
      <c r="D3016" s="1186" t="s">
        <v>50</v>
      </c>
      <c r="E3016" s="1186">
        <v>8</v>
      </c>
      <c r="F3016" s="1186">
        <v>94000</v>
      </c>
    </row>
    <row r="3017" spans="1:6" x14ac:dyDescent="0.2">
      <c r="A3017" s="1186" t="s">
        <v>311</v>
      </c>
      <c r="B3017" s="1186" t="s">
        <v>826</v>
      </c>
      <c r="C3017" s="1186" t="s">
        <v>61</v>
      </c>
      <c r="D3017" s="1186" t="s">
        <v>51</v>
      </c>
      <c r="E3017" s="1186">
        <v>4</v>
      </c>
      <c r="F3017" s="1186">
        <v>89610</v>
      </c>
    </row>
    <row r="3018" spans="1:6" x14ac:dyDescent="0.2">
      <c r="A3018" s="1186" t="s">
        <v>311</v>
      </c>
      <c r="B3018" s="1186" t="s">
        <v>826</v>
      </c>
      <c r="C3018" s="1186" t="s">
        <v>61</v>
      </c>
      <c r="D3018" s="1186" t="s">
        <v>52</v>
      </c>
      <c r="E3018" s="1186">
        <v>13</v>
      </c>
      <c r="F3018" s="1186">
        <v>181310</v>
      </c>
    </row>
    <row r="3019" spans="1:6" x14ac:dyDescent="0.2">
      <c r="A3019" s="1186" t="s">
        <v>311</v>
      </c>
      <c r="B3019" s="1186" t="s">
        <v>826</v>
      </c>
      <c r="C3019" s="1186" t="s">
        <v>116</v>
      </c>
      <c r="D3019" s="1186" t="s">
        <v>23</v>
      </c>
      <c r="E3019" s="1186">
        <v>9</v>
      </c>
      <c r="F3019" s="1186">
        <v>228800</v>
      </c>
    </row>
    <row r="3020" spans="1:6" x14ac:dyDescent="0.2">
      <c r="A3020" s="1186" t="s">
        <v>311</v>
      </c>
      <c r="B3020" s="1186" t="s">
        <v>826</v>
      </c>
      <c r="C3020" s="1186" t="s">
        <v>116</v>
      </c>
      <c r="D3020" s="1186" t="s">
        <v>24</v>
      </c>
      <c r="E3020" s="1186">
        <v>11</v>
      </c>
      <c r="F3020" s="1186">
        <v>261800</v>
      </c>
    </row>
    <row r="3021" spans="1:6" x14ac:dyDescent="0.2">
      <c r="A3021" s="1186" t="s">
        <v>311</v>
      </c>
      <c r="B3021" s="1186" t="s">
        <v>826</v>
      </c>
      <c r="C3021" s="1186" t="s">
        <v>116</v>
      </c>
      <c r="D3021" s="1186" t="s">
        <v>25</v>
      </c>
      <c r="E3021" s="1186">
        <v>8</v>
      </c>
      <c r="F3021" s="1186">
        <v>116280</v>
      </c>
    </row>
    <row r="3022" spans="1:6" x14ac:dyDescent="0.2">
      <c r="A3022" s="1186" t="s">
        <v>311</v>
      </c>
      <c r="B3022" s="1186" t="s">
        <v>826</v>
      </c>
      <c r="C3022" s="1186" t="s">
        <v>116</v>
      </c>
      <c r="D3022" s="1186" t="s">
        <v>26</v>
      </c>
      <c r="E3022" s="1186">
        <v>3</v>
      </c>
      <c r="F3022" s="1186">
        <v>86810</v>
      </c>
    </row>
    <row r="3023" spans="1:6" x14ac:dyDescent="0.2">
      <c r="A3023" s="1186" t="s">
        <v>311</v>
      </c>
      <c r="B3023" s="1186" t="s">
        <v>826</v>
      </c>
      <c r="C3023" s="1186" t="s">
        <v>116</v>
      </c>
      <c r="D3023" s="1186" t="s">
        <v>619</v>
      </c>
      <c r="E3023" s="1186">
        <v>66</v>
      </c>
      <c r="F3023" s="1186">
        <v>513210</v>
      </c>
    </row>
    <row r="3024" spans="1:6" x14ac:dyDescent="0.2">
      <c r="A3024" s="1186" t="s">
        <v>311</v>
      </c>
      <c r="B3024" s="1186" t="s">
        <v>826</v>
      </c>
      <c r="C3024" s="1186" t="s">
        <v>116</v>
      </c>
      <c r="D3024" s="1186" t="s">
        <v>27</v>
      </c>
      <c r="E3024" s="1186">
        <v>10</v>
      </c>
      <c r="F3024" s="1186">
        <v>51450</v>
      </c>
    </row>
    <row r="3025" spans="1:6" x14ac:dyDescent="0.2">
      <c r="A3025" s="1186" t="s">
        <v>311</v>
      </c>
      <c r="B3025" s="1186" t="s">
        <v>826</v>
      </c>
      <c r="C3025" s="1186" t="s">
        <v>116</v>
      </c>
      <c r="D3025" s="1186" t="s">
        <v>28</v>
      </c>
      <c r="E3025" s="1186">
        <v>8</v>
      </c>
      <c r="F3025" s="1186">
        <v>149200</v>
      </c>
    </row>
    <row r="3026" spans="1:6" x14ac:dyDescent="0.2">
      <c r="A3026" s="1186" t="s">
        <v>311</v>
      </c>
      <c r="B3026" s="1186" t="s">
        <v>826</v>
      </c>
      <c r="C3026" s="1186" t="s">
        <v>116</v>
      </c>
      <c r="D3026" s="1186" t="s">
        <v>29</v>
      </c>
      <c r="E3026" s="1186">
        <v>19</v>
      </c>
      <c r="F3026" s="1186">
        <v>148710</v>
      </c>
    </row>
    <row r="3027" spans="1:6" x14ac:dyDescent="0.2">
      <c r="A3027" s="1186" t="s">
        <v>311</v>
      </c>
      <c r="B3027" s="1186" t="s">
        <v>826</v>
      </c>
      <c r="C3027" s="1186" t="s">
        <v>116</v>
      </c>
      <c r="D3027" s="1186" t="s">
        <v>30</v>
      </c>
      <c r="E3027" s="1186">
        <v>7</v>
      </c>
      <c r="F3027" s="1186">
        <v>121940</v>
      </c>
    </row>
    <row r="3028" spans="1:6" x14ac:dyDescent="0.2">
      <c r="A3028" s="1186" t="s">
        <v>311</v>
      </c>
      <c r="B3028" s="1186" t="s">
        <v>826</v>
      </c>
      <c r="C3028" s="1186" t="s">
        <v>116</v>
      </c>
      <c r="D3028" s="1186" t="s">
        <v>31</v>
      </c>
      <c r="E3028" s="1186">
        <v>9</v>
      </c>
      <c r="F3028" s="1186">
        <v>108130</v>
      </c>
    </row>
    <row r="3029" spans="1:6" x14ac:dyDescent="0.2">
      <c r="A3029" s="1186" t="s">
        <v>311</v>
      </c>
      <c r="B3029" s="1186" t="s">
        <v>826</v>
      </c>
      <c r="C3029" s="1186" t="s">
        <v>116</v>
      </c>
      <c r="D3029" s="1186" t="s">
        <v>32</v>
      </c>
      <c r="E3029" s="1186">
        <v>30</v>
      </c>
      <c r="F3029" s="1186">
        <v>104840</v>
      </c>
    </row>
    <row r="3030" spans="1:6" x14ac:dyDescent="0.2">
      <c r="A3030" s="1186" t="s">
        <v>311</v>
      </c>
      <c r="B3030" s="1186" t="s">
        <v>826</v>
      </c>
      <c r="C3030" s="1186" t="s">
        <v>116</v>
      </c>
      <c r="D3030" s="1186" t="s">
        <v>33</v>
      </c>
      <c r="E3030" s="1186">
        <v>2</v>
      </c>
      <c r="F3030" s="1186">
        <v>94760</v>
      </c>
    </row>
    <row r="3031" spans="1:6" x14ac:dyDescent="0.2">
      <c r="A3031" s="1186" t="s">
        <v>311</v>
      </c>
      <c r="B3031" s="1186" t="s">
        <v>826</v>
      </c>
      <c r="C3031" s="1186" t="s">
        <v>116</v>
      </c>
      <c r="D3031" s="1186" t="s">
        <v>34</v>
      </c>
      <c r="E3031" s="1186">
        <v>59</v>
      </c>
      <c r="F3031" s="1186">
        <v>160130</v>
      </c>
    </row>
    <row r="3032" spans="1:6" x14ac:dyDescent="0.2">
      <c r="A3032" s="1186" t="s">
        <v>311</v>
      </c>
      <c r="B3032" s="1186" t="s">
        <v>826</v>
      </c>
      <c r="C3032" s="1186" t="s">
        <v>116</v>
      </c>
      <c r="D3032" s="1186" t="s">
        <v>35</v>
      </c>
      <c r="E3032" s="1186">
        <v>60</v>
      </c>
      <c r="F3032" s="1186">
        <v>371410</v>
      </c>
    </row>
    <row r="3033" spans="1:6" x14ac:dyDescent="0.2">
      <c r="A3033" s="1186" t="s">
        <v>311</v>
      </c>
      <c r="B3033" s="1186" t="s">
        <v>826</v>
      </c>
      <c r="C3033" s="1186" t="s">
        <v>116</v>
      </c>
      <c r="D3033" s="1186" t="s">
        <v>36</v>
      </c>
      <c r="E3033" s="1186">
        <v>53</v>
      </c>
      <c r="F3033" s="1186">
        <v>621020</v>
      </c>
    </row>
    <row r="3034" spans="1:6" x14ac:dyDescent="0.2">
      <c r="A3034" s="1186" t="s">
        <v>311</v>
      </c>
      <c r="B3034" s="1186" t="s">
        <v>826</v>
      </c>
      <c r="C3034" s="1186" t="s">
        <v>116</v>
      </c>
      <c r="D3034" s="1186" t="s">
        <v>37</v>
      </c>
      <c r="E3034" s="1186">
        <v>3</v>
      </c>
      <c r="F3034" s="1186">
        <v>235180</v>
      </c>
    </row>
    <row r="3035" spans="1:6" x14ac:dyDescent="0.2">
      <c r="A3035" s="1186" t="s">
        <v>311</v>
      </c>
      <c r="B3035" s="1186" t="s">
        <v>826</v>
      </c>
      <c r="C3035" s="1186" t="s">
        <v>116</v>
      </c>
      <c r="D3035" s="1186" t="s">
        <v>38</v>
      </c>
      <c r="E3035" s="1186">
        <v>7</v>
      </c>
      <c r="F3035" s="1186">
        <v>78760</v>
      </c>
    </row>
    <row r="3036" spans="1:6" x14ac:dyDescent="0.2">
      <c r="A3036" s="1186" t="s">
        <v>311</v>
      </c>
      <c r="B3036" s="1186" t="s">
        <v>826</v>
      </c>
      <c r="C3036" s="1186" t="s">
        <v>116</v>
      </c>
      <c r="D3036" s="1186" t="s">
        <v>39</v>
      </c>
      <c r="E3036" s="1186">
        <v>47</v>
      </c>
      <c r="F3036" s="1186">
        <v>90090</v>
      </c>
    </row>
    <row r="3037" spans="1:6" x14ac:dyDescent="0.2">
      <c r="A3037" s="1186" t="s">
        <v>311</v>
      </c>
      <c r="B3037" s="1186" t="s">
        <v>826</v>
      </c>
      <c r="C3037" s="1186" t="s">
        <v>116</v>
      </c>
      <c r="D3037" s="1186" t="s">
        <v>40</v>
      </c>
      <c r="E3037" s="1186">
        <v>5</v>
      </c>
      <c r="F3037" s="1186">
        <v>95780</v>
      </c>
    </row>
    <row r="3038" spans="1:6" x14ac:dyDescent="0.2">
      <c r="A3038" s="1186" t="s">
        <v>311</v>
      </c>
      <c r="B3038" s="1186" t="s">
        <v>826</v>
      </c>
      <c r="C3038" s="1186" t="s">
        <v>116</v>
      </c>
      <c r="D3038" s="1186" t="s">
        <v>41</v>
      </c>
      <c r="E3038" s="1186">
        <v>11</v>
      </c>
      <c r="F3038" s="1186">
        <v>135790</v>
      </c>
    </row>
    <row r="3039" spans="1:6" x14ac:dyDescent="0.2">
      <c r="A3039" s="1186" t="s">
        <v>311</v>
      </c>
      <c r="B3039" s="1186" t="s">
        <v>826</v>
      </c>
      <c r="C3039" s="1186" t="s">
        <v>116</v>
      </c>
      <c r="D3039" s="1186" t="s">
        <v>42</v>
      </c>
      <c r="E3039" s="1186">
        <v>23</v>
      </c>
      <c r="F3039" s="1186">
        <v>339960</v>
      </c>
    </row>
    <row r="3040" spans="1:6" x14ac:dyDescent="0.2">
      <c r="A3040" s="1186" t="s">
        <v>311</v>
      </c>
      <c r="B3040" s="1186" t="s">
        <v>826</v>
      </c>
      <c r="C3040" s="1186" t="s">
        <v>116</v>
      </c>
      <c r="D3040" s="1186" t="s">
        <v>44</v>
      </c>
      <c r="E3040" s="1186">
        <v>8</v>
      </c>
      <c r="F3040" s="1186">
        <v>151100</v>
      </c>
    </row>
    <row r="3041" spans="1:6" x14ac:dyDescent="0.2">
      <c r="A3041" s="1186" t="s">
        <v>311</v>
      </c>
      <c r="B3041" s="1186" t="s">
        <v>826</v>
      </c>
      <c r="C3041" s="1186" t="s">
        <v>116</v>
      </c>
      <c r="D3041" s="1186" t="s">
        <v>45</v>
      </c>
      <c r="E3041" s="1186">
        <v>22</v>
      </c>
      <c r="F3041" s="1186">
        <v>176830</v>
      </c>
    </row>
    <row r="3042" spans="1:6" x14ac:dyDescent="0.2">
      <c r="A3042" s="1186" t="s">
        <v>311</v>
      </c>
      <c r="B3042" s="1186" t="s">
        <v>826</v>
      </c>
      <c r="C3042" s="1186" t="s">
        <v>116</v>
      </c>
      <c r="D3042" s="1186" t="s">
        <v>46</v>
      </c>
      <c r="E3042" s="1186">
        <v>38</v>
      </c>
      <c r="F3042" s="1186">
        <v>115020</v>
      </c>
    </row>
    <row r="3043" spans="1:6" x14ac:dyDescent="0.2">
      <c r="A3043" s="1186" t="s">
        <v>311</v>
      </c>
      <c r="B3043" s="1186" t="s">
        <v>826</v>
      </c>
      <c r="C3043" s="1186" t="s">
        <v>116</v>
      </c>
      <c r="D3043" s="1186" t="s">
        <v>48</v>
      </c>
      <c r="E3043" s="1186">
        <v>8</v>
      </c>
      <c r="F3043" s="1186">
        <v>112680</v>
      </c>
    </row>
    <row r="3044" spans="1:6" x14ac:dyDescent="0.2">
      <c r="A3044" s="1186" t="s">
        <v>311</v>
      </c>
      <c r="B3044" s="1186" t="s">
        <v>826</v>
      </c>
      <c r="C3044" s="1186" t="s">
        <v>116</v>
      </c>
      <c r="D3044" s="1186" t="s">
        <v>49</v>
      </c>
      <c r="E3044" s="1186">
        <v>28</v>
      </c>
      <c r="F3044" s="1186">
        <v>318170</v>
      </c>
    </row>
    <row r="3045" spans="1:6" x14ac:dyDescent="0.2">
      <c r="A3045" s="1186" t="s">
        <v>311</v>
      </c>
      <c r="B3045" s="1186" t="s">
        <v>826</v>
      </c>
      <c r="C3045" s="1186" t="s">
        <v>116</v>
      </c>
      <c r="D3045" s="1186" t="s">
        <v>50</v>
      </c>
      <c r="E3045" s="1186">
        <v>10</v>
      </c>
      <c r="F3045" s="1186">
        <v>94000</v>
      </c>
    </row>
    <row r="3046" spans="1:6" x14ac:dyDescent="0.2">
      <c r="A3046" s="1186" t="s">
        <v>311</v>
      </c>
      <c r="B3046" s="1186" t="s">
        <v>826</v>
      </c>
      <c r="C3046" s="1186" t="s">
        <v>116</v>
      </c>
      <c r="D3046" s="1186" t="s">
        <v>51</v>
      </c>
      <c r="E3046" s="1186">
        <v>7</v>
      </c>
      <c r="F3046" s="1186">
        <v>89610</v>
      </c>
    </row>
    <row r="3047" spans="1:6" x14ac:dyDescent="0.2">
      <c r="A3047" s="1186" t="s">
        <v>311</v>
      </c>
      <c r="B3047" s="1186" t="s">
        <v>826</v>
      </c>
      <c r="C3047" s="1186" t="s">
        <v>116</v>
      </c>
      <c r="D3047" s="1186" t="s">
        <v>52</v>
      </c>
      <c r="E3047" s="1186">
        <v>89</v>
      </c>
      <c r="F3047" s="1186">
        <v>181310</v>
      </c>
    </row>
    <row r="3048" spans="1:6" x14ac:dyDescent="0.2">
      <c r="A3048" s="1186" t="s">
        <v>311</v>
      </c>
      <c r="B3048" s="1186" t="s">
        <v>308</v>
      </c>
      <c r="C3048" s="1186" t="s">
        <v>61</v>
      </c>
      <c r="D3048" s="1186" t="s">
        <v>23</v>
      </c>
      <c r="E3048" s="1186">
        <v>81</v>
      </c>
      <c r="F3048" s="1186">
        <v>228800</v>
      </c>
    </row>
    <row r="3049" spans="1:6" x14ac:dyDescent="0.2">
      <c r="A3049" s="1186" t="s">
        <v>311</v>
      </c>
      <c r="B3049" s="1186" t="s">
        <v>308</v>
      </c>
      <c r="C3049" s="1186" t="s">
        <v>61</v>
      </c>
      <c r="D3049" s="1186" t="s">
        <v>24</v>
      </c>
      <c r="E3049" s="1186">
        <v>81</v>
      </c>
      <c r="F3049" s="1186">
        <v>261800</v>
      </c>
    </row>
    <row r="3050" spans="1:6" x14ac:dyDescent="0.2">
      <c r="A3050" s="1186" t="s">
        <v>311</v>
      </c>
      <c r="B3050" s="1186" t="s">
        <v>308</v>
      </c>
      <c r="C3050" s="1186" t="s">
        <v>61</v>
      </c>
      <c r="D3050" s="1186" t="s">
        <v>25</v>
      </c>
      <c r="E3050" s="1186">
        <v>67</v>
      </c>
      <c r="F3050" s="1186">
        <v>116280</v>
      </c>
    </row>
    <row r="3051" spans="1:6" x14ac:dyDescent="0.2">
      <c r="A3051" s="1186" t="s">
        <v>311</v>
      </c>
      <c r="B3051" s="1186" t="s">
        <v>308</v>
      </c>
      <c r="C3051" s="1186" t="s">
        <v>61</v>
      </c>
      <c r="D3051" s="1186" t="s">
        <v>26</v>
      </c>
      <c r="E3051" s="1186">
        <v>40</v>
      </c>
      <c r="F3051" s="1186">
        <v>86810</v>
      </c>
    </row>
    <row r="3052" spans="1:6" x14ac:dyDescent="0.2">
      <c r="A3052" s="1186" t="s">
        <v>311</v>
      </c>
      <c r="B3052" s="1186" t="s">
        <v>308</v>
      </c>
      <c r="C3052" s="1186" t="s">
        <v>61</v>
      </c>
      <c r="D3052" s="1186" t="s">
        <v>619</v>
      </c>
      <c r="E3052" s="1186">
        <v>569</v>
      </c>
      <c r="F3052" s="1186">
        <v>513210</v>
      </c>
    </row>
    <row r="3053" spans="1:6" x14ac:dyDescent="0.2">
      <c r="A3053" s="1186" t="s">
        <v>311</v>
      </c>
      <c r="B3053" s="1186" t="s">
        <v>308</v>
      </c>
      <c r="C3053" s="1186" t="s">
        <v>61</v>
      </c>
      <c r="D3053" s="1186" t="s">
        <v>27</v>
      </c>
      <c r="E3053" s="1186">
        <v>34</v>
      </c>
      <c r="F3053" s="1186">
        <v>51450</v>
      </c>
    </row>
    <row r="3054" spans="1:6" x14ac:dyDescent="0.2">
      <c r="A3054" s="1186" t="s">
        <v>311</v>
      </c>
      <c r="B3054" s="1186" t="s">
        <v>308</v>
      </c>
      <c r="C3054" s="1186" t="s">
        <v>61</v>
      </c>
      <c r="D3054" s="1186" t="s">
        <v>28</v>
      </c>
      <c r="E3054" s="1186">
        <v>79</v>
      </c>
      <c r="F3054" s="1186">
        <v>149200</v>
      </c>
    </row>
    <row r="3055" spans="1:6" x14ac:dyDescent="0.2">
      <c r="A3055" s="1186" t="s">
        <v>311</v>
      </c>
      <c r="B3055" s="1186" t="s">
        <v>308</v>
      </c>
      <c r="C3055" s="1186" t="s">
        <v>61</v>
      </c>
      <c r="D3055" s="1186" t="s">
        <v>29</v>
      </c>
      <c r="E3055" s="1186">
        <v>108</v>
      </c>
      <c r="F3055" s="1186">
        <v>148710</v>
      </c>
    </row>
    <row r="3056" spans="1:6" x14ac:dyDescent="0.2">
      <c r="A3056" s="1186" t="s">
        <v>311</v>
      </c>
      <c r="B3056" s="1186" t="s">
        <v>308</v>
      </c>
      <c r="C3056" s="1186" t="s">
        <v>61</v>
      </c>
      <c r="D3056" s="1186" t="s">
        <v>30</v>
      </c>
      <c r="E3056" s="1186">
        <v>13</v>
      </c>
      <c r="F3056" s="1186">
        <v>121940</v>
      </c>
    </row>
    <row r="3057" spans="1:6" x14ac:dyDescent="0.2">
      <c r="A3057" s="1186" t="s">
        <v>311</v>
      </c>
      <c r="B3057" s="1186" t="s">
        <v>308</v>
      </c>
      <c r="C3057" s="1186" t="s">
        <v>61</v>
      </c>
      <c r="D3057" s="1186" t="s">
        <v>31</v>
      </c>
      <c r="E3057" s="1186">
        <v>13</v>
      </c>
      <c r="F3057" s="1186">
        <v>108130</v>
      </c>
    </row>
    <row r="3058" spans="1:6" x14ac:dyDescent="0.2">
      <c r="A3058" s="1186" t="s">
        <v>311</v>
      </c>
      <c r="B3058" s="1186" t="s">
        <v>308</v>
      </c>
      <c r="C3058" s="1186" t="s">
        <v>61</v>
      </c>
      <c r="D3058" s="1186" t="s">
        <v>32</v>
      </c>
      <c r="E3058" s="1186">
        <v>66</v>
      </c>
      <c r="F3058" s="1186">
        <v>104840</v>
      </c>
    </row>
    <row r="3059" spans="1:6" x14ac:dyDescent="0.2">
      <c r="A3059" s="1186" t="s">
        <v>311</v>
      </c>
      <c r="B3059" s="1186" t="s">
        <v>308</v>
      </c>
      <c r="C3059" s="1186" t="s">
        <v>61</v>
      </c>
      <c r="D3059" s="1186" t="s">
        <v>33</v>
      </c>
      <c r="E3059" s="1186">
        <v>13</v>
      </c>
      <c r="F3059" s="1186">
        <v>94760</v>
      </c>
    </row>
    <row r="3060" spans="1:6" x14ac:dyDescent="0.2">
      <c r="A3060" s="1186" t="s">
        <v>311</v>
      </c>
      <c r="B3060" s="1186" t="s">
        <v>308</v>
      </c>
      <c r="C3060" s="1186" t="s">
        <v>61</v>
      </c>
      <c r="D3060" s="1186" t="s">
        <v>34</v>
      </c>
      <c r="E3060" s="1186">
        <v>145</v>
      </c>
      <c r="F3060" s="1186">
        <v>160130</v>
      </c>
    </row>
    <row r="3061" spans="1:6" x14ac:dyDescent="0.2">
      <c r="A3061" s="1186" t="s">
        <v>311</v>
      </c>
      <c r="B3061" s="1186" t="s">
        <v>308</v>
      </c>
      <c r="C3061" s="1186" t="s">
        <v>61</v>
      </c>
      <c r="D3061" s="1186" t="s">
        <v>35</v>
      </c>
      <c r="E3061" s="1186">
        <v>238</v>
      </c>
      <c r="F3061" s="1186">
        <v>371410</v>
      </c>
    </row>
    <row r="3062" spans="1:6" x14ac:dyDescent="0.2">
      <c r="A3062" s="1186" t="s">
        <v>311</v>
      </c>
      <c r="B3062" s="1186" t="s">
        <v>308</v>
      </c>
      <c r="C3062" s="1186" t="s">
        <v>61</v>
      </c>
      <c r="D3062" s="1186" t="s">
        <v>36</v>
      </c>
      <c r="E3062" s="1186">
        <v>123</v>
      </c>
      <c r="F3062" s="1186">
        <v>621020</v>
      </c>
    </row>
    <row r="3063" spans="1:6" x14ac:dyDescent="0.2">
      <c r="A3063" s="1186" t="s">
        <v>311</v>
      </c>
      <c r="B3063" s="1186" t="s">
        <v>308</v>
      </c>
      <c r="C3063" s="1186" t="s">
        <v>61</v>
      </c>
      <c r="D3063" s="1186" t="s">
        <v>37</v>
      </c>
      <c r="E3063" s="1186">
        <v>340</v>
      </c>
      <c r="F3063" s="1186">
        <v>235180</v>
      </c>
    </row>
    <row r="3064" spans="1:6" x14ac:dyDescent="0.2">
      <c r="A3064" s="1186" t="s">
        <v>311</v>
      </c>
      <c r="B3064" s="1186" t="s">
        <v>308</v>
      </c>
      <c r="C3064" s="1186" t="s">
        <v>61</v>
      </c>
      <c r="D3064" s="1186" t="s">
        <v>38</v>
      </c>
      <c r="E3064" s="1186">
        <v>8</v>
      </c>
      <c r="F3064" s="1186">
        <v>78760</v>
      </c>
    </row>
    <row r="3065" spans="1:6" x14ac:dyDescent="0.2">
      <c r="A3065" s="1186" t="s">
        <v>311</v>
      </c>
      <c r="B3065" s="1186" t="s">
        <v>308</v>
      </c>
      <c r="C3065" s="1186" t="s">
        <v>61</v>
      </c>
      <c r="D3065" s="1186" t="s">
        <v>39</v>
      </c>
      <c r="E3065" s="1186">
        <v>62</v>
      </c>
      <c r="F3065" s="1186">
        <v>90090</v>
      </c>
    </row>
    <row r="3066" spans="1:6" x14ac:dyDescent="0.2">
      <c r="A3066" s="1186" t="s">
        <v>311</v>
      </c>
      <c r="B3066" s="1186" t="s">
        <v>308</v>
      </c>
      <c r="C3066" s="1186" t="s">
        <v>61</v>
      </c>
      <c r="D3066" s="1186" t="s">
        <v>40</v>
      </c>
      <c r="E3066" s="1186">
        <v>39</v>
      </c>
      <c r="F3066" s="1186">
        <v>95780</v>
      </c>
    </row>
    <row r="3067" spans="1:6" x14ac:dyDescent="0.2">
      <c r="A3067" s="1186" t="s">
        <v>311</v>
      </c>
      <c r="B3067" s="1186" t="s">
        <v>308</v>
      </c>
      <c r="C3067" s="1186" t="s">
        <v>61</v>
      </c>
      <c r="D3067" s="1186" t="s">
        <v>295</v>
      </c>
      <c r="E3067" s="1186">
        <v>64</v>
      </c>
      <c r="F3067" s="1186">
        <v>26950</v>
      </c>
    </row>
    <row r="3068" spans="1:6" x14ac:dyDescent="0.2">
      <c r="A3068" s="1186" t="s">
        <v>311</v>
      </c>
      <c r="B3068" s="1186" t="s">
        <v>308</v>
      </c>
      <c r="C3068" s="1186" t="s">
        <v>61</v>
      </c>
      <c r="D3068" s="1186" t="s">
        <v>41</v>
      </c>
      <c r="E3068" s="1186">
        <v>24</v>
      </c>
      <c r="F3068" s="1186">
        <v>135790</v>
      </c>
    </row>
    <row r="3069" spans="1:6" x14ac:dyDescent="0.2">
      <c r="A3069" s="1186" t="s">
        <v>311</v>
      </c>
      <c r="B3069" s="1186" t="s">
        <v>308</v>
      </c>
      <c r="C3069" s="1186" t="s">
        <v>61</v>
      </c>
      <c r="D3069" s="1186" t="s">
        <v>42</v>
      </c>
      <c r="E3069" s="1186">
        <v>30</v>
      </c>
      <c r="F3069" s="1186">
        <v>339960</v>
      </c>
    </row>
    <row r="3070" spans="1:6" x14ac:dyDescent="0.2">
      <c r="A3070" s="1186" t="s">
        <v>311</v>
      </c>
      <c r="B3070" s="1186" t="s">
        <v>308</v>
      </c>
      <c r="C3070" s="1186" t="s">
        <v>61</v>
      </c>
      <c r="D3070" s="1186" t="s">
        <v>43</v>
      </c>
      <c r="E3070" s="1186">
        <v>7</v>
      </c>
      <c r="F3070" s="1186">
        <v>22000</v>
      </c>
    </row>
    <row r="3071" spans="1:6" x14ac:dyDescent="0.2">
      <c r="A3071" s="1186" t="s">
        <v>311</v>
      </c>
      <c r="B3071" s="1186" t="s">
        <v>308</v>
      </c>
      <c r="C3071" s="1186" t="s">
        <v>61</v>
      </c>
      <c r="D3071" s="1186" t="s">
        <v>44</v>
      </c>
      <c r="E3071" s="1186">
        <v>91</v>
      </c>
      <c r="F3071" s="1186">
        <v>151100</v>
      </c>
    </row>
    <row r="3072" spans="1:6" x14ac:dyDescent="0.2">
      <c r="A3072" s="1186" t="s">
        <v>311</v>
      </c>
      <c r="B3072" s="1186" t="s">
        <v>308</v>
      </c>
      <c r="C3072" s="1186" t="s">
        <v>61</v>
      </c>
      <c r="D3072" s="1186" t="s">
        <v>45</v>
      </c>
      <c r="E3072" s="1186">
        <v>35</v>
      </c>
      <c r="F3072" s="1186">
        <v>176830</v>
      </c>
    </row>
    <row r="3073" spans="1:6" x14ac:dyDescent="0.2">
      <c r="A3073" s="1186" t="s">
        <v>311</v>
      </c>
      <c r="B3073" s="1186" t="s">
        <v>308</v>
      </c>
      <c r="C3073" s="1186" t="s">
        <v>61</v>
      </c>
      <c r="D3073" s="1186" t="s">
        <v>46</v>
      </c>
      <c r="E3073" s="1186">
        <v>31</v>
      </c>
      <c r="F3073" s="1186">
        <v>115020</v>
      </c>
    </row>
    <row r="3074" spans="1:6" x14ac:dyDescent="0.2">
      <c r="A3074" s="1186" t="s">
        <v>311</v>
      </c>
      <c r="B3074" s="1186" t="s">
        <v>308</v>
      </c>
      <c r="C3074" s="1186" t="s">
        <v>61</v>
      </c>
      <c r="D3074" s="1186" t="s">
        <v>47</v>
      </c>
      <c r="E3074" s="1186">
        <v>9</v>
      </c>
      <c r="F3074" s="1186">
        <v>23080</v>
      </c>
    </row>
    <row r="3075" spans="1:6" x14ac:dyDescent="0.2">
      <c r="A3075" s="1186" t="s">
        <v>311</v>
      </c>
      <c r="B3075" s="1186" t="s">
        <v>308</v>
      </c>
      <c r="C3075" s="1186" t="s">
        <v>61</v>
      </c>
      <c r="D3075" s="1186" t="s">
        <v>48</v>
      </c>
      <c r="E3075" s="1186">
        <v>28</v>
      </c>
      <c r="F3075" s="1186">
        <v>112680</v>
      </c>
    </row>
    <row r="3076" spans="1:6" x14ac:dyDescent="0.2">
      <c r="A3076" s="1186" t="s">
        <v>311</v>
      </c>
      <c r="B3076" s="1186" t="s">
        <v>308</v>
      </c>
      <c r="C3076" s="1186" t="s">
        <v>61</v>
      </c>
      <c r="D3076" s="1186" t="s">
        <v>49</v>
      </c>
      <c r="E3076" s="1186">
        <v>39</v>
      </c>
      <c r="F3076" s="1186">
        <v>318170</v>
      </c>
    </row>
    <row r="3077" spans="1:6" x14ac:dyDescent="0.2">
      <c r="A3077" s="1186" t="s">
        <v>311</v>
      </c>
      <c r="B3077" s="1186" t="s">
        <v>308</v>
      </c>
      <c r="C3077" s="1186" t="s">
        <v>61</v>
      </c>
      <c r="D3077" s="1186" t="s">
        <v>50</v>
      </c>
      <c r="E3077" s="1186">
        <v>46</v>
      </c>
      <c r="F3077" s="1186">
        <v>94000</v>
      </c>
    </row>
    <row r="3078" spans="1:6" x14ac:dyDescent="0.2">
      <c r="A3078" s="1186" t="s">
        <v>311</v>
      </c>
      <c r="B3078" s="1186" t="s">
        <v>308</v>
      </c>
      <c r="C3078" s="1186" t="s">
        <v>61</v>
      </c>
      <c r="D3078" s="1186" t="s">
        <v>51</v>
      </c>
      <c r="E3078" s="1186">
        <v>5</v>
      </c>
      <c r="F3078" s="1186">
        <v>89610</v>
      </c>
    </row>
    <row r="3079" spans="1:6" x14ac:dyDescent="0.2">
      <c r="A3079" s="1186" t="s">
        <v>311</v>
      </c>
      <c r="B3079" s="1186" t="s">
        <v>308</v>
      </c>
      <c r="C3079" s="1186" t="s">
        <v>61</v>
      </c>
      <c r="D3079" s="1186" t="s">
        <v>52</v>
      </c>
      <c r="E3079" s="1186">
        <v>84</v>
      </c>
      <c r="F3079" s="1186">
        <v>181310</v>
      </c>
    </row>
    <row r="3080" spans="1:6" x14ac:dyDescent="0.2">
      <c r="A3080" s="1186" t="s">
        <v>311</v>
      </c>
      <c r="B3080" s="1186" t="s">
        <v>308</v>
      </c>
      <c r="C3080" s="1186" t="s">
        <v>116</v>
      </c>
      <c r="D3080" s="1186" t="s">
        <v>23</v>
      </c>
      <c r="E3080" s="1186">
        <v>261</v>
      </c>
      <c r="F3080" s="1186">
        <v>228800</v>
      </c>
    </row>
    <row r="3081" spans="1:6" x14ac:dyDescent="0.2">
      <c r="A3081" s="1186" t="s">
        <v>311</v>
      </c>
      <c r="B3081" s="1186" t="s">
        <v>308</v>
      </c>
      <c r="C3081" s="1186" t="s">
        <v>116</v>
      </c>
      <c r="D3081" s="1186" t="s">
        <v>24</v>
      </c>
      <c r="E3081" s="1186">
        <v>134</v>
      </c>
      <c r="F3081" s="1186">
        <v>261800</v>
      </c>
    </row>
    <row r="3082" spans="1:6" x14ac:dyDescent="0.2">
      <c r="A3082" s="1186" t="s">
        <v>311</v>
      </c>
      <c r="B3082" s="1186" t="s">
        <v>308</v>
      </c>
      <c r="C3082" s="1186" t="s">
        <v>116</v>
      </c>
      <c r="D3082" s="1186" t="s">
        <v>25</v>
      </c>
      <c r="E3082" s="1186">
        <v>115</v>
      </c>
      <c r="F3082" s="1186">
        <v>116280</v>
      </c>
    </row>
    <row r="3083" spans="1:6" x14ac:dyDescent="0.2">
      <c r="A3083" s="1186" t="s">
        <v>311</v>
      </c>
      <c r="B3083" s="1186" t="s">
        <v>308</v>
      </c>
      <c r="C3083" s="1186" t="s">
        <v>116</v>
      </c>
      <c r="D3083" s="1186" t="s">
        <v>26</v>
      </c>
      <c r="E3083" s="1186">
        <v>40</v>
      </c>
      <c r="F3083" s="1186">
        <v>86810</v>
      </c>
    </row>
    <row r="3084" spans="1:6" x14ac:dyDescent="0.2">
      <c r="A3084" s="1186" t="s">
        <v>311</v>
      </c>
      <c r="B3084" s="1186" t="s">
        <v>308</v>
      </c>
      <c r="C3084" s="1186" t="s">
        <v>116</v>
      </c>
      <c r="D3084" s="1186" t="s">
        <v>619</v>
      </c>
      <c r="E3084" s="1186">
        <v>1222</v>
      </c>
      <c r="F3084" s="1186">
        <v>513210</v>
      </c>
    </row>
    <row r="3085" spans="1:6" x14ac:dyDescent="0.2">
      <c r="A3085" s="1186" t="s">
        <v>311</v>
      </c>
      <c r="B3085" s="1186" t="s">
        <v>308</v>
      </c>
      <c r="C3085" s="1186" t="s">
        <v>116</v>
      </c>
      <c r="D3085" s="1186" t="s">
        <v>27</v>
      </c>
      <c r="E3085" s="1186">
        <v>77</v>
      </c>
      <c r="F3085" s="1186">
        <v>51450</v>
      </c>
    </row>
    <row r="3086" spans="1:6" x14ac:dyDescent="0.2">
      <c r="A3086" s="1186" t="s">
        <v>311</v>
      </c>
      <c r="B3086" s="1186" t="s">
        <v>308</v>
      </c>
      <c r="C3086" s="1186" t="s">
        <v>116</v>
      </c>
      <c r="D3086" s="1186" t="s">
        <v>28</v>
      </c>
      <c r="E3086" s="1186">
        <v>99</v>
      </c>
      <c r="F3086" s="1186">
        <v>149200</v>
      </c>
    </row>
    <row r="3087" spans="1:6" x14ac:dyDescent="0.2">
      <c r="A3087" s="1186" t="s">
        <v>311</v>
      </c>
      <c r="B3087" s="1186" t="s">
        <v>308</v>
      </c>
      <c r="C3087" s="1186" t="s">
        <v>116</v>
      </c>
      <c r="D3087" s="1186" t="s">
        <v>29</v>
      </c>
      <c r="E3087" s="1186">
        <v>666</v>
      </c>
      <c r="F3087" s="1186">
        <v>148710</v>
      </c>
    </row>
    <row r="3088" spans="1:6" x14ac:dyDescent="0.2">
      <c r="A3088" s="1186" t="s">
        <v>311</v>
      </c>
      <c r="B3088" s="1186" t="s">
        <v>308</v>
      </c>
      <c r="C3088" s="1186" t="s">
        <v>116</v>
      </c>
      <c r="D3088" s="1186" t="s">
        <v>30</v>
      </c>
      <c r="E3088" s="1186">
        <v>579</v>
      </c>
      <c r="F3088" s="1186">
        <v>121940</v>
      </c>
    </row>
    <row r="3089" spans="1:6" x14ac:dyDescent="0.2">
      <c r="A3089" s="1186" t="s">
        <v>311</v>
      </c>
      <c r="B3089" s="1186" t="s">
        <v>308</v>
      </c>
      <c r="C3089" s="1186" t="s">
        <v>116</v>
      </c>
      <c r="D3089" s="1186" t="s">
        <v>31</v>
      </c>
      <c r="E3089" s="1186">
        <v>162</v>
      </c>
      <c r="F3089" s="1186">
        <v>108130</v>
      </c>
    </row>
    <row r="3090" spans="1:6" x14ac:dyDescent="0.2">
      <c r="A3090" s="1186" t="s">
        <v>311</v>
      </c>
      <c r="B3090" s="1186" t="s">
        <v>308</v>
      </c>
      <c r="C3090" s="1186" t="s">
        <v>116</v>
      </c>
      <c r="D3090" s="1186" t="s">
        <v>32</v>
      </c>
      <c r="E3090" s="1186">
        <v>178</v>
      </c>
      <c r="F3090" s="1186">
        <v>104840</v>
      </c>
    </row>
    <row r="3091" spans="1:6" x14ac:dyDescent="0.2">
      <c r="A3091" s="1186" t="s">
        <v>311</v>
      </c>
      <c r="B3091" s="1186" t="s">
        <v>308</v>
      </c>
      <c r="C3091" s="1186" t="s">
        <v>116</v>
      </c>
      <c r="D3091" s="1186" t="s">
        <v>33</v>
      </c>
      <c r="E3091" s="1186">
        <v>152</v>
      </c>
      <c r="F3091" s="1186">
        <v>94760</v>
      </c>
    </row>
    <row r="3092" spans="1:6" x14ac:dyDescent="0.2">
      <c r="A3092" s="1186" t="s">
        <v>311</v>
      </c>
      <c r="B3092" s="1186" t="s">
        <v>308</v>
      </c>
      <c r="C3092" s="1186" t="s">
        <v>116</v>
      </c>
      <c r="D3092" s="1186" t="s">
        <v>34</v>
      </c>
      <c r="E3092" s="1186">
        <v>283</v>
      </c>
      <c r="F3092" s="1186">
        <v>160130</v>
      </c>
    </row>
    <row r="3093" spans="1:6" x14ac:dyDescent="0.2">
      <c r="A3093" s="1186" t="s">
        <v>311</v>
      </c>
      <c r="B3093" s="1186" t="s">
        <v>308</v>
      </c>
      <c r="C3093" s="1186" t="s">
        <v>116</v>
      </c>
      <c r="D3093" s="1186" t="s">
        <v>35</v>
      </c>
      <c r="E3093" s="1186">
        <v>711</v>
      </c>
      <c r="F3093" s="1186">
        <v>371410</v>
      </c>
    </row>
    <row r="3094" spans="1:6" x14ac:dyDescent="0.2">
      <c r="A3094" s="1186" t="s">
        <v>311</v>
      </c>
      <c r="B3094" s="1186" t="s">
        <v>308</v>
      </c>
      <c r="C3094" s="1186" t="s">
        <v>116</v>
      </c>
      <c r="D3094" s="1186" t="s">
        <v>36</v>
      </c>
      <c r="E3094" s="1186">
        <v>2227</v>
      </c>
      <c r="F3094" s="1186">
        <v>621020</v>
      </c>
    </row>
    <row r="3095" spans="1:6" x14ac:dyDescent="0.2">
      <c r="A3095" s="1186" t="s">
        <v>311</v>
      </c>
      <c r="B3095" s="1186" t="s">
        <v>308</v>
      </c>
      <c r="C3095" s="1186" t="s">
        <v>116</v>
      </c>
      <c r="D3095" s="1186" t="s">
        <v>37</v>
      </c>
      <c r="E3095" s="1186">
        <v>130</v>
      </c>
      <c r="F3095" s="1186">
        <v>235180</v>
      </c>
    </row>
    <row r="3096" spans="1:6" x14ac:dyDescent="0.2">
      <c r="A3096" s="1186" t="s">
        <v>311</v>
      </c>
      <c r="B3096" s="1186" t="s">
        <v>308</v>
      </c>
      <c r="C3096" s="1186" t="s">
        <v>116</v>
      </c>
      <c r="D3096" s="1186" t="s">
        <v>38</v>
      </c>
      <c r="E3096" s="1186">
        <v>340</v>
      </c>
      <c r="F3096" s="1186">
        <v>78760</v>
      </c>
    </row>
    <row r="3097" spans="1:6" x14ac:dyDescent="0.2">
      <c r="A3097" s="1186" t="s">
        <v>311</v>
      </c>
      <c r="B3097" s="1186" t="s">
        <v>308</v>
      </c>
      <c r="C3097" s="1186" t="s">
        <v>116</v>
      </c>
      <c r="D3097" s="1186" t="s">
        <v>39</v>
      </c>
      <c r="E3097" s="1186">
        <v>329</v>
      </c>
      <c r="F3097" s="1186">
        <v>90090</v>
      </c>
    </row>
    <row r="3098" spans="1:6" x14ac:dyDescent="0.2">
      <c r="A3098" s="1186" t="s">
        <v>311</v>
      </c>
      <c r="B3098" s="1186" t="s">
        <v>308</v>
      </c>
      <c r="C3098" s="1186" t="s">
        <v>116</v>
      </c>
      <c r="D3098" s="1186" t="s">
        <v>40</v>
      </c>
      <c r="E3098" s="1186">
        <v>44</v>
      </c>
      <c r="F3098" s="1186">
        <v>95780</v>
      </c>
    </row>
    <row r="3099" spans="1:6" x14ac:dyDescent="0.2">
      <c r="A3099" s="1186" t="s">
        <v>311</v>
      </c>
      <c r="B3099" s="1186" t="s">
        <v>308</v>
      </c>
      <c r="C3099" s="1186" t="s">
        <v>116</v>
      </c>
      <c r="D3099" s="1186" t="s">
        <v>295</v>
      </c>
      <c r="E3099" s="1186">
        <v>1</v>
      </c>
      <c r="F3099" s="1186">
        <v>26950</v>
      </c>
    </row>
    <row r="3100" spans="1:6" x14ac:dyDescent="0.2">
      <c r="A3100" s="1186" t="s">
        <v>311</v>
      </c>
      <c r="B3100" s="1186" t="s">
        <v>308</v>
      </c>
      <c r="C3100" s="1186" t="s">
        <v>116</v>
      </c>
      <c r="D3100" s="1186" t="s">
        <v>41</v>
      </c>
      <c r="E3100" s="1186">
        <v>545</v>
      </c>
      <c r="F3100" s="1186">
        <v>135790</v>
      </c>
    </row>
    <row r="3101" spans="1:6" x14ac:dyDescent="0.2">
      <c r="A3101" s="1186" t="s">
        <v>311</v>
      </c>
      <c r="B3101" s="1186" t="s">
        <v>308</v>
      </c>
      <c r="C3101" s="1186" t="s">
        <v>116</v>
      </c>
      <c r="D3101" s="1186" t="s">
        <v>42</v>
      </c>
      <c r="E3101" s="1186">
        <v>1176</v>
      </c>
      <c r="F3101" s="1186">
        <v>339960</v>
      </c>
    </row>
    <row r="3102" spans="1:6" x14ac:dyDescent="0.2">
      <c r="A3102" s="1186" t="s">
        <v>311</v>
      </c>
      <c r="B3102" s="1186" t="s">
        <v>308</v>
      </c>
      <c r="C3102" s="1186" t="s">
        <v>116</v>
      </c>
      <c r="D3102" s="1186" t="s">
        <v>43</v>
      </c>
      <c r="E3102" s="1186">
        <v>2</v>
      </c>
      <c r="F3102" s="1186">
        <v>22000</v>
      </c>
    </row>
    <row r="3103" spans="1:6" x14ac:dyDescent="0.2">
      <c r="A3103" s="1186" t="s">
        <v>311</v>
      </c>
      <c r="B3103" s="1186" t="s">
        <v>308</v>
      </c>
      <c r="C3103" s="1186" t="s">
        <v>116</v>
      </c>
      <c r="D3103" s="1186" t="s">
        <v>44</v>
      </c>
      <c r="E3103" s="1186">
        <v>90</v>
      </c>
      <c r="F3103" s="1186">
        <v>151100</v>
      </c>
    </row>
    <row r="3104" spans="1:6" x14ac:dyDescent="0.2">
      <c r="A3104" s="1186" t="s">
        <v>311</v>
      </c>
      <c r="B3104" s="1186" t="s">
        <v>308</v>
      </c>
      <c r="C3104" s="1186" t="s">
        <v>116</v>
      </c>
      <c r="D3104" s="1186" t="s">
        <v>45</v>
      </c>
      <c r="E3104" s="1186">
        <v>468</v>
      </c>
      <c r="F3104" s="1186">
        <v>176830</v>
      </c>
    </row>
    <row r="3105" spans="1:6" x14ac:dyDescent="0.2">
      <c r="A3105" s="1186" t="s">
        <v>311</v>
      </c>
      <c r="B3105" s="1186" t="s">
        <v>308</v>
      </c>
      <c r="C3105" s="1186" t="s">
        <v>116</v>
      </c>
      <c r="D3105" s="1186" t="s">
        <v>46</v>
      </c>
      <c r="E3105" s="1186">
        <v>102</v>
      </c>
      <c r="F3105" s="1186">
        <v>115020</v>
      </c>
    </row>
    <row r="3106" spans="1:6" x14ac:dyDescent="0.2">
      <c r="A3106" s="1186" t="s">
        <v>311</v>
      </c>
      <c r="B3106" s="1186" t="s">
        <v>308</v>
      </c>
      <c r="C3106" s="1186" t="s">
        <v>116</v>
      </c>
      <c r="D3106" s="1186" t="s">
        <v>47</v>
      </c>
      <c r="E3106" s="1186">
        <v>2</v>
      </c>
      <c r="F3106" s="1186">
        <v>23080</v>
      </c>
    </row>
    <row r="3107" spans="1:6" x14ac:dyDescent="0.2">
      <c r="A3107" s="1186" t="s">
        <v>311</v>
      </c>
      <c r="B3107" s="1186" t="s">
        <v>308</v>
      </c>
      <c r="C3107" s="1186" t="s">
        <v>116</v>
      </c>
      <c r="D3107" s="1186" t="s">
        <v>48</v>
      </c>
      <c r="E3107" s="1186">
        <v>223</v>
      </c>
      <c r="F3107" s="1186">
        <v>112680</v>
      </c>
    </row>
    <row r="3108" spans="1:6" x14ac:dyDescent="0.2">
      <c r="A3108" s="1186" t="s">
        <v>311</v>
      </c>
      <c r="B3108" s="1186" t="s">
        <v>308</v>
      </c>
      <c r="C3108" s="1186" t="s">
        <v>116</v>
      </c>
      <c r="D3108" s="1186" t="s">
        <v>49</v>
      </c>
      <c r="E3108" s="1186">
        <v>758</v>
      </c>
      <c r="F3108" s="1186">
        <v>318170</v>
      </c>
    </row>
    <row r="3109" spans="1:6" x14ac:dyDescent="0.2">
      <c r="A3109" s="1186" t="s">
        <v>311</v>
      </c>
      <c r="B3109" s="1186" t="s">
        <v>308</v>
      </c>
      <c r="C3109" s="1186" t="s">
        <v>116</v>
      </c>
      <c r="D3109" s="1186" t="s">
        <v>50</v>
      </c>
      <c r="E3109" s="1186">
        <v>125</v>
      </c>
      <c r="F3109" s="1186">
        <v>94000</v>
      </c>
    </row>
    <row r="3110" spans="1:6" x14ac:dyDescent="0.2">
      <c r="A3110" s="1186" t="s">
        <v>311</v>
      </c>
      <c r="B3110" s="1186" t="s">
        <v>308</v>
      </c>
      <c r="C3110" s="1186" t="s">
        <v>116</v>
      </c>
      <c r="D3110" s="1186" t="s">
        <v>51</v>
      </c>
      <c r="E3110" s="1186">
        <v>236</v>
      </c>
      <c r="F3110" s="1186">
        <v>89610</v>
      </c>
    </row>
    <row r="3111" spans="1:6" x14ac:dyDescent="0.2">
      <c r="A3111" s="1186" t="s">
        <v>311</v>
      </c>
      <c r="B3111" s="1186" t="s">
        <v>308</v>
      </c>
      <c r="C3111" s="1186" t="s">
        <v>116</v>
      </c>
      <c r="D3111" s="1186" t="s">
        <v>52</v>
      </c>
      <c r="E3111" s="1186">
        <v>639</v>
      </c>
      <c r="F3111" s="1186">
        <v>181310</v>
      </c>
    </row>
    <row r="3112" spans="1:6" x14ac:dyDescent="0.2">
      <c r="A3112" s="1186" t="s">
        <v>621</v>
      </c>
      <c r="B3112" s="1186" t="s">
        <v>309</v>
      </c>
      <c r="C3112" s="1186" t="s">
        <v>61</v>
      </c>
      <c r="D3112" s="1186" t="s">
        <v>23</v>
      </c>
      <c r="E3112" s="1186">
        <v>5</v>
      </c>
      <c r="F3112" s="1186">
        <v>227560</v>
      </c>
    </row>
    <row r="3113" spans="1:6" x14ac:dyDescent="0.2">
      <c r="A3113" s="1186" t="s">
        <v>621</v>
      </c>
      <c r="B3113" s="1186" t="s">
        <v>309</v>
      </c>
      <c r="C3113" s="1186" t="s">
        <v>61</v>
      </c>
      <c r="D3113" s="1186" t="s">
        <v>24</v>
      </c>
      <c r="E3113" s="1186">
        <v>61</v>
      </c>
      <c r="F3113" s="1186">
        <v>261470</v>
      </c>
    </row>
    <row r="3114" spans="1:6" x14ac:dyDescent="0.2">
      <c r="A3114" s="1186" t="s">
        <v>621</v>
      </c>
      <c r="B3114" s="1186" t="s">
        <v>309</v>
      </c>
      <c r="C3114" s="1186" t="s">
        <v>61</v>
      </c>
      <c r="D3114" s="1186" t="s">
        <v>25</v>
      </c>
      <c r="E3114" s="1186">
        <v>18</v>
      </c>
      <c r="F3114" s="1186">
        <v>116040</v>
      </c>
    </row>
    <row r="3115" spans="1:6" x14ac:dyDescent="0.2">
      <c r="A3115" s="1186" t="s">
        <v>621</v>
      </c>
      <c r="B3115" s="1186" t="s">
        <v>309</v>
      </c>
      <c r="C3115" s="1186" t="s">
        <v>61</v>
      </c>
      <c r="D3115" s="1186" t="s">
        <v>26</v>
      </c>
      <c r="E3115" s="1186">
        <v>44</v>
      </c>
      <c r="F3115" s="1186">
        <v>86260</v>
      </c>
    </row>
    <row r="3116" spans="1:6" x14ac:dyDescent="0.2">
      <c r="A3116" s="1186" t="s">
        <v>621</v>
      </c>
      <c r="B3116" s="1186" t="s">
        <v>309</v>
      </c>
      <c r="C3116" s="1186" t="s">
        <v>61</v>
      </c>
      <c r="D3116" s="1186" t="s">
        <v>619</v>
      </c>
      <c r="E3116" s="1186">
        <v>7</v>
      </c>
      <c r="F3116" s="1186">
        <v>518500</v>
      </c>
    </row>
    <row r="3117" spans="1:6" x14ac:dyDescent="0.2">
      <c r="A3117" s="1186" t="s">
        <v>621</v>
      </c>
      <c r="B3117" s="1186" t="s">
        <v>309</v>
      </c>
      <c r="C3117" s="1186" t="s">
        <v>61</v>
      </c>
      <c r="D3117" s="1186" t="s">
        <v>27</v>
      </c>
      <c r="E3117" s="1186">
        <v>3</v>
      </c>
      <c r="F3117" s="1186">
        <v>51400</v>
      </c>
    </row>
    <row r="3118" spans="1:6" x14ac:dyDescent="0.2">
      <c r="A3118" s="1186" t="s">
        <v>621</v>
      </c>
      <c r="B3118" s="1186" t="s">
        <v>309</v>
      </c>
      <c r="C3118" s="1186" t="s">
        <v>61</v>
      </c>
      <c r="D3118" s="1186" t="s">
        <v>28</v>
      </c>
      <c r="E3118" s="1186">
        <v>68</v>
      </c>
      <c r="F3118" s="1186">
        <v>148790</v>
      </c>
    </row>
    <row r="3119" spans="1:6" x14ac:dyDescent="0.2">
      <c r="A3119" s="1186" t="s">
        <v>621</v>
      </c>
      <c r="B3119" s="1186" t="s">
        <v>309</v>
      </c>
      <c r="C3119" s="1186" t="s">
        <v>61</v>
      </c>
      <c r="D3119" s="1186" t="s">
        <v>30</v>
      </c>
      <c r="E3119" s="1186">
        <v>9</v>
      </c>
      <c r="F3119" s="1186">
        <v>121840</v>
      </c>
    </row>
    <row r="3120" spans="1:6" x14ac:dyDescent="0.2">
      <c r="A3120" s="1186" t="s">
        <v>621</v>
      </c>
      <c r="B3120" s="1186" t="s">
        <v>309</v>
      </c>
      <c r="C3120" s="1186" t="s">
        <v>61</v>
      </c>
      <c r="D3120" s="1186" t="s">
        <v>31</v>
      </c>
      <c r="E3120" s="1186">
        <v>5</v>
      </c>
      <c r="F3120" s="1186">
        <v>108330</v>
      </c>
    </row>
    <row r="3121" spans="1:6" x14ac:dyDescent="0.2">
      <c r="A3121" s="1186" t="s">
        <v>621</v>
      </c>
      <c r="B3121" s="1186" t="s">
        <v>309</v>
      </c>
      <c r="C3121" s="1186" t="s">
        <v>61</v>
      </c>
      <c r="D3121" s="1186" t="s">
        <v>32</v>
      </c>
      <c r="E3121" s="1186">
        <v>17</v>
      </c>
      <c r="F3121" s="1186">
        <v>105790</v>
      </c>
    </row>
    <row r="3122" spans="1:6" x14ac:dyDescent="0.2">
      <c r="A3122" s="1186" t="s">
        <v>621</v>
      </c>
      <c r="B3122" s="1186" t="s">
        <v>309</v>
      </c>
      <c r="C3122" s="1186" t="s">
        <v>61</v>
      </c>
      <c r="D3122" s="1186" t="s">
        <v>33</v>
      </c>
      <c r="E3122" s="1186">
        <v>4</v>
      </c>
      <c r="F3122" s="1186">
        <v>95170</v>
      </c>
    </row>
    <row r="3123" spans="1:6" x14ac:dyDescent="0.2">
      <c r="A3123" s="1186" t="s">
        <v>621</v>
      </c>
      <c r="B3123" s="1186" t="s">
        <v>309</v>
      </c>
      <c r="C3123" s="1186" t="s">
        <v>61</v>
      </c>
      <c r="D3123" s="1186" t="s">
        <v>34</v>
      </c>
      <c r="E3123" s="1186">
        <v>7</v>
      </c>
      <c r="F3123" s="1186">
        <v>160340</v>
      </c>
    </row>
    <row r="3124" spans="1:6" x14ac:dyDescent="0.2">
      <c r="A3124" s="1186" t="s">
        <v>621</v>
      </c>
      <c r="B3124" s="1186" t="s">
        <v>309</v>
      </c>
      <c r="C3124" s="1186" t="s">
        <v>61</v>
      </c>
      <c r="D3124" s="1186" t="s">
        <v>35</v>
      </c>
      <c r="E3124" s="1186">
        <v>25</v>
      </c>
      <c r="F3124" s="1186">
        <v>371910</v>
      </c>
    </row>
    <row r="3125" spans="1:6" x14ac:dyDescent="0.2">
      <c r="A3125" s="1186" t="s">
        <v>621</v>
      </c>
      <c r="B3125" s="1186" t="s">
        <v>309</v>
      </c>
      <c r="C3125" s="1186" t="s">
        <v>61</v>
      </c>
      <c r="D3125" s="1186" t="s">
        <v>36</v>
      </c>
      <c r="E3125" s="1186">
        <v>9</v>
      </c>
      <c r="F3125" s="1186">
        <v>626410</v>
      </c>
    </row>
    <row r="3126" spans="1:6" x14ac:dyDescent="0.2">
      <c r="A3126" s="1186" t="s">
        <v>621</v>
      </c>
      <c r="B3126" s="1186" t="s">
        <v>309</v>
      </c>
      <c r="C3126" s="1186" t="s">
        <v>61</v>
      </c>
      <c r="D3126" s="1186" t="s">
        <v>37</v>
      </c>
      <c r="E3126" s="1186">
        <v>141</v>
      </c>
      <c r="F3126" s="1186">
        <v>235540</v>
      </c>
    </row>
    <row r="3127" spans="1:6" x14ac:dyDescent="0.2">
      <c r="A3127" s="1186" t="s">
        <v>621</v>
      </c>
      <c r="B3127" s="1186" t="s">
        <v>309</v>
      </c>
      <c r="C3127" s="1186" t="s">
        <v>61</v>
      </c>
      <c r="D3127" s="1186" t="s">
        <v>38</v>
      </c>
      <c r="E3127" s="1186">
        <v>2</v>
      </c>
      <c r="F3127" s="1186">
        <v>78150</v>
      </c>
    </row>
    <row r="3128" spans="1:6" x14ac:dyDescent="0.2">
      <c r="A3128" s="1186" t="s">
        <v>621</v>
      </c>
      <c r="B3128" s="1186" t="s">
        <v>309</v>
      </c>
      <c r="C3128" s="1186" t="s">
        <v>61</v>
      </c>
      <c r="D3128" s="1186" t="s">
        <v>39</v>
      </c>
      <c r="E3128" s="1186">
        <v>4</v>
      </c>
      <c r="F3128" s="1186">
        <v>91340</v>
      </c>
    </row>
    <row r="3129" spans="1:6" x14ac:dyDescent="0.2">
      <c r="A3129" s="1186" t="s">
        <v>621</v>
      </c>
      <c r="B3129" s="1186" t="s">
        <v>309</v>
      </c>
      <c r="C3129" s="1186" t="s">
        <v>61</v>
      </c>
      <c r="D3129" s="1186" t="s">
        <v>40</v>
      </c>
      <c r="E3129" s="1186">
        <v>28</v>
      </c>
      <c r="F3129" s="1186">
        <v>95520</v>
      </c>
    </row>
    <row r="3130" spans="1:6" x14ac:dyDescent="0.2">
      <c r="A3130" s="1186" t="s">
        <v>621</v>
      </c>
      <c r="B3130" s="1186" t="s">
        <v>309</v>
      </c>
      <c r="C3130" s="1186" t="s">
        <v>61</v>
      </c>
      <c r="D3130" s="1186" t="s">
        <v>295</v>
      </c>
      <c r="E3130" s="1186">
        <v>31</v>
      </c>
      <c r="F3130" s="1186">
        <v>26830</v>
      </c>
    </row>
    <row r="3131" spans="1:6" x14ac:dyDescent="0.2">
      <c r="A3131" s="1186" t="s">
        <v>621</v>
      </c>
      <c r="B3131" s="1186" t="s">
        <v>309</v>
      </c>
      <c r="C3131" s="1186" t="s">
        <v>61</v>
      </c>
      <c r="D3131" s="1186" t="s">
        <v>41</v>
      </c>
      <c r="E3131" s="1186">
        <v>14</v>
      </c>
      <c r="F3131" s="1186">
        <v>135280</v>
      </c>
    </row>
    <row r="3132" spans="1:6" x14ac:dyDescent="0.2">
      <c r="A3132" s="1186" t="s">
        <v>621</v>
      </c>
      <c r="B3132" s="1186" t="s">
        <v>309</v>
      </c>
      <c r="C3132" s="1186" t="s">
        <v>61</v>
      </c>
      <c r="D3132" s="1186" t="s">
        <v>42</v>
      </c>
      <c r="E3132" s="1186">
        <v>3</v>
      </c>
      <c r="F3132" s="1186">
        <v>340180</v>
      </c>
    </row>
    <row r="3133" spans="1:6" x14ac:dyDescent="0.2">
      <c r="A3133" s="1186" t="s">
        <v>621</v>
      </c>
      <c r="B3133" s="1186" t="s">
        <v>309</v>
      </c>
      <c r="C3133" s="1186" t="s">
        <v>61</v>
      </c>
      <c r="D3133" s="1186" t="s">
        <v>43</v>
      </c>
      <c r="E3133" s="1186">
        <v>6</v>
      </c>
      <c r="F3133" s="1186">
        <v>22190</v>
      </c>
    </row>
    <row r="3134" spans="1:6" x14ac:dyDescent="0.2">
      <c r="A3134" s="1186" t="s">
        <v>621</v>
      </c>
      <c r="B3134" s="1186" t="s">
        <v>309</v>
      </c>
      <c r="C3134" s="1186" t="s">
        <v>61</v>
      </c>
      <c r="D3134" s="1186" t="s">
        <v>44</v>
      </c>
      <c r="E3134" s="1186">
        <v>37</v>
      </c>
      <c r="F3134" s="1186">
        <v>151290</v>
      </c>
    </row>
    <row r="3135" spans="1:6" x14ac:dyDescent="0.2">
      <c r="A3135" s="1186" t="s">
        <v>621</v>
      </c>
      <c r="B3135" s="1186" t="s">
        <v>309</v>
      </c>
      <c r="C3135" s="1186" t="s">
        <v>61</v>
      </c>
      <c r="D3135" s="1186" t="s">
        <v>45</v>
      </c>
      <c r="E3135" s="1186">
        <v>3</v>
      </c>
      <c r="F3135" s="1186">
        <v>177790</v>
      </c>
    </row>
    <row r="3136" spans="1:6" x14ac:dyDescent="0.2">
      <c r="A3136" s="1186" t="s">
        <v>621</v>
      </c>
      <c r="B3136" s="1186" t="s">
        <v>309</v>
      </c>
      <c r="C3136" s="1186" t="s">
        <v>61</v>
      </c>
      <c r="D3136" s="1186" t="s">
        <v>46</v>
      </c>
      <c r="E3136" s="1186">
        <v>34</v>
      </c>
      <c r="F3136" s="1186">
        <v>115270</v>
      </c>
    </row>
    <row r="3137" spans="1:6" x14ac:dyDescent="0.2">
      <c r="A3137" s="1186" t="s">
        <v>621</v>
      </c>
      <c r="B3137" s="1186" t="s">
        <v>309</v>
      </c>
      <c r="C3137" s="1186" t="s">
        <v>61</v>
      </c>
      <c r="D3137" s="1186" t="s">
        <v>47</v>
      </c>
      <c r="E3137" s="1186">
        <v>13</v>
      </c>
      <c r="F3137" s="1186">
        <v>22990</v>
      </c>
    </row>
    <row r="3138" spans="1:6" x14ac:dyDescent="0.2">
      <c r="A3138" s="1186" t="s">
        <v>621</v>
      </c>
      <c r="B3138" s="1186" t="s">
        <v>309</v>
      </c>
      <c r="C3138" s="1186" t="s">
        <v>61</v>
      </c>
      <c r="D3138" s="1186" t="s">
        <v>48</v>
      </c>
      <c r="E3138" s="1186">
        <v>8</v>
      </c>
      <c r="F3138" s="1186">
        <v>112550</v>
      </c>
    </row>
    <row r="3139" spans="1:6" x14ac:dyDescent="0.2">
      <c r="A3139" s="1186" t="s">
        <v>621</v>
      </c>
      <c r="B3139" s="1186" t="s">
        <v>309</v>
      </c>
      <c r="C3139" s="1186" t="s">
        <v>61</v>
      </c>
      <c r="D3139" s="1186" t="s">
        <v>49</v>
      </c>
      <c r="E3139" s="1186">
        <v>18</v>
      </c>
      <c r="F3139" s="1186">
        <v>319020</v>
      </c>
    </row>
    <row r="3140" spans="1:6" x14ac:dyDescent="0.2">
      <c r="A3140" s="1186" t="s">
        <v>621</v>
      </c>
      <c r="B3140" s="1186" t="s">
        <v>309</v>
      </c>
      <c r="C3140" s="1186" t="s">
        <v>61</v>
      </c>
      <c r="D3140" s="1186" t="s">
        <v>50</v>
      </c>
      <c r="E3140" s="1186">
        <v>14</v>
      </c>
      <c r="F3140" s="1186">
        <v>94330</v>
      </c>
    </row>
    <row r="3141" spans="1:6" x14ac:dyDescent="0.2">
      <c r="A3141" s="1186" t="s">
        <v>621</v>
      </c>
      <c r="B3141" s="1186" t="s">
        <v>309</v>
      </c>
      <c r="C3141" s="1186" t="s">
        <v>61</v>
      </c>
      <c r="D3141" s="1186" t="s">
        <v>51</v>
      </c>
      <c r="E3141" s="1186">
        <v>2</v>
      </c>
      <c r="F3141" s="1186">
        <v>89130</v>
      </c>
    </row>
    <row r="3142" spans="1:6" x14ac:dyDescent="0.2">
      <c r="A3142" s="1186" t="s">
        <v>621</v>
      </c>
      <c r="B3142" s="1186" t="s">
        <v>309</v>
      </c>
      <c r="C3142" s="1186" t="s">
        <v>61</v>
      </c>
      <c r="D3142" s="1186" t="s">
        <v>52</v>
      </c>
      <c r="E3142" s="1186">
        <v>2</v>
      </c>
      <c r="F3142" s="1186">
        <v>182140</v>
      </c>
    </row>
    <row r="3143" spans="1:6" x14ac:dyDescent="0.2">
      <c r="A3143" s="1186" t="s">
        <v>621</v>
      </c>
      <c r="B3143" s="1186" t="s">
        <v>309</v>
      </c>
      <c r="C3143" s="1186" t="s">
        <v>116</v>
      </c>
      <c r="D3143" s="1186" t="s">
        <v>30</v>
      </c>
      <c r="E3143" s="1186">
        <v>1</v>
      </c>
      <c r="F3143" s="1186">
        <v>121840</v>
      </c>
    </row>
    <row r="3144" spans="1:6" x14ac:dyDescent="0.2">
      <c r="A3144" s="1186" t="s">
        <v>621</v>
      </c>
      <c r="B3144" s="1186" t="s">
        <v>309</v>
      </c>
      <c r="C3144" s="1186" t="s">
        <v>116</v>
      </c>
      <c r="D3144" s="1186" t="s">
        <v>35</v>
      </c>
      <c r="E3144" s="1186">
        <v>1</v>
      </c>
      <c r="F3144" s="1186">
        <v>371910</v>
      </c>
    </row>
    <row r="3145" spans="1:6" x14ac:dyDescent="0.2">
      <c r="A3145" s="1186" t="s">
        <v>621</v>
      </c>
      <c r="B3145" s="1186" t="s">
        <v>823</v>
      </c>
      <c r="C3145" s="1186" t="s">
        <v>61</v>
      </c>
      <c r="D3145" s="1186" t="s">
        <v>23</v>
      </c>
      <c r="E3145" s="1186">
        <v>262</v>
      </c>
      <c r="F3145" s="1186">
        <v>227560</v>
      </c>
    </row>
    <row r="3146" spans="1:6" x14ac:dyDescent="0.2">
      <c r="A3146" s="1186" t="s">
        <v>621</v>
      </c>
      <c r="B3146" s="1186" t="s">
        <v>823</v>
      </c>
      <c r="C3146" s="1186" t="s">
        <v>61</v>
      </c>
      <c r="D3146" s="1186" t="s">
        <v>24</v>
      </c>
      <c r="E3146" s="1186">
        <v>163</v>
      </c>
      <c r="F3146" s="1186">
        <v>261470</v>
      </c>
    </row>
    <row r="3147" spans="1:6" x14ac:dyDescent="0.2">
      <c r="A3147" s="1186" t="s">
        <v>621</v>
      </c>
      <c r="B3147" s="1186" t="s">
        <v>823</v>
      </c>
      <c r="C3147" s="1186" t="s">
        <v>61</v>
      </c>
      <c r="D3147" s="1186" t="s">
        <v>25</v>
      </c>
      <c r="E3147" s="1186">
        <v>80</v>
      </c>
      <c r="F3147" s="1186">
        <v>116040</v>
      </c>
    </row>
    <row r="3148" spans="1:6" x14ac:dyDescent="0.2">
      <c r="A3148" s="1186" t="s">
        <v>621</v>
      </c>
      <c r="B3148" s="1186" t="s">
        <v>823</v>
      </c>
      <c r="C3148" s="1186" t="s">
        <v>61</v>
      </c>
      <c r="D3148" s="1186" t="s">
        <v>26</v>
      </c>
      <c r="E3148" s="1186">
        <v>85</v>
      </c>
      <c r="F3148" s="1186">
        <v>86260</v>
      </c>
    </row>
    <row r="3149" spans="1:6" x14ac:dyDescent="0.2">
      <c r="A3149" s="1186" t="s">
        <v>621</v>
      </c>
      <c r="B3149" s="1186" t="s">
        <v>823</v>
      </c>
      <c r="C3149" s="1186" t="s">
        <v>61</v>
      </c>
      <c r="D3149" s="1186" t="s">
        <v>619</v>
      </c>
      <c r="E3149" s="1186">
        <v>448</v>
      </c>
      <c r="F3149" s="1186">
        <v>518500</v>
      </c>
    </row>
    <row r="3150" spans="1:6" x14ac:dyDescent="0.2">
      <c r="A3150" s="1186" t="s">
        <v>621</v>
      </c>
      <c r="B3150" s="1186" t="s">
        <v>823</v>
      </c>
      <c r="C3150" s="1186" t="s">
        <v>61</v>
      </c>
      <c r="D3150" s="1186" t="s">
        <v>27</v>
      </c>
      <c r="E3150" s="1186">
        <v>45</v>
      </c>
      <c r="F3150" s="1186">
        <v>51400</v>
      </c>
    </row>
    <row r="3151" spans="1:6" x14ac:dyDescent="0.2">
      <c r="A3151" s="1186" t="s">
        <v>621</v>
      </c>
      <c r="B3151" s="1186" t="s">
        <v>823</v>
      </c>
      <c r="C3151" s="1186" t="s">
        <v>61</v>
      </c>
      <c r="D3151" s="1186" t="s">
        <v>28</v>
      </c>
      <c r="E3151" s="1186">
        <v>76</v>
      </c>
      <c r="F3151" s="1186">
        <v>148790</v>
      </c>
    </row>
    <row r="3152" spans="1:6" x14ac:dyDescent="0.2">
      <c r="A3152" s="1186" t="s">
        <v>621</v>
      </c>
      <c r="B3152" s="1186" t="s">
        <v>823</v>
      </c>
      <c r="C3152" s="1186" t="s">
        <v>61</v>
      </c>
      <c r="D3152" s="1186" t="s">
        <v>29</v>
      </c>
      <c r="E3152" s="1186">
        <v>182</v>
      </c>
      <c r="F3152" s="1186">
        <v>148750</v>
      </c>
    </row>
    <row r="3153" spans="1:6" x14ac:dyDescent="0.2">
      <c r="A3153" s="1186" t="s">
        <v>621</v>
      </c>
      <c r="B3153" s="1186" t="s">
        <v>823</v>
      </c>
      <c r="C3153" s="1186" t="s">
        <v>61</v>
      </c>
      <c r="D3153" s="1186" t="s">
        <v>30</v>
      </c>
      <c r="E3153" s="1186">
        <v>83</v>
      </c>
      <c r="F3153" s="1186">
        <v>121840</v>
      </c>
    </row>
    <row r="3154" spans="1:6" x14ac:dyDescent="0.2">
      <c r="A3154" s="1186" t="s">
        <v>621</v>
      </c>
      <c r="B3154" s="1186" t="s">
        <v>823</v>
      </c>
      <c r="C3154" s="1186" t="s">
        <v>61</v>
      </c>
      <c r="D3154" s="1186" t="s">
        <v>31</v>
      </c>
      <c r="E3154" s="1186">
        <v>64</v>
      </c>
      <c r="F3154" s="1186">
        <v>108330</v>
      </c>
    </row>
    <row r="3155" spans="1:6" x14ac:dyDescent="0.2">
      <c r="A3155" s="1186" t="s">
        <v>621</v>
      </c>
      <c r="B3155" s="1186" t="s">
        <v>823</v>
      </c>
      <c r="C3155" s="1186" t="s">
        <v>61</v>
      </c>
      <c r="D3155" s="1186" t="s">
        <v>32</v>
      </c>
      <c r="E3155" s="1186">
        <v>69</v>
      </c>
      <c r="F3155" s="1186">
        <v>105790</v>
      </c>
    </row>
    <row r="3156" spans="1:6" x14ac:dyDescent="0.2">
      <c r="A3156" s="1186" t="s">
        <v>621</v>
      </c>
      <c r="B3156" s="1186" t="s">
        <v>823</v>
      </c>
      <c r="C3156" s="1186" t="s">
        <v>61</v>
      </c>
      <c r="D3156" s="1186" t="s">
        <v>33</v>
      </c>
      <c r="E3156" s="1186">
        <v>60</v>
      </c>
      <c r="F3156" s="1186">
        <v>95170</v>
      </c>
    </row>
    <row r="3157" spans="1:6" x14ac:dyDescent="0.2">
      <c r="A3157" s="1186" t="s">
        <v>621</v>
      </c>
      <c r="B3157" s="1186" t="s">
        <v>823</v>
      </c>
      <c r="C3157" s="1186" t="s">
        <v>61</v>
      </c>
      <c r="D3157" s="1186" t="s">
        <v>34</v>
      </c>
      <c r="E3157" s="1186">
        <v>112</v>
      </c>
      <c r="F3157" s="1186">
        <v>160340</v>
      </c>
    </row>
    <row r="3158" spans="1:6" x14ac:dyDescent="0.2">
      <c r="A3158" s="1186" t="s">
        <v>621</v>
      </c>
      <c r="B3158" s="1186" t="s">
        <v>823</v>
      </c>
      <c r="C3158" s="1186" t="s">
        <v>61</v>
      </c>
      <c r="D3158" s="1186" t="s">
        <v>35</v>
      </c>
      <c r="E3158" s="1186">
        <v>244</v>
      </c>
      <c r="F3158" s="1186">
        <v>371910</v>
      </c>
    </row>
    <row r="3159" spans="1:6" x14ac:dyDescent="0.2">
      <c r="A3159" s="1186" t="s">
        <v>621</v>
      </c>
      <c r="B3159" s="1186" t="s">
        <v>823</v>
      </c>
      <c r="C3159" s="1186" t="s">
        <v>61</v>
      </c>
      <c r="D3159" s="1186" t="s">
        <v>36</v>
      </c>
      <c r="E3159" s="1186">
        <v>784</v>
      </c>
      <c r="F3159" s="1186">
        <v>626410</v>
      </c>
    </row>
    <row r="3160" spans="1:6" x14ac:dyDescent="0.2">
      <c r="A3160" s="1186" t="s">
        <v>621</v>
      </c>
      <c r="B3160" s="1186" t="s">
        <v>823</v>
      </c>
      <c r="C3160" s="1186" t="s">
        <v>61</v>
      </c>
      <c r="D3160" s="1186" t="s">
        <v>37</v>
      </c>
      <c r="E3160" s="1186">
        <v>145</v>
      </c>
      <c r="F3160" s="1186">
        <v>235540</v>
      </c>
    </row>
    <row r="3161" spans="1:6" x14ac:dyDescent="0.2">
      <c r="A3161" s="1186" t="s">
        <v>621</v>
      </c>
      <c r="B3161" s="1186" t="s">
        <v>823</v>
      </c>
      <c r="C3161" s="1186" t="s">
        <v>61</v>
      </c>
      <c r="D3161" s="1186" t="s">
        <v>38</v>
      </c>
      <c r="E3161" s="1186">
        <v>77</v>
      </c>
      <c r="F3161" s="1186">
        <v>78150</v>
      </c>
    </row>
    <row r="3162" spans="1:6" x14ac:dyDescent="0.2">
      <c r="A3162" s="1186" t="s">
        <v>621</v>
      </c>
      <c r="B3162" s="1186" t="s">
        <v>823</v>
      </c>
      <c r="C3162" s="1186" t="s">
        <v>61</v>
      </c>
      <c r="D3162" s="1186" t="s">
        <v>39</v>
      </c>
      <c r="E3162" s="1186">
        <v>52</v>
      </c>
      <c r="F3162" s="1186">
        <v>91340</v>
      </c>
    </row>
    <row r="3163" spans="1:6" x14ac:dyDescent="0.2">
      <c r="A3163" s="1186" t="s">
        <v>621</v>
      </c>
      <c r="B3163" s="1186" t="s">
        <v>823</v>
      </c>
      <c r="C3163" s="1186" t="s">
        <v>61</v>
      </c>
      <c r="D3163" s="1186" t="s">
        <v>40</v>
      </c>
      <c r="E3163" s="1186">
        <v>55</v>
      </c>
      <c r="F3163" s="1186">
        <v>95520</v>
      </c>
    </row>
    <row r="3164" spans="1:6" x14ac:dyDescent="0.2">
      <c r="A3164" s="1186" t="s">
        <v>621</v>
      </c>
      <c r="B3164" s="1186" t="s">
        <v>823</v>
      </c>
      <c r="C3164" s="1186" t="s">
        <v>61</v>
      </c>
      <c r="D3164" s="1186" t="s">
        <v>295</v>
      </c>
      <c r="E3164" s="1186">
        <v>22</v>
      </c>
      <c r="F3164" s="1186">
        <v>26830</v>
      </c>
    </row>
    <row r="3165" spans="1:6" x14ac:dyDescent="0.2">
      <c r="A3165" s="1186" t="s">
        <v>621</v>
      </c>
      <c r="B3165" s="1186" t="s">
        <v>823</v>
      </c>
      <c r="C3165" s="1186" t="s">
        <v>61</v>
      </c>
      <c r="D3165" s="1186" t="s">
        <v>41</v>
      </c>
      <c r="E3165" s="1186">
        <v>163</v>
      </c>
      <c r="F3165" s="1186">
        <v>135280</v>
      </c>
    </row>
    <row r="3166" spans="1:6" x14ac:dyDescent="0.2">
      <c r="A3166" s="1186" t="s">
        <v>621</v>
      </c>
      <c r="B3166" s="1186" t="s">
        <v>823</v>
      </c>
      <c r="C3166" s="1186" t="s">
        <v>61</v>
      </c>
      <c r="D3166" s="1186" t="s">
        <v>42</v>
      </c>
      <c r="E3166" s="1186">
        <v>296</v>
      </c>
      <c r="F3166" s="1186">
        <v>340180</v>
      </c>
    </row>
    <row r="3167" spans="1:6" x14ac:dyDescent="0.2">
      <c r="A3167" s="1186" t="s">
        <v>621</v>
      </c>
      <c r="B3167" s="1186" t="s">
        <v>823</v>
      </c>
      <c r="C3167" s="1186" t="s">
        <v>61</v>
      </c>
      <c r="D3167" s="1186" t="s">
        <v>43</v>
      </c>
      <c r="E3167" s="1186">
        <v>7</v>
      </c>
      <c r="F3167" s="1186">
        <v>22190</v>
      </c>
    </row>
    <row r="3168" spans="1:6" x14ac:dyDescent="0.2">
      <c r="A3168" s="1186" t="s">
        <v>621</v>
      </c>
      <c r="B3168" s="1186" t="s">
        <v>823</v>
      </c>
      <c r="C3168" s="1186" t="s">
        <v>61</v>
      </c>
      <c r="D3168" s="1186" t="s">
        <v>44</v>
      </c>
      <c r="E3168" s="1186">
        <v>111</v>
      </c>
      <c r="F3168" s="1186">
        <v>151290</v>
      </c>
    </row>
    <row r="3169" spans="1:6" x14ac:dyDescent="0.2">
      <c r="A3169" s="1186" t="s">
        <v>621</v>
      </c>
      <c r="B3169" s="1186" t="s">
        <v>823</v>
      </c>
      <c r="C3169" s="1186" t="s">
        <v>61</v>
      </c>
      <c r="D3169" s="1186" t="s">
        <v>45</v>
      </c>
      <c r="E3169" s="1186">
        <v>199</v>
      </c>
      <c r="F3169" s="1186">
        <v>177790</v>
      </c>
    </row>
    <row r="3170" spans="1:6" x14ac:dyDescent="0.2">
      <c r="A3170" s="1186" t="s">
        <v>621</v>
      </c>
      <c r="B3170" s="1186" t="s">
        <v>823</v>
      </c>
      <c r="C3170" s="1186" t="s">
        <v>61</v>
      </c>
      <c r="D3170" s="1186" t="s">
        <v>46</v>
      </c>
      <c r="E3170" s="1186">
        <v>92</v>
      </c>
      <c r="F3170" s="1186">
        <v>115270</v>
      </c>
    </row>
    <row r="3171" spans="1:6" x14ac:dyDescent="0.2">
      <c r="A3171" s="1186" t="s">
        <v>621</v>
      </c>
      <c r="B3171" s="1186" t="s">
        <v>823</v>
      </c>
      <c r="C3171" s="1186" t="s">
        <v>61</v>
      </c>
      <c r="D3171" s="1186" t="s">
        <v>47</v>
      </c>
      <c r="E3171" s="1186">
        <v>4</v>
      </c>
      <c r="F3171" s="1186">
        <v>22990</v>
      </c>
    </row>
    <row r="3172" spans="1:6" x14ac:dyDescent="0.2">
      <c r="A3172" s="1186" t="s">
        <v>621</v>
      </c>
      <c r="B3172" s="1186" t="s">
        <v>823</v>
      </c>
      <c r="C3172" s="1186" t="s">
        <v>61</v>
      </c>
      <c r="D3172" s="1186" t="s">
        <v>48</v>
      </c>
      <c r="E3172" s="1186">
        <v>84</v>
      </c>
      <c r="F3172" s="1186">
        <v>112550</v>
      </c>
    </row>
    <row r="3173" spans="1:6" x14ac:dyDescent="0.2">
      <c r="A3173" s="1186" t="s">
        <v>621</v>
      </c>
      <c r="B3173" s="1186" t="s">
        <v>823</v>
      </c>
      <c r="C3173" s="1186" t="s">
        <v>61</v>
      </c>
      <c r="D3173" s="1186" t="s">
        <v>49</v>
      </c>
      <c r="E3173" s="1186">
        <v>232</v>
      </c>
      <c r="F3173" s="1186">
        <v>319020</v>
      </c>
    </row>
    <row r="3174" spans="1:6" x14ac:dyDescent="0.2">
      <c r="A3174" s="1186" t="s">
        <v>621</v>
      </c>
      <c r="B3174" s="1186" t="s">
        <v>823</v>
      </c>
      <c r="C3174" s="1186" t="s">
        <v>61</v>
      </c>
      <c r="D3174" s="1186" t="s">
        <v>50</v>
      </c>
      <c r="E3174" s="1186">
        <v>64</v>
      </c>
      <c r="F3174" s="1186">
        <v>94330</v>
      </c>
    </row>
    <row r="3175" spans="1:6" x14ac:dyDescent="0.2">
      <c r="A3175" s="1186" t="s">
        <v>621</v>
      </c>
      <c r="B3175" s="1186" t="s">
        <v>823</v>
      </c>
      <c r="C3175" s="1186" t="s">
        <v>61</v>
      </c>
      <c r="D3175" s="1186" t="s">
        <v>51</v>
      </c>
      <c r="E3175" s="1186">
        <v>135</v>
      </c>
      <c r="F3175" s="1186">
        <v>89130</v>
      </c>
    </row>
    <row r="3176" spans="1:6" x14ac:dyDescent="0.2">
      <c r="A3176" s="1186" t="s">
        <v>621</v>
      </c>
      <c r="B3176" s="1186" t="s">
        <v>823</v>
      </c>
      <c r="C3176" s="1186" t="s">
        <v>61</v>
      </c>
      <c r="D3176" s="1186" t="s">
        <v>52</v>
      </c>
      <c r="E3176" s="1186">
        <v>140</v>
      </c>
      <c r="F3176" s="1186">
        <v>182140</v>
      </c>
    </row>
    <row r="3177" spans="1:6" x14ac:dyDescent="0.2">
      <c r="A3177" s="1186" t="s">
        <v>621</v>
      </c>
      <c r="B3177" s="1186" t="s">
        <v>823</v>
      </c>
      <c r="C3177" s="1186" t="s">
        <v>116</v>
      </c>
      <c r="D3177" s="1186" t="s">
        <v>23</v>
      </c>
      <c r="E3177" s="1186">
        <v>27</v>
      </c>
      <c r="F3177" s="1186">
        <v>227560</v>
      </c>
    </row>
    <row r="3178" spans="1:6" x14ac:dyDescent="0.2">
      <c r="A3178" s="1186" t="s">
        <v>621</v>
      </c>
      <c r="B3178" s="1186" t="s">
        <v>823</v>
      </c>
      <c r="C3178" s="1186" t="s">
        <v>116</v>
      </c>
      <c r="D3178" s="1186" t="s">
        <v>24</v>
      </c>
      <c r="E3178" s="1186">
        <v>7</v>
      </c>
      <c r="F3178" s="1186">
        <v>261470</v>
      </c>
    </row>
    <row r="3179" spans="1:6" x14ac:dyDescent="0.2">
      <c r="A3179" s="1186" t="s">
        <v>621</v>
      </c>
      <c r="B3179" s="1186" t="s">
        <v>823</v>
      </c>
      <c r="C3179" s="1186" t="s">
        <v>116</v>
      </c>
      <c r="D3179" s="1186" t="s">
        <v>25</v>
      </c>
      <c r="E3179" s="1186">
        <v>3</v>
      </c>
      <c r="F3179" s="1186">
        <v>116040</v>
      </c>
    </row>
    <row r="3180" spans="1:6" x14ac:dyDescent="0.2">
      <c r="A3180" s="1186" t="s">
        <v>621</v>
      </c>
      <c r="B3180" s="1186" t="s">
        <v>823</v>
      </c>
      <c r="C3180" s="1186" t="s">
        <v>116</v>
      </c>
      <c r="D3180" s="1186" t="s">
        <v>26</v>
      </c>
      <c r="E3180" s="1186">
        <v>6</v>
      </c>
      <c r="F3180" s="1186">
        <v>86260</v>
      </c>
    </row>
    <row r="3181" spans="1:6" x14ac:dyDescent="0.2">
      <c r="A3181" s="1186" t="s">
        <v>621</v>
      </c>
      <c r="B3181" s="1186" t="s">
        <v>823</v>
      </c>
      <c r="C3181" s="1186" t="s">
        <v>116</v>
      </c>
      <c r="D3181" s="1186" t="s">
        <v>619</v>
      </c>
      <c r="E3181" s="1186">
        <v>67</v>
      </c>
      <c r="F3181" s="1186">
        <v>518500</v>
      </c>
    </row>
    <row r="3182" spans="1:6" x14ac:dyDescent="0.2">
      <c r="A3182" s="1186" t="s">
        <v>621</v>
      </c>
      <c r="B3182" s="1186" t="s">
        <v>823</v>
      </c>
      <c r="C3182" s="1186" t="s">
        <v>116</v>
      </c>
      <c r="D3182" s="1186" t="s">
        <v>27</v>
      </c>
      <c r="E3182" s="1186">
        <v>1</v>
      </c>
      <c r="F3182" s="1186">
        <v>51400</v>
      </c>
    </row>
    <row r="3183" spans="1:6" x14ac:dyDescent="0.2">
      <c r="A3183" s="1186" t="s">
        <v>621</v>
      </c>
      <c r="B3183" s="1186" t="s">
        <v>823</v>
      </c>
      <c r="C3183" s="1186" t="s">
        <v>116</v>
      </c>
      <c r="D3183" s="1186" t="s">
        <v>28</v>
      </c>
      <c r="E3183" s="1186">
        <v>8</v>
      </c>
      <c r="F3183" s="1186">
        <v>148790</v>
      </c>
    </row>
    <row r="3184" spans="1:6" x14ac:dyDescent="0.2">
      <c r="A3184" s="1186" t="s">
        <v>621</v>
      </c>
      <c r="B3184" s="1186" t="s">
        <v>823</v>
      </c>
      <c r="C3184" s="1186" t="s">
        <v>116</v>
      </c>
      <c r="D3184" s="1186" t="s">
        <v>29</v>
      </c>
      <c r="E3184" s="1186">
        <v>21</v>
      </c>
      <c r="F3184" s="1186">
        <v>148750</v>
      </c>
    </row>
    <row r="3185" spans="1:6" x14ac:dyDescent="0.2">
      <c r="A3185" s="1186" t="s">
        <v>621</v>
      </c>
      <c r="B3185" s="1186" t="s">
        <v>823</v>
      </c>
      <c r="C3185" s="1186" t="s">
        <v>116</v>
      </c>
      <c r="D3185" s="1186" t="s">
        <v>30</v>
      </c>
      <c r="E3185" s="1186">
        <v>5</v>
      </c>
      <c r="F3185" s="1186">
        <v>121840</v>
      </c>
    </row>
    <row r="3186" spans="1:6" x14ac:dyDescent="0.2">
      <c r="A3186" s="1186" t="s">
        <v>621</v>
      </c>
      <c r="B3186" s="1186" t="s">
        <v>823</v>
      </c>
      <c r="C3186" s="1186" t="s">
        <v>116</v>
      </c>
      <c r="D3186" s="1186" t="s">
        <v>31</v>
      </c>
      <c r="E3186" s="1186">
        <v>6</v>
      </c>
      <c r="F3186" s="1186">
        <v>108330</v>
      </c>
    </row>
    <row r="3187" spans="1:6" x14ac:dyDescent="0.2">
      <c r="A3187" s="1186" t="s">
        <v>621</v>
      </c>
      <c r="B3187" s="1186" t="s">
        <v>823</v>
      </c>
      <c r="C3187" s="1186" t="s">
        <v>116</v>
      </c>
      <c r="D3187" s="1186" t="s">
        <v>32</v>
      </c>
      <c r="E3187" s="1186">
        <v>6</v>
      </c>
      <c r="F3187" s="1186">
        <v>105790</v>
      </c>
    </row>
    <row r="3188" spans="1:6" x14ac:dyDescent="0.2">
      <c r="A3188" s="1186" t="s">
        <v>621</v>
      </c>
      <c r="B3188" s="1186" t="s">
        <v>823</v>
      </c>
      <c r="C3188" s="1186" t="s">
        <v>116</v>
      </c>
      <c r="D3188" s="1186" t="s">
        <v>34</v>
      </c>
      <c r="E3188" s="1186">
        <v>14</v>
      </c>
      <c r="F3188" s="1186">
        <v>160340</v>
      </c>
    </row>
    <row r="3189" spans="1:6" x14ac:dyDescent="0.2">
      <c r="A3189" s="1186" t="s">
        <v>621</v>
      </c>
      <c r="B3189" s="1186" t="s">
        <v>823</v>
      </c>
      <c r="C3189" s="1186" t="s">
        <v>116</v>
      </c>
      <c r="D3189" s="1186" t="s">
        <v>35</v>
      </c>
      <c r="E3189" s="1186">
        <v>23</v>
      </c>
      <c r="F3189" s="1186">
        <v>371910</v>
      </c>
    </row>
    <row r="3190" spans="1:6" x14ac:dyDescent="0.2">
      <c r="A3190" s="1186" t="s">
        <v>621</v>
      </c>
      <c r="B3190" s="1186" t="s">
        <v>823</v>
      </c>
      <c r="C3190" s="1186" t="s">
        <v>116</v>
      </c>
      <c r="D3190" s="1186" t="s">
        <v>36</v>
      </c>
      <c r="E3190" s="1186">
        <v>111</v>
      </c>
      <c r="F3190" s="1186">
        <v>626410</v>
      </c>
    </row>
    <row r="3191" spans="1:6" x14ac:dyDescent="0.2">
      <c r="A3191" s="1186" t="s">
        <v>621</v>
      </c>
      <c r="B3191" s="1186" t="s">
        <v>823</v>
      </c>
      <c r="C3191" s="1186" t="s">
        <v>116</v>
      </c>
      <c r="D3191" s="1186" t="s">
        <v>37</v>
      </c>
      <c r="E3191" s="1186">
        <v>7</v>
      </c>
      <c r="F3191" s="1186">
        <v>235540</v>
      </c>
    </row>
    <row r="3192" spans="1:6" x14ac:dyDescent="0.2">
      <c r="A3192" s="1186" t="s">
        <v>621</v>
      </c>
      <c r="B3192" s="1186" t="s">
        <v>823</v>
      </c>
      <c r="C3192" s="1186" t="s">
        <v>116</v>
      </c>
      <c r="D3192" s="1186" t="s">
        <v>38</v>
      </c>
      <c r="E3192" s="1186">
        <v>15</v>
      </c>
      <c r="F3192" s="1186">
        <v>78150</v>
      </c>
    </row>
    <row r="3193" spans="1:6" x14ac:dyDescent="0.2">
      <c r="A3193" s="1186" t="s">
        <v>621</v>
      </c>
      <c r="B3193" s="1186" t="s">
        <v>823</v>
      </c>
      <c r="C3193" s="1186" t="s">
        <v>116</v>
      </c>
      <c r="D3193" s="1186" t="s">
        <v>39</v>
      </c>
      <c r="E3193" s="1186">
        <v>5</v>
      </c>
      <c r="F3193" s="1186">
        <v>91340</v>
      </c>
    </row>
    <row r="3194" spans="1:6" x14ac:dyDescent="0.2">
      <c r="A3194" s="1186" t="s">
        <v>621</v>
      </c>
      <c r="B3194" s="1186" t="s">
        <v>823</v>
      </c>
      <c r="C3194" s="1186" t="s">
        <v>116</v>
      </c>
      <c r="D3194" s="1186" t="s">
        <v>40</v>
      </c>
      <c r="E3194" s="1186">
        <v>3</v>
      </c>
      <c r="F3194" s="1186">
        <v>95520</v>
      </c>
    </row>
    <row r="3195" spans="1:6" x14ac:dyDescent="0.2">
      <c r="A3195" s="1186" t="s">
        <v>621</v>
      </c>
      <c r="B3195" s="1186" t="s">
        <v>823</v>
      </c>
      <c r="C3195" s="1186" t="s">
        <v>116</v>
      </c>
      <c r="D3195" s="1186" t="s">
        <v>295</v>
      </c>
      <c r="E3195" s="1186">
        <v>1</v>
      </c>
      <c r="F3195" s="1186">
        <v>26830</v>
      </c>
    </row>
    <row r="3196" spans="1:6" x14ac:dyDescent="0.2">
      <c r="A3196" s="1186" t="s">
        <v>621</v>
      </c>
      <c r="B3196" s="1186" t="s">
        <v>823</v>
      </c>
      <c r="C3196" s="1186" t="s">
        <v>116</v>
      </c>
      <c r="D3196" s="1186" t="s">
        <v>41</v>
      </c>
      <c r="E3196" s="1186">
        <v>17</v>
      </c>
      <c r="F3196" s="1186">
        <v>135280</v>
      </c>
    </row>
    <row r="3197" spans="1:6" x14ac:dyDescent="0.2">
      <c r="A3197" s="1186" t="s">
        <v>621</v>
      </c>
      <c r="B3197" s="1186" t="s">
        <v>823</v>
      </c>
      <c r="C3197" s="1186" t="s">
        <v>116</v>
      </c>
      <c r="D3197" s="1186" t="s">
        <v>42</v>
      </c>
      <c r="E3197" s="1186">
        <v>47</v>
      </c>
      <c r="F3197" s="1186">
        <v>340180</v>
      </c>
    </row>
    <row r="3198" spans="1:6" x14ac:dyDescent="0.2">
      <c r="A3198" s="1186" t="s">
        <v>621</v>
      </c>
      <c r="B3198" s="1186" t="s">
        <v>823</v>
      </c>
      <c r="C3198" s="1186" t="s">
        <v>116</v>
      </c>
      <c r="D3198" s="1186" t="s">
        <v>44</v>
      </c>
      <c r="E3198" s="1186">
        <v>2</v>
      </c>
      <c r="F3198" s="1186">
        <v>151290</v>
      </c>
    </row>
    <row r="3199" spans="1:6" x14ac:dyDescent="0.2">
      <c r="A3199" s="1186" t="s">
        <v>621</v>
      </c>
      <c r="B3199" s="1186" t="s">
        <v>823</v>
      </c>
      <c r="C3199" s="1186" t="s">
        <v>116</v>
      </c>
      <c r="D3199" s="1186" t="s">
        <v>45</v>
      </c>
      <c r="E3199" s="1186">
        <v>21</v>
      </c>
      <c r="F3199" s="1186">
        <v>177790</v>
      </c>
    </row>
    <row r="3200" spans="1:6" x14ac:dyDescent="0.2">
      <c r="A3200" s="1186" t="s">
        <v>621</v>
      </c>
      <c r="B3200" s="1186" t="s">
        <v>823</v>
      </c>
      <c r="C3200" s="1186" t="s">
        <v>116</v>
      </c>
      <c r="D3200" s="1186" t="s">
        <v>46</v>
      </c>
      <c r="E3200" s="1186">
        <v>12</v>
      </c>
      <c r="F3200" s="1186">
        <v>115270</v>
      </c>
    </row>
    <row r="3201" spans="1:6" x14ac:dyDescent="0.2">
      <c r="A3201" s="1186" t="s">
        <v>621</v>
      </c>
      <c r="B3201" s="1186" t="s">
        <v>823</v>
      </c>
      <c r="C3201" s="1186" t="s">
        <v>116</v>
      </c>
      <c r="D3201" s="1186" t="s">
        <v>48</v>
      </c>
      <c r="E3201" s="1186">
        <v>11</v>
      </c>
      <c r="F3201" s="1186">
        <v>112550</v>
      </c>
    </row>
    <row r="3202" spans="1:6" x14ac:dyDescent="0.2">
      <c r="A3202" s="1186" t="s">
        <v>621</v>
      </c>
      <c r="B3202" s="1186" t="s">
        <v>823</v>
      </c>
      <c r="C3202" s="1186" t="s">
        <v>116</v>
      </c>
      <c r="D3202" s="1186" t="s">
        <v>49</v>
      </c>
      <c r="E3202" s="1186">
        <v>27</v>
      </c>
      <c r="F3202" s="1186">
        <v>319020</v>
      </c>
    </row>
    <row r="3203" spans="1:6" x14ac:dyDescent="0.2">
      <c r="A3203" s="1186" t="s">
        <v>621</v>
      </c>
      <c r="B3203" s="1186" t="s">
        <v>823</v>
      </c>
      <c r="C3203" s="1186" t="s">
        <v>116</v>
      </c>
      <c r="D3203" s="1186" t="s">
        <v>50</v>
      </c>
      <c r="E3203" s="1186">
        <v>6</v>
      </c>
      <c r="F3203" s="1186">
        <v>94330</v>
      </c>
    </row>
    <row r="3204" spans="1:6" x14ac:dyDescent="0.2">
      <c r="A3204" s="1186" t="s">
        <v>621</v>
      </c>
      <c r="B3204" s="1186" t="s">
        <v>823</v>
      </c>
      <c r="C3204" s="1186" t="s">
        <v>116</v>
      </c>
      <c r="D3204" s="1186" t="s">
        <v>51</v>
      </c>
      <c r="E3204" s="1186">
        <v>11</v>
      </c>
      <c r="F3204" s="1186">
        <v>89130</v>
      </c>
    </row>
    <row r="3205" spans="1:6" x14ac:dyDescent="0.2">
      <c r="A3205" s="1186" t="s">
        <v>621</v>
      </c>
      <c r="B3205" s="1186" t="s">
        <v>823</v>
      </c>
      <c r="C3205" s="1186" t="s">
        <v>116</v>
      </c>
      <c r="D3205" s="1186" t="s">
        <v>52</v>
      </c>
      <c r="E3205" s="1186">
        <v>20</v>
      </c>
      <c r="F3205" s="1186">
        <v>182140</v>
      </c>
    </row>
    <row r="3206" spans="1:6" x14ac:dyDescent="0.2">
      <c r="A3206" s="1186" t="s">
        <v>621</v>
      </c>
      <c r="B3206" s="1186" t="s">
        <v>824</v>
      </c>
      <c r="C3206" s="1186" t="s">
        <v>61</v>
      </c>
      <c r="D3206" s="1186" t="s">
        <v>23</v>
      </c>
      <c r="E3206" s="1186">
        <v>102</v>
      </c>
      <c r="F3206" s="1186">
        <v>227560</v>
      </c>
    </row>
    <row r="3207" spans="1:6" x14ac:dyDescent="0.2">
      <c r="A3207" s="1186" t="s">
        <v>621</v>
      </c>
      <c r="B3207" s="1186" t="s">
        <v>824</v>
      </c>
      <c r="C3207" s="1186" t="s">
        <v>61</v>
      </c>
      <c r="D3207" s="1186" t="s">
        <v>24</v>
      </c>
      <c r="E3207" s="1186">
        <v>77</v>
      </c>
      <c r="F3207" s="1186">
        <v>261470</v>
      </c>
    </row>
    <row r="3208" spans="1:6" x14ac:dyDescent="0.2">
      <c r="A3208" s="1186" t="s">
        <v>621</v>
      </c>
      <c r="B3208" s="1186" t="s">
        <v>824</v>
      </c>
      <c r="C3208" s="1186" t="s">
        <v>61</v>
      </c>
      <c r="D3208" s="1186" t="s">
        <v>25</v>
      </c>
      <c r="E3208" s="1186">
        <v>32</v>
      </c>
      <c r="F3208" s="1186">
        <v>116040</v>
      </c>
    </row>
    <row r="3209" spans="1:6" x14ac:dyDescent="0.2">
      <c r="A3209" s="1186" t="s">
        <v>621</v>
      </c>
      <c r="B3209" s="1186" t="s">
        <v>824</v>
      </c>
      <c r="C3209" s="1186" t="s">
        <v>61</v>
      </c>
      <c r="D3209" s="1186" t="s">
        <v>26</v>
      </c>
      <c r="E3209" s="1186">
        <v>34</v>
      </c>
      <c r="F3209" s="1186">
        <v>86260</v>
      </c>
    </row>
    <row r="3210" spans="1:6" x14ac:dyDescent="0.2">
      <c r="A3210" s="1186" t="s">
        <v>621</v>
      </c>
      <c r="B3210" s="1186" t="s">
        <v>824</v>
      </c>
      <c r="C3210" s="1186" t="s">
        <v>61</v>
      </c>
      <c r="D3210" s="1186" t="s">
        <v>619</v>
      </c>
      <c r="E3210" s="1186">
        <v>185</v>
      </c>
      <c r="F3210" s="1186">
        <v>518500</v>
      </c>
    </row>
    <row r="3211" spans="1:6" x14ac:dyDescent="0.2">
      <c r="A3211" s="1186" t="s">
        <v>621</v>
      </c>
      <c r="B3211" s="1186" t="s">
        <v>824</v>
      </c>
      <c r="C3211" s="1186" t="s">
        <v>61</v>
      </c>
      <c r="D3211" s="1186" t="s">
        <v>27</v>
      </c>
      <c r="E3211" s="1186">
        <v>12</v>
      </c>
      <c r="F3211" s="1186">
        <v>51400</v>
      </c>
    </row>
    <row r="3212" spans="1:6" x14ac:dyDescent="0.2">
      <c r="A3212" s="1186" t="s">
        <v>621</v>
      </c>
      <c r="B3212" s="1186" t="s">
        <v>824</v>
      </c>
      <c r="C3212" s="1186" t="s">
        <v>61</v>
      </c>
      <c r="D3212" s="1186" t="s">
        <v>28</v>
      </c>
      <c r="E3212" s="1186">
        <v>45</v>
      </c>
      <c r="F3212" s="1186">
        <v>148790</v>
      </c>
    </row>
    <row r="3213" spans="1:6" x14ac:dyDescent="0.2">
      <c r="A3213" s="1186" t="s">
        <v>621</v>
      </c>
      <c r="B3213" s="1186" t="s">
        <v>824</v>
      </c>
      <c r="C3213" s="1186" t="s">
        <v>61</v>
      </c>
      <c r="D3213" s="1186" t="s">
        <v>29</v>
      </c>
      <c r="E3213" s="1186">
        <v>53</v>
      </c>
      <c r="F3213" s="1186">
        <v>148750</v>
      </c>
    </row>
    <row r="3214" spans="1:6" x14ac:dyDescent="0.2">
      <c r="A3214" s="1186" t="s">
        <v>621</v>
      </c>
      <c r="B3214" s="1186" t="s">
        <v>824</v>
      </c>
      <c r="C3214" s="1186" t="s">
        <v>61</v>
      </c>
      <c r="D3214" s="1186" t="s">
        <v>30</v>
      </c>
      <c r="E3214" s="1186">
        <v>41</v>
      </c>
      <c r="F3214" s="1186">
        <v>121840</v>
      </c>
    </row>
    <row r="3215" spans="1:6" x14ac:dyDescent="0.2">
      <c r="A3215" s="1186" t="s">
        <v>621</v>
      </c>
      <c r="B3215" s="1186" t="s">
        <v>824</v>
      </c>
      <c r="C3215" s="1186" t="s">
        <v>61</v>
      </c>
      <c r="D3215" s="1186" t="s">
        <v>31</v>
      </c>
      <c r="E3215" s="1186">
        <v>30</v>
      </c>
      <c r="F3215" s="1186">
        <v>108330</v>
      </c>
    </row>
    <row r="3216" spans="1:6" x14ac:dyDescent="0.2">
      <c r="A3216" s="1186" t="s">
        <v>621</v>
      </c>
      <c r="B3216" s="1186" t="s">
        <v>824</v>
      </c>
      <c r="C3216" s="1186" t="s">
        <v>61</v>
      </c>
      <c r="D3216" s="1186" t="s">
        <v>32</v>
      </c>
      <c r="E3216" s="1186">
        <v>33</v>
      </c>
      <c r="F3216" s="1186">
        <v>105790</v>
      </c>
    </row>
    <row r="3217" spans="1:6" x14ac:dyDescent="0.2">
      <c r="A3217" s="1186" t="s">
        <v>621</v>
      </c>
      <c r="B3217" s="1186" t="s">
        <v>824</v>
      </c>
      <c r="C3217" s="1186" t="s">
        <v>61</v>
      </c>
      <c r="D3217" s="1186" t="s">
        <v>33</v>
      </c>
      <c r="E3217" s="1186">
        <v>17</v>
      </c>
      <c r="F3217" s="1186">
        <v>95170</v>
      </c>
    </row>
    <row r="3218" spans="1:6" x14ac:dyDescent="0.2">
      <c r="A3218" s="1186" t="s">
        <v>621</v>
      </c>
      <c r="B3218" s="1186" t="s">
        <v>824</v>
      </c>
      <c r="C3218" s="1186" t="s">
        <v>61</v>
      </c>
      <c r="D3218" s="1186" t="s">
        <v>34</v>
      </c>
      <c r="E3218" s="1186">
        <v>37</v>
      </c>
      <c r="F3218" s="1186">
        <v>160340</v>
      </c>
    </row>
    <row r="3219" spans="1:6" x14ac:dyDescent="0.2">
      <c r="A3219" s="1186" t="s">
        <v>621</v>
      </c>
      <c r="B3219" s="1186" t="s">
        <v>824</v>
      </c>
      <c r="C3219" s="1186" t="s">
        <v>61</v>
      </c>
      <c r="D3219" s="1186" t="s">
        <v>35</v>
      </c>
      <c r="E3219" s="1186">
        <v>92</v>
      </c>
      <c r="F3219" s="1186">
        <v>371910</v>
      </c>
    </row>
    <row r="3220" spans="1:6" x14ac:dyDescent="0.2">
      <c r="A3220" s="1186" t="s">
        <v>621</v>
      </c>
      <c r="B3220" s="1186" t="s">
        <v>824</v>
      </c>
      <c r="C3220" s="1186" t="s">
        <v>61</v>
      </c>
      <c r="D3220" s="1186" t="s">
        <v>36</v>
      </c>
      <c r="E3220" s="1186">
        <v>256</v>
      </c>
      <c r="F3220" s="1186">
        <v>626410</v>
      </c>
    </row>
    <row r="3221" spans="1:6" x14ac:dyDescent="0.2">
      <c r="A3221" s="1186" t="s">
        <v>621</v>
      </c>
      <c r="B3221" s="1186" t="s">
        <v>824</v>
      </c>
      <c r="C3221" s="1186" t="s">
        <v>61</v>
      </c>
      <c r="D3221" s="1186" t="s">
        <v>37</v>
      </c>
      <c r="E3221" s="1186">
        <v>91</v>
      </c>
      <c r="F3221" s="1186">
        <v>235540</v>
      </c>
    </row>
    <row r="3222" spans="1:6" x14ac:dyDescent="0.2">
      <c r="A3222" s="1186" t="s">
        <v>621</v>
      </c>
      <c r="B3222" s="1186" t="s">
        <v>824</v>
      </c>
      <c r="C3222" s="1186" t="s">
        <v>61</v>
      </c>
      <c r="D3222" s="1186" t="s">
        <v>38</v>
      </c>
      <c r="E3222" s="1186">
        <v>19</v>
      </c>
      <c r="F3222" s="1186">
        <v>78150</v>
      </c>
    </row>
    <row r="3223" spans="1:6" x14ac:dyDescent="0.2">
      <c r="A3223" s="1186" t="s">
        <v>621</v>
      </c>
      <c r="B3223" s="1186" t="s">
        <v>824</v>
      </c>
      <c r="C3223" s="1186" t="s">
        <v>61</v>
      </c>
      <c r="D3223" s="1186" t="s">
        <v>39</v>
      </c>
      <c r="E3223" s="1186">
        <v>21</v>
      </c>
      <c r="F3223" s="1186">
        <v>91340</v>
      </c>
    </row>
    <row r="3224" spans="1:6" x14ac:dyDescent="0.2">
      <c r="A3224" s="1186" t="s">
        <v>621</v>
      </c>
      <c r="B3224" s="1186" t="s">
        <v>824</v>
      </c>
      <c r="C3224" s="1186" t="s">
        <v>61</v>
      </c>
      <c r="D3224" s="1186" t="s">
        <v>40</v>
      </c>
      <c r="E3224" s="1186">
        <v>37</v>
      </c>
      <c r="F3224" s="1186">
        <v>95520</v>
      </c>
    </row>
    <row r="3225" spans="1:6" x14ac:dyDescent="0.2">
      <c r="A3225" s="1186" t="s">
        <v>621</v>
      </c>
      <c r="B3225" s="1186" t="s">
        <v>824</v>
      </c>
      <c r="C3225" s="1186" t="s">
        <v>61</v>
      </c>
      <c r="D3225" s="1186" t="s">
        <v>295</v>
      </c>
      <c r="E3225" s="1186">
        <v>9</v>
      </c>
      <c r="F3225" s="1186">
        <v>26830</v>
      </c>
    </row>
    <row r="3226" spans="1:6" x14ac:dyDescent="0.2">
      <c r="A3226" s="1186" t="s">
        <v>621</v>
      </c>
      <c r="B3226" s="1186" t="s">
        <v>824</v>
      </c>
      <c r="C3226" s="1186" t="s">
        <v>61</v>
      </c>
      <c r="D3226" s="1186" t="s">
        <v>41</v>
      </c>
      <c r="E3226" s="1186">
        <v>46</v>
      </c>
      <c r="F3226" s="1186">
        <v>135280</v>
      </c>
    </row>
    <row r="3227" spans="1:6" x14ac:dyDescent="0.2">
      <c r="A3227" s="1186" t="s">
        <v>621</v>
      </c>
      <c r="B3227" s="1186" t="s">
        <v>824</v>
      </c>
      <c r="C3227" s="1186" t="s">
        <v>61</v>
      </c>
      <c r="D3227" s="1186" t="s">
        <v>42</v>
      </c>
      <c r="E3227" s="1186">
        <v>94</v>
      </c>
      <c r="F3227" s="1186">
        <v>340180</v>
      </c>
    </row>
    <row r="3228" spans="1:6" x14ac:dyDescent="0.2">
      <c r="A3228" s="1186" t="s">
        <v>621</v>
      </c>
      <c r="B3228" s="1186" t="s">
        <v>824</v>
      </c>
      <c r="C3228" s="1186" t="s">
        <v>61</v>
      </c>
      <c r="D3228" s="1186" t="s">
        <v>43</v>
      </c>
      <c r="E3228" s="1186">
        <v>5</v>
      </c>
      <c r="F3228" s="1186">
        <v>22190</v>
      </c>
    </row>
    <row r="3229" spans="1:6" x14ac:dyDescent="0.2">
      <c r="A3229" s="1186" t="s">
        <v>621</v>
      </c>
      <c r="B3229" s="1186" t="s">
        <v>824</v>
      </c>
      <c r="C3229" s="1186" t="s">
        <v>61</v>
      </c>
      <c r="D3229" s="1186" t="s">
        <v>44</v>
      </c>
      <c r="E3229" s="1186">
        <v>42</v>
      </c>
      <c r="F3229" s="1186">
        <v>151290</v>
      </c>
    </row>
    <row r="3230" spans="1:6" x14ac:dyDescent="0.2">
      <c r="A3230" s="1186" t="s">
        <v>621</v>
      </c>
      <c r="B3230" s="1186" t="s">
        <v>824</v>
      </c>
      <c r="C3230" s="1186" t="s">
        <v>61</v>
      </c>
      <c r="D3230" s="1186" t="s">
        <v>45</v>
      </c>
      <c r="E3230" s="1186">
        <v>48</v>
      </c>
      <c r="F3230" s="1186">
        <v>177790</v>
      </c>
    </row>
    <row r="3231" spans="1:6" x14ac:dyDescent="0.2">
      <c r="A3231" s="1186" t="s">
        <v>621</v>
      </c>
      <c r="B3231" s="1186" t="s">
        <v>824</v>
      </c>
      <c r="C3231" s="1186" t="s">
        <v>61</v>
      </c>
      <c r="D3231" s="1186" t="s">
        <v>46</v>
      </c>
      <c r="E3231" s="1186">
        <v>32</v>
      </c>
      <c r="F3231" s="1186">
        <v>115270</v>
      </c>
    </row>
    <row r="3232" spans="1:6" x14ac:dyDescent="0.2">
      <c r="A3232" s="1186" t="s">
        <v>621</v>
      </c>
      <c r="B3232" s="1186" t="s">
        <v>824</v>
      </c>
      <c r="C3232" s="1186" t="s">
        <v>61</v>
      </c>
      <c r="D3232" s="1186" t="s">
        <v>47</v>
      </c>
      <c r="E3232" s="1186">
        <v>6</v>
      </c>
      <c r="F3232" s="1186">
        <v>22990</v>
      </c>
    </row>
    <row r="3233" spans="1:6" x14ac:dyDescent="0.2">
      <c r="A3233" s="1186" t="s">
        <v>621</v>
      </c>
      <c r="B3233" s="1186" t="s">
        <v>824</v>
      </c>
      <c r="C3233" s="1186" t="s">
        <v>61</v>
      </c>
      <c r="D3233" s="1186" t="s">
        <v>48</v>
      </c>
      <c r="E3233" s="1186">
        <v>43</v>
      </c>
      <c r="F3233" s="1186">
        <v>112550</v>
      </c>
    </row>
    <row r="3234" spans="1:6" x14ac:dyDescent="0.2">
      <c r="A3234" s="1186" t="s">
        <v>621</v>
      </c>
      <c r="B3234" s="1186" t="s">
        <v>824</v>
      </c>
      <c r="C3234" s="1186" t="s">
        <v>61</v>
      </c>
      <c r="D3234" s="1186" t="s">
        <v>49</v>
      </c>
      <c r="E3234" s="1186">
        <v>73</v>
      </c>
      <c r="F3234" s="1186">
        <v>319020</v>
      </c>
    </row>
    <row r="3235" spans="1:6" x14ac:dyDescent="0.2">
      <c r="A3235" s="1186" t="s">
        <v>621</v>
      </c>
      <c r="B3235" s="1186" t="s">
        <v>824</v>
      </c>
      <c r="C3235" s="1186" t="s">
        <v>61</v>
      </c>
      <c r="D3235" s="1186" t="s">
        <v>50</v>
      </c>
      <c r="E3235" s="1186">
        <v>22</v>
      </c>
      <c r="F3235" s="1186">
        <v>94330</v>
      </c>
    </row>
    <row r="3236" spans="1:6" x14ac:dyDescent="0.2">
      <c r="A3236" s="1186" t="s">
        <v>621</v>
      </c>
      <c r="B3236" s="1186" t="s">
        <v>824</v>
      </c>
      <c r="C3236" s="1186" t="s">
        <v>61</v>
      </c>
      <c r="D3236" s="1186" t="s">
        <v>51</v>
      </c>
      <c r="E3236" s="1186">
        <v>22</v>
      </c>
      <c r="F3236" s="1186">
        <v>89130</v>
      </c>
    </row>
    <row r="3237" spans="1:6" x14ac:dyDescent="0.2">
      <c r="A3237" s="1186" t="s">
        <v>621</v>
      </c>
      <c r="B3237" s="1186" t="s">
        <v>824</v>
      </c>
      <c r="C3237" s="1186" t="s">
        <v>61</v>
      </c>
      <c r="D3237" s="1186" t="s">
        <v>52</v>
      </c>
      <c r="E3237" s="1186">
        <v>47</v>
      </c>
      <c r="F3237" s="1186">
        <v>182140</v>
      </c>
    </row>
    <row r="3238" spans="1:6" x14ac:dyDescent="0.2">
      <c r="A3238" s="1186" t="s">
        <v>621</v>
      </c>
      <c r="B3238" s="1186" t="s">
        <v>824</v>
      </c>
      <c r="C3238" s="1186" t="s">
        <v>116</v>
      </c>
      <c r="D3238" s="1186" t="s">
        <v>23</v>
      </c>
      <c r="E3238" s="1186">
        <v>16</v>
      </c>
      <c r="F3238" s="1186">
        <v>227560</v>
      </c>
    </row>
    <row r="3239" spans="1:6" x14ac:dyDescent="0.2">
      <c r="A3239" s="1186" t="s">
        <v>621</v>
      </c>
      <c r="B3239" s="1186" t="s">
        <v>824</v>
      </c>
      <c r="C3239" s="1186" t="s">
        <v>116</v>
      </c>
      <c r="D3239" s="1186" t="s">
        <v>24</v>
      </c>
      <c r="E3239" s="1186">
        <v>29</v>
      </c>
      <c r="F3239" s="1186">
        <v>261470</v>
      </c>
    </row>
    <row r="3240" spans="1:6" x14ac:dyDescent="0.2">
      <c r="A3240" s="1186" t="s">
        <v>621</v>
      </c>
      <c r="B3240" s="1186" t="s">
        <v>824</v>
      </c>
      <c r="C3240" s="1186" t="s">
        <v>116</v>
      </c>
      <c r="D3240" s="1186" t="s">
        <v>25</v>
      </c>
      <c r="E3240" s="1186">
        <v>3</v>
      </c>
      <c r="F3240" s="1186">
        <v>116040</v>
      </c>
    </row>
    <row r="3241" spans="1:6" x14ac:dyDescent="0.2">
      <c r="A3241" s="1186" t="s">
        <v>621</v>
      </c>
      <c r="B3241" s="1186" t="s">
        <v>824</v>
      </c>
      <c r="C3241" s="1186" t="s">
        <v>116</v>
      </c>
      <c r="D3241" s="1186" t="s">
        <v>26</v>
      </c>
      <c r="E3241" s="1186">
        <v>6</v>
      </c>
      <c r="F3241" s="1186">
        <v>86260</v>
      </c>
    </row>
    <row r="3242" spans="1:6" x14ac:dyDescent="0.2">
      <c r="A3242" s="1186" t="s">
        <v>621</v>
      </c>
      <c r="B3242" s="1186" t="s">
        <v>824</v>
      </c>
      <c r="C3242" s="1186" t="s">
        <v>116</v>
      </c>
      <c r="D3242" s="1186" t="s">
        <v>619</v>
      </c>
      <c r="E3242" s="1186">
        <v>50</v>
      </c>
      <c r="F3242" s="1186">
        <v>518500</v>
      </c>
    </row>
    <row r="3243" spans="1:6" x14ac:dyDescent="0.2">
      <c r="A3243" s="1186" t="s">
        <v>621</v>
      </c>
      <c r="B3243" s="1186" t="s">
        <v>824</v>
      </c>
      <c r="C3243" s="1186" t="s">
        <v>116</v>
      </c>
      <c r="D3243" s="1186" t="s">
        <v>27</v>
      </c>
      <c r="E3243" s="1186">
        <v>5</v>
      </c>
      <c r="F3243" s="1186">
        <v>51400</v>
      </c>
    </row>
    <row r="3244" spans="1:6" x14ac:dyDescent="0.2">
      <c r="A3244" s="1186" t="s">
        <v>621</v>
      </c>
      <c r="B3244" s="1186" t="s">
        <v>824</v>
      </c>
      <c r="C3244" s="1186" t="s">
        <v>116</v>
      </c>
      <c r="D3244" s="1186" t="s">
        <v>28</v>
      </c>
      <c r="E3244" s="1186">
        <v>7</v>
      </c>
      <c r="F3244" s="1186">
        <v>148790</v>
      </c>
    </row>
    <row r="3245" spans="1:6" x14ac:dyDescent="0.2">
      <c r="A3245" s="1186" t="s">
        <v>621</v>
      </c>
      <c r="B3245" s="1186" t="s">
        <v>824</v>
      </c>
      <c r="C3245" s="1186" t="s">
        <v>116</v>
      </c>
      <c r="D3245" s="1186" t="s">
        <v>29</v>
      </c>
      <c r="E3245" s="1186">
        <v>14</v>
      </c>
      <c r="F3245" s="1186">
        <v>148750</v>
      </c>
    </row>
    <row r="3246" spans="1:6" x14ac:dyDescent="0.2">
      <c r="A3246" s="1186" t="s">
        <v>621</v>
      </c>
      <c r="B3246" s="1186" t="s">
        <v>824</v>
      </c>
      <c r="C3246" s="1186" t="s">
        <v>116</v>
      </c>
      <c r="D3246" s="1186" t="s">
        <v>30</v>
      </c>
      <c r="E3246" s="1186">
        <v>12</v>
      </c>
      <c r="F3246" s="1186">
        <v>121840</v>
      </c>
    </row>
    <row r="3247" spans="1:6" x14ac:dyDescent="0.2">
      <c r="A3247" s="1186" t="s">
        <v>621</v>
      </c>
      <c r="B3247" s="1186" t="s">
        <v>824</v>
      </c>
      <c r="C3247" s="1186" t="s">
        <v>116</v>
      </c>
      <c r="D3247" s="1186" t="s">
        <v>31</v>
      </c>
      <c r="E3247" s="1186">
        <v>13</v>
      </c>
      <c r="F3247" s="1186">
        <v>108330</v>
      </c>
    </row>
    <row r="3248" spans="1:6" x14ac:dyDescent="0.2">
      <c r="A3248" s="1186" t="s">
        <v>621</v>
      </c>
      <c r="B3248" s="1186" t="s">
        <v>824</v>
      </c>
      <c r="C3248" s="1186" t="s">
        <v>116</v>
      </c>
      <c r="D3248" s="1186" t="s">
        <v>32</v>
      </c>
      <c r="E3248" s="1186">
        <v>12</v>
      </c>
      <c r="F3248" s="1186">
        <v>105790</v>
      </c>
    </row>
    <row r="3249" spans="1:6" x14ac:dyDescent="0.2">
      <c r="A3249" s="1186" t="s">
        <v>621</v>
      </c>
      <c r="B3249" s="1186" t="s">
        <v>824</v>
      </c>
      <c r="C3249" s="1186" t="s">
        <v>116</v>
      </c>
      <c r="D3249" s="1186" t="s">
        <v>33</v>
      </c>
      <c r="E3249" s="1186">
        <v>6</v>
      </c>
      <c r="F3249" s="1186">
        <v>95170</v>
      </c>
    </row>
    <row r="3250" spans="1:6" x14ac:dyDescent="0.2">
      <c r="A3250" s="1186" t="s">
        <v>621</v>
      </c>
      <c r="B3250" s="1186" t="s">
        <v>824</v>
      </c>
      <c r="C3250" s="1186" t="s">
        <v>116</v>
      </c>
      <c r="D3250" s="1186" t="s">
        <v>34</v>
      </c>
      <c r="E3250" s="1186">
        <v>33</v>
      </c>
      <c r="F3250" s="1186">
        <v>160340</v>
      </c>
    </row>
    <row r="3251" spans="1:6" x14ac:dyDescent="0.2">
      <c r="A3251" s="1186" t="s">
        <v>621</v>
      </c>
      <c r="B3251" s="1186" t="s">
        <v>824</v>
      </c>
      <c r="C3251" s="1186" t="s">
        <v>116</v>
      </c>
      <c r="D3251" s="1186" t="s">
        <v>35</v>
      </c>
      <c r="E3251" s="1186">
        <v>31</v>
      </c>
      <c r="F3251" s="1186">
        <v>371910</v>
      </c>
    </row>
    <row r="3252" spans="1:6" x14ac:dyDescent="0.2">
      <c r="A3252" s="1186" t="s">
        <v>621</v>
      </c>
      <c r="B3252" s="1186" t="s">
        <v>824</v>
      </c>
      <c r="C3252" s="1186" t="s">
        <v>116</v>
      </c>
      <c r="D3252" s="1186" t="s">
        <v>36</v>
      </c>
      <c r="E3252" s="1186">
        <v>106</v>
      </c>
      <c r="F3252" s="1186">
        <v>626410</v>
      </c>
    </row>
    <row r="3253" spans="1:6" x14ac:dyDescent="0.2">
      <c r="A3253" s="1186" t="s">
        <v>621</v>
      </c>
      <c r="B3253" s="1186" t="s">
        <v>824</v>
      </c>
      <c r="C3253" s="1186" t="s">
        <v>116</v>
      </c>
      <c r="D3253" s="1186" t="s">
        <v>37</v>
      </c>
      <c r="E3253" s="1186">
        <v>9</v>
      </c>
      <c r="F3253" s="1186">
        <v>235540</v>
      </c>
    </row>
    <row r="3254" spans="1:6" x14ac:dyDescent="0.2">
      <c r="A3254" s="1186" t="s">
        <v>621</v>
      </c>
      <c r="B3254" s="1186" t="s">
        <v>824</v>
      </c>
      <c r="C3254" s="1186" t="s">
        <v>116</v>
      </c>
      <c r="D3254" s="1186" t="s">
        <v>38</v>
      </c>
      <c r="E3254" s="1186">
        <v>4</v>
      </c>
      <c r="F3254" s="1186">
        <v>78150</v>
      </c>
    </row>
    <row r="3255" spans="1:6" x14ac:dyDescent="0.2">
      <c r="A3255" s="1186" t="s">
        <v>621</v>
      </c>
      <c r="B3255" s="1186" t="s">
        <v>824</v>
      </c>
      <c r="C3255" s="1186" t="s">
        <v>116</v>
      </c>
      <c r="D3255" s="1186" t="s">
        <v>39</v>
      </c>
      <c r="E3255" s="1186">
        <v>11</v>
      </c>
      <c r="F3255" s="1186">
        <v>91340</v>
      </c>
    </row>
    <row r="3256" spans="1:6" x14ac:dyDescent="0.2">
      <c r="A3256" s="1186" t="s">
        <v>621</v>
      </c>
      <c r="B3256" s="1186" t="s">
        <v>824</v>
      </c>
      <c r="C3256" s="1186" t="s">
        <v>116</v>
      </c>
      <c r="D3256" s="1186" t="s">
        <v>40</v>
      </c>
      <c r="E3256" s="1186">
        <v>4</v>
      </c>
      <c r="F3256" s="1186">
        <v>95520</v>
      </c>
    </row>
    <row r="3257" spans="1:6" x14ac:dyDescent="0.2">
      <c r="A3257" s="1186" t="s">
        <v>621</v>
      </c>
      <c r="B3257" s="1186" t="s">
        <v>824</v>
      </c>
      <c r="C3257" s="1186" t="s">
        <v>116</v>
      </c>
      <c r="D3257" s="1186" t="s">
        <v>41</v>
      </c>
      <c r="E3257" s="1186">
        <v>18</v>
      </c>
      <c r="F3257" s="1186">
        <v>135280</v>
      </c>
    </row>
    <row r="3258" spans="1:6" x14ac:dyDescent="0.2">
      <c r="A3258" s="1186" t="s">
        <v>621</v>
      </c>
      <c r="B3258" s="1186" t="s">
        <v>824</v>
      </c>
      <c r="C3258" s="1186" t="s">
        <v>116</v>
      </c>
      <c r="D3258" s="1186" t="s">
        <v>42</v>
      </c>
      <c r="E3258" s="1186">
        <v>44</v>
      </c>
      <c r="F3258" s="1186">
        <v>340180</v>
      </c>
    </row>
    <row r="3259" spans="1:6" x14ac:dyDescent="0.2">
      <c r="A3259" s="1186" t="s">
        <v>621</v>
      </c>
      <c r="B3259" s="1186" t="s">
        <v>824</v>
      </c>
      <c r="C3259" s="1186" t="s">
        <v>116</v>
      </c>
      <c r="D3259" s="1186" t="s">
        <v>44</v>
      </c>
      <c r="E3259" s="1186">
        <v>11</v>
      </c>
      <c r="F3259" s="1186">
        <v>151290</v>
      </c>
    </row>
    <row r="3260" spans="1:6" x14ac:dyDescent="0.2">
      <c r="A3260" s="1186" t="s">
        <v>621</v>
      </c>
      <c r="B3260" s="1186" t="s">
        <v>824</v>
      </c>
      <c r="C3260" s="1186" t="s">
        <v>116</v>
      </c>
      <c r="D3260" s="1186" t="s">
        <v>45</v>
      </c>
      <c r="E3260" s="1186">
        <v>24</v>
      </c>
      <c r="F3260" s="1186">
        <v>177790</v>
      </c>
    </row>
    <row r="3261" spans="1:6" x14ac:dyDescent="0.2">
      <c r="A3261" s="1186" t="s">
        <v>621</v>
      </c>
      <c r="B3261" s="1186" t="s">
        <v>824</v>
      </c>
      <c r="C3261" s="1186" t="s">
        <v>116</v>
      </c>
      <c r="D3261" s="1186" t="s">
        <v>46</v>
      </c>
      <c r="E3261" s="1186">
        <v>10</v>
      </c>
      <c r="F3261" s="1186">
        <v>115270</v>
      </c>
    </row>
    <row r="3262" spans="1:6" x14ac:dyDescent="0.2">
      <c r="A3262" s="1186" t="s">
        <v>621</v>
      </c>
      <c r="B3262" s="1186" t="s">
        <v>824</v>
      </c>
      <c r="C3262" s="1186" t="s">
        <v>116</v>
      </c>
      <c r="D3262" s="1186" t="s">
        <v>47</v>
      </c>
      <c r="E3262" s="1186">
        <v>1</v>
      </c>
      <c r="F3262" s="1186">
        <v>22990</v>
      </c>
    </row>
    <row r="3263" spans="1:6" x14ac:dyDescent="0.2">
      <c r="A3263" s="1186" t="s">
        <v>621</v>
      </c>
      <c r="B3263" s="1186" t="s">
        <v>824</v>
      </c>
      <c r="C3263" s="1186" t="s">
        <v>116</v>
      </c>
      <c r="D3263" s="1186" t="s">
        <v>48</v>
      </c>
      <c r="E3263" s="1186">
        <v>7</v>
      </c>
      <c r="F3263" s="1186">
        <v>112550</v>
      </c>
    </row>
    <row r="3264" spans="1:6" x14ac:dyDescent="0.2">
      <c r="A3264" s="1186" t="s">
        <v>621</v>
      </c>
      <c r="B3264" s="1186" t="s">
        <v>824</v>
      </c>
      <c r="C3264" s="1186" t="s">
        <v>116</v>
      </c>
      <c r="D3264" s="1186" t="s">
        <v>49</v>
      </c>
      <c r="E3264" s="1186">
        <v>16</v>
      </c>
      <c r="F3264" s="1186">
        <v>319020</v>
      </c>
    </row>
    <row r="3265" spans="1:6" x14ac:dyDescent="0.2">
      <c r="A3265" s="1186" t="s">
        <v>621</v>
      </c>
      <c r="B3265" s="1186" t="s">
        <v>824</v>
      </c>
      <c r="C3265" s="1186" t="s">
        <v>116</v>
      </c>
      <c r="D3265" s="1186" t="s">
        <v>50</v>
      </c>
      <c r="E3265" s="1186">
        <v>10</v>
      </c>
      <c r="F3265" s="1186">
        <v>94330</v>
      </c>
    </row>
    <row r="3266" spans="1:6" x14ac:dyDescent="0.2">
      <c r="A3266" s="1186" t="s">
        <v>621</v>
      </c>
      <c r="B3266" s="1186" t="s">
        <v>824</v>
      </c>
      <c r="C3266" s="1186" t="s">
        <v>116</v>
      </c>
      <c r="D3266" s="1186" t="s">
        <v>51</v>
      </c>
      <c r="E3266" s="1186">
        <v>12</v>
      </c>
      <c r="F3266" s="1186">
        <v>89130</v>
      </c>
    </row>
    <row r="3267" spans="1:6" x14ac:dyDescent="0.2">
      <c r="A3267" s="1186" t="s">
        <v>621</v>
      </c>
      <c r="B3267" s="1186" t="s">
        <v>824</v>
      </c>
      <c r="C3267" s="1186" t="s">
        <v>116</v>
      </c>
      <c r="D3267" s="1186" t="s">
        <v>52</v>
      </c>
      <c r="E3267" s="1186">
        <v>25</v>
      </c>
      <c r="F3267" s="1186">
        <v>182140</v>
      </c>
    </row>
    <row r="3268" spans="1:6" x14ac:dyDescent="0.2">
      <c r="A3268" s="1186" t="s">
        <v>621</v>
      </c>
      <c r="B3268" s="1186" t="s">
        <v>825</v>
      </c>
      <c r="C3268" s="1186" t="s">
        <v>61</v>
      </c>
      <c r="D3268" s="1186" t="s">
        <v>23</v>
      </c>
      <c r="E3268" s="1186">
        <v>35</v>
      </c>
      <c r="F3268" s="1186">
        <v>227560</v>
      </c>
    </row>
    <row r="3269" spans="1:6" x14ac:dyDescent="0.2">
      <c r="A3269" s="1186" t="s">
        <v>621</v>
      </c>
      <c r="B3269" s="1186" t="s">
        <v>825</v>
      </c>
      <c r="C3269" s="1186" t="s">
        <v>61</v>
      </c>
      <c r="D3269" s="1186" t="s">
        <v>24</v>
      </c>
      <c r="E3269" s="1186">
        <v>60</v>
      </c>
      <c r="F3269" s="1186">
        <v>261470</v>
      </c>
    </row>
    <row r="3270" spans="1:6" x14ac:dyDescent="0.2">
      <c r="A3270" s="1186" t="s">
        <v>621</v>
      </c>
      <c r="B3270" s="1186" t="s">
        <v>825</v>
      </c>
      <c r="C3270" s="1186" t="s">
        <v>61</v>
      </c>
      <c r="D3270" s="1186" t="s">
        <v>25</v>
      </c>
      <c r="E3270" s="1186">
        <v>28</v>
      </c>
      <c r="F3270" s="1186">
        <v>116040</v>
      </c>
    </row>
    <row r="3271" spans="1:6" x14ac:dyDescent="0.2">
      <c r="A3271" s="1186" t="s">
        <v>621</v>
      </c>
      <c r="B3271" s="1186" t="s">
        <v>825</v>
      </c>
      <c r="C3271" s="1186" t="s">
        <v>61</v>
      </c>
      <c r="D3271" s="1186" t="s">
        <v>26</v>
      </c>
      <c r="E3271" s="1186">
        <v>24</v>
      </c>
      <c r="F3271" s="1186">
        <v>86260</v>
      </c>
    </row>
    <row r="3272" spans="1:6" x14ac:dyDescent="0.2">
      <c r="A3272" s="1186" t="s">
        <v>621</v>
      </c>
      <c r="B3272" s="1186" t="s">
        <v>825</v>
      </c>
      <c r="C3272" s="1186" t="s">
        <v>61</v>
      </c>
      <c r="D3272" s="1186" t="s">
        <v>619</v>
      </c>
      <c r="E3272" s="1186">
        <v>70</v>
      </c>
      <c r="F3272" s="1186">
        <v>518500</v>
      </c>
    </row>
    <row r="3273" spans="1:6" x14ac:dyDescent="0.2">
      <c r="A3273" s="1186" t="s">
        <v>621</v>
      </c>
      <c r="B3273" s="1186" t="s">
        <v>825</v>
      </c>
      <c r="C3273" s="1186" t="s">
        <v>61</v>
      </c>
      <c r="D3273" s="1186" t="s">
        <v>27</v>
      </c>
      <c r="E3273" s="1186">
        <v>7</v>
      </c>
      <c r="F3273" s="1186">
        <v>51400</v>
      </c>
    </row>
    <row r="3274" spans="1:6" x14ac:dyDescent="0.2">
      <c r="A3274" s="1186" t="s">
        <v>621</v>
      </c>
      <c r="B3274" s="1186" t="s">
        <v>825</v>
      </c>
      <c r="C3274" s="1186" t="s">
        <v>61</v>
      </c>
      <c r="D3274" s="1186" t="s">
        <v>28</v>
      </c>
      <c r="E3274" s="1186">
        <v>55</v>
      </c>
      <c r="F3274" s="1186">
        <v>148790</v>
      </c>
    </row>
    <row r="3275" spans="1:6" x14ac:dyDescent="0.2">
      <c r="A3275" s="1186" t="s">
        <v>621</v>
      </c>
      <c r="B3275" s="1186" t="s">
        <v>825</v>
      </c>
      <c r="C3275" s="1186" t="s">
        <v>61</v>
      </c>
      <c r="D3275" s="1186" t="s">
        <v>29</v>
      </c>
      <c r="E3275" s="1186">
        <v>23</v>
      </c>
      <c r="F3275" s="1186">
        <v>148750</v>
      </c>
    </row>
    <row r="3276" spans="1:6" x14ac:dyDescent="0.2">
      <c r="A3276" s="1186" t="s">
        <v>621</v>
      </c>
      <c r="B3276" s="1186" t="s">
        <v>825</v>
      </c>
      <c r="C3276" s="1186" t="s">
        <v>61</v>
      </c>
      <c r="D3276" s="1186" t="s">
        <v>30</v>
      </c>
      <c r="E3276" s="1186">
        <v>26</v>
      </c>
      <c r="F3276" s="1186">
        <v>121840</v>
      </c>
    </row>
    <row r="3277" spans="1:6" x14ac:dyDescent="0.2">
      <c r="A3277" s="1186" t="s">
        <v>621</v>
      </c>
      <c r="B3277" s="1186" t="s">
        <v>825</v>
      </c>
      <c r="C3277" s="1186" t="s">
        <v>61</v>
      </c>
      <c r="D3277" s="1186" t="s">
        <v>31</v>
      </c>
      <c r="E3277" s="1186">
        <v>14</v>
      </c>
      <c r="F3277" s="1186">
        <v>108330</v>
      </c>
    </row>
    <row r="3278" spans="1:6" x14ac:dyDescent="0.2">
      <c r="A3278" s="1186" t="s">
        <v>621</v>
      </c>
      <c r="B3278" s="1186" t="s">
        <v>825</v>
      </c>
      <c r="C3278" s="1186" t="s">
        <v>61</v>
      </c>
      <c r="D3278" s="1186" t="s">
        <v>32</v>
      </c>
      <c r="E3278" s="1186">
        <v>21</v>
      </c>
      <c r="F3278" s="1186">
        <v>105790</v>
      </c>
    </row>
    <row r="3279" spans="1:6" x14ac:dyDescent="0.2">
      <c r="A3279" s="1186" t="s">
        <v>621</v>
      </c>
      <c r="B3279" s="1186" t="s">
        <v>825</v>
      </c>
      <c r="C3279" s="1186" t="s">
        <v>61</v>
      </c>
      <c r="D3279" s="1186" t="s">
        <v>33</v>
      </c>
      <c r="E3279" s="1186">
        <v>21</v>
      </c>
      <c r="F3279" s="1186">
        <v>95170</v>
      </c>
    </row>
    <row r="3280" spans="1:6" x14ac:dyDescent="0.2">
      <c r="A3280" s="1186" t="s">
        <v>621</v>
      </c>
      <c r="B3280" s="1186" t="s">
        <v>825</v>
      </c>
      <c r="C3280" s="1186" t="s">
        <v>61</v>
      </c>
      <c r="D3280" s="1186" t="s">
        <v>34</v>
      </c>
      <c r="E3280" s="1186">
        <v>42</v>
      </c>
      <c r="F3280" s="1186">
        <v>160340</v>
      </c>
    </row>
    <row r="3281" spans="1:6" x14ac:dyDescent="0.2">
      <c r="A3281" s="1186" t="s">
        <v>621</v>
      </c>
      <c r="B3281" s="1186" t="s">
        <v>825</v>
      </c>
      <c r="C3281" s="1186" t="s">
        <v>61</v>
      </c>
      <c r="D3281" s="1186" t="s">
        <v>35</v>
      </c>
      <c r="E3281" s="1186">
        <v>66</v>
      </c>
      <c r="F3281" s="1186">
        <v>371910</v>
      </c>
    </row>
    <row r="3282" spans="1:6" x14ac:dyDescent="0.2">
      <c r="A3282" s="1186" t="s">
        <v>621</v>
      </c>
      <c r="B3282" s="1186" t="s">
        <v>825</v>
      </c>
      <c r="C3282" s="1186" t="s">
        <v>61</v>
      </c>
      <c r="D3282" s="1186" t="s">
        <v>36</v>
      </c>
      <c r="E3282" s="1186">
        <v>116</v>
      </c>
      <c r="F3282" s="1186">
        <v>626410</v>
      </c>
    </row>
    <row r="3283" spans="1:6" x14ac:dyDescent="0.2">
      <c r="A3283" s="1186" t="s">
        <v>621</v>
      </c>
      <c r="B3283" s="1186" t="s">
        <v>825</v>
      </c>
      <c r="C3283" s="1186" t="s">
        <v>61</v>
      </c>
      <c r="D3283" s="1186" t="s">
        <v>37</v>
      </c>
      <c r="E3283" s="1186">
        <v>83</v>
      </c>
      <c r="F3283" s="1186">
        <v>235540</v>
      </c>
    </row>
    <row r="3284" spans="1:6" x14ac:dyDescent="0.2">
      <c r="A3284" s="1186" t="s">
        <v>621</v>
      </c>
      <c r="B3284" s="1186" t="s">
        <v>825</v>
      </c>
      <c r="C3284" s="1186" t="s">
        <v>61</v>
      </c>
      <c r="D3284" s="1186" t="s">
        <v>38</v>
      </c>
      <c r="E3284" s="1186">
        <v>11</v>
      </c>
      <c r="F3284" s="1186">
        <v>78150</v>
      </c>
    </row>
    <row r="3285" spans="1:6" x14ac:dyDescent="0.2">
      <c r="A3285" s="1186" t="s">
        <v>621</v>
      </c>
      <c r="B3285" s="1186" t="s">
        <v>825</v>
      </c>
      <c r="C3285" s="1186" t="s">
        <v>61</v>
      </c>
      <c r="D3285" s="1186" t="s">
        <v>39</v>
      </c>
      <c r="E3285" s="1186">
        <v>23</v>
      </c>
      <c r="F3285" s="1186">
        <v>91340</v>
      </c>
    </row>
    <row r="3286" spans="1:6" x14ac:dyDescent="0.2">
      <c r="A3286" s="1186" t="s">
        <v>621</v>
      </c>
      <c r="B3286" s="1186" t="s">
        <v>825</v>
      </c>
      <c r="C3286" s="1186" t="s">
        <v>61</v>
      </c>
      <c r="D3286" s="1186" t="s">
        <v>40</v>
      </c>
      <c r="E3286" s="1186">
        <v>15</v>
      </c>
      <c r="F3286" s="1186">
        <v>95520</v>
      </c>
    </row>
    <row r="3287" spans="1:6" x14ac:dyDescent="0.2">
      <c r="A3287" s="1186" t="s">
        <v>621</v>
      </c>
      <c r="B3287" s="1186" t="s">
        <v>825</v>
      </c>
      <c r="C3287" s="1186" t="s">
        <v>61</v>
      </c>
      <c r="D3287" s="1186" t="s">
        <v>295</v>
      </c>
      <c r="E3287" s="1186">
        <v>6</v>
      </c>
      <c r="F3287" s="1186">
        <v>26830</v>
      </c>
    </row>
    <row r="3288" spans="1:6" x14ac:dyDescent="0.2">
      <c r="A3288" s="1186" t="s">
        <v>621</v>
      </c>
      <c r="B3288" s="1186" t="s">
        <v>825</v>
      </c>
      <c r="C3288" s="1186" t="s">
        <v>61</v>
      </c>
      <c r="D3288" s="1186" t="s">
        <v>41</v>
      </c>
      <c r="E3288" s="1186">
        <v>21</v>
      </c>
      <c r="F3288" s="1186">
        <v>135280</v>
      </c>
    </row>
    <row r="3289" spans="1:6" x14ac:dyDescent="0.2">
      <c r="A3289" s="1186" t="s">
        <v>621</v>
      </c>
      <c r="B3289" s="1186" t="s">
        <v>825</v>
      </c>
      <c r="C3289" s="1186" t="s">
        <v>61</v>
      </c>
      <c r="D3289" s="1186" t="s">
        <v>42</v>
      </c>
      <c r="E3289" s="1186">
        <v>84</v>
      </c>
      <c r="F3289" s="1186">
        <v>340180</v>
      </c>
    </row>
    <row r="3290" spans="1:6" x14ac:dyDescent="0.2">
      <c r="A3290" s="1186" t="s">
        <v>621</v>
      </c>
      <c r="B3290" s="1186" t="s">
        <v>825</v>
      </c>
      <c r="C3290" s="1186" t="s">
        <v>61</v>
      </c>
      <c r="D3290" s="1186" t="s">
        <v>43</v>
      </c>
      <c r="E3290" s="1186">
        <v>11</v>
      </c>
      <c r="F3290" s="1186">
        <v>22190</v>
      </c>
    </row>
    <row r="3291" spans="1:6" x14ac:dyDescent="0.2">
      <c r="A3291" s="1186" t="s">
        <v>621</v>
      </c>
      <c r="B3291" s="1186" t="s">
        <v>825</v>
      </c>
      <c r="C3291" s="1186" t="s">
        <v>61</v>
      </c>
      <c r="D3291" s="1186" t="s">
        <v>44</v>
      </c>
      <c r="E3291" s="1186">
        <v>49</v>
      </c>
      <c r="F3291" s="1186">
        <v>151290</v>
      </c>
    </row>
    <row r="3292" spans="1:6" x14ac:dyDescent="0.2">
      <c r="A3292" s="1186" t="s">
        <v>621</v>
      </c>
      <c r="B3292" s="1186" t="s">
        <v>825</v>
      </c>
      <c r="C3292" s="1186" t="s">
        <v>61</v>
      </c>
      <c r="D3292" s="1186" t="s">
        <v>45</v>
      </c>
      <c r="E3292" s="1186">
        <v>36</v>
      </c>
      <c r="F3292" s="1186">
        <v>177790</v>
      </c>
    </row>
    <row r="3293" spans="1:6" x14ac:dyDescent="0.2">
      <c r="A3293" s="1186" t="s">
        <v>621</v>
      </c>
      <c r="B3293" s="1186" t="s">
        <v>825</v>
      </c>
      <c r="C3293" s="1186" t="s">
        <v>61</v>
      </c>
      <c r="D3293" s="1186" t="s">
        <v>46</v>
      </c>
      <c r="E3293" s="1186">
        <v>24</v>
      </c>
      <c r="F3293" s="1186">
        <v>115270</v>
      </c>
    </row>
    <row r="3294" spans="1:6" x14ac:dyDescent="0.2">
      <c r="A3294" s="1186" t="s">
        <v>621</v>
      </c>
      <c r="B3294" s="1186" t="s">
        <v>825</v>
      </c>
      <c r="C3294" s="1186" t="s">
        <v>61</v>
      </c>
      <c r="D3294" s="1186" t="s">
        <v>47</v>
      </c>
      <c r="E3294" s="1186">
        <v>6</v>
      </c>
      <c r="F3294" s="1186">
        <v>22990</v>
      </c>
    </row>
    <row r="3295" spans="1:6" x14ac:dyDescent="0.2">
      <c r="A3295" s="1186" t="s">
        <v>621</v>
      </c>
      <c r="B3295" s="1186" t="s">
        <v>825</v>
      </c>
      <c r="C3295" s="1186" t="s">
        <v>61</v>
      </c>
      <c r="D3295" s="1186" t="s">
        <v>48</v>
      </c>
      <c r="E3295" s="1186">
        <v>22</v>
      </c>
      <c r="F3295" s="1186">
        <v>112550</v>
      </c>
    </row>
    <row r="3296" spans="1:6" x14ac:dyDescent="0.2">
      <c r="A3296" s="1186" t="s">
        <v>621</v>
      </c>
      <c r="B3296" s="1186" t="s">
        <v>825</v>
      </c>
      <c r="C3296" s="1186" t="s">
        <v>61</v>
      </c>
      <c r="D3296" s="1186" t="s">
        <v>49</v>
      </c>
      <c r="E3296" s="1186">
        <v>75</v>
      </c>
      <c r="F3296" s="1186">
        <v>319020</v>
      </c>
    </row>
    <row r="3297" spans="1:6" x14ac:dyDescent="0.2">
      <c r="A3297" s="1186" t="s">
        <v>621</v>
      </c>
      <c r="B3297" s="1186" t="s">
        <v>825</v>
      </c>
      <c r="C3297" s="1186" t="s">
        <v>61</v>
      </c>
      <c r="D3297" s="1186" t="s">
        <v>50</v>
      </c>
      <c r="E3297" s="1186">
        <v>23</v>
      </c>
      <c r="F3297" s="1186">
        <v>94330</v>
      </c>
    </row>
    <row r="3298" spans="1:6" x14ac:dyDescent="0.2">
      <c r="A3298" s="1186" t="s">
        <v>621</v>
      </c>
      <c r="B3298" s="1186" t="s">
        <v>825</v>
      </c>
      <c r="C3298" s="1186" t="s">
        <v>61</v>
      </c>
      <c r="D3298" s="1186" t="s">
        <v>51</v>
      </c>
      <c r="E3298" s="1186">
        <v>19</v>
      </c>
      <c r="F3298" s="1186">
        <v>89130</v>
      </c>
    </row>
    <row r="3299" spans="1:6" x14ac:dyDescent="0.2">
      <c r="A3299" s="1186" t="s">
        <v>621</v>
      </c>
      <c r="B3299" s="1186" t="s">
        <v>825</v>
      </c>
      <c r="C3299" s="1186" t="s">
        <v>61</v>
      </c>
      <c r="D3299" s="1186" t="s">
        <v>52</v>
      </c>
      <c r="E3299" s="1186">
        <v>49</v>
      </c>
      <c r="F3299" s="1186">
        <v>182140</v>
      </c>
    </row>
    <row r="3300" spans="1:6" x14ac:dyDescent="0.2">
      <c r="A3300" s="1186" t="s">
        <v>621</v>
      </c>
      <c r="B3300" s="1186" t="s">
        <v>825</v>
      </c>
      <c r="C3300" s="1186" t="s">
        <v>116</v>
      </c>
      <c r="D3300" s="1186" t="s">
        <v>23</v>
      </c>
      <c r="E3300" s="1186">
        <v>23</v>
      </c>
      <c r="F3300" s="1186">
        <v>227560</v>
      </c>
    </row>
    <row r="3301" spans="1:6" x14ac:dyDescent="0.2">
      <c r="A3301" s="1186" t="s">
        <v>621</v>
      </c>
      <c r="B3301" s="1186" t="s">
        <v>825</v>
      </c>
      <c r="C3301" s="1186" t="s">
        <v>116</v>
      </c>
      <c r="D3301" s="1186" t="s">
        <v>24</v>
      </c>
      <c r="E3301" s="1186">
        <v>11</v>
      </c>
      <c r="F3301" s="1186">
        <v>261470</v>
      </c>
    </row>
    <row r="3302" spans="1:6" x14ac:dyDescent="0.2">
      <c r="A3302" s="1186" t="s">
        <v>621</v>
      </c>
      <c r="B3302" s="1186" t="s">
        <v>825</v>
      </c>
      <c r="C3302" s="1186" t="s">
        <v>116</v>
      </c>
      <c r="D3302" s="1186" t="s">
        <v>25</v>
      </c>
      <c r="E3302" s="1186">
        <v>3</v>
      </c>
      <c r="F3302" s="1186">
        <v>116040</v>
      </c>
    </row>
    <row r="3303" spans="1:6" x14ac:dyDescent="0.2">
      <c r="A3303" s="1186" t="s">
        <v>621</v>
      </c>
      <c r="B3303" s="1186" t="s">
        <v>825</v>
      </c>
      <c r="C3303" s="1186" t="s">
        <v>116</v>
      </c>
      <c r="D3303" s="1186" t="s">
        <v>26</v>
      </c>
      <c r="E3303" s="1186">
        <v>6</v>
      </c>
      <c r="F3303" s="1186">
        <v>86260</v>
      </c>
    </row>
    <row r="3304" spans="1:6" x14ac:dyDescent="0.2">
      <c r="A3304" s="1186" t="s">
        <v>621</v>
      </c>
      <c r="B3304" s="1186" t="s">
        <v>825</v>
      </c>
      <c r="C3304" s="1186" t="s">
        <v>116</v>
      </c>
      <c r="D3304" s="1186" t="s">
        <v>619</v>
      </c>
      <c r="E3304" s="1186">
        <v>72</v>
      </c>
      <c r="F3304" s="1186">
        <v>518500</v>
      </c>
    </row>
    <row r="3305" spans="1:6" x14ac:dyDescent="0.2">
      <c r="A3305" s="1186" t="s">
        <v>621</v>
      </c>
      <c r="B3305" s="1186" t="s">
        <v>825</v>
      </c>
      <c r="C3305" s="1186" t="s">
        <v>116</v>
      </c>
      <c r="D3305" s="1186" t="s">
        <v>27</v>
      </c>
      <c r="E3305" s="1186">
        <v>3</v>
      </c>
      <c r="F3305" s="1186">
        <v>51400</v>
      </c>
    </row>
    <row r="3306" spans="1:6" x14ac:dyDescent="0.2">
      <c r="A3306" s="1186" t="s">
        <v>621</v>
      </c>
      <c r="B3306" s="1186" t="s">
        <v>825</v>
      </c>
      <c r="C3306" s="1186" t="s">
        <v>116</v>
      </c>
      <c r="D3306" s="1186" t="s">
        <v>28</v>
      </c>
      <c r="E3306" s="1186">
        <v>10</v>
      </c>
      <c r="F3306" s="1186">
        <v>148790</v>
      </c>
    </row>
    <row r="3307" spans="1:6" x14ac:dyDescent="0.2">
      <c r="A3307" s="1186" t="s">
        <v>621</v>
      </c>
      <c r="B3307" s="1186" t="s">
        <v>825</v>
      </c>
      <c r="C3307" s="1186" t="s">
        <v>116</v>
      </c>
      <c r="D3307" s="1186" t="s">
        <v>29</v>
      </c>
      <c r="E3307" s="1186">
        <v>20</v>
      </c>
      <c r="F3307" s="1186">
        <v>148750</v>
      </c>
    </row>
    <row r="3308" spans="1:6" x14ac:dyDescent="0.2">
      <c r="A3308" s="1186" t="s">
        <v>621</v>
      </c>
      <c r="B3308" s="1186" t="s">
        <v>825</v>
      </c>
      <c r="C3308" s="1186" t="s">
        <v>116</v>
      </c>
      <c r="D3308" s="1186" t="s">
        <v>30</v>
      </c>
      <c r="E3308" s="1186">
        <v>24</v>
      </c>
      <c r="F3308" s="1186">
        <v>121840</v>
      </c>
    </row>
    <row r="3309" spans="1:6" x14ac:dyDescent="0.2">
      <c r="A3309" s="1186" t="s">
        <v>621</v>
      </c>
      <c r="B3309" s="1186" t="s">
        <v>825</v>
      </c>
      <c r="C3309" s="1186" t="s">
        <v>116</v>
      </c>
      <c r="D3309" s="1186" t="s">
        <v>31</v>
      </c>
      <c r="E3309" s="1186">
        <v>20</v>
      </c>
      <c r="F3309" s="1186">
        <v>108330</v>
      </c>
    </row>
    <row r="3310" spans="1:6" x14ac:dyDescent="0.2">
      <c r="A3310" s="1186" t="s">
        <v>621</v>
      </c>
      <c r="B3310" s="1186" t="s">
        <v>825</v>
      </c>
      <c r="C3310" s="1186" t="s">
        <v>116</v>
      </c>
      <c r="D3310" s="1186" t="s">
        <v>32</v>
      </c>
      <c r="E3310" s="1186">
        <v>14</v>
      </c>
      <c r="F3310" s="1186">
        <v>105790</v>
      </c>
    </row>
    <row r="3311" spans="1:6" x14ac:dyDescent="0.2">
      <c r="A3311" s="1186" t="s">
        <v>621</v>
      </c>
      <c r="B3311" s="1186" t="s">
        <v>825</v>
      </c>
      <c r="C3311" s="1186" t="s">
        <v>116</v>
      </c>
      <c r="D3311" s="1186" t="s">
        <v>33</v>
      </c>
      <c r="E3311" s="1186">
        <v>4</v>
      </c>
      <c r="F3311" s="1186">
        <v>95170</v>
      </c>
    </row>
    <row r="3312" spans="1:6" x14ac:dyDescent="0.2">
      <c r="A3312" s="1186" t="s">
        <v>621</v>
      </c>
      <c r="B3312" s="1186" t="s">
        <v>825</v>
      </c>
      <c r="C3312" s="1186" t="s">
        <v>116</v>
      </c>
      <c r="D3312" s="1186" t="s">
        <v>34</v>
      </c>
      <c r="E3312" s="1186">
        <v>17</v>
      </c>
      <c r="F3312" s="1186">
        <v>160340</v>
      </c>
    </row>
    <row r="3313" spans="1:6" x14ac:dyDescent="0.2">
      <c r="A3313" s="1186" t="s">
        <v>621</v>
      </c>
      <c r="B3313" s="1186" t="s">
        <v>825</v>
      </c>
      <c r="C3313" s="1186" t="s">
        <v>116</v>
      </c>
      <c r="D3313" s="1186" t="s">
        <v>35</v>
      </c>
      <c r="E3313" s="1186">
        <v>27</v>
      </c>
      <c r="F3313" s="1186">
        <v>371910</v>
      </c>
    </row>
    <row r="3314" spans="1:6" x14ac:dyDescent="0.2">
      <c r="A3314" s="1186" t="s">
        <v>621</v>
      </c>
      <c r="B3314" s="1186" t="s">
        <v>825</v>
      </c>
      <c r="C3314" s="1186" t="s">
        <v>116</v>
      </c>
      <c r="D3314" s="1186" t="s">
        <v>36</v>
      </c>
      <c r="E3314" s="1186">
        <v>206</v>
      </c>
      <c r="F3314" s="1186">
        <v>626410</v>
      </c>
    </row>
    <row r="3315" spans="1:6" x14ac:dyDescent="0.2">
      <c r="A3315" s="1186" t="s">
        <v>621</v>
      </c>
      <c r="B3315" s="1186" t="s">
        <v>825</v>
      </c>
      <c r="C3315" s="1186" t="s">
        <v>116</v>
      </c>
      <c r="D3315" s="1186" t="s">
        <v>37</v>
      </c>
      <c r="E3315" s="1186">
        <v>7</v>
      </c>
      <c r="F3315" s="1186">
        <v>235540</v>
      </c>
    </row>
    <row r="3316" spans="1:6" x14ac:dyDescent="0.2">
      <c r="A3316" s="1186" t="s">
        <v>621</v>
      </c>
      <c r="B3316" s="1186" t="s">
        <v>825</v>
      </c>
      <c r="C3316" s="1186" t="s">
        <v>116</v>
      </c>
      <c r="D3316" s="1186" t="s">
        <v>38</v>
      </c>
      <c r="E3316" s="1186">
        <v>15</v>
      </c>
      <c r="F3316" s="1186">
        <v>78150</v>
      </c>
    </row>
    <row r="3317" spans="1:6" x14ac:dyDescent="0.2">
      <c r="A3317" s="1186" t="s">
        <v>621</v>
      </c>
      <c r="B3317" s="1186" t="s">
        <v>825</v>
      </c>
      <c r="C3317" s="1186" t="s">
        <v>116</v>
      </c>
      <c r="D3317" s="1186" t="s">
        <v>39</v>
      </c>
      <c r="E3317" s="1186">
        <v>11</v>
      </c>
      <c r="F3317" s="1186">
        <v>91340</v>
      </c>
    </row>
    <row r="3318" spans="1:6" x14ac:dyDescent="0.2">
      <c r="A3318" s="1186" t="s">
        <v>621</v>
      </c>
      <c r="B3318" s="1186" t="s">
        <v>825</v>
      </c>
      <c r="C3318" s="1186" t="s">
        <v>116</v>
      </c>
      <c r="D3318" s="1186" t="s">
        <v>40</v>
      </c>
      <c r="E3318" s="1186">
        <v>11</v>
      </c>
      <c r="F3318" s="1186">
        <v>95520</v>
      </c>
    </row>
    <row r="3319" spans="1:6" x14ac:dyDescent="0.2">
      <c r="A3319" s="1186" t="s">
        <v>621</v>
      </c>
      <c r="B3319" s="1186" t="s">
        <v>825</v>
      </c>
      <c r="C3319" s="1186" t="s">
        <v>116</v>
      </c>
      <c r="D3319" s="1186" t="s">
        <v>295</v>
      </c>
      <c r="E3319" s="1186">
        <v>1</v>
      </c>
      <c r="F3319" s="1186">
        <v>26830</v>
      </c>
    </row>
    <row r="3320" spans="1:6" x14ac:dyDescent="0.2">
      <c r="A3320" s="1186" t="s">
        <v>621</v>
      </c>
      <c r="B3320" s="1186" t="s">
        <v>825</v>
      </c>
      <c r="C3320" s="1186" t="s">
        <v>116</v>
      </c>
      <c r="D3320" s="1186" t="s">
        <v>41</v>
      </c>
      <c r="E3320" s="1186">
        <v>15</v>
      </c>
      <c r="F3320" s="1186">
        <v>135280</v>
      </c>
    </row>
    <row r="3321" spans="1:6" x14ac:dyDescent="0.2">
      <c r="A3321" s="1186" t="s">
        <v>621</v>
      </c>
      <c r="B3321" s="1186" t="s">
        <v>825</v>
      </c>
      <c r="C3321" s="1186" t="s">
        <v>116</v>
      </c>
      <c r="D3321" s="1186" t="s">
        <v>42</v>
      </c>
      <c r="E3321" s="1186">
        <v>100</v>
      </c>
      <c r="F3321" s="1186">
        <v>340180</v>
      </c>
    </row>
    <row r="3322" spans="1:6" x14ac:dyDescent="0.2">
      <c r="A3322" s="1186" t="s">
        <v>621</v>
      </c>
      <c r="B3322" s="1186" t="s">
        <v>825</v>
      </c>
      <c r="C3322" s="1186" t="s">
        <v>116</v>
      </c>
      <c r="D3322" s="1186" t="s">
        <v>44</v>
      </c>
      <c r="E3322" s="1186">
        <v>7</v>
      </c>
      <c r="F3322" s="1186">
        <v>151290</v>
      </c>
    </row>
    <row r="3323" spans="1:6" x14ac:dyDescent="0.2">
      <c r="A3323" s="1186" t="s">
        <v>621</v>
      </c>
      <c r="B3323" s="1186" t="s">
        <v>825</v>
      </c>
      <c r="C3323" s="1186" t="s">
        <v>116</v>
      </c>
      <c r="D3323" s="1186" t="s">
        <v>45</v>
      </c>
      <c r="E3323" s="1186">
        <v>27</v>
      </c>
      <c r="F3323" s="1186">
        <v>177790</v>
      </c>
    </row>
    <row r="3324" spans="1:6" x14ac:dyDescent="0.2">
      <c r="A3324" s="1186" t="s">
        <v>621</v>
      </c>
      <c r="B3324" s="1186" t="s">
        <v>825</v>
      </c>
      <c r="C3324" s="1186" t="s">
        <v>116</v>
      </c>
      <c r="D3324" s="1186" t="s">
        <v>46</v>
      </c>
      <c r="E3324" s="1186">
        <v>5</v>
      </c>
      <c r="F3324" s="1186">
        <v>115270</v>
      </c>
    </row>
    <row r="3325" spans="1:6" x14ac:dyDescent="0.2">
      <c r="A3325" s="1186" t="s">
        <v>621</v>
      </c>
      <c r="B3325" s="1186" t="s">
        <v>825</v>
      </c>
      <c r="C3325" s="1186" t="s">
        <v>116</v>
      </c>
      <c r="D3325" s="1186" t="s">
        <v>48</v>
      </c>
      <c r="E3325" s="1186">
        <v>4</v>
      </c>
      <c r="F3325" s="1186">
        <v>112550</v>
      </c>
    </row>
    <row r="3326" spans="1:6" x14ac:dyDescent="0.2">
      <c r="A3326" s="1186" t="s">
        <v>621</v>
      </c>
      <c r="B3326" s="1186" t="s">
        <v>825</v>
      </c>
      <c r="C3326" s="1186" t="s">
        <v>116</v>
      </c>
      <c r="D3326" s="1186" t="s">
        <v>49</v>
      </c>
      <c r="E3326" s="1186">
        <v>63</v>
      </c>
      <c r="F3326" s="1186">
        <v>319020</v>
      </c>
    </row>
    <row r="3327" spans="1:6" x14ac:dyDescent="0.2">
      <c r="A3327" s="1186" t="s">
        <v>621</v>
      </c>
      <c r="B3327" s="1186" t="s">
        <v>825</v>
      </c>
      <c r="C3327" s="1186" t="s">
        <v>116</v>
      </c>
      <c r="D3327" s="1186" t="s">
        <v>50</v>
      </c>
      <c r="E3327" s="1186">
        <v>4</v>
      </c>
      <c r="F3327" s="1186">
        <v>94330</v>
      </c>
    </row>
    <row r="3328" spans="1:6" x14ac:dyDescent="0.2">
      <c r="A3328" s="1186" t="s">
        <v>621</v>
      </c>
      <c r="B3328" s="1186" t="s">
        <v>825</v>
      </c>
      <c r="C3328" s="1186" t="s">
        <v>116</v>
      </c>
      <c r="D3328" s="1186" t="s">
        <v>51</v>
      </c>
      <c r="E3328" s="1186">
        <v>30</v>
      </c>
      <c r="F3328" s="1186">
        <v>89130</v>
      </c>
    </row>
    <row r="3329" spans="1:6" x14ac:dyDescent="0.2">
      <c r="A3329" s="1186" t="s">
        <v>621</v>
      </c>
      <c r="B3329" s="1186" t="s">
        <v>825</v>
      </c>
      <c r="C3329" s="1186" t="s">
        <v>116</v>
      </c>
      <c r="D3329" s="1186" t="s">
        <v>52</v>
      </c>
      <c r="E3329" s="1186">
        <v>27</v>
      </c>
      <c r="F3329" s="1186">
        <v>182140</v>
      </c>
    </row>
    <row r="3330" spans="1:6" x14ac:dyDescent="0.2">
      <c r="A3330" s="1186" t="s">
        <v>621</v>
      </c>
      <c r="B3330" s="1186" t="s">
        <v>826</v>
      </c>
      <c r="C3330" s="1186" t="s">
        <v>61</v>
      </c>
      <c r="D3330" s="1186" t="s">
        <v>23</v>
      </c>
      <c r="E3330" s="1186">
        <v>9</v>
      </c>
      <c r="F3330" s="1186">
        <v>227560</v>
      </c>
    </row>
    <row r="3331" spans="1:6" x14ac:dyDescent="0.2">
      <c r="A3331" s="1186" t="s">
        <v>621</v>
      </c>
      <c r="B3331" s="1186" t="s">
        <v>826</v>
      </c>
      <c r="C3331" s="1186" t="s">
        <v>61</v>
      </c>
      <c r="D3331" s="1186" t="s">
        <v>24</v>
      </c>
      <c r="E3331" s="1186">
        <v>27</v>
      </c>
      <c r="F3331" s="1186">
        <v>261470</v>
      </c>
    </row>
    <row r="3332" spans="1:6" x14ac:dyDescent="0.2">
      <c r="A3332" s="1186" t="s">
        <v>621</v>
      </c>
      <c r="B3332" s="1186" t="s">
        <v>826</v>
      </c>
      <c r="C3332" s="1186" t="s">
        <v>61</v>
      </c>
      <c r="D3332" s="1186" t="s">
        <v>25</v>
      </c>
      <c r="E3332" s="1186">
        <v>12</v>
      </c>
      <c r="F3332" s="1186">
        <v>116040</v>
      </c>
    </row>
    <row r="3333" spans="1:6" x14ac:dyDescent="0.2">
      <c r="A3333" s="1186" t="s">
        <v>621</v>
      </c>
      <c r="B3333" s="1186" t="s">
        <v>826</v>
      </c>
      <c r="C3333" s="1186" t="s">
        <v>61</v>
      </c>
      <c r="D3333" s="1186" t="s">
        <v>26</v>
      </c>
      <c r="E3333" s="1186">
        <v>12</v>
      </c>
      <c r="F3333" s="1186">
        <v>86260</v>
      </c>
    </row>
    <row r="3334" spans="1:6" x14ac:dyDescent="0.2">
      <c r="A3334" s="1186" t="s">
        <v>621</v>
      </c>
      <c r="B3334" s="1186" t="s">
        <v>826</v>
      </c>
      <c r="C3334" s="1186" t="s">
        <v>61</v>
      </c>
      <c r="D3334" s="1186" t="s">
        <v>619</v>
      </c>
      <c r="E3334" s="1186">
        <v>39</v>
      </c>
      <c r="F3334" s="1186">
        <v>518500</v>
      </c>
    </row>
    <row r="3335" spans="1:6" x14ac:dyDescent="0.2">
      <c r="A3335" s="1186" t="s">
        <v>621</v>
      </c>
      <c r="B3335" s="1186" t="s">
        <v>826</v>
      </c>
      <c r="C3335" s="1186" t="s">
        <v>61</v>
      </c>
      <c r="D3335" s="1186" t="s">
        <v>27</v>
      </c>
      <c r="E3335" s="1186">
        <v>2</v>
      </c>
      <c r="F3335" s="1186">
        <v>51400</v>
      </c>
    </row>
    <row r="3336" spans="1:6" x14ac:dyDescent="0.2">
      <c r="A3336" s="1186" t="s">
        <v>621</v>
      </c>
      <c r="B3336" s="1186" t="s">
        <v>826</v>
      </c>
      <c r="C3336" s="1186" t="s">
        <v>61</v>
      </c>
      <c r="D3336" s="1186" t="s">
        <v>28</v>
      </c>
      <c r="E3336" s="1186">
        <v>9</v>
      </c>
      <c r="F3336" s="1186">
        <v>148790</v>
      </c>
    </row>
    <row r="3337" spans="1:6" x14ac:dyDescent="0.2">
      <c r="A3337" s="1186" t="s">
        <v>621</v>
      </c>
      <c r="B3337" s="1186" t="s">
        <v>826</v>
      </c>
      <c r="C3337" s="1186" t="s">
        <v>61</v>
      </c>
      <c r="D3337" s="1186" t="s">
        <v>29</v>
      </c>
      <c r="E3337" s="1186">
        <v>5</v>
      </c>
      <c r="F3337" s="1186">
        <v>148750</v>
      </c>
    </row>
    <row r="3338" spans="1:6" x14ac:dyDescent="0.2">
      <c r="A3338" s="1186" t="s">
        <v>621</v>
      </c>
      <c r="B3338" s="1186" t="s">
        <v>826</v>
      </c>
      <c r="C3338" s="1186" t="s">
        <v>61</v>
      </c>
      <c r="D3338" s="1186" t="s">
        <v>30</v>
      </c>
      <c r="E3338" s="1186">
        <v>8</v>
      </c>
      <c r="F3338" s="1186">
        <v>121840</v>
      </c>
    </row>
    <row r="3339" spans="1:6" x14ac:dyDescent="0.2">
      <c r="A3339" s="1186" t="s">
        <v>621</v>
      </c>
      <c r="B3339" s="1186" t="s">
        <v>826</v>
      </c>
      <c r="C3339" s="1186" t="s">
        <v>61</v>
      </c>
      <c r="D3339" s="1186" t="s">
        <v>31</v>
      </c>
      <c r="E3339" s="1186">
        <v>4</v>
      </c>
      <c r="F3339" s="1186">
        <v>108330</v>
      </c>
    </row>
    <row r="3340" spans="1:6" x14ac:dyDescent="0.2">
      <c r="A3340" s="1186" t="s">
        <v>621</v>
      </c>
      <c r="B3340" s="1186" t="s">
        <v>826</v>
      </c>
      <c r="C3340" s="1186" t="s">
        <v>61</v>
      </c>
      <c r="D3340" s="1186" t="s">
        <v>32</v>
      </c>
      <c r="E3340" s="1186">
        <v>21</v>
      </c>
      <c r="F3340" s="1186">
        <v>105790</v>
      </c>
    </row>
    <row r="3341" spans="1:6" x14ac:dyDescent="0.2">
      <c r="A3341" s="1186" t="s">
        <v>621</v>
      </c>
      <c r="B3341" s="1186" t="s">
        <v>826</v>
      </c>
      <c r="C3341" s="1186" t="s">
        <v>61</v>
      </c>
      <c r="D3341" s="1186" t="s">
        <v>33</v>
      </c>
      <c r="E3341" s="1186">
        <v>1</v>
      </c>
      <c r="F3341" s="1186">
        <v>95170</v>
      </c>
    </row>
    <row r="3342" spans="1:6" x14ac:dyDescent="0.2">
      <c r="A3342" s="1186" t="s">
        <v>621</v>
      </c>
      <c r="B3342" s="1186" t="s">
        <v>826</v>
      </c>
      <c r="C3342" s="1186" t="s">
        <v>61</v>
      </c>
      <c r="D3342" s="1186" t="s">
        <v>34</v>
      </c>
      <c r="E3342" s="1186">
        <v>17</v>
      </c>
      <c r="F3342" s="1186">
        <v>160340</v>
      </c>
    </row>
    <row r="3343" spans="1:6" x14ac:dyDescent="0.2">
      <c r="A3343" s="1186" t="s">
        <v>621</v>
      </c>
      <c r="B3343" s="1186" t="s">
        <v>826</v>
      </c>
      <c r="C3343" s="1186" t="s">
        <v>61</v>
      </c>
      <c r="D3343" s="1186" t="s">
        <v>35</v>
      </c>
      <c r="E3343" s="1186">
        <v>50</v>
      </c>
      <c r="F3343" s="1186">
        <v>371910</v>
      </c>
    </row>
    <row r="3344" spans="1:6" x14ac:dyDescent="0.2">
      <c r="A3344" s="1186" t="s">
        <v>621</v>
      </c>
      <c r="B3344" s="1186" t="s">
        <v>826</v>
      </c>
      <c r="C3344" s="1186" t="s">
        <v>61</v>
      </c>
      <c r="D3344" s="1186" t="s">
        <v>36</v>
      </c>
      <c r="E3344" s="1186">
        <v>24</v>
      </c>
      <c r="F3344" s="1186">
        <v>626410</v>
      </c>
    </row>
    <row r="3345" spans="1:6" x14ac:dyDescent="0.2">
      <c r="A3345" s="1186" t="s">
        <v>621</v>
      </c>
      <c r="B3345" s="1186" t="s">
        <v>826</v>
      </c>
      <c r="C3345" s="1186" t="s">
        <v>61</v>
      </c>
      <c r="D3345" s="1186" t="s">
        <v>37</v>
      </c>
      <c r="E3345" s="1186">
        <v>64</v>
      </c>
      <c r="F3345" s="1186">
        <v>235540</v>
      </c>
    </row>
    <row r="3346" spans="1:6" x14ac:dyDescent="0.2">
      <c r="A3346" s="1186" t="s">
        <v>621</v>
      </c>
      <c r="B3346" s="1186" t="s">
        <v>826</v>
      </c>
      <c r="C3346" s="1186" t="s">
        <v>61</v>
      </c>
      <c r="D3346" s="1186" t="s">
        <v>38</v>
      </c>
      <c r="E3346" s="1186">
        <v>6</v>
      </c>
      <c r="F3346" s="1186">
        <v>78150</v>
      </c>
    </row>
    <row r="3347" spans="1:6" x14ac:dyDescent="0.2">
      <c r="A3347" s="1186" t="s">
        <v>621</v>
      </c>
      <c r="B3347" s="1186" t="s">
        <v>826</v>
      </c>
      <c r="C3347" s="1186" t="s">
        <v>61</v>
      </c>
      <c r="D3347" s="1186" t="s">
        <v>39</v>
      </c>
      <c r="E3347" s="1186">
        <v>8</v>
      </c>
      <c r="F3347" s="1186">
        <v>91340</v>
      </c>
    </row>
    <row r="3348" spans="1:6" x14ac:dyDescent="0.2">
      <c r="A3348" s="1186" t="s">
        <v>621</v>
      </c>
      <c r="B3348" s="1186" t="s">
        <v>826</v>
      </c>
      <c r="C3348" s="1186" t="s">
        <v>61</v>
      </c>
      <c r="D3348" s="1186" t="s">
        <v>40</v>
      </c>
      <c r="E3348" s="1186">
        <v>17</v>
      </c>
      <c r="F3348" s="1186">
        <v>95520</v>
      </c>
    </row>
    <row r="3349" spans="1:6" x14ac:dyDescent="0.2">
      <c r="A3349" s="1186" t="s">
        <v>621</v>
      </c>
      <c r="B3349" s="1186" t="s">
        <v>826</v>
      </c>
      <c r="C3349" s="1186" t="s">
        <v>61</v>
      </c>
      <c r="D3349" s="1186" t="s">
        <v>295</v>
      </c>
      <c r="E3349" s="1186">
        <v>9</v>
      </c>
      <c r="F3349" s="1186">
        <v>26830</v>
      </c>
    </row>
    <row r="3350" spans="1:6" x14ac:dyDescent="0.2">
      <c r="A3350" s="1186" t="s">
        <v>621</v>
      </c>
      <c r="B3350" s="1186" t="s">
        <v>826</v>
      </c>
      <c r="C3350" s="1186" t="s">
        <v>61</v>
      </c>
      <c r="D3350" s="1186" t="s">
        <v>41</v>
      </c>
      <c r="E3350" s="1186">
        <v>8</v>
      </c>
      <c r="F3350" s="1186">
        <v>135280</v>
      </c>
    </row>
    <row r="3351" spans="1:6" x14ac:dyDescent="0.2">
      <c r="A3351" s="1186" t="s">
        <v>621</v>
      </c>
      <c r="B3351" s="1186" t="s">
        <v>826</v>
      </c>
      <c r="C3351" s="1186" t="s">
        <v>61</v>
      </c>
      <c r="D3351" s="1186" t="s">
        <v>42</v>
      </c>
      <c r="E3351" s="1186">
        <v>14</v>
      </c>
      <c r="F3351" s="1186">
        <v>340180</v>
      </c>
    </row>
    <row r="3352" spans="1:6" x14ac:dyDescent="0.2">
      <c r="A3352" s="1186" t="s">
        <v>621</v>
      </c>
      <c r="B3352" s="1186" t="s">
        <v>826</v>
      </c>
      <c r="C3352" s="1186" t="s">
        <v>61</v>
      </c>
      <c r="D3352" s="1186" t="s">
        <v>43</v>
      </c>
      <c r="E3352" s="1186">
        <v>1</v>
      </c>
      <c r="F3352" s="1186">
        <v>22190</v>
      </c>
    </row>
    <row r="3353" spans="1:6" x14ac:dyDescent="0.2">
      <c r="A3353" s="1186" t="s">
        <v>621</v>
      </c>
      <c r="B3353" s="1186" t="s">
        <v>826</v>
      </c>
      <c r="C3353" s="1186" t="s">
        <v>61</v>
      </c>
      <c r="D3353" s="1186" t="s">
        <v>44</v>
      </c>
      <c r="E3353" s="1186">
        <v>10</v>
      </c>
      <c r="F3353" s="1186">
        <v>151290</v>
      </c>
    </row>
    <row r="3354" spans="1:6" x14ac:dyDescent="0.2">
      <c r="A3354" s="1186" t="s">
        <v>621</v>
      </c>
      <c r="B3354" s="1186" t="s">
        <v>826</v>
      </c>
      <c r="C3354" s="1186" t="s">
        <v>61</v>
      </c>
      <c r="D3354" s="1186" t="s">
        <v>45</v>
      </c>
      <c r="E3354" s="1186">
        <v>9</v>
      </c>
      <c r="F3354" s="1186">
        <v>177790</v>
      </c>
    </row>
    <row r="3355" spans="1:6" x14ac:dyDescent="0.2">
      <c r="A3355" s="1186" t="s">
        <v>621</v>
      </c>
      <c r="B3355" s="1186" t="s">
        <v>826</v>
      </c>
      <c r="C3355" s="1186" t="s">
        <v>61</v>
      </c>
      <c r="D3355" s="1186" t="s">
        <v>46</v>
      </c>
      <c r="E3355" s="1186">
        <v>17</v>
      </c>
      <c r="F3355" s="1186">
        <v>115270</v>
      </c>
    </row>
    <row r="3356" spans="1:6" x14ac:dyDescent="0.2">
      <c r="A3356" s="1186" t="s">
        <v>621</v>
      </c>
      <c r="B3356" s="1186" t="s">
        <v>826</v>
      </c>
      <c r="C3356" s="1186" t="s">
        <v>61</v>
      </c>
      <c r="D3356" s="1186" t="s">
        <v>47</v>
      </c>
      <c r="E3356" s="1186">
        <v>1</v>
      </c>
      <c r="F3356" s="1186">
        <v>22990</v>
      </c>
    </row>
    <row r="3357" spans="1:6" x14ac:dyDescent="0.2">
      <c r="A3357" s="1186" t="s">
        <v>621</v>
      </c>
      <c r="B3357" s="1186" t="s">
        <v>826</v>
      </c>
      <c r="C3357" s="1186" t="s">
        <v>61</v>
      </c>
      <c r="D3357" s="1186" t="s">
        <v>48</v>
      </c>
      <c r="E3357" s="1186">
        <v>3</v>
      </c>
      <c r="F3357" s="1186">
        <v>112550</v>
      </c>
    </row>
    <row r="3358" spans="1:6" x14ac:dyDescent="0.2">
      <c r="A3358" s="1186" t="s">
        <v>621</v>
      </c>
      <c r="B3358" s="1186" t="s">
        <v>826</v>
      </c>
      <c r="C3358" s="1186" t="s">
        <v>61</v>
      </c>
      <c r="D3358" s="1186" t="s">
        <v>49</v>
      </c>
      <c r="E3358" s="1186">
        <v>15</v>
      </c>
      <c r="F3358" s="1186">
        <v>319020</v>
      </c>
    </row>
    <row r="3359" spans="1:6" x14ac:dyDescent="0.2">
      <c r="A3359" s="1186" t="s">
        <v>621</v>
      </c>
      <c r="B3359" s="1186" t="s">
        <v>826</v>
      </c>
      <c r="C3359" s="1186" t="s">
        <v>61</v>
      </c>
      <c r="D3359" s="1186" t="s">
        <v>50</v>
      </c>
      <c r="E3359" s="1186">
        <v>14</v>
      </c>
      <c r="F3359" s="1186">
        <v>94330</v>
      </c>
    </row>
    <row r="3360" spans="1:6" x14ac:dyDescent="0.2">
      <c r="A3360" s="1186" t="s">
        <v>621</v>
      </c>
      <c r="B3360" s="1186" t="s">
        <v>826</v>
      </c>
      <c r="C3360" s="1186" t="s">
        <v>61</v>
      </c>
      <c r="D3360" s="1186" t="s">
        <v>51</v>
      </c>
      <c r="E3360" s="1186">
        <v>7</v>
      </c>
      <c r="F3360" s="1186">
        <v>89130</v>
      </c>
    </row>
    <row r="3361" spans="1:6" x14ac:dyDescent="0.2">
      <c r="A3361" s="1186" t="s">
        <v>621</v>
      </c>
      <c r="B3361" s="1186" t="s">
        <v>826</v>
      </c>
      <c r="C3361" s="1186" t="s">
        <v>61</v>
      </c>
      <c r="D3361" s="1186" t="s">
        <v>52</v>
      </c>
      <c r="E3361" s="1186">
        <v>23</v>
      </c>
      <c r="F3361" s="1186">
        <v>182140</v>
      </c>
    </row>
    <row r="3362" spans="1:6" x14ac:dyDescent="0.2">
      <c r="A3362" s="1186" t="s">
        <v>621</v>
      </c>
      <c r="B3362" s="1186" t="s">
        <v>826</v>
      </c>
      <c r="C3362" s="1186" t="s">
        <v>116</v>
      </c>
      <c r="D3362" s="1186" t="s">
        <v>23</v>
      </c>
      <c r="E3362" s="1186">
        <v>20</v>
      </c>
      <c r="F3362" s="1186">
        <v>227560</v>
      </c>
    </row>
    <row r="3363" spans="1:6" x14ac:dyDescent="0.2">
      <c r="A3363" s="1186" t="s">
        <v>621</v>
      </c>
      <c r="B3363" s="1186" t="s">
        <v>826</v>
      </c>
      <c r="C3363" s="1186" t="s">
        <v>116</v>
      </c>
      <c r="D3363" s="1186" t="s">
        <v>24</v>
      </c>
      <c r="E3363" s="1186">
        <v>19</v>
      </c>
      <c r="F3363" s="1186">
        <v>261470</v>
      </c>
    </row>
    <row r="3364" spans="1:6" x14ac:dyDescent="0.2">
      <c r="A3364" s="1186" t="s">
        <v>621</v>
      </c>
      <c r="B3364" s="1186" t="s">
        <v>826</v>
      </c>
      <c r="C3364" s="1186" t="s">
        <v>116</v>
      </c>
      <c r="D3364" s="1186" t="s">
        <v>25</v>
      </c>
      <c r="E3364" s="1186">
        <v>7</v>
      </c>
      <c r="F3364" s="1186">
        <v>116040</v>
      </c>
    </row>
    <row r="3365" spans="1:6" x14ac:dyDescent="0.2">
      <c r="A3365" s="1186" t="s">
        <v>621</v>
      </c>
      <c r="B3365" s="1186" t="s">
        <v>826</v>
      </c>
      <c r="C3365" s="1186" t="s">
        <v>116</v>
      </c>
      <c r="D3365" s="1186" t="s">
        <v>26</v>
      </c>
      <c r="E3365" s="1186">
        <v>1</v>
      </c>
      <c r="F3365" s="1186">
        <v>86260</v>
      </c>
    </row>
    <row r="3366" spans="1:6" x14ac:dyDescent="0.2">
      <c r="A3366" s="1186" t="s">
        <v>621</v>
      </c>
      <c r="B3366" s="1186" t="s">
        <v>826</v>
      </c>
      <c r="C3366" s="1186" t="s">
        <v>116</v>
      </c>
      <c r="D3366" s="1186" t="s">
        <v>619</v>
      </c>
      <c r="E3366" s="1186">
        <v>65</v>
      </c>
      <c r="F3366" s="1186">
        <v>518500</v>
      </c>
    </row>
    <row r="3367" spans="1:6" x14ac:dyDescent="0.2">
      <c r="A3367" s="1186" t="s">
        <v>621</v>
      </c>
      <c r="B3367" s="1186" t="s">
        <v>826</v>
      </c>
      <c r="C3367" s="1186" t="s">
        <v>116</v>
      </c>
      <c r="D3367" s="1186" t="s">
        <v>27</v>
      </c>
      <c r="E3367" s="1186">
        <v>6</v>
      </c>
      <c r="F3367" s="1186">
        <v>51400</v>
      </c>
    </row>
    <row r="3368" spans="1:6" x14ac:dyDescent="0.2">
      <c r="A3368" s="1186" t="s">
        <v>621</v>
      </c>
      <c r="B3368" s="1186" t="s">
        <v>826</v>
      </c>
      <c r="C3368" s="1186" t="s">
        <v>116</v>
      </c>
      <c r="D3368" s="1186" t="s">
        <v>28</v>
      </c>
      <c r="E3368" s="1186">
        <v>8</v>
      </c>
      <c r="F3368" s="1186">
        <v>148790</v>
      </c>
    </row>
    <row r="3369" spans="1:6" x14ac:dyDescent="0.2">
      <c r="A3369" s="1186" t="s">
        <v>621</v>
      </c>
      <c r="B3369" s="1186" t="s">
        <v>826</v>
      </c>
      <c r="C3369" s="1186" t="s">
        <v>116</v>
      </c>
      <c r="D3369" s="1186" t="s">
        <v>29</v>
      </c>
      <c r="E3369" s="1186">
        <v>15</v>
      </c>
      <c r="F3369" s="1186">
        <v>148750</v>
      </c>
    </row>
    <row r="3370" spans="1:6" x14ac:dyDescent="0.2">
      <c r="A3370" s="1186" t="s">
        <v>621</v>
      </c>
      <c r="B3370" s="1186" t="s">
        <v>826</v>
      </c>
      <c r="C3370" s="1186" t="s">
        <v>116</v>
      </c>
      <c r="D3370" s="1186" t="s">
        <v>30</v>
      </c>
      <c r="E3370" s="1186">
        <v>18</v>
      </c>
      <c r="F3370" s="1186">
        <v>121840</v>
      </c>
    </row>
    <row r="3371" spans="1:6" x14ac:dyDescent="0.2">
      <c r="A3371" s="1186" t="s">
        <v>621</v>
      </c>
      <c r="B3371" s="1186" t="s">
        <v>826</v>
      </c>
      <c r="C3371" s="1186" t="s">
        <v>116</v>
      </c>
      <c r="D3371" s="1186" t="s">
        <v>31</v>
      </c>
      <c r="E3371" s="1186">
        <v>14</v>
      </c>
      <c r="F3371" s="1186">
        <v>108330</v>
      </c>
    </row>
    <row r="3372" spans="1:6" x14ac:dyDescent="0.2">
      <c r="A3372" s="1186" t="s">
        <v>621</v>
      </c>
      <c r="B3372" s="1186" t="s">
        <v>826</v>
      </c>
      <c r="C3372" s="1186" t="s">
        <v>116</v>
      </c>
      <c r="D3372" s="1186" t="s">
        <v>32</v>
      </c>
      <c r="E3372" s="1186">
        <v>38</v>
      </c>
      <c r="F3372" s="1186">
        <v>105790</v>
      </c>
    </row>
    <row r="3373" spans="1:6" x14ac:dyDescent="0.2">
      <c r="A3373" s="1186" t="s">
        <v>621</v>
      </c>
      <c r="B3373" s="1186" t="s">
        <v>826</v>
      </c>
      <c r="C3373" s="1186" t="s">
        <v>116</v>
      </c>
      <c r="D3373" s="1186" t="s">
        <v>33</v>
      </c>
      <c r="E3373" s="1186">
        <v>12</v>
      </c>
      <c r="F3373" s="1186">
        <v>95170</v>
      </c>
    </row>
    <row r="3374" spans="1:6" x14ac:dyDescent="0.2">
      <c r="A3374" s="1186" t="s">
        <v>621</v>
      </c>
      <c r="B3374" s="1186" t="s">
        <v>826</v>
      </c>
      <c r="C3374" s="1186" t="s">
        <v>116</v>
      </c>
      <c r="D3374" s="1186" t="s">
        <v>34</v>
      </c>
      <c r="E3374" s="1186">
        <v>24</v>
      </c>
      <c r="F3374" s="1186">
        <v>160340</v>
      </c>
    </row>
    <row r="3375" spans="1:6" x14ac:dyDescent="0.2">
      <c r="A3375" s="1186" t="s">
        <v>621</v>
      </c>
      <c r="B3375" s="1186" t="s">
        <v>826</v>
      </c>
      <c r="C3375" s="1186" t="s">
        <v>116</v>
      </c>
      <c r="D3375" s="1186" t="s">
        <v>35</v>
      </c>
      <c r="E3375" s="1186">
        <v>76</v>
      </c>
      <c r="F3375" s="1186">
        <v>371910</v>
      </c>
    </row>
    <row r="3376" spans="1:6" x14ac:dyDescent="0.2">
      <c r="A3376" s="1186" t="s">
        <v>621</v>
      </c>
      <c r="B3376" s="1186" t="s">
        <v>826</v>
      </c>
      <c r="C3376" s="1186" t="s">
        <v>116</v>
      </c>
      <c r="D3376" s="1186" t="s">
        <v>36</v>
      </c>
      <c r="E3376" s="1186">
        <v>47</v>
      </c>
      <c r="F3376" s="1186">
        <v>626410</v>
      </c>
    </row>
    <row r="3377" spans="1:6" x14ac:dyDescent="0.2">
      <c r="A3377" s="1186" t="s">
        <v>621</v>
      </c>
      <c r="B3377" s="1186" t="s">
        <v>826</v>
      </c>
      <c r="C3377" s="1186" t="s">
        <v>116</v>
      </c>
      <c r="D3377" s="1186" t="s">
        <v>37</v>
      </c>
      <c r="E3377" s="1186">
        <v>13</v>
      </c>
      <c r="F3377" s="1186">
        <v>235540</v>
      </c>
    </row>
    <row r="3378" spans="1:6" x14ac:dyDescent="0.2">
      <c r="A3378" s="1186" t="s">
        <v>621</v>
      </c>
      <c r="B3378" s="1186" t="s">
        <v>826</v>
      </c>
      <c r="C3378" s="1186" t="s">
        <v>116</v>
      </c>
      <c r="D3378" s="1186" t="s">
        <v>38</v>
      </c>
      <c r="E3378" s="1186">
        <v>11</v>
      </c>
      <c r="F3378" s="1186">
        <v>78150</v>
      </c>
    </row>
    <row r="3379" spans="1:6" x14ac:dyDescent="0.2">
      <c r="A3379" s="1186" t="s">
        <v>621</v>
      </c>
      <c r="B3379" s="1186" t="s">
        <v>826</v>
      </c>
      <c r="C3379" s="1186" t="s">
        <v>116</v>
      </c>
      <c r="D3379" s="1186" t="s">
        <v>39</v>
      </c>
      <c r="E3379" s="1186">
        <v>38</v>
      </c>
      <c r="F3379" s="1186">
        <v>91340</v>
      </c>
    </row>
    <row r="3380" spans="1:6" x14ac:dyDescent="0.2">
      <c r="A3380" s="1186" t="s">
        <v>621</v>
      </c>
      <c r="B3380" s="1186" t="s">
        <v>826</v>
      </c>
      <c r="C3380" s="1186" t="s">
        <v>116</v>
      </c>
      <c r="D3380" s="1186" t="s">
        <v>40</v>
      </c>
      <c r="E3380" s="1186">
        <v>9</v>
      </c>
      <c r="F3380" s="1186">
        <v>95520</v>
      </c>
    </row>
    <row r="3381" spans="1:6" x14ac:dyDescent="0.2">
      <c r="A3381" s="1186" t="s">
        <v>621</v>
      </c>
      <c r="B3381" s="1186" t="s">
        <v>826</v>
      </c>
      <c r="C3381" s="1186" t="s">
        <v>116</v>
      </c>
      <c r="D3381" s="1186" t="s">
        <v>41</v>
      </c>
      <c r="E3381" s="1186">
        <v>20</v>
      </c>
      <c r="F3381" s="1186">
        <v>135280</v>
      </c>
    </row>
    <row r="3382" spans="1:6" x14ac:dyDescent="0.2">
      <c r="A3382" s="1186" t="s">
        <v>621</v>
      </c>
      <c r="B3382" s="1186" t="s">
        <v>826</v>
      </c>
      <c r="C3382" s="1186" t="s">
        <v>116</v>
      </c>
      <c r="D3382" s="1186" t="s">
        <v>42</v>
      </c>
      <c r="E3382" s="1186">
        <v>35</v>
      </c>
      <c r="F3382" s="1186">
        <v>340180</v>
      </c>
    </row>
    <row r="3383" spans="1:6" x14ac:dyDescent="0.2">
      <c r="A3383" s="1186" t="s">
        <v>621</v>
      </c>
      <c r="B3383" s="1186" t="s">
        <v>826</v>
      </c>
      <c r="C3383" s="1186" t="s">
        <v>116</v>
      </c>
      <c r="D3383" s="1186" t="s">
        <v>44</v>
      </c>
      <c r="E3383" s="1186">
        <v>11</v>
      </c>
      <c r="F3383" s="1186">
        <v>151290</v>
      </c>
    </row>
    <row r="3384" spans="1:6" x14ac:dyDescent="0.2">
      <c r="A3384" s="1186" t="s">
        <v>621</v>
      </c>
      <c r="B3384" s="1186" t="s">
        <v>826</v>
      </c>
      <c r="C3384" s="1186" t="s">
        <v>116</v>
      </c>
      <c r="D3384" s="1186" t="s">
        <v>45</v>
      </c>
      <c r="E3384" s="1186">
        <v>28</v>
      </c>
      <c r="F3384" s="1186">
        <v>177790</v>
      </c>
    </row>
    <row r="3385" spans="1:6" x14ac:dyDescent="0.2">
      <c r="A3385" s="1186" t="s">
        <v>621</v>
      </c>
      <c r="B3385" s="1186" t="s">
        <v>826</v>
      </c>
      <c r="C3385" s="1186" t="s">
        <v>116</v>
      </c>
      <c r="D3385" s="1186" t="s">
        <v>46</v>
      </c>
      <c r="E3385" s="1186">
        <v>30</v>
      </c>
      <c r="F3385" s="1186">
        <v>115270</v>
      </c>
    </row>
    <row r="3386" spans="1:6" x14ac:dyDescent="0.2">
      <c r="A3386" s="1186" t="s">
        <v>621</v>
      </c>
      <c r="B3386" s="1186" t="s">
        <v>826</v>
      </c>
      <c r="C3386" s="1186" t="s">
        <v>116</v>
      </c>
      <c r="D3386" s="1186" t="s">
        <v>48</v>
      </c>
      <c r="E3386" s="1186">
        <v>2</v>
      </c>
      <c r="F3386" s="1186">
        <v>112550</v>
      </c>
    </row>
    <row r="3387" spans="1:6" x14ac:dyDescent="0.2">
      <c r="A3387" s="1186" t="s">
        <v>621</v>
      </c>
      <c r="B3387" s="1186" t="s">
        <v>826</v>
      </c>
      <c r="C3387" s="1186" t="s">
        <v>116</v>
      </c>
      <c r="D3387" s="1186" t="s">
        <v>49</v>
      </c>
      <c r="E3387" s="1186">
        <v>16</v>
      </c>
      <c r="F3387" s="1186">
        <v>319020</v>
      </c>
    </row>
    <row r="3388" spans="1:6" x14ac:dyDescent="0.2">
      <c r="A3388" s="1186" t="s">
        <v>621</v>
      </c>
      <c r="B3388" s="1186" t="s">
        <v>826</v>
      </c>
      <c r="C3388" s="1186" t="s">
        <v>116</v>
      </c>
      <c r="D3388" s="1186" t="s">
        <v>50</v>
      </c>
      <c r="E3388" s="1186">
        <v>14</v>
      </c>
      <c r="F3388" s="1186">
        <v>94330</v>
      </c>
    </row>
    <row r="3389" spans="1:6" x14ac:dyDescent="0.2">
      <c r="A3389" s="1186" t="s">
        <v>621</v>
      </c>
      <c r="B3389" s="1186" t="s">
        <v>826</v>
      </c>
      <c r="C3389" s="1186" t="s">
        <v>116</v>
      </c>
      <c r="D3389" s="1186" t="s">
        <v>51</v>
      </c>
      <c r="E3389" s="1186">
        <v>15</v>
      </c>
      <c r="F3389" s="1186">
        <v>89130</v>
      </c>
    </row>
    <row r="3390" spans="1:6" x14ac:dyDescent="0.2">
      <c r="A3390" s="1186" t="s">
        <v>621</v>
      </c>
      <c r="B3390" s="1186" t="s">
        <v>826</v>
      </c>
      <c r="C3390" s="1186" t="s">
        <v>116</v>
      </c>
      <c r="D3390" s="1186" t="s">
        <v>52</v>
      </c>
      <c r="E3390" s="1186">
        <v>46</v>
      </c>
      <c r="F3390" s="1186">
        <v>182140</v>
      </c>
    </row>
    <row r="3391" spans="1:6" x14ac:dyDescent="0.2">
      <c r="A3391" s="1186" t="s">
        <v>621</v>
      </c>
      <c r="B3391" s="1186" t="s">
        <v>308</v>
      </c>
      <c r="C3391" s="1186" t="s">
        <v>61</v>
      </c>
      <c r="D3391" s="1186" t="s">
        <v>23</v>
      </c>
      <c r="E3391" s="1186">
        <v>167</v>
      </c>
      <c r="F3391" s="1186">
        <v>227560</v>
      </c>
    </row>
    <row r="3392" spans="1:6" x14ac:dyDescent="0.2">
      <c r="A3392" s="1186" t="s">
        <v>621</v>
      </c>
      <c r="B3392" s="1186" t="s">
        <v>308</v>
      </c>
      <c r="C3392" s="1186" t="s">
        <v>61</v>
      </c>
      <c r="D3392" s="1186" t="s">
        <v>24</v>
      </c>
      <c r="E3392" s="1186">
        <v>144</v>
      </c>
      <c r="F3392" s="1186">
        <v>261470</v>
      </c>
    </row>
    <row r="3393" spans="1:6" x14ac:dyDescent="0.2">
      <c r="A3393" s="1186" t="s">
        <v>621</v>
      </c>
      <c r="B3393" s="1186" t="s">
        <v>308</v>
      </c>
      <c r="C3393" s="1186" t="s">
        <v>61</v>
      </c>
      <c r="D3393" s="1186" t="s">
        <v>25</v>
      </c>
      <c r="E3393" s="1186">
        <v>80</v>
      </c>
      <c r="F3393" s="1186">
        <v>116040</v>
      </c>
    </row>
    <row r="3394" spans="1:6" x14ac:dyDescent="0.2">
      <c r="A3394" s="1186" t="s">
        <v>621</v>
      </c>
      <c r="B3394" s="1186" t="s">
        <v>308</v>
      </c>
      <c r="C3394" s="1186" t="s">
        <v>61</v>
      </c>
      <c r="D3394" s="1186" t="s">
        <v>26</v>
      </c>
      <c r="E3394" s="1186">
        <v>50</v>
      </c>
      <c r="F3394" s="1186">
        <v>86260</v>
      </c>
    </row>
    <row r="3395" spans="1:6" x14ac:dyDescent="0.2">
      <c r="A3395" s="1186" t="s">
        <v>621</v>
      </c>
      <c r="B3395" s="1186" t="s">
        <v>308</v>
      </c>
      <c r="C3395" s="1186" t="s">
        <v>61</v>
      </c>
      <c r="D3395" s="1186" t="s">
        <v>619</v>
      </c>
      <c r="E3395" s="1186">
        <v>690</v>
      </c>
      <c r="F3395" s="1186">
        <v>518500</v>
      </c>
    </row>
    <row r="3396" spans="1:6" x14ac:dyDescent="0.2">
      <c r="A3396" s="1186" t="s">
        <v>621</v>
      </c>
      <c r="B3396" s="1186" t="s">
        <v>308</v>
      </c>
      <c r="C3396" s="1186" t="s">
        <v>61</v>
      </c>
      <c r="D3396" s="1186" t="s">
        <v>27</v>
      </c>
      <c r="E3396" s="1186">
        <v>29</v>
      </c>
      <c r="F3396" s="1186">
        <v>51400</v>
      </c>
    </row>
    <row r="3397" spans="1:6" x14ac:dyDescent="0.2">
      <c r="A3397" s="1186" t="s">
        <v>621</v>
      </c>
      <c r="B3397" s="1186" t="s">
        <v>308</v>
      </c>
      <c r="C3397" s="1186" t="s">
        <v>61</v>
      </c>
      <c r="D3397" s="1186" t="s">
        <v>28</v>
      </c>
      <c r="E3397" s="1186">
        <v>83</v>
      </c>
      <c r="F3397" s="1186">
        <v>148790</v>
      </c>
    </row>
    <row r="3398" spans="1:6" x14ac:dyDescent="0.2">
      <c r="A3398" s="1186" t="s">
        <v>621</v>
      </c>
      <c r="B3398" s="1186" t="s">
        <v>308</v>
      </c>
      <c r="C3398" s="1186" t="s">
        <v>61</v>
      </c>
      <c r="D3398" s="1186" t="s">
        <v>29</v>
      </c>
      <c r="E3398" s="1186">
        <v>81</v>
      </c>
      <c r="F3398" s="1186">
        <v>148750</v>
      </c>
    </row>
    <row r="3399" spans="1:6" x14ac:dyDescent="0.2">
      <c r="A3399" s="1186" t="s">
        <v>621</v>
      </c>
      <c r="B3399" s="1186" t="s">
        <v>308</v>
      </c>
      <c r="C3399" s="1186" t="s">
        <v>61</v>
      </c>
      <c r="D3399" s="1186" t="s">
        <v>30</v>
      </c>
      <c r="E3399" s="1186">
        <v>48</v>
      </c>
      <c r="F3399" s="1186">
        <v>121840</v>
      </c>
    </row>
    <row r="3400" spans="1:6" x14ac:dyDescent="0.2">
      <c r="A3400" s="1186" t="s">
        <v>621</v>
      </c>
      <c r="B3400" s="1186" t="s">
        <v>308</v>
      </c>
      <c r="C3400" s="1186" t="s">
        <v>61</v>
      </c>
      <c r="D3400" s="1186" t="s">
        <v>31</v>
      </c>
      <c r="E3400" s="1186">
        <v>16</v>
      </c>
      <c r="F3400" s="1186">
        <v>108330</v>
      </c>
    </row>
    <row r="3401" spans="1:6" x14ac:dyDescent="0.2">
      <c r="A3401" s="1186" t="s">
        <v>621</v>
      </c>
      <c r="B3401" s="1186" t="s">
        <v>308</v>
      </c>
      <c r="C3401" s="1186" t="s">
        <v>61</v>
      </c>
      <c r="D3401" s="1186" t="s">
        <v>32</v>
      </c>
      <c r="E3401" s="1186">
        <v>81</v>
      </c>
      <c r="F3401" s="1186">
        <v>105790</v>
      </c>
    </row>
    <row r="3402" spans="1:6" x14ac:dyDescent="0.2">
      <c r="A3402" s="1186" t="s">
        <v>621</v>
      </c>
      <c r="B3402" s="1186" t="s">
        <v>308</v>
      </c>
      <c r="C3402" s="1186" t="s">
        <v>61</v>
      </c>
      <c r="D3402" s="1186" t="s">
        <v>33</v>
      </c>
      <c r="E3402" s="1186">
        <v>16</v>
      </c>
      <c r="F3402" s="1186">
        <v>95170</v>
      </c>
    </row>
    <row r="3403" spans="1:6" x14ac:dyDescent="0.2">
      <c r="A3403" s="1186" t="s">
        <v>621</v>
      </c>
      <c r="B3403" s="1186" t="s">
        <v>308</v>
      </c>
      <c r="C3403" s="1186" t="s">
        <v>61</v>
      </c>
      <c r="D3403" s="1186" t="s">
        <v>34</v>
      </c>
      <c r="E3403" s="1186">
        <v>119</v>
      </c>
      <c r="F3403" s="1186">
        <v>160340</v>
      </c>
    </row>
    <row r="3404" spans="1:6" x14ac:dyDescent="0.2">
      <c r="A3404" s="1186" t="s">
        <v>621</v>
      </c>
      <c r="B3404" s="1186" t="s">
        <v>308</v>
      </c>
      <c r="C3404" s="1186" t="s">
        <v>61</v>
      </c>
      <c r="D3404" s="1186" t="s">
        <v>35</v>
      </c>
      <c r="E3404" s="1186">
        <v>287</v>
      </c>
      <c r="F3404" s="1186">
        <v>371910</v>
      </c>
    </row>
    <row r="3405" spans="1:6" x14ac:dyDescent="0.2">
      <c r="A3405" s="1186" t="s">
        <v>621</v>
      </c>
      <c r="B3405" s="1186" t="s">
        <v>308</v>
      </c>
      <c r="C3405" s="1186" t="s">
        <v>61</v>
      </c>
      <c r="D3405" s="1186" t="s">
        <v>36</v>
      </c>
      <c r="E3405" s="1186">
        <v>137</v>
      </c>
      <c r="F3405" s="1186">
        <v>626410</v>
      </c>
    </row>
    <row r="3406" spans="1:6" x14ac:dyDescent="0.2">
      <c r="A3406" s="1186" t="s">
        <v>621</v>
      </c>
      <c r="B3406" s="1186" t="s">
        <v>308</v>
      </c>
      <c r="C3406" s="1186" t="s">
        <v>61</v>
      </c>
      <c r="D3406" s="1186" t="s">
        <v>37</v>
      </c>
      <c r="E3406" s="1186">
        <v>366</v>
      </c>
      <c r="F3406" s="1186">
        <v>235540</v>
      </c>
    </row>
    <row r="3407" spans="1:6" x14ac:dyDescent="0.2">
      <c r="A3407" s="1186" t="s">
        <v>621</v>
      </c>
      <c r="B3407" s="1186" t="s">
        <v>308</v>
      </c>
      <c r="C3407" s="1186" t="s">
        <v>61</v>
      </c>
      <c r="D3407" s="1186" t="s">
        <v>38</v>
      </c>
      <c r="E3407" s="1186">
        <v>18</v>
      </c>
      <c r="F3407" s="1186">
        <v>78150</v>
      </c>
    </row>
    <row r="3408" spans="1:6" x14ac:dyDescent="0.2">
      <c r="A3408" s="1186" t="s">
        <v>621</v>
      </c>
      <c r="B3408" s="1186" t="s">
        <v>308</v>
      </c>
      <c r="C3408" s="1186" t="s">
        <v>61</v>
      </c>
      <c r="D3408" s="1186" t="s">
        <v>39</v>
      </c>
      <c r="E3408" s="1186">
        <v>51</v>
      </c>
      <c r="F3408" s="1186">
        <v>91340</v>
      </c>
    </row>
    <row r="3409" spans="1:6" x14ac:dyDescent="0.2">
      <c r="A3409" s="1186" t="s">
        <v>621</v>
      </c>
      <c r="B3409" s="1186" t="s">
        <v>308</v>
      </c>
      <c r="C3409" s="1186" t="s">
        <v>61</v>
      </c>
      <c r="D3409" s="1186" t="s">
        <v>40</v>
      </c>
      <c r="E3409" s="1186">
        <v>140</v>
      </c>
      <c r="F3409" s="1186">
        <v>95520</v>
      </c>
    </row>
    <row r="3410" spans="1:6" x14ac:dyDescent="0.2">
      <c r="A3410" s="1186" t="s">
        <v>621</v>
      </c>
      <c r="B3410" s="1186" t="s">
        <v>308</v>
      </c>
      <c r="C3410" s="1186" t="s">
        <v>61</v>
      </c>
      <c r="D3410" s="1186" t="s">
        <v>295</v>
      </c>
      <c r="E3410" s="1186">
        <v>45</v>
      </c>
      <c r="F3410" s="1186">
        <v>26830</v>
      </c>
    </row>
    <row r="3411" spans="1:6" x14ac:dyDescent="0.2">
      <c r="A3411" s="1186" t="s">
        <v>621</v>
      </c>
      <c r="B3411" s="1186" t="s">
        <v>308</v>
      </c>
      <c r="C3411" s="1186" t="s">
        <v>61</v>
      </c>
      <c r="D3411" s="1186" t="s">
        <v>41</v>
      </c>
      <c r="E3411" s="1186">
        <v>29</v>
      </c>
      <c r="F3411" s="1186">
        <v>135280</v>
      </c>
    </row>
    <row r="3412" spans="1:6" x14ac:dyDescent="0.2">
      <c r="A3412" s="1186" t="s">
        <v>621</v>
      </c>
      <c r="B3412" s="1186" t="s">
        <v>308</v>
      </c>
      <c r="C3412" s="1186" t="s">
        <v>61</v>
      </c>
      <c r="D3412" s="1186" t="s">
        <v>42</v>
      </c>
      <c r="E3412" s="1186">
        <v>49</v>
      </c>
      <c r="F3412" s="1186">
        <v>340180</v>
      </c>
    </row>
    <row r="3413" spans="1:6" x14ac:dyDescent="0.2">
      <c r="A3413" s="1186" t="s">
        <v>621</v>
      </c>
      <c r="B3413" s="1186" t="s">
        <v>308</v>
      </c>
      <c r="C3413" s="1186" t="s">
        <v>61</v>
      </c>
      <c r="D3413" s="1186" t="s">
        <v>43</v>
      </c>
      <c r="E3413" s="1186">
        <v>19</v>
      </c>
      <c r="F3413" s="1186">
        <v>22190</v>
      </c>
    </row>
    <row r="3414" spans="1:6" x14ac:dyDescent="0.2">
      <c r="A3414" s="1186" t="s">
        <v>621</v>
      </c>
      <c r="B3414" s="1186" t="s">
        <v>308</v>
      </c>
      <c r="C3414" s="1186" t="s">
        <v>61</v>
      </c>
      <c r="D3414" s="1186" t="s">
        <v>44</v>
      </c>
      <c r="E3414" s="1186">
        <v>56</v>
      </c>
      <c r="F3414" s="1186">
        <v>151290</v>
      </c>
    </row>
    <row r="3415" spans="1:6" x14ac:dyDescent="0.2">
      <c r="A3415" s="1186" t="s">
        <v>621</v>
      </c>
      <c r="B3415" s="1186" t="s">
        <v>308</v>
      </c>
      <c r="C3415" s="1186" t="s">
        <v>61</v>
      </c>
      <c r="D3415" s="1186" t="s">
        <v>45</v>
      </c>
      <c r="E3415" s="1186">
        <v>43</v>
      </c>
      <c r="F3415" s="1186">
        <v>177790</v>
      </c>
    </row>
    <row r="3416" spans="1:6" x14ac:dyDescent="0.2">
      <c r="A3416" s="1186" t="s">
        <v>621</v>
      </c>
      <c r="B3416" s="1186" t="s">
        <v>308</v>
      </c>
      <c r="C3416" s="1186" t="s">
        <v>61</v>
      </c>
      <c r="D3416" s="1186" t="s">
        <v>46</v>
      </c>
      <c r="E3416" s="1186">
        <v>41</v>
      </c>
      <c r="F3416" s="1186">
        <v>115270</v>
      </c>
    </row>
    <row r="3417" spans="1:6" x14ac:dyDescent="0.2">
      <c r="A3417" s="1186" t="s">
        <v>621</v>
      </c>
      <c r="B3417" s="1186" t="s">
        <v>308</v>
      </c>
      <c r="C3417" s="1186" t="s">
        <v>61</v>
      </c>
      <c r="D3417" s="1186" t="s">
        <v>47</v>
      </c>
      <c r="E3417" s="1186">
        <v>15</v>
      </c>
      <c r="F3417" s="1186">
        <v>22990</v>
      </c>
    </row>
    <row r="3418" spans="1:6" x14ac:dyDescent="0.2">
      <c r="A3418" s="1186" t="s">
        <v>621</v>
      </c>
      <c r="B3418" s="1186" t="s">
        <v>308</v>
      </c>
      <c r="C3418" s="1186" t="s">
        <v>61</v>
      </c>
      <c r="D3418" s="1186" t="s">
        <v>48</v>
      </c>
      <c r="E3418" s="1186">
        <v>29</v>
      </c>
      <c r="F3418" s="1186">
        <v>112550</v>
      </c>
    </row>
    <row r="3419" spans="1:6" x14ac:dyDescent="0.2">
      <c r="A3419" s="1186" t="s">
        <v>621</v>
      </c>
      <c r="B3419" s="1186" t="s">
        <v>308</v>
      </c>
      <c r="C3419" s="1186" t="s">
        <v>61</v>
      </c>
      <c r="D3419" s="1186" t="s">
        <v>49</v>
      </c>
      <c r="E3419" s="1186">
        <v>47</v>
      </c>
      <c r="F3419" s="1186">
        <v>319020</v>
      </c>
    </row>
    <row r="3420" spans="1:6" x14ac:dyDescent="0.2">
      <c r="A3420" s="1186" t="s">
        <v>621</v>
      </c>
      <c r="B3420" s="1186" t="s">
        <v>308</v>
      </c>
      <c r="C3420" s="1186" t="s">
        <v>61</v>
      </c>
      <c r="D3420" s="1186" t="s">
        <v>50</v>
      </c>
      <c r="E3420" s="1186">
        <v>83</v>
      </c>
      <c r="F3420" s="1186">
        <v>94330</v>
      </c>
    </row>
    <row r="3421" spans="1:6" x14ac:dyDescent="0.2">
      <c r="A3421" s="1186" t="s">
        <v>621</v>
      </c>
      <c r="B3421" s="1186" t="s">
        <v>308</v>
      </c>
      <c r="C3421" s="1186" t="s">
        <v>61</v>
      </c>
      <c r="D3421" s="1186" t="s">
        <v>51</v>
      </c>
      <c r="E3421" s="1186">
        <v>9</v>
      </c>
      <c r="F3421" s="1186">
        <v>89130</v>
      </c>
    </row>
    <row r="3422" spans="1:6" x14ac:dyDescent="0.2">
      <c r="A3422" s="1186" t="s">
        <v>621</v>
      </c>
      <c r="B3422" s="1186" t="s">
        <v>308</v>
      </c>
      <c r="C3422" s="1186" t="s">
        <v>61</v>
      </c>
      <c r="D3422" s="1186" t="s">
        <v>52</v>
      </c>
      <c r="E3422" s="1186">
        <v>144</v>
      </c>
      <c r="F3422" s="1186">
        <v>182140</v>
      </c>
    </row>
    <row r="3423" spans="1:6" x14ac:dyDescent="0.2">
      <c r="A3423" s="1186" t="s">
        <v>621</v>
      </c>
      <c r="B3423" s="1186" t="s">
        <v>308</v>
      </c>
      <c r="C3423" s="1186" t="s">
        <v>116</v>
      </c>
      <c r="D3423" s="1186" t="s">
        <v>23</v>
      </c>
      <c r="E3423" s="1186">
        <v>360</v>
      </c>
      <c r="F3423" s="1186">
        <v>227560</v>
      </c>
    </row>
    <row r="3424" spans="1:6" x14ac:dyDescent="0.2">
      <c r="A3424" s="1186" t="s">
        <v>621</v>
      </c>
      <c r="B3424" s="1186" t="s">
        <v>308</v>
      </c>
      <c r="C3424" s="1186" t="s">
        <v>116</v>
      </c>
      <c r="D3424" s="1186" t="s">
        <v>24</v>
      </c>
      <c r="E3424" s="1186">
        <v>191</v>
      </c>
      <c r="F3424" s="1186">
        <v>261470</v>
      </c>
    </row>
    <row r="3425" spans="1:6" x14ac:dyDescent="0.2">
      <c r="A3425" s="1186" t="s">
        <v>621</v>
      </c>
      <c r="B3425" s="1186" t="s">
        <v>308</v>
      </c>
      <c r="C3425" s="1186" t="s">
        <v>116</v>
      </c>
      <c r="D3425" s="1186" t="s">
        <v>25</v>
      </c>
      <c r="E3425" s="1186">
        <v>121</v>
      </c>
      <c r="F3425" s="1186">
        <v>116040</v>
      </c>
    </row>
    <row r="3426" spans="1:6" x14ac:dyDescent="0.2">
      <c r="A3426" s="1186" t="s">
        <v>621</v>
      </c>
      <c r="B3426" s="1186" t="s">
        <v>308</v>
      </c>
      <c r="C3426" s="1186" t="s">
        <v>116</v>
      </c>
      <c r="D3426" s="1186" t="s">
        <v>26</v>
      </c>
      <c r="E3426" s="1186">
        <v>70</v>
      </c>
      <c r="F3426" s="1186">
        <v>86260</v>
      </c>
    </row>
    <row r="3427" spans="1:6" x14ac:dyDescent="0.2">
      <c r="A3427" s="1186" t="s">
        <v>621</v>
      </c>
      <c r="B3427" s="1186" t="s">
        <v>308</v>
      </c>
      <c r="C3427" s="1186" t="s">
        <v>116</v>
      </c>
      <c r="D3427" s="1186" t="s">
        <v>619</v>
      </c>
      <c r="E3427" s="1186">
        <v>1160</v>
      </c>
      <c r="F3427" s="1186">
        <v>518500</v>
      </c>
    </row>
    <row r="3428" spans="1:6" x14ac:dyDescent="0.2">
      <c r="A3428" s="1186" t="s">
        <v>621</v>
      </c>
      <c r="B3428" s="1186" t="s">
        <v>308</v>
      </c>
      <c r="C3428" s="1186" t="s">
        <v>116</v>
      </c>
      <c r="D3428" s="1186" t="s">
        <v>27</v>
      </c>
      <c r="E3428" s="1186">
        <v>59</v>
      </c>
      <c r="F3428" s="1186">
        <v>51400</v>
      </c>
    </row>
    <row r="3429" spans="1:6" x14ac:dyDescent="0.2">
      <c r="A3429" s="1186" t="s">
        <v>621</v>
      </c>
      <c r="B3429" s="1186" t="s">
        <v>308</v>
      </c>
      <c r="C3429" s="1186" t="s">
        <v>116</v>
      </c>
      <c r="D3429" s="1186" t="s">
        <v>28</v>
      </c>
      <c r="E3429" s="1186">
        <v>116</v>
      </c>
      <c r="F3429" s="1186">
        <v>148790</v>
      </c>
    </row>
    <row r="3430" spans="1:6" x14ac:dyDescent="0.2">
      <c r="A3430" s="1186" t="s">
        <v>621</v>
      </c>
      <c r="B3430" s="1186" t="s">
        <v>308</v>
      </c>
      <c r="C3430" s="1186" t="s">
        <v>116</v>
      </c>
      <c r="D3430" s="1186" t="s">
        <v>29</v>
      </c>
      <c r="E3430" s="1186">
        <v>525</v>
      </c>
      <c r="F3430" s="1186">
        <v>148750</v>
      </c>
    </row>
    <row r="3431" spans="1:6" x14ac:dyDescent="0.2">
      <c r="A3431" s="1186" t="s">
        <v>621</v>
      </c>
      <c r="B3431" s="1186" t="s">
        <v>308</v>
      </c>
      <c r="C3431" s="1186" t="s">
        <v>116</v>
      </c>
      <c r="D3431" s="1186" t="s">
        <v>30</v>
      </c>
      <c r="E3431" s="1186">
        <v>538</v>
      </c>
      <c r="F3431" s="1186">
        <v>121840</v>
      </c>
    </row>
    <row r="3432" spans="1:6" x14ac:dyDescent="0.2">
      <c r="A3432" s="1186" t="s">
        <v>621</v>
      </c>
      <c r="B3432" s="1186" t="s">
        <v>308</v>
      </c>
      <c r="C3432" s="1186" t="s">
        <v>116</v>
      </c>
      <c r="D3432" s="1186" t="s">
        <v>31</v>
      </c>
      <c r="E3432" s="1186">
        <v>216</v>
      </c>
      <c r="F3432" s="1186">
        <v>108330</v>
      </c>
    </row>
    <row r="3433" spans="1:6" x14ac:dyDescent="0.2">
      <c r="A3433" s="1186" t="s">
        <v>621</v>
      </c>
      <c r="B3433" s="1186" t="s">
        <v>308</v>
      </c>
      <c r="C3433" s="1186" t="s">
        <v>116</v>
      </c>
      <c r="D3433" s="1186" t="s">
        <v>32</v>
      </c>
      <c r="E3433" s="1186">
        <v>222</v>
      </c>
      <c r="F3433" s="1186">
        <v>105790</v>
      </c>
    </row>
    <row r="3434" spans="1:6" x14ac:dyDescent="0.2">
      <c r="A3434" s="1186" t="s">
        <v>621</v>
      </c>
      <c r="B3434" s="1186" t="s">
        <v>308</v>
      </c>
      <c r="C3434" s="1186" t="s">
        <v>116</v>
      </c>
      <c r="D3434" s="1186" t="s">
        <v>33</v>
      </c>
      <c r="E3434" s="1186">
        <v>107</v>
      </c>
      <c r="F3434" s="1186">
        <v>95170</v>
      </c>
    </row>
    <row r="3435" spans="1:6" x14ac:dyDescent="0.2">
      <c r="A3435" s="1186" t="s">
        <v>621</v>
      </c>
      <c r="B3435" s="1186" t="s">
        <v>308</v>
      </c>
      <c r="C3435" s="1186" t="s">
        <v>116</v>
      </c>
      <c r="D3435" s="1186" t="s">
        <v>34</v>
      </c>
      <c r="E3435" s="1186">
        <v>240</v>
      </c>
      <c r="F3435" s="1186">
        <v>160340</v>
      </c>
    </row>
    <row r="3436" spans="1:6" x14ac:dyDescent="0.2">
      <c r="A3436" s="1186" t="s">
        <v>621</v>
      </c>
      <c r="B3436" s="1186" t="s">
        <v>308</v>
      </c>
      <c r="C3436" s="1186" t="s">
        <v>116</v>
      </c>
      <c r="D3436" s="1186" t="s">
        <v>35</v>
      </c>
      <c r="E3436" s="1186">
        <v>747</v>
      </c>
      <c r="F3436" s="1186">
        <v>371910</v>
      </c>
    </row>
    <row r="3437" spans="1:6" x14ac:dyDescent="0.2">
      <c r="A3437" s="1186" t="s">
        <v>621</v>
      </c>
      <c r="B3437" s="1186" t="s">
        <v>308</v>
      </c>
      <c r="C3437" s="1186" t="s">
        <v>116</v>
      </c>
      <c r="D3437" s="1186" t="s">
        <v>36</v>
      </c>
      <c r="E3437" s="1186">
        <v>2363</v>
      </c>
      <c r="F3437" s="1186">
        <v>626410</v>
      </c>
    </row>
    <row r="3438" spans="1:6" x14ac:dyDescent="0.2">
      <c r="A3438" s="1186" t="s">
        <v>621</v>
      </c>
      <c r="B3438" s="1186" t="s">
        <v>308</v>
      </c>
      <c r="C3438" s="1186" t="s">
        <v>116</v>
      </c>
      <c r="D3438" s="1186" t="s">
        <v>37</v>
      </c>
      <c r="E3438" s="1186">
        <v>156</v>
      </c>
      <c r="F3438" s="1186">
        <v>235540</v>
      </c>
    </row>
    <row r="3439" spans="1:6" x14ac:dyDescent="0.2">
      <c r="A3439" s="1186" t="s">
        <v>621</v>
      </c>
      <c r="B3439" s="1186" t="s">
        <v>308</v>
      </c>
      <c r="C3439" s="1186" t="s">
        <v>116</v>
      </c>
      <c r="D3439" s="1186" t="s">
        <v>38</v>
      </c>
      <c r="E3439" s="1186">
        <v>354</v>
      </c>
      <c r="F3439" s="1186">
        <v>78150</v>
      </c>
    </row>
    <row r="3440" spans="1:6" x14ac:dyDescent="0.2">
      <c r="A3440" s="1186" t="s">
        <v>621</v>
      </c>
      <c r="B3440" s="1186" t="s">
        <v>308</v>
      </c>
      <c r="C3440" s="1186" t="s">
        <v>116</v>
      </c>
      <c r="D3440" s="1186" t="s">
        <v>39</v>
      </c>
      <c r="E3440" s="1186">
        <v>266</v>
      </c>
      <c r="F3440" s="1186">
        <v>91340</v>
      </c>
    </row>
    <row r="3441" spans="1:6" x14ac:dyDescent="0.2">
      <c r="A3441" s="1186" t="s">
        <v>621</v>
      </c>
      <c r="B3441" s="1186" t="s">
        <v>308</v>
      </c>
      <c r="C3441" s="1186" t="s">
        <v>116</v>
      </c>
      <c r="D3441" s="1186" t="s">
        <v>40</v>
      </c>
      <c r="E3441" s="1186">
        <v>97</v>
      </c>
      <c r="F3441" s="1186">
        <v>95520</v>
      </c>
    </row>
    <row r="3442" spans="1:6" x14ac:dyDescent="0.2">
      <c r="A3442" s="1186" t="s">
        <v>621</v>
      </c>
      <c r="B3442" s="1186" t="s">
        <v>308</v>
      </c>
      <c r="C3442" s="1186" t="s">
        <v>116</v>
      </c>
      <c r="D3442" s="1186" t="s">
        <v>295</v>
      </c>
      <c r="E3442" s="1186">
        <v>2</v>
      </c>
      <c r="F3442" s="1186">
        <v>26830</v>
      </c>
    </row>
    <row r="3443" spans="1:6" x14ac:dyDescent="0.2">
      <c r="A3443" s="1186" t="s">
        <v>621</v>
      </c>
      <c r="B3443" s="1186" t="s">
        <v>308</v>
      </c>
      <c r="C3443" s="1186" t="s">
        <v>116</v>
      </c>
      <c r="D3443" s="1186" t="s">
        <v>41</v>
      </c>
      <c r="E3443" s="1186">
        <v>559</v>
      </c>
      <c r="F3443" s="1186">
        <v>135280</v>
      </c>
    </row>
    <row r="3444" spans="1:6" x14ac:dyDescent="0.2">
      <c r="A3444" s="1186" t="s">
        <v>621</v>
      </c>
      <c r="B3444" s="1186" t="s">
        <v>308</v>
      </c>
      <c r="C3444" s="1186" t="s">
        <v>116</v>
      </c>
      <c r="D3444" s="1186" t="s">
        <v>42</v>
      </c>
      <c r="E3444" s="1186">
        <v>1244</v>
      </c>
      <c r="F3444" s="1186">
        <v>340180</v>
      </c>
    </row>
    <row r="3445" spans="1:6" x14ac:dyDescent="0.2">
      <c r="A3445" s="1186" t="s">
        <v>621</v>
      </c>
      <c r="B3445" s="1186" t="s">
        <v>308</v>
      </c>
      <c r="C3445" s="1186" t="s">
        <v>116</v>
      </c>
      <c r="D3445" s="1186" t="s">
        <v>43</v>
      </c>
      <c r="E3445" s="1186">
        <v>4</v>
      </c>
      <c r="F3445" s="1186">
        <v>22190</v>
      </c>
    </row>
    <row r="3446" spans="1:6" x14ac:dyDescent="0.2">
      <c r="A3446" s="1186" t="s">
        <v>621</v>
      </c>
      <c r="B3446" s="1186" t="s">
        <v>308</v>
      </c>
      <c r="C3446" s="1186" t="s">
        <v>116</v>
      </c>
      <c r="D3446" s="1186" t="s">
        <v>44</v>
      </c>
      <c r="E3446" s="1186">
        <v>108</v>
      </c>
      <c r="F3446" s="1186">
        <v>151290</v>
      </c>
    </row>
    <row r="3447" spans="1:6" x14ac:dyDescent="0.2">
      <c r="A3447" s="1186" t="s">
        <v>621</v>
      </c>
      <c r="B3447" s="1186" t="s">
        <v>308</v>
      </c>
      <c r="C3447" s="1186" t="s">
        <v>116</v>
      </c>
      <c r="D3447" s="1186" t="s">
        <v>45</v>
      </c>
      <c r="E3447" s="1186">
        <v>574</v>
      </c>
      <c r="F3447" s="1186">
        <v>177790</v>
      </c>
    </row>
    <row r="3448" spans="1:6" x14ac:dyDescent="0.2">
      <c r="A3448" s="1186" t="s">
        <v>621</v>
      </c>
      <c r="B3448" s="1186" t="s">
        <v>308</v>
      </c>
      <c r="C3448" s="1186" t="s">
        <v>116</v>
      </c>
      <c r="D3448" s="1186" t="s">
        <v>46</v>
      </c>
      <c r="E3448" s="1186">
        <v>92</v>
      </c>
      <c r="F3448" s="1186">
        <v>115270</v>
      </c>
    </row>
    <row r="3449" spans="1:6" x14ac:dyDescent="0.2">
      <c r="A3449" s="1186" t="s">
        <v>621</v>
      </c>
      <c r="B3449" s="1186" t="s">
        <v>308</v>
      </c>
      <c r="C3449" s="1186" t="s">
        <v>116</v>
      </c>
      <c r="D3449" s="1186" t="s">
        <v>47</v>
      </c>
      <c r="E3449" s="1186">
        <v>3</v>
      </c>
      <c r="F3449" s="1186">
        <v>22990</v>
      </c>
    </row>
    <row r="3450" spans="1:6" x14ac:dyDescent="0.2">
      <c r="A3450" s="1186" t="s">
        <v>621</v>
      </c>
      <c r="B3450" s="1186" t="s">
        <v>308</v>
      </c>
      <c r="C3450" s="1186" t="s">
        <v>116</v>
      </c>
      <c r="D3450" s="1186" t="s">
        <v>48</v>
      </c>
      <c r="E3450" s="1186">
        <v>225</v>
      </c>
      <c r="F3450" s="1186">
        <v>112550</v>
      </c>
    </row>
    <row r="3451" spans="1:6" x14ac:dyDescent="0.2">
      <c r="A3451" s="1186" t="s">
        <v>621</v>
      </c>
      <c r="B3451" s="1186" t="s">
        <v>308</v>
      </c>
      <c r="C3451" s="1186" t="s">
        <v>116</v>
      </c>
      <c r="D3451" s="1186" t="s">
        <v>49</v>
      </c>
      <c r="E3451" s="1186">
        <v>706</v>
      </c>
      <c r="F3451" s="1186">
        <v>319020</v>
      </c>
    </row>
    <row r="3452" spans="1:6" x14ac:dyDescent="0.2">
      <c r="A3452" s="1186" t="s">
        <v>621</v>
      </c>
      <c r="B3452" s="1186" t="s">
        <v>308</v>
      </c>
      <c r="C3452" s="1186" t="s">
        <v>116</v>
      </c>
      <c r="D3452" s="1186" t="s">
        <v>50</v>
      </c>
      <c r="E3452" s="1186">
        <v>92</v>
      </c>
      <c r="F3452" s="1186">
        <v>94330</v>
      </c>
    </row>
    <row r="3453" spans="1:6" x14ac:dyDescent="0.2">
      <c r="A3453" s="1186" t="s">
        <v>621</v>
      </c>
      <c r="B3453" s="1186" t="s">
        <v>308</v>
      </c>
      <c r="C3453" s="1186" t="s">
        <v>116</v>
      </c>
      <c r="D3453" s="1186" t="s">
        <v>51</v>
      </c>
      <c r="E3453" s="1186">
        <v>253</v>
      </c>
      <c r="F3453" s="1186">
        <v>89130</v>
      </c>
    </row>
    <row r="3454" spans="1:6" x14ac:dyDescent="0.2">
      <c r="A3454" s="1186" t="s">
        <v>621</v>
      </c>
      <c r="B3454" s="1186" t="s">
        <v>308</v>
      </c>
      <c r="C3454" s="1186" t="s">
        <v>116</v>
      </c>
      <c r="D3454" s="1186" t="s">
        <v>52</v>
      </c>
      <c r="E3454" s="1186">
        <v>715</v>
      </c>
      <c r="F3454" s="1186">
        <v>182140</v>
      </c>
    </row>
    <row r="3455" spans="1:6" x14ac:dyDescent="0.2">
      <c r="A3455" s="1186" t="s">
        <v>1419</v>
      </c>
      <c r="B3455" s="1186" t="s">
        <v>309</v>
      </c>
      <c r="C3455" s="1186" t="s">
        <v>61</v>
      </c>
      <c r="D3455" s="1186" t="s">
        <v>23</v>
      </c>
      <c r="E3455" s="1186">
        <v>8</v>
      </c>
      <c r="F3455" s="1186">
        <v>228670</v>
      </c>
    </row>
    <row r="3456" spans="1:6" x14ac:dyDescent="0.2">
      <c r="A3456" s="1186" t="s">
        <v>1419</v>
      </c>
      <c r="B3456" s="1186" t="s">
        <v>309</v>
      </c>
      <c r="C3456" s="1186" t="s">
        <v>61</v>
      </c>
      <c r="D3456" s="1186" t="s">
        <v>24</v>
      </c>
      <c r="E3456" s="1186">
        <v>57</v>
      </c>
      <c r="F3456" s="1186">
        <v>261210</v>
      </c>
    </row>
    <row r="3457" spans="1:6" x14ac:dyDescent="0.2">
      <c r="A3457" s="1186" t="s">
        <v>1419</v>
      </c>
      <c r="B3457" s="1186" t="s">
        <v>309</v>
      </c>
      <c r="C3457" s="1186" t="s">
        <v>61</v>
      </c>
      <c r="D3457" s="1186" t="s">
        <v>25</v>
      </c>
      <c r="E3457" s="1186">
        <v>12</v>
      </c>
      <c r="F3457" s="1186">
        <v>116200</v>
      </c>
    </row>
    <row r="3458" spans="1:6" x14ac:dyDescent="0.2">
      <c r="A3458" s="1186" t="s">
        <v>1419</v>
      </c>
      <c r="B3458" s="1186" t="s">
        <v>309</v>
      </c>
      <c r="C3458" s="1186" t="s">
        <v>61</v>
      </c>
      <c r="D3458" s="1186" t="s">
        <v>26</v>
      </c>
      <c r="E3458" s="1186">
        <v>39</v>
      </c>
      <c r="F3458" s="1186">
        <v>85870</v>
      </c>
    </row>
    <row r="3459" spans="1:6" x14ac:dyDescent="0.2">
      <c r="A3459" s="1186" t="s">
        <v>1419</v>
      </c>
      <c r="B3459" s="1186" t="s">
        <v>309</v>
      </c>
      <c r="C3459" s="1186" t="s">
        <v>61</v>
      </c>
      <c r="D3459" s="1186" t="s">
        <v>619</v>
      </c>
      <c r="E3459" s="1186">
        <v>9</v>
      </c>
      <c r="F3459" s="1186">
        <v>524930</v>
      </c>
    </row>
    <row r="3460" spans="1:6" x14ac:dyDescent="0.2">
      <c r="A3460" s="1186" t="s">
        <v>1419</v>
      </c>
      <c r="B3460" s="1186" t="s">
        <v>309</v>
      </c>
      <c r="C3460" s="1186" t="s">
        <v>61</v>
      </c>
      <c r="D3460" s="1186" t="s">
        <v>27</v>
      </c>
      <c r="E3460" s="1186">
        <v>1</v>
      </c>
      <c r="F3460" s="1186">
        <v>51540</v>
      </c>
    </row>
    <row r="3461" spans="1:6" x14ac:dyDescent="0.2">
      <c r="A3461" s="1186" t="s">
        <v>1419</v>
      </c>
      <c r="B3461" s="1186" t="s">
        <v>309</v>
      </c>
      <c r="C3461" s="1186" t="s">
        <v>61</v>
      </c>
      <c r="D3461" s="1186" t="s">
        <v>28</v>
      </c>
      <c r="E3461" s="1186">
        <v>47</v>
      </c>
      <c r="F3461" s="1186">
        <v>148860</v>
      </c>
    </row>
    <row r="3462" spans="1:6" x14ac:dyDescent="0.2">
      <c r="A3462" s="1186" t="s">
        <v>1419</v>
      </c>
      <c r="B3462" s="1186" t="s">
        <v>309</v>
      </c>
      <c r="C3462" s="1186" t="s">
        <v>61</v>
      </c>
      <c r="D3462" s="1186" t="s">
        <v>29</v>
      </c>
      <c r="E3462" s="1186">
        <v>2</v>
      </c>
      <c r="F3462" s="1186">
        <v>149320</v>
      </c>
    </row>
    <row r="3463" spans="1:6" x14ac:dyDescent="0.2">
      <c r="A3463" s="1186" t="s">
        <v>1419</v>
      </c>
      <c r="B3463" s="1186" t="s">
        <v>309</v>
      </c>
      <c r="C3463" s="1186" t="s">
        <v>61</v>
      </c>
      <c r="D3463" s="1186" t="s">
        <v>30</v>
      </c>
      <c r="E3463" s="1186">
        <v>7</v>
      </c>
      <c r="F3463" s="1186">
        <v>122010</v>
      </c>
    </row>
    <row r="3464" spans="1:6" x14ac:dyDescent="0.2">
      <c r="A3464" s="1186" t="s">
        <v>1419</v>
      </c>
      <c r="B3464" s="1186" t="s">
        <v>309</v>
      </c>
      <c r="C3464" s="1186" t="s">
        <v>61</v>
      </c>
      <c r="D3464" s="1186" t="s">
        <v>31</v>
      </c>
      <c r="E3464" s="1186">
        <v>5</v>
      </c>
      <c r="F3464" s="1186">
        <v>108640</v>
      </c>
    </row>
    <row r="3465" spans="1:6" x14ac:dyDescent="0.2">
      <c r="A3465" s="1186" t="s">
        <v>1419</v>
      </c>
      <c r="B3465" s="1186" t="s">
        <v>309</v>
      </c>
      <c r="C3465" s="1186" t="s">
        <v>61</v>
      </c>
      <c r="D3465" s="1186" t="s">
        <v>32</v>
      </c>
      <c r="E3465" s="1186">
        <v>11</v>
      </c>
      <c r="F3465" s="1186">
        <v>107090</v>
      </c>
    </row>
    <row r="3466" spans="1:6" x14ac:dyDescent="0.2">
      <c r="A3466" s="1186" t="s">
        <v>1419</v>
      </c>
      <c r="B3466" s="1186" t="s">
        <v>309</v>
      </c>
      <c r="C3466" s="1186" t="s">
        <v>61</v>
      </c>
      <c r="D3466" s="1186" t="s">
        <v>33</v>
      </c>
      <c r="E3466" s="1186">
        <v>2</v>
      </c>
      <c r="F3466" s="1186">
        <v>95530</v>
      </c>
    </row>
    <row r="3467" spans="1:6" x14ac:dyDescent="0.2">
      <c r="A3467" s="1186" t="s">
        <v>1419</v>
      </c>
      <c r="B3467" s="1186" t="s">
        <v>309</v>
      </c>
      <c r="C3467" s="1186" t="s">
        <v>61</v>
      </c>
      <c r="D3467" s="1186" t="s">
        <v>34</v>
      </c>
      <c r="E3467" s="1186">
        <v>4</v>
      </c>
      <c r="F3467" s="1186">
        <v>160890</v>
      </c>
    </row>
    <row r="3468" spans="1:6" x14ac:dyDescent="0.2">
      <c r="A3468" s="1186" t="s">
        <v>1419</v>
      </c>
      <c r="B3468" s="1186" t="s">
        <v>309</v>
      </c>
      <c r="C3468" s="1186" t="s">
        <v>61</v>
      </c>
      <c r="D3468" s="1186" t="s">
        <v>35</v>
      </c>
      <c r="E3468" s="1186">
        <v>12</v>
      </c>
      <c r="F3468" s="1186">
        <v>373550</v>
      </c>
    </row>
    <row r="3469" spans="1:6" x14ac:dyDescent="0.2">
      <c r="A3469" s="1186" t="s">
        <v>1419</v>
      </c>
      <c r="B3469" s="1186" t="s">
        <v>309</v>
      </c>
      <c r="C3469" s="1186" t="s">
        <v>61</v>
      </c>
      <c r="D3469" s="1186" t="s">
        <v>36</v>
      </c>
      <c r="E3469" s="1186">
        <v>4</v>
      </c>
      <c r="F3469" s="1186">
        <v>633120</v>
      </c>
    </row>
    <row r="3470" spans="1:6" x14ac:dyDescent="0.2">
      <c r="A3470" s="1186" t="s">
        <v>1419</v>
      </c>
      <c r="B3470" s="1186" t="s">
        <v>309</v>
      </c>
      <c r="C3470" s="1186" t="s">
        <v>61</v>
      </c>
      <c r="D3470" s="1186" t="s">
        <v>37</v>
      </c>
      <c r="E3470" s="1186">
        <v>125</v>
      </c>
      <c r="F3470" s="1186">
        <v>235830</v>
      </c>
    </row>
    <row r="3471" spans="1:6" x14ac:dyDescent="0.2">
      <c r="A3471" s="1186" t="s">
        <v>1419</v>
      </c>
      <c r="B3471" s="1186" t="s">
        <v>309</v>
      </c>
      <c r="C3471" s="1186" t="s">
        <v>61</v>
      </c>
      <c r="D3471" s="1186" t="s">
        <v>38</v>
      </c>
      <c r="E3471" s="1186">
        <v>3</v>
      </c>
      <c r="F3471" s="1186">
        <v>77800</v>
      </c>
    </row>
    <row r="3472" spans="1:6" x14ac:dyDescent="0.2">
      <c r="A3472" s="1186" t="s">
        <v>1419</v>
      </c>
      <c r="B3472" s="1186" t="s">
        <v>309</v>
      </c>
      <c r="C3472" s="1186" t="s">
        <v>61</v>
      </c>
      <c r="D3472" s="1186" t="s">
        <v>39</v>
      </c>
      <c r="E3472" s="1186">
        <v>6</v>
      </c>
      <c r="F3472" s="1186">
        <v>92460</v>
      </c>
    </row>
    <row r="3473" spans="1:6" x14ac:dyDescent="0.2">
      <c r="A3473" s="1186" t="s">
        <v>1419</v>
      </c>
      <c r="B3473" s="1186" t="s">
        <v>309</v>
      </c>
      <c r="C3473" s="1186" t="s">
        <v>61</v>
      </c>
      <c r="D3473" s="1186" t="s">
        <v>40</v>
      </c>
      <c r="E3473" s="1186">
        <v>25</v>
      </c>
      <c r="F3473" s="1186">
        <v>95820</v>
      </c>
    </row>
    <row r="3474" spans="1:6" x14ac:dyDescent="0.2">
      <c r="A3474" s="1186" t="s">
        <v>1419</v>
      </c>
      <c r="B3474" s="1186" t="s">
        <v>309</v>
      </c>
      <c r="C3474" s="1186" t="s">
        <v>61</v>
      </c>
      <c r="D3474" s="1186" t="s">
        <v>295</v>
      </c>
      <c r="E3474" s="1186">
        <v>37</v>
      </c>
      <c r="F3474" s="1186">
        <v>26720</v>
      </c>
    </row>
    <row r="3475" spans="1:6" x14ac:dyDescent="0.2">
      <c r="A3475" s="1186" t="s">
        <v>1419</v>
      </c>
      <c r="B3475" s="1186" t="s">
        <v>309</v>
      </c>
      <c r="C3475" s="1186" t="s">
        <v>61</v>
      </c>
      <c r="D3475" s="1186" t="s">
        <v>41</v>
      </c>
      <c r="E3475" s="1186">
        <v>8</v>
      </c>
      <c r="F3475" s="1186">
        <v>134740</v>
      </c>
    </row>
    <row r="3476" spans="1:6" x14ac:dyDescent="0.2">
      <c r="A3476" s="1186" t="s">
        <v>1419</v>
      </c>
      <c r="B3476" s="1186" t="s">
        <v>309</v>
      </c>
      <c r="C3476" s="1186" t="s">
        <v>61</v>
      </c>
      <c r="D3476" s="1186" t="s">
        <v>42</v>
      </c>
      <c r="E3476" s="1186">
        <v>4</v>
      </c>
      <c r="F3476" s="1186">
        <v>341370</v>
      </c>
    </row>
    <row r="3477" spans="1:6" x14ac:dyDescent="0.2">
      <c r="A3477" s="1186" t="s">
        <v>1419</v>
      </c>
      <c r="B3477" s="1186" t="s">
        <v>309</v>
      </c>
      <c r="C3477" s="1186" t="s">
        <v>61</v>
      </c>
      <c r="D3477" s="1186" t="s">
        <v>43</v>
      </c>
      <c r="E3477" s="1186">
        <v>4</v>
      </c>
      <c r="F3477" s="1186">
        <v>22270</v>
      </c>
    </row>
    <row r="3478" spans="1:6" x14ac:dyDescent="0.2">
      <c r="A3478" s="1186" t="s">
        <v>1419</v>
      </c>
      <c r="B3478" s="1186" t="s">
        <v>309</v>
      </c>
      <c r="C3478" s="1186" t="s">
        <v>61</v>
      </c>
      <c r="D3478" s="1186" t="s">
        <v>44</v>
      </c>
      <c r="E3478" s="1186">
        <v>38</v>
      </c>
      <c r="F3478" s="1186">
        <v>151950</v>
      </c>
    </row>
    <row r="3479" spans="1:6" x14ac:dyDescent="0.2">
      <c r="A3479" s="1186" t="s">
        <v>1419</v>
      </c>
      <c r="B3479" s="1186" t="s">
        <v>309</v>
      </c>
      <c r="C3479" s="1186" t="s">
        <v>61</v>
      </c>
      <c r="D3479" s="1186" t="s">
        <v>45</v>
      </c>
      <c r="E3479" s="1186">
        <v>2</v>
      </c>
      <c r="F3479" s="1186">
        <v>179100</v>
      </c>
    </row>
    <row r="3480" spans="1:6" x14ac:dyDescent="0.2">
      <c r="A3480" s="1186" t="s">
        <v>1419</v>
      </c>
      <c r="B3480" s="1186" t="s">
        <v>309</v>
      </c>
      <c r="C3480" s="1186" t="s">
        <v>61</v>
      </c>
      <c r="D3480" s="1186" t="s">
        <v>46</v>
      </c>
      <c r="E3480" s="1186">
        <v>31</v>
      </c>
      <c r="F3480" s="1186">
        <v>115510</v>
      </c>
    </row>
    <row r="3481" spans="1:6" x14ac:dyDescent="0.2">
      <c r="A3481" s="1186" t="s">
        <v>1419</v>
      </c>
      <c r="B3481" s="1186" t="s">
        <v>309</v>
      </c>
      <c r="C3481" s="1186" t="s">
        <v>61</v>
      </c>
      <c r="D3481" s="1186" t="s">
        <v>47</v>
      </c>
      <c r="E3481" s="1186">
        <v>10</v>
      </c>
      <c r="F3481" s="1186">
        <v>22920</v>
      </c>
    </row>
    <row r="3482" spans="1:6" x14ac:dyDescent="0.2">
      <c r="A3482" s="1186" t="s">
        <v>1419</v>
      </c>
      <c r="B3482" s="1186" t="s">
        <v>309</v>
      </c>
      <c r="C3482" s="1186" t="s">
        <v>61</v>
      </c>
      <c r="D3482" s="1186" t="s">
        <v>48</v>
      </c>
      <c r="E3482" s="1186">
        <v>8</v>
      </c>
      <c r="F3482" s="1186">
        <v>112610</v>
      </c>
    </row>
    <row r="3483" spans="1:6" x14ac:dyDescent="0.2">
      <c r="A3483" s="1186" t="s">
        <v>1419</v>
      </c>
      <c r="B3483" s="1186" t="s">
        <v>309</v>
      </c>
      <c r="C3483" s="1186" t="s">
        <v>61</v>
      </c>
      <c r="D3483" s="1186" t="s">
        <v>49</v>
      </c>
      <c r="E3483" s="1186">
        <v>11</v>
      </c>
      <c r="F3483" s="1186">
        <v>320530</v>
      </c>
    </row>
    <row r="3484" spans="1:6" x14ac:dyDescent="0.2">
      <c r="A3484" s="1186" t="s">
        <v>1419</v>
      </c>
      <c r="B3484" s="1186" t="s">
        <v>309</v>
      </c>
      <c r="C3484" s="1186" t="s">
        <v>61</v>
      </c>
      <c r="D3484" s="1186" t="s">
        <v>50</v>
      </c>
      <c r="E3484" s="1186">
        <v>15</v>
      </c>
      <c r="F3484" s="1186">
        <v>94210</v>
      </c>
    </row>
    <row r="3485" spans="1:6" x14ac:dyDescent="0.2">
      <c r="A3485" s="1186" t="s">
        <v>1419</v>
      </c>
      <c r="B3485" s="1186" t="s">
        <v>309</v>
      </c>
      <c r="C3485" s="1186" t="s">
        <v>61</v>
      </c>
      <c r="D3485" s="1186" t="s">
        <v>51</v>
      </c>
      <c r="E3485" s="1186">
        <v>2</v>
      </c>
      <c r="F3485" s="1186">
        <v>88930</v>
      </c>
    </row>
    <row r="3486" spans="1:6" x14ac:dyDescent="0.2">
      <c r="A3486" s="1186" t="s">
        <v>1419</v>
      </c>
      <c r="B3486" s="1186" t="s">
        <v>309</v>
      </c>
      <c r="C3486" s="1186" t="s">
        <v>61</v>
      </c>
      <c r="D3486" s="1186" t="s">
        <v>52</v>
      </c>
      <c r="E3486" s="1186">
        <v>5</v>
      </c>
      <c r="F3486" s="1186">
        <v>183100</v>
      </c>
    </row>
    <row r="3487" spans="1:6" x14ac:dyDescent="0.2">
      <c r="A3487" s="1186" t="s">
        <v>1419</v>
      </c>
      <c r="B3487" s="1186" t="s">
        <v>309</v>
      </c>
      <c r="C3487" s="1186" t="s">
        <v>116</v>
      </c>
      <c r="D3487" s="1186" t="s">
        <v>26</v>
      </c>
      <c r="E3487" s="1186">
        <v>1</v>
      </c>
      <c r="F3487" s="1186">
        <v>85870</v>
      </c>
    </row>
    <row r="3488" spans="1:6" x14ac:dyDescent="0.2">
      <c r="A3488" s="1186" t="s">
        <v>1419</v>
      </c>
      <c r="B3488" s="1186" t="s">
        <v>309</v>
      </c>
      <c r="C3488" s="1186" t="s">
        <v>116</v>
      </c>
      <c r="D3488" s="1186" t="s">
        <v>28</v>
      </c>
      <c r="E3488" s="1186">
        <v>1</v>
      </c>
      <c r="F3488" s="1186">
        <v>148860</v>
      </c>
    </row>
    <row r="3489" spans="1:6" x14ac:dyDescent="0.2">
      <c r="A3489" s="1186" t="s">
        <v>1419</v>
      </c>
      <c r="B3489" s="1186" t="s">
        <v>823</v>
      </c>
      <c r="C3489" s="1186" t="s">
        <v>61</v>
      </c>
      <c r="D3489" s="1186" t="s">
        <v>23</v>
      </c>
      <c r="E3489" s="1186">
        <v>257</v>
      </c>
      <c r="F3489" s="1186">
        <v>228670</v>
      </c>
    </row>
    <row r="3490" spans="1:6" x14ac:dyDescent="0.2">
      <c r="A3490" s="1186" t="s">
        <v>1419</v>
      </c>
      <c r="B3490" s="1186" t="s">
        <v>823</v>
      </c>
      <c r="C3490" s="1186" t="s">
        <v>61</v>
      </c>
      <c r="D3490" s="1186" t="s">
        <v>24</v>
      </c>
      <c r="E3490" s="1186">
        <v>160</v>
      </c>
      <c r="F3490" s="1186">
        <v>261210</v>
      </c>
    </row>
    <row r="3491" spans="1:6" x14ac:dyDescent="0.2">
      <c r="A3491" s="1186" t="s">
        <v>1419</v>
      </c>
      <c r="B3491" s="1186" t="s">
        <v>823</v>
      </c>
      <c r="C3491" s="1186" t="s">
        <v>61</v>
      </c>
      <c r="D3491" s="1186" t="s">
        <v>25</v>
      </c>
      <c r="E3491" s="1186">
        <v>79</v>
      </c>
      <c r="F3491" s="1186">
        <v>116200</v>
      </c>
    </row>
    <row r="3492" spans="1:6" x14ac:dyDescent="0.2">
      <c r="A3492" s="1186" t="s">
        <v>1419</v>
      </c>
      <c r="B3492" s="1186" t="s">
        <v>823</v>
      </c>
      <c r="C3492" s="1186" t="s">
        <v>61</v>
      </c>
      <c r="D3492" s="1186" t="s">
        <v>26</v>
      </c>
      <c r="E3492" s="1186">
        <v>84</v>
      </c>
      <c r="F3492" s="1186">
        <v>85870</v>
      </c>
    </row>
    <row r="3493" spans="1:6" x14ac:dyDescent="0.2">
      <c r="A3493" s="1186" t="s">
        <v>1419</v>
      </c>
      <c r="B3493" s="1186" t="s">
        <v>823</v>
      </c>
      <c r="C3493" s="1186" t="s">
        <v>61</v>
      </c>
      <c r="D3493" s="1186" t="s">
        <v>619</v>
      </c>
      <c r="E3493" s="1186">
        <v>438</v>
      </c>
      <c r="F3493" s="1186">
        <v>524930</v>
      </c>
    </row>
    <row r="3494" spans="1:6" x14ac:dyDescent="0.2">
      <c r="A3494" s="1186" t="s">
        <v>1419</v>
      </c>
      <c r="B3494" s="1186" t="s">
        <v>823</v>
      </c>
      <c r="C3494" s="1186" t="s">
        <v>61</v>
      </c>
      <c r="D3494" s="1186" t="s">
        <v>27</v>
      </c>
      <c r="E3494" s="1186">
        <v>40</v>
      </c>
      <c r="F3494" s="1186">
        <v>51540</v>
      </c>
    </row>
    <row r="3495" spans="1:6" x14ac:dyDescent="0.2">
      <c r="A3495" s="1186" t="s">
        <v>1419</v>
      </c>
      <c r="B3495" s="1186" t="s">
        <v>823</v>
      </c>
      <c r="C3495" s="1186" t="s">
        <v>61</v>
      </c>
      <c r="D3495" s="1186" t="s">
        <v>28</v>
      </c>
      <c r="E3495" s="1186">
        <v>94</v>
      </c>
      <c r="F3495" s="1186">
        <v>148860</v>
      </c>
    </row>
    <row r="3496" spans="1:6" x14ac:dyDescent="0.2">
      <c r="A3496" s="1186" t="s">
        <v>1419</v>
      </c>
      <c r="B3496" s="1186" t="s">
        <v>823</v>
      </c>
      <c r="C3496" s="1186" t="s">
        <v>61</v>
      </c>
      <c r="D3496" s="1186" t="s">
        <v>29</v>
      </c>
      <c r="E3496" s="1186">
        <v>175</v>
      </c>
      <c r="F3496" s="1186">
        <v>149320</v>
      </c>
    </row>
    <row r="3497" spans="1:6" x14ac:dyDescent="0.2">
      <c r="A3497" s="1186" t="s">
        <v>1419</v>
      </c>
      <c r="B3497" s="1186" t="s">
        <v>823</v>
      </c>
      <c r="C3497" s="1186" t="s">
        <v>61</v>
      </c>
      <c r="D3497" s="1186" t="s">
        <v>30</v>
      </c>
      <c r="E3497" s="1186">
        <v>87</v>
      </c>
      <c r="F3497" s="1186">
        <v>122010</v>
      </c>
    </row>
    <row r="3498" spans="1:6" x14ac:dyDescent="0.2">
      <c r="A3498" s="1186" t="s">
        <v>1419</v>
      </c>
      <c r="B3498" s="1186" t="s">
        <v>823</v>
      </c>
      <c r="C3498" s="1186" t="s">
        <v>61</v>
      </c>
      <c r="D3498" s="1186" t="s">
        <v>31</v>
      </c>
      <c r="E3498" s="1186">
        <v>62</v>
      </c>
      <c r="F3498" s="1186">
        <v>108640</v>
      </c>
    </row>
    <row r="3499" spans="1:6" x14ac:dyDescent="0.2">
      <c r="A3499" s="1186" t="s">
        <v>1419</v>
      </c>
      <c r="B3499" s="1186" t="s">
        <v>823</v>
      </c>
      <c r="C3499" s="1186" t="s">
        <v>61</v>
      </c>
      <c r="D3499" s="1186" t="s">
        <v>32</v>
      </c>
      <c r="E3499" s="1186">
        <v>57</v>
      </c>
      <c r="F3499" s="1186">
        <v>107090</v>
      </c>
    </row>
    <row r="3500" spans="1:6" x14ac:dyDescent="0.2">
      <c r="A3500" s="1186" t="s">
        <v>1419</v>
      </c>
      <c r="B3500" s="1186" t="s">
        <v>823</v>
      </c>
      <c r="C3500" s="1186" t="s">
        <v>61</v>
      </c>
      <c r="D3500" s="1186" t="s">
        <v>33</v>
      </c>
      <c r="E3500" s="1186">
        <v>67</v>
      </c>
      <c r="F3500" s="1186">
        <v>95530</v>
      </c>
    </row>
    <row r="3501" spans="1:6" x14ac:dyDescent="0.2">
      <c r="A3501" s="1186" t="s">
        <v>1419</v>
      </c>
      <c r="B3501" s="1186" t="s">
        <v>823</v>
      </c>
      <c r="C3501" s="1186" t="s">
        <v>61</v>
      </c>
      <c r="D3501" s="1186" t="s">
        <v>34</v>
      </c>
      <c r="E3501" s="1186">
        <v>103</v>
      </c>
      <c r="F3501" s="1186">
        <v>160890</v>
      </c>
    </row>
    <row r="3502" spans="1:6" x14ac:dyDescent="0.2">
      <c r="A3502" s="1186" t="s">
        <v>1419</v>
      </c>
      <c r="B3502" s="1186" t="s">
        <v>823</v>
      </c>
      <c r="C3502" s="1186" t="s">
        <v>61</v>
      </c>
      <c r="D3502" s="1186" t="s">
        <v>35</v>
      </c>
      <c r="E3502" s="1186">
        <v>218</v>
      </c>
      <c r="F3502" s="1186">
        <v>373550</v>
      </c>
    </row>
    <row r="3503" spans="1:6" x14ac:dyDescent="0.2">
      <c r="A3503" s="1186" t="s">
        <v>1419</v>
      </c>
      <c r="B3503" s="1186" t="s">
        <v>823</v>
      </c>
      <c r="C3503" s="1186" t="s">
        <v>61</v>
      </c>
      <c r="D3503" s="1186" t="s">
        <v>36</v>
      </c>
      <c r="E3503" s="1186">
        <v>768</v>
      </c>
      <c r="F3503" s="1186">
        <v>633120</v>
      </c>
    </row>
    <row r="3504" spans="1:6" x14ac:dyDescent="0.2">
      <c r="A3504" s="1186" t="s">
        <v>1419</v>
      </c>
      <c r="B3504" s="1186" t="s">
        <v>823</v>
      </c>
      <c r="C3504" s="1186" t="s">
        <v>61</v>
      </c>
      <c r="D3504" s="1186" t="s">
        <v>37</v>
      </c>
      <c r="E3504" s="1186">
        <v>113</v>
      </c>
      <c r="F3504" s="1186">
        <v>235830</v>
      </c>
    </row>
    <row r="3505" spans="1:6" x14ac:dyDescent="0.2">
      <c r="A3505" s="1186" t="s">
        <v>1419</v>
      </c>
      <c r="B3505" s="1186" t="s">
        <v>823</v>
      </c>
      <c r="C3505" s="1186" t="s">
        <v>61</v>
      </c>
      <c r="D3505" s="1186" t="s">
        <v>38</v>
      </c>
      <c r="E3505" s="1186">
        <v>76</v>
      </c>
      <c r="F3505" s="1186">
        <v>77800</v>
      </c>
    </row>
    <row r="3506" spans="1:6" x14ac:dyDescent="0.2">
      <c r="A3506" s="1186" t="s">
        <v>1419</v>
      </c>
      <c r="B3506" s="1186" t="s">
        <v>823</v>
      </c>
      <c r="C3506" s="1186" t="s">
        <v>61</v>
      </c>
      <c r="D3506" s="1186" t="s">
        <v>39</v>
      </c>
      <c r="E3506" s="1186">
        <v>71</v>
      </c>
      <c r="F3506" s="1186">
        <v>92460</v>
      </c>
    </row>
    <row r="3507" spans="1:6" x14ac:dyDescent="0.2">
      <c r="A3507" s="1186" t="s">
        <v>1419</v>
      </c>
      <c r="B3507" s="1186" t="s">
        <v>823</v>
      </c>
      <c r="C3507" s="1186" t="s">
        <v>61</v>
      </c>
      <c r="D3507" s="1186" t="s">
        <v>40</v>
      </c>
      <c r="E3507" s="1186">
        <v>78</v>
      </c>
      <c r="F3507" s="1186">
        <v>95820</v>
      </c>
    </row>
    <row r="3508" spans="1:6" x14ac:dyDescent="0.2">
      <c r="A3508" s="1186" t="s">
        <v>1419</v>
      </c>
      <c r="B3508" s="1186" t="s">
        <v>823</v>
      </c>
      <c r="C3508" s="1186" t="s">
        <v>61</v>
      </c>
      <c r="D3508" s="1186" t="s">
        <v>295</v>
      </c>
      <c r="E3508" s="1186">
        <v>20</v>
      </c>
      <c r="F3508" s="1186">
        <v>26720</v>
      </c>
    </row>
    <row r="3509" spans="1:6" x14ac:dyDescent="0.2">
      <c r="A3509" s="1186" t="s">
        <v>1419</v>
      </c>
      <c r="B3509" s="1186" t="s">
        <v>823</v>
      </c>
      <c r="C3509" s="1186" t="s">
        <v>61</v>
      </c>
      <c r="D3509" s="1186" t="s">
        <v>41</v>
      </c>
      <c r="E3509" s="1186">
        <v>150</v>
      </c>
      <c r="F3509" s="1186">
        <v>134740</v>
      </c>
    </row>
    <row r="3510" spans="1:6" x14ac:dyDescent="0.2">
      <c r="A3510" s="1186" t="s">
        <v>1419</v>
      </c>
      <c r="B3510" s="1186" t="s">
        <v>823</v>
      </c>
      <c r="C3510" s="1186" t="s">
        <v>61</v>
      </c>
      <c r="D3510" s="1186" t="s">
        <v>42</v>
      </c>
      <c r="E3510" s="1186">
        <v>227</v>
      </c>
      <c r="F3510" s="1186">
        <v>341370</v>
      </c>
    </row>
    <row r="3511" spans="1:6" x14ac:dyDescent="0.2">
      <c r="A3511" s="1186" t="s">
        <v>1419</v>
      </c>
      <c r="B3511" s="1186" t="s">
        <v>823</v>
      </c>
      <c r="C3511" s="1186" t="s">
        <v>61</v>
      </c>
      <c r="D3511" s="1186" t="s">
        <v>43</v>
      </c>
      <c r="E3511" s="1186">
        <v>11</v>
      </c>
      <c r="F3511" s="1186">
        <v>22270</v>
      </c>
    </row>
    <row r="3512" spans="1:6" x14ac:dyDescent="0.2">
      <c r="A3512" s="1186" t="s">
        <v>1419</v>
      </c>
      <c r="B3512" s="1186" t="s">
        <v>823</v>
      </c>
      <c r="C3512" s="1186" t="s">
        <v>61</v>
      </c>
      <c r="D3512" s="1186" t="s">
        <v>44</v>
      </c>
      <c r="E3512" s="1186">
        <v>106</v>
      </c>
      <c r="F3512" s="1186">
        <v>151950</v>
      </c>
    </row>
    <row r="3513" spans="1:6" x14ac:dyDescent="0.2">
      <c r="A3513" s="1186" t="s">
        <v>1419</v>
      </c>
      <c r="B3513" s="1186" t="s">
        <v>823</v>
      </c>
      <c r="C3513" s="1186" t="s">
        <v>61</v>
      </c>
      <c r="D3513" s="1186" t="s">
        <v>45</v>
      </c>
      <c r="E3513" s="1186">
        <v>142</v>
      </c>
      <c r="F3513" s="1186">
        <v>179100</v>
      </c>
    </row>
    <row r="3514" spans="1:6" x14ac:dyDescent="0.2">
      <c r="A3514" s="1186" t="s">
        <v>1419</v>
      </c>
      <c r="B3514" s="1186" t="s">
        <v>823</v>
      </c>
      <c r="C3514" s="1186" t="s">
        <v>61</v>
      </c>
      <c r="D3514" s="1186" t="s">
        <v>46</v>
      </c>
      <c r="E3514" s="1186">
        <v>96</v>
      </c>
      <c r="F3514" s="1186">
        <v>115510</v>
      </c>
    </row>
    <row r="3515" spans="1:6" x14ac:dyDescent="0.2">
      <c r="A3515" s="1186" t="s">
        <v>1419</v>
      </c>
      <c r="B3515" s="1186" t="s">
        <v>823</v>
      </c>
      <c r="C3515" s="1186" t="s">
        <v>61</v>
      </c>
      <c r="D3515" s="1186" t="s">
        <v>47</v>
      </c>
      <c r="E3515" s="1186">
        <v>12</v>
      </c>
      <c r="F3515" s="1186">
        <v>22920</v>
      </c>
    </row>
    <row r="3516" spans="1:6" x14ac:dyDescent="0.2">
      <c r="A3516" s="1186" t="s">
        <v>1419</v>
      </c>
      <c r="B3516" s="1186" t="s">
        <v>823</v>
      </c>
      <c r="C3516" s="1186" t="s">
        <v>61</v>
      </c>
      <c r="D3516" s="1186" t="s">
        <v>48</v>
      </c>
      <c r="E3516" s="1186">
        <v>86</v>
      </c>
      <c r="F3516" s="1186">
        <v>112610</v>
      </c>
    </row>
    <row r="3517" spans="1:6" x14ac:dyDescent="0.2">
      <c r="A3517" s="1186" t="s">
        <v>1419</v>
      </c>
      <c r="B3517" s="1186" t="s">
        <v>823</v>
      </c>
      <c r="C3517" s="1186" t="s">
        <v>61</v>
      </c>
      <c r="D3517" s="1186" t="s">
        <v>49</v>
      </c>
      <c r="E3517" s="1186">
        <v>228</v>
      </c>
      <c r="F3517" s="1186">
        <v>320530</v>
      </c>
    </row>
    <row r="3518" spans="1:6" x14ac:dyDescent="0.2">
      <c r="A3518" s="1186" t="s">
        <v>1419</v>
      </c>
      <c r="B3518" s="1186" t="s">
        <v>823</v>
      </c>
      <c r="C3518" s="1186" t="s">
        <v>61</v>
      </c>
      <c r="D3518" s="1186" t="s">
        <v>50</v>
      </c>
      <c r="E3518" s="1186">
        <v>44</v>
      </c>
      <c r="F3518" s="1186">
        <v>94210</v>
      </c>
    </row>
    <row r="3519" spans="1:6" x14ac:dyDescent="0.2">
      <c r="A3519" s="1186" t="s">
        <v>1419</v>
      </c>
      <c r="B3519" s="1186" t="s">
        <v>823</v>
      </c>
      <c r="C3519" s="1186" t="s">
        <v>61</v>
      </c>
      <c r="D3519" s="1186" t="s">
        <v>51</v>
      </c>
      <c r="E3519" s="1186">
        <v>103</v>
      </c>
      <c r="F3519" s="1186">
        <v>88930</v>
      </c>
    </row>
    <row r="3520" spans="1:6" x14ac:dyDescent="0.2">
      <c r="A3520" s="1186" t="s">
        <v>1419</v>
      </c>
      <c r="B3520" s="1186" t="s">
        <v>823</v>
      </c>
      <c r="C3520" s="1186" t="s">
        <v>61</v>
      </c>
      <c r="D3520" s="1186" t="s">
        <v>52</v>
      </c>
      <c r="E3520" s="1186">
        <v>112</v>
      </c>
      <c r="F3520" s="1186">
        <v>183100</v>
      </c>
    </row>
    <row r="3521" spans="1:6" x14ac:dyDescent="0.2">
      <c r="A3521" s="1186" t="s">
        <v>1419</v>
      </c>
      <c r="B3521" s="1186" t="s">
        <v>823</v>
      </c>
      <c r="C3521" s="1186" t="s">
        <v>61</v>
      </c>
      <c r="D3521" s="1186" t="s">
        <v>1521</v>
      </c>
      <c r="E3521" s="1186">
        <v>1</v>
      </c>
      <c r="F3521" s="1186"/>
    </row>
    <row r="3522" spans="1:6" x14ac:dyDescent="0.2">
      <c r="A3522" s="1186" t="s">
        <v>1419</v>
      </c>
      <c r="B3522" s="1186" t="s">
        <v>823</v>
      </c>
      <c r="C3522" s="1186" t="s">
        <v>116</v>
      </c>
      <c r="D3522" s="1186" t="s">
        <v>23</v>
      </c>
      <c r="E3522" s="1186">
        <v>35</v>
      </c>
      <c r="F3522" s="1186">
        <v>228670</v>
      </c>
    </row>
    <row r="3523" spans="1:6" x14ac:dyDescent="0.2">
      <c r="A3523" s="1186" t="s">
        <v>1419</v>
      </c>
      <c r="B3523" s="1186" t="s">
        <v>823</v>
      </c>
      <c r="C3523" s="1186" t="s">
        <v>116</v>
      </c>
      <c r="D3523" s="1186" t="s">
        <v>24</v>
      </c>
      <c r="E3523" s="1186">
        <v>7</v>
      </c>
      <c r="F3523" s="1186">
        <v>261210</v>
      </c>
    </row>
    <row r="3524" spans="1:6" x14ac:dyDescent="0.2">
      <c r="A3524" s="1186" t="s">
        <v>1419</v>
      </c>
      <c r="B3524" s="1186" t="s">
        <v>823</v>
      </c>
      <c r="C3524" s="1186" t="s">
        <v>116</v>
      </c>
      <c r="D3524" s="1186" t="s">
        <v>25</v>
      </c>
      <c r="E3524" s="1186">
        <v>10</v>
      </c>
      <c r="F3524" s="1186">
        <v>116200</v>
      </c>
    </row>
    <row r="3525" spans="1:6" x14ac:dyDescent="0.2">
      <c r="A3525" s="1186" t="s">
        <v>1419</v>
      </c>
      <c r="B3525" s="1186" t="s">
        <v>823</v>
      </c>
      <c r="C3525" s="1186" t="s">
        <v>116</v>
      </c>
      <c r="D3525" s="1186" t="s">
        <v>26</v>
      </c>
      <c r="E3525" s="1186">
        <v>4</v>
      </c>
      <c r="F3525" s="1186">
        <v>85870</v>
      </c>
    </row>
    <row r="3526" spans="1:6" x14ac:dyDescent="0.2">
      <c r="A3526" s="1186" t="s">
        <v>1419</v>
      </c>
      <c r="B3526" s="1186" t="s">
        <v>823</v>
      </c>
      <c r="C3526" s="1186" t="s">
        <v>116</v>
      </c>
      <c r="D3526" s="1186" t="s">
        <v>619</v>
      </c>
      <c r="E3526" s="1186">
        <v>45</v>
      </c>
      <c r="F3526" s="1186">
        <v>524930</v>
      </c>
    </row>
    <row r="3527" spans="1:6" x14ac:dyDescent="0.2">
      <c r="A3527" s="1186" t="s">
        <v>1419</v>
      </c>
      <c r="B3527" s="1186" t="s">
        <v>823</v>
      </c>
      <c r="C3527" s="1186" t="s">
        <v>116</v>
      </c>
      <c r="D3527" s="1186" t="s">
        <v>27</v>
      </c>
      <c r="E3527" s="1186">
        <v>10</v>
      </c>
      <c r="F3527" s="1186">
        <v>51540</v>
      </c>
    </row>
    <row r="3528" spans="1:6" x14ac:dyDescent="0.2">
      <c r="A3528" s="1186" t="s">
        <v>1419</v>
      </c>
      <c r="B3528" s="1186" t="s">
        <v>823</v>
      </c>
      <c r="C3528" s="1186" t="s">
        <v>116</v>
      </c>
      <c r="D3528" s="1186" t="s">
        <v>28</v>
      </c>
      <c r="E3528" s="1186">
        <v>4</v>
      </c>
      <c r="F3528" s="1186">
        <v>148860</v>
      </c>
    </row>
    <row r="3529" spans="1:6" x14ac:dyDescent="0.2">
      <c r="A3529" s="1186" t="s">
        <v>1419</v>
      </c>
      <c r="B3529" s="1186" t="s">
        <v>823</v>
      </c>
      <c r="C3529" s="1186" t="s">
        <v>116</v>
      </c>
      <c r="D3529" s="1186" t="s">
        <v>29</v>
      </c>
      <c r="E3529" s="1186">
        <v>13</v>
      </c>
      <c r="F3529" s="1186">
        <v>149320</v>
      </c>
    </row>
    <row r="3530" spans="1:6" x14ac:dyDescent="0.2">
      <c r="A3530" s="1186" t="s">
        <v>1419</v>
      </c>
      <c r="B3530" s="1186" t="s">
        <v>823</v>
      </c>
      <c r="C3530" s="1186" t="s">
        <v>116</v>
      </c>
      <c r="D3530" s="1186" t="s">
        <v>30</v>
      </c>
      <c r="E3530" s="1186">
        <v>20</v>
      </c>
      <c r="F3530" s="1186">
        <v>122010</v>
      </c>
    </row>
    <row r="3531" spans="1:6" x14ac:dyDescent="0.2">
      <c r="A3531" s="1186" t="s">
        <v>1419</v>
      </c>
      <c r="B3531" s="1186" t="s">
        <v>823</v>
      </c>
      <c r="C3531" s="1186" t="s">
        <v>116</v>
      </c>
      <c r="D3531" s="1186" t="s">
        <v>31</v>
      </c>
      <c r="E3531" s="1186">
        <v>8</v>
      </c>
      <c r="F3531" s="1186">
        <v>108640</v>
      </c>
    </row>
    <row r="3532" spans="1:6" x14ac:dyDescent="0.2">
      <c r="A3532" s="1186" t="s">
        <v>1419</v>
      </c>
      <c r="B3532" s="1186" t="s">
        <v>823</v>
      </c>
      <c r="C3532" s="1186" t="s">
        <v>116</v>
      </c>
      <c r="D3532" s="1186" t="s">
        <v>32</v>
      </c>
      <c r="E3532" s="1186">
        <v>2</v>
      </c>
      <c r="F3532" s="1186">
        <v>107090</v>
      </c>
    </row>
    <row r="3533" spans="1:6" x14ac:dyDescent="0.2">
      <c r="A3533" s="1186" t="s">
        <v>1419</v>
      </c>
      <c r="B3533" s="1186" t="s">
        <v>823</v>
      </c>
      <c r="C3533" s="1186" t="s">
        <v>116</v>
      </c>
      <c r="D3533" s="1186" t="s">
        <v>34</v>
      </c>
      <c r="E3533" s="1186">
        <v>14</v>
      </c>
      <c r="F3533" s="1186">
        <v>160890</v>
      </c>
    </row>
    <row r="3534" spans="1:6" x14ac:dyDescent="0.2">
      <c r="A3534" s="1186" t="s">
        <v>1419</v>
      </c>
      <c r="B3534" s="1186" t="s">
        <v>823</v>
      </c>
      <c r="C3534" s="1186" t="s">
        <v>116</v>
      </c>
      <c r="D3534" s="1186" t="s">
        <v>35</v>
      </c>
      <c r="E3534" s="1186">
        <v>18</v>
      </c>
      <c r="F3534" s="1186">
        <v>373550</v>
      </c>
    </row>
    <row r="3535" spans="1:6" x14ac:dyDescent="0.2">
      <c r="A3535" s="1186" t="s">
        <v>1419</v>
      </c>
      <c r="B3535" s="1186" t="s">
        <v>823</v>
      </c>
      <c r="C3535" s="1186" t="s">
        <v>116</v>
      </c>
      <c r="D3535" s="1186" t="s">
        <v>36</v>
      </c>
      <c r="E3535" s="1186">
        <v>135</v>
      </c>
      <c r="F3535" s="1186">
        <v>633120</v>
      </c>
    </row>
    <row r="3536" spans="1:6" x14ac:dyDescent="0.2">
      <c r="A3536" s="1186" t="s">
        <v>1419</v>
      </c>
      <c r="B3536" s="1186" t="s">
        <v>823</v>
      </c>
      <c r="C3536" s="1186" t="s">
        <v>116</v>
      </c>
      <c r="D3536" s="1186" t="s">
        <v>37</v>
      </c>
      <c r="E3536" s="1186">
        <v>8</v>
      </c>
      <c r="F3536" s="1186">
        <v>235830</v>
      </c>
    </row>
    <row r="3537" spans="1:6" x14ac:dyDescent="0.2">
      <c r="A3537" s="1186" t="s">
        <v>1419</v>
      </c>
      <c r="B3537" s="1186" t="s">
        <v>823</v>
      </c>
      <c r="C3537" s="1186" t="s">
        <v>116</v>
      </c>
      <c r="D3537" s="1186" t="s">
        <v>38</v>
      </c>
      <c r="E3537" s="1186">
        <v>13</v>
      </c>
      <c r="F3537" s="1186">
        <v>77800</v>
      </c>
    </row>
    <row r="3538" spans="1:6" x14ac:dyDescent="0.2">
      <c r="A3538" s="1186" t="s">
        <v>1419</v>
      </c>
      <c r="B3538" s="1186" t="s">
        <v>823</v>
      </c>
      <c r="C3538" s="1186" t="s">
        <v>116</v>
      </c>
      <c r="D3538" s="1186" t="s">
        <v>39</v>
      </c>
      <c r="E3538" s="1186">
        <v>3</v>
      </c>
      <c r="F3538" s="1186">
        <v>92460</v>
      </c>
    </row>
    <row r="3539" spans="1:6" x14ac:dyDescent="0.2">
      <c r="A3539" s="1186" t="s">
        <v>1419</v>
      </c>
      <c r="B3539" s="1186" t="s">
        <v>823</v>
      </c>
      <c r="C3539" s="1186" t="s">
        <v>116</v>
      </c>
      <c r="D3539" s="1186" t="s">
        <v>40</v>
      </c>
      <c r="E3539" s="1186">
        <v>4</v>
      </c>
      <c r="F3539" s="1186">
        <v>95820</v>
      </c>
    </row>
    <row r="3540" spans="1:6" x14ac:dyDescent="0.2">
      <c r="A3540" s="1186" t="s">
        <v>1419</v>
      </c>
      <c r="B3540" s="1186" t="s">
        <v>823</v>
      </c>
      <c r="C3540" s="1186" t="s">
        <v>116</v>
      </c>
      <c r="D3540" s="1186" t="s">
        <v>41</v>
      </c>
      <c r="E3540" s="1186">
        <v>18</v>
      </c>
      <c r="F3540" s="1186">
        <v>134740</v>
      </c>
    </row>
    <row r="3541" spans="1:6" x14ac:dyDescent="0.2">
      <c r="A3541" s="1186" t="s">
        <v>1419</v>
      </c>
      <c r="B3541" s="1186" t="s">
        <v>823</v>
      </c>
      <c r="C3541" s="1186" t="s">
        <v>116</v>
      </c>
      <c r="D3541" s="1186" t="s">
        <v>42</v>
      </c>
      <c r="E3541" s="1186">
        <v>49</v>
      </c>
      <c r="F3541" s="1186">
        <v>341370</v>
      </c>
    </row>
    <row r="3542" spans="1:6" x14ac:dyDescent="0.2">
      <c r="A3542" s="1186" t="s">
        <v>1419</v>
      </c>
      <c r="B3542" s="1186" t="s">
        <v>823</v>
      </c>
      <c r="C3542" s="1186" t="s">
        <v>116</v>
      </c>
      <c r="D3542" s="1186" t="s">
        <v>44</v>
      </c>
      <c r="E3542" s="1186">
        <v>5</v>
      </c>
      <c r="F3542" s="1186">
        <v>151950</v>
      </c>
    </row>
    <row r="3543" spans="1:6" x14ac:dyDescent="0.2">
      <c r="A3543" s="1186" t="s">
        <v>1419</v>
      </c>
      <c r="B3543" s="1186" t="s">
        <v>823</v>
      </c>
      <c r="C3543" s="1186" t="s">
        <v>116</v>
      </c>
      <c r="D3543" s="1186" t="s">
        <v>45</v>
      </c>
      <c r="E3543" s="1186">
        <v>22</v>
      </c>
      <c r="F3543" s="1186">
        <v>179100</v>
      </c>
    </row>
    <row r="3544" spans="1:6" x14ac:dyDescent="0.2">
      <c r="A3544" s="1186" t="s">
        <v>1419</v>
      </c>
      <c r="B3544" s="1186" t="s">
        <v>823</v>
      </c>
      <c r="C3544" s="1186" t="s">
        <v>116</v>
      </c>
      <c r="D3544" s="1186" t="s">
        <v>46</v>
      </c>
      <c r="E3544" s="1186">
        <v>6</v>
      </c>
      <c r="F3544" s="1186">
        <v>115510</v>
      </c>
    </row>
    <row r="3545" spans="1:6" x14ac:dyDescent="0.2">
      <c r="A3545" s="1186" t="s">
        <v>1419</v>
      </c>
      <c r="B3545" s="1186" t="s">
        <v>823</v>
      </c>
      <c r="C3545" s="1186" t="s">
        <v>116</v>
      </c>
      <c r="D3545" s="1186" t="s">
        <v>48</v>
      </c>
      <c r="E3545" s="1186">
        <v>12</v>
      </c>
      <c r="F3545" s="1186">
        <v>112610</v>
      </c>
    </row>
    <row r="3546" spans="1:6" x14ac:dyDescent="0.2">
      <c r="A3546" s="1186" t="s">
        <v>1419</v>
      </c>
      <c r="B3546" s="1186" t="s">
        <v>823</v>
      </c>
      <c r="C3546" s="1186" t="s">
        <v>116</v>
      </c>
      <c r="D3546" s="1186" t="s">
        <v>49</v>
      </c>
      <c r="E3546" s="1186">
        <v>21</v>
      </c>
      <c r="F3546" s="1186">
        <v>320530</v>
      </c>
    </row>
    <row r="3547" spans="1:6" x14ac:dyDescent="0.2">
      <c r="A3547" s="1186" t="s">
        <v>1419</v>
      </c>
      <c r="B3547" s="1186" t="s">
        <v>823</v>
      </c>
      <c r="C3547" s="1186" t="s">
        <v>116</v>
      </c>
      <c r="D3547" s="1186" t="s">
        <v>50</v>
      </c>
      <c r="E3547" s="1186">
        <v>8</v>
      </c>
      <c r="F3547" s="1186">
        <v>94210</v>
      </c>
    </row>
    <row r="3548" spans="1:6" x14ac:dyDescent="0.2">
      <c r="A3548" s="1186" t="s">
        <v>1419</v>
      </c>
      <c r="B3548" s="1186" t="s">
        <v>823</v>
      </c>
      <c r="C3548" s="1186" t="s">
        <v>116</v>
      </c>
      <c r="D3548" s="1186" t="s">
        <v>51</v>
      </c>
      <c r="E3548" s="1186">
        <v>12</v>
      </c>
      <c r="F3548" s="1186">
        <v>88930</v>
      </c>
    </row>
    <row r="3549" spans="1:6" x14ac:dyDescent="0.2">
      <c r="A3549" s="1186" t="s">
        <v>1419</v>
      </c>
      <c r="B3549" s="1186" t="s">
        <v>823</v>
      </c>
      <c r="C3549" s="1186" t="s">
        <v>116</v>
      </c>
      <c r="D3549" s="1186" t="s">
        <v>52</v>
      </c>
      <c r="E3549" s="1186">
        <v>19</v>
      </c>
      <c r="F3549" s="1186">
        <v>183100</v>
      </c>
    </row>
    <row r="3550" spans="1:6" x14ac:dyDescent="0.2">
      <c r="A3550" s="1186" t="s">
        <v>1419</v>
      </c>
      <c r="B3550" s="1186" t="s">
        <v>824</v>
      </c>
      <c r="C3550" s="1186" t="s">
        <v>61</v>
      </c>
      <c r="D3550" s="1186" t="s">
        <v>23</v>
      </c>
      <c r="E3550" s="1186">
        <v>89</v>
      </c>
      <c r="F3550" s="1186">
        <v>228670</v>
      </c>
    </row>
    <row r="3551" spans="1:6" x14ac:dyDescent="0.2">
      <c r="A3551" s="1186" t="s">
        <v>1419</v>
      </c>
      <c r="B3551" s="1186" t="s">
        <v>824</v>
      </c>
      <c r="C3551" s="1186" t="s">
        <v>61</v>
      </c>
      <c r="D3551" s="1186" t="s">
        <v>24</v>
      </c>
      <c r="E3551" s="1186">
        <v>55</v>
      </c>
      <c r="F3551" s="1186">
        <v>261210</v>
      </c>
    </row>
    <row r="3552" spans="1:6" x14ac:dyDescent="0.2">
      <c r="A3552" s="1186" t="s">
        <v>1419</v>
      </c>
      <c r="B3552" s="1186" t="s">
        <v>824</v>
      </c>
      <c r="C3552" s="1186" t="s">
        <v>61</v>
      </c>
      <c r="D3552" s="1186" t="s">
        <v>25</v>
      </c>
      <c r="E3552" s="1186">
        <v>26</v>
      </c>
      <c r="F3552" s="1186">
        <v>116200</v>
      </c>
    </row>
    <row r="3553" spans="1:6" x14ac:dyDescent="0.2">
      <c r="A3553" s="1186" t="s">
        <v>1419</v>
      </c>
      <c r="B3553" s="1186" t="s">
        <v>824</v>
      </c>
      <c r="C3553" s="1186" t="s">
        <v>61</v>
      </c>
      <c r="D3553" s="1186" t="s">
        <v>26</v>
      </c>
      <c r="E3553" s="1186">
        <v>26</v>
      </c>
      <c r="F3553" s="1186">
        <v>85870</v>
      </c>
    </row>
    <row r="3554" spans="1:6" x14ac:dyDescent="0.2">
      <c r="A3554" s="1186" t="s">
        <v>1419</v>
      </c>
      <c r="B3554" s="1186" t="s">
        <v>824</v>
      </c>
      <c r="C3554" s="1186" t="s">
        <v>61</v>
      </c>
      <c r="D3554" s="1186" t="s">
        <v>619</v>
      </c>
      <c r="E3554" s="1186">
        <v>156</v>
      </c>
      <c r="F3554" s="1186">
        <v>524930</v>
      </c>
    </row>
    <row r="3555" spans="1:6" x14ac:dyDescent="0.2">
      <c r="A3555" s="1186" t="s">
        <v>1419</v>
      </c>
      <c r="B3555" s="1186" t="s">
        <v>824</v>
      </c>
      <c r="C3555" s="1186" t="s">
        <v>61</v>
      </c>
      <c r="D3555" s="1186" t="s">
        <v>27</v>
      </c>
      <c r="E3555" s="1186">
        <v>12</v>
      </c>
      <c r="F3555" s="1186">
        <v>51540</v>
      </c>
    </row>
    <row r="3556" spans="1:6" x14ac:dyDescent="0.2">
      <c r="A3556" s="1186" t="s">
        <v>1419</v>
      </c>
      <c r="B3556" s="1186" t="s">
        <v>824</v>
      </c>
      <c r="C3556" s="1186" t="s">
        <v>61</v>
      </c>
      <c r="D3556" s="1186" t="s">
        <v>28</v>
      </c>
      <c r="E3556" s="1186">
        <v>40</v>
      </c>
      <c r="F3556" s="1186">
        <v>148860</v>
      </c>
    </row>
    <row r="3557" spans="1:6" x14ac:dyDescent="0.2">
      <c r="A3557" s="1186" t="s">
        <v>1419</v>
      </c>
      <c r="B3557" s="1186" t="s">
        <v>824</v>
      </c>
      <c r="C3557" s="1186" t="s">
        <v>61</v>
      </c>
      <c r="D3557" s="1186" t="s">
        <v>29</v>
      </c>
      <c r="E3557" s="1186">
        <v>47</v>
      </c>
      <c r="F3557" s="1186">
        <v>149320</v>
      </c>
    </row>
    <row r="3558" spans="1:6" x14ac:dyDescent="0.2">
      <c r="A3558" s="1186" t="s">
        <v>1419</v>
      </c>
      <c r="B3558" s="1186" t="s">
        <v>824</v>
      </c>
      <c r="C3558" s="1186" t="s">
        <v>61</v>
      </c>
      <c r="D3558" s="1186" t="s">
        <v>30</v>
      </c>
      <c r="E3558" s="1186">
        <v>21</v>
      </c>
      <c r="F3558" s="1186">
        <v>122010</v>
      </c>
    </row>
    <row r="3559" spans="1:6" x14ac:dyDescent="0.2">
      <c r="A3559" s="1186" t="s">
        <v>1419</v>
      </c>
      <c r="B3559" s="1186" t="s">
        <v>824</v>
      </c>
      <c r="C3559" s="1186" t="s">
        <v>61</v>
      </c>
      <c r="D3559" s="1186" t="s">
        <v>31</v>
      </c>
      <c r="E3559" s="1186">
        <v>22</v>
      </c>
      <c r="F3559" s="1186">
        <v>108640</v>
      </c>
    </row>
    <row r="3560" spans="1:6" x14ac:dyDescent="0.2">
      <c r="A3560" s="1186" t="s">
        <v>1419</v>
      </c>
      <c r="B3560" s="1186" t="s">
        <v>824</v>
      </c>
      <c r="C3560" s="1186" t="s">
        <v>61</v>
      </c>
      <c r="D3560" s="1186" t="s">
        <v>32</v>
      </c>
      <c r="E3560" s="1186">
        <v>23</v>
      </c>
      <c r="F3560" s="1186">
        <v>107090</v>
      </c>
    </row>
    <row r="3561" spans="1:6" x14ac:dyDescent="0.2">
      <c r="A3561" s="1186" t="s">
        <v>1419</v>
      </c>
      <c r="B3561" s="1186" t="s">
        <v>824</v>
      </c>
      <c r="C3561" s="1186" t="s">
        <v>61</v>
      </c>
      <c r="D3561" s="1186" t="s">
        <v>33</v>
      </c>
      <c r="E3561" s="1186">
        <v>15</v>
      </c>
      <c r="F3561" s="1186">
        <v>95530</v>
      </c>
    </row>
    <row r="3562" spans="1:6" x14ac:dyDescent="0.2">
      <c r="A3562" s="1186" t="s">
        <v>1419</v>
      </c>
      <c r="B3562" s="1186" t="s">
        <v>824</v>
      </c>
      <c r="C3562" s="1186" t="s">
        <v>61</v>
      </c>
      <c r="D3562" s="1186" t="s">
        <v>34</v>
      </c>
      <c r="E3562" s="1186">
        <v>47</v>
      </c>
      <c r="F3562" s="1186">
        <v>160890</v>
      </c>
    </row>
    <row r="3563" spans="1:6" x14ac:dyDescent="0.2">
      <c r="A3563" s="1186" t="s">
        <v>1419</v>
      </c>
      <c r="B3563" s="1186" t="s">
        <v>824</v>
      </c>
      <c r="C3563" s="1186" t="s">
        <v>61</v>
      </c>
      <c r="D3563" s="1186" t="s">
        <v>35</v>
      </c>
      <c r="E3563" s="1186">
        <v>68</v>
      </c>
      <c r="F3563" s="1186">
        <v>373550</v>
      </c>
    </row>
    <row r="3564" spans="1:6" x14ac:dyDescent="0.2">
      <c r="A3564" s="1186" t="s">
        <v>1419</v>
      </c>
      <c r="B3564" s="1186" t="s">
        <v>824</v>
      </c>
      <c r="C3564" s="1186" t="s">
        <v>61</v>
      </c>
      <c r="D3564" s="1186" t="s">
        <v>36</v>
      </c>
      <c r="E3564" s="1186">
        <v>252</v>
      </c>
      <c r="F3564" s="1186">
        <v>633120</v>
      </c>
    </row>
    <row r="3565" spans="1:6" x14ac:dyDescent="0.2">
      <c r="A3565" s="1186" t="s">
        <v>1419</v>
      </c>
      <c r="B3565" s="1186" t="s">
        <v>824</v>
      </c>
      <c r="C3565" s="1186" t="s">
        <v>61</v>
      </c>
      <c r="D3565" s="1186" t="s">
        <v>37</v>
      </c>
      <c r="E3565" s="1186">
        <v>68</v>
      </c>
      <c r="F3565" s="1186">
        <v>235830</v>
      </c>
    </row>
    <row r="3566" spans="1:6" x14ac:dyDescent="0.2">
      <c r="A3566" s="1186" t="s">
        <v>1419</v>
      </c>
      <c r="B3566" s="1186" t="s">
        <v>824</v>
      </c>
      <c r="C3566" s="1186" t="s">
        <v>61</v>
      </c>
      <c r="D3566" s="1186" t="s">
        <v>38</v>
      </c>
      <c r="E3566" s="1186">
        <v>15</v>
      </c>
      <c r="F3566" s="1186">
        <v>77800</v>
      </c>
    </row>
    <row r="3567" spans="1:6" x14ac:dyDescent="0.2">
      <c r="A3567" s="1186" t="s">
        <v>1419</v>
      </c>
      <c r="B3567" s="1186" t="s">
        <v>824</v>
      </c>
      <c r="C3567" s="1186" t="s">
        <v>61</v>
      </c>
      <c r="D3567" s="1186" t="s">
        <v>39</v>
      </c>
      <c r="E3567" s="1186">
        <v>20</v>
      </c>
      <c r="F3567" s="1186">
        <v>92460</v>
      </c>
    </row>
    <row r="3568" spans="1:6" x14ac:dyDescent="0.2">
      <c r="A3568" s="1186" t="s">
        <v>1419</v>
      </c>
      <c r="B3568" s="1186" t="s">
        <v>824</v>
      </c>
      <c r="C3568" s="1186" t="s">
        <v>61</v>
      </c>
      <c r="D3568" s="1186" t="s">
        <v>40</v>
      </c>
      <c r="E3568" s="1186">
        <v>17</v>
      </c>
      <c r="F3568" s="1186">
        <v>95820</v>
      </c>
    </row>
    <row r="3569" spans="1:6" x14ac:dyDescent="0.2">
      <c r="A3569" s="1186" t="s">
        <v>1419</v>
      </c>
      <c r="B3569" s="1186" t="s">
        <v>824</v>
      </c>
      <c r="C3569" s="1186" t="s">
        <v>61</v>
      </c>
      <c r="D3569" s="1186" t="s">
        <v>295</v>
      </c>
      <c r="E3569" s="1186">
        <v>5</v>
      </c>
      <c r="F3569" s="1186">
        <v>26720</v>
      </c>
    </row>
    <row r="3570" spans="1:6" x14ac:dyDescent="0.2">
      <c r="A3570" s="1186" t="s">
        <v>1419</v>
      </c>
      <c r="B3570" s="1186" t="s">
        <v>824</v>
      </c>
      <c r="C3570" s="1186" t="s">
        <v>61</v>
      </c>
      <c r="D3570" s="1186" t="s">
        <v>41</v>
      </c>
      <c r="E3570" s="1186">
        <v>44</v>
      </c>
      <c r="F3570" s="1186">
        <v>134740</v>
      </c>
    </row>
    <row r="3571" spans="1:6" x14ac:dyDescent="0.2">
      <c r="A3571" s="1186" t="s">
        <v>1419</v>
      </c>
      <c r="B3571" s="1186" t="s">
        <v>824</v>
      </c>
      <c r="C3571" s="1186" t="s">
        <v>61</v>
      </c>
      <c r="D3571" s="1186" t="s">
        <v>42</v>
      </c>
      <c r="E3571" s="1186">
        <v>70</v>
      </c>
      <c r="F3571" s="1186">
        <v>341370</v>
      </c>
    </row>
    <row r="3572" spans="1:6" x14ac:dyDescent="0.2">
      <c r="A3572" s="1186" t="s">
        <v>1419</v>
      </c>
      <c r="B3572" s="1186" t="s">
        <v>824</v>
      </c>
      <c r="C3572" s="1186" t="s">
        <v>61</v>
      </c>
      <c r="D3572" s="1186" t="s">
        <v>43</v>
      </c>
      <c r="E3572" s="1186">
        <v>6</v>
      </c>
      <c r="F3572" s="1186">
        <v>22270</v>
      </c>
    </row>
    <row r="3573" spans="1:6" x14ac:dyDescent="0.2">
      <c r="A3573" s="1186" t="s">
        <v>1419</v>
      </c>
      <c r="B3573" s="1186" t="s">
        <v>824</v>
      </c>
      <c r="C3573" s="1186" t="s">
        <v>61</v>
      </c>
      <c r="D3573" s="1186" t="s">
        <v>44</v>
      </c>
      <c r="E3573" s="1186">
        <v>49</v>
      </c>
      <c r="F3573" s="1186">
        <v>151950</v>
      </c>
    </row>
    <row r="3574" spans="1:6" x14ac:dyDescent="0.2">
      <c r="A3574" s="1186" t="s">
        <v>1419</v>
      </c>
      <c r="B3574" s="1186" t="s">
        <v>824</v>
      </c>
      <c r="C3574" s="1186" t="s">
        <v>61</v>
      </c>
      <c r="D3574" s="1186" t="s">
        <v>45</v>
      </c>
      <c r="E3574" s="1186">
        <v>59</v>
      </c>
      <c r="F3574" s="1186">
        <v>179100</v>
      </c>
    </row>
    <row r="3575" spans="1:6" x14ac:dyDescent="0.2">
      <c r="A3575" s="1186" t="s">
        <v>1419</v>
      </c>
      <c r="B3575" s="1186" t="s">
        <v>824</v>
      </c>
      <c r="C3575" s="1186" t="s">
        <v>61</v>
      </c>
      <c r="D3575" s="1186" t="s">
        <v>46</v>
      </c>
      <c r="E3575" s="1186">
        <v>36</v>
      </c>
      <c r="F3575" s="1186">
        <v>115510</v>
      </c>
    </row>
    <row r="3576" spans="1:6" x14ac:dyDescent="0.2">
      <c r="A3576" s="1186" t="s">
        <v>1419</v>
      </c>
      <c r="B3576" s="1186" t="s">
        <v>824</v>
      </c>
      <c r="C3576" s="1186" t="s">
        <v>61</v>
      </c>
      <c r="D3576" s="1186" t="s">
        <v>47</v>
      </c>
      <c r="E3576" s="1186">
        <v>6</v>
      </c>
      <c r="F3576" s="1186">
        <v>22920</v>
      </c>
    </row>
    <row r="3577" spans="1:6" x14ac:dyDescent="0.2">
      <c r="A3577" s="1186" t="s">
        <v>1419</v>
      </c>
      <c r="B3577" s="1186" t="s">
        <v>824</v>
      </c>
      <c r="C3577" s="1186" t="s">
        <v>61</v>
      </c>
      <c r="D3577" s="1186" t="s">
        <v>48</v>
      </c>
      <c r="E3577" s="1186">
        <v>36</v>
      </c>
      <c r="F3577" s="1186">
        <v>112610</v>
      </c>
    </row>
    <row r="3578" spans="1:6" x14ac:dyDescent="0.2">
      <c r="A3578" s="1186" t="s">
        <v>1419</v>
      </c>
      <c r="B3578" s="1186" t="s">
        <v>824</v>
      </c>
      <c r="C3578" s="1186" t="s">
        <v>61</v>
      </c>
      <c r="D3578" s="1186" t="s">
        <v>49</v>
      </c>
      <c r="E3578" s="1186">
        <v>55</v>
      </c>
      <c r="F3578" s="1186">
        <v>320530</v>
      </c>
    </row>
    <row r="3579" spans="1:6" x14ac:dyDescent="0.2">
      <c r="A3579" s="1186" t="s">
        <v>1419</v>
      </c>
      <c r="B3579" s="1186" t="s">
        <v>824</v>
      </c>
      <c r="C3579" s="1186" t="s">
        <v>61</v>
      </c>
      <c r="D3579" s="1186" t="s">
        <v>50</v>
      </c>
      <c r="E3579" s="1186">
        <v>44</v>
      </c>
      <c r="F3579" s="1186">
        <v>94210</v>
      </c>
    </row>
    <row r="3580" spans="1:6" x14ac:dyDescent="0.2">
      <c r="A3580" s="1186" t="s">
        <v>1419</v>
      </c>
      <c r="B3580" s="1186" t="s">
        <v>824</v>
      </c>
      <c r="C3580" s="1186" t="s">
        <v>61</v>
      </c>
      <c r="D3580" s="1186" t="s">
        <v>51</v>
      </c>
      <c r="E3580" s="1186">
        <v>35</v>
      </c>
      <c r="F3580" s="1186">
        <v>88930</v>
      </c>
    </row>
    <row r="3581" spans="1:6" x14ac:dyDescent="0.2">
      <c r="A3581" s="1186" t="s">
        <v>1419</v>
      </c>
      <c r="B3581" s="1186" t="s">
        <v>824</v>
      </c>
      <c r="C3581" s="1186" t="s">
        <v>61</v>
      </c>
      <c r="D3581" s="1186" t="s">
        <v>52</v>
      </c>
      <c r="E3581" s="1186">
        <v>42</v>
      </c>
      <c r="F3581" s="1186">
        <v>183100</v>
      </c>
    </row>
    <row r="3582" spans="1:6" x14ac:dyDescent="0.2">
      <c r="A3582" s="1186" t="s">
        <v>1419</v>
      </c>
      <c r="B3582" s="1186" t="s">
        <v>824</v>
      </c>
      <c r="C3582" s="1186" t="s">
        <v>116</v>
      </c>
      <c r="D3582" s="1186" t="s">
        <v>23</v>
      </c>
      <c r="E3582" s="1186">
        <v>16</v>
      </c>
      <c r="F3582" s="1186">
        <v>228670</v>
      </c>
    </row>
    <row r="3583" spans="1:6" x14ac:dyDescent="0.2">
      <c r="A3583" s="1186" t="s">
        <v>1419</v>
      </c>
      <c r="B3583" s="1186" t="s">
        <v>824</v>
      </c>
      <c r="C3583" s="1186" t="s">
        <v>116</v>
      </c>
      <c r="D3583" s="1186" t="s">
        <v>24</v>
      </c>
      <c r="E3583" s="1186">
        <v>25</v>
      </c>
      <c r="F3583" s="1186">
        <v>261210</v>
      </c>
    </row>
    <row r="3584" spans="1:6" x14ac:dyDescent="0.2">
      <c r="A3584" s="1186" t="s">
        <v>1419</v>
      </c>
      <c r="B3584" s="1186" t="s">
        <v>824</v>
      </c>
      <c r="C3584" s="1186" t="s">
        <v>116</v>
      </c>
      <c r="D3584" s="1186" t="s">
        <v>25</v>
      </c>
      <c r="E3584" s="1186">
        <v>9</v>
      </c>
      <c r="F3584" s="1186">
        <v>116200</v>
      </c>
    </row>
    <row r="3585" spans="1:6" x14ac:dyDescent="0.2">
      <c r="A3585" s="1186" t="s">
        <v>1419</v>
      </c>
      <c r="B3585" s="1186" t="s">
        <v>824</v>
      </c>
      <c r="C3585" s="1186" t="s">
        <v>116</v>
      </c>
      <c r="D3585" s="1186" t="s">
        <v>26</v>
      </c>
      <c r="E3585" s="1186">
        <v>3</v>
      </c>
      <c r="F3585" s="1186">
        <v>85870</v>
      </c>
    </row>
    <row r="3586" spans="1:6" x14ac:dyDescent="0.2">
      <c r="A3586" s="1186" t="s">
        <v>1419</v>
      </c>
      <c r="B3586" s="1186" t="s">
        <v>824</v>
      </c>
      <c r="C3586" s="1186" t="s">
        <v>116</v>
      </c>
      <c r="D3586" s="1186" t="s">
        <v>619</v>
      </c>
      <c r="E3586" s="1186">
        <v>40</v>
      </c>
      <c r="F3586" s="1186">
        <v>524930</v>
      </c>
    </row>
    <row r="3587" spans="1:6" x14ac:dyDescent="0.2">
      <c r="A3587" s="1186" t="s">
        <v>1419</v>
      </c>
      <c r="B3587" s="1186" t="s">
        <v>824</v>
      </c>
      <c r="C3587" s="1186" t="s">
        <v>116</v>
      </c>
      <c r="D3587" s="1186" t="s">
        <v>27</v>
      </c>
      <c r="E3587" s="1186">
        <v>5</v>
      </c>
      <c r="F3587" s="1186">
        <v>51540</v>
      </c>
    </row>
    <row r="3588" spans="1:6" x14ac:dyDescent="0.2">
      <c r="A3588" s="1186" t="s">
        <v>1419</v>
      </c>
      <c r="B3588" s="1186" t="s">
        <v>824</v>
      </c>
      <c r="C3588" s="1186" t="s">
        <v>116</v>
      </c>
      <c r="D3588" s="1186" t="s">
        <v>28</v>
      </c>
      <c r="E3588" s="1186">
        <v>9</v>
      </c>
      <c r="F3588" s="1186">
        <v>148860</v>
      </c>
    </row>
    <row r="3589" spans="1:6" x14ac:dyDescent="0.2">
      <c r="A3589" s="1186" t="s">
        <v>1419</v>
      </c>
      <c r="B3589" s="1186" t="s">
        <v>824</v>
      </c>
      <c r="C3589" s="1186" t="s">
        <v>116</v>
      </c>
      <c r="D3589" s="1186" t="s">
        <v>29</v>
      </c>
      <c r="E3589" s="1186">
        <v>8</v>
      </c>
      <c r="F3589" s="1186">
        <v>149320</v>
      </c>
    </row>
    <row r="3590" spans="1:6" x14ac:dyDescent="0.2">
      <c r="A3590" s="1186" t="s">
        <v>1419</v>
      </c>
      <c r="B3590" s="1186" t="s">
        <v>824</v>
      </c>
      <c r="C3590" s="1186" t="s">
        <v>116</v>
      </c>
      <c r="D3590" s="1186" t="s">
        <v>30</v>
      </c>
      <c r="E3590" s="1186">
        <v>7</v>
      </c>
      <c r="F3590" s="1186">
        <v>122010</v>
      </c>
    </row>
    <row r="3591" spans="1:6" x14ac:dyDescent="0.2">
      <c r="A3591" s="1186" t="s">
        <v>1419</v>
      </c>
      <c r="B3591" s="1186" t="s">
        <v>824</v>
      </c>
      <c r="C3591" s="1186" t="s">
        <v>116</v>
      </c>
      <c r="D3591" s="1186" t="s">
        <v>31</v>
      </c>
      <c r="E3591" s="1186">
        <v>5</v>
      </c>
      <c r="F3591" s="1186">
        <v>108640</v>
      </c>
    </row>
    <row r="3592" spans="1:6" x14ac:dyDescent="0.2">
      <c r="A3592" s="1186" t="s">
        <v>1419</v>
      </c>
      <c r="B3592" s="1186" t="s">
        <v>824</v>
      </c>
      <c r="C3592" s="1186" t="s">
        <v>116</v>
      </c>
      <c r="D3592" s="1186" t="s">
        <v>32</v>
      </c>
      <c r="E3592" s="1186">
        <v>6</v>
      </c>
      <c r="F3592" s="1186">
        <v>107090</v>
      </c>
    </row>
    <row r="3593" spans="1:6" x14ac:dyDescent="0.2">
      <c r="A3593" s="1186" t="s">
        <v>1419</v>
      </c>
      <c r="B3593" s="1186" t="s">
        <v>824</v>
      </c>
      <c r="C3593" s="1186" t="s">
        <v>116</v>
      </c>
      <c r="D3593" s="1186" t="s">
        <v>33</v>
      </c>
      <c r="E3593" s="1186">
        <v>7</v>
      </c>
      <c r="F3593" s="1186">
        <v>95530</v>
      </c>
    </row>
    <row r="3594" spans="1:6" x14ac:dyDescent="0.2">
      <c r="A3594" s="1186" t="s">
        <v>1419</v>
      </c>
      <c r="B3594" s="1186" t="s">
        <v>824</v>
      </c>
      <c r="C3594" s="1186" t="s">
        <v>116</v>
      </c>
      <c r="D3594" s="1186" t="s">
        <v>34</v>
      </c>
      <c r="E3594" s="1186">
        <v>22</v>
      </c>
      <c r="F3594" s="1186">
        <v>160890</v>
      </c>
    </row>
    <row r="3595" spans="1:6" x14ac:dyDescent="0.2">
      <c r="A3595" s="1186" t="s">
        <v>1419</v>
      </c>
      <c r="B3595" s="1186" t="s">
        <v>824</v>
      </c>
      <c r="C3595" s="1186" t="s">
        <v>116</v>
      </c>
      <c r="D3595" s="1186" t="s">
        <v>35</v>
      </c>
      <c r="E3595" s="1186">
        <v>28</v>
      </c>
      <c r="F3595" s="1186">
        <v>373550</v>
      </c>
    </row>
    <row r="3596" spans="1:6" x14ac:dyDescent="0.2">
      <c r="A3596" s="1186" t="s">
        <v>1419</v>
      </c>
      <c r="B3596" s="1186" t="s">
        <v>824</v>
      </c>
      <c r="C3596" s="1186" t="s">
        <v>116</v>
      </c>
      <c r="D3596" s="1186" t="s">
        <v>36</v>
      </c>
      <c r="E3596" s="1186">
        <v>80</v>
      </c>
      <c r="F3596" s="1186">
        <v>633120</v>
      </c>
    </row>
    <row r="3597" spans="1:6" x14ac:dyDescent="0.2">
      <c r="A3597" s="1186" t="s">
        <v>1419</v>
      </c>
      <c r="B3597" s="1186" t="s">
        <v>824</v>
      </c>
      <c r="C3597" s="1186" t="s">
        <v>116</v>
      </c>
      <c r="D3597" s="1186" t="s">
        <v>37</v>
      </c>
      <c r="E3597" s="1186">
        <v>9</v>
      </c>
      <c r="F3597" s="1186">
        <v>235830</v>
      </c>
    </row>
    <row r="3598" spans="1:6" x14ac:dyDescent="0.2">
      <c r="A3598" s="1186" t="s">
        <v>1419</v>
      </c>
      <c r="B3598" s="1186" t="s">
        <v>824</v>
      </c>
      <c r="C3598" s="1186" t="s">
        <v>116</v>
      </c>
      <c r="D3598" s="1186" t="s">
        <v>38</v>
      </c>
      <c r="E3598" s="1186">
        <v>13</v>
      </c>
      <c r="F3598" s="1186">
        <v>77800</v>
      </c>
    </row>
    <row r="3599" spans="1:6" x14ac:dyDescent="0.2">
      <c r="A3599" s="1186" t="s">
        <v>1419</v>
      </c>
      <c r="B3599" s="1186" t="s">
        <v>824</v>
      </c>
      <c r="C3599" s="1186" t="s">
        <v>116</v>
      </c>
      <c r="D3599" s="1186" t="s">
        <v>39</v>
      </c>
      <c r="E3599" s="1186">
        <v>10</v>
      </c>
      <c r="F3599" s="1186">
        <v>92460</v>
      </c>
    </row>
    <row r="3600" spans="1:6" x14ac:dyDescent="0.2">
      <c r="A3600" s="1186" t="s">
        <v>1419</v>
      </c>
      <c r="B3600" s="1186" t="s">
        <v>824</v>
      </c>
      <c r="C3600" s="1186" t="s">
        <v>116</v>
      </c>
      <c r="D3600" s="1186" t="s">
        <v>40</v>
      </c>
      <c r="E3600" s="1186">
        <v>6</v>
      </c>
      <c r="F3600" s="1186">
        <v>95820</v>
      </c>
    </row>
    <row r="3601" spans="1:6" x14ac:dyDescent="0.2">
      <c r="A3601" s="1186" t="s">
        <v>1419</v>
      </c>
      <c r="B3601" s="1186" t="s">
        <v>824</v>
      </c>
      <c r="C3601" s="1186" t="s">
        <v>116</v>
      </c>
      <c r="D3601" s="1186" t="s">
        <v>41</v>
      </c>
      <c r="E3601" s="1186">
        <v>16</v>
      </c>
      <c r="F3601" s="1186">
        <v>134740</v>
      </c>
    </row>
    <row r="3602" spans="1:6" x14ac:dyDescent="0.2">
      <c r="A3602" s="1186" t="s">
        <v>1419</v>
      </c>
      <c r="B3602" s="1186" t="s">
        <v>824</v>
      </c>
      <c r="C3602" s="1186" t="s">
        <v>116</v>
      </c>
      <c r="D3602" s="1186" t="s">
        <v>42</v>
      </c>
      <c r="E3602" s="1186">
        <v>31</v>
      </c>
      <c r="F3602" s="1186">
        <v>341370</v>
      </c>
    </row>
    <row r="3603" spans="1:6" x14ac:dyDescent="0.2">
      <c r="A3603" s="1186" t="s">
        <v>1419</v>
      </c>
      <c r="B3603" s="1186" t="s">
        <v>824</v>
      </c>
      <c r="C3603" s="1186" t="s">
        <v>116</v>
      </c>
      <c r="D3603" s="1186" t="s">
        <v>44</v>
      </c>
      <c r="E3603" s="1186">
        <v>14</v>
      </c>
      <c r="F3603" s="1186">
        <v>151950</v>
      </c>
    </row>
    <row r="3604" spans="1:6" x14ac:dyDescent="0.2">
      <c r="A3604" s="1186" t="s">
        <v>1419</v>
      </c>
      <c r="B3604" s="1186" t="s">
        <v>824</v>
      </c>
      <c r="C3604" s="1186" t="s">
        <v>116</v>
      </c>
      <c r="D3604" s="1186" t="s">
        <v>45</v>
      </c>
      <c r="E3604" s="1186">
        <v>20</v>
      </c>
      <c r="F3604" s="1186">
        <v>179100</v>
      </c>
    </row>
    <row r="3605" spans="1:6" x14ac:dyDescent="0.2">
      <c r="A3605" s="1186" t="s">
        <v>1419</v>
      </c>
      <c r="B3605" s="1186" t="s">
        <v>824</v>
      </c>
      <c r="C3605" s="1186" t="s">
        <v>116</v>
      </c>
      <c r="D3605" s="1186" t="s">
        <v>46</v>
      </c>
      <c r="E3605" s="1186">
        <v>6</v>
      </c>
      <c r="F3605" s="1186">
        <v>115510</v>
      </c>
    </row>
    <row r="3606" spans="1:6" x14ac:dyDescent="0.2">
      <c r="A3606" s="1186" t="s">
        <v>1419</v>
      </c>
      <c r="B3606" s="1186" t="s">
        <v>824</v>
      </c>
      <c r="C3606" s="1186" t="s">
        <v>116</v>
      </c>
      <c r="D3606" s="1186" t="s">
        <v>47</v>
      </c>
      <c r="E3606" s="1186">
        <v>1</v>
      </c>
      <c r="F3606" s="1186">
        <v>22920</v>
      </c>
    </row>
    <row r="3607" spans="1:6" x14ac:dyDescent="0.2">
      <c r="A3607" s="1186" t="s">
        <v>1419</v>
      </c>
      <c r="B3607" s="1186" t="s">
        <v>824</v>
      </c>
      <c r="C3607" s="1186" t="s">
        <v>116</v>
      </c>
      <c r="D3607" s="1186" t="s">
        <v>48</v>
      </c>
      <c r="E3607" s="1186">
        <v>8</v>
      </c>
      <c r="F3607" s="1186">
        <v>112610</v>
      </c>
    </row>
    <row r="3608" spans="1:6" x14ac:dyDescent="0.2">
      <c r="A3608" s="1186" t="s">
        <v>1419</v>
      </c>
      <c r="B3608" s="1186" t="s">
        <v>824</v>
      </c>
      <c r="C3608" s="1186" t="s">
        <v>116</v>
      </c>
      <c r="D3608" s="1186" t="s">
        <v>49</v>
      </c>
      <c r="E3608" s="1186">
        <v>30</v>
      </c>
      <c r="F3608" s="1186">
        <v>320530</v>
      </c>
    </row>
    <row r="3609" spans="1:6" x14ac:dyDescent="0.2">
      <c r="A3609" s="1186" t="s">
        <v>1419</v>
      </c>
      <c r="B3609" s="1186" t="s">
        <v>824</v>
      </c>
      <c r="C3609" s="1186" t="s">
        <v>116</v>
      </c>
      <c r="D3609" s="1186" t="s">
        <v>50</v>
      </c>
      <c r="E3609" s="1186">
        <v>5</v>
      </c>
      <c r="F3609" s="1186">
        <v>94210</v>
      </c>
    </row>
    <row r="3610" spans="1:6" x14ac:dyDescent="0.2">
      <c r="A3610" s="1186" t="s">
        <v>1419</v>
      </c>
      <c r="B3610" s="1186" t="s">
        <v>824</v>
      </c>
      <c r="C3610" s="1186" t="s">
        <v>116</v>
      </c>
      <c r="D3610" s="1186" t="s">
        <v>51</v>
      </c>
      <c r="E3610" s="1186">
        <v>2</v>
      </c>
      <c r="F3610" s="1186">
        <v>88930</v>
      </c>
    </row>
    <row r="3611" spans="1:6" x14ac:dyDescent="0.2">
      <c r="A3611" s="1186" t="s">
        <v>1419</v>
      </c>
      <c r="B3611" s="1186" t="s">
        <v>824</v>
      </c>
      <c r="C3611" s="1186" t="s">
        <v>116</v>
      </c>
      <c r="D3611" s="1186" t="s">
        <v>52</v>
      </c>
      <c r="E3611" s="1186">
        <v>33</v>
      </c>
      <c r="F3611" s="1186">
        <v>183100</v>
      </c>
    </row>
    <row r="3612" spans="1:6" x14ac:dyDescent="0.2">
      <c r="A3612" s="1186" t="s">
        <v>1419</v>
      </c>
      <c r="B3612" s="1186" t="s">
        <v>825</v>
      </c>
      <c r="C3612" s="1186" t="s">
        <v>61</v>
      </c>
      <c r="D3612" s="1186" t="s">
        <v>23</v>
      </c>
      <c r="E3612" s="1186">
        <v>23</v>
      </c>
      <c r="F3612" s="1186">
        <v>228670</v>
      </c>
    </row>
    <row r="3613" spans="1:6" x14ac:dyDescent="0.2">
      <c r="A3613" s="1186" t="s">
        <v>1419</v>
      </c>
      <c r="B3613" s="1186" t="s">
        <v>825</v>
      </c>
      <c r="C3613" s="1186" t="s">
        <v>61</v>
      </c>
      <c r="D3613" s="1186" t="s">
        <v>24</v>
      </c>
      <c r="E3613" s="1186">
        <v>80</v>
      </c>
      <c r="F3613" s="1186">
        <v>261210</v>
      </c>
    </row>
    <row r="3614" spans="1:6" x14ac:dyDescent="0.2">
      <c r="A3614" s="1186" t="s">
        <v>1419</v>
      </c>
      <c r="B3614" s="1186" t="s">
        <v>825</v>
      </c>
      <c r="C3614" s="1186" t="s">
        <v>61</v>
      </c>
      <c r="D3614" s="1186" t="s">
        <v>25</v>
      </c>
      <c r="E3614" s="1186">
        <v>26</v>
      </c>
      <c r="F3614" s="1186">
        <v>116200</v>
      </c>
    </row>
    <row r="3615" spans="1:6" x14ac:dyDescent="0.2">
      <c r="A3615" s="1186" t="s">
        <v>1419</v>
      </c>
      <c r="B3615" s="1186" t="s">
        <v>825</v>
      </c>
      <c r="C3615" s="1186" t="s">
        <v>61</v>
      </c>
      <c r="D3615" s="1186" t="s">
        <v>26</v>
      </c>
      <c r="E3615" s="1186">
        <v>24</v>
      </c>
      <c r="F3615" s="1186">
        <v>85870</v>
      </c>
    </row>
    <row r="3616" spans="1:6" x14ac:dyDescent="0.2">
      <c r="A3616" s="1186" t="s">
        <v>1419</v>
      </c>
      <c r="B3616" s="1186" t="s">
        <v>825</v>
      </c>
      <c r="C3616" s="1186" t="s">
        <v>61</v>
      </c>
      <c r="D3616" s="1186" t="s">
        <v>619</v>
      </c>
      <c r="E3616" s="1186">
        <v>70</v>
      </c>
      <c r="F3616" s="1186">
        <v>524930</v>
      </c>
    </row>
    <row r="3617" spans="1:6" x14ac:dyDescent="0.2">
      <c r="A3617" s="1186" t="s">
        <v>1419</v>
      </c>
      <c r="B3617" s="1186" t="s">
        <v>825</v>
      </c>
      <c r="C3617" s="1186" t="s">
        <v>61</v>
      </c>
      <c r="D3617" s="1186" t="s">
        <v>27</v>
      </c>
      <c r="E3617" s="1186">
        <v>7</v>
      </c>
      <c r="F3617" s="1186">
        <v>51540</v>
      </c>
    </row>
    <row r="3618" spans="1:6" x14ac:dyDescent="0.2">
      <c r="A3618" s="1186" t="s">
        <v>1419</v>
      </c>
      <c r="B3618" s="1186" t="s">
        <v>825</v>
      </c>
      <c r="C3618" s="1186" t="s">
        <v>61</v>
      </c>
      <c r="D3618" s="1186" t="s">
        <v>28</v>
      </c>
      <c r="E3618" s="1186">
        <v>52</v>
      </c>
      <c r="F3618" s="1186">
        <v>148860</v>
      </c>
    </row>
    <row r="3619" spans="1:6" x14ac:dyDescent="0.2">
      <c r="A3619" s="1186" t="s">
        <v>1419</v>
      </c>
      <c r="B3619" s="1186" t="s">
        <v>825</v>
      </c>
      <c r="C3619" s="1186" t="s">
        <v>61</v>
      </c>
      <c r="D3619" s="1186" t="s">
        <v>29</v>
      </c>
      <c r="E3619" s="1186">
        <v>31</v>
      </c>
      <c r="F3619" s="1186">
        <v>149320</v>
      </c>
    </row>
    <row r="3620" spans="1:6" x14ac:dyDescent="0.2">
      <c r="A3620" s="1186" t="s">
        <v>1419</v>
      </c>
      <c r="B3620" s="1186" t="s">
        <v>825</v>
      </c>
      <c r="C3620" s="1186" t="s">
        <v>61</v>
      </c>
      <c r="D3620" s="1186" t="s">
        <v>30</v>
      </c>
      <c r="E3620" s="1186">
        <v>28</v>
      </c>
      <c r="F3620" s="1186">
        <v>122010</v>
      </c>
    </row>
    <row r="3621" spans="1:6" x14ac:dyDescent="0.2">
      <c r="A3621" s="1186" t="s">
        <v>1419</v>
      </c>
      <c r="B3621" s="1186" t="s">
        <v>825</v>
      </c>
      <c r="C3621" s="1186" t="s">
        <v>61</v>
      </c>
      <c r="D3621" s="1186" t="s">
        <v>31</v>
      </c>
      <c r="E3621" s="1186">
        <v>19</v>
      </c>
      <c r="F3621" s="1186">
        <v>108640</v>
      </c>
    </row>
    <row r="3622" spans="1:6" x14ac:dyDescent="0.2">
      <c r="A3622" s="1186" t="s">
        <v>1419</v>
      </c>
      <c r="B3622" s="1186" t="s">
        <v>825</v>
      </c>
      <c r="C3622" s="1186" t="s">
        <v>61</v>
      </c>
      <c r="D3622" s="1186" t="s">
        <v>32</v>
      </c>
      <c r="E3622" s="1186">
        <v>23</v>
      </c>
      <c r="F3622" s="1186">
        <v>107090</v>
      </c>
    </row>
    <row r="3623" spans="1:6" x14ac:dyDescent="0.2">
      <c r="A3623" s="1186" t="s">
        <v>1419</v>
      </c>
      <c r="B3623" s="1186" t="s">
        <v>825</v>
      </c>
      <c r="C3623" s="1186" t="s">
        <v>61</v>
      </c>
      <c r="D3623" s="1186" t="s">
        <v>33</v>
      </c>
      <c r="E3623" s="1186">
        <v>14</v>
      </c>
      <c r="F3623" s="1186">
        <v>95530</v>
      </c>
    </row>
    <row r="3624" spans="1:6" x14ac:dyDescent="0.2">
      <c r="A3624" s="1186" t="s">
        <v>1419</v>
      </c>
      <c r="B3624" s="1186" t="s">
        <v>825</v>
      </c>
      <c r="C3624" s="1186" t="s">
        <v>61</v>
      </c>
      <c r="D3624" s="1186" t="s">
        <v>34</v>
      </c>
      <c r="E3624" s="1186">
        <v>48</v>
      </c>
      <c r="F3624" s="1186">
        <v>160890</v>
      </c>
    </row>
    <row r="3625" spans="1:6" x14ac:dyDescent="0.2">
      <c r="A3625" s="1186" t="s">
        <v>1419</v>
      </c>
      <c r="B3625" s="1186" t="s">
        <v>825</v>
      </c>
      <c r="C3625" s="1186" t="s">
        <v>61</v>
      </c>
      <c r="D3625" s="1186" t="s">
        <v>35</v>
      </c>
      <c r="E3625" s="1186">
        <v>79</v>
      </c>
      <c r="F3625" s="1186">
        <v>373550</v>
      </c>
    </row>
    <row r="3626" spans="1:6" x14ac:dyDescent="0.2">
      <c r="A3626" s="1186" t="s">
        <v>1419</v>
      </c>
      <c r="B3626" s="1186" t="s">
        <v>825</v>
      </c>
      <c r="C3626" s="1186" t="s">
        <v>61</v>
      </c>
      <c r="D3626" s="1186" t="s">
        <v>36</v>
      </c>
      <c r="E3626" s="1186">
        <v>115</v>
      </c>
      <c r="F3626" s="1186">
        <v>633120</v>
      </c>
    </row>
    <row r="3627" spans="1:6" x14ac:dyDescent="0.2">
      <c r="A3627" s="1186" t="s">
        <v>1419</v>
      </c>
      <c r="B3627" s="1186" t="s">
        <v>825</v>
      </c>
      <c r="C3627" s="1186" t="s">
        <v>61</v>
      </c>
      <c r="D3627" s="1186" t="s">
        <v>37</v>
      </c>
      <c r="E3627" s="1186">
        <v>71</v>
      </c>
      <c r="F3627" s="1186">
        <v>235830</v>
      </c>
    </row>
    <row r="3628" spans="1:6" x14ac:dyDescent="0.2">
      <c r="A3628" s="1186" t="s">
        <v>1419</v>
      </c>
      <c r="B3628" s="1186" t="s">
        <v>825</v>
      </c>
      <c r="C3628" s="1186" t="s">
        <v>61</v>
      </c>
      <c r="D3628" s="1186" t="s">
        <v>38</v>
      </c>
      <c r="E3628" s="1186">
        <v>11</v>
      </c>
      <c r="F3628" s="1186">
        <v>77800</v>
      </c>
    </row>
    <row r="3629" spans="1:6" x14ac:dyDescent="0.2">
      <c r="A3629" s="1186" t="s">
        <v>1419</v>
      </c>
      <c r="B3629" s="1186" t="s">
        <v>825</v>
      </c>
      <c r="C3629" s="1186" t="s">
        <v>61</v>
      </c>
      <c r="D3629" s="1186" t="s">
        <v>39</v>
      </c>
      <c r="E3629" s="1186">
        <v>14</v>
      </c>
      <c r="F3629" s="1186">
        <v>92460</v>
      </c>
    </row>
    <row r="3630" spans="1:6" x14ac:dyDescent="0.2">
      <c r="A3630" s="1186" t="s">
        <v>1419</v>
      </c>
      <c r="B3630" s="1186" t="s">
        <v>825</v>
      </c>
      <c r="C3630" s="1186" t="s">
        <v>61</v>
      </c>
      <c r="D3630" s="1186" t="s">
        <v>40</v>
      </c>
      <c r="E3630" s="1186">
        <v>26</v>
      </c>
      <c r="F3630" s="1186">
        <v>95820</v>
      </c>
    </row>
    <row r="3631" spans="1:6" x14ac:dyDescent="0.2">
      <c r="A3631" s="1186" t="s">
        <v>1419</v>
      </c>
      <c r="B3631" s="1186" t="s">
        <v>825</v>
      </c>
      <c r="C3631" s="1186" t="s">
        <v>61</v>
      </c>
      <c r="D3631" s="1186" t="s">
        <v>295</v>
      </c>
      <c r="E3631" s="1186">
        <v>8</v>
      </c>
      <c r="F3631" s="1186">
        <v>26720</v>
      </c>
    </row>
    <row r="3632" spans="1:6" x14ac:dyDescent="0.2">
      <c r="A3632" s="1186" t="s">
        <v>1419</v>
      </c>
      <c r="B3632" s="1186" t="s">
        <v>825</v>
      </c>
      <c r="C3632" s="1186" t="s">
        <v>61</v>
      </c>
      <c r="D3632" s="1186" t="s">
        <v>41</v>
      </c>
      <c r="E3632" s="1186">
        <v>17</v>
      </c>
      <c r="F3632" s="1186">
        <v>134740</v>
      </c>
    </row>
    <row r="3633" spans="1:6" x14ac:dyDescent="0.2">
      <c r="A3633" s="1186" t="s">
        <v>1419</v>
      </c>
      <c r="B3633" s="1186" t="s">
        <v>825</v>
      </c>
      <c r="C3633" s="1186" t="s">
        <v>61</v>
      </c>
      <c r="D3633" s="1186" t="s">
        <v>42</v>
      </c>
      <c r="E3633" s="1186">
        <v>96</v>
      </c>
      <c r="F3633" s="1186">
        <v>341370</v>
      </c>
    </row>
    <row r="3634" spans="1:6" x14ac:dyDescent="0.2">
      <c r="A3634" s="1186" t="s">
        <v>1419</v>
      </c>
      <c r="B3634" s="1186" t="s">
        <v>825</v>
      </c>
      <c r="C3634" s="1186" t="s">
        <v>61</v>
      </c>
      <c r="D3634" s="1186" t="s">
        <v>43</v>
      </c>
      <c r="E3634" s="1186">
        <v>11</v>
      </c>
      <c r="F3634" s="1186">
        <v>22270</v>
      </c>
    </row>
    <row r="3635" spans="1:6" x14ac:dyDescent="0.2">
      <c r="A3635" s="1186" t="s">
        <v>1419</v>
      </c>
      <c r="B3635" s="1186" t="s">
        <v>825</v>
      </c>
      <c r="C3635" s="1186" t="s">
        <v>61</v>
      </c>
      <c r="D3635" s="1186" t="s">
        <v>44</v>
      </c>
      <c r="E3635" s="1186">
        <v>51</v>
      </c>
      <c r="F3635" s="1186">
        <v>151950</v>
      </c>
    </row>
    <row r="3636" spans="1:6" x14ac:dyDescent="0.2">
      <c r="A3636" s="1186" t="s">
        <v>1419</v>
      </c>
      <c r="B3636" s="1186" t="s">
        <v>825</v>
      </c>
      <c r="C3636" s="1186" t="s">
        <v>61</v>
      </c>
      <c r="D3636" s="1186" t="s">
        <v>45</v>
      </c>
      <c r="E3636" s="1186">
        <v>30</v>
      </c>
      <c r="F3636" s="1186">
        <v>179100</v>
      </c>
    </row>
    <row r="3637" spans="1:6" x14ac:dyDescent="0.2">
      <c r="A3637" s="1186" t="s">
        <v>1419</v>
      </c>
      <c r="B3637" s="1186" t="s">
        <v>825</v>
      </c>
      <c r="C3637" s="1186" t="s">
        <v>61</v>
      </c>
      <c r="D3637" s="1186" t="s">
        <v>46</v>
      </c>
      <c r="E3637" s="1186">
        <v>26</v>
      </c>
      <c r="F3637" s="1186">
        <v>115510</v>
      </c>
    </row>
    <row r="3638" spans="1:6" x14ac:dyDescent="0.2">
      <c r="A3638" s="1186" t="s">
        <v>1419</v>
      </c>
      <c r="B3638" s="1186" t="s">
        <v>825</v>
      </c>
      <c r="C3638" s="1186" t="s">
        <v>61</v>
      </c>
      <c r="D3638" s="1186" t="s">
        <v>47</v>
      </c>
      <c r="E3638" s="1186">
        <v>3</v>
      </c>
      <c r="F3638" s="1186">
        <v>22920</v>
      </c>
    </row>
    <row r="3639" spans="1:6" x14ac:dyDescent="0.2">
      <c r="A3639" s="1186" t="s">
        <v>1419</v>
      </c>
      <c r="B3639" s="1186" t="s">
        <v>825</v>
      </c>
      <c r="C3639" s="1186" t="s">
        <v>61</v>
      </c>
      <c r="D3639" s="1186" t="s">
        <v>48</v>
      </c>
      <c r="E3639" s="1186">
        <v>31</v>
      </c>
      <c r="F3639" s="1186">
        <v>112610</v>
      </c>
    </row>
    <row r="3640" spans="1:6" x14ac:dyDescent="0.2">
      <c r="A3640" s="1186" t="s">
        <v>1419</v>
      </c>
      <c r="B3640" s="1186" t="s">
        <v>825</v>
      </c>
      <c r="C3640" s="1186" t="s">
        <v>61</v>
      </c>
      <c r="D3640" s="1186" t="s">
        <v>49</v>
      </c>
      <c r="E3640" s="1186">
        <v>87</v>
      </c>
      <c r="F3640" s="1186">
        <v>320530</v>
      </c>
    </row>
    <row r="3641" spans="1:6" x14ac:dyDescent="0.2">
      <c r="A3641" s="1186" t="s">
        <v>1419</v>
      </c>
      <c r="B3641" s="1186" t="s">
        <v>825</v>
      </c>
      <c r="C3641" s="1186" t="s">
        <v>61</v>
      </c>
      <c r="D3641" s="1186" t="s">
        <v>50</v>
      </c>
      <c r="E3641" s="1186">
        <v>26</v>
      </c>
      <c r="F3641" s="1186">
        <v>94210</v>
      </c>
    </row>
    <row r="3642" spans="1:6" x14ac:dyDescent="0.2">
      <c r="A3642" s="1186" t="s">
        <v>1419</v>
      </c>
      <c r="B3642" s="1186" t="s">
        <v>825</v>
      </c>
      <c r="C3642" s="1186" t="s">
        <v>61</v>
      </c>
      <c r="D3642" s="1186" t="s">
        <v>51</v>
      </c>
      <c r="E3642" s="1186">
        <v>19</v>
      </c>
      <c r="F3642" s="1186">
        <v>88930</v>
      </c>
    </row>
    <row r="3643" spans="1:6" x14ac:dyDescent="0.2">
      <c r="A3643" s="1186" t="s">
        <v>1419</v>
      </c>
      <c r="B3643" s="1186" t="s">
        <v>825</v>
      </c>
      <c r="C3643" s="1186" t="s">
        <v>61</v>
      </c>
      <c r="D3643" s="1186" t="s">
        <v>52</v>
      </c>
      <c r="E3643" s="1186">
        <v>41</v>
      </c>
      <c r="F3643" s="1186">
        <v>183100</v>
      </c>
    </row>
    <row r="3644" spans="1:6" x14ac:dyDescent="0.2">
      <c r="A3644" s="1186" t="s">
        <v>1419</v>
      </c>
      <c r="B3644" s="1186" t="s">
        <v>825</v>
      </c>
      <c r="C3644" s="1186" t="s">
        <v>116</v>
      </c>
      <c r="D3644" s="1186" t="s">
        <v>23</v>
      </c>
      <c r="E3644" s="1186">
        <v>32</v>
      </c>
      <c r="F3644" s="1186">
        <v>228670</v>
      </c>
    </row>
    <row r="3645" spans="1:6" x14ac:dyDescent="0.2">
      <c r="A3645" s="1186" t="s">
        <v>1419</v>
      </c>
      <c r="B3645" s="1186" t="s">
        <v>825</v>
      </c>
      <c r="C3645" s="1186" t="s">
        <v>116</v>
      </c>
      <c r="D3645" s="1186" t="s">
        <v>24</v>
      </c>
      <c r="E3645" s="1186">
        <v>16</v>
      </c>
      <c r="F3645" s="1186">
        <v>261210</v>
      </c>
    </row>
    <row r="3646" spans="1:6" x14ac:dyDescent="0.2">
      <c r="A3646" s="1186" t="s">
        <v>1419</v>
      </c>
      <c r="B3646" s="1186" t="s">
        <v>825</v>
      </c>
      <c r="C3646" s="1186" t="s">
        <v>116</v>
      </c>
      <c r="D3646" s="1186" t="s">
        <v>25</v>
      </c>
      <c r="E3646" s="1186">
        <v>6</v>
      </c>
      <c r="F3646" s="1186">
        <v>116200</v>
      </c>
    </row>
    <row r="3647" spans="1:6" x14ac:dyDescent="0.2">
      <c r="A3647" s="1186" t="s">
        <v>1419</v>
      </c>
      <c r="B3647" s="1186" t="s">
        <v>825</v>
      </c>
      <c r="C3647" s="1186" t="s">
        <v>116</v>
      </c>
      <c r="D3647" s="1186" t="s">
        <v>619</v>
      </c>
      <c r="E3647" s="1186">
        <v>81</v>
      </c>
      <c r="F3647" s="1186">
        <v>524930</v>
      </c>
    </row>
    <row r="3648" spans="1:6" x14ac:dyDescent="0.2">
      <c r="A3648" s="1186" t="s">
        <v>1419</v>
      </c>
      <c r="B3648" s="1186" t="s">
        <v>825</v>
      </c>
      <c r="C3648" s="1186" t="s">
        <v>116</v>
      </c>
      <c r="D3648" s="1186" t="s">
        <v>27</v>
      </c>
      <c r="E3648" s="1186">
        <v>1</v>
      </c>
      <c r="F3648" s="1186">
        <v>51540</v>
      </c>
    </row>
    <row r="3649" spans="1:6" x14ac:dyDescent="0.2">
      <c r="A3649" s="1186" t="s">
        <v>1419</v>
      </c>
      <c r="B3649" s="1186" t="s">
        <v>825</v>
      </c>
      <c r="C3649" s="1186" t="s">
        <v>116</v>
      </c>
      <c r="D3649" s="1186" t="s">
        <v>28</v>
      </c>
      <c r="E3649" s="1186">
        <v>5</v>
      </c>
      <c r="F3649" s="1186">
        <v>148860</v>
      </c>
    </row>
    <row r="3650" spans="1:6" x14ac:dyDescent="0.2">
      <c r="A3650" s="1186" t="s">
        <v>1419</v>
      </c>
      <c r="B3650" s="1186" t="s">
        <v>825</v>
      </c>
      <c r="C3650" s="1186" t="s">
        <v>116</v>
      </c>
      <c r="D3650" s="1186" t="s">
        <v>29</v>
      </c>
      <c r="E3650" s="1186">
        <v>23</v>
      </c>
      <c r="F3650" s="1186">
        <v>149320</v>
      </c>
    </row>
    <row r="3651" spans="1:6" x14ac:dyDescent="0.2">
      <c r="A3651" s="1186" t="s">
        <v>1419</v>
      </c>
      <c r="B3651" s="1186" t="s">
        <v>825</v>
      </c>
      <c r="C3651" s="1186" t="s">
        <v>116</v>
      </c>
      <c r="D3651" s="1186" t="s">
        <v>30</v>
      </c>
      <c r="E3651" s="1186">
        <v>23</v>
      </c>
      <c r="F3651" s="1186">
        <v>122010</v>
      </c>
    </row>
    <row r="3652" spans="1:6" x14ac:dyDescent="0.2">
      <c r="A3652" s="1186" t="s">
        <v>1419</v>
      </c>
      <c r="B3652" s="1186" t="s">
        <v>825</v>
      </c>
      <c r="C3652" s="1186" t="s">
        <v>116</v>
      </c>
      <c r="D3652" s="1186" t="s">
        <v>31</v>
      </c>
      <c r="E3652" s="1186">
        <v>26</v>
      </c>
      <c r="F3652" s="1186">
        <v>108640</v>
      </c>
    </row>
    <row r="3653" spans="1:6" x14ac:dyDescent="0.2">
      <c r="A3653" s="1186" t="s">
        <v>1419</v>
      </c>
      <c r="B3653" s="1186" t="s">
        <v>825</v>
      </c>
      <c r="C3653" s="1186" t="s">
        <v>116</v>
      </c>
      <c r="D3653" s="1186" t="s">
        <v>32</v>
      </c>
      <c r="E3653" s="1186">
        <v>15</v>
      </c>
      <c r="F3653" s="1186">
        <v>107090</v>
      </c>
    </row>
    <row r="3654" spans="1:6" x14ac:dyDescent="0.2">
      <c r="A3654" s="1186" t="s">
        <v>1419</v>
      </c>
      <c r="B3654" s="1186" t="s">
        <v>825</v>
      </c>
      <c r="C3654" s="1186" t="s">
        <v>116</v>
      </c>
      <c r="D3654" s="1186" t="s">
        <v>33</v>
      </c>
      <c r="E3654" s="1186">
        <v>21</v>
      </c>
      <c r="F3654" s="1186">
        <v>95530</v>
      </c>
    </row>
    <row r="3655" spans="1:6" x14ac:dyDescent="0.2">
      <c r="A3655" s="1186" t="s">
        <v>1419</v>
      </c>
      <c r="B3655" s="1186" t="s">
        <v>825</v>
      </c>
      <c r="C3655" s="1186" t="s">
        <v>116</v>
      </c>
      <c r="D3655" s="1186" t="s">
        <v>34</v>
      </c>
      <c r="E3655" s="1186">
        <v>22</v>
      </c>
      <c r="F3655" s="1186">
        <v>160890</v>
      </c>
    </row>
    <row r="3656" spans="1:6" x14ac:dyDescent="0.2">
      <c r="A3656" s="1186" t="s">
        <v>1419</v>
      </c>
      <c r="B3656" s="1186" t="s">
        <v>825</v>
      </c>
      <c r="C3656" s="1186" t="s">
        <v>116</v>
      </c>
      <c r="D3656" s="1186" t="s">
        <v>35</v>
      </c>
      <c r="E3656" s="1186">
        <v>16</v>
      </c>
      <c r="F3656" s="1186">
        <v>373550</v>
      </c>
    </row>
    <row r="3657" spans="1:6" x14ac:dyDescent="0.2">
      <c r="A3657" s="1186" t="s">
        <v>1419</v>
      </c>
      <c r="B3657" s="1186" t="s">
        <v>825</v>
      </c>
      <c r="C3657" s="1186" t="s">
        <v>116</v>
      </c>
      <c r="D3657" s="1186" t="s">
        <v>36</v>
      </c>
      <c r="E3657" s="1186">
        <v>221</v>
      </c>
      <c r="F3657" s="1186">
        <v>633120</v>
      </c>
    </row>
    <row r="3658" spans="1:6" x14ac:dyDescent="0.2">
      <c r="A3658" s="1186" t="s">
        <v>1419</v>
      </c>
      <c r="B3658" s="1186" t="s">
        <v>825</v>
      </c>
      <c r="C3658" s="1186" t="s">
        <v>116</v>
      </c>
      <c r="D3658" s="1186" t="s">
        <v>37</v>
      </c>
      <c r="E3658" s="1186">
        <v>8</v>
      </c>
      <c r="F3658" s="1186">
        <v>235830</v>
      </c>
    </row>
    <row r="3659" spans="1:6" x14ac:dyDescent="0.2">
      <c r="A3659" s="1186" t="s">
        <v>1419</v>
      </c>
      <c r="B3659" s="1186" t="s">
        <v>825</v>
      </c>
      <c r="C3659" s="1186" t="s">
        <v>116</v>
      </c>
      <c r="D3659" s="1186" t="s">
        <v>38</v>
      </c>
      <c r="E3659" s="1186">
        <v>26</v>
      </c>
      <c r="F3659" s="1186">
        <v>77800</v>
      </c>
    </row>
    <row r="3660" spans="1:6" x14ac:dyDescent="0.2">
      <c r="A3660" s="1186" t="s">
        <v>1419</v>
      </c>
      <c r="B3660" s="1186" t="s">
        <v>825</v>
      </c>
      <c r="C3660" s="1186" t="s">
        <v>116</v>
      </c>
      <c r="D3660" s="1186" t="s">
        <v>39</v>
      </c>
      <c r="E3660" s="1186">
        <v>13</v>
      </c>
      <c r="F3660" s="1186">
        <v>92460</v>
      </c>
    </row>
    <row r="3661" spans="1:6" x14ac:dyDescent="0.2">
      <c r="A3661" s="1186" t="s">
        <v>1419</v>
      </c>
      <c r="B3661" s="1186" t="s">
        <v>825</v>
      </c>
      <c r="C3661" s="1186" t="s">
        <v>116</v>
      </c>
      <c r="D3661" s="1186" t="s">
        <v>40</v>
      </c>
      <c r="E3661" s="1186">
        <v>5</v>
      </c>
      <c r="F3661" s="1186">
        <v>95820</v>
      </c>
    </row>
    <row r="3662" spans="1:6" x14ac:dyDescent="0.2">
      <c r="A3662" s="1186" t="s">
        <v>1419</v>
      </c>
      <c r="B3662" s="1186" t="s">
        <v>825</v>
      </c>
      <c r="C3662" s="1186" t="s">
        <v>116</v>
      </c>
      <c r="D3662" s="1186" t="s">
        <v>41</v>
      </c>
      <c r="E3662" s="1186">
        <v>12</v>
      </c>
      <c r="F3662" s="1186">
        <v>134740</v>
      </c>
    </row>
    <row r="3663" spans="1:6" x14ac:dyDescent="0.2">
      <c r="A3663" s="1186" t="s">
        <v>1419</v>
      </c>
      <c r="B3663" s="1186" t="s">
        <v>825</v>
      </c>
      <c r="C3663" s="1186" t="s">
        <v>116</v>
      </c>
      <c r="D3663" s="1186" t="s">
        <v>42</v>
      </c>
      <c r="E3663" s="1186">
        <v>125</v>
      </c>
      <c r="F3663" s="1186">
        <v>341370</v>
      </c>
    </row>
    <row r="3664" spans="1:6" x14ac:dyDescent="0.2">
      <c r="A3664" s="1186" t="s">
        <v>1419</v>
      </c>
      <c r="B3664" s="1186" t="s">
        <v>825</v>
      </c>
      <c r="C3664" s="1186" t="s">
        <v>116</v>
      </c>
      <c r="D3664" s="1186" t="s">
        <v>44</v>
      </c>
      <c r="E3664" s="1186">
        <v>1</v>
      </c>
      <c r="F3664" s="1186">
        <v>151950</v>
      </c>
    </row>
    <row r="3665" spans="1:6" x14ac:dyDescent="0.2">
      <c r="A3665" s="1186" t="s">
        <v>1419</v>
      </c>
      <c r="B3665" s="1186" t="s">
        <v>825</v>
      </c>
      <c r="C3665" s="1186" t="s">
        <v>116</v>
      </c>
      <c r="D3665" s="1186" t="s">
        <v>45</v>
      </c>
      <c r="E3665" s="1186">
        <v>43</v>
      </c>
      <c r="F3665" s="1186">
        <v>179100</v>
      </c>
    </row>
    <row r="3666" spans="1:6" x14ac:dyDescent="0.2">
      <c r="A3666" s="1186" t="s">
        <v>1419</v>
      </c>
      <c r="B3666" s="1186" t="s">
        <v>825</v>
      </c>
      <c r="C3666" s="1186" t="s">
        <v>116</v>
      </c>
      <c r="D3666" s="1186" t="s">
        <v>46</v>
      </c>
      <c r="E3666" s="1186">
        <v>6</v>
      </c>
      <c r="F3666" s="1186">
        <v>115510</v>
      </c>
    </row>
    <row r="3667" spans="1:6" x14ac:dyDescent="0.2">
      <c r="A3667" s="1186" t="s">
        <v>1419</v>
      </c>
      <c r="B3667" s="1186" t="s">
        <v>825</v>
      </c>
      <c r="C3667" s="1186" t="s">
        <v>116</v>
      </c>
      <c r="D3667" s="1186" t="s">
        <v>48</v>
      </c>
      <c r="E3667" s="1186">
        <v>7</v>
      </c>
      <c r="F3667" s="1186">
        <v>112610</v>
      </c>
    </row>
    <row r="3668" spans="1:6" x14ac:dyDescent="0.2">
      <c r="A3668" s="1186" t="s">
        <v>1419</v>
      </c>
      <c r="B3668" s="1186" t="s">
        <v>825</v>
      </c>
      <c r="C3668" s="1186" t="s">
        <v>116</v>
      </c>
      <c r="D3668" s="1186" t="s">
        <v>49</v>
      </c>
      <c r="E3668" s="1186">
        <v>72</v>
      </c>
      <c r="F3668" s="1186">
        <v>320530</v>
      </c>
    </row>
    <row r="3669" spans="1:6" x14ac:dyDescent="0.2">
      <c r="A3669" s="1186" t="s">
        <v>1419</v>
      </c>
      <c r="B3669" s="1186" t="s">
        <v>825</v>
      </c>
      <c r="C3669" s="1186" t="s">
        <v>116</v>
      </c>
      <c r="D3669" s="1186" t="s">
        <v>50</v>
      </c>
      <c r="E3669" s="1186">
        <v>4</v>
      </c>
      <c r="F3669" s="1186">
        <v>94210</v>
      </c>
    </row>
    <row r="3670" spans="1:6" x14ac:dyDescent="0.2">
      <c r="A3670" s="1186" t="s">
        <v>1419</v>
      </c>
      <c r="B3670" s="1186" t="s">
        <v>825</v>
      </c>
      <c r="C3670" s="1186" t="s">
        <v>116</v>
      </c>
      <c r="D3670" s="1186" t="s">
        <v>51</v>
      </c>
      <c r="E3670" s="1186">
        <v>27</v>
      </c>
      <c r="F3670" s="1186">
        <v>88930</v>
      </c>
    </row>
    <row r="3671" spans="1:6" x14ac:dyDescent="0.2">
      <c r="A3671" s="1186" t="s">
        <v>1419</v>
      </c>
      <c r="B3671" s="1186" t="s">
        <v>825</v>
      </c>
      <c r="C3671" s="1186" t="s">
        <v>116</v>
      </c>
      <c r="D3671" s="1186" t="s">
        <v>52</v>
      </c>
      <c r="E3671" s="1186">
        <v>35</v>
      </c>
      <c r="F3671" s="1186">
        <v>183100</v>
      </c>
    </row>
    <row r="3672" spans="1:6" x14ac:dyDescent="0.2">
      <c r="A3672" s="1186" t="s">
        <v>1419</v>
      </c>
      <c r="B3672" s="1186" t="s">
        <v>826</v>
      </c>
      <c r="C3672" s="1186" t="s">
        <v>61</v>
      </c>
      <c r="D3672" s="1186" t="s">
        <v>23</v>
      </c>
      <c r="E3672" s="1186">
        <v>11</v>
      </c>
      <c r="F3672" s="1186">
        <v>228670</v>
      </c>
    </row>
    <row r="3673" spans="1:6" x14ac:dyDescent="0.2">
      <c r="A3673" s="1186" t="s">
        <v>1419</v>
      </c>
      <c r="B3673" s="1186" t="s">
        <v>826</v>
      </c>
      <c r="C3673" s="1186" t="s">
        <v>61</v>
      </c>
      <c r="D3673" s="1186" t="s">
        <v>24</v>
      </c>
      <c r="E3673" s="1186">
        <v>28</v>
      </c>
      <c r="F3673" s="1186">
        <v>261210</v>
      </c>
    </row>
    <row r="3674" spans="1:6" x14ac:dyDescent="0.2">
      <c r="A3674" s="1186" t="s">
        <v>1419</v>
      </c>
      <c r="B3674" s="1186" t="s">
        <v>826</v>
      </c>
      <c r="C3674" s="1186" t="s">
        <v>61</v>
      </c>
      <c r="D3674" s="1186" t="s">
        <v>25</v>
      </c>
      <c r="E3674" s="1186">
        <v>11</v>
      </c>
      <c r="F3674" s="1186">
        <v>116200</v>
      </c>
    </row>
    <row r="3675" spans="1:6" x14ac:dyDescent="0.2">
      <c r="A3675" s="1186" t="s">
        <v>1419</v>
      </c>
      <c r="B3675" s="1186" t="s">
        <v>826</v>
      </c>
      <c r="C3675" s="1186" t="s">
        <v>61</v>
      </c>
      <c r="D3675" s="1186" t="s">
        <v>26</v>
      </c>
      <c r="E3675" s="1186">
        <v>15</v>
      </c>
      <c r="F3675" s="1186">
        <v>85870</v>
      </c>
    </row>
    <row r="3676" spans="1:6" x14ac:dyDescent="0.2">
      <c r="A3676" s="1186" t="s">
        <v>1419</v>
      </c>
      <c r="B3676" s="1186" t="s">
        <v>826</v>
      </c>
      <c r="C3676" s="1186" t="s">
        <v>61</v>
      </c>
      <c r="D3676" s="1186" t="s">
        <v>619</v>
      </c>
      <c r="E3676" s="1186">
        <v>29</v>
      </c>
      <c r="F3676" s="1186">
        <v>524930</v>
      </c>
    </row>
    <row r="3677" spans="1:6" x14ac:dyDescent="0.2">
      <c r="A3677" s="1186" t="s">
        <v>1419</v>
      </c>
      <c r="B3677" s="1186" t="s">
        <v>826</v>
      </c>
      <c r="C3677" s="1186" t="s">
        <v>61</v>
      </c>
      <c r="D3677" s="1186" t="s">
        <v>27</v>
      </c>
      <c r="E3677" s="1186">
        <v>3</v>
      </c>
      <c r="F3677" s="1186">
        <v>51540</v>
      </c>
    </row>
    <row r="3678" spans="1:6" x14ac:dyDescent="0.2">
      <c r="A3678" s="1186" t="s">
        <v>1419</v>
      </c>
      <c r="B3678" s="1186" t="s">
        <v>826</v>
      </c>
      <c r="C3678" s="1186" t="s">
        <v>61</v>
      </c>
      <c r="D3678" s="1186" t="s">
        <v>28</v>
      </c>
      <c r="E3678" s="1186">
        <v>13</v>
      </c>
      <c r="F3678" s="1186">
        <v>148860</v>
      </c>
    </row>
    <row r="3679" spans="1:6" x14ac:dyDescent="0.2">
      <c r="A3679" s="1186" t="s">
        <v>1419</v>
      </c>
      <c r="B3679" s="1186" t="s">
        <v>826</v>
      </c>
      <c r="C3679" s="1186" t="s">
        <v>61</v>
      </c>
      <c r="D3679" s="1186" t="s">
        <v>29</v>
      </c>
      <c r="E3679" s="1186">
        <v>8</v>
      </c>
      <c r="F3679" s="1186">
        <v>149320</v>
      </c>
    </row>
    <row r="3680" spans="1:6" x14ac:dyDescent="0.2">
      <c r="A3680" s="1186" t="s">
        <v>1419</v>
      </c>
      <c r="B3680" s="1186" t="s">
        <v>826</v>
      </c>
      <c r="C3680" s="1186" t="s">
        <v>61</v>
      </c>
      <c r="D3680" s="1186" t="s">
        <v>30</v>
      </c>
      <c r="E3680" s="1186">
        <v>8</v>
      </c>
      <c r="F3680" s="1186">
        <v>122010</v>
      </c>
    </row>
    <row r="3681" spans="1:6" x14ac:dyDescent="0.2">
      <c r="A3681" s="1186" t="s">
        <v>1419</v>
      </c>
      <c r="B3681" s="1186" t="s">
        <v>826</v>
      </c>
      <c r="C3681" s="1186" t="s">
        <v>61</v>
      </c>
      <c r="D3681" s="1186" t="s">
        <v>31</v>
      </c>
      <c r="E3681" s="1186">
        <v>3</v>
      </c>
      <c r="F3681" s="1186">
        <v>108640</v>
      </c>
    </row>
    <row r="3682" spans="1:6" x14ac:dyDescent="0.2">
      <c r="A3682" s="1186" t="s">
        <v>1419</v>
      </c>
      <c r="B3682" s="1186" t="s">
        <v>826</v>
      </c>
      <c r="C3682" s="1186" t="s">
        <v>61</v>
      </c>
      <c r="D3682" s="1186" t="s">
        <v>32</v>
      </c>
      <c r="E3682" s="1186">
        <v>1</v>
      </c>
      <c r="F3682" s="1186">
        <v>107090</v>
      </c>
    </row>
    <row r="3683" spans="1:6" x14ac:dyDescent="0.2">
      <c r="A3683" s="1186" t="s">
        <v>1419</v>
      </c>
      <c r="B3683" s="1186" t="s">
        <v>826</v>
      </c>
      <c r="C3683" s="1186" t="s">
        <v>61</v>
      </c>
      <c r="D3683" s="1186" t="s">
        <v>33</v>
      </c>
      <c r="E3683" s="1186">
        <v>4</v>
      </c>
      <c r="F3683" s="1186">
        <v>95530</v>
      </c>
    </row>
    <row r="3684" spans="1:6" x14ac:dyDescent="0.2">
      <c r="A3684" s="1186" t="s">
        <v>1419</v>
      </c>
      <c r="B3684" s="1186" t="s">
        <v>826</v>
      </c>
      <c r="C3684" s="1186" t="s">
        <v>61</v>
      </c>
      <c r="D3684" s="1186" t="s">
        <v>34</v>
      </c>
      <c r="E3684" s="1186">
        <v>18</v>
      </c>
      <c r="F3684" s="1186">
        <v>160890</v>
      </c>
    </row>
    <row r="3685" spans="1:6" x14ac:dyDescent="0.2">
      <c r="A3685" s="1186" t="s">
        <v>1419</v>
      </c>
      <c r="B3685" s="1186" t="s">
        <v>826</v>
      </c>
      <c r="C3685" s="1186" t="s">
        <v>61</v>
      </c>
      <c r="D3685" s="1186" t="s">
        <v>35</v>
      </c>
      <c r="E3685" s="1186">
        <v>21</v>
      </c>
      <c r="F3685" s="1186">
        <v>373550</v>
      </c>
    </row>
    <row r="3686" spans="1:6" x14ac:dyDescent="0.2">
      <c r="A3686" s="1186" t="s">
        <v>1419</v>
      </c>
      <c r="B3686" s="1186" t="s">
        <v>826</v>
      </c>
      <c r="C3686" s="1186" t="s">
        <v>61</v>
      </c>
      <c r="D3686" s="1186" t="s">
        <v>36</v>
      </c>
      <c r="E3686" s="1186">
        <v>15</v>
      </c>
      <c r="F3686" s="1186">
        <v>633120</v>
      </c>
    </row>
    <row r="3687" spans="1:6" x14ac:dyDescent="0.2">
      <c r="A3687" s="1186" t="s">
        <v>1419</v>
      </c>
      <c r="B3687" s="1186" t="s">
        <v>826</v>
      </c>
      <c r="C3687" s="1186" t="s">
        <v>61</v>
      </c>
      <c r="D3687" s="1186" t="s">
        <v>37</v>
      </c>
      <c r="E3687" s="1186">
        <v>35</v>
      </c>
      <c r="F3687" s="1186">
        <v>235830</v>
      </c>
    </row>
    <row r="3688" spans="1:6" x14ac:dyDescent="0.2">
      <c r="A3688" s="1186" t="s">
        <v>1419</v>
      </c>
      <c r="B3688" s="1186" t="s">
        <v>826</v>
      </c>
      <c r="C3688" s="1186" t="s">
        <v>61</v>
      </c>
      <c r="D3688" s="1186" t="s">
        <v>38</v>
      </c>
      <c r="E3688" s="1186">
        <v>2</v>
      </c>
      <c r="F3688" s="1186">
        <v>77800</v>
      </c>
    </row>
    <row r="3689" spans="1:6" x14ac:dyDescent="0.2">
      <c r="A3689" s="1186" t="s">
        <v>1419</v>
      </c>
      <c r="B3689" s="1186" t="s">
        <v>826</v>
      </c>
      <c r="C3689" s="1186" t="s">
        <v>61</v>
      </c>
      <c r="D3689" s="1186" t="s">
        <v>39</v>
      </c>
      <c r="E3689" s="1186">
        <v>5</v>
      </c>
      <c r="F3689" s="1186">
        <v>92460</v>
      </c>
    </row>
    <row r="3690" spans="1:6" x14ac:dyDescent="0.2">
      <c r="A3690" s="1186" t="s">
        <v>1419</v>
      </c>
      <c r="B3690" s="1186" t="s">
        <v>826</v>
      </c>
      <c r="C3690" s="1186" t="s">
        <v>61</v>
      </c>
      <c r="D3690" s="1186" t="s">
        <v>40</v>
      </c>
      <c r="E3690" s="1186">
        <v>14</v>
      </c>
      <c r="F3690" s="1186">
        <v>95820</v>
      </c>
    </row>
    <row r="3691" spans="1:6" x14ac:dyDescent="0.2">
      <c r="A3691" s="1186" t="s">
        <v>1419</v>
      </c>
      <c r="B3691" s="1186" t="s">
        <v>826</v>
      </c>
      <c r="C3691" s="1186" t="s">
        <v>61</v>
      </c>
      <c r="D3691" s="1186" t="s">
        <v>295</v>
      </c>
      <c r="E3691" s="1186">
        <v>3</v>
      </c>
      <c r="F3691" s="1186">
        <v>26720</v>
      </c>
    </row>
    <row r="3692" spans="1:6" x14ac:dyDescent="0.2">
      <c r="A3692" s="1186" t="s">
        <v>1419</v>
      </c>
      <c r="B3692" s="1186" t="s">
        <v>826</v>
      </c>
      <c r="C3692" s="1186" t="s">
        <v>61</v>
      </c>
      <c r="D3692" s="1186" t="s">
        <v>41</v>
      </c>
      <c r="E3692" s="1186">
        <v>4</v>
      </c>
      <c r="F3692" s="1186">
        <v>134740</v>
      </c>
    </row>
    <row r="3693" spans="1:6" x14ac:dyDescent="0.2">
      <c r="A3693" s="1186" t="s">
        <v>1419</v>
      </c>
      <c r="B3693" s="1186" t="s">
        <v>826</v>
      </c>
      <c r="C3693" s="1186" t="s">
        <v>61</v>
      </c>
      <c r="D3693" s="1186" t="s">
        <v>42</v>
      </c>
      <c r="E3693" s="1186">
        <v>8</v>
      </c>
      <c r="F3693" s="1186">
        <v>341370</v>
      </c>
    </row>
    <row r="3694" spans="1:6" x14ac:dyDescent="0.2">
      <c r="A3694" s="1186" t="s">
        <v>1419</v>
      </c>
      <c r="B3694" s="1186" t="s">
        <v>826</v>
      </c>
      <c r="C3694" s="1186" t="s">
        <v>61</v>
      </c>
      <c r="D3694" s="1186" t="s">
        <v>43</v>
      </c>
      <c r="E3694" s="1186">
        <v>6</v>
      </c>
      <c r="F3694" s="1186">
        <v>22270</v>
      </c>
    </row>
    <row r="3695" spans="1:6" x14ac:dyDescent="0.2">
      <c r="A3695" s="1186" t="s">
        <v>1419</v>
      </c>
      <c r="B3695" s="1186" t="s">
        <v>826</v>
      </c>
      <c r="C3695" s="1186" t="s">
        <v>61</v>
      </c>
      <c r="D3695" s="1186" t="s">
        <v>44</v>
      </c>
      <c r="E3695" s="1186">
        <v>15</v>
      </c>
      <c r="F3695" s="1186">
        <v>151950</v>
      </c>
    </row>
    <row r="3696" spans="1:6" x14ac:dyDescent="0.2">
      <c r="A3696" s="1186" t="s">
        <v>1419</v>
      </c>
      <c r="B3696" s="1186" t="s">
        <v>826</v>
      </c>
      <c r="C3696" s="1186" t="s">
        <v>61</v>
      </c>
      <c r="D3696" s="1186" t="s">
        <v>45</v>
      </c>
      <c r="E3696" s="1186">
        <v>6</v>
      </c>
      <c r="F3696" s="1186">
        <v>179100</v>
      </c>
    </row>
    <row r="3697" spans="1:6" x14ac:dyDescent="0.2">
      <c r="A3697" s="1186" t="s">
        <v>1419</v>
      </c>
      <c r="B3697" s="1186" t="s">
        <v>826</v>
      </c>
      <c r="C3697" s="1186" t="s">
        <v>61</v>
      </c>
      <c r="D3697" s="1186" t="s">
        <v>46</v>
      </c>
      <c r="E3697" s="1186">
        <v>11</v>
      </c>
      <c r="F3697" s="1186">
        <v>115510</v>
      </c>
    </row>
    <row r="3698" spans="1:6" x14ac:dyDescent="0.2">
      <c r="A3698" s="1186" t="s">
        <v>1419</v>
      </c>
      <c r="B3698" s="1186" t="s">
        <v>826</v>
      </c>
      <c r="C3698" s="1186" t="s">
        <v>61</v>
      </c>
      <c r="D3698" s="1186" t="s">
        <v>47</v>
      </c>
      <c r="E3698" s="1186">
        <v>6</v>
      </c>
      <c r="F3698" s="1186">
        <v>22920</v>
      </c>
    </row>
    <row r="3699" spans="1:6" x14ac:dyDescent="0.2">
      <c r="A3699" s="1186" t="s">
        <v>1419</v>
      </c>
      <c r="B3699" s="1186" t="s">
        <v>826</v>
      </c>
      <c r="C3699" s="1186" t="s">
        <v>61</v>
      </c>
      <c r="D3699" s="1186" t="s">
        <v>48</v>
      </c>
      <c r="E3699" s="1186">
        <v>5</v>
      </c>
      <c r="F3699" s="1186">
        <v>112610</v>
      </c>
    </row>
    <row r="3700" spans="1:6" x14ac:dyDescent="0.2">
      <c r="A3700" s="1186" t="s">
        <v>1419</v>
      </c>
      <c r="B3700" s="1186" t="s">
        <v>826</v>
      </c>
      <c r="C3700" s="1186" t="s">
        <v>61</v>
      </c>
      <c r="D3700" s="1186" t="s">
        <v>49</v>
      </c>
      <c r="E3700" s="1186">
        <v>6</v>
      </c>
      <c r="F3700" s="1186">
        <v>320530</v>
      </c>
    </row>
    <row r="3701" spans="1:6" x14ac:dyDescent="0.2">
      <c r="A3701" s="1186" t="s">
        <v>1419</v>
      </c>
      <c r="B3701" s="1186" t="s">
        <v>826</v>
      </c>
      <c r="C3701" s="1186" t="s">
        <v>61</v>
      </c>
      <c r="D3701" s="1186" t="s">
        <v>50</v>
      </c>
      <c r="E3701" s="1186">
        <v>11</v>
      </c>
      <c r="F3701" s="1186">
        <v>94210</v>
      </c>
    </row>
    <row r="3702" spans="1:6" x14ac:dyDescent="0.2">
      <c r="A3702" s="1186" t="s">
        <v>1419</v>
      </c>
      <c r="B3702" s="1186" t="s">
        <v>826</v>
      </c>
      <c r="C3702" s="1186" t="s">
        <v>61</v>
      </c>
      <c r="D3702" s="1186" t="s">
        <v>51</v>
      </c>
      <c r="E3702" s="1186">
        <v>1</v>
      </c>
      <c r="F3702" s="1186">
        <v>88930</v>
      </c>
    </row>
    <row r="3703" spans="1:6" x14ac:dyDescent="0.2">
      <c r="A3703" s="1186" t="s">
        <v>1419</v>
      </c>
      <c r="B3703" s="1186" t="s">
        <v>826</v>
      </c>
      <c r="C3703" s="1186" t="s">
        <v>61</v>
      </c>
      <c r="D3703" s="1186" t="s">
        <v>52</v>
      </c>
      <c r="E3703" s="1186">
        <v>5</v>
      </c>
      <c r="F3703" s="1186">
        <v>183100</v>
      </c>
    </row>
    <row r="3704" spans="1:6" x14ac:dyDescent="0.2">
      <c r="A3704" s="1186" t="s">
        <v>1419</v>
      </c>
      <c r="B3704" s="1186" t="s">
        <v>826</v>
      </c>
      <c r="C3704" s="1186" t="s">
        <v>116</v>
      </c>
      <c r="D3704" s="1186" t="s">
        <v>23</v>
      </c>
      <c r="E3704" s="1186">
        <v>23</v>
      </c>
      <c r="F3704" s="1186">
        <v>228670</v>
      </c>
    </row>
    <row r="3705" spans="1:6" x14ac:dyDescent="0.2">
      <c r="A3705" s="1186" t="s">
        <v>1419</v>
      </c>
      <c r="B3705" s="1186" t="s">
        <v>826</v>
      </c>
      <c r="C3705" s="1186" t="s">
        <v>116</v>
      </c>
      <c r="D3705" s="1186" t="s">
        <v>24</v>
      </c>
      <c r="E3705" s="1186">
        <v>38</v>
      </c>
      <c r="F3705" s="1186">
        <v>261210</v>
      </c>
    </row>
    <row r="3706" spans="1:6" x14ac:dyDescent="0.2">
      <c r="A3706" s="1186" t="s">
        <v>1419</v>
      </c>
      <c r="B3706" s="1186" t="s">
        <v>826</v>
      </c>
      <c r="C3706" s="1186" t="s">
        <v>116</v>
      </c>
      <c r="D3706" s="1186" t="s">
        <v>25</v>
      </c>
      <c r="E3706" s="1186">
        <v>12</v>
      </c>
      <c r="F3706" s="1186">
        <v>116200</v>
      </c>
    </row>
    <row r="3707" spans="1:6" x14ac:dyDescent="0.2">
      <c r="A3707" s="1186" t="s">
        <v>1419</v>
      </c>
      <c r="B3707" s="1186" t="s">
        <v>826</v>
      </c>
      <c r="C3707" s="1186" t="s">
        <v>116</v>
      </c>
      <c r="D3707" s="1186" t="s">
        <v>26</v>
      </c>
      <c r="E3707" s="1186">
        <v>6</v>
      </c>
      <c r="F3707" s="1186">
        <v>85870</v>
      </c>
    </row>
    <row r="3708" spans="1:6" x14ac:dyDescent="0.2">
      <c r="A3708" s="1186" t="s">
        <v>1419</v>
      </c>
      <c r="B3708" s="1186" t="s">
        <v>826</v>
      </c>
      <c r="C3708" s="1186" t="s">
        <v>116</v>
      </c>
      <c r="D3708" s="1186" t="s">
        <v>619</v>
      </c>
      <c r="E3708" s="1186">
        <v>57</v>
      </c>
      <c r="F3708" s="1186">
        <v>524930</v>
      </c>
    </row>
    <row r="3709" spans="1:6" x14ac:dyDescent="0.2">
      <c r="A3709" s="1186" t="s">
        <v>1419</v>
      </c>
      <c r="B3709" s="1186" t="s">
        <v>826</v>
      </c>
      <c r="C3709" s="1186" t="s">
        <v>116</v>
      </c>
      <c r="D3709" s="1186" t="s">
        <v>27</v>
      </c>
      <c r="E3709" s="1186">
        <v>4</v>
      </c>
      <c r="F3709" s="1186">
        <v>51540</v>
      </c>
    </row>
    <row r="3710" spans="1:6" x14ac:dyDescent="0.2">
      <c r="A3710" s="1186" t="s">
        <v>1419</v>
      </c>
      <c r="B3710" s="1186" t="s">
        <v>826</v>
      </c>
      <c r="C3710" s="1186" t="s">
        <v>116</v>
      </c>
      <c r="D3710" s="1186" t="s">
        <v>28</v>
      </c>
      <c r="E3710" s="1186">
        <v>5</v>
      </c>
      <c r="F3710" s="1186">
        <v>148860</v>
      </c>
    </row>
    <row r="3711" spans="1:6" x14ac:dyDescent="0.2">
      <c r="A3711" s="1186" t="s">
        <v>1419</v>
      </c>
      <c r="B3711" s="1186" t="s">
        <v>826</v>
      </c>
      <c r="C3711" s="1186" t="s">
        <v>116</v>
      </c>
      <c r="D3711" s="1186" t="s">
        <v>29</v>
      </c>
      <c r="E3711" s="1186">
        <v>9</v>
      </c>
      <c r="F3711" s="1186">
        <v>149320</v>
      </c>
    </row>
    <row r="3712" spans="1:6" x14ac:dyDescent="0.2">
      <c r="A3712" s="1186" t="s">
        <v>1419</v>
      </c>
      <c r="B3712" s="1186" t="s">
        <v>826</v>
      </c>
      <c r="C3712" s="1186" t="s">
        <v>116</v>
      </c>
      <c r="D3712" s="1186" t="s">
        <v>30</v>
      </c>
      <c r="E3712" s="1186">
        <v>10</v>
      </c>
      <c r="F3712" s="1186">
        <v>122010</v>
      </c>
    </row>
    <row r="3713" spans="1:6" x14ac:dyDescent="0.2">
      <c r="A3713" s="1186" t="s">
        <v>1419</v>
      </c>
      <c r="B3713" s="1186" t="s">
        <v>826</v>
      </c>
      <c r="C3713" s="1186" t="s">
        <v>116</v>
      </c>
      <c r="D3713" s="1186" t="s">
        <v>31</v>
      </c>
      <c r="E3713" s="1186">
        <v>9</v>
      </c>
      <c r="F3713" s="1186">
        <v>108640</v>
      </c>
    </row>
    <row r="3714" spans="1:6" x14ac:dyDescent="0.2">
      <c r="A3714" s="1186" t="s">
        <v>1419</v>
      </c>
      <c r="B3714" s="1186" t="s">
        <v>826</v>
      </c>
      <c r="C3714" s="1186" t="s">
        <v>116</v>
      </c>
      <c r="D3714" s="1186" t="s">
        <v>32</v>
      </c>
      <c r="E3714" s="1186">
        <v>22</v>
      </c>
      <c r="F3714" s="1186">
        <v>107090</v>
      </c>
    </row>
    <row r="3715" spans="1:6" x14ac:dyDescent="0.2">
      <c r="A3715" s="1186" t="s">
        <v>1419</v>
      </c>
      <c r="B3715" s="1186" t="s">
        <v>826</v>
      </c>
      <c r="C3715" s="1186" t="s">
        <v>116</v>
      </c>
      <c r="D3715" s="1186" t="s">
        <v>33</v>
      </c>
      <c r="E3715" s="1186">
        <v>9</v>
      </c>
      <c r="F3715" s="1186">
        <v>95530</v>
      </c>
    </row>
    <row r="3716" spans="1:6" x14ac:dyDescent="0.2">
      <c r="A3716" s="1186" t="s">
        <v>1419</v>
      </c>
      <c r="B3716" s="1186" t="s">
        <v>826</v>
      </c>
      <c r="C3716" s="1186" t="s">
        <v>116</v>
      </c>
      <c r="D3716" s="1186" t="s">
        <v>34</v>
      </c>
      <c r="E3716" s="1186">
        <v>24</v>
      </c>
      <c r="F3716" s="1186">
        <v>160890</v>
      </c>
    </row>
    <row r="3717" spans="1:6" x14ac:dyDescent="0.2">
      <c r="A3717" s="1186" t="s">
        <v>1419</v>
      </c>
      <c r="B3717" s="1186" t="s">
        <v>826</v>
      </c>
      <c r="C3717" s="1186" t="s">
        <v>116</v>
      </c>
      <c r="D3717" s="1186" t="s">
        <v>35</v>
      </c>
      <c r="E3717" s="1186">
        <v>74</v>
      </c>
      <c r="F3717" s="1186">
        <v>373550</v>
      </c>
    </row>
    <row r="3718" spans="1:6" x14ac:dyDescent="0.2">
      <c r="A3718" s="1186" t="s">
        <v>1419</v>
      </c>
      <c r="B3718" s="1186" t="s">
        <v>826</v>
      </c>
      <c r="C3718" s="1186" t="s">
        <v>116</v>
      </c>
      <c r="D3718" s="1186" t="s">
        <v>36</v>
      </c>
      <c r="E3718" s="1186">
        <v>40</v>
      </c>
      <c r="F3718" s="1186">
        <v>633120</v>
      </c>
    </row>
    <row r="3719" spans="1:6" x14ac:dyDescent="0.2">
      <c r="A3719" s="1186" t="s">
        <v>1419</v>
      </c>
      <c r="B3719" s="1186" t="s">
        <v>826</v>
      </c>
      <c r="C3719" s="1186" t="s">
        <v>116</v>
      </c>
      <c r="D3719" s="1186" t="s">
        <v>37</v>
      </c>
      <c r="E3719" s="1186">
        <v>18</v>
      </c>
      <c r="F3719" s="1186">
        <v>235830</v>
      </c>
    </row>
    <row r="3720" spans="1:6" x14ac:dyDescent="0.2">
      <c r="A3720" s="1186" t="s">
        <v>1419</v>
      </c>
      <c r="B3720" s="1186" t="s">
        <v>826</v>
      </c>
      <c r="C3720" s="1186" t="s">
        <v>116</v>
      </c>
      <c r="D3720" s="1186" t="s">
        <v>38</v>
      </c>
      <c r="E3720" s="1186">
        <v>5</v>
      </c>
      <c r="F3720" s="1186">
        <v>77800</v>
      </c>
    </row>
    <row r="3721" spans="1:6" x14ac:dyDescent="0.2">
      <c r="A3721" s="1186" t="s">
        <v>1419</v>
      </c>
      <c r="B3721" s="1186" t="s">
        <v>826</v>
      </c>
      <c r="C3721" s="1186" t="s">
        <v>116</v>
      </c>
      <c r="D3721" s="1186" t="s">
        <v>39</v>
      </c>
      <c r="E3721" s="1186">
        <v>19</v>
      </c>
      <c r="F3721" s="1186">
        <v>92460</v>
      </c>
    </row>
    <row r="3722" spans="1:6" x14ac:dyDescent="0.2">
      <c r="A3722" s="1186" t="s">
        <v>1419</v>
      </c>
      <c r="B3722" s="1186" t="s">
        <v>826</v>
      </c>
      <c r="C3722" s="1186" t="s">
        <v>116</v>
      </c>
      <c r="D3722" s="1186" t="s">
        <v>40</v>
      </c>
      <c r="E3722" s="1186">
        <v>10</v>
      </c>
      <c r="F3722" s="1186">
        <v>95820</v>
      </c>
    </row>
    <row r="3723" spans="1:6" x14ac:dyDescent="0.2">
      <c r="A3723" s="1186" t="s">
        <v>1419</v>
      </c>
      <c r="B3723" s="1186" t="s">
        <v>826</v>
      </c>
      <c r="C3723" s="1186" t="s">
        <v>116</v>
      </c>
      <c r="D3723" s="1186" t="s">
        <v>41</v>
      </c>
      <c r="E3723" s="1186">
        <v>6</v>
      </c>
      <c r="F3723" s="1186">
        <v>134740</v>
      </c>
    </row>
    <row r="3724" spans="1:6" x14ac:dyDescent="0.2">
      <c r="A3724" s="1186" t="s">
        <v>1419</v>
      </c>
      <c r="B3724" s="1186" t="s">
        <v>826</v>
      </c>
      <c r="C3724" s="1186" t="s">
        <v>116</v>
      </c>
      <c r="D3724" s="1186" t="s">
        <v>42</v>
      </c>
      <c r="E3724" s="1186">
        <v>29</v>
      </c>
      <c r="F3724" s="1186">
        <v>341370</v>
      </c>
    </row>
    <row r="3725" spans="1:6" x14ac:dyDescent="0.2">
      <c r="A3725" s="1186" t="s">
        <v>1419</v>
      </c>
      <c r="B3725" s="1186" t="s">
        <v>826</v>
      </c>
      <c r="C3725" s="1186" t="s">
        <v>116</v>
      </c>
      <c r="D3725" s="1186" t="s">
        <v>44</v>
      </c>
      <c r="E3725" s="1186">
        <v>9</v>
      </c>
      <c r="F3725" s="1186">
        <v>151950</v>
      </c>
    </row>
    <row r="3726" spans="1:6" x14ac:dyDescent="0.2">
      <c r="A3726" s="1186" t="s">
        <v>1419</v>
      </c>
      <c r="B3726" s="1186" t="s">
        <v>826</v>
      </c>
      <c r="C3726" s="1186" t="s">
        <v>116</v>
      </c>
      <c r="D3726" s="1186" t="s">
        <v>45</v>
      </c>
      <c r="E3726" s="1186">
        <v>18</v>
      </c>
      <c r="F3726" s="1186">
        <v>179100</v>
      </c>
    </row>
    <row r="3727" spans="1:6" x14ac:dyDescent="0.2">
      <c r="A3727" s="1186" t="s">
        <v>1419</v>
      </c>
      <c r="B3727" s="1186" t="s">
        <v>826</v>
      </c>
      <c r="C3727" s="1186" t="s">
        <v>116</v>
      </c>
      <c r="D3727" s="1186" t="s">
        <v>46</v>
      </c>
      <c r="E3727" s="1186">
        <v>31</v>
      </c>
      <c r="F3727" s="1186">
        <v>115510</v>
      </c>
    </row>
    <row r="3728" spans="1:6" x14ac:dyDescent="0.2">
      <c r="A3728" s="1186" t="s">
        <v>1419</v>
      </c>
      <c r="B3728" s="1186" t="s">
        <v>826</v>
      </c>
      <c r="C3728" s="1186" t="s">
        <v>116</v>
      </c>
      <c r="D3728" s="1186" t="s">
        <v>48</v>
      </c>
      <c r="E3728" s="1186">
        <v>1</v>
      </c>
      <c r="F3728" s="1186">
        <v>112610</v>
      </c>
    </row>
    <row r="3729" spans="1:6" x14ac:dyDescent="0.2">
      <c r="A3729" s="1186" t="s">
        <v>1419</v>
      </c>
      <c r="B3729" s="1186" t="s">
        <v>826</v>
      </c>
      <c r="C3729" s="1186" t="s">
        <v>116</v>
      </c>
      <c r="D3729" s="1186" t="s">
        <v>49</v>
      </c>
      <c r="E3729" s="1186">
        <v>24</v>
      </c>
      <c r="F3729" s="1186">
        <v>320530</v>
      </c>
    </row>
    <row r="3730" spans="1:6" x14ac:dyDescent="0.2">
      <c r="A3730" s="1186" t="s">
        <v>1419</v>
      </c>
      <c r="B3730" s="1186" t="s">
        <v>826</v>
      </c>
      <c r="C3730" s="1186" t="s">
        <v>116</v>
      </c>
      <c r="D3730" s="1186" t="s">
        <v>50</v>
      </c>
      <c r="E3730" s="1186">
        <v>7</v>
      </c>
      <c r="F3730" s="1186">
        <v>94210</v>
      </c>
    </row>
    <row r="3731" spans="1:6" x14ac:dyDescent="0.2">
      <c r="A3731" s="1186" t="s">
        <v>1419</v>
      </c>
      <c r="B3731" s="1186" t="s">
        <v>826</v>
      </c>
      <c r="C3731" s="1186" t="s">
        <v>116</v>
      </c>
      <c r="D3731" s="1186" t="s">
        <v>51</v>
      </c>
      <c r="E3731" s="1186">
        <v>6</v>
      </c>
      <c r="F3731" s="1186">
        <v>88930</v>
      </c>
    </row>
    <row r="3732" spans="1:6" x14ac:dyDescent="0.2">
      <c r="A3732" s="1186" t="s">
        <v>1419</v>
      </c>
      <c r="B3732" s="1186" t="s">
        <v>826</v>
      </c>
      <c r="C3732" s="1186" t="s">
        <v>116</v>
      </c>
      <c r="D3732" s="1186" t="s">
        <v>52</v>
      </c>
      <c r="E3732" s="1186">
        <v>27</v>
      </c>
      <c r="F3732" s="1186">
        <v>183100</v>
      </c>
    </row>
    <row r="3733" spans="1:6" x14ac:dyDescent="0.2">
      <c r="A3733" s="1186" t="s">
        <v>1419</v>
      </c>
      <c r="B3733" s="1186" t="s">
        <v>308</v>
      </c>
      <c r="C3733" s="1186" t="s">
        <v>61</v>
      </c>
      <c r="D3733" s="1186" t="s">
        <v>23</v>
      </c>
      <c r="E3733" s="1186">
        <v>91</v>
      </c>
      <c r="F3733" s="1186">
        <v>228670</v>
      </c>
    </row>
    <row r="3734" spans="1:6" x14ac:dyDescent="0.2">
      <c r="A3734" s="1186" t="s">
        <v>1419</v>
      </c>
      <c r="B3734" s="1186" t="s">
        <v>308</v>
      </c>
      <c r="C3734" s="1186" t="s">
        <v>61</v>
      </c>
      <c r="D3734" s="1186" t="s">
        <v>24</v>
      </c>
      <c r="E3734" s="1186">
        <v>87</v>
      </c>
      <c r="F3734" s="1186">
        <v>261210</v>
      </c>
    </row>
    <row r="3735" spans="1:6" x14ac:dyDescent="0.2">
      <c r="A3735" s="1186" t="s">
        <v>1419</v>
      </c>
      <c r="B3735" s="1186" t="s">
        <v>308</v>
      </c>
      <c r="C3735" s="1186" t="s">
        <v>61</v>
      </c>
      <c r="D3735" s="1186" t="s">
        <v>25</v>
      </c>
      <c r="E3735" s="1186">
        <v>50</v>
      </c>
      <c r="F3735" s="1186">
        <v>116200</v>
      </c>
    </row>
    <row r="3736" spans="1:6" x14ac:dyDescent="0.2">
      <c r="A3736" s="1186" t="s">
        <v>1419</v>
      </c>
      <c r="B3736" s="1186" t="s">
        <v>308</v>
      </c>
      <c r="C3736" s="1186" t="s">
        <v>61</v>
      </c>
      <c r="D3736" s="1186" t="s">
        <v>26</v>
      </c>
      <c r="E3736" s="1186">
        <v>64</v>
      </c>
      <c r="F3736" s="1186">
        <v>85870</v>
      </c>
    </row>
    <row r="3737" spans="1:6" x14ac:dyDescent="0.2">
      <c r="A3737" s="1186" t="s">
        <v>1419</v>
      </c>
      <c r="B3737" s="1186" t="s">
        <v>308</v>
      </c>
      <c r="C3737" s="1186" t="s">
        <v>61</v>
      </c>
      <c r="D3737" s="1186" t="s">
        <v>619</v>
      </c>
      <c r="E3737" s="1186">
        <v>559</v>
      </c>
      <c r="F3737" s="1186">
        <v>524930</v>
      </c>
    </row>
    <row r="3738" spans="1:6" x14ac:dyDescent="0.2">
      <c r="A3738" s="1186" t="s">
        <v>1419</v>
      </c>
      <c r="B3738" s="1186" t="s">
        <v>308</v>
      </c>
      <c r="C3738" s="1186" t="s">
        <v>61</v>
      </c>
      <c r="D3738" s="1186" t="s">
        <v>27</v>
      </c>
      <c r="E3738" s="1186">
        <v>17</v>
      </c>
      <c r="F3738" s="1186">
        <v>51540</v>
      </c>
    </row>
    <row r="3739" spans="1:6" x14ac:dyDescent="0.2">
      <c r="A3739" s="1186" t="s">
        <v>1419</v>
      </c>
      <c r="B3739" s="1186" t="s">
        <v>308</v>
      </c>
      <c r="C3739" s="1186" t="s">
        <v>61</v>
      </c>
      <c r="D3739" s="1186" t="s">
        <v>28</v>
      </c>
      <c r="E3739" s="1186">
        <v>81</v>
      </c>
      <c r="F3739" s="1186">
        <v>148860</v>
      </c>
    </row>
    <row r="3740" spans="1:6" x14ac:dyDescent="0.2">
      <c r="A3740" s="1186" t="s">
        <v>1419</v>
      </c>
      <c r="B3740" s="1186" t="s">
        <v>308</v>
      </c>
      <c r="C3740" s="1186" t="s">
        <v>61</v>
      </c>
      <c r="D3740" s="1186" t="s">
        <v>29</v>
      </c>
      <c r="E3740" s="1186">
        <v>109</v>
      </c>
      <c r="F3740" s="1186">
        <v>149320</v>
      </c>
    </row>
    <row r="3741" spans="1:6" x14ac:dyDescent="0.2">
      <c r="A3741" s="1186" t="s">
        <v>1419</v>
      </c>
      <c r="B3741" s="1186" t="s">
        <v>308</v>
      </c>
      <c r="C3741" s="1186" t="s">
        <v>61</v>
      </c>
      <c r="D3741" s="1186" t="s">
        <v>30</v>
      </c>
      <c r="E3741" s="1186">
        <v>25</v>
      </c>
      <c r="F3741" s="1186">
        <v>122010</v>
      </c>
    </row>
    <row r="3742" spans="1:6" x14ac:dyDescent="0.2">
      <c r="A3742" s="1186" t="s">
        <v>1419</v>
      </c>
      <c r="B3742" s="1186" t="s">
        <v>308</v>
      </c>
      <c r="C3742" s="1186" t="s">
        <v>61</v>
      </c>
      <c r="D3742" s="1186" t="s">
        <v>31</v>
      </c>
      <c r="E3742" s="1186">
        <v>15</v>
      </c>
      <c r="F3742" s="1186">
        <v>108640</v>
      </c>
    </row>
    <row r="3743" spans="1:6" x14ac:dyDescent="0.2">
      <c r="A3743" s="1186" t="s">
        <v>1419</v>
      </c>
      <c r="B3743" s="1186" t="s">
        <v>308</v>
      </c>
      <c r="C3743" s="1186" t="s">
        <v>61</v>
      </c>
      <c r="D3743" s="1186" t="s">
        <v>32</v>
      </c>
      <c r="E3743" s="1186">
        <v>57</v>
      </c>
      <c r="F3743" s="1186">
        <v>107090</v>
      </c>
    </row>
    <row r="3744" spans="1:6" x14ac:dyDescent="0.2">
      <c r="A3744" s="1186" t="s">
        <v>1419</v>
      </c>
      <c r="B3744" s="1186" t="s">
        <v>308</v>
      </c>
      <c r="C3744" s="1186" t="s">
        <v>61</v>
      </c>
      <c r="D3744" s="1186" t="s">
        <v>33</v>
      </c>
      <c r="E3744" s="1186">
        <v>14</v>
      </c>
      <c r="F3744" s="1186">
        <v>95530</v>
      </c>
    </row>
    <row r="3745" spans="1:6" x14ac:dyDescent="0.2">
      <c r="A3745" s="1186" t="s">
        <v>1419</v>
      </c>
      <c r="B3745" s="1186" t="s">
        <v>308</v>
      </c>
      <c r="C3745" s="1186" t="s">
        <v>61</v>
      </c>
      <c r="D3745" s="1186" t="s">
        <v>34</v>
      </c>
      <c r="E3745" s="1186">
        <v>98</v>
      </c>
      <c r="F3745" s="1186">
        <v>160890</v>
      </c>
    </row>
    <row r="3746" spans="1:6" x14ac:dyDescent="0.2">
      <c r="A3746" s="1186" t="s">
        <v>1419</v>
      </c>
      <c r="B3746" s="1186" t="s">
        <v>308</v>
      </c>
      <c r="C3746" s="1186" t="s">
        <v>61</v>
      </c>
      <c r="D3746" s="1186" t="s">
        <v>35</v>
      </c>
      <c r="E3746" s="1186">
        <v>174</v>
      </c>
      <c r="F3746" s="1186">
        <v>373550</v>
      </c>
    </row>
    <row r="3747" spans="1:6" x14ac:dyDescent="0.2">
      <c r="A3747" s="1186" t="s">
        <v>1419</v>
      </c>
      <c r="B3747" s="1186" t="s">
        <v>308</v>
      </c>
      <c r="C3747" s="1186" t="s">
        <v>61</v>
      </c>
      <c r="D3747" s="1186" t="s">
        <v>36</v>
      </c>
      <c r="E3747" s="1186">
        <v>168</v>
      </c>
      <c r="F3747" s="1186">
        <v>633120</v>
      </c>
    </row>
    <row r="3748" spans="1:6" x14ac:dyDescent="0.2">
      <c r="A3748" s="1186" t="s">
        <v>1419</v>
      </c>
      <c r="B3748" s="1186" t="s">
        <v>308</v>
      </c>
      <c r="C3748" s="1186" t="s">
        <v>61</v>
      </c>
      <c r="D3748" s="1186" t="s">
        <v>37</v>
      </c>
      <c r="E3748" s="1186">
        <v>272</v>
      </c>
      <c r="F3748" s="1186">
        <v>235830</v>
      </c>
    </row>
    <row r="3749" spans="1:6" x14ac:dyDescent="0.2">
      <c r="A3749" s="1186" t="s">
        <v>1419</v>
      </c>
      <c r="B3749" s="1186" t="s">
        <v>308</v>
      </c>
      <c r="C3749" s="1186" t="s">
        <v>61</v>
      </c>
      <c r="D3749" s="1186" t="s">
        <v>38</v>
      </c>
      <c r="E3749" s="1186">
        <v>19</v>
      </c>
      <c r="F3749" s="1186">
        <v>77800</v>
      </c>
    </row>
    <row r="3750" spans="1:6" x14ac:dyDescent="0.2">
      <c r="A3750" s="1186" t="s">
        <v>1419</v>
      </c>
      <c r="B3750" s="1186" t="s">
        <v>308</v>
      </c>
      <c r="C3750" s="1186" t="s">
        <v>61</v>
      </c>
      <c r="D3750" s="1186" t="s">
        <v>39</v>
      </c>
      <c r="E3750" s="1186">
        <v>37</v>
      </c>
      <c r="F3750" s="1186">
        <v>92460</v>
      </c>
    </row>
    <row r="3751" spans="1:6" x14ac:dyDescent="0.2">
      <c r="A3751" s="1186" t="s">
        <v>1419</v>
      </c>
      <c r="B3751" s="1186" t="s">
        <v>308</v>
      </c>
      <c r="C3751" s="1186" t="s">
        <v>61</v>
      </c>
      <c r="D3751" s="1186" t="s">
        <v>40</v>
      </c>
      <c r="E3751" s="1186">
        <v>54</v>
      </c>
      <c r="F3751" s="1186">
        <v>95820</v>
      </c>
    </row>
    <row r="3752" spans="1:6" x14ac:dyDescent="0.2">
      <c r="A3752" s="1186" t="s">
        <v>1419</v>
      </c>
      <c r="B3752" s="1186" t="s">
        <v>308</v>
      </c>
      <c r="C3752" s="1186" t="s">
        <v>61</v>
      </c>
      <c r="D3752" s="1186" t="s">
        <v>295</v>
      </c>
      <c r="E3752" s="1186">
        <v>27</v>
      </c>
      <c r="F3752" s="1186">
        <v>26720</v>
      </c>
    </row>
    <row r="3753" spans="1:6" x14ac:dyDescent="0.2">
      <c r="A3753" s="1186" t="s">
        <v>1419</v>
      </c>
      <c r="B3753" s="1186" t="s">
        <v>308</v>
      </c>
      <c r="C3753" s="1186" t="s">
        <v>61</v>
      </c>
      <c r="D3753" s="1186" t="s">
        <v>41</v>
      </c>
      <c r="E3753" s="1186">
        <v>30</v>
      </c>
      <c r="F3753" s="1186">
        <v>134740</v>
      </c>
    </row>
    <row r="3754" spans="1:6" x14ac:dyDescent="0.2">
      <c r="A3754" s="1186" t="s">
        <v>1419</v>
      </c>
      <c r="B3754" s="1186" t="s">
        <v>308</v>
      </c>
      <c r="C3754" s="1186" t="s">
        <v>61</v>
      </c>
      <c r="D3754" s="1186" t="s">
        <v>42</v>
      </c>
      <c r="E3754" s="1186">
        <v>49</v>
      </c>
      <c r="F3754" s="1186">
        <v>341370</v>
      </c>
    </row>
    <row r="3755" spans="1:6" x14ac:dyDescent="0.2">
      <c r="A3755" s="1186" t="s">
        <v>1419</v>
      </c>
      <c r="B3755" s="1186" t="s">
        <v>308</v>
      </c>
      <c r="C3755" s="1186" t="s">
        <v>61</v>
      </c>
      <c r="D3755" s="1186" t="s">
        <v>43</v>
      </c>
      <c r="E3755" s="1186">
        <v>9</v>
      </c>
      <c r="F3755" s="1186">
        <v>22270</v>
      </c>
    </row>
    <row r="3756" spans="1:6" x14ac:dyDescent="0.2">
      <c r="A3756" s="1186" t="s">
        <v>1419</v>
      </c>
      <c r="B3756" s="1186" t="s">
        <v>308</v>
      </c>
      <c r="C3756" s="1186" t="s">
        <v>61</v>
      </c>
      <c r="D3756" s="1186" t="s">
        <v>44</v>
      </c>
      <c r="E3756" s="1186">
        <v>58</v>
      </c>
      <c r="F3756" s="1186">
        <v>151950</v>
      </c>
    </row>
    <row r="3757" spans="1:6" x14ac:dyDescent="0.2">
      <c r="A3757" s="1186" t="s">
        <v>1419</v>
      </c>
      <c r="B3757" s="1186" t="s">
        <v>308</v>
      </c>
      <c r="C3757" s="1186" t="s">
        <v>61</v>
      </c>
      <c r="D3757" s="1186" t="s">
        <v>45</v>
      </c>
      <c r="E3757" s="1186">
        <v>32</v>
      </c>
      <c r="F3757" s="1186">
        <v>179100</v>
      </c>
    </row>
    <row r="3758" spans="1:6" x14ac:dyDescent="0.2">
      <c r="A3758" s="1186" t="s">
        <v>1419</v>
      </c>
      <c r="B3758" s="1186" t="s">
        <v>308</v>
      </c>
      <c r="C3758" s="1186" t="s">
        <v>61</v>
      </c>
      <c r="D3758" s="1186" t="s">
        <v>46</v>
      </c>
      <c r="E3758" s="1186">
        <v>27</v>
      </c>
      <c r="F3758" s="1186">
        <v>115510</v>
      </c>
    </row>
    <row r="3759" spans="1:6" x14ac:dyDescent="0.2">
      <c r="A3759" s="1186" t="s">
        <v>1419</v>
      </c>
      <c r="B3759" s="1186" t="s">
        <v>308</v>
      </c>
      <c r="C3759" s="1186" t="s">
        <v>61</v>
      </c>
      <c r="D3759" s="1186" t="s">
        <v>47</v>
      </c>
      <c r="E3759" s="1186">
        <v>6</v>
      </c>
      <c r="F3759" s="1186">
        <v>22920</v>
      </c>
    </row>
    <row r="3760" spans="1:6" x14ac:dyDescent="0.2">
      <c r="A3760" s="1186" t="s">
        <v>1419</v>
      </c>
      <c r="B3760" s="1186" t="s">
        <v>308</v>
      </c>
      <c r="C3760" s="1186" t="s">
        <v>61</v>
      </c>
      <c r="D3760" s="1186" t="s">
        <v>48</v>
      </c>
      <c r="E3760" s="1186">
        <v>33</v>
      </c>
      <c r="F3760" s="1186">
        <v>112610</v>
      </c>
    </row>
    <row r="3761" spans="1:6" x14ac:dyDescent="0.2">
      <c r="A3761" s="1186" t="s">
        <v>1419</v>
      </c>
      <c r="B3761" s="1186" t="s">
        <v>308</v>
      </c>
      <c r="C3761" s="1186" t="s">
        <v>61</v>
      </c>
      <c r="D3761" s="1186" t="s">
        <v>49</v>
      </c>
      <c r="E3761" s="1186">
        <v>47</v>
      </c>
      <c r="F3761" s="1186">
        <v>320530</v>
      </c>
    </row>
    <row r="3762" spans="1:6" x14ac:dyDescent="0.2">
      <c r="A3762" s="1186" t="s">
        <v>1419</v>
      </c>
      <c r="B3762" s="1186" t="s">
        <v>308</v>
      </c>
      <c r="C3762" s="1186" t="s">
        <v>61</v>
      </c>
      <c r="D3762" s="1186" t="s">
        <v>50</v>
      </c>
      <c r="E3762" s="1186">
        <v>51</v>
      </c>
      <c r="F3762" s="1186">
        <v>94210</v>
      </c>
    </row>
    <row r="3763" spans="1:6" x14ac:dyDescent="0.2">
      <c r="A3763" s="1186" t="s">
        <v>1419</v>
      </c>
      <c r="B3763" s="1186" t="s">
        <v>308</v>
      </c>
      <c r="C3763" s="1186" t="s">
        <v>61</v>
      </c>
      <c r="D3763" s="1186" t="s">
        <v>51</v>
      </c>
      <c r="E3763" s="1186">
        <v>8</v>
      </c>
      <c r="F3763" s="1186">
        <v>88930</v>
      </c>
    </row>
    <row r="3764" spans="1:6" x14ac:dyDescent="0.2">
      <c r="A3764" s="1186" t="s">
        <v>1419</v>
      </c>
      <c r="B3764" s="1186" t="s">
        <v>308</v>
      </c>
      <c r="C3764" s="1186" t="s">
        <v>61</v>
      </c>
      <c r="D3764" s="1186" t="s">
        <v>52</v>
      </c>
      <c r="E3764" s="1186">
        <v>70</v>
      </c>
      <c r="F3764" s="1186">
        <v>183100</v>
      </c>
    </row>
    <row r="3765" spans="1:6" x14ac:dyDescent="0.2">
      <c r="A3765" s="1186" t="s">
        <v>1419</v>
      </c>
      <c r="B3765" s="1186" t="s">
        <v>308</v>
      </c>
      <c r="C3765" s="1186" t="s">
        <v>116</v>
      </c>
      <c r="D3765" s="1186" t="s">
        <v>23</v>
      </c>
      <c r="E3765" s="1186">
        <v>250</v>
      </c>
      <c r="F3765" s="1186">
        <v>228670</v>
      </c>
    </row>
    <row r="3766" spans="1:6" x14ac:dyDescent="0.2">
      <c r="A3766" s="1186" t="s">
        <v>1419</v>
      </c>
      <c r="B3766" s="1186" t="s">
        <v>308</v>
      </c>
      <c r="C3766" s="1186" t="s">
        <v>116</v>
      </c>
      <c r="D3766" s="1186" t="s">
        <v>24</v>
      </c>
      <c r="E3766" s="1186">
        <v>147</v>
      </c>
      <c r="F3766" s="1186">
        <v>261210</v>
      </c>
    </row>
    <row r="3767" spans="1:6" x14ac:dyDescent="0.2">
      <c r="A3767" s="1186" t="s">
        <v>1419</v>
      </c>
      <c r="B3767" s="1186" t="s">
        <v>308</v>
      </c>
      <c r="C3767" s="1186" t="s">
        <v>116</v>
      </c>
      <c r="D3767" s="1186" t="s">
        <v>25</v>
      </c>
      <c r="E3767" s="1186">
        <v>95</v>
      </c>
      <c r="F3767" s="1186">
        <v>116200</v>
      </c>
    </row>
    <row r="3768" spans="1:6" x14ac:dyDescent="0.2">
      <c r="A3768" s="1186" t="s">
        <v>1419</v>
      </c>
      <c r="B3768" s="1186" t="s">
        <v>308</v>
      </c>
      <c r="C3768" s="1186" t="s">
        <v>116</v>
      </c>
      <c r="D3768" s="1186" t="s">
        <v>26</v>
      </c>
      <c r="E3768" s="1186">
        <v>89</v>
      </c>
      <c r="F3768" s="1186">
        <v>85870</v>
      </c>
    </row>
    <row r="3769" spans="1:6" x14ac:dyDescent="0.2">
      <c r="A3769" s="1186" t="s">
        <v>1419</v>
      </c>
      <c r="B3769" s="1186" t="s">
        <v>308</v>
      </c>
      <c r="C3769" s="1186" t="s">
        <v>116</v>
      </c>
      <c r="D3769" s="1186" t="s">
        <v>619</v>
      </c>
      <c r="E3769" s="1186">
        <v>1021</v>
      </c>
      <c r="F3769" s="1186">
        <v>524930</v>
      </c>
    </row>
    <row r="3770" spans="1:6" x14ac:dyDescent="0.2">
      <c r="A3770" s="1186" t="s">
        <v>1419</v>
      </c>
      <c r="B3770" s="1186" t="s">
        <v>308</v>
      </c>
      <c r="C3770" s="1186" t="s">
        <v>116</v>
      </c>
      <c r="D3770" s="1186" t="s">
        <v>27</v>
      </c>
      <c r="E3770" s="1186">
        <v>63</v>
      </c>
      <c r="F3770" s="1186">
        <v>51540</v>
      </c>
    </row>
    <row r="3771" spans="1:6" x14ac:dyDescent="0.2">
      <c r="A3771" s="1186" t="s">
        <v>1419</v>
      </c>
      <c r="B3771" s="1186" t="s">
        <v>308</v>
      </c>
      <c r="C3771" s="1186" t="s">
        <v>116</v>
      </c>
      <c r="D3771" s="1186" t="s">
        <v>28</v>
      </c>
      <c r="E3771" s="1186">
        <v>131</v>
      </c>
      <c r="F3771" s="1186">
        <v>148860</v>
      </c>
    </row>
    <row r="3772" spans="1:6" x14ac:dyDescent="0.2">
      <c r="A3772" s="1186" t="s">
        <v>1419</v>
      </c>
      <c r="B3772" s="1186" t="s">
        <v>308</v>
      </c>
      <c r="C3772" s="1186" t="s">
        <v>116</v>
      </c>
      <c r="D3772" s="1186" t="s">
        <v>29</v>
      </c>
      <c r="E3772" s="1186">
        <v>391</v>
      </c>
      <c r="F3772" s="1186">
        <v>149320</v>
      </c>
    </row>
    <row r="3773" spans="1:6" x14ac:dyDescent="0.2">
      <c r="A3773" s="1186" t="s">
        <v>1419</v>
      </c>
      <c r="B3773" s="1186" t="s">
        <v>308</v>
      </c>
      <c r="C3773" s="1186" t="s">
        <v>116</v>
      </c>
      <c r="D3773" s="1186" t="s">
        <v>30</v>
      </c>
      <c r="E3773" s="1186">
        <v>450</v>
      </c>
      <c r="F3773" s="1186">
        <v>122010</v>
      </c>
    </row>
    <row r="3774" spans="1:6" x14ac:dyDescent="0.2">
      <c r="A3774" s="1186" t="s">
        <v>1419</v>
      </c>
      <c r="B3774" s="1186" t="s">
        <v>308</v>
      </c>
      <c r="C3774" s="1186" t="s">
        <v>116</v>
      </c>
      <c r="D3774" s="1186" t="s">
        <v>31</v>
      </c>
      <c r="E3774" s="1186">
        <v>138</v>
      </c>
      <c r="F3774" s="1186">
        <v>108640</v>
      </c>
    </row>
    <row r="3775" spans="1:6" x14ac:dyDescent="0.2">
      <c r="A3775" s="1186" t="s">
        <v>1419</v>
      </c>
      <c r="B3775" s="1186" t="s">
        <v>308</v>
      </c>
      <c r="C3775" s="1186" t="s">
        <v>116</v>
      </c>
      <c r="D3775" s="1186" t="s">
        <v>32</v>
      </c>
      <c r="E3775" s="1186">
        <v>140</v>
      </c>
      <c r="F3775" s="1186">
        <v>107090</v>
      </c>
    </row>
    <row r="3776" spans="1:6" x14ac:dyDescent="0.2">
      <c r="A3776" s="1186" t="s">
        <v>1419</v>
      </c>
      <c r="B3776" s="1186" t="s">
        <v>308</v>
      </c>
      <c r="C3776" s="1186" t="s">
        <v>116</v>
      </c>
      <c r="D3776" s="1186" t="s">
        <v>33</v>
      </c>
      <c r="E3776" s="1186">
        <v>152</v>
      </c>
      <c r="F3776" s="1186">
        <v>95530</v>
      </c>
    </row>
    <row r="3777" spans="1:6" x14ac:dyDescent="0.2">
      <c r="A3777" s="1186" t="s">
        <v>1419</v>
      </c>
      <c r="B3777" s="1186" t="s">
        <v>308</v>
      </c>
      <c r="C3777" s="1186" t="s">
        <v>116</v>
      </c>
      <c r="D3777" s="1186" t="s">
        <v>34</v>
      </c>
      <c r="E3777" s="1186">
        <v>259</v>
      </c>
      <c r="F3777" s="1186">
        <v>160890</v>
      </c>
    </row>
    <row r="3778" spans="1:6" x14ac:dyDescent="0.2">
      <c r="A3778" s="1186" t="s">
        <v>1419</v>
      </c>
      <c r="B3778" s="1186" t="s">
        <v>308</v>
      </c>
      <c r="C3778" s="1186" t="s">
        <v>116</v>
      </c>
      <c r="D3778" s="1186" t="s">
        <v>35</v>
      </c>
      <c r="E3778" s="1186">
        <v>588</v>
      </c>
      <c r="F3778" s="1186">
        <v>373550</v>
      </c>
    </row>
    <row r="3779" spans="1:6" x14ac:dyDescent="0.2">
      <c r="A3779" s="1186" t="s">
        <v>1419</v>
      </c>
      <c r="B3779" s="1186" t="s">
        <v>308</v>
      </c>
      <c r="C3779" s="1186" t="s">
        <v>116</v>
      </c>
      <c r="D3779" s="1186" t="s">
        <v>36</v>
      </c>
      <c r="E3779" s="1186">
        <v>2449</v>
      </c>
      <c r="F3779" s="1186">
        <v>633120</v>
      </c>
    </row>
    <row r="3780" spans="1:6" x14ac:dyDescent="0.2">
      <c r="A3780" s="1186" t="s">
        <v>1419</v>
      </c>
      <c r="B3780" s="1186" t="s">
        <v>308</v>
      </c>
      <c r="C3780" s="1186" t="s">
        <v>116</v>
      </c>
      <c r="D3780" s="1186" t="s">
        <v>37</v>
      </c>
      <c r="E3780" s="1186">
        <v>155</v>
      </c>
      <c r="F3780" s="1186">
        <v>235830</v>
      </c>
    </row>
    <row r="3781" spans="1:6" x14ac:dyDescent="0.2">
      <c r="A3781" s="1186" t="s">
        <v>1419</v>
      </c>
      <c r="B3781" s="1186" t="s">
        <v>308</v>
      </c>
      <c r="C3781" s="1186" t="s">
        <v>116</v>
      </c>
      <c r="D3781" s="1186" t="s">
        <v>38</v>
      </c>
      <c r="E3781" s="1186">
        <v>392</v>
      </c>
      <c r="F3781" s="1186">
        <v>77800</v>
      </c>
    </row>
    <row r="3782" spans="1:6" x14ac:dyDescent="0.2">
      <c r="A3782" s="1186" t="s">
        <v>1419</v>
      </c>
      <c r="B3782" s="1186" t="s">
        <v>308</v>
      </c>
      <c r="C3782" s="1186" t="s">
        <v>116</v>
      </c>
      <c r="D3782" s="1186" t="s">
        <v>39</v>
      </c>
      <c r="E3782" s="1186">
        <v>193</v>
      </c>
      <c r="F3782" s="1186">
        <v>92460</v>
      </c>
    </row>
    <row r="3783" spans="1:6" x14ac:dyDescent="0.2">
      <c r="A3783" s="1186" t="s">
        <v>1419</v>
      </c>
      <c r="B3783" s="1186" t="s">
        <v>308</v>
      </c>
      <c r="C3783" s="1186" t="s">
        <v>116</v>
      </c>
      <c r="D3783" s="1186" t="s">
        <v>40</v>
      </c>
      <c r="E3783" s="1186">
        <v>49</v>
      </c>
      <c r="F3783" s="1186">
        <v>95820</v>
      </c>
    </row>
    <row r="3784" spans="1:6" x14ac:dyDescent="0.2">
      <c r="A3784" s="1186" t="s">
        <v>1419</v>
      </c>
      <c r="B3784" s="1186" t="s">
        <v>308</v>
      </c>
      <c r="C3784" s="1186" t="s">
        <v>116</v>
      </c>
      <c r="D3784" s="1186" t="s">
        <v>295</v>
      </c>
      <c r="E3784" s="1186">
        <v>8</v>
      </c>
      <c r="F3784" s="1186">
        <v>26720</v>
      </c>
    </row>
    <row r="3785" spans="1:6" x14ac:dyDescent="0.2">
      <c r="A3785" s="1186" t="s">
        <v>1419</v>
      </c>
      <c r="B3785" s="1186" t="s">
        <v>308</v>
      </c>
      <c r="C3785" s="1186" t="s">
        <v>116</v>
      </c>
      <c r="D3785" s="1186" t="s">
        <v>41</v>
      </c>
      <c r="E3785" s="1186">
        <v>567</v>
      </c>
      <c r="F3785" s="1186">
        <v>134740</v>
      </c>
    </row>
    <row r="3786" spans="1:6" x14ac:dyDescent="0.2">
      <c r="A3786" s="1186" t="s">
        <v>1419</v>
      </c>
      <c r="B3786" s="1186" t="s">
        <v>308</v>
      </c>
      <c r="C3786" s="1186" t="s">
        <v>116</v>
      </c>
      <c r="D3786" s="1186" t="s">
        <v>42</v>
      </c>
      <c r="E3786" s="1186">
        <v>1303</v>
      </c>
      <c r="F3786" s="1186">
        <v>341370</v>
      </c>
    </row>
    <row r="3787" spans="1:6" x14ac:dyDescent="0.2">
      <c r="A3787" s="1186" t="s">
        <v>1419</v>
      </c>
      <c r="B3787" s="1186" t="s">
        <v>308</v>
      </c>
      <c r="C3787" s="1186" t="s">
        <v>116</v>
      </c>
      <c r="D3787" s="1186" t="s">
        <v>43</v>
      </c>
      <c r="E3787" s="1186">
        <v>1</v>
      </c>
      <c r="F3787" s="1186">
        <v>22270</v>
      </c>
    </row>
    <row r="3788" spans="1:6" x14ac:dyDescent="0.2">
      <c r="A3788" s="1186" t="s">
        <v>1419</v>
      </c>
      <c r="B3788" s="1186" t="s">
        <v>308</v>
      </c>
      <c r="C3788" s="1186" t="s">
        <v>116</v>
      </c>
      <c r="D3788" s="1186" t="s">
        <v>44</v>
      </c>
      <c r="E3788" s="1186">
        <v>86</v>
      </c>
      <c r="F3788" s="1186">
        <v>151950</v>
      </c>
    </row>
    <row r="3789" spans="1:6" x14ac:dyDescent="0.2">
      <c r="A3789" s="1186" t="s">
        <v>1419</v>
      </c>
      <c r="B3789" s="1186" t="s">
        <v>308</v>
      </c>
      <c r="C3789" s="1186" t="s">
        <v>116</v>
      </c>
      <c r="D3789" s="1186" t="s">
        <v>45</v>
      </c>
      <c r="E3789" s="1186">
        <v>474</v>
      </c>
      <c r="F3789" s="1186">
        <v>179100</v>
      </c>
    </row>
    <row r="3790" spans="1:6" x14ac:dyDescent="0.2">
      <c r="A3790" s="1186" t="s">
        <v>1419</v>
      </c>
      <c r="B3790" s="1186" t="s">
        <v>308</v>
      </c>
      <c r="C3790" s="1186" t="s">
        <v>116</v>
      </c>
      <c r="D3790" s="1186" t="s">
        <v>46</v>
      </c>
      <c r="E3790" s="1186">
        <v>85</v>
      </c>
      <c r="F3790" s="1186">
        <v>115510</v>
      </c>
    </row>
    <row r="3791" spans="1:6" x14ac:dyDescent="0.2">
      <c r="A3791" s="1186" t="s">
        <v>1419</v>
      </c>
      <c r="B3791" s="1186" t="s">
        <v>308</v>
      </c>
      <c r="C3791" s="1186" t="s">
        <v>116</v>
      </c>
      <c r="D3791" s="1186" t="s">
        <v>47</v>
      </c>
      <c r="E3791" s="1186">
        <v>3</v>
      </c>
      <c r="F3791" s="1186">
        <v>22920</v>
      </c>
    </row>
    <row r="3792" spans="1:6" x14ac:dyDescent="0.2">
      <c r="A3792" s="1186" t="s">
        <v>1419</v>
      </c>
      <c r="B3792" s="1186" t="s">
        <v>308</v>
      </c>
      <c r="C3792" s="1186" t="s">
        <v>116</v>
      </c>
      <c r="D3792" s="1186" t="s">
        <v>48</v>
      </c>
      <c r="E3792" s="1186">
        <v>227</v>
      </c>
      <c r="F3792" s="1186">
        <v>112610</v>
      </c>
    </row>
    <row r="3793" spans="1:6" x14ac:dyDescent="0.2">
      <c r="A3793" s="1186" t="s">
        <v>1419</v>
      </c>
      <c r="B3793" s="1186" t="s">
        <v>308</v>
      </c>
      <c r="C3793" s="1186" t="s">
        <v>116</v>
      </c>
      <c r="D3793" s="1186" t="s">
        <v>49</v>
      </c>
      <c r="E3793" s="1186">
        <v>746</v>
      </c>
      <c r="F3793" s="1186">
        <v>320530</v>
      </c>
    </row>
    <row r="3794" spans="1:6" x14ac:dyDescent="0.2">
      <c r="A3794" s="1186" t="s">
        <v>1419</v>
      </c>
      <c r="B3794" s="1186" t="s">
        <v>308</v>
      </c>
      <c r="C3794" s="1186" t="s">
        <v>116</v>
      </c>
      <c r="D3794" s="1186" t="s">
        <v>50</v>
      </c>
      <c r="E3794" s="1186">
        <v>67</v>
      </c>
      <c r="F3794" s="1186">
        <v>94210</v>
      </c>
    </row>
    <row r="3795" spans="1:6" x14ac:dyDescent="0.2">
      <c r="A3795" s="1186" t="s">
        <v>1419</v>
      </c>
      <c r="B3795" s="1186" t="s">
        <v>308</v>
      </c>
      <c r="C3795" s="1186" t="s">
        <v>116</v>
      </c>
      <c r="D3795" s="1186" t="s">
        <v>51</v>
      </c>
      <c r="E3795" s="1186">
        <v>285</v>
      </c>
      <c r="F3795" s="1186">
        <v>88930</v>
      </c>
    </row>
    <row r="3796" spans="1:6" x14ac:dyDescent="0.2">
      <c r="A3796" s="1186" t="s">
        <v>1419</v>
      </c>
      <c r="B3796" s="1186" t="s">
        <v>308</v>
      </c>
      <c r="C3796" s="1186" t="s">
        <v>116</v>
      </c>
      <c r="D3796" s="1186" t="s">
        <v>52</v>
      </c>
      <c r="E3796" s="1186">
        <v>648</v>
      </c>
      <c r="F3796" s="1186">
        <v>183100</v>
      </c>
    </row>
    <row r="3797" spans="1:6" x14ac:dyDescent="0.2">
      <c r="A3797" s="1186" t="s">
        <v>1572</v>
      </c>
      <c r="B3797" s="1186" t="s">
        <v>309</v>
      </c>
      <c r="C3797" s="1186" t="s">
        <v>61</v>
      </c>
      <c r="D3797" s="1186" t="s">
        <v>23</v>
      </c>
      <c r="E3797" s="1186">
        <v>2</v>
      </c>
      <c r="F3797" s="1186">
        <v>229060</v>
      </c>
    </row>
    <row r="3798" spans="1:6" x14ac:dyDescent="0.2">
      <c r="A3798" s="1186" t="s">
        <v>1572</v>
      </c>
      <c r="B3798" s="1186" t="s">
        <v>309</v>
      </c>
      <c r="C3798" s="1186" t="s">
        <v>61</v>
      </c>
      <c r="D3798" s="1186" t="s">
        <v>24</v>
      </c>
      <c r="E3798" s="1186">
        <v>45</v>
      </c>
      <c r="F3798" s="1186">
        <v>260780</v>
      </c>
    </row>
    <row r="3799" spans="1:6" x14ac:dyDescent="0.2">
      <c r="A3799" s="1186" t="s">
        <v>1572</v>
      </c>
      <c r="B3799" s="1186" t="s">
        <v>309</v>
      </c>
      <c r="C3799" s="1186" t="s">
        <v>61</v>
      </c>
      <c r="D3799" s="1186" t="s">
        <v>25</v>
      </c>
      <c r="E3799" s="1186">
        <v>21</v>
      </c>
      <c r="F3799" s="1186">
        <v>115820</v>
      </c>
    </row>
    <row r="3800" spans="1:6" x14ac:dyDescent="0.2">
      <c r="A3800" s="1186" t="s">
        <v>1572</v>
      </c>
      <c r="B3800" s="1186" t="s">
        <v>309</v>
      </c>
      <c r="C3800" s="1186" t="s">
        <v>61</v>
      </c>
      <c r="D3800" s="1186" t="s">
        <v>26</v>
      </c>
      <c r="E3800" s="1186">
        <v>44</v>
      </c>
      <c r="F3800" s="1186">
        <v>85430</v>
      </c>
    </row>
    <row r="3801" spans="1:6" x14ac:dyDescent="0.2">
      <c r="A3801" s="1186" t="s">
        <v>1572</v>
      </c>
      <c r="B3801" s="1186" t="s">
        <v>309</v>
      </c>
      <c r="C3801" s="1186" t="s">
        <v>61</v>
      </c>
      <c r="D3801" s="1186" t="s">
        <v>619</v>
      </c>
      <c r="E3801" s="1186">
        <v>13</v>
      </c>
      <c r="F3801" s="1186">
        <v>527620</v>
      </c>
    </row>
    <row r="3802" spans="1:6" x14ac:dyDescent="0.2">
      <c r="A3802" s="1186" t="s">
        <v>1572</v>
      </c>
      <c r="B3802" s="1186" t="s">
        <v>309</v>
      </c>
      <c r="C3802" s="1186" t="s">
        <v>61</v>
      </c>
      <c r="D3802" s="1186" t="s">
        <v>27</v>
      </c>
      <c r="E3802" s="1186">
        <v>3</v>
      </c>
      <c r="F3802" s="1186">
        <v>51290</v>
      </c>
    </row>
    <row r="3803" spans="1:6" x14ac:dyDescent="0.2">
      <c r="A3803" s="1186" t="s">
        <v>1572</v>
      </c>
      <c r="B3803" s="1186" t="s">
        <v>309</v>
      </c>
      <c r="C3803" s="1186" t="s">
        <v>61</v>
      </c>
      <c r="D3803" s="1186" t="s">
        <v>28</v>
      </c>
      <c r="E3803" s="1186">
        <v>46</v>
      </c>
      <c r="F3803" s="1186">
        <v>148290</v>
      </c>
    </row>
    <row r="3804" spans="1:6" x14ac:dyDescent="0.2">
      <c r="A3804" s="1186" t="s">
        <v>1572</v>
      </c>
      <c r="B3804" s="1186" t="s">
        <v>309</v>
      </c>
      <c r="C3804" s="1186" t="s">
        <v>61</v>
      </c>
      <c r="D3804" s="1186" t="s">
        <v>29</v>
      </c>
      <c r="E3804" s="1186">
        <v>4</v>
      </c>
      <c r="F3804" s="1186">
        <v>148820</v>
      </c>
    </row>
    <row r="3805" spans="1:6" x14ac:dyDescent="0.2">
      <c r="A3805" s="1186" t="s">
        <v>1572</v>
      </c>
      <c r="B3805" s="1186" t="s">
        <v>309</v>
      </c>
      <c r="C3805" s="1186" t="s">
        <v>61</v>
      </c>
      <c r="D3805" s="1186" t="s">
        <v>30</v>
      </c>
      <c r="E3805" s="1186">
        <v>5</v>
      </c>
      <c r="F3805" s="1186">
        <v>121600</v>
      </c>
    </row>
    <row r="3806" spans="1:6" x14ac:dyDescent="0.2">
      <c r="A3806" s="1186" t="s">
        <v>1572</v>
      </c>
      <c r="B3806" s="1186" t="s">
        <v>309</v>
      </c>
      <c r="C3806" s="1186" t="s">
        <v>61</v>
      </c>
      <c r="D3806" s="1186" t="s">
        <v>31</v>
      </c>
      <c r="E3806" s="1186">
        <v>5</v>
      </c>
      <c r="F3806" s="1186">
        <v>108750</v>
      </c>
    </row>
    <row r="3807" spans="1:6" x14ac:dyDescent="0.2">
      <c r="A3807" s="1186" t="s">
        <v>1572</v>
      </c>
      <c r="B3807" s="1186" t="s">
        <v>309</v>
      </c>
      <c r="C3807" s="1186" t="s">
        <v>61</v>
      </c>
      <c r="D3807" s="1186" t="s">
        <v>32</v>
      </c>
      <c r="E3807" s="1186">
        <v>10</v>
      </c>
      <c r="F3807" s="1186">
        <v>107900</v>
      </c>
    </row>
    <row r="3808" spans="1:6" x14ac:dyDescent="0.2">
      <c r="A3808" s="1186" t="s">
        <v>1572</v>
      </c>
      <c r="B3808" s="1186" t="s">
        <v>309</v>
      </c>
      <c r="C3808" s="1186" t="s">
        <v>61</v>
      </c>
      <c r="D3808" s="1186" t="s">
        <v>33</v>
      </c>
      <c r="E3808" s="1186">
        <v>6</v>
      </c>
      <c r="F3808" s="1186">
        <v>96060</v>
      </c>
    </row>
    <row r="3809" spans="1:6" x14ac:dyDescent="0.2">
      <c r="A3809" s="1186" t="s">
        <v>1572</v>
      </c>
      <c r="B3809" s="1186" t="s">
        <v>309</v>
      </c>
      <c r="C3809" s="1186" t="s">
        <v>61</v>
      </c>
      <c r="D3809" s="1186" t="s">
        <v>34</v>
      </c>
      <c r="E3809" s="1186">
        <v>4</v>
      </c>
      <c r="F3809" s="1186">
        <v>160560</v>
      </c>
    </row>
    <row r="3810" spans="1:6" x14ac:dyDescent="0.2">
      <c r="A3810" s="1186" t="s">
        <v>1572</v>
      </c>
      <c r="B3810" s="1186" t="s">
        <v>309</v>
      </c>
      <c r="C3810" s="1186" t="s">
        <v>61</v>
      </c>
      <c r="D3810" s="1186" t="s">
        <v>35</v>
      </c>
      <c r="E3810" s="1186">
        <v>25</v>
      </c>
      <c r="F3810" s="1186">
        <v>374130</v>
      </c>
    </row>
    <row r="3811" spans="1:6" x14ac:dyDescent="0.2">
      <c r="A3811" s="1186" t="s">
        <v>1572</v>
      </c>
      <c r="B3811" s="1186" t="s">
        <v>309</v>
      </c>
      <c r="C3811" s="1186" t="s">
        <v>61</v>
      </c>
      <c r="D3811" s="1186" t="s">
        <v>36</v>
      </c>
      <c r="E3811" s="1186">
        <v>2</v>
      </c>
      <c r="F3811" s="1186">
        <v>635640</v>
      </c>
    </row>
    <row r="3812" spans="1:6" x14ac:dyDescent="0.2">
      <c r="A3812" s="1186" t="s">
        <v>1572</v>
      </c>
      <c r="B3812" s="1186" t="s">
        <v>309</v>
      </c>
      <c r="C3812" s="1186" t="s">
        <v>61</v>
      </c>
      <c r="D3812" s="1186" t="s">
        <v>37</v>
      </c>
      <c r="E3812" s="1186">
        <v>138</v>
      </c>
      <c r="F3812" s="1186">
        <v>235430</v>
      </c>
    </row>
    <row r="3813" spans="1:6" x14ac:dyDescent="0.2">
      <c r="A3813" s="1186" t="s">
        <v>1572</v>
      </c>
      <c r="B3813" s="1186" t="s">
        <v>309</v>
      </c>
      <c r="C3813" s="1186" t="s">
        <v>61</v>
      </c>
      <c r="D3813" s="1186" t="s">
        <v>38</v>
      </c>
      <c r="E3813" s="1186">
        <v>3</v>
      </c>
      <c r="F3813" s="1186">
        <v>77060</v>
      </c>
    </row>
    <row r="3814" spans="1:6" x14ac:dyDescent="0.2">
      <c r="A3814" s="1186" t="s">
        <v>1572</v>
      </c>
      <c r="B3814" s="1186" t="s">
        <v>309</v>
      </c>
      <c r="C3814" s="1186" t="s">
        <v>61</v>
      </c>
      <c r="D3814" s="1186" t="s">
        <v>39</v>
      </c>
      <c r="E3814" s="1186">
        <v>6</v>
      </c>
      <c r="F3814" s="1186">
        <v>93150</v>
      </c>
    </row>
    <row r="3815" spans="1:6" x14ac:dyDescent="0.2">
      <c r="A3815" s="1186" t="s">
        <v>1572</v>
      </c>
      <c r="B3815" s="1186" t="s">
        <v>309</v>
      </c>
      <c r="C3815" s="1186" t="s">
        <v>61</v>
      </c>
      <c r="D3815" s="1186" t="s">
        <v>40</v>
      </c>
      <c r="E3815" s="1186">
        <v>20</v>
      </c>
      <c r="F3815" s="1186">
        <v>95710</v>
      </c>
    </row>
    <row r="3816" spans="1:6" x14ac:dyDescent="0.2">
      <c r="A3816" s="1186" t="s">
        <v>1572</v>
      </c>
      <c r="B3816" s="1186" t="s">
        <v>309</v>
      </c>
      <c r="C3816" s="1186" t="s">
        <v>61</v>
      </c>
      <c r="D3816" s="1186" t="s">
        <v>295</v>
      </c>
      <c r="E3816" s="1186">
        <v>36</v>
      </c>
      <c r="F3816" s="1186">
        <v>26500</v>
      </c>
    </row>
    <row r="3817" spans="1:6" x14ac:dyDescent="0.2">
      <c r="A3817" s="1186" t="s">
        <v>1572</v>
      </c>
      <c r="B3817" s="1186" t="s">
        <v>309</v>
      </c>
      <c r="C3817" s="1186" t="s">
        <v>61</v>
      </c>
      <c r="D3817" s="1186" t="s">
        <v>41</v>
      </c>
      <c r="E3817" s="1186">
        <v>12</v>
      </c>
      <c r="F3817" s="1186">
        <v>134250</v>
      </c>
    </row>
    <row r="3818" spans="1:6" x14ac:dyDescent="0.2">
      <c r="A3818" s="1186" t="s">
        <v>1572</v>
      </c>
      <c r="B3818" s="1186" t="s">
        <v>309</v>
      </c>
      <c r="C3818" s="1186" t="s">
        <v>61</v>
      </c>
      <c r="D3818" s="1186" t="s">
        <v>42</v>
      </c>
      <c r="E3818" s="1186">
        <v>6</v>
      </c>
      <c r="F3818" s="1186">
        <v>341140</v>
      </c>
    </row>
    <row r="3819" spans="1:6" x14ac:dyDescent="0.2">
      <c r="A3819" s="1186" t="s">
        <v>1572</v>
      </c>
      <c r="B3819" s="1186" t="s">
        <v>309</v>
      </c>
      <c r="C3819" s="1186" t="s">
        <v>61</v>
      </c>
      <c r="D3819" s="1186" t="s">
        <v>43</v>
      </c>
      <c r="E3819" s="1186">
        <v>5</v>
      </c>
      <c r="F3819" s="1186">
        <v>22400</v>
      </c>
    </row>
    <row r="3820" spans="1:6" x14ac:dyDescent="0.2">
      <c r="A3820" s="1186" t="s">
        <v>1572</v>
      </c>
      <c r="B3820" s="1186" t="s">
        <v>309</v>
      </c>
      <c r="C3820" s="1186" t="s">
        <v>61</v>
      </c>
      <c r="D3820" s="1186" t="s">
        <v>44</v>
      </c>
      <c r="E3820" s="1186">
        <v>41</v>
      </c>
      <c r="F3820" s="1186">
        <v>151910</v>
      </c>
    </row>
    <row r="3821" spans="1:6" x14ac:dyDescent="0.2">
      <c r="A3821" s="1186" t="s">
        <v>1572</v>
      </c>
      <c r="B3821" s="1186" t="s">
        <v>309</v>
      </c>
      <c r="C3821" s="1186" t="s">
        <v>61</v>
      </c>
      <c r="D3821" s="1186" t="s">
        <v>45</v>
      </c>
      <c r="E3821" s="1186">
        <v>3</v>
      </c>
      <c r="F3821" s="1186">
        <v>179390</v>
      </c>
    </row>
    <row r="3822" spans="1:6" x14ac:dyDescent="0.2">
      <c r="A3822" s="1186" t="s">
        <v>1572</v>
      </c>
      <c r="B3822" s="1186" t="s">
        <v>309</v>
      </c>
      <c r="C3822" s="1186" t="s">
        <v>61</v>
      </c>
      <c r="D3822" s="1186" t="s">
        <v>46</v>
      </c>
      <c r="E3822" s="1186">
        <v>43</v>
      </c>
      <c r="F3822" s="1186">
        <v>115240</v>
      </c>
    </row>
    <row r="3823" spans="1:6" x14ac:dyDescent="0.2">
      <c r="A3823" s="1186" t="s">
        <v>1572</v>
      </c>
      <c r="B3823" s="1186" t="s">
        <v>309</v>
      </c>
      <c r="C3823" s="1186" t="s">
        <v>61</v>
      </c>
      <c r="D3823" s="1186" t="s">
        <v>47</v>
      </c>
      <c r="E3823" s="1186">
        <v>14</v>
      </c>
      <c r="F3823" s="1186">
        <v>22870</v>
      </c>
    </row>
    <row r="3824" spans="1:6" x14ac:dyDescent="0.2">
      <c r="A3824" s="1186" t="s">
        <v>1572</v>
      </c>
      <c r="B3824" s="1186" t="s">
        <v>309</v>
      </c>
      <c r="C3824" s="1186" t="s">
        <v>61</v>
      </c>
      <c r="D3824" s="1186" t="s">
        <v>48</v>
      </c>
      <c r="E3824" s="1186">
        <v>9</v>
      </c>
      <c r="F3824" s="1186">
        <v>112140</v>
      </c>
    </row>
    <row r="3825" spans="1:6" x14ac:dyDescent="0.2">
      <c r="A3825" s="1186" t="s">
        <v>1572</v>
      </c>
      <c r="B3825" s="1186" t="s">
        <v>309</v>
      </c>
      <c r="C3825" s="1186" t="s">
        <v>61</v>
      </c>
      <c r="D3825" s="1186" t="s">
        <v>49</v>
      </c>
      <c r="E3825" s="1186">
        <v>9</v>
      </c>
      <c r="F3825" s="1186">
        <v>320820</v>
      </c>
    </row>
    <row r="3826" spans="1:6" x14ac:dyDescent="0.2">
      <c r="A3826" s="1186" t="s">
        <v>1572</v>
      </c>
      <c r="B3826" s="1186" t="s">
        <v>309</v>
      </c>
      <c r="C3826" s="1186" t="s">
        <v>61</v>
      </c>
      <c r="D3826" s="1186" t="s">
        <v>50</v>
      </c>
      <c r="E3826" s="1186">
        <v>13</v>
      </c>
      <c r="F3826" s="1186">
        <v>94080</v>
      </c>
    </row>
    <row r="3827" spans="1:6" x14ac:dyDescent="0.2">
      <c r="A3827" s="1186" t="s">
        <v>1572</v>
      </c>
      <c r="B3827" s="1186" t="s">
        <v>309</v>
      </c>
      <c r="C3827" s="1186" t="s">
        <v>61</v>
      </c>
      <c r="D3827" s="1186" t="s">
        <v>51</v>
      </c>
      <c r="E3827" s="1186">
        <v>3</v>
      </c>
      <c r="F3827" s="1186">
        <v>88340</v>
      </c>
    </row>
    <row r="3828" spans="1:6" x14ac:dyDescent="0.2">
      <c r="A3828" s="1186" t="s">
        <v>1572</v>
      </c>
      <c r="B3828" s="1186" t="s">
        <v>309</v>
      </c>
      <c r="C3828" s="1186" t="s">
        <v>61</v>
      </c>
      <c r="D3828" s="1186" t="s">
        <v>52</v>
      </c>
      <c r="E3828" s="1186">
        <v>4</v>
      </c>
      <c r="F3828" s="1186">
        <v>183820</v>
      </c>
    </row>
    <row r="3829" spans="1:6" x14ac:dyDescent="0.2">
      <c r="A3829" s="1186" t="s">
        <v>1572</v>
      </c>
      <c r="B3829" s="1186" t="s">
        <v>309</v>
      </c>
      <c r="C3829" s="1186" t="s">
        <v>116</v>
      </c>
      <c r="D3829" s="1186" t="s">
        <v>46</v>
      </c>
      <c r="E3829" s="1186">
        <v>1</v>
      </c>
      <c r="F3829" s="1186">
        <v>115240</v>
      </c>
    </row>
    <row r="3830" spans="1:6" x14ac:dyDescent="0.2">
      <c r="A3830" s="1186" t="s">
        <v>1572</v>
      </c>
      <c r="B3830" s="1186" t="s">
        <v>823</v>
      </c>
      <c r="C3830" s="1186" t="s">
        <v>61</v>
      </c>
      <c r="D3830" s="1186" t="s">
        <v>23</v>
      </c>
      <c r="E3830" s="1186">
        <v>222</v>
      </c>
      <c r="F3830" s="1186">
        <v>229060</v>
      </c>
    </row>
    <row r="3831" spans="1:6" x14ac:dyDescent="0.2">
      <c r="A3831" s="1186" t="s">
        <v>1572</v>
      </c>
      <c r="B3831" s="1186" t="s">
        <v>823</v>
      </c>
      <c r="C3831" s="1186" t="s">
        <v>61</v>
      </c>
      <c r="D3831" s="1186" t="s">
        <v>24</v>
      </c>
      <c r="E3831" s="1186">
        <v>164</v>
      </c>
      <c r="F3831" s="1186">
        <v>260780</v>
      </c>
    </row>
    <row r="3832" spans="1:6" x14ac:dyDescent="0.2">
      <c r="A3832" s="1186" t="s">
        <v>1572</v>
      </c>
      <c r="B3832" s="1186" t="s">
        <v>823</v>
      </c>
      <c r="C3832" s="1186" t="s">
        <v>61</v>
      </c>
      <c r="D3832" s="1186" t="s">
        <v>25</v>
      </c>
      <c r="E3832" s="1186">
        <v>74</v>
      </c>
      <c r="F3832" s="1186">
        <v>115820</v>
      </c>
    </row>
    <row r="3833" spans="1:6" x14ac:dyDescent="0.2">
      <c r="A3833" s="1186" t="s">
        <v>1572</v>
      </c>
      <c r="B3833" s="1186" t="s">
        <v>823</v>
      </c>
      <c r="C3833" s="1186" t="s">
        <v>61</v>
      </c>
      <c r="D3833" s="1186" t="s">
        <v>26</v>
      </c>
      <c r="E3833" s="1186">
        <v>84</v>
      </c>
      <c r="F3833" s="1186">
        <v>85430</v>
      </c>
    </row>
    <row r="3834" spans="1:6" x14ac:dyDescent="0.2">
      <c r="A3834" s="1186" t="s">
        <v>1572</v>
      </c>
      <c r="B3834" s="1186" t="s">
        <v>823</v>
      </c>
      <c r="C3834" s="1186" t="s">
        <v>61</v>
      </c>
      <c r="D3834" s="1186" t="s">
        <v>619</v>
      </c>
      <c r="E3834" s="1186">
        <v>369</v>
      </c>
      <c r="F3834" s="1186">
        <v>527620</v>
      </c>
    </row>
    <row r="3835" spans="1:6" x14ac:dyDescent="0.2">
      <c r="A3835" s="1186" t="s">
        <v>1572</v>
      </c>
      <c r="B3835" s="1186" t="s">
        <v>823</v>
      </c>
      <c r="C3835" s="1186" t="s">
        <v>61</v>
      </c>
      <c r="D3835" s="1186" t="s">
        <v>27</v>
      </c>
      <c r="E3835" s="1186">
        <v>54</v>
      </c>
      <c r="F3835" s="1186">
        <v>51290</v>
      </c>
    </row>
    <row r="3836" spans="1:6" x14ac:dyDescent="0.2">
      <c r="A3836" s="1186" t="s">
        <v>1572</v>
      </c>
      <c r="B3836" s="1186" t="s">
        <v>823</v>
      </c>
      <c r="C3836" s="1186" t="s">
        <v>61</v>
      </c>
      <c r="D3836" s="1186" t="s">
        <v>28</v>
      </c>
      <c r="E3836" s="1186">
        <v>69</v>
      </c>
      <c r="F3836" s="1186">
        <v>148290</v>
      </c>
    </row>
    <row r="3837" spans="1:6" x14ac:dyDescent="0.2">
      <c r="A3837" s="1186" t="s">
        <v>1572</v>
      </c>
      <c r="B3837" s="1186" t="s">
        <v>823</v>
      </c>
      <c r="C3837" s="1186" t="s">
        <v>61</v>
      </c>
      <c r="D3837" s="1186" t="s">
        <v>29</v>
      </c>
      <c r="E3837" s="1186">
        <v>186</v>
      </c>
      <c r="F3837" s="1186">
        <v>148820</v>
      </c>
    </row>
    <row r="3838" spans="1:6" x14ac:dyDescent="0.2">
      <c r="A3838" s="1186" t="s">
        <v>1572</v>
      </c>
      <c r="B3838" s="1186" t="s">
        <v>823</v>
      </c>
      <c r="C3838" s="1186" t="s">
        <v>61</v>
      </c>
      <c r="D3838" s="1186" t="s">
        <v>30</v>
      </c>
      <c r="E3838" s="1186">
        <v>95</v>
      </c>
      <c r="F3838" s="1186">
        <v>121600</v>
      </c>
    </row>
    <row r="3839" spans="1:6" x14ac:dyDescent="0.2">
      <c r="A3839" s="1186" t="s">
        <v>1572</v>
      </c>
      <c r="B3839" s="1186" t="s">
        <v>823</v>
      </c>
      <c r="C3839" s="1186" t="s">
        <v>61</v>
      </c>
      <c r="D3839" s="1186" t="s">
        <v>31</v>
      </c>
      <c r="E3839" s="1186">
        <v>65</v>
      </c>
      <c r="F3839" s="1186">
        <v>108750</v>
      </c>
    </row>
    <row r="3840" spans="1:6" x14ac:dyDescent="0.2">
      <c r="A3840" s="1186" t="s">
        <v>1572</v>
      </c>
      <c r="B3840" s="1186" t="s">
        <v>823</v>
      </c>
      <c r="C3840" s="1186" t="s">
        <v>61</v>
      </c>
      <c r="D3840" s="1186" t="s">
        <v>32</v>
      </c>
      <c r="E3840" s="1186">
        <v>46</v>
      </c>
      <c r="F3840" s="1186">
        <v>107900</v>
      </c>
    </row>
    <row r="3841" spans="1:6" x14ac:dyDescent="0.2">
      <c r="A3841" s="1186" t="s">
        <v>1572</v>
      </c>
      <c r="B3841" s="1186" t="s">
        <v>823</v>
      </c>
      <c r="C3841" s="1186" t="s">
        <v>61</v>
      </c>
      <c r="D3841" s="1186" t="s">
        <v>33</v>
      </c>
      <c r="E3841" s="1186">
        <v>49</v>
      </c>
      <c r="F3841" s="1186">
        <v>96060</v>
      </c>
    </row>
    <row r="3842" spans="1:6" x14ac:dyDescent="0.2">
      <c r="A3842" s="1186" t="s">
        <v>1572</v>
      </c>
      <c r="B3842" s="1186" t="s">
        <v>823</v>
      </c>
      <c r="C3842" s="1186" t="s">
        <v>61</v>
      </c>
      <c r="D3842" s="1186" t="s">
        <v>34</v>
      </c>
      <c r="E3842" s="1186">
        <v>99</v>
      </c>
      <c r="F3842" s="1186">
        <v>160560</v>
      </c>
    </row>
    <row r="3843" spans="1:6" x14ac:dyDescent="0.2">
      <c r="A3843" s="1186" t="s">
        <v>1572</v>
      </c>
      <c r="B3843" s="1186" t="s">
        <v>823</v>
      </c>
      <c r="C3843" s="1186" t="s">
        <v>61</v>
      </c>
      <c r="D3843" s="1186" t="s">
        <v>35</v>
      </c>
      <c r="E3843" s="1186">
        <v>227</v>
      </c>
      <c r="F3843" s="1186">
        <v>374130</v>
      </c>
    </row>
    <row r="3844" spans="1:6" x14ac:dyDescent="0.2">
      <c r="A3844" s="1186" t="s">
        <v>1572</v>
      </c>
      <c r="B3844" s="1186" t="s">
        <v>823</v>
      </c>
      <c r="C3844" s="1186" t="s">
        <v>61</v>
      </c>
      <c r="D3844" s="1186" t="s">
        <v>36</v>
      </c>
      <c r="E3844" s="1186">
        <v>685</v>
      </c>
      <c r="F3844" s="1186">
        <v>635640</v>
      </c>
    </row>
    <row r="3845" spans="1:6" x14ac:dyDescent="0.2">
      <c r="A3845" s="1186" t="s">
        <v>1572</v>
      </c>
      <c r="B3845" s="1186" t="s">
        <v>823</v>
      </c>
      <c r="C3845" s="1186" t="s">
        <v>61</v>
      </c>
      <c r="D3845" s="1186" t="s">
        <v>37</v>
      </c>
      <c r="E3845" s="1186">
        <v>126</v>
      </c>
      <c r="F3845" s="1186">
        <v>235430</v>
      </c>
    </row>
    <row r="3846" spans="1:6" x14ac:dyDescent="0.2">
      <c r="A3846" s="1186" t="s">
        <v>1572</v>
      </c>
      <c r="B3846" s="1186" t="s">
        <v>823</v>
      </c>
      <c r="C3846" s="1186" t="s">
        <v>61</v>
      </c>
      <c r="D3846" s="1186" t="s">
        <v>38</v>
      </c>
      <c r="E3846" s="1186">
        <v>88</v>
      </c>
      <c r="F3846" s="1186">
        <v>77060</v>
      </c>
    </row>
    <row r="3847" spans="1:6" x14ac:dyDescent="0.2">
      <c r="A3847" s="1186" t="s">
        <v>1572</v>
      </c>
      <c r="B3847" s="1186" t="s">
        <v>823</v>
      </c>
      <c r="C3847" s="1186" t="s">
        <v>61</v>
      </c>
      <c r="D3847" s="1186" t="s">
        <v>39</v>
      </c>
      <c r="E3847" s="1186">
        <v>57</v>
      </c>
      <c r="F3847" s="1186">
        <v>93150</v>
      </c>
    </row>
    <row r="3848" spans="1:6" x14ac:dyDescent="0.2">
      <c r="A3848" s="1186" t="s">
        <v>1572</v>
      </c>
      <c r="B3848" s="1186" t="s">
        <v>823</v>
      </c>
      <c r="C3848" s="1186" t="s">
        <v>61</v>
      </c>
      <c r="D3848" s="1186" t="s">
        <v>40</v>
      </c>
      <c r="E3848" s="1186">
        <v>50</v>
      </c>
      <c r="F3848" s="1186">
        <v>95710</v>
      </c>
    </row>
    <row r="3849" spans="1:6" x14ac:dyDescent="0.2">
      <c r="A3849" s="1186" t="s">
        <v>1572</v>
      </c>
      <c r="B3849" s="1186" t="s">
        <v>823</v>
      </c>
      <c r="C3849" s="1186" t="s">
        <v>61</v>
      </c>
      <c r="D3849" s="1186" t="s">
        <v>295</v>
      </c>
      <c r="E3849" s="1186">
        <v>21</v>
      </c>
      <c r="F3849" s="1186">
        <v>26500</v>
      </c>
    </row>
    <row r="3850" spans="1:6" x14ac:dyDescent="0.2">
      <c r="A3850" s="1186" t="s">
        <v>1572</v>
      </c>
      <c r="B3850" s="1186" t="s">
        <v>823</v>
      </c>
      <c r="C3850" s="1186" t="s">
        <v>61</v>
      </c>
      <c r="D3850" s="1186" t="s">
        <v>41</v>
      </c>
      <c r="E3850" s="1186">
        <v>136</v>
      </c>
      <c r="F3850" s="1186">
        <v>134250</v>
      </c>
    </row>
    <row r="3851" spans="1:6" x14ac:dyDescent="0.2">
      <c r="A3851" s="1186" t="s">
        <v>1572</v>
      </c>
      <c r="B3851" s="1186" t="s">
        <v>823</v>
      </c>
      <c r="C3851" s="1186" t="s">
        <v>61</v>
      </c>
      <c r="D3851" s="1186" t="s">
        <v>42</v>
      </c>
      <c r="E3851" s="1186">
        <v>279</v>
      </c>
      <c r="F3851" s="1186">
        <v>341140</v>
      </c>
    </row>
    <row r="3852" spans="1:6" x14ac:dyDescent="0.2">
      <c r="A3852" s="1186" t="s">
        <v>1572</v>
      </c>
      <c r="B3852" s="1186" t="s">
        <v>823</v>
      </c>
      <c r="C3852" s="1186" t="s">
        <v>61</v>
      </c>
      <c r="D3852" s="1186" t="s">
        <v>43</v>
      </c>
      <c r="E3852" s="1186">
        <v>4</v>
      </c>
      <c r="F3852" s="1186">
        <v>22400</v>
      </c>
    </row>
    <row r="3853" spans="1:6" x14ac:dyDescent="0.2">
      <c r="A3853" s="1186" t="s">
        <v>1572</v>
      </c>
      <c r="B3853" s="1186" t="s">
        <v>823</v>
      </c>
      <c r="C3853" s="1186" t="s">
        <v>61</v>
      </c>
      <c r="D3853" s="1186" t="s">
        <v>44</v>
      </c>
      <c r="E3853" s="1186">
        <v>97</v>
      </c>
      <c r="F3853" s="1186">
        <v>151910</v>
      </c>
    </row>
    <row r="3854" spans="1:6" x14ac:dyDescent="0.2">
      <c r="A3854" s="1186" t="s">
        <v>1572</v>
      </c>
      <c r="B3854" s="1186" t="s">
        <v>823</v>
      </c>
      <c r="C3854" s="1186" t="s">
        <v>61</v>
      </c>
      <c r="D3854" s="1186" t="s">
        <v>45</v>
      </c>
      <c r="E3854" s="1186">
        <v>151</v>
      </c>
      <c r="F3854" s="1186">
        <v>179390</v>
      </c>
    </row>
    <row r="3855" spans="1:6" x14ac:dyDescent="0.2">
      <c r="A3855" s="1186" t="s">
        <v>1572</v>
      </c>
      <c r="B3855" s="1186" t="s">
        <v>823</v>
      </c>
      <c r="C3855" s="1186" t="s">
        <v>61</v>
      </c>
      <c r="D3855" s="1186" t="s">
        <v>46</v>
      </c>
      <c r="E3855" s="1186">
        <v>77</v>
      </c>
      <c r="F3855" s="1186">
        <v>115240</v>
      </c>
    </row>
    <row r="3856" spans="1:6" x14ac:dyDescent="0.2">
      <c r="A3856" s="1186" t="s">
        <v>1572</v>
      </c>
      <c r="B3856" s="1186" t="s">
        <v>823</v>
      </c>
      <c r="C3856" s="1186" t="s">
        <v>61</v>
      </c>
      <c r="D3856" s="1186" t="s">
        <v>47</v>
      </c>
      <c r="E3856" s="1186">
        <v>24</v>
      </c>
      <c r="F3856" s="1186">
        <v>22870</v>
      </c>
    </row>
    <row r="3857" spans="1:6" x14ac:dyDescent="0.2">
      <c r="A3857" s="1186" t="s">
        <v>1572</v>
      </c>
      <c r="B3857" s="1186" t="s">
        <v>823</v>
      </c>
      <c r="C3857" s="1186" t="s">
        <v>61</v>
      </c>
      <c r="D3857" s="1186" t="s">
        <v>48</v>
      </c>
      <c r="E3857" s="1186">
        <v>73</v>
      </c>
      <c r="F3857" s="1186">
        <v>112140</v>
      </c>
    </row>
    <row r="3858" spans="1:6" x14ac:dyDescent="0.2">
      <c r="A3858" s="1186" t="s">
        <v>1572</v>
      </c>
      <c r="B3858" s="1186" t="s">
        <v>823</v>
      </c>
      <c r="C3858" s="1186" t="s">
        <v>61</v>
      </c>
      <c r="D3858" s="1186" t="s">
        <v>49</v>
      </c>
      <c r="E3858" s="1186">
        <v>221</v>
      </c>
      <c r="F3858" s="1186">
        <v>320820</v>
      </c>
    </row>
    <row r="3859" spans="1:6" x14ac:dyDescent="0.2">
      <c r="A3859" s="1186" t="s">
        <v>1572</v>
      </c>
      <c r="B3859" s="1186" t="s">
        <v>823</v>
      </c>
      <c r="C3859" s="1186" t="s">
        <v>61</v>
      </c>
      <c r="D3859" s="1186" t="s">
        <v>50</v>
      </c>
      <c r="E3859" s="1186">
        <v>48</v>
      </c>
      <c r="F3859" s="1186">
        <v>94080</v>
      </c>
    </row>
    <row r="3860" spans="1:6" x14ac:dyDescent="0.2">
      <c r="A3860" s="1186" t="s">
        <v>1572</v>
      </c>
      <c r="B3860" s="1186" t="s">
        <v>823</v>
      </c>
      <c r="C3860" s="1186" t="s">
        <v>61</v>
      </c>
      <c r="D3860" s="1186" t="s">
        <v>51</v>
      </c>
      <c r="E3860" s="1186">
        <v>102</v>
      </c>
      <c r="F3860" s="1186">
        <v>88340</v>
      </c>
    </row>
    <row r="3861" spans="1:6" x14ac:dyDescent="0.2">
      <c r="A3861" s="1186" t="s">
        <v>1572</v>
      </c>
      <c r="B3861" s="1186" t="s">
        <v>823</v>
      </c>
      <c r="C3861" s="1186" t="s">
        <v>61</v>
      </c>
      <c r="D3861" s="1186" t="s">
        <v>52</v>
      </c>
      <c r="E3861" s="1186">
        <v>99</v>
      </c>
      <c r="F3861" s="1186">
        <v>183820</v>
      </c>
    </row>
    <row r="3862" spans="1:6" x14ac:dyDescent="0.2">
      <c r="A3862" s="1186" t="s">
        <v>1572</v>
      </c>
      <c r="B3862" s="1186" t="s">
        <v>823</v>
      </c>
      <c r="C3862" s="1186" t="s">
        <v>116</v>
      </c>
      <c r="D3862" s="1186" t="s">
        <v>23</v>
      </c>
      <c r="E3862" s="1186">
        <v>21</v>
      </c>
      <c r="F3862" s="1186">
        <v>229060</v>
      </c>
    </row>
    <row r="3863" spans="1:6" x14ac:dyDescent="0.2">
      <c r="A3863" s="1186" t="s">
        <v>1572</v>
      </c>
      <c r="B3863" s="1186" t="s">
        <v>823</v>
      </c>
      <c r="C3863" s="1186" t="s">
        <v>116</v>
      </c>
      <c r="D3863" s="1186" t="s">
        <v>24</v>
      </c>
      <c r="E3863" s="1186">
        <v>8</v>
      </c>
      <c r="F3863" s="1186">
        <v>260780</v>
      </c>
    </row>
    <row r="3864" spans="1:6" x14ac:dyDescent="0.2">
      <c r="A3864" s="1186" t="s">
        <v>1572</v>
      </c>
      <c r="B3864" s="1186" t="s">
        <v>823</v>
      </c>
      <c r="C3864" s="1186" t="s">
        <v>116</v>
      </c>
      <c r="D3864" s="1186" t="s">
        <v>25</v>
      </c>
      <c r="E3864" s="1186">
        <v>6</v>
      </c>
      <c r="F3864" s="1186">
        <v>115820</v>
      </c>
    </row>
    <row r="3865" spans="1:6" x14ac:dyDescent="0.2">
      <c r="A3865" s="1186" t="s">
        <v>1572</v>
      </c>
      <c r="B3865" s="1186" t="s">
        <v>823</v>
      </c>
      <c r="C3865" s="1186" t="s">
        <v>116</v>
      </c>
      <c r="D3865" s="1186" t="s">
        <v>26</v>
      </c>
      <c r="E3865" s="1186">
        <v>2</v>
      </c>
      <c r="F3865" s="1186">
        <v>85430</v>
      </c>
    </row>
    <row r="3866" spans="1:6" x14ac:dyDescent="0.2">
      <c r="A3866" s="1186" t="s">
        <v>1572</v>
      </c>
      <c r="B3866" s="1186" t="s">
        <v>823</v>
      </c>
      <c r="C3866" s="1186" t="s">
        <v>116</v>
      </c>
      <c r="D3866" s="1186" t="s">
        <v>619</v>
      </c>
      <c r="E3866" s="1186">
        <v>53</v>
      </c>
      <c r="F3866" s="1186">
        <v>527620</v>
      </c>
    </row>
    <row r="3867" spans="1:6" x14ac:dyDescent="0.2">
      <c r="A3867" s="1186" t="s">
        <v>1572</v>
      </c>
      <c r="B3867" s="1186" t="s">
        <v>823</v>
      </c>
      <c r="C3867" s="1186" t="s">
        <v>116</v>
      </c>
      <c r="D3867" s="1186" t="s">
        <v>27</v>
      </c>
      <c r="E3867" s="1186">
        <v>1</v>
      </c>
      <c r="F3867" s="1186">
        <v>51290</v>
      </c>
    </row>
    <row r="3868" spans="1:6" x14ac:dyDescent="0.2">
      <c r="A3868" s="1186" t="s">
        <v>1572</v>
      </c>
      <c r="B3868" s="1186" t="s">
        <v>823</v>
      </c>
      <c r="C3868" s="1186" t="s">
        <v>116</v>
      </c>
      <c r="D3868" s="1186" t="s">
        <v>28</v>
      </c>
      <c r="E3868" s="1186">
        <v>5</v>
      </c>
      <c r="F3868" s="1186">
        <v>148290</v>
      </c>
    </row>
    <row r="3869" spans="1:6" x14ac:dyDescent="0.2">
      <c r="A3869" s="1186" t="s">
        <v>1572</v>
      </c>
      <c r="B3869" s="1186" t="s">
        <v>823</v>
      </c>
      <c r="C3869" s="1186" t="s">
        <v>116</v>
      </c>
      <c r="D3869" s="1186" t="s">
        <v>29</v>
      </c>
      <c r="E3869" s="1186">
        <v>23</v>
      </c>
      <c r="F3869" s="1186">
        <v>148820</v>
      </c>
    </row>
    <row r="3870" spans="1:6" x14ac:dyDescent="0.2">
      <c r="A3870" s="1186" t="s">
        <v>1572</v>
      </c>
      <c r="B3870" s="1186" t="s">
        <v>823</v>
      </c>
      <c r="C3870" s="1186" t="s">
        <v>116</v>
      </c>
      <c r="D3870" s="1186" t="s">
        <v>30</v>
      </c>
      <c r="E3870" s="1186">
        <v>14</v>
      </c>
      <c r="F3870" s="1186">
        <v>121600</v>
      </c>
    </row>
    <row r="3871" spans="1:6" x14ac:dyDescent="0.2">
      <c r="A3871" s="1186" t="s">
        <v>1572</v>
      </c>
      <c r="B3871" s="1186" t="s">
        <v>823</v>
      </c>
      <c r="C3871" s="1186" t="s">
        <v>116</v>
      </c>
      <c r="D3871" s="1186" t="s">
        <v>31</v>
      </c>
      <c r="E3871" s="1186">
        <v>9</v>
      </c>
      <c r="F3871" s="1186">
        <v>108750</v>
      </c>
    </row>
    <row r="3872" spans="1:6" x14ac:dyDescent="0.2">
      <c r="A3872" s="1186" t="s">
        <v>1572</v>
      </c>
      <c r="B3872" s="1186" t="s">
        <v>823</v>
      </c>
      <c r="C3872" s="1186" t="s">
        <v>116</v>
      </c>
      <c r="D3872" s="1186" t="s">
        <v>32</v>
      </c>
      <c r="E3872" s="1186">
        <v>3</v>
      </c>
      <c r="F3872" s="1186">
        <v>107900</v>
      </c>
    </row>
    <row r="3873" spans="1:6" x14ac:dyDescent="0.2">
      <c r="A3873" s="1186" t="s">
        <v>1572</v>
      </c>
      <c r="B3873" s="1186" t="s">
        <v>823</v>
      </c>
      <c r="C3873" s="1186" t="s">
        <v>116</v>
      </c>
      <c r="D3873" s="1186" t="s">
        <v>33</v>
      </c>
      <c r="E3873" s="1186">
        <v>4</v>
      </c>
      <c r="F3873" s="1186">
        <v>96060</v>
      </c>
    </row>
    <row r="3874" spans="1:6" x14ac:dyDescent="0.2">
      <c r="A3874" s="1186" t="s">
        <v>1572</v>
      </c>
      <c r="B3874" s="1186" t="s">
        <v>823</v>
      </c>
      <c r="C3874" s="1186" t="s">
        <v>116</v>
      </c>
      <c r="D3874" s="1186" t="s">
        <v>34</v>
      </c>
      <c r="E3874" s="1186">
        <v>10</v>
      </c>
      <c r="F3874" s="1186">
        <v>160560</v>
      </c>
    </row>
    <row r="3875" spans="1:6" x14ac:dyDescent="0.2">
      <c r="A3875" s="1186" t="s">
        <v>1572</v>
      </c>
      <c r="B3875" s="1186" t="s">
        <v>823</v>
      </c>
      <c r="C3875" s="1186" t="s">
        <v>116</v>
      </c>
      <c r="D3875" s="1186" t="s">
        <v>35</v>
      </c>
      <c r="E3875" s="1186">
        <v>20</v>
      </c>
      <c r="F3875" s="1186">
        <v>374130</v>
      </c>
    </row>
    <row r="3876" spans="1:6" x14ac:dyDescent="0.2">
      <c r="A3876" s="1186" t="s">
        <v>1572</v>
      </c>
      <c r="B3876" s="1186" t="s">
        <v>823</v>
      </c>
      <c r="C3876" s="1186" t="s">
        <v>116</v>
      </c>
      <c r="D3876" s="1186" t="s">
        <v>36</v>
      </c>
      <c r="E3876" s="1186">
        <v>110</v>
      </c>
      <c r="F3876" s="1186">
        <v>635640</v>
      </c>
    </row>
    <row r="3877" spans="1:6" x14ac:dyDescent="0.2">
      <c r="A3877" s="1186" t="s">
        <v>1572</v>
      </c>
      <c r="B3877" s="1186" t="s">
        <v>823</v>
      </c>
      <c r="C3877" s="1186" t="s">
        <v>116</v>
      </c>
      <c r="D3877" s="1186" t="s">
        <v>37</v>
      </c>
      <c r="E3877" s="1186">
        <v>6</v>
      </c>
      <c r="F3877" s="1186">
        <v>235430</v>
      </c>
    </row>
    <row r="3878" spans="1:6" x14ac:dyDescent="0.2">
      <c r="A3878" s="1186" t="s">
        <v>1572</v>
      </c>
      <c r="B3878" s="1186" t="s">
        <v>823</v>
      </c>
      <c r="C3878" s="1186" t="s">
        <v>116</v>
      </c>
      <c r="D3878" s="1186" t="s">
        <v>38</v>
      </c>
      <c r="E3878" s="1186">
        <v>22</v>
      </c>
      <c r="F3878" s="1186">
        <v>77060</v>
      </c>
    </row>
    <row r="3879" spans="1:6" x14ac:dyDescent="0.2">
      <c r="A3879" s="1186" t="s">
        <v>1572</v>
      </c>
      <c r="B3879" s="1186" t="s">
        <v>823</v>
      </c>
      <c r="C3879" s="1186" t="s">
        <v>116</v>
      </c>
      <c r="D3879" s="1186" t="s">
        <v>39</v>
      </c>
      <c r="E3879" s="1186">
        <v>2</v>
      </c>
      <c r="F3879" s="1186">
        <v>93150</v>
      </c>
    </row>
    <row r="3880" spans="1:6" x14ac:dyDescent="0.2">
      <c r="A3880" s="1186" t="s">
        <v>1572</v>
      </c>
      <c r="B3880" s="1186" t="s">
        <v>823</v>
      </c>
      <c r="C3880" s="1186" t="s">
        <v>116</v>
      </c>
      <c r="D3880" s="1186" t="s">
        <v>40</v>
      </c>
      <c r="E3880" s="1186">
        <v>1</v>
      </c>
      <c r="F3880" s="1186">
        <v>95710</v>
      </c>
    </row>
    <row r="3881" spans="1:6" x14ac:dyDescent="0.2">
      <c r="A3881" s="1186" t="s">
        <v>1572</v>
      </c>
      <c r="B3881" s="1186" t="s">
        <v>823</v>
      </c>
      <c r="C3881" s="1186" t="s">
        <v>116</v>
      </c>
      <c r="D3881" s="1186" t="s">
        <v>295</v>
      </c>
      <c r="E3881" s="1186">
        <v>1</v>
      </c>
      <c r="F3881" s="1186">
        <v>26500</v>
      </c>
    </row>
    <row r="3882" spans="1:6" x14ac:dyDescent="0.2">
      <c r="A3882" s="1186" t="s">
        <v>1572</v>
      </c>
      <c r="B3882" s="1186" t="s">
        <v>823</v>
      </c>
      <c r="C3882" s="1186" t="s">
        <v>116</v>
      </c>
      <c r="D3882" s="1186" t="s">
        <v>41</v>
      </c>
      <c r="E3882" s="1186">
        <v>17</v>
      </c>
      <c r="F3882" s="1186">
        <v>134250</v>
      </c>
    </row>
    <row r="3883" spans="1:6" x14ac:dyDescent="0.2">
      <c r="A3883" s="1186" t="s">
        <v>1572</v>
      </c>
      <c r="B3883" s="1186" t="s">
        <v>823</v>
      </c>
      <c r="C3883" s="1186" t="s">
        <v>116</v>
      </c>
      <c r="D3883" s="1186" t="s">
        <v>42</v>
      </c>
      <c r="E3883" s="1186">
        <v>39</v>
      </c>
      <c r="F3883" s="1186">
        <v>341140</v>
      </c>
    </row>
    <row r="3884" spans="1:6" x14ac:dyDescent="0.2">
      <c r="A3884" s="1186" t="s">
        <v>1572</v>
      </c>
      <c r="B3884" s="1186" t="s">
        <v>823</v>
      </c>
      <c r="C3884" s="1186" t="s">
        <v>116</v>
      </c>
      <c r="D3884" s="1186" t="s">
        <v>44</v>
      </c>
      <c r="E3884" s="1186">
        <v>7</v>
      </c>
      <c r="F3884" s="1186">
        <v>151910</v>
      </c>
    </row>
    <row r="3885" spans="1:6" x14ac:dyDescent="0.2">
      <c r="A3885" s="1186" t="s">
        <v>1572</v>
      </c>
      <c r="B3885" s="1186" t="s">
        <v>823</v>
      </c>
      <c r="C3885" s="1186" t="s">
        <v>116</v>
      </c>
      <c r="D3885" s="1186" t="s">
        <v>45</v>
      </c>
      <c r="E3885" s="1186">
        <v>34</v>
      </c>
      <c r="F3885" s="1186">
        <v>179390</v>
      </c>
    </row>
    <row r="3886" spans="1:6" x14ac:dyDescent="0.2">
      <c r="A3886" s="1186" t="s">
        <v>1572</v>
      </c>
      <c r="B3886" s="1186" t="s">
        <v>823</v>
      </c>
      <c r="C3886" s="1186" t="s">
        <v>116</v>
      </c>
      <c r="D3886" s="1186" t="s">
        <v>46</v>
      </c>
      <c r="E3886" s="1186">
        <v>8</v>
      </c>
      <c r="F3886" s="1186">
        <v>115240</v>
      </c>
    </row>
    <row r="3887" spans="1:6" x14ac:dyDescent="0.2">
      <c r="A3887" s="1186" t="s">
        <v>1572</v>
      </c>
      <c r="B3887" s="1186" t="s">
        <v>823</v>
      </c>
      <c r="C3887" s="1186" t="s">
        <v>116</v>
      </c>
      <c r="D3887" s="1186" t="s">
        <v>47</v>
      </c>
      <c r="E3887" s="1186">
        <v>1</v>
      </c>
      <c r="F3887" s="1186">
        <v>22870</v>
      </c>
    </row>
    <row r="3888" spans="1:6" x14ac:dyDescent="0.2">
      <c r="A3888" s="1186" t="s">
        <v>1572</v>
      </c>
      <c r="B3888" s="1186" t="s">
        <v>823</v>
      </c>
      <c r="C3888" s="1186" t="s">
        <v>116</v>
      </c>
      <c r="D3888" s="1186" t="s">
        <v>48</v>
      </c>
      <c r="E3888" s="1186">
        <v>17</v>
      </c>
      <c r="F3888" s="1186">
        <v>112140</v>
      </c>
    </row>
    <row r="3889" spans="1:6" x14ac:dyDescent="0.2">
      <c r="A3889" s="1186" t="s">
        <v>1572</v>
      </c>
      <c r="B3889" s="1186" t="s">
        <v>823</v>
      </c>
      <c r="C3889" s="1186" t="s">
        <v>116</v>
      </c>
      <c r="D3889" s="1186" t="s">
        <v>49</v>
      </c>
      <c r="E3889" s="1186">
        <v>34</v>
      </c>
      <c r="F3889" s="1186">
        <v>320820</v>
      </c>
    </row>
    <row r="3890" spans="1:6" x14ac:dyDescent="0.2">
      <c r="A3890" s="1186" t="s">
        <v>1572</v>
      </c>
      <c r="B3890" s="1186" t="s">
        <v>823</v>
      </c>
      <c r="C3890" s="1186" t="s">
        <v>116</v>
      </c>
      <c r="D3890" s="1186" t="s">
        <v>50</v>
      </c>
      <c r="E3890" s="1186">
        <v>11</v>
      </c>
      <c r="F3890" s="1186">
        <v>94080</v>
      </c>
    </row>
    <row r="3891" spans="1:6" x14ac:dyDescent="0.2">
      <c r="A3891" s="1186" t="s">
        <v>1572</v>
      </c>
      <c r="B3891" s="1186" t="s">
        <v>823</v>
      </c>
      <c r="C3891" s="1186" t="s">
        <v>116</v>
      </c>
      <c r="D3891" s="1186" t="s">
        <v>51</v>
      </c>
      <c r="E3891" s="1186">
        <v>15</v>
      </c>
      <c r="F3891" s="1186">
        <v>88340</v>
      </c>
    </row>
    <row r="3892" spans="1:6" x14ac:dyDescent="0.2">
      <c r="A3892" s="1186" t="s">
        <v>1572</v>
      </c>
      <c r="B3892" s="1186" t="s">
        <v>823</v>
      </c>
      <c r="C3892" s="1186" t="s">
        <v>116</v>
      </c>
      <c r="D3892" s="1186" t="s">
        <v>52</v>
      </c>
      <c r="E3892" s="1186">
        <v>16</v>
      </c>
      <c r="F3892" s="1186">
        <v>183820</v>
      </c>
    </row>
    <row r="3893" spans="1:6" x14ac:dyDescent="0.2">
      <c r="A3893" s="1186" t="s">
        <v>1572</v>
      </c>
      <c r="B3893" s="1186" t="s">
        <v>824</v>
      </c>
      <c r="C3893" s="1186" t="s">
        <v>61</v>
      </c>
      <c r="D3893" s="1186" t="s">
        <v>23</v>
      </c>
      <c r="E3893" s="1186">
        <v>74</v>
      </c>
      <c r="F3893" s="1186">
        <v>229060</v>
      </c>
    </row>
    <row r="3894" spans="1:6" x14ac:dyDescent="0.2">
      <c r="A3894" s="1186" t="s">
        <v>1572</v>
      </c>
      <c r="B3894" s="1186" t="s">
        <v>824</v>
      </c>
      <c r="C3894" s="1186" t="s">
        <v>61</v>
      </c>
      <c r="D3894" s="1186" t="s">
        <v>24</v>
      </c>
      <c r="E3894" s="1186">
        <v>71</v>
      </c>
      <c r="F3894" s="1186">
        <v>260780</v>
      </c>
    </row>
    <row r="3895" spans="1:6" x14ac:dyDescent="0.2">
      <c r="A3895" s="1186" t="s">
        <v>1572</v>
      </c>
      <c r="B3895" s="1186" t="s">
        <v>824</v>
      </c>
      <c r="C3895" s="1186" t="s">
        <v>61</v>
      </c>
      <c r="D3895" s="1186" t="s">
        <v>25</v>
      </c>
      <c r="E3895" s="1186">
        <v>21</v>
      </c>
      <c r="F3895" s="1186">
        <v>115820</v>
      </c>
    </row>
    <row r="3896" spans="1:6" x14ac:dyDescent="0.2">
      <c r="A3896" s="1186" t="s">
        <v>1572</v>
      </c>
      <c r="B3896" s="1186" t="s">
        <v>824</v>
      </c>
      <c r="C3896" s="1186" t="s">
        <v>61</v>
      </c>
      <c r="D3896" s="1186" t="s">
        <v>26</v>
      </c>
      <c r="E3896" s="1186">
        <v>30</v>
      </c>
      <c r="F3896" s="1186">
        <v>85430</v>
      </c>
    </row>
    <row r="3897" spans="1:6" x14ac:dyDescent="0.2">
      <c r="A3897" s="1186" t="s">
        <v>1572</v>
      </c>
      <c r="B3897" s="1186" t="s">
        <v>824</v>
      </c>
      <c r="C3897" s="1186" t="s">
        <v>61</v>
      </c>
      <c r="D3897" s="1186" t="s">
        <v>619</v>
      </c>
      <c r="E3897" s="1186">
        <v>125</v>
      </c>
      <c r="F3897" s="1186">
        <v>527620</v>
      </c>
    </row>
    <row r="3898" spans="1:6" x14ac:dyDescent="0.2">
      <c r="A3898" s="1186" t="s">
        <v>1572</v>
      </c>
      <c r="B3898" s="1186" t="s">
        <v>824</v>
      </c>
      <c r="C3898" s="1186" t="s">
        <v>61</v>
      </c>
      <c r="D3898" s="1186" t="s">
        <v>27</v>
      </c>
      <c r="E3898" s="1186">
        <v>15</v>
      </c>
      <c r="F3898" s="1186">
        <v>51290</v>
      </c>
    </row>
    <row r="3899" spans="1:6" x14ac:dyDescent="0.2">
      <c r="A3899" s="1186" t="s">
        <v>1572</v>
      </c>
      <c r="B3899" s="1186" t="s">
        <v>824</v>
      </c>
      <c r="C3899" s="1186" t="s">
        <v>61</v>
      </c>
      <c r="D3899" s="1186" t="s">
        <v>28</v>
      </c>
      <c r="E3899" s="1186">
        <v>34</v>
      </c>
      <c r="F3899" s="1186">
        <v>148290</v>
      </c>
    </row>
    <row r="3900" spans="1:6" x14ac:dyDescent="0.2">
      <c r="A3900" s="1186" t="s">
        <v>1572</v>
      </c>
      <c r="B3900" s="1186" t="s">
        <v>824</v>
      </c>
      <c r="C3900" s="1186" t="s">
        <v>61</v>
      </c>
      <c r="D3900" s="1186" t="s">
        <v>29</v>
      </c>
      <c r="E3900" s="1186">
        <v>42</v>
      </c>
      <c r="F3900" s="1186">
        <v>148820</v>
      </c>
    </row>
    <row r="3901" spans="1:6" x14ac:dyDescent="0.2">
      <c r="A3901" s="1186" t="s">
        <v>1572</v>
      </c>
      <c r="B3901" s="1186" t="s">
        <v>824</v>
      </c>
      <c r="C3901" s="1186" t="s">
        <v>61</v>
      </c>
      <c r="D3901" s="1186" t="s">
        <v>30</v>
      </c>
      <c r="E3901" s="1186">
        <v>21</v>
      </c>
      <c r="F3901" s="1186">
        <v>121600</v>
      </c>
    </row>
    <row r="3902" spans="1:6" x14ac:dyDescent="0.2">
      <c r="A3902" s="1186" t="s">
        <v>1572</v>
      </c>
      <c r="B3902" s="1186" t="s">
        <v>824</v>
      </c>
      <c r="C3902" s="1186" t="s">
        <v>61</v>
      </c>
      <c r="D3902" s="1186" t="s">
        <v>31</v>
      </c>
      <c r="E3902" s="1186">
        <v>20</v>
      </c>
      <c r="F3902" s="1186">
        <v>108750</v>
      </c>
    </row>
    <row r="3903" spans="1:6" x14ac:dyDescent="0.2">
      <c r="A3903" s="1186" t="s">
        <v>1572</v>
      </c>
      <c r="B3903" s="1186" t="s">
        <v>824</v>
      </c>
      <c r="C3903" s="1186" t="s">
        <v>61</v>
      </c>
      <c r="D3903" s="1186" t="s">
        <v>32</v>
      </c>
      <c r="E3903" s="1186">
        <v>22</v>
      </c>
      <c r="F3903" s="1186">
        <v>107900</v>
      </c>
    </row>
    <row r="3904" spans="1:6" x14ac:dyDescent="0.2">
      <c r="A3904" s="1186" t="s">
        <v>1572</v>
      </c>
      <c r="B3904" s="1186" t="s">
        <v>824</v>
      </c>
      <c r="C3904" s="1186" t="s">
        <v>61</v>
      </c>
      <c r="D3904" s="1186" t="s">
        <v>33</v>
      </c>
      <c r="E3904" s="1186">
        <v>6</v>
      </c>
      <c r="F3904" s="1186">
        <v>96060</v>
      </c>
    </row>
    <row r="3905" spans="1:6" x14ac:dyDescent="0.2">
      <c r="A3905" s="1186" t="s">
        <v>1572</v>
      </c>
      <c r="B3905" s="1186" t="s">
        <v>824</v>
      </c>
      <c r="C3905" s="1186" t="s">
        <v>61</v>
      </c>
      <c r="D3905" s="1186" t="s">
        <v>34</v>
      </c>
      <c r="E3905" s="1186">
        <v>42</v>
      </c>
      <c r="F3905" s="1186">
        <v>160560</v>
      </c>
    </row>
    <row r="3906" spans="1:6" x14ac:dyDescent="0.2">
      <c r="A3906" s="1186" t="s">
        <v>1572</v>
      </c>
      <c r="B3906" s="1186" t="s">
        <v>824</v>
      </c>
      <c r="C3906" s="1186" t="s">
        <v>61</v>
      </c>
      <c r="D3906" s="1186" t="s">
        <v>35</v>
      </c>
      <c r="E3906" s="1186">
        <v>76</v>
      </c>
      <c r="F3906" s="1186">
        <v>374130</v>
      </c>
    </row>
    <row r="3907" spans="1:6" x14ac:dyDescent="0.2">
      <c r="A3907" s="1186" t="s">
        <v>1572</v>
      </c>
      <c r="B3907" s="1186" t="s">
        <v>824</v>
      </c>
      <c r="C3907" s="1186" t="s">
        <v>61</v>
      </c>
      <c r="D3907" s="1186" t="s">
        <v>36</v>
      </c>
      <c r="E3907" s="1186">
        <v>169</v>
      </c>
      <c r="F3907" s="1186">
        <v>635640</v>
      </c>
    </row>
    <row r="3908" spans="1:6" x14ac:dyDescent="0.2">
      <c r="A3908" s="1186" t="s">
        <v>1572</v>
      </c>
      <c r="B3908" s="1186" t="s">
        <v>824</v>
      </c>
      <c r="C3908" s="1186" t="s">
        <v>61</v>
      </c>
      <c r="D3908" s="1186" t="s">
        <v>37</v>
      </c>
      <c r="E3908" s="1186">
        <v>101</v>
      </c>
      <c r="F3908" s="1186">
        <v>235430</v>
      </c>
    </row>
    <row r="3909" spans="1:6" x14ac:dyDescent="0.2">
      <c r="A3909" s="1186" t="s">
        <v>1572</v>
      </c>
      <c r="B3909" s="1186" t="s">
        <v>824</v>
      </c>
      <c r="C3909" s="1186" t="s">
        <v>61</v>
      </c>
      <c r="D3909" s="1186" t="s">
        <v>38</v>
      </c>
      <c r="E3909" s="1186">
        <v>14</v>
      </c>
      <c r="F3909" s="1186">
        <v>77060</v>
      </c>
    </row>
    <row r="3910" spans="1:6" x14ac:dyDescent="0.2">
      <c r="A3910" s="1186" t="s">
        <v>1572</v>
      </c>
      <c r="B3910" s="1186" t="s">
        <v>824</v>
      </c>
      <c r="C3910" s="1186" t="s">
        <v>61</v>
      </c>
      <c r="D3910" s="1186" t="s">
        <v>39</v>
      </c>
      <c r="E3910" s="1186">
        <v>33</v>
      </c>
      <c r="F3910" s="1186">
        <v>93150</v>
      </c>
    </row>
    <row r="3911" spans="1:6" x14ac:dyDescent="0.2">
      <c r="A3911" s="1186" t="s">
        <v>1572</v>
      </c>
      <c r="B3911" s="1186" t="s">
        <v>824</v>
      </c>
      <c r="C3911" s="1186" t="s">
        <v>61</v>
      </c>
      <c r="D3911" s="1186" t="s">
        <v>40</v>
      </c>
      <c r="E3911" s="1186">
        <v>21</v>
      </c>
      <c r="F3911" s="1186">
        <v>95710</v>
      </c>
    </row>
    <row r="3912" spans="1:6" x14ac:dyDescent="0.2">
      <c r="A3912" s="1186" t="s">
        <v>1572</v>
      </c>
      <c r="B3912" s="1186" t="s">
        <v>824</v>
      </c>
      <c r="C3912" s="1186" t="s">
        <v>61</v>
      </c>
      <c r="D3912" s="1186" t="s">
        <v>295</v>
      </c>
      <c r="E3912" s="1186">
        <v>6</v>
      </c>
      <c r="F3912" s="1186">
        <v>26500</v>
      </c>
    </row>
    <row r="3913" spans="1:6" x14ac:dyDescent="0.2">
      <c r="A3913" s="1186" t="s">
        <v>1572</v>
      </c>
      <c r="B3913" s="1186" t="s">
        <v>824</v>
      </c>
      <c r="C3913" s="1186" t="s">
        <v>61</v>
      </c>
      <c r="D3913" s="1186" t="s">
        <v>41</v>
      </c>
      <c r="E3913" s="1186">
        <v>28</v>
      </c>
      <c r="F3913" s="1186">
        <v>134250</v>
      </c>
    </row>
    <row r="3914" spans="1:6" x14ac:dyDescent="0.2">
      <c r="A3914" s="1186" t="s">
        <v>1572</v>
      </c>
      <c r="B3914" s="1186" t="s">
        <v>824</v>
      </c>
      <c r="C3914" s="1186" t="s">
        <v>61</v>
      </c>
      <c r="D3914" s="1186" t="s">
        <v>42</v>
      </c>
      <c r="E3914" s="1186">
        <v>75</v>
      </c>
      <c r="F3914" s="1186">
        <v>341140</v>
      </c>
    </row>
    <row r="3915" spans="1:6" x14ac:dyDescent="0.2">
      <c r="A3915" s="1186" t="s">
        <v>1572</v>
      </c>
      <c r="B3915" s="1186" t="s">
        <v>824</v>
      </c>
      <c r="C3915" s="1186" t="s">
        <v>61</v>
      </c>
      <c r="D3915" s="1186" t="s">
        <v>43</v>
      </c>
      <c r="E3915" s="1186">
        <v>2</v>
      </c>
      <c r="F3915" s="1186">
        <v>22400</v>
      </c>
    </row>
    <row r="3916" spans="1:6" x14ac:dyDescent="0.2">
      <c r="A3916" s="1186" t="s">
        <v>1572</v>
      </c>
      <c r="B3916" s="1186" t="s">
        <v>824</v>
      </c>
      <c r="C3916" s="1186" t="s">
        <v>61</v>
      </c>
      <c r="D3916" s="1186" t="s">
        <v>44</v>
      </c>
      <c r="E3916" s="1186">
        <v>43</v>
      </c>
      <c r="F3916" s="1186">
        <v>151910</v>
      </c>
    </row>
    <row r="3917" spans="1:6" x14ac:dyDescent="0.2">
      <c r="A3917" s="1186" t="s">
        <v>1572</v>
      </c>
      <c r="B3917" s="1186" t="s">
        <v>824</v>
      </c>
      <c r="C3917" s="1186" t="s">
        <v>61</v>
      </c>
      <c r="D3917" s="1186" t="s">
        <v>45</v>
      </c>
      <c r="E3917" s="1186">
        <v>39</v>
      </c>
      <c r="F3917" s="1186">
        <v>179390</v>
      </c>
    </row>
    <row r="3918" spans="1:6" x14ac:dyDescent="0.2">
      <c r="A3918" s="1186" t="s">
        <v>1572</v>
      </c>
      <c r="B3918" s="1186" t="s">
        <v>824</v>
      </c>
      <c r="C3918" s="1186" t="s">
        <v>61</v>
      </c>
      <c r="D3918" s="1186" t="s">
        <v>46</v>
      </c>
      <c r="E3918" s="1186">
        <v>36</v>
      </c>
      <c r="F3918" s="1186">
        <v>115240</v>
      </c>
    </row>
    <row r="3919" spans="1:6" x14ac:dyDescent="0.2">
      <c r="A3919" s="1186" t="s">
        <v>1572</v>
      </c>
      <c r="B3919" s="1186" t="s">
        <v>824</v>
      </c>
      <c r="C3919" s="1186" t="s">
        <v>61</v>
      </c>
      <c r="D3919" s="1186" t="s">
        <v>47</v>
      </c>
      <c r="E3919" s="1186">
        <v>9</v>
      </c>
      <c r="F3919" s="1186">
        <v>22870</v>
      </c>
    </row>
    <row r="3920" spans="1:6" x14ac:dyDescent="0.2">
      <c r="A3920" s="1186" t="s">
        <v>1572</v>
      </c>
      <c r="B3920" s="1186" t="s">
        <v>824</v>
      </c>
      <c r="C3920" s="1186" t="s">
        <v>61</v>
      </c>
      <c r="D3920" s="1186" t="s">
        <v>48</v>
      </c>
      <c r="E3920" s="1186">
        <v>22</v>
      </c>
      <c r="F3920" s="1186">
        <v>112140</v>
      </c>
    </row>
    <row r="3921" spans="1:6" x14ac:dyDescent="0.2">
      <c r="A3921" s="1186" t="s">
        <v>1572</v>
      </c>
      <c r="B3921" s="1186" t="s">
        <v>824</v>
      </c>
      <c r="C3921" s="1186" t="s">
        <v>61</v>
      </c>
      <c r="D3921" s="1186" t="s">
        <v>49</v>
      </c>
      <c r="E3921" s="1186">
        <v>54</v>
      </c>
      <c r="F3921" s="1186">
        <v>320820</v>
      </c>
    </row>
    <row r="3922" spans="1:6" x14ac:dyDescent="0.2">
      <c r="A3922" s="1186" t="s">
        <v>1572</v>
      </c>
      <c r="B3922" s="1186" t="s">
        <v>824</v>
      </c>
      <c r="C3922" s="1186" t="s">
        <v>61</v>
      </c>
      <c r="D3922" s="1186" t="s">
        <v>50</v>
      </c>
      <c r="E3922" s="1186">
        <v>30</v>
      </c>
      <c r="F3922" s="1186">
        <v>94080</v>
      </c>
    </row>
    <row r="3923" spans="1:6" x14ac:dyDescent="0.2">
      <c r="A3923" s="1186" t="s">
        <v>1572</v>
      </c>
      <c r="B3923" s="1186" t="s">
        <v>824</v>
      </c>
      <c r="C3923" s="1186" t="s">
        <v>61</v>
      </c>
      <c r="D3923" s="1186" t="s">
        <v>51</v>
      </c>
      <c r="E3923" s="1186">
        <v>19</v>
      </c>
      <c r="F3923" s="1186">
        <v>88340</v>
      </c>
    </row>
    <row r="3924" spans="1:6" x14ac:dyDescent="0.2">
      <c r="A3924" s="1186" t="s">
        <v>1572</v>
      </c>
      <c r="B3924" s="1186" t="s">
        <v>824</v>
      </c>
      <c r="C3924" s="1186" t="s">
        <v>61</v>
      </c>
      <c r="D3924" s="1186" t="s">
        <v>52</v>
      </c>
      <c r="E3924" s="1186">
        <v>35</v>
      </c>
      <c r="F3924" s="1186">
        <v>183820</v>
      </c>
    </row>
    <row r="3925" spans="1:6" x14ac:dyDescent="0.2">
      <c r="A3925" s="1186" t="s">
        <v>1572</v>
      </c>
      <c r="B3925" s="1186" t="s">
        <v>824</v>
      </c>
      <c r="C3925" s="1186" t="s">
        <v>116</v>
      </c>
      <c r="D3925" s="1186" t="s">
        <v>23</v>
      </c>
      <c r="E3925" s="1186">
        <v>16</v>
      </c>
      <c r="F3925" s="1186">
        <v>229060</v>
      </c>
    </row>
    <row r="3926" spans="1:6" x14ac:dyDescent="0.2">
      <c r="A3926" s="1186" t="s">
        <v>1572</v>
      </c>
      <c r="B3926" s="1186" t="s">
        <v>824</v>
      </c>
      <c r="C3926" s="1186" t="s">
        <v>116</v>
      </c>
      <c r="D3926" s="1186" t="s">
        <v>24</v>
      </c>
      <c r="E3926" s="1186">
        <v>20</v>
      </c>
      <c r="F3926" s="1186">
        <v>260780</v>
      </c>
    </row>
    <row r="3927" spans="1:6" x14ac:dyDescent="0.2">
      <c r="A3927" s="1186" t="s">
        <v>1572</v>
      </c>
      <c r="B3927" s="1186" t="s">
        <v>824</v>
      </c>
      <c r="C3927" s="1186" t="s">
        <v>116</v>
      </c>
      <c r="D3927" s="1186" t="s">
        <v>25</v>
      </c>
      <c r="E3927" s="1186">
        <v>12</v>
      </c>
      <c r="F3927" s="1186">
        <v>115820</v>
      </c>
    </row>
    <row r="3928" spans="1:6" x14ac:dyDescent="0.2">
      <c r="A3928" s="1186" t="s">
        <v>1572</v>
      </c>
      <c r="B3928" s="1186" t="s">
        <v>824</v>
      </c>
      <c r="C3928" s="1186" t="s">
        <v>116</v>
      </c>
      <c r="D3928" s="1186" t="s">
        <v>26</v>
      </c>
      <c r="E3928" s="1186">
        <v>2</v>
      </c>
      <c r="F3928" s="1186">
        <v>85430</v>
      </c>
    </row>
    <row r="3929" spans="1:6" x14ac:dyDescent="0.2">
      <c r="A3929" s="1186" t="s">
        <v>1572</v>
      </c>
      <c r="B3929" s="1186" t="s">
        <v>824</v>
      </c>
      <c r="C3929" s="1186" t="s">
        <v>116</v>
      </c>
      <c r="D3929" s="1186" t="s">
        <v>619</v>
      </c>
      <c r="E3929" s="1186">
        <v>28</v>
      </c>
      <c r="F3929" s="1186">
        <v>527620</v>
      </c>
    </row>
    <row r="3930" spans="1:6" x14ac:dyDescent="0.2">
      <c r="A3930" s="1186" t="s">
        <v>1572</v>
      </c>
      <c r="B3930" s="1186" t="s">
        <v>824</v>
      </c>
      <c r="C3930" s="1186" t="s">
        <v>116</v>
      </c>
      <c r="D3930" s="1186" t="s">
        <v>27</v>
      </c>
      <c r="E3930" s="1186">
        <v>6</v>
      </c>
      <c r="F3930" s="1186">
        <v>51290</v>
      </c>
    </row>
    <row r="3931" spans="1:6" x14ac:dyDescent="0.2">
      <c r="A3931" s="1186" t="s">
        <v>1572</v>
      </c>
      <c r="B3931" s="1186" t="s">
        <v>824</v>
      </c>
      <c r="C3931" s="1186" t="s">
        <v>116</v>
      </c>
      <c r="D3931" s="1186" t="s">
        <v>28</v>
      </c>
      <c r="E3931" s="1186">
        <v>11</v>
      </c>
      <c r="F3931" s="1186">
        <v>148290</v>
      </c>
    </row>
    <row r="3932" spans="1:6" x14ac:dyDescent="0.2">
      <c r="A3932" s="1186" t="s">
        <v>1572</v>
      </c>
      <c r="B3932" s="1186" t="s">
        <v>824</v>
      </c>
      <c r="C3932" s="1186" t="s">
        <v>116</v>
      </c>
      <c r="D3932" s="1186" t="s">
        <v>29</v>
      </c>
      <c r="E3932" s="1186">
        <v>12</v>
      </c>
      <c r="F3932" s="1186">
        <v>148820</v>
      </c>
    </row>
    <row r="3933" spans="1:6" x14ac:dyDescent="0.2">
      <c r="A3933" s="1186" t="s">
        <v>1572</v>
      </c>
      <c r="B3933" s="1186" t="s">
        <v>824</v>
      </c>
      <c r="C3933" s="1186" t="s">
        <v>116</v>
      </c>
      <c r="D3933" s="1186" t="s">
        <v>30</v>
      </c>
      <c r="E3933" s="1186">
        <v>10</v>
      </c>
      <c r="F3933" s="1186">
        <v>121600</v>
      </c>
    </row>
    <row r="3934" spans="1:6" x14ac:dyDescent="0.2">
      <c r="A3934" s="1186" t="s">
        <v>1572</v>
      </c>
      <c r="B3934" s="1186" t="s">
        <v>824</v>
      </c>
      <c r="C3934" s="1186" t="s">
        <v>116</v>
      </c>
      <c r="D3934" s="1186" t="s">
        <v>31</v>
      </c>
      <c r="E3934" s="1186">
        <v>1</v>
      </c>
      <c r="F3934" s="1186">
        <v>108750</v>
      </c>
    </row>
    <row r="3935" spans="1:6" x14ac:dyDescent="0.2">
      <c r="A3935" s="1186" t="s">
        <v>1572</v>
      </c>
      <c r="B3935" s="1186" t="s">
        <v>824</v>
      </c>
      <c r="C3935" s="1186" t="s">
        <v>116</v>
      </c>
      <c r="D3935" s="1186" t="s">
        <v>32</v>
      </c>
      <c r="E3935" s="1186">
        <v>5</v>
      </c>
      <c r="F3935" s="1186">
        <v>107900</v>
      </c>
    </row>
    <row r="3936" spans="1:6" x14ac:dyDescent="0.2">
      <c r="A3936" s="1186" t="s">
        <v>1572</v>
      </c>
      <c r="B3936" s="1186" t="s">
        <v>824</v>
      </c>
      <c r="C3936" s="1186" t="s">
        <v>116</v>
      </c>
      <c r="D3936" s="1186" t="s">
        <v>33</v>
      </c>
      <c r="E3936" s="1186">
        <v>6</v>
      </c>
      <c r="F3936" s="1186">
        <v>96060</v>
      </c>
    </row>
    <row r="3937" spans="1:6" x14ac:dyDescent="0.2">
      <c r="A3937" s="1186" t="s">
        <v>1572</v>
      </c>
      <c r="B3937" s="1186" t="s">
        <v>824</v>
      </c>
      <c r="C3937" s="1186" t="s">
        <v>116</v>
      </c>
      <c r="D3937" s="1186" t="s">
        <v>34</v>
      </c>
      <c r="E3937" s="1186">
        <v>16</v>
      </c>
      <c r="F3937" s="1186">
        <v>160560</v>
      </c>
    </row>
    <row r="3938" spans="1:6" x14ac:dyDescent="0.2">
      <c r="A3938" s="1186" t="s">
        <v>1572</v>
      </c>
      <c r="B3938" s="1186" t="s">
        <v>824</v>
      </c>
      <c r="C3938" s="1186" t="s">
        <v>116</v>
      </c>
      <c r="D3938" s="1186" t="s">
        <v>35</v>
      </c>
      <c r="E3938" s="1186">
        <v>23</v>
      </c>
      <c r="F3938" s="1186">
        <v>374130</v>
      </c>
    </row>
    <row r="3939" spans="1:6" x14ac:dyDescent="0.2">
      <c r="A3939" s="1186" t="s">
        <v>1572</v>
      </c>
      <c r="B3939" s="1186" t="s">
        <v>824</v>
      </c>
      <c r="C3939" s="1186" t="s">
        <v>116</v>
      </c>
      <c r="D3939" s="1186" t="s">
        <v>36</v>
      </c>
      <c r="E3939" s="1186">
        <v>66</v>
      </c>
      <c r="F3939" s="1186">
        <v>635640</v>
      </c>
    </row>
    <row r="3940" spans="1:6" x14ac:dyDescent="0.2">
      <c r="A3940" s="1186" t="s">
        <v>1572</v>
      </c>
      <c r="B3940" s="1186" t="s">
        <v>824</v>
      </c>
      <c r="C3940" s="1186" t="s">
        <v>116</v>
      </c>
      <c r="D3940" s="1186" t="s">
        <v>37</v>
      </c>
      <c r="E3940" s="1186">
        <v>5</v>
      </c>
      <c r="F3940" s="1186">
        <v>235430</v>
      </c>
    </row>
    <row r="3941" spans="1:6" x14ac:dyDescent="0.2">
      <c r="A3941" s="1186" t="s">
        <v>1572</v>
      </c>
      <c r="B3941" s="1186" t="s">
        <v>824</v>
      </c>
      <c r="C3941" s="1186" t="s">
        <v>116</v>
      </c>
      <c r="D3941" s="1186" t="s">
        <v>38</v>
      </c>
      <c r="E3941" s="1186">
        <v>6</v>
      </c>
      <c r="F3941" s="1186">
        <v>77060</v>
      </c>
    </row>
    <row r="3942" spans="1:6" x14ac:dyDescent="0.2">
      <c r="A3942" s="1186" t="s">
        <v>1572</v>
      </c>
      <c r="B3942" s="1186" t="s">
        <v>824</v>
      </c>
      <c r="C3942" s="1186" t="s">
        <v>116</v>
      </c>
      <c r="D3942" s="1186" t="s">
        <v>39</v>
      </c>
      <c r="E3942" s="1186">
        <v>2</v>
      </c>
      <c r="F3942" s="1186">
        <v>93150</v>
      </c>
    </row>
    <row r="3943" spans="1:6" x14ac:dyDescent="0.2">
      <c r="A3943" s="1186" t="s">
        <v>1572</v>
      </c>
      <c r="B3943" s="1186" t="s">
        <v>824</v>
      </c>
      <c r="C3943" s="1186" t="s">
        <v>116</v>
      </c>
      <c r="D3943" s="1186" t="s">
        <v>40</v>
      </c>
      <c r="E3943" s="1186">
        <v>6</v>
      </c>
      <c r="F3943" s="1186">
        <v>95710</v>
      </c>
    </row>
    <row r="3944" spans="1:6" x14ac:dyDescent="0.2">
      <c r="A3944" s="1186" t="s">
        <v>1572</v>
      </c>
      <c r="B3944" s="1186" t="s">
        <v>824</v>
      </c>
      <c r="C3944" s="1186" t="s">
        <v>116</v>
      </c>
      <c r="D3944" s="1186" t="s">
        <v>41</v>
      </c>
      <c r="E3944" s="1186">
        <v>7</v>
      </c>
      <c r="F3944" s="1186">
        <v>134250</v>
      </c>
    </row>
    <row r="3945" spans="1:6" x14ac:dyDescent="0.2">
      <c r="A3945" s="1186" t="s">
        <v>1572</v>
      </c>
      <c r="B3945" s="1186" t="s">
        <v>824</v>
      </c>
      <c r="C3945" s="1186" t="s">
        <v>116</v>
      </c>
      <c r="D3945" s="1186" t="s">
        <v>42</v>
      </c>
      <c r="E3945" s="1186">
        <v>31</v>
      </c>
      <c r="F3945" s="1186">
        <v>341140</v>
      </c>
    </row>
    <row r="3946" spans="1:6" x14ac:dyDescent="0.2">
      <c r="A3946" s="1186" t="s">
        <v>1572</v>
      </c>
      <c r="B3946" s="1186" t="s">
        <v>824</v>
      </c>
      <c r="C3946" s="1186" t="s">
        <v>116</v>
      </c>
      <c r="D3946" s="1186" t="s">
        <v>44</v>
      </c>
      <c r="E3946" s="1186">
        <v>1</v>
      </c>
      <c r="F3946" s="1186">
        <v>151910</v>
      </c>
    </row>
    <row r="3947" spans="1:6" x14ac:dyDescent="0.2">
      <c r="A3947" s="1186" t="s">
        <v>1572</v>
      </c>
      <c r="B3947" s="1186" t="s">
        <v>824</v>
      </c>
      <c r="C3947" s="1186" t="s">
        <v>116</v>
      </c>
      <c r="D3947" s="1186" t="s">
        <v>45</v>
      </c>
      <c r="E3947" s="1186">
        <v>23</v>
      </c>
      <c r="F3947" s="1186">
        <v>179390</v>
      </c>
    </row>
    <row r="3948" spans="1:6" x14ac:dyDescent="0.2">
      <c r="A3948" s="1186" t="s">
        <v>1572</v>
      </c>
      <c r="B3948" s="1186" t="s">
        <v>824</v>
      </c>
      <c r="C3948" s="1186" t="s">
        <v>116</v>
      </c>
      <c r="D3948" s="1186" t="s">
        <v>46</v>
      </c>
      <c r="E3948" s="1186">
        <v>5</v>
      </c>
      <c r="F3948" s="1186">
        <v>115240</v>
      </c>
    </row>
    <row r="3949" spans="1:6" x14ac:dyDescent="0.2">
      <c r="A3949" s="1186" t="s">
        <v>1572</v>
      </c>
      <c r="B3949" s="1186" t="s">
        <v>824</v>
      </c>
      <c r="C3949" s="1186" t="s">
        <v>116</v>
      </c>
      <c r="D3949" s="1186" t="s">
        <v>48</v>
      </c>
      <c r="E3949" s="1186">
        <v>7</v>
      </c>
      <c r="F3949" s="1186">
        <v>112140</v>
      </c>
    </row>
    <row r="3950" spans="1:6" x14ac:dyDescent="0.2">
      <c r="A3950" s="1186" t="s">
        <v>1572</v>
      </c>
      <c r="B3950" s="1186" t="s">
        <v>824</v>
      </c>
      <c r="C3950" s="1186" t="s">
        <v>116</v>
      </c>
      <c r="D3950" s="1186" t="s">
        <v>49</v>
      </c>
      <c r="E3950" s="1186">
        <v>17</v>
      </c>
      <c r="F3950" s="1186">
        <v>320820</v>
      </c>
    </row>
    <row r="3951" spans="1:6" x14ac:dyDescent="0.2">
      <c r="A3951" s="1186" t="s">
        <v>1572</v>
      </c>
      <c r="B3951" s="1186" t="s">
        <v>824</v>
      </c>
      <c r="C3951" s="1186" t="s">
        <v>116</v>
      </c>
      <c r="D3951" s="1186" t="s">
        <v>50</v>
      </c>
      <c r="E3951" s="1186">
        <v>8</v>
      </c>
      <c r="F3951" s="1186">
        <v>94080</v>
      </c>
    </row>
    <row r="3952" spans="1:6" x14ac:dyDescent="0.2">
      <c r="A3952" s="1186" t="s">
        <v>1572</v>
      </c>
      <c r="B3952" s="1186" t="s">
        <v>824</v>
      </c>
      <c r="C3952" s="1186" t="s">
        <v>116</v>
      </c>
      <c r="D3952" s="1186" t="s">
        <v>51</v>
      </c>
      <c r="E3952" s="1186">
        <v>7</v>
      </c>
      <c r="F3952" s="1186">
        <v>88340</v>
      </c>
    </row>
    <row r="3953" spans="1:6" x14ac:dyDescent="0.2">
      <c r="A3953" s="1186" t="s">
        <v>1572</v>
      </c>
      <c r="B3953" s="1186" t="s">
        <v>824</v>
      </c>
      <c r="C3953" s="1186" t="s">
        <v>116</v>
      </c>
      <c r="D3953" s="1186" t="s">
        <v>52</v>
      </c>
      <c r="E3953" s="1186">
        <v>24</v>
      </c>
      <c r="F3953" s="1186">
        <v>183820</v>
      </c>
    </row>
    <row r="3954" spans="1:6" x14ac:dyDescent="0.2">
      <c r="A3954" s="1186" t="s">
        <v>1572</v>
      </c>
      <c r="B3954" s="1186" t="s">
        <v>825</v>
      </c>
      <c r="C3954" s="1186" t="s">
        <v>61</v>
      </c>
      <c r="D3954" s="1186" t="s">
        <v>23</v>
      </c>
      <c r="E3954" s="1186">
        <v>19</v>
      </c>
      <c r="F3954" s="1186">
        <v>229060</v>
      </c>
    </row>
    <row r="3955" spans="1:6" x14ac:dyDescent="0.2">
      <c r="A3955" s="1186" t="s">
        <v>1572</v>
      </c>
      <c r="B3955" s="1186" t="s">
        <v>825</v>
      </c>
      <c r="C3955" s="1186" t="s">
        <v>61</v>
      </c>
      <c r="D3955" s="1186" t="s">
        <v>24</v>
      </c>
      <c r="E3955" s="1186">
        <v>60</v>
      </c>
      <c r="F3955" s="1186">
        <v>260780</v>
      </c>
    </row>
    <row r="3956" spans="1:6" x14ac:dyDescent="0.2">
      <c r="A3956" s="1186" t="s">
        <v>1572</v>
      </c>
      <c r="B3956" s="1186" t="s">
        <v>825</v>
      </c>
      <c r="C3956" s="1186" t="s">
        <v>61</v>
      </c>
      <c r="D3956" s="1186" t="s">
        <v>25</v>
      </c>
      <c r="E3956" s="1186">
        <v>21</v>
      </c>
      <c r="F3956" s="1186">
        <v>115820</v>
      </c>
    </row>
    <row r="3957" spans="1:6" x14ac:dyDescent="0.2">
      <c r="A3957" s="1186" t="s">
        <v>1572</v>
      </c>
      <c r="B3957" s="1186" t="s">
        <v>825</v>
      </c>
      <c r="C3957" s="1186" t="s">
        <v>61</v>
      </c>
      <c r="D3957" s="1186" t="s">
        <v>26</v>
      </c>
      <c r="E3957" s="1186">
        <v>17</v>
      </c>
      <c r="F3957" s="1186">
        <v>85430</v>
      </c>
    </row>
    <row r="3958" spans="1:6" x14ac:dyDescent="0.2">
      <c r="A3958" s="1186" t="s">
        <v>1572</v>
      </c>
      <c r="B3958" s="1186" t="s">
        <v>825</v>
      </c>
      <c r="C3958" s="1186" t="s">
        <v>61</v>
      </c>
      <c r="D3958" s="1186" t="s">
        <v>619</v>
      </c>
      <c r="E3958" s="1186">
        <v>63</v>
      </c>
      <c r="F3958" s="1186">
        <v>527620</v>
      </c>
    </row>
    <row r="3959" spans="1:6" x14ac:dyDescent="0.2">
      <c r="A3959" s="1186" t="s">
        <v>1572</v>
      </c>
      <c r="B3959" s="1186" t="s">
        <v>825</v>
      </c>
      <c r="C3959" s="1186" t="s">
        <v>61</v>
      </c>
      <c r="D3959" s="1186" t="s">
        <v>27</v>
      </c>
      <c r="E3959" s="1186">
        <v>1</v>
      </c>
      <c r="F3959" s="1186">
        <v>51290</v>
      </c>
    </row>
    <row r="3960" spans="1:6" x14ac:dyDescent="0.2">
      <c r="A3960" s="1186" t="s">
        <v>1572</v>
      </c>
      <c r="B3960" s="1186" t="s">
        <v>825</v>
      </c>
      <c r="C3960" s="1186" t="s">
        <v>61</v>
      </c>
      <c r="D3960" s="1186" t="s">
        <v>28</v>
      </c>
      <c r="E3960" s="1186">
        <v>39</v>
      </c>
      <c r="F3960" s="1186">
        <v>148290</v>
      </c>
    </row>
    <row r="3961" spans="1:6" x14ac:dyDescent="0.2">
      <c r="A3961" s="1186" t="s">
        <v>1572</v>
      </c>
      <c r="B3961" s="1186" t="s">
        <v>825</v>
      </c>
      <c r="C3961" s="1186" t="s">
        <v>61</v>
      </c>
      <c r="D3961" s="1186" t="s">
        <v>29</v>
      </c>
      <c r="E3961" s="1186">
        <v>19</v>
      </c>
      <c r="F3961" s="1186">
        <v>148820</v>
      </c>
    </row>
    <row r="3962" spans="1:6" x14ac:dyDescent="0.2">
      <c r="A3962" s="1186" t="s">
        <v>1572</v>
      </c>
      <c r="B3962" s="1186" t="s">
        <v>825</v>
      </c>
      <c r="C3962" s="1186" t="s">
        <v>61</v>
      </c>
      <c r="D3962" s="1186" t="s">
        <v>30</v>
      </c>
      <c r="E3962" s="1186">
        <v>28</v>
      </c>
      <c r="F3962" s="1186">
        <v>121600</v>
      </c>
    </row>
    <row r="3963" spans="1:6" x14ac:dyDescent="0.2">
      <c r="A3963" s="1186" t="s">
        <v>1572</v>
      </c>
      <c r="B3963" s="1186" t="s">
        <v>825</v>
      </c>
      <c r="C3963" s="1186" t="s">
        <v>61</v>
      </c>
      <c r="D3963" s="1186" t="s">
        <v>31</v>
      </c>
      <c r="E3963" s="1186">
        <v>10</v>
      </c>
      <c r="F3963" s="1186">
        <v>108750</v>
      </c>
    </row>
    <row r="3964" spans="1:6" x14ac:dyDescent="0.2">
      <c r="A3964" s="1186" t="s">
        <v>1572</v>
      </c>
      <c r="B3964" s="1186" t="s">
        <v>825</v>
      </c>
      <c r="C3964" s="1186" t="s">
        <v>61</v>
      </c>
      <c r="D3964" s="1186" t="s">
        <v>32</v>
      </c>
      <c r="E3964" s="1186">
        <v>28</v>
      </c>
      <c r="F3964" s="1186">
        <v>107900</v>
      </c>
    </row>
    <row r="3965" spans="1:6" x14ac:dyDescent="0.2">
      <c r="A3965" s="1186" t="s">
        <v>1572</v>
      </c>
      <c r="B3965" s="1186" t="s">
        <v>825</v>
      </c>
      <c r="C3965" s="1186" t="s">
        <v>61</v>
      </c>
      <c r="D3965" s="1186" t="s">
        <v>33</v>
      </c>
      <c r="E3965" s="1186">
        <v>9</v>
      </c>
      <c r="F3965" s="1186">
        <v>96060</v>
      </c>
    </row>
    <row r="3966" spans="1:6" x14ac:dyDescent="0.2">
      <c r="A3966" s="1186" t="s">
        <v>1572</v>
      </c>
      <c r="B3966" s="1186" t="s">
        <v>825</v>
      </c>
      <c r="C3966" s="1186" t="s">
        <v>61</v>
      </c>
      <c r="D3966" s="1186" t="s">
        <v>34</v>
      </c>
      <c r="E3966" s="1186">
        <v>40</v>
      </c>
      <c r="F3966" s="1186">
        <v>160560</v>
      </c>
    </row>
    <row r="3967" spans="1:6" x14ac:dyDescent="0.2">
      <c r="A3967" s="1186" t="s">
        <v>1572</v>
      </c>
      <c r="B3967" s="1186" t="s">
        <v>825</v>
      </c>
      <c r="C3967" s="1186" t="s">
        <v>61</v>
      </c>
      <c r="D3967" s="1186" t="s">
        <v>35</v>
      </c>
      <c r="E3967" s="1186">
        <v>81</v>
      </c>
      <c r="F3967" s="1186">
        <v>374130</v>
      </c>
    </row>
    <row r="3968" spans="1:6" x14ac:dyDescent="0.2">
      <c r="A3968" s="1186" t="s">
        <v>1572</v>
      </c>
      <c r="B3968" s="1186" t="s">
        <v>825</v>
      </c>
      <c r="C3968" s="1186" t="s">
        <v>61</v>
      </c>
      <c r="D3968" s="1186" t="s">
        <v>36</v>
      </c>
      <c r="E3968" s="1186">
        <v>106</v>
      </c>
      <c r="F3968" s="1186">
        <v>635640</v>
      </c>
    </row>
    <row r="3969" spans="1:6" x14ac:dyDescent="0.2">
      <c r="A3969" s="1186" t="s">
        <v>1572</v>
      </c>
      <c r="B3969" s="1186" t="s">
        <v>825</v>
      </c>
      <c r="C3969" s="1186" t="s">
        <v>61</v>
      </c>
      <c r="D3969" s="1186" t="s">
        <v>37</v>
      </c>
      <c r="E3969" s="1186">
        <v>57</v>
      </c>
      <c r="F3969" s="1186">
        <v>235430</v>
      </c>
    </row>
    <row r="3970" spans="1:6" x14ac:dyDescent="0.2">
      <c r="A3970" s="1186" t="s">
        <v>1572</v>
      </c>
      <c r="B3970" s="1186" t="s">
        <v>825</v>
      </c>
      <c r="C3970" s="1186" t="s">
        <v>61</v>
      </c>
      <c r="D3970" s="1186" t="s">
        <v>38</v>
      </c>
      <c r="E3970" s="1186">
        <v>7</v>
      </c>
      <c r="F3970" s="1186">
        <v>77060</v>
      </c>
    </row>
    <row r="3971" spans="1:6" x14ac:dyDescent="0.2">
      <c r="A3971" s="1186" t="s">
        <v>1572</v>
      </c>
      <c r="B3971" s="1186" t="s">
        <v>825</v>
      </c>
      <c r="C3971" s="1186" t="s">
        <v>61</v>
      </c>
      <c r="D3971" s="1186" t="s">
        <v>39</v>
      </c>
      <c r="E3971" s="1186">
        <v>12</v>
      </c>
      <c r="F3971" s="1186">
        <v>93150</v>
      </c>
    </row>
    <row r="3972" spans="1:6" x14ac:dyDescent="0.2">
      <c r="A3972" s="1186" t="s">
        <v>1572</v>
      </c>
      <c r="B3972" s="1186" t="s">
        <v>825</v>
      </c>
      <c r="C3972" s="1186" t="s">
        <v>61</v>
      </c>
      <c r="D3972" s="1186" t="s">
        <v>40</v>
      </c>
      <c r="E3972" s="1186">
        <v>19</v>
      </c>
      <c r="F3972" s="1186">
        <v>95710</v>
      </c>
    </row>
    <row r="3973" spans="1:6" x14ac:dyDescent="0.2">
      <c r="A3973" s="1186" t="s">
        <v>1572</v>
      </c>
      <c r="B3973" s="1186" t="s">
        <v>825</v>
      </c>
      <c r="C3973" s="1186" t="s">
        <v>61</v>
      </c>
      <c r="D3973" s="1186" t="s">
        <v>295</v>
      </c>
      <c r="E3973" s="1186">
        <v>7</v>
      </c>
      <c r="F3973" s="1186">
        <v>26500</v>
      </c>
    </row>
    <row r="3974" spans="1:6" x14ac:dyDescent="0.2">
      <c r="A3974" s="1186" t="s">
        <v>1572</v>
      </c>
      <c r="B3974" s="1186" t="s">
        <v>825</v>
      </c>
      <c r="C3974" s="1186" t="s">
        <v>61</v>
      </c>
      <c r="D3974" s="1186" t="s">
        <v>41</v>
      </c>
      <c r="E3974" s="1186">
        <v>25</v>
      </c>
      <c r="F3974" s="1186">
        <v>134250</v>
      </c>
    </row>
    <row r="3975" spans="1:6" x14ac:dyDescent="0.2">
      <c r="A3975" s="1186" t="s">
        <v>1572</v>
      </c>
      <c r="B3975" s="1186" t="s">
        <v>825</v>
      </c>
      <c r="C3975" s="1186" t="s">
        <v>61</v>
      </c>
      <c r="D3975" s="1186" t="s">
        <v>42</v>
      </c>
      <c r="E3975" s="1186">
        <v>102</v>
      </c>
      <c r="F3975" s="1186">
        <v>341140</v>
      </c>
    </row>
    <row r="3976" spans="1:6" x14ac:dyDescent="0.2">
      <c r="A3976" s="1186" t="s">
        <v>1572</v>
      </c>
      <c r="B3976" s="1186" t="s">
        <v>825</v>
      </c>
      <c r="C3976" s="1186" t="s">
        <v>61</v>
      </c>
      <c r="D3976" s="1186" t="s">
        <v>43</v>
      </c>
      <c r="E3976" s="1186">
        <v>7</v>
      </c>
      <c r="F3976" s="1186">
        <v>22400</v>
      </c>
    </row>
    <row r="3977" spans="1:6" x14ac:dyDescent="0.2">
      <c r="A3977" s="1186" t="s">
        <v>1572</v>
      </c>
      <c r="B3977" s="1186" t="s">
        <v>825</v>
      </c>
      <c r="C3977" s="1186" t="s">
        <v>61</v>
      </c>
      <c r="D3977" s="1186" t="s">
        <v>44</v>
      </c>
      <c r="E3977" s="1186">
        <v>45</v>
      </c>
      <c r="F3977" s="1186">
        <v>151910</v>
      </c>
    </row>
    <row r="3978" spans="1:6" x14ac:dyDescent="0.2">
      <c r="A3978" s="1186" t="s">
        <v>1572</v>
      </c>
      <c r="B3978" s="1186" t="s">
        <v>825</v>
      </c>
      <c r="C3978" s="1186" t="s">
        <v>61</v>
      </c>
      <c r="D3978" s="1186" t="s">
        <v>45</v>
      </c>
      <c r="E3978" s="1186">
        <v>19</v>
      </c>
      <c r="F3978" s="1186">
        <v>179390</v>
      </c>
    </row>
    <row r="3979" spans="1:6" x14ac:dyDescent="0.2">
      <c r="A3979" s="1186" t="s">
        <v>1572</v>
      </c>
      <c r="B3979" s="1186" t="s">
        <v>825</v>
      </c>
      <c r="C3979" s="1186" t="s">
        <v>61</v>
      </c>
      <c r="D3979" s="1186" t="s">
        <v>46</v>
      </c>
      <c r="E3979" s="1186">
        <v>28</v>
      </c>
      <c r="F3979" s="1186">
        <v>115240</v>
      </c>
    </row>
    <row r="3980" spans="1:6" x14ac:dyDescent="0.2">
      <c r="A3980" s="1186" t="s">
        <v>1572</v>
      </c>
      <c r="B3980" s="1186" t="s">
        <v>825</v>
      </c>
      <c r="C3980" s="1186" t="s">
        <v>61</v>
      </c>
      <c r="D3980" s="1186" t="s">
        <v>47</v>
      </c>
      <c r="E3980" s="1186">
        <v>13</v>
      </c>
      <c r="F3980" s="1186">
        <v>22870</v>
      </c>
    </row>
    <row r="3981" spans="1:6" x14ac:dyDescent="0.2">
      <c r="A3981" s="1186" t="s">
        <v>1572</v>
      </c>
      <c r="B3981" s="1186" t="s">
        <v>825</v>
      </c>
      <c r="C3981" s="1186" t="s">
        <v>61</v>
      </c>
      <c r="D3981" s="1186" t="s">
        <v>48</v>
      </c>
      <c r="E3981" s="1186">
        <v>21</v>
      </c>
      <c r="F3981" s="1186">
        <v>112140</v>
      </c>
    </row>
    <row r="3982" spans="1:6" x14ac:dyDescent="0.2">
      <c r="A3982" s="1186" t="s">
        <v>1572</v>
      </c>
      <c r="B3982" s="1186" t="s">
        <v>825</v>
      </c>
      <c r="C3982" s="1186" t="s">
        <v>61</v>
      </c>
      <c r="D3982" s="1186" t="s">
        <v>49</v>
      </c>
      <c r="E3982" s="1186">
        <v>77</v>
      </c>
      <c r="F3982" s="1186">
        <v>320820</v>
      </c>
    </row>
    <row r="3983" spans="1:6" x14ac:dyDescent="0.2">
      <c r="A3983" s="1186" t="s">
        <v>1572</v>
      </c>
      <c r="B3983" s="1186" t="s">
        <v>825</v>
      </c>
      <c r="C3983" s="1186" t="s">
        <v>61</v>
      </c>
      <c r="D3983" s="1186" t="s">
        <v>50</v>
      </c>
      <c r="E3983" s="1186">
        <v>25</v>
      </c>
      <c r="F3983" s="1186">
        <v>94080</v>
      </c>
    </row>
    <row r="3984" spans="1:6" x14ac:dyDescent="0.2">
      <c r="A3984" s="1186" t="s">
        <v>1572</v>
      </c>
      <c r="B3984" s="1186" t="s">
        <v>825</v>
      </c>
      <c r="C3984" s="1186" t="s">
        <v>61</v>
      </c>
      <c r="D3984" s="1186" t="s">
        <v>51</v>
      </c>
      <c r="E3984" s="1186">
        <v>13</v>
      </c>
      <c r="F3984" s="1186">
        <v>88340</v>
      </c>
    </row>
    <row r="3985" spans="1:6" x14ac:dyDescent="0.2">
      <c r="A3985" s="1186" t="s">
        <v>1572</v>
      </c>
      <c r="B3985" s="1186" t="s">
        <v>825</v>
      </c>
      <c r="C3985" s="1186" t="s">
        <v>61</v>
      </c>
      <c r="D3985" s="1186" t="s">
        <v>52</v>
      </c>
      <c r="E3985" s="1186">
        <v>37</v>
      </c>
      <c r="F3985" s="1186">
        <v>183820</v>
      </c>
    </row>
    <row r="3986" spans="1:6" x14ac:dyDescent="0.2">
      <c r="A3986" s="1186" t="s">
        <v>1572</v>
      </c>
      <c r="B3986" s="1186" t="s">
        <v>825</v>
      </c>
      <c r="C3986" s="1186" t="s">
        <v>116</v>
      </c>
      <c r="D3986" s="1186" t="s">
        <v>23</v>
      </c>
      <c r="E3986" s="1186">
        <v>18</v>
      </c>
      <c r="F3986" s="1186">
        <v>229060</v>
      </c>
    </row>
    <row r="3987" spans="1:6" x14ac:dyDescent="0.2">
      <c r="A3987" s="1186" t="s">
        <v>1572</v>
      </c>
      <c r="B3987" s="1186" t="s">
        <v>825</v>
      </c>
      <c r="C3987" s="1186" t="s">
        <v>116</v>
      </c>
      <c r="D3987" s="1186" t="s">
        <v>24</v>
      </c>
      <c r="E3987" s="1186">
        <v>12</v>
      </c>
      <c r="F3987" s="1186">
        <v>260780</v>
      </c>
    </row>
    <row r="3988" spans="1:6" x14ac:dyDescent="0.2">
      <c r="A3988" s="1186" t="s">
        <v>1572</v>
      </c>
      <c r="B3988" s="1186" t="s">
        <v>825</v>
      </c>
      <c r="C3988" s="1186" t="s">
        <v>116</v>
      </c>
      <c r="D3988" s="1186" t="s">
        <v>25</v>
      </c>
      <c r="E3988" s="1186">
        <v>5</v>
      </c>
      <c r="F3988" s="1186">
        <v>115820</v>
      </c>
    </row>
    <row r="3989" spans="1:6" x14ac:dyDescent="0.2">
      <c r="A3989" s="1186" t="s">
        <v>1572</v>
      </c>
      <c r="B3989" s="1186" t="s">
        <v>825</v>
      </c>
      <c r="C3989" s="1186" t="s">
        <v>116</v>
      </c>
      <c r="D3989" s="1186" t="s">
        <v>26</v>
      </c>
      <c r="E3989" s="1186">
        <v>3</v>
      </c>
      <c r="F3989" s="1186">
        <v>85430</v>
      </c>
    </row>
    <row r="3990" spans="1:6" x14ac:dyDescent="0.2">
      <c r="A3990" s="1186" t="s">
        <v>1572</v>
      </c>
      <c r="B3990" s="1186" t="s">
        <v>825</v>
      </c>
      <c r="C3990" s="1186" t="s">
        <v>116</v>
      </c>
      <c r="D3990" s="1186" t="s">
        <v>619</v>
      </c>
      <c r="E3990" s="1186">
        <v>72</v>
      </c>
      <c r="F3990" s="1186">
        <v>527620</v>
      </c>
    </row>
    <row r="3991" spans="1:6" x14ac:dyDescent="0.2">
      <c r="A3991" s="1186" t="s">
        <v>1572</v>
      </c>
      <c r="B3991" s="1186" t="s">
        <v>825</v>
      </c>
      <c r="C3991" s="1186" t="s">
        <v>116</v>
      </c>
      <c r="D3991" s="1186" t="s">
        <v>27</v>
      </c>
      <c r="E3991" s="1186">
        <v>2</v>
      </c>
      <c r="F3991" s="1186">
        <v>51290</v>
      </c>
    </row>
    <row r="3992" spans="1:6" x14ac:dyDescent="0.2">
      <c r="A3992" s="1186" t="s">
        <v>1572</v>
      </c>
      <c r="B3992" s="1186" t="s">
        <v>825</v>
      </c>
      <c r="C3992" s="1186" t="s">
        <v>116</v>
      </c>
      <c r="D3992" s="1186" t="s">
        <v>28</v>
      </c>
      <c r="E3992" s="1186">
        <v>5</v>
      </c>
      <c r="F3992" s="1186">
        <v>148290</v>
      </c>
    </row>
    <row r="3993" spans="1:6" x14ac:dyDescent="0.2">
      <c r="A3993" s="1186" t="s">
        <v>1572</v>
      </c>
      <c r="B3993" s="1186" t="s">
        <v>825</v>
      </c>
      <c r="C3993" s="1186" t="s">
        <v>116</v>
      </c>
      <c r="D3993" s="1186" t="s">
        <v>29</v>
      </c>
      <c r="E3993" s="1186">
        <v>13</v>
      </c>
      <c r="F3993" s="1186">
        <v>148820</v>
      </c>
    </row>
    <row r="3994" spans="1:6" x14ac:dyDescent="0.2">
      <c r="A3994" s="1186" t="s">
        <v>1572</v>
      </c>
      <c r="B3994" s="1186" t="s">
        <v>825</v>
      </c>
      <c r="C3994" s="1186" t="s">
        <v>116</v>
      </c>
      <c r="D3994" s="1186" t="s">
        <v>30</v>
      </c>
      <c r="E3994" s="1186">
        <v>18</v>
      </c>
      <c r="F3994" s="1186">
        <v>121600</v>
      </c>
    </row>
    <row r="3995" spans="1:6" x14ac:dyDescent="0.2">
      <c r="A3995" s="1186" t="s">
        <v>1572</v>
      </c>
      <c r="B3995" s="1186" t="s">
        <v>825</v>
      </c>
      <c r="C3995" s="1186" t="s">
        <v>116</v>
      </c>
      <c r="D3995" s="1186" t="s">
        <v>31</v>
      </c>
      <c r="E3995" s="1186">
        <v>17</v>
      </c>
      <c r="F3995" s="1186">
        <v>108750</v>
      </c>
    </row>
    <row r="3996" spans="1:6" x14ac:dyDescent="0.2">
      <c r="A3996" s="1186" t="s">
        <v>1572</v>
      </c>
      <c r="B3996" s="1186" t="s">
        <v>825</v>
      </c>
      <c r="C3996" s="1186" t="s">
        <v>116</v>
      </c>
      <c r="D3996" s="1186" t="s">
        <v>32</v>
      </c>
      <c r="E3996" s="1186">
        <v>8</v>
      </c>
      <c r="F3996" s="1186">
        <v>107900</v>
      </c>
    </row>
    <row r="3997" spans="1:6" x14ac:dyDescent="0.2">
      <c r="A3997" s="1186" t="s">
        <v>1572</v>
      </c>
      <c r="B3997" s="1186" t="s">
        <v>825</v>
      </c>
      <c r="C3997" s="1186" t="s">
        <v>116</v>
      </c>
      <c r="D3997" s="1186" t="s">
        <v>33</v>
      </c>
      <c r="E3997" s="1186">
        <v>15</v>
      </c>
      <c r="F3997" s="1186">
        <v>96060</v>
      </c>
    </row>
    <row r="3998" spans="1:6" x14ac:dyDescent="0.2">
      <c r="A3998" s="1186" t="s">
        <v>1572</v>
      </c>
      <c r="B3998" s="1186" t="s">
        <v>825</v>
      </c>
      <c r="C3998" s="1186" t="s">
        <v>116</v>
      </c>
      <c r="D3998" s="1186" t="s">
        <v>34</v>
      </c>
      <c r="E3998" s="1186">
        <v>10</v>
      </c>
      <c r="F3998" s="1186">
        <v>160560</v>
      </c>
    </row>
    <row r="3999" spans="1:6" x14ac:dyDescent="0.2">
      <c r="A3999" s="1186" t="s">
        <v>1572</v>
      </c>
      <c r="B3999" s="1186" t="s">
        <v>825</v>
      </c>
      <c r="C3999" s="1186" t="s">
        <v>116</v>
      </c>
      <c r="D3999" s="1186" t="s">
        <v>35</v>
      </c>
      <c r="E3999" s="1186">
        <v>28</v>
      </c>
      <c r="F3999" s="1186">
        <v>374130</v>
      </c>
    </row>
    <row r="4000" spans="1:6" x14ac:dyDescent="0.2">
      <c r="A4000" s="1186" t="s">
        <v>1572</v>
      </c>
      <c r="B4000" s="1186" t="s">
        <v>825</v>
      </c>
      <c r="C4000" s="1186" t="s">
        <v>116</v>
      </c>
      <c r="D4000" s="1186" t="s">
        <v>36</v>
      </c>
      <c r="E4000" s="1186">
        <v>192</v>
      </c>
      <c r="F4000" s="1186">
        <v>635640</v>
      </c>
    </row>
    <row r="4001" spans="1:6" x14ac:dyDescent="0.2">
      <c r="A4001" s="1186" t="s">
        <v>1572</v>
      </c>
      <c r="B4001" s="1186" t="s">
        <v>825</v>
      </c>
      <c r="C4001" s="1186" t="s">
        <v>116</v>
      </c>
      <c r="D4001" s="1186" t="s">
        <v>37</v>
      </c>
      <c r="E4001" s="1186">
        <v>4</v>
      </c>
      <c r="F4001" s="1186">
        <v>235430</v>
      </c>
    </row>
    <row r="4002" spans="1:6" x14ac:dyDescent="0.2">
      <c r="A4002" s="1186" t="s">
        <v>1572</v>
      </c>
      <c r="B4002" s="1186" t="s">
        <v>825</v>
      </c>
      <c r="C4002" s="1186" t="s">
        <v>116</v>
      </c>
      <c r="D4002" s="1186" t="s">
        <v>38</v>
      </c>
      <c r="E4002" s="1186">
        <v>22</v>
      </c>
      <c r="F4002" s="1186">
        <v>77060</v>
      </c>
    </row>
    <row r="4003" spans="1:6" x14ac:dyDescent="0.2">
      <c r="A4003" s="1186" t="s">
        <v>1572</v>
      </c>
      <c r="B4003" s="1186" t="s">
        <v>825</v>
      </c>
      <c r="C4003" s="1186" t="s">
        <v>116</v>
      </c>
      <c r="D4003" s="1186" t="s">
        <v>39</v>
      </c>
      <c r="E4003" s="1186">
        <v>7</v>
      </c>
      <c r="F4003" s="1186">
        <v>93150</v>
      </c>
    </row>
    <row r="4004" spans="1:6" x14ac:dyDescent="0.2">
      <c r="A4004" s="1186" t="s">
        <v>1572</v>
      </c>
      <c r="B4004" s="1186" t="s">
        <v>825</v>
      </c>
      <c r="C4004" s="1186" t="s">
        <v>116</v>
      </c>
      <c r="D4004" s="1186" t="s">
        <v>40</v>
      </c>
      <c r="E4004" s="1186">
        <v>4</v>
      </c>
      <c r="F4004" s="1186">
        <v>95710</v>
      </c>
    </row>
    <row r="4005" spans="1:6" x14ac:dyDescent="0.2">
      <c r="A4005" s="1186" t="s">
        <v>1572</v>
      </c>
      <c r="B4005" s="1186" t="s">
        <v>825</v>
      </c>
      <c r="C4005" s="1186" t="s">
        <v>116</v>
      </c>
      <c r="D4005" s="1186" t="s">
        <v>295</v>
      </c>
      <c r="E4005" s="1186">
        <v>1</v>
      </c>
      <c r="F4005" s="1186">
        <v>26500</v>
      </c>
    </row>
    <row r="4006" spans="1:6" x14ac:dyDescent="0.2">
      <c r="A4006" s="1186" t="s">
        <v>1572</v>
      </c>
      <c r="B4006" s="1186" t="s">
        <v>825</v>
      </c>
      <c r="C4006" s="1186" t="s">
        <v>116</v>
      </c>
      <c r="D4006" s="1186" t="s">
        <v>41</v>
      </c>
      <c r="E4006" s="1186">
        <v>10</v>
      </c>
      <c r="F4006" s="1186">
        <v>134250</v>
      </c>
    </row>
    <row r="4007" spans="1:6" x14ac:dyDescent="0.2">
      <c r="A4007" s="1186" t="s">
        <v>1572</v>
      </c>
      <c r="B4007" s="1186" t="s">
        <v>825</v>
      </c>
      <c r="C4007" s="1186" t="s">
        <v>116</v>
      </c>
      <c r="D4007" s="1186" t="s">
        <v>42</v>
      </c>
      <c r="E4007" s="1186">
        <v>115</v>
      </c>
      <c r="F4007" s="1186">
        <v>341140</v>
      </c>
    </row>
    <row r="4008" spans="1:6" x14ac:dyDescent="0.2">
      <c r="A4008" s="1186" t="s">
        <v>1572</v>
      </c>
      <c r="B4008" s="1186" t="s">
        <v>825</v>
      </c>
      <c r="C4008" s="1186" t="s">
        <v>116</v>
      </c>
      <c r="D4008" s="1186" t="s">
        <v>44</v>
      </c>
      <c r="E4008" s="1186">
        <v>7</v>
      </c>
      <c r="F4008" s="1186">
        <v>151910</v>
      </c>
    </row>
    <row r="4009" spans="1:6" x14ac:dyDescent="0.2">
      <c r="A4009" s="1186" t="s">
        <v>1572</v>
      </c>
      <c r="B4009" s="1186" t="s">
        <v>825</v>
      </c>
      <c r="C4009" s="1186" t="s">
        <v>116</v>
      </c>
      <c r="D4009" s="1186" t="s">
        <v>45</v>
      </c>
      <c r="E4009" s="1186">
        <v>36</v>
      </c>
      <c r="F4009" s="1186">
        <v>179390</v>
      </c>
    </row>
    <row r="4010" spans="1:6" x14ac:dyDescent="0.2">
      <c r="A4010" s="1186" t="s">
        <v>1572</v>
      </c>
      <c r="B4010" s="1186" t="s">
        <v>825</v>
      </c>
      <c r="C4010" s="1186" t="s">
        <v>116</v>
      </c>
      <c r="D4010" s="1186" t="s">
        <v>46</v>
      </c>
      <c r="E4010" s="1186">
        <v>5</v>
      </c>
      <c r="F4010" s="1186">
        <v>115240</v>
      </c>
    </row>
    <row r="4011" spans="1:6" x14ac:dyDescent="0.2">
      <c r="A4011" s="1186" t="s">
        <v>1572</v>
      </c>
      <c r="B4011" s="1186" t="s">
        <v>825</v>
      </c>
      <c r="C4011" s="1186" t="s">
        <v>116</v>
      </c>
      <c r="D4011" s="1186" t="s">
        <v>48</v>
      </c>
      <c r="E4011" s="1186">
        <v>5</v>
      </c>
      <c r="F4011" s="1186">
        <v>112140</v>
      </c>
    </row>
    <row r="4012" spans="1:6" x14ac:dyDescent="0.2">
      <c r="A4012" s="1186" t="s">
        <v>1572</v>
      </c>
      <c r="B4012" s="1186" t="s">
        <v>825</v>
      </c>
      <c r="C4012" s="1186" t="s">
        <v>116</v>
      </c>
      <c r="D4012" s="1186" t="s">
        <v>49</v>
      </c>
      <c r="E4012" s="1186">
        <v>75</v>
      </c>
      <c r="F4012" s="1186">
        <v>320820</v>
      </c>
    </row>
    <row r="4013" spans="1:6" x14ac:dyDescent="0.2">
      <c r="A4013" s="1186" t="s">
        <v>1572</v>
      </c>
      <c r="B4013" s="1186" t="s">
        <v>825</v>
      </c>
      <c r="C4013" s="1186" t="s">
        <v>116</v>
      </c>
      <c r="D4013" s="1186" t="s">
        <v>50</v>
      </c>
      <c r="E4013" s="1186">
        <v>8</v>
      </c>
      <c r="F4013" s="1186">
        <v>94080</v>
      </c>
    </row>
    <row r="4014" spans="1:6" x14ac:dyDescent="0.2">
      <c r="A4014" s="1186" t="s">
        <v>1572</v>
      </c>
      <c r="B4014" s="1186" t="s">
        <v>825</v>
      </c>
      <c r="C4014" s="1186" t="s">
        <v>116</v>
      </c>
      <c r="D4014" s="1186" t="s">
        <v>51</v>
      </c>
      <c r="E4014" s="1186">
        <v>19</v>
      </c>
      <c r="F4014" s="1186">
        <v>88340</v>
      </c>
    </row>
    <row r="4015" spans="1:6" x14ac:dyDescent="0.2">
      <c r="A4015" s="1186" t="s">
        <v>1572</v>
      </c>
      <c r="B4015" s="1186" t="s">
        <v>825</v>
      </c>
      <c r="C4015" s="1186" t="s">
        <v>116</v>
      </c>
      <c r="D4015" s="1186" t="s">
        <v>52</v>
      </c>
      <c r="E4015" s="1186">
        <v>25</v>
      </c>
      <c r="F4015" s="1186">
        <v>183820</v>
      </c>
    </row>
    <row r="4016" spans="1:6" x14ac:dyDescent="0.2">
      <c r="A4016" s="1186" t="s">
        <v>1572</v>
      </c>
      <c r="B4016" s="1186" t="s">
        <v>826</v>
      </c>
      <c r="C4016" s="1186" t="s">
        <v>61</v>
      </c>
      <c r="D4016" s="1186" t="s">
        <v>23</v>
      </c>
      <c r="E4016" s="1186">
        <v>15</v>
      </c>
      <c r="F4016" s="1186">
        <v>229060</v>
      </c>
    </row>
    <row r="4017" spans="1:6" x14ac:dyDescent="0.2">
      <c r="A4017" s="1186" t="s">
        <v>1572</v>
      </c>
      <c r="B4017" s="1186" t="s">
        <v>826</v>
      </c>
      <c r="C4017" s="1186" t="s">
        <v>61</v>
      </c>
      <c r="D4017" s="1186" t="s">
        <v>24</v>
      </c>
      <c r="E4017" s="1186">
        <v>35</v>
      </c>
      <c r="F4017" s="1186">
        <v>260780</v>
      </c>
    </row>
    <row r="4018" spans="1:6" x14ac:dyDescent="0.2">
      <c r="A4018" s="1186" t="s">
        <v>1572</v>
      </c>
      <c r="B4018" s="1186" t="s">
        <v>826</v>
      </c>
      <c r="C4018" s="1186" t="s">
        <v>61</v>
      </c>
      <c r="D4018" s="1186" t="s">
        <v>25</v>
      </c>
      <c r="E4018" s="1186">
        <v>14</v>
      </c>
      <c r="F4018" s="1186">
        <v>115820</v>
      </c>
    </row>
    <row r="4019" spans="1:6" x14ac:dyDescent="0.2">
      <c r="A4019" s="1186" t="s">
        <v>1572</v>
      </c>
      <c r="B4019" s="1186" t="s">
        <v>826</v>
      </c>
      <c r="C4019" s="1186" t="s">
        <v>61</v>
      </c>
      <c r="D4019" s="1186" t="s">
        <v>26</v>
      </c>
      <c r="E4019" s="1186">
        <v>14</v>
      </c>
      <c r="F4019" s="1186">
        <v>85430</v>
      </c>
    </row>
    <row r="4020" spans="1:6" x14ac:dyDescent="0.2">
      <c r="A4020" s="1186" t="s">
        <v>1572</v>
      </c>
      <c r="B4020" s="1186" t="s">
        <v>826</v>
      </c>
      <c r="C4020" s="1186" t="s">
        <v>61</v>
      </c>
      <c r="D4020" s="1186" t="s">
        <v>619</v>
      </c>
      <c r="E4020" s="1186">
        <v>22</v>
      </c>
      <c r="F4020" s="1186">
        <v>527620</v>
      </c>
    </row>
    <row r="4021" spans="1:6" x14ac:dyDescent="0.2">
      <c r="A4021" s="1186" t="s">
        <v>1572</v>
      </c>
      <c r="B4021" s="1186" t="s">
        <v>826</v>
      </c>
      <c r="C4021" s="1186" t="s">
        <v>61</v>
      </c>
      <c r="D4021" s="1186" t="s">
        <v>27</v>
      </c>
      <c r="E4021" s="1186">
        <v>3</v>
      </c>
      <c r="F4021" s="1186">
        <v>51290</v>
      </c>
    </row>
    <row r="4022" spans="1:6" x14ac:dyDescent="0.2">
      <c r="A4022" s="1186" t="s">
        <v>1572</v>
      </c>
      <c r="B4022" s="1186" t="s">
        <v>826</v>
      </c>
      <c r="C4022" s="1186" t="s">
        <v>61</v>
      </c>
      <c r="D4022" s="1186" t="s">
        <v>28</v>
      </c>
      <c r="E4022" s="1186">
        <v>22</v>
      </c>
      <c r="F4022" s="1186">
        <v>148290</v>
      </c>
    </row>
    <row r="4023" spans="1:6" x14ac:dyDescent="0.2">
      <c r="A4023" s="1186" t="s">
        <v>1572</v>
      </c>
      <c r="B4023" s="1186" t="s">
        <v>826</v>
      </c>
      <c r="C4023" s="1186" t="s">
        <v>61</v>
      </c>
      <c r="D4023" s="1186" t="s">
        <v>29</v>
      </c>
      <c r="E4023" s="1186">
        <v>14</v>
      </c>
      <c r="F4023" s="1186">
        <v>148820</v>
      </c>
    </row>
    <row r="4024" spans="1:6" x14ac:dyDescent="0.2">
      <c r="A4024" s="1186" t="s">
        <v>1572</v>
      </c>
      <c r="B4024" s="1186" t="s">
        <v>826</v>
      </c>
      <c r="C4024" s="1186" t="s">
        <v>61</v>
      </c>
      <c r="D4024" s="1186" t="s">
        <v>30</v>
      </c>
      <c r="E4024" s="1186">
        <v>11</v>
      </c>
      <c r="F4024" s="1186">
        <v>121600</v>
      </c>
    </row>
    <row r="4025" spans="1:6" x14ac:dyDescent="0.2">
      <c r="A4025" s="1186" t="s">
        <v>1572</v>
      </c>
      <c r="B4025" s="1186" t="s">
        <v>826</v>
      </c>
      <c r="C4025" s="1186" t="s">
        <v>61</v>
      </c>
      <c r="D4025" s="1186" t="s">
        <v>31</v>
      </c>
      <c r="E4025" s="1186">
        <v>1</v>
      </c>
      <c r="F4025" s="1186">
        <v>108750</v>
      </c>
    </row>
    <row r="4026" spans="1:6" x14ac:dyDescent="0.2">
      <c r="A4026" s="1186" t="s">
        <v>1572</v>
      </c>
      <c r="B4026" s="1186" t="s">
        <v>826</v>
      </c>
      <c r="C4026" s="1186" t="s">
        <v>61</v>
      </c>
      <c r="D4026" s="1186" t="s">
        <v>32</v>
      </c>
      <c r="E4026" s="1186">
        <v>12</v>
      </c>
      <c r="F4026" s="1186">
        <v>107900</v>
      </c>
    </row>
    <row r="4027" spans="1:6" x14ac:dyDescent="0.2">
      <c r="A4027" s="1186" t="s">
        <v>1572</v>
      </c>
      <c r="B4027" s="1186" t="s">
        <v>826</v>
      </c>
      <c r="C4027" s="1186" t="s">
        <v>61</v>
      </c>
      <c r="D4027" s="1186" t="s">
        <v>33</v>
      </c>
      <c r="E4027" s="1186">
        <v>1</v>
      </c>
      <c r="F4027" s="1186">
        <v>96060</v>
      </c>
    </row>
    <row r="4028" spans="1:6" x14ac:dyDescent="0.2">
      <c r="A4028" s="1186" t="s">
        <v>1572</v>
      </c>
      <c r="B4028" s="1186" t="s">
        <v>826</v>
      </c>
      <c r="C4028" s="1186" t="s">
        <v>61</v>
      </c>
      <c r="D4028" s="1186" t="s">
        <v>34</v>
      </c>
      <c r="E4028" s="1186">
        <v>22</v>
      </c>
      <c r="F4028" s="1186">
        <v>160560</v>
      </c>
    </row>
    <row r="4029" spans="1:6" x14ac:dyDescent="0.2">
      <c r="A4029" s="1186" t="s">
        <v>1572</v>
      </c>
      <c r="B4029" s="1186" t="s">
        <v>826</v>
      </c>
      <c r="C4029" s="1186" t="s">
        <v>61</v>
      </c>
      <c r="D4029" s="1186" t="s">
        <v>35</v>
      </c>
      <c r="E4029" s="1186">
        <v>35</v>
      </c>
      <c r="F4029" s="1186">
        <v>374130</v>
      </c>
    </row>
    <row r="4030" spans="1:6" x14ac:dyDescent="0.2">
      <c r="A4030" s="1186" t="s">
        <v>1572</v>
      </c>
      <c r="B4030" s="1186" t="s">
        <v>826</v>
      </c>
      <c r="C4030" s="1186" t="s">
        <v>61</v>
      </c>
      <c r="D4030" s="1186" t="s">
        <v>36</v>
      </c>
      <c r="E4030" s="1186">
        <v>31</v>
      </c>
      <c r="F4030" s="1186">
        <v>635640</v>
      </c>
    </row>
    <row r="4031" spans="1:6" x14ac:dyDescent="0.2">
      <c r="A4031" s="1186" t="s">
        <v>1572</v>
      </c>
      <c r="B4031" s="1186" t="s">
        <v>826</v>
      </c>
      <c r="C4031" s="1186" t="s">
        <v>61</v>
      </c>
      <c r="D4031" s="1186" t="s">
        <v>37</v>
      </c>
      <c r="E4031" s="1186">
        <v>53</v>
      </c>
      <c r="F4031" s="1186">
        <v>235430</v>
      </c>
    </row>
    <row r="4032" spans="1:6" x14ac:dyDescent="0.2">
      <c r="A4032" s="1186" t="s">
        <v>1572</v>
      </c>
      <c r="B4032" s="1186" t="s">
        <v>826</v>
      </c>
      <c r="C4032" s="1186" t="s">
        <v>61</v>
      </c>
      <c r="D4032" s="1186" t="s">
        <v>38</v>
      </c>
      <c r="E4032" s="1186">
        <v>2</v>
      </c>
      <c r="F4032" s="1186">
        <v>77060</v>
      </c>
    </row>
    <row r="4033" spans="1:6" x14ac:dyDescent="0.2">
      <c r="A4033" s="1186" t="s">
        <v>1572</v>
      </c>
      <c r="B4033" s="1186" t="s">
        <v>826</v>
      </c>
      <c r="C4033" s="1186" t="s">
        <v>61</v>
      </c>
      <c r="D4033" s="1186" t="s">
        <v>39</v>
      </c>
      <c r="E4033" s="1186">
        <v>16</v>
      </c>
      <c r="F4033" s="1186">
        <v>93150</v>
      </c>
    </row>
    <row r="4034" spans="1:6" x14ac:dyDescent="0.2">
      <c r="A4034" s="1186" t="s">
        <v>1572</v>
      </c>
      <c r="B4034" s="1186" t="s">
        <v>826</v>
      </c>
      <c r="C4034" s="1186" t="s">
        <v>61</v>
      </c>
      <c r="D4034" s="1186" t="s">
        <v>40</v>
      </c>
      <c r="E4034" s="1186">
        <v>23</v>
      </c>
      <c r="F4034" s="1186">
        <v>95710</v>
      </c>
    </row>
    <row r="4035" spans="1:6" x14ac:dyDescent="0.2">
      <c r="A4035" s="1186" t="s">
        <v>1572</v>
      </c>
      <c r="B4035" s="1186" t="s">
        <v>826</v>
      </c>
      <c r="C4035" s="1186" t="s">
        <v>61</v>
      </c>
      <c r="D4035" s="1186" t="s">
        <v>295</v>
      </c>
      <c r="E4035" s="1186">
        <v>5</v>
      </c>
      <c r="F4035" s="1186">
        <v>26500</v>
      </c>
    </row>
    <row r="4036" spans="1:6" x14ac:dyDescent="0.2">
      <c r="A4036" s="1186" t="s">
        <v>1572</v>
      </c>
      <c r="B4036" s="1186" t="s">
        <v>826</v>
      </c>
      <c r="C4036" s="1186" t="s">
        <v>61</v>
      </c>
      <c r="D4036" s="1186" t="s">
        <v>41</v>
      </c>
      <c r="E4036" s="1186">
        <v>4</v>
      </c>
      <c r="F4036" s="1186">
        <v>134250</v>
      </c>
    </row>
    <row r="4037" spans="1:6" x14ac:dyDescent="0.2">
      <c r="A4037" s="1186" t="s">
        <v>1572</v>
      </c>
      <c r="B4037" s="1186" t="s">
        <v>826</v>
      </c>
      <c r="C4037" s="1186" t="s">
        <v>61</v>
      </c>
      <c r="D4037" s="1186" t="s">
        <v>42</v>
      </c>
      <c r="E4037" s="1186">
        <v>16</v>
      </c>
      <c r="F4037" s="1186">
        <v>341140</v>
      </c>
    </row>
    <row r="4038" spans="1:6" x14ac:dyDescent="0.2">
      <c r="A4038" s="1186" t="s">
        <v>1572</v>
      </c>
      <c r="B4038" s="1186" t="s">
        <v>826</v>
      </c>
      <c r="C4038" s="1186" t="s">
        <v>61</v>
      </c>
      <c r="D4038" s="1186" t="s">
        <v>43</v>
      </c>
      <c r="E4038" s="1186">
        <v>4</v>
      </c>
      <c r="F4038" s="1186">
        <v>22400</v>
      </c>
    </row>
    <row r="4039" spans="1:6" x14ac:dyDescent="0.2">
      <c r="A4039" s="1186" t="s">
        <v>1572</v>
      </c>
      <c r="B4039" s="1186" t="s">
        <v>826</v>
      </c>
      <c r="C4039" s="1186" t="s">
        <v>61</v>
      </c>
      <c r="D4039" s="1186" t="s">
        <v>44</v>
      </c>
      <c r="E4039" s="1186">
        <v>16</v>
      </c>
      <c r="F4039" s="1186">
        <v>151910</v>
      </c>
    </row>
    <row r="4040" spans="1:6" x14ac:dyDescent="0.2">
      <c r="A4040" s="1186" t="s">
        <v>1572</v>
      </c>
      <c r="B4040" s="1186" t="s">
        <v>826</v>
      </c>
      <c r="C4040" s="1186" t="s">
        <v>61</v>
      </c>
      <c r="D4040" s="1186" t="s">
        <v>45</v>
      </c>
      <c r="E4040" s="1186">
        <v>8</v>
      </c>
      <c r="F4040" s="1186">
        <v>179390</v>
      </c>
    </row>
    <row r="4041" spans="1:6" x14ac:dyDescent="0.2">
      <c r="A4041" s="1186" t="s">
        <v>1572</v>
      </c>
      <c r="B4041" s="1186" t="s">
        <v>826</v>
      </c>
      <c r="C4041" s="1186" t="s">
        <v>61</v>
      </c>
      <c r="D4041" s="1186" t="s">
        <v>46</v>
      </c>
      <c r="E4041" s="1186">
        <v>14</v>
      </c>
      <c r="F4041" s="1186">
        <v>115240</v>
      </c>
    </row>
    <row r="4042" spans="1:6" x14ac:dyDescent="0.2">
      <c r="A4042" s="1186" t="s">
        <v>1572</v>
      </c>
      <c r="B4042" s="1186" t="s">
        <v>826</v>
      </c>
      <c r="C4042" s="1186" t="s">
        <v>61</v>
      </c>
      <c r="D4042" s="1186" t="s">
        <v>47</v>
      </c>
      <c r="E4042" s="1186">
        <v>5</v>
      </c>
      <c r="F4042" s="1186">
        <v>22870</v>
      </c>
    </row>
    <row r="4043" spans="1:6" x14ac:dyDescent="0.2">
      <c r="A4043" s="1186" t="s">
        <v>1572</v>
      </c>
      <c r="B4043" s="1186" t="s">
        <v>826</v>
      </c>
      <c r="C4043" s="1186" t="s">
        <v>61</v>
      </c>
      <c r="D4043" s="1186" t="s">
        <v>48</v>
      </c>
      <c r="E4043" s="1186">
        <v>12</v>
      </c>
      <c r="F4043" s="1186">
        <v>112140</v>
      </c>
    </row>
    <row r="4044" spans="1:6" x14ac:dyDescent="0.2">
      <c r="A4044" s="1186" t="s">
        <v>1572</v>
      </c>
      <c r="B4044" s="1186" t="s">
        <v>826</v>
      </c>
      <c r="C4044" s="1186" t="s">
        <v>61</v>
      </c>
      <c r="D4044" s="1186" t="s">
        <v>49</v>
      </c>
      <c r="E4044" s="1186">
        <v>16</v>
      </c>
      <c r="F4044" s="1186">
        <v>320820</v>
      </c>
    </row>
    <row r="4045" spans="1:6" x14ac:dyDescent="0.2">
      <c r="A4045" s="1186" t="s">
        <v>1572</v>
      </c>
      <c r="B4045" s="1186" t="s">
        <v>826</v>
      </c>
      <c r="C4045" s="1186" t="s">
        <v>61</v>
      </c>
      <c r="D4045" s="1186" t="s">
        <v>50</v>
      </c>
      <c r="E4045" s="1186">
        <v>14</v>
      </c>
      <c r="F4045" s="1186">
        <v>94080</v>
      </c>
    </row>
    <row r="4046" spans="1:6" x14ac:dyDescent="0.2">
      <c r="A4046" s="1186" t="s">
        <v>1572</v>
      </c>
      <c r="B4046" s="1186" t="s">
        <v>826</v>
      </c>
      <c r="C4046" s="1186" t="s">
        <v>61</v>
      </c>
      <c r="D4046" s="1186" t="s">
        <v>51</v>
      </c>
      <c r="E4046" s="1186">
        <v>4</v>
      </c>
      <c r="F4046" s="1186">
        <v>88340</v>
      </c>
    </row>
    <row r="4047" spans="1:6" x14ac:dyDescent="0.2">
      <c r="A4047" s="1186" t="s">
        <v>1572</v>
      </c>
      <c r="B4047" s="1186" t="s">
        <v>826</v>
      </c>
      <c r="C4047" s="1186" t="s">
        <v>61</v>
      </c>
      <c r="D4047" s="1186" t="s">
        <v>52</v>
      </c>
      <c r="E4047" s="1186">
        <v>16</v>
      </c>
      <c r="F4047" s="1186">
        <v>183820</v>
      </c>
    </row>
    <row r="4048" spans="1:6" x14ac:dyDescent="0.2">
      <c r="A4048" s="1186" t="s">
        <v>1572</v>
      </c>
      <c r="B4048" s="1186" t="s">
        <v>826</v>
      </c>
      <c r="C4048" s="1186" t="s">
        <v>116</v>
      </c>
      <c r="D4048" s="1186" t="s">
        <v>23</v>
      </c>
      <c r="E4048" s="1186">
        <v>42</v>
      </c>
      <c r="F4048" s="1186">
        <v>229060</v>
      </c>
    </row>
    <row r="4049" spans="1:6" x14ac:dyDescent="0.2">
      <c r="A4049" s="1186" t="s">
        <v>1572</v>
      </c>
      <c r="B4049" s="1186" t="s">
        <v>826</v>
      </c>
      <c r="C4049" s="1186" t="s">
        <v>116</v>
      </c>
      <c r="D4049" s="1186" t="s">
        <v>24</v>
      </c>
      <c r="E4049" s="1186">
        <v>36</v>
      </c>
      <c r="F4049" s="1186">
        <v>260780</v>
      </c>
    </row>
    <row r="4050" spans="1:6" x14ac:dyDescent="0.2">
      <c r="A4050" s="1186" t="s">
        <v>1572</v>
      </c>
      <c r="B4050" s="1186" t="s">
        <v>826</v>
      </c>
      <c r="C4050" s="1186" t="s">
        <v>116</v>
      </c>
      <c r="D4050" s="1186" t="s">
        <v>25</v>
      </c>
      <c r="E4050" s="1186">
        <v>19</v>
      </c>
      <c r="F4050" s="1186">
        <v>115820</v>
      </c>
    </row>
    <row r="4051" spans="1:6" x14ac:dyDescent="0.2">
      <c r="A4051" s="1186" t="s">
        <v>1572</v>
      </c>
      <c r="B4051" s="1186" t="s">
        <v>826</v>
      </c>
      <c r="C4051" s="1186" t="s">
        <v>116</v>
      </c>
      <c r="D4051" s="1186" t="s">
        <v>26</v>
      </c>
      <c r="E4051" s="1186">
        <v>6</v>
      </c>
      <c r="F4051" s="1186">
        <v>85430</v>
      </c>
    </row>
    <row r="4052" spans="1:6" x14ac:dyDescent="0.2">
      <c r="A4052" s="1186" t="s">
        <v>1572</v>
      </c>
      <c r="B4052" s="1186" t="s">
        <v>826</v>
      </c>
      <c r="C4052" s="1186" t="s">
        <v>116</v>
      </c>
      <c r="D4052" s="1186" t="s">
        <v>619</v>
      </c>
      <c r="E4052" s="1186">
        <v>84</v>
      </c>
      <c r="F4052" s="1186">
        <v>527620</v>
      </c>
    </row>
    <row r="4053" spans="1:6" x14ac:dyDescent="0.2">
      <c r="A4053" s="1186" t="s">
        <v>1572</v>
      </c>
      <c r="B4053" s="1186" t="s">
        <v>826</v>
      </c>
      <c r="C4053" s="1186" t="s">
        <v>116</v>
      </c>
      <c r="D4053" s="1186" t="s">
        <v>27</v>
      </c>
      <c r="E4053" s="1186">
        <v>5</v>
      </c>
      <c r="F4053" s="1186">
        <v>51290</v>
      </c>
    </row>
    <row r="4054" spans="1:6" x14ac:dyDescent="0.2">
      <c r="A4054" s="1186" t="s">
        <v>1572</v>
      </c>
      <c r="B4054" s="1186" t="s">
        <v>826</v>
      </c>
      <c r="C4054" s="1186" t="s">
        <v>116</v>
      </c>
      <c r="D4054" s="1186" t="s">
        <v>28</v>
      </c>
      <c r="E4054" s="1186">
        <v>8</v>
      </c>
      <c r="F4054" s="1186">
        <v>148290</v>
      </c>
    </row>
    <row r="4055" spans="1:6" x14ac:dyDescent="0.2">
      <c r="A4055" s="1186" t="s">
        <v>1572</v>
      </c>
      <c r="B4055" s="1186" t="s">
        <v>826</v>
      </c>
      <c r="C4055" s="1186" t="s">
        <v>116</v>
      </c>
      <c r="D4055" s="1186" t="s">
        <v>29</v>
      </c>
      <c r="E4055" s="1186">
        <v>24</v>
      </c>
      <c r="F4055" s="1186">
        <v>148820</v>
      </c>
    </row>
    <row r="4056" spans="1:6" x14ac:dyDescent="0.2">
      <c r="A4056" s="1186" t="s">
        <v>1572</v>
      </c>
      <c r="B4056" s="1186" t="s">
        <v>826</v>
      </c>
      <c r="C4056" s="1186" t="s">
        <v>116</v>
      </c>
      <c r="D4056" s="1186" t="s">
        <v>30</v>
      </c>
      <c r="E4056" s="1186">
        <v>23</v>
      </c>
      <c r="F4056" s="1186">
        <v>121600</v>
      </c>
    </row>
    <row r="4057" spans="1:6" x14ac:dyDescent="0.2">
      <c r="A4057" s="1186" t="s">
        <v>1572</v>
      </c>
      <c r="B4057" s="1186" t="s">
        <v>826</v>
      </c>
      <c r="C4057" s="1186" t="s">
        <v>116</v>
      </c>
      <c r="D4057" s="1186" t="s">
        <v>31</v>
      </c>
      <c r="E4057" s="1186">
        <v>7</v>
      </c>
      <c r="F4057" s="1186">
        <v>108750</v>
      </c>
    </row>
    <row r="4058" spans="1:6" x14ac:dyDescent="0.2">
      <c r="A4058" s="1186" t="s">
        <v>1572</v>
      </c>
      <c r="B4058" s="1186" t="s">
        <v>826</v>
      </c>
      <c r="C4058" s="1186" t="s">
        <v>116</v>
      </c>
      <c r="D4058" s="1186" t="s">
        <v>32</v>
      </c>
      <c r="E4058" s="1186">
        <v>15</v>
      </c>
      <c r="F4058" s="1186">
        <v>107900</v>
      </c>
    </row>
    <row r="4059" spans="1:6" x14ac:dyDescent="0.2">
      <c r="A4059" s="1186" t="s">
        <v>1572</v>
      </c>
      <c r="B4059" s="1186" t="s">
        <v>826</v>
      </c>
      <c r="C4059" s="1186" t="s">
        <v>116</v>
      </c>
      <c r="D4059" s="1186" t="s">
        <v>33</v>
      </c>
      <c r="E4059" s="1186">
        <v>8</v>
      </c>
      <c r="F4059" s="1186">
        <v>96060</v>
      </c>
    </row>
    <row r="4060" spans="1:6" x14ac:dyDescent="0.2">
      <c r="A4060" s="1186" t="s">
        <v>1572</v>
      </c>
      <c r="B4060" s="1186" t="s">
        <v>826</v>
      </c>
      <c r="C4060" s="1186" t="s">
        <v>116</v>
      </c>
      <c r="D4060" s="1186" t="s">
        <v>34</v>
      </c>
      <c r="E4060" s="1186">
        <v>45</v>
      </c>
      <c r="F4060" s="1186">
        <v>160560</v>
      </c>
    </row>
    <row r="4061" spans="1:6" x14ac:dyDescent="0.2">
      <c r="A4061" s="1186" t="s">
        <v>1572</v>
      </c>
      <c r="B4061" s="1186" t="s">
        <v>826</v>
      </c>
      <c r="C4061" s="1186" t="s">
        <v>116</v>
      </c>
      <c r="D4061" s="1186" t="s">
        <v>35</v>
      </c>
      <c r="E4061" s="1186">
        <v>94</v>
      </c>
      <c r="F4061" s="1186">
        <v>374130</v>
      </c>
    </row>
    <row r="4062" spans="1:6" x14ac:dyDescent="0.2">
      <c r="A4062" s="1186" t="s">
        <v>1572</v>
      </c>
      <c r="B4062" s="1186" t="s">
        <v>826</v>
      </c>
      <c r="C4062" s="1186" t="s">
        <v>116</v>
      </c>
      <c r="D4062" s="1186" t="s">
        <v>36</v>
      </c>
      <c r="E4062" s="1186">
        <v>51</v>
      </c>
      <c r="F4062" s="1186">
        <v>635640</v>
      </c>
    </row>
    <row r="4063" spans="1:6" x14ac:dyDescent="0.2">
      <c r="A4063" s="1186" t="s">
        <v>1572</v>
      </c>
      <c r="B4063" s="1186" t="s">
        <v>826</v>
      </c>
      <c r="C4063" s="1186" t="s">
        <v>116</v>
      </c>
      <c r="D4063" s="1186" t="s">
        <v>37</v>
      </c>
      <c r="E4063" s="1186">
        <v>28</v>
      </c>
      <c r="F4063" s="1186">
        <v>235430</v>
      </c>
    </row>
    <row r="4064" spans="1:6" x14ac:dyDescent="0.2">
      <c r="A4064" s="1186" t="s">
        <v>1572</v>
      </c>
      <c r="B4064" s="1186" t="s">
        <v>826</v>
      </c>
      <c r="C4064" s="1186" t="s">
        <v>116</v>
      </c>
      <c r="D4064" s="1186" t="s">
        <v>38</v>
      </c>
      <c r="E4064" s="1186">
        <v>5</v>
      </c>
      <c r="F4064" s="1186">
        <v>77060</v>
      </c>
    </row>
    <row r="4065" spans="1:6" x14ac:dyDescent="0.2">
      <c r="A4065" s="1186" t="s">
        <v>1572</v>
      </c>
      <c r="B4065" s="1186" t="s">
        <v>826</v>
      </c>
      <c r="C4065" s="1186" t="s">
        <v>116</v>
      </c>
      <c r="D4065" s="1186" t="s">
        <v>39</v>
      </c>
      <c r="E4065" s="1186">
        <v>29</v>
      </c>
      <c r="F4065" s="1186">
        <v>93150</v>
      </c>
    </row>
    <row r="4066" spans="1:6" x14ac:dyDescent="0.2">
      <c r="A4066" s="1186" t="s">
        <v>1572</v>
      </c>
      <c r="B4066" s="1186" t="s">
        <v>826</v>
      </c>
      <c r="C4066" s="1186" t="s">
        <v>116</v>
      </c>
      <c r="D4066" s="1186" t="s">
        <v>40</v>
      </c>
      <c r="E4066" s="1186">
        <v>19</v>
      </c>
      <c r="F4066" s="1186">
        <v>95710</v>
      </c>
    </row>
    <row r="4067" spans="1:6" x14ac:dyDescent="0.2">
      <c r="A4067" s="1186" t="s">
        <v>1572</v>
      </c>
      <c r="B4067" s="1186" t="s">
        <v>826</v>
      </c>
      <c r="C4067" s="1186" t="s">
        <v>116</v>
      </c>
      <c r="D4067" s="1186" t="s">
        <v>41</v>
      </c>
      <c r="E4067" s="1186">
        <v>12</v>
      </c>
      <c r="F4067" s="1186">
        <v>134250</v>
      </c>
    </row>
    <row r="4068" spans="1:6" x14ac:dyDescent="0.2">
      <c r="A4068" s="1186" t="s">
        <v>1572</v>
      </c>
      <c r="B4068" s="1186" t="s">
        <v>826</v>
      </c>
      <c r="C4068" s="1186" t="s">
        <v>116</v>
      </c>
      <c r="D4068" s="1186" t="s">
        <v>42</v>
      </c>
      <c r="E4068" s="1186">
        <v>26</v>
      </c>
      <c r="F4068" s="1186">
        <v>341140</v>
      </c>
    </row>
    <row r="4069" spans="1:6" x14ac:dyDescent="0.2">
      <c r="A4069" s="1186" t="s">
        <v>1572</v>
      </c>
      <c r="B4069" s="1186" t="s">
        <v>826</v>
      </c>
      <c r="C4069" s="1186" t="s">
        <v>116</v>
      </c>
      <c r="D4069" s="1186" t="s">
        <v>44</v>
      </c>
      <c r="E4069" s="1186">
        <v>11</v>
      </c>
      <c r="F4069" s="1186">
        <v>151910</v>
      </c>
    </row>
    <row r="4070" spans="1:6" x14ac:dyDescent="0.2">
      <c r="A4070" s="1186" t="s">
        <v>1572</v>
      </c>
      <c r="B4070" s="1186" t="s">
        <v>826</v>
      </c>
      <c r="C4070" s="1186" t="s">
        <v>116</v>
      </c>
      <c r="D4070" s="1186" t="s">
        <v>45</v>
      </c>
      <c r="E4070" s="1186">
        <v>22</v>
      </c>
      <c r="F4070" s="1186">
        <v>179390</v>
      </c>
    </row>
    <row r="4071" spans="1:6" x14ac:dyDescent="0.2">
      <c r="A4071" s="1186" t="s">
        <v>1572</v>
      </c>
      <c r="B4071" s="1186" t="s">
        <v>826</v>
      </c>
      <c r="C4071" s="1186" t="s">
        <v>116</v>
      </c>
      <c r="D4071" s="1186" t="s">
        <v>46</v>
      </c>
      <c r="E4071" s="1186">
        <v>14</v>
      </c>
      <c r="F4071" s="1186">
        <v>115240</v>
      </c>
    </row>
    <row r="4072" spans="1:6" x14ac:dyDescent="0.2">
      <c r="A4072" s="1186" t="s">
        <v>1572</v>
      </c>
      <c r="B4072" s="1186" t="s">
        <v>826</v>
      </c>
      <c r="C4072" s="1186" t="s">
        <v>116</v>
      </c>
      <c r="D4072" s="1186" t="s">
        <v>47</v>
      </c>
      <c r="E4072" s="1186">
        <v>1</v>
      </c>
      <c r="F4072" s="1186">
        <v>22870</v>
      </c>
    </row>
    <row r="4073" spans="1:6" x14ac:dyDescent="0.2">
      <c r="A4073" s="1186" t="s">
        <v>1572</v>
      </c>
      <c r="B4073" s="1186" t="s">
        <v>826</v>
      </c>
      <c r="C4073" s="1186" t="s">
        <v>116</v>
      </c>
      <c r="D4073" s="1186" t="s">
        <v>48</v>
      </c>
      <c r="E4073" s="1186">
        <v>2</v>
      </c>
      <c r="F4073" s="1186">
        <v>112140</v>
      </c>
    </row>
    <row r="4074" spans="1:6" x14ac:dyDescent="0.2">
      <c r="A4074" s="1186" t="s">
        <v>1572</v>
      </c>
      <c r="B4074" s="1186" t="s">
        <v>826</v>
      </c>
      <c r="C4074" s="1186" t="s">
        <v>116</v>
      </c>
      <c r="D4074" s="1186" t="s">
        <v>49</v>
      </c>
      <c r="E4074" s="1186">
        <v>22</v>
      </c>
      <c r="F4074" s="1186">
        <v>320820</v>
      </c>
    </row>
    <row r="4075" spans="1:6" x14ac:dyDescent="0.2">
      <c r="A4075" s="1186" t="s">
        <v>1572</v>
      </c>
      <c r="B4075" s="1186" t="s">
        <v>826</v>
      </c>
      <c r="C4075" s="1186" t="s">
        <v>116</v>
      </c>
      <c r="D4075" s="1186" t="s">
        <v>50</v>
      </c>
      <c r="E4075" s="1186">
        <v>19</v>
      </c>
      <c r="F4075" s="1186">
        <v>94080</v>
      </c>
    </row>
    <row r="4076" spans="1:6" x14ac:dyDescent="0.2">
      <c r="A4076" s="1186" t="s">
        <v>1572</v>
      </c>
      <c r="B4076" s="1186" t="s">
        <v>826</v>
      </c>
      <c r="C4076" s="1186" t="s">
        <v>116</v>
      </c>
      <c r="D4076" s="1186" t="s">
        <v>51</v>
      </c>
      <c r="E4076" s="1186">
        <v>21</v>
      </c>
      <c r="F4076" s="1186">
        <v>88340</v>
      </c>
    </row>
    <row r="4077" spans="1:6" x14ac:dyDescent="0.2">
      <c r="A4077" s="1186" t="s">
        <v>1572</v>
      </c>
      <c r="B4077" s="1186" t="s">
        <v>826</v>
      </c>
      <c r="C4077" s="1186" t="s">
        <v>116</v>
      </c>
      <c r="D4077" s="1186" t="s">
        <v>52</v>
      </c>
      <c r="E4077" s="1186">
        <v>43</v>
      </c>
      <c r="F4077" s="1186">
        <v>183820</v>
      </c>
    </row>
    <row r="4078" spans="1:6" x14ac:dyDescent="0.2">
      <c r="A4078" s="1186" t="s">
        <v>1572</v>
      </c>
      <c r="B4078" s="1186" t="s">
        <v>308</v>
      </c>
      <c r="C4078" s="1186" t="s">
        <v>61</v>
      </c>
      <c r="D4078" s="1186" t="s">
        <v>23</v>
      </c>
      <c r="E4078" s="1186">
        <v>82</v>
      </c>
      <c r="F4078" s="1186">
        <v>229060</v>
      </c>
    </row>
    <row r="4079" spans="1:6" x14ac:dyDescent="0.2">
      <c r="A4079" s="1186" t="s">
        <v>1572</v>
      </c>
      <c r="B4079" s="1186" t="s">
        <v>308</v>
      </c>
      <c r="C4079" s="1186" t="s">
        <v>61</v>
      </c>
      <c r="D4079" s="1186" t="s">
        <v>24</v>
      </c>
      <c r="E4079" s="1186">
        <v>138</v>
      </c>
      <c r="F4079" s="1186">
        <v>260780</v>
      </c>
    </row>
    <row r="4080" spans="1:6" x14ac:dyDescent="0.2">
      <c r="A4080" s="1186" t="s">
        <v>1572</v>
      </c>
      <c r="B4080" s="1186" t="s">
        <v>308</v>
      </c>
      <c r="C4080" s="1186" t="s">
        <v>61</v>
      </c>
      <c r="D4080" s="1186" t="s">
        <v>25</v>
      </c>
      <c r="E4080" s="1186">
        <v>70</v>
      </c>
      <c r="F4080" s="1186">
        <v>115820</v>
      </c>
    </row>
    <row r="4081" spans="1:6" x14ac:dyDescent="0.2">
      <c r="A4081" s="1186" t="s">
        <v>1572</v>
      </c>
      <c r="B4081" s="1186" t="s">
        <v>308</v>
      </c>
      <c r="C4081" s="1186" t="s">
        <v>61</v>
      </c>
      <c r="D4081" s="1186" t="s">
        <v>26</v>
      </c>
      <c r="E4081" s="1186">
        <v>68</v>
      </c>
      <c r="F4081" s="1186">
        <v>85430</v>
      </c>
    </row>
    <row r="4082" spans="1:6" x14ac:dyDescent="0.2">
      <c r="A4082" s="1186" t="s">
        <v>1572</v>
      </c>
      <c r="B4082" s="1186" t="s">
        <v>308</v>
      </c>
      <c r="C4082" s="1186" t="s">
        <v>61</v>
      </c>
      <c r="D4082" s="1186" t="s">
        <v>619</v>
      </c>
      <c r="E4082" s="1186">
        <v>432</v>
      </c>
      <c r="F4082" s="1186">
        <v>527620</v>
      </c>
    </row>
    <row r="4083" spans="1:6" x14ac:dyDescent="0.2">
      <c r="A4083" s="1186" t="s">
        <v>1572</v>
      </c>
      <c r="B4083" s="1186" t="s">
        <v>308</v>
      </c>
      <c r="C4083" s="1186" t="s">
        <v>61</v>
      </c>
      <c r="D4083" s="1186" t="s">
        <v>27</v>
      </c>
      <c r="E4083" s="1186">
        <v>38</v>
      </c>
      <c r="F4083" s="1186">
        <v>51290</v>
      </c>
    </row>
    <row r="4084" spans="1:6" x14ac:dyDescent="0.2">
      <c r="A4084" s="1186" t="s">
        <v>1572</v>
      </c>
      <c r="B4084" s="1186" t="s">
        <v>308</v>
      </c>
      <c r="C4084" s="1186" t="s">
        <v>61</v>
      </c>
      <c r="D4084" s="1186" t="s">
        <v>28</v>
      </c>
      <c r="E4084" s="1186">
        <v>85</v>
      </c>
      <c r="F4084" s="1186">
        <v>148290</v>
      </c>
    </row>
    <row r="4085" spans="1:6" x14ac:dyDescent="0.2">
      <c r="A4085" s="1186" t="s">
        <v>1572</v>
      </c>
      <c r="B4085" s="1186" t="s">
        <v>308</v>
      </c>
      <c r="C4085" s="1186" t="s">
        <v>61</v>
      </c>
      <c r="D4085" s="1186" t="s">
        <v>29</v>
      </c>
      <c r="E4085" s="1186">
        <v>119</v>
      </c>
      <c r="F4085" s="1186">
        <v>148820</v>
      </c>
    </row>
    <row r="4086" spans="1:6" x14ac:dyDescent="0.2">
      <c r="A4086" s="1186" t="s">
        <v>1572</v>
      </c>
      <c r="B4086" s="1186" t="s">
        <v>308</v>
      </c>
      <c r="C4086" s="1186" t="s">
        <v>61</v>
      </c>
      <c r="D4086" s="1186" t="s">
        <v>30</v>
      </c>
      <c r="E4086" s="1186">
        <v>56</v>
      </c>
      <c r="F4086" s="1186">
        <v>121600</v>
      </c>
    </row>
    <row r="4087" spans="1:6" x14ac:dyDescent="0.2">
      <c r="A4087" s="1186" t="s">
        <v>1572</v>
      </c>
      <c r="B4087" s="1186" t="s">
        <v>308</v>
      </c>
      <c r="C4087" s="1186" t="s">
        <v>61</v>
      </c>
      <c r="D4087" s="1186" t="s">
        <v>31</v>
      </c>
      <c r="E4087" s="1186">
        <v>36</v>
      </c>
      <c r="F4087" s="1186">
        <v>108750</v>
      </c>
    </row>
    <row r="4088" spans="1:6" x14ac:dyDescent="0.2">
      <c r="A4088" s="1186" t="s">
        <v>1572</v>
      </c>
      <c r="B4088" s="1186" t="s">
        <v>308</v>
      </c>
      <c r="C4088" s="1186" t="s">
        <v>61</v>
      </c>
      <c r="D4088" s="1186" t="s">
        <v>32</v>
      </c>
      <c r="E4088" s="1186">
        <v>43</v>
      </c>
      <c r="F4088" s="1186">
        <v>107900</v>
      </c>
    </row>
    <row r="4089" spans="1:6" x14ac:dyDescent="0.2">
      <c r="A4089" s="1186" t="s">
        <v>1572</v>
      </c>
      <c r="B4089" s="1186" t="s">
        <v>308</v>
      </c>
      <c r="C4089" s="1186" t="s">
        <v>61</v>
      </c>
      <c r="D4089" s="1186" t="s">
        <v>33</v>
      </c>
      <c r="E4089" s="1186">
        <v>32</v>
      </c>
      <c r="F4089" s="1186">
        <v>96060</v>
      </c>
    </row>
    <row r="4090" spans="1:6" x14ac:dyDescent="0.2">
      <c r="A4090" s="1186" t="s">
        <v>1572</v>
      </c>
      <c r="B4090" s="1186" t="s">
        <v>308</v>
      </c>
      <c r="C4090" s="1186" t="s">
        <v>61</v>
      </c>
      <c r="D4090" s="1186" t="s">
        <v>34</v>
      </c>
      <c r="E4090" s="1186">
        <v>110</v>
      </c>
      <c r="F4090" s="1186">
        <v>160560</v>
      </c>
    </row>
    <row r="4091" spans="1:6" x14ac:dyDescent="0.2">
      <c r="A4091" s="1186" t="s">
        <v>1572</v>
      </c>
      <c r="B4091" s="1186" t="s">
        <v>308</v>
      </c>
      <c r="C4091" s="1186" t="s">
        <v>61</v>
      </c>
      <c r="D4091" s="1186" t="s">
        <v>35</v>
      </c>
      <c r="E4091" s="1186">
        <v>193</v>
      </c>
      <c r="F4091" s="1186">
        <v>374130</v>
      </c>
    </row>
    <row r="4092" spans="1:6" x14ac:dyDescent="0.2">
      <c r="A4092" s="1186" t="s">
        <v>1572</v>
      </c>
      <c r="B4092" s="1186" t="s">
        <v>308</v>
      </c>
      <c r="C4092" s="1186" t="s">
        <v>61</v>
      </c>
      <c r="D4092" s="1186" t="s">
        <v>36</v>
      </c>
      <c r="E4092" s="1186">
        <v>312</v>
      </c>
      <c r="F4092" s="1186">
        <v>635640</v>
      </c>
    </row>
    <row r="4093" spans="1:6" x14ac:dyDescent="0.2">
      <c r="A4093" s="1186" t="s">
        <v>1572</v>
      </c>
      <c r="B4093" s="1186" t="s">
        <v>308</v>
      </c>
      <c r="C4093" s="1186" t="s">
        <v>61</v>
      </c>
      <c r="D4093" s="1186" t="s">
        <v>37</v>
      </c>
      <c r="E4093" s="1186">
        <v>234</v>
      </c>
      <c r="F4093" s="1186">
        <v>235430</v>
      </c>
    </row>
    <row r="4094" spans="1:6" x14ac:dyDescent="0.2">
      <c r="A4094" s="1186" t="s">
        <v>1572</v>
      </c>
      <c r="B4094" s="1186" t="s">
        <v>308</v>
      </c>
      <c r="C4094" s="1186" t="s">
        <v>61</v>
      </c>
      <c r="D4094" s="1186" t="s">
        <v>38</v>
      </c>
      <c r="E4094" s="1186">
        <v>26</v>
      </c>
      <c r="F4094" s="1186">
        <v>77060</v>
      </c>
    </row>
    <row r="4095" spans="1:6" x14ac:dyDescent="0.2">
      <c r="A4095" s="1186" t="s">
        <v>1572</v>
      </c>
      <c r="B4095" s="1186" t="s">
        <v>308</v>
      </c>
      <c r="C4095" s="1186" t="s">
        <v>61</v>
      </c>
      <c r="D4095" s="1186" t="s">
        <v>39</v>
      </c>
      <c r="E4095" s="1186">
        <v>45</v>
      </c>
      <c r="F4095" s="1186">
        <v>93150</v>
      </c>
    </row>
    <row r="4096" spans="1:6" x14ac:dyDescent="0.2">
      <c r="A4096" s="1186" t="s">
        <v>1572</v>
      </c>
      <c r="B4096" s="1186" t="s">
        <v>308</v>
      </c>
      <c r="C4096" s="1186" t="s">
        <v>61</v>
      </c>
      <c r="D4096" s="1186" t="s">
        <v>40</v>
      </c>
      <c r="E4096" s="1186">
        <v>65</v>
      </c>
      <c r="F4096" s="1186">
        <v>95710</v>
      </c>
    </row>
    <row r="4097" spans="1:6" x14ac:dyDescent="0.2">
      <c r="A4097" s="1186" t="s">
        <v>1572</v>
      </c>
      <c r="B4097" s="1186" t="s">
        <v>308</v>
      </c>
      <c r="C4097" s="1186" t="s">
        <v>61</v>
      </c>
      <c r="D4097" s="1186" t="s">
        <v>295</v>
      </c>
      <c r="E4097" s="1186">
        <v>58</v>
      </c>
      <c r="F4097" s="1186">
        <v>26500</v>
      </c>
    </row>
    <row r="4098" spans="1:6" x14ac:dyDescent="0.2">
      <c r="A4098" s="1186" t="s">
        <v>1572</v>
      </c>
      <c r="B4098" s="1186" t="s">
        <v>308</v>
      </c>
      <c r="C4098" s="1186" t="s">
        <v>61</v>
      </c>
      <c r="D4098" s="1186" t="s">
        <v>41</v>
      </c>
      <c r="E4098" s="1186">
        <v>54</v>
      </c>
      <c r="F4098" s="1186">
        <v>134250</v>
      </c>
    </row>
    <row r="4099" spans="1:6" x14ac:dyDescent="0.2">
      <c r="A4099" s="1186" t="s">
        <v>1572</v>
      </c>
      <c r="B4099" s="1186" t="s">
        <v>308</v>
      </c>
      <c r="C4099" s="1186" t="s">
        <v>61</v>
      </c>
      <c r="D4099" s="1186" t="s">
        <v>42</v>
      </c>
      <c r="E4099" s="1186">
        <v>162</v>
      </c>
      <c r="F4099" s="1186">
        <v>341140</v>
      </c>
    </row>
    <row r="4100" spans="1:6" x14ac:dyDescent="0.2">
      <c r="A4100" s="1186" t="s">
        <v>1572</v>
      </c>
      <c r="B4100" s="1186" t="s">
        <v>308</v>
      </c>
      <c r="C4100" s="1186" t="s">
        <v>61</v>
      </c>
      <c r="D4100" s="1186" t="s">
        <v>43</v>
      </c>
      <c r="E4100" s="1186">
        <v>8</v>
      </c>
      <c r="F4100" s="1186">
        <v>22400</v>
      </c>
    </row>
    <row r="4101" spans="1:6" x14ac:dyDescent="0.2">
      <c r="A4101" s="1186" t="s">
        <v>1572</v>
      </c>
      <c r="B4101" s="1186" t="s">
        <v>308</v>
      </c>
      <c r="C4101" s="1186" t="s">
        <v>61</v>
      </c>
      <c r="D4101" s="1186" t="s">
        <v>44</v>
      </c>
      <c r="E4101" s="1186">
        <v>81</v>
      </c>
      <c r="F4101" s="1186">
        <v>151910</v>
      </c>
    </row>
    <row r="4102" spans="1:6" x14ac:dyDescent="0.2">
      <c r="A4102" s="1186" t="s">
        <v>1572</v>
      </c>
      <c r="B4102" s="1186" t="s">
        <v>308</v>
      </c>
      <c r="C4102" s="1186" t="s">
        <v>61</v>
      </c>
      <c r="D4102" s="1186" t="s">
        <v>45</v>
      </c>
      <c r="E4102" s="1186">
        <v>73</v>
      </c>
      <c r="F4102" s="1186">
        <v>179390</v>
      </c>
    </row>
    <row r="4103" spans="1:6" x14ac:dyDescent="0.2">
      <c r="A4103" s="1186" t="s">
        <v>1572</v>
      </c>
      <c r="B4103" s="1186" t="s">
        <v>308</v>
      </c>
      <c r="C4103" s="1186" t="s">
        <v>61</v>
      </c>
      <c r="D4103" s="1186" t="s">
        <v>46</v>
      </c>
      <c r="E4103" s="1186">
        <v>30</v>
      </c>
      <c r="F4103" s="1186">
        <v>115240</v>
      </c>
    </row>
    <row r="4104" spans="1:6" x14ac:dyDescent="0.2">
      <c r="A4104" s="1186" t="s">
        <v>1572</v>
      </c>
      <c r="B4104" s="1186" t="s">
        <v>308</v>
      </c>
      <c r="C4104" s="1186" t="s">
        <v>61</v>
      </c>
      <c r="D4104" s="1186" t="s">
        <v>47</v>
      </c>
      <c r="E4104" s="1186">
        <v>9</v>
      </c>
      <c r="F4104" s="1186">
        <v>22870</v>
      </c>
    </row>
    <row r="4105" spans="1:6" x14ac:dyDescent="0.2">
      <c r="A4105" s="1186" t="s">
        <v>1572</v>
      </c>
      <c r="B4105" s="1186" t="s">
        <v>308</v>
      </c>
      <c r="C4105" s="1186" t="s">
        <v>61</v>
      </c>
      <c r="D4105" s="1186" t="s">
        <v>48</v>
      </c>
      <c r="E4105" s="1186">
        <v>64</v>
      </c>
      <c r="F4105" s="1186">
        <v>112140</v>
      </c>
    </row>
    <row r="4106" spans="1:6" x14ac:dyDescent="0.2">
      <c r="A4106" s="1186" t="s">
        <v>1572</v>
      </c>
      <c r="B4106" s="1186" t="s">
        <v>308</v>
      </c>
      <c r="C4106" s="1186" t="s">
        <v>61</v>
      </c>
      <c r="D4106" s="1186" t="s">
        <v>49</v>
      </c>
      <c r="E4106" s="1186">
        <v>126</v>
      </c>
      <c r="F4106" s="1186">
        <v>320820</v>
      </c>
    </row>
    <row r="4107" spans="1:6" x14ac:dyDescent="0.2">
      <c r="A4107" s="1186" t="s">
        <v>1572</v>
      </c>
      <c r="B4107" s="1186" t="s">
        <v>308</v>
      </c>
      <c r="C4107" s="1186" t="s">
        <v>61</v>
      </c>
      <c r="D4107" s="1186" t="s">
        <v>50</v>
      </c>
      <c r="E4107" s="1186">
        <v>72</v>
      </c>
      <c r="F4107" s="1186">
        <v>94080</v>
      </c>
    </row>
    <row r="4108" spans="1:6" x14ac:dyDescent="0.2">
      <c r="A4108" s="1186" t="s">
        <v>1572</v>
      </c>
      <c r="B4108" s="1186" t="s">
        <v>308</v>
      </c>
      <c r="C4108" s="1186" t="s">
        <v>61</v>
      </c>
      <c r="D4108" s="1186" t="s">
        <v>51</v>
      </c>
      <c r="E4108" s="1186">
        <v>22</v>
      </c>
      <c r="F4108" s="1186">
        <v>88340</v>
      </c>
    </row>
    <row r="4109" spans="1:6" x14ac:dyDescent="0.2">
      <c r="A4109" s="1186" t="s">
        <v>1572</v>
      </c>
      <c r="B4109" s="1186" t="s">
        <v>308</v>
      </c>
      <c r="C4109" s="1186" t="s">
        <v>61</v>
      </c>
      <c r="D4109" s="1186" t="s">
        <v>52</v>
      </c>
      <c r="E4109" s="1186">
        <v>130</v>
      </c>
      <c r="F4109" s="1186">
        <v>183820</v>
      </c>
    </row>
    <row r="4110" spans="1:6" x14ac:dyDescent="0.2">
      <c r="A4110" s="1186" t="s">
        <v>1572</v>
      </c>
      <c r="B4110" s="1186" t="s">
        <v>308</v>
      </c>
      <c r="C4110" s="1186" t="s">
        <v>116</v>
      </c>
      <c r="D4110" s="1186" t="s">
        <v>23</v>
      </c>
      <c r="E4110" s="1186">
        <v>246</v>
      </c>
      <c r="F4110" s="1186">
        <v>229060</v>
      </c>
    </row>
    <row r="4111" spans="1:6" x14ac:dyDescent="0.2">
      <c r="A4111" s="1186" t="s">
        <v>1572</v>
      </c>
      <c r="B4111" s="1186" t="s">
        <v>308</v>
      </c>
      <c r="C4111" s="1186" t="s">
        <v>116</v>
      </c>
      <c r="D4111" s="1186" t="s">
        <v>24</v>
      </c>
      <c r="E4111" s="1186">
        <v>157</v>
      </c>
      <c r="F4111" s="1186">
        <v>260780</v>
      </c>
    </row>
    <row r="4112" spans="1:6" x14ac:dyDescent="0.2">
      <c r="A4112" s="1186" t="s">
        <v>1572</v>
      </c>
      <c r="B4112" s="1186" t="s">
        <v>308</v>
      </c>
      <c r="C4112" s="1186" t="s">
        <v>116</v>
      </c>
      <c r="D4112" s="1186" t="s">
        <v>25</v>
      </c>
      <c r="E4112" s="1186">
        <v>134</v>
      </c>
      <c r="F4112" s="1186">
        <v>115820</v>
      </c>
    </row>
    <row r="4113" spans="1:6" x14ac:dyDescent="0.2">
      <c r="A4113" s="1186" t="s">
        <v>1572</v>
      </c>
      <c r="B4113" s="1186" t="s">
        <v>308</v>
      </c>
      <c r="C4113" s="1186" t="s">
        <v>116</v>
      </c>
      <c r="D4113" s="1186" t="s">
        <v>26</v>
      </c>
      <c r="E4113" s="1186">
        <v>65</v>
      </c>
      <c r="F4113" s="1186">
        <v>85430</v>
      </c>
    </row>
    <row r="4114" spans="1:6" x14ac:dyDescent="0.2">
      <c r="A4114" s="1186" t="s">
        <v>1572</v>
      </c>
      <c r="B4114" s="1186" t="s">
        <v>308</v>
      </c>
      <c r="C4114" s="1186" t="s">
        <v>116</v>
      </c>
      <c r="D4114" s="1186" t="s">
        <v>619</v>
      </c>
      <c r="E4114" s="1186">
        <v>1034</v>
      </c>
      <c r="F4114" s="1186">
        <v>527620</v>
      </c>
    </row>
    <row r="4115" spans="1:6" x14ac:dyDescent="0.2">
      <c r="A4115" s="1186" t="s">
        <v>1572</v>
      </c>
      <c r="B4115" s="1186" t="s">
        <v>308</v>
      </c>
      <c r="C4115" s="1186" t="s">
        <v>116</v>
      </c>
      <c r="D4115" s="1186" t="s">
        <v>27</v>
      </c>
      <c r="E4115" s="1186">
        <v>74</v>
      </c>
      <c r="F4115" s="1186">
        <v>51290</v>
      </c>
    </row>
    <row r="4116" spans="1:6" x14ac:dyDescent="0.2">
      <c r="A4116" s="1186" t="s">
        <v>1572</v>
      </c>
      <c r="B4116" s="1186" t="s">
        <v>308</v>
      </c>
      <c r="C4116" s="1186" t="s">
        <v>116</v>
      </c>
      <c r="D4116" s="1186" t="s">
        <v>28</v>
      </c>
      <c r="E4116" s="1186">
        <v>120</v>
      </c>
      <c r="F4116" s="1186">
        <v>148290</v>
      </c>
    </row>
    <row r="4117" spans="1:6" x14ac:dyDescent="0.2">
      <c r="A4117" s="1186" t="s">
        <v>1572</v>
      </c>
      <c r="B4117" s="1186" t="s">
        <v>308</v>
      </c>
      <c r="C4117" s="1186" t="s">
        <v>116</v>
      </c>
      <c r="D4117" s="1186" t="s">
        <v>29</v>
      </c>
      <c r="E4117" s="1186">
        <v>579</v>
      </c>
      <c r="F4117" s="1186">
        <v>148820</v>
      </c>
    </row>
    <row r="4118" spans="1:6" x14ac:dyDescent="0.2">
      <c r="A4118" s="1186" t="s">
        <v>1572</v>
      </c>
      <c r="B4118" s="1186" t="s">
        <v>308</v>
      </c>
      <c r="C4118" s="1186" t="s">
        <v>116</v>
      </c>
      <c r="D4118" s="1186" t="s">
        <v>30</v>
      </c>
      <c r="E4118" s="1186">
        <v>528</v>
      </c>
      <c r="F4118" s="1186">
        <v>121600</v>
      </c>
    </row>
    <row r="4119" spans="1:6" x14ac:dyDescent="0.2">
      <c r="A4119" s="1186" t="s">
        <v>1572</v>
      </c>
      <c r="B4119" s="1186" t="s">
        <v>308</v>
      </c>
      <c r="C4119" s="1186" t="s">
        <v>116</v>
      </c>
      <c r="D4119" s="1186" t="s">
        <v>31</v>
      </c>
      <c r="E4119" s="1186">
        <v>205</v>
      </c>
      <c r="F4119" s="1186">
        <v>108750</v>
      </c>
    </row>
    <row r="4120" spans="1:6" x14ac:dyDescent="0.2">
      <c r="A4120" s="1186" t="s">
        <v>1572</v>
      </c>
      <c r="B4120" s="1186" t="s">
        <v>308</v>
      </c>
      <c r="C4120" s="1186" t="s">
        <v>116</v>
      </c>
      <c r="D4120" s="1186" t="s">
        <v>32</v>
      </c>
      <c r="E4120" s="1186">
        <v>152</v>
      </c>
      <c r="F4120" s="1186">
        <v>107900</v>
      </c>
    </row>
    <row r="4121" spans="1:6" x14ac:dyDescent="0.2">
      <c r="A4121" s="1186" t="s">
        <v>1572</v>
      </c>
      <c r="B4121" s="1186" t="s">
        <v>308</v>
      </c>
      <c r="C4121" s="1186" t="s">
        <v>116</v>
      </c>
      <c r="D4121" s="1186" t="s">
        <v>33</v>
      </c>
      <c r="E4121" s="1186">
        <v>150</v>
      </c>
      <c r="F4121" s="1186">
        <v>96060</v>
      </c>
    </row>
    <row r="4122" spans="1:6" x14ac:dyDescent="0.2">
      <c r="A4122" s="1186" t="s">
        <v>1572</v>
      </c>
      <c r="B4122" s="1186" t="s">
        <v>308</v>
      </c>
      <c r="C4122" s="1186" t="s">
        <v>116</v>
      </c>
      <c r="D4122" s="1186" t="s">
        <v>34</v>
      </c>
      <c r="E4122" s="1186">
        <v>313</v>
      </c>
      <c r="F4122" s="1186">
        <v>160560</v>
      </c>
    </row>
    <row r="4123" spans="1:6" x14ac:dyDescent="0.2">
      <c r="A4123" s="1186" t="s">
        <v>1572</v>
      </c>
      <c r="B4123" s="1186" t="s">
        <v>308</v>
      </c>
      <c r="C4123" s="1186" t="s">
        <v>116</v>
      </c>
      <c r="D4123" s="1186" t="s">
        <v>35</v>
      </c>
      <c r="E4123" s="1186">
        <v>826</v>
      </c>
      <c r="F4123" s="1186">
        <v>374130</v>
      </c>
    </row>
    <row r="4124" spans="1:6" x14ac:dyDescent="0.2">
      <c r="A4124" s="1186" t="s">
        <v>1572</v>
      </c>
      <c r="B4124" s="1186" t="s">
        <v>308</v>
      </c>
      <c r="C4124" s="1186" t="s">
        <v>116</v>
      </c>
      <c r="D4124" s="1186" t="s">
        <v>36</v>
      </c>
      <c r="E4124" s="1186">
        <v>2128</v>
      </c>
      <c r="F4124" s="1186">
        <v>635640</v>
      </c>
    </row>
    <row r="4125" spans="1:6" x14ac:dyDescent="0.2">
      <c r="A4125" s="1186" t="s">
        <v>1572</v>
      </c>
      <c r="B4125" s="1186" t="s">
        <v>308</v>
      </c>
      <c r="C4125" s="1186" t="s">
        <v>116</v>
      </c>
      <c r="D4125" s="1186" t="s">
        <v>37</v>
      </c>
      <c r="E4125" s="1186">
        <v>162</v>
      </c>
      <c r="F4125" s="1186">
        <v>235430</v>
      </c>
    </row>
    <row r="4126" spans="1:6" x14ac:dyDescent="0.2">
      <c r="A4126" s="1186" t="s">
        <v>1572</v>
      </c>
      <c r="B4126" s="1186" t="s">
        <v>308</v>
      </c>
      <c r="C4126" s="1186" t="s">
        <v>116</v>
      </c>
      <c r="D4126" s="1186" t="s">
        <v>38</v>
      </c>
      <c r="E4126" s="1186">
        <v>391</v>
      </c>
      <c r="F4126" s="1186">
        <v>77060</v>
      </c>
    </row>
    <row r="4127" spans="1:6" x14ac:dyDescent="0.2">
      <c r="A4127" s="1186" t="s">
        <v>1572</v>
      </c>
      <c r="B4127" s="1186" t="s">
        <v>308</v>
      </c>
      <c r="C4127" s="1186" t="s">
        <v>116</v>
      </c>
      <c r="D4127" s="1186" t="s">
        <v>39</v>
      </c>
      <c r="E4127" s="1186">
        <v>158</v>
      </c>
      <c r="F4127" s="1186">
        <v>93150</v>
      </c>
    </row>
    <row r="4128" spans="1:6" x14ac:dyDescent="0.2">
      <c r="A4128" s="1186" t="s">
        <v>1572</v>
      </c>
      <c r="B4128" s="1186" t="s">
        <v>308</v>
      </c>
      <c r="C4128" s="1186" t="s">
        <v>116</v>
      </c>
      <c r="D4128" s="1186" t="s">
        <v>40</v>
      </c>
      <c r="E4128" s="1186">
        <v>63</v>
      </c>
      <c r="F4128" s="1186">
        <v>95710</v>
      </c>
    </row>
    <row r="4129" spans="1:6" x14ac:dyDescent="0.2">
      <c r="A4129" s="1186" t="s">
        <v>1572</v>
      </c>
      <c r="B4129" s="1186" t="s">
        <v>308</v>
      </c>
      <c r="C4129" s="1186" t="s">
        <v>116</v>
      </c>
      <c r="D4129" s="1186" t="s">
        <v>295</v>
      </c>
      <c r="E4129" s="1186">
        <v>18</v>
      </c>
      <c r="F4129" s="1186">
        <v>26500</v>
      </c>
    </row>
    <row r="4130" spans="1:6" x14ac:dyDescent="0.2">
      <c r="A4130" s="1186" t="s">
        <v>1572</v>
      </c>
      <c r="B4130" s="1186" t="s">
        <v>308</v>
      </c>
      <c r="C4130" s="1186" t="s">
        <v>116</v>
      </c>
      <c r="D4130" s="1186" t="s">
        <v>41</v>
      </c>
      <c r="E4130" s="1186">
        <v>437</v>
      </c>
      <c r="F4130" s="1186">
        <v>134250</v>
      </c>
    </row>
    <row r="4131" spans="1:6" x14ac:dyDescent="0.2">
      <c r="A4131" s="1186" t="s">
        <v>1572</v>
      </c>
      <c r="B4131" s="1186" t="s">
        <v>308</v>
      </c>
      <c r="C4131" s="1186" t="s">
        <v>116</v>
      </c>
      <c r="D4131" s="1186" t="s">
        <v>42</v>
      </c>
      <c r="E4131" s="1186">
        <v>1313</v>
      </c>
      <c r="F4131" s="1186">
        <v>341140</v>
      </c>
    </row>
    <row r="4132" spans="1:6" x14ac:dyDescent="0.2">
      <c r="A4132" s="1186" t="s">
        <v>1572</v>
      </c>
      <c r="B4132" s="1186" t="s">
        <v>308</v>
      </c>
      <c r="C4132" s="1186" t="s">
        <v>116</v>
      </c>
      <c r="D4132" s="1186" t="s">
        <v>43</v>
      </c>
      <c r="E4132" s="1186">
        <v>6</v>
      </c>
      <c r="F4132" s="1186">
        <v>22400</v>
      </c>
    </row>
    <row r="4133" spans="1:6" x14ac:dyDescent="0.2">
      <c r="A4133" s="1186" t="s">
        <v>1572</v>
      </c>
      <c r="B4133" s="1186" t="s">
        <v>308</v>
      </c>
      <c r="C4133" s="1186" t="s">
        <v>116</v>
      </c>
      <c r="D4133" s="1186" t="s">
        <v>44</v>
      </c>
      <c r="E4133" s="1186">
        <v>64</v>
      </c>
      <c r="F4133" s="1186">
        <v>151910</v>
      </c>
    </row>
    <row r="4134" spans="1:6" x14ac:dyDescent="0.2">
      <c r="A4134" s="1186" t="s">
        <v>1572</v>
      </c>
      <c r="B4134" s="1186" t="s">
        <v>308</v>
      </c>
      <c r="C4134" s="1186" t="s">
        <v>116</v>
      </c>
      <c r="D4134" s="1186" t="s">
        <v>45</v>
      </c>
      <c r="E4134" s="1186">
        <v>430</v>
      </c>
      <c r="F4134" s="1186">
        <v>179390</v>
      </c>
    </row>
    <row r="4135" spans="1:6" x14ac:dyDescent="0.2">
      <c r="A4135" s="1186" t="s">
        <v>1572</v>
      </c>
      <c r="B4135" s="1186" t="s">
        <v>308</v>
      </c>
      <c r="C4135" s="1186" t="s">
        <v>116</v>
      </c>
      <c r="D4135" s="1186" t="s">
        <v>46</v>
      </c>
      <c r="E4135" s="1186">
        <v>94</v>
      </c>
      <c r="F4135" s="1186">
        <v>115240</v>
      </c>
    </row>
    <row r="4136" spans="1:6" x14ac:dyDescent="0.2">
      <c r="A4136" s="1186" t="s">
        <v>1572</v>
      </c>
      <c r="B4136" s="1186" t="s">
        <v>308</v>
      </c>
      <c r="C4136" s="1186" t="s">
        <v>116</v>
      </c>
      <c r="D4136" s="1186" t="s">
        <v>47</v>
      </c>
      <c r="E4136" s="1186">
        <v>6</v>
      </c>
      <c r="F4136" s="1186">
        <v>22870</v>
      </c>
    </row>
    <row r="4137" spans="1:6" x14ac:dyDescent="0.2">
      <c r="A4137" s="1186" t="s">
        <v>1572</v>
      </c>
      <c r="B4137" s="1186" t="s">
        <v>308</v>
      </c>
      <c r="C4137" s="1186" t="s">
        <v>116</v>
      </c>
      <c r="D4137" s="1186" t="s">
        <v>48</v>
      </c>
      <c r="E4137" s="1186">
        <v>240</v>
      </c>
      <c r="F4137" s="1186">
        <v>112140</v>
      </c>
    </row>
    <row r="4138" spans="1:6" x14ac:dyDescent="0.2">
      <c r="A4138" s="1186" t="s">
        <v>1572</v>
      </c>
      <c r="B4138" s="1186" t="s">
        <v>308</v>
      </c>
      <c r="C4138" s="1186" t="s">
        <v>116</v>
      </c>
      <c r="D4138" s="1186" t="s">
        <v>49</v>
      </c>
      <c r="E4138" s="1186">
        <v>892</v>
      </c>
      <c r="F4138" s="1186">
        <v>320820</v>
      </c>
    </row>
    <row r="4139" spans="1:6" x14ac:dyDescent="0.2">
      <c r="A4139" s="1186" t="s">
        <v>1572</v>
      </c>
      <c r="B4139" s="1186" t="s">
        <v>308</v>
      </c>
      <c r="C4139" s="1186" t="s">
        <v>116</v>
      </c>
      <c r="D4139" s="1186" t="s">
        <v>50</v>
      </c>
      <c r="E4139" s="1186">
        <v>124</v>
      </c>
      <c r="F4139" s="1186">
        <v>94080</v>
      </c>
    </row>
    <row r="4140" spans="1:6" x14ac:dyDescent="0.2">
      <c r="A4140" s="1186" t="s">
        <v>1572</v>
      </c>
      <c r="B4140" s="1186" t="s">
        <v>308</v>
      </c>
      <c r="C4140" s="1186" t="s">
        <v>116</v>
      </c>
      <c r="D4140" s="1186" t="s">
        <v>51</v>
      </c>
      <c r="E4140" s="1186">
        <v>386</v>
      </c>
      <c r="F4140" s="1186">
        <v>88340</v>
      </c>
    </row>
    <row r="4141" spans="1:6" x14ac:dyDescent="0.2">
      <c r="A4141" s="1186" t="s">
        <v>1572</v>
      </c>
      <c r="B4141" s="1186" t="s">
        <v>308</v>
      </c>
      <c r="C4141" s="1186" t="s">
        <v>116</v>
      </c>
      <c r="D4141" s="1186" t="s">
        <v>52</v>
      </c>
      <c r="E4141" s="1186">
        <v>562</v>
      </c>
      <c r="F4141" s="1186">
        <v>183820</v>
      </c>
    </row>
  </sheetData>
  <pageMargins left="0.7" right="0.7" top="0.75" bottom="0.75" header="0.3" footer="0.3"/>
  <pageSetup paperSize="9" fitToHeight="5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sheetPr>
  <dimension ref="A1:Q16"/>
  <sheetViews>
    <sheetView workbookViewId="0">
      <selection activeCell="G23" sqref="G23"/>
    </sheetView>
  </sheetViews>
  <sheetFormatPr defaultRowHeight="12.75" x14ac:dyDescent="0.2"/>
  <cols>
    <col min="1" max="1" width="13" bestFit="1" customWidth="1"/>
    <col min="2" max="2" width="16.42578125" bestFit="1" customWidth="1"/>
    <col min="3" max="3" width="22.85546875" bestFit="1" customWidth="1"/>
    <col min="4" max="4" width="20.42578125" bestFit="1" customWidth="1"/>
    <col min="5" max="5" width="15.140625" bestFit="1" customWidth="1"/>
    <col min="6" max="6" width="16.42578125" bestFit="1" customWidth="1"/>
    <col min="7" max="7" width="22.85546875" bestFit="1" customWidth="1"/>
    <col min="8" max="8" width="20.42578125" bestFit="1" customWidth="1"/>
    <col min="9" max="9" width="15.140625" bestFit="1" customWidth="1"/>
    <col min="10" max="10" width="28.28515625" bestFit="1" customWidth="1"/>
    <col min="11" max="11" width="22.85546875" bestFit="1" customWidth="1"/>
    <col min="12" max="12" width="20.42578125" bestFit="1" customWidth="1"/>
    <col min="13" max="13" width="15.140625" bestFit="1" customWidth="1"/>
    <col min="14" max="14" width="21.42578125" bestFit="1" customWidth="1"/>
    <col min="15" max="15" width="27.85546875" bestFit="1" customWidth="1"/>
    <col min="16" max="16" width="25.5703125" bestFit="1" customWidth="1"/>
    <col min="17" max="17" width="20.140625" bestFit="1" customWidth="1"/>
    <col min="18" max="18" width="16" customWidth="1"/>
    <col min="19" max="19" width="9.140625" customWidth="1"/>
    <col min="20" max="20" width="16" customWidth="1"/>
    <col min="21" max="21" width="9.140625" customWidth="1"/>
    <col min="22" max="22" width="16" customWidth="1"/>
    <col min="23" max="23" width="9.140625" customWidth="1"/>
    <col min="24" max="24" width="16" customWidth="1"/>
    <col min="25" max="25" width="9.140625" customWidth="1"/>
    <col min="26" max="26" width="16" customWidth="1"/>
    <col min="27" max="27" width="9.140625" customWidth="1"/>
    <col min="28" max="28" width="16" customWidth="1"/>
    <col min="29" max="29" width="10.140625" customWidth="1"/>
    <col min="30" max="30" width="16" customWidth="1"/>
    <col min="31" max="31" width="10.140625" customWidth="1"/>
    <col min="32" max="32" width="16" customWidth="1"/>
    <col min="33" max="33" width="10.140625" customWidth="1"/>
    <col min="34" max="34" width="16" customWidth="1"/>
    <col min="35" max="35" width="10.140625" customWidth="1"/>
    <col min="36" max="36" width="16" customWidth="1"/>
    <col min="37" max="37" width="10.140625" customWidth="1"/>
    <col min="38" max="38" width="30.42578125" customWidth="1"/>
    <col min="39" max="39" width="10.140625" customWidth="1"/>
    <col min="40" max="40" width="30.42578125" customWidth="1"/>
    <col min="41" max="41" width="10.140625" customWidth="1"/>
    <col min="42" max="42" width="30.42578125" customWidth="1"/>
    <col min="43" max="43" width="10.140625" customWidth="1"/>
    <col min="44" max="44" width="30.42578125" customWidth="1"/>
    <col min="45" max="45" width="10.140625" customWidth="1"/>
    <col min="46" max="46" width="30.42578125" customWidth="1"/>
    <col min="47" max="47" width="10.140625" customWidth="1"/>
    <col min="48" max="48" width="30.42578125" customWidth="1"/>
    <col min="49" max="49" width="10.140625" customWidth="1"/>
    <col min="50" max="50" width="30.42578125" customWidth="1"/>
    <col min="51" max="51" width="10.140625" customWidth="1"/>
    <col min="52" max="52" width="30.42578125" customWidth="1"/>
    <col min="53" max="53" width="10.140625" customWidth="1"/>
    <col min="54" max="54" width="30.42578125" customWidth="1"/>
    <col min="55" max="55" width="10.140625" customWidth="1"/>
    <col min="56" max="56" width="30.42578125" customWidth="1"/>
    <col min="57" max="57" width="10.140625" customWidth="1"/>
    <col min="58" max="58" width="24" customWidth="1"/>
    <col min="59" max="59" width="8.140625" customWidth="1"/>
    <col min="60" max="60" width="7.7109375" customWidth="1"/>
    <col min="61" max="61" width="8.140625" customWidth="1"/>
    <col min="62" max="62" width="7.7109375" customWidth="1"/>
    <col min="63" max="63" width="8.140625" customWidth="1"/>
    <col min="64" max="64" width="7.7109375" customWidth="1"/>
    <col min="65" max="65" width="8.140625" customWidth="1"/>
    <col min="66" max="66" width="7.7109375" customWidth="1"/>
    <col min="67" max="67" width="8.140625" customWidth="1"/>
    <col min="68" max="68" width="7.7109375" customWidth="1"/>
    <col min="69" max="69" width="8.140625" customWidth="1"/>
    <col min="70" max="70" width="7.7109375" customWidth="1"/>
    <col min="71" max="71" width="8.140625" customWidth="1"/>
    <col min="72" max="72" width="7.7109375" customWidth="1"/>
    <col min="73" max="73" width="8.140625" customWidth="1"/>
    <col min="74" max="74" width="16" customWidth="1"/>
    <col min="75" max="75" width="9.140625" customWidth="1"/>
    <col min="76" max="76" width="16" customWidth="1"/>
    <col min="77" max="77" width="9.140625" customWidth="1"/>
    <col min="78" max="78" width="16" customWidth="1"/>
    <col min="79" max="79" width="9.140625" customWidth="1"/>
    <col min="80" max="80" width="16" customWidth="1"/>
    <col min="81" max="81" width="9.140625" customWidth="1"/>
    <col min="82" max="82" width="16" customWidth="1"/>
    <col min="83" max="83" width="9.140625" customWidth="1"/>
    <col min="84" max="84" width="16" customWidth="1"/>
    <col min="85" max="85" width="10.140625" customWidth="1"/>
    <col min="86" max="86" width="16" customWidth="1"/>
    <col min="87" max="87" width="10.140625" customWidth="1"/>
    <col min="88" max="88" width="16" customWidth="1"/>
    <col min="89" max="89" width="10.140625" customWidth="1"/>
    <col min="90" max="90" width="16" customWidth="1"/>
    <col min="91" max="91" width="10.140625" customWidth="1"/>
    <col min="92" max="92" width="16" customWidth="1"/>
    <col min="93" max="93" width="10.140625" customWidth="1"/>
    <col min="94" max="94" width="30.42578125" customWidth="1"/>
    <col min="95" max="95" width="10.140625" customWidth="1"/>
    <col min="96" max="96" width="30.42578125" customWidth="1"/>
    <col min="97" max="97" width="10.140625" customWidth="1"/>
    <col min="98" max="98" width="30.42578125" customWidth="1"/>
    <col min="99" max="99" width="10.140625" customWidth="1"/>
    <col min="100" max="100" width="30.42578125" customWidth="1"/>
    <col min="101" max="101" width="10.140625" customWidth="1"/>
    <col min="102" max="102" width="30.42578125" customWidth="1"/>
    <col min="103" max="103" width="10.140625" customWidth="1"/>
    <col min="104" max="104" width="30.42578125" customWidth="1"/>
    <col min="105" max="105" width="10.140625" customWidth="1"/>
    <col min="106" max="106" width="30.42578125" customWidth="1"/>
    <col min="107" max="107" width="10.140625" customWidth="1"/>
    <col min="108" max="108" width="30.42578125" customWidth="1"/>
    <col min="109" max="109" width="10.140625" customWidth="1"/>
    <col min="110" max="110" width="30.42578125" customWidth="1"/>
    <col min="111" max="111" width="10.140625" customWidth="1"/>
    <col min="112" max="112" width="30.42578125" customWidth="1"/>
    <col min="113" max="113" width="10.140625" customWidth="1"/>
    <col min="114" max="114" width="22.140625" customWidth="1"/>
    <col min="115" max="115" width="8.140625" customWidth="1"/>
    <col min="116" max="116" width="7.7109375" customWidth="1"/>
    <col min="117" max="117" width="8.140625" customWidth="1"/>
    <col min="118" max="118" width="7.7109375" customWidth="1"/>
    <col min="119" max="119" width="8.140625" customWidth="1"/>
    <col min="120" max="120" width="7.7109375" customWidth="1"/>
    <col min="121" max="121" width="8.140625" customWidth="1"/>
    <col min="122" max="122" width="7.7109375" customWidth="1"/>
    <col min="123" max="123" width="8.140625" customWidth="1"/>
    <col min="124" max="124" width="7.7109375" customWidth="1"/>
    <col min="125" max="125" width="8.140625" customWidth="1"/>
    <col min="126" max="126" width="7.7109375" customWidth="1"/>
    <col min="127" max="127" width="8.140625" customWidth="1"/>
    <col min="128" max="128" width="7.7109375" customWidth="1"/>
    <col min="129" max="129" width="8.140625" customWidth="1"/>
    <col min="130" max="130" width="16" customWidth="1"/>
    <col min="131" max="131" width="9.140625" customWidth="1"/>
    <col min="132" max="132" width="16" customWidth="1"/>
    <col min="133" max="133" width="9.140625" customWidth="1"/>
    <col min="134" max="134" width="16" customWidth="1"/>
    <col min="135" max="135" width="9.140625" customWidth="1"/>
    <col min="136" max="136" width="16" customWidth="1"/>
    <col min="137" max="137" width="9.140625" customWidth="1"/>
    <col min="138" max="138" width="16" bestFit="1" customWidth="1"/>
    <col min="139" max="139" width="9.140625" customWidth="1"/>
    <col min="140" max="140" width="16" bestFit="1" customWidth="1"/>
    <col min="141" max="141" width="10.140625" customWidth="1"/>
    <col min="142" max="142" width="16" customWidth="1"/>
    <col min="143" max="143" width="10.140625" bestFit="1" customWidth="1"/>
    <col min="144" max="144" width="16" customWidth="1"/>
    <col min="145" max="145" width="10.140625" bestFit="1" customWidth="1"/>
    <col min="146" max="146" width="16" customWidth="1"/>
    <col min="147" max="147" width="10.140625" bestFit="1" customWidth="1"/>
    <col min="148" max="148" width="16" customWidth="1"/>
    <col min="149" max="149" width="10.140625" bestFit="1" customWidth="1"/>
    <col min="150" max="150" width="30.42578125" customWidth="1"/>
    <col min="151" max="151" width="10.140625" bestFit="1" customWidth="1"/>
    <col min="152" max="152" width="30.42578125" customWidth="1"/>
    <col min="153" max="153" width="10.140625" bestFit="1" customWidth="1"/>
    <col min="154" max="154" width="30.42578125" customWidth="1"/>
    <col min="155" max="155" width="10.140625" bestFit="1" customWidth="1"/>
    <col min="156" max="156" width="30.42578125" customWidth="1"/>
    <col min="157" max="157" width="10.140625" bestFit="1" customWidth="1"/>
    <col min="158" max="158" width="30.42578125" customWidth="1"/>
    <col min="159" max="159" width="10.140625" bestFit="1" customWidth="1"/>
    <col min="160" max="160" width="30.42578125" customWidth="1"/>
    <col min="161" max="161" width="10.140625" bestFit="1" customWidth="1"/>
    <col min="162" max="162" width="30.42578125" customWidth="1"/>
    <col min="163" max="163" width="10.140625" bestFit="1" customWidth="1"/>
    <col min="164" max="164" width="30.42578125" customWidth="1"/>
    <col min="165" max="165" width="10.140625" bestFit="1" customWidth="1"/>
    <col min="166" max="166" width="30.42578125" customWidth="1"/>
    <col min="167" max="167" width="10.140625" bestFit="1" customWidth="1"/>
    <col min="168" max="168" width="30.42578125" customWidth="1"/>
    <col min="169" max="169" width="10.140625" bestFit="1" customWidth="1"/>
    <col min="170" max="170" width="16.7109375" customWidth="1"/>
    <col min="171" max="171" width="8.140625" customWidth="1"/>
    <col min="172" max="172" width="7.7109375" customWidth="1"/>
    <col min="173" max="173" width="8.140625" customWidth="1"/>
    <col min="174" max="174" width="7.7109375" customWidth="1"/>
    <col min="175" max="175" width="8.140625" customWidth="1"/>
    <col min="176" max="176" width="7.7109375" customWidth="1"/>
    <col min="177" max="177" width="8.140625" customWidth="1"/>
    <col min="178" max="178" width="7.7109375" customWidth="1"/>
    <col min="179" max="179" width="8.140625" customWidth="1"/>
    <col min="180" max="180" width="7.7109375" customWidth="1"/>
    <col min="181" max="181" width="8.140625" customWidth="1"/>
    <col min="182" max="182" width="7.7109375" customWidth="1"/>
    <col min="183" max="183" width="8.140625" customWidth="1"/>
    <col min="184" max="184" width="7.7109375" customWidth="1"/>
    <col min="185" max="185" width="8.140625" customWidth="1"/>
    <col min="186" max="186" width="16" bestFit="1" customWidth="1"/>
    <col min="188" max="188" width="16" bestFit="1" customWidth="1"/>
    <col min="190" max="190" width="16" bestFit="1" customWidth="1"/>
    <col min="192" max="192" width="16" bestFit="1" customWidth="1"/>
    <col min="194" max="194" width="16" bestFit="1" customWidth="1"/>
    <col min="196" max="196" width="16" bestFit="1" customWidth="1"/>
    <col min="197" max="197" width="10.140625" bestFit="1" customWidth="1"/>
    <col min="198" max="198" width="16" bestFit="1" customWidth="1"/>
    <col min="199" max="199" width="10.140625" bestFit="1" customWidth="1"/>
    <col min="200" max="200" width="16" bestFit="1" customWidth="1"/>
    <col min="201" max="201" width="10.140625" bestFit="1" customWidth="1"/>
    <col min="202" max="202" width="16" bestFit="1" customWidth="1"/>
    <col min="203" max="203" width="10.140625" bestFit="1" customWidth="1"/>
    <col min="204" max="204" width="16" bestFit="1" customWidth="1"/>
    <col min="205" max="205" width="10.140625" bestFit="1" customWidth="1"/>
    <col min="206" max="206" width="30.42578125" bestFit="1" customWidth="1"/>
    <col min="207" max="207" width="10.140625" bestFit="1" customWidth="1"/>
    <col min="208" max="208" width="30.42578125" bestFit="1" customWidth="1"/>
    <col min="209" max="209" width="10.140625" bestFit="1" customWidth="1"/>
    <col min="210" max="210" width="30.42578125" bestFit="1" customWidth="1"/>
    <col min="211" max="211" width="10.140625" bestFit="1" customWidth="1"/>
    <col min="212" max="212" width="30.42578125" bestFit="1" customWidth="1"/>
    <col min="213" max="213" width="10.140625" bestFit="1" customWidth="1"/>
    <col min="214" max="214" width="30.42578125" bestFit="1" customWidth="1"/>
    <col min="215" max="215" width="10.140625" bestFit="1" customWidth="1"/>
    <col min="216" max="216" width="30.42578125" bestFit="1" customWidth="1"/>
    <col min="217" max="217" width="10.140625" bestFit="1" customWidth="1"/>
    <col min="218" max="218" width="30.42578125" bestFit="1" customWidth="1"/>
    <col min="219" max="219" width="10.140625" bestFit="1" customWidth="1"/>
    <col min="220" max="220" width="30.42578125" bestFit="1" customWidth="1"/>
    <col min="221" max="221" width="10.140625" bestFit="1" customWidth="1"/>
    <col min="222" max="222" width="30.42578125" bestFit="1" customWidth="1"/>
    <col min="223" max="223" width="10.140625" bestFit="1" customWidth="1"/>
    <col min="224" max="224" width="30.42578125" bestFit="1" customWidth="1"/>
    <col min="225" max="225" width="10.140625" bestFit="1" customWidth="1"/>
    <col min="226" max="226" width="23.140625" bestFit="1" customWidth="1"/>
    <col min="227" max="227" width="29.28515625" bestFit="1" customWidth="1"/>
    <col min="228" max="228" width="27.42578125" bestFit="1" customWidth="1"/>
    <col min="229" max="229" width="22.140625" bestFit="1" customWidth="1"/>
  </cols>
  <sheetData>
    <row r="1" spans="1:17" x14ac:dyDescent="0.2">
      <c r="B1" s="234" t="s">
        <v>336</v>
      </c>
    </row>
    <row r="2" spans="1:17" x14ac:dyDescent="0.2">
      <c r="B2" t="s">
        <v>341</v>
      </c>
      <c r="F2" t="s">
        <v>342</v>
      </c>
      <c r="J2" t="s">
        <v>343</v>
      </c>
      <c r="N2" t="s">
        <v>337</v>
      </c>
      <c r="O2" t="s">
        <v>338</v>
      </c>
      <c r="P2" t="s">
        <v>339</v>
      </c>
      <c r="Q2" t="s">
        <v>340</v>
      </c>
    </row>
    <row r="3" spans="1:17" x14ac:dyDescent="0.2">
      <c r="A3" s="234" t="s">
        <v>326</v>
      </c>
      <c r="B3" t="s">
        <v>328</v>
      </c>
      <c r="C3" t="s">
        <v>329</v>
      </c>
      <c r="D3" t="s">
        <v>330</v>
      </c>
      <c r="E3" t="s">
        <v>331</v>
      </c>
      <c r="F3" t="s">
        <v>328</v>
      </c>
      <c r="G3" t="s">
        <v>329</v>
      </c>
      <c r="H3" t="s">
        <v>330</v>
      </c>
      <c r="I3" t="s">
        <v>331</v>
      </c>
      <c r="J3" t="s">
        <v>328</v>
      </c>
      <c r="K3" t="s">
        <v>329</v>
      </c>
      <c r="L3" t="s">
        <v>330</v>
      </c>
      <c r="M3" t="s">
        <v>331</v>
      </c>
    </row>
    <row r="4" spans="1:17" x14ac:dyDescent="0.2">
      <c r="A4" s="235" t="s">
        <v>19</v>
      </c>
      <c r="B4">
        <v>787</v>
      </c>
      <c r="C4">
        <v>84</v>
      </c>
      <c r="D4">
        <v>59</v>
      </c>
      <c r="E4">
        <v>26</v>
      </c>
      <c r="F4">
        <v>53</v>
      </c>
      <c r="G4">
        <v>4</v>
      </c>
      <c r="H4">
        <v>4</v>
      </c>
      <c r="I4">
        <v>1</v>
      </c>
      <c r="J4">
        <v>1032</v>
      </c>
      <c r="K4">
        <v>95</v>
      </c>
      <c r="L4">
        <v>66</v>
      </c>
      <c r="M4">
        <v>30</v>
      </c>
      <c r="N4">
        <v>1872</v>
      </c>
      <c r="O4">
        <v>183</v>
      </c>
      <c r="P4">
        <v>129</v>
      </c>
      <c r="Q4">
        <v>57</v>
      </c>
    </row>
    <row r="5" spans="1:17" x14ac:dyDescent="0.2">
      <c r="A5" s="235" t="s">
        <v>20</v>
      </c>
      <c r="B5">
        <v>934</v>
      </c>
      <c r="C5">
        <v>89</v>
      </c>
      <c r="D5">
        <v>37</v>
      </c>
      <c r="E5">
        <v>34</v>
      </c>
      <c r="F5">
        <v>45</v>
      </c>
      <c r="G5">
        <v>3</v>
      </c>
      <c r="H5">
        <v>3</v>
      </c>
      <c r="I5">
        <v>1</v>
      </c>
      <c r="J5">
        <v>1142</v>
      </c>
      <c r="K5">
        <v>109</v>
      </c>
      <c r="L5">
        <v>43</v>
      </c>
      <c r="M5">
        <v>38</v>
      </c>
      <c r="N5">
        <v>2121</v>
      </c>
      <c r="O5">
        <v>201</v>
      </c>
      <c r="P5">
        <v>83</v>
      </c>
      <c r="Q5">
        <v>73</v>
      </c>
    </row>
    <row r="6" spans="1:17" x14ac:dyDescent="0.2">
      <c r="A6" s="235" t="s">
        <v>13</v>
      </c>
      <c r="B6">
        <v>955</v>
      </c>
      <c r="C6">
        <v>85</v>
      </c>
      <c r="D6">
        <v>43</v>
      </c>
      <c r="E6">
        <v>34</v>
      </c>
      <c r="F6">
        <v>51</v>
      </c>
      <c r="G6">
        <v>4</v>
      </c>
      <c r="H6">
        <v>3</v>
      </c>
      <c r="I6">
        <v>1</v>
      </c>
      <c r="J6">
        <v>1219</v>
      </c>
      <c r="K6">
        <v>99</v>
      </c>
      <c r="L6">
        <v>58</v>
      </c>
      <c r="M6">
        <v>38</v>
      </c>
      <c r="N6">
        <v>2225</v>
      </c>
      <c r="O6">
        <v>188</v>
      </c>
      <c r="P6">
        <v>104</v>
      </c>
      <c r="Q6">
        <v>73</v>
      </c>
    </row>
    <row r="7" spans="1:17" x14ac:dyDescent="0.2">
      <c r="A7" s="235" t="s">
        <v>15</v>
      </c>
      <c r="B7">
        <v>923</v>
      </c>
      <c r="C7">
        <v>78</v>
      </c>
      <c r="D7">
        <v>32</v>
      </c>
      <c r="E7">
        <v>24</v>
      </c>
      <c r="F7">
        <v>40</v>
      </c>
      <c r="G7">
        <v>2</v>
      </c>
      <c r="H7">
        <v>2</v>
      </c>
      <c r="I7">
        <v>2</v>
      </c>
      <c r="J7">
        <v>1166</v>
      </c>
      <c r="K7">
        <v>92</v>
      </c>
      <c r="L7">
        <v>35</v>
      </c>
      <c r="M7">
        <v>26</v>
      </c>
      <c r="N7">
        <v>2129</v>
      </c>
      <c r="O7">
        <v>172</v>
      </c>
      <c r="P7">
        <v>69</v>
      </c>
      <c r="Q7">
        <v>52</v>
      </c>
    </row>
    <row r="8" spans="1:17" x14ac:dyDescent="0.2">
      <c r="A8" s="235" t="s">
        <v>17</v>
      </c>
      <c r="B8">
        <v>942</v>
      </c>
      <c r="C8">
        <v>76</v>
      </c>
      <c r="D8">
        <v>46</v>
      </c>
      <c r="E8">
        <v>25</v>
      </c>
      <c r="F8">
        <v>29</v>
      </c>
      <c r="G8">
        <v>1</v>
      </c>
      <c r="H8">
        <v>1</v>
      </c>
      <c r="J8">
        <v>1140</v>
      </c>
      <c r="K8">
        <v>86</v>
      </c>
      <c r="L8">
        <v>50</v>
      </c>
      <c r="M8">
        <v>34</v>
      </c>
      <c r="N8">
        <v>2111</v>
      </c>
      <c r="O8">
        <v>163</v>
      </c>
      <c r="P8">
        <v>97</v>
      </c>
      <c r="Q8">
        <v>59</v>
      </c>
    </row>
    <row r="9" spans="1:17" x14ac:dyDescent="0.2">
      <c r="A9" s="235" t="s">
        <v>133</v>
      </c>
      <c r="B9">
        <v>762</v>
      </c>
      <c r="C9">
        <v>78</v>
      </c>
      <c r="D9">
        <v>30</v>
      </c>
      <c r="E9">
        <v>16</v>
      </c>
      <c r="F9">
        <v>31</v>
      </c>
      <c r="G9">
        <v>3</v>
      </c>
      <c r="H9">
        <v>1</v>
      </c>
      <c r="I9">
        <v>5</v>
      </c>
      <c r="J9">
        <v>947</v>
      </c>
      <c r="K9">
        <v>91</v>
      </c>
      <c r="L9">
        <v>40</v>
      </c>
      <c r="M9">
        <v>21</v>
      </c>
      <c r="N9">
        <v>1740</v>
      </c>
      <c r="O9">
        <v>172</v>
      </c>
      <c r="P9">
        <v>71</v>
      </c>
      <c r="Q9">
        <v>42</v>
      </c>
    </row>
    <row r="10" spans="1:17" x14ac:dyDescent="0.2">
      <c r="A10" s="235" t="s">
        <v>144</v>
      </c>
      <c r="B10">
        <v>829</v>
      </c>
      <c r="C10">
        <v>103</v>
      </c>
      <c r="D10">
        <v>56</v>
      </c>
      <c r="E10">
        <v>29</v>
      </c>
      <c r="F10">
        <v>39</v>
      </c>
      <c r="G10">
        <v>3</v>
      </c>
      <c r="H10">
        <v>3</v>
      </c>
      <c r="J10">
        <v>1063</v>
      </c>
      <c r="K10">
        <v>117</v>
      </c>
      <c r="L10">
        <v>61</v>
      </c>
      <c r="M10">
        <v>35</v>
      </c>
      <c r="N10">
        <v>1931</v>
      </c>
      <c r="O10">
        <v>223</v>
      </c>
      <c r="P10">
        <v>120</v>
      </c>
      <c r="Q10">
        <v>64</v>
      </c>
    </row>
    <row r="11" spans="1:17" x14ac:dyDescent="0.2">
      <c r="A11" s="235" t="s">
        <v>282</v>
      </c>
      <c r="B11">
        <v>814</v>
      </c>
      <c r="C11">
        <v>56</v>
      </c>
      <c r="D11">
        <v>40</v>
      </c>
      <c r="E11">
        <v>26</v>
      </c>
      <c r="F11">
        <v>36</v>
      </c>
      <c r="G11">
        <v>3</v>
      </c>
      <c r="H11">
        <v>5</v>
      </c>
      <c r="J11">
        <v>1115</v>
      </c>
      <c r="K11">
        <v>72</v>
      </c>
      <c r="L11">
        <v>48</v>
      </c>
      <c r="M11">
        <v>31</v>
      </c>
      <c r="N11">
        <v>1965</v>
      </c>
      <c r="O11">
        <v>131</v>
      </c>
      <c r="P11">
        <v>93</v>
      </c>
      <c r="Q11">
        <v>57</v>
      </c>
    </row>
    <row r="12" spans="1:17" x14ac:dyDescent="0.2">
      <c r="A12" s="235" t="s">
        <v>311</v>
      </c>
      <c r="B12">
        <v>737</v>
      </c>
      <c r="C12">
        <v>90</v>
      </c>
      <c r="D12">
        <v>35</v>
      </c>
      <c r="E12">
        <v>19</v>
      </c>
      <c r="F12">
        <v>37</v>
      </c>
      <c r="G12">
        <v>3</v>
      </c>
      <c r="H12">
        <v>3</v>
      </c>
      <c r="I12">
        <v>1</v>
      </c>
      <c r="J12">
        <v>921</v>
      </c>
      <c r="K12">
        <v>119</v>
      </c>
      <c r="L12">
        <v>51</v>
      </c>
      <c r="M12">
        <v>25</v>
      </c>
      <c r="N12">
        <v>1695</v>
      </c>
      <c r="O12">
        <v>212</v>
      </c>
      <c r="P12">
        <v>89</v>
      </c>
      <c r="Q12">
        <v>45</v>
      </c>
    </row>
    <row r="13" spans="1:17" x14ac:dyDescent="0.2">
      <c r="A13" s="235" t="s">
        <v>621</v>
      </c>
      <c r="B13">
        <v>793</v>
      </c>
      <c r="C13">
        <v>90</v>
      </c>
      <c r="D13">
        <v>31</v>
      </c>
      <c r="E13">
        <v>35</v>
      </c>
      <c r="F13">
        <v>40</v>
      </c>
      <c r="G13">
        <v>1</v>
      </c>
      <c r="H13">
        <v>1</v>
      </c>
      <c r="I13">
        <v>2</v>
      </c>
      <c r="J13">
        <v>1016</v>
      </c>
      <c r="K13">
        <v>109</v>
      </c>
      <c r="L13">
        <v>34</v>
      </c>
      <c r="M13">
        <v>38</v>
      </c>
      <c r="N13">
        <v>1849</v>
      </c>
      <c r="O13">
        <v>200</v>
      </c>
      <c r="P13">
        <v>66</v>
      </c>
      <c r="Q13">
        <v>75</v>
      </c>
    </row>
    <row r="14" spans="1:17" x14ac:dyDescent="0.2">
      <c r="A14" s="235" t="s">
        <v>1419</v>
      </c>
      <c r="B14">
        <v>671</v>
      </c>
      <c r="C14">
        <v>85</v>
      </c>
      <c r="D14">
        <v>25</v>
      </c>
      <c r="E14">
        <v>27</v>
      </c>
      <c r="F14">
        <v>21</v>
      </c>
      <c r="G14">
        <v>3</v>
      </c>
      <c r="H14">
        <v>3</v>
      </c>
      <c r="J14">
        <v>877</v>
      </c>
      <c r="K14">
        <v>91</v>
      </c>
      <c r="L14">
        <v>29</v>
      </c>
      <c r="M14">
        <v>30</v>
      </c>
      <c r="N14">
        <v>1569</v>
      </c>
      <c r="O14">
        <v>179</v>
      </c>
      <c r="P14">
        <v>57</v>
      </c>
      <c r="Q14">
        <v>57</v>
      </c>
    </row>
    <row r="15" spans="1:17" x14ac:dyDescent="0.2">
      <c r="A15" s="235" t="s">
        <v>1572</v>
      </c>
      <c r="B15">
        <v>584</v>
      </c>
      <c r="C15">
        <v>54</v>
      </c>
      <c r="D15">
        <v>15</v>
      </c>
      <c r="E15">
        <v>40</v>
      </c>
      <c r="F15">
        <v>44</v>
      </c>
      <c r="G15">
        <v>2</v>
      </c>
      <c r="H15">
        <v>5</v>
      </c>
      <c r="I15">
        <v>2</v>
      </c>
      <c r="J15">
        <v>876</v>
      </c>
      <c r="K15">
        <v>74</v>
      </c>
      <c r="L15">
        <v>22</v>
      </c>
      <c r="M15">
        <v>45</v>
      </c>
      <c r="N15">
        <v>1504</v>
      </c>
      <c r="O15">
        <v>130</v>
      </c>
      <c r="P15">
        <v>42</v>
      </c>
      <c r="Q15">
        <v>87</v>
      </c>
    </row>
    <row r="16" spans="1:17" x14ac:dyDescent="0.2">
      <c r="A16" s="235" t="s">
        <v>333</v>
      </c>
      <c r="B16">
        <v>9731</v>
      </c>
      <c r="C16">
        <v>968</v>
      </c>
      <c r="D16">
        <v>449</v>
      </c>
      <c r="E16">
        <v>335</v>
      </c>
      <c r="F16">
        <v>466</v>
      </c>
      <c r="G16">
        <v>32</v>
      </c>
      <c r="H16">
        <v>34</v>
      </c>
      <c r="I16">
        <v>15</v>
      </c>
      <c r="J16">
        <v>12514</v>
      </c>
      <c r="K16">
        <v>1154</v>
      </c>
      <c r="L16">
        <v>537</v>
      </c>
      <c r="M16">
        <v>391</v>
      </c>
      <c r="N16">
        <v>22711</v>
      </c>
      <c r="O16">
        <v>2154</v>
      </c>
      <c r="P16">
        <v>1020</v>
      </c>
      <c r="Q16">
        <v>741</v>
      </c>
    </row>
  </sheetData>
  <pageMargins left="0.7" right="0.7" top="0.75" bottom="0.75" header="0.3" footer="0.3"/>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pageSetUpPr fitToPage="1"/>
  </sheetPr>
  <dimension ref="A1:H1611"/>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8.42578125" bestFit="1" customWidth="1"/>
    <col min="2" max="2" width="20.85546875" bestFit="1" customWidth="1"/>
    <col min="3" max="3" width="12.5703125" bestFit="1" customWidth="1"/>
    <col min="4" max="6" width="7.42578125" bestFit="1" customWidth="1"/>
    <col min="7" max="7" width="7" bestFit="1" customWidth="1"/>
    <col min="8" max="8" width="8.42578125" bestFit="1" customWidth="1"/>
  </cols>
  <sheetData>
    <row r="1" spans="1:8" x14ac:dyDescent="0.2"/>
    <row r="4" spans="1:8" x14ac:dyDescent="0.2">
      <c r="A4" s="1223" t="s">
        <v>751</v>
      </c>
      <c r="B4" s="1223" t="s">
        <v>1971</v>
      </c>
      <c r="C4" s="1223" t="s">
        <v>1764</v>
      </c>
      <c r="D4" s="1223" t="s">
        <v>4</v>
      </c>
      <c r="E4" s="1223" t="s">
        <v>1977</v>
      </c>
      <c r="F4" s="1223" t="s">
        <v>1978</v>
      </c>
      <c r="G4" s="1223" t="s">
        <v>1979</v>
      </c>
      <c r="H4" s="1223" t="s">
        <v>1980</v>
      </c>
    </row>
    <row r="5" spans="1:8" x14ac:dyDescent="0.2">
      <c r="A5" s="1186" t="s">
        <v>19</v>
      </c>
      <c r="B5" s="1186" t="s">
        <v>309</v>
      </c>
      <c r="C5" s="1186" t="s">
        <v>61</v>
      </c>
      <c r="D5" s="1186" t="s">
        <v>19</v>
      </c>
      <c r="E5" s="1186" t="s">
        <v>868</v>
      </c>
      <c r="F5" s="1186" t="s">
        <v>1981</v>
      </c>
      <c r="G5" s="1186" t="s">
        <v>1982</v>
      </c>
      <c r="H5" s="1186">
        <v>145</v>
      </c>
    </row>
    <row r="6" spans="1:8" x14ac:dyDescent="0.2">
      <c r="A6" s="1186" t="s">
        <v>19</v>
      </c>
      <c r="B6" s="1186" t="s">
        <v>309</v>
      </c>
      <c r="C6" s="1186" t="s">
        <v>61</v>
      </c>
      <c r="D6" s="1186" t="s">
        <v>19</v>
      </c>
      <c r="E6" s="1186" t="s">
        <v>869</v>
      </c>
      <c r="F6" s="1186" t="s">
        <v>1981</v>
      </c>
      <c r="G6" s="1186" t="s">
        <v>1982</v>
      </c>
      <c r="H6" s="1186">
        <v>92</v>
      </c>
    </row>
    <row r="7" spans="1:8" x14ac:dyDescent="0.2">
      <c r="A7" s="1186" t="s">
        <v>19</v>
      </c>
      <c r="B7" s="1186" t="s">
        <v>309</v>
      </c>
      <c r="C7" s="1186" t="s">
        <v>61</v>
      </c>
      <c r="D7" s="1186" t="s">
        <v>19</v>
      </c>
      <c r="E7" s="1186" t="s">
        <v>870</v>
      </c>
      <c r="F7" s="1186" t="s">
        <v>1983</v>
      </c>
      <c r="G7" s="1186" t="s">
        <v>1982</v>
      </c>
      <c r="H7" s="1186">
        <v>45</v>
      </c>
    </row>
    <row r="8" spans="1:8" x14ac:dyDescent="0.2">
      <c r="A8" s="1186" t="s">
        <v>19</v>
      </c>
      <c r="B8" s="1186" t="s">
        <v>309</v>
      </c>
      <c r="C8" s="1186" t="s">
        <v>61</v>
      </c>
      <c r="D8" s="1186" t="s">
        <v>19</v>
      </c>
      <c r="E8" s="1186" t="s">
        <v>871</v>
      </c>
      <c r="F8" s="1186" t="s">
        <v>1983</v>
      </c>
      <c r="G8" s="1186" t="s">
        <v>1984</v>
      </c>
      <c r="H8" s="1186">
        <v>28</v>
      </c>
    </row>
    <row r="9" spans="1:8" x14ac:dyDescent="0.2">
      <c r="A9" s="1186" t="s">
        <v>19</v>
      </c>
      <c r="B9" s="1186" t="s">
        <v>309</v>
      </c>
      <c r="C9" s="1186" t="s">
        <v>61</v>
      </c>
      <c r="D9" s="1186" t="s">
        <v>19</v>
      </c>
      <c r="E9" s="1186" t="s">
        <v>872</v>
      </c>
      <c r="F9" s="1186" t="s">
        <v>1983</v>
      </c>
      <c r="G9" s="1186" t="s">
        <v>1984</v>
      </c>
      <c r="H9" s="1186">
        <v>38</v>
      </c>
    </row>
    <row r="10" spans="1:8" x14ac:dyDescent="0.2">
      <c r="A10" s="1186" t="s">
        <v>19</v>
      </c>
      <c r="B10" s="1186" t="s">
        <v>309</v>
      </c>
      <c r="C10" s="1186" t="s">
        <v>61</v>
      </c>
      <c r="D10" s="1186" t="s">
        <v>19</v>
      </c>
      <c r="E10" s="1186" t="s">
        <v>873</v>
      </c>
      <c r="F10" s="1186" t="s">
        <v>1985</v>
      </c>
      <c r="G10" s="1186" t="s">
        <v>1984</v>
      </c>
      <c r="H10" s="1186">
        <v>62</v>
      </c>
    </row>
    <row r="11" spans="1:8" x14ac:dyDescent="0.2">
      <c r="A11" s="1186" t="s">
        <v>19</v>
      </c>
      <c r="B11" s="1186" t="s">
        <v>309</v>
      </c>
      <c r="C11" s="1186" t="s">
        <v>61</v>
      </c>
      <c r="D11" s="1186" t="s">
        <v>19</v>
      </c>
      <c r="E11" s="1186" t="s">
        <v>19</v>
      </c>
      <c r="F11" s="1186" t="s">
        <v>1985</v>
      </c>
      <c r="G11" s="1186" t="s">
        <v>1986</v>
      </c>
      <c r="H11" s="1186">
        <v>104</v>
      </c>
    </row>
    <row r="12" spans="1:8" x14ac:dyDescent="0.2">
      <c r="A12" s="1186" t="s">
        <v>19</v>
      </c>
      <c r="B12" s="1186" t="s">
        <v>309</v>
      </c>
      <c r="C12" s="1186" t="s">
        <v>61</v>
      </c>
      <c r="D12" s="1186" t="s">
        <v>19</v>
      </c>
      <c r="E12" s="1186" t="s">
        <v>874</v>
      </c>
      <c r="F12" s="1186" t="s">
        <v>1985</v>
      </c>
      <c r="G12" s="1186" t="s">
        <v>1986</v>
      </c>
      <c r="H12" s="1186">
        <v>142</v>
      </c>
    </row>
    <row r="13" spans="1:8" x14ac:dyDescent="0.2">
      <c r="A13" s="1186" t="s">
        <v>19</v>
      </c>
      <c r="B13" s="1186" t="s">
        <v>309</v>
      </c>
      <c r="C13" s="1186" t="s">
        <v>61</v>
      </c>
      <c r="D13" s="1186" t="s">
        <v>19</v>
      </c>
      <c r="E13" s="1186" t="s">
        <v>875</v>
      </c>
      <c r="F13" s="1186" t="s">
        <v>1987</v>
      </c>
      <c r="G13" s="1186" t="s">
        <v>1986</v>
      </c>
      <c r="H13" s="1186">
        <v>271</v>
      </c>
    </row>
    <row r="14" spans="1:8" x14ac:dyDescent="0.2">
      <c r="A14" s="1186" t="s">
        <v>19</v>
      </c>
      <c r="B14" s="1186" t="s">
        <v>309</v>
      </c>
      <c r="C14" s="1186" t="s">
        <v>61</v>
      </c>
      <c r="D14" s="1186" t="s">
        <v>19</v>
      </c>
      <c r="E14" s="1186" t="s">
        <v>876</v>
      </c>
      <c r="F14" s="1186" t="s">
        <v>1987</v>
      </c>
      <c r="G14" s="1186" t="s">
        <v>1988</v>
      </c>
      <c r="H14" s="1186">
        <v>300</v>
      </c>
    </row>
    <row r="15" spans="1:8" x14ac:dyDescent="0.2">
      <c r="A15" s="1186" t="s">
        <v>19</v>
      </c>
      <c r="B15" s="1186" t="s">
        <v>309</v>
      </c>
      <c r="C15" s="1186" t="s">
        <v>61</v>
      </c>
      <c r="D15" s="1186" t="s">
        <v>19</v>
      </c>
      <c r="E15" s="1186" t="s">
        <v>877</v>
      </c>
      <c r="F15" s="1186" t="s">
        <v>1987</v>
      </c>
      <c r="G15" s="1186" t="s">
        <v>1988</v>
      </c>
      <c r="H15" s="1186">
        <v>250</v>
      </c>
    </row>
    <row r="16" spans="1:8" x14ac:dyDescent="0.2">
      <c r="A16" s="1186" t="s">
        <v>19</v>
      </c>
      <c r="B16" s="1186" t="s">
        <v>309</v>
      </c>
      <c r="C16" s="1186" t="s">
        <v>61</v>
      </c>
      <c r="D16" s="1186" t="s">
        <v>19</v>
      </c>
      <c r="E16" s="1186" t="s">
        <v>878</v>
      </c>
      <c r="F16" s="1186" t="s">
        <v>1981</v>
      </c>
      <c r="G16" s="1186" t="s">
        <v>1988</v>
      </c>
      <c r="H16" s="1186">
        <v>262</v>
      </c>
    </row>
    <row r="17" spans="1:8" x14ac:dyDescent="0.2">
      <c r="A17" s="1186" t="s">
        <v>19</v>
      </c>
      <c r="B17" s="1186" t="s">
        <v>309</v>
      </c>
      <c r="C17" s="1186" t="s">
        <v>116</v>
      </c>
      <c r="D17" s="1186" t="s">
        <v>19</v>
      </c>
      <c r="E17" s="1186" t="s">
        <v>878</v>
      </c>
      <c r="F17" s="1186" t="s">
        <v>1981</v>
      </c>
      <c r="G17" s="1186" t="s">
        <v>1988</v>
      </c>
      <c r="H17" s="1186">
        <v>1</v>
      </c>
    </row>
    <row r="18" spans="1:8" x14ac:dyDescent="0.2">
      <c r="A18" s="1186" t="s">
        <v>19</v>
      </c>
      <c r="B18" s="1186" t="s">
        <v>823</v>
      </c>
      <c r="C18" s="1186" t="s">
        <v>61</v>
      </c>
      <c r="D18" s="1186" t="s">
        <v>19</v>
      </c>
      <c r="E18" s="1186" t="s">
        <v>868</v>
      </c>
      <c r="F18" s="1186" t="s">
        <v>1981</v>
      </c>
      <c r="G18" s="1186" t="s">
        <v>1982</v>
      </c>
      <c r="H18" s="1186">
        <v>467</v>
      </c>
    </row>
    <row r="19" spans="1:8" x14ac:dyDescent="0.2">
      <c r="A19" s="1186" t="s">
        <v>19</v>
      </c>
      <c r="B19" s="1186" t="s">
        <v>823</v>
      </c>
      <c r="C19" s="1186" t="s">
        <v>61</v>
      </c>
      <c r="D19" s="1186" t="s">
        <v>19</v>
      </c>
      <c r="E19" s="1186" t="s">
        <v>869</v>
      </c>
      <c r="F19" s="1186" t="s">
        <v>1981</v>
      </c>
      <c r="G19" s="1186" t="s">
        <v>1982</v>
      </c>
      <c r="H19" s="1186">
        <v>429</v>
      </c>
    </row>
    <row r="20" spans="1:8" x14ac:dyDescent="0.2">
      <c r="A20" s="1186" t="s">
        <v>19</v>
      </c>
      <c r="B20" s="1186" t="s">
        <v>823</v>
      </c>
      <c r="C20" s="1186" t="s">
        <v>61</v>
      </c>
      <c r="D20" s="1186" t="s">
        <v>19</v>
      </c>
      <c r="E20" s="1186" t="s">
        <v>870</v>
      </c>
      <c r="F20" s="1186" t="s">
        <v>1983</v>
      </c>
      <c r="G20" s="1186" t="s">
        <v>1982</v>
      </c>
      <c r="H20" s="1186">
        <v>383</v>
      </c>
    </row>
    <row r="21" spans="1:8" x14ac:dyDescent="0.2">
      <c r="A21" s="1186" t="s">
        <v>19</v>
      </c>
      <c r="B21" s="1186" t="s">
        <v>823</v>
      </c>
      <c r="C21" s="1186" t="s">
        <v>61</v>
      </c>
      <c r="D21" s="1186" t="s">
        <v>19</v>
      </c>
      <c r="E21" s="1186" t="s">
        <v>871</v>
      </c>
      <c r="F21" s="1186" t="s">
        <v>1983</v>
      </c>
      <c r="G21" s="1186" t="s">
        <v>1984</v>
      </c>
      <c r="H21" s="1186">
        <v>447</v>
      </c>
    </row>
    <row r="22" spans="1:8" x14ac:dyDescent="0.2">
      <c r="A22" s="1186" t="s">
        <v>19</v>
      </c>
      <c r="B22" s="1186" t="s">
        <v>823</v>
      </c>
      <c r="C22" s="1186" t="s">
        <v>61</v>
      </c>
      <c r="D22" s="1186" t="s">
        <v>19</v>
      </c>
      <c r="E22" s="1186" t="s">
        <v>872</v>
      </c>
      <c r="F22" s="1186" t="s">
        <v>1983</v>
      </c>
      <c r="G22" s="1186" t="s">
        <v>1984</v>
      </c>
      <c r="H22" s="1186">
        <v>392</v>
      </c>
    </row>
    <row r="23" spans="1:8" x14ac:dyDescent="0.2">
      <c r="A23" s="1186" t="s">
        <v>19</v>
      </c>
      <c r="B23" s="1186" t="s">
        <v>823</v>
      </c>
      <c r="C23" s="1186" t="s">
        <v>61</v>
      </c>
      <c r="D23" s="1186" t="s">
        <v>19</v>
      </c>
      <c r="E23" s="1186" t="s">
        <v>873</v>
      </c>
      <c r="F23" s="1186" t="s">
        <v>1985</v>
      </c>
      <c r="G23" s="1186" t="s">
        <v>1984</v>
      </c>
      <c r="H23" s="1186">
        <v>400</v>
      </c>
    </row>
    <row r="24" spans="1:8" x14ac:dyDescent="0.2">
      <c r="A24" s="1186" t="s">
        <v>19</v>
      </c>
      <c r="B24" s="1186" t="s">
        <v>823</v>
      </c>
      <c r="C24" s="1186" t="s">
        <v>61</v>
      </c>
      <c r="D24" s="1186" t="s">
        <v>19</v>
      </c>
      <c r="E24" s="1186" t="s">
        <v>19</v>
      </c>
      <c r="F24" s="1186" t="s">
        <v>1985</v>
      </c>
      <c r="G24" s="1186" t="s">
        <v>1986</v>
      </c>
      <c r="H24" s="1186">
        <v>429</v>
      </c>
    </row>
    <row r="25" spans="1:8" x14ac:dyDescent="0.2">
      <c r="A25" s="1186" t="s">
        <v>19</v>
      </c>
      <c r="B25" s="1186" t="s">
        <v>823</v>
      </c>
      <c r="C25" s="1186" t="s">
        <v>61</v>
      </c>
      <c r="D25" s="1186" t="s">
        <v>19</v>
      </c>
      <c r="E25" s="1186" t="s">
        <v>874</v>
      </c>
      <c r="F25" s="1186" t="s">
        <v>1985</v>
      </c>
      <c r="G25" s="1186" t="s">
        <v>1986</v>
      </c>
      <c r="H25" s="1186">
        <v>436</v>
      </c>
    </row>
    <row r="26" spans="1:8" x14ac:dyDescent="0.2">
      <c r="A26" s="1186" t="s">
        <v>19</v>
      </c>
      <c r="B26" s="1186" t="s">
        <v>823</v>
      </c>
      <c r="C26" s="1186" t="s">
        <v>61</v>
      </c>
      <c r="D26" s="1186" t="s">
        <v>19</v>
      </c>
      <c r="E26" s="1186" t="s">
        <v>875</v>
      </c>
      <c r="F26" s="1186" t="s">
        <v>1987</v>
      </c>
      <c r="G26" s="1186" t="s">
        <v>1986</v>
      </c>
      <c r="H26" s="1186">
        <v>539</v>
      </c>
    </row>
    <row r="27" spans="1:8" x14ac:dyDescent="0.2">
      <c r="A27" s="1186" t="s">
        <v>19</v>
      </c>
      <c r="B27" s="1186" t="s">
        <v>823</v>
      </c>
      <c r="C27" s="1186" t="s">
        <v>61</v>
      </c>
      <c r="D27" s="1186" t="s">
        <v>19</v>
      </c>
      <c r="E27" s="1186" t="s">
        <v>876</v>
      </c>
      <c r="F27" s="1186" t="s">
        <v>1987</v>
      </c>
      <c r="G27" s="1186" t="s">
        <v>1988</v>
      </c>
      <c r="H27" s="1186">
        <v>530</v>
      </c>
    </row>
    <row r="28" spans="1:8" x14ac:dyDescent="0.2">
      <c r="A28" s="1186" t="s">
        <v>19</v>
      </c>
      <c r="B28" s="1186" t="s">
        <v>823</v>
      </c>
      <c r="C28" s="1186" t="s">
        <v>61</v>
      </c>
      <c r="D28" s="1186" t="s">
        <v>19</v>
      </c>
      <c r="E28" s="1186" t="s">
        <v>877</v>
      </c>
      <c r="F28" s="1186" t="s">
        <v>1987</v>
      </c>
      <c r="G28" s="1186" t="s">
        <v>1988</v>
      </c>
      <c r="H28" s="1186">
        <v>448</v>
      </c>
    </row>
    <row r="29" spans="1:8" x14ac:dyDescent="0.2">
      <c r="A29" s="1186" t="s">
        <v>19</v>
      </c>
      <c r="B29" s="1186" t="s">
        <v>823</v>
      </c>
      <c r="C29" s="1186" t="s">
        <v>61</v>
      </c>
      <c r="D29" s="1186" t="s">
        <v>19</v>
      </c>
      <c r="E29" s="1186" t="s">
        <v>878</v>
      </c>
      <c r="F29" s="1186" t="s">
        <v>1981</v>
      </c>
      <c r="G29" s="1186" t="s">
        <v>1988</v>
      </c>
      <c r="H29" s="1186">
        <v>467</v>
      </c>
    </row>
    <row r="30" spans="1:8" x14ac:dyDescent="0.2">
      <c r="A30" s="1186" t="s">
        <v>19</v>
      </c>
      <c r="B30" s="1186" t="s">
        <v>823</v>
      </c>
      <c r="C30" s="1186" t="s">
        <v>116</v>
      </c>
      <c r="D30" s="1186" t="s">
        <v>19</v>
      </c>
      <c r="E30" s="1186" t="s">
        <v>868</v>
      </c>
      <c r="F30" s="1186" t="s">
        <v>1981</v>
      </c>
      <c r="G30" s="1186" t="s">
        <v>1982</v>
      </c>
      <c r="H30" s="1186">
        <v>125</v>
      </c>
    </row>
    <row r="31" spans="1:8" x14ac:dyDescent="0.2">
      <c r="A31" s="1186" t="s">
        <v>19</v>
      </c>
      <c r="B31" s="1186" t="s">
        <v>823</v>
      </c>
      <c r="C31" s="1186" t="s">
        <v>116</v>
      </c>
      <c r="D31" s="1186" t="s">
        <v>19</v>
      </c>
      <c r="E31" s="1186" t="s">
        <v>869</v>
      </c>
      <c r="F31" s="1186" t="s">
        <v>1981</v>
      </c>
      <c r="G31" s="1186" t="s">
        <v>1982</v>
      </c>
      <c r="H31" s="1186">
        <v>114</v>
      </c>
    </row>
    <row r="32" spans="1:8" x14ac:dyDescent="0.2">
      <c r="A32" s="1186" t="s">
        <v>19</v>
      </c>
      <c r="B32" s="1186" t="s">
        <v>823</v>
      </c>
      <c r="C32" s="1186" t="s">
        <v>116</v>
      </c>
      <c r="D32" s="1186" t="s">
        <v>19</v>
      </c>
      <c r="E32" s="1186" t="s">
        <v>870</v>
      </c>
      <c r="F32" s="1186" t="s">
        <v>1983</v>
      </c>
      <c r="G32" s="1186" t="s">
        <v>1982</v>
      </c>
      <c r="H32" s="1186">
        <v>109</v>
      </c>
    </row>
    <row r="33" spans="1:8" x14ac:dyDescent="0.2">
      <c r="A33" s="1186" t="s">
        <v>19</v>
      </c>
      <c r="B33" s="1186" t="s">
        <v>823</v>
      </c>
      <c r="C33" s="1186" t="s">
        <v>116</v>
      </c>
      <c r="D33" s="1186" t="s">
        <v>19</v>
      </c>
      <c r="E33" s="1186" t="s">
        <v>871</v>
      </c>
      <c r="F33" s="1186" t="s">
        <v>1983</v>
      </c>
      <c r="G33" s="1186" t="s">
        <v>1984</v>
      </c>
      <c r="H33" s="1186">
        <v>114</v>
      </c>
    </row>
    <row r="34" spans="1:8" x14ac:dyDescent="0.2">
      <c r="A34" s="1186" t="s">
        <v>19</v>
      </c>
      <c r="B34" s="1186" t="s">
        <v>823</v>
      </c>
      <c r="C34" s="1186" t="s">
        <v>116</v>
      </c>
      <c r="D34" s="1186" t="s">
        <v>19</v>
      </c>
      <c r="E34" s="1186" t="s">
        <v>872</v>
      </c>
      <c r="F34" s="1186" t="s">
        <v>1983</v>
      </c>
      <c r="G34" s="1186" t="s">
        <v>1984</v>
      </c>
      <c r="H34" s="1186">
        <v>98</v>
      </c>
    </row>
    <row r="35" spans="1:8" x14ac:dyDescent="0.2">
      <c r="A35" s="1186" t="s">
        <v>19</v>
      </c>
      <c r="B35" s="1186" t="s">
        <v>823</v>
      </c>
      <c r="C35" s="1186" t="s">
        <v>116</v>
      </c>
      <c r="D35" s="1186" t="s">
        <v>19</v>
      </c>
      <c r="E35" s="1186" t="s">
        <v>873</v>
      </c>
      <c r="F35" s="1186" t="s">
        <v>1985</v>
      </c>
      <c r="G35" s="1186" t="s">
        <v>1984</v>
      </c>
      <c r="H35" s="1186">
        <v>94</v>
      </c>
    </row>
    <row r="36" spans="1:8" x14ac:dyDescent="0.2">
      <c r="A36" s="1186" t="s">
        <v>19</v>
      </c>
      <c r="B36" s="1186" t="s">
        <v>823</v>
      </c>
      <c r="C36" s="1186" t="s">
        <v>116</v>
      </c>
      <c r="D36" s="1186" t="s">
        <v>19</v>
      </c>
      <c r="E36" s="1186" t="s">
        <v>19</v>
      </c>
      <c r="F36" s="1186" t="s">
        <v>1985</v>
      </c>
      <c r="G36" s="1186" t="s">
        <v>1986</v>
      </c>
      <c r="H36" s="1186">
        <v>106</v>
      </c>
    </row>
    <row r="37" spans="1:8" x14ac:dyDescent="0.2">
      <c r="A37" s="1186" t="s">
        <v>19</v>
      </c>
      <c r="B37" s="1186" t="s">
        <v>823</v>
      </c>
      <c r="C37" s="1186" t="s">
        <v>116</v>
      </c>
      <c r="D37" s="1186" t="s">
        <v>19</v>
      </c>
      <c r="E37" s="1186" t="s">
        <v>874</v>
      </c>
      <c r="F37" s="1186" t="s">
        <v>1985</v>
      </c>
      <c r="G37" s="1186" t="s">
        <v>1986</v>
      </c>
      <c r="H37" s="1186">
        <v>112</v>
      </c>
    </row>
    <row r="38" spans="1:8" x14ac:dyDescent="0.2">
      <c r="A38" s="1186" t="s">
        <v>19</v>
      </c>
      <c r="B38" s="1186" t="s">
        <v>823</v>
      </c>
      <c r="C38" s="1186" t="s">
        <v>116</v>
      </c>
      <c r="D38" s="1186" t="s">
        <v>19</v>
      </c>
      <c r="E38" s="1186" t="s">
        <v>875</v>
      </c>
      <c r="F38" s="1186" t="s">
        <v>1987</v>
      </c>
      <c r="G38" s="1186" t="s">
        <v>1986</v>
      </c>
      <c r="H38" s="1186">
        <v>72</v>
      </c>
    </row>
    <row r="39" spans="1:8" x14ac:dyDescent="0.2">
      <c r="A39" s="1186" t="s">
        <v>19</v>
      </c>
      <c r="B39" s="1186" t="s">
        <v>823</v>
      </c>
      <c r="C39" s="1186" t="s">
        <v>116</v>
      </c>
      <c r="D39" s="1186" t="s">
        <v>19</v>
      </c>
      <c r="E39" s="1186" t="s">
        <v>876</v>
      </c>
      <c r="F39" s="1186" t="s">
        <v>1987</v>
      </c>
      <c r="G39" s="1186" t="s">
        <v>1988</v>
      </c>
      <c r="H39" s="1186">
        <v>79</v>
      </c>
    </row>
    <row r="40" spans="1:8" x14ac:dyDescent="0.2">
      <c r="A40" s="1186" t="s">
        <v>19</v>
      </c>
      <c r="B40" s="1186" t="s">
        <v>823</v>
      </c>
      <c r="C40" s="1186" t="s">
        <v>116</v>
      </c>
      <c r="D40" s="1186" t="s">
        <v>19</v>
      </c>
      <c r="E40" s="1186" t="s">
        <v>877</v>
      </c>
      <c r="F40" s="1186" t="s">
        <v>1987</v>
      </c>
      <c r="G40" s="1186" t="s">
        <v>1988</v>
      </c>
      <c r="H40" s="1186">
        <v>76</v>
      </c>
    </row>
    <row r="41" spans="1:8" x14ac:dyDescent="0.2">
      <c r="A41" s="1186" t="s">
        <v>19</v>
      </c>
      <c r="B41" s="1186" t="s">
        <v>823</v>
      </c>
      <c r="C41" s="1186" t="s">
        <v>116</v>
      </c>
      <c r="D41" s="1186" t="s">
        <v>19</v>
      </c>
      <c r="E41" s="1186" t="s">
        <v>878</v>
      </c>
      <c r="F41" s="1186" t="s">
        <v>1981</v>
      </c>
      <c r="G41" s="1186" t="s">
        <v>1988</v>
      </c>
      <c r="H41" s="1186">
        <v>94</v>
      </c>
    </row>
    <row r="42" spans="1:8" x14ac:dyDescent="0.2">
      <c r="A42" s="1186" t="s">
        <v>19</v>
      </c>
      <c r="B42" s="1186" t="s">
        <v>824</v>
      </c>
      <c r="C42" s="1186" t="s">
        <v>61</v>
      </c>
      <c r="D42" s="1186" t="s">
        <v>19</v>
      </c>
      <c r="E42" s="1186" t="s">
        <v>868</v>
      </c>
      <c r="F42" s="1186" t="s">
        <v>1981</v>
      </c>
      <c r="G42" s="1186" t="s">
        <v>1982</v>
      </c>
      <c r="H42" s="1186">
        <v>205</v>
      </c>
    </row>
    <row r="43" spans="1:8" x14ac:dyDescent="0.2">
      <c r="A43" s="1186" t="s">
        <v>19</v>
      </c>
      <c r="B43" s="1186" t="s">
        <v>824</v>
      </c>
      <c r="C43" s="1186" t="s">
        <v>61</v>
      </c>
      <c r="D43" s="1186" t="s">
        <v>19</v>
      </c>
      <c r="E43" s="1186" t="s">
        <v>869</v>
      </c>
      <c r="F43" s="1186" t="s">
        <v>1981</v>
      </c>
      <c r="G43" s="1186" t="s">
        <v>1982</v>
      </c>
      <c r="H43" s="1186">
        <v>185</v>
      </c>
    </row>
    <row r="44" spans="1:8" x14ac:dyDescent="0.2">
      <c r="A44" s="1186" t="s">
        <v>19</v>
      </c>
      <c r="B44" s="1186" t="s">
        <v>824</v>
      </c>
      <c r="C44" s="1186" t="s">
        <v>61</v>
      </c>
      <c r="D44" s="1186" t="s">
        <v>19</v>
      </c>
      <c r="E44" s="1186" t="s">
        <v>870</v>
      </c>
      <c r="F44" s="1186" t="s">
        <v>1983</v>
      </c>
      <c r="G44" s="1186" t="s">
        <v>1982</v>
      </c>
      <c r="H44" s="1186">
        <v>156</v>
      </c>
    </row>
    <row r="45" spans="1:8" x14ac:dyDescent="0.2">
      <c r="A45" s="1186" t="s">
        <v>19</v>
      </c>
      <c r="B45" s="1186" t="s">
        <v>824</v>
      </c>
      <c r="C45" s="1186" t="s">
        <v>61</v>
      </c>
      <c r="D45" s="1186" t="s">
        <v>19</v>
      </c>
      <c r="E45" s="1186" t="s">
        <v>871</v>
      </c>
      <c r="F45" s="1186" t="s">
        <v>1983</v>
      </c>
      <c r="G45" s="1186" t="s">
        <v>1984</v>
      </c>
      <c r="H45" s="1186">
        <v>173</v>
      </c>
    </row>
    <row r="46" spans="1:8" x14ac:dyDescent="0.2">
      <c r="A46" s="1186" t="s">
        <v>19</v>
      </c>
      <c r="B46" s="1186" t="s">
        <v>824</v>
      </c>
      <c r="C46" s="1186" t="s">
        <v>61</v>
      </c>
      <c r="D46" s="1186" t="s">
        <v>19</v>
      </c>
      <c r="E46" s="1186" t="s">
        <v>872</v>
      </c>
      <c r="F46" s="1186" t="s">
        <v>1983</v>
      </c>
      <c r="G46" s="1186" t="s">
        <v>1984</v>
      </c>
      <c r="H46" s="1186">
        <v>163</v>
      </c>
    </row>
    <row r="47" spans="1:8" x14ac:dyDescent="0.2">
      <c r="A47" s="1186" t="s">
        <v>19</v>
      </c>
      <c r="B47" s="1186" t="s">
        <v>824</v>
      </c>
      <c r="C47" s="1186" t="s">
        <v>61</v>
      </c>
      <c r="D47" s="1186" t="s">
        <v>19</v>
      </c>
      <c r="E47" s="1186" t="s">
        <v>873</v>
      </c>
      <c r="F47" s="1186" t="s">
        <v>1985</v>
      </c>
      <c r="G47" s="1186" t="s">
        <v>1984</v>
      </c>
      <c r="H47" s="1186">
        <v>149</v>
      </c>
    </row>
    <row r="48" spans="1:8" x14ac:dyDescent="0.2">
      <c r="A48" s="1186" t="s">
        <v>19</v>
      </c>
      <c r="B48" s="1186" t="s">
        <v>824</v>
      </c>
      <c r="C48" s="1186" t="s">
        <v>61</v>
      </c>
      <c r="D48" s="1186" t="s">
        <v>19</v>
      </c>
      <c r="E48" s="1186" t="s">
        <v>19</v>
      </c>
      <c r="F48" s="1186" t="s">
        <v>1985</v>
      </c>
      <c r="G48" s="1186" t="s">
        <v>1986</v>
      </c>
      <c r="H48" s="1186">
        <v>174</v>
      </c>
    </row>
    <row r="49" spans="1:8" x14ac:dyDescent="0.2">
      <c r="A49" s="1186" t="s">
        <v>19</v>
      </c>
      <c r="B49" s="1186" t="s">
        <v>824</v>
      </c>
      <c r="C49" s="1186" t="s">
        <v>61</v>
      </c>
      <c r="D49" s="1186" t="s">
        <v>19</v>
      </c>
      <c r="E49" s="1186" t="s">
        <v>874</v>
      </c>
      <c r="F49" s="1186" t="s">
        <v>1985</v>
      </c>
      <c r="G49" s="1186" t="s">
        <v>1986</v>
      </c>
      <c r="H49" s="1186">
        <v>176</v>
      </c>
    </row>
    <row r="50" spans="1:8" x14ac:dyDescent="0.2">
      <c r="A50" s="1186" t="s">
        <v>19</v>
      </c>
      <c r="B50" s="1186" t="s">
        <v>824</v>
      </c>
      <c r="C50" s="1186" t="s">
        <v>61</v>
      </c>
      <c r="D50" s="1186" t="s">
        <v>19</v>
      </c>
      <c r="E50" s="1186" t="s">
        <v>875</v>
      </c>
      <c r="F50" s="1186" t="s">
        <v>1987</v>
      </c>
      <c r="G50" s="1186" t="s">
        <v>1986</v>
      </c>
      <c r="H50" s="1186">
        <v>166</v>
      </c>
    </row>
    <row r="51" spans="1:8" x14ac:dyDescent="0.2">
      <c r="A51" s="1186" t="s">
        <v>19</v>
      </c>
      <c r="B51" s="1186" t="s">
        <v>824</v>
      </c>
      <c r="C51" s="1186" t="s">
        <v>61</v>
      </c>
      <c r="D51" s="1186" t="s">
        <v>19</v>
      </c>
      <c r="E51" s="1186" t="s">
        <v>876</v>
      </c>
      <c r="F51" s="1186" t="s">
        <v>1987</v>
      </c>
      <c r="G51" s="1186" t="s">
        <v>1988</v>
      </c>
      <c r="H51" s="1186">
        <v>169</v>
      </c>
    </row>
    <row r="52" spans="1:8" x14ac:dyDescent="0.2">
      <c r="A52" s="1186" t="s">
        <v>19</v>
      </c>
      <c r="B52" s="1186" t="s">
        <v>824</v>
      </c>
      <c r="C52" s="1186" t="s">
        <v>61</v>
      </c>
      <c r="D52" s="1186" t="s">
        <v>19</v>
      </c>
      <c r="E52" s="1186" t="s">
        <v>877</v>
      </c>
      <c r="F52" s="1186" t="s">
        <v>1987</v>
      </c>
      <c r="G52" s="1186" t="s">
        <v>1988</v>
      </c>
      <c r="H52" s="1186">
        <v>157</v>
      </c>
    </row>
    <row r="53" spans="1:8" x14ac:dyDescent="0.2">
      <c r="A53" s="1186" t="s">
        <v>19</v>
      </c>
      <c r="B53" s="1186" t="s">
        <v>824</v>
      </c>
      <c r="C53" s="1186" t="s">
        <v>61</v>
      </c>
      <c r="D53" s="1186" t="s">
        <v>19</v>
      </c>
      <c r="E53" s="1186" t="s">
        <v>878</v>
      </c>
      <c r="F53" s="1186" t="s">
        <v>1981</v>
      </c>
      <c r="G53" s="1186" t="s">
        <v>1988</v>
      </c>
      <c r="H53" s="1186">
        <v>158</v>
      </c>
    </row>
    <row r="54" spans="1:8" x14ac:dyDescent="0.2">
      <c r="A54" s="1186" t="s">
        <v>19</v>
      </c>
      <c r="B54" s="1186" t="s">
        <v>824</v>
      </c>
      <c r="C54" s="1186" t="s">
        <v>116</v>
      </c>
      <c r="D54" s="1186" t="s">
        <v>19</v>
      </c>
      <c r="E54" s="1186" t="s">
        <v>868</v>
      </c>
      <c r="F54" s="1186" t="s">
        <v>1981</v>
      </c>
      <c r="G54" s="1186" t="s">
        <v>1982</v>
      </c>
      <c r="H54" s="1186">
        <v>97</v>
      </c>
    </row>
    <row r="55" spans="1:8" x14ac:dyDescent="0.2">
      <c r="A55" s="1186" t="s">
        <v>19</v>
      </c>
      <c r="B55" s="1186" t="s">
        <v>824</v>
      </c>
      <c r="C55" s="1186" t="s">
        <v>116</v>
      </c>
      <c r="D55" s="1186" t="s">
        <v>19</v>
      </c>
      <c r="E55" s="1186" t="s">
        <v>869</v>
      </c>
      <c r="F55" s="1186" t="s">
        <v>1981</v>
      </c>
      <c r="G55" s="1186" t="s">
        <v>1982</v>
      </c>
      <c r="H55" s="1186">
        <v>105</v>
      </c>
    </row>
    <row r="56" spans="1:8" x14ac:dyDescent="0.2">
      <c r="A56" s="1186" t="s">
        <v>19</v>
      </c>
      <c r="B56" s="1186" t="s">
        <v>824</v>
      </c>
      <c r="C56" s="1186" t="s">
        <v>116</v>
      </c>
      <c r="D56" s="1186" t="s">
        <v>19</v>
      </c>
      <c r="E56" s="1186" t="s">
        <v>870</v>
      </c>
      <c r="F56" s="1186" t="s">
        <v>1983</v>
      </c>
      <c r="G56" s="1186" t="s">
        <v>1982</v>
      </c>
      <c r="H56" s="1186">
        <v>124</v>
      </c>
    </row>
    <row r="57" spans="1:8" x14ac:dyDescent="0.2">
      <c r="A57" s="1186" t="s">
        <v>19</v>
      </c>
      <c r="B57" s="1186" t="s">
        <v>824</v>
      </c>
      <c r="C57" s="1186" t="s">
        <v>116</v>
      </c>
      <c r="D57" s="1186" t="s">
        <v>19</v>
      </c>
      <c r="E57" s="1186" t="s">
        <v>871</v>
      </c>
      <c r="F57" s="1186" t="s">
        <v>1983</v>
      </c>
      <c r="G57" s="1186" t="s">
        <v>1984</v>
      </c>
      <c r="H57" s="1186">
        <v>90</v>
      </c>
    </row>
    <row r="58" spans="1:8" x14ac:dyDescent="0.2">
      <c r="A58" s="1186" t="s">
        <v>19</v>
      </c>
      <c r="B58" s="1186" t="s">
        <v>824</v>
      </c>
      <c r="C58" s="1186" t="s">
        <v>116</v>
      </c>
      <c r="D58" s="1186" t="s">
        <v>19</v>
      </c>
      <c r="E58" s="1186" t="s">
        <v>872</v>
      </c>
      <c r="F58" s="1186" t="s">
        <v>1983</v>
      </c>
      <c r="G58" s="1186" t="s">
        <v>1984</v>
      </c>
      <c r="H58" s="1186">
        <v>87</v>
      </c>
    </row>
    <row r="59" spans="1:8" x14ac:dyDescent="0.2">
      <c r="A59" s="1186" t="s">
        <v>19</v>
      </c>
      <c r="B59" s="1186" t="s">
        <v>824</v>
      </c>
      <c r="C59" s="1186" t="s">
        <v>116</v>
      </c>
      <c r="D59" s="1186" t="s">
        <v>19</v>
      </c>
      <c r="E59" s="1186" t="s">
        <v>873</v>
      </c>
      <c r="F59" s="1186" t="s">
        <v>1985</v>
      </c>
      <c r="G59" s="1186" t="s">
        <v>1984</v>
      </c>
      <c r="H59" s="1186">
        <v>78</v>
      </c>
    </row>
    <row r="60" spans="1:8" x14ac:dyDescent="0.2">
      <c r="A60" s="1186" t="s">
        <v>19</v>
      </c>
      <c r="B60" s="1186" t="s">
        <v>824</v>
      </c>
      <c r="C60" s="1186" t="s">
        <v>116</v>
      </c>
      <c r="D60" s="1186" t="s">
        <v>19</v>
      </c>
      <c r="E60" s="1186" t="s">
        <v>19</v>
      </c>
      <c r="F60" s="1186" t="s">
        <v>1985</v>
      </c>
      <c r="G60" s="1186" t="s">
        <v>1986</v>
      </c>
      <c r="H60" s="1186">
        <v>101</v>
      </c>
    </row>
    <row r="61" spans="1:8" x14ac:dyDescent="0.2">
      <c r="A61" s="1186" t="s">
        <v>19</v>
      </c>
      <c r="B61" s="1186" t="s">
        <v>824</v>
      </c>
      <c r="C61" s="1186" t="s">
        <v>116</v>
      </c>
      <c r="D61" s="1186" t="s">
        <v>19</v>
      </c>
      <c r="E61" s="1186" t="s">
        <v>874</v>
      </c>
      <c r="F61" s="1186" t="s">
        <v>1985</v>
      </c>
      <c r="G61" s="1186" t="s">
        <v>1986</v>
      </c>
      <c r="H61" s="1186">
        <v>68</v>
      </c>
    </row>
    <row r="62" spans="1:8" x14ac:dyDescent="0.2">
      <c r="A62" s="1186" t="s">
        <v>19</v>
      </c>
      <c r="B62" s="1186" t="s">
        <v>824</v>
      </c>
      <c r="C62" s="1186" t="s">
        <v>116</v>
      </c>
      <c r="D62" s="1186" t="s">
        <v>19</v>
      </c>
      <c r="E62" s="1186" t="s">
        <v>875</v>
      </c>
      <c r="F62" s="1186" t="s">
        <v>1987</v>
      </c>
      <c r="G62" s="1186" t="s">
        <v>1986</v>
      </c>
      <c r="H62" s="1186">
        <v>52</v>
      </c>
    </row>
    <row r="63" spans="1:8" x14ac:dyDescent="0.2">
      <c r="A63" s="1186" t="s">
        <v>19</v>
      </c>
      <c r="B63" s="1186" t="s">
        <v>824</v>
      </c>
      <c r="C63" s="1186" t="s">
        <v>116</v>
      </c>
      <c r="D63" s="1186" t="s">
        <v>19</v>
      </c>
      <c r="E63" s="1186" t="s">
        <v>876</v>
      </c>
      <c r="F63" s="1186" t="s">
        <v>1987</v>
      </c>
      <c r="G63" s="1186" t="s">
        <v>1988</v>
      </c>
      <c r="H63" s="1186">
        <v>61</v>
      </c>
    </row>
    <row r="64" spans="1:8" x14ac:dyDescent="0.2">
      <c r="A64" s="1186" t="s">
        <v>19</v>
      </c>
      <c r="B64" s="1186" t="s">
        <v>824</v>
      </c>
      <c r="C64" s="1186" t="s">
        <v>116</v>
      </c>
      <c r="D64" s="1186" t="s">
        <v>19</v>
      </c>
      <c r="E64" s="1186" t="s">
        <v>877</v>
      </c>
      <c r="F64" s="1186" t="s">
        <v>1987</v>
      </c>
      <c r="G64" s="1186" t="s">
        <v>1988</v>
      </c>
      <c r="H64" s="1186">
        <v>45</v>
      </c>
    </row>
    <row r="65" spans="1:8" x14ac:dyDescent="0.2">
      <c r="A65" s="1186" t="s">
        <v>19</v>
      </c>
      <c r="B65" s="1186" t="s">
        <v>824</v>
      </c>
      <c r="C65" s="1186" t="s">
        <v>116</v>
      </c>
      <c r="D65" s="1186" t="s">
        <v>19</v>
      </c>
      <c r="E65" s="1186" t="s">
        <v>878</v>
      </c>
      <c r="F65" s="1186" t="s">
        <v>1981</v>
      </c>
      <c r="G65" s="1186" t="s">
        <v>1988</v>
      </c>
      <c r="H65" s="1186">
        <v>65</v>
      </c>
    </row>
    <row r="66" spans="1:8" x14ac:dyDescent="0.2">
      <c r="A66" s="1186" t="s">
        <v>19</v>
      </c>
      <c r="B66" s="1186" t="s">
        <v>825</v>
      </c>
      <c r="C66" s="1186" t="s">
        <v>61</v>
      </c>
      <c r="D66" s="1186" t="s">
        <v>19</v>
      </c>
      <c r="E66" s="1186" t="s">
        <v>868</v>
      </c>
      <c r="F66" s="1186" t="s">
        <v>1981</v>
      </c>
      <c r="G66" s="1186" t="s">
        <v>1982</v>
      </c>
      <c r="H66" s="1186">
        <v>128</v>
      </c>
    </row>
    <row r="67" spans="1:8" x14ac:dyDescent="0.2">
      <c r="A67" s="1186" t="s">
        <v>19</v>
      </c>
      <c r="B67" s="1186" t="s">
        <v>825</v>
      </c>
      <c r="C67" s="1186" t="s">
        <v>61</v>
      </c>
      <c r="D67" s="1186" t="s">
        <v>19</v>
      </c>
      <c r="E67" s="1186" t="s">
        <v>869</v>
      </c>
      <c r="F67" s="1186" t="s">
        <v>1981</v>
      </c>
      <c r="G67" s="1186" t="s">
        <v>1982</v>
      </c>
      <c r="H67" s="1186">
        <v>140</v>
      </c>
    </row>
    <row r="68" spans="1:8" x14ac:dyDescent="0.2">
      <c r="A68" s="1186" t="s">
        <v>19</v>
      </c>
      <c r="B68" s="1186" t="s">
        <v>825</v>
      </c>
      <c r="C68" s="1186" t="s">
        <v>61</v>
      </c>
      <c r="D68" s="1186" t="s">
        <v>19</v>
      </c>
      <c r="E68" s="1186" t="s">
        <v>870</v>
      </c>
      <c r="F68" s="1186" t="s">
        <v>1983</v>
      </c>
      <c r="G68" s="1186" t="s">
        <v>1982</v>
      </c>
      <c r="H68" s="1186">
        <v>146</v>
      </c>
    </row>
    <row r="69" spans="1:8" x14ac:dyDescent="0.2">
      <c r="A69" s="1186" t="s">
        <v>19</v>
      </c>
      <c r="B69" s="1186" t="s">
        <v>825</v>
      </c>
      <c r="C69" s="1186" t="s">
        <v>61</v>
      </c>
      <c r="D69" s="1186" t="s">
        <v>19</v>
      </c>
      <c r="E69" s="1186" t="s">
        <v>871</v>
      </c>
      <c r="F69" s="1186" t="s">
        <v>1983</v>
      </c>
      <c r="G69" s="1186" t="s">
        <v>1984</v>
      </c>
      <c r="H69" s="1186">
        <v>122</v>
      </c>
    </row>
    <row r="70" spans="1:8" x14ac:dyDescent="0.2">
      <c r="A70" s="1186" t="s">
        <v>19</v>
      </c>
      <c r="B70" s="1186" t="s">
        <v>825</v>
      </c>
      <c r="C70" s="1186" t="s">
        <v>61</v>
      </c>
      <c r="D70" s="1186" t="s">
        <v>19</v>
      </c>
      <c r="E70" s="1186" t="s">
        <v>872</v>
      </c>
      <c r="F70" s="1186" t="s">
        <v>1983</v>
      </c>
      <c r="G70" s="1186" t="s">
        <v>1984</v>
      </c>
      <c r="H70" s="1186">
        <v>138</v>
      </c>
    </row>
    <row r="71" spans="1:8" x14ac:dyDescent="0.2">
      <c r="A71" s="1186" t="s">
        <v>19</v>
      </c>
      <c r="B71" s="1186" t="s">
        <v>825</v>
      </c>
      <c r="C71" s="1186" t="s">
        <v>61</v>
      </c>
      <c r="D71" s="1186" t="s">
        <v>19</v>
      </c>
      <c r="E71" s="1186" t="s">
        <v>873</v>
      </c>
      <c r="F71" s="1186" t="s">
        <v>1985</v>
      </c>
      <c r="G71" s="1186" t="s">
        <v>1984</v>
      </c>
      <c r="H71" s="1186">
        <v>129</v>
      </c>
    </row>
    <row r="72" spans="1:8" x14ac:dyDescent="0.2">
      <c r="A72" s="1186" t="s">
        <v>19</v>
      </c>
      <c r="B72" s="1186" t="s">
        <v>825</v>
      </c>
      <c r="C72" s="1186" t="s">
        <v>61</v>
      </c>
      <c r="D72" s="1186" t="s">
        <v>19</v>
      </c>
      <c r="E72" s="1186" t="s">
        <v>19</v>
      </c>
      <c r="F72" s="1186" t="s">
        <v>1985</v>
      </c>
      <c r="G72" s="1186" t="s">
        <v>1986</v>
      </c>
      <c r="H72" s="1186">
        <v>125</v>
      </c>
    </row>
    <row r="73" spans="1:8" x14ac:dyDescent="0.2">
      <c r="A73" s="1186" t="s">
        <v>19</v>
      </c>
      <c r="B73" s="1186" t="s">
        <v>825</v>
      </c>
      <c r="C73" s="1186" t="s">
        <v>61</v>
      </c>
      <c r="D73" s="1186" t="s">
        <v>19</v>
      </c>
      <c r="E73" s="1186" t="s">
        <v>874</v>
      </c>
      <c r="F73" s="1186" t="s">
        <v>1985</v>
      </c>
      <c r="G73" s="1186" t="s">
        <v>1986</v>
      </c>
      <c r="H73" s="1186">
        <v>100</v>
      </c>
    </row>
    <row r="74" spans="1:8" x14ac:dyDescent="0.2">
      <c r="A74" s="1186" t="s">
        <v>19</v>
      </c>
      <c r="B74" s="1186" t="s">
        <v>825</v>
      </c>
      <c r="C74" s="1186" t="s">
        <v>61</v>
      </c>
      <c r="D74" s="1186" t="s">
        <v>19</v>
      </c>
      <c r="E74" s="1186" t="s">
        <v>875</v>
      </c>
      <c r="F74" s="1186" t="s">
        <v>1987</v>
      </c>
      <c r="G74" s="1186" t="s">
        <v>1986</v>
      </c>
      <c r="H74" s="1186">
        <v>134</v>
      </c>
    </row>
    <row r="75" spans="1:8" x14ac:dyDescent="0.2">
      <c r="A75" s="1186" t="s">
        <v>19</v>
      </c>
      <c r="B75" s="1186" t="s">
        <v>825</v>
      </c>
      <c r="C75" s="1186" t="s">
        <v>61</v>
      </c>
      <c r="D75" s="1186" t="s">
        <v>19</v>
      </c>
      <c r="E75" s="1186" t="s">
        <v>876</v>
      </c>
      <c r="F75" s="1186" t="s">
        <v>1987</v>
      </c>
      <c r="G75" s="1186" t="s">
        <v>1988</v>
      </c>
      <c r="H75" s="1186">
        <v>120</v>
      </c>
    </row>
    <row r="76" spans="1:8" x14ac:dyDescent="0.2">
      <c r="A76" s="1186" t="s">
        <v>19</v>
      </c>
      <c r="B76" s="1186" t="s">
        <v>825</v>
      </c>
      <c r="C76" s="1186" t="s">
        <v>61</v>
      </c>
      <c r="D76" s="1186" t="s">
        <v>19</v>
      </c>
      <c r="E76" s="1186" t="s">
        <v>877</v>
      </c>
      <c r="F76" s="1186" t="s">
        <v>1987</v>
      </c>
      <c r="G76" s="1186" t="s">
        <v>1988</v>
      </c>
      <c r="H76" s="1186">
        <v>102</v>
      </c>
    </row>
    <row r="77" spans="1:8" x14ac:dyDescent="0.2">
      <c r="A77" s="1186" t="s">
        <v>19</v>
      </c>
      <c r="B77" s="1186" t="s">
        <v>825</v>
      </c>
      <c r="C77" s="1186" t="s">
        <v>61</v>
      </c>
      <c r="D77" s="1186" t="s">
        <v>19</v>
      </c>
      <c r="E77" s="1186" t="s">
        <v>878</v>
      </c>
      <c r="F77" s="1186" t="s">
        <v>1981</v>
      </c>
      <c r="G77" s="1186" t="s">
        <v>1988</v>
      </c>
      <c r="H77" s="1186">
        <v>123</v>
      </c>
    </row>
    <row r="78" spans="1:8" x14ac:dyDescent="0.2">
      <c r="A78" s="1186" t="s">
        <v>19</v>
      </c>
      <c r="B78" s="1186" t="s">
        <v>825</v>
      </c>
      <c r="C78" s="1186" t="s">
        <v>116</v>
      </c>
      <c r="D78" s="1186" t="s">
        <v>19</v>
      </c>
      <c r="E78" s="1186" t="s">
        <v>868</v>
      </c>
      <c r="F78" s="1186" t="s">
        <v>1981</v>
      </c>
      <c r="G78" s="1186" t="s">
        <v>1982</v>
      </c>
      <c r="H78" s="1186">
        <v>154</v>
      </c>
    </row>
    <row r="79" spans="1:8" x14ac:dyDescent="0.2">
      <c r="A79" s="1186" t="s">
        <v>19</v>
      </c>
      <c r="B79" s="1186" t="s">
        <v>825</v>
      </c>
      <c r="C79" s="1186" t="s">
        <v>116</v>
      </c>
      <c r="D79" s="1186" t="s">
        <v>19</v>
      </c>
      <c r="E79" s="1186" t="s">
        <v>869</v>
      </c>
      <c r="F79" s="1186" t="s">
        <v>1981</v>
      </c>
      <c r="G79" s="1186" t="s">
        <v>1982</v>
      </c>
      <c r="H79" s="1186">
        <v>129</v>
      </c>
    </row>
    <row r="80" spans="1:8" x14ac:dyDescent="0.2">
      <c r="A80" s="1186" t="s">
        <v>19</v>
      </c>
      <c r="B80" s="1186" t="s">
        <v>825</v>
      </c>
      <c r="C80" s="1186" t="s">
        <v>116</v>
      </c>
      <c r="D80" s="1186" t="s">
        <v>19</v>
      </c>
      <c r="E80" s="1186" t="s">
        <v>870</v>
      </c>
      <c r="F80" s="1186" t="s">
        <v>1983</v>
      </c>
      <c r="G80" s="1186" t="s">
        <v>1982</v>
      </c>
      <c r="H80" s="1186">
        <v>149</v>
      </c>
    </row>
    <row r="81" spans="1:8" x14ac:dyDescent="0.2">
      <c r="A81" s="1186" t="s">
        <v>19</v>
      </c>
      <c r="B81" s="1186" t="s">
        <v>825</v>
      </c>
      <c r="C81" s="1186" t="s">
        <v>116</v>
      </c>
      <c r="D81" s="1186" t="s">
        <v>19</v>
      </c>
      <c r="E81" s="1186" t="s">
        <v>871</v>
      </c>
      <c r="F81" s="1186" t="s">
        <v>1983</v>
      </c>
      <c r="G81" s="1186" t="s">
        <v>1984</v>
      </c>
      <c r="H81" s="1186">
        <v>132</v>
      </c>
    </row>
    <row r="82" spans="1:8" x14ac:dyDescent="0.2">
      <c r="A82" s="1186" t="s">
        <v>19</v>
      </c>
      <c r="B82" s="1186" t="s">
        <v>825</v>
      </c>
      <c r="C82" s="1186" t="s">
        <v>116</v>
      </c>
      <c r="D82" s="1186" t="s">
        <v>19</v>
      </c>
      <c r="E82" s="1186" t="s">
        <v>872</v>
      </c>
      <c r="F82" s="1186" t="s">
        <v>1983</v>
      </c>
      <c r="G82" s="1186" t="s">
        <v>1984</v>
      </c>
      <c r="H82" s="1186">
        <v>150</v>
      </c>
    </row>
    <row r="83" spans="1:8" x14ac:dyDescent="0.2">
      <c r="A83" s="1186" t="s">
        <v>19</v>
      </c>
      <c r="B83" s="1186" t="s">
        <v>825</v>
      </c>
      <c r="C83" s="1186" t="s">
        <v>116</v>
      </c>
      <c r="D83" s="1186" t="s">
        <v>19</v>
      </c>
      <c r="E83" s="1186" t="s">
        <v>873</v>
      </c>
      <c r="F83" s="1186" t="s">
        <v>1985</v>
      </c>
      <c r="G83" s="1186" t="s">
        <v>1984</v>
      </c>
      <c r="H83" s="1186">
        <v>118</v>
      </c>
    </row>
    <row r="84" spans="1:8" x14ac:dyDescent="0.2">
      <c r="A84" s="1186" t="s">
        <v>19</v>
      </c>
      <c r="B84" s="1186" t="s">
        <v>825</v>
      </c>
      <c r="C84" s="1186" t="s">
        <v>116</v>
      </c>
      <c r="D84" s="1186" t="s">
        <v>19</v>
      </c>
      <c r="E84" s="1186" t="s">
        <v>19</v>
      </c>
      <c r="F84" s="1186" t="s">
        <v>1985</v>
      </c>
      <c r="G84" s="1186" t="s">
        <v>1986</v>
      </c>
      <c r="H84" s="1186">
        <v>151</v>
      </c>
    </row>
    <row r="85" spans="1:8" x14ac:dyDescent="0.2">
      <c r="A85" s="1186" t="s">
        <v>19</v>
      </c>
      <c r="B85" s="1186" t="s">
        <v>825</v>
      </c>
      <c r="C85" s="1186" t="s">
        <v>116</v>
      </c>
      <c r="D85" s="1186" t="s">
        <v>19</v>
      </c>
      <c r="E85" s="1186" t="s">
        <v>874</v>
      </c>
      <c r="F85" s="1186" t="s">
        <v>1985</v>
      </c>
      <c r="G85" s="1186" t="s">
        <v>1986</v>
      </c>
      <c r="H85" s="1186">
        <v>103</v>
      </c>
    </row>
    <row r="86" spans="1:8" x14ac:dyDescent="0.2">
      <c r="A86" s="1186" t="s">
        <v>19</v>
      </c>
      <c r="B86" s="1186" t="s">
        <v>825</v>
      </c>
      <c r="C86" s="1186" t="s">
        <v>116</v>
      </c>
      <c r="D86" s="1186" t="s">
        <v>19</v>
      </c>
      <c r="E86" s="1186" t="s">
        <v>875</v>
      </c>
      <c r="F86" s="1186" t="s">
        <v>1987</v>
      </c>
      <c r="G86" s="1186" t="s">
        <v>1986</v>
      </c>
      <c r="H86" s="1186">
        <v>87</v>
      </c>
    </row>
    <row r="87" spans="1:8" x14ac:dyDescent="0.2">
      <c r="A87" s="1186" t="s">
        <v>19</v>
      </c>
      <c r="B87" s="1186" t="s">
        <v>825</v>
      </c>
      <c r="C87" s="1186" t="s">
        <v>116</v>
      </c>
      <c r="D87" s="1186" t="s">
        <v>19</v>
      </c>
      <c r="E87" s="1186" t="s">
        <v>876</v>
      </c>
      <c r="F87" s="1186" t="s">
        <v>1987</v>
      </c>
      <c r="G87" s="1186" t="s">
        <v>1988</v>
      </c>
      <c r="H87" s="1186">
        <v>91</v>
      </c>
    </row>
    <row r="88" spans="1:8" x14ac:dyDescent="0.2">
      <c r="A88" s="1186" t="s">
        <v>19</v>
      </c>
      <c r="B88" s="1186" t="s">
        <v>825</v>
      </c>
      <c r="C88" s="1186" t="s">
        <v>116</v>
      </c>
      <c r="D88" s="1186" t="s">
        <v>19</v>
      </c>
      <c r="E88" s="1186" t="s">
        <v>877</v>
      </c>
      <c r="F88" s="1186" t="s">
        <v>1987</v>
      </c>
      <c r="G88" s="1186" t="s">
        <v>1988</v>
      </c>
      <c r="H88" s="1186">
        <v>107</v>
      </c>
    </row>
    <row r="89" spans="1:8" x14ac:dyDescent="0.2">
      <c r="A89" s="1186" t="s">
        <v>19</v>
      </c>
      <c r="B89" s="1186" t="s">
        <v>825</v>
      </c>
      <c r="C89" s="1186" t="s">
        <v>116</v>
      </c>
      <c r="D89" s="1186" t="s">
        <v>19</v>
      </c>
      <c r="E89" s="1186" t="s">
        <v>878</v>
      </c>
      <c r="F89" s="1186" t="s">
        <v>1981</v>
      </c>
      <c r="G89" s="1186" t="s">
        <v>1988</v>
      </c>
      <c r="H89" s="1186">
        <v>107</v>
      </c>
    </row>
    <row r="90" spans="1:8" x14ac:dyDescent="0.2">
      <c r="A90" s="1186" t="s">
        <v>19</v>
      </c>
      <c r="B90" s="1186" t="s">
        <v>826</v>
      </c>
      <c r="C90" s="1186" t="s">
        <v>61</v>
      </c>
      <c r="D90" s="1186" t="s">
        <v>19</v>
      </c>
      <c r="E90" s="1186" t="s">
        <v>868</v>
      </c>
      <c r="F90" s="1186" t="s">
        <v>1981</v>
      </c>
      <c r="G90" s="1186" t="s">
        <v>1982</v>
      </c>
      <c r="H90" s="1186">
        <v>45</v>
      </c>
    </row>
    <row r="91" spans="1:8" x14ac:dyDescent="0.2">
      <c r="A91" s="1186" t="s">
        <v>19</v>
      </c>
      <c r="B91" s="1186" t="s">
        <v>826</v>
      </c>
      <c r="C91" s="1186" t="s">
        <v>61</v>
      </c>
      <c r="D91" s="1186" t="s">
        <v>19</v>
      </c>
      <c r="E91" s="1186" t="s">
        <v>869</v>
      </c>
      <c r="F91" s="1186" t="s">
        <v>1981</v>
      </c>
      <c r="G91" s="1186" t="s">
        <v>1982</v>
      </c>
      <c r="H91" s="1186">
        <v>52</v>
      </c>
    </row>
    <row r="92" spans="1:8" x14ac:dyDescent="0.2">
      <c r="A92" s="1186" t="s">
        <v>19</v>
      </c>
      <c r="B92" s="1186" t="s">
        <v>826</v>
      </c>
      <c r="C92" s="1186" t="s">
        <v>61</v>
      </c>
      <c r="D92" s="1186" t="s">
        <v>19</v>
      </c>
      <c r="E92" s="1186" t="s">
        <v>870</v>
      </c>
      <c r="F92" s="1186" t="s">
        <v>1983</v>
      </c>
      <c r="G92" s="1186" t="s">
        <v>1982</v>
      </c>
      <c r="H92" s="1186">
        <v>73</v>
      </c>
    </row>
    <row r="93" spans="1:8" x14ac:dyDescent="0.2">
      <c r="A93" s="1186" t="s">
        <v>19</v>
      </c>
      <c r="B93" s="1186" t="s">
        <v>826</v>
      </c>
      <c r="C93" s="1186" t="s">
        <v>61</v>
      </c>
      <c r="D93" s="1186" t="s">
        <v>19</v>
      </c>
      <c r="E93" s="1186" t="s">
        <v>871</v>
      </c>
      <c r="F93" s="1186" t="s">
        <v>1983</v>
      </c>
      <c r="G93" s="1186" t="s">
        <v>1984</v>
      </c>
      <c r="H93" s="1186">
        <v>37</v>
      </c>
    </row>
    <row r="94" spans="1:8" x14ac:dyDescent="0.2">
      <c r="A94" s="1186" t="s">
        <v>19</v>
      </c>
      <c r="B94" s="1186" t="s">
        <v>826</v>
      </c>
      <c r="C94" s="1186" t="s">
        <v>61</v>
      </c>
      <c r="D94" s="1186" t="s">
        <v>19</v>
      </c>
      <c r="E94" s="1186" t="s">
        <v>872</v>
      </c>
      <c r="F94" s="1186" t="s">
        <v>1983</v>
      </c>
      <c r="G94" s="1186" t="s">
        <v>1984</v>
      </c>
      <c r="H94" s="1186">
        <v>37</v>
      </c>
    </row>
    <row r="95" spans="1:8" x14ac:dyDescent="0.2">
      <c r="A95" s="1186" t="s">
        <v>19</v>
      </c>
      <c r="B95" s="1186" t="s">
        <v>826</v>
      </c>
      <c r="C95" s="1186" t="s">
        <v>61</v>
      </c>
      <c r="D95" s="1186" t="s">
        <v>19</v>
      </c>
      <c r="E95" s="1186" t="s">
        <v>873</v>
      </c>
      <c r="F95" s="1186" t="s">
        <v>1985</v>
      </c>
      <c r="G95" s="1186" t="s">
        <v>1984</v>
      </c>
      <c r="H95" s="1186">
        <v>67</v>
      </c>
    </row>
    <row r="96" spans="1:8" x14ac:dyDescent="0.2">
      <c r="A96" s="1186" t="s">
        <v>19</v>
      </c>
      <c r="B96" s="1186" t="s">
        <v>826</v>
      </c>
      <c r="C96" s="1186" t="s">
        <v>61</v>
      </c>
      <c r="D96" s="1186" t="s">
        <v>19</v>
      </c>
      <c r="E96" s="1186" t="s">
        <v>19</v>
      </c>
      <c r="F96" s="1186" t="s">
        <v>1985</v>
      </c>
      <c r="G96" s="1186" t="s">
        <v>1986</v>
      </c>
      <c r="H96" s="1186">
        <v>35</v>
      </c>
    </row>
    <row r="97" spans="1:8" x14ac:dyDescent="0.2">
      <c r="A97" s="1186" t="s">
        <v>19</v>
      </c>
      <c r="B97" s="1186" t="s">
        <v>826</v>
      </c>
      <c r="C97" s="1186" t="s">
        <v>61</v>
      </c>
      <c r="D97" s="1186" t="s">
        <v>19</v>
      </c>
      <c r="E97" s="1186" t="s">
        <v>874</v>
      </c>
      <c r="F97" s="1186" t="s">
        <v>1985</v>
      </c>
      <c r="G97" s="1186" t="s">
        <v>1986</v>
      </c>
      <c r="H97" s="1186">
        <v>25</v>
      </c>
    </row>
    <row r="98" spans="1:8" x14ac:dyDescent="0.2">
      <c r="A98" s="1186" t="s">
        <v>19</v>
      </c>
      <c r="B98" s="1186" t="s">
        <v>826</v>
      </c>
      <c r="C98" s="1186" t="s">
        <v>61</v>
      </c>
      <c r="D98" s="1186" t="s">
        <v>19</v>
      </c>
      <c r="E98" s="1186" t="s">
        <v>875</v>
      </c>
      <c r="F98" s="1186" t="s">
        <v>1987</v>
      </c>
      <c r="G98" s="1186" t="s">
        <v>1986</v>
      </c>
      <c r="H98" s="1186">
        <v>20</v>
      </c>
    </row>
    <row r="99" spans="1:8" x14ac:dyDescent="0.2">
      <c r="A99" s="1186" t="s">
        <v>19</v>
      </c>
      <c r="B99" s="1186" t="s">
        <v>826</v>
      </c>
      <c r="C99" s="1186" t="s">
        <v>61</v>
      </c>
      <c r="D99" s="1186" t="s">
        <v>19</v>
      </c>
      <c r="E99" s="1186" t="s">
        <v>876</v>
      </c>
      <c r="F99" s="1186" t="s">
        <v>1987</v>
      </c>
      <c r="G99" s="1186" t="s">
        <v>1988</v>
      </c>
      <c r="H99" s="1186">
        <v>27</v>
      </c>
    </row>
    <row r="100" spans="1:8" x14ac:dyDescent="0.2">
      <c r="A100" s="1186" t="s">
        <v>19</v>
      </c>
      <c r="B100" s="1186" t="s">
        <v>826</v>
      </c>
      <c r="C100" s="1186" t="s">
        <v>61</v>
      </c>
      <c r="D100" s="1186" t="s">
        <v>19</v>
      </c>
      <c r="E100" s="1186" t="s">
        <v>877</v>
      </c>
      <c r="F100" s="1186" t="s">
        <v>1987</v>
      </c>
      <c r="G100" s="1186" t="s">
        <v>1988</v>
      </c>
      <c r="H100" s="1186">
        <v>18</v>
      </c>
    </row>
    <row r="101" spans="1:8" x14ac:dyDescent="0.2">
      <c r="A101" s="1186" t="s">
        <v>19</v>
      </c>
      <c r="B101" s="1186" t="s">
        <v>826</v>
      </c>
      <c r="C101" s="1186" t="s">
        <v>61</v>
      </c>
      <c r="D101" s="1186" t="s">
        <v>19</v>
      </c>
      <c r="E101" s="1186" t="s">
        <v>878</v>
      </c>
      <c r="F101" s="1186" t="s">
        <v>1981</v>
      </c>
      <c r="G101" s="1186" t="s">
        <v>1988</v>
      </c>
      <c r="H101" s="1186">
        <v>36</v>
      </c>
    </row>
    <row r="102" spans="1:8" x14ac:dyDescent="0.2">
      <c r="A102" s="1186" t="s">
        <v>19</v>
      </c>
      <c r="B102" s="1186" t="s">
        <v>826</v>
      </c>
      <c r="C102" s="1186" t="s">
        <v>116</v>
      </c>
      <c r="D102" s="1186" t="s">
        <v>19</v>
      </c>
      <c r="E102" s="1186" t="s">
        <v>868</v>
      </c>
      <c r="F102" s="1186" t="s">
        <v>1981</v>
      </c>
      <c r="G102" s="1186" t="s">
        <v>1982</v>
      </c>
      <c r="H102" s="1186">
        <v>112</v>
      </c>
    </row>
    <row r="103" spans="1:8" x14ac:dyDescent="0.2">
      <c r="A103" s="1186" t="s">
        <v>19</v>
      </c>
      <c r="B103" s="1186" t="s">
        <v>826</v>
      </c>
      <c r="C103" s="1186" t="s">
        <v>116</v>
      </c>
      <c r="D103" s="1186" t="s">
        <v>19</v>
      </c>
      <c r="E103" s="1186" t="s">
        <v>869</v>
      </c>
      <c r="F103" s="1186" t="s">
        <v>1981</v>
      </c>
      <c r="G103" s="1186" t="s">
        <v>1982</v>
      </c>
      <c r="H103" s="1186">
        <v>85</v>
      </c>
    </row>
    <row r="104" spans="1:8" x14ac:dyDescent="0.2">
      <c r="A104" s="1186" t="s">
        <v>19</v>
      </c>
      <c r="B104" s="1186" t="s">
        <v>826</v>
      </c>
      <c r="C104" s="1186" t="s">
        <v>116</v>
      </c>
      <c r="D104" s="1186" t="s">
        <v>19</v>
      </c>
      <c r="E104" s="1186" t="s">
        <v>870</v>
      </c>
      <c r="F104" s="1186" t="s">
        <v>1983</v>
      </c>
      <c r="G104" s="1186" t="s">
        <v>1982</v>
      </c>
      <c r="H104" s="1186">
        <v>120</v>
      </c>
    </row>
    <row r="105" spans="1:8" x14ac:dyDescent="0.2">
      <c r="A105" s="1186" t="s">
        <v>19</v>
      </c>
      <c r="B105" s="1186" t="s">
        <v>826</v>
      </c>
      <c r="C105" s="1186" t="s">
        <v>116</v>
      </c>
      <c r="D105" s="1186" t="s">
        <v>19</v>
      </c>
      <c r="E105" s="1186" t="s">
        <v>871</v>
      </c>
      <c r="F105" s="1186" t="s">
        <v>1983</v>
      </c>
      <c r="G105" s="1186" t="s">
        <v>1984</v>
      </c>
      <c r="H105" s="1186">
        <v>82</v>
      </c>
    </row>
    <row r="106" spans="1:8" x14ac:dyDescent="0.2">
      <c r="A106" s="1186" t="s">
        <v>19</v>
      </c>
      <c r="B106" s="1186" t="s">
        <v>826</v>
      </c>
      <c r="C106" s="1186" t="s">
        <v>116</v>
      </c>
      <c r="D106" s="1186" t="s">
        <v>19</v>
      </c>
      <c r="E106" s="1186" t="s">
        <v>872</v>
      </c>
      <c r="F106" s="1186" t="s">
        <v>1983</v>
      </c>
      <c r="G106" s="1186" t="s">
        <v>1984</v>
      </c>
      <c r="H106" s="1186">
        <v>85</v>
      </c>
    </row>
    <row r="107" spans="1:8" x14ac:dyDescent="0.2">
      <c r="A107" s="1186" t="s">
        <v>19</v>
      </c>
      <c r="B107" s="1186" t="s">
        <v>826</v>
      </c>
      <c r="C107" s="1186" t="s">
        <v>116</v>
      </c>
      <c r="D107" s="1186" t="s">
        <v>19</v>
      </c>
      <c r="E107" s="1186" t="s">
        <v>873</v>
      </c>
      <c r="F107" s="1186" t="s">
        <v>1985</v>
      </c>
      <c r="G107" s="1186" t="s">
        <v>1984</v>
      </c>
      <c r="H107" s="1186">
        <v>132</v>
      </c>
    </row>
    <row r="108" spans="1:8" x14ac:dyDescent="0.2">
      <c r="A108" s="1186" t="s">
        <v>19</v>
      </c>
      <c r="B108" s="1186" t="s">
        <v>826</v>
      </c>
      <c r="C108" s="1186" t="s">
        <v>116</v>
      </c>
      <c r="D108" s="1186" t="s">
        <v>19</v>
      </c>
      <c r="E108" s="1186" t="s">
        <v>19</v>
      </c>
      <c r="F108" s="1186" t="s">
        <v>1985</v>
      </c>
      <c r="G108" s="1186" t="s">
        <v>1986</v>
      </c>
      <c r="H108" s="1186">
        <v>105</v>
      </c>
    </row>
    <row r="109" spans="1:8" x14ac:dyDescent="0.2">
      <c r="A109" s="1186" t="s">
        <v>19</v>
      </c>
      <c r="B109" s="1186" t="s">
        <v>826</v>
      </c>
      <c r="C109" s="1186" t="s">
        <v>116</v>
      </c>
      <c r="D109" s="1186" t="s">
        <v>19</v>
      </c>
      <c r="E109" s="1186" t="s">
        <v>874</v>
      </c>
      <c r="F109" s="1186" t="s">
        <v>1985</v>
      </c>
      <c r="G109" s="1186" t="s">
        <v>1986</v>
      </c>
      <c r="H109" s="1186">
        <v>75</v>
      </c>
    </row>
    <row r="110" spans="1:8" x14ac:dyDescent="0.2">
      <c r="A110" s="1186" t="s">
        <v>19</v>
      </c>
      <c r="B110" s="1186" t="s">
        <v>826</v>
      </c>
      <c r="C110" s="1186" t="s">
        <v>116</v>
      </c>
      <c r="D110" s="1186" t="s">
        <v>19</v>
      </c>
      <c r="E110" s="1186" t="s">
        <v>875</v>
      </c>
      <c r="F110" s="1186" t="s">
        <v>1987</v>
      </c>
      <c r="G110" s="1186" t="s">
        <v>1986</v>
      </c>
      <c r="H110" s="1186">
        <v>46</v>
      </c>
    </row>
    <row r="111" spans="1:8" x14ac:dyDescent="0.2">
      <c r="A111" s="1186" t="s">
        <v>19</v>
      </c>
      <c r="B111" s="1186" t="s">
        <v>826</v>
      </c>
      <c r="C111" s="1186" t="s">
        <v>116</v>
      </c>
      <c r="D111" s="1186" t="s">
        <v>19</v>
      </c>
      <c r="E111" s="1186" t="s">
        <v>876</v>
      </c>
      <c r="F111" s="1186" t="s">
        <v>1987</v>
      </c>
      <c r="G111" s="1186" t="s">
        <v>1988</v>
      </c>
      <c r="H111" s="1186">
        <v>24</v>
      </c>
    </row>
    <row r="112" spans="1:8" x14ac:dyDescent="0.2">
      <c r="A112" s="1186" t="s">
        <v>19</v>
      </c>
      <c r="B112" s="1186" t="s">
        <v>826</v>
      </c>
      <c r="C112" s="1186" t="s">
        <v>116</v>
      </c>
      <c r="D112" s="1186" t="s">
        <v>19</v>
      </c>
      <c r="E112" s="1186" t="s">
        <v>877</v>
      </c>
      <c r="F112" s="1186" t="s">
        <v>1987</v>
      </c>
      <c r="G112" s="1186" t="s">
        <v>1988</v>
      </c>
      <c r="H112" s="1186">
        <v>45</v>
      </c>
    </row>
    <row r="113" spans="1:8" x14ac:dyDescent="0.2">
      <c r="A113" s="1186" t="s">
        <v>19</v>
      </c>
      <c r="B113" s="1186" t="s">
        <v>826</v>
      </c>
      <c r="C113" s="1186" t="s">
        <v>116</v>
      </c>
      <c r="D113" s="1186" t="s">
        <v>19</v>
      </c>
      <c r="E113" s="1186" t="s">
        <v>878</v>
      </c>
      <c r="F113" s="1186" t="s">
        <v>1981</v>
      </c>
      <c r="G113" s="1186" t="s">
        <v>1988</v>
      </c>
      <c r="H113" s="1186">
        <v>60</v>
      </c>
    </row>
    <row r="114" spans="1:8" x14ac:dyDescent="0.2">
      <c r="A114" s="1186" t="s">
        <v>19</v>
      </c>
      <c r="B114" s="1186" t="s">
        <v>308</v>
      </c>
      <c r="C114" s="1186" t="s">
        <v>61</v>
      </c>
      <c r="D114" s="1186" t="s">
        <v>19</v>
      </c>
      <c r="E114" s="1186" t="s">
        <v>868</v>
      </c>
      <c r="F114" s="1186" t="s">
        <v>1981</v>
      </c>
      <c r="G114" s="1186" t="s">
        <v>1982</v>
      </c>
      <c r="H114" s="1186">
        <v>782</v>
      </c>
    </row>
    <row r="115" spans="1:8" x14ac:dyDescent="0.2">
      <c r="A115" s="1186" t="s">
        <v>19</v>
      </c>
      <c r="B115" s="1186" t="s">
        <v>308</v>
      </c>
      <c r="C115" s="1186" t="s">
        <v>61</v>
      </c>
      <c r="D115" s="1186" t="s">
        <v>19</v>
      </c>
      <c r="E115" s="1186" t="s">
        <v>869</v>
      </c>
      <c r="F115" s="1186" t="s">
        <v>1981</v>
      </c>
      <c r="G115" s="1186" t="s">
        <v>1982</v>
      </c>
      <c r="H115" s="1186">
        <v>429</v>
      </c>
    </row>
    <row r="116" spans="1:8" x14ac:dyDescent="0.2">
      <c r="A116" s="1186" t="s">
        <v>19</v>
      </c>
      <c r="B116" s="1186" t="s">
        <v>308</v>
      </c>
      <c r="C116" s="1186" t="s">
        <v>61</v>
      </c>
      <c r="D116" s="1186" t="s">
        <v>19</v>
      </c>
      <c r="E116" s="1186" t="s">
        <v>870</v>
      </c>
      <c r="F116" s="1186" t="s">
        <v>1983</v>
      </c>
      <c r="G116" s="1186" t="s">
        <v>1982</v>
      </c>
      <c r="H116" s="1186">
        <v>617</v>
      </c>
    </row>
    <row r="117" spans="1:8" x14ac:dyDescent="0.2">
      <c r="A117" s="1186" t="s">
        <v>19</v>
      </c>
      <c r="B117" s="1186" t="s">
        <v>308</v>
      </c>
      <c r="C117" s="1186" t="s">
        <v>61</v>
      </c>
      <c r="D117" s="1186" t="s">
        <v>19</v>
      </c>
      <c r="E117" s="1186" t="s">
        <v>871</v>
      </c>
      <c r="F117" s="1186" t="s">
        <v>1983</v>
      </c>
      <c r="G117" s="1186" t="s">
        <v>1984</v>
      </c>
      <c r="H117" s="1186">
        <v>386</v>
      </c>
    </row>
    <row r="118" spans="1:8" x14ac:dyDescent="0.2">
      <c r="A118" s="1186" t="s">
        <v>19</v>
      </c>
      <c r="B118" s="1186" t="s">
        <v>308</v>
      </c>
      <c r="C118" s="1186" t="s">
        <v>61</v>
      </c>
      <c r="D118" s="1186" t="s">
        <v>19</v>
      </c>
      <c r="E118" s="1186" t="s">
        <v>872</v>
      </c>
      <c r="F118" s="1186" t="s">
        <v>1983</v>
      </c>
      <c r="G118" s="1186" t="s">
        <v>1984</v>
      </c>
      <c r="H118" s="1186">
        <v>301</v>
      </c>
    </row>
    <row r="119" spans="1:8" x14ac:dyDescent="0.2">
      <c r="A119" s="1186" t="s">
        <v>19</v>
      </c>
      <c r="B119" s="1186" t="s">
        <v>308</v>
      </c>
      <c r="C119" s="1186" t="s">
        <v>61</v>
      </c>
      <c r="D119" s="1186" t="s">
        <v>19</v>
      </c>
      <c r="E119" s="1186" t="s">
        <v>873</v>
      </c>
      <c r="F119" s="1186" t="s">
        <v>1985</v>
      </c>
      <c r="G119" s="1186" t="s">
        <v>1984</v>
      </c>
      <c r="H119" s="1186">
        <v>327</v>
      </c>
    </row>
    <row r="120" spans="1:8" x14ac:dyDescent="0.2">
      <c r="A120" s="1186" t="s">
        <v>19</v>
      </c>
      <c r="B120" s="1186" t="s">
        <v>308</v>
      </c>
      <c r="C120" s="1186" t="s">
        <v>61</v>
      </c>
      <c r="D120" s="1186" t="s">
        <v>19</v>
      </c>
      <c r="E120" s="1186" t="s">
        <v>19</v>
      </c>
      <c r="F120" s="1186" t="s">
        <v>1985</v>
      </c>
      <c r="G120" s="1186" t="s">
        <v>1986</v>
      </c>
      <c r="H120" s="1186">
        <v>371</v>
      </c>
    </row>
    <row r="121" spans="1:8" x14ac:dyDescent="0.2">
      <c r="A121" s="1186" t="s">
        <v>19</v>
      </c>
      <c r="B121" s="1186" t="s">
        <v>308</v>
      </c>
      <c r="C121" s="1186" t="s">
        <v>61</v>
      </c>
      <c r="D121" s="1186" t="s">
        <v>19</v>
      </c>
      <c r="E121" s="1186" t="s">
        <v>874</v>
      </c>
      <c r="F121" s="1186" t="s">
        <v>1985</v>
      </c>
      <c r="G121" s="1186" t="s">
        <v>1986</v>
      </c>
      <c r="H121" s="1186">
        <v>291</v>
      </c>
    </row>
    <row r="122" spans="1:8" x14ac:dyDescent="0.2">
      <c r="A122" s="1186" t="s">
        <v>19</v>
      </c>
      <c r="B122" s="1186" t="s">
        <v>308</v>
      </c>
      <c r="C122" s="1186" t="s">
        <v>61</v>
      </c>
      <c r="D122" s="1186" t="s">
        <v>19</v>
      </c>
      <c r="E122" s="1186" t="s">
        <v>875</v>
      </c>
      <c r="F122" s="1186" t="s">
        <v>1987</v>
      </c>
      <c r="G122" s="1186" t="s">
        <v>1986</v>
      </c>
      <c r="H122" s="1186">
        <v>162</v>
      </c>
    </row>
    <row r="123" spans="1:8" x14ac:dyDescent="0.2">
      <c r="A123" s="1186" t="s">
        <v>19</v>
      </c>
      <c r="B123" s="1186" t="s">
        <v>308</v>
      </c>
      <c r="C123" s="1186" t="s">
        <v>61</v>
      </c>
      <c r="D123" s="1186" t="s">
        <v>19</v>
      </c>
      <c r="E123" s="1186" t="s">
        <v>876</v>
      </c>
      <c r="F123" s="1186" t="s">
        <v>1987</v>
      </c>
      <c r="G123" s="1186" t="s">
        <v>1988</v>
      </c>
      <c r="H123" s="1186">
        <v>188</v>
      </c>
    </row>
    <row r="124" spans="1:8" x14ac:dyDescent="0.2">
      <c r="A124" s="1186" t="s">
        <v>19</v>
      </c>
      <c r="B124" s="1186" t="s">
        <v>308</v>
      </c>
      <c r="C124" s="1186" t="s">
        <v>61</v>
      </c>
      <c r="D124" s="1186" t="s">
        <v>19</v>
      </c>
      <c r="E124" s="1186" t="s">
        <v>877</v>
      </c>
      <c r="F124" s="1186" t="s">
        <v>1987</v>
      </c>
      <c r="G124" s="1186" t="s">
        <v>1988</v>
      </c>
      <c r="H124" s="1186">
        <v>213</v>
      </c>
    </row>
    <row r="125" spans="1:8" x14ac:dyDescent="0.2">
      <c r="A125" s="1186" t="s">
        <v>19</v>
      </c>
      <c r="B125" s="1186" t="s">
        <v>308</v>
      </c>
      <c r="C125" s="1186" t="s">
        <v>61</v>
      </c>
      <c r="D125" s="1186" t="s">
        <v>19</v>
      </c>
      <c r="E125" s="1186" t="s">
        <v>878</v>
      </c>
      <c r="F125" s="1186" t="s">
        <v>1981</v>
      </c>
      <c r="G125" s="1186" t="s">
        <v>1988</v>
      </c>
      <c r="H125" s="1186">
        <v>651</v>
      </c>
    </row>
    <row r="126" spans="1:8" x14ac:dyDescent="0.2">
      <c r="A126" s="1186" t="s">
        <v>19</v>
      </c>
      <c r="B126" s="1186" t="s">
        <v>308</v>
      </c>
      <c r="C126" s="1186" t="s">
        <v>116</v>
      </c>
      <c r="D126" s="1186" t="s">
        <v>19</v>
      </c>
      <c r="E126" s="1186" t="s">
        <v>868</v>
      </c>
      <c r="F126" s="1186" t="s">
        <v>1981</v>
      </c>
      <c r="G126" s="1186" t="s">
        <v>1982</v>
      </c>
      <c r="H126" s="1186">
        <v>2579</v>
      </c>
    </row>
    <row r="127" spans="1:8" x14ac:dyDescent="0.2">
      <c r="A127" s="1186" t="s">
        <v>19</v>
      </c>
      <c r="B127" s="1186" t="s">
        <v>308</v>
      </c>
      <c r="C127" s="1186" t="s">
        <v>116</v>
      </c>
      <c r="D127" s="1186" t="s">
        <v>19</v>
      </c>
      <c r="E127" s="1186" t="s">
        <v>869</v>
      </c>
      <c r="F127" s="1186" t="s">
        <v>1981</v>
      </c>
      <c r="G127" s="1186" t="s">
        <v>1982</v>
      </c>
      <c r="H127" s="1186">
        <v>1557</v>
      </c>
    </row>
    <row r="128" spans="1:8" x14ac:dyDescent="0.2">
      <c r="A128" s="1186" t="s">
        <v>19</v>
      </c>
      <c r="B128" s="1186" t="s">
        <v>308</v>
      </c>
      <c r="C128" s="1186" t="s">
        <v>116</v>
      </c>
      <c r="D128" s="1186" t="s">
        <v>19</v>
      </c>
      <c r="E128" s="1186" t="s">
        <v>870</v>
      </c>
      <c r="F128" s="1186" t="s">
        <v>1983</v>
      </c>
      <c r="G128" s="1186" t="s">
        <v>1982</v>
      </c>
      <c r="H128" s="1186">
        <v>1988</v>
      </c>
    </row>
    <row r="129" spans="1:8" x14ac:dyDescent="0.2">
      <c r="A129" s="1186" t="s">
        <v>19</v>
      </c>
      <c r="B129" s="1186" t="s">
        <v>308</v>
      </c>
      <c r="C129" s="1186" t="s">
        <v>116</v>
      </c>
      <c r="D129" s="1186" t="s">
        <v>19</v>
      </c>
      <c r="E129" s="1186" t="s">
        <v>871</v>
      </c>
      <c r="F129" s="1186" t="s">
        <v>1983</v>
      </c>
      <c r="G129" s="1186" t="s">
        <v>1984</v>
      </c>
      <c r="H129" s="1186">
        <v>1401</v>
      </c>
    </row>
    <row r="130" spans="1:8" x14ac:dyDescent="0.2">
      <c r="A130" s="1186" t="s">
        <v>19</v>
      </c>
      <c r="B130" s="1186" t="s">
        <v>308</v>
      </c>
      <c r="C130" s="1186" t="s">
        <v>116</v>
      </c>
      <c r="D130" s="1186" t="s">
        <v>19</v>
      </c>
      <c r="E130" s="1186" t="s">
        <v>872</v>
      </c>
      <c r="F130" s="1186" t="s">
        <v>1983</v>
      </c>
      <c r="G130" s="1186" t="s">
        <v>1984</v>
      </c>
      <c r="H130" s="1186">
        <v>1111</v>
      </c>
    </row>
    <row r="131" spans="1:8" x14ac:dyDescent="0.2">
      <c r="A131" s="1186" t="s">
        <v>19</v>
      </c>
      <c r="B131" s="1186" t="s">
        <v>308</v>
      </c>
      <c r="C131" s="1186" t="s">
        <v>116</v>
      </c>
      <c r="D131" s="1186" t="s">
        <v>19</v>
      </c>
      <c r="E131" s="1186" t="s">
        <v>873</v>
      </c>
      <c r="F131" s="1186" t="s">
        <v>1985</v>
      </c>
      <c r="G131" s="1186" t="s">
        <v>1984</v>
      </c>
      <c r="H131" s="1186">
        <v>1521</v>
      </c>
    </row>
    <row r="132" spans="1:8" x14ac:dyDescent="0.2">
      <c r="A132" s="1186" t="s">
        <v>19</v>
      </c>
      <c r="B132" s="1186" t="s">
        <v>308</v>
      </c>
      <c r="C132" s="1186" t="s">
        <v>116</v>
      </c>
      <c r="D132" s="1186" t="s">
        <v>19</v>
      </c>
      <c r="E132" s="1186" t="s">
        <v>19</v>
      </c>
      <c r="F132" s="1186" t="s">
        <v>1985</v>
      </c>
      <c r="G132" s="1186" t="s">
        <v>1986</v>
      </c>
      <c r="H132" s="1186">
        <v>2068</v>
      </c>
    </row>
    <row r="133" spans="1:8" x14ac:dyDescent="0.2">
      <c r="A133" s="1186" t="s">
        <v>19</v>
      </c>
      <c r="B133" s="1186" t="s">
        <v>308</v>
      </c>
      <c r="C133" s="1186" t="s">
        <v>116</v>
      </c>
      <c r="D133" s="1186" t="s">
        <v>19</v>
      </c>
      <c r="E133" s="1186" t="s">
        <v>874</v>
      </c>
      <c r="F133" s="1186" t="s">
        <v>1985</v>
      </c>
      <c r="G133" s="1186" t="s">
        <v>1986</v>
      </c>
      <c r="H133" s="1186">
        <v>1882</v>
      </c>
    </row>
    <row r="134" spans="1:8" x14ac:dyDescent="0.2">
      <c r="A134" s="1186" t="s">
        <v>19</v>
      </c>
      <c r="B134" s="1186" t="s">
        <v>308</v>
      </c>
      <c r="C134" s="1186" t="s">
        <v>116</v>
      </c>
      <c r="D134" s="1186" t="s">
        <v>19</v>
      </c>
      <c r="E134" s="1186" t="s">
        <v>875</v>
      </c>
      <c r="F134" s="1186" t="s">
        <v>1987</v>
      </c>
      <c r="G134" s="1186" t="s">
        <v>1986</v>
      </c>
      <c r="H134" s="1186">
        <v>574</v>
      </c>
    </row>
    <row r="135" spans="1:8" x14ac:dyDescent="0.2">
      <c r="A135" s="1186" t="s">
        <v>19</v>
      </c>
      <c r="B135" s="1186" t="s">
        <v>308</v>
      </c>
      <c r="C135" s="1186" t="s">
        <v>116</v>
      </c>
      <c r="D135" s="1186" t="s">
        <v>19</v>
      </c>
      <c r="E135" s="1186" t="s">
        <v>876</v>
      </c>
      <c r="F135" s="1186" t="s">
        <v>1987</v>
      </c>
      <c r="G135" s="1186" t="s">
        <v>1988</v>
      </c>
      <c r="H135" s="1186">
        <v>615</v>
      </c>
    </row>
    <row r="136" spans="1:8" x14ac:dyDescent="0.2">
      <c r="A136" s="1186" t="s">
        <v>19</v>
      </c>
      <c r="B136" s="1186" t="s">
        <v>308</v>
      </c>
      <c r="C136" s="1186" t="s">
        <v>116</v>
      </c>
      <c r="D136" s="1186" t="s">
        <v>19</v>
      </c>
      <c r="E136" s="1186" t="s">
        <v>877</v>
      </c>
      <c r="F136" s="1186" t="s">
        <v>1987</v>
      </c>
      <c r="G136" s="1186" t="s">
        <v>1988</v>
      </c>
      <c r="H136" s="1186">
        <v>886</v>
      </c>
    </row>
    <row r="137" spans="1:8" x14ac:dyDescent="0.2">
      <c r="A137" s="1186" t="s">
        <v>19</v>
      </c>
      <c r="B137" s="1186" t="s">
        <v>308</v>
      </c>
      <c r="C137" s="1186" t="s">
        <v>116</v>
      </c>
      <c r="D137" s="1186" t="s">
        <v>19</v>
      </c>
      <c r="E137" s="1186" t="s">
        <v>878</v>
      </c>
      <c r="F137" s="1186" t="s">
        <v>1981</v>
      </c>
      <c r="G137" s="1186" t="s">
        <v>1988</v>
      </c>
      <c r="H137" s="1186">
        <v>2105</v>
      </c>
    </row>
    <row r="138" spans="1:8" x14ac:dyDescent="0.2">
      <c r="A138" s="1186" t="s">
        <v>20</v>
      </c>
      <c r="B138" s="1186" t="s">
        <v>309</v>
      </c>
      <c r="C138" s="1186" t="s">
        <v>61</v>
      </c>
      <c r="D138" s="1186" t="s">
        <v>20</v>
      </c>
      <c r="E138" s="1186" t="s">
        <v>879</v>
      </c>
      <c r="F138" s="1186" t="s">
        <v>1981</v>
      </c>
      <c r="G138" s="1186" t="s">
        <v>1982</v>
      </c>
      <c r="H138" s="1186">
        <v>157</v>
      </c>
    </row>
    <row r="139" spans="1:8" x14ac:dyDescent="0.2">
      <c r="A139" s="1186" t="s">
        <v>20</v>
      </c>
      <c r="B139" s="1186" t="s">
        <v>309</v>
      </c>
      <c r="C139" s="1186" t="s">
        <v>61</v>
      </c>
      <c r="D139" s="1186" t="s">
        <v>20</v>
      </c>
      <c r="E139" s="1186" t="s">
        <v>880</v>
      </c>
      <c r="F139" s="1186" t="s">
        <v>1981</v>
      </c>
      <c r="G139" s="1186" t="s">
        <v>1982</v>
      </c>
      <c r="H139" s="1186">
        <v>116</v>
      </c>
    </row>
    <row r="140" spans="1:8" x14ac:dyDescent="0.2">
      <c r="A140" s="1186" t="s">
        <v>20</v>
      </c>
      <c r="B140" s="1186" t="s">
        <v>309</v>
      </c>
      <c r="C140" s="1186" t="s">
        <v>61</v>
      </c>
      <c r="D140" s="1186" t="s">
        <v>20</v>
      </c>
      <c r="E140" s="1186" t="s">
        <v>881</v>
      </c>
      <c r="F140" s="1186" t="s">
        <v>1983</v>
      </c>
      <c r="G140" s="1186" t="s">
        <v>1982</v>
      </c>
      <c r="H140" s="1186">
        <v>33</v>
      </c>
    </row>
    <row r="141" spans="1:8" x14ac:dyDescent="0.2">
      <c r="A141" s="1186" t="s">
        <v>20</v>
      </c>
      <c r="B141" s="1186" t="s">
        <v>309</v>
      </c>
      <c r="C141" s="1186" t="s">
        <v>61</v>
      </c>
      <c r="D141" s="1186" t="s">
        <v>20</v>
      </c>
      <c r="E141" s="1186" t="s">
        <v>882</v>
      </c>
      <c r="F141" s="1186" t="s">
        <v>1983</v>
      </c>
      <c r="G141" s="1186" t="s">
        <v>1984</v>
      </c>
      <c r="H141" s="1186">
        <v>32</v>
      </c>
    </row>
    <row r="142" spans="1:8" x14ac:dyDescent="0.2">
      <c r="A142" s="1186" t="s">
        <v>20</v>
      </c>
      <c r="B142" s="1186" t="s">
        <v>309</v>
      </c>
      <c r="C142" s="1186" t="s">
        <v>61</v>
      </c>
      <c r="D142" s="1186" t="s">
        <v>20</v>
      </c>
      <c r="E142" s="1186" t="s">
        <v>883</v>
      </c>
      <c r="F142" s="1186" t="s">
        <v>1983</v>
      </c>
      <c r="G142" s="1186" t="s">
        <v>1984</v>
      </c>
      <c r="H142" s="1186">
        <v>27</v>
      </c>
    </row>
    <row r="143" spans="1:8" x14ac:dyDescent="0.2">
      <c r="A143" s="1186" t="s">
        <v>20</v>
      </c>
      <c r="B143" s="1186" t="s">
        <v>309</v>
      </c>
      <c r="C143" s="1186" t="s">
        <v>61</v>
      </c>
      <c r="D143" s="1186" t="s">
        <v>20</v>
      </c>
      <c r="E143" s="1186" t="s">
        <v>884</v>
      </c>
      <c r="F143" s="1186" t="s">
        <v>1985</v>
      </c>
      <c r="G143" s="1186" t="s">
        <v>1984</v>
      </c>
      <c r="H143" s="1186">
        <v>63</v>
      </c>
    </row>
    <row r="144" spans="1:8" x14ac:dyDescent="0.2">
      <c r="A144" s="1186" t="s">
        <v>20</v>
      </c>
      <c r="B144" s="1186" t="s">
        <v>309</v>
      </c>
      <c r="C144" s="1186" t="s">
        <v>61</v>
      </c>
      <c r="D144" s="1186" t="s">
        <v>20</v>
      </c>
      <c r="E144" s="1186" t="s">
        <v>885</v>
      </c>
      <c r="F144" s="1186" t="s">
        <v>1985</v>
      </c>
      <c r="G144" s="1186" t="s">
        <v>1986</v>
      </c>
      <c r="H144" s="1186">
        <v>87</v>
      </c>
    </row>
    <row r="145" spans="1:8" x14ac:dyDescent="0.2">
      <c r="A145" s="1186" t="s">
        <v>20</v>
      </c>
      <c r="B145" s="1186" t="s">
        <v>309</v>
      </c>
      <c r="C145" s="1186" t="s">
        <v>61</v>
      </c>
      <c r="D145" s="1186" t="s">
        <v>20</v>
      </c>
      <c r="E145" s="1186" t="s">
        <v>20</v>
      </c>
      <c r="F145" s="1186" t="s">
        <v>1985</v>
      </c>
      <c r="G145" s="1186" t="s">
        <v>1986</v>
      </c>
      <c r="H145" s="1186">
        <v>163</v>
      </c>
    </row>
    <row r="146" spans="1:8" x14ac:dyDescent="0.2">
      <c r="A146" s="1186" t="s">
        <v>20</v>
      </c>
      <c r="B146" s="1186" t="s">
        <v>309</v>
      </c>
      <c r="C146" s="1186" t="s">
        <v>61</v>
      </c>
      <c r="D146" s="1186" t="s">
        <v>20</v>
      </c>
      <c r="E146" s="1186" t="s">
        <v>886</v>
      </c>
      <c r="F146" s="1186" t="s">
        <v>1987</v>
      </c>
      <c r="G146" s="1186" t="s">
        <v>1986</v>
      </c>
      <c r="H146" s="1186">
        <v>251</v>
      </c>
    </row>
    <row r="147" spans="1:8" x14ac:dyDescent="0.2">
      <c r="A147" s="1186" t="s">
        <v>20</v>
      </c>
      <c r="B147" s="1186" t="s">
        <v>309</v>
      </c>
      <c r="C147" s="1186" t="s">
        <v>61</v>
      </c>
      <c r="D147" s="1186" t="s">
        <v>20</v>
      </c>
      <c r="E147" s="1186" t="s">
        <v>887</v>
      </c>
      <c r="F147" s="1186" t="s">
        <v>1987</v>
      </c>
      <c r="G147" s="1186" t="s">
        <v>1988</v>
      </c>
      <c r="H147" s="1186">
        <v>259</v>
      </c>
    </row>
    <row r="148" spans="1:8" x14ac:dyDescent="0.2">
      <c r="A148" s="1186" t="s">
        <v>20</v>
      </c>
      <c r="B148" s="1186" t="s">
        <v>309</v>
      </c>
      <c r="C148" s="1186" t="s">
        <v>61</v>
      </c>
      <c r="D148" s="1186" t="s">
        <v>20</v>
      </c>
      <c r="E148" s="1186" t="s">
        <v>888</v>
      </c>
      <c r="F148" s="1186" t="s">
        <v>1987</v>
      </c>
      <c r="G148" s="1186" t="s">
        <v>1988</v>
      </c>
      <c r="H148" s="1186">
        <v>204</v>
      </c>
    </row>
    <row r="149" spans="1:8" x14ac:dyDescent="0.2">
      <c r="A149" s="1186" t="s">
        <v>20</v>
      </c>
      <c r="B149" s="1186" t="s">
        <v>309</v>
      </c>
      <c r="C149" s="1186" t="s">
        <v>61</v>
      </c>
      <c r="D149" s="1186" t="s">
        <v>20</v>
      </c>
      <c r="E149" s="1186" t="s">
        <v>889</v>
      </c>
      <c r="F149" s="1186" t="s">
        <v>1981</v>
      </c>
      <c r="G149" s="1186" t="s">
        <v>1988</v>
      </c>
      <c r="H149" s="1186">
        <v>178</v>
      </c>
    </row>
    <row r="150" spans="1:8" x14ac:dyDescent="0.2">
      <c r="A150" s="1186" t="s">
        <v>20</v>
      </c>
      <c r="B150" s="1186" t="s">
        <v>309</v>
      </c>
      <c r="C150" s="1186" t="s">
        <v>116</v>
      </c>
      <c r="D150" s="1186" t="s">
        <v>20</v>
      </c>
      <c r="E150" s="1186" t="s">
        <v>879</v>
      </c>
      <c r="F150" s="1186" t="s">
        <v>1981</v>
      </c>
      <c r="G150" s="1186" t="s">
        <v>1982</v>
      </c>
      <c r="H150" s="1186">
        <v>1</v>
      </c>
    </row>
    <row r="151" spans="1:8" x14ac:dyDescent="0.2">
      <c r="A151" s="1186" t="s">
        <v>20</v>
      </c>
      <c r="B151" s="1186" t="s">
        <v>309</v>
      </c>
      <c r="C151" s="1186" t="s">
        <v>116</v>
      </c>
      <c r="D151" s="1186" t="s">
        <v>20</v>
      </c>
      <c r="E151" s="1186" t="s">
        <v>20</v>
      </c>
      <c r="F151" s="1186" t="s">
        <v>1985</v>
      </c>
      <c r="G151" s="1186" t="s">
        <v>1986</v>
      </c>
      <c r="H151" s="1186">
        <v>2</v>
      </c>
    </row>
    <row r="152" spans="1:8" x14ac:dyDescent="0.2">
      <c r="A152" s="1186" t="s">
        <v>20</v>
      </c>
      <c r="B152" s="1186" t="s">
        <v>309</v>
      </c>
      <c r="C152" s="1186" t="s">
        <v>116</v>
      </c>
      <c r="D152" s="1186" t="s">
        <v>20</v>
      </c>
      <c r="E152" s="1186" t="s">
        <v>886</v>
      </c>
      <c r="F152" s="1186" t="s">
        <v>1987</v>
      </c>
      <c r="G152" s="1186" t="s">
        <v>1986</v>
      </c>
      <c r="H152" s="1186">
        <v>1</v>
      </c>
    </row>
    <row r="153" spans="1:8" x14ac:dyDescent="0.2">
      <c r="A153" s="1186" t="s">
        <v>20</v>
      </c>
      <c r="B153" s="1186" t="s">
        <v>823</v>
      </c>
      <c r="C153" s="1186" t="s">
        <v>61</v>
      </c>
      <c r="D153" s="1186" t="s">
        <v>20</v>
      </c>
      <c r="E153" s="1186" t="s">
        <v>879</v>
      </c>
      <c r="F153" s="1186" t="s">
        <v>1981</v>
      </c>
      <c r="G153" s="1186" t="s">
        <v>1982</v>
      </c>
      <c r="H153" s="1186">
        <v>436</v>
      </c>
    </row>
    <row r="154" spans="1:8" x14ac:dyDescent="0.2">
      <c r="A154" s="1186" t="s">
        <v>20</v>
      </c>
      <c r="B154" s="1186" t="s">
        <v>823</v>
      </c>
      <c r="C154" s="1186" t="s">
        <v>61</v>
      </c>
      <c r="D154" s="1186" t="s">
        <v>20</v>
      </c>
      <c r="E154" s="1186" t="s">
        <v>880</v>
      </c>
      <c r="F154" s="1186" t="s">
        <v>1981</v>
      </c>
      <c r="G154" s="1186" t="s">
        <v>1982</v>
      </c>
      <c r="H154" s="1186">
        <v>454</v>
      </c>
    </row>
    <row r="155" spans="1:8" x14ac:dyDescent="0.2">
      <c r="A155" s="1186" t="s">
        <v>20</v>
      </c>
      <c r="B155" s="1186" t="s">
        <v>823</v>
      </c>
      <c r="C155" s="1186" t="s">
        <v>61</v>
      </c>
      <c r="D155" s="1186" t="s">
        <v>20</v>
      </c>
      <c r="E155" s="1186" t="s">
        <v>881</v>
      </c>
      <c r="F155" s="1186" t="s">
        <v>1983</v>
      </c>
      <c r="G155" s="1186" t="s">
        <v>1982</v>
      </c>
      <c r="H155" s="1186">
        <v>393</v>
      </c>
    </row>
    <row r="156" spans="1:8" x14ac:dyDescent="0.2">
      <c r="A156" s="1186" t="s">
        <v>20</v>
      </c>
      <c r="B156" s="1186" t="s">
        <v>823</v>
      </c>
      <c r="C156" s="1186" t="s">
        <v>61</v>
      </c>
      <c r="D156" s="1186" t="s">
        <v>20</v>
      </c>
      <c r="E156" s="1186" t="s">
        <v>882</v>
      </c>
      <c r="F156" s="1186" t="s">
        <v>1983</v>
      </c>
      <c r="G156" s="1186" t="s">
        <v>1984</v>
      </c>
      <c r="H156" s="1186">
        <v>357</v>
      </c>
    </row>
    <row r="157" spans="1:8" x14ac:dyDescent="0.2">
      <c r="A157" s="1186" t="s">
        <v>20</v>
      </c>
      <c r="B157" s="1186" t="s">
        <v>823</v>
      </c>
      <c r="C157" s="1186" t="s">
        <v>61</v>
      </c>
      <c r="D157" s="1186" t="s">
        <v>20</v>
      </c>
      <c r="E157" s="1186" t="s">
        <v>883</v>
      </c>
      <c r="F157" s="1186" t="s">
        <v>1983</v>
      </c>
      <c r="G157" s="1186" t="s">
        <v>1984</v>
      </c>
      <c r="H157" s="1186">
        <v>391</v>
      </c>
    </row>
    <row r="158" spans="1:8" x14ac:dyDescent="0.2">
      <c r="A158" s="1186" t="s">
        <v>20</v>
      </c>
      <c r="B158" s="1186" t="s">
        <v>823</v>
      </c>
      <c r="C158" s="1186" t="s">
        <v>61</v>
      </c>
      <c r="D158" s="1186" t="s">
        <v>20</v>
      </c>
      <c r="E158" s="1186" t="s">
        <v>884</v>
      </c>
      <c r="F158" s="1186" t="s">
        <v>1985</v>
      </c>
      <c r="G158" s="1186" t="s">
        <v>1984</v>
      </c>
      <c r="H158" s="1186">
        <v>393</v>
      </c>
    </row>
    <row r="159" spans="1:8" x14ac:dyDescent="0.2">
      <c r="A159" s="1186" t="s">
        <v>20</v>
      </c>
      <c r="B159" s="1186" t="s">
        <v>823</v>
      </c>
      <c r="C159" s="1186" t="s">
        <v>61</v>
      </c>
      <c r="D159" s="1186" t="s">
        <v>20</v>
      </c>
      <c r="E159" s="1186" t="s">
        <v>885</v>
      </c>
      <c r="F159" s="1186" t="s">
        <v>1985</v>
      </c>
      <c r="G159" s="1186" t="s">
        <v>1986</v>
      </c>
      <c r="H159" s="1186">
        <v>429</v>
      </c>
    </row>
    <row r="160" spans="1:8" x14ac:dyDescent="0.2">
      <c r="A160" s="1186" t="s">
        <v>20</v>
      </c>
      <c r="B160" s="1186" t="s">
        <v>823</v>
      </c>
      <c r="C160" s="1186" t="s">
        <v>61</v>
      </c>
      <c r="D160" s="1186" t="s">
        <v>20</v>
      </c>
      <c r="E160" s="1186" t="s">
        <v>20</v>
      </c>
      <c r="F160" s="1186" t="s">
        <v>1985</v>
      </c>
      <c r="G160" s="1186" t="s">
        <v>1986</v>
      </c>
      <c r="H160" s="1186">
        <v>454</v>
      </c>
    </row>
    <row r="161" spans="1:8" x14ac:dyDescent="0.2">
      <c r="A161" s="1186" t="s">
        <v>20</v>
      </c>
      <c r="B161" s="1186" t="s">
        <v>823</v>
      </c>
      <c r="C161" s="1186" t="s">
        <v>61</v>
      </c>
      <c r="D161" s="1186" t="s">
        <v>20</v>
      </c>
      <c r="E161" s="1186" t="s">
        <v>886</v>
      </c>
      <c r="F161" s="1186" t="s">
        <v>1987</v>
      </c>
      <c r="G161" s="1186" t="s">
        <v>1986</v>
      </c>
      <c r="H161" s="1186">
        <v>570</v>
      </c>
    </row>
    <row r="162" spans="1:8" x14ac:dyDescent="0.2">
      <c r="A162" s="1186" t="s">
        <v>20</v>
      </c>
      <c r="B162" s="1186" t="s">
        <v>823</v>
      </c>
      <c r="C162" s="1186" t="s">
        <v>61</v>
      </c>
      <c r="D162" s="1186" t="s">
        <v>20</v>
      </c>
      <c r="E162" s="1186" t="s">
        <v>887</v>
      </c>
      <c r="F162" s="1186" t="s">
        <v>1987</v>
      </c>
      <c r="G162" s="1186" t="s">
        <v>1988</v>
      </c>
      <c r="H162" s="1186">
        <v>439</v>
      </c>
    </row>
    <row r="163" spans="1:8" x14ac:dyDescent="0.2">
      <c r="A163" s="1186" t="s">
        <v>20</v>
      </c>
      <c r="B163" s="1186" t="s">
        <v>823</v>
      </c>
      <c r="C163" s="1186" t="s">
        <v>61</v>
      </c>
      <c r="D163" s="1186" t="s">
        <v>20</v>
      </c>
      <c r="E163" s="1186" t="s">
        <v>888</v>
      </c>
      <c r="F163" s="1186" t="s">
        <v>1987</v>
      </c>
      <c r="G163" s="1186" t="s">
        <v>1988</v>
      </c>
      <c r="H163" s="1186">
        <v>463</v>
      </c>
    </row>
    <row r="164" spans="1:8" x14ac:dyDescent="0.2">
      <c r="A164" s="1186" t="s">
        <v>20</v>
      </c>
      <c r="B164" s="1186" t="s">
        <v>823</v>
      </c>
      <c r="C164" s="1186" t="s">
        <v>61</v>
      </c>
      <c r="D164" s="1186" t="s">
        <v>20</v>
      </c>
      <c r="E164" s="1186" t="s">
        <v>889</v>
      </c>
      <c r="F164" s="1186" t="s">
        <v>1981</v>
      </c>
      <c r="G164" s="1186" t="s">
        <v>1988</v>
      </c>
      <c r="H164" s="1186">
        <v>430</v>
      </c>
    </row>
    <row r="165" spans="1:8" x14ac:dyDescent="0.2">
      <c r="A165" s="1186" t="s">
        <v>20</v>
      </c>
      <c r="B165" s="1186" t="s">
        <v>823</v>
      </c>
      <c r="C165" s="1186" t="s">
        <v>116</v>
      </c>
      <c r="D165" s="1186" t="s">
        <v>20</v>
      </c>
      <c r="E165" s="1186" t="s">
        <v>879</v>
      </c>
      <c r="F165" s="1186" t="s">
        <v>1981</v>
      </c>
      <c r="G165" s="1186" t="s">
        <v>1982</v>
      </c>
      <c r="H165" s="1186">
        <v>75</v>
      </c>
    </row>
    <row r="166" spans="1:8" x14ac:dyDescent="0.2">
      <c r="A166" s="1186" t="s">
        <v>20</v>
      </c>
      <c r="B166" s="1186" t="s">
        <v>823</v>
      </c>
      <c r="C166" s="1186" t="s">
        <v>116</v>
      </c>
      <c r="D166" s="1186" t="s">
        <v>20</v>
      </c>
      <c r="E166" s="1186" t="s">
        <v>880</v>
      </c>
      <c r="F166" s="1186" t="s">
        <v>1981</v>
      </c>
      <c r="G166" s="1186" t="s">
        <v>1982</v>
      </c>
      <c r="H166" s="1186">
        <v>98</v>
      </c>
    </row>
    <row r="167" spans="1:8" x14ac:dyDescent="0.2">
      <c r="A167" s="1186" t="s">
        <v>20</v>
      </c>
      <c r="B167" s="1186" t="s">
        <v>823</v>
      </c>
      <c r="C167" s="1186" t="s">
        <v>116</v>
      </c>
      <c r="D167" s="1186" t="s">
        <v>20</v>
      </c>
      <c r="E167" s="1186" t="s">
        <v>881</v>
      </c>
      <c r="F167" s="1186" t="s">
        <v>1983</v>
      </c>
      <c r="G167" s="1186" t="s">
        <v>1982</v>
      </c>
      <c r="H167" s="1186">
        <v>82</v>
      </c>
    </row>
    <row r="168" spans="1:8" x14ac:dyDescent="0.2">
      <c r="A168" s="1186" t="s">
        <v>20</v>
      </c>
      <c r="B168" s="1186" t="s">
        <v>823</v>
      </c>
      <c r="C168" s="1186" t="s">
        <v>116</v>
      </c>
      <c r="D168" s="1186" t="s">
        <v>20</v>
      </c>
      <c r="E168" s="1186" t="s">
        <v>882</v>
      </c>
      <c r="F168" s="1186" t="s">
        <v>1983</v>
      </c>
      <c r="G168" s="1186" t="s">
        <v>1984</v>
      </c>
      <c r="H168" s="1186">
        <v>80</v>
      </c>
    </row>
    <row r="169" spans="1:8" x14ac:dyDescent="0.2">
      <c r="A169" s="1186" t="s">
        <v>20</v>
      </c>
      <c r="B169" s="1186" t="s">
        <v>823</v>
      </c>
      <c r="C169" s="1186" t="s">
        <v>116</v>
      </c>
      <c r="D169" s="1186" t="s">
        <v>20</v>
      </c>
      <c r="E169" s="1186" t="s">
        <v>883</v>
      </c>
      <c r="F169" s="1186" t="s">
        <v>1983</v>
      </c>
      <c r="G169" s="1186" t="s">
        <v>1984</v>
      </c>
      <c r="H169" s="1186">
        <v>105</v>
      </c>
    </row>
    <row r="170" spans="1:8" x14ac:dyDescent="0.2">
      <c r="A170" s="1186" t="s">
        <v>20</v>
      </c>
      <c r="B170" s="1186" t="s">
        <v>823</v>
      </c>
      <c r="C170" s="1186" t="s">
        <v>116</v>
      </c>
      <c r="D170" s="1186" t="s">
        <v>20</v>
      </c>
      <c r="E170" s="1186" t="s">
        <v>884</v>
      </c>
      <c r="F170" s="1186" t="s">
        <v>1985</v>
      </c>
      <c r="G170" s="1186" t="s">
        <v>1984</v>
      </c>
      <c r="H170" s="1186">
        <v>87</v>
      </c>
    </row>
    <row r="171" spans="1:8" x14ac:dyDescent="0.2">
      <c r="A171" s="1186" t="s">
        <v>20</v>
      </c>
      <c r="B171" s="1186" t="s">
        <v>823</v>
      </c>
      <c r="C171" s="1186" t="s">
        <v>116</v>
      </c>
      <c r="D171" s="1186" t="s">
        <v>20</v>
      </c>
      <c r="E171" s="1186" t="s">
        <v>885</v>
      </c>
      <c r="F171" s="1186" t="s">
        <v>1985</v>
      </c>
      <c r="G171" s="1186" t="s">
        <v>1986</v>
      </c>
      <c r="H171" s="1186">
        <v>90</v>
      </c>
    </row>
    <row r="172" spans="1:8" x14ac:dyDescent="0.2">
      <c r="A172" s="1186" t="s">
        <v>20</v>
      </c>
      <c r="B172" s="1186" t="s">
        <v>823</v>
      </c>
      <c r="C172" s="1186" t="s">
        <v>116</v>
      </c>
      <c r="D172" s="1186" t="s">
        <v>20</v>
      </c>
      <c r="E172" s="1186" t="s">
        <v>20</v>
      </c>
      <c r="F172" s="1186" t="s">
        <v>1985</v>
      </c>
      <c r="G172" s="1186" t="s">
        <v>1986</v>
      </c>
      <c r="H172" s="1186">
        <v>133</v>
      </c>
    </row>
    <row r="173" spans="1:8" x14ac:dyDescent="0.2">
      <c r="A173" s="1186" t="s">
        <v>20</v>
      </c>
      <c r="B173" s="1186" t="s">
        <v>823</v>
      </c>
      <c r="C173" s="1186" t="s">
        <v>116</v>
      </c>
      <c r="D173" s="1186" t="s">
        <v>20</v>
      </c>
      <c r="E173" s="1186" t="s">
        <v>886</v>
      </c>
      <c r="F173" s="1186" t="s">
        <v>1987</v>
      </c>
      <c r="G173" s="1186" t="s">
        <v>1986</v>
      </c>
      <c r="H173" s="1186">
        <v>88</v>
      </c>
    </row>
    <row r="174" spans="1:8" x14ac:dyDescent="0.2">
      <c r="A174" s="1186" t="s">
        <v>20</v>
      </c>
      <c r="B174" s="1186" t="s">
        <v>823</v>
      </c>
      <c r="C174" s="1186" t="s">
        <v>116</v>
      </c>
      <c r="D174" s="1186" t="s">
        <v>20</v>
      </c>
      <c r="E174" s="1186" t="s">
        <v>887</v>
      </c>
      <c r="F174" s="1186" t="s">
        <v>1987</v>
      </c>
      <c r="G174" s="1186" t="s">
        <v>1988</v>
      </c>
      <c r="H174" s="1186">
        <v>88</v>
      </c>
    </row>
    <row r="175" spans="1:8" x14ac:dyDescent="0.2">
      <c r="A175" s="1186" t="s">
        <v>20</v>
      </c>
      <c r="B175" s="1186" t="s">
        <v>823</v>
      </c>
      <c r="C175" s="1186" t="s">
        <v>116</v>
      </c>
      <c r="D175" s="1186" t="s">
        <v>20</v>
      </c>
      <c r="E175" s="1186" t="s">
        <v>888</v>
      </c>
      <c r="F175" s="1186" t="s">
        <v>1987</v>
      </c>
      <c r="G175" s="1186" t="s">
        <v>1988</v>
      </c>
      <c r="H175" s="1186">
        <v>78</v>
      </c>
    </row>
    <row r="176" spans="1:8" x14ac:dyDescent="0.2">
      <c r="A176" s="1186" t="s">
        <v>20</v>
      </c>
      <c r="B176" s="1186" t="s">
        <v>823</v>
      </c>
      <c r="C176" s="1186" t="s">
        <v>116</v>
      </c>
      <c r="D176" s="1186" t="s">
        <v>20</v>
      </c>
      <c r="E176" s="1186" t="s">
        <v>889</v>
      </c>
      <c r="F176" s="1186" t="s">
        <v>1981</v>
      </c>
      <c r="G176" s="1186" t="s">
        <v>1988</v>
      </c>
      <c r="H176" s="1186">
        <v>80</v>
      </c>
    </row>
    <row r="177" spans="1:8" x14ac:dyDescent="0.2">
      <c r="A177" s="1186" t="s">
        <v>20</v>
      </c>
      <c r="B177" s="1186" t="s">
        <v>824</v>
      </c>
      <c r="C177" s="1186" t="s">
        <v>61</v>
      </c>
      <c r="D177" s="1186" t="s">
        <v>20</v>
      </c>
      <c r="E177" s="1186" t="s">
        <v>879</v>
      </c>
      <c r="F177" s="1186" t="s">
        <v>1981</v>
      </c>
      <c r="G177" s="1186" t="s">
        <v>1982</v>
      </c>
      <c r="H177" s="1186">
        <v>155</v>
      </c>
    </row>
    <row r="178" spans="1:8" x14ac:dyDescent="0.2">
      <c r="A178" s="1186" t="s">
        <v>20</v>
      </c>
      <c r="B178" s="1186" t="s">
        <v>824</v>
      </c>
      <c r="C178" s="1186" t="s">
        <v>61</v>
      </c>
      <c r="D178" s="1186" t="s">
        <v>20</v>
      </c>
      <c r="E178" s="1186" t="s">
        <v>880</v>
      </c>
      <c r="F178" s="1186" t="s">
        <v>1981</v>
      </c>
      <c r="G178" s="1186" t="s">
        <v>1982</v>
      </c>
      <c r="H178" s="1186">
        <v>169</v>
      </c>
    </row>
    <row r="179" spans="1:8" x14ac:dyDescent="0.2">
      <c r="A179" s="1186" t="s">
        <v>20</v>
      </c>
      <c r="B179" s="1186" t="s">
        <v>824</v>
      </c>
      <c r="C179" s="1186" t="s">
        <v>61</v>
      </c>
      <c r="D179" s="1186" t="s">
        <v>20</v>
      </c>
      <c r="E179" s="1186" t="s">
        <v>881</v>
      </c>
      <c r="F179" s="1186" t="s">
        <v>1983</v>
      </c>
      <c r="G179" s="1186" t="s">
        <v>1982</v>
      </c>
      <c r="H179" s="1186">
        <v>167</v>
      </c>
    </row>
    <row r="180" spans="1:8" x14ac:dyDescent="0.2">
      <c r="A180" s="1186" t="s">
        <v>20</v>
      </c>
      <c r="B180" s="1186" t="s">
        <v>824</v>
      </c>
      <c r="C180" s="1186" t="s">
        <v>61</v>
      </c>
      <c r="D180" s="1186" t="s">
        <v>20</v>
      </c>
      <c r="E180" s="1186" t="s">
        <v>882</v>
      </c>
      <c r="F180" s="1186" t="s">
        <v>1983</v>
      </c>
      <c r="G180" s="1186" t="s">
        <v>1984</v>
      </c>
      <c r="H180" s="1186">
        <v>150</v>
      </c>
    </row>
    <row r="181" spans="1:8" x14ac:dyDescent="0.2">
      <c r="A181" s="1186" t="s">
        <v>20</v>
      </c>
      <c r="B181" s="1186" t="s">
        <v>824</v>
      </c>
      <c r="C181" s="1186" t="s">
        <v>61</v>
      </c>
      <c r="D181" s="1186" t="s">
        <v>20</v>
      </c>
      <c r="E181" s="1186" t="s">
        <v>883</v>
      </c>
      <c r="F181" s="1186" t="s">
        <v>1983</v>
      </c>
      <c r="G181" s="1186" t="s">
        <v>1984</v>
      </c>
      <c r="H181" s="1186">
        <v>165</v>
      </c>
    </row>
    <row r="182" spans="1:8" x14ac:dyDescent="0.2">
      <c r="A182" s="1186" t="s">
        <v>20</v>
      </c>
      <c r="B182" s="1186" t="s">
        <v>824</v>
      </c>
      <c r="C182" s="1186" t="s">
        <v>61</v>
      </c>
      <c r="D182" s="1186" t="s">
        <v>20</v>
      </c>
      <c r="E182" s="1186" t="s">
        <v>884</v>
      </c>
      <c r="F182" s="1186" t="s">
        <v>1985</v>
      </c>
      <c r="G182" s="1186" t="s">
        <v>1984</v>
      </c>
      <c r="H182" s="1186">
        <v>169</v>
      </c>
    </row>
    <row r="183" spans="1:8" x14ac:dyDescent="0.2">
      <c r="A183" s="1186" t="s">
        <v>20</v>
      </c>
      <c r="B183" s="1186" t="s">
        <v>824</v>
      </c>
      <c r="C183" s="1186" t="s">
        <v>61</v>
      </c>
      <c r="D183" s="1186" t="s">
        <v>20</v>
      </c>
      <c r="E183" s="1186" t="s">
        <v>885</v>
      </c>
      <c r="F183" s="1186" t="s">
        <v>1985</v>
      </c>
      <c r="G183" s="1186" t="s">
        <v>1986</v>
      </c>
      <c r="H183" s="1186">
        <v>161</v>
      </c>
    </row>
    <row r="184" spans="1:8" x14ac:dyDescent="0.2">
      <c r="A184" s="1186" t="s">
        <v>20</v>
      </c>
      <c r="B184" s="1186" t="s">
        <v>824</v>
      </c>
      <c r="C184" s="1186" t="s">
        <v>61</v>
      </c>
      <c r="D184" s="1186" t="s">
        <v>20</v>
      </c>
      <c r="E184" s="1186" t="s">
        <v>20</v>
      </c>
      <c r="F184" s="1186" t="s">
        <v>1985</v>
      </c>
      <c r="G184" s="1186" t="s">
        <v>1986</v>
      </c>
      <c r="H184" s="1186">
        <v>161</v>
      </c>
    </row>
    <row r="185" spans="1:8" x14ac:dyDescent="0.2">
      <c r="A185" s="1186" t="s">
        <v>20</v>
      </c>
      <c r="B185" s="1186" t="s">
        <v>824</v>
      </c>
      <c r="C185" s="1186" t="s">
        <v>61</v>
      </c>
      <c r="D185" s="1186" t="s">
        <v>20</v>
      </c>
      <c r="E185" s="1186" t="s">
        <v>886</v>
      </c>
      <c r="F185" s="1186" t="s">
        <v>1987</v>
      </c>
      <c r="G185" s="1186" t="s">
        <v>1986</v>
      </c>
      <c r="H185" s="1186">
        <v>198</v>
      </c>
    </row>
    <row r="186" spans="1:8" x14ac:dyDescent="0.2">
      <c r="A186" s="1186" t="s">
        <v>20</v>
      </c>
      <c r="B186" s="1186" t="s">
        <v>824</v>
      </c>
      <c r="C186" s="1186" t="s">
        <v>61</v>
      </c>
      <c r="D186" s="1186" t="s">
        <v>20</v>
      </c>
      <c r="E186" s="1186" t="s">
        <v>887</v>
      </c>
      <c r="F186" s="1186" t="s">
        <v>1987</v>
      </c>
      <c r="G186" s="1186" t="s">
        <v>1988</v>
      </c>
      <c r="H186" s="1186">
        <v>153</v>
      </c>
    </row>
    <row r="187" spans="1:8" x14ac:dyDescent="0.2">
      <c r="A187" s="1186" t="s">
        <v>20</v>
      </c>
      <c r="B187" s="1186" t="s">
        <v>824</v>
      </c>
      <c r="C187" s="1186" t="s">
        <v>61</v>
      </c>
      <c r="D187" s="1186" t="s">
        <v>20</v>
      </c>
      <c r="E187" s="1186" t="s">
        <v>888</v>
      </c>
      <c r="F187" s="1186" t="s">
        <v>1987</v>
      </c>
      <c r="G187" s="1186" t="s">
        <v>1988</v>
      </c>
      <c r="H187" s="1186">
        <v>142</v>
      </c>
    </row>
    <row r="188" spans="1:8" x14ac:dyDescent="0.2">
      <c r="A188" s="1186" t="s">
        <v>20</v>
      </c>
      <c r="B188" s="1186" t="s">
        <v>824</v>
      </c>
      <c r="C188" s="1186" t="s">
        <v>61</v>
      </c>
      <c r="D188" s="1186" t="s">
        <v>20</v>
      </c>
      <c r="E188" s="1186" t="s">
        <v>889</v>
      </c>
      <c r="F188" s="1186" t="s">
        <v>1981</v>
      </c>
      <c r="G188" s="1186" t="s">
        <v>1988</v>
      </c>
      <c r="H188" s="1186">
        <v>190</v>
      </c>
    </row>
    <row r="189" spans="1:8" x14ac:dyDescent="0.2">
      <c r="A189" s="1186" t="s">
        <v>20</v>
      </c>
      <c r="B189" s="1186" t="s">
        <v>824</v>
      </c>
      <c r="C189" s="1186" t="s">
        <v>116</v>
      </c>
      <c r="D189" s="1186" t="s">
        <v>20</v>
      </c>
      <c r="E189" s="1186" t="s">
        <v>879</v>
      </c>
      <c r="F189" s="1186" t="s">
        <v>1981</v>
      </c>
      <c r="G189" s="1186" t="s">
        <v>1982</v>
      </c>
      <c r="H189" s="1186">
        <v>72</v>
      </c>
    </row>
    <row r="190" spans="1:8" x14ac:dyDescent="0.2">
      <c r="A190" s="1186" t="s">
        <v>20</v>
      </c>
      <c r="B190" s="1186" t="s">
        <v>824</v>
      </c>
      <c r="C190" s="1186" t="s">
        <v>116</v>
      </c>
      <c r="D190" s="1186" t="s">
        <v>20</v>
      </c>
      <c r="E190" s="1186" t="s">
        <v>880</v>
      </c>
      <c r="F190" s="1186" t="s">
        <v>1981</v>
      </c>
      <c r="G190" s="1186" t="s">
        <v>1982</v>
      </c>
      <c r="H190" s="1186">
        <v>97</v>
      </c>
    </row>
    <row r="191" spans="1:8" x14ac:dyDescent="0.2">
      <c r="A191" s="1186" t="s">
        <v>20</v>
      </c>
      <c r="B191" s="1186" t="s">
        <v>824</v>
      </c>
      <c r="C191" s="1186" t="s">
        <v>116</v>
      </c>
      <c r="D191" s="1186" t="s">
        <v>20</v>
      </c>
      <c r="E191" s="1186" t="s">
        <v>881</v>
      </c>
      <c r="F191" s="1186" t="s">
        <v>1983</v>
      </c>
      <c r="G191" s="1186" t="s">
        <v>1982</v>
      </c>
      <c r="H191" s="1186">
        <v>85</v>
      </c>
    </row>
    <row r="192" spans="1:8" x14ac:dyDescent="0.2">
      <c r="A192" s="1186" t="s">
        <v>20</v>
      </c>
      <c r="B192" s="1186" t="s">
        <v>824</v>
      </c>
      <c r="C192" s="1186" t="s">
        <v>116</v>
      </c>
      <c r="D192" s="1186" t="s">
        <v>20</v>
      </c>
      <c r="E192" s="1186" t="s">
        <v>882</v>
      </c>
      <c r="F192" s="1186" t="s">
        <v>1983</v>
      </c>
      <c r="G192" s="1186" t="s">
        <v>1984</v>
      </c>
      <c r="H192" s="1186">
        <v>59</v>
      </c>
    </row>
    <row r="193" spans="1:8" x14ac:dyDescent="0.2">
      <c r="A193" s="1186" t="s">
        <v>20</v>
      </c>
      <c r="B193" s="1186" t="s">
        <v>824</v>
      </c>
      <c r="C193" s="1186" t="s">
        <v>116</v>
      </c>
      <c r="D193" s="1186" t="s">
        <v>20</v>
      </c>
      <c r="E193" s="1186" t="s">
        <v>883</v>
      </c>
      <c r="F193" s="1186" t="s">
        <v>1983</v>
      </c>
      <c r="G193" s="1186" t="s">
        <v>1984</v>
      </c>
      <c r="H193" s="1186">
        <v>87</v>
      </c>
    </row>
    <row r="194" spans="1:8" x14ac:dyDescent="0.2">
      <c r="A194" s="1186" t="s">
        <v>20</v>
      </c>
      <c r="B194" s="1186" t="s">
        <v>824</v>
      </c>
      <c r="C194" s="1186" t="s">
        <v>116</v>
      </c>
      <c r="D194" s="1186" t="s">
        <v>20</v>
      </c>
      <c r="E194" s="1186" t="s">
        <v>884</v>
      </c>
      <c r="F194" s="1186" t="s">
        <v>1985</v>
      </c>
      <c r="G194" s="1186" t="s">
        <v>1984</v>
      </c>
      <c r="H194" s="1186">
        <v>72</v>
      </c>
    </row>
    <row r="195" spans="1:8" x14ac:dyDescent="0.2">
      <c r="A195" s="1186" t="s">
        <v>20</v>
      </c>
      <c r="B195" s="1186" t="s">
        <v>824</v>
      </c>
      <c r="C195" s="1186" t="s">
        <v>116</v>
      </c>
      <c r="D195" s="1186" t="s">
        <v>20</v>
      </c>
      <c r="E195" s="1186" t="s">
        <v>885</v>
      </c>
      <c r="F195" s="1186" t="s">
        <v>1985</v>
      </c>
      <c r="G195" s="1186" t="s">
        <v>1986</v>
      </c>
      <c r="H195" s="1186">
        <v>66</v>
      </c>
    </row>
    <row r="196" spans="1:8" x14ac:dyDescent="0.2">
      <c r="A196" s="1186" t="s">
        <v>20</v>
      </c>
      <c r="B196" s="1186" t="s">
        <v>824</v>
      </c>
      <c r="C196" s="1186" t="s">
        <v>116</v>
      </c>
      <c r="D196" s="1186" t="s">
        <v>20</v>
      </c>
      <c r="E196" s="1186" t="s">
        <v>20</v>
      </c>
      <c r="F196" s="1186" t="s">
        <v>1985</v>
      </c>
      <c r="G196" s="1186" t="s">
        <v>1986</v>
      </c>
      <c r="H196" s="1186">
        <v>66</v>
      </c>
    </row>
    <row r="197" spans="1:8" x14ac:dyDescent="0.2">
      <c r="A197" s="1186" t="s">
        <v>20</v>
      </c>
      <c r="B197" s="1186" t="s">
        <v>824</v>
      </c>
      <c r="C197" s="1186" t="s">
        <v>116</v>
      </c>
      <c r="D197" s="1186" t="s">
        <v>20</v>
      </c>
      <c r="E197" s="1186" t="s">
        <v>886</v>
      </c>
      <c r="F197" s="1186" t="s">
        <v>1987</v>
      </c>
      <c r="G197" s="1186" t="s">
        <v>1986</v>
      </c>
      <c r="H197" s="1186">
        <v>45</v>
      </c>
    </row>
    <row r="198" spans="1:8" x14ac:dyDescent="0.2">
      <c r="A198" s="1186" t="s">
        <v>20</v>
      </c>
      <c r="B198" s="1186" t="s">
        <v>824</v>
      </c>
      <c r="C198" s="1186" t="s">
        <v>116</v>
      </c>
      <c r="D198" s="1186" t="s">
        <v>20</v>
      </c>
      <c r="E198" s="1186" t="s">
        <v>887</v>
      </c>
      <c r="F198" s="1186" t="s">
        <v>1987</v>
      </c>
      <c r="G198" s="1186" t="s">
        <v>1988</v>
      </c>
      <c r="H198" s="1186">
        <v>68</v>
      </c>
    </row>
    <row r="199" spans="1:8" x14ac:dyDescent="0.2">
      <c r="A199" s="1186" t="s">
        <v>20</v>
      </c>
      <c r="B199" s="1186" t="s">
        <v>824</v>
      </c>
      <c r="C199" s="1186" t="s">
        <v>116</v>
      </c>
      <c r="D199" s="1186" t="s">
        <v>20</v>
      </c>
      <c r="E199" s="1186" t="s">
        <v>888</v>
      </c>
      <c r="F199" s="1186" t="s">
        <v>1987</v>
      </c>
      <c r="G199" s="1186" t="s">
        <v>1988</v>
      </c>
      <c r="H199" s="1186">
        <v>44</v>
      </c>
    </row>
    <row r="200" spans="1:8" x14ac:dyDescent="0.2">
      <c r="A200" s="1186" t="s">
        <v>20</v>
      </c>
      <c r="B200" s="1186" t="s">
        <v>824</v>
      </c>
      <c r="C200" s="1186" t="s">
        <v>116</v>
      </c>
      <c r="D200" s="1186" t="s">
        <v>20</v>
      </c>
      <c r="E200" s="1186" t="s">
        <v>889</v>
      </c>
      <c r="F200" s="1186" t="s">
        <v>1981</v>
      </c>
      <c r="G200" s="1186" t="s">
        <v>1988</v>
      </c>
      <c r="H200" s="1186">
        <v>54</v>
      </c>
    </row>
    <row r="201" spans="1:8" x14ac:dyDescent="0.2">
      <c r="A201" s="1186" t="s">
        <v>20</v>
      </c>
      <c r="B201" s="1186" t="s">
        <v>825</v>
      </c>
      <c r="C201" s="1186" t="s">
        <v>61</v>
      </c>
      <c r="D201" s="1186" t="s">
        <v>20</v>
      </c>
      <c r="E201" s="1186" t="s">
        <v>879</v>
      </c>
      <c r="F201" s="1186" t="s">
        <v>1981</v>
      </c>
      <c r="G201" s="1186" t="s">
        <v>1982</v>
      </c>
      <c r="H201" s="1186">
        <v>151</v>
      </c>
    </row>
    <row r="202" spans="1:8" x14ac:dyDescent="0.2">
      <c r="A202" s="1186" t="s">
        <v>20</v>
      </c>
      <c r="B202" s="1186" t="s">
        <v>825</v>
      </c>
      <c r="C202" s="1186" t="s">
        <v>61</v>
      </c>
      <c r="D202" s="1186" t="s">
        <v>20</v>
      </c>
      <c r="E202" s="1186" t="s">
        <v>880</v>
      </c>
      <c r="F202" s="1186" t="s">
        <v>1981</v>
      </c>
      <c r="G202" s="1186" t="s">
        <v>1982</v>
      </c>
      <c r="H202" s="1186">
        <v>123</v>
      </c>
    </row>
    <row r="203" spans="1:8" x14ac:dyDescent="0.2">
      <c r="A203" s="1186" t="s">
        <v>20</v>
      </c>
      <c r="B203" s="1186" t="s">
        <v>825</v>
      </c>
      <c r="C203" s="1186" t="s">
        <v>61</v>
      </c>
      <c r="D203" s="1186" t="s">
        <v>20</v>
      </c>
      <c r="E203" s="1186" t="s">
        <v>881</v>
      </c>
      <c r="F203" s="1186" t="s">
        <v>1983</v>
      </c>
      <c r="G203" s="1186" t="s">
        <v>1982</v>
      </c>
      <c r="H203" s="1186">
        <v>141</v>
      </c>
    </row>
    <row r="204" spans="1:8" x14ac:dyDescent="0.2">
      <c r="A204" s="1186" t="s">
        <v>20</v>
      </c>
      <c r="B204" s="1186" t="s">
        <v>825</v>
      </c>
      <c r="C204" s="1186" t="s">
        <v>61</v>
      </c>
      <c r="D204" s="1186" t="s">
        <v>20</v>
      </c>
      <c r="E204" s="1186" t="s">
        <v>882</v>
      </c>
      <c r="F204" s="1186" t="s">
        <v>1983</v>
      </c>
      <c r="G204" s="1186" t="s">
        <v>1984</v>
      </c>
      <c r="H204" s="1186">
        <v>96</v>
      </c>
    </row>
    <row r="205" spans="1:8" x14ac:dyDescent="0.2">
      <c r="A205" s="1186" t="s">
        <v>20</v>
      </c>
      <c r="B205" s="1186" t="s">
        <v>825</v>
      </c>
      <c r="C205" s="1186" t="s">
        <v>61</v>
      </c>
      <c r="D205" s="1186" t="s">
        <v>20</v>
      </c>
      <c r="E205" s="1186" t="s">
        <v>883</v>
      </c>
      <c r="F205" s="1186" t="s">
        <v>1983</v>
      </c>
      <c r="G205" s="1186" t="s">
        <v>1984</v>
      </c>
      <c r="H205" s="1186">
        <v>99</v>
      </c>
    </row>
    <row r="206" spans="1:8" x14ac:dyDescent="0.2">
      <c r="A206" s="1186" t="s">
        <v>20</v>
      </c>
      <c r="B206" s="1186" t="s">
        <v>825</v>
      </c>
      <c r="C206" s="1186" t="s">
        <v>61</v>
      </c>
      <c r="D206" s="1186" t="s">
        <v>20</v>
      </c>
      <c r="E206" s="1186" t="s">
        <v>884</v>
      </c>
      <c r="F206" s="1186" t="s">
        <v>1985</v>
      </c>
      <c r="G206" s="1186" t="s">
        <v>1984</v>
      </c>
      <c r="H206" s="1186">
        <v>111</v>
      </c>
    </row>
    <row r="207" spans="1:8" x14ac:dyDescent="0.2">
      <c r="A207" s="1186" t="s">
        <v>20</v>
      </c>
      <c r="B207" s="1186" t="s">
        <v>825</v>
      </c>
      <c r="C207" s="1186" t="s">
        <v>61</v>
      </c>
      <c r="D207" s="1186" t="s">
        <v>20</v>
      </c>
      <c r="E207" s="1186" t="s">
        <v>885</v>
      </c>
      <c r="F207" s="1186" t="s">
        <v>1985</v>
      </c>
      <c r="G207" s="1186" t="s">
        <v>1986</v>
      </c>
      <c r="H207" s="1186">
        <v>119</v>
      </c>
    </row>
    <row r="208" spans="1:8" x14ac:dyDescent="0.2">
      <c r="A208" s="1186" t="s">
        <v>20</v>
      </c>
      <c r="B208" s="1186" t="s">
        <v>825</v>
      </c>
      <c r="C208" s="1186" t="s">
        <v>61</v>
      </c>
      <c r="D208" s="1186" t="s">
        <v>20</v>
      </c>
      <c r="E208" s="1186" t="s">
        <v>20</v>
      </c>
      <c r="F208" s="1186" t="s">
        <v>1985</v>
      </c>
      <c r="G208" s="1186" t="s">
        <v>1986</v>
      </c>
      <c r="H208" s="1186">
        <v>116</v>
      </c>
    </row>
    <row r="209" spans="1:8" x14ac:dyDescent="0.2">
      <c r="A209" s="1186" t="s">
        <v>20</v>
      </c>
      <c r="B209" s="1186" t="s">
        <v>825</v>
      </c>
      <c r="C209" s="1186" t="s">
        <v>61</v>
      </c>
      <c r="D209" s="1186" t="s">
        <v>20</v>
      </c>
      <c r="E209" s="1186" t="s">
        <v>886</v>
      </c>
      <c r="F209" s="1186" t="s">
        <v>1987</v>
      </c>
      <c r="G209" s="1186" t="s">
        <v>1986</v>
      </c>
      <c r="H209" s="1186">
        <v>134</v>
      </c>
    </row>
    <row r="210" spans="1:8" x14ac:dyDescent="0.2">
      <c r="A210" s="1186" t="s">
        <v>20</v>
      </c>
      <c r="B210" s="1186" t="s">
        <v>825</v>
      </c>
      <c r="C210" s="1186" t="s">
        <v>61</v>
      </c>
      <c r="D210" s="1186" t="s">
        <v>20</v>
      </c>
      <c r="E210" s="1186" t="s">
        <v>887</v>
      </c>
      <c r="F210" s="1186" t="s">
        <v>1987</v>
      </c>
      <c r="G210" s="1186" t="s">
        <v>1988</v>
      </c>
      <c r="H210" s="1186">
        <v>143</v>
      </c>
    </row>
    <row r="211" spans="1:8" x14ac:dyDescent="0.2">
      <c r="A211" s="1186" t="s">
        <v>20</v>
      </c>
      <c r="B211" s="1186" t="s">
        <v>825</v>
      </c>
      <c r="C211" s="1186" t="s">
        <v>61</v>
      </c>
      <c r="D211" s="1186" t="s">
        <v>20</v>
      </c>
      <c r="E211" s="1186" t="s">
        <v>888</v>
      </c>
      <c r="F211" s="1186" t="s">
        <v>1987</v>
      </c>
      <c r="G211" s="1186" t="s">
        <v>1988</v>
      </c>
      <c r="H211" s="1186">
        <v>96</v>
      </c>
    </row>
    <row r="212" spans="1:8" x14ac:dyDescent="0.2">
      <c r="A212" s="1186" t="s">
        <v>20</v>
      </c>
      <c r="B212" s="1186" t="s">
        <v>825</v>
      </c>
      <c r="C212" s="1186" t="s">
        <v>61</v>
      </c>
      <c r="D212" s="1186" t="s">
        <v>20</v>
      </c>
      <c r="E212" s="1186" t="s">
        <v>889</v>
      </c>
      <c r="F212" s="1186" t="s">
        <v>1981</v>
      </c>
      <c r="G212" s="1186" t="s">
        <v>1988</v>
      </c>
      <c r="H212" s="1186">
        <v>104</v>
      </c>
    </row>
    <row r="213" spans="1:8" x14ac:dyDescent="0.2">
      <c r="A213" s="1186" t="s">
        <v>20</v>
      </c>
      <c r="B213" s="1186" t="s">
        <v>825</v>
      </c>
      <c r="C213" s="1186" t="s">
        <v>116</v>
      </c>
      <c r="D213" s="1186" t="s">
        <v>20</v>
      </c>
      <c r="E213" s="1186" t="s">
        <v>879</v>
      </c>
      <c r="F213" s="1186" t="s">
        <v>1981</v>
      </c>
      <c r="G213" s="1186" t="s">
        <v>1982</v>
      </c>
      <c r="H213" s="1186">
        <v>110</v>
      </c>
    </row>
    <row r="214" spans="1:8" x14ac:dyDescent="0.2">
      <c r="A214" s="1186" t="s">
        <v>20</v>
      </c>
      <c r="B214" s="1186" t="s">
        <v>825</v>
      </c>
      <c r="C214" s="1186" t="s">
        <v>116</v>
      </c>
      <c r="D214" s="1186" t="s">
        <v>20</v>
      </c>
      <c r="E214" s="1186" t="s">
        <v>880</v>
      </c>
      <c r="F214" s="1186" t="s">
        <v>1981</v>
      </c>
      <c r="G214" s="1186" t="s">
        <v>1982</v>
      </c>
      <c r="H214" s="1186">
        <v>101</v>
      </c>
    </row>
    <row r="215" spans="1:8" x14ac:dyDescent="0.2">
      <c r="A215" s="1186" t="s">
        <v>20</v>
      </c>
      <c r="B215" s="1186" t="s">
        <v>825</v>
      </c>
      <c r="C215" s="1186" t="s">
        <v>116</v>
      </c>
      <c r="D215" s="1186" t="s">
        <v>20</v>
      </c>
      <c r="E215" s="1186" t="s">
        <v>881</v>
      </c>
      <c r="F215" s="1186" t="s">
        <v>1983</v>
      </c>
      <c r="G215" s="1186" t="s">
        <v>1982</v>
      </c>
      <c r="H215" s="1186">
        <v>120</v>
      </c>
    </row>
    <row r="216" spans="1:8" x14ac:dyDescent="0.2">
      <c r="A216" s="1186" t="s">
        <v>20</v>
      </c>
      <c r="B216" s="1186" t="s">
        <v>825</v>
      </c>
      <c r="C216" s="1186" t="s">
        <v>116</v>
      </c>
      <c r="D216" s="1186" t="s">
        <v>20</v>
      </c>
      <c r="E216" s="1186" t="s">
        <v>882</v>
      </c>
      <c r="F216" s="1186" t="s">
        <v>1983</v>
      </c>
      <c r="G216" s="1186" t="s">
        <v>1984</v>
      </c>
      <c r="H216" s="1186">
        <v>107</v>
      </c>
    </row>
    <row r="217" spans="1:8" x14ac:dyDescent="0.2">
      <c r="A217" s="1186" t="s">
        <v>20</v>
      </c>
      <c r="B217" s="1186" t="s">
        <v>825</v>
      </c>
      <c r="C217" s="1186" t="s">
        <v>116</v>
      </c>
      <c r="D217" s="1186" t="s">
        <v>20</v>
      </c>
      <c r="E217" s="1186" t="s">
        <v>883</v>
      </c>
      <c r="F217" s="1186" t="s">
        <v>1983</v>
      </c>
      <c r="G217" s="1186" t="s">
        <v>1984</v>
      </c>
      <c r="H217" s="1186">
        <v>138</v>
      </c>
    </row>
    <row r="218" spans="1:8" x14ac:dyDescent="0.2">
      <c r="A218" s="1186" t="s">
        <v>20</v>
      </c>
      <c r="B218" s="1186" t="s">
        <v>825</v>
      </c>
      <c r="C218" s="1186" t="s">
        <v>116</v>
      </c>
      <c r="D218" s="1186" t="s">
        <v>20</v>
      </c>
      <c r="E218" s="1186" t="s">
        <v>884</v>
      </c>
      <c r="F218" s="1186" t="s">
        <v>1985</v>
      </c>
      <c r="G218" s="1186" t="s">
        <v>1984</v>
      </c>
      <c r="H218" s="1186">
        <v>129</v>
      </c>
    </row>
    <row r="219" spans="1:8" x14ac:dyDescent="0.2">
      <c r="A219" s="1186" t="s">
        <v>20</v>
      </c>
      <c r="B219" s="1186" t="s">
        <v>825</v>
      </c>
      <c r="C219" s="1186" t="s">
        <v>116</v>
      </c>
      <c r="D219" s="1186" t="s">
        <v>20</v>
      </c>
      <c r="E219" s="1186" t="s">
        <v>885</v>
      </c>
      <c r="F219" s="1186" t="s">
        <v>1985</v>
      </c>
      <c r="G219" s="1186" t="s">
        <v>1986</v>
      </c>
      <c r="H219" s="1186">
        <v>111</v>
      </c>
    </row>
    <row r="220" spans="1:8" x14ac:dyDescent="0.2">
      <c r="A220" s="1186" t="s">
        <v>20</v>
      </c>
      <c r="B220" s="1186" t="s">
        <v>825</v>
      </c>
      <c r="C220" s="1186" t="s">
        <v>116</v>
      </c>
      <c r="D220" s="1186" t="s">
        <v>20</v>
      </c>
      <c r="E220" s="1186" t="s">
        <v>20</v>
      </c>
      <c r="F220" s="1186" t="s">
        <v>1985</v>
      </c>
      <c r="G220" s="1186" t="s">
        <v>1986</v>
      </c>
      <c r="H220" s="1186">
        <v>97</v>
      </c>
    </row>
    <row r="221" spans="1:8" x14ac:dyDescent="0.2">
      <c r="A221" s="1186" t="s">
        <v>20</v>
      </c>
      <c r="B221" s="1186" t="s">
        <v>825</v>
      </c>
      <c r="C221" s="1186" t="s">
        <v>116</v>
      </c>
      <c r="D221" s="1186" t="s">
        <v>20</v>
      </c>
      <c r="E221" s="1186" t="s">
        <v>886</v>
      </c>
      <c r="F221" s="1186" t="s">
        <v>1987</v>
      </c>
      <c r="G221" s="1186" t="s">
        <v>1986</v>
      </c>
      <c r="H221" s="1186">
        <v>74</v>
      </c>
    </row>
    <row r="222" spans="1:8" x14ac:dyDescent="0.2">
      <c r="A222" s="1186" t="s">
        <v>20</v>
      </c>
      <c r="B222" s="1186" t="s">
        <v>825</v>
      </c>
      <c r="C222" s="1186" t="s">
        <v>116</v>
      </c>
      <c r="D222" s="1186" t="s">
        <v>20</v>
      </c>
      <c r="E222" s="1186" t="s">
        <v>887</v>
      </c>
      <c r="F222" s="1186" t="s">
        <v>1987</v>
      </c>
      <c r="G222" s="1186" t="s">
        <v>1988</v>
      </c>
      <c r="H222" s="1186">
        <v>117</v>
      </c>
    </row>
    <row r="223" spans="1:8" x14ac:dyDescent="0.2">
      <c r="A223" s="1186" t="s">
        <v>20</v>
      </c>
      <c r="B223" s="1186" t="s">
        <v>825</v>
      </c>
      <c r="C223" s="1186" t="s">
        <v>116</v>
      </c>
      <c r="D223" s="1186" t="s">
        <v>20</v>
      </c>
      <c r="E223" s="1186" t="s">
        <v>888</v>
      </c>
      <c r="F223" s="1186" t="s">
        <v>1987</v>
      </c>
      <c r="G223" s="1186" t="s">
        <v>1988</v>
      </c>
      <c r="H223" s="1186">
        <v>67</v>
      </c>
    </row>
    <row r="224" spans="1:8" x14ac:dyDescent="0.2">
      <c r="A224" s="1186" t="s">
        <v>20</v>
      </c>
      <c r="B224" s="1186" t="s">
        <v>825</v>
      </c>
      <c r="C224" s="1186" t="s">
        <v>116</v>
      </c>
      <c r="D224" s="1186" t="s">
        <v>20</v>
      </c>
      <c r="E224" s="1186" t="s">
        <v>889</v>
      </c>
      <c r="F224" s="1186" t="s">
        <v>1981</v>
      </c>
      <c r="G224" s="1186" t="s">
        <v>1988</v>
      </c>
      <c r="H224" s="1186">
        <v>80</v>
      </c>
    </row>
    <row r="225" spans="1:8" x14ac:dyDescent="0.2">
      <c r="A225" s="1186" t="s">
        <v>20</v>
      </c>
      <c r="B225" s="1186" t="s">
        <v>826</v>
      </c>
      <c r="C225" s="1186" t="s">
        <v>61</v>
      </c>
      <c r="D225" s="1186" t="s">
        <v>20</v>
      </c>
      <c r="E225" s="1186" t="s">
        <v>879</v>
      </c>
      <c r="F225" s="1186" t="s">
        <v>1981</v>
      </c>
      <c r="G225" s="1186" t="s">
        <v>1982</v>
      </c>
      <c r="H225" s="1186">
        <v>64</v>
      </c>
    </row>
    <row r="226" spans="1:8" x14ac:dyDescent="0.2">
      <c r="A226" s="1186" t="s">
        <v>20</v>
      </c>
      <c r="B226" s="1186" t="s">
        <v>826</v>
      </c>
      <c r="C226" s="1186" t="s">
        <v>61</v>
      </c>
      <c r="D226" s="1186" t="s">
        <v>20</v>
      </c>
      <c r="E226" s="1186" t="s">
        <v>880</v>
      </c>
      <c r="F226" s="1186" t="s">
        <v>1981</v>
      </c>
      <c r="G226" s="1186" t="s">
        <v>1982</v>
      </c>
      <c r="H226" s="1186">
        <v>61</v>
      </c>
    </row>
    <row r="227" spans="1:8" x14ac:dyDescent="0.2">
      <c r="A227" s="1186" t="s">
        <v>20</v>
      </c>
      <c r="B227" s="1186" t="s">
        <v>826</v>
      </c>
      <c r="C227" s="1186" t="s">
        <v>61</v>
      </c>
      <c r="D227" s="1186" t="s">
        <v>20</v>
      </c>
      <c r="E227" s="1186" t="s">
        <v>881</v>
      </c>
      <c r="F227" s="1186" t="s">
        <v>1983</v>
      </c>
      <c r="G227" s="1186" t="s">
        <v>1982</v>
      </c>
      <c r="H227" s="1186">
        <v>63</v>
      </c>
    </row>
    <row r="228" spans="1:8" x14ac:dyDescent="0.2">
      <c r="A228" s="1186" t="s">
        <v>20</v>
      </c>
      <c r="B228" s="1186" t="s">
        <v>826</v>
      </c>
      <c r="C228" s="1186" t="s">
        <v>61</v>
      </c>
      <c r="D228" s="1186" t="s">
        <v>20</v>
      </c>
      <c r="E228" s="1186" t="s">
        <v>882</v>
      </c>
      <c r="F228" s="1186" t="s">
        <v>1983</v>
      </c>
      <c r="G228" s="1186" t="s">
        <v>1984</v>
      </c>
      <c r="H228" s="1186">
        <v>37</v>
      </c>
    </row>
    <row r="229" spans="1:8" x14ac:dyDescent="0.2">
      <c r="A229" s="1186" t="s">
        <v>20</v>
      </c>
      <c r="B229" s="1186" t="s">
        <v>826</v>
      </c>
      <c r="C229" s="1186" t="s">
        <v>61</v>
      </c>
      <c r="D229" s="1186" t="s">
        <v>20</v>
      </c>
      <c r="E229" s="1186" t="s">
        <v>883</v>
      </c>
      <c r="F229" s="1186" t="s">
        <v>1983</v>
      </c>
      <c r="G229" s="1186" t="s">
        <v>1984</v>
      </c>
      <c r="H229" s="1186">
        <v>47</v>
      </c>
    </row>
    <row r="230" spans="1:8" x14ac:dyDescent="0.2">
      <c r="A230" s="1186" t="s">
        <v>20</v>
      </c>
      <c r="B230" s="1186" t="s">
        <v>826</v>
      </c>
      <c r="C230" s="1186" t="s">
        <v>61</v>
      </c>
      <c r="D230" s="1186" t="s">
        <v>20</v>
      </c>
      <c r="E230" s="1186" t="s">
        <v>884</v>
      </c>
      <c r="F230" s="1186" t="s">
        <v>1985</v>
      </c>
      <c r="G230" s="1186" t="s">
        <v>1984</v>
      </c>
      <c r="H230" s="1186">
        <v>43</v>
      </c>
    </row>
    <row r="231" spans="1:8" x14ac:dyDescent="0.2">
      <c r="A231" s="1186" t="s">
        <v>20</v>
      </c>
      <c r="B231" s="1186" t="s">
        <v>826</v>
      </c>
      <c r="C231" s="1186" t="s">
        <v>61</v>
      </c>
      <c r="D231" s="1186" t="s">
        <v>20</v>
      </c>
      <c r="E231" s="1186" t="s">
        <v>885</v>
      </c>
      <c r="F231" s="1186" t="s">
        <v>1985</v>
      </c>
      <c r="G231" s="1186" t="s">
        <v>1986</v>
      </c>
      <c r="H231" s="1186">
        <v>18</v>
      </c>
    </row>
    <row r="232" spans="1:8" x14ac:dyDescent="0.2">
      <c r="A232" s="1186" t="s">
        <v>20</v>
      </c>
      <c r="B232" s="1186" t="s">
        <v>826</v>
      </c>
      <c r="C232" s="1186" t="s">
        <v>61</v>
      </c>
      <c r="D232" s="1186" t="s">
        <v>20</v>
      </c>
      <c r="E232" s="1186" t="s">
        <v>20</v>
      </c>
      <c r="F232" s="1186" t="s">
        <v>1985</v>
      </c>
      <c r="G232" s="1186" t="s">
        <v>1986</v>
      </c>
      <c r="H232" s="1186">
        <v>11</v>
      </c>
    </row>
    <row r="233" spans="1:8" x14ac:dyDescent="0.2">
      <c r="A233" s="1186" t="s">
        <v>20</v>
      </c>
      <c r="B233" s="1186" t="s">
        <v>826</v>
      </c>
      <c r="C233" s="1186" t="s">
        <v>61</v>
      </c>
      <c r="D233" s="1186" t="s">
        <v>20</v>
      </c>
      <c r="E233" s="1186" t="s">
        <v>886</v>
      </c>
      <c r="F233" s="1186" t="s">
        <v>1987</v>
      </c>
      <c r="G233" s="1186" t="s">
        <v>1986</v>
      </c>
      <c r="H233" s="1186">
        <v>30</v>
      </c>
    </row>
    <row r="234" spans="1:8" x14ac:dyDescent="0.2">
      <c r="A234" s="1186" t="s">
        <v>20</v>
      </c>
      <c r="B234" s="1186" t="s">
        <v>826</v>
      </c>
      <c r="C234" s="1186" t="s">
        <v>61</v>
      </c>
      <c r="D234" s="1186" t="s">
        <v>20</v>
      </c>
      <c r="E234" s="1186" t="s">
        <v>887</v>
      </c>
      <c r="F234" s="1186" t="s">
        <v>1987</v>
      </c>
      <c r="G234" s="1186" t="s">
        <v>1988</v>
      </c>
      <c r="H234" s="1186">
        <v>17</v>
      </c>
    </row>
    <row r="235" spans="1:8" x14ac:dyDescent="0.2">
      <c r="A235" s="1186" t="s">
        <v>20</v>
      </c>
      <c r="B235" s="1186" t="s">
        <v>826</v>
      </c>
      <c r="C235" s="1186" t="s">
        <v>61</v>
      </c>
      <c r="D235" s="1186" t="s">
        <v>20</v>
      </c>
      <c r="E235" s="1186" t="s">
        <v>888</v>
      </c>
      <c r="F235" s="1186" t="s">
        <v>1987</v>
      </c>
      <c r="G235" s="1186" t="s">
        <v>1988</v>
      </c>
      <c r="H235" s="1186">
        <v>18</v>
      </c>
    </row>
    <row r="236" spans="1:8" x14ac:dyDescent="0.2">
      <c r="A236" s="1186" t="s">
        <v>20</v>
      </c>
      <c r="B236" s="1186" t="s">
        <v>826</v>
      </c>
      <c r="C236" s="1186" t="s">
        <v>61</v>
      </c>
      <c r="D236" s="1186" t="s">
        <v>20</v>
      </c>
      <c r="E236" s="1186" t="s">
        <v>889</v>
      </c>
      <c r="F236" s="1186" t="s">
        <v>1981</v>
      </c>
      <c r="G236" s="1186" t="s">
        <v>1988</v>
      </c>
      <c r="H236" s="1186">
        <v>29</v>
      </c>
    </row>
    <row r="237" spans="1:8" x14ac:dyDescent="0.2">
      <c r="A237" s="1186" t="s">
        <v>20</v>
      </c>
      <c r="B237" s="1186" t="s">
        <v>826</v>
      </c>
      <c r="C237" s="1186" t="s">
        <v>116</v>
      </c>
      <c r="D237" s="1186" t="s">
        <v>20</v>
      </c>
      <c r="E237" s="1186" t="s">
        <v>879</v>
      </c>
      <c r="F237" s="1186" t="s">
        <v>1981</v>
      </c>
      <c r="G237" s="1186" t="s">
        <v>1982</v>
      </c>
      <c r="H237" s="1186">
        <v>93</v>
      </c>
    </row>
    <row r="238" spans="1:8" x14ac:dyDescent="0.2">
      <c r="A238" s="1186" t="s">
        <v>20</v>
      </c>
      <c r="B238" s="1186" t="s">
        <v>826</v>
      </c>
      <c r="C238" s="1186" t="s">
        <v>116</v>
      </c>
      <c r="D238" s="1186" t="s">
        <v>20</v>
      </c>
      <c r="E238" s="1186" t="s">
        <v>880</v>
      </c>
      <c r="F238" s="1186" t="s">
        <v>1981</v>
      </c>
      <c r="G238" s="1186" t="s">
        <v>1982</v>
      </c>
      <c r="H238" s="1186">
        <v>132</v>
      </c>
    </row>
    <row r="239" spans="1:8" x14ac:dyDescent="0.2">
      <c r="A239" s="1186" t="s">
        <v>20</v>
      </c>
      <c r="B239" s="1186" t="s">
        <v>826</v>
      </c>
      <c r="C239" s="1186" t="s">
        <v>116</v>
      </c>
      <c r="D239" s="1186" t="s">
        <v>20</v>
      </c>
      <c r="E239" s="1186" t="s">
        <v>881</v>
      </c>
      <c r="F239" s="1186" t="s">
        <v>1983</v>
      </c>
      <c r="G239" s="1186" t="s">
        <v>1982</v>
      </c>
      <c r="H239" s="1186">
        <v>107</v>
      </c>
    </row>
    <row r="240" spans="1:8" x14ac:dyDescent="0.2">
      <c r="A240" s="1186" t="s">
        <v>20</v>
      </c>
      <c r="B240" s="1186" t="s">
        <v>826</v>
      </c>
      <c r="C240" s="1186" t="s">
        <v>116</v>
      </c>
      <c r="D240" s="1186" t="s">
        <v>20</v>
      </c>
      <c r="E240" s="1186" t="s">
        <v>882</v>
      </c>
      <c r="F240" s="1186" t="s">
        <v>1983</v>
      </c>
      <c r="G240" s="1186" t="s">
        <v>1984</v>
      </c>
      <c r="H240" s="1186">
        <v>74</v>
      </c>
    </row>
    <row r="241" spans="1:8" x14ac:dyDescent="0.2">
      <c r="A241" s="1186" t="s">
        <v>20</v>
      </c>
      <c r="B241" s="1186" t="s">
        <v>826</v>
      </c>
      <c r="C241" s="1186" t="s">
        <v>116</v>
      </c>
      <c r="D241" s="1186" t="s">
        <v>20</v>
      </c>
      <c r="E241" s="1186" t="s">
        <v>883</v>
      </c>
      <c r="F241" s="1186" t="s">
        <v>1983</v>
      </c>
      <c r="G241" s="1186" t="s">
        <v>1984</v>
      </c>
      <c r="H241" s="1186">
        <v>85</v>
      </c>
    </row>
    <row r="242" spans="1:8" x14ac:dyDescent="0.2">
      <c r="A242" s="1186" t="s">
        <v>20</v>
      </c>
      <c r="B242" s="1186" t="s">
        <v>826</v>
      </c>
      <c r="C242" s="1186" t="s">
        <v>116</v>
      </c>
      <c r="D242" s="1186" t="s">
        <v>20</v>
      </c>
      <c r="E242" s="1186" t="s">
        <v>884</v>
      </c>
      <c r="F242" s="1186" t="s">
        <v>1985</v>
      </c>
      <c r="G242" s="1186" t="s">
        <v>1984</v>
      </c>
      <c r="H242" s="1186">
        <v>113</v>
      </c>
    </row>
    <row r="243" spans="1:8" x14ac:dyDescent="0.2">
      <c r="A243" s="1186" t="s">
        <v>20</v>
      </c>
      <c r="B243" s="1186" t="s">
        <v>826</v>
      </c>
      <c r="C243" s="1186" t="s">
        <v>116</v>
      </c>
      <c r="D243" s="1186" t="s">
        <v>20</v>
      </c>
      <c r="E243" s="1186" t="s">
        <v>885</v>
      </c>
      <c r="F243" s="1186" t="s">
        <v>1985</v>
      </c>
      <c r="G243" s="1186" t="s">
        <v>1986</v>
      </c>
      <c r="H243" s="1186">
        <v>94</v>
      </c>
    </row>
    <row r="244" spans="1:8" x14ac:dyDescent="0.2">
      <c r="A244" s="1186" t="s">
        <v>20</v>
      </c>
      <c r="B244" s="1186" t="s">
        <v>826</v>
      </c>
      <c r="C244" s="1186" t="s">
        <v>116</v>
      </c>
      <c r="D244" s="1186" t="s">
        <v>20</v>
      </c>
      <c r="E244" s="1186" t="s">
        <v>20</v>
      </c>
      <c r="F244" s="1186" t="s">
        <v>1985</v>
      </c>
      <c r="G244" s="1186" t="s">
        <v>1986</v>
      </c>
      <c r="H244" s="1186">
        <v>84</v>
      </c>
    </row>
    <row r="245" spans="1:8" x14ac:dyDescent="0.2">
      <c r="A245" s="1186" t="s">
        <v>20</v>
      </c>
      <c r="B245" s="1186" t="s">
        <v>826</v>
      </c>
      <c r="C245" s="1186" t="s">
        <v>116</v>
      </c>
      <c r="D245" s="1186" t="s">
        <v>20</v>
      </c>
      <c r="E245" s="1186" t="s">
        <v>886</v>
      </c>
      <c r="F245" s="1186" t="s">
        <v>1987</v>
      </c>
      <c r="G245" s="1186" t="s">
        <v>1986</v>
      </c>
      <c r="H245" s="1186">
        <v>30</v>
      </c>
    </row>
    <row r="246" spans="1:8" x14ac:dyDescent="0.2">
      <c r="A246" s="1186" t="s">
        <v>20</v>
      </c>
      <c r="B246" s="1186" t="s">
        <v>826</v>
      </c>
      <c r="C246" s="1186" t="s">
        <v>116</v>
      </c>
      <c r="D246" s="1186" t="s">
        <v>20</v>
      </c>
      <c r="E246" s="1186" t="s">
        <v>887</v>
      </c>
      <c r="F246" s="1186" t="s">
        <v>1987</v>
      </c>
      <c r="G246" s="1186" t="s">
        <v>1988</v>
      </c>
      <c r="H246" s="1186">
        <v>36</v>
      </c>
    </row>
    <row r="247" spans="1:8" x14ac:dyDescent="0.2">
      <c r="A247" s="1186" t="s">
        <v>20</v>
      </c>
      <c r="B247" s="1186" t="s">
        <v>826</v>
      </c>
      <c r="C247" s="1186" t="s">
        <v>116</v>
      </c>
      <c r="D247" s="1186" t="s">
        <v>20</v>
      </c>
      <c r="E247" s="1186" t="s">
        <v>888</v>
      </c>
      <c r="F247" s="1186" t="s">
        <v>1987</v>
      </c>
      <c r="G247" s="1186" t="s">
        <v>1988</v>
      </c>
      <c r="H247" s="1186">
        <v>31</v>
      </c>
    </row>
    <row r="248" spans="1:8" x14ac:dyDescent="0.2">
      <c r="A248" s="1186" t="s">
        <v>20</v>
      </c>
      <c r="B248" s="1186" t="s">
        <v>826</v>
      </c>
      <c r="C248" s="1186" t="s">
        <v>116</v>
      </c>
      <c r="D248" s="1186" t="s">
        <v>20</v>
      </c>
      <c r="E248" s="1186" t="s">
        <v>889</v>
      </c>
      <c r="F248" s="1186" t="s">
        <v>1981</v>
      </c>
      <c r="G248" s="1186" t="s">
        <v>1988</v>
      </c>
      <c r="H248" s="1186">
        <v>55</v>
      </c>
    </row>
    <row r="249" spans="1:8" x14ac:dyDescent="0.2">
      <c r="A249" s="1186" t="s">
        <v>20</v>
      </c>
      <c r="B249" s="1186" t="s">
        <v>308</v>
      </c>
      <c r="C249" s="1186" t="s">
        <v>61</v>
      </c>
      <c r="D249" s="1186" t="s">
        <v>20</v>
      </c>
      <c r="E249" s="1186" t="s">
        <v>879</v>
      </c>
      <c r="F249" s="1186" t="s">
        <v>1981</v>
      </c>
      <c r="G249" s="1186" t="s">
        <v>1982</v>
      </c>
      <c r="H249" s="1186">
        <v>504</v>
      </c>
    </row>
    <row r="250" spans="1:8" x14ac:dyDescent="0.2">
      <c r="A250" s="1186" t="s">
        <v>20</v>
      </c>
      <c r="B250" s="1186" t="s">
        <v>308</v>
      </c>
      <c r="C250" s="1186" t="s">
        <v>61</v>
      </c>
      <c r="D250" s="1186" t="s">
        <v>20</v>
      </c>
      <c r="E250" s="1186" t="s">
        <v>880</v>
      </c>
      <c r="F250" s="1186" t="s">
        <v>1981</v>
      </c>
      <c r="G250" s="1186" t="s">
        <v>1982</v>
      </c>
      <c r="H250" s="1186">
        <v>415</v>
      </c>
    </row>
    <row r="251" spans="1:8" x14ac:dyDescent="0.2">
      <c r="A251" s="1186" t="s">
        <v>20</v>
      </c>
      <c r="B251" s="1186" t="s">
        <v>308</v>
      </c>
      <c r="C251" s="1186" t="s">
        <v>61</v>
      </c>
      <c r="D251" s="1186" t="s">
        <v>20</v>
      </c>
      <c r="E251" s="1186" t="s">
        <v>881</v>
      </c>
      <c r="F251" s="1186" t="s">
        <v>1983</v>
      </c>
      <c r="G251" s="1186" t="s">
        <v>1982</v>
      </c>
      <c r="H251" s="1186">
        <v>402</v>
      </c>
    </row>
    <row r="252" spans="1:8" x14ac:dyDescent="0.2">
      <c r="A252" s="1186" t="s">
        <v>20</v>
      </c>
      <c r="B252" s="1186" t="s">
        <v>308</v>
      </c>
      <c r="C252" s="1186" t="s">
        <v>61</v>
      </c>
      <c r="D252" s="1186" t="s">
        <v>20</v>
      </c>
      <c r="E252" s="1186" t="s">
        <v>882</v>
      </c>
      <c r="F252" s="1186" t="s">
        <v>1983</v>
      </c>
      <c r="G252" s="1186" t="s">
        <v>1984</v>
      </c>
      <c r="H252" s="1186">
        <v>206</v>
      </c>
    </row>
    <row r="253" spans="1:8" x14ac:dyDescent="0.2">
      <c r="A253" s="1186" t="s">
        <v>20</v>
      </c>
      <c r="B253" s="1186" t="s">
        <v>308</v>
      </c>
      <c r="C253" s="1186" t="s">
        <v>61</v>
      </c>
      <c r="D253" s="1186" t="s">
        <v>20</v>
      </c>
      <c r="E253" s="1186" t="s">
        <v>883</v>
      </c>
      <c r="F253" s="1186" t="s">
        <v>1983</v>
      </c>
      <c r="G253" s="1186" t="s">
        <v>1984</v>
      </c>
      <c r="H253" s="1186">
        <v>187</v>
      </c>
    </row>
    <row r="254" spans="1:8" x14ac:dyDescent="0.2">
      <c r="A254" s="1186" t="s">
        <v>20</v>
      </c>
      <c r="B254" s="1186" t="s">
        <v>308</v>
      </c>
      <c r="C254" s="1186" t="s">
        <v>61</v>
      </c>
      <c r="D254" s="1186" t="s">
        <v>20</v>
      </c>
      <c r="E254" s="1186" t="s">
        <v>884</v>
      </c>
      <c r="F254" s="1186" t="s">
        <v>1985</v>
      </c>
      <c r="G254" s="1186" t="s">
        <v>1984</v>
      </c>
      <c r="H254" s="1186">
        <v>168</v>
      </c>
    </row>
    <row r="255" spans="1:8" x14ac:dyDescent="0.2">
      <c r="A255" s="1186" t="s">
        <v>20</v>
      </c>
      <c r="B255" s="1186" t="s">
        <v>308</v>
      </c>
      <c r="C255" s="1186" t="s">
        <v>61</v>
      </c>
      <c r="D255" s="1186" t="s">
        <v>20</v>
      </c>
      <c r="E255" s="1186" t="s">
        <v>885</v>
      </c>
      <c r="F255" s="1186" t="s">
        <v>1985</v>
      </c>
      <c r="G255" s="1186" t="s">
        <v>1986</v>
      </c>
      <c r="H255" s="1186">
        <v>148</v>
      </c>
    </row>
    <row r="256" spans="1:8" x14ac:dyDescent="0.2">
      <c r="A256" s="1186" t="s">
        <v>20</v>
      </c>
      <c r="B256" s="1186" t="s">
        <v>308</v>
      </c>
      <c r="C256" s="1186" t="s">
        <v>61</v>
      </c>
      <c r="D256" s="1186" t="s">
        <v>20</v>
      </c>
      <c r="E256" s="1186" t="s">
        <v>20</v>
      </c>
      <c r="F256" s="1186" t="s">
        <v>1985</v>
      </c>
      <c r="G256" s="1186" t="s">
        <v>1986</v>
      </c>
      <c r="H256" s="1186">
        <v>119</v>
      </c>
    </row>
    <row r="257" spans="1:8" x14ac:dyDescent="0.2">
      <c r="A257" s="1186" t="s">
        <v>20</v>
      </c>
      <c r="B257" s="1186" t="s">
        <v>308</v>
      </c>
      <c r="C257" s="1186" t="s">
        <v>61</v>
      </c>
      <c r="D257" s="1186" t="s">
        <v>20</v>
      </c>
      <c r="E257" s="1186" t="s">
        <v>886</v>
      </c>
      <c r="F257" s="1186" t="s">
        <v>1987</v>
      </c>
      <c r="G257" s="1186" t="s">
        <v>1986</v>
      </c>
      <c r="H257" s="1186">
        <v>85</v>
      </c>
    </row>
    <row r="258" spans="1:8" x14ac:dyDescent="0.2">
      <c r="A258" s="1186" t="s">
        <v>20</v>
      </c>
      <c r="B258" s="1186" t="s">
        <v>308</v>
      </c>
      <c r="C258" s="1186" t="s">
        <v>61</v>
      </c>
      <c r="D258" s="1186" t="s">
        <v>20</v>
      </c>
      <c r="E258" s="1186" t="s">
        <v>887</v>
      </c>
      <c r="F258" s="1186" t="s">
        <v>1987</v>
      </c>
      <c r="G258" s="1186" t="s">
        <v>1988</v>
      </c>
      <c r="H258" s="1186">
        <v>97</v>
      </c>
    </row>
    <row r="259" spans="1:8" x14ac:dyDescent="0.2">
      <c r="A259" s="1186" t="s">
        <v>20</v>
      </c>
      <c r="B259" s="1186" t="s">
        <v>308</v>
      </c>
      <c r="C259" s="1186" t="s">
        <v>61</v>
      </c>
      <c r="D259" s="1186" t="s">
        <v>20</v>
      </c>
      <c r="E259" s="1186" t="s">
        <v>888</v>
      </c>
      <c r="F259" s="1186" t="s">
        <v>1987</v>
      </c>
      <c r="G259" s="1186" t="s">
        <v>1988</v>
      </c>
      <c r="H259" s="1186">
        <v>89</v>
      </c>
    </row>
    <row r="260" spans="1:8" x14ac:dyDescent="0.2">
      <c r="A260" s="1186" t="s">
        <v>20</v>
      </c>
      <c r="B260" s="1186" t="s">
        <v>308</v>
      </c>
      <c r="C260" s="1186" t="s">
        <v>61</v>
      </c>
      <c r="D260" s="1186" t="s">
        <v>20</v>
      </c>
      <c r="E260" s="1186" t="s">
        <v>889</v>
      </c>
      <c r="F260" s="1186" t="s">
        <v>1981</v>
      </c>
      <c r="G260" s="1186" t="s">
        <v>1988</v>
      </c>
      <c r="H260" s="1186">
        <v>195</v>
      </c>
    </row>
    <row r="261" spans="1:8" x14ac:dyDescent="0.2">
      <c r="A261" s="1186" t="s">
        <v>20</v>
      </c>
      <c r="B261" s="1186" t="s">
        <v>308</v>
      </c>
      <c r="C261" s="1186" t="s">
        <v>116</v>
      </c>
      <c r="D261" s="1186" t="s">
        <v>20</v>
      </c>
      <c r="E261" s="1186" t="s">
        <v>879</v>
      </c>
      <c r="F261" s="1186" t="s">
        <v>1981</v>
      </c>
      <c r="G261" s="1186" t="s">
        <v>1982</v>
      </c>
      <c r="H261" s="1186">
        <v>3786</v>
      </c>
    </row>
    <row r="262" spans="1:8" x14ac:dyDescent="0.2">
      <c r="A262" s="1186" t="s">
        <v>20</v>
      </c>
      <c r="B262" s="1186" t="s">
        <v>308</v>
      </c>
      <c r="C262" s="1186" t="s">
        <v>116</v>
      </c>
      <c r="D262" s="1186" t="s">
        <v>20</v>
      </c>
      <c r="E262" s="1186" t="s">
        <v>880</v>
      </c>
      <c r="F262" s="1186" t="s">
        <v>1981</v>
      </c>
      <c r="G262" s="1186" t="s">
        <v>1982</v>
      </c>
      <c r="H262" s="1186">
        <v>3163</v>
      </c>
    </row>
    <row r="263" spans="1:8" x14ac:dyDescent="0.2">
      <c r="A263" s="1186" t="s">
        <v>20</v>
      </c>
      <c r="B263" s="1186" t="s">
        <v>308</v>
      </c>
      <c r="C263" s="1186" t="s">
        <v>116</v>
      </c>
      <c r="D263" s="1186" t="s">
        <v>20</v>
      </c>
      <c r="E263" s="1186" t="s">
        <v>881</v>
      </c>
      <c r="F263" s="1186" t="s">
        <v>1983</v>
      </c>
      <c r="G263" s="1186" t="s">
        <v>1982</v>
      </c>
      <c r="H263" s="1186">
        <v>2445</v>
      </c>
    </row>
    <row r="264" spans="1:8" x14ac:dyDescent="0.2">
      <c r="A264" s="1186" t="s">
        <v>20</v>
      </c>
      <c r="B264" s="1186" t="s">
        <v>308</v>
      </c>
      <c r="C264" s="1186" t="s">
        <v>116</v>
      </c>
      <c r="D264" s="1186" t="s">
        <v>20</v>
      </c>
      <c r="E264" s="1186" t="s">
        <v>882</v>
      </c>
      <c r="F264" s="1186" t="s">
        <v>1983</v>
      </c>
      <c r="G264" s="1186" t="s">
        <v>1984</v>
      </c>
      <c r="H264" s="1186">
        <v>1320</v>
      </c>
    </row>
    <row r="265" spans="1:8" x14ac:dyDescent="0.2">
      <c r="A265" s="1186" t="s">
        <v>20</v>
      </c>
      <c r="B265" s="1186" t="s">
        <v>308</v>
      </c>
      <c r="C265" s="1186" t="s">
        <v>116</v>
      </c>
      <c r="D265" s="1186" t="s">
        <v>20</v>
      </c>
      <c r="E265" s="1186" t="s">
        <v>883</v>
      </c>
      <c r="F265" s="1186" t="s">
        <v>1983</v>
      </c>
      <c r="G265" s="1186" t="s">
        <v>1984</v>
      </c>
      <c r="H265" s="1186">
        <v>1595</v>
      </c>
    </row>
    <row r="266" spans="1:8" x14ac:dyDescent="0.2">
      <c r="A266" s="1186" t="s">
        <v>20</v>
      </c>
      <c r="B266" s="1186" t="s">
        <v>308</v>
      </c>
      <c r="C266" s="1186" t="s">
        <v>116</v>
      </c>
      <c r="D266" s="1186" t="s">
        <v>20</v>
      </c>
      <c r="E266" s="1186" t="s">
        <v>884</v>
      </c>
      <c r="F266" s="1186" t="s">
        <v>1985</v>
      </c>
      <c r="G266" s="1186" t="s">
        <v>1984</v>
      </c>
      <c r="H266" s="1186">
        <v>1618</v>
      </c>
    </row>
    <row r="267" spans="1:8" x14ac:dyDescent="0.2">
      <c r="A267" s="1186" t="s">
        <v>20</v>
      </c>
      <c r="B267" s="1186" t="s">
        <v>308</v>
      </c>
      <c r="C267" s="1186" t="s">
        <v>116</v>
      </c>
      <c r="D267" s="1186" t="s">
        <v>20</v>
      </c>
      <c r="E267" s="1186" t="s">
        <v>885</v>
      </c>
      <c r="F267" s="1186" t="s">
        <v>1985</v>
      </c>
      <c r="G267" s="1186" t="s">
        <v>1986</v>
      </c>
      <c r="H267" s="1186">
        <v>1953</v>
      </c>
    </row>
    <row r="268" spans="1:8" x14ac:dyDescent="0.2">
      <c r="A268" s="1186" t="s">
        <v>20</v>
      </c>
      <c r="B268" s="1186" t="s">
        <v>308</v>
      </c>
      <c r="C268" s="1186" t="s">
        <v>116</v>
      </c>
      <c r="D268" s="1186" t="s">
        <v>20</v>
      </c>
      <c r="E268" s="1186" t="s">
        <v>20</v>
      </c>
      <c r="F268" s="1186" t="s">
        <v>1985</v>
      </c>
      <c r="G268" s="1186" t="s">
        <v>1986</v>
      </c>
      <c r="H268" s="1186">
        <v>1692</v>
      </c>
    </row>
    <row r="269" spans="1:8" x14ac:dyDescent="0.2">
      <c r="A269" s="1186" t="s">
        <v>20</v>
      </c>
      <c r="B269" s="1186" t="s">
        <v>308</v>
      </c>
      <c r="C269" s="1186" t="s">
        <v>116</v>
      </c>
      <c r="D269" s="1186" t="s">
        <v>20</v>
      </c>
      <c r="E269" s="1186" t="s">
        <v>886</v>
      </c>
      <c r="F269" s="1186" t="s">
        <v>1987</v>
      </c>
      <c r="G269" s="1186" t="s">
        <v>1986</v>
      </c>
      <c r="H269" s="1186">
        <v>525</v>
      </c>
    </row>
    <row r="270" spans="1:8" x14ac:dyDescent="0.2">
      <c r="A270" s="1186" t="s">
        <v>20</v>
      </c>
      <c r="B270" s="1186" t="s">
        <v>308</v>
      </c>
      <c r="C270" s="1186" t="s">
        <v>116</v>
      </c>
      <c r="D270" s="1186" t="s">
        <v>20</v>
      </c>
      <c r="E270" s="1186" t="s">
        <v>887</v>
      </c>
      <c r="F270" s="1186" t="s">
        <v>1987</v>
      </c>
      <c r="G270" s="1186" t="s">
        <v>1988</v>
      </c>
      <c r="H270" s="1186">
        <v>814</v>
      </c>
    </row>
    <row r="271" spans="1:8" x14ac:dyDescent="0.2">
      <c r="A271" s="1186" t="s">
        <v>20</v>
      </c>
      <c r="B271" s="1186" t="s">
        <v>308</v>
      </c>
      <c r="C271" s="1186" t="s">
        <v>116</v>
      </c>
      <c r="D271" s="1186" t="s">
        <v>20</v>
      </c>
      <c r="E271" s="1186" t="s">
        <v>888</v>
      </c>
      <c r="F271" s="1186" t="s">
        <v>1987</v>
      </c>
      <c r="G271" s="1186" t="s">
        <v>1988</v>
      </c>
      <c r="H271" s="1186">
        <v>710</v>
      </c>
    </row>
    <row r="272" spans="1:8" x14ac:dyDescent="0.2">
      <c r="A272" s="1186" t="s">
        <v>20</v>
      </c>
      <c r="B272" s="1186" t="s">
        <v>308</v>
      </c>
      <c r="C272" s="1186" t="s">
        <v>116</v>
      </c>
      <c r="D272" s="1186" t="s">
        <v>20</v>
      </c>
      <c r="E272" s="1186" t="s">
        <v>889</v>
      </c>
      <c r="F272" s="1186" t="s">
        <v>1981</v>
      </c>
      <c r="G272" s="1186" t="s">
        <v>1988</v>
      </c>
      <c r="H272" s="1186">
        <v>1981</v>
      </c>
    </row>
    <row r="273" spans="1:8" x14ac:dyDescent="0.2">
      <c r="A273" s="1186" t="s">
        <v>13</v>
      </c>
      <c r="B273" s="1186" t="s">
        <v>309</v>
      </c>
      <c r="C273" s="1186" t="s">
        <v>61</v>
      </c>
      <c r="D273" s="1186" t="s">
        <v>13</v>
      </c>
      <c r="E273" s="1186" t="s">
        <v>890</v>
      </c>
      <c r="F273" s="1186" t="s">
        <v>1981</v>
      </c>
      <c r="G273" s="1186" t="s">
        <v>1982</v>
      </c>
      <c r="H273" s="1186">
        <v>110</v>
      </c>
    </row>
    <row r="274" spans="1:8" x14ac:dyDescent="0.2">
      <c r="A274" s="1186" t="s">
        <v>13</v>
      </c>
      <c r="B274" s="1186" t="s">
        <v>309</v>
      </c>
      <c r="C274" s="1186" t="s">
        <v>61</v>
      </c>
      <c r="D274" s="1186" t="s">
        <v>13</v>
      </c>
      <c r="E274" s="1186" t="s">
        <v>891</v>
      </c>
      <c r="F274" s="1186" t="s">
        <v>1981</v>
      </c>
      <c r="G274" s="1186" t="s">
        <v>1982</v>
      </c>
      <c r="H274" s="1186">
        <v>83</v>
      </c>
    </row>
    <row r="275" spans="1:8" x14ac:dyDescent="0.2">
      <c r="A275" s="1186" t="s">
        <v>13</v>
      </c>
      <c r="B275" s="1186" t="s">
        <v>309</v>
      </c>
      <c r="C275" s="1186" t="s">
        <v>61</v>
      </c>
      <c r="D275" s="1186" t="s">
        <v>13</v>
      </c>
      <c r="E275" s="1186" t="s">
        <v>892</v>
      </c>
      <c r="F275" s="1186" t="s">
        <v>1983</v>
      </c>
      <c r="G275" s="1186" t="s">
        <v>1982</v>
      </c>
      <c r="H275" s="1186">
        <v>44</v>
      </c>
    </row>
    <row r="276" spans="1:8" x14ac:dyDescent="0.2">
      <c r="A276" s="1186" t="s">
        <v>13</v>
      </c>
      <c r="B276" s="1186" t="s">
        <v>309</v>
      </c>
      <c r="C276" s="1186" t="s">
        <v>61</v>
      </c>
      <c r="D276" s="1186" t="s">
        <v>13</v>
      </c>
      <c r="E276" s="1186" t="s">
        <v>893</v>
      </c>
      <c r="F276" s="1186" t="s">
        <v>1983</v>
      </c>
      <c r="G276" s="1186" t="s">
        <v>1984</v>
      </c>
      <c r="H276" s="1186">
        <v>23</v>
      </c>
    </row>
    <row r="277" spans="1:8" x14ac:dyDescent="0.2">
      <c r="A277" s="1186" t="s">
        <v>13</v>
      </c>
      <c r="B277" s="1186" t="s">
        <v>309</v>
      </c>
      <c r="C277" s="1186" t="s">
        <v>61</v>
      </c>
      <c r="D277" s="1186" t="s">
        <v>13</v>
      </c>
      <c r="E277" s="1186" t="s">
        <v>894</v>
      </c>
      <c r="F277" s="1186" t="s">
        <v>1983</v>
      </c>
      <c r="G277" s="1186" t="s">
        <v>1984</v>
      </c>
      <c r="H277" s="1186">
        <v>33</v>
      </c>
    </row>
    <row r="278" spans="1:8" x14ac:dyDescent="0.2">
      <c r="A278" s="1186" t="s">
        <v>13</v>
      </c>
      <c r="B278" s="1186" t="s">
        <v>309</v>
      </c>
      <c r="C278" s="1186" t="s">
        <v>61</v>
      </c>
      <c r="D278" s="1186" t="s">
        <v>13</v>
      </c>
      <c r="E278" s="1186" t="s">
        <v>895</v>
      </c>
      <c r="F278" s="1186" t="s">
        <v>1985</v>
      </c>
      <c r="G278" s="1186" t="s">
        <v>1984</v>
      </c>
      <c r="H278" s="1186">
        <v>54</v>
      </c>
    </row>
    <row r="279" spans="1:8" x14ac:dyDescent="0.2">
      <c r="A279" s="1186" t="s">
        <v>13</v>
      </c>
      <c r="B279" s="1186" t="s">
        <v>309</v>
      </c>
      <c r="C279" s="1186" t="s">
        <v>61</v>
      </c>
      <c r="D279" s="1186" t="s">
        <v>13</v>
      </c>
      <c r="E279" s="1186" t="s">
        <v>896</v>
      </c>
      <c r="F279" s="1186" t="s">
        <v>1985</v>
      </c>
      <c r="G279" s="1186" t="s">
        <v>1986</v>
      </c>
      <c r="H279" s="1186">
        <v>79</v>
      </c>
    </row>
    <row r="280" spans="1:8" x14ac:dyDescent="0.2">
      <c r="A280" s="1186" t="s">
        <v>13</v>
      </c>
      <c r="B280" s="1186" t="s">
        <v>309</v>
      </c>
      <c r="C280" s="1186" t="s">
        <v>61</v>
      </c>
      <c r="D280" s="1186" t="s">
        <v>13</v>
      </c>
      <c r="E280" s="1186" t="s">
        <v>897</v>
      </c>
      <c r="F280" s="1186" t="s">
        <v>1985</v>
      </c>
      <c r="G280" s="1186" t="s">
        <v>1986</v>
      </c>
      <c r="H280" s="1186">
        <v>135</v>
      </c>
    </row>
    <row r="281" spans="1:8" x14ac:dyDescent="0.2">
      <c r="A281" s="1186" t="s">
        <v>13</v>
      </c>
      <c r="B281" s="1186" t="s">
        <v>309</v>
      </c>
      <c r="C281" s="1186" t="s">
        <v>61</v>
      </c>
      <c r="D281" s="1186" t="s">
        <v>13</v>
      </c>
      <c r="E281" s="1186" t="s">
        <v>13</v>
      </c>
      <c r="F281" s="1186" t="s">
        <v>1987</v>
      </c>
      <c r="G281" s="1186" t="s">
        <v>1986</v>
      </c>
      <c r="H281" s="1186">
        <v>175</v>
      </c>
    </row>
    <row r="282" spans="1:8" x14ac:dyDescent="0.2">
      <c r="A282" s="1186" t="s">
        <v>13</v>
      </c>
      <c r="B282" s="1186" t="s">
        <v>309</v>
      </c>
      <c r="C282" s="1186" t="s">
        <v>61</v>
      </c>
      <c r="D282" s="1186" t="s">
        <v>13</v>
      </c>
      <c r="E282" s="1186" t="s">
        <v>898</v>
      </c>
      <c r="F282" s="1186" t="s">
        <v>1987</v>
      </c>
      <c r="G282" s="1186" t="s">
        <v>1988</v>
      </c>
      <c r="H282" s="1186">
        <v>182</v>
      </c>
    </row>
    <row r="283" spans="1:8" x14ac:dyDescent="0.2">
      <c r="A283" s="1186" t="s">
        <v>13</v>
      </c>
      <c r="B283" s="1186" t="s">
        <v>309</v>
      </c>
      <c r="C283" s="1186" t="s">
        <v>61</v>
      </c>
      <c r="D283" s="1186" t="s">
        <v>13</v>
      </c>
      <c r="E283" s="1186" t="s">
        <v>899</v>
      </c>
      <c r="F283" s="1186" t="s">
        <v>1987</v>
      </c>
      <c r="G283" s="1186" t="s">
        <v>1988</v>
      </c>
      <c r="H283" s="1186">
        <v>190</v>
      </c>
    </row>
    <row r="284" spans="1:8" x14ac:dyDescent="0.2">
      <c r="A284" s="1186" t="s">
        <v>13</v>
      </c>
      <c r="B284" s="1186" t="s">
        <v>309</v>
      </c>
      <c r="C284" s="1186" t="s">
        <v>61</v>
      </c>
      <c r="D284" s="1186" t="s">
        <v>13</v>
      </c>
      <c r="E284" s="1186" t="s">
        <v>900</v>
      </c>
      <c r="F284" s="1186" t="s">
        <v>1981</v>
      </c>
      <c r="G284" s="1186" t="s">
        <v>1988</v>
      </c>
      <c r="H284" s="1186">
        <v>135</v>
      </c>
    </row>
    <row r="285" spans="1:8" x14ac:dyDescent="0.2">
      <c r="A285" s="1186" t="s">
        <v>13</v>
      </c>
      <c r="B285" s="1186" t="s">
        <v>309</v>
      </c>
      <c r="C285" s="1186" t="s">
        <v>116</v>
      </c>
      <c r="D285" s="1186" t="s">
        <v>13</v>
      </c>
      <c r="E285" s="1186" t="s">
        <v>896</v>
      </c>
      <c r="F285" s="1186" t="s">
        <v>1985</v>
      </c>
      <c r="G285" s="1186" t="s">
        <v>1986</v>
      </c>
      <c r="H285" s="1186">
        <v>1</v>
      </c>
    </row>
    <row r="286" spans="1:8" x14ac:dyDescent="0.2">
      <c r="A286" s="1186" t="s">
        <v>13</v>
      </c>
      <c r="B286" s="1186" t="s">
        <v>309</v>
      </c>
      <c r="C286" s="1186" t="s">
        <v>116</v>
      </c>
      <c r="D286" s="1186" t="s">
        <v>13</v>
      </c>
      <c r="E286" s="1186" t="s">
        <v>899</v>
      </c>
      <c r="F286" s="1186" t="s">
        <v>1987</v>
      </c>
      <c r="G286" s="1186" t="s">
        <v>1988</v>
      </c>
      <c r="H286" s="1186">
        <v>1</v>
      </c>
    </row>
    <row r="287" spans="1:8" x14ac:dyDescent="0.2">
      <c r="A287" s="1186" t="s">
        <v>13</v>
      </c>
      <c r="B287" s="1186" t="s">
        <v>823</v>
      </c>
      <c r="C287" s="1186" t="s">
        <v>61</v>
      </c>
      <c r="D287" s="1186" t="s">
        <v>13</v>
      </c>
      <c r="E287" s="1186" t="s">
        <v>890</v>
      </c>
      <c r="F287" s="1186" t="s">
        <v>1981</v>
      </c>
      <c r="G287" s="1186" t="s">
        <v>1982</v>
      </c>
      <c r="H287" s="1186">
        <v>420</v>
      </c>
    </row>
    <row r="288" spans="1:8" x14ac:dyDescent="0.2">
      <c r="A288" s="1186" t="s">
        <v>13</v>
      </c>
      <c r="B288" s="1186" t="s">
        <v>823</v>
      </c>
      <c r="C288" s="1186" t="s">
        <v>61</v>
      </c>
      <c r="D288" s="1186" t="s">
        <v>13</v>
      </c>
      <c r="E288" s="1186" t="s">
        <v>891</v>
      </c>
      <c r="F288" s="1186" t="s">
        <v>1981</v>
      </c>
      <c r="G288" s="1186" t="s">
        <v>1982</v>
      </c>
      <c r="H288" s="1186">
        <v>393</v>
      </c>
    </row>
    <row r="289" spans="1:8" x14ac:dyDescent="0.2">
      <c r="A289" s="1186" t="s">
        <v>13</v>
      </c>
      <c r="B289" s="1186" t="s">
        <v>823</v>
      </c>
      <c r="C289" s="1186" t="s">
        <v>61</v>
      </c>
      <c r="D289" s="1186" t="s">
        <v>13</v>
      </c>
      <c r="E289" s="1186" t="s">
        <v>892</v>
      </c>
      <c r="F289" s="1186" t="s">
        <v>1983</v>
      </c>
      <c r="G289" s="1186" t="s">
        <v>1982</v>
      </c>
      <c r="H289" s="1186">
        <v>401</v>
      </c>
    </row>
    <row r="290" spans="1:8" x14ac:dyDescent="0.2">
      <c r="A290" s="1186" t="s">
        <v>13</v>
      </c>
      <c r="B290" s="1186" t="s">
        <v>823</v>
      </c>
      <c r="C290" s="1186" t="s">
        <v>61</v>
      </c>
      <c r="D290" s="1186" t="s">
        <v>13</v>
      </c>
      <c r="E290" s="1186" t="s">
        <v>893</v>
      </c>
      <c r="F290" s="1186" t="s">
        <v>1983</v>
      </c>
      <c r="G290" s="1186" t="s">
        <v>1984</v>
      </c>
      <c r="H290" s="1186">
        <v>466</v>
      </c>
    </row>
    <row r="291" spans="1:8" x14ac:dyDescent="0.2">
      <c r="A291" s="1186" t="s">
        <v>13</v>
      </c>
      <c r="B291" s="1186" t="s">
        <v>823</v>
      </c>
      <c r="C291" s="1186" t="s">
        <v>61</v>
      </c>
      <c r="D291" s="1186" t="s">
        <v>13</v>
      </c>
      <c r="E291" s="1186" t="s">
        <v>894</v>
      </c>
      <c r="F291" s="1186" t="s">
        <v>1983</v>
      </c>
      <c r="G291" s="1186" t="s">
        <v>1984</v>
      </c>
      <c r="H291" s="1186">
        <v>410</v>
      </c>
    </row>
    <row r="292" spans="1:8" x14ac:dyDescent="0.2">
      <c r="A292" s="1186" t="s">
        <v>13</v>
      </c>
      <c r="B292" s="1186" t="s">
        <v>823</v>
      </c>
      <c r="C292" s="1186" t="s">
        <v>61</v>
      </c>
      <c r="D292" s="1186" t="s">
        <v>13</v>
      </c>
      <c r="E292" s="1186" t="s">
        <v>895</v>
      </c>
      <c r="F292" s="1186" t="s">
        <v>1985</v>
      </c>
      <c r="G292" s="1186" t="s">
        <v>1984</v>
      </c>
      <c r="H292" s="1186">
        <v>394</v>
      </c>
    </row>
    <row r="293" spans="1:8" x14ac:dyDescent="0.2">
      <c r="A293" s="1186" t="s">
        <v>13</v>
      </c>
      <c r="B293" s="1186" t="s">
        <v>823</v>
      </c>
      <c r="C293" s="1186" t="s">
        <v>61</v>
      </c>
      <c r="D293" s="1186" t="s">
        <v>13</v>
      </c>
      <c r="E293" s="1186" t="s">
        <v>896</v>
      </c>
      <c r="F293" s="1186" t="s">
        <v>1985</v>
      </c>
      <c r="G293" s="1186" t="s">
        <v>1986</v>
      </c>
      <c r="H293" s="1186">
        <v>423</v>
      </c>
    </row>
    <row r="294" spans="1:8" x14ac:dyDescent="0.2">
      <c r="A294" s="1186" t="s">
        <v>13</v>
      </c>
      <c r="B294" s="1186" t="s">
        <v>823</v>
      </c>
      <c r="C294" s="1186" t="s">
        <v>61</v>
      </c>
      <c r="D294" s="1186" t="s">
        <v>13</v>
      </c>
      <c r="E294" s="1186" t="s">
        <v>897</v>
      </c>
      <c r="F294" s="1186" t="s">
        <v>1985</v>
      </c>
      <c r="G294" s="1186" t="s">
        <v>1986</v>
      </c>
      <c r="H294" s="1186">
        <v>401</v>
      </c>
    </row>
    <row r="295" spans="1:8" x14ac:dyDescent="0.2">
      <c r="A295" s="1186" t="s">
        <v>13</v>
      </c>
      <c r="B295" s="1186" t="s">
        <v>823</v>
      </c>
      <c r="C295" s="1186" t="s">
        <v>61</v>
      </c>
      <c r="D295" s="1186" t="s">
        <v>13</v>
      </c>
      <c r="E295" s="1186" t="s">
        <v>13</v>
      </c>
      <c r="F295" s="1186" t="s">
        <v>1987</v>
      </c>
      <c r="G295" s="1186" t="s">
        <v>1986</v>
      </c>
      <c r="H295" s="1186">
        <v>466</v>
      </c>
    </row>
    <row r="296" spans="1:8" x14ac:dyDescent="0.2">
      <c r="A296" s="1186" t="s">
        <v>13</v>
      </c>
      <c r="B296" s="1186" t="s">
        <v>823</v>
      </c>
      <c r="C296" s="1186" t="s">
        <v>61</v>
      </c>
      <c r="D296" s="1186" t="s">
        <v>13</v>
      </c>
      <c r="E296" s="1186" t="s">
        <v>898</v>
      </c>
      <c r="F296" s="1186" t="s">
        <v>1987</v>
      </c>
      <c r="G296" s="1186" t="s">
        <v>1988</v>
      </c>
      <c r="H296" s="1186">
        <v>495</v>
      </c>
    </row>
    <row r="297" spans="1:8" x14ac:dyDescent="0.2">
      <c r="A297" s="1186" t="s">
        <v>13</v>
      </c>
      <c r="B297" s="1186" t="s">
        <v>823</v>
      </c>
      <c r="C297" s="1186" t="s">
        <v>61</v>
      </c>
      <c r="D297" s="1186" t="s">
        <v>13</v>
      </c>
      <c r="E297" s="1186" t="s">
        <v>899</v>
      </c>
      <c r="F297" s="1186" t="s">
        <v>1987</v>
      </c>
      <c r="G297" s="1186" t="s">
        <v>1988</v>
      </c>
      <c r="H297" s="1186">
        <v>416</v>
      </c>
    </row>
    <row r="298" spans="1:8" x14ac:dyDescent="0.2">
      <c r="A298" s="1186" t="s">
        <v>13</v>
      </c>
      <c r="B298" s="1186" t="s">
        <v>823</v>
      </c>
      <c r="C298" s="1186" t="s">
        <v>61</v>
      </c>
      <c r="D298" s="1186" t="s">
        <v>13</v>
      </c>
      <c r="E298" s="1186" t="s">
        <v>900</v>
      </c>
      <c r="F298" s="1186" t="s">
        <v>1981</v>
      </c>
      <c r="G298" s="1186" t="s">
        <v>1988</v>
      </c>
      <c r="H298" s="1186">
        <v>432</v>
      </c>
    </row>
    <row r="299" spans="1:8" x14ac:dyDescent="0.2">
      <c r="A299" s="1186" t="s">
        <v>13</v>
      </c>
      <c r="B299" s="1186" t="s">
        <v>823</v>
      </c>
      <c r="C299" s="1186" t="s">
        <v>116</v>
      </c>
      <c r="D299" s="1186" t="s">
        <v>13</v>
      </c>
      <c r="E299" s="1186" t="s">
        <v>890</v>
      </c>
      <c r="F299" s="1186" t="s">
        <v>1981</v>
      </c>
      <c r="G299" s="1186" t="s">
        <v>1982</v>
      </c>
      <c r="H299" s="1186">
        <v>71</v>
      </c>
    </row>
    <row r="300" spans="1:8" x14ac:dyDescent="0.2">
      <c r="A300" s="1186" t="s">
        <v>13</v>
      </c>
      <c r="B300" s="1186" t="s">
        <v>823</v>
      </c>
      <c r="C300" s="1186" t="s">
        <v>116</v>
      </c>
      <c r="D300" s="1186" t="s">
        <v>13</v>
      </c>
      <c r="E300" s="1186" t="s">
        <v>891</v>
      </c>
      <c r="F300" s="1186" t="s">
        <v>1981</v>
      </c>
      <c r="G300" s="1186" t="s">
        <v>1982</v>
      </c>
      <c r="H300" s="1186">
        <v>96</v>
      </c>
    </row>
    <row r="301" spans="1:8" x14ac:dyDescent="0.2">
      <c r="A301" s="1186" t="s">
        <v>13</v>
      </c>
      <c r="B301" s="1186" t="s">
        <v>823</v>
      </c>
      <c r="C301" s="1186" t="s">
        <v>116</v>
      </c>
      <c r="D301" s="1186" t="s">
        <v>13</v>
      </c>
      <c r="E301" s="1186" t="s">
        <v>892</v>
      </c>
      <c r="F301" s="1186" t="s">
        <v>1983</v>
      </c>
      <c r="G301" s="1186" t="s">
        <v>1982</v>
      </c>
      <c r="H301" s="1186">
        <v>93</v>
      </c>
    </row>
    <row r="302" spans="1:8" x14ac:dyDescent="0.2">
      <c r="A302" s="1186" t="s">
        <v>13</v>
      </c>
      <c r="B302" s="1186" t="s">
        <v>823</v>
      </c>
      <c r="C302" s="1186" t="s">
        <v>116</v>
      </c>
      <c r="D302" s="1186" t="s">
        <v>13</v>
      </c>
      <c r="E302" s="1186" t="s">
        <v>893</v>
      </c>
      <c r="F302" s="1186" t="s">
        <v>1983</v>
      </c>
      <c r="G302" s="1186" t="s">
        <v>1984</v>
      </c>
      <c r="H302" s="1186">
        <v>105</v>
      </c>
    </row>
    <row r="303" spans="1:8" x14ac:dyDescent="0.2">
      <c r="A303" s="1186" t="s">
        <v>13</v>
      </c>
      <c r="B303" s="1186" t="s">
        <v>823</v>
      </c>
      <c r="C303" s="1186" t="s">
        <v>116</v>
      </c>
      <c r="D303" s="1186" t="s">
        <v>13</v>
      </c>
      <c r="E303" s="1186" t="s">
        <v>894</v>
      </c>
      <c r="F303" s="1186" t="s">
        <v>1983</v>
      </c>
      <c r="G303" s="1186" t="s">
        <v>1984</v>
      </c>
      <c r="H303" s="1186">
        <v>83</v>
      </c>
    </row>
    <row r="304" spans="1:8" x14ac:dyDescent="0.2">
      <c r="A304" s="1186" t="s">
        <v>13</v>
      </c>
      <c r="B304" s="1186" t="s">
        <v>823</v>
      </c>
      <c r="C304" s="1186" t="s">
        <v>116</v>
      </c>
      <c r="D304" s="1186" t="s">
        <v>13</v>
      </c>
      <c r="E304" s="1186" t="s">
        <v>895</v>
      </c>
      <c r="F304" s="1186" t="s">
        <v>1985</v>
      </c>
      <c r="G304" s="1186" t="s">
        <v>1984</v>
      </c>
      <c r="H304" s="1186">
        <v>71</v>
      </c>
    </row>
    <row r="305" spans="1:8" x14ac:dyDescent="0.2">
      <c r="A305" s="1186" t="s">
        <v>13</v>
      </c>
      <c r="B305" s="1186" t="s">
        <v>823</v>
      </c>
      <c r="C305" s="1186" t="s">
        <v>116</v>
      </c>
      <c r="D305" s="1186" t="s">
        <v>13</v>
      </c>
      <c r="E305" s="1186" t="s">
        <v>896</v>
      </c>
      <c r="F305" s="1186" t="s">
        <v>1985</v>
      </c>
      <c r="G305" s="1186" t="s">
        <v>1986</v>
      </c>
      <c r="H305" s="1186">
        <v>85</v>
      </c>
    </row>
    <row r="306" spans="1:8" x14ac:dyDescent="0.2">
      <c r="A306" s="1186" t="s">
        <v>13</v>
      </c>
      <c r="B306" s="1186" t="s">
        <v>823</v>
      </c>
      <c r="C306" s="1186" t="s">
        <v>116</v>
      </c>
      <c r="D306" s="1186" t="s">
        <v>13</v>
      </c>
      <c r="E306" s="1186" t="s">
        <v>897</v>
      </c>
      <c r="F306" s="1186" t="s">
        <v>1985</v>
      </c>
      <c r="G306" s="1186" t="s">
        <v>1986</v>
      </c>
      <c r="H306" s="1186">
        <v>99</v>
      </c>
    </row>
    <row r="307" spans="1:8" x14ac:dyDescent="0.2">
      <c r="A307" s="1186" t="s">
        <v>13</v>
      </c>
      <c r="B307" s="1186" t="s">
        <v>823</v>
      </c>
      <c r="C307" s="1186" t="s">
        <v>116</v>
      </c>
      <c r="D307" s="1186" t="s">
        <v>13</v>
      </c>
      <c r="E307" s="1186" t="s">
        <v>13</v>
      </c>
      <c r="F307" s="1186" t="s">
        <v>1987</v>
      </c>
      <c r="G307" s="1186" t="s">
        <v>1986</v>
      </c>
      <c r="H307" s="1186">
        <v>101</v>
      </c>
    </row>
    <row r="308" spans="1:8" x14ac:dyDescent="0.2">
      <c r="A308" s="1186" t="s">
        <v>13</v>
      </c>
      <c r="B308" s="1186" t="s">
        <v>823</v>
      </c>
      <c r="C308" s="1186" t="s">
        <v>116</v>
      </c>
      <c r="D308" s="1186" t="s">
        <v>13</v>
      </c>
      <c r="E308" s="1186" t="s">
        <v>898</v>
      </c>
      <c r="F308" s="1186" t="s">
        <v>1987</v>
      </c>
      <c r="G308" s="1186" t="s">
        <v>1988</v>
      </c>
      <c r="H308" s="1186">
        <v>64</v>
      </c>
    </row>
    <row r="309" spans="1:8" x14ac:dyDescent="0.2">
      <c r="A309" s="1186" t="s">
        <v>13</v>
      </c>
      <c r="B309" s="1186" t="s">
        <v>823</v>
      </c>
      <c r="C309" s="1186" t="s">
        <v>116</v>
      </c>
      <c r="D309" s="1186" t="s">
        <v>13</v>
      </c>
      <c r="E309" s="1186" t="s">
        <v>899</v>
      </c>
      <c r="F309" s="1186" t="s">
        <v>1987</v>
      </c>
      <c r="G309" s="1186" t="s">
        <v>1988</v>
      </c>
      <c r="H309" s="1186">
        <v>85</v>
      </c>
    </row>
    <row r="310" spans="1:8" x14ac:dyDescent="0.2">
      <c r="A310" s="1186" t="s">
        <v>13</v>
      </c>
      <c r="B310" s="1186" t="s">
        <v>823</v>
      </c>
      <c r="C310" s="1186" t="s">
        <v>116</v>
      </c>
      <c r="D310" s="1186" t="s">
        <v>13</v>
      </c>
      <c r="E310" s="1186" t="s">
        <v>900</v>
      </c>
      <c r="F310" s="1186" t="s">
        <v>1981</v>
      </c>
      <c r="G310" s="1186" t="s">
        <v>1988</v>
      </c>
      <c r="H310" s="1186">
        <v>87</v>
      </c>
    </row>
    <row r="311" spans="1:8" x14ac:dyDescent="0.2">
      <c r="A311" s="1186" t="s">
        <v>13</v>
      </c>
      <c r="B311" s="1186" t="s">
        <v>824</v>
      </c>
      <c r="C311" s="1186" t="s">
        <v>61</v>
      </c>
      <c r="D311" s="1186" t="s">
        <v>13</v>
      </c>
      <c r="E311" s="1186" t="s">
        <v>890</v>
      </c>
      <c r="F311" s="1186" t="s">
        <v>1981</v>
      </c>
      <c r="G311" s="1186" t="s">
        <v>1982</v>
      </c>
      <c r="H311" s="1186">
        <v>154</v>
      </c>
    </row>
    <row r="312" spans="1:8" x14ac:dyDescent="0.2">
      <c r="A312" s="1186" t="s">
        <v>13</v>
      </c>
      <c r="B312" s="1186" t="s">
        <v>824</v>
      </c>
      <c r="C312" s="1186" t="s">
        <v>61</v>
      </c>
      <c r="D312" s="1186" t="s">
        <v>13</v>
      </c>
      <c r="E312" s="1186" t="s">
        <v>891</v>
      </c>
      <c r="F312" s="1186" t="s">
        <v>1981</v>
      </c>
      <c r="G312" s="1186" t="s">
        <v>1982</v>
      </c>
      <c r="H312" s="1186">
        <v>177</v>
      </c>
    </row>
    <row r="313" spans="1:8" x14ac:dyDescent="0.2">
      <c r="A313" s="1186" t="s">
        <v>13</v>
      </c>
      <c r="B313" s="1186" t="s">
        <v>824</v>
      </c>
      <c r="C313" s="1186" t="s">
        <v>61</v>
      </c>
      <c r="D313" s="1186" t="s">
        <v>13</v>
      </c>
      <c r="E313" s="1186" t="s">
        <v>892</v>
      </c>
      <c r="F313" s="1186" t="s">
        <v>1983</v>
      </c>
      <c r="G313" s="1186" t="s">
        <v>1982</v>
      </c>
      <c r="H313" s="1186">
        <v>133</v>
      </c>
    </row>
    <row r="314" spans="1:8" x14ac:dyDescent="0.2">
      <c r="A314" s="1186" t="s">
        <v>13</v>
      </c>
      <c r="B314" s="1186" t="s">
        <v>824</v>
      </c>
      <c r="C314" s="1186" t="s">
        <v>61</v>
      </c>
      <c r="D314" s="1186" t="s">
        <v>13</v>
      </c>
      <c r="E314" s="1186" t="s">
        <v>893</v>
      </c>
      <c r="F314" s="1186" t="s">
        <v>1983</v>
      </c>
      <c r="G314" s="1186" t="s">
        <v>1984</v>
      </c>
      <c r="H314" s="1186">
        <v>158</v>
      </c>
    </row>
    <row r="315" spans="1:8" x14ac:dyDescent="0.2">
      <c r="A315" s="1186" t="s">
        <v>13</v>
      </c>
      <c r="B315" s="1186" t="s">
        <v>824</v>
      </c>
      <c r="C315" s="1186" t="s">
        <v>61</v>
      </c>
      <c r="D315" s="1186" t="s">
        <v>13</v>
      </c>
      <c r="E315" s="1186" t="s">
        <v>894</v>
      </c>
      <c r="F315" s="1186" t="s">
        <v>1983</v>
      </c>
      <c r="G315" s="1186" t="s">
        <v>1984</v>
      </c>
      <c r="H315" s="1186">
        <v>135</v>
      </c>
    </row>
    <row r="316" spans="1:8" x14ac:dyDescent="0.2">
      <c r="A316" s="1186" t="s">
        <v>13</v>
      </c>
      <c r="B316" s="1186" t="s">
        <v>824</v>
      </c>
      <c r="C316" s="1186" t="s">
        <v>61</v>
      </c>
      <c r="D316" s="1186" t="s">
        <v>13</v>
      </c>
      <c r="E316" s="1186" t="s">
        <v>895</v>
      </c>
      <c r="F316" s="1186" t="s">
        <v>1985</v>
      </c>
      <c r="G316" s="1186" t="s">
        <v>1984</v>
      </c>
      <c r="H316" s="1186">
        <v>149</v>
      </c>
    </row>
    <row r="317" spans="1:8" x14ac:dyDescent="0.2">
      <c r="A317" s="1186" t="s">
        <v>13</v>
      </c>
      <c r="B317" s="1186" t="s">
        <v>824</v>
      </c>
      <c r="C317" s="1186" t="s">
        <v>61</v>
      </c>
      <c r="D317" s="1186" t="s">
        <v>13</v>
      </c>
      <c r="E317" s="1186" t="s">
        <v>896</v>
      </c>
      <c r="F317" s="1186" t="s">
        <v>1985</v>
      </c>
      <c r="G317" s="1186" t="s">
        <v>1986</v>
      </c>
      <c r="H317" s="1186">
        <v>153</v>
      </c>
    </row>
    <row r="318" spans="1:8" x14ac:dyDescent="0.2">
      <c r="A318" s="1186" t="s">
        <v>13</v>
      </c>
      <c r="B318" s="1186" t="s">
        <v>824</v>
      </c>
      <c r="C318" s="1186" t="s">
        <v>61</v>
      </c>
      <c r="D318" s="1186" t="s">
        <v>13</v>
      </c>
      <c r="E318" s="1186" t="s">
        <v>897</v>
      </c>
      <c r="F318" s="1186" t="s">
        <v>1985</v>
      </c>
      <c r="G318" s="1186" t="s">
        <v>1986</v>
      </c>
      <c r="H318" s="1186">
        <v>159</v>
      </c>
    </row>
    <row r="319" spans="1:8" x14ac:dyDescent="0.2">
      <c r="A319" s="1186" t="s">
        <v>13</v>
      </c>
      <c r="B319" s="1186" t="s">
        <v>824</v>
      </c>
      <c r="C319" s="1186" t="s">
        <v>61</v>
      </c>
      <c r="D319" s="1186" t="s">
        <v>13</v>
      </c>
      <c r="E319" s="1186" t="s">
        <v>13</v>
      </c>
      <c r="F319" s="1186" t="s">
        <v>1987</v>
      </c>
      <c r="G319" s="1186" t="s">
        <v>1986</v>
      </c>
      <c r="H319" s="1186">
        <v>171</v>
      </c>
    </row>
    <row r="320" spans="1:8" x14ac:dyDescent="0.2">
      <c r="A320" s="1186" t="s">
        <v>13</v>
      </c>
      <c r="B320" s="1186" t="s">
        <v>824</v>
      </c>
      <c r="C320" s="1186" t="s">
        <v>61</v>
      </c>
      <c r="D320" s="1186" t="s">
        <v>13</v>
      </c>
      <c r="E320" s="1186" t="s">
        <v>898</v>
      </c>
      <c r="F320" s="1186" t="s">
        <v>1987</v>
      </c>
      <c r="G320" s="1186" t="s">
        <v>1988</v>
      </c>
      <c r="H320" s="1186">
        <v>147</v>
      </c>
    </row>
    <row r="321" spans="1:8" x14ac:dyDescent="0.2">
      <c r="A321" s="1186" t="s">
        <v>13</v>
      </c>
      <c r="B321" s="1186" t="s">
        <v>824</v>
      </c>
      <c r="C321" s="1186" t="s">
        <v>61</v>
      </c>
      <c r="D321" s="1186" t="s">
        <v>13</v>
      </c>
      <c r="E321" s="1186" t="s">
        <v>899</v>
      </c>
      <c r="F321" s="1186" t="s">
        <v>1987</v>
      </c>
      <c r="G321" s="1186" t="s">
        <v>1988</v>
      </c>
      <c r="H321" s="1186">
        <v>170</v>
      </c>
    </row>
    <row r="322" spans="1:8" x14ac:dyDescent="0.2">
      <c r="A322" s="1186" t="s">
        <v>13</v>
      </c>
      <c r="B322" s="1186" t="s">
        <v>824</v>
      </c>
      <c r="C322" s="1186" t="s">
        <v>61</v>
      </c>
      <c r="D322" s="1186" t="s">
        <v>13</v>
      </c>
      <c r="E322" s="1186" t="s">
        <v>900</v>
      </c>
      <c r="F322" s="1186" t="s">
        <v>1981</v>
      </c>
      <c r="G322" s="1186" t="s">
        <v>1988</v>
      </c>
      <c r="H322" s="1186">
        <v>148</v>
      </c>
    </row>
    <row r="323" spans="1:8" x14ac:dyDescent="0.2">
      <c r="A323" s="1186" t="s">
        <v>13</v>
      </c>
      <c r="B323" s="1186" t="s">
        <v>824</v>
      </c>
      <c r="C323" s="1186" t="s">
        <v>116</v>
      </c>
      <c r="D323" s="1186" t="s">
        <v>13</v>
      </c>
      <c r="E323" s="1186" t="s">
        <v>890</v>
      </c>
      <c r="F323" s="1186" t="s">
        <v>1981</v>
      </c>
      <c r="G323" s="1186" t="s">
        <v>1982</v>
      </c>
      <c r="H323" s="1186">
        <v>94</v>
      </c>
    </row>
    <row r="324" spans="1:8" x14ac:dyDescent="0.2">
      <c r="A324" s="1186" t="s">
        <v>13</v>
      </c>
      <c r="B324" s="1186" t="s">
        <v>824</v>
      </c>
      <c r="C324" s="1186" t="s">
        <v>116</v>
      </c>
      <c r="D324" s="1186" t="s">
        <v>13</v>
      </c>
      <c r="E324" s="1186" t="s">
        <v>891</v>
      </c>
      <c r="F324" s="1186" t="s">
        <v>1981</v>
      </c>
      <c r="G324" s="1186" t="s">
        <v>1982</v>
      </c>
      <c r="H324" s="1186">
        <v>86</v>
      </c>
    </row>
    <row r="325" spans="1:8" x14ac:dyDescent="0.2">
      <c r="A325" s="1186" t="s">
        <v>13</v>
      </c>
      <c r="B325" s="1186" t="s">
        <v>824</v>
      </c>
      <c r="C325" s="1186" t="s">
        <v>116</v>
      </c>
      <c r="D325" s="1186" t="s">
        <v>13</v>
      </c>
      <c r="E325" s="1186" t="s">
        <v>892</v>
      </c>
      <c r="F325" s="1186" t="s">
        <v>1983</v>
      </c>
      <c r="G325" s="1186" t="s">
        <v>1982</v>
      </c>
      <c r="H325" s="1186">
        <v>76</v>
      </c>
    </row>
    <row r="326" spans="1:8" x14ac:dyDescent="0.2">
      <c r="A326" s="1186" t="s">
        <v>13</v>
      </c>
      <c r="B326" s="1186" t="s">
        <v>824</v>
      </c>
      <c r="C326" s="1186" t="s">
        <v>116</v>
      </c>
      <c r="D326" s="1186" t="s">
        <v>13</v>
      </c>
      <c r="E326" s="1186" t="s">
        <v>893</v>
      </c>
      <c r="F326" s="1186" t="s">
        <v>1983</v>
      </c>
      <c r="G326" s="1186" t="s">
        <v>1984</v>
      </c>
      <c r="H326" s="1186">
        <v>96</v>
      </c>
    </row>
    <row r="327" spans="1:8" x14ac:dyDescent="0.2">
      <c r="A327" s="1186" t="s">
        <v>13</v>
      </c>
      <c r="B327" s="1186" t="s">
        <v>824</v>
      </c>
      <c r="C327" s="1186" t="s">
        <v>116</v>
      </c>
      <c r="D327" s="1186" t="s">
        <v>13</v>
      </c>
      <c r="E327" s="1186" t="s">
        <v>894</v>
      </c>
      <c r="F327" s="1186" t="s">
        <v>1983</v>
      </c>
      <c r="G327" s="1186" t="s">
        <v>1984</v>
      </c>
      <c r="H327" s="1186">
        <v>72</v>
      </c>
    </row>
    <row r="328" spans="1:8" x14ac:dyDescent="0.2">
      <c r="A328" s="1186" t="s">
        <v>13</v>
      </c>
      <c r="B328" s="1186" t="s">
        <v>824</v>
      </c>
      <c r="C328" s="1186" t="s">
        <v>116</v>
      </c>
      <c r="D328" s="1186" t="s">
        <v>13</v>
      </c>
      <c r="E328" s="1186" t="s">
        <v>895</v>
      </c>
      <c r="F328" s="1186" t="s">
        <v>1985</v>
      </c>
      <c r="G328" s="1186" t="s">
        <v>1984</v>
      </c>
      <c r="H328" s="1186">
        <v>74</v>
      </c>
    </row>
    <row r="329" spans="1:8" x14ac:dyDescent="0.2">
      <c r="A329" s="1186" t="s">
        <v>13</v>
      </c>
      <c r="B329" s="1186" t="s">
        <v>824</v>
      </c>
      <c r="C329" s="1186" t="s">
        <v>116</v>
      </c>
      <c r="D329" s="1186" t="s">
        <v>13</v>
      </c>
      <c r="E329" s="1186" t="s">
        <v>896</v>
      </c>
      <c r="F329" s="1186" t="s">
        <v>1985</v>
      </c>
      <c r="G329" s="1186" t="s">
        <v>1986</v>
      </c>
      <c r="H329" s="1186">
        <v>71</v>
      </c>
    </row>
    <row r="330" spans="1:8" x14ac:dyDescent="0.2">
      <c r="A330" s="1186" t="s">
        <v>13</v>
      </c>
      <c r="B330" s="1186" t="s">
        <v>824</v>
      </c>
      <c r="C330" s="1186" t="s">
        <v>116</v>
      </c>
      <c r="D330" s="1186" t="s">
        <v>13</v>
      </c>
      <c r="E330" s="1186" t="s">
        <v>897</v>
      </c>
      <c r="F330" s="1186" t="s">
        <v>1985</v>
      </c>
      <c r="G330" s="1186" t="s">
        <v>1986</v>
      </c>
      <c r="H330" s="1186">
        <v>71</v>
      </c>
    </row>
    <row r="331" spans="1:8" x14ac:dyDescent="0.2">
      <c r="A331" s="1186" t="s">
        <v>13</v>
      </c>
      <c r="B331" s="1186" t="s">
        <v>824</v>
      </c>
      <c r="C331" s="1186" t="s">
        <v>116</v>
      </c>
      <c r="D331" s="1186" t="s">
        <v>13</v>
      </c>
      <c r="E331" s="1186" t="s">
        <v>13</v>
      </c>
      <c r="F331" s="1186" t="s">
        <v>1987</v>
      </c>
      <c r="G331" s="1186" t="s">
        <v>1986</v>
      </c>
      <c r="H331" s="1186">
        <v>49</v>
      </c>
    </row>
    <row r="332" spans="1:8" x14ac:dyDescent="0.2">
      <c r="A332" s="1186" t="s">
        <v>13</v>
      </c>
      <c r="B332" s="1186" t="s">
        <v>824</v>
      </c>
      <c r="C332" s="1186" t="s">
        <v>116</v>
      </c>
      <c r="D332" s="1186" t="s">
        <v>13</v>
      </c>
      <c r="E332" s="1186" t="s">
        <v>898</v>
      </c>
      <c r="F332" s="1186" t="s">
        <v>1987</v>
      </c>
      <c r="G332" s="1186" t="s">
        <v>1988</v>
      </c>
      <c r="H332" s="1186">
        <v>58</v>
      </c>
    </row>
    <row r="333" spans="1:8" x14ac:dyDescent="0.2">
      <c r="A333" s="1186" t="s">
        <v>13</v>
      </c>
      <c r="B333" s="1186" t="s">
        <v>824</v>
      </c>
      <c r="C333" s="1186" t="s">
        <v>116</v>
      </c>
      <c r="D333" s="1186" t="s">
        <v>13</v>
      </c>
      <c r="E333" s="1186" t="s">
        <v>899</v>
      </c>
      <c r="F333" s="1186" t="s">
        <v>1987</v>
      </c>
      <c r="G333" s="1186" t="s">
        <v>1988</v>
      </c>
      <c r="H333" s="1186">
        <v>46</v>
      </c>
    </row>
    <row r="334" spans="1:8" x14ac:dyDescent="0.2">
      <c r="A334" s="1186" t="s">
        <v>13</v>
      </c>
      <c r="B334" s="1186" t="s">
        <v>824</v>
      </c>
      <c r="C334" s="1186" t="s">
        <v>116</v>
      </c>
      <c r="D334" s="1186" t="s">
        <v>13</v>
      </c>
      <c r="E334" s="1186" t="s">
        <v>900</v>
      </c>
      <c r="F334" s="1186" t="s">
        <v>1981</v>
      </c>
      <c r="G334" s="1186" t="s">
        <v>1988</v>
      </c>
      <c r="H334" s="1186">
        <v>70</v>
      </c>
    </row>
    <row r="335" spans="1:8" x14ac:dyDescent="0.2">
      <c r="A335" s="1186" t="s">
        <v>13</v>
      </c>
      <c r="B335" s="1186" t="s">
        <v>825</v>
      </c>
      <c r="C335" s="1186" t="s">
        <v>61</v>
      </c>
      <c r="D335" s="1186" t="s">
        <v>13</v>
      </c>
      <c r="E335" s="1186" t="s">
        <v>890</v>
      </c>
      <c r="F335" s="1186" t="s">
        <v>1981</v>
      </c>
      <c r="G335" s="1186" t="s">
        <v>1982</v>
      </c>
      <c r="H335" s="1186">
        <v>130</v>
      </c>
    </row>
    <row r="336" spans="1:8" x14ac:dyDescent="0.2">
      <c r="A336" s="1186" t="s">
        <v>13</v>
      </c>
      <c r="B336" s="1186" t="s">
        <v>825</v>
      </c>
      <c r="C336" s="1186" t="s">
        <v>61</v>
      </c>
      <c r="D336" s="1186" t="s">
        <v>13</v>
      </c>
      <c r="E336" s="1186" t="s">
        <v>891</v>
      </c>
      <c r="F336" s="1186" t="s">
        <v>1981</v>
      </c>
      <c r="G336" s="1186" t="s">
        <v>1982</v>
      </c>
      <c r="H336" s="1186">
        <v>99</v>
      </c>
    </row>
    <row r="337" spans="1:8" x14ac:dyDescent="0.2">
      <c r="A337" s="1186" t="s">
        <v>13</v>
      </c>
      <c r="B337" s="1186" t="s">
        <v>825</v>
      </c>
      <c r="C337" s="1186" t="s">
        <v>61</v>
      </c>
      <c r="D337" s="1186" t="s">
        <v>13</v>
      </c>
      <c r="E337" s="1186" t="s">
        <v>892</v>
      </c>
      <c r="F337" s="1186" t="s">
        <v>1983</v>
      </c>
      <c r="G337" s="1186" t="s">
        <v>1982</v>
      </c>
      <c r="H337" s="1186">
        <v>119</v>
      </c>
    </row>
    <row r="338" spans="1:8" x14ac:dyDescent="0.2">
      <c r="A338" s="1186" t="s">
        <v>13</v>
      </c>
      <c r="B338" s="1186" t="s">
        <v>825</v>
      </c>
      <c r="C338" s="1186" t="s">
        <v>61</v>
      </c>
      <c r="D338" s="1186" t="s">
        <v>13</v>
      </c>
      <c r="E338" s="1186" t="s">
        <v>893</v>
      </c>
      <c r="F338" s="1186" t="s">
        <v>1983</v>
      </c>
      <c r="G338" s="1186" t="s">
        <v>1984</v>
      </c>
      <c r="H338" s="1186">
        <v>98</v>
      </c>
    </row>
    <row r="339" spans="1:8" x14ac:dyDescent="0.2">
      <c r="A339" s="1186" t="s">
        <v>13</v>
      </c>
      <c r="B339" s="1186" t="s">
        <v>825</v>
      </c>
      <c r="C339" s="1186" t="s">
        <v>61</v>
      </c>
      <c r="D339" s="1186" t="s">
        <v>13</v>
      </c>
      <c r="E339" s="1186" t="s">
        <v>894</v>
      </c>
      <c r="F339" s="1186" t="s">
        <v>1983</v>
      </c>
      <c r="G339" s="1186" t="s">
        <v>1984</v>
      </c>
      <c r="H339" s="1186">
        <v>128</v>
      </c>
    </row>
    <row r="340" spans="1:8" x14ac:dyDescent="0.2">
      <c r="A340" s="1186" t="s">
        <v>13</v>
      </c>
      <c r="B340" s="1186" t="s">
        <v>825</v>
      </c>
      <c r="C340" s="1186" t="s">
        <v>61</v>
      </c>
      <c r="D340" s="1186" t="s">
        <v>13</v>
      </c>
      <c r="E340" s="1186" t="s">
        <v>895</v>
      </c>
      <c r="F340" s="1186" t="s">
        <v>1985</v>
      </c>
      <c r="G340" s="1186" t="s">
        <v>1984</v>
      </c>
      <c r="H340" s="1186">
        <v>100</v>
      </c>
    </row>
    <row r="341" spans="1:8" x14ac:dyDescent="0.2">
      <c r="A341" s="1186" t="s">
        <v>13</v>
      </c>
      <c r="B341" s="1186" t="s">
        <v>825</v>
      </c>
      <c r="C341" s="1186" t="s">
        <v>61</v>
      </c>
      <c r="D341" s="1186" t="s">
        <v>13</v>
      </c>
      <c r="E341" s="1186" t="s">
        <v>896</v>
      </c>
      <c r="F341" s="1186" t="s">
        <v>1985</v>
      </c>
      <c r="G341" s="1186" t="s">
        <v>1986</v>
      </c>
      <c r="H341" s="1186">
        <v>92</v>
      </c>
    </row>
    <row r="342" spans="1:8" x14ac:dyDescent="0.2">
      <c r="A342" s="1186" t="s">
        <v>13</v>
      </c>
      <c r="B342" s="1186" t="s">
        <v>825</v>
      </c>
      <c r="C342" s="1186" t="s">
        <v>61</v>
      </c>
      <c r="D342" s="1186" t="s">
        <v>13</v>
      </c>
      <c r="E342" s="1186" t="s">
        <v>897</v>
      </c>
      <c r="F342" s="1186" t="s">
        <v>1985</v>
      </c>
      <c r="G342" s="1186" t="s">
        <v>1986</v>
      </c>
      <c r="H342" s="1186">
        <v>78</v>
      </c>
    </row>
    <row r="343" spans="1:8" x14ac:dyDescent="0.2">
      <c r="A343" s="1186" t="s">
        <v>13</v>
      </c>
      <c r="B343" s="1186" t="s">
        <v>825</v>
      </c>
      <c r="C343" s="1186" t="s">
        <v>61</v>
      </c>
      <c r="D343" s="1186" t="s">
        <v>13</v>
      </c>
      <c r="E343" s="1186" t="s">
        <v>13</v>
      </c>
      <c r="F343" s="1186" t="s">
        <v>1987</v>
      </c>
      <c r="G343" s="1186" t="s">
        <v>1986</v>
      </c>
      <c r="H343" s="1186">
        <v>99</v>
      </c>
    </row>
    <row r="344" spans="1:8" x14ac:dyDescent="0.2">
      <c r="A344" s="1186" t="s">
        <v>13</v>
      </c>
      <c r="B344" s="1186" t="s">
        <v>825</v>
      </c>
      <c r="C344" s="1186" t="s">
        <v>61</v>
      </c>
      <c r="D344" s="1186" t="s">
        <v>13</v>
      </c>
      <c r="E344" s="1186" t="s">
        <v>898</v>
      </c>
      <c r="F344" s="1186" t="s">
        <v>1987</v>
      </c>
      <c r="G344" s="1186" t="s">
        <v>1988</v>
      </c>
      <c r="H344" s="1186">
        <v>84</v>
      </c>
    </row>
    <row r="345" spans="1:8" x14ac:dyDescent="0.2">
      <c r="A345" s="1186" t="s">
        <v>13</v>
      </c>
      <c r="B345" s="1186" t="s">
        <v>825</v>
      </c>
      <c r="C345" s="1186" t="s">
        <v>61</v>
      </c>
      <c r="D345" s="1186" t="s">
        <v>13</v>
      </c>
      <c r="E345" s="1186" t="s">
        <v>899</v>
      </c>
      <c r="F345" s="1186" t="s">
        <v>1987</v>
      </c>
      <c r="G345" s="1186" t="s">
        <v>1988</v>
      </c>
      <c r="H345" s="1186">
        <v>94</v>
      </c>
    </row>
    <row r="346" spans="1:8" x14ac:dyDescent="0.2">
      <c r="A346" s="1186" t="s">
        <v>13</v>
      </c>
      <c r="B346" s="1186" t="s">
        <v>825</v>
      </c>
      <c r="C346" s="1186" t="s">
        <v>61</v>
      </c>
      <c r="D346" s="1186" t="s">
        <v>13</v>
      </c>
      <c r="E346" s="1186" t="s">
        <v>900</v>
      </c>
      <c r="F346" s="1186" t="s">
        <v>1981</v>
      </c>
      <c r="G346" s="1186" t="s">
        <v>1988</v>
      </c>
      <c r="H346" s="1186">
        <v>126</v>
      </c>
    </row>
    <row r="347" spans="1:8" x14ac:dyDescent="0.2">
      <c r="A347" s="1186" t="s">
        <v>13</v>
      </c>
      <c r="B347" s="1186" t="s">
        <v>825</v>
      </c>
      <c r="C347" s="1186" t="s">
        <v>116</v>
      </c>
      <c r="D347" s="1186" t="s">
        <v>13</v>
      </c>
      <c r="E347" s="1186" t="s">
        <v>890</v>
      </c>
      <c r="F347" s="1186" t="s">
        <v>1981</v>
      </c>
      <c r="G347" s="1186" t="s">
        <v>1982</v>
      </c>
      <c r="H347" s="1186">
        <v>124</v>
      </c>
    </row>
    <row r="348" spans="1:8" x14ac:dyDescent="0.2">
      <c r="A348" s="1186" t="s">
        <v>13</v>
      </c>
      <c r="B348" s="1186" t="s">
        <v>825</v>
      </c>
      <c r="C348" s="1186" t="s">
        <v>116</v>
      </c>
      <c r="D348" s="1186" t="s">
        <v>13</v>
      </c>
      <c r="E348" s="1186" t="s">
        <v>891</v>
      </c>
      <c r="F348" s="1186" t="s">
        <v>1981</v>
      </c>
      <c r="G348" s="1186" t="s">
        <v>1982</v>
      </c>
      <c r="H348" s="1186">
        <v>96</v>
      </c>
    </row>
    <row r="349" spans="1:8" x14ac:dyDescent="0.2">
      <c r="A349" s="1186" t="s">
        <v>13</v>
      </c>
      <c r="B349" s="1186" t="s">
        <v>825</v>
      </c>
      <c r="C349" s="1186" t="s">
        <v>116</v>
      </c>
      <c r="D349" s="1186" t="s">
        <v>13</v>
      </c>
      <c r="E349" s="1186" t="s">
        <v>892</v>
      </c>
      <c r="F349" s="1186" t="s">
        <v>1983</v>
      </c>
      <c r="G349" s="1186" t="s">
        <v>1982</v>
      </c>
      <c r="H349" s="1186">
        <v>99</v>
      </c>
    </row>
    <row r="350" spans="1:8" x14ac:dyDescent="0.2">
      <c r="A350" s="1186" t="s">
        <v>13</v>
      </c>
      <c r="B350" s="1186" t="s">
        <v>825</v>
      </c>
      <c r="C350" s="1186" t="s">
        <v>116</v>
      </c>
      <c r="D350" s="1186" t="s">
        <v>13</v>
      </c>
      <c r="E350" s="1186" t="s">
        <v>893</v>
      </c>
      <c r="F350" s="1186" t="s">
        <v>1983</v>
      </c>
      <c r="G350" s="1186" t="s">
        <v>1984</v>
      </c>
      <c r="H350" s="1186">
        <v>87</v>
      </c>
    </row>
    <row r="351" spans="1:8" x14ac:dyDescent="0.2">
      <c r="A351" s="1186" t="s">
        <v>13</v>
      </c>
      <c r="B351" s="1186" t="s">
        <v>825</v>
      </c>
      <c r="C351" s="1186" t="s">
        <v>116</v>
      </c>
      <c r="D351" s="1186" t="s">
        <v>13</v>
      </c>
      <c r="E351" s="1186" t="s">
        <v>894</v>
      </c>
      <c r="F351" s="1186" t="s">
        <v>1983</v>
      </c>
      <c r="G351" s="1186" t="s">
        <v>1984</v>
      </c>
      <c r="H351" s="1186">
        <v>97</v>
      </c>
    </row>
    <row r="352" spans="1:8" x14ac:dyDescent="0.2">
      <c r="A352" s="1186" t="s">
        <v>13</v>
      </c>
      <c r="B352" s="1186" t="s">
        <v>825</v>
      </c>
      <c r="C352" s="1186" t="s">
        <v>116</v>
      </c>
      <c r="D352" s="1186" t="s">
        <v>13</v>
      </c>
      <c r="E352" s="1186" t="s">
        <v>895</v>
      </c>
      <c r="F352" s="1186" t="s">
        <v>1985</v>
      </c>
      <c r="G352" s="1186" t="s">
        <v>1984</v>
      </c>
      <c r="H352" s="1186">
        <v>88</v>
      </c>
    </row>
    <row r="353" spans="1:8" x14ac:dyDescent="0.2">
      <c r="A353" s="1186" t="s">
        <v>13</v>
      </c>
      <c r="B353" s="1186" t="s">
        <v>825</v>
      </c>
      <c r="C353" s="1186" t="s">
        <v>116</v>
      </c>
      <c r="D353" s="1186" t="s">
        <v>13</v>
      </c>
      <c r="E353" s="1186" t="s">
        <v>896</v>
      </c>
      <c r="F353" s="1186" t="s">
        <v>1985</v>
      </c>
      <c r="G353" s="1186" t="s">
        <v>1986</v>
      </c>
      <c r="H353" s="1186">
        <v>100</v>
      </c>
    </row>
    <row r="354" spans="1:8" x14ac:dyDescent="0.2">
      <c r="A354" s="1186" t="s">
        <v>13</v>
      </c>
      <c r="B354" s="1186" t="s">
        <v>825</v>
      </c>
      <c r="C354" s="1186" t="s">
        <v>116</v>
      </c>
      <c r="D354" s="1186" t="s">
        <v>13</v>
      </c>
      <c r="E354" s="1186" t="s">
        <v>897</v>
      </c>
      <c r="F354" s="1186" t="s">
        <v>1985</v>
      </c>
      <c r="G354" s="1186" t="s">
        <v>1986</v>
      </c>
      <c r="H354" s="1186">
        <v>100</v>
      </c>
    </row>
    <row r="355" spans="1:8" x14ac:dyDescent="0.2">
      <c r="A355" s="1186" t="s">
        <v>13</v>
      </c>
      <c r="B355" s="1186" t="s">
        <v>825</v>
      </c>
      <c r="C355" s="1186" t="s">
        <v>116</v>
      </c>
      <c r="D355" s="1186" t="s">
        <v>13</v>
      </c>
      <c r="E355" s="1186" t="s">
        <v>13</v>
      </c>
      <c r="F355" s="1186" t="s">
        <v>1987</v>
      </c>
      <c r="G355" s="1186" t="s">
        <v>1986</v>
      </c>
      <c r="H355" s="1186">
        <v>71</v>
      </c>
    </row>
    <row r="356" spans="1:8" x14ac:dyDescent="0.2">
      <c r="A356" s="1186" t="s">
        <v>13</v>
      </c>
      <c r="B356" s="1186" t="s">
        <v>825</v>
      </c>
      <c r="C356" s="1186" t="s">
        <v>116</v>
      </c>
      <c r="D356" s="1186" t="s">
        <v>13</v>
      </c>
      <c r="E356" s="1186" t="s">
        <v>898</v>
      </c>
      <c r="F356" s="1186" t="s">
        <v>1987</v>
      </c>
      <c r="G356" s="1186" t="s">
        <v>1988</v>
      </c>
      <c r="H356" s="1186">
        <v>80</v>
      </c>
    </row>
    <row r="357" spans="1:8" x14ac:dyDescent="0.2">
      <c r="A357" s="1186" t="s">
        <v>13</v>
      </c>
      <c r="B357" s="1186" t="s">
        <v>825</v>
      </c>
      <c r="C357" s="1186" t="s">
        <v>116</v>
      </c>
      <c r="D357" s="1186" t="s">
        <v>13</v>
      </c>
      <c r="E357" s="1186" t="s">
        <v>899</v>
      </c>
      <c r="F357" s="1186" t="s">
        <v>1987</v>
      </c>
      <c r="G357" s="1186" t="s">
        <v>1988</v>
      </c>
      <c r="H357" s="1186">
        <v>73</v>
      </c>
    </row>
    <row r="358" spans="1:8" x14ac:dyDescent="0.2">
      <c r="A358" s="1186" t="s">
        <v>13</v>
      </c>
      <c r="B358" s="1186" t="s">
        <v>825</v>
      </c>
      <c r="C358" s="1186" t="s">
        <v>116</v>
      </c>
      <c r="D358" s="1186" t="s">
        <v>13</v>
      </c>
      <c r="E358" s="1186" t="s">
        <v>900</v>
      </c>
      <c r="F358" s="1186" t="s">
        <v>1981</v>
      </c>
      <c r="G358" s="1186" t="s">
        <v>1988</v>
      </c>
      <c r="H358" s="1186">
        <v>100</v>
      </c>
    </row>
    <row r="359" spans="1:8" x14ac:dyDescent="0.2">
      <c r="A359" s="1186" t="s">
        <v>13</v>
      </c>
      <c r="B359" s="1186" t="s">
        <v>826</v>
      </c>
      <c r="C359" s="1186" t="s">
        <v>61</v>
      </c>
      <c r="D359" s="1186" t="s">
        <v>13</v>
      </c>
      <c r="E359" s="1186" t="s">
        <v>890</v>
      </c>
      <c r="F359" s="1186" t="s">
        <v>1981</v>
      </c>
      <c r="G359" s="1186" t="s">
        <v>1982</v>
      </c>
      <c r="H359" s="1186">
        <v>60</v>
      </c>
    </row>
    <row r="360" spans="1:8" x14ac:dyDescent="0.2">
      <c r="A360" s="1186" t="s">
        <v>13</v>
      </c>
      <c r="B360" s="1186" t="s">
        <v>826</v>
      </c>
      <c r="C360" s="1186" t="s">
        <v>61</v>
      </c>
      <c r="D360" s="1186" t="s">
        <v>13</v>
      </c>
      <c r="E360" s="1186" t="s">
        <v>891</v>
      </c>
      <c r="F360" s="1186" t="s">
        <v>1981</v>
      </c>
      <c r="G360" s="1186" t="s">
        <v>1982</v>
      </c>
      <c r="H360" s="1186">
        <v>46</v>
      </c>
    </row>
    <row r="361" spans="1:8" x14ac:dyDescent="0.2">
      <c r="A361" s="1186" t="s">
        <v>13</v>
      </c>
      <c r="B361" s="1186" t="s">
        <v>826</v>
      </c>
      <c r="C361" s="1186" t="s">
        <v>61</v>
      </c>
      <c r="D361" s="1186" t="s">
        <v>13</v>
      </c>
      <c r="E361" s="1186" t="s">
        <v>892</v>
      </c>
      <c r="F361" s="1186" t="s">
        <v>1983</v>
      </c>
      <c r="G361" s="1186" t="s">
        <v>1982</v>
      </c>
      <c r="H361" s="1186">
        <v>30</v>
      </c>
    </row>
    <row r="362" spans="1:8" x14ac:dyDescent="0.2">
      <c r="A362" s="1186" t="s">
        <v>13</v>
      </c>
      <c r="B362" s="1186" t="s">
        <v>826</v>
      </c>
      <c r="C362" s="1186" t="s">
        <v>61</v>
      </c>
      <c r="D362" s="1186" t="s">
        <v>13</v>
      </c>
      <c r="E362" s="1186" t="s">
        <v>893</v>
      </c>
      <c r="F362" s="1186" t="s">
        <v>1983</v>
      </c>
      <c r="G362" s="1186" t="s">
        <v>1984</v>
      </c>
      <c r="H362" s="1186">
        <v>24</v>
      </c>
    </row>
    <row r="363" spans="1:8" x14ac:dyDescent="0.2">
      <c r="A363" s="1186" t="s">
        <v>13</v>
      </c>
      <c r="B363" s="1186" t="s">
        <v>826</v>
      </c>
      <c r="C363" s="1186" t="s">
        <v>61</v>
      </c>
      <c r="D363" s="1186" t="s">
        <v>13</v>
      </c>
      <c r="E363" s="1186" t="s">
        <v>894</v>
      </c>
      <c r="F363" s="1186" t="s">
        <v>1983</v>
      </c>
      <c r="G363" s="1186" t="s">
        <v>1984</v>
      </c>
      <c r="H363" s="1186">
        <v>41</v>
      </c>
    </row>
    <row r="364" spans="1:8" x14ac:dyDescent="0.2">
      <c r="A364" s="1186" t="s">
        <v>13</v>
      </c>
      <c r="B364" s="1186" t="s">
        <v>826</v>
      </c>
      <c r="C364" s="1186" t="s">
        <v>61</v>
      </c>
      <c r="D364" s="1186" t="s">
        <v>13</v>
      </c>
      <c r="E364" s="1186" t="s">
        <v>895</v>
      </c>
      <c r="F364" s="1186" t="s">
        <v>1985</v>
      </c>
      <c r="G364" s="1186" t="s">
        <v>1984</v>
      </c>
      <c r="H364" s="1186">
        <v>38</v>
      </c>
    </row>
    <row r="365" spans="1:8" x14ac:dyDescent="0.2">
      <c r="A365" s="1186" t="s">
        <v>13</v>
      </c>
      <c r="B365" s="1186" t="s">
        <v>826</v>
      </c>
      <c r="C365" s="1186" t="s">
        <v>61</v>
      </c>
      <c r="D365" s="1186" t="s">
        <v>13</v>
      </c>
      <c r="E365" s="1186" t="s">
        <v>896</v>
      </c>
      <c r="F365" s="1186" t="s">
        <v>1985</v>
      </c>
      <c r="G365" s="1186" t="s">
        <v>1986</v>
      </c>
      <c r="H365" s="1186">
        <v>29</v>
      </c>
    </row>
    <row r="366" spans="1:8" x14ac:dyDescent="0.2">
      <c r="A366" s="1186" t="s">
        <v>13</v>
      </c>
      <c r="B366" s="1186" t="s">
        <v>826</v>
      </c>
      <c r="C366" s="1186" t="s">
        <v>61</v>
      </c>
      <c r="D366" s="1186" t="s">
        <v>13</v>
      </c>
      <c r="E366" s="1186" t="s">
        <v>897</v>
      </c>
      <c r="F366" s="1186" t="s">
        <v>1985</v>
      </c>
      <c r="G366" s="1186" t="s">
        <v>1986</v>
      </c>
      <c r="H366" s="1186">
        <v>15</v>
      </c>
    </row>
    <row r="367" spans="1:8" x14ac:dyDescent="0.2">
      <c r="A367" s="1186" t="s">
        <v>13</v>
      </c>
      <c r="B367" s="1186" t="s">
        <v>826</v>
      </c>
      <c r="C367" s="1186" t="s">
        <v>61</v>
      </c>
      <c r="D367" s="1186" t="s">
        <v>13</v>
      </c>
      <c r="E367" s="1186" t="s">
        <v>13</v>
      </c>
      <c r="F367" s="1186" t="s">
        <v>1987</v>
      </c>
      <c r="G367" s="1186" t="s">
        <v>1986</v>
      </c>
      <c r="H367" s="1186">
        <v>30</v>
      </c>
    </row>
    <row r="368" spans="1:8" x14ac:dyDescent="0.2">
      <c r="A368" s="1186" t="s">
        <v>13</v>
      </c>
      <c r="B368" s="1186" t="s">
        <v>826</v>
      </c>
      <c r="C368" s="1186" t="s">
        <v>61</v>
      </c>
      <c r="D368" s="1186" t="s">
        <v>13</v>
      </c>
      <c r="E368" s="1186" t="s">
        <v>898</v>
      </c>
      <c r="F368" s="1186" t="s">
        <v>1987</v>
      </c>
      <c r="G368" s="1186" t="s">
        <v>1988</v>
      </c>
      <c r="H368" s="1186">
        <v>26</v>
      </c>
    </row>
    <row r="369" spans="1:8" x14ac:dyDescent="0.2">
      <c r="A369" s="1186" t="s">
        <v>13</v>
      </c>
      <c r="B369" s="1186" t="s">
        <v>826</v>
      </c>
      <c r="C369" s="1186" t="s">
        <v>61</v>
      </c>
      <c r="D369" s="1186" t="s">
        <v>13</v>
      </c>
      <c r="E369" s="1186" t="s">
        <v>899</v>
      </c>
      <c r="F369" s="1186" t="s">
        <v>1987</v>
      </c>
      <c r="G369" s="1186" t="s">
        <v>1988</v>
      </c>
      <c r="H369" s="1186">
        <v>21</v>
      </c>
    </row>
    <row r="370" spans="1:8" x14ac:dyDescent="0.2">
      <c r="A370" s="1186" t="s">
        <v>13</v>
      </c>
      <c r="B370" s="1186" t="s">
        <v>826</v>
      </c>
      <c r="C370" s="1186" t="s">
        <v>61</v>
      </c>
      <c r="D370" s="1186" t="s">
        <v>13</v>
      </c>
      <c r="E370" s="1186" t="s">
        <v>900</v>
      </c>
      <c r="F370" s="1186" t="s">
        <v>1981</v>
      </c>
      <c r="G370" s="1186" t="s">
        <v>1988</v>
      </c>
      <c r="H370" s="1186">
        <v>53</v>
      </c>
    </row>
    <row r="371" spans="1:8" x14ac:dyDescent="0.2">
      <c r="A371" s="1186" t="s">
        <v>13</v>
      </c>
      <c r="B371" s="1186" t="s">
        <v>826</v>
      </c>
      <c r="C371" s="1186" t="s">
        <v>116</v>
      </c>
      <c r="D371" s="1186" t="s">
        <v>13</v>
      </c>
      <c r="E371" s="1186" t="s">
        <v>890</v>
      </c>
      <c r="F371" s="1186" t="s">
        <v>1981</v>
      </c>
      <c r="G371" s="1186" t="s">
        <v>1982</v>
      </c>
      <c r="H371" s="1186">
        <v>102</v>
      </c>
    </row>
    <row r="372" spans="1:8" x14ac:dyDescent="0.2">
      <c r="A372" s="1186" t="s">
        <v>13</v>
      </c>
      <c r="B372" s="1186" t="s">
        <v>826</v>
      </c>
      <c r="C372" s="1186" t="s">
        <v>116</v>
      </c>
      <c r="D372" s="1186" t="s">
        <v>13</v>
      </c>
      <c r="E372" s="1186" t="s">
        <v>891</v>
      </c>
      <c r="F372" s="1186" t="s">
        <v>1981</v>
      </c>
      <c r="G372" s="1186" t="s">
        <v>1982</v>
      </c>
      <c r="H372" s="1186">
        <v>76</v>
      </c>
    </row>
    <row r="373" spans="1:8" x14ac:dyDescent="0.2">
      <c r="A373" s="1186" t="s">
        <v>13</v>
      </c>
      <c r="B373" s="1186" t="s">
        <v>826</v>
      </c>
      <c r="C373" s="1186" t="s">
        <v>116</v>
      </c>
      <c r="D373" s="1186" t="s">
        <v>13</v>
      </c>
      <c r="E373" s="1186" t="s">
        <v>892</v>
      </c>
      <c r="F373" s="1186" t="s">
        <v>1983</v>
      </c>
      <c r="G373" s="1186" t="s">
        <v>1982</v>
      </c>
      <c r="H373" s="1186">
        <v>68</v>
      </c>
    </row>
    <row r="374" spans="1:8" x14ac:dyDescent="0.2">
      <c r="A374" s="1186" t="s">
        <v>13</v>
      </c>
      <c r="B374" s="1186" t="s">
        <v>826</v>
      </c>
      <c r="C374" s="1186" t="s">
        <v>116</v>
      </c>
      <c r="D374" s="1186" t="s">
        <v>13</v>
      </c>
      <c r="E374" s="1186" t="s">
        <v>893</v>
      </c>
      <c r="F374" s="1186" t="s">
        <v>1983</v>
      </c>
      <c r="G374" s="1186" t="s">
        <v>1984</v>
      </c>
      <c r="H374" s="1186">
        <v>86</v>
      </c>
    </row>
    <row r="375" spans="1:8" x14ac:dyDescent="0.2">
      <c r="A375" s="1186" t="s">
        <v>13</v>
      </c>
      <c r="B375" s="1186" t="s">
        <v>826</v>
      </c>
      <c r="C375" s="1186" t="s">
        <v>116</v>
      </c>
      <c r="D375" s="1186" t="s">
        <v>13</v>
      </c>
      <c r="E375" s="1186" t="s">
        <v>894</v>
      </c>
      <c r="F375" s="1186" t="s">
        <v>1983</v>
      </c>
      <c r="G375" s="1186" t="s">
        <v>1984</v>
      </c>
      <c r="H375" s="1186">
        <v>74</v>
      </c>
    </row>
    <row r="376" spans="1:8" x14ac:dyDescent="0.2">
      <c r="A376" s="1186" t="s">
        <v>13</v>
      </c>
      <c r="B376" s="1186" t="s">
        <v>826</v>
      </c>
      <c r="C376" s="1186" t="s">
        <v>116</v>
      </c>
      <c r="D376" s="1186" t="s">
        <v>13</v>
      </c>
      <c r="E376" s="1186" t="s">
        <v>895</v>
      </c>
      <c r="F376" s="1186" t="s">
        <v>1985</v>
      </c>
      <c r="G376" s="1186" t="s">
        <v>1984</v>
      </c>
      <c r="H376" s="1186">
        <v>55</v>
      </c>
    </row>
    <row r="377" spans="1:8" x14ac:dyDescent="0.2">
      <c r="A377" s="1186" t="s">
        <v>13</v>
      </c>
      <c r="B377" s="1186" t="s">
        <v>826</v>
      </c>
      <c r="C377" s="1186" t="s">
        <v>116</v>
      </c>
      <c r="D377" s="1186" t="s">
        <v>13</v>
      </c>
      <c r="E377" s="1186" t="s">
        <v>896</v>
      </c>
      <c r="F377" s="1186" t="s">
        <v>1985</v>
      </c>
      <c r="G377" s="1186" t="s">
        <v>1986</v>
      </c>
      <c r="H377" s="1186">
        <v>68</v>
      </c>
    </row>
    <row r="378" spans="1:8" x14ac:dyDescent="0.2">
      <c r="A378" s="1186" t="s">
        <v>13</v>
      </c>
      <c r="B378" s="1186" t="s">
        <v>826</v>
      </c>
      <c r="C378" s="1186" t="s">
        <v>116</v>
      </c>
      <c r="D378" s="1186" t="s">
        <v>13</v>
      </c>
      <c r="E378" s="1186" t="s">
        <v>897</v>
      </c>
      <c r="F378" s="1186" t="s">
        <v>1985</v>
      </c>
      <c r="G378" s="1186" t="s">
        <v>1986</v>
      </c>
      <c r="H378" s="1186">
        <v>82</v>
      </c>
    </row>
    <row r="379" spans="1:8" x14ac:dyDescent="0.2">
      <c r="A379" s="1186" t="s">
        <v>13</v>
      </c>
      <c r="B379" s="1186" t="s">
        <v>826</v>
      </c>
      <c r="C379" s="1186" t="s">
        <v>116</v>
      </c>
      <c r="D379" s="1186" t="s">
        <v>13</v>
      </c>
      <c r="E379" s="1186" t="s">
        <v>13</v>
      </c>
      <c r="F379" s="1186" t="s">
        <v>1987</v>
      </c>
      <c r="G379" s="1186" t="s">
        <v>1986</v>
      </c>
      <c r="H379" s="1186">
        <v>22</v>
      </c>
    </row>
    <row r="380" spans="1:8" x14ac:dyDescent="0.2">
      <c r="A380" s="1186" t="s">
        <v>13</v>
      </c>
      <c r="B380" s="1186" t="s">
        <v>826</v>
      </c>
      <c r="C380" s="1186" t="s">
        <v>116</v>
      </c>
      <c r="D380" s="1186" t="s">
        <v>13</v>
      </c>
      <c r="E380" s="1186" t="s">
        <v>898</v>
      </c>
      <c r="F380" s="1186" t="s">
        <v>1987</v>
      </c>
      <c r="G380" s="1186" t="s">
        <v>1988</v>
      </c>
      <c r="H380" s="1186">
        <v>29</v>
      </c>
    </row>
    <row r="381" spans="1:8" x14ac:dyDescent="0.2">
      <c r="A381" s="1186" t="s">
        <v>13</v>
      </c>
      <c r="B381" s="1186" t="s">
        <v>826</v>
      </c>
      <c r="C381" s="1186" t="s">
        <v>116</v>
      </c>
      <c r="D381" s="1186" t="s">
        <v>13</v>
      </c>
      <c r="E381" s="1186" t="s">
        <v>899</v>
      </c>
      <c r="F381" s="1186" t="s">
        <v>1987</v>
      </c>
      <c r="G381" s="1186" t="s">
        <v>1988</v>
      </c>
      <c r="H381" s="1186">
        <v>38</v>
      </c>
    </row>
    <row r="382" spans="1:8" x14ac:dyDescent="0.2">
      <c r="A382" s="1186" t="s">
        <v>13</v>
      </c>
      <c r="B382" s="1186" t="s">
        <v>826</v>
      </c>
      <c r="C382" s="1186" t="s">
        <v>116</v>
      </c>
      <c r="D382" s="1186" t="s">
        <v>13</v>
      </c>
      <c r="E382" s="1186" t="s">
        <v>900</v>
      </c>
      <c r="F382" s="1186" t="s">
        <v>1981</v>
      </c>
      <c r="G382" s="1186" t="s">
        <v>1988</v>
      </c>
      <c r="H382" s="1186">
        <v>62</v>
      </c>
    </row>
    <row r="383" spans="1:8" x14ac:dyDescent="0.2">
      <c r="A383" s="1186" t="s">
        <v>13</v>
      </c>
      <c r="B383" s="1186" t="s">
        <v>308</v>
      </c>
      <c r="C383" s="1186" t="s">
        <v>61</v>
      </c>
      <c r="D383" s="1186" t="s">
        <v>13</v>
      </c>
      <c r="E383" s="1186" t="s">
        <v>890</v>
      </c>
      <c r="F383" s="1186" t="s">
        <v>1981</v>
      </c>
      <c r="G383" s="1186" t="s">
        <v>1982</v>
      </c>
      <c r="H383" s="1186">
        <v>457</v>
      </c>
    </row>
    <row r="384" spans="1:8" x14ac:dyDescent="0.2">
      <c r="A384" s="1186" t="s">
        <v>13</v>
      </c>
      <c r="B384" s="1186" t="s">
        <v>308</v>
      </c>
      <c r="C384" s="1186" t="s">
        <v>61</v>
      </c>
      <c r="D384" s="1186" t="s">
        <v>13</v>
      </c>
      <c r="E384" s="1186" t="s">
        <v>891</v>
      </c>
      <c r="F384" s="1186" t="s">
        <v>1981</v>
      </c>
      <c r="G384" s="1186" t="s">
        <v>1982</v>
      </c>
      <c r="H384" s="1186">
        <v>354</v>
      </c>
    </row>
    <row r="385" spans="1:8" x14ac:dyDescent="0.2">
      <c r="A385" s="1186" t="s">
        <v>13</v>
      </c>
      <c r="B385" s="1186" t="s">
        <v>308</v>
      </c>
      <c r="C385" s="1186" t="s">
        <v>61</v>
      </c>
      <c r="D385" s="1186" t="s">
        <v>13</v>
      </c>
      <c r="E385" s="1186" t="s">
        <v>892</v>
      </c>
      <c r="F385" s="1186" t="s">
        <v>1983</v>
      </c>
      <c r="G385" s="1186" t="s">
        <v>1982</v>
      </c>
      <c r="H385" s="1186">
        <v>212</v>
      </c>
    </row>
    <row r="386" spans="1:8" x14ac:dyDescent="0.2">
      <c r="A386" s="1186" t="s">
        <v>13</v>
      </c>
      <c r="B386" s="1186" t="s">
        <v>308</v>
      </c>
      <c r="C386" s="1186" t="s">
        <v>61</v>
      </c>
      <c r="D386" s="1186" t="s">
        <v>13</v>
      </c>
      <c r="E386" s="1186" t="s">
        <v>893</v>
      </c>
      <c r="F386" s="1186" t="s">
        <v>1983</v>
      </c>
      <c r="G386" s="1186" t="s">
        <v>1984</v>
      </c>
      <c r="H386" s="1186">
        <v>236</v>
      </c>
    </row>
    <row r="387" spans="1:8" x14ac:dyDescent="0.2">
      <c r="A387" s="1186" t="s">
        <v>13</v>
      </c>
      <c r="B387" s="1186" t="s">
        <v>308</v>
      </c>
      <c r="C387" s="1186" t="s">
        <v>61</v>
      </c>
      <c r="D387" s="1186" t="s">
        <v>13</v>
      </c>
      <c r="E387" s="1186" t="s">
        <v>894</v>
      </c>
      <c r="F387" s="1186" t="s">
        <v>1983</v>
      </c>
      <c r="G387" s="1186" t="s">
        <v>1984</v>
      </c>
      <c r="H387" s="1186">
        <v>146</v>
      </c>
    </row>
    <row r="388" spans="1:8" x14ac:dyDescent="0.2">
      <c r="A388" s="1186" t="s">
        <v>13</v>
      </c>
      <c r="B388" s="1186" t="s">
        <v>308</v>
      </c>
      <c r="C388" s="1186" t="s">
        <v>61</v>
      </c>
      <c r="D388" s="1186" t="s">
        <v>13</v>
      </c>
      <c r="E388" s="1186" t="s">
        <v>895</v>
      </c>
      <c r="F388" s="1186" t="s">
        <v>1985</v>
      </c>
      <c r="G388" s="1186" t="s">
        <v>1984</v>
      </c>
      <c r="H388" s="1186">
        <v>141</v>
      </c>
    </row>
    <row r="389" spans="1:8" x14ac:dyDescent="0.2">
      <c r="A389" s="1186" t="s">
        <v>13</v>
      </c>
      <c r="B389" s="1186" t="s">
        <v>308</v>
      </c>
      <c r="C389" s="1186" t="s">
        <v>61</v>
      </c>
      <c r="D389" s="1186" t="s">
        <v>13</v>
      </c>
      <c r="E389" s="1186" t="s">
        <v>896</v>
      </c>
      <c r="F389" s="1186" t="s">
        <v>1985</v>
      </c>
      <c r="G389" s="1186" t="s">
        <v>1986</v>
      </c>
      <c r="H389" s="1186">
        <v>129</v>
      </c>
    </row>
    <row r="390" spans="1:8" x14ac:dyDescent="0.2">
      <c r="A390" s="1186" t="s">
        <v>13</v>
      </c>
      <c r="B390" s="1186" t="s">
        <v>308</v>
      </c>
      <c r="C390" s="1186" t="s">
        <v>61</v>
      </c>
      <c r="D390" s="1186" t="s">
        <v>13</v>
      </c>
      <c r="E390" s="1186" t="s">
        <v>897</v>
      </c>
      <c r="F390" s="1186" t="s">
        <v>1985</v>
      </c>
      <c r="G390" s="1186" t="s">
        <v>1986</v>
      </c>
      <c r="H390" s="1186">
        <v>102</v>
      </c>
    </row>
    <row r="391" spans="1:8" x14ac:dyDescent="0.2">
      <c r="A391" s="1186" t="s">
        <v>13</v>
      </c>
      <c r="B391" s="1186" t="s">
        <v>308</v>
      </c>
      <c r="C391" s="1186" t="s">
        <v>61</v>
      </c>
      <c r="D391" s="1186" t="s">
        <v>13</v>
      </c>
      <c r="E391" s="1186" t="s">
        <v>13</v>
      </c>
      <c r="F391" s="1186" t="s">
        <v>1987</v>
      </c>
      <c r="G391" s="1186" t="s">
        <v>1986</v>
      </c>
      <c r="H391" s="1186">
        <v>88</v>
      </c>
    </row>
    <row r="392" spans="1:8" x14ac:dyDescent="0.2">
      <c r="A392" s="1186" t="s">
        <v>13</v>
      </c>
      <c r="B392" s="1186" t="s">
        <v>308</v>
      </c>
      <c r="C392" s="1186" t="s">
        <v>61</v>
      </c>
      <c r="D392" s="1186" t="s">
        <v>13</v>
      </c>
      <c r="E392" s="1186" t="s">
        <v>898</v>
      </c>
      <c r="F392" s="1186" t="s">
        <v>1987</v>
      </c>
      <c r="G392" s="1186" t="s">
        <v>1988</v>
      </c>
      <c r="H392" s="1186">
        <v>97</v>
      </c>
    </row>
    <row r="393" spans="1:8" x14ac:dyDescent="0.2">
      <c r="A393" s="1186" t="s">
        <v>13</v>
      </c>
      <c r="B393" s="1186" t="s">
        <v>308</v>
      </c>
      <c r="C393" s="1186" t="s">
        <v>61</v>
      </c>
      <c r="D393" s="1186" t="s">
        <v>13</v>
      </c>
      <c r="E393" s="1186" t="s">
        <v>899</v>
      </c>
      <c r="F393" s="1186" t="s">
        <v>1987</v>
      </c>
      <c r="G393" s="1186" t="s">
        <v>1988</v>
      </c>
      <c r="H393" s="1186">
        <v>117</v>
      </c>
    </row>
    <row r="394" spans="1:8" x14ac:dyDescent="0.2">
      <c r="A394" s="1186" t="s">
        <v>13</v>
      </c>
      <c r="B394" s="1186" t="s">
        <v>308</v>
      </c>
      <c r="C394" s="1186" t="s">
        <v>61</v>
      </c>
      <c r="D394" s="1186" t="s">
        <v>13</v>
      </c>
      <c r="E394" s="1186" t="s">
        <v>900</v>
      </c>
      <c r="F394" s="1186" t="s">
        <v>1981</v>
      </c>
      <c r="G394" s="1186" t="s">
        <v>1988</v>
      </c>
      <c r="H394" s="1186">
        <v>406</v>
      </c>
    </row>
    <row r="395" spans="1:8" x14ac:dyDescent="0.2">
      <c r="A395" s="1186" t="s">
        <v>13</v>
      </c>
      <c r="B395" s="1186" t="s">
        <v>308</v>
      </c>
      <c r="C395" s="1186" t="s">
        <v>116</v>
      </c>
      <c r="D395" s="1186" t="s">
        <v>13</v>
      </c>
      <c r="E395" s="1186" t="s">
        <v>890</v>
      </c>
      <c r="F395" s="1186" t="s">
        <v>1981</v>
      </c>
      <c r="G395" s="1186" t="s">
        <v>1982</v>
      </c>
      <c r="H395" s="1186">
        <v>2471</v>
      </c>
    </row>
    <row r="396" spans="1:8" x14ac:dyDescent="0.2">
      <c r="A396" s="1186" t="s">
        <v>13</v>
      </c>
      <c r="B396" s="1186" t="s">
        <v>308</v>
      </c>
      <c r="C396" s="1186" t="s">
        <v>116</v>
      </c>
      <c r="D396" s="1186" t="s">
        <v>13</v>
      </c>
      <c r="E396" s="1186" t="s">
        <v>891</v>
      </c>
      <c r="F396" s="1186" t="s">
        <v>1981</v>
      </c>
      <c r="G396" s="1186" t="s">
        <v>1982</v>
      </c>
      <c r="H396" s="1186">
        <v>1589</v>
      </c>
    </row>
    <row r="397" spans="1:8" x14ac:dyDescent="0.2">
      <c r="A397" s="1186" t="s">
        <v>13</v>
      </c>
      <c r="B397" s="1186" t="s">
        <v>308</v>
      </c>
      <c r="C397" s="1186" t="s">
        <v>116</v>
      </c>
      <c r="D397" s="1186" t="s">
        <v>13</v>
      </c>
      <c r="E397" s="1186" t="s">
        <v>892</v>
      </c>
      <c r="F397" s="1186" t="s">
        <v>1983</v>
      </c>
      <c r="G397" s="1186" t="s">
        <v>1982</v>
      </c>
      <c r="H397" s="1186">
        <v>1224</v>
      </c>
    </row>
    <row r="398" spans="1:8" x14ac:dyDescent="0.2">
      <c r="A398" s="1186" t="s">
        <v>13</v>
      </c>
      <c r="B398" s="1186" t="s">
        <v>308</v>
      </c>
      <c r="C398" s="1186" t="s">
        <v>116</v>
      </c>
      <c r="D398" s="1186" t="s">
        <v>13</v>
      </c>
      <c r="E398" s="1186" t="s">
        <v>893</v>
      </c>
      <c r="F398" s="1186" t="s">
        <v>1983</v>
      </c>
      <c r="G398" s="1186" t="s">
        <v>1984</v>
      </c>
      <c r="H398" s="1186">
        <v>1568</v>
      </c>
    </row>
    <row r="399" spans="1:8" x14ac:dyDescent="0.2">
      <c r="A399" s="1186" t="s">
        <v>13</v>
      </c>
      <c r="B399" s="1186" t="s">
        <v>308</v>
      </c>
      <c r="C399" s="1186" t="s">
        <v>116</v>
      </c>
      <c r="D399" s="1186" t="s">
        <v>13</v>
      </c>
      <c r="E399" s="1186" t="s">
        <v>894</v>
      </c>
      <c r="F399" s="1186" t="s">
        <v>1983</v>
      </c>
      <c r="G399" s="1186" t="s">
        <v>1984</v>
      </c>
      <c r="H399" s="1186">
        <v>1089</v>
      </c>
    </row>
    <row r="400" spans="1:8" x14ac:dyDescent="0.2">
      <c r="A400" s="1186" t="s">
        <v>13</v>
      </c>
      <c r="B400" s="1186" t="s">
        <v>308</v>
      </c>
      <c r="C400" s="1186" t="s">
        <v>116</v>
      </c>
      <c r="D400" s="1186" t="s">
        <v>13</v>
      </c>
      <c r="E400" s="1186" t="s">
        <v>895</v>
      </c>
      <c r="F400" s="1186" t="s">
        <v>1985</v>
      </c>
      <c r="G400" s="1186" t="s">
        <v>1984</v>
      </c>
      <c r="H400" s="1186">
        <v>1019</v>
      </c>
    </row>
    <row r="401" spans="1:8" x14ac:dyDescent="0.2">
      <c r="A401" s="1186" t="s">
        <v>13</v>
      </c>
      <c r="B401" s="1186" t="s">
        <v>308</v>
      </c>
      <c r="C401" s="1186" t="s">
        <v>116</v>
      </c>
      <c r="D401" s="1186" t="s">
        <v>13</v>
      </c>
      <c r="E401" s="1186" t="s">
        <v>896</v>
      </c>
      <c r="F401" s="1186" t="s">
        <v>1985</v>
      </c>
      <c r="G401" s="1186" t="s">
        <v>1986</v>
      </c>
      <c r="H401" s="1186">
        <v>1203</v>
      </c>
    </row>
    <row r="402" spans="1:8" x14ac:dyDescent="0.2">
      <c r="A402" s="1186" t="s">
        <v>13</v>
      </c>
      <c r="B402" s="1186" t="s">
        <v>308</v>
      </c>
      <c r="C402" s="1186" t="s">
        <v>116</v>
      </c>
      <c r="D402" s="1186" t="s">
        <v>13</v>
      </c>
      <c r="E402" s="1186" t="s">
        <v>897</v>
      </c>
      <c r="F402" s="1186" t="s">
        <v>1985</v>
      </c>
      <c r="G402" s="1186" t="s">
        <v>1986</v>
      </c>
      <c r="H402" s="1186">
        <v>2002</v>
      </c>
    </row>
    <row r="403" spans="1:8" x14ac:dyDescent="0.2">
      <c r="A403" s="1186" t="s">
        <v>13</v>
      </c>
      <c r="B403" s="1186" t="s">
        <v>308</v>
      </c>
      <c r="C403" s="1186" t="s">
        <v>116</v>
      </c>
      <c r="D403" s="1186" t="s">
        <v>13</v>
      </c>
      <c r="E403" s="1186" t="s">
        <v>13</v>
      </c>
      <c r="F403" s="1186" t="s">
        <v>1987</v>
      </c>
      <c r="G403" s="1186" t="s">
        <v>1986</v>
      </c>
      <c r="H403" s="1186">
        <v>463</v>
      </c>
    </row>
    <row r="404" spans="1:8" x14ac:dyDescent="0.2">
      <c r="A404" s="1186" t="s">
        <v>13</v>
      </c>
      <c r="B404" s="1186" t="s">
        <v>308</v>
      </c>
      <c r="C404" s="1186" t="s">
        <v>116</v>
      </c>
      <c r="D404" s="1186" t="s">
        <v>13</v>
      </c>
      <c r="E404" s="1186" t="s">
        <v>898</v>
      </c>
      <c r="F404" s="1186" t="s">
        <v>1987</v>
      </c>
      <c r="G404" s="1186" t="s">
        <v>1988</v>
      </c>
      <c r="H404" s="1186">
        <v>623</v>
      </c>
    </row>
    <row r="405" spans="1:8" x14ac:dyDescent="0.2">
      <c r="A405" s="1186" t="s">
        <v>13</v>
      </c>
      <c r="B405" s="1186" t="s">
        <v>308</v>
      </c>
      <c r="C405" s="1186" t="s">
        <v>116</v>
      </c>
      <c r="D405" s="1186" t="s">
        <v>13</v>
      </c>
      <c r="E405" s="1186" t="s">
        <v>899</v>
      </c>
      <c r="F405" s="1186" t="s">
        <v>1987</v>
      </c>
      <c r="G405" s="1186" t="s">
        <v>1988</v>
      </c>
      <c r="H405" s="1186">
        <v>798</v>
      </c>
    </row>
    <row r="406" spans="1:8" x14ac:dyDescent="0.2">
      <c r="A406" s="1186" t="s">
        <v>13</v>
      </c>
      <c r="B406" s="1186" t="s">
        <v>308</v>
      </c>
      <c r="C406" s="1186" t="s">
        <v>116</v>
      </c>
      <c r="D406" s="1186" t="s">
        <v>13</v>
      </c>
      <c r="E406" s="1186" t="s">
        <v>900</v>
      </c>
      <c r="F406" s="1186" t="s">
        <v>1981</v>
      </c>
      <c r="G406" s="1186" t="s">
        <v>1988</v>
      </c>
      <c r="H406" s="1186">
        <v>2149</v>
      </c>
    </row>
    <row r="407" spans="1:8" x14ac:dyDescent="0.2">
      <c r="A407" s="1186" t="s">
        <v>15</v>
      </c>
      <c r="B407" s="1186" t="s">
        <v>309</v>
      </c>
      <c r="C407" s="1186" t="s">
        <v>61</v>
      </c>
      <c r="D407" s="1186" t="s">
        <v>15</v>
      </c>
      <c r="E407" s="1186" t="s">
        <v>901</v>
      </c>
      <c r="F407" s="1186" t="s">
        <v>1981</v>
      </c>
      <c r="G407" s="1186" t="s">
        <v>1982</v>
      </c>
      <c r="H407" s="1186">
        <v>120</v>
      </c>
    </row>
    <row r="408" spans="1:8" x14ac:dyDescent="0.2">
      <c r="A408" s="1186" t="s">
        <v>15</v>
      </c>
      <c r="B408" s="1186" t="s">
        <v>309</v>
      </c>
      <c r="C408" s="1186" t="s">
        <v>61</v>
      </c>
      <c r="D408" s="1186" t="s">
        <v>15</v>
      </c>
      <c r="E408" s="1186" t="s">
        <v>902</v>
      </c>
      <c r="F408" s="1186" t="s">
        <v>1981</v>
      </c>
      <c r="G408" s="1186" t="s">
        <v>1982</v>
      </c>
      <c r="H408" s="1186">
        <v>83</v>
      </c>
    </row>
    <row r="409" spans="1:8" x14ac:dyDescent="0.2">
      <c r="A409" s="1186" t="s">
        <v>15</v>
      </c>
      <c r="B409" s="1186" t="s">
        <v>309</v>
      </c>
      <c r="C409" s="1186" t="s">
        <v>61</v>
      </c>
      <c r="D409" s="1186" t="s">
        <v>15</v>
      </c>
      <c r="E409" s="1186" t="s">
        <v>903</v>
      </c>
      <c r="F409" s="1186" t="s">
        <v>1983</v>
      </c>
      <c r="G409" s="1186" t="s">
        <v>1982</v>
      </c>
      <c r="H409" s="1186">
        <v>46</v>
      </c>
    </row>
    <row r="410" spans="1:8" x14ac:dyDescent="0.2">
      <c r="A410" s="1186" t="s">
        <v>15</v>
      </c>
      <c r="B410" s="1186" t="s">
        <v>309</v>
      </c>
      <c r="C410" s="1186" t="s">
        <v>61</v>
      </c>
      <c r="D410" s="1186" t="s">
        <v>15</v>
      </c>
      <c r="E410" s="1186" t="s">
        <v>904</v>
      </c>
      <c r="F410" s="1186" t="s">
        <v>1983</v>
      </c>
      <c r="G410" s="1186" t="s">
        <v>1984</v>
      </c>
      <c r="H410" s="1186">
        <v>29</v>
      </c>
    </row>
    <row r="411" spans="1:8" x14ac:dyDescent="0.2">
      <c r="A411" s="1186" t="s">
        <v>15</v>
      </c>
      <c r="B411" s="1186" t="s">
        <v>309</v>
      </c>
      <c r="C411" s="1186" t="s">
        <v>61</v>
      </c>
      <c r="D411" s="1186" t="s">
        <v>15</v>
      </c>
      <c r="E411" s="1186" t="s">
        <v>905</v>
      </c>
      <c r="F411" s="1186" t="s">
        <v>1983</v>
      </c>
      <c r="G411" s="1186" t="s">
        <v>1984</v>
      </c>
      <c r="H411" s="1186">
        <v>25</v>
      </c>
    </row>
    <row r="412" spans="1:8" x14ac:dyDescent="0.2">
      <c r="A412" s="1186" t="s">
        <v>15</v>
      </c>
      <c r="B412" s="1186" t="s">
        <v>309</v>
      </c>
      <c r="C412" s="1186" t="s">
        <v>61</v>
      </c>
      <c r="D412" s="1186" t="s">
        <v>15</v>
      </c>
      <c r="E412" s="1186" t="s">
        <v>906</v>
      </c>
      <c r="F412" s="1186" t="s">
        <v>1985</v>
      </c>
      <c r="G412" s="1186" t="s">
        <v>1984</v>
      </c>
      <c r="H412" s="1186">
        <v>46</v>
      </c>
    </row>
    <row r="413" spans="1:8" x14ac:dyDescent="0.2">
      <c r="A413" s="1186" t="s">
        <v>15</v>
      </c>
      <c r="B413" s="1186" t="s">
        <v>309</v>
      </c>
      <c r="C413" s="1186" t="s">
        <v>61</v>
      </c>
      <c r="D413" s="1186" t="s">
        <v>15</v>
      </c>
      <c r="E413" s="1186" t="s">
        <v>907</v>
      </c>
      <c r="F413" s="1186" t="s">
        <v>1985</v>
      </c>
      <c r="G413" s="1186" t="s">
        <v>1986</v>
      </c>
      <c r="H413" s="1186">
        <v>94</v>
      </c>
    </row>
    <row r="414" spans="1:8" x14ac:dyDescent="0.2">
      <c r="A414" s="1186" t="s">
        <v>15</v>
      </c>
      <c r="B414" s="1186" t="s">
        <v>309</v>
      </c>
      <c r="C414" s="1186" t="s">
        <v>61</v>
      </c>
      <c r="D414" s="1186" t="s">
        <v>15</v>
      </c>
      <c r="E414" s="1186" t="s">
        <v>908</v>
      </c>
      <c r="F414" s="1186" t="s">
        <v>1985</v>
      </c>
      <c r="G414" s="1186" t="s">
        <v>1986</v>
      </c>
      <c r="H414" s="1186">
        <v>127</v>
      </c>
    </row>
    <row r="415" spans="1:8" x14ac:dyDescent="0.2">
      <c r="A415" s="1186" t="s">
        <v>15</v>
      </c>
      <c r="B415" s="1186" t="s">
        <v>309</v>
      </c>
      <c r="C415" s="1186" t="s">
        <v>61</v>
      </c>
      <c r="D415" s="1186" t="s">
        <v>15</v>
      </c>
      <c r="E415" s="1186" t="s">
        <v>909</v>
      </c>
      <c r="F415" s="1186" t="s">
        <v>1987</v>
      </c>
      <c r="G415" s="1186" t="s">
        <v>1986</v>
      </c>
      <c r="H415" s="1186">
        <v>176</v>
      </c>
    </row>
    <row r="416" spans="1:8" x14ac:dyDescent="0.2">
      <c r="A416" s="1186" t="s">
        <v>15</v>
      </c>
      <c r="B416" s="1186" t="s">
        <v>309</v>
      </c>
      <c r="C416" s="1186" t="s">
        <v>61</v>
      </c>
      <c r="D416" s="1186" t="s">
        <v>15</v>
      </c>
      <c r="E416" s="1186" t="s">
        <v>910</v>
      </c>
      <c r="F416" s="1186" t="s">
        <v>1987</v>
      </c>
      <c r="G416" s="1186" t="s">
        <v>1988</v>
      </c>
      <c r="H416" s="1186">
        <v>215</v>
      </c>
    </row>
    <row r="417" spans="1:8" x14ac:dyDescent="0.2">
      <c r="A417" s="1186" t="s">
        <v>15</v>
      </c>
      <c r="B417" s="1186" t="s">
        <v>309</v>
      </c>
      <c r="C417" s="1186" t="s">
        <v>61</v>
      </c>
      <c r="D417" s="1186" t="s">
        <v>15</v>
      </c>
      <c r="E417" s="1186" t="s">
        <v>911</v>
      </c>
      <c r="F417" s="1186" t="s">
        <v>1987</v>
      </c>
      <c r="G417" s="1186" t="s">
        <v>1988</v>
      </c>
      <c r="H417" s="1186">
        <v>176</v>
      </c>
    </row>
    <row r="418" spans="1:8" x14ac:dyDescent="0.2">
      <c r="A418" s="1186" t="s">
        <v>15</v>
      </c>
      <c r="B418" s="1186" t="s">
        <v>309</v>
      </c>
      <c r="C418" s="1186" t="s">
        <v>61</v>
      </c>
      <c r="D418" s="1186" t="s">
        <v>15</v>
      </c>
      <c r="E418" s="1186" t="s">
        <v>912</v>
      </c>
      <c r="F418" s="1186" t="s">
        <v>1981</v>
      </c>
      <c r="G418" s="1186" t="s">
        <v>1988</v>
      </c>
      <c r="H418" s="1186">
        <v>244</v>
      </c>
    </row>
    <row r="419" spans="1:8" x14ac:dyDescent="0.2">
      <c r="A419" s="1186" t="s">
        <v>15</v>
      </c>
      <c r="B419" s="1186" t="s">
        <v>823</v>
      </c>
      <c r="C419" s="1186" t="s">
        <v>61</v>
      </c>
      <c r="D419" s="1186" t="s">
        <v>15</v>
      </c>
      <c r="E419" s="1186" t="s">
        <v>901</v>
      </c>
      <c r="F419" s="1186" t="s">
        <v>1981</v>
      </c>
      <c r="G419" s="1186" t="s">
        <v>1982</v>
      </c>
      <c r="H419" s="1186">
        <v>405</v>
      </c>
    </row>
    <row r="420" spans="1:8" x14ac:dyDescent="0.2">
      <c r="A420" s="1186" t="s">
        <v>15</v>
      </c>
      <c r="B420" s="1186" t="s">
        <v>823</v>
      </c>
      <c r="C420" s="1186" t="s">
        <v>61</v>
      </c>
      <c r="D420" s="1186" t="s">
        <v>15</v>
      </c>
      <c r="E420" s="1186" t="s">
        <v>902</v>
      </c>
      <c r="F420" s="1186" t="s">
        <v>1981</v>
      </c>
      <c r="G420" s="1186" t="s">
        <v>1982</v>
      </c>
      <c r="H420" s="1186">
        <v>422</v>
      </c>
    </row>
    <row r="421" spans="1:8" x14ac:dyDescent="0.2">
      <c r="A421" s="1186" t="s">
        <v>15</v>
      </c>
      <c r="B421" s="1186" t="s">
        <v>823</v>
      </c>
      <c r="C421" s="1186" t="s">
        <v>61</v>
      </c>
      <c r="D421" s="1186" t="s">
        <v>15</v>
      </c>
      <c r="E421" s="1186" t="s">
        <v>903</v>
      </c>
      <c r="F421" s="1186" t="s">
        <v>1983</v>
      </c>
      <c r="G421" s="1186" t="s">
        <v>1982</v>
      </c>
      <c r="H421" s="1186">
        <v>393</v>
      </c>
    </row>
    <row r="422" spans="1:8" x14ac:dyDescent="0.2">
      <c r="A422" s="1186" t="s">
        <v>15</v>
      </c>
      <c r="B422" s="1186" t="s">
        <v>823</v>
      </c>
      <c r="C422" s="1186" t="s">
        <v>61</v>
      </c>
      <c r="D422" s="1186" t="s">
        <v>15</v>
      </c>
      <c r="E422" s="1186" t="s">
        <v>904</v>
      </c>
      <c r="F422" s="1186" t="s">
        <v>1983</v>
      </c>
      <c r="G422" s="1186" t="s">
        <v>1984</v>
      </c>
      <c r="H422" s="1186">
        <v>343</v>
      </c>
    </row>
    <row r="423" spans="1:8" x14ac:dyDescent="0.2">
      <c r="A423" s="1186" t="s">
        <v>15</v>
      </c>
      <c r="B423" s="1186" t="s">
        <v>823</v>
      </c>
      <c r="C423" s="1186" t="s">
        <v>61</v>
      </c>
      <c r="D423" s="1186" t="s">
        <v>15</v>
      </c>
      <c r="E423" s="1186" t="s">
        <v>905</v>
      </c>
      <c r="F423" s="1186" t="s">
        <v>1983</v>
      </c>
      <c r="G423" s="1186" t="s">
        <v>1984</v>
      </c>
      <c r="H423" s="1186">
        <v>432</v>
      </c>
    </row>
    <row r="424" spans="1:8" x14ac:dyDescent="0.2">
      <c r="A424" s="1186" t="s">
        <v>15</v>
      </c>
      <c r="B424" s="1186" t="s">
        <v>823</v>
      </c>
      <c r="C424" s="1186" t="s">
        <v>61</v>
      </c>
      <c r="D424" s="1186" t="s">
        <v>15</v>
      </c>
      <c r="E424" s="1186" t="s">
        <v>906</v>
      </c>
      <c r="F424" s="1186" t="s">
        <v>1985</v>
      </c>
      <c r="G424" s="1186" t="s">
        <v>1984</v>
      </c>
      <c r="H424" s="1186">
        <v>379</v>
      </c>
    </row>
    <row r="425" spans="1:8" x14ac:dyDescent="0.2">
      <c r="A425" s="1186" t="s">
        <v>15</v>
      </c>
      <c r="B425" s="1186" t="s">
        <v>823</v>
      </c>
      <c r="C425" s="1186" t="s">
        <v>61</v>
      </c>
      <c r="D425" s="1186" t="s">
        <v>15</v>
      </c>
      <c r="E425" s="1186" t="s">
        <v>907</v>
      </c>
      <c r="F425" s="1186" t="s">
        <v>1985</v>
      </c>
      <c r="G425" s="1186" t="s">
        <v>1986</v>
      </c>
      <c r="H425" s="1186">
        <v>450</v>
      </c>
    </row>
    <row r="426" spans="1:8" x14ac:dyDescent="0.2">
      <c r="A426" s="1186" t="s">
        <v>15</v>
      </c>
      <c r="B426" s="1186" t="s">
        <v>823</v>
      </c>
      <c r="C426" s="1186" t="s">
        <v>61</v>
      </c>
      <c r="D426" s="1186" t="s">
        <v>15</v>
      </c>
      <c r="E426" s="1186" t="s">
        <v>908</v>
      </c>
      <c r="F426" s="1186" t="s">
        <v>1985</v>
      </c>
      <c r="G426" s="1186" t="s">
        <v>1986</v>
      </c>
      <c r="H426" s="1186">
        <v>426</v>
      </c>
    </row>
    <row r="427" spans="1:8" x14ac:dyDescent="0.2">
      <c r="A427" s="1186" t="s">
        <v>15</v>
      </c>
      <c r="B427" s="1186" t="s">
        <v>823</v>
      </c>
      <c r="C427" s="1186" t="s">
        <v>61</v>
      </c>
      <c r="D427" s="1186" t="s">
        <v>15</v>
      </c>
      <c r="E427" s="1186" t="s">
        <v>909</v>
      </c>
      <c r="F427" s="1186" t="s">
        <v>1987</v>
      </c>
      <c r="G427" s="1186" t="s">
        <v>1986</v>
      </c>
      <c r="H427" s="1186">
        <v>488</v>
      </c>
    </row>
    <row r="428" spans="1:8" x14ac:dyDescent="0.2">
      <c r="A428" s="1186" t="s">
        <v>15</v>
      </c>
      <c r="B428" s="1186" t="s">
        <v>823</v>
      </c>
      <c r="C428" s="1186" t="s">
        <v>61</v>
      </c>
      <c r="D428" s="1186" t="s">
        <v>15</v>
      </c>
      <c r="E428" s="1186" t="s">
        <v>910</v>
      </c>
      <c r="F428" s="1186" t="s">
        <v>1987</v>
      </c>
      <c r="G428" s="1186" t="s">
        <v>1988</v>
      </c>
      <c r="H428" s="1186">
        <v>406</v>
      </c>
    </row>
    <row r="429" spans="1:8" x14ac:dyDescent="0.2">
      <c r="A429" s="1186" t="s">
        <v>15</v>
      </c>
      <c r="B429" s="1186" t="s">
        <v>823</v>
      </c>
      <c r="C429" s="1186" t="s">
        <v>61</v>
      </c>
      <c r="D429" s="1186" t="s">
        <v>15</v>
      </c>
      <c r="E429" s="1186" t="s">
        <v>911</v>
      </c>
      <c r="F429" s="1186" t="s">
        <v>1987</v>
      </c>
      <c r="G429" s="1186" t="s">
        <v>1988</v>
      </c>
      <c r="H429" s="1186">
        <v>413</v>
      </c>
    </row>
    <row r="430" spans="1:8" x14ac:dyDescent="0.2">
      <c r="A430" s="1186" t="s">
        <v>15</v>
      </c>
      <c r="B430" s="1186" t="s">
        <v>823</v>
      </c>
      <c r="C430" s="1186" t="s">
        <v>61</v>
      </c>
      <c r="D430" s="1186" t="s">
        <v>15</v>
      </c>
      <c r="E430" s="1186" t="s">
        <v>912</v>
      </c>
      <c r="F430" s="1186" t="s">
        <v>1981</v>
      </c>
      <c r="G430" s="1186" t="s">
        <v>1988</v>
      </c>
      <c r="H430" s="1186">
        <v>440</v>
      </c>
    </row>
    <row r="431" spans="1:8" x14ac:dyDescent="0.2">
      <c r="A431" s="1186" t="s">
        <v>15</v>
      </c>
      <c r="B431" s="1186" t="s">
        <v>823</v>
      </c>
      <c r="C431" s="1186" t="s">
        <v>116</v>
      </c>
      <c r="D431" s="1186" t="s">
        <v>15</v>
      </c>
      <c r="E431" s="1186" t="s">
        <v>901</v>
      </c>
      <c r="F431" s="1186" t="s">
        <v>1981</v>
      </c>
      <c r="G431" s="1186" t="s">
        <v>1982</v>
      </c>
      <c r="H431" s="1186">
        <v>80</v>
      </c>
    </row>
    <row r="432" spans="1:8" x14ac:dyDescent="0.2">
      <c r="A432" s="1186" t="s">
        <v>15</v>
      </c>
      <c r="B432" s="1186" t="s">
        <v>823</v>
      </c>
      <c r="C432" s="1186" t="s">
        <v>116</v>
      </c>
      <c r="D432" s="1186" t="s">
        <v>15</v>
      </c>
      <c r="E432" s="1186" t="s">
        <v>902</v>
      </c>
      <c r="F432" s="1186" t="s">
        <v>1981</v>
      </c>
      <c r="G432" s="1186" t="s">
        <v>1982</v>
      </c>
      <c r="H432" s="1186">
        <v>87</v>
      </c>
    </row>
    <row r="433" spans="1:8" x14ac:dyDescent="0.2">
      <c r="A433" s="1186" t="s">
        <v>15</v>
      </c>
      <c r="B433" s="1186" t="s">
        <v>823</v>
      </c>
      <c r="C433" s="1186" t="s">
        <v>116</v>
      </c>
      <c r="D433" s="1186" t="s">
        <v>15</v>
      </c>
      <c r="E433" s="1186" t="s">
        <v>903</v>
      </c>
      <c r="F433" s="1186" t="s">
        <v>1983</v>
      </c>
      <c r="G433" s="1186" t="s">
        <v>1982</v>
      </c>
      <c r="H433" s="1186">
        <v>72</v>
      </c>
    </row>
    <row r="434" spans="1:8" x14ac:dyDescent="0.2">
      <c r="A434" s="1186" t="s">
        <v>15</v>
      </c>
      <c r="B434" s="1186" t="s">
        <v>823</v>
      </c>
      <c r="C434" s="1186" t="s">
        <v>116</v>
      </c>
      <c r="D434" s="1186" t="s">
        <v>15</v>
      </c>
      <c r="E434" s="1186" t="s">
        <v>904</v>
      </c>
      <c r="F434" s="1186" t="s">
        <v>1983</v>
      </c>
      <c r="G434" s="1186" t="s">
        <v>1984</v>
      </c>
      <c r="H434" s="1186">
        <v>87</v>
      </c>
    </row>
    <row r="435" spans="1:8" x14ac:dyDescent="0.2">
      <c r="A435" s="1186" t="s">
        <v>15</v>
      </c>
      <c r="B435" s="1186" t="s">
        <v>823</v>
      </c>
      <c r="C435" s="1186" t="s">
        <v>116</v>
      </c>
      <c r="D435" s="1186" t="s">
        <v>15</v>
      </c>
      <c r="E435" s="1186" t="s">
        <v>905</v>
      </c>
      <c r="F435" s="1186" t="s">
        <v>1983</v>
      </c>
      <c r="G435" s="1186" t="s">
        <v>1984</v>
      </c>
      <c r="H435" s="1186">
        <v>63</v>
      </c>
    </row>
    <row r="436" spans="1:8" x14ac:dyDescent="0.2">
      <c r="A436" s="1186" t="s">
        <v>15</v>
      </c>
      <c r="B436" s="1186" t="s">
        <v>823</v>
      </c>
      <c r="C436" s="1186" t="s">
        <v>116</v>
      </c>
      <c r="D436" s="1186" t="s">
        <v>15</v>
      </c>
      <c r="E436" s="1186" t="s">
        <v>906</v>
      </c>
      <c r="F436" s="1186" t="s">
        <v>1985</v>
      </c>
      <c r="G436" s="1186" t="s">
        <v>1984</v>
      </c>
      <c r="H436" s="1186">
        <v>62</v>
      </c>
    </row>
    <row r="437" spans="1:8" x14ac:dyDescent="0.2">
      <c r="A437" s="1186" t="s">
        <v>15</v>
      </c>
      <c r="B437" s="1186" t="s">
        <v>823</v>
      </c>
      <c r="C437" s="1186" t="s">
        <v>116</v>
      </c>
      <c r="D437" s="1186" t="s">
        <v>15</v>
      </c>
      <c r="E437" s="1186" t="s">
        <v>907</v>
      </c>
      <c r="F437" s="1186" t="s">
        <v>1985</v>
      </c>
      <c r="G437" s="1186" t="s">
        <v>1986</v>
      </c>
      <c r="H437" s="1186">
        <v>63</v>
      </c>
    </row>
    <row r="438" spans="1:8" x14ac:dyDescent="0.2">
      <c r="A438" s="1186" t="s">
        <v>15</v>
      </c>
      <c r="B438" s="1186" t="s">
        <v>823</v>
      </c>
      <c r="C438" s="1186" t="s">
        <v>116</v>
      </c>
      <c r="D438" s="1186" t="s">
        <v>15</v>
      </c>
      <c r="E438" s="1186" t="s">
        <v>908</v>
      </c>
      <c r="F438" s="1186" t="s">
        <v>1985</v>
      </c>
      <c r="G438" s="1186" t="s">
        <v>1986</v>
      </c>
      <c r="H438" s="1186">
        <v>75</v>
      </c>
    </row>
    <row r="439" spans="1:8" x14ac:dyDescent="0.2">
      <c r="A439" s="1186" t="s">
        <v>15</v>
      </c>
      <c r="B439" s="1186" t="s">
        <v>823</v>
      </c>
      <c r="C439" s="1186" t="s">
        <v>116</v>
      </c>
      <c r="D439" s="1186" t="s">
        <v>15</v>
      </c>
      <c r="E439" s="1186" t="s">
        <v>909</v>
      </c>
      <c r="F439" s="1186" t="s">
        <v>1987</v>
      </c>
      <c r="G439" s="1186" t="s">
        <v>1986</v>
      </c>
      <c r="H439" s="1186">
        <v>59</v>
      </c>
    </row>
    <row r="440" spans="1:8" x14ac:dyDescent="0.2">
      <c r="A440" s="1186" t="s">
        <v>15</v>
      </c>
      <c r="B440" s="1186" t="s">
        <v>823</v>
      </c>
      <c r="C440" s="1186" t="s">
        <v>116</v>
      </c>
      <c r="D440" s="1186" t="s">
        <v>15</v>
      </c>
      <c r="E440" s="1186" t="s">
        <v>910</v>
      </c>
      <c r="F440" s="1186" t="s">
        <v>1987</v>
      </c>
      <c r="G440" s="1186" t="s">
        <v>1988</v>
      </c>
      <c r="H440" s="1186">
        <v>63</v>
      </c>
    </row>
    <row r="441" spans="1:8" x14ac:dyDescent="0.2">
      <c r="A441" s="1186" t="s">
        <v>15</v>
      </c>
      <c r="B441" s="1186" t="s">
        <v>823</v>
      </c>
      <c r="C441" s="1186" t="s">
        <v>116</v>
      </c>
      <c r="D441" s="1186" t="s">
        <v>15</v>
      </c>
      <c r="E441" s="1186" t="s">
        <v>911</v>
      </c>
      <c r="F441" s="1186" t="s">
        <v>1987</v>
      </c>
      <c r="G441" s="1186" t="s">
        <v>1988</v>
      </c>
      <c r="H441" s="1186">
        <v>49</v>
      </c>
    </row>
    <row r="442" spans="1:8" x14ac:dyDescent="0.2">
      <c r="A442" s="1186" t="s">
        <v>15</v>
      </c>
      <c r="B442" s="1186" t="s">
        <v>823</v>
      </c>
      <c r="C442" s="1186" t="s">
        <v>116</v>
      </c>
      <c r="D442" s="1186" t="s">
        <v>15</v>
      </c>
      <c r="E442" s="1186" t="s">
        <v>912</v>
      </c>
      <c r="F442" s="1186" t="s">
        <v>1981</v>
      </c>
      <c r="G442" s="1186" t="s">
        <v>1988</v>
      </c>
      <c r="H442" s="1186">
        <v>72</v>
      </c>
    </row>
    <row r="443" spans="1:8" x14ac:dyDescent="0.2">
      <c r="A443" s="1186" t="s">
        <v>15</v>
      </c>
      <c r="B443" s="1186" t="s">
        <v>824</v>
      </c>
      <c r="C443" s="1186" t="s">
        <v>61</v>
      </c>
      <c r="D443" s="1186" t="s">
        <v>15</v>
      </c>
      <c r="E443" s="1186" t="s">
        <v>901</v>
      </c>
      <c r="F443" s="1186" t="s">
        <v>1981</v>
      </c>
      <c r="G443" s="1186" t="s">
        <v>1982</v>
      </c>
      <c r="H443" s="1186">
        <v>136</v>
      </c>
    </row>
    <row r="444" spans="1:8" x14ac:dyDescent="0.2">
      <c r="A444" s="1186" t="s">
        <v>15</v>
      </c>
      <c r="B444" s="1186" t="s">
        <v>824</v>
      </c>
      <c r="C444" s="1186" t="s">
        <v>61</v>
      </c>
      <c r="D444" s="1186" t="s">
        <v>15</v>
      </c>
      <c r="E444" s="1186" t="s">
        <v>902</v>
      </c>
      <c r="F444" s="1186" t="s">
        <v>1981</v>
      </c>
      <c r="G444" s="1186" t="s">
        <v>1982</v>
      </c>
      <c r="H444" s="1186">
        <v>145</v>
      </c>
    </row>
    <row r="445" spans="1:8" x14ac:dyDescent="0.2">
      <c r="A445" s="1186" t="s">
        <v>15</v>
      </c>
      <c r="B445" s="1186" t="s">
        <v>824</v>
      </c>
      <c r="C445" s="1186" t="s">
        <v>61</v>
      </c>
      <c r="D445" s="1186" t="s">
        <v>15</v>
      </c>
      <c r="E445" s="1186" t="s">
        <v>903</v>
      </c>
      <c r="F445" s="1186" t="s">
        <v>1983</v>
      </c>
      <c r="G445" s="1186" t="s">
        <v>1982</v>
      </c>
      <c r="H445" s="1186">
        <v>129</v>
      </c>
    </row>
    <row r="446" spans="1:8" x14ac:dyDescent="0.2">
      <c r="A446" s="1186" t="s">
        <v>15</v>
      </c>
      <c r="B446" s="1186" t="s">
        <v>824</v>
      </c>
      <c r="C446" s="1186" t="s">
        <v>61</v>
      </c>
      <c r="D446" s="1186" t="s">
        <v>15</v>
      </c>
      <c r="E446" s="1186" t="s">
        <v>904</v>
      </c>
      <c r="F446" s="1186" t="s">
        <v>1983</v>
      </c>
      <c r="G446" s="1186" t="s">
        <v>1984</v>
      </c>
      <c r="H446" s="1186">
        <v>138</v>
      </c>
    </row>
    <row r="447" spans="1:8" x14ac:dyDescent="0.2">
      <c r="A447" s="1186" t="s">
        <v>15</v>
      </c>
      <c r="B447" s="1186" t="s">
        <v>824</v>
      </c>
      <c r="C447" s="1186" t="s">
        <v>61</v>
      </c>
      <c r="D447" s="1186" t="s">
        <v>15</v>
      </c>
      <c r="E447" s="1186" t="s">
        <v>905</v>
      </c>
      <c r="F447" s="1186" t="s">
        <v>1983</v>
      </c>
      <c r="G447" s="1186" t="s">
        <v>1984</v>
      </c>
      <c r="H447" s="1186">
        <v>146</v>
      </c>
    </row>
    <row r="448" spans="1:8" x14ac:dyDescent="0.2">
      <c r="A448" s="1186" t="s">
        <v>15</v>
      </c>
      <c r="B448" s="1186" t="s">
        <v>824</v>
      </c>
      <c r="C448" s="1186" t="s">
        <v>61</v>
      </c>
      <c r="D448" s="1186" t="s">
        <v>15</v>
      </c>
      <c r="E448" s="1186" t="s">
        <v>906</v>
      </c>
      <c r="F448" s="1186" t="s">
        <v>1985</v>
      </c>
      <c r="G448" s="1186" t="s">
        <v>1984</v>
      </c>
      <c r="H448" s="1186">
        <v>149</v>
      </c>
    </row>
    <row r="449" spans="1:8" x14ac:dyDescent="0.2">
      <c r="A449" s="1186" t="s">
        <v>15</v>
      </c>
      <c r="B449" s="1186" t="s">
        <v>824</v>
      </c>
      <c r="C449" s="1186" t="s">
        <v>61</v>
      </c>
      <c r="D449" s="1186" t="s">
        <v>15</v>
      </c>
      <c r="E449" s="1186" t="s">
        <v>907</v>
      </c>
      <c r="F449" s="1186" t="s">
        <v>1985</v>
      </c>
      <c r="G449" s="1186" t="s">
        <v>1986</v>
      </c>
      <c r="H449" s="1186">
        <v>149</v>
      </c>
    </row>
    <row r="450" spans="1:8" x14ac:dyDescent="0.2">
      <c r="A450" s="1186" t="s">
        <v>15</v>
      </c>
      <c r="B450" s="1186" t="s">
        <v>824</v>
      </c>
      <c r="C450" s="1186" t="s">
        <v>61</v>
      </c>
      <c r="D450" s="1186" t="s">
        <v>15</v>
      </c>
      <c r="E450" s="1186" t="s">
        <v>908</v>
      </c>
      <c r="F450" s="1186" t="s">
        <v>1985</v>
      </c>
      <c r="G450" s="1186" t="s">
        <v>1986</v>
      </c>
      <c r="H450" s="1186">
        <v>140</v>
      </c>
    </row>
    <row r="451" spans="1:8" x14ac:dyDescent="0.2">
      <c r="A451" s="1186" t="s">
        <v>15</v>
      </c>
      <c r="B451" s="1186" t="s">
        <v>824</v>
      </c>
      <c r="C451" s="1186" t="s">
        <v>61</v>
      </c>
      <c r="D451" s="1186" t="s">
        <v>15</v>
      </c>
      <c r="E451" s="1186" t="s">
        <v>909</v>
      </c>
      <c r="F451" s="1186" t="s">
        <v>1987</v>
      </c>
      <c r="G451" s="1186" t="s">
        <v>1986</v>
      </c>
      <c r="H451" s="1186">
        <v>166</v>
      </c>
    </row>
    <row r="452" spans="1:8" x14ac:dyDescent="0.2">
      <c r="A452" s="1186" t="s">
        <v>15</v>
      </c>
      <c r="B452" s="1186" t="s">
        <v>824</v>
      </c>
      <c r="C452" s="1186" t="s">
        <v>61</v>
      </c>
      <c r="D452" s="1186" t="s">
        <v>15</v>
      </c>
      <c r="E452" s="1186" t="s">
        <v>910</v>
      </c>
      <c r="F452" s="1186" t="s">
        <v>1987</v>
      </c>
      <c r="G452" s="1186" t="s">
        <v>1988</v>
      </c>
      <c r="H452" s="1186">
        <v>133</v>
      </c>
    </row>
    <row r="453" spans="1:8" x14ac:dyDescent="0.2">
      <c r="A453" s="1186" t="s">
        <v>15</v>
      </c>
      <c r="B453" s="1186" t="s">
        <v>824</v>
      </c>
      <c r="C453" s="1186" t="s">
        <v>61</v>
      </c>
      <c r="D453" s="1186" t="s">
        <v>15</v>
      </c>
      <c r="E453" s="1186" t="s">
        <v>911</v>
      </c>
      <c r="F453" s="1186" t="s">
        <v>1987</v>
      </c>
      <c r="G453" s="1186" t="s">
        <v>1988</v>
      </c>
      <c r="H453" s="1186">
        <v>141</v>
      </c>
    </row>
    <row r="454" spans="1:8" x14ac:dyDescent="0.2">
      <c r="A454" s="1186" t="s">
        <v>15</v>
      </c>
      <c r="B454" s="1186" t="s">
        <v>824</v>
      </c>
      <c r="C454" s="1186" t="s">
        <v>61</v>
      </c>
      <c r="D454" s="1186" t="s">
        <v>15</v>
      </c>
      <c r="E454" s="1186" t="s">
        <v>912</v>
      </c>
      <c r="F454" s="1186" t="s">
        <v>1981</v>
      </c>
      <c r="G454" s="1186" t="s">
        <v>1988</v>
      </c>
      <c r="H454" s="1186">
        <v>147</v>
      </c>
    </row>
    <row r="455" spans="1:8" x14ac:dyDescent="0.2">
      <c r="A455" s="1186" t="s">
        <v>15</v>
      </c>
      <c r="B455" s="1186" t="s">
        <v>824</v>
      </c>
      <c r="C455" s="1186" t="s">
        <v>116</v>
      </c>
      <c r="D455" s="1186" t="s">
        <v>15</v>
      </c>
      <c r="E455" s="1186" t="s">
        <v>901</v>
      </c>
      <c r="F455" s="1186" t="s">
        <v>1981</v>
      </c>
      <c r="G455" s="1186" t="s">
        <v>1982</v>
      </c>
      <c r="H455" s="1186">
        <v>62</v>
      </c>
    </row>
    <row r="456" spans="1:8" x14ac:dyDescent="0.2">
      <c r="A456" s="1186" t="s">
        <v>15</v>
      </c>
      <c r="B456" s="1186" t="s">
        <v>824</v>
      </c>
      <c r="C456" s="1186" t="s">
        <v>116</v>
      </c>
      <c r="D456" s="1186" t="s">
        <v>15</v>
      </c>
      <c r="E456" s="1186" t="s">
        <v>902</v>
      </c>
      <c r="F456" s="1186" t="s">
        <v>1981</v>
      </c>
      <c r="G456" s="1186" t="s">
        <v>1982</v>
      </c>
      <c r="H456" s="1186">
        <v>82</v>
      </c>
    </row>
    <row r="457" spans="1:8" x14ac:dyDescent="0.2">
      <c r="A457" s="1186" t="s">
        <v>15</v>
      </c>
      <c r="B457" s="1186" t="s">
        <v>824</v>
      </c>
      <c r="C457" s="1186" t="s">
        <v>116</v>
      </c>
      <c r="D457" s="1186" t="s">
        <v>15</v>
      </c>
      <c r="E457" s="1186" t="s">
        <v>903</v>
      </c>
      <c r="F457" s="1186" t="s">
        <v>1983</v>
      </c>
      <c r="G457" s="1186" t="s">
        <v>1982</v>
      </c>
      <c r="H457" s="1186">
        <v>72</v>
      </c>
    </row>
    <row r="458" spans="1:8" x14ac:dyDescent="0.2">
      <c r="A458" s="1186" t="s">
        <v>15</v>
      </c>
      <c r="B458" s="1186" t="s">
        <v>824</v>
      </c>
      <c r="C458" s="1186" t="s">
        <v>116</v>
      </c>
      <c r="D458" s="1186" t="s">
        <v>15</v>
      </c>
      <c r="E458" s="1186" t="s">
        <v>904</v>
      </c>
      <c r="F458" s="1186" t="s">
        <v>1983</v>
      </c>
      <c r="G458" s="1186" t="s">
        <v>1984</v>
      </c>
      <c r="H458" s="1186">
        <v>72</v>
      </c>
    </row>
    <row r="459" spans="1:8" x14ac:dyDescent="0.2">
      <c r="A459" s="1186" t="s">
        <v>15</v>
      </c>
      <c r="B459" s="1186" t="s">
        <v>824</v>
      </c>
      <c r="C459" s="1186" t="s">
        <v>116</v>
      </c>
      <c r="D459" s="1186" t="s">
        <v>15</v>
      </c>
      <c r="E459" s="1186" t="s">
        <v>905</v>
      </c>
      <c r="F459" s="1186" t="s">
        <v>1983</v>
      </c>
      <c r="G459" s="1186" t="s">
        <v>1984</v>
      </c>
      <c r="H459" s="1186">
        <v>64</v>
      </c>
    </row>
    <row r="460" spans="1:8" x14ac:dyDescent="0.2">
      <c r="A460" s="1186" t="s">
        <v>15</v>
      </c>
      <c r="B460" s="1186" t="s">
        <v>824</v>
      </c>
      <c r="C460" s="1186" t="s">
        <v>116</v>
      </c>
      <c r="D460" s="1186" t="s">
        <v>15</v>
      </c>
      <c r="E460" s="1186" t="s">
        <v>906</v>
      </c>
      <c r="F460" s="1186" t="s">
        <v>1985</v>
      </c>
      <c r="G460" s="1186" t="s">
        <v>1984</v>
      </c>
      <c r="H460" s="1186">
        <v>53</v>
      </c>
    </row>
    <row r="461" spans="1:8" x14ac:dyDescent="0.2">
      <c r="A461" s="1186" t="s">
        <v>15</v>
      </c>
      <c r="B461" s="1186" t="s">
        <v>824</v>
      </c>
      <c r="C461" s="1186" t="s">
        <v>116</v>
      </c>
      <c r="D461" s="1186" t="s">
        <v>15</v>
      </c>
      <c r="E461" s="1186" t="s">
        <v>907</v>
      </c>
      <c r="F461" s="1186" t="s">
        <v>1985</v>
      </c>
      <c r="G461" s="1186" t="s">
        <v>1986</v>
      </c>
      <c r="H461" s="1186">
        <v>46</v>
      </c>
    </row>
    <row r="462" spans="1:8" x14ac:dyDescent="0.2">
      <c r="A462" s="1186" t="s">
        <v>15</v>
      </c>
      <c r="B462" s="1186" t="s">
        <v>824</v>
      </c>
      <c r="C462" s="1186" t="s">
        <v>116</v>
      </c>
      <c r="D462" s="1186" t="s">
        <v>15</v>
      </c>
      <c r="E462" s="1186" t="s">
        <v>908</v>
      </c>
      <c r="F462" s="1186" t="s">
        <v>1985</v>
      </c>
      <c r="G462" s="1186" t="s">
        <v>1986</v>
      </c>
      <c r="H462" s="1186">
        <v>56</v>
      </c>
    </row>
    <row r="463" spans="1:8" x14ac:dyDescent="0.2">
      <c r="A463" s="1186" t="s">
        <v>15</v>
      </c>
      <c r="B463" s="1186" t="s">
        <v>824</v>
      </c>
      <c r="C463" s="1186" t="s">
        <v>116</v>
      </c>
      <c r="D463" s="1186" t="s">
        <v>15</v>
      </c>
      <c r="E463" s="1186" t="s">
        <v>909</v>
      </c>
      <c r="F463" s="1186" t="s">
        <v>1987</v>
      </c>
      <c r="G463" s="1186" t="s">
        <v>1986</v>
      </c>
      <c r="H463" s="1186">
        <v>52</v>
      </c>
    </row>
    <row r="464" spans="1:8" x14ac:dyDescent="0.2">
      <c r="A464" s="1186" t="s">
        <v>15</v>
      </c>
      <c r="B464" s="1186" t="s">
        <v>824</v>
      </c>
      <c r="C464" s="1186" t="s">
        <v>116</v>
      </c>
      <c r="D464" s="1186" t="s">
        <v>15</v>
      </c>
      <c r="E464" s="1186" t="s">
        <v>910</v>
      </c>
      <c r="F464" s="1186" t="s">
        <v>1987</v>
      </c>
      <c r="G464" s="1186" t="s">
        <v>1988</v>
      </c>
      <c r="H464" s="1186">
        <v>45</v>
      </c>
    </row>
    <row r="465" spans="1:8" x14ac:dyDescent="0.2">
      <c r="A465" s="1186" t="s">
        <v>15</v>
      </c>
      <c r="B465" s="1186" t="s">
        <v>824</v>
      </c>
      <c r="C465" s="1186" t="s">
        <v>116</v>
      </c>
      <c r="D465" s="1186" t="s">
        <v>15</v>
      </c>
      <c r="E465" s="1186" t="s">
        <v>911</v>
      </c>
      <c r="F465" s="1186" t="s">
        <v>1987</v>
      </c>
      <c r="G465" s="1186" t="s">
        <v>1988</v>
      </c>
      <c r="H465" s="1186">
        <v>35</v>
      </c>
    </row>
    <row r="466" spans="1:8" x14ac:dyDescent="0.2">
      <c r="A466" s="1186" t="s">
        <v>15</v>
      </c>
      <c r="B466" s="1186" t="s">
        <v>824</v>
      </c>
      <c r="C466" s="1186" t="s">
        <v>116</v>
      </c>
      <c r="D466" s="1186" t="s">
        <v>15</v>
      </c>
      <c r="E466" s="1186" t="s">
        <v>912</v>
      </c>
      <c r="F466" s="1186" t="s">
        <v>1981</v>
      </c>
      <c r="G466" s="1186" t="s">
        <v>1988</v>
      </c>
      <c r="H466" s="1186">
        <v>50</v>
      </c>
    </row>
    <row r="467" spans="1:8" x14ac:dyDescent="0.2">
      <c r="A467" s="1186" t="s">
        <v>15</v>
      </c>
      <c r="B467" s="1186" t="s">
        <v>825</v>
      </c>
      <c r="C467" s="1186" t="s">
        <v>61</v>
      </c>
      <c r="D467" s="1186" t="s">
        <v>15</v>
      </c>
      <c r="E467" s="1186" t="s">
        <v>901</v>
      </c>
      <c r="F467" s="1186" t="s">
        <v>1981</v>
      </c>
      <c r="G467" s="1186" t="s">
        <v>1982</v>
      </c>
      <c r="H467" s="1186">
        <v>105</v>
      </c>
    </row>
    <row r="468" spans="1:8" x14ac:dyDescent="0.2">
      <c r="A468" s="1186" t="s">
        <v>15</v>
      </c>
      <c r="B468" s="1186" t="s">
        <v>825</v>
      </c>
      <c r="C468" s="1186" t="s">
        <v>61</v>
      </c>
      <c r="D468" s="1186" t="s">
        <v>15</v>
      </c>
      <c r="E468" s="1186" t="s">
        <v>902</v>
      </c>
      <c r="F468" s="1186" t="s">
        <v>1981</v>
      </c>
      <c r="G468" s="1186" t="s">
        <v>1982</v>
      </c>
      <c r="H468" s="1186">
        <v>115</v>
      </c>
    </row>
    <row r="469" spans="1:8" x14ac:dyDescent="0.2">
      <c r="A469" s="1186" t="s">
        <v>15</v>
      </c>
      <c r="B469" s="1186" t="s">
        <v>825</v>
      </c>
      <c r="C469" s="1186" t="s">
        <v>61</v>
      </c>
      <c r="D469" s="1186" t="s">
        <v>15</v>
      </c>
      <c r="E469" s="1186" t="s">
        <v>903</v>
      </c>
      <c r="F469" s="1186" t="s">
        <v>1983</v>
      </c>
      <c r="G469" s="1186" t="s">
        <v>1982</v>
      </c>
      <c r="H469" s="1186">
        <v>104</v>
      </c>
    </row>
    <row r="470" spans="1:8" x14ac:dyDescent="0.2">
      <c r="A470" s="1186" t="s">
        <v>15</v>
      </c>
      <c r="B470" s="1186" t="s">
        <v>825</v>
      </c>
      <c r="C470" s="1186" t="s">
        <v>61</v>
      </c>
      <c r="D470" s="1186" t="s">
        <v>15</v>
      </c>
      <c r="E470" s="1186" t="s">
        <v>904</v>
      </c>
      <c r="F470" s="1186" t="s">
        <v>1983</v>
      </c>
      <c r="G470" s="1186" t="s">
        <v>1984</v>
      </c>
      <c r="H470" s="1186">
        <v>96</v>
      </c>
    </row>
    <row r="471" spans="1:8" x14ac:dyDescent="0.2">
      <c r="A471" s="1186" t="s">
        <v>15</v>
      </c>
      <c r="B471" s="1186" t="s">
        <v>825</v>
      </c>
      <c r="C471" s="1186" t="s">
        <v>61</v>
      </c>
      <c r="D471" s="1186" t="s">
        <v>15</v>
      </c>
      <c r="E471" s="1186" t="s">
        <v>905</v>
      </c>
      <c r="F471" s="1186" t="s">
        <v>1983</v>
      </c>
      <c r="G471" s="1186" t="s">
        <v>1984</v>
      </c>
      <c r="H471" s="1186">
        <v>105</v>
      </c>
    </row>
    <row r="472" spans="1:8" x14ac:dyDescent="0.2">
      <c r="A472" s="1186" t="s">
        <v>15</v>
      </c>
      <c r="B472" s="1186" t="s">
        <v>825</v>
      </c>
      <c r="C472" s="1186" t="s">
        <v>61</v>
      </c>
      <c r="D472" s="1186" t="s">
        <v>15</v>
      </c>
      <c r="E472" s="1186" t="s">
        <v>906</v>
      </c>
      <c r="F472" s="1186" t="s">
        <v>1985</v>
      </c>
      <c r="G472" s="1186" t="s">
        <v>1984</v>
      </c>
      <c r="H472" s="1186">
        <v>119</v>
      </c>
    </row>
    <row r="473" spans="1:8" x14ac:dyDescent="0.2">
      <c r="A473" s="1186" t="s">
        <v>15</v>
      </c>
      <c r="B473" s="1186" t="s">
        <v>825</v>
      </c>
      <c r="C473" s="1186" t="s">
        <v>61</v>
      </c>
      <c r="D473" s="1186" t="s">
        <v>15</v>
      </c>
      <c r="E473" s="1186" t="s">
        <v>907</v>
      </c>
      <c r="F473" s="1186" t="s">
        <v>1985</v>
      </c>
      <c r="G473" s="1186" t="s">
        <v>1986</v>
      </c>
      <c r="H473" s="1186">
        <v>106</v>
      </c>
    </row>
    <row r="474" spans="1:8" x14ac:dyDescent="0.2">
      <c r="A474" s="1186" t="s">
        <v>15</v>
      </c>
      <c r="B474" s="1186" t="s">
        <v>825</v>
      </c>
      <c r="C474" s="1186" t="s">
        <v>61</v>
      </c>
      <c r="D474" s="1186" t="s">
        <v>15</v>
      </c>
      <c r="E474" s="1186" t="s">
        <v>908</v>
      </c>
      <c r="F474" s="1186" t="s">
        <v>1985</v>
      </c>
      <c r="G474" s="1186" t="s">
        <v>1986</v>
      </c>
      <c r="H474" s="1186">
        <v>94</v>
      </c>
    </row>
    <row r="475" spans="1:8" x14ac:dyDescent="0.2">
      <c r="A475" s="1186" t="s">
        <v>15</v>
      </c>
      <c r="B475" s="1186" t="s">
        <v>825</v>
      </c>
      <c r="C475" s="1186" t="s">
        <v>61</v>
      </c>
      <c r="D475" s="1186" t="s">
        <v>15</v>
      </c>
      <c r="E475" s="1186" t="s">
        <v>909</v>
      </c>
      <c r="F475" s="1186" t="s">
        <v>1987</v>
      </c>
      <c r="G475" s="1186" t="s">
        <v>1986</v>
      </c>
      <c r="H475" s="1186">
        <v>103</v>
      </c>
    </row>
    <row r="476" spans="1:8" x14ac:dyDescent="0.2">
      <c r="A476" s="1186" t="s">
        <v>15</v>
      </c>
      <c r="B476" s="1186" t="s">
        <v>825</v>
      </c>
      <c r="C476" s="1186" t="s">
        <v>61</v>
      </c>
      <c r="D476" s="1186" t="s">
        <v>15</v>
      </c>
      <c r="E476" s="1186" t="s">
        <v>910</v>
      </c>
      <c r="F476" s="1186" t="s">
        <v>1987</v>
      </c>
      <c r="G476" s="1186" t="s">
        <v>1988</v>
      </c>
      <c r="H476" s="1186">
        <v>88</v>
      </c>
    </row>
    <row r="477" spans="1:8" x14ac:dyDescent="0.2">
      <c r="A477" s="1186" t="s">
        <v>15</v>
      </c>
      <c r="B477" s="1186" t="s">
        <v>825</v>
      </c>
      <c r="C477" s="1186" t="s">
        <v>61</v>
      </c>
      <c r="D477" s="1186" t="s">
        <v>15</v>
      </c>
      <c r="E477" s="1186" t="s">
        <v>911</v>
      </c>
      <c r="F477" s="1186" t="s">
        <v>1987</v>
      </c>
      <c r="G477" s="1186" t="s">
        <v>1988</v>
      </c>
      <c r="H477" s="1186">
        <v>91</v>
      </c>
    </row>
    <row r="478" spans="1:8" x14ac:dyDescent="0.2">
      <c r="A478" s="1186" t="s">
        <v>15</v>
      </c>
      <c r="B478" s="1186" t="s">
        <v>825</v>
      </c>
      <c r="C478" s="1186" t="s">
        <v>61</v>
      </c>
      <c r="D478" s="1186" t="s">
        <v>15</v>
      </c>
      <c r="E478" s="1186" t="s">
        <v>912</v>
      </c>
      <c r="F478" s="1186" t="s">
        <v>1981</v>
      </c>
      <c r="G478" s="1186" t="s">
        <v>1988</v>
      </c>
      <c r="H478" s="1186">
        <v>94</v>
      </c>
    </row>
    <row r="479" spans="1:8" x14ac:dyDescent="0.2">
      <c r="A479" s="1186" t="s">
        <v>15</v>
      </c>
      <c r="B479" s="1186" t="s">
        <v>825</v>
      </c>
      <c r="C479" s="1186" t="s">
        <v>116</v>
      </c>
      <c r="D479" s="1186" t="s">
        <v>15</v>
      </c>
      <c r="E479" s="1186" t="s">
        <v>901</v>
      </c>
      <c r="F479" s="1186" t="s">
        <v>1981</v>
      </c>
      <c r="G479" s="1186" t="s">
        <v>1982</v>
      </c>
      <c r="H479" s="1186">
        <v>74</v>
      </c>
    </row>
    <row r="480" spans="1:8" x14ac:dyDescent="0.2">
      <c r="A480" s="1186" t="s">
        <v>15</v>
      </c>
      <c r="B480" s="1186" t="s">
        <v>825</v>
      </c>
      <c r="C480" s="1186" t="s">
        <v>116</v>
      </c>
      <c r="D480" s="1186" t="s">
        <v>15</v>
      </c>
      <c r="E480" s="1186" t="s">
        <v>902</v>
      </c>
      <c r="F480" s="1186" t="s">
        <v>1981</v>
      </c>
      <c r="G480" s="1186" t="s">
        <v>1982</v>
      </c>
      <c r="H480" s="1186">
        <v>78</v>
      </c>
    </row>
    <row r="481" spans="1:8" x14ac:dyDescent="0.2">
      <c r="A481" s="1186" t="s">
        <v>15</v>
      </c>
      <c r="B481" s="1186" t="s">
        <v>825</v>
      </c>
      <c r="C481" s="1186" t="s">
        <v>116</v>
      </c>
      <c r="D481" s="1186" t="s">
        <v>15</v>
      </c>
      <c r="E481" s="1186" t="s">
        <v>903</v>
      </c>
      <c r="F481" s="1186" t="s">
        <v>1983</v>
      </c>
      <c r="G481" s="1186" t="s">
        <v>1982</v>
      </c>
      <c r="H481" s="1186">
        <v>71</v>
      </c>
    </row>
    <row r="482" spans="1:8" x14ac:dyDescent="0.2">
      <c r="A482" s="1186" t="s">
        <v>15</v>
      </c>
      <c r="B482" s="1186" t="s">
        <v>825</v>
      </c>
      <c r="C482" s="1186" t="s">
        <v>116</v>
      </c>
      <c r="D482" s="1186" t="s">
        <v>15</v>
      </c>
      <c r="E482" s="1186" t="s">
        <v>904</v>
      </c>
      <c r="F482" s="1186" t="s">
        <v>1983</v>
      </c>
      <c r="G482" s="1186" t="s">
        <v>1984</v>
      </c>
      <c r="H482" s="1186">
        <v>69</v>
      </c>
    </row>
    <row r="483" spans="1:8" x14ac:dyDescent="0.2">
      <c r="A483" s="1186" t="s">
        <v>15</v>
      </c>
      <c r="B483" s="1186" t="s">
        <v>825</v>
      </c>
      <c r="C483" s="1186" t="s">
        <v>116</v>
      </c>
      <c r="D483" s="1186" t="s">
        <v>15</v>
      </c>
      <c r="E483" s="1186" t="s">
        <v>905</v>
      </c>
      <c r="F483" s="1186" t="s">
        <v>1983</v>
      </c>
      <c r="G483" s="1186" t="s">
        <v>1984</v>
      </c>
      <c r="H483" s="1186">
        <v>83</v>
      </c>
    </row>
    <row r="484" spans="1:8" x14ac:dyDescent="0.2">
      <c r="A484" s="1186" t="s">
        <v>15</v>
      </c>
      <c r="B484" s="1186" t="s">
        <v>825</v>
      </c>
      <c r="C484" s="1186" t="s">
        <v>116</v>
      </c>
      <c r="D484" s="1186" t="s">
        <v>15</v>
      </c>
      <c r="E484" s="1186" t="s">
        <v>906</v>
      </c>
      <c r="F484" s="1186" t="s">
        <v>1985</v>
      </c>
      <c r="G484" s="1186" t="s">
        <v>1984</v>
      </c>
      <c r="H484" s="1186">
        <v>72</v>
      </c>
    </row>
    <row r="485" spans="1:8" x14ac:dyDescent="0.2">
      <c r="A485" s="1186" t="s">
        <v>15</v>
      </c>
      <c r="B485" s="1186" t="s">
        <v>825</v>
      </c>
      <c r="C485" s="1186" t="s">
        <v>116</v>
      </c>
      <c r="D485" s="1186" t="s">
        <v>15</v>
      </c>
      <c r="E485" s="1186" t="s">
        <v>907</v>
      </c>
      <c r="F485" s="1186" t="s">
        <v>1985</v>
      </c>
      <c r="G485" s="1186" t="s">
        <v>1986</v>
      </c>
      <c r="H485" s="1186">
        <v>78</v>
      </c>
    </row>
    <row r="486" spans="1:8" x14ac:dyDescent="0.2">
      <c r="A486" s="1186" t="s">
        <v>15</v>
      </c>
      <c r="B486" s="1186" t="s">
        <v>825</v>
      </c>
      <c r="C486" s="1186" t="s">
        <v>116</v>
      </c>
      <c r="D486" s="1186" t="s">
        <v>15</v>
      </c>
      <c r="E486" s="1186" t="s">
        <v>908</v>
      </c>
      <c r="F486" s="1186" t="s">
        <v>1985</v>
      </c>
      <c r="G486" s="1186" t="s">
        <v>1986</v>
      </c>
      <c r="H486" s="1186">
        <v>43</v>
      </c>
    </row>
    <row r="487" spans="1:8" x14ac:dyDescent="0.2">
      <c r="A487" s="1186" t="s">
        <v>15</v>
      </c>
      <c r="B487" s="1186" t="s">
        <v>825</v>
      </c>
      <c r="C487" s="1186" t="s">
        <v>116</v>
      </c>
      <c r="D487" s="1186" t="s">
        <v>15</v>
      </c>
      <c r="E487" s="1186" t="s">
        <v>909</v>
      </c>
      <c r="F487" s="1186" t="s">
        <v>1987</v>
      </c>
      <c r="G487" s="1186" t="s">
        <v>1986</v>
      </c>
      <c r="H487" s="1186">
        <v>51</v>
      </c>
    </row>
    <row r="488" spans="1:8" x14ac:dyDescent="0.2">
      <c r="A488" s="1186" t="s">
        <v>15</v>
      </c>
      <c r="B488" s="1186" t="s">
        <v>825</v>
      </c>
      <c r="C488" s="1186" t="s">
        <v>116</v>
      </c>
      <c r="D488" s="1186" t="s">
        <v>15</v>
      </c>
      <c r="E488" s="1186" t="s">
        <v>910</v>
      </c>
      <c r="F488" s="1186" t="s">
        <v>1987</v>
      </c>
      <c r="G488" s="1186" t="s">
        <v>1988</v>
      </c>
      <c r="H488" s="1186">
        <v>70</v>
      </c>
    </row>
    <row r="489" spans="1:8" x14ac:dyDescent="0.2">
      <c r="A489" s="1186" t="s">
        <v>15</v>
      </c>
      <c r="B489" s="1186" t="s">
        <v>825</v>
      </c>
      <c r="C489" s="1186" t="s">
        <v>116</v>
      </c>
      <c r="D489" s="1186" t="s">
        <v>15</v>
      </c>
      <c r="E489" s="1186" t="s">
        <v>911</v>
      </c>
      <c r="F489" s="1186" t="s">
        <v>1987</v>
      </c>
      <c r="G489" s="1186" t="s">
        <v>1988</v>
      </c>
      <c r="H489" s="1186">
        <v>60</v>
      </c>
    </row>
    <row r="490" spans="1:8" x14ac:dyDescent="0.2">
      <c r="A490" s="1186" t="s">
        <v>15</v>
      </c>
      <c r="B490" s="1186" t="s">
        <v>825</v>
      </c>
      <c r="C490" s="1186" t="s">
        <v>116</v>
      </c>
      <c r="D490" s="1186" t="s">
        <v>15</v>
      </c>
      <c r="E490" s="1186" t="s">
        <v>912</v>
      </c>
      <c r="F490" s="1186" t="s">
        <v>1981</v>
      </c>
      <c r="G490" s="1186" t="s">
        <v>1988</v>
      </c>
      <c r="H490" s="1186">
        <v>65</v>
      </c>
    </row>
    <row r="491" spans="1:8" x14ac:dyDescent="0.2">
      <c r="A491" s="1186" t="s">
        <v>15</v>
      </c>
      <c r="B491" s="1186" t="s">
        <v>826</v>
      </c>
      <c r="C491" s="1186" t="s">
        <v>61</v>
      </c>
      <c r="D491" s="1186" t="s">
        <v>15</v>
      </c>
      <c r="E491" s="1186" t="s">
        <v>901</v>
      </c>
      <c r="F491" s="1186" t="s">
        <v>1981</v>
      </c>
      <c r="G491" s="1186" t="s">
        <v>1982</v>
      </c>
      <c r="H491" s="1186">
        <v>26</v>
      </c>
    </row>
    <row r="492" spans="1:8" x14ac:dyDescent="0.2">
      <c r="A492" s="1186" t="s">
        <v>15</v>
      </c>
      <c r="B492" s="1186" t="s">
        <v>826</v>
      </c>
      <c r="C492" s="1186" t="s">
        <v>61</v>
      </c>
      <c r="D492" s="1186" t="s">
        <v>15</v>
      </c>
      <c r="E492" s="1186" t="s">
        <v>902</v>
      </c>
      <c r="F492" s="1186" t="s">
        <v>1981</v>
      </c>
      <c r="G492" s="1186" t="s">
        <v>1982</v>
      </c>
      <c r="H492" s="1186">
        <v>38</v>
      </c>
    </row>
    <row r="493" spans="1:8" x14ac:dyDescent="0.2">
      <c r="A493" s="1186" t="s">
        <v>15</v>
      </c>
      <c r="B493" s="1186" t="s">
        <v>826</v>
      </c>
      <c r="C493" s="1186" t="s">
        <v>61</v>
      </c>
      <c r="D493" s="1186" t="s">
        <v>15</v>
      </c>
      <c r="E493" s="1186" t="s">
        <v>903</v>
      </c>
      <c r="F493" s="1186" t="s">
        <v>1983</v>
      </c>
      <c r="G493" s="1186" t="s">
        <v>1982</v>
      </c>
      <c r="H493" s="1186">
        <v>23</v>
      </c>
    </row>
    <row r="494" spans="1:8" x14ac:dyDescent="0.2">
      <c r="A494" s="1186" t="s">
        <v>15</v>
      </c>
      <c r="B494" s="1186" t="s">
        <v>826</v>
      </c>
      <c r="C494" s="1186" t="s">
        <v>61</v>
      </c>
      <c r="D494" s="1186" t="s">
        <v>15</v>
      </c>
      <c r="E494" s="1186" t="s">
        <v>904</v>
      </c>
      <c r="F494" s="1186" t="s">
        <v>1983</v>
      </c>
      <c r="G494" s="1186" t="s">
        <v>1984</v>
      </c>
      <c r="H494" s="1186">
        <v>31</v>
      </c>
    </row>
    <row r="495" spans="1:8" x14ac:dyDescent="0.2">
      <c r="A495" s="1186" t="s">
        <v>15</v>
      </c>
      <c r="B495" s="1186" t="s">
        <v>826</v>
      </c>
      <c r="C495" s="1186" t="s">
        <v>61</v>
      </c>
      <c r="D495" s="1186" t="s">
        <v>15</v>
      </c>
      <c r="E495" s="1186" t="s">
        <v>905</v>
      </c>
      <c r="F495" s="1186" t="s">
        <v>1983</v>
      </c>
      <c r="G495" s="1186" t="s">
        <v>1984</v>
      </c>
      <c r="H495" s="1186">
        <v>42</v>
      </c>
    </row>
    <row r="496" spans="1:8" x14ac:dyDescent="0.2">
      <c r="A496" s="1186" t="s">
        <v>15</v>
      </c>
      <c r="B496" s="1186" t="s">
        <v>826</v>
      </c>
      <c r="C496" s="1186" t="s">
        <v>61</v>
      </c>
      <c r="D496" s="1186" t="s">
        <v>15</v>
      </c>
      <c r="E496" s="1186" t="s">
        <v>906</v>
      </c>
      <c r="F496" s="1186" t="s">
        <v>1985</v>
      </c>
      <c r="G496" s="1186" t="s">
        <v>1984</v>
      </c>
      <c r="H496" s="1186">
        <v>46</v>
      </c>
    </row>
    <row r="497" spans="1:8" x14ac:dyDescent="0.2">
      <c r="A497" s="1186" t="s">
        <v>15</v>
      </c>
      <c r="B497" s="1186" t="s">
        <v>826</v>
      </c>
      <c r="C497" s="1186" t="s">
        <v>61</v>
      </c>
      <c r="D497" s="1186" t="s">
        <v>15</v>
      </c>
      <c r="E497" s="1186" t="s">
        <v>907</v>
      </c>
      <c r="F497" s="1186" t="s">
        <v>1985</v>
      </c>
      <c r="G497" s="1186" t="s">
        <v>1986</v>
      </c>
      <c r="H497" s="1186">
        <v>21</v>
      </c>
    </row>
    <row r="498" spans="1:8" x14ac:dyDescent="0.2">
      <c r="A498" s="1186" t="s">
        <v>15</v>
      </c>
      <c r="B498" s="1186" t="s">
        <v>826</v>
      </c>
      <c r="C498" s="1186" t="s">
        <v>61</v>
      </c>
      <c r="D498" s="1186" t="s">
        <v>15</v>
      </c>
      <c r="E498" s="1186" t="s">
        <v>908</v>
      </c>
      <c r="F498" s="1186" t="s">
        <v>1985</v>
      </c>
      <c r="G498" s="1186" t="s">
        <v>1986</v>
      </c>
      <c r="H498" s="1186">
        <v>18</v>
      </c>
    </row>
    <row r="499" spans="1:8" x14ac:dyDescent="0.2">
      <c r="A499" s="1186" t="s">
        <v>15</v>
      </c>
      <c r="B499" s="1186" t="s">
        <v>826</v>
      </c>
      <c r="C499" s="1186" t="s">
        <v>61</v>
      </c>
      <c r="D499" s="1186" t="s">
        <v>15</v>
      </c>
      <c r="E499" s="1186" t="s">
        <v>909</v>
      </c>
      <c r="F499" s="1186" t="s">
        <v>1987</v>
      </c>
      <c r="G499" s="1186" t="s">
        <v>1986</v>
      </c>
      <c r="H499" s="1186">
        <v>19</v>
      </c>
    </row>
    <row r="500" spans="1:8" x14ac:dyDescent="0.2">
      <c r="A500" s="1186" t="s">
        <v>15</v>
      </c>
      <c r="B500" s="1186" t="s">
        <v>826</v>
      </c>
      <c r="C500" s="1186" t="s">
        <v>61</v>
      </c>
      <c r="D500" s="1186" t="s">
        <v>15</v>
      </c>
      <c r="E500" s="1186" t="s">
        <v>910</v>
      </c>
      <c r="F500" s="1186" t="s">
        <v>1987</v>
      </c>
      <c r="G500" s="1186" t="s">
        <v>1988</v>
      </c>
      <c r="H500" s="1186">
        <v>14</v>
      </c>
    </row>
    <row r="501" spans="1:8" x14ac:dyDescent="0.2">
      <c r="A501" s="1186" t="s">
        <v>15</v>
      </c>
      <c r="B501" s="1186" t="s">
        <v>826</v>
      </c>
      <c r="C501" s="1186" t="s">
        <v>61</v>
      </c>
      <c r="D501" s="1186" t="s">
        <v>15</v>
      </c>
      <c r="E501" s="1186" t="s">
        <v>911</v>
      </c>
      <c r="F501" s="1186" t="s">
        <v>1987</v>
      </c>
      <c r="G501" s="1186" t="s">
        <v>1988</v>
      </c>
      <c r="H501" s="1186">
        <v>16</v>
      </c>
    </row>
    <row r="502" spans="1:8" x14ac:dyDescent="0.2">
      <c r="A502" s="1186" t="s">
        <v>15</v>
      </c>
      <c r="B502" s="1186" t="s">
        <v>826</v>
      </c>
      <c r="C502" s="1186" t="s">
        <v>61</v>
      </c>
      <c r="D502" s="1186" t="s">
        <v>15</v>
      </c>
      <c r="E502" s="1186" t="s">
        <v>912</v>
      </c>
      <c r="F502" s="1186" t="s">
        <v>1981</v>
      </c>
      <c r="G502" s="1186" t="s">
        <v>1988</v>
      </c>
      <c r="H502" s="1186">
        <v>23</v>
      </c>
    </row>
    <row r="503" spans="1:8" x14ac:dyDescent="0.2">
      <c r="A503" s="1186" t="s">
        <v>15</v>
      </c>
      <c r="B503" s="1186" t="s">
        <v>826</v>
      </c>
      <c r="C503" s="1186" t="s">
        <v>116</v>
      </c>
      <c r="D503" s="1186" t="s">
        <v>15</v>
      </c>
      <c r="E503" s="1186" t="s">
        <v>901</v>
      </c>
      <c r="F503" s="1186" t="s">
        <v>1981</v>
      </c>
      <c r="G503" s="1186" t="s">
        <v>1982</v>
      </c>
      <c r="H503" s="1186">
        <v>46</v>
      </c>
    </row>
    <row r="504" spans="1:8" x14ac:dyDescent="0.2">
      <c r="A504" s="1186" t="s">
        <v>15</v>
      </c>
      <c r="B504" s="1186" t="s">
        <v>826</v>
      </c>
      <c r="C504" s="1186" t="s">
        <v>116</v>
      </c>
      <c r="D504" s="1186" t="s">
        <v>15</v>
      </c>
      <c r="E504" s="1186" t="s">
        <v>902</v>
      </c>
      <c r="F504" s="1186" t="s">
        <v>1981</v>
      </c>
      <c r="G504" s="1186" t="s">
        <v>1982</v>
      </c>
      <c r="H504" s="1186">
        <v>69</v>
      </c>
    </row>
    <row r="505" spans="1:8" x14ac:dyDescent="0.2">
      <c r="A505" s="1186" t="s">
        <v>15</v>
      </c>
      <c r="B505" s="1186" t="s">
        <v>826</v>
      </c>
      <c r="C505" s="1186" t="s">
        <v>116</v>
      </c>
      <c r="D505" s="1186" t="s">
        <v>15</v>
      </c>
      <c r="E505" s="1186" t="s">
        <v>903</v>
      </c>
      <c r="F505" s="1186" t="s">
        <v>1983</v>
      </c>
      <c r="G505" s="1186" t="s">
        <v>1982</v>
      </c>
      <c r="H505" s="1186">
        <v>52</v>
      </c>
    </row>
    <row r="506" spans="1:8" x14ac:dyDescent="0.2">
      <c r="A506" s="1186" t="s">
        <v>15</v>
      </c>
      <c r="B506" s="1186" t="s">
        <v>826</v>
      </c>
      <c r="C506" s="1186" t="s">
        <v>116</v>
      </c>
      <c r="D506" s="1186" t="s">
        <v>15</v>
      </c>
      <c r="E506" s="1186" t="s">
        <v>904</v>
      </c>
      <c r="F506" s="1186" t="s">
        <v>1983</v>
      </c>
      <c r="G506" s="1186" t="s">
        <v>1984</v>
      </c>
      <c r="H506" s="1186">
        <v>37</v>
      </c>
    </row>
    <row r="507" spans="1:8" x14ac:dyDescent="0.2">
      <c r="A507" s="1186" t="s">
        <v>15</v>
      </c>
      <c r="B507" s="1186" t="s">
        <v>826</v>
      </c>
      <c r="C507" s="1186" t="s">
        <v>116</v>
      </c>
      <c r="D507" s="1186" t="s">
        <v>15</v>
      </c>
      <c r="E507" s="1186" t="s">
        <v>905</v>
      </c>
      <c r="F507" s="1186" t="s">
        <v>1983</v>
      </c>
      <c r="G507" s="1186" t="s">
        <v>1984</v>
      </c>
      <c r="H507" s="1186">
        <v>41</v>
      </c>
    </row>
    <row r="508" spans="1:8" x14ac:dyDescent="0.2">
      <c r="A508" s="1186" t="s">
        <v>15</v>
      </c>
      <c r="B508" s="1186" t="s">
        <v>826</v>
      </c>
      <c r="C508" s="1186" t="s">
        <v>116</v>
      </c>
      <c r="D508" s="1186" t="s">
        <v>15</v>
      </c>
      <c r="E508" s="1186" t="s">
        <v>906</v>
      </c>
      <c r="F508" s="1186" t="s">
        <v>1985</v>
      </c>
      <c r="G508" s="1186" t="s">
        <v>1984</v>
      </c>
      <c r="H508" s="1186">
        <v>49</v>
      </c>
    </row>
    <row r="509" spans="1:8" x14ac:dyDescent="0.2">
      <c r="A509" s="1186" t="s">
        <v>15</v>
      </c>
      <c r="B509" s="1186" t="s">
        <v>826</v>
      </c>
      <c r="C509" s="1186" t="s">
        <v>116</v>
      </c>
      <c r="D509" s="1186" t="s">
        <v>15</v>
      </c>
      <c r="E509" s="1186" t="s">
        <v>907</v>
      </c>
      <c r="F509" s="1186" t="s">
        <v>1985</v>
      </c>
      <c r="G509" s="1186" t="s">
        <v>1986</v>
      </c>
      <c r="H509" s="1186">
        <v>47</v>
      </c>
    </row>
    <row r="510" spans="1:8" x14ac:dyDescent="0.2">
      <c r="A510" s="1186" t="s">
        <v>15</v>
      </c>
      <c r="B510" s="1186" t="s">
        <v>826</v>
      </c>
      <c r="C510" s="1186" t="s">
        <v>116</v>
      </c>
      <c r="D510" s="1186" t="s">
        <v>15</v>
      </c>
      <c r="E510" s="1186" t="s">
        <v>908</v>
      </c>
      <c r="F510" s="1186" t="s">
        <v>1985</v>
      </c>
      <c r="G510" s="1186" t="s">
        <v>1986</v>
      </c>
      <c r="H510" s="1186">
        <v>58</v>
      </c>
    </row>
    <row r="511" spans="1:8" x14ac:dyDescent="0.2">
      <c r="A511" s="1186" t="s">
        <v>15</v>
      </c>
      <c r="B511" s="1186" t="s">
        <v>826</v>
      </c>
      <c r="C511" s="1186" t="s">
        <v>116</v>
      </c>
      <c r="D511" s="1186" t="s">
        <v>15</v>
      </c>
      <c r="E511" s="1186" t="s">
        <v>909</v>
      </c>
      <c r="F511" s="1186" t="s">
        <v>1987</v>
      </c>
      <c r="G511" s="1186" t="s">
        <v>1986</v>
      </c>
      <c r="H511" s="1186">
        <v>23</v>
      </c>
    </row>
    <row r="512" spans="1:8" x14ac:dyDescent="0.2">
      <c r="A512" s="1186" t="s">
        <v>15</v>
      </c>
      <c r="B512" s="1186" t="s">
        <v>826</v>
      </c>
      <c r="C512" s="1186" t="s">
        <v>116</v>
      </c>
      <c r="D512" s="1186" t="s">
        <v>15</v>
      </c>
      <c r="E512" s="1186" t="s">
        <v>910</v>
      </c>
      <c r="F512" s="1186" t="s">
        <v>1987</v>
      </c>
      <c r="G512" s="1186" t="s">
        <v>1988</v>
      </c>
      <c r="H512" s="1186">
        <v>18</v>
      </c>
    </row>
    <row r="513" spans="1:8" x14ac:dyDescent="0.2">
      <c r="A513" s="1186" t="s">
        <v>15</v>
      </c>
      <c r="B513" s="1186" t="s">
        <v>826</v>
      </c>
      <c r="C513" s="1186" t="s">
        <v>116</v>
      </c>
      <c r="D513" s="1186" t="s">
        <v>15</v>
      </c>
      <c r="E513" s="1186" t="s">
        <v>911</v>
      </c>
      <c r="F513" s="1186" t="s">
        <v>1987</v>
      </c>
      <c r="G513" s="1186" t="s">
        <v>1988</v>
      </c>
      <c r="H513" s="1186">
        <v>27</v>
      </c>
    </row>
    <row r="514" spans="1:8" x14ac:dyDescent="0.2">
      <c r="A514" s="1186" t="s">
        <v>15</v>
      </c>
      <c r="B514" s="1186" t="s">
        <v>826</v>
      </c>
      <c r="C514" s="1186" t="s">
        <v>116</v>
      </c>
      <c r="D514" s="1186" t="s">
        <v>15</v>
      </c>
      <c r="E514" s="1186" t="s">
        <v>912</v>
      </c>
      <c r="F514" s="1186" t="s">
        <v>1981</v>
      </c>
      <c r="G514" s="1186" t="s">
        <v>1988</v>
      </c>
      <c r="H514" s="1186">
        <v>31</v>
      </c>
    </row>
    <row r="515" spans="1:8" x14ac:dyDescent="0.2">
      <c r="A515" s="1186" t="s">
        <v>15</v>
      </c>
      <c r="B515" s="1186" t="s">
        <v>308</v>
      </c>
      <c r="C515" s="1186" t="s">
        <v>61</v>
      </c>
      <c r="D515" s="1186" t="s">
        <v>15</v>
      </c>
      <c r="E515" s="1186" t="s">
        <v>901</v>
      </c>
      <c r="F515" s="1186" t="s">
        <v>1981</v>
      </c>
      <c r="G515" s="1186" t="s">
        <v>1982</v>
      </c>
      <c r="H515" s="1186">
        <v>162</v>
      </c>
    </row>
    <row r="516" spans="1:8" x14ac:dyDescent="0.2">
      <c r="A516" s="1186" t="s">
        <v>15</v>
      </c>
      <c r="B516" s="1186" t="s">
        <v>308</v>
      </c>
      <c r="C516" s="1186" t="s">
        <v>61</v>
      </c>
      <c r="D516" s="1186" t="s">
        <v>15</v>
      </c>
      <c r="E516" s="1186" t="s">
        <v>902</v>
      </c>
      <c r="F516" s="1186" t="s">
        <v>1981</v>
      </c>
      <c r="G516" s="1186" t="s">
        <v>1982</v>
      </c>
      <c r="H516" s="1186">
        <v>335</v>
      </c>
    </row>
    <row r="517" spans="1:8" x14ac:dyDescent="0.2">
      <c r="A517" s="1186" t="s">
        <v>15</v>
      </c>
      <c r="B517" s="1186" t="s">
        <v>308</v>
      </c>
      <c r="C517" s="1186" t="s">
        <v>61</v>
      </c>
      <c r="D517" s="1186" t="s">
        <v>15</v>
      </c>
      <c r="E517" s="1186" t="s">
        <v>903</v>
      </c>
      <c r="F517" s="1186" t="s">
        <v>1983</v>
      </c>
      <c r="G517" s="1186" t="s">
        <v>1982</v>
      </c>
      <c r="H517" s="1186">
        <v>182</v>
      </c>
    </row>
    <row r="518" spans="1:8" x14ac:dyDescent="0.2">
      <c r="A518" s="1186" t="s">
        <v>15</v>
      </c>
      <c r="B518" s="1186" t="s">
        <v>308</v>
      </c>
      <c r="C518" s="1186" t="s">
        <v>61</v>
      </c>
      <c r="D518" s="1186" t="s">
        <v>15</v>
      </c>
      <c r="E518" s="1186" t="s">
        <v>904</v>
      </c>
      <c r="F518" s="1186" t="s">
        <v>1983</v>
      </c>
      <c r="G518" s="1186" t="s">
        <v>1984</v>
      </c>
      <c r="H518" s="1186">
        <v>110</v>
      </c>
    </row>
    <row r="519" spans="1:8" x14ac:dyDescent="0.2">
      <c r="A519" s="1186" t="s">
        <v>15</v>
      </c>
      <c r="B519" s="1186" t="s">
        <v>308</v>
      </c>
      <c r="C519" s="1186" t="s">
        <v>61</v>
      </c>
      <c r="D519" s="1186" t="s">
        <v>15</v>
      </c>
      <c r="E519" s="1186" t="s">
        <v>905</v>
      </c>
      <c r="F519" s="1186" t="s">
        <v>1983</v>
      </c>
      <c r="G519" s="1186" t="s">
        <v>1984</v>
      </c>
      <c r="H519" s="1186">
        <v>144</v>
      </c>
    </row>
    <row r="520" spans="1:8" x14ac:dyDescent="0.2">
      <c r="A520" s="1186" t="s">
        <v>15</v>
      </c>
      <c r="B520" s="1186" t="s">
        <v>308</v>
      </c>
      <c r="C520" s="1186" t="s">
        <v>61</v>
      </c>
      <c r="D520" s="1186" t="s">
        <v>15</v>
      </c>
      <c r="E520" s="1186" t="s">
        <v>906</v>
      </c>
      <c r="F520" s="1186" t="s">
        <v>1985</v>
      </c>
      <c r="G520" s="1186" t="s">
        <v>1984</v>
      </c>
      <c r="H520" s="1186">
        <v>137</v>
      </c>
    </row>
    <row r="521" spans="1:8" x14ac:dyDescent="0.2">
      <c r="A521" s="1186" t="s">
        <v>15</v>
      </c>
      <c r="B521" s="1186" t="s">
        <v>308</v>
      </c>
      <c r="C521" s="1186" t="s">
        <v>61</v>
      </c>
      <c r="D521" s="1186" t="s">
        <v>15</v>
      </c>
      <c r="E521" s="1186" t="s">
        <v>907</v>
      </c>
      <c r="F521" s="1186" t="s">
        <v>1985</v>
      </c>
      <c r="G521" s="1186" t="s">
        <v>1986</v>
      </c>
      <c r="H521" s="1186">
        <v>118</v>
      </c>
    </row>
    <row r="522" spans="1:8" x14ac:dyDescent="0.2">
      <c r="A522" s="1186" t="s">
        <v>15</v>
      </c>
      <c r="B522" s="1186" t="s">
        <v>308</v>
      </c>
      <c r="C522" s="1186" t="s">
        <v>61</v>
      </c>
      <c r="D522" s="1186" t="s">
        <v>15</v>
      </c>
      <c r="E522" s="1186" t="s">
        <v>908</v>
      </c>
      <c r="F522" s="1186" t="s">
        <v>1985</v>
      </c>
      <c r="G522" s="1186" t="s">
        <v>1986</v>
      </c>
      <c r="H522" s="1186">
        <v>156</v>
      </c>
    </row>
    <row r="523" spans="1:8" x14ac:dyDescent="0.2">
      <c r="A523" s="1186" t="s">
        <v>15</v>
      </c>
      <c r="B523" s="1186" t="s">
        <v>308</v>
      </c>
      <c r="C523" s="1186" t="s">
        <v>61</v>
      </c>
      <c r="D523" s="1186" t="s">
        <v>15</v>
      </c>
      <c r="E523" s="1186" t="s">
        <v>909</v>
      </c>
      <c r="F523" s="1186" t="s">
        <v>1987</v>
      </c>
      <c r="G523" s="1186" t="s">
        <v>1986</v>
      </c>
      <c r="H523" s="1186">
        <v>63</v>
      </c>
    </row>
    <row r="524" spans="1:8" x14ac:dyDescent="0.2">
      <c r="A524" s="1186" t="s">
        <v>15</v>
      </c>
      <c r="B524" s="1186" t="s">
        <v>308</v>
      </c>
      <c r="C524" s="1186" t="s">
        <v>61</v>
      </c>
      <c r="D524" s="1186" t="s">
        <v>15</v>
      </c>
      <c r="E524" s="1186" t="s">
        <v>910</v>
      </c>
      <c r="F524" s="1186" t="s">
        <v>1987</v>
      </c>
      <c r="G524" s="1186" t="s">
        <v>1988</v>
      </c>
      <c r="H524" s="1186">
        <v>82</v>
      </c>
    </row>
    <row r="525" spans="1:8" x14ac:dyDescent="0.2">
      <c r="A525" s="1186" t="s">
        <v>15</v>
      </c>
      <c r="B525" s="1186" t="s">
        <v>308</v>
      </c>
      <c r="C525" s="1186" t="s">
        <v>61</v>
      </c>
      <c r="D525" s="1186" t="s">
        <v>15</v>
      </c>
      <c r="E525" s="1186" t="s">
        <v>911</v>
      </c>
      <c r="F525" s="1186" t="s">
        <v>1987</v>
      </c>
      <c r="G525" s="1186" t="s">
        <v>1988</v>
      </c>
      <c r="H525" s="1186">
        <v>137</v>
      </c>
    </row>
    <row r="526" spans="1:8" x14ac:dyDescent="0.2">
      <c r="A526" s="1186" t="s">
        <v>15</v>
      </c>
      <c r="B526" s="1186" t="s">
        <v>308</v>
      </c>
      <c r="C526" s="1186" t="s">
        <v>61</v>
      </c>
      <c r="D526" s="1186" t="s">
        <v>15</v>
      </c>
      <c r="E526" s="1186" t="s">
        <v>912</v>
      </c>
      <c r="F526" s="1186" t="s">
        <v>1981</v>
      </c>
      <c r="G526" s="1186" t="s">
        <v>1988</v>
      </c>
      <c r="H526" s="1186">
        <v>395</v>
      </c>
    </row>
    <row r="527" spans="1:8" x14ac:dyDescent="0.2">
      <c r="A527" s="1186" t="s">
        <v>15</v>
      </c>
      <c r="B527" s="1186" t="s">
        <v>308</v>
      </c>
      <c r="C527" s="1186" t="s">
        <v>116</v>
      </c>
      <c r="D527" s="1186" t="s">
        <v>15</v>
      </c>
      <c r="E527" s="1186" t="s">
        <v>901</v>
      </c>
      <c r="F527" s="1186" t="s">
        <v>1981</v>
      </c>
      <c r="G527" s="1186" t="s">
        <v>1982</v>
      </c>
      <c r="H527" s="1186">
        <v>1516</v>
      </c>
    </row>
    <row r="528" spans="1:8" x14ac:dyDescent="0.2">
      <c r="A528" s="1186" t="s">
        <v>15</v>
      </c>
      <c r="B528" s="1186" t="s">
        <v>308</v>
      </c>
      <c r="C528" s="1186" t="s">
        <v>116</v>
      </c>
      <c r="D528" s="1186" t="s">
        <v>15</v>
      </c>
      <c r="E528" s="1186" t="s">
        <v>902</v>
      </c>
      <c r="F528" s="1186" t="s">
        <v>1981</v>
      </c>
      <c r="G528" s="1186" t="s">
        <v>1982</v>
      </c>
      <c r="H528" s="1186">
        <v>1615</v>
      </c>
    </row>
    <row r="529" spans="1:8" x14ac:dyDescent="0.2">
      <c r="A529" s="1186" t="s">
        <v>15</v>
      </c>
      <c r="B529" s="1186" t="s">
        <v>308</v>
      </c>
      <c r="C529" s="1186" t="s">
        <v>116</v>
      </c>
      <c r="D529" s="1186" t="s">
        <v>15</v>
      </c>
      <c r="E529" s="1186" t="s">
        <v>903</v>
      </c>
      <c r="F529" s="1186" t="s">
        <v>1983</v>
      </c>
      <c r="G529" s="1186" t="s">
        <v>1982</v>
      </c>
      <c r="H529" s="1186">
        <v>963</v>
      </c>
    </row>
    <row r="530" spans="1:8" x14ac:dyDescent="0.2">
      <c r="A530" s="1186" t="s">
        <v>15</v>
      </c>
      <c r="B530" s="1186" t="s">
        <v>308</v>
      </c>
      <c r="C530" s="1186" t="s">
        <v>116</v>
      </c>
      <c r="D530" s="1186" t="s">
        <v>15</v>
      </c>
      <c r="E530" s="1186" t="s">
        <v>904</v>
      </c>
      <c r="F530" s="1186" t="s">
        <v>1983</v>
      </c>
      <c r="G530" s="1186" t="s">
        <v>1984</v>
      </c>
      <c r="H530" s="1186">
        <v>732</v>
      </c>
    </row>
    <row r="531" spans="1:8" x14ac:dyDescent="0.2">
      <c r="A531" s="1186" t="s">
        <v>15</v>
      </c>
      <c r="B531" s="1186" t="s">
        <v>308</v>
      </c>
      <c r="C531" s="1186" t="s">
        <v>116</v>
      </c>
      <c r="D531" s="1186" t="s">
        <v>15</v>
      </c>
      <c r="E531" s="1186" t="s">
        <v>905</v>
      </c>
      <c r="F531" s="1186" t="s">
        <v>1983</v>
      </c>
      <c r="G531" s="1186" t="s">
        <v>1984</v>
      </c>
      <c r="H531" s="1186">
        <v>889</v>
      </c>
    </row>
    <row r="532" spans="1:8" x14ac:dyDescent="0.2">
      <c r="A532" s="1186" t="s">
        <v>15</v>
      </c>
      <c r="B532" s="1186" t="s">
        <v>308</v>
      </c>
      <c r="C532" s="1186" t="s">
        <v>116</v>
      </c>
      <c r="D532" s="1186" t="s">
        <v>15</v>
      </c>
      <c r="E532" s="1186" t="s">
        <v>906</v>
      </c>
      <c r="F532" s="1186" t="s">
        <v>1985</v>
      </c>
      <c r="G532" s="1186" t="s">
        <v>1984</v>
      </c>
      <c r="H532" s="1186">
        <v>867</v>
      </c>
    </row>
    <row r="533" spans="1:8" x14ac:dyDescent="0.2">
      <c r="A533" s="1186" t="s">
        <v>15</v>
      </c>
      <c r="B533" s="1186" t="s">
        <v>308</v>
      </c>
      <c r="C533" s="1186" t="s">
        <v>116</v>
      </c>
      <c r="D533" s="1186" t="s">
        <v>15</v>
      </c>
      <c r="E533" s="1186" t="s">
        <v>907</v>
      </c>
      <c r="F533" s="1186" t="s">
        <v>1985</v>
      </c>
      <c r="G533" s="1186" t="s">
        <v>1986</v>
      </c>
      <c r="H533" s="1186">
        <v>1210</v>
      </c>
    </row>
    <row r="534" spans="1:8" x14ac:dyDescent="0.2">
      <c r="A534" s="1186" t="s">
        <v>15</v>
      </c>
      <c r="B534" s="1186" t="s">
        <v>308</v>
      </c>
      <c r="C534" s="1186" t="s">
        <v>116</v>
      </c>
      <c r="D534" s="1186" t="s">
        <v>15</v>
      </c>
      <c r="E534" s="1186" t="s">
        <v>908</v>
      </c>
      <c r="F534" s="1186" t="s">
        <v>1985</v>
      </c>
      <c r="G534" s="1186" t="s">
        <v>1986</v>
      </c>
      <c r="H534" s="1186">
        <v>1599</v>
      </c>
    </row>
    <row r="535" spans="1:8" x14ac:dyDescent="0.2">
      <c r="A535" s="1186" t="s">
        <v>15</v>
      </c>
      <c r="B535" s="1186" t="s">
        <v>308</v>
      </c>
      <c r="C535" s="1186" t="s">
        <v>116</v>
      </c>
      <c r="D535" s="1186" t="s">
        <v>15</v>
      </c>
      <c r="E535" s="1186" t="s">
        <v>909</v>
      </c>
      <c r="F535" s="1186" t="s">
        <v>1987</v>
      </c>
      <c r="G535" s="1186" t="s">
        <v>1986</v>
      </c>
      <c r="H535" s="1186">
        <v>471</v>
      </c>
    </row>
    <row r="536" spans="1:8" x14ac:dyDescent="0.2">
      <c r="A536" s="1186" t="s">
        <v>15</v>
      </c>
      <c r="B536" s="1186" t="s">
        <v>308</v>
      </c>
      <c r="C536" s="1186" t="s">
        <v>116</v>
      </c>
      <c r="D536" s="1186" t="s">
        <v>15</v>
      </c>
      <c r="E536" s="1186" t="s">
        <v>910</v>
      </c>
      <c r="F536" s="1186" t="s">
        <v>1987</v>
      </c>
      <c r="G536" s="1186" t="s">
        <v>1988</v>
      </c>
      <c r="H536" s="1186">
        <v>404</v>
      </c>
    </row>
    <row r="537" spans="1:8" x14ac:dyDescent="0.2">
      <c r="A537" s="1186" t="s">
        <v>15</v>
      </c>
      <c r="B537" s="1186" t="s">
        <v>308</v>
      </c>
      <c r="C537" s="1186" t="s">
        <v>116</v>
      </c>
      <c r="D537" s="1186" t="s">
        <v>15</v>
      </c>
      <c r="E537" s="1186" t="s">
        <v>911</v>
      </c>
      <c r="F537" s="1186" t="s">
        <v>1987</v>
      </c>
      <c r="G537" s="1186" t="s">
        <v>1988</v>
      </c>
      <c r="H537" s="1186">
        <v>757</v>
      </c>
    </row>
    <row r="538" spans="1:8" x14ac:dyDescent="0.2">
      <c r="A538" s="1186" t="s">
        <v>15</v>
      </c>
      <c r="B538" s="1186" t="s">
        <v>308</v>
      </c>
      <c r="C538" s="1186" t="s">
        <v>116</v>
      </c>
      <c r="D538" s="1186" t="s">
        <v>15</v>
      </c>
      <c r="E538" s="1186" t="s">
        <v>912</v>
      </c>
      <c r="F538" s="1186" t="s">
        <v>1981</v>
      </c>
      <c r="G538" s="1186" t="s">
        <v>1988</v>
      </c>
      <c r="H538" s="1186">
        <v>1229</v>
      </c>
    </row>
    <row r="539" spans="1:8" x14ac:dyDescent="0.2">
      <c r="A539" s="1186" t="s">
        <v>17</v>
      </c>
      <c r="B539" s="1186" t="s">
        <v>309</v>
      </c>
      <c r="C539" s="1186" t="s">
        <v>61</v>
      </c>
      <c r="D539" s="1186" t="s">
        <v>17</v>
      </c>
      <c r="E539" s="1186" t="s">
        <v>913</v>
      </c>
      <c r="F539" s="1186" t="s">
        <v>1981</v>
      </c>
      <c r="G539" s="1186" t="s">
        <v>1982</v>
      </c>
      <c r="H539" s="1186">
        <v>160</v>
      </c>
    </row>
    <row r="540" spans="1:8" x14ac:dyDescent="0.2">
      <c r="A540" s="1186" t="s">
        <v>17</v>
      </c>
      <c r="B540" s="1186" t="s">
        <v>309</v>
      </c>
      <c r="C540" s="1186" t="s">
        <v>61</v>
      </c>
      <c r="D540" s="1186" t="s">
        <v>17</v>
      </c>
      <c r="E540" s="1186" t="s">
        <v>914</v>
      </c>
      <c r="F540" s="1186" t="s">
        <v>1981</v>
      </c>
      <c r="G540" s="1186" t="s">
        <v>1982</v>
      </c>
      <c r="H540" s="1186">
        <v>84</v>
      </c>
    </row>
    <row r="541" spans="1:8" x14ac:dyDescent="0.2">
      <c r="A541" s="1186" t="s">
        <v>17</v>
      </c>
      <c r="B541" s="1186" t="s">
        <v>309</v>
      </c>
      <c r="C541" s="1186" t="s">
        <v>61</v>
      </c>
      <c r="D541" s="1186" t="s">
        <v>17</v>
      </c>
      <c r="E541" s="1186" t="s">
        <v>915</v>
      </c>
      <c r="F541" s="1186" t="s">
        <v>1983</v>
      </c>
      <c r="G541" s="1186" t="s">
        <v>1982</v>
      </c>
      <c r="H541" s="1186">
        <v>41</v>
      </c>
    </row>
    <row r="542" spans="1:8" x14ac:dyDescent="0.2">
      <c r="A542" s="1186" t="s">
        <v>17</v>
      </c>
      <c r="B542" s="1186" t="s">
        <v>309</v>
      </c>
      <c r="C542" s="1186" t="s">
        <v>61</v>
      </c>
      <c r="D542" s="1186" t="s">
        <v>17</v>
      </c>
      <c r="E542" s="1186" t="s">
        <v>916</v>
      </c>
      <c r="F542" s="1186" t="s">
        <v>1983</v>
      </c>
      <c r="G542" s="1186" t="s">
        <v>1984</v>
      </c>
      <c r="H542" s="1186">
        <v>16</v>
      </c>
    </row>
    <row r="543" spans="1:8" x14ac:dyDescent="0.2">
      <c r="A543" s="1186" t="s">
        <v>17</v>
      </c>
      <c r="B543" s="1186" t="s">
        <v>309</v>
      </c>
      <c r="C543" s="1186" t="s">
        <v>61</v>
      </c>
      <c r="D543" s="1186" t="s">
        <v>17</v>
      </c>
      <c r="E543" s="1186" t="s">
        <v>917</v>
      </c>
      <c r="F543" s="1186" t="s">
        <v>1983</v>
      </c>
      <c r="G543" s="1186" t="s">
        <v>1984</v>
      </c>
      <c r="H543" s="1186">
        <v>20</v>
      </c>
    </row>
    <row r="544" spans="1:8" x14ac:dyDescent="0.2">
      <c r="A544" s="1186" t="s">
        <v>17</v>
      </c>
      <c r="B544" s="1186" t="s">
        <v>309</v>
      </c>
      <c r="C544" s="1186" t="s">
        <v>61</v>
      </c>
      <c r="D544" s="1186" t="s">
        <v>17</v>
      </c>
      <c r="E544" s="1186" t="s">
        <v>918</v>
      </c>
      <c r="F544" s="1186" t="s">
        <v>1985</v>
      </c>
      <c r="G544" s="1186" t="s">
        <v>1984</v>
      </c>
      <c r="H544" s="1186">
        <v>32</v>
      </c>
    </row>
    <row r="545" spans="1:8" x14ac:dyDescent="0.2">
      <c r="A545" s="1186" t="s">
        <v>17</v>
      </c>
      <c r="B545" s="1186" t="s">
        <v>309</v>
      </c>
      <c r="C545" s="1186" t="s">
        <v>61</v>
      </c>
      <c r="D545" s="1186" t="s">
        <v>17</v>
      </c>
      <c r="E545" s="1186" t="s">
        <v>919</v>
      </c>
      <c r="F545" s="1186" t="s">
        <v>1985</v>
      </c>
      <c r="G545" s="1186" t="s">
        <v>1986</v>
      </c>
      <c r="H545" s="1186">
        <v>86</v>
      </c>
    </row>
    <row r="546" spans="1:8" x14ac:dyDescent="0.2">
      <c r="A546" s="1186" t="s">
        <v>17</v>
      </c>
      <c r="B546" s="1186" t="s">
        <v>309</v>
      </c>
      <c r="C546" s="1186" t="s">
        <v>61</v>
      </c>
      <c r="D546" s="1186" t="s">
        <v>17</v>
      </c>
      <c r="E546" s="1186" t="s">
        <v>920</v>
      </c>
      <c r="F546" s="1186" t="s">
        <v>1985</v>
      </c>
      <c r="G546" s="1186" t="s">
        <v>1986</v>
      </c>
      <c r="H546" s="1186">
        <v>123</v>
      </c>
    </row>
    <row r="547" spans="1:8" x14ac:dyDescent="0.2">
      <c r="A547" s="1186" t="s">
        <v>17</v>
      </c>
      <c r="B547" s="1186" t="s">
        <v>309</v>
      </c>
      <c r="C547" s="1186" t="s">
        <v>61</v>
      </c>
      <c r="D547" s="1186" t="s">
        <v>17</v>
      </c>
      <c r="E547" s="1186" t="s">
        <v>921</v>
      </c>
      <c r="F547" s="1186" t="s">
        <v>1987</v>
      </c>
      <c r="G547" s="1186" t="s">
        <v>1986</v>
      </c>
      <c r="H547" s="1186">
        <v>137</v>
      </c>
    </row>
    <row r="548" spans="1:8" x14ac:dyDescent="0.2">
      <c r="A548" s="1186" t="s">
        <v>17</v>
      </c>
      <c r="B548" s="1186" t="s">
        <v>309</v>
      </c>
      <c r="C548" s="1186" t="s">
        <v>61</v>
      </c>
      <c r="D548" s="1186" t="s">
        <v>17</v>
      </c>
      <c r="E548" s="1186" t="s">
        <v>922</v>
      </c>
      <c r="F548" s="1186" t="s">
        <v>1987</v>
      </c>
      <c r="G548" s="1186" t="s">
        <v>1988</v>
      </c>
      <c r="H548" s="1186">
        <v>137</v>
      </c>
    </row>
    <row r="549" spans="1:8" x14ac:dyDescent="0.2">
      <c r="A549" s="1186" t="s">
        <v>17</v>
      </c>
      <c r="B549" s="1186" t="s">
        <v>309</v>
      </c>
      <c r="C549" s="1186" t="s">
        <v>61</v>
      </c>
      <c r="D549" s="1186" t="s">
        <v>17</v>
      </c>
      <c r="E549" s="1186" t="s">
        <v>923</v>
      </c>
      <c r="F549" s="1186" t="s">
        <v>1987</v>
      </c>
      <c r="G549" s="1186" t="s">
        <v>1988</v>
      </c>
      <c r="H549" s="1186">
        <v>127</v>
      </c>
    </row>
    <row r="550" spans="1:8" x14ac:dyDescent="0.2">
      <c r="A550" s="1186" t="s">
        <v>17</v>
      </c>
      <c r="B550" s="1186" t="s">
        <v>309</v>
      </c>
      <c r="C550" s="1186" t="s">
        <v>61</v>
      </c>
      <c r="D550" s="1186" t="s">
        <v>17</v>
      </c>
      <c r="E550" s="1186" t="s">
        <v>924</v>
      </c>
      <c r="F550" s="1186" t="s">
        <v>1981</v>
      </c>
      <c r="G550" s="1186" t="s">
        <v>1988</v>
      </c>
      <c r="H550" s="1186">
        <v>142</v>
      </c>
    </row>
    <row r="551" spans="1:8" x14ac:dyDescent="0.2">
      <c r="A551" s="1186" t="s">
        <v>17</v>
      </c>
      <c r="B551" s="1186" t="s">
        <v>309</v>
      </c>
      <c r="C551" s="1186" t="s">
        <v>116</v>
      </c>
      <c r="D551" s="1186" t="s">
        <v>17</v>
      </c>
      <c r="E551" s="1186" t="s">
        <v>913</v>
      </c>
      <c r="F551" s="1186" t="s">
        <v>1981</v>
      </c>
      <c r="G551" s="1186" t="s">
        <v>1982</v>
      </c>
      <c r="H551" s="1186">
        <v>1</v>
      </c>
    </row>
    <row r="552" spans="1:8" x14ac:dyDescent="0.2">
      <c r="A552" s="1186" t="s">
        <v>17</v>
      </c>
      <c r="B552" s="1186" t="s">
        <v>309</v>
      </c>
      <c r="C552" s="1186" t="s">
        <v>116</v>
      </c>
      <c r="D552" s="1186" t="s">
        <v>17</v>
      </c>
      <c r="E552" s="1186" t="s">
        <v>924</v>
      </c>
      <c r="F552" s="1186" t="s">
        <v>1981</v>
      </c>
      <c r="G552" s="1186" t="s">
        <v>1988</v>
      </c>
      <c r="H552" s="1186">
        <v>1</v>
      </c>
    </row>
    <row r="553" spans="1:8" x14ac:dyDescent="0.2">
      <c r="A553" s="1186" t="s">
        <v>17</v>
      </c>
      <c r="B553" s="1186" t="s">
        <v>823</v>
      </c>
      <c r="C553" s="1186" t="s">
        <v>61</v>
      </c>
      <c r="D553" s="1186" t="s">
        <v>17</v>
      </c>
      <c r="E553" s="1186" t="s">
        <v>913</v>
      </c>
      <c r="F553" s="1186" t="s">
        <v>1981</v>
      </c>
      <c r="G553" s="1186" t="s">
        <v>1982</v>
      </c>
      <c r="H553" s="1186">
        <v>377</v>
      </c>
    </row>
    <row r="554" spans="1:8" x14ac:dyDescent="0.2">
      <c r="A554" s="1186" t="s">
        <v>17</v>
      </c>
      <c r="B554" s="1186" t="s">
        <v>823</v>
      </c>
      <c r="C554" s="1186" t="s">
        <v>61</v>
      </c>
      <c r="D554" s="1186" t="s">
        <v>17</v>
      </c>
      <c r="E554" s="1186" t="s">
        <v>914</v>
      </c>
      <c r="F554" s="1186" t="s">
        <v>1981</v>
      </c>
      <c r="G554" s="1186" t="s">
        <v>1982</v>
      </c>
      <c r="H554" s="1186">
        <v>417</v>
      </c>
    </row>
    <row r="555" spans="1:8" x14ac:dyDescent="0.2">
      <c r="A555" s="1186" t="s">
        <v>17</v>
      </c>
      <c r="B555" s="1186" t="s">
        <v>823</v>
      </c>
      <c r="C555" s="1186" t="s">
        <v>61</v>
      </c>
      <c r="D555" s="1186" t="s">
        <v>17</v>
      </c>
      <c r="E555" s="1186" t="s">
        <v>915</v>
      </c>
      <c r="F555" s="1186" t="s">
        <v>1983</v>
      </c>
      <c r="G555" s="1186" t="s">
        <v>1982</v>
      </c>
      <c r="H555" s="1186">
        <v>401</v>
      </c>
    </row>
    <row r="556" spans="1:8" x14ac:dyDescent="0.2">
      <c r="A556" s="1186" t="s">
        <v>17</v>
      </c>
      <c r="B556" s="1186" t="s">
        <v>823</v>
      </c>
      <c r="C556" s="1186" t="s">
        <v>61</v>
      </c>
      <c r="D556" s="1186" t="s">
        <v>17</v>
      </c>
      <c r="E556" s="1186" t="s">
        <v>916</v>
      </c>
      <c r="F556" s="1186" t="s">
        <v>1983</v>
      </c>
      <c r="G556" s="1186" t="s">
        <v>1984</v>
      </c>
      <c r="H556" s="1186">
        <v>392</v>
      </c>
    </row>
    <row r="557" spans="1:8" x14ac:dyDescent="0.2">
      <c r="A557" s="1186" t="s">
        <v>17</v>
      </c>
      <c r="B557" s="1186" t="s">
        <v>823</v>
      </c>
      <c r="C557" s="1186" t="s">
        <v>61</v>
      </c>
      <c r="D557" s="1186" t="s">
        <v>17</v>
      </c>
      <c r="E557" s="1186" t="s">
        <v>917</v>
      </c>
      <c r="F557" s="1186" t="s">
        <v>1983</v>
      </c>
      <c r="G557" s="1186" t="s">
        <v>1984</v>
      </c>
      <c r="H557" s="1186">
        <v>372</v>
      </c>
    </row>
    <row r="558" spans="1:8" x14ac:dyDescent="0.2">
      <c r="A558" s="1186" t="s">
        <v>17</v>
      </c>
      <c r="B558" s="1186" t="s">
        <v>823</v>
      </c>
      <c r="C558" s="1186" t="s">
        <v>61</v>
      </c>
      <c r="D558" s="1186" t="s">
        <v>17</v>
      </c>
      <c r="E558" s="1186" t="s">
        <v>918</v>
      </c>
      <c r="F558" s="1186" t="s">
        <v>1985</v>
      </c>
      <c r="G558" s="1186" t="s">
        <v>1984</v>
      </c>
      <c r="H558" s="1186">
        <v>401</v>
      </c>
    </row>
    <row r="559" spans="1:8" x14ac:dyDescent="0.2">
      <c r="A559" s="1186" t="s">
        <v>17</v>
      </c>
      <c r="B559" s="1186" t="s">
        <v>823</v>
      </c>
      <c r="C559" s="1186" t="s">
        <v>61</v>
      </c>
      <c r="D559" s="1186" t="s">
        <v>17</v>
      </c>
      <c r="E559" s="1186" t="s">
        <v>919</v>
      </c>
      <c r="F559" s="1186" t="s">
        <v>1985</v>
      </c>
      <c r="G559" s="1186" t="s">
        <v>1986</v>
      </c>
      <c r="H559" s="1186">
        <v>364</v>
      </c>
    </row>
    <row r="560" spans="1:8" x14ac:dyDescent="0.2">
      <c r="A560" s="1186" t="s">
        <v>17</v>
      </c>
      <c r="B560" s="1186" t="s">
        <v>823</v>
      </c>
      <c r="C560" s="1186" t="s">
        <v>61</v>
      </c>
      <c r="D560" s="1186" t="s">
        <v>17</v>
      </c>
      <c r="E560" s="1186" t="s">
        <v>920</v>
      </c>
      <c r="F560" s="1186" t="s">
        <v>1985</v>
      </c>
      <c r="G560" s="1186" t="s">
        <v>1986</v>
      </c>
      <c r="H560" s="1186">
        <v>431</v>
      </c>
    </row>
    <row r="561" spans="1:8" x14ac:dyDescent="0.2">
      <c r="A561" s="1186" t="s">
        <v>17</v>
      </c>
      <c r="B561" s="1186" t="s">
        <v>823</v>
      </c>
      <c r="C561" s="1186" t="s">
        <v>61</v>
      </c>
      <c r="D561" s="1186" t="s">
        <v>17</v>
      </c>
      <c r="E561" s="1186" t="s">
        <v>921</v>
      </c>
      <c r="F561" s="1186" t="s">
        <v>1987</v>
      </c>
      <c r="G561" s="1186" t="s">
        <v>1986</v>
      </c>
      <c r="H561" s="1186">
        <v>472</v>
      </c>
    </row>
    <row r="562" spans="1:8" x14ac:dyDescent="0.2">
      <c r="A562" s="1186" t="s">
        <v>17</v>
      </c>
      <c r="B562" s="1186" t="s">
        <v>823</v>
      </c>
      <c r="C562" s="1186" t="s">
        <v>61</v>
      </c>
      <c r="D562" s="1186" t="s">
        <v>17</v>
      </c>
      <c r="E562" s="1186" t="s">
        <v>922</v>
      </c>
      <c r="F562" s="1186" t="s">
        <v>1987</v>
      </c>
      <c r="G562" s="1186" t="s">
        <v>1988</v>
      </c>
      <c r="H562" s="1186">
        <v>357</v>
      </c>
    </row>
    <row r="563" spans="1:8" x14ac:dyDescent="0.2">
      <c r="A563" s="1186" t="s">
        <v>17</v>
      </c>
      <c r="B563" s="1186" t="s">
        <v>823</v>
      </c>
      <c r="C563" s="1186" t="s">
        <v>61</v>
      </c>
      <c r="D563" s="1186" t="s">
        <v>17</v>
      </c>
      <c r="E563" s="1186" t="s">
        <v>923</v>
      </c>
      <c r="F563" s="1186" t="s">
        <v>1987</v>
      </c>
      <c r="G563" s="1186" t="s">
        <v>1988</v>
      </c>
      <c r="H563" s="1186">
        <v>316</v>
      </c>
    </row>
    <row r="564" spans="1:8" x14ac:dyDescent="0.2">
      <c r="A564" s="1186" t="s">
        <v>17</v>
      </c>
      <c r="B564" s="1186" t="s">
        <v>823</v>
      </c>
      <c r="C564" s="1186" t="s">
        <v>61</v>
      </c>
      <c r="D564" s="1186" t="s">
        <v>17</v>
      </c>
      <c r="E564" s="1186" t="s">
        <v>924</v>
      </c>
      <c r="F564" s="1186" t="s">
        <v>1981</v>
      </c>
      <c r="G564" s="1186" t="s">
        <v>1988</v>
      </c>
      <c r="H564" s="1186">
        <v>373</v>
      </c>
    </row>
    <row r="565" spans="1:8" x14ac:dyDescent="0.2">
      <c r="A565" s="1186" t="s">
        <v>17</v>
      </c>
      <c r="B565" s="1186" t="s">
        <v>823</v>
      </c>
      <c r="C565" s="1186" t="s">
        <v>116</v>
      </c>
      <c r="D565" s="1186" t="s">
        <v>17</v>
      </c>
      <c r="E565" s="1186" t="s">
        <v>913</v>
      </c>
      <c r="F565" s="1186" t="s">
        <v>1981</v>
      </c>
      <c r="G565" s="1186" t="s">
        <v>1982</v>
      </c>
      <c r="H565" s="1186">
        <v>49</v>
      </c>
    </row>
    <row r="566" spans="1:8" x14ac:dyDescent="0.2">
      <c r="A566" s="1186" t="s">
        <v>17</v>
      </c>
      <c r="B566" s="1186" t="s">
        <v>823</v>
      </c>
      <c r="C566" s="1186" t="s">
        <v>116</v>
      </c>
      <c r="D566" s="1186" t="s">
        <v>17</v>
      </c>
      <c r="E566" s="1186" t="s">
        <v>914</v>
      </c>
      <c r="F566" s="1186" t="s">
        <v>1981</v>
      </c>
      <c r="G566" s="1186" t="s">
        <v>1982</v>
      </c>
      <c r="H566" s="1186">
        <v>50</v>
      </c>
    </row>
    <row r="567" spans="1:8" x14ac:dyDescent="0.2">
      <c r="A567" s="1186" t="s">
        <v>17</v>
      </c>
      <c r="B567" s="1186" t="s">
        <v>823</v>
      </c>
      <c r="C567" s="1186" t="s">
        <v>116</v>
      </c>
      <c r="D567" s="1186" t="s">
        <v>17</v>
      </c>
      <c r="E567" s="1186" t="s">
        <v>915</v>
      </c>
      <c r="F567" s="1186" t="s">
        <v>1983</v>
      </c>
      <c r="G567" s="1186" t="s">
        <v>1982</v>
      </c>
      <c r="H567" s="1186">
        <v>63</v>
      </c>
    </row>
    <row r="568" spans="1:8" x14ac:dyDescent="0.2">
      <c r="A568" s="1186" t="s">
        <v>17</v>
      </c>
      <c r="B568" s="1186" t="s">
        <v>823</v>
      </c>
      <c r="C568" s="1186" t="s">
        <v>116</v>
      </c>
      <c r="D568" s="1186" t="s">
        <v>17</v>
      </c>
      <c r="E568" s="1186" t="s">
        <v>916</v>
      </c>
      <c r="F568" s="1186" t="s">
        <v>1983</v>
      </c>
      <c r="G568" s="1186" t="s">
        <v>1984</v>
      </c>
      <c r="H568" s="1186">
        <v>61</v>
      </c>
    </row>
    <row r="569" spans="1:8" x14ac:dyDescent="0.2">
      <c r="A569" s="1186" t="s">
        <v>17</v>
      </c>
      <c r="B569" s="1186" t="s">
        <v>823</v>
      </c>
      <c r="C569" s="1186" t="s">
        <v>116</v>
      </c>
      <c r="D569" s="1186" t="s">
        <v>17</v>
      </c>
      <c r="E569" s="1186" t="s">
        <v>917</v>
      </c>
      <c r="F569" s="1186" t="s">
        <v>1983</v>
      </c>
      <c r="G569" s="1186" t="s">
        <v>1984</v>
      </c>
      <c r="H569" s="1186">
        <v>53</v>
      </c>
    </row>
    <row r="570" spans="1:8" x14ac:dyDescent="0.2">
      <c r="A570" s="1186" t="s">
        <v>17</v>
      </c>
      <c r="B570" s="1186" t="s">
        <v>823</v>
      </c>
      <c r="C570" s="1186" t="s">
        <v>116</v>
      </c>
      <c r="D570" s="1186" t="s">
        <v>17</v>
      </c>
      <c r="E570" s="1186" t="s">
        <v>918</v>
      </c>
      <c r="F570" s="1186" t="s">
        <v>1985</v>
      </c>
      <c r="G570" s="1186" t="s">
        <v>1984</v>
      </c>
      <c r="H570" s="1186">
        <v>66</v>
      </c>
    </row>
    <row r="571" spans="1:8" x14ac:dyDescent="0.2">
      <c r="A571" s="1186" t="s">
        <v>17</v>
      </c>
      <c r="B571" s="1186" t="s">
        <v>823</v>
      </c>
      <c r="C571" s="1186" t="s">
        <v>116</v>
      </c>
      <c r="D571" s="1186" t="s">
        <v>17</v>
      </c>
      <c r="E571" s="1186" t="s">
        <v>919</v>
      </c>
      <c r="F571" s="1186" t="s">
        <v>1985</v>
      </c>
      <c r="G571" s="1186" t="s">
        <v>1986</v>
      </c>
      <c r="H571" s="1186">
        <v>67</v>
      </c>
    </row>
    <row r="572" spans="1:8" x14ac:dyDescent="0.2">
      <c r="A572" s="1186" t="s">
        <v>17</v>
      </c>
      <c r="B572" s="1186" t="s">
        <v>823</v>
      </c>
      <c r="C572" s="1186" t="s">
        <v>116</v>
      </c>
      <c r="D572" s="1186" t="s">
        <v>17</v>
      </c>
      <c r="E572" s="1186" t="s">
        <v>920</v>
      </c>
      <c r="F572" s="1186" t="s">
        <v>1985</v>
      </c>
      <c r="G572" s="1186" t="s">
        <v>1986</v>
      </c>
      <c r="H572" s="1186">
        <v>65</v>
      </c>
    </row>
    <row r="573" spans="1:8" x14ac:dyDescent="0.2">
      <c r="A573" s="1186" t="s">
        <v>17</v>
      </c>
      <c r="B573" s="1186" t="s">
        <v>823</v>
      </c>
      <c r="C573" s="1186" t="s">
        <v>116</v>
      </c>
      <c r="D573" s="1186" t="s">
        <v>17</v>
      </c>
      <c r="E573" s="1186" t="s">
        <v>921</v>
      </c>
      <c r="F573" s="1186" t="s">
        <v>1987</v>
      </c>
      <c r="G573" s="1186" t="s">
        <v>1986</v>
      </c>
      <c r="H573" s="1186">
        <v>47</v>
      </c>
    </row>
    <row r="574" spans="1:8" x14ac:dyDescent="0.2">
      <c r="A574" s="1186" t="s">
        <v>17</v>
      </c>
      <c r="B574" s="1186" t="s">
        <v>823</v>
      </c>
      <c r="C574" s="1186" t="s">
        <v>116</v>
      </c>
      <c r="D574" s="1186" t="s">
        <v>17</v>
      </c>
      <c r="E574" s="1186" t="s">
        <v>922</v>
      </c>
      <c r="F574" s="1186" t="s">
        <v>1987</v>
      </c>
      <c r="G574" s="1186" t="s">
        <v>1988</v>
      </c>
      <c r="H574" s="1186">
        <v>46</v>
      </c>
    </row>
    <row r="575" spans="1:8" x14ac:dyDescent="0.2">
      <c r="A575" s="1186" t="s">
        <v>17</v>
      </c>
      <c r="B575" s="1186" t="s">
        <v>823</v>
      </c>
      <c r="C575" s="1186" t="s">
        <v>116</v>
      </c>
      <c r="D575" s="1186" t="s">
        <v>17</v>
      </c>
      <c r="E575" s="1186" t="s">
        <v>923</v>
      </c>
      <c r="F575" s="1186" t="s">
        <v>1987</v>
      </c>
      <c r="G575" s="1186" t="s">
        <v>1988</v>
      </c>
      <c r="H575" s="1186">
        <v>37</v>
      </c>
    </row>
    <row r="576" spans="1:8" x14ac:dyDescent="0.2">
      <c r="A576" s="1186" t="s">
        <v>17</v>
      </c>
      <c r="B576" s="1186" t="s">
        <v>823</v>
      </c>
      <c r="C576" s="1186" t="s">
        <v>116</v>
      </c>
      <c r="D576" s="1186" t="s">
        <v>17</v>
      </c>
      <c r="E576" s="1186" t="s">
        <v>924</v>
      </c>
      <c r="F576" s="1186" t="s">
        <v>1981</v>
      </c>
      <c r="G576" s="1186" t="s">
        <v>1988</v>
      </c>
      <c r="H576" s="1186">
        <v>46</v>
      </c>
    </row>
    <row r="577" spans="1:8" x14ac:dyDescent="0.2">
      <c r="A577" s="1186" t="s">
        <v>17</v>
      </c>
      <c r="B577" s="1186" t="s">
        <v>824</v>
      </c>
      <c r="C577" s="1186" t="s">
        <v>61</v>
      </c>
      <c r="D577" s="1186" t="s">
        <v>17</v>
      </c>
      <c r="E577" s="1186" t="s">
        <v>913</v>
      </c>
      <c r="F577" s="1186" t="s">
        <v>1981</v>
      </c>
      <c r="G577" s="1186" t="s">
        <v>1982</v>
      </c>
      <c r="H577" s="1186">
        <v>153</v>
      </c>
    </row>
    <row r="578" spans="1:8" x14ac:dyDescent="0.2">
      <c r="A578" s="1186" t="s">
        <v>17</v>
      </c>
      <c r="B578" s="1186" t="s">
        <v>824</v>
      </c>
      <c r="C578" s="1186" t="s">
        <v>61</v>
      </c>
      <c r="D578" s="1186" t="s">
        <v>17</v>
      </c>
      <c r="E578" s="1186" t="s">
        <v>914</v>
      </c>
      <c r="F578" s="1186" t="s">
        <v>1981</v>
      </c>
      <c r="G578" s="1186" t="s">
        <v>1982</v>
      </c>
      <c r="H578" s="1186">
        <v>149</v>
      </c>
    </row>
    <row r="579" spans="1:8" x14ac:dyDescent="0.2">
      <c r="A579" s="1186" t="s">
        <v>17</v>
      </c>
      <c r="B579" s="1186" t="s">
        <v>824</v>
      </c>
      <c r="C579" s="1186" t="s">
        <v>61</v>
      </c>
      <c r="D579" s="1186" t="s">
        <v>17</v>
      </c>
      <c r="E579" s="1186" t="s">
        <v>915</v>
      </c>
      <c r="F579" s="1186" t="s">
        <v>1983</v>
      </c>
      <c r="G579" s="1186" t="s">
        <v>1982</v>
      </c>
      <c r="H579" s="1186">
        <v>158</v>
      </c>
    </row>
    <row r="580" spans="1:8" x14ac:dyDescent="0.2">
      <c r="A580" s="1186" t="s">
        <v>17</v>
      </c>
      <c r="B580" s="1186" t="s">
        <v>824</v>
      </c>
      <c r="C580" s="1186" t="s">
        <v>61</v>
      </c>
      <c r="D580" s="1186" t="s">
        <v>17</v>
      </c>
      <c r="E580" s="1186" t="s">
        <v>916</v>
      </c>
      <c r="F580" s="1186" t="s">
        <v>1983</v>
      </c>
      <c r="G580" s="1186" t="s">
        <v>1984</v>
      </c>
      <c r="H580" s="1186">
        <v>155</v>
      </c>
    </row>
    <row r="581" spans="1:8" x14ac:dyDescent="0.2">
      <c r="A581" s="1186" t="s">
        <v>17</v>
      </c>
      <c r="B581" s="1186" t="s">
        <v>824</v>
      </c>
      <c r="C581" s="1186" t="s">
        <v>61</v>
      </c>
      <c r="D581" s="1186" t="s">
        <v>17</v>
      </c>
      <c r="E581" s="1186" t="s">
        <v>917</v>
      </c>
      <c r="F581" s="1186" t="s">
        <v>1983</v>
      </c>
      <c r="G581" s="1186" t="s">
        <v>1984</v>
      </c>
      <c r="H581" s="1186">
        <v>142</v>
      </c>
    </row>
    <row r="582" spans="1:8" x14ac:dyDescent="0.2">
      <c r="A582" s="1186" t="s">
        <v>17</v>
      </c>
      <c r="B582" s="1186" t="s">
        <v>824</v>
      </c>
      <c r="C582" s="1186" t="s">
        <v>61</v>
      </c>
      <c r="D582" s="1186" t="s">
        <v>17</v>
      </c>
      <c r="E582" s="1186" t="s">
        <v>918</v>
      </c>
      <c r="F582" s="1186" t="s">
        <v>1985</v>
      </c>
      <c r="G582" s="1186" t="s">
        <v>1984</v>
      </c>
      <c r="H582" s="1186">
        <v>148</v>
      </c>
    </row>
    <row r="583" spans="1:8" x14ac:dyDescent="0.2">
      <c r="A583" s="1186" t="s">
        <v>17</v>
      </c>
      <c r="B583" s="1186" t="s">
        <v>824</v>
      </c>
      <c r="C583" s="1186" t="s">
        <v>61</v>
      </c>
      <c r="D583" s="1186" t="s">
        <v>17</v>
      </c>
      <c r="E583" s="1186" t="s">
        <v>919</v>
      </c>
      <c r="F583" s="1186" t="s">
        <v>1985</v>
      </c>
      <c r="G583" s="1186" t="s">
        <v>1986</v>
      </c>
      <c r="H583" s="1186">
        <v>148</v>
      </c>
    </row>
    <row r="584" spans="1:8" x14ac:dyDescent="0.2">
      <c r="A584" s="1186" t="s">
        <v>17</v>
      </c>
      <c r="B584" s="1186" t="s">
        <v>824</v>
      </c>
      <c r="C584" s="1186" t="s">
        <v>61</v>
      </c>
      <c r="D584" s="1186" t="s">
        <v>17</v>
      </c>
      <c r="E584" s="1186" t="s">
        <v>920</v>
      </c>
      <c r="F584" s="1186" t="s">
        <v>1985</v>
      </c>
      <c r="G584" s="1186" t="s">
        <v>1986</v>
      </c>
      <c r="H584" s="1186">
        <v>137</v>
      </c>
    </row>
    <row r="585" spans="1:8" x14ac:dyDescent="0.2">
      <c r="A585" s="1186" t="s">
        <v>17</v>
      </c>
      <c r="B585" s="1186" t="s">
        <v>824</v>
      </c>
      <c r="C585" s="1186" t="s">
        <v>61</v>
      </c>
      <c r="D585" s="1186" t="s">
        <v>17</v>
      </c>
      <c r="E585" s="1186" t="s">
        <v>921</v>
      </c>
      <c r="F585" s="1186" t="s">
        <v>1987</v>
      </c>
      <c r="G585" s="1186" t="s">
        <v>1986</v>
      </c>
      <c r="H585" s="1186">
        <v>126</v>
      </c>
    </row>
    <row r="586" spans="1:8" x14ac:dyDescent="0.2">
      <c r="A586" s="1186" t="s">
        <v>17</v>
      </c>
      <c r="B586" s="1186" t="s">
        <v>824</v>
      </c>
      <c r="C586" s="1186" t="s">
        <v>61</v>
      </c>
      <c r="D586" s="1186" t="s">
        <v>17</v>
      </c>
      <c r="E586" s="1186" t="s">
        <v>922</v>
      </c>
      <c r="F586" s="1186" t="s">
        <v>1987</v>
      </c>
      <c r="G586" s="1186" t="s">
        <v>1988</v>
      </c>
      <c r="H586" s="1186">
        <v>120</v>
      </c>
    </row>
    <row r="587" spans="1:8" x14ac:dyDescent="0.2">
      <c r="A587" s="1186" t="s">
        <v>17</v>
      </c>
      <c r="B587" s="1186" t="s">
        <v>824</v>
      </c>
      <c r="C587" s="1186" t="s">
        <v>61</v>
      </c>
      <c r="D587" s="1186" t="s">
        <v>17</v>
      </c>
      <c r="E587" s="1186" t="s">
        <v>923</v>
      </c>
      <c r="F587" s="1186" t="s">
        <v>1987</v>
      </c>
      <c r="G587" s="1186" t="s">
        <v>1988</v>
      </c>
      <c r="H587" s="1186">
        <v>140</v>
      </c>
    </row>
    <row r="588" spans="1:8" x14ac:dyDescent="0.2">
      <c r="A588" s="1186" t="s">
        <v>17</v>
      </c>
      <c r="B588" s="1186" t="s">
        <v>824</v>
      </c>
      <c r="C588" s="1186" t="s">
        <v>61</v>
      </c>
      <c r="D588" s="1186" t="s">
        <v>17</v>
      </c>
      <c r="E588" s="1186" t="s">
        <v>924</v>
      </c>
      <c r="F588" s="1186" t="s">
        <v>1981</v>
      </c>
      <c r="G588" s="1186" t="s">
        <v>1988</v>
      </c>
      <c r="H588" s="1186">
        <v>135</v>
      </c>
    </row>
    <row r="589" spans="1:8" x14ac:dyDescent="0.2">
      <c r="A589" s="1186" t="s">
        <v>17</v>
      </c>
      <c r="B589" s="1186" t="s">
        <v>824</v>
      </c>
      <c r="C589" s="1186" t="s">
        <v>116</v>
      </c>
      <c r="D589" s="1186" t="s">
        <v>17</v>
      </c>
      <c r="E589" s="1186" t="s">
        <v>913</v>
      </c>
      <c r="F589" s="1186" t="s">
        <v>1981</v>
      </c>
      <c r="G589" s="1186" t="s">
        <v>1982</v>
      </c>
      <c r="H589" s="1186">
        <v>61</v>
      </c>
    </row>
    <row r="590" spans="1:8" x14ac:dyDescent="0.2">
      <c r="A590" s="1186" t="s">
        <v>17</v>
      </c>
      <c r="B590" s="1186" t="s">
        <v>824</v>
      </c>
      <c r="C590" s="1186" t="s">
        <v>116</v>
      </c>
      <c r="D590" s="1186" t="s">
        <v>17</v>
      </c>
      <c r="E590" s="1186" t="s">
        <v>914</v>
      </c>
      <c r="F590" s="1186" t="s">
        <v>1981</v>
      </c>
      <c r="G590" s="1186" t="s">
        <v>1982</v>
      </c>
      <c r="H590" s="1186">
        <v>70</v>
      </c>
    </row>
    <row r="591" spans="1:8" x14ac:dyDescent="0.2">
      <c r="A591" s="1186" t="s">
        <v>17</v>
      </c>
      <c r="B591" s="1186" t="s">
        <v>824</v>
      </c>
      <c r="C591" s="1186" t="s">
        <v>116</v>
      </c>
      <c r="D591" s="1186" t="s">
        <v>17</v>
      </c>
      <c r="E591" s="1186" t="s">
        <v>915</v>
      </c>
      <c r="F591" s="1186" t="s">
        <v>1983</v>
      </c>
      <c r="G591" s="1186" t="s">
        <v>1982</v>
      </c>
      <c r="H591" s="1186">
        <v>69</v>
      </c>
    </row>
    <row r="592" spans="1:8" x14ac:dyDescent="0.2">
      <c r="A592" s="1186" t="s">
        <v>17</v>
      </c>
      <c r="B592" s="1186" t="s">
        <v>824</v>
      </c>
      <c r="C592" s="1186" t="s">
        <v>116</v>
      </c>
      <c r="D592" s="1186" t="s">
        <v>17</v>
      </c>
      <c r="E592" s="1186" t="s">
        <v>916</v>
      </c>
      <c r="F592" s="1186" t="s">
        <v>1983</v>
      </c>
      <c r="G592" s="1186" t="s">
        <v>1984</v>
      </c>
      <c r="H592" s="1186">
        <v>61</v>
      </c>
    </row>
    <row r="593" spans="1:8" x14ac:dyDescent="0.2">
      <c r="A593" s="1186" t="s">
        <v>17</v>
      </c>
      <c r="B593" s="1186" t="s">
        <v>824</v>
      </c>
      <c r="C593" s="1186" t="s">
        <v>116</v>
      </c>
      <c r="D593" s="1186" t="s">
        <v>17</v>
      </c>
      <c r="E593" s="1186" t="s">
        <v>917</v>
      </c>
      <c r="F593" s="1186" t="s">
        <v>1983</v>
      </c>
      <c r="G593" s="1186" t="s">
        <v>1984</v>
      </c>
      <c r="H593" s="1186">
        <v>56</v>
      </c>
    </row>
    <row r="594" spans="1:8" x14ac:dyDescent="0.2">
      <c r="A594" s="1186" t="s">
        <v>17</v>
      </c>
      <c r="B594" s="1186" t="s">
        <v>824</v>
      </c>
      <c r="C594" s="1186" t="s">
        <v>116</v>
      </c>
      <c r="D594" s="1186" t="s">
        <v>17</v>
      </c>
      <c r="E594" s="1186" t="s">
        <v>918</v>
      </c>
      <c r="F594" s="1186" t="s">
        <v>1985</v>
      </c>
      <c r="G594" s="1186" t="s">
        <v>1984</v>
      </c>
      <c r="H594" s="1186">
        <v>54</v>
      </c>
    </row>
    <row r="595" spans="1:8" x14ac:dyDescent="0.2">
      <c r="A595" s="1186" t="s">
        <v>17</v>
      </c>
      <c r="B595" s="1186" t="s">
        <v>824</v>
      </c>
      <c r="C595" s="1186" t="s">
        <v>116</v>
      </c>
      <c r="D595" s="1186" t="s">
        <v>17</v>
      </c>
      <c r="E595" s="1186" t="s">
        <v>919</v>
      </c>
      <c r="F595" s="1186" t="s">
        <v>1985</v>
      </c>
      <c r="G595" s="1186" t="s">
        <v>1986</v>
      </c>
      <c r="H595" s="1186">
        <v>41</v>
      </c>
    </row>
    <row r="596" spans="1:8" x14ac:dyDescent="0.2">
      <c r="A596" s="1186" t="s">
        <v>17</v>
      </c>
      <c r="B596" s="1186" t="s">
        <v>824</v>
      </c>
      <c r="C596" s="1186" t="s">
        <v>116</v>
      </c>
      <c r="D596" s="1186" t="s">
        <v>17</v>
      </c>
      <c r="E596" s="1186" t="s">
        <v>920</v>
      </c>
      <c r="F596" s="1186" t="s">
        <v>1985</v>
      </c>
      <c r="G596" s="1186" t="s">
        <v>1986</v>
      </c>
      <c r="H596" s="1186">
        <v>49</v>
      </c>
    </row>
    <row r="597" spans="1:8" x14ac:dyDescent="0.2">
      <c r="A597" s="1186" t="s">
        <v>17</v>
      </c>
      <c r="B597" s="1186" t="s">
        <v>824</v>
      </c>
      <c r="C597" s="1186" t="s">
        <v>116</v>
      </c>
      <c r="D597" s="1186" t="s">
        <v>17</v>
      </c>
      <c r="E597" s="1186" t="s">
        <v>921</v>
      </c>
      <c r="F597" s="1186" t="s">
        <v>1987</v>
      </c>
      <c r="G597" s="1186" t="s">
        <v>1986</v>
      </c>
      <c r="H597" s="1186">
        <v>43</v>
      </c>
    </row>
    <row r="598" spans="1:8" x14ac:dyDescent="0.2">
      <c r="A598" s="1186" t="s">
        <v>17</v>
      </c>
      <c r="B598" s="1186" t="s">
        <v>824</v>
      </c>
      <c r="C598" s="1186" t="s">
        <v>116</v>
      </c>
      <c r="D598" s="1186" t="s">
        <v>17</v>
      </c>
      <c r="E598" s="1186" t="s">
        <v>922</v>
      </c>
      <c r="F598" s="1186" t="s">
        <v>1987</v>
      </c>
      <c r="G598" s="1186" t="s">
        <v>1988</v>
      </c>
      <c r="H598" s="1186">
        <v>43</v>
      </c>
    </row>
    <row r="599" spans="1:8" x14ac:dyDescent="0.2">
      <c r="A599" s="1186" t="s">
        <v>17</v>
      </c>
      <c r="B599" s="1186" t="s">
        <v>824</v>
      </c>
      <c r="C599" s="1186" t="s">
        <v>116</v>
      </c>
      <c r="D599" s="1186" t="s">
        <v>17</v>
      </c>
      <c r="E599" s="1186" t="s">
        <v>923</v>
      </c>
      <c r="F599" s="1186" t="s">
        <v>1987</v>
      </c>
      <c r="G599" s="1186" t="s">
        <v>1988</v>
      </c>
      <c r="H599" s="1186">
        <v>40</v>
      </c>
    </row>
    <row r="600" spans="1:8" x14ac:dyDescent="0.2">
      <c r="A600" s="1186" t="s">
        <v>17</v>
      </c>
      <c r="B600" s="1186" t="s">
        <v>824</v>
      </c>
      <c r="C600" s="1186" t="s">
        <v>116</v>
      </c>
      <c r="D600" s="1186" t="s">
        <v>17</v>
      </c>
      <c r="E600" s="1186" t="s">
        <v>924</v>
      </c>
      <c r="F600" s="1186" t="s">
        <v>1981</v>
      </c>
      <c r="G600" s="1186" t="s">
        <v>1988</v>
      </c>
      <c r="H600" s="1186">
        <v>48</v>
      </c>
    </row>
    <row r="601" spans="1:8" x14ac:dyDescent="0.2">
      <c r="A601" s="1186" t="s">
        <v>17</v>
      </c>
      <c r="B601" s="1186" t="s">
        <v>825</v>
      </c>
      <c r="C601" s="1186" t="s">
        <v>61</v>
      </c>
      <c r="D601" s="1186" t="s">
        <v>17</v>
      </c>
      <c r="E601" s="1186" t="s">
        <v>913</v>
      </c>
      <c r="F601" s="1186" t="s">
        <v>1981</v>
      </c>
      <c r="G601" s="1186" t="s">
        <v>1982</v>
      </c>
      <c r="H601" s="1186">
        <v>103</v>
      </c>
    </row>
    <row r="602" spans="1:8" x14ac:dyDescent="0.2">
      <c r="A602" s="1186" t="s">
        <v>17</v>
      </c>
      <c r="B602" s="1186" t="s">
        <v>825</v>
      </c>
      <c r="C602" s="1186" t="s">
        <v>61</v>
      </c>
      <c r="D602" s="1186" t="s">
        <v>17</v>
      </c>
      <c r="E602" s="1186" t="s">
        <v>914</v>
      </c>
      <c r="F602" s="1186" t="s">
        <v>1981</v>
      </c>
      <c r="G602" s="1186" t="s">
        <v>1982</v>
      </c>
      <c r="H602" s="1186">
        <v>78</v>
      </c>
    </row>
    <row r="603" spans="1:8" x14ac:dyDescent="0.2">
      <c r="A603" s="1186" t="s">
        <v>17</v>
      </c>
      <c r="B603" s="1186" t="s">
        <v>825</v>
      </c>
      <c r="C603" s="1186" t="s">
        <v>61</v>
      </c>
      <c r="D603" s="1186" t="s">
        <v>17</v>
      </c>
      <c r="E603" s="1186" t="s">
        <v>915</v>
      </c>
      <c r="F603" s="1186" t="s">
        <v>1983</v>
      </c>
      <c r="G603" s="1186" t="s">
        <v>1982</v>
      </c>
      <c r="H603" s="1186">
        <v>93</v>
      </c>
    </row>
    <row r="604" spans="1:8" x14ac:dyDescent="0.2">
      <c r="A604" s="1186" t="s">
        <v>17</v>
      </c>
      <c r="B604" s="1186" t="s">
        <v>825</v>
      </c>
      <c r="C604" s="1186" t="s">
        <v>61</v>
      </c>
      <c r="D604" s="1186" t="s">
        <v>17</v>
      </c>
      <c r="E604" s="1186" t="s">
        <v>916</v>
      </c>
      <c r="F604" s="1186" t="s">
        <v>1983</v>
      </c>
      <c r="G604" s="1186" t="s">
        <v>1984</v>
      </c>
      <c r="H604" s="1186">
        <v>119</v>
      </c>
    </row>
    <row r="605" spans="1:8" x14ac:dyDescent="0.2">
      <c r="A605" s="1186" t="s">
        <v>17</v>
      </c>
      <c r="B605" s="1186" t="s">
        <v>825</v>
      </c>
      <c r="C605" s="1186" t="s">
        <v>61</v>
      </c>
      <c r="D605" s="1186" t="s">
        <v>17</v>
      </c>
      <c r="E605" s="1186" t="s">
        <v>917</v>
      </c>
      <c r="F605" s="1186" t="s">
        <v>1983</v>
      </c>
      <c r="G605" s="1186" t="s">
        <v>1984</v>
      </c>
      <c r="H605" s="1186">
        <v>115</v>
      </c>
    </row>
    <row r="606" spans="1:8" x14ac:dyDescent="0.2">
      <c r="A606" s="1186" t="s">
        <v>17</v>
      </c>
      <c r="B606" s="1186" t="s">
        <v>825</v>
      </c>
      <c r="C606" s="1186" t="s">
        <v>61</v>
      </c>
      <c r="D606" s="1186" t="s">
        <v>17</v>
      </c>
      <c r="E606" s="1186" t="s">
        <v>918</v>
      </c>
      <c r="F606" s="1186" t="s">
        <v>1985</v>
      </c>
      <c r="G606" s="1186" t="s">
        <v>1984</v>
      </c>
      <c r="H606" s="1186">
        <v>118</v>
      </c>
    </row>
    <row r="607" spans="1:8" x14ac:dyDescent="0.2">
      <c r="A607" s="1186" t="s">
        <v>17</v>
      </c>
      <c r="B607" s="1186" t="s">
        <v>825</v>
      </c>
      <c r="C607" s="1186" t="s">
        <v>61</v>
      </c>
      <c r="D607" s="1186" t="s">
        <v>17</v>
      </c>
      <c r="E607" s="1186" t="s">
        <v>919</v>
      </c>
      <c r="F607" s="1186" t="s">
        <v>1985</v>
      </c>
      <c r="G607" s="1186" t="s">
        <v>1986</v>
      </c>
      <c r="H607" s="1186">
        <v>111</v>
      </c>
    </row>
    <row r="608" spans="1:8" x14ac:dyDescent="0.2">
      <c r="A608" s="1186" t="s">
        <v>17</v>
      </c>
      <c r="B608" s="1186" t="s">
        <v>825</v>
      </c>
      <c r="C608" s="1186" t="s">
        <v>61</v>
      </c>
      <c r="D608" s="1186" t="s">
        <v>17</v>
      </c>
      <c r="E608" s="1186" t="s">
        <v>920</v>
      </c>
      <c r="F608" s="1186" t="s">
        <v>1985</v>
      </c>
      <c r="G608" s="1186" t="s">
        <v>1986</v>
      </c>
      <c r="H608" s="1186">
        <v>94</v>
      </c>
    </row>
    <row r="609" spans="1:8" x14ac:dyDescent="0.2">
      <c r="A609" s="1186" t="s">
        <v>17</v>
      </c>
      <c r="B609" s="1186" t="s">
        <v>825</v>
      </c>
      <c r="C609" s="1186" t="s">
        <v>61</v>
      </c>
      <c r="D609" s="1186" t="s">
        <v>17</v>
      </c>
      <c r="E609" s="1186" t="s">
        <v>921</v>
      </c>
      <c r="F609" s="1186" t="s">
        <v>1987</v>
      </c>
      <c r="G609" s="1186" t="s">
        <v>1986</v>
      </c>
      <c r="H609" s="1186">
        <v>89</v>
      </c>
    </row>
    <row r="610" spans="1:8" x14ac:dyDescent="0.2">
      <c r="A610" s="1186" t="s">
        <v>17</v>
      </c>
      <c r="B610" s="1186" t="s">
        <v>825</v>
      </c>
      <c r="C610" s="1186" t="s">
        <v>61</v>
      </c>
      <c r="D610" s="1186" t="s">
        <v>17</v>
      </c>
      <c r="E610" s="1186" t="s">
        <v>922</v>
      </c>
      <c r="F610" s="1186" t="s">
        <v>1987</v>
      </c>
      <c r="G610" s="1186" t="s">
        <v>1988</v>
      </c>
      <c r="H610" s="1186">
        <v>86</v>
      </c>
    </row>
    <row r="611" spans="1:8" x14ac:dyDescent="0.2">
      <c r="A611" s="1186" t="s">
        <v>17</v>
      </c>
      <c r="B611" s="1186" t="s">
        <v>825</v>
      </c>
      <c r="C611" s="1186" t="s">
        <v>61</v>
      </c>
      <c r="D611" s="1186" t="s">
        <v>17</v>
      </c>
      <c r="E611" s="1186" t="s">
        <v>923</v>
      </c>
      <c r="F611" s="1186" t="s">
        <v>1987</v>
      </c>
      <c r="G611" s="1186" t="s">
        <v>1988</v>
      </c>
      <c r="H611" s="1186">
        <v>68</v>
      </c>
    </row>
    <row r="612" spans="1:8" x14ac:dyDescent="0.2">
      <c r="A612" s="1186" t="s">
        <v>17</v>
      </c>
      <c r="B612" s="1186" t="s">
        <v>825</v>
      </c>
      <c r="C612" s="1186" t="s">
        <v>61</v>
      </c>
      <c r="D612" s="1186" t="s">
        <v>17</v>
      </c>
      <c r="E612" s="1186" t="s">
        <v>924</v>
      </c>
      <c r="F612" s="1186" t="s">
        <v>1981</v>
      </c>
      <c r="G612" s="1186" t="s">
        <v>1988</v>
      </c>
      <c r="H612" s="1186">
        <v>95</v>
      </c>
    </row>
    <row r="613" spans="1:8" x14ac:dyDescent="0.2">
      <c r="A613" s="1186" t="s">
        <v>17</v>
      </c>
      <c r="B613" s="1186" t="s">
        <v>825</v>
      </c>
      <c r="C613" s="1186" t="s">
        <v>116</v>
      </c>
      <c r="D613" s="1186" t="s">
        <v>17</v>
      </c>
      <c r="E613" s="1186" t="s">
        <v>913</v>
      </c>
      <c r="F613" s="1186" t="s">
        <v>1981</v>
      </c>
      <c r="G613" s="1186" t="s">
        <v>1982</v>
      </c>
      <c r="H613" s="1186">
        <v>43</v>
      </c>
    </row>
    <row r="614" spans="1:8" x14ac:dyDescent="0.2">
      <c r="A614" s="1186" t="s">
        <v>17</v>
      </c>
      <c r="B614" s="1186" t="s">
        <v>825</v>
      </c>
      <c r="C614" s="1186" t="s">
        <v>116</v>
      </c>
      <c r="D614" s="1186" t="s">
        <v>17</v>
      </c>
      <c r="E614" s="1186" t="s">
        <v>914</v>
      </c>
      <c r="F614" s="1186" t="s">
        <v>1981</v>
      </c>
      <c r="G614" s="1186" t="s">
        <v>1982</v>
      </c>
      <c r="H614" s="1186">
        <v>68</v>
      </c>
    </row>
    <row r="615" spans="1:8" x14ac:dyDescent="0.2">
      <c r="A615" s="1186" t="s">
        <v>17</v>
      </c>
      <c r="B615" s="1186" t="s">
        <v>825</v>
      </c>
      <c r="C615" s="1186" t="s">
        <v>116</v>
      </c>
      <c r="D615" s="1186" t="s">
        <v>17</v>
      </c>
      <c r="E615" s="1186" t="s">
        <v>915</v>
      </c>
      <c r="F615" s="1186" t="s">
        <v>1983</v>
      </c>
      <c r="G615" s="1186" t="s">
        <v>1982</v>
      </c>
      <c r="H615" s="1186">
        <v>76</v>
      </c>
    </row>
    <row r="616" spans="1:8" x14ac:dyDescent="0.2">
      <c r="A616" s="1186" t="s">
        <v>17</v>
      </c>
      <c r="B616" s="1186" t="s">
        <v>825</v>
      </c>
      <c r="C616" s="1186" t="s">
        <v>116</v>
      </c>
      <c r="D616" s="1186" t="s">
        <v>17</v>
      </c>
      <c r="E616" s="1186" t="s">
        <v>916</v>
      </c>
      <c r="F616" s="1186" t="s">
        <v>1983</v>
      </c>
      <c r="G616" s="1186" t="s">
        <v>1984</v>
      </c>
      <c r="H616" s="1186">
        <v>88</v>
      </c>
    </row>
    <row r="617" spans="1:8" x14ac:dyDescent="0.2">
      <c r="A617" s="1186" t="s">
        <v>17</v>
      </c>
      <c r="B617" s="1186" t="s">
        <v>825</v>
      </c>
      <c r="C617" s="1186" t="s">
        <v>116</v>
      </c>
      <c r="D617" s="1186" t="s">
        <v>17</v>
      </c>
      <c r="E617" s="1186" t="s">
        <v>917</v>
      </c>
      <c r="F617" s="1186" t="s">
        <v>1983</v>
      </c>
      <c r="G617" s="1186" t="s">
        <v>1984</v>
      </c>
      <c r="H617" s="1186">
        <v>80</v>
      </c>
    </row>
    <row r="618" spans="1:8" x14ac:dyDescent="0.2">
      <c r="A618" s="1186" t="s">
        <v>17</v>
      </c>
      <c r="B618" s="1186" t="s">
        <v>825</v>
      </c>
      <c r="C618" s="1186" t="s">
        <v>116</v>
      </c>
      <c r="D618" s="1186" t="s">
        <v>17</v>
      </c>
      <c r="E618" s="1186" t="s">
        <v>918</v>
      </c>
      <c r="F618" s="1186" t="s">
        <v>1985</v>
      </c>
      <c r="G618" s="1186" t="s">
        <v>1984</v>
      </c>
      <c r="H618" s="1186">
        <v>67</v>
      </c>
    </row>
    <row r="619" spans="1:8" x14ac:dyDescent="0.2">
      <c r="A619" s="1186" t="s">
        <v>17</v>
      </c>
      <c r="B619" s="1186" t="s">
        <v>825</v>
      </c>
      <c r="C619" s="1186" t="s">
        <v>116</v>
      </c>
      <c r="D619" s="1186" t="s">
        <v>17</v>
      </c>
      <c r="E619" s="1186" t="s">
        <v>919</v>
      </c>
      <c r="F619" s="1186" t="s">
        <v>1985</v>
      </c>
      <c r="G619" s="1186" t="s">
        <v>1986</v>
      </c>
      <c r="H619" s="1186">
        <v>65</v>
      </c>
    </row>
    <row r="620" spans="1:8" x14ac:dyDescent="0.2">
      <c r="A620" s="1186" t="s">
        <v>17</v>
      </c>
      <c r="B620" s="1186" t="s">
        <v>825</v>
      </c>
      <c r="C620" s="1186" t="s">
        <v>116</v>
      </c>
      <c r="D620" s="1186" t="s">
        <v>17</v>
      </c>
      <c r="E620" s="1186" t="s">
        <v>920</v>
      </c>
      <c r="F620" s="1186" t="s">
        <v>1985</v>
      </c>
      <c r="G620" s="1186" t="s">
        <v>1986</v>
      </c>
      <c r="H620" s="1186">
        <v>66</v>
      </c>
    </row>
    <row r="621" spans="1:8" x14ac:dyDescent="0.2">
      <c r="A621" s="1186" t="s">
        <v>17</v>
      </c>
      <c r="B621" s="1186" t="s">
        <v>825</v>
      </c>
      <c r="C621" s="1186" t="s">
        <v>116</v>
      </c>
      <c r="D621" s="1186" t="s">
        <v>17</v>
      </c>
      <c r="E621" s="1186" t="s">
        <v>921</v>
      </c>
      <c r="F621" s="1186" t="s">
        <v>1987</v>
      </c>
      <c r="G621" s="1186" t="s">
        <v>1986</v>
      </c>
      <c r="H621" s="1186">
        <v>65</v>
      </c>
    </row>
    <row r="622" spans="1:8" x14ac:dyDescent="0.2">
      <c r="A622" s="1186" t="s">
        <v>17</v>
      </c>
      <c r="B622" s="1186" t="s">
        <v>825</v>
      </c>
      <c r="C622" s="1186" t="s">
        <v>116</v>
      </c>
      <c r="D622" s="1186" t="s">
        <v>17</v>
      </c>
      <c r="E622" s="1186" t="s">
        <v>922</v>
      </c>
      <c r="F622" s="1186" t="s">
        <v>1987</v>
      </c>
      <c r="G622" s="1186" t="s">
        <v>1988</v>
      </c>
      <c r="H622" s="1186">
        <v>48</v>
      </c>
    </row>
    <row r="623" spans="1:8" x14ac:dyDescent="0.2">
      <c r="A623" s="1186" t="s">
        <v>17</v>
      </c>
      <c r="B623" s="1186" t="s">
        <v>825</v>
      </c>
      <c r="C623" s="1186" t="s">
        <v>116</v>
      </c>
      <c r="D623" s="1186" t="s">
        <v>17</v>
      </c>
      <c r="E623" s="1186" t="s">
        <v>923</v>
      </c>
      <c r="F623" s="1186" t="s">
        <v>1987</v>
      </c>
      <c r="G623" s="1186" t="s">
        <v>1988</v>
      </c>
      <c r="H623" s="1186">
        <v>47</v>
      </c>
    </row>
    <row r="624" spans="1:8" x14ac:dyDescent="0.2">
      <c r="A624" s="1186" t="s">
        <v>17</v>
      </c>
      <c r="B624" s="1186" t="s">
        <v>825</v>
      </c>
      <c r="C624" s="1186" t="s">
        <v>116</v>
      </c>
      <c r="D624" s="1186" t="s">
        <v>17</v>
      </c>
      <c r="E624" s="1186" t="s">
        <v>924</v>
      </c>
      <c r="F624" s="1186" t="s">
        <v>1981</v>
      </c>
      <c r="G624" s="1186" t="s">
        <v>1988</v>
      </c>
      <c r="H624" s="1186">
        <v>56</v>
      </c>
    </row>
    <row r="625" spans="1:8" x14ac:dyDescent="0.2">
      <c r="A625" s="1186" t="s">
        <v>17</v>
      </c>
      <c r="B625" s="1186" t="s">
        <v>826</v>
      </c>
      <c r="C625" s="1186" t="s">
        <v>61</v>
      </c>
      <c r="D625" s="1186" t="s">
        <v>17</v>
      </c>
      <c r="E625" s="1186" t="s">
        <v>913</v>
      </c>
      <c r="F625" s="1186" t="s">
        <v>1981</v>
      </c>
      <c r="G625" s="1186" t="s">
        <v>1982</v>
      </c>
      <c r="H625" s="1186">
        <v>46</v>
      </c>
    </row>
    <row r="626" spans="1:8" x14ac:dyDescent="0.2">
      <c r="A626" s="1186" t="s">
        <v>17</v>
      </c>
      <c r="B626" s="1186" t="s">
        <v>826</v>
      </c>
      <c r="C626" s="1186" t="s">
        <v>61</v>
      </c>
      <c r="D626" s="1186" t="s">
        <v>17</v>
      </c>
      <c r="E626" s="1186" t="s">
        <v>914</v>
      </c>
      <c r="F626" s="1186" t="s">
        <v>1981</v>
      </c>
      <c r="G626" s="1186" t="s">
        <v>1982</v>
      </c>
      <c r="H626" s="1186">
        <v>28</v>
      </c>
    </row>
    <row r="627" spans="1:8" x14ac:dyDescent="0.2">
      <c r="A627" s="1186" t="s">
        <v>17</v>
      </c>
      <c r="B627" s="1186" t="s">
        <v>826</v>
      </c>
      <c r="C627" s="1186" t="s">
        <v>61</v>
      </c>
      <c r="D627" s="1186" t="s">
        <v>17</v>
      </c>
      <c r="E627" s="1186" t="s">
        <v>915</v>
      </c>
      <c r="F627" s="1186" t="s">
        <v>1983</v>
      </c>
      <c r="G627" s="1186" t="s">
        <v>1982</v>
      </c>
      <c r="H627" s="1186">
        <v>42</v>
      </c>
    </row>
    <row r="628" spans="1:8" x14ac:dyDescent="0.2">
      <c r="A628" s="1186" t="s">
        <v>17</v>
      </c>
      <c r="B628" s="1186" t="s">
        <v>826</v>
      </c>
      <c r="C628" s="1186" t="s">
        <v>61</v>
      </c>
      <c r="D628" s="1186" t="s">
        <v>17</v>
      </c>
      <c r="E628" s="1186" t="s">
        <v>916</v>
      </c>
      <c r="F628" s="1186" t="s">
        <v>1983</v>
      </c>
      <c r="G628" s="1186" t="s">
        <v>1984</v>
      </c>
      <c r="H628" s="1186">
        <v>58</v>
      </c>
    </row>
    <row r="629" spans="1:8" x14ac:dyDescent="0.2">
      <c r="A629" s="1186" t="s">
        <v>17</v>
      </c>
      <c r="B629" s="1186" t="s">
        <v>826</v>
      </c>
      <c r="C629" s="1186" t="s">
        <v>61</v>
      </c>
      <c r="D629" s="1186" t="s">
        <v>17</v>
      </c>
      <c r="E629" s="1186" t="s">
        <v>917</v>
      </c>
      <c r="F629" s="1186" t="s">
        <v>1983</v>
      </c>
      <c r="G629" s="1186" t="s">
        <v>1984</v>
      </c>
      <c r="H629" s="1186">
        <v>46</v>
      </c>
    </row>
    <row r="630" spans="1:8" x14ac:dyDescent="0.2">
      <c r="A630" s="1186" t="s">
        <v>17</v>
      </c>
      <c r="B630" s="1186" t="s">
        <v>826</v>
      </c>
      <c r="C630" s="1186" t="s">
        <v>61</v>
      </c>
      <c r="D630" s="1186" t="s">
        <v>17</v>
      </c>
      <c r="E630" s="1186" t="s">
        <v>918</v>
      </c>
      <c r="F630" s="1186" t="s">
        <v>1985</v>
      </c>
      <c r="G630" s="1186" t="s">
        <v>1984</v>
      </c>
      <c r="H630" s="1186">
        <v>43</v>
      </c>
    </row>
    <row r="631" spans="1:8" x14ac:dyDescent="0.2">
      <c r="A631" s="1186" t="s">
        <v>17</v>
      </c>
      <c r="B631" s="1186" t="s">
        <v>826</v>
      </c>
      <c r="C631" s="1186" t="s">
        <v>61</v>
      </c>
      <c r="D631" s="1186" t="s">
        <v>17</v>
      </c>
      <c r="E631" s="1186" t="s">
        <v>919</v>
      </c>
      <c r="F631" s="1186" t="s">
        <v>1985</v>
      </c>
      <c r="G631" s="1186" t="s">
        <v>1986</v>
      </c>
      <c r="H631" s="1186">
        <v>28</v>
      </c>
    </row>
    <row r="632" spans="1:8" x14ac:dyDescent="0.2">
      <c r="A632" s="1186" t="s">
        <v>17</v>
      </c>
      <c r="B632" s="1186" t="s">
        <v>826</v>
      </c>
      <c r="C632" s="1186" t="s">
        <v>61</v>
      </c>
      <c r="D632" s="1186" t="s">
        <v>17</v>
      </c>
      <c r="E632" s="1186" t="s">
        <v>920</v>
      </c>
      <c r="F632" s="1186" t="s">
        <v>1985</v>
      </c>
      <c r="G632" s="1186" t="s">
        <v>1986</v>
      </c>
      <c r="H632" s="1186">
        <v>30</v>
      </c>
    </row>
    <row r="633" spans="1:8" x14ac:dyDescent="0.2">
      <c r="A633" s="1186" t="s">
        <v>17</v>
      </c>
      <c r="B633" s="1186" t="s">
        <v>826</v>
      </c>
      <c r="C633" s="1186" t="s">
        <v>61</v>
      </c>
      <c r="D633" s="1186" t="s">
        <v>17</v>
      </c>
      <c r="E633" s="1186" t="s">
        <v>921</v>
      </c>
      <c r="F633" s="1186" t="s">
        <v>1987</v>
      </c>
      <c r="G633" s="1186" t="s">
        <v>1986</v>
      </c>
      <c r="H633" s="1186">
        <v>22</v>
      </c>
    </row>
    <row r="634" spans="1:8" x14ac:dyDescent="0.2">
      <c r="A634" s="1186" t="s">
        <v>17</v>
      </c>
      <c r="B634" s="1186" t="s">
        <v>826</v>
      </c>
      <c r="C634" s="1186" t="s">
        <v>61</v>
      </c>
      <c r="D634" s="1186" t="s">
        <v>17</v>
      </c>
      <c r="E634" s="1186" t="s">
        <v>922</v>
      </c>
      <c r="F634" s="1186" t="s">
        <v>1987</v>
      </c>
      <c r="G634" s="1186" t="s">
        <v>1988</v>
      </c>
      <c r="H634" s="1186">
        <v>10</v>
      </c>
    </row>
    <row r="635" spans="1:8" x14ac:dyDescent="0.2">
      <c r="A635" s="1186" t="s">
        <v>17</v>
      </c>
      <c r="B635" s="1186" t="s">
        <v>826</v>
      </c>
      <c r="C635" s="1186" t="s">
        <v>61</v>
      </c>
      <c r="D635" s="1186" t="s">
        <v>17</v>
      </c>
      <c r="E635" s="1186" t="s">
        <v>923</v>
      </c>
      <c r="F635" s="1186" t="s">
        <v>1987</v>
      </c>
      <c r="G635" s="1186" t="s">
        <v>1988</v>
      </c>
      <c r="H635" s="1186">
        <v>10</v>
      </c>
    </row>
    <row r="636" spans="1:8" x14ac:dyDescent="0.2">
      <c r="A636" s="1186" t="s">
        <v>17</v>
      </c>
      <c r="B636" s="1186" t="s">
        <v>826</v>
      </c>
      <c r="C636" s="1186" t="s">
        <v>61</v>
      </c>
      <c r="D636" s="1186" t="s">
        <v>17</v>
      </c>
      <c r="E636" s="1186" t="s">
        <v>924</v>
      </c>
      <c r="F636" s="1186" t="s">
        <v>1981</v>
      </c>
      <c r="G636" s="1186" t="s">
        <v>1988</v>
      </c>
      <c r="H636" s="1186">
        <v>25</v>
      </c>
    </row>
    <row r="637" spans="1:8" x14ac:dyDescent="0.2">
      <c r="A637" s="1186" t="s">
        <v>17</v>
      </c>
      <c r="B637" s="1186" t="s">
        <v>826</v>
      </c>
      <c r="C637" s="1186" t="s">
        <v>116</v>
      </c>
      <c r="D637" s="1186" t="s">
        <v>17</v>
      </c>
      <c r="E637" s="1186" t="s">
        <v>913</v>
      </c>
      <c r="F637" s="1186" t="s">
        <v>1981</v>
      </c>
      <c r="G637" s="1186" t="s">
        <v>1982</v>
      </c>
      <c r="H637" s="1186">
        <v>61</v>
      </c>
    </row>
    <row r="638" spans="1:8" x14ac:dyDescent="0.2">
      <c r="A638" s="1186" t="s">
        <v>17</v>
      </c>
      <c r="B638" s="1186" t="s">
        <v>826</v>
      </c>
      <c r="C638" s="1186" t="s">
        <v>116</v>
      </c>
      <c r="D638" s="1186" t="s">
        <v>17</v>
      </c>
      <c r="E638" s="1186" t="s">
        <v>914</v>
      </c>
      <c r="F638" s="1186" t="s">
        <v>1981</v>
      </c>
      <c r="G638" s="1186" t="s">
        <v>1982</v>
      </c>
      <c r="H638" s="1186">
        <v>47</v>
      </c>
    </row>
    <row r="639" spans="1:8" x14ac:dyDescent="0.2">
      <c r="A639" s="1186" t="s">
        <v>17</v>
      </c>
      <c r="B639" s="1186" t="s">
        <v>826</v>
      </c>
      <c r="C639" s="1186" t="s">
        <v>116</v>
      </c>
      <c r="D639" s="1186" t="s">
        <v>17</v>
      </c>
      <c r="E639" s="1186" t="s">
        <v>915</v>
      </c>
      <c r="F639" s="1186" t="s">
        <v>1983</v>
      </c>
      <c r="G639" s="1186" t="s">
        <v>1982</v>
      </c>
      <c r="H639" s="1186">
        <v>63</v>
      </c>
    </row>
    <row r="640" spans="1:8" x14ac:dyDescent="0.2">
      <c r="A640" s="1186" t="s">
        <v>17</v>
      </c>
      <c r="B640" s="1186" t="s">
        <v>826</v>
      </c>
      <c r="C640" s="1186" t="s">
        <v>116</v>
      </c>
      <c r="D640" s="1186" t="s">
        <v>17</v>
      </c>
      <c r="E640" s="1186" t="s">
        <v>916</v>
      </c>
      <c r="F640" s="1186" t="s">
        <v>1983</v>
      </c>
      <c r="G640" s="1186" t="s">
        <v>1984</v>
      </c>
      <c r="H640" s="1186">
        <v>93</v>
      </c>
    </row>
    <row r="641" spans="1:8" x14ac:dyDescent="0.2">
      <c r="A641" s="1186" t="s">
        <v>17</v>
      </c>
      <c r="B641" s="1186" t="s">
        <v>826</v>
      </c>
      <c r="C641" s="1186" t="s">
        <v>116</v>
      </c>
      <c r="D641" s="1186" t="s">
        <v>17</v>
      </c>
      <c r="E641" s="1186" t="s">
        <v>917</v>
      </c>
      <c r="F641" s="1186" t="s">
        <v>1983</v>
      </c>
      <c r="G641" s="1186" t="s">
        <v>1984</v>
      </c>
      <c r="H641" s="1186">
        <v>51</v>
      </c>
    </row>
    <row r="642" spans="1:8" x14ac:dyDescent="0.2">
      <c r="A642" s="1186" t="s">
        <v>17</v>
      </c>
      <c r="B642" s="1186" t="s">
        <v>826</v>
      </c>
      <c r="C642" s="1186" t="s">
        <v>116</v>
      </c>
      <c r="D642" s="1186" t="s">
        <v>17</v>
      </c>
      <c r="E642" s="1186" t="s">
        <v>918</v>
      </c>
      <c r="F642" s="1186" t="s">
        <v>1985</v>
      </c>
      <c r="G642" s="1186" t="s">
        <v>1984</v>
      </c>
      <c r="H642" s="1186">
        <v>54</v>
      </c>
    </row>
    <row r="643" spans="1:8" x14ac:dyDescent="0.2">
      <c r="A643" s="1186" t="s">
        <v>17</v>
      </c>
      <c r="B643" s="1186" t="s">
        <v>826</v>
      </c>
      <c r="C643" s="1186" t="s">
        <v>116</v>
      </c>
      <c r="D643" s="1186" t="s">
        <v>17</v>
      </c>
      <c r="E643" s="1186" t="s">
        <v>919</v>
      </c>
      <c r="F643" s="1186" t="s">
        <v>1985</v>
      </c>
      <c r="G643" s="1186" t="s">
        <v>1986</v>
      </c>
      <c r="H643" s="1186">
        <v>35</v>
      </c>
    </row>
    <row r="644" spans="1:8" x14ac:dyDescent="0.2">
      <c r="A644" s="1186" t="s">
        <v>17</v>
      </c>
      <c r="B644" s="1186" t="s">
        <v>826</v>
      </c>
      <c r="C644" s="1186" t="s">
        <v>116</v>
      </c>
      <c r="D644" s="1186" t="s">
        <v>17</v>
      </c>
      <c r="E644" s="1186" t="s">
        <v>920</v>
      </c>
      <c r="F644" s="1186" t="s">
        <v>1985</v>
      </c>
      <c r="G644" s="1186" t="s">
        <v>1986</v>
      </c>
      <c r="H644" s="1186">
        <v>41</v>
      </c>
    </row>
    <row r="645" spans="1:8" x14ac:dyDescent="0.2">
      <c r="A645" s="1186" t="s">
        <v>17</v>
      </c>
      <c r="B645" s="1186" t="s">
        <v>826</v>
      </c>
      <c r="C645" s="1186" t="s">
        <v>116</v>
      </c>
      <c r="D645" s="1186" t="s">
        <v>17</v>
      </c>
      <c r="E645" s="1186" t="s">
        <v>921</v>
      </c>
      <c r="F645" s="1186" t="s">
        <v>1987</v>
      </c>
      <c r="G645" s="1186" t="s">
        <v>1986</v>
      </c>
      <c r="H645" s="1186">
        <v>23</v>
      </c>
    </row>
    <row r="646" spans="1:8" x14ac:dyDescent="0.2">
      <c r="A646" s="1186" t="s">
        <v>17</v>
      </c>
      <c r="B646" s="1186" t="s">
        <v>826</v>
      </c>
      <c r="C646" s="1186" t="s">
        <v>116</v>
      </c>
      <c r="D646" s="1186" t="s">
        <v>17</v>
      </c>
      <c r="E646" s="1186" t="s">
        <v>922</v>
      </c>
      <c r="F646" s="1186" t="s">
        <v>1987</v>
      </c>
      <c r="G646" s="1186" t="s">
        <v>1988</v>
      </c>
      <c r="H646" s="1186">
        <v>16</v>
      </c>
    </row>
    <row r="647" spans="1:8" x14ac:dyDescent="0.2">
      <c r="A647" s="1186" t="s">
        <v>17</v>
      </c>
      <c r="B647" s="1186" t="s">
        <v>826</v>
      </c>
      <c r="C647" s="1186" t="s">
        <v>116</v>
      </c>
      <c r="D647" s="1186" t="s">
        <v>17</v>
      </c>
      <c r="E647" s="1186" t="s">
        <v>923</v>
      </c>
      <c r="F647" s="1186" t="s">
        <v>1987</v>
      </c>
      <c r="G647" s="1186" t="s">
        <v>1988</v>
      </c>
      <c r="H647" s="1186">
        <v>14</v>
      </c>
    </row>
    <row r="648" spans="1:8" x14ac:dyDescent="0.2">
      <c r="A648" s="1186" t="s">
        <v>17</v>
      </c>
      <c r="B648" s="1186" t="s">
        <v>826</v>
      </c>
      <c r="C648" s="1186" t="s">
        <v>116</v>
      </c>
      <c r="D648" s="1186" t="s">
        <v>17</v>
      </c>
      <c r="E648" s="1186" t="s">
        <v>924</v>
      </c>
      <c r="F648" s="1186" t="s">
        <v>1981</v>
      </c>
      <c r="G648" s="1186" t="s">
        <v>1988</v>
      </c>
      <c r="H648" s="1186">
        <v>28</v>
      </c>
    </row>
    <row r="649" spans="1:8" x14ac:dyDescent="0.2">
      <c r="A649" s="1186" t="s">
        <v>17</v>
      </c>
      <c r="B649" s="1186" t="s">
        <v>308</v>
      </c>
      <c r="C649" s="1186" t="s">
        <v>61</v>
      </c>
      <c r="D649" s="1186" t="s">
        <v>17</v>
      </c>
      <c r="E649" s="1186" t="s">
        <v>913</v>
      </c>
      <c r="F649" s="1186" t="s">
        <v>1981</v>
      </c>
      <c r="G649" s="1186" t="s">
        <v>1982</v>
      </c>
      <c r="H649" s="1186">
        <v>615</v>
      </c>
    </row>
    <row r="650" spans="1:8" x14ac:dyDescent="0.2">
      <c r="A650" s="1186" t="s">
        <v>17</v>
      </c>
      <c r="B650" s="1186" t="s">
        <v>308</v>
      </c>
      <c r="C650" s="1186" t="s">
        <v>61</v>
      </c>
      <c r="D650" s="1186" t="s">
        <v>17</v>
      </c>
      <c r="E650" s="1186" t="s">
        <v>914</v>
      </c>
      <c r="F650" s="1186" t="s">
        <v>1981</v>
      </c>
      <c r="G650" s="1186" t="s">
        <v>1982</v>
      </c>
      <c r="H650" s="1186">
        <v>247</v>
      </c>
    </row>
    <row r="651" spans="1:8" x14ac:dyDescent="0.2">
      <c r="A651" s="1186" t="s">
        <v>17</v>
      </c>
      <c r="B651" s="1186" t="s">
        <v>308</v>
      </c>
      <c r="C651" s="1186" t="s">
        <v>61</v>
      </c>
      <c r="D651" s="1186" t="s">
        <v>17</v>
      </c>
      <c r="E651" s="1186" t="s">
        <v>915</v>
      </c>
      <c r="F651" s="1186" t="s">
        <v>1983</v>
      </c>
      <c r="G651" s="1186" t="s">
        <v>1982</v>
      </c>
      <c r="H651" s="1186">
        <v>367</v>
      </c>
    </row>
    <row r="652" spans="1:8" x14ac:dyDescent="0.2">
      <c r="A652" s="1186" t="s">
        <v>17</v>
      </c>
      <c r="B652" s="1186" t="s">
        <v>308</v>
      </c>
      <c r="C652" s="1186" t="s">
        <v>61</v>
      </c>
      <c r="D652" s="1186" t="s">
        <v>17</v>
      </c>
      <c r="E652" s="1186" t="s">
        <v>916</v>
      </c>
      <c r="F652" s="1186" t="s">
        <v>1983</v>
      </c>
      <c r="G652" s="1186" t="s">
        <v>1984</v>
      </c>
      <c r="H652" s="1186">
        <v>528</v>
      </c>
    </row>
    <row r="653" spans="1:8" x14ac:dyDescent="0.2">
      <c r="A653" s="1186" t="s">
        <v>17</v>
      </c>
      <c r="B653" s="1186" t="s">
        <v>308</v>
      </c>
      <c r="C653" s="1186" t="s">
        <v>61</v>
      </c>
      <c r="D653" s="1186" t="s">
        <v>17</v>
      </c>
      <c r="E653" s="1186" t="s">
        <v>917</v>
      </c>
      <c r="F653" s="1186" t="s">
        <v>1983</v>
      </c>
      <c r="G653" s="1186" t="s">
        <v>1984</v>
      </c>
      <c r="H653" s="1186">
        <v>218</v>
      </c>
    </row>
    <row r="654" spans="1:8" x14ac:dyDescent="0.2">
      <c r="A654" s="1186" t="s">
        <v>17</v>
      </c>
      <c r="B654" s="1186" t="s">
        <v>308</v>
      </c>
      <c r="C654" s="1186" t="s">
        <v>61</v>
      </c>
      <c r="D654" s="1186" t="s">
        <v>17</v>
      </c>
      <c r="E654" s="1186" t="s">
        <v>918</v>
      </c>
      <c r="F654" s="1186" t="s">
        <v>1985</v>
      </c>
      <c r="G654" s="1186" t="s">
        <v>1984</v>
      </c>
      <c r="H654" s="1186">
        <v>191</v>
      </c>
    </row>
    <row r="655" spans="1:8" x14ac:dyDescent="0.2">
      <c r="A655" s="1186" t="s">
        <v>17</v>
      </c>
      <c r="B655" s="1186" t="s">
        <v>308</v>
      </c>
      <c r="C655" s="1186" t="s">
        <v>61</v>
      </c>
      <c r="D655" s="1186" t="s">
        <v>17</v>
      </c>
      <c r="E655" s="1186" t="s">
        <v>919</v>
      </c>
      <c r="F655" s="1186" t="s">
        <v>1985</v>
      </c>
      <c r="G655" s="1186" t="s">
        <v>1986</v>
      </c>
      <c r="H655" s="1186">
        <v>155</v>
      </c>
    </row>
    <row r="656" spans="1:8" x14ac:dyDescent="0.2">
      <c r="A656" s="1186" t="s">
        <v>17</v>
      </c>
      <c r="B656" s="1186" t="s">
        <v>308</v>
      </c>
      <c r="C656" s="1186" t="s">
        <v>61</v>
      </c>
      <c r="D656" s="1186" t="s">
        <v>17</v>
      </c>
      <c r="E656" s="1186" t="s">
        <v>920</v>
      </c>
      <c r="F656" s="1186" t="s">
        <v>1985</v>
      </c>
      <c r="G656" s="1186" t="s">
        <v>1986</v>
      </c>
      <c r="H656" s="1186">
        <v>145</v>
      </c>
    </row>
    <row r="657" spans="1:8" x14ac:dyDescent="0.2">
      <c r="A657" s="1186" t="s">
        <v>17</v>
      </c>
      <c r="B657" s="1186" t="s">
        <v>308</v>
      </c>
      <c r="C657" s="1186" t="s">
        <v>61</v>
      </c>
      <c r="D657" s="1186" t="s">
        <v>17</v>
      </c>
      <c r="E657" s="1186" t="s">
        <v>921</v>
      </c>
      <c r="F657" s="1186" t="s">
        <v>1987</v>
      </c>
      <c r="G657" s="1186" t="s">
        <v>1986</v>
      </c>
      <c r="H657" s="1186">
        <v>94</v>
      </c>
    </row>
    <row r="658" spans="1:8" x14ac:dyDescent="0.2">
      <c r="A658" s="1186" t="s">
        <v>17</v>
      </c>
      <c r="B658" s="1186" t="s">
        <v>308</v>
      </c>
      <c r="C658" s="1186" t="s">
        <v>61</v>
      </c>
      <c r="D658" s="1186" t="s">
        <v>17</v>
      </c>
      <c r="E658" s="1186" t="s">
        <v>922</v>
      </c>
      <c r="F658" s="1186" t="s">
        <v>1987</v>
      </c>
      <c r="G658" s="1186" t="s">
        <v>1988</v>
      </c>
      <c r="H658" s="1186">
        <v>89</v>
      </c>
    </row>
    <row r="659" spans="1:8" x14ac:dyDescent="0.2">
      <c r="A659" s="1186" t="s">
        <v>17</v>
      </c>
      <c r="B659" s="1186" t="s">
        <v>308</v>
      </c>
      <c r="C659" s="1186" t="s">
        <v>61</v>
      </c>
      <c r="D659" s="1186" t="s">
        <v>17</v>
      </c>
      <c r="E659" s="1186" t="s">
        <v>923</v>
      </c>
      <c r="F659" s="1186" t="s">
        <v>1987</v>
      </c>
      <c r="G659" s="1186" t="s">
        <v>1988</v>
      </c>
      <c r="H659" s="1186">
        <v>65</v>
      </c>
    </row>
    <row r="660" spans="1:8" x14ac:dyDescent="0.2">
      <c r="A660" s="1186" t="s">
        <v>17</v>
      </c>
      <c r="B660" s="1186" t="s">
        <v>308</v>
      </c>
      <c r="C660" s="1186" t="s">
        <v>61</v>
      </c>
      <c r="D660" s="1186" t="s">
        <v>17</v>
      </c>
      <c r="E660" s="1186" t="s">
        <v>924</v>
      </c>
      <c r="F660" s="1186" t="s">
        <v>1981</v>
      </c>
      <c r="G660" s="1186" t="s">
        <v>1988</v>
      </c>
      <c r="H660" s="1186">
        <v>200</v>
      </c>
    </row>
    <row r="661" spans="1:8" x14ac:dyDescent="0.2">
      <c r="A661" s="1186" t="s">
        <v>17</v>
      </c>
      <c r="B661" s="1186" t="s">
        <v>308</v>
      </c>
      <c r="C661" s="1186" t="s">
        <v>116</v>
      </c>
      <c r="D661" s="1186" t="s">
        <v>17</v>
      </c>
      <c r="E661" s="1186" t="s">
        <v>913</v>
      </c>
      <c r="F661" s="1186" t="s">
        <v>1981</v>
      </c>
      <c r="G661" s="1186" t="s">
        <v>1982</v>
      </c>
      <c r="H661" s="1186">
        <v>2852</v>
      </c>
    </row>
    <row r="662" spans="1:8" x14ac:dyDescent="0.2">
      <c r="A662" s="1186" t="s">
        <v>17</v>
      </c>
      <c r="B662" s="1186" t="s">
        <v>308</v>
      </c>
      <c r="C662" s="1186" t="s">
        <v>116</v>
      </c>
      <c r="D662" s="1186" t="s">
        <v>17</v>
      </c>
      <c r="E662" s="1186" t="s">
        <v>914</v>
      </c>
      <c r="F662" s="1186" t="s">
        <v>1981</v>
      </c>
      <c r="G662" s="1186" t="s">
        <v>1982</v>
      </c>
      <c r="H662" s="1186">
        <v>1219</v>
      </c>
    </row>
    <row r="663" spans="1:8" x14ac:dyDescent="0.2">
      <c r="A663" s="1186" t="s">
        <v>17</v>
      </c>
      <c r="B663" s="1186" t="s">
        <v>308</v>
      </c>
      <c r="C663" s="1186" t="s">
        <v>116</v>
      </c>
      <c r="D663" s="1186" t="s">
        <v>17</v>
      </c>
      <c r="E663" s="1186" t="s">
        <v>915</v>
      </c>
      <c r="F663" s="1186" t="s">
        <v>1983</v>
      </c>
      <c r="G663" s="1186" t="s">
        <v>1982</v>
      </c>
      <c r="H663" s="1186">
        <v>1462</v>
      </c>
    </row>
    <row r="664" spans="1:8" x14ac:dyDescent="0.2">
      <c r="A664" s="1186" t="s">
        <v>17</v>
      </c>
      <c r="B664" s="1186" t="s">
        <v>308</v>
      </c>
      <c r="C664" s="1186" t="s">
        <v>116</v>
      </c>
      <c r="D664" s="1186" t="s">
        <v>17</v>
      </c>
      <c r="E664" s="1186" t="s">
        <v>916</v>
      </c>
      <c r="F664" s="1186" t="s">
        <v>1983</v>
      </c>
      <c r="G664" s="1186" t="s">
        <v>1984</v>
      </c>
      <c r="H664" s="1186">
        <v>1712</v>
      </c>
    </row>
    <row r="665" spans="1:8" x14ac:dyDescent="0.2">
      <c r="A665" s="1186" t="s">
        <v>17</v>
      </c>
      <c r="B665" s="1186" t="s">
        <v>308</v>
      </c>
      <c r="C665" s="1186" t="s">
        <v>116</v>
      </c>
      <c r="D665" s="1186" t="s">
        <v>17</v>
      </c>
      <c r="E665" s="1186" t="s">
        <v>917</v>
      </c>
      <c r="F665" s="1186" t="s">
        <v>1983</v>
      </c>
      <c r="G665" s="1186" t="s">
        <v>1984</v>
      </c>
      <c r="H665" s="1186">
        <v>1105</v>
      </c>
    </row>
    <row r="666" spans="1:8" x14ac:dyDescent="0.2">
      <c r="A666" s="1186" t="s">
        <v>17</v>
      </c>
      <c r="B666" s="1186" t="s">
        <v>308</v>
      </c>
      <c r="C666" s="1186" t="s">
        <v>116</v>
      </c>
      <c r="D666" s="1186" t="s">
        <v>17</v>
      </c>
      <c r="E666" s="1186" t="s">
        <v>918</v>
      </c>
      <c r="F666" s="1186" t="s">
        <v>1985</v>
      </c>
      <c r="G666" s="1186" t="s">
        <v>1984</v>
      </c>
      <c r="H666" s="1186">
        <v>930</v>
      </c>
    </row>
    <row r="667" spans="1:8" x14ac:dyDescent="0.2">
      <c r="A667" s="1186" t="s">
        <v>17</v>
      </c>
      <c r="B667" s="1186" t="s">
        <v>308</v>
      </c>
      <c r="C667" s="1186" t="s">
        <v>116</v>
      </c>
      <c r="D667" s="1186" t="s">
        <v>17</v>
      </c>
      <c r="E667" s="1186" t="s">
        <v>919</v>
      </c>
      <c r="F667" s="1186" t="s">
        <v>1985</v>
      </c>
      <c r="G667" s="1186" t="s">
        <v>1986</v>
      </c>
      <c r="H667" s="1186">
        <v>737</v>
      </c>
    </row>
    <row r="668" spans="1:8" x14ac:dyDescent="0.2">
      <c r="A668" s="1186" t="s">
        <v>17</v>
      </c>
      <c r="B668" s="1186" t="s">
        <v>308</v>
      </c>
      <c r="C668" s="1186" t="s">
        <v>116</v>
      </c>
      <c r="D668" s="1186" t="s">
        <v>17</v>
      </c>
      <c r="E668" s="1186" t="s">
        <v>920</v>
      </c>
      <c r="F668" s="1186" t="s">
        <v>1985</v>
      </c>
      <c r="G668" s="1186" t="s">
        <v>1986</v>
      </c>
      <c r="H668" s="1186">
        <v>1361</v>
      </c>
    </row>
    <row r="669" spans="1:8" x14ac:dyDescent="0.2">
      <c r="A669" s="1186" t="s">
        <v>17</v>
      </c>
      <c r="B669" s="1186" t="s">
        <v>308</v>
      </c>
      <c r="C669" s="1186" t="s">
        <v>116</v>
      </c>
      <c r="D669" s="1186" t="s">
        <v>17</v>
      </c>
      <c r="E669" s="1186" t="s">
        <v>921</v>
      </c>
      <c r="F669" s="1186" t="s">
        <v>1987</v>
      </c>
      <c r="G669" s="1186" t="s">
        <v>1986</v>
      </c>
      <c r="H669" s="1186">
        <v>488</v>
      </c>
    </row>
    <row r="670" spans="1:8" x14ac:dyDescent="0.2">
      <c r="A670" s="1186" t="s">
        <v>17</v>
      </c>
      <c r="B670" s="1186" t="s">
        <v>308</v>
      </c>
      <c r="C670" s="1186" t="s">
        <v>116</v>
      </c>
      <c r="D670" s="1186" t="s">
        <v>17</v>
      </c>
      <c r="E670" s="1186" t="s">
        <v>922</v>
      </c>
      <c r="F670" s="1186" t="s">
        <v>1987</v>
      </c>
      <c r="G670" s="1186" t="s">
        <v>1988</v>
      </c>
      <c r="H670" s="1186">
        <v>409</v>
      </c>
    </row>
    <row r="671" spans="1:8" x14ac:dyDescent="0.2">
      <c r="A671" s="1186" t="s">
        <v>17</v>
      </c>
      <c r="B671" s="1186" t="s">
        <v>308</v>
      </c>
      <c r="C671" s="1186" t="s">
        <v>116</v>
      </c>
      <c r="D671" s="1186" t="s">
        <v>17</v>
      </c>
      <c r="E671" s="1186" t="s">
        <v>923</v>
      </c>
      <c r="F671" s="1186" t="s">
        <v>1987</v>
      </c>
      <c r="G671" s="1186" t="s">
        <v>1988</v>
      </c>
      <c r="H671" s="1186">
        <v>373</v>
      </c>
    </row>
    <row r="672" spans="1:8" x14ac:dyDescent="0.2">
      <c r="A672" s="1186" t="s">
        <v>17</v>
      </c>
      <c r="B672" s="1186" t="s">
        <v>308</v>
      </c>
      <c r="C672" s="1186" t="s">
        <v>116</v>
      </c>
      <c r="D672" s="1186" t="s">
        <v>17</v>
      </c>
      <c r="E672" s="1186" t="s">
        <v>924</v>
      </c>
      <c r="F672" s="1186" t="s">
        <v>1981</v>
      </c>
      <c r="G672" s="1186" t="s">
        <v>1988</v>
      </c>
      <c r="H672" s="1186">
        <v>799</v>
      </c>
    </row>
    <row r="673" spans="1:8" x14ac:dyDescent="0.2">
      <c r="A673" s="1186" t="s">
        <v>133</v>
      </c>
      <c r="B673" s="1186" t="s">
        <v>309</v>
      </c>
      <c r="C673" s="1186" t="s">
        <v>61</v>
      </c>
      <c r="D673" s="1186" t="s">
        <v>133</v>
      </c>
      <c r="E673" s="1186" t="s">
        <v>925</v>
      </c>
      <c r="F673" s="1186" t="s">
        <v>1981</v>
      </c>
      <c r="G673" s="1186" t="s">
        <v>1982</v>
      </c>
      <c r="H673" s="1186">
        <v>111</v>
      </c>
    </row>
    <row r="674" spans="1:8" x14ac:dyDescent="0.2">
      <c r="A674" s="1186" t="s">
        <v>133</v>
      </c>
      <c r="B674" s="1186" t="s">
        <v>309</v>
      </c>
      <c r="C674" s="1186" t="s">
        <v>61</v>
      </c>
      <c r="D674" s="1186" t="s">
        <v>133</v>
      </c>
      <c r="E674" s="1186" t="s">
        <v>926</v>
      </c>
      <c r="F674" s="1186" t="s">
        <v>1981</v>
      </c>
      <c r="G674" s="1186" t="s">
        <v>1982</v>
      </c>
      <c r="H674" s="1186">
        <v>68</v>
      </c>
    </row>
    <row r="675" spans="1:8" x14ac:dyDescent="0.2">
      <c r="A675" s="1186" t="s">
        <v>133</v>
      </c>
      <c r="B675" s="1186" t="s">
        <v>309</v>
      </c>
      <c r="C675" s="1186" t="s">
        <v>61</v>
      </c>
      <c r="D675" s="1186" t="s">
        <v>133</v>
      </c>
      <c r="E675" s="1186" t="s">
        <v>927</v>
      </c>
      <c r="F675" s="1186" t="s">
        <v>1983</v>
      </c>
      <c r="G675" s="1186" t="s">
        <v>1982</v>
      </c>
      <c r="H675" s="1186">
        <v>26</v>
      </c>
    </row>
    <row r="676" spans="1:8" x14ac:dyDescent="0.2">
      <c r="A676" s="1186" t="s">
        <v>133</v>
      </c>
      <c r="B676" s="1186" t="s">
        <v>309</v>
      </c>
      <c r="C676" s="1186" t="s">
        <v>61</v>
      </c>
      <c r="D676" s="1186" t="s">
        <v>133</v>
      </c>
      <c r="E676" s="1186" t="s">
        <v>928</v>
      </c>
      <c r="F676" s="1186" t="s">
        <v>1983</v>
      </c>
      <c r="G676" s="1186" t="s">
        <v>1984</v>
      </c>
      <c r="H676" s="1186">
        <v>24</v>
      </c>
    </row>
    <row r="677" spans="1:8" x14ac:dyDescent="0.2">
      <c r="A677" s="1186" t="s">
        <v>133</v>
      </c>
      <c r="B677" s="1186" t="s">
        <v>309</v>
      </c>
      <c r="C677" s="1186" t="s">
        <v>61</v>
      </c>
      <c r="D677" s="1186" t="s">
        <v>133</v>
      </c>
      <c r="E677" s="1186" t="s">
        <v>929</v>
      </c>
      <c r="F677" s="1186" t="s">
        <v>1983</v>
      </c>
      <c r="G677" s="1186" t="s">
        <v>1984</v>
      </c>
      <c r="H677" s="1186">
        <v>30</v>
      </c>
    </row>
    <row r="678" spans="1:8" x14ac:dyDescent="0.2">
      <c r="A678" s="1186" t="s">
        <v>133</v>
      </c>
      <c r="B678" s="1186" t="s">
        <v>309</v>
      </c>
      <c r="C678" s="1186" t="s">
        <v>61</v>
      </c>
      <c r="D678" s="1186" t="s">
        <v>133</v>
      </c>
      <c r="E678" s="1186" t="s">
        <v>930</v>
      </c>
      <c r="F678" s="1186" t="s">
        <v>1985</v>
      </c>
      <c r="G678" s="1186" t="s">
        <v>1984</v>
      </c>
      <c r="H678" s="1186">
        <v>28</v>
      </c>
    </row>
    <row r="679" spans="1:8" x14ac:dyDescent="0.2">
      <c r="A679" s="1186" t="s">
        <v>133</v>
      </c>
      <c r="B679" s="1186" t="s">
        <v>309</v>
      </c>
      <c r="C679" s="1186" t="s">
        <v>61</v>
      </c>
      <c r="D679" s="1186" t="s">
        <v>133</v>
      </c>
      <c r="E679" s="1186" t="s">
        <v>931</v>
      </c>
      <c r="F679" s="1186" t="s">
        <v>1985</v>
      </c>
      <c r="G679" s="1186" t="s">
        <v>1986</v>
      </c>
      <c r="H679" s="1186">
        <v>81</v>
      </c>
    </row>
    <row r="680" spans="1:8" x14ac:dyDescent="0.2">
      <c r="A680" s="1186" t="s">
        <v>133</v>
      </c>
      <c r="B680" s="1186" t="s">
        <v>309</v>
      </c>
      <c r="C680" s="1186" t="s">
        <v>61</v>
      </c>
      <c r="D680" s="1186" t="s">
        <v>133</v>
      </c>
      <c r="E680" s="1186" t="s">
        <v>932</v>
      </c>
      <c r="F680" s="1186" t="s">
        <v>1985</v>
      </c>
      <c r="G680" s="1186" t="s">
        <v>1986</v>
      </c>
      <c r="H680" s="1186">
        <v>81</v>
      </c>
    </row>
    <row r="681" spans="1:8" x14ac:dyDescent="0.2">
      <c r="A681" s="1186" t="s">
        <v>133</v>
      </c>
      <c r="B681" s="1186" t="s">
        <v>309</v>
      </c>
      <c r="C681" s="1186" t="s">
        <v>61</v>
      </c>
      <c r="D681" s="1186" t="s">
        <v>133</v>
      </c>
      <c r="E681" s="1186" t="s">
        <v>933</v>
      </c>
      <c r="F681" s="1186" t="s">
        <v>1987</v>
      </c>
      <c r="G681" s="1186" t="s">
        <v>1986</v>
      </c>
      <c r="H681" s="1186">
        <v>152</v>
      </c>
    </row>
    <row r="682" spans="1:8" x14ac:dyDescent="0.2">
      <c r="A682" s="1186" t="s">
        <v>133</v>
      </c>
      <c r="B682" s="1186" t="s">
        <v>309</v>
      </c>
      <c r="C682" s="1186" t="s">
        <v>61</v>
      </c>
      <c r="D682" s="1186" t="s">
        <v>133</v>
      </c>
      <c r="E682" s="1186" t="s">
        <v>934</v>
      </c>
      <c r="F682" s="1186" t="s">
        <v>1987</v>
      </c>
      <c r="G682" s="1186" t="s">
        <v>1988</v>
      </c>
      <c r="H682" s="1186">
        <v>134</v>
      </c>
    </row>
    <row r="683" spans="1:8" x14ac:dyDescent="0.2">
      <c r="A683" s="1186" t="s">
        <v>133</v>
      </c>
      <c r="B683" s="1186" t="s">
        <v>309</v>
      </c>
      <c r="C683" s="1186" t="s">
        <v>61</v>
      </c>
      <c r="D683" s="1186" t="s">
        <v>133</v>
      </c>
      <c r="E683" s="1186" t="s">
        <v>935</v>
      </c>
      <c r="F683" s="1186" t="s">
        <v>1987</v>
      </c>
      <c r="G683" s="1186" t="s">
        <v>1988</v>
      </c>
      <c r="H683" s="1186">
        <v>131</v>
      </c>
    </row>
    <row r="684" spans="1:8" x14ac:dyDescent="0.2">
      <c r="A684" s="1186" t="s">
        <v>133</v>
      </c>
      <c r="B684" s="1186" t="s">
        <v>309</v>
      </c>
      <c r="C684" s="1186" t="s">
        <v>61</v>
      </c>
      <c r="D684" s="1186" t="s">
        <v>133</v>
      </c>
      <c r="E684" s="1186" t="s">
        <v>936</v>
      </c>
      <c r="F684" s="1186" t="s">
        <v>1981</v>
      </c>
      <c r="G684" s="1186" t="s">
        <v>1988</v>
      </c>
      <c r="H684" s="1186">
        <v>117</v>
      </c>
    </row>
    <row r="685" spans="1:8" x14ac:dyDescent="0.2">
      <c r="A685" s="1186" t="s">
        <v>133</v>
      </c>
      <c r="B685" s="1186" t="s">
        <v>309</v>
      </c>
      <c r="C685" s="1186" t="s">
        <v>116</v>
      </c>
      <c r="D685" s="1186" t="s">
        <v>133</v>
      </c>
      <c r="E685" s="1186" t="s">
        <v>931</v>
      </c>
      <c r="F685" s="1186" t="s">
        <v>1985</v>
      </c>
      <c r="G685" s="1186" t="s">
        <v>1986</v>
      </c>
      <c r="H685" s="1186">
        <v>1</v>
      </c>
    </row>
    <row r="686" spans="1:8" x14ac:dyDescent="0.2">
      <c r="A686" s="1186" t="s">
        <v>133</v>
      </c>
      <c r="B686" s="1186" t="s">
        <v>309</v>
      </c>
      <c r="C686" s="1186" t="s">
        <v>116</v>
      </c>
      <c r="D686" s="1186" t="s">
        <v>133</v>
      </c>
      <c r="E686" s="1186" t="s">
        <v>934</v>
      </c>
      <c r="F686" s="1186" t="s">
        <v>1987</v>
      </c>
      <c r="G686" s="1186" t="s">
        <v>1988</v>
      </c>
      <c r="H686" s="1186">
        <v>1</v>
      </c>
    </row>
    <row r="687" spans="1:8" x14ac:dyDescent="0.2">
      <c r="A687" s="1186" t="s">
        <v>133</v>
      </c>
      <c r="B687" s="1186" t="s">
        <v>823</v>
      </c>
      <c r="C687" s="1186" t="s">
        <v>61</v>
      </c>
      <c r="D687" s="1186" t="s">
        <v>133</v>
      </c>
      <c r="E687" s="1186" t="s">
        <v>925</v>
      </c>
      <c r="F687" s="1186" t="s">
        <v>1981</v>
      </c>
      <c r="G687" s="1186" t="s">
        <v>1982</v>
      </c>
      <c r="H687" s="1186">
        <v>386</v>
      </c>
    </row>
    <row r="688" spans="1:8" x14ac:dyDescent="0.2">
      <c r="A688" s="1186" t="s">
        <v>133</v>
      </c>
      <c r="B688" s="1186" t="s">
        <v>823</v>
      </c>
      <c r="C688" s="1186" t="s">
        <v>61</v>
      </c>
      <c r="D688" s="1186" t="s">
        <v>133</v>
      </c>
      <c r="E688" s="1186" t="s">
        <v>926</v>
      </c>
      <c r="F688" s="1186" t="s">
        <v>1981</v>
      </c>
      <c r="G688" s="1186" t="s">
        <v>1982</v>
      </c>
      <c r="H688" s="1186">
        <v>418</v>
      </c>
    </row>
    <row r="689" spans="1:8" x14ac:dyDescent="0.2">
      <c r="A689" s="1186" t="s">
        <v>133</v>
      </c>
      <c r="B689" s="1186" t="s">
        <v>823</v>
      </c>
      <c r="C689" s="1186" t="s">
        <v>61</v>
      </c>
      <c r="D689" s="1186" t="s">
        <v>133</v>
      </c>
      <c r="E689" s="1186" t="s">
        <v>927</v>
      </c>
      <c r="F689" s="1186" t="s">
        <v>1983</v>
      </c>
      <c r="G689" s="1186" t="s">
        <v>1982</v>
      </c>
      <c r="H689" s="1186">
        <v>386</v>
      </c>
    </row>
    <row r="690" spans="1:8" x14ac:dyDescent="0.2">
      <c r="A690" s="1186" t="s">
        <v>133</v>
      </c>
      <c r="B690" s="1186" t="s">
        <v>823</v>
      </c>
      <c r="C690" s="1186" t="s">
        <v>61</v>
      </c>
      <c r="D690" s="1186" t="s">
        <v>133</v>
      </c>
      <c r="E690" s="1186" t="s">
        <v>928</v>
      </c>
      <c r="F690" s="1186" t="s">
        <v>1983</v>
      </c>
      <c r="G690" s="1186" t="s">
        <v>1984</v>
      </c>
      <c r="H690" s="1186">
        <v>419</v>
      </c>
    </row>
    <row r="691" spans="1:8" x14ac:dyDescent="0.2">
      <c r="A691" s="1186" t="s">
        <v>133</v>
      </c>
      <c r="B691" s="1186" t="s">
        <v>823</v>
      </c>
      <c r="C691" s="1186" t="s">
        <v>61</v>
      </c>
      <c r="D691" s="1186" t="s">
        <v>133</v>
      </c>
      <c r="E691" s="1186" t="s">
        <v>929</v>
      </c>
      <c r="F691" s="1186" t="s">
        <v>1983</v>
      </c>
      <c r="G691" s="1186" t="s">
        <v>1984</v>
      </c>
      <c r="H691" s="1186">
        <v>358</v>
      </c>
    </row>
    <row r="692" spans="1:8" x14ac:dyDescent="0.2">
      <c r="A692" s="1186" t="s">
        <v>133</v>
      </c>
      <c r="B692" s="1186" t="s">
        <v>823</v>
      </c>
      <c r="C692" s="1186" t="s">
        <v>61</v>
      </c>
      <c r="D692" s="1186" t="s">
        <v>133</v>
      </c>
      <c r="E692" s="1186" t="s">
        <v>930</v>
      </c>
      <c r="F692" s="1186" t="s">
        <v>1985</v>
      </c>
      <c r="G692" s="1186" t="s">
        <v>1984</v>
      </c>
      <c r="H692" s="1186">
        <v>417</v>
      </c>
    </row>
    <row r="693" spans="1:8" x14ac:dyDescent="0.2">
      <c r="A693" s="1186" t="s">
        <v>133</v>
      </c>
      <c r="B693" s="1186" t="s">
        <v>823</v>
      </c>
      <c r="C693" s="1186" t="s">
        <v>61</v>
      </c>
      <c r="D693" s="1186" t="s">
        <v>133</v>
      </c>
      <c r="E693" s="1186" t="s">
        <v>931</v>
      </c>
      <c r="F693" s="1186" t="s">
        <v>1985</v>
      </c>
      <c r="G693" s="1186" t="s">
        <v>1986</v>
      </c>
      <c r="H693" s="1186">
        <v>396</v>
      </c>
    </row>
    <row r="694" spans="1:8" x14ac:dyDescent="0.2">
      <c r="A694" s="1186" t="s">
        <v>133</v>
      </c>
      <c r="B694" s="1186" t="s">
        <v>823</v>
      </c>
      <c r="C694" s="1186" t="s">
        <v>61</v>
      </c>
      <c r="D694" s="1186" t="s">
        <v>133</v>
      </c>
      <c r="E694" s="1186" t="s">
        <v>932</v>
      </c>
      <c r="F694" s="1186" t="s">
        <v>1985</v>
      </c>
      <c r="G694" s="1186" t="s">
        <v>1986</v>
      </c>
      <c r="H694" s="1186">
        <v>363</v>
      </c>
    </row>
    <row r="695" spans="1:8" x14ac:dyDescent="0.2">
      <c r="A695" s="1186" t="s">
        <v>133</v>
      </c>
      <c r="B695" s="1186" t="s">
        <v>823</v>
      </c>
      <c r="C695" s="1186" t="s">
        <v>61</v>
      </c>
      <c r="D695" s="1186" t="s">
        <v>133</v>
      </c>
      <c r="E695" s="1186" t="s">
        <v>933</v>
      </c>
      <c r="F695" s="1186" t="s">
        <v>1987</v>
      </c>
      <c r="G695" s="1186" t="s">
        <v>1986</v>
      </c>
      <c r="H695" s="1186">
        <v>500</v>
      </c>
    </row>
    <row r="696" spans="1:8" x14ac:dyDescent="0.2">
      <c r="A696" s="1186" t="s">
        <v>133</v>
      </c>
      <c r="B696" s="1186" t="s">
        <v>823</v>
      </c>
      <c r="C696" s="1186" t="s">
        <v>61</v>
      </c>
      <c r="D696" s="1186" t="s">
        <v>133</v>
      </c>
      <c r="E696" s="1186" t="s">
        <v>934</v>
      </c>
      <c r="F696" s="1186" t="s">
        <v>1987</v>
      </c>
      <c r="G696" s="1186" t="s">
        <v>1988</v>
      </c>
      <c r="H696" s="1186">
        <v>475</v>
      </c>
    </row>
    <row r="697" spans="1:8" x14ac:dyDescent="0.2">
      <c r="A697" s="1186" t="s">
        <v>133</v>
      </c>
      <c r="B697" s="1186" t="s">
        <v>823</v>
      </c>
      <c r="C697" s="1186" t="s">
        <v>61</v>
      </c>
      <c r="D697" s="1186" t="s">
        <v>133</v>
      </c>
      <c r="E697" s="1186" t="s">
        <v>935</v>
      </c>
      <c r="F697" s="1186" t="s">
        <v>1987</v>
      </c>
      <c r="G697" s="1186" t="s">
        <v>1988</v>
      </c>
      <c r="H697" s="1186">
        <v>383</v>
      </c>
    </row>
    <row r="698" spans="1:8" x14ac:dyDescent="0.2">
      <c r="A698" s="1186" t="s">
        <v>133</v>
      </c>
      <c r="B698" s="1186" t="s">
        <v>823</v>
      </c>
      <c r="C698" s="1186" t="s">
        <v>61</v>
      </c>
      <c r="D698" s="1186" t="s">
        <v>133</v>
      </c>
      <c r="E698" s="1186" t="s">
        <v>936</v>
      </c>
      <c r="F698" s="1186" t="s">
        <v>1981</v>
      </c>
      <c r="G698" s="1186" t="s">
        <v>1988</v>
      </c>
      <c r="H698" s="1186">
        <v>452</v>
      </c>
    </row>
    <row r="699" spans="1:8" x14ac:dyDescent="0.2">
      <c r="A699" s="1186" t="s">
        <v>133</v>
      </c>
      <c r="B699" s="1186" t="s">
        <v>823</v>
      </c>
      <c r="C699" s="1186" t="s">
        <v>116</v>
      </c>
      <c r="D699" s="1186" t="s">
        <v>133</v>
      </c>
      <c r="E699" s="1186" t="s">
        <v>925</v>
      </c>
      <c r="F699" s="1186" t="s">
        <v>1981</v>
      </c>
      <c r="G699" s="1186" t="s">
        <v>1982</v>
      </c>
      <c r="H699" s="1186">
        <v>53</v>
      </c>
    </row>
    <row r="700" spans="1:8" x14ac:dyDescent="0.2">
      <c r="A700" s="1186" t="s">
        <v>133</v>
      </c>
      <c r="B700" s="1186" t="s">
        <v>823</v>
      </c>
      <c r="C700" s="1186" t="s">
        <v>116</v>
      </c>
      <c r="D700" s="1186" t="s">
        <v>133</v>
      </c>
      <c r="E700" s="1186" t="s">
        <v>926</v>
      </c>
      <c r="F700" s="1186" t="s">
        <v>1981</v>
      </c>
      <c r="G700" s="1186" t="s">
        <v>1982</v>
      </c>
      <c r="H700" s="1186">
        <v>52</v>
      </c>
    </row>
    <row r="701" spans="1:8" x14ac:dyDescent="0.2">
      <c r="A701" s="1186" t="s">
        <v>133</v>
      </c>
      <c r="B701" s="1186" t="s">
        <v>823</v>
      </c>
      <c r="C701" s="1186" t="s">
        <v>116</v>
      </c>
      <c r="D701" s="1186" t="s">
        <v>133</v>
      </c>
      <c r="E701" s="1186" t="s">
        <v>927</v>
      </c>
      <c r="F701" s="1186" t="s">
        <v>1983</v>
      </c>
      <c r="G701" s="1186" t="s">
        <v>1982</v>
      </c>
      <c r="H701" s="1186">
        <v>54</v>
      </c>
    </row>
    <row r="702" spans="1:8" x14ac:dyDescent="0.2">
      <c r="A702" s="1186" t="s">
        <v>133</v>
      </c>
      <c r="B702" s="1186" t="s">
        <v>823</v>
      </c>
      <c r="C702" s="1186" t="s">
        <v>116</v>
      </c>
      <c r="D702" s="1186" t="s">
        <v>133</v>
      </c>
      <c r="E702" s="1186" t="s">
        <v>928</v>
      </c>
      <c r="F702" s="1186" t="s">
        <v>1983</v>
      </c>
      <c r="G702" s="1186" t="s">
        <v>1984</v>
      </c>
      <c r="H702" s="1186">
        <v>44</v>
      </c>
    </row>
    <row r="703" spans="1:8" x14ac:dyDescent="0.2">
      <c r="A703" s="1186" t="s">
        <v>133</v>
      </c>
      <c r="B703" s="1186" t="s">
        <v>823</v>
      </c>
      <c r="C703" s="1186" t="s">
        <v>116</v>
      </c>
      <c r="D703" s="1186" t="s">
        <v>133</v>
      </c>
      <c r="E703" s="1186" t="s">
        <v>929</v>
      </c>
      <c r="F703" s="1186" t="s">
        <v>1983</v>
      </c>
      <c r="G703" s="1186" t="s">
        <v>1984</v>
      </c>
      <c r="H703" s="1186">
        <v>45</v>
      </c>
    </row>
    <row r="704" spans="1:8" x14ac:dyDescent="0.2">
      <c r="A704" s="1186" t="s">
        <v>133</v>
      </c>
      <c r="B704" s="1186" t="s">
        <v>823</v>
      </c>
      <c r="C704" s="1186" t="s">
        <v>116</v>
      </c>
      <c r="D704" s="1186" t="s">
        <v>133</v>
      </c>
      <c r="E704" s="1186" t="s">
        <v>930</v>
      </c>
      <c r="F704" s="1186" t="s">
        <v>1985</v>
      </c>
      <c r="G704" s="1186" t="s">
        <v>1984</v>
      </c>
      <c r="H704" s="1186">
        <v>54</v>
      </c>
    </row>
    <row r="705" spans="1:8" x14ac:dyDescent="0.2">
      <c r="A705" s="1186" t="s">
        <v>133</v>
      </c>
      <c r="B705" s="1186" t="s">
        <v>823</v>
      </c>
      <c r="C705" s="1186" t="s">
        <v>116</v>
      </c>
      <c r="D705" s="1186" t="s">
        <v>133</v>
      </c>
      <c r="E705" s="1186" t="s">
        <v>931</v>
      </c>
      <c r="F705" s="1186" t="s">
        <v>1985</v>
      </c>
      <c r="G705" s="1186" t="s">
        <v>1986</v>
      </c>
      <c r="H705" s="1186">
        <v>51</v>
      </c>
    </row>
    <row r="706" spans="1:8" x14ac:dyDescent="0.2">
      <c r="A706" s="1186" t="s">
        <v>133</v>
      </c>
      <c r="B706" s="1186" t="s">
        <v>823</v>
      </c>
      <c r="C706" s="1186" t="s">
        <v>116</v>
      </c>
      <c r="D706" s="1186" t="s">
        <v>133</v>
      </c>
      <c r="E706" s="1186" t="s">
        <v>932</v>
      </c>
      <c r="F706" s="1186" t="s">
        <v>1985</v>
      </c>
      <c r="G706" s="1186" t="s">
        <v>1986</v>
      </c>
      <c r="H706" s="1186">
        <v>62</v>
      </c>
    </row>
    <row r="707" spans="1:8" x14ac:dyDescent="0.2">
      <c r="A707" s="1186" t="s">
        <v>133</v>
      </c>
      <c r="B707" s="1186" t="s">
        <v>823</v>
      </c>
      <c r="C707" s="1186" t="s">
        <v>116</v>
      </c>
      <c r="D707" s="1186" t="s">
        <v>133</v>
      </c>
      <c r="E707" s="1186" t="s">
        <v>933</v>
      </c>
      <c r="F707" s="1186" t="s">
        <v>1987</v>
      </c>
      <c r="G707" s="1186" t="s">
        <v>1986</v>
      </c>
      <c r="H707" s="1186">
        <v>59</v>
      </c>
    </row>
    <row r="708" spans="1:8" x14ac:dyDescent="0.2">
      <c r="A708" s="1186" t="s">
        <v>133</v>
      </c>
      <c r="B708" s="1186" t="s">
        <v>823</v>
      </c>
      <c r="C708" s="1186" t="s">
        <v>116</v>
      </c>
      <c r="D708" s="1186" t="s">
        <v>133</v>
      </c>
      <c r="E708" s="1186" t="s">
        <v>934</v>
      </c>
      <c r="F708" s="1186" t="s">
        <v>1987</v>
      </c>
      <c r="G708" s="1186" t="s">
        <v>1988</v>
      </c>
      <c r="H708" s="1186">
        <v>52</v>
      </c>
    </row>
    <row r="709" spans="1:8" x14ac:dyDescent="0.2">
      <c r="A709" s="1186" t="s">
        <v>133</v>
      </c>
      <c r="B709" s="1186" t="s">
        <v>823</v>
      </c>
      <c r="C709" s="1186" t="s">
        <v>116</v>
      </c>
      <c r="D709" s="1186" t="s">
        <v>133</v>
      </c>
      <c r="E709" s="1186" t="s">
        <v>935</v>
      </c>
      <c r="F709" s="1186" t="s">
        <v>1987</v>
      </c>
      <c r="G709" s="1186" t="s">
        <v>1988</v>
      </c>
      <c r="H709" s="1186">
        <v>54</v>
      </c>
    </row>
    <row r="710" spans="1:8" x14ac:dyDescent="0.2">
      <c r="A710" s="1186" t="s">
        <v>133</v>
      </c>
      <c r="B710" s="1186" t="s">
        <v>823</v>
      </c>
      <c r="C710" s="1186" t="s">
        <v>116</v>
      </c>
      <c r="D710" s="1186" t="s">
        <v>133</v>
      </c>
      <c r="E710" s="1186" t="s">
        <v>936</v>
      </c>
      <c r="F710" s="1186" t="s">
        <v>1981</v>
      </c>
      <c r="G710" s="1186" t="s">
        <v>1988</v>
      </c>
      <c r="H710" s="1186">
        <v>41</v>
      </c>
    </row>
    <row r="711" spans="1:8" x14ac:dyDescent="0.2">
      <c r="A711" s="1186" t="s">
        <v>133</v>
      </c>
      <c r="B711" s="1186" t="s">
        <v>824</v>
      </c>
      <c r="C711" s="1186" t="s">
        <v>61</v>
      </c>
      <c r="D711" s="1186" t="s">
        <v>133</v>
      </c>
      <c r="E711" s="1186" t="s">
        <v>925</v>
      </c>
      <c r="F711" s="1186" t="s">
        <v>1981</v>
      </c>
      <c r="G711" s="1186" t="s">
        <v>1982</v>
      </c>
      <c r="H711" s="1186">
        <v>144</v>
      </c>
    </row>
    <row r="712" spans="1:8" x14ac:dyDescent="0.2">
      <c r="A712" s="1186" t="s">
        <v>133</v>
      </c>
      <c r="B712" s="1186" t="s">
        <v>824</v>
      </c>
      <c r="C712" s="1186" t="s">
        <v>61</v>
      </c>
      <c r="D712" s="1186" t="s">
        <v>133</v>
      </c>
      <c r="E712" s="1186" t="s">
        <v>926</v>
      </c>
      <c r="F712" s="1186" t="s">
        <v>1981</v>
      </c>
      <c r="G712" s="1186" t="s">
        <v>1982</v>
      </c>
      <c r="H712" s="1186">
        <v>149</v>
      </c>
    </row>
    <row r="713" spans="1:8" x14ac:dyDescent="0.2">
      <c r="A713" s="1186" t="s">
        <v>133</v>
      </c>
      <c r="B713" s="1186" t="s">
        <v>824</v>
      </c>
      <c r="C713" s="1186" t="s">
        <v>61</v>
      </c>
      <c r="D713" s="1186" t="s">
        <v>133</v>
      </c>
      <c r="E713" s="1186" t="s">
        <v>927</v>
      </c>
      <c r="F713" s="1186" t="s">
        <v>1983</v>
      </c>
      <c r="G713" s="1186" t="s">
        <v>1982</v>
      </c>
      <c r="H713" s="1186">
        <v>132</v>
      </c>
    </row>
    <row r="714" spans="1:8" x14ac:dyDescent="0.2">
      <c r="A714" s="1186" t="s">
        <v>133</v>
      </c>
      <c r="B714" s="1186" t="s">
        <v>824</v>
      </c>
      <c r="C714" s="1186" t="s">
        <v>61</v>
      </c>
      <c r="D714" s="1186" t="s">
        <v>133</v>
      </c>
      <c r="E714" s="1186" t="s">
        <v>928</v>
      </c>
      <c r="F714" s="1186" t="s">
        <v>1983</v>
      </c>
      <c r="G714" s="1186" t="s">
        <v>1984</v>
      </c>
      <c r="H714" s="1186">
        <v>132</v>
      </c>
    </row>
    <row r="715" spans="1:8" x14ac:dyDescent="0.2">
      <c r="A715" s="1186" t="s">
        <v>133</v>
      </c>
      <c r="B715" s="1186" t="s">
        <v>824</v>
      </c>
      <c r="C715" s="1186" t="s">
        <v>61</v>
      </c>
      <c r="D715" s="1186" t="s">
        <v>133</v>
      </c>
      <c r="E715" s="1186" t="s">
        <v>929</v>
      </c>
      <c r="F715" s="1186" t="s">
        <v>1983</v>
      </c>
      <c r="G715" s="1186" t="s">
        <v>1984</v>
      </c>
      <c r="H715" s="1186">
        <v>136</v>
      </c>
    </row>
    <row r="716" spans="1:8" x14ac:dyDescent="0.2">
      <c r="A716" s="1186" t="s">
        <v>133</v>
      </c>
      <c r="B716" s="1186" t="s">
        <v>824</v>
      </c>
      <c r="C716" s="1186" t="s">
        <v>61</v>
      </c>
      <c r="D716" s="1186" t="s">
        <v>133</v>
      </c>
      <c r="E716" s="1186" t="s">
        <v>930</v>
      </c>
      <c r="F716" s="1186" t="s">
        <v>1985</v>
      </c>
      <c r="G716" s="1186" t="s">
        <v>1984</v>
      </c>
      <c r="H716" s="1186">
        <v>145</v>
      </c>
    </row>
    <row r="717" spans="1:8" x14ac:dyDescent="0.2">
      <c r="A717" s="1186" t="s">
        <v>133</v>
      </c>
      <c r="B717" s="1186" t="s">
        <v>824</v>
      </c>
      <c r="C717" s="1186" t="s">
        <v>61</v>
      </c>
      <c r="D717" s="1186" t="s">
        <v>133</v>
      </c>
      <c r="E717" s="1186" t="s">
        <v>931</v>
      </c>
      <c r="F717" s="1186" t="s">
        <v>1985</v>
      </c>
      <c r="G717" s="1186" t="s">
        <v>1986</v>
      </c>
      <c r="H717" s="1186">
        <v>165</v>
      </c>
    </row>
    <row r="718" spans="1:8" x14ac:dyDescent="0.2">
      <c r="A718" s="1186" t="s">
        <v>133</v>
      </c>
      <c r="B718" s="1186" t="s">
        <v>824</v>
      </c>
      <c r="C718" s="1186" t="s">
        <v>61</v>
      </c>
      <c r="D718" s="1186" t="s">
        <v>133</v>
      </c>
      <c r="E718" s="1186" t="s">
        <v>932</v>
      </c>
      <c r="F718" s="1186" t="s">
        <v>1985</v>
      </c>
      <c r="G718" s="1186" t="s">
        <v>1986</v>
      </c>
      <c r="H718" s="1186">
        <v>142</v>
      </c>
    </row>
    <row r="719" spans="1:8" x14ac:dyDescent="0.2">
      <c r="A719" s="1186" t="s">
        <v>133</v>
      </c>
      <c r="B719" s="1186" t="s">
        <v>824</v>
      </c>
      <c r="C719" s="1186" t="s">
        <v>61</v>
      </c>
      <c r="D719" s="1186" t="s">
        <v>133</v>
      </c>
      <c r="E719" s="1186" t="s">
        <v>933</v>
      </c>
      <c r="F719" s="1186" t="s">
        <v>1987</v>
      </c>
      <c r="G719" s="1186" t="s">
        <v>1986</v>
      </c>
      <c r="H719" s="1186">
        <v>168</v>
      </c>
    </row>
    <row r="720" spans="1:8" x14ac:dyDescent="0.2">
      <c r="A720" s="1186" t="s">
        <v>133</v>
      </c>
      <c r="B720" s="1186" t="s">
        <v>824</v>
      </c>
      <c r="C720" s="1186" t="s">
        <v>61</v>
      </c>
      <c r="D720" s="1186" t="s">
        <v>133</v>
      </c>
      <c r="E720" s="1186" t="s">
        <v>934</v>
      </c>
      <c r="F720" s="1186" t="s">
        <v>1987</v>
      </c>
      <c r="G720" s="1186" t="s">
        <v>1988</v>
      </c>
      <c r="H720" s="1186">
        <v>165</v>
      </c>
    </row>
    <row r="721" spans="1:8" x14ac:dyDescent="0.2">
      <c r="A721" s="1186" t="s">
        <v>133</v>
      </c>
      <c r="B721" s="1186" t="s">
        <v>824</v>
      </c>
      <c r="C721" s="1186" t="s">
        <v>61</v>
      </c>
      <c r="D721" s="1186" t="s">
        <v>133</v>
      </c>
      <c r="E721" s="1186" t="s">
        <v>935</v>
      </c>
      <c r="F721" s="1186" t="s">
        <v>1987</v>
      </c>
      <c r="G721" s="1186" t="s">
        <v>1988</v>
      </c>
      <c r="H721" s="1186">
        <v>142</v>
      </c>
    </row>
    <row r="722" spans="1:8" x14ac:dyDescent="0.2">
      <c r="A722" s="1186" t="s">
        <v>133</v>
      </c>
      <c r="B722" s="1186" t="s">
        <v>824</v>
      </c>
      <c r="C722" s="1186" t="s">
        <v>61</v>
      </c>
      <c r="D722" s="1186" t="s">
        <v>133</v>
      </c>
      <c r="E722" s="1186" t="s">
        <v>936</v>
      </c>
      <c r="F722" s="1186" t="s">
        <v>1981</v>
      </c>
      <c r="G722" s="1186" t="s">
        <v>1988</v>
      </c>
      <c r="H722" s="1186">
        <v>139</v>
      </c>
    </row>
    <row r="723" spans="1:8" x14ac:dyDescent="0.2">
      <c r="A723" s="1186" t="s">
        <v>133</v>
      </c>
      <c r="B723" s="1186" t="s">
        <v>824</v>
      </c>
      <c r="C723" s="1186" t="s">
        <v>116</v>
      </c>
      <c r="D723" s="1186" t="s">
        <v>133</v>
      </c>
      <c r="E723" s="1186" t="s">
        <v>925</v>
      </c>
      <c r="F723" s="1186" t="s">
        <v>1981</v>
      </c>
      <c r="G723" s="1186" t="s">
        <v>1982</v>
      </c>
      <c r="H723" s="1186">
        <v>49</v>
      </c>
    </row>
    <row r="724" spans="1:8" x14ac:dyDescent="0.2">
      <c r="A724" s="1186" t="s">
        <v>133</v>
      </c>
      <c r="B724" s="1186" t="s">
        <v>824</v>
      </c>
      <c r="C724" s="1186" t="s">
        <v>116</v>
      </c>
      <c r="D724" s="1186" t="s">
        <v>133</v>
      </c>
      <c r="E724" s="1186" t="s">
        <v>926</v>
      </c>
      <c r="F724" s="1186" t="s">
        <v>1981</v>
      </c>
      <c r="G724" s="1186" t="s">
        <v>1982</v>
      </c>
      <c r="H724" s="1186">
        <v>48</v>
      </c>
    </row>
    <row r="725" spans="1:8" x14ac:dyDescent="0.2">
      <c r="A725" s="1186" t="s">
        <v>133</v>
      </c>
      <c r="B725" s="1186" t="s">
        <v>824</v>
      </c>
      <c r="C725" s="1186" t="s">
        <v>116</v>
      </c>
      <c r="D725" s="1186" t="s">
        <v>133</v>
      </c>
      <c r="E725" s="1186" t="s">
        <v>927</v>
      </c>
      <c r="F725" s="1186" t="s">
        <v>1983</v>
      </c>
      <c r="G725" s="1186" t="s">
        <v>1982</v>
      </c>
      <c r="H725" s="1186">
        <v>55</v>
      </c>
    </row>
    <row r="726" spans="1:8" x14ac:dyDescent="0.2">
      <c r="A726" s="1186" t="s">
        <v>133</v>
      </c>
      <c r="B726" s="1186" t="s">
        <v>824</v>
      </c>
      <c r="C726" s="1186" t="s">
        <v>116</v>
      </c>
      <c r="D726" s="1186" t="s">
        <v>133</v>
      </c>
      <c r="E726" s="1186" t="s">
        <v>928</v>
      </c>
      <c r="F726" s="1186" t="s">
        <v>1983</v>
      </c>
      <c r="G726" s="1186" t="s">
        <v>1984</v>
      </c>
      <c r="H726" s="1186">
        <v>55</v>
      </c>
    </row>
    <row r="727" spans="1:8" x14ac:dyDescent="0.2">
      <c r="A727" s="1186" t="s">
        <v>133</v>
      </c>
      <c r="B727" s="1186" t="s">
        <v>824</v>
      </c>
      <c r="C727" s="1186" t="s">
        <v>116</v>
      </c>
      <c r="D727" s="1186" t="s">
        <v>133</v>
      </c>
      <c r="E727" s="1186" t="s">
        <v>929</v>
      </c>
      <c r="F727" s="1186" t="s">
        <v>1983</v>
      </c>
      <c r="G727" s="1186" t="s">
        <v>1984</v>
      </c>
      <c r="H727" s="1186">
        <v>58</v>
      </c>
    </row>
    <row r="728" spans="1:8" x14ac:dyDescent="0.2">
      <c r="A728" s="1186" t="s">
        <v>133</v>
      </c>
      <c r="B728" s="1186" t="s">
        <v>824</v>
      </c>
      <c r="C728" s="1186" t="s">
        <v>116</v>
      </c>
      <c r="D728" s="1186" t="s">
        <v>133</v>
      </c>
      <c r="E728" s="1186" t="s">
        <v>930</v>
      </c>
      <c r="F728" s="1186" t="s">
        <v>1985</v>
      </c>
      <c r="G728" s="1186" t="s">
        <v>1984</v>
      </c>
      <c r="H728" s="1186">
        <v>65</v>
      </c>
    </row>
    <row r="729" spans="1:8" x14ac:dyDescent="0.2">
      <c r="A729" s="1186" t="s">
        <v>133</v>
      </c>
      <c r="B729" s="1186" t="s">
        <v>824</v>
      </c>
      <c r="C729" s="1186" t="s">
        <v>116</v>
      </c>
      <c r="D729" s="1186" t="s">
        <v>133</v>
      </c>
      <c r="E729" s="1186" t="s">
        <v>931</v>
      </c>
      <c r="F729" s="1186" t="s">
        <v>1985</v>
      </c>
      <c r="G729" s="1186" t="s">
        <v>1986</v>
      </c>
      <c r="H729" s="1186">
        <v>40</v>
      </c>
    </row>
    <row r="730" spans="1:8" x14ac:dyDescent="0.2">
      <c r="A730" s="1186" t="s">
        <v>133</v>
      </c>
      <c r="B730" s="1186" t="s">
        <v>824</v>
      </c>
      <c r="C730" s="1186" t="s">
        <v>116</v>
      </c>
      <c r="D730" s="1186" t="s">
        <v>133</v>
      </c>
      <c r="E730" s="1186" t="s">
        <v>932</v>
      </c>
      <c r="F730" s="1186" t="s">
        <v>1985</v>
      </c>
      <c r="G730" s="1186" t="s">
        <v>1986</v>
      </c>
      <c r="H730" s="1186">
        <v>41</v>
      </c>
    </row>
    <row r="731" spans="1:8" x14ac:dyDescent="0.2">
      <c r="A731" s="1186" t="s">
        <v>133</v>
      </c>
      <c r="B731" s="1186" t="s">
        <v>824</v>
      </c>
      <c r="C731" s="1186" t="s">
        <v>116</v>
      </c>
      <c r="D731" s="1186" t="s">
        <v>133</v>
      </c>
      <c r="E731" s="1186" t="s">
        <v>933</v>
      </c>
      <c r="F731" s="1186" t="s">
        <v>1987</v>
      </c>
      <c r="G731" s="1186" t="s">
        <v>1986</v>
      </c>
      <c r="H731" s="1186">
        <v>42</v>
      </c>
    </row>
    <row r="732" spans="1:8" x14ac:dyDescent="0.2">
      <c r="A732" s="1186" t="s">
        <v>133</v>
      </c>
      <c r="B732" s="1186" t="s">
        <v>824</v>
      </c>
      <c r="C732" s="1186" t="s">
        <v>116</v>
      </c>
      <c r="D732" s="1186" t="s">
        <v>133</v>
      </c>
      <c r="E732" s="1186" t="s">
        <v>934</v>
      </c>
      <c r="F732" s="1186" t="s">
        <v>1987</v>
      </c>
      <c r="G732" s="1186" t="s">
        <v>1988</v>
      </c>
      <c r="H732" s="1186">
        <v>42</v>
      </c>
    </row>
    <row r="733" spans="1:8" x14ac:dyDescent="0.2">
      <c r="A733" s="1186" t="s">
        <v>133</v>
      </c>
      <c r="B733" s="1186" t="s">
        <v>824</v>
      </c>
      <c r="C733" s="1186" t="s">
        <v>116</v>
      </c>
      <c r="D733" s="1186" t="s">
        <v>133</v>
      </c>
      <c r="E733" s="1186" t="s">
        <v>935</v>
      </c>
      <c r="F733" s="1186" t="s">
        <v>1987</v>
      </c>
      <c r="G733" s="1186" t="s">
        <v>1988</v>
      </c>
      <c r="H733" s="1186">
        <v>40</v>
      </c>
    </row>
    <row r="734" spans="1:8" x14ac:dyDescent="0.2">
      <c r="A734" s="1186" t="s">
        <v>133</v>
      </c>
      <c r="B734" s="1186" t="s">
        <v>824</v>
      </c>
      <c r="C734" s="1186" t="s">
        <v>116</v>
      </c>
      <c r="D734" s="1186" t="s">
        <v>133</v>
      </c>
      <c r="E734" s="1186" t="s">
        <v>936</v>
      </c>
      <c r="F734" s="1186" t="s">
        <v>1981</v>
      </c>
      <c r="G734" s="1186" t="s">
        <v>1988</v>
      </c>
      <c r="H734" s="1186">
        <v>30</v>
      </c>
    </row>
    <row r="735" spans="1:8" x14ac:dyDescent="0.2">
      <c r="A735" s="1186" t="s">
        <v>133</v>
      </c>
      <c r="B735" s="1186" t="s">
        <v>825</v>
      </c>
      <c r="C735" s="1186" t="s">
        <v>61</v>
      </c>
      <c r="D735" s="1186" t="s">
        <v>133</v>
      </c>
      <c r="E735" s="1186" t="s">
        <v>925</v>
      </c>
      <c r="F735" s="1186" t="s">
        <v>1981</v>
      </c>
      <c r="G735" s="1186" t="s">
        <v>1982</v>
      </c>
      <c r="H735" s="1186">
        <v>112</v>
      </c>
    </row>
    <row r="736" spans="1:8" x14ac:dyDescent="0.2">
      <c r="A736" s="1186" t="s">
        <v>133</v>
      </c>
      <c r="B736" s="1186" t="s">
        <v>825</v>
      </c>
      <c r="C736" s="1186" t="s">
        <v>61</v>
      </c>
      <c r="D736" s="1186" t="s">
        <v>133</v>
      </c>
      <c r="E736" s="1186" t="s">
        <v>926</v>
      </c>
      <c r="F736" s="1186" t="s">
        <v>1981</v>
      </c>
      <c r="G736" s="1186" t="s">
        <v>1982</v>
      </c>
      <c r="H736" s="1186">
        <v>97</v>
      </c>
    </row>
    <row r="737" spans="1:8" x14ac:dyDescent="0.2">
      <c r="A737" s="1186" t="s">
        <v>133</v>
      </c>
      <c r="B737" s="1186" t="s">
        <v>825</v>
      </c>
      <c r="C737" s="1186" t="s">
        <v>61</v>
      </c>
      <c r="D737" s="1186" t="s">
        <v>133</v>
      </c>
      <c r="E737" s="1186" t="s">
        <v>927</v>
      </c>
      <c r="F737" s="1186" t="s">
        <v>1983</v>
      </c>
      <c r="G737" s="1186" t="s">
        <v>1982</v>
      </c>
      <c r="H737" s="1186">
        <v>102</v>
      </c>
    </row>
    <row r="738" spans="1:8" x14ac:dyDescent="0.2">
      <c r="A738" s="1186" t="s">
        <v>133</v>
      </c>
      <c r="B738" s="1186" t="s">
        <v>825</v>
      </c>
      <c r="C738" s="1186" t="s">
        <v>61</v>
      </c>
      <c r="D738" s="1186" t="s">
        <v>133</v>
      </c>
      <c r="E738" s="1186" t="s">
        <v>928</v>
      </c>
      <c r="F738" s="1186" t="s">
        <v>1983</v>
      </c>
      <c r="G738" s="1186" t="s">
        <v>1984</v>
      </c>
      <c r="H738" s="1186">
        <v>94</v>
      </c>
    </row>
    <row r="739" spans="1:8" x14ac:dyDescent="0.2">
      <c r="A739" s="1186" t="s">
        <v>133</v>
      </c>
      <c r="B739" s="1186" t="s">
        <v>825</v>
      </c>
      <c r="C739" s="1186" t="s">
        <v>61</v>
      </c>
      <c r="D739" s="1186" t="s">
        <v>133</v>
      </c>
      <c r="E739" s="1186" t="s">
        <v>929</v>
      </c>
      <c r="F739" s="1186" t="s">
        <v>1983</v>
      </c>
      <c r="G739" s="1186" t="s">
        <v>1984</v>
      </c>
      <c r="H739" s="1186">
        <v>113</v>
      </c>
    </row>
    <row r="740" spans="1:8" x14ac:dyDescent="0.2">
      <c r="A740" s="1186" t="s">
        <v>133</v>
      </c>
      <c r="B740" s="1186" t="s">
        <v>825</v>
      </c>
      <c r="C740" s="1186" t="s">
        <v>61</v>
      </c>
      <c r="D740" s="1186" t="s">
        <v>133</v>
      </c>
      <c r="E740" s="1186" t="s">
        <v>930</v>
      </c>
      <c r="F740" s="1186" t="s">
        <v>1985</v>
      </c>
      <c r="G740" s="1186" t="s">
        <v>1984</v>
      </c>
      <c r="H740" s="1186">
        <v>85</v>
      </c>
    </row>
    <row r="741" spans="1:8" x14ac:dyDescent="0.2">
      <c r="A741" s="1186" t="s">
        <v>133</v>
      </c>
      <c r="B741" s="1186" t="s">
        <v>825</v>
      </c>
      <c r="C741" s="1186" t="s">
        <v>61</v>
      </c>
      <c r="D741" s="1186" t="s">
        <v>133</v>
      </c>
      <c r="E741" s="1186" t="s">
        <v>931</v>
      </c>
      <c r="F741" s="1186" t="s">
        <v>1985</v>
      </c>
      <c r="G741" s="1186" t="s">
        <v>1986</v>
      </c>
      <c r="H741" s="1186">
        <v>81</v>
      </c>
    </row>
    <row r="742" spans="1:8" x14ac:dyDescent="0.2">
      <c r="A742" s="1186" t="s">
        <v>133</v>
      </c>
      <c r="B742" s="1186" t="s">
        <v>825</v>
      </c>
      <c r="C742" s="1186" t="s">
        <v>61</v>
      </c>
      <c r="D742" s="1186" t="s">
        <v>133</v>
      </c>
      <c r="E742" s="1186" t="s">
        <v>932</v>
      </c>
      <c r="F742" s="1186" t="s">
        <v>1985</v>
      </c>
      <c r="G742" s="1186" t="s">
        <v>1986</v>
      </c>
      <c r="H742" s="1186">
        <v>87</v>
      </c>
    </row>
    <row r="743" spans="1:8" x14ac:dyDescent="0.2">
      <c r="A743" s="1186" t="s">
        <v>133</v>
      </c>
      <c r="B743" s="1186" t="s">
        <v>825</v>
      </c>
      <c r="C743" s="1186" t="s">
        <v>61</v>
      </c>
      <c r="D743" s="1186" t="s">
        <v>133</v>
      </c>
      <c r="E743" s="1186" t="s">
        <v>933</v>
      </c>
      <c r="F743" s="1186" t="s">
        <v>1987</v>
      </c>
      <c r="G743" s="1186" t="s">
        <v>1986</v>
      </c>
      <c r="H743" s="1186">
        <v>98</v>
      </c>
    </row>
    <row r="744" spans="1:8" x14ac:dyDescent="0.2">
      <c r="A744" s="1186" t="s">
        <v>133</v>
      </c>
      <c r="B744" s="1186" t="s">
        <v>825</v>
      </c>
      <c r="C744" s="1186" t="s">
        <v>61</v>
      </c>
      <c r="D744" s="1186" t="s">
        <v>133</v>
      </c>
      <c r="E744" s="1186" t="s">
        <v>934</v>
      </c>
      <c r="F744" s="1186" t="s">
        <v>1987</v>
      </c>
      <c r="G744" s="1186" t="s">
        <v>1988</v>
      </c>
      <c r="H744" s="1186">
        <v>74</v>
      </c>
    </row>
    <row r="745" spans="1:8" x14ac:dyDescent="0.2">
      <c r="A745" s="1186" t="s">
        <v>133</v>
      </c>
      <c r="B745" s="1186" t="s">
        <v>825</v>
      </c>
      <c r="C745" s="1186" t="s">
        <v>61</v>
      </c>
      <c r="D745" s="1186" t="s">
        <v>133</v>
      </c>
      <c r="E745" s="1186" t="s">
        <v>935</v>
      </c>
      <c r="F745" s="1186" t="s">
        <v>1987</v>
      </c>
      <c r="G745" s="1186" t="s">
        <v>1988</v>
      </c>
      <c r="H745" s="1186">
        <v>103</v>
      </c>
    </row>
    <row r="746" spans="1:8" x14ac:dyDescent="0.2">
      <c r="A746" s="1186" t="s">
        <v>133</v>
      </c>
      <c r="B746" s="1186" t="s">
        <v>825</v>
      </c>
      <c r="C746" s="1186" t="s">
        <v>61</v>
      </c>
      <c r="D746" s="1186" t="s">
        <v>133</v>
      </c>
      <c r="E746" s="1186" t="s">
        <v>936</v>
      </c>
      <c r="F746" s="1186" t="s">
        <v>1981</v>
      </c>
      <c r="G746" s="1186" t="s">
        <v>1988</v>
      </c>
      <c r="H746" s="1186">
        <v>102</v>
      </c>
    </row>
    <row r="747" spans="1:8" x14ac:dyDescent="0.2">
      <c r="A747" s="1186" t="s">
        <v>133</v>
      </c>
      <c r="B747" s="1186" t="s">
        <v>825</v>
      </c>
      <c r="C747" s="1186" t="s">
        <v>116</v>
      </c>
      <c r="D747" s="1186" t="s">
        <v>133</v>
      </c>
      <c r="E747" s="1186" t="s">
        <v>925</v>
      </c>
      <c r="F747" s="1186" t="s">
        <v>1981</v>
      </c>
      <c r="G747" s="1186" t="s">
        <v>1982</v>
      </c>
      <c r="H747" s="1186">
        <v>56</v>
      </c>
    </row>
    <row r="748" spans="1:8" x14ac:dyDescent="0.2">
      <c r="A748" s="1186" t="s">
        <v>133</v>
      </c>
      <c r="B748" s="1186" t="s">
        <v>825</v>
      </c>
      <c r="C748" s="1186" t="s">
        <v>116</v>
      </c>
      <c r="D748" s="1186" t="s">
        <v>133</v>
      </c>
      <c r="E748" s="1186" t="s">
        <v>926</v>
      </c>
      <c r="F748" s="1186" t="s">
        <v>1981</v>
      </c>
      <c r="G748" s="1186" t="s">
        <v>1982</v>
      </c>
      <c r="H748" s="1186">
        <v>81</v>
      </c>
    </row>
    <row r="749" spans="1:8" x14ac:dyDescent="0.2">
      <c r="A749" s="1186" t="s">
        <v>133</v>
      </c>
      <c r="B749" s="1186" t="s">
        <v>825</v>
      </c>
      <c r="C749" s="1186" t="s">
        <v>116</v>
      </c>
      <c r="D749" s="1186" t="s">
        <v>133</v>
      </c>
      <c r="E749" s="1186" t="s">
        <v>927</v>
      </c>
      <c r="F749" s="1186" t="s">
        <v>1983</v>
      </c>
      <c r="G749" s="1186" t="s">
        <v>1982</v>
      </c>
      <c r="H749" s="1186">
        <v>70</v>
      </c>
    </row>
    <row r="750" spans="1:8" x14ac:dyDescent="0.2">
      <c r="A750" s="1186" t="s">
        <v>133</v>
      </c>
      <c r="B750" s="1186" t="s">
        <v>825</v>
      </c>
      <c r="C750" s="1186" t="s">
        <v>116</v>
      </c>
      <c r="D750" s="1186" t="s">
        <v>133</v>
      </c>
      <c r="E750" s="1186" t="s">
        <v>928</v>
      </c>
      <c r="F750" s="1186" t="s">
        <v>1983</v>
      </c>
      <c r="G750" s="1186" t="s">
        <v>1984</v>
      </c>
      <c r="H750" s="1186">
        <v>61</v>
      </c>
    </row>
    <row r="751" spans="1:8" x14ac:dyDescent="0.2">
      <c r="A751" s="1186" t="s">
        <v>133</v>
      </c>
      <c r="B751" s="1186" t="s">
        <v>825</v>
      </c>
      <c r="C751" s="1186" t="s">
        <v>116</v>
      </c>
      <c r="D751" s="1186" t="s">
        <v>133</v>
      </c>
      <c r="E751" s="1186" t="s">
        <v>929</v>
      </c>
      <c r="F751" s="1186" t="s">
        <v>1983</v>
      </c>
      <c r="G751" s="1186" t="s">
        <v>1984</v>
      </c>
      <c r="H751" s="1186">
        <v>66</v>
      </c>
    </row>
    <row r="752" spans="1:8" x14ac:dyDescent="0.2">
      <c r="A752" s="1186" t="s">
        <v>133</v>
      </c>
      <c r="B752" s="1186" t="s">
        <v>825</v>
      </c>
      <c r="C752" s="1186" t="s">
        <v>116</v>
      </c>
      <c r="D752" s="1186" t="s">
        <v>133</v>
      </c>
      <c r="E752" s="1186" t="s">
        <v>930</v>
      </c>
      <c r="F752" s="1186" t="s">
        <v>1985</v>
      </c>
      <c r="G752" s="1186" t="s">
        <v>1984</v>
      </c>
      <c r="H752" s="1186">
        <v>71</v>
      </c>
    </row>
    <row r="753" spans="1:8" x14ac:dyDescent="0.2">
      <c r="A753" s="1186" t="s">
        <v>133</v>
      </c>
      <c r="B753" s="1186" t="s">
        <v>825</v>
      </c>
      <c r="C753" s="1186" t="s">
        <v>116</v>
      </c>
      <c r="D753" s="1186" t="s">
        <v>133</v>
      </c>
      <c r="E753" s="1186" t="s">
        <v>931</v>
      </c>
      <c r="F753" s="1186" t="s">
        <v>1985</v>
      </c>
      <c r="G753" s="1186" t="s">
        <v>1986</v>
      </c>
      <c r="H753" s="1186">
        <v>50</v>
      </c>
    </row>
    <row r="754" spans="1:8" x14ac:dyDescent="0.2">
      <c r="A754" s="1186" t="s">
        <v>133</v>
      </c>
      <c r="B754" s="1186" t="s">
        <v>825</v>
      </c>
      <c r="C754" s="1186" t="s">
        <v>116</v>
      </c>
      <c r="D754" s="1186" t="s">
        <v>133</v>
      </c>
      <c r="E754" s="1186" t="s">
        <v>932</v>
      </c>
      <c r="F754" s="1186" t="s">
        <v>1985</v>
      </c>
      <c r="G754" s="1186" t="s">
        <v>1986</v>
      </c>
      <c r="H754" s="1186">
        <v>75</v>
      </c>
    </row>
    <row r="755" spans="1:8" x14ac:dyDescent="0.2">
      <c r="A755" s="1186" t="s">
        <v>133</v>
      </c>
      <c r="B755" s="1186" t="s">
        <v>825</v>
      </c>
      <c r="C755" s="1186" t="s">
        <v>116</v>
      </c>
      <c r="D755" s="1186" t="s">
        <v>133</v>
      </c>
      <c r="E755" s="1186" t="s">
        <v>933</v>
      </c>
      <c r="F755" s="1186" t="s">
        <v>1987</v>
      </c>
      <c r="G755" s="1186" t="s">
        <v>1986</v>
      </c>
      <c r="H755" s="1186">
        <v>55</v>
      </c>
    </row>
    <row r="756" spans="1:8" x14ac:dyDescent="0.2">
      <c r="A756" s="1186" t="s">
        <v>133</v>
      </c>
      <c r="B756" s="1186" t="s">
        <v>825</v>
      </c>
      <c r="C756" s="1186" t="s">
        <v>116</v>
      </c>
      <c r="D756" s="1186" t="s">
        <v>133</v>
      </c>
      <c r="E756" s="1186" t="s">
        <v>934</v>
      </c>
      <c r="F756" s="1186" t="s">
        <v>1987</v>
      </c>
      <c r="G756" s="1186" t="s">
        <v>1988</v>
      </c>
      <c r="H756" s="1186">
        <v>47</v>
      </c>
    </row>
    <row r="757" spans="1:8" x14ac:dyDescent="0.2">
      <c r="A757" s="1186" t="s">
        <v>133</v>
      </c>
      <c r="B757" s="1186" t="s">
        <v>825</v>
      </c>
      <c r="C757" s="1186" t="s">
        <v>116</v>
      </c>
      <c r="D757" s="1186" t="s">
        <v>133</v>
      </c>
      <c r="E757" s="1186" t="s">
        <v>935</v>
      </c>
      <c r="F757" s="1186" t="s">
        <v>1987</v>
      </c>
      <c r="G757" s="1186" t="s">
        <v>1988</v>
      </c>
      <c r="H757" s="1186">
        <v>50</v>
      </c>
    </row>
    <row r="758" spans="1:8" x14ac:dyDescent="0.2">
      <c r="A758" s="1186" t="s">
        <v>133</v>
      </c>
      <c r="B758" s="1186" t="s">
        <v>825</v>
      </c>
      <c r="C758" s="1186" t="s">
        <v>116</v>
      </c>
      <c r="D758" s="1186" t="s">
        <v>133</v>
      </c>
      <c r="E758" s="1186" t="s">
        <v>936</v>
      </c>
      <c r="F758" s="1186" t="s">
        <v>1981</v>
      </c>
      <c r="G758" s="1186" t="s">
        <v>1988</v>
      </c>
      <c r="H758" s="1186">
        <v>67</v>
      </c>
    </row>
    <row r="759" spans="1:8" x14ac:dyDescent="0.2">
      <c r="A759" s="1186" t="s">
        <v>133</v>
      </c>
      <c r="B759" s="1186" t="s">
        <v>826</v>
      </c>
      <c r="C759" s="1186" t="s">
        <v>61</v>
      </c>
      <c r="D759" s="1186" t="s">
        <v>133</v>
      </c>
      <c r="E759" s="1186" t="s">
        <v>925</v>
      </c>
      <c r="F759" s="1186" t="s">
        <v>1981</v>
      </c>
      <c r="G759" s="1186" t="s">
        <v>1982</v>
      </c>
      <c r="H759" s="1186">
        <v>27</v>
      </c>
    </row>
    <row r="760" spans="1:8" x14ac:dyDescent="0.2">
      <c r="A760" s="1186" t="s">
        <v>133</v>
      </c>
      <c r="B760" s="1186" t="s">
        <v>826</v>
      </c>
      <c r="C760" s="1186" t="s">
        <v>61</v>
      </c>
      <c r="D760" s="1186" t="s">
        <v>133</v>
      </c>
      <c r="E760" s="1186" t="s">
        <v>926</v>
      </c>
      <c r="F760" s="1186" t="s">
        <v>1981</v>
      </c>
      <c r="G760" s="1186" t="s">
        <v>1982</v>
      </c>
      <c r="H760" s="1186">
        <v>30</v>
      </c>
    </row>
    <row r="761" spans="1:8" x14ac:dyDescent="0.2">
      <c r="A761" s="1186" t="s">
        <v>133</v>
      </c>
      <c r="B761" s="1186" t="s">
        <v>826</v>
      </c>
      <c r="C761" s="1186" t="s">
        <v>61</v>
      </c>
      <c r="D761" s="1186" t="s">
        <v>133</v>
      </c>
      <c r="E761" s="1186" t="s">
        <v>927</v>
      </c>
      <c r="F761" s="1186" t="s">
        <v>1983</v>
      </c>
      <c r="G761" s="1186" t="s">
        <v>1982</v>
      </c>
      <c r="H761" s="1186">
        <v>30</v>
      </c>
    </row>
    <row r="762" spans="1:8" x14ac:dyDescent="0.2">
      <c r="A762" s="1186" t="s">
        <v>133</v>
      </c>
      <c r="B762" s="1186" t="s">
        <v>826</v>
      </c>
      <c r="C762" s="1186" t="s">
        <v>61</v>
      </c>
      <c r="D762" s="1186" t="s">
        <v>133</v>
      </c>
      <c r="E762" s="1186" t="s">
        <v>928</v>
      </c>
      <c r="F762" s="1186" t="s">
        <v>1983</v>
      </c>
      <c r="G762" s="1186" t="s">
        <v>1984</v>
      </c>
      <c r="H762" s="1186">
        <v>47</v>
      </c>
    </row>
    <row r="763" spans="1:8" x14ac:dyDescent="0.2">
      <c r="A763" s="1186" t="s">
        <v>133</v>
      </c>
      <c r="B763" s="1186" t="s">
        <v>826</v>
      </c>
      <c r="C763" s="1186" t="s">
        <v>61</v>
      </c>
      <c r="D763" s="1186" t="s">
        <v>133</v>
      </c>
      <c r="E763" s="1186" t="s">
        <v>929</v>
      </c>
      <c r="F763" s="1186" t="s">
        <v>1983</v>
      </c>
      <c r="G763" s="1186" t="s">
        <v>1984</v>
      </c>
      <c r="H763" s="1186">
        <v>41</v>
      </c>
    </row>
    <row r="764" spans="1:8" x14ac:dyDescent="0.2">
      <c r="A764" s="1186" t="s">
        <v>133</v>
      </c>
      <c r="B764" s="1186" t="s">
        <v>826</v>
      </c>
      <c r="C764" s="1186" t="s">
        <v>61</v>
      </c>
      <c r="D764" s="1186" t="s">
        <v>133</v>
      </c>
      <c r="E764" s="1186" t="s">
        <v>930</v>
      </c>
      <c r="F764" s="1186" t="s">
        <v>1985</v>
      </c>
      <c r="G764" s="1186" t="s">
        <v>1984</v>
      </c>
      <c r="H764" s="1186">
        <v>34</v>
      </c>
    </row>
    <row r="765" spans="1:8" x14ac:dyDescent="0.2">
      <c r="A765" s="1186" t="s">
        <v>133</v>
      </c>
      <c r="B765" s="1186" t="s">
        <v>826</v>
      </c>
      <c r="C765" s="1186" t="s">
        <v>61</v>
      </c>
      <c r="D765" s="1186" t="s">
        <v>133</v>
      </c>
      <c r="E765" s="1186" t="s">
        <v>931</v>
      </c>
      <c r="F765" s="1186" t="s">
        <v>1985</v>
      </c>
      <c r="G765" s="1186" t="s">
        <v>1986</v>
      </c>
      <c r="H765" s="1186">
        <v>29</v>
      </c>
    </row>
    <row r="766" spans="1:8" x14ac:dyDescent="0.2">
      <c r="A766" s="1186" t="s">
        <v>133</v>
      </c>
      <c r="B766" s="1186" t="s">
        <v>826</v>
      </c>
      <c r="C766" s="1186" t="s">
        <v>61</v>
      </c>
      <c r="D766" s="1186" t="s">
        <v>133</v>
      </c>
      <c r="E766" s="1186" t="s">
        <v>932</v>
      </c>
      <c r="F766" s="1186" t="s">
        <v>1985</v>
      </c>
      <c r="G766" s="1186" t="s">
        <v>1986</v>
      </c>
      <c r="H766" s="1186">
        <v>25</v>
      </c>
    </row>
    <row r="767" spans="1:8" x14ac:dyDescent="0.2">
      <c r="A767" s="1186" t="s">
        <v>133</v>
      </c>
      <c r="B767" s="1186" t="s">
        <v>826</v>
      </c>
      <c r="C767" s="1186" t="s">
        <v>61</v>
      </c>
      <c r="D767" s="1186" t="s">
        <v>133</v>
      </c>
      <c r="E767" s="1186" t="s">
        <v>933</v>
      </c>
      <c r="F767" s="1186" t="s">
        <v>1987</v>
      </c>
      <c r="G767" s="1186" t="s">
        <v>1986</v>
      </c>
      <c r="H767" s="1186">
        <v>21</v>
      </c>
    </row>
    <row r="768" spans="1:8" x14ac:dyDescent="0.2">
      <c r="A768" s="1186" t="s">
        <v>133</v>
      </c>
      <c r="B768" s="1186" t="s">
        <v>826</v>
      </c>
      <c r="C768" s="1186" t="s">
        <v>61</v>
      </c>
      <c r="D768" s="1186" t="s">
        <v>133</v>
      </c>
      <c r="E768" s="1186" t="s">
        <v>934</v>
      </c>
      <c r="F768" s="1186" t="s">
        <v>1987</v>
      </c>
      <c r="G768" s="1186" t="s">
        <v>1988</v>
      </c>
      <c r="H768" s="1186">
        <v>34</v>
      </c>
    </row>
    <row r="769" spans="1:8" x14ac:dyDescent="0.2">
      <c r="A769" s="1186" t="s">
        <v>133</v>
      </c>
      <c r="B769" s="1186" t="s">
        <v>826</v>
      </c>
      <c r="C769" s="1186" t="s">
        <v>61</v>
      </c>
      <c r="D769" s="1186" t="s">
        <v>133</v>
      </c>
      <c r="E769" s="1186" t="s">
        <v>935</v>
      </c>
      <c r="F769" s="1186" t="s">
        <v>1987</v>
      </c>
      <c r="G769" s="1186" t="s">
        <v>1988</v>
      </c>
      <c r="H769" s="1186">
        <v>16</v>
      </c>
    </row>
    <row r="770" spans="1:8" x14ac:dyDescent="0.2">
      <c r="A770" s="1186" t="s">
        <v>133</v>
      </c>
      <c r="B770" s="1186" t="s">
        <v>826</v>
      </c>
      <c r="C770" s="1186" t="s">
        <v>61</v>
      </c>
      <c r="D770" s="1186" t="s">
        <v>133</v>
      </c>
      <c r="E770" s="1186" t="s">
        <v>936</v>
      </c>
      <c r="F770" s="1186" t="s">
        <v>1981</v>
      </c>
      <c r="G770" s="1186" t="s">
        <v>1988</v>
      </c>
      <c r="H770" s="1186">
        <v>26</v>
      </c>
    </row>
    <row r="771" spans="1:8" x14ac:dyDescent="0.2">
      <c r="A771" s="1186" t="s">
        <v>133</v>
      </c>
      <c r="B771" s="1186" t="s">
        <v>826</v>
      </c>
      <c r="C771" s="1186" t="s">
        <v>116</v>
      </c>
      <c r="D771" s="1186" t="s">
        <v>133</v>
      </c>
      <c r="E771" s="1186" t="s">
        <v>925</v>
      </c>
      <c r="F771" s="1186" t="s">
        <v>1981</v>
      </c>
      <c r="G771" s="1186" t="s">
        <v>1982</v>
      </c>
      <c r="H771" s="1186">
        <v>45</v>
      </c>
    </row>
    <row r="772" spans="1:8" x14ac:dyDescent="0.2">
      <c r="A772" s="1186" t="s">
        <v>133</v>
      </c>
      <c r="B772" s="1186" t="s">
        <v>826</v>
      </c>
      <c r="C772" s="1186" t="s">
        <v>116</v>
      </c>
      <c r="D772" s="1186" t="s">
        <v>133</v>
      </c>
      <c r="E772" s="1186" t="s">
        <v>926</v>
      </c>
      <c r="F772" s="1186" t="s">
        <v>1981</v>
      </c>
      <c r="G772" s="1186" t="s">
        <v>1982</v>
      </c>
      <c r="H772" s="1186">
        <v>31</v>
      </c>
    </row>
    <row r="773" spans="1:8" x14ac:dyDescent="0.2">
      <c r="A773" s="1186" t="s">
        <v>133</v>
      </c>
      <c r="B773" s="1186" t="s">
        <v>826</v>
      </c>
      <c r="C773" s="1186" t="s">
        <v>116</v>
      </c>
      <c r="D773" s="1186" t="s">
        <v>133</v>
      </c>
      <c r="E773" s="1186" t="s">
        <v>927</v>
      </c>
      <c r="F773" s="1186" t="s">
        <v>1983</v>
      </c>
      <c r="G773" s="1186" t="s">
        <v>1982</v>
      </c>
      <c r="H773" s="1186">
        <v>43</v>
      </c>
    </row>
    <row r="774" spans="1:8" x14ac:dyDescent="0.2">
      <c r="A774" s="1186" t="s">
        <v>133</v>
      </c>
      <c r="B774" s="1186" t="s">
        <v>826</v>
      </c>
      <c r="C774" s="1186" t="s">
        <v>116</v>
      </c>
      <c r="D774" s="1186" t="s">
        <v>133</v>
      </c>
      <c r="E774" s="1186" t="s">
        <v>928</v>
      </c>
      <c r="F774" s="1186" t="s">
        <v>1983</v>
      </c>
      <c r="G774" s="1186" t="s">
        <v>1984</v>
      </c>
      <c r="H774" s="1186">
        <v>68</v>
      </c>
    </row>
    <row r="775" spans="1:8" x14ac:dyDescent="0.2">
      <c r="A775" s="1186" t="s">
        <v>133</v>
      </c>
      <c r="B775" s="1186" t="s">
        <v>826</v>
      </c>
      <c r="C775" s="1186" t="s">
        <v>116</v>
      </c>
      <c r="D775" s="1186" t="s">
        <v>133</v>
      </c>
      <c r="E775" s="1186" t="s">
        <v>929</v>
      </c>
      <c r="F775" s="1186" t="s">
        <v>1983</v>
      </c>
      <c r="G775" s="1186" t="s">
        <v>1984</v>
      </c>
      <c r="H775" s="1186">
        <v>55</v>
      </c>
    </row>
    <row r="776" spans="1:8" x14ac:dyDescent="0.2">
      <c r="A776" s="1186" t="s">
        <v>133</v>
      </c>
      <c r="B776" s="1186" t="s">
        <v>826</v>
      </c>
      <c r="C776" s="1186" t="s">
        <v>116</v>
      </c>
      <c r="D776" s="1186" t="s">
        <v>133</v>
      </c>
      <c r="E776" s="1186" t="s">
        <v>930</v>
      </c>
      <c r="F776" s="1186" t="s">
        <v>1985</v>
      </c>
      <c r="G776" s="1186" t="s">
        <v>1984</v>
      </c>
      <c r="H776" s="1186">
        <v>82</v>
      </c>
    </row>
    <row r="777" spans="1:8" x14ac:dyDescent="0.2">
      <c r="A777" s="1186" t="s">
        <v>133</v>
      </c>
      <c r="B777" s="1186" t="s">
        <v>826</v>
      </c>
      <c r="C777" s="1186" t="s">
        <v>116</v>
      </c>
      <c r="D777" s="1186" t="s">
        <v>133</v>
      </c>
      <c r="E777" s="1186" t="s">
        <v>931</v>
      </c>
      <c r="F777" s="1186" t="s">
        <v>1985</v>
      </c>
      <c r="G777" s="1186" t="s">
        <v>1986</v>
      </c>
      <c r="H777" s="1186">
        <v>41</v>
      </c>
    </row>
    <row r="778" spans="1:8" x14ac:dyDescent="0.2">
      <c r="A778" s="1186" t="s">
        <v>133</v>
      </c>
      <c r="B778" s="1186" t="s">
        <v>826</v>
      </c>
      <c r="C778" s="1186" t="s">
        <v>116</v>
      </c>
      <c r="D778" s="1186" t="s">
        <v>133</v>
      </c>
      <c r="E778" s="1186" t="s">
        <v>932</v>
      </c>
      <c r="F778" s="1186" t="s">
        <v>1985</v>
      </c>
      <c r="G778" s="1186" t="s">
        <v>1986</v>
      </c>
      <c r="H778" s="1186">
        <v>41</v>
      </c>
    </row>
    <row r="779" spans="1:8" x14ac:dyDescent="0.2">
      <c r="A779" s="1186" t="s">
        <v>133</v>
      </c>
      <c r="B779" s="1186" t="s">
        <v>826</v>
      </c>
      <c r="C779" s="1186" t="s">
        <v>116</v>
      </c>
      <c r="D779" s="1186" t="s">
        <v>133</v>
      </c>
      <c r="E779" s="1186" t="s">
        <v>933</v>
      </c>
      <c r="F779" s="1186" t="s">
        <v>1987</v>
      </c>
      <c r="G779" s="1186" t="s">
        <v>1986</v>
      </c>
      <c r="H779" s="1186">
        <v>14</v>
      </c>
    </row>
    <row r="780" spans="1:8" x14ac:dyDescent="0.2">
      <c r="A780" s="1186" t="s">
        <v>133</v>
      </c>
      <c r="B780" s="1186" t="s">
        <v>826</v>
      </c>
      <c r="C780" s="1186" t="s">
        <v>116</v>
      </c>
      <c r="D780" s="1186" t="s">
        <v>133</v>
      </c>
      <c r="E780" s="1186" t="s">
        <v>934</v>
      </c>
      <c r="F780" s="1186" t="s">
        <v>1987</v>
      </c>
      <c r="G780" s="1186" t="s">
        <v>1988</v>
      </c>
      <c r="H780" s="1186">
        <v>15</v>
      </c>
    </row>
    <row r="781" spans="1:8" x14ac:dyDescent="0.2">
      <c r="A781" s="1186" t="s">
        <v>133</v>
      </c>
      <c r="B781" s="1186" t="s">
        <v>826</v>
      </c>
      <c r="C781" s="1186" t="s">
        <v>116</v>
      </c>
      <c r="D781" s="1186" t="s">
        <v>133</v>
      </c>
      <c r="E781" s="1186" t="s">
        <v>935</v>
      </c>
      <c r="F781" s="1186" t="s">
        <v>1987</v>
      </c>
      <c r="G781" s="1186" t="s">
        <v>1988</v>
      </c>
      <c r="H781" s="1186">
        <v>18</v>
      </c>
    </row>
    <row r="782" spans="1:8" x14ac:dyDescent="0.2">
      <c r="A782" s="1186" t="s">
        <v>133</v>
      </c>
      <c r="B782" s="1186" t="s">
        <v>826</v>
      </c>
      <c r="C782" s="1186" t="s">
        <v>116</v>
      </c>
      <c r="D782" s="1186" t="s">
        <v>133</v>
      </c>
      <c r="E782" s="1186" t="s">
        <v>936</v>
      </c>
      <c r="F782" s="1186" t="s">
        <v>1981</v>
      </c>
      <c r="G782" s="1186" t="s">
        <v>1988</v>
      </c>
      <c r="H782" s="1186">
        <v>25</v>
      </c>
    </row>
    <row r="783" spans="1:8" x14ac:dyDescent="0.2">
      <c r="A783" s="1186" t="s">
        <v>133</v>
      </c>
      <c r="B783" s="1186" t="s">
        <v>308</v>
      </c>
      <c r="C783" s="1186" t="s">
        <v>61</v>
      </c>
      <c r="D783" s="1186" t="s">
        <v>133</v>
      </c>
      <c r="E783" s="1186" t="s">
        <v>925</v>
      </c>
      <c r="F783" s="1186" t="s">
        <v>1981</v>
      </c>
      <c r="G783" s="1186" t="s">
        <v>1982</v>
      </c>
      <c r="H783" s="1186">
        <v>286</v>
      </c>
    </row>
    <row r="784" spans="1:8" x14ac:dyDescent="0.2">
      <c r="A784" s="1186" t="s">
        <v>133</v>
      </c>
      <c r="B784" s="1186" t="s">
        <v>308</v>
      </c>
      <c r="C784" s="1186" t="s">
        <v>61</v>
      </c>
      <c r="D784" s="1186" t="s">
        <v>133</v>
      </c>
      <c r="E784" s="1186" t="s">
        <v>926</v>
      </c>
      <c r="F784" s="1186" t="s">
        <v>1981</v>
      </c>
      <c r="G784" s="1186" t="s">
        <v>1982</v>
      </c>
      <c r="H784" s="1186">
        <v>180</v>
      </c>
    </row>
    <row r="785" spans="1:8" x14ac:dyDescent="0.2">
      <c r="A785" s="1186" t="s">
        <v>133</v>
      </c>
      <c r="B785" s="1186" t="s">
        <v>308</v>
      </c>
      <c r="C785" s="1186" t="s">
        <v>61</v>
      </c>
      <c r="D785" s="1186" t="s">
        <v>133</v>
      </c>
      <c r="E785" s="1186" t="s">
        <v>927</v>
      </c>
      <c r="F785" s="1186" t="s">
        <v>1983</v>
      </c>
      <c r="G785" s="1186" t="s">
        <v>1982</v>
      </c>
      <c r="H785" s="1186">
        <v>236</v>
      </c>
    </row>
    <row r="786" spans="1:8" x14ac:dyDescent="0.2">
      <c r="A786" s="1186" t="s">
        <v>133</v>
      </c>
      <c r="B786" s="1186" t="s">
        <v>308</v>
      </c>
      <c r="C786" s="1186" t="s">
        <v>61</v>
      </c>
      <c r="D786" s="1186" t="s">
        <v>133</v>
      </c>
      <c r="E786" s="1186" t="s">
        <v>928</v>
      </c>
      <c r="F786" s="1186" t="s">
        <v>1983</v>
      </c>
      <c r="G786" s="1186" t="s">
        <v>1984</v>
      </c>
      <c r="H786" s="1186">
        <v>356</v>
      </c>
    </row>
    <row r="787" spans="1:8" x14ac:dyDescent="0.2">
      <c r="A787" s="1186" t="s">
        <v>133</v>
      </c>
      <c r="B787" s="1186" t="s">
        <v>308</v>
      </c>
      <c r="C787" s="1186" t="s">
        <v>61</v>
      </c>
      <c r="D787" s="1186" t="s">
        <v>133</v>
      </c>
      <c r="E787" s="1186" t="s">
        <v>929</v>
      </c>
      <c r="F787" s="1186" t="s">
        <v>1983</v>
      </c>
      <c r="G787" s="1186" t="s">
        <v>1984</v>
      </c>
      <c r="H787" s="1186">
        <v>192</v>
      </c>
    </row>
    <row r="788" spans="1:8" x14ac:dyDescent="0.2">
      <c r="A788" s="1186" t="s">
        <v>133</v>
      </c>
      <c r="B788" s="1186" t="s">
        <v>308</v>
      </c>
      <c r="C788" s="1186" t="s">
        <v>61</v>
      </c>
      <c r="D788" s="1186" t="s">
        <v>133</v>
      </c>
      <c r="E788" s="1186" t="s">
        <v>930</v>
      </c>
      <c r="F788" s="1186" t="s">
        <v>1985</v>
      </c>
      <c r="G788" s="1186" t="s">
        <v>1984</v>
      </c>
      <c r="H788" s="1186">
        <v>208</v>
      </c>
    </row>
    <row r="789" spans="1:8" x14ac:dyDescent="0.2">
      <c r="A789" s="1186" t="s">
        <v>133</v>
      </c>
      <c r="B789" s="1186" t="s">
        <v>308</v>
      </c>
      <c r="C789" s="1186" t="s">
        <v>61</v>
      </c>
      <c r="D789" s="1186" t="s">
        <v>133</v>
      </c>
      <c r="E789" s="1186" t="s">
        <v>931</v>
      </c>
      <c r="F789" s="1186" t="s">
        <v>1985</v>
      </c>
      <c r="G789" s="1186" t="s">
        <v>1986</v>
      </c>
      <c r="H789" s="1186">
        <v>148</v>
      </c>
    </row>
    <row r="790" spans="1:8" x14ac:dyDescent="0.2">
      <c r="A790" s="1186" t="s">
        <v>133</v>
      </c>
      <c r="B790" s="1186" t="s">
        <v>308</v>
      </c>
      <c r="C790" s="1186" t="s">
        <v>61</v>
      </c>
      <c r="D790" s="1186" t="s">
        <v>133</v>
      </c>
      <c r="E790" s="1186" t="s">
        <v>932</v>
      </c>
      <c r="F790" s="1186" t="s">
        <v>1985</v>
      </c>
      <c r="G790" s="1186" t="s">
        <v>1986</v>
      </c>
      <c r="H790" s="1186">
        <v>137</v>
      </c>
    </row>
    <row r="791" spans="1:8" x14ac:dyDescent="0.2">
      <c r="A791" s="1186" t="s">
        <v>133</v>
      </c>
      <c r="B791" s="1186" t="s">
        <v>308</v>
      </c>
      <c r="C791" s="1186" t="s">
        <v>61</v>
      </c>
      <c r="D791" s="1186" t="s">
        <v>133</v>
      </c>
      <c r="E791" s="1186" t="s">
        <v>933</v>
      </c>
      <c r="F791" s="1186" t="s">
        <v>1987</v>
      </c>
      <c r="G791" s="1186" t="s">
        <v>1986</v>
      </c>
      <c r="H791" s="1186">
        <v>96</v>
      </c>
    </row>
    <row r="792" spans="1:8" x14ac:dyDescent="0.2">
      <c r="A792" s="1186" t="s">
        <v>133</v>
      </c>
      <c r="B792" s="1186" t="s">
        <v>308</v>
      </c>
      <c r="C792" s="1186" t="s">
        <v>61</v>
      </c>
      <c r="D792" s="1186" t="s">
        <v>133</v>
      </c>
      <c r="E792" s="1186" t="s">
        <v>934</v>
      </c>
      <c r="F792" s="1186" t="s">
        <v>1987</v>
      </c>
      <c r="G792" s="1186" t="s">
        <v>1988</v>
      </c>
      <c r="H792" s="1186">
        <v>81</v>
      </c>
    </row>
    <row r="793" spans="1:8" x14ac:dyDescent="0.2">
      <c r="A793" s="1186" t="s">
        <v>133</v>
      </c>
      <c r="B793" s="1186" t="s">
        <v>308</v>
      </c>
      <c r="C793" s="1186" t="s">
        <v>61</v>
      </c>
      <c r="D793" s="1186" t="s">
        <v>133</v>
      </c>
      <c r="E793" s="1186" t="s">
        <v>935</v>
      </c>
      <c r="F793" s="1186" t="s">
        <v>1987</v>
      </c>
      <c r="G793" s="1186" t="s">
        <v>1988</v>
      </c>
      <c r="H793" s="1186">
        <v>111</v>
      </c>
    </row>
    <row r="794" spans="1:8" x14ac:dyDescent="0.2">
      <c r="A794" s="1186" t="s">
        <v>133</v>
      </c>
      <c r="B794" s="1186" t="s">
        <v>308</v>
      </c>
      <c r="C794" s="1186" t="s">
        <v>61</v>
      </c>
      <c r="D794" s="1186" t="s">
        <v>133</v>
      </c>
      <c r="E794" s="1186" t="s">
        <v>936</v>
      </c>
      <c r="F794" s="1186" t="s">
        <v>1981</v>
      </c>
      <c r="G794" s="1186" t="s">
        <v>1988</v>
      </c>
      <c r="H794" s="1186">
        <v>208</v>
      </c>
    </row>
    <row r="795" spans="1:8" x14ac:dyDescent="0.2">
      <c r="A795" s="1186" t="s">
        <v>133</v>
      </c>
      <c r="B795" s="1186" t="s">
        <v>308</v>
      </c>
      <c r="C795" s="1186" t="s">
        <v>116</v>
      </c>
      <c r="D795" s="1186" t="s">
        <v>133</v>
      </c>
      <c r="E795" s="1186" t="s">
        <v>925</v>
      </c>
      <c r="F795" s="1186" t="s">
        <v>1981</v>
      </c>
      <c r="G795" s="1186" t="s">
        <v>1982</v>
      </c>
      <c r="H795" s="1186">
        <v>1309</v>
      </c>
    </row>
    <row r="796" spans="1:8" x14ac:dyDescent="0.2">
      <c r="A796" s="1186" t="s">
        <v>133</v>
      </c>
      <c r="B796" s="1186" t="s">
        <v>308</v>
      </c>
      <c r="C796" s="1186" t="s">
        <v>116</v>
      </c>
      <c r="D796" s="1186" t="s">
        <v>133</v>
      </c>
      <c r="E796" s="1186" t="s">
        <v>926</v>
      </c>
      <c r="F796" s="1186" t="s">
        <v>1981</v>
      </c>
      <c r="G796" s="1186" t="s">
        <v>1982</v>
      </c>
      <c r="H796" s="1186">
        <v>916</v>
      </c>
    </row>
    <row r="797" spans="1:8" x14ac:dyDescent="0.2">
      <c r="A797" s="1186" t="s">
        <v>133</v>
      </c>
      <c r="B797" s="1186" t="s">
        <v>308</v>
      </c>
      <c r="C797" s="1186" t="s">
        <v>116</v>
      </c>
      <c r="D797" s="1186" t="s">
        <v>133</v>
      </c>
      <c r="E797" s="1186" t="s">
        <v>927</v>
      </c>
      <c r="F797" s="1186" t="s">
        <v>1983</v>
      </c>
      <c r="G797" s="1186" t="s">
        <v>1982</v>
      </c>
      <c r="H797" s="1186">
        <v>1080</v>
      </c>
    </row>
    <row r="798" spans="1:8" x14ac:dyDescent="0.2">
      <c r="A798" s="1186" t="s">
        <v>133</v>
      </c>
      <c r="B798" s="1186" t="s">
        <v>308</v>
      </c>
      <c r="C798" s="1186" t="s">
        <v>116</v>
      </c>
      <c r="D798" s="1186" t="s">
        <v>133</v>
      </c>
      <c r="E798" s="1186" t="s">
        <v>928</v>
      </c>
      <c r="F798" s="1186" t="s">
        <v>1983</v>
      </c>
      <c r="G798" s="1186" t="s">
        <v>1984</v>
      </c>
      <c r="H798" s="1186">
        <v>1305</v>
      </c>
    </row>
    <row r="799" spans="1:8" x14ac:dyDescent="0.2">
      <c r="A799" s="1186" t="s">
        <v>133</v>
      </c>
      <c r="B799" s="1186" t="s">
        <v>308</v>
      </c>
      <c r="C799" s="1186" t="s">
        <v>116</v>
      </c>
      <c r="D799" s="1186" t="s">
        <v>133</v>
      </c>
      <c r="E799" s="1186" t="s">
        <v>929</v>
      </c>
      <c r="F799" s="1186" t="s">
        <v>1983</v>
      </c>
      <c r="G799" s="1186" t="s">
        <v>1984</v>
      </c>
      <c r="H799" s="1186">
        <v>864</v>
      </c>
    </row>
    <row r="800" spans="1:8" x14ac:dyDescent="0.2">
      <c r="A800" s="1186" t="s">
        <v>133</v>
      </c>
      <c r="B800" s="1186" t="s">
        <v>308</v>
      </c>
      <c r="C800" s="1186" t="s">
        <v>116</v>
      </c>
      <c r="D800" s="1186" t="s">
        <v>133</v>
      </c>
      <c r="E800" s="1186" t="s">
        <v>930</v>
      </c>
      <c r="F800" s="1186" t="s">
        <v>1985</v>
      </c>
      <c r="G800" s="1186" t="s">
        <v>1984</v>
      </c>
      <c r="H800" s="1186">
        <v>1376</v>
      </c>
    </row>
    <row r="801" spans="1:8" x14ac:dyDescent="0.2">
      <c r="A801" s="1186" t="s">
        <v>133</v>
      </c>
      <c r="B801" s="1186" t="s">
        <v>308</v>
      </c>
      <c r="C801" s="1186" t="s">
        <v>116</v>
      </c>
      <c r="D801" s="1186" t="s">
        <v>133</v>
      </c>
      <c r="E801" s="1186" t="s">
        <v>931</v>
      </c>
      <c r="F801" s="1186" t="s">
        <v>1985</v>
      </c>
      <c r="G801" s="1186" t="s">
        <v>1986</v>
      </c>
      <c r="H801" s="1186">
        <v>864</v>
      </c>
    </row>
    <row r="802" spans="1:8" x14ac:dyDescent="0.2">
      <c r="A802" s="1186" t="s">
        <v>133</v>
      </c>
      <c r="B802" s="1186" t="s">
        <v>308</v>
      </c>
      <c r="C802" s="1186" t="s">
        <v>116</v>
      </c>
      <c r="D802" s="1186" t="s">
        <v>133</v>
      </c>
      <c r="E802" s="1186" t="s">
        <v>932</v>
      </c>
      <c r="F802" s="1186" t="s">
        <v>1985</v>
      </c>
      <c r="G802" s="1186" t="s">
        <v>1986</v>
      </c>
      <c r="H802" s="1186">
        <v>1185</v>
      </c>
    </row>
    <row r="803" spans="1:8" x14ac:dyDescent="0.2">
      <c r="A803" s="1186" t="s">
        <v>133</v>
      </c>
      <c r="B803" s="1186" t="s">
        <v>308</v>
      </c>
      <c r="C803" s="1186" t="s">
        <v>116</v>
      </c>
      <c r="D803" s="1186" t="s">
        <v>133</v>
      </c>
      <c r="E803" s="1186" t="s">
        <v>933</v>
      </c>
      <c r="F803" s="1186" t="s">
        <v>1987</v>
      </c>
      <c r="G803" s="1186" t="s">
        <v>1986</v>
      </c>
      <c r="H803" s="1186">
        <v>403</v>
      </c>
    </row>
    <row r="804" spans="1:8" x14ac:dyDescent="0.2">
      <c r="A804" s="1186" t="s">
        <v>133</v>
      </c>
      <c r="B804" s="1186" t="s">
        <v>308</v>
      </c>
      <c r="C804" s="1186" t="s">
        <v>116</v>
      </c>
      <c r="D804" s="1186" t="s">
        <v>133</v>
      </c>
      <c r="E804" s="1186" t="s">
        <v>934</v>
      </c>
      <c r="F804" s="1186" t="s">
        <v>1987</v>
      </c>
      <c r="G804" s="1186" t="s">
        <v>1988</v>
      </c>
      <c r="H804" s="1186">
        <v>315</v>
      </c>
    </row>
    <row r="805" spans="1:8" x14ac:dyDescent="0.2">
      <c r="A805" s="1186" t="s">
        <v>133</v>
      </c>
      <c r="B805" s="1186" t="s">
        <v>308</v>
      </c>
      <c r="C805" s="1186" t="s">
        <v>116</v>
      </c>
      <c r="D805" s="1186" t="s">
        <v>133</v>
      </c>
      <c r="E805" s="1186" t="s">
        <v>935</v>
      </c>
      <c r="F805" s="1186" t="s">
        <v>1987</v>
      </c>
      <c r="G805" s="1186" t="s">
        <v>1988</v>
      </c>
      <c r="H805" s="1186">
        <v>611</v>
      </c>
    </row>
    <row r="806" spans="1:8" x14ac:dyDescent="0.2">
      <c r="A806" s="1186" t="s">
        <v>133</v>
      </c>
      <c r="B806" s="1186" t="s">
        <v>308</v>
      </c>
      <c r="C806" s="1186" t="s">
        <v>116</v>
      </c>
      <c r="D806" s="1186" t="s">
        <v>133</v>
      </c>
      <c r="E806" s="1186" t="s">
        <v>936</v>
      </c>
      <c r="F806" s="1186" t="s">
        <v>1981</v>
      </c>
      <c r="G806" s="1186" t="s">
        <v>1988</v>
      </c>
      <c r="H806" s="1186">
        <v>939</v>
      </c>
    </row>
    <row r="807" spans="1:8" x14ac:dyDescent="0.2">
      <c r="A807" s="1186" t="s">
        <v>144</v>
      </c>
      <c r="B807" s="1186" t="s">
        <v>309</v>
      </c>
      <c r="C807" s="1186" t="s">
        <v>61</v>
      </c>
      <c r="D807" s="1186" t="s">
        <v>144</v>
      </c>
      <c r="E807" s="1186" t="s">
        <v>937</v>
      </c>
      <c r="F807" s="1186" t="s">
        <v>1981</v>
      </c>
      <c r="G807" s="1186" t="s">
        <v>1982</v>
      </c>
      <c r="H807" s="1186">
        <v>110</v>
      </c>
    </row>
    <row r="808" spans="1:8" x14ac:dyDescent="0.2">
      <c r="A808" s="1186" t="s">
        <v>144</v>
      </c>
      <c r="B808" s="1186" t="s">
        <v>309</v>
      </c>
      <c r="C808" s="1186" t="s">
        <v>61</v>
      </c>
      <c r="D808" s="1186" t="s">
        <v>144</v>
      </c>
      <c r="E808" s="1186" t="s">
        <v>938</v>
      </c>
      <c r="F808" s="1186" t="s">
        <v>1981</v>
      </c>
      <c r="G808" s="1186" t="s">
        <v>1982</v>
      </c>
      <c r="H808" s="1186">
        <v>77</v>
      </c>
    </row>
    <row r="809" spans="1:8" x14ac:dyDescent="0.2">
      <c r="A809" s="1186" t="s">
        <v>144</v>
      </c>
      <c r="B809" s="1186" t="s">
        <v>309</v>
      </c>
      <c r="C809" s="1186" t="s">
        <v>61</v>
      </c>
      <c r="D809" s="1186" t="s">
        <v>144</v>
      </c>
      <c r="E809" s="1186" t="s">
        <v>939</v>
      </c>
      <c r="F809" s="1186" t="s">
        <v>1983</v>
      </c>
      <c r="G809" s="1186" t="s">
        <v>1982</v>
      </c>
      <c r="H809" s="1186">
        <v>27</v>
      </c>
    </row>
    <row r="810" spans="1:8" x14ac:dyDescent="0.2">
      <c r="A810" s="1186" t="s">
        <v>144</v>
      </c>
      <c r="B810" s="1186" t="s">
        <v>309</v>
      </c>
      <c r="C810" s="1186" t="s">
        <v>61</v>
      </c>
      <c r="D810" s="1186" t="s">
        <v>144</v>
      </c>
      <c r="E810" s="1186" t="s">
        <v>940</v>
      </c>
      <c r="F810" s="1186" t="s">
        <v>1983</v>
      </c>
      <c r="G810" s="1186" t="s">
        <v>1984</v>
      </c>
      <c r="H810" s="1186">
        <v>23</v>
      </c>
    </row>
    <row r="811" spans="1:8" x14ac:dyDescent="0.2">
      <c r="A811" s="1186" t="s">
        <v>144</v>
      </c>
      <c r="B811" s="1186" t="s">
        <v>309</v>
      </c>
      <c r="C811" s="1186" t="s">
        <v>61</v>
      </c>
      <c r="D811" s="1186" t="s">
        <v>144</v>
      </c>
      <c r="E811" s="1186" t="s">
        <v>941</v>
      </c>
      <c r="F811" s="1186" t="s">
        <v>1983</v>
      </c>
      <c r="G811" s="1186" t="s">
        <v>1984</v>
      </c>
      <c r="H811" s="1186">
        <v>13</v>
      </c>
    </row>
    <row r="812" spans="1:8" x14ac:dyDescent="0.2">
      <c r="A812" s="1186" t="s">
        <v>144</v>
      </c>
      <c r="B812" s="1186" t="s">
        <v>309</v>
      </c>
      <c r="C812" s="1186" t="s">
        <v>61</v>
      </c>
      <c r="D812" s="1186" t="s">
        <v>144</v>
      </c>
      <c r="E812" s="1186" t="s">
        <v>942</v>
      </c>
      <c r="F812" s="1186" t="s">
        <v>1985</v>
      </c>
      <c r="G812" s="1186" t="s">
        <v>1984</v>
      </c>
      <c r="H812" s="1186">
        <v>52</v>
      </c>
    </row>
    <row r="813" spans="1:8" x14ac:dyDescent="0.2">
      <c r="A813" s="1186" t="s">
        <v>144</v>
      </c>
      <c r="B813" s="1186" t="s">
        <v>309</v>
      </c>
      <c r="C813" s="1186" t="s">
        <v>61</v>
      </c>
      <c r="D813" s="1186" t="s">
        <v>144</v>
      </c>
      <c r="E813" s="1186" t="s">
        <v>943</v>
      </c>
      <c r="F813" s="1186" t="s">
        <v>1985</v>
      </c>
      <c r="G813" s="1186" t="s">
        <v>1986</v>
      </c>
      <c r="H813" s="1186">
        <v>57</v>
      </c>
    </row>
    <row r="814" spans="1:8" x14ac:dyDescent="0.2">
      <c r="A814" s="1186" t="s">
        <v>144</v>
      </c>
      <c r="B814" s="1186" t="s">
        <v>309</v>
      </c>
      <c r="C814" s="1186" t="s">
        <v>61</v>
      </c>
      <c r="D814" s="1186" t="s">
        <v>144</v>
      </c>
      <c r="E814" s="1186" t="s">
        <v>944</v>
      </c>
      <c r="F814" s="1186" t="s">
        <v>1985</v>
      </c>
      <c r="G814" s="1186" t="s">
        <v>1986</v>
      </c>
      <c r="H814" s="1186">
        <v>77</v>
      </c>
    </row>
    <row r="815" spans="1:8" x14ac:dyDescent="0.2">
      <c r="A815" s="1186" t="s">
        <v>144</v>
      </c>
      <c r="B815" s="1186" t="s">
        <v>309</v>
      </c>
      <c r="C815" s="1186" t="s">
        <v>61</v>
      </c>
      <c r="D815" s="1186" t="s">
        <v>144</v>
      </c>
      <c r="E815" s="1186" t="s">
        <v>945</v>
      </c>
      <c r="F815" s="1186" t="s">
        <v>1987</v>
      </c>
      <c r="G815" s="1186" t="s">
        <v>1986</v>
      </c>
      <c r="H815" s="1186">
        <v>88</v>
      </c>
    </row>
    <row r="816" spans="1:8" x14ac:dyDescent="0.2">
      <c r="A816" s="1186" t="s">
        <v>144</v>
      </c>
      <c r="B816" s="1186" t="s">
        <v>309</v>
      </c>
      <c r="C816" s="1186" t="s">
        <v>61</v>
      </c>
      <c r="D816" s="1186" t="s">
        <v>144</v>
      </c>
      <c r="E816" s="1186" t="s">
        <v>946</v>
      </c>
      <c r="F816" s="1186" t="s">
        <v>1987</v>
      </c>
      <c r="G816" s="1186" t="s">
        <v>1988</v>
      </c>
      <c r="H816" s="1186">
        <v>133</v>
      </c>
    </row>
    <row r="817" spans="1:8" x14ac:dyDescent="0.2">
      <c r="A817" s="1186" t="s">
        <v>144</v>
      </c>
      <c r="B817" s="1186" t="s">
        <v>309</v>
      </c>
      <c r="C817" s="1186" t="s">
        <v>61</v>
      </c>
      <c r="D817" s="1186" t="s">
        <v>144</v>
      </c>
      <c r="E817" s="1186" t="s">
        <v>947</v>
      </c>
      <c r="F817" s="1186" t="s">
        <v>1987</v>
      </c>
      <c r="G817" s="1186" t="s">
        <v>1988</v>
      </c>
      <c r="H817" s="1186">
        <v>122</v>
      </c>
    </row>
    <row r="818" spans="1:8" x14ac:dyDescent="0.2">
      <c r="A818" s="1186" t="s">
        <v>144</v>
      </c>
      <c r="B818" s="1186" t="s">
        <v>309</v>
      </c>
      <c r="C818" s="1186" t="s">
        <v>61</v>
      </c>
      <c r="D818" s="1186" t="s">
        <v>144</v>
      </c>
      <c r="E818" s="1186" t="s">
        <v>948</v>
      </c>
      <c r="F818" s="1186" t="s">
        <v>1981</v>
      </c>
      <c r="G818" s="1186" t="s">
        <v>1988</v>
      </c>
      <c r="H818" s="1186">
        <v>106</v>
      </c>
    </row>
    <row r="819" spans="1:8" x14ac:dyDescent="0.2">
      <c r="A819" s="1186" t="s">
        <v>144</v>
      </c>
      <c r="B819" s="1186" t="s">
        <v>309</v>
      </c>
      <c r="C819" s="1186" t="s">
        <v>116</v>
      </c>
      <c r="D819" s="1186" t="s">
        <v>144</v>
      </c>
      <c r="E819" s="1186" t="s">
        <v>943</v>
      </c>
      <c r="F819" s="1186" t="s">
        <v>1985</v>
      </c>
      <c r="G819" s="1186" t="s">
        <v>1986</v>
      </c>
      <c r="H819" s="1186">
        <v>1</v>
      </c>
    </row>
    <row r="820" spans="1:8" x14ac:dyDescent="0.2">
      <c r="A820" s="1186" t="s">
        <v>144</v>
      </c>
      <c r="B820" s="1186" t="s">
        <v>309</v>
      </c>
      <c r="C820" s="1186" t="s">
        <v>116</v>
      </c>
      <c r="D820" s="1186" t="s">
        <v>144</v>
      </c>
      <c r="E820" s="1186" t="s">
        <v>944</v>
      </c>
      <c r="F820" s="1186" t="s">
        <v>1985</v>
      </c>
      <c r="G820" s="1186" t="s">
        <v>1986</v>
      </c>
      <c r="H820" s="1186">
        <v>1</v>
      </c>
    </row>
    <row r="821" spans="1:8" x14ac:dyDescent="0.2">
      <c r="A821" s="1186" t="s">
        <v>144</v>
      </c>
      <c r="B821" s="1186" t="s">
        <v>309</v>
      </c>
      <c r="C821" s="1186" t="s">
        <v>116</v>
      </c>
      <c r="D821" s="1186" t="s">
        <v>144</v>
      </c>
      <c r="E821" s="1186" t="s">
        <v>946</v>
      </c>
      <c r="F821" s="1186" t="s">
        <v>1987</v>
      </c>
      <c r="G821" s="1186" t="s">
        <v>1988</v>
      </c>
      <c r="H821" s="1186">
        <v>1</v>
      </c>
    </row>
    <row r="822" spans="1:8" x14ac:dyDescent="0.2">
      <c r="A822" s="1186" t="s">
        <v>144</v>
      </c>
      <c r="B822" s="1186" t="s">
        <v>309</v>
      </c>
      <c r="C822" s="1186" t="s">
        <v>116</v>
      </c>
      <c r="D822" s="1186" t="s">
        <v>144</v>
      </c>
      <c r="E822" s="1186" t="s">
        <v>947</v>
      </c>
      <c r="F822" s="1186" t="s">
        <v>1987</v>
      </c>
      <c r="G822" s="1186" t="s">
        <v>1988</v>
      </c>
      <c r="H822" s="1186">
        <v>1</v>
      </c>
    </row>
    <row r="823" spans="1:8" x14ac:dyDescent="0.2">
      <c r="A823" s="1186" t="s">
        <v>144</v>
      </c>
      <c r="B823" s="1186" t="s">
        <v>309</v>
      </c>
      <c r="C823" s="1186" t="s">
        <v>116</v>
      </c>
      <c r="D823" s="1186" t="s">
        <v>144</v>
      </c>
      <c r="E823" s="1186" t="s">
        <v>948</v>
      </c>
      <c r="F823" s="1186" t="s">
        <v>1981</v>
      </c>
      <c r="G823" s="1186" t="s">
        <v>1988</v>
      </c>
      <c r="H823" s="1186">
        <v>1</v>
      </c>
    </row>
    <row r="824" spans="1:8" x14ac:dyDescent="0.2">
      <c r="A824" s="1186" t="s">
        <v>144</v>
      </c>
      <c r="B824" s="1186" t="s">
        <v>823</v>
      </c>
      <c r="C824" s="1186" t="s">
        <v>61</v>
      </c>
      <c r="D824" s="1186" t="s">
        <v>144</v>
      </c>
      <c r="E824" s="1186" t="s">
        <v>937</v>
      </c>
      <c r="F824" s="1186" t="s">
        <v>1981</v>
      </c>
      <c r="G824" s="1186" t="s">
        <v>1982</v>
      </c>
      <c r="H824" s="1186">
        <v>439</v>
      </c>
    </row>
    <row r="825" spans="1:8" x14ac:dyDescent="0.2">
      <c r="A825" s="1186" t="s">
        <v>144</v>
      </c>
      <c r="B825" s="1186" t="s">
        <v>823</v>
      </c>
      <c r="C825" s="1186" t="s">
        <v>61</v>
      </c>
      <c r="D825" s="1186" t="s">
        <v>144</v>
      </c>
      <c r="E825" s="1186" t="s">
        <v>938</v>
      </c>
      <c r="F825" s="1186" t="s">
        <v>1981</v>
      </c>
      <c r="G825" s="1186" t="s">
        <v>1982</v>
      </c>
      <c r="H825" s="1186">
        <v>429</v>
      </c>
    </row>
    <row r="826" spans="1:8" x14ac:dyDescent="0.2">
      <c r="A826" s="1186" t="s">
        <v>144</v>
      </c>
      <c r="B826" s="1186" t="s">
        <v>823</v>
      </c>
      <c r="C826" s="1186" t="s">
        <v>61</v>
      </c>
      <c r="D826" s="1186" t="s">
        <v>144</v>
      </c>
      <c r="E826" s="1186" t="s">
        <v>939</v>
      </c>
      <c r="F826" s="1186" t="s">
        <v>1983</v>
      </c>
      <c r="G826" s="1186" t="s">
        <v>1982</v>
      </c>
      <c r="H826" s="1186">
        <v>392</v>
      </c>
    </row>
    <row r="827" spans="1:8" x14ac:dyDescent="0.2">
      <c r="A827" s="1186" t="s">
        <v>144</v>
      </c>
      <c r="B827" s="1186" t="s">
        <v>823</v>
      </c>
      <c r="C827" s="1186" t="s">
        <v>61</v>
      </c>
      <c r="D827" s="1186" t="s">
        <v>144</v>
      </c>
      <c r="E827" s="1186" t="s">
        <v>940</v>
      </c>
      <c r="F827" s="1186" t="s">
        <v>1983</v>
      </c>
      <c r="G827" s="1186" t="s">
        <v>1984</v>
      </c>
      <c r="H827" s="1186">
        <v>394</v>
      </c>
    </row>
    <row r="828" spans="1:8" x14ac:dyDescent="0.2">
      <c r="A828" s="1186" t="s">
        <v>144</v>
      </c>
      <c r="B828" s="1186" t="s">
        <v>823</v>
      </c>
      <c r="C828" s="1186" t="s">
        <v>61</v>
      </c>
      <c r="D828" s="1186" t="s">
        <v>144</v>
      </c>
      <c r="E828" s="1186" t="s">
        <v>941</v>
      </c>
      <c r="F828" s="1186" t="s">
        <v>1983</v>
      </c>
      <c r="G828" s="1186" t="s">
        <v>1984</v>
      </c>
      <c r="H828" s="1186">
        <v>424</v>
      </c>
    </row>
    <row r="829" spans="1:8" x14ac:dyDescent="0.2">
      <c r="A829" s="1186" t="s">
        <v>144</v>
      </c>
      <c r="B829" s="1186" t="s">
        <v>823</v>
      </c>
      <c r="C829" s="1186" t="s">
        <v>61</v>
      </c>
      <c r="D829" s="1186" t="s">
        <v>144</v>
      </c>
      <c r="E829" s="1186" t="s">
        <v>942</v>
      </c>
      <c r="F829" s="1186" t="s">
        <v>1985</v>
      </c>
      <c r="G829" s="1186" t="s">
        <v>1984</v>
      </c>
      <c r="H829" s="1186">
        <v>408</v>
      </c>
    </row>
    <row r="830" spans="1:8" x14ac:dyDescent="0.2">
      <c r="A830" s="1186" t="s">
        <v>144</v>
      </c>
      <c r="B830" s="1186" t="s">
        <v>823</v>
      </c>
      <c r="C830" s="1186" t="s">
        <v>61</v>
      </c>
      <c r="D830" s="1186" t="s">
        <v>144</v>
      </c>
      <c r="E830" s="1186" t="s">
        <v>943</v>
      </c>
      <c r="F830" s="1186" t="s">
        <v>1985</v>
      </c>
      <c r="G830" s="1186" t="s">
        <v>1986</v>
      </c>
      <c r="H830" s="1186">
        <v>416</v>
      </c>
    </row>
    <row r="831" spans="1:8" x14ac:dyDescent="0.2">
      <c r="A831" s="1186" t="s">
        <v>144</v>
      </c>
      <c r="B831" s="1186" t="s">
        <v>823</v>
      </c>
      <c r="C831" s="1186" t="s">
        <v>61</v>
      </c>
      <c r="D831" s="1186" t="s">
        <v>144</v>
      </c>
      <c r="E831" s="1186" t="s">
        <v>944</v>
      </c>
      <c r="F831" s="1186" t="s">
        <v>1985</v>
      </c>
      <c r="G831" s="1186" t="s">
        <v>1986</v>
      </c>
      <c r="H831" s="1186">
        <v>474</v>
      </c>
    </row>
    <row r="832" spans="1:8" x14ac:dyDescent="0.2">
      <c r="A832" s="1186" t="s">
        <v>144</v>
      </c>
      <c r="B832" s="1186" t="s">
        <v>823</v>
      </c>
      <c r="C832" s="1186" t="s">
        <v>61</v>
      </c>
      <c r="D832" s="1186" t="s">
        <v>144</v>
      </c>
      <c r="E832" s="1186" t="s">
        <v>945</v>
      </c>
      <c r="F832" s="1186" t="s">
        <v>1987</v>
      </c>
      <c r="G832" s="1186" t="s">
        <v>1986</v>
      </c>
      <c r="H832" s="1186">
        <v>450</v>
      </c>
    </row>
    <row r="833" spans="1:8" x14ac:dyDescent="0.2">
      <c r="A833" s="1186" t="s">
        <v>144</v>
      </c>
      <c r="B833" s="1186" t="s">
        <v>823</v>
      </c>
      <c r="C833" s="1186" t="s">
        <v>61</v>
      </c>
      <c r="D833" s="1186" t="s">
        <v>144</v>
      </c>
      <c r="E833" s="1186" t="s">
        <v>946</v>
      </c>
      <c r="F833" s="1186" t="s">
        <v>1987</v>
      </c>
      <c r="G833" s="1186" t="s">
        <v>1988</v>
      </c>
      <c r="H833" s="1186">
        <v>429</v>
      </c>
    </row>
    <row r="834" spans="1:8" x14ac:dyDescent="0.2">
      <c r="A834" s="1186" t="s">
        <v>144</v>
      </c>
      <c r="B834" s="1186" t="s">
        <v>823</v>
      </c>
      <c r="C834" s="1186" t="s">
        <v>61</v>
      </c>
      <c r="D834" s="1186" t="s">
        <v>144</v>
      </c>
      <c r="E834" s="1186" t="s">
        <v>947</v>
      </c>
      <c r="F834" s="1186" t="s">
        <v>1987</v>
      </c>
      <c r="G834" s="1186" t="s">
        <v>1988</v>
      </c>
      <c r="H834" s="1186">
        <v>403</v>
      </c>
    </row>
    <row r="835" spans="1:8" x14ac:dyDescent="0.2">
      <c r="A835" s="1186" t="s">
        <v>144</v>
      </c>
      <c r="B835" s="1186" t="s">
        <v>823</v>
      </c>
      <c r="C835" s="1186" t="s">
        <v>61</v>
      </c>
      <c r="D835" s="1186" t="s">
        <v>144</v>
      </c>
      <c r="E835" s="1186" t="s">
        <v>948</v>
      </c>
      <c r="F835" s="1186" t="s">
        <v>1981</v>
      </c>
      <c r="G835" s="1186" t="s">
        <v>1988</v>
      </c>
      <c r="H835" s="1186">
        <v>410</v>
      </c>
    </row>
    <row r="836" spans="1:8" x14ac:dyDescent="0.2">
      <c r="A836" s="1186" t="s">
        <v>144</v>
      </c>
      <c r="B836" s="1186" t="s">
        <v>823</v>
      </c>
      <c r="C836" s="1186" t="s">
        <v>116</v>
      </c>
      <c r="D836" s="1186" t="s">
        <v>144</v>
      </c>
      <c r="E836" s="1186" t="s">
        <v>937</v>
      </c>
      <c r="F836" s="1186" t="s">
        <v>1981</v>
      </c>
      <c r="G836" s="1186" t="s">
        <v>1982</v>
      </c>
      <c r="H836" s="1186">
        <v>63</v>
      </c>
    </row>
    <row r="837" spans="1:8" x14ac:dyDescent="0.2">
      <c r="A837" s="1186" t="s">
        <v>144</v>
      </c>
      <c r="B837" s="1186" t="s">
        <v>823</v>
      </c>
      <c r="C837" s="1186" t="s">
        <v>116</v>
      </c>
      <c r="D837" s="1186" t="s">
        <v>144</v>
      </c>
      <c r="E837" s="1186" t="s">
        <v>938</v>
      </c>
      <c r="F837" s="1186" t="s">
        <v>1981</v>
      </c>
      <c r="G837" s="1186" t="s">
        <v>1982</v>
      </c>
      <c r="H837" s="1186">
        <v>51</v>
      </c>
    </row>
    <row r="838" spans="1:8" x14ac:dyDescent="0.2">
      <c r="A838" s="1186" t="s">
        <v>144</v>
      </c>
      <c r="B838" s="1186" t="s">
        <v>823</v>
      </c>
      <c r="C838" s="1186" t="s">
        <v>116</v>
      </c>
      <c r="D838" s="1186" t="s">
        <v>144</v>
      </c>
      <c r="E838" s="1186" t="s">
        <v>939</v>
      </c>
      <c r="F838" s="1186" t="s">
        <v>1983</v>
      </c>
      <c r="G838" s="1186" t="s">
        <v>1982</v>
      </c>
      <c r="H838" s="1186">
        <v>50</v>
      </c>
    </row>
    <row r="839" spans="1:8" x14ac:dyDescent="0.2">
      <c r="A839" s="1186" t="s">
        <v>144</v>
      </c>
      <c r="B839" s="1186" t="s">
        <v>823</v>
      </c>
      <c r="C839" s="1186" t="s">
        <v>116</v>
      </c>
      <c r="D839" s="1186" t="s">
        <v>144</v>
      </c>
      <c r="E839" s="1186" t="s">
        <v>940</v>
      </c>
      <c r="F839" s="1186" t="s">
        <v>1983</v>
      </c>
      <c r="G839" s="1186" t="s">
        <v>1984</v>
      </c>
      <c r="H839" s="1186">
        <v>63</v>
      </c>
    </row>
    <row r="840" spans="1:8" x14ac:dyDescent="0.2">
      <c r="A840" s="1186" t="s">
        <v>144</v>
      </c>
      <c r="B840" s="1186" t="s">
        <v>823</v>
      </c>
      <c r="C840" s="1186" t="s">
        <v>116</v>
      </c>
      <c r="D840" s="1186" t="s">
        <v>144</v>
      </c>
      <c r="E840" s="1186" t="s">
        <v>941</v>
      </c>
      <c r="F840" s="1186" t="s">
        <v>1983</v>
      </c>
      <c r="G840" s="1186" t="s">
        <v>1984</v>
      </c>
      <c r="H840" s="1186">
        <v>39</v>
      </c>
    </row>
    <row r="841" spans="1:8" x14ac:dyDescent="0.2">
      <c r="A841" s="1186" t="s">
        <v>144</v>
      </c>
      <c r="B841" s="1186" t="s">
        <v>823</v>
      </c>
      <c r="C841" s="1186" t="s">
        <v>116</v>
      </c>
      <c r="D841" s="1186" t="s">
        <v>144</v>
      </c>
      <c r="E841" s="1186" t="s">
        <v>942</v>
      </c>
      <c r="F841" s="1186" t="s">
        <v>1985</v>
      </c>
      <c r="G841" s="1186" t="s">
        <v>1984</v>
      </c>
      <c r="H841" s="1186">
        <v>38</v>
      </c>
    </row>
    <row r="842" spans="1:8" x14ac:dyDescent="0.2">
      <c r="A842" s="1186" t="s">
        <v>144</v>
      </c>
      <c r="B842" s="1186" t="s">
        <v>823</v>
      </c>
      <c r="C842" s="1186" t="s">
        <v>116</v>
      </c>
      <c r="D842" s="1186" t="s">
        <v>144</v>
      </c>
      <c r="E842" s="1186" t="s">
        <v>943</v>
      </c>
      <c r="F842" s="1186" t="s">
        <v>1985</v>
      </c>
      <c r="G842" s="1186" t="s">
        <v>1986</v>
      </c>
      <c r="H842" s="1186">
        <v>48</v>
      </c>
    </row>
    <row r="843" spans="1:8" x14ac:dyDescent="0.2">
      <c r="A843" s="1186" t="s">
        <v>144</v>
      </c>
      <c r="B843" s="1186" t="s">
        <v>823</v>
      </c>
      <c r="C843" s="1186" t="s">
        <v>116</v>
      </c>
      <c r="D843" s="1186" t="s">
        <v>144</v>
      </c>
      <c r="E843" s="1186" t="s">
        <v>944</v>
      </c>
      <c r="F843" s="1186" t="s">
        <v>1985</v>
      </c>
      <c r="G843" s="1186" t="s">
        <v>1986</v>
      </c>
      <c r="H843" s="1186">
        <v>57</v>
      </c>
    </row>
    <row r="844" spans="1:8" x14ac:dyDescent="0.2">
      <c r="A844" s="1186" t="s">
        <v>144</v>
      </c>
      <c r="B844" s="1186" t="s">
        <v>823</v>
      </c>
      <c r="C844" s="1186" t="s">
        <v>116</v>
      </c>
      <c r="D844" s="1186" t="s">
        <v>144</v>
      </c>
      <c r="E844" s="1186" t="s">
        <v>945</v>
      </c>
      <c r="F844" s="1186" t="s">
        <v>1987</v>
      </c>
      <c r="G844" s="1186" t="s">
        <v>1986</v>
      </c>
      <c r="H844" s="1186">
        <v>62</v>
      </c>
    </row>
    <row r="845" spans="1:8" x14ac:dyDescent="0.2">
      <c r="A845" s="1186" t="s">
        <v>144</v>
      </c>
      <c r="B845" s="1186" t="s">
        <v>823</v>
      </c>
      <c r="C845" s="1186" t="s">
        <v>116</v>
      </c>
      <c r="D845" s="1186" t="s">
        <v>144</v>
      </c>
      <c r="E845" s="1186" t="s">
        <v>946</v>
      </c>
      <c r="F845" s="1186" t="s">
        <v>1987</v>
      </c>
      <c r="G845" s="1186" t="s">
        <v>1988</v>
      </c>
      <c r="H845" s="1186">
        <v>51</v>
      </c>
    </row>
    <row r="846" spans="1:8" x14ac:dyDescent="0.2">
      <c r="A846" s="1186" t="s">
        <v>144</v>
      </c>
      <c r="B846" s="1186" t="s">
        <v>823</v>
      </c>
      <c r="C846" s="1186" t="s">
        <v>116</v>
      </c>
      <c r="D846" s="1186" t="s">
        <v>144</v>
      </c>
      <c r="E846" s="1186" t="s">
        <v>947</v>
      </c>
      <c r="F846" s="1186" t="s">
        <v>1987</v>
      </c>
      <c r="G846" s="1186" t="s">
        <v>1988</v>
      </c>
      <c r="H846" s="1186">
        <v>26</v>
      </c>
    </row>
    <row r="847" spans="1:8" x14ac:dyDescent="0.2">
      <c r="A847" s="1186" t="s">
        <v>144</v>
      </c>
      <c r="B847" s="1186" t="s">
        <v>823</v>
      </c>
      <c r="C847" s="1186" t="s">
        <v>116</v>
      </c>
      <c r="D847" s="1186" t="s">
        <v>144</v>
      </c>
      <c r="E847" s="1186" t="s">
        <v>948</v>
      </c>
      <c r="F847" s="1186" t="s">
        <v>1981</v>
      </c>
      <c r="G847" s="1186" t="s">
        <v>1988</v>
      </c>
      <c r="H847" s="1186">
        <v>57</v>
      </c>
    </row>
    <row r="848" spans="1:8" x14ac:dyDescent="0.2">
      <c r="A848" s="1186" t="s">
        <v>144</v>
      </c>
      <c r="B848" s="1186" t="s">
        <v>824</v>
      </c>
      <c r="C848" s="1186" t="s">
        <v>61</v>
      </c>
      <c r="D848" s="1186" t="s">
        <v>144</v>
      </c>
      <c r="E848" s="1186" t="s">
        <v>937</v>
      </c>
      <c r="F848" s="1186" t="s">
        <v>1981</v>
      </c>
      <c r="G848" s="1186" t="s">
        <v>1982</v>
      </c>
      <c r="H848" s="1186">
        <v>158</v>
      </c>
    </row>
    <row r="849" spans="1:8" x14ac:dyDescent="0.2">
      <c r="A849" s="1186" t="s">
        <v>144</v>
      </c>
      <c r="B849" s="1186" t="s">
        <v>824</v>
      </c>
      <c r="C849" s="1186" t="s">
        <v>61</v>
      </c>
      <c r="D849" s="1186" t="s">
        <v>144</v>
      </c>
      <c r="E849" s="1186" t="s">
        <v>938</v>
      </c>
      <c r="F849" s="1186" t="s">
        <v>1981</v>
      </c>
      <c r="G849" s="1186" t="s">
        <v>1982</v>
      </c>
      <c r="H849" s="1186">
        <v>140</v>
      </c>
    </row>
    <row r="850" spans="1:8" x14ac:dyDescent="0.2">
      <c r="A850" s="1186" t="s">
        <v>144</v>
      </c>
      <c r="B850" s="1186" t="s">
        <v>824</v>
      </c>
      <c r="C850" s="1186" t="s">
        <v>61</v>
      </c>
      <c r="D850" s="1186" t="s">
        <v>144</v>
      </c>
      <c r="E850" s="1186" t="s">
        <v>939</v>
      </c>
      <c r="F850" s="1186" t="s">
        <v>1983</v>
      </c>
      <c r="G850" s="1186" t="s">
        <v>1982</v>
      </c>
      <c r="H850" s="1186">
        <v>174</v>
      </c>
    </row>
    <row r="851" spans="1:8" x14ac:dyDescent="0.2">
      <c r="A851" s="1186" t="s">
        <v>144</v>
      </c>
      <c r="B851" s="1186" t="s">
        <v>824</v>
      </c>
      <c r="C851" s="1186" t="s">
        <v>61</v>
      </c>
      <c r="D851" s="1186" t="s">
        <v>144</v>
      </c>
      <c r="E851" s="1186" t="s">
        <v>940</v>
      </c>
      <c r="F851" s="1186" t="s">
        <v>1983</v>
      </c>
      <c r="G851" s="1186" t="s">
        <v>1984</v>
      </c>
      <c r="H851" s="1186">
        <v>156</v>
      </c>
    </row>
    <row r="852" spans="1:8" x14ac:dyDescent="0.2">
      <c r="A852" s="1186" t="s">
        <v>144</v>
      </c>
      <c r="B852" s="1186" t="s">
        <v>824</v>
      </c>
      <c r="C852" s="1186" t="s">
        <v>61</v>
      </c>
      <c r="D852" s="1186" t="s">
        <v>144</v>
      </c>
      <c r="E852" s="1186" t="s">
        <v>941</v>
      </c>
      <c r="F852" s="1186" t="s">
        <v>1983</v>
      </c>
      <c r="G852" s="1186" t="s">
        <v>1984</v>
      </c>
      <c r="H852" s="1186">
        <v>169</v>
      </c>
    </row>
    <row r="853" spans="1:8" x14ac:dyDescent="0.2">
      <c r="A853" s="1186" t="s">
        <v>144</v>
      </c>
      <c r="B853" s="1186" t="s">
        <v>824</v>
      </c>
      <c r="C853" s="1186" t="s">
        <v>61</v>
      </c>
      <c r="D853" s="1186" t="s">
        <v>144</v>
      </c>
      <c r="E853" s="1186" t="s">
        <v>942</v>
      </c>
      <c r="F853" s="1186" t="s">
        <v>1985</v>
      </c>
      <c r="G853" s="1186" t="s">
        <v>1984</v>
      </c>
      <c r="H853" s="1186">
        <v>164</v>
      </c>
    </row>
    <row r="854" spans="1:8" x14ac:dyDescent="0.2">
      <c r="A854" s="1186" t="s">
        <v>144</v>
      </c>
      <c r="B854" s="1186" t="s">
        <v>824</v>
      </c>
      <c r="C854" s="1186" t="s">
        <v>61</v>
      </c>
      <c r="D854" s="1186" t="s">
        <v>144</v>
      </c>
      <c r="E854" s="1186" t="s">
        <v>943</v>
      </c>
      <c r="F854" s="1186" t="s">
        <v>1985</v>
      </c>
      <c r="G854" s="1186" t="s">
        <v>1986</v>
      </c>
      <c r="H854" s="1186">
        <v>153</v>
      </c>
    </row>
    <row r="855" spans="1:8" x14ac:dyDescent="0.2">
      <c r="A855" s="1186" t="s">
        <v>144</v>
      </c>
      <c r="B855" s="1186" t="s">
        <v>824</v>
      </c>
      <c r="C855" s="1186" t="s">
        <v>61</v>
      </c>
      <c r="D855" s="1186" t="s">
        <v>144</v>
      </c>
      <c r="E855" s="1186" t="s">
        <v>944</v>
      </c>
      <c r="F855" s="1186" t="s">
        <v>1985</v>
      </c>
      <c r="G855" s="1186" t="s">
        <v>1986</v>
      </c>
      <c r="H855" s="1186">
        <v>148</v>
      </c>
    </row>
    <row r="856" spans="1:8" x14ac:dyDescent="0.2">
      <c r="A856" s="1186" t="s">
        <v>144</v>
      </c>
      <c r="B856" s="1186" t="s">
        <v>824</v>
      </c>
      <c r="C856" s="1186" t="s">
        <v>61</v>
      </c>
      <c r="D856" s="1186" t="s">
        <v>144</v>
      </c>
      <c r="E856" s="1186" t="s">
        <v>945</v>
      </c>
      <c r="F856" s="1186" t="s">
        <v>1987</v>
      </c>
      <c r="G856" s="1186" t="s">
        <v>1986</v>
      </c>
      <c r="H856" s="1186">
        <v>149</v>
      </c>
    </row>
    <row r="857" spans="1:8" x14ac:dyDescent="0.2">
      <c r="A857" s="1186" t="s">
        <v>144</v>
      </c>
      <c r="B857" s="1186" t="s">
        <v>824</v>
      </c>
      <c r="C857" s="1186" t="s">
        <v>61</v>
      </c>
      <c r="D857" s="1186" t="s">
        <v>144</v>
      </c>
      <c r="E857" s="1186" t="s">
        <v>946</v>
      </c>
      <c r="F857" s="1186" t="s">
        <v>1987</v>
      </c>
      <c r="G857" s="1186" t="s">
        <v>1988</v>
      </c>
      <c r="H857" s="1186">
        <v>117</v>
      </c>
    </row>
    <row r="858" spans="1:8" x14ac:dyDescent="0.2">
      <c r="A858" s="1186" t="s">
        <v>144</v>
      </c>
      <c r="B858" s="1186" t="s">
        <v>824</v>
      </c>
      <c r="C858" s="1186" t="s">
        <v>61</v>
      </c>
      <c r="D858" s="1186" t="s">
        <v>144</v>
      </c>
      <c r="E858" s="1186" t="s">
        <v>947</v>
      </c>
      <c r="F858" s="1186" t="s">
        <v>1987</v>
      </c>
      <c r="G858" s="1186" t="s">
        <v>1988</v>
      </c>
      <c r="H858" s="1186">
        <v>151</v>
      </c>
    </row>
    <row r="859" spans="1:8" x14ac:dyDescent="0.2">
      <c r="A859" s="1186" t="s">
        <v>144</v>
      </c>
      <c r="B859" s="1186" t="s">
        <v>824</v>
      </c>
      <c r="C859" s="1186" t="s">
        <v>61</v>
      </c>
      <c r="D859" s="1186" t="s">
        <v>144</v>
      </c>
      <c r="E859" s="1186" t="s">
        <v>948</v>
      </c>
      <c r="F859" s="1186" t="s">
        <v>1981</v>
      </c>
      <c r="G859" s="1186" t="s">
        <v>1988</v>
      </c>
      <c r="H859" s="1186">
        <v>171</v>
      </c>
    </row>
    <row r="860" spans="1:8" x14ac:dyDescent="0.2">
      <c r="A860" s="1186" t="s">
        <v>144</v>
      </c>
      <c r="B860" s="1186" t="s">
        <v>824</v>
      </c>
      <c r="C860" s="1186" t="s">
        <v>116</v>
      </c>
      <c r="D860" s="1186" t="s">
        <v>144</v>
      </c>
      <c r="E860" s="1186" t="s">
        <v>937</v>
      </c>
      <c r="F860" s="1186" t="s">
        <v>1981</v>
      </c>
      <c r="G860" s="1186" t="s">
        <v>1982</v>
      </c>
      <c r="H860" s="1186">
        <v>57</v>
      </c>
    </row>
    <row r="861" spans="1:8" x14ac:dyDescent="0.2">
      <c r="A861" s="1186" t="s">
        <v>144</v>
      </c>
      <c r="B861" s="1186" t="s">
        <v>824</v>
      </c>
      <c r="C861" s="1186" t="s">
        <v>116</v>
      </c>
      <c r="D861" s="1186" t="s">
        <v>144</v>
      </c>
      <c r="E861" s="1186" t="s">
        <v>938</v>
      </c>
      <c r="F861" s="1186" t="s">
        <v>1981</v>
      </c>
      <c r="G861" s="1186" t="s">
        <v>1982</v>
      </c>
      <c r="H861" s="1186">
        <v>64</v>
      </c>
    </row>
    <row r="862" spans="1:8" x14ac:dyDescent="0.2">
      <c r="A862" s="1186" t="s">
        <v>144</v>
      </c>
      <c r="B862" s="1186" t="s">
        <v>824</v>
      </c>
      <c r="C862" s="1186" t="s">
        <v>116</v>
      </c>
      <c r="D862" s="1186" t="s">
        <v>144</v>
      </c>
      <c r="E862" s="1186" t="s">
        <v>939</v>
      </c>
      <c r="F862" s="1186" t="s">
        <v>1983</v>
      </c>
      <c r="G862" s="1186" t="s">
        <v>1982</v>
      </c>
      <c r="H862" s="1186">
        <v>56</v>
      </c>
    </row>
    <row r="863" spans="1:8" x14ac:dyDescent="0.2">
      <c r="A863" s="1186" t="s">
        <v>144</v>
      </c>
      <c r="B863" s="1186" t="s">
        <v>824</v>
      </c>
      <c r="C863" s="1186" t="s">
        <v>116</v>
      </c>
      <c r="D863" s="1186" t="s">
        <v>144</v>
      </c>
      <c r="E863" s="1186" t="s">
        <v>940</v>
      </c>
      <c r="F863" s="1186" t="s">
        <v>1983</v>
      </c>
      <c r="G863" s="1186" t="s">
        <v>1984</v>
      </c>
      <c r="H863" s="1186">
        <v>54</v>
      </c>
    </row>
    <row r="864" spans="1:8" x14ac:dyDescent="0.2">
      <c r="A864" s="1186" t="s">
        <v>144</v>
      </c>
      <c r="B864" s="1186" t="s">
        <v>824</v>
      </c>
      <c r="C864" s="1186" t="s">
        <v>116</v>
      </c>
      <c r="D864" s="1186" t="s">
        <v>144</v>
      </c>
      <c r="E864" s="1186" t="s">
        <v>941</v>
      </c>
      <c r="F864" s="1186" t="s">
        <v>1983</v>
      </c>
      <c r="G864" s="1186" t="s">
        <v>1984</v>
      </c>
      <c r="H864" s="1186">
        <v>72</v>
      </c>
    </row>
    <row r="865" spans="1:8" x14ac:dyDescent="0.2">
      <c r="A865" s="1186" t="s">
        <v>144</v>
      </c>
      <c r="B865" s="1186" t="s">
        <v>824</v>
      </c>
      <c r="C865" s="1186" t="s">
        <v>116</v>
      </c>
      <c r="D865" s="1186" t="s">
        <v>144</v>
      </c>
      <c r="E865" s="1186" t="s">
        <v>942</v>
      </c>
      <c r="F865" s="1186" t="s">
        <v>1985</v>
      </c>
      <c r="G865" s="1186" t="s">
        <v>1984</v>
      </c>
      <c r="H865" s="1186">
        <v>67</v>
      </c>
    </row>
    <row r="866" spans="1:8" x14ac:dyDescent="0.2">
      <c r="A866" s="1186" t="s">
        <v>144</v>
      </c>
      <c r="B866" s="1186" t="s">
        <v>824</v>
      </c>
      <c r="C866" s="1186" t="s">
        <v>116</v>
      </c>
      <c r="D866" s="1186" t="s">
        <v>144</v>
      </c>
      <c r="E866" s="1186" t="s">
        <v>943</v>
      </c>
      <c r="F866" s="1186" t="s">
        <v>1985</v>
      </c>
      <c r="G866" s="1186" t="s">
        <v>1986</v>
      </c>
      <c r="H866" s="1186">
        <v>55</v>
      </c>
    </row>
    <row r="867" spans="1:8" x14ac:dyDescent="0.2">
      <c r="A867" s="1186" t="s">
        <v>144</v>
      </c>
      <c r="B867" s="1186" t="s">
        <v>824</v>
      </c>
      <c r="C867" s="1186" t="s">
        <v>116</v>
      </c>
      <c r="D867" s="1186" t="s">
        <v>144</v>
      </c>
      <c r="E867" s="1186" t="s">
        <v>944</v>
      </c>
      <c r="F867" s="1186" t="s">
        <v>1985</v>
      </c>
      <c r="G867" s="1186" t="s">
        <v>1986</v>
      </c>
      <c r="H867" s="1186">
        <v>48</v>
      </c>
    </row>
    <row r="868" spans="1:8" x14ac:dyDescent="0.2">
      <c r="A868" s="1186" t="s">
        <v>144</v>
      </c>
      <c r="B868" s="1186" t="s">
        <v>824</v>
      </c>
      <c r="C868" s="1186" t="s">
        <v>116</v>
      </c>
      <c r="D868" s="1186" t="s">
        <v>144</v>
      </c>
      <c r="E868" s="1186" t="s">
        <v>945</v>
      </c>
      <c r="F868" s="1186" t="s">
        <v>1987</v>
      </c>
      <c r="G868" s="1186" t="s">
        <v>1986</v>
      </c>
      <c r="H868" s="1186">
        <v>43</v>
      </c>
    </row>
    <row r="869" spans="1:8" x14ac:dyDescent="0.2">
      <c r="A869" s="1186" t="s">
        <v>144</v>
      </c>
      <c r="B869" s="1186" t="s">
        <v>824</v>
      </c>
      <c r="C869" s="1186" t="s">
        <v>116</v>
      </c>
      <c r="D869" s="1186" t="s">
        <v>144</v>
      </c>
      <c r="E869" s="1186" t="s">
        <v>946</v>
      </c>
      <c r="F869" s="1186" t="s">
        <v>1987</v>
      </c>
      <c r="G869" s="1186" t="s">
        <v>1988</v>
      </c>
      <c r="H869" s="1186">
        <v>38</v>
      </c>
    </row>
    <row r="870" spans="1:8" x14ac:dyDescent="0.2">
      <c r="A870" s="1186" t="s">
        <v>144</v>
      </c>
      <c r="B870" s="1186" t="s">
        <v>824</v>
      </c>
      <c r="C870" s="1186" t="s">
        <v>116</v>
      </c>
      <c r="D870" s="1186" t="s">
        <v>144</v>
      </c>
      <c r="E870" s="1186" t="s">
        <v>947</v>
      </c>
      <c r="F870" s="1186" t="s">
        <v>1987</v>
      </c>
      <c r="G870" s="1186" t="s">
        <v>1988</v>
      </c>
      <c r="H870" s="1186">
        <v>44</v>
      </c>
    </row>
    <row r="871" spans="1:8" x14ac:dyDescent="0.2">
      <c r="A871" s="1186" t="s">
        <v>144</v>
      </c>
      <c r="B871" s="1186" t="s">
        <v>824</v>
      </c>
      <c r="C871" s="1186" t="s">
        <v>116</v>
      </c>
      <c r="D871" s="1186" t="s">
        <v>144</v>
      </c>
      <c r="E871" s="1186" t="s">
        <v>948</v>
      </c>
      <c r="F871" s="1186" t="s">
        <v>1981</v>
      </c>
      <c r="G871" s="1186" t="s">
        <v>1988</v>
      </c>
      <c r="H871" s="1186">
        <v>46</v>
      </c>
    </row>
    <row r="872" spans="1:8" x14ac:dyDescent="0.2">
      <c r="A872" s="1186" t="s">
        <v>144</v>
      </c>
      <c r="B872" s="1186" t="s">
        <v>825</v>
      </c>
      <c r="C872" s="1186" t="s">
        <v>61</v>
      </c>
      <c r="D872" s="1186" t="s">
        <v>144</v>
      </c>
      <c r="E872" s="1186" t="s">
        <v>937</v>
      </c>
      <c r="F872" s="1186" t="s">
        <v>1981</v>
      </c>
      <c r="G872" s="1186" t="s">
        <v>1982</v>
      </c>
      <c r="H872" s="1186">
        <v>104</v>
      </c>
    </row>
    <row r="873" spans="1:8" x14ac:dyDescent="0.2">
      <c r="A873" s="1186" t="s">
        <v>144</v>
      </c>
      <c r="B873" s="1186" t="s">
        <v>825</v>
      </c>
      <c r="C873" s="1186" t="s">
        <v>61</v>
      </c>
      <c r="D873" s="1186" t="s">
        <v>144</v>
      </c>
      <c r="E873" s="1186" t="s">
        <v>938</v>
      </c>
      <c r="F873" s="1186" t="s">
        <v>1981</v>
      </c>
      <c r="G873" s="1186" t="s">
        <v>1982</v>
      </c>
      <c r="H873" s="1186">
        <v>91</v>
      </c>
    </row>
    <row r="874" spans="1:8" x14ac:dyDescent="0.2">
      <c r="A874" s="1186" t="s">
        <v>144</v>
      </c>
      <c r="B874" s="1186" t="s">
        <v>825</v>
      </c>
      <c r="C874" s="1186" t="s">
        <v>61</v>
      </c>
      <c r="D874" s="1186" t="s">
        <v>144</v>
      </c>
      <c r="E874" s="1186" t="s">
        <v>939</v>
      </c>
      <c r="F874" s="1186" t="s">
        <v>1983</v>
      </c>
      <c r="G874" s="1186" t="s">
        <v>1982</v>
      </c>
      <c r="H874" s="1186">
        <v>106</v>
      </c>
    </row>
    <row r="875" spans="1:8" x14ac:dyDescent="0.2">
      <c r="A875" s="1186" t="s">
        <v>144</v>
      </c>
      <c r="B875" s="1186" t="s">
        <v>825</v>
      </c>
      <c r="C875" s="1186" t="s">
        <v>61</v>
      </c>
      <c r="D875" s="1186" t="s">
        <v>144</v>
      </c>
      <c r="E875" s="1186" t="s">
        <v>940</v>
      </c>
      <c r="F875" s="1186" t="s">
        <v>1983</v>
      </c>
      <c r="G875" s="1186" t="s">
        <v>1984</v>
      </c>
      <c r="H875" s="1186">
        <v>82</v>
      </c>
    </row>
    <row r="876" spans="1:8" x14ac:dyDescent="0.2">
      <c r="A876" s="1186" t="s">
        <v>144</v>
      </c>
      <c r="B876" s="1186" t="s">
        <v>825</v>
      </c>
      <c r="C876" s="1186" t="s">
        <v>61</v>
      </c>
      <c r="D876" s="1186" t="s">
        <v>144</v>
      </c>
      <c r="E876" s="1186" t="s">
        <v>941</v>
      </c>
      <c r="F876" s="1186" t="s">
        <v>1983</v>
      </c>
      <c r="G876" s="1186" t="s">
        <v>1984</v>
      </c>
      <c r="H876" s="1186">
        <v>114</v>
      </c>
    </row>
    <row r="877" spans="1:8" x14ac:dyDescent="0.2">
      <c r="A877" s="1186" t="s">
        <v>144</v>
      </c>
      <c r="B877" s="1186" t="s">
        <v>825</v>
      </c>
      <c r="C877" s="1186" t="s">
        <v>61</v>
      </c>
      <c r="D877" s="1186" t="s">
        <v>144</v>
      </c>
      <c r="E877" s="1186" t="s">
        <v>942</v>
      </c>
      <c r="F877" s="1186" t="s">
        <v>1985</v>
      </c>
      <c r="G877" s="1186" t="s">
        <v>1984</v>
      </c>
      <c r="H877" s="1186">
        <v>111</v>
      </c>
    </row>
    <row r="878" spans="1:8" x14ac:dyDescent="0.2">
      <c r="A878" s="1186" t="s">
        <v>144</v>
      </c>
      <c r="B878" s="1186" t="s">
        <v>825</v>
      </c>
      <c r="C878" s="1186" t="s">
        <v>61</v>
      </c>
      <c r="D878" s="1186" t="s">
        <v>144</v>
      </c>
      <c r="E878" s="1186" t="s">
        <v>943</v>
      </c>
      <c r="F878" s="1186" t="s">
        <v>1985</v>
      </c>
      <c r="G878" s="1186" t="s">
        <v>1986</v>
      </c>
      <c r="H878" s="1186">
        <v>85</v>
      </c>
    </row>
    <row r="879" spans="1:8" x14ac:dyDescent="0.2">
      <c r="A879" s="1186" t="s">
        <v>144</v>
      </c>
      <c r="B879" s="1186" t="s">
        <v>825</v>
      </c>
      <c r="C879" s="1186" t="s">
        <v>61</v>
      </c>
      <c r="D879" s="1186" t="s">
        <v>144</v>
      </c>
      <c r="E879" s="1186" t="s">
        <v>944</v>
      </c>
      <c r="F879" s="1186" t="s">
        <v>1985</v>
      </c>
      <c r="G879" s="1186" t="s">
        <v>1986</v>
      </c>
      <c r="H879" s="1186">
        <v>79</v>
      </c>
    </row>
    <row r="880" spans="1:8" x14ac:dyDescent="0.2">
      <c r="A880" s="1186" t="s">
        <v>144</v>
      </c>
      <c r="B880" s="1186" t="s">
        <v>825</v>
      </c>
      <c r="C880" s="1186" t="s">
        <v>61</v>
      </c>
      <c r="D880" s="1186" t="s">
        <v>144</v>
      </c>
      <c r="E880" s="1186" t="s">
        <v>945</v>
      </c>
      <c r="F880" s="1186" t="s">
        <v>1987</v>
      </c>
      <c r="G880" s="1186" t="s">
        <v>1986</v>
      </c>
      <c r="H880" s="1186">
        <v>89</v>
      </c>
    </row>
    <row r="881" spans="1:8" x14ac:dyDescent="0.2">
      <c r="A881" s="1186" t="s">
        <v>144</v>
      </c>
      <c r="B881" s="1186" t="s">
        <v>825</v>
      </c>
      <c r="C881" s="1186" t="s">
        <v>61</v>
      </c>
      <c r="D881" s="1186" t="s">
        <v>144</v>
      </c>
      <c r="E881" s="1186" t="s">
        <v>946</v>
      </c>
      <c r="F881" s="1186" t="s">
        <v>1987</v>
      </c>
      <c r="G881" s="1186" t="s">
        <v>1988</v>
      </c>
      <c r="H881" s="1186">
        <v>106</v>
      </c>
    </row>
    <row r="882" spans="1:8" x14ac:dyDescent="0.2">
      <c r="A882" s="1186" t="s">
        <v>144</v>
      </c>
      <c r="B882" s="1186" t="s">
        <v>825</v>
      </c>
      <c r="C882" s="1186" t="s">
        <v>61</v>
      </c>
      <c r="D882" s="1186" t="s">
        <v>144</v>
      </c>
      <c r="E882" s="1186" t="s">
        <v>947</v>
      </c>
      <c r="F882" s="1186" t="s">
        <v>1987</v>
      </c>
      <c r="G882" s="1186" t="s">
        <v>1988</v>
      </c>
      <c r="H882" s="1186">
        <v>99</v>
      </c>
    </row>
    <row r="883" spans="1:8" x14ac:dyDescent="0.2">
      <c r="A883" s="1186" t="s">
        <v>144</v>
      </c>
      <c r="B883" s="1186" t="s">
        <v>825</v>
      </c>
      <c r="C883" s="1186" t="s">
        <v>61</v>
      </c>
      <c r="D883" s="1186" t="s">
        <v>144</v>
      </c>
      <c r="E883" s="1186" t="s">
        <v>948</v>
      </c>
      <c r="F883" s="1186" t="s">
        <v>1981</v>
      </c>
      <c r="G883" s="1186" t="s">
        <v>1988</v>
      </c>
      <c r="H883" s="1186">
        <v>99</v>
      </c>
    </row>
    <row r="884" spans="1:8" x14ac:dyDescent="0.2">
      <c r="A884" s="1186" t="s">
        <v>144</v>
      </c>
      <c r="B884" s="1186" t="s">
        <v>825</v>
      </c>
      <c r="C884" s="1186" t="s">
        <v>116</v>
      </c>
      <c r="D884" s="1186" t="s">
        <v>144</v>
      </c>
      <c r="E884" s="1186" t="s">
        <v>937</v>
      </c>
      <c r="F884" s="1186" t="s">
        <v>1981</v>
      </c>
      <c r="G884" s="1186" t="s">
        <v>1982</v>
      </c>
      <c r="H884" s="1186">
        <v>65</v>
      </c>
    </row>
    <row r="885" spans="1:8" x14ac:dyDescent="0.2">
      <c r="A885" s="1186" t="s">
        <v>144</v>
      </c>
      <c r="B885" s="1186" t="s">
        <v>825</v>
      </c>
      <c r="C885" s="1186" t="s">
        <v>116</v>
      </c>
      <c r="D885" s="1186" t="s">
        <v>144</v>
      </c>
      <c r="E885" s="1186" t="s">
        <v>938</v>
      </c>
      <c r="F885" s="1186" t="s">
        <v>1981</v>
      </c>
      <c r="G885" s="1186" t="s">
        <v>1982</v>
      </c>
      <c r="H885" s="1186">
        <v>69</v>
      </c>
    </row>
    <row r="886" spans="1:8" x14ac:dyDescent="0.2">
      <c r="A886" s="1186" t="s">
        <v>144</v>
      </c>
      <c r="B886" s="1186" t="s">
        <v>825</v>
      </c>
      <c r="C886" s="1186" t="s">
        <v>116</v>
      </c>
      <c r="D886" s="1186" t="s">
        <v>144</v>
      </c>
      <c r="E886" s="1186" t="s">
        <v>939</v>
      </c>
      <c r="F886" s="1186" t="s">
        <v>1983</v>
      </c>
      <c r="G886" s="1186" t="s">
        <v>1982</v>
      </c>
      <c r="H886" s="1186">
        <v>68</v>
      </c>
    </row>
    <row r="887" spans="1:8" x14ac:dyDescent="0.2">
      <c r="A887" s="1186" t="s">
        <v>144</v>
      </c>
      <c r="B887" s="1186" t="s">
        <v>825</v>
      </c>
      <c r="C887" s="1186" t="s">
        <v>116</v>
      </c>
      <c r="D887" s="1186" t="s">
        <v>144</v>
      </c>
      <c r="E887" s="1186" t="s">
        <v>940</v>
      </c>
      <c r="F887" s="1186" t="s">
        <v>1983</v>
      </c>
      <c r="G887" s="1186" t="s">
        <v>1984</v>
      </c>
      <c r="H887" s="1186">
        <v>70</v>
      </c>
    </row>
    <row r="888" spans="1:8" x14ac:dyDescent="0.2">
      <c r="A888" s="1186" t="s">
        <v>144</v>
      </c>
      <c r="B888" s="1186" t="s">
        <v>825</v>
      </c>
      <c r="C888" s="1186" t="s">
        <v>116</v>
      </c>
      <c r="D888" s="1186" t="s">
        <v>144</v>
      </c>
      <c r="E888" s="1186" t="s">
        <v>941</v>
      </c>
      <c r="F888" s="1186" t="s">
        <v>1983</v>
      </c>
      <c r="G888" s="1186" t="s">
        <v>1984</v>
      </c>
      <c r="H888" s="1186">
        <v>74</v>
      </c>
    </row>
    <row r="889" spans="1:8" x14ac:dyDescent="0.2">
      <c r="A889" s="1186" t="s">
        <v>144</v>
      </c>
      <c r="B889" s="1186" t="s">
        <v>825</v>
      </c>
      <c r="C889" s="1186" t="s">
        <v>116</v>
      </c>
      <c r="D889" s="1186" t="s">
        <v>144</v>
      </c>
      <c r="E889" s="1186" t="s">
        <v>942</v>
      </c>
      <c r="F889" s="1186" t="s">
        <v>1985</v>
      </c>
      <c r="G889" s="1186" t="s">
        <v>1984</v>
      </c>
      <c r="H889" s="1186">
        <v>70</v>
      </c>
    </row>
    <row r="890" spans="1:8" x14ac:dyDescent="0.2">
      <c r="A890" s="1186" t="s">
        <v>144</v>
      </c>
      <c r="B890" s="1186" t="s">
        <v>825</v>
      </c>
      <c r="C890" s="1186" t="s">
        <v>116</v>
      </c>
      <c r="D890" s="1186" t="s">
        <v>144</v>
      </c>
      <c r="E890" s="1186" t="s">
        <v>943</v>
      </c>
      <c r="F890" s="1186" t="s">
        <v>1985</v>
      </c>
      <c r="G890" s="1186" t="s">
        <v>1986</v>
      </c>
      <c r="H890" s="1186">
        <v>63</v>
      </c>
    </row>
    <row r="891" spans="1:8" x14ac:dyDescent="0.2">
      <c r="A891" s="1186" t="s">
        <v>144</v>
      </c>
      <c r="B891" s="1186" t="s">
        <v>825</v>
      </c>
      <c r="C891" s="1186" t="s">
        <v>116</v>
      </c>
      <c r="D891" s="1186" t="s">
        <v>144</v>
      </c>
      <c r="E891" s="1186" t="s">
        <v>944</v>
      </c>
      <c r="F891" s="1186" t="s">
        <v>1985</v>
      </c>
      <c r="G891" s="1186" t="s">
        <v>1986</v>
      </c>
      <c r="H891" s="1186">
        <v>75</v>
      </c>
    </row>
    <row r="892" spans="1:8" x14ac:dyDescent="0.2">
      <c r="A892" s="1186" t="s">
        <v>144</v>
      </c>
      <c r="B892" s="1186" t="s">
        <v>825</v>
      </c>
      <c r="C892" s="1186" t="s">
        <v>116</v>
      </c>
      <c r="D892" s="1186" t="s">
        <v>144</v>
      </c>
      <c r="E892" s="1186" t="s">
        <v>945</v>
      </c>
      <c r="F892" s="1186" t="s">
        <v>1987</v>
      </c>
      <c r="G892" s="1186" t="s">
        <v>1986</v>
      </c>
      <c r="H892" s="1186">
        <v>63</v>
      </c>
    </row>
    <row r="893" spans="1:8" x14ac:dyDescent="0.2">
      <c r="A893" s="1186" t="s">
        <v>144</v>
      </c>
      <c r="B893" s="1186" t="s">
        <v>825</v>
      </c>
      <c r="C893" s="1186" t="s">
        <v>116</v>
      </c>
      <c r="D893" s="1186" t="s">
        <v>144</v>
      </c>
      <c r="E893" s="1186" t="s">
        <v>946</v>
      </c>
      <c r="F893" s="1186" t="s">
        <v>1987</v>
      </c>
      <c r="G893" s="1186" t="s">
        <v>1988</v>
      </c>
      <c r="H893" s="1186">
        <v>54</v>
      </c>
    </row>
    <row r="894" spans="1:8" x14ac:dyDescent="0.2">
      <c r="A894" s="1186" t="s">
        <v>144</v>
      </c>
      <c r="B894" s="1186" t="s">
        <v>825</v>
      </c>
      <c r="C894" s="1186" t="s">
        <v>116</v>
      </c>
      <c r="D894" s="1186" t="s">
        <v>144</v>
      </c>
      <c r="E894" s="1186" t="s">
        <v>947</v>
      </c>
      <c r="F894" s="1186" t="s">
        <v>1987</v>
      </c>
      <c r="G894" s="1186" t="s">
        <v>1988</v>
      </c>
      <c r="H894" s="1186">
        <v>55</v>
      </c>
    </row>
    <row r="895" spans="1:8" x14ac:dyDescent="0.2">
      <c r="A895" s="1186" t="s">
        <v>144</v>
      </c>
      <c r="B895" s="1186" t="s">
        <v>825</v>
      </c>
      <c r="C895" s="1186" t="s">
        <v>116</v>
      </c>
      <c r="D895" s="1186" t="s">
        <v>144</v>
      </c>
      <c r="E895" s="1186" t="s">
        <v>948</v>
      </c>
      <c r="F895" s="1186" t="s">
        <v>1981</v>
      </c>
      <c r="G895" s="1186" t="s">
        <v>1988</v>
      </c>
      <c r="H895" s="1186">
        <v>74</v>
      </c>
    </row>
    <row r="896" spans="1:8" x14ac:dyDescent="0.2">
      <c r="A896" s="1186" t="s">
        <v>144</v>
      </c>
      <c r="B896" s="1186" t="s">
        <v>826</v>
      </c>
      <c r="C896" s="1186" t="s">
        <v>61</v>
      </c>
      <c r="D896" s="1186" t="s">
        <v>144</v>
      </c>
      <c r="E896" s="1186" t="s">
        <v>937</v>
      </c>
      <c r="F896" s="1186" t="s">
        <v>1981</v>
      </c>
      <c r="G896" s="1186" t="s">
        <v>1982</v>
      </c>
      <c r="H896" s="1186">
        <v>30</v>
      </c>
    </row>
    <row r="897" spans="1:8" x14ac:dyDescent="0.2">
      <c r="A897" s="1186" t="s">
        <v>144</v>
      </c>
      <c r="B897" s="1186" t="s">
        <v>826</v>
      </c>
      <c r="C897" s="1186" t="s">
        <v>61</v>
      </c>
      <c r="D897" s="1186" t="s">
        <v>144</v>
      </c>
      <c r="E897" s="1186" t="s">
        <v>938</v>
      </c>
      <c r="F897" s="1186" t="s">
        <v>1981</v>
      </c>
      <c r="G897" s="1186" t="s">
        <v>1982</v>
      </c>
      <c r="H897" s="1186">
        <v>31</v>
      </c>
    </row>
    <row r="898" spans="1:8" x14ac:dyDescent="0.2">
      <c r="A898" s="1186" t="s">
        <v>144</v>
      </c>
      <c r="B898" s="1186" t="s">
        <v>826</v>
      </c>
      <c r="C898" s="1186" t="s">
        <v>61</v>
      </c>
      <c r="D898" s="1186" t="s">
        <v>144</v>
      </c>
      <c r="E898" s="1186" t="s">
        <v>939</v>
      </c>
      <c r="F898" s="1186" t="s">
        <v>1983</v>
      </c>
      <c r="G898" s="1186" t="s">
        <v>1982</v>
      </c>
      <c r="H898" s="1186">
        <v>29</v>
      </c>
    </row>
    <row r="899" spans="1:8" x14ac:dyDescent="0.2">
      <c r="A899" s="1186" t="s">
        <v>144</v>
      </c>
      <c r="B899" s="1186" t="s">
        <v>826</v>
      </c>
      <c r="C899" s="1186" t="s">
        <v>61</v>
      </c>
      <c r="D899" s="1186" t="s">
        <v>144</v>
      </c>
      <c r="E899" s="1186" t="s">
        <v>940</v>
      </c>
      <c r="F899" s="1186" t="s">
        <v>1983</v>
      </c>
      <c r="G899" s="1186" t="s">
        <v>1984</v>
      </c>
      <c r="H899" s="1186">
        <v>31</v>
      </c>
    </row>
    <row r="900" spans="1:8" x14ac:dyDescent="0.2">
      <c r="A900" s="1186" t="s">
        <v>144</v>
      </c>
      <c r="B900" s="1186" t="s">
        <v>826</v>
      </c>
      <c r="C900" s="1186" t="s">
        <v>61</v>
      </c>
      <c r="D900" s="1186" t="s">
        <v>144</v>
      </c>
      <c r="E900" s="1186" t="s">
        <v>941</v>
      </c>
      <c r="F900" s="1186" t="s">
        <v>1983</v>
      </c>
      <c r="G900" s="1186" t="s">
        <v>1984</v>
      </c>
      <c r="H900" s="1186">
        <v>39</v>
      </c>
    </row>
    <row r="901" spans="1:8" x14ac:dyDescent="0.2">
      <c r="A901" s="1186" t="s">
        <v>144</v>
      </c>
      <c r="B901" s="1186" t="s">
        <v>826</v>
      </c>
      <c r="C901" s="1186" t="s">
        <v>61</v>
      </c>
      <c r="D901" s="1186" t="s">
        <v>144</v>
      </c>
      <c r="E901" s="1186" t="s">
        <v>942</v>
      </c>
      <c r="F901" s="1186" t="s">
        <v>1985</v>
      </c>
      <c r="G901" s="1186" t="s">
        <v>1984</v>
      </c>
      <c r="H901" s="1186">
        <v>50</v>
      </c>
    </row>
    <row r="902" spans="1:8" x14ac:dyDescent="0.2">
      <c r="A902" s="1186" t="s">
        <v>144</v>
      </c>
      <c r="B902" s="1186" t="s">
        <v>826</v>
      </c>
      <c r="C902" s="1186" t="s">
        <v>61</v>
      </c>
      <c r="D902" s="1186" t="s">
        <v>144</v>
      </c>
      <c r="E902" s="1186" t="s">
        <v>943</v>
      </c>
      <c r="F902" s="1186" t="s">
        <v>1985</v>
      </c>
      <c r="G902" s="1186" t="s">
        <v>1986</v>
      </c>
      <c r="H902" s="1186">
        <v>34</v>
      </c>
    </row>
    <row r="903" spans="1:8" x14ac:dyDescent="0.2">
      <c r="A903" s="1186" t="s">
        <v>144</v>
      </c>
      <c r="B903" s="1186" t="s">
        <v>826</v>
      </c>
      <c r="C903" s="1186" t="s">
        <v>61</v>
      </c>
      <c r="D903" s="1186" t="s">
        <v>144</v>
      </c>
      <c r="E903" s="1186" t="s">
        <v>944</v>
      </c>
      <c r="F903" s="1186" t="s">
        <v>1985</v>
      </c>
      <c r="G903" s="1186" t="s">
        <v>1986</v>
      </c>
      <c r="H903" s="1186">
        <v>20</v>
      </c>
    </row>
    <row r="904" spans="1:8" x14ac:dyDescent="0.2">
      <c r="A904" s="1186" t="s">
        <v>144</v>
      </c>
      <c r="B904" s="1186" t="s">
        <v>826</v>
      </c>
      <c r="C904" s="1186" t="s">
        <v>61</v>
      </c>
      <c r="D904" s="1186" t="s">
        <v>144</v>
      </c>
      <c r="E904" s="1186" t="s">
        <v>945</v>
      </c>
      <c r="F904" s="1186" t="s">
        <v>1987</v>
      </c>
      <c r="G904" s="1186" t="s">
        <v>1986</v>
      </c>
      <c r="H904" s="1186">
        <v>16</v>
      </c>
    </row>
    <row r="905" spans="1:8" x14ac:dyDescent="0.2">
      <c r="A905" s="1186" t="s">
        <v>144</v>
      </c>
      <c r="B905" s="1186" t="s">
        <v>826</v>
      </c>
      <c r="C905" s="1186" t="s">
        <v>61</v>
      </c>
      <c r="D905" s="1186" t="s">
        <v>144</v>
      </c>
      <c r="E905" s="1186" t="s">
        <v>946</v>
      </c>
      <c r="F905" s="1186" t="s">
        <v>1987</v>
      </c>
      <c r="G905" s="1186" t="s">
        <v>1988</v>
      </c>
      <c r="H905" s="1186">
        <v>19</v>
      </c>
    </row>
    <row r="906" spans="1:8" x14ac:dyDescent="0.2">
      <c r="A906" s="1186" t="s">
        <v>144</v>
      </c>
      <c r="B906" s="1186" t="s">
        <v>826</v>
      </c>
      <c r="C906" s="1186" t="s">
        <v>61</v>
      </c>
      <c r="D906" s="1186" t="s">
        <v>144</v>
      </c>
      <c r="E906" s="1186" t="s">
        <v>947</v>
      </c>
      <c r="F906" s="1186" t="s">
        <v>1987</v>
      </c>
      <c r="G906" s="1186" t="s">
        <v>1988</v>
      </c>
      <c r="H906" s="1186">
        <v>14</v>
      </c>
    </row>
    <row r="907" spans="1:8" x14ac:dyDescent="0.2">
      <c r="A907" s="1186" t="s">
        <v>144</v>
      </c>
      <c r="B907" s="1186" t="s">
        <v>826</v>
      </c>
      <c r="C907" s="1186" t="s">
        <v>61</v>
      </c>
      <c r="D907" s="1186" t="s">
        <v>144</v>
      </c>
      <c r="E907" s="1186" t="s">
        <v>948</v>
      </c>
      <c r="F907" s="1186" t="s">
        <v>1981</v>
      </c>
      <c r="G907" s="1186" t="s">
        <v>1988</v>
      </c>
      <c r="H907" s="1186">
        <v>23</v>
      </c>
    </row>
    <row r="908" spans="1:8" x14ac:dyDescent="0.2">
      <c r="A908" s="1186" t="s">
        <v>144</v>
      </c>
      <c r="B908" s="1186" t="s">
        <v>826</v>
      </c>
      <c r="C908" s="1186" t="s">
        <v>116</v>
      </c>
      <c r="D908" s="1186" t="s">
        <v>144</v>
      </c>
      <c r="E908" s="1186" t="s">
        <v>937</v>
      </c>
      <c r="F908" s="1186" t="s">
        <v>1981</v>
      </c>
      <c r="G908" s="1186" t="s">
        <v>1982</v>
      </c>
      <c r="H908" s="1186">
        <v>55</v>
      </c>
    </row>
    <row r="909" spans="1:8" x14ac:dyDescent="0.2">
      <c r="A909" s="1186" t="s">
        <v>144</v>
      </c>
      <c r="B909" s="1186" t="s">
        <v>826</v>
      </c>
      <c r="C909" s="1186" t="s">
        <v>116</v>
      </c>
      <c r="D909" s="1186" t="s">
        <v>144</v>
      </c>
      <c r="E909" s="1186" t="s">
        <v>938</v>
      </c>
      <c r="F909" s="1186" t="s">
        <v>1981</v>
      </c>
      <c r="G909" s="1186" t="s">
        <v>1982</v>
      </c>
      <c r="H909" s="1186">
        <v>45</v>
      </c>
    </row>
    <row r="910" spans="1:8" x14ac:dyDescent="0.2">
      <c r="A910" s="1186" t="s">
        <v>144</v>
      </c>
      <c r="B910" s="1186" t="s">
        <v>826</v>
      </c>
      <c r="C910" s="1186" t="s">
        <v>116</v>
      </c>
      <c r="D910" s="1186" t="s">
        <v>144</v>
      </c>
      <c r="E910" s="1186" t="s">
        <v>939</v>
      </c>
      <c r="F910" s="1186" t="s">
        <v>1983</v>
      </c>
      <c r="G910" s="1186" t="s">
        <v>1982</v>
      </c>
      <c r="H910" s="1186">
        <v>53</v>
      </c>
    </row>
    <row r="911" spans="1:8" x14ac:dyDescent="0.2">
      <c r="A911" s="1186" t="s">
        <v>144</v>
      </c>
      <c r="B911" s="1186" t="s">
        <v>826</v>
      </c>
      <c r="C911" s="1186" t="s">
        <v>116</v>
      </c>
      <c r="D911" s="1186" t="s">
        <v>144</v>
      </c>
      <c r="E911" s="1186" t="s">
        <v>940</v>
      </c>
      <c r="F911" s="1186" t="s">
        <v>1983</v>
      </c>
      <c r="G911" s="1186" t="s">
        <v>1984</v>
      </c>
      <c r="H911" s="1186">
        <v>40</v>
      </c>
    </row>
    <row r="912" spans="1:8" x14ac:dyDescent="0.2">
      <c r="A912" s="1186" t="s">
        <v>144</v>
      </c>
      <c r="B912" s="1186" t="s">
        <v>826</v>
      </c>
      <c r="C912" s="1186" t="s">
        <v>116</v>
      </c>
      <c r="D912" s="1186" t="s">
        <v>144</v>
      </c>
      <c r="E912" s="1186" t="s">
        <v>941</v>
      </c>
      <c r="F912" s="1186" t="s">
        <v>1983</v>
      </c>
      <c r="G912" s="1186" t="s">
        <v>1984</v>
      </c>
      <c r="H912" s="1186">
        <v>66</v>
      </c>
    </row>
    <row r="913" spans="1:8" x14ac:dyDescent="0.2">
      <c r="A913" s="1186" t="s">
        <v>144</v>
      </c>
      <c r="B913" s="1186" t="s">
        <v>826</v>
      </c>
      <c r="C913" s="1186" t="s">
        <v>116</v>
      </c>
      <c r="D913" s="1186" t="s">
        <v>144</v>
      </c>
      <c r="E913" s="1186" t="s">
        <v>942</v>
      </c>
      <c r="F913" s="1186" t="s">
        <v>1985</v>
      </c>
      <c r="G913" s="1186" t="s">
        <v>1984</v>
      </c>
      <c r="H913" s="1186">
        <v>82</v>
      </c>
    </row>
    <row r="914" spans="1:8" x14ac:dyDescent="0.2">
      <c r="A914" s="1186" t="s">
        <v>144</v>
      </c>
      <c r="B914" s="1186" t="s">
        <v>826</v>
      </c>
      <c r="C914" s="1186" t="s">
        <v>116</v>
      </c>
      <c r="D914" s="1186" t="s">
        <v>144</v>
      </c>
      <c r="E914" s="1186" t="s">
        <v>943</v>
      </c>
      <c r="F914" s="1186" t="s">
        <v>1985</v>
      </c>
      <c r="G914" s="1186" t="s">
        <v>1986</v>
      </c>
      <c r="H914" s="1186">
        <v>75</v>
      </c>
    </row>
    <row r="915" spans="1:8" x14ac:dyDescent="0.2">
      <c r="A915" s="1186" t="s">
        <v>144</v>
      </c>
      <c r="B915" s="1186" t="s">
        <v>826</v>
      </c>
      <c r="C915" s="1186" t="s">
        <v>116</v>
      </c>
      <c r="D915" s="1186" t="s">
        <v>144</v>
      </c>
      <c r="E915" s="1186" t="s">
        <v>944</v>
      </c>
      <c r="F915" s="1186" t="s">
        <v>1985</v>
      </c>
      <c r="G915" s="1186" t="s">
        <v>1986</v>
      </c>
      <c r="H915" s="1186">
        <v>33</v>
      </c>
    </row>
    <row r="916" spans="1:8" x14ac:dyDescent="0.2">
      <c r="A916" s="1186" t="s">
        <v>144</v>
      </c>
      <c r="B916" s="1186" t="s">
        <v>826</v>
      </c>
      <c r="C916" s="1186" t="s">
        <v>116</v>
      </c>
      <c r="D916" s="1186" t="s">
        <v>144</v>
      </c>
      <c r="E916" s="1186" t="s">
        <v>945</v>
      </c>
      <c r="F916" s="1186" t="s">
        <v>1987</v>
      </c>
      <c r="G916" s="1186" t="s">
        <v>1986</v>
      </c>
      <c r="H916" s="1186">
        <v>16</v>
      </c>
    </row>
    <row r="917" spans="1:8" x14ac:dyDescent="0.2">
      <c r="A917" s="1186" t="s">
        <v>144</v>
      </c>
      <c r="B917" s="1186" t="s">
        <v>826</v>
      </c>
      <c r="C917" s="1186" t="s">
        <v>116</v>
      </c>
      <c r="D917" s="1186" t="s">
        <v>144</v>
      </c>
      <c r="E917" s="1186" t="s">
        <v>946</v>
      </c>
      <c r="F917" s="1186" t="s">
        <v>1987</v>
      </c>
      <c r="G917" s="1186" t="s">
        <v>1988</v>
      </c>
      <c r="H917" s="1186">
        <v>13</v>
      </c>
    </row>
    <row r="918" spans="1:8" x14ac:dyDescent="0.2">
      <c r="A918" s="1186" t="s">
        <v>144</v>
      </c>
      <c r="B918" s="1186" t="s">
        <v>826</v>
      </c>
      <c r="C918" s="1186" t="s">
        <v>116</v>
      </c>
      <c r="D918" s="1186" t="s">
        <v>144</v>
      </c>
      <c r="E918" s="1186" t="s">
        <v>947</v>
      </c>
      <c r="F918" s="1186" t="s">
        <v>1987</v>
      </c>
      <c r="G918" s="1186" t="s">
        <v>1988</v>
      </c>
      <c r="H918" s="1186">
        <v>19</v>
      </c>
    </row>
    <row r="919" spans="1:8" x14ac:dyDescent="0.2">
      <c r="A919" s="1186" t="s">
        <v>144</v>
      </c>
      <c r="B919" s="1186" t="s">
        <v>826</v>
      </c>
      <c r="C919" s="1186" t="s">
        <v>116</v>
      </c>
      <c r="D919" s="1186" t="s">
        <v>144</v>
      </c>
      <c r="E919" s="1186" t="s">
        <v>948</v>
      </c>
      <c r="F919" s="1186" t="s">
        <v>1981</v>
      </c>
      <c r="G919" s="1186" t="s">
        <v>1988</v>
      </c>
      <c r="H919" s="1186">
        <v>41</v>
      </c>
    </row>
    <row r="920" spans="1:8" x14ac:dyDescent="0.2">
      <c r="A920" s="1186" t="s">
        <v>144</v>
      </c>
      <c r="B920" s="1186" t="s">
        <v>308</v>
      </c>
      <c r="C920" s="1186" t="s">
        <v>61</v>
      </c>
      <c r="D920" s="1186" t="s">
        <v>144</v>
      </c>
      <c r="E920" s="1186" t="s">
        <v>937</v>
      </c>
      <c r="F920" s="1186" t="s">
        <v>1981</v>
      </c>
      <c r="G920" s="1186" t="s">
        <v>1982</v>
      </c>
      <c r="H920" s="1186">
        <v>481</v>
      </c>
    </row>
    <row r="921" spans="1:8" x14ac:dyDescent="0.2">
      <c r="A921" s="1186" t="s">
        <v>144</v>
      </c>
      <c r="B921" s="1186" t="s">
        <v>308</v>
      </c>
      <c r="C921" s="1186" t="s">
        <v>61</v>
      </c>
      <c r="D921" s="1186" t="s">
        <v>144</v>
      </c>
      <c r="E921" s="1186" t="s">
        <v>938</v>
      </c>
      <c r="F921" s="1186" t="s">
        <v>1981</v>
      </c>
      <c r="G921" s="1186" t="s">
        <v>1982</v>
      </c>
      <c r="H921" s="1186">
        <v>230</v>
      </c>
    </row>
    <row r="922" spans="1:8" x14ac:dyDescent="0.2">
      <c r="A922" s="1186" t="s">
        <v>144</v>
      </c>
      <c r="B922" s="1186" t="s">
        <v>308</v>
      </c>
      <c r="C922" s="1186" t="s">
        <v>61</v>
      </c>
      <c r="D922" s="1186" t="s">
        <v>144</v>
      </c>
      <c r="E922" s="1186" t="s">
        <v>939</v>
      </c>
      <c r="F922" s="1186" t="s">
        <v>1983</v>
      </c>
      <c r="G922" s="1186" t="s">
        <v>1982</v>
      </c>
      <c r="H922" s="1186">
        <v>284</v>
      </c>
    </row>
    <row r="923" spans="1:8" x14ac:dyDescent="0.2">
      <c r="A923" s="1186" t="s">
        <v>144</v>
      </c>
      <c r="B923" s="1186" t="s">
        <v>308</v>
      </c>
      <c r="C923" s="1186" t="s">
        <v>61</v>
      </c>
      <c r="D923" s="1186" t="s">
        <v>144</v>
      </c>
      <c r="E923" s="1186" t="s">
        <v>940</v>
      </c>
      <c r="F923" s="1186" t="s">
        <v>1983</v>
      </c>
      <c r="G923" s="1186" t="s">
        <v>1984</v>
      </c>
      <c r="H923" s="1186">
        <v>201</v>
      </c>
    </row>
    <row r="924" spans="1:8" x14ac:dyDescent="0.2">
      <c r="A924" s="1186" t="s">
        <v>144</v>
      </c>
      <c r="B924" s="1186" t="s">
        <v>308</v>
      </c>
      <c r="C924" s="1186" t="s">
        <v>61</v>
      </c>
      <c r="D924" s="1186" t="s">
        <v>144</v>
      </c>
      <c r="E924" s="1186" t="s">
        <v>941</v>
      </c>
      <c r="F924" s="1186" t="s">
        <v>1983</v>
      </c>
      <c r="G924" s="1186" t="s">
        <v>1984</v>
      </c>
      <c r="H924" s="1186">
        <v>226</v>
      </c>
    </row>
    <row r="925" spans="1:8" x14ac:dyDescent="0.2">
      <c r="A925" s="1186" t="s">
        <v>144</v>
      </c>
      <c r="B925" s="1186" t="s">
        <v>308</v>
      </c>
      <c r="C925" s="1186" t="s">
        <v>61</v>
      </c>
      <c r="D925" s="1186" t="s">
        <v>144</v>
      </c>
      <c r="E925" s="1186" t="s">
        <v>942</v>
      </c>
      <c r="F925" s="1186" t="s">
        <v>1985</v>
      </c>
      <c r="G925" s="1186" t="s">
        <v>1984</v>
      </c>
      <c r="H925" s="1186">
        <v>225</v>
      </c>
    </row>
    <row r="926" spans="1:8" x14ac:dyDescent="0.2">
      <c r="A926" s="1186" t="s">
        <v>144</v>
      </c>
      <c r="B926" s="1186" t="s">
        <v>308</v>
      </c>
      <c r="C926" s="1186" t="s">
        <v>61</v>
      </c>
      <c r="D926" s="1186" t="s">
        <v>144</v>
      </c>
      <c r="E926" s="1186" t="s">
        <v>943</v>
      </c>
      <c r="F926" s="1186" t="s">
        <v>1985</v>
      </c>
      <c r="G926" s="1186" t="s">
        <v>1986</v>
      </c>
      <c r="H926" s="1186">
        <v>209</v>
      </c>
    </row>
    <row r="927" spans="1:8" x14ac:dyDescent="0.2">
      <c r="A927" s="1186" t="s">
        <v>144</v>
      </c>
      <c r="B927" s="1186" t="s">
        <v>308</v>
      </c>
      <c r="C927" s="1186" t="s">
        <v>61</v>
      </c>
      <c r="D927" s="1186" t="s">
        <v>144</v>
      </c>
      <c r="E927" s="1186" t="s">
        <v>944</v>
      </c>
      <c r="F927" s="1186" t="s">
        <v>1985</v>
      </c>
      <c r="G927" s="1186" t="s">
        <v>1986</v>
      </c>
      <c r="H927" s="1186">
        <v>113</v>
      </c>
    </row>
    <row r="928" spans="1:8" x14ac:dyDescent="0.2">
      <c r="A928" s="1186" t="s">
        <v>144</v>
      </c>
      <c r="B928" s="1186" t="s">
        <v>308</v>
      </c>
      <c r="C928" s="1186" t="s">
        <v>61</v>
      </c>
      <c r="D928" s="1186" t="s">
        <v>144</v>
      </c>
      <c r="E928" s="1186" t="s">
        <v>945</v>
      </c>
      <c r="F928" s="1186" t="s">
        <v>1987</v>
      </c>
      <c r="G928" s="1186" t="s">
        <v>1986</v>
      </c>
      <c r="H928" s="1186">
        <v>113</v>
      </c>
    </row>
    <row r="929" spans="1:8" x14ac:dyDescent="0.2">
      <c r="A929" s="1186" t="s">
        <v>144</v>
      </c>
      <c r="B929" s="1186" t="s">
        <v>308</v>
      </c>
      <c r="C929" s="1186" t="s">
        <v>61</v>
      </c>
      <c r="D929" s="1186" t="s">
        <v>144</v>
      </c>
      <c r="E929" s="1186" t="s">
        <v>946</v>
      </c>
      <c r="F929" s="1186" t="s">
        <v>1987</v>
      </c>
      <c r="G929" s="1186" t="s">
        <v>1988</v>
      </c>
      <c r="H929" s="1186">
        <v>75</v>
      </c>
    </row>
    <row r="930" spans="1:8" x14ac:dyDescent="0.2">
      <c r="A930" s="1186" t="s">
        <v>144</v>
      </c>
      <c r="B930" s="1186" t="s">
        <v>308</v>
      </c>
      <c r="C930" s="1186" t="s">
        <v>61</v>
      </c>
      <c r="D930" s="1186" t="s">
        <v>144</v>
      </c>
      <c r="E930" s="1186" t="s">
        <v>947</v>
      </c>
      <c r="F930" s="1186" t="s">
        <v>1987</v>
      </c>
      <c r="G930" s="1186" t="s">
        <v>1988</v>
      </c>
      <c r="H930" s="1186">
        <v>96</v>
      </c>
    </row>
    <row r="931" spans="1:8" x14ac:dyDescent="0.2">
      <c r="A931" s="1186" t="s">
        <v>144</v>
      </c>
      <c r="B931" s="1186" t="s">
        <v>308</v>
      </c>
      <c r="C931" s="1186" t="s">
        <v>61</v>
      </c>
      <c r="D931" s="1186" t="s">
        <v>144</v>
      </c>
      <c r="E931" s="1186" t="s">
        <v>948</v>
      </c>
      <c r="F931" s="1186" t="s">
        <v>1981</v>
      </c>
      <c r="G931" s="1186" t="s">
        <v>1988</v>
      </c>
      <c r="H931" s="1186">
        <v>201</v>
      </c>
    </row>
    <row r="932" spans="1:8" x14ac:dyDescent="0.2">
      <c r="A932" s="1186" t="s">
        <v>144</v>
      </c>
      <c r="B932" s="1186" t="s">
        <v>308</v>
      </c>
      <c r="C932" s="1186" t="s">
        <v>116</v>
      </c>
      <c r="D932" s="1186" t="s">
        <v>144</v>
      </c>
      <c r="E932" s="1186" t="s">
        <v>937</v>
      </c>
      <c r="F932" s="1186" t="s">
        <v>1981</v>
      </c>
      <c r="G932" s="1186" t="s">
        <v>1982</v>
      </c>
      <c r="H932" s="1186">
        <v>2109</v>
      </c>
    </row>
    <row r="933" spans="1:8" x14ac:dyDescent="0.2">
      <c r="A933" s="1186" t="s">
        <v>144</v>
      </c>
      <c r="B933" s="1186" t="s">
        <v>308</v>
      </c>
      <c r="C933" s="1186" t="s">
        <v>116</v>
      </c>
      <c r="D933" s="1186" t="s">
        <v>144</v>
      </c>
      <c r="E933" s="1186" t="s">
        <v>938</v>
      </c>
      <c r="F933" s="1186" t="s">
        <v>1981</v>
      </c>
      <c r="G933" s="1186" t="s">
        <v>1982</v>
      </c>
      <c r="H933" s="1186">
        <v>972</v>
      </c>
    </row>
    <row r="934" spans="1:8" x14ac:dyDescent="0.2">
      <c r="A934" s="1186" t="s">
        <v>144</v>
      </c>
      <c r="B934" s="1186" t="s">
        <v>308</v>
      </c>
      <c r="C934" s="1186" t="s">
        <v>116</v>
      </c>
      <c r="D934" s="1186" t="s">
        <v>144</v>
      </c>
      <c r="E934" s="1186" t="s">
        <v>939</v>
      </c>
      <c r="F934" s="1186" t="s">
        <v>1983</v>
      </c>
      <c r="G934" s="1186" t="s">
        <v>1982</v>
      </c>
      <c r="H934" s="1186">
        <v>1145</v>
      </c>
    </row>
    <row r="935" spans="1:8" x14ac:dyDescent="0.2">
      <c r="A935" s="1186" t="s">
        <v>144</v>
      </c>
      <c r="B935" s="1186" t="s">
        <v>308</v>
      </c>
      <c r="C935" s="1186" t="s">
        <v>116</v>
      </c>
      <c r="D935" s="1186" t="s">
        <v>144</v>
      </c>
      <c r="E935" s="1186" t="s">
        <v>940</v>
      </c>
      <c r="F935" s="1186" t="s">
        <v>1983</v>
      </c>
      <c r="G935" s="1186" t="s">
        <v>1984</v>
      </c>
      <c r="H935" s="1186">
        <v>751</v>
      </c>
    </row>
    <row r="936" spans="1:8" x14ac:dyDescent="0.2">
      <c r="A936" s="1186" t="s">
        <v>144</v>
      </c>
      <c r="B936" s="1186" t="s">
        <v>308</v>
      </c>
      <c r="C936" s="1186" t="s">
        <v>116</v>
      </c>
      <c r="D936" s="1186" t="s">
        <v>144</v>
      </c>
      <c r="E936" s="1186" t="s">
        <v>941</v>
      </c>
      <c r="F936" s="1186" t="s">
        <v>1983</v>
      </c>
      <c r="G936" s="1186" t="s">
        <v>1984</v>
      </c>
      <c r="H936" s="1186">
        <v>1091</v>
      </c>
    </row>
    <row r="937" spans="1:8" x14ac:dyDescent="0.2">
      <c r="A937" s="1186" t="s">
        <v>144</v>
      </c>
      <c r="B937" s="1186" t="s">
        <v>308</v>
      </c>
      <c r="C937" s="1186" t="s">
        <v>116</v>
      </c>
      <c r="D937" s="1186" t="s">
        <v>144</v>
      </c>
      <c r="E937" s="1186" t="s">
        <v>942</v>
      </c>
      <c r="F937" s="1186" t="s">
        <v>1985</v>
      </c>
      <c r="G937" s="1186" t="s">
        <v>1984</v>
      </c>
      <c r="H937" s="1186">
        <v>1195</v>
      </c>
    </row>
    <row r="938" spans="1:8" x14ac:dyDescent="0.2">
      <c r="A938" s="1186" t="s">
        <v>144</v>
      </c>
      <c r="B938" s="1186" t="s">
        <v>308</v>
      </c>
      <c r="C938" s="1186" t="s">
        <v>116</v>
      </c>
      <c r="D938" s="1186" t="s">
        <v>144</v>
      </c>
      <c r="E938" s="1186" t="s">
        <v>943</v>
      </c>
      <c r="F938" s="1186" t="s">
        <v>1985</v>
      </c>
      <c r="G938" s="1186" t="s">
        <v>1986</v>
      </c>
      <c r="H938" s="1186">
        <v>1378</v>
      </c>
    </row>
    <row r="939" spans="1:8" x14ac:dyDescent="0.2">
      <c r="A939" s="1186" t="s">
        <v>144</v>
      </c>
      <c r="B939" s="1186" t="s">
        <v>308</v>
      </c>
      <c r="C939" s="1186" t="s">
        <v>116</v>
      </c>
      <c r="D939" s="1186" t="s">
        <v>144</v>
      </c>
      <c r="E939" s="1186" t="s">
        <v>944</v>
      </c>
      <c r="F939" s="1186" t="s">
        <v>1985</v>
      </c>
      <c r="G939" s="1186" t="s">
        <v>1986</v>
      </c>
      <c r="H939" s="1186">
        <v>955</v>
      </c>
    </row>
    <row r="940" spans="1:8" x14ac:dyDescent="0.2">
      <c r="A940" s="1186" t="s">
        <v>144</v>
      </c>
      <c r="B940" s="1186" t="s">
        <v>308</v>
      </c>
      <c r="C940" s="1186" t="s">
        <v>116</v>
      </c>
      <c r="D940" s="1186" t="s">
        <v>144</v>
      </c>
      <c r="E940" s="1186" t="s">
        <v>945</v>
      </c>
      <c r="F940" s="1186" t="s">
        <v>1987</v>
      </c>
      <c r="G940" s="1186" t="s">
        <v>1986</v>
      </c>
      <c r="H940" s="1186">
        <v>321</v>
      </c>
    </row>
    <row r="941" spans="1:8" x14ac:dyDescent="0.2">
      <c r="A941" s="1186" t="s">
        <v>144</v>
      </c>
      <c r="B941" s="1186" t="s">
        <v>308</v>
      </c>
      <c r="C941" s="1186" t="s">
        <v>116</v>
      </c>
      <c r="D941" s="1186" t="s">
        <v>144</v>
      </c>
      <c r="E941" s="1186" t="s">
        <v>946</v>
      </c>
      <c r="F941" s="1186" t="s">
        <v>1987</v>
      </c>
      <c r="G941" s="1186" t="s">
        <v>1988</v>
      </c>
      <c r="H941" s="1186">
        <v>308</v>
      </c>
    </row>
    <row r="942" spans="1:8" x14ac:dyDescent="0.2">
      <c r="A942" s="1186" t="s">
        <v>144</v>
      </c>
      <c r="B942" s="1186" t="s">
        <v>308</v>
      </c>
      <c r="C942" s="1186" t="s">
        <v>116</v>
      </c>
      <c r="D942" s="1186" t="s">
        <v>144</v>
      </c>
      <c r="E942" s="1186" t="s">
        <v>947</v>
      </c>
      <c r="F942" s="1186" t="s">
        <v>1987</v>
      </c>
      <c r="G942" s="1186" t="s">
        <v>1988</v>
      </c>
      <c r="H942" s="1186">
        <v>591</v>
      </c>
    </row>
    <row r="943" spans="1:8" x14ac:dyDescent="0.2">
      <c r="A943" s="1186" t="s">
        <v>144</v>
      </c>
      <c r="B943" s="1186" t="s">
        <v>308</v>
      </c>
      <c r="C943" s="1186" t="s">
        <v>116</v>
      </c>
      <c r="D943" s="1186" t="s">
        <v>144</v>
      </c>
      <c r="E943" s="1186" t="s">
        <v>948</v>
      </c>
      <c r="F943" s="1186" t="s">
        <v>1981</v>
      </c>
      <c r="G943" s="1186" t="s">
        <v>1988</v>
      </c>
      <c r="H943" s="1186">
        <v>1462</v>
      </c>
    </row>
    <row r="944" spans="1:8" x14ac:dyDescent="0.2">
      <c r="A944" s="1186" t="s">
        <v>282</v>
      </c>
      <c r="B944" s="1186" t="s">
        <v>309</v>
      </c>
      <c r="C944" s="1186" t="s">
        <v>61</v>
      </c>
      <c r="D944" s="1186" t="s">
        <v>282</v>
      </c>
      <c r="E944" s="1186" t="s">
        <v>949</v>
      </c>
      <c r="F944" s="1186" t="s">
        <v>1981</v>
      </c>
      <c r="G944" s="1186" t="s">
        <v>1982</v>
      </c>
      <c r="H944" s="1186">
        <v>101</v>
      </c>
    </row>
    <row r="945" spans="1:8" x14ac:dyDescent="0.2">
      <c r="A945" s="1186" t="s">
        <v>282</v>
      </c>
      <c r="B945" s="1186" t="s">
        <v>309</v>
      </c>
      <c r="C945" s="1186" t="s">
        <v>61</v>
      </c>
      <c r="D945" s="1186" t="s">
        <v>282</v>
      </c>
      <c r="E945" s="1186" t="s">
        <v>950</v>
      </c>
      <c r="F945" s="1186" t="s">
        <v>1981</v>
      </c>
      <c r="G945" s="1186" t="s">
        <v>1982</v>
      </c>
      <c r="H945" s="1186">
        <v>42</v>
      </c>
    </row>
    <row r="946" spans="1:8" x14ac:dyDescent="0.2">
      <c r="A946" s="1186" t="s">
        <v>282</v>
      </c>
      <c r="B946" s="1186" t="s">
        <v>309</v>
      </c>
      <c r="C946" s="1186" t="s">
        <v>61</v>
      </c>
      <c r="D946" s="1186" t="s">
        <v>282</v>
      </c>
      <c r="E946" s="1186" t="s">
        <v>951</v>
      </c>
      <c r="F946" s="1186" t="s">
        <v>1983</v>
      </c>
      <c r="G946" s="1186" t="s">
        <v>1982</v>
      </c>
      <c r="H946" s="1186">
        <v>23</v>
      </c>
    </row>
    <row r="947" spans="1:8" x14ac:dyDescent="0.2">
      <c r="A947" s="1186" t="s">
        <v>282</v>
      </c>
      <c r="B947" s="1186" t="s">
        <v>309</v>
      </c>
      <c r="C947" s="1186" t="s">
        <v>61</v>
      </c>
      <c r="D947" s="1186" t="s">
        <v>282</v>
      </c>
      <c r="E947" s="1186" t="s">
        <v>952</v>
      </c>
      <c r="F947" s="1186" t="s">
        <v>1983</v>
      </c>
      <c r="G947" s="1186" t="s">
        <v>1984</v>
      </c>
      <c r="H947" s="1186">
        <v>14</v>
      </c>
    </row>
    <row r="948" spans="1:8" x14ac:dyDescent="0.2">
      <c r="A948" s="1186" t="s">
        <v>282</v>
      </c>
      <c r="B948" s="1186" t="s">
        <v>309</v>
      </c>
      <c r="C948" s="1186" t="s">
        <v>61</v>
      </c>
      <c r="D948" s="1186" t="s">
        <v>282</v>
      </c>
      <c r="E948" s="1186" t="s">
        <v>953</v>
      </c>
      <c r="F948" s="1186" t="s">
        <v>1983</v>
      </c>
      <c r="G948" s="1186" t="s">
        <v>1984</v>
      </c>
      <c r="H948" s="1186">
        <v>23</v>
      </c>
    </row>
    <row r="949" spans="1:8" x14ac:dyDescent="0.2">
      <c r="A949" s="1186" t="s">
        <v>282</v>
      </c>
      <c r="B949" s="1186" t="s">
        <v>309</v>
      </c>
      <c r="C949" s="1186" t="s">
        <v>61</v>
      </c>
      <c r="D949" s="1186" t="s">
        <v>282</v>
      </c>
      <c r="E949" s="1186" t="s">
        <v>954</v>
      </c>
      <c r="F949" s="1186" t="s">
        <v>1985</v>
      </c>
      <c r="G949" s="1186" t="s">
        <v>1984</v>
      </c>
      <c r="H949" s="1186">
        <v>26</v>
      </c>
    </row>
    <row r="950" spans="1:8" x14ac:dyDescent="0.2">
      <c r="A950" s="1186" t="s">
        <v>282</v>
      </c>
      <c r="B950" s="1186" t="s">
        <v>309</v>
      </c>
      <c r="C950" s="1186" t="s">
        <v>61</v>
      </c>
      <c r="D950" s="1186" t="s">
        <v>282</v>
      </c>
      <c r="E950" s="1186" t="s">
        <v>955</v>
      </c>
      <c r="F950" s="1186" t="s">
        <v>1985</v>
      </c>
      <c r="G950" s="1186" t="s">
        <v>1986</v>
      </c>
      <c r="H950" s="1186">
        <v>56</v>
      </c>
    </row>
    <row r="951" spans="1:8" x14ac:dyDescent="0.2">
      <c r="A951" s="1186" t="s">
        <v>282</v>
      </c>
      <c r="B951" s="1186" t="s">
        <v>309</v>
      </c>
      <c r="C951" s="1186" t="s">
        <v>61</v>
      </c>
      <c r="D951" s="1186" t="s">
        <v>282</v>
      </c>
      <c r="E951" s="1186" t="s">
        <v>956</v>
      </c>
      <c r="F951" s="1186" t="s">
        <v>1985</v>
      </c>
      <c r="G951" s="1186" t="s">
        <v>1986</v>
      </c>
      <c r="H951" s="1186">
        <v>96</v>
      </c>
    </row>
    <row r="952" spans="1:8" x14ac:dyDescent="0.2">
      <c r="A952" s="1186" t="s">
        <v>282</v>
      </c>
      <c r="B952" s="1186" t="s">
        <v>309</v>
      </c>
      <c r="C952" s="1186" t="s">
        <v>61</v>
      </c>
      <c r="D952" s="1186" t="s">
        <v>282</v>
      </c>
      <c r="E952" s="1186" t="s">
        <v>957</v>
      </c>
      <c r="F952" s="1186" t="s">
        <v>1987</v>
      </c>
      <c r="G952" s="1186" t="s">
        <v>1986</v>
      </c>
      <c r="H952" s="1186">
        <v>72</v>
      </c>
    </row>
    <row r="953" spans="1:8" x14ac:dyDescent="0.2">
      <c r="A953" s="1186" t="s">
        <v>282</v>
      </c>
      <c r="B953" s="1186" t="s">
        <v>309</v>
      </c>
      <c r="C953" s="1186" t="s">
        <v>61</v>
      </c>
      <c r="D953" s="1186" t="s">
        <v>282</v>
      </c>
      <c r="E953" s="1186" t="s">
        <v>958</v>
      </c>
      <c r="F953" s="1186" t="s">
        <v>1987</v>
      </c>
      <c r="G953" s="1186" t="s">
        <v>1988</v>
      </c>
      <c r="H953" s="1186">
        <v>112</v>
      </c>
    </row>
    <row r="954" spans="1:8" x14ac:dyDescent="0.2">
      <c r="A954" s="1186" t="s">
        <v>282</v>
      </c>
      <c r="B954" s="1186" t="s">
        <v>309</v>
      </c>
      <c r="C954" s="1186" t="s">
        <v>61</v>
      </c>
      <c r="D954" s="1186" t="s">
        <v>282</v>
      </c>
      <c r="E954" s="1186" t="s">
        <v>959</v>
      </c>
      <c r="F954" s="1186" t="s">
        <v>1987</v>
      </c>
      <c r="G954" s="1186" t="s">
        <v>1988</v>
      </c>
      <c r="H954" s="1186">
        <v>96</v>
      </c>
    </row>
    <row r="955" spans="1:8" x14ac:dyDescent="0.2">
      <c r="A955" s="1186" t="s">
        <v>282</v>
      </c>
      <c r="B955" s="1186" t="s">
        <v>309</v>
      </c>
      <c r="C955" s="1186" t="s">
        <v>61</v>
      </c>
      <c r="D955" s="1186" t="s">
        <v>282</v>
      </c>
      <c r="E955" s="1186" t="s">
        <v>960</v>
      </c>
      <c r="F955" s="1186" t="s">
        <v>1981</v>
      </c>
      <c r="G955" s="1186" t="s">
        <v>1988</v>
      </c>
      <c r="H955" s="1186">
        <v>86</v>
      </c>
    </row>
    <row r="956" spans="1:8" x14ac:dyDescent="0.2">
      <c r="A956" s="1186" t="s">
        <v>282</v>
      </c>
      <c r="B956" s="1186" t="s">
        <v>309</v>
      </c>
      <c r="C956" s="1186" t="s">
        <v>116</v>
      </c>
      <c r="D956" s="1186" t="s">
        <v>282</v>
      </c>
      <c r="E956" s="1186" t="s">
        <v>949</v>
      </c>
      <c r="F956" s="1186" t="s">
        <v>1981</v>
      </c>
      <c r="G956" s="1186" t="s">
        <v>1982</v>
      </c>
      <c r="H956" s="1186">
        <v>2</v>
      </c>
    </row>
    <row r="957" spans="1:8" x14ac:dyDescent="0.2">
      <c r="A957" s="1186" t="s">
        <v>282</v>
      </c>
      <c r="B957" s="1186" t="s">
        <v>309</v>
      </c>
      <c r="C957" s="1186" t="s">
        <v>116</v>
      </c>
      <c r="D957" s="1186" t="s">
        <v>282</v>
      </c>
      <c r="E957" s="1186" t="s">
        <v>957</v>
      </c>
      <c r="F957" s="1186" t="s">
        <v>1987</v>
      </c>
      <c r="G957" s="1186" t="s">
        <v>1986</v>
      </c>
      <c r="H957" s="1186">
        <v>1</v>
      </c>
    </row>
    <row r="958" spans="1:8" x14ac:dyDescent="0.2">
      <c r="A958" s="1186" t="s">
        <v>282</v>
      </c>
      <c r="B958" s="1186" t="s">
        <v>823</v>
      </c>
      <c r="C958" s="1186" t="s">
        <v>61</v>
      </c>
      <c r="D958" s="1186" t="s">
        <v>282</v>
      </c>
      <c r="E958" s="1186" t="s">
        <v>949</v>
      </c>
      <c r="F958" s="1186" t="s">
        <v>1981</v>
      </c>
      <c r="G958" s="1186" t="s">
        <v>1982</v>
      </c>
      <c r="H958" s="1186">
        <v>452</v>
      </c>
    </row>
    <row r="959" spans="1:8" x14ac:dyDescent="0.2">
      <c r="A959" s="1186" t="s">
        <v>282</v>
      </c>
      <c r="B959" s="1186" t="s">
        <v>823</v>
      </c>
      <c r="C959" s="1186" t="s">
        <v>61</v>
      </c>
      <c r="D959" s="1186" t="s">
        <v>282</v>
      </c>
      <c r="E959" s="1186" t="s">
        <v>950</v>
      </c>
      <c r="F959" s="1186" t="s">
        <v>1981</v>
      </c>
      <c r="G959" s="1186" t="s">
        <v>1982</v>
      </c>
      <c r="H959" s="1186">
        <v>419</v>
      </c>
    </row>
    <row r="960" spans="1:8" x14ac:dyDescent="0.2">
      <c r="A960" s="1186" t="s">
        <v>282</v>
      </c>
      <c r="B960" s="1186" t="s">
        <v>823</v>
      </c>
      <c r="C960" s="1186" t="s">
        <v>61</v>
      </c>
      <c r="D960" s="1186" t="s">
        <v>282</v>
      </c>
      <c r="E960" s="1186" t="s">
        <v>951</v>
      </c>
      <c r="F960" s="1186" t="s">
        <v>1983</v>
      </c>
      <c r="G960" s="1186" t="s">
        <v>1982</v>
      </c>
      <c r="H960" s="1186">
        <v>390</v>
      </c>
    </row>
    <row r="961" spans="1:8" x14ac:dyDescent="0.2">
      <c r="A961" s="1186" t="s">
        <v>282</v>
      </c>
      <c r="B961" s="1186" t="s">
        <v>823</v>
      </c>
      <c r="C961" s="1186" t="s">
        <v>61</v>
      </c>
      <c r="D961" s="1186" t="s">
        <v>282</v>
      </c>
      <c r="E961" s="1186" t="s">
        <v>952</v>
      </c>
      <c r="F961" s="1186" t="s">
        <v>1983</v>
      </c>
      <c r="G961" s="1186" t="s">
        <v>1984</v>
      </c>
      <c r="H961" s="1186">
        <v>406</v>
      </c>
    </row>
    <row r="962" spans="1:8" x14ac:dyDescent="0.2">
      <c r="A962" s="1186" t="s">
        <v>282</v>
      </c>
      <c r="B962" s="1186" t="s">
        <v>823</v>
      </c>
      <c r="C962" s="1186" t="s">
        <v>61</v>
      </c>
      <c r="D962" s="1186" t="s">
        <v>282</v>
      </c>
      <c r="E962" s="1186" t="s">
        <v>953</v>
      </c>
      <c r="F962" s="1186" t="s">
        <v>1983</v>
      </c>
      <c r="G962" s="1186" t="s">
        <v>1984</v>
      </c>
      <c r="H962" s="1186">
        <v>387</v>
      </c>
    </row>
    <row r="963" spans="1:8" x14ac:dyDescent="0.2">
      <c r="A963" s="1186" t="s">
        <v>282</v>
      </c>
      <c r="B963" s="1186" t="s">
        <v>823</v>
      </c>
      <c r="C963" s="1186" t="s">
        <v>61</v>
      </c>
      <c r="D963" s="1186" t="s">
        <v>282</v>
      </c>
      <c r="E963" s="1186" t="s">
        <v>954</v>
      </c>
      <c r="F963" s="1186" t="s">
        <v>1985</v>
      </c>
      <c r="G963" s="1186" t="s">
        <v>1984</v>
      </c>
      <c r="H963" s="1186">
        <v>395</v>
      </c>
    </row>
    <row r="964" spans="1:8" x14ac:dyDescent="0.2">
      <c r="A964" s="1186" t="s">
        <v>282</v>
      </c>
      <c r="B964" s="1186" t="s">
        <v>823</v>
      </c>
      <c r="C964" s="1186" t="s">
        <v>61</v>
      </c>
      <c r="D964" s="1186" t="s">
        <v>282</v>
      </c>
      <c r="E964" s="1186" t="s">
        <v>955</v>
      </c>
      <c r="F964" s="1186" t="s">
        <v>1985</v>
      </c>
      <c r="G964" s="1186" t="s">
        <v>1986</v>
      </c>
      <c r="H964" s="1186">
        <v>408</v>
      </c>
    </row>
    <row r="965" spans="1:8" x14ac:dyDescent="0.2">
      <c r="A965" s="1186" t="s">
        <v>282</v>
      </c>
      <c r="B965" s="1186" t="s">
        <v>823</v>
      </c>
      <c r="C965" s="1186" t="s">
        <v>61</v>
      </c>
      <c r="D965" s="1186" t="s">
        <v>282</v>
      </c>
      <c r="E965" s="1186" t="s">
        <v>956</v>
      </c>
      <c r="F965" s="1186" t="s">
        <v>1985</v>
      </c>
      <c r="G965" s="1186" t="s">
        <v>1986</v>
      </c>
      <c r="H965" s="1186">
        <v>444</v>
      </c>
    </row>
    <row r="966" spans="1:8" x14ac:dyDescent="0.2">
      <c r="A966" s="1186" t="s">
        <v>282</v>
      </c>
      <c r="B966" s="1186" t="s">
        <v>823</v>
      </c>
      <c r="C966" s="1186" t="s">
        <v>61</v>
      </c>
      <c r="D966" s="1186" t="s">
        <v>282</v>
      </c>
      <c r="E966" s="1186" t="s">
        <v>957</v>
      </c>
      <c r="F966" s="1186" t="s">
        <v>1987</v>
      </c>
      <c r="G966" s="1186" t="s">
        <v>1986</v>
      </c>
      <c r="H966" s="1186">
        <v>422</v>
      </c>
    </row>
    <row r="967" spans="1:8" x14ac:dyDescent="0.2">
      <c r="A967" s="1186" t="s">
        <v>282</v>
      </c>
      <c r="B967" s="1186" t="s">
        <v>823</v>
      </c>
      <c r="C967" s="1186" t="s">
        <v>61</v>
      </c>
      <c r="D967" s="1186" t="s">
        <v>282</v>
      </c>
      <c r="E967" s="1186" t="s">
        <v>958</v>
      </c>
      <c r="F967" s="1186" t="s">
        <v>1987</v>
      </c>
      <c r="G967" s="1186" t="s">
        <v>1988</v>
      </c>
      <c r="H967" s="1186">
        <v>434</v>
      </c>
    </row>
    <row r="968" spans="1:8" x14ac:dyDescent="0.2">
      <c r="A968" s="1186" t="s">
        <v>282</v>
      </c>
      <c r="B968" s="1186" t="s">
        <v>823</v>
      </c>
      <c r="C968" s="1186" t="s">
        <v>61</v>
      </c>
      <c r="D968" s="1186" t="s">
        <v>282</v>
      </c>
      <c r="E968" s="1186" t="s">
        <v>959</v>
      </c>
      <c r="F968" s="1186" t="s">
        <v>1987</v>
      </c>
      <c r="G968" s="1186" t="s">
        <v>1988</v>
      </c>
      <c r="H968" s="1186">
        <v>333</v>
      </c>
    </row>
    <row r="969" spans="1:8" x14ac:dyDescent="0.2">
      <c r="A969" s="1186" t="s">
        <v>282</v>
      </c>
      <c r="B969" s="1186" t="s">
        <v>823</v>
      </c>
      <c r="C969" s="1186" t="s">
        <v>61</v>
      </c>
      <c r="D969" s="1186" t="s">
        <v>282</v>
      </c>
      <c r="E969" s="1186" t="s">
        <v>960</v>
      </c>
      <c r="F969" s="1186" t="s">
        <v>1981</v>
      </c>
      <c r="G969" s="1186" t="s">
        <v>1988</v>
      </c>
      <c r="H969" s="1186">
        <v>432</v>
      </c>
    </row>
    <row r="970" spans="1:8" x14ac:dyDescent="0.2">
      <c r="A970" s="1186" t="s">
        <v>282</v>
      </c>
      <c r="B970" s="1186" t="s">
        <v>823</v>
      </c>
      <c r="C970" s="1186" t="s">
        <v>116</v>
      </c>
      <c r="D970" s="1186" t="s">
        <v>282</v>
      </c>
      <c r="E970" s="1186" t="s">
        <v>949</v>
      </c>
      <c r="F970" s="1186" t="s">
        <v>1981</v>
      </c>
      <c r="G970" s="1186" t="s">
        <v>1982</v>
      </c>
      <c r="H970" s="1186">
        <v>42</v>
      </c>
    </row>
    <row r="971" spans="1:8" x14ac:dyDescent="0.2">
      <c r="A971" s="1186" t="s">
        <v>282</v>
      </c>
      <c r="B971" s="1186" t="s">
        <v>823</v>
      </c>
      <c r="C971" s="1186" t="s">
        <v>116</v>
      </c>
      <c r="D971" s="1186" t="s">
        <v>282</v>
      </c>
      <c r="E971" s="1186" t="s">
        <v>950</v>
      </c>
      <c r="F971" s="1186" t="s">
        <v>1981</v>
      </c>
      <c r="G971" s="1186" t="s">
        <v>1982</v>
      </c>
      <c r="H971" s="1186">
        <v>43</v>
      </c>
    </row>
    <row r="972" spans="1:8" x14ac:dyDescent="0.2">
      <c r="A972" s="1186" t="s">
        <v>282</v>
      </c>
      <c r="B972" s="1186" t="s">
        <v>823</v>
      </c>
      <c r="C972" s="1186" t="s">
        <v>116</v>
      </c>
      <c r="D972" s="1186" t="s">
        <v>282</v>
      </c>
      <c r="E972" s="1186" t="s">
        <v>951</v>
      </c>
      <c r="F972" s="1186" t="s">
        <v>1983</v>
      </c>
      <c r="G972" s="1186" t="s">
        <v>1982</v>
      </c>
      <c r="H972" s="1186">
        <v>58</v>
      </c>
    </row>
    <row r="973" spans="1:8" x14ac:dyDescent="0.2">
      <c r="A973" s="1186" t="s">
        <v>282</v>
      </c>
      <c r="B973" s="1186" t="s">
        <v>823</v>
      </c>
      <c r="C973" s="1186" t="s">
        <v>116</v>
      </c>
      <c r="D973" s="1186" t="s">
        <v>282</v>
      </c>
      <c r="E973" s="1186" t="s">
        <v>952</v>
      </c>
      <c r="F973" s="1186" t="s">
        <v>1983</v>
      </c>
      <c r="G973" s="1186" t="s">
        <v>1984</v>
      </c>
      <c r="H973" s="1186">
        <v>55</v>
      </c>
    </row>
    <row r="974" spans="1:8" x14ac:dyDescent="0.2">
      <c r="A974" s="1186" t="s">
        <v>282</v>
      </c>
      <c r="B974" s="1186" t="s">
        <v>823</v>
      </c>
      <c r="C974" s="1186" t="s">
        <v>116</v>
      </c>
      <c r="D974" s="1186" t="s">
        <v>282</v>
      </c>
      <c r="E974" s="1186" t="s">
        <v>953</v>
      </c>
      <c r="F974" s="1186" t="s">
        <v>1983</v>
      </c>
      <c r="G974" s="1186" t="s">
        <v>1984</v>
      </c>
      <c r="H974" s="1186">
        <v>77</v>
      </c>
    </row>
    <row r="975" spans="1:8" x14ac:dyDescent="0.2">
      <c r="A975" s="1186" t="s">
        <v>282</v>
      </c>
      <c r="B975" s="1186" t="s">
        <v>823</v>
      </c>
      <c r="C975" s="1186" t="s">
        <v>116</v>
      </c>
      <c r="D975" s="1186" t="s">
        <v>282</v>
      </c>
      <c r="E975" s="1186" t="s">
        <v>954</v>
      </c>
      <c r="F975" s="1186" t="s">
        <v>1985</v>
      </c>
      <c r="G975" s="1186" t="s">
        <v>1984</v>
      </c>
      <c r="H975" s="1186">
        <v>40</v>
      </c>
    </row>
    <row r="976" spans="1:8" x14ac:dyDescent="0.2">
      <c r="A976" s="1186" t="s">
        <v>282</v>
      </c>
      <c r="B976" s="1186" t="s">
        <v>823</v>
      </c>
      <c r="C976" s="1186" t="s">
        <v>116</v>
      </c>
      <c r="D976" s="1186" t="s">
        <v>282</v>
      </c>
      <c r="E976" s="1186" t="s">
        <v>955</v>
      </c>
      <c r="F976" s="1186" t="s">
        <v>1985</v>
      </c>
      <c r="G976" s="1186" t="s">
        <v>1986</v>
      </c>
      <c r="H976" s="1186">
        <v>43</v>
      </c>
    </row>
    <row r="977" spans="1:8" x14ac:dyDescent="0.2">
      <c r="A977" s="1186" t="s">
        <v>282</v>
      </c>
      <c r="B977" s="1186" t="s">
        <v>823</v>
      </c>
      <c r="C977" s="1186" t="s">
        <v>116</v>
      </c>
      <c r="D977" s="1186" t="s">
        <v>282</v>
      </c>
      <c r="E977" s="1186" t="s">
        <v>956</v>
      </c>
      <c r="F977" s="1186" t="s">
        <v>1985</v>
      </c>
      <c r="G977" s="1186" t="s">
        <v>1986</v>
      </c>
      <c r="H977" s="1186">
        <v>55</v>
      </c>
    </row>
    <row r="978" spans="1:8" x14ac:dyDescent="0.2">
      <c r="A978" s="1186" t="s">
        <v>282</v>
      </c>
      <c r="B978" s="1186" t="s">
        <v>823</v>
      </c>
      <c r="C978" s="1186" t="s">
        <v>116</v>
      </c>
      <c r="D978" s="1186" t="s">
        <v>282</v>
      </c>
      <c r="E978" s="1186" t="s">
        <v>957</v>
      </c>
      <c r="F978" s="1186" t="s">
        <v>1987</v>
      </c>
      <c r="G978" s="1186" t="s">
        <v>1986</v>
      </c>
      <c r="H978" s="1186">
        <v>44</v>
      </c>
    </row>
    <row r="979" spans="1:8" x14ac:dyDescent="0.2">
      <c r="A979" s="1186" t="s">
        <v>282</v>
      </c>
      <c r="B979" s="1186" t="s">
        <v>823</v>
      </c>
      <c r="C979" s="1186" t="s">
        <v>116</v>
      </c>
      <c r="D979" s="1186" t="s">
        <v>282</v>
      </c>
      <c r="E979" s="1186" t="s">
        <v>958</v>
      </c>
      <c r="F979" s="1186" t="s">
        <v>1987</v>
      </c>
      <c r="G979" s="1186" t="s">
        <v>1988</v>
      </c>
      <c r="H979" s="1186">
        <v>68</v>
      </c>
    </row>
    <row r="980" spans="1:8" x14ac:dyDescent="0.2">
      <c r="A980" s="1186" t="s">
        <v>282</v>
      </c>
      <c r="B980" s="1186" t="s">
        <v>823</v>
      </c>
      <c r="C980" s="1186" t="s">
        <v>116</v>
      </c>
      <c r="D980" s="1186" t="s">
        <v>282</v>
      </c>
      <c r="E980" s="1186" t="s">
        <v>959</v>
      </c>
      <c r="F980" s="1186" t="s">
        <v>1987</v>
      </c>
      <c r="G980" s="1186" t="s">
        <v>1988</v>
      </c>
      <c r="H980" s="1186">
        <v>35</v>
      </c>
    </row>
    <row r="981" spans="1:8" x14ac:dyDescent="0.2">
      <c r="A981" s="1186" t="s">
        <v>282</v>
      </c>
      <c r="B981" s="1186" t="s">
        <v>823</v>
      </c>
      <c r="C981" s="1186" t="s">
        <v>116</v>
      </c>
      <c r="D981" s="1186" t="s">
        <v>282</v>
      </c>
      <c r="E981" s="1186" t="s">
        <v>960</v>
      </c>
      <c r="F981" s="1186" t="s">
        <v>1981</v>
      </c>
      <c r="G981" s="1186" t="s">
        <v>1988</v>
      </c>
      <c r="H981" s="1186">
        <v>58</v>
      </c>
    </row>
    <row r="982" spans="1:8" x14ac:dyDescent="0.2">
      <c r="A982" s="1186" t="s">
        <v>282</v>
      </c>
      <c r="B982" s="1186" t="s">
        <v>824</v>
      </c>
      <c r="C982" s="1186" t="s">
        <v>61</v>
      </c>
      <c r="D982" s="1186" t="s">
        <v>282</v>
      </c>
      <c r="E982" s="1186" t="s">
        <v>949</v>
      </c>
      <c r="F982" s="1186" t="s">
        <v>1981</v>
      </c>
      <c r="G982" s="1186" t="s">
        <v>1982</v>
      </c>
      <c r="H982" s="1186">
        <v>149</v>
      </c>
    </row>
    <row r="983" spans="1:8" x14ac:dyDescent="0.2">
      <c r="A983" s="1186" t="s">
        <v>282</v>
      </c>
      <c r="B983" s="1186" t="s">
        <v>824</v>
      </c>
      <c r="C983" s="1186" t="s">
        <v>61</v>
      </c>
      <c r="D983" s="1186" t="s">
        <v>282</v>
      </c>
      <c r="E983" s="1186" t="s">
        <v>950</v>
      </c>
      <c r="F983" s="1186" t="s">
        <v>1981</v>
      </c>
      <c r="G983" s="1186" t="s">
        <v>1982</v>
      </c>
      <c r="H983" s="1186">
        <v>143</v>
      </c>
    </row>
    <row r="984" spans="1:8" x14ac:dyDescent="0.2">
      <c r="A984" s="1186" t="s">
        <v>282</v>
      </c>
      <c r="B984" s="1186" t="s">
        <v>824</v>
      </c>
      <c r="C984" s="1186" t="s">
        <v>61</v>
      </c>
      <c r="D984" s="1186" t="s">
        <v>282</v>
      </c>
      <c r="E984" s="1186" t="s">
        <v>951</v>
      </c>
      <c r="F984" s="1186" t="s">
        <v>1983</v>
      </c>
      <c r="G984" s="1186" t="s">
        <v>1982</v>
      </c>
      <c r="H984" s="1186">
        <v>158</v>
      </c>
    </row>
    <row r="985" spans="1:8" x14ac:dyDescent="0.2">
      <c r="A985" s="1186" t="s">
        <v>282</v>
      </c>
      <c r="B985" s="1186" t="s">
        <v>824</v>
      </c>
      <c r="C985" s="1186" t="s">
        <v>61</v>
      </c>
      <c r="D985" s="1186" t="s">
        <v>282</v>
      </c>
      <c r="E985" s="1186" t="s">
        <v>952</v>
      </c>
      <c r="F985" s="1186" t="s">
        <v>1983</v>
      </c>
      <c r="G985" s="1186" t="s">
        <v>1984</v>
      </c>
      <c r="H985" s="1186">
        <v>122</v>
      </c>
    </row>
    <row r="986" spans="1:8" x14ac:dyDescent="0.2">
      <c r="A986" s="1186" t="s">
        <v>282</v>
      </c>
      <c r="B986" s="1186" t="s">
        <v>824</v>
      </c>
      <c r="C986" s="1186" t="s">
        <v>61</v>
      </c>
      <c r="D986" s="1186" t="s">
        <v>282</v>
      </c>
      <c r="E986" s="1186" t="s">
        <v>953</v>
      </c>
      <c r="F986" s="1186" t="s">
        <v>1983</v>
      </c>
      <c r="G986" s="1186" t="s">
        <v>1984</v>
      </c>
      <c r="H986" s="1186">
        <v>150</v>
      </c>
    </row>
    <row r="987" spans="1:8" x14ac:dyDescent="0.2">
      <c r="A987" s="1186" t="s">
        <v>282</v>
      </c>
      <c r="B987" s="1186" t="s">
        <v>824</v>
      </c>
      <c r="C987" s="1186" t="s">
        <v>61</v>
      </c>
      <c r="D987" s="1186" t="s">
        <v>282</v>
      </c>
      <c r="E987" s="1186" t="s">
        <v>954</v>
      </c>
      <c r="F987" s="1186" t="s">
        <v>1985</v>
      </c>
      <c r="G987" s="1186" t="s">
        <v>1984</v>
      </c>
      <c r="H987" s="1186">
        <v>145</v>
      </c>
    </row>
    <row r="988" spans="1:8" x14ac:dyDescent="0.2">
      <c r="A988" s="1186" t="s">
        <v>282</v>
      </c>
      <c r="B988" s="1186" t="s">
        <v>824</v>
      </c>
      <c r="C988" s="1186" t="s">
        <v>61</v>
      </c>
      <c r="D988" s="1186" t="s">
        <v>282</v>
      </c>
      <c r="E988" s="1186" t="s">
        <v>955</v>
      </c>
      <c r="F988" s="1186" t="s">
        <v>1985</v>
      </c>
      <c r="G988" s="1186" t="s">
        <v>1986</v>
      </c>
      <c r="H988" s="1186">
        <v>131</v>
      </c>
    </row>
    <row r="989" spans="1:8" x14ac:dyDescent="0.2">
      <c r="A989" s="1186" t="s">
        <v>282</v>
      </c>
      <c r="B989" s="1186" t="s">
        <v>824</v>
      </c>
      <c r="C989" s="1186" t="s">
        <v>61</v>
      </c>
      <c r="D989" s="1186" t="s">
        <v>282</v>
      </c>
      <c r="E989" s="1186" t="s">
        <v>956</v>
      </c>
      <c r="F989" s="1186" t="s">
        <v>1985</v>
      </c>
      <c r="G989" s="1186" t="s">
        <v>1986</v>
      </c>
      <c r="H989" s="1186">
        <v>140</v>
      </c>
    </row>
    <row r="990" spans="1:8" x14ac:dyDescent="0.2">
      <c r="A990" s="1186" t="s">
        <v>282</v>
      </c>
      <c r="B990" s="1186" t="s">
        <v>824</v>
      </c>
      <c r="C990" s="1186" t="s">
        <v>61</v>
      </c>
      <c r="D990" s="1186" t="s">
        <v>282</v>
      </c>
      <c r="E990" s="1186" t="s">
        <v>957</v>
      </c>
      <c r="F990" s="1186" t="s">
        <v>1987</v>
      </c>
      <c r="G990" s="1186" t="s">
        <v>1986</v>
      </c>
      <c r="H990" s="1186">
        <v>143</v>
      </c>
    </row>
    <row r="991" spans="1:8" x14ac:dyDescent="0.2">
      <c r="A991" s="1186" t="s">
        <v>282</v>
      </c>
      <c r="B991" s="1186" t="s">
        <v>824</v>
      </c>
      <c r="C991" s="1186" t="s">
        <v>61</v>
      </c>
      <c r="D991" s="1186" t="s">
        <v>282</v>
      </c>
      <c r="E991" s="1186" t="s">
        <v>958</v>
      </c>
      <c r="F991" s="1186" t="s">
        <v>1987</v>
      </c>
      <c r="G991" s="1186" t="s">
        <v>1988</v>
      </c>
      <c r="H991" s="1186">
        <v>156</v>
      </c>
    </row>
    <row r="992" spans="1:8" x14ac:dyDescent="0.2">
      <c r="A992" s="1186" t="s">
        <v>282</v>
      </c>
      <c r="B992" s="1186" t="s">
        <v>824</v>
      </c>
      <c r="C992" s="1186" t="s">
        <v>61</v>
      </c>
      <c r="D992" s="1186" t="s">
        <v>282</v>
      </c>
      <c r="E992" s="1186" t="s">
        <v>959</v>
      </c>
      <c r="F992" s="1186" t="s">
        <v>1987</v>
      </c>
      <c r="G992" s="1186" t="s">
        <v>1988</v>
      </c>
      <c r="H992" s="1186">
        <v>131</v>
      </c>
    </row>
    <row r="993" spans="1:8" x14ac:dyDescent="0.2">
      <c r="A993" s="1186" t="s">
        <v>282</v>
      </c>
      <c r="B993" s="1186" t="s">
        <v>824</v>
      </c>
      <c r="C993" s="1186" t="s">
        <v>61</v>
      </c>
      <c r="D993" s="1186" t="s">
        <v>282</v>
      </c>
      <c r="E993" s="1186" t="s">
        <v>960</v>
      </c>
      <c r="F993" s="1186" t="s">
        <v>1981</v>
      </c>
      <c r="G993" s="1186" t="s">
        <v>1988</v>
      </c>
      <c r="H993" s="1186">
        <v>152</v>
      </c>
    </row>
    <row r="994" spans="1:8" x14ac:dyDescent="0.2">
      <c r="A994" s="1186" t="s">
        <v>282</v>
      </c>
      <c r="B994" s="1186" t="s">
        <v>824</v>
      </c>
      <c r="C994" s="1186" t="s">
        <v>116</v>
      </c>
      <c r="D994" s="1186" t="s">
        <v>282</v>
      </c>
      <c r="E994" s="1186" t="s">
        <v>949</v>
      </c>
      <c r="F994" s="1186" t="s">
        <v>1981</v>
      </c>
      <c r="G994" s="1186" t="s">
        <v>1982</v>
      </c>
      <c r="H994" s="1186">
        <v>40</v>
      </c>
    </row>
    <row r="995" spans="1:8" x14ac:dyDescent="0.2">
      <c r="A995" s="1186" t="s">
        <v>282</v>
      </c>
      <c r="B995" s="1186" t="s">
        <v>824</v>
      </c>
      <c r="C995" s="1186" t="s">
        <v>116</v>
      </c>
      <c r="D995" s="1186" t="s">
        <v>282</v>
      </c>
      <c r="E995" s="1186" t="s">
        <v>950</v>
      </c>
      <c r="F995" s="1186" t="s">
        <v>1981</v>
      </c>
      <c r="G995" s="1186" t="s">
        <v>1982</v>
      </c>
      <c r="H995" s="1186">
        <v>53</v>
      </c>
    </row>
    <row r="996" spans="1:8" x14ac:dyDescent="0.2">
      <c r="A996" s="1186" t="s">
        <v>282</v>
      </c>
      <c r="B996" s="1186" t="s">
        <v>824</v>
      </c>
      <c r="C996" s="1186" t="s">
        <v>116</v>
      </c>
      <c r="D996" s="1186" t="s">
        <v>282</v>
      </c>
      <c r="E996" s="1186" t="s">
        <v>951</v>
      </c>
      <c r="F996" s="1186" t="s">
        <v>1983</v>
      </c>
      <c r="G996" s="1186" t="s">
        <v>1982</v>
      </c>
      <c r="H996" s="1186">
        <v>58</v>
      </c>
    </row>
    <row r="997" spans="1:8" x14ac:dyDescent="0.2">
      <c r="A997" s="1186" t="s">
        <v>282</v>
      </c>
      <c r="B997" s="1186" t="s">
        <v>824</v>
      </c>
      <c r="C997" s="1186" t="s">
        <v>116</v>
      </c>
      <c r="D997" s="1186" t="s">
        <v>282</v>
      </c>
      <c r="E997" s="1186" t="s">
        <v>952</v>
      </c>
      <c r="F997" s="1186" t="s">
        <v>1983</v>
      </c>
      <c r="G997" s="1186" t="s">
        <v>1984</v>
      </c>
      <c r="H997" s="1186">
        <v>53</v>
      </c>
    </row>
    <row r="998" spans="1:8" x14ac:dyDescent="0.2">
      <c r="A998" s="1186" t="s">
        <v>282</v>
      </c>
      <c r="B998" s="1186" t="s">
        <v>824</v>
      </c>
      <c r="C998" s="1186" t="s">
        <v>116</v>
      </c>
      <c r="D998" s="1186" t="s">
        <v>282</v>
      </c>
      <c r="E998" s="1186" t="s">
        <v>953</v>
      </c>
      <c r="F998" s="1186" t="s">
        <v>1983</v>
      </c>
      <c r="G998" s="1186" t="s">
        <v>1984</v>
      </c>
      <c r="H998" s="1186">
        <v>63</v>
      </c>
    </row>
    <row r="999" spans="1:8" x14ac:dyDescent="0.2">
      <c r="A999" s="1186" t="s">
        <v>282</v>
      </c>
      <c r="B999" s="1186" t="s">
        <v>824</v>
      </c>
      <c r="C999" s="1186" t="s">
        <v>116</v>
      </c>
      <c r="D999" s="1186" t="s">
        <v>282</v>
      </c>
      <c r="E999" s="1186" t="s">
        <v>954</v>
      </c>
      <c r="F999" s="1186" t="s">
        <v>1985</v>
      </c>
      <c r="G999" s="1186" t="s">
        <v>1984</v>
      </c>
      <c r="H999" s="1186">
        <v>40</v>
      </c>
    </row>
    <row r="1000" spans="1:8" x14ac:dyDescent="0.2">
      <c r="A1000" s="1186" t="s">
        <v>282</v>
      </c>
      <c r="B1000" s="1186" t="s">
        <v>824</v>
      </c>
      <c r="C1000" s="1186" t="s">
        <v>116</v>
      </c>
      <c r="D1000" s="1186" t="s">
        <v>282</v>
      </c>
      <c r="E1000" s="1186" t="s">
        <v>955</v>
      </c>
      <c r="F1000" s="1186" t="s">
        <v>1985</v>
      </c>
      <c r="G1000" s="1186" t="s">
        <v>1986</v>
      </c>
      <c r="H1000" s="1186">
        <v>44</v>
      </c>
    </row>
    <row r="1001" spans="1:8" x14ac:dyDescent="0.2">
      <c r="A1001" s="1186" t="s">
        <v>282</v>
      </c>
      <c r="B1001" s="1186" t="s">
        <v>824</v>
      </c>
      <c r="C1001" s="1186" t="s">
        <v>116</v>
      </c>
      <c r="D1001" s="1186" t="s">
        <v>282</v>
      </c>
      <c r="E1001" s="1186" t="s">
        <v>956</v>
      </c>
      <c r="F1001" s="1186" t="s">
        <v>1985</v>
      </c>
      <c r="G1001" s="1186" t="s">
        <v>1986</v>
      </c>
      <c r="H1001" s="1186">
        <v>48</v>
      </c>
    </row>
    <row r="1002" spans="1:8" x14ac:dyDescent="0.2">
      <c r="A1002" s="1186" t="s">
        <v>282</v>
      </c>
      <c r="B1002" s="1186" t="s">
        <v>824</v>
      </c>
      <c r="C1002" s="1186" t="s">
        <v>116</v>
      </c>
      <c r="D1002" s="1186" t="s">
        <v>282</v>
      </c>
      <c r="E1002" s="1186" t="s">
        <v>957</v>
      </c>
      <c r="F1002" s="1186" t="s">
        <v>1987</v>
      </c>
      <c r="G1002" s="1186" t="s">
        <v>1986</v>
      </c>
      <c r="H1002" s="1186">
        <v>44</v>
      </c>
    </row>
    <row r="1003" spans="1:8" x14ac:dyDescent="0.2">
      <c r="A1003" s="1186" t="s">
        <v>282</v>
      </c>
      <c r="B1003" s="1186" t="s">
        <v>824</v>
      </c>
      <c r="C1003" s="1186" t="s">
        <v>116</v>
      </c>
      <c r="D1003" s="1186" t="s">
        <v>282</v>
      </c>
      <c r="E1003" s="1186" t="s">
        <v>958</v>
      </c>
      <c r="F1003" s="1186" t="s">
        <v>1987</v>
      </c>
      <c r="G1003" s="1186" t="s">
        <v>1988</v>
      </c>
      <c r="H1003" s="1186">
        <v>36</v>
      </c>
    </row>
    <row r="1004" spans="1:8" x14ac:dyDescent="0.2">
      <c r="A1004" s="1186" t="s">
        <v>282</v>
      </c>
      <c r="B1004" s="1186" t="s">
        <v>824</v>
      </c>
      <c r="C1004" s="1186" t="s">
        <v>116</v>
      </c>
      <c r="D1004" s="1186" t="s">
        <v>282</v>
      </c>
      <c r="E1004" s="1186" t="s">
        <v>959</v>
      </c>
      <c r="F1004" s="1186" t="s">
        <v>1987</v>
      </c>
      <c r="G1004" s="1186" t="s">
        <v>1988</v>
      </c>
      <c r="H1004" s="1186">
        <v>34</v>
      </c>
    </row>
    <row r="1005" spans="1:8" x14ac:dyDescent="0.2">
      <c r="A1005" s="1186" t="s">
        <v>282</v>
      </c>
      <c r="B1005" s="1186" t="s">
        <v>824</v>
      </c>
      <c r="C1005" s="1186" t="s">
        <v>116</v>
      </c>
      <c r="D1005" s="1186" t="s">
        <v>282</v>
      </c>
      <c r="E1005" s="1186" t="s">
        <v>960</v>
      </c>
      <c r="F1005" s="1186" t="s">
        <v>1981</v>
      </c>
      <c r="G1005" s="1186" t="s">
        <v>1988</v>
      </c>
      <c r="H1005" s="1186">
        <v>44</v>
      </c>
    </row>
    <row r="1006" spans="1:8" x14ac:dyDescent="0.2">
      <c r="A1006" s="1186" t="s">
        <v>282</v>
      </c>
      <c r="B1006" s="1186" t="s">
        <v>825</v>
      </c>
      <c r="C1006" s="1186" t="s">
        <v>61</v>
      </c>
      <c r="D1006" s="1186" t="s">
        <v>282</v>
      </c>
      <c r="E1006" s="1186" t="s">
        <v>949</v>
      </c>
      <c r="F1006" s="1186" t="s">
        <v>1981</v>
      </c>
      <c r="G1006" s="1186" t="s">
        <v>1982</v>
      </c>
      <c r="H1006" s="1186">
        <v>84</v>
      </c>
    </row>
    <row r="1007" spans="1:8" x14ac:dyDescent="0.2">
      <c r="A1007" s="1186" t="s">
        <v>282</v>
      </c>
      <c r="B1007" s="1186" t="s">
        <v>825</v>
      </c>
      <c r="C1007" s="1186" t="s">
        <v>61</v>
      </c>
      <c r="D1007" s="1186" t="s">
        <v>282</v>
      </c>
      <c r="E1007" s="1186" t="s">
        <v>950</v>
      </c>
      <c r="F1007" s="1186" t="s">
        <v>1981</v>
      </c>
      <c r="G1007" s="1186" t="s">
        <v>1982</v>
      </c>
      <c r="H1007" s="1186">
        <v>125</v>
      </c>
    </row>
    <row r="1008" spans="1:8" x14ac:dyDescent="0.2">
      <c r="A1008" s="1186" t="s">
        <v>282</v>
      </c>
      <c r="B1008" s="1186" t="s">
        <v>825</v>
      </c>
      <c r="C1008" s="1186" t="s">
        <v>61</v>
      </c>
      <c r="D1008" s="1186" t="s">
        <v>282</v>
      </c>
      <c r="E1008" s="1186" t="s">
        <v>951</v>
      </c>
      <c r="F1008" s="1186" t="s">
        <v>1983</v>
      </c>
      <c r="G1008" s="1186" t="s">
        <v>1982</v>
      </c>
      <c r="H1008" s="1186">
        <v>103</v>
      </c>
    </row>
    <row r="1009" spans="1:8" x14ac:dyDescent="0.2">
      <c r="A1009" s="1186" t="s">
        <v>282</v>
      </c>
      <c r="B1009" s="1186" t="s">
        <v>825</v>
      </c>
      <c r="C1009" s="1186" t="s">
        <v>61</v>
      </c>
      <c r="D1009" s="1186" t="s">
        <v>282</v>
      </c>
      <c r="E1009" s="1186" t="s">
        <v>952</v>
      </c>
      <c r="F1009" s="1186" t="s">
        <v>1983</v>
      </c>
      <c r="G1009" s="1186" t="s">
        <v>1984</v>
      </c>
      <c r="H1009" s="1186">
        <v>114</v>
      </c>
    </row>
    <row r="1010" spans="1:8" x14ac:dyDescent="0.2">
      <c r="A1010" s="1186" t="s">
        <v>282</v>
      </c>
      <c r="B1010" s="1186" t="s">
        <v>825</v>
      </c>
      <c r="C1010" s="1186" t="s">
        <v>61</v>
      </c>
      <c r="D1010" s="1186" t="s">
        <v>282</v>
      </c>
      <c r="E1010" s="1186" t="s">
        <v>953</v>
      </c>
      <c r="F1010" s="1186" t="s">
        <v>1983</v>
      </c>
      <c r="G1010" s="1186" t="s">
        <v>1984</v>
      </c>
      <c r="H1010" s="1186">
        <v>130</v>
      </c>
    </row>
    <row r="1011" spans="1:8" x14ac:dyDescent="0.2">
      <c r="A1011" s="1186" t="s">
        <v>282</v>
      </c>
      <c r="B1011" s="1186" t="s">
        <v>825</v>
      </c>
      <c r="C1011" s="1186" t="s">
        <v>61</v>
      </c>
      <c r="D1011" s="1186" t="s">
        <v>282</v>
      </c>
      <c r="E1011" s="1186" t="s">
        <v>954</v>
      </c>
      <c r="F1011" s="1186" t="s">
        <v>1985</v>
      </c>
      <c r="G1011" s="1186" t="s">
        <v>1984</v>
      </c>
      <c r="H1011" s="1186">
        <v>114</v>
      </c>
    </row>
    <row r="1012" spans="1:8" x14ac:dyDescent="0.2">
      <c r="A1012" s="1186" t="s">
        <v>282</v>
      </c>
      <c r="B1012" s="1186" t="s">
        <v>825</v>
      </c>
      <c r="C1012" s="1186" t="s">
        <v>61</v>
      </c>
      <c r="D1012" s="1186" t="s">
        <v>282</v>
      </c>
      <c r="E1012" s="1186" t="s">
        <v>955</v>
      </c>
      <c r="F1012" s="1186" t="s">
        <v>1985</v>
      </c>
      <c r="G1012" s="1186" t="s">
        <v>1986</v>
      </c>
      <c r="H1012" s="1186">
        <v>100</v>
      </c>
    </row>
    <row r="1013" spans="1:8" x14ac:dyDescent="0.2">
      <c r="A1013" s="1186" t="s">
        <v>282</v>
      </c>
      <c r="B1013" s="1186" t="s">
        <v>825</v>
      </c>
      <c r="C1013" s="1186" t="s">
        <v>61</v>
      </c>
      <c r="D1013" s="1186" t="s">
        <v>282</v>
      </c>
      <c r="E1013" s="1186" t="s">
        <v>956</v>
      </c>
      <c r="F1013" s="1186" t="s">
        <v>1985</v>
      </c>
      <c r="G1013" s="1186" t="s">
        <v>1986</v>
      </c>
      <c r="H1013" s="1186">
        <v>87</v>
      </c>
    </row>
    <row r="1014" spans="1:8" x14ac:dyDescent="0.2">
      <c r="A1014" s="1186" t="s">
        <v>282</v>
      </c>
      <c r="B1014" s="1186" t="s">
        <v>825</v>
      </c>
      <c r="C1014" s="1186" t="s">
        <v>61</v>
      </c>
      <c r="D1014" s="1186" t="s">
        <v>282</v>
      </c>
      <c r="E1014" s="1186" t="s">
        <v>957</v>
      </c>
      <c r="F1014" s="1186" t="s">
        <v>1987</v>
      </c>
      <c r="G1014" s="1186" t="s">
        <v>1986</v>
      </c>
      <c r="H1014" s="1186">
        <v>82</v>
      </c>
    </row>
    <row r="1015" spans="1:8" x14ac:dyDescent="0.2">
      <c r="A1015" s="1186" t="s">
        <v>282</v>
      </c>
      <c r="B1015" s="1186" t="s">
        <v>825</v>
      </c>
      <c r="C1015" s="1186" t="s">
        <v>61</v>
      </c>
      <c r="D1015" s="1186" t="s">
        <v>282</v>
      </c>
      <c r="E1015" s="1186" t="s">
        <v>958</v>
      </c>
      <c r="F1015" s="1186" t="s">
        <v>1987</v>
      </c>
      <c r="G1015" s="1186" t="s">
        <v>1988</v>
      </c>
      <c r="H1015" s="1186">
        <v>102</v>
      </c>
    </row>
    <row r="1016" spans="1:8" x14ac:dyDescent="0.2">
      <c r="A1016" s="1186" t="s">
        <v>282</v>
      </c>
      <c r="B1016" s="1186" t="s">
        <v>825</v>
      </c>
      <c r="C1016" s="1186" t="s">
        <v>61</v>
      </c>
      <c r="D1016" s="1186" t="s">
        <v>282</v>
      </c>
      <c r="E1016" s="1186" t="s">
        <v>959</v>
      </c>
      <c r="F1016" s="1186" t="s">
        <v>1987</v>
      </c>
      <c r="G1016" s="1186" t="s">
        <v>1988</v>
      </c>
      <c r="H1016" s="1186">
        <v>84</v>
      </c>
    </row>
    <row r="1017" spans="1:8" x14ac:dyDescent="0.2">
      <c r="A1017" s="1186" t="s">
        <v>282</v>
      </c>
      <c r="B1017" s="1186" t="s">
        <v>825</v>
      </c>
      <c r="C1017" s="1186" t="s">
        <v>61</v>
      </c>
      <c r="D1017" s="1186" t="s">
        <v>282</v>
      </c>
      <c r="E1017" s="1186" t="s">
        <v>960</v>
      </c>
      <c r="F1017" s="1186" t="s">
        <v>1981</v>
      </c>
      <c r="G1017" s="1186" t="s">
        <v>1988</v>
      </c>
      <c r="H1017" s="1186">
        <v>86</v>
      </c>
    </row>
    <row r="1018" spans="1:8" x14ac:dyDescent="0.2">
      <c r="A1018" s="1186" t="s">
        <v>282</v>
      </c>
      <c r="B1018" s="1186" t="s">
        <v>825</v>
      </c>
      <c r="C1018" s="1186" t="s">
        <v>116</v>
      </c>
      <c r="D1018" s="1186" t="s">
        <v>282</v>
      </c>
      <c r="E1018" s="1186" t="s">
        <v>949</v>
      </c>
      <c r="F1018" s="1186" t="s">
        <v>1981</v>
      </c>
      <c r="G1018" s="1186" t="s">
        <v>1982</v>
      </c>
      <c r="H1018" s="1186">
        <v>65</v>
      </c>
    </row>
    <row r="1019" spans="1:8" x14ac:dyDescent="0.2">
      <c r="A1019" s="1186" t="s">
        <v>282</v>
      </c>
      <c r="B1019" s="1186" t="s">
        <v>825</v>
      </c>
      <c r="C1019" s="1186" t="s">
        <v>116</v>
      </c>
      <c r="D1019" s="1186" t="s">
        <v>282</v>
      </c>
      <c r="E1019" s="1186" t="s">
        <v>950</v>
      </c>
      <c r="F1019" s="1186" t="s">
        <v>1981</v>
      </c>
      <c r="G1019" s="1186" t="s">
        <v>1982</v>
      </c>
      <c r="H1019" s="1186">
        <v>71</v>
      </c>
    </row>
    <row r="1020" spans="1:8" x14ac:dyDescent="0.2">
      <c r="A1020" s="1186" t="s">
        <v>282</v>
      </c>
      <c r="B1020" s="1186" t="s">
        <v>825</v>
      </c>
      <c r="C1020" s="1186" t="s">
        <v>116</v>
      </c>
      <c r="D1020" s="1186" t="s">
        <v>282</v>
      </c>
      <c r="E1020" s="1186" t="s">
        <v>951</v>
      </c>
      <c r="F1020" s="1186" t="s">
        <v>1983</v>
      </c>
      <c r="G1020" s="1186" t="s">
        <v>1982</v>
      </c>
      <c r="H1020" s="1186">
        <v>74</v>
      </c>
    </row>
    <row r="1021" spans="1:8" x14ac:dyDescent="0.2">
      <c r="A1021" s="1186" t="s">
        <v>282</v>
      </c>
      <c r="B1021" s="1186" t="s">
        <v>825</v>
      </c>
      <c r="C1021" s="1186" t="s">
        <v>116</v>
      </c>
      <c r="D1021" s="1186" t="s">
        <v>282</v>
      </c>
      <c r="E1021" s="1186" t="s">
        <v>952</v>
      </c>
      <c r="F1021" s="1186" t="s">
        <v>1983</v>
      </c>
      <c r="G1021" s="1186" t="s">
        <v>1984</v>
      </c>
      <c r="H1021" s="1186">
        <v>78</v>
      </c>
    </row>
    <row r="1022" spans="1:8" x14ac:dyDescent="0.2">
      <c r="A1022" s="1186" t="s">
        <v>282</v>
      </c>
      <c r="B1022" s="1186" t="s">
        <v>825</v>
      </c>
      <c r="C1022" s="1186" t="s">
        <v>116</v>
      </c>
      <c r="D1022" s="1186" t="s">
        <v>282</v>
      </c>
      <c r="E1022" s="1186" t="s">
        <v>953</v>
      </c>
      <c r="F1022" s="1186" t="s">
        <v>1983</v>
      </c>
      <c r="G1022" s="1186" t="s">
        <v>1984</v>
      </c>
      <c r="H1022" s="1186">
        <v>80</v>
      </c>
    </row>
    <row r="1023" spans="1:8" x14ac:dyDescent="0.2">
      <c r="A1023" s="1186" t="s">
        <v>282</v>
      </c>
      <c r="B1023" s="1186" t="s">
        <v>825</v>
      </c>
      <c r="C1023" s="1186" t="s">
        <v>116</v>
      </c>
      <c r="D1023" s="1186" t="s">
        <v>282</v>
      </c>
      <c r="E1023" s="1186" t="s">
        <v>954</v>
      </c>
      <c r="F1023" s="1186" t="s">
        <v>1985</v>
      </c>
      <c r="G1023" s="1186" t="s">
        <v>1984</v>
      </c>
      <c r="H1023" s="1186">
        <v>92</v>
      </c>
    </row>
    <row r="1024" spans="1:8" x14ac:dyDescent="0.2">
      <c r="A1024" s="1186" t="s">
        <v>282</v>
      </c>
      <c r="B1024" s="1186" t="s">
        <v>825</v>
      </c>
      <c r="C1024" s="1186" t="s">
        <v>116</v>
      </c>
      <c r="D1024" s="1186" t="s">
        <v>282</v>
      </c>
      <c r="E1024" s="1186" t="s">
        <v>955</v>
      </c>
      <c r="F1024" s="1186" t="s">
        <v>1985</v>
      </c>
      <c r="G1024" s="1186" t="s">
        <v>1986</v>
      </c>
      <c r="H1024" s="1186">
        <v>87</v>
      </c>
    </row>
    <row r="1025" spans="1:8" x14ac:dyDescent="0.2">
      <c r="A1025" s="1186" t="s">
        <v>282</v>
      </c>
      <c r="B1025" s="1186" t="s">
        <v>825</v>
      </c>
      <c r="C1025" s="1186" t="s">
        <v>116</v>
      </c>
      <c r="D1025" s="1186" t="s">
        <v>282</v>
      </c>
      <c r="E1025" s="1186" t="s">
        <v>956</v>
      </c>
      <c r="F1025" s="1186" t="s">
        <v>1985</v>
      </c>
      <c r="G1025" s="1186" t="s">
        <v>1986</v>
      </c>
      <c r="H1025" s="1186">
        <v>89</v>
      </c>
    </row>
    <row r="1026" spans="1:8" x14ac:dyDescent="0.2">
      <c r="A1026" s="1186" t="s">
        <v>282</v>
      </c>
      <c r="B1026" s="1186" t="s">
        <v>825</v>
      </c>
      <c r="C1026" s="1186" t="s">
        <v>116</v>
      </c>
      <c r="D1026" s="1186" t="s">
        <v>282</v>
      </c>
      <c r="E1026" s="1186" t="s">
        <v>957</v>
      </c>
      <c r="F1026" s="1186" t="s">
        <v>1987</v>
      </c>
      <c r="G1026" s="1186" t="s">
        <v>1986</v>
      </c>
      <c r="H1026" s="1186">
        <v>73</v>
      </c>
    </row>
    <row r="1027" spans="1:8" x14ac:dyDescent="0.2">
      <c r="A1027" s="1186" t="s">
        <v>282</v>
      </c>
      <c r="B1027" s="1186" t="s">
        <v>825</v>
      </c>
      <c r="C1027" s="1186" t="s">
        <v>116</v>
      </c>
      <c r="D1027" s="1186" t="s">
        <v>282</v>
      </c>
      <c r="E1027" s="1186" t="s">
        <v>958</v>
      </c>
      <c r="F1027" s="1186" t="s">
        <v>1987</v>
      </c>
      <c r="G1027" s="1186" t="s">
        <v>1988</v>
      </c>
      <c r="H1027" s="1186">
        <v>70</v>
      </c>
    </row>
    <row r="1028" spans="1:8" x14ac:dyDescent="0.2">
      <c r="A1028" s="1186" t="s">
        <v>282</v>
      </c>
      <c r="B1028" s="1186" t="s">
        <v>825</v>
      </c>
      <c r="C1028" s="1186" t="s">
        <v>116</v>
      </c>
      <c r="D1028" s="1186" t="s">
        <v>282</v>
      </c>
      <c r="E1028" s="1186" t="s">
        <v>959</v>
      </c>
      <c r="F1028" s="1186" t="s">
        <v>1987</v>
      </c>
      <c r="G1028" s="1186" t="s">
        <v>1988</v>
      </c>
      <c r="H1028" s="1186">
        <v>66</v>
      </c>
    </row>
    <row r="1029" spans="1:8" x14ac:dyDescent="0.2">
      <c r="A1029" s="1186" t="s">
        <v>282</v>
      </c>
      <c r="B1029" s="1186" t="s">
        <v>825</v>
      </c>
      <c r="C1029" s="1186" t="s">
        <v>116</v>
      </c>
      <c r="D1029" s="1186" t="s">
        <v>282</v>
      </c>
      <c r="E1029" s="1186" t="s">
        <v>960</v>
      </c>
      <c r="F1029" s="1186" t="s">
        <v>1981</v>
      </c>
      <c r="G1029" s="1186" t="s">
        <v>1988</v>
      </c>
      <c r="H1029" s="1186">
        <v>64</v>
      </c>
    </row>
    <row r="1030" spans="1:8" x14ac:dyDescent="0.2">
      <c r="A1030" s="1186" t="s">
        <v>282</v>
      </c>
      <c r="B1030" s="1186" t="s">
        <v>826</v>
      </c>
      <c r="C1030" s="1186" t="s">
        <v>61</v>
      </c>
      <c r="D1030" s="1186" t="s">
        <v>282</v>
      </c>
      <c r="E1030" s="1186" t="s">
        <v>949</v>
      </c>
      <c r="F1030" s="1186" t="s">
        <v>1981</v>
      </c>
      <c r="G1030" s="1186" t="s">
        <v>1982</v>
      </c>
      <c r="H1030" s="1186">
        <v>27</v>
      </c>
    </row>
    <row r="1031" spans="1:8" x14ac:dyDescent="0.2">
      <c r="A1031" s="1186" t="s">
        <v>282</v>
      </c>
      <c r="B1031" s="1186" t="s">
        <v>826</v>
      </c>
      <c r="C1031" s="1186" t="s">
        <v>61</v>
      </c>
      <c r="D1031" s="1186" t="s">
        <v>282</v>
      </c>
      <c r="E1031" s="1186" t="s">
        <v>950</v>
      </c>
      <c r="F1031" s="1186" t="s">
        <v>1981</v>
      </c>
      <c r="G1031" s="1186" t="s">
        <v>1982</v>
      </c>
      <c r="H1031" s="1186">
        <v>50</v>
      </c>
    </row>
    <row r="1032" spans="1:8" x14ac:dyDescent="0.2">
      <c r="A1032" s="1186" t="s">
        <v>282</v>
      </c>
      <c r="B1032" s="1186" t="s">
        <v>826</v>
      </c>
      <c r="C1032" s="1186" t="s">
        <v>61</v>
      </c>
      <c r="D1032" s="1186" t="s">
        <v>282</v>
      </c>
      <c r="E1032" s="1186" t="s">
        <v>951</v>
      </c>
      <c r="F1032" s="1186" t="s">
        <v>1983</v>
      </c>
      <c r="G1032" s="1186" t="s">
        <v>1982</v>
      </c>
      <c r="H1032" s="1186">
        <v>37</v>
      </c>
    </row>
    <row r="1033" spans="1:8" x14ac:dyDescent="0.2">
      <c r="A1033" s="1186" t="s">
        <v>282</v>
      </c>
      <c r="B1033" s="1186" t="s">
        <v>826</v>
      </c>
      <c r="C1033" s="1186" t="s">
        <v>61</v>
      </c>
      <c r="D1033" s="1186" t="s">
        <v>282</v>
      </c>
      <c r="E1033" s="1186" t="s">
        <v>952</v>
      </c>
      <c r="F1033" s="1186" t="s">
        <v>1983</v>
      </c>
      <c r="G1033" s="1186" t="s">
        <v>1984</v>
      </c>
      <c r="H1033" s="1186">
        <v>18</v>
      </c>
    </row>
    <row r="1034" spans="1:8" x14ac:dyDescent="0.2">
      <c r="A1034" s="1186" t="s">
        <v>282</v>
      </c>
      <c r="B1034" s="1186" t="s">
        <v>826</v>
      </c>
      <c r="C1034" s="1186" t="s">
        <v>61</v>
      </c>
      <c r="D1034" s="1186" t="s">
        <v>282</v>
      </c>
      <c r="E1034" s="1186" t="s">
        <v>953</v>
      </c>
      <c r="F1034" s="1186" t="s">
        <v>1983</v>
      </c>
      <c r="G1034" s="1186" t="s">
        <v>1984</v>
      </c>
      <c r="H1034" s="1186">
        <v>30</v>
      </c>
    </row>
    <row r="1035" spans="1:8" x14ac:dyDescent="0.2">
      <c r="A1035" s="1186" t="s">
        <v>282</v>
      </c>
      <c r="B1035" s="1186" t="s">
        <v>826</v>
      </c>
      <c r="C1035" s="1186" t="s">
        <v>61</v>
      </c>
      <c r="D1035" s="1186" t="s">
        <v>282</v>
      </c>
      <c r="E1035" s="1186" t="s">
        <v>954</v>
      </c>
      <c r="F1035" s="1186" t="s">
        <v>1985</v>
      </c>
      <c r="G1035" s="1186" t="s">
        <v>1984</v>
      </c>
      <c r="H1035" s="1186">
        <v>44</v>
      </c>
    </row>
    <row r="1036" spans="1:8" x14ac:dyDescent="0.2">
      <c r="A1036" s="1186" t="s">
        <v>282</v>
      </c>
      <c r="B1036" s="1186" t="s">
        <v>826</v>
      </c>
      <c r="C1036" s="1186" t="s">
        <v>61</v>
      </c>
      <c r="D1036" s="1186" t="s">
        <v>282</v>
      </c>
      <c r="E1036" s="1186" t="s">
        <v>955</v>
      </c>
      <c r="F1036" s="1186" t="s">
        <v>1985</v>
      </c>
      <c r="G1036" s="1186" t="s">
        <v>1986</v>
      </c>
      <c r="H1036" s="1186">
        <v>26</v>
      </c>
    </row>
    <row r="1037" spans="1:8" x14ac:dyDescent="0.2">
      <c r="A1037" s="1186" t="s">
        <v>282</v>
      </c>
      <c r="B1037" s="1186" t="s">
        <v>826</v>
      </c>
      <c r="C1037" s="1186" t="s">
        <v>61</v>
      </c>
      <c r="D1037" s="1186" t="s">
        <v>282</v>
      </c>
      <c r="E1037" s="1186" t="s">
        <v>956</v>
      </c>
      <c r="F1037" s="1186" t="s">
        <v>1985</v>
      </c>
      <c r="G1037" s="1186" t="s">
        <v>1986</v>
      </c>
      <c r="H1037" s="1186">
        <v>28</v>
      </c>
    </row>
    <row r="1038" spans="1:8" x14ac:dyDescent="0.2">
      <c r="A1038" s="1186" t="s">
        <v>282</v>
      </c>
      <c r="B1038" s="1186" t="s">
        <v>826</v>
      </c>
      <c r="C1038" s="1186" t="s">
        <v>61</v>
      </c>
      <c r="D1038" s="1186" t="s">
        <v>282</v>
      </c>
      <c r="E1038" s="1186" t="s">
        <v>957</v>
      </c>
      <c r="F1038" s="1186" t="s">
        <v>1987</v>
      </c>
      <c r="G1038" s="1186" t="s">
        <v>1986</v>
      </c>
      <c r="H1038" s="1186">
        <v>23</v>
      </c>
    </row>
    <row r="1039" spans="1:8" x14ac:dyDescent="0.2">
      <c r="A1039" s="1186" t="s">
        <v>282</v>
      </c>
      <c r="B1039" s="1186" t="s">
        <v>826</v>
      </c>
      <c r="C1039" s="1186" t="s">
        <v>61</v>
      </c>
      <c r="D1039" s="1186" t="s">
        <v>282</v>
      </c>
      <c r="E1039" s="1186" t="s">
        <v>958</v>
      </c>
      <c r="F1039" s="1186" t="s">
        <v>1987</v>
      </c>
      <c r="G1039" s="1186" t="s">
        <v>1988</v>
      </c>
      <c r="H1039" s="1186">
        <v>23</v>
      </c>
    </row>
    <row r="1040" spans="1:8" x14ac:dyDescent="0.2">
      <c r="A1040" s="1186" t="s">
        <v>282</v>
      </c>
      <c r="B1040" s="1186" t="s">
        <v>826</v>
      </c>
      <c r="C1040" s="1186" t="s">
        <v>61</v>
      </c>
      <c r="D1040" s="1186" t="s">
        <v>282</v>
      </c>
      <c r="E1040" s="1186" t="s">
        <v>959</v>
      </c>
      <c r="F1040" s="1186" t="s">
        <v>1987</v>
      </c>
      <c r="G1040" s="1186" t="s">
        <v>1988</v>
      </c>
      <c r="H1040" s="1186">
        <v>10</v>
      </c>
    </row>
    <row r="1041" spans="1:8" x14ac:dyDescent="0.2">
      <c r="A1041" s="1186" t="s">
        <v>282</v>
      </c>
      <c r="B1041" s="1186" t="s">
        <v>826</v>
      </c>
      <c r="C1041" s="1186" t="s">
        <v>61</v>
      </c>
      <c r="D1041" s="1186" t="s">
        <v>282</v>
      </c>
      <c r="E1041" s="1186" t="s">
        <v>960</v>
      </c>
      <c r="F1041" s="1186" t="s">
        <v>1981</v>
      </c>
      <c r="G1041" s="1186" t="s">
        <v>1988</v>
      </c>
      <c r="H1041" s="1186">
        <v>30</v>
      </c>
    </row>
    <row r="1042" spans="1:8" x14ac:dyDescent="0.2">
      <c r="A1042" s="1186" t="s">
        <v>282</v>
      </c>
      <c r="B1042" s="1186" t="s">
        <v>826</v>
      </c>
      <c r="C1042" s="1186" t="s">
        <v>116</v>
      </c>
      <c r="D1042" s="1186" t="s">
        <v>282</v>
      </c>
      <c r="E1042" s="1186" t="s">
        <v>949</v>
      </c>
      <c r="F1042" s="1186" t="s">
        <v>1981</v>
      </c>
      <c r="G1042" s="1186" t="s">
        <v>1982</v>
      </c>
      <c r="H1042" s="1186">
        <v>42</v>
      </c>
    </row>
    <row r="1043" spans="1:8" x14ac:dyDescent="0.2">
      <c r="A1043" s="1186" t="s">
        <v>282</v>
      </c>
      <c r="B1043" s="1186" t="s">
        <v>826</v>
      </c>
      <c r="C1043" s="1186" t="s">
        <v>116</v>
      </c>
      <c r="D1043" s="1186" t="s">
        <v>282</v>
      </c>
      <c r="E1043" s="1186" t="s">
        <v>950</v>
      </c>
      <c r="F1043" s="1186" t="s">
        <v>1981</v>
      </c>
      <c r="G1043" s="1186" t="s">
        <v>1982</v>
      </c>
      <c r="H1043" s="1186">
        <v>92</v>
      </c>
    </row>
    <row r="1044" spans="1:8" x14ac:dyDescent="0.2">
      <c r="A1044" s="1186" t="s">
        <v>282</v>
      </c>
      <c r="B1044" s="1186" t="s">
        <v>826</v>
      </c>
      <c r="C1044" s="1186" t="s">
        <v>116</v>
      </c>
      <c r="D1044" s="1186" t="s">
        <v>282</v>
      </c>
      <c r="E1044" s="1186" t="s">
        <v>951</v>
      </c>
      <c r="F1044" s="1186" t="s">
        <v>1983</v>
      </c>
      <c r="G1044" s="1186" t="s">
        <v>1982</v>
      </c>
      <c r="H1044" s="1186">
        <v>59</v>
      </c>
    </row>
    <row r="1045" spans="1:8" x14ac:dyDescent="0.2">
      <c r="A1045" s="1186" t="s">
        <v>282</v>
      </c>
      <c r="B1045" s="1186" t="s">
        <v>826</v>
      </c>
      <c r="C1045" s="1186" t="s">
        <v>116</v>
      </c>
      <c r="D1045" s="1186" t="s">
        <v>282</v>
      </c>
      <c r="E1045" s="1186" t="s">
        <v>952</v>
      </c>
      <c r="F1045" s="1186" t="s">
        <v>1983</v>
      </c>
      <c r="G1045" s="1186" t="s">
        <v>1984</v>
      </c>
      <c r="H1045" s="1186">
        <v>54</v>
      </c>
    </row>
    <row r="1046" spans="1:8" x14ac:dyDescent="0.2">
      <c r="A1046" s="1186" t="s">
        <v>282</v>
      </c>
      <c r="B1046" s="1186" t="s">
        <v>826</v>
      </c>
      <c r="C1046" s="1186" t="s">
        <v>116</v>
      </c>
      <c r="D1046" s="1186" t="s">
        <v>282</v>
      </c>
      <c r="E1046" s="1186" t="s">
        <v>953</v>
      </c>
      <c r="F1046" s="1186" t="s">
        <v>1983</v>
      </c>
      <c r="G1046" s="1186" t="s">
        <v>1984</v>
      </c>
      <c r="H1046" s="1186">
        <v>62</v>
      </c>
    </row>
    <row r="1047" spans="1:8" x14ac:dyDescent="0.2">
      <c r="A1047" s="1186" t="s">
        <v>282</v>
      </c>
      <c r="B1047" s="1186" t="s">
        <v>826</v>
      </c>
      <c r="C1047" s="1186" t="s">
        <v>116</v>
      </c>
      <c r="D1047" s="1186" t="s">
        <v>282</v>
      </c>
      <c r="E1047" s="1186" t="s">
        <v>954</v>
      </c>
      <c r="F1047" s="1186" t="s">
        <v>1985</v>
      </c>
      <c r="G1047" s="1186" t="s">
        <v>1984</v>
      </c>
      <c r="H1047" s="1186">
        <v>51</v>
      </c>
    </row>
    <row r="1048" spans="1:8" x14ac:dyDescent="0.2">
      <c r="A1048" s="1186" t="s">
        <v>282</v>
      </c>
      <c r="B1048" s="1186" t="s">
        <v>826</v>
      </c>
      <c r="C1048" s="1186" t="s">
        <v>116</v>
      </c>
      <c r="D1048" s="1186" t="s">
        <v>282</v>
      </c>
      <c r="E1048" s="1186" t="s">
        <v>955</v>
      </c>
      <c r="F1048" s="1186" t="s">
        <v>1985</v>
      </c>
      <c r="G1048" s="1186" t="s">
        <v>1986</v>
      </c>
      <c r="H1048" s="1186">
        <v>82</v>
      </c>
    </row>
    <row r="1049" spans="1:8" x14ac:dyDescent="0.2">
      <c r="A1049" s="1186" t="s">
        <v>282</v>
      </c>
      <c r="B1049" s="1186" t="s">
        <v>826</v>
      </c>
      <c r="C1049" s="1186" t="s">
        <v>116</v>
      </c>
      <c r="D1049" s="1186" t="s">
        <v>282</v>
      </c>
      <c r="E1049" s="1186" t="s">
        <v>956</v>
      </c>
      <c r="F1049" s="1186" t="s">
        <v>1985</v>
      </c>
      <c r="G1049" s="1186" t="s">
        <v>1986</v>
      </c>
      <c r="H1049" s="1186">
        <v>46</v>
      </c>
    </row>
    <row r="1050" spans="1:8" x14ac:dyDescent="0.2">
      <c r="A1050" s="1186" t="s">
        <v>282</v>
      </c>
      <c r="B1050" s="1186" t="s">
        <v>826</v>
      </c>
      <c r="C1050" s="1186" t="s">
        <v>116</v>
      </c>
      <c r="D1050" s="1186" t="s">
        <v>282</v>
      </c>
      <c r="E1050" s="1186" t="s">
        <v>957</v>
      </c>
      <c r="F1050" s="1186" t="s">
        <v>1987</v>
      </c>
      <c r="G1050" s="1186" t="s">
        <v>1986</v>
      </c>
      <c r="H1050" s="1186">
        <v>33</v>
      </c>
    </row>
    <row r="1051" spans="1:8" x14ac:dyDescent="0.2">
      <c r="A1051" s="1186" t="s">
        <v>282</v>
      </c>
      <c r="B1051" s="1186" t="s">
        <v>826</v>
      </c>
      <c r="C1051" s="1186" t="s">
        <v>116</v>
      </c>
      <c r="D1051" s="1186" t="s">
        <v>282</v>
      </c>
      <c r="E1051" s="1186" t="s">
        <v>958</v>
      </c>
      <c r="F1051" s="1186" t="s">
        <v>1987</v>
      </c>
      <c r="G1051" s="1186" t="s">
        <v>1988</v>
      </c>
      <c r="H1051" s="1186">
        <v>23</v>
      </c>
    </row>
    <row r="1052" spans="1:8" x14ac:dyDescent="0.2">
      <c r="A1052" s="1186" t="s">
        <v>282</v>
      </c>
      <c r="B1052" s="1186" t="s">
        <v>826</v>
      </c>
      <c r="C1052" s="1186" t="s">
        <v>116</v>
      </c>
      <c r="D1052" s="1186" t="s">
        <v>282</v>
      </c>
      <c r="E1052" s="1186" t="s">
        <v>959</v>
      </c>
      <c r="F1052" s="1186" t="s">
        <v>1987</v>
      </c>
      <c r="G1052" s="1186" t="s">
        <v>1988</v>
      </c>
      <c r="H1052" s="1186">
        <v>29</v>
      </c>
    </row>
    <row r="1053" spans="1:8" x14ac:dyDescent="0.2">
      <c r="A1053" s="1186" t="s">
        <v>282</v>
      </c>
      <c r="B1053" s="1186" t="s">
        <v>826</v>
      </c>
      <c r="C1053" s="1186" t="s">
        <v>116</v>
      </c>
      <c r="D1053" s="1186" t="s">
        <v>282</v>
      </c>
      <c r="E1053" s="1186" t="s">
        <v>960</v>
      </c>
      <c r="F1053" s="1186" t="s">
        <v>1981</v>
      </c>
      <c r="G1053" s="1186" t="s">
        <v>1988</v>
      </c>
      <c r="H1053" s="1186">
        <v>38</v>
      </c>
    </row>
    <row r="1054" spans="1:8" x14ac:dyDescent="0.2">
      <c r="A1054" s="1186" t="s">
        <v>282</v>
      </c>
      <c r="B1054" s="1186" t="s">
        <v>308</v>
      </c>
      <c r="C1054" s="1186" t="s">
        <v>61</v>
      </c>
      <c r="D1054" s="1186" t="s">
        <v>282</v>
      </c>
      <c r="E1054" s="1186" t="s">
        <v>949</v>
      </c>
      <c r="F1054" s="1186" t="s">
        <v>1981</v>
      </c>
      <c r="G1054" s="1186" t="s">
        <v>1982</v>
      </c>
      <c r="H1054" s="1186">
        <v>254</v>
      </c>
    </row>
    <row r="1055" spans="1:8" x14ac:dyDescent="0.2">
      <c r="A1055" s="1186" t="s">
        <v>282</v>
      </c>
      <c r="B1055" s="1186" t="s">
        <v>308</v>
      </c>
      <c r="C1055" s="1186" t="s">
        <v>61</v>
      </c>
      <c r="D1055" s="1186" t="s">
        <v>282</v>
      </c>
      <c r="E1055" s="1186" t="s">
        <v>950</v>
      </c>
      <c r="F1055" s="1186" t="s">
        <v>1981</v>
      </c>
      <c r="G1055" s="1186" t="s">
        <v>1982</v>
      </c>
      <c r="H1055" s="1186">
        <v>467</v>
      </c>
    </row>
    <row r="1056" spans="1:8" x14ac:dyDescent="0.2">
      <c r="A1056" s="1186" t="s">
        <v>282</v>
      </c>
      <c r="B1056" s="1186" t="s">
        <v>308</v>
      </c>
      <c r="C1056" s="1186" t="s">
        <v>61</v>
      </c>
      <c r="D1056" s="1186" t="s">
        <v>282</v>
      </c>
      <c r="E1056" s="1186" t="s">
        <v>951</v>
      </c>
      <c r="F1056" s="1186" t="s">
        <v>1983</v>
      </c>
      <c r="G1056" s="1186" t="s">
        <v>1982</v>
      </c>
      <c r="H1056" s="1186">
        <v>260</v>
      </c>
    </row>
    <row r="1057" spans="1:8" x14ac:dyDescent="0.2">
      <c r="A1057" s="1186" t="s">
        <v>282</v>
      </c>
      <c r="B1057" s="1186" t="s">
        <v>308</v>
      </c>
      <c r="C1057" s="1186" t="s">
        <v>61</v>
      </c>
      <c r="D1057" s="1186" t="s">
        <v>282</v>
      </c>
      <c r="E1057" s="1186" t="s">
        <v>952</v>
      </c>
      <c r="F1057" s="1186" t="s">
        <v>1983</v>
      </c>
      <c r="G1057" s="1186" t="s">
        <v>1984</v>
      </c>
      <c r="H1057" s="1186">
        <v>187</v>
      </c>
    </row>
    <row r="1058" spans="1:8" x14ac:dyDescent="0.2">
      <c r="A1058" s="1186" t="s">
        <v>282</v>
      </c>
      <c r="B1058" s="1186" t="s">
        <v>308</v>
      </c>
      <c r="C1058" s="1186" t="s">
        <v>61</v>
      </c>
      <c r="D1058" s="1186" t="s">
        <v>282</v>
      </c>
      <c r="E1058" s="1186" t="s">
        <v>953</v>
      </c>
      <c r="F1058" s="1186" t="s">
        <v>1983</v>
      </c>
      <c r="G1058" s="1186" t="s">
        <v>1984</v>
      </c>
      <c r="H1058" s="1186">
        <v>212</v>
      </c>
    </row>
    <row r="1059" spans="1:8" x14ac:dyDescent="0.2">
      <c r="A1059" s="1186" t="s">
        <v>282</v>
      </c>
      <c r="B1059" s="1186" t="s">
        <v>308</v>
      </c>
      <c r="C1059" s="1186" t="s">
        <v>61</v>
      </c>
      <c r="D1059" s="1186" t="s">
        <v>282</v>
      </c>
      <c r="E1059" s="1186" t="s">
        <v>954</v>
      </c>
      <c r="F1059" s="1186" t="s">
        <v>1985</v>
      </c>
      <c r="G1059" s="1186" t="s">
        <v>1984</v>
      </c>
      <c r="H1059" s="1186">
        <v>156</v>
      </c>
    </row>
    <row r="1060" spans="1:8" x14ac:dyDescent="0.2">
      <c r="A1060" s="1186" t="s">
        <v>282</v>
      </c>
      <c r="B1060" s="1186" t="s">
        <v>308</v>
      </c>
      <c r="C1060" s="1186" t="s">
        <v>61</v>
      </c>
      <c r="D1060" s="1186" t="s">
        <v>282</v>
      </c>
      <c r="E1060" s="1186" t="s">
        <v>955</v>
      </c>
      <c r="F1060" s="1186" t="s">
        <v>1985</v>
      </c>
      <c r="G1060" s="1186" t="s">
        <v>1986</v>
      </c>
      <c r="H1060" s="1186">
        <v>167</v>
      </c>
    </row>
    <row r="1061" spans="1:8" x14ac:dyDescent="0.2">
      <c r="A1061" s="1186" t="s">
        <v>282</v>
      </c>
      <c r="B1061" s="1186" t="s">
        <v>308</v>
      </c>
      <c r="C1061" s="1186" t="s">
        <v>61</v>
      </c>
      <c r="D1061" s="1186" t="s">
        <v>282</v>
      </c>
      <c r="E1061" s="1186" t="s">
        <v>956</v>
      </c>
      <c r="F1061" s="1186" t="s">
        <v>1985</v>
      </c>
      <c r="G1061" s="1186" t="s">
        <v>1986</v>
      </c>
      <c r="H1061" s="1186">
        <v>158</v>
      </c>
    </row>
    <row r="1062" spans="1:8" x14ac:dyDescent="0.2">
      <c r="A1062" s="1186" t="s">
        <v>282</v>
      </c>
      <c r="B1062" s="1186" t="s">
        <v>308</v>
      </c>
      <c r="C1062" s="1186" t="s">
        <v>61</v>
      </c>
      <c r="D1062" s="1186" t="s">
        <v>282</v>
      </c>
      <c r="E1062" s="1186" t="s">
        <v>957</v>
      </c>
      <c r="F1062" s="1186" t="s">
        <v>1987</v>
      </c>
      <c r="G1062" s="1186" t="s">
        <v>1986</v>
      </c>
      <c r="H1062" s="1186">
        <v>120</v>
      </c>
    </row>
    <row r="1063" spans="1:8" x14ac:dyDescent="0.2">
      <c r="A1063" s="1186" t="s">
        <v>282</v>
      </c>
      <c r="B1063" s="1186" t="s">
        <v>308</v>
      </c>
      <c r="C1063" s="1186" t="s">
        <v>61</v>
      </c>
      <c r="D1063" s="1186" t="s">
        <v>282</v>
      </c>
      <c r="E1063" s="1186" t="s">
        <v>958</v>
      </c>
      <c r="F1063" s="1186" t="s">
        <v>1987</v>
      </c>
      <c r="G1063" s="1186" t="s">
        <v>1988</v>
      </c>
      <c r="H1063" s="1186">
        <v>97</v>
      </c>
    </row>
    <row r="1064" spans="1:8" x14ac:dyDescent="0.2">
      <c r="A1064" s="1186" t="s">
        <v>282</v>
      </c>
      <c r="B1064" s="1186" t="s">
        <v>308</v>
      </c>
      <c r="C1064" s="1186" t="s">
        <v>61</v>
      </c>
      <c r="D1064" s="1186" t="s">
        <v>282</v>
      </c>
      <c r="E1064" s="1186" t="s">
        <v>959</v>
      </c>
      <c r="F1064" s="1186" t="s">
        <v>1987</v>
      </c>
      <c r="G1064" s="1186" t="s">
        <v>1988</v>
      </c>
      <c r="H1064" s="1186">
        <v>140</v>
      </c>
    </row>
    <row r="1065" spans="1:8" x14ac:dyDescent="0.2">
      <c r="A1065" s="1186" t="s">
        <v>282</v>
      </c>
      <c r="B1065" s="1186" t="s">
        <v>308</v>
      </c>
      <c r="C1065" s="1186" t="s">
        <v>61</v>
      </c>
      <c r="D1065" s="1186" t="s">
        <v>282</v>
      </c>
      <c r="E1065" s="1186" t="s">
        <v>960</v>
      </c>
      <c r="F1065" s="1186" t="s">
        <v>1981</v>
      </c>
      <c r="G1065" s="1186" t="s">
        <v>1988</v>
      </c>
      <c r="H1065" s="1186">
        <v>249</v>
      </c>
    </row>
    <row r="1066" spans="1:8" x14ac:dyDescent="0.2">
      <c r="A1066" s="1186" t="s">
        <v>282</v>
      </c>
      <c r="B1066" s="1186" t="s">
        <v>308</v>
      </c>
      <c r="C1066" s="1186" t="s">
        <v>116</v>
      </c>
      <c r="D1066" s="1186" t="s">
        <v>282</v>
      </c>
      <c r="E1066" s="1186" t="s">
        <v>949</v>
      </c>
      <c r="F1066" s="1186" t="s">
        <v>1981</v>
      </c>
      <c r="G1066" s="1186" t="s">
        <v>1982</v>
      </c>
      <c r="H1066" s="1186">
        <v>1614</v>
      </c>
    </row>
    <row r="1067" spans="1:8" x14ac:dyDescent="0.2">
      <c r="A1067" s="1186" t="s">
        <v>282</v>
      </c>
      <c r="B1067" s="1186" t="s">
        <v>308</v>
      </c>
      <c r="C1067" s="1186" t="s">
        <v>116</v>
      </c>
      <c r="D1067" s="1186" t="s">
        <v>282</v>
      </c>
      <c r="E1067" s="1186" t="s">
        <v>950</v>
      </c>
      <c r="F1067" s="1186" t="s">
        <v>1981</v>
      </c>
      <c r="G1067" s="1186" t="s">
        <v>1982</v>
      </c>
      <c r="H1067" s="1186">
        <v>2058</v>
      </c>
    </row>
    <row r="1068" spans="1:8" x14ac:dyDescent="0.2">
      <c r="A1068" s="1186" t="s">
        <v>282</v>
      </c>
      <c r="B1068" s="1186" t="s">
        <v>308</v>
      </c>
      <c r="C1068" s="1186" t="s">
        <v>116</v>
      </c>
      <c r="D1068" s="1186" t="s">
        <v>282</v>
      </c>
      <c r="E1068" s="1186" t="s">
        <v>951</v>
      </c>
      <c r="F1068" s="1186" t="s">
        <v>1983</v>
      </c>
      <c r="G1068" s="1186" t="s">
        <v>1982</v>
      </c>
      <c r="H1068" s="1186">
        <v>1269</v>
      </c>
    </row>
    <row r="1069" spans="1:8" x14ac:dyDescent="0.2">
      <c r="A1069" s="1186" t="s">
        <v>282</v>
      </c>
      <c r="B1069" s="1186" t="s">
        <v>308</v>
      </c>
      <c r="C1069" s="1186" t="s">
        <v>116</v>
      </c>
      <c r="D1069" s="1186" t="s">
        <v>282</v>
      </c>
      <c r="E1069" s="1186" t="s">
        <v>952</v>
      </c>
      <c r="F1069" s="1186" t="s">
        <v>1983</v>
      </c>
      <c r="G1069" s="1186" t="s">
        <v>1984</v>
      </c>
      <c r="H1069" s="1186">
        <v>759</v>
      </c>
    </row>
    <row r="1070" spans="1:8" x14ac:dyDescent="0.2">
      <c r="A1070" s="1186" t="s">
        <v>282</v>
      </c>
      <c r="B1070" s="1186" t="s">
        <v>308</v>
      </c>
      <c r="C1070" s="1186" t="s">
        <v>116</v>
      </c>
      <c r="D1070" s="1186" t="s">
        <v>282</v>
      </c>
      <c r="E1070" s="1186" t="s">
        <v>953</v>
      </c>
      <c r="F1070" s="1186" t="s">
        <v>1983</v>
      </c>
      <c r="G1070" s="1186" t="s">
        <v>1984</v>
      </c>
      <c r="H1070" s="1186">
        <v>971</v>
      </c>
    </row>
    <row r="1071" spans="1:8" x14ac:dyDescent="0.2">
      <c r="A1071" s="1186" t="s">
        <v>282</v>
      </c>
      <c r="B1071" s="1186" t="s">
        <v>308</v>
      </c>
      <c r="C1071" s="1186" t="s">
        <v>116</v>
      </c>
      <c r="D1071" s="1186" t="s">
        <v>282</v>
      </c>
      <c r="E1071" s="1186" t="s">
        <v>954</v>
      </c>
      <c r="F1071" s="1186" t="s">
        <v>1985</v>
      </c>
      <c r="G1071" s="1186" t="s">
        <v>1984</v>
      </c>
      <c r="H1071" s="1186">
        <v>852</v>
      </c>
    </row>
    <row r="1072" spans="1:8" x14ac:dyDescent="0.2">
      <c r="A1072" s="1186" t="s">
        <v>282</v>
      </c>
      <c r="B1072" s="1186" t="s">
        <v>308</v>
      </c>
      <c r="C1072" s="1186" t="s">
        <v>116</v>
      </c>
      <c r="D1072" s="1186" t="s">
        <v>282</v>
      </c>
      <c r="E1072" s="1186" t="s">
        <v>955</v>
      </c>
      <c r="F1072" s="1186" t="s">
        <v>1985</v>
      </c>
      <c r="G1072" s="1186" t="s">
        <v>1986</v>
      </c>
      <c r="H1072" s="1186">
        <v>1213</v>
      </c>
    </row>
    <row r="1073" spans="1:8" x14ac:dyDescent="0.2">
      <c r="A1073" s="1186" t="s">
        <v>282</v>
      </c>
      <c r="B1073" s="1186" t="s">
        <v>308</v>
      </c>
      <c r="C1073" s="1186" t="s">
        <v>116</v>
      </c>
      <c r="D1073" s="1186" t="s">
        <v>282</v>
      </c>
      <c r="E1073" s="1186" t="s">
        <v>956</v>
      </c>
      <c r="F1073" s="1186" t="s">
        <v>1985</v>
      </c>
      <c r="G1073" s="1186" t="s">
        <v>1986</v>
      </c>
      <c r="H1073" s="1186">
        <v>1394</v>
      </c>
    </row>
    <row r="1074" spans="1:8" x14ac:dyDescent="0.2">
      <c r="A1074" s="1186" t="s">
        <v>282</v>
      </c>
      <c r="B1074" s="1186" t="s">
        <v>308</v>
      </c>
      <c r="C1074" s="1186" t="s">
        <v>116</v>
      </c>
      <c r="D1074" s="1186" t="s">
        <v>282</v>
      </c>
      <c r="E1074" s="1186" t="s">
        <v>957</v>
      </c>
      <c r="F1074" s="1186" t="s">
        <v>1987</v>
      </c>
      <c r="G1074" s="1186" t="s">
        <v>1986</v>
      </c>
      <c r="H1074" s="1186">
        <v>694</v>
      </c>
    </row>
    <row r="1075" spans="1:8" x14ac:dyDescent="0.2">
      <c r="A1075" s="1186" t="s">
        <v>282</v>
      </c>
      <c r="B1075" s="1186" t="s">
        <v>308</v>
      </c>
      <c r="C1075" s="1186" t="s">
        <v>116</v>
      </c>
      <c r="D1075" s="1186" t="s">
        <v>282</v>
      </c>
      <c r="E1075" s="1186" t="s">
        <v>958</v>
      </c>
      <c r="F1075" s="1186" t="s">
        <v>1987</v>
      </c>
      <c r="G1075" s="1186" t="s">
        <v>1988</v>
      </c>
      <c r="H1075" s="1186">
        <v>668</v>
      </c>
    </row>
    <row r="1076" spans="1:8" x14ac:dyDescent="0.2">
      <c r="A1076" s="1186" t="s">
        <v>282</v>
      </c>
      <c r="B1076" s="1186" t="s">
        <v>308</v>
      </c>
      <c r="C1076" s="1186" t="s">
        <v>116</v>
      </c>
      <c r="D1076" s="1186" t="s">
        <v>282</v>
      </c>
      <c r="E1076" s="1186" t="s">
        <v>959</v>
      </c>
      <c r="F1076" s="1186" t="s">
        <v>1987</v>
      </c>
      <c r="G1076" s="1186" t="s">
        <v>1988</v>
      </c>
      <c r="H1076" s="1186">
        <v>621</v>
      </c>
    </row>
    <row r="1077" spans="1:8" x14ac:dyDescent="0.2">
      <c r="A1077" s="1186" t="s">
        <v>282</v>
      </c>
      <c r="B1077" s="1186" t="s">
        <v>308</v>
      </c>
      <c r="C1077" s="1186" t="s">
        <v>116</v>
      </c>
      <c r="D1077" s="1186" t="s">
        <v>282</v>
      </c>
      <c r="E1077" s="1186" t="s">
        <v>960</v>
      </c>
      <c r="F1077" s="1186" t="s">
        <v>1981</v>
      </c>
      <c r="G1077" s="1186" t="s">
        <v>1988</v>
      </c>
      <c r="H1077" s="1186">
        <v>1080</v>
      </c>
    </row>
    <row r="1078" spans="1:8" x14ac:dyDescent="0.2">
      <c r="A1078" s="1186" t="s">
        <v>311</v>
      </c>
      <c r="B1078" s="1186" t="s">
        <v>309</v>
      </c>
      <c r="C1078" s="1186" t="s">
        <v>61</v>
      </c>
      <c r="D1078" s="1186" t="s">
        <v>311</v>
      </c>
      <c r="E1078" s="1186" t="s">
        <v>961</v>
      </c>
      <c r="F1078" s="1186" t="s">
        <v>1981</v>
      </c>
      <c r="G1078" s="1186" t="s">
        <v>1982</v>
      </c>
      <c r="H1078" s="1186">
        <v>81</v>
      </c>
    </row>
    <row r="1079" spans="1:8" x14ac:dyDescent="0.2">
      <c r="A1079" s="1186" t="s">
        <v>311</v>
      </c>
      <c r="B1079" s="1186" t="s">
        <v>309</v>
      </c>
      <c r="C1079" s="1186" t="s">
        <v>61</v>
      </c>
      <c r="D1079" s="1186" t="s">
        <v>311</v>
      </c>
      <c r="E1079" s="1186" t="s">
        <v>962</v>
      </c>
      <c r="F1079" s="1186" t="s">
        <v>1981</v>
      </c>
      <c r="G1079" s="1186" t="s">
        <v>1982</v>
      </c>
      <c r="H1079" s="1186">
        <v>37</v>
      </c>
    </row>
    <row r="1080" spans="1:8" x14ac:dyDescent="0.2">
      <c r="A1080" s="1186" t="s">
        <v>311</v>
      </c>
      <c r="B1080" s="1186" t="s">
        <v>309</v>
      </c>
      <c r="C1080" s="1186" t="s">
        <v>61</v>
      </c>
      <c r="D1080" s="1186" t="s">
        <v>311</v>
      </c>
      <c r="E1080" s="1186" t="s">
        <v>963</v>
      </c>
      <c r="F1080" s="1186" t="s">
        <v>1983</v>
      </c>
      <c r="G1080" s="1186" t="s">
        <v>1982</v>
      </c>
      <c r="H1080" s="1186">
        <v>24</v>
      </c>
    </row>
    <row r="1081" spans="1:8" x14ac:dyDescent="0.2">
      <c r="A1081" s="1186" t="s">
        <v>311</v>
      </c>
      <c r="B1081" s="1186" t="s">
        <v>309</v>
      </c>
      <c r="C1081" s="1186" t="s">
        <v>61</v>
      </c>
      <c r="D1081" s="1186" t="s">
        <v>311</v>
      </c>
      <c r="E1081" s="1186" t="s">
        <v>964</v>
      </c>
      <c r="F1081" s="1186" t="s">
        <v>1983</v>
      </c>
      <c r="G1081" s="1186" t="s">
        <v>1984</v>
      </c>
      <c r="H1081" s="1186">
        <v>10</v>
      </c>
    </row>
    <row r="1082" spans="1:8" x14ac:dyDescent="0.2">
      <c r="A1082" s="1186" t="s">
        <v>311</v>
      </c>
      <c r="B1082" s="1186" t="s">
        <v>309</v>
      </c>
      <c r="C1082" s="1186" t="s">
        <v>61</v>
      </c>
      <c r="D1082" s="1186" t="s">
        <v>311</v>
      </c>
      <c r="E1082" s="1186" t="s">
        <v>965</v>
      </c>
      <c r="F1082" s="1186" t="s">
        <v>1983</v>
      </c>
      <c r="G1082" s="1186" t="s">
        <v>1984</v>
      </c>
      <c r="H1082" s="1186">
        <v>19</v>
      </c>
    </row>
    <row r="1083" spans="1:8" x14ac:dyDescent="0.2">
      <c r="A1083" s="1186" t="s">
        <v>311</v>
      </c>
      <c r="B1083" s="1186" t="s">
        <v>309</v>
      </c>
      <c r="C1083" s="1186" t="s">
        <v>61</v>
      </c>
      <c r="D1083" s="1186" t="s">
        <v>311</v>
      </c>
      <c r="E1083" s="1186" t="s">
        <v>966</v>
      </c>
      <c r="F1083" s="1186" t="s">
        <v>1985</v>
      </c>
      <c r="G1083" s="1186" t="s">
        <v>1984</v>
      </c>
      <c r="H1083" s="1186">
        <v>25</v>
      </c>
    </row>
    <row r="1084" spans="1:8" x14ac:dyDescent="0.2">
      <c r="A1084" s="1186" t="s">
        <v>311</v>
      </c>
      <c r="B1084" s="1186" t="s">
        <v>309</v>
      </c>
      <c r="C1084" s="1186" t="s">
        <v>61</v>
      </c>
      <c r="D1084" s="1186" t="s">
        <v>311</v>
      </c>
      <c r="E1084" s="1186" t="s">
        <v>967</v>
      </c>
      <c r="F1084" s="1186" t="s">
        <v>1985</v>
      </c>
      <c r="G1084" s="1186" t="s">
        <v>1986</v>
      </c>
      <c r="H1084" s="1186">
        <v>50</v>
      </c>
    </row>
    <row r="1085" spans="1:8" x14ac:dyDescent="0.2">
      <c r="A1085" s="1186" t="s">
        <v>311</v>
      </c>
      <c r="B1085" s="1186" t="s">
        <v>309</v>
      </c>
      <c r="C1085" s="1186" t="s">
        <v>61</v>
      </c>
      <c r="D1085" s="1186" t="s">
        <v>311</v>
      </c>
      <c r="E1085" s="1186" t="s">
        <v>968</v>
      </c>
      <c r="F1085" s="1186" t="s">
        <v>1985</v>
      </c>
      <c r="G1085" s="1186" t="s">
        <v>1986</v>
      </c>
      <c r="H1085" s="1186">
        <v>93</v>
      </c>
    </row>
    <row r="1086" spans="1:8" x14ac:dyDescent="0.2">
      <c r="A1086" s="1186" t="s">
        <v>311</v>
      </c>
      <c r="B1086" s="1186" t="s">
        <v>309</v>
      </c>
      <c r="C1086" s="1186" t="s">
        <v>61</v>
      </c>
      <c r="D1086" s="1186" t="s">
        <v>311</v>
      </c>
      <c r="E1086" s="1186" t="s">
        <v>969</v>
      </c>
      <c r="F1086" s="1186" t="s">
        <v>1987</v>
      </c>
      <c r="G1086" s="1186" t="s">
        <v>1986</v>
      </c>
      <c r="H1086" s="1186">
        <v>108</v>
      </c>
    </row>
    <row r="1087" spans="1:8" x14ac:dyDescent="0.2">
      <c r="A1087" s="1186" t="s">
        <v>311</v>
      </c>
      <c r="B1087" s="1186" t="s">
        <v>309</v>
      </c>
      <c r="C1087" s="1186" t="s">
        <v>61</v>
      </c>
      <c r="D1087" s="1186" t="s">
        <v>311</v>
      </c>
      <c r="E1087" s="1186" t="s">
        <v>970</v>
      </c>
      <c r="F1087" s="1186" t="s">
        <v>1987</v>
      </c>
      <c r="G1087" s="1186" t="s">
        <v>1988</v>
      </c>
      <c r="H1087" s="1186">
        <v>122</v>
      </c>
    </row>
    <row r="1088" spans="1:8" x14ac:dyDescent="0.2">
      <c r="A1088" s="1186" t="s">
        <v>311</v>
      </c>
      <c r="B1088" s="1186" t="s">
        <v>309</v>
      </c>
      <c r="C1088" s="1186" t="s">
        <v>61</v>
      </c>
      <c r="D1088" s="1186" t="s">
        <v>311</v>
      </c>
      <c r="E1088" s="1186" t="s">
        <v>971</v>
      </c>
      <c r="F1088" s="1186" t="s">
        <v>1987</v>
      </c>
      <c r="G1088" s="1186" t="s">
        <v>1988</v>
      </c>
      <c r="H1088" s="1186">
        <v>97</v>
      </c>
    </row>
    <row r="1089" spans="1:8" x14ac:dyDescent="0.2">
      <c r="A1089" s="1186" t="s">
        <v>311</v>
      </c>
      <c r="B1089" s="1186" t="s">
        <v>309</v>
      </c>
      <c r="C1089" s="1186" t="s">
        <v>61</v>
      </c>
      <c r="D1089" s="1186" t="s">
        <v>311</v>
      </c>
      <c r="E1089" s="1186" t="s">
        <v>972</v>
      </c>
      <c r="F1089" s="1186" t="s">
        <v>1981</v>
      </c>
      <c r="G1089" s="1186" t="s">
        <v>1988</v>
      </c>
      <c r="H1089" s="1186">
        <v>105</v>
      </c>
    </row>
    <row r="1090" spans="1:8" x14ac:dyDescent="0.2">
      <c r="A1090" s="1186" t="s">
        <v>311</v>
      </c>
      <c r="B1090" s="1186" t="s">
        <v>309</v>
      </c>
      <c r="C1090" s="1186" t="s">
        <v>116</v>
      </c>
      <c r="D1090" s="1186" t="s">
        <v>311</v>
      </c>
      <c r="E1090" s="1186" t="s">
        <v>969</v>
      </c>
      <c r="F1090" s="1186" t="s">
        <v>1987</v>
      </c>
      <c r="G1090" s="1186" t="s">
        <v>1986</v>
      </c>
      <c r="H1090" s="1186">
        <v>1</v>
      </c>
    </row>
    <row r="1091" spans="1:8" x14ac:dyDescent="0.2">
      <c r="A1091" s="1186" t="s">
        <v>311</v>
      </c>
      <c r="B1091" s="1186" t="s">
        <v>309</v>
      </c>
      <c r="C1091" s="1186" t="s">
        <v>116</v>
      </c>
      <c r="D1091" s="1186" t="s">
        <v>311</v>
      </c>
      <c r="E1091" s="1186" t="s">
        <v>971</v>
      </c>
      <c r="F1091" s="1186" t="s">
        <v>1987</v>
      </c>
      <c r="G1091" s="1186" t="s">
        <v>1988</v>
      </c>
      <c r="H1091" s="1186">
        <v>2</v>
      </c>
    </row>
    <row r="1092" spans="1:8" x14ac:dyDescent="0.2">
      <c r="A1092" s="1186" t="s">
        <v>311</v>
      </c>
      <c r="B1092" s="1186" t="s">
        <v>823</v>
      </c>
      <c r="C1092" s="1186" t="s">
        <v>61</v>
      </c>
      <c r="D1092" s="1186" t="s">
        <v>311</v>
      </c>
      <c r="E1092" s="1186" t="s">
        <v>961</v>
      </c>
      <c r="F1092" s="1186" t="s">
        <v>1981</v>
      </c>
      <c r="G1092" s="1186" t="s">
        <v>1982</v>
      </c>
      <c r="H1092" s="1186">
        <v>404</v>
      </c>
    </row>
    <row r="1093" spans="1:8" x14ac:dyDescent="0.2">
      <c r="A1093" s="1186" t="s">
        <v>311</v>
      </c>
      <c r="B1093" s="1186" t="s">
        <v>823</v>
      </c>
      <c r="C1093" s="1186" t="s">
        <v>61</v>
      </c>
      <c r="D1093" s="1186" t="s">
        <v>311</v>
      </c>
      <c r="E1093" s="1186" t="s">
        <v>962</v>
      </c>
      <c r="F1093" s="1186" t="s">
        <v>1981</v>
      </c>
      <c r="G1093" s="1186" t="s">
        <v>1982</v>
      </c>
      <c r="H1093" s="1186">
        <v>402</v>
      </c>
    </row>
    <row r="1094" spans="1:8" x14ac:dyDescent="0.2">
      <c r="A1094" s="1186" t="s">
        <v>311</v>
      </c>
      <c r="B1094" s="1186" t="s">
        <v>823</v>
      </c>
      <c r="C1094" s="1186" t="s">
        <v>61</v>
      </c>
      <c r="D1094" s="1186" t="s">
        <v>311</v>
      </c>
      <c r="E1094" s="1186" t="s">
        <v>963</v>
      </c>
      <c r="F1094" s="1186" t="s">
        <v>1983</v>
      </c>
      <c r="G1094" s="1186" t="s">
        <v>1982</v>
      </c>
      <c r="H1094" s="1186">
        <v>351</v>
      </c>
    </row>
    <row r="1095" spans="1:8" x14ac:dyDescent="0.2">
      <c r="A1095" s="1186" t="s">
        <v>311</v>
      </c>
      <c r="B1095" s="1186" t="s">
        <v>823</v>
      </c>
      <c r="C1095" s="1186" t="s">
        <v>61</v>
      </c>
      <c r="D1095" s="1186" t="s">
        <v>311</v>
      </c>
      <c r="E1095" s="1186" t="s">
        <v>964</v>
      </c>
      <c r="F1095" s="1186" t="s">
        <v>1983</v>
      </c>
      <c r="G1095" s="1186" t="s">
        <v>1984</v>
      </c>
      <c r="H1095" s="1186">
        <v>356</v>
      </c>
    </row>
    <row r="1096" spans="1:8" x14ac:dyDescent="0.2">
      <c r="A1096" s="1186" t="s">
        <v>311</v>
      </c>
      <c r="B1096" s="1186" t="s">
        <v>823</v>
      </c>
      <c r="C1096" s="1186" t="s">
        <v>61</v>
      </c>
      <c r="D1096" s="1186" t="s">
        <v>311</v>
      </c>
      <c r="E1096" s="1186" t="s">
        <v>965</v>
      </c>
      <c r="F1096" s="1186" t="s">
        <v>1983</v>
      </c>
      <c r="G1096" s="1186" t="s">
        <v>1984</v>
      </c>
      <c r="H1096" s="1186">
        <v>371</v>
      </c>
    </row>
    <row r="1097" spans="1:8" x14ac:dyDescent="0.2">
      <c r="A1097" s="1186" t="s">
        <v>311</v>
      </c>
      <c r="B1097" s="1186" t="s">
        <v>823</v>
      </c>
      <c r="C1097" s="1186" t="s">
        <v>61</v>
      </c>
      <c r="D1097" s="1186" t="s">
        <v>311</v>
      </c>
      <c r="E1097" s="1186" t="s">
        <v>966</v>
      </c>
      <c r="F1097" s="1186" t="s">
        <v>1985</v>
      </c>
      <c r="G1097" s="1186" t="s">
        <v>1984</v>
      </c>
      <c r="H1097" s="1186">
        <v>346</v>
      </c>
    </row>
    <row r="1098" spans="1:8" x14ac:dyDescent="0.2">
      <c r="A1098" s="1186" t="s">
        <v>311</v>
      </c>
      <c r="B1098" s="1186" t="s">
        <v>823</v>
      </c>
      <c r="C1098" s="1186" t="s">
        <v>61</v>
      </c>
      <c r="D1098" s="1186" t="s">
        <v>311</v>
      </c>
      <c r="E1098" s="1186" t="s">
        <v>967</v>
      </c>
      <c r="F1098" s="1186" t="s">
        <v>1985</v>
      </c>
      <c r="G1098" s="1186" t="s">
        <v>1986</v>
      </c>
      <c r="H1098" s="1186">
        <v>364</v>
      </c>
    </row>
    <row r="1099" spans="1:8" x14ac:dyDescent="0.2">
      <c r="A1099" s="1186" t="s">
        <v>311</v>
      </c>
      <c r="B1099" s="1186" t="s">
        <v>823</v>
      </c>
      <c r="C1099" s="1186" t="s">
        <v>61</v>
      </c>
      <c r="D1099" s="1186" t="s">
        <v>311</v>
      </c>
      <c r="E1099" s="1186" t="s">
        <v>968</v>
      </c>
      <c r="F1099" s="1186" t="s">
        <v>1985</v>
      </c>
      <c r="G1099" s="1186" t="s">
        <v>1986</v>
      </c>
      <c r="H1099" s="1186">
        <v>416</v>
      </c>
    </row>
    <row r="1100" spans="1:8" x14ac:dyDescent="0.2">
      <c r="A1100" s="1186" t="s">
        <v>311</v>
      </c>
      <c r="B1100" s="1186" t="s">
        <v>823</v>
      </c>
      <c r="C1100" s="1186" t="s">
        <v>61</v>
      </c>
      <c r="D1100" s="1186" t="s">
        <v>311</v>
      </c>
      <c r="E1100" s="1186" t="s">
        <v>969</v>
      </c>
      <c r="F1100" s="1186" t="s">
        <v>1987</v>
      </c>
      <c r="G1100" s="1186" t="s">
        <v>1986</v>
      </c>
      <c r="H1100" s="1186">
        <v>467</v>
      </c>
    </row>
    <row r="1101" spans="1:8" x14ac:dyDescent="0.2">
      <c r="A1101" s="1186" t="s">
        <v>311</v>
      </c>
      <c r="B1101" s="1186" t="s">
        <v>823</v>
      </c>
      <c r="C1101" s="1186" t="s">
        <v>61</v>
      </c>
      <c r="D1101" s="1186" t="s">
        <v>311</v>
      </c>
      <c r="E1101" s="1186" t="s">
        <v>970</v>
      </c>
      <c r="F1101" s="1186" t="s">
        <v>1987</v>
      </c>
      <c r="G1101" s="1186" t="s">
        <v>1988</v>
      </c>
      <c r="H1101" s="1186">
        <v>421</v>
      </c>
    </row>
    <row r="1102" spans="1:8" x14ac:dyDescent="0.2">
      <c r="A1102" s="1186" t="s">
        <v>311</v>
      </c>
      <c r="B1102" s="1186" t="s">
        <v>823</v>
      </c>
      <c r="C1102" s="1186" t="s">
        <v>61</v>
      </c>
      <c r="D1102" s="1186" t="s">
        <v>311</v>
      </c>
      <c r="E1102" s="1186" t="s">
        <v>971</v>
      </c>
      <c r="F1102" s="1186" t="s">
        <v>1987</v>
      </c>
      <c r="G1102" s="1186" t="s">
        <v>1988</v>
      </c>
      <c r="H1102" s="1186">
        <v>393</v>
      </c>
    </row>
    <row r="1103" spans="1:8" x14ac:dyDescent="0.2">
      <c r="A1103" s="1186" t="s">
        <v>311</v>
      </c>
      <c r="B1103" s="1186" t="s">
        <v>823</v>
      </c>
      <c r="C1103" s="1186" t="s">
        <v>61</v>
      </c>
      <c r="D1103" s="1186" t="s">
        <v>311</v>
      </c>
      <c r="E1103" s="1186" t="s">
        <v>972</v>
      </c>
      <c r="F1103" s="1186" t="s">
        <v>1981</v>
      </c>
      <c r="G1103" s="1186" t="s">
        <v>1988</v>
      </c>
      <c r="H1103" s="1186">
        <v>460</v>
      </c>
    </row>
    <row r="1104" spans="1:8" x14ac:dyDescent="0.2">
      <c r="A1104" s="1186" t="s">
        <v>311</v>
      </c>
      <c r="B1104" s="1186" t="s">
        <v>823</v>
      </c>
      <c r="C1104" s="1186" t="s">
        <v>116</v>
      </c>
      <c r="D1104" s="1186" t="s">
        <v>311</v>
      </c>
      <c r="E1104" s="1186" t="s">
        <v>961</v>
      </c>
      <c r="F1104" s="1186" t="s">
        <v>1981</v>
      </c>
      <c r="G1104" s="1186" t="s">
        <v>1982</v>
      </c>
      <c r="H1104" s="1186">
        <v>55</v>
      </c>
    </row>
    <row r="1105" spans="1:8" x14ac:dyDescent="0.2">
      <c r="A1105" s="1186" t="s">
        <v>311</v>
      </c>
      <c r="B1105" s="1186" t="s">
        <v>823</v>
      </c>
      <c r="C1105" s="1186" t="s">
        <v>116</v>
      </c>
      <c r="D1105" s="1186" t="s">
        <v>311</v>
      </c>
      <c r="E1105" s="1186" t="s">
        <v>962</v>
      </c>
      <c r="F1105" s="1186" t="s">
        <v>1981</v>
      </c>
      <c r="G1105" s="1186" t="s">
        <v>1982</v>
      </c>
      <c r="H1105" s="1186">
        <v>46</v>
      </c>
    </row>
    <row r="1106" spans="1:8" x14ac:dyDescent="0.2">
      <c r="A1106" s="1186" t="s">
        <v>311</v>
      </c>
      <c r="B1106" s="1186" t="s">
        <v>823</v>
      </c>
      <c r="C1106" s="1186" t="s">
        <v>116</v>
      </c>
      <c r="D1106" s="1186" t="s">
        <v>311</v>
      </c>
      <c r="E1106" s="1186" t="s">
        <v>963</v>
      </c>
      <c r="F1106" s="1186" t="s">
        <v>1983</v>
      </c>
      <c r="G1106" s="1186" t="s">
        <v>1982</v>
      </c>
      <c r="H1106" s="1186">
        <v>51</v>
      </c>
    </row>
    <row r="1107" spans="1:8" x14ac:dyDescent="0.2">
      <c r="A1107" s="1186" t="s">
        <v>311</v>
      </c>
      <c r="B1107" s="1186" t="s">
        <v>823</v>
      </c>
      <c r="C1107" s="1186" t="s">
        <v>116</v>
      </c>
      <c r="D1107" s="1186" t="s">
        <v>311</v>
      </c>
      <c r="E1107" s="1186" t="s">
        <v>964</v>
      </c>
      <c r="F1107" s="1186" t="s">
        <v>1983</v>
      </c>
      <c r="G1107" s="1186" t="s">
        <v>1984</v>
      </c>
      <c r="H1107" s="1186">
        <v>47</v>
      </c>
    </row>
    <row r="1108" spans="1:8" x14ac:dyDescent="0.2">
      <c r="A1108" s="1186" t="s">
        <v>311</v>
      </c>
      <c r="B1108" s="1186" t="s">
        <v>823</v>
      </c>
      <c r="C1108" s="1186" t="s">
        <v>116</v>
      </c>
      <c r="D1108" s="1186" t="s">
        <v>311</v>
      </c>
      <c r="E1108" s="1186" t="s">
        <v>965</v>
      </c>
      <c r="F1108" s="1186" t="s">
        <v>1983</v>
      </c>
      <c r="G1108" s="1186" t="s">
        <v>1984</v>
      </c>
      <c r="H1108" s="1186">
        <v>40</v>
      </c>
    </row>
    <row r="1109" spans="1:8" x14ac:dyDescent="0.2">
      <c r="A1109" s="1186" t="s">
        <v>311</v>
      </c>
      <c r="B1109" s="1186" t="s">
        <v>823</v>
      </c>
      <c r="C1109" s="1186" t="s">
        <v>116</v>
      </c>
      <c r="D1109" s="1186" t="s">
        <v>311</v>
      </c>
      <c r="E1109" s="1186" t="s">
        <v>966</v>
      </c>
      <c r="F1109" s="1186" t="s">
        <v>1985</v>
      </c>
      <c r="G1109" s="1186" t="s">
        <v>1984</v>
      </c>
      <c r="H1109" s="1186">
        <v>49</v>
      </c>
    </row>
    <row r="1110" spans="1:8" x14ac:dyDescent="0.2">
      <c r="A1110" s="1186" t="s">
        <v>311</v>
      </c>
      <c r="B1110" s="1186" t="s">
        <v>823</v>
      </c>
      <c r="C1110" s="1186" t="s">
        <v>116</v>
      </c>
      <c r="D1110" s="1186" t="s">
        <v>311</v>
      </c>
      <c r="E1110" s="1186" t="s">
        <v>967</v>
      </c>
      <c r="F1110" s="1186" t="s">
        <v>1985</v>
      </c>
      <c r="G1110" s="1186" t="s">
        <v>1986</v>
      </c>
      <c r="H1110" s="1186">
        <v>55</v>
      </c>
    </row>
    <row r="1111" spans="1:8" x14ac:dyDescent="0.2">
      <c r="A1111" s="1186" t="s">
        <v>311</v>
      </c>
      <c r="B1111" s="1186" t="s">
        <v>823</v>
      </c>
      <c r="C1111" s="1186" t="s">
        <v>116</v>
      </c>
      <c r="D1111" s="1186" t="s">
        <v>311</v>
      </c>
      <c r="E1111" s="1186" t="s">
        <v>968</v>
      </c>
      <c r="F1111" s="1186" t="s">
        <v>1985</v>
      </c>
      <c r="G1111" s="1186" t="s">
        <v>1986</v>
      </c>
      <c r="H1111" s="1186">
        <v>47</v>
      </c>
    </row>
    <row r="1112" spans="1:8" x14ac:dyDescent="0.2">
      <c r="A1112" s="1186" t="s">
        <v>311</v>
      </c>
      <c r="B1112" s="1186" t="s">
        <v>823</v>
      </c>
      <c r="C1112" s="1186" t="s">
        <v>116</v>
      </c>
      <c r="D1112" s="1186" t="s">
        <v>311</v>
      </c>
      <c r="E1112" s="1186" t="s">
        <v>969</v>
      </c>
      <c r="F1112" s="1186" t="s">
        <v>1987</v>
      </c>
      <c r="G1112" s="1186" t="s">
        <v>1986</v>
      </c>
      <c r="H1112" s="1186">
        <v>56</v>
      </c>
    </row>
    <row r="1113" spans="1:8" x14ac:dyDescent="0.2">
      <c r="A1113" s="1186" t="s">
        <v>311</v>
      </c>
      <c r="B1113" s="1186" t="s">
        <v>823</v>
      </c>
      <c r="C1113" s="1186" t="s">
        <v>116</v>
      </c>
      <c r="D1113" s="1186" t="s">
        <v>311</v>
      </c>
      <c r="E1113" s="1186" t="s">
        <v>970</v>
      </c>
      <c r="F1113" s="1186" t="s">
        <v>1987</v>
      </c>
      <c r="G1113" s="1186" t="s">
        <v>1988</v>
      </c>
      <c r="H1113" s="1186">
        <v>39</v>
      </c>
    </row>
    <row r="1114" spans="1:8" x14ac:dyDescent="0.2">
      <c r="A1114" s="1186" t="s">
        <v>311</v>
      </c>
      <c r="B1114" s="1186" t="s">
        <v>823</v>
      </c>
      <c r="C1114" s="1186" t="s">
        <v>116</v>
      </c>
      <c r="D1114" s="1186" t="s">
        <v>311</v>
      </c>
      <c r="E1114" s="1186" t="s">
        <v>971</v>
      </c>
      <c r="F1114" s="1186" t="s">
        <v>1987</v>
      </c>
      <c r="G1114" s="1186" t="s">
        <v>1988</v>
      </c>
      <c r="H1114" s="1186">
        <v>41</v>
      </c>
    </row>
    <row r="1115" spans="1:8" x14ac:dyDescent="0.2">
      <c r="A1115" s="1186" t="s">
        <v>311</v>
      </c>
      <c r="B1115" s="1186" t="s">
        <v>823</v>
      </c>
      <c r="C1115" s="1186" t="s">
        <v>116</v>
      </c>
      <c r="D1115" s="1186" t="s">
        <v>311</v>
      </c>
      <c r="E1115" s="1186" t="s">
        <v>972</v>
      </c>
      <c r="F1115" s="1186" t="s">
        <v>1981</v>
      </c>
      <c r="G1115" s="1186" t="s">
        <v>1988</v>
      </c>
      <c r="H1115" s="1186">
        <v>34</v>
      </c>
    </row>
    <row r="1116" spans="1:8" x14ac:dyDescent="0.2">
      <c r="A1116" s="1186" t="s">
        <v>311</v>
      </c>
      <c r="B1116" s="1186" t="s">
        <v>824</v>
      </c>
      <c r="C1116" s="1186" t="s">
        <v>61</v>
      </c>
      <c r="D1116" s="1186" t="s">
        <v>311</v>
      </c>
      <c r="E1116" s="1186" t="s">
        <v>961</v>
      </c>
      <c r="F1116" s="1186" t="s">
        <v>1981</v>
      </c>
      <c r="G1116" s="1186" t="s">
        <v>1982</v>
      </c>
      <c r="H1116" s="1186">
        <v>146</v>
      </c>
    </row>
    <row r="1117" spans="1:8" x14ac:dyDescent="0.2">
      <c r="A1117" s="1186" t="s">
        <v>311</v>
      </c>
      <c r="B1117" s="1186" t="s">
        <v>824</v>
      </c>
      <c r="C1117" s="1186" t="s">
        <v>61</v>
      </c>
      <c r="D1117" s="1186" t="s">
        <v>311</v>
      </c>
      <c r="E1117" s="1186" t="s">
        <v>962</v>
      </c>
      <c r="F1117" s="1186" t="s">
        <v>1981</v>
      </c>
      <c r="G1117" s="1186" t="s">
        <v>1982</v>
      </c>
      <c r="H1117" s="1186">
        <v>148</v>
      </c>
    </row>
    <row r="1118" spans="1:8" x14ac:dyDescent="0.2">
      <c r="A1118" s="1186" t="s">
        <v>311</v>
      </c>
      <c r="B1118" s="1186" t="s">
        <v>824</v>
      </c>
      <c r="C1118" s="1186" t="s">
        <v>61</v>
      </c>
      <c r="D1118" s="1186" t="s">
        <v>311</v>
      </c>
      <c r="E1118" s="1186" t="s">
        <v>963</v>
      </c>
      <c r="F1118" s="1186" t="s">
        <v>1983</v>
      </c>
      <c r="G1118" s="1186" t="s">
        <v>1982</v>
      </c>
      <c r="H1118" s="1186">
        <v>117</v>
      </c>
    </row>
    <row r="1119" spans="1:8" x14ac:dyDescent="0.2">
      <c r="A1119" s="1186" t="s">
        <v>311</v>
      </c>
      <c r="B1119" s="1186" t="s">
        <v>824</v>
      </c>
      <c r="C1119" s="1186" t="s">
        <v>61</v>
      </c>
      <c r="D1119" s="1186" t="s">
        <v>311</v>
      </c>
      <c r="E1119" s="1186" t="s">
        <v>964</v>
      </c>
      <c r="F1119" s="1186" t="s">
        <v>1983</v>
      </c>
      <c r="G1119" s="1186" t="s">
        <v>1984</v>
      </c>
      <c r="H1119" s="1186">
        <v>137</v>
      </c>
    </row>
    <row r="1120" spans="1:8" x14ac:dyDescent="0.2">
      <c r="A1120" s="1186" t="s">
        <v>311</v>
      </c>
      <c r="B1120" s="1186" t="s">
        <v>824</v>
      </c>
      <c r="C1120" s="1186" t="s">
        <v>61</v>
      </c>
      <c r="D1120" s="1186" t="s">
        <v>311</v>
      </c>
      <c r="E1120" s="1186" t="s">
        <v>965</v>
      </c>
      <c r="F1120" s="1186" t="s">
        <v>1983</v>
      </c>
      <c r="G1120" s="1186" t="s">
        <v>1984</v>
      </c>
      <c r="H1120" s="1186">
        <v>132</v>
      </c>
    </row>
    <row r="1121" spans="1:8" x14ac:dyDescent="0.2">
      <c r="A1121" s="1186" t="s">
        <v>311</v>
      </c>
      <c r="B1121" s="1186" t="s">
        <v>824</v>
      </c>
      <c r="C1121" s="1186" t="s">
        <v>61</v>
      </c>
      <c r="D1121" s="1186" t="s">
        <v>311</v>
      </c>
      <c r="E1121" s="1186" t="s">
        <v>966</v>
      </c>
      <c r="F1121" s="1186" t="s">
        <v>1985</v>
      </c>
      <c r="G1121" s="1186" t="s">
        <v>1984</v>
      </c>
      <c r="H1121" s="1186">
        <v>143</v>
      </c>
    </row>
    <row r="1122" spans="1:8" x14ac:dyDescent="0.2">
      <c r="A1122" s="1186" t="s">
        <v>311</v>
      </c>
      <c r="B1122" s="1186" t="s">
        <v>824</v>
      </c>
      <c r="C1122" s="1186" t="s">
        <v>61</v>
      </c>
      <c r="D1122" s="1186" t="s">
        <v>311</v>
      </c>
      <c r="E1122" s="1186" t="s">
        <v>967</v>
      </c>
      <c r="F1122" s="1186" t="s">
        <v>1985</v>
      </c>
      <c r="G1122" s="1186" t="s">
        <v>1986</v>
      </c>
      <c r="H1122" s="1186">
        <v>138</v>
      </c>
    </row>
    <row r="1123" spans="1:8" x14ac:dyDescent="0.2">
      <c r="A1123" s="1186" t="s">
        <v>311</v>
      </c>
      <c r="B1123" s="1186" t="s">
        <v>824</v>
      </c>
      <c r="C1123" s="1186" t="s">
        <v>61</v>
      </c>
      <c r="D1123" s="1186" t="s">
        <v>311</v>
      </c>
      <c r="E1123" s="1186" t="s">
        <v>968</v>
      </c>
      <c r="F1123" s="1186" t="s">
        <v>1985</v>
      </c>
      <c r="G1123" s="1186" t="s">
        <v>1986</v>
      </c>
      <c r="H1123" s="1186">
        <v>145</v>
      </c>
    </row>
    <row r="1124" spans="1:8" x14ac:dyDescent="0.2">
      <c r="A1124" s="1186" t="s">
        <v>311</v>
      </c>
      <c r="B1124" s="1186" t="s">
        <v>824</v>
      </c>
      <c r="C1124" s="1186" t="s">
        <v>61</v>
      </c>
      <c r="D1124" s="1186" t="s">
        <v>311</v>
      </c>
      <c r="E1124" s="1186" t="s">
        <v>969</v>
      </c>
      <c r="F1124" s="1186" t="s">
        <v>1987</v>
      </c>
      <c r="G1124" s="1186" t="s">
        <v>1986</v>
      </c>
      <c r="H1124" s="1186">
        <v>140</v>
      </c>
    </row>
    <row r="1125" spans="1:8" x14ac:dyDescent="0.2">
      <c r="A1125" s="1186" t="s">
        <v>311</v>
      </c>
      <c r="B1125" s="1186" t="s">
        <v>824</v>
      </c>
      <c r="C1125" s="1186" t="s">
        <v>61</v>
      </c>
      <c r="D1125" s="1186" t="s">
        <v>311</v>
      </c>
      <c r="E1125" s="1186" t="s">
        <v>970</v>
      </c>
      <c r="F1125" s="1186" t="s">
        <v>1987</v>
      </c>
      <c r="G1125" s="1186" t="s">
        <v>1988</v>
      </c>
      <c r="H1125" s="1186">
        <v>130</v>
      </c>
    </row>
    <row r="1126" spans="1:8" x14ac:dyDescent="0.2">
      <c r="A1126" s="1186" t="s">
        <v>311</v>
      </c>
      <c r="B1126" s="1186" t="s">
        <v>824</v>
      </c>
      <c r="C1126" s="1186" t="s">
        <v>61</v>
      </c>
      <c r="D1126" s="1186" t="s">
        <v>311</v>
      </c>
      <c r="E1126" s="1186" t="s">
        <v>971</v>
      </c>
      <c r="F1126" s="1186" t="s">
        <v>1987</v>
      </c>
      <c r="G1126" s="1186" t="s">
        <v>1988</v>
      </c>
      <c r="H1126" s="1186">
        <v>134</v>
      </c>
    </row>
    <row r="1127" spans="1:8" x14ac:dyDescent="0.2">
      <c r="A1127" s="1186" t="s">
        <v>311</v>
      </c>
      <c r="B1127" s="1186" t="s">
        <v>824</v>
      </c>
      <c r="C1127" s="1186" t="s">
        <v>61</v>
      </c>
      <c r="D1127" s="1186" t="s">
        <v>311</v>
      </c>
      <c r="E1127" s="1186" t="s">
        <v>972</v>
      </c>
      <c r="F1127" s="1186" t="s">
        <v>1981</v>
      </c>
      <c r="G1127" s="1186" t="s">
        <v>1988</v>
      </c>
      <c r="H1127" s="1186">
        <v>129</v>
      </c>
    </row>
    <row r="1128" spans="1:8" x14ac:dyDescent="0.2">
      <c r="A1128" s="1186" t="s">
        <v>311</v>
      </c>
      <c r="B1128" s="1186" t="s">
        <v>824</v>
      </c>
      <c r="C1128" s="1186" t="s">
        <v>116</v>
      </c>
      <c r="D1128" s="1186" t="s">
        <v>311</v>
      </c>
      <c r="E1128" s="1186" t="s">
        <v>961</v>
      </c>
      <c r="F1128" s="1186" t="s">
        <v>1981</v>
      </c>
      <c r="G1128" s="1186" t="s">
        <v>1982</v>
      </c>
      <c r="H1128" s="1186">
        <v>60</v>
      </c>
    </row>
    <row r="1129" spans="1:8" x14ac:dyDescent="0.2">
      <c r="A1129" s="1186" t="s">
        <v>311</v>
      </c>
      <c r="B1129" s="1186" t="s">
        <v>824</v>
      </c>
      <c r="C1129" s="1186" t="s">
        <v>116</v>
      </c>
      <c r="D1129" s="1186" t="s">
        <v>311</v>
      </c>
      <c r="E1129" s="1186" t="s">
        <v>962</v>
      </c>
      <c r="F1129" s="1186" t="s">
        <v>1981</v>
      </c>
      <c r="G1129" s="1186" t="s">
        <v>1982</v>
      </c>
      <c r="H1129" s="1186">
        <v>82</v>
      </c>
    </row>
    <row r="1130" spans="1:8" x14ac:dyDescent="0.2">
      <c r="A1130" s="1186" t="s">
        <v>311</v>
      </c>
      <c r="B1130" s="1186" t="s">
        <v>824</v>
      </c>
      <c r="C1130" s="1186" t="s">
        <v>116</v>
      </c>
      <c r="D1130" s="1186" t="s">
        <v>311</v>
      </c>
      <c r="E1130" s="1186" t="s">
        <v>963</v>
      </c>
      <c r="F1130" s="1186" t="s">
        <v>1983</v>
      </c>
      <c r="G1130" s="1186" t="s">
        <v>1982</v>
      </c>
      <c r="H1130" s="1186">
        <v>51</v>
      </c>
    </row>
    <row r="1131" spans="1:8" x14ac:dyDescent="0.2">
      <c r="A1131" s="1186" t="s">
        <v>311</v>
      </c>
      <c r="B1131" s="1186" t="s">
        <v>824</v>
      </c>
      <c r="C1131" s="1186" t="s">
        <v>116</v>
      </c>
      <c r="D1131" s="1186" t="s">
        <v>311</v>
      </c>
      <c r="E1131" s="1186" t="s">
        <v>964</v>
      </c>
      <c r="F1131" s="1186" t="s">
        <v>1983</v>
      </c>
      <c r="G1131" s="1186" t="s">
        <v>1984</v>
      </c>
      <c r="H1131" s="1186">
        <v>54</v>
      </c>
    </row>
    <row r="1132" spans="1:8" x14ac:dyDescent="0.2">
      <c r="A1132" s="1186" t="s">
        <v>311</v>
      </c>
      <c r="B1132" s="1186" t="s">
        <v>824</v>
      </c>
      <c r="C1132" s="1186" t="s">
        <v>116</v>
      </c>
      <c r="D1132" s="1186" t="s">
        <v>311</v>
      </c>
      <c r="E1132" s="1186" t="s">
        <v>965</v>
      </c>
      <c r="F1132" s="1186" t="s">
        <v>1983</v>
      </c>
      <c r="G1132" s="1186" t="s">
        <v>1984</v>
      </c>
      <c r="H1132" s="1186">
        <v>57</v>
      </c>
    </row>
    <row r="1133" spans="1:8" x14ac:dyDescent="0.2">
      <c r="A1133" s="1186" t="s">
        <v>311</v>
      </c>
      <c r="B1133" s="1186" t="s">
        <v>824</v>
      </c>
      <c r="C1133" s="1186" t="s">
        <v>116</v>
      </c>
      <c r="D1133" s="1186" t="s">
        <v>311</v>
      </c>
      <c r="E1133" s="1186" t="s">
        <v>966</v>
      </c>
      <c r="F1133" s="1186" t="s">
        <v>1985</v>
      </c>
      <c r="G1133" s="1186" t="s">
        <v>1984</v>
      </c>
      <c r="H1133" s="1186">
        <v>53</v>
      </c>
    </row>
    <row r="1134" spans="1:8" x14ac:dyDescent="0.2">
      <c r="A1134" s="1186" t="s">
        <v>311</v>
      </c>
      <c r="B1134" s="1186" t="s">
        <v>824</v>
      </c>
      <c r="C1134" s="1186" t="s">
        <v>116</v>
      </c>
      <c r="D1134" s="1186" t="s">
        <v>311</v>
      </c>
      <c r="E1134" s="1186" t="s">
        <v>967</v>
      </c>
      <c r="F1134" s="1186" t="s">
        <v>1985</v>
      </c>
      <c r="G1134" s="1186" t="s">
        <v>1986</v>
      </c>
      <c r="H1134" s="1186">
        <v>66</v>
      </c>
    </row>
    <row r="1135" spans="1:8" x14ac:dyDescent="0.2">
      <c r="A1135" s="1186" t="s">
        <v>311</v>
      </c>
      <c r="B1135" s="1186" t="s">
        <v>824</v>
      </c>
      <c r="C1135" s="1186" t="s">
        <v>116</v>
      </c>
      <c r="D1135" s="1186" t="s">
        <v>311</v>
      </c>
      <c r="E1135" s="1186" t="s">
        <v>968</v>
      </c>
      <c r="F1135" s="1186" t="s">
        <v>1985</v>
      </c>
      <c r="G1135" s="1186" t="s">
        <v>1986</v>
      </c>
      <c r="H1135" s="1186">
        <v>58</v>
      </c>
    </row>
    <row r="1136" spans="1:8" x14ac:dyDescent="0.2">
      <c r="A1136" s="1186" t="s">
        <v>311</v>
      </c>
      <c r="B1136" s="1186" t="s">
        <v>824</v>
      </c>
      <c r="C1136" s="1186" t="s">
        <v>116</v>
      </c>
      <c r="D1136" s="1186" t="s">
        <v>311</v>
      </c>
      <c r="E1136" s="1186" t="s">
        <v>969</v>
      </c>
      <c r="F1136" s="1186" t="s">
        <v>1987</v>
      </c>
      <c r="G1136" s="1186" t="s">
        <v>1986</v>
      </c>
      <c r="H1136" s="1186">
        <v>54</v>
      </c>
    </row>
    <row r="1137" spans="1:8" x14ac:dyDescent="0.2">
      <c r="A1137" s="1186" t="s">
        <v>311</v>
      </c>
      <c r="B1137" s="1186" t="s">
        <v>824</v>
      </c>
      <c r="C1137" s="1186" t="s">
        <v>116</v>
      </c>
      <c r="D1137" s="1186" t="s">
        <v>311</v>
      </c>
      <c r="E1137" s="1186" t="s">
        <v>970</v>
      </c>
      <c r="F1137" s="1186" t="s">
        <v>1987</v>
      </c>
      <c r="G1137" s="1186" t="s">
        <v>1988</v>
      </c>
      <c r="H1137" s="1186">
        <v>32</v>
      </c>
    </row>
    <row r="1138" spans="1:8" x14ac:dyDescent="0.2">
      <c r="A1138" s="1186" t="s">
        <v>311</v>
      </c>
      <c r="B1138" s="1186" t="s">
        <v>824</v>
      </c>
      <c r="C1138" s="1186" t="s">
        <v>116</v>
      </c>
      <c r="D1138" s="1186" t="s">
        <v>311</v>
      </c>
      <c r="E1138" s="1186" t="s">
        <v>971</v>
      </c>
      <c r="F1138" s="1186" t="s">
        <v>1987</v>
      </c>
      <c r="G1138" s="1186" t="s">
        <v>1988</v>
      </c>
      <c r="H1138" s="1186">
        <v>38</v>
      </c>
    </row>
    <row r="1139" spans="1:8" x14ac:dyDescent="0.2">
      <c r="A1139" s="1186" t="s">
        <v>311</v>
      </c>
      <c r="B1139" s="1186" t="s">
        <v>824</v>
      </c>
      <c r="C1139" s="1186" t="s">
        <v>116</v>
      </c>
      <c r="D1139" s="1186" t="s">
        <v>311</v>
      </c>
      <c r="E1139" s="1186" t="s">
        <v>972</v>
      </c>
      <c r="F1139" s="1186" t="s">
        <v>1981</v>
      </c>
      <c r="G1139" s="1186" t="s">
        <v>1988</v>
      </c>
      <c r="H1139" s="1186">
        <v>43</v>
      </c>
    </row>
    <row r="1140" spans="1:8" x14ac:dyDescent="0.2">
      <c r="A1140" s="1186" t="s">
        <v>311</v>
      </c>
      <c r="B1140" s="1186" t="s">
        <v>825</v>
      </c>
      <c r="C1140" s="1186" t="s">
        <v>61</v>
      </c>
      <c r="D1140" s="1186" t="s">
        <v>311</v>
      </c>
      <c r="E1140" s="1186" t="s">
        <v>961</v>
      </c>
      <c r="F1140" s="1186" t="s">
        <v>1981</v>
      </c>
      <c r="G1140" s="1186" t="s">
        <v>1982</v>
      </c>
      <c r="H1140" s="1186">
        <v>71</v>
      </c>
    </row>
    <row r="1141" spans="1:8" x14ac:dyDescent="0.2">
      <c r="A1141" s="1186" t="s">
        <v>311</v>
      </c>
      <c r="B1141" s="1186" t="s">
        <v>825</v>
      </c>
      <c r="C1141" s="1186" t="s">
        <v>61</v>
      </c>
      <c r="D1141" s="1186" t="s">
        <v>311</v>
      </c>
      <c r="E1141" s="1186" t="s">
        <v>962</v>
      </c>
      <c r="F1141" s="1186" t="s">
        <v>1981</v>
      </c>
      <c r="G1141" s="1186" t="s">
        <v>1982</v>
      </c>
      <c r="H1141" s="1186">
        <v>79</v>
      </c>
    </row>
    <row r="1142" spans="1:8" x14ac:dyDescent="0.2">
      <c r="A1142" s="1186" t="s">
        <v>311</v>
      </c>
      <c r="B1142" s="1186" t="s">
        <v>825</v>
      </c>
      <c r="C1142" s="1186" t="s">
        <v>61</v>
      </c>
      <c r="D1142" s="1186" t="s">
        <v>311</v>
      </c>
      <c r="E1142" s="1186" t="s">
        <v>963</v>
      </c>
      <c r="F1142" s="1186" t="s">
        <v>1983</v>
      </c>
      <c r="G1142" s="1186" t="s">
        <v>1982</v>
      </c>
      <c r="H1142" s="1186">
        <v>112</v>
      </c>
    </row>
    <row r="1143" spans="1:8" x14ac:dyDescent="0.2">
      <c r="A1143" s="1186" t="s">
        <v>311</v>
      </c>
      <c r="B1143" s="1186" t="s">
        <v>825</v>
      </c>
      <c r="C1143" s="1186" t="s">
        <v>61</v>
      </c>
      <c r="D1143" s="1186" t="s">
        <v>311</v>
      </c>
      <c r="E1143" s="1186" t="s">
        <v>964</v>
      </c>
      <c r="F1143" s="1186" t="s">
        <v>1983</v>
      </c>
      <c r="G1143" s="1186" t="s">
        <v>1984</v>
      </c>
      <c r="H1143" s="1186">
        <v>109</v>
      </c>
    </row>
    <row r="1144" spans="1:8" x14ac:dyDescent="0.2">
      <c r="A1144" s="1186" t="s">
        <v>311</v>
      </c>
      <c r="B1144" s="1186" t="s">
        <v>825</v>
      </c>
      <c r="C1144" s="1186" t="s">
        <v>61</v>
      </c>
      <c r="D1144" s="1186" t="s">
        <v>311</v>
      </c>
      <c r="E1144" s="1186" t="s">
        <v>965</v>
      </c>
      <c r="F1144" s="1186" t="s">
        <v>1983</v>
      </c>
      <c r="G1144" s="1186" t="s">
        <v>1984</v>
      </c>
      <c r="H1144" s="1186">
        <v>114</v>
      </c>
    </row>
    <row r="1145" spans="1:8" x14ac:dyDescent="0.2">
      <c r="A1145" s="1186" t="s">
        <v>311</v>
      </c>
      <c r="B1145" s="1186" t="s">
        <v>825</v>
      </c>
      <c r="C1145" s="1186" t="s">
        <v>61</v>
      </c>
      <c r="D1145" s="1186" t="s">
        <v>311</v>
      </c>
      <c r="E1145" s="1186" t="s">
        <v>966</v>
      </c>
      <c r="F1145" s="1186" t="s">
        <v>1985</v>
      </c>
      <c r="G1145" s="1186" t="s">
        <v>1984</v>
      </c>
      <c r="H1145" s="1186">
        <v>93</v>
      </c>
    </row>
    <row r="1146" spans="1:8" x14ac:dyDescent="0.2">
      <c r="A1146" s="1186" t="s">
        <v>311</v>
      </c>
      <c r="B1146" s="1186" t="s">
        <v>825</v>
      </c>
      <c r="C1146" s="1186" t="s">
        <v>61</v>
      </c>
      <c r="D1146" s="1186" t="s">
        <v>311</v>
      </c>
      <c r="E1146" s="1186" t="s">
        <v>967</v>
      </c>
      <c r="F1146" s="1186" t="s">
        <v>1985</v>
      </c>
      <c r="G1146" s="1186" t="s">
        <v>1986</v>
      </c>
      <c r="H1146" s="1186">
        <v>80</v>
      </c>
    </row>
    <row r="1147" spans="1:8" x14ac:dyDescent="0.2">
      <c r="A1147" s="1186" t="s">
        <v>311</v>
      </c>
      <c r="B1147" s="1186" t="s">
        <v>825</v>
      </c>
      <c r="C1147" s="1186" t="s">
        <v>61</v>
      </c>
      <c r="D1147" s="1186" t="s">
        <v>311</v>
      </c>
      <c r="E1147" s="1186" t="s">
        <v>968</v>
      </c>
      <c r="F1147" s="1186" t="s">
        <v>1985</v>
      </c>
      <c r="G1147" s="1186" t="s">
        <v>1986</v>
      </c>
      <c r="H1147" s="1186">
        <v>112</v>
      </c>
    </row>
    <row r="1148" spans="1:8" x14ac:dyDescent="0.2">
      <c r="A1148" s="1186" t="s">
        <v>311</v>
      </c>
      <c r="B1148" s="1186" t="s">
        <v>825</v>
      </c>
      <c r="C1148" s="1186" t="s">
        <v>61</v>
      </c>
      <c r="D1148" s="1186" t="s">
        <v>311</v>
      </c>
      <c r="E1148" s="1186" t="s">
        <v>969</v>
      </c>
      <c r="F1148" s="1186" t="s">
        <v>1987</v>
      </c>
      <c r="G1148" s="1186" t="s">
        <v>1986</v>
      </c>
      <c r="H1148" s="1186">
        <v>81</v>
      </c>
    </row>
    <row r="1149" spans="1:8" x14ac:dyDescent="0.2">
      <c r="A1149" s="1186" t="s">
        <v>311</v>
      </c>
      <c r="B1149" s="1186" t="s">
        <v>825</v>
      </c>
      <c r="C1149" s="1186" t="s">
        <v>61</v>
      </c>
      <c r="D1149" s="1186" t="s">
        <v>311</v>
      </c>
      <c r="E1149" s="1186" t="s">
        <v>970</v>
      </c>
      <c r="F1149" s="1186" t="s">
        <v>1987</v>
      </c>
      <c r="G1149" s="1186" t="s">
        <v>1988</v>
      </c>
      <c r="H1149" s="1186">
        <v>126</v>
      </c>
    </row>
    <row r="1150" spans="1:8" x14ac:dyDescent="0.2">
      <c r="A1150" s="1186" t="s">
        <v>311</v>
      </c>
      <c r="B1150" s="1186" t="s">
        <v>825</v>
      </c>
      <c r="C1150" s="1186" t="s">
        <v>61</v>
      </c>
      <c r="D1150" s="1186" t="s">
        <v>311</v>
      </c>
      <c r="E1150" s="1186" t="s">
        <v>971</v>
      </c>
      <c r="F1150" s="1186" t="s">
        <v>1987</v>
      </c>
      <c r="G1150" s="1186" t="s">
        <v>1988</v>
      </c>
      <c r="H1150" s="1186">
        <v>91</v>
      </c>
    </row>
    <row r="1151" spans="1:8" x14ac:dyDescent="0.2">
      <c r="A1151" s="1186" t="s">
        <v>311</v>
      </c>
      <c r="B1151" s="1186" t="s">
        <v>825</v>
      </c>
      <c r="C1151" s="1186" t="s">
        <v>61</v>
      </c>
      <c r="D1151" s="1186" t="s">
        <v>311</v>
      </c>
      <c r="E1151" s="1186" t="s">
        <v>972</v>
      </c>
      <c r="F1151" s="1186" t="s">
        <v>1981</v>
      </c>
      <c r="G1151" s="1186" t="s">
        <v>1988</v>
      </c>
      <c r="H1151" s="1186">
        <v>85</v>
      </c>
    </row>
    <row r="1152" spans="1:8" x14ac:dyDescent="0.2">
      <c r="A1152" s="1186" t="s">
        <v>311</v>
      </c>
      <c r="B1152" s="1186" t="s">
        <v>825</v>
      </c>
      <c r="C1152" s="1186" t="s">
        <v>116</v>
      </c>
      <c r="D1152" s="1186" t="s">
        <v>311</v>
      </c>
      <c r="E1152" s="1186" t="s">
        <v>961</v>
      </c>
      <c r="F1152" s="1186" t="s">
        <v>1981</v>
      </c>
      <c r="G1152" s="1186" t="s">
        <v>1982</v>
      </c>
      <c r="H1152" s="1186">
        <v>74</v>
      </c>
    </row>
    <row r="1153" spans="1:8" x14ac:dyDescent="0.2">
      <c r="A1153" s="1186" t="s">
        <v>311</v>
      </c>
      <c r="B1153" s="1186" t="s">
        <v>825</v>
      </c>
      <c r="C1153" s="1186" t="s">
        <v>116</v>
      </c>
      <c r="D1153" s="1186" t="s">
        <v>311</v>
      </c>
      <c r="E1153" s="1186" t="s">
        <v>962</v>
      </c>
      <c r="F1153" s="1186" t="s">
        <v>1981</v>
      </c>
      <c r="G1153" s="1186" t="s">
        <v>1982</v>
      </c>
      <c r="H1153" s="1186">
        <v>82</v>
      </c>
    </row>
    <row r="1154" spans="1:8" x14ac:dyDescent="0.2">
      <c r="A1154" s="1186" t="s">
        <v>311</v>
      </c>
      <c r="B1154" s="1186" t="s">
        <v>825</v>
      </c>
      <c r="C1154" s="1186" t="s">
        <v>116</v>
      </c>
      <c r="D1154" s="1186" t="s">
        <v>311</v>
      </c>
      <c r="E1154" s="1186" t="s">
        <v>963</v>
      </c>
      <c r="F1154" s="1186" t="s">
        <v>1983</v>
      </c>
      <c r="G1154" s="1186" t="s">
        <v>1982</v>
      </c>
      <c r="H1154" s="1186">
        <v>69</v>
      </c>
    </row>
    <row r="1155" spans="1:8" x14ac:dyDescent="0.2">
      <c r="A1155" s="1186" t="s">
        <v>311</v>
      </c>
      <c r="B1155" s="1186" t="s">
        <v>825</v>
      </c>
      <c r="C1155" s="1186" t="s">
        <v>116</v>
      </c>
      <c r="D1155" s="1186" t="s">
        <v>311</v>
      </c>
      <c r="E1155" s="1186" t="s">
        <v>964</v>
      </c>
      <c r="F1155" s="1186" t="s">
        <v>1983</v>
      </c>
      <c r="G1155" s="1186" t="s">
        <v>1984</v>
      </c>
      <c r="H1155" s="1186">
        <v>92</v>
      </c>
    </row>
    <row r="1156" spans="1:8" x14ac:dyDescent="0.2">
      <c r="A1156" s="1186" t="s">
        <v>311</v>
      </c>
      <c r="B1156" s="1186" t="s">
        <v>825</v>
      </c>
      <c r="C1156" s="1186" t="s">
        <v>116</v>
      </c>
      <c r="D1156" s="1186" t="s">
        <v>311</v>
      </c>
      <c r="E1156" s="1186" t="s">
        <v>965</v>
      </c>
      <c r="F1156" s="1186" t="s">
        <v>1983</v>
      </c>
      <c r="G1156" s="1186" t="s">
        <v>1984</v>
      </c>
      <c r="H1156" s="1186">
        <v>85</v>
      </c>
    </row>
    <row r="1157" spans="1:8" x14ac:dyDescent="0.2">
      <c r="A1157" s="1186" t="s">
        <v>311</v>
      </c>
      <c r="B1157" s="1186" t="s">
        <v>825</v>
      </c>
      <c r="C1157" s="1186" t="s">
        <v>116</v>
      </c>
      <c r="D1157" s="1186" t="s">
        <v>311</v>
      </c>
      <c r="E1157" s="1186" t="s">
        <v>966</v>
      </c>
      <c r="F1157" s="1186" t="s">
        <v>1985</v>
      </c>
      <c r="G1157" s="1186" t="s">
        <v>1984</v>
      </c>
      <c r="H1157" s="1186">
        <v>81</v>
      </c>
    </row>
    <row r="1158" spans="1:8" x14ac:dyDescent="0.2">
      <c r="A1158" s="1186" t="s">
        <v>311</v>
      </c>
      <c r="B1158" s="1186" t="s">
        <v>825</v>
      </c>
      <c r="C1158" s="1186" t="s">
        <v>116</v>
      </c>
      <c r="D1158" s="1186" t="s">
        <v>311</v>
      </c>
      <c r="E1158" s="1186" t="s">
        <v>967</v>
      </c>
      <c r="F1158" s="1186" t="s">
        <v>1985</v>
      </c>
      <c r="G1158" s="1186" t="s">
        <v>1986</v>
      </c>
      <c r="H1158" s="1186">
        <v>76</v>
      </c>
    </row>
    <row r="1159" spans="1:8" x14ac:dyDescent="0.2">
      <c r="A1159" s="1186" t="s">
        <v>311</v>
      </c>
      <c r="B1159" s="1186" t="s">
        <v>825</v>
      </c>
      <c r="C1159" s="1186" t="s">
        <v>116</v>
      </c>
      <c r="D1159" s="1186" t="s">
        <v>311</v>
      </c>
      <c r="E1159" s="1186" t="s">
        <v>968</v>
      </c>
      <c r="F1159" s="1186" t="s">
        <v>1985</v>
      </c>
      <c r="G1159" s="1186" t="s">
        <v>1986</v>
      </c>
      <c r="H1159" s="1186">
        <v>74</v>
      </c>
    </row>
    <row r="1160" spans="1:8" x14ac:dyDescent="0.2">
      <c r="A1160" s="1186" t="s">
        <v>311</v>
      </c>
      <c r="B1160" s="1186" t="s">
        <v>825</v>
      </c>
      <c r="C1160" s="1186" t="s">
        <v>116</v>
      </c>
      <c r="D1160" s="1186" t="s">
        <v>311</v>
      </c>
      <c r="E1160" s="1186" t="s">
        <v>969</v>
      </c>
      <c r="F1160" s="1186" t="s">
        <v>1987</v>
      </c>
      <c r="G1160" s="1186" t="s">
        <v>1986</v>
      </c>
      <c r="H1160" s="1186">
        <v>57</v>
      </c>
    </row>
    <row r="1161" spans="1:8" x14ac:dyDescent="0.2">
      <c r="A1161" s="1186" t="s">
        <v>311</v>
      </c>
      <c r="B1161" s="1186" t="s">
        <v>825</v>
      </c>
      <c r="C1161" s="1186" t="s">
        <v>116</v>
      </c>
      <c r="D1161" s="1186" t="s">
        <v>311</v>
      </c>
      <c r="E1161" s="1186" t="s">
        <v>970</v>
      </c>
      <c r="F1161" s="1186" t="s">
        <v>1987</v>
      </c>
      <c r="G1161" s="1186" t="s">
        <v>1988</v>
      </c>
      <c r="H1161" s="1186">
        <v>66</v>
      </c>
    </row>
    <row r="1162" spans="1:8" x14ac:dyDescent="0.2">
      <c r="A1162" s="1186" t="s">
        <v>311</v>
      </c>
      <c r="B1162" s="1186" t="s">
        <v>825</v>
      </c>
      <c r="C1162" s="1186" t="s">
        <v>116</v>
      </c>
      <c r="D1162" s="1186" t="s">
        <v>311</v>
      </c>
      <c r="E1162" s="1186" t="s">
        <v>971</v>
      </c>
      <c r="F1162" s="1186" t="s">
        <v>1987</v>
      </c>
      <c r="G1162" s="1186" t="s">
        <v>1988</v>
      </c>
      <c r="H1162" s="1186">
        <v>50</v>
      </c>
    </row>
    <row r="1163" spans="1:8" x14ac:dyDescent="0.2">
      <c r="A1163" s="1186" t="s">
        <v>311</v>
      </c>
      <c r="B1163" s="1186" t="s">
        <v>825</v>
      </c>
      <c r="C1163" s="1186" t="s">
        <v>116</v>
      </c>
      <c r="D1163" s="1186" t="s">
        <v>311</v>
      </c>
      <c r="E1163" s="1186" t="s">
        <v>972</v>
      </c>
      <c r="F1163" s="1186" t="s">
        <v>1981</v>
      </c>
      <c r="G1163" s="1186" t="s">
        <v>1988</v>
      </c>
      <c r="H1163" s="1186">
        <v>57</v>
      </c>
    </row>
    <row r="1164" spans="1:8" x14ac:dyDescent="0.2">
      <c r="A1164" s="1186" t="s">
        <v>311</v>
      </c>
      <c r="B1164" s="1186" t="s">
        <v>826</v>
      </c>
      <c r="C1164" s="1186" t="s">
        <v>61</v>
      </c>
      <c r="D1164" s="1186" t="s">
        <v>311</v>
      </c>
      <c r="E1164" s="1186" t="s">
        <v>961</v>
      </c>
      <c r="F1164" s="1186" t="s">
        <v>1981</v>
      </c>
      <c r="G1164" s="1186" t="s">
        <v>1982</v>
      </c>
      <c r="H1164" s="1186">
        <v>42</v>
      </c>
    </row>
    <row r="1165" spans="1:8" x14ac:dyDescent="0.2">
      <c r="A1165" s="1186" t="s">
        <v>311</v>
      </c>
      <c r="B1165" s="1186" t="s">
        <v>826</v>
      </c>
      <c r="C1165" s="1186" t="s">
        <v>61</v>
      </c>
      <c r="D1165" s="1186" t="s">
        <v>311</v>
      </c>
      <c r="E1165" s="1186" t="s">
        <v>962</v>
      </c>
      <c r="F1165" s="1186" t="s">
        <v>1981</v>
      </c>
      <c r="G1165" s="1186" t="s">
        <v>1982</v>
      </c>
      <c r="H1165" s="1186">
        <v>84</v>
      </c>
    </row>
    <row r="1166" spans="1:8" x14ac:dyDescent="0.2">
      <c r="A1166" s="1186" t="s">
        <v>311</v>
      </c>
      <c r="B1166" s="1186" t="s">
        <v>826</v>
      </c>
      <c r="C1166" s="1186" t="s">
        <v>61</v>
      </c>
      <c r="D1166" s="1186" t="s">
        <v>311</v>
      </c>
      <c r="E1166" s="1186" t="s">
        <v>963</v>
      </c>
      <c r="F1166" s="1186" t="s">
        <v>1983</v>
      </c>
      <c r="G1166" s="1186" t="s">
        <v>1982</v>
      </c>
      <c r="H1166" s="1186">
        <v>34</v>
      </c>
    </row>
    <row r="1167" spans="1:8" x14ac:dyDescent="0.2">
      <c r="A1167" s="1186" t="s">
        <v>311</v>
      </c>
      <c r="B1167" s="1186" t="s">
        <v>826</v>
      </c>
      <c r="C1167" s="1186" t="s">
        <v>61</v>
      </c>
      <c r="D1167" s="1186" t="s">
        <v>311</v>
      </c>
      <c r="E1167" s="1186" t="s">
        <v>964</v>
      </c>
      <c r="F1167" s="1186" t="s">
        <v>1983</v>
      </c>
      <c r="G1167" s="1186" t="s">
        <v>1984</v>
      </c>
      <c r="H1167" s="1186">
        <v>26</v>
      </c>
    </row>
    <row r="1168" spans="1:8" x14ac:dyDescent="0.2">
      <c r="A1168" s="1186" t="s">
        <v>311</v>
      </c>
      <c r="B1168" s="1186" t="s">
        <v>826</v>
      </c>
      <c r="C1168" s="1186" t="s">
        <v>61</v>
      </c>
      <c r="D1168" s="1186" t="s">
        <v>311</v>
      </c>
      <c r="E1168" s="1186" t="s">
        <v>965</v>
      </c>
      <c r="F1168" s="1186" t="s">
        <v>1983</v>
      </c>
      <c r="G1168" s="1186" t="s">
        <v>1984</v>
      </c>
      <c r="H1168" s="1186">
        <v>37</v>
      </c>
    </row>
    <row r="1169" spans="1:8" x14ac:dyDescent="0.2">
      <c r="A1169" s="1186" t="s">
        <v>311</v>
      </c>
      <c r="B1169" s="1186" t="s">
        <v>826</v>
      </c>
      <c r="C1169" s="1186" t="s">
        <v>61</v>
      </c>
      <c r="D1169" s="1186" t="s">
        <v>311</v>
      </c>
      <c r="E1169" s="1186" t="s">
        <v>966</v>
      </c>
      <c r="F1169" s="1186" t="s">
        <v>1985</v>
      </c>
      <c r="G1169" s="1186" t="s">
        <v>1984</v>
      </c>
      <c r="H1169" s="1186">
        <v>35</v>
      </c>
    </row>
    <row r="1170" spans="1:8" x14ac:dyDescent="0.2">
      <c r="A1170" s="1186" t="s">
        <v>311</v>
      </c>
      <c r="B1170" s="1186" t="s">
        <v>826</v>
      </c>
      <c r="C1170" s="1186" t="s">
        <v>61</v>
      </c>
      <c r="D1170" s="1186" t="s">
        <v>311</v>
      </c>
      <c r="E1170" s="1186" t="s">
        <v>967</v>
      </c>
      <c r="F1170" s="1186" t="s">
        <v>1985</v>
      </c>
      <c r="G1170" s="1186" t="s">
        <v>1986</v>
      </c>
      <c r="H1170" s="1186">
        <v>32</v>
      </c>
    </row>
    <row r="1171" spans="1:8" x14ac:dyDescent="0.2">
      <c r="A1171" s="1186" t="s">
        <v>311</v>
      </c>
      <c r="B1171" s="1186" t="s">
        <v>826</v>
      </c>
      <c r="C1171" s="1186" t="s">
        <v>61</v>
      </c>
      <c r="D1171" s="1186" t="s">
        <v>311</v>
      </c>
      <c r="E1171" s="1186" t="s">
        <v>968</v>
      </c>
      <c r="F1171" s="1186" t="s">
        <v>1985</v>
      </c>
      <c r="G1171" s="1186" t="s">
        <v>1986</v>
      </c>
      <c r="H1171" s="1186">
        <v>25</v>
      </c>
    </row>
    <row r="1172" spans="1:8" x14ac:dyDescent="0.2">
      <c r="A1172" s="1186" t="s">
        <v>311</v>
      </c>
      <c r="B1172" s="1186" t="s">
        <v>826</v>
      </c>
      <c r="C1172" s="1186" t="s">
        <v>61</v>
      </c>
      <c r="D1172" s="1186" t="s">
        <v>311</v>
      </c>
      <c r="E1172" s="1186" t="s">
        <v>969</v>
      </c>
      <c r="F1172" s="1186" t="s">
        <v>1987</v>
      </c>
      <c r="G1172" s="1186" t="s">
        <v>1986</v>
      </c>
      <c r="H1172" s="1186">
        <v>26</v>
      </c>
    </row>
    <row r="1173" spans="1:8" x14ac:dyDescent="0.2">
      <c r="A1173" s="1186" t="s">
        <v>311</v>
      </c>
      <c r="B1173" s="1186" t="s">
        <v>826</v>
      </c>
      <c r="C1173" s="1186" t="s">
        <v>61</v>
      </c>
      <c r="D1173" s="1186" t="s">
        <v>311</v>
      </c>
      <c r="E1173" s="1186" t="s">
        <v>970</v>
      </c>
      <c r="F1173" s="1186" t="s">
        <v>1987</v>
      </c>
      <c r="G1173" s="1186" t="s">
        <v>1988</v>
      </c>
      <c r="H1173" s="1186">
        <v>16</v>
      </c>
    </row>
    <row r="1174" spans="1:8" x14ac:dyDescent="0.2">
      <c r="A1174" s="1186" t="s">
        <v>311</v>
      </c>
      <c r="B1174" s="1186" t="s">
        <v>826</v>
      </c>
      <c r="C1174" s="1186" t="s">
        <v>61</v>
      </c>
      <c r="D1174" s="1186" t="s">
        <v>311</v>
      </c>
      <c r="E1174" s="1186" t="s">
        <v>971</v>
      </c>
      <c r="F1174" s="1186" t="s">
        <v>1987</v>
      </c>
      <c r="G1174" s="1186" t="s">
        <v>1988</v>
      </c>
      <c r="H1174" s="1186">
        <v>19</v>
      </c>
    </row>
    <row r="1175" spans="1:8" x14ac:dyDescent="0.2">
      <c r="A1175" s="1186" t="s">
        <v>311</v>
      </c>
      <c r="B1175" s="1186" t="s">
        <v>826</v>
      </c>
      <c r="C1175" s="1186" t="s">
        <v>61</v>
      </c>
      <c r="D1175" s="1186" t="s">
        <v>311</v>
      </c>
      <c r="E1175" s="1186" t="s">
        <v>972</v>
      </c>
      <c r="F1175" s="1186" t="s">
        <v>1981</v>
      </c>
      <c r="G1175" s="1186" t="s">
        <v>1988</v>
      </c>
      <c r="H1175" s="1186">
        <v>22</v>
      </c>
    </row>
    <row r="1176" spans="1:8" x14ac:dyDescent="0.2">
      <c r="A1176" s="1186" t="s">
        <v>311</v>
      </c>
      <c r="B1176" s="1186" t="s">
        <v>826</v>
      </c>
      <c r="C1176" s="1186" t="s">
        <v>116</v>
      </c>
      <c r="D1176" s="1186" t="s">
        <v>311</v>
      </c>
      <c r="E1176" s="1186" t="s">
        <v>961</v>
      </c>
      <c r="F1176" s="1186" t="s">
        <v>1981</v>
      </c>
      <c r="G1176" s="1186" t="s">
        <v>1982</v>
      </c>
      <c r="H1176" s="1186">
        <v>120</v>
      </c>
    </row>
    <row r="1177" spans="1:8" x14ac:dyDescent="0.2">
      <c r="A1177" s="1186" t="s">
        <v>311</v>
      </c>
      <c r="B1177" s="1186" t="s">
        <v>826</v>
      </c>
      <c r="C1177" s="1186" t="s">
        <v>116</v>
      </c>
      <c r="D1177" s="1186" t="s">
        <v>311</v>
      </c>
      <c r="E1177" s="1186" t="s">
        <v>962</v>
      </c>
      <c r="F1177" s="1186" t="s">
        <v>1981</v>
      </c>
      <c r="G1177" s="1186" t="s">
        <v>1982</v>
      </c>
      <c r="H1177" s="1186">
        <v>158</v>
      </c>
    </row>
    <row r="1178" spans="1:8" x14ac:dyDescent="0.2">
      <c r="A1178" s="1186" t="s">
        <v>311</v>
      </c>
      <c r="B1178" s="1186" t="s">
        <v>826</v>
      </c>
      <c r="C1178" s="1186" t="s">
        <v>116</v>
      </c>
      <c r="D1178" s="1186" t="s">
        <v>311</v>
      </c>
      <c r="E1178" s="1186" t="s">
        <v>963</v>
      </c>
      <c r="F1178" s="1186" t="s">
        <v>1983</v>
      </c>
      <c r="G1178" s="1186" t="s">
        <v>1982</v>
      </c>
      <c r="H1178" s="1186">
        <v>65</v>
      </c>
    </row>
    <row r="1179" spans="1:8" x14ac:dyDescent="0.2">
      <c r="A1179" s="1186" t="s">
        <v>311</v>
      </c>
      <c r="B1179" s="1186" t="s">
        <v>826</v>
      </c>
      <c r="C1179" s="1186" t="s">
        <v>116</v>
      </c>
      <c r="D1179" s="1186" t="s">
        <v>311</v>
      </c>
      <c r="E1179" s="1186" t="s">
        <v>964</v>
      </c>
      <c r="F1179" s="1186" t="s">
        <v>1983</v>
      </c>
      <c r="G1179" s="1186" t="s">
        <v>1984</v>
      </c>
      <c r="H1179" s="1186">
        <v>38</v>
      </c>
    </row>
    <row r="1180" spans="1:8" x14ac:dyDescent="0.2">
      <c r="A1180" s="1186" t="s">
        <v>311</v>
      </c>
      <c r="B1180" s="1186" t="s">
        <v>826</v>
      </c>
      <c r="C1180" s="1186" t="s">
        <v>116</v>
      </c>
      <c r="D1180" s="1186" t="s">
        <v>311</v>
      </c>
      <c r="E1180" s="1186" t="s">
        <v>965</v>
      </c>
      <c r="F1180" s="1186" t="s">
        <v>1983</v>
      </c>
      <c r="G1180" s="1186" t="s">
        <v>1984</v>
      </c>
      <c r="H1180" s="1186">
        <v>51</v>
      </c>
    </row>
    <row r="1181" spans="1:8" x14ac:dyDescent="0.2">
      <c r="A1181" s="1186" t="s">
        <v>311</v>
      </c>
      <c r="B1181" s="1186" t="s">
        <v>826</v>
      </c>
      <c r="C1181" s="1186" t="s">
        <v>116</v>
      </c>
      <c r="D1181" s="1186" t="s">
        <v>311</v>
      </c>
      <c r="E1181" s="1186" t="s">
        <v>966</v>
      </c>
      <c r="F1181" s="1186" t="s">
        <v>1985</v>
      </c>
      <c r="G1181" s="1186" t="s">
        <v>1984</v>
      </c>
      <c r="H1181" s="1186">
        <v>48</v>
      </c>
    </row>
    <row r="1182" spans="1:8" x14ac:dyDescent="0.2">
      <c r="A1182" s="1186" t="s">
        <v>311</v>
      </c>
      <c r="B1182" s="1186" t="s">
        <v>826</v>
      </c>
      <c r="C1182" s="1186" t="s">
        <v>116</v>
      </c>
      <c r="D1182" s="1186" t="s">
        <v>311</v>
      </c>
      <c r="E1182" s="1186" t="s">
        <v>967</v>
      </c>
      <c r="F1182" s="1186" t="s">
        <v>1985</v>
      </c>
      <c r="G1182" s="1186" t="s">
        <v>1986</v>
      </c>
      <c r="H1182" s="1186">
        <v>57</v>
      </c>
    </row>
    <row r="1183" spans="1:8" x14ac:dyDescent="0.2">
      <c r="A1183" s="1186" t="s">
        <v>311</v>
      </c>
      <c r="B1183" s="1186" t="s">
        <v>826</v>
      </c>
      <c r="C1183" s="1186" t="s">
        <v>116</v>
      </c>
      <c r="D1183" s="1186" t="s">
        <v>311</v>
      </c>
      <c r="E1183" s="1186" t="s">
        <v>968</v>
      </c>
      <c r="F1183" s="1186" t="s">
        <v>1985</v>
      </c>
      <c r="G1183" s="1186" t="s">
        <v>1986</v>
      </c>
      <c r="H1183" s="1186">
        <v>49</v>
      </c>
    </row>
    <row r="1184" spans="1:8" x14ac:dyDescent="0.2">
      <c r="A1184" s="1186" t="s">
        <v>311</v>
      </c>
      <c r="B1184" s="1186" t="s">
        <v>826</v>
      </c>
      <c r="C1184" s="1186" t="s">
        <v>116</v>
      </c>
      <c r="D1184" s="1186" t="s">
        <v>311</v>
      </c>
      <c r="E1184" s="1186" t="s">
        <v>969</v>
      </c>
      <c r="F1184" s="1186" t="s">
        <v>1987</v>
      </c>
      <c r="G1184" s="1186" t="s">
        <v>1986</v>
      </c>
      <c r="H1184" s="1186">
        <v>19</v>
      </c>
    </row>
    <row r="1185" spans="1:8" x14ac:dyDescent="0.2">
      <c r="A1185" s="1186" t="s">
        <v>311</v>
      </c>
      <c r="B1185" s="1186" t="s">
        <v>826</v>
      </c>
      <c r="C1185" s="1186" t="s">
        <v>116</v>
      </c>
      <c r="D1185" s="1186" t="s">
        <v>311</v>
      </c>
      <c r="E1185" s="1186" t="s">
        <v>970</v>
      </c>
      <c r="F1185" s="1186" t="s">
        <v>1987</v>
      </c>
      <c r="G1185" s="1186" t="s">
        <v>1988</v>
      </c>
      <c r="H1185" s="1186">
        <v>20</v>
      </c>
    </row>
    <row r="1186" spans="1:8" x14ac:dyDescent="0.2">
      <c r="A1186" s="1186" t="s">
        <v>311</v>
      </c>
      <c r="B1186" s="1186" t="s">
        <v>826</v>
      </c>
      <c r="C1186" s="1186" t="s">
        <v>116</v>
      </c>
      <c r="D1186" s="1186" t="s">
        <v>311</v>
      </c>
      <c r="E1186" s="1186" t="s">
        <v>971</v>
      </c>
      <c r="F1186" s="1186" t="s">
        <v>1987</v>
      </c>
      <c r="G1186" s="1186" t="s">
        <v>1988</v>
      </c>
      <c r="H1186" s="1186">
        <v>14</v>
      </c>
    </row>
    <row r="1187" spans="1:8" x14ac:dyDescent="0.2">
      <c r="A1187" s="1186" t="s">
        <v>311</v>
      </c>
      <c r="B1187" s="1186" t="s">
        <v>826</v>
      </c>
      <c r="C1187" s="1186" t="s">
        <v>116</v>
      </c>
      <c r="D1187" s="1186" t="s">
        <v>311</v>
      </c>
      <c r="E1187" s="1186" t="s">
        <v>972</v>
      </c>
      <c r="F1187" s="1186" t="s">
        <v>1981</v>
      </c>
      <c r="G1187" s="1186" t="s">
        <v>1988</v>
      </c>
      <c r="H1187" s="1186">
        <v>21</v>
      </c>
    </row>
    <row r="1188" spans="1:8" x14ac:dyDescent="0.2">
      <c r="A1188" s="1186" t="s">
        <v>311</v>
      </c>
      <c r="B1188" s="1186" t="s">
        <v>308</v>
      </c>
      <c r="C1188" s="1186" t="s">
        <v>61</v>
      </c>
      <c r="D1188" s="1186" t="s">
        <v>311</v>
      </c>
      <c r="E1188" s="1186" t="s">
        <v>961</v>
      </c>
      <c r="F1188" s="1186" t="s">
        <v>1981</v>
      </c>
      <c r="G1188" s="1186" t="s">
        <v>1982</v>
      </c>
      <c r="H1188" s="1186">
        <v>446</v>
      </c>
    </row>
    <row r="1189" spans="1:8" x14ac:dyDescent="0.2">
      <c r="A1189" s="1186" t="s">
        <v>311</v>
      </c>
      <c r="B1189" s="1186" t="s">
        <v>308</v>
      </c>
      <c r="C1189" s="1186" t="s">
        <v>61</v>
      </c>
      <c r="D1189" s="1186" t="s">
        <v>311</v>
      </c>
      <c r="E1189" s="1186" t="s">
        <v>962</v>
      </c>
      <c r="F1189" s="1186" t="s">
        <v>1981</v>
      </c>
      <c r="G1189" s="1186" t="s">
        <v>1982</v>
      </c>
      <c r="H1189" s="1186">
        <v>650</v>
      </c>
    </row>
    <row r="1190" spans="1:8" x14ac:dyDescent="0.2">
      <c r="A1190" s="1186" t="s">
        <v>311</v>
      </c>
      <c r="B1190" s="1186" t="s">
        <v>308</v>
      </c>
      <c r="C1190" s="1186" t="s">
        <v>61</v>
      </c>
      <c r="D1190" s="1186" t="s">
        <v>311</v>
      </c>
      <c r="E1190" s="1186" t="s">
        <v>963</v>
      </c>
      <c r="F1190" s="1186" t="s">
        <v>1983</v>
      </c>
      <c r="G1190" s="1186" t="s">
        <v>1982</v>
      </c>
      <c r="H1190" s="1186">
        <v>194</v>
      </c>
    </row>
    <row r="1191" spans="1:8" x14ac:dyDescent="0.2">
      <c r="A1191" s="1186" t="s">
        <v>311</v>
      </c>
      <c r="B1191" s="1186" t="s">
        <v>308</v>
      </c>
      <c r="C1191" s="1186" t="s">
        <v>61</v>
      </c>
      <c r="D1191" s="1186" t="s">
        <v>311</v>
      </c>
      <c r="E1191" s="1186" t="s">
        <v>964</v>
      </c>
      <c r="F1191" s="1186" t="s">
        <v>1983</v>
      </c>
      <c r="G1191" s="1186" t="s">
        <v>1984</v>
      </c>
      <c r="H1191" s="1186">
        <v>192</v>
      </c>
    </row>
    <row r="1192" spans="1:8" x14ac:dyDescent="0.2">
      <c r="A1192" s="1186" t="s">
        <v>311</v>
      </c>
      <c r="B1192" s="1186" t="s">
        <v>308</v>
      </c>
      <c r="C1192" s="1186" t="s">
        <v>61</v>
      </c>
      <c r="D1192" s="1186" t="s">
        <v>311</v>
      </c>
      <c r="E1192" s="1186" t="s">
        <v>965</v>
      </c>
      <c r="F1192" s="1186" t="s">
        <v>1983</v>
      </c>
      <c r="G1192" s="1186" t="s">
        <v>1984</v>
      </c>
      <c r="H1192" s="1186">
        <v>166</v>
      </c>
    </row>
    <row r="1193" spans="1:8" x14ac:dyDescent="0.2">
      <c r="A1193" s="1186" t="s">
        <v>311</v>
      </c>
      <c r="B1193" s="1186" t="s">
        <v>308</v>
      </c>
      <c r="C1193" s="1186" t="s">
        <v>61</v>
      </c>
      <c r="D1193" s="1186" t="s">
        <v>311</v>
      </c>
      <c r="E1193" s="1186" t="s">
        <v>966</v>
      </c>
      <c r="F1193" s="1186" t="s">
        <v>1985</v>
      </c>
      <c r="G1193" s="1186" t="s">
        <v>1984</v>
      </c>
      <c r="H1193" s="1186">
        <v>124</v>
      </c>
    </row>
    <row r="1194" spans="1:8" x14ac:dyDescent="0.2">
      <c r="A1194" s="1186" t="s">
        <v>311</v>
      </c>
      <c r="B1194" s="1186" t="s">
        <v>308</v>
      </c>
      <c r="C1194" s="1186" t="s">
        <v>61</v>
      </c>
      <c r="D1194" s="1186" t="s">
        <v>311</v>
      </c>
      <c r="E1194" s="1186" t="s">
        <v>967</v>
      </c>
      <c r="F1194" s="1186" t="s">
        <v>1985</v>
      </c>
      <c r="G1194" s="1186" t="s">
        <v>1986</v>
      </c>
      <c r="H1194" s="1186">
        <v>126</v>
      </c>
    </row>
    <row r="1195" spans="1:8" x14ac:dyDescent="0.2">
      <c r="A1195" s="1186" t="s">
        <v>311</v>
      </c>
      <c r="B1195" s="1186" t="s">
        <v>308</v>
      </c>
      <c r="C1195" s="1186" t="s">
        <v>61</v>
      </c>
      <c r="D1195" s="1186" t="s">
        <v>311</v>
      </c>
      <c r="E1195" s="1186" t="s">
        <v>968</v>
      </c>
      <c r="F1195" s="1186" t="s">
        <v>1985</v>
      </c>
      <c r="G1195" s="1186" t="s">
        <v>1986</v>
      </c>
      <c r="H1195" s="1186">
        <v>194</v>
      </c>
    </row>
    <row r="1196" spans="1:8" x14ac:dyDescent="0.2">
      <c r="A1196" s="1186" t="s">
        <v>311</v>
      </c>
      <c r="B1196" s="1186" t="s">
        <v>308</v>
      </c>
      <c r="C1196" s="1186" t="s">
        <v>61</v>
      </c>
      <c r="D1196" s="1186" t="s">
        <v>311</v>
      </c>
      <c r="E1196" s="1186" t="s">
        <v>969</v>
      </c>
      <c r="F1196" s="1186" t="s">
        <v>1987</v>
      </c>
      <c r="G1196" s="1186" t="s">
        <v>1986</v>
      </c>
      <c r="H1196" s="1186">
        <v>121</v>
      </c>
    </row>
    <row r="1197" spans="1:8" x14ac:dyDescent="0.2">
      <c r="A1197" s="1186" t="s">
        <v>311</v>
      </c>
      <c r="B1197" s="1186" t="s">
        <v>308</v>
      </c>
      <c r="C1197" s="1186" t="s">
        <v>61</v>
      </c>
      <c r="D1197" s="1186" t="s">
        <v>311</v>
      </c>
      <c r="E1197" s="1186" t="s">
        <v>970</v>
      </c>
      <c r="F1197" s="1186" t="s">
        <v>1987</v>
      </c>
      <c r="G1197" s="1186" t="s">
        <v>1988</v>
      </c>
      <c r="H1197" s="1186">
        <v>74</v>
      </c>
    </row>
    <row r="1198" spans="1:8" x14ac:dyDescent="0.2">
      <c r="A1198" s="1186" t="s">
        <v>311</v>
      </c>
      <c r="B1198" s="1186" t="s">
        <v>308</v>
      </c>
      <c r="C1198" s="1186" t="s">
        <v>61</v>
      </c>
      <c r="D1198" s="1186" t="s">
        <v>311</v>
      </c>
      <c r="E1198" s="1186" t="s">
        <v>971</v>
      </c>
      <c r="F1198" s="1186" t="s">
        <v>1987</v>
      </c>
      <c r="G1198" s="1186" t="s">
        <v>1988</v>
      </c>
      <c r="H1198" s="1186">
        <v>115</v>
      </c>
    </row>
    <row r="1199" spans="1:8" x14ac:dyDescent="0.2">
      <c r="A1199" s="1186" t="s">
        <v>311</v>
      </c>
      <c r="B1199" s="1186" t="s">
        <v>308</v>
      </c>
      <c r="C1199" s="1186" t="s">
        <v>61</v>
      </c>
      <c r="D1199" s="1186" t="s">
        <v>311</v>
      </c>
      <c r="E1199" s="1186" t="s">
        <v>972</v>
      </c>
      <c r="F1199" s="1186" t="s">
        <v>1981</v>
      </c>
      <c r="G1199" s="1186" t="s">
        <v>1988</v>
      </c>
      <c r="H1199" s="1186">
        <v>210</v>
      </c>
    </row>
    <row r="1200" spans="1:8" x14ac:dyDescent="0.2">
      <c r="A1200" s="1186" t="s">
        <v>311</v>
      </c>
      <c r="B1200" s="1186" t="s">
        <v>308</v>
      </c>
      <c r="C1200" s="1186" t="s">
        <v>116</v>
      </c>
      <c r="D1200" s="1186" t="s">
        <v>311</v>
      </c>
      <c r="E1200" s="1186" t="s">
        <v>961</v>
      </c>
      <c r="F1200" s="1186" t="s">
        <v>1981</v>
      </c>
      <c r="G1200" s="1186" t="s">
        <v>1982</v>
      </c>
      <c r="H1200" s="1186">
        <v>2247</v>
      </c>
    </row>
    <row r="1201" spans="1:8" x14ac:dyDescent="0.2">
      <c r="A1201" s="1186" t="s">
        <v>311</v>
      </c>
      <c r="B1201" s="1186" t="s">
        <v>308</v>
      </c>
      <c r="C1201" s="1186" t="s">
        <v>116</v>
      </c>
      <c r="D1201" s="1186" t="s">
        <v>311</v>
      </c>
      <c r="E1201" s="1186" t="s">
        <v>962</v>
      </c>
      <c r="F1201" s="1186" t="s">
        <v>1981</v>
      </c>
      <c r="G1201" s="1186" t="s">
        <v>1982</v>
      </c>
      <c r="H1201" s="1186">
        <v>2366</v>
      </c>
    </row>
    <row r="1202" spans="1:8" x14ac:dyDescent="0.2">
      <c r="A1202" s="1186" t="s">
        <v>311</v>
      </c>
      <c r="B1202" s="1186" t="s">
        <v>308</v>
      </c>
      <c r="C1202" s="1186" t="s">
        <v>116</v>
      </c>
      <c r="D1202" s="1186" t="s">
        <v>311</v>
      </c>
      <c r="E1202" s="1186" t="s">
        <v>963</v>
      </c>
      <c r="F1202" s="1186" t="s">
        <v>1983</v>
      </c>
      <c r="G1202" s="1186" t="s">
        <v>1982</v>
      </c>
      <c r="H1202" s="1186">
        <v>876</v>
      </c>
    </row>
    <row r="1203" spans="1:8" x14ac:dyDescent="0.2">
      <c r="A1203" s="1186" t="s">
        <v>311</v>
      </c>
      <c r="B1203" s="1186" t="s">
        <v>308</v>
      </c>
      <c r="C1203" s="1186" t="s">
        <v>116</v>
      </c>
      <c r="D1203" s="1186" t="s">
        <v>311</v>
      </c>
      <c r="E1203" s="1186" t="s">
        <v>964</v>
      </c>
      <c r="F1203" s="1186" t="s">
        <v>1983</v>
      </c>
      <c r="G1203" s="1186" t="s">
        <v>1984</v>
      </c>
      <c r="H1203" s="1186">
        <v>843</v>
      </c>
    </row>
    <row r="1204" spans="1:8" x14ac:dyDescent="0.2">
      <c r="A1204" s="1186" t="s">
        <v>311</v>
      </c>
      <c r="B1204" s="1186" t="s">
        <v>308</v>
      </c>
      <c r="C1204" s="1186" t="s">
        <v>116</v>
      </c>
      <c r="D1204" s="1186" t="s">
        <v>311</v>
      </c>
      <c r="E1204" s="1186" t="s">
        <v>965</v>
      </c>
      <c r="F1204" s="1186" t="s">
        <v>1983</v>
      </c>
      <c r="G1204" s="1186" t="s">
        <v>1984</v>
      </c>
      <c r="H1204" s="1186">
        <v>821</v>
      </c>
    </row>
    <row r="1205" spans="1:8" x14ac:dyDescent="0.2">
      <c r="A1205" s="1186" t="s">
        <v>311</v>
      </c>
      <c r="B1205" s="1186" t="s">
        <v>308</v>
      </c>
      <c r="C1205" s="1186" t="s">
        <v>116</v>
      </c>
      <c r="D1205" s="1186" t="s">
        <v>311</v>
      </c>
      <c r="E1205" s="1186" t="s">
        <v>966</v>
      </c>
      <c r="F1205" s="1186" t="s">
        <v>1985</v>
      </c>
      <c r="G1205" s="1186" t="s">
        <v>1984</v>
      </c>
      <c r="H1205" s="1186">
        <v>780</v>
      </c>
    </row>
    <row r="1206" spans="1:8" x14ac:dyDescent="0.2">
      <c r="A1206" s="1186" t="s">
        <v>311</v>
      </c>
      <c r="B1206" s="1186" t="s">
        <v>308</v>
      </c>
      <c r="C1206" s="1186" t="s">
        <v>116</v>
      </c>
      <c r="D1206" s="1186" t="s">
        <v>311</v>
      </c>
      <c r="E1206" s="1186" t="s">
        <v>967</v>
      </c>
      <c r="F1206" s="1186" t="s">
        <v>1985</v>
      </c>
      <c r="G1206" s="1186" t="s">
        <v>1986</v>
      </c>
      <c r="H1206" s="1186">
        <v>861</v>
      </c>
    </row>
    <row r="1207" spans="1:8" x14ac:dyDescent="0.2">
      <c r="A1207" s="1186" t="s">
        <v>311</v>
      </c>
      <c r="B1207" s="1186" t="s">
        <v>308</v>
      </c>
      <c r="C1207" s="1186" t="s">
        <v>116</v>
      </c>
      <c r="D1207" s="1186" t="s">
        <v>311</v>
      </c>
      <c r="E1207" s="1186" t="s">
        <v>968</v>
      </c>
      <c r="F1207" s="1186" t="s">
        <v>1985</v>
      </c>
      <c r="G1207" s="1186" t="s">
        <v>1986</v>
      </c>
      <c r="H1207" s="1186">
        <v>1233</v>
      </c>
    </row>
    <row r="1208" spans="1:8" x14ac:dyDescent="0.2">
      <c r="A1208" s="1186" t="s">
        <v>311</v>
      </c>
      <c r="B1208" s="1186" t="s">
        <v>308</v>
      </c>
      <c r="C1208" s="1186" t="s">
        <v>116</v>
      </c>
      <c r="D1208" s="1186" t="s">
        <v>311</v>
      </c>
      <c r="E1208" s="1186" t="s">
        <v>969</v>
      </c>
      <c r="F1208" s="1186" t="s">
        <v>1987</v>
      </c>
      <c r="G1208" s="1186" t="s">
        <v>1986</v>
      </c>
      <c r="H1208" s="1186">
        <v>518</v>
      </c>
    </row>
    <row r="1209" spans="1:8" x14ac:dyDescent="0.2">
      <c r="A1209" s="1186" t="s">
        <v>311</v>
      </c>
      <c r="B1209" s="1186" t="s">
        <v>308</v>
      </c>
      <c r="C1209" s="1186" t="s">
        <v>116</v>
      </c>
      <c r="D1209" s="1186" t="s">
        <v>311</v>
      </c>
      <c r="E1209" s="1186" t="s">
        <v>970</v>
      </c>
      <c r="F1209" s="1186" t="s">
        <v>1987</v>
      </c>
      <c r="G1209" s="1186" t="s">
        <v>1988</v>
      </c>
      <c r="H1209" s="1186">
        <v>367</v>
      </c>
    </row>
    <row r="1210" spans="1:8" x14ac:dyDescent="0.2">
      <c r="A1210" s="1186" t="s">
        <v>311</v>
      </c>
      <c r="B1210" s="1186" t="s">
        <v>308</v>
      </c>
      <c r="C1210" s="1186" t="s">
        <v>116</v>
      </c>
      <c r="D1210" s="1186" t="s">
        <v>311</v>
      </c>
      <c r="E1210" s="1186" t="s">
        <v>971</v>
      </c>
      <c r="F1210" s="1186" t="s">
        <v>1987</v>
      </c>
      <c r="G1210" s="1186" t="s">
        <v>1988</v>
      </c>
      <c r="H1210" s="1186">
        <v>531</v>
      </c>
    </row>
    <row r="1211" spans="1:8" x14ac:dyDescent="0.2">
      <c r="A1211" s="1186" t="s">
        <v>311</v>
      </c>
      <c r="B1211" s="1186" t="s">
        <v>308</v>
      </c>
      <c r="C1211" s="1186" t="s">
        <v>116</v>
      </c>
      <c r="D1211" s="1186" t="s">
        <v>311</v>
      </c>
      <c r="E1211" s="1186" t="s">
        <v>972</v>
      </c>
      <c r="F1211" s="1186" t="s">
        <v>1981</v>
      </c>
      <c r="G1211" s="1186" t="s">
        <v>1988</v>
      </c>
      <c r="H1211" s="1186">
        <v>673</v>
      </c>
    </row>
    <row r="1212" spans="1:8" x14ac:dyDescent="0.2">
      <c r="A1212" s="1186" t="s">
        <v>621</v>
      </c>
      <c r="B1212" s="1186" t="s">
        <v>309</v>
      </c>
      <c r="C1212" s="1186" t="s">
        <v>61</v>
      </c>
      <c r="D1212" s="1186" t="s">
        <v>621</v>
      </c>
      <c r="E1212" s="1186" t="s">
        <v>973</v>
      </c>
      <c r="F1212" s="1186" t="s">
        <v>1981</v>
      </c>
      <c r="G1212" s="1186" t="s">
        <v>1982</v>
      </c>
      <c r="H1212" s="1186">
        <v>69</v>
      </c>
    </row>
    <row r="1213" spans="1:8" x14ac:dyDescent="0.2">
      <c r="A1213" s="1186" t="s">
        <v>621</v>
      </c>
      <c r="B1213" s="1186" t="s">
        <v>309</v>
      </c>
      <c r="C1213" s="1186" t="s">
        <v>61</v>
      </c>
      <c r="D1213" s="1186" t="s">
        <v>621</v>
      </c>
      <c r="E1213" s="1186" t="s">
        <v>974</v>
      </c>
      <c r="F1213" s="1186" t="s">
        <v>1981</v>
      </c>
      <c r="G1213" s="1186" t="s">
        <v>1982</v>
      </c>
      <c r="H1213" s="1186">
        <v>35</v>
      </c>
    </row>
    <row r="1214" spans="1:8" x14ac:dyDescent="0.2">
      <c r="A1214" s="1186" t="s">
        <v>621</v>
      </c>
      <c r="B1214" s="1186" t="s">
        <v>309</v>
      </c>
      <c r="C1214" s="1186" t="s">
        <v>61</v>
      </c>
      <c r="D1214" s="1186" t="s">
        <v>621</v>
      </c>
      <c r="E1214" s="1186" t="s">
        <v>975</v>
      </c>
      <c r="F1214" s="1186" t="s">
        <v>1983</v>
      </c>
      <c r="G1214" s="1186" t="s">
        <v>1982</v>
      </c>
      <c r="H1214" s="1186">
        <v>15</v>
      </c>
    </row>
    <row r="1215" spans="1:8" x14ac:dyDescent="0.2">
      <c r="A1215" s="1186" t="s">
        <v>621</v>
      </c>
      <c r="B1215" s="1186" t="s">
        <v>309</v>
      </c>
      <c r="C1215" s="1186" t="s">
        <v>61</v>
      </c>
      <c r="D1215" s="1186" t="s">
        <v>621</v>
      </c>
      <c r="E1215" s="1186" t="s">
        <v>976</v>
      </c>
      <c r="F1215" s="1186" t="s">
        <v>1983</v>
      </c>
      <c r="G1215" s="1186" t="s">
        <v>1984</v>
      </c>
      <c r="H1215" s="1186">
        <v>11</v>
      </c>
    </row>
    <row r="1216" spans="1:8" x14ac:dyDescent="0.2">
      <c r="A1216" s="1186" t="s">
        <v>621</v>
      </c>
      <c r="B1216" s="1186" t="s">
        <v>309</v>
      </c>
      <c r="C1216" s="1186" t="s">
        <v>61</v>
      </c>
      <c r="D1216" s="1186" t="s">
        <v>621</v>
      </c>
      <c r="E1216" s="1186" t="s">
        <v>977</v>
      </c>
      <c r="F1216" s="1186" t="s">
        <v>1983</v>
      </c>
      <c r="G1216" s="1186" t="s">
        <v>1984</v>
      </c>
      <c r="H1216" s="1186">
        <v>18</v>
      </c>
    </row>
    <row r="1217" spans="1:8" x14ac:dyDescent="0.2">
      <c r="A1217" s="1186" t="s">
        <v>621</v>
      </c>
      <c r="B1217" s="1186" t="s">
        <v>309</v>
      </c>
      <c r="C1217" s="1186" t="s">
        <v>61</v>
      </c>
      <c r="D1217" s="1186" t="s">
        <v>621</v>
      </c>
      <c r="E1217" s="1186" t="s">
        <v>978</v>
      </c>
      <c r="F1217" s="1186" t="s">
        <v>1985</v>
      </c>
      <c r="G1217" s="1186" t="s">
        <v>1984</v>
      </c>
      <c r="H1217" s="1186">
        <v>26</v>
      </c>
    </row>
    <row r="1218" spans="1:8" x14ac:dyDescent="0.2">
      <c r="A1218" s="1186" t="s">
        <v>621</v>
      </c>
      <c r="B1218" s="1186" t="s">
        <v>309</v>
      </c>
      <c r="C1218" s="1186" t="s">
        <v>61</v>
      </c>
      <c r="D1218" s="1186" t="s">
        <v>621</v>
      </c>
      <c r="E1218" s="1186" t="s">
        <v>979</v>
      </c>
      <c r="F1218" s="1186" t="s">
        <v>1985</v>
      </c>
      <c r="G1218" s="1186" t="s">
        <v>1986</v>
      </c>
      <c r="H1218" s="1186">
        <v>49</v>
      </c>
    </row>
    <row r="1219" spans="1:8" x14ac:dyDescent="0.2">
      <c r="A1219" s="1186" t="s">
        <v>621</v>
      </c>
      <c r="B1219" s="1186" t="s">
        <v>309</v>
      </c>
      <c r="C1219" s="1186" t="s">
        <v>61</v>
      </c>
      <c r="D1219" s="1186" t="s">
        <v>621</v>
      </c>
      <c r="E1219" s="1186" t="s">
        <v>980</v>
      </c>
      <c r="F1219" s="1186" t="s">
        <v>1985</v>
      </c>
      <c r="G1219" s="1186" t="s">
        <v>1986</v>
      </c>
      <c r="H1219" s="1186">
        <v>81</v>
      </c>
    </row>
    <row r="1220" spans="1:8" x14ac:dyDescent="0.2">
      <c r="A1220" s="1186" t="s">
        <v>621</v>
      </c>
      <c r="B1220" s="1186" t="s">
        <v>309</v>
      </c>
      <c r="C1220" s="1186" t="s">
        <v>61</v>
      </c>
      <c r="D1220" s="1186" t="s">
        <v>621</v>
      </c>
      <c r="E1220" s="1186" t="s">
        <v>981</v>
      </c>
      <c r="F1220" s="1186" t="s">
        <v>1987</v>
      </c>
      <c r="G1220" s="1186" t="s">
        <v>1986</v>
      </c>
      <c r="H1220" s="1186">
        <v>91</v>
      </c>
    </row>
    <row r="1221" spans="1:8" x14ac:dyDescent="0.2">
      <c r="A1221" s="1186" t="s">
        <v>621</v>
      </c>
      <c r="B1221" s="1186" t="s">
        <v>309</v>
      </c>
      <c r="C1221" s="1186" t="s">
        <v>61</v>
      </c>
      <c r="D1221" s="1186" t="s">
        <v>621</v>
      </c>
      <c r="E1221" s="1186" t="s">
        <v>982</v>
      </c>
      <c r="F1221" s="1186" t="s">
        <v>1987</v>
      </c>
      <c r="G1221" s="1186" t="s">
        <v>1988</v>
      </c>
      <c r="H1221" s="1186">
        <v>80</v>
      </c>
    </row>
    <row r="1222" spans="1:8" x14ac:dyDescent="0.2">
      <c r="A1222" s="1186" t="s">
        <v>621</v>
      </c>
      <c r="B1222" s="1186" t="s">
        <v>309</v>
      </c>
      <c r="C1222" s="1186" t="s">
        <v>61</v>
      </c>
      <c r="D1222" s="1186" t="s">
        <v>621</v>
      </c>
      <c r="E1222" s="1186" t="s">
        <v>983</v>
      </c>
      <c r="F1222" s="1186" t="s">
        <v>1987</v>
      </c>
      <c r="G1222" s="1186" t="s">
        <v>1988</v>
      </c>
      <c r="H1222" s="1186">
        <v>73</v>
      </c>
    </row>
    <row r="1223" spans="1:8" x14ac:dyDescent="0.2">
      <c r="A1223" s="1186" t="s">
        <v>621</v>
      </c>
      <c r="B1223" s="1186" t="s">
        <v>309</v>
      </c>
      <c r="C1223" s="1186" t="s">
        <v>61</v>
      </c>
      <c r="D1223" s="1186" t="s">
        <v>621</v>
      </c>
      <c r="E1223" s="1186" t="s">
        <v>984</v>
      </c>
      <c r="F1223" s="1186" t="s">
        <v>1981</v>
      </c>
      <c r="G1223" s="1186" t="s">
        <v>1988</v>
      </c>
      <c r="H1223" s="1186">
        <v>94</v>
      </c>
    </row>
    <row r="1224" spans="1:8" x14ac:dyDescent="0.2">
      <c r="A1224" s="1186" t="s">
        <v>621</v>
      </c>
      <c r="B1224" s="1186" t="s">
        <v>309</v>
      </c>
      <c r="C1224" s="1186" t="s">
        <v>116</v>
      </c>
      <c r="D1224" s="1186" t="s">
        <v>621</v>
      </c>
      <c r="E1224" s="1186" t="s">
        <v>981</v>
      </c>
      <c r="F1224" s="1186" t="s">
        <v>1987</v>
      </c>
      <c r="G1224" s="1186" t="s">
        <v>1986</v>
      </c>
      <c r="H1224" s="1186">
        <v>2</v>
      </c>
    </row>
    <row r="1225" spans="1:8" x14ac:dyDescent="0.2">
      <c r="A1225" s="1186" t="s">
        <v>621</v>
      </c>
      <c r="B1225" s="1186" t="s">
        <v>823</v>
      </c>
      <c r="C1225" s="1186" t="s">
        <v>61</v>
      </c>
      <c r="D1225" s="1186" t="s">
        <v>621</v>
      </c>
      <c r="E1225" s="1186" t="s">
        <v>973</v>
      </c>
      <c r="F1225" s="1186" t="s">
        <v>1981</v>
      </c>
      <c r="G1225" s="1186" t="s">
        <v>1982</v>
      </c>
      <c r="H1225" s="1186">
        <v>376</v>
      </c>
    </row>
    <row r="1226" spans="1:8" x14ac:dyDescent="0.2">
      <c r="A1226" s="1186" t="s">
        <v>621</v>
      </c>
      <c r="B1226" s="1186" t="s">
        <v>823</v>
      </c>
      <c r="C1226" s="1186" t="s">
        <v>61</v>
      </c>
      <c r="D1226" s="1186" t="s">
        <v>621</v>
      </c>
      <c r="E1226" s="1186" t="s">
        <v>974</v>
      </c>
      <c r="F1226" s="1186" t="s">
        <v>1981</v>
      </c>
      <c r="G1226" s="1186" t="s">
        <v>1982</v>
      </c>
      <c r="H1226" s="1186">
        <v>390</v>
      </c>
    </row>
    <row r="1227" spans="1:8" x14ac:dyDescent="0.2">
      <c r="A1227" s="1186" t="s">
        <v>621</v>
      </c>
      <c r="B1227" s="1186" t="s">
        <v>823</v>
      </c>
      <c r="C1227" s="1186" t="s">
        <v>61</v>
      </c>
      <c r="D1227" s="1186" t="s">
        <v>621</v>
      </c>
      <c r="E1227" s="1186" t="s">
        <v>975</v>
      </c>
      <c r="F1227" s="1186" t="s">
        <v>1983</v>
      </c>
      <c r="G1227" s="1186" t="s">
        <v>1982</v>
      </c>
      <c r="H1227" s="1186">
        <v>404</v>
      </c>
    </row>
    <row r="1228" spans="1:8" x14ac:dyDescent="0.2">
      <c r="A1228" s="1186" t="s">
        <v>621</v>
      </c>
      <c r="B1228" s="1186" t="s">
        <v>823</v>
      </c>
      <c r="C1228" s="1186" t="s">
        <v>61</v>
      </c>
      <c r="D1228" s="1186" t="s">
        <v>621</v>
      </c>
      <c r="E1228" s="1186" t="s">
        <v>976</v>
      </c>
      <c r="F1228" s="1186" t="s">
        <v>1983</v>
      </c>
      <c r="G1228" s="1186" t="s">
        <v>1984</v>
      </c>
      <c r="H1228" s="1186">
        <v>375</v>
      </c>
    </row>
    <row r="1229" spans="1:8" x14ac:dyDescent="0.2">
      <c r="A1229" s="1186" t="s">
        <v>621</v>
      </c>
      <c r="B1229" s="1186" t="s">
        <v>823</v>
      </c>
      <c r="C1229" s="1186" t="s">
        <v>61</v>
      </c>
      <c r="D1229" s="1186" t="s">
        <v>621</v>
      </c>
      <c r="E1229" s="1186" t="s">
        <v>977</v>
      </c>
      <c r="F1229" s="1186" t="s">
        <v>1983</v>
      </c>
      <c r="G1229" s="1186" t="s">
        <v>1984</v>
      </c>
      <c r="H1229" s="1186">
        <v>374</v>
      </c>
    </row>
    <row r="1230" spans="1:8" x14ac:dyDescent="0.2">
      <c r="A1230" s="1186" t="s">
        <v>621</v>
      </c>
      <c r="B1230" s="1186" t="s">
        <v>823</v>
      </c>
      <c r="C1230" s="1186" t="s">
        <v>61</v>
      </c>
      <c r="D1230" s="1186" t="s">
        <v>621</v>
      </c>
      <c r="E1230" s="1186" t="s">
        <v>978</v>
      </c>
      <c r="F1230" s="1186" t="s">
        <v>1985</v>
      </c>
      <c r="G1230" s="1186" t="s">
        <v>1984</v>
      </c>
      <c r="H1230" s="1186">
        <v>377</v>
      </c>
    </row>
    <row r="1231" spans="1:8" x14ac:dyDescent="0.2">
      <c r="A1231" s="1186" t="s">
        <v>621</v>
      </c>
      <c r="B1231" s="1186" t="s">
        <v>823</v>
      </c>
      <c r="C1231" s="1186" t="s">
        <v>61</v>
      </c>
      <c r="D1231" s="1186" t="s">
        <v>621</v>
      </c>
      <c r="E1231" s="1186" t="s">
        <v>979</v>
      </c>
      <c r="F1231" s="1186" t="s">
        <v>1985</v>
      </c>
      <c r="G1231" s="1186" t="s">
        <v>1986</v>
      </c>
      <c r="H1231" s="1186">
        <v>386</v>
      </c>
    </row>
    <row r="1232" spans="1:8" x14ac:dyDescent="0.2">
      <c r="A1232" s="1186" t="s">
        <v>621</v>
      </c>
      <c r="B1232" s="1186" t="s">
        <v>823</v>
      </c>
      <c r="C1232" s="1186" t="s">
        <v>61</v>
      </c>
      <c r="D1232" s="1186" t="s">
        <v>621</v>
      </c>
      <c r="E1232" s="1186" t="s">
        <v>980</v>
      </c>
      <c r="F1232" s="1186" t="s">
        <v>1985</v>
      </c>
      <c r="G1232" s="1186" t="s">
        <v>1986</v>
      </c>
      <c r="H1232" s="1186">
        <v>363</v>
      </c>
    </row>
    <row r="1233" spans="1:8" x14ac:dyDescent="0.2">
      <c r="A1233" s="1186" t="s">
        <v>621</v>
      </c>
      <c r="B1233" s="1186" t="s">
        <v>823</v>
      </c>
      <c r="C1233" s="1186" t="s">
        <v>61</v>
      </c>
      <c r="D1233" s="1186" t="s">
        <v>621</v>
      </c>
      <c r="E1233" s="1186" t="s">
        <v>981</v>
      </c>
      <c r="F1233" s="1186" t="s">
        <v>1987</v>
      </c>
      <c r="G1233" s="1186" t="s">
        <v>1986</v>
      </c>
      <c r="H1233" s="1186">
        <v>412</v>
      </c>
    </row>
    <row r="1234" spans="1:8" x14ac:dyDescent="0.2">
      <c r="A1234" s="1186" t="s">
        <v>621</v>
      </c>
      <c r="B1234" s="1186" t="s">
        <v>823</v>
      </c>
      <c r="C1234" s="1186" t="s">
        <v>61</v>
      </c>
      <c r="D1234" s="1186" t="s">
        <v>621</v>
      </c>
      <c r="E1234" s="1186" t="s">
        <v>982</v>
      </c>
      <c r="F1234" s="1186" t="s">
        <v>1987</v>
      </c>
      <c r="G1234" s="1186" t="s">
        <v>1988</v>
      </c>
      <c r="H1234" s="1186">
        <v>432</v>
      </c>
    </row>
    <row r="1235" spans="1:8" x14ac:dyDescent="0.2">
      <c r="A1235" s="1186" t="s">
        <v>621</v>
      </c>
      <c r="B1235" s="1186" t="s">
        <v>823</v>
      </c>
      <c r="C1235" s="1186" t="s">
        <v>61</v>
      </c>
      <c r="D1235" s="1186" t="s">
        <v>621</v>
      </c>
      <c r="E1235" s="1186" t="s">
        <v>983</v>
      </c>
      <c r="F1235" s="1186" t="s">
        <v>1987</v>
      </c>
      <c r="G1235" s="1186" t="s">
        <v>1988</v>
      </c>
      <c r="H1235" s="1186">
        <v>358</v>
      </c>
    </row>
    <row r="1236" spans="1:8" x14ac:dyDescent="0.2">
      <c r="A1236" s="1186" t="s">
        <v>621</v>
      </c>
      <c r="B1236" s="1186" t="s">
        <v>823</v>
      </c>
      <c r="C1236" s="1186" t="s">
        <v>61</v>
      </c>
      <c r="D1236" s="1186" t="s">
        <v>621</v>
      </c>
      <c r="E1236" s="1186" t="s">
        <v>984</v>
      </c>
      <c r="F1236" s="1186" t="s">
        <v>1981</v>
      </c>
      <c r="G1236" s="1186" t="s">
        <v>1988</v>
      </c>
      <c r="H1236" s="1186">
        <v>388</v>
      </c>
    </row>
    <row r="1237" spans="1:8" x14ac:dyDescent="0.2">
      <c r="A1237" s="1186" t="s">
        <v>621</v>
      </c>
      <c r="B1237" s="1186" t="s">
        <v>823</v>
      </c>
      <c r="C1237" s="1186" t="s">
        <v>116</v>
      </c>
      <c r="D1237" s="1186" t="s">
        <v>621</v>
      </c>
      <c r="E1237" s="1186" t="s">
        <v>973</v>
      </c>
      <c r="F1237" s="1186" t="s">
        <v>1981</v>
      </c>
      <c r="G1237" s="1186" t="s">
        <v>1982</v>
      </c>
      <c r="H1237" s="1186">
        <v>38</v>
      </c>
    </row>
    <row r="1238" spans="1:8" x14ac:dyDescent="0.2">
      <c r="A1238" s="1186" t="s">
        <v>621</v>
      </c>
      <c r="B1238" s="1186" t="s">
        <v>823</v>
      </c>
      <c r="C1238" s="1186" t="s">
        <v>116</v>
      </c>
      <c r="D1238" s="1186" t="s">
        <v>621</v>
      </c>
      <c r="E1238" s="1186" t="s">
        <v>974</v>
      </c>
      <c r="F1238" s="1186" t="s">
        <v>1981</v>
      </c>
      <c r="G1238" s="1186" t="s">
        <v>1982</v>
      </c>
      <c r="H1238" s="1186">
        <v>47</v>
      </c>
    </row>
    <row r="1239" spans="1:8" x14ac:dyDescent="0.2">
      <c r="A1239" s="1186" t="s">
        <v>621</v>
      </c>
      <c r="B1239" s="1186" t="s">
        <v>823</v>
      </c>
      <c r="C1239" s="1186" t="s">
        <v>116</v>
      </c>
      <c r="D1239" s="1186" t="s">
        <v>621</v>
      </c>
      <c r="E1239" s="1186" t="s">
        <v>975</v>
      </c>
      <c r="F1239" s="1186" t="s">
        <v>1983</v>
      </c>
      <c r="G1239" s="1186" t="s">
        <v>1982</v>
      </c>
      <c r="H1239" s="1186">
        <v>42</v>
      </c>
    </row>
    <row r="1240" spans="1:8" x14ac:dyDescent="0.2">
      <c r="A1240" s="1186" t="s">
        <v>621</v>
      </c>
      <c r="B1240" s="1186" t="s">
        <v>823</v>
      </c>
      <c r="C1240" s="1186" t="s">
        <v>116</v>
      </c>
      <c r="D1240" s="1186" t="s">
        <v>621</v>
      </c>
      <c r="E1240" s="1186" t="s">
        <v>976</v>
      </c>
      <c r="F1240" s="1186" t="s">
        <v>1983</v>
      </c>
      <c r="G1240" s="1186" t="s">
        <v>1984</v>
      </c>
      <c r="H1240" s="1186">
        <v>44</v>
      </c>
    </row>
    <row r="1241" spans="1:8" x14ac:dyDescent="0.2">
      <c r="A1241" s="1186" t="s">
        <v>621</v>
      </c>
      <c r="B1241" s="1186" t="s">
        <v>823</v>
      </c>
      <c r="C1241" s="1186" t="s">
        <v>116</v>
      </c>
      <c r="D1241" s="1186" t="s">
        <v>621</v>
      </c>
      <c r="E1241" s="1186" t="s">
        <v>977</v>
      </c>
      <c r="F1241" s="1186" t="s">
        <v>1983</v>
      </c>
      <c r="G1241" s="1186" t="s">
        <v>1984</v>
      </c>
      <c r="H1241" s="1186">
        <v>41</v>
      </c>
    </row>
    <row r="1242" spans="1:8" x14ac:dyDescent="0.2">
      <c r="A1242" s="1186" t="s">
        <v>621</v>
      </c>
      <c r="B1242" s="1186" t="s">
        <v>823</v>
      </c>
      <c r="C1242" s="1186" t="s">
        <v>116</v>
      </c>
      <c r="D1242" s="1186" t="s">
        <v>621</v>
      </c>
      <c r="E1242" s="1186" t="s">
        <v>978</v>
      </c>
      <c r="F1242" s="1186" t="s">
        <v>1985</v>
      </c>
      <c r="G1242" s="1186" t="s">
        <v>1984</v>
      </c>
      <c r="H1242" s="1186">
        <v>32</v>
      </c>
    </row>
    <row r="1243" spans="1:8" x14ac:dyDescent="0.2">
      <c r="A1243" s="1186" t="s">
        <v>621</v>
      </c>
      <c r="B1243" s="1186" t="s">
        <v>823</v>
      </c>
      <c r="C1243" s="1186" t="s">
        <v>116</v>
      </c>
      <c r="D1243" s="1186" t="s">
        <v>621</v>
      </c>
      <c r="E1243" s="1186" t="s">
        <v>979</v>
      </c>
      <c r="F1243" s="1186" t="s">
        <v>1985</v>
      </c>
      <c r="G1243" s="1186" t="s">
        <v>1986</v>
      </c>
      <c r="H1243" s="1186">
        <v>54</v>
      </c>
    </row>
    <row r="1244" spans="1:8" x14ac:dyDescent="0.2">
      <c r="A1244" s="1186" t="s">
        <v>621</v>
      </c>
      <c r="B1244" s="1186" t="s">
        <v>823</v>
      </c>
      <c r="C1244" s="1186" t="s">
        <v>116</v>
      </c>
      <c r="D1244" s="1186" t="s">
        <v>621</v>
      </c>
      <c r="E1244" s="1186" t="s">
        <v>980</v>
      </c>
      <c r="F1244" s="1186" t="s">
        <v>1985</v>
      </c>
      <c r="G1244" s="1186" t="s">
        <v>1986</v>
      </c>
      <c r="H1244" s="1186">
        <v>50</v>
      </c>
    </row>
    <row r="1245" spans="1:8" x14ac:dyDescent="0.2">
      <c r="A1245" s="1186" t="s">
        <v>621</v>
      </c>
      <c r="B1245" s="1186" t="s">
        <v>823</v>
      </c>
      <c r="C1245" s="1186" t="s">
        <v>116</v>
      </c>
      <c r="D1245" s="1186" t="s">
        <v>621</v>
      </c>
      <c r="E1245" s="1186" t="s">
        <v>981</v>
      </c>
      <c r="F1245" s="1186" t="s">
        <v>1987</v>
      </c>
      <c r="G1245" s="1186" t="s">
        <v>1986</v>
      </c>
      <c r="H1245" s="1186">
        <v>37</v>
      </c>
    </row>
    <row r="1246" spans="1:8" x14ac:dyDescent="0.2">
      <c r="A1246" s="1186" t="s">
        <v>621</v>
      </c>
      <c r="B1246" s="1186" t="s">
        <v>823</v>
      </c>
      <c r="C1246" s="1186" t="s">
        <v>116</v>
      </c>
      <c r="D1246" s="1186" t="s">
        <v>621</v>
      </c>
      <c r="E1246" s="1186" t="s">
        <v>982</v>
      </c>
      <c r="F1246" s="1186" t="s">
        <v>1987</v>
      </c>
      <c r="G1246" s="1186" t="s">
        <v>1988</v>
      </c>
      <c r="H1246" s="1186">
        <v>42</v>
      </c>
    </row>
    <row r="1247" spans="1:8" x14ac:dyDescent="0.2">
      <c r="A1247" s="1186" t="s">
        <v>621</v>
      </c>
      <c r="B1247" s="1186" t="s">
        <v>823</v>
      </c>
      <c r="C1247" s="1186" t="s">
        <v>116</v>
      </c>
      <c r="D1247" s="1186" t="s">
        <v>621</v>
      </c>
      <c r="E1247" s="1186" t="s">
        <v>983</v>
      </c>
      <c r="F1247" s="1186" t="s">
        <v>1987</v>
      </c>
      <c r="G1247" s="1186" t="s">
        <v>1988</v>
      </c>
      <c r="H1247" s="1186">
        <v>41</v>
      </c>
    </row>
    <row r="1248" spans="1:8" x14ac:dyDescent="0.2">
      <c r="A1248" s="1186" t="s">
        <v>621</v>
      </c>
      <c r="B1248" s="1186" t="s">
        <v>823</v>
      </c>
      <c r="C1248" s="1186" t="s">
        <v>116</v>
      </c>
      <c r="D1248" s="1186" t="s">
        <v>621</v>
      </c>
      <c r="E1248" s="1186" t="s">
        <v>984</v>
      </c>
      <c r="F1248" s="1186" t="s">
        <v>1981</v>
      </c>
      <c r="G1248" s="1186" t="s">
        <v>1988</v>
      </c>
      <c r="H1248" s="1186">
        <v>42</v>
      </c>
    </row>
    <row r="1249" spans="1:8" x14ac:dyDescent="0.2">
      <c r="A1249" s="1186" t="s">
        <v>621</v>
      </c>
      <c r="B1249" s="1186" t="s">
        <v>824</v>
      </c>
      <c r="C1249" s="1186" t="s">
        <v>61</v>
      </c>
      <c r="D1249" s="1186" t="s">
        <v>621</v>
      </c>
      <c r="E1249" s="1186" t="s">
        <v>973</v>
      </c>
      <c r="F1249" s="1186" t="s">
        <v>1981</v>
      </c>
      <c r="G1249" s="1186" t="s">
        <v>1982</v>
      </c>
      <c r="H1249" s="1186">
        <v>150</v>
      </c>
    </row>
    <row r="1250" spans="1:8" x14ac:dyDescent="0.2">
      <c r="A1250" s="1186" t="s">
        <v>621</v>
      </c>
      <c r="B1250" s="1186" t="s">
        <v>824</v>
      </c>
      <c r="C1250" s="1186" t="s">
        <v>61</v>
      </c>
      <c r="D1250" s="1186" t="s">
        <v>621</v>
      </c>
      <c r="E1250" s="1186" t="s">
        <v>974</v>
      </c>
      <c r="F1250" s="1186" t="s">
        <v>1981</v>
      </c>
      <c r="G1250" s="1186" t="s">
        <v>1982</v>
      </c>
      <c r="H1250" s="1186">
        <v>162</v>
      </c>
    </row>
    <row r="1251" spans="1:8" x14ac:dyDescent="0.2">
      <c r="A1251" s="1186" t="s">
        <v>621</v>
      </c>
      <c r="B1251" s="1186" t="s">
        <v>824</v>
      </c>
      <c r="C1251" s="1186" t="s">
        <v>61</v>
      </c>
      <c r="D1251" s="1186" t="s">
        <v>621</v>
      </c>
      <c r="E1251" s="1186" t="s">
        <v>975</v>
      </c>
      <c r="F1251" s="1186" t="s">
        <v>1983</v>
      </c>
      <c r="G1251" s="1186" t="s">
        <v>1982</v>
      </c>
      <c r="H1251" s="1186">
        <v>141</v>
      </c>
    </row>
    <row r="1252" spans="1:8" x14ac:dyDescent="0.2">
      <c r="A1252" s="1186" t="s">
        <v>621</v>
      </c>
      <c r="B1252" s="1186" t="s">
        <v>824</v>
      </c>
      <c r="C1252" s="1186" t="s">
        <v>61</v>
      </c>
      <c r="D1252" s="1186" t="s">
        <v>621</v>
      </c>
      <c r="E1252" s="1186" t="s">
        <v>976</v>
      </c>
      <c r="F1252" s="1186" t="s">
        <v>1983</v>
      </c>
      <c r="G1252" s="1186" t="s">
        <v>1984</v>
      </c>
      <c r="H1252" s="1186">
        <v>164</v>
      </c>
    </row>
    <row r="1253" spans="1:8" x14ac:dyDescent="0.2">
      <c r="A1253" s="1186" t="s">
        <v>621</v>
      </c>
      <c r="B1253" s="1186" t="s">
        <v>824</v>
      </c>
      <c r="C1253" s="1186" t="s">
        <v>61</v>
      </c>
      <c r="D1253" s="1186" t="s">
        <v>621</v>
      </c>
      <c r="E1253" s="1186" t="s">
        <v>977</v>
      </c>
      <c r="F1253" s="1186" t="s">
        <v>1983</v>
      </c>
      <c r="G1253" s="1186" t="s">
        <v>1984</v>
      </c>
      <c r="H1253" s="1186">
        <v>122</v>
      </c>
    </row>
    <row r="1254" spans="1:8" x14ac:dyDescent="0.2">
      <c r="A1254" s="1186" t="s">
        <v>621</v>
      </c>
      <c r="B1254" s="1186" t="s">
        <v>824</v>
      </c>
      <c r="C1254" s="1186" t="s">
        <v>61</v>
      </c>
      <c r="D1254" s="1186" t="s">
        <v>621</v>
      </c>
      <c r="E1254" s="1186" t="s">
        <v>978</v>
      </c>
      <c r="F1254" s="1186" t="s">
        <v>1985</v>
      </c>
      <c r="G1254" s="1186" t="s">
        <v>1984</v>
      </c>
      <c r="H1254" s="1186">
        <v>135</v>
      </c>
    </row>
    <row r="1255" spans="1:8" x14ac:dyDescent="0.2">
      <c r="A1255" s="1186" t="s">
        <v>621</v>
      </c>
      <c r="B1255" s="1186" t="s">
        <v>824</v>
      </c>
      <c r="C1255" s="1186" t="s">
        <v>61</v>
      </c>
      <c r="D1255" s="1186" t="s">
        <v>621</v>
      </c>
      <c r="E1255" s="1186" t="s">
        <v>979</v>
      </c>
      <c r="F1255" s="1186" t="s">
        <v>1985</v>
      </c>
      <c r="G1255" s="1186" t="s">
        <v>1986</v>
      </c>
      <c r="H1255" s="1186">
        <v>136</v>
      </c>
    </row>
    <row r="1256" spans="1:8" x14ac:dyDescent="0.2">
      <c r="A1256" s="1186" t="s">
        <v>621</v>
      </c>
      <c r="B1256" s="1186" t="s">
        <v>824</v>
      </c>
      <c r="C1256" s="1186" t="s">
        <v>61</v>
      </c>
      <c r="D1256" s="1186" t="s">
        <v>621</v>
      </c>
      <c r="E1256" s="1186" t="s">
        <v>980</v>
      </c>
      <c r="F1256" s="1186" t="s">
        <v>1985</v>
      </c>
      <c r="G1256" s="1186" t="s">
        <v>1986</v>
      </c>
      <c r="H1256" s="1186">
        <v>140</v>
      </c>
    </row>
    <row r="1257" spans="1:8" x14ac:dyDescent="0.2">
      <c r="A1257" s="1186" t="s">
        <v>621</v>
      </c>
      <c r="B1257" s="1186" t="s">
        <v>824</v>
      </c>
      <c r="C1257" s="1186" t="s">
        <v>61</v>
      </c>
      <c r="D1257" s="1186" t="s">
        <v>621</v>
      </c>
      <c r="E1257" s="1186" t="s">
        <v>981</v>
      </c>
      <c r="F1257" s="1186" t="s">
        <v>1987</v>
      </c>
      <c r="G1257" s="1186" t="s">
        <v>1986</v>
      </c>
      <c r="H1257" s="1186">
        <v>147</v>
      </c>
    </row>
    <row r="1258" spans="1:8" x14ac:dyDescent="0.2">
      <c r="A1258" s="1186" t="s">
        <v>621</v>
      </c>
      <c r="B1258" s="1186" t="s">
        <v>824</v>
      </c>
      <c r="C1258" s="1186" t="s">
        <v>61</v>
      </c>
      <c r="D1258" s="1186" t="s">
        <v>621</v>
      </c>
      <c r="E1258" s="1186" t="s">
        <v>982</v>
      </c>
      <c r="F1258" s="1186" t="s">
        <v>1987</v>
      </c>
      <c r="G1258" s="1186" t="s">
        <v>1988</v>
      </c>
      <c r="H1258" s="1186">
        <v>144</v>
      </c>
    </row>
    <row r="1259" spans="1:8" x14ac:dyDescent="0.2">
      <c r="A1259" s="1186" t="s">
        <v>621</v>
      </c>
      <c r="B1259" s="1186" t="s">
        <v>824</v>
      </c>
      <c r="C1259" s="1186" t="s">
        <v>61</v>
      </c>
      <c r="D1259" s="1186" t="s">
        <v>621</v>
      </c>
      <c r="E1259" s="1186" t="s">
        <v>983</v>
      </c>
      <c r="F1259" s="1186" t="s">
        <v>1987</v>
      </c>
      <c r="G1259" s="1186" t="s">
        <v>1988</v>
      </c>
      <c r="H1259" s="1186">
        <v>126</v>
      </c>
    </row>
    <row r="1260" spans="1:8" x14ac:dyDescent="0.2">
      <c r="A1260" s="1186" t="s">
        <v>621</v>
      </c>
      <c r="B1260" s="1186" t="s">
        <v>824</v>
      </c>
      <c r="C1260" s="1186" t="s">
        <v>61</v>
      </c>
      <c r="D1260" s="1186" t="s">
        <v>621</v>
      </c>
      <c r="E1260" s="1186" t="s">
        <v>984</v>
      </c>
      <c r="F1260" s="1186" t="s">
        <v>1981</v>
      </c>
      <c r="G1260" s="1186" t="s">
        <v>1988</v>
      </c>
      <c r="H1260" s="1186">
        <v>136</v>
      </c>
    </row>
    <row r="1261" spans="1:8" x14ac:dyDescent="0.2">
      <c r="A1261" s="1186" t="s">
        <v>621</v>
      </c>
      <c r="B1261" s="1186" t="s">
        <v>824</v>
      </c>
      <c r="C1261" s="1186" t="s">
        <v>116</v>
      </c>
      <c r="D1261" s="1186" t="s">
        <v>621</v>
      </c>
      <c r="E1261" s="1186" t="s">
        <v>973</v>
      </c>
      <c r="F1261" s="1186" t="s">
        <v>1981</v>
      </c>
      <c r="G1261" s="1186" t="s">
        <v>1982</v>
      </c>
      <c r="H1261" s="1186">
        <v>35</v>
      </c>
    </row>
    <row r="1262" spans="1:8" x14ac:dyDescent="0.2">
      <c r="A1262" s="1186" t="s">
        <v>621</v>
      </c>
      <c r="B1262" s="1186" t="s">
        <v>824</v>
      </c>
      <c r="C1262" s="1186" t="s">
        <v>116</v>
      </c>
      <c r="D1262" s="1186" t="s">
        <v>621</v>
      </c>
      <c r="E1262" s="1186" t="s">
        <v>974</v>
      </c>
      <c r="F1262" s="1186" t="s">
        <v>1981</v>
      </c>
      <c r="G1262" s="1186" t="s">
        <v>1982</v>
      </c>
      <c r="H1262" s="1186">
        <v>54</v>
      </c>
    </row>
    <row r="1263" spans="1:8" x14ac:dyDescent="0.2">
      <c r="A1263" s="1186" t="s">
        <v>621</v>
      </c>
      <c r="B1263" s="1186" t="s">
        <v>824</v>
      </c>
      <c r="C1263" s="1186" t="s">
        <v>116</v>
      </c>
      <c r="D1263" s="1186" t="s">
        <v>621</v>
      </c>
      <c r="E1263" s="1186" t="s">
        <v>975</v>
      </c>
      <c r="F1263" s="1186" t="s">
        <v>1983</v>
      </c>
      <c r="G1263" s="1186" t="s">
        <v>1982</v>
      </c>
      <c r="H1263" s="1186">
        <v>51</v>
      </c>
    </row>
    <row r="1264" spans="1:8" x14ac:dyDescent="0.2">
      <c r="A1264" s="1186" t="s">
        <v>621</v>
      </c>
      <c r="B1264" s="1186" t="s">
        <v>824</v>
      </c>
      <c r="C1264" s="1186" t="s">
        <v>116</v>
      </c>
      <c r="D1264" s="1186" t="s">
        <v>621</v>
      </c>
      <c r="E1264" s="1186" t="s">
        <v>976</v>
      </c>
      <c r="F1264" s="1186" t="s">
        <v>1983</v>
      </c>
      <c r="G1264" s="1186" t="s">
        <v>1984</v>
      </c>
      <c r="H1264" s="1186">
        <v>59</v>
      </c>
    </row>
    <row r="1265" spans="1:8" x14ac:dyDescent="0.2">
      <c r="A1265" s="1186" t="s">
        <v>621</v>
      </c>
      <c r="B1265" s="1186" t="s">
        <v>824</v>
      </c>
      <c r="C1265" s="1186" t="s">
        <v>116</v>
      </c>
      <c r="D1265" s="1186" t="s">
        <v>621</v>
      </c>
      <c r="E1265" s="1186" t="s">
        <v>977</v>
      </c>
      <c r="F1265" s="1186" t="s">
        <v>1983</v>
      </c>
      <c r="G1265" s="1186" t="s">
        <v>1984</v>
      </c>
      <c r="H1265" s="1186">
        <v>52</v>
      </c>
    </row>
    <row r="1266" spans="1:8" x14ac:dyDescent="0.2">
      <c r="A1266" s="1186" t="s">
        <v>621</v>
      </c>
      <c r="B1266" s="1186" t="s">
        <v>824</v>
      </c>
      <c r="C1266" s="1186" t="s">
        <v>116</v>
      </c>
      <c r="D1266" s="1186" t="s">
        <v>621</v>
      </c>
      <c r="E1266" s="1186" t="s">
        <v>978</v>
      </c>
      <c r="F1266" s="1186" t="s">
        <v>1985</v>
      </c>
      <c r="G1266" s="1186" t="s">
        <v>1984</v>
      </c>
      <c r="H1266" s="1186">
        <v>53</v>
      </c>
    </row>
    <row r="1267" spans="1:8" x14ac:dyDescent="0.2">
      <c r="A1267" s="1186" t="s">
        <v>621</v>
      </c>
      <c r="B1267" s="1186" t="s">
        <v>824</v>
      </c>
      <c r="C1267" s="1186" t="s">
        <v>116</v>
      </c>
      <c r="D1267" s="1186" t="s">
        <v>621</v>
      </c>
      <c r="E1267" s="1186" t="s">
        <v>979</v>
      </c>
      <c r="F1267" s="1186" t="s">
        <v>1985</v>
      </c>
      <c r="G1267" s="1186" t="s">
        <v>1986</v>
      </c>
      <c r="H1267" s="1186">
        <v>43</v>
      </c>
    </row>
    <row r="1268" spans="1:8" x14ac:dyDescent="0.2">
      <c r="A1268" s="1186" t="s">
        <v>621</v>
      </c>
      <c r="B1268" s="1186" t="s">
        <v>824</v>
      </c>
      <c r="C1268" s="1186" t="s">
        <v>116</v>
      </c>
      <c r="D1268" s="1186" t="s">
        <v>621</v>
      </c>
      <c r="E1268" s="1186" t="s">
        <v>980</v>
      </c>
      <c r="F1268" s="1186" t="s">
        <v>1985</v>
      </c>
      <c r="G1268" s="1186" t="s">
        <v>1986</v>
      </c>
      <c r="H1268" s="1186">
        <v>59</v>
      </c>
    </row>
    <row r="1269" spans="1:8" x14ac:dyDescent="0.2">
      <c r="A1269" s="1186" t="s">
        <v>621</v>
      </c>
      <c r="B1269" s="1186" t="s">
        <v>824</v>
      </c>
      <c r="C1269" s="1186" t="s">
        <v>116</v>
      </c>
      <c r="D1269" s="1186" t="s">
        <v>621</v>
      </c>
      <c r="E1269" s="1186" t="s">
        <v>981</v>
      </c>
      <c r="F1269" s="1186" t="s">
        <v>1987</v>
      </c>
      <c r="G1269" s="1186" t="s">
        <v>1986</v>
      </c>
      <c r="H1269" s="1186">
        <v>38</v>
      </c>
    </row>
    <row r="1270" spans="1:8" x14ac:dyDescent="0.2">
      <c r="A1270" s="1186" t="s">
        <v>621</v>
      </c>
      <c r="B1270" s="1186" t="s">
        <v>824</v>
      </c>
      <c r="C1270" s="1186" t="s">
        <v>116</v>
      </c>
      <c r="D1270" s="1186" t="s">
        <v>621</v>
      </c>
      <c r="E1270" s="1186" t="s">
        <v>982</v>
      </c>
      <c r="F1270" s="1186" t="s">
        <v>1987</v>
      </c>
      <c r="G1270" s="1186" t="s">
        <v>1988</v>
      </c>
      <c r="H1270" s="1186">
        <v>41</v>
      </c>
    </row>
    <row r="1271" spans="1:8" x14ac:dyDescent="0.2">
      <c r="A1271" s="1186" t="s">
        <v>621</v>
      </c>
      <c r="B1271" s="1186" t="s">
        <v>824</v>
      </c>
      <c r="C1271" s="1186" t="s">
        <v>116</v>
      </c>
      <c r="D1271" s="1186" t="s">
        <v>621</v>
      </c>
      <c r="E1271" s="1186" t="s">
        <v>983</v>
      </c>
      <c r="F1271" s="1186" t="s">
        <v>1987</v>
      </c>
      <c r="G1271" s="1186" t="s">
        <v>1988</v>
      </c>
      <c r="H1271" s="1186">
        <v>27</v>
      </c>
    </row>
    <row r="1272" spans="1:8" x14ac:dyDescent="0.2">
      <c r="A1272" s="1186" t="s">
        <v>621</v>
      </c>
      <c r="B1272" s="1186" t="s">
        <v>824</v>
      </c>
      <c r="C1272" s="1186" t="s">
        <v>116</v>
      </c>
      <c r="D1272" s="1186" t="s">
        <v>621</v>
      </c>
      <c r="E1272" s="1186" t="s">
        <v>984</v>
      </c>
      <c r="F1272" s="1186" t="s">
        <v>1981</v>
      </c>
      <c r="G1272" s="1186" t="s">
        <v>1988</v>
      </c>
      <c r="H1272" s="1186">
        <v>37</v>
      </c>
    </row>
    <row r="1273" spans="1:8" x14ac:dyDescent="0.2">
      <c r="A1273" s="1186" t="s">
        <v>621</v>
      </c>
      <c r="B1273" s="1186" t="s">
        <v>825</v>
      </c>
      <c r="C1273" s="1186" t="s">
        <v>61</v>
      </c>
      <c r="D1273" s="1186" t="s">
        <v>621</v>
      </c>
      <c r="E1273" s="1186" t="s">
        <v>973</v>
      </c>
      <c r="F1273" s="1186" t="s">
        <v>1981</v>
      </c>
      <c r="G1273" s="1186" t="s">
        <v>1982</v>
      </c>
      <c r="H1273" s="1186">
        <v>87</v>
      </c>
    </row>
    <row r="1274" spans="1:8" x14ac:dyDescent="0.2">
      <c r="A1274" s="1186" t="s">
        <v>621</v>
      </c>
      <c r="B1274" s="1186" t="s">
        <v>825</v>
      </c>
      <c r="C1274" s="1186" t="s">
        <v>61</v>
      </c>
      <c r="D1274" s="1186" t="s">
        <v>621</v>
      </c>
      <c r="E1274" s="1186" t="s">
        <v>974</v>
      </c>
      <c r="F1274" s="1186" t="s">
        <v>1981</v>
      </c>
      <c r="G1274" s="1186" t="s">
        <v>1982</v>
      </c>
      <c r="H1274" s="1186">
        <v>114</v>
      </c>
    </row>
    <row r="1275" spans="1:8" x14ac:dyDescent="0.2">
      <c r="A1275" s="1186" t="s">
        <v>621</v>
      </c>
      <c r="B1275" s="1186" t="s">
        <v>825</v>
      </c>
      <c r="C1275" s="1186" t="s">
        <v>61</v>
      </c>
      <c r="D1275" s="1186" t="s">
        <v>621</v>
      </c>
      <c r="E1275" s="1186" t="s">
        <v>975</v>
      </c>
      <c r="F1275" s="1186" t="s">
        <v>1983</v>
      </c>
      <c r="G1275" s="1186" t="s">
        <v>1982</v>
      </c>
      <c r="H1275" s="1186">
        <v>114</v>
      </c>
    </row>
    <row r="1276" spans="1:8" x14ac:dyDescent="0.2">
      <c r="A1276" s="1186" t="s">
        <v>621</v>
      </c>
      <c r="B1276" s="1186" t="s">
        <v>825</v>
      </c>
      <c r="C1276" s="1186" t="s">
        <v>61</v>
      </c>
      <c r="D1276" s="1186" t="s">
        <v>621</v>
      </c>
      <c r="E1276" s="1186" t="s">
        <v>976</v>
      </c>
      <c r="F1276" s="1186" t="s">
        <v>1983</v>
      </c>
      <c r="G1276" s="1186" t="s">
        <v>1984</v>
      </c>
      <c r="H1276" s="1186">
        <v>114</v>
      </c>
    </row>
    <row r="1277" spans="1:8" x14ac:dyDescent="0.2">
      <c r="A1277" s="1186" t="s">
        <v>621</v>
      </c>
      <c r="B1277" s="1186" t="s">
        <v>825</v>
      </c>
      <c r="C1277" s="1186" t="s">
        <v>61</v>
      </c>
      <c r="D1277" s="1186" t="s">
        <v>621</v>
      </c>
      <c r="E1277" s="1186" t="s">
        <v>977</v>
      </c>
      <c r="F1277" s="1186" t="s">
        <v>1983</v>
      </c>
      <c r="G1277" s="1186" t="s">
        <v>1984</v>
      </c>
      <c r="H1277" s="1186">
        <v>125</v>
      </c>
    </row>
    <row r="1278" spans="1:8" x14ac:dyDescent="0.2">
      <c r="A1278" s="1186" t="s">
        <v>621</v>
      </c>
      <c r="B1278" s="1186" t="s">
        <v>825</v>
      </c>
      <c r="C1278" s="1186" t="s">
        <v>61</v>
      </c>
      <c r="D1278" s="1186" t="s">
        <v>621</v>
      </c>
      <c r="E1278" s="1186" t="s">
        <v>978</v>
      </c>
      <c r="F1278" s="1186" t="s">
        <v>1985</v>
      </c>
      <c r="G1278" s="1186" t="s">
        <v>1984</v>
      </c>
      <c r="H1278" s="1186">
        <v>90</v>
      </c>
    </row>
    <row r="1279" spans="1:8" x14ac:dyDescent="0.2">
      <c r="A1279" s="1186" t="s">
        <v>621</v>
      </c>
      <c r="B1279" s="1186" t="s">
        <v>825</v>
      </c>
      <c r="C1279" s="1186" t="s">
        <v>61</v>
      </c>
      <c r="D1279" s="1186" t="s">
        <v>621</v>
      </c>
      <c r="E1279" s="1186" t="s">
        <v>979</v>
      </c>
      <c r="F1279" s="1186" t="s">
        <v>1985</v>
      </c>
      <c r="G1279" s="1186" t="s">
        <v>1986</v>
      </c>
      <c r="H1279" s="1186">
        <v>93</v>
      </c>
    </row>
    <row r="1280" spans="1:8" x14ac:dyDescent="0.2">
      <c r="A1280" s="1186" t="s">
        <v>621</v>
      </c>
      <c r="B1280" s="1186" t="s">
        <v>825</v>
      </c>
      <c r="C1280" s="1186" t="s">
        <v>61</v>
      </c>
      <c r="D1280" s="1186" t="s">
        <v>621</v>
      </c>
      <c r="E1280" s="1186" t="s">
        <v>980</v>
      </c>
      <c r="F1280" s="1186" t="s">
        <v>1985</v>
      </c>
      <c r="G1280" s="1186" t="s">
        <v>1986</v>
      </c>
      <c r="H1280" s="1186">
        <v>93</v>
      </c>
    </row>
    <row r="1281" spans="1:8" x14ac:dyDescent="0.2">
      <c r="A1281" s="1186" t="s">
        <v>621</v>
      </c>
      <c r="B1281" s="1186" t="s">
        <v>825</v>
      </c>
      <c r="C1281" s="1186" t="s">
        <v>61</v>
      </c>
      <c r="D1281" s="1186" t="s">
        <v>621</v>
      </c>
      <c r="E1281" s="1186" t="s">
        <v>981</v>
      </c>
      <c r="F1281" s="1186" t="s">
        <v>1987</v>
      </c>
      <c r="G1281" s="1186" t="s">
        <v>1986</v>
      </c>
      <c r="H1281" s="1186">
        <v>74</v>
      </c>
    </row>
    <row r="1282" spans="1:8" x14ac:dyDescent="0.2">
      <c r="A1282" s="1186" t="s">
        <v>621</v>
      </c>
      <c r="B1282" s="1186" t="s">
        <v>825</v>
      </c>
      <c r="C1282" s="1186" t="s">
        <v>61</v>
      </c>
      <c r="D1282" s="1186" t="s">
        <v>621</v>
      </c>
      <c r="E1282" s="1186" t="s">
        <v>982</v>
      </c>
      <c r="F1282" s="1186" t="s">
        <v>1987</v>
      </c>
      <c r="G1282" s="1186" t="s">
        <v>1988</v>
      </c>
      <c r="H1282" s="1186">
        <v>91</v>
      </c>
    </row>
    <row r="1283" spans="1:8" x14ac:dyDescent="0.2">
      <c r="A1283" s="1186" t="s">
        <v>621</v>
      </c>
      <c r="B1283" s="1186" t="s">
        <v>825</v>
      </c>
      <c r="C1283" s="1186" t="s">
        <v>61</v>
      </c>
      <c r="D1283" s="1186" t="s">
        <v>621</v>
      </c>
      <c r="E1283" s="1186" t="s">
        <v>983</v>
      </c>
      <c r="F1283" s="1186" t="s">
        <v>1987</v>
      </c>
      <c r="G1283" s="1186" t="s">
        <v>1988</v>
      </c>
      <c r="H1283" s="1186">
        <v>101</v>
      </c>
    </row>
    <row r="1284" spans="1:8" x14ac:dyDescent="0.2">
      <c r="A1284" s="1186" t="s">
        <v>621</v>
      </c>
      <c r="B1284" s="1186" t="s">
        <v>825</v>
      </c>
      <c r="C1284" s="1186" t="s">
        <v>61</v>
      </c>
      <c r="D1284" s="1186" t="s">
        <v>621</v>
      </c>
      <c r="E1284" s="1186" t="s">
        <v>984</v>
      </c>
      <c r="F1284" s="1186" t="s">
        <v>1981</v>
      </c>
      <c r="G1284" s="1186" t="s">
        <v>1988</v>
      </c>
      <c r="H1284" s="1186">
        <v>69</v>
      </c>
    </row>
    <row r="1285" spans="1:8" x14ac:dyDescent="0.2">
      <c r="A1285" s="1186" t="s">
        <v>621</v>
      </c>
      <c r="B1285" s="1186" t="s">
        <v>825</v>
      </c>
      <c r="C1285" s="1186" t="s">
        <v>116</v>
      </c>
      <c r="D1285" s="1186" t="s">
        <v>621</v>
      </c>
      <c r="E1285" s="1186" t="s">
        <v>973</v>
      </c>
      <c r="F1285" s="1186" t="s">
        <v>1981</v>
      </c>
      <c r="G1285" s="1186" t="s">
        <v>1982</v>
      </c>
      <c r="H1285" s="1186">
        <v>61</v>
      </c>
    </row>
    <row r="1286" spans="1:8" x14ac:dyDescent="0.2">
      <c r="A1286" s="1186" t="s">
        <v>621</v>
      </c>
      <c r="B1286" s="1186" t="s">
        <v>825</v>
      </c>
      <c r="C1286" s="1186" t="s">
        <v>116</v>
      </c>
      <c r="D1286" s="1186" t="s">
        <v>621</v>
      </c>
      <c r="E1286" s="1186" t="s">
        <v>974</v>
      </c>
      <c r="F1286" s="1186" t="s">
        <v>1981</v>
      </c>
      <c r="G1286" s="1186" t="s">
        <v>1982</v>
      </c>
      <c r="H1286" s="1186">
        <v>73</v>
      </c>
    </row>
    <row r="1287" spans="1:8" x14ac:dyDescent="0.2">
      <c r="A1287" s="1186" t="s">
        <v>621</v>
      </c>
      <c r="B1287" s="1186" t="s">
        <v>825</v>
      </c>
      <c r="C1287" s="1186" t="s">
        <v>116</v>
      </c>
      <c r="D1287" s="1186" t="s">
        <v>621</v>
      </c>
      <c r="E1287" s="1186" t="s">
        <v>975</v>
      </c>
      <c r="F1287" s="1186" t="s">
        <v>1983</v>
      </c>
      <c r="G1287" s="1186" t="s">
        <v>1982</v>
      </c>
      <c r="H1287" s="1186">
        <v>72</v>
      </c>
    </row>
    <row r="1288" spans="1:8" x14ac:dyDescent="0.2">
      <c r="A1288" s="1186" t="s">
        <v>621</v>
      </c>
      <c r="B1288" s="1186" t="s">
        <v>825</v>
      </c>
      <c r="C1288" s="1186" t="s">
        <v>116</v>
      </c>
      <c r="D1288" s="1186" t="s">
        <v>621</v>
      </c>
      <c r="E1288" s="1186" t="s">
        <v>976</v>
      </c>
      <c r="F1288" s="1186" t="s">
        <v>1983</v>
      </c>
      <c r="G1288" s="1186" t="s">
        <v>1984</v>
      </c>
      <c r="H1288" s="1186">
        <v>67</v>
      </c>
    </row>
    <row r="1289" spans="1:8" x14ac:dyDescent="0.2">
      <c r="A1289" s="1186" t="s">
        <v>621</v>
      </c>
      <c r="B1289" s="1186" t="s">
        <v>825</v>
      </c>
      <c r="C1289" s="1186" t="s">
        <v>116</v>
      </c>
      <c r="D1289" s="1186" t="s">
        <v>621</v>
      </c>
      <c r="E1289" s="1186" t="s">
        <v>977</v>
      </c>
      <c r="F1289" s="1186" t="s">
        <v>1983</v>
      </c>
      <c r="G1289" s="1186" t="s">
        <v>1984</v>
      </c>
      <c r="H1289" s="1186">
        <v>83</v>
      </c>
    </row>
    <row r="1290" spans="1:8" x14ac:dyDescent="0.2">
      <c r="A1290" s="1186" t="s">
        <v>621</v>
      </c>
      <c r="B1290" s="1186" t="s">
        <v>825</v>
      </c>
      <c r="C1290" s="1186" t="s">
        <v>116</v>
      </c>
      <c r="D1290" s="1186" t="s">
        <v>621</v>
      </c>
      <c r="E1290" s="1186" t="s">
        <v>978</v>
      </c>
      <c r="F1290" s="1186" t="s">
        <v>1985</v>
      </c>
      <c r="G1290" s="1186" t="s">
        <v>1984</v>
      </c>
      <c r="H1290" s="1186">
        <v>68</v>
      </c>
    </row>
    <row r="1291" spans="1:8" x14ac:dyDescent="0.2">
      <c r="A1291" s="1186" t="s">
        <v>621</v>
      </c>
      <c r="B1291" s="1186" t="s">
        <v>825</v>
      </c>
      <c r="C1291" s="1186" t="s">
        <v>116</v>
      </c>
      <c r="D1291" s="1186" t="s">
        <v>621</v>
      </c>
      <c r="E1291" s="1186" t="s">
        <v>979</v>
      </c>
      <c r="F1291" s="1186" t="s">
        <v>1985</v>
      </c>
      <c r="G1291" s="1186" t="s">
        <v>1986</v>
      </c>
      <c r="H1291" s="1186">
        <v>51</v>
      </c>
    </row>
    <row r="1292" spans="1:8" x14ac:dyDescent="0.2">
      <c r="A1292" s="1186" t="s">
        <v>621</v>
      </c>
      <c r="B1292" s="1186" t="s">
        <v>825</v>
      </c>
      <c r="C1292" s="1186" t="s">
        <v>116</v>
      </c>
      <c r="D1292" s="1186" t="s">
        <v>621</v>
      </c>
      <c r="E1292" s="1186" t="s">
        <v>980</v>
      </c>
      <c r="F1292" s="1186" t="s">
        <v>1985</v>
      </c>
      <c r="G1292" s="1186" t="s">
        <v>1986</v>
      </c>
      <c r="H1292" s="1186">
        <v>73</v>
      </c>
    </row>
    <row r="1293" spans="1:8" x14ac:dyDescent="0.2">
      <c r="A1293" s="1186" t="s">
        <v>621</v>
      </c>
      <c r="B1293" s="1186" t="s">
        <v>825</v>
      </c>
      <c r="C1293" s="1186" t="s">
        <v>116</v>
      </c>
      <c r="D1293" s="1186" t="s">
        <v>621</v>
      </c>
      <c r="E1293" s="1186" t="s">
        <v>981</v>
      </c>
      <c r="F1293" s="1186" t="s">
        <v>1987</v>
      </c>
      <c r="G1293" s="1186" t="s">
        <v>1986</v>
      </c>
      <c r="H1293" s="1186">
        <v>51</v>
      </c>
    </row>
    <row r="1294" spans="1:8" x14ac:dyDescent="0.2">
      <c r="A1294" s="1186" t="s">
        <v>621</v>
      </c>
      <c r="B1294" s="1186" t="s">
        <v>825</v>
      </c>
      <c r="C1294" s="1186" t="s">
        <v>116</v>
      </c>
      <c r="D1294" s="1186" t="s">
        <v>621</v>
      </c>
      <c r="E1294" s="1186" t="s">
        <v>982</v>
      </c>
      <c r="F1294" s="1186" t="s">
        <v>1987</v>
      </c>
      <c r="G1294" s="1186" t="s">
        <v>1988</v>
      </c>
      <c r="H1294" s="1186">
        <v>55</v>
      </c>
    </row>
    <row r="1295" spans="1:8" x14ac:dyDescent="0.2">
      <c r="A1295" s="1186" t="s">
        <v>621</v>
      </c>
      <c r="B1295" s="1186" t="s">
        <v>825</v>
      </c>
      <c r="C1295" s="1186" t="s">
        <v>116</v>
      </c>
      <c r="D1295" s="1186" t="s">
        <v>621</v>
      </c>
      <c r="E1295" s="1186" t="s">
        <v>983</v>
      </c>
      <c r="F1295" s="1186" t="s">
        <v>1987</v>
      </c>
      <c r="G1295" s="1186" t="s">
        <v>1988</v>
      </c>
      <c r="H1295" s="1186">
        <v>72</v>
      </c>
    </row>
    <row r="1296" spans="1:8" x14ac:dyDescent="0.2">
      <c r="A1296" s="1186" t="s">
        <v>621</v>
      </c>
      <c r="B1296" s="1186" t="s">
        <v>825</v>
      </c>
      <c r="C1296" s="1186" t="s">
        <v>116</v>
      </c>
      <c r="D1296" s="1186" t="s">
        <v>621</v>
      </c>
      <c r="E1296" s="1186" t="s">
        <v>984</v>
      </c>
      <c r="F1296" s="1186" t="s">
        <v>1981</v>
      </c>
      <c r="G1296" s="1186" t="s">
        <v>1988</v>
      </c>
      <c r="H1296" s="1186">
        <v>61</v>
      </c>
    </row>
    <row r="1297" spans="1:8" x14ac:dyDescent="0.2">
      <c r="A1297" s="1186" t="s">
        <v>621</v>
      </c>
      <c r="B1297" s="1186" t="s">
        <v>826</v>
      </c>
      <c r="C1297" s="1186" t="s">
        <v>61</v>
      </c>
      <c r="D1297" s="1186" t="s">
        <v>621</v>
      </c>
      <c r="E1297" s="1186" t="s">
        <v>973</v>
      </c>
      <c r="F1297" s="1186" t="s">
        <v>1981</v>
      </c>
      <c r="G1297" s="1186" t="s">
        <v>1982</v>
      </c>
      <c r="H1297" s="1186">
        <v>23</v>
      </c>
    </row>
    <row r="1298" spans="1:8" x14ac:dyDescent="0.2">
      <c r="A1298" s="1186" t="s">
        <v>621</v>
      </c>
      <c r="B1298" s="1186" t="s">
        <v>826</v>
      </c>
      <c r="C1298" s="1186" t="s">
        <v>61</v>
      </c>
      <c r="D1298" s="1186" t="s">
        <v>621</v>
      </c>
      <c r="E1298" s="1186" t="s">
        <v>974</v>
      </c>
      <c r="F1298" s="1186" t="s">
        <v>1981</v>
      </c>
      <c r="G1298" s="1186" t="s">
        <v>1982</v>
      </c>
      <c r="H1298" s="1186">
        <v>62</v>
      </c>
    </row>
    <row r="1299" spans="1:8" x14ac:dyDescent="0.2">
      <c r="A1299" s="1186" t="s">
        <v>621</v>
      </c>
      <c r="B1299" s="1186" t="s">
        <v>826</v>
      </c>
      <c r="C1299" s="1186" t="s">
        <v>61</v>
      </c>
      <c r="D1299" s="1186" t="s">
        <v>621</v>
      </c>
      <c r="E1299" s="1186" t="s">
        <v>975</v>
      </c>
      <c r="F1299" s="1186" t="s">
        <v>1983</v>
      </c>
      <c r="G1299" s="1186" t="s">
        <v>1982</v>
      </c>
      <c r="H1299" s="1186">
        <v>66</v>
      </c>
    </row>
    <row r="1300" spans="1:8" x14ac:dyDescent="0.2">
      <c r="A1300" s="1186" t="s">
        <v>621</v>
      </c>
      <c r="B1300" s="1186" t="s">
        <v>826</v>
      </c>
      <c r="C1300" s="1186" t="s">
        <v>61</v>
      </c>
      <c r="D1300" s="1186" t="s">
        <v>621</v>
      </c>
      <c r="E1300" s="1186" t="s">
        <v>976</v>
      </c>
      <c r="F1300" s="1186" t="s">
        <v>1983</v>
      </c>
      <c r="G1300" s="1186" t="s">
        <v>1984</v>
      </c>
      <c r="H1300" s="1186">
        <v>113</v>
      </c>
    </row>
    <row r="1301" spans="1:8" x14ac:dyDescent="0.2">
      <c r="A1301" s="1186" t="s">
        <v>621</v>
      </c>
      <c r="B1301" s="1186" t="s">
        <v>826</v>
      </c>
      <c r="C1301" s="1186" t="s">
        <v>61</v>
      </c>
      <c r="D1301" s="1186" t="s">
        <v>621</v>
      </c>
      <c r="E1301" s="1186" t="s">
        <v>977</v>
      </c>
      <c r="F1301" s="1186" t="s">
        <v>1983</v>
      </c>
      <c r="G1301" s="1186" t="s">
        <v>1984</v>
      </c>
      <c r="H1301" s="1186">
        <v>41</v>
      </c>
    </row>
    <row r="1302" spans="1:8" x14ac:dyDescent="0.2">
      <c r="A1302" s="1186" t="s">
        <v>621</v>
      </c>
      <c r="B1302" s="1186" t="s">
        <v>826</v>
      </c>
      <c r="C1302" s="1186" t="s">
        <v>61</v>
      </c>
      <c r="D1302" s="1186" t="s">
        <v>621</v>
      </c>
      <c r="E1302" s="1186" t="s">
        <v>978</v>
      </c>
      <c r="F1302" s="1186" t="s">
        <v>1985</v>
      </c>
      <c r="G1302" s="1186" t="s">
        <v>1984</v>
      </c>
      <c r="H1302" s="1186">
        <v>38</v>
      </c>
    </row>
    <row r="1303" spans="1:8" x14ac:dyDescent="0.2">
      <c r="A1303" s="1186" t="s">
        <v>621</v>
      </c>
      <c r="B1303" s="1186" t="s">
        <v>826</v>
      </c>
      <c r="C1303" s="1186" t="s">
        <v>61</v>
      </c>
      <c r="D1303" s="1186" t="s">
        <v>621</v>
      </c>
      <c r="E1303" s="1186" t="s">
        <v>979</v>
      </c>
      <c r="F1303" s="1186" t="s">
        <v>1985</v>
      </c>
      <c r="G1303" s="1186" t="s">
        <v>1986</v>
      </c>
      <c r="H1303" s="1186">
        <v>21</v>
      </c>
    </row>
    <row r="1304" spans="1:8" x14ac:dyDescent="0.2">
      <c r="A1304" s="1186" t="s">
        <v>621</v>
      </c>
      <c r="B1304" s="1186" t="s">
        <v>826</v>
      </c>
      <c r="C1304" s="1186" t="s">
        <v>61</v>
      </c>
      <c r="D1304" s="1186" t="s">
        <v>621</v>
      </c>
      <c r="E1304" s="1186" t="s">
        <v>980</v>
      </c>
      <c r="F1304" s="1186" t="s">
        <v>1985</v>
      </c>
      <c r="G1304" s="1186" t="s">
        <v>1986</v>
      </c>
      <c r="H1304" s="1186">
        <v>30</v>
      </c>
    </row>
    <row r="1305" spans="1:8" x14ac:dyDescent="0.2">
      <c r="A1305" s="1186" t="s">
        <v>621</v>
      </c>
      <c r="B1305" s="1186" t="s">
        <v>826</v>
      </c>
      <c r="C1305" s="1186" t="s">
        <v>61</v>
      </c>
      <c r="D1305" s="1186" t="s">
        <v>621</v>
      </c>
      <c r="E1305" s="1186" t="s">
        <v>981</v>
      </c>
      <c r="F1305" s="1186" t="s">
        <v>1987</v>
      </c>
      <c r="G1305" s="1186" t="s">
        <v>1986</v>
      </c>
      <c r="H1305" s="1186">
        <v>16</v>
      </c>
    </row>
    <row r="1306" spans="1:8" x14ac:dyDescent="0.2">
      <c r="A1306" s="1186" t="s">
        <v>621</v>
      </c>
      <c r="B1306" s="1186" t="s">
        <v>826</v>
      </c>
      <c r="C1306" s="1186" t="s">
        <v>61</v>
      </c>
      <c r="D1306" s="1186" t="s">
        <v>621</v>
      </c>
      <c r="E1306" s="1186" t="s">
        <v>982</v>
      </c>
      <c r="F1306" s="1186" t="s">
        <v>1987</v>
      </c>
      <c r="G1306" s="1186" t="s">
        <v>1988</v>
      </c>
      <c r="H1306" s="1186">
        <v>16</v>
      </c>
    </row>
    <row r="1307" spans="1:8" x14ac:dyDescent="0.2">
      <c r="A1307" s="1186" t="s">
        <v>621</v>
      </c>
      <c r="B1307" s="1186" t="s">
        <v>826</v>
      </c>
      <c r="C1307" s="1186" t="s">
        <v>61</v>
      </c>
      <c r="D1307" s="1186" t="s">
        <v>621</v>
      </c>
      <c r="E1307" s="1186" t="s">
        <v>983</v>
      </c>
      <c r="F1307" s="1186" t="s">
        <v>1987</v>
      </c>
      <c r="G1307" s="1186" t="s">
        <v>1988</v>
      </c>
      <c r="H1307" s="1186">
        <v>19</v>
      </c>
    </row>
    <row r="1308" spans="1:8" x14ac:dyDescent="0.2">
      <c r="A1308" s="1186" t="s">
        <v>621</v>
      </c>
      <c r="B1308" s="1186" t="s">
        <v>826</v>
      </c>
      <c r="C1308" s="1186" t="s">
        <v>61</v>
      </c>
      <c r="D1308" s="1186" t="s">
        <v>621</v>
      </c>
      <c r="E1308" s="1186" t="s">
        <v>984</v>
      </c>
      <c r="F1308" s="1186" t="s">
        <v>1981</v>
      </c>
      <c r="G1308" s="1186" t="s">
        <v>1988</v>
      </c>
      <c r="H1308" s="1186">
        <v>21</v>
      </c>
    </row>
    <row r="1309" spans="1:8" x14ac:dyDescent="0.2">
      <c r="A1309" s="1186" t="s">
        <v>621</v>
      </c>
      <c r="B1309" s="1186" t="s">
        <v>826</v>
      </c>
      <c r="C1309" s="1186" t="s">
        <v>116</v>
      </c>
      <c r="D1309" s="1186" t="s">
        <v>621</v>
      </c>
      <c r="E1309" s="1186" t="s">
        <v>973</v>
      </c>
      <c r="F1309" s="1186" t="s">
        <v>1981</v>
      </c>
      <c r="G1309" s="1186" t="s">
        <v>1982</v>
      </c>
      <c r="H1309" s="1186">
        <v>34</v>
      </c>
    </row>
    <row r="1310" spans="1:8" x14ac:dyDescent="0.2">
      <c r="A1310" s="1186" t="s">
        <v>621</v>
      </c>
      <c r="B1310" s="1186" t="s">
        <v>826</v>
      </c>
      <c r="C1310" s="1186" t="s">
        <v>116</v>
      </c>
      <c r="D1310" s="1186" t="s">
        <v>621</v>
      </c>
      <c r="E1310" s="1186" t="s">
        <v>974</v>
      </c>
      <c r="F1310" s="1186" t="s">
        <v>1981</v>
      </c>
      <c r="G1310" s="1186" t="s">
        <v>1982</v>
      </c>
      <c r="H1310" s="1186">
        <v>89</v>
      </c>
    </row>
    <row r="1311" spans="1:8" x14ac:dyDescent="0.2">
      <c r="A1311" s="1186" t="s">
        <v>621</v>
      </c>
      <c r="B1311" s="1186" t="s">
        <v>826</v>
      </c>
      <c r="C1311" s="1186" t="s">
        <v>116</v>
      </c>
      <c r="D1311" s="1186" t="s">
        <v>621</v>
      </c>
      <c r="E1311" s="1186" t="s">
        <v>975</v>
      </c>
      <c r="F1311" s="1186" t="s">
        <v>1983</v>
      </c>
      <c r="G1311" s="1186" t="s">
        <v>1982</v>
      </c>
      <c r="H1311" s="1186">
        <v>63</v>
      </c>
    </row>
    <row r="1312" spans="1:8" x14ac:dyDescent="0.2">
      <c r="A1312" s="1186" t="s">
        <v>621</v>
      </c>
      <c r="B1312" s="1186" t="s">
        <v>826</v>
      </c>
      <c r="C1312" s="1186" t="s">
        <v>116</v>
      </c>
      <c r="D1312" s="1186" t="s">
        <v>621</v>
      </c>
      <c r="E1312" s="1186" t="s">
        <v>976</v>
      </c>
      <c r="F1312" s="1186" t="s">
        <v>1983</v>
      </c>
      <c r="G1312" s="1186" t="s">
        <v>1984</v>
      </c>
      <c r="H1312" s="1186">
        <v>131</v>
      </c>
    </row>
    <row r="1313" spans="1:8" x14ac:dyDescent="0.2">
      <c r="A1313" s="1186" t="s">
        <v>621</v>
      </c>
      <c r="B1313" s="1186" t="s">
        <v>826</v>
      </c>
      <c r="C1313" s="1186" t="s">
        <v>116</v>
      </c>
      <c r="D1313" s="1186" t="s">
        <v>621</v>
      </c>
      <c r="E1313" s="1186" t="s">
        <v>977</v>
      </c>
      <c r="F1313" s="1186" t="s">
        <v>1983</v>
      </c>
      <c r="G1313" s="1186" t="s">
        <v>1984</v>
      </c>
      <c r="H1313" s="1186">
        <v>37</v>
      </c>
    </row>
    <row r="1314" spans="1:8" x14ac:dyDescent="0.2">
      <c r="A1314" s="1186" t="s">
        <v>621</v>
      </c>
      <c r="B1314" s="1186" t="s">
        <v>826</v>
      </c>
      <c r="C1314" s="1186" t="s">
        <v>116</v>
      </c>
      <c r="D1314" s="1186" t="s">
        <v>621</v>
      </c>
      <c r="E1314" s="1186" t="s">
        <v>978</v>
      </c>
      <c r="F1314" s="1186" t="s">
        <v>1985</v>
      </c>
      <c r="G1314" s="1186" t="s">
        <v>1984</v>
      </c>
      <c r="H1314" s="1186">
        <v>67</v>
      </c>
    </row>
    <row r="1315" spans="1:8" x14ac:dyDescent="0.2">
      <c r="A1315" s="1186" t="s">
        <v>621</v>
      </c>
      <c r="B1315" s="1186" t="s">
        <v>826</v>
      </c>
      <c r="C1315" s="1186" t="s">
        <v>116</v>
      </c>
      <c r="D1315" s="1186" t="s">
        <v>621</v>
      </c>
      <c r="E1315" s="1186" t="s">
        <v>979</v>
      </c>
      <c r="F1315" s="1186" t="s">
        <v>1985</v>
      </c>
      <c r="G1315" s="1186" t="s">
        <v>1986</v>
      </c>
      <c r="H1315" s="1186">
        <v>59</v>
      </c>
    </row>
    <row r="1316" spans="1:8" x14ac:dyDescent="0.2">
      <c r="A1316" s="1186" t="s">
        <v>621</v>
      </c>
      <c r="B1316" s="1186" t="s">
        <v>826</v>
      </c>
      <c r="C1316" s="1186" t="s">
        <v>116</v>
      </c>
      <c r="D1316" s="1186" t="s">
        <v>621</v>
      </c>
      <c r="E1316" s="1186" t="s">
        <v>980</v>
      </c>
      <c r="F1316" s="1186" t="s">
        <v>1985</v>
      </c>
      <c r="G1316" s="1186" t="s">
        <v>1986</v>
      </c>
      <c r="H1316" s="1186">
        <v>44</v>
      </c>
    </row>
    <row r="1317" spans="1:8" x14ac:dyDescent="0.2">
      <c r="A1317" s="1186" t="s">
        <v>621</v>
      </c>
      <c r="B1317" s="1186" t="s">
        <v>826</v>
      </c>
      <c r="C1317" s="1186" t="s">
        <v>116</v>
      </c>
      <c r="D1317" s="1186" t="s">
        <v>621</v>
      </c>
      <c r="E1317" s="1186" t="s">
        <v>981</v>
      </c>
      <c r="F1317" s="1186" t="s">
        <v>1987</v>
      </c>
      <c r="G1317" s="1186" t="s">
        <v>1986</v>
      </c>
      <c r="H1317" s="1186">
        <v>23</v>
      </c>
    </row>
    <row r="1318" spans="1:8" x14ac:dyDescent="0.2">
      <c r="A1318" s="1186" t="s">
        <v>621</v>
      </c>
      <c r="B1318" s="1186" t="s">
        <v>826</v>
      </c>
      <c r="C1318" s="1186" t="s">
        <v>116</v>
      </c>
      <c r="D1318" s="1186" t="s">
        <v>621</v>
      </c>
      <c r="E1318" s="1186" t="s">
        <v>982</v>
      </c>
      <c r="F1318" s="1186" t="s">
        <v>1987</v>
      </c>
      <c r="G1318" s="1186" t="s">
        <v>1988</v>
      </c>
      <c r="H1318" s="1186">
        <v>28</v>
      </c>
    </row>
    <row r="1319" spans="1:8" x14ac:dyDescent="0.2">
      <c r="A1319" s="1186" t="s">
        <v>621</v>
      </c>
      <c r="B1319" s="1186" t="s">
        <v>826</v>
      </c>
      <c r="C1319" s="1186" t="s">
        <v>116</v>
      </c>
      <c r="D1319" s="1186" t="s">
        <v>621</v>
      </c>
      <c r="E1319" s="1186" t="s">
        <v>983</v>
      </c>
      <c r="F1319" s="1186" t="s">
        <v>1987</v>
      </c>
      <c r="G1319" s="1186" t="s">
        <v>1988</v>
      </c>
      <c r="H1319" s="1186">
        <v>41</v>
      </c>
    </row>
    <row r="1320" spans="1:8" x14ac:dyDescent="0.2">
      <c r="A1320" s="1186" t="s">
        <v>621</v>
      </c>
      <c r="B1320" s="1186" t="s">
        <v>826</v>
      </c>
      <c r="C1320" s="1186" t="s">
        <v>116</v>
      </c>
      <c r="D1320" s="1186" t="s">
        <v>621</v>
      </c>
      <c r="E1320" s="1186" t="s">
        <v>984</v>
      </c>
      <c r="F1320" s="1186" t="s">
        <v>1981</v>
      </c>
      <c r="G1320" s="1186" t="s">
        <v>1988</v>
      </c>
      <c r="H1320" s="1186">
        <v>42</v>
      </c>
    </row>
    <row r="1321" spans="1:8" x14ac:dyDescent="0.2">
      <c r="A1321" s="1186" t="s">
        <v>621</v>
      </c>
      <c r="B1321" s="1186" t="s">
        <v>308</v>
      </c>
      <c r="C1321" s="1186" t="s">
        <v>61</v>
      </c>
      <c r="D1321" s="1186" t="s">
        <v>621</v>
      </c>
      <c r="E1321" s="1186" t="s">
        <v>973</v>
      </c>
      <c r="F1321" s="1186" t="s">
        <v>1981</v>
      </c>
      <c r="G1321" s="1186" t="s">
        <v>1982</v>
      </c>
      <c r="H1321" s="1186">
        <v>280</v>
      </c>
    </row>
    <row r="1322" spans="1:8" x14ac:dyDescent="0.2">
      <c r="A1322" s="1186" t="s">
        <v>621</v>
      </c>
      <c r="B1322" s="1186" t="s">
        <v>308</v>
      </c>
      <c r="C1322" s="1186" t="s">
        <v>61</v>
      </c>
      <c r="D1322" s="1186" t="s">
        <v>621</v>
      </c>
      <c r="E1322" s="1186" t="s">
        <v>974</v>
      </c>
      <c r="F1322" s="1186" t="s">
        <v>1981</v>
      </c>
      <c r="G1322" s="1186" t="s">
        <v>1982</v>
      </c>
      <c r="H1322" s="1186">
        <v>567</v>
      </c>
    </row>
    <row r="1323" spans="1:8" x14ac:dyDescent="0.2">
      <c r="A1323" s="1186" t="s">
        <v>621</v>
      </c>
      <c r="B1323" s="1186" t="s">
        <v>308</v>
      </c>
      <c r="C1323" s="1186" t="s">
        <v>61</v>
      </c>
      <c r="D1323" s="1186" t="s">
        <v>621</v>
      </c>
      <c r="E1323" s="1186" t="s">
        <v>975</v>
      </c>
      <c r="F1323" s="1186" t="s">
        <v>1983</v>
      </c>
      <c r="G1323" s="1186" t="s">
        <v>1982</v>
      </c>
      <c r="H1323" s="1186">
        <v>437</v>
      </c>
    </row>
    <row r="1324" spans="1:8" x14ac:dyDescent="0.2">
      <c r="A1324" s="1186" t="s">
        <v>621</v>
      </c>
      <c r="B1324" s="1186" t="s">
        <v>308</v>
      </c>
      <c r="C1324" s="1186" t="s">
        <v>61</v>
      </c>
      <c r="D1324" s="1186" t="s">
        <v>621</v>
      </c>
      <c r="E1324" s="1186" t="s">
        <v>976</v>
      </c>
      <c r="F1324" s="1186" t="s">
        <v>1983</v>
      </c>
      <c r="G1324" s="1186" t="s">
        <v>1984</v>
      </c>
      <c r="H1324" s="1186">
        <v>689</v>
      </c>
    </row>
    <row r="1325" spans="1:8" x14ac:dyDescent="0.2">
      <c r="A1325" s="1186" t="s">
        <v>621</v>
      </c>
      <c r="B1325" s="1186" t="s">
        <v>308</v>
      </c>
      <c r="C1325" s="1186" t="s">
        <v>61</v>
      </c>
      <c r="D1325" s="1186" t="s">
        <v>621</v>
      </c>
      <c r="E1325" s="1186" t="s">
        <v>977</v>
      </c>
      <c r="F1325" s="1186" t="s">
        <v>1983</v>
      </c>
      <c r="G1325" s="1186" t="s">
        <v>1984</v>
      </c>
      <c r="H1325" s="1186">
        <v>203</v>
      </c>
    </row>
    <row r="1326" spans="1:8" x14ac:dyDescent="0.2">
      <c r="A1326" s="1186" t="s">
        <v>621</v>
      </c>
      <c r="B1326" s="1186" t="s">
        <v>308</v>
      </c>
      <c r="C1326" s="1186" t="s">
        <v>61</v>
      </c>
      <c r="D1326" s="1186" t="s">
        <v>621</v>
      </c>
      <c r="E1326" s="1186" t="s">
        <v>978</v>
      </c>
      <c r="F1326" s="1186" t="s">
        <v>1985</v>
      </c>
      <c r="G1326" s="1186" t="s">
        <v>1984</v>
      </c>
      <c r="H1326" s="1186">
        <v>184</v>
      </c>
    </row>
    <row r="1327" spans="1:8" x14ac:dyDescent="0.2">
      <c r="A1327" s="1186" t="s">
        <v>621</v>
      </c>
      <c r="B1327" s="1186" t="s">
        <v>308</v>
      </c>
      <c r="C1327" s="1186" t="s">
        <v>61</v>
      </c>
      <c r="D1327" s="1186" t="s">
        <v>621</v>
      </c>
      <c r="E1327" s="1186" t="s">
        <v>979</v>
      </c>
      <c r="F1327" s="1186" t="s">
        <v>1985</v>
      </c>
      <c r="G1327" s="1186" t="s">
        <v>1986</v>
      </c>
      <c r="H1327" s="1186">
        <v>167</v>
      </c>
    </row>
    <row r="1328" spans="1:8" x14ac:dyDescent="0.2">
      <c r="A1328" s="1186" t="s">
        <v>621</v>
      </c>
      <c r="B1328" s="1186" t="s">
        <v>308</v>
      </c>
      <c r="C1328" s="1186" t="s">
        <v>61</v>
      </c>
      <c r="D1328" s="1186" t="s">
        <v>621</v>
      </c>
      <c r="E1328" s="1186" t="s">
        <v>980</v>
      </c>
      <c r="F1328" s="1186" t="s">
        <v>1985</v>
      </c>
      <c r="G1328" s="1186" t="s">
        <v>1986</v>
      </c>
      <c r="H1328" s="1186">
        <v>138</v>
      </c>
    </row>
    <row r="1329" spans="1:8" x14ac:dyDescent="0.2">
      <c r="A1329" s="1186" t="s">
        <v>621</v>
      </c>
      <c r="B1329" s="1186" t="s">
        <v>308</v>
      </c>
      <c r="C1329" s="1186" t="s">
        <v>61</v>
      </c>
      <c r="D1329" s="1186" t="s">
        <v>621</v>
      </c>
      <c r="E1329" s="1186" t="s">
        <v>981</v>
      </c>
      <c r="F1329" s="1186" t="s">
        <v>1987</v>
      </c>
      <c r="G1329" s="1186" t="s">
        <v>1986</v>
      </c>
      <c r="H1329" s="1186">
        <v>118</v>
      </c>
    </row>
    <row r="1330" spans="1:8" x14ac:dyDescent="0.2">
      <c r="A1330" s="1186" t="s">
        <v>621</v>
      </c>
      <c r="B1330" s="1186" t="s">
        <v>308</v>
      </c>
      <c r="C1330" s="1186" t="s">
        <v>61</v>
      </c>
      <c r="D1330" s="1186" t="s">
        <v>621</v>
      </c>
      <c r="E1330" s="1186" t="s">
        <v>982</v>
      </c>
      <c r="F1330" s="1186" t="s">
        <v>1987</v>
      </c>
      <c r="G1330" s="1186" t="s">
        <v>1988</v>
      </c>
      <c r="H1330" s="1186">
        <v>115</v>
      </c>
    </row>
    <row r="1331" spans="1:8" x14ac:dyDescent="0.2">
      <c r="A1331" s="1186" t="s">
        <v>621</v>
      </c>
      <c r="B1331" s="1186" t="s">
        <v>308</v>
      </c>
      <c r="C1331" s="1186" t="s">
        <v>61</v>
      </c>
      <c r="D1331" s="1186" t="s">
        <v>621</v>
      </c>
      <c r="E1331" s="1186" t="s">
        <v>983</v>
      </c>
      <c r="F1331" s="1186" t="s">
        <v>1987</v>
      </c>
      <c r="G1331" s="1186" t="s">
        <v>1988</v>
      </c>
      <c r="H1331" s="1186">
        <v>139</v>
      </c>
    </row>
    <row r="1332" spans="1:8" x14ac:dyDescent="0.2">
      <c r="A1332" s="1186" t="s">
        <v>621</v>
      </c>
      <c r="B1332" s="1186" t="s">
        <v>308</v>
      </c>
      <c r="C1332" s="1186" t="s">
        <v>61</v>
      </c>
      <c r="D1332" s="1186" t="s">
        <v>621</v>
      </c>
      <c r="E1332" s="1186" t="s">
        <v>984</v>
      </c>
      <c r="F1332" s="1186" t="s">
        <v>1981</v>
      </c>
      <c r="G1332" s="1186" t="s">
        <v>1988</v>
      </c>
      <c r="H1332" s="1186">
        <v>175</v>
      </c>
    </row>
    <row r="1333" spans="1:8" x14ac:dyDescent="0.2">
      <c r="A1333" s="1186" t="s">
        <v>621</v>
      </c>
      <c r="B1333" s="1186" t="s">
        <v>308</v>
      </c>
      <c r="C1333" s="1186" t="s">
        <v>116</v>
      </c>
      <c r="D1333" s="1186" t="s">
        <v>621</v>
      </c>
      <c r="E1333" s="1186" t="s">
        <v>973</v>
      </c>
      <c r="F1333" s="1186" t="s">
        <v>1981</v>
      </c>
      <c r="G1333" s="1186" t="s">
        <v>1982</v>
      </c>
      <c r="H1333" s="1186">
        <v>934</v>
      </c>
    </row>
    <row r="1334" spans="1:8" x14ac:dyDescent="0.2">
      <c r="A1334" s="1186" t="s">
        <v>621</v>
      </c>
      <c r="B1334" s="1186" t="s">
        <v>308</v>
      </c>
      <c r="C1334" s="1186" t="s">
        <v>116</v>
      </c>
      <c r="D1334" s="1186" t="s">
        <v>621</v>
      </c>
      <c r="E1334" s="1186" t="s">
        <v>974</v>
      </c>
      <c r="F1334" s="1186" t="s">
        <v>1981</v>
      </c>
      <c r="G1334" s="1186" t="s">
        <v>1982</v>
      </c>
      <c r="H1334" s="1186">
        <v>1754</v>
      </c>
    </row>
    <row r="1335" spans="1:8" x14ac:dyDescent="0.2">
      <c r="A1335" s="1186" t="s">
        <v>621</v>
      </c>
      <c r="B1335" s="1186" t="s">
        <v>308</v>
      </c>
      <c r="C1335" s="1186" t="s">
        <v>116</v>
      </c>
      <c r="D1335" s="1186" t="s">
        <v>621</v>
      </c>
      <c r="E1335" s="1186" t="s">
        <v>975</v>
      </c>
      <c r="F1335" s="1186" t="s">
        <v>1983</v>
      </c>
      <c r="G1335" s="1186" t="s">
        <v>1982</v>
      </c>
      <c r="H1335" s="1186">
        <v>1355</v>
      </c>
    </row>
    <row r="1336" spans="1:8" x14ac:dyDescent="0.2">
      <c r="A1336" s="1186" t="s">
        <v>621</v>
      </c>
      <c r="B1336" s="1186" t="s">
        <v>308</v>
      </c>
      <c r="C1336" s="1186" t="s">
        <v>116</v>
      </c>
      <c r="D1336" s="1186" t="s">
        <v>621</v>
      </c>
      <c r="E1336" s="1186" t="s">
        <v>976</v>
      </c>
      <c r="F1336" s="1186" t="s">
        <v>1983</v>
      </c>
      <c r="G1336" s="1186" t="s">
        <v>1984</v>
      </c>
      <c r="H1336" s="1186">
        <v>2129</v>
      </c>
    </row>
    <row r="1337" spans="1:8" x14ac:dyDescent="0.2">
      <c r="A1337" s="1186" t="s">
        <v>621</v>
      </c>
      <c r="B1337" s="1186" t="s">
        <v>308</v>
      </c>
      <c r="C1337" s="1186" t="s">
        <v>116</v>
      </c>
      <c r="D1337" s="1186" t="s">
        <v>621</v>
      </c>
      <c r="E1337" s="1186" t="s">
        <v>977</v>
      </c>
      <c r="F1337" s="1186" t="s">
        <v>1983</v>
      </c>
      <c r="G1337" s="1186" t="s">
        <v>1984</v>
      </c>
      <c r="H1337" s="1186">
        <v>761</v>
      </c>
    </row>
    <row r="1338" spans="1:8" x14ac:dyDescent="0.2">
      <c r="A1338" s="1186" t="s">
        <v>621</v>
      </c>
      <c r="B1338" s="1186" t="s">
        <v>308</v>
      </c>
      <c r="C1338" s="1186" t="s">
        <v>116</v>
      </c>
      <c r="D1338" s="1186" t="s">
        <v>621</v>
      </c>
      <c r="E1338" s="1186" t="s">
        <v>978</v>
      </c>
      <c r="F1338" s="1186" t="s">
        <v>1985</v>
      </c>
      <c r="G1338" s="1186" t="s">
        <v>1984</v>
      </c>
      <c r="H1338" s="1186">
        <v>784</v>
      </c>
    </row>
    <row r="1339" spans="1:8" x14ac:dyDescent="0.2">
      <c r="A1339" s="1186" t="s">
        <v>621</v>
      </c>
      <c r="B1339" s="1186" t="s">
        <v>308</v>
      </c>
      <c r="C1339" s="1186" t="s">
        <v>116</v>
      </c>
      <c r="D1339" s="1186" t="s">
        <v>621</v>
      </c>
      <c r="E1339" s="1186" t="s">
        <v>979</v>
      </c>
      <c r="F1339" s="1186" t="s">
        <v>1985</v>
      </c>
      <c r="G1339" s="1186" t="s">
        <v>1986</v>
      </c>
      <c r="H1339" s="1186">
        <v>913</v>
      </c>
    </row>
    <row r="1340" spans="1:8" x14ac:dyDescent="0.2">
      <c r="A1340" s="1186" t="s">
        <v>621</v>
      </c>
      <c r="B1340" s="1186" t="s">
        <v>308</v>
      </c>
      <c r="C1340" s="1186" t="s">
        <v>116</v>
      </c>
      <c r="D1340" s="1186" t="s">
        <v>621</v>
      </c>
      <c r="E1340" s="1186" t="s">
        <v>980</v>
      </c>
      <c r="F1340" s="1186" t="s">
        <v>1985</v>
      </c>
      <c r="G1340" s="1186" t="s">
        <v>1986</v>
      </c>
      <c r="H1340" s="1186">
        <v>971</v>
      </c>
    </row>
    <row r="1341" spans="1:8" x14ac:dyDescent="0.2">
      <c r="A1341" s="1186" t="s">
        <v>621</v>
      </c>
      <c r="B1341" s="1186" t="s">
        <v>308</v>
      </c>
      <c r="C1341" s="1186" t="s">
        <v>116</v>
      </c>
      <c r="D1341" s="1186" t="s">
        <v>621</v>
      </c>
      <c r="E1341" s="1186" t="s">
        <v>981</v>
      </c>
      <c r="F1341" s="1186" t="s">
        <v>1987</v>
      </c>
      <c r="G1341" s="1186" t="s">
        <v>1986</v>
      </c>
      <c r="H1341" s="1186">
        <v>536</v>
      </c>
    </row>
    <row r="1342" spans="1:8" x14ac:dyDescent="0.2">
      <c r="A1342" s="1186" t="s">
        <v>621</v>
      </c>
      <c r="B1342" s="1186" t="s">
        <v>308</v>
      </c>
      <c r="C1342" s="1186" t="s">
        <v>116</v>
      </c>
      <c r="D1342" s="1186" t="s">
        <v>621</v>
      </c>
      <c r="E1342" s="1186" t="s">
        <v>982</v>
      </c>
      <c r="F1342" s="1186" t="s">
        <v>1987</v>
      </c>
      <c r="G1342" s="1186" t="s">
        <v>1988</v>
      </c>
      <c r="H1342" s="1186">
        <v>680</v>
      </c>
    </row>
    <row r="1343" spans="1:8" x14ac:dyDescent="0.2">
      <c r="A1343" s="1186" t="s">
        <v>621</v>
      </c>
      <c r="B1343" s="1186" t="s">
        <v>308</v>
      </c>
      <c r="C1343" s="1186" t="s">
        <v>116</v>
      </c>
      <c r="D1343" s="1186" t="s">
        <v>621</v>
      </c>
      <c r="E1343" s="1186" t="s">
        <v>983</v>
      </c>
      <c r="F1343" s="1186" t="s">
        <v>1987</v>
      </c>
      <c r="G1343" s="1186" t="s">
        <v>1988</v>
      </c>
      <c r="H1343" s="1186">
        <v>772</v>
      </c>
    </row>
    <row r="1344" spans="1:8" x14ac:dyDescent="0.2">
      <c r="A1344" s="1186" t="s">
        <v>621</v>
      </c>
      <c r="B1344" s="1186" t="s">
        <v>308</v>
      </c>
      <c r="C1344" s="1186" t="s">
        <v>116</v>
      </c>
      <c r="D1344" s="1186" t="s">
        <v>621</v>
      </c>
      <c r="E1344" s="1186" t="s">
        <v>984</v>
      </c>
      <c r="F1344" s="1186" t="s">
        <v>1981</v>
      </c>
      <c r="G1344" s="1186" t="s">
        <v>1988</v>
      </c>
      <c r="H1344" s="1186">
        <v>896</v>
      </c>
    </row>
    <row r="1345" spans="1:8" x14ac:dyDescent="0.2">
      <c r="A1345" s="1186" t="s">
        <v>1419</v>
      </c>
      <c r="B1345" s="1186" t="s">
        <v>309</v>
      </c>
      <c r="C1345" s="1186" t="s">
        <v>61</v>
      </c>
      <c r="D1345" s="1186" t="s">
        <v>1419</v>
      </c>
      <c r="E1345" s="1186" t="s">
        <v>1427</v>
      </c>
      <c r="F1345" s="1186" t="s">
        <v>1981</v>
      </c>
      <c r="G1345" s="1186" t="s">
        <v>1982</v>
      </c>
      <c r="H1345" s="1186">
        <v>58</v>
      </c>
    </row>
    <row r="1346" spans="1:8" x14ac:dyDescent="0.2">
      <c r="A1346" s="1186" t="s">
        <v>1419</v>
      </c>
      <c r="B1346" s="1186" t="s">
        <v>309</v>
      </c>
      <c r="C1346" s="1186" t="s">
        <v>61</v>
      </c>
      <c r="D1346" s="1186" t="s">
        <v>1419</v>
      </c>
      <c r="E1346" s="1186" t="s">
        <v>1428</v>
      </c>
      <c r="F1346" s="1186" t="s">
        <v>1981</v>
      </c>
      <c r="G1346" s="1186" t="s">
        <v>1982</v>
      </c>
      <c r="H1346" s="1186">
        <v>35</v>
      </c>
    </row>
    <row r="1347" spans="1:8" x14ac:dyDescent="0.2">
      <c r="A1347" s="1186" t="s">
        <v>1419</v>
      </c>
      <c r="B1347" s="1186" t="s">
        <v>309</v>
      </c>
      <c r="C1347" s="1186" t="s">
        <v>61</v>
      </c>
      <c r="D1347" s="1186" t="s">
        <v>1419</v>
      </c>
      <c r="E1347" s="1186" t="s">
        <v>1429</v>
      </c>
      <c r="F1347" s="1186" t="s">
        <v>1983</v>
      </c>
      <c r="G1347" s="1186" t="s">
        <v>1982</v>
      </c>
      <c r="H1347" s="1186">
        <v>12</v>
      </c>
    </row>
    <row r="1348" spans="1:8" x14ac:dyDescent="0.2">
      <c r="A1348" s="1186" t="s">
        <v>1419</v>
      </c>
      <c r="B1348" s="1186" t="s">
        <v>309</v>
      </c>
      <c r="C1348" s="1186" t="s">
        <v>61</v>
      </c>
      <c r="D1348" s="1186" t="s">
        <v>1419</v>
      </c>
      <c r="E1348" s="1186" t="s">
        <v>1430</v>
      </c>
      <c r="F1348" s="1186" t="s">
        <v>1983</v>
      </c>
      <c r="G1348" s="1186" t="s">
        <v>1984</v>
      </c>
      <c r="H1348" s="1186">
        <v>10</v>
      </c>
    </row>
    <row r="1349" spans="1:8" x14ac:dyDescent="0.2">
      <c r="A1349" s="1186" t="s">
        <v>1419</v>
      </c>
      <c r="B1349" s="1186" t="s">
        <v>309</v>
      </c>
      <c r="C1349" s="1186" t="s">
        <v>61</v>
      </c>
      <c r="D1349" s="1186" t="s">
        <v>1419</v>
      </c>
      <c r="E1349" s="1186" t="s">
        <v>1431</v>
      </c>
      <c r="F1349" s="1186" t="s">
        <v>1983</v>
      </c>
      <c r="G1349" s="1186" t="s">
        <v>1984</v>
      </c>
      <c r="H1349" s="1186">
        <v>13</v>
      </c>
    </row>
    <row r="1350" spans="1:8" x14ac:dyDescent="0.2">
      <c r="A1350" s="1186" t="s">
        <v>1419</v>
      </c>
      <c r="B1350" s="1186" t="s">
        <v>309</v>
      </c>
      <c r="C1350" s="1186" t="s">
        <v>61</v>
      </c>
      <c r="D1350" s="1186" t="s">
        <v>1419</v>
      </c>
      <c r="E1350" s="1186" t="s">
        <v>1432</v>
      </c>
      <c r="F1350" s="1186" t="s">
        <v>1985</v>
      </c>
      <c r="G1350" s="1186" t="s">
        <v>1984</v>
      </c>
      <c r="H1350" s="1186">
        <v>25</v>
      </c>
    </row>
    <row r="1351" spans="1:8" x14ac:dyDescent="0.2">
      <c r="A1351" s="1186" t="s">
        <v>1419</v>
      </c>
      <c r="B1351" s="1186" t="s">
        <v>309</v>
      </c>
      <c r="C1351" s="1186" t="s">
        <v>61</v>
      </c>
      <c r="D1351" s="1186" t="s">
        <v>1419</v>
      </c>
      <c r="E1351" s="1186" t="s">
        <v>1433</v>
      </c>
      <c r="F1351" s="1186" t="s">
        <v>1985</v>
      </c>
      <c r="G1351" s="1186" t="s">
        <v>1986</v>
      </c>
      <c r="H1351" s="1186">
        <v>36</v>
      </c>
    </row>
    <row r="1352" spans="1:8" x14ac:dyDescent="0.2">
      <c r="A1352" s="1186" t="s">
        <v>1419</v>
      </c>
      <c r="B1352" s="1186" t="s">
        <v>309</v>
      </c>
      <c r="C1352" s="1186" t="s">
        <v>61</v>
      </c>
      <c r="D1352" s="1186" t="s">
        <v>1419</v>
      </c>
      <c r="E1352" s="1186" t="s">
        <v>1434</v>
      </c>
      <c r="F1352" s="1186" t="s">
        <v>1985</v>
      </c>
      <c r="G1352" s="1186" t="s">
        <v>1986</v>
      </c>
      <c r="H1352" s="1186">
        <v>69</v>
      </c>
    </row>
    <row r="1353" spans="1:8" x14ac:dyDescent="0.2">
      <c r="A1353" s="1186" t="s">
        <v>1419</v>
      </c>
      <c r="B1353" s="1186" t="s">
        <v>309</v>
      </c>
      <c r="C1353" s="1186" t="s">
        <v>61</v>
      </c>
      <c r="D1353" s="1186" t="s">
        <v>1419</v>
      </c>
      <c r="E1353" s="1186" t="s">
        <v>1435</v>
      </c>
      <c r="F1353" s="1186" t="s">
        <v>1987</v>
      </c>
      <c r="G1353" s="1186" t="s">
        <v>1986</v>
      </c>
      <c r="H1353" s="1186">
        <v>70</v>
      </c>
    </row>
    <row r="1354" spans="1:8" x14ac:dyDescent="0.2">
      <c r="A1354" s="1186" t="s">
        <v>1419</v>
      </c>
      <c r="B1354" s="1186" t="s">
        <v>309</v>
      </c>
      <c r="C1354" s="1186" t="s">
        <v>61</v>
      </c>
      <c r="D1354" s="1186" t="s">
        <v>1419</v>
      </c>
      <c r="E1354" s="1186" t="s">
        <v>1436</v>
      </c>
      <c r="F1354" s="1186" t="s">
        <v>1987</v>
      </c>
      <c r="G1354" s="1186" t="s">
        <v>1988</v>
      </c>
      <c r="H1354" s="1186">
        <v>88</v>
      </c>
    </row>
    <row r="1355" spans="1:8" x14ac:dyDescent="0.2">
      <c r="A1355" s="1186" t="s">
        <v>1419</v>
      </c>
      <c r="B1355" s="1186" t="s">
        <v>309</v>
      </c>
      <c r="C1355" s="1186" t="s">
        <v>61</v>
      </c>
      <c r="D1355" s="1186" t="s">
        <v>1419</v>
      </c>
      <c r="E1355" s="1186" t="s">
        <v>1437</v>
      </c>
      <c r="F1355" s="1186" t="s">
        <v>1987</v>
      </c>
      <c r="G1355" s="1186" t="s">
        <v>1988</v>
      </c>
      <c r="H1355" s="1186">
        <v>59</v>
      </c>
    </row>
    <row r="1356" spans="1:8" x14ac:dyDescent="0.2">
      <c r="A1356" s="1186" t="s">
        <v>1419</v>
      </c>
      <c r="B1356" s="1186" t="s">
        <v>309</v>
      </c>
      <c r="C1356" s="1186" t="s">
        <v>61</v>
      </c>
      <c r="D1356" s="1186" t="s">
        <v>1419</v>
      </c>
      <c r="E1356" s="1186" t="s">
        <v>1438</v>
      </c>
      <c r="F1356" s="1186" t="s">
        <v>1981</v>
      </c>
      <c r="G1356" s="1186" t="s">
        <v>1988</v>
      </c>
      <c r="H1356" s="1186">
        <v>79</v>
      </c>
    </row>
    <row r="1357" spans="1:8" x14ac:dyDescent="0.2">
      <c r="A1357" s="1186" t="s">
        <v>1419</v>
      </c>
      <c r="B1357" s="1186" t="s">
        <v>309</v>
      </c>
      <c r="C1357" s="1186" t="s">
        <v>116</v>
      </c>
      <c r="D1357" s="1186" t="s">
        <v>1419</v>
      </c>
      <c r="E1357" s="1186" t="s">
        <v>1427</v>
      </c>
      <c r="F1357" s="1186" t="s">
        <v>1981</v>
      </c>
      <c r="G1357" s="1186" t="s">
        <v>1982</v>
      </c>
      <c r="H1357" s="1186">
        <v>1</v>
      </c>
    </row>
    <row r="1358" spans="1:8" x14ac:dyDescent="0.2">
      <c r="A1358" s="1186" t="s">
        <v>1419</v>
      </c>
      <c r="B1358" s="1186" t="s">
        <v>309</v>
      </c>
      <c r="C1358" s="1186" t="s">
        <v>116</v>
      </c>
      <c r="D1358" s="1186" t="s">
        <v>1419</v>
      </c>
      <c r="E1358" s="1186" t="s">
        <v>1436</v>
      </c>
      <c r="F1358" s="1186" t="s">
        <v>1987</v>
      </c>
      <c r="G1358" s="1186" t="s">
        <v>1988</v>
      </c>
      <c r="H1358" s="1186">
        <v>1</v>
      </c>
    </row>
    <row r="1359" spans="1:8" x14ac:dyDescent="0.2">
      <c r="A1359" s="1186" t="s">
        <v>1419</v>
      </c>
      <c r="B1359" s="1186" t="s">
        <v>823</v>
      </c>
      <c r="C1359" s="1186" t="s">
        <v>61</v>
      </c>
      <c r="D1359" s="1186" t="s">
        <v>1419</v>
      </c>
      <c r="E1359" s="1186" t="s">
        <v>1427</v>
      </c>
      <c r="F1359" s="1186" t="s">
        <v>1981</v>
      </c>
      <c r="G1359" s="1186" t="s">
        <v>1982</v>
      </c>
      <c r="H1359" s="1186">
        <v>359</v>
      </c>
    </row>
    <row r="1360" spans="1:8" x14ac:dyDescent="0.2">
      <c r="A1360" s="1186" t="s">
        <v>1419</v>
      </c>
      <c r="B1360" s="1186" t="s">
        <v>823</v>
      </c>
      <c r="C1360" s="1186" t="s">
        <v>61</v>
      </c>
      <c r="D1360" s="1186" t="s">
        <v>1419</v>
      </c>
      <c r="E1360" s="1186" t="s">
        <v>1428</v>
      </c>
      <c r="F1360" s="1186" t="s">
        <v>1981</v>
      </c>
      <c r="G1360" s="1186" t="s">
        <v>1982</v>
      </c>
      <c r="H1360" s="1186">
        <v>384</v>
      </c>
    </row>
    <row r="1361" spans="1:8" x14ac:dyDescent="0.2">
      <c r="A1361" s="1186" t="s">
        <v>1419</v>
      </c>
      <c r="B1361" s="1186" t="s">
        <v>823</v>
      </c>
      <c r="C1361" s="1186" t="s">
        <v>61</v>
      </c>
      <c r="D1361" s="1186" t="s">
        <v>1419</v>
      </c>
      <c r="E1361" s="1186" t="s">
        <v>1429</v>
      </c>
      <c r="F1361" s="1186" t="s">
        <v>1983</v>
      </c>
      <c r="G1361" s="1186" t="s">
        <v>1982</v>
      </c>
      <c r="H1361" s="1186">
        <v>343</v>
      </c>
    </row>
    <row r="1362" spans="1:8" x14ac:dyDescent="0.2">
      <c r="A1362" s="1186" t="s">
        <v>1419</v>
      </c>
      <c r="B1362" s="1186" t="s">
        <v>823</v>
      </c>
      <c r="C1362" s="1186" t="s">
        <v>61</v>
      </c>
      <c r="D1362" s="1186" t="s">
        <v>1419</v>
      </c>
      <c r="E1362" s="1186" t="s">
        <v>1430</v>
      </c>
      <c r="F1362" s="1186" t="s">
        <v>1983</v>
      </c>
      <c r="G1362" s="1186" t="s">
        <v>1984</v>
      </c>
      <c r="H1362" s="1186">
        <v>371</v>
      </c>
    </row>
    <row r="1363" spans="1:8" x14ac:dyDescent="0.2">
      <c r="A1363" s="1186" t="s">
        <v>1419</v>
      </c>
      <c r="B1363" s="1186" t="s">
        <v>823</v>
      </c>
      <c r="C1363" s="1186" t="s">
        <v>61</v>
      </c>
      <c r="D1363" s="1186" t="s">
        <v>1419</v>
      </c>
      <c r="E1363" s="1186" t="s">
        <v>1431</v>
      </c>
      <c r="F1363" s="1186" t="s">
        <v>1983</v>
      </c>
      <c r="G1363" s="1186" t="s">
        <v>1984</v>
      </c>
      <c r="H1363" s="1186">
        <v>326</v>
      </c>
    </row>
    <row r="1364" spans="1:8" x14ac:dyDescent="0.2">
      <c r="A1364" s="1186" t="s">
        <v>1419</v>
      </c>
      <c r="B1364" s="1186" t="s">
        <v>823</v>
      </c>
      <c r="C1364" s="1186" t="s">
        <v>61</v>
      </c>
      <c r="D1364" s="1186" t="s">
        <v>1419</v>
      </c>
      <c r="E1364" s="1186" t="s">
        <v>1432</v>
      </c>
      <c r="F1364" s="1186" t="s">
        <v>1985</v>
      </c>
      <c r="G1364" s="1186" t="s">
        <v>1984</v>
      </c>
      <c r="H1364" s="1186">
        <v>348</v>
      </c>
    </row>
    <row r="1365" spans="1:8" x14ac:dyDescent="0.2">
      <c r="A1365" s="1186" t="s">
        <v>1419</v>
      </c>
      <c r="B1365" s="1186" t="s">
        <v>823</v>
      </c>
      <c r="C1365" s="1186" t="s">
        <v>61</v>
      </c>
      <c r="D1365" s="1186" t="s">
        <v>1419</v>
      </c>
      <c r="E1365" s="1186" t="s">
        <v>1433</v>
      </c>
      <c r="F1365" s="1186" t="s">
        <v>1985</v>
      </c>
      <c r="G1365" s="1186" t="s">
        <v>1986</v>
      </c>
      <c r="H1365" s="1186">
        <v>367</v>
      </c>
    </row>
    <row r="1366" spans="1:8" x14ac:dyDescent="0.2">
      <c r="A1366" s="1186" t="s">
        <v>1419</v>
      </c>
      <c r="B1366" s="1186" t="s">
        <v>823</v>
      </c>
      <c r="C1366" s="1186" t="s">
        <v>61</v>
      </c>
      <c r="D1366" s="1186" t="s">
        <v>1419</v>
      </c>
      <c r="E1366" s="1186" t="s">
        <v>1434</v>
      </c>
      <c r="F1366" s="1186" t="s">
        <v>1985</v>
      </c>
      <c r="G1366" s="1186" t="s">
        <v>1986</v>
      </c>
      <c r="H1366" s="1186">
        <v>369</v>
      </c>
    </row>
    <row r="1367" spans="1:8" x14ac:dyDescent="0.2">
      <c r="A1367" s="1186" t="s">
        <v>1419</v>
      </c>
      <c r="B1367" s="1186" t="s">
        <v>823</v>
      </c>
      <c r="C1367" s="1186" t="s">
        <v>61</v>
      </c>
      <c r="D1367" s="1186" t="s">
        <v>1419</v>
      </c>
      <c r="E1367" s="1186" t="s">
        <v>1435</v>
      </c>
      <c r="F1367" s="1186" t="s">
        <v>1987</v>
      </c>
      <c r="G1367" s="1186" t="s">
        <v>1986</v>
      </c>
      <c r="H1367" s="1186">
        <v>397</v>
      </c>
    </row>
    <row r="1368" spans="1:8" x14ac:dyDescent="0.2">
      <c r="A1368" s="1186" t="s">
        <v>1419</v>
      </c>
      <c r="B1368" s="1186" t="s">
        <v>823</v>
      </c>
      <c r="C1368" s="1186" t="s">
        <v>61</v>
      </c>
      <c r="D1368" s="1186" t="s">
        <v>1419</v>
      </c>
      <c r="E1368" s="1186" t="s">
        <v>1436</v>
      </c>
      <c r="F1368" s="1186" t="s">
        <v>1987</v>
      </c>
      <c r="G1368" s="1186" t="s">
        <v>1988</v>
      </c>
      <c r="H1368" s="1186">
        <v>364</v>
      </c>
    </row>
    <row r="1369" spans="1:8" x14ac:dyDescent="0.2">
      <c r="A1369" s="1186" t="s">
        <v>1419</v>
      </c>
      <c r="B1369" s="1186" t="s">
        <v>823</v>
      </c>
      <c r="C1369" s="1186" t="s">
        <v>61</v>
      </c>
      <c r="D1369" s="1186" t="s">
        <v>1419</v>
      </c>
      <c r="E1369" s="1186" t="s">
        <v>1437</v>
      </c>
      <c r="F1369" s="1186" t="s">
        <v>1987</v>
      </c>
      <c r="G1369" s="1186" t="s">
        <v>1988</v>
      </c>
      <c r="H1369" s="1186">
        <v>346</v>
      </c>
    </row>
    <row r="1370" spans="1:8" x14ac:dyDescent="0.2">
      <c r="A1370" s="1186" t="s">
        <v>1419</v>
      </c>
      <c r="B1370" s="1186" t="s">
        <v>823</v>
      </c>
      <c r="C1370" s="1186" t="s">
        <v>61</v>
      </c>
      <c r="D1370" s="1186" t="s">
        <v>1419</v>
      </c>
      <c r="E1370" s="1186" t="s">
        <v>1438</v>
      </c>
      <c r="F1370" s="1186" t="s">
        <v>1981</v>
      </c>
      <c r="G1370" s="1186" t="s">
        <v>1988</v>
      </c>
      <c r="H1370" s="1186">
        <v>391</v>
      </c>
    </row>
    <row r="1371" spans="1:8" x14ac:dyDescent="0.2">
      <c r="A1371" s="1186" t="s">
        <v>1419</v>
      </c>
      <c r="B1371" s="1186" t="s">
        <v>823</v>
      </c>
      <c r="C1371" s="1186" t="s">
        <v>116</v>
      </c>
      <c r="D1371" s="1186" t="s">
        <v>1419</v>
      </c>
      <c r="E1371" s="1186" t="s">
        <v>1427</v>
      </c>
      <c r="F1371" s="1186" t="s">
        <v>1981</v>
      </c>
      <c r="G1371" s="1186" t="s">
        <v>1982</v>
      </c>
      <c r="H1371" s="1186">
        <v>48</v>
      </c>
    </row>
    <row r="1372" spans="1:8" x14ac:dyDescent="0.2">
      <c r="A1372" s="1186" t="s">
        <v>1419</v>
      </c>
      <c r="B1372" s="1186" t="s">
        <v>823</v>
      </c>
      <c r="C1372" s="1186" t="s">
        <v>116</v>
      </c>
      <c r="D1372" s="1186" t="s">
        <v>1419</v>
      </c>
      <c r="E1372" s="1186" t="s">
        <v>1428</v>
      </c>
      <c r="F1372" s="1186" t="s">
        <v>1981</v>
      </c>
      <c r="G1372" s="1186" t="s">
        <v>1982</v>
      </c>
      <c r="H1372" s="1186">
        <v>57</v>
      </c>
    </row>
    <row r="1373" spans="1:8" x14ac:dyDescent="0.2">
      <c r="A1373" s="1186" t="s">
        <v>1419</v>
      </c>
      <c r="B1373" s="1186" t="s">
        <v>823</v>
      </c>
      <c r="C1373" s="1186" t="s">
        <v>116</v>
      </c>
      <c r="D1373" s="1186" t="s">
        <v>1419</v>
      </c>
      <c r="E1373" s="1186" t="s">
        <v>1429</v>
      </c>
      <c r="F1373" s="1186" t="s">
        <v>1983</v>
      </c>
      <c r="G1373" s="1186" t="s">
        <v>1982</v>
      </c>
      <c r="H1373" s="1186">
        <v>42</v>
      </c>
    </row>
    <row r="1374" spans="1:8" x14ac:dyDescent="0.2">
      <c r="A1374" s="1186" t="s">
        <v>1419</v>
      </c>
      <c r="B1374" s="1186" t="s">
        <v>823</v>
      </c>
      <c r="C1374" s="1186" t="s">
        <v>116</v>
      </c>
      <c r="D1374" s="1186" t="s">
        <v>1419</v>
      </c>
      <c r="E1374" s="1186" t="s">
        <v>1430</v>
      </c>
      <c r="F1374" s="1186" t="s">
        <v>1983</v>
      </c>
      <c r="G1374" s="1186" t="s">
        <v>1984</v>
      </c>
      <c r="H1374" s="1186">
        <v>35</v>
      </c>
    </row>
    <row r="1375" spans="1:8" x14ac:dyDescent="0.2">
      <c r="A1375" s="1186" t="s">
        <v>1419</v>
      </c>
      <c r="B1375" s="1186" t="s">
        <v>823</v>
      </c>
      <c r="C1375" s="1186" t="s">
        <v>116</v>
      </c>
      <c r="D1375" s="1186" t="s">
        <v>1419</v>
      </c>
      <c r="E1375" s="1186" t="s">
        <v>1431</v>
      </c>
      <c r="F1375" s="1186" t="s">
        <v>1983</v>
      </c>
      <c r="G1375" s="1186" t="s">
        <v>1984</v>
      </c>
      <c r="H1375" s="1186">
        <v>43</v>
      </c>
    </row>
    <row r="1376" spans="1:8" x14ac:dyDescent="0.2">
      <c r="A1376" s="1186" t="s">
        <v>1419</v>
      </c>
      <c r="B1376" s="1186" t="s">
        <v>823</v>
      </c>
      <c r="C1376" s="1186" t="s">
        <v>116</v>
      </c>
      <c r="D1376" s="1186" t="s">
        <v>1419</v>
      </c>
      <c r="E1376" s="1186" t="s">
        <v>1432</v>
      </c>
      <c r="F1376" s="1186" t="s">
        <v>1985</v>
      </c>
      <c r="G1376" s="1186" t="s">
        <v>1984</v>
      </c>
      <c r="H1376" s="1186">
        <v>49</v>
      </c>
    </row>
    <row r="1377" spans="1:8" x14ac:dyDescent="0.2">
      <c r="A1377" s="1186" t="s">
        <v>1419</v>
      </c>
      <c r="B1377" s="1186" t="s">
        <v>823</v>
      </c>
      <c r="C1377" s="1186" t="s">
        <v>116</v>
      </c>
      <c r="D1377" s="1186" t="s">
        <v>1419</v>
      </c>
      <c r="E1377" s="1186" t="s">
        <v>1433</v>
      </c>
      <c r="F1377" s="1186" t="s">
        <v>1985</v>
      </c>
      <c r="G1377" s="1186" t="s">
        <v>1986</v>
      </c>
      <c r="H1377" s="1186">
        <v>47</v>
      </c>
    </row>
    <row r="1378" spans="1:8" x14ac:dyDescent="0.2">
      <c r="A1378" s="1186" t="s">
        <v>1419</v>
      </c>
      <c r="B1378" s="1186" t="s">
        <v>823</v>
      </c>
      <c r="C1378" s="1186" t="s">
        <v>116</v>
      </c>
      <c r="D1378" s="1186" t="s">
        <v>1419</v>
      </c>
      <c r="E1378" s="1186" t="s">
        <v>1434</v>
      </c>
      <c r="F1378" s="1186" t="s">
        <v>1985</v>
      </c>
      <c r="G1378" s="1186" t="s">
        <v>1986</v>
      </c>
      <c r="H1378" s="1186">
        <v>56</v>
      </c>
    </row>
    <row r="1379" spans="1:8" x14ac:dyDescent="0.2">
      <c r="A1379" s="1186" t="s">
        <v>1419</v>
      </c>
      <c r="B1379" s="1186" t="s">
        <v>823</v>
      </c>
      <c r="C1379" s="1186" t="s">
        <v>116</v>
      </c>
      <c r="D1379" s="1186" t="s">
        <v>1419</v>
      </c>
      <c r="E1379" s="1186" t="s">
        <v>1435</v>
      </c>
      <c r="F1379" s="1186" t="s">
        <v>1987</v>
      </c>
      <c r="G1379" s="1186" t="s">
        <v>1986</v>
      </c>
      <c r="H1379" s="1186">
        <v>49</v>
      </c>
    </row>
    <row r="1380" spans="1:8" x14ac:dyDescent="0.2">
      <c r="A1380" s="1186" t="s">
        <v>1419</v>
      </c>
      <c r="B1380" s="1186" t="s">
        <v>823</v>
      </c>
      <c r="C1380" s="1186" t="s">
        <v>116</v>
      </c>
      <c r="D1380" s="1186" t="s">
        <v>1419</v>
      </c>
      <c r="E1380" s="1186" t="s">
        <v>1436</v>
      </c>
      <c r="F1380" s="1186" t="s">
        <v>1987</v>
      </c>
      <c r="G1380" s="1186" t="s">
        <v>1988</v>
      </c>
      <c r="H1380" s="1186">
        <v>30</v>
      </c>
    </row>
    <row r="1381" spans="1:8" x14ac:dyDescent="0.2">
      <c r="A1381" s="1186" t="s">
        <v>1419</v>
      </c>
      <c r="B1381" s="1186" t="s">
        <v>823</v>
      </c>
      <c r="C1381" s="1186" t="s">
        <v>116</v>
      </c>
      <c r="D1381" s="1186" t="s">
        <v>1419</v>
      </c>
      <c r="E1381" s="1186" t="s">
        <v>1437</v>
      </c>
      <c r="F1381" s="1186" t="s">
        <v>1987</v>
      </c>
      <c r="G1381" s="1186" t="s">
        <v>1988</v>
      </c>
      <c r="H1381" s="1186">
        <v>36</v>
      </c>
    </row>
    <row r="1382" spans="1:8" x14ac:dyDescent="0.2">
      <c r="A1382" s="1186" t="s">
        <v>1419</v>
      </c>
      <c r="B1382" s="1186" t="s">
        <v>823</v>
      </c>
      <c r="C1382" s="1186" t="s">
        <v>116</v>
      </c>
      <c r="D1382" s="1186" t="s">
        <v>1419</v>
      </c>
      <c r="E1382" s="1186" t="s">
        <v>1438</v>
      </c>
      <c r="F1382" s="1186" t="s">
        <v>1981</v>
      </c>
      <c r="G1382" s="1186" t="s">
        <v>1988</v>
      </c>
      <c r="H1382" s="1186">
        <v>33</v>
      </c>
    </row>
    <row r="1383" spans="1:8" x14ac:dyDescent="0.2">
      <c r="A1383" s="1186" t="s">
        <v>1419</v>
      </c>
      <c r="B1383" s="1186" t="s">
        <v>824</v>
      </c>
      <c r="C1383" s="1186" t="s">
        <v>61</v>
      </c>
      <c r="D1383" s="1186" t="s">
        <v>1419</v>
      </c>
      <c r="E1383" s="1186" t="s">
        <v>1427</v>
      </c>
      <c r="F1383" s="1186" t="s">
        <v>1981</v>
      </c>
      <c r="G1383" s="1186" t="s">
        <v>1982</v>
      </c>
      <c r="H1383" s="1186">
        <v>123</v>
      </c>
    </row>
    <row r="1384" spans="1:8" x14ac:dyDescent="0.2">
      <c r="A1384" s="1186" t="s">
        <v>1419</v>
      </c>
      <c r="B1384" s="1186" t="s">
        <v>824</v>
      </c>
      <c r="C1384" s="1186" t="s">
        <v>61</v>
      </c>
      <c r="D1384" s="1186" t="s">
        <v>1419</v>
      </c>
      <c r="E1384" s="1186" t="s">
        <v>1428</v>
      </c>
      <c r="F1384" s="1186" t="s">
        <v>1981</v>
      </c>
      <c r="G1384" s="1186" t="s">
        <v>1982</v>
      </c>
      <c r="H1384" s="1186">
        <v>142</v>
      </c>
    </row>
    <row r="1385" spans="1:8" x14ac:dyDescent="0.2">
      <c r="A1385" s="1186" t="s">
        <v>1419</v>
      </c>
      <c r="B1385" s="1186" t="s">
        <v>824</v>
      </c>
      <c r="C1385" s="1186" t="s">
        <v>61</v>
      </c>
      <c r="D1385" s="1186" t="s">
        <v>1419</v>
      </c>
      <c r="E1385" s="1186" t="s">
        <v>1429</v>
      </c>
      <c r="F1385" s="1186" t="s">
        <v>1983</v>
      </c>
      <c r="G1385" s="1186" t="s">
        <v>1982</v>
      </c>
      <c r="H1385" s="1186">
        <v>136</v>
      </c>
    </row>
    <row r="1386" spans="1:8" x14ac:dyDescent="0.2">
      <c r="A1386" s="1186" t="s">
        <v>1419</v>
      </c>
      <c r="B1386" s="1186" t="s">
        <v>824</v>
      </c>
      <c r="C1386" s="1186" t="s">
        <v>61</v>
      </c>
      <c r="D1386" s="1186" t="s">
        <v>1419</v>
      </c>
      <c r="E1386" s="1186" t="s">
        <v>1430</v>
      </c>
      <c r="F1386" s="1186" t="s">
        <v>1983</v>
      </c>
      <c r="G1386" s="1186" t="s">
        <v>1984</v>
      </c>
      <c r="H1386" s="1186">
        <v>138</v>
      </c>
    </row>
    <row r="1387" spans="1:8" x14ac:dyDescent="0.2">
      <c r="A1387" s="1186" t="s">
        <v>1419</v>
      </c>
      <c r="B1387" s="1186" t="s">
        <v>824</v>
      </c>
      <c r="C1387" s="1186" t="s">
        <v>61</v>
      </c>
      <c r="D1387" s="1186" t="s">
        <v>1419</v>
      </c>
      <c r="E1387" s="1186" t="s">
        <v>1431</v>
      </c>
      <c r="F1387" s="1186" t="s">
        <v>1983</v>
      </c>
      <c r="G1387" s="1186" t="s">
        <v>1984</v>
      </c>
      <c r="H1387" s="1186">
        <v>127</v>
      </c>
    </row>
    <row r="1388" spans="1:8" x14ac:dyDescent="0.2">
      <c r="A1388" s="1186" t="s">
        <v>1419</v>
      </c>
      <c r="B1388" s="1186" t="s">
        <v>824</v>
      </c>
      <c r="C1388" s="1186" t="s">
        <v>61</v>
      </c>
      <c r="D1388" s="1186" t="s">
        <v>1419</v>
      </c>
      <c r="E1388" s="1186" t="s">
        <v>1432</v>
      </c>
      <c r="F1388" s="1186" t="s">
        <v>1985</v>
      </c>
      <c r="G1388" s="1186" t="s">
        <v>1984</v>
      </c>
      <c r="H1388" s="1186">
        <v>136</v>
      </c>
    </row>
    <row r="1389" spans="1:8" x14ac:dyDescent="0.2">
      <c r="A1389" s="1186" t="s">
        <v>1419</v>
      </c>
      <c r="B1389" s="1186" t="s">
        <v>824</v>
      </c>
      <c r="C1389" s="1186" t="s">
        <v>61</v>
      </c>
      <c r="D1389" s="1186" t="s">
        <v>1419</v>
      </c>
      <c r="E1389" s="1186" t="s">
        <v>1433</v>
      </c>
      <c r="F1389" s="1186" t="s">
        <v>1985</v>
      </c>
      <c r="G1389" s="1186" t="s">
        <v>1986</v>
      </c>
      <c r="H1389" s="1186">
        <v>111</v>
      </c>
    </row>
    <row r="1390" spans="1:8" x14ac:dyDescent="0.2">
      <c r="A1390" s="1186" t="s">
        <v>1419</v>
      </c>
      <c r="B1390" s="1186" t="s">
        <v>824</v>
      </c>
      <c r="C1390" s="1186" t="s">
        <v>61</v>
      </c>
      <c r="D1390" s="1186" t="s">
        <v>1419</v>
      </c>
      <c r="E1390" s="1186" t="s">
        <v>1434</v>
      </c>
      <c r="F1390" s="1186" t="s">
        <v>1985</v>
      </c>
      <c r="G1390" s="1186" t="s">
        <v>1986</v>
      </c>
      <c r="H1390" s="1186">
        <v>96</v>
      </c>
    </row>
    <row r="1391" spans="1:8" x14ac:dyDescent="0.2">
      <c r="A1391" s="1186" t="s">
        <v>1419</v>
      </c>
      <c r="B1391" s="1186" t="s">
        <v>824</v>
      </c>
      <c r="C1391" s="1186" t="s">
        <v>61</v>
      </c>
      <c r="D1391" s="1186" t="s">
        <v>1419</v>
      </c>
      <c r="E1391" s="1186" t="s">
        <v>1435</v>
      </c>
      <c r="F1391" s="1186" t="s">
        <v>1987</v>
      </c>
      <c r="G1391" s="1186" t="s">
        <v>1986</v>
      </c>
      <c r="H1391" s="1186">
        <v>128</v>
      </c>
    </row>
    <row r="1392" spans="1:8" x14ac:dyDescent="0.2">
      <c r="A1392" s="1186" t="s">
        <v>1419</v>
      </c>
      <c r="B1392" s="1186" t="s">
        <v>824</v>
      </c>
      <c r="C1392" s="1186" t="s">
        <v>61</v>
      </c>
      <c r="D1392" s="1186" t="s">
        <v>1419</v>
      </c>
      <c r="E1392" s="1186" t="s">
        <v>1436</v>
      </c>
      <c r="F1392" s="1186" t="s">
        <v>1987</v>
      </c>
      <c r="G1392" s="1186" t="s">
        <v>1988</v>
      </c>
      <c r="H1392" s="1186">
        <v>123</v>
      </c>
    </row>
    <row r="1393" spans="1:8" x14ac:dyDescent="0.2">
      <c r="A1393" s="1186" t="s">
        <v>1419</v>
      </c>
      <c r="B1393" s="1186" t="s">
        <v>824</v>
      </c>
      <c r="C1393" s="1186" t="s">
        <v>61</v>
      </c>
      <c r="D1393" s="1186" t="s">
        <v>1419</v>
      </c>
      <c r="E1393" s="1186" t="s">
        <v>1437</v>
      </c>
      <c r="F1393" s="1186" t="s">
        <v>1987</v>
      </c>
      <c r="G1393" s="1186" t="s">
        <v>1988</v>
      </c>
      <c r="H1393" s="1186">
        <v>129</v>
      </c>
    </row>
    <row r="1394" spans="1:8" x14ac:dyDescent="0.2">
      <c r="A1394" s="1186" t="s">
        <v>1419</v>
      </c>
      <c r="B1394" s="1186" t="s">
        <v>824</v>
      </c>
      <c r="C1394" s="1186" t="s">
        <v>61</v>
      </c>
      <c r="D1394" s="1186" t="s">
        <v>1419</v>
      </c>
      <c r="E1394" s="1186" t="s">
        <v>1438</v>
      </c>
      <c r="F1394" s="1186" t="s">
        <v>1981</v>
      </c>
      <c r="G1394" s="1186" t="s">
        <v>1988</v>
      </c>
      <c r="H1394" s="1186">
        <v>117</v>
      </c>
    </row>
    <row r="1395" spans="1:8" x14ac:dyDescent="0.2">
      <c r="A1395" s="1186" t="s">
        <v>1419</v>
      </c>
      <c r="B1395" s="1186" t="s">
        <v>824</v>
      </c>
      <c r="C1395" s="1186" t="s">
        <v>116</v>
      </c>
      <c r="D1395" s="1186" t="s">
        <v>1419</v>
      </c>
      <c r="E1395" s="1186" t="s">
        <v>1427</v>
      </c>
      <c r="F1395" s="1186" t="s">
        <v>1981</v>
      </c>
      <c r="G1395" s="1186" t="s">
        <v>1982</v>
      </c>
      <c r="H1395" s="1186">
        <v>39</v>
      </c>
    </row>
    <row r="1396" spans="1:8" x14ac:dyDescent="0.2">
      <c r="A1396" s="1186" t="s">
        <v>1419</v>
      </c>
      <c r="B1396" s="1186" t="s">
        <v>824</v>
      </c>
      <c r="C1396" s="1186" t="s">
        <v>116</v>
      </c>
      <c r="D1396" s="1186" t="s">
        <v>1419</v>
      </c>
      <c r="E1396" s="1186" t="s">
        <v>1428</v>
      </c>
      <c r="F1396" s="1186" t="s">
        <v>1981</v>
      </c>
      <c r="G1396" s="1186" t="s">
        <v>1982</v>
      </c>
      <c r="H1396" s="1186">
        <v>47</v>
      </c>
    </row>
    <row r="1397" spans="1:8" x14ac:dyDescent="0.2">
      <c r="A1397" s="1186" t="s">
        <v>1419</v>
      </c>
      <c r="B1397" s="1186" t="s">
        <v>824</v>
      </c>
      <c r="C1397" s="1186" t="s">
        <v>116</v>
      </c>
      <c r="D1397" s="1186" t="s">
        <v>1419</v>
      </c>
      <c r="E1397" s="1186" t="s">
        <v>1429</v>
      </c>
      <c r="F1397" s="1186" t="s">
        <v>1983</v>
      </c>
      <c r="G1397" s="1186" t="s">
        <v>1982</v>
      </c>
      <c r="H1397" s="1186">
        <v>47</v>
      </c>
    </row>
    <row r="1398" spans="1:8" x14ac:dyDescent="0.2">
      <c r="A1398" s="1186" t="s">
        <v>1419</v>
      </c>
      <c r="B1398" s="1186" t="s">
        <v>824</v>
      </c>
      <c r="C1398" s="1186" t="s">
        <v>116</v>
      </c>
      <c r="D1398" s="1186" t="s">
        <v>1419</v>
      </c>
      <c r="E1398" s="1186" t="s">
        <v>1430</v>
      </c>
      <c r="F1398" s="1186" t="s">
        <v>1983</v>
      </c>
      <c r="G1398" s="1186" t="s">
        <v>1984</v>
      </c>
      <c r="H1398" s="1186">
        <v>49</v>
      </c>
    </row>
    <row r="1399" spans="1:8" x14ac:dyDescent="0.2">
      <c r="A1399" s="1186" t="s">
        <v>1419</v>
      </c>
      <c r="B1399" s="1186" t="s">
        <v>824</v>
      </c>
      <c r="C1399" s="1186" t="s">
        <v>116</v>
      </c>
      <c r="D1399" s="1186" t="s">
        <v>1419</v>
      </c>
      <c r="E1399" s="1186" t="s">
        <v>1431</v>
      </c>
      <c r="F1399" s="1186" t="s">
        <v>1983</v>
      </c>
      <c r="G1399" s="1186" t="s">
        <v>1984</v>
      </c>
      <c r="H1399" s="1186">
        <v>38</v>
      </c>
    </row>
    <row r="1400" spans="1:8" x14ac:dyDescent="0.2">
      <c r="A1400" s="1186" t="s">
        <v>1419</v>
      </c>
      <c r="B1400" s="1186" t="s">
        <v>824</v>
      </c>
      <c r="C1400" s="1186" t="s">
        <v>116</v>
      </c>
      <c r="D1400" s="1186" t="s">
        <v>1419</v>
      </c>
      <c r="E1400" s="1186" t="s">
        <v>1432</v>
      </c>
      <c r="F1400" s="1186" t="s">
        <v>1985</v>
      </c>
      <c r="G1400" s="1186" t="s">
        <v>1984</v>
      </c>
      <c r="H1400" s="1186">
        <v>39</v>
      </c>
    </row>
    <row r="1401" spans="1:8" x14ac:dyDescent="0.2">
      <c r="A1401" s="1186" t="s">
        <v>1419</v>
      </c>
      <c r="B1401" s="1186" t="s">
        <v>824</v>
      </c>
      <c r="C1401" s="1186" t="s">
        <v>116</v>
      </c>
      <c r="D1401" s="1186" t="s">
        <v>1419</v>
      </c>
      <c r="E1401" s="1186" t="s">
        <v>1433</v>
      </c>
      <c r="F1401" s="1186" t="s">
        <v>1985</v>
      </c>
      <c r="G1401" s="1186" t="s">
        <v>1986</v>
      </c>
      <c r="H1401" s="1186">
        <v>38</v>
      </c>
    </row>
    <row r="1402" spans="1:8" x14ac:dyDescent="0.2">
      <c r="A1402" s="1186" t="s">
        <v>1419</v>
      </c>
      <c r="B1402" s="1186" t="s">
        <v>824</v>
      </c>
      <c r="C1402" s="1186" t="s">
        <v>116</v>
      </c>
      <c r="D1402" s="1186" t="s">
        <v>1419</v>
      </c>
      <c r="E1402" s="1186" t="s">
        <v>1434</v>
      </c>
      <c r="F1402" s="1186" t="s">
        <v>1985</v>
      </c>
      <c r="G1402" s="1186" t="s">
        <v>1986</v>
      </c>
      <c r="H1402" s="1186">
        <v>41</v>
      </c>
    </row>
    <row r="1403" spans="1:8" x14ac:dyDescent="0.2">
      <c r="A1403" s="1186" t="s">
        <v>1419</v>
      </c>
      <c r="B1403" s="1186" t="s">
        <v>824</v>
      </c>
      <c r="C1403" s="1186" t="s">
        <v>116</v>
      </c>
      <c r="D1403" s="1186" t="s">
        <v>1419</v>
      </c>
      <c r="E1403" s="1186" t="s">
        <v>1435</v>
      </c>
      <c r="F1403" s="1186" t="s">
        <v>1987</v>
      </c>
      <c r="G1403" s="1186" t="s">
        <v>1986</v>
      </c>
      <c r="H1403" s="1186">
        <v>35</v>
      </c>
    </row>
    <row r="1404" spans="1:8" x14ac:dyDescent="0.2">
      <c r="A1404" s="1186" t="s">
        <v>1419</v>
      </c>
      <c r="B1404" s="1186" t="s">
        <v>824</v>
      </c>
      <c r="C1404" s="1186" t="s">
        <v>116</v>
      </c>
      <c r="D1404" s="1186" t="s">
        <v>1419</v>
      </c>
      <c r="E1404" s="1186" t="s">
        <v>1436</v>
      </c>
      <c r="F1404" s="1186" t="s">
        <v>1987</v>
      </c>
      <c r="G1404" s="1186" t="s">
        <v>1988</v>
      </c>
      <c r="H1404" s="1186">
        <v>31</v>
      </c>
    </row>
    <row r="1405" spans="1:8" x14ac:dyDescent="0.2">
      <c r="A1405" s="1186" t="s">
        <v>1419</v>
      </c>
      <c r="B1405" s="1186" t="s">
        <v>824</v>
      </c>
      <c r="C1405" s="1186" t="s">
        <v>116</v>
      </c>
      <c r="D1405" s="1186" t="s">
        <v>1419</v>
      </c>
      <c r="E1405" s="1186" t="s">
        <v>1437</v>
      </c>
      <c r="F1405" s="1186" t="s">
        <v>1987</v>
      </c>
      <c r="G1405" s="1186" t="s">
        <v>1988</v>
      </c>
      <c r="H1405" s="1186">
        <v>32</v>
      </c>
    </row>
    <row r="1406" spans="1:8" x14ac:dyDescent="0.2">
      <c r="A1406" s="1186" t="s">
        <v>1419</v>
      </c>
      <c r="B1406" s="1186" t="s">
        <v>824</v>
      </c>
      <c r="C1406" s="1186" t="s">
        <v>116</v>
      </c>
      <c r="D1406" s="1186" t="s">
        <v>1419</v>
      </c>
      <c r="E1406" s="1186" t="s">
        <v>1438</v>
      </c>
      <c r="F1406" s="1186" t="s">
        <v>1981</v>
      </c>
      <c r="G1406" s="1186" t="s">
        <v>1988</v>
      </c>
      <c r="H1406" s="1186">
        <v>38</v>
      </c>
    </row>
    <row r="1407" spans="1:8" x14ac:dyDescent="0.2">
      <c r="A1407" s="1186" t="s">
        <v>1419</v>
      </c>
      <c r="B1407" s="1186" t="s">
        <v>825</v>
      </c>
      <c r="C1407" s="1186" t="s">
        <v>61</v>
      </c>
      <c r="D1407" s="1186" t="s">
        <v>1419</v>
      </c>
      <c r="E1407" s="1186" t="s">
        <v>1427</v>
      </c>
      <c r="F1407" s="1186" t="s">
        <v>1981</v>
      </c>
      <c r="G1407" s="1186" t="s">
        <v>1982</v>
      </c>
      <c r="H1407" s="1186">
        <v>109</v>
      </c>
    </row>
    <row r="1408" spans="1:8" x14ac:dyDescent="0.2">
      <c r="A1408" s="1186" t="s">
        <v>1419</v>
      </c>
      <c r="B1408" s="1186" t="s">
        <v>825</v>
      </c>
      <c r="C1408" s="1186" t="s">
        <v>61</v>
      </c>
      <c r="D1408" s="1186" t="s">
        <v>1419</v>
      </c>
      <c r="E1408" s="1186" t="s">
        <v>1428</v>
      </c>
      <c r="F1408" s="1186" t="s">
        <v>1981</v>
      </c>
      <c r="G1408" s="1186" t="s">
        <v>1982</v>
      </c>
      <c r="H1408" s="1186">
        <v>88</v>
      </c>
    </row>
    <row r="1409" spans="1:8" x14ac:dyDescent="0.2">
      <c r="A1409" s="1186" t="s">
        <v>1419</v>
      </c>
      <c r="B1409" s="1186" t="s">
        <v>825</v>
      </c>
      <c r="C1409" s="1186" t="s">
        <v>61</v>
      </c>
      <c r="D1409" s="1186" t="s">
        <v>1419</v>
      </c>
      <c r="E1409" s="1186" t="s">
        <v>1429</v>
      </c>
      <c r="F1409" s="1186" t="s">
        <v>1983</v>
      </c>
      <c r="G1409" s="1186" t="s">
        <v>1982</v>
      </c>
      <c r="H1409" s="1186">
        <v>92</v>
      </c>
    </row>
    <row r="1410" spans="1:8" x14ac:dyDescent="0.2">
      <c r="A1410" s="1186" t="s">
        <v>1419</v>
      </c>
      <c r="B1410" s="1186" t="s">
        <v>825</v>
      </c>
      <c r="C1410" s="1186" t="s">
        <v>61</v>
      </c>
      <c r="D1410" s="1186" t="s">
        <v>1419</v>
      </c>
      <c r="E1410" s="1186" t="s">
        <v>1430</v>
      </c>
      <c r="F1410" s="1186" t="s">
        <v>1983</v>
      </c>
      <c r="G1410" s="1186" t="s">
        <v>1984</v>
      </c>
      <c r="H1410" s="1186">
        <v>105</v>
      </c>
    </row>
    <row r="1411" spans="1:8" x14ac:dyDescent="0.2">
      <c r="A1411" s="1186" t="s">
        <v>1419</v>
      </c>
      <c r="B1411" s="1186" t="s">
        <v>825</v>
      </c>
      <c r="C1411" s="1186" t="s">
        <v>61</v>
      </c>
      <c r="D1411" s="1186" t="s">
        <v>1419</v>
      </c>
      <c r="E1411" s="1186" t="s">
        <v>1431</v>
      </c>
      <c r="F1411" s="1186" t="s">
        <v>1983</v>
      </c>
      <c r="G1411" s="1186" t="s">
        <v>1984</v>
      </c>
      <c r="H1411" s="1186">
        <v>125</v>
      </c>
    </row>
    <row r="1412" spans="1:8" x14ac:dyDescent="0.2">
      <c r="A1412" s="1186" t="s">
        <v>1419</v>
      </c>
      <c r="B1412" s="1186" t="s">
        <v>825</v>
      </c>
      <c r="C1412" s="1186" t="s">
        <v>61</v>
      </c>
      <c r="D1412" s="1186" t="s">
        <v>1419</v>
      </c>
      <c r="E1412" s="1186" t="s">
        <v>1432</v>
      </c>
      <c r="F1412" s="1186" t="s">
        <v>1985</v>
      </c>
      <c r="G1412" s="1186" t="s">
        <v>1984</v>
      </c>
      <c r="H1412" s="1186">
        <v>96</v>
      </c>
    </row>
    <row r="1413" spans="1:8" x14ac:dyDescent="0.2">
      <c r="A1413" s="1186" t="s">
        <v>1419</v>
      </c>
      <c r="B1413" s="1186" t="s">
        <v>825</v>
      </c>
      <c r="C1413" s="1186" t="s">
        <v>61</v>
      </c>
      <c r="D1413" s="1186" t="s">
        <v>1419</v>
      </c>
      <c r="E1413" s="1186" t="s">
        <v>1433</v>
      </c>
      <c r="F1413" s="1186" t="s">
        <v>1985</v>
      </c>
      <c r="G1413" s="1186" t="s">
        <v>1986</v>
      </c>
      <c r="H1413" s="1186">
        <v>101</v>
      </c>
    </row>
    <row r="1414" spans="1:8" x14ac:dyDescent="0.2">
      <c r="A1414" s="1186" t="s">
        <v>1419</v>
      </c>
      <c r="B1414" s="1186" t="s">
        <v>825</v>
      </c>
      <c r="C1414" s="1186" t="s">
        <v>61</v>
      </c>
      <c r="D1414" s="1186" t="s">
        <v>1419</v>
      </c>
      <c r="E1414" s="1186" t="s">
        <v>1434</v>
      </c>
      <c r="F1414" s="1186" t="s">
        <v>1985</v>
      </c>
      <c r="G1414" s="1186" t="s">
        <v>1986</v>
      </c>
      <c r="H1414" s="1186">
        <v>92</v>
      </c>
    </row>
    <row r="1415" spans="1:8" x14ac:dyDescent="0.2">
      <c r="A1415" s="1186" t="s">
        <v>1419</v>
      </c>
      <c r="B1415" s="1186" t="s">
        <v>825</v>
      </c>
      <c r="C1415" s="1186" t="s">
        <v>61</v>
      </c>
      <c r="D1415" s="1186" t="s">
        <v>1419</v>
      </c>
      <c r="E1415" s="1186" t="s">
        <v>1435</v>
      </c>
      <c r="F1415" s="1186" t="s">
        <v>1987</v>
      </c>
      <c r="G1415" s="1186" t="s">
        <v>1986</v>
      </c>
      <c r="H1415" s="1186">
        <v>105</v>
      </c>
    </row>
    <row r="1416" spans="1:8" x14ac:dyDescent="0.2">
      <c r="A1416" s="1186" t="s">
        <v>1419</v>
      </c>
      <c r="B1416" s="1186" t="s">
        <v>825</v>
      </c>
      <c r="C1416" s="1186" t="s">
        <v>61</v>
      </c>
      <c r="D1416" s="1186" t="s">
        <v>1419</v>
      </c>
      <c r="E1416" s="1186" t="s">
        <v>1436</v>
      </c>
      <c r="F1416" s="1186" t="s">
        <v>1987</v>
      </c>
      <c r="G1416" s="1186" t="s">
        <v>1988</v>
      </c>
      <c r="H1416" s="1186">
        <v>93</v>
      </c>
    </row>
    <row r="1417" spans="1:8" x14ac:dyDescent="0.2">
      <c r="A1417" s="1186" t="s">
        <v>1419</v>
      </c>
      <c r="B1417" s="1186" t="s">
        <v>825</v>
      </c>
      <c r="C1417" s="1186" t="s">
        <v>61</v>
      </c>
      <c r="D1417" s="1186" t="s">
        <v>1419</v>
      </c>
      <c r="E1417" s="1186" t="s">
        <v>1437</v>
      </c>
      <c r="F1417" s="1186" t="s">
        <v>1987</v>
      </c>
      <c r="G1417" s="1186" t="s">
        <v>1988</v>
      </c>
      <c r="H1417" s="1186">
        <v>95</v>
      </c>
    </row>
    <row r="1418" spans="1:8" x14ac:dyDescent="0.2">
      <c r="A1418" s="1186" t="s">
        <v>1419</v>
      </c>
      <c r="B1418" s="1186" t="s">
        <v>825</v>
      </c>
      <c r="C1418" s="1186" t="s">
        <v>61</v>
      </c>
      <c r="D1418" s="1186" t="s">
        <v>1419</v>
      </c>
      <c r="E1418" s="1186" t="s">
        <v>1438</v>
      </c>
      <c r="F1418" s="1186" t="s">
        <v>1981</v>
      </c>
      <c r="G1418" s="1186" t="s">
        <v>1988</v>
      </c>
      <c r="H1418" s="1186">
        <v>106</v>
      </c>
    </row>
    <row r="1419" spans="1:8" x14ac:dyDescent="0.2">
      <c r="A1419" s="1186" t="s">
        <v>1419</v>
      </c>
      <c r="B1419" s="1186" t="s">
        <v>825</v>
      </c>
      <c r="C1419" s="1186" t="s">
        <v>116</v>
      </c>
      <c r="D1419" s="1186" t="s">
        <v>1419</v>
      </c>
      <c r="E1419" s="1186" t="s">
        <v>1427</v>
      </c>
      <c r="F1419" s="1186" t="s">
        <v>1981</v>
      </c>
      <c r="G1419" s="1186" t="s">
        <v>1982</v>
      </c>
      <c r="H1419" s="1186">
        <v>77</v>
      </c>
    </row>
    <row r="1420" spans="1:8" x14ac:dyDescent="0.2">
      <c r="A1420" s="1186" t="s">
        <v>1419</v>
      </c>
      <c r="B1420" s="1186" t="s">
        <v>825</v>
      </c>
      <c r="C1420" s="1186" t="s">
        <v>116</v>
      </c>
      <c r="D1420" s="1186" t="s">
        <v>1419</v>
      </c>
      <c r="E1420" s="1186" t="s">
        <v>1428</v>
      </c>
      <c r="F1420" s="1186" t="s">
        <v>1981</v>
      </c>
      <c r="G1420" s="1186" t="s">
        <v>1982</v>
      </c>
      <c r="H1420" s="1186">
        <v>75</v>
      </c>
    </row>
    <row r="1421" spans="1:8" x14ac:dyDescent="0.2">
      <c r="A1421" s="1186" t="s">
        <v>1419</v>
      </c>
      <c r="B1421" s="1186" t="s">
        <v>825</v>
      </c>
      <c r="C1421" s="1186" t="s">
        <v>116</v>
      </c>
      <c r="D1421" s="1186" t="s">
        <v>1419</v>
      </c>
      <c r="E1421" s="1186" t="s">
        <v>1429</v>
      </c>
      <c r="F1421" s="1186" t="s">
        <v>1983</v>
      </c>
      <c r="G1421" s="1186" t="s">
        <v>1982</v>
      </c>
      <c r="H1421" s="1186">
        <v>86</v>
      </c>
    </row>
    <row r="1422" spans="1:8" x14ac:dyDescent="0.2">
      <c r="A1422" s="1186" t="s">
        <v>1419</v>
      </c>
      <c r="B1422" s="1186" t="s">
        <v>825</v>
      </c>
      <c r="C1422" s="1186" t="s">
        <v>116</v>
      </c>
      <c r="D1422" s="1186" t="s">
        <v>1419</v>
      </c>
      <c r="E1422" s="1186" t="s">
        <v>1430</v>
      </c>
      <c r="F1422" s="1186" t="s">
        <v>1983</v>
      </c>
      <c r="G1422" s="1186" t="s">
        <v>1984</v>
      </c>
      <c r="H1422" s="1186">
        <v>59</v>
      </c>
    </row>
    <row r="1423" spans="1:8" x14ac:dyDescent="0.2">
      <c r="A1423" s="1186" t="s">
        <v>1419</v>
      </c>
      <c r="B1423" s="1186" t="s">
        <v>825</v>
      </c>
      <c r="C1423" s="1186" t="s">
        <v>116</v>
      </c>
      <c r="D1423" s="1186" t="s">
        <v>1419</v>
      </c>
      <c r="E1423" s="1186" t="s">
        <v>1431</v>
      </c>
      <c r="F1423" s="1186" t="s">
        <v>1983</v>
      </c>
      <c r="G1423" s="1186" t="s">
        <v>1984</v>
      </c>
      <c r="H1423" s="1186">
        <v>59</v>
      </c>
    </row>
    <row r="1424" spans="1:8" x14ac:dyDescent="0.2">
      <c r="A1424" s="1186" t="s">
        <v>1419</v>
      </c>
      <c r="B1424" s="1186" t="s">
        <v>825</v>
      </c>
      <c r="C1424" s="1186" t="s">
        <v>116</v>
      </c>
      <c r="D1424" s="1186" t="s">
        <v>1419</v>
      </c>
      <c r="E1424" s="1186" t="s">
        <v>1432</v>
      </c>
      <c r="F1424" s="1186" t="s">
        <v>1985</v>
      </c>
      <c r="G1424" s="1186" t="s">
        <v>1984</v>
      </c>
      <c r="H1424" s="1186">
        <v>66</v>
      </c>
    </row>
    <row r="1425" spans="1:8" x14ac:dyDescent="0.2">
      <c r="A1425" s="1186" t="s">
        <v>1419</v>
      </c>
      <c r="B1425" s="1186" t="s">
        <v>825</v>
      </c>
      <c r="C1425" s="1186" t="s">
        <v>116</v>
      </c>
      <c r="D1425" s="1186" t="s">
        <v>1419</v>
      </c>
      <c r="E1425" s="1186" t="s">
        <v>1433</v>
      </c>
      <c r="F1425" s="1186" t="s">
        <v>1985</v>
      </c>
      <c r="G1425" s="1186" t="s">
        <v>1986</v>
      </c>
      <c r="H1425" s="1186">
        <v>93</v>
      </c>
    </row>
    <row r="1426" spans="1:8" x14ac:dyDescent="0.2">
      <c r="A1426" s="1186" t="s">
        <v>1419</v>
      </c>
      <c r="B1426" s="1186" t="s">
        <v>825</v>
      </c>
      <c r="C1426" s="1186" t="s">
        <v>116</v>
      </c>
      <c r="D1426" s="1186" t="s">
        <v>1419</v>
      </c>
      <c r="E1426" s="1186" t="s">
        <v>1434</v>
      </c>
      <c r="F1426" s="1186" t="s">
        <v>1985</v>
      </c>
      <c r="G1426" s="1186" t="s">
        <v>1986</v>
      </c>
      <c r="H1426" s="1186">
        <v>82</v>
      </c>
    </row>
    <row r="1427" spans="1:8" x14ac:dyDescent="0.2">
      <c r="A1427" s="1186" t="s">
        <v>1419</v>
      </c>
      <c r="B1427" s="1186" t="s">
        <v>825</v>
      </c>
      <c r="C1427" s="1186" t="s">
        <v>116</v>
      </c>
      <c r="D1427" s="1186" t="s">
        <v>1419</v>
      </c>
      <c r="E1427" s="1186" t="s">
        <v>1435</v>
      </c>
      <c r="F1427" s="1186" t="s">
        <v>1987</v>
      </c>
      <c r="G1427" s="1186" t="s">
        <v>1986</v>
      </c>
      <c r="H1427" s="1186">
        <v>79</v>
      </c>
    </row>
    <row r="1428" spans="1:8" x14ac:dyDescent="0.2">
      <c r="A1428" s="1186" t="s">
        <v>1419</v>
      </c>
      <c r="B1428" s="1186" t="s">
        <v>825</v>
      </c>
      <c r="C1428" s="1186" t="s">
        <v>116</v>
      </c>
      <c r="D1428" s="1186" t="s">
        <v>1419</v>
      </c>
      <c r="E1428" s="1186" t="s">
        <v>1436</v>
      </c>
      <c r="F1428" s="1186" t="s">
        <v>1987</v>
      </c>
      <c r="G1428" s="1186" t="s">
        <v>1988</v>
      </c>
      <c r="H1428" s="1186">
        <v>58</v>
      </c>
    </row>
    <row r="1429" spans="1:8" x14ac:dyDescent="0.2">
      <c r="A1429" s="1186" t="s">
        <v>1419</v>
      </c>
      <c r="B1429" s="1186" t="s">
        <v>825</v>
      </c>
      <c r="C1429" s="1186" t="s">
        <v>116</v>
      </c>
      <c r="D1429" s="1186" t="s">
        <v>1419</v>
      </c>
      <c r="E1429" s="1186" t="s">
        <v>1437</v>
      </c>
      <c r="F1429" s="1186" t="s">
        <v>1987</v>
      </c>
      <c r="G1429" s="1186" t="s">
        <v>1988</v>
      </c>
      <c r="H1429" s="1186">
        <v>80</v>
      </c>
    </row>
    <row r="1430" spans="1:8" x14ac:dyDescent="0.2">
      <c r="A1430" s="1186" t="s">
        <v>1419</v>
      </c>
      <c r="B1430" s="1186" t="s">
        <v>825</v>
      </c>
      <c r="C1430" s="1186" t="s">
        <v>116</v>
      </c>
      <c r="D1430" s="1186" t="s">
        <v>1419</v>
      </c>
      <c r="E1430" s="1186" t="s">
        <v>1438</v>
      </c>
      <c r="F1430" s="1186" t="s">
        <v>1981</v>
      </c>
      <c r="G1430" s="1186" t="s">
        <v>1988</v>
      </c>
      <c r="H1430" s="1186">
        <v>78</v>
      </c>
    </row>
    <row r="1431" spans="1:8" x14ac:dyDescent="0.2">
      <c r="A1431" s="1186" t="s">
        <v>1419</v>
      </c>
      <c r="B1431" s="1186" t="s">
        <v>826</v>
      </c>
      <c r="C1431" s="1186" t="s">
        <v>61</v>
      </c>
      <c r="D1431" s="1186" t="s">
        <v>1419</v>
      </c>
      <c r="E1431" s="1186" t="s">
        <v>1427</v>
      </c>
      <c r="F1431" s="1186" t="s">
        <v>1981</v>
      </c>
      <c r="G1431" s="1186" t="s">
        <v>1982</v>
      </c>
      <c r="H1431" s="1186">
        <v>74</v>
      </c>
    </row>
    <row r="1432" spans="1:8" x14ac:dyDescent="0.2">
      <c r="A1432" s="1186" t="s">
        <v>1419</v>
      </c>
      <c r="B1432" s="1186" t="s">
        <v>826</v>
      </c>
      <c r="C1432" s="1186" t="s">
        <v>61</v>
      </c>
      <c r="D1432" s="1186" t="s">
        <v>1419</v>
      </c>
      <c r="E1432" s="1186" t="s">
        <v>1428</v>
      </c>
      <c r="F1432" s="1186" t="s">
        <v>1981</v>
      </c>
      <c r="G1432" s="1186" t="s">
        <v>1982</v>
      </c>
      <c r="H1432" s="1186">
        <v>65</v>
      </c>
    </row>
    <row r="1433" spans="1:8" x14ac:dyDescent="0.2">
      <c r="A1433" s="1186" t="s">
        <v>1419</v>
      </c>
      <c r="B1433" s="1186" t="s">
        <v>826</v>
      </c>
      <c r="C1433" s="1186" t="s">
        <v>61</v>
      </c>
      <c r="D1433" s="1186" t="s">
        <v>1419</v>
      </c>
      <c r="E1433" s="1186" t="s">
        <v>1429</v>
      </c>
      <c r="F1433" s="1186" t="s">
        <v>1983</v>
      </c>
      <c r="G1433" s="1186" t="s">
        <v>1982</v>
      </c>
      <c r="H1433" s="1186">
        <v>22</v>
      </c>
    </row>
    <row r="1434" spans="1:8" x14ac:dyDescent="0.2">
      <c r="A1434" s="1186" t="s">
        <v>1419</v>
      </c>
      <c r="B1434" s="1186" t="s">
        <v>826</v>
      </c>
      <c r="C1434" s="1186" t="s">
        <v>61</v>
      </c>
      <c r="D1434" s="1186" t="s">
        <v>1419</v>
      </c>
      <c r="E1434" s="1186" t="s">
        <v>1430</v>
      </c>
      <c r="F1434" s="1186" t="s">
        <v>1983</v>
      </c>
      <c r="G1434" s="1186" t="s">
        <v>1984</v>
      </c>
      <c r="H1434" s="1186">
        <v>26</v>
      </c>
    </row>
    <row r="1435" spans="1:8" x14ac:dyDescent="0.2">
      <c r="A1435" s="1186" t="s">
        <v>1419</v>
      </c>
      <c r="B1435" s="1186" t="s">
        <v>826</v>
      </c>
      <c r="C1435" s="1186" t="s">
        <v>61</v>
      </c>
      <c r="D1435" s="1186" t="s">
        <v>1419</v>
      </c>
      <c r="E1435" s="1186" t="s">
        <v>1431</v>
      </c>
      <c r="F1435" s="1186" t="s">
        <v>1983</v>
      </c>
      <c r="G1435" s="1186" t="s">
        <v>1984</v>
      </c>
      <c r="H1435" s="1186">
        <v>28</v>
      </c>
    </row>
    <row r="1436" spans="1:8" x14ac:dyDescent="0.2">
      <c r="A1436" s="1186" t="s">
        <v>1419</v>
      </c>
      <c r="B1436" s="1186" t="s">
        <v>826</v>
      </c>
      <c r="C1436" s="1186" t="s">
        <v>61</v>
      </c>
      <c r="D1436" s="1186" t="s">
        <v>1419</v>
      </c>
      <c r="E1436" s="1186" t="s">
        <v>1432</v>
      </c>
      <c r="F1436" s="1186" t="s">
        <v>1985</v>
      </c>
      <c r="G1436" s="1186" t="s">
        <v>1984</v>
      </c>
      <c r="H1436" s="1186">
        <v>30</v>
      </c>
    </row>
    <row r="1437" spans="1:8" x14ac:dyDescent="0.2">
      <c r="A1437" s="1186" t="s">
        <v>1419</v>
      </c>
      <c r="B1437" s="1186" t="s">
        <v>826</v>
      </c>
      <c r="C1437" s="1186" t="s">
        <v>61</v>
      </c>
      <c r="D1437" s="1186" t="s">
        <v>1419</v>
      </c>
      <c r="E1437" s="1186" t="s">
        <v>1433</v>
      </c>
      <c r="F1437" s="1186" t="s">
        <v>1985</v>
      </c>
      <c r="G1437" s="1186" t="s">
        <v>1986</v>
      </c>
      <c r="H1437" s="1186">
        <v>17</v>
      </c>
    </row>
    <row r="1438" spans="1:8" x14ac:dyDescent="0.2">
      <c r="A1438" s="1186" t="s">
        <v>1419</v>
      </c>
      <c r="B1438" s="1186" t="s">
        <v>826</v>
      </c>
      <c r="C1438" s="1186" t="s">
        <v>61</v>
      </c>
      <c r="D1438" s="1186" t="s">
        <v>1419</v>
      </c>
      <c r="E1438" s="1186" t="s">
        <v>1434</v>
      </c>
      <c r="F1438" s="1186" t="s">
        <v>1985</v>
      </c>
      <c r="G1438" s="1186" t="s">
        <v>1986</v>
      </c>
      <c r="H1438" s="1186">
        <v>15</v>
      </c>
    </row>
    <row r="1439" spans="1:8" x14ac:dyDescent="0.2">
      <c r="A1439" s="1186" t="s">
        <v>1419</v>
      </c>
      <c r="B1439" s="1186" t="s">
        <v>826</v>
      </c>
      <c r="C1439" s="1186" t="s">
        <v>61</v>
      </c>
      <c r="D1439" s="1186" t="s">
        <v>1419</v>
      </c>
      <c r="E1439" s="1186" t="s">
        <v>1435</v>
      </c>
      <c r="F1439" s="1186" t="s">
        <v>1987</v>
      </c>
      <c r="G1439" s="1186" t="s">
        <v>1986</v>
      </c>
      <c r="H1439" s="1186">
        <v>11</v>
      </c>
    </row>
    <row r="1440" spans="1:8" x14ac:dyDescent="0.2">
      <c r="A1440" s="1186" t="s">
        <v>1419</v>
      </c>
      <c r="B1440" s="1186" t="s">
        <v>826</v>
      </c>
      <c r="C1440" s="1186" t="s">
        <v>61</v>
      </c>
      <c r="D1440" s="1186" t="s">
        <v>1419</v>
      </c>
      <c r="E1440" s="1186" t="s">
        <v>1436</v>
      </c>
      <c r="F1440" s="1186" t="s">
        <v>1987</v>
      </c>
      <c r="G1440" s="1186" t="s">
        <v>1988</v>
      </c>
      <c r="H1440" s="1186">
        <v>15</v>
      </c>
    </row>
    <row r="1441" spans="1:8" x14ac:dyDescent="0.2">
      <c r="A1441" s="1186" t="s">
        <v>1419</v>
      </c>
      <c r="B1441" s="1186" t="s">
        <v>826</v>
      </c>
      <c r="C1441" s="1186" t="s">
        <v>61</v>
      </c>
      <c r="D1441" s="1186" t="s">
        <v>1419</v>
      </c>
      <c r="E1441" s="1186" t="s">
        <v>1437</v>
      </c>
      <c r="F1441" s="1186" t="s">
        <v>1987</v>
      </c>
      <c r="G1441" s="1186" t="s">
        <v>1988</v>
      </c>
      <c r="H1441" s="1186">
        <v>5</v>
      </c>
    </row>
    <row r="1442" spans="1:8" x14ac:dyDescent="0.2">
      <c r="A1442" s="1186" t="s">
        <v>1419</v>
      </c>
      <c r="B1442" s="1186" t="s">
        <v>826</v>
      </c>
      <c r="C1442" s="1186" t="s">
        <v>61</v>
      </c>
      <c r="D1442" s="1186" t="s">
        <v>1419</v>
      </c>
      <c r="E1442" s="1186" t="s">
        <v>1438</v>
      </c>
      <c r="F1442" s="1186" t="s">
        <v>1981</v>
      </c>
      <c r="G1442" s="1186" t="s">
        <v>1988</v>
      </c>
      <c r="H1442" s="1186">
        <v>23</v>
      </c>
    </row>
    <row r="1443" spans="1:8" x14ac:dyDescent="0.2">
      <c r="A1443" s="1186" t="s">
        <v>1419</v>
      </c>
      <c r="B1443" s="1186" t="s">
        <v>826</v>
      </c>
      <c r="C1443" s="1186" t="s">
        <v>116</v>
      </c>
      <c r="D1443" s="1186" t="s">
        <v>1419</v>
      </c>
      <c r="E1443" s="1186" t="s">
        <v>1427</v>
      </c>
      <c r="F1443" s="1186" t="s">
        <v>1981</v>
      </c>
      <c r="G1443" s="1186" t="s">
        <v>1982</v>
      </c>
      <c r="H1443" s="1186">
        <v>96</v>
      </c>
    </row>
    <row r="1444" spans="1:8" x14ac:dyDescent="0.2">
      <c r="A1444" s="1186" t="s">
        <v>1419</v>
      </c>
      <c r="B1444" s="1186" t="s">
        <v>826</v>
      </c>
      <c r="C1444" s="1186" t="s">
        <v>116</v>
      </c>
      <c r="D1444" s="1186" t="s">
        <v>1419</v>
      </c>
      <c r="E1444" s="1186" t="s">
        <v>1428</v>
      </c>
      <c r="F1444" s="1186" t="s">
        <v>1981</v>
      </c>
      <c r="G1444" s="1186" t="s">
        <v>1982</v>
      </c>
      <c r="H1444" s="1186">
        <v>94</v>
      </c>
    </row>
    <row r="1445" spans="1:8" x14ac:dyDescent="0.2">
      <c r="A1445" s="1186" t="s">
        <v>1419</v>
      </c>
      <c r="B1445" s="1186" t="s">
        <v>826</v>
      </c>
      <c r="C1445" s="1186" t="s">
        <v>116</v>
      </c>
      <c r="D1445" s="1186" t="s">
        <v>1419</v>
      </c>
      <c r="E1445" s="1186" t="s">
        <v>1429</v>
      </c>
      <c r="F1445" s="1186" t="s">
        <v>1983</v>
      </c>
      <c r="G1445" s="1186" t="s">
        <v>1982</v>
      </c>
      <c r="H1445" s="1186">
        <v>41</v>
      </c>
    </row>
    <row r="1446" spans="1:8" x14ac:dyDescent="0.2">
      <c r="A1446" s="1186" t="s">
        <v>1419</v>
      </c>
      <c r="B1446" s="1186" t="s">
        <v>826</v>
      </c>
      <c r="C1446" s="1186" t="s">
        <v>116</v>
      </c>
      <c r="D1446" s="1186" t="s">
        <v>1419</v>
      </c>
      <c r="E1446" s="1186" t="s">
        <v>1430</v>
      </c>
      <c r="F1446" s="1186" t="s">
        <v>1983</v>
      </c>
      <c r="G1446" s="1186" t="s">
        <v>1984</v>
      </c>
      <c r="H1446" s="1186">
        <v>50</v>
      </c>
    </row>
    <row r="1447" spans="1:8" x14ac:dyDescent="0.2">
      <c r="A1447" s="1186" t="s">
        <v>1419</v>
      </c>
      <c r="B1447" s="1186" t="s">
        <v>826</v>
      </c>
      <c r="C1447" s="1186" t="s">
        <v>116</v>
      </c>
      <c r="D1447" s="1186" t="s">
        <v>1419</v>
      </c>
      <c r="E1447" s="1186" t="s">
        <v>1431</v>
      </c>
      <c r="F1447" s="1186" t="s">
        <v>1983</v>
      </c>
      <c r="G1447" s="1186" t="s">
        <v>1984</v>
      </c>
      <c r="H1447" s="1186">
        <v>41</v>
      </c>
    </row>
    <row r="1448" spans="1:8" x14ac:dyDescent="0.2">
      <c r="A1448" s="1186" t="s">
        <v>1419</v>
      </c>
      <c r="B1448" s="1186" t="s">
        <v>826</v>
      </c>
      <c r="C1448" s="1186" t="s">
        <v>116</v>
      </c>
      <c r="D1448" s="1186" t="s">
        <v>1419</v>
      </c>
      <c r="E1448" s="1186" t="s">
        <v>1432</v>
      </c>
      <c r="F1448" s="1186" t="s">
        <v>1985</v>
      </c>
      <c r="G1448" s="1186" t="s">
        <v>1984</v>
      </c>
      <c r="H1448" s="1186">
        <v>52</v>
      </c>
    </row>
    <row r="1449" spans="1:8" x14ac:dyDescent="0.2">
      <c r="A1449" s="1186" t="s">
        <v>1419</v>
      </c>
      <c r="B1449" s="1186" t="s">
        <v>826</v>
      </c>
      <c r="C1449" s="1186" t="s">
        <v>116</v>
      </c>
      <c r="D1449" s="1186" t="s">
        <v>1419</v>
      </c>
      <c r="E1449" s="1186" t="s">
        <v>1433</v>
      </c>
      <c r="F1449" s="1186" t="s">
        <v>1985</v>
      </c>
      <c r="G1449" s="1186" t="s">
        <v>1986</v>
      </c>
      <c r="H1449" s="1186">
        <v>42</v>
      </c>
    </row>
    <row r="1450" spans="1:8" x14ac:dyDescent="0.2">
      <c r="A1450" s="1186" t="s">
        <v>1419</v>
      </c>
      <c r="B1450" s="1186" t="s">
        <v>826</v>
      </c>
      <c r="C1450" s="1186" t="s">
        <v>116</v>
      </c>
      <c r="D1450" s="1186" t="s">
        <v>1419</v>
      </c>
      <c r="E1450" s="1186" t="s">
        <v>1434</v>
      </c>
      <c r="F1450" s="1186" t="s">
        <v>1985</v>
      </c>
      <c r="G1450" s="1186" t="s">
        <v>1986</v>
      </c>
      <c r="H1450" s="1186">
        <v>35</v>
      </c>
    </row>
    <row r="1451" spans="1:8" x14ac:dyDescent="0.2">
      <c r="A1451" s="1186" t="s">
        <v>1419</v>
      </c>
      <c r="B1451" s="1186" t="s">
        <v>826</v>
      </c>
      <c r="C1451" s="1186" t="s">
        <v>116</v>
      </c>
      <c r="D1451" s="1186" t="s">
        <v>1419</v>
      </c>
      <c r="E1451" s="1186" t="s">
        <v>1435</v>
      </c>
      <c r="F1451" s="1186" t="s">
        <v>1987</v>
      </c>
      <c r="G1451" s="1186" t="s">
        <v>1986</v>
      </c>
      <c r="H1451" s="1186">
        <v>20</v>
      </c>
    </row>
    <row r="1452" spans="1:8" x14ac:dyDescent="0.2">
      <c r="A1452" s="1186" t="s">
        <v>1419</v>
      </c>
      <c r="B1452" s="1186" t="s">
        <v>826</v>
      </c>
      <c r="C1452" s="1186" t="s">
        <v>116</v>
      </c>
      <c r="D1452" s="1186" t="s">
        <v>1419</v>
      </c>
      <c r="E1452" s="1186" t="s">
        <v>1436</v>
      </c>
      <c r="F1452" s="1186" t="s">
        <v>1987</v>
      </c>
      <c r="G1452" s="1186" t="s">
        <v>1988</v>
      </c>
      <c r="H1452" s="1186">
        <v>20</v>
      </c>
    </row>
    <row r="1453" spans="1:8" x14ac:dyDescent="0.2">
      <c r="A1453" s="1186" t="s">
        <v>1419</v>
      </c>
      <c r="B1453" s="1186" t="s">
        <v>826</v>
      </c>
      <c r="C1453" s="1186" t="s">
        <v>116</v>
      </c>
      <c r="D1453" s="1186" t="s">
        <v>1419</v>
      </c>
      <c r="E1453" s="1186" t="s">
        <v>1437</v>
      </c>
      <c r="F1453" s="1186" t="s">
        <v>1987</v>
      </c>
      <c r="G1453" s="1186" t="s">
        <v>1988</v>
      </c>
      <c r="H1453" s="1186">
        <v>16</v>
      </c>
    </row>
    <row r="1454" spans="1:8" x14ac:dyDescent="0.2">
      <c r="A1454" s="1186" t="s">
        <v>1419</v>
      </c>
      <c r="B1454" s="1186" t="s">
        <v>826</v>
      </c>
      <c r="C1454" s="1186" t="s">
        <v>116</v>
      </c>
      <c r="D1454" s="1186" t="s">
        <v>1419</v>
      </c>
      <c r="E1454" s="1186" t="s">
        <v>1438</v>
      </c>
      <c r="F1454" s="1186" t="s">
        <v>1981</v>
      </c>
      <c r="G1454" s="1186" t="s">
        <v>1988</v>
      </c>
      <c r="H1454" s="1186">
        <v>45</v>
      </c>
    </row>
    <row r="1455" spans="1:8" x14ac:dyDescent="0.2">
      <c r="A1455" s="1186" t="s">
        <v>1419</v>
      </c>
      <c r="B1455" s="1186" t="s">
        <v>308</v>
      </c>
      <c r="C1455" s="1186" t="s">
        <v>61</v>
      </c>
      <c r="D1455" s="1186" t="s">
        <v>1419</v>
      </c>
      <c r="E1455" s="1186" t="s">
        <v>1427</v>
      </c>
      <c r="F1455" s="1186" t="s">
        <v>1981</v>
      </c>
      <c r="G1455" s="1186" t="s">
        <v>1982</v>
      </c>
      <c r="H1455" s="1186">
        <v>537</v>
      </c>
    </row>
    <row r="1456" spans="1:8" x14ac:dyDescent="0.2">
      <c r="A1456" s="1186" t="s">
        <v>1419</v>
      </c>
      <c r="B1456" s="1186" t="s">
        <v>308</v>
      </c>
      <c r="C1456" s="1186" t="s">
        <v>61</v>
      </c>
      <c r="D1456" s="1186" t="s">
        <v>1419</v>
      </c>
      <c r="E1456" s="1186" t="s">
        <v>1428</v>
      </c>
      <c r="F1456" s="1186" t="s">
        <v>1981</v>
      </c>
      <c r="G1456" s="1186" t="s">
        <v>1982</v>
      </c>
      <c r="H1456" s="1186">
        <v>333</v>
      </c>
    </row>
    <row r="1457" spans="1:8" x14ac:dyDescent="0.2">
      <c r="A1457" s="1186" t="s">
        <v>1419</v>
      </c>
      <c r="B1457" s="1186" t="s">
        <v>308</v>
      </c>
      <c r="C1457" s="1186" t="s">
        <v>61</v>
      </c>
      <c r="D1457" s="1186" t="s">
        <v>1419</v>
      </c>
      <c r="E1457" s="1186" t="s">
        <v>1429</v>
      </c>
      <c r="F1457" s="1186" t="s">
        <v>1983</v>
      </c>
      <c r="G1457" s="1186" t="s">
        <v>1982</v>
      </c>
      <c r="H1457" s="1186">
        <v>179</v>
      </c>
    </row>
    <row r="1458" spans="1:8" x14ac:dyDescent="0.2">
      <c r="A1458" s="1186" t="s">
        <v>1419</v>
      </c>
      <c r="B1458" s="1186" t="s">
        <v>308</v>
      </c>
      <c r="C1458" s="1186" t="s">
        <v>61</v>
      </c>
      <c r="D1458" s="1186" t="s">
        <v>1419</v>
      </c>
      <c r="E1458" s="1186" t="s">
        <v>1430</v>
      </c>
      <c r="F1458" s="1186" t="s">
        <v>1983</v>
      </c>
      <c r="G1458" s="1186" t="s">
        <v>1984</v>
      </c>
      <c r="H1458" s="1186">
        <v>253</v>
      </c>
    </row>
    <row r="1459" spans="1:8" x14ac:dyDescent="0.2">
      <c r="A1459" s="1186" t="s">
        <v>1419</v>
      </c>
      <c r="B1459" s="1186" t="s">
        <v>308</v>
      </c>
      <c r="C1459" s="1186" t="s">
        <v>61</v>
      </c>
      <c r="D1459" s="1186" t="s">
        <v>1419</v>
      </c>
      <c r="E1459" s="1186" t="s">
        <v>1431</v>
      </c>
      <c r="F1459" s="1186" t="s">
        <v>1983</v>
      </c>
      <c r="G1459" s="1186" t="s">
        <v>1984</v>
      </c>
      <c r="H1459" s="1186">
        <v>185</v>
      </c>
    </row>
    <row r="1460" spans="1:8" x14ac:dyDescent="0.2">
      <c r="A1460" s="1186" t="s">
        <v>1419</v>
      </c>
      <c r="B1460" s="1186" t="s">
        <v>308</v>
      </c>
      <c r="C1460" s="1186" t="s">
        <v>61</v>
      </c>
      <c r="D1460" s="1186" t="s">
        <v>1419</v>
      </c>
      <c r="E1460" s="1186" t="s">
        <v>1432</v>
      </c>
      <c r="F1460" s="1186" t="s">
        <v>1985</v>
      </c>
      <c r="G1460" s="1186" t="s">
        <v>1984</v>
      </c>
      <c r="H1460" s="1186">
        <v>200</v>
      </c>
    </row>
    <row r="1461" spans="1:8" x14ac:dyDescent="0.2">
      <c r="A1461" s="1186" t="s">
        <v>1419</v>
      </c>
      <c r="B1461" s="1186" t="s">
        <v>308</v>
      </c>
      <c r="C1461" s="1186" t="s">
        <v>61</v>
      </c>
      <c r="D1461" s="1186" t="s">
        <v>1419</v>
      </c>
      <c r="E1461" s="1186" t="s">
        <v>1433</v>
      </c>
      <c r="F1461" s="1186" t="s">
        <v>1985</v>
      </c>
      <c r="G1461" s="1186" t="s">
        <v>1986</v>
      </c>
      <c r="H1461" s="1186">
        <v>133</v>
      </c>
    </row>
    <row r="1462" spans="1:8" x14ac:dyDescent="0.2">
      <c r="A1462" s="1186" t="s">
        <v>1419</v>
      </c>
      <c r="B1462" s="1186" t="s">
        <v>308</v>
      </c>
      <c r="C1462" s="1186" t="s">
        <v>61</v>
      </c>
      <c r="D1462" s="1186" t="s">
        <v>1419</v>
      </c>
      <c r="E1462" s="1186" t="s">
        <v>1434</v>
      </c>
      <c r="F1462" s="1186" t="s">
        <v>1985</v>
      </c>
      <c r="G1462" s="1186" t="s">
        <v>1986</v>
      </c>
      <c r="H1462" s="1186">
        <v>117</v>
      </c>
    </row>
    <row r="1463" spans="1:8" x14ac:dyDescent="0.2">
      <c r="A1463" s="1186" t="s">
        <v>1419</v>
      </c>
      <c r="B1463" s="1186" t="s">
        <v>308</v>
      </c>
      <c r="C1463" s="1186" t="s">
        <v>61</v>
      </c>
      <c r="D1463" s="1186" t="s">
        <v>1419</v>
      </c>
      <c r="E1463" s="1186" t="s">
        <v>1435</v>
      </c>
      <c r="F1463" s="1186" t="s">
        <v>1987</v>
      </c>
      <c r="G1463" s="1186" t="s">
        <v>1986</v>
      </c>
      <c r="H1463" s="1186">
        <v>98</v>
      </c>
    </row>
    <row r="1464" spans="1:8" x14ac:dyDescent="0.2">
      <c r="A1464" s="1186" t="s">
        <v>1419</v>
      </c>
      <c r="B1464" s="1186" t="s">
        <v>308</v>
      </c>
      <c r="C1464" s="1186" t="s">
        <v>61</v>
      </c>
      <c r="D1464" s="1186" t="s">
        <v>1419</v>
      </c>
      <c r="E1464" s="1186" t="s">
        <v>1436</v>
      </c>
      <c r="F1464" s="1186" t="s">
        <v>1987</v>
      </c>
      <c r="G1464" s="1186" t="s">
        <v>1988</v>
      </c>
      <c r="H1464" s="1186">
        <v>112</v>
      </c>
    </row>
    <row r="1465" spans="1:8" x14ac:dyDescent="0.2">
      <c r="A1465" s="1186" t="s">
        <v>1419</v>
      </c>
      <c r="B1465" s="1186" t="s">
        <v>308</v>
      </c>
      <c r="C1465" s="1186" t="s">
        <v>61</v>
      </c>
      <c r="D1465" s="1186" t="s">
        <v>1419</v>
      </c>
      <c r="E1465" s="1186" t="s">
        <v>1437</v>
      </c>
      <c r="F1465" s="1186" t="s">
        <v>1987</v>
      </c>
      <c r="G1465" s="1186" t="s">
        <v>1988</v>
      </c>
      <c r="H1465" s="1186">
        <v>85</v>
      </c>
    </row>
    <row r="1466" spans="1:8" x14ac:dyDescent="0.2">
      <c r="A1466" s="1186" t="s">
        <v>1419</v>
      </c>
      <c r="B1466" s="1186" t="s">
        <v>308</v>
      </c>
      <c r="C1466" s="1186" t="s">
        <v>61</v>
      </c>
      <c r="D1466" s="1186" t="s">
        <v>1419</v>
      </c>
      <c r="E1466" s="1186" t="s">
        <v>1438</v>
      </c>
      <c r="F1466" s="1186" t="s">
        <v>1981</v>
      </c>
      <c r="G1466" s="1186" t="s">
        <v>1988</v>
      </c>
      <c r="H1466" s="1186">
        <v>206</v>
      </c>
    </row>
    <row r="1467" spans="1:8" x14ac:dyDescent="0.2">
      <c r="A1467" s="1186" t="s">
        <v>1419</v>
      </c>
      <c r="B1467" s="1186" t="s">
        <v>308</v>
      </c>
      <c r="C1467" s="1186" t="s">
        <v>116</v>
      </c>
      <c r="D1467" s="1186" t="s">
        <v>1419</v>
      </c>
      <c r="E1467" s="1186" t="s">
        <v>1427</v>
      </c>
      <c r="F1467" s="1186" t="s">
        <v>1981</v>
      </c>
      <c r="G1467" s="1186" t="s">
        <v>1982</v>
      </c>
      <c r="H1467" s="1186">
        <v>2330</v>
      </c>
    </row>
    <row r="1468" spans="1:8" x14ac:dyDescent="0.2">
      <c r="A1468" s="1186" t="s">
        <v>1419</v>
      </c>
      <c r="B1468" s="1186" t="s">
        <v>308</v>
      </c>
      <c r="C1468" s="1186" t="s">
        <v>116</v>
      </c>
      <c r="D1468" s="1186" t="s">
        <v>1419</v>
      </c>
      <c r="E1468" s="1186" t="s">
        <v>1428</v>
      </c>
      <c r="F1468" s="1186" t="s">
        <v>1981</v>
      </c>
      <c r="G1468" s="1186" t="s">
        <v>1982</v>
      </c>
      <c r="H1468" s="1186">
        <v>1634</v>
      </c>
    </row>
    <row r="1469" spans="1:8" x14ac:dyDescent="0.2">
      <c r="A1469" s="1186" t="s">
        <v>1419</v>
      </c>
      <c r="B1469" s="1186" t="s">
        <v>308</v>
      </c>
      <c r="C1469" s="1186" t="s">
        <v>116</v>
      </c>
      <c r="D1469" s="1186" t="s">
        <v>1419</v>
      </c>
      <c r="E1469" s="1186" t="s">
        <v>1429</v>
      </c>
      <c r="F1469" s="1186" t="s">
        <v>1983</v>
      </c>
      <c r="G1469" s="1186" t="s">
        <v>1982</v>
      </c>
      <c r="H1469" s="1186">
        <v>923</v>
      </c>
    </row>
    <row r="1470" spans="1:8" x14ac:dyDescent="0.2">
      <c r="A1470" s="1186" t="s">
        <v>1419</v>
      </c>
      <c r="B1470" s="1186" t="s">
        <v>308</v>
      </c>
      <c r="C1470" s="1186" t="s">
        <v>116</v>
      </c>
      <c r="D1470" s="1186" t="s">
        <v>1419</v>
      </c>
      <c r="E1470" s="1186" t="s">
        <v>1430</v>
      </c>
      <c r="F1470" s="1186" t="s">
        <v>1983</v>
      </c>
      <c r="G1470" s="1186" t="s">
        <v>1984</v>
      </c>
      <c r="H1470" s="1186">
        <v>998</v>
      </c>
    </row>
    <row r="1471" spans="1:8" x14ac:dyDescent="0.2">
      <c r="A1471" s="1186" t="s">
        <v>1419</v>
      </c>
      <c r="B1471" s="1186" t="s">
        <v>308</v>
      </c>
      <c r="C1471" s="1186" t="s">
        <v>116</v>
      </c>
      <c r="D1471" s="1186" t="s">
        <v>1419</v>
      </c>
      <c r="E1471" s="1186" t="s">
        <v>1431</v>
      </c>
      <c r="F1471" s="1186" t="s">
        <v>1983</v>
      </c>
      <c r="G1471" s="1186" t="s">
        <v>1984</v>
      </c>
      <c r="H1471" s="1186">
        <v>649</v>
      </c>
    </row>
    <row r="1472" spans="1:8" x14ac:dyDescent="0.2">
      <c r="A1472" s="1186" t="s">
        <v>1419</v>
      </c>
      <c r="B1472" s="1186" t="s">
        <v>308</v>
      </c>
      <c r="C1472" s="1186" t="s">
        <v>116</v>
      </c>
      <c r="D1472" s="1186" t="s">
        <v>1419</v>
      </c>
      <c r="E1472" s="1186" t="s">
        <v>1432</v>
      </c>
      <c r="F1472" s="1186" t="s">
        <v>1985</v>
      </c>
      <c r="G1472" s="1186" t="s">
        <v>1984</v>
      </c>
      <c r="H1472" s="1186">
        <v>785</v>
      </c>
    </row>
    <row r="1473" spans="1:8" x14ac:dyDescent="0.2">
      <c r="A1473" s="1186" t="s">
        <v>1419</v>
      </c>
      <c r="B1473" s="1186" t="s">
        <v>308</v>
      </c>
      <c r="C1473" s="1186" t="s">
        <v>116</v>
      </c>
      <c r="D1473" s="1186" t="s">
        <v>1419</v>
      </c>
      <c r="E1473" s="1186" t="s">
        <v>1433</v>
      </c>
      <c r="F1473" s="1186" t="s">
        <v>1985</v>
      </c>
      <c r="G1473" s="1186" t="s">
        <v>1986</v>
      </c>
      <c r="H1473" s="1186">
        <v>849</v>
      </c>
    </row>
    <row r="1474" spans="1:8" x14ac:dyDescent="0.2">
      <c r="A1474" s="1186" t="s">
        <v>1419</v>
      </c>
      <c r="B1474" s="1186" t="s">
        <v>308</v>
      </c>
      <c r="C1474" s="1186" t="s">
        <v>116</v>
      </c>
      <c r="D1474" s="1186" t="s">
        <v>1419</v>
      </c>
      <c r="E1474" s="1186" t="s">
        <v>1434</v>
      </c>
      <c r="F1474" s="1186" t="s">
        <v>1985</v>
      </c>
      <c r="G1474" s="1186" t="s">
        <v>1986</v>
      </c>
      <c r="H1474" s="1186">
        <v>1115</v>
      </c>
    </row>
    <row r="1475" spans="1:8" x14ac:dyDescent="0.2">
      <c r="A1475" s="1186" t="s">
        <v>1419</v>
      </c>
      <c r="B1475" s="1186" t="s">
        <v>308</v>
      </c>
      <c r="C1475" s="1186" t="s">
        <v>116</v>
      </c>
      <c r="D1475" s="1186" t="s">
        <v>1419</v>
      </c>
      <c r="E1475" s="1186" t="s">
        <v>1435</v>
      </c>
      <c r="F1475" s="1186" t="s">
        <v>1987</v>
      </c>
      <c r="G1475" s="1186" t="s">
        <v>1986</v>
      </c>
      <c r="H1475" s="1186">
        <v>550</v>
      </c>
    </row>
    <row r="1476" spans="1:8" x14ac:dyDescent="0.2">
      <c r="A1476" s="1186" t="s">
        <v>1419</v>
      </c>
      <c r="B1476" s="1186" t="s">
        <v>308</v>
      </c>
      <c r="C1476" s="1186" t="s">
        <v>116</v>
      </c>
      <c r="D1476" s="1186" t="s">
        <v>1419</v>
      </c>
      <c r="E1476" s="1186" t="s">
        <v>1436</v>
      </c>
      <c r="F1476" s="1186" t="s">
        <v>1987</v>
      </c>
      <c r="G1476" s="1186" t="s">
        <v>1988</v>
      </c>
      <c r="H1476" s="1186">
        <v>560</v>
      </c>
    </row>
    <row r="1477" spans="1:8" x14ac:dyDescent="0.2">
      <c r="A1477" s="1186" t="s">
        <v>1419</v>
      </c>
      <c r="B1477" s="1186" t="s">
        <v>308</v>
      </c>
      <c r="C1477" s="1186" t="s">
        <v>116</v>
      </c>
      <c r="D1477" s="1186" t="s">
        <v>1419</v>
      </c>
      <c r="E1477" s="1186" t="s">
        <v>1437</v>
      </c>
      <c r="F1477" s="1186" t="s">
        <v>1987</v>
      </c>
      <c r="G1477" s="1186" t="s">
        <v>1988</v>
      </c>
      <c r="H1477" s="1186">
        <v>384</v>
      </c>
    </row>
    <row r="1478" spans="1:8" x14ac:dyDescent="0.2">
      <c r="A1478" s="1186" t="s">
        <v>1419</v>
      </c>
      <c r="B1478" s="1186" t="s">
        <v>308</v>
      </c>
      <c r="C1478" s="1186" t="s">
        <v>116</v>
      </c>
      <c r="D1478" s="1186" t="s">
        <v>1419</v>
      </c>
      <c r="E1478" s="1186" t="s">
        <v>1438</v>
      </c>
      <c r="F1478" s="1186" t="s">
        <v>1981</v>
      </c>
      <c r="G1478" s="1186" t="s">
        <v>1988</v>
      </c>
      <c r="H1478" s="1186">
        <v>875</v>
      </c>
    </row>
    <row r="1479" spans="1:8" x14ac:dyDescent="0.2">
      <c r="A1479" s="1186" t="s">
        <v>1572</v>
      </c>
      <c r="B1479" s="1186" t="s">
        <v>309</v>
      </c>
      <c r="C1479" s="1186" t="s">
        <v>61</v>
      </c>
      <c r="D1479" s="1186" t="s">
        <v>1572</v>
      </c>
      <c r="E1479" s="1186" t="s">
        <v>1989</v>
      </c>
      <c r="F1479" s="1186" t="s">
        <v>1981</v>
      </c>
      <c r="G1479" s="1186" t="s">
        <v>1982</v>
      </c>
      <c r="H1479" s="1186">
        <v>47</v>
      </c>
    </row>
    <row r="1480" spans="1:8" x14ac:dyDescent="0.2">
      <c r="A1480" s="1186" t="s">
        <v>1572</v>
      </c>
      <c r="B1480" s="1186" t="s">
        <v>309</v>
      </c>
      <c r="C1480" s="1186" t="s">
        <v>61</v>
      </c>
      <c r="D1480" s="1186" t="s">
        <v>1572</v>
      </c>
      <c r="E1480" s="1186" t="s">
        <v>1990</v>
      </c>
      <c r="F1480" s="1186" t="s">
        <v>1981</v>
      </c>
      <c r="G1480" s="1186" t="s">
        <v>1982</v>
      </c>
      <c r="H1480" s="1186">
        <v>40</v>
      </c>
    </row>
    <row r="1481" spans="1:8" x14ac:dyDescent="0.2">
      <c r="A1481" s="1186" t="s">
        <v>1572</v>
      </c>
      <c r="B1481" s="1186" t="s">
        <v>309</v>
      </c>
      <c r="C1481" s="1186" t="s">
        <v>61</v>
      </c>
      <c r="D1481" s="1186" t="s">
        <v>1572</v>
      </c>
      <c r="E1481" s="1186" t="s">
        <v>1991</v>
      </c>
      <c r="F1481" s="1186" t="s">
        <v>1983</v>
      </c>
      <c r="G1481" s="1186" t="s">
        <v>1982</v>
      </c>
      <c r="H1481" s="1186">
        <v>14</v>
      </c>
    </row>
    <row r="1482" spans="1:8" x14ac:dyDescent="0.2">
      <c r="A1482" s="1186" t="s">
        <v>1572</v>
      </c>
      <c r="B1482" s="1186" t="s">
        <v>309</v>
      </c>
      <c r="C1482" s="1186" t="s">
        <v>61</v>
      </c>
      <c r="D1482" s="1186" t="s">
        <v>1572</v>
      </c>
      <c r="E1482" s="1186" t="s">
        <v>1992</v>
      </c>
      <c r="F1482" s="1186" t="s">
        <v>1983</v>
      </c>
      <c r="G1482" s="1186" t="s">
        <v>1984</v>
      </c>
      <c r="H1482" s="1186">
        <v>11</v>
      </c>
    </row>
    <row r="1483" spans="1:8" x14ac:dyDescent="0.2">
      <c r="A1483" s="1186" t="s">
        <v>1572</v>
      </c>
      <c r="B1483" s="1186" t="s">
        <v>309</v>
      </c>
      <c r="C1483" s="1186" t="s">
        <v>61</v>
      </c>
      <c r="D1483" s="1186" t="s">
        <v>1572</v>
      </c>
      <c r="E1483" s="1186" t="s">
        <v>1993</v>
      </c>
      <c r="F1483" s="1186" t="s">
        <v>1983</v>
      </c>
      <c r="G1483" s="1186" t="s">
        <v>1984</v>
      </c>
      <c r="H1483" s="1186">
        <v>8</v>
      </c>
    </row>
    <row r="1484" spans="1:8" x14ac:dyDescent="0.2">
      <c r="A1484" s="1186" t="s">
        <v>1572</v>
      </c>
      <c r="B1484" s="1186" t="s">
        <v>309</v>
      </c>
      <c r="C1484" s="1186" t="s">
        <v>61</v>
      </c>
      <c r="D1484" s="1186" t="s">
        <v>1572</v>
      </c>
      <c r="E1484" s="1186" t="s">
        <v>1994</v>
      </c>
      <c r="F1484" s="1186" t="s">
        <v>1985</v>
      </c>
      <c r="G1484" s="1186" t="s">
        <v>1984</v>
      </c>
      <c r="H1484" s="1186">
        <v>26</v>
      </c>
    </row>
    <row r="1485" spans="1:8" x14ac:dyDescent="0.2">
      <c r="A1485" s="1186" t="s">
        <v>1572</v>
      </c>
      <c r="B1485" s="1186" t="s">
        <v>309</v>
      </c>
      <c r="C1485" s="1186" t="s">
        <v>61</v>
      </c>
      <c r="D1485" s="1186" t="s">
        <v>1572</v>
      </c>
      <c r="E1485" s="1186" t="s">
        <v>1995</v>
      </c>
      <c r="F1485" s="1186" t="s">
        <v>1985</v>
      </c>
      <c r="G1485" s="1186" t="s">
        <v>1986</v>
      </c>
      <c r="H1485" s="1186">
        <v>45</v>
      </c>
    </row>
    <row r="1486" spans="1:8" x14ac:dyDescent="0.2">
      <c r="A1486" s="1186" t="s">
        <v>1572</v>
      </c>
      <c r="B1486" s="1186" t="s">
        <v>309</v>
      </c>
      <c r="C1486" s="1186" t="s">
        <v>61</v>
      </c>
      <c r="D1486" s="1186" t="s">
        <v>1572</v>
      </c>
      <c r="E1486" s="1186" t="s">
        <v>1996</v>
      </c>
      <c r="F1486" s="1186" t="s">
        <v>1985</v>
      </c>
      <c r="G1486" s="1186" t="s">
        <v>1986</v>
      </c>
      <c r="H1486" s="1186">
        <v>64</v>
      </c>
    </row>
    <row r="1487" spans="1:8" x14ac:dyDescent="0.2">
      <c r="A1487" s="1186" t="s">
        <v>1572</v>
      </c>
      <c r="B1487" s="1186" t="s">
        <v>309</v>
      </c>
      <c r="C1487" s="1186" t="s">
        <v>61</v>
      </c>
      <c r="D1487" s="1186" t="s">
        <v>1572</v>
      </c>
      <c r="E1487" s="1186" t="s">
        <v>1997</v>
      </c>
      <c r="F1487" s="1186" t="s">
        <v>1987</v>
      </c>
      <c r="G1487" s="1186" t="s">
        <v>1986</v>
      </c>
      <c r="H1487" s="1186">
        <v>69</v>
      </c>
    </row>
    <row r="1488" spans="1:8" x14ac:dyDescent="0.2">
      <c r="A1488" s="1186" t="s">
        <v>1572</v>
      </c>
      <c r="B1488" s="1186" t="s">
        <v>309</v>
      </c>
      <c r="C1488" s="1186" t="s">
        <v>61</v>
      </c>
      <c r="D1488" s="1186" t="s">
        <v>1572</v>
      </c>
      <c r="E1488" s="1186" t="s">
        <v>1998</v>
      </c>
      <c r="F1488" s="1186" t="s">
        <v>1987</v>
      </c>
      <c r="G1488" s="1186" t="s">
        <v>1988</v>
      </c>
      <c r="H1488" s="1186">
        <v>119</v>
      </c>
    </row>
    <row r="1489" spans="1:8" x14ac:dyDescent="0.2">
      <c r="A1489" s="1186" t="s">
        <v>1572</v>
      </c>
      <c r="B1489" s="1186" t="s">
        <v>309</v>
      </c>
      <c r="C1489" s="1186" t="s">
        <v>61</v>
      </c>
      <c r="D1489" s="1186" t="s">
        <v>1572</v>
      </c>
      <c r="E1489" s="1186" t="s">
        <v>1999</v>
      </c>
      <c r="F1489" s="1186" t="s">
        <v>1987</v>
      </c>
      <c r="G1489" s="1186" t="s">
        <v>1988</v>
      </c>
      <c r="H1489" s="1186">
        <v>86</v>
      </c>
    </row>
    <row r="1490" spans="1:8" x14ac:dyDescent="0.2">
      <c r="A1490" s="1186" t="s">
        <v>1572</v>
      </c>
      <c r="B1490" s="1186" t="s">
        <v>309</v>
      </c>
      <c r="C1490" s="1186" t="s">
        <v>61</v>
      </c>
      <c r="D1490" s="1186" t="s">
        <v>1572</v>
      </c>
      <c r="E1490" s="1186" t="s">
        <v>2000</v>
      </c>
      <c r="F1490" s="1186" t="s">
        <v>1981</v>
      </c>
      <c r="G1490" s="1186" t="s">
        <v>1988</v>
      </c>
      <c r="H1490" s="1186">
        <v>71</v>
      </c>
    </row>
    <row r="1491" spans="1:8" x14ac:dyDescent="0.2">
      <c r="A1491" s="1186" t="s">
        <v>1572</v>
      </c>
      <c r="B1491" s="1186" t="s">
        <v>309</v>
      </c>
      <c r="C1491" s="1186" t="s">
        <v>116</v>
      </c>
      <c r="D1491" s="1186" t="s">
        <v>1572</v>
      </c>
      <c r="E1491" s="1186" t="s">
        <v>1997</v>
      </c>
      <c r="F1491" s="1186" t="s">
        <v>1987</v>
      </c>
      <c r="G1491" s="1186" t="s">
        <v>1986</v>
      </c>
      <c r="H1491" s="1186">
        <v>1</v>
      </c>
    </row>
    <row r="1492" spans="1:8" x14ac:dyDescent="0.2">
      <c r="A1492" s="1186" t="s">
        <v>1572</v>
      </c>
      <c r="B1492" s="1186" t="s">
        <v>823</v>
      </c>
      <c r="C1492" s="1186" t="s">
        <v>61</v>
      </c>
      <c r="D1492" s="1186" t="s">
        <v>1572</v>
      </c>
      <c r="E1492" s="1186" t="s">
        <v>1989</v>
      </c>
      <c r="F1492" s="1186" t="s">
        <v>1981</v>
      </c>
      <c r="G1492" s="1186" t="s">
        <v>1982</v>
      </c>
      <c r="H1492" s="1186">
        <v>381</v>
      </c>
    </row>
    <row r="1493" spans="1:8" x14ac:dyDescent="0.2">
      <c r="A1493" s="1186" t="s">
        <v>1572</v>
      </c>
      <c r="B1493" s="1186" t="s">
        <v>823</v>
      </c>
      <c r="C1493" s="1186" t="s">
        <v>61</v>
      </c>
      <c r="D1493" s="1186" t="s">
        <v>1572</v>
      </c>
      <c r="E1493" s="1186" t="s">
        <v>1990</v>
      </c>
      <c r="F1493" s="1186" t="s">
        <v>1981</v>
      </c>
      <c r="G1493" s="1186" t="s">
        <v>1982</v>
      </c>
      <c r="H1493" s="1186">
        <v>371</v>
      </c>
    </row>
    <row r="1494" spans="1:8" x14ac:dyDescent="0.2">
      <c r="A1494" s="1186" t="s">
        <v>1572</v>
      </c>
      <c r="B1494" s="1186" t="s">
        <v>823</v>
      </c>
      <c r="C1494" s="1186" t="s">
        <v>61</v>
      </c>
      <c r="D1494" s="1186" t="s">
        <v>1572</v>
      </c>
      <c r="E1494" s="1186" t="s">
        <v>1991</v>
      </c>
      <c r="F1494" s="1186" t="s">
        <v>1983</v>
      </c>
      <c r="G1494" s="1186" t="s">
        <v>1982</v>
      </c>
      <c r="H1494" s="1186">
        <v>324</v>
      </c>
    </row>
    <row r="1495" spans="1:8" x14ac:dyDescent="0.2">
      <c r="A1495" s="1186" t="s">
        <v>1572</v>
      </c>
      <c r="B1495" s="1186" t="s">
        <v>823</v>
      </c>
      <c r="C1495" s="1186" t="s">
        <v>61</v>
      </c>
      <c r="D1495" s="1186" t="s">
        <v>1572</v>
      </c>
      <c r="E1495" s="1186" t="s">
        <v>1992</v>
      </c>
      <c r="F1495" s="1186" t="s">
        <v>1983</v>
      </c>
      <c r="G1495" s="1186" t="s">
        <v>1984</v>
      </c>
      <c r="H1495" s="1186">
        <v>328</v>
      </c>
    </row>
    <row r="1496" spans="1:8" x14ac:dyDescent="0.2">
      <c r="A1496" s="1186" t="s">
        <v>1572</v>
      </c>
      <c r="B1496" s="1186" t="s">
        <v>823</v>
      </c>
      <c r="C1496" s="1186" t="s">
        <v>61</v>
      </c>
      <c r="D1496" s="1186" t="s">
        <v>1572</v>
      </c>
      <c r="E1496" s="1186" t="s">
        <v>1993</v>
      </c>
      <c r="F1496" s="1186" t="s">
        <v>1983</v>
      </c>
      <c r="G1496" s="1186" t="s">
        <v>1984</v>
      </c>
      <c r="H1496" s="1186">
        <v>351</v>
      </c>
    </row>
    <row r="1497" spans="1:8" x14ac:dyDescent="0.2">
      <c r="A1497" s="1186" t="s">
        <v>1572</v>
      </c>
      <c r="B1497" s="1186" t="s">
        <v>823</v>
      </c>
      <c r="C1497" s="1186" t="s">
        <v>61</v>
      </c>
      <c r="D1497" s="1186" t="s">
        <v>1572</v>
      </c>
      <c r="E1497" s="1186" t="s">
        <v>1994</v>
      </c>
      <c r="F1497" s="1186" t="s">
        <v>1985</v>
      </c>
      <c r="G1497" s="1186" t="s">
        <v>1984</v>
      </c>
      <c r="H1497" s="1186">
        <v>318</v>
      </c>
    </row>
    <row r="1498" spans="1:8" x14ac:dyDescent="0.2">
      <c r="A1498" s="1186" t="s">
        <v>1572</v>
      </c>
      <c r="B1498" s="1186" t="s">
        <v>823</v>
      </c>
      <c r="C1498" s="1186" t="s">
        <v>61</v>
      </c>
      <c r="D1498" s="1186" t="s">
        <v>1572</v>
      </c>
      <c r="E1498" s="1186" t="s">
        <v>1995</v>
      </c>
      <c r="F1498" s="1186" t="s">
        <v>1985</v>
      </c>
      <c r="G1498" s="1186" t="s">
        <v>1986</v>
      </c>
      <c r="H1498" s="1186">
        <v>347</v>
      </c>
    </row>
    <row r="1499" spans="1:8" x14ac:dyDescent="0.2">
      <c r="A1499" s="1186" t="s">
        <v>1572</v>
      </c>
      <c r="B1499" s="1186" t="s">
        <v>823</v>
      </c>
      <c r="C1499" s="1186" t="s">
        <v>61</v>
      </c>
      <c r="D1499" s="1186" t="s">
        <v>1572</v>
      </c>
      <c r="E1499" s="1186" t="s">
        <v>1996</v>
      </c>
      <c r="F1499" s="1186" t="s">
        <v>1985</v>
      </c>
      <c r="G1499" s="1186" t="s">
        <v>1986</v>
      </c>
      <c r="H1499" s="1186">
        <v>332</v>
      </c>
    </row>
    <row r="1500" spans="1:8" x14ac:dyDescent="0.2">
      <c r="A1500" s="1186" t="s">
        <v>1572</v>
      </c>
      <c r="B1500" s="1186" t="s">
        <v>823</v>
      </c>
      <c r="C1500" s="1186" t="s">
        <v>61</v>
      </c>
      <c r="D1500" s="1186" t="s">
        <v>1572</v>
      </c>
      <c r="E1500" s="1186" t="s">
        <v>1997</v>
      </c>
      <c r="F1500" s="1186" t="s">
        <v>1987</v>
      </c>
      <c r="G1500" s="1186" t="s">
        <v>1986</v>
      </c>
      <c r="H1500" s="1186">
        <v>380</v>
      </c>
    </row>
    <row r="1501" spans="1:8" x14ac:dyDescent="0.2">
      <c r="A1501" s="1186" t="s">
        <v>1572</v>
      </c>
      <c r="B1501" s="1186" t="s">
        <v>823</v>
      </c>
      <c r="C1501" s="1186" t="s">
        <v>61</v>
      </c>
      <c r="D1501" s="1186" t="s">
        <v>1572</v>
      </c>
      <c r="E1501" s="1186" t="s">
        <v>1998</v>
      </c>
      <c r="F1501" s="1186" t="s">
        <v>1987</v>
      </c>
      <c r="G1501" s="1186" t="s">
        <v>1988</v>
      </c>
      <c r="H1501" s="1186">
        <v>368</v>
      </c>
    </row>
    <row r="1502" spans="1:8" x14ac:dyDescent="0.2">
      <c r="A1502" s="1186" t="s">
        <v>1572</v>
      </c>
      <c r="B1502" s="1186" t="s">
        <v>823</v>
      </c>
      <c r="C1502" s="1186" t="s">
        <v>61</v>
      </c>
      <c r="D1502" s="1186" t="s">
        <v>1572</v>
      </c>
      <c r="E1502" s="1186" t="s">
        <v>1999</v>
      </c>
      <c r="F1502" s="1186" t="s">
        <v>1987</v>
      </c>
      <c r="G1502" s="1186" t="s">
        <v>1988</v>
      </c>
      <c r="H1502" s="1186">
        <v>306</v>
      </c>
    </row>
    <row r="1503" spans="1:8" x14ac:dyDescent="0.2">
      <c r="A1503" s="1186" t="s">
        <v>1572</v>
      </c>
      <c r="B1503" s="1186" t="s">
        <v>823</v>
      </c>
      <c r="C1503" s="1186" t="s">
        <v>61</v>
      </c>
      <c r="D1503" s="1186" t="s">
        <v>1572</v>
      </c>
      <c r="E1503" s="1186" t="s">
        <v>2000</v>
      </c>
      <c r="F1503" s="1186" t="s">
        <v>1981</v>
      </c>
      <c r="G1503" s="1186" t="s">
        <v>1988</v>
      </c>
      <c r="H1503" s="1186">
        <v>335</v>
      </c>
    </row>
    <row r="1504" spans="1:8" x14ac:dyDescent="0.2">
      <c r="A1504" s="1186" t="s">
        <v>1572</v>
      </c>
      <c r="B1504" s="1186" t="s">
        <v>823</v>
      </c>
      <c r="C1504" s="1186" t="s">
        <v>116</v>
      </c>
      <c r="D1504" s="1186" t="s">
        <v>1572</v>
      </c>
      <c r="E1504" s="1186" t="s">
        <v>1989</v>
      </c>
      <c r="F1504" s="1186" t="s">
        <v>1981</v>
      </c>
      <c r="G1504" s="1186" t="s">
        <v>1982</v>
      </c>
      <c r="H1504" s="1186">
        <v>44</v>
      </c>
    </row>
    <row r="1505" spans="1:8" x14ac:dyDescent="0.2">
      <c r="A1505" s="1186" t="s">
        <v>1572</v>
      </c>
      <c r="B1505" s="1186" t="s">
        <v>823</v>
      </c>
      <c r="C1505" s="1186" t="s">
        <v>116</v>
      </c>
      <c r="D1505" s="1186" t="s">
        <v>1572</v>
      </c>
      <c r="E1505" s="1186" t="s">
        <v>1990</v>
      </c>
      <c r="F1505" s="1186" t="s">
        <v>1981</v>
      </c>
      <c r="G1505" s="1186" t="s">
        <v>1982</v>
      </c>
      <c r="H1505" s="1186">
        <v>54</v>
      </c>
    </row>
    <row r="1506" spans="1:8" x14ac:dyDescent="0.2">
      <c r="A1506" s="1186" t="s">
        <v>1572</v>
      </c>
      <c r="B1506" s="1186" t="s">
        <v>823</v>
      </c>
      <c r="C1506" s="1186" t="s">
        <v>116</v>
      </c>
      <c r="D1506" s="1186" t="s">
        <v>1572</v>
      </c>
      <c r="E1506" s="1186" t="s">
        <v>1991</v>
      </c>
      <c r="F1506" s="1186" t="s">
        <v>1983</v>
      </c>
      <c r="G1506" s="1186" t="s">
        <v>1982</v>
      </c>
      <c r="H1506" s="1186">
        <v>52</v>
      </c>
    </row>
    <row r="1507" spans="1:8" x14ac:dyDescent="0.2">
      <c r="A1507" s="1186" t="s">
        <v>1572</v>
      </c>
      <c r="B1507" s="1186" t="s">
        <v>823</v>
      </c>
      <c r="C1507" s="1186" t="s">
        <v>116</v>
      </c>
      <c r="D1507" s="1186" t="s">
        <v>1572</v>
      </c>
      <c r="E1507" s="1186" t="s">
        <v>1992</v>
      </c>
      <c r="F1507" s="1186" t="s">
        <v>1983</v>
      </c>
      <c r="G1507" s="1186" t="s">
        <v>1984</v>
      </c>
      <c r="H1507" s="1186">
        <v>46</v>
      </c>
    </row>
    <row r="1508" spans="1:8" x14ac:dyDescent="0.2">
      <c r="A1508" s="1186" t="s">
        <v>1572</v>
      </c>
      <c r="B1508" s="1186" t="s">
        <v>823</v>
      </c>
      <c r="C1508" s="1186" t="s">
        <v>116</v>
      </c>
      <c r="D1508" s="1186" t="s">
        <v>1572</v>
      </c>
      <c r="E1508" s="1186" t="s">
        <v>1993</v>
      </c>
      <c r="F1508" s="1186" t="s">
        <v>1983</v>
      </c>
      <c r="G1508" s="1186" t="s">
        <v>1984</v>
      </c>
      <c r="H1508" s="1186">
        <v>34</v>
      </c>
    </row>
    <row r="1509" spans="1:8" x14ac:dyDescent="0.2">
      <c r="A1509" s="1186" t="s">
        <v>1572</v>
      </c>
      <c r="B1509" s="1186" t="s">
        <v>823</v>
      </c>
      <c r="C1509" s="1186" t="s">
        <v>116</v>
      </c>
      <c r="D1509" s="1186" t="s">
        <v>1572</v>
      </c>
      <c r="E1509" s="1186" t="s">
        <v>1994</v>
      </c>
      <c r="F1509" s="1186" t="s">
        <v>1985</v>
      </c>
      <c r="G1509" s="1186" t="s">
        <v>1984</v>
      </c>
      <c r="H1509" s="1186">
        <v>49</v>
      </c>
    </row>
    <row r="1510" spans="1:8" x14ac:dyDescent="0.2">
      <c r="A1510" s="1186" t="s">
        <v>1572</v>
      </c>
      <c r="B1510" s="1186" t="s">
        <v>823</v>
      </c>
      <c r="C1510" s="1186" t="s">
        <v>116</v>
      </c>
      <c r="D1510" s="1186" t="s">
        <v>1572</v>
      </c>
      <c r="E1510" s="1186" t="s">
        <v>1995</v>
      </c>
      <c r="F1510" s="1186" t="s">
        <v>1985</v>
      </c>
      <c r="G1510" s="1186" t="s">
        <v>1986</v>
      </c>
      <c r="H1510" s="1186">
        <v>41</v>
      </c>
    </row>
    <row r="1511" spans="1:8" x14ac:dyDescent="0.2">
      <c r="A1511" s="1186" t="s">
        <v>1572</v>
      </c>
      <c r="B1511" s="1186" t="s">
        <v>823</v>
      </c>
      <c r="C1511" s="1186" t="s">
        <v>116</v>
      </c>
      <c r="D1511" s="1186" t="s">
        <v>1572</v>
      </c>
      <c r="E1511" s="1186" t="s">
        <v>1996</v>
      </c>
      <c r="F1511" s="1186" t="s">
        <v>1985</v>
      </c>
      <c r="G1511" s="1186" t="s">
        <v>1986</v>
      </c>
      <c r="H1511" s="1186">
        <v>42</v>
      </c>
    </row>
    <row r="1512" spans="1:8" x14ac:dyDescent="0.2">
      <c r="A1512" s="1186" t="s">
        <v>1572</v>
      </c>
      <c r="B1512" s="1186" t="s">
        <v>823</v>
      </c>
      <c r="C1512" s="1186" t="s">
        <v>116</v>
      </c>
      <c r="D1512" s="1186" t="s">
        <v>1572</v>
      </c>
      <c r="E1512" s="1186" t="s">
        <v>1997</v>
      </c>
      <c r="F1512" s="1186" t="s">
        <v>1987</v>
      </c>
      <c r="G1512" s="1186" t="s">
        <v>1986</v>
      </c>
      <c r="H1512" s="1186">
        <v>43</v>
      </c>
    </row>
    <row r="1513" spans="1:8" x14ac:dyDescent="0.2">
      <c r="A1513" s="1186" t="s">
        <v>1572</v>
      </c>
      <c r="B1513" s="1186" t="s">
        <v>823</v>
      </c>
      <c r="C1513" s="1186" t="s">
        <v>116</v>
      </c>
      <c r="D1513" s="1186" t="s">
        <v>1572</v>
      </c>
      <c r="E1513" s="1186" t="s">
        <v>1998</v>
      </c>
      <c r="F1513" s="1186" t="s">
        <v>1987</v>
      </c>
      <c r="G1513" s="1186" t="s">
        <v>1988</v>
      </c>
      <c r="H1513" s="1186">
        <v>42</v>
      </c>
    </row>
    <row r="1514" spans="1:8" x14ac:dyDescent="0.2">
      <c r="A1514" s="1186" t="s">
        <v>1572</v>
      </c>
      <c r="B1514" s="1186" t="s">
        <v>823</v>
      </c>
      <c r="C1514" s="1186" t="s">
        <v>116</v>
      </c>
      <c r="D1514" s="1186" t="s">
        <v>1572</v>
      </c>
      <c r="E1514" s="1186" t="s">
        <v>1999</v>
      </c>
      <c r="F1514" s="1186" t="s">
        <v>1987</v>
      </c>
      <c r="G1514" s="1186" t="s">
        <v>1988</v>
      </c>
      <c r="H1514" s="1186">
        <v>46</v>
      </c>
    </row>
    <row r="1515" spans="1:8" x14ac:dyDescent="0.2">
      <c r="A1515" s="1186" t="s">
        <v>1572</v>
      </c>
      <c r="B1515" s="1186" t="s">
        <v>823</v>
      </c>
      <c r="C1515" s="1186" t="s">
        <v>116</v>
      </c>
      <c r="D1515" s="1186" t="s">
        <v>1572</v>
      </c>
      <c r="E1515" s="1186" t="s">
        <v>2000</v>
      </c>
      <c r="F1515" s="1186" t="s">
        <v>1981</v>
      </c>
      <c r="G1515" s="1186" t="s">
        <v>1988</v>
      </c>
      <c r="H1515" s="1186">
        <v>27</v>
      </c>
    </row>
    <row r="1516" spans="1:8" x14ac:dyDescent="0.2">
      <c r="A1516" s="1186" t="s">
        <v>1572</v>
      </c>
      <c r="B1516" s="1186" t="s">
        <v>824</v>
      </c>
      <c r="C1516" s="1186" t="s">
        <v>61</v>
      </c>
      <c r="D1516" s="1186" t="s">
        <v>1572</v>
      </c>
      <c r="E1516" s="1186" t="s">
        <v>1989</v>
      </c>
      <c r="F1516" s="1186" t="s">
        <v>1981</v>
      </c>
      <c r="G1516" s="1186" t="s">
        <v>1982</v>
      </c>
      <c r="H1516" s="1186">
        <v>126</v>
      </c>
    </row>
    <row r="1517" spans="1:8" x14ac:dyDescent="0.2">
      <c r="A1517" s="1186" t="s">
        <v>1572</v>
      </c>
      <c r="B1517" s="1186" t="s">
        <v>824</v>
      </c>
      <c r="C1517" s="1186" t="s">
        <v>61</v>
      </c>
      <c r="D1517" s="1186" t="s">
        <v>1572</v>
      </c>
      <c r="E1517" s="1186" t="s">
        <v>1990</v>
      </c>
      <c r="F1517" s="1186" t="s">
        <v>1981</v>
      </c>
      <c r="G1517" s="1186" t="s">
        <v>1982</v>
      </c>
      <c r="H1517" s="1186">
        <v>128</v>
      </c>
    </row>
    <row r="1518" spans="1:8" x14ac:dyDescent="0.2">
      <c r="A1518" s="1186" t="s">
        <v>1572</v>
      </c>
      <c r="B1518" s="1186" t="s">
        <v>824</v>
      </c>
      <c r="C1518" s="1186" t="s">
        <v>61</v>
      </c>
      <c r="D1518" s="1186" t="s">
        <v>1572</v>
      </c>
      <c r="E1518" s="1186" t="s">
        <v>1991</v>
      </c>
      <c r="F1518" s="1186" t="s">
        <v>1983</v>
      </c>
      <c r="G1518" s="1186" t="s">
        <v>1982</v>
      </c>
      <c r="H1518" s="1186">
        <v>122</v>
      </c>
    </row>
    <row r="1519" spans="1:8" x14ac:dyDescent="0.2">
      <c r="A1519" s="1186" t="s">
        <v>1572</v>
      </c>
      <c r="B1519" s="1186" t="s">
        <v>824</v>
      </c>
      <c r="C1519" s="1186" t="s">
        <v>61</v>
      </c>
      <c r="D1519" s="1186" t="s">
        <v>1572</v>
      </c>
      <c r="E1519" s="1186" t="s">
        <v>1992</v>
      </c>
      <c r="F1519" s="1186" t="s">
        <v>1983</v>
      </c>
      <c r="G1519" s="1186" t="s">
        <v>1984</v>
      </c>
      <c r="H1519" s="1186">
        <v>108</v>
      </c>
    </row>
    <row r="1520" spans="1:8" x14ac:dyDescent="0.2">
      <c r="A1520" s="1186" t="s">
        <v>1572</v>
      </c>
      <c r="B1520" s="1186" t="s">
        <v>824</v>
      </c>
      <c r="C1520" s="1186" t="s">
        <v>61</v>
      </c>
      <c r="D1520" s="1186" t="s">
        <v>1572</v>
      </c>
      <c r="E1520" s="1186" t="s">
        <v>1993</v>
      </c>
      <c r="F1520" s="1186" t="s">
        <v>1983</v>
      </c>
      <c r="G1520" s="1186" t="s">
        <v>1984</v>
      </c>
      <c r="H1520" s="1186">
        <v>109</v>
      </c>
    </row>
    <row r="1521" spans="1:8" x14ac:dyDescent="0.2">
      <c r="A1521" s="1186" t="s">
        <v>1572</v>
      </c>
      <c r="B1521" s="1186" t="s">
        <v>824</v>
      </c>
      <c r="C1521" s="1186" t="s">
        <v>61</v>
      </c>
      <c r="D1521" s="1186" t="s">
        <v>1572</v>
      </c>
      <c r="E1521" s="1186" t="s">
        <v>1994</v>
      </c>
      <c r="F1521" s="1186" t="s">
        <v>1985</v>
      </c>
      <c r="G1521" s="1186" t="s">
        <v>1984</v>
      </c>
      <c r="H1521" s="1186">
        <v>118</v>
      </c>
    </row>
    <row r="1522" spans="1:8" x14ac:dyDescent="0.2">
      <c r="A1522" s="1186" t="s">
        <v>1572</v>
      </c>
      <c r="B1522" s="1186" t="s">
        <v>824</v>
      </c>
      <c r="C1522" s="1186" t="s">
        <v>61</v>
      </c>
      <c r="D1522" s="1186" t="s">
        <v>1572</v>
      </c>
      <c r="E1522" s="1186" t="s">
        <v>1995</v>
      </c>
      <c r="F1522" s="1186" t="s">
        <v>1985</v>
      </c>
      <c r="G1522" s="1186" t="s">
        <v>1986</v>
      </c>
      <c r="H1522" s="1186">
        <v>105</v>
      </c>
    </row>
    <row r="1523" spans="1:8" x14ac:dyDescent="0.2">
      <c r="A1523" s="1186" t="s">
        <v>1572</v>
      </c>
      <c r="B1523" s="1186" t="s">
        <v>824</v>
      </c>
      <c r="C1523" s="1186" t="s">
        <v>61</v>
      </c>
      <c r="D1523" s="1186" t="s">
        <v>1572</v>
      </c>
      <c r="E1523" s="1186" t="s">
        <v>1996</v>
      </c>
      <c r="F1523" s="1186" t="s">
        <v>1985</v>
      </c>
      <c r="G1523" s="1186" t="s">
        <v>1986</v>
      </c>
      <c r="H1523" s="1186">
        <v>115</v>
      </c>
    </row>
    <row r="1524" spans="1:8" x14ac:dyDescent="0.2">
      <c r="A1524" s="1186" t="s">
        <v>1572</v>
      </c>
      <c r="B1524" s="1186" t="s">
        <v>824</v>
      </c>
      <c r="C1524" s="1186" t="s">
        <v>61</v>
      </c>
      <c r="D1524" s="1186" t="s">
        <v>1572</v>
      </c>
      <c r="E1524" s="1186" t="s">
        <v>1997</v>
      </c>
      <c r="F1524" s="1186" t="s">
        <v>1987</v>
      </c>
      <c r="G1524" s="1186" t="s">
        <v>1986</v>
      </c>
      <c r="H1524" s="1186">
        <v>107</v>
      </c>
    </row>
    <row r="1525" spans="1:8" x14ac:dyDescent="0.2">
      <c r="A1525" s="1186" t="s">
        <v>1572</v>
      </c>
      <c r="B1525" s="1186" t="s">
        <v>824</v>
      </c>
      <c r="C1525" s="1186" t="s">
        <v>61</v>
      </c>
      <c r="D1525" s="1186" t="s">
        <v>1572</v>
      </c>
      <c r="E1525" s="1186" t="s">
        <v>1998</v>
      </c>
      <c r="F1525" s="1186" t="s">
        <v>1987</v>
      </c>
      <c r="G1525" s="1186" t="s">
        <v>1988</v>
      </c>
      <c r="H1525" s="1186">
        <v>106</v>
      </c>
    </row>
    <row r="1526" spans="1:8" x14ac:dyDescent="0.2">
      <c r="A1526" s="1186" t="s">
        <v>1572</v>
      </c>
      <c r="B1526" s="1186" t="s">
        <v>824</v>
      </c>
      <c r="C1526" s="1186" t="s">
        <v>61</v>
      </c>
      <c r="D1526" s="1186" t="s">
        <v>1572</v>
      </c>
      <c r="E1526" s="1186" t="s">
        <v>1999</v>
      </c>
      <c r="F1526" s="1186" t="s">
        <v>1987</v>
      </c>
      <c r="G1526" s="1186" t="s">
        <v>1988</v>
      </c>
      <c r="H1526" s="1186">
        <v>101</v>
      </c>
    </row>
    <row r="1527" spans="1:8" x14ac:dyDescent="0.2">
      <c r="A1527" s="1186" t="s">
        <v>1572</v>
      </c>
      <c r="B1527" s="1186" t="s">
        <v>824</v>
      </c>
      <c r="C1527" s="1186" t="s">
        <v>61</v>
      </c>
      <c r="D1527" s="1186" t="s">
        <v>1572</v>
      </c>
      <c r="E1527" s="1186" t="s">
        <v>2000</v>
      </c>
      <c r="F1527" s="1186" t="s">
        <v>1981</v>
      </c>
      <c r="G1527" s="1186" t="s">
        <v>1988</v>
      </c>
      <c r="H1527" s="1186">
        <v>90</v>
      </c>
    </row>
    <row r="1528" spans="1:8" x14ac:dyDescent="0.2">
      <c r="A1528" s="1186" t="s">
        <v>1572</v>
      </c>
      <c r="B1528" s="1186" t="s">
        <v>824</v>
      </c>
      <c r="C1528" s="1186" t="s">
        <v>116</v>
      </c>
      <c r="D1528" s="1186" t="s">
        <v>1572</v>
      </c>
      <c r="E1528" s="1186" t="s">
        <v>1989</v>
      </c>
      <c r="F1528" s="1186" t="s">
        <v>1981</v>
      </c>
      <c r="G1528" s="1186" t="s">
        <v>1982</v>
      </c>
      <c r="H1528" s="1186">
        <v>37</v>
      </c>
    </row>
    <row r="1529" spans="1:8" x14ac:dyDescent="0.2">
      <c r="A1529" s="1186" t="s">
        <v>1572</v>
      </c>
      <c r="B1529" s="1186" t="s">
        <v>824</v>
      </c>
      <c r="C1529" s="1186" t="s">
        <v>116</v>
      </c>
      <c r="D1529" s="1186" t="s">
        <v>1572</v>
      </c>
      <c r="E1529" s="1186" t="s">
        <v>1990</v>
      </c>
      <c r="F1529" s="1186" t="s">
        <v>1981</v>
      </c>
      <c r="G1529" s="1186" t="s">
        <v>1982</v>
      </c>
      <c r="H1529" s="1186">
        <v>30</v>
      </c>
    </row>
    <row r="1530" spans="1:8" x14ac:dyDescent="0.2">
      <c r="A1530" s="1186" t="s">
        <v>1572</v>
      </c>
      <c r="B1530" s="1186" t="s">
        <v>824</v>
      </c>
      <c r="C1530" s="1186" t="s">
        <v>116</v>
      </c>
      <c r="D1530" s="1186" t="s">
        <v>1572</v>
      </c>
      <c r="E1530" s="1186" t="s">
        <v>1991</v>
      </c>
      <c r="F1530" s="1186" t="s">
        <v>1983</v>
      </c>
      <c r="G1530" s="1186" t="s">
        <v>1982</v>
      </c>
      <c r="H1530" s="1186">
        <v>35</v>
      </c>
    </row>
    <row r="1531" spans="1:8" x14ac:dyDescent="0.2">
      <c r="A1531" s="1186" t="s">
        <v>1572</v>
      </c>
      <c r="B1531" s="1186" t="s">
        <v>824</v>
      </c>
      <c r="C1531" s="1186" t="s">
        <v>116</v>
      </c>
      <c r="D1531" s="1186" t="s">
        <v>1572</v>
      </c>
      <c r="E1531" s="1186" t="s">
        <v>1992</v>
      </c>
      <c r="F1531" s="1186" t="s">
        <v>1983</v>
      </c>
      <c r="G1531" s="1186" t="s">
        <v>1984</v>
      </c>
      <c r="H1531" s="1186">
        <v>34</v>
      </c>
    </row>
    <row r="1532" spans="1:8" x14ac:dyDescent="0.2">
      <c r="A1532" s="1186" t="s">
        <v>1572</v>
      </c>
      <c r="B1532" s="1186" t="s">
        <v>824</v>
      </c>
      <c r="C1532" s="1186" t="s">
        <v>116</v>
      </c>
      <c r="D1532" s="1186" t="s">
        <v>1572</v>
      </c>
      <c r="E1532" s="1186" t="s">
        <v>1993</v>
      </c>
      <c r="F1532" s="1186" t="s">
        <v>1983</v>
      </c>
      <c r="G1532" s="1186" t="s">
        <v>1984</v>
      </c>
      <c r="H1532" s="1186">
        <v>46</v>
      </c>
    </row>
    <row r="1533" spans="1:8" x14ac:dyDescent="0.2">
      <c r="A1533" s="1186" t="s">
        <v>1572</v>
      </c>
      <c r="B1533" s="1186" t="s">
        <v>824</v>
      </c>
      <c r="C1533" s="1186" t="s">
        <v>116</v>
      </c>
      <c r="D1533" s="1186" t="s">
        <v>1572</v>
      </c>
      <c r="E1533" s="1186" t="s">
        <v>1994</v>
      </c>
      <c r="F1533" s="1186" t="s">
        <v>1985</v>
      </c>
      <c r="G1533" s="1186" t="s">
        <v>1984</v>
      </c>
      <c r="H1533" s="1186">
        <v>33</v>
      </c>
    </row>
    <row r="1534" spans="1:8" x14ac:dyDescent="0.2">
      <c r="A1534" s="1186" t="s">
        <v>1572</v>
      </c>
      <c r="B1534" s="1186" t="s">
        <v>824</v>
      </c>
      <c r="C1534" s="1186" t="s">
        <v>116</v>
      </c>
      <c r="D1534" s="1186" t="s">
        <v>1572</v>
      </c>
      <c r="E1534" s="1186" t="s">
        <v>1995</v>
      </c>
      <c r="F1534" s="1186" t="s">
        <v>1985</v>
      </c>
      <c r="G1534" s="1186" t="s">
        <v>1986</v>
      </c>
      <c r="H1534" s="1186">
        <v>40</v>
      </c>
    </row>
    <row r="1535" spans="1:8" x14ac:dyDescent="0.2">
      <c r="A1535" s="1186" t="s">
        <v>1572</v>
      </c>
      <c r="B1535" s="1186" t="s">
        <v>824</v>
      </c>
      <c r="C1535" s="1186" t="s">
        <v>116</v>
      </c>
      <c r="D1535" s="1186" t="s">
        <v>1572</v>
      </c>
      <c r="E1535" s="1186" t="s">
        <v>1996</v>
      </c>
      <c r="F1535" s="1186" t="s">
        <v>1985</v>
      </c>
      <c r="G1535" s="1186" t="s">
        <v>1986</v>
      </c>
      <c r="H1535" s="1186">
        <v>41</v>
      </c>
    </row>
    <row r="1536" spans="1:8" x14ac:dyDescent="0.2">
      <c r="A1536" s="1186" t="s">
        <v>1572</v>
      </c>
      <c r="B1536" s="1186" t="s">
        <v>824</v>
      </c>
      <c r="C1536" s="1186" t="s">
        <v>116</v>
      </c>
      <c r="D1536" s="1186" t="s">
        <v>1572</v>
      </c>
      <c r="E1536" s="1186" t="s">
        <v>1997</v>
      </c>
      <c r="F1536" s="1186" t="s">
        <v>1987</v>
      </c>
      <c r="G1536" s="1186" t="s">
        <v>1986</v>
      </c>
      <c r="H1536" s="1186">
        <v>23</v>
      </c>
    </row>
    <row r="1537" spans="1:8" x14ac:dyDescent="0.2">
      <c r="A1537" s="1186" t="s">
        <v>1572</v>
      </c>
      <c r="B1537" s="1186" t="s">
        <v>824</v>
      </c>
      <c r="C1537" s="1186" t="s">
        <v>116</v>
      </c>
      <c r="D1537" s="1186" t="s">
        <v>1572</v>
      </c>
      <c r="E1537" s="1186" t="s">
        <v>1998</v>
      </c>
      <c r="F1537" s="1186" t="s">
        <v>1987</v>
      </c>
      <c r="G1537" s="1186" t="s">
        <v>1988</v>
      </c>
      <c r="H1537" s="1186">
        <v>23</v>
      </c>
    </row>
    <row r="1538" spans="1:8" x14ac:dyDescent="0.2">
      <c r="A1538" s="1186" t="s">
        <v>1572</v>
      </c>
      <c r="B1538" s="1186" t="s">
        <v>824</v>
      </c>
      <c r="C1538" s="1186" t="s">
        <v>116</v>
      </c>
      <c r="D1538" s="1186" t="s">
        <v>1572</v>
      </c>
      <c r="E1538" s="1186" t="s">
        <v>1999</v>
      </c>
      <c r="F1538" s="1186" t="s">
        <v>1987</v>
      </c>
      <c r="G1538" s="1186" t="s">
        <v>1988</v>
      </c>
      <c r="H1538" s="1186">
        <v>22</v>
      </c>
    </row>
    <row r="1539" spans="1:8" x14ac:dyDescent="0.2">
      <c r="A1539" s="1186" t="s">
        <v>1572</v>
      </c>
      <c r="B1539" s="1186" t="s">
        <v>824</v>
      </c>
      <c r="C1539" s="1186" t="s">
        <v>116</v>
      </c>
      <c r="D1539" s="1186" t="s">
        <v>1572</v>
      </c>
      <c r="E1539" s="1186" t="s">
        <v>2000</v>
      </c>
      <c r="F1539" s="1186" t="s">
        <v>1981</v>
      </c>
      <c r="G1539" s="1186" t="s">
        <v>1988</v>
      </c>
      <c r="H1539" s="1186">
        <v>19</v>
      </c>
    </row>
    <row r="1540" spans="1:8" x14ac:dyDescent="0.2">
      <c r="A1540" s="1186" t="s">
        <v>1572</v>
      </c>
      <c r="B1540" s="1186" t="s">
        <v>825</v>
      </c>
      <c r="C1540" s="1186" t="s">
        <v>61</v>
      </c>
      <c r="D1540" s="1186" t="s">
        <v>1572</v>
      </c>
      <c r="E1540" s="1186" t="s">
        <v>1989</v>
      </c>
      <c r="F1540" s="1186" t="s">
        <v>1981</v>
      </c>
      <c r="G1540" s="1186" t="s">
        <v>1982</v>
      </c>
      <c r="H1540" s="1186">
        <v>77</v>
      </c>
    </row>
    <row r="1541" spans="1:8" x14ac:dyDescent="0.2">
      <c r="A1541" s="1186" t="s">
        <v>1572</v>
      </c>
      <c r="B1541" s="1186" t="s">
        <v>825</v>
      </c>
      <c r="C1541" s="1186" t="s">
        <v>61</v>
      </c>
      <c r="D1541" s="1186" t="s">
        <v>1572</v>
      </c>
      <c r="E1541" s="1186" t="s">
        <v>1990</v>
      </c>
      <c r="F1541" s="1186" t="s">
        <v>1981</v>
      </c>
      <c r="G1541" s="1186" t="s">
        <v>1982</v>
      </c>
      <c r="H1541" s="1186">
        <v>71</v>
      </c>
    </row>
    <row r="1542" spans="1:8" x14ac:dyDescent="0.2">
      <c r="A1542" s="1186" t="s">
        <v>1572</v>
      </c>
      <c r="B1542" s="1186" t="s">
        <v>825</v>
      </c>
      <c r="C1542" s="1186" t="s">
        <v>61</v>
      </c>
      <c r="D1542" s="1186" t="s">
        <v>1572</v>
      </c>
      <c r="E1542" s="1186" t="s">
        <v>1991</v>
      </c>
      <c r="F1542" s="1186" t="s">
        <v>1983</v>
      </c>
      <c r="G1542" s="1186" t="s">
        <v>1982</v>
      </c>
      <c r="H1542" s="1186">
        <v>80</v>
      </c>
    </row>
    <row r="1543" spans="1:8" x14ac:dyDescent="0.2">
      <c r="A1543" s="1186" t="s">
        <v>1572</v>
      </c>
      <c r="B1543" s="1186" t="s">
        <v>825</v>
      </c>
      <c r="C1543" s="1186" t="s">
        <v>61</v>
      </c>
      <c r="D1543" s="1186" t="s">
        <v>1572</v>
      </c>
      <c r="E1543" s="1186" t="s">
        <v>1992</v>
      </c>
      <c r="F1543" s="1186" t="s">
        <v>1983</v>
      </c>
      <c r="G1543" s="1186" t="s">
        <v>1984</v>
      </c>
      <c r="H1543" s="1186">
        <v>98</v>
      </c>
    </row>
    <row r="1544" spans="1:8" x14ac:dyDescent="0.2">
      <c r="A1544" s="1186" t="s">
        <v>1572</v>
      </c>
      <c r="B1544" s="1186" t="s">
        <v>825</v>
      </c>
      <c r="C1544" s="1186" t="s">
        <v>61</v>
      </c>
      <c r="D1544" s="1186" t="s">
        <v>1572</v>
      </c>
      <c r="E1544" s="1186" t="s">
        <v>1993</v>
      </c>
      <c r="F1544" s="1186" t="s">
        <v>1983</v>
      </c>
      <c r="G1544" s="1186" t="s">
        <v>1984</v>
      </c>
      <c r="H1544" s="1186">
        <v>125</v>
      </c>
    </row>
    <row r="1545" spans="1:8" x14ac:dyDescent="0.2">
      <c r="A1545" s="1186" t="s">
        <v>1572</v>
      </c>
      <c r="B1545" s="1186" t="s">
        <v>825</v>
      </c>
      <c r="C1545" s="1186" t="s">
        <v>61</v>
      </c>
      <c r="D1545" s="1186" t="s">
        <v>1572</v>
      </c>
      <c r="E1545" s="1186" t="s">
        <v>1994</v>
      </c>
      <c r="F1545" s="1186" t="s">
        <v>1985</v>
      </c>
      <c r="G1545" s="1186" t="s">
        <v>1984</v>
      </c>
      <c r="H1545" s="1186">
        <v>109</v>
      </c>
    </row>
    <row r="1546" spans="1:8" x14ac:dyDescent="0.2">
      <c r="A1546" s="1186" t="s">
        <v>1572</v>
      </c>
      <c r="B1546" s="1186" t="s">
        <v>825</v>
      </c>
      <c r="C1546" s="1186" t="s">
        <v>61</v>
      </c>
      <c r="D1546" s="1186" t="s">
        <v>1572</v>
      </c>
      <c r="E1546" s="1186" t="s">
        <v>1995</v>
      </c>
      <c r="F1546" s="1186" t="s">
        <v>1985</v>
      </c>
      <c r="G1546" s="1186" t="s">
        <v>1986</v>
      </c>
      <c r="H1546" s="1186">
        <v>91</v>
      </c>
    </row>
    <row r="1547" spans="1:8" x14ac:dyDescent="0.2">
      <c r="A1547" s="1186" t="s">
        <v>1572</v>
      </c>
      <c r="B1547" s="1186" t="s">
        <v>825</v>
      </c>
      <c r="C1547" s="1186" t="s">
        <v>61</v>
      </c>
      <c r="D1547" s="1186" t="s">
        <v>1572</v>
      </c>
      <c r="E1547" s="1186" t="s">
        <v>1996</v>
      </c>
      <c r="F1547" s="1186" t="s">
        <v>1985</v>
      </c>
      <c r="G1547" s="1186" t="s">
        <v>1986</v>
      </c>
      <c r="H1547" s="1186">
        <v>96</v>
      </c>
    </row>
    <row r="1548" spans="1:8" x14ac:dyDescent="0.2">
      <c r="A1548" s="1186" t="s">
        <v>1572</v>
      </c>
      <c r="B1548" s="1186" t="s">
        <v>825</v>
      </c>
      <c r="C1548" s="1186" t="s">
        <v>61</v>
      </c>
      <c r="D1548" s="1186" t="s">
        <v>1572</v>
      </c>
      <c r="E1548" s="1186" t="s">
        <v>1997</v>
      </c>
      <c r="F1548" s="1186" t="s">
        <v>1987</v>
      </c>
      <c r="G1548" s="1186" t="s">
        <v>1986</v>
      </c>
      <c r="H1548" s="1186">
        <v>67</v>
      </c>
    </row>
    <row r="1549" spans="1:8" x14ac:dyDescent="0.2">
      <c r="A1549" s="1186" t="s">
        <v>1572</v>
      </c>
      <c r="B1549" s="1186" t="s">
        <v>825</v>
      </c>
      <c r="C1549" s="1186" t="s">
        <v>61</v>
      </c>
      <c r="D1549" s="1186" t="s">
        <v>1572</v>
      </c>
      <c r="E1549" s="1186" t="s">
        <v>1998</v>
      </c>
      <c r="F1549" s="1186" t="s">
        <v>1987</v>
      </c>
      <c r="G1549" s="1186" t="s">
        <v>1988</v>
      </c>
      <c r="H1549" s="1186">
        <v>79</v>
      </c>
    </row>
    <row r="1550" spans="1:8" x14ac:dyDescent="0.2">
      <c r="A1550" s="1186" t="s">
        <v>1572</v>
      </c>
      <c r="B1550" s="1186" t="s">
        <v>825</v>
      </c>
      <c r="C1550" s="1186" t="s">
        <v>61</v>
      </c>
      <c r="D1550" s="1186" t="s">
        <v>1572</v>
      </c>
      <c r="E1550" s="1186" t="s">
        <v>1999</v>
      </c>
      <c r="F1550" s="1186" t="s">
        <v>1987</v>
      </c>
      <c r="G1550" s="1186" t="s">
        <v>1988</v>
      </c>
      <c r="H1550" s="1186">
        <v>79</v>
      </c>
    </row>
    <row r="1551" spans="1:8" x14ac:dyDescent="0.2">
      <c r="A1551" s="1186" t="s">
        <v>1572</v>
      </c>
      <c r="B1551" s="1186" t="s">
        <v>825</v>
      </c>
      <c r="C1551" s="1186" t="s">
        <v>61</v>
      </c>
      <c r="D1551" s="1186" t="s">
        <v>1572</v>
      </c>
      <c r="E1551" s="1186" t="s">
        <v>2000</v>
      </c>
      <c r="F1551" s="1186" t="s">
        <v>1981</v>
      </c>
      <c r="G1551" s="1186" t="s">
        <v>1988</v>
      </c>
      <c r="H1551" s="1186">
        <v>83</v>
      </c>
    </row>
    <row r="1552" spans="1:8" x14ac:dyDescent="0.2">
      <c r="A1552" s="1186" t="s">
        <v>1572</v>
      </c>
      <c r="B1552" s="1186" t="s">
        <v>825</v>
      </c>
      <c r="C1552" s="1186" t="s">
        <v>116</v>
      </c>
      <c r="D1552" s="1186" t="s">
        <v>1572</v>
      </c>
      <c r="E1552" s="1186" t="s">
        <v>1989</v>
      </c>
      <c r="F1552" s="1186" t="s">
        <v>1981</v>
      </c>
      <c r="G1552" s="1186" t="s">
        <v>1982</v>
      </c>
      <c r="H1552" s="1186">
        <v>58</v>
      </c>
    </row>
    <row r="1553" spans="1:8" x14ac:dyDescent="0.2">
      <c r="A1553" s="1186" t="s">
        <v>1572</v>
      </c>
      <c r="B1553" s="1186" t="s">
        <v>825</v>
      </c>
      <c r="C1553" s="1186" t="s">
        <v>116</v>
      </c>
      <c r="D1553" s="1186" t="s">
        <v>1572</v>
      </c>
      <c r="E1553" s="1186" t="s">
        <v>1990</v>
      </c>
      <c r="F1553" s="1186" t="s">
        <v>1981</v>
      </c>
      <c r="G1553" s="1186" t="s">
        <v>1982</v>
      </c>
      <c r="H1553" s="1186">
        <v>79</v>
      </c>
    </row>
    <row r="1554" spans="1:8" x14ac:dyDescent="0.2">
      <c r="A1554" s="1186" t="s">
        <v>1572</v>
      </c>
      <c r="B1554" s="1186" t="s">
        <v>825</v>
      </c>
      <c r="C1554" s="1186" t="s">
        <v>116</v>
      </c>
      <c r="D1554" s="1186" t="s">
        <v>1572</v>
      </c>
      <c r="E1554" s="1186" t="s">
        <v>1991</v>
      </c>
      <c r="F1554" s="1186" t="s">
        <v>1983</v>
      </c>
      <c r="G1554" s="1186" t="s">
        <v>1982</v>
      </c>
      <c r="H1554" s="1186">
        <v>77</v>
      </c>
    </row>
    <row r="1555" spans="1:8" x14ac:dyDescent="0.2">
      <c r="A1555" s="1186" t="s">
        <v>1572</v>
      </c>
      <c r="B1555" s="1186" t="s">
        <v>825</v>
      </c>
      <c r="C1555" s="1186" t="s">
        <v>116</v>
      </c>
      <c r="D1555" s="1186" t="s">
        <v>1572</v>
      </c>
      <c r="E1555" s="1186" t="s">
        <v>1992</v>
      </c>
      <c r="F1555" s="1186" t="s">
        <v>1983</v>
      </c>
      <c r="G1555" s="1186" t="s">
        <v>1984</v>
      </c>
      <c r="H1555" s="1186">
        <v>65</v>
      </c>
    </row>
    <row r="1556" spans="1:8" x14ac:dyDescent="0.2">
      <c r="A1556" s="1186" t="s">
        <v>1572</v>
      </c>
      <c r="B1556" s="1186" t="s">
        <v>825</v>
      </c>
      <c r="C1556" s="1186" t="s">
        <v>116</v>
      </c>
      <c r="D1556" s="1186" t="s">
        <v>1572</v>
      </c>
      <c r="E1556" s="1186" t="s">
        <v>1993</v>
      </c>
      <c r="F1556" s="1186" t="s">
        <v>1983</v>
      </c>
      <c r="G1556" s="1186" t="s">
        <v>1984</v>
      </c>
      <c r="H1556" s="1186">
        <v>58</v>
      </c>
    </row>
    <row r="1557" spans="1:8" x14ac:dyDescent="0.2">
      <c r="A1557" s="1186" t="s">
        <v>1572</v>
      </c>
      <c r="B1557" s="1186" t="s">
        <v>825</v>
      </c>
      <c r="C1557" s="1186" t="s">
        <v>116</v>
      </c>
      <c r="D1557" s="1186" t="s">
        <v>1572</v>
      </c>
      <c r="E1557" s="1186" t="s">
        <v>1994</v>
      </c>
      <c r="F1557" s="1186" t="s">
        <v>1985</v>
      </c>
      <c r="G1557" s="1186" t="s">
        <v>1984</v>
      </c>
      <c r="H1557" s="1186">
        <v>58</v>
      </c>
    </row>
    <row r="1558" spans="1:8" x14ac:dyDescent="0.2">
      <c r="A1558" s="1186" t="s">
        <v>1572</v>
      </c>
      <c r="B1558" s="1186" t="s">
        <v>825</v>
      </c>
      <c r="C1558" s="1186" t="s">
        <v>116</v>
      </c>
      <c r="D1558" s="1186" t="s">
        <v>1572</v>
      </c>
      <c r="E1558" s="1186" t="s">
        <v>1995</v>
      </c>
      <c r="F1558" s="1186" t="s">
        <v>1985</v>
      </c>
      <c r="G1558" s="1186" t="s">
        <v>1986</v>
      </c>
      <c r="H1558" s="1186">
        <v>81</v>
      </c>
    </row>
    <row r="1559" spans="1:8" x14ac:dyDescent="0.2">
      <c r="A1559" s="1186" t="s">
        <v>1572</v>
      </c>
      <c r="B1559" s="1186" t="s">
        <v>825</v>
      </c>
      <c r="C1559" s="1186" t="s">
        <v>116</v>
      </c>
      <c r="D1559" s="1186" t="s">
        <v>1572</v>
      </c>
      <c r="E1559" s="1186" t="s">
        <v>1996</v>
      </c>
      <c r="F1559" s="1186" t="s">
        <v>1985</v>
      </c>
      <c r="G1559" s="1186" t="s">
        <v>1986</v>
      </c>
      <c r="H1559" s="1186">
        <v>66</v>
      </c>
    </row>
    <row r="1560" spans="1:8" x14ac:dyDescent="0.2">
      <c r="A1560" s="1186" t="s">
        <v>1572</v>
      </c>
      <c r="B1560" s="1186" t="s">
        <v>825</v>
      </c>
      <c r="C1560" s="1186" t="s">
        <v>116</v>
      </c>
      <c r="D1560" s="1186" t="s">
        <v>1572</v>
      </c>
      <c r="E1560" s="1186" t="s">
        <v>1997</v>
      </c>
      <c r="F1560" s="1186" t="s">
        <v>1987</v>
      </c>
      <c r="G1560" s="1186" t="s">
        <v>1986</v>
      </c>
      <c r="H1560" s="1186">
        <v>54</v>
      </c>
    </row>
    <row r="1561" spans="1:8" x14ac:dyDescent="0.2">
      <c r="A1561" s="1186" t="s">
        <v>1572</v>
      </c>
      <c r="B1561" s="1186" t="s">
        <v>825</v>
      </c>
      <c r="C1561" s="1186" t="s">
        <v>116</v>
      </c>
      <c r="D1561" s="1186" t="s">
        <v>1572</v>
      </c>
      <c r="E1561" s="1186" t="s">
        <v>1998</v>
      </c>
      <c r="F1561" s="1186" t="s">
        <v>1987</v>
      </c>
      <c r="G1561" s="1186" t="s">
        <v>1988</v>
      </c>
      <c r="H1561" s="1186">
        <v>54</v>
      </c>
    </row>
    <row r="1562" spans="1:8" x14ac:dyDescent="0.2">
      <c r="A1562" s="1186" t="s">
        <v>1572</v>
      </c>
      <c r="B1562" s="1186" t="s">
        <v>825</v>
      </c>
      <c r="C1562" s="1186" t="s">
        <v>116</v>
      </c>
      <c r="D1562" s="1186" t="s">
        <v>1572</v>
      </c>
      <c r="E1562" s="1186" t="s">
        <v>1999</v>
      </c>
      <c r="F1562" s="1186" t="s">
        <v>1987</v>
      </c>
      <c r="G1562" s="1186" t="s">
        <v>1988</v>
      </c>
      <c r="H1562" s="1186">
        <v>41</v>
      </c>
    </row>
    <row r="1563" spans="1:8" x14ac:dyDescent="0.2">
      <c r="A1563" s="1186" t="s">
        <v>1572</v>
      </c>
      <c r="B1563" s="1186" t="s">
        <v>825</v>
      </c>
      <c r="C1563" s="1186" t="s">
        <v>116</v>
      </c>
      <c r="D1563" s="1186" t="s">
        <v>1572</v>
      </c>
      <c r="E1563" s="1186" t="s">
        <v>2000</v>
      </c>
      <c r="F1563" s="1186" t="s">
        <v>1981</v>
      </c>
      <c r="G1563" s="1186" t="s">
        <v>1988</v>
      </c>
      <c r="H1563" s="1186">
        <v>70</v>
      </c>
    </row>
    <row r="1564" spans="1:8" x14ac:dyDescent="0.2">
      <c r="A1564" s="1186" t="s">
        <v>1572</v>
      </c>
      <c r="B1564" s="1186" t="s">
        <v>826</v>
      </c>
      <c r="C1564" s="1186" t="s">
        <v>61</v>
      </c>
      <c r="D1564" s="1186" t="s">
        <v>1572</v>
      </c>
      <c r="E1564" s="1186" t="s">
        <v>1989</v>
      </c>
      <c r="F1564" s="1186" t="s">
        <v>1981</v>
      </c>
      <c r="G1564" s="1186" t="s">
        <v>1982</v>
      </c>
      <c r="H1564" s="1186">
        <v>56</v>
      </c>
    </row>
    <row r="1565" spans="1:8" x14ac:dyDescent="0.2">
      <c r="A1565" s="1186" t="s">
        <v>1572</v>
      </c>
      <c r="B1565" s="1186" t="s">
        <v>826</v>
      </c>
      <c r="C1565" s="1186" t="s">
        <v>61</v>
      </c>
      <c r="D1565" s="1186" t="s">
        <v>1572</v>
      </c>
      <c r="E1565" s="1186" t="s">
        <v>1990</v>
      </c>
      <c r="F1565" s="1186" t="s">
        <v>1981</v>
      </c>
      <c r="G1565" s="1186" t="s">
        <v>1982</v>
      </c>
      <c r="H1565" s="1186">
        <v>76</v>
      </c>
    </row>
    <row r="1566" spans="1:8" x14ac:dyDescent="0.2">
      <c r="A1566" s="1186" t="s">
        <v>1572</v>
      </c>
      <c r="B1566" s="1186" t="s">
        <v>826</v>
      </c>
      <c r="C1566" s="1186" t="s">
        <v>61</v>
      </c>
      <c r="D1566" s="1186" t="s">
        <v>1572</v>
      </c>
      <c r="E1566" s="1186" t="s">
        <v>1991</v>
      </c>
      <c r="F1566" s="1186" t="s">
        <v>1983</v>
      </c>
      <c r="G1566" s="1186" t="s">
        <v>1982</v>
      </c>
      <c r="H1566" s="1186">
        <v>62</v>
      </c>
    </row>
    <row r="1567" spans="1:8" x14ac:dyDescent="0.2">
      <c r="A1567" s="1186" t="s">
        <v>1572</v>
      </c>
      <c r="B1567" s="1186" t="s">
        <v>826</v>
      </c>
      <c r="C1567" s="1186" t="s">
        <v>61</v>
      </c>
      <c r="D1567" s="1186" t="s">
        <v>1572</v>
      </c>
      <c r="E1567" s="1186" t="s">
        <v>1992</v>
      </c>
      <c r="F1567" s="1186" t="s">
        <v>1983</v>
      </c>
      <c r="G1567" s="1186" t="s">
        <v>1984</v>
      </c>
      <c r="H1567" s="1186">
        <v>42</v>
      </c>
    </row>
    <row r="1568" spans="1:8" x14ac:dyDescent="0.2">
      <c r="A1568" s="1186" t="s">
        <v>1572</v>
      </c>
      <c r="B1568" s="1186" t="s">
        <v>826</v>
      </c>
      <c r="C1568" s="1186" t="s">
        <v>61</v>
      </c>
      <c r="D1568" s="1186" t="s">
        <v>1572</v>
      </c>
      <c r="E1568" s="1186" t="s">
        <v>1993</v>
      </c>
      <c r="F1568" s="1186" t="s">
        <v>1983</v>
      </c>
      <c r="G1568" s="1186" t="s">
        <v>1984</v>
      </c>
      <c r="H1568" s="1186">
        <v>44</v>
      </c>
    </row>
    <row r="1569" spans="1:8" x14ac:dyDescent="0.2">
      <c r="A1569" s="1186" t="s">
        <v>1572</v>
      </c>
      <c r="B1569" s="1186" t="s">
        <v>826</v>
      </c>
      <c r="C1569" s="1186" t="s">
        <v>61</v>
      </c>
      <c r="D1569" s="1186" t="s">
        <v>1572</v>
      </c>
      <c r="E1569" s="1186" t="s">
        <v>1994</v>
      </c>
      <c r="F1569" s="1186" t="s">
        <v>1985</v>
      </c>
      <c r="G1569" s="1186" t="s">
        <v>1984</v>
      </c>
      <c r="H1569" s="1186">
        <v>59</v>
      </c>
    </row>
    <row r="1570" spans="1:8" x14ac:dyDescent="0.2">
      <c r="A1570" s="1186" t="s">
        <v>1572</v>
      </c>
      <c r="B1570" s="1186" t="s">
        <v>826</v>
      </c>
      <c r="C1570" s="1186" t="s">
        <v>61</v>
      </c>
      <c r="D1570" s="1186" t="s">
        <v>1572</v>
      </c>
      <c r="E1570" s="1186" t="s">
        <v>1995</v>
      </c>
      <c r="F1570" s="1186" t="s">
        <v>1985</v>
      </c>
      <c r="G1570" s="1186" t="s">
        <v>1986</v>
      </c>
      <c r="H1570" s="1186">
        <v>25</v>
      </c>
    </row>
    <row r="1571" spans="1:8" x14ac:dyDescent="0.2">
      <c r="A1571" s="1186" t="s">
        <v>1572</v>
      </c>
      <c r="B1571" s="1186" t="s">
        <v>826</v>
      </c>
      <c r="C1571" s="1186" t="s">
        <v>61</v>
      </c>
      <c r="D1571" s="1186" t="s">
        <v>1572</v>
      </c>
      <c r="E1571" s="1186" t="s">
        <v>1996</v>
      </c>
      <c r="F1571" s="1186" t="s">
        <v>1985</v>
      </c>
      <c r="G1571" s="1186" t="s">
        <v>1986</v>
      </c>
      <c r="H1571" s="1186">
        <v>20</v>
      </c>
    </row>
    <row r="1572" spans="1:8" x14ac:dyDescent="0.2">
      <c r="A1572" s="1186" t="s">
        <v>1572</v>
      </c>
      <c r="B1572" s="1186" t="s">
        <v>826</v>
      </c>
      <c r="C1572" s="1186" t="s">
        <v>61</v>
      </c>
      <c r="D1572" s="1186" t="s">
        <v>1572</v>
      </c>
      <c r="E1572" s="1186" t="s">
        <v>1997</v>
      </c>
      <c r="F1572" s="1186" t="s">
        <v>1987</v>
      </c>
      <c r="G1572" s="1186" t="s">
        <v>1986</v>
      </c>
      <c r="H1572" s="1186">
        <v>22</v>
      </c>
    </row>
    <row r="1573" spans="1:8" x14ac:dyDescent="0.2">
      <c r="A1573" s="1186" t="s">
        <v>1572</v>
      </c>
      <c r="B1573" s="1186" t="s">
        <v>826</v>
      </c>
      <c r="C1573" s="1186" t="s">
        <v>61</v>
      </c>
      <c r="D1573" s="1186" t="s">
        <v>1572</v>
      </c>
      <c r="E1573" s="1186" t="s">
        <v>1998</v>
      </c>
      <c r="F1573" s="1186" t="s">
        <v>1987</v>
      </c>
      <c r="G1573" s="1186" t="s">
        <v>1988</v>
      </c>
      <c r="H1573" s="1186">
        <v>13</v>
      </c>
    </row>
    <row r="1574" spans="1:8" x14ac:dyDescent="0.2">
      <c r="A1574" s="1186" t="s">
        <v>1572</v>
      </c>
      <c r="B1574" s="1186" t="s">
        <v>826</v>
      </c>
      <c r="C1574" s="1186" t="s">
        <v>61</v>
      </c>
      <c r="D1574" s="1186" t="s">
        <v>1572</v>
      </c>
      <c r="E1574" s="1186" t="s">
        <v>1999</v>
      </c>
      <c r="F1574" s="1186" t="s">
        <v>1987</v>
      </c>
      <c r="G1574" s="1186" t="s">
        <v>1988</v>
      </c>
      <c r="H1574" s="1186">
        <v>24</v>
      </c>
    </row>
    <row r="1575" spans="1:8" x14ac:dyDescent="0.2">
      <c r="A1575" s="1186" t="s">
        <v>1572</v>
      </c>
      <c r="B1575" s="1186" t="s">
        <v>826</v>
      </c>
      <c r="C1575" s="1186" t="s">
        <v>61</v>
      </c>
      <c r="D1575" s="1186" t="s">
        <v>1572</v>
      </c>
      <c r="E1575" s="1186" t="s">
        <v>2000</v>
      </c>
      <c r="F1575" s="1186" t="s">
        <v>1981</v>
      </c>
      <c r="G1575" s="1186" t="s">
        <v>1988</v>
      </c>
      <c r="H1575" s="1186">
        <v>37</v>
      </c>
    </row>
    <row r="1576" spans="1:8" x14ac:dyDescent="0.2">
      <c r="A1576" s="1186" t="s">
        <v>1572</v>
      </c>
      <c r="B1576" s="1186" t="s">
        <v>826</v>
      </c>
      <c r="C1576" s="1186" t="s">
        <v>116</v>
      </c>
      <c r="D1576" s="1186" t="s">
        <v>1572</v>
      </c>
      <c r="E1576" s="1186" t="s">
        <v>1989</v>
      </c>
      <c r="F1576" s="1186" t="s">
        <v>1981</v>
      </c>
      <c r="G1576" s="1186" t="s">
        <v>1982</v>
      </c>
      <c r="H1576" s="1186">
        <v>85</v>
      </c>
    </row>
    <row r="1577" spans="1:8" x14ac:dyDescent="0.2">
      <c r="A1577" s="1186" t="s">
        <v>1572</v>
      </c>
      <c r="B1577" s="1186" t="s">
        <v>826</v>
      </c>
      <c r="C1577" s="1186" t="s">
        <v>116</v>
      </c>
      <c r="D1577" s="1186" t="s">
        <v>1572</v>
      </c>
      <c r="E1577" s="1186" t="s">
        <v>1990</v>
      </c>
      <c r="F1577" s="1186" t="s">
        <v>1981</v>
      </c>
      <c r="G1577" s="1186" t="s">
        <v>1982</v>
      </c>
      <c r="H1577" s="1186">
        <v>113</v>
      </c>
    </row>
    <row r="1578" spans="1:8" x14ac:dyDescent="0.2">
      <c r="A1578" s="1186" t="s">
        <v>1572</v>
      </c>
      <c r="B1578" s="1186" t="s">
        <v>826</v>
      </c>
      <c r="C1578" s="1186" t="s">
        <v>116</v>
      </c>
      <c r="D1578" s="1186" t="s">
        <v>1572</v>
      </c>
      <c r="E1578" s="1186" t="s">
        <v>1991</v>
      </c>
      <c r="F1578" s="1186" t="s">
        <v>1983</v>
      </c>
      <c r="G1578" s="1186" t="s">
        <v>1982</v>
      </c>
      <c r="H1578" s="1186">
        <v>70</v>
      </c>
    </row>
    <row r="1579" spans="1:8" x14ac:dyDescent="0.2">
      <c r="A1579" s="1186" t="s">
        <v>1572</v>
      </c>
      <c r="B1579" s="1186" t="s">
        <v>826</v>
      </c>
      <c r="C1579" s="1186" t="s">
        <v>116</v>
      </c>
      <c r="D1579" s="1186" t="s">
        <v>1572</v>
      </c>
      <c r="E1579" s="1186" t="s">
        <v>1992</v>
      </c>
      <c r="F1579" s="1186" t="s">
        <v>1983</v>
      </c>
      <c r="G1579" s="1186" t="s">
        <v>1984</v>
      </c>
      <c r="H1579" s="1186">
        <v>71</v>
      </c>
    </row>
    <row r="1580" spans="1:8" x14ac:dyDescent="0.2">
      <c r="A1580" s="1186" t="s">
        <v>1572</v>
      </c>
      <c r="B1580" s="1186" t="s">
        <v>826</v>
      </c>
      <c r="C1580" s="1186" t="s">
        <v>116</v>
      </c>
      <c r="D1580" s="1186" t="s">
        <v>1572</v>
      </c>
      <c r="E1580" s="1186" t="s">
        <v>1993</v>
      </c>
      <c r="F1580" s="1186" t="s">
        <v>1983</v>
      </c>
      <c r="G1580" s="1186" t="s">
        <v>1984</v>
      </c>
      <c r="H1580" s="1186">
        <v>60</v>
      </c>
    </row>
    <row r="1581" spans="1:8" x14ac:dyDescent="0.2">
      <c r="A1581" s="1186" t="s">
        <v>1572</v>
      </c>
      <c r="B1581" s="1186" t="s">
        <v>826</v>
      </c>
      <c r="C1581" s="1186" t="s">
        <v>116</v>
      </c>
      <c r="D1581" s="1186" t="s">
        <v>1572</v>
      </c>
      <c r="E1581" s="1186" t="s">
        <v>1994</v>
      </c>
      <c r="F1581" s="1186" t="s">
        <v>1985</v>
      </c>
      <c r="G1581" s="1186" t="s">
        <v>1984</v>
      </c>
      <c r="H1581" s="1186">
        <v>75</v>
      </c>
    </row>
    <row r="1582" spans="1:8" x14ac:dyDescent="0.2">
      <c r="A1582" s="1186" t="s">
        <v>1572</v>
      </c>
      <c r="B1582" s="1186" t="s">
        <v>826</v>
      </c>
      <c r="C1582" s="1186" t="s">
        <v>116</v>
      </c>
      <c r="D1582" s="1186" t="s">
        <v>1572</v>
      </c>
      <c r="E1582" s="1186" t="s">
        <v>1995</v>
      </c>
      <c r="F1582" s="1186" t="s">
        <v>1985</v>
      </c>
      <c r="G1582" s="1186" t="s">
        <v>1986</v>
      </c>
      <c r="H1582" s="1186">
        <v>55</v>
      </c>
    </row>
    <row r="1583" spans="1:8" x14ac:dyDescent="0.2">
      <c r="A1583" s="1186" t="s">
        <v>1572</v>
      </c>
      <c r="B1583" s="1186" t="s">
        <v>826</v>
      </c>
      <c r="C1583" s="1186" t="s">
        <v>116</v>
      </c>
      <c r="D1583" s="1186" t="s">
        <v>1572</v>
      </c>
      <c r="E1583" s="1186" t="s">
        <v>1996</v>
      </c>
      <c r="F1583" s="1186" t="s">
        <v>1985</v>
      </c>
      <c r="G1583" s="1186" t="s">
        <v>1986</v>
      </c>
      <c r="H1583" s="1186">
        <v>58</v>
      </c>
    </row>
    <row r="1584" spans="1:8" x14ac:dyDescent="0.2">
      <c r="A1584" s="1186" t="s">
        <v>1572</v>
      </c>
      <c r="B1584" s="1186" t="s">
        <v>826</v>
      </c>
      <c r="C1584" s="1186" t="s">
        <v>116</v>
      </c>
      <c r="D1584" s="1186" t="s">
        <v>1572</v>
      </c>
      <c r="E1584" s="1186" t="s">
        <v>1997</v>
      </c>
      <c r="F1584" s="1186" t="s">
        <v>1987</v>
      </c>
      <c r="G1584" s="1186" t="s">
        <v>1986</v>
      </c>
      <c r="H1584" s="1186">
        <v>32</v>
      </c>
    </row>
    <row r="1585" spans="1:8" x14ac:dyDescent="0.2">
      <c r="A1585" s="1186" t="s">
        <v>1572</v>
      </c>
      <c r="B1585" s="1186" t="s">
        <v>826</v>
      </c>
      <c r="C1585" s="1186" t="s">
        <v>116</v>
      </c>
      <c r="D1585" s="1186" t="s">
        <v>1572</v>
      </c>
      <c r="E1585" s="1186" t="s">
        <v>1998</v>
      </c>
      <c r="F1585" s="1186" t="s">
        <v>1987</v>
      </c>
      <c r="G1585" s="1186" t="s">
        <v>1988</v>
      </c>
      <c r="H1585" s="1186">
        <v>15</v>
      </c>
    </row>
    <row r="1586" spans="1:8" x14ac:dyDescent="0.2">
      <c r="A1586" s="1186" t="s">
        <v>1572</v>
      </c>
      <c r="B1586" s="1186" t="s">
        <v>826</v>
      </c>
      <c r="C1586" s="1186" t="s">
        <v>116</v>
      </c>
      <c r="D1586" s="1186" t="s">
        <v>1572</v>
      </c>
      <c r="E1586" s="1186" t="s">
        <v>1999</v>
      </c>
      <c r="F1586" s="1186" t="s">
        <v>1987</v>
      </c>
      <c r="G1586" s="1186" t="s">
        <v>1988</v>
      </c>
      <c r="H1586" s="1186">
        <v>30</v>
      </c>
    </row>
    <row r="1587" spans="1:8" x14ac:dyDescent="0.2">
      <c r="A1587" s="1186" t="s">
        <v>1572</v>
      </c>
      <c r="B1587" s="1186" t="s">
        <v>826</v>
      </c>
      <c r="C1587" s="1186" t="s">
        <v>116</v>
      </c>
      <c r="D1587" s="1186" t="s">
        <v>1572</v>
      </c>
      <c r="E1587" s="1186" t="s">
        <v>2000</v>
      </c>
      <c r="F1587" s="1186" t="s">
        <v>1981</v>
      </c>
      <c r="G1587" s="1186" t="s">
        <v>1988</v>
      </c>
      <c r="H1587" s="1186">
        <v>77</v>
      </c>
    </row>
    <row r="1588" spans="1:8" x14ac:dyDescent="0.2">
      <c r="A1588" s="1186" t="s">
        <v>1572</v>
      </c>
      <c r="B1588" s="1186" t="s">
        <v>308</v>
      </c>
      <c r="C1588" s="1186" t="s">
        <v>61</v>
      </c>
      <c r="D1588" s="1186" t="s">
        <v>1572</v>
      </c>
      <c r="E1588" s="1186" t="s">
        <v>1989</v>
      </c>
      <c r="F1588" s="1186" t="s">
        <v>1981</v>
      </c>
      <c r="G1588" s="1186" t="s">
        <v>1982</v>
      </c>
      <c r="H1588" s="1186">
        <v>585</v>
      </c>
    </row>
    <row r="1589" spans="1:8" x14ac:dyDescent="0.2">
      <c r="A1589" s="1186" t="s">
        <v>1572</v>
      </c>
      <c r="B1589" s="1186" t="s">
        <v>308</v>
      </c>
      <c r="C1589" s="1186" t="s">
        <v>61</v>
      </c>
      <c r="D1589" s="1186" t="s">
        <v>1572</v>
      </c>
      <c r="E1589" s="1186" t="s">
        <v>1990</v>
      </c>
      <c r="F1589" s="1186" t="s">
        <v>1981</v>
      </c>
      <c r="G1589" s="1186" t="s">
        <v>1982</v>
      </c>
      <c r="H1589" s="1186">
        <v>462</v>
      </c>
    </row>
    <row r="1590" spans="1:8" x14ac:dyDescent="0.2">
      <c r="A1590" s="1186" t="s">
        <v>1572</v>
      </c>
      <c r="B1590" s="1186" t="s">
        <v>308</v>
      </c>
      <c r="C1590" s="1186" t="s">
        <v>61</v>
      </c>
      <c r="D1590" s="1186" t="s">
        <v>1572</v>
      </c>
      <c r="E1590" s="1186" t="s">
        <v>1991</v>
      </c>
      <c r="F1590" s="1186" t="s">
        <v>1983</v>
      </c>
      <c r="G1590" s="1186" t="s">
        <v>1982</v>
      </c>
      <c r="H1590" s="1186">
        <v>317</v>
      </c>
    </row>
    <row r="1591" spans="1:8" x14ac:dyDescent="0.2">
      <c r="A1591" s="1186" t="s">
        <v>1572</v>
      </c>
      <c r="B1591" s="1186" t="s">
        <v>308</v>
      </c>
      <c r="C1591" s="1186" t="s">
        <v>61</v>
      </c>
      <c r="D1591" s="1186" t="s">
        <v>1572</v>
      </c>
      <c r="E1591" s="1186" t="s">
        <v>1992</v>
      </c>
      <c r="F1591" s="1186" t="s">
        <v>1983</v>
      </c>
      <c r="G1591" s="1186" t="s">
        <v>1984</v>
      </c>
      <c r="H1591" s="1186">
        <v>265</v>
      </c>
    </row>
    <row r="1592" spans="1:8" x14ac:dyDescent="0.2">
      <c r="A1592" s="1186" t="s">
        <v>1572</v>
      </c>
      <c r="B1592" s="1186" t="s">
        <v>308</v>
      </c>
      <c r="C1592" s="1186" t="s">
        <v>61</v>
      </c>
      <c r="D1592" s="1186" t="s">
        <v>1572</v>
      </c>
      <c r="E1592" s="1186" t="s">
        <v>1993</v>
      </c>
      <c r="F1592" s="1186" t="s">
        <v>1983</v>
      </c>
      <c r="G1592" s="1186" t="s">
        <v>1984</v>
      </c>
      <c r="H1592" s="1186">
        <v>228</v>
      </c>
    </row>
    <row r="1593" spans="1:8" x14ac:dyDescent="0.2">
      <c r="A1593" s="1186" t="s">
        <v>1572</v>
      </c>
      <c r="B1593" s="1186" t="s">
        <v>308</v>
      </c>
      <c r="C1593" s="1186" t="s">
        <v>61</v>
      </c>
      <c r="D1593" s="1186" t="s">
        <v>1572</v>
      </c>
      <c r="E1593" s="1186" t="s">
        <v>1994</v>
      </c>
      <c r="F1593" s="1186" t="s">
        <v>1985</v>
      </c>
      <c r="G1593" s="1186" t="s">
        <v>1984</v>
      </c>
      <c r="H1593" s="1186">
        <v>244</v>
      </c>
    </row>
    <row r="1594" spans="1:8" x14ac:dyDescent="0.2">
      <c r="A1594" s="1186" t="s">
        <v>1572</v>
      </c>
      <c r="B1594" s="1186" t="s">
        <v>308</v>
      </c>
      <c r="C1594" s="1186" t="s">
        <v>61</v>
      </c>
      <c r="D1594" s="1186" t="s">
        <v>1572</v>
      </c>
      <c r="E1594" s="1186" t="s">
        <v>1995</v>
      </c>
      <c r="F1594" s="1186" t="s">
        <v>1985</v>
      </c>
      <c r="G1594" s="1186" t="s">
        <v>1986</v>
      </c>
      <c r="H1594" s="1186">
        <v>171</v>
      </c>
    </row>
    <row r="1595" spans="1:8" x14ac:dyDescent="0.2">
      <c r="A1595" s="1186" t="s">
        <v>1572</v>
      </c>
      <c r="B1595" s="1186" t="s">
        <v>308</v>
      </c>
      <c r="C1595" s="1186" t="s">
        <v>61</v>
      </c>
      <c r="D1595" s="1186" t="s">
        <v>1572</v>
      </c>
      <c r="E1595" s="1186" t="s">
        <v>1996</v>
      </c>
      <c r="F1595" s="1186" t="s">
        <v>1985</v>
      </c>
      <c r="G1595" s="1186" t="s">
        <v>1986</v>
      </c>
      <c r="H1595" s="1186">
        <v>158</v>
      </c>
    </row>
    <row r="1596" spans="1:8" x14ac:dyDescent="0.2">
      <c r="A1596" s="1186" t="s">
        <v>1572</v>
      </c>
      <c r="B1596" s="1186" t="s">
        <v>308</v>
      </c>
      <c r="C1596" s="1186" t="s">
        <v>61</v>
      </c>
      <c r="D1596" s="1186" t="s">
        <v>1572</v>
      </c>
      <c r="E1596" s="1186" t="s">
        <v>1997</v>
      </c>
      <c r="F1596" s="1186" t="s">
        <v>1987</v>
      </c>
      <c r="G1596" s="1186" t="s">
        <v>1986</v>
      </c>
      <c r="H1596" s="1186">
        <v>107</v>
      </c>
    </row>
    <row r="1597" spans="1:8" x14ac:dyDescent="0.2">
      <c r="A1597" s="1186" t="s">
        <v>1572</v>
      </c>
      <c r="B1597" s="1186" t="s">
        <v>308</v>
      </c>
      <c r="C1597" s="1186" t="s">
        <v>61</v>
      </c>
      <c r="D1597" s="1186" t="s">
        <v>1572</v>
      </c>
      <c r="E1597" s="1186" t="s">
        <v>1998</v>
      </c>
      <c r="F1597" s="1186" t="s">
        <v>1987</v>
      </c>
      <c r="G1597" s="1186" t="s">
        <v>1988</v>
      </c>
      <c r="H1597" s="1186">
        <v>106</v>
      </c>
    </row>
    <row r="1598" spans="1:8" x14ac:dyDescent="0.2">
      <c r="A1598" s="1186" t="s">
        <v>1572</v>
      </c>
      <c r="B1598" s="1186" t="s">
        <v>308</v>
      </c>
      <c r="C1598" s="1186" t="s">
        <v>61</v>
      </c>
      <c r="D1598" s="1186" t="s">
        <v>1572</v>
      </c>
      <c r="E1598" s="1186" t="s">
        <v>1999</v>
      </c>
      <c r="F1598" s="1186" t="s">
        <v>1987</v>
      </c>
      <c r="G1598" s="1186" t="s">
        <v>1988</v>
      </c>
      <c r="H1598" s="1186">
        <v>170</v>
      </c>
    </row>
    <row r="1599" spans="1:8" x14ac:dyDescent="0.2">
      <c r="A1599" s="1186" t="s">
        <v>1572</v>
      </c>
      <c r="B1599" s="1186" t="s">
        <v>308</v>
      </c>
      <c r="C1599" s="1186" t="s">
        <v>61</v>
      </c>
      <c r="D1599" s="1186" t="s">
        <v>1572</v>
      </c>
      <c r="E1599" s="1186" t="s">
        <v>2000</v>
      </c>
      <c r="F1599" s="1186" t="s">
        <v>1981</v>
      </c>
      <c r="G1599" s="1186" t="s">
        <v>1988</v>
      </c>
      <c r="H1599" s="1186">
        <v>260</v>
      </c>
    </row>
    <row r="1600" spans="1:8" x14ac:dyDescent="0.2">
      <c r="A1600" s="1186" t="s">
        <v>1572</v>
      </c>
      <c r="B1600" s="1186" t="s">
        <v>308</v>
      </c>
      <c r="C1600" s="1186" t="s">
        <v>116</v>
      </c>
      <c r="D1600" s="1186" t="s">
        <v>1572</v>
      </c>
      <c r="E1600" s="1186" t="s">
        <v>1989</v>
      </c>
      <c r="F1600" s="1186" t="s">
        <v>1981</v>
      </c>
      <c r="G1600" s="1186" t="s">
        <v>1982</v>
      </c>
      <c r="H1600" s="1186">
        <v>1606</v>
      </c>
    </row>
    <row r="1601" spans="1:8" x14ac:dyDescent="0.2">
      <c r="A1601" s="1186" t="s">
        <v>1572</v>
      </c>
      <c r="B1601" s="1186" t="s">
        <v>308</v>
      </c>
      <c r="C1601" s="1186" t="s">
        <v>116</v>
      </c>
      <c r="D1601" s="1186" t="s">
        <v>1572</v>
      </c>
      <c r="E1601" s="1186" t="s">
        <v>1990</v>
      </c>
      <c r="F1601" s="1186" t="s">
        <v>1981</v>
      </c>
      <c r="G1601" s="1186" t="s">
        <v>1982</v>
      </c>
      <c r="H1601" s="1186">
        <v>1483</v>
      </c>
    </row>
    <row r="1602" spans="1:8" x14ac:dyDescent="0.2">
      <c r="A1602" s="1186" t="s">
        <v>1572</v>
      </c>
      <c r="B1602" s="1186" t="s">
        <v>308</v>
      </c>
      <c r="C1602" s="1186" t="s">
        <v>116</v>
      </c>
      <c r="D1602" s="1186" t="s">
        <v>1572</v>
      </c>
      <c r="E1602" s="1186" t="s">
        <v>1991</v>
      </c>
      <c r="F1602" s="1186" t="s">
        <v>1983</v>
      </c>
      <c r="G1602" s="1186" t="s">
        <v>1982</v>
      </c>
      <c r="H1602" s="1186">
        <v>1003</v>
      </c>
    </row>
    <row r="1603" spans="1:8" x14ac:dyDescent="0.2">
      <c r="A1603" s="1186" t="s">
        <v>1572</v>
      </c>
      <c r="B1603" s="1186" t="s">
        <v>308</v>
      </c>
      <c r="C1603" s="1186" t="s">
        <v>116</v>
      </c>
      <c r="D1603" s="1186" t="s">
        <v>1572</v>
      </c>
      <c r="E1603" s="1186" t="s">
        <v>1992</v>
      </c>
      <c r="F1603" s="1186" t="s">
        <v>1983</v>
      </c>
      <c r="G1603" s="1186" t="s">
        <v>1984</v>
      </c>
      <c r="H1603" s="1186">
        <v>867</v>
      </c>
    </row>
    <row r="1604" spans="1:8" x14ac:dyDescent="0.2">
      <c r="A1604" s="1186" t="s">
        <v>1572</v>
      </c>
      <c r="B1604" s="1186" t="s">
        <v>308</v>
      </c>
      <c r="C1604" s="1186" t="s">
        <v>116</v>
      </c>
      <c r="D1604" s="1186" t="s">
        <v>1572</v>
      </c>
      <c r="E1604" s="1186" t="s">
        <v>1993</v>
      </c>
      <c r="F1604" s="1186" t="s">
        <v>1983</v>
      </c>
      <c r="G1604" s="1186" t="s">
        <v>1984</v>
      </c>
      <c r="H1604" s="1186">
        <v>726</v>
      </c>
    </row>
    <row r="1605" spans="1:8" x14ac:dyDescent="0.2">
      <c r="A1605" s="1186" t="s">
        <v>1572</v>
      </c>
      <c r="B1605" s="1186" t="s">
        <v>308</v>
      </c>
      <c r="C1605" s="1186" t="s">
        <v>116</v>
      </c>
      <c r="D1605" s="1186" t="s">
        <v>1572</v>
      </c>
      <c r="E1605" s="1186" t="s">
        <v>1994</v>
      </c>
      <c r="F1605" s="1186" t="s">
        <v>1985</v>
      </c>
      <c r="G1605" s="1186" t="s">
        <v>1984</v>
      </c>
      <c r="H1605" s="1186">
        <v>968</v>
      </c>
    </row>
    <row r="1606" spans="1:8" x14ac:dyDescent="0.2">
      <c r="A1606" s="1186" t="s">
        <v>1572</v>
      </c>
      <c r="B1606" s="1186" t="s">
        <v>308</v>
      </c>
      <c r="C1606" s="1186" t="s">
        <v>116</v>
      </c>
      <c r="D1606" s="1186" t="s">
        <v>1572</v>
      </c>
      <c r="E1606" s="1186" t="s">
        <v>1995</v>
      </c>
      <c r="F1606" s="1186" t="s">
        <v>1985</v>
      </c>
      <c r="G1606" s="1186" t="s">
        <v>1986</v>
      </c>
      <c r="H1606" s="1186">
        <v>1054</v>
      </c>
    </row>
    <row r="1607" spans="1:8" x14ac:dyDescent="0.2">
      <c r="A1607" s="1186" t="s">
        <v>1572</v>
      </c>
      <c r="B1607" s="1186" t="s">
        <v>308</v>
      </c>
      <c r="C1607" s="1186" t="s">
        <v>116</v>
      </c>
      <c r="D1607" s="1186" t="s">
        <v>1572</v>
      </c>
      <c r="E1607" s="1186" t="s">
        <v>1996</v>
      </c>
      <c r="F1607" s="1186" t="s">
        <v>1985</v>
      </c>
      <c r="G1607" s="1186" t="s">
        <v>1986</v>
      </c>
      <c r="H1607" s="1186">
        <v>1286</v>
      </c>
    </row>
    <row r="1608" spans="1:8" x14ac:dyDescent="0.2">
      <c r="A1608" s="1186" t="s">
        <v>1572</v>
      </c>
      <c r="B1608" s="1186" t="s">
        <v>308</v>
      </c>
      <c r="C1608" s="1186" t="s">
        <v>116</v>
      </c>
      <c r="D1608" s="1186" t="s">
        <v>1572</v>
      </c>
      <c r="E1608" s="1186" t="s">
        <v>1997</v>
      </c>
      <c r="F1608" s="1186" t="s">
        <v>1987</v>
      </c>
      <c r="G1608" s="1186" t="s">
        <v>1986</v>
      </c>
      <c r="H1608" s="1186">
        <v>566</v>
      </c>
    </row>
    <row r="1609" spans="1:8" x14ac:dyDescent="0.2">
      <c r="A1609" s="1186" t="s">
        <v>1572</v>
      </c>
      <c r="B1609" s="1186" t="s">
        <v>308</v>
      </c>
      <c r="C1609" s="1186" t="s">
        <v>116</v>
      </c>
      <c r="D1609" s="1186" t="s">
        <v>1572</v>
      </c>
      <c r="E1609" s="1186" t="s">
        <v>1998</v>
      </c>
      <c r="F1609" s="1186" t="s">
        <v>1987</v>
      </c>
      <c r="G1609" s="1186" t="s">
        <v>1988</v>
      </c>
      <c r="H1609" s="1186">
        <v>481</v>
      </c>
    </row>
    <row r="1610" spans="1:8" x14ac:dyDescent="0.2">
      <c r="A1610" s="1186" t="s">
        <v>1572</v>
      </c>
      <c r="B1610" s="1186" t="s">
        <v>308</v>
      </c>
      <c r="C1610" s="1186" t="s">
        <v>116</v>
      </c>
      <c r="D1610" s="1186" t="s">
        <v>1572</v>
      </c>
      <c r="E1610" s="1186" t="s">
        <v>1999</v>
      </c>
      <c r="F1610" s="1186" t="s">
        <v>1987</v>
      </c>
      <c r="G1610" s="1186" t="s">
        <v>1988</v>
      </c>
      <c r="H1610" s="1186">
        <v>623</v>
      </c>
    </row>
    <row r="1611" spans="1:8" x14ac:dyDescent="0.2">
      <c r="A1611" s="1186" t="s">
        <v>1572</v>
      </c>
      <c r="B1611" s="1186" t="s">
        <v>308</v>
      </c>
      <c r="C1611" s="1186" t="s">
        <v>116</v>
      </c>
      <c r="D1611" s="1186" t="s">
        <v>1572</v>
      </c>
      <c r="E1611" s="1186" t="s">
        <v>2000</v>
      </c>
      <c r="F1611" s="1186" t="s">
        <v>1981</v>
      </c>
      <c r="G1611" s="1186" t="s">
        <v>1988</v>
      </c>
      <c r="H1611" s="1186">
        <v>1394</v>
      </c>
    </row>
  </sheetData>
  <pageMargins left="0.7" right="0.7" top="0.75" bottom="0.75" header="0.3" footer="0.3"/>
  <pageSetup paperSize="9" fitToHeight="50" orientation="landscape" r:id="rId1"/>
  <legacyDrawing r:id="rId2"/>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pageSetUpPr fitToPage="1"/>
  </sheetPr>
  <dimension ref="A1:AR14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2" width="7.42578125" bestFit="1" customWidth="1"/>
    <col min="3" max="3" width="12" bestFit="1" customWidth="1"/>
    <col min="4" max="4" width="15.85546875" bestFit="1" customWidth="1"/>
    <col min="5" max="5" width="21.42578125" bestFit="1" customWidth="1"/>
    <col min="6" max="6" width="19.85546875" bestFit="1" customWidth="1"/>
    <col min="7" max="7" width="14.5703125" bestFit="1" customWidth="1"/>
    <col min="8" max="8" width="14.42578125" bestFit="1" customWidth="1"/>
    <col min="9" max="9" width="12.5703125" bestFit="1" customWidth="1"/>
    <col min="10" max="10" width="9.85546875" bestFit="1" customWidth="1"/>
    <col min="11" max="11" width="7.42578125" bestFit="1" customWidth="1"/>
    <col min="12" max="12" width="7" bestFit="1" customWidth="1"/>
    <col min="13" max="14" width="7.42578125" bestFit="1" customWidth="1"/>
    <col min="15" max="15" width="9.140625" bestFit="1" customWidth="1"/>
    <col min="16" max="16" width="24.5703125" bestFit="1" customWidth="1"/>
    <col min="17" max="17" width="20.85546875" bestFit="1" customWidth="1"/>
    <col min="18" max="18" width="19.5703125" bestFit="1" customWidth="1"/>
    <col min="19" max="19" width="22.28515625" bestFit="1" customWidth="1"/>
    <col min="20" max="20" width="20.85546875" bestFit="1" customWidth="1"/>
    <col min="21" max="22" width="7.42578125" bestFit="1" customWidth="1"/>
    <col min="23" max="23" width="8.140625" bestFit="1" customWidth="1"/>
    <col min="24" max="24" width="1.85546875" bestFit="1" customWidth="1"/>
    <col min="25" max="25" width="7" bestFit="1" customWidth="1"/>
    <col min="26" max="26" width="23" bestFit="1" customWidth="1"/>
    <col min="27" max="27" width="10.140625" bestFit="1" customWidth="1"/>
    <col min="28" max="28" width="30.28515625" bestFit="1" customWidth="1"/>
    <col min="29" max="29" width="29.7109375" bestFit="1" customWidth="1"/>
    <col min="30" max="30" width="19" bestFit="1" customWidth="1"/>
    <col min="31" max="31" width="13" bestFit="1" customWidth="1"/>
    <col min="32" max="32" width="42.42578125" bestFit="1" customWidth="1"/>
    <col min="33" max="33" width="16.7109375" bestFit="1" customWidth="1"/>
    <col min="34" max="34" width="26.5703125" bestFit="1" customWidth="1"/>
    <col min="35" max="35" width="25.140625" bestFit="1" customWidth="1"/>
    <col min="36" max="36" width="18.85546875" bestFit="1" customWidth="1"/>
    <col min="37" max="37" width="25.42578125" bestFit="1" customWidth="1"/>
    <col min="38" max="38" width="18.42578125" bestFit="1" customWidth="1"/>
    <col min="39" max="39" width="22.140625" bestFit="1" customWidth="1"/>
    <col min="40" max="40" width="24.7109375" bestFit="1" customWidth="1"/>
    <col min="41" max="41" width="15.85546875" bestFit="1" customWidth="1"/>
    <col min="42" max="42" width="10.5703125" bestFit="1" customWidth="1"/>
    <col min="43" max="43" width="20.5703125" bestFit="1" customWidth="1"/>
    <col min="44" max="44" width="12.85546875" bestFit="1" customWidth="1"/>
  </cols>
  <sheetData>
    <row r="1" spans="1:44" x14ac:dyDescent="0.2"/>
    <row r="4" spans="1:44" x14ac:dyDescent="0.2">
      <c r="A4" s="1223" t="s">
        <v>464</v>
      </c>
      <c r="B4" s="1223" t="s">
        <v>2001</v>
      </c>
      <c r="C4" s="1223" t="s">
        <v>1619</v>
      </c>
      <c r="D4" s="1223" t="s">
        <v>1620</v>
      </c>
      <c r="E4" s="1223" t="s">
        <v>1621</v>
      </c>
      <c r="F4" s="1223" t="s">
        <v>1622</v>
      </c>
      <c r="G4" s="1223" t="s">
        <v>1623</v>
      </c>
      <c r="H4" s="1223" t="s">
        <v>1624</v>
      </c>
      <c r="I4" s="1223" t="s">
        <v>1625</v>
      </c>
      <c r="J4" s="1223" t="s">
        <v>2002</v>
      </c>
      <c r="K4" s="1223" t="s">
        <v>1978</v>
      </c>
      <c r="L4" s="1223" t="s">
        <v>1979</v>
      </c>
      <c r="M4" s="1223" t="s">
        <v>1632</v>
      </c>
      <c r="N4" s="1223" t="s">
        <v>2003</v>
      </c>
      <c r="O4" s="1223" t="s">
        <v>2004</v>
      </c>
      <c r="P4" s="1223" t="s">
        <v>2005</v>
      </c>
      <c r="Q4" s="1223" t="s">
        <v>2006</v>
      </c>
      <c r="R4" s="1223" t="s">
        <v>2007</v>
      </c>
      <c r="S4" s="1223" t="s">
        <v>2008</v>
      </c>
      <c r="T4" s="1223" t="s">
        <v>2009</v>
      </c>
      <c r="U4" s="1223" t="s">
        <v>1636</v>
      </c>
      <c r="V4" s="1223" t="s">
        <v>2010</v>
      </c>
      <c r="W4" s="1223" t="s">
        <v>2011</v>
      </c>
      <c r="X4" s="1223" t="s">
        <v>1647</v>
      </c>
      <c r="Y4" s="1223" t="s">
        <v>1648</v>
      </c>
      <c r="Z4" s="1223" t="s">
        <v>1649</v>
      </c>
      <c r="AA4" s="1223" t="s">
        <v>1650</v>
      </c>
      <c r="AB4" s="1223" t="s">
        <v>1651</v>
      </c>
      <c r="AC4" s="1223" t="s">
        <v>1652</v>
      </c>
      <c r="AD4" s="1223" t="s">
        <v>1653</v>
      </c>
      <c r="AE4" s="1223" t="s">
        <v>1654</v>
      </c>
      <c r="AF4" s="1223" t="s">
        <v>1655</v>
      </c>
      <c r="AG4" s="1223" t="s">
        <v>1656</v>
      </c>
      <c r="AH4" s="1223" t="s">
        <v>1657</v>
      </c>
      <c r="AI4" s="1223" t="s">
        <v>1658</v>
      </c>
      <c r="AJ4" s="1223" t="s">
        <v>1659</v>
      </c>
      <c r="AK4" s="1223" t="s">
        <v>1660</v>
      </c>
      <c r="AL4" s="1223" t="s">
        <v>1661</v>
      </c>
      <c r="AM4" s="1223" t="s">
        <v>1662</v>
      </c>
      <c r="AN4" s="1223" t="s">
        <v>1663</v>
      </c>
      <c r="AO4" s="1223" t="s">
        <v>1664</v>
      </c>
      <c r="AP4" s="1223" t="s">
        <v>1665</v>
      </c>
      <c r="AQ4" s="1223" t="s">
        <v>1666</v>
      </c>
      <c r="AR4" s="1223" t="s">
        <v>1667</v>
      </c>
    </row>
    <row r="5" spans="1:44" x14ac:dyDescent="0.2">
      <c r="A5" s="1186" t="s">
        <v>19</v>
      </c>
      <c r="B5" s="1186" t="s">
        <v>868</v>
      </c>
      <c r="C5" s="1186">
        <v>1333</v>
      </c>
      <c r="D5" s="1186">
        <v>592</v>
      </c>
      <c r="E5" s="1186">
        <v>302</v>
      </c>
      <c r="F5" s="1186">
        <v>282</v>
      </c>
      <c r="G5" s="1186">
        <v>157</v>
      </c>
      <c r="H5" s="1186">
        <v>3361</v>
      </c>
      <c r="I5" s="1186">
        <v>145</v>
      </c>
      <c r="J5" s="1186">
        <v>4839</v>
      </c>
      <c r="K5" s="1186" t="s">
        <v>1981</v>
      </c>
      <c r="L5" s="1186" t="s">
        <v>1982</v>
      </c>
      <c r="M5" s="1186" t="s">
        <v>19</v>
      </c>
      <c r="N5" s="1186" t="s">
        <v>868</v>
      </c>
      <c r="O5" s="1186">
        <v>4154</v>
      </c>
      <c r="P5" s="1186">
        <v>2539</v>
      </c>
      <c r="Q5" s="1186">
        <v>1198</v>
      </c>
      <c r="R5" s="1186">
        <v>273</v>
      </c>
      <c r="S5" s="1186">
        <v>136</v>
      </c>
      <c r="T5" s="1186">
        <v>8</v>
      </c>
      <c r="U5" s="1186" t="s">
        <v>19</v>
      </c>
      <c r="V5" s="1186" t="s">
        <v>868</v>
      </c>
      <c r="W5" s="1186">
        <v>752</v>
      </c>
      <c r="X5" s="1186"/>
      <c r="Y5" s="1186">
        <v>188</v>
      </c>
      <c r="Z5" s="1186">
        <v>11</v>
      </c>
      <c r="AA5" s="1186">
        <v>59</v>
      </c>
      <c r="AB5" s="1186">
        <v>13</v>
      </c>
      <c r="AC5" s="1186">
        <v>83</v>
      </c>
      <c r="AD5" s="1186">
        <v>4</v>
      </c>
      <c r="AE5" s="1186">
        <v>77</v>
      </c>
      <c r="AF5" s="1186">
        <v>22</v>
      </c>
      <c r="AG5" s="1186">
        <v>13</v>
      </c>
      <c r="AH5" s="1186">
        <v>12</v>
      </c>
      <c r="AI5" s="1186">
        <v>35</v>
      </c>
      <c r="AJ5" s="1186">
        <v>17</v>
      </c>
      <c r="AK5" s="1186">
        <v>26</v>
      </c>
      <c r="AL5" s="1186">
        <v>68</v>
      </c>
      <c r="AM5" s="1186">
        <v>13</v>
      </c>
      <c r="AN5" s="1186">
        <v>40</v>
      </c>
      <c r="AO5" s="1186">
        <v>1</v>
      </c>
      <c r="AP5" s="1186">
        <v>15</v>
      </c>
      <c r="AQ5" s="1186">
        <v>43</v>
      </c>
      <c r="AR5" s="1186">
        <v>12</v>
      </c>
    </row>
    <row r="6" spans="1:44" x14ac:dyDescent="0.2">
      <c r="A6" s="1186" t="s">
        <v>19</v>
      </c>
      <c r="B6" s="1186" t="s">
        <v>869</v>
      </c>
      <c r="C6" s="1186">
        <v>1239</v>
      </c>
      <c r="D6" s="1186">
        <v>543</v>
      </c>
      <c r="E6" s="1186">
        <v>290</v>
      </c>
      <c r="F6" s="1186">
        <v>269</v>
      </c>
      <c r="G6" s="1186">
        <v>137</v>
      </c>
      <c r="H6" s="1186">
        <v>1986</v>
      </c>
      <c r="I6" s="1186">
        <v>92</v>
      </c>
      <c r="J6" s="1186">
        <v>3317</v>
      </c>
      <c r="K6" s="1186" t="s">
        <v>1981</v>
      </c>
      <c r="L6" s="1186" t="s">
        <v>1982</v>
      </c>
      <c r="M6" s="1186" t="s">
        <v>19</v>
      </c>
      <c r="N6" s="1186" t="s">
        <v>869</v>
      </c>
      <c r="O6" s="1186">
        <v>4157</v>
      </c>
      <c r="P6" s="1186">
        <v>2731</v>
      </c>
      <c r="Q6" s="1186">
        <v>1077</v>
      </c>
      <c r="R6" s="1186">
        <v>215</v>
      </c>
      <c r="S6" s="1186">
        <v>117</v>
      </c>
      <c r="T6" s="1186">
        <v>17</v>
      </c>
      <c r="U6" s="1186" t="s">
        <v>19</v>
      </c>
      <c r="V6" s="1186" t="s">
        <v>869</v>
      </c>
      <c r="W6" s="1186">
        <v>899</v>
      </c>
      <c r="X6" s="1186"/>
      <c r="Y6" s="1186">
        <v>281</v>
      </c>
      <c r="Z6" s="1186">
        <v>15</v>
      </c>
      <c r="AA6" s="1186">
        <v>73</v>
      </c>
      <c r="AB6" s="1186">
        <v>15</v>
      </c>
      <c r="AC6" s="1186">
        <v>77</v>
      </c>
      <c r="AD6" s="1186">
        <v>3</v>
      </c>
      <c r="AE6" s="1186">
        <v>62</v>
      </c>
      <c r="AF6" s="1186">
        <v>22</v>
      </c>
      <c r="AG6" s="1186">
        <v>11</v>
      </c>
      <c r="AH6" s="1186">
        <v>12</v>
      </c>
      <c r="AI6" s="1186">
        <v>39</v>
      </c>
      <c r="AJ6" s="1186">
        <v>12</v>
      </c>
      <c r="AK6" s="1186">
        <v>35</v>
      </c>
      <c r="AL6" s="1186">
        <v>84</v>
      </c>
      <c r="AM6" s="1186">
        <v>19</v>
      </c>
      <c r="AN6" s="1186">
        <v>64</v>
      </c>
      <c r="AO6" s="1186">
        <v>1</v>
      </c>
      <c r="AP6" s="1186">
        <v>15</v>
      </c>
      <c r="AQ6" s="1186">
        <v>47</v>
      </c>
      <c r="AR6" s="1186">
        <v>12</v>
      </c>
    </row>
    <row r="7" spans="1:44" x14ac:dyDescent="0.2">
      <c r="A7" s="1186" t="s">
        <v>19</v>
      </c>
      <c r="B7" s="1186" t="s">
        <v>870</v>
      </c>
      <c r="C7" s="1186">
        <v>1260</v>
      </c>
      <c r="D7" s="1186">
        <v>492</v>
      </c>
      <c r="E7" s="1186">
        <v>280</v>
      </c>
      <c r="F7" s="1186">
        <v>295</v>
      </c>
      <c r="G7" s="1186">
        <v>193</v>
      </c>
      <c r="H7" s="1186">
        <v>2605</v>
      </c>
      <c r="I7" s="1186">
        <v>45</v>
      </c>
      <c r="J7" s="1186">
        <v>3910</v>
      </c>
      <c r="K7" s="1186" t="s">
        <v>1983</v>
      </c>
      <c r="L7" s="1186" t="s">
        <v>1982</v>
      </c>
      <c r="M7" s="1186" t="s">
        <v>19</v>
      </c>
      <c r="N7" s="1186" t="s">
        <v>870</v>
      </c>
      <c r="O7" s="1186">
        <v>4421</v>
      </c>
      <c r="P7" s="1186">
        <v>2955</v>
      </c>
      <c r="Q7" s="1186">
        <v>1128</v>
      </c>
      <c r="R7" s="1186">
        <v>227</v>
      </c>
      <c r="S7" s="1186">
        <v>91</v>
      </c>
      <c r="T7" s="1186">
        <v>20</v>
      </c>
      <c r="U7" s="1186" t="s">
        <v>19</v>
      </c>
      <c r="V7" s="1186" t="s">
        <v>870</v>
      </c>
      <c r="W7" s="1186">
        <v>889</v>
      </c>
      <c r="X7" s="1186"/>
      <c r="Y7" s="1186">
        <v>256</v>
      </c>
      <c r="Z7" s="1186">
        <v>14</v>
      </c>
      <c r="AA7" s="1186">
        <v>72</v>
      </c>
      <c r="AB7" s="1186">
        <v>12</v>
      </c>
      <c r="AC7" s="1186">
        <v>84</v>
      </c>
      <c r="AD7" s="1186">
        <v>4</v>
      </c>
      <c r="AE7" s="1186">
        <v>74</v>
      </c>
      <c r="AF7" s="1186">
        <v>30</v>
      </c>
      <c r="AG7" s="1186">
        <v>14</v>
      </c>
      <c r="AH7" s="1186">
        <v>14</v>
      </c>
      <c r="AI7" s="1186">
        <v>31</v>
      </c>
      <c r="AJ7" s="1186">
        <v>24</v>
      </c>
      <c r="AK7" s="1186">
        <v>38</v>
      </c>
      <c r="AL7" s="1186">
        <v>68</v>
      </c>
      <c r="AM7" s="1186">
        <v>15</v>
      </c>
      <c r="AN7" s="1186">
        <v>69</v>
      </c>
      <c r="AO7" s="1186">
        <v>1</v>
      </c>
      <c r="AP7" s="1186">
        <v>21</v>
      </c>
      <c r="AQ7" s="1186">
        <v>33</v>
      </c>
      <c r="AR7" s="1186">
        <v>15</v>
      </c>
    </row>
    <row r="8" spans="1:44" x14ac:dyDescent="0.2">
      <c r="A8" s="1186" t="s">
        <v>19</v>
      </c>
      <c r="B8" s="1186" t="s">
        <v>871</v>
      </c>
      <c r="C8" s="1186">
        <v>1197</v>
      </c>
      <c r="D8" s="1186">
        <v>561</v>
      </c>
      <c r="E8" s="1186">
        <v>263</v>
      </c>
      <c r="F8" s="1186">
        <v>254</v>
      </c>
      <c r="G8" s="1186">
        <v>119</v>
      </c>
      <c r="H8" s="1186">
        <v>1787</v>
      </c>
      <c r="I8" s="1186">
        <v>28</v>
      </c>
      <c r="J8" s="1186">
        <v>3012</v>
      </c>
      <c r="K8" s="1186" t="s">
        <v>1983</v>
      </c>
      <c r="L8" s="1186" t="s">
        <v>1984</v>
      </c>
      <c r="M8" s="1186" t="s">
        <v>19</v>
      </c>
      <c r="N8" s="1186" t="s">
        <v>871</v>
      </c>
      <c r="O8" s="1186">
        <v>4552</v>
      </c>
      <c r="P8" s="1186">
        <v>3121</v>
      </c>
      <c r="Q8" s="1186">
        <v>1035</v>
      </c>
      <c r="R8" s="1186">
        <v>248</v>
      </c>
      <c r="S8" s="1186">
        <v>130</v>
      </c>
      <c r="T8" s="1186">
        <v>18</v>
      </c>
      <c r="U8" s="1186" t="s">
        <v>19</v>
      </c>
      <c r="V8" s="1186" t="s">
        <v>871</v>
      </c>
      <c r="W8" s="1186">
        <v>1154</v>
      </c>
      <c r="X8" s="1186"/>
      <c r="Y8" s="1186">
        <v>272</v>
      </c>
      <c r="Z8" s="1186">
        <v>9</v>
      </c>
      <c r="AA8" s="1186">
        <v>212</v>
      </c>
      <c r="AB8" s="1186">
        <v>19</v>
      </c>
      <c r="AC8" s="1186">
        <v>86</v>
      </c>
      <c r="AD8" s="1186">
        <v>8</v>
      </c>
      <c r="AE8" s="1186">
        <v>70</v>
      </c>
      <c r="AF8" s="1186">
        <v>19</v>
      </c>
      <c r="AG8" s="1186">
        <v>21</v>
      </c>
      <c r="AH8" s="1186">
        <v>9</v>
      </c>
      <c r="AI8" s="1186">
        <v>36</v>
      </c>
      <c r="AJ8" s="1186">
        <v>23</v>
      </c>
      <c r="AK8" s="1186">
        <v>57</v>
      </c>
      <c r="AL8" s="1186">
        <v>92</v>
      </c>
      <c r="AM8" s="1186">
        <v>16</v>
      </c>
      <c r="AN8" s="1186">
        <v>78</v>
      </c>
      <c r="AO8" s="1186">
        <v>2</v>
      </c>
      <c r="AP8" s="1186">
        <v>22</v>
      </c>
      <c r="AQ8" s="1186">
        <v>71</v>
      </c>
      <c r="AR8" s="1186">
        <v>32</v>
      </c>
    </row>
    <row r="9" spans="1:44" x14ac:dyDescent="0.2">
      <c r="A9" s="1186" t="s">
        <v>19</v>
      </c>
      <c r="B9" s="1186" t="s">
        <v>872</v>
      </c>
      <c r="C9" s="1186">
        <v>1150</v>
      </c>
      <c r="D9" s="1186">
        <v>490</v>
      </c>
      <c r="E9" s="1186">
        <v>250</v>
      </c>
      <c r="F9" s="1186">
        <v>288</v>
      </c>
      <c r="G9" s="1186">
        <v>122</v>
      </c>
      <c r="H9" s="1186">
        <v>1412</v>
      </c>
      <c r="I9" s="1186">
        <v>38</v>
      </c>
      <c r="J9" s="1186">
        <v>2600</v>
      </c>
      <c r="K9" s="1186" t="s">
        <v>1983</v>
      </c>
      <c r="L9" s="1186" t="s">
        <v>1984</v>
      </c>
      <c r="M9" s="1186" t="s">
        <v>19</v>
      </c>
      <c r="N9" s="1186" t="s">
        <v>872</v>
      </c>
      <c r="O9" s="1186">
        <v>4683</v>
      </c>
      <c r="P9" s="1186">
        <v>3265</v>
      </c>
      <c r="Q9" s="1186">
        <v>1057</v>
      </c>
      <c r="R9" s="1186">
        <v>211</v>
      </c>
      <c r="S9" s="1186">
        <v>137</v>
      </c>
      <c r="T9" s="1186">
        <v>13</v>
      </c>
      <c r="U9" s="1186" t="s">
        <v>19</v>
      </c>
      <c r="V9" s="1186" t="s">
        <v>872</v>
      </c>
      <c r="W9" s="1186">
        <v>947</v>
      </c>
      <c r="X9" s="1186"/>
      <c r="Y9" s="1186">
        <v>288</v>
      </c>
      <c r="Z9" s="1186">
        <v>11</v>
      </c>
      <c r="AA9" s="1186">
        <v>70</v>
      </c>
      <c r="AB9" s="1186">
        <v>17</v>
      </c>
      <c r="AC9" s="1186">
        <v>79</v>
      </c>
      <c r="AD9" s="1186">
        <v>5</v>
      </c>
      <c r="AE9" s="1186">
        <v>62</v>
      </c>
      <c r="AF9" s="1186">
        <v>29</v>
      </c>
      <c r="AG9" s="1186">
        <v>8</v>
      </c>
      <c r="AH9" s="1186">
        <v>12</v>
      </c>
      <c r="AI9" s="1186">
        <v>37</v>
      </c>
      <c r="AJ9" s="1186">
        <v>18</v>
      </c>
      <c r="AK9" s="1186">
        <v>29</v>
      </c>
      <c r="AL9" s="1186">
        <v>87</v>
      </c>
      <c r="AM9" s="1186">
        <v>17</v>
      </c>
      <c r="AN9" s="1186">
        <v>76</v>
      </c>
      <c r="AO9" s="1186">
        <v>2</v>
      </c>
      <c r="AP9" s="1186">
        <v>23</v>
      </c>
      <c r="AQ9" s="1186">
        <v>59</v>
      </c>
      <c r="AR9" s="1186">
        <v>18</v>
      </c>
    </row>
    <row r="10" spans="1:44" x14ac:dyDescent="0.2">
      <c r="A10" s="1186" t="s">
        <v>19</v>
      </c>
      <c r="B10" s="1186" t="s">
        <v>873</v>
      </c>
      <c r="C10" s="1186">
        <v>1167</v>
      </c>
      <c r="D10" s="1186">
        <v>494</v>
      </c>
      <c r="E10" s="1186">
        <v>227</v>
      </c>
      <c r="F10" s="1186">
        <v>247</v>
      </c>
      <c r="G10" s="1186">
        <v>199</v>
      </c>
      <c r="H10" s="1186">
        <v>1848</v>
      </c>
      <c r="I10" s="1186">
        <v>62</v>
      </c>
      <c r="J10" s="1186">
        <v>3077</v>
      </c>
      <c r="K10" s="1186" t="s">
        <v>1985</v>
      </c>
      <c r="L10" s="1186" t="s">
        <v>1984</v>
      </c>
      <c r="M10" s="1186" t="s">
        <v>19</v>
      </c>
      <c r="N10" s="1186" t="s">
        <v>873</v>
      </c>
      <c r="O10" s="1186">
        <v>4703</v>
      </c>
      <c r="P10" s="1186">
        <v>3286</v>
      </c>
      <c r="Q10" s="1186">
        <v>1064</v>
      </c>
      <c r="R10" s="1186">
        <v>231</v>
      </c>
      <c r="S10" s="1186">
        <v>101</v>
      </c>
      <c r="T10" s="1186">
        <v>21</v>
      </c>
      <c r="U10" s="1186" t="s">
        <v>19</v>
      </c>
      <c r="V10" s="1186" t="s">
        <v>873</v>
      </c>
      <c r="W10" s="1186">
        <v>924</v>
      </c>
      <c r="X10" s="1186">
        <v>1</v>
      </c>
      <c r="Y10" s="1186">
        <v>230</v>
      </c>
      <c r="Z10" s="1186">
        <v>24</v>
      </c>
      <c r="AA10" s="1186">
        <v>152</v>
      </c>
      <c r="AB10" s="1186">
        <v>19</v>
      </c>
      <c r="AC10" s="1186">
        <v>74</v>
      </c>
      <c r="AD10" s="1186">
        <v>5</v>
      </c>
      <c r="AE10" s="1186">
        <v>49</v>
      </c>
      <c r="AF10" s="1186">
        <v>37</v>
      </c>
      <c r="AG10" s="1186">
        <v>13</v>
      </c>
      <c r="AH10" s="1186">
        <v>10</v>
      </c>
      <c r="AI10" s="1186">
        <v>40</v>
      </c>
      <c r="AJ10" s="1186">
        <v>12</v>
      </c>
      <c r="AK10" s="1186">
        <v>30</v>
      </c>
      <c r="AL10" s="1186">
        <v>61</v>
      </c>
      <c r="AM10" s="1186">
        <v>17</v>
      </c>
      <c r="AN10" s="1186">
        <v>53</v>
      </c>
      <c r="AO10" s="1186">
        <v>2</v>
      </c>
      <c r="AP10" s="1186">
        <v>22</v>
      </c>
      <c r="AQ10" s="1186">
        <v>57</v>
      </c>
      <c r="AR10" s="1186">
        <v>16</v>
      </c>
    </row>
    <row r="11" spans="1:44" x14ac:dyDescent="0.2">
      <c r="A11" s="1186" t="s">
        <v>19</v>
      </c>
      <c r="B11" s="1186" t="s">
        <v>19</v>
      </c>
      <c r="C11" s="1186">
        <v>1226</v>
      </c>
      <c r="D11" s="1186">
        <v>535</v>
      </c>
      <c r="E11" s="1186">
        <v>275</v>
      </c>
      <c r="F11" s="1186">
        <v>276</v>
      </c>
      <c r="G11" s="1186">
        <v>140</v>
      </c>
      <c r="H11" s="1186">
        <v>2439</v>
      </c>
      <c r="I11" s="1186">
        <v>104</v>
      </c>
      <c r="J11" s="1186">
        <v>3769</v>
      </c>
      <c r="K11" s="1186" t="s">
        <v>1985</v>
      </c>
      <c r="L11" s="1186" t="s">
        <v>1986</v>
      </c>
      <c r="M11" s="1186" t="s">
        <v>19</v>
      </c>
      <c r="N11" s="1186" t="s">
        <v>19</v>
      </c>
      <c r="O11" s="1186">
        <v>4853</v>
      </c>
      <c r="P11" s="1186">
        <v>3390</v>
      </c>
      <c r="Q11" s="1186">
        <v>1092</v>
      </c>
      <c r="R11" s="1186">
        <v>276</v>
      </c>
      <c r="S11" s="1186">
        <v>84</v>
      </c>
      <c r="T11" s="1186">
        <v>11</v>
      </c>
      <c r="U11" s="1186" t="s">
        <v>19</v>
      </c>
      <c r="V11" s="1186" t="s">
        <v>19</v>
      </c>
      <c r="W11" s="1186">
        <v>847</v>
      </c>
      <c r="X11" s="1186"/>
      <c r="Y11" s="1186">
        <v>237</v>
      </c>
      <c r="Z11" s="1186">
        <v>8</v>
      </c>
      <c r="AA11" s="1186">
        <v>75</v>
      </c>
      <c r="AB11" s="1186">
        <v>15</v>
      </c>
      <c r="AC11" s="1186">
        <v>57</v>
      </c>
      <c r="AD11" s="1186">
        <v>5</v>
      </c>
      <c r="AE11" s="1186">
        <v>66</v>
      </c>
      <c r="AF11" s="1186">
        <v>36</v>
      </c>
      <c r="AG11" s="1186">
        <v>8</v>
      </c>
      <c r="AH11" s="1186">
        <v>9</v>
      </c>
      <c r="AI11" s="1186">
        <v>28</v>
      </c>
      <c r="AJ11" s="1186">
        <v>10</v>
      </c>
      <c r="AK11" s="1186">
        <v>35</v>
      </c>
      <c r="AL11" s="1186">
        <v>67</v>
      </c>
      <c r="AM11" s="1186">
        <v>45</v>
      </c>
      <c r="AN11" s="1186">
        <v>62</v>
      </c>
      <c r="AO11" s="1186">
        <v>2</v>
      </c>
      <c r="AP11" s="1186">
        <v>18</v>
      </c>
      <c r="AQ11" s="1186">
        <v>44</v>
      </c>
      <c r="AR11" s="1186">
        <v>20</v>
      </c>
    </row>
    <row r="12" spans="1:44" x14ac:dyDescent="0.2">
      <c r="A12" s="1186" t="s">
        <v>19</v>
      </c>
      <c r="B12" s="1186" t="s">
        <v>874</v>
      </c>
      <c r="C12" s="1186">
        <v>1095</v>
      </c>
      <c r="D12" s="1186">
        <v>548</v>
      </c>
      <c r="E12" s="1186">
        <v>244</v>
      </c>
      <c r="F12" s="1186">
        <v>203</v>
      </c>
      <c r="G12" s="1186">
        <v>100</v>
      </c>
      <c r="H12" s="1186">
        <v>2173</v>
      </c>
      <c r="I12" s="1186">
        <v>142</v>
      </c>
      <c r="J12" s="1186">
        <v>3410</v>
      </c>
      <c r="K12" s="1186" t="s">
        <v>1985</v>
      </c>
      <c r="L12" s="1186" t="s">
        <v>1986</v>
      </c>
      <c r="M12" s="1186" t="s">
        <v>19</v>
      </c>
      <c r="N12" s="1186" t="s">
        <v>874</v>
      </c>
      <c r="O12" s="1186">
        <v>4913</v>
      </c>
      <c r="P12" s="1186">
        <v>3211</v>
      </c>
      <c r="Q12" s="1186">
        <v>1249</v>
      </c>
      <c r="R12" s="1186">
        <v>289</v>
      </c>
      <c r="S12" s="1186">
        <v>150</v>
      </c>
      <c r="T12" s="1186">
        <v>14</v>
      </c>
      <c r="U12" s="1186" t="s">
        <v>19</v>
      </c>
      <c r="V12" s="1186" t="s">
        <v>874</v>
      </c>
      <c r="W12" s="1186">
        <v>1173</v>
      </c>
      <c r="X12" s="1186"/>
      <c r="Y12" s="1186">
        <v>285</v>
      </c>
      <c r="Z12" s="1186">
        <v>17</v>
      </c>
      <c r="AA12" s="1186">
        <v>351</v>
      </c>
      <c r="AB12" s="1186">
        <v>40</v>
      </c>
      <c r="AC12" s="1186">
        <v>36</v>
      </c>
      <c r="AD12" s="1186">
        <v>5</v>
      </c>
      <c r="AE12" s="1186">
        <v>73</v>
      </c>
      <c r="AF12" s="1186">
        <v>44</v>
      </c>
      <c r="AG12" s="1186">
        <v>10</v>
      </c>
      <c r="AH12" s="1186">
        <v>14</v>
      </c>
      <c r="AI12" s="1186">
        <v>21</v>
      </c>
      <c r="AJ12" s="1186">
        <v>10</v>
      </c>
      <c r="AK12" s="1186">
        <v>21</v>
      </c>
      <c r="AL12" s="1186">
        <v>64</v>
      </c>
      <c r="AM12" s="1186">
        <v>29</v>
      </c>
      <c r="AN12" s="1186">
        <v>74</v>
      </c>
      <c r="AO12" s="1186"/>
      <c r="AP12" s="1186">
        <v>14</v>
      </c>
      <c r="AQ12" s="1186">
        <v>49</v>
      </c>
      <c r="AR12" s="1186">
        <v>16</v>
      </c>
    </row>
    <row r="13" spans="1:44" x14ac:dyDescent="0.2">
      <c r="A13" s="1186" t="s">
        <v>19</v>
      </c>
      <c r="B13" s="1186" t="s">
        <v>875</v>
      </c>
      <c r="C13" s="1186">
        <v>1116</v>
      </c>
      <c r="D13" s="1186">
        <v>611</v>
      </c>
      <c r="E13" s="1186">
        <v>218</v>
      </c>
      <c r="F13" s="1186">
        <v>221</v>
      </c>
      <c r="G13" s="1186">
        <v>66</v>
      </c>
      <c r="H13" s="1186">
        <v>736</v>
      </c>
      <c r="I13" s="1186">
        <v>240</v>
      </c>
      <c r="J13" s="1186">
        <v>2092</v>
      </c>
      <c r="K13" s="1186" t="s">
        <v>1987</v>
      </c>
      <c r="L13" s="1186" t="s">
        <v>1986</v>
      </c>
      <c r="M13" s="1186" t="s">
        <v>19</v>
      </c>
      <c r="N13" s="1186" t="s">
        <v>875</v>
      </c>
      <c r="O13" s="1186">
        <v>4382</v>
      </c>
      <c r="P13" s="1186">
        <v>3058</v>
      </c>
      <c r="Q13" s="1186">
        <v>1010</v>
      </c>
      <c r="R13" s="1186">
        <v>216</v>
      </c>
      <c r="S13" s="1186">
        <v>92</v>
      </c>
      <c r="T13" s="1186">
        <v>6</v>
      </c>
      <c r="U13" s="1186" t="s">
        <v>19</v>
      </c>
      <c r="V13" s="1186" t="s">
        <v>875</v>
      </c>
      <c r="W13" s="1186">
        <v>1024</v>
      </c>
      <c r="X13" s="1186"/>
      <c r="Y13" s="1186">
        <v>298</v>
      </c>
      <c r="Z13" s="1186">
        <v>11</v>
      </c>
      <c r="AA13" s="1186">
        <v>169</v>
      </c>
      <c r="AB13" s="1186">
        <v>7</v>
      </c>
      <c r="AC13" s="1186">
        <v>40</v>
      </c>
      <c r="AD13" s="1186">
        <v>11</v>
      </c>
      <c r="AE13" s="1186">
        <v>70</v>
      </c>
      <c r="AF13" s="1186">
        <v>47</v>
      </c>
      <c r="AG13" s="1186">
        <v>6</v>
      </c>
      <c r="AH13" s="1186">
        <v>11</v>
      </c>
      <c r="AI13" s="1186">
        <v>32</v>
      </c>
      <c r="AJ13" s="1186">
        <v>15</v>
      </c>
      <c r="AK13" s="1186">
        <v>37</v>
      </c>
      <c r="AL13" s="1186">
        <v>77</v>
      </c>
      <c r="AM13" s="1186">
        <v>26</v>
      </c>
      <c r="AN13" s="1186">
        <v>68</v>
      </c>
      <c r="AO13" s="1186">
        <v>4</v>
      </c>
      <c r="AP13" s="1186">
        <v>26</v>
      </c>
      <c r="AQ13" s="1186">
        <v>54</v>
      </c>
      <c r="AR13" s="1186">
        <v>15</v>
      </c>
    </row>
    <row r="14" spans="1:44" x14ac:dyDescent="0.2">
      <c r="A14" s="1186" t="s">
        <v>19</v>
      </c>
      <c r="B14" s="1186" t="s">
        <v>876</v>
      </c>
      <c r="C14" s="1186">
        <v>1101</v>
      </c>
      <c r="D14" s="1186">
        <v>609</v>
      </c>
      <c r="E14" s="1186">
        <v>230</v>
      </c>
      <c r="F14" s="1186">
        <v>211</v>
      </c>
      <c r="G14" s="1186">
        <v>51</v>
      </c>
      <c r="H14" s="1186">
        <v>803</v>
      </c>
      <c r="I14" s="1186">
        <v>286</v>
      </c>
      <c r="J14" s="1186">
        <v>2190</v>
      </c>
      <c r="K14" s="1186" t="s">
        <v>1987</v>
      </c>
      <c r="L14" s="1186" t="s">
        <v>1988</v>
      </c>
      <c r="M14" s="1186" t="s">
        <v>19</v>
      </c>
      <c r="N14" s="1186" t="s">
        <v>876</v>
      </c>
      <c r="O14" s="1186">
        <v>4409</v>
      </c>
      <c r="P14" s="1186">
        <v>3194</v>
      </c>
      <c r="Q14" s="1186">
        <v>890</v>
      </c>
      <c r="R14" s="1186">
        <v>209</v>
      </c>
      <c r="S14" s="1186">
        <v>113</v>
      </c>
      <c r="T14" s="1186">
        <v>3</v>
      </c>
      <c r="U14" s="1186" t="s">
        <v>19</v>
      </c>
      <c r="V14" s="1186" t="s">
        <v>876</v>
      </c>
      <c r="W14" s="1186">
        <v>1451</v>
      </c>
      <c r="X14" s="1186"/>
      <c r="Y14" s="1186">
        <v>201</v>
      </c>
      <c r="Z14" s="1186">
        <v>18</v>
      </c>
      <c r="AA14" s="1186">
        <v>647</v>
      </c>
      <c r="AB14" s="1186">
        <v>11</v>
      </c>
      <c r="AC14" s="1186">
        <v>45</v>
      </c>
      <c r="AD14" s="1186">
        <v>3</v>
      </c>
      <c r="AE14" s="1186">
        <v>79</v>
      </c>
      <c r="AF14" s="1186">
        <v>41</v>
      </c>
      <c r="AG14" s="1186">
        <v>9</v>
      </c>
      <c r="AH14" s="1186">
        <v>8</v>
      </c>
      <c r="AI14" s="1186">
        <v>31</v>
      </c>
      <c r="AJ14" s="1186">
        <v>15</v>
      </c>
      <c r="AK14" s="1186">
        <v>43</v>
      </c>
      <c r="AL14" s="1186">
        <v>75</v>
      </c>
      <c r="AM14" s="1186">
        <v>39</v>
      </c>
      <c r="AN14" s="1186">
        <v>73</v>
      </c>
      <c r="AO14" s="1186">
        <v>3</v>
      </c>
      <c r="AP14" s="1186">
        <v>30</v>
      </c>
      <c r="AQ14" s="1186">
        <v>62</v>
      </c>
      <c r="AR14" s="1186">
        <v>18</v>
      </c>
    </row>
    <row r="15" spans="1:44" x14ac:dyDescent="0.2">
      <c r="A15" s="1186" t="s">
        <v>19</v>
      </c>
      <c r="B15" s="1186" t="s">
        <v>877</v>
      </c>
      <c r="C15" s="1186">
        <v>998</v>
      </c>
      <c r="D15" s="1186">
        <v>524</v>
      </c>
      <c r="E15" s="1186">
        <v>202</v>
      </c>
      <c r="F15" s="1186">
        <v>209</v>
      </c>
      <c r="G15" s="1186">
        <v>63</v>
      </c>
      <c r="H15" s="1186">
        <v>1099</v>
      </c>
      <c r="I15" s="1186">
        <v>248</v>
      </c>
      <c r="J15" s="1186">
        <v>2345</v>
      </c>
      <c r="K15" s="1186" t="s">
        <v>1987</v>
      </c>
      <c r="L15" s="1186" t="s">
        <v>1988</v>
      </c>
      <c r="M15" s="1186" t="s">
        <v>19</v>
      </c>
      <c r="N15" s="1186" t="s">
        <v>877</v>
      </c>
      <c r="O15" s="1186">
        <v>4003</v>
      </c>
      <c r="P15" s="1186">
        <v>2648</v>
      </c>
      <c r="Q15" s="1186">
        <v>1001</v>
      </c>
      <c r="R15" s="1186">
        <v>239</v>
      </c>
      <c r="S15" s="1186">
        <v>104</v>
      </c>
      <c r="T15" s="1186">
        <v>11</v>
      </c>
      <c r="U15" s="1186" t="s">
        <v>19</v>
      </c>
      <c r="V15" s="1186" t="s">
        <v>877</v>
      </c>
      <c r="W15" s="1186">
        <v>716</v>
      </c>
      <c r="X15" s="1186"/>
      <c r="Y15" s="1186">
        <v>212</v>
      </c>
      <c r="Z15" s="1186">
        <v>14</v>
      </c>
      <c r="AA15" s="1186">
        <v>78</v>
      </c>
      <c r="AB15" s="1186">
        <v>15</v>
      </c>
      <c r="AC15" s="1186">
        <v>49</v>
      </c>
      <c r="AD15" s="1186">
        <v>6</v>
      </c>
      <c r="AE15" s="1186">
        <v>43</v>
      </c>
      <c r="AF15" s="1186">
        <v>30</v>
      </c>
      <c r="AG15" s="1186">
        <v>4</v>
      </c>
      <c r="AH15" s="1186">
        <v>14</v>
      </c>
      <c r="AI15" s="1186">
        <v>25</v>
      </c>
      <c r="AJ15" s="1186">
        <v>18</v>
      </c>
      <c r="AK15" s="1186">
        <v>24</v>
      </c>
      <c r="AL15" s="1186">
        <v>48</v>
      </c>
      <c r="AM15" s="1186">
        <v>14</v>
      </c>
      <c r="AN15" s="1186">
        <v>40</v>
      </c>
      <c r="AO15" s="1186"/>
      <c r="AP15" s="1186">
        <v>16</v>
      </c>
      <c r="AQ15" s="1186">
        <v>52</v>
      </c>
      <c r="AR15" s="1186">
        <v>14</v>
      </c>
    </row>
    <row r="16" spans="1:44" x14ac:dyDescent="0.2">
      <c r="A16" s="1186" t="s">
        <v>19</v>
      </c>
      <c r="B16" s="1186" t="s">
        <v>878</v>
      </c>
      <c r="C16" s="1186">
        <v>1110</v>
      </c>
      <c r="D16" s="1186">
        <v>561</v>
      </c>
      <c r="E16" s="1186">
        <v>223</v>
      </c>
      <c r="F16" s="1186">
        <v>230</v>
      </c>
      <c r="G16" s="1186">
        <v>96</v>
      </c>
      <c r="H16" s="1186">
        <v>2756</v>
      </c>
      <c r="I16" s="1186">
        <v>263</v>
      </c>
      <c r="J16" s="1186">
        <v>4129</v>
      </c>
      <c r="K16" s="1186" t="s">
        <v>1981</v>
      </c>
      <c r="L16" s="1186" t="s">
        <v>1988</v>
      </c>
      <c r="M16" s="1186" t="s">
        <v>19</v>
      </c>
      <c r="N16" s="1186" t="s">
        <v>878</v>
      </c>
      <c r="O16" s="1186">
        <v>4347</v>
      </c>
      <c r="P16" s="1186">
        <v>2913</v>
      </c>
      <c r="Q16" s="1186">
        <v>1026</v>
      </c>
      <c r="R16" s="1186">
        <v>303</v>
      </c>
      <c r="S16" s="1186">
        <v>102</v>
      </c>
      <c r="T16" s="1186">
        <v>3</v>
      </c>
      <c r="U16" s="1186" t="s">
        <v>19</v>
      </c>
      <c r="V16" s="1186" t="s">
        <v>878</v>
      </c>
      <c r="W16" s="1186">
        <v>728</v>
      </c>
      <c r="X16" s="1186"/>
      <c r="Y16" s="1186">
        <v>197</v>
      </c>
      <c r="Z16" s="1186">
        <v>11</v>
      </c>
      <c r="AA16" s="1186">
        <v>80</v>
      </c>
      <c r="AB16" s="1186">
        <v>9</v>
      </c>
      <c r="AC16" s="1186">
        <v>53</v>
      </c>
      <c r="AD16" s="1186">
        <v>5</v>
      </c>
      <c r="AE16" s="1186">
        <v>44</v>
      </c>
      <c r="AF16" s="1186">
        <v>31</v>
      </c>
      <c r="AG16" s="1186">
        <v>13</v>
      </c>
      <c r="AH16" s="1186">
        <v>8</v>
      </c>
      <c r="AI16" s="1186">
        <v>23</v>
      </c>
      <c r="AJ16" s="1186">
        <v>13</v>
      </c>
      <c r="AK16" s="1186">
        <v>28</v>
      </c>
      <c r="AL16" s="1186">
        <v>52</v>
      </c>
      <c r="AM16" s="1186">
        <v>34</v>
      </c>
      <c r="AN16" s="1186">
        <v>59</v>
      </c>
      <c r="AO16" s="1186">
        <v>1</v>
      </c>
      <c r="AP16" s="1186">
        <v>9</v>
      </c>
      <c r="AQ16" s="1186">
        <v>39</v>
      </c>
      <c r="AR16" s="1186">
        <v>19</v>
      </c>
    </row>
    <row r="17" spans="1:44" x14ac:dyDescent="0.2">
      <c r="A17" s="1186" t="s">
        <v>20</v>
      </c>
      <c r="B17" s="1186" t="s">
        <v>879</v>
      </c>
      <c r="C17" s="1186">
        <v>1156</v>
      </c>
      <c r="D17" s="1186">
        <v>511</v>
      </c>
      <c r="E17" s="1186">
        <v>227</v>
      </c>
      <c r="F17" s="1186">
        <v>261</v>
      </c>
      <c r="G17" s="1186">
        <v>157</v>
      </c>
      <c r="H17" s="1186">
        <v>4290</v>
      </c>
      <c r="I17" s="1186">
        <v>157</v>
      </c>
      <c r="J17" s="1186">
        <v>5603</v>
      </c>
      <c r="K17" s="1186" t="s">
        <v>1981</v>
      </c>
      <c r="L17" s="1186" t="s">
        <v>1982</v>
      </c>
      <c r="M17" s="1186" t="s">
        <v>20</v>
      </c>
      <c r="N17" s="1186" t="s">
        <v>879</v>
      </c>
      <c r="O17" s="1186">
        <v>4119</v>
      </c>
      <c r="P17" s="1186">
        <v>2594</v>
      </c>
      <c r="Q17" s="1186">
        <v>1143</v>
      </c>
      <c r="R17" s="1186">
        <v>271</v>
      </c>
      <c r="S17" s="1186">
        <v>104</v>
      </c>
      <c r="T17" s="1186">
        <v>7</v>
      </c>
      <c r="U17" s="1186" t="s">
        <v>20</v>
      </c>
      <c r="V17" s="1186" t="s">
        <v>879</v>
      </c>
      <c r="W17" s="1186">
        <v>686</v>
      </c>
      <c r="X17" s="1186"/>
      <c r="Y17" s="1186">
        <v>147</v>
      </c>
      <c r="Z17" s="1186">
        <v>14</v>
      </c>
      <c r="AA17" s="1186">
        <v>54</v>
      </c>
      <c r="AB17" s="1186">
        <v>8</v>
      </c>
      <c r="AC17" s="1186">
        <v>62</v>
      </c>
      <c r="AD17" s="1186">
        <v>2</v>
      </c>
      <c r="AE17" s="1186">
        <v>64</v>
      </c>
      <c r="AF17" s="1186">
        <v>33</v>
      </c>
      <c r="AG17" s="1186">
        <v>19</v>
      </c>
      <c r="AH17" s="1186">
        <v>11</v>
      </c>
      <c r="AI17" s="1186">
        <v>26</v>
      </c>
      <c r="AJ17" s="1186">
        <v>18</v>
      </c>
      <c r="AK17" s="1186">
        <v>28</v>
      </c>
      <c r="AL17" s="1186">
        <v>65</v>
      </c>
      <c r="AM17" s="1186">
        <v>11</v>
      </c>
      <c r="AN17" s="1186">
        <v>55</v>
      </c>
      <c r="AO17" s="1186"/>
      <c r="AP17" s="1186">
        <v>13</v>
      </c>
      <c r="AQ17" s="1186">
        <v>41</v>
      </c>
      <c r="AR17" s="1186">
        <v>15</v>
      </c>
    </row>
    <row r="18" spans="1:44" x14ac:dyDescent="0.2">
      <c r="A18" s="1186" t="s">
        <v>20</v>
      </c>
      <c r="B18" s="1186" t="s">
        <v>880</v>
      </c>
      <c r="C18" s="1186">
        <v>1235</v>
      </c>
      <c r="D18" s="1186">
        <v>552</v>
      </c>
      <c r="E18" s="1186">
        <v>266</v>
      </c>
      <c r="F18" s="1186">
        <v>224</v>
      </c>
      <c r="G18" s="1186">
        <v>193</v>
      </c>
      <c r="H18" s="1186">
        <v>3578</v>
      </c>
      <c r="I18" s="1186">
        <v>116</v>
      </c>
      <c r="J18" s="1186">
        <v>4929</v>
      </c>
      <c r="K18" s="1186" t="s">
        <v>1981</v>
      </c>
      <c r="L18" s="1186" t="s">
        <v>1982</v>
      </c>
      <c r="M18" s="1186" t="s">
        <v>20</v>
      </c>
      <c r="N18" s="1186" t="s">
        <v>880</v>
      </c>
      <c r="O18" s="1186">
        <v>4425</v>
      </c>
      <c r="P18" s="1186">
        <v>2768</v>
      </c>
      <c r="Q18" s="1186">
        <v>1213</v>
      </c>
      <c r="R18" s="1186">
        <v>324</v>
      </c>
      <c r="S18" s="1186">
        <v>114</v>
      </c>
      <c r="T18" s="1186">
        <v>6</v>
      </c>
      <c r="U18" s="1186" t="s">
        <v>20</v>
      </c>
      <c r="V18" s="1186" t="s">
        <v>880</v>
      </c>
      <c r="W18" s="1186">
        <v>790</v>
      </c>
      <c r="X18" s="1186"/>
      <c r="Y18" s="1186">
        <v>182</v>
      </c>
      <c r="Z18" s="1186">
        <v>15</v>
      </c>
      <c r="AA18" s="1186">
        <v>63</v>
      </c>
      <c r="AB18" s="1186">
        <v>15</v>
      </c>
      <c r="AC18" s="1186">
        <v>79</v>
      </c>
      <c r="AD18" s="1186">
        <v>4</v>
      </c>
      <c r="AE18" s="1186">
        <v>46</v>
      </c>
      <c r="AF18" s="1186">
        <v>35</v>
      </c>
      <c r="AG18" s="1186">
        <v>14</v>
      </c>
      <c r="AH18" s="1186">
        <v>12</v>
      </c>
      <c r="AI18" s="1186">
        <v>32</v>
      </c>
      <c r="AJ18" s="1186">
        <v>16</v>
      </c>
      <c r="AK18" s="1186">
        <v>43</v>
      </c>
      <c r="AL18" s="1186">
        <v>69</v>
      </c>
      <c r="AM18" s="1186">
        <v>13</v>
      </c>
      <c r="AN18" s="1186">
        <v>66</v>
      </c>
      <c r="AO18" s="1186">
        <v>1</v>
      </c>
      <c r="AP18" s="1186">
        <v>16</v>
      </c>
      <c r="AQ18" s="1186">
        <v>53</v>
      </c>
      <c r="AR18" s="1186">
        <v>16</v>
      </c>
    </row>
    <row r="19" spans="1:44" x14ac:dyDescent="0.2">
      <c r="A19" s="1186" t="s">
        <v>20</v>
      </c>
      <c r="B19" s="1186" t="s">
        <v>881</v>
      </c>
      <c r="C19" s="1186">
        <v>1158</v>
      </c>
      <c r="D19" s="1186">
        <v>475</v>
      </c>
      <c r="E19" s="1186">
        <v>252</v>
      </c>
      <c r="F19" s="1186">
        <v>261</v>
      </c>
      <c r="G19" s="1186">
        <v>170</v>
      </c>
      <c r="H19" s="1186">
        <v>2847</v>
      </c>
      <c r="I19" s="1186">
        <v>33</v>
      </c>
      <c r="J19" s="1186">
        <v>4038</v>
      </c>
      <c r="K19" s="1186" t="s">
        <v>1983</v>
      </c>
      <c r="L19" s="1186" t="s">
        <v>1982</v>
      </c>
      <c r="M19" s="1186" t="s">
        <v>20</v>
      </c>
      <c r="N19" s="1186" t="s">
        <v>881</v>
      </c>
      <c r="O19" s="1186">
        <v>4133</v>
      </c>
      <c r="P19" s="1186">
        <v>2718</v>
      </c>
      <c r="Q19" s="1186">
        <v>1047</v>
      </c>
      <c r="R19" s="1186">
        <v>242</v>
      </c>
      <c r="S19" s="1186">
        <v>119</v>
      </c>
      <c r="T19" s="1186">
        <v>7</v>
      </c>
      <c r="U19" s="1186" t="s">
        <v>20</v>
      </c>
      <c r="V19" s="1186" t="s">
        <v>881</v>
      </c>
      <c r="W19" s="1186">
        <v>805</v>
      </c>
      <c r="X19" s="1186"/>
      <c r="Y19" s="1186">
        <v>212</v>
      </c>
      <c r="Z19" s="1186">
        <v>16</v>
      </c>
      <c r="AA19" s="1186">
        <v>54</v>
      </c>
      <c r="AB19" s="1186">
        <v>13</v>
      </c>
      <c r="AC19" s="1186">
        <v>66</v>
      </c>
      <c r="AD19" s="1186">
        <v>5</v>
      </c>
      <c r="AE19" s="1186">
        <v>54</v>
      </c>
      <c r="AF19" s="1186">
        <v>31</v>
      </c>
      <c r="AG19" s="1186">
        <v>13</v>
      </c>
      <c r="AH19" s="1186">
        <v>11</v>
      </c>
      <c r="AI19" s="1186">
        <v>35</v>
      </c>
      <c r="AJ19" s="1186">
        <v>18</v>
      </c>
      <c r="AK19" s="1186">
        <v>38</v>
      </c>
      <c r="AL19" s="1186">
        <v>72</v>
      </c>
      <c r="AM19" s="1186">
        <v>17</v>
      </c>
      <c r="AN19" s="1186">
        <v>58</v>
      </c>
      <c r="AO19" s="1186">
        <v>2</v>
      </c>
      <c r="AP19" s="1186">
        <v>24</v>
      </c>
      <c r="AQ19" s="1186">
        <v>52</v>
      </c>
      <c r="AR19" s="1186">
        <v>14</v>
      </c>
    </row>
    <row r="20" spans="1:44" x14ac:dyDescent="0.2">
      <c r="A20" s="1186" t="s">
        <v>20</v>
      </c>
      <c r="B20" s="1186" t="s">
        <v>882</v>
      </c>
      <c r="C20" s="1186">
        <v>960</v>
      </c>
      <c r="D20" s="1186">
        <v>437</v>
      </c>
      <c r="E20" s="1186">
        <v>209</v>
      </c>
      <c r="F20" s="1186">
        <v>203</v>
      </c>
      <c r="G20" s="1186">
        <v>111</v>
      </c>
      <c r="H20" s="1186">
        <v>1526</v>
      </c>
      <c r="I20" s="1186">
        <v>30</v>
      </c>
      <c r="J20" s="1186">
        <v>2516</v>
      </c>
      <c r="K20" s="1186" t="s">
        <v>1983</v>
      </c>
      <c r="L20" s="1186" t="s">
        <v>1984</v>
      </c>
      <c r="M20" s="1186" t="s">
        <v>20</v>
      </c>
      <c r="N20" s="1186" t="s">
        <v>882</v>
      </c>
      <c r="O20" s="1186">
        <v>4174</v>
      </c>
      <c r="P20" s="1186">
        <v>2925</v>
      </c>
      <c r="Q20" s="1186">
        <v>944</v>
      </c>
      <c r="R20" s="1186">
        <v>205</v>
      </c>
      <c r="S20" s="1186">
        <v>89</v>
      </c>
      <c r="T20" s="1186">
        <v>11</v>
      </c>
      <c r="U20" s="1186" t="s">
        <v>20</v>
      </c>
      <c r="V20" s="1186" t="s">
        <v>882</v>
      </c>
      <c r="W20" s="1186">
        <v>949</v>
      </c>
      <c r="X20" s="1186"/>
      <c r="Y20" s="1186">
        <v>229</v>
      </c>
      <c r="Z20" s="1186">
        <v>25</v>
      </c>
      <c r="AA20" s="1186">
        <v>101</v>
      </c>
      <c r="AB20" s="1186">
        <v>13</v>
      </c>
      <c r="AC20" s="1186">
        <v>81</v>
      </c>
      <c r="AD20" s="1186">
        <v>4</v>
      </c>
      <c r="AE20" s="1186">
        <v>74</v>
      </c>
      <c r="AF20" s="1186">
        <v>25</v>
      </c>
      <c r="AG20" s="1186">
        <v>16</v>
      </c>
      <c r="AH20" s="1186">
        <v>17</v>
      </c>
      <c r="AI20" s="1186">
        <v>31</v>
      </c>
      <c r="AJ20" s="1186">
        <v>19</v>
      </c>
      <c r="AK20" s="1186">
        <v>34</v>
      </c>
      <c r="AL20" s="1186">
        <v>83</v>
      </c>
      <c r="AM20" s="1186">
        <v>28</v>
      </c>
      <c r="AN20" s="1186">
        <v>66</v>
      </c>
      <c r="AO20" s="1186">
        <v>2</v>
      </c>
      <c r="AP20" s="1186">
        <v>20</v>
      </c>
      <c r="AQ20" s="1186">
        <v>69</v>
      </c>
      <c r="AR20" s="1186">
        <v>12</v>
      </c>
    </row>
    <row r="21" spans="1:44" x14ac:dyDescent="0.2">
      <c r="A21" s="1186" t="s">
        <v>20</v>
      </c>
      <c r="B21" s="1186" t="s">
        <v>883</v>
      </c>
      <c r="C21" s="1186">
        <v>1117</v>
      </c>
      <c r="D21" s="1186">
        <v>496</v>
      </c>
      <c r="E21" s="1186">
        <v>252</v>
      </c>
      <c r="F21" s="1186">
        <v>237</v>
      </c>
      <c r="G21" s="1186">
        <v>132</v>
      </c>
      <c r="H21" s="1186">
        <v>1782</v>
      </c>
      <c r="I21" s="1186">
        <v>27</v>
      </c>
      <c r="J21" s="1186">
        <v>2926</v>
      </c>
      <c r="K21" s="1186" t="s">
        <v>1983</v>
      </c>
      <c r="L21" s="1186" t="s">
        <v>1984</v>
      </c>
      <c r="M21" s="1186" t="s">
        <v>20</v>
      </c>
      <c r="N21" s="1186" t="s">
        <v>883</v>
      </c>
      <c r="O21" s="1186">
        <v>4532</v>
      </c>
      <c r="P21" s="1186">
        <v>3133</v>
      </c>
      <c r="Q21" s="1186">
        <v>1035</v>
      </c>
      <c r="R21" s="1186">
        <v>235</v>
      </c>
      <c r="S21" s="1186">
        <v>124</v>
      </c>
      <c r="T21" s="1186">
        <v>5</v>
      </c>
      <c r="U21" s="1186" t="s">
        <v>20</v>
      </c>
      <c r="V21" s="1186" t="s">
        <v>883</v>
      </c>
      <c r="W21" s="1186">
        <v>805</v>
      </c>
      <c r="X21" s="1186"/>
      <c r="Y21" s="1186">
        <v>212</v>
      </c>
      <c r="Z21" s="1186">
        <v>16</v>
      </c>
      <c r="AA21" s="1186">
        <v>66</v>
      </c>
      <c r="AB21" s="1186">
        <v>18</v>
      </c>
      <c r="AC21" s="1186">
        <v>70</v>
      </c>
      <c r="AD21" s="1186">
        <v>3</v>
      </c>
      <c r="AE21" s="1186">
        <v>58</v>
      </c>
      <c r="AF21" s="1186">
        <v>29</v>
      </c>
      <c r="AG21" s="1186">
        <v>13</v>
      </c>
      <c r="AH21" s="1186">
        <v>15</v>
      </c>
      <c r="AI21" s="1186">
        <v>32</v>
      </c>
      <c r="AJ21" s="1186">
        <v>9</v>
      </c>
      <c r="AK21" s="1186">
        <v>32</v>
      </c>
      <c r="AL21" s="1186">
        <v>84</v>
      </c>
      <c r="AM21" s="1186">
        <v>18</v>
      </c>
      <c r="AN21" s="1186">
        <v>58</v>
      </c>
      <c r="AO21" s="1186">
        <v>2</v>
      </c>
      <c r="AP21" s="1186">
        <v>24</v>
      </c>
      <c r="AQ21" s="1186">
        <v>32</v>
      </c>
      <c r="AR21" s="1186">
        <v>14</v>
      </c>
    </row>
    <row r="22" spans="1:44" x14ac:dyDescent="0.2">
      <c r="A22" s="1186" t="s">
        <v>20</v>
      </c>
      <c r="B22" s="1186" t="s">
        <v>884</v>
      </c>
      <c r="C22" s="1186">
        <v>1117</v>
      </c>
      <c r="D22" s="1186">
        <v>480</v>
      </c>
      <c r="E22" s="1186">
        <v>241</v>
      </c>
      <c r="F22" s="1186">
        <v>240</v>
      </c>
      <c r="G22" s="1186">
        <v>156</v>
      </c>
      <c r="H22" s="1186">
        <v>1786</v>
      </c>
      <c r="I22" s="1186">
        <v>63</v>
      </c>
      <c r="J22" s="1186">
        <v>2966</v>
      </c>
      <c r="K22" s="1186" t="s">
        <v>1985</v>
      </c>
      <c r="L22" s="1186" t="s">
        <v>1984</v>
      </c>
      <c r="M22" s="1186" t="s">
        <v>20</v>
      </c>
      <c r="N22" s="1186" t="s">
        <v>884</v>
      </c>
      <c r="O22" s="1186">
        <v>4515</v>
      </c>
      <c r="P22" s="1186">
        <v>3239</v>
      </c>
      <c r="Q22" s="1186">
        <v>933</v>
      </c>
      <c r="R22" s="1186">
        <v>238</v>
      </c>
      <c r="S22" s="1186">
        <v>94</v>
      </c>
      <c r="T22" s="1186">
        <v>11</v>
      </c>
      <c r="U22" s="1186" t="s">
        <v>20</v>
      </c>
      <c r="V22" s="1186" t="s">
        <v>884</v>
      </c>
      <c r="W22" s="1186">
        <v>847</v>
      </c>
      <c r="X22" s="1186"/>
      <c r="Y22" s="1186">
        <v>208</v>
      </c>
      <c r="Z22" s="1186">
        <v>12</v>
      </c>
      <c r="AA22" s="1186">
        <v>158</v>
      </c>
      <c r="AB22" s="1186">
        <v>16</v>
      </c>
      <c r="AC22" s="1186">
        <v>53</v>
      </c>
      <c r="AD22" s="1186">
        <v>4</v>
      </c>
      <c r="AE22" s="1186">
        <v>58</v>
      </c>
      <c r="AF22" s="1186">
        <v>17</v>
      </c>
      <c r="AG22" s="1186">
        <v>10</v>
      </c>
      <c r="AH22" s="1186">
        <v>9</v>
      </c>
      <c r="AI22" s="1186">
        <v>27</v>
      </c>
      <c r="AJ22" s="1186">
        <v>12</v>
      </c>
      <c r="AK22" s="1186">
        <v>21</v>
      </c>
      <c r="AL22" s="1186">
        <v>81</v>
      </c>
      <c r="AM22" s="1186">
        <v>23</v>
      </c>
      <c r="AN22" s="1186">
        <v>59</v>
      </c>
      <c r="AO22" s="1186"/>
      <c r="AP22" s="1186">
        <v>17</v>
      </c>
      <c r="AQ22" s="1186">
        <v>39</v>
      </c>
      <c r="AR22" s="1186">
        <v>23</v>
      </c>
    </row>
    <row r="23" spans="1:44" x14ac:dyDescent="0.2">
      <c r="A23" s="1186" t="s">
        <v>20</v>
      </c>
      <c r="B23" s="1186" t="s">
        <v>885</v>
      </c>
      <c r="C23" s="1186">
        <v>1088</v>
      </c>
      <c r="D23" s="1186">
        <v>519</v>
      </c>
      <c r="E23" s="1186">
        <v>227</v>
      </c>
      <c r="F23" s="1186">
        <v>230</v>
      </c>
      <c r="G23" s="1186">
        <v>112</v>
      </c>
      <c r="H23" s="1186">
        <v>2101</v>
      </c>
      <c r="I23" s="1186">
        <v>87</v>
      </c>
      <c r="J23" s="1186">
        <v>3276</v>
      </c>
      <c r="K23" s="1186" t="s">
        <v>1985</v>
      </c>
      <c r="L23" s="1186" t="s">
        <v>1986</v>
      </c>
      <c r="M23" s="1186" t="s">
        <v>20</v>
      </c>
      <c r="N23" s="1186" t="s">
        <v>885</v>
      </c>
      <c r="O23" s="1186">
        <v>4463</v>
      </c>
      <c r="P23" s="1186">
        <v>3165</v>
      </c>
      <c r="Q23" s="1186">
        <v>910</v>
      </c>
      <c r="R23" s="1186">
        <v>280</v>
      </c>
      <c r="S23" s="1186">
        <v>106</v>
      </c>
      <c r="T23" s="1186">
        <v>2</v>
      </c>
      <c r="U23" s="1186" t="s">
        <v>20</v>
      </c>
      <c r="V23" s="1186" t="s">
        <v>885</v>
      </c>
      <c r="W23" s="1186">
        <v>770</v>
      </c>
      <c r="X23" s="1186"/>
      <c r="Y23" s="1186">
        <v>234</v>
      </c>
      <c r="Z23" s="1186">
        <v>8</v>
      </c>
      <c r="AA23" s="1186">
        <v>90</v>
      </c>
      <c r="AB23" s="1186">
        <v>10</v>
      </c>
      <c r="AC23" s="1186">
        <v>52</v>
      </c>
      <c r="AD23" s="1186">
        <v>3</v>
      </c>
      <c r="AE23" s="1186">
        <v>56</v>
      </c>
      <c r="AF23" s="1186">
        <v>32</v>
      </c>
      <c r="AG23" s="1186">
        <v>8</v>
      </c>
      <c r="AH23" s="1186">
        <v>12</v>
      </c>
      <c r="AI23" s="1186">
        <v>21</v>
      </c>
      <c r="AJ23" s="1186">
        <v>11</v>
      </c>
      <c r="AK23" s="1186">
        <v>21</v>
      </c>
      <c r="AL23" s="1186">
        <v>75</v>
      </c>
      <c r="AM23" s="1186">
        <v>15</v>
      </c>
      <c r="AN23" s="1186">
        <v>53</v>
      </c>
      <c r="AO23" s="1186">
        <v>3</v>
      </c>
      <c r="AP23" s="1186">
        <v>12</v>
      </c>
      <c r="AQ23" s="1186">
        <v>37</v>
      </c>
      <c r="AR23" s="1186">
        <v>17</v>
      </c>
    </row>
    <row r="24" spans="1:44" x14ac:dyDescent="0.2">
      <c r="A24" s="1186" t="s">
        <v>20</v>
      </c>
      <c r="B24" s="1186" t="s">
        <v>20</v>
      </c>
      <c r="C24" s="1186">
        <v>1122</v>
      </c>
      <c r="D24" s="1186">
        <v>587</v>
      </c>
      <c r="E24" s="1186">
        <v>227</v>
      </c>
      <c r="F24" s="1186">
        <v>213</v>
      </c>
      <c r="G24" s="1186">
        <v>95</v>
      </c>
      <c r="H24" s="1186">
        <v>1811</v>
      </c>
      <c r="I24" s="1186">
        <v>165</v>
      </c>
      <c r="J24" s="1186">
        <v>3098</v>
      </c>
      <c r="K24" s="1186" t="s">
        <v>1985</v>
      </c>
      <c r="L24" s="1186" t="s">
        <v>1986</v>
      </c>
      <c r="M24" s="1186" t="s">
        <v>20</v>
      </c>
      <c r="N24" s="1186" t="s">
        <v>20</v>
      </c>
      <c r="O24" s="1186">
        <v>4351</v>
      </c>
      <c r="P24" s="1186">
        <v>2953</v>
      </c>
      <c r="Q24" s="1186">
        <v>1081</v>
      </c>
      <c r="R24" s="1186">
        <v>214</v>
      </c>
      <c r="S24" s="1186">
        <v>98</v>
      </c>
      <c r="T24" s="1186">
        <v>5</v>
      </c>
      <c r="U24" s="1186" t="s">
        <v>20</v>
      </c>
      <c r="V24" s="1186" t="s">
        <v>20</v>
      </c>
      <c r="W24" s="1186">
        <v>765</v>
      </c>
      <c r="X24" s="1186"/>
      <c r="Y24" s="1186">
        <v>225</v>
      </c>
      <c r="Z24" s="1186">
        <v>7</v>
      </c>
      <c r="AA24" s="1186">
        <v>68</v>
      </c>
      <c r="AB24" s="1186">
        <v>7</v>
      </c>
      <c r="AC24" s="1186">
        <v>39</v>
      </c>
      <c r="AD24" s="1186">
        <v>6</v>
      </c>
      <c r="AE24" s="1186">
        <v>50</v>
      </c>
      <c r="AF24" s="1186">
        <v>25</v>
      </c>
      <c r="AG24" s="1186">
        <v>10</v>
      </c>
      <c r="AH24" s="1186">
        <v>4</v>
      </c>
      <c r="AI24" s="1186">
        <v>16</v>
      </c>
      <c r="AJ24" s="1186">
        <v>11</v>
      </c>
      <c r="AK24" s="1186">
        <v>24</v>
      </c>
      <c r="AL24" s="1186">
        <v>80</v>
      </c>
      <c r="AM24" s="1186">
        <v>30</v>
      </c>
      <c r="AN24" s="1186">
        <v>54</v>
      </c>
      <c r="AO24" s="1186">
        <v>2</v>
      </c>
      <c r="AP24" s="1186">
        <v>16</v>
      </c>
      <c r="AQ24" s="1186">
        <v>50</v>
      </c>
      <c r="AR24" s="1186">
        <v>41</v>
      </c>
    </row>
    <row r="25" spans="1:44" x14ac:dyDescent="0.2">
      <c r="A25" s="1186" t="s">
        <v>20</v>
      </c>
      <c r="B25" s="1186" t="s">
        <v>886</v>
      </c>
      <c r="C25" s="1186">
        <v>1169</v>
      </c>
      <c r="D25" s="1186">
        <v>658</v>
      </c>
      <c r="E25" s="1186">
        <v>243</v>
      </c>
      <c r="F25" s="1186">
        <v>208</v>
      </c>
      <c r="G25" s="1186">
        <v>60</v>
      </c>
      <c r="H25" s="1186">
        <v>610</v>
      </c>
      <c r="I25" s="1186">
        <v>244</v>
      </c>
      <c r="J25" s="1186">
        <v>2023</v>
      </c>
      <c r="K25" s="1186" t="s">
        <v>1987</v>
      </c>
      <c r="L25" s="1186" t="s">
        <v>1986</v>
      </c>
      <c r="M25" s="1186" t="s">
        <v>20</v>
      </c>
      <c r="N25" s="1186" t="s">
        <v>886</v>
      </c>
      <c r="O25" s="1186">
        <v>5078</v>
      </c>
      <c r="P25" s="1186">
        <v>3744</v>
      </c>
      <c r="Q25" s="1186">
        <v>1063</v>
      </c>
      <c r="R25" s="1186">
        <v>142</v>
      </c>
      <c r="S25" s="1186">
        <v>121</v>
      </c>
      <c r="T25" s="1186">
        <v>8</v>
      </c>
      <c r="U25" s="1186" t="s">
        <v>20</v>
      </c>
      <c r="V25" s="1186" t="s">
        <v>886</v>
      </c>
      <c r="W25" s="1186">
        <v>2596</v>
      </c>
      <c r="X25" s="1186"/>
      <c r="Y25" s="1186">
        <v>194</v>
      </c>
      <c r="Z25" s="1186">
        <v>9</v>
      </c>
      <c r="AA25" s="1186">
        <v>1404</v>
      </c>
      <c r="AB25" s="1186">
        <v>9</v>
      </c>
      <c r="AC25" s="1186">
        <v>33</v>
      </c>
      <c r="AD25" s="1186">
        <v>8</v>
      </c>
      <c r="AE25" s="1186">
        <v>87</v>
      </c>
      <c r="AF25" s="1186">
        <v>36</v>
      </c>
      <c r="AG25" s="1186">
        <v>7</v>
      </c>
      <c r="AH25" s="1186">
        <v>11</v>
      </c>
      <c r="AI25" s="1186">
        <v>134</v>
      </c>
      <c r="AJ25" s="1186">
        <v>9</v>
      </c>
      <c r="AK25" s="1186">
        <v>39</v>
      </c>
      <c r="AL25" s="1186">
        <v>98</v>
      </c>
      <c r="AM25" s="1186">
        <v>256</v>
      </c>
      <c r="AN25" s="1186">
        <v>92</v>
      </c>
      <c r="AO25" s="1186">
        <v>8</v>
      </c>
      <c r="AP25" s="1186">
        <v>21</v>
      </c>
      <c r="AQ25" s="1186">
        <v>76</v>
      </c>
      <c r="AR25" s="1186">
        <v>65</v>
      </c>
    </row>
    <row r="26" spans="1:44" x14ac:dyDescent="0.2">
      <c r="A26" s="1186" t="s">
        <v>20</v>
      </c>
      <c r="B26" s="1186" t="s">
        <v>887</v>
      </c>
      <c r="C26" s="1186">
        <v>1061</v>
      </c>
      <c r="D26" s="1186">
        <v>527</v>
      </c>
      <c r="E26" s="1186">
        <v>221</v>
      </c>
      <c r="F26" s="1186">
        <v>260</v>
      </c>
      <c r="G26" s="1186">
        <v>53</v>
      </c>
      <c r="H26" s="1186">
        <v>911</v>
      </c>
      <c r="I26" s="1186">
        <v>243</v>
      </c>
      <c r="J26" s="1186">
        <v>2215</v>
      </c>
      <c r="K26" s="1186" t="s">
        <v>1987</v>
      </c>
      <c r="L26" s="1186" t="s">
        <v>1988</v>
      </c>
      <c r="M26" s="1186" t="s">
        <v>20</v>
      </c>
      <c r="N26" s="1186" t="s">
        <v>887</v>
      </c>
      <c r="O26" s="1186">
        <v>3687</v>
      </c>
      <c r="P26" s="1186">
        <v>2656</v>
      </c>
      <c r="Q26" s="1186">
        <v>778</v>
      </c>
      <c r="R26" s="1186">
        <v>172</v>
      </c>
      <c r="S26" s="1186">
        <v>71</v>
      </c>
      <c r="T26" s="1186">
        <v>10</v>
      </c>
      <c r="U26" s="1186" t="s">
        <v>20</v>
      </c>
      <c r="V26" s="1186" t="s">
        <v>887</v>
      </c>
      <c r="W26" s="1186">
        <v>815</v>
      </c>
      <c r="X26" s="1186"/>
      <c r="Y26" s="1186">
        <v>220</v>
      </c>
      <c r="Z26" s="1186">
        <v>7</v>
      </c>
      <c r="AA26" s="1186">
        <v>160</v>
      </c>
      <c r="AB26" s="1186">
        <v>11</v>
      </c>
      <c r="AC26" s="1186">
        <v>38</v>
      </c>
      <c r="AD26" s="1186">
        <v>5</v>
      </c>
      <c r="AE26" s="1186">
        <v>50</v>
      </c>
      <c r="AF26" s="1186">
        <v>19</v>
      </c>
      <c r="AG26" s="1186">
        <v>14</v>
      </c>
      <c r="AH26" s="1186">
        <v>10</v>
      </c>
      <c r="AI26" s="1186">
        <v>36</v>
      </c>
      <c r="AJ26" s="1186">
        <v>16</v>
      </c>
      <c r="AK26" s="1186">
        <v>17</v>
      </c>
      <c r="AL26" s="1186">
        <v>73</v>
      </c>
      <c r="AM26" s="1186">
        <v>20</v>
      </c>
      <c r="AN26" s="1186">
        <v>46</v>
      </c>
      <c r="AO26" s="1186">
        <v>3</v>
      </c>
      <c r="AP26" s="1186">
        <v>12</v>
      </c>
      <c r="AQ26" s="1186">
        <v>35</v>
      </c>
      <c r="AR26" s="1186">
        <v>23</v>
      </c>
    </row>
    <row r="27" spans="1:44" x14ac:dyDescent="0.2">
      <c r="A27" s="1186" t="s">
        <v>20</v>
      </c>
      <c r="B27" s="1186" t="s">
        <v>888</v>
      </c>
      <c r="C27" s="1186">
        <v>939</v>
      </c>
      <c r="D27" s="1186">
        <v>541</v>
      </c>
      <c r="E27" s="1186">
        <v>186</v>
      </c>
      <c r="F27" s="1186">
        <v>163</v>
      </c>
      <c r="G27" s="1186">
        <v>49</v>
      </c>
      <c r="H27" s="1186">
        <v>799</v>
      </c>
      <c r="I27" s="1186">
        <v>201</v>
      </c>
      <c r="J27" s="1186">
        <v>1939</v>
      </c>
      <c r="K27" s="1186" t="s">
        <v>1987</v>
      </c>
      <c r="L27" s="1186" t="s">
        <v>1988</v>
      </c>
      <c r="M27" s="1186" t="s">
        <v>20</v>
      </c>
      <c r="N27" s="1186" t="s">
        <v>888</v>
      </c>
      <c r="O27" s="1186">
        <v>3602</v>
      </c>
      <c r="P27" s="1186">
        <v>2545</v>
      </c>
      <c r="Q27" s="1186">
        <v>768</v>
      </c>
      <c r="R27" s="1186">
        <v>188</v>
      </c>
      <c r="S27" s="1186">
        <v>95</v>
      </c>
      <c r="T27" s="1186">
        <v>6</v>
      </c>
      <c r="U27" s="1186" t="s">
        <v>20</v>
      </c>
      <c r="V27" s="1186" t="s">
        <v>888</v>
      </c>
      <c r="W27" s="1186">
        <v>819</v>
      </c>
      <c r="X27" s="1186"/>
      <c r="Y27" s="1186">
        <v>174</v>
      </c>
      <c r="Z27" s="1186">
        <v>10</v>
      </c>
      <c r="AA27" s="1186">
        <v>187</v>
      </c>
      <c r="AB27" s="1186">
        <v>13</v>
      </c>
      <c r="AC27" s="1186">
        <v>38</v>
      </c>
      <c r="AD27" s="1186">
        <v>4</v>
      </c>
      <c r="AE27" s="1186">
        <v>48</v>
      </c>
      <c r="AF27" s="1186">
        <v>24</v>
      </c>
      <c r="AG27" s="1186">
        <v>6</v>
      </c>
      <c r="AH27" s="1186">
        <v>10</v>
      </c>
      <c r="AI27" s="1186">
        <v>18</v>
      </c>
      <c r="AJ27" s="1186">
        <v>19</v>
      </c>
      <c r="AK27" s="1186">
        <v>25</v>
      </c>
      <c r="AL27" s="1186">
        <v>48</v>
      </c>
      <c r="AM27" s="1186">
        <v>66</v>
      </c>
      <c r="AN27" s="1186">
        <v>49</v>
      </c>
      <c r="AO27" s="1186"/>
      <c r="AP27" s="1186">
        <v>21</v>
      </c>
      <c r="AQ27" s="1186">
        <v>44</v>
      </c>
      <c r="AR27" s="1186">
        <v>15</v>
      </c>
    </row>
    <row r="28" spans="1:44" x14ac:dyDescent="0.2">
      <c r="A28" s="1186" t="s">
        <v>20</v>
      </c>
      <c r="B28" s="1186" t="s">
        <v>889</v>
      </c>
      <c r="C28" s="1186">
        <v>1022</v>
      </c>
      <c r="D28" s="1186">
        <v>510</v>
      </c>
      <c r="E28" s="1186">
        <v>244</v>
      </c>
      <c r="F28" s="1186">
        <v>184</v>
      </c>
      <c r="G28" s="1186">
        <v>84</v>
      </c>
      <c r="H28" s="1186">
        <v>2176</v>
      </c>
      <c r="I28" s="1186">
        <v>177</v>
      </c>
      <c r="J28" s="1186">
        <v>3375</v>
      </c>
      <c r="K28" s="1186" t="s">
        <v>1981</v>
      </c>
      <c r="L28" s="1186" t="s">
        <v>1988</v>
      </c>
      <c r="M28" s="1186" t="s">
        <v>20</v>
      </c>
      <c r="N28" s="1186" t="s">
        <v>889</v>
      </c>
      <c r="O28" s="1186">
        <v>4084</v>
      </c>
      <c r="P28" s="1186">
        <v>2851</v>
      </c>
      <c r="Q28" s="1186">
        <v>892</v>
      </c>
      <c r="R28" s="1186">
        <v>242</v>
      </c>
      <c r="S28" s="1186">
        <v>90</v>
      </c>
      <c r="T28" s="1186">
        <v>9</v>
      </c>
      <c r="U28" s="1186" t="s">
        <v>20</v>
      </c>
      <c r="V28" s="1186" t="s">
        <v>889</v>
      </c>
      <c r="W28" s="1186">
        <v>688</v>
      </c>
      <c r="X28" s="1186"/>
      <c r="Y28" s="1186">
        <v>184</v>
      </c>
      <c r="Z28" s="1186">
        <v>8</v>
      </c>
      <c r="AA28" s="1186">
        <v>70</v>
      </c>
      <c r="AB28" s="1186">
        <v>7</v>
      </c>
      <c r="AC28" s="1186">
        <v>53</v>
      </c>
      <c r="AD28" s="1186">
        <v>3</v>
      </c>
      <c r="AE28" s="1186">
        <v>60</v>
      </c>
      <c r="AF28" s="1186">
        <v>20</v>
      </c>
      <c r="AG28" s="1186">
        <v>19</v>
      </c>
      <c r="AH28" s="1186">
        <v>9</v>
      </c>
      <c r="AI28" s="1186">
        <v>22</v>
      </c>
      <c r="AJ28" s="1186">
        <v>12</v>
      </c>
      <c r="AK28" s="1186">
        <v>19</v>
      </c>
      <c r="AL28" s="1186">
        <v>72</v>
      </c>
      <c r="AM28" s="1186">
        <v>12</v>
      </c>
      <c r="AN28" s="1186">
        <v>43</v>
      </c>
      <c r="AO28" s="1186"/>
      <c r="AP28" s="1186">
        <v>19</v>
      </c>
      <c r="AQ28" s="1186">
        <v>40</v>
      </c>
      <c r="AR28" s="1186">
        <v>16</v>
      </c>
    </row>
    <row r="29" spans="1:44" x14ac:dyDescent="0.2">
      <c r="A29" s="1186" t="s">
        <v>13</v>
      </c>
      <c r="B29" s="1186" t="s">
        <v>890</v>
      </c>
      <c r="C29" s="1186">
        <v>1155</v>
      </c>
      <c r="D29" s="1186">
        <v>491</v>
      </c>
      <c r="E29" s="1186">
        <v>248</v>
      </c>
      <c r="F29" s="1186">
        <v>254</v>
      </c>
      <c r="G29" s="1186">
        <v>162</v>
      </c>
      <c r="H29" s="1186">
        <v>2928</v>
      </c>
      <c r="I29" s="1186">
        <v>110</v>
      </c>
      <c r="J29" s="1186">
        <v>4193</v>
      </c>
      <c r="K29" s="1186" t="s">
        <v>1981</v>
      </c>
      <c r="L29" s="1186" t="s">
        <v>1982</v>
      </c>
      <c r="M29" s="1186" t="s">
        <v>13</v>
      </c>
      <c r="N29" s="1186" t="s">
        <v>890</v>
      </c>
      <c r="O29" s="1186">
        <v>4062</v>
      </c>
      <c r="P29" s="1186">
        <v>2674</v>
      </c>
      <c r="Q29" s="1186">
        <v>986</v>
      </c>
      <c r="R29" s="1186">
        <v>285</v>
      </c>
      <c r="S29" s="1186">
        <v>109</v>
      </c>
      <c r="T29" s="1186">
        <v>8</v>
      </c>
      <c r="U29" s="1186" t="s">
        <v>13</v>
      </c>
      <c r="V29" s="1186" t="s">
        <v>890</v>
      </c>
      <c r="W29" s="1186">
        <v>680</v>
      </c>
      <c r="X29" s="1186"/>
      <c r="Y29" s="1186">
        <v>152</v>
      </c>
      <c r="Z29" s="1186">
        <v>7</v>
      </c>
      <c r="AA29" s="1186">
        <v>55</v>
      </c>
      <c r="AB29" s="1186">
        <v>6</v>
      </c>
      <c r="AC29" s="1186">
        <v>69</v>
      </c>
      <c r="AD29" s="1186">
        <v>6</v>
      </c>
      <c r="AE29" s="1186">
        <v>48</v>
      </c>
      <c r="AF29" s="1186">
        <v>32</v>
      </c>
      <c r="AG29" s="1186">
        <v>11</v>
      </c>
      <c r="AH29" s="1186">
        <v>14</v>
      </c>
      <c r="AI29" s="1186">
        <v>21</v>
      </c>
      <c r="AJ29" s="1186">
        <v>14</v>
      </c>
      <c r="AK29" s="1186">
        <v>18</v>
      </c>
      <c r="AL29" s="1186">
        <v>84</v>
      </c>
      <c r="AM29" s="1186">
        <v>14</v>
      </c>
      <c r="AN29" s="1186">
        <v>53</v>
      </c>
      <c r="AO29" s="1186">
        <v>2</v>
      </c>
      <c r="AP29" s="1186">
        <v>12</v>
      </c>
      <c r="AQ29" s="1186">
        <v>44</v>
      </c>
      <c r="AR29" s="1186">
        <v>18</v>
      </c>
    </row>
    <row r="30" spans="1:44" x14ac:dyDescent="0.2">
      <c r="A30" s="1186" t="s">
        <v>13</v>
      </c>
      <c r="B30" s="1186" t="s">
        <v>891</v>
      </c>
      <c r="C30" s="1186">
        <v>1069</v>
      </c>
      <c r="D30" s="1186">
        <v>489</v>
      </c>
      <c r="E30" s="1186">
        <v>263</v>
      </c>
      <c r="F30" s="1186">
        <v>195</v>
      </c>
      <c r="G30" s="1186">
        <v>122</v>
      </c>
      <c r="H30" s="1186">
        <v>1943</v>
      </c>
      <c r="I30" s="1186">
        <v>81</v>
      </c>
      <c r="J30" s="1186">
        <v>3093</v>
      </c>
      <c r="K30" s="1186" t="s">
        <v>1981</v>
      </c>
      <c r="L30" s="1186" t="s">
        <v>1982</v>
      </c>
      <c r="M30" s="1186" t="s">
        <v>13</v>
      </c>
      <c r="N30" s="1186" t="s">
        <v>891</v>
      </c>
      <c r="O30" s="1186">
        <v>3942</v>
      </c>
      <c r="P30" s="1186">
        <v>2760</v>
      </c>
      <c r="Q30" s="1186">
        <v>812</v>
      </c>
      <c r="R30" s="1186">
        <v>264</v>
      </c>
      <c r="S30" s="1186">
        <v>102</v>
      </c>
      <c r="T30" s="1186">
        <v>4</v>
      </c>
      <c r="U30" s="1186" t="s">
        <v>13</v>
      </c>
      <c r="V30" s="1186" t="s">
        <v>891</v>
      </c>
      <c r="W30" s="1186">
        <v>935</v>
      </c>
      <c r="X30" s="1186"/>
      <c r="Y30" s="1186">
        <v>191</v>
      </c>
      <c r="Z30" s="1186">
        <v>10</v>
      </c>
      <c r="AA30" s="1186">
        <v>58</v>
      </c>
      <c r="AB30" s="1186">
        <v>8</v>
      </c>
      <c r="AC30" s="1186">
        <v>65</v>
      </c>
      <c r="AD30" s="1186">
        <v>5</v>
      </c>
      <c r="AE30" s="1186">
        <v>65</v>
      </c>
      <c r="AF30" s="1186">
        <v>32</v>
      </c>
      <c r="AG30" s="1186">
        <v>18</v>
      </c>
      <c r="AH30" s="1186">
        <v>7</v>
      </c>
      <c r="AI30" s="1186">
        <v>23</v>
      </c>
      <c r="AJ30" s="1186">
        <v>13</v>
      </c>
      <c r="AK30" s="1186">
        <v>31</v>
      </c>
      <c r="AL30" s="1186">
        <v>64</v>
      </c>
      <c r="AM30" s="1186">
        <v>153</v>
      </c>
      <c r="AN30" s="1186">
        <v>87</v>
      </c>
      <c r="AO30" s="1186"/>
      <c r="AP30" s="1186">
        <v>10</v>
      </c>
      <c r="AQ30" s="1186">
        <v>58</v>
      </c>
      <c r="AR30" s="1186">
        <v>37</v>
      </c>
    </row>
    <row r="31" spans="1:44" x14ac:dyDescent="0.2">
      <c r="A31" s="1186" t="s">
        <v>13</v>
      </c>
      <c r="B31" s="1186" t="s">
        <v>892</v>
      </c>
      <c r="C31" s="1186">
        <v>1019</v>
      </c>
      <c r="D31" s="1186">
        <v>494</v>
      </c>
      <c r="E31" s="1186">
        <v>209</v>
      </c>
      <c r="F31" s="1186">
        <v>218</v>
      </c>
      <c r="G31" s="1186">
        <v>98</v>
      </c>
      <c r="H31" s="1186">
        <v>1436</v>
      </c>
      <c r="I31" s="1186">
        <v>39</v>
      </c>
      <c r="J31" s="1186">
        <v>2494</v>
      </c>
      <c r="K31" s="1186" t="s">
        <v>1983</v>
      </c>
      <c r="L31" s="1186" t="s">
        <v>1982</v>
      </c>
      <c r="M31" s="1186" t="s">
        <v>13</v>
      </c>
      <c r="N31" s="1186" t="s">
        <v>892</v>
      </c>
      <c r="O31" s="1186">
        <v>3855</v>
      </c>
      <c r="P31" s="1186">
        <v>2712</v>
      </c>
      <c r="Q31" s="1186">
        <v>857</v>
      </c>
      <c r="R31" s="1186">
        <v>196</v>
      </c>
      <c r="S31" s="1186">
        <v>80</v>
      </c>
      <c r="T31" s="1186">
        <v>10</v>
      </c>
      <c r="U31" s="1186" t="s">
        <v>13</v>
      </c>
      <c r="V31" s="1186" t="s">
        <v>892</v>
      </c>
      <c r="W31" s="1186">
        <v>748</v>
      </c>
      <c r="X31" s="1186"/>
      <c r="Y31" s="1186">
        <v>192</v>
      </c>
      <c r="Z31" s="1186">
        <v>13</v>
      </c>
      <c r="AA31" s="1186">
        <v>80</v>
      </c>
      <c r="AB31" s="1186">
        <v>14</v>
      </c>
      <c r="AC31" s="1186">
        <v>64</v>
      </c>
      <c r="AD31" s="1186">
        <v>6</v>
      </c>
      <c r="AE31" s="1186">
        <v>47</v>
      </c>
      <c r="AF31" s="1186">
        <v>18</v>
      </c>
      <c r="AG31" s="1186">
        <v>16</v>
      </c>
      <c r="AH31" s="1186">
        <v>11</v>
      </c>
      <c r="AI31" s="1186">
        <v>35</v>
      </c>
      <c r="AJ31" s="1186">
        <v>12</v>
      </c>
      <c r="AK31" s="1186">
        <v>29</v>
      </c>
      <c r="AL31" s="1186">
        <v>66</v>
      </c>
      <c r="AM31" s="1186">
        <v>23</v>
      </c>
      <c r="AN31" s="1186">
        <v>60</v>
      </c>
      <c r="AO31" s="1186"/>
      <c r="AP31" s="1186">
        <v>12</v>
      </c>
      <c r="AQ31" s="1186">
        <v>39</v>
      </c>
      <c r="AR31" s="1186">
        <v>11</v>
      </c>
    </row>
    <row r="32" spans="1:44" x14ac:dyDescent="0.2">
      <c r="A32" s="1186" t="s">
        <v>13</v>
      </c>
      <c r="B32" s="1186" t="s">
        <v>893</v>
      </c>
      <c r="C32" s="1186">
        <v>1120</v>
      </c>
      <c r="D32" s="1186">
        <v>571</v>
      </c>
      <c r="E32" s="1186">
        <v>254</v>
      </c>
      <c r="F32" s="1186">
        <v>185</v>
      </c>
      <c r="G32" s="1186">
        <v>110</v>
      </c>
      <c r="H32" s="1186">
        <v>1804</v>
      </c>
      <c r="I32" s="1186">
        <v>23</v>
      </c>
      <c r="J32" s="1186">
        <v>2947</v>
      </c>
      <c r="K32" s="1186" t="s">
        <v>1983</v>
      </c>
      <c r="L32" s="1186" t="s">
        <v>1984</v>
      </c>
      <c r="M32" s="1186" t="s">
        <v>13</v>
      </c>
      <c r="N32" s="1186" t="s">
        <v>893</v>
      </c>
      <c r="O32" s="1186">
        <v>4155</v>
      </c>
      <c r="P32" s="1186">
        <v>2913</v>
      </c>
      <c r="Q32" s="1186">
        <v>924</v>
      </c>
      <c r="R32" s="1186">
        <v>227</v>
      </c>
      <c r="S32" s="1186">
        <v>87</v>
      </c>
      <c r="T32" s="1186">
        <v>4</v>
      </c>
      <c r="U32" s="1186" t="s">
        <v>13</v>
      </c>
      <c r="V32" s="1186" t="s">
        <v>893</v>
      </c>
      <c r="W32" s="1186">
        <v>926</v>
      </c>
      <c r="X32" s="1186"/>
      <c r="Y32" s="1186">
        <v>177</v>
      </c>
      <c r="Z32" s="1186">
        <v>14</v>
      </c>
      <c r="AA32" s="1186">
        <v>175</v>
      </c>
      <c r="AB32" s="1186">
        <v>18</v>
      </c>
      <c r="AC32" s="1186">
        <v>75</v>
      </c>
      <c r="AD32" s="1186">
        <v>3</v>
      </c>
      <c r="AE32" s="1186">
        <v>70</v>
      </c>
      <c r="AF32" s="1186">
        <v>23</v>
      </c>
      <c r="AG32" s="1186">
        <v>15</v>
      </c>
      <c r="AH32" s="1186">
        <v>15</v>
      </c>
      <c r="AI32" s="1186">
        <v>23</v>
      </c>
      <c r="AJ32" s="1186">
        <v>14</v>
      </c>
      <c r="AK32" s="1186">
        <v>40</v>
      </c>
      <c r="AL32" s="1186">
        <v>74</v>
      </c>
      <c r="AM32" s="1186">
        <v>21</v>
      </c>
      <c r="AN32" s="1186">
        <v>80</v>
      </c>
      <c r="AO32" s="1186">
        <v>2</v>
      </c>
      <c r="AP32" s="1186">
        <v>23</v>
      </c>
      <c r="AQ32" s="1186">
        <v>52</v>
      </c>
      <c r="AR32" s="1186">
        <v>12</v>
      </c>
    </row>
    <row r="33" spans="1:44" x14ac:dyDescent="0.2">
      <c r="A33" s="1186" t="s">
        <v>13</v>
      </c>
      <c r="B33" s="1186" t="s">
        <v>894</v>
      </c>
      <c r="C33" s="1186">
        <v>1040</v>
      </c>
      <c r="D33" s="1186">
        <v>493</v>
      </c>
      <c r="E33" s="1186">
        <v>207</v>
      </c>
      <c r="F33" s="1186">
        <v>225</v>
      </c>
      <c r="G33" s="1186">
        <v>115</v>
      </c>
      <c r="H33" s="1186">
        <v>1235</v>
      </c>
      <c r="I33" s="1186">
        <v>33</v>
      </c>
      <c r="J33" s="1186">
        <v>2308</v>
      </c>
      <c r="K33" s="1186" t="s">
        <v>1983</v>
      </c>
      <c r="L33" s="1186" t="s">
        <v>1984</v>
      </c>
      <c r="M33" s="1186" t="s">
        <v>13</v>
      </c>
      <c r="N33" s="1186" t="s">
        <v>894</v>
      </c>
      <c r="O33" s="1186">
        <v>4260</v>
      </c>
      <c r="P33" s="1186">
        <v>3117</v>
      </c>
      <c r="Q33" s="1186">
        <v>833</v>
      </c>
      <c r="R33" s="1186">
        <v>220</v>
      </c>
      <c r="S33" s="1186">
        <v>85</v>
      </c>
      <c r="T33" s="1186">
        <v>5</v>
      </c>
      <c r="U33" s="1186" t="s">
        <v>13</v>
      </c>
      <c r="V33" s="1186" t="s">
        <v>894</v>
      </c>
      <c r="W33" s="1186">
        <v>832</v>
      </c>
      <c r="X33" s="1186"/>
      <c r="Y33" s="1186">
        <v>209</v>
      </c>
      <c r="Z33" s="1186">
        <v>9</v>
      </c>
      <c r="AA33" s="1186">
        <v>129</v>
      </c>
      <c r="AB33" s="1186">
        <v>14</v>
      </c>
      <c r="AC33" s="1186">
        <v>82</v>
      </c>
      <c r="AD33" s="1186">
        <v>7</v>
      </c>
      <c r="AE33" s="1186">
        <v>44</v>
      </c>
      <c r="AF33" s="1186">
        <v>22</v>
      </c>
      <c r="AG33" s="1186">
        <v>15</v>
      </c>
      <c r="AH33" s="1186">
        <v>18</v>
      </c>
      <c r="AI33" s="1186">
        <v>23</v>
      </c>
      <c r="AJ33" s="1186">
        <v>12</v>
      </c>
      <c r="AK33" s="1186">
        <v>19</v>
      </c>
      <c r="AL33" s="1186">
        <v>74</v>
      </c>
      <c r="AM33" s="1186">
        <v>13</v>
      </c>
      <c r="AN33" s="1186">
        <v>57</v>
      </c>
      <c r="AO33" s="1186"/>
      <c r="AP33" s="1186">
        <v>12</v>
      </c>
      <c r="AQ33" s="1186">
        <v>57</v>
      </c>
      <c r="AR33" s="1186">
        <v>16</v>
      </c>
    </row>
    <row r="34" spans="1:44" x14ac:dyDescent="0.2">
      <c r="A34" s="1186" t="s">
        <v>13</v>
      </c>
      <c r="B34" s="1186" t="s">
        <v>895</v>
      </c>
      <c r="C34" s="1186">
        <v>969</v>
      </c>
      <c r="D34" s="1186">
        <v>465</v>
      </c>
      <c r="E34" s="1186">
        <v>223</v>
      </c>
      <c r="F34" s="1186">
        <v>188</v>
      </c>
      <c r="G34" s="1186">
        <v>93</v>
      </c>
      <c r="H34" s="1186">
        <v>1160</v>
      </c>
      <c r="I34" s="1186">
        <v>50</v>
      </c>
      <c r="J34" s="1186">
        <v>2179</v>
      </c>
      <c r="K34" s="1186" t="s">
        <v>1985</v>
      </c>
      <c r="L34" s="1186" t="s">
        <v>1984</v>
      </c>
      <c r="M34" s="1186" t="s">
        <v>13</v>
      </c>
      <c r="N34" s="1186" t="s">
        <v>895</v>
      </c>
      <c r="O34" s="1186">
        <v>4308</v>
      </c>
      <c r="P34" s="1186">
        <v>3174</v>
      </c>
      <c r="Q34" s="1186">
        <v>830</v>
      </c>
      <c r="R34" s="1186">
        <v>228</v>
      </c>
      <c r="S34" s="1186">
        <v>69</v>
      </c>
      <c r="T34" s="1186">
        <v>7</v>
      </c>
      <c r="U34" s="1186" t="s">
        <v>13</v>
      </c>
      <c r="V34" s="1186" t="s">
        <v>895</v>
      </c>
      <c r="W34" s="1186">
        <v>776</v>
      </c>
      <c r="X34" s="1186"/>
      <c r="Y34" s="1186">
        <v>190</v>
      </c>
      <c r="Z34" s="1186">
        <v>12</v>
      </c>
      <c r="AA34" s="1186">
        <v>59</v>
      </c>
      <c r="AB34" s="1186">
        <v>18</v>
      </c>
      <c r="AC34" s="1186">
        <v>46</v>
      </c>
      <c r="AD34" s="1186">
        <v>4</v>
      </c>
      <c r="AE34" s="1186">
        <v>62</v>
      </c>
      <c r="AF34" s="1186">
        <v>23</v>
      </c>
      <c r="AG34" s="1186">
        <v>18</v>
      </c>
      <c r="AH34" s="1186">
        <v>16</v>
      </c>
      <c r="AI34" s="1186">
        <v>29</v>
      </c>
      <c r="AJ34" s="1186">
        <v>14</v>
      </c>
      <c r="AK34" s="1186">
        <v>24</v>
      </c>
      <c r="AL34" s="1186">
        <v>87</v>
      </c>
      <c r="AM34" s="1186">
        <v>24</v>
      </c>
      <c r="AN34" s="1186">
        <v>54</v>
      </c>
      <c r="AO34" s="1186">
        <v>2</v>
      </c>
      <c r="AP34" s="1186">
        <v>14</v>
      </c>
      <c r="AQ34" s="1186">
        <v>62</v>
      </c>
      <c r="AR34" s="1186">
        <v>18</v>
      </c>
    </row>
    <row r="35" spans="1:44" x14ac:dyDescent="0.2">
      <c r="A35" s="1186" t="s">
        <v>13</v>
      </c>
      <c r="B35" s="1186" t="s">
        <v>896</v>
      </c>
      <c r="C35" s="1186">
        <v>1021</v>
      </c>
      <c r="D35" s="1186">
        <v>508</v>
      </c>
      <c r="E35" s="1186">
        <v>224</v>
      </c>
      <c r="F35" s="1186">
        <v>192</v>
      </c>
      <c r="G35" s="1186">
        <v>97</v>
      </c>
      <c r="H35" s="1186">
        <v>1332</v>
      </c>
      <c r="I35" s="1186">
        <v>75</v>
      </c>
      <c r="J35" s="1186">
        <v>2428</v>
      </c>
      <c r="K35" s="1186" t="s">
        <v>1985</v>
      </c>
      <c r="L35" s="1186" t="s">
        <v>1986</v>
      </c>
      <c r="M35" s="1186" t="s">
        <v>13</v>
      </c>
      <c r="N35" s="1186" t="s">
        <v>896</v>
      </c>
      <c r="O35" s="1186">
        <v>4304</v>
      </c>
      <c r="P35" s="1186">
        <v>3194</v>
      </c>
      <c r="Q35" s="1186">
        <v>801</v>
      </c>
      <c r="R35" s="1186">
        <v>223</v>
      </c>
      <c r="S35" s="1186">
        <v>82</v>
      </c>
      <c r="T35" s="1186">
        <v>4</v>
      </c>
      <c r="U35" s="1186" t="s">
        <v>13</v>
      </c>
      <c r="V35" s="1186" t="s">
        <v>896</v>
      </c>
      <c r="W35" s="1186">
        <v>758</v>
      </c>
      <c r="X35" s="1186"/>
      <c r="Y35" s="1186">
        <v>199</v>
      </c>
      <c r="Z35" s="1186">
        <v>7</v>
      </c>
      <c r="AA35" s="1186">
        <v>104</v>
      </c>
      <c r="AB35" s="1186">
        <v>18</v>
      </c>
      <c r="AC35" s="1186">
        <v>41</v>
      </c>
      <c r="AD35" s="1186">
        <v>3</v>
      </c>
      <c r="AE35" s="1186">
        <v>50</v>
      </c>
      <c r="AF35" s="1186">
        <v>18</v>
      </c>
      <c r="AG35" s="1186">
        <v>7</v>
      </c>
      <c r="AH35" s="1186">
        <v>16</v>
      </c>
      <c r="AI35" s="1186">
        <v>22</v>
      </c>
      <c r="AJ35" s="1186">
        <v>12</v>
      </c>
      <c r="AK35" s="1186">
        <v>24</v>
      </c>
      <c r="AL35" s="1186">
        <v>65</v>
      </c>
      <c r="AM35" s="1186">
        <v>24</v>
      </c>
      <c r="AN35" s="1186">
        <v>63</v>
      </c>
      <c r="AO35" s="1186"/>
      <c r="AP35" s="1186">
        <v>16</v>
      </c>
      <c r="AQ35" s="1186">
        <v>46</v>
      </c>
      <c r="AR35" s="1186">
        <v>23</v>
      </c>
    </row>
    <row r="36" spans="1:44" x14ac:dyDescent="0.2">
      <c r="A36" s="1186" t="s">
        <v>13</v>
      </c>
      <c r="B36" s="1186" t="s">
        <v>897</v>
      </c>
      <c r="C36" s="1186">
        <v>1005</v>
      </c>
      <c r="D36" s="1186">
        <v>500</v>
      </c>
      <c r="E36" s="1186">
        <v>230</v>
      </c>
      <c r="F36" s="1186">
        <v>178</v>
      </c>
      <c r="G36" s="1186">
        <v>97</v>
      </c>
      <c r="H36" s="1186">
        <v>2104</v>
      </c>
      <c r="I36" s="1186">
        <v>122</v>
      </c>
      <c r="J36" s="1186">
        <v>3231</v>
      </c>
      <c r="K36" s="1186" t="s">
        <v>1985</v>
      </c>
      <c r="L36" s="1186" t="s">
        <v>1986</v>
      </c>
      <c r="M36" s="1186" t="s">
        <v>13</v>
      </c>
      <c r="N36" s="1186" t="s">
        <v>897</v>
      </c>
      <c r="O36" s="1186">
        <v>4479</v>
      </c>
      <c r="P36" s="1186">
        <v>3041</v>
      </c>
      <c r="Q36" s="1186">
        <v>1106</v>
      </c>
      <c r="R36" s="1186">
        <v>209</v>
      </c>
      <c r="S36" s="1186">
        <v>120</v>
      </c>
      <c r="T36" s="1186">
        <v>3</v>
      </c>
      <c r="U36" s="1186" t="s">
        <v>13</v>
      </c>
      <c r="V36" s="1186" t="s">
        <v>897</v>
      </c>
      <c r="W36" s="1186">
        <v>814</v>
      </c>
      <c r="X36" s="1186"/>
      <c r="Y36" s="1186">
        <v>194</v>
      </c>
      <c r="Z36" s="1186">
        <v>10</v>
      </c>
      <c r="AA36" s="1186">
        <v>165</v>
      </c>
      <c r="AB36" s="1186">
        <v>26</v>
      </c>
      <c r="AC36" s="1186">
        <v>46</v>
      </c>
      <c r="AD36" s="1186">
        <v>7</v>
      </c>
      <c r="AE36" s="1186">
        <v>52</v>
      </c>
      <c r="AF36" s="1186">
        <v>21</v>
      </c>
      <c r="AG36" s="1186">
        <v>10</v>
      </c>
      <c r="AH36" s="1186">
        <v>12</v>
      </c>
      <c r="AI36" s="1186">
        <v>28</v>
      </c>
      <c r="AJ36" s="1186">
        <v>8</v>
      </c>
      <c r="AK36" s="1186">
        <v>17</v>
      </c>
      <c r="AL36" s="1186">
        <v>64</v>
      </c>
      <c r="AM36" s="1186">
        <v>22</v>
      </c>
      <c r="AN36" s="1186">
        <v>65</v>
      </c>
      <c r="AO36" s="1186">
        <v>2</v>
      </c>
      <c r="AP36" s="1186">
        <v>9</v>
      </c>
      <c r="AQ36" s="1186">
        <v>39</v>
      </c>
      <c r="AR36" s="1186">
        <v>17</v>
      </c>
    </row>
    <row r="37" spans="1:44" x14ac:dyDescent="0.2">
      <c r="A37" s="1186" t="s">
        <v>13</v>
      </c>
      <c r="B37" s="1186" t="s">
        <v>13</v>
      </c>
      <c r="C37" s="1186">
        <v>1009</v>
      </c>
      <c r="D37" s="1186">
        <v>567</v>
      </c>
      <c r="E37" s="1186">
        <v>220</v>
      </c>
      <c r="F37" s="1186">
        <v>170</v>
      </c>
      <c r="G37" s="1186">
        <v>52</v>
      </c>
      <c r="H37" s="1186">
        <v>551</v>
      </c>
      <c r="I37" s="1186">
        <v>165</v>
      </c>
      <c r="J37" s="1186">
        <v>1725</v>
      </c>
      <c r="K37" s="1186" t="s">
        <v>1987</v>
      </c>
      <c r="L37" s="1186" t="s">
        <v>1986</v>
      </c>
      <c r="M37" s="1186" t="s">
        <v>13</v>
      </c>
      <c r="N37" s="1186" t="s">
        <v>13</v>
      </c>
      <c r="O37" s="1186">
        <v>4140</v>
      </c>
      <c r="P37" s="1186">
        <v>3152</v>
      </c>
      <c r="Q37" s="1186">
        <v>725</v>
      </c>
      <c r="R37" s="1186">
        <v>171</v>
      </c>
      <c r="S37" s="1186">
        <v>89</v>
      </c>
      <c r="T37" s="1186">
        <v>3</v>
      </c>
      <c r="U37" s="1186" t="s">
        <v>13</v>
      </c>
      <c r="V37" s="1186" t="s">
        <v>13</v>
      </c>
      <c r="W37" s="1186">
        <v>1169</v>
      </c>
      <c r="X37" s="1186"/>
      <c r="Y37" s="1186">
        <v>214</v>
      </c>
      <c r="Z37" s="1186">
        <v>19</v>
      </c>
      <c r="AA37" s="1186">
        <v>117</v>
      </c>
      <c r="AB37" s="1186">
        <v>14</v>
      </c>
      <c r="AC37" s="1186">
        <v>47</v>
      </c>
      <c r="AD37" s="1186">
        <v>6</v>
      </c>
      <c r="AE37" s="1186">
        <v>74</v>
      </c>
      <c r="AF37" s="1186">
        <v>32</v>
      </c>
      <c r="AG37" s="1186">
        <v>11</v>
      </c>
      <c r="AH37" s="1186">
        <v>4</v>
      </c>
      <c r="AI37" s="1186">
        <v>20</v>
      </c>
      <c r="AJ37" s="1186">
        <v>12</v>
      </c>
      <c r="AK37" s="1186">
        <v>25</v>
      </c>
      <c r="AL37" s="1186">
        <v>87</v>
      </c>
      <c r="AM37" s="1186">
        <v>280</v>
      </c>
      <c r="AN37" s="1186">
        <v>94</v>
      </c>
      <c r="AO37" s="1186"/>
      <c r="AP37" s="1186">
        <v>12</v>
      </c>
      <c r="AQ37" s="1186">
        <v>45</v>
      </c>
      <c r="AR37" s="1186">
        <v>56</v>
      </c>
    </row>
    <row r="38" spans="1:44" x14ac:dyDescent="0.2">
      <c r="A38" s="1186" t="s">
        <v>13</v>
      </c>
      <c r="B38" s="1186" t="s">
        <v>898</v>
      </c>
      <c r="C38" s="1186">
        <v>983</v>
      </c>
      <c r="D38" s="1186">
        <v>559</v>
      </c>
      <c r="E38" s="1186">
        <v>205</v>
      </c>
      <c r="F38" s="1186">
        <v>164</v>
      </c>
      <c r="G38" s="1186">
        <v>55</v>
      </c>
      <c r="H38" s="1186">
        <v>720</v>
      </c>
      <c r="I38" s="1186">
        <v>175</v>
      </c>
      <c r="J38" s="1186">
        <v>1878</v>
      </c>
      <c r="K38" s="1186" t="s">
        <v>1987</v>
      </c>
      <c r="L38" s="1186" t="s">
        <v>1988</v>
      </c>
      <c r="M38" s="1186" t="s">
        <v>13</v>
      </c>
      <c r="N38" s="1186" t="s">
        <v>898</v>
      </c>
      <c r="O38" s="1186">
        <v>3874</v>
      </c>
      <c r="P38" s="1186">
        <v>2799</v>
      </c>
      <c r="Q38" s="1186">
        <v>762</v>
      </c>
      <c r="R38" s="1186">
        <v>194</v>
      </c>
      <c r="S38" s="1186">
        <v>114</v>
      </c>
      <c r="T38" s="1186">
        <v>5</v>
      </c>
      <c r="U38" s="1186" t="s">
        <v>13</v>
      </c>
      <c r="V38" s="1186" t="s">
        <v>898</v>
      </c>
      <c r="W38" s="1186">
        <v>1223</v>
      </c>
      <c r="X38" s="1186"/>
      <c r="Y38" s="1186">
        <v>206</v>
      </c>
      <c r="Z38" s="1186">
        <v>6</v>
      </c>
      <c r="AA38" s="1186">
        <v>104</v>
      </c>
      <c r="AB38" s="1186">
        <v>12</v>
      </c>
      <c r="AC38" s="1186">
        <v>49</v>
      </c>
      <c r="AD38" s="1186">
        <v>13</v>
      </c>
      <c r="AE38" s="1186">
        <v>63</v>
      </c>
      <c r="AF38" s="1186">
        <v>24</v>
      </c>
      <c r="AG38" s="1186">
        <v>3</v>
      </c>
      <c r="AH38" s="1186">
        <v>11</v>
      </c>
      <c r="AI38" s="1186">
        <v>22</v>
      </c>
      <c r="AJ38" s="1186">
        <v>13</v>
      </c>
      <c r="AK38" s="1186">
        <v>28</v>
      </c>
      <c r="AL38" s="1186">
        <v>76</v>
      </c>
      <c r="AM38" s="1186">
        <v>314</v>
      </c>
      <c r="AN38" s="1186">
        <v>140</v>
      </c>
      <c r="AO38" s="1186">
        <v>1</v>
      </c>
      <c r="AP38" s="1186">
        <v>16</v>
      </c>
      <c r="AQ38" s="1186">
        <v>55</v>
      </c>
      <c r="AR38" s="1186">
        <v>67</v>
      </c>
    </row>
    <row r="39" spans="1:44" x14ac:dyDescent="0.2">
      <c r="A39" s="1186" t="s">
        <v>13</v>
      </c>
      <c r="B39" s="1186" t="s">
        <v>899</v>
      </c>
      <c r="C39" s="1186">
        <v>943</v>
      </c>
      <c r="D39" s="1186">
        <v>501</v>
      </c>
      <c r="E39" s="1186">
        <v>216</v>
      </c>
      <c r="F39" s="1186">
        <v>167</v>
      </c>
      <c r="G39" s="1186">
        <v>59</v>
      </c>
      <c r="H39" s="1186">
        <v>915</v>
      </c>
      <c r="I39" s="1186">
        <v>191</v>
      </c>
      <c r="J39" s="1186">
        <v>2049</v>
      </c>
      <c r="K39" s="1186" t="s">
        <v>1987</v>
      </c>
      <c r="L39" s="1186" t="s">
        <v>1988</v>
      </c>
      <c r="M39" s="1186" t="s">
        <v>13</v>
      </c>
      <c r="N39" s="1186" t="s">
        <v>899</v>
      </c>
      <c r="O39" s="1186">
        <v>3691</v>
      </c>
      <c r="P39" s="1186">
        <v>2669</v>
      </c>
      <c r="Q39" s="1186">
        <v>711</v>
      </c>
      <c r="R39" s="1186">
        <v>210</v>
      </c>
      <c r="S39" s="1186">
        <v>96</v>
      </c>
      <c r="T39" s="1186">
        <v>5</v>
      </c>
      <c r="U39" s="1186" t="s">
        <v>13</v>
      </c>
      <c r="V39" s="1186" t="s">
        <v>899</v>
      </c>
      <c r="W39" s="1186">
        <v>595</v>
      </c>
      <c r="X39" s="1186"/>
      <c r="Y39" s="1186">
        <v>142</v>
      </c>
      <c r="Z39" s="1186">
        <v>3</v>
      </c>
      <c r="AA39" s="1186">
        <v>38</v>
      </c>
      <c r="AB39" s="1186">
        <v>9</v>
      </c>
      <c r="AC39" s="1186">
        <v>38</v>
      </c>
      <c r="AD39" s="1186">
        <v>8</v>
      </c>
      <c r="AE39" s="1186">
        <v>41</v>
      </c>
      <c r="AF39" s="1186">
        <v>9</v>
      </c>
      <c r="AG39" s="1186">
        <v>15</v>
      </c>
      <c r="AH39" s="1186">
        <v>9</v>
      </c>
      <c r="AI39" s="1186">
        <v>21</v>
      </c>
      <c r="AJ39" s="1186">
        <v>17</v>
      </c>
      <c r="AK39" s="1186">
        <v>35</v>
      </c>
      <c r="AL39" s="1186">
        <v>68</v>
      </c>
      <c r="AM39" s="1186">
        <v>20</v>
      </c>
      <c r="AN39" s="1186">
        <v>54</v>
      </c>
      <c r="AO39" s="1186"/>
      <c r="AP39" s="1186">
        <v>12</v>
      </c>
      <c r="AQ39" s="1186">
        <v>33</v>
      </c>
      <c r="AR39" s="1186">
        <v>23</v>
      </c>
    </row>
    <row r="40" spans="1:44" x14ac:dyDescent="0.2">
      <c r="A40" s="1186" t="s">
        <v>13</v>
      </c>
      <c r="B40" s="1186" t="s">
        <v>900</v>
      </c>
      <c r="C40" s="1186">
        <v>1078</v>
      </c>
      <c r="D40" s="1186">
        <v>519</v>
      </c>
      <c r="E40" s="1186">
        <v>218</v>
      </c>
      <c r="F40" s="1186">
        <v>226</v>
      </c>
      <c r="G40" s="1186">
        <v>115</v>
      </c>
      <c r="H40" s="1186">
        <v>2555</v>
      </c>
      <c r="I40" s="1186">
        <v>135</v>
      </c>
      <c r="J40" s="1186">
        <v>3768</v>
      </c>
      <c r="K40" s="1186" t="s">
        <v>1981</v>
      </c>
      <c r="L40" s="1186" t="s">
        <v>1988</v>
      </c>
      <c r="M40" s="1186" t="s">
        <v>13</v>
      </c>
      <c r="N40" s="1186" t="s">
        <v>900</v>
      </c>
      <c r="O40" s="1186">
        <v>4038</v>
      </c>
      <c r="P40" s="1186">
        <v>2749</v>
      </c>
      <c r="Q40" s="1186">
        <v>999</v>
      </c>
      <c r="R40" s="1186">
        <v>195</v>
      </c>
      <c r="S40" s="1186">
        <v>90</v>
      </c>
      <c r="T40" s="1186">
        <v>5</v>
      </c>
      <c r="U40" s="1186" t="s">
        <v>13</v>
      </c>
      <c r="V40" s="1186" t="s">
        <v>900</v>
      </c>
      <c r="W40" s="1186">
        <v>663</v>
      </c>
      <c r="X40" s="1186"/>
      <c r="Y40" s="1186">
        <v>157</v>
      </c>
      <c r="Z40" s="1186">
        <v>6</v>
      </c>
      <c r="AA40" s="1186">
        <v>52</v>
      </c>
      <c r="AB40" s="1186">
        <v>4</v>
      </c>
      <c r="AC40" s="1186">
        <v>66</v>
      </c>
      <c r="AD40" s="1186">
        <v>4</v>
      </c>
      <c r="AE40" s="1186">
        <v>62</v>
      </c>
      <c r="AF40" s="1186">
        <v>29</v>
      </c>
      <c r="AG40" s="1186">
        <v>7</v>
      </c>
      <c r="AH40" s="1186">
        <v>7</v>
      </c>
      <c r="AI40" s="1186">
        <v>20</v>
      </c>
      <c r="AJ40" s="1186">
        <v>13</v>
      </c>
      <c r="AK40" s="1186">
        <v>31</v>
      </c>
      <c r="AL40" s="1186">
        <v>73</v>
      </c>
      <c r="AM40" s="1186">
        <v>17</v>
      </c>
      <c r="AN40" s="1186">
        <v>47</v>
      </c>
      <c r="AO40" s="1186"/>
      <c r="AP40" s="1186">
        <v>13</v>
      </c>
      <c r="AQ40" s="1186">
        <v>36</v>
      </c>
      <c r="AR40" s="1186">
        <v>19</v>
      </c>
    </row>
    <row r="41" spans="1:44" x14ac:dyDescent="0.2">
      <c r="A41" s="1186" t="s">
        <v>15</v>
      </c>
      <c r="B41" s="1186" t="s">
        <v>901</v>
      </c>
      <c r="C41" s="1186">
        <v>934</v>
      </c>
      <c r="D41" s="1186">
        <v>485</v>
      </c>
      <c r="E41" s="1186">
        <v>198</v>
      </c>
      <c r="F41" s="1186">
        <v>179</v>
      </c>
      <c r="G41" s="1186">
        <v>72</v>
      </c>
      <c r="H41" s="1186">
        <v>1678</v>
      </c>
      <c r="I41" s="1186">
        <v>118</v>
      </c>
      <c r="J41" s="1186">
        <v>2730</v>
      </c>
      <c r="K41" s="1186" t="s">
        <v>1981</v>
      </c>
      <c r="L41" s="1186" t="s">
        <v>1982</v>
      </c>
      <c r="M41" s="1186" t="s">
        <v>15</v>
      </c>
      <c r="N41" s="1186" t="s">
        <v>901</v>
      </c>
      <c r="O41" s="1186">
        <v>3546</v>
      </c>
      <c r="P41" s="1186">
        <v>2498</v>
      </c>
      <c r="Q41" s="1186">
        <v>801</v>
      </c>
      <c r="R41" s="1186">
        <v>174</v>
      </c>
      <c r="S41" s="1186">
        <v>69</v>
      </c>
      <c r="T41" s="1186">
        <v>4</v>
      </c>
      <c r="U41" s="1186" t="s">
        <v>15</v>
      </c>
      <c r="V41" s="1186" t="s">
        <v>901</v>
      </c>
      <c r="W41" s="1186">
        <v>649</v>
      </c>
      <c r="X41" s="1186"/>
      <c r="Y41" s="1186">
        <v>180</v>
      </c>
      <c r="Z41" s="1186">
        <v>12</v>
      </c>
      <c r="AA41" s="1186">
        <v>64</v>
      </c>
      <c r="AB41" s="1186">
        <v>7</v>
      </c>
      <c r="AC41" s="1186">
        <v>55</v>
      </c>
      <c r="AD41" s="1186">
        <v>4</v>
      </c>
      <c r="AE41" s="1186">
        <v>44</v>
      </c>
      <c r="AF41" s="1186">
        <v>18</v>
      </c>
      <c r="AG41" s="1186">
        <v>6</v>
      </c>
      <c r="AH41" s="1186">
        <v>7</v>
      </c>
      <c r="AI41" s="1186">
        <v>27</v>
      </c>
      <c r="AJ41" s="1186">
        <v>16</v>
      </c>
      <c r="AK41" s="1186">
        <v>28</v>
      </c>
      <c r="AL41" s="1186">
        <v>51</v>
      </c>
      <c r="AM41" s="1186">
        <v>20</v>
      </c>
      <c r="AN41" s="1186">
        <v>51</v>
      </c>
      <c r="AO41" s="1186"/>
      <c r="AP41" s="1186">
        <v>12</v>
      </c>
      <c r="AQ41" s="1186">
        <v>37</v>
      </c>
      <c r="AR41" s="1186">
        <v>10</v>
      </c>
    </row>
    <row r="42" spans="1:44" x14ac:dyDescent="0.2">
      <c r="A42" s="1186" t="s">
        <v>15</v>
      </c>
      <c r="B42" s="1186" t="s">
        <v>902</v>
      </c>
      <c r="C42" s="1186">
        <v>1036</v>
      </c>
      <c r="D42" s="1186">
        <v>509</v>
      </c>
      <c r="E42" s="1186">
        <v>227</v>
      </c>
      <c r="F42" s="1186">
        <v>193</v>
      </c>
      <c r="G42" s="1186">
        <v>107</v>
      </c>
      <c r="H42" s="1186">
        <v>1950</v>
      </c>
      <c r="I42" s="1186">
        <v>82</v>
      </c>
      <c r="J42" s="1186">
        <v>3068</v>
      </c>
      <c r="K42" s="1186" t="s">
        <v>1981</v>
      </c>
      <c r="L42" s="1186" t="s">
        <v>1982</v>
      </c>
      <c r="M42" s="1186" t="s">
        <v>15</v>
      </c>
      <c r="N42" s="1186" t="s">
        <v>902</v>
      </c>
      <c r="O42" s="1186">
        <v>4046</v>
      </c>
      <c r="P42" s="1186">
        <v>2882</v>
      </c>
      <c r="Q42" s="1186">
        <v>874</v>
      </c>
      <c r="R42" s="1186">
        <v>232</v>
      </c>
      <c r="S42" s="1186">
        <v>57</v>
      </c>
      <c r="T42" s="1186">
        <v>1</v>
      </c>
      <c r="U42" s="1186" t="s">
        <v>15</v>
      </c>
      <c r="V42" s="1186" t="s">
        <v>902</v>
      </c>
      <c r="W42" s="1186">
        <v>749</v>
      </c>
      <c r="X42" s="1186"/>
      <c r="Y42" s="1186">
        <v>189</v>
      </c>
      <c r="Z42" s="1186">
        <v>3</v>
      </c>
      <c r="AA42" s="1186">
        <v>62</v>
      </c>
      <c r="AB42" s="1186">
        <v>7</v>
      </c>
      <c r="AC42" s="1186">
        <v>66</v>
      </c>
      <c r="AD42" s="1186">
        <v>6</v>
      </c>
      <c r="AE42" s="1186">
        <v>46</v>
      </c>
      <c r="AF42" s="1186">
        <v>25</v>
      </c>
      <c r="AG42" s="1186">
        <v>9</v>
      </c>
      <c r="AH42" s="1186">
        <v>14</v>
      </c>
      <c r="AI42" s="1186">
        <v>26</v>
      </c>
      <c r="AJ42" s="1186">
        <v>24</v>
      </c>
      <c r="AK42" s="1186">
        <v>44</v>
      </c>
      <c r="AL42" s="1186">
        <v>68</v>
      </c>
      <c r="AM42" s="1186">
        <v>22</v>
      </c>
      <c r="AN42" s="1186">
        <v>69</v>
      </c>
      <c r="AO42" s="1186">
        <v>2</v>
      </c>
      <c r="AP42" s="1186">
        <v>20</v>
      </c>
      <c r="AQ42" s="1186">
        <v>34</v>
      </c>
      <c r="AR42" s="1186">
        <v>13</v>
      </c>
    </row>
    <row r="43" spans="1:44" x14ac:dyDescent="0.2">
      <c r="A43" s="1186" t="s">
        <v>15</v>
      </c>
      <c r="B43" s="1186" t="s">
        <v>903</v>
      </c>
      <c r="C43" s="1186">
        <v>916</v>
      </c>
      <c r="D43" s="1186">
        <v>465</v>
      </c>
      <c r="E43" s="1186">
        <v>201</v>
      </c>
      <c r="F43" s="1186">
        <v>175</v>
      </c>
      <c r="G43" s="1186">
        <v>75</v>
      </c>
      <c r="H43" s="1186">
        <v>1145</v>
      </c>
      <c r="I43" s="1186">
        <v>46</v>
      </c>
      <c r="J43" s="1186">
        <v>2107</v>
      </c>
      <c r="K43" s="1186" t="s">
        <v>1983</v>
      </c>
      <c r="L43" s="1186" t="s">
        <v>1982</v>
      </c>
      <c r="M43" s="1186" t="s">
        <v>15</v>
      </c>
      <c r="N43" s="1186" t="s">
        <v>903</v>
      </c>
      <c r="O43" s="1186">
        <v>3743</v>
      </c>
      <c r="P43" s="1186">
        <v>2782</v>
      </c>
      <c r="Q43" s="1186">
        <v>717</v>
      </c>
      <c r="R43" s="1186">
        <v>196</v>
      </c>
      <c r="S43" s="1186">
        <v>44</v>
      </c>
      <c r="T43" s="1186">
        <v>4</v>
      </c>
      <c r="U43" s="1186" t="s">
        <v>15</v>
      </c>
      <c r="V43" s="1186" t="s">
        <v>903</v>
      </c>
      <c r="W43" s="1186">
        <v>849</v>
      </c>
      <c r="X43" s="1186"/>
      <c r="Y43" s="1186">
        <v>210</v>
      </c>
      <c r="Z43" s="1186">
        <v>5</v>
      </c>
      <c r="AA43" s="1186">
        <v>143</v>
      </c>
      <c r="AB43" s="1186">
        <v>20</v>
      </c>
      <c r="AC43" s="1186">
        <v>62</v>
      </c>
      <c r="AD43" s="1186">
        <v>6</v>
      </c>
      <c r="AE43" s="1186">
        <v>39</v>
      </c>
      <c r="AF43" s="1186">
        <v>18</v>
      </c>
      <c r="AG43" s="1186">
        <v>6</v>
      </c>
      <c r="AH43" s="1186">
        <v>10</v>
      </c>
      <c r="AI43" s="1186">
        <v>27</v>
      </c>
      <c r="AJ43" s="1186">
        <v>18</v>
      </c>
      <c r="AK43" s="1186">
        <v>37</v>
      </c>
      <c r="AL43" s="1186">
        <v>84</v>
      </c>
      <c r="AM43" s="1186">
        <v>23</v>
      </c>
      <c r="AN43" s="1186">
        <v>80</v>
      </c>
      <c r="AO43" s="1186">
        <v>1</v>
      </c>
      <c r="AP43" s="1186">
        <v>11</v>
      </c>
      <c r="AQ43" s="1186">
        <v>35</v>
      </c>
      <c r="AR43" s="1186">
        <v>14</v>
      </c>
    </row>
    <row r="44" spans="1:44" x14ac:dyDescent="0.2">
      <c r="A44" s="1186" t="s">
        <v>15</v>
      </c>
      <c r="B44" s="1186" t="s">
        <v>904</v>
      </c>
      <c r="C44" s="1186">
        <v>873</v>
      </c>
      <c r="D44" s="1186">
        <v>430</v>
      </c>
      <c r="E44" s="1186">
        <v>210</v>
      </c>
      <c r="F44" s="1186">
        <v>165</v>
      </c>
      <c r="G44" s="1186">
        <v>68</v>
      </c>
      <c r="H44" s="1186">
        <v>842</v>
      </c>
      <c r="I44" s="1186">
        <v>27</v>
      </c>
      <c r="J44" s="1186">
        <v>1742</v>
      </c>
      <c r="K44" s="1186" t="s">
        <v>1983</v>
      </c>
      <c r="L44" s="1186" t="s">
        <v>1984</v>
      </c>
      <c r="M44" s="1186" t="s">
        <v>15</v>
      </c>
      <c r="N44" s="1186" t="s">
        <v>904</v>
      </c>
      <c r="O44" s="1186">
        <v>4148</v>
      </c>
      <c r="P44" s="1186">
        <v>3135</v>
      </c>
      <c r="Q44" s="1186">
        <v>773</v>
      </c>
      <c r="R44" s="1186">
        <v>184</v>
      </c>
      <c r="S44" s="1186">
        <v>52</v>
      </c>
      <c r="T44" s="1186">
        <v>4</v>
      </c>
      <c r="U44" s="1186" t="s">
        <v>15</v>
      </c>
      <c r="V44" s="1186" t="s">
        <v>904</v>
      </c>
      <c r="W44" s="1186">
        <v>961</v>
      </c>
      <c r="X44" s="1186"/>
      <c r="Y44" s="1186">
        <v>193</v>
      </c>
      <c r="Z44" s="1186">
        <v>13</v>
      </c>
      <c r="AA44" s="1186">
        <v>210</v>
      </c>
      <c r="AB44" s="1186">
        <v>16</v>
      </c>
      <c r="AC44" s="1186">
        <v>68</v>
      </c>
      <c r="AD44" s="1186">
        <v>3</v>
      </c>
      <c r="AE44" s="1186">
        <v>57</v>
      </c>
      <c r="AF44" s="1186">
        <v>21</v>
      </c>
      <c r="AG44" s="1186">
        <v>18</v>
      </c>
      <c r="AH44" s="1186">
        <v>13</v>
      </c>
      <c r="AI44" s="1186">
        <v>14</v>
      </c>
      <c r="AJ44" s="1186">
        <v>20</v>
      </c>
      <c r="AK44" s="1186">
        <v>33</v>
      </c>
      <c r="AL44" s="1186">
        <v>94</v>
      </c>
      <c r="AM44" s="1186">
        <v>20</v>
      </c>
      <c r="AN44" s="1186">
        <v>89</v>
      </c>
      <c r="AO44" s="1186"/>
      <c r="AP44" s="1186">
        <v>11</v>
      </c>
      <c r="AQ44" s="1186">
        <v>52</v>
      </c>
      <c r="AR44" s="1186">
        <v>16</v>
      </c>
    </row>
    <row r="45" spans="1:44" x14ac:dyDescent="0.2">
      <c r="A45" s="1186" t="s">
        <v>15</v>
      </c>
      <c r="B45" s="1186" t="s">
        <v>905</v>
      </c>
      <c r="C45" s="1186">
        <v>976</v>
      </c>
      <c r="D45" s="1186">
        <v>495</v>
      </c>
      <c r="E45" s="1186">
        <v>210</v>
      </c>
      <c r="F45" s="1186">
        <v>188</v>
      </c>
      <c r="G45" s="1186">
        <v>83</v>
      </c>
      <c r="H45" s="1186">
        <v>1033</v>
      </c>
      <c r="I45" s="1186">
        <v>25</v>
      </c>
      <c r="J45" s="1186">
        <v>2034</v>
      </c>
      <c r="K45" s="1186" t="s">
        <v>1983</v>
      </c>
      <c r="L45" s="1186" t="s">
        <v>1984</v>
      </c>
      <c r="M45" s="1186" t="s">
        <v>15</v>
      </c>
      <c r="N45" s="1186" t="s">
        <v>905</v>
      </c>
      <c r="O45" s="1186">
        <v>4530</v>
      </c>
      <c r="P45" s="1186">
        <v>3385</v>
      </c>
      <c r="Q45" s="1186">
        <v>887</v>
      </c>
      <c r="R45" s="1186">
        <v>197</v>
      </c>
      <c r="S45" s="1186">
        <v>60</v>
      </c>
      <c r="T45" s="1186">
        <v>1</v>
      </c>
      <c r="U45" s="1186" t="s">
        <v>15</v>
      </c>
      <c r="V45" s="1186" t="s">
        <v>905</v>
      </c>
      <c r="W45" s="1186">
        <v>886</v>
      </c>
      <c r="X45" s="1186"/>
      <c r="Y45" s="1186">
        <v>183</v>
      </c>
      <c r="Z45" s="1186">
        <v>16</v>
      </c>
      <c r="AA45" s="1186">
        <v>190</v>
      </c>
      <c r="AB45" s="1186">
        <v>15</v>
      </c>
      <c r="AC45" s="1186">
        <v>51</v>
      </c>
      <c r="AD45" s="1186">
        <v>4</v>
      </c>
      <c r="AE45" s="1186">
        <v>56</v>
      </c>
      <c r="AF45" s="1186">
        <v>22</v>
      </c>
      <c r="AG45" s="1186">
        <v>10</v>
      </c>
      <c r="AH45" s="1186">
        <v>21</v>
      </c>
      <c r="AI45" s="1186">
        <v>35</v>
      </c>
      <c r="AJ45" s="1186">
        <v>24</v>
      </c>
      <c r="AK45" s="1186">
        <v>31</v>
      </c>
      <c r="AL45" s="1186">
        <v>77</v>
      </c>
      <c r="AM45" s="1186">
        <v>14</v>
      </c>
      <c r="AN45" s="1186">
        <v>72</v>
      </c>
      <c r="AO45" s="1186"/>
      <c r="AP45" s="1186">
        <v>7</v>
      </c>
      <c r="AQ45" s="1186">
        <v>47</v>
      </c>
      <c r="AR45" s="1186">
        <v>11</v>
      </c>
    </row>
    <row r="46" spans="1:44" x14ac:dyDescent="0.2">
      <c r="A46" s="1186" t="s">
        <v>15</v>
      </c>
      <c r="B46" s="1186" t="s">
        <v>906</v>
      </c>
      <c r="C46" s="1186">
        <v>929</v>
      </c>
      <c r="D46" s="1186">
        <v>441</v>
      </c>
      <c r="E46" s="1186">
        <v>202</v>
      </c>
      <c r="F46" s="1186">
        <v>191</v>
      </c>
      <c r="G46" s="1186">
        <v>95</v>
      </c>
      <c r="H46" s="1186">
        <v>1004</v>
      </c>
      <c r="I46" s="1186">
        <v>46</v>
      </c>
      <c r="J46" s="1186">
        <v>1979</v>
      </c>
      <c r="K46" s="1186" t="s">
        <v>1985</v>
      </c>
      <c r="L46" s="1186" t="s">
        <v>1984</v>
      </c>
      <c r="M46" s="1186" t="s">
        <v>15</v>
      </c>
      <c r="N46" s="1186" t="s">
        <v>906</v>
      </c>
      <c r="O46" s="1186">
        <v>4036</v>
      </c>
      <c r="P46" s="1186">
        <v>3019</v>
      </c>
      <c r="Q46" s="1186">
        <v>757</v>
      </c>
      <c r="R46" s="1186">
        <v>208</v>
      </c>
      <c r="S46" s="1186">
        <v>51</v>
      </c>
      <c r="T46" s="1186">
        <v>1</v>
      </c>
      <c r="U46" s="1186" t="s">
        <v>15</v>
      </c>
      <c r="V46" s="1186" t="s">
        <v>906</v>
      </c>
      <c r="W46" s="1186">
        <v>712</v>
      </c>
      <c r="X46" s="1186"/>
      <c r="Y46" s="1186">
        <v>181</v>
      </c>
      <c r="Z46" s="1186">
        <v>9</v>
      </c>
      <c r="AA46" s="1186">
        <v>67</v>
      </c>
      <c r="AB46" s="1186">
        <v>15</v>
      </c>
      <c r="AC46" s="1186">
        <v>47</v>
      </c>
      <c r="AD46" s="1186">
        <v>6</v>
      </c>
      <c r="AE46" s="1186">
        <v>52</v>
      </c>
      <c r="AF46" s="1186">
        <v>22</v>
      </c>
      <c r="AG46" s="1186">
        <v>5</v>
      </c>
      <c r="AH46" s="1186">
        <v>15</v>
      </c>
      <c r="AI46" s="1186">
        <v>25</v>
      </c>
      <c r="AJ46" s="1186">
        <v>18</v>
      </c>
      <c r="AK46" s="1186">
        <v>21</v>
      </c>
      <c r="AL46" s="1186">
        <v>72</v>
      </c>
      <c r="AM46" s="1186">
        <v>29</v>
      </c>
      <c r="AN46" s="1186">
        <v>63</v>
      </c>
      <c r="AO46" s="1186"/>
      <c r="AP46" s="1186">
        <v>9</v>
      </c>
      <c r="AQ46" s="1186">
        <v>36</v>
      </c>
      <c r="AR46" s="1186">
        <v>20</v>
      </c>
    </row>
    <row r="47" spans="1:44" x14ac:dyDescent="0.2">
      <c r="A47" s="1186" t="s">
        <v>15</v>
      </c>
      <c r="B47" s="1186" t="s">
        <v>907</v>
      </c>
      <c r="C47" s="1186">
        <v>960</v>
      </c>
      <c r="D47" s="1186">
        <v>513</v>
      </c>
      <c r="E47" s="1186">
        <v>195</v>
      </c>
      <c r="F47" s="1186">
        <v>184</v>
      </c>
      <c r="G47" s="1186">
        <v>68</v>
      </c>
      <c r="H47" s="1186">
        <v>1328</v>
      </c>
      <c r="I47" s="1186">
        <v>93</v>
      </c>
      <c r="J47" s="1186">
        <v>2381</v>
      </c>
      <c r="K47" s="1186" t="s">
        <v>1985</v>
      </c>
      <c r="L47" s="1186" t="s">
        <v>1986</v>
      </c>
      <c r="M47" s="1186" t="s">
        <v>15</v>
      </c>
      <c r="N47" s="1186" t="s">
        <v>907</v>
      </c>
      <c r="O47" s="1186">
        <v>4318</v>
      </c>
      <c r="P47" s="1186">
        <v>3233</v>
      </c>
      <c r="Q47" s="1186">
        <v>837</v>
      </c>
      <c r="R47" s="1186">
        <v>202</v>
      </c>
      <c r="S47" s="1186">
        <v>45</v>
      </c>
      <c r="T47" s="1186">
        <v>1</v>
      </c>
      <c r="U47" s="1186" t="s">
        <v>15</v>
      </c>
      <c r="V47" s="1186" t="s">
        <v>907</v>
      </c>
      <c r="W47" s="1186">
        <v>760</v>
      </c>
      <c r="X47" s="1186"/>
      <c r="Y47" s="1186">
        <v>192</v>
      </c>
      <c r="Z47" s="1186">
        <v>9</v>
      </c>
      <c r="AA47" s="1186">
        <v>92</v>
      </c>
      <c r="AB47" s="1186">
        <v>12</v>
      </c>
      <c r="AC47" s="1186">
        <v>35</v>
      </c>
      <c r="AD47" s="1186">
        <v>9</v>
      </c>
      <c r="AE47" s="1186">
        <v>48</v>
      </c>
      <c r="AF47" s="1186">
        <v>14</v>
      </c>
      <c r="AG47" s="1186">
        <v>15</v>
      </c>
      <c r="AH47" s="1186">
        <v>21</v>
      </c>
      <c r="AI47" s="1186">
        <v>30</v>
      </c>
      <c r="AJ47" s="1186">
        <v>20</v>
      </c>
      <c r="AK47" s="1186">
        <v>35</v>
      </c>
      <c r="AL47" s="1186">
        <v>80</v>
      </c>
      <c r="AM47" s="1186">
        <v>17</v>
      </c>
      <c r="AN47" s="1186">
        <v>68</v>
      </c>
      <c r="AO47" s="1186"/>
      <c r="AP47" s="1186">
        <v>7</v>
      </c>
      <c r="AQ47" s="1186">
        <v>38</v>
      </c>
      <c r="AR47" s="1186">
        <v>18</v>
      </c>
    </row>
    <row r="48" spans="1:44" x14ac:dyDescent="0.2">
      <c r="A48" s="1186" t="s">
        <v>15</v>
      </c>
      <c r="B48" s="1186" t="s">
        <v>908</v>
      </c>
      <c r="C48" s="1186">
        <v>910</v>
      </c>
      <c r="D48" s="1186">
        <v>501</v>
      </c>
      <c r="E48" s="1186">
        <v>196</v>
      </c>
      <c r="F48" s="1186">
        <v>137</v>
      </c>
      <c r="G48" s="1186">
        <v>76</v>
      </c>
      <c r="H48" s="1186">
        <v>1755</v>
      </c>
      <c r="I48" s="1186">
        <v>122</v>
      </c>
      <c r="J48" s="1186">
        <v>2787</v>
      </c>
      <c r="K48" s="1186" t="s">
        <v>1985</v>
      </c>
      <c r="L48" s="1186" t="s">
        <v>1986</v>
      </c>
      <c r="M48" s="1186" t="s">
        <v>15</v>
      </c>
      <c r="N48" s="1186" t="s">
        <v>908</v>
      </c>
      <c r="O48" s="1186">
        <v>4442</v>
      </c>
      <c r="P48" s="1186">
        <v>3024</v>
      </c>
      <c r="Q48" s="1186">
        <v>1172</v>
      </c>
      <c r="R48" s="1186">
        <v>196</v>
      </c>
      <c r="S48" s="1186">
        <v>50</v>
      </c>
      <c r="T48" s="1186"/>
      <c r="U48" s="1186" t="s">
        <v>15</v>
      </c>
      <c r="V48" s="1186" t="s">
        <v>908</v>
      </c>
      <c r="W48" s="1186">
        <v>728</v>
      </c>
      <c r="X48" s="1186"/>
      <c r="Y48" s="1186">
        <v>218</v>
      </c>
      <c r="Z48" s="1186">
        <v>5</v>
      </c>
      <c r="AA48" s="1186">
        <v>92</v>
      </c>
      <c r="AB48" s="1186">
        <v>20</v>
      </c>
      <c r="AC48" s="1186">
        <v>38</v>
      </c>
      <c r="AD48" s="1186">
        <v>6</v>
      </c>
      <c r="AE48" s="1186">
        <v>51</v>
      </c>
      <c r="AF48" s="1186">
        <v>28</v>
      </c>
      <c r="AG48" s="1186">
        <v>8</v>
      </c>
      <c r="AH48" s="1186">
        <v>17</v>
      </c>
      <c r="AI48" s="1186">
        <v>19</v>
      </c>
      <c r="AJ48" s="1186">
        <v>17</v>
      </c>
      <c r="AK48" s="1186">
        <v>22</v>
      </c>
      <c r="AL48" s="1186">
        <v>67</v>
      </c>
      <c r="AM48" s="1186">
        <v>12</v>
      </c>
      <c r="AN48" s="1186">
        <v>45</v>
      </c>
      <c r="AO48" s="1186"/>
      <c r="AP48" s="1186">
        <v>5</v>
      </c>
      <c r="AQ48" s="1186">
        <v>35</v>
      </c>
      <c r="AR48" s="1186">
        <v>23</v>
      </c>
    </row>
    <row r="49" spans="1:44" x14ac:dyDescent="0.2">
      <c r="A49" s="1186" t="s">
        <v>15</v>
      </c>
      <c r="B49" s="1186" t="s">
        <v>909</v>
      </c>
      <c r="C49" s="1186">
        <v>961</v>
      </c>
      <c r="D49" s="1186">
        <v>547</v>
      </c>
      <c r="E49" s="1186">
        <v>218</v>
      </c>
      <c r="F49" s="1186">
        <v>154</v>
      </c>
      <c r="G49" s="1186">
        <v>42</v>
      </c>
      <c r="H49" s="1186">
        <v>534</v>
      </c>
      <c r="I49" s="1186">
        <v>164</v>
      </c>
      <c r="J49" s="1186">
        <v>1659</v>
      </c>
      <c r="K49" s="1186" t="s">
        <v>1987</v>
      </c>
      <c r="L49" s="1186" t="s">
        <v>1986</v>
      </c>
      <c r="M49" s="1186" t="s">
        <v>15</v>
      </c>
      <c r="N49" s="1186" t="s">
        <v>909</v>
      </c>
      <c r="O49" s="1186">
        <v>3792</v>
      </c>
      <c r="P49" s="1186">
        <v>2851</v>
      </c>
      <c r="Q49" s="1186">
        <v>747</v>
      </c>
      <c r="R49" s="1186">
        <v>149</v>
      </c>
      <c r="S49" s="1186">
        <v>44</v>
      </c>
      <c r="T49" s="1186">
        <v>1</v>
      </c>
      <c r="U49" s="1186" t="s">
        <v>15</v>
      </c>
      <c r="V49" s="1186" t="s">
        <v>909</v>
      </c>
      <c r="W49" s="1186">
        <v>934</v>
      </c>
      <c r="X49" s="1186"/>
      <c r="Y49" s="1186">
        <v>206</v>
      </c>
      <c r="Z49" s="1186">
        <v>7</v>
      </c>
      <c r="AA49" s="1186">
        <v>230</v>
      </c>
      <c r="AB49" s="1186">
        <v>24</v>
      </c>
      <c r="AC49" s="1186">
        <v>28</v>
      </c>
      <c r="AD49" s="1186">
        <v>5</v>
      </c>
      <c r="AE49" s="1186">
        <v>60</v>
      </c>
      <c r="AF49" s="1186">
        <v>17</v>
      </c>
      <c r="AG49" s="1186">
        <v>11</v>
      </c>
      <c r="AH49" s="1186">
        <v>20</v>
      </c>
      <c r="AI49" s="1186">
        <v>25</v>
      </c>
      <c r="AJ49" s="1186">
        <v>12</v>
      </c>
      <c r="AK49" s="1186">
        <v>22</v>
      </c>
      <c r="AL49" s="1186">
        <v>92</v>
      </c>
      <c r="AM49" s="1186">
        <v>25</v>
      </c>
      <c r="AN49" s="1186">
        <v>64</v>
      </c>
      <c r="AO49" s="1186"/>
      <c r="AP49" s="1186">
        <v>14</v>
      </c>
      <c r="AQ49" s="1186">
        <v>49</v>
      </c>
      <c r="AR49" s="1186">
        <v>23</v>
      </c>
    </row>
    <row r="50" spans="1:44" x14ac:dyDescent="0.2">
      <c r="A50" s="1186" t="s">
        <v>15</v>
      </c>
      <c r="B50" s="1186" t="s">
        <v>910</v>
      </c>
      <c r="C50" s="1186">
        <v>837</v>
      </c>
      <c r="D50" s="1186">
        <v>469</v>
      </c>
      <c r="E50" s="1186">
        <v>178</v>
      </c>
      <c r="F50" s="1186">
        <v>158</v>
      </c>
      <c r="G50" s="1186">
        <v>32</v>
      </c>
      <c r="H50" s="1186">
        <v>486</v>
      </c>
      <c r="I50" s="1186">
        <v>210</v>
      </c>
      <c r="J50" s="1186">
        <v>1533</v>
      </c>
      <c r="K50" s="1186" t="s">
        <v>1987</v>
      </c>
      <c r="L50" s="1186" t="s">
        <v>1988</v>
      </c>
      <c r="M50" s="1186" t="s">
        <v>15</v>
      </c>
      <c r="N50" s="1186" t="s">
        <v>910</v>
      </c>
      <c r="O50" s="1186">
        <v>3725</v>
      </c>
      <c r="P50" s="1186">
        <v>2770</v>
      </c>
      <c r="Q50" s="1186">
        <v>731</v>
      </c>
      <c r="R50" s="1186">
        <v>181</v>
      </c>
      <c r="S50" s="1186">
        <v>42</v>
      </c>
      <c r="T50" s="1186">
        <v>1</v>
      </c>
      <c r="U50" s="1186" t="s">
        <v>15</v>
      </c>
      <c r="V50" s="1186" t="s">
        <v>910</v>
      </c>
      <c r="W50" s="1186">
        <v>677</v>
      </c>
      <c r="X50" s="1186"/>
      <c r="Y50" s="1186">
        <v>182</v>
      </c>
      <c r="Z50" s="1186">
        <v>5</v>
      </c>
      <c r="AA50" s="1186">
        <v>88</v>
      </c>
      <c r="AB50" s="1186">
        <v>12</v>
      </c>
      <c r="AC50" s="1186">
        <v>28</v>
      </c>
      <c r="AD50" s="1186">
        <v>4</v>
      </c>
      <c r="AE50" s="1186">
        <v>56</v>
      </c>
      <c r="AF50" s="1186">
        <v>19</v>
      </c>
      <c r="AG50" s="1186">
        <v>11</v>
      </c>
      <c r="AH50" s="1186">
        <v>13</v>
      </c>
      <c r="AI50" s="1186">
        <v>19</v>
      </c>
      <c r="AJ50" s="1186">
        <v>11</v>
      </c>
      <c r="AK50" s="1186">
        <v>32</v>
      </c>
      <c r="AL50" s="1186">
        <v>65</v>
      </c>
      <c r="AM50" s="1186">
        <v>29</v>
      </c>
      <c r="AN50" s="1186">
        <v>41</v>
      </c>
      <c r="AO50" s="1186"/>
      <c r="AP50" s="1186">
        <v>10</v>
      </c>
      <c r="AQ50" s="1186">
        <v>30</v>
      </c>
      <c r="AR50" s="1186">
        <v>22</v>
      </c>
    </row>
    <row r="51" spans="1:44" x14ac:dyDescent="0.2">
      <c r="A51" s="1186" t="s">
        <v>15</v>
      </c>
      <c r="B51" s="1186" t="s">
        <v>911</v>
      </c>
      <c r="C51" s="1186">
        <v>832</v>
      </c>
      <c r="D51" s="1186">
        <v>462</v>
      </c>
      <c r="E51" s="1186">
        <v>176</v>
      </c>
      <c r="F51" s="1186">
        <v>151</v>
      </c>
      <c r="G51" s="1186">
        <v>43</v>
      </c>
      <c r="H51" s="1186">
        <v>894</v>
      </c>
      <c r="I51" s="1186">
        <v>175</v>
      </c>
      <c r="J51" s="1186">
        <v>1901</v>
      </c>
      <c r="K51" s="1186" t="s">
        <v>1987</v>
      </c>
      <c r="L51" s="1186" t="s">
        <v>1988</v>
      </c>
      <c r="M51" s="1186" t="s">
        <v>15</v>
      </c>
      <c r="N51" s="1186" t="s">
        <v>911</v>
      </c>
      <c r="O51" s="1186">
        <v>3568</v>
      </c>
      <c r="P51" s="1186">
        <v>2582</v>
      </c>
      <c r="Q51" s="1186">
        <v>746</v>
      </c>
      <c r="R51" s="1186">
        <v>176</v>
      </c>
      <c r="S51" s="1186">
        <v>64</v>
      </c>
      <c r="T51" s="1186"/>
      <c r="U51" s="1186" t="s">
        <v>15</v>
      </c>
      <c r="V51" s="1186" t="s">
        <v>911</v>
      </c>
      <c r="W51" s="1186">
        <v>609</v>
      </c>
      <c r="X51" s="1186"/>
      <c r="Y51" s="1186">
        <v>166</v>
      </c>
      <c r="Z51" s="1186">
        <v>7</v>
      </c>
      <c r="AA51" s="1186">
        <v>62</v>
      </c>
      <c r="AB51" s="1186">
        <v>9</v>
      </c>
      <c r="AC51" s="1186">
        <v>39</v>
      </c>
      <c r="AD51" s="1186">
        <v>3</v>
      </c>
      <c r="AE51" s="1186">
        <v>53</v>
      </c>
      <c r="AF51" s="1186">
        <v>28</v>
      </c>
      <c r="AG51" s="1186">
        <v>7</v>
      </c>
      <c r="AH51" s="1186">
        <v>15</v>
      </c>
      <c r="AI51" s="1186">
        <v>17</v>
      </c>
      <c r="AJ51" s="1186">
        <v>14</v>
      </c>
      <c r="AK51" s="1186">
        <v>15</v>
      </c>
      <c r="AL51" s="1186">
        <v>62</v>
      </c>
      <c r="AM51" s="1186">
        <v>15</v>
      </c>
      <c r="AN51" s="1186">
        <v>41</v>
      </c>
      <c r="AO51" s="1186">
        <v>1</v>
      </c>
      <c r="AP51" s="1186">
        <v>1</v>
      </c>
      <c r="AQ51" s="1186">
        <v>41</v>
      </c>
      <c r="AR51" s="1186">
        <v>13</v>
      </c>
    </row>
    <row r="52" spans="1:44" x14ac:dyDescent="0.2">
      <c r="A52" s="1186" t="s">
        <v>15</v>
      </c>
      <c r="B52" s="1186" t="s">
        <v>912</v>
      </c>
      <c r="C52" s="1186">
        <v>922</v>
      </c>
      <c r="D52" s="1186">
        <v>512</v>
      </c>
      <c r="E52" s="1186">
        <v>197</v>
      </c>
      <c r="F52" s="1186">
        <v>159</v>
      </c>
      <c r="G52" s="1186">
        <v>54</v>
      </c>
      <c r="H52" s="1186">
        <v>1624</v>
      </c>
      <c r="I52" s="1186">
        <v>244</v>
      </c>
      <c r="J52" s="1186">
        <v>2790</v>
      </c>
      <c r="K52" s="1186" t="s">
        <v>1981</v>
      </c>
      <c r="L52" s="1186" t="s">
        <v>1988</v>
      </c>
      <c r="M52" s="1186" t="s">
        <v>15</v>
      </c>
      <c r="N52" s="1186" t="s">
        <v>912</v>
      </c>
      <c r="O52" s="1186">
        <v>4032</v>
      </c>
      <c r="P52" s="1186">
        <v>2949</v>
      </c>
      <c r="Q52" s="1186">
        <v>829</v>
      </c>
      <c r="R52" s="1186">
        <v>212</v>
      </c>
      <c r="S52" s="1186">
        <v>42</v>
      </c>
      <c r="T52" s="1186"/>
      <c r="U52" s="1186" t="s">
        <v>15</v>
      </c>
      <c r="V52" s="1186" t="s">
        <v>912</v>
      </c>
      <c r="W52" s="1186">
        <v>652</v>
      </c>
      <c r="X52" s="1186"/>
      <c r="Y52" s="1186">
        <v>164</v>
      </c>
      <c r="Z52" s="1186">
        <v>7</v>
      </c>
      <c r="AA52" s="1186">
        <v>57</v>
      </c>
      <c r="AB52" s="1186">
        <v>9</v>
      </c>
      <c r="AC52" s="1186">
        <v>39</v>
      </c>
      <c r="AD52" s="1186">
        <v>7</v>
      </c>
      <c r="AE52" s="1186">
        <v>55</v>
      </c>
      <c r="AF52" s="1186">
        <v>13</v>
      </c>
      <c r="AG52" s="1186">
        <v>10</v>
      </c>
      <c r="AH52" s="1186">
        <v>8</v>
      </c>
      <c r="AI52" s="1186">
        <v>22</v>
      </c>
      <c r="AJ52" s="1186">
        <v>24</v>
      </c>
      <c r="AK52" s="1186">
        <v>30</v>
      </c>
      <c r="AL52" s="1186">
        <v>72</v>
      </c>
      <c r="AM52" s="1186">
        <v>21</v>
      </c>
      <c r="AN52" s="1186">
        <v>59</v>
      </c>
      <c r="AO52" s="1186"/>
      <c r="AP52" s="1186">
        <v>5</v>
      </c>
      <c r="AQ52" s="1186">
        <v>32</v>
      </c>
      <c r="AR52" s="1186">
        <v>18</v>
      </c>
    </row>
    <row r="53" spans="1:44" x14ac:dyDescent="0.2">
      <c r="A53" s="1186" t="s">
        <v>17</v>
      </c>
      <c r="B53" s="1186" t="s">
        <v>913</v>
      </c>
      <c r="C53" s="1186">
        <v>893</v>
      </c>
      <c r="D53" s="1186">
        <v>426</v>
      </c>
      <c r="E53" s="1186">
        <v>214</v>
      </c>
      <c r="F53" s="1186">
        <v>146</v>
      </c>
      <c r="G53" s="1186">
        <v>107</v>
      </c>
      <c r="H53" s="1186">
        <v>3467</v>
      </c>
      <c r="I53" s="1186">
        <v>161</v>
      </c>
      <c r="J53" s="1186">
        <v>4521</v>
      </c>
      <c r="K53" s="1186" t="s">
        <v>1981</v>
      </c>
      <c r="L53" s="1186" t="s">
        <v>1982</v>
      </c>
      <c r="M53" s="1186" t="s">
        <v>17</v>
      </c>
      <c r="N53" s="1186" t="s">
        <v>913</v>
      </c>
      <c r="O53" s="1186">
        <v>3748</v>
      </c>
      <c r="P53" s="1186">
        <v>2572</v>
      </c>
      <c r="Q53" s="1186">
        <v>927</v>
      </c>
      <c r="R53" s="1186">
        <v>197</v>
      </c>
      <c r="S53" s="1186">
        <v>52</v>
      </c>
      <c r="T53" s="1186"/>
      <c r="U53" s="1186" t="s">
        <v>17</v>
      </c>
      <c r="V53" s="1186" t="s">
        <v>913</v>
      </c>
      <c r="W53" s="1186">
        <v>613</v>
      </c>
      <c r="X53" s="1186"/>
      <c r="Y53" s="1186">
        <v>134</v>
      </c>
      <c r="Z53" s="1186">
        <v>6</v>
      </c>
      <c r="AA53" s="1186">
        <v>47</v>
      </c>
      <c r="AB53" s="1186">
        <v>11</v>
      </c>
      <c r="AC53" s="1186">
        <v>37</v>
      </c>
      <c r="AD53" s="1186">
        <v>6</v>
      </c>
      <c r="AE53" s="1186">
        <v>44</v>
      </c>
      <c r="AF53" s="1186">
        <v>20</v>
      </c>
      <c r="AG53" s="1186">
        <v>5</v>
      </c>
      <c r="AH53" s="1186">
        <v>17</v>
      </c>
      <c r="AI53" s="1186">
        <v>19</v>
      </c>
      <c r="AJ53" s="1186">
        <v>22</v>
      </c>
      <c r="AK53" s="1186">
        <v>29</v>
      </c>
      <c r="AL53" s="1186">
        <v>71</v>
      </c>
      <c r="AM53" s="1186">
        <v>39</v>
      </c>
      <c r="AN53" s="1186">
        <v>47</v>
      </c>
      <c r="AO53" s="1186"/>
      <c r="AP53" s="1186">
        <v>3</v>
      </c>
      <c r="AQ53" s="1186">
        <v>41</v>
      </c>
      <c r="AR53" s="1186">
        <v>15</v>
      </c>
    </row>
    <row r="54" spans="1:44" x14ac:dyDescent="0.2">
      <c r="A54" s="1186" t="s">
        <v>17</v>
      </c>
      <c r="B54" s="1186" t="s">
        <v>914</v>
      </c>
      <c r="C54" s="1186">
        <v>907</v>
      </c>
      <c r="D54" s="1186">
        <v>467</v>
      </c>
      <c r="E54" s="1186">
        <v>219</v>
      </c>
      <c r="F54" s="1186">
        <v>146</v>
      </c>
      <c r="G54" s="1186">
        <v>75</v>
      </c>
      <c r="H54" s="1186">
        <v>1466</v>
      </c>
      <c r="I54" s="1186">
        <v>83</v>
      </c>
      <c r="J54" s="1186">
        <v>2456</v>
      </c>
      <c r="K54" s="1186" t="s">
        <v>1981</v>
      </c>
      <c r="L54" s="1186" t="s">
        <v>1982</v>
      </c>
      <c r="M54" s="1186" t="s">
        <v>17</v>
      </c>
      <c r="N54" s="1186" t="s">
        <v>914</v>
      </c>
      <c r="O54" s="1186">
        <v>3820</v>
      </c>
      <c r="P54" s="1186">
        <v>2749</v>
      </c>
      <c r="Q54" s="1186">
        <v>814</v>
      </c>
      <c r="R54" s="1186">
        <v>207</v>
      </c>
      <c r="S54" s="1186">
        <v>49</v>
      </c>
      <c r="T54" s="1186">
        <v>1</v>
      </c>
      <c r="U54" s="1186" t="s">
        <v>17</v>
      </c>
      <c r="V54" s="1186" t="s">
        <v>914</v>
      </c>
      <c r="W54" s="1186">
        <v>703</v>
      </c>
      <c r="X54" s="1186"/>
      <c r="Y54" s="1186">
        <v>172</v>
      </c>
      <c r="Z54" s="1186">
        <v>8</v>
      </c>
      <c r="AA54" s="1186">
        <v>58</v>
      </c>
      <c r="AB54" s="1186">
        <v>11</v>
      </c>
      <c r="AC54" s="1186">
        <v>44</v>
      </c>
      <c r="AD54" s="1186">
        <v>4</v>
      </c>
      <c r="AE54" s="1186">
        <v>50</v>
      </c>
      <c r="AF54" s="1186">
        <v>27</v>
      </c>
      <c r="AG54" s="1186">
        <v>2</v>
      </c>
      <c r="AH54" s="1186">
        <v>11</v>
      </c>
      <c r="AI54" s="1186">
        <v>20</v>
      </c>
      <c r="AJ54" s="1186">
        <v>15</v>
      </c>
      <c r="AK54" s="1186">
        <v>34</v>
      </c>
      <c r="AL54" s="1186">
        <v>77</v>
      </c>
      <c r="AM54" s="1186">
        <v>20</v>
      </c>
      <c r="AN54" s="1186">
        <v>72</v>
      </c>
      <c r="AO54" s="1186"/>
      <c r="AP54" s="1186">
        <v>6</v>
      </c>
      <c r="AQ54" s="1186">
        <v>52</v>
      </c>
      <c r="AR54" s="1186">
        <v>20</v>
      </c>
    </row>
    <row r="55" spans="1:44" x14ac:dyDescent="0.2">
      <c r="A55" s="1186" t="s">
        <v>17</v>
      </c>
      <c r="B55" s="1186" t="s">
        <v>915</v>
      </c>
      <c r="C55" s="1186">
        <v>965</v>
      </c>
      <c r="D55" s="1186">
        <v>464</v>
      </c>
      <c r="E55" s="1186">
        <v>227</v>
      </c>
      <c r="F55" s="1186">
        <v>169</v>
      </c>
      <c r="G55" s="1186">
        <v>105</v>
      </c>
      <c r="H55" s="1186">
        <v>1829</v>
      </c>
      <c r="I55" s="1186">
        <v>41</v>
      </c>
      <c r="J55" s="1186">
        <v>2835</v>
      </c>
      <c r="K55" s="1186" t="s">
        <v>1983</v>
      </c>
      <c r="L55" s="1186" t="s">
        <v>1982</v>
      </c>
      <c r="M55" s="1186" t="s">
        <v>17</v>
      </c>
      <c r="N55" s="1186" t="s">
        <v>915</v>
      </c>
      <c r="O55" s="1186">
        <v>3697</v>
      </c>
      <c r="P55" s="1186">
        <v>2620</v>
      </c>
      <c r="Q55" s="1186">
        <v>847</v>
      </c>
      <c r="R55" s="1186">
        <v>195</v>
      </c>
      <c r="S55" s="1186">
        <v>34</v>
      </c>
      <c r="T55" s="1186">
        <v>1</v>
      </c>
      <c r="U55" s="1186" t="s">
        <v>17</v>
      </c>
      <c r="V55" s="1186" t="s">
        <v>915</v>
      </c>
      <c r="W55" s="1186">
        <v>777</v>
      </c>
      <c r="X55" s="1186"/>
      <c r="Y55" s="1186">
        <v>183</v>
      </c>
      <c r="Z55" s="1186">
        <v>7</v>
      </c>
      <c r="AA55" s="1186">
        <v>56</v>
      </c>
      <c r="AB55" s="1186">
        <v>11</v>
      </c>
      <c r="AC55" s="1186">
        <v>53</v>
      </c>
      <c r="AD55" s="1186">
        <v>7</v>
      </c>
      <c r="AE55" s="1186">
        <v>52</v>
      </c>
      <c r="AF55" s="1186">
        <v>21</v>
      </c>
      <c r="AG55" s="1186">
        <v>7</v>
      </c>
      <c r="AH55" s="1186">
        <v>24</v>
      </c>
      <c r="AI55" s="1186">
        <v>21</v>
      </c>
      <c r="AJ55" s="1186">
        <v>31</v>
      </c>
      <c r="AK55" s="1186">
        <v>38</v>
      </c>
      <c r="AL55" s="1186">
        <v>107</v>
      </c>
      <c r="AM55" s="1186">
        <v>13</v>
      </c>
      <c r="AN55" s="1186">
        <v>66</v>
      </c>
      <c r="AO55" s="1186"/>
      <c r="AP55" s="1186">
        <v>13</v>
      </c>
      <c r="AQ55" s="1186">
        <v>51</v>
      </c>
      <c r="AR55" s="1186">
        <v>16</v>
      </c>
    </row>
    <row r="56" spans="1:44" x14ac:dyDescent="0.2">
      <c r="A56" s="1186" t="s">
        <v>17</v>
      </c>
      <c r="B56" s="1186" t="s">
        <v>916</v>
      </c>
      <c r="C56" s="1186">
        <v>1027</v>
      </c>
      <c r="D56" s="1186">
        <v>453</v>
      </c>
      <c r="E56" s="1186">
        <v>216</v>
      </c>
      <c r="F56" s="1186">
        <v>207</v>
      </c>
      <c r="G56" s="1186">
        <v>151</v>
      </c>
      <c r="H56" s="1186">
        <v>2240</v>
      </c>
      <c r="I56" s="1186">
        <v>15</v>
      </c>
      <c r="J56" s="1186">
        <v>3282</v>
      </c>
      <c r="K56" s="1186" t="s">
        <v>1983</v>
      </c>
      <c r="L56" s="1186" t="s">
        <v>1984</v>
      </c>
      <c r="M56" s="1186" t="s">
        <v>17</v>
      </c>
      <c r="N56" s="1186" t="s">
        <v>916</v>
      </c>
      <c r="O56" s="1186">
        <v>4560</v>
      </c>
      <c r="P56" s="1186">
        <v>3311</v>
      </c>
      <c r="Q56" s="1186">
        <v>1020</v>
      </c>
      <c r="R56" s="1186">
        <v>180</v>
      </c>
      <c r="S56" s="1186">
        <v>47</v>
      </c>
      <c r="T56" s="1186">
        <v>2</v>
      </c>
      <c r="U56" s="1186" t="s">
        <v>17</v>
      </c>
      <c r="V56" s="1186" t="s">
        <v>916</v>
      </c>
      <c r="W56" s="1186">
        <v>979</v>
      </c>
      <c r="X56" s="1186"/>
      <c r="Y56" s="1186">
        <v>189</v>
      </c>
      <c r="Z56" s="1186">
        <v>5</v>
      </c>
      <c r="AA56" s="1186">
        <v>166</v>
      </c>
      <c r="AB56" s="1186">
        <v>20</v>
      </c>
      <c r="AC56" s="1186">
        <v>62</v>
      </c>
      <c r="AD56" s="1186">
        <v>4</v>
      </c>
      <c r="AE56" s="1186">
        <v>65</v>
      </c>
      <c r="AF56" s="1186">
        <v>24</v>
      </c>
      <c r="AG56" s="1186">
        <v>16</v>
      </c>
      <c r="AH56" s="1186">
        <v>23</v>
      </c>
      <c r="AI56" s="1186">
        <v>27</v>
      </c>
      <c r="AJ56" s="1186">
        <v>26</v>
      </c>
      <c r="AK56" s="1186">
        <v>51</v>
      </c>
      <c r="AL56" s="1186">
        <v>93</v>
      </c>
      <c r="AM56" s="1186">
        <v>19</v>
      </c>
      <c r="AN56" s="1186">
        <v>82</v>
      </c>
      <c r="AO56" s="1186">
        <v>7</v>
      </c>
      <c r="AP56" s="1186">
        <v>8</v>
      </c>
      <c r="AQ56" s="1186">
        <v>71</v>
      </c>
      <c r="AR56" s="1186">
        <v>21</v>
      </c>
    </row>
    <row r="57" spans="1:44" x14ac:dyDescent="0.2">
      <c r="A57" s="1186" t="s">
        <v>17</v>
      </c>
      <c r="B57" s="1186" t="s">
        <v>917</v>
      </c>
      <c r="C57" s="1186">
        <v>915</v>
      </c>
      <c r="D57" s="1186">
        <v>425</v>
      </c>
      <c r="E57" s="1186">
        <v>198</v>
      </c>
      <c r="F57" s="1186">
        <v>195</v>
      </c>
      <c r="G57" s="1186">
        <v>97</v>
      </c>
      <c r="H57" s="1186">
        <v>1323</v>
      </c>
      <c r="I57" s="1186">
        <v>20</v>
      </c>
      <c r="J57" s="1186">
        <v>2258</v>
      </c>
      <c r="K57" s="1186" t="s">
        <v>1983</v>
      </c>
      <c r="L57" s="1186" t="s">
        <v>1984</v>
      </c>
      <c r="M57" s="1186" t="s">
        <v>17</v>
      </c>
      <c r="N57" s="1186" t="s">
        <v>917</v>
      </c>
      <c r="O57" s="1186">
        <v>4210</v>
      </c>
      <c r="P57" s="1186">
        <v>3137</v>
      </c>
      <c r="Q57" s="1186">
        <v>838</v>
      </c>
      <c r="R57" s="1186">
        <v>184</v>
      </c>
      <c r="S57" s="1186">
        <v>49</v>
      </c>
      <c r="T57" s="1186">
        <v>2</v>
      </c>
      <c r="U57" s="1186" t="s">
        <v>17</v>
      </c>
      <c r="V57" s="1186" t="s">
        <v>917</v>
      </c>
      <c r="W57" s="1186">
        <v>791</v>
      </c>
      <c r="X57" s="1186"/>
      <c r="Y57" s="1186">
        <v>182</v>
      </c>
      <c r="Z57" s="1186">
        <v>7</v>
      </c>
      <c r="AA57" s="1186">
        <v>59</v>
      </c>
      <c r="AB57" s="1186">
        <v>15</v>
      </c>
      <c r="AC57" s="1186">
        <v>53</v>
      </c>
      <c r="AD57" s="1186">
        <v>3</v>
      </c>
      <c r="AE57" s="1186">
        <v>68</v>
      </c>
      <c r="AF57" s="1186">
        <v>29</v>
      </c>
      <c r="AG57" s="1186">
        <v>11</v>
      </c>
      <c r="AH57" s="1186">
        <v>17</v>
      </c>
      <c r="AI57" s="1186">
        <v>31</v>
      </c>
      <c r="AJ57" s="1186">
        <v>27</v>
      </c>
      <c r="AK57" s="1186">
        <v>40</v>
      </c>
      <c r="AL57" s="1186">
        <v>111</v>
      </c>
      <c r="AM57" s="1186">
        <v>16</v>
      </c>
      <c r="AN57" s="1186">
        <v>63</v>
      </c>
      <c r="AO57" s="1186">
        <v>1</v>
      </c>
      <c r="AP57" s="1186">
        <v>1</v>
      </c>
      <c r="AQ57" s="1186">
        <v>43</v>
      </c>
      <c r="AR57" s="1186">
        <v>14</v>
      </c>
    </row>
    <row r="58" spans="1:44" x14ac:dyDescent="0.2">
      <c r="A58" s="1186" t="s">
        <v>17</v>
      </c>
      <c r="B58" s="1186" t="s">
        <v>918</v>
      </c>
      <c r="C58" s="1186">
        <v>951</v>
      </c>
      <c r="D58" s="1186">
        <v>467</v>
      </c>
      <c r="E58" s="1186">
        <v>202</v>
      </c>
      <c r="F58" s="1186">
        <v>185</v>
      </c>
      <c r="G58" s="1186">
        <v>97</v>
      </c>
      <c r="H58" s="1186">
        <v>1121</v>
      </c>
      <c r="I58" s="1186">
        <v>30</v>
      </c>
      <c r="J58" s="1186">
        <v>2102</v>
      </c>
      <c r="K58" s="1186" t="s">
        <v>1985</v>
      </c>
      <c r="L58" s="1186" t="s">
        <v>1984</v>
      </c>
      <c r="M58" s="1186" t="s">
        <v>17</v>
      </c>
      <c r="N58" s="1186" t="s">
        <v>918</v>
      </c>
      <c r="O58" s="1186">
        <v>4357</v>
      </c>
      <c r="P58" s="1186">
        <v>3281</v>
      </c>
      <c r="Q58" s="1186">
        <v>829</v>
      </c>
      <c r="R58" s="1186">
        <v>195</v>
      </c>
      <c r="S58" s="1186">
        <v>50</v>
      </c>
      <c r="T58" s="1186">
        <v>2</v>
      </c>
      <c r="U58" s="1186" t="s">
        <v>17</v>
      </c>
      <c r="V58" s="1186" t="s">
        <v>918</v>
      </c>
      <c r="W58" s="1186">
        <v>682</v>
      </c>
      <c r="X58" s="1186"/>
      <c r="Y58" s="1186">
        <v>186</v>
      </c>
      <c r="Z58" s="1186">
        <v>6</v>
      </c>
      <c r="AA58" s="1186">
        <v>56</v>
      </c>
      <c r="AB58" s="1186">
        <v>12</v>
      </c>
      <c r="AC58" s="1186">
        <v>32</v>
      </c>
      <c r="AD58" s="1186">
        <v>7</v>
      </c>
      <c r="AE58" s="1186">
        <v>57</v>
      </c>
      <c r="AF58" s="1186">
        <v>17</v>
      </c>
      <c r="AG58" s="1186">
        <v>11</v>
      </c>
      <c r="AH58" s="1186">
        <v>17</v>
      </c>
      <c r="AI58" s="1186">
        <v>20</v>
      </c>
      <c r="AJ58" s="1186">
        <v>16</v>
      </c>
      <c r="AK58" s="1186">
        <v>26</v>
      </c>
      <c r="AL58" s="1186">
        <v>84</v>
      </c>
      <c r="AM58" s="1186">
        <v>11</v>
      </c>
      <c r="AN58" s="1186">
        <v>55</v>
      </c>
      <c r="AO58" s="1186">
        <v>2</v>
      </c>
      <c r="AP58" s="1186">
        <v>5</v>
      </c>
      <c r="AQ58" s="1186">
        <v>48</v>
      </c>
      <c r="AR58" s="1186">
        <v>14</v>
      </c>
    </row>
    <row r="59" spans="1:44" x14ac:dyDescent="0.2">
      <c r="A59" s="1186" t="s">
        <v>17</v>
      </c>
      <c r="B59" s="1186" t="s">
        <v>919</v>
      </c>
      <c r="C59" s="1186">
        <v>859</v>
      </c>
      <c r="D59" s="1186">
        <v>431</v>
      </c>
      <c r="E59" s="1186">
        <v>189</v>
      </c>
      <c r="F59" s="1186">
        <v>176</v>
      </c>
      <c r="G59" s="1186">
        <v>63</v>
      </c>
      <c r="H59" s="1186">
        <v>892</v>
      </c>
      <c r="I59" s="1186">
        <v>83</v>
      </c>
      <c r="J59" s="1186">
        <v>1834</v>
      </c>
      <c r="K59" s="1186" t="s">
        <v>1985</v>
      </c>
      <c r="L59" s="1186" t="s">
        <v>1986</v>
      </c>
      <c r="M59" s="1186" t="s">
        <v>17</v>
      </c>
      <c r="N59" s="1186" t="s">
        <v>919</v>
      </c>
      <c r="O59" s="1186">
        <v>4485</v>
      </c>
      <c r="P59" s="1186">
        <v>3481</v>
      </c>
      <c r="Q59" s="1186">
        <v>753</v>
      </c>
      <c r="R59" s="1186">
        <v>214</v>
      </c>
      <c r="S59" s="1186">
        <v>35</v>
      </c>
      <c r="T59" s="1186">
        <v>2</v>
      </c>
      <c r="U59" s="1186" t="s">
        <v>17</v>
      </c>
      <c r="V59" s="1186" t="s">
        <v>919</v>
      </c>
      <c r="W59" s="1186">
        <v>752</v>
      </c>
      <c r="X59" s="1186"/>
      <c r="Y59" s="1186">
        <v>180</v>
      </c>
      <c r="Z59" s="1186">
        <v>6</v>
      </c>
      <c r="AA59" s="1186">
        <v>97</v>
      </c>
      <c r="AB59" s="1186">
        <v>14</v>
      </c>
      <c r="AC59" s="1186">
        <v>34</v>
      </c>
      <c r="AD59" s="1186">
        <v>5</v>
      </c>
      <c r="AE59" s="1186">
        <v>48</v>
      </c>
      <c r="AF59" s="1186">
        <v>24</v>
      </c>
      <c r="AG59" s="1186">
        <v>9</v>
      </c>
      <c r="AH59" s="1186">
        <v>17</v>
      </c>
      <c r="AI59" s="1186">
        <v>23</v>
      </c>
      <c r="AJ59" s="1186">
        <v>23</v>
      </c>
      <c r="AK59" s="1186">
        <v>22</v>
      </c>
      <c r="AL59" s="1186">
        <v>86</v>
      </c>
      <c r="AM59" s="1186">
        <v>20</v>
      </c>
      <c r="AN59" s="1186">
        <v>70</v>
      </c>
      <c r="AO59" s="1186">
        <v>1</v>
      </c>
      <c r="AP59" s="1186">
        <v>10</v>
      </c>
      <c r="AQ59" s="1186">
        <v>38</v>
      </c>
      <c r="AR59" s="1186">
        <v>25</v>
      </c>
    </row>
    <row r="60" spans="1:44" x14ac:dyDescent="0.2">
      <c r="A60" s="1186" t="s">
        <v>17</v>
      </c>
      <c r="B60" s="1186" t="s">
        <v>920</v>
      </c>
      <c r="C60" s="1186">
        <v>913</v>
      </c>
      <c r="D60" s="1186">
        <v>496</v>
      </c>
      <c r="E60" s="1186">
        <v>186</v>
      </c>
      <c r="F60" s="1186">
        <v>160</v>
      </c>
      <c r="G60" s="1186">
        <v>71</v>
      </c>
      <c r="H60" s="1186">
        <v>1506</v>
      </c>
      <c r="I60" s="1186">
        <v>117</v>
      </c>
      <c r="J60" s="1186">
        <v>2536</v>
      </c>
      <c r="K60" s="1186" t="s">
        <v>1985</v>
      </c>
      <c r="L60" s="1186" t="s">
        <v>1986</v>
      </c>
      <c r="M60" s="1186" t="s">
        <v>17</v>
      </c>
      <c r="N60" s="1186" t="s">
        <v>920</v>
      </c>
      <c r="O60" s="1186">
        <v>4360</v>
      </c>
      <c r="P60" s="1186">
        <v>3075</v>
      </c>
      <c r="Q60" s="1186">
        <v>1005</v>
      </c>
      <c r="R60" s="1186">
        <v>235</v>
      </c>
      <c r="S60" s="1186">
        <v>45</v>
      </c>
      <c r="T60" s="1186"/>
      <c r="U60" s="1186" t="s">
        <v>17</v>
      </c>
      <c r="V60" s="1186" t="s">
        <v>920</v>
      </c>
      <c r="W60" s="1186">
        <v>731</v>
      </c>
      <c r="X60" s="1186"/>
      <c r="Y60" s="1186">
        <v>191</v>
      </c>
      <c r="Z60" s="1186">
        <v>5</v>
      </c>
      <c r="AA60" s="1186">
        <v>84</v>
      </c>
      <c r="AB60" s="1186">
        <v>7</v>
      </c>
      <c r="AC60" s="1186">
        <v>33</v>
      </c>
      <c r="AD60" s="1186">
        <v>7</v>
      </c>
      <c r="AE60" s="1186">
        <v>49</v>
      </c>
      <c r="AF60" s="1186">
        <v>25</v>
      </c>
      <c r="AG60" s="1186">
        <v>6</v>
      </c>
      <c r="AH60" s="1186">
        <v>10</v>
      </c>
      <c r="AI60" s="1186">
        <v>22</v>
      </c>
      <c r="AJ60" s="1186">
        <v>18</v>
      </c>
      <c r="AK60" s="1186">
        <v>22</v>
      </c>
      <c r="AL60" s="1186">
        <v>98</v>
      </c>
      <c r="AM60" s="1186">
        <v>13</v>
      </c>
      <c r="AN60" s="1186">
        <v>57</v>
      </c>
      <c r="AO60" s="1186">
        <v>4</v>
      </c>
      <c r="AP60" s="1186">
        <v>6</v>
      </c>
      <c r="AQ60" s="1186">
        <v>49</v>
      </c>
      <c r="AR60" s="1186">
        <v>25</v>
      </c>
    </row>
    <row r="61" spans="1:44" x14ac:dyDescent="0.2">
      <c r="A61" s="1186" t="s">
        <v>17</v>
      </c>
      <c r="B61" s="1186" t="s">
        <v>921</v>
      </c>
      <c r="C61" s="1186">
        <v>887</v>
      </c>
      <c r="D61" s="1186">
        <v>519</v>
      </c>
      <c r="E61" s="1186">
        <v>169</v>
      </c>
      <c r="F61" s="1186">
        <v>154</v>
      </c>
      <c r="G61" s="1186">
        <v>45</v>
      </c>
      <c r="H61" s="1186">
        <v>582</v>
      </c>
      <c r="I61" s="1186">
        <v>133</v>
      </c>
      <c r="J61" s="1186">
        <v>1602</v>
      </c>
      <c r="K61" s="1186" t="s">
        <v>1987</v>
      </c>
      <c r="L61" s="1186" t="s">
        <v>1986</v>
      </c>
      <c r="M61" s="1186" t="s">
        <v>17</v>
      </c>
      <c r="N61" s="1186" t="s">
        <v>921</v>
      </c>
      <c r="O61" s="1186">
        <v>3820</v>
      </c>
      <c r="P61" s="1186">
        <v>2928</v>
      </c>
      <c r="Q61" s="1186">
        <v>646</v>
      </c>
      <c r="R61" s="1186">
        <v>196</v>
      </c>
      <c r="S61" s="1186">
        <v>50</v>
      </c>
      <c r="T61" s="1186"/>
      <c r="U61" s="1186" t="s">
        <v>17</v>
      </c>
      <c r="V61" s="1186" t="s">
        <v>921</v>
      </c>
      <c r="W61" s="1186">
        <v>1095</v>
      </c>
      <c r="X61" s="1186"/>
      <c r="Y61" s="1186">
        <v>216</v>
      </c>
      <c r="Z61" s="1186">
        <v>14</v>
      </c>
      <c r="AA61" s="1186">
        <v>190</v>
      </c>
      <c r="AB61" s="1186">
        <v>21</v>
      </c>
      <c r="AC61" s="1186">
        <v>27</v>
      </c>
      <c r="AD61" s="1186">
        <v>4</v>
      </c>
      <c r="AE61" s="1186">
        <v>65</v>
      </c>
      <c r="AF61" s="1186">
        <v>25</v>
      </c>
      <c r="AG61" s="1186">
        <v>11</v>
      </c>
      <c r="AH61" s="1186">
        <v>15</v>
      </c>
      <c r="AI61" s="1186">
        <v>16</v>
      </c>
      <c r="AJ61" s="1186">
        <v>15</v>
      </c>
      <c r="AK61" s="1186">
        <v>26</v>
      </c>
      <c r="AL61" s="1186">
        <v>93</v>
      </c>
      <c r="AM61" s="1186">
        <v>193</v>
      </c>
      <c r="AN61" s="1186">
        <v>84</v>
      </c>
      <c r="AO61" s="1186">
        <v>3</v>
      </c>
      <c r="AP61" s="1186">
        <v>9</v>
      </c>
      <c r="AQ61" s="1186">
        <v>46</v>
      </c>
      <c r="AR61" s="1186">
        <v>22</v>
      </c>
    </row>
    <row r="62" spans="1:44" x14ac:dyDescent="0.2">
      <c r="A62" s="1186" t="s">
        <v>17</v>
      </c>
      <c r="B62" s="1186" t="s">
        <v>922</v>
      </c>
      <c r="C62" s="1186">
        <v>726</v>
      </c>
      <c r="D62" s="1186">
        <v>403</v>
      </c>
      <c r="E62" s="1186">
        <v>163</v>
      </c>
      <c r="F62" s="1186">
        <v>134</v>
      </c>
      <c r="G62" s="1186">
        <v>26</v>
      </c>
      <c r="H62" s="1186">
        <v>498</v>
      </c>
      <c r="I62" s="1186">
        <v>133</v>
      </c>
      <c r="J62" s="1186">
        <v>1357</v>
      </c>
      <c r="K62" s="1186" t="s">
        <v>1987</v>
      </c>
      <c r="L62" s="1186" t="s">
        <v>1988</v>
      </c>
      <c r="M62" s="1186" t="s">
        <v>17</v>
      </c>
      <c r="N62" s="1186" t="s">
        <v>922</v>
      </c>
      <c r="O62" s="1186">
        <v>3551</v>
      </c>
      <c r="P62" s="1186">
        <v>2704</v>
      </c>
      <c r="Q62" s="1186">
        <v>644</v>
      </c>
      <c r="R62" s="1186">
        <v>156</v>
      </c>
      <c r="S62" s="1186">
        <v>46</v>
      </c>
      <c r="T62" s="1186">
        <v>1</v>
      </c>
      <c r="U62" s="1186" t="s">
        <v>17</v>
      </c>
      <c r="V62" s="1186" t="s">
        <v>922</v>
      </c>
      <c r="W62" s="1186">
        <v>685</v>
      </c>
      <c r="X62" s="1186"/>
      <c r="Y62" s="1186">
        <v>179</v>
      </c>
      <c r="Z62" s="1186">
        <v>4</v>
      </c>
      <c r="AA62" s="1186">
        <v>111</v>
      </c>
      <c r="AB62" s="1186">
        <v>9</v>
      </c>
      <c r="AC62" s="1186">
        <v>25</v>
      </c>
      <c r="AD62" s="1186">
        <v>4</v>
      </c>
      <c r="AE62" s="1186">
        <v>56</v>
      </c>
      <c r="AF62" s="1186">
        <v>19</v>
      </c>
      <c r="AG62" s="1186">
        <v>6</v>
      </c>
      <c r="AH62" s="1186">
        <v>13</v>
      </c>
      <c r="AI62" s="1186">
        <v>15</v>
      </c>
      <c r="AJ62" s="1186">
        <v>16</v>
      </c>
      <c r="AK62" s="1186">
        <v>21</v>
      </c>
      <c r="AL62" s="1186">
        <v>78</v>
      </c>
      <c r="AM62" s="1186">
        <v>23</v>
      </c>
      <c r="AN62" s="1186">
        <v>42</v>
      </c>
      <c r="AO62" s="1186"/>
      <c r="AP62" s="1186">
        <v>4</v>
      </c>
      <c r="AQ62" s="1186">
        <v>42</v>
      </c>
      <c r="AR62" s="1186">
        <v>18</v>
      </c>
    </row>
    <row r="63" spans="1:44" x14ac:dyDescent="0.2">
      <c r="A63" s="1186" t="s">
        <v>17</v>
      </c>
      <c r="B63" s="1186" t="s">
        <v>923</v>
      </c>
      <c r="C63" s="1186">
        <v>672</v>
      </c>
      <c r="D63" s="1186">
        <v>353</v>
      </c>
      <c r="E63" s="1186">
        <v>180</v>
      </c>
      <c r="F63" s="1186">
        <v>115</v>
      </c>
      <c r="G63" s="1186">
        <v>24</v>
      </c>
      <c r="H63" s="1186">
        <v>438</v>
      </c>
      <c r="I63" s="1186">
        <v>120</v>
      </c>
      <c r="J63" s="1186">
        <v>1230</v>
      </c>
      <c r="K63" s="1186" t="s">
        <v>1987</v>
      </c>
      <c r="L63" s="1186" t="s">
        <v>1988</v>
      </c>
      <c r="M63" s="1186" t="s">
        <v>17</v>
      </c>
      <c r="N63" s="1186" t="s">
        <v>923</v>
      </c>
      <c r="O63" s="1186">
        <v>3301</v>
      </c>
      <c r="P63" s="1186">
        <v>2530</v>
      </c>
      <c r="Q63" s="1186">
        <v>565</v>
      </c>
      <c r="R63" s="1186">
        <v>173</v>
      </c>
      <c r="S63" s="1186">
        <v>31</v>
      </c>
      <c r="T63" s="1186">
        <v>2</v>
      </c>
      <c r="U63" s="1186" t="s">
        <v>17</v>
      </c>
      <c r="V63" s="1186" t="s">
        <v>923</v>
      </c>
      <c r="W63" s="1186">
        <v>658</v>
      </c>
      <c r="X63" s="1186"/>
      <c r="Y63" s="1186">
        <v>169</v>
      </c>
      <c r="Z63" s="1186">
        <v>6</v>
      </c>
      <c r="AA63" s="1186">
        <v>71</v>
      </c>
      <c r="AB63" s="1186">
        <v>7</v>
      </c>
      <c r="AC63" s="1186">
        <v>19</v>
      </c>
      <c r="AD63" s="1186">
        <v>2</v>
      </c>
      <c r="AE63" s="1186">
        <v>55</v>
      </c>
      <c r="AF63" s="1186">
        <v>19</v>
      </c>
      <c r="AG63" s="1186">
        <v>11</v>
      </c>
      <c r="AH63" s="1186">
        <v>11</v>
      </c>
      <c r="AI63" s="1186">
        <v>15</v>
      </c>
      <c r="AJ63" s="1186">
        <v>23</v>
      </c>
      <c r="AK63" s="1186">
        <v>23</v>
      </c>
      <c r="AL63" s="1186">
        <v>82</v>
      </c>
      <c r="AM63" s="1186">
        <v>32</v>
      </c>
      <c r="AN63" s="1186">
        <v>57</v>
      </c>
      <c r="AO63" s="1186"/>
      <c r="AP63" s="1186">
        <v>6</v>
      </c>
      <c r="AQ63" s="1186">
        <v>35</v>
      </c>
      <c r="AR63" s="1186">
        <v>15</v>
      </c>
    </row>
    <row r="64" spans="1:44" x14ac:dyDescent="0.2">
      <c r="A64" s="1186" t="s">
        <v>17</v>
      </c>
      <c r="B64" s="1186" t="s">
        <v>924</v>
      </c>
      <c r="C64" s="1186">
        <v>806</v>
      </c>
      <c r="D64" s="1186">
        <v>419</v>
      </c>
      <c r="E64" s="1186">
        <v>183</v>
      </c>
      <c r="F64" s="1186">
        <v>151</v>
      </c>
      <c r="G64" s="1186">
        <v>53</v>
      </c>
      <c r="H64" s="1186">
        <v>999</v>
      </c>
      <c r="I64" s="1186">
        <v>142</v>
      </c>
      <c r="J64" s="1186">
        <v>1947</v>
      </c>
      <c r="K64" s="1186" t="s">
        <v>1981</v>
      </c>
      <c r="L64" s="1186" t="s">
        <v>1988</v>
      </c>
      <c r="M64" s="1186" t="s">
        <v>17</v>
      </c>
      <c r="N64" s="1186" t="s">
        <v>924</v>
      </c>
      <c r="O64" s="1186">
        <v>3818</v>
      </c>
      <c r="P64" s="1186">
        <v>2825</v>
      </c>
      <c r="Q64" s="1186">
        <v>729</v>
      </c>
      <c r="R64" s="1186">
        <v>233</v>
      </c>
      <c r="S64" s="1186">
        <v>29</v>
      </c>
      <c r="T64" s="1186">
        <v>2</v>
      </c>
      <c r="U64" s="1186" t="s">
        <v>17</v>
      </c>
      <c r="V64" s="1186" t="s">
        <v>924</v>
      </c>
      <c r="W64" s="1186">
        <v>700</v>
      </c>
      <c r="X64" s="1186"/>
      <c r="Y64" s="1186">
        <v>156</v>
      </c>
      <c r="Z64" s="1186">
        <v>4</v>
      </c>
      <c r="AA64" s="1186">
        <v>71</v>
      </c>
      <c r="AB64" s="1186">
        <v>11</v>
      </c>
      <c r="AC64" s="1186">
        <v>35</v>
      </c>
      <c r="AD64" s="1186">
        <v>6</v>
      </c>
      <c r="AE64" s="1186">
        <v>58</v>
      </c>
      <c r="AF64" s="1186">
        <v>27</v>
      </c>
      <c r="AG64" s="1186">
        <v>8</v>
      </c>
      <c r="AH64" s="1186">
        <v>17</v>
      </c>
      <c r="AI64" s="1186">
        <v>23</v>
      </c>
      <c r="AJ64" s="1186">
        <v>16</v>
      </c>
      <c r="AK64" s="1186">
        <v>33</v>
      </c>
      <c r="AL64" s="1186">
        <v>91</v>
      </c>
      <c r="AM64" s="1186">
        <v>19</v>
      </c>
      <c r="AN64" s="1186">
        <v>63</v>
      </c>
      <c r="AO64" s="1186"/>
      <c r="AP64" s="1186">
        <v>10</v>
      </c>
      <c r="AQ64" s="1186">
        <v>42</v>
      </c>
      <c r="AR64" s="1186">
        <v>10</v>
      </c>
    </row>
    <row r="65" spans="1:44" x14ac:dyDescent="0.2">
      <c r="A65" s="1186" t="s">
        <v>133</v>
      </c>
      <c r="B65" s="1186" t="s">
        <v>925</v>
      </c>
      <c r="C65" s="1186">
        <v>872</v>
      </c>
      <c r="D65" s="1186">
        <v>439</v>
      </c>
      <c r="E65" s="1186">
        <v>193</v>
      </c>
      <c r="F65" s="1186">
        <v>168</v>
      </c>
      <c r="G65" s="1186">
        <v>72</v>
      </c>
      <c r="H65" s="1186">
        <v>1595</v>
      </c>
      <c r="I65" s="1186">
        <v>111</v>
      </c>
      <c r="J65" s="1186">
        <v>2578</v>
      </c>
      <c r="K65" s="1186" t="s">
        <v>1981</v>
      </c>
      <c r="L65" s="1186" t="s">
        <v>1982</v>
      </c>
      <c r="M65" s="1186" t="s">
        <v>133</v>
      </c>
      <c r="N65" s="1186" t="s">
        <v>925</v>
      </c>
      <c r="O65" s="1186">
        <v>3726</v>
      </c>
      <c r="P65" s="1186">
        <v>2752</v>
      </c>
      <c r="Q65" s="1186">
        <v>778</v>
      </c>
      <c r="R65" s="1186">
        <v>150</v>
      </c>
      <c r="S65" s="1186">
        <v>44</v>
      </c>
      <c r="T65" s="1186">
        <v>2</v>
      </c>
      <c r="U65" s="1186" t="s">
        <v>133</v>
      </c>
      <c r="V65" s="1186" t="s">
        <v>925</v>
      </c>
      <c r="W65" s="1186">
        <v>696</v>
      </c>
      <c r="X65" s="1186"/>
      <c r="Y65" s="1186">
        <v>149</v>
      </c>
      <c r="Z65" s="1186">
        <v>7</v>
      </c>
      <c r="AA65" s="1186">
        <v>71</v>
      </c>
      <c r="AB65" s="1186">
        <v>8</v>
      </c>
      <c r="AC65" s="1186">
        <v>44</v>
      </c>
      <c r="AD65" s="1186">
        <v>7</v>
      </c>
      <c r="AE65" s="1186">
        <v>39</v>
      </c>
      <c r="AF65" s="1186">
        <v>24</v>
      </c>
      <c r="AG65" s="1186">
        <v>12</v>
      </c>
      <c r="AH65" s="1186">
        <v>12</v>
      </c>
      <c r="AI65" s="1186">
        <v>15</v>
      </c>
      <c r="AJ65" s="1186">
        <v>21</v>
      </c>
      <c r="AK65" s="1186">
        <v>35</v>
      </c>
      <c r="AL65" s="1186">
        <v>89</v>
      </c>
      <c r="AM65" s="1186">
        <v>18</v>
      </c>
      <c r="AN65" s="1186">
        <v>69</v>
      </c>
      <c r="AO65" s="1186"/>
      <c r="AP65" s="1186">
        <v>8</v>
      </c>
      <c r="AQ65" s="1186">
        <v>53</v>
      </c>
      <c r="AR65" s="1186">
        <v>15</v>
      </c>
    </row>
    <row r="66" spans="1:44" x14ac:dyDescent="0.2">
      <c r="A66" s="1186" t="s">
        <v>133</v>
      </c>
      <c r="B66" s="1186" t="s">
        <v>926</v>
      </c>
      <c r="C66" s="1186">
        <v>906</v>
      </c>
      <c r="D66" s="1186">
        <v>470</v>
      </c>
      <c r="E66" s="1186">
        <v>197</v>
      </c>
      <c r="F66" s="1186">
        <v>178</v>
      </c>
      <c r="G66" s="1186">
        <v>61</v>
      </c>
      <c r="H66" s="1186">
        <v>1096</v>
      </c>
      <c r="I66" s="1186">
        <v>67</v>
      </c>
      <c r="J66" s="1186">
        <v>2069</v>
      </c>
      <c r="K66" s="1186" t="s">
        <v>1981</v>
      </c>
      <c r="L66" s="1186" t="s">
        <v>1982</v>
      </c>
      <c r="M66" s="1186" t="s">
        <v>133</v>
      </c>
      <c r="N66" s="1186" t="s">
        <v>926</v>
      </c>
      <c r="O66" s="1186">
        <v>3848</v>
      </c>
      <c r="P66" s="1186">
        <v>2867</v>
      </c>
      <c r="Q66" s="1186">
        <v>750</v>
      </c>
      <c r="R66" s="1186">
        <v>191</v>
      </c>
      <c r="S66" s="1186">
        <v>39</v>
      </c>
      <c r="T66" s="1186">
        <v>1</v>
      </c>
      <c r="U66" s="1186" t="s">
        <v>133</v>
      </c>
      <c r="V66" s="1186" t="s">
        <v>926</v>
      </c>
      <c r="W66" s="1186">
        <v>789</v>
      </c>
      <c r="X66" s="1186"/>
      <c r="Y66" s="1186">
        <v>169</v>
      </c>
      <c r="Z66" s="1186">
        <v>10</v>
      </c>
      <c r="AA66" s="1186">
        <v>102</v>
      </c>
      <c r="AB66" s="1186">
        <v>6</v>
      </c>
      <c r="AC66" s="1186">
        <v>48</v>
      </c>
      <c r="AD66" s="1186">
        <v>6</v>
      </c>
      <c r="AE66" s="1186">
        <v>46</v>
      </c>
      <c r="AF66" s="1186">
        <v>20</v>
      </c>
      <c r="AG66" s="1186">
        <v>16</v>
      </c>
      <c r="AH66" s="1186">
        <v>19</v>
      </c>
      <c r="AI66" s="1186">
        <v>23</v>
      </c>
      <c r="AJ66" s="1186">
        <v>30</v>
      </c>
      <c r="AK66" s="1186">
        <v>41</v>
      </c>
      <c r="AL66" s="1186">
        <v>104</v>
      </c>
      <c r="AM66" s="1186">
        <v>17</v>
      </c>
      <c r="AN66" s="1186">
        <v>59</v>
      </c>
      <c r="AO66" s="1186"/>
      <c r="AP66" s="1186">
        <v>6</v>
      </c>
      <c r="AQ66" s="1186">
        <v>52</v>
      </c>
      <c r="AR66" s="1186">
        <v>15</v>
      </c>
    </row>
    <row r="67" spans="1:44" x14ac:dyDescent="0.2">
      <c r="A67" s="1186" t="s">
        <v>133</v>
      </c>
      <c r="B67" s="1186" t="s">
        <v>927</v>
      </c>
      <c r="C67" s="1186">
        <v>872</v>
      </c>
      <c r="D67" s="1186">
        <v>440</v>
      </c>
      <c r="E67" s="1186">
        <v>187</v>
      </c>
      <c r="F67" s="1186">
        <v>172</v>
      </c>
      <c r="G67" s="1186">
        <v>73</v>
      </c>
      <c r="H67" s="1186">
        <v>1316</v>
      </c>
      <c r="I67" s="1186">
        <v>26</v>
      </c>
      <c r="J67" s="1186">
        <v>2214</v>
      </c>
      <c r="K67" s="1186" t="s">
        <v>1983</v>
      </c>
      <c r="L67" s="1186" t="s">
        <v>1982</v>
      </c>
      <c r="M67" s="1186" t="s">
        <v>133</v>
      </c>
      <c r="N67" s="1186" t="s">
        <v>927</v>
      </c>
      <c r="O67" s="1186">
        <v>4140</v>
      </c>
      <c r="P67" s="1186">
        <v>3134</v>
      </c>
      <c r="Q67" s="1186">
        <v>788</v>
      </c>
      <c r="R67" s="1186">
        <v>171</v>
      </c>
      <c r="S67" s="1186">
        <v>45</v>
      </c>
      <c r="T67" s="1186">
        <v>2</v>
      </c>
      <c r="U67" s="1186" t="s">
        <v>133</v>
      </c>
      <c r="V67" s="1186" t="s">
        <v>927</v>
      </c>
      <c r="W67" s="1186">
        <v>763</v>
      </c>
      <c r="X67" s="1186"/>
      <c r="Y67" s="1186">
        <v>171</v>
      </c>
      <c r="Z67" s="1186">
        <v>9</v>
      </c>
      <c r="AA67" s="1186">
        <v>69</v>
      </c>
      <c r="AB67" s="1186">
        <v>15</v>
      </c>
      <c r="AC67" s="1186">
        <v>46</v>
      </c>
      <c r="AD67" s="1186">
        <v>2</v>
      </c>
      <c r="AE67" s="1186">
        <v>52</v>
      </c>
      <c r="AF67" s="1186">
        <v>22</v>
      </c>
      <c r="AG67" s="1186">
        <v>11</v>
      </c>
      <c r="AH67" s="1186">
        <v>11</v>
      </c>
      <c r="AI67" s="1186">
        <v>27</v>
      </c>
      <c r="AJ67" s="1186">
        <v>34</v>
      </c>
      <c r="AK67" s="1186">
        <v>39</v>
      </c>
      <c r="AL67" s="1186">
        <v>111</v>
      </c>
      <c r="AM67" s="1186">
        <v>16</v>
      </c>
      <c r="AN67" s="1186">
        <v>65</v>
      </c>
      <c r="AO67" s="1186"/>
      <c r="AP67" s="1186">
        <v>8</v>
      </c>
      <c r="AQ67" s="1186">
        <v>44</v>
      </c>
      <c r="AR67" s="1186">
        <v>11</v>
      </c>
    </row>
    <row r="68" spans="1:44" x14ac:dyDescent="0.2">
      <c r="A68" s="1186" t="s">
        <v>133</v>
      </c>
      <c r="B68" s="1186" t="s">
        <v>928</v>
      </c>
      <c r="C68" s="1186">
        <v>920</v>
      </c>
      <c r="D68" s="1186">
        <v>463</v>
      </c>
      <c r="E68" s="1186">
        <v>187</v>
      </c>
      <c r="F68" s="1186">
        <v>155</v>
      </c>
      <c r="G68" s="1186">
        <v>115</v>
      </c>
      <c r="H68" s="1186">
        <v>1661</v>
      </c>
      <c r="I68" s="1186">
        <v>24</v>
      </c>
      <c r="J68" s="1186">
        <v>2605</v>
      </c>
      <c r="K68" s="1186" t="s">
        <v>1983</v>
      </c>
      <c r="L68" s="1186" t="s">
        <v>1984</v>
      </c>
      <c r="M68" s="1186" t="s">
        <v>133</v>
      </c>
      <c r="N68" s="1186" t="s">
        <v>928</v>
      </c>
      <c r="O68" s="1186">
        <v>4520</v>
      </c>
      <c r="P68" s="1186">
        <v>3439</v>
      </c>
      <c r="Q68" s="1186">
        <v>882</v>
      </c>
      <c r="R68" s="1186">
        <v>136</v>
      </c>
      <c r="S68" s="1186">
        <v>63</v>
      </c>
      <c r="T68" s="1186"/>
      <c r="U68" s="1186" t="s">
        <v>133</v>
      </c>
      <c r="V68" s="1186" t="s">
        <v>928</v>
      </c>
      <c r="W68" s="1186">
        <v>867</v>
      </c>
      <c r="X68" s="1186"/>
      <c r="Y68" s="1186">
        <v>207</v>
      </c>
      <c r="Z68" s="1186">
        <v>9</v>
      </c>
      <c r="AA68" s="1186">
        <v>93</v>
      </c>
      <c r="AB68" s="1186">
        <v>9</v>
      </c>
      <c r="AC68" s="1186">
        <v>69</v>
      </c>
      <c r="AD68" s="1186">
        <v>6</v>
      </c>
      <c r="AE68" s="1186">
        <v>70</v>
      </c>
      <c r="AF68" s="1186">
        <v>30</v>
      </c>
      <c r="AG68" s="1186">
        <v>11</v>
      </c>
      <c r="AH68" s="1186">
        <v>14</v>
      </c>
      <c r="AI68" s="1186">
        <v>29</v>
      </c>
      <c r="AJ68" s="1186">
        <v>18</v>
      </c>
      <c r="AK68" s="1186">
        <v>36</v>
      </c>
      <c r="AL68" s="1186">
        <v>107</v>
      </c>
      <c r="AM68" s="1186">
        <v>13</v>
      </c>
      <c r="AN68" s="1186">
        <v>72</v>
      </c>
      <c r="AO68" s="1186">
        <v>2</v>
      </c>
      <c r="AP68" s="1186">
        <v>6</v>
      </c>
      <c r="AQ68" s="1186">
        <v>49</v>
      </c>
      <c r="AR68" s="1186">
        <v>17</v>
      </c>
    </row>
    <row r="69" spans="1:44" x14ac:dyDescent="0.2">
      <c r="A69" s="1186" t="s">
        <v>133</v>
      </c>
      <c r="B69" s="1186" t="s">
        <v>929</v>
      </c>
      <c r="C69" s="1186">
        <v>872</v>
      </c>
      <c r="D69" s="1186">
        <v>403</v>
      </c>
      <c r="E69" s="1186">
        <v>194</v>
      </c>
      <c r="F69" s="1186">
        <v>179</v>
      </c>
      <c r="G69" s="1186">
        <v>96</v>
      </c>
      <c r="H69" s="1186">
        <v>1056</v>
      </c>
      <c r="I69" s="1186">
        <v>30</v>
      </c>
      <c r="J69" s="1186">
        <v>1958</v>
      </c>
      <c r="K69" s="1186" t="s">
        <v>1983</v>
      </c>
      <c r="L69" s="1186" t="s">
        <v>1984</v>
      </c>
      <c r="M69" s="1186" t="s">
        <v>133</v>
      </c>
      <c r="N69" s="1186" t="s">
        <v>929</v>
      </c>
      <c r="O69" s="1186">
        <v>4476</v>
      </c>
      <c r="P69" s="1186">
        <v>3473</v>
      </c>
      <c r="Q69" s="1186">
        <v>782</v>
      </c>
      <c r="R69" s="1186">
        <v>165</v>
      </c>
      <c r="S69" s="1186">
        <v>53</v>
      </c>
      <c r="T69" s="1186">
        <v>3</v>
      </c>
      <c r="U69" s="1186" t="s">
        <v>133</v>
      </c>
      <c r="V69" s="1186" t="s">
        <v>929</v>
      </c>
      <c r="W69" s="1186">
        <v>955</v>
      </c>
      <c r="X69" s="1186"/>
      <c r="Y69" s="1186">
        <v>245</v>
      </c>
      <c r="Z69" s="1186">
        <v>9</v>
      </c>
      <c r="AA69" s="1186">
        <v>145</v>
      </c>
      <c r="AB69" s="1186">
        <v>14</v>
      </c>
      <c r="AC69" s="1186">
        <v>54</v>
      </c>
      <c r="AD69" s="1186">
        <v>3</v>
      </c>
      <c r="AE69" s="1186">
        <v>54</v>
      </c>
      <c r="AF69" s="1186">
        <v>43</v>
      </c>
      <c r="AG69" s="1186">
        <v>15</v>
      </c>
      <c r="AH69" s="1186">
        <v>16</v>
      </c>
      <c r="AI69" s="1186">
        <v>22</v>
      </c>
      <c r="AJ69" s="1186">
        <v>15</v>
      </c>
      <c r="AK69" s="1186">
        <v>33</v>
      </c>
      <c r="AL69" s="1186">
        <v>113</v>
      </c>
      <c r="AM69" s="1186">
        <v>25</v>
      </c>
      <c r="AN69" s="1186">
        <v>71</v>
      </c>
      <c r="AO69" s="1186">
        <v>1</v>
      </c>
      <c r="AP69" s="1186">
        <v>2</v>
      </c>
      <c r="AQ69" s="1186">
        <v>56</v>
      </c>
      <c r="AR69" s="1186">
        <v>19</v>
      </c>
    </row>
    <row r="70" spans="1:44" x14ac:dyDescent="0.2">
      <c r="A70" s="1186" t="s">
        <v>133</v>
      </c>
      <c r="B70" s="1186" t="s">
        <v>930</v>
      </c>
      <c r="C70" s="1186">
        <v>953</v>
      </c>
      <c r="D70" s="1186">
        <v>471</v>
      </c>
      <c r="E70" s="1186">
        <v>210</v>
      </c>
      <c r="F70" s="1186">
        <v>156</v>
      </c>
      <c r="G70" s="1186">
        <v>116</v>
      </c>
      <c r="H70" s="1186">
        <v>1584</v>
      </c>
      <c r="I70" s="1186">
        <v>28</v>
      </c>
      <c r="J70" s="1186">
        <v>2565</v>
      </c>
      <c r="K70" s="1186" t="s">
        <v>1985</v>
      </c>
      <c r="L70" s="1186" t="s">
        <v>1984</v>
      </c>
      <c r="M70" s="1186" t="s">
        <v>133</v>
      </c>
      <c r="N70" s="1186" t="s">
        <v>930</v>
      </c>
      <c r="O70" s="1186">
        <v>4535</v>
      </c>
      <c r="P70" s="1186">
        <v>3396</v>
      </c>
      <c r="Q70" s="1186">
        <v>877</v>
      </c>
      <c r="R70" s="1186">
        <v>207</v>
      </c>
      <c r="S70" s="1186">
        <v>52</v>
      </c>
      <c r="T70" s="1186">
        <v>3</v>
      </c>
      <c r="U70" s="1186" t="s">
        <v>133</v>
      </c>
      <c r="V70" s="1186" t="s">
        <v>930</v>
      </c>
      <c r="W70" s="1186">
        <v>760</v>
      </c>
      <c r="X70" s="1186"/>
      <c r="Y70" s="1186">
        <v>151</v>
      </c>
      <c r="Z70" s="1186">
        <v>6</v>
      </c>
      <c r="AA70" s="1186">
        <v>64</v>
      </c>
      <c r="AB70" s="1186">
        <v>8</v>
      </c>
      <c r="AC70" s="1186">
        <v>48</v>
      </c>
      <c r="AD70" s="1186">
        <v>5</v>
      </c>
      <c r="AE70" s="1186">
        <v>53</v>
      </c>
      <c r="AF70" s="1186">
        <v>36</v>
      </c>
      <c r="AG70" s="1186">
        <v>9</v>
      </c>
      <c r="AH70" s="1186">
        <v>20</v>
      </c>
      <c r="AI70" s="1186">
        <v>19</v>
      </c>
      <c r="AJ70" s="1186">
        <v>31</v>
      </c>
      <c r="AK70" s="1186">
        <v>39</v>
      </c>
      <c r="AL70" s="1186">
        <v>116</v>
      </c>
      <c r="AM70" s="1186">
        <v>15</v>
      </c>
      <c r="AN70" s="1186">
        <v>68</v>
      </c>
      <c r="AO70" s="1186">
        <v>1</v>
      </c>
      <c r="AP70" s="1186">
        <v>8</v>
      </c>
      <c r="AQ70" s="1186">
        <v>47</v>
      </c>
      <c r="AR70" s="1186">
        <v>16</v>
      </c>
    </row>
    <row r="71" spans="1:44" x14ac:dyDescent="0.2">
      <c r="A71" s="1186" t="s">
        <v>133</v>
      </c>
      <c r="B71" s="1186" t="s">
        <v>931</v>
      </c>
      <c r="C71" s="1186">
        <v>853</v>
      </c>
      <c r="D71" s="1186">
        <v>447</v>
      </c>
      <c r="E71" s="1186">
        <v>205</v>
      </c>
      <c r="F71" s="1186">
        <v>131</v>
      </c>
      <c r="G71" s="1186">
        <v>70</v>
      </c>
      <c r="H71" s="1186">
        <v>1012</v>
      </c>
      <c r="I71" s="1186">
        <v>82</v>
      </c>
      <c r="J71" s="1186">
        <v>1947</v>
      </c>
      <c r="K71" s="1186" t="s">
        <v>1985</v>
      </c>
      <c r="L71" s="1186" t="s">
        <v>1986</v>
      </c>
      <c r="M71" s="1186" t="s">
        <v>133</v>
      </c>
      <c r="N71" s="1186" t="s">
        <v>931</v>
      </c>
      <c r="O71" s="1186">
        <v>4409</v>
      </c>
      <c r="P71" s="1186">
        <v>3364</v>
      </c>
      <c r="Q71" s="1186">
        <v>804</v>
      </c>
      <c r="R71" s="1186">
        <v>187</v>
      </c>
      <c r="S71" s="1186">
        <v>54</v>
      </c>
      <c r="T71" s="1186"/>
      <c r="U71" s="1186" t="s">
        <v>133</v>
      </c>
      <c r="V71" s="1186" t="s">
        <v>931</v>
      </c>
      <c r="W71" s="1186">
        <v>916</v>
      </c>
      <c r="X71" s="1186"/>
      <c r="Y71" s="1186">
        <v>209</v>
      </c>
      <c r="Z71" s="1186">
        <v>12</v>
      </c>
      <c r="AA71" s="1186">
        <v>133</v>
      </c>
      <c r="AB71" s="1186">
        <v>13</v>
      </c>
      <c r="AC71" s="1186">
        <v>38</v>
      </c>
      <c r="AD71" s="1186">
        <v>7</v>
      </c>
      <c r="AE71" s="1186">
        <v>58</v>
      </c>
      <c r="AF71" s="1186">
        <v>31</v>
      </c>
      <c r="AG71" s="1186">
        <v>13</v>
      </c>
      <c r="AH71" s="1186">
        <v>13</v>
      </c>
      <c r="AI71" s="1186">
        <v>13</v>
      </c>
      <c r="AJ71" s="1186">
        <v>22</v>
      </c>
      <c r="AK71" s="1186">
        <v>19</v>
      </c>
      <c r="AL71" s="1186">
        <v>128</v>
      </c>
      <c r="AM71" s="1186">
        <v>32</v>
      </c>
      <c r="AN71" s="1186">
        <v>90</v>
      </c>
      <c r="AO71" s="1186"/>
      <c r="AP71" s="1186">
        <v>8</v>
      </c>
      <c r="AQ71" s="1186">
        <v>58</v>
      </c>
      <c r="AR71" s="1186">
        <v>19</v>
      </c>
    </row>
    <row r="72" spans="1:44" x14ac:dyDescent="0.2">
      <c r="A72" s="1186" t="s">
        <v>133</v>
      </c>
      <c r="B72" s="1186" t="s">
        <v>932</v>
      </c>
      <c r="C72" s="1186">
        <v>836</v>
      </c>
      <c r="D72" s="1186">
        <v>425</v>
      </c>
      <c r="E72" s="1186">
        <v>183</v>
      </c>
      <c r="F72" s="1186">
        <v>162</v>
      </c>
      <c r="G72" s="1186">
        <v>66</v>
      </c>
      <c r="H72" s="1186">
        <v>1322</v>
      </c>
      <c r="I72" s="1186">
        <v>80</v>
      </c>
      <c r="J72" s="1186">
        <v>2238</v>
      </c>
      <c r="K72" s="1186" t="s">
        <v>1985</v>
      </c>
      <c r="L72" s="1186" t="s">
        <v>1986</v>
      </c>
      <c r="M72" s="1186" t="s">
        <v>133</v>
      </c>
      <c r="N72" s="1186" t="s">
        <v>932</v>
      </c>
      <c r="O72" s="1186">
        <v>4489</v>
      </c>
      <c r="P72" s="1186">
        <v>3250</v>
      </c>
      <c r="Q72" s="1186">
        <v>1001</v>
      </c>
      <c r="R72" s="1186">
        <v>160</v>
      </c>
      <c r="S72" s="1186">
        <v>76</v>
      </c>
      <c r="T72" s="1186">
        <v>2</v>
      </c>
      <c r="U72" s="1186" t="s">
        <v>133</v>
      </c>
      <c r="V72" s="1186" t="s">
        <v>932</v>
      </c>
      <c r="W72" s="1186">
        <v>893</v>
      </c>
      <c r="X72" s="1186"/>
      <c r="Y72" s="1186">
        <v>211</v>
      </c>
      <c r="Z72" s="1186">
        <v>10</v>
      </c>
      <c r="AA72" s="1186">
        <v>120</v>
      </c>
      <c r="AB72" s="1186">
        <v>11</v>
      </c>
      <c r="AC72" s="1186">
        <v>28</v>
      </c>
      <c r="AD72" s="1186">
        <v>5</v>
      </c>
      <c r="AE72" s="1186">
        <v>45</v>
      </c>
      <c r="AF72" s="1186">
        <v>23</v>
      </c>
      <c r="AG72" s="1186">
        <v>11</v>
      </c>
      <c r="AH72" s="1186">
        <v>23</v>
      </c>
      <c r="AI72" s="1186">
        <v>24</v>
      </c>
      <c r="AJ72" s="1186">
        <v>16</v>
      </c>
      <c r="AK72" s="1186">
        <v>18</v>
      </c>
      <c r="AL72" s="1186">
        <v>157</v>
      </c>
      <c r="AM72" s="1186">
        <v>6</v>
      </c>
      <c r="AN72" s="1186">
        <v>100</v>
      </c>
      <c r="AO72" s="1186">
        <v>2</v>
      </c>
      <c r="AP72" s="1186">
        <v>3</v>
      </c>
      <c r="AQ72" s="1186">
        <v>63</v>
      </c>
      <c r="AR72" s="1186">
        <v>17</v>
      </c>
    </row>
    <row r="73" spans="1:44" x14ac:dyDescent="0.2">
      <c r="A73" s="1186" t="s">
        <v>133</v>
      </c>
      <c r="B73" s="1186" t="s">
        <v>933</v>
      </c>
      <c r="C73" s="1186">
        <v>957</v>
      </c>
      <c r="D73" s="1186">
        <v>559</v>
      </c>
      <c r="E73" s="1186">
        <v>210</v>
      </c>
      <c r="F73" s="1186">
        <v>153</v>
      </c>
      <c r="G73" s="1186">
        <v>35</v>
      </c>
      <c r="H73" s="1186">
        <v>499</v>
      </c>
      <c r="I73" s="1186">
        <v>139</v>
      </c>
      <c r="J73" s="1186">
        <v>1595</v>
      </c>
      <c r="K73" s="1186" t="s">
        <v>1987</v>
      </c>
      <c r="L73" s="1186" t="s">
        <v>1986</v>
      </c>
      <c r="M73" s="1186" t="s">
        <v>133</v>
      </c>
      <c r="N73" s="1186" t="s">
        <v>933</v>
      </c>
      <c r="O73" s="1186">
        <v>3988</v>
      </c>
      <c r="P73" s="1186">
        <v>3091</v>
      </c>
      <c r="Q73" s="1186">
        <v>690</v>
      </c>
      <c r="R73" s="1186">
        <v>161</v>
      </c>
      <c r="S73" s="1186">
        <v>45</v>
      </c>
      <c r="T73" s="1186">
        <v>1</v>
      </c>
      <c r="U73" s="1186" t="s">
        <v>133</v>
      </c>
      <c r="V73" s="1186" t="s">
        <v>933</v>
      </c>
      <c r="W73" s="1186">
        <v>1031</v>
      </c>
      <c r="X73" s="1186"/>
      <c r="Y73" s="1186">
        <v>220</v>
      </c>
      <c r="Z73" s="1186">
        <v>7</v>
      </c>
      <c r="AA73" s="1186">
        <v>105</v>
      </c>
      <c r="AB73" s="1186">
        <v>11</v>
      </c>
      <c r="AC73" s="1186">
        <v>28</v>
      </c>
      <c r="AD73" s="1186">
        <v>5</v>
      </c>
      <c r="AE73" s="1186">
        <v>71</v>
      </c>
      <c r="AF73" s="1186">
        <v>34</v>
      </c>
      <c r="AG73" s="1186">
        <v>11</v>
      </c>
      <c r="AH73" s="1186">
        <v>13</v>
      </c>
      <c r="AI73" s="1186">
        <v>17</v>
      </c>
      <c r="AJ73" s="1186">
        <v>15</v>
      </c>
      <c r="AK73" s="1186">
        <v>26</v>
      </c>
      <c r="AL73" s="1186">
        <v>211</v>
      </c>
      <c r="AM73" s="1186">
        <v>16</v>
      </c>
      <c r="AN73" s="1186">
        <v>126</v>
      </c>
      <c r="AO73" s="1186"/>
      <c r="AP73" s="1186">
        <v>8</v>
      </c>
      <c r="AQ73" s="1186">
        <v>93</v>
      </c>
      <c r="AR73" s="1186">
        <v>14</v>
      </c>
    </row>
    <row r="74" spans="1:44" x14ac:dyDescent="0.2">
      <c r="A74" s="1186" t="s">
        <v>133</v>
      </c>
      <c r="B74" s="1186" t="s">
        <v>934</v>
      </c>
      <c r="C74" s="1186">
        <v>904</v>
      </c>
      <c r="D74" s="1186">
        <v>527</v>
      </c>
      <c r="E74" s="1186">
        <v>207</v>
      </c>
      <c r="F74" s="1186">
        <v>121</v>
      </c>
      <c r="G74" s="1186">
        <v>49</v>
      </c>
      <c r="H74" s="1186">
        <v>396</v>
      </c>
      <c r="I74" s="1186">
        <v>132</v>
      </c>
      <c r="J74" s="1186">
        <v>1432</v>
      </c>
      <c r="K74" s="1186" t="s">
        <v>1987</v>
      </c>
      <c r="L74" s="1186" t="s">
        <v>1988</v>
      </c>
      <c r="M74" s="1186" t="s">
        <v>133</v>
      </c>
      <c r="N74" s="1186" t="s">
        <v>934</v>
      </c>
      <c r="O74" s="1186">
        <v>3879</v>
      </c>
      <c r="P74" s="1186">
        <v>3083</v>
      </c>
      <c r="Q74" s="1186">
        <v>589</v>
      </c>
      <c r="R74" s="1186">
        <v>151</v>
      </c>
      <c r="S74" s="1186">
        <v>55</v>
      </c>
      <c r="T74" s="1186">
        <v>1</v>
      </c>
      <c r="U74" s="1186" t="s">
        <v>133</v>
      </c>
      <c r="V74" s="1186" t="s">
        <v>934</v>
      </c>
      <c r="W74" s="1186">
        <v>1166</v>
      </c>
      <c r="X74" s="1186"/>
      <c r="Y74" s="1186">
        <v>207</v>
      </c>
      <c r="Z74" s="1186">
        <v>8</v>
      </c>
      <c r="AA74" s="1186">
        <v>147</v>
      </c>
      <c r="AB74" s="1186">
        <v>7</v>
      </c>
      <c r="AC74" s="1186">
        <v>23</v>
      </c>
      <c r="AD74" s="1186">
        <v>3</v>
      </c>
      <c r="AE74" s="1186">
        <v>39</v>
      </c>
      <c r="AF74" s="1186">
        <v>32</v>
      </c>
      <c r="AG74" s="1186">
        <v>8</v>
      </c>
      <c r="AH74" s="1186">
        <v>18</v>
      </c>
      <c r="AI74" s="1186">
        <v>9</v>
      </c>
      <c r="AJ74" s="1186">
        <v>17</v>
      </c>
      <c r="AK74" s="1186">
        <v>24</v>
      </c>
      <c r="AL74" s="1186">
        <v>240</v>
      </c>
      <c r="AM74" s="1186">
        <v>129</v>
      </c>
      <c r="AN74" s="1186">
        <v>122</v>
      </c>
      <c r="AO74" s="1186">
        <v>1</v>
      </c>
      <c r="AP74" s="1186">
        <v>13</v>
      </c>
      <c r="AQ74" s="1186">
        <v>90</v>
      </c>
      <c r="AR74" s="1186">
        <v>29</v>
      </c>
    </row>
    <row r="75" spans="1:44" x14ac:dyDescent="0.2">
      <c r="A75" s="1186" t="s">
        <v>133</v>
      </c>
      <c r="B75" s="1186" t="s">
        <v>935</v>
      </c>
      <c r="C75" s="1186">
        <v>806</v>
      </c>
      <c r="D75" s="1186">
        <v>437</v>
      </c>
      <c r="E75" s="1186">
        <v>182</v>
      </c>
      <c r="F75" s="1186">
        <v>153</v>
      </c>
      <c r="G75" s="1186">
        <v>34</v>
      </c>
      <c r="H75" s="1186">
        <v>722</v>
      </c>
      <c r="I75" s="1186">
        <v>125</v>
      </c>
      <c r="J75" s="1186">
        <v>1653</v>
      </c>
      <c r="K75" s="1186" t="s">
        <v>1987</v>
      </c>
      <c r="L75" s="1186" t="s">
        <v>1988</v>
      </c>
      <c r="M75" s="1186" t="s">
        <v>133</v>
      </c>
      <c r="N75" s="1186" t="s">
        <v>935</v>
      </c>
      <c r="O75" s="1186">
        <v>3453</v>
      </c>
      <c r="P75" s="1186">
        <v>2594</v>
      </c>
      <c r="Q75" s="1186">
        <v>641</v>
      </c>
      <c r="R75" s="1186">
        <v>167</v>
      </c>
      <c r="S75" s="1186">
        <v>48</v>
      </c>
      <c r="T75" s="1186">
        <v>3</v>
      </c>
      <c r="U75" s="1186" t="s">
        <v>133</v>
      </c>
      <c r="V75" s="1186" t="s">
        <v>935</v>
      </c>
      <c r="W75" s="1186">
        <v>926</v>
      </c>
      <c r="X75" s="1186"/>
      <c r="Y75" s="1186">
        <v>196</v>
      </c>
      <c r="Z75" s="1186">
        <v>6</v>
      </c>
      <c r="AA75" s="1186">
        <v>88</v>
      </c>
      <c r="AB75" s="1186">
        <v>6</v>
      </c>
      <c r="AC75" s="1186">
        <v>27</v>
      </c>
      <c r="AD75" s="1186">
        <v>5</v>
      </c>
      <c r="AE75" s="1186">
        <v>41</v>
      </c>
      <c r="AF75" s="1186">
        <v>43</v>
      </c>
      <c r="AG75" s="1186">
        <v>10</v>
      </c>
      <c r="AH75" s="1186">
        <v>11</v>
      </c>
      <c r="AI75" s="1186">
        <v>15</v>
      </c>
      <c r="AJ75" s="1186">
        <v>13</v>
      </c>
      <c r="AK75" s="1186">
        <v>32</v>
      </c>
      <c r="AL75" s="1186">
        <v>205</v>
      </c>
      <c r="AM75" s="1186">
        <v>26</v>
      </c>
      <c r="AN75" s="1186">
        <v>115</v>
      </c>
      <c r="AO75" s="1186"/>
      <c r="AP75" s="1186">
        <v>4</v>
      </c>
      <c r="AQ75" s="1186">
        <v>73</v>
      </c>
      <c r="AR75" s="1186">
        <v>10</v>
      </c>
    </row>
    <row r="76" spans="1:44" x14ac:dyDescent="0.2">
      <c r="A76" s="1186" t="s">
        <v>133</v>
      </c>
      <c r="B76" s="1186" t="s">
        <v>936</v>
      </c>
      <c r="C76" s="1186">
        <v>882</v>
      </c>
      <c r="D76" s="1186">
        <v>493</v>
      </c>
      <c r="E76" s="1186">
        <v>169</v>
      </c>
      <c r="F76" s="1186">
        <v>169</v>
      </c>
      <c r="G76" s="1186">
        <v>51</v>
      </c>
      <c r="H76" s="1186">
        <v>1147</v>
      </c>
      <c r="I76" s="1186">
        <v>117</v>
      </c>
      <c r="J76" s="1186">
        <v>2146</v>
      </c>
      <c r="K76" s="1186" t="s">
        <v>1981</v>
      </c>
      <c r="L76" s="1186" t="s">
        <v>1988</v>
      </c>
      <c r="M76" s="1186" t="s">
        <v>133</v>
      </c>
      <c r="N76" s="1186" t="s">
        <v>936</v>
      </c>
      <c r="O76" s="1186">
        <v>3821</v>
      </c>
      <c r="P76" s="1186">
        <v>2894</v>
      </c>
      <c r="Q76" s="1186">
        <v>674</v>
      </c>
      <c r="R76" s="1186">
        <v>210</v>
      </c>
      <c r="S76" s="1186">
        <v>42</v>
      </c>
      <c r="T76" s="1186">
        <v>1</v>
      </c>
      <c r="U76" s="1186" t="s">
        <v>133</v>
      </c>
      <c r="V76" s="1186" t="s">
        <v>936</v>
      </c>
      <c r="W76" s="1186">
        <v>981</v>
      </c>
      <c r="X76" s="1186"/>
      <c r="Y76" s="1186">
        <v>158</v>
      </c>
      <c r="Z76" s="1186">
        <v>3</v>
      </c>
      <c r="AA76" s="1186">
        <v>114</v>
      </c>
      <c r="AB76" s="1186">
        <v>7</v>
      </c>
      <c r="AC76" s="1186">
        <v>41</v>
      </c>
      <c r="AD76" s="1186">
        <v>5</v>
      </c>
      <c r="AE76" s="1186">
        <v>45</v>
      </c>
      <c r="AF76" s="1186">
        <v>33</v>
      </c>
      <c r="AG76" s="1186">
        <v>10</v>
      </c>
      <c r="AH76" s="1186">
        <v>18</v>
      </c>
      <c r="AI76" s="1186">
        <v>20</v>
      </c>
      <c r="AJ76" s="1186">
        <v>21</v>
      </c>
      <c r="AK76" s="1186">
        <v>32</v>
      </c>
      <c r="AL76" s="1186">
        <v>195</v>
      </c>
      <c r="AM76" s="1186">
        <v>40</v>
      </c>
      <c r="AN76" s="1186">
        <v>116</v>
      </c>
      <c r="AO76" s="1186">
        <v>1</v>
      </c>
      <c r="AP76" s="1186">
        <v>5</v>
      </c>
      <c r="AQ76" s="1186">
        <v>99</v>
      </c>
      <c r="AR76" s="1186">
        <v>18</v>
      </c>
    </row>
    <row r="77" spans="1:44" x14ac:dyDescent="0.2">
      <c r="A77" s="1186" t="s">
        <v>144</v>
      </c>
      <c r="B77" s="1186" t="s">
        <v>937</v>
      </c>
      <c r="C77" s="1186">
        <v>971</v>
      </c>
      <c r="D77" s="1186">
        <v>502</v>
      </c>
      <c r="E77" s="1186">
        <v>215</v>
      </c>
      <c r="F77" s="1186">
        <v>169</v>
      </c>
      <c r="G77" s="1186">
        <v>85</v>
      </c>
      <c r="H77" s="1186">
        <v>2590</v>
      </c>
      <c r="I77" s="1186">
        <v>110</v>
      </c>
      <c r="J77" s="1186">
        <v>3671</v>
      </c>
      <c r="K77" s="1186" t="s">
        <v>1981</v>
      </c>
      <c r="L77" s="1186" t="s">
        <v>1982</v>
      </c>
      <c r="M77" s="1186" t="s">
        <v>144</v>
      </c>
      <c r="N77" s="1186" t="s">
        <v>937</v>
      </c>
      <c r="O77" s="1186">
        <v>3920</v>
      </c>
      <c r="P77" s="1186">
        <v>2810</v>
      </c>
      <c r="Q77" s="1186">
        <v>862</v>
      </c>
      <c r="R77" s="1186">
        <v>209</v>
      </c>
      <c r="S77" s="1186">
        <v>38</v>
      </c>
      <c r="T77" s="1186">
        <v>1</v>
      </c>
      <c r="U77" s="1186" t="s">
        <v>144</v>
      </c>
      <c r="V77" s="1186" t="s">
        <v>937</v>
      </c>
      <c r="W77" s="1186">
        <v>966</v>
      </c>
      <c r="X77" s="1186"/>
      <c r="Y77" s="1186">
        <v>177</v>
      </c>
      <c r="Z77" s="1186">
        <v>10</v>
      </c>
      <c r="AA77" s="1186">
        <v>72</v>
      </c>
      <c r="AB77" s="1186">
        <v>7</v>
      </c>
      <c r="AC77" s="1186">
        <v>55</v>
      </c>
      <c r="AD77" s="1186">
        <v>1</v>
      </c>
      <c r="AE77" s="1186">
        <v>45</v>
      </c>
      <c r="AF77" s="1186">
        <v>46</v>
      </c>
      <c r="AG77" s="1186">
        <v>12</v>
      </c>
      <c r="AH77" s="1186">
        <v>23</v>
      </c>
      <c r="AI77" s="1186">
        <v>23</v>
      </c>
      <c r="AJ77" s="1186">
        <v>15</v>
      </c>
      <c r="AK77" s="1186">
        <v>36</v>
      </c>
      <c r="AL77" s="1186">
        <v>194</v>
      </c>
      <c r="AM77" s="1186">
        <v>13</v>
      </c>
      <c r="AN77" s="1186">
        <v>117</v>
      </c>
      <c r="AO77" s="1186">
        <v>1</v>
      </c>
      <c r="AP77" s="1186">
        <v>7</v>
      </c>
      <c r="AQ77" s="1186">
        <v>99</v>
      </c>
      <c r="AR77" s="1186">
        <v>13</v>
      </c>
    </row>
    <row r="78" spans="1:44" x14ac:dyDescent="0.2">
      <c r="A78" s="1186" t="s">
        <v>144</v>
      </c>
      <c r="B78" s="1186" t="s">
        <v>938</v>
      </c>
      <c r="C78" s="1186">
        <v>920</v>
      </c>
      <c r="D78" s="1186">
        <v>480</v>
      </c>
      <c r="E78" s="1186">
        <v>204</v>
      </c>
      <c r="F78" s="1186">
        <v>160</v>
      </c>
      <c r="G78" s="1186">
        <v>76</v>
      </c>
      <c r="H78" s="1186">
        <v>1202</v>
      </c>
      <c r="I78" s="1186">
        <v>77</v>
      </c>
      <c r="J78" s="1186">
        <v>2199</v>
      </c>
      <c r="K78" s="1186" t="s">
        <v>1981</v>
      </c>
      <c r="L78" s="1186" t="s">
        <v>1982</v>
      </c>
      <c r="M78" s="1186" t="s">
        <v>144</v>
      </c>
      <c r="N78" s="1186" t="s">
        <v>938</v>
      </c>
      <c r="O78" s="1186">
        <v>3631</v>
      </c>
      <c r="P78" s="1186">
        <v>2792</v>
      </c>
      <c r="Q78" s="1186">
        <v>626</v>
      </c>
      <c r="R78" s="1186">
        <v>174</v>
      </c>
      <c r="S78" s="1186">
        <v>38</v>
      </c>
      <c r="T78" s="1186">
        <v>1</v>
      </c>
      <c r="U78" s="1186" t="s">
        <v>144</v>
      </c>
      <c r="V78" s="1186" t="s">
        <v>938</v>
      </c>
      <c r="W78" s="1186">
        <v>938</v>
      </c>
      <c r="X78" s="1186"/>
      <c r="Y78" s="1186">
        <v>181</v>
      </c>
      <c r="Z78" s="1186">
        <v>8</v>
      </c>
      <c r="AA78" s="1186">
        <v>62</v>
      </c>
      <c r="AB78" s="1186">
        <v>10</v>
      </c>
      <c r="AC78" s="1186">
        <v>53</v>
      </c>
      <c r="AD78" s="1186">
        <v>2</v>
      </c>
      <c r="AE78" s="1186">
        <v>56</v>
      </c>
      <c r="AF78" s="1186">
        <v>34</v>
      </c>
      <c r="AG78" s="1186">
        <v>4</v>
      </c>
      <c r="AH78" s="1186">
        <v>17</v>
      </c>
      <c r="AI78" s="1186">
        <v>12</v>
      </c>
      <c r="AJ78" s="1186">
        <v>19</v>
      </c>
      <c r="AK78" s="1186">
        <v>27</v>
      </c>
      <c r="AL78" s="1186">
        <v>209</v>
      </c>
      <c r="AM78" s="1186">
        <v>19</v>
      </c>
      <c r="AN78" s="1186">
        <v>105</v>
      </c>
      <c r="AO78" s="1186">
        <v>2</v>
      </c>
      <c r="AP78" s="1186">
        <v>11</v>
      </c>
      <c r="AQ78" s="1186">
        <v>91</v>
      </c>
      <c r="AR78" s="1186">
        <v>16</v>
      </c>
    </row>
    <row r="79" spans="1:44" x14ac:dyDescent="0.2">
      <c r="A79" s="1186" t="s">
        <v>144</v>
      </c>
      <c r="B79" s="1186" t="s">
        <v>939</v>
      </c>
      <c r="C79" s="1186">
        <v>928</v>
      </c>
      <c r="D79" s="1186">
        <v>442</v>
      </c>
      <c r="E79" s="1186">
        <v>230</v>
      </c>
      <c r="F79" s="1186">
        <v>174</v>
      </c>
      <c r="G79" s="1186">
        <v>82</v>
      </c>
      <c r="H79" s="1186">
        <v>1429</v>
      </c>
      <c r="I79" s="1186">
        <v>27</v>
      </c>
      <c r="J79" s="1186">
        <v>2384</v>
      </c>
      <c r="K79" s="1186" t="s">
        <v>1983</v>
      </c>
      <c r="L79" s="1186" t="s">
        <v>1982</v>
      </c>
      <c r="M79" s="1186" t="s">
        <v>144</v>
      </c>
      <c r="N79" s="1186" t="s">
        <v>939</v>
      </c>
      <c r="O79" s="1186">
        <v>3987</v>
      </c>
      <c r="P79" s="1186">
        <v>2995</v>
      </c>
      <c r="Q79" s="1186">
        <v>712</v>
      </c>
      <c r="R79" s="1186">
        <v>250</v>
      </c>
      <c r="S79" s="1186">
        <v>27</v>
      </c>
      <c r="T79" s="1186">
        <v>3</v>
      </c>
      <c r="U79" s="1186" t="s">
        <v>144</v>
      </c>
      <c r="V79" s="1186" t="s">
        <v>939</v>
      </c>
      <c r="W79" s="1186">
        <v>1012</v>
      </c>
      <c r="X79" s="1186"/>
      <c r="Y79" s="1186">
        <v>176</v>
      </c>
      <c r="Z79" s="1186">
        <v>7</v>
      </c>
      <c r="AA79" s="1186">
        <v>69</v>
      </c>
      <c r="AB79" s="1186">
        <v>7</v>
      </c>
      <c r="AC79" s="1186">
        <v>55</v>
      </c>
      <c r="AD79" s="1186">
        <v>3</v>
      </c>
      <c r="AE79" s="1186">
        <v>51</v>
      </c>
      <c r="AF79" s="1186">
        <v>58</v>
      </c>
      <c r="AG79" s="1186">
        <v>12</v>
      </c>
      <c r="AH79" s="1186">
        <v>19</v>
      </c>
      <c r="AI79" s="1186">
        <v>32</v>
      </c>
      <c r="AJ79" s="1186">
        <v>30</v>
      </c>
      <c r="AK79" s="1186">
        <v>33</v>
      </c>
      <c r="AL79" s="1186">
        <v>189</v>
      </c>
      <c r="AM79" s="1186">
        <v>22</v>
      </c>
      <c r="AN79" s="1186">
        <v>117</v>
      </c>
      <c r="AO79" s="1186">
        <v>1</v>
      </c>
      <c r="AP79" s="1186">
        <v>9</v>
      </c>
      <c r="AQ79" s="1186">
        <v>106</v>
      </c>
      <c r="AR79" s="1186">
        <v>16</v>
      </c>
    </row>
    <row r="80" spans="1:44" x14ac:dyDescent="0.2">
      <c r="A80" s="1186" t="s">
        <v>144</v>
      </c>
      <c r="B80" s="1186" t="s">
        <v>940</v>
      </c>
      <c r="C80" s="1186">
        <v>890</v>
      </c>
      <c r="D80" s="1186">
        <v>457</v>
      </c>
      <c r="E80" s="1186">
        <v>210</v>
      </c>
      <c r="F80" s="1186">
        <v>152</v>
      </c>
      <c r="G80" s="1186">
        <v>71</v>
      </c>
      <c r="H80" s="1186">
        <v>952</v>
      </c>
      <c r="I80" s="1186">
        <v>23</v>
      </c>
      <c r="J80" s="1186">
        <v>1865</v>
      </c>
      <c r="K80" s="1186" t="s">
        <v>1983</v>
      </c>
      <c r="L80" s="1186" t="s">
        <v>1984</v>
      </c>
      <c r="M80" s="1186" t="s">
        <v>144</v>
      </c>
      <c r="N80" s="1186" t="s">
        <v>940</v>
      </c>
      <c r="O80" s="1186">
        <v>4207</v>
      </c>
      <c r="P80" s="1186">
        <v>3299</v>
      </c>
      <c r="Q80" s="1186">
        <v>700</v>
      </c>
      <c r="R80" s="1186">
        <v>161</v>
      </c>
      <c r="S80" s="1186">
        <v>47</v>
      </c>
      <c r="T80" s="1186"/>
      <c r="U80" s="1186" t="s">
        <v>144</v>
      </c>
      <c r="V80" s="1186" t="s">
        <v>940</v>
      </c>
      <c r="W80" s="1186">
        <v>1095</v>
      </c>
      <c r="X80" s="1186"/>
      <c r="Y80" s="1186">
        <v>216</v>
      </c>
      <c r="Z80" s="1186">
        <v>7</v>
      </c>
      <c r="AA80" s="1186">
        <v>116</v>
      </c>
      <c r="AB80" s="1186">
        <v>17</v>
      </c>
      <c r="AC80" s="1186">
        <v>58</v>
      </c>
      <c r="AD80" s="1186">
        <v>5</v>
      </c>
      <c r="AE80" s="1186">
        <v>45</v>
      </c>
      <c r="AF80" s="1186">
        <v>42</v>
      </c>
      <c r="AG80" s="1186">
        <v>14</v>
      </c>
      <c r="AH80" s="1186">
        <v>11</v>
      </c>
      <c r="AI80" s="1186">
        <v>17</v>
      </c>
      <c r="AJ80" s="1186">
        <v>33</v>
      </c>
      <c r="AK80" s="1186">
        <v>31</v>
      </c>
      <c r="AL80" s="1186">
        <v>215</v>
      </c>
      <c r="AM80" s="1186">
        <v>21</v>
      </c>
      <c r="AN80" s="1186">
        <v>112</v>
      </c>
      <c r="AO80" s="1186">
        <v>1</v>
      </c>
      <c r="AP80" s="1186">
        <v>5</v>
      </c>
      <c r="AQ80" s="1186">
        <v>114</v>
      </c>
      <c r="AR80" s="1186">
        <v>15</v>
      </c>
    </row>
    <row r="81" spans="1:44" x14ac:dyDescent="0.2">
      <c r="A81" s="1186" t="s">
        <v>144</v>
      </c>
      <c r="B81" s="1186" t="s">
        <v>941</v>
      </c>
      <c r="C81" s="1186">
        <v>997</v>
      </c>
      <c r="D81" s="1186">
        <v>463</v>
      </c>
      <c r="E81" s="1186">
        <v>241</v>
      </c>
      <c r="F81" s="1186">
        <v>188</v>
      </c>
      <c r="G81" s="1186">
        <v>105</v>
      </c>
      <c r="H81" s="1186">
        <v>1317</v>
      </c>
      <c r="I81" s="1186">
        <v>13</v>
      </c>
      <c r="J81" s="1186">
        <v>2327</v>
      </c>
      <c r="K81" s="1186" t="s">
        <v>1983</v>
      </c>
      <c r="L81" s="1186" t="s">
        <v>1984</v>
      </c>
      <c r="M81" s="1186" t="s">
        <v>144</v>
      </c>
      <c r="N81" s="1186" t="s">
        <v>941</v>
      </c>
      <c r="O81" s="1186">
        <v>4239</v>
      </c>
      <c r="P81" s="1186">
        <v>3277</v>
      </c>
      <c r="Q81" s="1186">
        <v>727</v>
      </c>
      <c r="R81" s="1186">
        <v>190</v>
      </c>
      <c r="S81" s="1186">
        <v>42</v>
      </c>
      <c r="T81" s="1186">
        <v>3</v>
      </c>
      <c r="U81" s="1186" t="s">
        <v>144</v>
      </c>
      <c r="V81" s="1186" t="s">
        <v>941</v>
      </c>
      <c r="W81" s="1186">
        <v>1042</v>
      </c>
      <c r="X81" s="1186"/>
      <c r="Y81" s="1186">
        <v>224</v>
      </c>
      <c r="Z81" s="1186">
        <v>7</v>
      </c>
      <c r="AA81" s="1186">
        <v>78</v>
      </c>
      <c r="AB81" s="1186">
        <v>13</v>
      </c>
      <c r="AC81" s="1186">
        <v>45</v>
      </c>
      <c r="AD81" s="1186">
        <v>4</v>
      </c>
      <c r="AE81" s="1186">
        <v>66</v>
      </c>
      <c r="AF81" s="1186">
        <v>36</v>
      </c>
      <c r="AG81" s="1186">
        <v>9</v>
      </c>
      <c r="AH81" s="1186">
        <v>13</v>
      </c>
      <c r="AI81" s="1186">
        <v>19</v>
      </c>
      <c r="AJ81" s="1186">
        <v>29</v>
      </c>
      <c r="AK81" s="1186">
        <v>41</v>
      </c>
      <c r="AL81" s="1186">
        <v>207</v>
      </c>
      <c r="AM81" s="1186">
        <v>17</v>
      </c>
      <c r="AN81" s="1186">
        <v>125</v>
      </c>
      <c r="AO81" s="1186"/>
      <c r="AP81" s="1186">
        <v>6</v>
      </c>
      <c r="AQ81" s="1186">
        <v>95</v>
      </c>
      <c r="AR81" s="1186">
        <v>8</v>
      </c>
    </row>
    <row r="82" spans="1:44" x14ac:dyDescent="0.2">
      <c r="A82" s="1186" t="s">
        <v>144</v>
      </c>
      <c r="B82" s="1186" t="s">
        <v>942</v>
      </c>
      <c r="C82" s="1186">
        <v>990</v>
      </c>
      <c r="D82" s="1186">
        <v>446</v>
      </c>
      <c r="E82" s="1186">
        <v>231</v>
      </c>
      <c r="F82" s="1186">
        <v>181</v>
      </c>
      <c r="G82" s="1186">
        <v>132</v>
      </c>
      <c r="H82" s="1186">
        <v>1420</v>
      </c>
      <c r="I82" s="1186">
        <v>45</v>
      </c>
      <c r="J82" s="1186">
        <v>2455</v>
      </c>
      <c r="K82" s="1186" t="s">
        <v>1985</v>
      </c>
      <c r="L82" s="1186" t="s">
        <v>1984</v>
      </c>
      <c r="M82" s="1186" t="s">
        <v>144</v>
      </c>
      <c r="N82" s="1186" t="s">
        <v>942</v>
      </c>
      <c r="O82" s="1186">
        <v>4350</v>
      </c>
      <c r="P82" s="1186">
        <v>3308</v>
      </c>
      <c r="Q82" s="1186">
        <v>801</v>
      </c>
      <c r="R82" s="1186">
        <v>189</v>
      </c>
      <c r="S82" s="1186">
        <v>49</v>
      </c>
      <c r="T82" s="1186">
        <v>3</v>
      </c>
      <c r="U82" s="1186" t="s">
        <v>144</v>
      </c>
      <c r="V82" s="1186" t="s">
        <v>942</v>
      </c>
      <c r="W82" s="1186">
        <v>919</v>
      </c>
      <c r="X82" s="1186"/>
      <c r="Y82" s="1186">
        <v>193</v>
      </c>
      <c r="Z82" s="1186">
        <v>5</v>
      </c>
      <c r="AA82" s="1186">
        <v>61</v>
      </c>
      <c r="AB82" s="1186">
        <v>13</v>
      </c>
      <c r="AC82" s="1186">
        <v>47</v>
      </c>
      <c r="AD82" s="1186">
        <v>1</v>
      </c>
      <c r="AE82" s="1186">
        <v>61</v>
      </c>
      <c r="AF82" s="1186">
        <v>34</v>
      </c>
      <c r="AG82" s="1186">
        <v>11</v>
      </c>
      <c r="AH82" s="1186">
        <v>18</v>
      </c>
      <c r="AI82" s="1186">
        <v>23</v>
      </c>
      <c r="AJ82" s="1186">
        <v>17</v>
      </c>
      <c r="AK82" s="1186">
        <v>23</v>
      </c>
      <c r="AL82" s="1186">
        <v>189</v>
      </c>
      <c r="AM82" s="1186">
        <v>20</v>
      </c>
      <c r="AN82" s="1186">
        <v>94</v>
      </c>
      <c r="AO82" s="1186">
        <v>1</v>
      </c>
      <c r="AP82" s="1186">
        <v>1</v>
      </c>
      <c r="AQ82" s="1186">
        <v>88</v>
      </c>
      <c r="AR82" s="1186">
        <v>19</v>
      </c>
    </row>
    <row r="83" spans="1:44" x14ac:dyDescent="0.2">
      <c r="A83" s="1186" t="s">
        <v>144</v>
      </c>
      <c r="B83" s="1186" t="s">
        <v>943</v>
      </c>
      <c r="C83" s="1186">
        <v>929</v>
      </c>
      <c r="D83" s="1186">
        <v>464</v>
      </c>
      <c r="E83" s="1186">
        <v>208</v>
      </c>
      <c r="F83" s="1186">
        <v>148</v>
      </c>
      <c r="G83" s="1186">
        <v>109</v>
      </c>
      <c r="H83" s="1186">
        <v>1587</v>
      </c>
      <c r="I83" s="1186">
        <v>51</v>
      </c>
      <c r="J83" s="1186">
        <v>2567</v>
      </c>
      <c r="K83" s="1186" t="s">
        <v>1985</v>
      </c>
      <c r="L83" s="1186" t="s">
        <v>1986</v>
      </c>
      <c r="M83" s="1186" t="s">
        <v>144</v>
      </c>
      <c r="N83" s="1186" t="s">
        <v>943</v>
      </c>
      <c r="O83" s="1186">
        <v>4667</v>
      </c>
      <c r="P83" s="1186">
        <v>3576</v>
      </c>
      <c r="Q83" s="1186">
        <v>809</v>
      </c>
      <c r="R83" s="1186">
        <v>239</v>
      </c>
      <c r="S83" s="1186">
        <v>41</v>
      </c>
      <c r="T83" s="1186">
        <v>2</v>
      </c>
      <c r="U83" s="1186" t="s">
        <v>144</v>
      </c>
      <c r="V83" s="1186" t="s">
        <v>943</v>
      </c>
      <c r="W83" s="1186">
        <v>950</v>
      </c>
      <c r="X83" s="1186"/>
      <c r="Y83" s="1186">
        <v>215</v>
      </c>
      <c r="Z83" s="1186">
        <v>10</v>
      </c>
      <c r="AA83" s="1186">
        <v>68</v>
      </c>
      <c r="AB83" s="1186">
        <v>3</v>
      </c>
      <c r="AC83" s="1186">
        <v>42</v>
      </c>
      <c r="AD83" s="1186">
        <v>4</v>
      </c>
      <c r="AE83" s="1186">
        <v>67</v>
      </c>
      <c r="AF83" s="1186">
        <v>27</v>
      </c>
      <c r="AG83" s="1186">
        <v>18</v>
      </c>
      <c r="AH83" s="1186">
        <v>9</v>
      </c>
      <c r="AI83" s="1186">
        <v>15</v>
      </c>
      <c r="AJ83" s="1186">
        <v>23</v>
      </c>
      <c r="AK83" s="1186">
        <v>24</v>
      </c>
      <c r="AL83" s="1186">
        <v>166</v>
      </c>
      <c r="AM83" s="1186">
        <v>24</v>
      </c>
      <c r="AN83" s="1186">
        <v>116</v>
      </c>
      <c r="AO83" s="1186"/>
      <c r="AP83" s="1186">
        <v>5</v>
      </c>
      <c r="AQ83" s="1186">
        <v>95</v>
      </c>
      <c r="AR83" s="1186">
        <v>19</v>
      </c>
    </row>
    <row r="84" spans="1:44" x14ac:dyDescent="0.2">
      <c r="A84" s="1186" t="s">
        <v>144</v>
      </c>
      <c r="B84" s="1186" t="s">
        <v>944</v>
      </c>
      <c r="C84" s="1186">
        <v>934</v>
      </c>
      <c r="D84" s="1186">
        <v>531</v>
      </c>
      <c r="E84" s="1186">
        <v>196</v>
      </c>
      <c r="F84" s="1186">
        <v>154</v>
      </c>
      <c r="G84" s="1186">
        <v>53</v>
      </c>
      <c r="H84" s="1186">
        <v>1068</v>
      </c>
      <c r="I84" s="1186">
        <v>73</v>
      </c>
      <c r="J84" s="1186">
        <v>2075</v>
      </c>
      <c r="K84" s="1186" t="s">
        <v>1985</v>
      </c>
      <c r="L84" s="1186" t="s">
        <v>1986</v>
      </c>
      <c r="M84" s="1186" t="s">
        <v>144</v>
      </c>
      <c r="N84" s="1186" t="s">
        <v>944</v>
      </c>
      <c r="O84" s="1186">
        <v>4535</v>
      </c>
      <c r="P84" s="1186">
        <v>3427</v>
      </c>
      <c r="Q84" s="1186">
        <v>834</v>
      </c>
      <c r="R84" s="1186">
        <v>204</v>
      </c>
      <c r="S84" s="1186">
        <v>68</v>
      </c>
      <c r="T84" s="1186">
        <v>2</v>
      </c>
      <c r="U84" s="1186" t="s">
        <v>144</v>
      </c>
      <c r="V84" s="1186" t="s">
        <v>944</v>
      </c>
      <c r="W84" s="1186">
        <v>1090</v>
      </c>
      <c r="X84" s="1186"/>
      <c r="Y84" s="1186">
        <v>224</v>
      </c>
      <c r="Z84" s="1186">
        <v>9</v>
      </c>
      <c r="AA84" s="1186">
        <v>135</v>
      </c>
      <c r="AB84" s="1186">
        <v>11</v>
      </c>
      <c r="AC84" s="1186">
        <v>27</v>
      </c>
      <c r="AD84" s="1186">
        <v>5</v>
      </c>
      <c r="AE84" s="1186">
        <v>53</v>
      </c>
      <c r="AF84" s="1186">
        <v>50</v>
      </c>
      <c r="AG84" s="1186">
        <v>13</v>
      </c>
      <c r="AH84" s="1186">
        <v>10</v>
      </c>
      <c r="AI84" s="1186">
        <v>10</v>
      </c>
      <c r="AJ84" s="1186">
        <v>16</v>
      </c>
      <c r="AK84" s="1186">
        <v>23</v>
      </c>
      <c r="AL84" s="1186">
        <v>236</v>
      </c>
      <c r="AM84" s="1186">
        <v>33</v>
      </c>
      <c r="AN84" s="1186">
        <v>106</v>
      </c>
      <c r="AO84" s="1186">
        <v>2</v>
      </c>
      <c r="AP84" s="1186">
        <v>7</v>
      </c>
      <c r="AQ84" s="1186">
        <v>102</v>
      </c>
      <c r="AR84" s="1186">
        <v>18</v>
      </c>
    </row>
    <row r="85" spans="1:44" x14ac:dyDescent="0.2">
      <c r="A85" s="1186" t="s">
        <v>144</v>
      </c>
      <c r="B85" s="1186" t="s">
        <v>945</v>
      </c>
      <c r="C85" s="1186">
        <v>888</v>
      </c>
      <c r="D85" s="1186">
        <v>512</v>
      </c>
      <c r="E85" s="1186">
        <v>192</v>
      </c>
      <c r="F85" s="1186">
        <v>152</v>
      </c>
      <c r="G85" s="1186">
        <v>32</v>
      </c>
      <c r="H85" s="1186">
        <v>434</v>
      </c>
      <c r="I85" s="1186">
        <v>84</v>
      </c>
      <c r="J85" s="1186">
        <v>1406</v>
      </c>
      <c r="K85" s="1186" t="s">
        <v>1987</v>
      </c>
      <c r="L85" s="1186" t="s">
        <v>1986</v>
      </c>
      <c r="M85" s="1186" t="s">
        <v>144</v>
      </c>
      <c r="N85" s="1186" t="s">
        <v>945</v>
      </c>
      <c r="O85" s="1186">
        <v>4135</v>
      </c>
      <c r="P85" s="1186">
        <v>3265</v>
      </c>
      <c r="Q85" s="1186">
        <v>652</v>
      </c>
      <c r="R85" s="1186">
        <v>162</v>
      </c>
      <c r="S85" s="1186">
        <v>54</v>
      </c>
      <c r="T85" s="1186">
        <v>2</v>
      </c>
      <c r="U85" s="1186" t="s">
        <v>144</v>
      </c>
      <c r="V85" s="1186" t="s">
        <v>945</v>
      </c>
      <c r="W85" s="1186">
        <v>1438</v>
      </c>
      <c r="X85" s="1186"/>
      <c r="Y85" s="1186">
        <v>222</v>
      </c>
      <c r="Z85" s="1186">
        <v>6</v>
      </c>
      <c r="AA85" s="1186">
        <v>371</v>
      </c>
      <c r="AB85" s="1186">
        <v>45</v>
      </c>
      <c r="AC85" s="1186">
        <v>30</v>
      </c>
      <c r="AD85" s="1186">
        <v>10</v>
      </c>
      <c r="AE85" s="1186">
        <v>56</v>
      </c>
      <c r="AF85" s="1186">
        <v>55</v>
      </c>
      <c r="AG85" s="1186">
        <v>10</v>
      </c>
      <c r="AH85" s="1186">
        <v>12</v>
      </c>
      <c r="AI85" s="1186">
        <v>15</v>
      </c>
      <c r="AJ85" s="1186">
        <v>26</v>
      </c>
      <c r="AK85" s="1186">
        <v>32</v>
      </c>
      <c r="AL85" s="1186">
        <v>217</v>
      </c>
      <c r="AM85" s="1186">
        <v>73</v>
      </c>
      <c r="AN85" s="1186">
        <v>128</v>
      </c>
      <c r="AO85" s="1186"/>
      <c r="AP85" s="1186">
        <v>6</v>
      </c>
      <c r="AQ85" s="1186">
        <v>104</v>
      </c>
      <c r="AR85" s="1186">
        <v>20</v>
      </c>
    </row>
    <row r="86" spans="1:44" x14ac:dyDescent="0.2">
      <c r="A86" s="1186" t="s">
        <v>144</v>
      </c>
      <c r="B86" s="1186" t="s">
        <v>946</v>
      </c>
      <c r="C86" s="1186">
        <v>827</v>
      </c>
      <c r="D86" s="1186">
        <v>480</v>
      </c>
      <c r="E86" s="1186">
        <v>155</v>
      </c>
      <c r="F86" s="1186">
        <v>160</v>
      </c>
      <c r="G86" s="1186">
        <v>32</v>
      </c>
      <c r="H86" s="1186">
        <v>383</v>
      </c>
      <c r="I86" s="1186">
        <v>119</v>
      </c>
      <c r="J86" s="1186">
        <v>1329</v>
      </c>
      <c r="K86" s="1186" t="s">
        <v>1987</v>
      </c>
      <c r="L86" s="1186" t="s">
        <v>1988</v>
      </c>
      <c r="M86" s="1186" t="s">
        <v>144</v>
      </c>
      <c r="N86" s="1186" t="s">
        <v>946</v>
      </c>
      <c r="O86" s="1186">
        <v>3874</v>
      </c>
      <c r="P86" s="1186">
        <v>3088</v>
      </c>
      <c r="Q86" s="1186">
        <v>592</v>
      </c>
      <c r="R86" s="1186">
        <v>158</v>
      </c>
      <c r="S86" s="1186">
        <v>34</v>
      </c>
      <c r="T86" s="1186">
        <v>2</v>
      </c>
      <c r="U86" s="1186" t="s">
        <v>144</v>
      </c>
      <c r="V86" s="1186" t="s">
        <v>946</v>
      </c>
      <c r="W86" s="1186">
        <v>1378</v>
      </c>
      <c r="X86" s="1186"/>
      <c r="Y86" s="1186">
        <v>217</v>
      </c>
      <c r="Z86" s="1186">
        <v>10</v>
      </c>
      <c r="AA86" s="1186">
        <v>308</v>
      </c>
      <c r="AB86" s="1186">
        <v>29</v>
      </c>
      <c r="AC86" s="1186">
        <v>43</v>
      </c>
      <c r="AD86" s="1186">
        <v>6</v>
      </c>
      <c r="AE86" s="1186">
        <v>53</v>
      </c>
      <c r="AF86" s="1186">
        <v>60</v>
      </c>
      <c r="AG86" s="1186">
        <v>12</v>
      </c>
      <c r="AH86" s="1186">
        <v>21</v>
      </c>
      <c r="AI86" s="1186">
        <v>14</v>
      </c>
      <c r="AJ86" s="1186">
        <v>26</v>
      </c>
      <c r="AK86" s="1186">
        <v>25</v>
      </c>
      <c r="AL86" s="1186">
        <v>228</v>
      </c>
      <c r="AM86" s="1186">
        <v>86</v>
      </c>
      <c r="AN86" s="1186">
        <v>103</v>
      </c>
      <c r="AO86" s="1186"/>
      <c r="AP86" s="1186">
        <v>7</v>
      </c>
      <c r="AQ86" s="1186">
        <v>117</v>
      </c>
      <c r="AR86" s="1186">
        <v>13</v>
      </c>
    </row>
    <row r="87" spans="1:44" x14ac:dyDescent="0.2">
      <c r="A87" s="1186" t="s">
        <v>144</v>
      </c>
      <c r="B87" s="1186" t="s">
        <v>947</v>
      </c>
      <c r="C87" s="1186">
        <v>811</v>
      </c>
      <c r="D87" s="1186">
        <v>429</v>
      </c>
      <c r="E87" s="1186">
        <v>195</v>
      </c>
      <c r="F87" s="1186">
        <v>154</v>
      </c>
      <c r="G87" s="1186">
        <v>33</v>
      </c>
      <c r="H87" s="1186">
        <v>687</v>
      </c>
      <c r="I87" s="1186">
        <v>123</v>
      </c>
      <c r="J87" s="1186">
        <v>1621</v>
      </c>
      <c r="K87" s="1186" t="s">
        <v>1987</v>
      </c>
      <c r="L87" s="1186" t="s">
        <v>1988</v>
      </c>
      <c r="M87" s="1186" t="s">
        <v>144</v>
      </c>
      <c r="N87" s="1186" t="s">
        <v>947</v>
      </c>
      <c r="O87" s="1186">
        <v>3721</v>
      </c>
      <c r="P87" s="1186">
        <v>2834</v>
      </c>
      <c r="Q87" s="1186">
        <v>643</v>
      </c>
      <c r="R87" s="1186">
        <v>203</v>
      </c>
      <c r="S87" s="1186">
        <v>40</v>
      </c>
      <c r="T87" s="1186">
        <v>1</v>
      </c>
      <c r="U87" s="1186" t="s">
        <v>144</v>
      </c>
      <c r="V87" s="1186" t="s">
        <v>947</v>
      </c>
      <c r="W87" s="1186">
        <v>1011</v>
      </c>
      <c r="X87" s="1186"/>
      <c r="Y87" s="1186">
        <v>220</v>
      </c>
      <c r="Z87" s="1186">
        <v>5</v>
      </c>
      <c r="AA87" s="1186">
        <v>82</v>
      </c>
      <c r="AB87" s="1186">
        <v>10</v>
      </c>
      <c r="AC87" s="1186">
        <v>32</v>
      </c>
      <c r="AD87" s="1186">
        <v>4</v>
      </c>
      <c r="AE87" s="1186">
        <v>47</v>
      </c>
      <c r="AF87" s="1186">
        <v>37</v>
      </c>
      <c r="AG87" s="1186">
        <v>7</v>
      </c>
      <c r="AH87" s="1186">
        <v>14</v>
      </c>
      <c r="AI87" s="1186">
        <v>17</v>
      </c>
      <c r="AJ87" s="1186">
        <v>23</v>
      </c>
      <c r="AK87" s="1186">
        <v>29</v>
      </c>
      <c r="AL87" s="1186">
        <v>209</v>
      </c>
      <c r="AM87" s="1186">
        <v>58</v>
      </c>
      <c r="AN87" s="1186">
        <v>106</v>
      </c>
      <c r="AO87" s="1186"/>
      <c r="AP87" s="1186">
        <v>3</v>
      </c>
      <c r="AQ87" s="1186">
        <v>90</v>
      </c>
      <c r="AR87" s="1186">
        <v>18</v>
      </c>
    </row>
    <row r="88" spans="1:44" x14ac:dyDescent="0.2">
      <c r="A88" s="1186" t="s">
        <v>144</v>
      </c>
      <c r="B88" s="1186" t="s">
        <v>948</v>
      </c>
      <c r="C88" s="1186">
        <v>921</v>
      </c>
      <c r="D88" s="1186">
        <v>467</v>
      </c>
      <c r="E88" s="1186">
        <v>217</v>
      </c>
      <c r="F88" s="1186">
        <v>173</v>
      </c>
      <c r="G88" s="1186">
        <v>64</v>
      </c>
      <c r="H88" s="1186">
        <v>1663</v>
      </c>
      <c r="I88" s="1186">
        <v>107</v>
      </c>
      <c r="J88" s="1186">
        <v>2691</v>
      </c>
      <c r="K88" s="1186" t="s">
        <v>1981</v>
      </c>
      <c r="L88" s="1186" t="s">
        <v>1988</v>
      </c>
      <c r="M88" s="1186" t="s">
        <v>144</v>
      </c>
      <c r="N88" s="1186" t="s">
        <v>948</v>
      </c>
      <c r="O88" s="1186">
        <v>4136</v>
      </c>
      <c r="P88" s="1186">
        <v>2950</v>
      </c>
      <c r="Q88" s="1186">
        <v>892</v>
      </c>
      <c r="R88" s="1186">
        <v>236</v>
      </c>
      <c r="S88" s="1186">
        <v>54</v>
      </c>
      <c r="T88" s="1186">
        <v>4</v>
      </c>
      <c r="U88" s="1186" t="s">
        <v>144</v>
      </c>
      <c r="V88" s="1186" t="s">
        <v>948</v>
      </c>
      <c r="W88" s="1186">
        <v>1000</v>
      </c>
      <c r="X88" s="1186"/>
      <c r="Y88" s="1186">
        <v>180</v>
      </c>
      <c r="Z88" s="1186">
        <v>5</v>
      </c>
      <c r="AA88" s="1186">
        <v>66</v>
      </c>
      <c r="AB88" s="1186">
        <v>9</v>
      </c>
      <c r="AC88" s="1186">
        <v>37</v>
      </c>
      <c r="AD88" s="1186">
        <v>6</v>
      </c>
      <c r="AE88" s="1186">
        <v>52</v>
      </c>
      <c r="AF88" s="1186">
        <v>41</v>
      </c>
      <c r="AG88" s="1186">
        <v>9</v>
      </c>
      <c r="AH88" s="1186">
        <v>16</v>
      </c>
      <c r="AI88" s="1186">
        <v>25</v>
      </c>
      <c r="AJ88" s="1186">
        <v>26</v>
      </c>
      <c r="AK88" s="1186">
        <v>60</v>
      </c>
      <c r="AL88" s="1186">
        <v>230</v>
      </c>
      <c r="AM88" s="1186">
        <v>17</v>
      </c>
      <c r="AN88" s="1186">
        <v>95</v>
      </c>
      <c r="AO88" s="1186"/>
      <c r="AP88" s="1186">
        <v>9</v>
      </c>
      <c r="AQ88" s="1186">
        <v>101</v>
      </c>
      <c r="AR88" s="1186">
        <v>16</v>
      </c>
    </row>
    <row r="89" spans="1:44" x14ac:dyDescent="0.2">
      <c r="A89" s="1186" t="s">
        <v>282</v>
      </c>
      <c r="B89" s="1186" t="s">
        <v>949</v>
      </c>
      <c r="C89" s="1186">
        <v>901</v>
      </c>
      <c r="D89" s="1186">
        <v>494</v>
      </c>
      <c r="E89" s="1186">
        <v>189</v>
      </c>
      <c r="F89" s="1186">
        <v>149</v>
      </c>
      <c r="G89" s="1186">
        <v>69</v>
      </c>
      <c r="H89" s="1186">
        <v>1868</v>
      </c>
      <c r="I89" s="1186">
        <v>103</v>
      </c>
      <c r="J89" s="1186">
        <v>2872</v>
      </c>
      <c r="K89" s="1186" t="s">
        <v>1981</v>
      </c>
      <c r="L89" s="1186" t="s">
        <v>1982</v>
      </c>
      <c r="M89" s="1186" t="s">
        <v>282</v>
      </c>
      <c r="N89" s="1186" t="s">
        <v>949</v>
      </c>
      <c r="O89" s="1186">
        <v>3857</v>
      </c>
      <c r="P89" s="1186">
        <v>2869</v>
      </c>
      <c r="Q89" s="1186">
        <v>750</v>
      </c>
      <c r="R89" s="1186">
        <v>178</v>
      </c>
      <c r="S89" s="1186">
        <v>57</v>
      </c>
      <c r="T89" s="1186">
        <v>3</v>
      </c>
      <c r="U89" s="1186" t="s">
        <v>282</v>
      </c>
      <c r="V89" s="1186" t="s">
        <v>949</v>
      </c>
      <c r="W89" s="1186">
        <v>925</v>
      </c>
      <c r="X89" s="1186"/>
      <c r="Y89" s="1186">
        <v>176</v>
      </c>
      <c r="Z89" s="1186">
        <v>4</v>
      </c>
      <c r="AA89" s="1186">
        <v>67</v>
      </c>
      <c r="AB89" s="1186">
        <v>10</v>
      </c>
      <c r="AC89" s="1186">
        <v>44</v>
      </c>
      <c r="AD89" s="1186">
        <v>4</v>
      </c>
      <c r="AE89" s="1186">
        <v>54</v>
      </c>
      <c r="AF89" s="1186">
        <v>45</v>
      </c>
      <c r="AG89" s="1186">
        <v>12</v>
      </c>
      <c r="AH89" s="1186">
        <v>9</v>
      </c>
      <c r="AI89" s="1186">
        <v>22</v>
      </c>
      <c r="AJ89" s="1186">
        <v>13</v>
      </c>
      <c r="AK89" s="1186">
        <v>32</v>
      </c>
      <c r="AL89" s="1186">
        <v>223</v>
      </c>
      <c r="AM89" s="1186">
        <v>17</v>
      </c>
      <c r="AN89" s="1186">
        <v>96</v>
      </c>
      <c r="AO89" s="1186">
        <v>2</v>
      </c>
      <c r="AP89" s="1186">
        <v>8</v>
      </c>
      <c r="AQ89" s="1186">
        <v>79</v>
      </c>
      <c r="AR89" s="1186">
        <v>8</v>
      </c>
    </row>
    <row r="90" spans="1:44" x14ac:dyDescent="0.2">
      <c r="A90" s="1186" t="s">
        <v>282</v>
      </c>
      <c r="B90" s="1186" t="s">
        <v>950</v>
      </c>
      <c r="C90" s="1186">
        <v>996</v>
      </c>
      <c r="D90" s="1186">
        <v>462</v>
      </c>
      <c r="E90" s="1186">
        <v>196</v>
      </c>
      <c r="F90" s="1186">
        <v>196</v>
      </c>
      <c r="G90" s="1186">
        <v>142</v>
      </c>
      <c r="H90" s="1186">
        <v>2525</v>
      </c>
      <c r="I90" s="1186">
        <v>42</v>
      </c>
      <c r="J90" s="1186">
        <v>3563</v>
      </c>
      <c r="K90" s="1186" t="s">
        <v>1981</v>
      </c>
      <c r="L90" s="1186" t="s">
        <v>1982</v>
      </c>
      <c r="M90" s="1186" t="s">
        <v>282</v>
      </c>
      <c r="N90" s="1186" t="s">
        <v>950</v>
      </c>
      <c r="O90" s="1186">
        <v>4114</v>
      </c>
      <c r="P90" s="1186">
        <v>2982</v>
      </c>
      <c r="Q90" s="1186">
        <v>879</v>
      </c>
      <c r="R90" s="1186">
        <v>199</v>
      </c>
      <c r="S90" s="1186">
        <v>50</v>
      </c>
      <c r="T90" s="1186">
        <v>4</v>
      </c>
      <c r="U90" s="1186" t="s">
        <v>282</v>
      </c>
      <c r="V90" s="1186" t="s">
        <v>950</v>
      </c>
      <c r="W90" s="1186">
        <v>1071</v>
      </c>
      <c r="X90" s="1186"/>
      <c r="Y90" s="1186">
        <v>207</v>
      </c>
      <c r="Z90" s="1186">
        <v>6</v>
      </c>
      <c r="AA90" s="1186">
        <v>69</v>
      </c>
      <c r="AB90" s="1186">
        <v>14</v>
      </c>
      <c r="AC90" s="1186">
        <v>51</v>
      </c>
      <c r="AD90" s="1186">
        <v>6</v>
      </c>
      <c r="AE90" s="1186">
        <v>48</v>
      </c>
      <c r="AF90" s="1186">
        <v>50</v>
      </c>
      <c r="AG90" s="1186">
        <v>17</v>
      </c>
      <c r="AH90" s="1186">
        <v>17</v>
      </c>
      <c r="AI90" s="1186">
        <v>23</v>
      </c>
      <c r="AJ90" s="1186">
        <v>23</v>
      </c>
      <c r="AK90" s="1186">
        <v>42</v>
      </c>
      <c r="AL90" s="1186">
        <v>247</v>
      </c>
      <c r="AM90" s="1186">
        <v>18</v>
      </c>
      <c r="AN90" s="1186">
        <v>105</v>
      </c>
      <c r="AO90" s="1186"/>
      <c r="AP90" s="1186">
        <v>4</v>
      </c>
      <c r="AQ90" s="1186">
        <v>110</v>
      </c>
      <c r="AR90" s="1186">
        <v>14</v>
      </c>
    </row>
    <row r="91" spans="1:44" x14ac:dyDescent="0.2">
      <c r="A91" s="1186" t="s">
        <v>282</v>
      </c>
      <c r="B91" s="1186" t="s">
        <v>951</v>
      </c>
      <c r="C91" s="1186">
        <v>937</v>
      </c>
      <c r="D91" s="1186">
        <v>448</v>
      </c>
      <c r="E91" s="1186">
        <v>216</v>
      </c>
      <c r="F91" s="1186">
        <v>177</v>
      </c>
      <c r="G91" s="1186">
        <v>96</v>
      </c>
      <c r="H91" s="1186">
        <v>1529</v>
      </c>
      <c r="I91" s="1186">
        <v>23</v>
      </c>
      <c r="J91" s="1186">
        <v>2489</v>
      </c>
      <c r="K91" s="1186" t="s">
        <v>1983</v>
      </c>
      <c r="L91" s="1186" t="s">
        <v>1982</v>
      </c>
      <c r="M91" s="1186" t="s">
        <v>282</v>
      </c>
      <c r="N91" s="1186" t="s">
        <v>951</v>
      </c>
      <c r="O91" s="1186">
        <v>4467</v>
      </c>
      <c r="P91" s="1186">
        <v>3427</v>
      </c>
      <c r="Q91" s="1186">
        <v>742</v>
      </c>
      <c r="R91" s="1186">
        <v>226</v>
      </c>
      <c r="S91" s="1186">
        <v>70</v>
      </c>
      <c r="T91" s="1186">
        <v>2</v>
      </c>
      <c r="U91" s="1186" t="s">
        <v>282</v>
      </c>
      <c r="V91" s="1186" t="s">
        <v>951</v>
      </c>
      <c r="W91" s="1186">
        <v>1117</v>
      </c>
      <c r="X91" s="1186"/>
      <c r="Y91" s="1186">
        <v>247</v>
      </c>
      <c r="Z91" s="1186">
        <v>6</v>
      </c>
      <c r="AA91" s="1186">
        <v>126</v>
      </c>
      <c r="AB91" s="1186">
        <v>15</v>
      </c>
      <c r="AC91" s="1186">
        <v>57</v>
      </c>
      <c r="AD91" s="1186">
        <v>3</v>
      </c>
      <c r="AE91" s="1186">
        <v>57</v>
      </c>
      <c r="AF91" s="1186">
        <v>50</v>
      </c>
      <c r="AG91" s="1186">
        <v>14</v>
      </c>
      <c r="AH91" s="1186">
        <v>24</v>
      </c>
      <c r="AI91" s="1186">
        <v>21</v>
      </c>
      <c r="AJ91" s="1186">
        <v>24</v>
      </c>
      <c r="AK91" s="1186">
        <v>46</v>
      </c>
      <c r="AL91" s="1186">
        <v>210</v>
      </c>
      <c r="AM91" s="1186">
        <v>11</v>
      </c>
      <c r="AN91" s="1186">
        <v>86</v>
      </c>
      <c r="AO91" s="1186"/>
      <c r="AP91" s="1186">
        <v>7</v>
      </c>
      <c r="AQ91" s="1186">
        <v>101</v>
      </c>
      <c r="AR91" s="1186">
        <v>12</v>
      </c>
    </row>
    <row r="92" spans="1:44" x14ac:dyDescent="0.2">
      <c r="A92" s="1186" t="s">
        <v>282</v>
      </c>
      <c r="B92" s="1186" t="s">
        <v>952</v>
      </c>
      <c r="C92" s="1186">
        <v>900</v>
      </c>
      <c r="D92" s="1186">
        <v>461</v>
      </c>
      <c r="E92" s="1186">
        <v>175</v>
      </c>
      <c r="F92" s="1186">
        <v>192</v>
      </c>
      <c r="G92" s="1186">
        <v>72</v>
      </c>
      <c r="H92" s="1186">
        <v>946</v>
      </c>
      <c r="I92" s="1186">
        <v>14</v>
      </c>
      <c r="J92" s="1186">
        <v>1860</v>
      </c>
      <c r="K92" s="1186" t="s">
        <v>1983</v>
      </c>
      <c r="L92" s="1186" t="s">
        <v>1984</v>
      </c>
      <c r="M92" s="1186" t="s">
        <v>282</v>
      </c>
      <c r="N92" s="1186" t="s">
        <v>952</v>
      </c>
      <c r="O92" s="1186">
        <v>4602</v>
      </c>
      <c r="P92" s="1186">
        <v>3694</v>
      </c>
      <c r="Q92" s="1186">
        <v>679</v>
      </c>
      <c r="R92" s="1186">
        <v>175</v>
      </c>
      <c r="S92" s="1186">
        <v>51</v>
      </c>
      <c r="T92" s="1186">
        <v>3</v>
      </c>
      <c r="U92" s="1186" t="s">
        <v>282</v>
      </c>
      <c r="V92" s="1186" t="s">
        <v>952</v>
      </c>
      <c r="W92" s="1186">
        <v>1137</v>
      </c>
      <c r="X92" s="1186"/>
      <c r="Y92" s="1186">
        <v>238</v>
      </c>
      <c r="Z92" s="1186">
        <v>3</v>
      </c>
      <c r="AA92" s="1186">
        <v>108</v>
      </c>
      <c r="AB92" s="1186">
        <v>11</v>
      </c>
      <c r="AC92" s="1186">
        <v>54</v>
      </c>
      <c r="AD92" s="1186">
        <v>6</v>
      </c>
      <c r="AE92" s="1186">
        <v>51</v>
      </c>
      <c r="AF92" s="1186">
        <v>56</v>
      </c>
      <c r="AG92" s="1186">
        <v>14</v>
      </c>
      <c r="AH92" s="1186">
        <v>12</v>
      </c>
      <c r="AI92" s="1186">
        <v>31</v>
      </c>
      <c r="AJ92" s="1186">
        <v>27</v>
      </c>
      <c r="AK92" s="1186">
        <v>41</v>
      </c>
      <c r="AL92" s="1186">
        <v>214</v>
      </c>
      <c r="AM92" s="1186">
        <v>23</v>
      </c>
      <c r="AN92" s="1186">
        <v>108</v>
      </c>
      <c r="AO92" s="1186">
        <v>2</v>
      </c>
      <c r="AP92" s="1186">
        <v>6</v>
      </c>
      <c r="AQ92" s="1186">
        <v>118</v>
      </c>
      <c r="AR92" s="1186">
        <v>14</v>
      </c>
    </row>
    <row r="93" spans="1:44" x14ac:dyDescent="0.2">
      <c r="A93" s="1186" t="s">
        <v>282</v>
      </c>
      <c r="B93" s="1186" t="s">
        <v>953</v>
      </c>
      <c r="C93" s="1186">
        <v>979</v>
      </c>
      <c r="D93" s="1186">
        <v>464</v>
      </c>
      <c r="E93" s="1186">
        <v>213</v>
      </c>
      <c r="F93" s="1186">
        <v>210</v>
      </c>
      <c r="G93" s="1186">
        <v>92</v>
      </c>
      <c r="H93" s="1186">
        <v>1183</v>
      </c>
      <c r="I93" s="1186">
        <v>20</v>
      </c>
      <c r="J93" s="1186">
        <v>2182</v>
      </c>
      <c r="K93" s="1186" t="s">
        <v>1983</v>
      </c>
      <c r="L93" s="1186" t="s">
        <v>1984</v>
      </c>
      <c r="M93" s="1186" t="s">
        <v>282</v>
      </c>
      <c r="N93" s="1186" t="s">
        <v>953</v>
      </c>
      <c r="O93" s="1186">
        <v>4706</v>
      </c>
      <c r="P93" s="1186">
        <v>3699</v>
      </c>
      <c r="Q93" s="1186">
        <v>751</v>
      </c>
      <c r="R93" s="1186">
        <v>183</v>
      </c>
      <c r="S93" s="1186">
        <v>72</v>
      </c>
      <c r="T93" s="1186">
        <v>1</v>
      </c>
      <c r="U93" s="1186" t="s">
        <v>282</v>
      </c>
      <c r="V93" s="1186" t="s">
        <v>953</v>
      </c>
      <c r="W93" s="1186">
        <v>1158</v>
      </c>
      <c r="X93" s="1186"/>
      <c r="Y93" s="1186">
        <v>216</v>
      </c>
      <c r="Z93" s="1186">
        <v>10</v>
      </c>
      <c r="AA93" s="1186">
        <v>72</v>
      </c>
      <c r="AB93" s="1186">
        <v>18</v>
      </c>
      <c r="AC93" s="1186">
        <v>67</v>
      </c>
      <c r="AD93" s="1186">
        <v>6</v>
      </c>
      <c r="AE93" s="1186">
        <v>83</v>
      </c>
      <c r="AF93" s="1186">
        <v>43</v>
      </c>
      <c r="AG93" s="1186">
        <v>9</v>
      </c>
      <c r="AH93" s="1186">
        <v>11</v>
      </c>
      <c r="AI93" s="1186">
        <v>27</v>
      </c>
      <c r="AJ93" s="1186">
        <v>24</v>
      </c>
      <c r="AK93" s="1186">
        <v>45</v>
      </c>
      <c r="AL93" s="1186">
        <v>252</v>
      </c>
      <c r="AM93" s="1186">
        <v>23</v>
      </c>
      <c r="AN93" s="1186">
        <v>135</v>
      </c>
      <c r="AO93" s="1186">
        <v>2</v>
      </c>
      <c r="AP93" s="1186">
        <v>7</v>
      </c>
      <c r="AQ93" s="1186">
        <v>97</v>
      </c>
      <c r="AR93" s="1186">
        <v>11</v>
      </c>
    </row>
    <row r="94" spans="1:44" x14ac:dyDescent="0.2">
      <c r="A94" s="1186" t="s">
        <v>282</v>
      </c>
      <c r="B94" s="1186" t="s">
        <v>954</v>
      </c>
      <c r="C94" s="1186">
        <v>921</v>
      </c>
      <c r="D94" s="1186">
        <v>435</v>
      </c>
      <c r="E94" s="1186">
        <v>185</v>
      </c>
      <c r="F94" s="1186">
        <v>206</v>
      </c>
      <c r="G94" s="1186">
        <v>95</v>
      </c>
      <c r="H94" s="1186">
        <v>1008</v>
      </c>
      <c r="I94" s="1186">
        <v>24</v>
      </c>
      <c r="J94" s="1186">
        <v>1953</v>
      </c>
      <c r="K94" s="1186" t="s">
        <v>1985</v>
      </c>
      <c r="L94" s="1186" t="s">
        <v>1984</v>
      </c>
      <c r="M94" s="1186" t="s">
        <v>282</v>
      </c>
      <c r="N94" s="1186" t="s">
        <v>954</v>
      </c>
      <c r="O94" s="1186">
        <v>4910</v>
      </c>
      <c r="P94" s="1186">
        <v>3905</v>
      </c>
      <c r="Q94" s="1186">
        <v>740</v>
      </c>
      <c r="R94" s="1186">
        <v>209</v>
      </c>
      <c r="S94" s="1186">
        <v>54</v>
      </c>
      <c r="T94" s="1186">
        <v>2</v>
      </c>
      <c r="U94" s="1186" t="s">
        <v>282</v>
      </c>
      <c r="V94" s="1186" t="s">
        <v>954</v>
      </c>
      <c r="W94" s="1186">
        <v>1044</v>
      </c>
      <c r="X94" s="1186"/>
      <c r="Y94" s="1186">
        <v>212</v>
      </c>
      <c r="Z94" s="1186">
        <v>5</v>
      </c>
      <c r="AA94" s="1186">
        <v>73</v>
      </c>
      <c r="AB94" s="1186">
        <v>8</v>
      </c>
      <c r="AC94" s="1186">
        <v>59</v>
      </c>
      <c r="AD94" s="1186">
        <v>4</v>
      </c>
      <c r="AE94" s="1186">
        <v>81</v>
      </c>
      <c r="AF94" s="1186">
        <v>44</v>
      </c>
      <c r="AG94" s="1186">
        <v>12</v>
      </c>
      <c r="AH94" s="1186">
        <v>16</v>
      </c>
      <c r="AI94" s="1186">
        <v>17</v>
      </c>
      <c r="AJ94" s="1186">
        <v>31</v>
      </c>
      <c r="AK94" s="1186">
        <v>36</v>
      </c>
      <c r="AL94" s="1186">
        <v>227</v>
      </c>
      <c r="AM94" s="1186">
        <v>18</v>
      </c>
      <c r="AN94" s="1186">
        <v>95</v>
      </c>
      <c r="AO94" s="1186">
        <v>1</v>
      </c>
      <c r="AP94" s="1186">
        <v>5</v>
      </c>
      <c r="AQ94" s="1186">
        <v>86</v>
      </c>
      <c r="AR94" s="1186">
        <v>14</v>
      </c>
    </row>
    <row r="95" spans="1:44" x14ac:dyDescent="0.2">
      <c r="A95" s="1186" t="s">
        <v>282</v>
      </c>
      <c r="B95" s="1186" t="s">
        <v>955</v>
      </c>
      <c r="C95" s="1186">
        <v>921</v>
      </c>
      <c r="D95" s="1186">
        <v>451</v>
      </c>
      <c r="E95" s="1186">
        <v>175</v>
      </c>
      <c r="F95" s="1186">
        <v>187</v>
      </c>
      <c r="G95" s="1186">
        <v>108</v>
      </c>
      <c r="H95" s="1186">
        <v>1380</v>
      </c>
      <c r="I95" s="1186">
        <v>49</v>
      </c>
      <c r="J95" s="1186">
        <v>2350</v>
      </c>
      <c r="K95" s="1186" t="s">
        <v>1985</v>
      </c>
      <c r="L95" s="1186" t="s">
        <v>1986</v>
      </c>
      <c r="M95" s="1186" t="s">
        <v>282</v>
      </c>
      <c r="N95" s="1186" t="s">
        <v>955</v>
      </c>
      <c r="O95" s="1186">
        <v>4470</v>
      </c>
      <c r="P95" s="1186">
        <v>3491</v>
      </c>
      <c r="Q95" s="1186">
        <v>750</v>
      </c>
      <c r="R95" s="1186">
        <v>168</v>
      </c>
      <c r="S95" s="1186">
        <v>61</v>
      </c>
      <c r="T95" s="1186"/>
      <c r="U95" s="1186" t="s">
        <v>282</v>
      </c>
      <c r="V95" s="1186" t="s">
        <v>955</v>
      </c>
      <c r="W95" s="1186">
        <v>1004</v>
      </c>
      <c r="X95" s="1186"/>
      <c r="Y95" s="1186">
        <v>201</v>
      </c>
      <c r="Z95" s="1186">
        <v>13</v>
      </c>
      <c r="AA95" s="1186">
        <v>77</v>
      </c>
      <c r="AB95" s="1186">
        <v>8</v>
      </c>
      <c r="AC95" s="1186">
        <v>33</v>
      </c>
      <c r="AD95" s="1186">
        <v>8</v>
      </c>
      <c r="AE95" s="1186">
        <v>69</v>
      </c>
      <c r="AF95" s="1186">
        <v>45</v>
      </c>
      <c r="AG95" s="1186">
        <v>11</v>
      </c>
      <c r="AH95" s="1186">
        <v>13</v>
      </c>
      <c r="AI95" s="1186">
        <v>22</v>
      </c>
      <c r="AJ95" s="1186">
        <v>18</v>
      </c>
      <c r="AK95" s="1186">
        <v>34</v>
      </c>
      <c r="AL95" s="1186">
        <v>234</v>
      </c>
      <c r="AM95" s="1186">
        <v>11</v>
      </c>
      <c r="AN95" s="1186">
        <v>84</v>
      </c>
      <c r="AO95" s="1186"/>
      <c r="AP95" s="1186">
        <v>7</v>
      </c>
      <c r="AQ95" s="1186">
        <v>96</v>
      </c>
      <c r="AR95" s="1186">
        <v>20</v>
      </c>
    </row>
    <row r="96" spans="1:44" x14ac:dyDescent="0.2">
      <c r="A96" s="1186" t="s">
        <v>282</v>
      </c>
      <c r="B96" s="1186" t="s">
        <v>956</v>
      </c>
      <c r="C96" s="1186">
        <v>937</v>
      </c>
      <c r="D96" s="1186">
        <v>499</v>
      </c>
      <c r="E96" s="1186">
        <v>188</v>
      </c>
      <c r="F96" s="1186">
        <v>176</v>
      </c>
      <c r="G96" s="1186">
        <v>74</v>
      </c>
      <c r="H96" s="1186">
        <v>1552</v>
      </c>
      <c r="I96" s="1186">
        <v>94</v>
      </c>
      <c r="J96" s="1186">
        <v>2583</v>
      </c>
      <c r="K96" s="1186" t="s">
        <v>1985</v>
      </c>
      <c r="L96" s="1186" t="s">
        <v>1986</v>
      </c>
      <c r="M96" s="1186" t="s">
        <v>282</v>
      </c>
      <c r="N96" s="1186" t="s">
        <v>956</v>
      </c>
      <c r="O96" s="1186">
        <v>4698</v>
      </c>
      <c r="P96" s="1186">
        <v>3529</v>
      </c>
      <c r="Q96" s="1186">
        <v>882</v>
      </c>
      <c r="R96" s="1186">
        <v>222</v>
      </c>
      <c r="S96" s="1186">
        <v>64</v>
      </c>
      <c r="T96" s="1186">
        <v>1</v>
      </c>
      <c r="U96" s="1186" t="s">
        <v>282</v>
      </c>
      <c r="V96" s="1186" t="s">
        <v>956</v>
      </c>
      <c r="W96" s="1186">
        <v>1000</v>
      </c>
      <c r="X96" s="1186"/>
      <c r="Y96" s="1186">
        <v>211</v>
      </c>
      <c r="Z96" s="1186">
        <v>10</v>
      </c>
      <c r="AA96" s="1186">
        <v>112</v>
      </c>
      <c r="AB96" s="1186">
        <v>3</v>
      </c>
      <c r="AC96" s="1186">
        <v>41</v>
      </c>
      <c r="AD96" s="1186">
        <v>7</v>
      </c>
      <c r="AE96" s="1186">
        <v>44</v>
      </c>
      <c r="AF96" s="1186">
        <v>42</v>
      </c>
      <c r="AG96" s="1186">
        <v>16</v>
      </c>
      <c r="AH96" s="1186">
        <v>18</v>
      </c>
      <c r="AI96" s="1186">
        <v>20</v>
      </c>
      <c r="AJ96" s="1186">
        <v>24</v>
      </c>
      <c r="AK96" s="1186">
        <v>28</v>
      </c>
      <c r="AL96" s="1186">
        <v>227</v>
      </c>
      <c r="AM96" s="1186">
        <v>20</v>
      </c>
      <c r="AN96" s="1186">
        <v>69</v>
      </c>
      <c r="AO96" s="1186"/>
      <c r="AP96" s="1186">
        <v>5</v>
      </c>
      <c r="AQ96" s="1186">
        <v>93</v>
      </c>
      <c r="AR96" s="1186">
        <v>10</v>
      </c>
    </row>
    <row r="97" spans="1:44" x14ac:dyDescent="0.2">
      <c r="A97" s="1186" t="s">
        <v>282</v>
      </c>
      <c r="B97" s="1186" t="s">
        <v>957</v>
      </c>
      <c r="C97" s="1186">
        <v>864</v>
      </c>
      <c r="D97" s="1186">
        <v>466</v>
      </c>
      <c r="E97" s="1186">
        <v>187</v>
      </c>
      <c r="F97" s="1186">
        <v>155</v>
      </c>
      <c r="G97" s="1186">
        <v>56</v>
      </c>
      <c r="H97" s="1186">
        <v>814</v>
      </c>
      <c r="I97" s="1186">
        <v>62</v>
      </c>
      <c r="J97" s="1186">
        <v>1740</v>
      </c>
      <c r="K97" s="1186" t="s">
        <v>1987</v>
      </c>
      <c r="L97" s="1186" t="s">
        <v>1986</v>
      </c>
      <c r="M97" s="1186" t="s">
        <v>282</v>
      </c>
      <c r="N97" s="1186" t="s">
        <v>957</v>
      </c>
      <c r="O97" s="1186">
        <v>4090</v>
      </c>
      <c r="P97" s="1186">
        <v>3198</v>
      </c>
      <c r="Q97" s="1186">
        <v>679</v>
      </c>
      <c r="R97" s="1186">
        <v>163</v>
      </c>
      <c r="S97" s="1186">
        <v>50</v>
      </c>
      <c r="T97" s="1186"/>
      <c r="U97" s="1186" t="s">
        <v>282</v>
      </c>
      <c r="V97" s="1186" t="s">
        <v>957</v>
      </c>
      <c r="W97" s="1186">
        <v>1052</v>
      </c>
      <c r="X97" s="1186"/>
      <c r="Y97" s="1186">
        <v>211</v>
      </c>
      <c r="Z97" s="1186">
        <v>4</v>
      </c>
      <c r="AA97" s="1186">
        <v>95</v>
      </c>
      <c r="AB97" s="1186">
        <v>7</v>
      </c>
      <c r="AC97" s="1186">
        <v>30</v>
      </c>
      <c r="AD97" s="1186">
        <v>5</v>
      </c>
      <c r="AE97" s="1186">
        <v>62</v>
      </c>
      <c r="AF97" s="1186">
        <v>37</v>
      </c>
      <c r="AG97" s="1186">
        <v>16</v>
      </c>
      <c r="AH97" s="1186">
        <v>20</v>
      </c>
      <c r="AI97" s="1186">
        <v>16</v>
      </c>
      <c r="AJ97" s="1186">
        <v>19</v>
      </c>
      <c r="AK97" s="1186">
        <v>24</v>
      </c>
      <c r="AL97" s="1186">
        <v>265</v>
      </c>
      <c r="AM97" s="1186">
        <v>28</v>
      </c>
      <c r="AN97" s="1186">
        <v>88</v>
      </c>
      <c r="AO97" s="1186"/>
      <c r="AP97" s="1186">
        <v>4</v>
      </c>
      <c r="AQ97" s="1186">
        <v>107</v>
      </c>
      <c r="AR97" s="1186">
        <v>14</v>
      </c>
    </row>
    <row r="98" spans="1:44" x14ac:dyDescent="0.2">
      <c r="A98" s="1186" t="s">
        <v>282</v>
      </c>
      <c r="B98" s="1186" t="s">
        <v>958</v>
      </c>
      <c r="C98" s="1186">
        <v>912</v>
      </c>
      <c r="D98" s="1186">
        <v>502</v>
      </c>
      <c r="E98" s="1186">
        <v>192</v>
      </c>
      <c r="F98" s="1186">
        <v>172</v>
      </c>
      <c r="G98" s="1186">
        <v>46</v>
      </c>
      <c r="H98" s="1186">
        <v>765</v>
      </c>
      <c r="I98" s="1186">
        <v>105</v>
      </c>
      <c r="J98" s="1186">
        <v>1782</v>
      </c>
      <c r="K98" s="1186" t="s">
        <v>1987</v>
      </c>
      <c r="L98" s="1186" t="s">
        <v>1988</v>
      </c>
      <c r="M98" s="1186" t="s">
        <v>282</v>
      </c>
      <c r="N98" s="1186" t="s">
        <v>958</v>
      </c>
      <c r="O98" s="1186">
        <v>3849</v>
      </c>
      <c r="P98" s="1186">
        <v>2996</v>
      </c>
      <c r="Q98" s="1186">
        <v>646</v>
      </c>
      <c r="R98" s="1186">
        <v>154</v>
      </c>
      <c r="S98" s="1186">
        <v>51</v>
      </c>
      <c r="T98" s="1186">
        <v>2</v>
      </c>
      <c r="U98" s="1186" t="s">
        <v>282</v>
      </c>
      <c r="V98" s="1186" t="s">
        <v>958</v>
      </c>
      <c r="W98" s="1186">
        <v>951</v>
      </c>
      <c r="X98" s="1186"/>
      <c r="Y98" s="1186">
        <v>186</v>
      </c>
      <c r="Z98" s="1186">
        <v>6</v>
      </c>
      <c r="AA98" s="1186">
        <v>71</v>
      </c>
      <c r="AB98" s="1186">
        <v>6</v>
      </c>
      <c r="AC98" s="1186">
        <v>26</v>
      </c>
      <c r="AD98" s="1186">
        <v>5</v>
      </c>
      <c r="AE98" s="1186">
        <v>54</v>
      </c>
      <c r="AF98" s="1186">
        <v>53</v>
      </c>
      <c r="AG98" s="1186">
        <v>14</v>
      </c>
      <c r="AH98" s="1186">
        <v>25</v>
      </c>
      <c r="AI98" s="1186">
        <v>10</v>
      </c>
      <c r="AJ98" s="1186">
        <v>27</v>
      </c>
      <c r="AK98" s="1186">
        <v>23</v>
      </c>
      <c r="AL98" s="1186">
        <v>232</v>
      </c>
      <c r="AM98" s="1186">
        <v>19</v>
      </c>
      <c r="AN98" s="1186">
        <v>88</v>
      </c>
      <c r="AO98" s="1186"/>
      <c r="AP98" s="1186">
        <v>4</v>
      </c>
      <c r="AQ98" s="1186">
        <v>89</v>
      </c>
      <c r="AR98" s="1186">
        <v>13</v>
      </c>
    </row>
    <row r="99" spans="1:44" x14ac:dyDescent="0.2">
      <c r="A99" s="1186" t="s">
        <v>282</v>
      </c>
      <c r="B99" s="1186" t="s">
        <v>959</v>
      </c>
      <c r="C99" s="1186">
        <v>722</v>
      </c>
      <c r="D99" s="1186">
        <v>368</v>
      </c>
      <c r="E99" s="1186">
        <v>165</v>
      </c>
      <c r="F99" s="1186">
        <v>150</v>
      </c>
      <c r="G99" s="1186">
        <v>39</v>
      </c>
      <c r="H99" s="1186">
        <v>761</v>
      </c>
      <c r="I99" s="1186">
        <v>96</v>
      </c>
      <c r="J99" s="1186">
        <v>1579</v>
      </c>
      <c r="K99" s="1186" t="s">
        <v>1987</v>
      </c>
      <c r="L99" s="1186" t="s">
        <v>1988</v>
      </c>
      <c r="M99" s="1186" t="s">
        <v>282</v>
      </c>
      <c r="N99" s="1186" t="s">
        <v>959</v>
      </c>
      <c r="O99" s="1186">
        <v>3656</v>
      </c>
      <c r="P99" s="1186">
        <v>2774</v>
      </c>
      <c r="Q99" s="1186">
        <v>648</v>
      </c>
      <c r="R99" s="1186">
        <v>181</v>
      </c>
      <c r="S99" s="1186">
        <v>52</v>
      </c>
      <c r="T99" s="1186">
        <v>1</v>
      </c>
      <c r="U99" s="1186" t="s">
        <v>282</v>
      </c>
      <c r="V99" s="1186" t="s">
        <v>959</v>
      </c>
      <c r="W99" s="1186">
        <v>890</v>
      </c>
      <c r="X99" s="1186"/>
      <c r="Y99" s="1186">
        <v>150</v>
      </c>
      <c r="Z99" s="1186">
        <v>8</v>
      </c>
      <c r="AA99" s="1186">
        <v>71</v>
      </c>
      <c r="AB99" s="1186">
        <v>7</v>
      </c>
      <c r="AC99" s="1186">
        <v>34</v>
      </c>
      <c r="AD99" s="1186">
        <v>5</v>
      </c>
      <c r="AE99" s="1186">
        <v>40</v>
      </c>
      <c r="AF99" s="1186">
        <v>35</v>
      </c>
      <c r="AG99" s="1186">
        <v>16</v>
      </c>
      <c r="AH99" s="1186">
        <v>14</v>
      </c>
      <c r="AI99" s="1186">
        <v>20</v>
      </c>
      <c r="AJ99" s="1186">
        <v>17</v>
      </c>
      <c r="AK99" s="1186">
        <v>17</v>
      </c>
      <c r="AL99" s="1186">
        <v>265</v>
      </c>
      <c r="AM99" s="1186">
        <v>13</v>
      </c>
      <c r="AN99" s="1186">
        <v>74</v>
      </c>
      <c r="AO99" s="1186"/>
      <c r="AP99" s="1186">
        <v>6</v>
      </c>
      <c r="AQ99" s="1186">
        <v>88</v>
      </c>
      <c r="AR99" s="1186">
        <v>10</v>
      </c>
    </row>
    <row r="100" spans="1:44" x14ac:dyDescent="0.2">
      <c r="A100" s="1186" t="s">
        <v>282</v>
      </c>
      <c r="B100" s="1186" t="s">
        <v>960</v>
      </c>
      <c r="C100" s="1186">
        <v>904</v>
      </c>
      <c r="D100" s="1186">
        <v>490</v>
      </c>
      <c r="E100" s="1186">
        <v>196</v>
      </c>
      <c r="F100" s="1186">
        <v>150</v>
      </c>
      <c r="G100" s="1186">
        <v>68</v>
      </c>
      <c r="H100" s="1186">
        <v>1329</v>
      </c>
      <c r="I100" s="1186">
        <v>86</v>
      </c>
      <c r="J100" s="1186">
        <v>2319</v>
      </c>
      <c r="K100" s="1186" t="s">
        <v>1981</v>
      </c>
      <c r="L100" s="1186" t="s">
        <v>1988</v>
      </c>
      <c r="M100" s="1186" t="s">
        <v>282</v>
      </c>
      <c r="N100" s="1186" t="s">
        <v>960</v>
      </c>
      <c r="O100" s="1186">
        <v>4166</v>
      </c>
      <c r="P100" s="1186">
        <v>3066</v>
      </c>
      <c r="Q100" s="1186">
        <v>811</v>
      </c>
      <c r="R100" s="1186">
        <v>223</v>
      </c>
      <c r="S100" s="1186">
        <v>66</v>
      </c>
      <c r="T100" s="1186"/>
      <c r="U100" s="1186" t="s">
        <v>282</v>
      </c>
      <c r="V100" s="1186" t="s">
        <v>960</v>
      </c>
      <c r="W100" s="1186">
        <v>1022</v>
      </c>
      <c r="X100" s="1186"/>
      <c r="Y100" s="1186">
        <v>207</v>
      </c>
      <c r="Z100" s="1186">
        <v>10</v>
      </c>
      <c r="AA100" s="1186">
        <v>64</v>
      </c>
      <c r="AB100" s="1186">
        <v>11</v>
      </c>
      <c r="AC100" s="1186">
        <v>45</v>
      </c>
      <c r="AD100" s="1186">
        <v>12</v>
      </c>
      <c r="AE100" s="1186">
        <v>52</v>
      </c>
      <c r="AF100" s="1186">
        <v>38</v>
      </c>
      <c r="AG100" s="1186">
        <v>17</v>
      </c>
      <c r="AH100" s="1186">
        <v>14</v>
      </c>
      <c r="AI100" s="1186">
        <v>26</v>
      </c>
      <c r="AJ100" s="1186">
        <v>26</v>
      </c>
      <c r="AK100" s="1186">
        <v>34</v>
      </c>
      <c r="AL100" s="1186">
        <v>241</v>
      </c>
      <c r="AM100" s="1186">
        <v>15</v>
      </c>
      <c r="AN100" s="1186">
        <v>90</v>
      </c>
      <c r="AO100" s="1186"/>
      <c r="AP100" s="1186">
        <v>9</v>
      </c>
      <c r="AQ100" s="1186">
        <v>100</v>
      </c>
      <c r="AR100" s="1186">
        <v>11</v>
      </c>
    </row>
    <row r="101" spans="1:44" x14ac:dyDescent="0.2">
      <c r="A101" s="1186" t="s">
        <v>311</v>
      </c>
      <c r="B101" s="1186" t="s">
        <v>961</v>
      </c>
      <c r="C101" s="1186">
        <v>972</v>
      </c>
      <c r="D101" s="1186">
        <v>459</v>
      </c>
      <c r="E101" s="1186">
        <v>206</v>
      </c>
      <c r="F101" s="1186">
        <v>145</v>
      </c>
      <c r="G101" s="1186">
        <v>162</v>
      </c>
      <c r="H101" s="1186">
        <v>2693</v>
      </c>
      <c r="I101" s="1186">
        <v>81</v>
      </c>
      <c r="J101" s="1186">
        <v>3746</v>
      </c>
      <c r="K101" s="1186" t="s">
        <v>1981</v>
      </c>
      <c r="L101" s="1186" t="s">
        <v>1982</v>
      </c>
      <c r="M101" s="1186" t="s">
        <v>311</v>
      </c>
      <c r="N101" s="1186" t="s">
        <v>961</v>
      </c>
      <c r="O101" s="1186">
        <v>3936</v>
      </c>
      <c r="P101" s="1186">
        <v>2785</v>
      </c>
      <c r="Q101" s="1186">
        <v>893</v>
      </c>
      <c r="R101" s="1186">
        <v>193</v>
      </c>
      <c r="S101" s="1186">
        <v>63</v>
      </c>
      <c r="T101" s="1186">
        <v>2</v>
      </c>
      <c r="U101" s="1186" t="s">
        <v>311</v>
      </c>
      <c r="V101" s="1186" t="s">
        <v>961</v>
      </c>
      <c r="W101" s="1186">
        <v>1011</v>
      </c>
      <c r="X101" s="1186"/>
      <c r="Y101" s="1186">
        <v>192</v>
      </c>
      <c r="Z101" s="1186">
        <v>6</v>
      </c>
      <c r="AA101" s="1186">
        <v>65</v>
      </c>
      <c r="AB101" s="1186">
        <v>7</v>
      </c>
      <c r="AC101" s="1186">
        <v>49</v>
      </c>
      <c r="AD101" s="1186">
        <v>8</v>
      </c>
      <c r="AE101" s="1186">
        <v>63</v>
      </c>
      <c r="AF101" s="1186">
        <v>38</v>
      </c>
      <c r="AG101" s="1186">
        <v>10</v>
      </c>
      <c r="AH101" s="1186">
        <v>14</v>
      </c>
      <c r="AI101" s="1186">
        <v>26</v>
      </c>
      <c r="AJ101" s="1186">
        <v>13</v>
      </c>
      <c r="AK101" s="1186">
        <v>39</v>
      </c>
      <c r="AL101" s="1186">
        <v>240</v>
      </c>
      <c r="AM101" s="1186">
        <v>26</v>
      </c>
      <c r="AN101" s="1186">
        <v>114</v>
      </c>
      <c r="AO101" s="1186"/>
      <c r="AP101" s="1186">
        <v>10</v>
      </c>
      <c r="AQ101" s="1186">
        <v>80</v>
      </c>
      <c r="AR101" s="1186">
        <v>11</v>
      </c>
    </row>
    <row r="102" spans="1:44" x14ac:dyDescent="0.2">
      <c r="A102" s="1186" t="s">
        <v>311</v>
      </c>
      <c r="B102" s="1186" t="s">
        <v>962</v>
      </c>
      <c r="C102" s="1186">
        <v>1081</v>
      </c>
      <c r="D102" s="1186">
        <v>448</v>
      </c>
      <c r="E102" s="1186">
        <v>230</v>
      </c>
      <c r="F102" s="1186">
        <v>161</v>
      </c>
      <c r="G102" s="1186">
        <v>242</v>
      </c>
      <c r="H102" s="1186">
        <v>3016</v>
      </c>
      <c r="I102" s="1186">
        <v>37</v>
      </c>
      <c r="J102" s="1186">
        <v>4134</v>
      </c>
      <c r="K102" s="1186" t="s">
        <v>1981</v>
      </c>
      <c r="L102" s="1186" t="s">
        <v>1982</v>
      </c>
      <c r="M102" s="1186" t="s">
        <v>311</v>
      </c>
      <c r="N102" s="1186" t="s">
        <v>962</v>
      </c>
      <c r="O102" s="1186">
        <v>4475</v>
      </c>
      <c r="P102" s="1186">
        <v>3222</v>
      </c>
      <c r="Q102" s="1186">
        <v>953</v>
      </c>
      <c r="R102" s="1186">
        <v>236</v>
      </c>
      <c r="S102" s="1186">
        <v>64</v>
      </c>
      <c r="T102" s="1186"/>
      <c r="U102" s="1186" t="s">
        <v>311</v>
      </c>
      <c r="V102" s="1186" t="s">
        <v>962</v>
      </c>
      <c r="W102" s="1186">
        <v>1128</v>
      </c>
      <c r="X102" s="1186"/>
      <c r="Y102" s="1186">
        <v>200</v>
      </c>
      <c r="Z102" s="1186">
        <v>6</v>
      </c>
      <c r="AA102" s="1186">
        <v>89</v>
      </c>
      <c r="AB102" s="1186">
        <v>16</v>
      </c>
      <c r="AC102" s="1186">
        <v>57</v>
      </c>
      <c r="AD102" s="1186">
        <v>5</v>
      </c>
      <c r="AE102" s="1186">
        <v>55</v>
      </c>
      <c r="AF102" s="1186">
        <v>60</v>
      </c>
      <c r="AG102" s="1186">
        <v>16</v>
      </c>
      <c r="AH102" s="1186">
        <v>12</v>
      </c>
      <c r="AI102" s="1186">
        <v>25</v>
      </c>
      <c r="AJ102" s="1186">
        <v>25</v>
      </c>
      <c r="AK102" s="1186">
        <v>51</v>
      </c>
      <c r="AL102" s="1186">
        <v>276</v>
      </c>
      <c r="AM102" s="1186">
        <v>17</v>
      </c>
      <c r="AN102" s="1186">
        <v>98</v>
      </c>
      <c r="AO102" s="1186"/>
      <c r="AP102" s="1186">
        <v>6</v>
      </c>
      <c r="AQ102" s="1186">
        <v>96</v>
      </c>
      <c r="AR102" s="1186">
        <v>18</v>
      </c>
    </row>
    <row r="103" spans="1:44" x14ac:dyDescent="0.2">
      <c r="A103" s="1186" t="s">
        <v>311</v>
      </c>
      <c r="B103" s="1186" t="s">
        <v>963</v>
      </c>
      <c r="C103" s="1186">
        <v>850</v>
      </c>
      <c r="D103" s="1186">
        <v>402</v>
      </c>
      <c r="E103" s="1186">
        <v>168</v>
      </c>
      <c r="F103" s="1186">
        <v>181</v>
      </c>
      <c r="G103" s="1186">
        <v>99</v>
      </c>
      <c r="H103" s="1186">
        <v>1070</v>
      </c>
      <c r="I103" s="1186">
        <v>22</v>
      </c>
      <c r="J103" s="1186">
        <v>1942</v>
      </c>
      <c r="K103" s="1186" t="s">
        <v>1983</v>
      </c>
      <c r="L103" s="1186" t="s">
        <v>1982</v>
      </c>
      <c r="M103" s="1186" t="s">
        <v>311</v>
      </c>
      <c r="N103" s="1186" t="s">
        <v>963</v>
      </c>
      <c r="O103" s="1186">
        <v>4270</v>
      </c>
      <c r="P103" s="1186">
        <v>3294</v>
      </c>
      <c r="Q103" s="1186">
        <v>757</v>
      </c>
      <c r="R103" s="1186">
        <v>163</v>
      </c>
      <c r="S103" s="1186">
        <v>53</v>
      </c>
      <c r="T103" s="1186">
        <v>3</v>
      </c>
      <c r="U103" s="1186" t="s">
        <v>311</v>
      </c>
      <c r="V103" s="1186" t="s">
        <v>963</v>
      </c>
      <c r="W103" s="1186">
        <v>1078</v>
      </c>
      <c r="X103" s="1186"/>
      <c r="Y103" s="1186">
        <v>205</v>
      </c>
      <c r="Z103" s="1186">
        <v>6</v>
      </c>
      <c r="AA103" s="1186">
        <v>102</v>
      </c>
      <c r="AB103" s="1186">
        <v>13</v>
      </c>
      <c r="AC103" s="1186">
        <v>55</v>
      </c>
      <c r="AD103" s="1186">
        <v>8</v>
      </c>
      <c r="AE103" s="1186">
        <v>60</v>
      </c>
      <c r="AF103" s="1186">
        <v>48</v>
      </c>
      <c r="AG103" s="1186">
        <v>13</v>
      </c>
      <c r="AH103" s="1186">
        <v>14</v>
      </c>
      <c r="AI103" s="1186">
        <v>19</v>
      </c>
      <c r="AJ103" s="1186">
        <v>28</v>
      </c>
      <c r="AK103" s="1186">
        <v>50</v>
      </c>
      <c r="AL103" s="1186">
        <v>224</v>
      </c>
      <c r="AM103" s="1186">
        <v>25</v>
      </c>
      <c r="AN103" s="1186">
        <v>89</v>
      </c>
      <c r="AO103" s="1186"/>
      <c r="AP103" s="1186">
        <v>5</v>
      </c>
      <c r="AQ103" s="1186">
        <v>100</v>
      </c>
      <c r="AR103" s="1186">
        <v>14</v>
      </c>
    </row>
    <row r="104" spans="1:44" x14ac:dyDescent="0.2">
      <c r="A104" s="1186" t="s">
        <v>311</v>
      </c>
      <c r="B104" s="1186" t="s">
        <v>964</v>
      </c>
      <c r="C104" s="1186">
        <v>859</v>
      </c>
      <c r="D104" s="1186">
        <v>403</v>
      </c>
      <c r="E104" s="1186">
        <v>191</v>
      </c>
      <c r="F104" s="1186">
        <v>201</v>
      </c>
      <c r="G104" s="1186">
        <v>64</v>
      </c>
      <c r="H104" s="1186">
        <v>1035</v>
      </c>
      <c r="I104" s="1186">
        <v>10</v>
      </c>
      <c r="J104" s="1186">
        <v>1904</v>
      </c>
      <c r="K104" s="1186" t="s">
        <v>1983</v>
      </c>
      <c r="L104" s="1186" t="s">
        <v>1984</v>
      </c>
      <c r="M104" s="1186" t="s">
        <v>311</v>
      </c>
      <c r="N104" s="1186" t="s">
        <v>964</v>
      </c>
      <c r="O104" s="1186">
        <v>4575</v>
      </c>
      <c r="P104" s="1186">
        <v>3625</v>
      </c>
      <c r="Q104" s="1186">
        <v>741</v>
      </c>
      <c r="R104" s="1186">
        <v>157</v>
      </c>
      <c r="S104" s="1186">
        <v>51</v>
      </c>
      <c r="T104" s="1186">
        <v>1</v>
      </c>
      <c r="U104" s="1186" t="s">
        <v>311</v>
      </c>
      <c r="V104" s="1186" t="s">
        <v>964</v>
      </c>
      <c r="W104" s="1186">
        <v>1097</v>
      </c>
      <c r="X104" s="1186"/>
      <c r="Y104" s="1186">
        <v>210</v>
      </c>
      <c r="Z104" s="1186">
        <v>13</v>
      </c>
      <c r="AA104" s="1186">
        <v>90</v>
      </c>
      <c r="AB104" s="1186">
        <v>19</v>
      </c>
      <c r="AC104" s="1186">
        <v>78</v>
      </c>
      <c r="AD104" s="1186">
        <v>3</v>
      </c>
      <c r="AE104" s="1186">
        <v>57</v>
      </c>
      <c r="AF104" s="1186">
        <v>45</v>
      </c>
      <c r="AG104" s="1186">
        <v>13</v>
      </c>
      <c r="AH104" s="1186">
        <v>18</v>
      </c>
      <c r="AI104" s="1186">
        <v>19</v>
      </c>
      <c r="AJ104" s="1186">
        <v>26</v>
      </c>
      <c r="AK104" s="1186">
        <v>48</v>
      </c>
      <c r="AL104" s="1186">
        <v>226</v>
      </c>
      <c r="AM104" s="1186">
        <v>15</v>
      </c>
      <c r="AN104" s="1186">
        <v>102</v>
      </c>
      <c r="AO104" s="1186"/>
      <c r="AP104" s="1186">
        <v>8</v>
      </c>
      <c r="AQ104" s="1186">
        <v>93</v>
      </c>
      <c r="AR104" s="1186">
        <v>14</v>
      </c>
    </row>
    <row r="105" spans="1:44" x14ac:dyDescent="0.2">
      <c r="A105" s="1186" t="s">
        <v>311</v>
      </c>
      <c r="B105" s="1186" t="s">
        <v>965</v>
      </c>
      <c r="C105" s="1186">
        <v>887</v>
      </c>
      <c r="D105" s="1186">
        <v>411</v>
      </c>
      <c r="E105" s="1186">
        <v>189</v>
      </c>
      <c r="F105" s="1186">
        <v>199</v>
      </c>
      <c r="G105" s="1186">
        <v>88</v>
      </c>
      <c r="H105" s="1186">
        <v>987</v>
      </c>
      <c r="I105" s="1186">
        <v>19</v>
      </c>
      <c r="J105" s="1186">
        <v>1893</v>
      </c>
      <c r="K105" s="1186" t="s">
        <v>1983</v>
      </c>
      <c r="L105" s="1186" t="s">
        <v>1984</v>
      </c>
      <c r="M105" s="1186" t="s">
        <v>311</v>
      </c>
      <c r="N105" s="1186" t="s">
        <v>965</v>
      </c>
      <c r="O105" s="1186">
        <v>4979</v>
      </c>
      <c r="P105" s="1186">
        <v>3917</v>
      </c>
      <c r="Q105" s="1186">
        <v>783</v>
      </c>
      <c r="R105" s="1186">
        <v>211</v>
      </c>
      <c r="S105" s="1186">
        <v>66</v>
      </c>
      <c r="T105" s="1186">
        <v>2</v>
      </c>
      <c r="U105" s="1186" t="s">
        <v>311</v>
      </c>
      <c r="V105" s="1186" t="s">
        <v>965</v>
      </c>
      <c r="W105" s="1186">
        <v>1091</v>
      </c>
      <c r="X105" s="1186"/>
      <c r="Y105" s="1186">
        <v>211</v>
      </c>
      <c r="Z105" s="1186">
        <v>5</v>
      </c>
      <c r="AA105" s="1186">
        <v>74</v>
      </c>
      <c r="AB105" s="1186">
        <v>16</v>
      </c>
      <c r="AC105" s="1186">
        <v>58</v>
      </c>
      <c r="AD105" s="1186">
        <v>7</v>
      </c>
      <c r="AE105" s="1186">
        <v>74</v>
      </c>
      <c r="AF105" s="1186">
        <v>47</v>
      </c>
      <c r="AG105" s="1186">
        <v>10</v>
      </c>
      <c r="AH105" s="1186">
        <v>13</v>
      </c>
      <c r="AI105" s="1186">
        <v>24</v>
      </c>
      <c r="AJ105" s="1186">
        <v>29</v>
      </c>
      <c r="AK105" s="1186">
        <v>36</v>
      </c>
      <c r="AL105" s="1186">
        <v>253</v>
      </c>
      <c r="AM105" s="1186">
        <v>21</v>
      </c>
      <c r="AN105" s="1186">
        <v>95</v>
      </c>
      <c r="AO105" s="1186"/>
      <c r="AP105" s="1186">
        <v>6</v>
      </c>
      <c r="AQ105" s="1186">
        <v>102</v>
      </c>
      <c r="AR105" s="1186">
        <v>10</v>
      </c>
    </row>
    <row r="106" spans="1:44" x14ac:dyDescent="0.2">
      <c r="A106" s="1186" t="s">
        <v>311</v>
      </c>
      <c r="B106" s="1186" t="s">
        <v>966</v>
      </c>
      <c r="C106" s="1186">
        <v>848</v>
      </c>
      <c r="D106" s="1186">
        <v>395</v>
      </c>
      <c r="E106" s="1186">
        <v>196</v>
      </c>
      <c r="F106" s="1186">
        <v>174</v>
      </c>
      <c r="G106" s="1186">
        <v>83</v>
      </c>
      <c r="H106" s="1186">
        <v>904</v>
      </c>
      <c r="I106" s="1186">
        <v>21</v>
      </c>
      <c r="J106" s="1186">
        <v>1773</v>
      </c>
      <c r="K106" s="1186" t="s">
        <v>1985</v>
      </c>
      <c r="L106" s="1186" t="s">
        <v>1984</v>
      </c>
      <c r="M106" s="1186" t="s">
        <v>311</v>
      </c>
      <c r="N106" s="1186" t="s">
        <v>966</v>
      </c>
      <c r="O106" s="1186">
        <v>4688</v>
      </c>
      <c r="P106" s="1186">
        <v>3700</v>
      </c>
      <c r="Q106" s="1186">
        <v>734</v>
      </c>
      <c r="R106" s="1186">
        <v>219</v>
      </c>
      <c r="S106" s="1186">
        <v>33</v>
      </c>
      <c r="T106" s="1186">
        <v>2</v>
      </c>
      <c r="U106" s="1186" t="s">
        <v>311</v>
      </c>
      <c r="V106" s="1186" t="s">
        <v>966</v>
      </c>
      <c r="W106" s="1186">
        <v>1046</v>
      </c>
      <c r="X106" s="1186"/>
      <c r="Y106" s="1186">
        <v>196</v>
      </c>
      <c r="Z106" s="1186">
        <v>4</v>
      </c>
      <c r="AA106" s="1186">
        <v>76</v>
      </c>
      <c r="AB106" s="1186">
        <v>16</v>
      </c>
      <c r="AC106" s="1186">
        <v>47</v>
      </c>
      <c r="AD106" s="1186">
        <v>4</v>
      </c>
      <c r="AE106" s="1186">
        <v>61</v>
      </c>
      <c r="AF106" s="1186">
        <v>48</v>
      </c>
      <c r="AG106" s="1186">
        <v>16</v>
      </c>
      <c r="AH106" s="1186">
        <v>27</v>
      </c>
      <c r="AI106" s="1186">
        <v>15</v>
      </c>
      <c r="AJ106" s="1186">
        <v>26</v>
      </c>
      <c r="AK106" s="1186">
        <v>25</v>
      </c>
      <c r="AL106" s="1186">
        <v>248</v>
      </c>
      <c r="AM106" s="1186">
        <v>10</v>
      </c>
      <c r="AN106" s="1186">
        <v>108</v>
      </c>
      <c r="AO106" s="1186">
        <v>2</v>
      </c>
      <c r="AP106" s="1186">
        <v>4</v>
      </c>
      <c r="AQ106" s="1186">
        <v>96</v>
      </c>
      <c r="AR106" s="1186">
        <v>17</v>
      </c>
    </row>
    <row r="107" spans="1:44" x14ac:dyDescent="0.2">
      <c r="A107" s="1186" t="s">
        <v>311</v>
      </c>
      <c r="B107" s="1186" t="s">
        <v>967</v>
      </c>
      <c r="C107" s="1186">
        <v>868</v>
      </c>
      <c r="D107" s="1186">
        <v>419</v>
      </c>
      <c r="E107" s="1186">
        <v>204</v>
      </c>
      <c r="F107" s="1186">
        <v>156</v>
      </c>
      <c r="G107" s="1186">
        <v>89</v>
      </c>
      <c r="H107" s="1186">
        <v>987</v>
      </c>
      <c r="I107" s="1186">
        <v>44</v>
      </c>
      <c r="J107" s="1186">
        <v>1899</v>
      </c>
      <c r="K107" s="1186" t="s">
        <v>1985</v>
      </c>
      <c r="L107" s="1186" t="s">
        <v>1986</v>
      </c>
      <c r="M107" s="1186" t="s">
        <v>311</v>
      </c>
      <c r="N107" s="1186" t="s">
        <v>967</v>
      </c>
      <c r="O107" s="1186">
        <v>4732</v>
      </c>
      <c r="P107" s="1186">
        <v>3740</v>
      </c>
      <c r="Q107" s="1186">
        <v>693</v>
      </c>
      <c r="R107" s="1186">
        <v>250</v>
      </c>
      <c r="S107" s="1186">
        <v>48</v>
      </c>
      <c r="T107" s="1186">
        <v>1</v>
      </c>
      <c r="U107" s="1186" t="s">
        <v>311</v>
      </c>
      <c r="V107" s="1186" t="s">
        <v>967</v>
      </c>
      <c r="W107" s="1186">
        <v>1034</v>
      </c>
      <c r="X107" s="1186"/>
      <c r="Y107" s="1186">
        <v>200</v>
      </c>
      <c r="Z107" s="1186">
        <v>4</v>
      </c>
      <c r="AA107" s="1186">
        <v>88</v>
      </c>
      <c r="AB107" s="1186">
        <v>12</v>
      </c>
      <c r="AC107" s="1186">
        <v>37</v>
      </c>
      <c r="AD107" s="1186">
        <v>8</v>
      </c>
      <c r="AE107" s="1186">
        <v>68</v>
      </c>
      <c r="AF107" s="1186">
        <v>25</v>
      </c>
      <c r="AG107" s="1186">
        <v>14</v>
      </c>
      <c r="AH107" s="1186">
        <v>17</v>
      </c>
      <c r="AI107" s="1186">
        <v>15</v>
      </c>
      <c r="AJ107" s="1186">
        <v>19</v>
      </c>
      <c r="AK107" s="1186">
        <v>28</v>
      </c>
      <c r="AL107" s="1186">
        <v>271</v>
      </c>
      <c r="AM107" s="1186">
        <v>30</v>
      </c>
      <c r="AN107" s="1186">
        <v>102</v>
      </c>
      <c r="AO107" s="1186"/>
      <c r="AP107" s="1186">
        <v>6</v>
      </c>
      <c r="AQ107" s="1186">
        <v>78</v>
      </c>
      <c r="AR107" s="1186">
        <v>12</v>
      </c>
    </row>
    <row r="108" spans="1:44" x14ac:dyDescent="0.2">
      <c r="A108" s="1186" t="s">
        <v>311</v>
      </c>
      <c r="B108" s="1186" t="s">
        <v>968</v>
      </c>
      <c r="C108" s="1186">
        <v>926</v>
      </c>
      <c r="D108" s="1186">
        <v>463</v>
      </c>
      <c r="E108" s="1186">
        <v>203</v>
      </c>
      <c r="F108" s="1186">
        <v>186</v>
      </c>
      <c r="G108" s="1186">
        <v>74</v>
      </c>
      <c r="H108" s="1186">
        <v>1427</v>
      </c>
      <c r="I108" s="1186">
        <v>93</v>
      </c>
      <c r="J108" s="1186">
        <v>2446</v>
      </c>
      <c r="K108" s="1186" t="s">
        <v>1985</v>
      </c>
      <c r="L108" s="1186" t="s">
        <v>1986</v>
      </c>
      <c r="M108" s="1186" t="s">
        <v>311</v>
      </c>
      <c r="N108" s="1186" t="s">
        <v>968</v>
      </c>
      <c r="O108" s="1186">
        <v>4569</v>
      </c>
      <c r="P108" s="1186">
        <v>3422</v>
      </c>
      <c r="Q108" s="1186">
        <v>872</v>
      </c>
      <c r="R108" s="1186">
        <v>229</v>
      </c>
      <c r="S108" s="1186">
        <v>43</v>
      </c>
      <c r="T108" s="1186">
        <v>3</v>
      </c>
      <c r="U108" s="1186" t="s">
        <v>311</v>
      </c>
      <c r="V108" s="1186" t="s">
        <v>968</v>
      </c>
      <c r="W108" s="1186">
        <v>1044</v>
      </c>
      <c r="X108" s="1186"/>
      <c r="Y108" s="1186">
        <v>261</v>
      </c>
      <c r="Z108" s="1186">
        <v>4</v>
      </c>
      <c r="AA108" s="1186">
        <v>89</v>
      </c>
      <c r="AB108" s="1186">
        <v>8</v>
      </c>
      <c r="AC108" s="1186">
        <v>32</v>
      </c>
      <c r="AD108" s="1186">
        <v>7</v>
      </c>
      <c r="AE108" s="1186">
        <v>57</v>
      </c>
      <c r="AF108" s="1186">
        <v>21</v>
      </c>
      <c r="AG108" s="1186">
        <v>14</v>
      </c>
      <c r="AH108" s="1186">
        <v>19</v>
      </c>
      <c r="AI108" s="1186">
        <v>6</v>
      </c>
      <c r="AJ108" s="1186">
        <v>17</v>
      </c>
      <c r="AK108" s="1186">
        <v>28</v>
      </c>
      <c r="AL108" s="1186">
        <v>260</v>
      </c>
      <c r="AM108" s="1186">
        <v>11</v>
      </c>
      <c r="AN108" s="1186">
        <v>94</v>
      </c>
      <c r="AO108" s="1186"/>
      <c r="AP108" s="1186">
        <v>7</v>
      </c>
      <c r="AQ108" s="1186">
        <v>100</v>
      </c>
      <c r="AR108" s="1186">
        <v>9</v>
      </c>
    </row>
    <row r="109" spans="1:44" x14ac:dyDescent="0.2">
      <c r="A109" s="1186" t="s">
        <v>311</v>
      </c>
      <c r="B109" s="1186" t="s">
        <v>969</v>
      </c>
      <c r="C109" s="1186">
        <v>900</v>
      </c>
      <c r="D109" s="1186">
        <v>523</v>
      </c>
      <c r="E109" s="1186">
        <v>194</v>
      </c>
      <c r="F109" s="1186">
        <v>138</v>
      </c>
      <c r="G109" s="1186">
        <v>45</v>
      </c>
      <c r="H109" s="1186">
        <v>639</v>
      </c>
      <c r="I109" s="1186">
        <v>100</v>
      </c>
      <c r="J109" s="1186">
        <v>1639</v>
      </c>
      <c r="K109" s="1186" t="s">
        <v>1987</v>
      </c>
      <c r="L109" s="1186" t="s">
        <v>1986</v>
      </c>
      <c r="M109" s="1186" t="s">
        <v>311</v>
      </c>
      <c r="N109" s="1186" t="s">
        <v>969</v>
      </c>
      <c r="O109" s="1186">
        <v>4375</v>
      </c>
      <c r="P109" s="1186">
        <v>3397</v>
      </c>
      <c r="Q109" s="1186">
        <v>776</v>
      </c>
      <c r="R109" s="1186">
        <v>150</v>
      </c>
      <c r="S109" s="1186">
        <v>50</v>
      </c>
      <c r="T109" s="1186">
        <v>2</v>
      </c>
      <c r="U109" s="1186" t="s">
        <v>311</v>
      </c>
      <c r="V109" s="1186" t="s">
        <v>969</v>
      </c>
      <c r="W109" s="1186">
        <v>1397</v>
      </c>
      <c r="X109" s="1186"/>
      <c r="Y109" s="1186">
        <v>252</v>
      </c>
      <c r="Z109" s="1186">
        <v>7</v>
      </c>
      <c r="AA109" s="1186">
        <v>264</v>
      </c>
      <c r="AB109" s="1186">
        <v>7</v>
      </c>
      <c r="AC109" s="1186">
        <v>34</v>
      </c>
      <c r="AD109" s="1186">
        <v>9</v>
      </c>
      <c r="AE109" s="1186">
        <v>71</v>
      </c>
      <c r="AF109" s="1186">
        <v>43</v>
      </c>
      <c r="AG109" s="1186">
        <v>8</v>
      </c>
      <c r="AH109" s="1186">
        <v>18</v>
      </c>
      <c r="AI109" s="1186">
        <v>14</v>
      </c>
      <c r="AJ109" s="1186">
        <v>15</v>
      </c>
      <c r="AK109" s="1186">
        <v>32</v>
      </c>
      <c r="AL109" s="1186">
        <v>338</v>
      </c>
      <c r="AM109" s="1186">
        <v>29</v>
      </c>
      <c r="AN109" s="1186">
        <v>120</v>
      </c>
      <c r="AO109" s="1186"/>
      <c r="AP109" s="1186">
        <v>6</v>
      </c>
      <c r="AQ109" s="1186">
        <v>111</v>
      </c>
      <c r="AR109" s="1186">
        <v>19</v>
      </c>
    </row>
    <row r="110" spans="1:44" x14ac:dyDescent="0.2">
      <c r="A110" s="1186" t="s">
        <v>311</v>
      </c>
      <c r="B110" s="1186" t="s">
        <v>970</v>
      </c>
      <c r="C110" s="1186">
        <v>850</v>
      </c>
      <c r="D110" s="1186">
        <v>460</v>
      </c>
      <c r="E110" s="1186">
        <v>162</v>
      </c>
      <c r="F110" s="1186">
        <v>192</v>
      </c>
      <c r="G110" s="1186">
        <v>36</v>
      </c>
      <c r="H110" s="1186">
        <v>441</v>
      </c>
      <c r="I110" s="1186">
        <v>121</v>
      </c>
      <c r="J110" s="1186">
        <v>1412</v>
      </c>
      <c r="K110" s="1186" t="s">
        <v>1987</v>
      </c>
      <c r="L110" s="1186" t="s">
        <v>1988</v>
      </c>
      <c r="M110" s="1186" t="s">
        <v>311</v>
      </c>
      <c r="N110" s="1186" t="s">
        <v>970</v>
      </c>
      <c r="O110" s="1186">
        <v>3960</v>
      </c>
      <c r="P110" s="1186">
        <v>3160</v>
      </c>
      <c r="Q110" s="1186">
        <v>613</v>
      </c>
      <c r="R110" s="1186">
        <v>140</v>
      </c>
      <c r="S110" s="1186">
        <v>46</v>
      </c>
      <c r="T110" s="1186">
        <v>1</v>
      </c>
      <c r="U110" s="1186" t="s">
        <v>311</v>
      </c>
      <c r="V110" s="1186" t="s">
        <v>970</v>
      </c>
      <c r="W110" s="1186">
        <v>1149</v>
      </c>
      <c r="X110" s="1186"/>
      <c r="Y110" s="1186">
        <v>239</v>
      </c>
      <c r="Z110" s="1186">
        <v>7</v>
      </c>
      <c r="AA110" s="1186">
        <v>130</v>
      </c>
      <c r="AB110" s="1186">
        <v>13</v>
      </c>
      <c r="AC110" s="1186">
        <v>38</v>
      </c>
      <c r="AD110" s="1186">
        <v>8</v>
      </c>
      <c r="AE110" s="1186">
        <v>48</v>
      </c>
      <c r="AF110" s="1186">
        <v>43</v>
      </c>
      <c r="AG110" s="1186">
        <v>13</v>
      </c>
      <c r="AH110" s="1186">
        <v>17</v>
      </c>
      <c r="AI110" s="1186">
        <v>12</v>
      </c>
      <c r="AJ110" s="1186">
        <v>20</v>
      </c>
      <c r="AK110" s="1186">
        <v>26</v>
      </c>
      <c r="AL110" s="1186">
        <v>277</v>
      </c>
      <c r="AM110" s="1186">
        <v>30</v>
      </c>
      <c r="AN110" s="1186">
        <v>99</v>
      </c>
      <c r="AO110" s="1186"/>
      <c r="AP110" s="1186">
        <v>6</v>
      </c>
      <c r="AQ110" s="1186">
        <v>107</v>
      </c>
      <c r="AR110" s="1186">
        <v>16</v>
      </c>
    </row>
    <row r="111" spans="1:44" x14ac:dyDescent="0.2">
      <c r="A111" s="1186" t="s">
        <v>311</v>
      </c>
      <c r="B111" s="1186" t="s">
        <v>971</v>
      </c>
      <c r="C111" s="1186">
        <v>780</v>
      </c>
      <c r="D111" s="1186">
        <v>434</v>
      </c>
      <c r="E111" s="1186">
        <v>172</v>
      </c>
      <c r="F111" s="1186">
        <v>141</v>
      </c>
      <c r="G111" s="1186">
        <v>33</v>
      </c>
      <c r="H111" s="1186">
        <v>646</v>
      </c>
      <c r="I111" s="1186">
        <v>95</v>
      </c>
      <c r="J111" s="1186">
        <v>1521</v>
      </c>
      <c r="K111" s="1186" t="s">
        <v>1987</v>
      </c>
      <c r="L111" s="1186" t="s">
        <v>1988</v>
      </c>
      <c r="M111" s="1186" t="s">
        <v>311</v>
      </c>
      <c r="N111" s="1186" t="s">
        <v>971</v>
      </c>
      <c r="O111" s="1186">
        <v>3850</v>
      </c>
      <c r="P111" s="1186">
        <v>3011</v>
      </c>
      <c r="Q111" s="1186">
        <v>602</v>
      </c>
      <c r="R111" s="1186">
        <v>178</v>
      </c>
      <c r="S111" s="1186">
        <v>57</v>
      </c>
      <c r="T111" s="1186">
        <v>2</v>
      </c>
      <c r="U111" s="1186" t="s">
        <v>311</v>
      </c>
      <c r="V111" s="1186" t="s">
        <v>971</v>
      </c>
      <c r="W111" s="1186">
        <v>952</v>
      </c>
      <c r="X111" s="1186"/>
      <c r="Y111" s="1186">
        <v>195</v>
      </c>
      <c r="Z111" s="1186">
        <v>10</v>
      </c>
      <c r="AA111" s="1186">
        <v>65</v>
      </c>
      <c r="AB111" s="1186">
        <v>10</v>
      </c>
      <c r="AC111" s="1186">
        <v>31</v>
      </c>
      <c r="AD111" s="1186">
        <v>4</v>
      </c>
      <c r="AE111" s="1186">
        <v>50</v>
      </c>
      <c r="AF111" s="1186">
        <v>34</v>
      </c>
      <c r="AG111" s="1186">
        <v>13</v>
      </c>
      <c r="AH111" s="1186">
        <v>12</v>
      </c>
      <c r="AI111" s="1186">
        <v>9</v>
      </c>
      <c r="AJ111" s="1186">
        <v>22</v>
      </c>
      <c r="AK111" s="1186">
        <v>29</v>
      </c>
      <c r="AL111" s="1186">
        <v>243</v>
      </c>
      <c r="AM111" s="1186">
        <v>17</v>
      </c>
      <c r="AN111" s="1186">
        <v>94</v>
      </c>
      <c r="AO111" s="1186"/>
      <c r="AP111" s="1186">
        <v>3</v>
      </c>
      <c r="AQ111" s="1186">
        <v>96</v>
      </c>
      <c r="AR111" s="1186">
        <v>15</v>
      </c>
    </row>
    <row r="112" spans="1:44" x14ac:dyDescent="0.2">
      <c r="A112" s="1186" t="s">
        <v>311</v>
      </c>
      <c r="B112" s="1186" t="s">
        <v>972</v>
      </c>
      <c r="C112" s="1186">
        <v>851</v>
      </c>
      <c r="D112" s="1186">
        <v>494</v>
      </c>
      <c r="E112" s="1186">
        <v>172</v>
      </c>
      <c r="F112" s="1186">
        <v>142</v>
      </c>
      <c r="G112" s="1186">
        <v>43</v>
      </c>
      <c r="H112" s="1186">
        <v>883</v>
      </c>
      <c r="I112" s="1186">
        <v>105</v>
      </c>
      <c r="J112" s="1186">
        <v>1839</v>
      </c>
      <c r="K112" s="1186" t="s">
        <v>1981</v>
      </c>
      <c r="L112" s="1186" t="s">
        <v>1988</v>
      </c>
      <c r="M112" s="1186" t="s">
        <v>311</v>
      </c>
      <c r="N112" s="1186" t="s">
        <v>972</v>
      </c>
      <c r="O112" s="1186">
        <v>4143</v>
      </c>
      <c r="P112" s="1186">
        <v>3163</v>
      </c>
      <c r="Q112" s="1186">
        <v>694</v>
      </c>
      <c r="R112" s="1186">
        <v>211</v>
      </c>
      <c r="S112" s="1186">
        <v>75</v>
      </c>
      <c r="T112" s="1186"/>
      <c r="U112" s="1186" t="s">
        <v>311</v>
      </c>
      <c r="V112" s="1186" t="s">
        <v>972</v>
      </c>
      <c r="W112" s="1186">
        <v>1148</v>
      </c>
      <c r="X112" s="1186"/>
      <c r="Y112" s="1186">
        <v>172</v>
      </c>
      <c r="Z112" s="1186">
        <v>12</v>
      </c>
      <c r="AA112" s="1186">
        <v>170</v>
      </c>
      <c r="AB112" s="1186">
        <v>9</v>
      </c>
      <c r="AC112" s="1186">
        <v>39</v>
      </c>
      <c r="AD112" s="1186">
        <v>13</v>
      </c>
      <c r="AE112" s="1186">
        <v>53</v>
      </c>
      <c r="AF112" s="1186">
        <v>35</v>
      </c>
      <c r="AG112" s="1186">
        <v>16</v>
      </c>
      <c r="AH112" s="1186">
        <v>11</v>
      </c>
      <c r="AI112" s="1186">
        <v>12</v>
      </c>
      <c r="AJ112" s="1186">
        <v>22</v>
      </c>
      <c r="AK112" s="1186">
        <v>24</v>
      </c>
      <c r="AL112" s="1186">
        <v>266</v>
      </c>
      <c r="AM112" s="1186">
        <v>63</v>
      </c>
      <c r="AN112" s="1186">
        <v>98</v>
      </c>
      <c r="AO112" s="1186">
        <v>1</v>
      </c>
      <c r="AP112" s="1186">
        <v>10</v>
      </c>
      <c r="AQ112" s="1186">
        <v>107</v>
      </c>
      <c r="AR112" s="1186">
        <v>15</v>
      </c>
    </row>
    <row r="113" spans="1:44" x14ac:dyDescent="0.2">
      <c r="A113" s="1186" t="s">
        <v>621</v>
      </c>
      <c r="B113" s="1186" t="s">
        <v>973</v>
      </c>
      <c r="C113" s="1186">
        <v>804</v>
      </c>
      <c r="D113" s="1186">
        <v>414</v>
      </c>
      <c r="E113" s="1186">
        <v>185</v>
      </c>
      <c r="F113" s="1186">
        <v>148</v>
      </c>
      <c r="G113" s="1186">
        <v>57</v>
      </c>
      <c r="H113" s="1186">
        <v>1214</v>
      </c>
      <c r="I113" s="1186">
        <v>69</v>
      </c>
      <c r="J113" s="1186">
        <v>2087</v>
      </c>
      <c r="K113" s="1186" t="s">
        <v>1981</v>
      </c>
      <c r="L113" s="1186" t="s">
        <v>1982</v>
      </c>
      <c r="M113" s="1186" t="s">
        <v>621</v>
      </c>
      <c r="N113" s="1186" t="s">
        <v>973</v>
      </c>
      <c r="O113" s="1186">
        <v>4014</v>
      </c>
      <c r="P113" s="1186">
        <v>3113</v>
      </c>
      <c r="Q113" s="1186">
        <v>682</v>
      </c>
      <c r="R113" s="1186">
        <v>161</v>
      </c>
      <c r="S113" s="1186">
        <v>57</v>
      </c>
      <c r="T113" s="1186">
        <v>1</v>
      </c>
      <c r="U113" s="1186" t="s">
        <v>621</v>
      </c>
      <c r="V113" s="1186" t="s">
        <v>973</v>
      </c>
      <c r="W113" s="1186">
        <v>895</v>
      </c>
      <c r="X113" s="1186"/>
      <c r="Y113" s="1186">
        <v>153</v>
      </c>
      <c r="Z113" s="1186">
        <v>2</v>
      </c>
      <c r="AA113" s="1186">
        <v>62</v>
      </c>
      <c r="AB113" s="1186">
        <v>10</v>
      </c>
      <c r="AC113" s="1186">
        <v>45</v>
      </c>
      <c r="AD113" s="1186">
        <v>6</v>
      </c>
      <c r="AE113" s="1186">
        <v>55</v>
      </c>
      <c r="AF113" s="1186">
        <v>42</v>
      </c>
      <c r="AG113" s="1186">
        <v>11</v>
      </c>
      <c r="AH113" s="1186">
        <v>15</v>
      </c>
      <c r="AI113" s="1186">
        <v>13</v>
      </c>
      <c r="AJ113" s="1186">
        <v>29</v>
      </c>
      <c r="AK113" s="1186">
        <v>39</v>
      </c>
      <c r="AL113" s="1186">
        <v>213</v>
      </c>
      <c r="AM113" s="1186">
        <v>13</v>
      </c>
      <c r="AN113" s="1186">
        <v>83</v>
      </c>
      <c r="AO113" s="1186"/>
      <c r="AP113" s="1186">
        <v>2</v>
      </c>
      <c r="AQ113" s="1186">
        <v>90</v>
      </c>
      <c r="AR113" s="1186">
        <v>12</v>
      </c>
    </row>
    <row r="114" spans="1:44" x14ac:dyDescent="0.2">
      <c r="A114" s="1186" t="s">
        <v>621</v>
      </c>
      <c r="B114" s="1186" t="s">
        <v>974</v>
      </c>
      <c r="C114" s="1186">
        <v>991</v>
      </c>
      <c r="D114" s="1186">
        <v>437</v>
      </c>
      <c r="E114" s="1186">
        <v>216</v>
      </c>
      <c r="F114" s="1186">
        <v>187</v>
      </c>
      <c r="G114" s="1186">
        <v>151</v>
      </c>
      <c r="H114" s="1186">
        <v>2321</v>
      </c>
      <c r="I114" s="1186">
        <v>35</v>
      </c>
      <c r="J114" s="1186">
        <v>3347</v>
      </c>
      <c r="K114" s="1186" t="s">
        <v>1981</v>
      </c>
      <c r="L114" s="1186" t="s">
        <v>1982</v>
      </c>
      <c r="M114" s="1186" t="s">
        <v>621</v>
      </c>
      <c r="N114" s="1186" t="s">
        <v>974</v>
      </c>
      <c r="O114" s="1186">
        <v>4494</v>
      </c>
      <c r="P114" s="1186">
        <v>3280</v>
      </c>
      <c r="Q114" s="1186">
        <v>936</v>
      </c>
      <c r="R114" s="1186">
        <v>210</v>
      </c>
      <c r="S114" s="1186">
        <v>67</v>
      </c>
      <c r="T114" s="1186">
        <v>1</v>
      </c>
      <c r="U114" s="1186" t="s">
        <v>621</v>
      </c>
      <c r="V114" s="1186" t="s">
        <v>974</v>
      </c>
      <c r="W114" s="1186">
        <v>1049</v>
      </c>
      <c r="X114" s="1186"/>
      <c r="Y114" s="1186">
        <v>173</v>
      </c>
      <c r="Z114" s="1186">
        <v>11</v>
      </c>
      <c r="AA114" s="1186">
        <v>65</v>
      </c>
      <c r="AB114" s="1186">
        <v>18</v>
      </c>
      <c r="AC114" s="1186">
        <v>52</v>
      </c>
      <c r="AD114" s="1186">
        <v>6</v>
      </c>
      <c r="AE114" s="1186">
        <v>62</v>
      </c>
      <c r="AF114" s="1186">
        <v>33</v>
      </c>
      <c r="AG114" s="1186">
        <v>26</v>
      </c>
      <c r="AH114" s="1186">
        <v>16</v>
      </c>
      <c r="AI114" s="1186">
        <v>15</v>
      </c>
      <c r="AJ114" s="1186">
        <v>30</v>
      </c>
      <c r="AK114" s="1186">
        <v>47</v>
      </c>
      <c r="AL114" s="1186">
        <v>272</v>
      </c>
      <c r="AM114" s="1186">
        <v>14</v>
      </c>
      <c r="AN114" s="1186">
        <v>100</v>
      </c>
      <c r="AO114" s="1186"/>
      <c r="AP114" s="1186">
        <v>8</v>
      </c>
      <c r="AQ114" s="1186">
        <v>95</v>
      </c>
      <c r="AR114" s="1186">
        <v>6</v>
      </c>
    </row>
    <row r="115" spans="1:44" x14ac:dyDescent="0.2">
      <c r="A115" s="1186" t="s">
        <v>621</v>
      </c>
      <c r="B115" s="1186" t="s">
        <v>975</v>
      </c>
      <c r="C115" s="1186">
        <v>953</v>
      </c>
      <c r="D115" s="1186">
        <v>446</v>
      </c>
      <c r="E115" s="1186">
        <v>192</v>
      </c>
      <c r="F115" s="1186">
        <v>186</v>
      </c>
      <c r="G115" s="1186">
        <v>129</v>
      </c>
      <c r="H115" s="1186">
        <v>1792</v>
      </c>
      <c r="I115" s="1186">
        <v>15</v>
      </c>
      <c r="J115" s="1186">
        <v>2760</v>
      </c>
      <c r="K115" s="1186" t="s">
        <v>1983</v>
      </c>
      <c r="L115" s="1186" t="s">
        <v>1982</v>
      </c>
      <c r="M115" s="1186" t="s">
        <v>621</v>
      </c>
      <c r="N115" s="1186" t="s">
        <v>975</v>
      </c>
      <c r="O115" s="1186">
        <v>4706</v>
      </c>
      <c r="P115" s="1186">
        <v>3544</v>
      </c>
      <c r="Q115" s="1186">
        <v>893</v>
      </c>
      <c r="R115" s="1186">
        <v>199</v>
      </c>
      <c r="S115" s="1186">
        <v>70</v>
      </c>
      <c r="T115" s="1186"/>
      <c r="U115" s="1186" t="s">
        <v>621</v>
      </c>
      <c r="V115" s="1186" t="s">
        <v>975</v>
      </c>
      <c r="W115" s="1186">
        <v>1190</v>
      </c>
      <c r="X115" s="1186"/>
      <c r="Y115" s="1186">
        <v>185</v>
      </c>
      <c r="Z115" s="1186">
        <v>10</v>
      </c>
      <c r="AA115" s="1186">
        <v>147</v>
      </c>
      <c r="AB115" s="1186">
        <v>21</v>
      </c>
      <c r="AC115" s="1186">
        <v>55</v>
      </c>
      <c r="AD115" s="1186">
        <v>6</v>
      </c>
      <c r="AE115" s="1186">
        <v>70</v>
      </c>
      <c r="AF115" s="1186">
        <v>35</v>
      </c>
      <c r="AG115" s="1186">
        <v>26</v>
      </c>
      <c r="AH115" s="1186">
        <v>17</v>
      </c>
      <c r="AI115" s="1186">
        <v>10</v>
      </c>
      <c r="AJ115" s="1186">
        <v>20</v>
      </c>
      <c r="AK115" s="1186">
        <v>55</v>
      </c>
      <c r="AL115" s="1186">
        <v>262</v>
      </c>
      <c r="AM115" s="1186">
        <v>47</v>
      </c>
      <c r="AN115" s="1186">
        <v>103</v>
      </c>
      <c r="AO115" s="1186"/>
      <c r="AP115" s="1186">
        <v>7</v>
      </c>
      <c r="AQ115" s="1186">
        <v>102</v>
      </c>
      <c r="AR115" s="1186">
        <v>12</v>
      </c>
    </row>
    <row r="116" spans="1:44" x14ac:dyDescent="0.2">
      <c r="A116" s="1186" t="s">
        <v>621</v>
      </c>
      <c r="B116" s="1186" t="s">
        <v>976</v>
      </c>
      <c r="C116" s="1186">
        <v>1067</v>
      </c>
      <c r="D116" s="1186">
        <v>419</v>
      </c>
      <c r="E116" s="1186">
        <v>223</v>
      </c>
      <c r="F116" s="1186">
        <v>181</v>
      </c>
      <c r="G116" s="1186">
        <v>244</v>
      </c>
      <c r="H116" s="1186">
        <v>2818</v>
      </c>
      <c r="I116" s="1186">
        <v>11</v>
      </c>
      <c r="J116" s="1186">
        <v>3896</v>
      </c>
      <c r="K116" s="1186" t="s">
        <v>1983</v>
      </c>
      <c r="L116" s="1186" t="s">
        <v>1984</v>
      </c>
      <c r="M116" s="1186" t="s">
        <v>621</v>
      </c>
      <c r="N116" s="1186" t="s">
        <v>976</v>
      </c>
      <c r="O116" s="1186">
        <v>4893</v>
      </c>
      <c r="P116" s="1186">
        <v>3564</v>
      </c>
      <c r="Q116" s="1186">
        <v>1071</v>
      </c>
      <c r="R116" s="1186">
        <v>185</v>
      </c>
      <c r="S116" s="1186">
        <v>71</v>
      </c>
      <c r="T116" s="1186">
        <v>2</v>
      </c>
      <c r="U116" s="1186" t="s">
        <v>621</v>
      </c>
      <c r="V116" s="1186" t="s">
        <v>976</v>
      </c>
      <c r="W116" s="1186">
        <v>1171</v>
      </c>
      <c r="X116" s="1186"/>
      <c r="Y116" s="1186">
        <v>212</v>
      </c>
      <c r="Z116" s="1186">
        <v>6</v>
      </c>
      <c r="AA116" s="1186">
        <v>107</v>
      </c>
      <c r="AB116" s="1186">
        <v>26</v>
      </c>
      <c r="AC116" s="1186">
        <v>62</v>
      </c>
      <c r="AD116" s="1186">
        <v>2</v>
      </c>
      <c r="AE116" s="1186">
        <v>87</v>
      </c>
      <c r="AF116" s="1186">
        <v>27</v>
      </c>
      <c r="AG116" s="1186">
        <v>20</v>
      </c>
      <c r="AH116" s="1186">
        <v>7</v>
      </c>
      <c r="AI116" s="1186">
        <v>8</v>
      </c>
      <c r="AJ116" s="1186">
        <v>27</v>
      </c>
      <c r="AK116" s="1186">
        <v>61</v>
      </c>
      <c r="AL116" s="1186">
        <v>276</v>
      </c>
      <c r="AM116" s="1186">
        <v>23</v>
      </c>
      <c r="AN116" s="1186">
        <v>96</v>
      </c>
      <c r="AO116" s="1186">
        <v>1</v>
      </c>
      <c r="AP116" s="1186">
        <v>5</v>
      </c>
      <c r="AQ116" s="1186">
        <v>105</v>
      </c>
      <c r="AR116" s="1186">
        <v>13</v>
      </c>
    </row>
    <row r="117" spans="1:44" x14ac:dyDescent="0.2">
      <c r="A117" s="1186" t="s">
        <v>621</v>
      </c>
      <c r="B117" s="1186" t="s">
        <v>977</v>
      </c>
      <c r="C117" s="1186">
        <v>875</v>
      </c>
      <c r="D117" s="1186">
        <v>415</v>
      </c>
      <c r="E117" s="1186">
        <v>174</v>
      </c>
      <c r="F117" s="1186">
        <v>208</v>
      </c>
      <c r="G117" s="1186">
        <v>78</v>
      </c>
      <c r="H117" s="1186">
        <v>964</v>
      </c>
      <c r="I117" s="1186">
        <v>18</v>
      </c>
      <c r="J117" s="1186">
        <v>1857</v>
      </c>
      <c r="K117" s="1186" t="s">
        <v>1983</v>
      </c>
      <c r="L117" s="1186" t="s">
        <v>1984</v>
      </c>
      <c r="M117" s="1186" t="s">
        <v>621</v>
      </c>
      <c r="N117" s="1186" t="s">
        <v>977</v>
      </c>
      <c r="O117" s="1186">
        <v>4852</v>
      </c>
      <c r="P117" s="1186">
        <v>3893</v>
      </c>
      <c r="Q117" s="1186">
        <v>736</v>
      </c>
      <c r="R117" s="1186">
        <v>158</v>
      </c>
      <c r="S117" s="1186">
        <v>65</v>
      </c>
      <c r="T117" s="1186"/>
      <c r="U117" s="1186" t="s">
        <v>621</v>
      </c>
      <c r="V117" s="1186" t="s">
        <v>977</v>
      </c>
      <c r="W117" s="1186">
        <v>1052</v>
      </c>
      <c r="X117" s="1186"/>
      <c r="Y117" s="1186">
        <v>190</v>
      </c>
      <c r="Z117" s="1186">
        <v>9</v>
      </c>
      <c r="AA117" s="1186">
        <v>67</v>
      </c>
      <c r="AB117" s="1186">
        <v>9</v>
      </c>
      <c r="AC117" s="1186">
        <v>47</v>
      </c>
      <c r="AD117" s="1186">
        <v>4</v>
      </c>
      <c r="AE117" s="1186">
        <v>56</v>
      </c>
      <c r="AF117" s="1186">
        <v>42</v>
      </c>
      <c r="AG117" s="1186">
        <v>28</v>
      </c>
      <c r="AH117" s="1186">
        <v>17</v>
      </c>
      <c r="AI117" s="1186">
        <v>12</v>
      </c>
      <c r="AJ117" s="1186">
        <v>21</v>
      </c>
      <c r="AK117" s="1186">
        <v>38</v>
      </c>
      <c r="AL117" s="1186">
        <v>260</v>
      </c>
      <c r="AM117" s="1186">
        <v>26</v>
      </c>
      <c r="AN117" s="1186">
        <v>102</v>
      </c>
      <c r="AO117" s="1186"/>
      <c r="AP117" s="1186">
        <v>4</v>
      </c>
      <c r="AQ117" s="1186">
        <v>106</v>
      </c>
      <c r="AR117" s="1186">
        <v>14</v>
      </c>
    </row>
    <row r="118" spans="1:44" x14ac:dyDescent="0.2">
      <c r="A118" s="1186" t="s">
        <v>621</v>
      </c>
      <c r="B118" s="1186" t="s">
        <v>978</v>
      </c>
      <c r="C118" s="1186">
        <v>860</v>
      </c>
      <c r="D118" s="1186">
        <v>409</v>
      </c>
      <c r="E118" s="1186">
        <v>188</v>
      </c>
      <c r="F118" s="1186">
        <v>158</v>
      </c>
      <c r="G118" s="1186">
        <v>105</v>
      </c>
      <c r="H118" s="1186">
        <v>968</v>
      </c>
      <c r="I118" s="1186">
        <v>24</v>
      </c>
      <c r="J118" s="1186">
        <v>1852</v>
      </c>
      <c r="K118" s="1186" t="s">
        <v>1985</v>
      </c>
      <c r="L118" s="1186" t="s">
        <v>1984</v>
      </c>
      <c r="M118" s="1186" t="s">
        <v>621</v>
      </c>
      <c r="N118" s="1186" t="s">
        <v>978</v>
      </c>
      <c r="O118" s="1186">
        <v>4685</v>
      </c>
      <c r="P118" s="1186">
        <v>3737</v>
      </c>
      <c r="Q118" s="1186">
        <v>685</v>
      </c>
      <c r="R118" s="1186">
        <v>208</v>
      </c>
      <c r="S118" s="1186">
        <v>54</v>
      </c>
      <c r="T118" s="1186">
        <v>1</v>
      </c>
      <c r="U118" s="1186" t="s">
        <v>621</v>
      </c>
      <c r="V118" s="1186" t="s">
        <v>978</v>
      </c>
      <c r="W118" s="1186">
        <v>1195</v>
      </c>
      <c r="X118" s="1186"/>
      <c r="Y118" s="1186">
        <v>199</v>
      </c>
      <c r="Z118" s="1186">
        <v>16</v>
      </c>
      <c r="AA118" s="1186">
        <v>74</v>
      </c>
      <c r="AB118" s="1186">
        <v>10</v>
      </c>
      <c r="AC118" s="1186">
        <v>38</v>
      </c>
      <c r="AD118" s="1186">
        <v>9</v>
      </c>
      <c r="AE118" s="1186">
        <v>71</v>
      </c>
      <c r="AF118" s="1186">
        <v>34</v>
      </c>
      <c r="AG118" s="1186">
        <v>22</v>
      </c>
      <c r="AH118" s="1186">
        <v>19</v>
      </c>
      <c r="AI118" s="1186">
        <v>9</v>
      </c>
      <c r="AJ118" s="1186">
        <v>27</v>
      </c>
      <c r="AK118" s="1186">
        <v>18</v>
      </c>
      <c r="AL118" s="1186">
        <v>274</v>
      </c>
      <c r="AM118" s="1186">
        <v>131</v>
      </c>
      <c r="AN118" s="1186">
        <v>116</v>
      </c>
      <c r="AO118" s="1186"/>
      <c r="AP118" s="1186">
        <v>5</v>
      </c>
      <c r="AQ118" s="1186">
        <v>100</v>
      </c>
      <c r="AR118" s="1186">
        <v>23</v>
      </c>
    </row>
    <row r="119" spans="1:44" x14ac:dyDescent="0.2">
      <c r="A119" s="1186" t="s">
        <v>621</v>
      </c>
      <c r="B119" s="1186" t="s">
        <v>979</v>
      </c>
      <c r="C119" s="1186">
        <v>843</v>
      </c>
      <c r="D119" s="1186">
        <v>440</v>
      </c>
      <c r="E119" s="1186">
        <v>179</v>
      </c>
      <c r="F119" s="1186">
        <v>144</v>
      </c>
      <c r="G119" s="1186">
        <v>80</v>
      </c>
      <c r="H119" s="1186">
        <v>1080</v>
      </c>
      <c r="I119" s="1186">
        <v>43</v>
      </c>
      <c r="J119" s="1186">
        <v>1966</v>
      </c>
      <c r="K119" s="1186" t="s">
        <v>1985</v>
      </c>
      <c r="L119" s="1186" t="s">
        <v>1986</v>
      </c>
      <c r="M119" s="1186" t="s">
        <v>621</v>
      </c>
      <c r="N119" s="1186" t="s">
        <v>979</v>
      </c>
      <c r="O119" s="1186">
        <v>4613</v>
      </c>
      <c r="P119" s="1186">
        <v>3670</v>
      </c>
      <c r="Q119" s="1186">
        <v>694</v>
      </c>
      <c r="R119" s="1186">
        <v>189</v>
      </c>
      <c r="S119" s="1186">
        <v>59</v>
      </c>
      <c r="T119" s="1186">
        <v>1</v>
      </c>
      <c r="U119" s="1186" t="s">
        <v>621</v>
      </c>
      <c r="V119" s="1186" t="s">
        <v>979</v>
      </c>
      <c r="W119" s="1186">
        <v>1092</v>
      </c>
      <c r="X119" s="1186"/>
      <c r="Y119" s="1186">
        <v>208</v>
      </c>
      <c r="Z119" s="1186">
        <v>9</v>
      </c>
      <c r="AA119" s="1186">
        <v>96</v>
      </c>
      <c r="AB119" s="1186">
        <v>14</v>
      </c>
      <c r="AC119" s="1186">
        <v>37</v>
      </c>
      <c r="AD119" s="1186">
        <v>9</v>
      </c>
      <c r="AE119" s="1186">
        <v>57</v>
      </c>
      <c r="AF119" s="1186">
        <v>46</v>
      </c>
      <c r="AG119" s="1186">
        <v>15</v>
      </c>
      <c r="AH119" s="1186">
        <v>15</v>
      </c>
      <c r="AI119" s="1186">
        <v>3</v>
      </c>
      <c r="AJ119" s="1186">
        <v>17</v>
      </c>
      <c r="AK119" s="1186">
        <v>39</v>
      </c>
      <c r="AL119" s="1186">
        <v>298</v>
      </c>
      <c r="AM119" s="1186">
        <v>25</v>
      </c>
      <c r="AN119" s="1186">
        <v>85</v>
      </c>
      <c r="AO119" s="1186">
        <v>1</v>
      </c>
      <c r="AP119" s="1186">
        <v>4</v>
      </c>
      <c r="AQ119" s="1186">
        <v>97</v>
      </c>
      <c r="AR119" s="1186">
        <v>17</v>
      </c>
    </row>
    <row r="120" spans="1:44" x14ac:dyDescent="0.2">
      <c r="A120" s="1186" t="s">
        <v>621</v>
      </c>
      <c r="B120" s="1186" t="s">
        <v>980</v>
      </c>
      <c r="C120" s="1186">
        <v>852</v>
      </c>
      <c r="D120" s="1186">
        <v>413</v>
      </c>
      <c r="E120" s="1186">
        <v>199</v>
      </c>
      <c r="F120" s="1186">
        <v>166</v>
      </c>
      <c r="G120" s="1186">
        <v>74</v>
      </c>
      <c r="H120" s="1186">
        <v>1109</v>
      </c>
      <c r="I120" s="1186">
        <v>76</v>
      </c>
      <c r="J120" s="1186">
        <v>2037</v>
      </c>
      <c r="K120" s="1186" t="s">
        <v>1985</v>
      </c>
      <c r="L120" s="1186" t="s">
        <v>1986</v>
      </c>
      <c r="M120" s="1186" t="s">
        <v>621</v>
      </c>
      <c r="N120" s="1186" t="s">
        <v>980</v>
      </c>
      <c r="O120" s="1186">
        <v>4584</v>
      </c>
      <c r="P120" s="1186">
        <v>3420</v>
      </c>
      <c r="Q120" s="1186">
        <v>887</v>
      </c>
      <c r="R120" s="1186">
        <v>213</v>
      </c>
      <c r="S120" s="1186">
        <v>64</v>
      </c>
      <c r="T120" s="1186"/>
      <c r="U120" s="1186" t="s">
        <v>621</v>
      </c>
      <c r="V120" s="1186" t="s">
        <v>980</v>
      </c>
      <c r="W120" s="1186">
        <v>1001</v>
      </c>
      <c r="X120" s="1186"/>
      <c r="Y120" s="1186">
        <v>207</v>
      </c>
      <c r="Z120" s="1186">
        <v>6</v>
      </c>
      <c r="AA120" s="1186">
        <v>94</v>
      </c>
      <c r="AB120" s="1186">
        <v>8</v>
      </c>
      <c r="AC120" s="1186">
        <v>30</v>
      </c>
      <c r="AD120" s="1186">
        <v>5</v>
      </c>
      <c r="AE120" s="1186">
        <v>69</v>
      </c>
      <c r="AF120" s="1186">
        <v>41</v>
      </c>
      <c r="AG120" s="1186">
        <v>18</v>
      </c>
      <c r="AH120" s="1186">
        <v>17</v>
      </c>
      <c r="AI120" s="1186">
        <v>9</v>
      </c>
      <c r="AJ120" s="1186">
        <v>21</v>
      </c>
      <c r="AK120" s="1186">
        <v>23</v>
      </c>
      <c r="AL120" s="1186">
        <v>238</v>
      </c>
      <c r="AM120" s="1186">
        <v>15</v>
      </c>
      <c r="AN120" s="1186">
        <v>89</v>
      </c>
      <c r="AO120" s="1186">
        <v>1</v>
      </c>
      <c r="AP120" s="1186">
        <v>3</v>
      </c>
      <c r="AQ120" s="1186">
        <v>91</v>
      </c>
      <c r="AR120" s="1186">
        <v>16</v>
      </c>
    </row>
    <row r="121" spans="1:44" x14ac:dyDescent="0.2">
      <c r="A121" s="1186" t="s">
        <v>621</v>
      </c>
      <c r="B121" s="1186" t="s">
        <v>981</v>
      </c>
      <c r="C121" s="1186">
        <v>798</v>
      </c>
      <c r="D121" s="1186">
        <v>449</v>
      </c>
      <c r="E121" s="1186">
        <v>185</v>
      </c>
      <c r="F121" s="1186">
        <v>125</v>
      </c>
      <c r="G121" s="1186">
        <v>39</v>
      </c>
      <c r="H121" s="1186">
        <v>654</v>
      </c>
      <c r="I121" s="1186">
        <v>93</v>
      </c>
      <c r="J121" s="1186">
        <v>1545</v>
      </c>
      <c r="K121" s="1186" t="s">
        <v>1987</v>
      </c>
      <c r="L121" s="1186" t="s">
        <v>1986</v>
      </c>
      <c r="M121" s="1186" t="s">
        <v>621</v>
      </c>
      <c r="N121" s="1186" t="s">
        <v>981</v>
      </c>
      <c r="O121" s="1186">
        <v>4119</v>
      </c>
      <c r="P121" s="1186">
        <v>3172</v>
      </c>
      <c r="Q121" s="1186">
        <v>704</v>
      </c>
      <c r="R121" s="1186">
        <v>176</v>
      </c>
      <c r="S121" s="1186">
        <v>63</v>
      </c>
      <c r="T121" s="1186">
        <v>4</v>
      </c>
      <c r="U121" s="1186" t="s">
        <v>621</v>
      </c>
      <c r="V121" s="1186" t="s">
        <v>981</v>
      </c>
      <c r="W121" s="1186">
        <v>1156</v>
      </c>
      <c r="X121" s="1186"/>
      <c r="Y121" s="1186">
        <v>229</v>
      </c>
      <c r="Z121" s="1186">
        <v>10</v>
      </c>
      <c r="AA121" s="1186">
        <v>120</v>
      </c>
      <c r="AB121" s="1186">
        <v>12</v>
      </c>
      <c r="AC121" s="1186">
        <v>26</v>
      </c>
      <c r="AD121" s="1186">
        <v>13</v>
      </c>
      <c r="AE121" s="1186">
        <v>57</v>
      </c>
      <c r="AF121" s="1186">
        <v>43</v>
      </c>
      <c r="AG121" s="1186">
        <v>18</v>
      </c>
      <c r="AH121" s="1186">
        <v>19</v>
      </c>
      <c r="AI121" s="1186">
        <v>4</v>
      </c>
      <c r="AJ121" s="1186">
        <v>18</v>
      </c>
      <c r="AK121" s="1186">
        <v>25</v>
      </c>
      <c r="AL121" s="1186">
        <v>335</v>
      </c>
      <c r="AM121" s="1186">
        <v>28</v>
      </c>
      <c r="AN121" s="1186">
        <v>82</v>
      </c>
      <c r="AO121" s="1186"/>
      <c r="AP121" s="1186">
        <v>5</v>
      </c>
      <c r="AQ121" s="1186">
        <v>107</v>
      </c>
      <c r="AR121" s="1186">
        <v>5</v>
      </c>
    </row>
    <row r="122" spans="1:44" x14ac:dyDescent="0.2">
      <c r="A122" s="1186" t="s">
        <v>621</v>
      </c>
      <c r="B122" s="1186" t="s">
        <v>982</v>
      </c>
      <c r="C122" s="1186">
        <v>849</v>
      </c>
      <c r="D122" s="1186">
        <v>474</v>
      </c>
      <c r="E122" s="1186">
        <v>185</v>
      </c>
      <c r="F122" s="1186">
        <v>146</v>
      </c>
      <c r="G122" s="1186">
        <v>44</v>
      </c>
      <c r="H122" s="1186">
        <v>795</v>
      </c>
      <c r="I122" s="1186">
        <v>80</v>
      </c>
      <c r="J122" s="1186">
        <v>1724</v>
      </c>
      <c r="K122" s="1186" t="s">
        <v>1987</v>
      </c>
      <c r="L122" s="1186" t="s">
        <v>1988</v>
      </c>
      <c r="M122" s="1186" t="s">
        <v>621</v>
      </c>
      <c r="N122" s="1186" t="s">
        <v>982</v>
      </c>
      <c r="O122" s="1186">
        <v>4141</v>
      </c>
      <c r="P122" s="1186">
        <v>3218</v>
      </c>
      <c r="Q122" s="1186">
        <v>653</v>
      </c>
      <c r="R122" s="1186">
        <v>210</v>
      </c>
      <c r="S122" s="1186">
        <v>60</v>
      </c>
      <c r="T122" s="1186"/>
      <c r="U122" s="1186" t="s">
        <v>621</v>
      </c>
      <c r="V122" s="1186" t="s">
        <v>982</v>
      </c>
      <c r="W122" s="1186">
        <v>1082</v>
      </c>
      <c r="X122" s="1186"/>
      <c r="Y122" s="1186">
        <v>186</v>
      </c>
      <c r="Z122" s="1186">
        <v>7</v>
      </c>
      <c r="AA122" s="1186">
        <v>92</v>
      </c>
      <c r="AB122" s="1186">
        <v>11</v>
      </c>
      <c r="AC122" s="1186">
        <v>37</v>
      </c>
      <c r="AD122" s="1186">
        <v>7</v>
      </c>
      <c r="AE122" s="1186">
        <v>76</v>
      </c>
      <c r="AF122" s="1186">
        <v>47</v>
      </c>
      <c r="AG122" s="1186">
        <v>16</v>
      </c>
      <c r="AH122" s="1186">
        <v>21</v>
      </c>
      <c r="AI122" s="1186">
        <v>11</v>
      </c>
      <c r="AJ122" s="1186">
        <v>20</v>
      </c>
      <c r="AK122" s="1186">
        <v>28</v>
      </c>
      <c r="AL122" s="1186">
        <v>278</v>
      </c>
      <c r="AM122" s="1186">
        <v>18</v>
      </c>
      <c r="AN122" s="1186">
        <v>99</v>
      </c>
      <c r="AO122" s="1186"/>
      <c r="AP122" s="1186">
        <v>3</v>
      </c>
      <c r="AQ122" s="1186">
        <v>110</v>
      </c>
      <c r="AR122" s="1186">
        <v>15</v>
      </c>
    </row>
    <row r="123" spans="1:44" x14ac:dyDescent="0.2">
      <c r="A123" s="1186" t="s">
        <v>621</v>
      </c>
      <c r="B123" s="1186" t="s">
        <v>983</v>
      </c>
      <c r="C123" s="1186">
        <v>785</v>
      </c>
      <c r="D123" s="1186">
        <v>399</v>
      </c>
      <c r="E123" s="1186">
        <v>153</v>
      </c>
      <c r="F123" s="1186">
        <v>173</v>
      </c>
      <c r="G123" s="1186">
        <v>60</v>
      </c>
      <c r="H123" s="1186">
        <v>911</v>
      </c>
      <c r="I123" s="1186">
        <v>73</v>
      </c>
      <c r="J123" s="1186">
        <v>1769</v>
      </c>
      <c r="K123" s="1186" t="s">
        <v>1987</v>
      </c>
      <c r="L123" s="1186" t="s">
        <v>1988</v>
      </c>
      <c r="M123" s="1186" t="s">
        <v>621</v>
      </c>
      <c r="N123" s="1186" t="s">
        <v>983</v>
      </c>
      <c r="O123" s="1186">
        <v>3786</v>
      </c>
      <c r="P123" s="1186">
        <v>2939</v>
      </c>
      <c r="Q123" s="1186">
        <v>628</v>
      </c>
      <c r="R123" s="1186">
        <v>151</v>
      </c>
      <c r="S123" s="1186">
        <v>68</v>
      </c>
      <c r="T123" s="1186"/>
      <c r="U123" s="1186" t="s">
        <v>621</v>
      </c>
      <c r="V123" s="1186" t="s">
        <v>983</v>
      </c>
      <c r="W123" s="1186">
        <v>1015</v>
      </c>
      <c r="X123" s="1186"/>
      <c r="Y123" s="1186">
        <v>177</v>
      </c>
      <c r="Z123" s="1186">
        <v>6</v>
      </c>
      <c r="AA123" s="1186">
        <v>119</v>
      </c>
      <c r="AB123" s="1186">
        <v>13</v>
      </c>
      <c r="AC123" s="1186">
        <v>35</v>
      </c>
      <c r="AD123" s="1186">
        <v>3</v>
      </c>
      <c r="AE123" s="1186">
        <v>64</v>
      </c>
      <c r="AF123" s="1186">
        <v>33</v>
      </c>
      <c r="AG123" s="1186">
        <v>17</v>
      </c>
      <c r="AH123" s="1186">
        <v>11</v>
      </c>
      <c r="AI123" s="1186">
        <v>5</v>
      </c>
      <c r="AJ123" s="1186">
        <v>19</v>
      </c>
      <c r="AK123" s="1186">
        <v>33</v>
      </c>
      <c r="AL123" s="1186">
        <v>278</v>
      </c>
      <c r="AM123" s="1186">
        <v>21</v>
      </c>
      <c r="AN123" s="1186">
        <v>70</v>
      </c>
      <c r="AO123" s="1186">
        <v>1</v>
      </c>
      <c r="AP123" s="1186">
        <v>4</v>
      </c>
      <c r="AQ123" s="1186">
        <v>97</v>
      </c>
      <c r="AR123" s="1186">
        <v>9</v>
      </c>
    </row>
    <row r="124" spans="1:44" x14ac:dyDescent="0.2">
      <c r="A124" s="1186" t="s">
        <v>621</v>
      </c>
      <c r="B124" s="1186" t="s">
        <v>984</v>
      </c>
      <c r="C124" s="1186">
        <v>796</v>
      </c>
      <c r="D124" s="1186">
        <v>430</v>
      </c>
      <c r="E124" s="1186">
        <v>173</v>
      </c>
      <c r="F124" s="1186">
        <v>130</v>
      </c>
      <c r="G124" s="1186">
        <v>63</v>
      </c>
      <c r="H124" s="1186">
        <v>1071</v>
      </c>
      <c r="I124" s="1186">
        <v>91</v>
      </c>
      <c r="J124" s="1186">
        <v>1958</v>
      </c>
      <c r="K124" s="1186" t="s">
        <v>1981</v>
      </c>
      <c r="L124" s="1186" t="s">
        <v>1988</v>
      </c>
      <c r="M124" s="1186" t="s">
        <v>621</v>
      </c>
      <c r="N124" s="1186" t="s">
        <v>984</v>
      </c>
      <c r="O124" s="1186">
        <v>4053</v>
      </c>
      <c r="P124" s="1186">
        <v>3091</v>
      </c>
      <c r="Q124" s="1186">
        <v>669</v>
      </c>
      <c r="R124" s="1186">
        <v>219</v>
      </c>
      <c r="S124" s="1186">
        <v>71</v>
      </c>
      <c r="T124" s="1186">
        <v>3</v>
      </c>
      <c r="U124" s="1186" t="s">
        <v>621</v>
      </c>
      <c r="V124" s="1186" t="s">
        <v>984</v>
      </c>
      <c r="W124" s="1186">
        <v>1098</v>
      </c>
      <c r="X124" s="1186"/>
      <c r="Y124" s="1186">
        <v>194</v>
      </c>
      <c r="Z124" s="1186">
        <v>8</v>
      </c>
      <c r="AA124" s="1186">
        <v>113</v>
      </c>
      <c r="AB124" s="1186">
        <v>20</v>
      </c>
      <c r="AC124" s="1186">
        <v>30</v>
      </c>
      <c r="AD124" s="1186">
        <v>6</v>
      </c>
      <c r="AE124" s="1186">
        <v>69</v>
      </c>
      <c r="AF124" s="1186">
        <v>40</v>
      </c>
      <c r="AG124" s="1186">
        <v>16</v>
      </c>
      <c r="AH124" s="1186">
        <v>10</v>
      </c>
      <c r="AI124" s="1186">
        <v>9</v>
      </c>
      <c r="AJ124" s="1186">
        <v>28</v>
      </c>
      <c r="AK124" s="1186">
        <v>34</v>
      </c>
      <c r="AL124" s="1186">
        <v>292</v>
      </c>
      <c r="AM124" s="1186">
        <v>24</v>
      </c>
      <c r="AN124" s="1186">
        <v>103</v>
      </c>
      <c r="AO124" s="1186"/>
      <c r="AP124" s="1186">
        <v>4</v>
      </c>
      <c r="AQ124" s="1186">
        <v>91</v>
      </c>
      <c r="AR124" s="1186">
        <v>7</v>
      </c>
    </row>
    <row r="125" spans="1:44" x14ac:dyDescent="0.2">
      <c r="A125" s="1186" t="s">
        <v>1419</v>
      </c>
      <c r="B125" s="1186" t="s">
        <v>1427</v>
      </c>
      <c r="C125" s="1186">
        <v>925</v>
      </c>
      <c r="D125" s="1186">
        <v>407</v>
      </c>
      <c r="E125" s="1186">
        <v>162</v>
      </c>
      <c r="F125" s="1186">
        <v>186</v>
      </c>
      <c r="G125" s="1186">
        <v>170</v>
      </c>
      <c r="H125" s="1186">
        <v>2867</v>
      </c>
      <c r="I125" s="1186">
        <v>59</v>
      </c>
      <c r="J125" s="1186">
        <v>3851</v>
      </c>
      <c r="K125" s="1186" t="s">
        <v>1981</v>
      </c>
      <c r="L125" s="1186" t="s">
        <v>1982</v>
      </c>
      <c r="M125" s="1186" t="s">
        <v>1419</v>
      </c>
      <c r="N125" s="1186" t="s">
        <v>1427</v>
      </c>
      <c r="O125" s="1186">
        <v>4327</v>
      </c>
      <c r="P125" s="1186">
        <v>3054</v>
      </c>
      <c r="Q125" s="1186">
        <v>976</v>
      </c>
      <c r="R125" s="1186">
        <v>195</v>
      </c>
      <c r="S125" s="1186">
        <v>98</v>
      </c>
      <c r="T125" s="1186">
        <v>4</v>
      </c>
      <c r="U125" s="1186" t="s">
        <v>1419</v>
      </c>
      <c r="V125" s="1186" t="s">
        <v>1427</v>
      </c>
      <c r="W125" s="1186">
        <v>1044</v>
      </c>
      <c r="X125" s="1186"/>
      <c r="Y125" s="1186">
        <v>178</v>
      </c>
      <c r="Z125" s="1186">
        <v>4</v>
      </c>
      <c r="AA125" s="1186">
        <v>86</v>
      </c>
      <c r="AB125" s="1186">
        <v>19</v>
      </c>
      <c r="AC125" s="1186">
        <v>59</v>
      </c>
      <c r="AD125" s="1186">
        <v>6</v>
      </c>
      <c r="AE125" s="1186">
        <v>56</v>
      </c>
      <c r="AF125" s="1186">
        <v>29</v>
      </c>
      <c r="AG125" s="1186">
        <v>9</v>
      </c>
      <c r="AH125" s="1186">
        <v>17</v>
      </c>
      <c r="AI125" s="1186">
        <v>13</v>
      </c>
      <c r="AJ125" s="1186">
        <v>26</v>
      </c>
      <c r="AK125" s="1186">
        <v>46</v>
      </c>
      <c r="AL125" s="1186">
        <v>301</v>
      </c>
      <c r="AM125" s="1186">
        <v>13</v>
      </c>
      <c r="AN125" s="1186">
        <v>88</v>
      </c>
      <c r="AO125" s="1186">
        <v>1</v>
      </c>
      <c r="AP125" s="1186">
        <v>1</v>
      </c>
      <c r="AQ125" s="1186">
        <v>87</v>
      </c>
      <c r="AR125" s="1186">
        <v>5</v>
      </c>
    </row>
    <row r="126" spans="1:44" x14ac:dyDescent="0.2">
      <c r="A126" s="1186" t="s">
        <v>1419</v>
      </c>
      <c r="B126" s="1186" t="s">
        <v>1428</v>
      </c>
      <c r="C126" s="1186">
        <v>952</v>
      </c>
      <c r="D126" s="1186">
        <v>441</v>
      </c>
      <c r="E126" s="1186">
        <v>189</v>
      </c>
      <c r="F126" s="1186">
        <v>163</v>
      </c>
      <c r="G126" s="1186">
        <v>159</v>
      </c>
      <c r="H126" s="1186">
        <v>1967</v>
      </c>
      <c r="I126" s="1186">
        <v>35</v>
      </c>
      <c r="J126" s="1186">
        <v>2954</v>
      </c>
      <c r="K126" s="1186" t="s">
        <v>1981</v>
      </c>
      <c r="L126" s="1186" t="s">
        <v>1982</v>
      </c>
      <c r="M126" s="1186" t="s">
        <v>1419</v>
      </c>
      <c r="N126" s="1186" t="s">
        <v>1428</v>
      </c>
      <c r="O126" s="1186">
        <v>4159</v>
      </c>
      <c r="P126" s="1186">
        <v>3119</v>
      </c>
      <c r="Q126" s="1186">
        <v>763</v>
      </c>
      <c r="R126" s="1186">
        <v>205</v>
      </c>
      <c r="S126" s="1186">
        <v>70</v>
      </c>
      <c r="T126" s="1186">
        <v>2</v>
      </c>
      <c r="U126" s="1186" t="s">
        <v>1419</v>
      </c>
      <c r="V126" s="1186" t="s">
        <v>1428</v>
      </c>
      <c r="W126" s="1186">
        <v>1120</v>
      </c>
      <c r="X126" s="1186"/>
      <c r="Y126" s="1186">
        <v>198</v>
      </c>
      <c r="Z126" s="1186">
        <v>11</v>
      </c>
      <c r="AA126" s="1186">
        <v>102</v>
      </c>
      <c r="AB126" s="1186">
        <v>18</v>
      </c>
      <c r="AC126" s="1186">
        <v>48</v>
      </c>
      <c r="AD126" s="1186">
        <v>6</v>
      </c>
      <c r="AE126" s="1186">
        <v>69</v>
      </c>
      <c r="AF126" s="1186">
        <v>46</v>
      </c>
      <c r="AG126" s="1186">
        <v>20</v>
      </c>
      <c r="AH126" s="1186">
        <v>14</v>
      </c>
      <c r="AI126" s="1186">
        <v>9</v>
      </c>
      <c r="AJ126" s="1186">
        <v>28</v>
      </c>
      <c r="AK126" s="1186">
        <v>43</v>
      </c>
      <c r="AL126" s="1186">
        <v>282</v>
      </c>
      <c r="AM126" s="1186">
        <v>15</v>
      </c>
      <c r="AN126" s="1186">
        <v>85</v>
      </c>
      <c r="AO126" s="1186"/>
      <c r="AP126" s="1186">
        <v>2</v>
      </c>
      <c r="AQ126" s="1186">
        <v>110</v>
      </c>
      <c r="AR126" s="1186">
        <v>14</v>
      </c>
    </row>
    <row r="127" spans="1:44" x14ac:dyDescent="0.2">
      <c r="A127" s="1186" t="s">
        <v>1419</v>
      </c>
      <c r="B127" s="1186" t="s">
        <v>1429</v>
      </c>
      <c r="C127" s="1186">
        <v>809</v>
      </c>
      <c r="D127" s="1186">
        <v>385</v>
      </c>
      <c r="E127" s="1186">
        <v>183</v>
      </c>
      <c r="F127" s="1186">
        <v>178</v>
      </c>
      <c r="G127" s="1186">
        <v>63</v>
      </c>
      <c r="H127" s="1186">
        <v>1102</v>
      </c>
      <c r="I127" s="1186">
        <v>11</v>
      </c>
      <c r="J127" s="1186">
        <v>1922</v>
      </c>
      <c r="K127" s="1186" t="s">
        <v>1983</v>
      </c>
      <c r="L127" s="1186" t="s">
        <v>1982</v>
      </c>
      <c r="M127" s="1186" t="s">
        <v>1419</v>
      </c>
      <c r="N127" s="1186" t="s">
        <v>1429</v>
      </c>
      <c r="O127" s="1186">
        <v>4314</v>
      </c>
      <c r="P127" s="1186">
        <v>3379</v>
      </c>
      <c r="Q127" s="1186">
        <v>661</v>
      </c>
      <c r="R127" s="1186">
        <v>209</v>
      </c>
      <c r="S127" s="1186">
        <v>61</v>
      </c>
      <c r="T127" s="1186">
        <v>4</v>
      </c>
      <c r="U127" s="1186" t="s">
        <v>1419</v>
      </c>
      <c r="V127" s="1186" t="s">
        <v>1429</v>
      </c>
      <c r="W127" s="1186">
        <v>1159</v>
      </c>
      <c r="X127" s="1186"/>
      <c r="Y127" s="1186">
        <v>171</v>
      </c>
      <c r="Z127" s="1186">
        <v>21</v>
      </c>
      <c r="AA127" s="1186">
        <v>136</v>
      </c>
      <c r="AB127" s="1186">
        <v>19</v>
      </c>
      <c r="AC127" s="1186">
        <v>80</v>
      </c>
      <c r="AD127" s="1186">
        <v>5</v>
      </c>
      <c r="AE127" s="1186">
        <v>54</v>
      </c>
      <c r="AF127" s="1186">
        <v>43</v>
      </c>
      <c r="AG127" s="1186">
        <v>22</v>
      </c>
      <c r="AH127" s="1186">
        <v>10</v>
      </c>
      <c r="AI127" s="1186">
        <v>5</v>
      </c>
      <c r="AJ127" s="1186">
        <v>29</v>
      </c>
      <c r="AK127" s="1186">
        <v>56</v>
      </c>
      <c r="AL127" s="1186">
        <v>289</v>
      </c>
      <c r="AM127" s="1186">
        <v>19</v>
      </c>
      <c r="AN127" s="1186">
        <v>89</v>
      </c>
      <c r="AO127" s="1186">
        <v>1</v>
      </c>
      <c r="AP127" s="1186">
        <v>2</v>
      </c>
      <c r="AQ127" s="1186">
        <v>93</v>
      </c>
      <c r="AR127" s="1186">
        <v>15</v>
      </c>
    </row>
    <row r="128" spans="1:44" x14ac:dyDescent="0.2">
      <c r="A128" s="1186" t="s">
        <v>1419</v>
      </c>
      <c r="B128" s="1186" t="s">
        <v>1430</v>
      </c>
      <c r="C128" s="1186">
        <v>833</v>
      </c>
      <c r="D128" s="1186">
        <v>406</v>
      </c>
      <c r="E128" s="1186">
        <v>187</v>
      </c>
      <c r="F128" s="1186">
        <v>164</v>
      </c>
      <c r="G128" s="1186">
        <v>76</v>
      </c>
      <c r="H128" s="1186">
        <v>1251</v>
      </c>
      <c r="I128" s="1186">
        <v>9</v>
      </c>
      <c r="J128" s="1186">
        <v>2093</v>
      </c>
      <c r="K128" s="1186" t="s">
        <v>1983</v>
      </c>
      <c r="L128" s="1186" t="s">
        <v>1984</v>
      </c>
      <c r="M128" s="1186" t="s">
        <v>1419</v>
      </c>
      <c r="N128" s="1186" t="s">
        <v>1430</v>
      </c>
      <c r="O128" s="1186">
        <v>5130</v>
      </c>
      <c r="P128" s="1186">
        <v>4140</v>
      </c>
      <c r="Q128" s="1186">
        <v>760</v>
      </c>
      <c r="R128" s="1186">
        <v>168</v>
      </c>
      <c r="S128" s="1186">
        <v>61</v>
      </c>
      <c r="T128" s="1186">
        <v>1</v>
      </c>
      <c r="U128" s="1186" t="s">
        <v>1419</v>
      </c>
      <c r="V128" s="1186" t="s">
        <v>1430</v>
      </c>
      <c r="W128" s="1186">
        <v>1327</v>
      </c>
      <c r="X128" s="1186"/>
      <c r="Y128" s="1186">
        <v>222</v>
      </c>
      <c r="Z128" s="1186">
        <v>11</v>
      </c>
      <c r="AA128" s="1186">
        <v>145</v>
      </c>
      <c r="AB128" s="1186">
        <v>22</v>
      </c>
      <c r="AC128" s="1186">
        <v>46</v>
      </c>
      <c r="AD128" s="1186">
        <v>9</v>
      </c>
      <c r="AE128" s="1186">
        <v>74</v>
      </c>
      <c r="AF128" s="1186">
        <v>35</v>
      </c>
      <c r="AG128" s="1186">
        <v>25</v>
      </c>
      <c r="AH128" s="1186">
        <v>20</v>
      </c>
      <c r="AI128" s="1186">
        <v>8</v>
      </c>
      <c r="AJ128" s="1186">
        <v>46</v>
      </c>
      <c r="AK128" s="1186">
        <v>54</v>
      </c>
      <c r="AL128" s="1186">
        <v>343</v>
      </c>
      <c r="AM128" s="1186">
        <v>22</v>
      </c>
      <c r="AN128" s="1186">
        <v>108</v>
      </c>
      <c r="AO128" s="1186"/>
      <c r="AP128" s="1186">
        <v>2</v>
      </c>
      <c r="AQ128" s="1186">
        <v>125</v>
      </c>
      <c r="AR128" s="1186">
        <v>10</v>
      </c>
    </row>
    <row r="129" spans="1:44" x14ac:dyDescent="0.2">
      <c r="A129" s="1186" t="s">
        <v>1419</v>
      </c>
      <c r="B129" s="1186" t="s">
        <v>1431</v>
      </c>
      <c r="C129" s="1186">
        <v>787</v>
      </c>
      <c r="D129" s="1186">
        <v>369</v>
      </c>
      <c r="E129" s="1186">
        <v>165</v>
      </c>
      <c r="F129" s="1186">
        <v>184</v>
      </c>
      <c r="G129" s="1186">
        <v>69</v>
      </c>
      <c r="H129" s="1186">
        <v>834</v>
      </c>
      <c r="I129" s="1186">
        <v>12</v>
      </c>
      <c r="J129" s="1186">
        <v>1633</v>
      </c>
      <c r="K129" s="1186" t="s">
        <v>1983</v>
      </c>
      <c r="L129" s="1186" t="s">
        <v>1984</v>
      </c>
      <c r="M129" s="1186" t="s">
        <v>1419</v>
      </c>
      <c r="N129" s="1186" t="s">
        <v>1431</v>
      </c>
      <c r="O129" s="1186">
        <v>5215</v>
      </c>
      <c r="P129" s="1186">
        <v>4234</v>
      </c>
      <c r="Q129" s="1186">
        <v>727</v>
      </c>
      <c r="R129" s="1186">
        <v>173</v>
      </c>
      <c r="S129" s="1186">
        <v>80</v>
      </c>
      <c r="T129" s="1186">
        <v>1</v>
      </c>
      <c r="U129" s="1186" t="s">
        <v>1419</v>
      </c>
      <c r="V129" s="1186" t="s">
        <v>1431</v>
      </c>
      <c r="W129" s="1186">
        <v>1401</v>
      </c>
      <c r="X129" s="1186"/>
      <c r="Y129" s="1186">
        <v>218</v>
      </c>
      <c r="Z129" s="1186">
        <v>8</v>
      </c>
      <c r="AA129" s="1186">
        <v>294</v>
      </c>
      <c r="AB129" s="1186">
        <v>22</v>
      </c>
      <c r="AC129" s="1186">
        <v>74</v>
      </c>
      <c r="AD129" s="1186">
        <v>9</v>
      </c>
      <c r="AE129" s="1186">
        <v>61</v>
      </c>
      <c r="AF129" s="1186">
        <v>42</v>
      </c>
      <c r="AG129" s="1186">
        <v>17</v>
      </c>
      <c r="AH129" s="1186">
        <v>16</v>
      </c>
      <c r="AI129" s="1186">
        <v>7</v>
      </c>
      <c r="AJ129" s="1186">
        <v>39</v>
      </c>
      <c r="AK129" s="1186">
        <v>39</v>
      </c>
      <c r="AL129" s="1186">
        <v>305</v>
      </c>
      <c r="AM129" s="1186">
        <v>15</v>
      </c>
      <c r="AN129" s="1186">
        <v>107</v>
      </c>
      <c r="AO129" s="1186">
        <v>1</v>
      </c>
      <c r="AP129" s="1186">
        <v>1</v>
      </c>
      <c r="AQ129" s="1186">
        <v>108</v>
      </c>
      <c r="AR129" s="1186">
        <v>18</v>
      </c>
    </row>
    <row r="130" spans="1:44" x14ac:dyDescent="0.2">
      <c r="A130" s="1186" t="s">
        <v>1419</v>
      </c>
      <c r="B130" s="1186" t="s">
        <v>1432</v>
      </c>
      <c r="C130" s="1186">
        <v>816</v>
      </c>
      <c r="D130" s="1186">
        <v>397</v>
      </c>
      <c r="E130" s="1186">
        <v>175</v>
      </c>
      <c r="F130" s="1186">
        <v>162</v>
      </c>
      <c r="G130" s="1186">
        <v>82</v>
      </c>
      <c r="H130" s="1186">
        <v>985</v>
      </c>
      <c r="I130" s="1186">
        <v>25</v>
      </c>
      <c r="J130" s="1186">
        <v>1826</v>
      </c>
      <c r="K130" s="1186" t="s">
        <v>1985</v>
      </c>
      <c r="L130" s="1186" t="s">
        <v>1984</v>
      </c>
      <c r="M130" s="1186" t="s">
        <v>1419</v>
      </c>
      <c r="N130" s="1186" t="s">
        <v>1432</v>
      </c>
      <c r="O130" s="1186">
        <v>5023</v>
      </c>
      <c r="P130" s="1186">
        <v>4078</v>
      </c>
      <c r="Q130" s="1186">
        <v>680</v>
      </c>
      <c r="R130" s="1186">
        <v>195</v>
      </c>
      <c r="S130" s="1186">
        <v>68</v>
      </c>
      <c r="T130" s="1186">
        <v>2</v>
      </c>
      <c r="U130" s="1186" t="s">
        <v>1419</v>
      </c>
      <c r="V130" s="1186" t="s">
        <v>1432</v>
      </c>
      <c r="W130" s="1186">
        <v>1233</v>
      </c>
      <c r="X130" s="1186"/>
      <c r="Y130" s="1186">
        <v>194</v>
      </c>
      <c r="Z130" s="1186">
        <v>1</v>
      </c>
      <c r="AA130" s="1186">
        <v>145</v>
      </c>
      <c r="AB130" s="1186">
        <v>17</v>
      </c>
      <c r="AC130" s="1186">
        <v>63</v>
      </c>
      <c r="AD130" s="1186">
        <v>6</v>
      </c>
      <c r="AE130" s="1186">
        <v>80</v>
      </c>
      <c r="AF130" s="1186">
        <v>48</v>
      </c>
      <c r="AG130" s="1186">
        <v>18</v>
      </c>
      <c r="AH130" s="1186">
        <v>21</v>
      </c>
      <c r="AI130" s="1186">
        <v>5</v>
      </c>
      <c r="AJ130" s="1186">
        <v>29</v>
      </c>
      <c r="AK130" s="1186">
        <v>31</v>
      </c>
      <c r="AL130" s="1186">
        <v>325</v>
      </c>
      <c r="AM130" s="1186">
        <v>18</v>
      </c>
      <c r="AN130" s="1186">
        <v>101</v>
      </c>
      <c r="AO130" s="1186">
        <v>1</v>
      </c>
      <c r="AP130" s="1186">
        <v>5</v>
      </c>
      <c r="AQ130" s="1186">
        <v>102</v>
      </c>
      <c r="AR130" s="1186">
        <v>23</v>
      </c>
    </row>
    <row r="131" spans="1:44" x14ac:dyDescent="0.2">
      <c r="A131" s="1186" t="s">
        <v>1419</v>
      </c>
      <c r="B131" s="1186" t="s">
        <v>1433</v>
      </c>
      <c r="C131" s="1186">
        <v>816</v>
      </c>
      <c r="D131" s="1186">
        <v>414</v>
      </c>
      <c r="E131" s="1186">
        <v>149</v>
      </c>
      <c r="F131" s="1186">
        <v>194</v>
      </c>
      <c r="G131" s="1186">
        <v>59</v>
      </c>
      <c r="H131" s="1186">
        <v>982</v>
      </c>
      <c r="I131" s="1186">
        <v>36</v>
      </c>
      <c r="J131" s="1186">
        <v>1834</v>
      </c>
      <c r="K131" s="1186" t="s">
        <v>1985</v>
      </c>
      <c r="L131" s="1186" t="s">
        <v>1986</v>
      </c>
      <c r="M131" s="1186" t="s">
        <v>1419</v>
      </c>
      <c r="N131" s="1186" t="s">
        <v>1433</v>
      </c>
      <c r="O131" s="1186">
        <v>4539</v>
      </c>
      <c r="P131" s="1186">
        <v>3671</v>
      </c>
      <c r="Q131" s="1186">
        <v>638</v>
      </c>
      <c r="R131" s="1186">
        <v>170</v>
      </c>
      <c r="S131" s="1186">
        <v>59</v>
      </c>
      <c r="T131" s="1186">
        <v>1</v>
      </c>
      <c r="U131" s="1186" t="s">
        <v>1419</v>
      </c>
      <c r="V131" s="1186" t="s">
        <v>1433</v>
      </c>
      <c r="W131" s="1186">
        <v>1182</v>
      </c>
      <c r="X131" s="1186"/>
      <c r="Y131" s="1186">
        <v>204</v>
      </c>
      <c r="Z131" s="1186">
        <v>9</v>
      </c>
      <c r="AA131" s="1186">
        <v>114</v>
      </c>
      <c r="AB131" s="1186">
        <v>13</v>
      </c>
      <c r="AC131" s="1186">
        <v>45</v>
      </c>
      <c r="AD131" s="1186">
        <v>7</v>
      </c>
      <c r="AE131" s="1186">
        <v>63</v>
      </c>
      <c r="AF131" s="1186">
        <v>43</v>
      </c>
      <c r="AG131" s="1186">
        <v>18</v>
      </c>
      <c r="AH131" s="1186">
        <v>14</v>
      </c>
      <c r="AI131" s="1186">
        <v>5</v>
      </c>
      <c r="AJ131" s="1186">
        <v>21</v>
      </c>
      <c r="AK131" s="1186">
        <v>45</v>
      </c>
      <c r="AL131" s="1186">
        <v>340</v>
      </c>
      <c r="AM131" s="1186">
        <v>17</v>
      </c>
      <c r="AN131" s="1186">
        <v>95</v>
      </c>
      <c r="AO131" s="1186"/>
      <c r="AP131" s="1186">
        <v>2</v>
      </c>
      <c r="AQ131" s="1186">
        <v>107</v>
      </c>
      <c r="AR131" s="1186">
        <v>20</v>
      </c>
    </row>
    <row r="132" spans="1:44" x14ac:dyDescent="0.2">
      <c r="A132" s="1186" t="s">
        <v>1419</v>
      </c>
      <c r="B132" s="1186" t="s">
        <v>1434</v>
      </c>
      <c r="C132" s="1186">
        <v>786</v>
      </c>
      <c r="D132" s="1186">
        <v>425</v>
      </c>
      <c r="E132" s="1186">
        <v>137</v>
      </c>
      <c r="F132" s="1186">
        <v>174</v>
      </c>
      <c r="G132" s="1186">
        <v>50</v>
      </c>
      <c r="H132" s="1186">
        <v>1232</v>
      </c>
      <c r="I132" s="1186">
        <v>68</v>
      </c>
      <c r="J132" s="1186">
        <v>2086</v>
      </c>
      <c r="K132" s="1186" t="s">
        <v>1985</v>
      </c>
      <c r="L132" s="1186" t="s">
        <v>1986</v>
      </c>
      <c r="M132" s="1186" t="s">
        <v>1419</v>
      </c>
      <c r="N132" s="1186" t="s">
        <v>1434</v>
      </c>
      <c r="O132" s="1186">
        <v>4840</v>
      </c>
      <c r="P132" s="1186">
        <v>3628</v>
      </c>
      <c r="Q132" s="1186">
        <v>936</v>
      </c>
      <c r="R132" s="1186">
        <v>198</v>
      </c>
      <c r="S132" s="1186">
        <v>78</v>
      </c>
      <c r="T132" s="1186"/>
      <c r="U132" s="1186" t="s">
        <v>1419</v>
      </c>
      <c r="V132" s="1186" t="s">
        <v>1434</v>
      </c>
      <c r="W132" s="1186">
        <v>1235</v>
      </c>
      <c r="X132" s="1186"/>
      <c r="Y132" s="1186">
        <v>221</v>
      </c>
      <c r="Z132" s="1186">
        <v>6</v>
      </c>
      <c r="AA132" s="1186">
        <v>113</v>
      </c>
      <c r="AB132" s="1186">
        <v>13</v>
      </c>
      <c r="AC132" s="1186">
        <v>33</v>
      </c>
      <c r="AD132" s="1186">
        <v>9</v>
      </c>
      <c r="AE132" s="1186">
        <v>72</v>
      </c>
      <c r="AF132" s="1186">
        <v>45</v>
      </c>
      <c r="AG132" s="1186">
        <v>30</v>
      </c>
      <c r="AH132" s="1186">
        <v>18</v>
      </c>
      <c r="AI132" s="1186">
        <v>4</v>
      </c>
      <c r="AJ132" s="1186">
        <v>21</v>
      </c>
      <c r="AK132" s="1186">
        <v>25</v>
      </c>
      <c r="AL132" s="1186">
        <v>375</v>
      </c>
      <c r="AM132" s="1186">
        <v>19</v>
      </c>
      <c r="AN132" s="1186">
        <v>110</v>
      </c>
      <c r="AO132" s="1186"/>
      <c r="AP132" s="1186">
        <v>3</v>
      </c>
      <c r="AQ132" s="1186">
        <v>106</v>
      </c>
      <c r="AR132" s="1186">
        <v>12</v>
      </c>
    </row>
    <row r="133" spans="1:44" x14ac:dyDescent="0.2">
      <c r="A133" s="1186" t="s">
        <v>1419</v>
      </c>
      <c r="B133" s="1186" t="s">
        <v>1435</v>
      </c>
      <c r="C133" s="1186">
        <v>824</v>
      </c>
      <c r="D133" s="1186">
        <v>446</v>
      </c>
      <c r="E133" s="1186">
        <v>163</v>
      </c>
      <c r="F133" s="1186">
        <v>184</v>
      </c>
      <c r="G133" s="1186">
        <v>31</v>
      </c>
      <c r="H133" s="1186">
        <v>648</v>
      </c>
      <c r="I133" s="1186">
        <v>64</v>
      </c>
      <c r="J133" s="1186">
        <v>1536</v>
      </c>
      <c r="K133" s="1186" t="s">
        <v>1987</v>
      </c>
      <c r="L133" s="1186" t="s">
        <v>1986</v>
      </c>
      <c r="M133" s="1186" t="s">
        <v>1419</v>
      </c>
      <c r="N133" s="1186" t="s">
        <v>1435</v>
      </c>
      <c r="O133" s="1186">
        <v>4164</v>
      </c>
      <c r="P133" s="1186">
        <v>3281</v>
      </c>
      <c r="Q133" s="1186">
        <v>643</v>
      </c>
      <c r="R133" s="1186">
        <v>161</v>
      </c>
      <c r="S133" s="1186">
        <v>78</v>
      </c>
      <c r="T133" s="1186">
        <v>1</v>
      </c>
      <c r="U133" s="1186" t="s">
        <v>1419</v>
      </c>
      <c r="V133" s="1186" t="s">
        <v>1435</v>
      </c>
      <c r="W133" s="1186">
        <v>1271</v>
      </c>
      <c r="X133" s="1186"/>
      <c r="Y133" s="1186">
        <v>230</v>
      </c>
      <c r="Z133" s="1186">
        <v>8</v>
      </c>
      <c r="AA133" s="1186">
        <v>121</v>
      </c>
      <c r="AB133" s="1186">
        <v>20</v>
      </c>
      <c r="AC133" s="1186">
        <v>35</v>
      </c>
      <c r="AD133" s="1186">
        <v>6</v>
      </c>
      <c r="AE133" s="1186">
        <v>57</v>
      </c>
      <c r="AF133" s="1186">
        <v>56</v>
      </c>
      <c r="AG133" s="1186">
        <v>22</v>
      </c>
      <c r="AH133" s="1186">
        <v>13</v>
      </c>
      <c r="AI133" s="1186">
        <v>4</v>
      </c>
      <c r="AJ133" s="1186">
        <v>33</v>
      </c>
      <c r="AK133" s="1186">
        <v>30</v>
      </c>
      <c r="AL133" s="1186">
        <v>377</v>
      </c>
      <c r="AM133" s="1186">
        <v>33</v>
      </c>
      <c r="AN133" s="1186">
        <v>101</v>
      </c>
      <c r="AO133" s="1186"/>
      <c r="AP133" s="1186"/>
      <c r="AQ133" s="1186">
        <v>113</v>
      </c>
      <c r="AR133" s="1186">
        <v>12</v>
      </c>
    </row>
    <row r="134" spans="1:44" x14ac:dyDescent="0.2">
      <c r="A134" s="1186" t="s">
        <v>1419</v>
      </c>
      <c r="B134" s="1186" t="s">
        <v>1436</v>
      </c>
      <c r="C134" s="1186">
        <v>734</v>
      </c>
      <c r="D134" s="1186">
        <v>394</v>
      </c>
      <c r="E134" s="1186">
        <v>154</v>
      </c>
      <c r="F134" s="1186">
        <v>151</v>
      </c>
      <c r="G134" s="1186">
        <v>35</v>
      </c>
      <c r="H134" s="1186">
        <v>672</v>
      </c>
      <c r="I134" s="1186">
        <v>87</v>
      </c>
      <c r="J134" s="1186">
        <v>1493</v>
      </c>
      <c r="K134" s="1186" t="s">
        <v>1987</v>
      </c>
      <c r="L134" s="1186" t="s">
        <v>1988</v>
      </c>
      <c r="M134" s="1186" t="s">
        <v>1419</v>
      </c>
      <c r="N134" s="1186" t="s">
        <v>1436</v>
      </c>
      <c r="O134" s="1186">
        <v>3932</v>
      </c>
      <c r="P134" s="1186">
        <v>3096</v>
      </c>
      <c r="Q134" s="1186">
        <v>583</v>
      </c>
      <c r="R134" s="1186">
        <v>186</v>
      </c>
      <c r="S134" s="1186">
        <v>65</v>
      </c>
      <c r="T134" s="1186">
        <v>2</v>
      </c>
      <c r="U134" s="1186" t="s">
        <v>1419</v>
      </c>
      <c r="V134" s="1186" t="s">
        <v>1436</v>
      </c>
      <c r="W134" s="1186">
        <v>1107</v>
      </c>
      <c r="X134" s="1186"/>
      <c r="Y134" s="1186">
        <v>197</v>
      </c>
      <c r="Z134" s="1186">
        <v>6</v>
      </c>
      <c r="AA134" s="1186">
        <v>100</v>
      </c>
      <c r="AB134" s="1186">
        <v>13</v>
      </c>
      <c r="AC134" s="1186">
        <v>34</v>
      </c>
      <c r="AD134" s="1186">
        <v>6</v>
      </c>
      <c r="AE134" s="1186">
        <v>53</v>
      </c>
      <c r="AF134" s="1186">
        <v>32</v>
      </c>
      <c r="AG134" s="1186">
        <v>14</v>
      </c>
      <c r="AH134" s="1186">
        <v>10</v>
      </c>
      <c r="AI134" s="1186">
        <v>5</v>
      </c>
      <c r="AJ134" s="1186">
        <v>24</v>
      </c>
      <c r="AK134" s="1186">
        <v>20</v>
      </c>
      <c r="AL134" s="1186">
        <v>354</v>
      </c>
      <c r="AM134" s="1186">
        <v>44</v>
      </c>
      <c r="AN134" s="1186">
        <v>73</v>
      </c>
      <c r="AO134" s="1186"/>
      <c r="AP134" s="1186">
        <v>2</v>
      </c>
      <c r="AQ134" s="1186">
        <v>116</v>
      </c>
      <c r="AR134" s="1186">
        <v>4</v>
      </c>
    </row>
    <row r="135" spans="1:44" x14ac:dyDescent="0.2">
      <c r="A135" s="1186" t="s">
        <v>1419</v>
      </c>
      <c r="B135" s="1186" t="s">
        <v>1437</v>
      </c>
      <c r="C135" s="1186">
        <v>739</v>
      </c>
      <c r="D135" s="1186">
        <v>382</v>
      </c>
      <c r="E135" s="1186">
        <v>161</v>
      </c>
      <c r="F135" s="1186">
        <v>175</v>
      </c>
      <c r="G135" s="1186">
        <v>21</v>
      </c>
      <c r="H135" s="1186">
        <v>469</v>
      </c>
      <c r="I135" s="1186">
        <v>59</v>
      </c>
      <c r="J135" s="1186">
        <v>1267</v>
      </c>
      <c r="K135" s="1186" t="s">
        <v>1987</v>
      </c>
      <c r="L135" s="1186" t="s">
        <v>1988</v>
      </c>
      <c r="M135" s="1186" t="s">
        <v>1419</v>
      </c>
      <c r="N135" s="1186" t="s">
        <v>1437</v>
      </c>
      <c r="O135" s="1186">
        <v>3747</v>
      </c>
      <c r="P135" s="1186">
        <v>2970</v>
      </c>
      <c r="Q135" s="1186">
        <v>539</v>
      </c>
      <c r="R135" s="1186">
        <v>170</v>
      </c>
      <c r="S135" s="1186">
        <v>68</v>
      </c>
      <c r="T135" s="1186"/>
      <c r="U135" s="1186" t="s">
        <v>1419</v>
      </c>
      <c r="V135" s="1186" t="s">
        <v>1437</v>
      </c>
      <c r="W135" s="1186">
        <v>1256</v>
      </c>
      <c r="X135" s="1186"/>
      <c r="Y135" s="1186">
        <v>208</v>
      </c>
      <c r="Z135" s="1186">
        <v>11</v>
      </c>
      <c r="AA135" s="1186">
        <v>181</v>
      </c>
      <c r="AB135" s="1186">
        <v>29</v>
      </c>
      <c r="AC135" s="1186">
        <v>35</v>
      </c>
      <c r="AD135" s="1186">
        <v>4</v>
      </c>
      <c r="AE135" s="1186">
        <v>58</v>
      </c>
      <c r="AF135" s="1186">
        <v>36</v>
      </c>
      <c r="AG135" s="1186">
        <v>11</v>
      </c>
      <c r="AH135" s="1186">
        <v>24</v>
      </c>
      <c r="AI135" s="1186">
        <v>1</v>
      </c>
      <c r="AJ135" s="1186">
        <v>19</v>
      </c>
      <c r="AK135" s="1186">
        <v>23</v>
      </c>
      <c r="AL135" s="1186">
        <v>326</v>
      </c>
      <c r="AM135" s="1186">
        <v>85</v>
      </c>
      <c r="AN135" s="1186">
        <v>94</v>
      </c>
      <c r="AO135" s="1186"/>
      <c r="AP135" s="1186">
        <v>3</v>
      </c>
      <c r="AQ135" s="1186">
        <v>93</v>
      </c>
      <c r="AR135" s="1186">
        <v>15</v>
      </c>
    </row>
    <row r="136" spans="1:44" x14ac:dyDescent="0.2">
      <c r="A136" s="1186" t="s">
        <v>1419</v>
      </c>
      <c r="B136" s="1186" t="s">
        <v>1438</v>
      </c>
      <c r="C136" s="1186">
        <v>831</v>
      </c>
      <c r="D136" s="1186">
        <v>424</v>
      </c>
      <c r="E136" s="1186">
        <v>155</v>
      </c>
      <c r="F136" s="1186">
        <v>184</v>
      </c>
      <c r="G136" s="1186">
        <v>68</v>
      </c>
      <c r="H136" s="1186">
        <v>1081</v>
      </c>
      <c r="I136" s="1186">
        <v>78</v>
      </c>
      <c r="J136" s="1186">
        <v>1990</v>
      </c>
      <c r="K136" s="1186" t="s">
        <v>1981</v>
      </c>
      <c r="L136" s="1186" t="s">
        <v>1988</v>
      </c>
      <c r="M136" s="1186" t="s">
        <v>1419</v>
      </c>
      <c r="N136" s="1186" t="s">
        <v>1438</v>
      </c>
      <c r="O136" s="1186">
        <v>3787</v>
      </c>
      <c r="P136" s="1186">
        <v>2817</v>
      </c>
      <c r="Q136" s="1186">
        <v>731</v>
      </c>
      <c r="R136" s="1186">
        <v>168</v>
      </c>
      <c r="S136" s="1186">
        <v>68</v>
      </c>
      <c r="T136" s="1186">
        <v>3</v>
      </c>
      <c r="U136" s="1186" t="s">
        <v>1419</v>
      </c>
      <c r="V136" s="1186" t="s">
        <v>1438</v>
      </c>
      <c r="W136" s="1186">
        <v>1062</v>
      </c>
      <c r="X136" s="1186"/>
      <c r="Y136" s="1186">
        <v>131</v>
      </c>
      <c r="Z136" s="1186">
        <v>11</v>
      </c>
      <c r="AA136" s="1186">
        <v>90</v>
      </c>
      <c r="AB136" s="1186">
        <v>13</v>
      </c>
      <c r="AC136" s="1186">
        <v>47</v>
      </c>
      <c r="AD136" s="1186">
        <v>9</v>
      </c>
      <c r="AE136" s="1186">
        <v>51</v>
      </c>
      <c r="AF136" s="1186">
        <v>29</v>
      </c>
      <c r="AG136" s="1186">
        <v>16</v>
      </c>
      <c r="AH136" s="1186">
        <v>10</v>
      </c>
      <c r="AI136" s="1186">
        <v>5</v>
      </c>
      <c r="AJ136" s="1186">
        <v>29</v>
      </c>
      <c r="AK136" s="1186">
        <v>35</v>
      </c>
      <c r="AL136" s="1186">
        <v>375</v>
      </c>
      <c r="AM136" s="1186">
        <v>10</v>
      </c>
      <c r="AN136" s="1186">
        <v>88</v>
      </c>
      <c r="AO136" s="1186"/>
      <c r="AP136" s="1186">
        <v>2</v>
      </c>
      <c r="AQ136" s="1186">
        <v>99</v>
      </c>
      <c r="AR136" s="1186">
        <v>12</v>
      </c>
    </row>
    <row r="137" spans="1:44" x14ac:dyDescent="0.2">
      <c r="A137" s="1186" t="s">
        <v>1572</v>
      </c>
      <c r="B137" s="1186" t="s">
        <v>1989</v>
      </c>
      <c r="C137" s="1186">
        <v>864</v>
      </c>
      <c r="D137" s="1186">
        <v>425</v>
      </c>
      <c r="E137" s="1186">
        <v>163</v>
      </c>
      <c r="F137" s="1186">
        <v>135</v>
      </c>
      <c r="G137" s="1186">
        <v>141</v>
      </c>
      <c r="H137" s="1186">
        <v>2191</v>
      </c>
      <c r="I137" s="1186">
        <v>47</v>
      </c>
      <c r="J137" s="1186">
        <v>3102</v>
      </c>
      <c r="K137" s="1186" t="s">
        <v>1981</v>
      </c>
      <c r="L137" s="1186" t="s">
        <v>1982</v>
      </c>
      <c r="M137" s="1186" t="s">
        <v>1572</v>
      </c>
      <c r="N137" s="1186" t="s">
        <v>1989</v>
      </c>
      <c r="O137" s="1186">
        <v>3529</v>
      </c>
      <c r="P137" s="1186">
        <v>2233</v>
      </c>
      <c r="Q137" s="1186">
        <v>1117</v>
      </c>
      <c r="R137" s="1186">
        <v>86</v>
      </c>
      <c r="S137" s="1186">
        <v>89</v>
      </c>
      <c r="T137" s="1186">
        <v>4</v>
      </c>
      <c r="U137" s="1186" t="s">
        <v>1572</v>
      </c>
      <c r="V137" s="1186" t="s">
        <v>1989</v>
      </c>
      <c r="W137" s="1186">
        <v>772</v>
      </c>
      <c r="X137" s="1186"/>
      <c r="Y137" s="1186">
        <v>50</v>
      </c>
      <c r="Z137" s="1186">
        <v>6</v>
      </c>
      <c r="AA137" s="1186">
        <v>62</v>
      </c>
      <c r="AB137" s="1186">
        <v>11</v>
      </c>
      <c r="AC137" s="1186">
        <v>37</v>
      </c>
      <c r="AD137" s="1186">
        <v>9</v>
      </c>
      <c r="AE137" s="1186">
        <v>28</v>
      </c>
      <c r="AF137" s="1186">
        <v>24</v>
      </c>
      <c r="AG137" s="1186">
        <v>13</v>
      </c>
      <c r="AH137" s="1186">
        <v>7</v>
      </c>
      <c r="AI137" s="1186">
        <v>4</v>
      </c>
      <c r="AJ137" s="1186">
        <v>22</v>
      </c>
      <c r="AK137" s="1186">
        <v>43</v>
      </c>
      <c r="AL137" s="1186">
        <v>287</v>
      </c>
      <c r="AM137" s="1186">
        <v>14</v>
      </c>
      <c r="AN137" s="1186">
        <v>62</v>
      </c>
      <c r="AO137" s="1186"/>
      <c r="AP137" s="1186"/>
      <c r="AQ137" s="1186">
        <v>82</v>
      </c>
      <c r="AR137" s="1186">
        <v>11</v>
      </c>
    </row>
    <row r="138" spans="1:44" x14ac:dyDescent="0.2">
      <c r="A138" s="1186" t="s">
        <v>1572</v>
      </c>
      <c r="B138" s="1186" t="s">
        <v>1990</v>
      </c>
      <c r="C138" s="1186">
        <v>922</v>
      </c>
      <c r="D138" s="1186">
        <v>425</v>
      </c>
      <c r="E138" s="1186">
        <v>158</v>
      </c>
      <c r="F138" s="1186">
        <v>150</v>
      </c>
      <c r="G138" s="1186">
        <v>189</v>
      </c>
      <c r="H138" s="1186">
        <v>1945</v>
      </c>
      <c r="I138" s="1186">
        <v>40</v>
      </c>
      <c r="J138" s="1186">
        <v>2907</v>
      </c>
      <c r="K138" s="1186" t="s">
        <v>1981</v>
      </c>
      <c r="L138" s="1186" t="s">
        <v>1982</v>
      </c>
      <c r="M138" s="1186" t="s">
        <v>1572</v>
      </c>
      <c r="N138" s="1186" t="s">
        <v>1990</v>
      </c>
      <c r="O138" s="1186">
        <v>3696</v>
      </c>
      <c r="P138" s="1186">
        <v>2514</v>
      </c>
      <c r="Q138" s="1186">
        <v>1013</v>
      </c>
      <c r="R138" s="1186">
        <v>83</v>
      </c>
      <c r="S138" s="1186">
        <v>84</v>
      </c>
      <c r="T138" s="1186">
        <v>2</v>
      </c>
      <c r="U138" s="1186" t="s">
        <v>1572</v>
      </c>
      <c r="V138" s="1186" t="s">
        <v>1990</v>
      </c>
      <c r="W138" s="1186">
        <v>837</v>
      </c>
      <c r="X138" s="1186"/>
      <c r="Y138" s="1186">
        <v>71</v>
      </c>
      <c r="Z138" s="1186">
        <v>1</v>
      </c>
      <c r="AA138" s="1186">
        <v>83</v>
      </c>
      <c r="AB138" s="1186">
        <v>18</v>
      </c>
      <c r="AC138" s="1186">
        <v>41</v>
      </c>
      <c r="AD138" s="1186">
        <v>5</v>
      </c>
      <c r="AE138" s="1186">
        <v>33</v>
      </c>
      <c r="AF138" s="1186">
        <v>27</v>
      </c>
      <c r="AG138" s="1186">
        <v>15</v>
      </c>
      <c r="AH138" s="1186">
        <v>6</v>
      </c>
      <c r="AI138" s="1186">
        <v>8</v>
      </c>
      <c r="AJ138" s="1186">
        <v>27</v>
      </c>
      <c r="AK138" s="1186">
        <v>41</v>
      </c>
      <c r="AL138" s="1186">
        <v>269</v>
      </c>
      <c r="AM138" s="1186">
        <v>22</v>
      </c>
      <c r="AN138" s="1186">
        <v>73</v>
      </c>
      <c r="AO138" s="1186"/>
      <c r="AP138" s="1186">
        <v>1</v>
      </c>
      <c r="AQ138" s="1186">
        <v>86</v>
      </c>
      <c r="AR138" s="1186">
        <v>10</v>
      </c>
    </row>
    <row r="139" spans="1:44" x14ac:dyDescent="0.2">
      <c r="A139" s="1186" t="s">
        <v>1572</v>
      </c>
      <c r="B139" s="1186" t="s">
        <v>1991</v>
      </c>
      <c r="C139" s="1186">
        <v>822</v>
      </c>
      <c r="D139" s="1186">
        <v>376</v>
      </c>
      <c r="E139" s="1186">
        <v>157</v>
      </c>
      <c r="F139" s="1186">
        <v>157</v>
      </c>
      <c r="G139" s="1186">
        <v>132</v>
      </c>
      <c r="H139" s="1186">
        <v>1320</v>
      </c>
      <c r="I139" s="1186">
        <v>14</v>
      </c>
      <c r="J139" s="1186">
        <v>2156</v>
      </c>
      <c r="K139" s="1186" t="s">
        <v>1983</v>
      </c>
      <c r="L139" s="1186" t="s">
        <v>1982</v>
      </c>
      <c r="M139" s="1186" t="s">
        <v>1572</v>
      </c>
      <c r="N139" s="1186" t="s">
        <v>1991</v>
      </c>
      <c r="O139" s="1186">
        <v>3742</v>
      </c>
      <c r="P139" s="1186">
        <v>2755</v>
      </c>
      <c r="Q139" s="1186">
        <v>838</v>
      </c>
      <c r="R139" s="1186">
        <v>84</v>
      </c>
      <c r="S139" s="1186">
        <v>63</v>
      </c>
      <c r="T139" s="1186">
        <v>2</v>
      </c>
      <c r="U139" s="1186" t="s">
        <v>1572</v>
      </c>
      <c r="V139" s="1186" t="s">
        <v>1991</v>
      </c>
      <c r="W139" s="1186">
        <v>981</v>
      </c>
      <c r="X139" s="1186"/>
      <c r="Y139" s="1186">
        <v>117</v>
      </c>
      <c r="Z139" s="1186">
        <v>4</v>
      </c>
      <c r="AA139" s="1186">
        <v>106</v>
      </c>
      <c r="AB139" s="1186">
        <v>21</v>
      </c>
      <c r="AC139" s="1186">
        <v>59</v>
      </c>
      <c r="AD139" s="1186">
        <v>6</v>
      </c>
      <c r="AE139" s="1186">
        <v>31</v>
      </c>
      <c r="AF139" s="1186">
        <v>32</v>
      </c>
      <c r="AG139" s="1186">
        <v>18</v>
      </c>
      <c r="AH139" s="1186">
        <v>15</v>
      </c>
      <c r="AI139" s="1186">
        <v>5</v>
      </c>
      <c r="AJ139" s="1186">
        <v>28</v>
      </c>
      <c r="AK139" s="1186">
        <v>65</v>
      </c>
      <c r="AL139" s="1186">
        <v>270</v>
      </c>
      <c r="AM139" s="1186">
        <v>22</v>
      </c>
      <c r="AN139" s="1186">
        <v>61</v>
      </c>
      <c r="AO139" s="1186">
        <v>1</v>
      </c>
      <c r="AP139" s="1186">
        <v>1</v>
      </c>
      <c r="AQ139" s="1186">
        <v>99</v>
      </c>
      <c r="AR139" s="1186">
        <v>20</v>
      </c>
    </row>
    <row r="140" spans="1:44" x14ac:dyDescent="0.2">
      <c r="A140" s="1186" t="s">
        <v>1572</v>
      </c>
      <c r="B140" s="1186" t="s">
        <v>1992</v>
      </c>
      <c r="C140" s="1186">
        <v>792</v>
      </c>
      <c r="D140" s="1186">
        <v>374</v>
      </c>
      <c r="E140" s="1186">
        <v>142</v>
      </c>
      <c r="F140" s="1186">
        <v>163</v>
      </c>
      <c r="G140" s="1186">
        <v>113</v>
      </c>
      <c r="H140" s="1186">
        <v>1132</v>
      </c>
      <c r="I140" s="1186">
        <v>11</v>
      </c>
      <c r="J140" s="1186">
        <v>1935</v>
      </c>
      <c r="K140" s="1186" t="s">
        <v>1983</v>
      </c>
      <c r="L140" s="1186" t="s">
        <v>1984</v>
      </c>
      <c r="M140" s="1186" t="s">
        <v>1572</v>
      </c>
      <c r="N140" s="1186" t="s">
        <v>1992</v>
      </c>
      <c r="O140" s="1186">
        <v>3912</v>
      </c>
      <c r="P140" s="1186">
        <v>3020</v>
      </c>
      <c r="Q140" s="1186">
        <v>733</v>
      </c>
      <c r="R140" s="1186">
        <v>91</v>
      </c>
      <c r="S140" s="1186">
        <v>66</v>
      </c>
      <c r="T140" s="1186">
        <v>2</v>
      </c>
      <c r="U140" s="1186" t="s">
        <v>1572</v>
      </c>
      <c r="V140" s="1186" t="s">
        <v>1992</v>
      </c>
      <c r="W140" s="1186">
        <v>1126</v>
      </c>
      <c r="X140" s="1186"/>
      <c r="Y140" s="1186">
        <v>144</v>
      </c>
      <c r="Z140" s="1186">
        <v>8</v>
      </c>
      <c r="AA140" s="1186">
        <v>106</v>
      </c>
      <c r="AB140" s="1186">
        <v>29</v>
      </c>
      <c r="AC140" s="1186">
        <v>74</v>
      </c>
      <c r="AD140" s="1186">
        <v>7</v>
      </c>
      <c r="AE140" s="1186">
        <v>35</v>
      </c>
      <c r="AF140" s="1186">
        <v>29</v>
      </c>
      <c r="AG140" s="1186">
        <v>22</v>
      </c>
      <c r="AH140" s="1186">
        <v>14</v>
      </c>
      <c r="AI140" s="1186">
        <v>5</v>
      </c>
      <c r="AJ140" s="1186">
        <v>45</v>
      </c>
      <c r="AK140" s="1186">
        <v>62</v>
      </c>
      <c r="AL140" s="1186">
        <v>334</v>
      </c>
      <c r="AM140" s="1186">
        <v>23</v>
      </c>
      <c r="AN140" s="1186">
        <v>76</v>
      </c>
      <c r="AO140" s="1186"/>
      <c r="AP140" s="1186">
        <v>3</v>
      </c>
      <c r="AQ140" s="1186">
        <v>99</v>
      </c>
      <c r="AR140" s="1186">
        <v>11</v>
      </c>
    </row>
    <row r="141" spans="1:44" x14ac:dyDescent="0.2">
      <c r="A141" s="1186" t="s">
        <v>1572</v>
      </c>
      <c r="B141" s="1186" t="s">
        <v>1993</v>
      </c>
      <c r="C141" s="1186">
        <v>827</v>
      </c>
      <c r="D141" s="1186">
        <v>385</v>
      </c>
      <c r="E141" s="1186">
        <v>155</v>
      </c>
      <c r="F141" s="1186">
        <v>183</v>
      </c>
      <c r="G141" s="1186">
        <v>104</v>
      </c>
      <c r="H141" s="1186">
        <v>954</v>
      </c>
      <c r="I141" s="1186">
        <v>8</v>
      </c>
      <c r="J141" s="1186">
        <v>1789</v>
      </c>
      <c r="K141" s="1186" t="s">
        <v>1983</v>
      </c>
      <c r="L141" s="1186" t="s">
        <v>1984</v>
      </c>
      <c r="M141" s="1186" t="s">
        <v>1572</v>
      </c>
      <c r="N141" s="1186" t="s">
        <v>1993</v>
      </c>
      <c r="O141" s="1186">
        <v>5024</v>
      </c>
      <c r="P141" s="1186">
        <v>3970</v>
      </c>
      <c r="Q141" s="1186">
        <v>821</v>
      </c>
      <c r="R141" s="1186">
        <v>144</v>
      </c>
      <c r="S141" s="1186">
        <v>85</v>
      </c>
      <c r="T141" s="1186">
        <v>4</v>
      </c>
      <c r="U141" s="1186" t="s">
        <v>1572</v>
      </c>
      <c r="V141" s="1186" t="s">
        <v>1993</v>
      </c>
      <c r="W141" s="1186">
        <v>1505</v>
      </c>
      <c r="X141" s="1186"/>
      <c r="Y141" s="1186">
        <v>174</v>
      </c>
      <c r="Z141" s="1186">
        <v>10</v>
      </c>
      <c r="AA141" s="1186">
        <v>348</v>
      </c>
      <c r="AB141" s="1186">
        <v>44</v>
      </c>
      <c r="AC141" s="1186">
        <v>86</v>
      </c>
      <c r="AD141" s="1186">
        <v>17</v>
      </c>
      <c r="AE141" s="1186">
        <v>41</v>
      </c>
      <c r="AF141" s="1186">
        <v>36</v>
      </c>
      <c r="AG141" s="1186">
        <v>26</v>
      </c>
      <c r="AH141" s="1186">
        <v>15</v>
      </c>
      <c r="AI141" s="1186">
        <v>11</v>
      </c>
      <c r="AJ141" s="1186">
        <v>45</v>
      </c>
      <c r="AK141" s="1186">
        <v>45</v>
      </c>
      <c r="AL141" s="1186">
        <v>340</v>
      </c>
      <c r="AM141" s="1186">
        <v>39</v>
      </c>
      <c r="AN141" s="1186">
        <v>87</v>
      </c>
      <c r="AO141" s="1186"/>
      <c r="AP141" s="1186">
        <v>2</v>
      </c>
      <c r="AQ141" s="1186">
        <v>115</v>
      </c>
      <c r="AR141" s="1186">
        <v>24</v>
      </c>
    </row>
    <row r="142" spans="1:44" x14ac:dyDescent="0.2">
      <c r="A142" s="1186" t="s">
        <v>1572</v>
      </c>
      <c r="B142" s="1186" t="s">
        <v>1994</v>
      </c>
      <c r="C142" s="1186">
        <v>819</v>
      </c>
      <c r="D142" s="1186">
        <v>367</v>
      </c>
      <c r="E142" s="1186">
        <v>151</v>
      </c>
      <c r="F142" s="1186">
        <v>167</v>
      </c>
      <c r="G142" s="1186">
        <v>134</v>
      </c>
      <c r="H142" s="1186">
        <v>1212</v>
      </c>
      <c r="I142" s="1186">
        <v>26</v>
      </c>
      <c r="J142" s="1186">
        <v>2057</v>
      </c>
      <c r="K142" s="1186" t="s">
        <v>1985</v>
      </c>
      <c r="L142" s="1186" t="s">
        <v>1984</v>
      </c>
      <c r="M142" s="1186" t="s">
        <v>1572</v>
      </c>
      <c r="N142" s="1186" t="s">
        <v>1994</v>
      </c>
      <c r="O142" s="1186">
        <v>4472</v>
      </c>
      <c r="P142" s="1186">
        <v>3501</v>
      </c>
      <c r="Q142" s="1186">
        <v>732</v>
      </c>
      <c r="R142" s="1186">
        <v>156</v>
      </c>
      <c r="S142" s="1186">
        <v>80</v>
      </c>
      <c r="T142" s="1186">
        <v>3</v>
      </c>
      <c r="U142" s="1186" t="s">
        <v>1572</v>
      </c>
      <c r="V142" s="1186" t="s">
        <v>1994</v>
      </c>
      <c r="W142" s="1186">
        <v>1068</v>
      </c>
      <c r="X142" s="1186"/>
      <c r="Y142" s="1186">
        <v>143</v>
      </c>
      <c r="Z142" s="1186">
        <v>9</v>
      </c>
      <c r="AA142" s="1186">
        <v>80</v>
      </c>
      <c r="AB142" s="1186">
        <v>13</v>
      </c>
      <c r="AC142" s="1186">
        <v>76</v>
      </c>
      <c r="AD142" s="1186">
        <v>11</v>
      </c>
      <c r="AE142" s="1186">
        <v>34</v>
      </c>
      <c r="AF142" s="1186">
        <v>36</v>
      </c>
      <c r="AG142" s="1186">
        <v>17</v>
      </c>
      <c r="AH142" s="1186">
        <v>8</v>
      </c>
      <c r="AI142" s="1186">
        <v>14</v>
      </c>
      <c r="AJ142" s="1186">
        <v>50</v>
      </c>
      <c r="AK142" s="1186">
        <v>29</v>
      </c>
      <c r="AL142" s="1186">
        <v>336</v>
      </c>
      <c r="AM142" s="1186">
        <v>14</v>
      </c>
      <c r="AN142" s="1186">
        <v>86</v>
      </c>
      <c r="AO142" s="1186"/>
      <c r="AP142" s="1186">
        <v>1</v>
      </c>
      <c r="AQ142" s="1186">
        <v>94</v>
      </c>
      <c r="AR142" s="1186">
        <v>17</v>
      </c>
    </row>
    <row r="143" spans="1:44" x14ac:dyDescent="0.2">
      <c r="A143" s="1186" t="s">
        <v>1572</v>
      </c>
      <c r="B143" s="1186" t="s">
        <v>1995</v>
      </c>
      <c r="C143" s="1186">
        <v>785</v>
      </c>
      <c r="D143" s="1186">
        <v>388</v>
      </c>
      <c r="E143" s="1186">
        <v>145</v>
      </c>
      <c r="F143" s="1186">
        <v>172</v>
      </c>
      <c r="G143" s="1186">
        <v>80</v>
      </c>
      <c r="H143" s="1186">
        <v>1225</v>
      </c>
      <c r="I143" s="1186">
        <v>45</v>
      </c>
      <c r="J143" s="1186">
        <v>2055</v>
      </c>
      <c r="K143" s="1186" t="s">
        <v>1985</v>
      </c>
      <c r="L143" s="1186" t="s">
        <v>1986</v>
      </c>
      <c r="M143" s="1186" t="s">
        <v>1572</v>
      </c>
      <c r="N143" s="1186" t="s">
        <v>1995</v>
      </c>
      <c r="O143" s="1186">
        <v>4485</v>
      </c>
      <c r="P143" s="1186">
        <v>3513</v>
      </c>
      <c r="Q143" s="1186">
        <v>688</v>
      </c>
      <c r="R143" s="1186">
        <v>218</v>
      </c>
      <c r="S143" s="1186">
        <v>64</v>
      </c>
      <c r="T143" s="1186">
        <v>2</v>
      </c>
      <c r="U143" s="1186" t="s">
        <v>1572</v>
      </c>
      <c r="V143" s="1186" t="s">
        <v>1995</v>
      </c>
      <c r="W143" s="1186">
        <v>1150</v>
      </c>
      <c r="X143" s="1186"/>
      <c r="Y143" s="1186">
        <v>170</v>
      </c>
      <c r="Z143" s="1186">
        <v>11</v>
      </c>
      <c r="AA143" s="1186">
        <v>133</v>
      </c>
      <c r="AB143" s="1186">
        <v>22</v>
      </c>
      <c r="AC143" s="1186">
        <v>59</v>
      </c>
      <c r="AD143" s="1186">
        <v>8</v>
      </c>
      <c r="AE143" s="1186">
        <v>45</v>
      </c>
      <c r="AF143" s="1186">
        <v>41</v>
      </c>
      <c r="AG143" s="1186">
        <v>16</v>
      </c>
      <c r="AH143" s="1186">
        <v>16</v>
      </c>
      <c r="AI143" s="1186">
        <v>10</v>
      </c>
      <c r="AJ143" s="1186">
        <v>25</v>
      </c>
      <c r="AK143" s="1186">
        <v>25</v>
      </c>
      <c r="AL143" s="1186">
        <v>325</v>
      </c>
      <c r="AM143" s="1186">
        <v>38</v>
      </c>
      <c r="AN143" s="1186">
        <v>91</v>
      </c>
      <c r="AO143" s="1186"/>
      <c r="AP143" s="1186">
        <v>3</v>
      </c>
      <c r="AQ143" s="1186">
        <v>91</v>
      </c>
      <c r="AR143" s="1186">
        <v>21</v>
      </c>
    </row>
    <row r="144" spans="1:44" x14ac:dyDescent="0.2">
      <c r="A144" s="1186" t="s">
        <v>1572</v>
      </c>
      <c r="B144" s="1186" t="s">
        <v>1996</v>
      </c>
      <c r="C144" s="1186">
        <v>770</v>
      </c>
      <c r="D144" s="1186">
        <v>374</v>
      </c>
      <c r="E144" s="1186">
        <v>156</v>
      </c>
      <c r="F144" s="1186">
        <v>162</v>
      </c>
      <c r="G144" s="1186">
        <v>78</v>
      </c>
      <c r="H144" s="1186">
        <v>1444</v>
      </c>
      <c r="I144" s="1186">
        <v>59</v>
      </c>
      <c r="J144" s="1186">
        <v>2273</v>
      </c>
      <c r="K144" s="1186" t="s">
        <v>1985</v>
      </c>
      <c r="L144" s="1186" t="s">
        <v>1986</v>
      </c>
      <c r="M144" s="1186" t="s">
        <v>1572</v>
      </c>
      <c r="N144" s="1186" t="s">
        <v>1996</v>
      </c>
      <c r="O144" s="1186">
        <v>4357</v>
      </c>
      <c r="P144" s="1186">
        <v>3180</v>
      </c>
      <c r="Q144" s="1186">
        <v>903</v>
      </c>
      <c r="R144" s="1186">
        <v>170</v>
      </c>
      <c r="S144" s="1186">
        <v>100</v>
      </c>
      <c r="T144" s="1186">
        <v>4</v>
      </c>
      <c r="U144" s="1186" t="s">
        <v>1572</v>
      </c>
      <c r="V144" s="1186" t="s">
        <v>1996</v>
      </c>
      <c r="W144" s="1186">
        <v>914</v>
      </c>
      <c r="X144" s="1186"/>
      <c r="Y144" s="1186">
        <v>139</v>
      </c>
      <c r="Z144" s="1186">
        <v>4</v>
      </c>
      <c r="AA144" s="1186">
        <v>81</v>
      </c>
      <c r="AB144" s="1186">
        <v>6</v>
      </c>
      <c r="AC144" s="1186">
        <v>32</v>
      </c>
      <c r="AD144" s="1186">
        <v>9</v>
      </c>
      <c r="AE144" s="1186">
        <v>36</v>
      </c>
      <c r="AF144" s="1186">
        <v>33</v>
      </c>
      <c r="AG144" s="1186">
        <v>12</v>
      </c>
      <c r="AH144" s="1186">
        <v>17</v>
      </c>
      <c r="AI144" s="1186">
        <v>6</v>
      </c>
      <c r="AJ144" s="1186">
        <v>31</v>
      </c>
      <c r="AK144" s="1186">
        <v>29</v>
      </c>
      <c r="AL144" s="1186">
        <v>267</v>
      </c>
      <c r="AM144" s="1186">
        <v>14</v>
      </c>
      <c r="AN144" s="1186">
        <v>76</v>
      </c>
      <c r="AO144" s="1186">
        <v>1</v>
      </c>
      <c r="AP144" s="1186">
        <v>2</v>
      </c>
      <c r="AQ144" s="1186">
        <v>107</v>
      </c>
      <c r="AR144" s="1186">
        <v>12</v>
      </c>
    </row>
    <row r="145" spans="1:44" x14ac:dyDescent="0.2">
      <c r="A145" s="1186" t="s">
        <v>1572</v>
      </c>
      <c r="B145" s="1186" t="s">
        <v>1997</v>
      </c>
      <c r="C145" s="1186">
        <v>728</v>
      </c>
      <c r="D145" s="1186">
        <v>423</v>
      </c>
      <c r="E145" s="1186">
        <v>130</v>
      </c>
      <c r="F145" s="1186">
        <v>121</v>
      </c>
      <c r="G145" s="1186">
        <v>54</v>
      </c>
      <c r="H145" s="1186">
        <v>673</v>
      </c>
      <c r="I145" s="1186">
        <v>64</v>
      </c>
      <c r="J145" s="1186">
        <v>1465</v>
      </c>
      <c r="K145" s="1186" t="s">
        <v>1987</v>
      </c>
      <c r="L145" s="1186" t="s">
        <v>1986</v>
      </c>
      <c r="M145" s="1186" t="s">
        <v>1572</v>
      </c>
      <c r="N145" s="1186" t="s">
        <v>1997</v>
      </c>
      <c r="O145" s="1186">
        <v>3769</v>
      </c>
      <c r="P145" s="1186">
        <v>2882</v>
      </c>
      <c r="Q145" s="1186">
        <v>669</v>
      </c>
      <c r="R145" s="1186">
        <v>157</v>
      </c>
      <c r="S145" s="1186">
        <v>59</v>
      </c>
      <c r="T145" s="1186">
        <v>2</v>
      </c>
      <c r="U145" s="1186" t="s">
        <v>1572</v>
      </c>
      <c r="V145" s="1186" t="s">
        <v>1997</v>
      </c>
      <c r="W145" s="1186">
        <v>1204</v>
      </c>
      <c r="X145" s="1186"/>
      <c r="Y145" s="1186">
        <v>200</v>
      </c>
      <c r="Z145" s="1186">
        <v>15</v>
      </c>
      <c r="AA145" s="1186">
        <v>145</v>
      </c>
      <c r="AB145" s="1186">
        <v>19</v>
      </c>
      <c r="AC145" s="1186">
        <v>39</v>
      </c>
      <c r="AD145" s="1186">
        <v>14</v>
      </c>
      <c r="AE145" s="1186">
        <v>27</v>
      </c>
      <c r="AF145" s="1186">
        <v>23</v>
      </c>
      <c r="AG145" s="1186">
        <v>20</v>
      </c>
      <c r="AH145" s="1186">
        <v>19</v>
      </c>
      <c r="AI145" s="1186">
        <v>5</v>
      </c>
      <c r="AJ145" s="1186">
        <v>30</v>
      </c>
      <c r="AK145" s="1186">
        <v>27</v>
      </c>
      <c r="AL145" s="1186">
        <v>378</v>
      </c>
      <c r="AM145" s="1186">
        <v>28</v>
      </c>
      <c r="AN145" s="1186">
        <v>88</v>
      </c>
      <c r="AO145" s="1186"/>
      <c r="AP145" s="1186">
        <v>2</v>
      </c>
      <c r="AQ145" s="1186">
        <v>108</v>
      </c>
      <c r="AR145" s="1186">
        <v>17</v>
      </c>
    </row>
    <row r="146" spans="1:44" x14ac:dyDescent="0.2">
      <c r="A146" s="1186" t="s">
        <v>1572</v>
      </c>
      <c r="B146" s="1186" t="s">
        <v>1998</v>
      </c>
      <c r="C146" s="1186">
        <v>700</v>
      </c>
      <c r="D146" s="1186">
        <v>410</v>
      </c>
      <c r="E146" s="1186">
        <v>129</v>
      </c>
      <c r="F146" s="1186">
        <v>133</v>
      </c>
      <c r="G146" s="1186">
        <v>28</v>
      </c>
      <c r="H146" s="1186">
        <v>587</v>
      </c>
      <c r="I146" s="1186">
        <v>115</v>
      </c>
      <c r="J146" s="1186">
        <v>1402</v>
      </c>
      <c r="K146" s="1186" t="s">
        <v>1987</v>
      </c>
      <c r="L146" s="1186" t="s">
        <v>1988</v>
      </c>
      <c r="M146" s="1186" t="s">
        <v>1572</v>
      </c>
      <c r="N146" s="1186" t="s">
        <v>1998</v>
      </c>
      <c r="O146" s="1186">
        <v>3675</v>
      </c>
      <c r="P146" s="1186">
        <v>2860</v>
      </c>
      <c r="Q146" s="1186">
        <v>648</v>
      </c>
      <c r="R146" s="1186">
        <v>91</v>
      </c>
      <c r="S146" s="1186">
        <v>73</v>
      </c>
      <c r="T146" s="1186">
        <v>3</v>
      </c>
      <c r="U146" s="1186" t="s">
        <v>1572</v>
      </c>
      <c r="V146" s="1186" t="s">
        <v>1998</v>
      </c>
      <c r="W146" s="1186">
        <v>1097</v>
      </c>
      <c r="X146" s="1186"/>
      <c r="Y146" s="1186">
        <v>147</v>
      </c>
      <c r="Z146" s="1186">
        <v>7</v>
      </c>
      <c r="AA146" s="1186">
        <v>199</v>
      </c>
      <c r="AB146" s="1186">
        <v>14</v>
      </c>
      <c r="AC146" s="1186">
        <v>39</v>
      </c>
      <c r="AD146" s="1186">
        <v>9</v>
      </c>
      <c r="AE146" s="1186">
        <v>34</v>
      </c>
      <c r="AF146" s="1186">
        <v>26</v>
      </c>
      <c r="AG146" s="1186">
        <v>13</v>
      </c>
      <c r="AH146" s="1186">
        <v>16</v>
      </c>
      <c r="AI146" s="1186">
        <v>5</v>
      </c>
      <c r="AJ146" s="1186">
        <v>26</v>
      </c>
      <c r="AK146" s="1186">
        <v>44</v>
      </c>
      <c r="AL146" s="1186">
        <v>305</v>
      </c>
      <c r="AM146" s="1186">
        <v>26</v>
      </c>
      <c r="AN146" s="1186">
        <v>67</v>
      </c>
      <c r="AO146" s="1186"/>
      <c r="AP146" s="1186">
        <v>1</v>
      </c>
      <c r="AQ146" s="1186">
        <v>95</v>
      </c>
      <c r="AR146" s="1186">
        <v>24</v>
      </c>
    </row>
    <row r="147" spans="1:44" x14ac:dyDescent="0.2">
      <c r="A147" s="1186" t="s">
        <v>1572</v>
      </c>
      <c r="B147" s="1186" t="s">
        <v>1999</v>
      </c>
      <c r="C147" s="1186">
        <v>649</v>
      </c>
      <c r="D147" s="1186">
        <v>352</v>
      </c>
      <c r="E147" s="1186">
        <v>123</v>
      </c>
      <c r="F147" s="1186">
        <v>120</v>
      </c>
      <c r="G147" s="1186">
        <v>54</v>
      </c>
      <c r="H147" s="1186">
        <v>793</v>
      </c>
      <c r="I147" s="1186">
        <v>85</v>
      </c>
      <c r="J147" s="1186">
        <v>1527</v>
      </c>
      <c r="K147" s="1186" t="s">
        <v>1987</v>
      </c>
      <c r="L147" s="1186" t="s">
        <v>1988</v>
      </c>
      <c r="M147" s="1186" t="s">
        <v>1572</v>
      </c>
      <c r="N147" s="1186" t="s">
        <v>1999</v>
      </c>
      <c r="O147" s="1186">
        <v>3322</v>
      </c>
      <c r="P147" s="1186">
        <v>2629</v>
      </c>
      <c r="Q147" s="1186">
        <v>549</v>
      </c>
      <c r="R147" s="1186">
        <v>89</v>
      </c>
      <c r="S147" s="1186">
        <v>55</v>
      </c>
      <c r="T147" s="1186"/>
      <c r="U147" s="1186" t="s">
        <v>1572</v>
      </c>
      <c r="V147" s="1186" t="s">
        <v>1999</v>
      </c>
      <c r="W147" s="1186">
        <v>1094</v>
      </c>
      <c r="X147" s="1186"/>
      <c r="Y147" s="1186">
        <v>123</v>
      </c>
      <c r="Z147" s="1186">
        <v>7</v>
      </c>
      <c r="AA147" s="1186">
        <v>182</v>
      </c>
      <c r="AB147" s="1186">
        <v>19</v>
      </c>
      <c r="AC147" s="1186">
        <v>33</v>
      </c>
      <c r="AD147" s="1186">
        <v>6</v>
      </c>
      <c r="AE147" s="1186">
        <v>28</v>
      </c>
      <c r="AF147" s="1186">
        <v>21</v>
      </c>
      <c r="AG147" s="1186">
        <v>19</v>
      </c>
      <c r="AH147" s="1186">
        <v>16</v>
      </c>
      <c r="AI147" s="1186">
        <v>6</v>
      </c>
      <c r="AJ147" s="1186">
        <v>30</v>
      </c>
      <c r="AK147" s="1186">
        <v>30</v>
      </c>
      <c r="AL147" s="1186">
        <v>319</v>
      </c>
      <c r="AM147" s="1186">
        <v>59</v>
      </c>
      <c r="AN147" s="1186">
        <v>83</v>
      </c>
      <c r="AO147" s="1186">
        <v>1</v>
      </c>
      <c r="AP147" s="1186">
        <v>2</v>
      </c>
      <c r="AQ147" s="1186">
        <v>94</v>
      </c>
      <c r="AR147" s="1186">
        <v>16</v>
      </c>
    </row>
    <row r="148" spans="1:44" x14ac:dyDescent="0.2">
      <c r="A148" s="1186" t="s">
        <v>1572</v>
      </c>
      <c r="B148" s="1186" t="s">
        <v>2000</v>
      </c>
      <c r="C148" s="1186">
        <v>738</v>
      </c>
      <c r="D148" s="1186">
        <v>362</v>
      </c>
      <c r="E148" s="1186">
        <v>109</v>
      </c>
      <c r="F148" s="1186">
        <v>153</v>
      </c>
      <c r="G148" s="1186">
        <v>114</v>
      </c>
      <c r="H148" s="1186">
        <v>1654</v>
      </c>
      <c r="I148" s="1186">
        <v>71</v>
      </c>
      <c r="J148" s="1186">
        <v>2463</v>
      </c>
      <c r="K148" s="1186" t="s">
        <v>1981</v>
      </c>
      <c r="L148" s="1186" t="s">
        <v>1988</v>
      </c>
      <c r="M148" s="1186" t="s">
        <v>1572</v>
      </c>
      <c r="N148" s="1186" t="s">
        <v>2000</v>
      </c>
      <c r="O148" s="1186">
        <v>3759</v>
      </c>
      <c r="P148" s="1186">
        <v>2752</v>
      </c>
      <c r="Q148" s="1186">
        <v>806</v>
      </c>
      <c r="R148" s="1186">
        <v>125</v>
      </c>
      <c r="S148" s="1186">
        <v>73</v>
      </c>
      <c r="T148" s="1186">
        <v>3</v>
      </c>
      <c r="U148" s="1186" t="s">
        <v>1572</v>
      </c>
      <c r="V148" s="1186" t="s">
        <v>2000</v>
      </c>
      <c r="W148" s="1186">
        <v>945</v>
      </c>
      <c r="X148" s="1186"/>
      <c r="Y148" s="1186">
        <v>118</v>
      </c>
      <c r="Z148" s="1186">
        <v>4</v>
      </c>
      <c r="AA148" s="1186">
        <v>92</v>
      </c>
      <c r="AB148" s="1186">
        <v>14</v>
      </c>
      <c r="AC148" s="1186">
        <v>56</v>
      </c>
      <c r="AD148" s="1186">
        <v>8</v>
      </c>
      <c r="AE148" s="1186">
        <v>43</v>
      </c>
      <c r="AF148" s="1186">
        <v>14</v>
      </c>
      <c r="AG148" s="1186">
        <v>19</v>
      </c>
      <c r="AH148" s="1186">
        <v>9</v>
      </c>
      <c r="AI148" s="1186">
        <v>2</v>
      </c>
      <c r="AJ148" s="1186">
        <v>33</v>
      </c>
      <c r="AK148" s="1186">
        <v>30</v>
      </c>
      <c r="AL148" s="1186">
        <v>305</v>
      </c>
      <c r="AM148" s="1186">
        <v>27</v>
      </c>
      <c r="AN148" s="1186">
        <v>73</v>
      </c>
      <c r="AO148" s="1186"/>
      <c r="AP148" s="1186"/>
      <c r="AQ148" s="1186">
        <v>91</v>
      </c>
      <c r="AR148" s="1186">
        <v>7</v>
      </c>
    </row>
  </sheetData>
  <pageMargins left="0.7" right="0.7" top="0.75" bottom="0.75" header="0.3" footer="0.3"/>
  <pageSetup paperSize="9" fitToHeight="50" orientation="landscape" r:id="rId1"/>
  <legacyDrawing r:id="rId2"/>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pageSetUpPr fitToPage="1"/>
  </sheetPr>
  <dimension ref="A1:J429"/>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26.28515625" bestFit="1" customWidth="1"/>
    <col min="2" max="4" width="7.42578125" bestFit="1" customWidth="1"/>
    <col min="5" max="5" width="7" bestFit="1" customWidth="1"/>
    <col min="6" max="6" width="9.140625" bestFit="1" customWidth="1"/>
    <col min="7" max="7" width="9" bestFit="1" customWidth="1"/>
    <col min="8" max="8" width="14.5703125" bestFit="1" customWidth="1"/>
    <col min="9" max="9" width="13" bestFit="1" customWidth="1"/>
    <col min="10" max="10" width="7.85546875" bestFit="1" customWidth="1"/>
  </cols>
  <sheetData>
    <row r="1" spans="1:10" x14ac:dyDescent="0.2"/>
    <row r="4" spans="1:10" x14ac:dyDescent="0.2">
      <c r="A4" s="1223" t="s">
        <v>1111</v>
      </c>
      <c r="B4" s="1223" t="s">
        <v>4</v>
      </c>
      <c r="C4" s="1223" t="s">
        <v>1977</v>
      </c>
      <c r="D4" s="1223" t="s">
        <v>1978</v>
      </c>
      <c r="E4" s="1223" t="s">
        <v>1979</v>
      </c>
      <c r="F4" s="1223" t="s">
        <v>1171</v>
      </c>
      <c r="G4" s="1223" t="s">
        <v>828</v>
      </c>
      <c r="H4" s="1223" t="s">
        <v>850</v>
      </c>
      <c r="I4" s="1223" t="s">
        <v>851</v>
      </c>
      <c r="J4" s="1223" t="s">
        <v>852</v>
      </c>
    </row>
    <row r="5" spans="1:10" x14ac:dyDescent="0.2">
      <c r="A5" s="1186" t="s">
        <v>341</v>
      </c>
      <c r="B5" s="1186" t="s">
        <v>19</v>
      </c>
      <c r="C5" s="1186" t="s">
        <v>868</v>
      </c>
      <c r="D5" s="1186" t="s">
        <v>1981</v>
      </c>
      <c r="E5" s="1186" t="s">
        <v>1982</v>
      </c>
      <c r="F5" s="1186">
        <v>81</v>
      </c>
      <c r="G5" s="1186">
        <v>73</v>
      </c>
      <c r="H5" s="1186">
        <v>4</v>
      </c>
      <c r="I5" s="1186"/>
      <c r="J5" s="1186">
        <v>4</v>
      </c>
    </row>
    <row r="6" spans="1:10" x14ac:dyDescent="0.2">
      <c r="A6" s="1186" t="s">
        <v>341</v>
      </c>
      <c r="B6" s="1186" t="s">
        <v>19</v>
      </c>
      <c r="C6" s="1186" t="s">
        <v>869</v>
      </c>
      <c r="D6" s="1186" t="s">
        <v>1981</v>
      </c>
      <c r="E6" s="1186" t="s">
        <v>1982</v>
      </c>
      <c r="F6" s="1186">
        <v>72</v>
      </c>
      <c r="G6" s="1186">
        <v>53</v>
      </c>
      <c r="H6" s="1186">
        <v>5</v>
      </c>
      <c r="I6" s="1186">
        <v>12</v>
      </c>
      <c r="J6" s="1186">
        <v>2</v>
      </c>
    </row>
    <row r="7" spans="1:10" x14ac:dyDescent="0.2">
      <c r="A7" s="1186" t="s">
        <v>341</v>
      </c>
      <c r="B7" s="1186" t="s">
        <v>19</v>
      </c>
      <c r="C7" s="1186" t="s">
        <v>870</v>
      </c>
      <c r="D7" s="1186" t="s">
        <v>1983</v>
      </c>
      <c r="E7" s="1186" t="s">
        <v>1982</v>
      </c>
      <c r="F7" s="1186">
        <v>75</v>
      </c>
      <c r="G7" s="1186">
        <v>54</v>
      </c>
      <c r="H7" s="1186">
        <v>10</v>
      </c>
      <c r="I7" s="1186">
        <v>3</v>
      </c>
      <c r="J7" s="1186">
        <v>8</v>
      </c>
    </row>
    <row r="8" spans="1:10" x14ac:dyDescent="0.2">
      <c r="A8" s="1186" t="s">
        <v>341</v>
      </c>
      <c r="B8" s="1186" t="s">
        <v>19</v>
      </c>
      <c r="C8" s="1186" t="s">
        <v>871</v>
      </c>
      <c r="D8" s="1186" t="s">
        <v>1983</v>
      </c>
      <c r="E8" s="1186" t="s">
        <v>1984</v>
      </c>
      <c r="F8" s="1186">
        <v>72</v>
      </c>
      <c r="G8" s="1186">
        <v>60</v>
      </c>
      <c r="H8" s="1186">
        <v>9</v>
      </c>
      <c r="I8" s="1186">
        <v>3</v>
      </c>
      <c r="J8" s="1186"/>
    </row>
    <row r="9" spans="1:10" x14ac:dyDescent="0.2">
      <c r="A9" s="1186" t="s">
        <v>341</v>
      </c>
      <c r="B9" s="1186" t="s">
        <v>19</v>
      </c>
      <c r="C9" s="1186" t="s">
        <v>872</v>
      </c>
      <c r="D9" s="1186" t="s">
        <v>1983</v>
      </c>
      <c r="E9" s="1186" t="s">
        <v>1984</v>
      </c>
      <c r="F9" s="1186">
        <v>74</v>
      </c>
      <c r="G9" s="1186">
        <v>59</v>
      </c>
      <c r="H9" s="1186">
        <v>4</v>
      </c>
      <c r="I9" s="1186">
        <v>8</v>
      </c>
      <c r="J9" s="1186">
        <v>3</v>
      </c>
    </row>
    <row r="10" spans="1:10" x14ac:dyDescent="0.2">
      <c r="A10" s="1186" t="s">
        <v>341</v>
      </c>
      <c r="B10" s="1186" t="s">
        <v>19</v>
      </c>
      <c r="C10" s="1186" t="s">
        <v>873</v>
      </c>
      <c r="D10" s="1186" t="s">
        <v>1985</v>
      </c>
      <c r="E10" s="1186" t="s">
        <v>1984</v>
      </c>
      <c r="F10" s="1186">
        <v>76</v>
      </c>
      <c r="G10" s="1186">
        <v>65</v>
      </c>
      <c r="H10" s="1186">
        <v>6</v>
      </c>
      <c r="I10" s="1186">
        <v>4</v>
      </c>
      <c r="J10" s="1186">
        <v>1</v>
      </c>
    </row>
    <row r="11" spans="1:10" x14ac:dyDescent="0.2">
      <c r="A11" s="1186" t="s">
        <v>341</v>
      </c>
      <c r="B11" s="1186" t="s">
        <v>19</v>
      </c>
      <c r="C11" s="1186" t="s">
        <v>19</v>
      </c>
      <c r="D11" s="1186" t="s">
        <v>1985</v>
      </c>
      <c r="E11" s="1186" t="s">
        <v>1986</v>
      </c>
      <c r="F11" s="1186">
        <v>81</v>
      </c>
      <c r="G11" s="1186">
        <v>57</v>
      </c>
      <c r="H11" s="1186">
        <v>9</v>
      </c>
      <c r="I11" s="1186">
        <v>14</v>
      </c>
      <c r="J11" s="1186">
        <v>1</v>
      </c>
    </row>
    <row r="12" spans="1:10" x14ac:dyDescent="0.2">
      <c r="A12" s="1186" t="s">
        <v>341</v>
      </c>
      <c r="B12" s="1186" t="s">
        <v>19</v>
      </c>
      <c r="C12" s="1186" t="s">
        <v>874</v>
      </c>
      <c r="D12" s="1186" t="s">
        <v>1985</v>
      </c>
      <c r="E12" s="1186" t="s">
        <v>1986</v>
      </c>
      <c r="F12" s="1186">
        <v>68</v>
      </c>
      <c r="G12" s="1186">
        <v>57</v>
      </c>
      <c r="H12" s="1186">
        <v>5</v>
      </c>
      <c r="I12" s="1186">
        <v>5</v>
      </c>
      <c r="J12" s="1186">
        <v>1</v>
      </c>
    </row>
    <row r="13" spans="1:10" x14ac:dyDescent="0.2">
      <c r="A13" s="1186" t="s">
        <v>341</v>
      </c>
      <c r="B13" s="1186" t="s">
        <v>19</v>
      </c>
      <c r="C13" s="1186" t="s">
        <v>875</v>
      </c>
      <c r="D13" s="1186" t="s">
        <v>1987</v>
      </c>
      <c r="E13" s="1186" t="s">
        <v>1986</v>
      </c>
      <c r="F13" s="1186">
        <v>74</v>
      </c>
      <c r="G13" s="1186">
        <v>71</v>
      </c>
      <c r="H13" s="1186">
        <v>3</v>
      </c>
      <c r="I13" s="1186"/>
      <c r="J13" s="1186"/>
    </row>
    <row r="14" spans="1:10" x14ac:dyDescent="0.2">
      <c r="A14" s="1186" t="s">
        <v>341</v>
      </c>
      <c r="B14" s="1186" t="s">
        <v>19</v>
      </c>
      <c r="C14" s="1186" t="s">
        <v>876</v>
      </c>
      <c r="D14" s="1186" t="s">
        <v>1987</v>
      </c>
      <c r="E14" s="1186" t="s">
        <v>1988</v>
      </c>
      <c r="F14" s="1186">
        <v>99</v>
      </c>
      <c r="G14" s="1186">
        <v>84</v>
      </c>
      <c r="H14" s="1186">
        <v>8</v>
      </c>
      <c r="I14" s="1186">
        <v>4</v>
      </c>
      <c r="J14" s="1186">
        <v>3</v>
      </c>
    </row>
    <row r="15" spans="1:10" x14ac:dyDescent="0.2">
      <c r="A15" s="1186" t="s">
        <v>341</v>
      </c>
      <c r="B15" s="1186" t="s">
        <v>19</v>
      </c>
      <c r="C15" s="1186" t="s">
        <v>877</v>
      </c>
      <c r="D15" s="1186" t="s">
        <v>1987</v>
      </c>
      <c r="E15" s="1186" t="s">
        <v>1988</v>
      </c>
      <c r="F15" s="1186">
        <v>92</v>
      </c>
      <c r="G15" s="1186">
        <v>76</v>
      </c>
      <c r="H15" s="1186">
        <v>12</v>
      </c>
      <c r="I15" s="1186">
        <v>2</v>
      </c>
      <c r="J15" s="1186">
        <v>2</v>
      </c>
    </row>
    <row r="16" spans="1:10" x14ac:dyDescent="0.2">
      <c r="A16" s="1186" t="s">
        <v>341</v>
      </c>
      <c r="B16" s="1186" t="s">
        <v>19</v>
      </c>
      <c r="C16" s="1186" t="s">
        <v>878</v>
      </c>
      <c r="D16" s="1186" t="s">
        <v>1981</v>
      </c>
      <c r="E16" s="1186" t="s">
        <v>1988</v>
      </c>
      <c r="F16" s="1186">
        <v>92</v>
      </c>
      <c r="G16" s="1186">
        <v>78</v>
      </c>
      <c r="H16" s="1186">
        <v>9</v>
      </c>
      <c r="I16" s="1186">
        <v>4</v>
      </c>
      <c r="J16" s="1186">
        <v>1</v>
      </c>
    </row>
    <row r="17" spans="1:10" x14ac:dyDescent="0.2">
      <c r="A17" s="1186" t="s">
        <v>341</v>
      </c>
      <c r="B17" s="1186" t="s">
        <v>20</v>
      </c>
      <c r="C17" s="1186" t="s">
        <v>879</v>
      </c>
      <c r="D17" s="1186" t="s">
        <v>1981</v>
      </c>
      <c r="E17" s="1186" t="s">
        <v>1982</v>
      </c>
      <c r="F17" s="1186">
        <v>88</v>
      </c>
      <c r="G17" s="1186">
        <v>66</v>
      </c>
      <c r="H17" s="1186">
        <v>11</v>
      </c>
      <c r="I17" s="1186">
        <v>6</v>
      </c>
      <c r="J17" s="1186">
        <v>5</v>
      </c>
    </row>
    <row r="18" spans="1:10" x14ac:dyDescent="0.2">
      <c r="A18" s="1186" t="s">
        <v>341</v>
      </c>
      <c r="B18" s="1186" t="s">
        <v>20</v>
      </c>
      <c r="C18" s="1186" t="s">
        <v>880</v>
      </c>
      <c r="D18" s="1186" t="s">
        <v>1981</v>
      </c>
      <c r="E18" s="1186" t="s">
        <v>1982</v>
      </c>
      <c r="F18" s="1186">
        <v>86</v>
      </c>
      <c r="G18" s="1186">
        <v>76</v>
      </c>
      <c r="H18" s="1186">
        <v>6</v>
      </c>
      <c r="I18" s="1186">
        <v>2</v>
      </c>
      <c r="J18" s="1186">
        <v>2</v>
      </c>
    </row>
    <row r="19" spans="1:10" x14ac:dyDescent="0.2">
      <c r="A19" s="1186" t="s">
        <v>341</v>
      </c>
      <c r="B19" s="1186" t="s">
        <v>20</v>
      </c>
      <c r="C19" s="1186" t="s">
        <v>881</v>
      </c>
      <c r="D19" s="1186" t="s">
        <v>1983</v>
      </c>
      <c r="E19" s="1186" t="s">
        <v>1982</v>
      </c>
      <c r="F19" s="1186">
        <v>66</v>
      </c>
      <c r="G19" s="1186">
        <v>52</v>
      </c>
      <c r="H19" s="1186">
        <v>2</v>
      </c>
      <c r="I19" s="1186">
        <v>6</v>
      </c>
      <c r="J19" s="1186">
        <v>6</v>
      </c>
    </row>
    <row r="20" spans="1:10" x14ac:dyDescent="0.2">
      <c r="A20" s="1186" t="s">
        <v>341</v>
      </c>
      <c r="B20" s="1186" t="s">
        <v>20</v>
      </c>
      <c r="C20" s="1186" t="s">
        <v>882</v>
      </c>
      <c r="D20" s="1186" t="s">
        <v>1983</v>
      </c>
      <c r="E20" s="1186" t="s">
        <v>1984</v>
      </c>
      <c r="F20" s="1186">
        <v>82</v>
      </c>
      <c r="G20" s="1186">
        <v>67</v>
      </c>
      <c r="H20" s="1186">
        <v>6</v>
      </c>
      <c r="I20" s="1186">
        <v>3</v>
      </c>
      <c r="J20" s="1186">
        <v>6</v>
      </c>
    </row>
    <row r="21" spans="1:10" x14ac:dyDescent="0.2">
      <c r="A21" s="1186" t="s">
        <v>341</v>
      </c>
      <c r="B21" s="1186" t="s">
        <v>20</v>
      </c>
      <c r="C21" s="1186" t="s">
        <v>883</v>
      </c>
      <c r="D21" s="1186" t="s">
        <v>1983</v>
      </c>
      <c r="E21" s="1186" t="s">
        <v>1984</v>
      </c>
      <c r="F21" s="1186">
        <v>58</v>
      </c>
      <c r="G21" s="1186">
        <v>50</v>
      </c>
      <c r="H21" s="1186">
        <v>4</v>
      </c>
      <c r="I21" s="1186">
        <v>1</v>
      </c>
      <c r="J21" s="1186">
        <v>3</v>
      </c>
    </row>
    <row r="22" spans="1:10" x14ac:dyDescent="0.2">
      <c r="A22" s="1186" t="s">
        <v>341</v>
      </c>
      <c r="B22" s="1186" t="s">
        <v>20</v>
      </c>
      <c r="C22" s="1186" t="s">
        <v>884</v>
      </c>
      <c r="D22" s="1186" t="s">
        <v>1985</v>
      </c>
      <c r="E22" s="1186" t="s">
        <v>1984</v>
      </c>
      <c r="F22" s="1186">
        <v>73</v>
      </c>
      <c r="G22" s="1186">
        <v>55</v>
      </c>
      <c r="H22" s="1186">
        <v>14</v>
      </c>
      <c r="I22" s="1186">
        <v>2</v>
      </c>
      <c r="J22" s="1186">
        <v>2</v>
      </c>
    </row>
    <row r="23" spans="1:10" x14ac:dyDescent="0.2">
      <c r="A23" s="1186" t="s">
        <v>341</v>
      </c>
      <c r="B23" s="1186" t="s">
        <v>20</v>
      </c>
      <c r="C23" s="1186" t="s">
        <v>885</v>
      </c>
      <c r="D23" s="1186" t="s">
        <v>1985</v>
      </c>
      <c r="E23" s="1186" t="s">
        <v>1986</v>
      </c>
      <c r="F23" s="1186">
        <v>103</v>
      </c>
      <c r="G23" s="1186">
        <v>90</v>
      </c>
      <c r="H23" s="1186">
        <v>7</v>
      </c>
      <c r="I23" s="1186">
        <v>3</v>
      </c>
      <c r="J23" s="1186">
        <v>3</v>
      </c>
    </row>
    <row r="24" spans="1:10" x14ac:dyDescent="0.2">
      <c r="A24" s="1186" t="s">
        <v>341</v>
      </c>
      <c r="B24" s="1186" t="s">
        <v>20</v>
      </c>
      <c r="C24" s="1186" t="s">
        <v>20</v>
      </c>
      <c r="D24" s="1186" t="s">
        <v>1985</v>
      </c>
      <c r="E24" s="1186" t="s">
        <v>1986</v>
      </c>
      <c r="F24" s="1186">
        <v>106</v>
      </c>
      <c r="G24" s="1186">
        <v>100</v>
      </c>
      <c r="H24" s="1186">
        <v>2</v>
      </c>
      <c r="I24" s="1186">
        <v>2</v>
      </c>
      <c r="J24" s="1186">
        <v>2</v>
      </c>
    </row>
    <row r="25" spans="1:10" x14ac:dyDescent="0.2">
      <c r="A25" s="1186" t="s">
        <v>341</v>
      </c>
      <c r="B25" s="1186" t="s">
        <v>20</v>
      </c>
      <c r="C25" s="1186" t="s">
        <v>886</v>
      </c>
      <c r="D25" s="1186" t="s">
        <v>1987</v>
      </c>
      <c r="E25" s="1186" t="s">
        <v>1986</v>
      </c>
      <c r="F25" s="1186">
        <v>121</v>
      </c>
      <c r="G25" s="1186">
        <v>113</v>
      </c>
      <c r="H25" s="1186">
        <v>7</v>
      </c>
      <c r="I25" s="1186"/>
      <c r="J25" s="1186">
        <v>1</v>
      </c>
    </row>
    <row r="26" spans="1:10" x14ac:dyDescent="0.2">
      <c r="A26" s="1186" t="s">
        <v>341</v>
      </c>
      <c r="B26" s="1186" t="s">
        <v>20</v>
      </c>
      <c r="C26" s="1186" t="s">
        <v>887</v>
      </c>
      <c r="D26" s="1186" t="s">
        <v>1987</v>
      </c>
      <c r="E26" s="1186" t="s">
        <v>1988</v>
      </c>
      <c r="F26" s="1186">
        <v>159</v>
      </c>
      <c r="G26" s="1186">
        <v>139</v>
      </c>
      <c r="H26" s="1186">
        <v>11</v>
      </c>
      <c r="I26" s="1186">
        <v>8</v>
      </c>
      <c r="J26" s="1186">
        <v>1</v>
      </c>
    </row>
    <row r="27" spans="1:10" x14ac:dyDescent="0.2">
      <c r="A27" s="1186" t="s">
        <v>341</v>
      </c>
      <c r="B27" s="1186" t="s">
        <v>20</v>
      </c>
      <c r="C27" s="1186" t="s">
        <v>888</v>
      </c>
      <c r="D27" s="1186" t="s">
        <v>1987</v>
      </c>
      <c r="E27" s="1186" t="s">
        <v>1988</v>
      </c>
      <c r="F27" s="1186">
        <v>91</v>
      </c>
      <c r="G27" s="1186">
        <v>74</v>
      </c>
      <c r="H27" s="1186">
        <v>13</v>
      </c>
      <c r="I27" s="1186">
        <v>2</v>
      </c>
      <c r="J27" s="1186">
        <v>2</v>
      </c>
    </row>
    <row r="28" spans="1:10" x14ac:dyDescent="0.2">
      <c r="A28" s="1186" t="s">
        <v>341</v>
      </c>
      <c r="B28" s="1186" t="s">
        <v>20</v>
      </c>
      <c r="C28" s="1186" t="s">
        <v>889</v>
      </c>
      <c r="D28" s="1186" t="s">
        <v>1981</v>
      </c>
      <c r="E28" s="1186" t="s">
        <v>1988</v>
      </c>
      <c r="F28" s="1186">
        <v>61</v>
      </c>
      <c r="G28" s="1186">
        <v>52</v>
      </c>
      <c r="H28" s="1186">
        <v>6</v>
      </c>
      <c r="I28" s="1186">
        <v>2</v>
      </c>
      <c r="J28" s="1186">
        <v>1</v>
      </c>
    </row>
    <row r="29" spans="1:10" x14ac:dyDescent="0.2">
      <c r="A29" s="1186" t="s">
        <v>341</v>
      </c>
      <c r="B29" s="1186" t="s">
        <v>13</v>
      </c>
      <c r="C29" s="1186" t="s">
        <v>890</v>
      </c>
      <c r="D29" s="1186" t="s">
        <v>1981</v>
      </c>
      <c r="E29" s="1186" t="s">
        <v>1982</v>
      </c>
      <c r="F29" s="1186">
        <v>90</v>
      </c>
      <c r="G29" s="1186">
        <v>76</v>
      </c>
      <c r="H29" s="1186">
        <v>6</v>
      </c>
      <c r="I29" s="1186">
        <v>3</v>
      </c>
      <c r="J29" s="1186">
        <v>5</v>
      </c>
    </row>
    <row r="30" spans="1:10" x14ac:dyDescent="0.2">
      <c r="A30" s="1186" t="s">
        <v>341</v>
      </c>
      <c r="B30" s="1186" t="s">
        <v>13</v>
      </c>
      <c r="C30" s="1186" t="s">
        <v>891</v>
      </c>
      <c r="D30" s="1186" t="s">
        <v>1981</v>
      </c>
      <c r="E30" s="1186" t="s">
        <v>1982</v>
      </c>
      <c r="F30" s="1186">
        <v>60</v>
      </c>
      <c r="G30" s="1186">
        <v>56</v>
      </c>
      <c r="H30" s="1186"/>
      <c r="I30" s="1186">
        <v>1</v>
      </c>
      <c r="J30" s="1186">
        <v>3</v>
      </c>
    </row>
    <row r="31" spans="1:10" x14ac:dyDescent="0.2">
      <c r="A31" s="1186" t="s">
        <v>341</v>
      </c>
      <c r="B31" s="1186" t="s">
        <v>13</v>
      </c>
      <c r="C31" s="1186" t="s">
        <v>892</v>
      </c>
      <c r="D31" s="1186" t="s">
        <v>1983</v>
      </c>
      <c r="E31" s="1186" t="s">
        <v>1982</v>
      </c>
      <c r="F31" s="1186">
        <v>60</v>
      </c>
      <c r="G31" s="1186">
        <v>47</v>
      </c>
      <c r="H31" s="1186">
        <v>6</v>
      </c>
      <c r="I31" s="1186">
        <v>4</v>
      </c>
      <c r="J31" s="1186">
        <v>3</v>
      </c>
    </row>
    <row r="32" spans="1:10" x14ac:dyDescent="0.2">
      <c r="A32" s="1186" t="s">
        <v>341</v>
      </c>
      <c r="B32" s="1186" t="s">
        <v>13</v>
      </c>
      <c r="C32" s="1186" t="s">
        <v>893</v>
      </c>
      <c r="D32" s="1186" t="s">
        <v>1983</v>
      </c>
      <c r="E32" s="1186" t="s">
        <v>1984</v>
      </c>
      <c r="F32" s="1186">
        <v>106</v>
      </c>
      <c r="G32" s="1186">
        <v>89</v>
      </c>
      <c r="H32" s="1186">
        <v>11</v>
      </c>
      <c r="I32" s="1186">
        <v>5</v>
      </c>
      <c r="J32" s="1186">
        <v>1</v>
      </c>
    </row>
    <row r="33" spans="1:10" x14ac:dyDescent="0.2">
      <c r="A33" s="1186" t="s">
        <v>341</v>
      </c>
      <c r="B33" s="1186" t="s">
        <v>13</v>
      </c>
      <c r="C33" s="1186" t="s">
        <v>894</v>
      </c>
      <c r="D33" s="1186" t="s">
        <v>1983</v>
      </c>
      <c r="E33" s="1186" t="s">
        <v>1984</v>
      </c>
      <c r="F33" s="1186">
        <v>86</v>
      </c>
      <c r="G33" s="1186">
        <v>65</v>
      </c>
      <c r="H33" s="1186">
        <v>12</v>
      </c>
      <c r="I33" s="1186">
        <v>5</v>
      </c>
      <c r="J33" s="1186">
        <v>4</v>
      </c>
    </row>
    <row r="34" spans="1:10" x14ac:dyDescent="0.2">
      <c r="A34" s="1186" t="s">
        <v>341</v>
      </c>
      <c r="B34" s="1186" t="s">
        <v>13</v>
      </c>
      <c r="C34" s="1186" t="s">
        <v>895</v>
      </c>
      <c r="D34" s="1186" t="s">
        <v>1985</v>
      </c>
      <c r="E34" s="1186" t="s">
        <v>1984</v>
      </c>
      <c r="F34" s="1186">
        <v>74</v>
      </c>
      <c r="G34" s="1186">
        <v>66</v>
      </c>
      <c r="H34" s="1186">
        <v>2</v>
      </c>
      <c r="I34" s="1186">
        <v>4</v>
      </c>
      <c r="J34" s="1186">
        <v>2</v>
      </c>
    </row>
    <row r="35" spans="1:10" x14ac:dyDescent="0.2">
      <c r="A35" s="1186" t="s">
        <v>341</v>
      </c>
      <c r="B35" s="1186" t="s">
        <v>13</v>
      </c>
      <c r="C35" s="1186" t="s">
        <v>896</v>
      </c>
      <c r="D35" s="1186" t="s">
        <v>1985</v>
      </c>
      <c r="E35" s="1186" t="s">
        <v>1986</v>
      </c>
      <c r="F35" s="1186">
        <v>95</v>
      </c>
      <c r="G35" s="1186">
        <v>85</v>
      </c>
      <c r="H35" s="1186">
        <v>5</v>
      </c>
      <c r="I35" s="1186">
        <v>2</v>
      </c>
      <c r="J35" s="1186">
        <v>3</v>
      </c>
    </row>
    <row r="36" spans="1:10" x14ac:dyDescent="0.2">
      <c r="A36" s="1186" t="s">
        <v>341</v>
      </c>
      <c r="B36" s="1186" t="s">
        <v>13</v>
      </c>
      <c r="C36" s="1186" t="s">
        <v>897</v>
      </c>
      <c r="D36" s="1186" t="s">
        <v>1985</v>
      </c>
      <c r="E36" s="1186" t="s">
        <v>1986</v>
      </c>
      <c r="F36" s="1186">
        <v>102</v>
      </c>
      <c r="G36" s="1186">
        <v>90</v>
      </c>
      <c r="H36" s="1186">
        <v>7</v>
      </c>
      <c r="I36" s="1186">
        <v>2</v>
      </c>
      <c r="J36" s="1186">
        <v>3</v>
      </c>
    </row>
    <row r="37" spans="1:10" x14ac:dyDescent="0.2">
      <c r="A37" s="1186" t="s">
        <v>341</v>
      </c>
      <c r="B37" s="1186" t="s">
        <v>13</v>
      </c>
      <c r="C37" s="1186" t="s">
        <v>13</v>
      </c>
      <c r="D37" s="1186" t="s">
        <v>1987</v>
      </c>
      <c r="E37" s="1186" t="s">
        <v>1986</v>
      </c>
      <c r="F37" s="1186">
        <v>133</v>
      </c>
      <c r="G37" s="1186">
        <v>126</v>
      </c>
      <c r="H37" s="1186">
        <v>5</v>
      </c>
      <c r="I37" s="1186">
        <v>2</v>
      </c>
      <c r="J37" s="1186"/>
    </row>
    <row r="38" spans="1:10" x14ac:dyDescent="0.2">
      <c r="A38" s="1186" t="s">
        <v>341</v>
      </c>
      <c r="B38" s="1186" t="s">
        <v>13</v>
      </c>
      <c r="C38" s="1186" t="s">
        <v>898</v>
      </c>
      <c r="D38" s="1186" t="s">
        <v>1987</v>
      </c>
      <c r="E38" s="1186" t="s">
        <v>1988</v>
      </c>
      <c r="F38" s="1186">
        <v>104</v>
      </c>
      <c r="G38" s="1186">
        <v>83</v>
      </c>
      <c r="H38" s="1186">
        <v>14</v>
      </c>
      <c r="I38" s="1186">
        <v>3</v>
      </c>
      <c r="J38" s="1186">
        <v>4</v>
      </c>
    </row>
    <row r="39" spans="1:10" x14ac:dyDescent="0.2">
      <c r="A39" s="1186" t="s">
        <v>341</v>
      </c>
      <c r="B39" s="1186" t="s">
        <v>13</v>
      </c>
      <c r="C39" s="1186" t="s">
        <v>899</v>
      </c>
      <c r="D39" s="1186" t="s">
        <v>1987</v>
      </c>
      <c r="E39" s="1186" t="s">
        <v>1988</v>
      </c>
      <c r="F39" s="1186">
        <v>115</v>
      </c>
      <c r="G39" s="1186">
        <v>102</v>
      </c>
      <c r="H39" s="1186">
        <v>11</v>
      </c>
      <c r="I39" s="1186">
        <v>2</v>
      </c>
      <c r="J39" s="1186"/>
    </row>
    <row r="40" spans="1:10" x14ac:dyDescent="0.2">
      <c r="A40" s="1186" t="s">
        <v>341</v>
      </c>
      <c r="B40" s="1186" t="s">
        <v>13</v>
      </c>
      <c r="C40" s="1186" t="s">
        <v>900</v>
      </c>
      <c r="D40" s="1186" t="s">
        <v>1981</v>
      </c>
      <c r="E40" s="1186" t="s">
        <v>1988</v>
      </c>
      <c r="F40" s="1186">
        <v>92</v>
      </c>
      <c r="G40" s="1186">
        <v>70</v>
      </c>
      <c r="H40" s="1186">
        <v>6</v>
      </c>
      <c r="I40" s="1186">
        <v>10</v>
      </c>
      <c r="J40" s="1186">
        <v>6</v>
      </c>
    </row>
    <row r="41" spans="1:10" x14ac:dyDescent="0.2">
      <c r="A41" s="1186" t="s">
        <v>341</v>
      </c>
      <c r="B41" s="1186" t="s">
        <v>15</v>
      </c>
      <c r="C41" s="1186" t="s">
        <v>901</v>
      </c>
      <c r="D41" s="1186" t="s">
        <v>1981</v>
      </c>
      <c r="E41" s="1186" t="s">
        <v>1982</v>
      </c>
      <c r="F41" s="1186">
        <v>74</v>
      </c>
      <c r="G41" s="1186">
        <v>66</v>
      </c>
      <c r="H41" s="1186">
        <v>2</v>
      </c>
      <c r="I41" s="1186">
        <v>5</v>
      </c>
      <c r="J41" s="1186">
        <v>1</v>
      </c>
    </row>
    <row r="42" spans="1:10" x14ac:dyDescent="0.2">
      <c r="A42" s="1186" t="s">
        <v>341</v>
      </c>
      <c r="B42" s="1186" t="s">
        <v>15</v>
      </c>
      <c r="C42" s="1186" t="s">
        <v>902</v>
      </c>
      <c r="D42" s="1186" t="s">
        <v>1981</v>
      </c>
      <c r="E42" s="1186" t="s">
        <v>1982</v>
      </c>
      <c r="F42" s="1186">
        <v>97</v>
      </c>
      <c r="G42" s="1186">
        <v>84</v>
      </c>
      <c r="H42" s="1186">
        <v>5</v>
      </c>
      <c r="I42" s="1186">
        <v>5</v>
      </c>
      <c r="J42" s="1186">
        <v>3</v>
      </c>
    </row>
    <row r="43" spans="1:10" x14ac:dyDescent="0.2">
      <c r="A43" s="1186" t="s">
        <v>341</v>
      </c>
      <c r="B43" s="1186" t="s">
        <v>15</v>
      </c>
      <c r="C43" s="1186" t="s">
        <v>903</v>
      </c>
      <c r="D43" s="1186" t="s">
        <v>1983</v>
      </c>
      <c r="E43" s="1186" t="s">
        <v>1982</v>
      </c>
      <c r="F43" s="1186">
        <v>64</v>
      </c>
      <c r="G43" s="1186">
        <v>55</v>
      </c>
      <c r="H43" s="1186">
        <v>6</v>
      </c>
      <c r="I43" s="1186">
        <v>2</v>
      </c>
      <c r="J43" s="1186">
        <v>1</v>
      </c>
    </row>
    <row r="44" spans="1:10" x14ac:dyDescent="0.2">
      <c r="A44" s="1186" t="s">
        <v>341</v>
      </c>
      <c r="B44" s="1186" t="s">
        <v>15</v>
      </c>
      <c r="C44" s="1186" t="s">
        <v>904</v>
      </c>
      <c r="D44" s="1186" t="s">
        <v>1983</v>
      </c>
      <c r="E44" s="1186" t="s">
        <v>1984</v>
      </c>
      <c r="F44" s="1186">
        <v>75</v>
      </c>
      <c r="G44" s="1186">
        <v>60</v>
      </c>
      <c r="H44" s="1186">
        <v>11</v>
      </c>
      <c r="I44" s="1186">
        <v>2</v>
      </c>
      <c r="J44" s="1186">
        <v>2</v>
      </c>
    </row>
    <row r="45" spans="1:10" x14ac:dyDescent="0.2">
      <c r="A45" s="1186" t="s">
        <v>341</v>
      </c>
      <c r="B45" s="1186" t="s">
        <v>15</v>
      </c>
      <c r="C45" s="1186" t="s">
        <v>905</v>
      </c>
      <c r="D45" s="1186" t="s">
        <v>1983</v>
      </c>
      <c r="E45" s="1186" t="s">
        <v>1984</v>
      </c>
      <c r="F45" s="1186">
        <v>85</v>
      </c>
      <c r="G45" s="1186">
        <v>70</v>
      </c>
      <c r="H45" s="1186">
        <v>8</v>
      </c>
      <c r="I45" s="1186">
        <v>3</v>
      </c>
      <c r="J45" s="1186">
        <v>4</v>
      </c>
    </row>
    <row r="46" spans="1:10" x14ac:dyDescent="0.2">
      <c r="A46" s="1186" t="s">
        <v>341</v>
      </c>
      <c r="B46" s="1186" t="s">
        <v>15</v>
      </c>
      <c r="C46" s="1186" t="s">
        <v>906</v>
      </c>
      <c r="D46" s="1186" t="s">
        <v>1985</v>
      </c>
      <c r="E46" s="1186" t="s">
        <v>1984</v>
      </c>
      <c r="F46" s="1186">
        <v>73</v>
      </c>
      <c r="G46" s="1186">
        <v>64</v>
      </c>
      <c r="H46" s="1186">
        <v>6</v>
      </c>
      <c r="I46" s="1186">
        <v>3</v>
      </c>
      <c r="J46" s="1186"/>
    </row>
    <row r="47" spans="1:10" x14ac:dyDescent="0.2">
      <c r="A47" s="1186" t="s">
        <v>341</v>
      </c>
      <c r="B47" s="1186" t="s">
        <v>15</v>
      </c>
      <c r="C47" s="1186" t="s">
        <v>907</v>
      </c>
      <c r="D47" s="1186" t="s">
        <v>1985</v>
      </c>
      <c r="E47" s="1186" t="s">
        <v>1986</v>
      </c>
      <c r="F47" s="1186">
        <v>92</v>
      </c>
      <c r="G47" s="1186">
        <v>82</v>
      </c>
      <c r="H47" s="1186">
        <v>7</v>
      </c>
      <c r="I47" s="1186">
        <v>2</v>
      </c>
      <c r="J47" s="1186">
        <v>1</v>
      </c>
    </row>
    <row r="48" spans="1:10" x14ac:dyDescent="0.2">
      <c r="A48" s="1186" t="s">
        <v>341</v>
      </c>
      <c r="B48" s="1186" t="s">
        <v>15</v>
      </c>
      <c r="C48" s="1186" t="s">
        <v>908</v>
      </c>
      <c r="D48" s="1186" t="s">
        <v>1985</v>
      </c>
      <c r="E48" s="1186" t="s">
        <v>1986</v>
      </c>
      <c r="F48" s="1186">
        <v>92</v>
      </c>
      <c r="G48" s="1186">
        <v>80</v>
      </c>
      <c r="H48" s="1186">
        <v>5</v>
      </c>
      <c r="I48" s="1186">
        <v>5</v>
      </c>
      <c r="J48" s="1186">
        <v>2</v>
      </c>
    </row>
    <row r="49" spans="1:10" x14ac:dyDescent="0.2">
      <c r="A49" s="1186" t="s">
        <v>341</v>
      </c>
      <c r="B49" s="1186" t="s">
        <v>15</v>
      </c>
      <c r="C49" s="1186" t="s">
        <v>909</v>
      </c>
      <c r="D49" s="1186" t="s">
        <v>1987</v>
      </c>
      <c r="E49" s="1186" t="s">
        <v>1986</v>
      </c>
      <c r="F49" s="1186">
        <v>98</v>
      </c>
      <c r="G49" s="1186">
        <v>88</v>
      </c>
      <c r="H49" s="1186">
        <v>6</v>
      </c>
      <c r="I49" s="1186">
        <v>2</v>
      </c>
      <c r="J49" s="1186">
        <v>2</v>
      </c>
    </row>
    <row r="50" spans="1:10" x14ac:dyDescent="0.2">
      <c r="A50" s="1186" t="s">
        <v>341</v>
      </c>
      <c r="B50" s="1186" t="s">
        <v>15</v>
      </c>
      <c r="C50" s="1186" t="s">
        <v>910</v>
      </c>
      <c r="D50" s="1186" t="s">
        <v>1987</v>
      </c>
      <c r="E50" s="1186" t="s">
        <v>1988</v>
      </c>
      <c r="F50" s="1186">
        <v>106</v>
      </c>
      <c r="G50" s="1186">
        <v>95</v>
      </c>
      <c r="H50" s="1186">
        <v>9</v>
      </c>
      <c r="I50" s="1186">
        <v>1</v>
      </c>
      <c r="J50" s="1186">
        <v>1</v>
      </c>
    </row>
    <row r="51" spans="1:10" x14ac:dyDescent="0.2">
      <c r="A51" s="1186" t="s">
        <v>341</v>
      </c>
      <c r="B51" s="1186" t="s">
        <v>15</v>
      </c>
      <c r="C51" s="1186" t="s">
        <v>911</v>
      </c>
      <c r="D51" s="1186" t="s">
        <v>1987</v>
      </c>
      <c r="E51" s="1186" t="s">
        <v>1988</v>
      </c>
      <c r="F51" s="1186">
        <v>103</v>
      </c>
      <c r="G51" s="1186">
        <v>92</v>
      </c>
      <c r="H51" s="1186">
        <v>9</v>
      </c>
      <c r="I51" s="1186">
        <v>2</v>
      </c>
      <c r="J51" s="1186"/>
    </row>
    <row r="52" spans="1:10" x14ac:dyDescent="0.2">
      <c r="A52" s="1186" t="s">
        <v>341</v>
      </c>
      <c r="B52" s="1186" t="s">
        <v>15</v>
      </c>
      <c r="C52" s="1186" t="s">
        <v>912</v>
      </c>
      <c r="D52" s="1186" t="s">
        <v>1981</v>
      </c>
      <c r="E52" s="1186" t="s">
        <v>1988</v>
      </c>
      <c r="F52" s="1186">
        <v>98</v>
      </c>
      <c r="G52" s="1186">
        <v>87</v>
      </c>
      <c r="H52" s="1186">
        <v>4</v>
      </c>
      <c r="I52" s="1186"/>
      <c r="J52" s="1186">
        <v>7</v>
      </c>
    </row>
    <row r="53" spans="1:10" x14ac:dyDescent="0.2">
      <c r="A53" s="1186" t="s">
        <v>341</v>
      </c>
      <c r="B53" s="1186" t="s">
        <v>17</v>
      </c>
      <c r="C53" s="1186" t="s">
        <v>913</v>
      </c>
      <c r="D53" s="1186" t="s">
        <v>1981</v>
      </c>
      <c r="E53" s="1186" t="s">
        <v>1982</v>
      </c>
      <c r="F53" s="1186">
        <v>93</v>
      </c>
      <c r="G53" s="1186">
        <v>85</v>
      </c>
      <c r="H53" s="1186">
        <v>5</v>
      </c>
      <c r="I53" s="1186"/>
      <c r="J53" s="1186">
        <v>3</v>
      </c>
    </row>
    <row r="54" spans="1:10" x14ac:dyDescent="0.2">
      <c r="A54" s="1186" t="s">
        <v>341</v>
      </c>
      <c r="B54" s="1186" t="s">
        <v>17</v>
      </c>
      <c r="C54" s="1186" t="s">
        <v>914</v>
      </c>
      <c r="D54" s="1186" t="s">
        <v>1981</v>
      </c>
      <c r="E54" s="1186" t="s">
        <v>1982</v>
      </c>
      <c r="F54" s="1186">
        <v>110</v>
      </c>
      <c r="G54" s="1186">
        <v>83</v>
      </c>
      <c r="H54" s="1186">
        <v>12</v>
      </c>
      <c r="I54" s="1186">
        <v>12</v>
      </c>
      <c r="J54" s="1186">
        <v>3</v>
      </c>
    </row>
    <row r="55" spans="1:10" x14ac:dyDescent="0.2">
      <c r="A55" s="1186" t="s">
        <v>341</v>
      </c>
      <c r="B55" s="1186" t="s">
        <v>17</v>
      </c>
      <c r="C55" s="1186" t="s">
        <v>915</v>
      </c>
      <c r="D55" s="1186" t="s">
        <v>1983</v>
      </c>
      <c r="E55" s="1186" t="s">
        <v>1982</v>
      </c>
      <c r="F55" s="1186">
        <v>87</v>
      </c>
      <c r="G55" s="1186">
        <v>75</v>
      </c>
      <c r="H55" s="1186">
        <v>10</v>
      </c>
      <c r="I55" s="1186">
        <v>2</v>
      </c>
      <c r="J55" s="1186"/>
    </row>
    <row r="56" spans="1:10" x14ac:dyDescent="0.2">
      <c r="A56" s="1186" t="s">
        <v>341</v>
      </c>
      <c r="B56" s="1186" t="s">
        <v>17</v>
      </c>
      <c r="C56" s="1186" t="s">
        <v>916</v>
      </c>
      <c r="D56" s="1186" t="s">
        <v>1983</v>
      </c>
      <c r="E56" s="1186" t="s">
        <v>1984</v>
      </c>
      <c r="F56" s="1186">
        <v>105</v>
      </c>
      <c r="G56" s="1186">
        <v>84</v>
      </c>
      <c r="H56" s="1186">
        <v>10</v>
      </c>
      <c r="I56" s="1186">
        <v>4</v>
      </c>
      <c r="J56" s="1186">
        <v>7</v>
      </c>
    </row>
    <row r="57" spans="1:10" x14ac:dyDescent="0.2">
      <c r="A57" s="1186" t="s">
        <v>341</v>
      </c>
      <c r="B57" s="1186" t="s">
        <v>17</v>
      </c>
      <c r="C57" s="1186" t="s">
        <v>917</v>
      </c>
      <c r="D57" s="1186" t="s">
        <v>1983</v>
      </c>
      <c r="E57" s="1186" t="s">
        <v>1984</v>
      </c>
      <c r="F57" s="1186">
        <v>89</v>
      </c>
      <c r="G57" s="1186">
        <v>70</v>
      </c>
      <c r="H57" s="1186">
        <v>10</v>
      </c>
      <c r="I57" s="1186">
        <v>5</v>
      </c>
      <c r="J57" s="1186">
        <v>4</v>
      </c>
    </row>
    <row r="58" spans="1:10" x14ac:dyDescent="0.2">
      <c r="A58" s="1186" t="s">
        <v>341</v>
      </c>
      <c r="B58" s="1186" t="s">
        <v>17</v>
      </c>
      <c r="C58" s="1186" t="s">
        <v>918</v>
      </c>
      <c r="D58" s="1186" t="s">
        <v>1985</v>
      </c>
      <c r="E58" s="1186" t="s">
        <v>1984</v>
      </c>
      <c r="F58" s="1186">
        <v>92</v>
      </c>
      <c r="G58" s="1186">
        <v>77</v>
      </c>
      <c r="H58" s="1186">
        <v>9</v>
      </c>
      <c r="I58" s="1186">
        <v>4</v>
      </c>
      <c r="J58" s="1186">
        <v>2</v>
      </c>
    </row>
    <row r="59" spans="1:10" x14ac:dyDescent="0.2">
      <c r="A59" s="1186" t="s">
        <v>341</v>
      </c>
      <c r="B59" s="1186" t="s">
        <v>17</v>
      </c>
      <c r="C59" s="1186" t="s">
        <v>919</v>
      </c>
      <c r="D59" s="1186" t="s">
        <v>1985</v>
      </c>
      <c r="E59" s="1186" t="s">
        <v>1986</v>
      </c>
      <c r="F59" s="1186">
        <v>59</v>
      </c>
      <c r="G59" s="1186">
        <v>54</v>
      </c>
      <c r="H59" s="1186">
        <v>3</v>
      </c>
      <c r="I59" s="1186">
        <v>2</v>
      </c>
      <c r="J59" s="1186"/>
    </row>
    <row r="60" spans="1:10" x14ac:dyDescent="0.2">
      <c r="A60" s="1186" t="s">
        <v>341</v>
      </c>
      <c r="B60" s="1186" t="s">
        <v>17</v>
      </c>
      <c r="C60" s="1186" t="s">
        <v>920</v>
      </c>
      <c r="D60" s="1186" t="s">
        <v>1985</v>
      </c>
      <c r="E60" s="1186" t="s">
        <v>1986</v>
      </c>
      <c r="F60" s="1186">
        <v>69</v>
      </c>
      <c r="G60" s="1186">
        <v>60</v>
      </c>
      <c r="H60" s="1186">
        <v>5</v>
      </c>
      <c r="I60" s="1186">
        <v>2</v>
      </c>
      <c r="J60" s="1186">
        <v>2</v>
      </c>
    </row>
    <row r="61" spans="1:10" x14ac:dyDescent="0.2">
      <c r="A61" s="1186" t="s">
        <v>341</v>
      </c>
      <c r="B61" s="1186" t="s">
        <v>17</v>
      </c>
      <c r="C61" s="1186" t="s">
        <v>921</v>
      </c>
      <c r="D61" s="1186" t="s">
        <v>1987</v>
      </c>
      <c r="E61" s="1186" t="s">
        <v>1986</v>
      </c>
      <c r="F61" s="1186">
        <v>125</v>
      </c>
      <c r="G61" s="1186">
        <v>118</v>
      </c>
      <c r="H61" s="1186">
        <v>2</v>
      </c>
      <c r="I61" s="1186">
        <v>4</v>
      </c>
      <c r="J61" s="1186">
        <v>1</v>
      </c>
    </row>
    <row r="62" spans="1:10" x14ac:dyDescent="0.2">
      <c r="A62" s="1186" t="s">
        <v>341</v>
      </c>
      <c r="B62" s="1186" t="s">
        <v>17</v>
      </c>
      <c r="C62" s="1186" t="s">
        <v>922</v>
      </c>
      <c r="D62" s="1186" t="s">
        <v>1987</v>
      </c>
      <c r="E62" s="1186" t="s">
        <v>1988</v>
      </c>
      <c r="F62" s="1186">
        <v>88</v>
      </c>
      <c r="G62" s="1186">
        <v>81</v>
      </c>
      <c r="H62" s="1186">
        <v>3</v>
      </c>
      <c r="I62" s="1186">
        <v>4</v>
      </c>
      <c r="J62" s="1186"/>
    </row>
    <row r="63" spans="1:10" x14ac:dyDescent="0.2">
      <c r="A63" s="1186" t="s">
        <v>341</v>
      </c>
      <c r="B63" s="1186" t="s">
        <v>17</v>
      </c>
      <c r="C63" s="1186" t="s">
        <v>923</v>
      </c>
      <c r="D63" s="1186" t="s">
        <v>1987</v>
      </c>
      <c r="E63" s="1186" t="s">
        <v>1988</v>
      </c>
      <c r="F63" s="1186">
        <v>79</v>
      </c>
      <c r="G63" s="1186">
        <v>75</v>
      </c>
      <c r="H63" s="1186">
        <v>3</v>
      </c>
      <c r="I63" s="1186"/>
      <c r="J63" s="1186">
        <v>1</v>
      </c>
    </row>
    <row r="64" spans="1:10" x14ac:dyDescent="0.2">
      <c r="A64" s="1186" t="s">
        <v>341</v>
      </c>
      <c r="B64" s="1186" t="s">
        <v>17</v>
      </c>
      <c r="C64" s="1186" t="s">
        <v>924</v>
      </c>
      <c r="D64" s="1186" t="s">
        <v>1981</v>
      </c>
      <c r="E64" s="1186" t="s">
        <v>1988</v>
      </c>
      <c r="F64" s="1186">
        <v>93</v>
      </c>
      <c r="G64" s="1186">
        <v>80</v>
      </c>
      <c r="H64" s="1186">
        <v>4</v>
      </c>
      <c r="I64" s="1186">
        <v>7</v>
      </c>
      <c r="J64" s="1186">
        <v>2</v>
      </c>
    </row>
    <row r="65" spans="1:10" x14ac:dyDescent="0.2">
      <c r="A65" s="1186" t="s">
        <v>341</v>
      </c>
      <c r="B65" s="1186" t="s">
        <v>133</v>
      </c>
      <c r="C65" s="1186" t="s">
        <v>925</v>
      </c>
      <c r="D65" s="1186" t="s">
        <v>1981</v>
      </c>
      <c r="E65" s="1186" t="s">
        <v>1982</v>
      </c>
      <c r="F65" s="1186">
        <v>58</v>
      </c>
      <c r="G65" s="1186">
        <v>42</v>
      </c>
      <c r="H65" s="1186">
        <v>11</v>
      </c>
      <c r="I65" s="1186">
        <v>2</v>
      </c>
      <c r="J65" s="1186">
        <v>3</v>
      </c>
    </row>
    <row r="66" spans="1:10" x14ac:dyDescent="0.2">
      <c r="A66" s="1186" t="s">
        <v>341</v>
      </c>
      <c r="B66" s="1186" t="s">
        <v>133</v>
      </c>
      <c r="C66" s="1186" t="s">
        <v>926</v>
      </c>
      <c r="D66" s="1186" t="s">
        <v>1981</v>
      </c>
      <c r="E66" s="1186" t="s">
        <v>1982</v>
      </c>
      <c r="F66" s="1186">
        <v>99</v>
      </c>
      <c r="G66" s="1186">
        <v>86</v>
      </c>
      <c r="H66" s="1186">
        <v>7</v>
      </c>
      <c r="I66" s="1186">
        <v>4</v>
      </c>
      <c r="J66" s="1186">
        <v>2</v>
      </c>
    </row>
    <row r="67" spans="1:10" x14ac:dyDescent="0.2">
      <c r="A67" s="1186" t="s">
        <v>341</v>
      </c>
      <c r="B67" s="1186" t="s">
        <v>133</v>
      </c>
      <c r="C67" s="1186" t="s">
        <v>927</v>
      </c>
      <c r="D67" s="1186" t="s">
        <v>1983</v>
      </c>
      <c r="E67" s="1186" t="s">
        <v>1982</v>
      </c>
      <c r="F67" s="1186">
        <v>67</v>
      </c>
      <c r="G67" s="1186">
        <v>58</v>
      </c>
      <c r="H67" s="1186">
        <v>4</v>
      </c>
      <c r="I67" s="1186">
        <v>3</v>
      </c>
      <c r="J67" s="1186">
        <v>2</v>
      </c>
    </row>
    <row r="68" spans="1:10" x14ac:dyDescent="0.2">
      <c r="A68" s="1186" t="s">
        <v>341</v>
      </c>
      <c r="B68" s="1186" t="s">
        <v>133</v>
      </c>
      <c r="C68" s="1186" t="s">
        <v>928</v>
      </c>
      <c r="D68" s="1186" t="s">
        <v>1983</v>
      </c>
      <c r="E68" s="1186" t="s">
        <v>1984</v>
      </c>
      <c r="F68" s="1186">
        <v>72</v>
      </c>
      <c r="G68" s="1186">
        <v>61</v>
      </c>
      <c r="H68" s="1186">
        <v>8</v>
      </c>
      <c r="I68" s="1186">
        <v>3</v>
      </c>
      <c r="J68" s="1186"/>
    </row>
    <row r="69" spans="1:10" x14ac:dyDescent="0.2">
      <c r="A69" s="1186" t="s">
        <v>341</v>
      </c>
      <c r="B69" s="1186" t="s">
        <v>133</v>
      </c>
      <c r="C69" s="1186" t="s">
        <v>929</v>
      </c>
      <c r="D69" s="1186" t="s">
        <v>1983</v>
      </c>
      <c r="E69" s="1186" t="s">
        <v>1984</v>
      </c>
      <c r="F69" s="1186">
        <v>63</v>
      </c>
      <c r="G69" s="1186">
        <v>54</v>
      </c>
      <c r="H69" s="1186">
        <v>7</v>
      </c>
      <c r="I69" s="1186">
        <v>1</v>
      </c>
      <c r="J69" s="1186">
        <v>1</v>
      </c>
    </row>
    <row r="70" spans="1:10" x14ac:dyDescent="0.2">
      <c r="A70" s="1186" t="s">
        <v>341</v>
      </c>
      <c r="B70" s="1186" t="s">
        <v>133</v>
      </c>
      <c r="C70" s="1186" t="s">
        <v>930</v>
      </c>
      <c r="D70" s="1186" t="s">
        <v>1985</v>
      </c>
      <c r="E70" s="1186" t="s">
        <v>1984</v>
      </c>
      <c r="F70" s="1186">
        <v>74</v>
      </c>
      <c r="G70" s="1186">
        <v>61</v>
      </c>
      <c r="H70" s="1186">
        <v>8</v>
      </c>
      <c r="I70" s="1186">
        <v>1</v>
      </c>
      <c r="J70" s="1186">
        <v>4</v>
      </c>
    </row>
    <row r="71" spans="1:10" x14ac:dyDescent="0.2">
      <c r="A71" s="1186" t="s">
        <v>341</v>
      </c>
      <c r="B71" s="1186" t="s">
        <v>133</v>
      </c>
      <c r="C71" s="1186" t="s">
        <v>931</v>
      </c>
      <c r="D71" s="1186" t="s">
        <v>1985</v>
      </c>
      <c r="E71" s="1186" t="s">
        <v>1986</v>
      </c>
      <c r="F71" s="1186">
        <v>85</v>
      </c>
      <c r="G71" s="1186">
        <v>78</v>
      </c>
      <c r="H71" s="1186">
        <v>5</v>
      </c>
      <c r="I71" s="1186">
        <v>1</v>
      </c>
      <c r="J71" s="1186">
        <v>1</v>
      </c>
    </row>
    <row r="72" spans="1:10" x14ac:dyDescent="0.2">
      <c r="A72" s="1186" t="s">
        <v>341</v>
      </c>
      <c r="B72" s="1186" t="s">
        <v>133</v>
      </c>
      <c r="C72" s="1186" t="s">
        <v>932</v>
      </c>
      <c r="D72" s="1186" t="s">
        <v>1985</v>
      </c>
      <c r="E72" s="1186" t="s">
        <v>1986</v>
      </c>
      <c r="F72" s="1186">
        <v>55</v>
      </c>
      <c r="G72" s="1186">
        <v>49</v>
      </c>
      <c r="H72" s="1186">
        <v>4</v>
      </c>
      <c r="I72" s="1186">
        <v>2</v>
      </c>
      <c r="J72" s="1186"/>
    </row>
    <row r="73" spans="1:10" x14ac:dyDescent="0.2">
      <c r="A73" s="1186" t="s">
        <v>341</v>
      </c>
      <c r="B73" s="1186" t="s">
        <v>133</v>
      </c>
      <c r="C73" s="1186" t="s">
        <v>933</v>
      </c>
      <c r="D73" s="1186" t="s">
        <v>1987</v>
      </c>
      <c r="E73" s="1186" t="s">
        <v>1986</v>
      </c>
      <c r="F73" s="1186">
        <v>81</v>
      </c>
      <c r="G73" s="1186">
        <v>71</v>
      </c>
      <c r="H73" s="1186">
        <v>7</v>
      </c>
      <c r="I73" s="1186">
        <v>3</v>
      </c>
      <c r="J73" s="1186"/>
    </row>
    <row r="74" spans="1:10" x14ac:dyDescent="0.2">
      <c r="A74" s="1186" t="s">
        <v>341</v>
      </c>
      <c r="B74" s="1186" t="s">
        <v>133</v>
      </c>
      <c r="C74" s="1186" t="s">
        <v>934</v>
      </c>
      <c r="D74" s="1186" t="s">
        <v>1987</v>
      </c>
      <c r="E74" s="1186" t="s">
        <v>1988</v>
      </c>
      <c r="F74" s="1186">
        <v>80</v>
      </c>
      <c r="G74" s="1186">
        <v>71</v>
      </c>
      <c r="H74" s="1186">
        <v>8</v>
      </c>
      <c r="I74" s="1186">
        <v>1</v>
      </c>
      <c r="J74" s="1186"/>
    </row>
    <row r="75" spans="1:10" x14ac:dyDescent="0.2">
      <c r="A75" s="1186" t="s">
        <v>341</v>
      </c>
      <c r="B75" s="1186" t="s">
        <v>133</v>
      </c>
      <c r="C75" s="1186" t="s">
        <v>935</v>
      </c>
      <c r="D75" s="1186" t="s">
        <v>1987</v>
      </c>
      <c r="E75" s="1186" t="s">
        <v>1988</v>
      </c>
      <c r="F75" s="1186">
        <v>70</v>
      </c>
      <c r="G75" s="1186">
        <v>58</v>
      </c>
      <c r="H75" s="1186">
        <v>4</v>
      </c>
      <c r="I75" s="1186">
        <v>6</v>
      </c>
      <c r="J75" s="1186">
        <v>2</v>
      </c>
    </row>
    <row r="76" spans="1:10" x14ac:dyDescent="0.2">
      <c r="A76" s="1186" t="s">
        <v>341</v>
      </c>
      <c r="B76" s="1186" t="s">
        <v>133</v>
      </c>
      <c r="C76" s="1186" t="s">
        <v>936</v>
      </c>
      <c r="D76" s="1186" t="s">
        <v>1981</v>
      </c>
      <c r="E76" s="1186" t="s">
        <v>1988</v>
      </c>
      <c r="F76" s="1186">
        <v>82</v>
      </c>
      <c r="G76" s="1186">
        <v>73</v>
      </c>
      <c r="H76" s="1186">
        <v>5</v>
      </c>
      <c r="I76" s="1186">
        <v>3</v>
      </c>
      <c r="J76" s="1186">
        <v>1</v>
      </c>
    </row>
    <row r="77" spans="1:10" x14ac:dyDescent="0.2">
      <c r="A77" s="1186" t="s">
        <v>341</v>
      </c>
      <c r="B77" s="1186" t="s">
        <v>144</v>
      </c>
      <c r="C77" s="1186" t="s">
        <v>937</v>
      </c>
      <c r="D77" s="1186" t="s">
        <v>1981</v>
      </c>
      <c r="E77" s="1186" t="s">
        <v>1982</v>
      </c>
      <c r="F77" s="1186">
        <v>80</v>
      </c>
      <c r="G77" s="1186">
        <v>69</v>
      </c>
      <c r="H77" s="1186">
        <v>2</v>
      </c>
      <c r="I77" s="1186">
        <v>2</v>
      </c>
      <c r="J77" s="1186">
        <v>7</v>
      </c>
    </row>
    <row r="78" spans="1:10" x14ac:dyDescent="0.2">
      <c r="A78" s="1186" t="s">
        <v>341</v>
      </c>
      <c r="B78" s="1186" t="s">
        <v>144</v>
      </c>
      <c r="C78" s="1186" t="s">
        <v>938</v>
      </c>
      <c r="D78" s="1186" t="s">
        <v>1981</v>
      </c>
      <c r="E78" s="1186" t="s">
        <v>1982</v>
      </c>
      <c r="F78" s="1186">
        <v>95</v>
      </c>
      <c r="G78" s="1186">
        <v>71</v>
      </c>
      <c r="H78" s="1186">
        <v>9</v>
      </c>
      <c r="I78" s="1186">
        <v>12</v>
      </c>
      <c r="J78" s="1186">
        <v>3</v>
      </c>
    </row>
    <row r="79" spans="1:10" x14ac:dyDescent="0.2">
      <c r="A79" s="1186" t="s">
        <v>341</v>
      </c>
      <c r="B79" s="1186" t="s">
        <v>144</v>
      </c>
      <c r="C79" s="1186" t="s">
        <v>939</v>
      </c>
      <c r="D79" s="1186" t="s">
        <v>1983</v>
      </c>
      <c r="E79" s="1186" t="s">
        <v>1982</v>
      </c>
      <c r="F79" s="1186">
        <v>106</v>
      </c>
      <c r="G79" s="1186">
        <v>86</v>
      </c>
      <c r="H79" s="1186">
        <v>12</v>
      </c>
      <c r="I79" s="1186">
        <v>5</v>
      </c>
      <c r="J79" s="1186">
        <v>3</v>
      </c>
    </row>
    <row r="80" spans="1:10" x14ac:dyDescent="0.2">
      <c r="A80" s="1186" t="s">
        <v>341</v>
      </c>
      <c r="B80" s="1186" t="s">
        <v>144</v>
      </c>
      <c r="C80" s="1186" t="s">
        <v>940</v>
      </c>
      <c r="D80" s="1186" t="s">
        <v>1983</v>
      </c>
      <c r="E80" s="1186" t="s">
        <v>1984</v>
      </c>
      <c r="F80" s="1186">
        <v>76</v>
      </c>
      <c r="G80" s="1186">
        <v>54</v>
      </c>
      <c r="H80" s="1186">
        <v>12</v>
      </c>
      <c r="I80" s="1186">
        <v>5</v>
      </c>
      <c r="J80" s="1186">
        <v>5</v>
      </c>
    </row>
    <row r="81" spans="1:10" x14ac:dyDescent="0.2">
      <c r="A81" s="1186" t="s">
        <v>341</v>
      </c>
      <c r="B81" s="1186" t="s">
        <v>144</v>
      </c>
      <c r="C81" s="1186" t="s">
        <v>941</v>
      </c>
      <c r="D81" s="1186" t="s">
        <v>1983</v>
      </c>
      <c r="E81" s="1186" t="s">
        <v>1984</v>
      </c>
      <c r="F81" s="1186">
        <v>93</v>
      </c>
      <c r="G81" s="1186">
        <v>78</v>
      </c>
      <c r="H81" s="1186">
        <v>7</v>
      </c>
      <c r="I81" s="1186">
        <v>3</v>
      </c>
      <c r="J81" s="1186">
        <v>5</v>
      </c>
    </row>
    <row r="82" spans="1:10" x14ac:dyDescent="0.2">
      <c r="A82" s="1186" t="s">
        <v>341</v>
      </c>
      <c r="B82" s="1186" t="s">
        <v>144</v>
      </c>
      <c r="C82" s="1186" t="s">
        <v>942</v>
      </c>
      <c r="D82" s="1186" t="s">
        <v>1985</v>
      </c>
      <c r="E82" s="1186" t="s">
        <v>1984</v>
      </c>
      <c r="F82" s="1186">
        <v>90</v>
      </c>
      <c r="G82" s="1186">
        <v>73</v>
      </c>
      <c r="H82" s="1186">
        <v>10</v>
      </c>
      <c r="I82" s="1186">
        <v>5</v>
      </c>
      <c r="J82" s="1186">
        <v>2</v>
      </c>
    </row>
    <row r="83" spans="1:10" x14ac:dyDescent="0.2">
      <c r="A83" s="1186" t="s">
        <v>341</v>
      </c>
      <c r="B83" s="1186" t="s">
        <v>144</v>
      </c>
      <c r="C83" s="1186" t="s">
        <v>943</v>
      </c>
      <c r="D83" s="1186" t="s">
        <v>1985</v>
      </c>
      <c r="E83" s="1186" t="s">
        <v>1986</v>
      </c>
      <c r="F83" s="1186">
        <v>85</v>
      </c>
      <c r="G83" s="1186">
        <v>68</v>
      </c>
      <c r="H83" s="1186">
        <v>13</v>
      </c>
      <c r="I83" s="1186">
        <v>4</v>
      </c>
      <c r="J83" s="1186"/>
    </row>
    <row r="84" spans="1:10" x14ac:dyDescent="0.2">
      <c r="A84" s="1186" t="s">
        <v>341</v>
      </c>
      <c r="B84" s="1186" t="s">
        <v>144</v>
      </c>
      <c r="C84" s="1186" t="s">
        <v>944</v>
      </c>
      <c r="D84" s="1186" t="s">
        <v>1985</v>
      </c>
      <c r="E84" s="1186" t="s">
        <v>1986</v>
      </c>
      <c r="F84" s="1186">
        <v>96</v>
      </c>
      <c r="G84" s="1186">
        <v>79</v>
      </c>
      <c r="H84" s="1186">
        <v>8</v>
      </c>
      <c r="I84" s="1186">
        <v>6</v>
      </c>
      <c r="J84" s="1186">
        <v>3</v>
      </c>
    </row>
    <row r="85" spans="1:10" x14ac:dyDescent="0.2">
      <c r="A85" s="1186" t="s">
        <v>341</v>
      </c>
      <c r="B85" s="1186" t="s">
        <v>144</v>
      </c>
      <c r="C85" s="1186" t="s">
        <v>945</v>
      </c>
      <c r="D85" s="1186" t="s">
        <v>1987</v>
      </c>
      <c r="E85" s="1186" t="s">
        <v>1986</v>
      </c>
      <c r="F85" s="1186">
        <v>77</v>
      </c>
      <c r="G85" s="1186">
        <v>67</v>
      </c>
      <c r="H85" s="1186">
        <v>7</v>
      </c>
      <c r="I85" s="1186">
        <v>3</v>
      </c>
      <c r="J85" s="1186"/>
    </row>
    <row r="86" spans="1:10" x14ac:dyDescent="0.2">
      <c r="A86" s="1186" t="s">
        <v>341</v>
      </c>
      <c r="B86" s="1186" t="s">
        <v>144</v>
      </c>
      <c r="C86" s="1186" t="s">
        <v>946</v>
      </c>
      <c r="D86" s="1186" t="s">
        <v>1987</v>
      </c>
      <c r="E86" s="1186" t="s">
        <v>1988</v>
      </c>
      <c r="F86" s="1186">
        <v>74</v>
      </c>
      <c r="G86" s="1186">
        <v>63</v>
      </c>
      <c r="H86" s="1186">
        <v>6</v>
      </c>
      <c r="I86" s="1186">
        <v>4</v>
      </c>
      <c r="J86" s="1186">
        <v>1</v>
      </c>
    </row>
    <row r="87" spans="1:10" x14ac:dyDescent="0.2">
      <c r="A87" s="1186" t="s">
        <v>341</v>
      </c>
      <c r="B87" s="1186" t="s">
        <v>144</v>
      </c>
      <c r="C87" s="1186" t="s">
        <v>947</v>
      </c>
      <c r="D87" s="1186" t="s">
        <v>1987</v>
      </c>
      <c r="E87" s="1186" t="s">
        <v>1988</v>
      </c>
      <c r="F87" s="1186">
        <v>68</v>
      </c>
      <c r="G87" s="1186">
        <v>58</v>
      </c>
      <c r="H87" s="1186">
        <v>7</v>
      </c>
      <c r="I87" s="1186">
        <v>3</v>
      </c>
      <c r="J87" s="1186"/>
    </row>
    <row r="88" spans="1:10" x14ac:dyDescent="0.2">
      <c r="A88" s="1186" t="s">
        <v>341</v>
      </c>
      <c r="B88" s="1186" t="s">
        <v>144</v>
      </c>
      <c r="C88" s="1186" t="s">
        <v>948</v>
      </c>
      <c r="D88" s="1186" t="s">
        <v>1981</v>
      </c>
      <c r="E88" s="1186" t="s">
        <v>1988</v>
      </c>
      <c r="F88" s="1186">
        <v>77</v>
      </c>
      <c r="G88" s="1186">
        <v>63</v>
      </c>
      <c r="H88" s="1186">
        <v>10</v>
      </c>
      <c r="I88" s="1186">
        <v>4</v>
      </c>
      <c r="J88" s="1186"/>
    </row>
    <row r="89" spans="1:10" x14ac:dyDescent="0.2">
      <c r="A89" s="1186" t="s">
        <v>341</v>
      </c>
      <c r="B89" s="1186" t="s">
        <v>282</v>
      </c>
      <c r="C89" s="1186" t="s">
        <v>949</v>
      </c>
      <c r="D89" s="1186" t="s">
        <v>1981</v>
      </c>
      <c r="E89" s="1186" t="s">
        <v>1982</v>
      </c>
      <c r="F89" s="1186">
        <v>84</v>
      </c>
      <c r="G89" s="1186">
        <v>71</v>
      </c>
      <c r="H89" s="1186">
        <v>3</v>
      </c>
      <c r="I89" s="1186">
        <v>6</v>
      </c>
      <c r="J89" s="1186">
        <v>4</v>
      </c>
    </row>
    <row r="90" spans="1:10" x14ac:dyDescent="0.2">
      <c r="A90" s="1186" t="s">
        <v>341</v>
      </c>
      <c r="B90" s="1186" t="s">
        <v>282</v>
      </c>
      <c r="C90" s="1186" t="s">
        <v>950</v>
      </c>
      <c r="D90" s="1186" t="s">
        <v>1981</v>
      </c>
      <c r="E90" s="1186" t="s">
        <v>1982</v>
      </c>
      <c r="F90" s="1186">
        <v>100</v>
      </c>
      <c r="G90" s="1186">
        <v>90</v>
      </c>
      <c r="H90" s="1186">
        <v>2</v>
      </c>
      <c r="I90" s="1186">
        <v>6</v>
      </c>
      <c r="J90" s="1186">
        <v>2</v>
      </c>
    </row>
    <row r="91" spans="1:10" x14ac:dyDescent="0.2">
      <c r="A91" s="1186" t="s">
        <v>341</v>
      </c>
      <c r="B91" s="1186" t="s">
        <v>282</v>
      </c>
      <c r="C91" s="1186" t="s">
        <v>951</v>
      </c>
      <c r="D91" s="1186" t="s">
        <v>1983</v>
      </c>
      <c r="E91" s="1186" t="s">
        <v>1982</v>
      </c>
      <c r="F91" s="1186">
        <v>95</v>
      </c>
      <c r="G91" s="1186">
        <v>80</v>
      </c>
      <c r="H91" s="1186">
        <v>8</v>
      </c>
      <c r="I91" s="1186">
        <v>6</v>
      </c>
      <c r="J91" s="1186">
        <v>1</v>
      </c>
    </row>
    <row r="92" spans="1:10" x14ac:dyDescent="0.2">
      <c r="A92" s="1186" t="s">
        <v>341</v>
      </c>
      <c r="B92" s="1186" t="s">
        <v>282</v>
      </c>
      <c r="C92" s="1186" t="s">
        <v>952</v>
      </c>
      <c r="D92" s="1186" t="s">
        <v>1983</v>
      </c>
      <c r="E92" s="1186" t="s">
        <v>1984</v>
      </c>
      <c r="F92" s="1186">
        <v>73</v>
      </c>
      <c r="G92" s="1186">
        <v>66</v>
      </c>
      <c r="H92" s="1186">
        <v>1</v>
      </c>
      <c r="I92" s="1186">
        <v>3</v>
      </c>
      <c r="J92" s="1186">
        <v>3</v>
      </c>
    </row>
    <row r="93" spans="1:10" x14ac:dyDescent="0.2">
      <c r="A93" s="1186" t="s">
        <v>341</v>
      </c>
      <c r="B93" s="1186" t="s">
        <v>282</v>
      </c>
      <c r="C93" s="1186" t="s">
        <v>953</v>
      </c>
      <c r="D93" s="1186" t="s">
        <v>1983</v>
      </c>
      <c r="E93" s="1186" t="s">
        <v>1984</v>
      </c>
      <c r="F93" s="1186">
        <v>70</v>
      </c>
      <c r="G93" s="1186">
        <v>54</v>
      </c>
      <c r="H93" s="1186">
        <v>5</v>
      </c>
      <c r="I93" s="1186">
        <v>9</v>
      </c>
      <c r="J93" s="1186">
        <v>2</v>
      </c>
    </row>
    <row r="94" spans="1:10" x14ac:dyDescent="0.2">
      <c r="A94" s="1186" t="s">
        <v>341</v>
      </c>
      <c r="B94" s="1186" t="s">
        <v>282</v>
      </c>
      <c r="C94" s="1186" t="s">
        <v>954</v>
      </c>
      <c r="D94" s="1186" t="s">
        <v>1985</v>
      </c>
      <c r="E94" s="1186" t="s">
        <v>1984</v>
      </c>
      <c r="F94" s="1186">
        <v>70</v>
      </c>
      <c r="G94" s="1186">
        <v>60</v>
      </c>
      <c r="H94" s="1186">
        <v>5</v>
      </c>
      <c r="I94" s="1186">
        <v>2</v>
      </c>
      <c r="J94" s="1186">
        <v>3</v>
      </c>
    </row>
    <row r="95" spans="1:10" x14ac:dyDescent="0.2">
      <c r="A95" s="1186" t="s">
        <v>341</v>
      </c>
      <c r="B95" s="1186" t="s">
        <v>282</v>
      </c>
      <c r="C95" s="1186" t="s">
        <v>955</v>
      </c>
      <c r="D95" s="1186" t="s">
        <v>1985</v>
      </c>
      <c r="E95" s="1186" t="s">
        <v>1986</v>
      </c>
      <c r="F95" s="1186">
        <v>71</v>
      </c>
      <c r="G95" s="1186">
        <v>64</v>
      </c>
      <c r="H95" s="1186">
        <v>4</v>
      </c>
      <c r="I95" s="1186">
        <v>1</v>
      </c>
      <c r="J95" s="1186">
        <v>2</v>
      </c>
    </row>
    <row r="96" spans="1:10" x14ac:dyDescent="0.2">
      <c r="A96" s="1186" t="s">
        <v>341</v>
      </c>
      <c r="B96" s="1186" t="s">
        <v>282</v>
      </c>
      <c r="C96" s="1186" t="s">
        <v>956</v>
      </c>
      <c r="D96" s="1186" t="s">
        <v>1985</v>
      </c>
      <c r="E96" s="1186" t="s">
        <v>1986</v>
      </c>
      <c r="F96" s="1186">
        <v>68</v>
      </c>
      <c r="G96" s="1186">
        <v>59</v>
      </c>
      <c r="H96" s="1186">
        <v>5</v>
      </c>
      <c r="I96" s="1186">
        <v>3</v>
      </c>
      <c r="J96" s="1186">
        <v>1</v>
      </c>
    </row>
    <row r="97" spans="1:10" x14ac:dyDescent="0.2">
      <c r="A97" s="1186" t="s">
        <v>341</v>
      </c>
      <c r="B97" s="1186" t="s">
        <v>282</v>
      </c>
      <c r="C97" s="1186" t="s">
        <v>957</v>
      </c>
      <c r="D97" s="1186" t="s">
        <v>1987</v>
      </c>
      <c r="E97" s="1186" t="s">
        <v>1986</v>
      </c>
      <c r="F97" s="1186">
        <v>70</v>
      </c>
      <c r="G97" s="1186">
        <v>63</v>
      </c>
      <c r="H97" s="1186">
        <v>6</v>
      </c>
      <c r="I97" s="1186">
        <v>1</v>
      </c>
      <c r="J97" s="1186"/>
    </row>
    <row r="98" spans="1:10" x14ac:dyDescent="0.2">
      <c r="A98" s="1186" t="s">
        <v>341</v>
      </c>
      <c r="B98" s="1186" t="s">
        <v>282</v>
      </c>
      <c r="C98" s="1186" t="s">
        <v>958</v>
      </c>
      <c r="D98" s="1186" t="s">
        <v>1987</v>
      </c>
      <c r="E98" s="1186" t="s">
        <v>1988</v>
      </c>
      <c r="F98" s="1186">
        <v>81</v>
      </c>
      <c r="G98" s="1186">
        <v>75</v>
      </c>
      <c r="H98" s="1186">
        <v>4</v>
      </c>
      <c r="I98" s="1186"/>
      <c r="J98" s="1186">
        <v>2</v>
      </c>
    </row>
    <row r="99" spans="1:10" x14ac:dyDescent="0.2">
      <c r="A99" s="1186" t="s">
        <v>341</v>
      </c>
      <c r="B99" s="1186" t="s">
        <v>282</v>
      </c>
      <c r="C99" s="1186" t="s">
        <v>959</v>
      </c>
      <c r="D99" s="1186" t="s">
        <v>1987</v>
      </c>
      <c r="E99" s="1186" t="s">
        <v>1988</v>
      </c>
      <c r="F99" s="1186">
        <v>53</v>
      </c>
      <c r="G99" s="1186">
        <v>46</v>
      </c>
      <c r="H99" s="1186">
        <v>5</v>
      </c>
      <c r="I99" s="1186"/>
      <c r="J99" s="1186">
        <v>2</v>
      </c>
    </row>
    <row r="100" spans="1:10" x14ac:dyDescent="0.2">
      <c r="A100" s="1186" t="s">
        <v>341</v>
      </c>
      <c r="B100" s="1186" t="s">
        <v>282</v>
      </c>
      <c r="C100" s="1186" t="s">
        <v>960</v>
      </c>
      <c r="D100" s="1186" t="s">
        <v>1981</v>
      </c>
      <c r="E100" s="1186" t="s">
        <v>1988</v>
      </c>
      <c r="F100" s="1186">
        <v>101</v>
      </c>
      <c r="G100" s="1186">
        <v>86</v>
      </c>
      <c r="H100" s="1186">
        <v>8</v>
      </c>
      <c r="I100" s="1186">
        <v>3</v>
      </c>
      <c r="J100" s="1186">
        <v>4</v>
      </c>
    </row>
    <row r="101" spans="1:10" x14ac:dyDescent="0.2">
      <c r="A101" s="1186" t="s">
        <v>341</v>
      </c>
      <c r="B101" s="1186" t="s">
        <v>311</v>
      </c>
      <c r="C101" s="1186" t="s">
        <v>961</v>
      </c>
      <c r="D101" s="1186" t="s">
        <v>1981</v>
      </c>
      <c r="E101" s="1186" t="s">
        <v>1982</v>
      </c>
      <c r="F101" s="1186">
        <v>101</v>
      </c>
      <c r="G101" s="1186">
        <v>90</v>
      </c>
      <c r="H101" s="1186">
        <v>3</v>
      </c>
      <c r="I101" s="1186">
        <v>7</v>
      </c>
      <c r="J101" s="1186">
        <v>1</v>
      </c>
    </row>
    <row r="102" spans="1:10" x14ac:dyDescent="0.2">
      <c r="A102" s="1186" t="s">
        <v>341</v>
      </c>
      <c r="B102" s="1186" t="s">
        <v>311</v>
      </c>
      <c r="C102" s="1186" t="s">
        <v>962</v>
      </c>
      <c r="D102" s="1186" t="s">
        <v>1981</v>
      </c>
      <c r="E102" s="1186" t="s">
        <v>1982</v>
      </c>
      <c r="F102" s="1186">
        <v>74</v>
      </c>
      <c r="G102" s="1186">
        <v>56</v>
      </c>
      <c r="H102" s="1186">
        <v>11</v>
      </c>
      <c r="I102" s="1186">
        <v>2</v>
      </c>
      <c r="J102" s="1186">
        <v>5</v>
      </c>
    </row>
    <row r="103" spans="1:10" x14ac:dyDescent="0.2">
      <c r="A103" s="1186" t="s">
        <v>341</v>
      </c>
      <c r="B103" s="1186" t="s">
        <v>311</v>
      </c>
      <c r="C103" s="1186" t="s">
        <v>963</v>
      </c>
      <c r="D103" s="1186" t="s">
        <v>1983</v>
      </c>
      <c r="E103" s="1186" t="s">
        <v>1982</v>
      </c>
      <c r="F103" s="1186">
        <v>77</v>
      </c>
      <c r="G103" s="1186">
        <v>63</v>
      </c>
      <c r="H103" s="1186">
        <v>12</v>
      </c>
      <c r="I103" s="1186">
        <v>1</v>
      </c>
      <c r="J103" s="1186">
        <v>1</v>
      </c>
    </row>
    <row r="104" spans="1:10" x14ac:dyDescent="0.2">
      <c r="A104" s="1186" t="s">
        <v>341</v>
      </c>
      <c r="B104" s="1186" t="s">
        <v>311</v>
      </c>
      <c r="C104" s="1186" t="s">
        <v>964</v>
      </c>
      <c r="D104" s="1186" t="s">
        <v>1983</v>
      </c>
      <c r="E104" s="1186" t="s">
        <v>1984</v>
      </c>
      <c r="F104" s="1186">
        <v>60</v>
      </c>
      <c r="G104" s="1186">
        <v>50</v>
      </c>
      <c r="H104" s="1186">
        <v>5</v>
      </c>
      <c r="I104" s="1186">
        <v>4</v>
      </c>
      <c r="J104" s="1186">
        <v>1</v>
      </c>
    </row>
    <row r="105" spans="1:10" x14ac:dyDescent="0.2">
      <c r="A105" s="1186" t="s">
        <v>341</v>
      </c>
      <c r="B105" s="1186" t="s">
        <v>311</v>
      </c>
      <c r="C105" s="1186" t="s">
        <v>965</v>
      </c>
      <c r="D105" s="1186" t="s">
        <v>1983</v>
      </c>
      <c r="E105" s="1186" t="s">
        <v>1984</v>
      </c>
      <c r="F105" s="1186">
        <v>46</v>
      </c>
      <c r="G105" s="1186">
        <v>38</v>
      </c>
      <c r="H105" s="1186">
        <v>5</v>
      </c>
      <c r="I105" s="1186">
        <v>2</v>
      </c>
      <c r="J105" s="1186">
        <v>1</v>
      </c>
    </row>
    <row r="106" spans="1:10" x14ac:dyDescent="0.2">
      <c r="A106" s="1186" t="s">
        <v>341</v>
      </c>
      <c r="B106" s="1186" t="s">
        <v>311</v>
      </c>
      <c r="C106" s="1186" t="s">
        <v>966</v>
      </c>
      <c r="D106" s="1186" t="s">
        <v>1985</v>
      </c>
      <c r="E106" s="1186" t="s">
        <v>1984</v>
      </c>
      <c r="F106" s="1186">
        <v>76</v>
      </c>
      <c r="G106" s="1186">
        <v>60</v>
      </c>
      <c r="H106" s="1186">
        <v>13</v>
      </c>
      <c r="I106" s="1186">
        <v>3</v>
      </c>
      <c r="J106" s="1186"/>
    </row>
    <row r="107" spans="1:10" x14ac:dyDescent="0.2">
      <c r="A107" s="1186" t="s">
        <v>341</v>
      </c>
      <c r="B107" s="1186" t="s">
        <v>311</v>
      </c>
      <c r="C107" s="1186" t="s">
        <v>967</v>
      </c>
      <c r="D107" s="1186" t="s">
        <v>1985</v>
      </c>
      <c r="E107" s="1186" t="s">
        <v>1986</v>
      </c>
      <c r="F107" s="1186">
        <v>58</v>
      </c>
      <c r="G107" s="1186">
        <v>41</v>
      </c>
      <c r="H107" s="1186">
        <v>12</v>
      </c>
      <c r="I107" s="1186">
        <v>3</v>
      </c>
      <c r="J107" s="1186">
        <v>2</v>
      </c>
    </row>
    <row r="108" spans="1:10" x14ac:dyDescent="0.2">
      <c r="A108" s="1186" t="s">
        <v>341</v>
      </c>
      <c r="B108" s="1186" t="s">
        <v>311</v>
      </c>
      <c r="C108" s="1186" t="s">
        <v>968</v>
      </c>
      <c r="D108" s="1186" t="s">
        <v>1985</v>
      </c>
      <c r="E108" s="1186" t="s">
        <v>1986</v>
      </c>
      <c r="F108" s="1186">
        <v>80</v>
      </c>
      <c r="G108" s="1186">
        <v>67</v>
      </c>
      <c r="H108" s="1186">
        <v>10</v>
      </c>
      <c r="I108" s="1186">
        <v>1</v>
      </c>
      <c r="J108" s="1186">
        <v>2</v>
      </c>
    </row>
    <row r="109" spans="1:10" x14ac:dyDescent="0.2">
      <c r="A109" s="1186" t="s">
        <v>341</v>
      </c>
      <c r="B109" s="1186" t="s">
        <v>311</v>
      </c>
      <c r="C109" s="1186" t="s">
        <v>969</v>
      </c>
      <c r="D109" s="1186" t="s">
        <v>1987</v>
      </c>
      <c r="E109" s="1186" t="s">
        <v>1986</v>
      </c>
      <c r="F109" s="1186">
        <v>91</v>
      </c>
      <c r="G109" s="1186">
        <v>82</v>
      </c>
      <c r="H109" s="1186">
        <v>5</v>
      </c>
      <c r="I109" s="1186">
        <v>3</v>
      </c>
      <c r="J109" s="1186">
        <v>1</v>
      </c>
    </row>
    <row r="110" spans="1:10" x14ac:dyDescent="0.2">
      <c r="A110" s="1186" t="s">
        <v>341</v>
      </c>
      <c r="B110" s="1186" t="s">
        <v>311</v>
      </c>
      <c r="C110" s="1186" t="s">
        <v>970</v>
      </c>
      <c r="D110" s="1186" t="s">
        <v>1987</v>
      </c>
      <c r="E110" s="1186" t="s">
        <v>1988</v>
      </c>
      <c r="F110" s="1186">
        <v>89</v>
      </c>
      <c r="G110" s="1186">
        <v>80</v>
      </c>
      <c r="H110" s="1186">
        <v>4</v>
      </c>
      <c r="I110" s="1186">
        <v>4</v>
      </c>
      <c r="J110" s="1186">
        <v>1</v>
      </c>
    </row>
    <row r="111" spans="1:10" x14ac:dyDescent="0.2">
      <c r="A111" s="1186" t="s">
        <v>341</v>
      </c>
      <c r="B111" s="1186" t="s">
        <v>311</v>
      </c>
      <c r="C111" s="1186" t="s">
        <v>971</v>
      </c>
      <c r="D111" s="1186" t="s">
        <v>1987</v>
      </c>
      <c r="E111" s="1186" t="s">
        <v>1988</v>
      </c>
      <c r="F111" s="1186">
        <v>62</v>
      </c>
      <c r="G111" s="1186">
        <v>52</v>
      </c>
      <c r="H111" s="1186">
        <v>4</v>
      </c>
      <c r="I111" s="1186">
        <v>5</v>
      </c>
      <c r="J111" s="1186">
        <v>1</v>
      </c>
    </row>
    <row r="112" spans="1:10" x14ac:dyDescent="0.2">
      <c r="A112" s="1186" t="s">
        <v>341</v>
      </c>
      <c r="B112" s="1186" t="s">
        <v>311</v>
      </c>
      <c r="C112" s="1186" t="s">
        <v>972</v>
      </c>
      <c r="D112" s="1186" t="s">
        <v>1981</v>
      </c>
      <c r="E112" s="1186" t="s">
        <v>1988</v>
      </c>
      <c r="F112" s="1186">
        <v>67</v>
      </c>
      <c r="G112" s="1186">
        <v>58</v>
      </c>
      <c r="H112" s="1186">
        <v>6</v>
      </c>
      <c r="I112" s="1186"/>
      <c r="J112" s="1186">
        <v>3</v>
      </c>
    </row>
    <row r="113" spans="1:10" x14ac:dyDescent="0.2">
      <c r="A113" s="1186" t="s">
        <v>341</v>
      </c>
      <c r="B113" s="1186" t="s">
        <v>621</v>
      </c>
      <c r="C113" s="1186" t="s">
        <v>973</v>
      </c>
      <c r="D113" s="1186" t="s">
        <v>1981</v>
      </c>
      <c r="E113" s="1186" t="s">
        <v>1982</v>
      </c>
      <c r="F113" s="1186">
        <v>74</v>
      </c>
      <c r="G113" s="1186">
        <v>62</v>
      </c>
      <c r="H113" s="1186">
        <v>8</v>
      </c>
      <c r="I113" s="1186">
        <v>2</v>
      </c>
      <c r="J113" s="1186">
        <v>2</v>
      </c>
    </row>
    <row r="114" spans="1:10" x14ac:dyDescent="0.2">
      <c r="A114" s="1186" t="s">
        <v>341</v>
      </c>
      <c r="B114" s="1186" t="s">
        <v>621</v>
      </c>
      <c r="C114" s="1186" t="s">
        <v>974</v>
      </c>
      <c r="D114" s="1186" t="s">
        <v>1981</v>
      </c>
      <c r="E114" s="1186" t="s">
        <v>1982</v>
      </c>
      <c r="F114" s="1186">
        <v>87</v>
      </c>
      <c r="G114" s="1186">
        <v>66</v>
      </c>
      <c r="H114" s="1186">
        <v>8</v>
      </c>
      <c r="I114" s="1186">
        <v>4</v>
      </c>
      <c r="J114" s="1186">
        <v>9</v>
      </c>
    </row>
    <row r="115" spans="1:10" x14ac:dyDescent="0.2">
      <c r="A115" s="1186" t="s">
        <v>341</v>
      </c>
      <c r="B115" s="1186" t="s">
        <v>621</v>
      </c>
      <c r="C115" s="1186" t="s">
        <v>975</v>
      </c>
      <c r="D115" s="1186" t="s">
        <v>1983</v>
      </c>
      <c r="E115" s="1186" t="s">
        <v>1982</v>
      </c>
      <c r="F115" s="1186">
        <v>93</v>
      </c>
      <c r="G115" s="1186">
        <v>78</v>
      </c>
      <c r="H115" s="1186">
        <v>11</v>
      </c>
      <c r="I115" s="1186"/>
      <c r="J115" s="1186">
        <v>4</v>
      </c>
    </row>
    <row r="116" spans="1:10" x14ac:dyDescent="0.2">
      <c r="A116" s="1186" t="s">
        <v>341</v>
      </c>
      <c r="B116" s="1186" t="s">
        <v>621</v>
      </c>
      <c r="C116" s="1186" t="s">
        <v>976</v>
      </c>
      <c r="D116" s="1186" t="s">
        <v>1983</v>
      </c>
      <c r="E116" s="1186" t="s">
        <v>1984</v>
      </c>
      <c r="F116" s="1186">
        <v>76</v>
      </c>
      <c r="G116" s="1186">
        <v>67</v>
      </c>
      <c r="H116" s="1186">
        <v>4</v>
      </c>
      <c r="I116" s="1186">
        <v>1</v>
      </c>
      <c r="J116" s="1186">
        <v>4</v>
      </c>
    </row>
    <row r="117" spans="1:10" x14ac:dyDescent="0.2">
      <c r="A117" s="1186" t="s">
        <v>341</v>
      </c>
      <c r="B117" s="1186" t="s">
        <v>621</v>
      </c>
      <c r="C117" s="1186" t="s">
        <v>977</v>
      </c>
      <c r="D117" s="1186" t="s">
        <v>1983</v>
      </c>
      <c r="E117" s="1186" t="s">
        <v>1984</v>
      </c>
      <c r="F117" s="1186">
        <v>78</v>
      </c>
      <c r="G117" s="1186">
        <v>58</v>
      </c>
      <c r="H117" s="1186">
        <v>12</v>
      </c>
      <c r="I117" s="1186">
        <v>6</v>
      </c>
      <c r="J117" s="1186">
        <v>2</v>
      </c>
    </row>
    <row r="118" spans="1:10" x14ac:dyDescent="0.2">
      <c r="A118" s="1186" t="s">
        <v>341</v>
      </c>
      <c r="B118" s="1186" t="s">
        <v>621</v>
      </c>
      <c r="C118" s="1186" t="s">
        <v>978</v>
      </c>
      <c r="D118" s="1186" t="s">
        <v>1985</v>
      </c>
      <c r="E118" s="1186" t="s">
        <v>1984</v>
      </c>
      <c r="F118" s="1186">
        <v>69</v>
      </c>
      <c r="G118" s="1186">
        <v>52</v>
      </c>
      <c r="H118" s="1186">
        <v>12</v>
      </c>
      <c r="I118" s="1186">
        <v>1</v>
      </c>
      <c r="J118" s="1186">
        <v>4</v>
      </c>
    </row>
    <row r="119" spans="1:10" x14ac:dyDescent="0.2">
      <c r="A119" s="1186" t="s">
        <v>341</v>
      </c>
      <c r="B119" s="1186" t="s">
        <v>621</v>
      </c>
      <c r="C119" s="1186" t="s">
        <v>979</v>
      </c>
      <c r="D119" s="1186" t="s">
        <v>1985</v>
      </c>
      <c r="E119" s="1186" t="s">
        <v>1986</v>
      </c>
      <c r="F119" s="1186">
        <v>79</v>
      </c>
      <c r="G119" s="1186">
        <v>68</v>
      </c>
      <c r="H119" s="1186">
        <v>5</v>
      </c>
      <c r="I119" s="1186">
        <v>4</v>
      </c>
      <c r="J119" s="1186">
        <v>2</v>
      </c>
    </row>
    <row r="120" spans="1:10" x14ac:dyDescent="0.2">
      <c r="A120" s="1186" t="s">
        <v>341</v>
      </c>
      <c r="B120" s="1186" t="s">
        <v>621</v>
      </c>
      <c r="C120" s="1186" t="s">
        <v>980</v>
      </c>
      <c r="D120" s="1186" t="s">
        <v>1985</v>
      </c>
      <c r="E120" s="1186" t="s">
        <v>1986</v>
      </c>
      <c r="F120" s="1186">
        <v>63</v>
      </c>
      <c r="G120" s="1186">
        <v>48</v>
      </c>
      <c r="H120" s="1186">
        <v>10</v>
      </c>
      <c r="I120" s="1186">
        <v>3</v>
      </c>
      <c r="J120" s="1186">
        <v>2</v>
      </c>
    </row>
    <row r="121" spans="1:10" x14ac:dyDescent="0.2">
      <c r="A121" s="1186" t="s">
        <v>341</v>
      </c>
      <c r="B121" s="1186" t="s">
        <v>621</v>
      </c>
      <c r="C121" s="1186" t="s">
        <v>981</v>
      </c>
      <c r="D121" s="1186" t="s">
        <v>1987</v>
      </c>
      <c r="E121" s="1186" t="s">
        <v>1986</v>
      </c>
      <c r="F121" s="1186">
        <v>83</v>
      </c>
      <c r="G121" s="1186">
        <v>76</v>
      </c>
      <c r="H121" s="1186">
        <v>7</v>
      </c>
      <c r="I121" s="1186"/>
      <c r="J121" s="1186"/>
    </row>
    <row r="122" spans="1:10" x14ac:dyDescent="0.2">
      <c r="A122" s="1186" t="s">
        <v>341</v>
      </c>
      <c r="B122" s="1186" t="s">
        <v>621</v>
      </c>
      <c r="C122" s="1186" t="s">
        <v>982</v>
      </c>
      <c r="D122" s="1186" t="s">
        <v>1987</v>
      </c>
      <c r="E122" s="1186" t="s">
        <v>1988</v>
      </c>
      <c r="F122" s="1186">
        <v>87</v>
      </c>
      <c r="G122" s="1186">
        <v>81</v>
      </c>
      <c r="H122" s="1186">
        <v>2</v>
      </c>
      <c r="I122" s="1186">
        <v>1</v>
      </c>
      <c r="J122" s="1186">
        <v>3</v>
      </c>
    </row>
    <row r="123" spans="1:10" x14ac:dyDescent="0.2">
      <c r="A123" s="1186" t="s">
        <v>341</v>
      </c>
      <c r="B123" s="1186" t="s">
        <v>621</v>
      </c>
      <c r="C123" s="1186" t="s">
        <v>983</v>
      </c>
      <c r="D123" s="1186" t="s">
        <v>1987</v>
      </c>
      <c r="E123" s="1186" t="s">
        <v>1988</v>
      </c>
      <c r="F123" s="1186">
        <v>76</v>
      </c>
      <c r="G123" s="1186">
        <v>67</v>
      </c>
      <c r="H123" s="1186">
        <v>2</v>
      </c>
      <c r="I123" s="1186">
        <v>7</v>
      </c>
      <c r="J123" s="1186"/>
    </row>
    <row r="124" spans="1:10" x14ac:dyDescent="0.2">
      <c r="A124" s="1186" t="s">
        <v>341</v>
      </c>
      <c r="B124" s="1186" t="s">
        <v>621</v>
      </c>
      <c r="C124" s="1186" t="s">
        <v>984</v>
      </c>
      <c r="D124" s="1186" t="s">
        <v>1981</v>
      </c>
      <c r="E124" s="1186" t="s">
        <v>1988</v>
      </c>
      <c r="F124" s="1186">
        <v>84</v>
      </c>
      <c r="G124" s="1186">
        <v>70</v>
      </c>
      <c r="H124" s="1186">
        <v>9</v>
      </c>
      <c r="I124" s="1186">
        <v>2</v>
      </c>
      <c r="J124" s="1186">
        <v>3</v>
      </c>
    </row>
    <row r="125" spans="1:10" x14ac:dyDescent="0.2">
      <c r="A125" s="1186" t="s">
        <v>341</v>
      </c>
      <c r="B125" s="1186" t="s">
        <v>1419</v>
      </c>
      <c r="C125" s="1186" t="s">
        <v>1427</v>
      </c>
      <c r="D125" s="1186" t="s">
        <v>1981</v>
      </c>
      <c r="E125" s="1186" t="s">
        <v>1982</v>
      </c>
      <c r="F125" s="1186">
        <v>71</v>
      </c>
      <c r="G125" s="1186">
        <v>60</v>
      </c>
      <c r="H125" s="1186">
        <v>3</v>
      </c>
      <c r="I125" s="1186">
        <v>3</v>
      </c>
      <c r="J125" s="1186">
        <v>5</v>
      </c>
    </row>
    <row r="126" spans="1:10" x14ac:dyDescent="0.2">
      <c r="A126" s="1186" t="s">
        <v>341</v>
      </c>
      <c r="B126" s="1186" t="s">
        <v>1419</v>
      </c>
      <c r="C126" s="1186" t="s">
        <v>1428</v>
      </c>
      <c r="D126" s="1186" t="s">
        <v>1981</v>
      </c>
      <c r="E126" s="1186" t="s">
        <v>1982</v>
      </c>
      <c r="F126" s="1186">
        <v>67</v>
      </c>
      <c r="G126" s="1186">
        <v>52</v>
      </c>
      <c r="H126" s="1186">
        <v>7</v>
      </c>
      <c r="I126" s="1186">
        <v>3</v>
      </c>
      <c r="J126" s="1186">
        <v>5</v>
      </c>
    </row>
    <row r="127" spans="1:10" x14ac:dyDescent="0.2">
      <c r="A127" s="1186" t="s">
        <v>341</v>
      </c>
      <c r="B127" s="1186" t="s">
        <v>1419</v>
      </c>
      <c r="C127" s="1186" t="s">
        <v>1429</v>
      </c>
      <c r="D127" s="1186" t="s">
        <v>1983</v>
      </c>
      <c r="E127" s="1186" t="s">
        <v>1982</v>
      </c>
      <c r="F127" s="1186">
        <v>63</v>
      </c>
      <c r="G127" s="1186">
        <v>43</v>
      </c>
      <c r="H127" s="1186">
        <v>11</v>
      </c>
      <c r="I127" s="1186">
        <v>4</v>
      </c>
      <c r="J127" s="1186">
        <v>5</v>
      </c>
    </row>
    <row r="128" spans="1:10" x14ac:dyDescent="0.2">
      <c r="A128" s="1186" t="s">
        <v>341</v>
      </c>
      <c r="B128" s="1186" t="s">
        <v>1419</v>
      </c>
      <c r="C128" s="1186" t="s">
        <v>1430</v>
      </c>
      <c r="D128" s="1186" t="s">
        <v>1983</v>
      </c>
      <c r="E128" s="1186" t="s">
        <v>1984</v>
      </c>
      <c r="F128" s="1186">
        <v>64</v>
      </c>
      <c r="G128" s="1186">
        <v>50</v>
      </c>
      <c r="H128" s="1186">
        <v>10</v>
      </c>
      <c r="I128" s="1186">
        <v>1</v>
      </c>
      <c r="J128" s="1186">
        <v>3</v>
      </c>
    </row>
    <row r="129" spans="1:10" x14ac:dyDescent="0.2">
      <c r="A129" s="1186" t="s">
        <v>341</v>
      </c>
      <c r="B129" s="1186" t="s">
        <v>1419</v>
      </c>
      <c r="C129" s="1186" t="s">
        <v>1431</v>
      </c>
      <c r="D129" s="1186" t="s">
        <v>1983</v>
      </c>
      <c r="E129" s="1186" t="s">
        <v>1984</v>
      </c>
      <c r="F129" s="1186">
        <v>56</v>
      </c>
      <c r="G129" s="1186">
        <v>46</v>
      </c>
      <c r="H129" s="1186">
        <v>7</v>
      </c>
      <c r="I129" s="1186">
        <v>2</v>
      </c>
      <c r="J129" s="1186">
        <v>1</v>
      </c>
    </row>
    <row r="130" spans="1:10" x14ac:dyDescent="0.2">
      <c r="A130" s="1186" t="s">
        <v>341</v>
      </c>
      <c r="B130" s="1186" t="s">
        <v>1419</v>
      </c>
      <c r="C130" s="1186" t="s">
        <v>1432</v>
      </c>
      <c r="D130" s="1186" t="s">
        <v>1985</v>
      </c>
      <c r="E130" s="1186" t="s">
        <v>1984</v>
      </c>
      <c r="F130" s="1186">
        <v>49</v>
      </c>
      <c r="G130" s="1186">
        <v>36</v>
      </c>
      <c r="H130" s="1186">
        <v>9</v>
      </c>
      <c r="I130" s="1186">
        <v>1</v>
      </c>
      <c r="J130" s="1186">
        <v>3</v>
      </c>
    </row>
    <row r="131" spans="1:10" x14ac:dyDescent="0.2">
      <c r="A131" s="1186" t="s">
        <v>341</v>
      </c>
      <c r="B131" s="1186" t="s">
        <v>1419</v>
      </c>
      <c r="C131" s="1186" t="s">
        <v>1433</v>
      </c>
      <c r="D131" s="1186" t="s">
        <v>1985</v>
      </c>
      <c r="E131" s="1186" t="s">
        <v>1986</v>
      </c>
      <c r="F131" s="1186">
        <v>79</v>
      </c>
      <c r="G131" s="1186">
        <v>75</v>
      </c>
      <c r="H131" s="1186">
        <v>2</v>
      </c>
      <c r="I131" s="1186">
        <v>2</v>
      </c>
      <c r="J131" s="1186"/>
    </row>
    <row r="132" spans="1:10" x14ac:dyDescent="0.2">
      <c r="A132" s="1186" t="s">
        <v>341</v>
      </c>
      <c r="B132" s="1186" t="s">
        <v>1419</v>
      </c>
      <c r="C132" s="1186" t="s">
        <v>1434</v>
      </c>
      <c r="D132" s="1186" t="s">
        <v>1985</v>
      </c>
      <c r="E132" s="1186" t="s">
        <v>1986</v>
      </c>
      <c r="F132" s="1186">
        <v>81</v>
      </c>
      <c r="G132" s="1186">
        <v>62</v>
      </c>
      <c r="H132" s="1186">
        <v>12</v>
      </c>
      <c r="I132" s="1186">
        <v>6</v>
      </c>
      <c r="J132" s="1186">
        <v>1</v>
      </c>
    </row>
    <row r="133" spans="1:10" x14ac:dyDescent="0.2">
      <c r="A133" s="1186" t="s">
        <v>341</v>
      </c>
      <c r="B133" s="1186" t="s">
        <v>1419</v>
      </c>
      <c r="C133" s="1186" t="s">
        <v>1435</v>
      </c>
      <c r="D133" s="1186" t="s">
        <v>1987</v>
      </c>
      <c r="E133" s="1186" t="s">
        <v>1986</v>
      </c>
      <c r="F133" s="1186">
        <v>82</v>
      </c>
      <c r="G133" s="1186">
        <v>77</v>
      </c>
      <c r="H133" s="1186">
        <v>3</v>
      </c>
      <c r="I133" s="1186">
        <v>1</v>
      </c>
      <c r="J133" s="1186">
        <v>1</v>
      </c>
    </row>
    <row r="134" spans="1:10" x14ac:dyDescent="0.2">
      <c r="A134" s="1186" t="s">
        <v>341</v>
      </c>
      <c r="B134" s="1186" t="s">
        <v>1419</v>
      </c>
      <c r="C134" s="1186" t="s">
        <v>1436</v>
      </c>
      <c r="D134" s="1186" t="s">
        <v>1987</v>
      </c>
      <c r="E134" s="1186" t="s">
        <v>1988</v>
      </c>
      <c r="F134" s="1186">
        <v>74</v>
      </c>
      <c r="G134" s="1186">
        <v>60</v>
      </c>
      <c r="H134" s="1186">
        <v>11</v>
      </c>
      <c r="I134" s="1186">
        <v>1</v>
      </c>
      <c r="J134" s="1186">
        <v>2</v>
      </c>
    </row>
    <row r="135" spans="1:10" x14ac:dyDescent="0.2">
      <c r="A135" s="1186" t="s">
        <v>341</v>
      </c>
      <c r="B135" s="1186" t="s">
        <v>1419</v>
      </c>
      <c r="C135" s="1186" t="s">
        <v>1437</v>
      </c>
      <c r="D135" s="1186" t="s">
        <v>1987</v>
      </c>
      <c r="E135" s="1186" t="s">
        <v>1988</v>
      </c>
      <c r="F135" s="1186">
        <v>63</v>
      </c>
      <c r="G135" s="1186">
        <v>55</v>
      </c>
      <c r="H135" s="1186">
        <v>8</v>
      </c>
      <c r="I135" s="1186"/>
      <c r="J135" s="1186"/>
    </row>
    <row r="136" spans="1:10" x14ac:dyDescent="0.2">
      <c r="A136" s="1186" t="s">
        <v>341</v>
      </c>
      <c r="B136" s="1186" t="s">
        <v>1419</v>
      </c>
      <c r="C136" s="1186" t="s">
        <v>1438</v>
      </c>
      <c r="D136" s="1186" t="s">
        <v>1981</v>
      </c>
      <c r="E136" s="1186" t="s">
        <v>1988</v>
      </c>
      <c r="F136" s="1186">
        <v>59</v>
      </c>
      <c r="G136" s="1186">
        <v>55</v>
      </c>
      <c r="H136" s="1186">
        <v>2</v>
      </c>
      <c r="I136" s="1186">
        <v>1</v>
      </c>
      <c r="J136" s="1186">
        <v>1</v>
      </c>
    </row>
    <row r="137" spans="1:10" x14ac:dyDescent="0.2">
      <c r="A137" s="1186" t="s">
        <v>341</v>
      </c>
      <c r="B137" s="1186" t="s">
        <v>1572</v>
      </c>
      <c r="C137" s="1186" t="s">
        <v>1989</v>
      </c>
      <c r="D137" s="1186" t="s">
        <v>1981</v>
      </c>
      <c r="E137" s="1186" t="s">
        <v>1982</v>
      </c>
      <c r="F137" s="1186">
        <v>73</v>
      </c>
      <c r="G137" s="1186">
        <v>63</v>
      </c>
      <c r="H137" s="1186">
        <v>5</v>
      </c>
      <c r="I137" s="1186"/>
      <c r="J137" s="1186">
        <v>5</v>
      </c>
    </row>
    <row r="138" spans="1:10" x14ac:dyDescent="0.2">
      <c r="A138" s="1186" t="s">
        <v>341</v>
      </c>
      <c r="B138" s="1186" t="s">
        <v>1572</v>
      </c>
      <c r="C138" s="1186" t="s">
        <v>1990</v>
      </c>
      <c r="D138" s="1186" t="s">
        <v>1981</v>
      </c>
      <c r="E138" s="1186" t="s">
        <v>1982</v>
      </c>
      <c r="F138" s="1186">
        <v>61</v>
      </c>
      <c r="G138" s="1186">
        <v>49</v>
      </c>
      <c r="H138" s="1186">
        <v>5</v>
      </c>
      <c r="I138" s="1186">
        <v>2</v>
      </c>
      <c r="J138" s="1186">
        <v>5</v>
      </c>
    </row>
    <row r="139" spans="1:10" x14ac:dyDescent="0.2">
      <c r="A139" s="1186" t="s">
        <v>341</v>
      </c>
      <c r="B139" s="1186" t="s">
        <v>1572</v>
      </c>
      <c r="C139" s="1186" t="s">
        <v>1991</v>
      </c>
      <c r="D139" s="1186" t="s">
        <v>1983</v>
      </c>
      <c r="E139" s="1186" t="s">
        <v>1982</v>
      </c>
      <c r="F139" s="1186">
        <v>67</v>
      </c>
      <c r="G139" s="1186">
        <v>57</v>
      </c>
      <c r="H139" s="1186">
        <v>6</v>
      </c>
      <c r="I139" s="1186">
        <v>1</v>
      </c>
      <c r="J139" s="1186">
        <v>3</v>
      </c>
    </row>
    <row r="140" spans="1:10" x14ac:dyDescent="0.2">
      <c r="A140" s="1186" t="s">
        <v>341</v>
      </c>
      <c r="B140" s="1186" t="s">
        <v>1572</v>
      </c>
      <c r="C140" s="1186" t="s">
        <v>1992</v>
      </c>
      <c r="D140" s="1186" t="s">
        <v>1983</v>
      </c>
      <c r="E140" s="1186" t="s">
        <v>1984</v>
      </c>
      <c r="F140" s="1186">
        <v>33</v>
      </c>
      <c r="G140" s="1186">
        <v>23</v>
      </c>
      <c r="H140" s="1186">
        <v>7</v>
      </c>
      <c r="I140" s="1186"/>
      <c r="J140" s="1186">
        <v>3</v>
      </c>
    </row>
    <row r="141" spans="1:10" x14ac:dyDescent="0.2">
      <c r="A141" s="1186" t="s">
        <v>341</v>
      </c>
      <c r="B141" s="1186" t="s">
        <v>1572</v>
      </c>
      <c r="C141" s="1186" t="s">
        <v>1993</v>
      </c>
      <c r="D141" s="1186" t="s">
        <v>1983</v>
      </c>
      <c r="E141" s="1186" t="s">
        <v>1984</v>
      </c>
      <c r="F141" s="1186">
        <v>61</v>
      </c>
      <c r="G141" s="1186">
        <v>48</v>
      </c>
      <c r="H141" s="1186">
        <v>5</v>
      </c>
      <c r="I141" s="1186">
        <v>3</v>
      </c>
      <c r="J141" s="1186">
        <v>5</v>
      </c>
    </row>
    <row r="142" spans="1:10" x14ac:dyDescent="0.2">
      <c r="A142" s="1186" t="s">
        <v>341</v>
      </c>
      <c r="B142" s="1186" t="s">
        <v>1572</v>
      </c>
      <c r="C142" s="1186" t="s">
        <v>1994</v>
      </c>
      <c r="D142" s="1186" t="s">
        <v>1985</v>
      </c>
      <c r="E142" s="1186" t="s">
        <v>1984</v>
      </c>
      <c r="F142" s="1186">
        <v>52</v>
      </c>
      <c r="G142" s="1186">
        <v>42</v>
      </c>
      <c r="H142" s="1186">
        <v>3</v>
      </c>
      <c r="I142" s="1186">
        <v>1</v>
      </c>
      <c r="J142" s="1186">
        <v>6</v>
      </c>
    </row>
    <row r="143" spans="1:10" x14ac:dyDescent="0.2">
      <c r="A143" s="1186" t="s">
        <v>341</v>
      </c>
      <c r="B143" s="1186" t="s">
        <v>1572</v>
      </c>
      <c r="C143" s="1186" t="s">
        <v>1995</v>
      </c>
      <c r="D143" s="1186" t="s">
        <v>1985</v>
      </c>
      <c r="E143" s="1186" t="s">
        <v>1986</v>
      </c>
      <c r="F143" s="1186">
        <v>63</v>
      </c>
      <c r="G143" s="1186">
        <v>57</v>
      </c>
      <c r="H143" s="1186">
        <v>4</v>
      </c>
      <c r="I143" s="1186">
        <v>1</v>
      </c>
      <c r="J143" s="1186">
        <v>1</v>
      </c>
    </row>
    <row r="144" spans="1:10" x14ac:dyDescent="0.2">
      <c r="A144" s="1186" t="s">
        <v>341</v>
      </c>
      <c r="B144" s="1186" t="s">
        <v>1572</v>
      </c>
      <c r="C144" s="1186" t="s">
        <v>1996</v>
      </c>
      <c r="D144" s="1186" t="s">
        <v>1985</v>
      </c>
      <c r="E144" s="1186" t="s">
        <v>1986</v>
      </c>
      <c r="F144" s="1186">
        <v>49</v>
      </c>
      <c r="G144" s="1186">
        <v>43</v>
      </c>
      <c r="H144" s="1186">
        <v>4</v>
      </c>
      <c r="I144" s="1186">
        <v>2</v>
      </c>
      <c r="J144" s="1186"/>
    </row>
    <row r="145" spans="1:10" x14ac:dyDescent="0.2">
      <c r="A145" s="1186" t="s">
        <v>341</v>
      </c>
      <c r="B145" s="1186" t="s">
        <v>1572</v>
      </c>
      <c r="C145" s="1186" t="s">
        <v>1997</v>
      </c>
      <c r="D145" s="1186" t="s">
        <v>1987</v>
      </c>
      <c r="E145" s="1186" t="s">
        <v>1986</v>
      </c>
      <c r="F145" s="1186">
        <v>61</v>
      </c>
      <c r="G145" s="1186">
        <v>47</v>
      </c>
      <c r="H145" s="1186">
        <v>7</v>
      </c>
      <c r="I145" s="1186"/>
      <c r="J145" s="1186">
        <v>7</v>
      </c>
    </row>
    <row r="146" spans="1:10" x14ac:dyDescent="0.2">
      <c r="A146" s="1186" t="s">
        <v>341</v>
      </c>
      <c r="B146" s="1186" t="s">
        <v>1572</v>
      </c>
      <c r="C146" s="1186" t="s">
        <v>1998</v>
      </c>
      <c r="D146" s="1186" t="s">
        <v>1987</v>
      </c>
      <c r="E146" s="1186" t="s">
        <v>1988</v>
      </c>
      <c r="F146" s="1186">
        <v>68</v>
      </c>
      <c r="G146" s="1186">
        <v>66</v>
      </c>
      <c r="H146" s="1186">
        <v>1</v>
      </c>
      <c r="I146" s="1186">
        <v>1</v>
      </c>
      <c r="J146" s="1186"/>
    </row>
    <row r="147" spans="1:10" x14ac:dyDescent="0.2">
      <c r="A147" s="1186" t="s">
        <v>341</v>
      </c>
      <c r="B147" s="1186" t="s">
        <v>1572</v>
      </c>
      <c r="C147" s="1186" t="s">
        <v>1999</v>
      </c>
      <c r="D147" s="1186" t="s">
        <v>1987</v>
      </c>
      <c r="E147" s="1186" t="s">
        <v>1988</v>
      </c>
      <c r="F147" s="1186">
        <v>55</v>
      </c>
      <c r="G147" s="1186">
        <v>45</v>
      </c>
      <c r="H147" s="1186">
        <v>5</v>
      </c>
      <c r="I147" s="1186">
        <v>3</v>
      </c>
      <c r="J147" s="1186">
        <v>2</v>
      </c>
    </row>
    <row r="148" spans="1:10" x14ac:dyDescent="0.2">
      <c r="A148" s="1186" t="s">
        <v>341</v>
      </c>
      <c r="B148" s="1186" t="s">
        <v>1572</v>
      </c>
      <c r="C148" s="1186" t="s">
        <v>2000</v>
      </c>
      <c r="D148" s="1186" t="s">
        <v>1981</v>
      </c>
      <c r="E148" s="1186" t="s">
        <v>1988</v>
      </c>
      <c r="F148" s="1186">
        <v>50</v>
      </c>
      <c r="G148" s="1186">
        <v>44</v>
      </c>
      <c r="H148" s="1186">
        <v>2</v>
      </c>
      <c r="I148" s="1186">
        <v>1</v>
      </c>
      <c r="J148" s="1186">
        <v>3</v>
      </c>
    </row>
    <row r="149" spans="1:10" x14ac:dyDescent="0.2">
      <c r="A149" s="1186" t="s">
        <v>342</v>
      </c>
      <c r="B149" s="1186" t="s">
        <v>19</v>
      </c>
      <c r="C149" s="1186" t="s">
        <v>868</v>
      </c>
      <c r="D149" s="1186" t="s">
        <v>1981</v>
      </c>
      <c r="E149" s="1186" t="s">
        <v>1982</v>
      </c>
      <c r="F149" s="1186">
        <v>7</v>
      </c>
      <c r="G149" s="1186">
        <v>7</v>
      </c>
      <c r="H149" s="1186"/>
      <c r="I149" s="1186"/>
      <c r="J149" s="1186"/>
    </row>
    <row r="150" spans="1:10" x14ac:dyDescent="0.2">
      <c r="A150" s="1186" t="s">
        <v>342</v>
      </c>
      <c r="B150" s="1186" t="s">
        <v>19</v>
      </c>
      <c r="C150" s="1186" t="s">
        <v>869</v>
      </c>
      <c r="D150" s="1186" t="s">
        <v>1981</v>
      </c>
      <c r="E150" s="1186" t="s">
        <v>1982</v>
      </c>
      <c r="F150" s="1186">
        <v>5</v>
      </c>
      <c r="G150" s="1186">
        <v>4</v>
      </c>
      <c r="H150" s="1186"/>
      <c r="I150" s="1186">
        <v>1</v>
      </c>
      <c r="J150" s="1186"/>
    </row>
    <row r="151" spans="1:10" x14ac:dyDescent="0.2">
      <c r="A151" s="1186" t="s">
        <v>342</v>
      </c>
      <c r="B151" s="1186" t="s">
        <v>19</v>
      </c>
      <c r="C151" s="1186" t="s">
        <v>870</v>
      </c>
      <c r="D151" s="1186" t="s">
        <v>1983</v>
      </c>
      <c r="E151" s="1186" t="s">
        <v>1982</v>
      </c>
      <c r="F151" s="1186">
        <v>3</v>
      </c>
      <c r="G151" s="1186">
        <v>1</v>
      </c>
      <c r="H151" s="1186"/>
      <c r="I151" s="1186">
        <v>2</v>
      </c>
      <c r="J151" s="1186"/>
    </row>
    <row r="152" spans="1:10" x14ac:dyDescent="0.2">
      <c r="A152" s="1186" t="s">
        <v>342</v>
      </c>
      <c r="B152" s="1186" t="s">
        <v>19</v>
      </c>
      <c r="C152" s="1186" t="s">
        <v>871</v>
      </c>
      <c r="D152" s="1186" t="s">
        <v>1983</v>
      </c>
      <c r="E152" s="1186" t="s">
        <v>1984</v>
      </c>
      <c r="F152" s="1186">
        <v>7</v>
      </c>
      <c r="G152" s="1186">
        <v>6</v>
      </c>
      <c r="H152" s="1186">
        <v>1</v>
      </c>
      <c r="I152" s="1186"/>
      <c r="J152" s="1186"/>
    </row>
    <row r="153" spans="1:10" x14ac:dyDescent="0.2">
      <c r="A153" s="1186" t="s">
        <v>342</v>
      </c>
      <c r="B153" s="1186" t="s">
        <v>19</v>
      </c>
      <c r="C153" s="1186" t="s">
        <v>872</v>
      </c>
      <c r="D153" s="1186" t="s">
        <v>1983</v>
      </c>
      <c r="E153" s="1186" t="s">
        <v>1984</v>
      </c>
      <c r="F153" s="1186">
        <v>3</v>
      </c>
      <c r="G153" s="1186">
        <v>3</v>
      </c>
      <c r="H153" s="1186"/>
      <c r="I153" s="1186"/>
      <c r="J153" s="1186"/>
    </row>
    <row r="154" spans="1:10" x14ac:dyDescent="0.2">
      <c r="A154" s="1186" t="s">
        <v>342</v>
      </c>
      <c r="B154" s="1186" t="s">
        <v>19</v>
      </c>
      <c r="C154" s="1186" t="s">
        <v>873</v>
      </c>
      <c r="D154" s="1186" t="s">
        <v>1985</v>
      </c>
      <c r="E154" s="1186" t="s">
        <v>1984</v>
      </c>
      <c r="F154" s="1186">
        <v>2</v>
      </c>
      <c r="G154" s="1186">
        <v>2</v>
      </c>
      <c r="H154" s="1186"/>
      <c r="I154" s="1186"/>
      <c r="J154" s="1186"/>
    </row>
    <row r="155" spans="1:10" x14ac:dyDescent="0.2">
      <c r="A155" s="1186" t="s">
        <v>342</v>
      </c>
      <c r="B155" s="1186" t="s">
        <v>19</v>
      </c>
      <c r="C155" s="1186" t="s">
        <v>19</v>
      </c>
      <c r="D155" s="1186" t="s">
        <v>1985</v>
      </c>
      <c r="E155" s="1186" t="s">
        <v>1986</v>
      </c>
      <c r="F155" s="1186">
        <v>4</v>
      </c>
      <c r="G155" s="1186">
        <v>4</v>
      </c>
      <c r="H155" s="1186"/>
      <c r="I155" s="1186"/>
      <c r="J155" s="1186"/>
    </row>
    <row r="156" spans="1:10" x14ac:dyDescent="0.2">
      <c r="A156" s="1186" t="s">
        <v>342</v>
      </c>
      <c r="B156" s="1186" t="s">
        <v>19</v>
      </c>
      <c r="C156" s="1186" t="s">
        <v>874</v>
      </c>
      <c r="D156" s="1186" t="s">
        <v>1985</v>
      </c>
      <c r="E156" s="1186" t="s">
        <v>1986</v>
      </c>
      <c r="F156" s="1186">
        <v>4</v>
      </c>
      <c r="G156" s="1186">
        <v>4</v>
      </c>
      <c r="H156" s="1186"/>
      <c r="I156" s="1186"/>
      <c r="J156" s="1186"/>
    </row>
    <row r="157" spans="1:10" x14ac:dyDescent="0.2">
      <c r="A157" s="1186" t="s">
        <v>342</v>
      </c>
      <c r="B157" s="1186" t="s">
        <v>19</v>
      </c>
      <c r="C157" s="1186" t="s">
        <v>875</v>
      </c>
      <c r="D157" s="1186" t="s">
        <v>1987</v>
      </c>
      <c r="E157" s="1186" t="s">
        <v>1986</v>
      </c>
      <c r="F157" s="1186">
        <v>6</v>
      </c>
      <c r="G157" s="1186">
        <v>5</v>
      </c>
      <c r="H157" s="1186">
        <v>1</v>
      </c>
      <c r="I157" s="1186"/>
      <c r="J157" s="1186"/>
    </row>
    <row r="158" spans="1:10" x14ac:dyDescent="0.2">
      <c r="A158" s="1186" t="s">
        <v>342</v>
      </c>
      <c r="B158" s="1186" t="s">
        <v>19</v>
      </c>
      <c r="C158" s="1186" t="s">
        <v>876</v>
      </c>
      <c r="D158" s="1186" t="s">
        <v>1987</v>
      </c>
      <c r="E158" s="1186" t="s">
        <v>1988</v>
      </c>
      <c r="F158" s="1186">
        <v>4</v>
      </c>
      <c r="G158" s="1186">
        <v>4</v>
      </c>
      <c r="H158" s="1186"/>
      <c r="I158" s="1186"/>
      <c r="J158" s="1186"/>
    </row>
    <row r="159" spans="1:10" x14ac:dyDescent="0.2">
      <c r="A159" s="1186" t="s">
        <v>342</v>
      </c>
      <c r="B159" s="1186" t="s">
        <v>19</v>
      </c>
      <c r="C159" s="1186" t="s">
        <v>877</v>
      </c>
      <c r="D159" s="1186" t="s">
        <v>1987</v>
      </c>
      <c r="E159" s="1186" t="s">
        <v>1988</v>
      </c>
      <c r="F159" s="1186">
        <v>7</v>
      </c>
      <c r="G159" s="1186">
        <v>7</v>
      </c>
      <c r="H159" s="1186"/>
      <c r="I159" s="1186"/>
      <c r="J159" s="1186"/>
    </row>
    <row r="160" spans="1:10" x14ac:dyDescent="0.2">
      <c r="A160" s="1186" t="s">
        <v>342</v>
      </c>
      <c r="B160" s="1186" t="s">
        <v>19</v>
      </c>
      <c r="C160" s="1186" t="s">
        <v>878</v>
      </c>
      <c r="D160" s="1186" t="s">
        <v>1981</v>
      </c>
      <c r="E160" s="1186" t="s">
        <v>1988</v>
      </c>
      <c r="F160" s="1186">
        <v>10</v>
      </c>
      <c r="G160" s="1186">
        <v>6</v>
      </c>
      <c r="H160" s="1186">
        <v>2</v>
      </c>
      <c r="I160" s="1186">
        <v>1</v>
      </c>
      <c r="J160" s="1186">
        <v>1</v>
      </c>
    </row>
    <row r="161" spans="1:10" x14ac:dyDescent="0.2">
      <c r="A161" s="1186" t="s">
        <v>342</v>
      </c>
      <c r="B161" s="1186" t="s">
        <v>20</v>
      </c>
      <c r="C161" s="1186" t="s">
        <v>879</v>
      </c>
      <c r="D161" s="1186" t="s">
        <v>1981</v>
      </c>
      <c r="E161" s="1186" t="s">
        <v>1982</v>
      </c>
      <c r="F161" s="1186">
        <v>4</v>
      </c>
      <c r="G161" s="1186">
        <v>4</v>
      </c>
      <c r="H161" s="1186"/>
      <c r="I161" s="1186"/>
      <c r="J161" s="1186"/>
    </row>
    <row r="162" spans="1:10" x14ac:dyDescent="0.2">
      <c r="A162" s="1186" t="s">
        <v>342</v>
      </c>
      <c r="B162" s="1186" t="s">
        <v>20</v>
      </c>
      <c r="C162" s="1186" t="s">
        <v>880</v>
      </c>
      <c r="D162" s="1186" t="s">
        <v>1981</v>
      </c>
      <c r="E162" s="1186" t="s">
        <v>1982</v>
      </c>
      <c r="F162" s="1186">
        <v>5</v>
      </c>
      <c r="G162" s="1186">
        <v>4</v>
      </c>
      <c r="H162" s="1186"/>
      <c r="I162" s="1186">
        <v>1</v>
      </c>
      <c r="J162" s="1186"/>
    </row>
    <row r="163" spans="1:10" x14ac:dyDescent="0.2">
      <c r="A163" s="1186" t="s">
        <v>342</v>
      </c>
      <c r="B163" s="1186" t="s">
        <v>20</v>
      </c>
      <c r="C163" s="1186" t="s">
        <v>881</v>
      </c>
      <c r="D163" s="1186" t="s">
        <v>1983</v>
      </c>
      <c r="E163" s="1186" t="s">
        <v>1982</v>
      </c>
      <c r="F163" s="1186">
        <v>6</v>
      </c>
      <c r="G163" s="1186">
        <v>6</v>
      </c>
      <c r="H163" s="1186"/>
      <c r="I163" s="1186"/>
      <c r="J163" s="1186"/>
    </row>
    <row r="164" spans="1:10" x14ac:dyDescent="0.2">
      <c r="A164" s="1186" t="s">
        <v>342</v>
      </c>
      <c r="B164" s="1186" t="s">
        <v>20</v>
      </c>
      <c r="C164" s="1186" t="s">
        <v>883</v>
      </c>
      <c r="D164" s="1186" t="s">
        <v>1983</v>
      </c>
      <c r="E164" s="1186" t="s">
        <v>1984</v>
      </c>
      <c r="F164" s="1186">
        <v>1</v>
      </c>
      <c r="G164" s="1186"/>
      <c r="H164" s="1186">
        <v>1</v>
      </c>
      <c r="I164" s="1186"/>
      <c r="J164" s="1186"/>
    </row>
    <row r="165" spans="1:10" x14ac:dyDescent="0.2">
      <c r="A165" s="1186" t="s">
        <v>342</v>
      </c>
      <c r="B165" s="1186" t="s">
        <v>20</v>
      </c>
      <c r="C165" s="1186" t="s">
        <v>884</v>
      </c>
      <c r="D165" s="1186" t="s">
        <v>1985</v>
      </c>
      <c r="E165" s="1186" t="s">
        <v>1984</v>
      </c>
      <c r="F165" s="1186">
        <v>3</v>
      </c>
      <c r="G165" s="1186">
        <v>2</v>
      </c>
      <c r="H165" s="1186"/>
      <c r="I165" s="1186">
        <v>1</v>
      </c>
      <c r="J165" s="1186"/>
    </row>
    <row r="166" spans="1:10" x14ac:dyDescent="0.2">
      <c r="A166" s="1186" t="s">
        <v>342</v>
      </c>
      <c r="B166" s="1186" t="s">
        <v>20</v>
      </c>
      <c r="C166" s="1186" t="s">
        <v>885</v>
      </c>
      <c r="D166" s="1186" t="s">
        <v>1985</v>
      </c>
      <c r="E166" s="1186" t="s">
        <v>1986</v>
      </c>
      <c r="F166" s="1186">
        <v>4</v>
      </c>
      <c r="G166" s="1186">
        <v>4</v>
      </c>
      <c r="H166" s="1186"/>
      <c r="I166" s="1186"/>
      <c r="J166" s="1186"/>
    </row>
    <row r="167" spans="1:10" x14ac:dyDescent="0.2">
      <c r="A167" s="1186" t="s">
        <v>342</v>
      </c>
      <c r="B167" s="1186" t="s">
        <v>20</v>
      </c>
      <c r="C167" s="1186" t="s">
        <v>20</v>
      </c>
      <c r="D167" s="1186" t="s">
        <v>1985</v>
      </c>
      <c r="E167" s="1186" t="s">
        <v>1986</v>
      </c>
      <c r="F167" s="1186">
        <v>4</v>
      </c>
      <c r="G167" s="1186">
        <v>4</v>
      </c>
      <c r="H167" s="1186"/>
      <c r="I167" s="1186"/>
      <c r="J167" s="1186"/>
    </row>
    <row r="168" spans="1:10" x14ac:dyDescent="0.2">
      <c r="A168" s="1186" t="s">
        <v>342</v>
      </c>
      <c r="B168" s="1186" t="s">
        <v>20</v>
      </c>
      <c r="C168" s="1186" t="s">
        <v>886</v>
      </c>
      <c r="D168" s="1186" t="s">
        <v>1987</v>
      </c>
      <c r="E168" s="1186" t="s">
        <v>1986</v>
      </c>
      <c r="F168" s="1186">
        <v>4</v>
      </c>
      <c r="G168" s="1186">
        <v>3</v>
      </c>
      <c r="H168" s="1186"/>
      <c r="I168" s="1186">
        <v>1</v>
      </c>
      <c r="J168" s="1186"/>
    </row>
    <row r="169" spans="1:10" x14ac:dyDescent="0.2">
      <c r="A169" s="1186" t="s">
        <v>342</v>
      </c>
      <c r="B169" s="1186" t="s">
        <v>20</v>
      </c>
      <c r="C169" s="1186" t="s">
        <v>887</v>
      </c>
      <c r="D169" s="1186" t="s">
        <v>1987</v>
      </c>
      <c r="E169" s="1186" t="s">
        <v>1988</v>
      </c>
      <c r="F169" s="1186">
        <v>14</v>
      </c>
      <c r="G169" s="1186">
        <v>12</v>
      </c>
      <c r="H169" s="1186">
        <v>1</v>
      </c>
      <c r="I169" s="1186"/>
      <c r="J169" s="1186">
        <v>1</v>
      </c>
    </row>
    <row r="170" spans="1:10" x14ac:dyDescent="0.2">
      <c r="A170" s="1186" t="s">
        <v>342</v>
      </c>
      <c r="B170" s="1186" t="s">
        <v>20</v>
      </c>
      <c r="C170" s="1186" t="s">
        <v>888</v>
      </c>
      <c r="D170" s="1186" t="s">
        <v>1987</v>
      </c>
      <c r="E170" s="1186" t="s">
        <v>1988</v>
      </c>
      <c r="F170" s="1186">
        <v>7</v>
      </c>
      <c r="G170" s="1186">
        <v>6</v>
      </c>
      <c r="H170" s="1186">
        <v>1</v>
      </c>
      <c r="I170" s="1186"/>
      <c r="J170" s="1186"/>
    </row>
    <row r="171" spans="1:10" x14ac:dyDescent="0.2">
      <c r="A171" s="1186" t="s">
        <v>342</v>
      </c>
      <c r="B171" s="1186" t="s">
        <v>13</v>
      </c>
      <c r="C171" s="1186" t="s">
        <v>890</v>
      </c>
      <c r="D171" s="1186" t="s">
        <v>1981</v>
      </c>
      <c r="E171" s="1186" t="s">
        <v>1982</v>
      </c>
      <c r="F171" s="1186">
        <v>3</v>
      </c>
      <c r="G171" s="1186">
        <v>3</v>
      </c>
      <c r="H171" s="1186"/>
      <c r="I171" s="1186"/>
      <c r="J171" s="1186"/>
    </row>
    <row r="172" spans="1:10" x14ac:dyDescent="0.2">
      <c r="A172" s="1186" t="s">
        <v>342</v>
      </c>
      <c r="B172" s="1186" t="s">
        <v>13</v>
      </c>
      <c r="C172" s="1186" t="s">
        <v>891</v>
      </c>
      <c r="D172" s="1186" t="s">
        <v>1981</v>
      </c>
      <c r="E172" s="1186" t="s">
        <v>1982</v>
      </c>
      <c r="F172" s="1186">
        <v>5</v>
      </c>
      <c r="G172" s="1186">
        <v>5</v>
      </c>
      <c r="H172" s="1186"/>
      <c r="I172" s="1186"/>
      <c r="J172" s="1186"/>
    </row>
    <row r="173" spans="1:10" x14ac:dyDescent="0.2">
      <c r="A173" s="1186" t="s">
        <v>342</v>
      </c>
      <c r="B173" s="1186" t="s">
        <v>13</v>
      </c>
      <c r="C173" s="1186" t="s">
        <v>892</v>
      </c>
      <c r="D173" s="1186" t="s">
        <v>1983</v>
      </c>
      <c r="E173" s="1186" t="s">
        <v>1982</v>
      </c>
      <c r="F173" s="1186">
        <v>4</v>
      </c>
      <c r="G173" s="1186">
        <v>3</v>
      </c>
      <c r="H173" s="1186">
        <v>1</v>
      </c>
      <c r="I173" s="1186"/>
      <c r="J173" s="1186"/>
    </row>
    <row r="174" spans="1:10" x14ac:dyDescent="0.2">
      <c r="A174" s="1186" t="s">
        <v>342</v>
      </c>
      <c r="B174" s="1186" t="s">
        <v>13</v>
      </c>
      <c r="C174" s="1186" t="s">
        <v>893</v>
      </c>
      <c r="D174" s="1186" t="s">
        <v>1983</v>
      </c>
      <c r="E174" s="1186" t="s">
        <v>1984</v>
      </c>
      <c r="F174" s="1186">
        <v>10</v>
      </c>
      <c r="G174" s="1186">
        <v>8</v>
      </c>
      <c r="H174" s="1186"/>
      <c r="I174" s="1186">
        <v>2</v>
      </c>
      <c r="J174" s="1186"/>
    </row>
    <row r="175" spans="1:10" x14ac:dyDescent="0.2">
      <c r="A175" s="1186" t="s">
        <v>342</v>
      </c>
      <c r="B175" s="1186" t="s">
        <v>13</v>
      </c>
      <c r="C175" s="1186" t="s">
        <v>894</v>
      </c>
      <c r="D175" s="1186" t="s">
        <v>1983</v>
      </c>
      <c r="E175" s="1186" t="s">
        <v>1984</v>
      </c>
      <c r="F175" s="1186">
        <v>3</v>
      </c>
      <c r="G175" s="1186">
        <v>2</v>
      </c>
      <c r="H175" s="1186">
        <v>1</v>
      </c>
      <c r="I175" s="1186"/>
      <c r="J175" s="1186"/>
    </row>
    <row r="176" spans="1:10" x14ac:dyDescent="0.2">
      <c r="A176" s="1186" t="s">
        <v>342</v>
      </c>
      <c r="B176" s="1186" t="s">
        <v>13</v>
      </c>
      <c r="C176" s="1186" t="s">
        <v>895</v>
      </c>
      <c r="D176" s="1186" t="s">
        <v>1985</v>
      </c>
      <c r="E176" s="1186" t="s">
        <v>1984</v>
      </c>
      <c r="F176" s="1186">
        <v>4</v>
      </c>
      <c r="G176" s="1186">
        <v>2</v>
      </c>
      <c r="H176" s="1186">
        <v>1</v>
      </c>
      <c r="I176" s="1186"/>
      <c r="J176" s="1186">
        <v>1</v>
      </c>
    </row>
    <row r="177" spans="1:10" x14ac:dyDescent="0.2">
      <c r="A177" s="1186" t="s">
        <v>342</v>
      </c>
      <c r="B177" s="1186" t="s">
        <v>13</v>
      </c>
      <c r="C177" s="1186" t="s">
        <v>896</v>
      </c>
      <c r="D177" s="1186" t="s">
        <v>1985</v>
      </c>
      <c r="E177" s="1186" t="s">
        <v>1986</v>
      </c>
      <c r="F177" s="1186">
        <v>4</v>
      </c>
      <c r="G177" s="1186">
        <v>4</v>
      </c>
      <c r="H177" s="1186"/>
      <c r="I177" s="1186"/>
      <c r="J177" s="1186"/>
    </row>
    <row r="178" spans="1:10" x14ac:dyDescent="0.2">
      <c r="A178" s="1186" t="s">
        <v>342</v>
      </c>
      <c r="B178" s="1186" t="s">
        <v>13</v>
      </c>
      <c r="C178" s="1186" t="s">
        <v>897</v>
      </c>
      <c r="D178" s="1186" t="s">
        <v>1985</v>
      </c>
      <c r="E178" s="1186" t="s">
        <v>1986</v>
      </c>
      <c r="F178" s="1186">
        <v>7</v>
      </c>
      <c r="G178" s="1186">
        <v>6</v>
      </c>
      <c r="H178" s="1186">
        <v>1</v>
      </c>
      <c r="I178" s="1186"/>
      <c r="J178" s="1186"/>
    </row>
    <row r="179" spans="1:10" x14ac:dyDescent="0.2">
      <c r="A179" s="1186" t="s">
        <v>342</v>
      </c>
      <c r="B179" s="1186" t="s">
        <v>13</v>
      </c>
      <c r="C179" s="1186" t="s">
        <v>13</v>
      </c>
      <c r="D179" s="1186" t="s">
        <v>1987</v>
      </c>
      <c r="E179" s="1186" t="s">
        <v>1986</v>
      </c>
      <c r="F179" s="1186">
        <v>4</v>
      </c>
      <c r="G179" s="1186">
        <v>4</v>
      </c>
      <c r="H179" s="1186"/>
      <c r="I179" s="1186"/>
      <c r="J179" s="1186"/>
    </row>
    <row r="180" spans="1:10" x14ac:dyDescent="0.2">
      <c r="A180" s="1186" t="s">
        <v>342</v>
      </c>
      <c r="B180" s="1186" t="s">
        <v>13</v>
      </c>
      <c r="C180" s="1186" t="s">
        <v>898</v>
      </c>
      <c r="D180" s="1186" t="s">
        <v>1987</v>
      </c>
      <c r="E180" s="1186" t="s">
        <v>1988</v>
      </c>
      <c r="F180" s="1186">
        <v>4</v>
      </c>
      <c r="G180" s="1186">
        <v>4</v>
      </c>
      <c r="H180" s="1186"/>
      <c r="I180" s="1186"/>
      <c r="J180" s="1186"/>
    </row>
    <row r="181" spans="1:10" x14ac:dyDescent="0.2">
      <c r="A181" s="1186" t="s">
        <v>342</v>
      </c>
      <c r="B181" s="1186" t="s">
        <v>13</v>
      </c>
      <c r="C181" s="1186" t="s">
        <v>899</v>
      </c>
      <c r="D181" s="1186" t="s">
        <v>1987</v>
      </c>
      <c r="E181" s="1186" t="s">
        <v>1988</v>
      </c>
      <c r="F181" s="1186">
        <v>3</v>
      </c>
      <c r="G181" s="1186">
        <v>3</v>
      </c>
      <c r="H181" s="1186"/>
      <c r="I181" s="1186"/>
      <c r="J181" s="1186"/>
    </row>
    <row r="182" spans="1:10" x14ac:dyDescent="0.2">
      <c r="A182" s="1186" t="s">
        <v>342</v>
      </c>
      <c r="B182" s="1186" t="s">
        <v>13</v>
      </c>
      <c r="C182" s="1186" t="s">
        <v>900</v>
      </c>
      <c r="D182" s="1186" t="s">
        <v>1981</v>
      </c>
      <c r="E182" s="1186" t="s">
        <v>1988</v>
      </c>
      <c r="F182" s="1186">
        <v>8</v>
      </c>
      <c r="G182" s="1186">
        <v>7</v>
      </c>
      <c r="H182" s="1186"/>
      <c r="I182" s="1186">
        <v>1</v>
      </c>
      <c r="J182" s="1186"/>
    </row>
    <row r="183" spans="1:10" x14ac:dyDescent="0.2">
      <c r="A183" s="1186" t="s">
        <v>342</v>
      </c>
      <c r="B183" s="1186" t="s">
        <v>15</v>
      </c>
      <c r="C183" s="1186" t="s">
        <v>901</v>
      </c>
      <c r="D183" s="1186" t="s">
        <v>1981</v>
      </c>
      <c r="E183" s="1186" t="s">
        <v>1982</v>
      </c>
      <c r="F183" s="1186">
        <v>3</v>
      </c>
      <c r="G183" s="1186">
        <v>3</v>
      </c>
      <c r="H183" s="1186"/>
      <c r="I183" s="1186"/>
      <c r="J183" s="1186"/>
    </row>
    <row r="184" spans="1:10" x14ac:dyDescent="0.2">
      <c r="A184" s="1186" t="s">
        <v>342</v>
      </c>
      <c r="B184" s="1186" t="s">
        <v>15</v>
      </c>
      <c r="C184" s="1186" t="s">
        <v>902</v>
      </c>
      <c r="D184" s="1186" t="s">
        <v>1981</v>
      </c>
      <c r="E184" s="1186" t="s">
        <v>1982</v>
      </c>
      <c r="F184" s="1186">
        <v>4</v>
      </c>
      <c r="G184" s="1186">
        <v>3</v>
      </c>
      <c r="H184" s="1186"/>
      <c r="I184" s="1186">
        <v>1</v>
      </c>
      <c r="J184" s="1186"/>
    </row>
    <row r="185" spans="1:10" x14ac:dyDescent="0.2">
      <c r="A185" s="1186" t="s">
        <v>342</v>
      </c>
      <c r="B185" s="1186" t="s">
        <v>15</v>
      </c>
      <c r="C185" s="1186" t="s">
        <v>903</v>
      </c>
      <c r="D185" s="1186" t="s">
        <v>1983</v>
      </c>
      <c r="E185" s="1186" t="s">
        <v>1982</v>
      </c>
      <c r="F185" s="1186">
        <v>5</v>
      </c>
      <c r="G185" s="1186">
        <v>5</v>
      </c>
      <c r="H185" s="1186"/>
      <c r="I185" s="1186"/>
      <c r="J185" s="1186"/>
    </row>
    <row r="186" spans="1:10" x14ac:dyDescent="0.2">
      <c r="A186" s="1186" t="s">
        <v>342</v>
      </c>
      <c r="B186" s="1186" t="s">
        <v>15</v>
      </c>
      <c r="C186" s="1186" t="s">
        <v>904</v>
      </c>
      <c r="D186" s="1186" t="s">
        <v>1983</v>
      </c>
      <c r="E186" s="1186" t="s">
        <v>1984</v>
      </c>
      <c r="F186" s="1186">
        <v>1</v>
      </c>
      <c r="G186" s="1186"/>
      <c r="H186" s="1186"/>
      <c r="I186" s="1186"/>
      <c r="J186" s="1186">
        <v>1</v>
      </c>
    </row>
    <row r="187" spans="1:10" x14ac:dyDescent="0.2">
      <c r="A187" s="1186" t="s">
        <v>342</v>
      </c>
      <c r="B187" s="1186" t="s">
        <v>15</v>
      </c>
      <c r="C187" s="1186" t="s">
        <v>905</v>
      </c>
      <c r="D187" s="1186" t="s">
        <v>1983</v>
      </c>
      <c r="E187" s="1186" t="s">
        <v>1984</v>
      </c>
      <c r="F187" s="1186">
        <v>4</v>
      </c>
      <c r="G187" s="1186">
        <v>4</v>
      </c>
      <c r="H187" s="1186"/>
      <c r="I187" s="1186"/>
      <c r="J187" s="1186"/>
    </row>
    <row r="188" spans="1:10" x14ac:dyDescent="0.2">
      <c r="A188" s="1186" t="s">
        <v>342</v>
      </c>
      <c r="B188" s="1186" t="s">
        <v>15</v>
      </c>
      <c r="C188" s="1186" t="s">
        <v>906</v>
      </c>
      <c r="D188" s="1186" t="s">
        <v>1985</v>
      </c>
      <c r="E188" s="1186" t="s">
        <v>1984</v>
      </c>
      <c r="F188" s="1186">
        <v>3</v>
      </c>
      <c r="G188" s="1186">
        <v>2</v>
      </c>
      <c r="H188" s="1186"/>
      <c r="I188" s="1186"/>
      <c r="J188" s="1186">
        <v>1</v>
      </c>
    </row>
    <row r="189" spans="1:10" x14ac:dyDescent="0.2">
      <c r="A189" s="1186" t="s">
        <v>342</v>
      </c>
      <c r="B189" s="1186" t="s">
        <v>15</v>
      </c>
      <c r="C189" s="1186" t="s">
        <v>907</v>
      </c>
      <c r="D189" s="1186" t="s">
        <v>1985</v>
      </c>
      <c r="E189" s="1186" t="s">
        <v>1986</v>
      </c>
      <c r="F189" s="1186">
        <v>5</v>
      </c>
      <c r="G189" s="1186">
        <v>4</v>
      </c>
      <c r="H189" s="1186"/>
      <c r="I189" s="1186">
        <v>1</v>
      </c>
      <c r="J189" s="1186"/>
    </row>
    <row r="190" spans="1:10" x14ac:dyDescent="0.2">
      <c r="A190" s="1186" t="s">
        <v>342</v>
      </c>
      <c r="B190" s="1186" t="s">
        <v>15</v>
      </c>
      <c r="C190" s="1186" t="s">
        <v>908</v>
      </c>
      <c r="D190" s="1186" t="s">
        <v>1985</v>
      </c>
      <c r="E190" s="1186" t="s">
        <v>1986</v>
      </c>
      <c r="F190" s="1186">
        <v>1</v>
      </c>
      <c r="G190" s="1186">
        <v>1</v>
      </c>
      <c r="H190" s="1186"/>
      <c r="I190" s="1186"/>
      <c r="J190" s="1186"/>
    </row>
    <row r="191" spans="1:10" x14ac:dyDescent="0.2">
      <c r="A191" s="1186" t="s">
        <v>342</v>
      </c>
      <c r="B191" s="1186" t="s">
        <v>15</v>
      </c>
      <c r="C191" s="1186" t="s">
        <v>909</v>
      </c>
      <c r="D191" s="1186" t="s">
        <v>1987</v>
      </c>
      <c r="E191" s="1186" t="s">
        <v>1986</v>
      </c>
      <c r="F191" s="1186">
        <v>6</v>
      </c>
      <c r="G191" s="1186">
        <v>6</v>
      </c>
      <c r="H191" s="1186"/>
      <c r="I191" s="1186"/>
      <c r="J191" s="1186"/>
    </row>
    <row r="192" spans="1:10" x14ac:dyDescent="0.2">
      <c r="A192" s="1186" t="s">
        <v>342</v>
      </c>
      <c r="B192" s="1186" t="s">
        <v>15</v>
      </c>
      <c r="C192" s="1186" t="s">
        <v>910</v>
      </c>
      <c r="D192" s="1186" t="s">
        <v>1987</v>
      </c>
      <c r="E192" s="1186" t="s">
        <v>1988</v>
      </c>
      <c r="F192" s="1186">
        <v>2</v>
      </c>
      <c r="G192" s="1186">
        <v>2</v>
      </c>
      <c r="H192" s="1186"/>
      <c r="I192" s="1186"/>
      <c r="J192" s="1186"/>
    </row>
    <row r="193" spans="1:10" x14ac:dyDescent="0.2">
      <c r="A193" s="1186" t="s">
        <v>342</v>
      </c>
      <c r="B193" s="1186" t="s">
        <v>15</v>
      </c>
      <c r="C193" s="1186" t="s">
        <v>911</v>
      </c>
      <c r="D193" s="1186" t="s">
        <v>1987</v>
      </c>
      <c r="E193" s="1186" t="s">
        <v>1988</v>
      </c>
      <c r="F193" s="1186">
        <v>6</v>
      </c>
      <c r="G193" s="1186">
        <v>4</v>
      </c>
      <c r="H193" s="1186">
        <v>2</v>
      </c>
      <c r="I193" s="1186"/>
      <c r="J193" s="1186"/>
    </row>
    <row r="194" spans="1:10" x14ac:dyDescent="0.2">
      <c r="A194" s="1186" t="s">
        <v>342</v>
      </c>
      <c r="B194" s="1186" t="s">
        <v>15</v>
      </c>
      <c r="C194" s="1186" t="s">
        <v>912</v>
      </c>
      <c r="D194" s="1186" t="s">
        <v>1981</v>
      </c>
      <c r="E194" s="1186" t="s">
        <v>1988</v>
      </c>
      <c r="F194" s="1186">
        <v>6</v>
      </c>
      <c r="G194" s="1186">
        <v>6</v>
      </c>
      <c r="H194" s="1186"/>
      <c r="I194" s="1186"/>
      <c r="J194" s="1186"/>
    </row>
    <row r="195" spans="1:10" x14ac:dyDescent="0.2">
      <c r="A195" s="1186" t="s">
        <v>342</v>
      </c>
      <c r="B195" s="1186" t="s">
        <v>17</v>
      </c>
      <c r="C195" s="1186" t="s">
        <v>913</v>
      </c>
      <c r="D195" s="1186" t="s">
        <v>1981</v>
      </c>
      <c r="E195" s="1186" t="s">
        <v>1982</v>
      </c>
      <c r="F195" s="1186">
        <v>2</v>
      </c>
      <c r="G195" s="1186">
        <v>2</v>
      </c>
      <c r="H195" s="1186"/>
      <c r="I195" s="1186"/>
      <c r="J195" s="1186"/>
    </row>
    <row r="196" spans="1:10" x14ac:dyDescent="0.2">
      <c r="A196" s="1186" t="s">
        <v>342</v>
      </c>
      <c r="B196" s="1186" t="s">
        <v>17</v>
      </c>
      <c r="C196" s="1186" t="s">
        <v>914</v>
      </c>
      <c r="D196" s="1186" t="s">
        <v>1981</v>
      </c>
      <c r="E196" s="1186" t="s">
        <v>1982</v>
      </c>
      <c r="F196" s="1186">
        <v>4</v>
      </c>
      <c r="G196" s="1186">
        <v>4</v>
      </c>
      <c r="H196" s="1186"/>
      <c r="I196" s="1186"/>
      <c r="J196" s="1186"/>
    </row>
    <row r="197" spans="1:10" x14ac:dyDescent="0.2">
      <c r="A197" s="1186" t="s">
        <v>342</v>
      </c>
      <c r="B197" s="1186" t="s">
        <v>17</v>
      </c>
      <c r="C197" s="1186" t="s">
        <v>915</v>
      </c>
      <c r="D197" s="1186" t="s">
        <v>1983</v>
      </c>
      <c r="E197" s="1186" t="s">
        <v>1982</v>
      </c>
      <c r="F197" s="1186">
        <v>2</v>
      </c>
      <c r="G197" s="1186">
        <v>2</v>
      </c>
      <c r="H197" s="1186"/>
      <c r="I197" s="1186"/>
      <c r="J197" s="1186"/>
    </row>
    <row r="198" spans="1:10" x14ac:dyDescent="0.2">
      <c r="A198" s="1186" t="s">
        <v>342</v>
      </c>
      <c r="B198" s="1186" t="s">
        <v>17</v>
      </c>
      <c r="C198" s="1186" t="s">
        <v>916</v>
      </c>
      <c r="D198" s="1186" t="s">
        <v>1983</v>
      </c>
      <c r="E198" s="1186" t="s">
        <v>1984</v>
      </c>
      <c r="F198" s="1186">
        <v>4</v>
      </c>
      <c r="G198" s="1186">
        <v>3</v>
      </c>
      <c r="H198" s="1186"/>
      <c r="I198" s="1186">
        <v>1</v>
      </c>
      <c r="J198" s="1186"/>
    </row>
    <row r="199" spans="1:10" x14ac:dyDescent="0.2">
      <c r="A199" s="1186" t="s">
        <v>342</v>
      </c>
      <c r="B199" s="1186" t="s">
        <v>17</v>
      </c>
      <c r="C199" s="1186" t="s">
        <v>917</v>
      </c>
      <c r="D199" s="1186" t="s">
        <v>1983</v>
      </c>
      <c r="E199" s="1186" t="s">
        <v>1984</v>
      </c>
      <c r="F199" s="1186">
        <v>4</v>
      </c>
      <c r="G199" s="1186">
        <v>4</v>
      </c>
      <c r="H199" s="1186"/>
      <c r="I199" s="1186"/>
      <c r="J199" s="1186"/>
    </row>
    <row r="200" spans="1:10" x14ac:dyDescent="0.2">
      <c r="A200" s="1186" t="s">
        <v>342</v>
      </c>
      <c r="B200" s="1186" t="s">
        <v>17</v>
      </c>
      <c r="C200" s="1186" t="s">
        <v>918</v>
      </c>
      <c r="D200" s="1186" t="s">
        <v>1985</v>
      </c>
      <c r="E200" s="1186" t="s">
        <v>1984</v>
      </c>
      <c r="F200" s="1186">
        <v>3</v>
      </c>
      <c r="G200" s="1186">
        <v>3</v>
      </c>
      <c r="H200" s="1186"/>
      <c r="I200" s="1186"/>
      <c r="J200" s="1186"/>
    </row>
    <row r="201" spans="1:10" x14ac:dyDescent="0.2">
      <c r="A201" s="1186" t="s">
        <v>342</v>
      </c>
      <c r="B201" s="1186" t="s">
        <v>17</v>
      </c>
      <c r="C201" s="1186" t="s">
        <v>919</v>
      </c>
      <c r="D201" s="1186" t="s">
        <v>1985</v>
      </c>
      <c r="E201" s="1186" t="s">
        <v>1986</v>
      </c>
      <c r="F201" s="1186">
        <v>2</v>
      </c>
      <c r="G201" s="1186">
        <v>1</v>
      </c>
      <c r="H201" s="1186">
        <v>1</v>
      </c>
      <c r="I201" s="1186"/>
      <c r="J201" s="1186"/>
    </row>
    <row r="202" spans="1:10" x14ac:dyDescent="0.2">
      <c r="A202" s="1186" t="s">
        <v>342</v>
      </c>
      <c r="B202" s="1186" t="s">
        <v>17</v>
      </c>
      <c r="C202" s="1186" t="s">
        <v>920</v>
      </c>
      <c r="D202" s="1186" t="s">
        <v>1985</v>
      </c>
      <c r="E202" s="1186" t="s">
        <v>1986</v>
      </c>
      <c r="F202" s="1186">
        <v>4</v>
      </c>
      <c r="G202" s="1186">
        <v>4</v>
      </c>
      <c r="H202" s="1186"/>
      <c r="I202" s="1186"/>
      <c r="J202" s="1186"/>
    </row>
    <row r="203" spans="1:10" x14ac:dyDescent="0.2">
      <c r="A203" s="1186" t="s">
        <v>342</v>
      </c>
      <c r="B203" s="1186" t="s">
        <v>17</v>
      </c>
      <c r="C203" s="1186" t="s">
        <v>921</v>
      </c>
      <c r="D203" s="1186" t="s">
        <v>1987</v>
      </c>
      <c r="E203" s="1186" t="s">
        <v>1986</v>
      </c>
      <c r="F203" s="1186">
        <v>3</v>
      </c>
      <c r="G203" s="1186">
        <v>3</v>
      </c>
      <c r="H203" s="1186"/>
      <c r="I203" s="1186"/>
      <c r="J203" s="1186"/>
    </row>
    <row r="204" spans="1:10" x14ac:dyDescent="0.2">
      <c r="A204" s="1186" t="s">
        <v>342</v>
      </c>
      <c r="B204" s="1186" t="s">
        <v>17</v>
      </c>
      <c r="C204" s="1186" t="s">
        <v>922</v>
      </c>
      <c r="D204" s="1186" t="s">
        <v>1987</v>
      </c>
      <c r="E204" s="1186" t="s">
        <v>1988</v>
      </c>
      <c r="F204" s="1186">
        <v>1</v>
      </c>
      <c r="G204" s="1186">
        <v>1</v>
      </c>
      <c r="H204" s="1186"/>
      <c r="I204" s="1186"/>
      <c r="J204" s="1186"/>
    </row>
    <row r="205" spans="1:10" x14ac:dyDescent="0.2">
      <c r="A205" s="1186" t="s">
        <v>342</v>
      </c>
      <c r="B205" s="1186" t="s">
        <v>17</v>
      </c>
      <c r="C205" s="1186" t="s">
        <v>924</v>
      </c>
      <c r="D205" s="1186" t="s">
        <v>1981</v>
      </c>
      <c r="E205" s="1186" t="s">
        <v>1988</v>
      </c>
      <c r="F205" s="1186">
        <v>2</v>
      </c>
      <c r="G205" s="1186">
        <v>2</v>
      </c>
      <c r="H205" s="1186"/>
      <c r="I205" s="1186"/>
      <c r="J205" s="1186"/>
    </row>
    <row r="206" spans="1:10" x14ac:dyDescent="0.2">
      <c r="A206" s="1186" t="s">
        <v>342</v>
      </c>
      <c r="B206" s="1186" t="s">
        <v>133</v>
      </c>
      <c r="C206" s="1186" t="s">
        <v>925</v>
      </c>
      <c r="D206" s="1186" t="s">
        <v>1981</v>
      </c>
      <c r="E206" s="1186" t="s">
        <v>1982</v>
      </c>
      <c r="F206" s="1186">
        <v>2</v>
      </c>
      <c r="G206" s="1186">
        <v>1</v>
      </c>
      <c r="H206" s="1186"/>
      <c r="I206" s="1186"/>
      <c r="J206" s="1186">
        <v>1</v>
      </c>
    </row>
    <row r="207" spans="1:10" x14ac:dyDescent="0.2">
      <c r="A207" s="1186" t="s">
        <v>342</v>
      </c>
      <c r="B207" s="1186" t="s">
        <v>133</v>
      </c>
      <c r="C207" s="1186" t="s">
        <v>926</v>
      </c>
      <c r="D207" s="1186" t="s">
        <v>1981</v>
      </c>
      <c r="E207" s="1186" t="s">
        <v>1982</v>
      </c>
      <c r="F207" s="1186">
        <v>4</v>
      </c>
      <c r="G207" s="1186">
        <v>4</v>
      </c>
      <c r="H207" s="1186"/>
      <c r="I207" s="1186"/>
      <c r="J207" s="1186"/>
    </row>
    <row r="208" spans="1:10" x14ac:dyDescent="0.2">
      <c r="A208" s="1186" t="s">
        <v>342</v>
      </c>
      <c r="B208" s="1186" t="s">
        <v>133</v>
      </c>
      <c r="C208" s="1186" t="s">
        <v>927</v>
      </c>
      <c r="D208" s="1186" t="s">
        <v>1983</v>
      </c>
      <c r="E208" s="1186" t="s">
        <v>1982</v>
      </c>
      <c r="F208" s="1186">
        <v>2</v>
      </c>
      <c r="G208" s="1186">
        <v>1</v>
      </c>
      <c r="H208" s="1186"/>
      <c r="I208" s="1186">
        <v>1</v>
      </c>
      <c r="J208" s="1186"/>
    </row>
    <row r="209" spans="1:10" x14ac:dyDescent="0.2">
      <c r="A209" s="1186" t="s">
        <v>342</v>
      </c>
      <c r="B209" s="1186" t="s">
        <v>133</v>
      </c>
      <c r="C209" s="1186" t="s">
        <v>928</v>
      </c>
      <c r="D209" s="1186" t="s">
        <v>1983</v>
      </c>
      <c r="E209" s="1186" t="s">
        <v>1984</v>
      </c>
      <c r="F209" s="1186">
        <v>4</v>
      </c>
      <c r="G209" s="1186">
        <v>2</v>
      </c>
      <c r="H209" s="1186"/>
      <c r="I209" s="1186"/>
      <c r="J209" s="1186">
        <v>2</v>
      </c>
    </row>
    <row r="210" spans="1:10" x14ac:dyDescent="0.2">
      <c r="A210" s="1186" t="s">
        <v>342</v>
      </c>
      <c r="B210" s="1186" t="s">
        <v>133</v>
      </c>
      <c r="C210" s="1186" t="s">
        <v>929</v>
      </c>
      <c r="D210" s="1186" t="s">
        <v>1983</v>
      </c>
      <c r="E210" s="1186" t="s">
        <v>1984</v>
      </c>
      <c r="F210" s="1186">
        <v>2</v>
      </c>
      <c r="G210" s="1186">
        <v>1</v>
      </c>
      <c r="H210" s="1186"/>
      <c r="I210" s="1186"/>
      <c r="J210" s="1186">
        <v>1</v>
      </c>
    </row>
    <row r="211" spans="1:10" x14ac:dyDescent="0.2">
      <c r="A211" s="1186" t="s">
        <v>342</v>
      </c>
      <c r="B211" s="1186" t="s">
        <v>133</v>
      </c>
      <c r="C211" s="1186" t="s">
        <v>930</v>
      </c>
      <c r="D211" s="1186" t="s">
        <v>1985</v>
      </c>
      <c r="E211" s="1186" t="s">
        <v>1984</v>
      </c>
      <c r="F211" s="1186">
        <v>2</v>
      </c>
      <c r="G211" s="1186">
        <v>2</v>
      </c>
      <c r="H211" s="1186"/>
      <c r="I211" s="1186"/>
      <c r="J211" s="1186"/>
    </row>
    <row r="212" spans="1:10" x14ac:dyDescent="0.2">
      <c r="A212" s="1186" t="s">
        <v>342</v>
      </c>
      <c r="B212" s="1186" t="s">
        <v>133</v>
      </c>
      <c r="C212" s="1186" t="s">
        <v>932</v>
      </c>
      <c r="D212" s="1186" t="s">
        <v>1985</v>
      </c>
      <c r="E212" s="1186" t="s">
        <v>1986</v>
      </c>
      <c r="F212" s="1186">
        <v>5</v>
      </c>
      <c r="G212" s="1186">
        <v>5</v>
      </c>
      <c r="H212" s="1186"/>
      <c r="I212" s="1186"/>
      <c r="J212" s="1186"/>
    </row>
    <row r="213" spans="1:10" x14ac:dyDescent="0.2">
      <c r="A213" s="1186" t="s">
        <v>342</v>
      </c>
      <c r="B213" s="1186" t="s">
        <v>133</v>
      </c>
      <c r="C213" s="1186" t="s">
        <v>933</v>
      </c>
      <c r="D213" s="1186" t="s">
        <v>1987</v>
      </c>
      <c r="E213" s="1186" t="s">
        <v>1986</v>
      </c>
      <c r="F213" s="1186">
        <v>2</v>
      </c>
      <c r="G213" s="1186">
        <v>2</v>
      </c>
      <c r="H213" s="1186"/>
      <c r="I213" s="1186"/>
      <c r="J213" s="1186"/>
    </row>
    <row r="214" spans="1:10" x14ac:dyDescent="0.2">
      <c r="A214" s="1186" t="s">
        <v>342</v>
      </c>
      <c r="B214" s="1186" t="s">
        <v>133</v>
      </c>
      <c r="C214" s="1186" t="s">
        <v>934</v>
      </c>
      <c r="D214" s="1186" t="s">
        <v>1987</v>
      </c>
      <c r="E214" s="1186" t="s">
        <v>1988</v>
      </c>
      <c r="F214" s="1186">
        <v>6</v>
      </c>
      <c r="G214" s="1186">
        <v>5</v>
      </c>
      <c r="H214" s="1186">
        <v>1</v>
      </c>
      <c r="I214" s="1186"/>
      <c r="J214" s="1186"/>
    </row>
    <row r="215" spans="1:10" x14ac:dyDescent="0.2">
      <c r="A215" s="1186" t="s">
        <v>342</v>
      </c>
      <c r="B215" s="1186" t="s">
        <v>133</v>
      </c>
      <c r="C215" s="1186" t="s">
        <v>935</v>
      </c>
      <c r="D215" s="1186" t="s">
        <v>1987</v>
      </c>
      <c r="E215" s="1186" t="s">
        <v>1988</v>
      </c>
      <c r="F215" s="1186">
        <v>5</v>
      </c>
      <c r="G215" s="1186">
        <v>3</v>
      </c>
      <c r="H215" s="1186">
        <v>2</v>
      </c>
      <c r="I215" s="1186"/>
      <c r="J215" s="1186"/>
    </row>
    <row r="216" spans="1:10" x14ac:dyDescent="0.2">
      <c r="A216" s="1186" t="s">
        <v>342</v>
      </c>
      <c r="B216" s="1186" t="s">
        <v>133</v>
      </c>
      <c r="C216" s="1186" t="s">
        <v>936</v>
      </c>
      <c r="D216" s="1186" t="s">
        <v>1981</v>
      </c>
      <c r="E216" s="1186" t="s">
        <v>1988</v>
      </c>
      <c r="F216" s="1186">
        <v>6</v>
      </c>
      <c r="G216" s="1186">
        <v>5</v>
      </c>
      <c r="H216" s="1186"/>
      <c r="I216" s="1186"/>
      <c r="J216" s="1186">
        <v>1</v>
      </c>
    </row>
    <row r="217" spans="1:10" x14ac:dyDescent="0.2">
      <c r="A217" s="1186" t="s">
        <v>342</v>
      </c>
      <c r="B217" s="1186" t="s">
        <v>144</v>
      </c>
      <c r="C217" s="1186" t="s">
        <v>937</v>
      </c>
      <c r="D217" s="1186" t="s">
        <v>1981</v>
      </c>
      <c r="E217" s="1186" t="s">
        <v>1982</v>
      </c>
      <c r="F217" s="1186">
        <v>5</v>
      </c>
      <c r="G217" s="1186">
        <v>5</v>
      </c>
      <c r="H217" s="1186"/>
      <c r="I217" s="1186"/>
      <c r="J217" s="1186"/>
    </row>
    <row r="218" spans="1:10" x14ac:dyDescent="0.2">
      <c r="A218" s="1186" t="s">
        <v>342</v>
      </c>
      <c r="B218" s="1186" t="s">
        <v>144</v>
      </c>
      <c r="C218" s="1186" t="s">
        <v>938</v>
      </c>
      <c r="D218" s="1186" t="s">
        <v>1981</v>
      </c>
      <c r="E218" s="1186" t="s">
        <v>1982</v>
      </c>
      <c r="F218" s="1186">
        <v>5</v>
      </c>
      <c r="G218" s="1186">
        <v>4</v>
      </c>
      <c r="H218" s="1186"/>
      <c r="I218" s="1186">
        <v>1</v>
      </c>
      <c r="J218" s="1186"/>
    </row>
    <row r="219" spans="1:10" x14ac:dyDescent="0.2">
      <c r="A219" s="1186" t="s">
        <v>342</v>
      </c>
      <c r="B219" s="1186" t="s">
        <v>144</v>
      </c>
      <c r="C219" s="1186" t="s">
        <v>939</v>
      </c>
      <c r="D219" s="1186" t="s">
        <v>1983</v>
      </c>
      <c r="E219" s="1186" t="s">
        <v>1982</v>
      </c>
      <c r="F219" s="1186">
        <v>3</v>
      </c>
      <c r="G219" s="1186">
        <v>3</v>
      </c>
      <c r="H219" s="1186"/>
      <c r="I219" s="1186"/>
      <c r="J219" s="1186"/>
    </row>
    <row r="220" spans="1:10" x14ac:dyDescent="0.2">
      <c r="A220" s="1186" t="s">
        <v>342</v>
      </c>
      <c r="B220" s="1186" t="s">
        <v>144</v>
      </c>
      <c r="C220" s="1186" t="s">
        <v>940</v>
      </c>
      <c r="D220" s="1186" t="s">
        <v>1983</v>
      </c>
      <c r="E220" s="1186" t="s">
        <v>1984</v>
      </c>
      <c r="F220" s="1186">
        <v>2</v>
      </c>
      <c r="G220" s="1186">
        <v>2</v>
      </c>
      <c r="H220" s="1186"/>
      <c r="I220" s="1186"/>
      <c r="J220" s="1186"/>
    </row>
    <row r="221" spans="1:10" x14ac:dyDescent="0.2">
      <c r="A221" s="1186" t="s">
        <v>342</v>
      </c>
      <c r="B221" s="1186" t="s">
        <v>144</v>
      </c>
      <c r="C221" s="1186" t="s">
        <v>941</v>
      </c>
      <c r="D221" s="1186" t="s">
        <v>1983</v>
      </c>
      <c r="E221" s="1186" t="s">
        <v>1984</v>
      </c>
      <c r="F221" s="1186">
        <v>3</v>
      </c>
      <c r="G221" s="1186">
        <v>2</v>
      </c>
      <c r="H221" s="1186"/>
      <c r="I221" s="1186">
        <v>1</v>
      </c>
      <c r="J221" s="1186"/>
    </row>
    <row r="222" spans="1:10" x14ac:dyDescent="0.2">
      <c r="A222" s="1186" t="s">
        <v>342</v>
      </c>
      <c r="B222" s="1186" t="s">
        <v>144</v>
      </c>
      <c r="C222" s="1186" t="s">
        <v>942</v>
      </c>
      <c r="D222" s="1186" t="s">
        <v>1985</v>
      </c>
      <c r="E222" s="1186" t="s">
        <v>1984</v>
      </c>
      <c r="F222" s="1186">
        <v>3</v>
      </c>
      <c r="G222" s="1186">
        <v>2</v>
      </c>
      <c r="H222" s="1186">
        <v>1</v>
      </c>
      <c r="I222" s="1186"/>
      <c r="J222" s="1186"/>
    </row>
    <row r="223" spans="1:10" x14ac:dyDescent="0.2">
      <c r="A223" s="1186" t="s">
        <v>342</v>
      </c>
      <c r="B223" s="1186" t="s">
        <v>144</v>
      </c>
      <c r="C223" s="1186" t="s">
        <v>943</v>
      </c>
      <c r="D223" s="1186" t="s">
        <v>1985</v>
      </c>
      <c r="E223" s="1186" t="s">
        <v>1986</v>
      </c>
      <c r="F223" s="1186">
        <v>2</v>
      </c>
      <c r="G223" s="1186">
        <v>1</v>
      </c>
      <c r="H223" s="1186">
        <v>1</v>
      </c>
      <c r="I223" s="1186"/>
      <c r="J223" s="1186"/>
    </row>
    <row r="224" spans="1:10" x14ac:dyDescent="0.2">
      <c r="A224" s="1186" t="s">
        <v>342</v>
      </c>
      <c r="B224" s="1186" t="s">
        <v>144</v>
      </c>
      <c r="C224" s="1186" t="s">
        <v>944</v>
      </c>
      <c r="D224" s="1186" t="s">
        <v>1985</v>
      </c>
      <c r="E224" s="1186" t="s">
        <v>1986</v>
      </c>
      <c r="F224" s="1186">
        <v>2</v>
      </c>
      <c r="G224" s="1186">
        <v>2</v>
      </c>
      <c r="H224" s="1186"/>
      <c r="I224" s="1186"/>
      <c r="J224" s="1186"/>
    </row>
    <row r="225" spans="1:10" x14ac:dyDescent="0.2">
      <c r="A225" s="1186" t="s">
        <v>342</v>
      </c>
      <c r="B225" s="1186" t="s">
        <v>144</v>
      </c>
      <c r="C225" s="1186" t="s">
        <v>945</v>
      </c>
      <c r="D225" s="1186" t="s">
        <v>1987</v>
      </c>
      <c r="E225" s="1186" t="s">
        <v>1986</v>
      </c>
      <c r="F225" s="1186">
        <v>6</v>
      </c>
      <c r="G225" s="1186">
        <v>5</v>
      </c>
      <c r="H225" s="1186"/>
      <c r="I225" s="1186">
        <v>1</v>
      </c>
      <c r="J225" s="1186"/>
    </row>
    <row r="226" spans="1:10" x14ac:dyDescent="0.2">
      <c r="A226" s="1186" t="s">
        <v>342</v>
      </c>
      <c r="B226" s="1186" t="s">
        <v>144</v>
      </c>
      <c r="C226" s="1186" t="s">
        <v>946</v>
      </c>
      <c r="D226" s="1186" t="s">
        <v>1987</v>
      </c>
      <c r="E226" s="1186" t="s">
        <v>1988</v>
      </c>
      <c r="F226" s="1186">
        <v>4</v>
      </c>
      <c r="G226" s="1186">
        <v>4</v>
      </c>
      <c r="H226" s="1186"/>
      <c r="I226" s="1186"/>
      <c r="J226" s="1186"/>
    </row>
    <row r="227" spans="1:10" x14ac:dyDescent="0.2">
      <c r="A227" s="1186" t="s">
        <v>342</v>
      </c>
      <c r="B227" s="1186" t="s">
        <v>144</v>
      </c>
      <c r="C227" s="1186" t="s">
        <v>947</v>
      </c>
      <c r="D227" s="1186" t="s">
        <v>1987</v>
      </c>
      <c r="E227" s="1186" t="s">
        <v>1988</v>
      </c>
      <c r="F227" s="1186">
        <v>4</v>
      </c>
      <c r="G227" s="1186">
        <v>4</v>
      </c>
      <c r="H227" s="1186"/>
      <c r="I227" s="1186"/>
      <c r="J227" s="1186"/>
    </row>
    <row r="228" spans="1:10" x14ac:dyDescent="0.2">
      <c r="A228" s="1186" t="s">
        <v>342</v>
      </c>
      <c r="B228" s="1186" t="s">
        <v>144</v>
      </c>
      <c r="C228" s="1186" t="s">
        <v>948</v>
      </c>
      <c r="D228" s="1186" t="s">
        <v>1981</v>
      </c>
      <c r="E228" s="1186" t="s">
        <v>1988</v>
      </c>
      <c r="F228" s="1186">
        <v>6</v>
      </c>
      <c r="G228" s="1186">
        <v>5</v>
      </c>
      <c r="H228" s="1186">
        <v>1</v>
      </c>
      <c r="I228" s="1186"/>
      <c r="J228" s="1186"/>
    </row>
    <row r="229" spans="1:10" x14ac:dyDescent="0.2">
      <c r="A229" s="1186" t="s">
        <v>342</v>
      </c>
      <c r="B229" s="1186" t="s">
        <v>282</v>
      </c>
      <c r="C229" s="1186" t="s">
        <v>949</v>
      </c>
      <c r="D229" s="1186" t="s">
        <v>1981</v>
      </c>
      <c r="E229" s="1186" t="s">
        <v>1982</v>
      </c>
      <c r="F229" s="1186">
        <v>2</v>
      </c>
      <c r="G229" s="1186">
        <v>1</v>
      </c>
      <c r="H229" s="1186"/>
      <c r="I229" s="1186">
        <v>1</v>
      </c>
      <c r="J229" s="1186"/>
    </row>
    <row r="230" spans="1:10" x14ac:dyDescent="0.2">
      <c r="A230" s="1186" t="s">
        <v>342</v>
      </c>
      <c r="B230" s="1186" t="s">
        <v>282</v>
      </c>
      <c r="C230" s="1186" t="s">
        <v>950</v>
      </c>
      <c r="D230" s="1186" t="s">
        <v>1981</v>
      </c>
      <c r="E230" s="1186" t="s">
        <v>1982</v>
      </c>
      <c r="F230" s="1186">
        <v>2</v>
      </c>
      <c r="G230" s="1186">
        <v>1</v>
      </c>
      <c r="H230" s="1186">
        <v>1</v>
      </c>
      <c r="I230" s="1186"/>
      <c r="J230" s="1186"/>
    </row>
    <row r="231" spans="1:10" x14ac:dyDescent="0.2">
      <c r="A231" s="1186" t="s">
        <v>342</v>
      </c>
      <c r="B231" s="1186" t="s">
        <v>282</v>
      </c>
      <c r="C231" s="1186" t="s">
        <v>951</v>
      </c>
      <c r="D231" s="1186" t="s">
        <v>1983</v>
      </c>
      <c r="E231" s="1186" t="s">
        <v>1982</v>
      </c>
      <c r="F231" s="1186">
        <v>2</v>
      </c>
      <c r="G231" s="1186">
        <v>1</v>
      </c>
      <c r="H231" s="1186">
        <v>1</v>
      </c>
      <c r="I231" s="1186"/>
      <c r="J231" s="1186"/>
    </row>
    <row r="232" spans="1:10" x14ac:dyDescent="0.2">
      <c r="A232" s="1186" t="s">
        <v>342</v>
      </c>
      <c r="B232" s="1186" t="s">
        <v>282</v>
      </c>
      <c r="C232" s="1186" t="s">
        <v>952</v>
      </c>
      <c r="D232" s="1186" t="s">
        <v>1983</v>
      </c>
      <c r="E232" s="1186" t="s">
        <v>1984</v>
      </c>
      <c r="F232" s="1186">
        <v>3</v>
      </c>
      <c r="G232" s="1186">
        <v>3</v>
      </c>
      <c r="H232" s="1186"/>
      <c r="I232" s="1186"/>
      <c r="J232" s="1186"/>
    </row>
    <row r="233" spans="1:10" x14ac:dyDescent="0.2">
      <c r="A233" s="1186" t="s">
        <v>342</v>
      </c>
      <c r="B233" s="1186" t="s">
        <v>282</v>
      </c>
      <c r="C233" s="1186" t="s">
        <v>953</v>
      </c>
      <c r="D233" s="1186" t="s">
        <v>1983</v>
      </c>
      <c r="E233" s="1186" t="s">
        <v>1984</v>
      </c>
      <c r="F233" s="1186">
        <v>4</v>
      </c>
      <c r="G233" s="1186">
        <v>3</v>
      </c>
      <c r="H233" s="1186"/>
      <c r="I233" s="1186">
        <v>1</v>
      </c>
      <c r="J233" s="1186"/>
    </row>
    <row r="234" spans="1:10" x14ac:dyDescent="0.2">
      <c r="A234" s="1186" t="s">
        <v>342</v>
      </c>
      <c r="B234" s="1186" t="s">
        <v>282</v>
      </c>
      <c r="C234" s="1186" t="s">
        <v>954</v>
      </c>
      <c r="D234" s="1186" t="s">
        <v>1985</v>
      </c>
      <c r="E234" s="1186" t="s">
        <v>1984</v>
      </c>
      <c r="F234" s="1186">
        <v>4</v>
      </c>
      <c r="G234" s="1186">
        <v>4</v>
      </c>
      <c r="H234" s="1186"/>
      <c r="I234" s="1186"/>
      <c r="J234" s="1186"/>
    </row>
    <row r="235" spans="1:10" x14ac:dyDescent="0.2">
      <c r="A235" s="1186" t="s">
        <v>342</v>
      </c>
      <c r="B235" s="1186" t="s">
        <v>282</v>
      </c>
      <c r="C235" s="1186" t="s">
        <v>955</v>
      </c>
      <c r="D235" s="1186" t="s">
        <v>1985</v>
      </c>
      <c r="E235" s="1186" t="s">
        <v>1986</v>
      </c>
      <c r="F235" s="1186">
        <v>5</v>
      </c>
      <c r="G235" s="1186">
        <v>3</v>
      </c>
      <c r="H235" s="1186"/>
      <c r="I235" s="1186">
        <v>2</v>
      </c>
      <c r="J235" s="1186"/>
    </row>
    <row r="236" spans="1:10" x14ac:dyDescent="0.2">
      <c r="A236" s="1186" t="s">
        <v>342</v>
      </c>
      <c r="B236" s="1186" t="s">
        <v>282</v>
      </c>
      <c r="C236" s="1186" t="s">
        <v>956</v>
      </c>
      <c r="D236" s="1186" t="s">
        <v>1985</v>
      </c>
      <c r="E236" s="1186" t="s">
        <v>1986</v>
      </c>
      <c r="F236" s="1186">
        <v>2</v>
      </c>
      <c r="G236" s="1186">
        <v>2</v>
      </c>
      <c r="H236" s="1186"/>
      <c r="I236" s="1186"/>
      <c r="J236" s="1186"/>
    </row>
    <row r="237" spans="1:10" x14ac:dyDescent="0.2">
      <c r="A237" s="1186" t="s">
        <v>342</v>
      </c>
      <c r="B237" s="1186" t="s">
        <v>282</v>
      </c>
      <c r="C237" s="1186" t="s">
        <v>957</v>
      </c>
      <c r="D237" s="1186" t="s">
        <v>1987</v>
      </c>
      <c r="E237" s="1186" t="s">
        <v>1986</v>
      </c>
      <c r="F237" s="1186">
        <v>7</v>
      </c>
      <c r="G237" s="1186">
        <v>6</v>
      </c>
      <c r="H237" s="1186"/>
      <c r="I237" s="1186">
        <v>1</v>
      </c>
      <c r="J237" s="1186"/>
    </row>
    <row r="238" spans="1:10" x14ac:dyDescent="0.2">
      <c r="A238" s="1186" t="s">
        <v>342</v>
      </c>
      <c r="B238" s="1186" t="s">
        <v>282</v>
      </c>
      <c r="C238" s="1186" t="s">
        <v>958</v>
      </c>
      <c r="D238" s="1186" t="s">
        <v>1987</v>
      </c>
      <c r="E238" s="1186" t="s">
        <v>1988</v>
      </c>
      <c r="F238" s="1186">
        <v>3</v>
      </c>
      <c r="G238" s="1186">
        <v>3</v>
      </c>
      <c r="H238" s="1186"/>
      <c r="I238" s="1186"/>
      <c r="J238" s="1186"/>
    </row>
    <row r="239" spans="1:10" x14ac:dyDescent="0.2">
      <c r="A239" s="1186" t="s">
        <v>342</v>
      </c>
      <c r="B239" s="1186" t="s">
        <v>282</v>
      </c>
      <c r="C239" s="1186" t="s">
        <v>959</v>
      </c>
      <c r="D239" s="1186" t="s">
        <v>1987</v>
      </c>
      <c r="E239" s="1186" t="s">
        <v>1988</v>
      </c>
      <c r="F239" s="1186">
        <v>6</v>
      </c>
      <c r="G239" s="1186">
        <v>6</v>
      </c>
      <c r="H239" s="1186"/>
      <c r="I239" s="1186"/>
      <c r="J239" s="1186"/>
    </row>
    <row r="240" spans="1:10" x14ac:dyDescent="0.2">
      <c r="A240" s="1186" t="s">
        <v>342</v>
      </c>
      <c r="B240" s="1186" t="s">
        <v>282</v>
      </c>
      <c r="C240" s="1186" t="s">
        <v>960</v>
      </c>
      <c r="D240" s="1186" t="s">
        <v>1981</v>
      </c>
      <c r="E240" s="1186" t="s">
        <v>1988</v>
      </c>
      <c r="F240" s="1186">
        <v>4</v>
      </c>
      <c r="G240" s="1186">
        <v>3</v>
      </c>
      <c r="H240" s="1186">
        <v>1</v>
      </c>
      <c r="I240" s="1186"/>
      <c r="J240" s="1186"/>
    </row>
    <row r="241" spans="1:10" x14ac:dyDescent="0.2">
      <c r="A241" s="1186" t="s">
        <v>342</v>
      </c>
      <c r="B241" s="1186" t="s">
        <v>311</v>
      </c>
      <c r="C241" s="1186" t="s">
        <v>961</v>
      </c>
      <c r="D241" s="1186" t="s">
        <v>1981</v>
      </c>
      <c r="E241" s="1186" t="s">
        <v>1982</v>
      </c>
      <c r="F241" s="1186">
        <v>5</v>
      </c>
      <c r="G241" s="1186">
        <v>3</v>
      </c>
      <c r="H241" s="1186"/>
      <c r="I241" s="1186">
        <v>2</v>
      </c>
      <c r="J241" s="1186"/>
    </row>
    <row r="242" spans="1:10" x14ac:dyDescent="0.2">
      <c r="A242" s="1186" t="s">
        <v>342</v>
      </c>
      <c r="B242" s="1186" t="s">
        <v>311</v>
      </c>
      <c r="C242" s="1186" t="s">
        <v>964</v>
      </c>
      <c r="D242" s="1186" t="s">
        <v>1983</v>
      </c>
      <c r="E242" s="1186" t="s">
        <v>1984</v>
      </c>
      <c r="F242" s="1186">
        <v>5</v>
      </c>
      <c r="G242" s="1186">
        <v>4</v>
      </c>
      <c r="H242" s="1186"/>
      <c r="I242" s="1186"/>
      <c r="J242" s="1186">
        <v>1</v>
      </c>
    </row>
    <row r="243" spans="1:10" x14ac:dyDescent="0.2">
      <c r="A243" s="1186" t="s">
        <v>342</v>
      </c>
      <c r="B243" s="1186" t="s">
        <v>311</v>
      </c>
      <c r="C243" s="1186" t="s">
        <v>965</v>
      </c>
      <c r="D243" s="1186" t="s">
        <v>1983</v>
      </c>
      <c r="E243" s="1186" t="s">
        <v>1984</v>
      </c>
      <c r="F243" s="1186">
        <v>3</v>
      </c>
      <c r="G243" s="1186">
        <v>3</v>
      </c>
      <c r="H243" s="1186"/>
      <c r="I243" s="1186"/>
      <c r="J243" s="1186"/>
    </row>
    <row r="244" spans="1:10" x14ac:dyDescent="0.2">
      <c r="A244" s="1186" t="s">
        <v>342</v>
      </c>
      <c r="B244" s="1186" t="s">
        <v>311</v>
      </c>
      <c r="C244" s="1186" t="s">
        <v>966</v>
      </c>
      <c r="D244" s="1186" t="s">
        <v>1985</v>
      </c>
      <c r="E244" s="1186" t="s">
        <v>1984</v>
      </c>
      <c r="F244" s="1186">
        <v>2</v>
      </c>
      <c r="G244" s="1186">
        <v>2</v>
      </c>
      <c r="H244" s="1186"/>
      <c r="I244" s="1186"/>
      <c r="J244" s="1186"/>
    </row>
    <row r="245" spans="1:10" x14ac:dyDescent="0.2">
      <c r="A245" s="1186" t="s">
        <v>342</v>
      </c>
      <c r="B245" s="1186" t="s">
        <v>311</v>
      </c>
      <c r="C245" s="1186" t="s">
        <v>967</v>
      </c>
      <c r="D245" s="1186" t="s">
        <v>1985</v>
      </c>
      <c r="E245" s="1186" t="s">
        <v>1986</v>
      </c>
      <c r="F245" s="1186">
        <v>5</v>
      </c>
      <c r="G245" s="1186">
        <v>4</v>
      </c>
      <c r="H245" s="1186">
        <v>1</v>
      </c>
      <c r="I245" s="1186"/>
      <c r="J245" s="1186"/>
    </row>
    <row r="246" spans="1:10" x14ac:dyDescent="0.2">
      <c r="A246" s="1186" t="s">
        <v>342</v>
      </c>
      <c r="B246" s="1186" t="s">
        <v>311</v>
      </c>
      <c r="C246" s="1186" t="s">
        <v>968</v>
      </c>
      <c r="D246" s="1186" t="s">
        <v>1985</v>
      </c>
      <c r="E246" s="1186" t="s">
        <v>1986</v>
      </c>
      <c r="F246" s="1186">
        <v>10</v>
      </c>
      <c r="G246" s="1186">
        <v>10</v>
      </c>
      <c r="H246" s="1186"/>
      <c r="I246" s="1186"/>
      <c r="J246" s="1186"/>
    </row>
    <row r="247" spans="1:10" x14ac:dyDescent="0.2">
      <c r="A247" s="1186" t="s">
        <v>342</v>
      </c>
      <c r="B247" s="1186" t="s">
        <v>311</v>
      </c>
      <c r="C247" s="1186" t="s">
        <v>969</v>
      </c>
      <c r="D247" s="1186" t="s">
        <v>1987</v>
      </c>
      <c r="E247" s="1186" t="s">
        <v>1986</v>
      </c>
      <c r="F247" s="1186">
        <v>5</v>
      </c>
      <c r="G247" s="1186">
        <v>3</v>
      </c>
      <c r="H247" s="1186">
        <v>2</v>
      </c>
      <c r="I247" s="1186"/>
      <c r="J247" s="1186"/>
    </row>
    <row r="248" spans="1:10" x14ac:dyDescent="0.2">
      <c r="A248" s="1186" t="s">
        <v>342</v>
      </c>
      <c r="B248" s="1186" t="s">
        <v>311</v>
      </c>
      <c r="C248" s="1186" t="s">
        <v>970</v>
      </c>
      <c r="D248" s="1186" t="s">
        <v>1987</v>
      </c>
      <c r="E248" s="1186" t="s">
        <v>1988</v>
      </c>
      <c r="F248" s="1186">
        <v>4</v>
      </c>
      <c r="G248" s="1186">
        <v>3</v>
      </c>
      <c r="H248" s="1186"/>
      <c r="I248" s="1186">
        <v>1</v>
      </c>
      <c r="J248" s="1186"/>
    </row>
    <row r="249" spans="1:10" x14ac:dyDescent="0.2">
      <c r="A249" s="1186" t="s">
        <v>342</v>
      </c>
      <c r="B249" s="1186" t="s">
        <v>311</v>
      </c>
      <c r="C249" s="1186" t="s">
        <v>971</v>
      </c>
      <c r="D249" s="1186" t="s">
        <v>1987</v>
      </c>
      <c r="E249" s="1186" t="s">
        <v>1988</v>
      </c>
      <c r="F249" s="1186">
        <v>3</v>
      </c>
      <c r="G249" s="1186">
        <v>3</v>
      </c>
      <c r="H249" s="1186"/>
      <c r="I249" s="1186"/>
      <c r="J249" s="1186"/>
    </row>
    <row r="250" spans="1:10" x14ac:dyDescent="0.2">
      <c r="A250" s="1186" t="s">
        <v>342</v>
      </c>
      <c r="B250" s="1186" t="s">
        <v>311</v>
      </c>
      <c r="C250" s="1186" t="s">
        <v>972</v>
      </c>
      <c r="D250" s="1186" t="s">
        <v>1981</v>
      </c>
      <c r="E250" s="1186" t="s">
        <v>1988</v>
      </c>
      <c r="F250" s="1186">
        <v>2</v>
      </c>
      <c r="G250" s="1186">
        <v>2</v>
      </c>
      <c r="H250" s="1186"/>
      <c r="I250" s="1186"/>
      <c r="J250" s="1186"/>
    </row>
    <row r="251" spans="1:10" x14ac:dyDescent="0.2">
      <c r="A251" s="1186" t="s">
        <v>342</v>
      </c>
      <c r="B251" s="1186" t="s">
        <v>621</v>
      </c>
      <c r="C251" s="1186" t="s">
        <v>973</v>
      </c>
      <c r="D251" s="1186" t="s">
        <v>1981</v>
      </c>
      <c r="E251" s="1186" t="s">
        <v>1982</v>
      </c>
      <c r="F251" s="1186">
        <v>2</v>
      </c>
      <c r="G251" s="1186">
        <v>2</v>
      </c>
      <c r="H251" s="1186"/>
      <c r="I251" s="1186"/>
      <c r="J251" s="1186"/>
    </row>
    <row r="252" spans="1:10" x14ac:dyDescent="0.2">
      <c r="A252" s="1186" t="s">
        <v>342</v>
      </c>
      <c r="B252" s="1186" t="s">
        <v>621</v>
      </c>
      <c r="C252" s="1186" t="s">
        <v>974</v>
      </c>
      <c r="D252" s="1186" t="s">
        <v>1981</v>
      </c>
      <c r="E252" s="1186" t="s">
        <v>1982</v>
      </c>
      <c r="F252" s="1186">
        <v>2</v>
      </c>
      <c r="G252" s="1186">
        <v>2</v>
      </c>
      <c r="H252" s="1186"/>
      <c r="I252" s="1186"/>
      <c r="J252" s="1186"/>
    </row>
    <row r="253" spans="1:10" x14ac:dyDescent="0.2">
      <c r="A253" s="1186" t="s">
        <v>342</v>
      </c>
      <c r="B253" s="1186" t="s">
        <v>621</v>
      </c>
      <c r="C253" s="1186" t="s">
        <v>975</v>
      </c>
      <c r="D253" s="1186" t="s">
        <v>1983</v>
      </c>
      <c r="E253" s="1186" t="s">
        <v>1982</v>
      </c>
      <c r="F253" s="1186">
        <v>1</v>
      </c>
      <c r="G253" s="1186">
        <v>1</v>
      </c>
      <c r="H253" s="1186"/>
      <c r="I253" s="1186"/>
      <c r="J253" s="1186"/>
    </row>
    <row r="254" spans="1:10" x14ac:dyDescent="0.2">
      <c r="A254" s="1186" t="s">
        <v>342</v>
      </c>
      <c r="B254" s="1186" t="s">
        <v>621</v>
      </c>
      <c r="C254" s="1186" t="s">
        <v>976</v>
      </c>
      <c r="D254" s="1186" t="s">
        <v>1983</v>
      </c>
      <c r="E254" s="1186" t="s">
        <v>1984</v>
      </c>
      <c r="F254" s="1186">
        <v>3</v>
      </c>
      <c r="G254" s="1186">
        <v>2</v>
      </c>
      <c r="H254" s="1186"/>
      <c r="I254" s="1186"/>
      <c r="J254" s="1186">
        <v>1</v>
      </c>
    </row>
    <row r="255" spans="1:10" x14ac:dyDescent="0.2">
      <c r="A255" s="1186" t="s">
        <v>342</v>
      </c>
      <c r="B255" s="1186" t="s">
        <v>621</v>
      </c>
      <c r="C255" s="1186" t="s">
        <v>977</v>
      </c>
      <c r="D255" s="1186" t="s">
        <v>1983</v>
      </c>
      <c r="E255" s="1186" t="s">
        <v>1984</v>
      </c>
      <c r="F255" s="1186">
        <v>4</v>
      </c>
      <c r="G255" s="1186">
        <v>4</v>
      </c>
      <c r="H255" s="1186"/>
      <c r="I255" s="1186"/>
      <c r="J255" s="1186"/>
    </row>
    <row r="256" spans="1:10" x14ac:dyDescent="0.2">
      <c r="A256" s="1186" t="s">
        <v>342</v>
      </c>
      <c r="B256" s="1186" t="s">
        <v>621</v>
      </c>
      <c r="C256" s="1186" t="s">
        <v>978</v>
      </c>
      <c r="D256" s="1186" t="s">
        <v>1985</v>
      </c>
      <c r="E256" s="1186" t="s">
        <v>1984</v>
      </c>
      <c r="F256" s="1186">
        <v>2</v>
      </c>
      <c r="G256" s="1186">
        <v>2</v>
      </c>
      <c r="H256" s="1186"/>
      <c r="I256" s="1186"/>
      <c r="J256" s="1186"/>
    </row>
    <row r="257" spans="1:10" x14ac:dyDescent="0.2">
      <c r="A257" s="1186" t="s">
        <v>342</v>
      </c>
      <c r="B257" s="1186" t="s">
        <v>621</v>
      </c>
      <c r="C257" s="1186" t="s">
        <v>979</v>
      </c>
      <c r="D257" s="1186" t="s">
        <v>1985</v>
      </c>
      <c r="E257" s="1186" t="s">
        <v>1986</v>
      </c>
      <c r="F257" s="1186">
        <v>1</v>
      </c>
      <c r="G257" s="1186">
        <v>1</v>
      </c>
      <c r="H257" s="1186"/>
      <c r="I257" s="1186"/>
      <c r="J257" s="1186"/>
    </row>
    <row r="258" spans="1:10" x14ac:dyDescent="0.2">
      <c r="A258" s="1186" t="s">
        <v>342</v>
      </c>
      <c r="B258" s="1186" t="s">
        <v>621</v>
      </c>
      <c r="C258" s="1186" t="s">
        <v>980</v>
      </c>
      <c r="D258" s="1186" t="s">
        <v>1985</v>
      </c>
      <c r="E258" s="1186" t="s">
        <v>1986</v>
      </c>
      <c r="F258" s="1186">
        <v>6</v>
      </c>
      <c r="G258" s="1186">
        <v>5</v>
      </c>
      <c r="H258" s="1186">
        <v>1</v>
      </c>
      <c r="I258" s="1186"/>
      <c r="J258" s="1186"/>
    </row>
    <row r="259" spans="1:10" x14ac:dyDescent="0.2">
      <c r="A259" s="1186" t="s">
        <v>342</v>
      </c>
      <c r="B259" s="1186" t="s">
        <v>621</v>
      </c>
      <c r="C259" s="1186" t="s">
        <v>981</v>
      </c>
      <c r="D259" s="1186" t="s">
        <v>1987</v>
      </c>
      <c r="E259" s="1186" t="s">
        <v>1986</v>
      </c>
      <c r="F259" s="1186">
        <v>4</v>
      </c>
      <c r="G259" s="1186">
        <v>4</v>
      </c>
      <c r="H259" s="1186"/>
      <c r="I259" s="1186"/>
      <c r="J259" s="1186"/>
    </row>
    <row r="260" spans="1:10" x14ac:dyDescent="0.2">
      <c r="A260" s="1186" t="s">
        <v>342</v>
      </c>
      <c r="B260" s="1186" t="s">
        <v>621</v>
      </c>
      <c r="C260" s="1186" t="s">
        <v>982</v>
      </c>
      <c r="D260" s="1186" t="s">
        <v>1987</v>
      </c>
      <c r="E260" s="1186" t="s">
        <v>1988</v>
      </c>
      <c r="F260" s="1186">
        <v>1</v>
      </c>
      <c r="G260" s="1186">
        <v>1</v>
      </c>
      <c r="H260" s="1186"/>
      <c r="I260" s="1186"/>
      <c r="J260" s="1186"/>
    </row>
    <row r="261" spans="1:10" x14ac:dyDescent="0.2">
      <c r="A261" s="1186" t="s">
        <v>342</v>
      </c>
      <c r="B261" s="1186" t="s">
        <v>621</v>
      </c>
      <c r="C261" s="1186" t="s">
        <v>983</v>
      </c>
      <c r="D261" s="1186" t="s">
        <v>1987</v>
      </c>
      <c r="E261" s="1186" t="s">
        <v>1988</v>
      </c>
      <c r="F261" s="1186">
        <v>9</v>
      </c>
      <c r="G261" s="1186">
        <v>9</v>
      </c>
      <c r="H261" s="1186"/>
      <c r="I261" s="1186"/>
      <c r="J261" s="1186"/>
    </row>
    <row r="262" spans="1:10" x14ac:dyDescent="0.2">
      <c r="A262" s="1186" t="s">
        <v>342</v>
      </c>
      <c r="B262" s="1186" t="s">
        <v>621</v>
      </c>
      <c r="C262" s="1186" t="s">
        <v>984</v>
      </c>
      <c r="D262" s="1186" t="s">
        <v>1981</v>
      </c>
      <c r="E262" s="1186" t="s">
        <v>1988</v>
      </c>
      <c r="F262" s="1186">
        <v>9</v>
      </c>
      <c r="G262" s="1186">
        <v>7</v>
      </c>
      <c r="H262" s="1186"/>
      <c r="I262" s="1186">
        <v>1</v>
      </c>
      <c r="J262" s="1186">
        <v>1</v>
      </c>
    </row>
    <row r="263" spans="1:10" x14ac:dyDescent="0.2">
      <c r="A263" s="1186" t="s">
        <v>342</v>
      </c>
      <c r="B263" s="1186" t="s">
        <v>1419</v>
      </c>
      <c r="C263" s="1186" t="s">
        <v>1427</v>
      </c>
      <c r="D263" s="1186" t="s">
        <v>1981</v>
      </c>
      <c r="E263" s="1186" t="s">
        <v>1982</v>
      </c>
      <c r="F263" s="1186">
        <v>2</v>
      </c>
      <c r="G263" s="1186">
        <v>2</v>
      </c>
      <c r="H263" s="1186"/>
      <c r="I263" s="1186"/>
      <c r="J263" s="1186"/>
    </row>
    <row r="264" spans="1:10" x14ac:dyDescent="0.2">
      <c r="A264" s="1186" t="s">
        <v>342</v>
      </c>
      <c r="B264" s="1186" t="s">
        <v>1419</v>
      </c>
      <c r="C264" s="1186" t="s">
        <v>1428</v>
      </c>
      <c r="D264" s="1186" t="s">
        <v>1981</v>
      </c>
      <c r="E264" s="1186" t="s">
        <v>1982</v>
      </c>
      <c r="F264" s="1186">
        <v>3</v>
      </c>
      <c r="G264" s="1186">
        <v>2</v>
      </c>
      <c r="H264" s="1186">
        <v>1</v>
      </c>
      <c r="I264" s="1186"/>
      <c r="J264" s="1186"/>
    </row>
    <row r="265" spans="1:10" x14ac:dyDescent="0.2">
      <c r="A265" s="1186" t="s">
        <v>342</v>
      </c>
      <c r="B265" s="1186" t="s">
        <v>1419</v>
      </c>
      <c r="C265" s="1186" t="s">
        <v>1429</v>
      </c>
      <c r="D265" s="1186" t="s">
        <v>1983</v>
      </c>
      <c r="E265" s="1186" t="s">
        <v>1982</v>
      </c>
      <c r="F265" s="1186">
        <v>3</v>
      </c>
      <c r="G265" s="1186">
        <v>2</v>
      </c>
      <c r="H265" s="1186"/>
      <c r="I265" s="1186">
        <v>1</v>
      </c>
      <c r="J265" s="1186"/>
    </row>
    <row r="266" spans="1:10" x14ac:dyDescent="0.2">
      <c r="A266" s="1186" t="s">
        <v>342</v>
      </c>
      <c r="B266" s="1186" t="s">
        <v>1419</v>
      </c>
      <c r="C266" s="1186" t="s">
        <v>1430</v>
      </c>
      <c r="D266" s="1186" t="s">
        <v>1983</v>
      </c>
      <c r="E266" s="1186" t="s">
        <v>1984</v>
      </c>
      <c r="F266" s="1186">
        <v>2</v>
      </c>
      <c r="G266" s="1186">
        <v>2</v>
      </c>
      <c r="H266" s="1186"/>
      <c r="I266" s="1186"/>
      <c r="J266" s="1186"/>
    </row>
    <row r="267" spans="1:10" x14ac:dyDescent="0.2">
      <c r="A267" s="1186" t="s">
        <v>342</v>
      </c>
      <c r="B267" s="1186" t="s">
        <v>1419</v>
      </c>
      <c r="C267" s="1186" t="s">
        <v>1431</v>
      </c>
      <c r="D267" s="1186" t="s">
        <v>1983</v>
      </c>
      <c r="E267" s="1186" t="s">
        <v>1984</v>
      </c>
      <c r="F267" s="1186">
        <v>3</v>
      </c>
      <c r="G267" s="1186">
        <v>1</v>
      </c>
      <c r="H267" s="1186">
        <v>1</v>
      </c>
      <c r="I267" s="1186">
        <v>1</v>
      </c>
      <c r="J267" s="1186"/>
    </row>
    <row r="268" spans="1:10" x14ac:dyDescent="0.2">
      <c r="A268" s="1186" t="s">
        <v>342</v>
      </c>
      <c r="B268" s="1186" t="s">
        <v>1419</v>
      </c>
      <c r="C268" s="1186" t="s">
        <v>1432</v>
      </c>
      <c r="D268" s="1186" t="s">
        <v>1985</v>
      </c>
      <c r="E268" s="1186" t="s">
        <v>1984</v>
      </c>
      <c r="F268" s="1186">
        <v>1</v>
      </c>
      <c r="G268" s="1186">
        <v>1</v>
      </c>
      <c r="H268" s="1186"/>
      <c r="I268" s="1186"/>
      <c r="J268" s="1186"/>
    </row>
    <row r="269" spans="1:10" x14ac:dyDescent="0.2">
      <c r="A269" s="1186" t="s">
        <v>342</v>
      </c>
      <c r="B269" s="1186" t="s">
        <v>1419</v>
      </c>
      <c r="C269" s="1186" t="s">
        <v>1433</v>
      </c>
      <c r="D269" s="1186" t="s">
        <v>1985</v>
      </c>
      <c r="E269" s="1186" t="s">
        <v>1986</v>
      </c>
      <c r="F269" s="1186">
        <v>3</v>
      </c>
      <c r="G269" s="1186">
        <v>2</v>
      </c>
      <c r="H269" s="1186"/>
      <c r="I269" s="1186">
        <v>1</v>
      </c>
      <c r="J269" s="1186"/>
    </row>
    <row r="270" spans="1:10" x14ac:dyDescent="0.2">
      <c r="A270" s="1186" t="s">
        <v>342</v>
      </c>
      <c r="B270" s="1186" t="s">
        <v>1419</v>
      </c>
      <c r="C270" s="1186" t="s">
        <v>1435</v>
      </c>
      <c r="D270" s="1186" t="s">
        <v>1987</v>
      </c>
      <c r="E270" s="1186" t="s">
        <v>1986</v>
      </c>
      <c r="F270" s="1186">
        <v>5</v>
      </c>
      <c r="G270" s="1186">
        <v>4</v>
      </c>
      <c r="H270" s="1186">
        <v>1</v>
      </c>
      <c r="I270" s="1186"/>
      <c r="J270" s="1186"/>
    </row>
    <row r="271" spans="1:10" x14ac:dyDescent="0.2">
      <c r="A271" s="1186" t="s">
        <v>342</v>
      </c>
      <c r="B271" s="1186" t="s">
        <v>1419</v>
      </c>
      <c r="C271" s="1186" t="s">
        <v>1436</v>
      </c>
      <c r="D271" s="1186" t="s">
        <v>1987</v>
      </c>
      <c r="E271" s="1186" t="s">
        <v>1988</v>
      </c>
      <c r="F271" s="1186">
        <v>3</v>
      </c>
      <c r="G271" s="1186">
        <v>3</v>
      </c>
      <c r="H271" s="1186"/>
      <c r="I271" s="1186"/>
      <c r="J271" s="1186"/>
    </row>
    <row r="272" spans="1:10" x14ac:dyDescent="0.2">
      <c r="A272" s="1186" t="s">
        <v>342</v>
      </c>
      <c r="B272" s="1186" t="s">
        <v>1419</v>
      </c>
      <c r="C272" s="1186" t="s">
        <v>1437</v>
      </c>
      <c r="D272" s="1186" t="s">
        <v>1987</v>
      </c>
      <c r="E272" s="1186" t="s">
        <v>1988</v>
      </c>
      <c r="F272" s="1186">
        <v>1</v>
      </c>
      <c r="G272" s="1186">
        <v>1</v>
      </c>
      <c r="H272" s="1186"/>
      <c r="I272" s="1186"/>
      <c r="J272" s="1186"/>
    </row>
    <row r="273" spans="1:10" x14ac:dyDescent="0.2">
      <c r="A273" s="1186" t="s">
        <v>342</v>
      </c>
      <c r="B273" s="1186" t="s">
        <v>1419</v>
      </c>
      <c r="C273" s="1186" t="s">
        <v>1438</v>
      </c>
      <c r="D273" s="1186" t="s">
        <v>1981</v>
      </c>
      <c r="E273" s="1186" t="s">
        <v>1988</v>
      </c>
      <c r="F273" s="1186">
        <v>1</v>
      </c>
      <c r="G273" s="1186">
        <v>1</v>
      </c>
      <c r="H273" s="1186"/>
      <c r="I273" s="1186"/>
      <c r="J273" s="1186"/>
    </row>
    <row r="274" spans="1:10" x14ac:dyDescent="0.2">
      <c r="A274" s="1186" t="s">
        <v>342</v>
      </c>
      <c r="B274" s="1186" t="s">
        <v>1572</v>
      </c>
      <c r="C274" s="1186" t="s">
        <v>1989</v>
      </c>
      <c r="D274" s="1186" t="s">
        <v>1981</v>
      </c>
      <c r="E274" s="1186" t="s">
        <v>1982</v>
      </c>
      <c r="F274" s="1186">
        <v>7</v>
      </c>
      <c r="G274" s="1186">
        <v>6</v>
      </c>
      <c r="H274" s="1186">
        <v>1</v>
      </c>
      <c r="I274" s="1186"/>
      <c r="J274" s="1186"/>
    </row>
    <row r="275" spans="1:10" x14ac:dyDescent="0.2">
      <c r="A275" s="1186" t="s">
        <v>342</v>
      </c>
      <c r="B275" s="1186" t="s">
        <v>1572</v>
      </c>
      <c r="C275" s="1186" t="s">
        <v>1990</v>
      </c>
      <c r="D275" s="1186" t="s">
        <v>1981</v>
      </c>
      <c r="E275" s="1186" t="s">
        <v>1982</v>
      </c>
      <c r="F275" s="1186">
        <v>3</v>
      </c>
      <c r="G275" s="1186">
        <v>3</v>
      </c>
      <c r="H275" s="1186"/>
      <c r="I275" s="1186"/>
      <c r="J275" s="1186"/>
    </row>
    <row r="276" spans="1:10" x14ac:dyDescent="0.2">
      <c r="A276" s="1186" t="s">
        <v>342</v>
      </c>
      <c r="B276" s="1186" t="s">
        <v>1572</v>
      </c>
      <c r="C276" s="1186" t="s">
        <v>1991</v>
      </c>
      <c r="D276" s="1186" t="s">
        <v>1983</v>
      </c>
      <c r="E276" s="1186" t="s">
        <v>1982</v>
      </c>
      <c r="F276" s="1186">
        <v>6</v>
      </c>
      <c r="G276" s="1186">
        <v>6</v>
      </c>
      <c r="H276" s="1186"/>
      <c r="I276" s="1186"/>
      <c r="J276" s="1186"/>
    </row>
    <row r="277" spans="1:10" x14ac:dyDescent="0.2">
      <c r="A277" s="1186" t="s">
        <v>342</v>
      </c>
      <c r="B277" s="1186" t="s">
        <v>1572</v>
      </c>
      <c r="C277" s="1186" t="s">
        <v>1992</v>
      </c>
      <c r="D277" s="1186" t="s">
        <v>1983</v>
      </c>
      <c r="E277" s="1186" t="s">
        <v>1984</v>
      </c>
      <c r="F277" s="1186">
        <v>3</v>
      </c>
      <c r="G277" s="1186">
        <v>1</v>
      </c>
      <c r="H277" s="1186"/>
      <c r="I277" s="1186">
        <v>1</v>
      </c>
      <c r="J277" s="1186">
        <v>1</v>
      </c>
    </row>
    <row r="278" spans="1:10" x14ac:dyDescent="0.2">
      <c r="A278" s="1186" t="s">
        <v>342</v>
      </c>
      <c r="B278" s="1186" t="s">
        <v>1572</v>
      </c>
      <c r="C278" s="1186" t="s">
        <v>1993</v>
      </c>
      <c r="D278" s="1186" t="s">
        <v>1983</v>
      </c>
      <c r="E278" s="1186" t="s">
        <v>1984</v>
      </c>
      <c r="F278" s="1186">
        <v>2</v>
      </c>
      <c r="G278" s="1186">
        <v>2</v>
      </c>
      <c r="H278" s="1186"/>
      <c r="I278" s="1186"/>
      <c r="J278" s="1186"/>
    </row>
    <row r="279" spans="1:10" x14ac:dyDescent="0.2">
      <c r="A279" s="1186" t="s">
        <v>342</v>
      </c>
      <c r="B279" s="1186" t="s">
        <v>1572</v>
      </c>
      <c r="C279" s="1186" t="s">
        <v>1994</v>
      </c>
      <c r="D279" s="1186" t="s">
        <v>1985</v>
      </c>
      <c r="E279" s="1186" t="s">
        <v>1984</v>
      </c>
      <c r="F279" s="1186">
        <v>4</v>
      </c>
      <c r="G279" s="1186">
        <v>4</v>
      </c>
      <c r="H279" s="1186"/>
      <c r="I279" s="1186"/>
      <c r="J279" s="1186"/>
    </row>
    <row r="280" spans="1:10" x14ac:dyDescent="0.2">
      <c r="A280" s="1186" t="s">
        <v>342</v>
      </c>
      <c r="B280" s="1186" t="s">
        <v>1572</v>
      </c>
      <c r="C280" s="1186" t="s">
        <v>1995</v>
      </c>
      <c r="D280" s="1186" t="s">
        <v>1985</v>
      </c>
      <c r="E280" s="1186" t="s">
        <v>1986</v>
      </c>
      <c r="F280" s="1186">
        <v>5</v>
      </c>
      <c r="G280" s="1186">
        <v>3</v>
      </c>
      <c r="H280" s="1186"/>
      <c r="I280" s="1186">
        <v>2</v>
      </c>
      <c r="J280" s="1186"/>
    </row>
    <row r="281" spans="1:10" x14ac:dyDescent="0.2">
      <c r="A281" s="1186" t="s">
        <v>342</v>
      </c>
      <c r="B281" s="1186" t="s">
        <v>1572</v>
      </c>
      <c r="C281" s="1186" t="s">
        <v>1996</v>
      </c>
      <c r="D281" s="1186" t="s">
        <v>1985</v>
      </c>
      <c r="E281" s="1186" t="s">
        <v>1986</v>
      </c>
      <c r="F281" s="1186">
        <v>4</v>
      </c>
      <c r="G281" s="1186">
        <v>3</v>
      </c>
      <c r="H281" s="1186">
        <v>1</v>
      </c>
      <c r="I281" s="1186"/>
      <c r="J281" s="1186"/>
    </row>
    <row r="282" spans="1:10" x14ac:dyDescent="0.2">
      <c r="A282" s="1186" t="s">
        <v>342</v>
      </c>
      <c r="B282" s="1186" t="s">
        <v>1572</v>
      </c>
      <c r="C282" s="1186" t="s">
        <v>1997</v>
      </c>
      <c r="D282" s="1186" t="s">
        <v>1987</v>
      </c>
      <c r="E282" s="1186" t="s">
        <v>1986</v>
      </c>
      <c r="F282" s="1186">
        <v>5</v>
      </c>
      <c r="G282" s="1186">
        <v>4</v>
      </c>
      <c r="H282" s="1186"/>
      <c r="I282" s="1186">
        <v>1</v>
      </c>
      <c r="J282" s="1186"/>
    </row>
    <row r="283" spans="1:10" x14ac:dyDescent="0.2">
      <c r="A283" s="1186" t="s">
        <v>342</v>
      </c>
      <c r="B283" s="1186" t="s">
        <v>1572</v>
      </c>
      <c r="C283" s="1186" t="s">
        <v>1998</v>
      </c>
      <c r="D283" s="1186" t="s">
        <v>1987</v>
      </c>
      <c r="E283" s="1186" t="s">
        <v>1988</v>
      </c>
      <c r="F283" s="1186">
        <v>5</v>
      </c>
      <c r="G283" s="1186">
        <v>4</v>
      </c>
      <c r="H283" s="1186"/>
      <c r="I283" s="1186">
        <v>1</v>
      </c>
      <c r="J283" s="1186"/>
    </row>
    <row r="284" spans="1:10" x14ac:dyDescent="0.2">
      <c r="A284" s="1186" t="s">
        <v>342</v>
      </c>
      <c r="B284" s="1186" t="s">
        <v>1572</v>
      </c>
      <c r="C284" s="1186" t="s">
        <v>1999</v>
      </c>
      <c r="D284" s="1186" t="s">
        <v>1987</v>
      </c>
      <c r="E284" s="1186" t="s">
        <v>1988</v>
      </c>
      <c r="F284" s="1186">
        <v>5</v>
      </c>
      <c r="G284" s="1186">
        <v>5</v>
      </c>
      <c r="H284" s="1186"/>
      <c r="I284" s="1186"/>
      <c r="J284" s="1186"/>
    </row>
    <row r="285" spans="1:10" x14ac:dyDescent="0.2">
      <c r="A285" s="1186" t="s">
        <v>342</v>
      </c>
      <c r="B285" s="1186" t="s">
        <v>1572</v>
      </c>
      <c r="C285" s="1186" t="s">
        <v>2000</v>
      </c>
      <c r="D285" s="1186" t="s">
        <v>1981</v>
      </c>
      <c r="E285" s="1186" t="s">
        <v>1988</v>
      </c>
      <c r="F285" s="1186">
        <v>4</v>
      </c>
      <c r="G285" s="1186">
        <v>3</v>
      </c>
      <c r="H285" s="1186"/>
      <c r="I285" s="1186"/>
      <c r="J285" s="1186">
        <v>1</v>
      </c>
    </row>
    <row r="286" spans="1:10" x14ac:dyDescent="0.2">
      <c r="A286" s="1186" t="s">
        <v>343</v>
      </c>
      <c r="B286" s="1186" t="s">
        <v>19</v>
      </c>
      <c r="C286" s="1186" t="s">
        <v>868</v>
      </c>
      <c r="D286" s="1186" t="s">
        <v>1981</v>
      </c>
      <c r="E286" s="1186" t="s">
        <v>1982</v>
      </c>
      <c r="F286" s="1186">
        <v>94</v>
      </c>
      <c r="G286" s="1186">
        <v>86</v>
      </c>
      <c r="H286" s="1186">
        <v>4</v>
      </c>
      <c r="I286" s="1186"/>
      <c r="J286" s="1186">
        <v>4</v>
      </c>
    </row>
    <row r="287" spans="1:10" x14ac:dyDescent="0.2">
      <c r="A287" s="1186" t="s">
        <v>343</v>
      </c>
      <c r="B287" s="1186" t="s">
        <v>19</v>
      </c>
      <c r="C287" s="1186" t="s">
        <v>869</v>
      </c>
      <c r="D287" s="1186" t="s">
        <v>1981</v>
      </c>
      <c r="E287" s="1186" t="s">
        <v>1982</v>
      </c>
      <c r="F287" s="1186">
        <v>96</v>
      </c>
      <c r="G287" s="1186">
        <v>75</v>
      </c>
      <c r="H287" s="1186">
        <v>5</v>
      </c>
      <c r="I287" s="1186">
        <v>14</v>
      </c>
      <c r="J287" s="1186">
        <v>2</v>
      </c>
    </row>
    <row r="288" spans="1:10" x14ac:dyDescent="0.2">
      <c r="A288" s="1186" t="s">
        <v>343</v>
      </c>
      <c r="B288" s="1186" t="s">
        <v>19</v>
      </c>
      <c r="C288" s="1186" t="s">
        <v>870</v>
      </c>
      <c r="D288" s="1186" t="s">
        <v>1983</v>
      </c>
      <c r="E288" s="1186" t="s">
        <v>1982</v>
      </c>
      <c r="F288" s="1186">
        <v>91</v>
      </c>
      <c r="G288" s="1186">
        <v>70</v>
      </c>
      <c r="H288" s="1186">
        <v>10</v>
      </c>
      <c r="I288" s="1186">
        <v>3</v>
      </c>
      <c r="J288" s="1186">
        <v>8</v>
      </c>
    </row>
    <row r="289" spans="1:10" x14ac:dyDescent="0.2">
      <c r="A289" s="1186" t="s">
        <v>343</v>
      </c>
      <c r="B289" s="1186" t="s">
        <v>19</v>
      </c>
      <c r="C289" s="1186" t="s">
        <v>871</v>
      </c>
      <c r="D289" s="1186" t="s">
        <v>1983</v>
      </c>
      <c r="E289" s="1186" t="s">
        <v>1984</v>
      </c>
      <c r="F289" s="1186">
        <v>109</v>
      </c>
      <c r="G289" s="1186">
        <v>96</v>
      </c>
      <c r="H289" s="1186">
        <v>9</v>
      </c>
      <c r="I289" s="1186">
        <v>4</v>
      </c>
      <c r="J289" s="1186"/>
    </row>
    <row r="290" spans="1:10" x14ac:dyDescent="0.2">
      <c r="A290" s="1186" t="s">
        <v>343</v>
      </c>
      <c r="B290" s="1186" t="s">
        <v>19</v>
      </c>
      <c r="C290" s="1186" t="s">
        <v>872</v>
      </c>
      <c r="D290" s="1186" t="s">
        <v>1983</v>
      </c>
      <c r="E290" s="1186" t="s">
        <v>1984</v>
      </c>
      <c r="F290" s="1186">
        <v>99</v>
      </c>
      <c r="G290" s="1186">
        <v>81</v>
      </c>
      <c r="H290" s="1186">
        <v>6</v>
      </c>
      <c r="I290" s="1186">
        <v>9</v>
      </c>
      <c r="J290" s="1186">
        <v>3</v>
      </c>
    </row>
    <row r="291" spans="1:10" x14ac:dyDescent="0.2">
      <c r="A291" s="1186" t="s">
        <v>343</v>
      </c>
      <c r="B291" s="1186" t="s">
        <v>19</v>
      </c>
      <c r="C291" s="1186" t="s">
        <v>873</v>
      </c>
      <c r="D291" s="1186" t="s">
        <v>1985</v>
      </c>
      <c r="E291" s="1186" t="s">
        <v>1984</v>
      </c>
      <c r="F291" s="1186">
        <v>99</v>
      </c>
      <c r="G291" s="1186">
        <v>85</v>
      </c>
      <c r="H291" s="1186">
        <v>8</v>
      </c>
      <c r="I291" s="1186">
        <v>5</v>
      </c>
      <c r="J291" s="1186">
        <v>1</v>
      </c>
    </row>
    <row r="292" spans="1:10" x14ac:dyDescent="0.2">
      <c r="A292" s="1186" t="s">
        <v>343</v>
      </c>
      <c r="B292" s="1186" t="s">
        <v>19</v>
      </c>
      <c r="C292" s="1186" t="s">
        <v>19</v>
      </c>
      <c r="D292" s="1186" t="s">
        <v>1985</v>
      </c>
      <c r="E292" s="1186" t="s">
        <v>1986</v>
      </c>
      <c r="F292" s="1186">
        <v>101</v>
      </c>
      <c r="G292" s="1186">
        <v>73</v>
      </c>
      <c r="H292" s="1186">
        <v>13</v>
      </c>
      <c r="I292" s="1186">
        <v>14</v>
      </c>
      <c r="J292" s="1186">
        <v>1</v>
      </c>
    </row>
    <row r="293" spans="1:10" x14ac:dyDescent="0.2">
      <c r="A293" s="1186" t="s">
        <v>343</v>
      </c>
      <c r="B293" s="1186" t="s">
        <v>19</v>
      </c>
      <c r="C293" s="1186" t="s">
        <v>874</v>
      </c>
      <c r="D293" s="1186" t="s">
        <v>1985</v>
      </c>
      <c r="E293" s="1186" t="s">
        <v>1986</v>
      </c>
      <c r="F293" s="1186">
        <v>81</v>
      </c>
      <c r="G293" s="1186">
        <v>69</v>
      </c>
      <c r="H293" s="1186">
        <v>5</v>
      </c>
      <c r="I293" s="1186">
        <v>6</v>
      </c>
      <c r="J293" s="1186">
        <v>1</v>
      </c>
    </row>
    <row r="294" spans="1:10" x14ac:dyDescent="0.2">
      <c r="A294" s="1186" t="s">
        <v>343</v>
      </c>
      <c r="B294" s="1186" t="s">
        <v>19</v>
      </c>
      <c r="C294" s="1186" t="s">
        <v>875</v>
      </c>
      <c r="D294" s="1186" t="s">
        <v>1987</v>
      </c>
      <c r="E294" s="1186" t="s">
        <v>1986</v>
      </c>
      <c r="F294" s="1186">
        <v>94</v>
      </c>
      <c r="G294" s="1186">
        <v>90</v>
      </c>
      <c r="H294" s="1186">
        <v>4</v>
      </c>
      <c r="I294" s="1186"/>
      <c r="J294" s="1186"/>
    </row>
    <row r="295" spans="1:10" x14ac:dyDescent="0.2">
      <c r="A295" s="1186" t="s">
        <v>343</v>
      </c>
      <c r="B295" s="1186" t="s">
        <v>19</v>
      </c>
      <c r="C295" s="1186" t="s">
        <v>876</v>
      </c>
      <c r="D295" s="1186" t="s">
        <v>1987</v>
      </c>
      <c r="E295" s="1186" t="s">
        <v>1988</v>
      </c>
      <c r="F295" s="1186">
        <v>124</v>
      </c>
      <c r="G295" s="1186">
        <v>105</v>
      </c>
      <c r="H295" s="1186">
        <v>10</v>
      </c>
      <c r="I295" s="1186">
        <v>4</v>
      </c>
      <c r="J295" s="1186">
        <v>5</v>
      </c>
    </row>
    <row r="296" spans="1:10" x14ac:dyDescent="0.2">
      <c r="A296" s="1186" t="s">
        <v>343</v>
      </c>
      <c r="B296" s="1186" t="s">
        <v>19</v>
      </c>
      <c r="C296" s="1186" t="s">
        <v>877</v>
      </c>
      <c r="D296" s="1186" t="s">
        <v>1987</v>
      </c>
      <c r="E296" s="1186" t="s">
        <v>1988</v>
      </c>
      <c r="F296" s="1186">
        <v>114</v>
      </c>
      <c r="G296" s="1186">
        <v>97</v>
      </c>
      <c r="H296" s="1186">
        <v>12</v>
      </c>
      <c r="I296" s="1186">
        <v>2</v>
      </c>
      <c r="J296" s="1186">
        <v>3</v>
      </c>
    </row>
    <row r="297" spans="1:10" x14ac:dyDescent="0.2">
      <c r="A297" s="1186" t="s">
        <v>343</v>
      </c>
      <c r="B297" s="1186" t="s">
        <v>19</v>
      </c>
      <c r="C297" s="1186" t="s">
        <v>878</v>
      </c>
      <c r="D297" s="1186" t="s">
        <v>1981</v>
      </c>
      <c r="E297" s="1186" t="s">
        <v>1988</v>
      </c>
      <c r="F297" s="1186">
        <v>121</v>
      </c>
      <c r="G297" s="1186">
        <v>105</v>
      </c>
      <c r="H297" s="1186">
        <v>9</v>
      </c>
      <c r="I297" s="1186">
        <v>5</v>
      </c>
      <c r="J297" s="1186">
        <v>2</v>
      </c>
    </row>
    <row r="298" spans="1:10" x14ac:dyDescent="0.2">
      <c r="A298" s="1186" t="s">
        <v>343</v>
      </c>
      <c r="B298" s="1186" t="s">
        <v>20</v>
      </c>
      <c r="C298" s="1186" t="s">
        <v>879</v>
      </c>
      <c r="D298" s="1186" t="s">
        <v>1981</v>
      </c>
      <c r="E298" s="1186" t="s">
        <v>1982</v>
      </c>
      <c r="F298" s="1186">
        <v>108</v>
      </c>
      <c r="G298" s="1186">
        <v>82</v>
      </c>
      <c r="H298" s="1186">
        <v>12</v>
      </c>
      <c r="I298" s="1186">
        <v>8</v>
      </c>
      <c r="J298" s="1186">
        <v>6</v>
      </c>
    </row>
    <row r="299" spans="1:10" x14ac:dyDescent="0.2">
      <c r="A299" s="1186" t="s">
        <v>343</v>
      </c>
      <c r="B299" s="1186" t="s">
        <v>20</v>
      </c>
      <c r="C299" s="1186" t="s">
        <v>880</v>
      </c>
      <c r="D299" s="1186" t="s">
        <v>1981</v>
      </c>
      <c r="E299" s="1186" t="s">
        <v>1982</v>
      </c>
      <c r="F299" s="1186">
        <v>102</v>
      </c>
      <c r="G299" s="1186">
        <v>91</v>
      </c>
      <c r="H299" s="1186">
        <v>7</v>
      </c>
      <c r="I299" s="1186">
        <v>2</v>
      </c>
      <c r="J299" s="1186">
        <v>2</v>
      </c>
    </row>
    <row r="300" spans="1:10" x14ac:dyDescent="0.2">
      <c r="A300" s="1186" t="s">
        <v>343</v>
      </c>
      <c r="B300" s="1186" t="s">
        <v>20</v>
      </c>
      <c r="C300" s="1186" t="s">
        <v>881</v>
      </c>
      <c r="D300" s="1186" t="s">
        <v>1983</v>
      </c>
      <c r="E300" s="1186" t="s">
        <v>1982</v>
      </c>
      <c r="F300" s="1186">
        <v>80</v>
      </c>
      <c r="G300" s="1186">
        <v>65</v>
      </c>
      <c r="H300" s="1186">
        <v>3</v>
      </c>
      <c r="I300" s="1186">
        <v>6</v>
      </c>
      <c r="J300" s="1186">
        <v>6</v>
      </c>
    </row>
    <row r="301" spans="1:10" x14ac:dyDescent="0.2">
      <c r="A301" s="1186" t="s">
        <v>343</v>
      </c>
      <c r="B301" s="1186" t="s">
        <v>20</v>
      </c>
      <c r="C301" s="1186" t="s">
        <v>882</v>
      </c>
      <c r="D301" s="1186" t="s">
        <v>1983</v>
      </c>
      <c r="E301" s="1186" t="s">
        <v>1984</v>
      </c>
      <c r="F301" s="1186">
        <v>99</v>
      </c>
      <c r="G301" s="1186">
        <v>76</v>
      </c>
      <c r="H301" s="1186">
        <v>13</v>
      </c>
      <c r="I301" s="1186">
        <v>4</v>
      </c>
      <c r="J301" s="1186">
        <v>6</v>
      </c>
    </row>
    <row r="302" spans="1:10" x14ac:dyDescent="0.2">
      <c r="A302" s="1186" t="s">
        <v>343</v>
      </c>
      <c r="B302" s="1186" t="s">
        <v>20</v>
      </c>
      <c r="C302" s="1186" t="s">
        <v>883</v>
      </c>
      <c r="D302" s="1186" t="s">
        <v>1983</v>
      </c>
      <c r="E302" s="1186" t="s">
        <v>1984</v>
      </c>
      <c r="F302" s="1186">
        <v>79</v>
      </c>
      <c r="G302" s="1186">
        <v>67</v>
      </c>
      <c r="H302" s="1186">
        <v>8</v>
      </c>
      <c r="I302" s="1186">
        <v>1</v>
      </c>
      <c r="J302" s="1186">
        <v>3</v>
      </c>
    </row>
    <row r="303" spans="1:10" x14ac:dyDescent="0.2">
      <c r="A303" s="1186" t="s">
        <v>343</v>
      </c>
      <c r="B303" s="1186" t="s">
        <v>20</v>
      </c>
      <c r="C303" s="1186" t="s">
        <v>884</v>
      </c>
      <c r="D303" s="1186" t="s">
        <v>1985</v>
      </c>
      <c r="E303" s="1186" t="s">
        <v>1984</v>
      </c>
      <c r="F303" s="1186">
        <v>83</v>
      </c>
      <c r="G303" s="1186">
        <v>64</v>
      </c>
      <c r="H303" s="1186">
        <v>14</v>
      </c>
      <c r="I303" s="1186">
        <v>3</v>
      </c>
      <c r="J303" s="1186">
        <v>2</v>
      </c>
    </row>
    <row r="304" spans="1:10" x14ac:dyDescent="0.2">
      <c r="A304" s="1186" t="s">
        <v>343</v>
      </c>
      <c r="B304" s="1186" t="s">
        <v>20</v>
      </c>
      <c r="C304" s="1186" t="s">
        <v>885</v>
      </c>
      <c r="D304" s="1186" t="s">
        <v>1985</v>
      </c>
      <c r="E304" s="1186" t="s">
        <v>1986</v>
      </c>
      <c r="F304" s="1186">
        <v>124</v>
      </c>
      <c r="G304" s="1186">
        <v>106</v>
      </c>
      <c r="H304" s="1186">
        <v>10</v>
      </c>
      <c r="I304" s="1186">
        <v>5</v>
      </c>
      <c r="J304" s="1186">
        <v>3</v>
      </c>
    </row>
    <row r="305" spans="1:10" x14ac:dyDescent="0.2">
      <c r="A305" s="1186" t="s">
        <v>343</v>
      </c>
      <c r="B305" s="1186" t="s">
        <v>20</v>
      </c>
      <c r="C305" s="1186" t="s">
        <v>20</v>
      </c>
      <c r="D305" s="1186" t="s">
        <v>1985</v>
      </c>
      <c r="E305" s="1186" t="s">
        <v>1986</v>
      </c>
      <c r="F305" s="1186">
        <v>127</v>
      </c>
      <c r="G305" s="1186">
        <v>120</v>
      </c>
      <c r="H305" s="1186">
        <v>2</v>
      </c>
      <c r="I305" s="1186">
        <v>2</v>
      </c>
      <c r="J305" s="1186">
        <v>3</v>
      </c>
    </row>
    <row r="306" spans="1:10" x14ac:dyDescent="0.2">
      <c r="A306" s="1186" t="s">
        <v>343</v>
      </c>
      <c r="B306" s="1186" t="s">
        <v>20</v>
      </c>
      <c r="C306" s="1186" t="s">
        <v>886</v>
      </c>
      <c r="D306" s="1186" t="s">
        <v>1987</v>
      </c>
      <c r="E306" s="1186" t="s">
        <v>1986</v>
      </c>
      <c r="F306" s="1186">
        <v>148</v>
      </c>
      <c r="G306" s="1186">
        <v>138</v>
      </c>
      <c r="H306" s="1186">
        <v>9</v>
      </c>
      <c r="I306" s="1186"/>
      <c r="J306" s="1186">
        <v>1</v>
      </c>
    </row>
    <row r="307" spans="1:10" x14ac:dyDescent="0.2">
      <c r="A307" s="1186" t="s">
        <v>343</v>
      </c>
      <c r="B307" s="1186" t="s">
        <v>20</v>
      </c>
      <c r="C307" s="1186" t="s">
        <v>887</v>
      </c>
      <c r="D307" s="1186" t="s">
        <v>1987</v>
      </c>
      <c r="E307" s="1186" t="s">
        <v>1988</v>
      </c>
      <c r="F307" s="1186">
        <v>189</v>
      </c>
      <c r="G307" s="1186">
        <v>168</v>
      </c>
      <c r="H307" s="1186">
        <v>11</v>
      </c>
      <c r="I307" s="1186">
        <v>8</v>
      </c>
      <c r="J307" s="1186">
        <v>2</v>
      </c>
    </row>
    <row r="308" spans="1:10" x14ac:dyDescent="0.2">
      <c r="A308" s="1186" t="s">
        <v>343</v>
      </c>
      <c r="B308" s="1186" t="s">
        <v>20</v>
      </c>
      <c r="C308" s="1186" t="s">
        <v>888</v>
      </c>
      <c r="D308" s="1186" t="s">
        <v>1987</v>
      </c>
      <c r="E308" s="1186" t="s">
        <v>1988</v>
      </c>
      <c r="F308" s="1186">
        <v>112</v>
      </c>
      <c r="G308" s="1186">
        <v>93</v>
      </c>
      <c r="H308" s="1186">
        <v>14</v>
      </c>
      <c r="I308" s="1186">
        <v>2</v>
      </c>
      <c r="J308" s="1186">
        <v>3</v>
      </c>
    </row>
    <row r="309" spans="1:10" x14ac:dyDescent="0.2">
      <c r="A309" s="1186" t="s">
        <v>343</v>
      </c>
      <c r="B309" s="1186" t="s">
        <v>20</v>
      </c>
      <c r="C309" s="1186" t="s">
        <v>889</v>
      </c>
      <c r="D309" s="1186" t="s">
        <v>1981</v>
      </c>
      <c r="E309" s="1186" t="s">
        <v>1988</v>
      </c>
      <c r="F309" s="1186">
        <v>81</v>
      </c>
      <c r="G309" s="1186">
        <v>72</v>
      </c>
      <c r="H309" s="1186">
        <v>6</v>
      </c>
      <c r="I309" s="1186">
        <v>2</v>
      </c>
      <c r="J309" s="1186">
        <v>1</v>
      </c>
    </row>
    <row r="310" spans="1:10" x14ac:dyDescent="0.2">
      <c r="A310" s="1186" t="s">
        <v>343</v>
      </c>
      <c r="B310" s="1186" t="s">
        <v>13</v>
      </c>
      <c r="C310" s="1186" t="s">
        <v>890</v>
      </c>
      <c r="D310" s="1186" t="s">
        <v>1981</v>
      </c>
      <c r="E310" s="1186" t="s">
        <v>1982</v>
      </c>
      <c r="F310" s="1186">
        <v>113</v>
      </c>
      <c r="G310" s="1186">
        <v>96</v>
      </c>
      <c r="H310" s="1186">
        <v>6</v>
      </c>
      <c r="I310" s="1186">
        <v>6</v>
      </c>
      <c r="J310" s="1186">
        <v>5</v>
      </c>
    </row>
    <row r="311" spans="1:10" x14ac:dyDescent="0.2">
      <c r="A311" s="1186" t="s">
        <v>343</v>
      </c>
      <c r="B311" s="1186" t="s">
        <v>13</v>
      </c>
      <c r="C311" s="1186" t="s">
        <v>891</v>
      </c>
      <c r="D311" s="1186" t="s">
        <v>1981</v>
      </c>
      <c r="E311" s="1186" t="s">
        <v>1982</v>
      </c>
      <c r="F311" s="1186">
        <v>75</v>
      </c>
      <c r="G311" s="1186">
        <v>70</v>
      </c>
      <c r="H311" s="1186"/>
      <c r="I311" s="1186">
        <v>1</v>
      </c>
      <c r="J311" s="1186">
        <v>4</v>
      </c>
    </row>
    <row r="312" spans="1:10" x14ac:dyDescent="0.2">
      <c r="A312" s="1186" t="s">
        <v>343</v>
      </c>
      <c r="B312" s="1186" t="s">
        <v>13</v>
      </c>
      <c r="C312" s="1186" t="s">
        <v>892</v>
      </c>
      <c r="D312" s="1186" t="s">
        <v>1983</v>
      </c>
      <c r="E312" s="1186" t="s">
        <v>1982</v>
      </c>
      <c r="F312" s="1186">
        <v>76</v>
      </c>
      <c r="G312" s="1186">
        <v>62</v>
      </c>
      <c r="H312" s="1186">
        <v>6</v>
      </c>
      <c r="I312" s="1186">
        <v>4</v>
      </c>
      <c r="J312" s="1186">
        <v>4</v>
      </c>
    </row>
    <row r="313" spans="1:10" x14ac:dyDescent="0.2">
      <c r="A313" s="1186" t="s">
        <v>343</v>
      </c>
      <c r="B313" s="1186" t="s">
        <v>13</v>
      </c>
      <c r="C313" s="1186" t="s">
        <v>893</v>
      </c>
      <c r="D313" s="1186" t="s">
        <v>1983</v>
      </c>
      <c r="E313" s="1186" t="s">
        <v>1984</v>
      </c>
      <c r="F313" s="1186">
        <v>130</v>
      </c>
      <c r="G313" s="1186">
        <v>111</v>
      </c>
      <c r="H313" s="1186">
        <v>13</v>
      </c>
      <c r="I313" s="1186">
        <v>5</v>
      </c>
      <c r="J313" s="1186">
        <v>1</v>
      </c>
    </row>
    <row r="314" spans="1:10" x14ac:dyDescent="0.2">
      <c r="A314" s="1186" t="s">
        <v>343</v>
      </c>
      <c r="B314" s="1186" t="s">
        <v>13</v>
      </c>
      <c r="C314" s="1186" t="s">
        <v>894</v>
      </c>
      <c r="D314" s="1186" t="s">
        <v>1983</v>
      </c>
      <c r="E314" s="1186" t="s">
        <v>1984</v>
      </c>
      <c r="F314" s="1186">
        <v>111</v>
      </c>
      <c r="G314" s="1186">
        <v>82</v>
      </c>
      <c r="H314" s="1186">
        <v>15</v>
      </c>
      <c r="I314" s="1186">
        <v>10</v>
      </c>
      <c r="J314" s="1186">
        <v>4</v>
      </c>
    </row>
    <row r="315" spans="1:10" x14ac:dyDescent="0.2">
      <c r="A315" s="1186" t="s">
        <v>343</v>
      </c>
      <c r="B315" s="1186" t="s">
        <v>13</v>
      </c>
      <c r="C315" s="1186" t="s">
        <v>895</v>
      </c>
      <c r="D315" s="1186" t="s">
        <v>1985</v>
      </c>
      <c r="E315" s="1186" t="s">
        <v>1984</v>
      </c>
      <c r="F315" s="1186">
        <v>100</v>
      </c>
      <c r="G315" s="1186">
        <v>90</v>
      </c>
      <c r="H315" s="1186">
        <v>2</v>
      </c>
      <c r="I315" s="1186">
        <v>6</v>
      </c>
      <c r="J315" s="1186">
        <v>2</v>
      </c>
    </row>
    <row r="316" spans="1:10" x14ac:dyDescent="0.2">
      <c r="A316" s="1186" t="s">
        <v>343</v>
      </c>
      <c r="B316" s="1186" t="s">
        <v>13</v>
      </c>
      <c r="C316" s="1186" t="s">
        <v>896</v>
      </c>
      <c r="D316" s="1186" t="s">
        <v>1985</v>
      </c>
      <c r="E316" s="1186" t="s">
        <v>1986</v>
      </c>
      <c r="F316" s="1186">
        <v>127</v>
      </c>
      <c r="G316" s="1186">
        <v>117</v>
      </c>
      <c r="H316" s="1186">
        <v>5</v>
      </c>
      <c r="I316" s="1186">
        <v>2</v>
      </c>
      <c r="J316" s="1186">
        <v>3</v>
      </c>
    </row>
    <row r="317" spans="1:10" x14ac:dyDescent="0.2">
      <c r="A317" s="1186" t="s">
        <v>343</v>
      </c>
      <c r="B317" s="1186" t="s">
        <v>13</v>
      </c>
      <c r="C317" s="1186" t="s">
        <v>897</v>
      </c>
      <c r="D317" s="1186" t="s">
        <v>1985</v>
      </c>
      <c r="E317" s="1186" t="s">
        <v>1986</v>
      </c>
      <c r="F317" s="1186">
        <v>133</v>
      </c>
      <c r="G317" s="1186">
        <v>116</v>
      </c>
      <c r="H317" s="1186">
        <v>9</v>
      </c>
      <c r="I317" s="1186">
        <v>5</v>
      </c>
      <c r="J317" s="1186">
        <v>3</v>
      </c>
    </row>
    <row r="318" spans="1:10" x14ac:dyDescent="0.2">
      <c r="A318" s="1186" t="s">
        <v>343</v>
      </c>
      <c r="B318" s="1186" t="s">
        <v>13</v>
      </c>
      <c r="C318" s="1186" t="s">
        <v>13</v>
      </c>
      <c r="D318" s="1186" t="s">
        <v>1987</v>
      </c>
      <c r="E318" s="1186" t="s">
        <v>1986</v>
      </c>
      <c r="F318" s="1186">
        <v>167</v>
      </c>
      <c r="G318" s="1186">
        <v>155</v>
      </c>
      <c r="H318" s="1186">
        <v>9</v>
      </c>
      <c r="I318" s="1186">
        <v>3</v>
      </c>
      <c r="J318" s="1186"/>
    </row>
    <row r="319" spans="1:10" x14ac:dyDescent="0.2">
      <c r="A319" s="1186" t="s">
        <v>343</v>
      </c>
      <c r="B319" s="1186" t="s">
        <v>13</v>
      </c>
      <c r="C319" s="1186" t="s">
        <v>898</v>
      </c>
      <c r="D319" s="1186" t="s">
        <v>1987</v>
      </c>
      <c r="E319" s="1186" t="s">
        <v>1988</v>
      </c>
      <c r="F319" s="1186">
        <v>127</v>
      </c>
      <c r="G319" s="1186">
        <v>105</v>
      </c>
      <c r="H319" s="1186">
        <v>15</v>
      </c>
      <c r="I319" s="1186">
        <v>3</v>
      </c>
      <c r="J319" s="1186">
        <v>4</v>
      </c>
    </row>
    <row r="320" spans="1:10" x14ac:dyDescent="0.2">
      <c r="A320" s="1186" t="s">
        <v>343</v>
      </c>
      <c r="B320" s="1186" t="s">
        <v>13</v>
      </c>
      <c r="C320" s="1186" t="s">
        <v>899</v>
      </c>
      <c r="D320" s="1186" t="s">
        <v>1987</v>
      </c>
      <c r="E320" s="1186" t="s">
        <v>1988</v>
      </c>
      <c r="F320" s="1186">
        <v>129</v>
      </c>
      <c r="G320" s="1186">
        <v>114</v>
      </c>
      <c r="H320" s="1186">
        <v>13</v>
      </c>
      <c r="I320" s="1186">
        <v>2</v>
      </c>
      <c r="J320" s="1186"/>
    </row>
    <row r="321" spans="1:10" x14ac:dyDescent="0.2">
      <c r="A321" s="1186" t="s">
        <v>343</v>
      </c>
      <c r="B321" s="1186" t="s">
        <v>13</v>
      </c>
      <c r="C321" s="1186" t="s">
        <v>900</v>
      </c>
      <c r="D321" s="1186" t="s">
        <v>1981</v>
      </c>
      <c r="E321" s="1186" t="s">
        <v>1988</v>
      </c>
      <c r="F321" s="1186">
        <v>126</v>
      </c>
      <c r="G321" s="1186">
        <v>101</v>
      </c>
      <c r="H321" s="1186">
        <v>6</v>
      </c>
      <c r="I321" s="1186">
        <v>11</v>
      </c>
      <c r="J321" s="1186">
        <v>8</v>
      </c>
    </row>
    <row r="322" spans="1:10" x14ac:dyDescent="0.2">
      <c r="A322" s="1186" t="s">
        <v>343</v>
      </c>
      <c r="B322" s="1186" t="s">
        <v>15</v>
      </c>
      <c r="C322" s="1186" t="s">
        <v>901</v>
      </c>
      <c r="D322" s="1186" t="s">
        <v>1981</v>
      </c>
      <c r="E322" s="1186" t="s">
        <v>1982</v>
      </c>
      <c r="F322" s="1186">
        <v>91</v>
      </c>
      <c r="G322" s="1186">
        <v>82</v>
      </c>
      <c r="H322" s="1186">
        <v>2</v>
      </c>
      <c r="I322" s="1186">
        <v>5</v>
      </c>
      <c r="J322" s="1186">
        <v>2</v>
      </c>
    </row>
    <row r="323" spans="1:10" x14ac:dyDescent="0.2">
      <c r="A323" s="1186" t="s">
        <v>343</v>
      </c>
      <c r="B323" s="1186" t="s">
        <v>15</v>
      </c>
      <c r="C323" s="1186" t="s">
        <v>902</v>
      </c>
      <c r="D323" s="1186" t="s">
        <v>1981</v>
      </c>
      <c r="E323" s="1186" t="s">
        <v>1982</v>
      </c>
      <c r="F323" s="1186">
        <v>129</v>
      </c>
      <c r="G323" s="1186">
        <v>116</v>
      </c>
      <c r="H323" s="1186">
        <v>5</v>
      </c>
      <c r="I323" s="1186">
        <v>5</v>
      </c>
      <c r="J323" s="1186">
        <v>3</v>
      </c>
    </row>
    <row r="324" spans="1:10" x14ac:dyDescent="0.2">
      <c r="A324" s="1186" t="s">
        <v>343</v>
      </c>
      <c r="B324" s="1186" t="s">
        <v>15</v>
      </c>
      <c r="C324" s="1186" t="s">
        <v>903</v>
      </c>
      <c r="D324" s="1186" t="s">
        <v>1983</v>
      </c>
      <c r="E324" s="1186" t="s">
        <v>1982</v>
      </c>
      <c r="F324" s="1186">
        <v>79</v>
      </c>
      <c r="G324" s="1186">
        <v>69</v>
      </c>
      <c r="H324" s="1186">
        <v>7</v>
      </c>
      <c r="I324" s="1186">
        <v>2</v>
      </c>
      <c r="J324" s="1186">
        <v>1</v>
      </c>
    </row>
    <row r="325" spans="1:10" x14ac:dyDescent="0.2">
      <c r="A325" s="1186" t="s">
        <v>343</v>
      </c>
      <c r="B325" s="1186" t="s">
        <v>15</v>
      </c>
      <c r="C325" s="1186" t="s">
        <v>904</v>
      </c>
      <c r="D325" s="1186" t="s">
        <v>1983</v>
      </c>
      <c r="E325" s="1186" t="s">
        <v>1984</v>
      </c>
      <c r="F325" s="1186">
        <v>91</v>
      </c>
      <c r="G325" s="1186">
        <v>75</v>
      </c>
      <c r="H325" s="1186">
        <v>11</v>
      </c>
      <c r="I325" s="1186">
        <v>3</v>
      </c>
      <c r="J325" s="1186">
        <v>2</v>
      </c>
    </row>
    <row r="326" spans="1:10" x14ac:dyDescent="0.2">
      <c r="A326" s="1186" t="s">
        <v>343</v>
      </c>
      <c r="B326" s="1186" t="s">
        <v>15</v>
      </c>
      <c r="C326" s="1186" t="s">
        <v>905</v>
      </c>
      <c r="D326" s="1186" t="s">
        <v>1983</v>
      </c>
      <c r="E326" s="1186" t="s">
        <v>1984</v>
      </c>
      <c r="F326" s="1186">
        <v>108</v>
      </c>
      <c r="G326" s="1186">
        <v>89</v>
      </c>
      <c r="H326" s="1186">
        <v>12</v>
      </c>
      <c r="I326" s="1186">
        <v>3</v>
      </c>
      <c r="J326" s="1186">
        <v>4</v>
      </c>
    </row>
    <row r="327" spans="1:10" x14ac:dyDescent="0.2">
      <c r="A327" s="1186" t="s">
        <v>343</v>
      </c>
      <c r="B327" s="1186" t="s">
        <v>15</v>
      </c>
      <c r="C327" s="1186" t="s">
        <v>906</v>
      </c>
      <c r="D327" s="1186" t="s">
        <v>1985</v>
      </c>
      <c r="E327" s="1186" t="s">
        <v>1984</v>
      </c>
      <c r="F327" s="1186">
        <v>87</v>
      </c>
      <c r="G327" s="1186">
        <v>78</v>
      </c>
      <c r="H327" s="1186">
        <v>6</v>
      </c>
      <c r="I327" s="1186">
        <v>3</v>
      </c>
      <c r="J327" s="1186"/>
    </row>
    <row r="328" spans="1:10" x14ac:dyDescent="0.2">
      <c r="A328" s="1186" t="s">
        <v>343</v>
      </c>
      <c r="B328" s="1186" t="s">
        <v>15</v>
      </c>
      <c r="C328" s="1186" t="s">
        <v>907</v>
      </c>
      <c r="D328" s="1186" t="s">
        <v>1985</v>
      </c>
      <c r="E328" s="1186" t="s">
        <v>1986</v>
      </c>
      <c r="F328" s="1186">
        <v>112</v>
      </c>
      <c r="G328" s="1186">
        <v>101</v>
      </c>
      <c r="H328" s="1186">
        <v>8</v>
      </c>
      <c r="I328" s="1186">
        <v>2</v>
      </c>
      <c r="J328" s="1186">
        <v>1</v>
      </c>
    </row>
    <row r="329" spans="1:10" x14ac:dyDescent="0.2">
      <c r="A329" s="1186" t="s">
        <v>343</v>
      </c>
      <c r="B329" s="1186" t="s">
        <v>15</v>
      </c>
      <c r="C329" s="1186" t="s">
        <v>908</v>
      </c>
      <c r="D329" s="1186" t="s">
        <v>1985</v>
      </c>
      <c r="E329" s="1186" t="s">
        <v>1986</v>
      </c>
      <c r="F329" s="1186">
        <v>119</v>
      </c>
      <c r="G329" s="1186">
        <v>103</v>
      </c>
      <c r="H329" s="1186">
        <v>8</v>
      </c>
      <c r="I329" s="1186">
        <v>6</v>
      </c>
      <c r="J329" s="1186">
        <v>2</v>
      </c>
    </row>
    <row r="330" spans="1:10" x14ac:dyDescent="0.2">
      <c r="A330" s="1186" t="s">
        <v>343</v>
      </c>
      <c r="B330" s="1186" t="s">
        <v>15</v>
      </c>
      <c r="C330" s="1186" t="s">
        <v>909</v>
      </c>
      <c r="D330" s="1186" t="s">
        <v>1987</v>
      </c>
      <c r="E330" s="1186" t="s">
        <v>1986</v>
      </c>
      <c r="F330" s="1186">
        <v>131</v>
      </c>
      <c r="G330" s="1186">
        <v>118</v>
      </c>
      <c r="H330" s="1186">
        <v>9</v>
      </c>
      <c r="I330" s="1186">
        <v>2</v>
      </c>
      <c r="J330" s="1186">
        <v>2</v>
      </c>
    </row>
    <row r="331" spans="1:10" x14ac:dyDescent="0.2">
      <c r="A331" s="1186" t="s">
        <v>343</v>
      </c>
      <c r="B331" s="1186" t="s">
        <v>15</v>
      </c>
      <c r="C331" s="1186" t="s">
        <v>910</v>
      </c>
      <c r="D331" s="1186" t="s">
        <v>1987</v>
      </c>
      <c r="E331" s="1186" t="s">
        <v>1988</v>
      </c>
      <c r="F331" s="1186">
        <v>140</v>
      </c>
      <c r="G331" s="1186">
        <v>127</v>
      </c>
      <c r="H331" s="1186">
        <v>10</v>
      </c>
      <c r="I331" s="1186">
        <v>2</v>
      </c>
      <c r="J331" s="1186">
        <v>1</v>
      </c>
    </row>
    <row r="332" spans="1:10" x14ac:dyDescent="0.2">
      <c r="A332" s="1186" t="s">
        <v>343</v>
      </c>
      <c r="B332" s="1186" t="s">
        <v>15</v>
      </c>
      <c r="C332" s="1186" t="s">
        <v>911</v>
      </c>
      <c r="D332" s="1186" t="s">
        <v>1987</v>
      </c>
      <c r="E332" s="1186" t="s">
        <v>1988</v>
      </c>
      <c r="F332" s="1186">
        <v>119</v>
      </c>
      <c r="G332" s="1186">
        <v>107</v>
      </c>
      <c r="H332" s="1186">
        <v>10</v>
      </c>
      <c r="I332" s="1186">
        <v>2</v>
      </c>
      <c r="J332" s="1186"/>
    </row>
    <row r="333" spans="1:10" x14ac:dyDescent="0.2">
      <c r="A333" s="1186" t="s">
        <v>343</v>
      </c>
      <c r="B333" s="1186" t="s">
        <v>15</v>
      </c>
      <c r="C333" s="1186" t="s">
        <v>912</v>
      </c>
      <c r="D333" s="1186" t="s">
        <v>1981</v>
      </c>
      <c r="E333" s="1186" t="s">
        <v>1988</v>
      </c>
      <c r="F333" s="1186">
        <v>113</v>
      </c>
      <c r="G333" s="1186">
        <v>101</v>
      </c>
      <c r="H333" s="1186">
        <v>4</v>
      </c>
      <c r="I333" s="1186"/>
      <c r="J333" s="1186">
        <v>8</v>
      </c>
    </row>
    <row r="334" spans="1:10" x14ac:dyDescent="0.2">
      <c r="A334" s="1186" t="s">
        <v>343</v>
      </c>
      <c r="B334" s="1186" t="s">
        <v>17</v>
      </c>
      <c r="C334" s="1186" t="s">
        <v>913</v>
      </c>
      <c r="D334" s="1186" t="s">
        <v>1981</v>
      </c>
      <c r="E334" s="1186" t="s">
        <v>1982</v>
      </c>
      <c r="F334" s="1186">
        <v>104</v>
      </c>
      <c r="G334" s="1186">
        <v>93</v>
      </c>
      <c r="H334" s="1186">
        <v>7</v>
      </c>
      <c r="I334" s="1186"/>
      <c r="J334" s="1186">
        <v>4</v>
      </c>
    </row>
    <row r="335" spans="1:10" x14ac:dyDescent="0.2">
      <c r="A335" s="1186" t="s">
        <v>343</v>
      </c>
      <c r="B335" s="1186" t="s">
        <v>17</v>
      </c>
      <c r="C335" s="1186" t="s">
        <v>914</v>
      </c>
      <c r="D335" s="1186" t="s">
        <v>1981</v>
      </c>
      <c r="E335" s="1186" t="s">
        <v>1982</v>
      </c>
      <c r="F335" s="1186">
        <v>134</v>
      </c>
      <c r="G335" s="1186">
        <v>105</v>
      </c>
      <c r="H335" s="1186">
        <v>12</v>
      </c>
      <c r="I335" s="1186">
        <v>12</v>
      </c>
      <c r="J335" s="1186">
        <v>5</v>
      </c>
    </row>
    <row r="336" spans="1:10" x14ac:dyDescent="0.2">
      <c r="A336" s="1186" t="s">
        <v>343</v>
      </c>
      <c r="B336" s="1186" t="s">
        <v>17</v>
      </c>
      <c r="C336" s="1186" t="s">
        <v>915</v>
      </c>
      <c r="D336" s="1186" t="s">
        <v>1983</v>
      </c>
      <c r="E336" s="1186" t="s">
        <v>1982</v>
      </c>
      <c r="F336" s="1186">
        <v>102</v>
      </c>
      <c r="G336" s="1186">
        <v>90</v>
      </c>
      <c r="H336" s="1186">
        <v>10</v>
      </c>
      <c r="I336" s="1186">
        <v>2</v>
      </c>
      <c r="J336" s="1186"/>
    </row>
    <row r="337" spans="1:10" x14ac:dyDescent="0.2">
      <c r="A337" s="1186" t="s">
        <v>343</v>
      </c>
      <c r="B337" s="1186" t="s">
        <v>17</v>
      </c>
      <c r="C337" s="1186" t="s">
        <v>916</v>
      </c>
      <c r="D337" s="1186" t="s">
        <v>1983</v>
      </c>
      <c r="E337" s="1186" t="s">
        <v>1984</v>
      </c>
      <c r="F337" s="1186">
        <v>130</v>
      </c>
      <c r="G337" s="1186">
        <v>107</v>
      </c>
      <c r="H337" s="1186">
        <v>10</v>
      </c>
      <c r="I337" s="1186">
        <v>4</v>
      </c>
      <c r="J337" s="1186">
        <v>9</v>
      </c>
    </row>
    <row r="338" spans="1:10" x14ac:dyDescent="0.2">
      <c r="A338" s="1186" t="s">
        <v>343</v>
      </c>
      <c r="B338" s="1186" t="s">
        <v>17</v>
      </c>
      <c r="C338" s="1186" t="s">
        <v>917</v>
      </c>
      <c r="D338" s="1186" t="s">
        <v>1983</v>
      </c>
      <c r="E338" s="1186" t="s">
        <v>1984</v>
      </c>
      <c r="F338" s="1186">
        <v>126</v>
      </c>
      <c r="G338" s="1186">
        <v>99</v>
      </c>
      <c r="H338" s="1186">
        <v>12</v>
      </c>
      <c r="I338" s="1186">
        <v>8</v>
      </c>
      <c r="J338" s="1186">
        <v>7</v>
      </c>
    </row>
    <row r="339" spans="1:10" x14ac:dyDescent="0.2">
      <c r="A339" s="1186" t="s">
        <v>343</v>
      </c>
      <c r="B339" s="1186" t="s">
        <v>17</v>
      </c>
      <c r="C339" s="1186" t="s">
        <v>918</v>
      </c>
      <c r="D339" s="1186" t="s">
        <v>1985</v>
      </c>
      <c r="E339" s="1186" t="s">
        <v>1984</v>
      </c>
      <c r="F339" s="1186">
        <v>108</v>
      </c>
      <c r="G339" s="1186">
        <v>92</v>
      </c>
      <c r="H339" s="1186">
        <v>9</v>
      </c>
      <c r="I339" s="1186">
        <v>4</v>
      </c>
      <c r="J339" s="1186">
        <v>3</v>
      </c>
    </row>
    <row r="340" spans="1:10" x14ac:dyDescent="0.2">
      <c r="A340" s="1186" t="s">
        <v>343</v>
      </c>
      <c r="B340" s="1186" t="s">
        <v>17</v>
      </c>
      <c r="C340" s="1186" t="s">
        <v>919</v>
      </c>
      <c r="D340" s="1186" t="s">
        <v>1985</v>
      </c>
      <c r="E340" s="1186" t="s">
        <v>1986</v>
      </c>
      <c r="F340" s="1186">
        <v>70</v>
      </c>
      <c r="G340" s="1186">
        <v>65</v>
      </c>
      <c r="H340" s="1186">
        <v>3</v>
      </c>
      <c r="I340" s="1186">
        <v>2</v>
      </c>
      <c r="J340" s="1186"/>
    </row>
    <row r="341" spans="1:10" x14ac:dyDescent="0.2">
      <c r="A341" s="1186" t="s">
        <v>343</v>
      </c>
      <c r="B341" s="1186" t="s">
        <v>17</v>
      </c>
      <c r="C341" s="1186" t="s">
        <v>920</v>
      </c>
      <c r="D341" s="1186" t="s">
        <v>1985</v>
      </c>
      <c r="E341" s="1186" t="s">
        <v>1986</v>
      </c>
      <c r="F341" s="1186">
        <v>90</v>
      </c>
      <c r="G341" s="1186">
        <v>81</v>
      </c>
      <c r="H341" s="1186">
        <v>5</v>
      </c>
      <c r="I341" s="1186">
        <v>2</v>
      </c>
      <c r="J341" s="1186">
        <v>2</v>
      </c>
    </row>
    <row r="342" spans="1:10" x14ac:dyDescent="0.2">
      <c r="A342" s="1186" t="s">
        <v>343</v>
      </c>
      <c r="B342" s="1186" t="s">
        <v>17</v>
      </c>
      <c r="C342" s="1186" t="s">
        <v>921</v>
      </c>
      <c r="D342" s="1186" t="s">
        <v>1987</v>
      </c>
      <c r="E342" s="1186" t="s">
        <v>1986</v>
      </c>
      <c r="F342" s="1186">
        <v>149</v>
      </c>
      <c r="G342" s="1186">
        <v>137</v>
      </c>
      <c r="H342" s="1186">
        <v>7</v>
      </c>
      <c r="I342" s="1186">
        <v>4</v>
      </c>
      <c r="J342" s="1186">
        <v>1</v>
      </c>
    </row>
    <row r="343" spans="1:10" x14ac:dyDescent="0.2">
      <c r="A343" s="1186" t="s">
        <v>343</v>
      </c>
      <c r="B343" s="1186" t="s">
        <v>17</v>
      </c>
      <c r="C343" s="1186" t="s">
        <v>922</v>
      </c>
      <c r="D343" s="1186" t="s">
        <v>1987</v>
      </c>
      <c r="E343" s="1186" t="s">
        <v>1988</v>
      </c>
      <c r="F343" s="1186">
        <v>99</v>
      </c>
      <c r="G343" s="1186">
        <v>92</v>
      </c>
      <c r="H343" s="1186">
        <v>3</v>
      </c>
      <c r="I343" s="1186">
        <v>4</v>
      </c>
      <c r="J343" s="1186"/>
    </row>
    <row r="344" spans="1:10" x14ac:dyDescent="0.2">
      <c r="A344" s="1186" t="s">
        <v>343</v>
      </c>
      <c r="B344" s="1186" t="s">
        <v>17</v>
      </c>
      <c r="C344" s="1186" t="s">
        <v>923</v>
      </c>
      <c r="D344" s="1186" t="s">
        <v>1987</v>
      </c>
      <c r="E344" s="1186" t="s">
        <v>1988</v>
      </c>
      <c r="F344" s="1186">
        <v>93</v>
      </c>
      <c r="G344" s="1186">
        <v>88</v>
      </c>
      <c r="H344" s="1186">
        <v>3</v>
      </c>
      <c r="I344" s="1186">
        <v>1</v>
      </c>
      <c r="J344" s="1186">
        <v>1</v>
      </c>
    </row>
    <row r="345" spans="1:10" x14ac:dyDescent="0.2">
      <c r="A345" s="1186" t="s">
        <v>343</v>
      </c>
      <c r="B345" s="1186" t="s">
        <v>17</v>
      </c>
      <c r="C345" s="1186" t="s">
        <v>924</v>
      </c>
      <c r="D345" s="1186" t="s">
        <v>1981</v>
      </c>
      <c r="E345" s="1186" t="s">
        <v>1988</v>
      </c>
      <c r="F345" s="1186">
        <v>105</v>
      </c>
      <c r="G345" s="1186">
        <v>91</v>
      </c>
      <c r="H345" s="1186">
        <v>5</v>
      </c>
      <c r="I345" s="1186">
        <v>7</v>
      </c>
      <c r="J345" s="1186">
        <v>2</v>
      </c>
    </row>
    <row r="346" spans="1:10" x14ac:dyDescent="0.2">
      <c r="A346" s="1186" t="s">
        <v>343</v>
      </c>
      <c r="B346" s="1186" t="s">
        <v>133</v>
      </c>
      <c r="C346" s="1186" t="s">
        <v>925</v>
      </c>
      <c r="D346" s="1186" t="s">
        <v>1981</v>
      </c>
      <c r="E346" s="1186" t="s">
        <v>1982</v>
      </c>
      <c r="F346" s="1186">
        <v>78</v>
      </c>
      <c r="G346" s="1186">
        <v>60</v>
      </c>
      <c r="H346" s="1186">
        <v>13</v>
      </c>
      <c r="I346" s="1186">
        <v>2</v>
      </c>
      <c r="J346" s="1186">
        <v>3</v>
      </c>
    </row>
    <row r="347" spans="1:10" x14ac:dyDescent="0.2">
      <c r="A347" s="1186" t="s">
        <v>343</v>
      </c>
      <c r="B347" s="1186" t="s">
        <v>133</v>
      </c>
      <c r="C347" s="1186" t="s">
        <v>926</v>
      </c>
      <c r="D347" s="1186" t="s">
        <v>1981</v>
      </c>
      <c r="E347" s="1186" t="s">
        <v>1982</v>
      </c>
      <c r="F347" s="1186">
        <v>113</v>
      </c>
      <c r="G347" s="1186">
        <v>97</v>
      </c>
      <c r="H347" s="1186">
        <v>8</v>
      </c>
      <c r="I347" s="1186">
        <v>6</v>
      </c>
      <c r="J347" s="1186">
        <v>2</v>
      </c>
    </row>
    <row r="348" spans="1:10" x14ac:dyDescent="0.2">
      <c r="A348" s="1186" t="s">
        <v>343</v>
      </c>
      <c r="B348" s="1186" t="s">
        <v>133</v>
      </c>
      <c r="C348" s="1186" t="s">
        <v>927</v>
      </c>
      <c r="D348" s="1186" t="s">
        <v>1983</v>
      </c>
      <c r="E348" s="1186" t="s">
        <v>1982</v>
      </c>
      <c r="F348" s="1186">
        <v>80</v>
      </c>
      <c r="G348" s="1186">
        <v>67</v>
      </c>
      <c r="H348" s="1186">
        <v>6</v>
      </c>
      <c r="I348" s="1186">
        <v>4</v>
      </c>
      <c r="J348" s="1186">
        <v>3</v>
      </c>
    </row>
    <row r="349" spans="1:10" x14ac:dyDescent="0.2">
      <c r="A349" s="1186" t="s">
        <v>343</v>
      </c>
      <c r="B349" s="1186" t="s">
        <v>133</v>
      </c>
      <c r="C349" s="1186" t="s">
        <v>928</v>
      </c>
      <c r="D349" s="1186" t="s">
        <v>1983</v>
      </c>
      <c r="E349" s="1186" t="s">
        <v>1984</v>
      </c>
      <c r="F349" s="1186">
        <v>91</v>
      </c>
      <c r="G349" s="1186">
        <v>80</v>
      </c>
      <c r="H349" s="1186">
        <v>8</v>
      </c>
      <c r="I349" s="1186">
        <v>3</v>
      </c>
      <c r="J349" s="1186"/>
    </row>
    <row r="350" spans="1:10" x14ac:dyDescent="0.2">
      <c r="A350" s="1186" t="s">
        <v>343</v>
      </c>
      <c r="B350" s="1186" t="s">
        <v>133</v>
      </c>
      <c r="C350" s="1186" t="s">
        <v>929</v>
      </c>
      <c r="D350" s="1186" t="s">
        <v>1983</v>
      </c>
      <c r="E350" s="1186" t="s">
        <v>1984</v>
      </c>
      <c r="F350" s="1186">
        <v>79</v>
      </c>
      <c r="G350" s="1186">
        <v>67</v>
      </c>
      <c r="H350" s="1186">
        <v>7</v>
      </c>
      <c r="I350" s="1186">
        <v>2</v>
      </c>
      <c r="J350" s="1186">
        <v>3</v>
      </c>
    </row>
    <row r="351" spans="1:10" x14ac:dyDescent="0.2">
      <c r="A351" s="1186" t="s">
        <v>343</v>
      </c>
      <c r="B351" s="1186" t="s">
        <v>133</v>
      </c>
      <c r="C351" s="1186" t="s">
        <v>930</v>
      </c>
      <c r="D351" s="1186" t="s">
        <v>1985</v>
      </c>
      <c r="E351" s="1186" t="s">
        <v>1984</v>
      </c>
      <c r="F351" s="1186">
        <v>94</v>
      </c>
      <c r="G351" s="1186">
        <v>74</v>
      </c>
      <c r="H351" s="1186">
        <v>10</v>
      </c>
      <c r="I351" s="1186">
        <v>6</v>
      </c>
      <c r="J351" s="1186">
        <v>4</v>
      </c>
    </row>
    <row r="352" spans="1:10" x14ac:dyDescent="0.2">
      <c r="A352" s="1186" t="s">
        <v>343</v>
      </c>
      <c r="B352" s="1186" t="s">
        <v>133</v>
      </c>
      <c r="C352" s="1186" t="s">
        <v>931</v>
      </c>
      <c r="D352" s="1186" t="s">
        <v>1985</v>
      </c>
      <c r="E352" s="1186" t="s">
        <v>1986</v>
      </c>
      <c r="F352" s="1186">
        <v>98</v>
      </c>
      <c r="G352" s="1186">
        <v>89</v>
      </c>
      <c r="H352" s="1186">
        <v>7</v>
      </c>
      <c r="I352" s="1186">
        <v>1</v>
      </c>
      <c r="J352" s="1186">
        <v>1</v>
      </c>
    </row>
    <row r="353" spans="1:10" x14ac:dyDescent="0.2">
      <c r="A353" s="1186" t="s">
        <v>343</v>
      </c>
      <c r="B353" s="1186" t="s">
        <v>133</v>
      </c>
      <c r="C353" s="1186" t="s">
        <v>932</v>
      </c>
      <c r="D353" s="1186" t="s">
        <v>1985</v>
      </c>
      <c r="E353" s="1186" t="s">
        <v>1986</v>
      </c>
      <c r="F353" s="1186">
        <v>78</v>
      </c>
      <c r="G353" s="1186">
        <v>71</v>
      </c>
      <c r="H353" s="1186">
        <v>4</v>
      </c>
      <c r="I353" s="1186">
        <v>3</v>
      </c>
      <c r="J353" s="1186"/>
    </row>
    <row r="354" spans="1:10" x14ac:dyDescent="0.2">
      <c r="A354" s="1186" t="s">
        <v>343</v>
      </c>
      <c r="B354" s="1186" t="s">
        <v>133</v>
      </c>
      <c r="C354" s="1186" t="s">
        <v>933</v>
      </c>
      <c r="D354" s="1186" t="s">
        <v>1987</v>
      </c>
      <c r="E354" s="1186" t="s">
        <v>1986</v>
      </c>
      <c r="F354" s="1186">
        <v>97</v>
      </c>
      <c r="G354" s="1186">
        <v>86</v>
      </c>
      <c r="H354" s="1186">
        <v>7</v>
      </c>
      <c r="I354" s="1186">
        <v>3</v>
      </c>
      <c r="J354" s="1186">
        <v>1</v>
      </c>
    </row>
    <row r="355" spans="1:10" x14ac:dyDescent="0.2">
      <c r="A355" s="1186" t="s">
        <v>343</v>
      </c>
      <c r="B355" s="1186" t="s">
        <v>133</v>
      </c>
      <c r="C355" s="1186" t="s">
        <v>934</v>
      </c>
      <c r="D355" s="1186" t="s">
        <v>1987</v>
      </c>
      <c r="E355" s="1186" t="s">
        <v>1988</v>
      </c>
      <c r="F355" s="1186">
        <v>95</v>
      </c>
      <c r="G355" s="1186">
        <v>84</v>
      </c>
      <c r="H355" s="1186">
        <v>9</v>
      </c>
      <c r="I355" s="1186">
        <v>1</v>
      </c>
      <c r="J355" s="1186">
        <v>1</v>
      </c>
    </row>
    <row r="356" spans="1:10" x14ac:dyDescent="0.2">
      <c r="A356" s="1186" t="s">
        <v>343</v>
      </c>
      <c r="B356" s="1186" t="s">
        <v>133</v>
      </c>
      <c r="C356" s="1186" t="s">
        <v>935</v>
      </c>
      <c r="D356" s="1186" t="s">
        <v>1987</v>
      </c>
      <c r="E356" s="1186" t="s">
        <v>1988</v>
      </c>
      <c r="F356" s="1186">
        <v>87</v>
      </c>
      <c r="G356" s="1186">
        <v>72</v>
      </c>
      <c r="H356" s="1186">
        <v>7</v>
      </c>
      <c r="I356" s="1186">
        <v>6</v>
      </c>
      <c r="J356" s="1186">
        <v>2</v>
      </c>
    </row>
    <row r="357" spans="1:10" x14ac:dyDescent="0.2">
      <c r="A357" s="1186" t="s">
        <v>343</v>
      </c>
      <c r="B357" s="1186" t="s">
        <v>133</v>
      </c>
      <c r="C357" s="1186" t="s">
        <v>936</v>
      </c>
      <c r="D357" s="1186" t="s">
        <v>1981</v>
      </c>
      <c r="E357" s="1186" t="s">
        <v>1988</v>
      </c>
      <c r="F357" s="1186">
        <v>109</v>
      </c>
      <c r="G357" s="1186">
        <v>100</v>
      </c>
      <c r="H357" s="1186">
        <v>5</v>
      </c>
      <c r="I357" s="1186">
        <v>3</v>
      </c>
      <c r="J357" s="1186">
        <v>1</v>
      </c>
    </row>
    <row r="358" spans="1:10" x14ac:dyDescent="0.2">
      <c r="A358" s="1186" t="s">
        <v>343</v>
      </c>
      <c r="B358" s="1186" t="s">
        <v>144</v>
      </c>
      <c r="C358" s="1186" t="s">
        <v>937</v>
      </c>
      <c r="D358" s="1186" t="s">
        <v>1981</v>
      </c>
      <c r="E358" s="1186" t="s">
        <v>1982</v>
      </c>
      <c r="F358" s="1186">
        <v>97</v>
      </c>
      <c r="G358" s="1186">
        <v>86</v>
      </c>
      <c r="H358" s="1186">
        <v>2</v>
      </c>
      <c r="I358" s="1186">
        <v>2</v>
      </c>
      <c r="J358" s="1186">
        <v>7</v>
      </c>
    </row>
    <row r="359" spans="1:10" x14ac:dyDescent="0.2">
      <c r="A359" s="1186" t="s">
        <v>343</v>
      </c>
      <c r="B359" s="1186" t="s">
        <v>144</v>
      </c>
      <c r="C359" s="1186" t="s">
        <v>938</v>
      </c>
      <c r="D359" s="1186" t="s">
        <v>1981</v>
      </c>
      <c r="E359" s="1186" t="s">
        <v>1982</v>
      </c>
      <c r="F359" s="1186">
        <v>110</v>
      </c>
      <c r="G359" s="1186">
        <v>82</v>
      </c>
      <c r="H359" s="1186">
        <v>10</v>
      </c>
      <c r="I359" s="1186">
        <v>13</v>
      </c>
      <c r="J359" s="1186">
        <v>5</v>
      </c>
    </row>
    <row r="360" spans="1:10" x14ac:dyDescent="0.2">
      <c r="A360" s="1186" t="s">
        <v>343</v>
      </c>
      <c r="B360" s="1186" t="s">
        <v>144</v>
      </c>
      <c r="C360" s="1186" t="s">
        <v>939</v>
      </c>
      <c r="D360" s="1186" t="s">
        <v>1983</v>
      </c>
      <c r="E360" s="1186" t="s">
        <v>1982</v>
      </c>
      <c r="F360" s="1186">
        <v>123</v>
      </c>
      <c r="G360" s="1186">
        <v>102</v>
      </c>
      <c r="H360" s="1186">
        <v>12</v>
      </c>
      <c r="I360" s="1186">
        <v>6</v>
      </c>
      <c r="J360" s="1186">
        <v>3</v>
      </c>
    </row>
    <row r="361" spans="1:10" x14ac:dyDescent="0.2">
      <c r="A361" s="1186" t="s">
        <v>343</v>
      </c>
      <c r="B361" s="1186" t="s">
        <v>144</v>
      </c>
      <c r="C361" s="1186" t="s">
        <v>940</v>
      </c>
      <c r="D361" s="1186" t="s">
        <v>1983</v>
      </c>
      <c r="E361" s="1186" t="s">
        <v>1984</v>
      </c>
      <c r="F361" s="1186">
        <v>101</v>
      </c>
      <c r="G361" s="1186">
        <v>78</v>
      </c>
      <c r="H361" s="1186">
        <v>13</v>
      </c>
      <c r="I361" s="1186">
        <v>5</v>
      </c>
      <c r="J361" s="1186">
        <v>5</v>
      </c>
    </row>
    <row r="362" spans="1:10" x14ac:dyDescent="0.2">
      <c r="A362" s="1186" t="s">
        <v>343</v>
      </c>
      <c r="B362" s="1186" t="s">
        <v>144</v>
      </c>
      <c r="C362" s="1186" t="s">
        <v>941</v>
      </c>
      <c r="D362" s="1186" t="s">
        <v>1983</v>
      </c>
      <c r="E362" s="1186" t="s">
        <v>1984</v>
      </c>
      <c r="F362" s="1186">
        <v>111</v>
      </c>
      <c r="G362" s="1186">
        <v>95</v>
      </c>
      <c r="H362" s="1186">
        <v>7</v>
      </c>
      <c r="I362" s="1186">
        <v>3</v>
      </c>
      <c r="J362" s="1186">
        <v>6</v>
      </c>
    </row>
    <row r="363" spans="1:10" x14ac:dyDescent="0.2">
      <c r="A363" s="1186" t="s">
        <v>343</v>
      </c>
      <c r="B363" s="1186" t="s">
        <v>144</v>
      </c>
      <c r="C363" s="1186" t="s">
        <v>942</v>
      </c>
      <c r="D363" s="1186" t="s">
        <v>1985</v>
      </c>
      <c r="E363" s="1186" t="s">
        <v>1984</v>
      </c>
      <c r="F363" s="1186">
        <v>108</v>
      </c>
      <c r="G363" s="1186">
        <v>86</v>
      </c>
      <c r="H363" s="1186">
        <v>15</v>
      </c>
      <c r="I363" s="1186">
        <v>5</v>
      </c>
      <c r="J363" s="1186">
        <v>2</v>
      </c>
    </row>
    <row r="364" spans="1:10" x14ac:dyDescent="0.2">
      <c r="A364" s="1186" t="s">
        <v>343</v>
      </c>
      <c r="B364" s="1186" t="s">
        <v>144</v>
      </c>
      <c r="C364" s="1186" t="s">
        <v>943</v>
      </c>
      <c r="D364" s="1186" t="s">
        <v>1985</v>
      </c>
      <c r="E364" s="1186" t="s">
        <v>1986</v>
      </c>
      <c r="F364" s="1186">
        <v>110</v>
      </c>
      <c r="G364" s="1186">
        <v>93</v>
      </c>
      <c r="H364" s="1186">
        <v>13</v>
      </c>
      <c r="I364" s="1186">
        <v>4</v>
      </c>
      <c r="J364" s="1186"/>
    </row>
    <row r="365" spans="1:10" x14ac:dyDescent="0.2">
      <c r="A365" s="1186" t="s">
        <v>343</v>
      </c>
      <c r="B365" s="1186" t="s">
        <v>144</v>
      </c>
      <c r="C365" s="1186" t="s">
        <v>944</v>
      </c>
      <c r="D365" s="1186" t="s">
        <v>1985</v>
      </c>
      <c r="E365" s="1186" t="s">
        <v>1986</v>
      </c>
      <c r="F365" s="1186">
        <v>122</v>
      </c>
      <c r="G365" s="1186">
        <v>103</v>
      </c>
      <c r="H365" s="1186">
        <v>10</v>
      </c>
      <c r="I365" s="1186">
        <v>6</v>
      </c>
      <c r="J365" s="1186">
        <v>3</v>
      </c>
    </row>
    <row r="366" spans="1:10" x14ac:dyDescent="0.2">
      <c r="A366" s="1186" t="s">
        <v>343</v>
      </c>
      <c r="B366" s="1186" t="s">
        <v>144</v>
      </c>
      <c r="C366" s="1186" t="s">
        <v>945</v>
      </c>
      <c r="D366" s="1186" t="s">
        <v>1987</v>
      </c>
      <c r="E366" s="1186" t="s">
        <v>1986</v>
      </c>
      <c r="F366" s="1186">
        <v>103</v>
      </c>
      <c r="G366" s="1186">
        <v>91</v>
      </c>
      <c r="H366" s="1186">
        <v>8</v>
      </c>
      <c r="I366" s="1186">
        <v>4</v>
      </c>
      <c r="J366" s="1186"/>
    </row>
    <row r="367" spans="1:10" x14ac:dyDescent="0.2">
      <c r="A367" s="1186" t="s">
        <v>343</v>
      </c>
      <c r="B367" s="1186" t="s">
        <v>144</v>
      </c>
      <c r="C367" s="1186" t="s">
        <v>946</v>
      </c>
      <c r="D367" s="1186" t="s">
        <v>1987</v>
      </c>
      <c r="E367" s="1186" t="s">
        <v>1988</v>
      </c>
      <c r="F367" s="1186">
        <v>95</v>
      </c>
      <c r="G367" s="1186">
        <v>81</v>
      </c>
      <c r="H367" s="1186">
        <v>6</v>
      </c>
      <c r="I367" s="1186">
        <v>5</v>
      </c>
      <c r="J367" s="1186">
        <v>3</v>
      </c>
    </row>
    <row r="368" spans="1:10" x14ac:dyDescent="0.2">
      <c r="A368" s="1186" t="s">
        <v>343</v>
      </c>
      <c r="B368" s="1186" t="s">
        <v>144</v>
      </c>
      <c r="C368" s="1186" t="s">
        <v>947</v>
      </c>
      <c r="D368" s="1186" t="s">
        <v>1987</v>
      </c>
      <c r="E368" s="1186" t="s">
        <v>1988</v>
      </c>
      <c r="F368" s="1186">
        <v>98</v>
      </c>
      <c r="G368" s="1186">
        <v>86</v>
      </c>
      <c r="H368" s="1186">
        <v>9</v>
      </c>
      <c r="I368" s="1186">
        <v>3</v>
      </c>
      <c r="J368" s="1186"/>
    </row>
    <row r="369" spans="1:10" x14ac:dyDescent="0.2">
      <c r="A369" s="1186" t="s">
        <v>343</v>
      </c>
      <c r="B369" s="1186" t="s">
        <v>144</v>
      </c>
      <c r="C369" s="1186" t="s">
        <v>948</v>
      </c>
      <c r="D369" s="1186" t="s">
        <v>1981</v>
      </c>
      <c r="E369" s="1186" t="s">
        <v>1988</v>
      </c>
      <c r="F369" s="1186">
        <v>98</v>
      </c>
      <c r="G369" s="1186">
        <v>80</v>
      </c>
      <c r="H369" s="1186">
        <v>12</v>
      </c>
      <c r="I369" s="1186">
        <v>5</v>
      </c>
      <c r="J369" s="1186">
        <v>1</v>
      </c>
    </row>
    <row r="370" spans="1:10" x14ac:dyDescent="0.2">
      <c r="A370" s="1186" t="s">
        <v>343</v>
      </c>
      <c r="B370" s="1186" t="s">
        <v>282</v>
      </c>
      <c r="C370" s="1186" t="s">
        <v>949</v>
      </c>
      <c r="D370" s="1186" t="s">
        <v>1981</v>
      </c>
      <c r="E370" s="1186" t="s">
        <v>1982</v>
      </c>
      <c r="F370" s="1186">
        <v>131</v>
      </c>
      <c r="G370" s="1186">
        <v>115</v>
      </c>
      <c r="H370" s="1186">
        <v>5</v>
      </c>
      <c r="I370" s="1186">
        <v>6</v>
      </c>
      <c r="J370" s="1186">
        <v>5</v>
      </c>
    </row>
    <row r="371" spans="1:10" x14ac:dyDescent="0.2">
      <c r="A371" s="1186" t="s">
        <v>343</v>
      </c>
      <c r="B371" s="1186" t="s">
        <v>282</v>
      </c>
      <c r="C371" s="1186" t="s">
        <v>950</v>
      </c>
      <c r="D371" s="1186" t="s">
        <v>1981</v>
      </c>
      <c r="E371" s="1186" t="s">
        <v>1982</v>
      </c>
      <c r="F371" s="1186">
        <v>123</v>
      </c>
      <c r="G371" s="1186">
        <v>111</v>
      </c>
      <c r="H371" s="1186">
        <v>3</v>
      </c>
      <c r="I371" s="1186">
        <v>7</v>
      </c>
      <c r="J371" s="1186">
        <v>2</v>
      </c>
    </row>
    <row r="372" spans="1:10" x14ac:dyDescent="0.2">
      <c r="A372" s="1186" t="s">
        <v>343</v>
      </c>
      <c r="B372" s="1186" t="s">
        <v>282</v>
      </c>
      <c r="C372" s="1186" t="s">
        <v>951</v>
      </c>
      <c r="D372" s="1186" t="s">
        <v>1983</v>
      </c>
      <c r="E372" s="1186" t="s">
        <v>1982</v>
      </c>
      <c r="F372" s="1186">
        <v>119</v>
      </c>
      <c r="G372" s="1186">
        <v>99</v>
      </c>
      <c r="H372" s="1186">
        <v>11</v>
      </c>
      <c r="I372" s="1186">
        <v>7</v>
      </c>
      <c r="J372" s="1186">
        <v>2</v>
      </c>
    </row>
    <row r="373" spans="1:10" x14ac:dyDescent="0.2">
      <c r="A373" s="1186" t="s">
        <v>343</v>
      </c>
      <c r="B373" s="1186" t="s">
        <v>282</v>
      </c>
      <c r="C373" s="1186" t="s">
        <v>952</v>
      </c>
      <c r="D373" s="1186" t="s">
        <v>1983</v>
      </c>
      <c r="E373" s="1186" t="s">
        <v>1984</v>
      </c>
      <c r="F373" s="1186">
        <v>100</v>
      </c>
      <c r="G373" s="1186">
        <v>90</v>
      </c>
      <c r="H373" s="1186">
        <v>3</v>
      </c>
      <c r="I373" s="1186">
        <v>4</v>
      </c>
      <c r="J373" s="1186">
        <v>3</v>
      </c>
    </row>
    <row r="374" spans="1:10" x14ac:dyDescent="0.2">
      <c r="A374" s="1186" t="s">
        <v>343</v>
      </c>
      <c r="B374" s="1186" t="s">
        <v>282</v>
      </c>
      <c r="C374" s="1186" t="s">
        <v>953</v>
      </c>
      <c r="D374" s="1186" t="s">
        <v>1983</v>
      </c>
      <c r="E374" s="1186" t="s">
        <v>1984</v>
      </c>
      <c r="F374" s="1186">
        <v>93</v>
      </c>
      <c r="G374" s="1186">
        <v>74</v>
      </c>
      <c r="H374" s="1186">
        <v>7</v>
      </c>
      <c r="I374" s="1186">
        <v>9</v>
      </c>
      <c r="J374" s="1186">
        <v>3</v>
      </c>
    </row>
    <row r="375" spans="1:10" x14ac:dyDescent="0.2">
      <c r="A375" s="1186" t="s">
        <v>343</v>
      </c>
      <c r="B375" s="1186" t="s">
        <v>282</v>
      </c>
      <c r="C375" s="1186" t="s">
        <v>954</v>
      </c>
      <c r="D375" s="1186" t="s">
        <v>1985</v>
      </c>
      <c r="E375" s="1186" t="s">
        <v>1984</v>
      </c>
      <c r="F375" s="1186">
        <v>87</v>
      </c>
      <c r="G375" s="1186">
        <v>76</v>
      </c>
      <c r="H375" s="1186">
        <v>5</v>
      </c>
      <c r="I375" s="1186">
        <v>3</v>
      </c>
      <c r="J375" s="1186">
        <v>3</v>
      </c>
    </row>
    <row r="376" spans="1:10" x14ac:dyDescent="0.2">
      <c r="A376" s="1186" t="s">
        <v>343</v>
      </c>
      <c r="B376" s="1186" t="s">
        <v>282</v>
      </c>
      <c r="C376" s="1186" t="s">
        <v>955</v>
      </c>
      <c r="D376" s="1186" t="s">
        <v>1985</v>
      </c>
      <c r="E376" s="1186" t="s">
        <v>1986</v>
      </c>
      <c r="F376" s="1186">
        <v>102</v>
      </c>
      <c r="G376" s="1186">
        <v>91</v>
      </c>
      <c r="H376" s="1186">
        <v>7</v>
      </c>
      <c r="I376" s="1186">
        <v>2</v>
      </c>
      <c r="J376" s="1186">
        <v>2</v>
      </c>
    </row>
    <row r="377" spans="1:10" x14ac:dyDescent="0.2">
      <c r="A377" s="1186" t="s">
        <v>343</v>
      </c>
      <c r="B377" s="1186" t="s">
        <v>282</v>
      </c>
      <c r="C377" s="1186" t="s">
        <v>956</v>
      </c>
      <c r="D377" s="1186" t="s">
        <v>1985</v>
      </c>
      <c r="E377" s="1186" t="s">
        <v>1986</v>
      </c>
      <c r="F377" s="1186">
        <v>102</v>
      </c>
      <c r="G377" s="1186">
        <v>91</v>
      </c>
      <c r="H377" s="1186">
        <v>6</v>
      </c>
      <c r="I377" s="1186">
        <v>4</v>
      </c>
      <c r="J377" s="1186">
        <v>1</v>
      </c>
    </row>
    <row r="378" spans="1:10" x14ac:dyDescent="0.2">
      <c r="A378" s="1186" t="s">
        <v>343</v>
      </c>
      <c r="B378" s="1186" t="s">
        <v>282</v>
      </c>
      <c r="C378" s="1186" t="s">
        <v>957</v>
      </c>
      <c r="D378" s="1186" t="s">
        <v>1987</v>
      </c>
      <c r="E378" s="1186" t="s">
        <v>1986</v>
      </c>
      <c r="F378" s="1186">
        <v>98</v>
      </c>
      <c r="G378" s="1186">
        <v>88</v>
      </c>
      <c r="H378" s="1186">
        <v>7</v>
      </c>
      <c r="I378" s="1186">
        <v>1</v>
      </c>
      <c r="J378" s="1186">
        <v>2</v>
      </c>
    </row>
    <row r="379" spans="1:10" x14ac:dyDescent="0.2">
      <c r="A379" s="1186" t="s">
        <v>343</v>
      </c>
      <c r="B379" s="1186" t="s">
        <v>282</v>
      </c>
      <c r="C379" s="1186" t="s">
        <v>958</v>
      </c>
      <c r="D379" s="1186" t="s">
        <v>1987</v>
      </c>
      <c r="E379" s="1186" t="s">
        <v>1988</v>
      </c>
      <c r="F379" s="1186">
        <v>115</v>
      </c>
      <c r="G379" s="1186">
        <v>107</v>
      </c>
      <c r="H379" s="1186">
        <v>4</v>
      </c>
      <c r="I379" s="1186">
        <v>2</v>
      </c>
      <c r="J379" s="1186">
        <v>2</v>
      </c>
    </row>
    <row r="380" spans="1:10" x14ac:dyDescent="0.2">
      <c r="A380" s="1186" t="s">
        <v>343</v>
      </c>
      <c r="B380" s="1186" t="s">
        <v>282</v>
      </c>
      <c r="C380" s="1186" t="s">
        <v>959</v>
      </c>
      <c r="D380" s="1186" t="s">
        <v>1987</v>
      </c>
      <c r="E380" s="1186" t="s">
        <v>1988</v>
      </c>
      <c r="F380" s="1186">
        <v>65</v>
      </c>
      <c r="G380" s="1186">
        <v>58</v>
      </c>
      <c r="H380" s="1186">
        <v>5</v>
      </c>
      <c r="I380" s="1186"/>
      <c r="J380" s="1186">
        <v>2</v>
      </c>
    </row>
    <row r="381" spans="1:10" x14ac:dyDescent="0.2">
      <c r="A381" s="1186" t="s">
        <v>343</v>
      </c>
      <c r="B381" s="1186" t="s">
        <v>282</v>
      </c>
      <c r="C381" s="1186" t="s">
        <v>960</v>
      </c>
      <c r="D381" s="1186" t="s">
        <v>1981</v>
      </c>
      <c r="E381" s="1186" t="s">
        <v>1988</v>
      </c>
      <c r="F381" s="1186">
        <v>131</v>
      </c>
      <c r="G381" s="1186">
        <v>115</v>
      </c>
      <c r="H381" s="1186">
        <v>9</v>
      </c>
      <c r="I381" s="1186">
        <v>3</v>
      </c>
      <c r="J381" s="1186">
        <v>4</v>
      </c>
    </row>
    <row r="382" spans="1:10" x14ac:dyDescent="0.2">
      <c r="A382" s="1186" t="s">
        <v>343</v>
      </c>
      <c r="B382" s="1186" t="s">
        <v>311</v>
      </c>
      <c r="C382" s="1186" t="s">
        <v>961</v>
      </c>
      <c r="D382" s="1186" t="s">
        <v>1981</v>
      </c>
      <c r="E382" s="1186" t="s">
        <v>1982</v>
      </c>
      <c r="F382" s="1186">
        <v>126</v>
      </c>
      <c r="G382" s="1186">
        <v>115</v>
      </c>
      <c r="H382" s="1186">
        <v>3</v>
      </c>
      <c r="I382" s="1186">
        <v>7</v>
      </c>
      <c r="J382" s="1186">
        <v>1</v>
      </c>
    </row>
    <row r="383" spans="1:10" x14ac:dyDescent="0.2">
      <c r="A383" s="1186" t="s">
        <v>343</v>
      </c>
      <c r="B383" s="1186" t="s">
        <v>311</v>
      </c>
      <c r="C383" s="1186" t="s">
        <v>962</v>
      </c>
      <c r="D383" s="1186" t="s">
        <v>1981</v>
      </c>
      <c r="E383" s="1186" t="s">
        <v>1982</v>
      </c>
      <c r="F383" s="1186">
        <v>92</v>
      </c>
      <c r="G383" s="1186">
        <v>67</v>
      </c>
      <c r="H383" s="1186">
        <v>15</v>
      </c>
      <c r="I383" s="1186">
        <v>3</v>
      </c>
      <c r="J383" s="1186">
        <v>7</v>
      </c>
    </row>
    <row r="384" spans="1:10" x14ac:dyDescent="0.2">
      <c r="A384" s="1186" t="s">
        <v>343</v>
      </c>
      <c r="B384" s="1186" t="s">
        <v>311</v>
      </c>
      <c r="C384" s="1186" t="s">
        <v>963</v>
      </c>
      <c r="D384" s="1186" t="s">
        <v>1983</v>
      </c>
      <c r="E384" s="1186" t="s">
        <v>1982</v>
      </c>
      <c r="F384" s="1186">
        <v>91</v>
      </c>
      <c r="G384" s="1186">
        <v>71</v>
      </c>
      <c r="H384" s="1186">
        <v>14</v>
      </c>
      <c r="I384" s="1186">
        <v>2</v>
      </c>
      <c r="J384" s="1186">
        <v>4</v>
      </c>
    </row>
    <row r="385" spans="1:10" x14ac:dyDescent="0.2">
      <c r="A385" s="1186" t="s">
        <v>343</v>
      </c>
      <c r="B385" s="1186" t="s">
        <v>311</v>
      </c>
      <c r="C385" s="1186" t="s">
        <v>964</v>
      </c>
      <c r="D385" s="1186" t="s">
        <v>1983</v>
      </c>
      <c r="E385" s="1186" t="s">
        <v>1984</v>
      </c>
      <c r="F385" s="1186">
        <v>69</v>
      </c>
      <c r="G385" s="1186">
        <v>57</v>
      </c>
      <c r="H385" s="1186">
        <v>5</v>
      </c>
      <c r="I385" s="1186">
        <v>6</v>
      </c>
      <c r="J385" s="1186">
        <v>1</v>
      </c>
    </row>
    <row r="386" spans="1:10" x14ac:dyDescent="0.2">
      <c r="A386" s="1186" t="s">
        <v>343</v>
      </c>
      <c r="B386" s="1186" t="s">
        <v>311</v>
      </c>
      <c r="C386" s="1186" t="s">
        <v>965</v>
      </c>
      <c r="D386" s="1186" t="s">
        <v>1983</v>
      </c>
      <c r="E386" s="1186" t="s">
        <v>1984</v>
      </c>
      <c r="F386" s="1186">
        <v>70</v>
      </c>
      <c r="G386" s="1186">
        <v>45</v>
      </c>
      <c r="H386" s="1186">
        <v>13</v>
      </c>
      <c r="I386" s="1186">
        <v>10</v>
      </c>
      <c r="J386" s="1186">
        <v>2</v>
      </c>
    </row>
    <row r="387" spans="1:10" x14ac:dyDescent="0.2">
      <c r="A387" s="1186" t="s">
        <v>343</v>
      </c>
      <c r="B387" s="1186" t="s">
        <v>311</v>
      </c>
      <c r="C387" s="1186" t="s">
        <v>966</v>
      </c>
      <c r="D387" s="1186" t="s">
        <v>1985</v>
      </c>
      <c r="E387" s="1186" t="s">
        <v>1984</v>
      </c>
      <c r="F387" s="1186">
        <v>86</v>
      </c>
      <c r="G387" s="1186">
        <v>68</v>
      </c>
      <c r="H387" s="1186">
        <v>15</v>
      </c>
      <c r="I387" s="1186">
        <v>3</v>
      </c>
      <c r="J387" s="1186"/>
    </row>
    <row r="388" spans="1:10" x14ac:dyDescent="0.2">
      <c r="A388" s="1186" t="s">
        <v>343</v>
      </c>
      <c r="B388" s="1186" t="s">
        <v>311</v>
      </c>
      <c r="C388" s="1186" t="s">
        <v>967</v>
      </c>
      <c r="D388" s="1186" t="s">
        <v>1985</v>
      </c>
      <c r="E388" s="1186" t="s">
        <v>1986</v>
      </c>
      <c r="F388" s="1186">
        <v>77</v>
      </c>
      <c r="G388" s="1186">
        <v>57</v>
      </c>
      <c r="H388" s="1186">
        <v>13</v>
      </c>
      <c r="I388" s="1186">
        <v>5</v>
      </c>
      <c r="J388" s="1186">
        <v>2</v>
      </c>
    </row>
    <row r="389" spans="1:10" x14ac:dyDescent="0.2">
      <c r="A389" s="1186" t="s">
        <v>343</v>
      </c>
      <c r="B389" s="1186" t="s">
        <v>311</v>
      </c>
      <c r="C389" s="1186" t="s">
        <v>968</v>
      </c>
      <c r="D389" s="1186" t="s">
        <v>1985</v>
      </c>
      <c r="E389" s="1186" t="s">
        <v>1986</v>
      </c>
      <c r="F389" s="1186">
        <v>102</v>
      </c>
      <c r="G389" s="1186">
        <v>87</v>
      </c>
      <c r="H389" s="1186">
        <v>11</v>
      </c>
      <c r="I389" s="1186">
        <v>2</v>
      </c>
      <c r="J389" s="1186">
        <v>2</v>
      </c>
    </row>
    <row r="390" spans="1:10" x14ac:dyDescent="0.2">
      <c r="A390" s="1186" t="s">
        <v>343</v>
      </c>
      <c r="B390" s="1186" t="s">
        <v>311</v>
      </c>
      <c r="C390" s="1186" t="s">
        <v>969</v>
      </c>
      <c r="D390" s="1186" t="s">
        <v>1987</v>
      </c>
      <c r="E390" s="1186" t="s">
        <v>1986</v>
      </c>
      <c r="F390" s="1186">
        <v>121</v>
      </c>
      <c r="G390" s="1186">
        <v>105</v>
      </c>
      <c r="H390" s="1186">
        <v>11</v>
      </c>
      <c r="I390" s="1186">
        <v>4</v>
      </c>
      <c r="J390" s="1186">
        <v>1</v>
      </c>
    </row>
    <row r="391" spans="1:10" x14ac:dyDescent="0.2">
      <c r="A391" s="1186" t="s">
        <v>343</v>
      </c>
      <c r="B391" s="1186" t="s">
        <v>311</v>
      </c>
      <c r="C391" s="1186" t="s">
        <v>970</v>
      </c>
      <c r="D391" s="1186" t="s">
        <v>1987</v>
      </c>
      <c r="E391" s="1186" t="s">
        <v>1988</v>
      </c>
      <c r="F391" s="1186">
        <v>113</v>
      </c>
      <c r="G391" s="1186">
        <v>104</v>
      </c>
      <c r="H391" s="1186">
        <v>4</v>
      </c>
      <c r="I391" s="1186">
        <v>4</v>
      </c>
      <c r="J391" s="1186">
        <v>1</v>
      </c>
    </row>
    <row r="392" spans="1:10" x14ac:dyDescent="0.2">
      <c r="A392" s="1186" t="s">
        <v>343</v>
      </c>
      <c r="B392" s="1186" t="s">
        <v>311</v>
      </c>
      <c r="C392" s="1186" t="s">
        <v>971</v>
      </c>
      <c r="D392" s="1186" t="s">
        <v>1987</v>
      </c>
      <c r="E392" s="1186" t="s">
        <v>1988</v>
      </c>
      <c r="F392" s="1186">
        <v>81</v>
      </c>
      <c r="G392" s="1186">
        <v>67</v>
      </c>
      <c r="H392" s="1186">
        <v>8</v>
      </c>
      <c r="I392" s="1186">
        <v>5</v>
      </c>
      <c r="J392" s="1186">
        <v>1</v>
      </c>
    </row>
    <row r="393" spans="1:10" x14ac:dyDescent="0.2">
      <c r="A393" s="1186" t="s">
        <v>343</v>
      </c>
      <c r="B393" s="1186" t="s">
        <v>311</v>
      </c>
      <c r="C393" s="1186" t="s">
        <v>972</v>
      </c>
      <c r="D393" s="1186" t="s">
        <v>1981</v>
      </c>
      <c r="E393" s="1186" t="s">
        <v>1988</v>
      </c>
      <c r="F393" s="1186">
        <v>88</v>
      </c>
      <c r="G393" s="1186">
        <v>78</v>
      </c>
      <c r="H393" s="1186">
        <v>7</v>
      </c>
      <c r="I393" s="1186"/>
      <c r="J393" s="1186">
        <v>3</v>
      </c>
    </row>
    <row r="394" spans="1:10" x14ac:dyDescent="0.2">
      <c r="A394" s="1186" t="s">
        <v>343</v>
      </c>
      <c r="B394" s="1186" t="s">
        <v>621</v>
      </c>
      <c r="C394" s="1186" t="s">
        <v>973</v>
      </c>
      <c r="D394" s="1186" t="s">
        <v>1981</v>
      </c>
      <c r="E394" s="1186" t="s">
        <v>1982</v>
      </c>
      <c r="F394" s="1186">
        <v>94</v>
      </c>
      <c r="G394" s="1186">
        <v>81</v>
      </c>
      <c r="H394" s="1186">
        <v>9</v>
      </c>
      <c r="I394" s="1186">
        <v>2</v>
      </c>
      <c r="J394" s="1186">
        <v>2</v>
      </c>
    </row>
    <row r="395" spans="1:10" x14ac:dyDescent="0.2">
      <c r="A395" s="1186" t="s">
        <v>343</v>
      </c>
      <c r="B395" s="1186" t="s">
        <v>621</v>
      </c>
      <c r="C395" s="1186" t="s">
        <v>974</v>
      </c>
      <c r="D395" s="1186" t="s">
        <v>1981</v>
      </c>
      <c r="E395" s="1186" t="s">
        <v>1982</v>
      </c>
      <c r="F395" s="1186">
        <v>102</v>
      </c>
      <c r="G395" s="1186">
        <v>79</v>
      </c>
      <c r="H395" s="1186">
        <v>9</v>
      </c>
      <c r="I395" s="1186">
        <v>4</v>
      </c>
      <c r="J395" s="1186">
        <v>10</v>
      </c>
    </row>
    <row r="396" spans="1:10" x14ac:dyDescent="0.2">
      <c r="A396" s="1186" t="s">
        <v>343</v>
      </c>
      <c r="B396" s="1186" t="s">
        <v>621</v>
      </c>
      <c r="C396" s="1186" t="s">
        <v>975</v>
      </c>
      <c r="D396" s="1186" t="s">
        <v>1983</v>
      </c>
      <c r="E396" s="1186" t="s">
        <v>1982</v>
      </c>
      <c r="F396" s="1186">
        <v>117</v>
      </c>
      <c r="G396" s="1186">
        <v>101</v>
      </c>
      <c r="H396" s="1186">
        <v>12</v>
      </c>
      <c r="I396" s="1186"/>
      <c r="J396" s="1186">
        <v>4</v>
      </c>
    </row>
    <row r="397" spans="1:10" x14ac:dyDescent="0.2">
      <c r="A397" s="1186" t="s">
        <v>343</v>
      </c>
      <c r="B397" s="1186" t="s">
        <v>621</v>
      </c>
      <c r="C397" s="1186" t="s">
        <v>976</v>
      </c>
      <c r="D397" s="1186" t="s">
        <v>1983</v>
      </c>
      <c r="E397" s="1186" t="s">
        <v>1984</v>
      </c>
      <c r="F397" s="1186">
        <v>96</v>
      </c>
      <c r="G397" s="1186">
        <v>86</v>
      </c>
      <c r="H397" s="1186">
        <v>5</v>
      </c>
      <c r="I397" s="1186">
        <v>1</v>
      </c>
      <c r="J397" s="1186">
        <v>4</v>
      </c>
    </row>
    <row r="398" spans="1:10" x14ac:dyDescent="0.2">
      <c r="A398" s="1186" t="s">
        <v>343</v>
      </c>
      <c r="B398" s="1186" t="s">
        <v>621</v>
      </c>
      <c r="C398" s="1186" t="s">
        <v>977</v>
      </c>
      <c r="D398" s="1186" t="s">
        <v>1983</v>
      </c>
      <c r="E398" s="1186" t="s">
        <v>1984</v>
      </c>
      <c r="F398" s="1186">
        <v>104</v>
      </c>
      <c r="G398" s="1186">
        <v>79</v>
      </c>
      <c r="H398" s="1186">
        <v>16</v>
      </c>
      <c r="I398" s="1186">
        <v>7</v>
      </c>
      <c r="J398" s="1186">
        <v>2</v>
      </c>
    </row>
    <row r="399" spans="1:10" x14ac:dyDescent="0.2">
      <c r="A399" s="1186" t="s">
        <v>343</v>
      </c>
      <c r="B399" s="1186" t="s">
        <v>621</v>
      </c>
      <c r="C399" s="1186" t="s">
        <v>978</v>
      </c>
      <c r="D399" s="1186" t="s">
        <v>1985</v>
      </c>
      <c r="E399" s="1186" t="s">
        <v>1984</v>
      </c>
      <c r="F399" s="1186">
        <v>79</v>
      </c>
      <c r="G399" s="1186">
        <v>59</v>
      </c>
      <c r="H399" s="1186">
        <v>15</v>
      </c>
      <c r="I399" s="1186">
        <v>1</v>
      </c>
      <c r="J399" s="1186">
        <v>4</v>
      </c>
    </row>
    <row r="400" spans="1:10" x14ac:dyDescent="0.2">
      <c r="A400" s="1186" t="s">
        <v>343</v>
      </c>
      <c r="B400" s="1186" t="s">
        <v>621</v>
      </c>
      <c r="C400" s="1186" t="s">
        <v>979</v>
      </c>
      <c r="D400" s="1186" t="s">
        <v>1985</v>
      </c>
      <c r="E400" s="1186" t="s">
        <v>1986</v>
      </c>
      <c r="F400" s="1186">
        <v>95</v>
      </c>
      <c r="G400" s="1186">
        <v>81</v>
      </c>
      <c r="H400" s="1186">
        <v>6</v>
      </c>
      <c r="I400" s="1186">
        <v>4</v>
      </c>
      <c r="J400" s="1186">
        <v>4</v>
      </c>
    </row>
    <row r="401" spans="1:10" x14ac:dyDescent="0.2">
      <c r="A401" s="1186" t="s">
        <v>343</v>
      </c>
      <c r="B401" s="1186" t="s">
        <v>621</v>
      </c>
      <c r="C401" s="1186" t="s">
        <v>980</v>
      </c>
      <c r="D401" s="1186" t="s">
        <v>1985</v>
      </c>
      <c r="E401" s="1186" t="s">
        <v>1986</v>
      </c>
      <c r="F401" s="1186">
        <v>77</v>
      </c>
      <c r="G401" s="1186">
        <v>61</v>
      </c>
      <c r="H401" s="1186">
        <v>11</v>
      </c>
      <c r="I401" s="1186">
        <v>3</v>
      </c>
      <c r="J401" s="1186">
        <v>2</v>
      </c>
    </row>
    <row r="402" spans="1:10" x14ac:dyDescent="0.2">
      <c r="A402" s="1186" t="s">
        <v>343</v>
      </c>
      <c r="B402" s="1186" t="s">
        <v>621</v>
      </c>
      <c r="C402" s="1186" t="s">
        <v>981</v>
      </c>
      <c r="D402" s="1186" t="s">
        <v>1987</v>
      </c>
      <c r="E402" s="1186" t="s">
        <v>1986</v>
      </c>
      <c r="F402" s="1186">
        <v>93</v>
      </c>
      <c r="G402" s="1186">
        <v>83</v>
      </c>
      <c r="H402" s="1186">
        <v>10</v>
      </c>
      <c r="I402" s="1186"/>
      <c r="J402" s="1186"/>
    </row>
    <row r="403" spans="1:10" x14ac:dyDescent="0.2">
      <c r="A403" s="1186" t="s">
        <v>343</v>
      </c>
      <c r="B403" s="1186" t="s">
        <v>621</v>
      </c>
      <c r="C403" s="1186" t="s">
        <v>982</v>
      </c>
      <c r="D403" s="1186" t="s">
        <v>1987</v>
      </c>
      <c r="E403" s="1186" t="s">
        <v>1988</v>
      </c>
      <c r="F403" s="1186">
        <v>112</v>
      </c>
      <c r="G403" s="1186">
        <v>105</v>
      </c>
      <c r="H403" s="1186">
        <v>3</v>
      </c>
      <c r="I403" s="1186">
        <v>1</v>
      </c>
      <c r="J403" s="1186">
        <v>3</v>
      </c>
    </row>
    <row r="404" spans="1:10" x14ac:dyDescent="0.2">
      <c r="A404" s="1186" t="s">
        <v>343</v>
      </c>
      <c r="B404" s="1186" t="s">
        <v>621</v>
      </c>
      <c r="C404" s="1186" t="s">
        <v>983</v>
      </c>
      <c r="D404" s="1186" t="s">
        <v>1987</v>
      </c>
      <c r="E404" s="1186" t="s">
        <v>1988</v>
      </c>
      <c r="F404" s="1186">
        <v>107</v>
      </c>
      <c r="G404" s="1186">
        <v>97</v>
      </c>
      <c r="H404" s="1186">
        <v>2</v>
      </c>
      <c r="I404" s="1186">
        <v>8</v>
      </c>
      <c r="J404" s="1186"/>
    </row>
    <row r="405" spans="1:10" x14ac:dyDescent="0.2">
      <c r="A405" s="1186" t="s">
        <v>343</v>
      </c>
      <c r="B405" s="1186" t="s">
        <v>621</v>
      </c>
      <c r="C405" s="1186" t="s">
        <v>984</v>
      </c>
      <c r="D405" s="1186" t="s">
        <v>1981</v>
      </c>
      <c r="E405" s="1186" t="s">
        <v>1988</v>
      </c>
      <c r="F405" s="1186">
        <v>121</v>
      </c>
      <c r="G405" s="1186">
        <v>104</v>
      </c>
      <c r="H405" s="1186">
        <v>11</v>
      </c>
      <c r="I405" s="1186">
        <v>3</v>
      </c>
      <c r="J405" s="1186">
        <v>3</v>
      </c>
    </row>
    <row r="406" spans="1:10" x14ac:dyDescent="0.2">
      <c r="A406" s="1186" t="s">
        <v>343</v>
      </c>
      <c r="B406" s="1186" t="s">
        <v>1419</v>
      </c>
      <c r="C406" s="1186" t="s">
        <v>1427</v>
      </c>
      <c r="D406" s="1186" t="s">
        <v>1981</v>
      </c>
      <c r="E406" s="1186" t="s">
        <v>1982</v>
      </c>
      <c r="F406" s="1186">
        <v>90</v>
      </c>
      <c r="G406" s="1186">
        <v>74</v>
      </c>
      <c r="H406" s="1186">
        <v>6</v>
      </c>
      <c r="I406" s="1186">
        <v>3</v>
      </c>
      <c r="J406" s="1186">
        <v>7</v>
      </c>
    </row>
    <row r="407" spans="1:10" x14ac:dyDescent="0.2">
      <c r="A407" s="1186" t="s">
        <v>343</v>
      </c>
      <c r="B407" s="1186" t="s">
        <v>1419</v>
      </c>
      <c r="C407" s="1186" t="s">
        <v>1428</v>
      </c>
      <c r="D407" s="1186" t="s">
        <v>1981</v>
      </c>
      <c r="E407" s="1186" t="s">
        <v>1982</v>
      </c>
      <c r="F407" s="1186">
        <v>78</v>
      </c>
      <c r="G407" s="1186">
        <v>62</v>
      </c>
      <c r="H407" s="1186">
        <v>7</v>
      </c>
      <c r="I407" s="1186">
        <v>4</v>
      </c>
      <c r="J407" s="1186">
        <v>5</v>
      </c>
    </row>
    <row r="408" spans="1:10" x14ac:dyDescent="0.2">
      <c r="A408" s="1186" t="s">
        <v>343</v>
      </c>
      <c r="B408" s="1186" t="s">
        <v>1419</v>
      </c>
      <c r="C408" s="1186" t="s">
        <v>1429</v>
      </c>
      <c r="D408" s="1186" t="s">
        <v>1983</v>
      </c>
      <c r="E408" s="1186" t="s">
        <v>1982</v>
      </c>
      <c r="F408" s="1186">
        <v>69</v>
      </c>
      <c r="G408" s="1186">
        <v>49</v>
      </c>
      <c r="H408" s="1186">
        <v>11</v>
      </c>
      <c r="I408" s="1186">
        <v>4</v>
      </c>
      <c r="J408" s="1186">
        <v>5</v>
      </c>
    </row>
    <row r="409" spans="1:10" x14ac:dyDescent="0.2">
      <c r="A409" s="1186" t="s">
        <v>343</v>
      </c>
      <c r="B409" s="1186" t="s">
        <v>1419</v>
      </c>
      <c r="C409" s="1186" t="s">
        <v>1430</v>
      </c>
      <c r="D409" s="1186" t="s">
        <v>1983</v>
      </c>
      <c r="E409" s="1186" t="s">
        <v>1984</v>
      </c>
      <c r="F409" s="1186">
        <v>74</v>
      </c>
      <c r="G409" s="1186">
        <v>60</v>
      </c>
      <c r="H409" s="1186">
        <v>10</v>
      </c>
      <c r="I409" s="1186">
        <v>1</v>
      </c>
      <c r="J409" s="1186">
        <v>3</v>
      </c>
    </row>
    <row r="410" spans="1:10" x14ac:dyDescent="0.2">
      <c r="A410" s="1186" t="s">
        <v>343</v>
      </c>
      <c r="B410" s="1186" t="s">
        <v>1419</v>
      </c>
      <c r="C410" s="1186" t="s">
        <v>1431</v>
      </c>
      <c r="D410" s="1186" t="s">
        <v>1983</v>
      </c>
      <c r="E410" s="1186" t="s">
        <v>1984</v>
      </c>
      <c r="F410" s="1186">
        <v>70</v>
      </c>
      <c r="G410" s="1186">
        <v>57</v>
      </c>
      <c r="H410" s="1186">
        <v>8</v>
      </c>
      <c r="I410" s="1186">
        <v>4</v>
      </c>
      <c r="J410" s="1186">
        <v>1</v>
      </c>
    </row>
    <row r="411" spans="1:10" x14ac:dyDescent="0.2">
      <c r="A411" s="1186" t="s">
        <v>343</v>
      </c>
      <c r="B411" s="1186" t="s">
        <v>1419</v>
      </c>
      <c r="C411" s="1186" t="s">
        <v>1432</v>
      </c>
      <c r="D411" s="1186" t="s">
        <v>1985</v>
      </c>
      <c r="E411" s="1186" t="s">
        <v>1984</v>
      </c>
      <c r="F411" s="1186">
        <v>61</v>
      </c>
      <c r="G411" s="1186">
        <v>48</v>
      </c>
      <c r="H411" s="1186">
        <v>9</v>
      </c>
      <c r="I411" s="1186">
        <v>1</v>
      </c>
      <c r="J411" s="1186">
        <v>3</v>
      </c>
    </row>
    <row r="412" spans="1:10" x14ac:dyDescent="0.2">
      <c r="A412" s="1186" t="s">
        <v>343</v>
      </c>
      <c r="B412" s="1186" t="s">
        <v>1419</v>
      </c>
      <c r="C412" s="1186" t="s">
        <v>1433</v>
      </c>
      <c r="D412" s="1186" t="s">
        <v>1985</v>
      </c>
      <c r="E412" s="1186" t="s">
        <v>1986</v>
      </c>
      <c r="F412" s="1186">
        <v>88</v>
      </c>
      <c r="G412" s="1186">
        <v>84</v>
      </c>
      <c r="H412" s="1186">
        <v>2</v>
      </c>
      <c r="I412" s="1186">
        <v>2</v>
      </c>
      <c r="J412" s="1186"/>
    </row>
    <row r="413" spans="1:10" x14ac:dyDescent="0.2">
      <c r="A413" s="1186" t="s">
        <v>343</v>
      </c>
      <c r="B413" s="1186" t="s">
        <v>1419</v>
      </c>
      <c r="C413" s="1186" t="s">
        <v>1434</v>
      </c>
      <c r="D413" s="1186" t="s">
        <v>1985</v>
      </c>
      <c r="E413" s="1186" t="s">
        <v>1986</v>
      </c>
      <c r="F413" s="1186">
        <v>101</v>
      </c>
      <c r="G413" s="1186">
        <v>82</v>
      </c>
      <c r="H413" s="1186">
        <v>12</v>
      </c>
      <c r="I413" s="1186">
        <v>6</v>
      </c>
      <c r="J413" s="1186">
        <v>1</v>
      </c>
    </row>
    <row r="414" spans="1:10" x14ac:dyDescent="0.2">
      <c r="A414" s="1186" t="s">
        <v>343</v>
      </c>
      <c r="B414" s="1186" t="s">
        <v>1419</v>
      </c>
      <c r="C414" s="1186" t="s">
        <v>1435</v>
      </c>
      <c r="D414" s="1186" t="s">
        <v>1987</v>
      </c>
      <c r="E414" s="1186" t="s">
        <v>1986</v>
      </c>
      <c r="F414" s="1186">
        <v>118</v>
      </c>
      <c r="G414" s="1186">
        <v>112</v>
      </c>
      <c r="H414" s="1186">
        <v>3</v>
      </c>
      <c r="I414" s="1186">
        <v>2</v>
      </c>
      <c r="J414" s="1186">
        <v>1</v>
      </c>
    </row>
    <row r="415" spans="1:10" x14ac:dyDescent="0.2">
      <c r="A415" s="1186" t="s">
        <v>343</v>
      </c>
      <c r="B415" s="1186" t="s">
        <v>1419</v>
      </c>
      <c r="C415" s="1186" t="s">
        <v>1436</v>
      </c>
      <c r="D415" s="1186" t="s">
        <v>1987</v>
      </c>
      <c r="E415" s="1186" t="s">
        <v>1988</v>
      </c>
      <c r="F415" s="1186">
        <v>98</v>
      </c>
      <c r="G415" s="1186">
        <v>84</v>
      </c>
      <c r="H415" s="1186">
        <v>11</v>
      </c>
      <c r="I415" s="1186">
        <v>1</v>
      </c>
      <c r="J415" s="1186">
        <v>2</v>
      </c>
    </row>
    <row r="416" spans="1:10" x14ac:dyDescent="0.2">
      <c r="A416" s="1186" t="s">
        <v>343</v>
      </c>
      <c r="B416" s="1186" t="s">
        <v>1419</v>
      </c>
      <c r="C416" s="1186" t="s">
        <v>1437</v>
      </c>
      <c r="D416" s="1186" t="s">
        <v>1987</v>
      </c>
      <c r="E416" s="1186" t="s">
        <v>1988</v>
      </c>
      <c r="F416" s="1186">
        <v>96</v>
      </c>
      <c r="G416" s="1186">
        <v>86</v>
      </c>
      <c r="H416" s="1186">
        <v>9</v>
      </c>
      <c r="I416" s="1186"/>
      <c r="J416" s="1186">
        <v>1</v>
      </c>
    </row>
    <row r="417" spans="1:10" x14ac:dyDescent="0.2">
      <c r="A417" s="1186" t="s">
        <v>343</v>
      </c>
      <c r="B417" s="1186" t="s">
        <v>1419</v>
      </c>
      <c r="C417" s="1186" t="s">
        <v>1438</v>
      </c>
      <c r="D417" s="1186" t="s">
        <v>1981</v>
      </c>
      <c r="E417" s="1186" t="s">
        <v>1988</v>
      </c>
      <c r="F417" s="1186">
        <v>84</v>
      </c>
      <c r="G417" s="1186">
        <v>79</v>
      </c>
      <c r="H417" s="1186">
        <v>3</v>
      </c>
      <c r="I417" s="1186">
        <v>1</v>
      </c>
      <c r="J417" s="1186">
        <v>1</v>
      </c>
    </row>
    <row r="418" spans="1:10" x14ac:dyDescent="0.2">
      <c r="A418" s="1186" t="s">
        <v>343</v>
      </c>
      <c r="B418" s="1186" t="s">
        <v>1572</v>
      </c>
      <c r="C418" s="1186" t="s">
        <v>1989</v>
      </c>
      <c r="D418" s="1186" t="s">
        <v>1981</v>
      </c>
      <c r="E418" s="1186" t="s">
        <v>1982</v>
      </c>
      <c r="F418" s="1186">
        <v>108</v>
      </c>
      <c r="G418" s="1186">
        <v>97</v>
      </c>
      <c r="H418" s="1186">
        <v>5</v>
      </c>
      <c r="I418" s="1186"/>
      <c r="J418" s="1186">
        <v>6</v>
      </c>
    </row>
    <row r="419" spans="1:10" x14ac:dyDescent="0.2">
      <c r="A419" s="1186" t="s">
        <v>343</v>
      </c>
      <c r="B419" s="1186" t="s">
        <v>1572</v>
      </c>
      <c r="C419" s="1186" t="s">
        <v>1990</v>
      </c>
      <c r="D419" s="1186" t="s">
        <v>1981</v>
      </c>
      <c r="E419" s="1186" t="s">
        <v>1982</v>
      </c>
      <c r="F419" s="1186">
        <v>97</v>
      </c>
      <c r="G419" s="1186">
        <v>82</v>
      </c>
      <c r="H419" s="1186">
        <v>6</v>
      </c>
      <c r="I419" s="1186">
        <v>2</v>
      </c>
      <c r="J419" s="1186">
        <v>7</v>
      </c>
    </row>
    <row r="420" spans="1:10" x14ac:dyDescent="0.2">
      <c r="A420" s="1186" t="s">
        <v>343</v>
      </c>
      <c r="B420" s="1186" t="s">
        <v>1572</v>
      </c>
      <c r="C420" s="1186" t="s">
        <v>1991</v>
      </c>
      <c r="D420" s="1186" t="s">
        <v>1983</v>
      </c>
      <c r="E420" s="1186" t="s">
        <v>1982</v>
      </c>
      <c r="F420" s="1186">
        <v>86</v>
      </c>
      <c r="G420" s="1186">
        <v>73</v>
      </c>
      <c r="H420" s="1186">
        <v>9</v>
      </c>
      <c r="I420" s="1186">
        <v>1</v>
      </c>
      <c r="J420" s="1186">
        <v>3</v>
      </c>
    </row>
    <row r="421" spans="1:10" x14ac:dyDescent="0.2">
      <c r="A421" s="1186" t="s">
        <v>343</v>
      </c>
      <c r="B421" s="1186" t="s">
        <v>1572</v>
      </c>
      <c r="C421" s="1186" t="s">
        <v>1992</v>
      </c>
      <c r="D421" s="1186" t="s">
        <v>1983</v>
      </c>
      <c r="E421" s="1186" t="s">
        <v>1984</v>
      </c>
      <c r="F421" s="1186">
        <v>62</v>
      </c>
      <c r="G421" s="1186">
        <v>50</v>
      </c>
      <c r="H421" s="1186">
        <v>9</v>
      </c>
      <c r="I421" s="1186"/>
      <c r="J421" s="1186">
        <v>3</v>
      </c>
    </row>
    <row r="422" spans="1:10" x14ac:dyDescent="0.2">
      <c r="A422" s="1186" t="s">
        <v>343</v>
      </c>
      <c r="B422" s="1186" t="s">
        <v>1572</v>
      </c>
      <c r="C422" s="1186" t="s">
        <v>1993</v>
      </c>
      <c r="D422" s="1186" t="s">
        <v>1983</v>
      </c>
      <c r="E422" s="1186" t="s">
        <v>1984</v>
      </c>
      <c r="F422" s="1186">
        <v>97</v>
      </c>
      <c r="G422" s="1186">
        <v>76</v>
      </c>
      <c r="H422" s="1186">
        <v>9</v>
      </c>
      <c r="I422" s="1186">
        <v>7</v>
      </c>
      <c r="J422" s="1186">
        <v>5</v>
      </c>
    </row>
    <row r="423" spans="1:10" x14ac:dyDescent="0.2">
      <c r="A423" s="1186" t="s">
        <v>343</v>
      </c>
      <c r="B423" s="1186" t="s">
        <v>1572</v>
      </c>
      <c r="C423" s="1186" t="s">
        <v>1994</v>
      </c>
      <c r="D423" s="1186" t="s">
        <v>1985</v>
      </c>
      <c r="E423" s="1186" t="s">
        <v>1984</v>
      </c>
      <c r="F423" s="1186">
        <v>74</v>
      </c>
      <c r="G423" s="1186">
        <v>63</v>
      </c>
      <c r="H423" s="1186">
        <v>4</v>
      </c>
      <c r="I423" s="1186">
        <v>1</v>
      </c>
      <c r="J423" s="1186">
        <v>6</v>
      </c>
    </row>
    <row r="424" spans="1:10" x14ac:dyDescent="0.2">
      <c r="A424" s="1186" t="s">
        <v>343</v>
      </c>
      <c r="B424" s="1186" t="s">
        <v>1572</v>
      </c>
      <c r="C424" s="1186" t="s">
        <v>1995</v>
      </c>
      <c r="D424" s="1186" t="s">
        <v>1985</v>
      </c>
      <c r="E424" s="1186" t="s">
        <v>1986</v>
      </c>
      <c r="F424" s="1186">
        <v>82</v>
      </c>
      <c r="G424" s="1186">
        <v>75</v>
      </c>
      <c r="H424" s="1186">
        <v>5</v>
      </c>
      <c r="I424" s="1186">
        <v>1</v>
      </c>
      <c r="J424" s="1186">
        <v>1</v>
      </c>
    </row>
    <row r="425" spans="1:10" x14ac:dyDescent="0.2">
      <c r="A425" s="1186" t="s">
        <v>343</v>
      </c>
      <c r="B425" s="1186" t="s">
        <v>1572</v>
      </c>
      <c r="C425" s="1186" t="s">
        <v>1996</v>
      </c>
      <c r="D425" s="1186" t="s">
        <v>1985</v>
      </c>
      <c r="E425" s="1186" t="s">
        <v>1986</v>
      </c>
      <c r="F425" s="1186">
        <v>86</v>
      </c>
      <c r="G425" s="1186">
        <v>72</v>
      </c>
      <c r="H425" s="1186">
        <v>11</v>
      </c>
      <c r="I425" s="1186">
        <v>2</v>
      </c>
      <c r="J425" s="1186">
        <v>1</v>
      </c>
    </row>
    <row r="426" spans="1:10" x14ac:dyDescent="0.2">
      <c r="A426" s="1186" t="s">
        <v>343</v>
      </c>
      <c r="B426" s="1186" t="s">
        <v>1572</v>
      </c>
      <c r="C426" s="1186" t="s">
        <v>1997</v>
      </c>
      <c r="D426" s="1186" t="s">
        <v>1987</v>
      </c>
      <c r="E426" s="1186" t="s">
        <v>1986</v>
      </c>
      <c r="F426" s="1186">
        <v>83</v>
      </c>
      <c r="G426" s="1186">
        <v>68</v>
      </c>
      <c r="H426" s="1186">
        <v>7</v>
      </c>
      <c r="I426" s="1186"/>
      <c r="J426" s="1186">
        <v>8</v>
      </c>
    </row>
    <row r="427" spans="1:10" x14ac:dyDescent="0.2">
      <c r="A427" s="1186" t="s">
        <v>343</v>
      </c>
      <c r="B427" s="1186" t="s">
        <v>1572</v>
      </c>
      <c r="C427" s="1186" t="s">
        <v>1998</v>
      </c>
      <c r="D427" s="1186" t="s">
        <v>1987</v>
      </c>
      <c r="E427" s="1186" t="s">
        <v>1988</v>
      </c>
      <c r="F427" s="1186">
        <v>102</v>
      </c>
      <c r="G427" s="1186">
        <v>100</v>
      </c>
      <c r="H427" s="1186">
        <v>1</v>
      </c>
      <c r="I427" s="1186">
        <v>1</v>
      </c>
      <c r="J427" s="1186"/>
    </row>
    <row r="428" spans="1:10" x14ac:dyDescent="0.2">
      <c r="A428" s="1186" t="s">
        <v>343</v>
      </c>
      <c r="B428" s="1186" t="s">
        <v>1572</v>
      </c>
      <c r="C428" s="1186" t="s">
        <v>1999</v>
      </c>
      <c r="D428" s="1186" t="s">
        <v>1987</v>
      </c>
      <c r="E428" s="1186" t="s">
        <v>1988</v>
      </c>
      <c r="F428" s="1186">
        <v>74</v>
      </c>
      <c r="G428" s="1186">
        <v>64</v>
      </c>
      <c r="H428" s="1186">
        <v>5</v>
      </c>
      <c r="I428" s="1186">
        <v>3</v>
      </c>
      <c r="J428" s="1186">
        <v>2</v>
      </c>
    </row>
    <row r="429" spans="1:10" x14ac:dyDescent="0.2">
      <c r="A429" s="1186" t="s">
        <v>343</v>
      </c>
      <c r="B429" s="1186" t="s">
        <v>1572</v>
      </c>
      <c r="C429" s="1186" t="s">
        <v>2000</v>
      </c>
      <c r="D429" s="1186" t="s">
        <v>1981</v>
      </c>
      <c r="E429" s="1186" t="s">
        <v>1988</v>
      </c>
      <c r="F429" s="1186">
        <v>66</v>
      </c>
      <c r="G429" s="1186">
        <v>56</v>
      </c>
      <c r="H429" s="1186">
        <v>3</v>
      </c>
      <c r="I429" s="1186">
        <v>4</v>
      </c>
      <c r="J429" s="1186">
        <v>3</v>
      </c>
    </row>
  </sheetData>
  <pageMargins left="0.7" right="0.7" top="0.75" bottom="0.75" header="0.3" footer="0.3"/>
  <pageSetup paperSize="9" fitToHeight="50" orientation="landscape" r:id="rId1"/>
  <legacyDrawing r:id="rId2"/>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pageSetUpPr fitToPage="1"/>
  </sheetPr>
  <dimension ref="A1:U14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4.85546875" bestFit="1" customWidth="1"/>
    <col min="2" max="4" width="7.42578125" bestFit="1" customWidth="1"/>
    <col min="5" max="5" width="7" bestFit="1" customWidth="1"/>
    <col min="6" max="6" width="6.42578125" bestFit="1" customWidth="1"/>
    <col min="7" max="7" width="22.42578125" bestFit="1" customWidth="1"/>
    <col min="8" max="8" width="9.5703125" bestFit="1" customWidth="1"/>
    <col min="9" max="9" width="29.7109375" bestFit="1" customWidth="1"/>
    <col min="10" max="10" width="29.140625" bestFit="1" customWidth="1"/>
    <col min="11" max="11" width="18.42578125" bestFit="1" customWidth="1"/>
    <col min="12" max="12" width="41.85546875" bestFit="1" customWidth="1"/>
    <col min="13" max="13" width="16.140625" bestFit="1" customWidth="1"/>
    <col min="14" max="14" width="26.140625" bestFit="1" customWidth="1"/>
    <col min="15" max="15" width="18.28515625" bestFit="1" customWidth="1"/>
    <col min="16" max="16" width="17.85546875" bestFit="1" customWidth="1"/>
    <col min="17" max="17" width="21.5703125" bestFit="1" customWidth="1"/>
    <col min="18" max="18" width="24.140625" bestFit="1" customWidth="1"/>
    <col min="19" max="19" width="10.140625" bestFit="1" customWidth="1"/>
    <col min="20" max="20" width="20.140625" bestFit="1" customWidth="1"/>
    <col min="21" max="21" width="12.28515625" bestFit="1" customWidth="1"/>
  </cols>
  <sheetData>
    <row r="1" spans="1:21" x14ac:dyDescent="0.2"/>
    <row r="4" spans="1:21" x14ac:dyDescent="0.2">
      <c r="A4" s="1223" t="s">
        <v>2012</v>
      </c>
      <c r="B4" s="1223" t="s">
        <v>4</v>
      </c>
      <c r="C4" s="1223" t="s">
        <v>1977</v>
      </c>
      <c r="D4" s="1223" t="s">
        <v>1978</v>
      </c>
      <c r="E4" s="1223" t="s">
        <v>1979</v>
      </c>
      <c r="F4" s="1223" t="s">
        <v>2013</v>
      </c>
      <c r="G4" s="1223" t="s">
        <v>2014</v>
      </c>
      <c r="H4" s="1223" t="s">
        <v>2015</v>
      </c>
      <c r="I4" s="1223" t="s">
        <v>2016</v>
      </c>
      <c r="J4" s="1223" t="s">
        <v>2017</v>
      </c>
      <c r="K4" s="1223" t="s">
        <v>2018</v>
      </c>
      <c r="L4" s="1223" t="s">
        <v>2019</v>
      </c>
      <c r="M4" s="1223" t="s">
        <v>2020</v>
      </c>
      <c r="N4" s="1223" t="s">
        <v>2021</v>
      </c>
      <c r="O4" s="1223" t="s">
        <v>2022</v>
      </c>
      <c r="P4" s="1223" t="s">
        <v>2023</v>
      </c>
      <c r="Q4" s="1223" t="s">
        <v>2024</v>
      </c>
      <c r="R4" s="1223" t="s">
        <v>2025</v>
      </c>
      <c r="S4" s="1223" t="s">
        <v>2026</v>
      </c>
      <c r="T4" s="1223" t="s">
        <v>2027</v>
      </c>
      <c r="U4" s="1223" t="s">
        <v>2028</v>
      </c>
    </row>
    <row r="5" spans="1:21" x14ac:dyDescent="0.2">
      <c r="A5" s="1186" t="s">
        <v>97</v>
      </c>
      <c r="B5" s="1186" t="s">
        <v>19</v>
      </c>
      <c r="C5" s="1186" t="s">
        <v>868</v>
      </c>
      <c r="D5" s="1186" t="s">
        <v>1981</v>
      </c>
      <c r="E5" s="1186" t="s">
        <v>1982</v>
      </c>
      <c r="F5" s="1186">
        <v>9</v>
      </c>
      <c r="G5" s="1186"/>
      <c r="H5" s="1186"/>
      <c r="I5" s="1186">
        <v>2</v>
      </c>
      <c r="J5" s="1186"/>
      <c r="K5" s="1186"/>
      <c r="L5" s="1186">
        <v>2</v>
      </c>
      <c r="M5" s="1186">
        <v>3</v>
      </c>
      <c r="N5" s="1186"/>
      <c r="O5" s="1186"/>
      <c r="P5" s="1186">
        <v>1</v>
      </c>
      <c r="Q5" s="1186">
        <v>1</v>
      </c>
      <c r="R5" s="1186"/>
      <c r="S5" s="1186"/>
      <c r="T5" s="1186">
        <v>2</v>
      </c>
      <c r="U5" s="1186"/>
    </row>
    <row r="6" spans="1:21" x14ac:dyDescent="0.2">
      <c r="A6" s="1186" t="s">
        <v>97</v>
      </c>
      <c r="B6" s="1186" t="s">
        <v>19</v>
      </c>
      <c r="C6" s="1186" t="s">
        <v>869</v>
      </c>
      <c r="D6" s="1186" t="s">
        <v>1981</v>
      </c>
      <c r="E6" s="1186" t="s">
        <v>1982</v>
      </c>
      <c r="F6" s="1186">
        <v>7</v>
      </c>
      <c r="G6" s="1186"/>
      <c r="H6" s="1186"/>
      <c r="I6" s="1186">
        <v>4</v>
      </c>
      <c r="J6" s="1186">
        <v>3</v>
      </c>
      <c r="K6" s="1186"/>
      <c r="L6" s="1186"/>
      <c r="M6" s="1186"/>
      <c r="N6" s="1186"/>
      <c r="O6" s="1186"/>
      <c r="P6" s="1186">
        <v>1</v>
      </c>
      <c r="Q6" s="1186"/>
      <c r="R6" s="1186"/>
      <c r="S6" s="1186"/>
      <c r="T6" s="1186">
        <v>2</v>
      </c>
      <c r="U6" s="1186"/>
    </row>
    <row r="7" spans="1:21" x14ac:dyDescent="0.2">
      <c r="A7" s="1186" t="s">
        <v>97</v>
      </c>
      <c r="B7" s="1186" t="s">
        <v>19</v>
      </c>
      <c r="C7" s="1186" t="s">
        <v>870</v>
      </c>
      <c r="D7" s="1186" t="s">
        <v>1983</v>
      </c>
      <c r="E7" s="1186" t="s">
        <v>1982</v>
      </c>
      <c r="F7" s="1186">
        <v>7</v>
      </c>
      <c r="G7" s="1186"/>
      <c r="H7" s="1186"/>
      <c r="I7" s="1186">
        <v>2</v>
      </c>
      <c r="J7" s="1186">
        <v>4</v>
      </c>
      <c r="K7" s="1186"/>
      <c r="L7" s="1186"/>
      <c r="M7" s="1186">
        <v>1</v>
      </c>
      <c r="N7" s="1186"/>
      <c r="O7" s="1186"/>
      <c r="P7" s="1186"/>
      <c r="Q7" s="1186"/>
      <c r="R7" s="1186">
        <v>1</v>
      </c>
      <c r="S7" s="1186"/>
      <c r="T7" s="1186">
        <v>5</v>
      </c>
      <c r="U7" s="1186"/>
    </row>
    <row r="8" spans="1:21" x14ac:dyDescent="0.2">
      <c r="A8" s="1186" t="s">
        <v>97</v>
      </c>
      <c r="B8" s="1186" t="s">
        <v>19</v>
      </c>
      <c r="C8" s="1186" t="s">
        <v>871</v>
      </c>
      <c r="D8" s="1186" t="s">
        <v>1983</v>
      </c>
      <c r="E8" s="1186" t="s">
        <v>1984</v>
      </c>
      <c r="F8" s="1186">
        <v>16</v>
      </c>
      <c r="G8" s="1186"/>
      <c r="H8" s="1186"/>
      <c r="I8" s="1186">
        <v>2</v>
      </c>
      <c r="J8" s="1186"/>
      <c r="K8" s="1186"/>
      <c r="L8" s="1186"/>
      <c r="M8" s="1186">
        <v>3</v>
      </c>
      <c r="N8" s="1186"/>
      <c r="O8" s="1186"/>
      <c r="P8" s="1186"/>
      <c r="Q8" s="1186">
        <v>1</v>
      </c>
      <c r="R8" s="1186"/>
      <c r="S8" s="1186"/>
      <c r="T8" s="1186">
        <v>2</v>
      </c>
      <c r="U8" s="1186"/>
    </row>
    <row r="9" spans="1:21" x14ac:dyDescent="0.2">
      <c r="A9" s="1186" t="s">
        <v>97</v>
      </c>
      <c r="B9" s="1186" t="s">
        <v>19</v>
      </c>
      <c r="C9" s="1186" t="s">
        <v>872</v>
      </c>
      <c r="D9" s="1186" t="s">
        <v>1983</v>
      </c>
      <c r="E9" s="1186" t="s">
        <v>1984</v>
      </c>
      <c r="F9" s="1186">
        <v>17</v>
      </c>
      <c r="G9" s="1186"/>
      <c r="H9" s="1186"/>
      <c r="I9" s="1186">
        <v>1</v>
      </c>
      <c r="J9" s="1186">
        <v>2</v>
      </c>
      <c r="K9" s="1186"/>
      <c r="L9" s="1186">
        <v>2</v>
      </c>
      <c r="M9" s="1186">
        <v>2</v>
      </c>
      <c r="N9" s="1186"/>
      <c r="O9" s="1186"/>
      <c r="P9" s="1186">
        <v>1</v>
      </c>
      <c r="Q9" s="1186"/>
      <c r="R9" s="1186"/>
      <c r="S9" s="1186"/>
      <c r="T9" s="1186">
        <v>7</v>
      </c>
      <c r="U9" s="1186"/>
    </row>
    <row r="10" spans="1:21" x14ac:dyDescent="0.2">
      <c r="A10" s="1186" t="s">
        <v>97</v>
      </c>
      <c r="B10" s="1186" t="s">
        <v>19</v>
      </c>
      <c r="C10" s="1186" t="s">
        <v>873</v>
      </c>
      <c r="D10" s="1186" t="s">
        <v>1985</v>
      </c>
      <c r="E10" s="1186" t="s">
        <v>1984</v>
      </c>
      <c r="F10" s="1186">
        <v>6</v>
      </c>
      <c r="G10" s="1186">
        <v>3</v>
      </c>
      <c r="H10" s="1186"/>
      <c r="I10" s="1186"/>
      <c r="J10" s="1186">
        <v>3</v>
      </c>
      <c r="K10" s="1186"/>
      <c r="L10" s="1186">
        <v>1</v>
      </c>
      <c r="M10" s="1186">
        <v>2</v>
      </c>
      <c r="N10" s="1186"/>
      <c r="O10" s="1186"/>
      <c r="P10" s="1186">
        <v>1</v>
      </c>
      <c r="Q10" s="1186"/>
      <c r="R10" s="1186">
        <v>1</v>
      </c>
      <c r="S10" s="1186"/>
      <c r="T10" s="1186">
        <v>3</v>
      </c>
      <c r="U10" s="1186"/>
    </row>
    <row r="11" spans="1:21" x14ac:dyDescent="0.2">
      <c r="A11" s="1186" t="s">
        <v>97</v>
      </c>
      <c r="B11" s="1186" t="s">
        <v>19</v>
      </c>
      <c r="C11" s="1186" t="s">
        <v>19</v>
      </c>
      <c r="D11" s="1186" t="s">
        <v>1985</v>
      </c>
      <c r="E11" s="1186" t="s">
        <v>1986</v>
      </c>
      <c r="F11" s="1186">
        <v>8</v>
      </c>
      <c r="G11" s="1186"/>
      <c r="H11" s="1186"/>
      <c r="I11" s="1186">
        <v>4</v>
      </c>
      <c r="J11" s="1186">
        <v>1</v>
      </c>
      <c r="K11" s="1186"/>
      <c r="L11" s="1186">
        <v>3</v>
      </c>
      <c r="M11" s="1186">
        <v>2</v>
      </c>
      <c r="N11" s="1186"/>
      <c r="O11" s="1186"/>
      <c r="P11" s="1186">
        <v>1</v>
      </c>
      <c r="Q11" s="1186"/>
      <c r="R11" s="1186"/>
      <c r="S11" s="1186"/>
      <c r="T11" s="1186">
        <v>1</v>
      </c>
      <c r="U11" s="1186"/>
    </row>
    <row r="12" spans="1:21" x14ac:dyDescent="0.2">
      <c r="A12" s="1186" t="s">
        <v>97</v>
      </c>
      <c r="B12" s="1186" t="s">
        <v>19</v>
      </c>
      <c r="C12" s="1186" t="s">
        <v>874</v>
      </c>
      <c r="D12" s="1186" t="s">
        <v>1985</v>
      </c>
      <c r="E12" s="1186" t="s">
        <v>1986</v>
      </c>
      <c r="F12" s="1186">
        <v>13</v>
      </c>
      <c r="G12" s="1186"/>
      <c r="H12" s="1186"/>
      <c r="I12" s="1186">
        <v>1</v>
      </c>
      <c r="J12" s="1186">
        <v>1</v>
      </c>
      <c r="K12" s="1186"/>
      <c r="L12" s="1186"/>
      <c r="M12" s="1186">
        <v>1</v>
      </c>
      <c r="N12" s="1186"/>
      <c r="O12" s="1186"/>
      <c r="P12" s="1186">
        <v>1</v>
      </c>
      <c r="Q12" s="1186"/>
      <c r="R12" s="1186"/>
      <c r="S12" s="1186"/>
      <c r="T12" s="1186">
        <v>6</v>
      </c>
      <c r="U12" s="1186"/>
    </row>
    <row r="13" spans="1:21" x14ac:dyDescent="0.2">
      <c r="A13" s="1186" t="s">
        <v>97</v>
      </c>
      <c r="B13" s="1186" t="s">
        <v>19</v>
      </c>
      <c r="C13" s="1186" t="s">
        <v>875</v>
      </c>
      <c r="D13" s="1186" t="s">
        <v>1987</v>
      </c>
      <c r="E13" s="1186" t="s">
        <v>1986</v>
      </c>
      <c r="F13" s="1186">
        <v>7</v>
      </c>
      <c r="G13" s="1186"/>
      <c r="H13" s="1186"/>
      <c r="I13" s="1186"/>
      <c r="J13" s="1186"/>
      <c r="K13" s="1186"/>
      <c r="L13" s="1186"/>
      <c r="M13" s="1186">
        <v>2</v>
      </c>
      <c r="N13" s="1186"/>
      <c r="O13" s="1186"/>
      <c r="P13" s="1186"/>
      <c r="Q13" s="1186"/>
      <c r="R13" s="1186"/>
      <c r="S13" s="1186"/>
      <c r="T13" s="1186">
        <v>2</v>
      </c>
      <c r="U13" s="1186"/>
    </row>
    <row r="14" spans="1:21" x14ac:dyDescent="0.2">
      <c r="A14" s="1186" t="s">
        <v>97</v>
      </c>
      <c r="B14" s="1186" t="s">
        <v>19</v>
      </c>
      <c r="C14" s="1186" t="s">
        <v>876</v>
      </c>
      <c r="D14" s="1186" t="s">
        <v>1987</v>
      </c>
      <c r="E14" s="1186" t="s">
        <v>1988</v>
      </c>
      <c r="F14" s="1186">
        <v>14</v>
      </c>
      <c r="G14" s="1186"/>
      <c r="H14" s="1186"/>
      <c r="I14" s="1186">
        <v>1</v>
      </c>
      <c r="J14" s="1186">
        <v>2</v>
      </c>
      <c r="K14" s="1186"/>
      <c r="L14" s="1186">
        <v>2</v>
      </c>
      <c r="M14" s="1186">
        <v>1</v>
      </c>
      <c r="N14" s="1186"/>
      <c r="O14" s="1186"/>
      <c r="P14" s="1186"/>
      <c r="Q14" s="1186"/>
      <c r="R14" s="1186"/>
      <c r="S14" s="1186"/>
      <c r="T14" s="1186">
        <v>3</v>
      </c>
      <c r="U14" s="1186"/>
    </row>
    <row r="15" spans="1:21" x14ac:dyDescent="0.2">
      <c r="A15" s="1186" t="s">
        <v>97</v>
      </c>
      <c r="B15" s="1186" t="s">
        <v>19</v>
      </c>
      <c r="C15" s="1186" t="s">
        <v>877</v>
      </c>
      <c r="D15" s="1186" t="s">
        <v>1987</v>
      </c>
      <c r="E15" s="1186" t="s">
        <v>1988</v>
      </c>
      <c r="F15" s="1186">
        <v>5</v>
      </c>
      <c r="G15" s="1186"/>
      <c r="H15" s="1186"/>
      <c r="I15" s="1186">
        <v>1</v>
      </c>
      <c r="J15" s="1186">
        <v>2</v>
      </c>
      <c r="K15" s="1186"/>
      <c r="L15" s="1186">
        <v>2</v>
      </c>
      <c r="M15" s="1186"/>
      <c r="N15" s="1186"/>
      <c r="O15" s="1186"/>
      <c r="P15" s="1186">
        <v>3</v>
      </c>
      <c r="Q15" s="1186"/>
      <c r="R15" s="1186"/>
      <c r="S15" s="1186"/>
      <c r="T15" s="1186">
        <v>1</v>
      </c>
      <c r="U15" s="1186"/>
    </row>
    <row r="16" spans="1:21" x14ac:dyDescent="0.2">
      <c r="A16" s="1186" t="s">
        <v>97</v>
      </c>
      <c r="B16" s="1186" t="s">
        <v>19</v>
      </c>
      <c r="C16" s="1186" t="s">
        <v>878</v>
      </c>
      <c r="D16" s="1186" t="s">
        <v>1981</v>
      </c>
      <c r="E16" s="1186" t="s">
        <v>1988</v>
      </c>
      <c r="F16" s="1186">
        <v>8</v>
      </c>
      <c r="G16" s="1186"/>
      <c r="H16" s="1186"/>
      <c r="I16" s="1186">
        <v>3</v>
      </c>
      <c r="J16" s="1186">
        <v>1</v>
      </c>
      <c r="K16" s="1186"/>
      <c r="L16" s="1186">
        <v>3</v>
      </c>
      <c r="M16" s="1186">
        <v>2</v>
      </c>
      <c r="N16" s="1186"/>
      <c r="O16" s="1186"/>
      <c r="P16" s="1186">
        <v>1</v>
      </c>
      <c r="Q16" s="1186"/>
      <c r="R16" s="1186"/>
      <c r="S16" s="1186"/>
      <c r="T16" s="1186">
        <v>2</v>
      </c>
      <c r="U16" s="1186"/>
    </row>
    <row r="17" spans="1:21" x14ac:dyDescent="0.2">
      <c r="A17" s="1186" t="s">
        <v>97</v>
      </c>
      <c r="B17" s="1186" t="s">
        <v>20</v>
      </c>
      <c r="C17" s="1186" t="s">
        <v>879</v>
      </c>
      <c r="D17" s="1186" t="s">
        <v>1981</v>
      </c>
      <c r="E17" s="1186" t="s">
        <v>1982</v>
      </c>
      <c r="F17" s="1186">
        <v>6</v>
      </c>
      <c r="G17" s="1186"/>
      <c r="H17" s="1186"/>
      <c r="I17" s="1186">
        <v>3</v>
      </c>
      <c r="J17" s="1186"/>
      <c r="K17" s="1186"/>
      <c r="L17" s="1186">
        <v>1</v>
      </c>
      <c r="M17" s="1186">
        <v>7</v>
      </c>
      <c r="N17" s="1186"/>
      <c r="O17" s="1186"/>
      <c r="P17" s="1186"/>
      <c r="Q17" s="1186"/>
      <c r="R17" s="1186"/>
      <c r="S17" s="1186"/>
      <c r="T17" s="1186">
        <v>1</v>
      </c>
      <c r="U17" s="1186"/>
    </row>
    <row r="18" spans="1:21" x14ac:dyDescent="0.2">
      <c r="A18" s="1186" t="s">
        <v>97</v>
      </c>
      <c r="B18" s="1186" t="s">
        <v>20</v>
      </c>
      <c r="C18" s="1186" t="s">
        <v>880</v>
      </c>
      <c r="D18" s="1186" t="s">
        <v>1981</v>
      </c>
      <c r="E18" s="1186" t="s">
        <v>1982</v>
      </c>
      <c r="F18" s="1186">
        <v>6</v>
      </c>
      <c r="G18" s="1186"/>
      <c r="H18" s="1186"/>
      <c r="I18" s="1186">
        <v>1</v>
      </c>
      <c r="J18" s="1186"/>
      <c r="K18" s="1186"/>
      <c r="L18" s="1186">
        <v>2</v>
      </c>
      <c r="M18" s="1186">
        <v>5</v>
      </c>
      <c r="N18" s="1186"/>
      <c r="O18" s="1186"/>
      <c r="P18" s="1186">
        <v>1</v>
      </c>
      <c r="Q18" s="1186"/>
      <c r="R18" s="1186">
        <v>1</v>
      </c>
      <c r="S18" s="1186"/>
      <c r="T18" s="1186">
        <v>3</v>
      </c>
      <c r="U18" s="1186"/>
    </row>
    <row r="19" spans="1:21" x14ac:dyDescent="0.2">
      <c r="A19" s="1186" t="s">
        <v>97</v>
      </c>
      <c r="B19" s="1186" t="s">
        <v>20</v>
      </c>
      <c r="C19" s="1186" t="s">
        <v>881</v>
      </c>
      <c r="D19" s="1186" t="s">
        <v>1983</v>
      </c>
      <c r="E19" s="1186" t="s">
        <v>1982</v>
      </c>
      <c r="F19" s="1186">
        <v>9</v>
      </c>
      <c r="G19" s="1186"/>
      <c r="H19" s="1186"/>
      <c r="I19" s="1186">
        <v>3</v>
      </c>
      <c r="J19" s="1186"/>
      <c r="K19" s="1186"/>
      <c r="L19" s="1186">
        <v>3</v>
      </c>
      <c r="M19" s="1186">
        <v>1</v>
      </c>
      <c r="N19" s="1186"/>
      <c r="O19" s="1186"/>
      <c r="P19" s="1186">
        <v>1</v>
      </c>
      <c r="Q19" s="1186"/>
      <c r="R19" s="1186"/>
      <c r="S19" s="1186"/>
      <c r="T19" s="1186">
        <v>5</v>
      </c>
      <c r="U19" s="1186"/>
    </row>
    <row r="20" spans="1:21" x14ac:dyDescent="0.2">
      <c r="A20" s="1186" t="s">
        <v>97</v>
      </c>
      <c r="B20" s="1186" t="s">
        <v>20</v>
      </c>
      <c r="C20" s="1186" t="s">
        <v>882</v>
      </c>
      <c r="D20" s="1186" t="s">
        <v>1983</v>
      </c>
      <c r="E20" s="1186" t="s">
        <v>1984</v>
      </c>
      <c r="F20" s="1186">
        <v>9</v>
      </c>
      <c r="G20" s="1186">
        <v>1</v>
      </c>
      <c r="H20" s="1186"/>
      <c r="I20" s="1186"/>
      <c r="J20" s="1186"/>
      <c r="K20" s="1186"/>
      <c r="L20" s="1186">
        <v>1</v>
      </c>
      <c r="M20" s="1186">
        <v>3</v>
      </c>
      <c r="N20" s="1186"/>
      <c r="O20" s="1186"/>
      <c r="P20" s="1186">
        <v>1</v>
      </c>
      <c r="Q20" s="1186"/>
      <c r="R20" s="1186"/>
      <c r="S20" s="1186"/>
      <c r="T20" s="1186">
        <v>2</v>
      </c>
      <c r="U20" s="1186"/>
    </row>
    <row r="21" spans="1:21" x14ac:dyDescent="0.2">
      <c r="A21" s="1186" t="s">
        <v>97</v>
      </c>
      <c r="B21" s="1186" t="s">
        <v>20</v>
      </c>
      <c r="C21" s="1186" t="s">
        <v>883</v>
      </c>
      <c r="D21" s="1186" t="s">
        <v>1983</v>
      </c>
      <c r="E21" s="1186" t="s">
        <v>1984</v>
      </c>
      <c r="F21" s="1186">
        <v>12</v>
      </c>
      <c r="G21" s="1186"/>
      <c r="H21" s="1186"/>
      <c r="I21" s="1186">
        <v>2</v>
      </c>
      <c r="J21" s="1186"/>
      <c r="K21" s="1186"/>
      <c r="L21" s="1186">
        <v>3</v>
      </c>
      <c r="M21" s="1186">
        <v>4</v>
      </c>
      <c r="N21" s="1186"/>
      <c r="O21" s="1186"/>
      <c r="P21" s="1186"/>
      <c r="Q21" s="1186"/>
      <c r="R21" s="1186">
        <v>1</v>
      </c>
      <c r="S21" s="1186"/>
      <c r="T21" s="1186">
        <v>2</v>
      </c>
      <c r="U21" s="1186"/>
    </row>
    <row r="22" spans="1:21" x14ac:dyDescent="0.2">
      <c r="A22" s="1186" t="s">
        <v>97</v>
      </c>
      <c r="B22" s="1186" t="s">
        <v>20</v>
      </c>
      <c r="C22" s="1186" t="s">
        <v>884</v>
      </c>
      <c r="D22" s="1186" t="s">
        <v>1985</v>
      </c>
      <c r="E22" s="1186" t="s">
        <v>1984</v>
      </c>
      <c r="F22" s="1186">
        <v>15</v>
      </c>
      <c r="G22" s="1186"/>
      <c r="H22" s="1186"/>
      <c r="I22" s="1186">
        <v>1</v>
      </c>
      <c r="J22" s="1186">
        <v>2</v>
      </c>
      <c r="K22" s="1186"/>
      <c r="L22" s="1186"/>
      <c r="M22" s="1186">
        <v>2</v>
      </c>
      <c r="N22" s="1186"/>
      <c r="O22" s="1186"/>
      <c r="P22" s="1186"/>
      <c r="Q22" s="1186">
        <v>2</v>
      </c>
      <c r="R22" s="1186"/>
      <c r="S22" s="1186"/>
      <c r="T22" s="1186">
        <v>2</v>
      </c>
      <c r="U22" s="1186"/>
    </row>
    <row r="23" spans="1:21" x14ac:dyDescent="0.2">
      <c r="A23" s="1186" t="s">
        <v>97</v>
      </c>
      <c r="B23" s="1186" t="s">
        <v>20</v>
      </c>
      <c r="C23" s="1186" t="s">
        <v>885</v>
      </c>
      <c r="D23" s="1186" t="s">
        <v>1985</v>
      </c>
      <c r="E23" s="1186" t="s">
        <v>1986</v>
      </c>
      <c r="F23" s="1186">
        <v>15</v>
      </c>
      <c r="G23" s="1186">
        <v>1</v>
      </c>
      <c r="H23" s="1186"/>
      <c r="I23" s="1186">
        <v>1</v>
      </c>
      <c r="J23" s="1186"/>
      <c r="K23" s="1186"/>
      <c r="L23" s="1186">
        <v>1</v>
      </c>
      <c r="M23" s="1186">
        <v>3</v>
      </c>
      <c r="N23" s="1186"/>
      <c r="O23" s="1186"/>
      <c r="P23" s="1186">
        <v>1</v>
      </c>
      <c r="Q23" s="1186"/>
      <c r="R23" s="1186"/>
      <c r="S23" s="1186"/>
      <c r="T23" s="1186">
        <v>2</v>
      </c>
      <c r="U23" s="1186"/>
    </row>
    <row r="24" spans="1:21" x14ac:dyDescent="0.2">
      <c r="A24" s="1186" t="s">
        <v>97</v>
      </c>
      <c r="B24" s="1186" t="s">
        <v>20</v>
      </c>
      <c r="C24" s="1186" t="s">
        <v>20</v>
      </c>
      <c r="D24" s="1186" t="s">
        <v>1985</v>
      </c>
      <c r="E24" s="1186" t="s">
        <v>1986</v>
      </c>
      <c r="F24" s="1186">
        <v>11</v>
      </c>
      <c r="G24" s="1186"/>
      <c r="H24" s="1186"/>
      <c r="I24" s="1186"/>
      <c r="J24" s="1186">
        <v>1</v>
      </c>
      <c r="K24" s="1186"/>
      <c r="L24" s="1186">
        <v>1</v>
      </c>
      <c r="M24" s="1186">
        <v>4</v>
      </c>
      <c r="N24" s="1186"/>
      <c r="O24" s="1186"/>
      <c r="P24" s="1186"/>
      <c r="Q24" s="1186"/>
      <c r="R24" s="1186"/>
      <c r="S24" s="1186"/>
      <c r="T24" s="1186">
        <v>3</v>
      </c>
      <c r="U24" s="1186"/>
    </row>
    <row r="25" spans="1:21" x14ac:dyDescent="0.2">
      <c r="A25" s="1186" t="s">
        <v>97</v>
      </c>
      <c r="B25" s="1186" t="s">
        <v>20</v>
      </c>
      <c r="C25" s="1186" t="s">
        <v>886</v>
      </c>
      <c r="D25" s="1186" t="s">
        <v>1987</v>
      </c>
      <c r="E25" s="1186" t="s">
        <v>1986</v>
      </c>
      <c r="F25" s="1186">
        <v>10</v>
      </c>
      <c r="G25" s="1186"/>
      <c r="H25" s="1186"/>
      <c r="I25" s="1186">
        <v>2</v>
      </c>
      <c r="J25" s="1186"/>
      <c r="K25" s="1186"/>
      <c r="L25" s="1186">
        <v>3</v>
      </c>
      <c r="M25" s="1186">
        <v>2</v>
      </c>
      <c r="N25" s="1186"/>
      <c r="O25" s="1186"/>
      <c r="P25" s="1186">
        <v>2</v>
      </c>
      <c r="Q25" s="1186"/>
      <c r="R25" s="1186">
        <v>1</v>
      </c>
      <c r="S25" s="1186"/>
      <c r="T25" s="1186">
        <v>2</v>
      </c>
      <c r="U25" s="1186"/>
    </row>
    <row r="26" spans="1:21" x14ac:dyDescent="0.2">
      <c r="A26" s="1186" t="s">
        <v>97</v>
      </c>
      <c r="B26" s="1186" t="s">
        <v>20</v>
      </c>
      <c r="C26" s="1186" t="s">
        <v>887</v>
      </c>
      <c r="D26" s="1186" t="s">
        <v>1987</v>
      </c>
      <c r="E26" s="1186" t="s">
        <v>1988</v>
      </c>
      <c r="F26" s="1186">
        <v>10</v>
      </c>
      <c r="G26" s="1186"/>
      <c r="H26" s="1186"/>
      <c r="I26" s="1186">
        <v>2</v>
      </c>
      <c r="J26" s="1186">
        <v>2</v>
      </c>
      <c r="K26" s="1186"/>
      <c r="L26" s="1186"/>
      <c r="M26" s="1186"/>
      <c r="N26" s="1186"/>
      <c r="O26" s="1186"/>
      <c r="P26" s="1186"/>
      <c r="Q26" s="1186">
        <v>1</v>
      </c>
      <c r="R26" s="1186"/>
      <c r="S26" s="1186"/>
      <c r="T26" s="1186">
        <v>2</v>
      </c>
      <c r="U26" s="1186"/>
    </row>
    <row r="27" spans="1:21" x14ac:dyDescent="0.2">
      <c r="A27" s="1186" t="s">
        <v>97</v>
      </c>
      <c r="B27" s="1186" t="s">
        <v>20</v>
      </c>
      <c r="C27" s="1186" t="s">
        <v>888</v>
      </c>
      <c r="D27" s="1186" t="s">
        <v>1987</v>
      </c>
      <c r="E27" s="1186" t="s">
        <v>1988</v>
      </c>
      <c r="F27" s="1186">
        <v>10</v>
      </c>
      <c r="G27" s="1186"/>
      <c r="H27" s="1186"/>
      <c r="I27" s="1186"/>
      <c r="J27" s="1186">
        <v>2</v>
      </c>
      <c r="K27" s="1186"/>
      <c r="L27" s="1186"/>
      <c r="M27" s="1186"/>
      <c r="N27" s="1186"/>
      <c r="O27" s="1186"/>
      <c r="P27" s="1186"/>
      <c r="Q27" s="1186">
        <v>1</v>
      </c>
      <c r="R27" s="1186"/>
      <c r="S27" s="1186"/>
      <c r="T27" s="1186"/>
      <c r="U27" s="1186"/>
    </row>
    <row r="28" spans="1:21" x14ac:dyDescent="0.2">
      <c r="A28" s="1186" t="s">
        <v>97</v>
      </c>
      <c r="B28" s="1186" t="s">
        <v>20</v>
      </c>
      <c r="C28" s="1186" t="s">
        <v>889</v>
      </c>
      <c r="D28" s="1186" t="s">
        <v>1981</v>
      </c>
      <c r="E28" s="1186" t="s">
        <v>1988</v>
      </c>
      <c r="F28" s="1186">
        <v>10</v>
      </c>
      <c r="G28" s="1186"/>
      <c r="H28" s="1186"/>
      <c r="I28" s="1186">
        <v>1</v>
      </c>
      <c r="J28" s="1186">
        <v>1</v>
      </c>
      <c r="K28" s="1186"/>
      <c r="L28" s="1186"/>
      <c r="M28" s="1186">
        <v>3</v>
      </c>
      <c r="N28" s="1186"/>
      <c r="O28" s="1186"/>
      <c r="P28" s="1186"/>
      <c r="Q28" s="1186"/>
      <c r="R28" s="1186">
        <v>1</v>
      </c>
      <c r="S28" s="1186"/>
      <c r="T28" s="1186">
        <v>4</v>
      </c>
      <c r="U28" s="1186"/>
    </row>
    <row r="29" spans="1:21" x14ac:dyDescent="0.2">
      <c r="A29" s="1186" t="s">
        <v>97</v>
      </c>
      <c r="B29" s="1186" t="s">
        <v>13</v>
      </c>
      <c r="C29" s="1186" t="s">
        <v>890</v>
      </c>
      <c r="D29" s="1186" t="s">
        <v>1981</v>
      </c>
      <c r="E29" s="1186" t="s">
        <v>1982</v>
      </c>
      <c r="F29" s="1186">
        <v>5</v>
      </c>
      <c r="G29" s="1186"/>
      <c r="H29" s="1186"/>
      <c r="I29" s="1186">
        <v>2</v>
      </c>
      <c r="J29" s="1186"/>
      <c r="K29" s="1186"/>
      <c r="L29" s="1186">
        <v>3</v>
      </c>
      <c r="M29" s="1186">
        <v>2</v>
      </c>
      <c r="N29" s="1186"/>
      <c r="O29" s="1186"/>
      <c r="P29" s="1186"/>
      <c r="Q29" s="1186"/>
      <c r="R29" s="1186"/>
      <c r="S29" s="1186"/>
      <c r="T29" s="1186">
        <v>5</v>
      </c>
      <c r="U29" s="1186"/>
    </row>
    <row r="30" spans="1:21" x14ac:dyDescent="0.2">
      <c r="A30" s="1186" t="s">
        <v>97</v>
      </c>
      <c r="B30" s="1186" t="s">
        <v>13</v>
      </c>
      <c r="C30" s="1186" t="s">
        <v>891</v>
      </c>
      <c r="D30" s="1186" t="s">
        <v>1981</v>
      </c>
      <c r="E30" s="1186" t="s">
        <v>1982</v>
      </c>
      <c r="F30" s="1186">
        <v>7</v>
      </c>
      <c r="G30" s="1186"/>
      <c r="H30" s="1186"/>
      <c r="I30" s="1186">
        <v>2</v>
      </c>
      <c r="J30" s="1186">
        <v>3</v>
      </c>
      <c r="K30" s="1186"/>
      <c r="L30" s="1186"/>
      <c r="M30" s="1186">
        <v>5</v>
      </c>
      <c r="N30" s="1186"/>
      <c r="O30" s="1186"/>
      <c r="P30" s="1186"/>
      <c r="Q30" s="1186"/>
      <c r="R30" s="1186"/>
      <c r="S30" s="1186"/>
      <c r="T30" s="1186">
        <v>1</v>
      </c>
      <c r="U30" s="1186"/>
    </row>
    <row r="31" spans="1:21" x14ac:dyDescent="0.2">
      <c r="A31" s="1186" t="s">
        <v>97</v>
      </c>
      <c r="B31" s="1186" t="s">
        <v>13</v>
      </c>
      <c r="C31" s="1186" t="s">
        <v>892</v>
      </c>
      <c r="D31" s="1186" t="s">
        <v>1983</v>
      </c>
      <c r="E31" s="1186" t="s">
        <v>1982</v>
      </c>
      <c r="F31" s="1186">
        <v>12</v>
      </c>
      <c r="G31" s="1186"/>
      <c r="H31" s="1186"/>
      <c r="I31" s="1186">
        <v>2</v>
      </c>
      <c r="J31" s="1186">
        <v>1</v>
      </c>
      <c r="K31" s="1186"/>
      <c r="L31" s="1186"/>
      <c r="M31" s="1186">
        <v>6</v>
      </c>
      <c r="N31" s="1186"/>
      <c r="O31" s="1186"/>
      <c r="P31" s="1186"/>
      <c r="Q31" s="1186">
        <v>1</v>
      </c>
      <c r="R31" s="1186">
        <v>1</v>
      </c>
      <c r="S31" s="1186"/>
      <c r="T31" s="1186">
        <v>5</v>
      </c>
      <c r="U31" s="1186"/>
    </row>
    <row r="32" spans="1:21" x14ac:dyDescent="0.2">
      <c r="A32" s="1186" t="s">
        <v>97</v>
      </c>
      <c r="B32" s="1186" t="s">
        <v>13</v>
      </c>
      <c r="C32" s="1186" t="s">
        <v>893</v>
      </c>
      <c r="D32" s="1186" t="s">
        <v>1983</v>
      </c>
      <c r="E32" s="1186" t="s">
        <v>1984</v>
      </c>
      <c r="F32" s="1186">
        <v>8</v>
      </c>
      <c r="G32" s="1186"/>
      <c r="H32" s="1186"/>
      <c r="I32" s="1186">
        <v>3</v>
      </c>
      <c r="J32" s="1186"/>
      <c r="K32" s="1186"/>
      <c r="L32" s="1186">
        <v>1</v>
      </c>
      <c r="M32" s="1186">
        <v>6</v>
      </c>
      <c r="N32" s="1186"/>
      <c r="O32" s="1186"/>
      <c r="P32" s="1186"/>
      <c r="Q32" s="1186">
        <v>2</v>
      </c>
      <c r="R32" s="1186"/>
      <c r="S32" s="1186"/>
      <c r="T32" s="1186">
        <v>3</v>
      </c>
      <c r="U32" s="1186"/>
    </row>
    <row r="33" spans="1:21" x14ac:dyDescent="0.2">
      <c r="A33" s="1186" t="s">
        <v>97</v>
      </c>
      <c r="B33" s="1186" t="s">
        <v>13</v>
      </c>
      <c r="C33" s="1186" t="s">
        <v>894</v>
      </c>
      <c r="D33" s="1186" t="s">
        <v>1983</v>
      </c>
      <c r="E33" s="1186" t="s">
        <v>1984</v>
      </c>
      <c r="F33" s="1186">
        <v>6</v>
      </c>
      <c r="G33" s="1186"/>
      <c r="H33" s="1186"/>
      <c r="I33" s="1186">
        <v>1</v>
      </c>
      <c r="J33" s="1186">
        <v>1</v>
      </c>
      <c r="K33" s="1186"/>
      <c r="L33" s="1186">
        <v>1</v>
      </c>
      <c r="M33" s="1186">
        <v>6</v>
      </c>
      <c r="N33" s="1186">
        <v>1</v>
      </c>
      <c r="O33" s="1186"/>
      <c r="P33" s="1186"/>
      <c r="Q33" s="1186"/>
      <c r="R33" s="1186"/>
      <c r="S33" s="1186"/>
      <c r="T33" s="1186">
        <v>5</v>
      </c>
      <c r="U33" s="1186"/>
    </row>
    <row r="34" spans="1:21" x14ac:dyDescent="0.2">
      <c r="A34" s="1186" t="s">
        <v>97</v>
      </c>
      <c r="B34" s="1186" t="s">
        <v>13</v>
      </c>
      <c r="C34" s="1186" t="s">
        <v>895</v>
      </c>
      <c r="D34" s="1186" t="s">
        <v>1985</v>
      </c>
      <c r="E34" s="1186" t="s">
        <v>1984</v>
      </c>
      <c r="F34" s="1186">
        <v>7</v>
      </c>
      <c r="G34" s="1186"/>
      <c r="H34" s="1186"/>
      <c r="I34" s="1186">
        <v>3</v>
      </c>
      <c r="J34" s="1186"/>
      <c r="K34" s="1186"/>
      <c r="L34" s="1186">
        <v>1</v>
      </c>
      <c r="M34" s="1186">
        <v>3</v>
      </c>
      <c r="N34" s="1186"/>
      <c r="O34" s="1186"/>
      <c r="P34" s="1186">
        <v>1</v>
      </c>
      <c r="Q34" s="1186"/>
      <c r="R34" s="1186">
        <v>1</v>
      </c>
      <c r="S34" s="1186"/>
      <c r="T34" s="1186">
        <v>1</v>
      </c>
      <c r="U34" s="1186"/>
    </row>
    <row r="35" spans="1:21" x14ac:dyDescent="0.2">
      <c r="A35" s="1186" t="s">
        <v>97</v>
      </c>
      <c r="B35" s="1186" t="s">
        <v>13</v>
      </c>
      <c r="C35" s="1186" t="s">
        <v>896</v>
      </c>
      <c r="D35" s="1186" t="s">
        <v>1985</v>
      </c>
      <c r="E35" s="1186" t="s">
        <v>1986</v>
      </c>
      <c r="F35" s="1186">
        <v>4</v>
      </c>
      <c r="G35" s="1186">
        <v>1</v>
      </c>
      <c r="H35" s="1186"/>
      <c r="I35" s="1186"/>
      <c r="J35" s="1186"/>
      <c r="K35" s="1186"/>
      <c r="L35" s="1186"/>
      <c r="M35" s="1186">
        <v>1</v>
      </c>
      <c r="N35" s="1186"/>
      <c r="O35" s="1186"/>
      <c r="P35" s="1186">
        <v>1</v>
      </c>
      <c r="Q35" s="1186"/>
      <c r="R35" s="1186"/>
      <c r="S35" s="1186"/>
      <c r="T35" s="1186">
        <v>1</v>
      </c>
      <c r="U35" s="1186"/>
    </row>
    <row r="36" spans="1:21" x14ac:dyDescent="0.2">
      <c r="A36" s="1186" t="s">
        <v>97</v>
      </c>
      <c r="B36" s="1186" t="s">
        <v>13</v>
      </c>
      <c r="C36" s="1186" t="s">
        <v>897</v>
      </c>
      <c r="D36" s="1186" t="s">
        <v>1985</v>
      </c>
      <c r="E36" s="1186" t="s">
        <v>1986</v>
      </c>
      <c r="F36" s="1186">
        <v>18</v>
      </c>
      <c r="G36" s="1186"/>
      <c r="H36" s="1186"/>
      <c r="I36" s="1186">
        <v>1</v>
      </c>
      <c r="J36" s="1186"/>
      <c r="K36" s="1186"/>
      <c r="L36" s="1186"/>
      <c r="M36" s="1186">
        <v>2</v>
      </c>
      <c r="N36" s="1186"/>
      <c r="O36" s="1186"/>
      <c r="P36" s="1186">
        <v>1</v>
      </c>
      <c r="Q36" s="1186"/>
      <c r="R36" s="1186"/>
      <c r="S36" s="1186"/>
      <c r="T36" s="1186"/>
      <c r="U36" s="1186"/>
    </row>
    <row r="37" spans="1:21" x14ac:dyDescent="0.2">
      <c r="A37" s="1186" t="s">
        <v>97</v>
      </c>
      <c r="B37" s="1186" t="s">
        <v>13</v>
      </c>
      <c r="C37" s="1186" t="s">
        <v>13</v>
      </c>
      <c r="D37" s="1186" t="s">
        <v>1987</v>
      </c>
      <c r="E37" s="1186" t="s">
        <v>1986</v>
      </c>
      <c r="F37" s="1186">
        <v>5</v>
      </c>
      <c r="G37" s="1186"/>
      <c r="H37" s="1186"/>
      <c r="I37" s="1186">
        <v>2</v>
      </c>
      <c r="J37" s="1186"/>
      <c r="K37" s="1186"/>
      <c r="L37" s="1186">
        <v>3</v>
      </c>
      <c r="M37" s="1186">
        <v>1</v>
      </c>
      <c r="N37" s="1186"/>
      <c r="O37" s="1186"/>
      <c r="P37" s="1186"/>
      <c r="Q37" s="1186"/>
      <c r="R37" s="1186"/>
      <c r="S37" s="1186"/>
      <c r="T37" s="1186">
        <v>1</v>
      </c>
      <c r="U37" s="1186"/>
    </row>
    <row r="38" spans="1:21" x14ac:dyDescent="0.2">
      <c r="A38" s="1186" t="s">
        <v>97</v>
      </c>
      <c r="B38" s="1186" t="s">
        <v>13</v>
      </c>
      <c r="C38" s="1186" t="s">
        <v>898</v>
      </c>
      <c r="D38" s="1186" t="s">
        <v>1987</v>
      </c>
      <c r="E38" s="1186" t="s">
        <v>1988</v>
      </c>
      <c r="F38" s="1186">
        <v>5</v>
      </c>
      <c r="G38" s="1186"/>
      <c r="H38" s="1186"/>
      <c r="I38" s="1186"/>
      <c r="J38" s="1186"/>
      <c r="K38" s="1186"/>
      <c r="L38" s="1186">
        <v>2</v>
      </c>
      <c r="M38" s="1186"/>
      <c r="N38" s="1186"/>
      <c r="O38" s="1186"/>
      <c r="P38" s="1186">
        <v>1</v>
      </c>
      <c r="Q38" s="1186"/>
      <c r="R38" s="1186"/>
      <c r="S38" s="1186"/>
      <c r="T38" s="1186"/>
      <c r="U38" s="1186"/>
    </row>
    <row r="39" spans="1:21" x14ac:dyDescent="0.2">
      <c r="A39" s="1186" t="s">
        <v>97</v>
      </c>
      <c r="B39" s="1186" t="s">
        <v>13</v>
      </c>
      <c r="C39" s="1186" t="s">
        <v>899</v>
      </c>
      <c r="D39" s="1186" t="s">
        <v>1987</v>
      </c>
      <c r="E39" s="1186" t="s">
        <v>1988</v>
      </c>
      <c r="F39" s="1186">
        <v>10</v>
      </c>
      <c r="G39" s="1186"/>
      <c r="H39" s="1186"/>
      <c r="I39" s="1186">
        <v>1</v>
      </c>
      <c r="J39" s="1186"/>
      <c r="K39" s="1186"/>
      <c r="L39" s="1186">
        <v>1</v>
      </c>
      <c r="M39" s="1186">
        <v>3</v>
      </c>
      <c r="N39" s="1186"/>
      <c r="O39" s="1186"/>
      <c r="P39" s="1186"/>
      <c r="Q39" s="1186"/>
      <c r="R39" s="1186"/>
      <c r="S39" s="1186"/>
      <c r="T39" s="1186">
        <v>4</v>
      </c>
      <c r="U39" s="1186"/>
    </row>
    <row r="40" spans="1:21" x14ac:dyDescent="0.2">
      <c r="A40" s="1186" t="s">
        <v>97</v>
      </c>
      <c r="B40" s="1186" t="s">
        <v>13</v>
      </c>
      <c r="C40" s="1186" t="s">
        <v>900</v>
      </c>
      <c r="D40" s="1186" t="s">
        <v>1981</v>
      </c>
      <c r="E40" s="1186" t="s">
        <v>1988</v>
      </c>
      <c r="F40" s="1186">
        <v>11</v>
      </c>
      <c r="G40" s="1186">
        <v>2</v>
      </c>
      <c r="H40" s="1186"/>
      <c r="I40" s="1186"/>
      <c r="J40" s="1186">
        <v>1</v>
      </c>
      <c r="K40" s="1186"/>
      <c r="L40" s="1186">
        <v>3</v>
      </c>
      <c r="M40" s="1186">
        <v>2</v>
      </c>
      <c r="N40" s="1186"/>
      <c r="O40" s="1186"/>
      <c r="P40" s="1186">
        <v>1</v>
      </c>
      <c r="Q40" s="1186">
        <v>1</v>
      </c>
      <c r="R40" s="1186"/>
      <c r="S40" s="1186"/>
      <c r="T40" s="1186">
        <v>1</v>
      </c>
      <c r="U40" s="1186"/>
    </row>
    <row r="41" spans="1:21" x14ac:dyDescent="0.2">
      <c r="A41" s="1186" t="s">
        <v>97</v>
      </c>
      <c r="B41" s="1186" t="s">
        <v>15</v>
      </c>
      <c r="C41" s="1186" t="s">
        <v>901</v>
      </c>
      <c r="D41" s="1186" t="s">
        <v>1981</v>
      </c>
      <c r="E41" s="1186" t="s">
        <v>1982</v>
      </c>
      <c r="F41" s="1186">
        <v>6</v>
      </c>
      <c r="G41" s="1186">
        <v>1</v>
      </c>
      <c r="H41" s="1186"/>
      <c r="I41" s="1186">
        <v>1</v>
      </c>
      <c r="J41" s="1186"/>
      <c r="K41" s="1186"/>
      <c r="L41" s="1186"/>
      <c r="M41" s="1186">
        <v>1</v>
      </c>
      <c r="N41" s="1186"/>
      <c r="O41" s="1186"/>
      <c r="P41" s="1186"/>
      <c r="Q41" s="1186"/>
      <c r="R41" s="1186"/>
      <c r="S41" s="1186"/>
      <c r="T41" s="1186">
        <v>1</v>
      </c>
      <c r="U41" s="1186"/>
    </row>
    <row r="42" spans="1:21" x14ac:dyDescent="0.2">
      <c r="A42" s="1186" t="s">
        <v>97</v>
      </c>
      <c r="B42" s="1186" t="s">
        <v>15</v>
      </c>
      <c r="C42" s="1186" t="s">
        <v>902</v>
      </c>
      <c r="D42" s="1186" t="s">
        <v>1981</v>
      </c>
      <c r="E42" s="1186" t="s">
        <v>1982</v>
      </c>
      <c r="F42" s="1186">
        <v>8</v>
      </c>
      <c r="G42" s="1186"/>
      <c r="H42" s="1186"/>
      <c r="I42" s="1186">
        <v>4</v>
      </c>
      <c r="J42" s="1186">
        <v>1</v>
      </c>
      <c r="K42" s="1186"/>
      <c r="L42" s="1186">
        <v>1</v>
      </c>
      <c r="M42" s="1186">
        <v>1</v>
      </c>
      <c r="N42" s="1186"/>
      <c r="O42" s="1186"/>
      <c r="P42" s="1186">
        <v>1</v>
      </c>
      <c r="Q42" s="1186"/>
      <c r="R42" s="1186"/>
      <c r="S42" s="1186"/>
      <c r="T42" s="1186">
        <v>1</v>
      </c>
      <c r="U42" s="1186"/>
    </row>
    <row r="43" spans="1:21" x14ac:dyDescent="0.2">
      <c r="A43" s="1186" t="s">
        <v>97</v>
      </c>
      <c r="B43" s="1186" t="s">
        <v>15</v>
      </c>
      <c r="C43" s="1186" t="s">
        <v>903</v>
      </c>
      <c r="D43" s="1186" t="s">
        <v>1983</v>
      </c>
      <c r="E43" s="1186" t="s">
        <v>1982</v>
      </c>
      <c r="F43" s="1186">
        <v>12</v>
      </c>
      <c r="G43" s="1186"/>
      <c r="H43" s="1186"/>
      <c r="I43" s="1186">
        <v>1</v>
      </c>
      <c r="J43" s="1186">
        <v>1</v>
      </c>
      <c r="K43" s="1186"/>
      <c r="L43" s="1186">
        <v>1</v>
      </c>
      <c r="M43" s="1186">
        <v>1</v>
      </c>
      <c r="N43" s="1186">
        <v>1</v>
      </c>
      <c r="O43" s="1186"/>
      <c r="P43" s="1186"/>
      <c r="Q43" s="1186"/>
      <c r="R43" s="1186"/>
      <c r="S43" s="1186"/>
      <c r="T43" s="1186"/>
      <c r="U43" s="1186"/>
    </row>
    <row r="44" spans="1:21" x14ac:dyDescent="0.2">
      <c r="A44" s="1186" t="s">
        <v>97</v>
      </c>
      <c r="B44" s="1186" t="s">
        <v>15</v>
      </c>
      <c r="C44" s="1186" t="s">
        <v>904</v>
      </c>
      <c r="D44" s="1186" t="s">
        <v>1983</v>
      </c>
      <c r="E44" s="1186" t="s">
        <v>1984</v>
      </c>
      <c r="F44" s="1186">
        <v>4</v>
      </c>
      <c r="G44" s="1186">
        <v>2</v>
      </c>
      <c r="H44" s="1186"/>
      <c r="I44" s="1186">
        <v>1</v>
      </c>
      <c r="J44" s="1186"/>
      <c r="K44" s="1186"/>
      <c r="L44" s="1186">
        <v>1</v>
      </c>
      <c r="M44" s="1186">
        <v>1</v>
      </c>
      <c r="N44" s="1186"/>
      <c r="O44" s="1186"/>
      <c r="P44" s="1186">
        <v>1</v>
      </c>
      <c r="Q44" s="1186"/>
      <c r="R44" s="1186"/>
      <c r="S44" s="1186"/>
      <c r="T44" s="1186">
        <v>2</v>
      </c>
      <c r="U44" s="1186"/>
    </row>
    <row r="45" spans="1:21" x14ac:dyDescent="0.2">
      <c r="A45" s="1186" t="s">
        <v>97</v>
      </c>
      <c r="B45" s="1186" t="s">
        <v>15</v>
      </c>
      <c r="C45" s="1186" t="s">
        <v>905</v>
      </c>
      <c r="D45" s="1186" t="s">
        <v>1983</v>
      </c>
      <c r="E45" s="1186" t="s">
        <v>1984</v>
      </c>
      <c r="F45" s="1186">
        <v>12</v>
      </c>
      <c r="G45" s="1186">
        <v>3</v>
      </c>
      <c r="H45" s="1186"/>
      <c r="I45" s="1186"/>
      <c r="J45" s="1186"/>
      <c r="K45" s="1186"/>
      <c r="L45" s="1186"/>
      <c r="M45" s="1186">
        <v>3</v>
      </c>
      <c r="N45" s="1186"/>
      <c r="O45" s="1186"/>
      <c r="P45" s="1186">
        <v>1</v>
      </c>
      <c r="Q45" s="1186">
        <v>1</v>
      </c>
      <c r="R45" s="1186"/>
      <c r="S45" s="1186"/>
      <c r="T45" s="1186">
        <v>2</v>
      </c>
      <c r="U45" s="1186"/>
    </row>
    <row r="46" spans="1:21" x14ac:dyDescent="0.2">
      <c r="A46" s="1186" t="s">
        <v>97</v>
      </c>
      <c r="B46" s="1186" t="s">
        <v>15</v>
      </c>
      <c r="C46" s="1186" t="s">
        <v>906</v>
      </c>
      <c r="D46" s="1186" t="s">
        <v>1985</v>
      </c>
      <c r="E46" s="1186" t="s">
        <v>1984</v>
      </c>
      <c r="F46" s="1186">
        <v>5</v>
      </c>
      <c r="G46" s="1186">
        <v>1</v>
      </c>
      <c r="H46" s="1186"/>
      <c r="I46" s="1186">
        <v>1</v>
      </c>
      <c r="J46" s="1186">
        <v>2</v>
      </c>
      <c r="K46" s="1186"/>
      <c r="L46" s="1186"/>
      <c r="M46" s="1186">
        <v>1</v>
      </c>
      <c r="N46" s="1186"/>
      <c r="O46" s="1186"/>
      <c r="P46" s="1186"/>
      <c r="Q46" s="1186">
        <v>1</v>
      </c>
      <c r="R46" s="1186"/>
      <c r="S46" s="1186"/>
      <c r="T46" s="1186">
        <v>3</v>
      </c>
      <c r="U46" s="1186"/>
    </row>
    <row r="47" spans="1:21" x14ac:dyDescent="0.2">
      <c r="A47" s="1186" t="s">
        <v>97</v>
      </c>
      <c r="B47" s="1186" t="s">
        <v>15</v>
      </c>
      <c r="C47" s="1186" t="s">
        <v>907</v>
      </c>
      <c r="D47" s="1186" t="s">
        <v>1985</v>
      </c>
      <c r="E47" s="1186" t="s">
        <v>1986</v>
      </c>
      <c r="F47" s="1186">
        <v>3</v>
      </c>
      <c r="G47" s="1186"/>
      <c r="H47" s="1186"/>
      <c r="I47" s="1186">
        <v>3</v>
      </c>
      <c r="J47" s="1186">
        <v>1</v>
      </c>
      <c r="K47" s="1186"/>
      <c r="L47" s="1186">
        <v>2</v>
      </c>
      <c r="M47" s="1186">
        <v>2</v>
      </c>
      <c r="N47" s="1186"/>
      <c r="O47" s="1186"/>
      <c r="P47" s="1186">
        <v>1</v>
      </c>
      <c r="Q47" s="1186">
        <v>1</v>
      </c>
      <c r="R47" s="1186"/>
      <c r="S47" s="1186"/>
      <c r="T47" s="1186">
        <v>2</v>
      </c>
      <c r="U47" s="1186"/>
    </row>
    <row r="48" spans="1:21" x14ac:dyDescent="0.2">
      <c r="A48" s="1186" t="s">
        <v>97</v>
      </c>
      <c r="B48" s="1186" t="s">
        <v>15</v>
      </c>
      <c r="C48" s="1186" t="s">
        <v>908</v>
      </c>
      <c r="D48" s="1186" t="s">
        <v>1985</v>
      </c>
      <c r="E48" s="1186" t="s">
        <v>1986</v>
      </c>
      <c r="F48" s="1186">
        <v>7</v>
      </c>
      <c r="G48" s="1186"/>
      <c r="H48" s="1186"/>
      <c r="I48" s="1186">
        <v>3</v>
      </c>
      <c r="J48" s="1186"/>
      <c r="K48" s="1186"/>
      <c r="L48" s="1186"/>
      <c r="M48" s="1186">
        <v>2</v>
      </c>
      <c r="N48" s="1186"/>
      <c r="O48" s="1186"/>
      <c r="P48" s="1186"/>
      <c r="Q48" s="1186"/>
      <c r="R48" s="1186">
        <v>1</v>
      </c>
      <c r="S48" s="1186"/>
      <c r="T48" s="1186">
        <v>2</v>
      </c>
      <c r="U48" s="1186"/>
    </row>
    <row r="49" spans="1:21" x14ac:dyDescent="0.2">
      <c r="A49" s="1186" t="s">
        <v>97</v>
      </c>
      <c r="B49" s="1186" t="s">
        <v>15</v>
      </c>
      <c r="C49" s="1186" t="s">
        <v>909</v>
      </c>
      <c r="D49" s="1186" t="s">
        <v>1987</v>
      </c>
      <c r="E49" s="1186" t="s">
        <v>1986</v>
      </c>
      <c r="F49" s="1186">
        <v>9</v>
      </c>
      <c r="G49" s="1186"/>
      <c r="H49" s="1186"/>
      <c r="I49" s="1186">
        <v>2</v>
      </c>
      <c r="J49" s="1186"/>
      <c r="K49" s="1186"/>
      <c r="L49" s="1186">
        <v>1</v>
      </c>
      <c r="M49" s="1186">
        <v>3</v>
      </c>
      <c r="N49" s="1186"/>
      <c r="O49" s="1186"/>
      <c r="P49" s="1186"/>
      <c r="Q49" s="1186"/>
      <c r="R49" s="1186">
        <v>2</v>
      </c>
      <c r="S49" s="1186"/>
      <c r="T49" s="1186">
        <v>4</v>
      </c>
      <c r="U49" s="1186"/>
    </row>
    <row r="50" spans="1:21" x14ac:dyDescent="0.2">
      <c r="A50" s="1186" t="s">
        <v>97</v>
      </c>
      <c r="B50" s="1186" t="s">
        <v>15</v>
      </c>
      <c r="C50" s="1186" t="s">
        <v>910</v>
      </c>
      <c r="D50" s="1186" t="s">
        <v>1987</v>
      </c>
      <c r="E50" s="1186" t="s">
        <v>1988</v>
      </c>
      <c r="F50" s="1186">
        <v>9</v>
      </c>
      <c r="G50" s="1186"/>
      <c r="H50" s="1186"/>
      <c r="I50" s="1186">
        <v>3</v>
      </c>
      <c r="J50" s="1186"/>
      <c r="K50" s="1186"/>
      <c r="L50" s="1186"/>
      <c r="M50" s="1186">
        <v>3</v>
      </c>
      <c r="N50" s="1186"/>
      <c r="O50" s="1186"/>
      <c r="P50" s="1186">
        <v>1</v>
      </c>
      <c r="Q50" s="1186"/>
      <c r="R50" s="1186"/>
      <c r="S50" s="1186"/>
      <c r="T50" s="1186">
        <v>1</v>
      </c>
      <c r="U50" s="1186"/>
    </row>
    <row r="51" spans="1:21" x14ac:dyDescent="0.2">
      <c r="A51" s="1186" t="s">
        <v>97</v>
      </c>
      <c r="B51" s="1186" t="s">
        <v>15</v>
      </c>
      <c r="C51" s="1186" t="s">
        <v>911</v>
      </c>
      <c r="D51" s="1186" t="s">
        <v>1987</v>
      </c>
      <c r="E51" s="1186" t="s">
        <v>1988</v>
      </c>
      <c r="F51" s="1186">
        <v>9</v>
      </c>
      <c r="G51" s="1186"/>
      <c r="H51" s="1186"/>
      <c r="I51" s="1186">
        <v>1</v>
      </c>
      <c r="J51" s="1186">
        <v>3</v>
      </c>
      <c r="K51" s="1186"/>
      <c r="L51" s="1186">
        <v>1</v>
      </c>
      <c r="M51" s="1186">
        <v>2</v>
      </c>
      <c r="N51" s="1186"/>
      <c r="O51" s="1186"/>
      <c r="P51" s="1186"/>
      <c r="Q51" s="1186"/>
      <c r="R51" s="1186"/>
      <c r="S51" s="1186"/>
      <c r="T51" s="1186">
        <v>4</v>
      </c>
      <c r="U51" s="1186"/>
    </row>
    <row r="52" spans="1:21" x14ac:dyDescent="0.2">
      <c r="A52" s="1186" t="s">
        <v>97</v>
      </c>
      <c r="B52" s="1186" t="s">
        <v>15</v>
      </c>
      <c r="C52" s="1186" t="s">
        <v>912</v>
      </c>
      <c r="D52" s="1186" t="s">
        <v>1981</v>
      </c>
      <c r="E52" s="1186" t="s">
        <v>1988</v>
      </c>
      <c r="F52" s="1186">
        <v>6</v>
      </c>
      <c r="G52" s="1186"/>
      <c r="H52" s="1186"/>
      <c r="I52" s="1186">
        <v>3</v>
      </c>
      <c r="J52" s="1186"/>
      <c r="K52" s="1186"/>
      <c r="L52" s="1186"/>
      <c r="M52" s="1186">
        <v>2</v>
      </c>
      <c r="N52" s="1186"/>
      <c r="O52" s="1186"/>
      <c r="P52" s="1186"/>
      <c r="Q52" s="1186">
        <v>1</v>
      </c>
      <c r="R52" s="1186"/>
      <c r="S52" s="1186"/>
      <c r="T52" s="1186">
        <v>2</v>
      </c>
      <c r="U52" s="1186"/>
    </row>
    <row r="53" spans="1:21" x14ac:dyDescent="0.2">
      <c r="A53" s="1186" t="s">
        <v>97</v>
      </c>
      <c r="B53" s="1186" t="s">
        <v>17</v>
      </c>
      <c r="C53" s="1186" t="s">
        <v>913</v>
      </c>
      <c r="D53" s="1186" t="s">
        <v>1981</v>
      </c>
      <c r="E53" s="1186" t="s">
        <v>1982</v>
      </c>
      <c r="F53" s="1186">
        <v>9</v>
      </c>
      <c r="G53" s="1186"/>
      <c r="H53" s="1186"/>
      <c r="I53" s="1186">
        <v>2</v>
      </c>
      <c r="J53" s="1186">
        <v>1</v>
      </c>
      <c r="K53" s="1186"/>
      <c r="L53" s="1186">
        <v>2</v>
      </c>
      <c r="M53" s="1186"/>
      <c r="N53" s="1186"/>
      <c r="O53" s="1186"/>
      <c r="P53" s="1186">
        <v>2</v>
      </c>
      <c r="Q53" s="1186">
        <v>3</v>
      </c>
      <c r="R53" s="1186"/>
      <c r="S53" s="1186"/>
      <c r="T53" s="1186">
        <v>5</v>
      </c>
      <c r="U53" s="1186"/>
    </row>
    <row r="54" spans="1:21" x14ac:dyDescent="0.2">
      <c r="A54" s="1186" t="s">
        <v>97</v>
      </c>
      <c r="B54" s="1186" t="s">
        <v>17</v>
      </c>
      <c r="C54" s="1186" t="s">
        <v>914</v>
      </c>
      <c r="D54" s="1186" t="s">
        <v>1981</v>
      </c>
      <c r="E54" s="1186" t="s">
        <v>1982</v>
      </c>
      <c r="F54" s="1186">
        <v>9</v>
      </c>
      <c r="G54" s="1186"/>
      <c r="H54" s="1186"/>
      <c r="I54" s="1186">
        <v>1</v>
      </c>
      <c r="J54" s="1186">
        <v>2</v>
      </c>
      <c r="K54" s="1186"/>
      <c r="L54" s="1186"/>
      <c r="M54" s="1186"/>
      <c r="N54" s="1186">
        <v>1</v>
      </c>
      <c r="O54" s="1186"/>
      <c r="P54" s="1186">
        <v>2</v>
      </c>
      <c r="Q54" s="1186">
        <v>2</v>
      </c>
      <c r="R54" s="1186"/>
      <c r="S54" s="1186"/>
      <c r="T54" s="1186">
        <v>2</v>
      </c>
      <c r="U54" s="1186"/>
    </row>
    <row r="55" spans="1:21" x14ac:dyDescent="0.2">
      <c r="A55" s="1186" t="s">
        <v>97</v>
      </c>
      <c r="B55" s="1186" t="s">
        <v>17</v>
      </c>
      <c r="C55" s="1186" t="s">
        <v>915</v>
      </c>
      <c r="D55" s="1186" t="s">
        <v>1983</v>
      </c>
      <c r="E55" s="1186" t="s">
        <v>1982</v>
      </c>
      <c r="F55" s="1186">
        <v>4</v>
      </c>
      <c r="G55" s="1186"/>
      <c r="H55" s="1186"/>
      <c r="I55" s="1186"/>
      <c r="J55" s="1186"/>
      <c r="K55" s="1186"/>
      <c r="L55" s="1186"/>
      <c r="M55" s="1186">
        <v>1</v>
      </c>
      <c r="N55" s="1186"/>
      <c r="O55" s="1186"/>
      <c r="P55" s="1186">
        <v>1</v>
      </c>
      <c r="Q55" s="1186">
        <v>1</v>
      </c>
      <c r="R55" s="1186">
        <v>1</v>
      </c>
      <c r="S55" s="1186"/>
      <c r="T55" s="1186">
        <v>4</v>
      </c>
      <c r="U55" s="1186"/>
    </row>
    <row r="56" spans="1:21" x14ac:dyDescent="0.2">
      <c r="A56" s="1186" t="s">
        <v>97</v>
      </c>
      <c r="B56" s="1186" t="s">
        <v>17</v>
      </c>
      <c r="C56" s="1186" t="s">
        <v>916</v>
      </c>
      <c r="D56" s="1186" t="s">
        <v>1983</v>
      </c>
      <c r="E56" s="1186" t="s">
        <v>1984</v>
      </c>
      <c r="F56" s="1186">
        <v>11</v>
      </c>
      <c r="G56" s="1186"/>
      <c r="H56" s="1186"/>
      <c r="I56" s="1186">
        <v>4</v>
      </c>
      <c r="J56" s="1186">
        <v>1</v>
      </c>
      <c r="K56" s="1186"/>
      <c r="L56" s="1186"/>
      <c r="M56" s="1186"/>
      <c r="N56" s="1186"/>
      <c r="O56" s="1186"/>
      <c r="P56" s="1186">
        <v>1</v>
      </c>
      <c r="Q56" s="1186"/>
      <c r="R56" s="1186"/>
      <c r="S56" s="1186"/>
      <c r="T56" s="1186">
        <v>2</v>
      </c>
      <c r="U56" s="1186"/>
    </row>
    <row r="57" spans="1:21" x14ac:dyDescent="0.2">
      <c r="A57" s="1186" t="s">
        <v>97</v>
      </c>
      <c r="B57" s="1186" t="s">
        <v>17</v>
      </c>
      <c r="C57" s="1186" t="s">
        <v>917</v>
      </c>
      <c r="D57" s="1186" t="s">
        <v>1983</v>
      </c>
      <c r="E57" s="1186" t="s">
        <v>1984</v>
      </c>
      <c r="F57" s="1186">
        <v>11</v>
      </c>
      <c r="G57" s="1186"/>
      <c r="H57" s="1186"/>
      <c r="I57" s="1186">
        <v>3</v>
      </c>
      <c r="J57" s="1186">
        <v>2</v>
      </c>
      <c r="K57" s="1186"/>
      <c r="L57" s="1186"/>
      <c r="M57" s="1186">
        <v>4</v>
      </c>
      <c r="N57" s="1186"/>
      <c r="O57" s="1186"/>
      <c r="P57" s="1186"/>
      <c r="Q57" s="1186"/>
      <c r="R57" s="1186"/>
      <c r="S57" s="1186"/>
      <c r="T57" s="1186">
        <v>1</v>
      </c>
      <c r="U57" s="1186"/>
    </row>
    <row r="58" spans="1:21" x14ac:dyDescent="0.2">
      <c r="A58" s="1186" t="s">
        <v>97</v>
      </c>
      <c r="B58" s="1186" t="s">
        <v>17</v>
      </c>
      <c r="C58" s="1186" t="s">
        <v>918</v>
      </c>
      <c r="D58" s="1186" t="s">
        <v>1985</v>
      </c>
      <c r="E58" s="1186" t="s">
        <v>1984</v>
      </c>
      <c r="F58" s="1186">
        <v>10</v>
      </c>
      <c r="G58" s="1186"/>
      <c r="H58" s="1186"/>
      <c r="I58" s="1186"/>
      <c r="J58" s="1186"/>
      <c r="K58" s="1186"/>
      <c r="L58" s="1186"/>
      <c r="M58" s="1186">
        <v>1</v>
      </c>
      <c r="N58" s="1186"/>
      <c r="O58" s="1186"/>
      <c r="P58" s="1186">
        <v>2</v>
      </c>
      <c r="Q58" s="1186"/>
      <c r="R58" s="1186"/>
      <c r="S58" s="1186"/>
      <c r="T58" s="1186">
        <v>3</v>
      </c>
      <c r="U58" s="1186"/>
    </row>
    <row r="59" spans="1:21" x14ac:dyDescent="0.2">
      <c r="A59" s="1186" t="s">
        <v>97</v>
      </c>
      <c r="B59" s="1186" t="s">
        <v>17</v>
      </c>
      <c r="C59" s="1186" t="s">
        <v>919</v>
      </c>
      <c r="D59" s="1186" t="s">
        <v>1985</v>
      </c>
      <c r="E59" s="1186" t="s">
        <v>1986</v>
      </c>
      <c r="F59" s="1186">
        <v>12</v>
      </c>
      <c r="G59" s="1186"/>
      <c r="H59" s="1186"/>
      <c r="I59" s="1186">
        <v>1</v>
      </c>
      <c r="J59" s="1186">
        <v>1</v>
      </c>
      <c r="K59" s="1186"/>
      <c r="L59" s="1186"/>
      <c r="M59" s="1186">
        <v>1</v>
      </c>
      <c r="N59" s="1186"/>
      <c r="O59" s="1186"/>
      <c r="P59" s="1186">
        <v>3</v>
      </c>
      <c r="Q59" s="1186"/>
      <c r="R59" s="1186"/>
      <c r="S59" s="1186"/>
      <c r="T59" s="1186">
        <v>2</v>
      </c>
      <c r="U59" s="1186"/>
    </row>
    <row r="60" spans="1:21" x14ac:dyDescent="0.2">
      <c r="A60" s="1186" t="s">
        <v>97</v>
      </c>
      <c r="B60" s="1186" t="s">
        <v>17</v>
      </c>
      <c r="C60" s="1186" t="s">
        <v>920</v>
      </c>
      <c r="D60" s="1186" t="s">
        <v>1985</v>
      </c>
      <c r="E60" s="1186" t="s">
        <v>1986</v>
      </c>
      <c r="F60" s="1186">
        <v>11</v>
      </c>
      <c r="G60" s="1186">
        <v>1</v>
      </c>
      <c r="H60" s="1186"/>
      <c r="I60" s="1186">
        <v>1</v>
      </c>
      <c r="J60" s="1186">
        <v>10</v>
      </c>
      <c r="K60" s="1186"/>
      <c r="L60" s="1186">
        <v>1</v>
      </c>
      <c r="M60" s="1186"/>
      <c r="N60" s="1186"/>
      <c r="O60" s="1186"/>
      <c r="P60" s="1186">
        <v>1</v>
      </c>
      <c r="Q60" s="1186"/>
      <c r="R60" s="1186"/>
      <c r="S60" s="1186"/>
      <c r="T60" s="1186">
        <v>1</v>
      </c>
      <c r="U60" s="1186"/>
    </row>
    <row r="61" spans="1:21" x14ac:dyDescent="0.2">
      <c r="A61" s="1186" t="s">
        <v>97</v>
      </c>
      <c r="B61" s="1186" t="s">
        <v>17</v>
      </c>
      <c r="C61" s="1186" t="s">
        <v>921</v>
      </c>
      <c r="D61" s="1186" t="s">
        <v>1987</v>
      </c>
      <c r="E61" s="1186" t="s">
        <v>1986</v>
      </c>
      <c r="F61" s="1186">
        <v>6</v>
      </c>
      <c r="G61" s="1186"/>
      <c r="H61" s="1186"/>
      <c r="I61" s="1186">
        <v>1</v>
      </c>
      <c r="J61" s="1186">
        <v>1</v>
      </c>
      <c r="K61" s="1186"/>
      <c r="L61" s="1186">
        <v>2</v>
      </c>
      <c r="M61" s="1186">
        <v>1</v>
      </c>
      <c r="N61" s="1186"/>
      <c r="O61" s="1186"/>
      <c r="P61" s="1186">
        <v>1</v>
      </c>
      <c r="Q61" s="1186"/>
      <c r="R61" s="1186"/>
      <c r="S61" s="1186"/>
      <c r="T61" s="1186">
        <v>2</v>
      </c>
      <c r="U61" s="1186"/>
    </row>
    <row r="62" spans="1:21" x14ac:dyDescent="0.2">
      <c r="A62" s="1186" t="s">
        <v>97</v>
      </c>
      <c r="B62" s="1186" t="s">
        <v>17</v>
      </c>
      <c r="C62" s="1186" t="s">
        <v>922</v>
      </c>
      <c r="D62" s="1186" t="s">
        <v>1987</v>
      </c>
      <c r="E62" s="1186" t="s">
        <v>1988</v>
      </c>
      <c r="F62" s="1186">
        <v>15</v>
      </c>
      <c r="G62" s="1186"/>
      <c r="H62" s="1186"/>
      <c r="I62" s="1186">
        <v>1</v>
      </c>
      <c r="J62" s="1186"/>
      <c r="K62" s="1186"/>
      <c r="L62" s="1186">
        <v>1</v>
      </c>
      <c r="M62" s="1186">
        <v>2</v>
      </c>
      <c r="N62" s="1186"/>
      <c r="O62" s="1186"/>
      <c r="P62" s="1186">
        <v>2</v>
      </c>
      <c r="Q62" s="1186"/>
      <c r="R62" s="1186"/>
      <c r="S62" s="1186"/>
      <c r="T62" s="1186">
        <v>2</v>
      </c>
      <c r="U62" s="1186"/>
    </row>
    <row r="63" spans="1:21" x14ac:dyDescent="0.2">
      <c r="A63" s="1186" t="s">
        <v>97</v>
      </c>
      <c r="B63" s="1186" t="s">
        <v>17</v>
      </c>
      <c r="C63" s="1186" t="s">
        <v>923</v>
      </c>
      <c r="D63" s="1186" t="s">
        <v>1987</v>
      </c>
      <c r="E63" s="1186" t="s">
        <v>1988</v>
      </c>
      <c r="F63" s="1186">
        <v>5</v>
      </c>
      <c r="G63" s="1186"/>
      <c r="H63" s="1186"/>
      <c r="I63" s="1186">
        <v>1</v>
      </c>
      <c r="J63" s="1186"/>
      <c r="K63" s="1186"/>
      <c r="L63" s="1186">
        <v>1</v>
      </c>
      <c r="M63" s="1186">
        <v>2</v>
      </c>
      <c r="N63" s="1186"/>
      <c r="O63" s="1186"/>
      <c r="P63" s="1186">
        <v>2</v>
      </c>
      <c r="Q63" s="1186"/>
      <c r="R63" s="1186"/>
      <c r="S63" s="1186"/>
      <c r="T63" s="1186">
        <v>2</v>
      </c>
      <c r="U63" s="1186"/>
    </row>
    <row r="64" spans="1:21" x14ac:dyDescent="0.2">
      <c r="A64" s="1186" t="s">
        <v>97</v>
      </c>
      <c r="B64" s="1186" t="s">
        <v>17</v>
      </c>
      <c r="C64" s="1186" t="s">
        <v>924</v>
      </c>
      <c r="D64" s="1186" t="s">
        <v>1981</v>
      </c>
      <c r="E64" s="1186" t="s">
        <v>1988</v>
      </c>
      <c r="F64" s="1186">
        <v>7</v>
      </c>
      <c r="G64" s="1186"/>
      <c r="H64" s="1186"/>
      <c r="I64" s="1186">
        <v>3</v>
      </c>
      <c r="J64" s="1186">
        <v>5</v>
      </c>
      <c r="K64" s="1186"/>
      <c r="L64" s="1186"/>
      <c r="M64" s="1186"/>
      <c r="N64" s="1186"/>
      <c r="O64" s="1186"/>
      <c r="P64" s="1186">
        <v>1</v>
      </c>
      <c r="Q64" s="1186"/>
      <c r="R64" s="1186"/>
      <c r="S64" s="1186"/>
      <c r="T64" s="1186">
        <v>3</v>
      </c>
      <c r="U64" s="1186"/>
    </row>
    <row r="65" spans="1:21" x14ac:dyDescent="0.2">
      <c r="A65" s="1186" t="s">
        <v>97</v>
      </c>
      <c r="B65" s="1186" t="s">
        <v>133</v>
      </c>
      <c r="C65" s="1186" t="s">
        <v>925</v>
      </c>
      <c r="D65" s="1186" t="s">
        <v>1981</v>
      </c>
      <c r="E65" s="1186" t="s">
        <v>1982</v>
      </c>
      <c r="F65" s="1186">
        <v>9</v>
      </c>
      <c r="G65" s="1186"/>
      <c r="H65" s="1186"/>
      <c r="I65" s="1186"/>
      <c r="J65" s="1186"/>
      <c r="K65" s="1186"/>
      <c r="L65" s="1186"/>
      <c r="M65" s="1186">
        <v>3</v>
      </c>
      <c r="N65" s="1186"/>
      <c r="O65" s="1186"/>
      <c r="P65" s="1186"/>
      <c r="Q65" s="1186"/>
      <c r="R65" s="1186">
        <v>1</v>
      </c>
      <c r="S65" s="1186"/>
      <c r="T65" s="1186">
        <v>4</v>
      </c>
      <c r="U65" s="1186"/>
    </row>
    <row r="66" spans="1:21" x14ac:dyDescent="0.2">
      <c r="A66" s="1186" t="s">
        <v>97</v>
      </c>
      <c r="B66" s="1186" t="s">
        <v>133</v>
      </c>
      <c r="C66" s="1186" t="s">
        <v>926</v>
      </c>
      <c r="D66" s="1186" t="s">
        <v>1981</v>
      </c>
      <c r="E66" s="1186" t="s">
        <v>1982</v>
      </c>
      <c r="F66" s="1186">
        <v>8</v>
      </c>
      <c r="G66" s="1186"/>
      <c r="H66" s="1186"/>
      <c r="I66" s="1186">
        <v>1</v>
      </c>
      <c r="J66" s="1186">
        <v>1</v>
      </c>
      <c r="K66" s="1186"/>
      <c r="L66" s="1186"/>
      <c r="M66" s="1186">
        <v>3</v>
      </c>
      <c r="N66" s="1186"/>
      <c r="O66" s="1186"/>
      <c r="P66" s="1186">
        <v>1</v>
      </c>
      <c r="Q66" s="1186"/>
      <c r="R66" s="1186"/>
      <c r="S66" s="1186"/>
      <c r="T66" s="1186">
        <v>3</v>
      </c>
      <c r="U66" s="1186"/>
    </row>
    <row r="67" spans="1:21" x14ac:dyDescent="0.2">
      <c r="A67" s="1186" t="s">
        <v>97</v>
      </c>
      <c r="B67" s="1186" t="s">
        <v>133</v>
      </c>
      <c r="C67" s="1186" t="s">
        <v>927</v>
      </c>
      <c r="D67" s="1186" t="s">
        <v>1983</v>
      </c>
      <c r="E67" s="1186" t="s">
        <v>1982</v>
      </c>
      <c r="F67" s="1186">
        <v>10</v>
      </c>
      <c r="G67" s="1186"/>
      <c r="H67" s="1186"/>
      <c r="I67" s="1186"/>
      <c r="J67" s="1186"/>
      <c r="K67" s="1186"/>
      <c r="L67" s="1186"/>
      <c r="M67" s="1186">
        <v>3</v>
      </c>
      <c r="N67" s="1186"/>
      <c r="O67" s="1186">
        <v>1</v>
      </c>
      <c r="P67" s="1186"/>
      <c r="Q67" s="1186">
        <v>1</v>
      </c>
      <c r="R67" s="1186"/>
      <c r="S67" s="1186"/>
      <c r="T67" s="1186">
        <v>3</v>
      </c>
      <c r="U67" s="1186"/>
    </row>
    <row r="68" spans="1:21" x14ac:dyDescent="0.2">
      <c r="A68" s="1186" t="s">
        <v>97</v>
      </c>
      <c r="B68" s="1186" t="s">
        <v>133</v>
      </c>
      <c r="C68" s="1186" t="s">
        <v>928</v>
      </c>
      <c r="D68" s="1186" t="s">
        <v>1983</v>
      </c>
      <c r="E68" s="1186" t="s">
        <v>1984</v>
      </c>
      <c r="F68" s="1186">
        <v>9</v>
      </c>
      <c r="G68" s="1186"/>
      <c r="H68" s="1186"/>
      <c r="I68" s="1186">
        <v>3</v>
      </c>
      <c r="J68" s="1186"/>
      <c r="K68" s="1186"/>
      <c r="L68" s="1186">
        <v>2</v>
      </c>
      <c r="M68" s="1186">
        <v>4</v>
      </c>
      <c r="N68" s="1186"/>
      <c r="O68" s="1186"/>
      <c r="P68" s="1186"/>
      <c r="Q68" s="1186"/>
      <c r="R68" s="1186"/>
      <c r="S68" s="1186"/>
      <c r="T68" s="1186">
        <v>2</v>
      </c>
      <c r="U68" s="1186"/>
    </row>
    <row r="69" spans="1:21" x14ac:dyDescent="0.2">
      <c r="A69" s="1186" t="s">
        <v>97</v>
      </c>
      <c r="B69" s="1186" t="s">
        <v>133</v>
      </c>
      <c r="C69" s="1186" t="s">
        <v>929</v>
      </c>
      <c r="D69" s="1186" t="s">
        <v>1983</v>
      </c>
      <c r="E69" s="1186" t="s">
        <v>1984</v>
      </c>
      <c r="F69" s="1186">
        <v>12</v>
      </c>
      <c r="G69" s="1186"/>
      <c r="H69" s="1186"/>
      <c r="I69" s="1186">
        <v>1</v>
      </c>
      <c r="J69" s="1186">
        <v>3</v>
      </c>
      <c r="K69" s="1186"/>
      <c r="L69" s="1186"/>
      <c r="M69" s="1186">
        <v>4</v>
      </c>
      <c r="N69" s="1186"/>
      <c r="O69" s="1186"/>
      <c r="P69" s="1186">
        <v>1</v>
      </c>
      <c r="Q69" s="1186">
        <v>1</v>
      </c>
      <c r="R69" s="1186"/>
      <c r="S69" s="1186"/>
      <c r="T69" s="1186">
        <v>5</v>
      </c>
      <c r="U69" s="1186"/>
    </row>
    <row r="70" spans="1:21" x14ac:dyDescent="0.2">
      <c r="A70" s="1186" t="s">
        <v>97</v>
      </c>
      <c r="B70" s="1186" t="s">
        <v>133</v>
      </c>
      <c r="C70" s="1186" t="s">
        <v>930</v>
      </c>
      <c r="D70" s="1186" t="s">
        <v>1985</v>
      </c>
      <c r="E70" s="1186" t="s">
        <v>1984</v>
      </c>
      <c r="F70" s="1186">
        <v>8</v>
      </c>
      <c r="G70" s="1186"/>
      <c r="H70" s="1186"/>
      <c r="I70" s="1186">
        <v>3</v>
      </c>
      <c r="J70" s="1186">
        <v>1</v>
      </c>
      <c r="K70" s="1186">
        <v>1</v>
      </c>
      <c r="L70" s="1186"/>
      <c r="M70" s="1186">
        <v>3</v>
      </c>
      <c r="N70" s="1186"/>
      <c r="O70" s="1186"/>
      <c r="P70" s="1186">
        <v>1</v>
      </c>
      <c r="Q70" s="1186">
        <v>2</v>
      </c>
      <c r="R70" s="1186"/>
      <c r="S70" s="1186">
        <v>1</v>
      </c>
      <c r="T70" s="1186">
        <v>4</v>
      </c>
      <c r="U70" s="1186"/>
    </row>
    <row r="71" spans="1:21" x14ac:dyDescent="0.2">
      <c r="A71" s="1186" t="s">
        <v>97</v>
      </c>
      <c r="B71" s="1186" t="s">
        <v>133</v>
      </c>
      <c r="C71" s="1186" t="s">
        <v>931</v>
      </c>
      <c r="D71" s="1186" t="s">
        <v>1985</v>
      </c>
      <c r="E71" s="1186" t="s">
        <v>1986</v>
      </c>
      <c r="F71" s="1186">
        <v>3</v>
      </c>
      <c r="G71" s="1186"/>
      <c r="H71" s="1186"/>
      <c r="I71" s="1186"/>
      <c r="J71" s="1186">
        <v>1</v>
      </c>
      <c r="K71" s="1186"/>
      <c r="L71" s="1186">
        <v>1</v>
      </c>
      <c r="M71" s="1186">
        <v>5</v>
      </c>
      <c r="N71" s="1186"/>
      <c r="O71" s="1186"/>
      <c r="P71" s="1186">
        <v>2</v>
      </c>
      <c r="Q71" s="1186"/>
      <c r="R71" s="1186"/>
      <c r="S71" s="1186"/>
      <c r="T71" s="1186">
        <v>2</v>
      </c>
      <c r="U71" s="1186"/>
    </row>
    <row r="72" spans="1:21" x14ac:dyDescent="0.2">
      <c r="A72" s="1186" t="s">
        <v>97</v>
      </c>
      <c r="B72" s="1186" t="s">
        <v>133</v>
      </c>
      <c r="C72" s="1186" t="s">
        <v>932</v>
      </c>
      <c r="D72" s="1186" t="s">
        <v>1985</v>
      </c>
      <c r="E72" s="1186" t="s">
        <v>1986</v>
      </c>
      <c r="F72" s="1186">
        <v>12</v>
      </c>
      <c r="G72" s="1186"/>
      <c r="H72" s="1186"/>
      <c r="I72" s="1186">
        <v>3</v>
      </c>
      <c r="J72" s="1186">
        <v>2</v>
      </c>
      <c r="K72" s="1186"/>
      <c r="L72" s="1186">
        <v>1</v>
      </c>
      <c r="M72" s="1186">
        <v>2</v>
      </c>
      <c r="N72" s="1186">
        <v>1</v>
      </c>
      <c r="O72" s="1186"/>
      <c r="P72" s="1186">
        <v>4</v>
      </c>
      <c r="Q72" s="1186">
        <v>1</v>
      </c>
      <c r="R72" s="1186"/>
      <c r="S72" s="1186"/>
      <c r="T72" s="1186">
        <v>5</v>
      </c>
      <c r="U72" s="1186"/>
    </row>
    <row r="73" spans="1:21" x14ac:dyDescent="0.2">
      <c r="A73" s="1186" t="s">
        <v>97</v>
      </c>
      <c r="B73" s="1186" t="s">
        <v>133</v>
      </c>
      <c r="C73" s="1186" t="s">
        <v>933</v>
      </c>
      <c r="D73" s="1186" t="s">
        <v>1987</v>
      </c>
      <c r="E73" s="1186" t="s">
        <v>1986</v>
      </c>
      <c r="F73" s="1186">
        <v>14</v>
      </c>
      <c r="G73" s="1186"/>
      <c r="H73" s="1186"/>
      <c r="I73" s="1186"/>
      <c r="J73" s="1186"/>
      <c r="K73" s="1186"/>
      <c r="L73" s="1186">
        <v>4</v>
      </c>
      <c r="M73" s="1186"/>
      <c r="N73" s="1186">
        <v>1</v>
      </c>
      <c r="O73" s="1186"/>
      <c r="P73" s="1186">
        <v>4</v>
      </c>
      <c r="Q73" s="1186"/>
      <c r="R73" s="1186">
        <v>1</v>
      </c>
      <c r="S73" s="1186"/>
      <c r="T73" s="1186">
        <v>3</v>
      </c>
      <c r="U73" s="1186"/>
    </row>
    <row r="74" spans="1:21" x14ac:dyDescent="0.2">
      <c r="A74" s="1186" t="s">
        <v>97</v>
      </c>
      <c r="B74" s="1186" t="s">
        <v>133</v>
      </c>
      <c r="C74" s="1186" t="s">
        <v>934</v>
      </c>
      <c r="D74" s="1186" t="s">
        <v>1987</v>
      </c>
      <c r="E74" s="1186" t="s">
        <v>1988</v>
      </c>
      <c r="F74" s="1186">
        <v>9</v>
      </c>
      <c r="G74" s="1186"/>
      <c r="H74" s="1186"/>
      <c r="I74" s="1186">
        <v>2</v>
      </c>
      <c r="J74" s="1186"/>
      <c r="K74" s="1186"/>
      <c r="L74" s="1186">
        <v>2</v>
      </c>
      <c r="M74" s="1186"/>
      <c r="N74" s="1186"/>
      <c r="O74" s="1186"/>
      <c r="P74" s="1186">
        <v>6</v>
      </c>
      <c r="Q74" s="1186">
        <v>1</v>
      </c>
      <c r="R74" s="1186">
        <v>1</v>
      </c>
      <c r="S74" s="1186"/>
      <c r="T74" s="1186">
        <v>5</v>
      </c>
      <c r="U74" s="1186"/>
    </row>
    <row r="75" spans="1:21" x14ac:dyDescent="0.2">
      <c r="A75" s="1186" t="s">
        <v>97</v>
      </c>
      <c r="B75" s="1186" t="s">
        <v>133</v>
      </c>
      <c r="C75" s="1186" t="s">
        <v>935</v>
      </c>
      <c r="D75" s="1186" t="s">
        <v>1987</v>
      </c>
      <c r="E75" s="1186" t="s">
        <v>1988</v>
      </c>
      <c r="F75" s="1186">
        <v>6</v>
      </c>
      <c r="G75" s="1186">
        <v>1</v>
      </c>
      <c r="H75" s="1186"/>
      <c r="I75" s="1186"/>
      <c r="J75" s="1186">
        <v>1</v>
      </c>
      <c r="K75" s="1186">
        <v>1</v>
      </c>
      <c r="L75" s="1186">
        <v>6</v>
      </c>
      <c r="M75" s="1186">
        <v>2</v>
      </c>
      <c r="N75" s="1186"/>
      <c r="O75" s="1186"/>
      <c r="P75" s="1186">
        <v>8</v>
      </c>
      <c r="Q75" s="1186"/>
      <c r="R75" s="1186">
        <v>3</v>
      </c>
      <c r="S75" s="1186"/>
      <c r="T75" s="1186">
        <v>2</v>
      </c>
      <c r="U75" s="1186"/>
    </row>
    <row r="76" spans="1:21" x14ac:dyDescent="0.2">
      <c r="A76" s="1186" t="s">
        <v>97</v>
      </c>
      <c r="B76" s="1186" t="s">
        <v>133</v>
      </c>
      <c r="C76" s="1186" t="s">
        <v>936</v>
      </c>
      <c r="D76" s="1186" t="s">
        <v>1981</v>
      </c>
      <c r="E76" s="1186" t="s">
        <v>1988</v>
      </c>
      <c r="F76" s="1186">
        <v>5</v>
      </c>
      <c r="G76" s="1186">
        <v>1</v>
      </c>
      <c r="H76" s="1186"/>
      <c r="I76" s="1186">
        <v>1</v>
      </c>
      <c r="J76" s="1186">
        <v>1</v>
      </c>
      <c r="K76" s="1186"/>
      <c r="L76" s="1186">
        <v>4</v>
      </c>
      <c r="M76" s="1186">
        <v>1</v>
      </c>
      <c r="N76" s="1186"/>
      <c r="O76" s="1186"/>
      <c r="P76" s="1186">
        <v>6</v>
      </c>
      <c r="Q76" s="1186"/>
      <c r="R76" s="1186">
        <v>1</v>
      </c>
      <c r="S76" s="1186"/>
      <c r="T76" s="1186">
        <v>5</v>
      </c>
      <c r="U76" s="1186"/>
    </row>
    <row r="77" spans="1:21" x14ac:dyDescent="0.2">
      <c r="A77" s="1186" t="s">
        <v>97</v>
      </c>
      <c r="B77" s="1186" t="s">
        <v>144</v>
      </c>
      <c r="C77" s="1186" t="s">
        <v>937</v>
      </c>
      <c r="D77" s="1186" t="s">
        <v>1981</v>
      </c>
      <c r="E77" s="1186" t="s">
        <v>1982</v>
      </c>
      <c r="F77" s="1186">
        <v>5</v>
      </c>
      <c r="G77" s="1186">
        <v>1</v>
      </c>
      <c r="H77" s="1186"/>
      <c r="I77" s="1186"/>
      <c r="J77" s="1186">
        <v>1</v>
      </c>
      <c r="K77" s="1186"/>
      <c r="L77" s="1186">
        <v>4</v>
      </c>
      <c r="M77" s="1186">
        <v>4</v>
      </c>
      <c r="N77" s="1186">
        <v>2</v>
      </c>
      <c r="O77" s="1186"/>
      <c r="P77" s="1186">
        <v>6</v>
      </c>
      <c r="Q77" s="1186"/>
      <c r="R77" s="1186"/>
      <c r="S77" s="1186"/>
      <c r="T77" s="1186">
        <v>6</v>
      </c>
      <c r="U77" s="1186"/>
    </row>
    <row r="78" spans="1:21" x14ac:dyDescent="0.2">
      <c r="A78" s="1186" t="s">
        <v>97</v>
      </c>
      <c r="B78" s="1186" t="s">
        <v>144</v>
      </c>
      <c r="C78" s="1186" t="s">
        <v>938</v>
      </c>
      <c r="D78" s="1186" t="s">
        <v>1981</v>
      </c>
      <c r="E78" s="1186" t="s">
        <v>1982</v>
      </c>
      <c r="F78" s="1186">
        <v>10</v>
      </c>
      <c r="G78" s="1186"/>
      <c r="H78" s="1186"/>
      <c r="I78" s="1186">
        <v>1</v>
      </c>
      <c r="J78" s="1186"/>
      <c r="K78" s="1186"/>
      <c r="L78" s="1186">
        <v>4</v>
      </c>
      <c r="M78" s="1186">
        <v>1</v>
      </c>
      <c r="N78" s="1186"/>
      <c r="O78" s="1186"/>
      <c r="P78" s="1186">
        <v>2</v>
      </c>
      <c r="Q78" s="1186"/>
      <c r="R78" s="1186"/>
      <c r="S78" s="1186"/>
      <c r="T78" s="1186">
        <v>2</v>
      </c>
      <c r="U78" s="1186"/>
    </row>
    <row r="79" spans="1:21" x14ac:dyDescent="0.2">
      <c r="A79" s="1186" t="s">
        <v>97</v>
      </c>
      <c r="B79" s="1186" t="s">
        <v>144</v>
      </c>
      <c r="C79" s="1186" t="s">
        <v>939</v>
      </c>
      <c r="D79" s="1186" t="s">
        <v>1983</v>
      </c>
      <c r="E79" s="1186" t="s">
        <v>1982</v>
      </c>
      <c r="F79" s="1186">
        <v>16</v>
      </c>
      <c r="G79" s="1186"/>
      <c r="H79" s="1186"/>
      <c r="I79" s="1186">
        <v>2</v>
      </c>
      <c r="J79" s="1186">
        <v>1</v>
      </c>
      <c r="K79" s="1186"/>
      <c r="L79" s="1186">
        <v>5</v>
      </c>
      <c r="M79" s="1186">
        <v>1</v>
      </c>
      <c r="N79" s="1186"/>
      <c r="O79" s="1186"/>
      <c r="P79" s="1186">
        <v>3</v>
      </c>
      <c r="Q79" s="1186"/>
      <c r="R79" s="1186"/>
      <c r="S79" s="1186"/>
      <c r="T79" s="1186">
        <v>5</v>
      </c>
      <c r="U79" s="1186"/>
    </row>
    <row r="80" spans="1:21" x14ac:dyDescent="0.2">
      <c r="A80" s="1186" t="s">
        <v>97</v>
      </c>
      <c r="B80" s="1186" t="s">
        <v>144</v>
      </c>
      <c r="C80" s="1186" t="s">
        <v>940</v>
      </c>
      <c r="D80" s="1186" t="s">
        <v>1983</v>
      </c>
      <c r="E80" s="1186" t="s">
        <v>1984</v>
      </c>
      <c r="F80" s="1186">
        <v>4</v>
      </c>
      <c r="G80" s="1186"/>
      <c r="H80" s="1186"/>
      <c r="I80" s="1186">
        <v>1</v>
      </c>
      <c r="J80" s="1186">
        <v>1</v>
      </c>
      <c r="K80" s="1186"/>
      <c r="L80" s="1186">
        <v>2</v>
      </c>
      <c r="M80" s="1186">
        <v>3</v>
      </c>
      <c r="N80" s="1186">
        <v>1</v>
      </c>
      <c r="O80" s="1186"/>
      <c r="P80" s="1186">
        <v>5</v>
      </c>
      <c r="Q80" s="1186"/>
      <c r="R80" s="1186">
        <v>2</v>
      </c>
      <c r="S80" s="1186"/>
      <c r="T80" s="1186">
        <v>6</v>
      </c>
      <c r="U80" s="1186"/>
    </row>
    <row r="81" spans="1:21" x14ac:dyDescent="0.2">
      <c r="A81" s="1186" t="s">
        <v>97</v>
      </c>
      <c r="B81" s="1186" t="s">
        <v>144</v>
      </c>
      <c r="C81" s="1186" t="s">
        <v>941</v>
      </c>
      <c r="D81" s="1186" t="s">
        <v>1983</v>
      </c>
      <c r="E81" s="1186" t="s">
        <v>1984</v>
      </c>
      <c r="F81" s="1186">
        <v>12</v>
      </c>
      <c r="G81" s="1186"/>
      <c r="H81" s="1186"/>
      <c r="I81" s="1186">
        <v>1</v>
      </c>
      <c r="J81" s="1186"/>
      <c r="K81" s="1186"/>
      <c r="L81" s="1186">
        <v>5</v>
      </c>
      <c r="M81" s="1186">
        <v>4</v>
      </c>
      <c r="N81" s="1186">
        <v>1</v>
      </c>
      <c r="O81" s="1186"/>
      <c r="P81" s="1186">
        <v>6</v>
      </c>
      <c r="Q81" s="1186"/>
      <c r="R81" s="1186">
        <v>2</v>
      </c>
      <c r="S81" s="1186"/>
      <c r="T81" s="1186">
        <v>4</v>
      </c>
      <c r="U81" s="1186"/>
    </row>
    <row r="82" spans="1:21" x14ac:dyDescent="0.2">
      <c r="A82" s="1186" t="s">
        <v>97</v>
      </c>
      <c r="B82" s="1186" t="s">
        <v>144</v>
      </c>
      <c r="C82" s="1186" t="s">
        <v>942</v>
      </c>
      <c r="D82" s="1186" t="s">
        <v>1985</v>
      </c>
      <c r="E82" s="1186" t="s">
        <v>1984</v>
      </c>
      <c r="F82" s="1186">
        <v>5</v>
      </c>
      <c r="G82" s="1186"/>
      <c r="H82" s="1186"/>
      <c r="I82" s="1186">
        <v>1</v>
      </c>
      <c r="J82" s="1186"/>
      <c r="K82" s="1186"/>
      <c r="L82" s="1186">
        <v>3</v>
      </c>
      <c r="M82" s="1186">
        <v>2</v>
      </c>
      <c r="N82" s="1186"/>
      <c r="O82" s="1186"/>
      <c r="P82" s="1186">
        <v>9</v>
      </c>
      <c r="Q82" s="1186"/>
      <c r="R82" s="1186">
        <v>1</v>
      </c>
      <c r="S82" s="1186"/>
      <c r="T82" s="1186">
        <v>8</v>
      </c>
      <c r="U82" s="1186"/>
    </row>
    <row r="83" spans="1:21" x14ac:dyDescent="0.2">
      <c r="A83" s="1186" t="s">
        <v>97</v>
      </c>
      <c r="B83" s="1186" t="s">
        <v>144</v>
      </c>
      <c r="C83" s="1186" t="s">
        <v>943</v>
      </c>
      <c r="D83" s="1186" t="s">
        <v>1985</v>
      </c>
      <c r="E83" s="1186" t="s">
        <v>1986</v>
      </c>
      <c r="F83" s="1186">
        <v>6</v>
      </c>
      <c r="G83" s="1186"/>
      <c r="H83" s="1186"/>
      <c r="I83" s="1186"/>
      <c r="J83" s="1186"/>
      <c r="K83" s="1186"/>
      <c r="L83" s="1186">
        <v>3</v>
      </c>
      <c r="M83" s="1186">
        <v>4</v>
      </c>
      <c r="N83" s="1186"/>
      <c r="O83" s="1186"/>
      <c r="P83" s="1186">
        <v>7</v>
      </c>
      <c r="Q83" s="1186"/>
      <c r="R83" s="1186"/>
      <c r="S83" s="1186"/>
      <c r="T83" s="1186">
        <v>3</v>
      </c>
      <c r="U83" s="1186"/>
    </row>
    <row r="84" spans="1:21" x14ac:dyDescent="0.2">
      <c r="A84" s="1186" t="s">
        <v>97</v>
      </c>
      <c r="B84" s="1186" t="s">
        <v>144</v>
      </c>
      <c r="C84" s="1186" t="s">
        <v>944</v>
      </c>
      <c r="D84" s="1186" t="s">
        <v>1985</v>
      </c>
      <c r="E84" s="1186" t="s">
        <v>1986</v>
      </c>
      <c r="F84" s="1186">
        <v>7</v>
      </c>
      <c r="G84" s="1186"/>
      <c r="H84" s="1186"/>
      <c r="I84" s="1186">
        <v>1</v>
      </c>
      <c r="J84" s="1186">
        <v>1</v>
      </c>
      <c r="K84" s="1186"/>
      <c r="L84" s="1186">
        <v>11</v>
      </c>
      <c r="M84" s="1186">
        <v>3</v>
      </c>
      <c r="N84" s="1186">
        <v>1</v>
      </c>
      <c r="O84" s="1186"/>
      <c r="P84" s="1186">
        <v>7</v>
      </c>
      <c r="Q84" s="1186"/>
      <c r="R84" s="1186">
        <v>3</v>
      </c>
      <c r="S84" s="1186"/>
      <c r="T84" s="1186">
        <v>12</v>
      </c>
      <c r="U84" s="1186"/>
    </row>
    <row r="85" spans="1:21" x14ac:dyDescent="0.2">
      <c r="A85" s="1186" t="s">
        <v>97</v>
      </c>
      <c r="B85" s="1186" t="s">
        <v>144</v>
      </c>
      <c r="C85" s="1186" t="s">
        <v>945</v>
      </c>
      <c r="D85" s="1186" t="s">
        <v>1987</v>
      </c>
      <c r="E85" s="1186" t="s">
        <v>1986</v>
      </c>
      <c r="F85" s="1186">
        <v>5</v>
      </c>
      <c r="G85" s="1186"/>
      <c r="H85" s="1186"/>
      <c r="I85" s="1186">
        <v>2</v>
      </c>
      <c r="J85" s="1186"/>
      <c r="K85" s="1186"/>
      <c r="L85" s="1186">
        <v>11</v>
      </c>
      <c r="M85" s="1186">
        <v>3</v>
      </c>
      <c r="N85" s="1186"/>
      <c r="O85" s="1186"/>
      <c r="P85" s="1186">
        <v>7</v>
      </c>
      <c r="Q85" s="1186"/>
      <c r="R85" s="1186">
        <v>1</v>
      </c>
      <c r="S85" s="1186"/>
      <c r="T85" s="1186">
        <v>5</v>
      </c>
      <c r="U85" s="1186"/>
    </row>
    <row r="86" spans="1:21" x14ac:dyDescent="0.2">
      <c r="A86" s="1186" t="s">
        <v>97</v>
      </c>
      <c r="B86" s="1186" t="s">
        <v>144</v>
      </c>
      <c r="C86" s="1186" t="s">
        <v>946</v>
      </c>
      <c r="D86" s="1186" t="s">
        <v>1987</v>
      </c>
      <c r="E86" s="1186" t="s">
        <v>1988</v>
      </c>
      <c r="F86" s="1186">
        <v>16</v>
      </c>
      <c r="G86" s="1186"/>
      <c r="H86" s="1186"/>
      <c r="I86" s="1186">
        <v>2</v>
      </c>
      <c r="J86" s="1186">
        <v>2</v>
      </c>
      <c r="K86" s="1186"/>
      <c r="L86" s="1186">
        <v>13</v>
      </c>
      <c r="M86" s="1186">
        <v>4</v>
      </c>
      <c r="N86" s="1186"/>
      <c r="O86" s="1186"/>
      <c r="P86" s="1186">
        <v>5</v>
      </c>
      <c r="Q86" s="1186">
        <v>1</v>
      </c>
      <c r="R86" s="1186">
        <v>1</v>
      </c>
      <c r="S86" s="1186"/>
      <c r="T86" s="1186">
        <v>9</v>
      </c>
      <c r="U86" s="1186"/>
    </row>
    <row r="87" spans="1:21" x14ac:dyDescent="0.2">
      <c r="A87" s="1186" t="s">
        <v>97</v>
      </c>
      <c r="B87" s="1186" t="s">
        <v>144</v>
      </c>
      <c r="C87" s="1186" t="s">
        <v>947</v>
      </c>
      <c r="D87" s="1186" t="s">
        <v>1987</v>
      </c>
      <c r="E87" s="1186" t="s">
        <v>1988</v>
      </c>
      <c r="F87" s="1186">
        <v>12</v>
      </c>
      <c r="G87" s="1186"/>
      <c r="H87" s="1186"/>
      <c r="I87" s="1186">
        <v>2</v>
      </c>
      <c r="J87" s="1186">
        <v>1</v>
      </c>
      <c r="K87" s="1186"/>
      <c r="L87" s="1186">
        <v>11</v>
      </c>
      <c r="M87" s="1186">
        <v>1</v>
      </c>
      <c r="N87" s="1186"/>
      <c r="O87" s="1186"/>
      <c r="P87" s="1186">
        <v>12</v>
      </c>
      <c r="Q87" s="1186"/>
      <c r="R87" s="1186"/>
      <c r="S87" s="1186"/>
      <c r="T87" s="1186">
        <v>11</v>
      </c>
      <c r="U87" s="1186"/>
    </row>
    <row r="88" spans="1:21" x14ac:dyDescent="0.2">
      <c r="A88" s="1186" t="s">
        <v>97</v>
      </c>
      <c r="B88" s="1186" t="s">
        <v>144</v>
      </c>
      <c r="C88" s="1186" t="s">
        <v>948</v>
      </c>
      <c r="D88" s="1186" t="s">
        <v>1981</v>
      </c>
      <c r="E88" s="1186" t="s">
        <v>1988</v>
      </c>
      <c r="F88" s="1186">
        <v>7</v>
      </c>
      <c r="G88" s="1186"/>
      <c r="H88" s="1186"/>
      <c r="I88" s="1186">
        <v>1</v>
      </c>
      <c r="J88" s="1186"/>
      <c r="K88" s="1186"/>
      <c r="L88" s="1186">
        <v>7</v>
      </c>
      <c r="M88" s="1186">
        <v>3</v>
      </c>
      <c r="N88" s="1186">
        <v>2</v>
      </c>
      <c r="O88" s="1186"/>
      <c r="P88" s="1186">
        <v>7</v>
      </c>
      <c r="Q88" s="1186">
        <v>1</v>
      </c>
      <c r="R88" s="1186"/>
      <c r="S88" s="1186">
        <v>1</v>
      </c>
      <c r="T88" s="1186">
        <v>5</v>
      </c>
      <c r="U88" s="1186"/>
    </row>
    <row r="89" spans="1:21" x14ac:dyDescent="0.2">
      <c r="A89" s="1186" t="s">
        <v>97</v>
      </c>
      <c r="B89" s="1186" t="s">
        <v>282</v>
      </c>
      <c r="C89" s="1186" t="s">
        <v>949</v>
      </c>
      <c r="D89" s="1186" t="s">
        <v>1981</v>
      </c>
      <c r="E89" s="1186" t="s">
        <v>1982</v>
      </c>
      <c r="F89" s="1186">
        <v>8</v>
      </c>
      <c r="G89" s="1186"/>
      <c r="H89" s="1186"/>
      <c r="I89" s="1186">
        <v>4</v>
      </c>
      <c r="J89" s="1186">
        <v>2</v>
      </c>
      <c r="K89" s="1186"/>
      <c r="L89" s="1186">
        <v>13</v>
      </c>
      <c r="M89" s="1186">
        <v>2</v>
      </c>
      <c r="N89" s="1186"/>
      <c r="O89" s="1186"/>
      <c r="P89" s="1186">
        <v>9</v>
      </c>
      <c r="Q89" s="1186"/>
      <c r="R89" s="1186">
        <v>3</v>
      </c>
      <c r="S89" s="1186"/>
      <c r="T89" s="1186">
        <v>4</v>
      </c>
      <c r="U89" s="1186"/>
    </row>
    <row r="90" spans="1:21" x14ac:dyDescent="0.2">
      <c r="A90" s="1186" t="s">
        <v>97</v>
      </c>
      <c r="B90" s="1186" t="s">
        <v>282</v>
      </c>
      <c r="C90" s="1186" t="s">
        <v>950</v>
      </c>
      <c r="D90" s="1186" t="s">
        <v>1981</v>
      </c>
      <c r="E90" s="1186" t="s">
        <v>1982</v>
      </c>
      <c r="F90" s="1186">
        <v>10</v>
      </c>
      <c r="G90" s="1186">
        <v>1</v>
      </c>
      <c r="H90" s="1186"/>
      <c r="I90" s="1186">
        <v>3</v>
      </c>
      <c r="J90" s="1186">
        <v>2</v>
      </c>
      <c r="K90" s="1186"/>
      <c r="L90" s="1186">
        <v>13</v>
      </c>
      <c r="M90" s="1186">
        <v>4</v>
      </c>
      <c r="N90" s="1186"/>
      <c r="O90" s="1186"/>
      <c r="P90" s="1186">
        <v>9</v>
      </c>
      <c r="Q90" s="1186"/>
      <c r="R90" s="1186"/>
      <c r="S90" s="1186"/>
      <c r="T90" s="1186">
        <v>8</v>
      </c>
      <c r="U90" s="1186"/>
    </row>
    <row r="91" spans="1:21" x14ac:dyDescent="0.2">
      <c r="A91" s="1186" t="s">
        <v>97</v>
      </c>
      <c r="B91" s="1186" t="s">
        <v>282</v>
      </c>
      <c r="C91" s="1186" t="s">
        <v>951</v>
      </c>
      <c r="D91" s="1186" t="s">
        <v>1983</v>
      </c>
      <c r="E91" s="1186" t="s">
        <v>1982</v>
      </c>
      <c r="F91" s="1186">
        <v>13</v>
      </c>
      <c r="G91" s="1186"/>
      <c r="H91" s="1186"/>
      <c r="I91" s="1186"/>
      <c r="J91" s="1186">
        <v>1</v>
      </c>
      <c r="K91" s="1186"/>
      <c r="L91" s="1186">
        <v>11</v>
      </c>
      <c r="M91" s="1186">
        <v>4</v>
      </c>
      <c r="N91" s="1186"/>
      <c r="O91" s="1186"/>
      <c r="P91" s="1186">
        <v>8</v>
      </c>
      <c r="Q91" s="1186"/>
      <c r="R91" s="1186">
        <v>1</v>
      </c>
      <c r="S91" s="1186">
        <v>1</v>
      </c>
      <c r="T91" s="1186">
        <v>9</v>
      </c>
      <c r="U91" s="1186"/>
    </row>
    <row r="92" spans="1:21" x14ac:dyDescent="0.2">
      <c r="A92" s="1186" t="s">
        <v>97</v>
      </c>
      <c r="B92" s="1186" t="s">
        <v>282</v>
      </c>
      <c r="C92" s="1186" t="s">
        <v>952</v>
      </c>
      <c r="D92" s="1186" t="s">
        <v>1983</v>
      </c>
      <c r="E92" s="1186" t="s">
        <v>1984</v>
      </c>
      <c r="F92" s="1186">
        <v>11</v>
      </c>
      <c r="G92" s="1186"/>
      <c r="H92" s="1186"/>
      <c r="I92" s="1186">
        <v>4</v>
      </c>
      <c r="J92" s="1186"/>
      <c r="K92" s="1186"/>
      <c r="L92" s="1186">
        <v>15</v>
      </c>
      <c r="M92" s="1186">
        <v>4</v>
      </c>
      <c r="N92" s="1186"/>
      <c r="O92" s="1186"/>
      <c r="P92" s="1186">
        <v>8</v>
      </c>
      <c r="Q92" s="1186"/>
      <c r="R92" s="1186"/>
      <c r="S92" s="1186"/>
      <c r="T92" s="1186">
        <v>6</v>
      </c>
      <c r="U92" s="1186"/>
    </row>
    <row r="93" spans="1:21" x14ac:dyDescent="0.2">
      <c r="A93" s="1186" t="s">
        <v>97</v>
      </c>
      <c r="B93" s="1186" t="s">
        <v>282</v>
      </c>
      <c r="C93" s="1186" t="s">
        <v>953</v>
      </c>
      <c r="D93" s="1186" t="s">
        <v>1983</v>
      </c>
      <c r="E93" s="1186" t="s">
        <v>1984</v>
      </c>
      <c r="F93" s="1186">
        <v>9</v>
      </c>
      <c r="G93" s="1186">
        <v>1</v>
      </c>
      <c r="H93" s="1186"/>
      <c r="I93" s="1186">
        <v>4</v>
      </c>
      <c r="J93" s="1186">
        <v>2</v>
      </c>
      <c r="K93" s="1186"/>
      <c r="L93" s="1186">
        <v>9</v>
      </c>
      <c r="M93" s="1186">
        <v>1</v>
      </c>
      <c r="N93" s="1186"/>
      <c r="O93" s="1186"/>
      <c r="P93" s="1186">
        <v>7</v>
      </c>
      <c r="Q93" s="1186"/>
      <c r="R93" s="1186"/>
      <c r="S93" s="1186"/>
      <c r="T93" s="1186">
        <v>6</v>
      </c>
      <c r="U93" s="1186">
        <v>1</v>
      </c>
    </row>
    <row r="94" spans="1:21" x14ac:dyDescent="0.2">
      <c r="A94" s="1186" t="s">
        <v>97</v>
      </c>
      <c r="B94" s="1186" t="s">
        <v>282</v>
      </c>
      <c r="C94" s="1186" t="s">
        <v>954</v>
      </c>
      <c r="D94" s="1186" t="s">
        <v>1985</v>
      </c>
      <c r="E94" s="1186" t="s">
        <v>1984</v>
      </c>
      <c r="F94" s="1186">
        <v>10</v>
      </c>
      <c r="G94" s="1186"/>
      <c r="H94" s="1186"/>
      <c r="I94" s="1186">
        <v>1</v>
      </c>
      <c r="J94" s="1186"/>
      <c r="K94" s="1186"/>
      <c r="L94" s="1186">
        <v>12</v>
      </c>
      <c r="M94" s="1186">
        <v>1</v>
      </c>
      <c r="N94" s="1186"/>
      <c r="O94" s="1186"/>
      <c r="P94" s="1186">
        <v>10</v>
      </c>
      <c r="Q94" s="1186"/>
      <c r="R94" s="1186">
        <v>1</v>
      </c>
      <c r="S94" s="1186"/>
      <c r="T94" s="1186">
        <v>4</v>
      </c>
      <c r="U94" s="1186">
        <v>1</v>
      </c>
    </row>
    <row r="95" spans="1:21" x14ac:dyDescent="0.2">
      <c r="A95" s="1186" t="s">
        <v>97</v>
      </c>
      <c r="B95" s="1186" t="s">
        <v>282</v>
      </c>
      <c r="C95" s="1186" t="s">
        <v>955</v>
      </c>
      <c r="D95" s="1186" t="s">
        <v>1985</v>
      </c>
      <c r="E95" s="1186" t="s">
        <v>1986</v>
      </c>
      <c r="F95" s="1186">
        <v>11</v>
      </c>
      <c r="G95" s="1186">
        <v>1</v>
      </c>
      <c r="H95" s="1186"/>
      <c r="I95" s="1186">
        <v>1</v>
      </c>
      <c r="J95" s="1186">
        <v>1</v>
      </c>
      <c r="K95" s="1186"/>
      <c r="L95" s="1186">
        <v>10</v>
      </c>
      <c r="M95" s="1186">
        <v>4</v>
      </c>
      <c r="N95" s="1186"/>
      <c r="O95" s="1186"/>
      <c r="P95" s="1186">
        <v>11</v>
      </c>
      <c r="Q95" s="1186"/>
      <c r="R95" s="1186">
        <v>1</v>
      </c>
      <c r="S95" s="1186"/>
      <c r="T95" s="1186">
        <v>4</v>
      </c>
      <c r="U95" s="1186"/>
    </row>
    <row r="96" spans="1:21" x14ac:dyDescent="0.2">
      <c r="A96" s="1186" t="s">
        <v>97</v>
      </c>
      <c r="B96" s="1186" t="s">
        <v>282</v>
      </c>
      <c r="C96" s="1186" t="s">
        <v>956</v>
      </c>
      <c r="D96" s="1186" t="s">
        <v>1985</v>
      </c>
      <c r="E96" s="1186" t="s">
        <v>1986</v>
      </c>
      <c r="F96" s="1186">
        <v>4</v>
      </c>
      <c r="G96" s="1186"/>
      <c r="H96" s="1186"/>
      <c r="I96" s="1186">
        <v>1</v>
      </c>
      <c r="J96" s="1186">
        <v>1</v>
      </c>
      <c r="K96" s="1186"/>
      <c r="L96" s="1186">
        <v>11</v>
      </c>
      <c r="M96" s="1186">
        <v>3</v>
      </c>
      <c r="N96" s="1186"/>
      <c r="O96" s="1186">
        <v>1</v>
      </c>
      <c r="P96" s="1186">
        <v>11</v>
      </c>
      <c r="Q96" s="1186"/>
      <c r="R96" s="1186">
        <v>1</v>
      </c>
      <c r="S96" s="1186"/>
      <c r="T96" s="1186">
        <v>8</v>
      </c>
      <c r="U96" s="1186"/>
    </row>
    <row r="97" spans="1:21" x14ac:dyDescent="0.2">
      <c r="A97" s="1186" t="s">
        <v>97</v>
      </c>
      <c r="B97" s="1186" t="s">
        <v>282</v>
      </c>
      <c r="C97" s="1186" t="s">
        <v>957</v>
      </c>
      <c r="D97" s="1186" t="s">
        <v>1987</v>
      </c>
      <c r="E97" s="1186" t="s">
        <v>1986</v>
      </c>
      <c r="F97" s="1186">
        <v>9</v>
      </c>
      <c r="G97" s="1186"/>
      <c r="H97" s="1186"/>
      <c r="I97" s="1186">
        <v>1</v>
      </c>
      <c r="J97" s="1186">
        <v>1</v>
      </c>
      <c r="K97" s="1186"/>
      <c r="L97" s="1186">
        <v>5</v>
      </c>
      <c r="M97" s="1186">
        <v>1</v>
      </c>
      <c r="N97" s="1186"/>
      <c r="O97" s="1186"/>
      <c r="P97" s="1186">
        <v>11</v>
      </c>
      <c r="Q97" s="1186"/>
      <c r="R97" s="1186"/>
      <c r="S97" s="1186"/>
      <c r="T97" s="1186">
        <v>8</v>
      </c>
      <c r="U97" s="1186"/>
    </row>
    <row r="98" spans="1:21" x14ac:dyDescent="0.2">
      <c r="A98" s="1186" t="s">
        <v>97</v>
      </c>
      <c r="B98" s="1186" t="s">
        <v>282</v>
      </c>
      <c r="C98" s="1186" t="s">
        <v>958</v>
      </c>
      <c r="D98" s="1186" t="s">
        <v>1987</v>
      </c>
      <c r="E98" s="1186" t="s">
        <v>1988</v>
      </c>
      <c r="F98" s="1186">
        <v>2</v>
      </c>
      <c r="G98" s="1186"/>
      <c r="H98" s="1186"/>
      <c r="I98" s="1186"/>
      <c r="J98" s="1186"/>
      <c r="K98" s="1186"/>
      <c r="L98" s="1186">
        <v>6</v>
      </c>
      <c r="M98" s="1186">
        <v>4</v>
      </c>
      <c r="N98" s="1186"/>
      <c r="O98" s="1186"/>
      <c r="P98" s="1186">
        <v>11</v>
      </c>
      <c r="Q98" s="1186"/>
      <c r="R98" s="1186"/>
      <c r="S98" s="1186"/>
      <c r="T98" s="1186">
        <v>1</v>
      </c>
      <c r="U98" s="1186"/>
    </row>
    <row r="99" spans="1:21" x14ac:dyDescent="0.2">
      <c r="A99" s="1186" t="s">
        <v>97</v>
      </c>
      <c r="B99" s="1186" t="s">
        <v>282</v>
      </c>
      <c r="C99" s="1186" t="s">
        <v>959</v>
      </c>
      <c r="D99" s="1186" t="s">
        <v>1987</v>
      </c>
      <c r="E99" s="1186" t="s">
        <v>1988</v>
      </c>
      <c r="F99" s="1186">
        <v>8</v>
      </c>
      <c r="G99" s="1186"/>
      <c r="H99" s="1186"/>
      <c r="I99" s="1186">
        <v>3</v>
      </c>
      <c r="J99" s="1186">
        <v>1</v>
      </c>
      <c r="K99" s="1186"/>
      <c r="L99" s="1186">
        <v>14</v>
      </c>
      <c r="M99" s="1186">
        <v>4</v>
      </c>
      <c r="N99" s="1186"/>
      <c r="O99" s="1186"/>
      <c r="P99" s="1186">
        <v>13</v>
      </c>
      <c r="Q99" s="1186"/>
      <c r="R99" s="1186"/>
      <c r="S99" s="1186"/>
      <c r="T99" s="1186">
        <v>9</v>
      </c>
      <c r="U99" s="1186"/>
    </row>
    <row r="100" spans="1:21" x14ac:dyDescent="0.2">
      <c r="A100" s="1186" t="s">
        <v>97</v>
      </c>
      <c r="B100" s="1186" t="s">
        <v>282</v>
      </c>
      <c r="C100" s="1186" t="s">
        <v>960</v>
      </c>
      <c r="D100" s="1186" t="s">
        <v>1981</v>
      </c>
      <c r="E100" s="1186" t="s">
        <v>1988</v>
      </c>
      <c r="F100" s="1186">
        <v>1</v>
      </c>
      <c r="G100" s="1186"/>
      <c r="H100" s="1186"/>
      <c r="I100" s="1186">
        <v>2</v>
      </c>
      <c r="J100" s="1186">
        <v>1</v>
      </c>
      <c r="K100" s="1186"/>
      <c r="L100" s="1186">
        <v>11</v>
      </c>
      <c r="M100" s="1186">
        <v>5</v>
      </c>
      <c r="N100" s="1186"/>
      <c r="O100" s="1186"/>
      <c r="P100" s="1186">
        <v>7</v>
      </c>
      <c r="Q100" s="1186"/>
      <c r="R100" s="1186">
        <v>1</v>
      </c>
      <c r="S100" s="1186"/>
      <c r="T100" s="1186">
        <v>9</v>
      </c>
      <c r="U100" s="1186"/>
    </row>
    <row r="101" spans="1:21" x14ac:dyDescent="0.2">
      <c r="A101" s="1186" t="s">
        <v>97</v>
      </c>
      <c r="B101" s="1186" t="s">
        <v>311</v>
      </c>
      <c r="C101" s="1186" t="s">
        <v>961</v>
      </c>
      <c r="D101" s="1186" t="s">
        <v>1981</v>
      </c>
      <c r="E101" s="1186" t="s">
        <v>1982</v>
      </c>
      <c r="F101" s="1186">
        <v>8</v>
      </c>
      <c r="G101" s="1186"/>
      <c r="H101" s="1186"/>
      <c r="I101" s="1186">
        <v>1</v>
      </c>
      <c r="J101" s="1186"/>
      <c r="K101" s="1186"/>
      <c r="L101" s="1186">
        <v>11</v>
      </c>
      <c r="M101" s="1186">
        <v>2</v>
      </c>
      <c r="N101" s="1186"/>
      <c r="O101" s="1186"/>
      <c r="P101" s="1186">
        <v>10</v>
      </c>
      <c r="Q101" s="1186"/>
      <c r="R101" s="1186"/>
      <c r="S101" s="1186"/>
      <c r="T101" s="1186">
        <v>12</v>
      </c>
      <c r="U101" s="1186"/>
    </row>
    <row r="102" spans="1:21" x14ac:dyDescent="0.2">
      <c r="A102" s="1186" t="s">
        <v>97</v>
      </c>
      <c r="B102" s="1186" t="s">
        <v>311</v>
      </c>
      <c r="C102" s="1186" t="s">
        <v>962</v>
      </c>
      <c r="D102" s="1186" t="s">
        <v>1981</v>
      </c>
      <c r="E102" s="1186" t="s">
        <v>1982</v>
      </c>
      <c r="F102" s="1186">
        <v>7</v>
      </c>
      <c r="G102" s="1186">
        <v>1</v>
      </c>
      <c r="H102" s="1186"/>
      <c r="I102" s="1186">
        <v>3</v>
      </c>
      <c r="J102" s="1186">
        <v>1</v>
      </c>
      <c r="K102" s="1186"/>
      <c r="L102" s="1186">
        <v>5</v>
      </c>
      <c r="M102" s="1186">
        <v>2</v>
      </c>
      <c r="N102" s="1186"/>
      <c r="O102" s="1186"/>
      <c r="P102" s="1186">
        <v>18</v>
      </c>
      <c r="Q102" s="1186"/>
      <c r="R102" s="1186">
        <v>2</v>
      </c>
      <c r="S102" s="1186"/>
      <c r="T102" s="1186">
        <v>7</v>
      </c>
      <c r="U102" s="1186"/>
    </row>
    <row r="103" spans="1:21" x14ac:dyDescent="0.2">
      <c r="A103" s="1186" t="s">
        <v>97</v>
      </c>
      <c r="B103" s="1186" t="s">
        <v>311</v>
      </c>
      <c r="C103" s="1186" t="s">
        <v>963</v>
      </c>
      <c r="D103" s="1186" t="s">
        <v>1983</v>
      </c>
      <c r="E103" s="1186" t="s">
        <v>1982</v>
      </c>
      <c r="F103" s="1186">
        <v>10</v>
      </c>
      <c r="G103" s="1186">
        <v>1</v>
      </c>
      <c r="H103" s="1186"/>
      <c r="I103" s="1186">
        <v>1</v>
      </c>
      <c r="J103" s="1186"/>
      <c r="K103" s="1186"/>
      <c r="L103" s="1186">
        <v>12</v>
      </c>
      <c r="M103" s="1186">
        <v>1</v>
      </c>
      <c r="N103" s="1186"/>
      <c r="O103" s="1186"/>
      <c r="P103" s="1186">
        <v>7</v>
      </c>
      <c r="Q103" s="1186"/>
      <c r="R103" s="1186"/>
      <c r="S103" s="1186"/>
      <c r="T103" s="1186">
        <v>9</v>
      </c>
      <c r="U103" s="1186"/>
    </row>
    <row r="104" spans="1:21" x14ac:dyDescent="0.2">
      <c r="A104" s="1186" t="s">
        <v>97</v>
      </c>
      <c r="B104" s="1186" t="s">
        <v>311</v>
      </c>
      <c r="C104" s="1186" t="s">
        <v>964</v>
      </c>
      <c r="D104" s="1186" t="s">
        <v>1983</v>
      </c>
      <c r="E104" s="1186" t="s">
        <v>1984</v>
      </c>
      <c r="F104" s="1186">
        <v>4</v>
      </c>
      <c r="G104" s="1186"/>
      <c r="H104" s="1186"/>
      <c r="I104" s="1186">
        <v>6</v>
      </c>
      <c r="J104" s="1186">
        <v>2</v>
      </c>
      <c r="K104" s="1186"/>
      <c r="L104" s="1186">
        <v>5</v>
      </c>
      <c r="M104" s="1186">
        <v>2</v>
      </c>
      <c r="N104" s="1186"/>
      <c r="O104" s="1186"/>
      <c r="P104" s="1186">
        <v>6</v>
      </c>
      <c r="Q104" s="1186"/>
      <c r="R104" s="1186"/>
      <c r="S104" s="1186"/>
      <c r="T104" s="1186">
        <v>7</v>
      </c>
      <c r="U104" s="1186"/>
    </row>
    <row r="105" spans="1:21" x14ac:dyDescent="0.2">
      <c r="A105" s="1186" t="s">
        <v>97</v>
      </c>
      <c r="B105" s="1186" t="s">
        <v>311</v>
      </c>
      <c r="C105" s="1186" t="s">
        <v>965</v>
      </c>
      <c r="D105" s="1186" t="s">
        <v>1983</v>
      </c>
      <c r="E105" s="1186" t="s">
        <v>1984</v>
      </c>
      <c r="F105" s="1186">
        <v>10</v>
      </c>
      <c r="G105" s="1186"/>
      <c r="H105" s="1186"/>
      <c r="I105" s="1186"/>
      <c r="J105" s="1186"/>
      <c r="K105" s="1186"/>
      <c r="L105" s="1186">
        <v>8</v>
      </c>
      <c r="M105" s="1186">
        <v>3</v>
      </c>
      <c r="N105" s="1186">
        <v>1</v>
      </c>
      <c r="O105" s="1186"/>
      <c r="P105" s="1186">
        <v>6</v>
      </c>
      <c r="Q105" s="1186"/>
      <c r="R105" s="1186"/>
      <c r="S105" s="1186"/>
      <c r="T105" s="1186">
        <v>3</v>
      </c>
      <c r="U105" s="1186"/>
    </row>
    <row r="106" spans="1:21" x14ac:dyDescent="0.2">
      <c r="A106" s="1186" t="s">
        <v>97</v>
      </c>
      <c r="B106" s="1186" t="s">
        <v>311</v>
      </c>
      <c r="C106" s="1186" t="s">
        <v>966</v>
      </c>
      <c r="D106" s="1186" t="s">
        <v>1985</v>
      </c>
      <c r="E106" s="1186" t="s">
        <v>1984</v>
      </c>
      <c r="F106" s="1186">
        <v>4</v>
      </c>
      <c r="G106" s="1186">
        <v>1</v>
      </c>
      <c r="H106" s="1186"/>
      <c r="I106" s="1186">
        <v>5</v>
      </c>
      <c r="J106" s="1186"/>
      <c r="K106" s="1186"/>
      <c r="L106" s="1186">
        <v>6</v>
      </c>
      <c r="M106" s="1186"/>
      <c r="N106" s="1186"/>
      <c r="O106" s="1186"/>
      <c r="P106" s="1186">
        <v>10</v>
      </c>
      <c r="Q106" s="1186"/>
      <c r="R106" s="1186">
        <v>1</v>
      </c>
      <c r="S106" s="1186"/>
      <c r="T106" s="1186">
        <v>1</v>
      </c>
      <c r="U106" s="1186"/>
    </row>
    <row r="107" spans="1:21" x14ac:dyDescent="0.2">
      <c r="A107" s="1186" t="s">
        <v>97</v>
      </c>
      <c r="B107" s="1186" t="s">
        <v>311</v>
      </c>
      <c r="C107" s="1186" t="s">
        <v>967</v>
      </c>
      <c r="D107" s="1186" t="s">
        <v>1985</v>
      </c>
      <c r="E107" s="1186" t="s">
        <v>1986</v>
      </c>
      <c r="F107" s="1186">
        <v>9</v>
      </c>
      <c r="G107" s="1186"/>
      <c r="H107" s="1186"/>
      <c r="I107" s="1186">
        <v>1</v>
      </c>
      <c r="J107" s="1186">
        <v>1</v>
      </c>
      <c r="K107" s="1186"/>
      <c r="L107" s="1186"/>
      <c r="M107" s="1186">
        <v>3</v>
      </c>
      <c r="N107" s="1186"/>
      <c r="O107" s="1186"/>
      <c r="P107" s="1186">
        <v>6</v>
      </c>
      <c r="Q107" s="1186"/>
      <c r="R107" s="1186"/>
      <c r="S107" s="1186"/>
      <c r="T107" s="1186">
        <v>3</v>
      </c>
      <c r="U107" s="1186"/>
    </row>
    <row r="108" spans="1:21" x14ac:dyDescent="0.2">
      <c r="A108" s="1186" t="s">
        <v>97</v>
      </c>
      <c r="B108" s="1186" t="s">
        <v>311</v>
      </c>
      <c r="C108" s="1186" t="s">
        <v>968</v>
      </c>
      <c r="D108" s="1186" t="s">
        <v>1985</v>
      </c>
      <c r="E108" s="1186" t="s">
        <v>1986</v>
      </c>
      <c r="F108" s="1186">
        <v>7</v>
      </c>
      <c r="G108" s="1186"/>
      <c r="H108" s="1186"/>
      <c r="I108" s="1186"/>
      <c r="J108" s="1186">
        <v>1</v>
      </c>
      <c r="K108" s="1186"/>
      <c r="L108" s="1186"/>
      <c r="M108" s="1186">
        <v>1</v>
      </c>
      <c r="N108" s="1186"/>
      <c r="O108" s="1186"/>
      <c r="P108" s="1186">
        <v>10</v>
      </c>
      <c r="Q108" s="1186"/>
      <c r="R108" s="1186"/>
      <c r="S108" s="1186"/>
      <c r="T108" s="1186">
        <v>3</v>
      </c>
      <c r="U108" s="1186"/>
    </row>
    <row r="109" spans="1:21" x14ac:dyDescent="0.2">
      <c r="A109" s="1186" t="s">
        <v>97</v>
      </c>
      <c r="B109" s="1186" t="s">
        <v>311</v>
      </c>
      <c r="C109" s="1186" t="s">
        <v>969</v>
      </c>
      <c r="D109" s="1186" t="s">
        <v>1987</v>
      </c>
      <c r="E109" s="1186" t="s">
        <v>1986</v>
      </c>
      <c r="F109" s="1186">
        <v>6</v>
      </c>
      <c r="G109" s="1186"/>
      <c r="H109" s="1186"/>
      <c r="I109" s="1186"/>
      <c r="J109" s="1186">
        <v>2</v>
      </c>
      <c r="K109" s="1186"/>
      <c r="L109" s="1186">
        <v>1</v>
      </c>
      <c r="M109" s="1186">
        <v>2</v>
      </c>
      <c r="N109" s="1186"/>
      <c r="O109" s="1186"/>
      <c r="P109" s="1186">
        <v>10</v>
      </c>
      <c r="Q109" s="1186"/>
      <c r="R109" s="1186"/>
      <c r="S109" s="1186"/>
      <c r="T109" s="1186">
        <v>5</v>
      </c>
      <c r="U109" s="1186"/>
    </row>
    <row r="110" spans="1:21" x14ac:dyDescent="0.2">
      <c r="A110" s="1186" t="s">
        <v>97</v>
      </c>
      <c r="B110" s="1186" t="s">
        <v>311</v>
      </c>
      <c r="C110" s="1186" t="s">
        <v>970</v>
      </c>
      <c r="D110" s="1186" t="s">
        <v>1987</v>
      </c>
      <c r="E110" s="1186" t="s">
        <v>1988</v>
      </c>
      <c r="F110" s="1186">
        <v>5</v>
      </c>
      <c r="G110" s="1186"/>
      <c r="H110" s="1186"/>
      <c r="I110" s="1186">
        <v>5</v>
      </c>
      <c r="J110" s="1186">
        <v>1</v>
      </c>
      <c r="K110" s="1186"/>
      <c r="L110" s="1186">
        <v>5</v>
      </c>
      <c r="M110" s="1186">
        <v>2</v>
      </c>
      <c r="N110" s="1186"/>
      <c r="O110" s="1186"/>
      <c r="P110" s="1186">
        <v>17</v>
      </c>
      <c r="Q110" s="1186"/>
      <c r="R110" s="1186"/>
      <c r="S110" s="1186"/>
      <c r="T110" s="1186">
        <v>7</v>
      </c>
      <c r="U110" s="1186"/>
    </row>
    <row r="111" spans="1:21" x14ac:dyDescent="0.2">
      <c r="A111" s="1186" t="s">
        <v>97</v>
      </c>
      <c r="B111" s="1186" t="s">
        <v>311</v>
      </c>
      <c r="C111" s="1186" t="s">
        <v>971</v>
      </c>
      <c r="D111" s="1186" t="s">
        <v>1987</v>
      </c>
      <c r="E111" s="1186" t="s">
        <v>1988</v>
      </c>
      <c r="F111" s="1186">
        <v>3</v>
      </c>
      <c r="G111" s="1186"/>
      <c r="H111" s="1186"/>
      <c r="I111" s="1186">
        <v>2</v>
      </c>
      <c r="J111" s="1186"/>
      <c r="K111" s="1186"/>
      <c r="L111" s="1186">
        <v>2</v>
      </c>
      <c r="M111" s="1186">
        <v>5</v>
      </c>
      <c r="N111" s="1186"/>
      <c r="O111" s="1186">
        <v>1</v>
      </c>
      <c r="P111" s="1186">
        <v>13</v>
      </c>
      <c r="Q111" s="1186"/>
      <c r="R111" s="1186">
        <v>1</v>
      </c>
      <c r="S111" s="1186"/>
      <c r="T111" s="1186">
        <v>10</v>
      </c>
      <c r="U111" s="1186"/>
    </row>
    <row r="112" spans="1:21" x14ac:dyDescent="0.2">
      <c r="A112" s="1186" t="s">
        <v>97</v>
      </c>
      <c r="B112" s="1186" t="s">
        <v>311</v>
      </c>
      <c r="C112" s="1186" t="s">
        <v>972</v>
      </c>
      <c r="D112" s="1186" t="s">
        <v>1981</v>
      </c>
      <c r="E112" s="1186" t="s">
        <v>1988</v>
      </c>
      <c r="F112" s="1186">
        <v>8</v>
      </c>
      <c r="G112" s="1186"/>
      <c r="H112" s="1186"/>
      <c r="I112" s="1186"/>
      <c r="J112" s="1186">
        <v>2</v>
      </c>
      <c r="K112" s="1186"/>
      <c r="L112" s="1186">
        <v>4</v>
      </c>
      <c r="M112" s="1186">
        <v>4</v>
      </c>
      <c r="N112" s="1186"/>
      <c r="O112" s="1186"/>
      <c r="P112" s="1186">
        <v>15</v>
      </c>
      <c r="Q112" s="1186">
        <v>1</v>
      </c>
      <c r="R112" s="1186">
        <v>2</v>
      </c>
      <c r="S112" s="1186"/>
      <c r="T112" s="1186">
        <v>5</v>
      </c>
      <c r="U112" s="1186"/>
    </row>
    <row r="113" spans="1:21" x14ac:dyDescent="0.2">
      <c r="A113" s="1186" t="s">
        <v>97</v>
      </c>
      <c r="B113" s="1186" t="s">
        <v>621</v>
      </c>
      <c r="C113" s="1186" t="s">
        <v>973</v>
      </c>
      <c r="D113" s="1186" t="s">
        <v>1981</v>
      </c>
      <c r="E113" s="1186" t="s">
        <v>1982</v>
      </c>
      <c r="F113" s="1186">
        <v>2</v>
      </c>
      <c r="G113" s="1186">
        <v>2</v>
      </c>
      <c r="H113" s="1186"/>
      <c r="I113" s="1186">
        <v>1</v>
      </c>
      <c r="J113" s="1186">
        <v>1</v>
      </c>
      <c r="K113" s="1186"/>
      <c r="L113" s="1186">
        <v>2</v>
      </c>
      <c r="M113" s="1186">
        <v>4</v>
      </c>
      <c r="N113" s="1186">
        <v>1</v>
      </c>
      <c r="O113" s="1186"/>
      <c r="P113" s="1186">
        <v>7</v>
      </c>
      <c r="Q113" s="1186">
        <v>1</v>
      </c>
      <c r="R113" s="1186">
        <v>1</v>
      </c>
      <c r="S113" s="1186"/>
      <c r="T113" s="1186">
        <v>2</v>
      </c>
      <c r="U113" s="1186"/>
    </row>
    <row r="114" spans="1:21" x14ac:dyDescent="0.2">
      <c r="A114" s="1186" t="s">
        <v>97</v>
      </c>
      <c r="B114" s="1186" t="s">
        <v>621</v>
      </c>
      <c r="C114" s="1186" t="s">
        <v>974</v>
      </c>
      <c r="D114" s="1186" t="s">
        <v>1981</v>
      </c>
      <c r="E114" s="1186" t="s">
        <v>1982</v>
      </c>
      <c r="F114" s="1186">
        <v>8</v>
      </c>
      <c r="G114" s="1186">
        <v>1</v>
      </c>
      <c r="H114" s="1186"/>
      <c r="I114" s="1186">
        <v>3</v>
      </c>
      <c r="J114" s="1186">
        <v>1</v>
      </c>
      <c r="K114" s="1186"/>
      <c r="L114" s="1186">
        <v>3</v>
      </c>
      <c r="M114" s="1186">
        <v>3</v>
      </c>
      <c r="N114" s="1186"/>
      <c r="O114" s="1186"/>
      <c r="P114" s="1186">
        <v>13</v>
      </c>
      <c r="Q114" s="1186"/>
      <c r="R114" s="1186">
        <v>2</v>
      </c>
      <c r="S114" s="1186"/>
      <c r="T114" s="1186">
        <v>7</v>
      </c>
      <c r="U114" s="1186"/>
    </row>
    <row r="115" spans="1:21" x14ac:dyDescent="0.2">
      <c r="A115" s="1186" t="s">
        <v>97</v>
      </c>
      <c r="B115" s="1186" t="s">
        <v>621</v>
      </c>
      <c r="C115" s="1186" t="s">
        <v>975</v>
      </c>
      <c r="D115" s="1186" t="s">
        <v>1983</v>
      </c>
      <c r="E115" s="1186" t="s">
        <v>1982</v>
      </c>
      <c r="F115" s="1186">
        <v>8</v>
      </c>
      <c r="G115" s="1186"/>
      <c r="H115" s="1186"/>
      <c r="I115" s="1186">
        <v>6</v>
      </c>
      <c r="J115" s="1186">
        <v>1</v>
      </c>
      <c r="K115" s="1186"/>
      <c r="L115" s="1186">
        <v>1</v>
      </c>
      <c r="M115" s="1186">
        <v>2</v>
      </c>
      <c r="N115" s="1186">
        <v>1</v>
      </c>
      <c r="O115" s="1186"/>
      <c r="P115" s="1186">
        <v>9</v>
      </c>
      <c r="Q115" s="1186"/>
      <c r="R115" s="1186"/>
      <c r="S115" s="1186"/>
      <c r="T115" s="1186">
        <v>3</v>
      </c>
      <c r="U115" s="1186"/>
    </row>
    <row r="116" spans="1:21" x14ac:dyDescent="0.2">
      <c r="A116" s="1186" t="s">
        <v>97</v>
      </c>
      <c r="B116" s="1186" t="s">
        <v>621</v>
      </c>
      <c r="C116" s="1186" t="s">
        <v>976</v>
      </c>
      <c r="D116" s="1186" t="s">
        <v>1983</v>
      </c>
      <c r="E116" s="1186" t="s">
        <v>1984</v>
      </c>
      <c r="F116" s="1186">
        <v>12</v>
      </c>
      <c r="G116" s="1186"/>
      <c r="H116" s="1186"/>
      <c r="I116" s="1186">
        <v>8</v>
      </c>
      <c r="J116" s="1186"/>
      <c r="K116" s="1186"/>
      <c r="L116" s="1186">
        <v>1</v>
      </c>
      <c r="M116" s="1186">
        <v>1</v>
      </c>
      <c r="N116" s="1186"/>
      <c r="O116" s="1186"/>
      <c r="P116" s="1186">
        <v>8</v>
      </c>
      <c r="Q116" s="1186"/>
      <c r="R116" s="1186"/>
      <c r="S116" s="1186"/>
      <c r="T116" s="1186">
        <v>3</v>
      </c>
      <c r="U116" s="1186"/>
    </row>
    <row r="117" spans="1:21" x14ac:dyDescent="0.2">
      <c r="A117" s="1186" t="s">
        <v>97</v>
      </c>
      <c r="B117" s="1186" t="s">
        <v>621</v>
      </c>
      <c r="C117" s="1186" t="s">
        <v>977</v>
      </c>
      <c r="D117" s="1186" t="s">
        <v>1983</v>
      </c>
      <c r="E117" s="1186" t="s">
        <v>1984</v>
      </c>
      <c r="F117" s="1186">
        <v>4</v>
      </c>
      <c r="G117" s="1186"/>
      <c r="H117" s="1186"/>
      <c r="I117" s="1186">
        <v>2</v>
      </c>
      <c r="J117" s="1186">
        <v>1</v>
      </c>
      <c r="K117" s="1186"/>
      <c r="L117" s="1186">
        <v>2</v>
      </c>
      <c r="M117" s="1186">
        <v>5</v>
      </c>
      <c r="N117" s="1186">
        <v>1</v>
      </c>
      <c r="O117" s="1186"/>
      <c r="P117" s="1186">
        <v>16</v>
      </c>
      <c r="Q117" s="1186"/>
      <c r="R117" s="1186">
        <v>2</v>
      </c>
      <c r="S117" s="1186"/>
      <c r="T117" s="1186">
        <v>6</v>
      </c>
      <c r="U117" s="1186"/>
    </row>
    <row r="118" spans="1:21" x14ac:dyDescent="0.2">
      <c r="A118" s="1186" t="s">
        <v>97</v>
      </c>
      <c r="B118" s="1186" t="s">
        <v>621</v>
      </c>
      <c r="C118" s="1186" t="s">
        <v>978</v>
      </c>
      <c r="D118" s="1186" t="s">
        <v>1985</v>
      </c>
      <c r="E118" s="1186" t="s">
        <v>1984</v>
      </c>
      <c r="F118" s="1186">
        <v>6</v>
      </c>
      <c r="G118" s="1186"/>
      <c r="H118" s="1186"/>
      <c r="I118" s="1186">
        <v>1</v>
      </c>
      <c r="J118" s="1186"/>
      <c r="K118" s="1186"/>
      <c r="L118" s="1186">
        <v>2</v>
      </c>
      <c r="M118" s="1186">
        <v>5</v>
      </c>
      <c r="N118" s="1186"/>
      <c r="O118" s="1186"/>
      <c r="P118" s="1186">
        <v>10</v>
      </c>
      <c r="Q118" s="1186"/>
      <c r="R118" s="1186"/>
      <c r="S118" s="1186"/>
      <c r="T118" s="1186">
        <v>4</v>
      </c>
      <c r="U118" s="1186"/>
    </row>
    <row r="119" spans="1:21" x14ac:dyDescent="0.2">
      <c r="A119" s="1186" t="s">
        <v>97</v>
      </c>
      <c r="B119" s="1186" t="s">
        <v>621</v>
      </c>
      <c r="C119" s="1186" t="s">
        <v>979</v>
      </c>
      <c r="D119" s="1186" t="s">
        <v>1985</v>
      </c>
      <c r="E119" s="1186" t="s">
        <v>1986</v>
      </c>
      <c r="F119" s="1186">
        <v>8</v>
      </c>
      <c r="G119" s="1186"/>
      <c r="H119" s="1186"/>
      <c r="I119" s="1186">
        <v>1</v>
      </c>
      <c r="J119" s="1186"/>
      <c r="K119" s="1186"/>
      <c r="L119" s="1186">
        <v>1</v>
      </c>
      <c r="M119" s="1186">
        <v>4</v>
      </c>
      <c r="N119" s="1186"/>
      <c r="O119" s="1186"/>
      <c r="P119" s="1186">
        <v>13</v>
      </c>
      <c r="Q119" s="1186"/>
      <c r="R119" s="1186">
        <v>1</v>
      </c>
      <c r="S119" s="1186"/>
      <c r="T119" s="1186">
        <v>5</v>
      </c>
      <c r="U119" s="1186"/>
    </row>
    <row r="120" spans="1:21" x14ac:dyDescent="0.2">
      <c r="A120" s="1186" t="s">
        <v>97</v>
      </c>
      <c r="B120" s="1186" t="s">
        <v>621</v>
      </c>
      <c r="C120" s="1186" t="s">
        <v>980</v>
      </c>
      <c r="D120" s="1186" t="s">
        <v>1985</v>
      </c>
      <c r="E120" s="1186" t="s">
        <v>1986</v>
      </c>
      <c r="F120" s="1186">
        <v>6</v>
      </c>
      <c r="G120" s="1186"/>
      <c r="H120" s="1186"/>
      <c r="I120" s="1186"/>
      <c r="J120" s="1186">
        <v>1</v>
      </c>
      <c r="K120" s="1186"/>
      <c r="L120" s="1186">
        <v>1</v>
      </c>
      <c r="M120" s="1186">
        <v>2</v>
      </c>
      <c r="N120" s="1186"/>
      <c r="O120" s="1186"/>
      <c r="P120" s="1186">
        <v>14</v>
      </c>
      <c r="Q120" s="1186"/>
      <c r="R120" s="1186"/>
      <c r="S120" s="1186"/>
      <c r="T120" s="1186">
        <v>4</v>
      </c>
      <c r="U120" s="1186"/>
    </row>
    <row r="121" spans="1:21" x14ac:dyDescent="0.2">
      <c r="A121" s="1186" t="s">
        <v>97</v>
      </c>
      <c r="B121" s="1186" t="s">
        <v>621</v>
      </c>
      <c r="C121" s="1186" t="s">
        <v>981</v>
      </c>
      <c r="D121" s="1186" t="s">
        <v>1987</v>
      </c>
      <c r="E121" s="1186" t="s">
        <v>1986</v>
      </c>
      <c r="F121" s="1186">
        <v>8</v>
      </c>
      <c r="G121" s="1186">
        <v>1</v>
      </c>
      <c r="H121" s="1186"/>
      <c r="I121" s="1186">
        <v>2</v>
      </c>
      <c r="J121" s="1186">
        <v>1</v>
      </c>
      <c r="K121" s="1186"/>
      <c r="L121" s="1186">
        <v>3</v>
      </c>
      <c r="M121" s="1186">
        <v>1</v>
      </c>
      <c r="N121" s="1186"/>
      <c r="O121" s="1186"/>
      <c r="P121" s="1186">
        <v>9</v>
      </c>
      <c r="Q121" s="1186">
        <v>1</v>
      </c>
      <c r="R121" s="1186"/>
      <c r="S121" s="1186"/>
      <c r="T121" s="1186">
        <v>5</v>
      </c>
      <c r="U121" s="1186"/>
    </row>
    <row r="122" spans="1:21" x14ac:dyDescent="0.2">
      <c r="A122" s="1186" t="s">
        <v>97</v>
      </c>
      <c r="B122" s="1186" t="s">
        <v>621</v>
      </c>
      <c r="C122" s="1186" t="s">
        <v>982</v>
      </c>
      <c r="D122" s="1186" t="s">
        <v>1987</v>
      </c>
      <c r="E122" s="1186" t="s">
        <v>1988</v>
      </c>
      <c r="F122" s="1186">
        <v>6</v>
      </c>
      <c r="G122" s="1186">
        <v>1</v>
      </c>
      <c r="H122" s="1186"/>
      <c r="I122" s="1186">
        <v>5</v>
      </c>
      <c r="J122" s="1186">
        <v>1</v>
      </c>
      <c r="K122" s="1186"/>
      <c r="L122" s="1186">
        <v>3</v>
      </c>
      <c r="M122" s="1186">
        <v>3</v>
      </c>
      <c r="N122" s="1186">
        <v>2</v>
      </c>
      <c r="O122" s="1186"/>
      <c r="P122" s="1186">
        <v>10</v>
      </c>
      <c r="Q122" s="1186"/>
      <c r="R122" s="1186">
        <v>1</v>
      </c>
      <c r="S122" s="1186"/>
      <c r="T122" s="1186">
        <v>6</v>
      </c>
      <c r="U122" s="1186"/>
    </row>
    <row r="123" spans="1:21" x14ac:dyDescent="0.2">
      <c r="A123" s="1186" t="s">
        <v>97</v>
      </c>
      <c r="B123" s="1186" t="s">
        <v>621</v>
      </c>
      <c r="C123" s="1186" t="s">
        <v>983</v>
      </c>
      <c r="D123" s="1186" t="s">
        <v>1987</v>
      </c>
      <c r="E123" s="1186" t="s">
        <v>1988</v>
      </c>
      <c r="F123" s="1186">
        <v>5</v>
      </c>
      <c r="G123" s="1186"/>
      <c r="H123" s="1186"/>
      <c r="I123" s="1186">
        <v>4</v>
      </c>
      <c r="J123" s="1186"/>
      <c r="K123" s="1186"/>
      <c r="L123" s="1186">
        <v>1</v>
      </c>
      <c r="M123" s="1186">
        <v>2</v>
      </c>
      <c r="N123" s="1186"/>
      <c r="O123" s="1186"/>
      <c r="P123" s="1186">
        <v>11</v>
      </c>
      <c r="Q123" s="1186"/>
      <c r="R123" s="1186"/>
      <c r="S123" s="1186"/>
      <c r="T123" s="1186">
        <v>5</v>
      </c>
      <c r="U123" s="1186"/>
    </row>
    <row r="124" spans="1:21" x14ac:dyDescent="0.2">
      <c r="A124" s="1186" t="s">
        <v>97</v>
      </c>
      <c r="B124" s="1186" t="s">
        <v>621</v>
      </c>
      <c r="C124" s="1186" t="s">
        <v>984</v>
      </c>
      <c r="D124" s="1186" t="s">
        <v>1981</v>
      </c>
      <c r="E124" s="1186" t="s">
        <v>1988</v>
      </c>
      <c r="F124" s="1186">
        <v>10</v>
      </c>
      <c r="G124" s="1186"/>
      <c r="H124" s="1186"/>
      <c r="I124" s="1186">
        <v>3</v>
      </c>
      <c r="J124" s="1186">
        <v>2</v>
      </c>
      <c r="K124" s="1186"/>
      <c r="L124" s="1186">
        <v>3</v>
      </c>
      <c r="M124" s="1186">
        <v>1</v>
      </c>
      <c r="N124" s="1186"/>
      <c r="O124" s="1186"/>
      <c r="P124" s="1186">
        <v>13</v>
      </c>
      <c r="Q124" s="1186"/>
      <c r="R124" s="1186">
        <v>1</v>
      </c>
      <c r="S124" s="1186"/>
      <c r="T124" s="1186">
        <v>4</v>
      </c>
      <c r="U124" s="1186"/>
    </row>
    <row r="125" spans="1:21" x14ac:dyDescent="0.2">
      <c r="A125" s="1186" t="s">
        <v>97</v>
      </c>
      <c r="B125" s="1186" t="s">
        <v>1419</v>
      </c>
      <c r="C125" s="1186" t="s">
        <v>1427</v>
      </c>
      <c r="D125" s="1186" t="s">
        <v>1981</v>
      </c>
      <c r="E125" s="1186" t="s">
        <v>1982</v>
      </c>
      <c r="F125" s="1186">
        <v>7</v>
      </c>
      <c r="G125" s="1186"/>
      <c r="H125" s="1186"/>
      <c r="I125" s="1186">
        <v>3</v>
      </c>
      <c r="J125" s="1186">
        <v>1</v>
      </c>
      <c r="K125" s="1186"/>
      <c r="L125" s="1186"/>
      <c r="M125" s="1186">
        <v>3</v>
      </c>
      <c r="N125" s="1186"/>
      <c r="O125" s="1186"/>
      <c r="P125" s="1186">
        <v>9</v>
      </c>
      <c r="Q125" s="1186"/>
      <c r="R125" s="1186">
        <v>1</v>
      </c>
      <c r="S125" s="1186"/>
      <c r="T125" s="1186">
        <v>4</v>
      </c>
      <c r="U125" s="1186"/>
    </row>
    <row r="126" spans="1:21" x14ac:dyDescent="0.2">
      <c r="A126" s="1186" t="s">
        <v>97</v>
      </c>
      <c r="B126" s="1186" t="s">
        <v>1419</v>
      </c>
      <c r="C126" s="1186" t="s">
        <v>1428</v>
      </c>
      <c r="D126" s="1186" t="s">
        <v>1981</v>
      </c>
      <c r="E126" s="1186" t="s">
        <v>1982</v>
      </c>
      <c r="F126" s="1186">
        <v>14</v>
      </c>
      <c r="G126" s="1186"/>
      <c r="H126" s="1186">
        <v>1</v>
      </c>
      <c r="I126" s="1186">
        <v>3</v>
      </c>
      <c r="J126" s="1186"/>
      <c r="K126" s="1186"/>
      <c r="L126" s="1186">
        <v>2</v>
      </c>
      <c r="M126" s="1186">
        <v>7</v>
      </c>
      <c r="N126" s="1186"/>
      <c r="O126" s="1186">
        <v>2</v>
      </c>
      <c r="P126" s="1186">
        <v>5</v>
      </c>
      <c r="Q126" s="1186"/>
      <c r="R126" s="1186">
        <v>3</v>
      </c>
      <c r="S126" s="1186"/>
      <c r="T126" s="1186">
        <v>6</v>
      </c>
      <c r="U126" s="1186"/>
    </row>
    <row r="127" spans="1:21" x14ac:dyDescent="0.2">
      <c r="A127" s="1186" t="s">
        <v>97</v>
      </c>
      <c r="B127" s="1186" t="s">
        <v>1419</v>
      </c>
      <c r="C127" s="1186" t="s">
        <v>1429</v>
      </c>
      <c r="D127" s="1186" t="s">
        <v>1983</v>
      </c>
      <c r="E127" s="1186" t="s">
        <v>1982</v>
      </c>
      <c r="F127" s="1186">
        <v>3</v>
      </c>
      <c r="G127" s="1186"/>
      <c r="H127" s="1186"/>
      <c r="I127" s="1186">
        <v>2</v>
      </c>
      <c r="J127" s="1186">
        <v>1</v>
      </c>
      <c r="K127" s="1186"/>
      <c r="L127" s="1186">
        <v>2</v>
      </c>
      <c r="M127" s="1186">
        <v>4</v>
      </c>
      <c r="N127" s="1186"/>
      <c r="O127" s="1186"/>
      <c r="P127" s="1186">
        <v>12</v>
      </c>
      <c r="Q127" s="1186"/>
      <c r="R127" s="1186">
        <v>1</v>
      </c>
      <c r="S127" s="1186"/>
      <c r="T127" s="1186">
        <v>9</v>
      </c>
      <c r="U127" s="1186"/>
    </row>
    <row r="128" spans="1:21" x14ac:dyDescent="0.2">
      <c r="A128" s="1186" t="s">
        <v>97</v>
      </c>
      <c r="B128" s="1186" t="s">
        <v>1419</v>
      </c>
      <c r="C128" s="1186" t="s">
        <v>1430</v>
      </c>
      <c r="D128" s="1186" t="s">
        <v>1983</v>
      </c>
      <c r="E128" s="1186" t="s">
        <v>1984</v>
      </c>
      <c r="F128" s="1186">
        <v>13</v>
      </c>
      <c r="G128" s="1186"/>
      <c r="H128" s="1186"/>
      <c r="I128" s="1186">
        <v>1</v>
      </c>
      <c r="J128" s="1186">
        <v>1</v>
      </c>
      <c r="K128" s="1186"/>
      <c r="L128" s="1186">
        <v>4</v>
      </c>
      <c r="M128" s="1186">
        <v>4</v>
      </c>
      <c r="N128" s="1186"/>
      <c r="O128" s="1186">
        <v>1</v>
      </c>
      <c r="P128" s="1186">
        <v>9</v>
      </c>
      <c r="Q128" s="1186"/>
      <c r="R128" s="1186"/>
      <c r="S128" s="1186"/>
      <c r="T128" s="1186">
        <v>9</v>
      </c>
      <c r="U128" s="1186"/>
    </row>
    <row r="129" spans="1:21" x14ac:dyDescent="0.2">
      <c r="A129" s="1186" t="s">
        <v>97</v>
      </c>
      <c r="B129" s="1186" t="s">
        <v>1419</v>
      </c>
      <c r="C129" s="1186" t="s">
        <v>1431</v>
      </c>
      <c r="D129" s="1186" t="s">
        <v>1983</v>
      </c>
      <c r="E129" s="1186" t="s">
        <v>1984</v>
      </c>
      <c r="F129" s="1186">
        <v>3</v>
      </c>
      <c r="G129" s="1186"/>
      <c r="H129" s="1186">
        <v>1</v>
      </c>
      <c r="I129" s="1186">
        <v>2</v>
      </c>
      <c r="J129" s="1186">
        <v>1</v>
      </c>
      <c r="K129" s="1186"/>
      <c r="L129" s="1186">
        <v>4</v>
      </c>
      <c r="M129" s="1186">
        <v>2</v>
      </c>
      <c r="N129" s="1186"/>
      <c r="O129" s="1186">
        <v>1</v>
      </c>
      <c r="P129" s="1186">
        <v>5</v>
      </c>
      <c r="Q129" s="1186"/>
      <c r="R129" s="1186">
        <v>2</v>
      </c>
      <c r="S129" s="1186"/>
      <c r="T129" s="1186">
        <v>5</v>
      </c>
      <c r="U129" s="1186"/>
    </row>
    <row r="130" spans="1:21" x14ac:dyDescent="0.2">
      <c r="A130" s="1186" t="s">
        <v>97</v>
      </c>
      <c r="B130" s="1186" t="s">
        <v>1419</v>
      </c>
      <c r="C130" s="1186" t="s">
        <v>1432</v>
      </c>
      <c r="D130" s="1186" t="s">
        <v>1985</v>
      </c>
      <c r="E130" s="1186" t="s">
        <v>1984</v>
      </c>
      <c r="F130" s="1186">
        <v>3</v>
      </c>
      <c r="G130" s="1186"/>
      <c r="H130" s="1186"/>
      <c r="I130" s="1186"/>
      <c r="J130" s="1186"/>
      <c r="K130" s="1186"/>
      <c r="L130" s="1186">
        <v>2</v>
      </c>
      <c r="M130" s="1186">
        <v>4</v>
      </c>
      <c r="N130" s="1186"/>
      <c r="O130" s="1186"/>
      <c r="P130" s="1186">
        <v>13</v>
      </c>
      <c r="Q130" s="1186"/>
      <c r="R130" s="1186"/>
      <c r="S130" s="1186"/>
      <c r="T130" s="1186">
        <v>1</v>
      </c>
      <c r="U130" s="1186"/>
    </row>
    <row r="131" spans="1:21" x14ac:dyDescent="0.2">
      <c r="A131" s="1186" t="s">
        <v>97</v>
      </c>
      <c r="B131" s="1186" t="s">
        <v>1419</v>
      </c>
      <c r="C131" s="1186" t="s">
        <v>1433</v>
      </c>
      <c r="D131" s="1186" t="s">
        <v>1985</v>
      </c>
      <c r="E131" s="1186" t="s">
        <v>1986</v>
      </c>
      <c r="F131" s="1186">
        <v>5</v>
      </c>
      <c r="G131" s="1186"/>
      <c r="H131" s="1186"/>
      <c r="I131" s="1186">
        <v>2</v>
      </c>
      <c r="J131" s="1186">
        <v>1</v>
      </c>
      <c r="K131" s="1186"/>
      <c r="L131" s="1186">
        <v>1</v>
      </c>
      <c r="M131" s="1186">
        <v>2</v>
      </c>
      <c r="N131" s="1186"/>
      <c r="O131" s="1186"/>
      <c r="P131" s="1186">
        <v>11</v>
      </c>
      <c r="Q131" s="1186"/>
      <c r="R131" s="1186"/>
      <c r="S131" s="1186"/>
      <c r="T131" s="1186">
        <v>5</v>
      </c>
      <c r="U131" s="1186"/>
    </row>
    <row r="132" spans="1:21" x14ac:dyDescent="0.2">
      <c r="A132" s="1186" t="s">
        <v>97</v>
      </c>
      <c r="B132" s="1186" t="s">
        <v>1419</v>
      </c>
      <c r="C132" s="1186" t="s">
        <v>1434</v>
      </c>
      <c r="D132" s="1186" t="s">
        <v>1985</v>
      </c>
      <c r="E132" s="1186" t="s">
        <v>1986</v>
      </c>
      <c r="F132" s="1186">
        <v>5</v>
      </c>
      <c r="G132" s="1186"/>
      <c r="H132" s="1186"/>
      <c r="I132" s="1186">
        <v>4</v>
      </c>
      <c r="J132" s="1186"/>
      <c r="K132" s="1186"/>
      <c r="L132" s="1186">
        <v>3</v>
      </c>
      <c r="M132" s="1186">
        <v>11</v>
      </c>
      <c r="N132" s="1186"/>
      <c r="O132" s="1186"/>
      <c r="P132" s="1186">
        <v>19</v>
      </c>
      <c r="Q132" s="1186"/>
      <c r="R132" s="1186"/>
      <c r="S132" s="1186"/>
      <c r="T132" s="1186">
        <v>9</v>
      </c>
      <c r="U132" s="1186"/>
    </row>
    <row r="133" spans="1:21" x14ac:dyDescent="0.2">
      <c r="A133" s="1186" t="s">
        <v>97</v>
      </c>
      <c r="B133" s="1186" t="s">
        <v>1419</v>
      </c>
      <c r="C133" s="1186" t="s">
        <v>1435</v>
      </c>
      <c r="D133" s="1186" t="s">
        <v>1987</v>
      </c>
      <c r="E133" s="1186" t="s">
        <v>1986</v>
      </c>
      <c r="F133" s="1186">
        <v>3</v>
      </c>
      <c r="G133" s="1186"/>
      <c r="H133" s="1186"/>
      <c r="I133" s="1186">
        <v>3</v>
      </c>
      <c r="J133" s="1186"/>
      <c r="K133" s="1186"/>
      <c r="L133" s="1186">
        <v>7</v>
      </c>
      <c r="M133" s="1186">
        <v>4</v>
      </c>
      <c r="N133" s="1186"/>
      <c r="O133" s="1186"/>
      <c r="P133" s="1186">
        <v>18</v>
      </c>
      <c r="Q133" s="1186"/>
      <c r="R133" s="1186"/>
      <c r="S133" s="1186"/>
      <c r="T133" s="1186">
        <v>7</v>
      </c>
      <c r="U133" s="1186"/>
    </row>
    <row r="134" spans="1:21" x14ac:dyDescent="0.2">
      <c r="A134" s="1186" t="s">
        <v>97</v>
      </c>
      <c r="B134" s="1186" t="s">
        <v>1419</v>
      </c>
      <c r="C134" s="1186" t="s">
        <v>1436</v>
      </c>
      <c r="D134" s="1186" t="s">
        <v>1987</v>
      </c>
      <c r="E134" s="1186" t="s">
        <v>1988</v>
      </c>
      <c r="F134" s="1186">
        <v>10</v>
      </c>
      <c r="G134" s="1186"/>
      <c r="H134" s="1186"/>
      <c r="I134" s="1186">
        <v>2</v>
      </c>
      <c r="J134" s="1186">
        <v>1</v>
      </c>
      <c r="K134" s="1186"/>
      <c r="L134" s="1186">
        <v>1</v>
      </c>
      <c r="M134" s="1186">
        <v>3</v>
      </c>
      <c r="N134" s="1186"/>
      <c r="O134" s="1186"/>
      <c r="P134" s="1186">
        <v>19</v>
      </c>
      <c r="Q134" s="1186"/>
      <c r="R134" s="1186"/>
      <c r="S134" s="1186"/>
      <c r="T134" s="1186">
        <v>4</v>
      </c>
      <c r="U134" s="1186"/>
    </row>
    <row r="135" spans="1:21" x14ac:dyDescent="0.2">
      <c r="A135" s="1186" t="s">
        <v>97</v>
      </c>
      <c r="B135" s="1186" t="s">
        <v>1419</v>
      </c>
      <c r="C135" s="1186" t="s">
        <v>1437</v>
      </c>
      <c r="D135" s="1186" t="s">
        <v>1987</v>
      </c>
      <c r="E135" s="1186" t="s">
        <v>1988</v>
      </c>
      <c r="F135" s="1186">
        <v>12</v>
      </c>
      <c r="G135" s="1186"/>
      <c r="H135" s="1186"/>
      <c r="I135" s="1186">
        <v>2</v>
      </c>
      <c r="J135" s="1186">
        <v>1</v>
      </c>
      <c r="K135" s="1186"/>
      <c r="L135" s="1186">
        <v>1</v>
      </c>
      <c r="M135" s="1186">
        <v>4</v>
      </c>
      <c r="N135" s="1186">
        <v>1</v>
      </c>
      <c r="O135" s="1186"/>
      <c r="P135" s="1186">
        <v>13</v>
      </c>
      <c r="Q135" s="1186"/>
      <c r="R135" s="1186"/>
      <c r="S135" s="1186"/>
      <c r="T135" s="1186">
        <v>5</v>
      </c>
      <c r="U135" s="1186"/>
    </row>
    <row r="136" spans="1:21" x14ac:dyDescent="0.2">
      <c r="A136" s="1186" t="s">
        <v>97</v>
      </c>
      <c r="B136" s="1186" t="s">
        <v>1419</v>
      </c>
      <c r="C136" s="1186" t="s">
        <v>1438</v>
      </c>
      <c r="D136" s="1186" t="s">
        <v>1981</v>
      </c>
      <c r="E136" s="1186" t="s">
        <v>1988</v>
      </c>
      <c r="F136" s="1186">
        <v>4</v>
      </c>
      <c r="G136" s="1186"/>
      <c r="H136" s="1186"/>
      <c r="I136" s="1186">
        <v>7</v>
      </c>
      <c r="J136" s="1186"/>
      <c r="K136" s="1186"/>
      <c r="L136" s="1186">
        <v>1</v>
      </c>
      <c r="M136" s="1186">
        <v>3</v>
      </c>
      <c r="N136" s="1186"/>
      <c r="O136" s="1186"/>
      <c r="P136" s="1186">
        <v>17</v>
      </c>
      <c r="Q136" s="1186"/>
      <c r="R136" s="1186">
        <v>1</v>
      </c>
      <c r="S136" s="1186"/>
      <c r="T136" s="1186">
        <v>10</v>
      </c>
      <c r="U136" s="1186"/>
    </row>
    <row r="137" spans="1:21" x14ac:dyDescent="0.2">
      <c r="A137" s="1186" t="s">
        <v>97</v>
      </c>
      <c r="B137" s="1186" t="s">
        <v>1572</v>
      </c>
      <c r="C137" s="1186" t="s">
        <v>1989</v>
      </c>
      <c r="D137" s="1186" t="s">
        <v>1981</v>
      </c>
      <c r="E137" s="1186" t="s">
        <v>1982</v>
      </c>
      <c r="F137" s="1186">
        <v>1</v>
      </c>
      <c r="G137" s="1186"/>
      <c r="H137" s="1186"/>
      <c r="I137" s="1186">
        <v>1</v>
      </c>
      <c r="J137" s="1186">
        <v>1</v>
      </c>
      <c r="K137" s="1186"/>
      <c r="L137" s="1186">
        <v>1</v>
      </c>
      <c r="M137" s="1186"/>
      <c r="N137" s="1186"/>
      <c r="O137" s="1186"/>
      <c r="P137" s="1186">
        <v>17</v>
      </c>
      <c r="Q137" s="1186"/>
      <c r="R137" s="1186">
        <v>1</v>
      </c>
      <c r="S137" s="1186"/>
      <c r="T137" s="1186">
        <v>6</v>
      </c>
      <c r="U137" s="1186"/>
    </row>
    <row r="138" spans="1:21" x14ac:dyDescent="0.2">
      <c r="A138" s="1186" t="s">
        <v>97</v>
      </c>
      <c r="B138" s="1186" t="s">
        <v>1572</v>
      </c>
      <c r="C138" s="1186" t="s">
        <v>1990</v>
      </c>
      <c r="D138" s="1186" t="s">
        <v>1981</v>
      </c>
      <c r="E138" s="1186" t="s">
        <v>1982</v>
      </c>
      <c r="F138" s="1186">
        <v>1</v>
      </c>
      <c r="G138" s="1186"/>
      <c r="H138" s="1186"/>
      <c r="I138" s="1186">
        <v>2</v>
      </c>
      <c r="J138" s="1186">
        <v>1</v>
      </c>
      <c r="K138" s="1186"/>
      <c r="L138" s="1186">
        <v>1</v>
      </c>
      <c r="M138" s="1186">
        <v>4</v>
      </c>
      <c r="N138" s="1186"/>
      <c r="O138" s="1186">
        <v>1</v>
      </c>
      <c r="P138" s="1186">
        <v>7</v>
      </c>
      <c r="Q138" s="1186"/>
      <c r="R138" s="1186"/>
      <c r="S138" s="1186"/>
      <c r="T138" s="1186">
        <v>1</v>
      </c>
      <c r="U138" s="1186"/>
    </row>
    <row r="139" spans="1:21" x14ac:dyDescent="0.2">
      <c r="A139" s="1186" t="s">
        <v>97</v>
      </c>
      <c r="B139" s="1186" t="s">
        <v>1572</v>
      </c>
      <c r="C139" s="1186" t="s">
        <v>1991</v>
      </c>
      <c r="D139" s="1186" t="s">
        <v>1983</v>
      </c>
      <c r="E139" s="1186" t="s">
        <v>1982</v>
      </c>
      <c r="F139" s="1186">
        <v>4</v>
      </c>
      <c r="G139" s="1186"/>
      <c r="H139" s="1186"/>
      <c r="I139" s="1186">
        <v>4</v>
      </c>
      <c r="J139" s="1186">
        <v>1</v>
      </c>
      <c r="K139" s="1186"/>
      <c r="L139" s="1186">
        <v>2</v>
      </c>
      <c r="M139" s="1186">
        <v>4</v>
      </c>
      <c r="N139" s="1186"/>
      <c r="O139" s="1186"/>
      <c r="P139" s="1186">
        <v>6</v>
      </c>
      <c r="Q139" s="1186"/>
      <c r="R139" s="1186"/>
      <c r="S139" s="1186"/>
      <c r="T139" s="1186">
        <v>6</v>
      </c>
      <c r="U139" s="1186"/>
    </row>
    <row r="140" spans="1:21" x14ac:dyDescent="0.2">
      <c r="A140" s="1186" t="s">
        <v>97</v>
      </c>
      <c r="B140" s="1186" t="s">
        <v>1572</v>
      </c>
      <c r="C140" s="1186" t="s">
        <v>1992</v>
      </c>
      <c r="D140" s="1186" t="s">
        <v>1983</v>
      </c>
      <c r="E140" s="1186" t="s">
        <v>1984</v>
      </c>
      <c r="F140" s="1186">
        <v>11</v>
      </c>
      <c r="G140" s="1186"/>
      <c r="H140" s="1186"/>
      <c r="I140" s="1186">
        <v>4</v>
      </c>
      <c r="J140" s="1186"/>
      <c r="K140" s="1186"/>
      <c r="L140" s="1186">
        <v>1</v>
      </c>
      <c r="M140" s="1186">
        <v>4</v>
      </c>
      <c r="N140" s="1186"/>
      <c r="O140" s="1186"/>
      <c r="P140" s="1186">
        <v>7</v>
      </c>
      <c r="Q140" s="1186"/>
      <c r="R140" s="1186"/>
      <c r="S140" s="1186"/>
      <c r="T140" s="1186">
        <v>4</v>
      </c>
      <c r="U140" s="1186"/>
    </row>
    <row r="141" spans="1:21" x14ac:dyDescent="0.2">
      <c r="A141" s="1186" t="s">
        <v>97</v>
      </c>
      <c r="B141" s="1186" t="s">
        <v>1572</v>
      </c>
      <c r="C141" s="1186" t="s">
        <v>1993</v>
      </c>
      <c r="D141" s="1186" t="s">
        <v>1983</v>
      </c>
      <c r="E141" s="1186" t="s">
        <v>1984</v>
      </c>
      <c r="F141" s="1186">
        <v>10</v>
      </c>
      <c r="G141" s="1186">
        <v>3</v>
      </c>
      <c r="H141" s="1186"/>
      <c r="I141" s="1186">
        <v>3</v>
      </c>
      <c r="J141" s="1186">
        <v>1</v>
      </c>
      <c r="K141" s="1186"/>
      <c r="L141" s="1186"/>
      <c r="M141" s="1186">
        <v>4</v>
      </c>
      <c r="N141" s="1186"/>
      <c r="O141" s="1186"/>
      <c r="P141" s="1186">
        <v>5</v>
      </c>
      <c r="Q141" s="1186"/>
      <c r="R141" s="1186"/>
      <c r="S141" s="1186"/>
      <c r="T141" s="1186">
        <v>3</v>
      </c>
      <c r="U141" s="1186"/>
    </row>
    <row r="142" spans="1:21" x14ac:dyDescent="0.2">
      <c r="A142" s="1186" t="s">
        <v>97</v>
      </c>
      <c r="B142" s="1186" t="s">
        <v>1572</v>
      </c>
      <c r="C142" s="1186" t="s">
        <v>1994</v>
      </c>
      <c r="D142" s="1186" t="s">
        <v>1985</v>
      </c>
      <c r="E142" s="1186" t="s">
        <v>1984</v>
      </c>
      <c r="F142" s="1186">
        <v>3</v>
      </c>
      <c r="G142" s="1186"/>
      <c r="H142" s="1186"/>
      <c r="I142" s="1186">
        <v>1</v>
      </c>
      <c r="J142" s="1186"/>
      <c r="K142" s="1186"/>
      <c r="L142" s="1186">
        <v>2</v>
      </c>
      <c r="M142" s="1186">
        <v>3</v>
      </c>
      <c r="N142" s="1186"/>
      <c r="O142" s="1186"/>
      <c r="P142" s="1186">
        <v>11</v>
      </c>
      <c r="Q142" s="1186"/>
      <c r="R142" s="1186"/>
      <c r="S142" s="1186"/>
      <c r="T142" s="1186">
        <v>2</v>
      </c>
      <c r="U142" s="1186"/>
    </row>
    <row r="143" spans="1:21" x14ac:dyDescent="0.2">
      <c r="A143" s="1186" t="s">
        <v>97</v>
      </c>
      <c r="B143" s="1186" t="s">
        <v>1572</v>
      </c>
      <c r="C143" s="1186" t="s">
        <v>1995</v>
      </c>
      <c r="D143" s="1186" t="s">
        <v>1985</v>
      </c>
      <c r="E143" s="1186" t="s">
        <v>1986</v>
      </c>
      <c r="F143" s="1186">
        <v>4</v>
      </c>
      <c r="G143" s="1186"/>
      <c r="H143" s="1186"/>
      <c r="I143" s="1186">
        <v>1</v>
      </c>
      <c r="J143" s="1186"/>
      <c r="K143" s="1186"/>
      <c r="L143" s="1186"/>
      <c r="M143" s="1186">
        <v>4</v>
      </c>
      <c r="N143" s="1186"/>
      <c r="O143" s="1186"/>
      <c r="P143" s="1186">
        <v>14</v>
      </c>
      <c r="Q143" s="1186"/>
      <c r="R143" s="1186"/>
      <c r="S143" s="1186"/>
      <c r="T143" s="1186">
        <v>1</v>
      </c>
      <c r="U143" s="1186"/>
    </row>
    <row r="144" spans="1:21" x14ac:dyDescent="0.2">
      <c r="A144" s="1186" t="s">
        <v>97</v>
      </c>
      <c r="B144" s="1186" t="s">
        <v>1572</v>
      </c>
      <c r="C144" s="1186" t="s">
        <v>1996</v>
      </c>
      <c r="D144" s="1186" t="s">
        <v>1985</v>
      </c>
      <c r="E144" s="1186" t="s">
        <v>1986</v>
      </c>
      <c r="F144" s="1186">
        <v>7</v>
      </c>
      <c r="G144" s="1186"/>
      <c r="H144" s="1186"/>
      <c r="I144" s="1186">
        <v>1</v>
      </c>
      <c r="J144" s="1186"/>
      <c r="K144" s="1186"/>
      <c r="L144" s="1186">
        <v>3</v>
      </c>
      <c r="M144" s="1186">
        <v>2</v>
      </c>
      <c r="N144" s="1186"/>
      <c r="O144" s="1186"/>
      <c r="P144" s="1186">
        <v>9</v>
      </c>
      <c r="Q144" s="1186"/>
      <c r="R144" s="1186">
        <v>1</v>
      </c>
      <c r="S144" s="1186"/>
      <c r="T144" s="1186">
        <v>7</v>
      </c>
      <c r="U144" s="1186"/>
    </row>
    <row r="145" spans="1:21" x14ac:dyDescent="0.2">
      <c r="A145" s="1186" t="s">
        <v>97</v>
      </c>
      <c r="B145" s="1186" t="s">
        <v>1572</v>
      </c>
      <c r="C145" s="1186" t="s">
        <v>1997</v>
      </c>
      <c r="D145" s="1186" t="s">
        <v>1987</v>
      </c>
      <c r="E145" s="1186" t="s">
        <v>1986</v>
      </c>
      <c r="F145" s="1186">
        <v>9</v>
      </c>
      <c r="G145" s="1186"/>
      <c r="H145" s="1186"/>
      <c r="I145" s="1186">
        <v>3</v>
      </c>
      <c r="J145" s="1186">
        <v>2</v>
      </c>
      <c r="K145" s="1186"/>
      <c r="L145" s="1186">
        <v>2</v>
      </c>
      <c r="M145" s="1186">
        <v>6</v>
      </c>
      <c r="N145" s="1186"/>
      <c r="O145" s="1186"/>
      <c r="P145" s="1186">
        <v>9</v>
      </c>
      <c r="Q145" s="1186">
        <v>1</v>
      </c>
      <c r="R145" s="1186"/>
      <c r="S145" s="1186"/>
      <c r="T145" s="1186">
        <v>6</v>
      </c>
      <c r="U145" s="1186"/>
    </row>
    <row r="146" spans="1:21" x14ac:dyDescent="0.2">
      <c r="A146" s="1186" t="s">
        <v>97</v>
      </c>
      <c r="B146" s="1186" t="s">
        <v>1572</v>
      </c>
      <c r="C146" s="1186" t="s">
        <v>1998</v>
      </c>
      <c r="D146" s="1186" t="s">
        <v>1987</v>
      </c>
      <c r="E146" s="1186" t="s">
        <v>1988</v>
      </c>
      <c r="F146" s="1186">
        <v>7</v>
      </c>
      <c r="G146" s="1186"/>
      <c r="H146" s="1186"/>
      <c r="I146" s="1186">
        <v>3</v>
      </c>
      <c r="J146" s="1186">
        <v>1</v>
      </c>
      <c r="K146" s="1186"/>
      <c r="L146" s="1186"/>
      <c r="M146" s="1186">
        <v>1</v>
      </c>
      <c r="N146" s="1186">
        <v>1</v>
      </c>
      <c r="O146" s="1186"/>
      <c r="P146" s="1186">
        <v>13</v>
      </c>
      <c r="Q146" s="1186"/>
      <c r="R146" s="1186"/>
      <c r="S146" s="1186"/>
      <c r="T146" s="1186">
        <v>3</v>
      </c>
      <c r="U146" s="1186"/>
    </row>
    <row r="147" spans="1:21" x14ac:dyDescent="0.2">
      <c r="A147" s="1186" t="s">
        <v>97</v>
      </c>
      <c r="B147" s="1186" t="s">
        <v>1572</v>
      </c>
      <c r="C147" s="1186" t="s">
        <v>1999</v>
      </c>
      <c r="D147" s="1186" t="s">
        <v>1987</v>
      </c>
      <c r="E147" s="1186" t="s">
        <v>1988</v>
      </c>
      <c r="F147" s="1186">
        <v>1</v>
      </c>
      <c r="G147" s="1186"/>
      <c r="H147" s="1186"/>
      <c r="I147" s="1186">
        <v>4</v>
      </c>
      <c r="J147" s="1186">
        <v>1</v>
      </c>
      <c r="K147" s="1186"/>
      <c r="L147" s="1186">
        <v>2</v>
      </c>
      <c r="M147" s="1186">
        <v>1</v>
      </c>
      <c r="N147" s="1186"/>
      <c r="O147" s="1186"/>
      <c r="P147" s="1186">
        <v>15</v>
      </c>
      <c r="Q147" s="1186"/>
      <c r="R147" s="1186"/>
      <c r="S147" s="1186"/>
      <c r="T147" s="1186">
        <v>2</v>
      </c>
      <c r="U147" s="1186"/>
    </row>
    <row r="148" spans="1:21" x14ac:dyDescent="0.2">
      <c r="A148" s="1186" t="s">
        <v>97</v>
      </c>
      <c r="B148" s="1186" t="s">
        <v>1572</v>
      </c>
      <c r="C148" s="1186" t="s">
        <v>2000</v>
      </c>
      <c r="D148" s="1186" t="s">
        <v>1981</v>
      </c>
      <c r="E148" s="1186" t="s">
        <v>1988</v>
      </c>
      <c r="F148" s="1186">
        <v>2</v>
      </c>
      <c r="G148" s="1186"/>
      <c r="H148" s="1186"/>
      <c r="I148" s="1186">
        <v>3</v>
      </c>
      <c r="J148" s="1186"/>
      <c r="K148" s="1186"/>
      <c r="L148" s="1186">
        <v>1</v>
      </c>
      <c r="M148" s="1186">
        <v>1</v>
      </c>
      <c r="N148" s="1186"/>
      <c r="O148" s="1186"/>
      <c r="P148" s="1186">
        <v>12</v>
      </c>
      <c r="Q148" s="1186">
        <v>1</v>
      </c>
      <c r="R148" s="1186"/>
      <c r="S148" s="1186"/>
      <c r="T148" s="1186">
        <v>1</v>
      </c>
      <c r="U148" s="1186"/>
    </row>
  </sheetData>
  <pageMargins left="0.7" right="0.7" top="0.75" bottom="0.75" header="0.3" footer="0.3"/>
  <pageSetup paperSize="9" fitToHeight="50" orientation="landscape" r:id="rId1"/>
  <legacyDrawing r:id="rId2"/>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pageSetUpPr fitToPage="1"/>
  </sheetPr>
  <dimension ref="A1:H275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3" width="7.42578125" bestFit="1" customWidth="1"/>
    <col min="4" max="4" width="7" bestFit="1" customWidth="1"/>
    <col min="5" max="5" width="45.5703125" customWidth="1"/>
    <col min="6" max="6" width="27.140625" bestFit="1" customWidth="1"/>
    <col min="7" max="7" width="15" bestFit="1" customWidth="1"/>
    <col min="8" max="8" width="4.85546875" bestFit="1" customWidth="1"/>
  </cols>
  <sheetData>
    <row r="1" spans="1:8" x14ac:dyDescent="0.2"/>
    <row r="4" spans="1:8" x14ac:dyDescent="0.2">
      <c r="A4" s="1223" t="s">
        <v>4</v>
      </c>
      <c r="B4" s="1223" t="s">
        <v>1977</v>
      </c>
      <c r="C4" s="1223" t="s">
        <v>1978</v>
      </c>
      <c r="D4" s="1223" t="s">
        <v>1979</v>
      </c>
      <c r="E4" s="1223" t="s">
        <v>2029</v>
      </c>
      <c r="F4" s="1223" t="s">
        <v>2030</v>
      </c>
      <c r="G4" s="1223" t="s">
        <v>993</v>
      </c>
      <c r="H4" s="1223" t="s">
        <v>11</v>
      </c>
    </row>
    <row r="5" spans="1:8" x14ac:dyDescent="0.2">
      <c r="A5" s="1186" t="s">
        <v>19</v>
      </c>
      <c r="B5" s="1186" t="s">
        <v>868</v>
      </c>
      <c r="C5" s="1186" t="s">
        <v>1981</v>
      </c>
      <c r="D5" s="1186" t="s">
        <v>1982</v>
      </c>
      <c r="E5" s="1186" t="s">
        <v>2031</v>
      </c>
      <c r="F5" s="1186" t="s">
        <v>2032</v>
      </c>
      <c r="G5" s="1186" t="s">
        <v>828</v>
      </c>
      <c r="H5" s="1186">
        <v>7</v>
      </c>
    </row>
    <row r="6" spans="1:8" x14ac:dyDescent="0.2">
      <c r="A6" s="1186" t="s">
        <v>19</v>
      </c>
      <c r="B6" s="1186" t="s">
        <v>868</v>
      </c>
      <c r="C6" s="1186" t="s">
        <v>1981</v>
      </c>
      <c r="D6" s="1186" t="s">
        <v>1982</v>
      </c>
      <c r="E6" s="1186" t="s">
        <v>2031</v>
      </c>
      <c r="F6" s="1186" t="s">
        <v>2033</v>
      </c>
      <c r="G6" s="1186" t="s">
        <v>828</v>
      </c>
      <c r="H6" s="1186">
        <v>86</v>
      </c>
    </row>
    <row r="7" spans="1:8" x14ac:dyDescent="0.2">
      <c r="A7" s="1186" t="s">
        <v>19</v>
      </c>
      <c r="B7" s="1186" t="s">
        <v>868</v>
      </c>
      <c r="C7" s="1186" t="s">
        <v>1981</v>
      </c>
      <c r="D7" s="1186" t="s">
        <v>1982</v>
      </c>
      <c r="E7" s="1186" t="s">
        <v>2031</v>
      </c>
      <c r="F7" s="1186" t="s">
        <v>2033</v>
      </c>
      <c r="G7" s="1186" t="s">
        <v>850</v>
      </c>
      <c r="H7" s="1186">
        <v>4</v>
      </c>
    </row>
    <row r="8" spans="1:8" x14ac:dyDescent="0.2">
      <c r="A8" s="1186" t="s">
        <v>19</v>
      </c>
      <c r="B8" s="1186" t="s">
        <v>868</v>
      </c>
      <c r="C8" s="1186" t="s">
        <v>1981</v>
      </c>
      <c r="D8" s="1186" t="s">
        <v>1982</v>
      </c>
      <c r="E8" s="1186" t="s">
        <v>2031</v>
      </c>
      <c r="F8" s="1186" t="s">
        <v>2033</v>
      </c>
      <c r="G8" s="1186" t="s">
        <v>852</v>
      </c>
      <c r="H8" s="1186">
        <v>4</v>
      </c>
    </row>
    <row r="9" spans="1:8" x14ac:dyDescent="0.2">
      <c r="A9" s="1186" t="s">
        <v>19</v>
      </c>
      <c r="B9" s="1186" t="s">
        <v>868</v>
      </c>
      <c r="C9" s="1186" t="s">
        <v>1981</v>
      </c>
      <c r="D9" s="1186" t="s">
        <v>1982</v>
      </c>
      <c r="E9" s="1186" t="s">
        <v>2031</v>
      </c>
      <c r="F9" s="1186" t="s">
        <v>2034</v>
      </c>
      <c r="G9" s="1186" t="s">
        <v>828</v>
      </c>
      <c r="H9" s="1186">
        <v>25</v>
      </c>
    </row>
    <row r="10" spans="1:8" x14ac:dyDescent="0.2">
      <c r="A10" s="1186" t="s">
        <v>19</v>
      </c>
      <c r="B10" s="1186" t="s">
        <v>868</v>
      </c>
      <c r="C10" s="1186" t="s">
        <v>1981</v>
      </c>
      <c r="D10" s="1186" t="s">
        <v>1982</v>
      </c>
      <c r="E10" s="1186" t="s">
        <v>2031</v>
      </c>
      <c r="F10" s="1186" t="s">
        <v>2034</v>
      </c>
      <c r="G10" s="1186" t="s">
        <v>851</v>
      </c>
      <c r="H10" s="1186">
        <v>1</v>
      </c>
    </row>
    <row r="11" spans="1:8" x14ac:dyDescent="0.2">
      <c r="A11" s="1186" t="s">
        <v>19</v>
      </c>
      <c r="B11" s="1186" t="s">
        <v>868</v>
      </c>
      <c r="C11" s="1186" t="s">
        <v>1981</v>
      </c>
      <c r="D11" s="1186" t="s">
        <v>1982</v>
      </c>
      <c r="E11" s="1186" t="s">
        <v>2035</v>
      </c>
      <c r="F11" s="1186" t="s">
        <v>2032</v>
      </c>
      <c r="G11" s="1186" t="s">
        <v>828</v>
      </c>
      <c r="H11" s="1186">
        <v>1</v>
      </c>
    </row>
    <row r="12" spans="1:8" x14ac:dyDescent="0.2">
      <c r="A12" s="1186" t="s">
        <v>19</v>
      </c>
      <c r="B12" s="1186" t="s">
        <v>868</v>
      </c>
      <c r="C12" s="1186" t="s">
        <v>1981</v>
      </c>
      <c r="D12" s="1186" t="s">
        <v>1982</v>
      </c>
      <c r="E12" s="1186" t="s">
        <v>2035</v>
      </c>
      <c r="F12" s="1186" t="s">
        <v>2032</v>
      </c>
      <c r="G12" s="1186" t="s">
        <v>850</v>
      </c>
      <c r="H12" s="1186">
        <v>1</v>
      </c>
    </row>
    <row r="13" spans="1:8" x14ac:dyDescent="0.2">
      <c r="A13" s="1186" t="s">
        <v>19</v>
      </c>
      <c r="B13" s="1186" t="s">
        <v>868</v>
      </c>
      <c r="C13" s="1186" t="s">
        <v>1981</v>
      </c>
      <c r="D13" s="1186" t="s">
        <v>1982</v>
      </c>
      <c r="E13" s="1186" t="s">
        <v>2035</v>
      </c>
      <c r="F13" s="1186" t="s">
        <v>2032</v>
      </c>
      <c r="G13" s="1186" t="s">
        <v>851</v>
      </c>
      <c r="H13" s="1186">
        <v>12</v>
      </c>
    </row>
    <row r="14" spans="1:8" x14ac:dyDescent="0.2">
      <c r="A14" s="1186" t="s">
        <v>19</v>
      </c>
      <c r="B14" s="1186" t="s">
        <v>868</v>
      </c>
      <c r="C14" s="1186" t="s">
        <v>1981</v>
      </c>
      <c r="D14" s="1186" t="s">
        <v>1982</v>
      </c>
      <c r="E14" s="1186" t="s">
        <v>2035</v>
      </c>
      <c r="F14" s="1186" t="s">
        <v>2032</v>
      </c>
      <c r="G14" s="1186" t="s">
        <v>852</v>
      </c>
      <c r="H14" s="1186">
        <v>6</v>
      </c>
    </row>
    <row r="15" spans="1:8" x14ac:dyDescent="0.2">
      <c r="A15" s="1186" t="s">
        <v>19</v>
      </c>
      <c r="B15" s="1186" t="s">
        <v>868</v>
      </c>
      <c r="C15" s="1186" t="s">
        <v>1981</v>
      </c>
      <c r="D15" s="1186" t="s">
        <v>1982</v>
      </c>
      <c r="E15" s="1186" t="s">
        <v>2035</v>
      </c>
      <c r="F15" s="1186" t="s">
        <v>2033</v>
      </c>
      <c r="G15" s="1186" t="s">
        <v>828</v>
      </c>
      <c r="H15" s="1186">
        <v>14</v>
      </c>
    </row>
    <row r="16" spans="1:8" x14ac:dyDescent="0.2">
      <c r="A16" s="1186" t="s">
        <v>19</v>
      </c>
      <c r="B16" s="1186" t="s">
        <v>868</v>
      </c>
      <c r="C16" s="1186" t="s">
        <v>1981</v>
      </c>
      <c r="D16" s="1186" t="s">
        <v>1982</v>
      </c>
      <c r="E16" s="1186" t="s">
        <v>2035</v>
      </c>
      <c r="F16" s="1186" t="s">
        <v>2033</v>
      </c>
      <c r="G16" s="1186" t="s">
        <v>850</v>
      </c>
      <c r="H16" s="1186">
        <v>10</v>
      </c>
    </row>
    <row r="17" spans="1:8" x14ac:dyDescent="0.2">
      <c r="A17" s="1186" t="s">
        <v>19</v>
      </c>
      <c r="B17" s="1186" t="s">
        <v>868</v>
      </c>
      <c r="C17" s="1186" t="s">
        <v>1981</v>
      </c>
      <c r="D17" s="1186" t="s">
        <v>1982</v>
      </c>
      <c r="E17" s="1186" t="s">
        <v>2035</v>
      </c>
      <c r="F17" s="1186" t="s">
        <v>2033</v>
      </c>
      <c r="G17" s="1186" t="s">
        <v>851</v>
      </c>
      <c r="H17" s="1186">
        <v>139</v>
      </c>
    </row>
    <row r="18" spans="1:8" x14ac:dyDescent="0.2">
      <c r="A18" s="1186" t="s">
        <v>19</v>
      </c>
      <c r="B18" s="1186" t="s">
        <v>868</v>
      </c>
      <c r="C18" s="1186" t="s">
        <v>1981</v>
      </c>
      <c r="D18" s="1186" t="s">
        <v>1982</v>
      </c>
      <c r="E18" s="1186" t="s">
        <v>2035</v>
      </c>
      <c r="F18" s="1186" t="s">
        <v>2033</v>
      </c>
      <c r="G18" s="1186" t="s">
        <v>852</v>
      </c>
      <c r="H18" s="1186">
        <v>12</v>
      </c>
    </row>
    <row r="19" spans="1:8" x14ac:dyDescent="0.2">
      <c r="A19" s="1186" t="s">
        <v>19</v>
      </c>
      <c r="B19" s="1186" t="s">
        <v>868</v>
      </c>
      <c r="C19" s="1186" t="s">
        <v>1981</v>
      </c>
      <c r="D19" s="1186" t="s">
        <v>1982</v>
      </c>
      <c r="E19" s="1186" t="s">
        <v>2035</v>
      </c>
      <c r="F19" s="1186" t="s">
        <v>2034</v>
      </c>
      <c r="G19" s="1186" t="s">
        <v>828</v>
      </c>
      <c r="H19" s="1186">
        <v>66</v>
      </c>
    </row>
    <row r="20" spans="1:8" x14ac:dyDescent="0.2">
      <c r="A20" s="1186" t="s">
        <v>19</v>
      </c>
      <c r="B20" s="1186" t="s">
        <v>868</v>
      </c>
      <c r="C20" s="1186" t="s">
        <v>1981</v>
      </c>
      <c r="D20" s="1186" t="s">
        <v>1982</v>
      </c>
      <c r="E20" s="1186" t="s">
        <v>2035</v>
      </c>
      <c r="F20" s="1186" t="s">
        <v>2034</v>
      </c>
      <c r="G20" s="1186" t="s">
        <v>850</v>
      </c>
      <c r="H20" s="1186">
        <v>52</v>
      </c>
    </row>
    <row r="21" spans="1:8" x14ac:dyDescent="0.2">
      <c r="A21" s="1186" t="s">
        <v>19</v>
      </c>
      <c r="B21" s="1186" t="s">
        <v>868</v>
      </c>
      <c r="C21" s="1186" t="s">
        <v>1981</v>
      </c>
      <c r="D21" s="1186" t="s">
        <v>1982</v>
      </c>
      <c r="E21" s="1186" t="s">
        <v>2035</v>
      </c>
      <c r="F21" s="1186" t="s">
        <v>2034</v>
      </c>
      <c r="G21" s="1186" t="s">
        <v>851</v>
      </c>
      <c r="H21" s="1186">
        <v>25</v>
      </c>
    </row>
    <row r="22" spans="1:8" x14ac:dyDescent="0.2">
      <c r="A22" s="1186" t="s">
        <v>19</v>
      </c>
      <c r="B22" s="1186" t="s">
        <v>868</v>
      </c>
      <c r="C22" s="1186" t="s">
        <v>1981</v>
      </c>
      <c r="D22" s="1186" t="s">
        <v>1982</v>
      </c>
      <c r="E22" s="1186" t="s">
        <v>2035</v>
      </c>
      <c r="F22" s="1186" t="s">
        <v>2034</v>
      </c>
      <c r="G22" s="1186" t="s">
        <v>852</v>
      </c>
      <c r="H22" s="1186">
        <v>28</v>
      </c>
    </row>
    <row r="23" spans="1:8" x14ac:dyDescent="0.2">
      <c r="A23" s="1186" t="s">
        <v>19</v>
      </c>
      <c r="B23" s="1186" t="s">
        <v>869</v>
      </c>
      <c r="C23" s="1186" t="s">
        <v>1981</v>
      </c>
      <c r="D23" s="1186" t="s">
        <v>1982</v>
      </c>
      <c r="E23" s="1186" t="s">
        <v>2031</v>
      </c>
      <c r="F23" s="1186" t="s">
        <v>2032</v>
      </c>
      <c r="G23" s="1186" t="s">
        <v>828</v>
      </c>
      <c r="H23" s="1186">
        <v>4</v>
      </c>
    </row>
    <row r="24" spans="1:8" x14ac:dyDescent="0.2">
      <c r="A24" s="1186" t="s">
        <v>19</v>
      </c>
      <c r="B24" s="1186" t="s">
        <v>869</v>
      </c>
      <c r="C24" s="1186" t="s">
        <v>1981</v>
      </c>
      <c r="D24" s="1186" t="s">
        <v>1982</v>
      </c>
      <c r="E24" s="1186" t="s">
        <v>2031</v>
      </c>
      <c r="F24" s="1186" t="s">
        <v>2032</v>
      </c>
      <c r="G24" s="1186" t="s">
        <v>851</v>
      </c>
      <c r="H24" s="1186">
        <v>2</v>
      </c>
    </row>
    <row r="25" spans="1:8" x14ac:dyDescent="0.2">
      <c r="A25" s="1186" t="s">
        <v>19</v>
      </c>
      <c r="B25" s="1186" t="s">
        <v>869</v>
      </c>
      <c r="C25" s="1186" t="s">
        <v>1981</v>
      </c>
      <c r="D25" s="1186" t="s">
        <v>1982</v>
      </c>
      <c r="E25" s="1186" t="s">
        <v>2031</v>
      </c>
      <c r="F25" s="1186" t="s">
        <v>2033</v>
      </c>
      <c r="G25" s="1186" t="s">
        <v>828</v>
      </c>
      <c r="H25" s="1186">
        <v>75</v>
      </c>
    </row>
    <row r="26" spans="1:8" x14ac:dyDescent="0.2">
      <c r="A26" s="1186" t="s">
        <v>19</v>
      </c>
      <c r="B26" s="1186" t="s">
        <v>869</v>
      </c>
      <c r="C26" s="1186" t="s">
        <v>1981</v>
      </c>
      <c r="D26" s="1186" t="s">
        <v>1982</v>
      </c>
      <c r="E26" s="1186" t="s">
        <v>2031</v>
      </c>
      <c r="F26" s="1186" t="s">
        <v>2033</v>
      </c>
      <c r="G26" s="1186" t="s">
        <v>850</v>
      </c>
      <c r="H26" s="1186">
        <v>5</v>
      </c>
    </row>
    <row r="27" spans="1:8" x14ac:dyDescent="0.2">
      <c r="A27" s="1186" t="s">
        <v>19</v>
      </c>
      <c r="B27" s="1186" t="s">
        <v>869</v>
      </c>
      <c r="C27" s="1186" t="s">
        <v>1981</v>
      </c>
      <c r="D27" s="1186" t="s">
        <v>1982</v>
      </c>
      <c r="E27" s="1186" t="s">
        <v>2031</v>
      </c>
      <c r="F27" s="1186" t="s">
        <v>2033</v>
      </c>
      <c r="G27" s="1186" t="s">
        <v>851</v>
      </c>
      <c r="H27" s="1186">
        <v>14</v>
      </c>
    </row>
    <row r="28" spans="1:8" x14ac:dyDescent="0.2">
      <c r="A28" s="1186" t="s">
        <v>19</v>
      </c>
      <c r="B28" s="1186" t="s">
        <v>869</v>
      </c>
      <c r="C28" s="1186" t="s">
        <v>1981</v>
      </c>
      <c r="D28" s="1186" t="s">
        <v>1982</v>
      </c>
      <c r="E28" s="1186" t="s">
        <v>2031</v>
      </c>
      <c r="F28" s="1186" t="s">
        <v>2033</v>
      </c>
      <c r="G28" s="1186" t="s">
        <v>852</v>
      </c>
      <c r="H28" s="1186">
        <v>2</v>
      </c>
    </row>
    <row r="29" spans="1:8" x14ac:dyDescent="0.2">
      <c r="A29" s="1186" t="s">
        <v>19</v>
      </c>
      <c r="B29" s="1186" t="s">
        <v>869</v>
      </c>
      <c r="C29" s="1186" t="s">
        <v>1981</v>
      </c>
      <c r="D29" s="1186" t="s">
        <v>1982</v>
      </c>
      <c r="E29" s="1186" t="s">
        <v>2031</v>
      </c>
      <c r="F29" s="1186" t="s">
        <v>2034</v>
      </c>
      <c r="G29" s="1186" t="s">
        <v>828</v>
      </c>
      <c r="H29" s="1186">
        <v>28</v>
      </c>
    </row>
    <row r="30" spans="1:8" x14ac:dyDescent="0.2">
      <c r="A30" s="1186" t="s">
        <v>19</v>
      </c>
      <c r="B30" s="1186" t="s">
        <v>869</v>
      </c>
      <c r="C30" s="1186" t="s">
        <v>1981</v>
      </c>
      <c r="D30" s="1186" t="s">
        <v>1982</v>
      </c>
      <c r="E30" s="1186" t="s">
        <v>2031</v>
      </c>
      <c r="F30" s="1186" t="s">
        <v>2034</v>
      </c>
      <c r="G30" s="1186" t="s">
        <v>850</v>
      </c>
      <c r="H30" s="1186">
        <v>1</v>
      </c>
    </row>
    <row r="31" spans="1:8" x14ac:dyDescent="0.2">
      <c r="A31" s="1186" t="s">
        <v>19</v>
      </c>
      <c r="B31" s="1186" t="s">
        <v>869</v>
      </c>
      <c r="C31" s="1186" t="s">
        <v>1981</v>
      </c>
      <c r="D31" s="1186" t="s">
        <v>1982</v>
      </c>
      <c r="E31" s="1186" t="s">
        <v>2031</v>
      </c>
      <c r="F31" s="1186" t="s">
        <v>2034</v>
      </c>
      <c r="G31" s="1186" t="s">
        <v>851</v>
      </c>
      <c r="H31" s="1186">
        <v>1</v>
      </c>
    </row>
    <row r="32" spans="1:8" x14ac:dyDescent="0.2">
      <c r="A32" s="1186" t="s">
        <v>19</v>
      </c>
      <c r="B32" s="1186" t="s">
        <v>869</v>
      </c>
      <c r="C32" s="1186" t="s">
        <v>1981</v>
      </c>
      <c r="D32" s="1186" t="s">
        <v>1982</v>
      </c>
      <c r="E32" s="1186" t="s">
        <v>2035</v>
      </c>
      <c r="F32" s="1186" t="s">
        <v>2032</v>
      </c>
      <c r="G32" s="1186" t="s">
        <v>828</v>
      </c>
      <c r="H32" s="1186">
        <v>2</v>
      </c>
    </row>
    <row r="33" spans="1:8" x14ac:dyDescent="0.2">
      <c r="A33" s="1186" t="s">
        <v>19</v>
      </c>
      <c r="B33" s="1186" t="s">
        <v>869</v>
      </c>
      <c r="C33" s="1186" t="s">
        <v>1981</v>
      </c>
      <c r="D33" s="1186" t="s">
        <v>1982</v>
      </c>
      <c r="E33" s="1186" t="s">
        <v>2035</v>
      </c>
      <c r="F33" s="1186" t="s">
        <v>2032</v>
      </c>
      <c r="G33" s="1186" t="s">
        <v>851</v>
      </c>
      <c r="H33" s="1186">
        <v>8</v>
      </c>
    </row>
    <row r="34" spans="1:8" x14ac:dyDescent="0.2">
      <c r="A34" s="1186" t="s">
        <v>19</v>
      </c>
      <c r="B34" s="1186" t="s">
        <v>869</v>
      </c>
      <c r="C34" s="1186" t="s">
        <v>1981</v>
      </c>
      <c r="D34" s="1186" t="s">
        <v>1982</v>
      </c>
      <c r="E34" s="1186" t="s">
        <v>2035</v>
      </c>
      <c r="F34" s="1186" t="s">
        <v>2032</v>
      </c>
      <c r="G34" s="1186" t="s">
        <v>852</v>
      </c>
      <c r="H34" s="1186">
        <v>7</v>
      </c>
    </row>
    <row r="35" spans="1:8" x14ac:dyDescent="0.2">
      <c r="A35" s="1186" t="s">
        <v>19</v>
      </c>
      <c r="B35" s="1186" t="s">
        <v>869</v>
      </c>
      <c r="C35" s="1186" t="s">
        <v>1981</v>
      </c>
      <c r="D35" s="1186" t="s">
        <v>1982</v>
      </c>
      <c r="E35" s="1186" t="s">
        <v>2035</v>
      </c>
      <c r="F35" s="1186" t="s">
        <v>2033</v>
      </c>
      <c r="G35" s="1186" t="s">
        <v>828</v>
      </c>
      <c r="H35" s="1186">
        <v>6</v>
      </c>
    </row>
    <row r="36" spans="1:8" x14ac:dyDescent="0.2">
      <c r="A36" s="1186" t="s">
        <v>19</v>
      </c>
      <c r="B36" s="1186" t="s">
        <v>869</v>
      </c>
      <c r="C36" s="1186" t="s">
        <v>1981</v>
      </c>
      <c r="D36" s="1186" t="s">
        <v>1982</v>
      </c>
      <c r="E36" s="1186" t="s">
        <v>2035</v>
      </c>
      <c r="F36" s="1186" t="s">
        <v>2033</v>
      </c>
      <c r="G36" s="1186" t="s">
        <v>850</v>
      </c>
      <c r="H36" s="1186">
        <v>14</v>
      </c>
    </row>
    <row r="37" spans="1:8" x14ac:dyDescent="0.2">
      <c r="A37" s="1186" t="s">
        <v>19</v>
      </c>
      <c r="B37" s="1186" t="s">
        <v>869</v>
      </c>
      <c r="C37" s="1186" t="s">
        <v>1981</v>
      </c>
      <c r="D37" s="1186" t="s">
        <v>1982</v>
      </c>
      <c r="E37" s="1186" t="s">
        <v>2035</v>
      </c>
      <c r="F37" s="1186" t="s">
        <v>2033</v>
      </c>
      <c r="G37" s="1186" t="s">
        <v>851</v>
      </c>
      <c r="H37" s="1186">
        <v>223</v>
      </c>
    </row>
    <row r="38" spans="1:8" x14ac:dyDescent="0.2">
      <c r="A38" s="1186" t="s">
        <v>19</v>
      </c>
      <c r="B38" s="1186" t="s">
        <v>869</v>
      </c>
      <c r="C38" s="1186" t="s">
        <v>1981</v>
      </c>
      <c r="D38" s="1186" t="s">
        <v>1982</v>
      </c>
      <c r="E38" s="1186" t="s">
        <v>2035</v>
      </c>
      <c r="F38" s="1186" t="s">
        <v>2033</v>
      </c>
      <c r="G38" s="1186" t="s">
        <v>852</v>
      </c>
      <c r="H38" s="1186">
        <v>26</v>
      </c>
    </row>
    <row r="39" spans="1:8" x14ac:dyDescent="0.2">
      <c r="A39" s="1186" t="s">
        <v>19</v>
      </c>
      <c r="B39" s="1186" t="s">
        <v>869</v>
      </c>
      <c r="C39" s="1186" t="s">
        <v>1981</v>
      </c>
      <c r="D39" s="1186" t="s">
        <v>1982</v>
      </c>
      <c r="E39" s="1186" t="s">
        <v>2035</v>
      </c>
      <c r="F39" s="1186" t="s">
        <v>2034</v>
      </c>
      <c r="G39" s="1186" t="s">
        <v>828</v>
      </c>
      <c r="H39" s="1186">
        <v>62</v>
      </c>
    </row>
    <row r="40" spans="1:8" x14ac:dyDescent="0.2">
      <c r="A40" s="1186" t="s">
        <v>19</v>
      </c>
      <c r="B40" s="1186" t="s">
        <v>869</v>
      </c>
      <c r="C40" s="1186" t="s">
        <v>1981</v>
      </c>
      <c r="D40" s="1186" t="s">
        <v>1982</v>
      </c>
      <c r="E40" s="1186" t="s">
        <v>2035</v>
      </c>
      <c r="F40" s="1186" t="s">
        <v>2034</v>
      </c>
      <c r="G40" s="1186" t="s">
        <v>850</v>
      </c>
      <c r="H40" s="1186">
        <v>62</v>
      </c>
    </row>
    <row r="41" spans="1:8" x14ac:dyDescent="0.2">
      <c r="A41" s="1186" t="s">
        <v>19</v>
      </c>
      <c r="B41" s="1186" t="s">
        <v>869</v>
      </c>
      <c r="C41" s="1186" t="s">
        <v>1981</v>
      </c>
      <c r="D41" s="1186" t="s">
        <v>1982</v>
      </c>
      <c r="E41" s="1186" t="s">
        <v>2035</v>
      </c>
      <c r="F41" s="1186" t="s">
        <v>2034</v>
      </c>
      <c r="G41" s="1186" t="s">
        <v>851</v>
      </c>
      <c r="H41" s="1186">
        <v>36</v>
      </c>
    </row>
    <row r="42" spans="1:8" x14ac:dyDescent="0.2">
      <c r="A42" s="1186" t="s">
        <v>19</v>
      </c>
      <c r="B42" s="1186" t="s">
        <v>869</v>
      </c>
      <c r="C42" s="1186" t="s">
        <v>1981</v>
      </c>
      <c r="D42" s="1186" t="s">
        <v>1982</v>
      </c>
      <c r="E42" s="1186" t="s">
        <v>2035</v>
      </c>
      <c r="F42" s="1186" t="s">
        <v>2034</v>
      </c>
      <c r="G42" s="1186" t="s">
        <v>852</v>
      </c>
      <c r="H42" s="1186">
        <v>39</v>
      </c>
    </row>
    <row r="43" spans="1:8" x14ac:dyDescent="0.2">
      <c r="A43" s="1186" t="s">
        <v>19</v>
      </c>
      <c r="B43" s="1186" t="s">
        <v>870</v>
      </c>
      <c r="C43" s="1186" t="s">
        <v>1983</v>
      </c>
      <c r="D43" s="1186" t="s">
        <v>1982</v>
      </c>
      <c r="E43" s="1186" t="s">
        <v>2031</v>
      </c>
      <c r="F43" s="1186" t="s">
        <v>2032</v>
      </c>
      <c r="G43" s="1186" t="s">
        <v>828</v>
      </c>
      <c r="H43" s="1186">
        <v>1</v>
      </c>
    </row>
    <row r="44" spans="1:8" x14ac:dyDescent="0.2">
      <c r="A44" s="1186" t="s">
        <v>19</v>
      </c>
      <c r="B44" s="1186" t="s">
        <v>870</v>
      </c>
      <c r="C44" s="1186" t="s">
        <v>1983</v>
      </c>
      <c r="D44" s="1186" t="s">
        <v>1982</v>
      </c>
      <c r="E44" s="1186" t="s">
        <v>2031</v>
      </c>
      <c r="F44" s="1186" t="s">
        <v>2032</v>
      </c>
      <c r="G44" s="1186" t="s">
        <v>851</v>
      </c>
      <c r="H44" s="1186">
        <v>2</v>
      </c>
    </row>
    <row r="45" spans="1:8" x14ac:dyDescent="0.2">
      <c r="A45" s="1186" t="s">
        <v>19</v>
      </c>
      <c r="B45" s="1186" t="s">
        <v>870</v>
      </c>
      <c r="C45" s="1186" t="s">
        <v>1983</v>
      </c>
      <c r="D45" s="1186" t="s">
        <v>1982</v>
      </c>
      <c r="E45" s="1186" t="s">
        <v>2031</v>
      </c>
      <c r="F45" s="1186" t="s">
        <v>2033</v>
      </c>
      <c r="G45" s="1186" t="s">
        <v>828</v>
      </c>
      <c r="H45" s="1186">
        <v>70</v>
      </c>
    </row>
    <row r="46" spans="1:8" x14ac:dyDescent="0.2">
      <c r="A46" s="1186" t="s">
        <v>19</v>
      </c>
      <c r="B46" s="1186" t="s">
        <v>870</v>
      </c>
      <c r="C46" s="1186" t="s">
        <v>1983</v>
      </c>
      <c r="D46" s="1186" t="s">
        <v>1982</v>
      </c>
      <c r="E46" s="1186" t="s">
        <v>2031</v>
      </c>
      <c r="F46" s="1186" t="s">
        <v>2033</v>
      </c>
      <c r="G46" s="1186" t="s">
        <v>850</v>
      </c>
      <c r="H46" s="1186">
        <v>10</v>
      </c>
    </row>
    <row r="47" spans="1:8" x14ac:dyDescent="0.2">
      <c r="A47" s="1186" t="s">
        <v>19</v>
      </c>
      <c r="B47" s="1186" t="s">
        <v>870</v>
      </c>
      <c r="C47" s="1186" t="s">
        <v>1983</v>
      </c>
      <c r="D47" s="1186" t="s">
        <v>1982</v>
      </c>
      <c r="E47" s="1186" t="s">
        <v>2031</v>
      </c>
      <c r="F47" s="1186" t="s">
        <v>2033</v>
      </c>
      <c r="G47" s="1186" t="s">
        <v>851</v>
      </c>
      <c r="H47" s="1186">
        <v>3</v>
      </c>
    </row>
    <row r="48" spans="1:8" x14ac:dyDescent="0.2">
      <c r="A48" s="1186" t="s">
        <v>19</v>
      </c>
      <c r="B48" s="1186" t="s">
        <v>870</v>
      </c>
      <c r="C48" s="1186" t="s">
        <v>1983</v>
      </c>
      <c r="D48" s="1186" t="s">
        <v>1982</v>
      </c>
      <c r="E48" s="1186" t="s">
        <v>2031</v>
      </c>
      <c r="F48" s="1186" t="s">
        <v>2033</v>
      </c>
      <c r="G48" s="1186" t="s">
        <v>852</v>
      </c>
      <c r="H48" s="1186">
        <v>8</v>
      </c>
    </row>
    <row r="49" spans="1:8" x14ac:dyDescent="0.2">
      <c r="A49" s="1186" t="s">
        <v>19</v>
      </c>
      <c r="B49" s="1186" t="s">
        <v>870</v>
      </c>
      <c r="C49" s="1186" t="s">
        <v>1983</v>
      </c>
      <c r="D49" s="1186" t="s">
        <v>1982</v>
      </c>
      <c r="E49" s="1186" t="s">
        <v>2031</v>
      </c>
      <c r="F49" s="1186" t="s">
        <v>2034</v>
      </c>
      <c r="G49" s="1186" t="s">
        <v>828</v>
      </c>
      <c r="H49" s="1186">
        <v>35</v>
      </c>
    </row>
    <row r="50" spans="1:8" x14ac:dyDescent="0.2">
      <c r="A50" s="1186" t="s">
        <v>19</v>
      </c>
      <c r="B50" s="1186" t="s">
        <v>870</v>
      </c>
      <c r="C50" s="1186" t="s">
        <v>1983</v>
      </c>
      <c r="D50" s="1186" t="s">
        <v>1982</v>
      </c>
      <c r="E50" s="1186" t="s">
        <v>2031</v>
      </c>
      <c r="F50" s="1186" t="s">
        <v>2034</v>
      </c>
      <c r="G50" s="1186" t="s">
        <v>850</v>
      </c>
      <c r="H50" s="1186">
        <v>3</v>
      </c>
    </row>
    <row r="51" spans="1:8" x14ac:dyDescent="0.2">
      <c r="A51" s="1186" t="s">
        <v>19</v>
      </c>
      <c r="B51" s="1186" t="s">
        <v>870</v>
      </c>
      <c r="C51" s="1186" t="s">
        <v>1983</v>
      </c>
      <c r="D51" s="1186" t="s">
        <v>1982</v>
      </c>
      <c r="E51" s="1186" t="s">
        <v>2035</v>
      </c>
      <c r="F51" s="1186" t="s">
        <v>2032</v>
      </c>
      <c r="G51" s="1186" t="s">
        <v>828</v>
      </c>
      <c r="H51" s="1186">
        <v>2</v>
      </c>
    </row>
    <row r="52" spans="1:8" x14ac:dyDescent="0.2">
      <c r="A52" s="1186" t="s">
        <v>19</v>
      </c>
      <c r="B52" s="1186" t="s">
        <v>870</v>
      </c>
      <c r="C52" s="1186" t="s">
        <v>1983</v>
      </c>
      <c r="D52" s="1186" t="s">
        <v>1982</v>
      </c>
      <c r="E52" s="1186" t="s">
        <v>2035</v>
      </c>
      <c r="F52" s="1186" t="s">
        <v>2032</v>
      </c>
      <c r="G52" s="1186" t="s">
        <v>851</v>
      </c>
      <c r="H52" s="1186">
        <v>13</v>
      </c>
    </row>
    <row r="53" spans="1:8" x14ac:dyDescent="0.2">
      <c r="A53" s="1186" t="s">
        <v>19</v>
      </c>
      <c r="B53" s="1186" t="s">
        <v>870</v>
      </c>
      <c r="C53" s="1186" t="s">
        <v>1983</v>
      </c>
      <c r="D53" s="1186" t="s">
        <v>1982</v>
      </c>
      <c r="E53" s="1186" t="s">
        <v>2035</v>
      </c>
      <c r="F53" s="1186" t="s">
        <v>2032</v>
      </c>
      <c r="G53" s="1186" t="s">
        <v>852</v>
      </c>
      <c r="H53" s="1186">
        <v>5</v>
      </c>
    </row>
    <row r="54" spans="1:8" x14ac:dyDescent="0.2">
      <c r="A54" s="1186" t="s">
        <v>19</v>
      </c>
      <c r="B54" s="1186" t="s">
        <v>870</v>
      </c>
      <c r="C54" s="1186" t="s">
        <v>1983</v>
      </c>
      <c r="D54" s="1186" t="s">
        <v>1982</v>
      </c>
      <c r="E54" s="1186" t="s">
        <v>2035</v>
      </c>
      <c r="F54" s="1186" t="s">
        <v>2033</v>
      </c>
      <c r="G54" s="1186" t="s">
        <v>828</v>
      </c>
      <c r="H54" s="1186">
        <v>11</v>
      </c>
    </row>
    <row r="55" spans="1:8" x14ac:dyDescent="0.2">
      <c r="A55" s="1186" t="s">
        <v>19</v>
      </c>
      <c r="B55" s="1186" t="s">
        <v>870</v>
      </c>
      <c r="C55" s="1186" t="s">
        <v>1983</v>
      </c>
      <c r="D55" s="1186" t="s">
        <v>1982</v>
      </c>
      <c r="E55" s="1186" t="s">
        <v>2035</v>
      </c>
      <c r="F55" s="1186" t="s">
        <v>2033</v>
      </c>
      <c r="G55" s="1186" t="s">
        <v>850</v>
      </c>
      <c r="H55" s="1186">
        <v>15</v>
      </c>
    </row>
    <row r="56" spans="1:8" x14ac:dyDescent="0.2">
      <c r="A56" s="1186" t="s">
        <v>19</v>
      </c>
      <c r="B56" s="1186" t="s">
        <v>870</v>
      </c>
      <c r="C56" s="1186" t="s">
        <v>1983</v>
      </c>
      <c r="D56" s="1186" t="s">
        <v>1982</v>
      </c>
      <c r="E56" s="1186" t="s">
        <v>2035</v>
      </c>
      <c r="F56" s="1186" t="s">
        <v>2033</v>
      </c>
      <c r="G56" s="1186" t="s">
        <v>851</v>
      </c>
      <c r="H56" s="1186">
        <v>239</v>
      </c>
    </row>
    <row r="57" spans="1:8" x14ac:dyDescent="0.2">
      <c r="A57" s="1186" t="s">
        <v>19</v>
      </c>
      <c r="B57" s="1186" t="s">
        <v>870</v>
      </c>
      <c r="C57" s="1186" t="s">
        <v>1983</v>
      </c>
      <c r="D57" s="1186" t="s">
        <v>1982</v>
      </c>
      <c r="E57" s="1186" t="s">
        <v>2035</v>
      </c>
      <c r="F57" s="1186" t="s">
        <v>2033</v>
      </c>
      <c r="G57" s="1186" t="s">
        <v>852</v>
      </c>
      <c r="H57" s="1186">
        <v>32</v>
      </c>
    </row>
    <row r="58" spans="1:8" x14ac:dyDescent="0.2">
      <c r="A58" s="1186" t="s">
        <v>19</v>
      </c>
      <c r="B58" s="1186" t="s">
        <v>870</v>
      </c>
      <c r="C58" s="1186" t="s">
        <v>1983</v>
      </c>
      <c r="D58" s="1186" t="s">
        <v>1982</v>
      </c>
      <c r="E58" s="1186" t="s">
        <v>2035</v>
      </c>
      <c r="F58" s="1186" t="s">
        <v>2034</v>
      </c>
      <c r="G58" s="1186" t="s">
        <v>828</v>
      </c>
      <c r="H58" s="1186">
        <v>77</v>
      </c>
    </row>
    <row r="59" spans="1:8" x14ac:dyDescent="0.2">
      <c r="A59" s="1186" t="s">
        <v>19</v>
      </c>
      <c r="B59" s="1186" t="s">
        <v>870</v>
      </c>
      <c r="C59" s="1186" t="s">
        <v>1983</v>
      </c>
      <c r="D59" s="1186" t="s">
        <v>1982</v>
      </c>
      <c r="E59" s="1186" t="s">
        <v>2035</v>
      </c>
      <c r="F59" s="1186" t="s">
        <v>2034</v>
      </c>
      <c r="G59" s="1186" t="s">
        <v>850</v>
      </c>
      <c r="H59" s="1186">
        <v>51</v>
      </c>
    </row>
    <row r="60" spans="1:8" x14ac:dyDescent="0.2">
      <c r="A60" s="1186" t="s">
        <v>19</v>
      </c>
      <c r="B60" s="1186" t="s">
        <v>870</v>
      </c>
      <c r="C60" s="1186" t="s">
        <v>1983</v>
      </c>
      <c r="D60" s="1186" t="s">
        <v>1982</v>
      </c>
      <c r="E60" s="1186" t="s">
        <v>2035</v>
      </c>
      <c r="F60" s="1186" t="s">
        <v>2034</v>
      </c>
      <c r="G60" s="1186" t="s">
        <v>851</v>
      </c>
      <c r="H60" s="1186">
        <v>34</v>
      </c>
    </row>
    <row r="61" spans="1:8" x14ac:dyDescent="0.2">
      <c r="A61" s="1186" t="s">
        <v>19</v>
      </c>
      <c r="B61" s="1186" t="s">
        <v>870</v>
      </c>
      <c r="C61" s="1186" t="s">
        <v>1983</v>
      </c>
      <c r="D61" s="1186" t="s">
        <v>1982</v>
      </c>
      <c r="E61" s="1186" t="s">
        <v>2035</v>
      </c>
      <c r="F61" s="1186" t="s">
        <v>2034</v>
      </c>
      <c r="G61" s="1186" t="s">
        <v>852</v>
      </c>
      <c r="H61" s="1186">
        <v>34</v>
      </c>
    </row>
    <row r="62" spans="1:8" x14ac:dyDescent="0.2">
      <c r="A62" s="1186" t="s">
        <v>19</v>
      </c>
      <c r="B62" s="1186" t="s">
        <v>871</v>
      </c>
      <c r="C62" s="1186" t="s">
        <v>1983</v>
      </c>
      <c r="D62" s="1186" t="s">
        <v>1984</v>
      </c>
      <c r="E62" s="1186" t="s">
        <v>2031</v>
      </c>
      <c r="F62" s="1186" t="s">
        <v>2032</v>
      </c>
      <c r="G62" s="1186" t="s">
        <v>828</v>
      </c>
      <c r="H62" s="1186">
        <v>6</v>
      </c>
    </row>
    <row r="63" spans="1:8" x14ac:dyDescent="0.2">
      <c r="A63" s="1186" t="s">
        <v>19</v>
      </c>
      <c r="B63" s="1186" t="s">
        <v>871</v>
      </c>
      <c r="C63" s="1186" t="s">
        <v>1983</v>
      </c>
      <c r="D63" s="1186" t="s">
        <v>1984</v>
      </c>
      <c r="E63" s="1186" t="s">
        <v>2031</v>
      </c>
      <c r="F63" s="1186" t="s">
        <v>2032</v>
      </c>
      <c r="G63" s="1186" t="s">
        <v>850</v>
      </c>
      <c r="H63" s="1186">
        <v>1</v>
      </c>
    </row>
    <row r="64" spans="1:8" x14ac:dyDescent="0.2">
      <c r="A64" s="1186" t="s">
        <v>19</v>
      </c>
      <c r="B64" s="1186" t="s">
        <v>871</v>
      </c>
      <c r="C64" s="1186" t="s">
        <v>1983</v>
      </c>
      <c r="D64" s="1186" t="s">
        <v>1984</v>
      </c>
      <c r="E64" s="1186" t="s">
        <v>2031</v>
      </c>
      <c r="F64" s="1186" t="s">
        <v>2033</v>
      </c>
      <c r="G64" s="1186" t="s">
        <v>828</v>
      </c>
      <c r="H64" s="1186">
        <v>96</v>
      </c>
    </row>
    <row r="65" spans="1:8" x14ac:dyDescent="0.2">
      <c r="A65" s="1186" t="s">
        <v>19</v>
      </c>
      <c r="B65" s="1186" t="s">
        <v>871</v>
      </c>
      <c r="C65" s="1186" t="s">
        <v>1983</v>
      </c>
      <c r="D65" s="1186" t="s">
        <v>1984</v>
      </c>
      <c r="E65" s="1186" t="s">
        <v>2031</v>
      </c>
      <c r="F65" s="1186" t="s">
        <v>2033</v>
      </c>
      <c r="G65" s="1186" t="s">
        <v>850</v>
      </c>
      <c r="H65" s="1186">
        <v>9</v>
      </c>
    </row>
    <row r="66" spans="1:8" x14ac:dyDescent="0.2">
      <c r="A66" s="1186" t="s">
        <v>19</v>
      </c>
      <c r="B66" s="1186" t="s">
        <v>871</v>
      </c>
      <c r="C66" s="1186" t="s">
        <v>1983</v>
      </c>
      <c r="D66" s="1186" t="s">
        <v>1984</v>
      </c>
      <c r="E66" s="1186" t="s">
        <v>2031</v>
      </c>
      <c r="F66" s="1186" t="s">
        <v>2033</v>
      </c>
      <c r="G66" s="1186" t="s">
        <v>851</v>
      </c>
      <c r="H66" s="1186">
        <v>4</v>
      </c>
    </row>
    <row r="67" spans="1:8" x14ac:dyDescent="0.2">
      <c r="A67" s="1186" t="s">
        <v>19</v>
      </c>
      <c r="B67" s="1186" t="s">
        <v>871</v>
      </c>
      <c r="C67" s="1186" t="s">
        <v>1983</v>
      </c>
      <c r="D67" s="1186" t="s">
        <v>1984</v>
      </c>
      <c r="E67" s="1186" t="s">
        <v>2031</v>
      </c>
      <c r="F67" s="1186" t="s">
        <v>2034</v>
      </c>
      <c r="G67" s="1186" t="s">
        <v>828</v>
      </c>
      <c r="H67" s="1186">
        <v>56</v>
      </c>
    </row>
    <row r="68" spans="1:8" x14ac:dyDescent="0.2">
      <c r="A68" s="1186" t="s">
        <v>19</v>
      </c>
      <c r="B68" s="1186" t="s">
        <v>871</v>
      </c>
      <c r="C68" s="1186" t="s">
        <v>1983</v>
      </c>
      <c r="D68" s="1186" t="s">
        <v>1984</v>
      </c>
      <c r="E68" s="1186" t="s">
        <v>2031</v>
      </c>
      <c r="F68" s="1186" t="s">
        <v>2034</v>
      </c>
      <c r="G68" s="1186" t="s">
        <v>850</v>
      </c>
      <c r="H68" s="1186">
        <v>20</v>
      </c>
    </row>
    <row r="69" spans="1:8" x14ac:dyDescent="0.2">
      <c r="A69" s="1186" t="s">
        <v>19</v>
      </c>
      <c r="B69" s="1186" t="s">
        <v>871</v>
      </c>
      <c r="C69" s="1186" t="s">
        <v>1983</v>
      </c>
      <c r="D69" s="1186" t="s">
        <v>1984</v>
      </c>
      <c r="E69" s="1186" t="s">
        <v>2031</v>
      </c>
      <c r="F69" s="1186" t="s">
        <v>2034</v>
      </c>
      <c r="G69" s="1186" t="s">
        <v>851</v>
      </c>
      <c r="H69" s="1186">
        <v>1</v>
      </c>
    </row>
    <row r="70" spans="1:8" x14ac:dyDescent="0.2">
      <c r="A70" s="1186" t="s">
        <v>19</v>
      </c>
      <c r="B70" s="1186" t="s">
        <v>871</v>
      </c>
      <c r="C70" s="1186" t="s">
        <v>1983</v>
      </c>
      <c r="D70" s="1186" t="s">
        <v>1984</v>
      </c>
      <c r="E70" s="1186" t="s">
        <v>2031</v>
      </c>
      <c r="F70" s="1186" t="s">
        <v>2034</v>
      </c>
      <c r="G70" s="1186" t="s">
        <v>852</v>
      </c>
      <c r="H70" s="1186">
        <v>1</v>
      </c>
    </row>
    <row r="71" spans="1:8" x14ac:dyDescent="0.2">
      <c r="A71" s="1186" t="s">
        <v>19</v>
      </c>
      <c r="B71" s="1186" t="s">
        <v>871</v>
      </c>
      <c r="C71" s="1186" t="s">
        <v>1983</v>
      </c>
      <c r="D71" s="1186" t="s">
        <v>1984</v>
      </c>
      <c r="E71" s="1186" t="s">
        <v>2035</v>
      </c>
      <c r="F71" s="1186" t="s">
        <v>2032</v>
      </c>
      <c r="G71" s="1186" t="s">
        <v>828</v>
      </c>
      <c r="H71" s="1186">
        <v>1</v>
      </c>
    </row>
    <row r="72" spans="1:8" x14ac:dyDescent="0.2">
      <c r="A72" s="1186" t="s">
        <v>19</v>
      </c>
      <c r="B72" s="1186" t="s">
        <v>871</v>
      </c>
      <c r="C72" s="1186" t="s">
        <v>1983</v>
      </c>
      <c r="D72" s="1186" t="s">
        <v>1984</v>
      </c>
      <c r="E72" s="1186" t="s">
        <v>2035</v>
      </c>
      <c r="F72" s="1186" t="s">
        <v>2032</v>
      </c>
      <c r="G72" s="1186" t="s">
        <v>851</v>
      </c>
      <c r="H72" s="1186">
        <v>16</v>
      </c>
    </row>
    <row r="73" spans="1:8" x14ac:dyDescent="0.2">
      <c r="A73" s="1186" t="s">
        <v>19</v>
      </c>
      <c r="B73" s="1186" t="s">
        <v>871</v>
      </c>
      <c r="C73" s="1186" t="s">
        <v>1983</v>
      </c>
      <c r="D73" s="1186" t="s">
        <v>1984</v>
      </c>
      <c r="E73" s="1186" t="s">
        <v>2035</v>
      </c>
      <c r="F73" s="1186" t="s">
        <v>2032</v>
      </c>
      <c r="G73" s="1186" t="s">
        <v>852</v>
      </c>
      <c r="H73" s="1186">
        <v>7</v>
      </c>
    </row>
    <row r="74" spans="1:8" x14ac:dyDescent="0.2">
      <c r="A74" s="1186" t="s">
        <v>19</v>
      </c>
      <c r="B74" s="1186" t="s">
        <v>871</v>
      </c>
      <c r="C74" s="1186" t="s">
        <v>1983</v>
      </c>
      <c r="D74" s="1186" t="s">
        <v>1984</v>
      </c>
      <c r="E74" s="1186" t="s">
        <v>2035</v>
      </c>
      <c r="F74" s="1186" t="s">
        <v>2033</v>
      </c>
      <c r="G74" s="1186" t="s">
        <v>828</v>
      </c>
      <c r="H74" s="1186">
        <v>11</v>
      </c>
    </row>
    <row r="75" spans="1:8" x14ac:dyDescent="0.2">
      <c r="A75" s="1186" t="s">
        <v>19</v>
      </c>
      <c r="B75" s="1186" t="s">
        <v>871</v>
      </c>
      <c r="C75" s="1186" t="s">
        <v>1983</v>
      </c>
      <c r="D75" s="1186" t="s">
        <v>1984</v>
      </c>
      <c r="E75" s="1186" t="s">
        <v>2035</v>
      </c>
      <c r="F75" s="1186" t="s">
        <v>2033</v>
      </c>
      <c r="G75" s="1186" t="s">
        <v>850</v>
      </c>
      <c r="H75" s="1186">
        <v>7</v>
      </c>
    </row>
    <row r="76" spans="1:8" x14ac:dyDescent="0.2">
      <c r="A76" s="1186" t="s">
        <v>19</v>
      </c>
      <c r="B76" s="1186" t="s">
        <v>871</v>
      </c>
      <c r="C76" s="1186" t="s">
        <v>1983</v>
      </c>
      <c r="D76" s="1186" t="s">
        <v>1984</v>
      </c>
      <c r="E76" s="1186" t="s">
        <v>2035</v>
      </c>
      <c r="F76" s="1186" t="s">
        <v>2033</v>
      </c>
      <c r="G76" s="1186" t="s">
        <v>851</v>
      </c>
      <c r="H76" s="1186">
        <v>249</v>
      </c>
    </row>
    <row r="77" spans="1:8" x14ac:dyDescent="0.2">
      <c r="A77" s="1186" t="s">
        <v>19</v>
      </c>
      <c r="B77" s="1186" t="s">
        <v>871</v>
      </c>
      <c r="C77" s="1186" t="s">
        <v>1983</v>
      </c>
      <c r="D77" s="1186" t="s">
        <v>1984</v>
      </c>
      <c r="E77" s="1186" t="s">
        <v>2035</v>
      </c>
      <c r="F77" s="1186" t="s">
        <v>2033</v>
      </c>
      <c r="G77" s="1186" t="s">
        <v>852</v>
      </c>
      <c r="H77" s="1186">
        <v>29</v>
      </c>
    </row>
    <row r="78" spans="1:8" x14ac:dyDescent="0.2">
      <c r="A78" s="1186" t="s">
        <v>19</v>
      </c>
      <c r="B78" s="1186" t="s">
        <v>871</v>
      </c>
      <c r="C78" s="1186" t="s">
        <v>1983</v>
      </c>
      <c r="D78" s="1186" t="s">
        <v>1984</v>
      </c>
      <c r="E78" s="1186" t="s">
        <v>2035</v>
      </c>
      <c r="F78" s="1186" t="s">
        <v>2034</v>
      </c>
      <c r="G78" s="1186" t="s">
        <v>828</v>
      </c>
      <c r="H78" s="1186">
        <v>86</v>
      </c>
    </row>
    <row r="79" spans="1:8" x14ac:dyDescent="0.2">
      <c r="A79" s="1186" t="s">
        <v>19</v>
      </c>
      <c r="B79" s="1186" t="s">
        <v>871</v>
      </c>
      <c r="C79" s="1186" t="s">
        <v>1983</v>
      </c>
      <c r="D79" s="1186" t="s">
        <v>1984</v>
      </c>
      <c r="E79" s="1186" t="s">
        <v>2035</v>
      </c>
      <c r="F79" s="1186" t="s">
        <v>2034</v>
      </c>
      <c r="G79" s="1186" t="s">
        <v>850</v>
      </c>
      <c r="H79" s="1186">
        <v>76</v>
      </c>
    </row>
    <row r="80" spans="1:8" x14ac:dyDescent="0.2">
      <c r="A80" s="1186" t="s">
        <v>19</v>
      </c>
      <c r="B80" s="1186" t="s">
        <v>871</v>
      </c>
      <c r="C80" s="1186" t="s">
        <v>1983</v>
      </c>
      <c r="D80" s="1186" t="s">
        <v>1984</v>
      </c>
      <c r="E80" s="1186" t="s">
        <v>2035</v>
      </c>
      <c r="F80" s="1186" t="s">
        <v>2034</v>
      </c>
      <c r="G80" s="1186" t="s">
        <v>851</v>
      </c>
      <c r="H80" s="1186">
        <v>53</v>
      </c>
    </row>
    <row r="81" spans="1:8" x14ac:dyDescent="0.2">
      <c r="A81" s="1186" t="s">
        <v>19</v>
      </c>
      <c r="B81" s="1186" t="s">
        <v>871</v>
      </c>
      <c r="C81" s="1186" t="s">
        <v>1983</v>
      </c>
      <c r="D81" s="1186" t="s">
        <v>1984</v>
      </c>
      <c r="E81" s="1186" t="s">
        <v>2035</v>
      </c>
      <c r="F81" s="1186" t="s">
        <v>2034</v>
      </c>
      <c r="G81" s="1186" t="s">
        <v>852</v>
      </c>
      <c r="H81" s="1186">
        <v>51</v>
      </c>
    </row>
    <row r="82" spans="1:8" x14ac:dyDescent="0.2">
      <c r="A82" s="1186" t="s">
        <v>19</v>
      </c>
      <c r="B82" s="1186" t="s">
        <v>872</v>
      </c>
      <c r="C82" s="1186" t="s">
        <v>1983</v>
      </c>
      <c r="D82" s="1186" t="s">
        <v>1984</v>
      </c>
      <c r="E82" s="1186" t="s">
        <v>2031</v>
      </c>
      <c r="F82" s="1186" t="s">
        <v>2032</v>
      </c>
      <c r="G82" s="1186" t="s">
        <v>828</v>
      </c>
      <c r="H82" s="1186">
        <v>3</v>
      </c>
    </row>
    <row r="83" spans="1:8" x14ac:dyDescent="0.2">
      <c r="A83" s="1186" t="s">
        <v>19</v>
      </c>
      <c r="B83" s="1186" t="s">
        <v>872</v>
      </c>
      <c r="C83" s="1186" t="s">
        <v>1983</v>
      </c>
      <c r="D83" s="1186" t="s">
        <v>1984</v>
      </c>
      <c r="E83" s="1186" t="s">
        <v>2031</v>
      </c>
      <c r="F83" s="1186" t="s">
        <v>2033</v>
      </c>
      <c r="G83" s="1186" t="s">
        <v>828</v>
      </c>
      <c r="H83" s="1186">
        <v>81</v>
      </c>
    </row>
    <row r="84" spans="1:8" x14ac:dyDescent="0.2">
      <c r="A84" s="1186" t="s">
        <v>19</v>
      </c>
      <c r="B84" s="1186" t="s">
        <v>872</v>
      </c>
      <c r="C84" s="1186" t="s">
        <v>1983</v>
      </c>
      <c r="D84" s="1186" t="s">
        <v>1984</v>
      </c>
      <c r="E84" s="1186" t="s">
        <v>2031</v>
      </c>
      <c r="F84" s="1186" t="s">
        <v>2033</v>
      </c>
      <c r="G84" s="1186" t="s">
        <v>850</v>
      </c>
      <c r="H84" s="1186">
        <v>6</v>
      </c>
    </row>
    <row r="85" spans="1:8" x14ac:dyDescent="0.2">
      <c r="A85" s="1186" t="s">
        <v>19</v>
      </c>
      <c r="B85" s="1186" t="s">
        <v>872</v>
      </c>
      <c r="C85" s="1186" t="s">
        <v>1983</v>
      </c>
      <c r="D85" s="1186" t="s">
        <v>1984</v>
      </c>
      <c r="E85" s="1186" t="s">
        <v>2031</v>
      </c>
      <c r="F85" s="1186" t="s">
        <v>2033</v>
      </c>
      <c r="G85" s="1186" t="s">
        <v>851</v>
      </c>
      <c r="H85" s="1186">
        <v>9</v>
      </c>
    </row>
    <row r="86" spans="1:8" x14ac:dyDescent="0.2">
      <c r="A86" s="1186" t="s">
        <v>19</v>
      </c>
      <c r="B86" s="1186" t="s">
        <v>872</v>
      </c>
      <c r="C86" s="1186" t="s">
        <v>1983</v>
      </c>
      <c r="D86" s="1186" t="s">
        <v>1984</v>
      </c>
      <c r="E86" s="1186" t="s">
        <v>2031</v>
      </c>
      <c r="F86" s="1186" t="s">
        <v>2033</v>
      </c>
      <c r="G86" s="1186" t="s">
        <v>852</v>
      </c>
      <c r="H86" s="1186">
        <v>3</v>
      </c>
    </row>
    <row r="87" spans="1:8" x14ac:dyDescent="0.2">
      <c r="A87" s="1186" t="s">
        <v>19</v>
      </c>
      <c r="B87" s="1186" t="s">
        <v>872</v>
      </c>
      <c r="C87" s="1186" t="s">
        <v>1983</v>
      </c>
      <c r="D87" s="1186" t="s">
        <v>1984</v>
      </c>
      <c r="E87" s="1186" t="s">
        <v>2031</v>
      </c>
      <c r="F87" s="1186" t="s">
        <v>2034</v>
      </c>
      <c r="G87" s="1186" t="s">
        <v>828</v>
      </c>
      <c r="H87" s="1186">
        <v>36</v>
      </c>
    </row>
    <row r="88" spans="1:8" x14ac:dyDescent="0.2">
      <c r="A88" s="1186" t="s">
        <v>19</v>
      </c>
      <c r="B88" s="1186" t="s">
        <v>872</v>
      </c>
      <c r="C88" s="1186" t="s">
        <v>1983</v>
      </c>
      <c r="D88" s="1186" t="s">
        <v>1984</v>
      </c>
      <c r="E88" s="1186" t="s">
        <v>2031</v>
      </c>
      <c r="F88" s="1186" t="s">
        <v>2034</v>
      </c>
      <c r="G88" s="1186" t="s">
        <v>850</v>
      </c>
      <c r="H88" s="1186">
        <v>5</v>
      </c>
    </row>
    <row r="89" spans="1:8" x14ac:dyDescent="0.2">
      <c r="A89" s="1186" t="s">
        <v>19</v>
      </c>
      <c r="B89" s="1186" t="s">
        <v>872</v>
      </c>
      <c r="C89" s="1186" t="s">
        <v>1983</v>
      </c>
      <c r="D89" s="1186" t="s">
        <v>1984</v>
      </c>
      <c r="E89" s="1186" t="s">
        <v>2035</v>
      </c>
      <c r="F89" s="1186" t="s">
        <v>2032</v>
      </c>
      <c r="G89" s="1186" t="s">
        <v>828</v>
      </c>
      <c r="H89" s="1186">
        <v>5</v>
      </c>
    </row>
    <row r="90" spans="1:8" x14ac:dyDescent="0.2">
      <c r="A90" s="1186" t="s">
        <v>19</v>
      </c>
      <c r="B90" s="1186" t="s">
        <v>872</v>
      </c>
      <c r="C90" s="1186" t="s">
        <v>1983</v>
      </c>
      <c r="D90" s="1186" t="s">
        <v>1984</v>
      </c>
      <c r="E90" s="1186" t="s">
        <v>2035</v>
      </c>
      <c r="F90" s="1186" t="s">
        <v>2032</v>
      </c>
      <c r="G90" s="1186" t="s">
        <v>851</v>
      </c>
      <c r="H90" s="1186">
        <v>21</v>
      </c>
    </row>
    <row r="91" spans="1:8" x14ac:dyDescent="0.2">
      <c r="A91" s="1186" t="s">
        <v>19</v>
      </c>
      <c r="B91" s="1186" t="s">
        <v>872</v>
      </c>
      <c r="C91" s="1186" t="s">
        <v>1983</v>
      </c>
      <c r="D91" s="1186" t="s">
        <v>1984</v>
      </c>
      <c r="E91" s="1186" t="s">
        <v>2035</v>
      </c>
      <c r="F91" s="1186" t="s">
        <v>2032</v>
      </c>
      <c r="G91" s="1186" t="s">
        <v>852</v>
      </c>
      <c r="H91" s="1186">
        <v>6</v>
      </c>
    </row>
    <row r="92" spans="1:8" x14ac:dyDescent="0.2">
      <c r="A92" s="1186" t="s">
        <v>19</v>
      </c>
      <c r="B92" s="1186" t="s">
        <v>872</v>
      </c>
      <c r="C92" s="1186" t="s">
        <v>1983</v>
      </c>
      <c r="D92" s="1186" t="s">
        <v>1984</v>
      </c>
      <c r="E92" s="1186" t="s">
        <v>2035</v>
      </c>
      <c r="F92" s="1186" t="s">
        <v>2033</v>
      </c>
      <c r="G92" s="1186" t="s">
        <v>828</v>
      </c>
      <c r="H92" s="1186">
        <v>18</v>
      </c>
    </row>
    <row r="93" spans="1:8" x14ac:dyDescent="0.2">
      <c r="A93" s="1186" t="s">
        <v>19</v>
      </c>
      <c r="B93" s="1186" t="s">
        <v>872</v>
      </c>
      <c r="C93" s="1186" t="s">
        <v>1983</v>
      </c>
      <c r="D93" s="1186" t="s">
        <v>1984</v>
      </c>
      <c r="E93" s="1186" t="s">
        <v>2035</v>
      </c>
      <c r="F93" s="1186" t="s">
        <v>2033</v>
      </c>
      <c r="G93" s="1186" t="s">
        <v>850</v>
      </c>
      <c r="H93" s="1186">
        <v>10</v>
      </c>
    </row>
    <row r="94" spans="1:8" x14ac:dyDescent="0.2">
      <c r="A94" s="1186" t="s">
        <v>19</v>
      </c>
      <c r="B94" s="1186" t="s">
        <v>872</v>
      </c>
      <c r="C94" s="1186" t="s">
        <v>1983</v>
      </c>
      <c r="D94" s="1186" t="s">
        <v>1984</v>
      </c>
      <c r="E94" s="1186" t="s">
        <v>2035</v>
      </c>
      <c r="F94" s="1186" t="s">
        <v>2033</v>
      </c>
      <c r="G94" s="1186" t="s">
        <v>851</v>
      </c>
      <c r="H94" s="1186">
        <v>241</v>
      </c>
    </row>
    <row r="95" spans="1:8" x14ac:dyDescent="0.2">
      <c r="A95" s="1186" t="s">
        <v>19</v>
      </c>
      <c r="B95" s="1186" t="s">
        <v>872</v>
      </c>
      <c r="C95" s="1186" t="s">
        <v>1983</v>
      </c>
      <c r="D95" s="1186" t="s">
        <v>1984</v>
      </c>
      <c r="E95" s="1186" t="s">
        <v>2035</v>
      </c>
      <c r="F95" s="1186" t="s">
        <v>2033</v>
      </c>
      <c r="G95" s="1186" t="s">
        <v>852</v>
      </c>
      <c r="H95" s="1186">
        <v>14</v>
      </c>
    </row>
    <row r="96" spans="1:8" x14ac:dyDescent="0.2">
      <c r="A96" s="1186" t="s">
        <v>19</v>
      </c>
      <c r="B96" s="1186" t="s">
        <v>872</v>
      </c>
      <c r="C96" s="1186" t="s">
        <v>1983</v>
      </c>
      <c r="D96" s="1186" t="s">
        <v>1984</v>
      </c>
      <c r="E96" s="1186" t="s">
        <v>2035</v>
      </c>
      <c r="F96" s="1186" t="s">
        <v>2034</v>
      </c>
      <c r="G96" s="1186" t="s">
        <v>828</v>
      </c>
      <c r="H96" s="1186">
        <v>91</v>
      </c>
    </row>
    <row r="97" spans="1:8" x14ac:dyDescent="0.2">
      <c r="A97" s="1186" t="s">
        <v>19</v>
      </c>
      <c r="B97" s="1186" t="s">
        <v>872</v>
      </c>
      <c r="C97" s="1186" t="s">
        <v>1983</v>
      </c>
      <c r="D97" s="1186" t="s">
        <v>1984</v>
      </c>
      <c r="E97" s="1186" t="s">
        <v>2035</v>
      </c>
      <c r="F97" s="1186" t="s">
        <v>2034</v>
      </c>
      <c r="G97" s="1186" t="s">
        <v>850</v>
      </c>
      <c r="H97" s="1186">
        <v>34</v>
      </c>
    </row>
    <row r="98" spans="1:8" x14ac:dyDescent="0.2">
      <c r="A98" s="1186" t="s">
        <v>19</v>
      </c>
      <c r="B98" s="1186" t="s">
        <v>872</v>
      </c>
      <c r="C98" s="1186" t="s">
        <v>1983</v>
      </c>
      <c r="D98" s="1186" t="s">
        <v>1984</v>
      </c>
      <c r="E98" s="1186" t="s">
        <v>2035</v>
      </c>
      <c r="F98" s="1186" t="s">
        <v>2034</v>
      </c>
      <c r="G98" s="1186" t="s">
        <v>851</v>
      </c>
      <c r="H98" s="1186">
        <v>48</v>
      </c>
    </row>
    <row r="99" spans="1:8" x14ac:dyDescent="0.2">
      <c r="A99" s="1186" t="s">
        <v>19</v>
      </c>
      <c r="B99" s="1186" t="s">
        <v>872</v>
      </c>
      <c r="C99" s="1186" t="s">
        <v>1983</v>
      </c>
      <c r="D99" s="1186" t="s">
        <v>1984</v>
      </c>
      <c r="E99" s="1186" t="s">
        <v>2035</v>
      </c>
      <c r="F99" s="1186" t="s">
        <v>2034</v>
      </c>
      <c r="G99" s="1186" t="s">
        <v>852</v>
      </c>
      <c r="H99" s="1186">
        <v>37</v>
      </c>
    </row>
    <row r="100" spans="1:8" x14ac:dyDescent="0.2">
      <c r="A100" s="1186" t="s">
        <v>19</v>
      </c>
      <c r="B100" s="1186" t="s">
        <v>873</v>
      </c>
      <c r="C100" s="1186" t="s">
        <v>1985</v>
      </c>
      <c r="D100" s="1186" t="s">
        <v>1984</v>
      </c>
      <c r="E100" s="1186" t="s">
        <v>2031</v>
      </c>
      <c r="F100" s="1186" t="s">
        <v>2032</v>
      </c>
      <c r="G100" s="1186" t="s">
        <v>828</v>
      </c>
      <c r="H100" s="1186">
        <v>2</v>
      </c>
    </row>
    <row r="101" spans="1:8" x14ac:dyDescent="0.2">
      <c r="A101" s="1186" t="s">
        <v>19</v>
      </c>
      <c r="B101" s="1186" t="s">
        <v>873</v>
      </c>
      <c r="C101" s="1186" t="s">
        <v>1985</v>
      </c>
      <c r="D101" s="1186" t="s">
        <v>1984</v>
      </c>
      <c r="E101" s="1186" t="s">
        <v>2031</v>
      </c>
      <c r="F101" s="1186" t="s">
        <v>2033</v>
      </c>
      <c r="G101" s="1186" t="s">
        <v>828</v>
      </c>
      <c r="H101" s="1186">
        <v>85</v>
      </c>
    </row>
    <row r="102" spans="1:8" x14ac:dyDescent="0.2">
      <c r="A102" s="1186" t="s">
        <v>19</v>
      </c>
      <c r="B102" s="1186" t="s">
        <v>873</v>
      </c>
      <c r="C102" s="1186" t="s">
        <v>1985</v>
      </c>
      <c r="D102" s="1186" t="s">
        <v>1984</v>
      </c>
      <c r="E102" s="1186" t="s">
        <v>2031</v>
      </c>
      <c r="F102" s="1186" t="s">
        <v>2033</v>
      </c>
      <c r="G102" s="1186" t="s">
        <v>850</v>
      </c>
      <c r="H102" s="1186">
        <v>8</v>
      </c>
    </row>
    <row r="103" spans="1:8" x14ac:dyDescent="0.2">
      <c r="A103" s="1186" t="s">
        <v>19</v>
      </c>
      <c r="B103" s="1186" t="s">
        <v>873</v>
      </c>
      <c r="C103" s="1186" t="s">
        <v>1985</v>
      </c>
      <c r="D103" s="1186" t="s">
        <v>1984</v>
      </c>
      <c r="E103" s="1186" t="s">
        <v>2031</v>
      </c>
      <c r="F103" s="1186" t="s">
        <v>2033</v>
      </c>
      <c r="G103" s="1186" t="s">
        <v>851</v>
      </c>
      <c r="H103" s="1186">
        <v>5</v>
      </c>
    </row>
    <row r="104" spans="1:8" x14ac:dyDescent="0.2">
      <c r="A104" s="1186" t="s">
        <v>19</v>
      </c>
      <c r="B104" s="1186" t="s">
        <v>873</v>
      </c>
      <c r="C104" s="1186" t="s">
        <v>1985</v>
      </c>
      <c r="D104" s="1186" t="s">
        <v>1984</v>
      </c>
      <c r="E104" s="1186" t="s">
        <v>2031</v>
      </c>
      <c r="F104" s="1186" t="s">
        <v>2033</v>
      </c>
      <c r="G104" s="1186" t="s">
        <v>852</v>
      </c>
      <c r="H104" s="1186">
        <v>1</v>
      </c>
    </row>
    <row r="105" spans="1:8" x14ac:dyDescent="0.2">
      <c r="A105" s="1186" t="s">
        <v>19</v>
      </c>
      <c r="B105" s="1186" t="s">
        <v>873</v>
      </c>
      <c r="C105" s="1186" t="s">
        <v>1985</v>
      </c>
      <c r="D105" s="1186" t="s">
        <v>1984</v>
      </c>
      <c r="E105" s="1186" t="s">
        <v>2031</v>
      </c>
      <c r="F105" s="1186" t="s">
        <v>2034</v>
      </c>
      <c r="G105" s="1186" t="s">
        <v>828</v>
      </c>
      <c r="H105" s="1186">
        <v>32</v>
      </c>
    </row>
    <row r="106" spans="1:8" x14ac:dyDescent="0.2">
      <c r="A106" s="1186" t="s">
        <v>19</v>
      </c>
      <c r="B106" s="1186" t="s">
        <v>873</v>
      </c>
      <c r="C106" s="1186" t="s">
        <v>1985</v>
      </c>
      <c r="D106" s="1186" t="s">
        <v>1984</v>
      </c>
      <c r="E106" s="1186" t="s">
        <v>2031</v>
      </c>
      <c r="F106" s="1186" t="s">
        <v>2034</v>
      </c>
      <c r="G106" s="1186" t="s">
        <v>850</v>
      </c>
      <c r="H106" s="1186">
        <v>1</v>
      </c>
    </row>
    <row r="107" spans="1:8" x14ac:dyDescent="0.2">
      <c r="A107" s="1186" t="s">
        <v>19</v>
      </c>
      <c r="B107" s="1186" t="s">
        <v>873</v>
      </c>
      <c r="C107" s="1186" t="s">
        <v>1985</v>
      </c>
      <c r="D107" s="1186" t="s">
        <v>1984</v>
      </c>
      <c r="E107" s="1186" t="s">
        <v>2035</v>
      </c>
      <c r="F107" s="1186" t="s">
        <v>2032</v>
      </c>
      <c r="G107" s="1186" t="s">
        <v>828</v>
      </c>
      <c r="H107" s="1186">
        <v>2</v>
      </c>
    </row>
    <row r="108" spans="1:8" x14ac:dyDescent="0.2">
      <c r="A108" s="1186" t="s">
        <v>19</v>
      </c>
      <c r="B108" s="1186" t="s">
        <v>873</v>
      </c>
      <c r="C108" s="1186" t="s">
        <v>1985</v>
      </c>
      <c r="D108" s="1186" t="s">
        <v>1984</v>
      </c>
      <c r="E108" s="1186" t="s">
        <v>2035</v>
      </c>
      <c r="F108" s="1186" t="s">
        <v>2032</v>
      </c>
      <c r="G108" s="1186" t="s">
        <v>850</v>
      </c>
      <c r="H108" s="1186">
        <v>1</v>
      </c>
    </row>
    <row r="109" spans="1:8" x14ac:dyDescent="0.2">
      <c r="A109" s="1186" t="s">
        <v>19</v>
      </c>
      <c r="B109" s="1186" t="s">
        <v>873</v>
      </c>
      <c r="C109" s="1186" t="s">
        <v>1985</v>
      </c>
      <c r="D109" s="1186" t="s">
        <v>1984</v>
      </c>
      <c r="E109" s="1186" t="s">
        <v>2035</v>
      </c>
      <c r="F109" s="1186" t="s">
        <v>2032</v>
      </c>
      <c r="G109" s="1186" t="s">
        <v>851</v>
      </c>
      <c r="H109" s="1186">
        <v>7</v>
      </c>
    </row>
    <row r="110" spans="1:8" x14ac:dyDescent="0.2">
      <c r="A110" s="1186" t="s">
        <v>19</v>
      </c>
      <c r="B110" s="1186" t="s">
        <v>873</v>
      </c>
      <c r="C110" s="1186" t="s">
        <v>1985</v>
      </c>
      <c r="D110" s="1186" t="s">
        <v>1984</v>
      </c>
      <c r="E110" s="1186" t="s">
        <v>2035</v>
      </c>
      <c r="F110" s="1186" t="s">
        <v>2032</v>
      </c>
      <c r="G110" s="1186" t="s">
        <v>852</v>
      </c>
      <c r="H110" s="1186">
        <v>10</v>
      </c>
    </row>
    <row r="111" spans="1:8" x14ac:dyDescent="0.2">
      <c r="A111" s="1186" t="s">
        <v>19</v>
      </c>
      <c r="B111" s="1186" t="s">
        <v>873</v>
      </c>
      <c r="C111" s="1186" t="s">
        <v>1985</v>
      </c>
      <c r="D111" s="1186" t="s">
        <v>1984</v>
      </c>
      <c r="E111" s="1186" t="s">
        <v>2035</v>
      </c>
      <c r="F111" s="1186" t="s">
        <v>2033</v>
      </c>
      <c r="G111" s="1186" t="s">
        <v>828</v>
      </c>
      <c r="H111" s="1186">
        <v>26</v>
      </c>
    </row>
    <row r="112" spans="1:8" x14ac:dyDescent="0.2">
      <c r="A112" s="1186" t="s">
        <v>19</v>
      </c>
      <c r="B112" s="1186" t="s">
        <v>873</v>
      </c>
      <c r="C112" s="1186" t="s">
        <v>1985</v>
      </c>
      <c r="D112" s="1186" t="s">
        <v>1984</v>
      </c>
      <c r="E112" s="1186" t="s">
        <v>2035</v>
      </c>
      <c r="F112" s="1186" t="s">
        <v>2033</v>
      </c>
      <c r="G112" s="1186" t="s">
        <v>850</v>
      </c>
      <c r="H112" s="1186">
        <v>11</v>
      </c>
    </row>
    <row r="113" spans="1:8" x14ac:dyDescent="0.2">
      <c r="A113" s="1186" t="s">
        <v>19</v>
      </c>
      <c r="B113" s="1186" t="s">
        <v>873</v>
      </c>
      <c r="C113" s="1186" t="s">
        <v>1985</v>
      </c>
      <c r="D113" s="1186" t="s">
        <v>1984</v>
      </c>
      <c r="E113" s="1186" t="s">
        <v>2035</v>
      </c>
      <c r="F113" s="1186" t="s">
        <v>2033</v>
      </c>
      <c r="G113" s="1186" t="s">
        <v>851</v>
      </c>
      <c r="H113" s="1186">
        <v>179</v>
      </c>
    </row>
    <row r="114" spans="1:8" x14ac:dyDescent="0.2">
      <c r="A114" s="1186" t="s">
        <v>19</v>
      </c>
      <c r="B114" s="1186" t="s">
        <v>873</v>
      </c>
      <c r="C114" s="1186" t="s">
        <v>1985</v>
      </c>
      <c r="D114" s="1186" t="s">
        <v>1984</v>
      </c>
      <c r="E114" s="1186" t="s">
        <v>2035</v>
      </c>
      <c r="F114" s="1186" t="s">
        <v>2033</v>
      </c>
      <c r="G114" s="1186" t="s">
        <v>852</v>
      </c>
      <c r="H114" s="1186">
        <v>27</v>
      </c>
    </row>
    <row r="115" spans="1:8" x14ac:dyDescent="0.2">
      <c r="A115" s="1186" t="s">
        <v>19</v>
      </c>
      <c r="B115" s="1186" t="s">
        <v>873</v>
      </c>
      <c r="C115" s="1186" t="s">
        <v>1985</v>
      </c>
      <c r="D115" s="1186" t="s">
        <v>1984</v>
      </c>
      <c r="E115" s="1186" t="s">
        <v>2035</v>
      </c>
      <c r="F115" s="1186" t="s">
        <v>2034</v>
      </c>
      <c r="G115" s="1186" t="s">
        <v>828</v>
      </c>
      <c r="H115" s="1186">
        <v>69</v>
      </c>
    </row>
    <row r="116" spans="1:8" x14ac:dyDescent="0.2">
      <c r="A116" s="1186" t="s">
        <v>19</v>
      </c>
      <c r="B116" s="1186" t="s">
        <v>873</v>
      </c>
      <c r="C116" s="1186" t="s">
        <v>1985</v>
      </c>
      <c r="D116" s="1186" t="s">
        <v>1984</v>
      </c>
      <c r="E116" s="1186" t="s">
        <v>2035</v>
      </c>
      <c r="F116" s="1186" t="s">
        <v>2034</v>
      </c>
      <c r="G116" s="1186" t="s">
        <v>850</v>
      </c>
      <c r="H116" s="1186">
        <v>45</v>
      </c>
    </row>
    <row r="117" spans="1:8" x14ac:dyDescent="0.2">
      <c r="A117" s="1186" t="s">
        <v>19</v>
      </c>
      <c r="B117" s="1186" t="s">
        <v>873</v>
      </c>
      <c r="C117" s="1186" t="s">
        <v>1985</v>
      </c>
      <c r="D117" s="1186" t="s">
        <v>1984</v>
      </c>
      <c r="E117" s="1186" t="s">
        <v>2035</v>
      </c>
      <c r="F117" s="1186" t="s">
        <v>2034</v>
      </c>
      <c r="G117" s="1186" t="s">
        <v>851</v>
      </c>
      <c r="H117" s="1186">
        <v>43</v>
      </c>
    </row>
    <row r="118" spans="1:8" x14ac:dyDescent="0.2">
      <c r="A118" s="1186" t="s">
        <v>19</v>
      </c>
      <c r="B118" s="1186" t="s">
        <v>873</v>
      </c>
      <c r="C118" s="1186" t="s">
        <v>1985</v>
      </c>
      <c r="D118" s="1186" t="s">
        <v>1984</v>
      </c>
      <c r="E118" s="1186" t="s">
        <v>2035</v>
      </c>
      <c r="F118" s="1186" t="s">
        <v>2034</v>
      </c>
      <c r="G118" s="1186" t="s">
        <v>852</v>
      </c>
      <c r="H118" s="1186">
        <v>30</v>
      </c>
    </row>
    <row r="119" spans="1:8" x14ac:dyDescent="0.2">
      <c r="A119" s="1186" t="s">
        <v>19</v>
      </c>
      <c r="B119" s="1186" t="s">
        <v>19</v>
      </c>
      <c r="C119" s="1186" t="s">
        <v>1985</v>
      </c>
      <c r="D119" s="1186" t="s">
        <v>1986</v>
      </c>
      <c r="E119" s="1186" t="s">
        <v>2031</v>
      </c>
      <c r="F119" s="1186" t="s">
        <v>2032</v>
      </c>
      <c r="G119" s="1186" t="s">
        <v>828</v>
      </c>
      <c r="H119" s="1186">
        <v>4</v>
      </c>
    </row>
    <row r="120" spans="1:8" x14ac:dyDescent="0.2">
      <c r="A120" s="1186" t="s">
        <v>19</v>
      </c>
      <c r="B120" s="1186" t="s">
        <v>19</v>
      </c>
      <c r="C120" s="1186" t="s">
        <v>1985</v>
      </c>
      <c r="D120" s="1186" t="s">
        <v>1986</v>
      </c>
      <c r="E120" s="1186" t="s">
        <v>2031</v>
      </c>
      <c r="F120" s="1186" t="s">
        <v>2033</v>
      </c>
      <c r="G120" s="1186" t="s">
        <v>828</v>
      </c>
      <c r="H120" s="1186">
        <v>73</v>
      </c>
    </row>
    <row r="121" spans="1:8" x14ac:dyDescent="0.2">
      <c r="A121" s="1186" t="s">
        <v>19</v>
      </c>
      <c r="B121" s="1186" t="s">
        <v>19</v>
      </c>
      <c r="C121" s="1186" t="s">
        <v>1985</v>
      </c>
      <c r="D121" s="1186" t="s">
        <v>1986</v>
      </c>
      <c r="E121" s="1186" t="s">
        <v>2031</v>
      </c>
      <c r="F121" s="1186" t="s">
        <v>2033</v>
      </c>
      <c r="G121" s="1186" t="s">
        <v>850</v>
      </c>
      <c r="H121" s="1186">
        <v>13</v>
      </c>
    </row>
    <row r="122" spans="1:8" x14ac:dyDescent="0.2">
      <c r="A122" s="1186" t="s">
        <v>19</v>
      </c>
      <c r="B122" s="1186" t="s">
        <v>19</v>
      </c>
      <c r="C122" s="1186" t="s">
        <v>1985</v>
      </c>
      <c r="D122" s="1186" t="s">
        <v>1986</v>
      </c>
      <c r="E122" s="1186" t="s">
        <v>2031</v>
      </c>
      <c r="F122" s="1186" t="s">
        <v>2033</v>
      </c>
      <c r="G122" s="1186" t="s">
        <v>851</v>
      </c>
      <c r="H122" s="1186">
        <v>14</v>
      </c>
    </row>
    <row r="123" spans="1:8" x14ac:dyDescent="0.2">
      <c r="A123" s="1186" t="s">
        <v>19</v>
      </c>
      <c r="B123" s="1186" t="s">
        <v>19</v>
      </c>
      <c r="C123" s="1186" t="s">
        <v>1985</v>
      </c>
      <c r="D123" s="1186" t="s">
        <v>1986</v>
      </c>
      <c r="E123" s="1186" t="s">
        <v>2031</v>
      </c>
      <c r="F123" s="1186" t="s">
        <v>2033</v>
      </c>
      <c r="G123" s="1186" t="s">
        <v>852</v>
      </c>
      <c r="H123" s="1186">
        <v>1</v>
      </c>
    </row>
    <row r="124" spans="1:8" x14ac:dyDescent="0.2">
      <c r="A124" s="1186" t="s">
        <v>19</v>
      </c>
      <c r="B124" s="1186" t="s">
        <v>19</v>
      </c>
      <c r="C124" s="1186" t="s">
        <v>1985</v>
      </c>
      <c r="D124" s="1186" t="s">
        <v>1986</v>
      </c>
      <c r="E124" s="1186" t="s">
        <v>2031</v>
      </c>
      <c r="F124" s="1186" t="s">
        <v>2034</v>
      </c>
      <c r="G124" s="1186" t="s">
        <v>828</v>
      </c>
      <c r="H124" s="1186">
        <v>54</v>
      </c>
    </row>
    <row r="125" spans="1:8" x14ac:dyDescent="0.2">
      <c r="A125" s="1186" t="s">
        <v>19</v>
      </c>
      <c r="B125" s="1186" t="s">
        <v>19</v>
      </c>
      <c r="C125" s="1186" t="s">
        <v>1985</v>
      </c>
      <c r="D125" s="1186" t="s">
        <v>1986</v>
      </c>
      <c r="E125" s="1186" t="s">
        <v>2031</v>
      </c>
      <c r="F125" s="1186" t="s">
        <v>2034</v>
      </c>
      <c r="G125" s="1186" t="s">
        <v>850</v>
      </c>
      <c r="H125" s="1186">
        <v>2</v>
      </c>
    </row>
    <row r="126" spans="1:8" x14ac:dyDescent="0.2">
      <c r="A126" s="1186" t="s">
        <v>19</v>
      </c>
      <c r="B126" s="1186" t="s">
        <v>19</v>
      </c>
      <c r="C126" s="1186" t="s">
        <v>1985</v>
      </c>
      <c r="D126" s="1186" t="s">
        <v>1986</v>
      </c>
      <c r="E126" s="1186" t="s">
        <v>2031</v>
      </c>
      <c r="F126" s="1186" t="s">
        <v>2034</v>
      </c>
      <c r="G126" s="1186" t="s">
        <v>851</v>
      </c>
      <c r="H126" s="1186">
        <v>2</v>
      </c>
    </row>
    <row r="127" spans="1:8" x14ac:dyDescent="0.2">
      <c r="A127" s="1186" t="s">
        <v>19</v>
      </c>
      <c r="B127" s="1186" t="s">
        <v>19</v>
      </c>
      <c r="C127" s="1186" t="s">
        <v>1985</v>
      </c>
      <c r="D127" s="1186" t="s">
        <v>1986</v>
      </c>
      <c r="E127" s="1186" t="s">
        <v>2035</v>
      </c>
      <c r="F127" s="1186" t="s">
        <v>2032</v>
      </c>
      <c r="G127" s="1186" t="s">
        <v>828</v>
      </c>
      <c r="H127" s="1186">
        <v>2</v>
      </c>
    </row>
    <row r="128" spans="1:8" x14ac:dyDescent="0.2">
      <c r="A128" s="1186" t="s">
        <v>19</v>
      </c>
      <c r="B128" s="1186" t="s">
        <v>19</v>
      </c>
      <c r="C128" s="1186" t="s">
        <v>1985</v>
      </c>
      <c r="D128" s="1186" t="s">
        <v>1986</v>
      </c>
      <c r="E128" s="1186" t="s">
        <v>2035</v>
      </c>
      <c r="F128" s="1186" t="s">
        <v>2032</v>
      </c>
      <c r="G128" s="1186" t="s">
        <v>851</v>
      </c>
      <c r="H128" s="1186">
        <v>8</v>
      </c>
    </row>
    <row r="129" spans="1:8" x14ac:dyDescent="0.2">
      <c r="A129" s="1186" t="s">
        <v>19</v>
      </c>
      <c r="B129" s="1186" t="s">
        <v>19</v>
      </c>
      <c r="C129" s="1186" t="s">
        <v>1985</v>
      </c>
      <c r="D129" s="1186" t="s">
        <v>1986</v>
      </c>
      <c r="E129" s="1186" t="s">
        <v>2035</v>
      </c>
      <c r="F129" s="1186" t="s">
        <v>2032</v>
      </c>
      <c r="G129" s="1186" t="s">
        <v>852</v>
      </c>
      <c r="H129" s="1186">
        <v>10</v>
      </c>
    </row>
    <row r="130" spans="1:8" x14ac:dyDescent="0.2">
      <c r="A130" s="1186" t="s">
        <v>19</v>
      </c>
      <c r="B130" s="1186" t="s">
        <v>19</v>
      </c>
      <c r="C130" s="1186" t="s">
        <v>1985</v>
      </c>
      <c r="D130" s="1186" t="s">
        <v>1986</v>
      </c>
      <c r="E130" s="1186" t="s">
        <v>2035</v>
      </c>
      <c r="F130" s="1186" t="s">
        <v>2033</v>
      </c>
      <c r="G130" s="1186" t="s">
        <v>828</v>
      </c>
      <c r="H130" s="1186">
        <v>21</v>
      </c>
    </row>
    <row r="131" spans="1:8" x14ac:dyDescent="0.2">
      <c r="A131" s="1186" t="s">
        <v>19</v>
      </c>
      <c r="B131" s="1186" t="s">
        <v>19</v>
      </c>
      <c r="C131" s="1186" t="s">
        <v>1985</v>
      </c>
      <c r="D131" s="1186" t="s">
        <v>1986</v>
      </c>
      <c r="E131" s="1186" t="s">
        <v>2035</v>
      </c>
      <c r="F131" s="1186" t="s">
        <v>2033</v>
      </c>
      <c r="G131" s="1186" t="s">
        <v>850</v>
      </c>
      <c r="H131" s="1186">
        <v>12</v>
      </c>
    </row>
    <row r="132" spans="1:8" x14ac:dyDescent="0.2">
      <c r="A132" s="1186" t="s">
        <v>19</v>
      </c>
      <c r="B132" s="1186" t="s">
        <v>19</v>
      </c>
      <c r="C132" s="1186" t="s">
        <v>1985</v>
      </c>
      <c r="D132" s="1186" t="s">
        <v>1986</v>
      </c>
      <c r="E132" s="1186" t="s">
        <v>2035</v>
      </c>
      <c r="F132" s="1186" t="s">
        <v>2033</v>
      </c>
      <c r="G132" s="1186" t="s">
        <v>851</v>
      </c>
      <c r="H132" s="1186">
        <v>177</v>
      </c>
    </row>
    <row r="133" spans="1:8" x14ac:dyDescent="0.2">
      <c r="A133" s="1186" t="s">
        <v>19</v>
      </c>
      <c r="B133" s="1186" t="s">
        <v>19</v>
      </c>
      <c r="C133" s="1186" t="s">
        <v>1985</v>
      </c>
      <c r="D133" s="1186" t="s">
        <v>1986</v>
      </c>
      <c r="E133" s="1186" t="s">
        <v>2035</v>
      </c>
      <c r="F133" s="1186" t="s">
        <v>2033</v>
      </c>
      <c r="G133" s="1186" t="s">
        <v>852</v>
      </c>
      <c r="H133" s="1186">
        <v>21</v>
      </c>
    </row>
    <row r="134" spans="1:8" x14ac:dyDescent="0.2">
      <c r="A134" s="1186" t="s">
        <v>19</v>
      </c>
      <c r="B134" s="1186" t="s">
        <v>19</v>
      </c>
      <c r="C134" s="1186" t="s">
        <v>1985</v>
      </c>
      <c r="D134" s="1186" t="s">
        <v>1986</v>
      </c>
      <c r="E134" s="1186" t="s">
        <v>2035</v>
      </c>
      <c r="F134" s="1186" t="s">
        <v>2034</v>
      </c>
      <c r="G134" s="1186" t="s">
        <v>828</v>
      </c>
      <c r="H134" s="1186">
        <v>90</v>
      </c>
    </row>
    <row r="135" spans="1:8" x14ac:dyDescent="0.2">
      <c r="A135" s="1186" t="s">
        <v>19</v>
      </c>
      <c r="B135" s="1186" t="s">
        <v>19</v>
      </c>
      <c r="C135" s="1186" t="s">
        <v>1985</v>
      </c>
      <c r="D135" s="1186" t="s">
        <v>1986</v>
      </c>
      <c r="E135" s="1186" t="s">
        <v>2035</v>
      </c>
      <c r="F135" s="1186" t="s">
        <v>2034</v>
      </c>
      <c r="G135" s="1186" t="s">
        <v>850</v>
      </c>
      <c r="H135" s="1186">
        <v>45</v>
      </c>
    </row>
    <row r="136" spans="1:8" x14ac:dyDescent="0.2">
      <c r="A136" s="1186" t="s">
        <v>19</v>
      </c>
      <c r="B136" s="1186" t="s">
        <v>19</v>
      </c>
      <c r="C136" s="1186" t="s">
        <v>1985</v>
      </c>
      <c r="D136" s="1186" t="s">
        <v>1986</v>
      </c>
      <c r="E136" s="1186" t="s">
        <v>2035</v>
      </c>
      <c r="F136" s="1186" t="s">
        <v>2034</v>
      </c>
      <c r="G136" s="1186" t="s">
        <v>851</v>
      </c>
      <c r="H136" s="1186">
        <v>26</v>
      </c>
    </row>
    <row r="137" spans="1:8" x14ac:dyDescent="0.2">
      <c r="A137" s="1186" t="s">
        <v>19</v>
      </c>
      <c r="B137" s="1186" t="s">
        <v>19</v>
      </c>
      <c r="C137" s="1186" t="s">
        <v>1985</v>
      </c>
      <c r="D137" s="1186" t="s">
        <v>1986</v>
      </c>
      <c r="E137" s="1186" t="s">
        <v>2035</v>
      </c>
      <c r="F137" s="1186" t="s">
        <v>2034</v>
      </c>
      <c r="G137" s="1186" t="s">
        <v>852</v>
      </c>
      <c r="H137" s="1186">
        <v>30</v>
      </c>
    </row>
    <row r="138" spans="1:8" x14ac:dyDescent="0.2">
      <c r="A138" s="1186" t="s">
        <v>19</v>
      </c>
      <c r="B138" s="1186" t="s">
        <v>874</v>
      </c>
      <c r="C138" s="1186" t="s">
        <v>1985</v>
      </c>
      <c r="D138" s="1186" t="s">
        <v>1986</v>
      </c>
      <c r="E138" s="1186" t="s">
        <v>2031</v>
      </c>
      <c r="F138" s="1186" t="s">
        <v>2032</v>
      </c>
      <c r="G138" s="1186" t="s">
        <v>828</v>
      </c>
      <c r="H138" s="1186">
        <v>4</v>
      </c>
    </row>
    <row r="139" spans="1:8" x14ac:dyDescent="0.2">
      <c r="A139" s="1186" t="s">
        <v>19</v>
      </c>
      <c r="B139" s="1186" t="s">
        <v>874</v>
      </c>
      <c r="C139" s="1186" t="s">
        <v>1985</v>
      </c>
      <c r="D139" s="1186" t="s">
        <v>1986</v>
      </c>
      <c r="E139" s="1186" t="s">
        <v>2031</v>
      </c>
      <c r="F139" s="1186" t="s">
        <v>2032</v>
      </c>
      <c r="G139" s="1186" t="s">
        <v>851</v>
      </c>
      <c r="H139" s="1186">
        <v>1</v>
      </c>
    </row>
    <row r="140" spans="1:8" x14ac:dyDescent="0.2">
      <c r="A140" s="1186" t="s">
        <v>19</v>
      </c>
      <c r="B140" s="1186" t="s">
        <v>874</v>
      </c>
      <c r="C140" s="1186" t="s">
        <v>1985</v>
      </c>
      <c r="D140" s="1186" t="s">
        <v>1986</v>
      </c>
      <c r="E140" s="1186" t="s">
        <v>2031</v>
      </c>
      <c r="F140" s="1186" t="s">
        <v>2033</v>
      </c>
      <c r="G140" s="1186" t="s">
        <v>828</v>
      </c>
      <c r="H140" s="1186">
        <v>69</v>
      </c>
    </row>
    <row r="141" spans="1:8" x14ac:dyDescent="0.2">
      <c r="A141" s="1186" t="s">
        <v>19</v>
      </c>
      <c r="B141" s="1186" t="s">
        <v>874</v>
      </c>
      <c r="C141" s="1186" t="s">
        <v>1985</v>
      </c>
      <c r="D141" s="1186" t="s">
        <v>1986</v>
      </c>
      <c r="E141" s="1186" t="s">
        <v>2031</v>
      </c>
      <c r="F141" s="1186" t="s">
        <v>2033</v>
      </c>
      <c r="G141" s="1186" t="s">
        <v>850</v>
      </c>
      <c r="H141" s="1186">
        <v>5</v>
      </c>
    </row>
    <row r="142" spans="1:8" x14ac:dyDescent="0.2">
      <c r="A142" s="1186" t="s">
        <v>19</v>
      </c>
      <c r="B142" s="1186" t="s">
        <v>874</v>
      </c>
      <c r="C142" s="1186" t="s">
        <v>1985</v>
      </c>
      <c r="D142" s="1186" t="s">
        <v>1986</v>
      </c>
      <c r="E142" s="1186" t="s">
        <v>2031</v>
      </c>
      <c r="F142" s="1186" t="s">
        <v>2033</v>
      </c>
      <c r="G142" s="1186" t="s">
        <v>851</v>
      </c>
      <c r="H142" s="1186">
        <v>6</v>
      </c>
    </row>
    <row r="143" spans="1:8" x14ac:dyDescent="0.2">
      <c r="A143" s="1186" t="s">
        <v>19</v>
      </c>
      <c r="B143" s="1186" t="s">
        <v>874</v>
      </c>
      <c r="C143" s="1186" t="s">
        <v>1985</v>
      </c>
      <c r="D143" s="1186" t="s">
        <v>1986</v>
      </c>
      <c r="E143" s="1186" t="s">
        <v>2031</v>
      </c>
      <c r="F143" s="1186" t="s">
        <v>2033</v>
      </c>
      <c r="G143" s="1186" t="s">
        <v>852</v>
      </c>
      <c r="H143" s="1186">
        <v>1</v>
      </c>
    </row>
    <row r="144" spans="1:8" x14ac:dyDescent="0.2">
      <c r="A144" s="1186" t="s">
        <v>19</v>
      </c>
      <c r="B144" s="1186" t="s">
        <v>874</v>
      </c>
      <c r="C144" s="1186" t="s">
        <v>1985</v>
      </c>
      <c r="D144" s="1186" t="s">
        <v>1986</v>
      </c>
      <c r="E144" s="1186" t="s">
        <v>2031</v>
      </c>
      <c r="F144" s="1186" t="s">
        <v>2034</v>
      </c>
      <c r="G144" s="1186" t="s">
        <v>828</v>
      </c>
      <c r="H144" s="1186">
        <v>48</v>
      </c>
    </row>
    <row r="145" spans="1:8" x14ac:dyDescent="0.2">
      <c r="A145" s="1186" t="s">
        <v>19</v>
      </c>
      <c r="B145" s="1186" t="s">
        <v>874</v>
      </c>
      <c r="C145" s="1186" t="s">
        <v>1985</v>
      </c>
      <c r="D145" s="1186" t="s">
        <v>1986</v>
      </c>
      <c r="E145" s="1186" t="s">
        <v>2031</v>
      </c>
      <c r="F145" s="1186" t="s">
        <v>2034</v>
      </c>
      <c r="G145" s="1186" t="s">
        <v>850</v>
      </c>
      <c r="H145" s="1186">
        <v>4</v>
      </c>
    </row>
    <row r="146" spans="1:8" x14ac:dyDescent="0.2">
      <c r="A146" s="1186" t="s">
        <v>19</v>
      </c>
      <c r="B146" s="1186" t="s">
        <v>874</v>
      </c>
      <c r="C146" s="1186" t="s">
        <v>1985</v>
      </c>
      <c r="D146" s="1186" t="s">
        <v>1986</v>
      </c>
      <c r="E146" s="1186" t="s">
        <v>2031</v>
      </c>
      <c r="F146" s="1186" t="s">
        <v>2034</v>
      </c>
      <c r="G146" s="1186" t="s">
        <v>852</v>
      </c>
      <c r="H146" s="1186">
        <v>10</v>
      </c>
    </row>
    <row r="147" spans="1:8" x14ac:dyDescent="0.2">
      <c r="A147" s="1186" t="s">
        <v>19</v>
      </c>
      <c r="B147" s="1186" t="s">
        <v>874</v>
      </c>
      <c r="C147" s="1186" t="s">
        <v>1985</v>
      </c>
      <c r="D147" s="1186" t="s">
        <v>1986</v>
      </c>
      <c r="E147" s="1186" t="s">
        <v>2035</v>
      </c>
      <c r="F147" s="1186" t="s">
        <v>2032</v>
      </c>
      <c r="G147" s="1186" t="s">
        <v>828</v>
      </c>
      <c r="H147" s="1186">
        <v>3</v>
      </c>
    </row>
    <row r="148" spans="1:8" x14ac:dyDescent="0.2">
      <c r="A148" s="1186" t="s">
        <v>19</v>
      </c>
      <c r="B148" s="1186" t="s">
        <v>874</v>
      </c>
      <c r="C148" s="1186" t="s">
        <v>1985</v>
      </c>
      <c r="D148" s="1186" t="s">
        <v>1986</v>
      </c>
      <c r="E148" s="1186" t="s">
        <v>2035</v>
      </c>
      <c r="F148" s="1186" t="s">
        <v>2032</v>
      </c>
      <c r="G148" s="1186" t="s">
        <v>850</v>
      </c>
      <c r="H148" s="1186">
        <v>1</v>
      </c>
    </row>
    <row r="149" spans="1:8" x14ac:dyDescent="0.2">
      <c r="A149" s="1186" t="s">
        <v>19</v>
      </c>
      <c r="B149" s="1186" t="s">
        <v>874</v>
      </c>
      <c r="C149" s="1186" t="s">
        <v>1985</v>
      </c>
      <c r="D149" s="1186" t="s">
        <v>1986</v>
      </c>
      <c r="E149" s="1186" t="s">
        <v>2035</v>
      </c>
      <c r="F149" s="1186" t="s">
        <v>2032</v>
      </c>
      <c r="G149" s="1186" t="s">
        <v>851</v>
      </c>
      <c r="H149" s="1186">
        <v>14</v>
      </c>
    </row>
    <row r="150" spans="1:8" x14ac:dyDescent="0.2">
      <c r="A150" s="1186" t="s">
        <v>19</v>
      </c>
      <c r="B150" s="1186" t="s">
        <v>874</v>
      </c>
      <c r="C150" s="1186" t="s">
        <v>1985</v>
      </c>
      <c r="D150" s="1186" t="s">
        <v>1986</v>
      </c>
      <c r="E150" s="1186" t="s">
        <v>2035</v>
      </c>
      <c r="F150" s="1186" t="s">
        <v>2032</v>
      </c>
      <c r="G150" s="1186" t="s">
        <v>852</v>
      </c>
      <c r="H150" s="1186">
        <v>5</v>
      </c>
    </row>
    <row r="151" spans="1:8" x14ac:dyDescent="0.2">
      <c r="A151" s="1186" t="s">
        <v>19</v>
      </c>
      <c r="B151" s="1186" t="s">
        <v>874</v>
      </c>
      <c r="C151" s="1186" t="s">
        <v>1985</v>
      </c>
      <c r="D151" s="1186" t="s">
        <v>1986</v>
      </c>
      <c r="E151" s="1186" t="s">
        <v>2035</v>
      </c>
      <c r="F151" s="1186" t="s">
        <v>2033</v>
      </c>
      <c r="G151" s="1186" t="s">
        <v>828</v>
      </c>
      <c r="H151" s="1186">
        <v>24</v>
      </c>
    </row>
    <row r="152" spans="1:8" x14ac:dyDescent="0.2">
      <c r="A152" s="1186" t="s">
        <v>19</v>
      </c>
      <c r="B152" s="1186" t="s">
        <v>874</v>
      </c>
      <c r="C152" s="1186" t="s">
        <v>1985</v>
      </c>
      <c r="D152" s="1186" t="s">
        <v>1986</v>
      </c>
      <c r="E152" s="1186" t="s">
        <v>2035</v>
      </c>
      <c r="F152" s="1186" t="s">
        <v>2033</v>
      </c>
      <c r="G152" s="1186" t="s">
        <v>850</v>
      </c>
      <c r="H152" s="1186">
        <v>8</v>
      </c>
    </row>
    <row r="153" spans="1:8" x14ac:dyDescent="0.2">
      <c r="A153" s="1186" t="s">
        <v>19</v>
      </c>
      <c r="B153" s="1186" t="s">
        <v>874</v>
      </c>
      <c r="C153" s="1186" t="s">
        <v>1985</v>
      </c>
      <c r="D153" s="1186" t="s">
        <v>1986</v>
      </c>
      <c r="E153" s="1186" t="s">
        <v>2035</v>
      </c>
      <c r="F153" s="1186" t="s">
        <v>2033</v>
      </c>
      <c r="G153" s="1186" t="s">
        <v>851</v>
      </c>
      <c r="H153" s="1186">
        <v>224</v>
      </c>
    </row>
    <row r="154" spans="1:8" x14ac:dyDescent="0.2">
      <c r="A154" s="1186" t="s">
        <v>19</v>
      </c>
      <c r="B154" s="1186" t="s">
        <v>874</v>
      </c>
      <c r="C154" s="1186" t="s">
        <v>1985</v>
      </c>
      <c r="D154" s="1186" t="s">
        <v>1986</v>
      </c>
      <c r="E154" s="1186" t="s">
        <v>2035</v>
      </c>
      <c r="F154" s="1186" t="s">
        <v>2033</v>
      </c>
      <c r="G154" s="1186" t="s">
        <v>852</v>
      </c>
      <c r="H154" s="1186">
        <v>12</v>
      </c>
    </row>
    <row r="155" spans="1:8" x14ac:dyDescent="0.2">
      <c r="A155" s="1186" t="s">
        <v>19</v>
      </c>
      <c r="B155" s="1186" t="s">
        <v>874</v>
      </c>
      <c r="C155" s="1186" t="s">
        <v>1985</v>
      </c>
      <c r="D155" s="1186" t="s">
        <v>1986</v>
      </c>
      <c r="E155" s="1186" t="s">
        <v>2035</v>
      </c>
      <c r="F155" s="1186" t="s">
        <v>2034</v>
      </c>
      <c r="G155" s="1186" t="s">
        <v>828</v>
      </c>
      <c r="H155" s="1186">
        <v>87</v>
      </c>
    </row>
    <row r="156" spans="1:8" x14ac:dyDescent="0.2">
      <c r="A156" s="1186" t="s">
        <v>19</v>
      </c>
      <c r="B156" s="1186" t="s">
        <v>874</v>
      </c>
      <c r="C156" s="1186" t="s">
        <v>1985</v>
      </c>
      <c r="D156" s="1186" t="s">
        <v>1986</v>
      </c>
      <c r="E156" s="1186" t="s">
        <v>2035</v>
      </c>
      <c r="F156" s="1186" t="s">
        <v>2034</v>
      </c>
      <c r="G156" s="1186" t="s">
        <v>850</v>
      </c>
      <c r="H156" s="1186">
        <v>50</v>
      </c>
    </row>
    <row r="157" spans="1:8" x14ac:dyDescent="0.2">
      <c r="A157" s="1186" t="s">
        <v>19</v>
      </c>
      <c r="B157" s="1186" t="s">
        <v>874</v>
      </c>
      <c r="C157" s="1186" t="s">
        <v>1985</v>
      </c>
      <c r="D157" s="1186" t="s">
        <v>1986</v>
      </c>
      <c r="E157" s="1186" t="s">
        <v>2035</v>
      </c>
      <c r="F157" s="1186" t="s">
        <v>2034</v>
      </c>
      <c r="G157" s="1186" t="s">
        <v>851</v>
      </c>
      <c r="H157" s="1186">
        <v>97</v>
      </c>
    </row>
    <row r="158" spans="1:8" x14ac:dyDescent="0.2">
      <c r="A158" s="1186" t="s">
        <v>19</v>
      </c>
      <c r="B158" s="1186" t="s">
        <v>874</v>
      </c>
      <c r="C158" s="1186" t="s">
        <v>1985</v>
      </c>
      <c r="D158" s="1186" t="s">
        <v>1986</v>
      </c>
      <c r="E158" s="1186" t="s">
        <v>2035</v>
      </c>
      <c r="F158" s="1186" t="s">
        <v>2034</v>
      </c>
      <c r="G158" s="1186" t="s">
        <v>852</v>
      </c>
      <c r="H158" s="1186">
        <v>35</v>
      </c>
    </row>
    <row r="159" spans="1:8" x14ac:dyDescent="0.2">
      <c r="A159" s="1186" t="s">
        <v>19</v>
      </c>
      <c r="B159" s="1186" t="s">
        <v>875</v>
      </c>
      <c r="C159" s="1186" t="s">
        <v>1987</v>
      </c>
      <c r="D159" s="1186" t="s">
        <v>1986</v>
      </c>
      <c r="E159" s="1186" t="s">
        <v>2031</v>
      </c>
      <c r="F159" s="1186" t="s">
        <v>2032</v>
      </c>
      <c r="G159" s="1186" t="s">
        <v>828</v>
      </c>
      <c r="H159" s="1186">
        <v>5</v>
      </c>
    </row>
    <row r="160" spans="1:8" x14ac:dyDescent="0.2">
      <c r="A160" s="1186" t="s">
        <v>19</v>
      </c>
      <c r="B160" s="1186" t="s">
        <v>875</v>
      </c>
      <c r="C160" s="1186" t="s">
        <v>1987</v>
      </c>
      <c r="D160" s="1186" t="s">
        <v>1986</v>
      </c>
      <c r="E160" s="1186" t="s">
        <v>2031</v>
      </c>
      <c r="F160" s="1186" t="s">
        <v>2032</v>
      </c>
      <c r="G160" s="1186" t="s">
        <v>850</v>
      </c>
      <c r="H160" s="1186">
        <v>1</v>
      </c>
    </row>
    <row r="161" spans="1:8" x14ac:dyDescent="0.2">
      <c r="A161" s="1186" t="s">
        <v>19</v>
      </c>
      <c r="B161" s="1186" t="s">
        <v>875</v>
      </c>
      <c r="C161" s="1186" t="s">
        <v>1987</v>
      </c>
      <c r="D161" s="1186" t="s">
        <v>1986</v>
      </c>
      <c r="E161" s="1186" t="s">
        <v>2031</v>
      </c>
      <c r="F161" s="1186" t="s">
        <v>2033</v>
      </c>
      <c r="G161" s="1186" t="s">
        <v>828</v>
      </c>
      <c r="H161" s="1186">
        <v>90</v>
      </c>
    </row>
    <row r="162" spans="1:8" x14ac:dyDescent="0.2">
      <c r="A162" s="1186" t="s">
        <v>19</v>
      </c>
      <c r="B162" s="1186" t="s">
        <v>875</v>
      </c>
      <c r="C162" s="1186" t="s">
        <v>1987</v>
      </c>
      <c r="D162" s="1186" t="s">
        <v>1986</v>
      </c>
      <c r="E162" s="1186" t="s">
        <v>2031</v>
      </c>
      <c r="F162" s="1186" t="s">
        <v>2033</v>
      </c>
      <c r="G162" s="1186" t="s">
        <v>850</v>
      </c>
      <c r="H162" s="1186">
        <v>4</v>
      </c>
    </row>
    <row r="163" spans="1:8" x14ac:dyDescent="0.2">
      <c r="A163" s="1186" t="s">
        <v>19</v>
      </c>
      <c r="B163" s="1186" t="s">
        <v>875</v>
      </c>
      <c r="C163" s="1186" t="s">
        <v>1987</v>
      </c>
      <c r="D163" s="1186" t="s">
        <v>1986</v>
      </c>
      <c r="E163" s="1186" t="s">
        <v>2031</v>
      </c>
      <c r="F163" s="1186" t="s">
        <v>2034</v>
      </c>
      <c r="G163" s="1186" t="s">
        <v>828</v>
      </c>
      <c r="H163" s="1186">
        <v>36</v>
      </c>
    </row>
    <row r="164" spans="1:8" x14ac:dyDescent="0.2">
      <c r="A164" s="1186" t="s">
        <v>19</v>
      </c>
      <c r="B164" s="1186" t="s">
        <v>875</v>
      </c>
      <c r="C164" s="1186" t="s">
        <v>1987</v>
      </c>
      <c r="D164" s="1186" t="s">
        <v>1986</v>
      </c>
      <c r="E164" s="1186" t="s">
        <v>2031</v>
      </c>
      <c r="F164" s="1186" t="s">
        <v>2034</v>
      </c>
      <c r="G164" s="1186" t="s">
        <v>850</v>
      </c>
      <c r="H164" s="1186">
        <v>3</v>
      </c>
    </row>
    <row r="165" spans="1:8" x14ac:dyDescent="0.2">
      <c r="A165" s="1186" t="s">
        <v>19</v>
      </c>
      <c r="B165" s="1186" t="s">
        <v>875</v>
      </c>
      <c r="C165" s="1186" t="s">
        <v>1987</v>
      </c>
      <c r="D165" s="1186" t="s">
        <v>1986</v>
      </c>
      <c r="E165" s="1186" t="s">
        <v>2031</v>
      </c>
      <c r="F165" s="1186" t="s">
        <v>2034</v>
      </c>
      <c r="G165" s="1186" t="s">
        <v>851</v>
      </c>
      <c r="H165" s="1186">
        <v>3</v>
      </c>
    </row>
    <row r="166" spans="1:8" x14ac:dyDescent="0.2">
      <c r="A166" s="1186" t="s">
        <v>19</v>
      </c>
      <c r="B166" s="1186" t="s">
        <v>875</v>
      </c>
      <c r="C166" s="1186" t="s">
        <v>1987</v>
      </c>
      <c r="D166" s="1186" t="s">
        <v>1986</v>
      </c>
      <c r="E166" s="1186" t="s">
        <v>2035</v>
      </c>
      <c r="F166" s="1186" t="s">
        <v>2032</v>
      </c>
      <c r="G166" s="1186" t="s">
        <v>828</v>
      </c>
      <c r="H166" s="1186">
        <v>1</v>
      </c>
    </row>
    <row r="167" spans="1:8" x14ac:dyDescent="0.2">
      <c r="A167" s="1186" t="s">
        <v>19</v>
      </c>
      <c r="B167" s="1186" t="s">
        <v>875</v>
      </c>
      <c r="C167" s="1186" t="s">
        <v>1987</v>
      </c>
      <c r="D167" s="1186" t="s">
        <v>1986</v>
      </c>
      <c r="E167" s="1186" t="s">
        <v>2035</v>
      </c>
      <c r="F167" s="1186" t="s">
        <v>2032</v>
      </c>
      <c r="G167" s="1186" t="s">
        <v>850</v>
      </c>
      <c r="H167" s="1186">
        <v>1</v>
      </c>
    </row>
    <row r="168" spans="1:8" x14ac:dyDescent="0.2">
      <c r="A168" s="1186" t="s">
        <v>19</v>
      </c>
      <c r="B168" s="1186" t="s">
        <v>875</v>
      </c>
      <c r="C168" s="1186" t="s">
        <v>1987</v>
      </c>
      <c r="D168" s="1186" t="s">
        <v>1986</v>
      </c>
      <c r="E168" s="1186" t="s">
        <v>2035</v>
      </c>
      <c r="F168" s="1186" t="s">
        <v>2032</v>
      </c>
      <c r="G168" s="1186" t="s">
        <v>851</v>
      </c>
      <c r="H168" s="1186">
        <v>7</v>
      </c>
    </row>
    <row r="169" spans="1:8" x14ac:dyDescent="0.2">
      <c r="A169" s="1186" t="s">
        <v>19</v>
      </c>
      <c r="B169" s="1186" t="s">
        <v>875</v>
      </c>
      <c r="C169" s="1186" t="s">
        <v>1987</v>
      </c>
      <c r="D169" s="1186" t="s">
        <v>1986</v>
      </c>
      <c r="E169" s="1186" t="s">
        <v>2035</v>
      </c>
      <c r="F169" s="1186" t="s">
        <v>2032</v>
      </c>
      <c r="G169" s="1186" t="s">
        <v>852</v>
      </c>
      <c r="H169" s="1186">
        <v>2</v>
      </c>
    </row>
    <row r="170" spans="1:8" x14ac:dyDescent="0.2">
      <c r="A170" s="1186" t="s">
        <v>19</v>
      </c>
      <c r="B170" s="1186" t="s">
        <v>875</v>
      </c>
      <c r="C170" s="1186" t="s">
        <v>1987</v>
      </c>
      <c r="D170" s="1186" t="s">
        <v>1986</v>
      </c>
      <c r="E170" s="1186" t="s">
        <v>2035</v>
      </c>
      <c r="F170" s="1186" t="s">
        <v>2033</v>
      </c>
      <c r="G170" s="1186" t="s">
        <v>828</v>
      </c>
      <c r="H170" s="1186">
        <v>39</v>
      </c>
    </row>
    <row r="171" spans="1:8" x14ac:dyDescent="0.2">
      <c r="A171" s="1186" t="s">
        <v>19</v>
      </c>
      <c r="B171" s="1186" t="s">
        <v>875</v>
      </c>
      <c r="C171" s="1186" t="s">
        <v>1987</v>
      </c>
      <c r="D171" s="1186" t="s">
        <v>1986</v>
      </c>
      <c r="E171" s="1186" t="s">
        <v>2035</v>
      </c>
      <c r="F171" s="1186" t="s">
        <v>2033</v>
      </c>
      <c r="G171" s="1186" t="s">
        <v>850</v>
      </c>
      <c r="H171" s="1186">
        <v>8</v>
      </c>
    </row>
    <row r="172" spans="1:8" x14ac:dyDescent="0.2">
      <c r="A172" s="1186" t="s">
        <v>19</v>
      </c>
      <c r="B172" s="1186" t="s">
        <v>875</v>
      </c>
      <c r="C172" s="1186" t="s">
        <v>1987</v>
      </c>
      <c r="D172" s="1186" t="s">
        <v>1986</v>
      </c>
      <c r="E172" s="1186" t="s">
        <v>2035</v>
      </c>
      <c r="F172" s="1186" t="s">
        <v>2033</v>
      </c>
      <c r="G172" s="1186" t="s">
        <v>851</v>
      </c>
      <c r="H172" s="1186">
        <v>209</v>
      </c>
    </row>
    <row r="173" spans="1:8" x14ac:dyDescent="0.2">
      <c r="A173" s="1186" t="s">
        <v>19</v>
      </c>
      <c r="B173" s="1186" t="s">
        <v>875</v>
      </c>
      <c r="C173" s="1186" t="s">
        <v>1987</v>
      </c>
      <c r="D173" s="1186" t="s">
        <v>1986</v>
      </c>
      <c r="E173" s="1186" t="s">
        <v>2035</v>
      </c>
      <c r="F173" s="1186" t="s">
        <v>2033</v>
      </c>
      <c r="G173" s="1186" t="s">
        <v>852</v>
      </c>
      <c r="H173" s="1186">
        <v>21</v>
      </c>
    </row>
    <row r="174" spans="1:8" x14ac:dyDescent="0.2">
      <c r="A174" s="1186" t="s">
        <v>19</v>
      </c>
      <c r="B174" s="1186" t="s">
        <v>875</v>
      </c>
      <c r="C174" s="1186" t="s">
        <v>1987</v>
      </c>
      <c r="D174" s="1186" t="s">
        <v>1986</v>
      </c>
      <c r="E174" s="1186" t="s">
        <v>2035</v>
      </c>
      <c r="F174" s="1186" t="s">
        <v>2034</v>
      </c>
      <c r="G174" s="1186" t="s">
        <v>828</v>
      </c>
      <c r="H174" s="1186">
        <v>74</v>
      </c>
    </row>
    <row r="175" spans="1:8" x14ac:dyDescent="0.2">
      <c r="A175" s="1186" t="s">
        <v>19</v>
      </c>
      <c r="B175" s="1186" t="s">
        <v>875</v>
      </c>
      <c r="C175" s="1186" t="s">
        <v>1987</v>
      </c>
      <c r="D175" s="1186" t="s">
        <v>1986</v>
      </c>
      <c r="E175" s="1186" t="s">
        <v>2035</v>
      </c>
      <c r="F175" s="1186" t="s">
        <v>2034</v>
      </c>
      <c r="G175" s="1186" t="s">
        <v>850</v>
      </c>
      <c r="H175" s="1186">
        <v>60</v>
      </c>
    </row>
    <row r="176" spans="1:8" x14ac:dyDescent="0.2">
      <c r="A176" s="1186" t="s">
        <v>19</v>
      </c>
      <c r="B176" s="1186" t="s">
        <v>875</v>
      </c>
      <c r="C176" s="1186" t="s">
        <v>1987</v>
      </c>
      <c r="D176" s="1186" t="s">
        <v>1986</v>
      </c>
      <c r="E176" s="1186" t="s">
        <v>2035</v>
      </c>
      <c r="F176" s="1186" t="s">
        <v>2034</v>
      </c>
      <c r="G176" s="1186" t="s">
        <v>851</v>
      </c>
      <c r="H176" s="1186">
        <v>45</v>
      </c>
    </row>
    <row r="177" spans="1:8" x14ac:dyDescent="0.2">
      <c r="A177" s="1186" t="s">
        <v>19</v>
      </c>
      <c r="B177" s="1186" t="s">
        <v>875</v>
      </c>
      <c r="C177" s="1186" t="s">
        <v>1987</v>
      </c>
      <c r="D177" s="1186" t="s">
        <v>1986</v>
      </c>
      <c r="E177" s="1186" t="s">
        <v>2035</v>
      </c>
      <c r="F177" s="1186" t="s">
        <v>2034</v>
      </c>
      <c r="G177" s="1186" t="s">
        <v>852</v>
      </c>
      <c r="H177" s="1186">
        <v>9</v>
      </c>
    </row>
    <row r="178" spans="1:8" x14ac:dyDescent="0.2">
      <c r="A178" s="1186" t="s">
        <v>19</v>
      </c>
      <c r="B178" s="1186" t="s">
        <v>876</v>
      </c>
      <c r="C178" s="1186" t="s">
        <v>1987</v>
      </c>
      <c r="D178" s="1186" t="s">
        <v>1988</v>
      </c>
      <c r="E178" s="1186" t="s">
        <v>2031</v>
      </c>
      <c r="F178" s="1186" t="s">
        <v>2032</v>
      </c>
      <c r="G178" s="1186" t="s">
        <v>828</v>
      </c>
      <c r="H178" s="1186">
        <v>4</v>
      </c>
    </row>
    <row r="179" spans="1:8" x14ac:dyDescent="0.2">
      <c r="A179" s="1186" t="s">
        <v>19</v>
      </c>
      <c r="B179" s="1186" t="s">
        <v>876</v>
      </c>
      <c r="C179" s="1186" t="s">
        <v>1987</v>
      </c>
      <c r="D179" s="1186" t="s">
        <v>1988</v>
      </c>
      <c r="E179" s="1186" t="s">
        <v>2031</v>
      </c>
      <c r="F179" s="1186" t="s">
        <v>2033</v>
      </c>
      <c r="G179" s="1186" t="s">
        <v>828</v>
      </c>
      <c r="H179" s="1186">
        <v>105</v>
      </c>
    </row>
    <row r="180" spans="1:8" x14ac:dyDescent="0.2">
      <c r="A180" s="1186" t="s">
        <v>19</v>
      </c>
      <c r="B180" s="1186" t="s">
        <v>876</v>
      </c>
      <c r="C180" s="1186" t="s">
        <v>1987</v>
      </c>
      <c r="D180" s="1186" t="s">
        <v>1988</v>
      </c>
      <c r="E180" s="1186" t="s">
        <v>2031</v>
      </c>
      <c r="F180" s="1186" t="s">
        <v>2033</v>
      </c>
      <c r="G180" s="1186" t="s">
        <v>850</v>
      </c>
      <c r="H180" s="1186">
        <v>10</v>
      </c>
    </row>
    <row r="181" spans="1:8" x14ac:dyDescent="0.2">
      <c r="A181" s="1186" t="s">
        <v>19</v>
      </c>
      <c r="B181" s="1186" t="s">
        <v>876</v>
      </c>
      <c r="C181" s="1186" t="s">
        <v>1987</v>
      </c>
      <c r="D181" s="1186" t="s">
        <v>1988</v>
      </c>
      <c r="E181" s="1186" t="s">
        <v>2031</v>
      </c>
      <c r="F181" s="1186" t="s">
        <v>2033</v>
      </c>
      <c r="G181" s="1186" t="s">
        <v>851</v>
      </c>
      <c r="H181" s="1186">
        <v>4</v>
      </c>
    </row>
    <row r="182" spans="1:8" x14ac:dyDescent="0.2">
      <c r="A182" s="1186" t="s">
        <v>19</v>
      </c>
      <c r="B182" s="1186" t="s">
        <v>876</v>
      </c>
      <c r="C182" s="1186" t="s">
        <v>1987</v>
      </c>
      <c r="D182" s="1186" t="s">
        <v>1988</v>
      </c>
      <c r="E182" s="1186" t="s">
        <v>2031</v>
      </c>
      <c r="F182" s="1186" t="s">
        <v>2033</v>
      </c>
      <c r="G182" s="1186" t="s">
        <v>852</v>
      </c>
      <c r="H182" s="1186">
        <v>5</v>
      </c>
    </row>
    <row r="183" spans="1:8" x14ac:dyDescent="0.2">
      <c r="A183" s="1186" t="s">
        <v>19</v>
      </c>
      <c r="B183" s="1186" t="s">
        <v>876</v>
      </c>
      <c r="C183" s="1186" t="s">
        <v>1987</v>
      </c>
      <c r="D183" s="1186" t="s">
        <v>1988</v>
      </c>
      <c r="E183" s="1186" t="s">
        <v>2031</v>
      </c>
      <c r="F183" s="1186" t="s">
        <v>2034</v>
      </c>
      <c r="G183" s="1186" t="s">
        <v>828</v>
      </c>
      <c r="H183" s="1186">
        <v>37</v>
      </c>
    </row>
    <row r="184" spans="1:8" x14ac:dyDescent="0.2">
      <c r="A184" s="1186" t="s">
        <v>19</v>
      </c>
      <c r="B184" s="1186" t="s">
        <v>876</v>
      </c>
      <c r="C184" s="1186" t="s">
        <v>1987</v>
      </c>
      <c r="D184" s="1186" t="s">
        <v>1988</v>
      </c>
      <c r="E184" s="1186" t="s">
        <v>2031</v>
      </c>
      <c r="F184" s="1186" t="s">
        <v>2034</v>
      </c>
      <c r="G184" s="1186" t="s">
        <v>850</v>
      </c>
      <c r="H184" s="1186">
        <v>2</v>
      </c>
    </row>
    <row r="185" spans="1:8" x14ac:dyDescent="0.2">
      <c r="A185" s="1186" t="s">
        <v>19</v>
      </c>
      <c r="B185" s="1186" t="s">
        <v>876</v>
      </c>
      <c r="C185" s="1186" t="s">
        <v>1987</v>
      </c>
      <c r="D185" s="1186" t="s">
        <v>1988</v>
      </c>
      <c r="E185" s="1186" t="s">
        <v>2035</v>
      </c>
      <c r="F185" s="1186" t="s">
        <v>2032</v>
      </c>
      <c r="G185" s="1186" t="s">
        <v>828</v>
      </c>
      <c r="H185" s="1186">
        <v>2</v>
      </c>
    </row>
    <row r="186" spans="1:8" x14ac:dyDescent="0.2">
      <c r="A186" s="1186" t="s">
        <v>19</v>
      </c>
      <c r="B186" s="1186" t="s">
        <v>876</v>
      </c>
      <c r="C186" s="1186" t="s">
        <v>1987</v>
      </c>
      <c r="D186" s="1186" t="s">
        <v>1988</v>
      </c>
      <c r="E186" s="1186" t="s">
        <v>2035</v>
      </c>
      <c r="F186" s="1186" t="s">
        <v>2032</v>
      </c>
      <c r="G186" s="1186" t="s">
        <v>850</v>
      </c>
      <c r="H186" s="1186">
        <v>1</v>
      </c>
    </row>
    <row r="187" spans="1:8" x14ac:dyDescent="0.2">
      <c r="A187" s="1186" t="s">
        <v>19</v>
      </c>
      <c r="B187" s="1186" t="s">
        <v>876</v>
      </c>
      <c r="C187" s="1186" t="s">
        <v>1987</v>
      </c>
      <c r="D187" s="1186" t="s">
        <v>1988</v>
      </c>
      <c r="E187" s="1186" t="s">
        <v>2035</v>
      </c>
      <c r="F187" s="1186" t="s">
        <v>2032</v>
      </c>
      <c r="G187" s="1186" t="s">
        <v>851</v>
      </c>
      <c r="H187" s="1186">
        <v>16</v>
      </c>
    </row>
    <row r="188" spans="1:8" x14ac:dyDescent="0.2">
      <c r="A188" s="1186" t="s">
        <v>19</v>
      </c>
      <c r="B188" s="1186" t="s">
        <v>876</v>
      </c>
      <c r="C188" s="1186" t="s">
        <v>1987</v>
      </c>
      <c r="D188" s="1186" t="s">
        <v>1988</v>
      </c>
      <c r="E188" s="1186" t="s">
        <v>2035</v>
      </c>
      <c r="F188" s="1186" t="s">
        <v>2032</v>
      </c>
      <c r="G188" s="1186" t="s">
        <v>852</v>
      </c>
      <c r="H188" s="1186">
        <v>4</v>
      </c>
    </row>
    <row r="189" spans="1:8" x14ac:dyDescent="0.2">
      <c r="A189" s="1186" t="s">
        <v>19</v>
      </c>
      <c r="B189" s="1186" t="s">
        <v>876</v>
      </c>
      <c r="C189" s="1186" t="s">
        <v>1987</v>
      </c>
      <c r="D189" s="1186" t="s">
        <v>1988</v>
      </c>
      <c r="E189" s="1186" t="s">
        <v>2035</v>
      </c>
      <c r="F189" s="1186" t="s">
        <v>2033</v>
      </c>
      <c r="G189" s="1186" t="s">
        <v>828</v>
      </c>
      <c r="H189" s="1186">
        <v>33</v>
      </c>
    </row>
    <row r="190" spans="1:8" x14ac:dyDescent="0.2">
      <c r="A190" s="1186" t="s">
        <v>19</v>
      </c>
      <c r="B190" s="1186" t="s">
        <v>876</v>
      </c>
      <c r="C190" s="1186" t="s">
        <v>1987</v>
      </c>
      <c r="D190" s="1186" t="s">
        <v>1988</v>
      </c>
      <c r="E190" s="1186" t="s">
        <v>2035</v>
      </c>
      <c r="F190" s="1186" t="s">
        <v>2033</v>
      </c>
      <c r="G190" s="1186" t="s">
        <v>850</v>
      </c>
      <c r="H190" s="1186">
        <v>7</v>
      </c>
    </row>
    <row r="191" spans="1:8" x14ac:dyDescent="0.2">
      <c r="A191" s="1186" t="s">
        <v>19</v>
      </c>
      <c r="B191" s="1186" t="s">
        <v>876</v>
      </c>
      <c r="C191" s="1186" t="s">
        <v>1987</v>
      </c>
      <c r="D191" s="1186" t="s">
        <v>1988</v>
      </c>
      <c r="E191" s="1186" t="s">
        <v>2035</v>
      </c>
      <c r="F191" s="1186" t="s">
        <v>2033</v>
      </c>
      <c r="G191" s="1186" t="s">
        <v>851</v>
      </c>
      <c r="H191" s="1186">
        <v>154</v>
      </c>
    </row>
    <row r="192" spans="1:8" x14ac:dyDescent="0.2">
      <c r="A192" s="1186" t="s">
        <v>19</v>
      </c>
      <c r="B192" s="1186" t="s">
        <v>876</v>
      </c>
      <c r="C192" s="1186" t="s">
        <v>1987</v>
      </c>
      <c r="D192" s="1186" t="s">
        <v>1988</v>
      </c>
      <c r="E192" s="1186" t="s">
        <v>2035</v>
      </c>
      <c r="F192" s="1186" t="s">
        <v>2033</v>
      </c>
      <c r="G192" s="1186" t="s">
        <v>852</v>
      </c>
      <c r="H192" s="1186">
        <v>20</v>
      </c>
    </row>
    <row r="193" spans="1:8" x14ac:dyDescent="0.2">
      <c r="A193" s="1186" t="s">
        <v>19</v>
      </c>
      <c r="B193" s="1186" t="s">
        <v>876</v>
      </c>
      <c r="C193" s="1186" t="s">
        <v>1987</v>
      </c>
      <c r="D193" s="1186" t="s">
        <v>1988</v>
      </c>
      <c r="E193" s="1186" t="s">
        <v>2035</v>
      </c>
      <c r="F193" s="1186" t="s">
        <v>2034</v>
      </c>
      <c r="G193" s="1186" t="s">
        <v>828</v>
      </c>
      <c r="H193" s="1186">
        <v>92</v>
      </c>
    </row>
    <row r="194" spans="1:8" x14ac:dyDescent="0.2">
      <c r="A194" s="1186" t="s">
        <v>19</v>
      </c>
      <c r="B194" s="1186" t="s">
        <v>876</v>
      </c>
      <c r="C194" s="1186" t="s">
        <v>1987</v>
      </c>
      <c r="D194" s="1186" t="s">
        <v>1988</v>
      </c>
      <c r="E194" s="1186" t="s">
        <v>2035</v>
      </c>
      <c r="F194" s="1186" t="s">
        <v>2034</v>
      </c>
      <c r="G194" s="1186" t="s">
        <v>850</v>
      </c>
      <c r="H194" s="1186">
        <v>33</v>
      </c>
    </row>
    <row r="195" spans="1:8" x14ac:dyDescent="0.2">
      <c r="A195" s="1186" t="s">
        <v>19</v>
      </c>
      <c r="B195" s="1186" t="s">
        <v>876</v>
      </c>
      <c r="C195" s="1186" t="s">
        <v>1987</v>
      </c>
      <c r="D195" s="1186" t="s">
        <v>1988</v>
      </c>
      <c r="E195" s="1186" t="s">
        <v>2035</v>
      </c>
      <c r="F195" s="1186" t="s">
        <v>2034</v>
      </c>
      <c r="G195" s="1186" t="s">
        <v>851</v>
      </c>
      <c r="H195" s="1186">
        <v>26</v>
      </c>
    </row>
    <row r="196" spans="1:8" x14ac:dyDescent="0.2">
      <c r="A196" s="1186" t="s">
        <v>19</v>
      </c>
      <c r="B196" s="1186" t="s">
        <v>876</v>
      </c>
      <c r="C196" s="1186" t="s">
        <v>1987</v>
      </c>
      <c r="D196" s="1186" t="s">
        <v>1988</v>
      </c>
      <c r="E196" s="1186" t="s">
        <v>2035</v>
      </c>
      <c r="F196" s="1186" t="s">
        <v>2034</v>
      </c>
      <c r="G196" s="1186" t="s">
        <v>852</v>
      </c>
      <c r="H196" s="1186">
        <v>9</v>
      </c>
    </row>
    <row r="197" spans="1:8" x14ac:dyDescent="0.2">
      <c r="A197" s="1186" t="s">
        <v>19</v>
      </c>
      <c r="B197" s="1186" t="s">
        <v>877</v>
      </c>
      <c r="C197" s="1186" t="s">
        <v>1987</v>
      </c>
      <c r="D197" s="1186" t="s">
        <v>1988</v>
      </c>
      <c r="E197" s="1186" t="s">
        <v>2031</v>
      </c>
      <c r="F197" s="1186" t="s">
        <v>2032</v>
      </c>
      <c r="G197" s="1186" t="s">
        <v>828</v>
      </c>
      <c r="H197" s="1186">
        <v>7</v>
      </c>
    </row>
    <row r="198" spans="1:8" x14ac:dyDescent="0.2">
      <c r="A198" s="1186" t="s">
        <v>19</v>
      </c>
      <c r="B198" s="1186" t="s">
        <v>877</v>
      </c>
      <c r="C198" s="1186" t="s">
        <v>1987</v>
      </c>
      <c r="D198" s="1186" t="s">
        <v>1988</v>
      </c>
      <c r="E198" s="1186" t="s">
        <v>2031</v>
      </c>
      <c r="F198" s="1186" t="s">
        <v>2033</v>
      </c>
      <c r="G198" s="1186" t="s">
        <v>828</v>
      </c>
      <c r="H198" s="1186">
        <v>97</v>
      </c>
    </row>
    <row r="199" spans="1:8" x14ac:dyDescent="0.2">
      <c r="A199" s="1186" t="s">
        <v>19</v>
      </c>
      <c r="B199" s="1186" t="s">
        <v>877</v>
      </c>
      <c r="C199" s="1186" t="s">
        <v>1987</v>
      </c>
      <c r="D199" s="1186" t="s">
        <v>1988</v>
      </c>
      <c r="E199" s="1186" t="s">
        <v>2031</v>
      </c>
      <c r="F199" s="1186" t="s">
        <v>2033</v>
      </c>
      <c r="G199" s="1186" t="s">
        <v>850</v>
      </c>
      <c r="H199" s="1186">
        <v>12</v>
      </c>
    </row>
    <row r="200" spans="1:8" x14ac:dyDescent="0.2">
      <c r="A200" s="1186" t="s">
        <v>19</v>
      </c>
      <c r="B200" s="1186" t="s">
        <v>877</v>
      </c>
      <c r="C200" s="1186" t="s">
        <v>1987</v>
      </c>
      <c r="D200" s="1186" t="s">
        <v>1988</v>
      </c>
      <c r="E200" s="1186" t="s">
        <v>2031</v>
      </c>
      <c r="F200" s="1186" t="s">
        <v>2033</v>
      </c>
      <c r="G200" s="1186" t="s">
        <v>851</v>
      </c>
      <c r="H200" s="1186">
        <v>2</v>
      </c>
    </row>
    <row r="201" spans="1:8" x14ac:dyDescent="0.2">
      <c r="A201" s="1186" t="s">
        <v>19</v>
      </c>
      <c r="B201" s="1186" t="s">
        <v>877</v>
      </c>
      <c r="C201" s="1186" t="s">
        <v>1987</v>
      </c>
      <c r="D201" s="1186" t="s">
        <v>1988</v>
      </c>
      <c r="E201" s="1186" t="s">
        <v>2031</v>
      </c>
      <c r="F201" s="1186" t="s">
        <v>2033</v>
      </c>
      <c r="G201" s="1186" t="s">
        <v>852</v>
      </c>
      <c r="H201" s="1186">
        <v>3</v>
      </c>
    </row>
    <row r="202" spans="1:8" x14ac:dyDescent="0.2">
      <c r="A202" s="1186" t="s">
        <v>19</v>
      </c>
      <c r="B202" s="1186" t="s">
        <v>877</v>
      </c>
      <c r="C202" s="1186" t="s">
        <v>1987</v>
      </c>
      <c r="D202" s="1186" t="s">
        <v>1988</v>
      </c>
      <c r="E202" s="1186" t="s">
        <v>2031</v>
      </c>
      <c r="F202" s="1186" t="s">
        <v>2034</v>
      </c>
      <c r="G202" s="1186" t="s">
        <v>828</v>
      </c>
      <c r="H202" s="1186">
        <v>46</v>
      </c>
    </row>
    <row r="203" spans="1:8" x14ac:dyDescent="0.2">
      <c r="A203" s="1186" t="s">
        <v>19</v>
      </c>
      <c r="B203" s="1186" t="s">
        <v>877</v>
      </c>
      <c r="C203" s="1186" t="s">
        <v>1987</v>
      </c>
      <c r="D203" s="1186" t="s">
        <v>1988</v>
      </c>
      <c r="E203" s="1186" t="s">
        <v>2031</v>
      </c>
      <c r="F203" s="1186" t="s">
        <v>2034</v>
      </c>
      <c r="G203" s="1186" t="s">
        <v>850</v>
      </c>
      <c r="H203" s="1186">
        <v>2</v>
      </c>
    </row>
    <row r="204" spans="1:8" x14ac:dyDescent="0.2">
      <c r="A204" s="1186" t="s">
        <v>19</v>
      </c>
      <c r="B204" s="1186" t="s">
        <v>877</v>
      </c>
      <c r="C204" s="1186" t="s">
        <v>1987</v>
      </c>
      <c r="D204" s="1186" t="s">
        <v>1988</v>
      </c>
      <c r="E204" s="1186" t="s">
        <v>2035</v>
      </c>
      <c r="F204" s="1186" t="s">
        <v>2032</v>
      </c>
      <c r="G204" s="1186" t="s">
        <v>828</v>
      </c>
      <c r="H204" s="1186">
        <v>5</v>
      </c>
    </row>
    <row r="205" spans="1:8" x14ac:dyDescent="0.2">
      <c r="A205" s="1186" t="s">
        <v>19</v>
      </c>
      <c r="B205" s="1186" t="s">
        <v>877</v>
      </c>
      <c r="C205" s="1186" t="s">
        <v>1987</v>
      </c>
      <c r="D205" s="1186" t="s">
        <v>1988</v>
      </c>
      <c r="E205" s="1186" t="s">
        <v>2035</v>
      </c>
      <c r="F205" s="1186" t="s">
        <v>2032</v>
      </c>
      <c r="G205" s="1186" t="s">
        <v>851</v>
      </c>
      <c r="H205" s="1186">
        <v>8</v>
      </c>
    </row>
    <row r="206" spans="1:8" x14ac:dyDescent="0.2">
      <c r="A206" s="1186" t="s">
        <v>19</v>
      </c>
      <c r="B206" s="1186" t="s">
        <v>877</v>
      </c>
      <c r="C206" s="1186" t="s">
        <v>1987</v>
      </c>
      <c r="D206" s="1186" t="s">
        <v>1988</v>
      </c>
      <c r="E206" s="1186" t="s">
        <v>2035</v>
      </c>
      <c r="F206" s="1186" t="s">
        <v>2032</v>
      </c>
      <c r="G206" s="1186" t="s">
        <v>852</v>
      </c>
      <c r="H206" s="1186">
        <v>1</v>
      </c>
    </row>
    <row r="207" spans="1:8" x14ac:dyDescent="0.2">
      <c r="A207" s="1186" t="s">
        <v>19</v>
      </c>
      <c r="B207" s="1186" t="s">
        <v>877</v>
      </c>
      <c r="C207" s="1186" t="s">
        <v>1987</v>
      </c>
      <c r="D207" s="1186" t="s">
        <v>1988</v>
      </c>
      <c r="E207" s="1186" t="s">
        <v>2035</v>
      </c>
      <c r="F207" s="1186" t="s">
        <v>2033</v>
      </c>
      <c r="G207" s="1186" t="s">
        <v>828</v>
      </c>
      <c r="H207" s="1186">
        <v>20</v>
      </c>
    </row>
    <row r="208" spans="1:8" x14ac:dyDescent="0.2">
      <c r="A208" s="1186" t="s">
        <v>19</v>
      </c>
      <c r="B208" s="1186" t="s">
        <v>877</v>
      </c>
      <c r="C208" s="1186" t="s">
        <v>1987</v>
      </c>
      <c r="D208" s="1186" t="s">
        <v>1988</v>
      </c>
      <c r="E208" s="1186" t="s">
        <v>2035</v>
      </c>
      <c r="F208" s="1186" t="s">
        <v>2033</v>
      </c>
      <c r="G208" s="1186" t="s">
        <v>850</v>
      </c>
      <c r="H208" s="1186">
        <v>20</v>
      </c>
    </row>
    <row r="209" spans="1:8" x14ac:dyDescent="0.2">
      <c r="A209" s="1186" t="s">
        <v>19</v>
      </c>
      <c r="B209" s="1186" t="s">
        <v>877</v>
      </c>
      <c r="C209" s="1186" t="s">
        <v>1987</v>
      </c>
      <c r="D209" s="1186" t="s">
        <v>1988</v>
      </c>
      <c r="E209" s="1186" t="s">
        <v>2035</v>
      </c>
      <c r="F209" s="1186" t="s">
        <v>2033</v>
      </c>
      <c r="G209" s="1186" t="s">
        <v>851</v>
      </c>
      <c r="H209" s="1186">
        <v>157</v>
      </c>
    </row>
    <row r="210" spans="1:8" x14ac:dyDescent="0.2">
      <c r="A210" s="1186" t="s">
        <v>19</v>
      </c>
      <c r="B210" s="1186" t="s">
        <v>877</v>
      </c>
      <c r="C210" s="1186" t="s">
        <v>1987</v>
      </c>
      <c r="D210" s="1186" t="s">
        <v>1988</v>
      </c>
      <c r="E210" s="1186" t="s">
        <v>2035</v>
      </c>
      <c r="F210" s="1186" t="s">
        <v>2033</v>
      </c>
      <c r="G210" s="1186" t="s">
        <v>852</v>
      </c>
      <c r="H210" s="1186">
        <v>8</v>
      </c>
    </row>
    <row r="211" spans="1:8" x14ac:dyDescent="0.2">
      <c r="A211" s="1186" t="s">
        <v>19</v>
      </c>
      <c r="B211" s="1186" t="s">
        <v>877</v>
      </c>
      <c r="C211" s="1186" t="s">
        <v>1987</v>
      </c>
      <c r="D211" s="1186" t="s">
        <v>1988</v>
      </c>
      <c r="E211" s="1186" t="s">
        <v>2035</v>
      </c>
      <c r="F211" s="1186" t="s">
        <v>2034</v>
      </c>
      <c r="G211" s="1186" t="s">
        <v>828</v>
      </c>
      <c r="H211" s="1186">
        <v>46</v>
      </c>
    </row>
    <row r="212" spans="1:8" x14ac:dyDescent="0.2">
      <c r="A212" s="1186" t="s">
        <v>19</v>
      </c>
      <c r="B212" s="1186" t="s">
        <v>877</v>
      </c>
      <c r="C212" s="1186" t="s">
        <v>1987</v>
      </c>
      <c r="D212" s="1186" t="s">
        <v>1988</v>
      </c>
      <c r="E212" s="1186" t="s">
        <v>2035</v>
      </c>
      <c r="F212" s="1186" t="s">
        <v>2034</v>
      </c>
      <c r="G212" s="1186" t="s">
        <v>850</v>
      </c>
      <c r="H212" s="1186">
        <v>23</v>
      </c>
    </row>
    <row r="213" spans="1:8" x14ac:dyDescent="0.2">
      <c r="A213" s="1186" t="s">
        <v>19</v>
      </c>
      <c r="B213" s="1186" t="s">
        <v>877</v>
      </c>
      <c r="C213" s="1186" t="s">
        <v>1987</v>
      </c>
      <c r="D213" s="1186" t="s">
        <v>1988</v>
      </c>
      <c r="E213" s="1186" t="s">
        <v>2035</v>
      </c>
      <c r="F213" s="1186" t="s">
        <v>2034</v>
      </c>
      <c r="G213" s="1186" t="s">
        <v>851</v>
      </c>
      <c r="H213" s="1186">
        <v>16</v>
      </c>
    </row>
    <row r="214" spans="1:8" x14ac:dyDescent="0.2">
      <c r="A214" s="1186" t="s">
        <v>19</v>
      </c>
      <c r="B214" s="1186" t="s">
        <v>877</v>
      </c>
      <c r="C214" s="1186" t="s">
        <v>1987</v>
      </c>
      <c r="D214" s="1186" t="s">
        <v>1988</v>
      </c>
      <c r="E214" s="1186" t="s">
        <v>2035</v>
      </c>
      <c r="F214" s="1186" t="s">
        <v>2034</v>
      </c>
      <c r="G214" s="1186" t="s">
        <v>852</v>
      </c>
      <c r="H214" s="1186">
        <v>13</v>
      </c>
    </row>
    <row r="215" spans="1:8" x14ac:dyDescent="0.2">
      <c r="A215" s="1186" t="s">
        <v>19</v>
      </c>
      <c r="B215" s="1186" t="s">
        <v>878</v>
      </c>
      <c r="C215" s="1186" t="s">
        <v>1981</v>
      </c>
      <c r="D215" s="1186" t="s">
        <v>1988</v>
      </c>
      <c r="E215" s="1186" t="s">
        <v>2031</v>
      </c>
      <c r="F215" s="1186" t="s">
        <v>2032</v>
      </c>
      <c r="G215" s="1186" t="s">
        <v>828</v>
      </c>
      <c r="H215" s="1186">
        <v>6</v>
      </c>
    </row>
    <row r="216" spans="1:8" x14ac:dyDescent="0.2">
      <c r="A216" s="1186" t="s">
        <v>19</v>
      </c>
      <c r="B216" s="1186" t="s">
        <v>878</v>
      </c>
      <c r="C216" s="1186" t="s">
        <v>1981</v>
      </c>
      <c r="D216" s="1186" t="s">
        <v>1988</v>
      </c>
      <c r="E216" s="1186" t="s">
        <v>2031</v>
      </c>
      <c r="F216" s="1186" t="s">
        <v>2032</v>
      </c>
      <c r="G216" s="1186" t="s">
        <v>850</v>
      </c>
      <c r="H216" s="1186">
        <v>2</v>
      </c>
    </row>
    <row r="217" spans="1:8" x14ac:dyDescent="0.2">
      <c r="A217" s="1186" t="s">
        <v>19</v>
      </c>
      <c r="B217" s="1186" t="s">
        <v>878</v>
      </c>
      <c r="C217" s="1186" t="s">
        <v>1981</v>
      </c>
      <c r="D217" s="1186" t="s">
        <v>1988</v>
      </c>
      <c r="E217" s="1186" t="s">
        <v>2031</v>
      </c>
      <c r="F217" s="1186" t="s">
        <v>2032</v>
      </c>
      <c r="G217" s="1186" t="s">
        <v>851</v>
      </c>
      <c r="H217" s="1186">
        <v>1</v>
      </c>
    </row>
    <row r="218" spans="1:8" x14ac:dyDescent="0.2">
      <c r="A218" s="1186" t="s">
        <v>19</v>
      </c>
      <c r="B218" s="1186" t="s">
        <v>878</v>
      </c>
      <c r="C218" s="1186" t="s">
        <v>1981</v>
      </c>
      <c r="D218" s="1186" t="s">
        <v>1988</v>
      </c>
      <c r="E218" s="1186" t="s">
        <v>2031</v>
      </c>
      <c r="F218" s="1186" t="s">
        <v>2032</v>
      </c>
      <c r="G218" s="1186" t="s">
        <v>852</v>
      </c>
      <c r="H218" s="1186">
        <v>1</v>
      </c>
    </row>
    <row r="219" spans="1:8" x14ac:dyDescent="0.2">
      <c r="A219" s="1186" t="s">
        <v>19</v>
      </c>
      <c r="B219" s="1186" t="s">
        <v>878</v>
      </c>
      <c r="C219" s="1186" t="s">
        <v>1981</v>
      </c>
      <c r="D219" s="1186" t="s">
        <v>1988</v>
      </c>
      <c r="E219" s="1186" t="s">
        <v>2031</v>
      </c>
      <c r="F219" s="1186" t="s">
        <v>2033</v>
      </c>
      <c r="G219" s="1186" t="s">
        <v>828</v>
      </c>
      <c r="H219" s="1186">
        <v>105</v>
      </c>
    </row>
    <row r="220" spans="1:8" x14ac:dyDescent="0.2">
      <c r="A220" s="1186" t="s">
        <v>19</v>
      </c>
      <c r="B220" s="1186" t="s">
        <v>878</v>
      </c>
      <c r="C220" s="1186" t="s">
        <v>1981</v>
      </c>
      <c r="D220" s="1186" t="s">
        <v>1988</v>
      </c>
      <c r="E220" s="1186" t="s">
        <v>2031</v>
      </c>
      <c r="F220" s="1186" t="s">
        <v>2033</v>
      </c>
      <c r="G220" s="1186" t="s">
        <v>850</v>
      </c>
      <c r="H220" s="1186">
        <v>9</v>
      </c>
    </row>
    <row r="221" spans="1:8" x14ac:dyDescent="0.2">
      <c r="A221" s="1186" t="s">
        <v>19</v>
      </c>
      <c r="B221" s="1186" t="s">
        <v>878</v>
      </c>
      <c r="C221" s="1186" t="s">
        <v>1981</v>
      </c>
      <c r="D221" s="1186" t="s">
        <v>1988</v>
      </c>
      <c r="E221" s="1186" t="s">
        <v>2031</v>
      </c>
      <c r="F221" s="1186" t="s">
        <v>2033</v>
      </c>
      <c r="G221" s="1186" t="s">
        <v>851</v>
      </c>
      <c r="H221" s="1186">
        <v>5</v>
      </c>
    </row>
    <row r="222" spans="1:8" x14ac:dyDescent="0.2">
      <c r="A222" s="1186" t="s">
        <v>19</v>
      </c>
      <c r="B222" s="1186" t="s">
        <v>878</v>
      </c>
      <c r="C222" s="1186" t="s">
        <v>1981</v>
      </c>
      <c r="D222" s="1186" t="s">
        <v>1988</v>
      </c>
      <c r="E222" s="1186" t="s">
        <v>2031</v>
      </c>
      <c r="F222" s="1186" t="s">
        <v>2033</v>
      </c>
      <c r="G222" s="1186" t="s">
        <v>852</v>
      </c>
      <c r="H222" s="1186">
        <v>2</v>
      </c>
    </row>
    <row r="223" spans="1:8" x14ac:dyDescent="0.2">
      <c r="A223" s="1186" t="s">
        <v>19</v>
      </c>
      <c r="B223" s="1186" t="s">
        <v>878</v>
      </c>
      <c r="C223" s="1186" t="s">
        <v>1981</v>
      </c>
      <c r="D223" s="1186" t="s">
        <v>1988</v>
      </c>
      <c r="E223" s="1186" t="s">
        <v>2031</v>
      </c>
      <c r="F223" s="1186" t="s">
        <v>2034</v>
      </c>
      <c r="G223" s="1186" t="s">
        <v>828</v>
      </c>
      <c r="H223" s="1186">
        <v>34</v>
      </c>
    </row>
    <row r="224" spans="1:8" x14ac:dyDescent="0.2">
      <c r="A224" s="1186" t="s">
        <v>19</v>
      </c>
      <c r="B224" s="1186" t="s">
        <v>878</v>
      </c>
      <c r="C224" s="1186" t="s">
        <v>1981</v>
      </c>
      <c r="D224" s="1186" t="s">
        <v>1988</v>
      </c>
      <c r="E224" s="1186" t="s">
        <v>2031</v>
      </c>
      <c r="F224" s="1186" t="s">
        <v>2034</v>
      </c>
      <c r="G224" s="1186" t="s">
        <v>850</v>
      </c>
      <c r="H224" s="1186">
        <v>4</v>
      </c>
    </row>
    <row r="225" spans="1:8" x14ac:dyDescent="0.2">
      <c r="A225" s="1186" t="s">
        <v>19</v>
      </c>
      <c r="B225" s="1186" t="s">
        <v>878</v>
      </c>
      <c r="C225" s="1186" t="s">
        <v>1981</v>
      </c>
      <c r="D225" s="1186" t="s">
        <v>1988</v>
      </c>
      <c r="E225" s="1186" t="s">
        <v>2035</v>
      </c>
      <c r="F225" s="1186" t="s">
        <v>2032</v>
      </c>
      <c r="G225" s="1186" t="s">
        <v>828</v>
      </c>
      <c r="H225" s="1186">
        <v>5</v>
      </c>
    </row>
    <row r="226" spans="1:8" x14ac:dyDescent="0.2">
      <c r="A226" s="1186" t="s">
        <v>19</v>
      </c>
      <c r="B226" s="1186" t="s">
        <v>878</v>
      </c>
      <c r="C226" s="1186" t="s">
        <v>1981</v>
      </c>
      <c r="D226" s="1186" t="s">
        <v>1988</v>
      </c>
      <c r="E226" s="1186" t="s">
        <v>2035</v>
      </c>
      <c r="F226" s="1186" t="s">
        <v>2032</v>
      </c>
      <c r="G226" s="1186" t="s">
        <v>851</v>
      </c>
      <c r="H226" s="1186">
        <v>10</v>
      </c>
    </row>
    <row r="227" spans="1:8" x14ac:dyDescent="0.2">
      <c r="A227" s="1186" t="s">
        <v>19</v>
      </c>
      <c r="B227" s="1186" t="s">
        <v>878</v>
      </c>
      <c r="C227" s="1186" t="s">
        <v>1981</v>
      </c>
      <c r="D227" s="1186" t="s">
        <v>1988</v>
      </c>
      <c r="E227" s="1186" t="s">
        <v>2035</v>
      </c>
      <c r="F227" s="1186" t="s">
        <v>2032</v>
      </c>
      <c r="G227" s="1186" t="s">
        <v>852</v>
      </c>
      <c r="H227" s="1186">
        <v>5</v>
      </c>
    </row>
    <row r="228" spans="1:8" x14ac:dyDescent="0.2">
      <c r="A228" s="1186" t="s">
        <v>19</v>
      </c>
      <c r="B228" s="1186" t="s">
        <v>878</v>
      </c>
      <c r="C228" s="1186" t="s">
        <v>1981</v>
      </c>
      <c r="D228" s="1186" t="s">
        <v>1988</v>
      </c>
      <c r="E228" s="1186" t="s">
        <v>2035</v>
      </c>
      <c r="F228" s="1186" t="s">
        <v>2033</v>
      </c>
      <c r="G228" s="1186" t="s">
        <v>828</v>
      </c>
      <c r="H228" s="1186">
        <v>23</v>
      </c>
    </row>
    <row r="229" spans="1:8" x14ac:dyDescent="0.2">
      <c r="A229" s="1186" t="s">
        <v>19</v>
      </c>
      <c r="B229" s="1186" t="s">
        <v>878</v>
      </c>
      <c r="C229" s="1186" t="s">
        <v>1981</v>
      </c>
      <c r="D229" s="1186" t="s">
        <v>1988</v>
      </c>
      <c r="E229" s="1186" t="s">
        <v>2035</v>
      </c>
      <c r="F229" s="1186" t="s">
        <v>2033</v>
      </c>
      <c r="G229" s="1186" t="s">
        <v>850</v>
      </c>
      <c r="H229" s="1186">
        <v>13</v>
      </c>
    </row>
    <row r="230" spans="1:8" x14ac:dyDescent="0.2">
      <c r="A230" s="1186" t="s">
        <v>19</v>
      </c>
      <c r="B230" s="1186" t="s">
        <v>878</v>
      </c>
      <c r="C230" s="1186" t="s">
        <v>1981</v>
      </c>
      <c r="D230" s="1186" t="s">
        <v>1988</v>
      </c>
      <c r="E230" s="1186" t="s">
        <v>2035</v>
      </c>
      <c r="F230" s="1186" t="s">
        <v>2033</v>
      </c>
      <c r="G230" s="1186" t="s">
        <v>851</v>
      </c>
      <c r="H230" s="1186">
        <v>157</v>
      </c>
    </row>
    <row r="231" spans="1:8" x14ac:dyDescent="0.2">
      <c r="A231" s="1186" t="s">
        <v>19</v>
      </c>
      <c r="B231" s="1186" t="s">
        <v>878</v>
      </c>
      <c r="C231" s="1186" t="s">
        <v>1981</v>
      </c>
      <c r="D231" s="1186" t="s">
        <v>1988</v>
      </c>
      <c r="E231" s="1186" t="s">
        <v>2035</v>
      </c>
      <c r="F231" s="1186" t="s">
        <v>2033</v>
      </c>
      <c r="G231" s="1186" t="s">
        <v>852</v>
      </c>
      <c r="H231" s="1186">
        <v>8</v>
      </c>
    </row>
    <row r="232" spans="1:8" x14ac:dyDescent="0.2">
      <c r="A232" s="1186" t="s">
        <v>19</v>
      </c>
      <c r="B232" s="1186" t="s">
        <v>878</v>
      </c>
      <c r="C232" s="1186" t="s">
        <v>1981</v>
      </c>
      <c r="D232" s="1186" t="s">
        <v>1988</v>
      </c>
      <c r="E232" s="1186" t="s">
        <v>2035</v>
      </c>
      <c r="F232" s="1186" t="s">
        <v>2034</v>
      </c>
      <c r="G232" s="1186" t="s">
        <v>828</v>
      </c>
      <c r="H232" s="1186">
        <v>67</v>
      </c>
    </row>
    <row r="233" spans="1:8" x14ac:dyDescent="0.2">
      <c r="A233" s="1186" t="s">
        <v>19</v>
      </c>
      <c r="B233" s="1186" t="s">
        <v>878</v>
      </c>
      <c r="C233" s="1186" t="s">
        <v>1981</v>
      </c>
      <c r="D233" s="1186" t="s">
        <v>1988</v>
      </c>
      <c r="E233" s="1186" t="s">
        <v>2035</v>
      </c>
      <c r="F233" s="1186" t="s">
        <v>2034</v>
      </c>
      <c r="G233" s="1186" t="s">
        <v>850</v>
      </c>
      <c r="H233" s="1186">
        <v>22</v>
      </c>
    </row>
    <row r="234" spans="1:8" x14ac:dyDescent="0.2">
      <c r="A234" s="1186" t="s">
        <v>19</v>
      </c>
      <c r="B234" s="1186" t="s">
        <v>878</v>
      </c>
      <c r="C234" s="1186" t="s">
        <v>1981</v>
      </c>
      <c r="D234" s="1186" t="s">
        <v>1988</v>
      </c>
      <c r="E234" s="1186" t="s">
        <v>2035</v>
      </c>
      <c r="F234" s="1186" t="s">
        <v>2034</v>
      </c>
      <c r="G234" s="1186" t="s">
        <v>851</v>
      </c>
      <c r="H234" s="1186">
        <v>23</v>
      </c>
    </row>
    <row r="235" spans="1:8" x14ac:dyDescent="0.2">
      <c r="A235" s="1186" t="s">
        <v>19</v>
      </c>
      <c r="B235" s="1186" t="s">
        <v>878</v>
      </c>
      <c r="C235" s="1186" t="s">
        <v>1981</v>
      </c>
      <c r="D235" s="1186" t="s">
        <v>1988</v>
      </c>
      <c r="E235" s="1186" t="s">
        <v>2035</v>
      </c>
      <c r="F235" s="1186" t="s">
        <v>2034</v>
      </c>
      <c r="G235" s="1186" t="s">
        <v>852</v>
      </c>
      <c r="H235" s="1186">
        <v>18</v>
      </c>
    </row>
    <row r="236" spans="1:8" x14ac:dyDescent="0.2">
      <c r="A236" s="1186" t="s">
        <v>20</v>
      </c>
      <c r="B236" s="1186" t="s">
        <v>879</v>
      </c>
      <c r="C236" s="1186" t="s">
        <v>1981</v>
      </c>
      <c r="D236" s="1186" t="s">
        <v>1982</v>
      </c>
      <c r="E236" s="1186" t="s">
        <v>2031</v>
      </c>
      <c r="F236" s="1186" t="s">
        <v>2032</v>
      </c>
      <c r="G236" s="1186" t="s">
        <v>828</v>
      </c>
      <c r="H236" s="1186">
        <v>4</v>
      </c>
    </row>
    <row r="237" spans="1:8" x14ac:dyDescent="0.2">
      <c r="A237" s="1186" t="s">
        <v>20</v>
      </c>
      <c r="B237" s="1186" t="s">
        <v>879</v>
      </c>
      <c r="C237" s="1186" t="s">
        <v>1981</v>
      </c>
      <c r="D237" s="1186" t="s">
        <v>1982</v>
      </c>
      <c r="E237" s="1186" t="s">
        <v>2031</v>
      </c>
      <c r="F237" s="1186" t="s">
        <v>2033</v>
      </c>
      <c r="G237" s="1186" t="s">
        <v>828</v>
      </c>
      <c r="H237" s="1186">
        <v>82</v>
      </c>
    </row>
    <row r="238" spans="1:8" x14ac:dyDescent="0.2">
      <c r="A238" s="1186" t="s">
        <v>20</v>
      </c>
      <c r="B238" s="1186" t="s">
        <v>879</v>
      </c>
      <c r="C238" s="1186" t="s">
        <v>1981</v>
      </c>
      <c r="D238" s="1186" t="s">
        <v>1982</v>
      </c>
      <c r="E238" s="1186" t="s">
        <v>2031</v>
      </c>
      <c r="F238" s="1186" t="s">
        <v>2033</v>
      </c>
      <c r="G238" s="1186" t="s">
        <v>850</v>
      </c>
      <c r="H238" s="1186">
        <v>12</v>
      </c>
    </row>
    <row r="239" spans="1:8" x14ac:dyDescent="0.2">
      <c r="A239" s="1186" t="s">
        <v>20</v>
      </c>
      <c r="B239" s="1186" t="s">
        <v>879</v>
      </c>
      <c r="C239" s="1186" t="s">
        <v>1981</v>
      </c>
      <c r="D239" s="1186" t="s">
        <v>1982</v>
      </c>
      <c r="E239" s="1186" t="s">
        <v>2031</v>
      </c>
      <c r="F239" s="1186" t="s">
        <v>2033</v>
      </c>
      <c r="G239" s="1186" t="s">
        <v>851</v>
      </c>
      <c r="H239" s="1186">
        <v>8</v>
      </c>
    </row>
    <row r="240" spans="1:8" x14ac:dyDescent="0.2">
      <c r="A240" s="1186" t="s">
        <v>20</v>
      </c>
      <c r="B240" s="1186" t="s">
        <v>879</v>
      </c>
      <c r="C240" s="1186" t="s">
        <v>1981</v>
      </c>
      <c r="D240" s="1186" t="s">
        <v>1982</v>
      </c>
      <c r="E240" s="1186" t="s">
        <v>2031</v>
      </c>
      <c r="F240" s="1186" t="s">
        <v>2033</v>
      </c>
      <c r="G240" s="1186" t="s">
        <v>852</v>
      </c>
      <c r="H240" s="1186">
        <v>6</v>
      </c>
    </row>
    <row r="241" spans="1:8" x14ac:dyDescent="0.2">
      <c r="A241" s="1186" t="s">
        <v>20</v>
      </c>
      <c r="B241" s="1186" t="s">
        <v>879</v>
      </c>
      <c r="C241" s="1186" t="s">
        <v>1981</v>
      </c>
      <c r="D241" s="1186" t="s">
        <v>1982</v>
      </c>
      <c r="E241" s="1186" t="s">
        <v>2031</v>
      </c>
      <c r="F241" s="1186" t="s">
        <v>2034</v>
      </c>
      <c r="G241" s="1186" t="s">
        <v>828</v>
      </c>
      <c r="H241" s="1186">
        <v>36</v>
      </c>
    </row>
    <row r="242" spans="1:8" x14ac:dyDescent="0.2">
      <c r="A242" s="1186" t="s">
        <v>20</v>
      </c>
      <c r="B242" s="1186" t="s">
        <v>879</v>
      </c>
      <c r="C242" s="1186" t="s">
        <v>1981</v>
      </c>
      <c r="D242" s="1186" t="s">
        <v>1982</v>
      </c>
      <c r="E242" s="1186" t="s">
        <v>2035</v>
      </c>
      <c r="F242" s="1186" t="s">
        <v>2032</v>
      </c>
      <c r="G242" s="1186" t="s">
        <v>828</v>
      </c>
      <c r="H242" s="1186">
        <v>4</v>
      </c>
    </row>
    <row r="243" spans="1:8" x14ac:dyDescent="0.2">
      <c r="A243" s="1186" t="s">
        <v>20</v>
      </c>
      <c r="B243" s="1186" t="s">
        <v>879</v>
      </c>
      <c r="C243" s="1186" t="s">
        <v>1981</v>
      </c>
      <c r="D243" s="1186" t="s">
        <v>1982</v>
      </c>
      <c r="E243" s="1186" t="s">
        <v>2035</v>
      </c>
      <c r="F243" s="1186" t="s">
        <v>2032</v>
      </c>
      <c r="G243" s="1186" t="s">
        <v>851</v>
      </c>
      <c r="H243" s="1186">
        <v>8</v>
      </c>
    </row>
    <row r="244" spans="1:8" x14ac:dyDescent="0.2">
      <c r="A244" s="1186" t="s">
        <v>20</v>
      </c>
      <c r="B244" s="1186" t="s">
        <v>879</v>
      </c>
      <c r="C244" s="1186" t="s">
        <v>1981</v>
      </c>
      <c r="D244" s="1186" t="s">
        <v>1982</v>
      </c>
      <c r="E244" s="1186" t="s">
        <v>2035</v>
      </c>
      <c r="F244" s="1186" t="s">
        <v>2032</v>
      </c>
      <c r="G244" s="1186" t="s">
        <v>852</v>
      </c>
      <c r="H244" s="1186">
        <v>6</v>
      </c>
    </row>
    <row r="245" spans="1:8" x14ac:dyDescent="0.2">
      <c r="A245" s="1186" t="s">
        <v>20</v>
      </c>
      <c r="B245" s="1186" t="s">
        <v>879</v>
      </c>
      <c r="C245" s="1186" t="s">
        <v>1981</v>
      </c>
      <c r="D245" s="1186" t="s">
        <v>1982</v>
      </c>
      <c r="E245" s="1186" t="s">
        <v>2035</v>
      </c>
      <c r="F245" s="1186" t="s">
        <v>2033</v>
      </c>
      <c r="G245" s="1186" t="s">
        <v>828</v>
      </c>
      <c r="H245" s="1186">
        <v>24</v>
      </c>
    </row>
    <row r="246" spans="1:8" x14ac:dyDescent="0.2">
      <c r="A246" s="1186" t="s">
        <v>20</v>
      </c>
      <c r="B246" s="1186" t="s">
        <v>879</v>
      </c>
      <c r="C246" s="1186" t="s">
        <v>1981</v>
      </c>
      <c r="D246" s="1186" t="s">
        <v>1982</v>
      </c>
      <c r="E246" s="1186" t="s">
        <v>2035</v>
      </c>
      <c r="F246" s="1186" t="s">
        <v>2033</v>
      </c>
      <c r="G246" s="1186" t="s">
        <v>850</v>
      </c>
      <c r="H246" s="1186">
        <v>17</v>
      </c>
    </row>
    <row r="247" spans="1:8" x14ac:dyDescent="0.2">
      <c r="A247" s="1186" t="s">
        <v>20</v>
      </c>
      <c r="B247" s="1186" t="s">
        <v>879</v>
      </c>
      <c r="C247" s="1186" t="s">
        <v>1981</v>
      </c>
      <c r="D247" s="1186" t="s">
        <v>1982</v>
      </c>
      <c r="E247" s="1186" t="s">
        <v>2035</v>
      </c>
      <c r="F247" s="1186" t="s">
        <v>2033</v>
      </c>
      <c r="G247" s="1186" t="s">
        <v>851</v>
      </c>
      <c r="H247" s="1186">
        <v>123</v>
      </c>
    </row>
    <row r="248" spans="1:8" x14ac:dyDescent="0.2">
      <c r="A248" s="1186" t="s">
        <v>20</v>
      </c>
      <c r="B248" s="1186" t="s">
        <v>879</v>
      </c>
      <c r="C248" s="1186" t="s">
        <v>1981</v>
      </c>
      <c r="D248" s="1186" t="s">
        <v>1982</v>
      </c>
      <c r="E248" s="1186" t="s">
        <v>2035</v>
      </c>
      <c r="F248" s="1186" t="s">
        <v>2033</v>
      </c>
      <c r="G248" s="1186" t="s">
        <v>852</v>
      </c>
      <c r="H248" s="1186">
        <v>16</v>
      </c>
    </row>
    <row r="249" spans="1:8" x14ac:dyDescent="0.2">
      <c r="A249" s="1186" t="s">
        <v>20</v>
      </c>
      <c r="B249" s="1186" t="s">
        <v>879</v>
      </c>
      <c r="C249" s="1186" t="s">
        <v>1981</v>
      </c>
      <c r="D249" s="1186" t="s">
        <v>1982</v>
      </c>
      <c r="E249" s="1186" t="s">
        <v>2035</v>
      </c>
      <c r="F249" s="1186" t="s">
        <v>2034</v>
      </c>
      <c r="G249" s="1186" t="s">
        <v>828</v>
      </c>
      <c r="H249" s="1186">
        <v>64</v>
      </c>
    </row>
    <row r="250" spans="1:8" x14ac:dyDescent="0.2">
      <c r="A250" s="1186" t="s">
        <v>20</v>
      </c>
      <c r="B250" s="1186" t="s">
        <v>879</v>
      </c>
      <c r="C250" s="1186" t="s">
        <v>1981</v>
      </c>
      <c r="D250" s="1186" t="s">
        <v>1982</v>
      </c>
      <c r="E250" s="1186" t="s">
        <v>2035</v>
      </c>
      <c r="F250" s="1186" t="s">
        <v>2034</v>
      </c>
      <c r="G250" s="1186" t="s">
        <v>850</v>
      </c>
      <c r="H250" s="1186">
        <v>28</v>
      </c>
    </row>
    <row r="251" spans="1:8" x14ac:dyDescent="0.2">
      <c r="A251" s="1186" t="s">
        <v>20</v>
      </c>
      <c r="B251" s="1186" t="s">
        <v>879</v>
      </c>
      <c r="C251" s="1186" t="s">
        <v>1981</v>
      </c>
      <c r="D251" s="1186" t="s">
        <v>1982</v>
      </c>
      <c r="E251" s="1186" t="s">
        <v>2035</v>
      </c>
      <c r="F251" s="1186" t="s">
        <v>2034</v>
      </c>
      <c r="G251" s="1186" t="s">
        <v>851</v>
      </c>
      <c r="H251" s="1186">
        <v>22</v>
      </c>
    </row>
    <row r="252" spans="1:8" x14ac:dyDescent="0.2">
      <c r="A252" s="1186" t="s">
        <v>20</v>
      </c>
      <c r="B252" s="1186" t="s">
        <v>879</v>
      </c>
      <c r="C252" s="1186" t="s">
        <v>1981</v>
      </c>
      <c r="D252" s="1186" t="s">
        <v>1982</v>
      </c>
      <c r="E252" s="1186" t="s">
        <v>2035</v>
      </c>
      <c r="F252" s="1186" t="s">
        <v>2034</v>
      </c>
      <c r="G252" s="1186" t="s">
        <v>852</v>
      </c>
      <c r="H252" s="1186">
        <v>29</v>
      </c>
    </row>
    <row r="253" spans="1:8" x14ac:dyDescent="0.2">
      <c r="A253" s="1186" t="s">
        <v>20</v>
      </c>
      <c r="B253" s="1186" t="s">
        <v>880</v>
      </c>
      <c r="C253" s="1186" t="s">
        <v>1981</v>
      </c>
      <c r="D253" s="1186" t="s">
        <v>1982</v>
      </c>
      <c r="E253" s="1186" t="s">
        <v>2031</v>
      </c>
      <c r="F253" s="1186" t="s">
        <v>2032</v>
      </c>
      <c r="G253" s="1186" t="s">
        <v>828</v>
      </c>
      <c r="H253" s="1186">
        <v>4</v>
      </c>
    </row>
    <row r="254" spans="1:8" x14ac:dyDescent="0.2">
      <c r="A254" s="1186" t="s">
        <v>20</v>
      </c>
      <c r="B254" s="1186" t="s">
        <v>880</v>
      </c>
      <c r="C254" s="1186" t="s">
        <v>1981</v>
      </c>
      <c r="D254" s="1186" t="s">
        <v>1982</v>
      </c>
      <c r="E254" s="1186" t="s">
        <v>2031</v>
      </c>
      <c r="F254" s="1186" t="s">
        <v>2032</v>
      </c>
      <c r="G254" s="1186" t="s">
        <v>851</v>
      </c>
      <c r="H254" s="1186">
        <v>1</v>
      </c>
    </row>
    <row r="255" spans="1:8" x14ac:dyDescent="0.2">
      <c r="A255" s="1186" t="s">
        <v>20</v>
      </c>
      <c r="B255" s="1186" t="s">
        <v>880</v>
      </c>
      <c r="C255" s="1186" t="s">
        <v>1981</v>
      </c>
      <c r="D255" s="1186" t="s">
        <v>1982</v>
      </c>
      <c r="E255" s="1186" t="s">
        <v>2031</v>
      </c>
      <c r="F255" s="1186" t="s">
        <v>2033</v>
      </c>
      <c r="G255" s="1186" t="s">
        <v>828</v>
      </c>
      <c r="H255" s="1186">
        <v>91</v>
      </c>
    </row>
    <row r="256" spans="1:8" x14ac:dyDescent="0.2">
      <c r="A256" s="1186" t="s">
        <v>20</v>
      </c>
      <c r="B256" s="1186" t="s">
        <v>880</v>
      </c>
      <c r="C256" s="1186" t="s">
        <v>1981</v>
      </c>
      <c r="D256" s="1186" t="s">
        <v>1982</v>
      </c>
      <c r="E256" s="1186" t="s">
        <v>2031</v>
      </c>
      <c r="F256" s="1186" t="s">
        <v>2033</v>
      </c>
      <c r="G256" s="1186" t="s">
        <v>850</v>
      </c>
      <c r="H256" s="1186">
        <v>7</v>
      </c>
    </row>
    <row r="257" spans="1:8" x14ac:dyDescent="0.2">
      <c r="A257" s="1186" t="s">
        <v>20</v>
      </c>
      <c r="B257" s="1186" t="s">
        <v>880</v>
      </c>
      <c r="C257" s="1186" t="s">
        <v>1981</v>
      </c>
      <c r="D257" s="1186" t="s">
        <v>1982</v>
      </c>
      <c r="E257" s="1186" t="s">
        <v>2031</v>
      </c>
      <c r="F257" s="1186" t="s">
        <v>2033</v>
      </c>
      <c r="G257" s="1186" t="s">
        <v>851</v>
      </c>
      <c r="H257" s="1186">
        <v>2</v>
      </c>
    </row>
    <row r="258" spans="1:8" x14ac:dyDescent="0.2">
      <c r="A258" s="1186" t="s">
        <v>20</v>
      </c>
      <c r="B258" s="1186" t="s">
        <v>880</v>
      </c>
      <c r="C258" s="1186" t="s">
        <v>1981</v>
      </c>
      <c r="D258" s="1186" t="s">
        <v>1982</v>
      </c>
      <c r="E258" s="1186" t="s">
        <v>2031</v>
      </c>
      <c r="F258" s="1186" t="s">
        <v>2033</v>
      </c>
      <c r="G258" s="1186" t="s">
        <v>852</v>
      </c>
      <c r="H258" s="1186">
        <v>2</v>
      </c>
    </row>
    <row r="259" spans="1:8" x14ac:dyDescent="0.2">
      <c r="A259" s="1186" t="s">
        <v>20</v>
      </c>
      <c r="B259" s="1186" t="s">
        <v>880</v>
      </c>
      <c r="C259" s="1186" t="s">
        <v>1981</v>
      </c>
      <c r="D259" s="1186" t="s">
        <v>1982</v>
      </c>
      <c r="E259" s="1186" t="s">
        <v>2031</v>
      </c>
      <c r="F259" s="1186" t="s">
        <v>2034</v>
      </c>
      <c r="G259" s="1186" t="s">
        <v>828</v>
      </c>
      <c r="H259" s="1186">
        <v>54</v>
      </c>
    </row>
    <row r="260" spans="1:8" x14ac:dyDescent="0.2">
      <c r="A260" s="1186" t="s">
        <v>20</v>
      </c>
      <c r="B260" s="1186" t="s">
        <v>880</v>
      </c>
      <c r="C260" s="1186" t="s">
        <v>1981</v>
      </c>
      <c r="D260" s="1186" t="s">
        <v>1982</v>
      </c>
      <c r="E260" s="1186" t="s">
        <v>2031</v>
      </c>
      <c r="F260" s="1186" t="s">
        <v>2034</v>
      </c>
      <c r="G260" s="1186" t="s">
        <v>850</v>
      </c>
      <c r="H260" s="1186">
        <v>2</v>
      </c>
    </row>
    <row r="261" spans="1:8" x14ac:dyDescent="0.2">
      <c r="A261" s="1186" t="s">
        <v>20</v>
      </c>
      <c r="B261" s="1186" t="s">
        <v>880</v>
      </c>
      <c r="C261" s="1186" t="s">
        <v>1981</v>
      </c>
      <c r="D261" s="1186" t="s">
        <v>1982</v>
      </c>
      <c r="E261" s="1186" t="s">
        <v>2035</v>
      </c>
      <c r="F261" s="1186" t="s">
        <v>2032</v>
      </c>
      <c r="G261" s="1186" t="s">
        <v>828</v>
      </c>
      <c r="H261" s="1186">
        <v>5</v>
      </c>
    </row>
    <row r="262" spans="1:8" x14ac:dyDescent="0.2">
      <c r="A262" s="1186" t="s">
        <v>20</v>
      </c>
      <c r="B262" s="1186" t="s">
        <v>880</v>
      </c>
      <c r="C262" s="1186" t="s">
        <v>1981</v>
      </c>
      <c r="D262" s="1186" t="s">
        <v>1982</v>
      </c>
      <c r="E262" s="1186" t="s">
        <v>2035</v>
      </c>
      <c r="F262" s="1186" t="s">
        <v>2032</v>
      </c>
      <c r="G262" s="1186" t="s">
        <v>851</v>
      </c>
      <c r="H262" s="1186">
        <v>6</v>
      </c>
    </row>
    <row r="263" spans="1:8" x14ac:dyDescent="0.2">
      <c r="A263" s="1186" t="s">
        <v>20</v>
      </c>
      <c r="B263" s="1186" t="s">
        <v>880</v>
      </c>
      <c r="C263" s="1186" t="s">
        <v>1981</v>
      </c>
      <c r="D263" s="1186" t="s">
        <v>1982</v>
      </c>
      <c r="E263" s="1186" t="s">
        <v>2035</v>
      </c>
      <c r="F263" s="1186" t="s">
        <v>2032</v>
      </c>
      <c r="G263" s="1186" t="s">
        <v>852</v>
      </c>
      <c r="H263" s="1186">
        <v>8</v>
      </c>
    </row>
    <row r="264" spans="1:8" x14ac:dyDescent="0.2">
      <c r="A264" s="1186" t="s">
        <v>20</v>
      </c>
      <c r="B264" s="1186" t="s">
        <v>880</v>
      </c>
      <c r="C264" s="1186" t="s">
        <v>1981</v>
      </c>
      <c r="D264" s="1186" t="s">
        <v>1982</v>
      </c>
      <c r="E264" s="1186" t="s">
        <v>2035</v>
      </c>
      <c r="F264" s="1186" t="s">
        <v>2033</v>
      </c>
      <c r="G264" s="1186" t="s">
        <v>828</v>
      </c>
      <c r="H264" s="1186">
        <v>22</v>
      </c>
    </row>
    <row r="265" spans="1:8" x14ac:dyDescent="0.2">
      <c r="A265" s="1186" t="s">
        <v>20</v>
      </c>
      <c r="B265" s="1186" t="s">
        <v>880</v>
      </c>
      <c r="C265" s="1186" t="s">
        <v>1981</v>
      </c>
      <c r="D265" s="1186" t="s">
        <v>1982</v>
      </c>
      <c r="E265" s="1186" t="s">
        <v>2035</v>
      </c>
      <c r="F265" s="1186" t="s">
        <v>2033</v>
      </c>
      <c r="G265" s="1186" t="s">
        <v>850</v>
      </c>
      <c r="H265" s="1186">
        <v>13</v>
      </c>
    </row>
    <row r="266" spans="1:8" x14ac:dyDescent="0.2">
      <c r="A266" s="1186" t="s">
        <v>20</v>
      </c>
      <c r="B266" s="1186" t="s">
        <v>880</v>
      </c>
      <c r="C266" s="1186" t="s">
        <v>1981</v>
      </c>
      <c r="D266" s="1186" t="s">
        <v>1982</v>
      </c>
      <c r="E266" s="1186" t="s">
        <v>2035</v>
      </c>
      <c r="F266" s="1186" t="s">
        <v>2033</v>
      </c>
      <c r="G266" s="1186" t="s">
        <v>851</v>
      </c>
      <c r="H266" s="1186">
        <v>149</v>
      </c>
    </row>
    <row r="267" spans="1:8" x14ac:dyDescent="0.2">
      <c r="A267" s="1186" t="s">
        <v>20</v>
      </c>
      <c r="B267" s="1186" t="s">
        <v>880</v>
      </c>
      <c r="C267" s="1186" t="s">
        <v>1981</v>
      </c>
      <c r="D267" s="1186" t="s">
        <v>1982</v>
      </c>
      <c r="E267" s="1186" t="s">
        <v>2035</v>
      </c>
      <c r="F267" s="1186" t="s">
        <v>2033</v>
      </c>
      <c r="G267" s="1186" t="s">
        <v>852</v>
      </c>
      <c r="H267" s="1186">
        <v>28</v>
      </c>
    </row>
    <row r="268" spans="1:8" x14ac:dyDescent="0.2">
      <c r="A268" s="1186" t="s">
        <v>20</v>
      </c>
      <c r="B268" s="1186" t="s">
        <v>880</v>
      </c>
      <c r="C268" s="1186" t="s">
        <v>1981</v>
      </c>
      <c r="D268" s="1186" t="s">
        <v>1982</v>
      </c>
      <c r="E268" s="1186" t="s">
        <v>2035</v>
      </c>
      <c r="F268" s="1186" t="s">
        <v>2034</v>
      </c>
      <c r="G268" s="1186" t="s">
        <v>828</v>
      </c>
      <c r="H268" s="1186">
        <v>58</v>
      </c>
    </row>
    <row r="269" spans="1:8" x14ac:dyDescent="0.2">
      <c r="A269" s="1186" t="s">
        <v>20</v>
      </c>
      <c r="B269" s="1186" t="s">
        <v>880</v>
      </c>
      <c r="C269" s="1186" t="s">
        <v>1981</v>
      </c>
      <c r="D269" s="1186" t="s">
        <v>1982</v>
      </c>
      <c r="E269" s="1186" t="s">
        <v>2035</v>
      </c>
      <c r="F269" s="1186" t="s">
        <v>2034</v>
      </c>
      <c r="G269" s="1186" t="s">
        <v>850</v>
      </c>
      <c r="H269" s="1186">
        <v>52</v>
      </c>
    </row>
    <row r="270" spans="1:8" x14ac:dyDescent="0.2">
      <c r="A270" s="1186" t="s">
        <v>20</v>
      </c>
      <c r="B270" s="1186" t="s">
        <v>880</v>
      </c>
      <c r="C270" s="1186" t="s">
        <v>1981</v>
      </c>
      <c r="D270" s="1186" t="s">
        <v>1982</v>
      </c>
      <c r="E270" s="1186" t="s">
        <v>2035</v>
      </c>
      <c r="F270" s="1186" t="s">
        <v>2034</v>
      </c>
      <c r="G270" s="1186" t="s">
        <v>851</v>
      </c>
      <c r="H270" s="1186">
        <v>20</v>
      </c>
    </row>
    <row r="271" spans="1:8" x14ac:dyDescent="0.2">
      <c r="A271" s="1186" t="s">
        <v>20</v>
      </c>
      <c r="B271" s="1186" t="s">
        <v>880</v>
      </c>
      <c r="C271" s="1186" t="s">
        <v>1981</v>
      </c>
      <c r="D271" s="1186" t="s">
        <v>1982</v>
      </c>
      <c r="E271" s="1186" t="s">
        <v>2035</v>
      </c>
      <c r="F271" s="1186" t="s">
        <v>2034</v>
      </c>
      <c r="G271" s="1186" t="s">
        <v>852</v>
      </c>
      <c r="H271" s="1186">
        <v>36</v>
      </c>
    </row>
    <row r="272" spans="1:8" x14ac:dyDescent="0.2">
      <c r="A272" s="1186" t="s">
        <v>20</v>
      </c>
      <c r="B272" s="1186" t="s">
        <v>881</v>
      </c>
      <c r="C272" s="1186" t="s">
        <v>1983</v>
      </c>
      <c r="D272" s="1186" t="s">
        <v>1982</v>
      </c>
      <c r="E272" s="1186" t="s">
        <v>2031</v>
      </c>
      <c r="F272" s="1186" t="s">
        <v>2032</v>
      </c>
      <c r="G272" s="1186" t="s">
        <v>828</v>
      </c>
      <c r="H272" s="1186">
        <v>6</v>
      </c>
    </row>
    <row r="273" spans="1:8" x14ac:dyDescent="0.2">
      <c r="A273" s="1186" t="s">
        <v>20</v>
      </c>
      <c r="B273" s="1186" t="s">
        <v>881</v>
      </c>
      <c r="C273" s="1186" t="s">
        <v>1983</v>
      </c>
      <c r="D273" s="1186" t="s">
        <v>1982</v>
      </c>
      <c r="E273" s="1186" t="s">
        <v>2031</v>
      </c>
      <c r="F273" s="1186" t="s">
        <v>2033</v>
      </c>
      <c r="G273" s="1186" t="s">
        <v>828</v>
      </c>
      <c r="H273" s="1186">
        <v>65</v>
      </c>
    </row>
    <row r="274" spans="1:8" x14ac:dyDescent="0.2">
      <c r="A274" s="1186" t="s">
        <v>20</v>
      </c>
      <c r="B274" s="1186" t="s">
        <v>881</v>
      </c>
      <c r="C274" s="1186" t="s">
        <v>1983</v>
      </c>
      <c r="D274" s="1186" t="s">
        <v>1982</v>
      </c>
      <c r="E274" s="1186" t="s">
        <v>2031</v>
      </c>
      <c r="F274" s="1186" t="s">
        <v>2033</v>
      </c>
      <c r="G274" s="1186" t="s">
        <v>850</v>
      </c>
      <c r="H274" s="1186">
        <v>3</v>
      </c>
    </row>
    <row r="275" spans="1:8" x14ac:dyDescent="0.2">
      <c r="A275" s="1186" t="s">
        <v>20</v>
      </c>
      <c r="B275" s="1186" t="s">
        <v>881</v>
      </c>
      <c r="C275" s="1186" t="s">
        <v>1983</v>
      </c>
      <c r="D275" s="1186" t="s">
        <v>1982</v>
      </c>
      <c r="E275" s="1186" t="s">
        <v>2031</v>
      </c>
      <c r="F275" s="1186" t="s">
        <v>2033</v>
      </c>
      <c r="G275" s="1186" t="s">
        <v>851</v>
      </c>
      <c r="H275" s="1186">
        <v>6</v>
      </c>
    </row>
    <row r="276" spans="1:8" x14ac:dyDescent="0.2">
      <c r="A276" s="1186" t="s">
        <v>20</v>
      </c>
      <c r="B276" s="1186" t="s">
        <v>881</v>
      </c>
      <c r="C276" s="1186" t="s">
        <v>1983</v>
      </c>
      <c r="D276" s="1186" t="s">
        <v>1982</v>
      </c>
      <c r="E276" s="1186" t="s">
        <v>2031</v>
      </c>
      <c r="F276" s="1186" t="s">
        <v>2033</v>
      </c>
      <c r="G276" s="1186" t="s">
        <v>852</v>
      </c>
      <c r="H276" s="1186">
        <v>6</v>
      </c>
    </row>
    <row r="277" spans="1:8" x14ac:dyDescent="0.2">
      <c r="A277" s="1186" t="s">
        <v>20</v>
      </c>
      <c r="B277" s="1186" t="s">
        <v>881</v>
      </c>
      <c r="C277" s="1186" t="s">
        <v>1983</v>
      </c>
      <c r="D277" s="1186" t="s">
        <v>1982</v>
      </c>
      <c r="E277" s="1186" t="s">
        <v>2031</v>
      </c>
      <c r="F277" s="1186" t="s">
        <v>2034</v>
      </c>
      <c r="G277" s="1186" t="s">
        <v>828</v>
      </c>
      <c r="H277" s="1186">
        <v>30</v>
      </c>
    </row>
    <row r="278" spans="1:8" x14ac:dyDescent="0.2">
      <c r="A278" s="1186" t="s">
        <v>20</v>
      </c>
      <c r="B278" s="1186" t="s">
        <v>881</v>
      </c>
      <c r="C278" s="1186" t="s">
        <v>1983</v>
      </c>
      <c r="D278" s="1186" t="s">
        <v>1982</v>
      </c>
      <c r="E278" s="1186" t="s">
        <v>2031</v>
      </c>
      <c r="F278" s="1186" t="s">
        <v>2034</v>
      </c>
      <c r="G278" s="1186" t="s">
        <v>850</v>
      </c>
      <c r="H278" s="1186">
        <v>2</v>
      </c>
    </row>
    <row r="279" spans="1:8" x14ac:dyDescent="0.2">
      <c r="A279" s="1186" t="s">
        <v>20</v>
      </c>
      <c r="B279" s="1186" t="s">
        <v>881</v>
      </c>
      <c r="C279" s="1186" t="s">
        <v>1983</v>
      </c>
      <c r="D279" s="1186" t="s">
        <v>1982</v>
      </c>
      <c r="E279" s="1186" t="s">
        <v>2035</v>
      </c>
      <c r="F279" s="1186" t="s">
        <v>2032</v>
      </c>
      <c r="G279" s="1186" t="s">
        <v>828</v>
      </c>
      <c r="H279" s="1186">
        <v>2</v>
      </c>
    </row>
    <row r="280" spans="1:8" x14ac:dyDescent="0.2">
      <c r="A280" s="1186" t="s">
        <v>20</v>
      </c>
      <c r="B280" s="1186" t="s">
        <v>881</v>
      </c>
      <c r="C280" s="1186" t="s">
        <v>1983</v>
      </c>
      <c r="D280" s="1186" t="s">
        <v>1982</v>
      </c>
      <c r="E280" s="1186" t="s">
        <v>2035</v>
      </c>
      <c r="F280" s="1186" t="s">
        <v>2032</v>
      </c>
      <c r="G280" s="1186" t="s">
        <v>850</v>
      </c>
      <c r="H280" s="1186">
        <v>3</v>
      </c>
    </row>
    <row r="281" spans="1:8" x14ac:dyDescent="0.2">
      <c r="A281" s="1186" t="s">
        <v>20</v>
      </c>
      <c r="B281" s="1186" t="s">
        <v>881</v>
      </c>
      <c r="C281" s="1186" t="s">
        <v>1983</v>
      </c>
      <c r="D281" s="1186" t="s">
        <v>1982</v>
      </c>
      <c r="E281" s="1186" t="s">
        <v>2035</v>
      </c>
      <c r="F281" s="1186" t="s">
        <v>2032</v>
      </c>
      <c r="G281" s="1186" t="s">
        <v>851</v>
      </c>
      <c r="H281" s="1186">
        <v>10</v>
      </c>
    </row>
    <row r="282" spans="1:8" x14ac:dyDescent="0.2">
      <c r="A282" s="1186" t="s">
        <v>20</v>
      </c>
      <c r="B282" s="1186" t="s">
        <v>881</v>
      </c>
      <c r="C282" s="1186" t="s">
        <v>1983</v>
      </c>
      <c r="D282" s="1186" t="s">
        <v>1982</v>
      </c>
      <c r="E282" s="1186" t="s">
        <v>2035</v>
      </c>
      <c r="F282" s="1186" t="s">
        <v>2032</v>
      </c>
      <c r="G282" s="1186" t="s">
        <v>852</v>
      </c>
      <c r="H282" s="1186">
        <v>7</v>
      </c>
    </row>
    <row r="283" spans="1:8" x14ac:dyDescent="0.2">
      <c r="A283" s="1186" t="s">
        <v>20</v>
      </c>
      <c r="B283" s="1186" t="s">
        <v>881</v>
      </c>
      <c r="C283" s="1186" t="s">
        <v>1983</v>
      </c>
      <c r="D283" s="1186" t="s">
        <v>1982</v>
      </c>
      <c r="E283" s="1186" t="s">
        <v>2035</v>
      </c>
      <c r="F283" s="1186" t="s">
        <v>2033</v>
      </c>
      <c r="G283" s="1186" t="s">
        <v>828</v>
      </c>
      <c r="H283" s="1186">
        <v>21</v>
      </c>
    </row>
    <row r="284" spans="1:8" x14ac:dyDescent="0.2">
      <c r="A284" s="1186" t="s">
        <v>20</v>
      </c>
      <c r="B284" s="1186" t="s">
        <v>881</v>
      </c>
      <c r="C284" s="1186" t="s">
        <v>1983</v>
      </c>
      <c r="D284" s="1186" t="s">
        <v>1982</v>
      </c>
      <c r="E284" s="1186" t="s">
        <v>2035</v>
      </c>
      <c r="F284" s="1186" t="s">
        <v>2033</v>
      </c>
      <c r="G284" s="1186" t="s">
        <v>850</v>
      </c>
      <c r="H284" s="1186">
        <v>9</v>
      </c>
    </row>
    <row r="285" spans="1:8" x14ac:dyDescent="0.2">
      <c r="A285" s="1186" t="s">
        <v>20</v>
      </c>
      <c r="B285" s="1186" t="s">
        <v>881</v>
      </c>
      <c r="C285" s="1186" t="s">
        <v>1983</v>
      </c>
      <c r="D285" s="1186" t="s">
        <v>1982</v>
      </c>
      <c r="E285" s="1186" t="s">
        <v>2035</v>
      </c>
      <c r="F285" s="1186" t="s">
        <v>2033</v>
      </c>
      <c r="G285" s="1186" t="s">
        <v>851</v>
      </c>
      <c r="H285" s="1186">
        <v>192</v>
      </c>
    </row>
    <row r="286" spans="1:8" x14ac:dyDescent="0.2">
      <c r="A286" s="1186" t="s">
        <v>20</v>
      </c>
      <c r="B286" s="1186" t="s">
        <v>881</v>
      </c>
      <c r="C286" s="1186" t="s">
        <v>1983</v>
      </c>
      <c r="D286" s="1186" t="s">
        <v>1982</v>
      </c>
      <c r="E286" s="1186" t="s">
        <v>2035</v>
      </c>
      <c r="F286" s="1186" t="s">
        <v>2033</v>
      </c>
      <c r="G286" s="1186" t="s">
        <v>852</v>
      </c>
      <c r="H286" s="1186">
        <v>34</v>
      </c>
    </row>
    <row r="287" spans="1:8" x14ac:dyDescent="0.2">
      <c r="A287" s="1186" t="s">
        <v>20</v>
      </c>
      <c r="B287" s="1186" t="s">
        <v>881</v>
      </c>
      <c r="C287" s="1186" t="s">
        <v>1983</v>
      </c>
      <c r="D287" s="1186" t="s">
        <v>1982</v>
      </c>
      <c r="E287" s="1186" t="s">
        <v>2035</v>
      </c>
      <c r="F287" s="1186" t="s">
        <v>2034</v>
      </c>
      <c r="G287" s="1186" t="s">
        <v>828</v>
      </c>
      <c r="H287" s="1186">
        <v>52</v>
      </c>
    </row>
    <row r="288" spans="1:8" x14ac:dyDescent="0.2">
      <c r="A288" s="1186" t="s">
        <v>20</v>
      </c>
      <c r="B288" s="1186" t="s">
        <v>881</v>
      </c>
      <c r="C288" s="1186" t="s">
        <v>1983</v>
      </c>
      <c r="D288" s="1186" t="s">
        <v>1982</v>
      </c>
      <c r="E288" s="1186" t="s">
        <v>2035</v>
      </c>
      <c r="F288" s="1186" t="s">
        <v>2034</v>
      </c>
      <c r="G288" s="1186" t="s">
        <v>850</v>
      </c>
      <c r="H288" s="1186">
        <v>29</v>
      </c>
    </row>
    <row r="289" spans="1:8" x14ac:dyDescent="0.2">
      <c r="A289" s="1186" t="s">
        <v>20</v>
      </c>
      <c r="B289" s="1186" t="s">
        <v>881</v>
      </c>
      <c r="C289" s="1186" t="s">
        <v>1983</v>
      </c>
      <c r="D289" s="1186" t="s">
        <v>1982</v>
      </c>
      <c r="E289" s="1186" t="s">
        <v>2035</v>
      </c>
      <c r="F289" s="1186" t="s">
        <v>2034</v>
      </c>
      <c r="G289" s="1186" t="s">
        <v>851</v>
      </c>
      <c r="H289" s="1186">
        <v>22</v>
      </c>
    </row>
    <row r="290" spans="1:8" x14ac:dyDescent="0.2">
      <c r="A290" s="1186" t="s">
        <v>20</v>
      </c>
      <c r="B290" s="1186" t="s">
        <v>881</v>
      </c>
      <c r="C290" s="1186" t="s">
        <v>1983</v>
      </c>
      <c r="D290" s="1186" t="s">
        <v>1982</v>
      </c>
      <c r="E290" s="1186" t="s">
        <v>2035</v>
      </c>
      <c r="F290" s="1186" t="s">
        <v>2034</v>
      </c>
      <c r="G290" s="1186" t="s">
        <v>852</v>
      </c>
      <c r="H290" s="1186">
        <v>31</v>
      </c>
    </row>
    <row r="291" spans="1:8" x14ac:dyDescent="0.2">
      <c r="A291" s="1186" t="s">
        <v>20</v>
      </c>
      <c r="B291" s="1186" t="s">
        <v>882</v>
      </c>
      <c r="C291" s="1186" t="s">
        <v>1983</v>
      </c>
      <c r="D291" s="1186" t="s">
        <v>1984</v>
      </c>
      <c r="E291" s="1186" t="s">
        <v>2031</v>
      </c>
      <c r="F291" s="1186" t="s">
        <v>2033</v>
      </c>
      <c r="G291" s="1186" t="s">
        <v>828</v>
      </c>
      <c r="H291" s="1186">
        <v>76</v>
      </c>
    </row>
    <row r="292" spans="1:8" x14ac:dyDescent="0.2">
      <c r="A292" s="1186" t="s">
        <v>20</v>
      </c>
      <c r="B292" s="1186" t="s">
        <v>882</v>
      </c>
      <c r="C292" s="1186" t="s">
        <v>1983</v>
      </c>
      <c r="D292" s="1186" t="s">
        <v>1984</v>
      </c>
      <c r="E292" s="1186" t="s">
        <v>2031</v>
      </c>
      <c r="F292" s="1186" t="s">
        <v>2033</v>
      </c>
      <c r="G292" s="1186" t="s">
        <v>850</v>
      </c>
      <c r="H292" s="1186">
        <v>13</v>
      </c>
    </row>
    <row r="293" spans="1:8" x14ac:dyDescent="0.2">
      <c r="A293" s="1186" t="s">
        <v>20</v>
      </c>
      <c r="B293" s="1186" t="s">
        <v>882</v>
      </c>
      <c r="C293" s="1186" t="s">
        <v>1983</v>
      </c>
      <c r="D293" s="1186" t="s">
        <v>1984</v>
      </c>
      <c r="E293" s="1186" t="s">
        <v>2031</v>
      </c>
      <c r="F293" s="1186" t="s">
        <v>2033</v>
      </c>
      <c r="G293" s="1186" t="s">
        <v>851</v>
      </c>
      <c r="H293" s="1186">
        <v>4</v>
      </c>
    </row>
    <row r="294" spans="1:8" x14ac:dyDescent="0.2">
      <c r="A294" s="1186" t="s">
        <v>20</v>
      </c>
      <c r="B294" s="1186" t="s">
        <v>882</v>
      </c>
      <c r="C294" s="1186" t="s">
        <v>1983</v>
      </c>
      <c r="D294" s="1186" t="s">
        <v>1984</v>
      </c>
      <c r="E294" s="1186" t="s">
        <v>2031</v>
      </c>
      <c r="F294" s="1186" t="s">
        <v>2033</v>
      </c>
      <c r="G294" s="1186" t="s">
        <v>852</v>
      </c>
      <c r="H294" s="1186">
        <v>6</v>
      </c>
    </row>
    <row r="295" spans="1:8" x14ac:dyDescent="0.2">
      <c r="A295" s="1186" t="s">
        <v>20</v>
      </c>
      <c r="B295" s="1186" t="s">
        <v>882</v>
      </c>
      <c r="C295" s="1186" t="s">
        <v>1983</v>
      </c>
      <c r="D295" s="1186" t="s">
        <v>1984</v>
      </c>
      <c r="E295" s="1186" t="s">
        <v>2031</v>
      </c>
      <c r="F295" s="1186" t="s">
        <v>2034</v>
      </c>
      <c r="G295" s="1186" t="s">
        <v>828</v>
      </c>
      <c r="H295" s="1186">
        <v>30</v>
      </c>
    </row>
    <row r="296" spans="1:8" x14ac:dyDescent="0.2">
      <c r="A296" s="1186" t="s">
        <v>20</v>
      </c>
      <c r="B296" s="1186" t="s">
        <v>882</v>
      </c>
      <c r="C296" s="1186" t="s">
        <v>1983</v>
      </c>
      <c r="D296" s="1186" t="s">
        <v>1984</v>
      </c>
      <c r="E296" s="1186" t="s">
        <v>2035</v>
      </c>
      <c r="F296" s="1186" t="s">
        <v>2032</v>
      </c>
      <c r="G296" s="1186" t="s">
        <v>828</v>
      </c>
      <c r="H296" s="1186">
        <v>3</v>
      </c>
    </row>
    <row r="297" spans="1:8" x14ac:dyDescent="0.2">
      <c r="A297" s="1186" t="s">
        <v>20</v>
      </c>
      <c r="B297" s="1186" t="s">
        <v>882</v>
      </c>
      <c r="C297" s="1186" t="s">
        <v>1983</v>
      </c>
      <c r="D297" s="1186" t="s">
        <v>1984</v>
      </c>
      <c r="E297" s="1186" t="s">
        <v>2035</v>
      </c>
      <c r="F297" s="1186" t="s">
        <v>2032</v>
      </c>
      <c r="G297" s="1186" t="s">
        <v>850</v>
      </c>
      <c r="H297" s="1186">
        <v>1</v>
      </c>
    </row>
    <row r="298" spans="1:8" x14ac:dyDescent="0.2">
      <c r="A298" s="1186" t="s">
        <v>20</v>
      </c>
      <c r="B298" s="1186" t="s">
        <v>882</v>
      </c>
      <c r="C298" s="1186" t="s">
        <v>1983</v>
      </c>
      <c r="D298" s="1186" t="s">
        <v>1984</v>
      </c>
      <c r="E298" s="1186" t="s">
        <v>2035</v>
      </c>
      <c r="F298" s="1186" t="s">
        <v>2032</v>
      </c>
      <c r="G298" s="1186" t="s">
        <v>851</v>
      </c>
      <c r="H298" s="1186">
        <v>9</v>
      </c>
    </row>
    <row r="299" spans="1:8" x14ac:dyDescent="0.2">
      <c r="A299" s="1186" t="s">
        <v>20</v>
      </c>
      <c r="B299" s="1186" t="s">
        <v>882</v>
      </c>
      <c r="C299" s="1186" t="s">
        <v>1983</v>
      </c>
      <c r="D299" s="1186" t="s">
        <v>1984</v>
      </c>
      <c r="E299" s="1186" t="s">
        <v>2035</v>
      </c>
      <c r="F299" s="1186" t="s">
        <v>2032</v>
      </c>
      <c r="G299" s="1186" t="s">
        <v>852</v>
      </c>
      <c r="H299" s="1186">
        <v>4</v>
      </c>
    </row>
    <row r="300" spans="1:8" x14ac:dyDescent="0.2">
      <c r="A300" s="1186" t="s">
        <v>20</v>
      </c>
      <c r="B300" s="1186" t="s">
        <v>882</v>
      </c>
      <c r="C300" s="1186" t="s">
        <v>1983</v>
      </c>
      <c r="D300" s="1186" t="s">
        <v>1984</v>
      </c>
      <c r="E300" s="1186" t="s">
        <v>2035</v>
      </c>
      <c r="F300" s="1186" t="s">
        <v>2033</v>
      </c>
      <c r="G300" s="1186" t="s">
        <v>828</v>
      </c>
      <c r="H300" s="1186">
        <v>21</v>
      </c>
    </row>
    <row r="301" spans="1:8" x14ac:dyDescent="0.2">
      <c r="A301" s="1186" t="s">
        <v>20</v>
      </c>
      <c r="B301" s="1186" t="s">
        <v>882</v>
      </c>
      <c r="C301" s="1186" t="s">
        <v>1983</v>
      </c>
      <c r="D301" s="1186" t="s">
        <v>1984</v>
      </c>
      <c r="E301" s="1186" t="s">
        <v>2035</v>
      </c>
      <c r="F301" s="1186" t="s">
        <v>2033</v>
      </c>
      <c r="G301" s="1186" t="s">
        <v>850</v>
      </c>
      <c r="H301" s="1186">
        <v>13</v>
      </c>
    </row>
    <row r="302" spans="1:8" x14ac:dyDescent="0.2">
      <c r="A302" s="1186" t="s">
        <v>20</v>
      </c>
      <c r="B302" s="1186" t="s">
        <v>882</v>
      </c>
      <c r="C302" s="1186" t="s">
        <v>1983</v>
      </c>
      <c r="D302" s="1186" t="s">
        <v>1984</v>
      </c>
      <c r="E302" s="1186" t="s">
        <v>2035</v>
      </c>
      <c r="F302" s="1186" t="s">
        <v>2033</v>
      </c>
      <c r="G302" s="1186" t="s">
        <v>851</v>
      </c>
      <c r="H302" s="1186">
        <v>176</v>
      </c>
    </row>
    <row r="303" spans="1:8" x14ac:dyDescent="0.2">
      <c r="A303" s="1186" t="s">
        <v>20</v>
      </c>
      <c r="B303" s="1186" t="s">
        <v>882</v>
      </c>
      <c r="C303" s="1186" t="s">
        <v>1983</v>
      </c>
      <c r="D303" s="1186" t="s">
        <v>1984</v>
      </c>
      <c r="E303" s="1186" t="s">
        <v>2035</v>
      </c>
      <c r="F303" s="1186" t="s">
        <v>2033</v>
      </c>
      <c r="G303" s="1186" t="s">
        <v>852</v>
      </c>
      <c r="H303" s="1186">
        <v>46</v>
      </c>
    </row>
    <row r="304" spans="1:8" x14ac:dyDescent="0.2">
      <c r="A304" s="1186" t="s">
        <v>20</v>
      </c>
      <c r="B304" s="1186" t="s">
        <v>882</v>
      </c>
      <c r="C304" s="1186" t="s">
        <v>1983</v>
      </c>
      <c r="D304" s="1186" t="s">
        <v>1984</v>
      </c>
      <c r="E304" s="1186" t="s">
        <v>2035</v>
      </c>
      <c r="F304" s="1186" t="s">
        <v>2034</v>
      </c>
      <c r="G304" s="1186" t="s">
        <v>828</v>
      </c>
      <c r="H304" s="1186">
        <v>75</v>
      </c>
    </row>
    <row r="305" spans="1:8" x14ac:dyDescent="0.2">
      <c r="A305" s="1186" t="s">
        <v>20</v>
      </c>
      <c r="B305" s="1186" t="s">
        <v>882</v>
      </c>
      <c r="C305" s="1186" t="s">
        <v>1983</v>
      </c>
      <c r="D305" s="1186" t="s">
        <v>1984</v>
      </c>
      <c r="E305" s="1186" t="s">
        <v>2035</v>
      </c>
      <c r="F305" s="1186" t="s">
        <v>2034</v>
      </c>
      <c r="G305" s="1186" t="s">
        <v>850</v>
      </c>
      <c r="H305" s="1186">
        <v>72</v>
      </c>
    </row>
    <row r="306" spans="1:8" x14ac:dyDescent="0.2">
      <c r="A306" s="1186" t="s">
        <v>20</v>
      </c>
      <c r="B306" s="1186" t="s">
        <v>882</v>
      </c>
      <c r="C306" s="1186" t="s">
        <v>1983</v>
      </c>
      <c r="D306" s="1186" t="s">
        <v>1984</v>
      </c>
      <c r="E306" s="1186" t="s">
        <v>2035</v>
      </c>
      <c r="F306" s="1186" t="s">
        <v>2034</v>
      </c>
      <c r="G306" s="1186" t="s">
        <v>851</v>
      </c>
      <c r="H306" s="1186">
        <v>30</v>
      </c>
    </row>
    <row r="307" spans="1:8" x14ac:dyDescent="0.2">
      <c r="A307" s="1186" t="s">
        <v>20</v>
      </c>
      <c r="B307" s="1186" t="s">
        <v>882</v>
      </c>
      <c r="C307" s="1186" t="s">
        <v>1983</v>
      </c>
      <c r="D307" s="1186" t="s">
        <v>1984</v>
      </c>
      <c r="E307" s="1186" t="s">
        <v>2035</v>
      </c>
      <c r="F307" s="1186" t="s">
        <v>2034</v>
      </c>
      <c r="G307" s="1186" t="s">
        <v>852</v>
      </c>
      <c r="H307" s="1186">
        <v>33</v>
      </c>
    </row>
    <row r="308" spans="1:8" x14ac:dyDescent="0.2">
      <c r="A308" s="1186" t="s">
        <v>20</v>
      </c>
      <c r="B308" s="1186" t="s">
        <v>883</v>
      </c>
      <c r="C308" s="1186" t="s">
        <v>1983</v>
      </c>
      <c r="D308" s="1186" t="s">
        <v>1984</v>
      </c>
      <c r="E308" s="1186" t="s">
        <v>2031</v>
      </c>
      <c r="F308" s="1186" t="s">
        <v>2032</v>
      </c>
      <c r="G308" s="1186" t="s">
        <v>850</v>
      </c>
      <c r="H308" s="1186">
        <v>1</v>
      </c>
    </row>
    <row r="309" spans="1:8" x14ac:dyDescent="0.2">
      <c r="A309" s="1186" t="s">
        <v>20</v>
      </c>
      <c r="B309" s="1186" t="s">
        <v>883</v>
      </c>
      <c r="C309" s="1186" t="s">
        <v>1983</v>
      </c>
      <c r="D309" s="1186" t="s">
        <v>1984</v>
      </c>
      <c r="E309" s="1186" t="s">
        <v>2031</v>
      </c>
      <c r="F309" s="1186" t="s">
        <v>2033</v>
      </c>
      <c r="G309" s="1186" t="s">
        <v>828</v>
      </c>
      <c r="H309" s="1186">
        <v>67</v>
      </c>
    </row>
    <row r="310" spans="1:8" x14ac:dyDescent="0.2">
      <c r="A310" s="1186" t="s">
        <v>20</v>
      </c>
      <c r="B310" s="1186" t="s">
        <v>883</v>
      </c>
      <c r="C310" s="1186" t="s">
        <v>1983</v>
      </c>
      <c r="D310" s="1186" t="s">
        <v>1984</v>
      </c>
      <c r="E310" s="1186" t="s">
        <v>2031</v>
      </c>
      <c r="F310" s="1186" t="s">
        <v>2033</v>
      </c>
      <c r="G310" s="1186" t="s">
        <v>850</v>
      </c>
      <c r="H310" s="1186">
        <v>8</v>
      </c>
    </row>
    <row r="311" spans="1:8" x14ac:dyDescent="0.2">
      <c r="A311" s="1186" t="s">
        <v>20</v>
      </c>
      <c r="B311" s="1186" t="s">
        <v>883</v>
      </c>
      <c r="C311" s="1186" t="s">
        <v>1983</v>
      </c>
      <c r="D311" s="1186" t="s">
        <v>1984</v>
      </c>
      <c r="E311" s="1186" t="s">
        <v>2031</v>
      </c>
      <c r="F311" s="1186" t="s">
        <v>2033</v>
      </c>
      <c r="G311" s="1186" t="s">
        <v>851</v>
      </c>
      <c r="H311" s="1186">
        <v>1</v>
      </c>
    </row>
    <row r="312" spans="1:8" x14ac:dyDescent="0.2">
      <c r="A312" s="1186" t="s">
        <v>20</v>
      </c>
      <c r="B312" s="1186" t="s">
        <v>883</v>
      </c>
      <c r="C312" s="1186" t="s">
        <v>1983</v>
      </c>
      <c r="D312" s="1186" t="s">
        <v>1984</v>
      </c>
      <c r="E312" s="1186" t="s">
        <v>2031</v>
      </c>
      <c r="F312" s="1186" t="s">
        <v>2033</v>
      </c>
      <c r="G312" s="1186" t="s">
        <v>852</v>
      </c>
      <c r="H312" s="1186">
        <v>3</v>
      </c>
    </row>
    <row r="313" spans="1:8" x14ac:dyDescent="0.2">
      <c r="A313" s="1186" t="s">
        <v>20</v>
      </c>
      <c r="B313" s="1186" t="s">
        <v>883</v>
      </c>
      <c r="C313" s="1186" t="s">
        <v>1983</v>
      </c>
      <c r="D313" s="1186" t="s">
        <v>1984</v>
      </c>
      <c r="E313" s="1186" t="s">
        <v>2031</v>
      </c>
      <c r="F313" s="1186" t="s">
        <v>2034</v>
      </c>
      <c r="G313" s="1186" t="s">
        <v>828</v>
      </c>
      <c r="H313" s="1186">
        <v>28</v>
      </c>
    </row>
    <row r="314" spans="1:8" x14ac:dyDescent="0.2">
      <c r="A314" s="1186" t="s">
        <v>20</v>
      </c>
      <c r="B314" s="1186" t="s">
        <v>883</v>
      </c>
      <c r="C314" s="1186" t="s">
        <v>1983</v>
      </c>
      <c r="D314" s="1186" t="s">
        <v>1984</v>
      </c>
      <c r="E314" s="1186" t="s">
        <v>2031</v>
      </c>
      <c r="F314" s="1186" t="s">
        <v>2034</v>
      </c>
      <c r="G314" s="1186" t="s">
        <v>850</v>
      </c>
      <c r="H314" s="1186">
        <v>2</v>
      </c>
    </row>
    <row r="315" spans="1:8" x14ac:dyDescent="0.2">
      <c r="A315" s="1186" t="s">
        <v>20</v>
      </c>
      <c r="B315" s="1186" t="s">
        <v>883</v>
      </c>
      <c r="C315" s="1186" t="s">
        <v>1983</v>
      </c>
      <c r="D315" s="1186" t="s">
        <v>1984</v>
      </c>
      <c r="E315" s="1186" t="s">
        <v>2035</v>
      </c>
      <c r="F315" s="1186" t="s">
        <v>2032</v>
      </c>
      <c r="G315" s="1186" t="s">
        <v>828</v>
      </c>
      <c r="H315" s="1186">
        <v>3</v>
      </c>
    </row>
    <row r="316" spans="1:8" x14ac:dyDescent="0.2">
      <c r="A316" s="1186" t="s">
        <v>20</v>
      </c>
      <c r="B316" s="1186" t="s">
        <v>883</v>
      </c>
      <c r="C316" s="1186" t="s">
        <v>1983</v>
      </c>
      <c r="D316" s="1186" t="s">
        <v>1984</v>
      </c>
      <c r="E316" s="1186" t="s">
        <v>2035</v>
      </c>
      <c r="F316" s="1186" t="s">
        <v>2032</v>
      </c>
      <c r="G316" s="1186" t="s">
        <v>850</v>
      </c>
      <c r="H316" s="1186">
        <v>1</v>
      </c>
    </row>
    <row r="317" spans="1:8" x14ac:dyDescent="0.2">
      <c r="A317" s="1186" t="s">
        <v>20</v>
      </c>
      <c r="B317" s="1186" t="s">
        <v>883</v>
      </c>
      <c r="C317" s="1186" t="s">
        <v>1983</v>
      </c>
      <c r="D317" s="1186" t="s">
        <v>1984</v>
      </c>
      <c r="E317" s="1186" t="s">
        <v>2035</v>
      </c>
      <c r="F317" s="1186" t="s">
        <v>2032</v>
      </c>
      <c r="G317" s="1186" t="s">
        <v>851</v>
      </c>
      <c r="H317" s="1186">
        <v>13</v>
      </c>
    </row>
    <row r="318" spans="1:8" x14ac:dyDescent="0.2">
      <c r="A318" s="1186" t="s">
        <v>20</v>
      </c>
      <c r="B318" s="1186" t="s">
        <v>883</v>
      </c>
      <c r="C318" s="1186" t="s">
        <v>1983</v>
      </c>
      <c r="D318" s="1186" t="s">
        <v>1984</v>
      </c>
      <c r="E318" s="1186" t="s">
        <v>2035</v>
      </c>
      <c r="F318" s="1186" t="s">
        <v>2032</v>
      </c>
      <c r="G318" s="1186" t="s">
        <v>852</v>
      </c>
      <c r="H318" s="1186">
        <v>7</v>
      </c>
    </row>
    <row r="319" spans="1:8" x14ac:dyDescent="0.2">
      <c r="A319" s="1186" t="s">
        <v>20</v>
      </c>
      <c r="B319" s="1186" t="s">
        <v>883</v>
      </c>
      <c r="C319" s="1186" t="s">
        <v>1983</v>
      </c>
      <c r="D319" s="1186" t="s">
        <v>1984</v>
      </c>
      <c r="E319" s="1186" t="s">
        <v>2035</v>
      </c>
      <c r="F319" s="1186" t="s">
        <v>2033</v>
      </c>
      <c r="G319" s="1186" t="s">
        <v>828</v>
      </c>
      <c r="H319" s="1186">
        <v>16</v>
      </c>
    </row>
    <row r="320" spans="1:8" x14ac:dyDescent="0.2">
      <c r="A320" s="1186" t="s">
        <v>20</v>
      </c>
      <c r="B320" s="1186" t="s">
        <v>883</v>
      </c>
      <c r="C320" s="1186" t="s">
        <v>1983</v>
      </c>
      <c r="D320" s="1186" t="s">
        <v>1984</v>
      </c>
      <c r="E320" s="1186" t="s">
        <v>2035</v>
      </c>
      <c r="F320" s="1186" t="s">
        <v>2033</v>
      </c>
      <c r="G320" s="1186" t="s">
        <v>850</v>
      </c>
      <c r="H320" s="1186">
        <v>10</v>
      </c>
    </row>
    <row r="321" spans="1:8" x14ac:dyDescent="0.2">
      <c r="A321" s="1186" t="s">
        <v>20</v>
      </c>
      <c r="B321" s="1186" t="s">
        <v>883</v>
      </c>
      <c r="C321" s="1186" t="s">
        <v>1983</v>
      </c>
      <c r="D321" s="1186" t="s">
        <v>1984</v>
      </c>
      <c r="E321" s="1186" t="s">
        <v>2035</v>
      </c>
      <c r="F321" s="1186" t="s">
        <v>2033</v>
      </c>
      <c r="G321" s="1186" t="s">
        <v>851</v>
      </c>
      <c r="H321" s="1186">
        <v>171</v>
      </c>
    </row>
    <row r="322" spans="1:8" x14ac:dyDescent="0.2">
      <c r="A322" s="1186" t="s">
        <v>20</v>
      </c>
      <c r="B322" s="1186" t="s">
        <v>883</v>
      </c>
      <c r="C322" s="1186" t="s">
        <v>1983</v>
      </c>
      <c r="D322" s="1186" t="s">
        <v>1984</v>
      </c>
      <c r="E322" s="1186" t="s">
        <v>2035</v>
      </c>
      <c r="F322" s="1186" t="s">
        <v>2033</v>
      </c>
      <c r="G322" s="1186" t="s">
        <v>852</v>
      </c>
      <c r="H322" s="1186">
        <v>27</v>
      </c>
    </row>
    <row r="323" spans="1:8" x14ac:dyDescent="0.2">
      <c r="A323" s="1186" t="s">
        <v>20</v>
      </c>
      <c r="B323" s="1186" t="s">
        <v>883</v>
      </c>
      <c r="C323" s="1186" t="s">
        <v>1983</v>
      </c>
      <c r="D323" s="1186" t="s">
        <v>1984</v>
      </c>
      <c r="E323" s="1186" t="s">
        <v>2035</v>
      </c>
      <c r="F323" s="1186" t="s">
        <v>2034</v>
      </c>
      <c r="G323" s="1186" t="s">
        <v>828</v>
      </c>
      <c r="H323" s="1186">
        <v>99</v>
      </c>
    </row>
    <row r="324" spans="1:8" x14ac:dyDescent="0.2">
      <c r="A324" s="1186" t="s">
        <v>20</v>
      </c>
      <c r="B324" s="1186" t="s">
        <v>883</v>
      </c>
      <c r="C324" s="1186" t="s">
        <v>1983</v>
      </c>
      <c r="D324" s="1186" t="s">
        <v>1984</v>
      </c>
      <c r="E324" s="1186" t="s">
        <v>2035</v>
      </c>
      <c r="F324" s="1186" t="s">
        <v>2034</v>
      </c>
      <c r="G324" s="1186" t="s">
        <v>850</v>
      </c>
      <c r="H324" s="1186">
        <v>39</v>
      </c>
    </row>
    <row r="325" spans="1:8" x14ac:dyDescent="0.2">
      <c r="A325" s="1186" t="s">
        <v>20</v>
      </c>
      <c r="B325" s="1186" t="s">
        <v>883</v>
      </c>
      <c r="C325" s="1186" t="s">
        <v>1983</v>
      </c>
      <c r="D325" s="1186" t="s">
        <v>1984</v>
      </c>
      <c r="E325" s="1186" t="s">
        <v>2035</v>
      </c>
      <c r="F325" s="1186" t="s">
        <v>2034</v>
      </c>
      <c r="G325" s="1186" t="s">
        <v>851</v>
      </c>
      <c r="H325" s="1186">
        <v>24</v>
      </c>
    </row>
    <row r="326" spans="1:8" x14ac:dyDescent="0.2">
      <c r="A326" s="1186" t="s">
        <v>20</v>
      </c>
      <c r="B326" s="1186" t="s">
        <v>883</v>
      </c>
      <c r="C326" s="1186" t="s">
        <v>1983</v>
      </c>
      <c r="D326" s="1186" t="s">
        <v>1984</v>
      </c>
      <c r="E326" s="1186" t="s">
        <v>2035</v>
      </c>
      <c r="F326" s="1186" t="s">
        <v>2034</v>
      </c>
      <c r="G326" s="1186" t="s">
        <v>852</v>
      </c>
      <c r="H326" s="1186">
        <v>28</v>
      </c>
    </row>
    <row r="327" spans="1:8" x14ac:dyDescent="0.2">
      <c r="A327" s="1186" t="s">
        <v>20</v>
      </c>
      <c r="B327" s="1186" t="s">
        <v>884</v>
      </c>
      <c r="C327" s="1186" t="s">
        <v>1985</v>
      </c>
      <c r="D327" s="1186" t="s">
        <v>1984</v>
      </c>
      <c r="E327" s="1186" t="s">
        <v>2031</v>
      </c>
      <c r="F327" s="1186" t="s">
        <v>2032</v>
      </c>
      <c r="G327" s="1186" t="s">
        <v>828</v>
      </c>
      <c r="H327" s="1186">
        <v>2</v>
      </c>
    </row>
    <row r="328" spans="1:8" x14ac:dyDescent="0.2">
      <c r="A328" s="1186" t="s">
        <v>20</v>
      </c>
      <c r="B328" s="1186" t="s">
        <v>884</v>
      </c>
      <c r="C328" s="1186" t="s">
        <v>1985</v>
      </c>
      <c r="D328" s="1186" t="s">
        <v>1984</v>
      </c>
      <c r="E328" s="1186" t="s">
        <v>2031</v>
      </c>
      <c r="F328" s="1186" t="s">
        <v>2032</v>
      </c>
      <c r="G328" s="1186" t="s">
        <v>851</v>
      </c>
      <c r="H328" s="1186">
        <v>2</v>
      </c>
    </row>
    <row r="329" spans="1:8" x14ac:dyDescent="0.2">
      <c r="A329" s="1186" t="s">
        <v>20</v>
      </c>
      <c r="B329" s="1186" t="s">
        <v>884</v>
      </c>
      <c r="C329" s="1186" t="s">
        <v>1985</v>
      </c>
      <c r="D329" s="1186" t="s">
        <v>1984</v>
      </c>
      <c r="E329" s="1186" t="s">
        <v>2031</v>
      </c>
      <c r="F329" s="1186" t="s">
        <v>2033</v>
      </c>
      <c r="G329" s="1186" t="s">
        <v>828</v>
      </c>
      <c r="H329" s="1186">
        <v>64</v>
      </c>
    </row>
    <row r="330" spans="1:8" x14ac:dyDescent="0.2">
      <c r="A330" s="1186" t="s">
        <v>20</v>
      </c>
      <c r="B330" s="1186" t="s">
        <v>884</v>
      </c>
      <c r="C330" s="1186" t="s">
        <v>1985</v>
      </c>
      <c r="D330" s="1186" t="s">
        <v>1984</v>
      </c>
      <c r="E330" s="1186" t="s">
        <v>2031</v>
      </c>
      <c r="F330" s="1186" t="s">
        <v>2033</v>
      </c>
      <c r="G330" s="1186" t="s">
        <v>850</v>
      </c>
      <c r="H330" s="1186">
        <v>14</v>
      </c>
    </row>
    <row r="331" spans="1:8" x14ac:dyDescent="0.2">
      <c r="A331" s="1186" t="s">
        <v>20</v>
      </c>
      <c r="B331" s="1186" t="s">
        <v>884</v>
      </c>
      <c r="C331" s="1186" t="s">
        <v>1985</v>
      </c>
      <c r="D331" s="1186" t="s">
        <v>1984</v>
      </c>
      <c r="E331" s="1186" t="s">
        <v>2031</v>
      </c>
      <c r="F331" s="1186" t="s">
        <v>2033</v>
      </c>
      <c r="G331" s="1186" t="s">
        <v>851</v>
      </c>
      <c r="H331" s="1186">
        <v>3</v>
      </c>
    </row>
    <row r="332" spans="1:8" x14ac:dyDescent="0.2">
      <c r="A332" s="1186" t="s">
        <v>20</v>
      </c>
      <c r="B332" s="1186" t="s">
        <v>884</v>
      </c>
      <c r="C332" s="1186" t="s">
        <v>1985</v>
      </c>
      <c r="D332" s="1186" t="s">
        <v>1984</v>
      </c>
      <c r="E332" s="1186" t="s">
        <v>2031</v>
      </c>
      <c r="F332" s="1186" t="s">
        <v>2033</v>
      </c>
      <c r="G332" s="1186" t="s">
        <v>852</v>
      </c>
      <c r="H332" s="1186">
        <v>2</v>
      </c>
    </row>
    <row r="333" spans="1:8" x14ac:dyDescent="0.2">
      <c r="A333" s="1186" t="s">
        <v>20</v>
      </c>
      <c r="B333" s="1186" t="s">
        <v>884</v>
      </c>
      <c r="C333" s="1186" t="s">
        <v>1985</v>
      </c>
      <c r="D333" s="1186" t="s">
        <v>1984</v>
      </c>
      <c r="E333" s="1186" t="s">
        <v>2031</v>
      </c>
      <c r="F333" s="1186" t="s">
        <v>2034</v>
      </c>
      <c r="G333" s="1186" t="s">
        <v>828</v>
      </c>
      <c r="H333" s="1186">
        <v>28</v>
      </c>
    </row>
    <row r="334" spans="1:8" x14ac:dyDescent="0.2">
      <c r="A334" s="1186" t="s">
        <v>20</v>
      </c>
      <c r="B334" s="1186" t="s">
        <v>884</v>
      </c>
      <c r="C334" s="1186" t="s">
        <v>1985</v>
      </c>
      <c r="D334" s="1186" t="s">
        <v>1984</v>
      </c>
      <c r="E334" s="1186" t="s">
        <v>2031</v>
      </c>
      <c r="F334" s="1186" t="s">
        <v>2034</v>
      </c>
      <c r="G334" s="1186" t="s">
        <v>850</v>
      </c>
      <c r="H334" s="1186">
        <v>3</v>
      </c>
    </row>
    <row r="335" spans="1:8" x14ac:dyDescent="0.2">
      <c r="A335" s="1186" t="s">
        <v>20</v>
      </c>
      <c r="B335" s="1186" t="s">
        <v>884</v>
      </c>
      <c r="C335" s="1186" t="s">
        <v>1985</v>
      </c>
      <c r="D335" s="1186" t="s">
        <v>1984</v>
      </c>
      <c r="E335" s="1186" t="s">
        <v>2035</v>
      </c>
      <c r="F335" s="1186" t="s">
        <v>2032</v>
      </c>
      <c r="G335" s="1186" t="s">
        <v>828</v>
      </c>
      <c r="H335" s="1186">
        <v>2</v>
      </c>
    </row>
    <row r="336" spans="1:8" x14ac:dyDescent="0.2">
      <c r="A336" s="1186" t="s">
        <v>20</v>
      </c>
      <c r="B336" s="1186" t="s">
        <v>884</v>
      </c>
      <c r="C336" s="1186" t="s">
        <v>1985</v>
      </c>
      <c r="D336" s="1186" t="s">
        <v>1984</v>
      </c>
      <c r="E336" s="1186" t="s">
        <v>2035</v>
      </c>
      <c r="F336" s="1186" t="s">
        <v>2032</v>
      </c>
      <c r="G336" s="1186" t="s">
        <v>851</v>
      </c>
      <c r="H336" s="1186">
        <v>16</v>
      </c>
    </row>
    <row r="337" spans="1:8" x14ac:dyDescent="0.2">
      <c r="A337" s="1186" t="s">
        <v>20</v>
      </c>
      <c r="B337" s="1186" t="s">
        <v>884</v>
      </c>
      <c r="C337" s="1186" t="s">
        <v>1985</v>
      </c>
      <c r="D337" s="1186" t="s">
        <v>1984</v>
      </c>
      <c r="E337" s="1186" t="s">
        <v>2035</v>
      </c>
      <c r="F337" s="1186" t="s">
        <v>2032</v>
      </c>
      <c r="G337" s="1186" t="s">
        <v>852</v>
      </c>
      <c r="H337" s="1186">
        <v>6</v>
      </c>
    </row>
    <row r="338" spans="1:8" x14ac:dyDescent="0.2">
      <c r="A338" s="1186" t="s">
        <v>20</v>
      </c>
      <c r="B338" s="1186" t="s">
        <v>884</v>
      </c>
      <c r="C338" s="1186" t="s">
        <v>1985</v>
      </c>
      <c r="D338" s="1186" t="s">
        <v>1984</v>
      </c>
      <c r="E338" s="1186" t="s">
        <v>2035</v>
      </c>
      <c r="F338" s="1186" t="s">
        <v>2033</v>
      </c>
      <c r="G338" s="1186" t="s">
        <v>828</v>
      </c>
      <c r="H338" s="1186">
        <v>18</v>
      </c>
    </row>
    <row r="339" spans="1:8" x14ac:dyDescent="0.2">
      <c r="A339" s="1186" t="s">
        <v>20</v>
      </c>
      <c r="B339" s="1186" t="s">
        <v>884</v>
      </c>
      <c r="C339" s="1186" t="s">
        <v>1985</v>
      </c>
      <c r="D339" s="1186" t="s">
        <v>1984</v>
      </c>
      <c r="E339" s="1186" t="s">
        <v>2035</v>
      </c>
      <c r="F339" s="1186" t="s">
        <v>2033</v>
      </c>
      <c r="G339" s="1186" t="s">
        <v>850</v>
      </c>
      <c r="H339" s="1186">
        <v>11</v>
      </c>
    </row>
    <row r="340" spans="1:8" x14ac:dyDescent="0.2">
      <c r="A340" s="1186" t="s">
        <v>20</v>
      </c>
      <c r="B340" s="1186" t="s">
        <v>884</v>
      </c>
      <c r="C340" s="1186" t="s">
        <v>1985</v>
      </c>
      <c r="D340" s="1186" t="s">
        <v>1984</v>
      </c>
      <c r="E340" s="1186" t="s">
        <v>2035</v>
      </c>
      <c r="F340" s="1186" t="s">
        <v>2033</v>
      </c>
      <c r="G340" s="1186" t="s">
        <v>851</v>
      </c>
      <c r="H340" s="1186">
        <v>180</v>
      </c>
    </row>
    <row r="341" spans="1:8" x14ac:dyDescent="0.2">
      <c r="A341" s="1186" t="s">
        <v>20</v>
      </c>
      <c r="B341" s="1186" t="s">
        <v>884</v>
      </c>
      <c r="C341" s="1186" t="s">
        <v>1985</v>
      </c>
      <c r="D341" s="1186" t="s">
        <v>1984</v>
      </c>
      <c r="E341" s="1186" t="s">
        <v>2035</v>
      </c>
      <c r="F341" s="1186" t="s">
        <v>2033</v>
      </c>
      <c r="G341" s="1186" t="s">
        <v>852</v>
      </c>
      <c r="H341" s="1186">
        <v>17</v>
      </c>
    </row>
    <row r="342" spans="1:8" x14ac:dyDescent="0.2">
      <c r="A342" s="1186" t="s">
        <v>20</v>
      </c>
      <c r="B342" s="1186" t="s">
        <v>884</v>
      </c>
      <c r="C342" s="1186" t="s">
        <v>1985</v>
      </c>
      <c r="D342" s="1186" t="s">
        <v>1984</v>
      </c>
      <c r="E342" s="1186" t="s">
        <v>2035</v>
      </c>
      <c r="F342" s="1186" t="s">
        <v>2034</v>
      </c>
      <c r="G342" s="1186" t="s">
        <v>828</v>
      </c>
      <c r="H342" s="1186">
        <v>90</v>
      </c>
    </row>
    <row r="343" spans="1:8" x14ac:dyDescent="0.2">
      <c r="A343" s="1186" t="s">
        <v>20</v>
      </c>
      <c r="B343" s="1186" t="s">
        <v>884</v>
      </c>
      <c r="C343" s="1186" t="s">
        <v>1985</v>
      </c>
      <c r="D343" s="1186" t="s">
        <v>1984</v>
      </c>
      <c r="E343" s="1186" t="s">
        <v>2035</v>
      </c>
      <c r="F343" s="1186" t="s">
        <v>2034</v>
      </c>
      <c r="G343" s="1186" t="s">
        <v>850</v>
      </c>
      <c r="H343" s="1186">
        <v>30</v>
      </c>
    </row>
    <row r="344" spans="1:8" x14ac:dyDescent="0.2">
      <c r="A344" s="1186" t="s">
        <v>20</v>
      </c>
      <c r="B344" s="1186" t="s">
        <v>884</v>
      </c>
      <c r="C344" s="1186" t="s">
        <v>1985</v>
      </c>
      <c r="D344" s="1186" t="s">
        <v>1984</v>
      </c>
      <c r="E344" s="1186" t="s">
        <v>2035</v>
      </c>
      <c r="F344" s="1186" t="s">
        <v>2034</v>
      </c>
      <c r="G344" s="1186" t="s">
        <v>851</v>
      </c>
      <c r="H344" s="1186">
        <v>26</v>
      </c>
    </row>
    <row r="345" spans="1:8" x14ac:dyDescent="0.2">
      <c r="A345" s="1186" t="s">
        <v>20</v>
      </c>
      <c r="B345" s="1186" t="s">
        <v>884</v>
      </c>
      <c r="C345" s="1186" t="s">
        <v>1985</v>
      </c>
      <c r="D345" s="1186" t="s">
        <v>1984</v>
      </c>
      <c r="E345" s="1186" t="s">
        <v>2035</v>
      </c>
      <c r="F345" s="1186" t="s">
        <v>2034</v>
      </c>
      <c r="G345" s="1186" t="s">
        <v>852</v>
      </c>
      <c r="H345" s="1186">
        <v>26</v>
      </c>
    </row>
    <row r="346" spans="1:8" x14ac:dyDescent="0.2">
      <c r="A346" s="1186" t="s">
        <v>20</v>
      </c>
      <c r="B346" s="1186" t="s">
        <v>885</v>
      </c>
      <c r="C346" s="1186" t="s">
        <v>1985</v>
      </c>
      <c r="D346" s="1186" t="s">
        <v>1986</v>
      </c>
      <c r="E346" s="1186" t="s">
        <v>2031</v>
      </c>
      <c r="F346" s="1186" t="s">
        <v>2032</v>
      </c>
      <c r="G346" s="1186" t="s">
        <v>828</v>
      </c>
      <c r="H346" s="1186">
        <v>4</v>
      </c>
    </row>
    <row r="347" spans="1:8" x14ac:dyDescent="0.2">
      <c r="A347" s="1186" t="s">
        <v>20</v>
      </c>
      <c r="B347" s="1186" t="s">
        <v>885</v>
      </c>
      <c r="C347" s="1186" t="s">
        <v>1985</v>
      </c>
      <c r="D347" s="1186" t="s">
        <v>1986</v>
      </c>
      <c r="E347" s="1186" t="s">
        <v>2031</v>
      </c>
      <c r="F347" s="1186" t="s">
        <v>2033</v>
      </c>
      <c r="G347" s="1186" t="s">
        <v>828</v>
      </c>
      <c r="H347" s="1186">
        <v>106</v>
      </c>
    </row>
    <row r="348" spans="1:8" x14ac:dyDescent="0.2">
      <c r="A348" s="1186" t="s">
        <v>20</v>
      </c>
      <c r="B348" s="1186" t="s">
        <v>885</v>
      </c>
      <c r="C348" s="1186" t="s">
        <v>1985</v>
      </c>
      <c r="D348" s="1186" t="s">
        <v>1986</v>
      </c>
      <c r="E348" s="1186" t="s">
        <v>2031</v>
      </c>
      <c r="F348" s="1186" t="s">
        <v>2033</v>
      </c>
      <c r="G348" s="1186" t="s">
        <v>850</v>
      </c>
      <c r="H348" s="1186">
        <v>10</v>
      </c>
    </row>
    <row r="349" spans="1:8" x14ac:dyDescent="0.2">
      <c r="A349" s="1186" t="s">
        <v>20</v>
      </c>
      <c r="B349" s="1186" t="s">
        <v>885</v>
      </c>
      <c r="C349" s="1186" t="s">
        <v>1985</v>
      </c>
      <c r="D349" s="1186" t="s">
        <v>1986</v>
      </c>
      <c r="E349" s="1186" t="s">
        <v>2031</v>
      </c>
      <c r="F349" s="1186" t="s">
        <v>2033</v>
      </c>
      <c r="G349" s="1186" t="s">
        <v>851</v>
      </c>
      <c r="H349" s="1186">
        <v>5</v>
      </c>
    </row>
    <row r="350" spans="1:8" x14ac:dyDescent="0.2">
      <c r="A350" s="1186" t="s">
        <v>20</v>
      </c>
      <c r="B350" s="1186" t="s">
        <v>885</v>
      </c>
      <c r="C350" s="1186" t="s">
        <v>1985</v>
      </c>
      <c r="D350" s="1186" t="s">
        <v>1986</v>
      </c>
      <c r="E350" s="1186" t="s">
        <v>2031</v>
      </c>
      <c r="F350" s="1186" t="s">
        <v>2033</v>
      </c>
      <c r="G350" s="1186" t="s">
        <v>852</v>
      </c>
      <c r="H350" s="1186">
        <v>3</v>
      </c>
    </row>
    <row r="351" spans="1:8" x14ac:dyDescent="0.2">
      <c r="A351" s="1186" t="s">
        <v>20</v>
      </c>
      <c r="B351" s="1186" t="s">
        <v>885</v>
      </c>
      <c r="C351" s="1186" t="s">
        <v>1985</v>
      </c>
      <c r="D351" s="1186" t="s">
        <v>1986</v>
      </c>
      <c r="E351" s="1186" t="s">
        <v>2031</v>
      </c>
      <c r="F351" s="1186" t="s">
        <v>2034</v>
      </c>
      <c r="G351" s="1186" t="s">
        <v>828</v>
      </c>
      <c r="H351" s="1186">
        <v>34</v>
      </c>
    </row>
    <row r="352" spans="1:8" x14ac:dyDescent="0.2">
      <c r="A352" s="1186" t="s">
        <v>20</v>
      </c>
      <c r="B352" s="1186" t="s">
        <v>885</v>
      </c>
      <c r="C352" s="1186" t="s">
        <v>1985</v>
      </c>
      <c r="D352" s="1186" t="s">
        <v>1986</v>
      </c>
      <c r="E352" s="1186" t="s">
        <v>2031</v>
      </c>
      <c r="F352" s="1186" t="s">
        <v>2034</v>
      </c>
      <c r="G352" s="1186" t="s">
        <v>850</v>
      </c>
      <c r="H352" s="1186">
        <v>3</v>
      </c>
    </row>
    <row r="353" spans="1:8" x14ac:dyDescent="0.2">
      <c r="A353" s="1186" t="s">
        <v>20</v>
      </c>
      <c r="B353" s="1186" t="s">
        <v>885</v>
      </c>
      <c r="C353" s="1186" t="s">
        <v>1985</v>
      </c>
      <c r="D353" s="1186" t="s">
        <v>1986</v>
      </c>
      <c r="E353" s="1186" t="s">
        <v>2035</v>
      </c>
      <c r="F353" s="1186" t="s">
        <v>2032</v>
      </c>
      <c r="G353" s="1186" t="s">
        <v>828</v>
      </c>
      <c r="H353" s="1186">
        <v>4</v>
      </c>
    </row>
    <row r="354" spans="1:8" x14ac:dyDescent="0.2">
      <c r="A354" s="1186" t="s">
        <v>20</v>
      </c>
      <c r="B354" s="1186" t="s">
        <v>885</v>
      </c>
      <c r="C354" s="1186" t="s">
        <v>1985</v>
      </c>
      <c r="D354" s="1186" t="s">
        <v>1986</v>
      </c>
      <c r="E354" s="1186" t="s">
        <v>2035</v>
      </c>
      <c r="F354" s="1186" t="s">
        <v>2032</v>
      </c>
      <c r="G354" s="1186" t="s">
        <v>851</v>
      </c>
      <c r="H354" s="1186">
        <v>16</v>
      </c>
    </row>
    <row r="355" spans="1:8" x14ac:dyDescent="0.2">
      <c r="A355" s="1186" t="s">
        <v>20</v>
      </c>
      <c r="B355" s="1186" t="s">
        <v>885</v>
      </c>
      <c r="C355" s="1186" t="s">
        <v>1985</v>
      </c>
      <c r="D355" s="1186" t="s">
        <v>1986</v>
      </c>
      <c r="E355" s="1186" t="s">
        <v>2035</v>
      </c>
      <c r="F355" s="1186" t="s">
        <v>2032</v>
      </c>
      <c r="G355" s="1186" t="s">
        <v>852</v>
      </c>
      <c r="H355" s="1186">
        <v>4</v>
      </c>
    </row>
    <row r="356" spans="1:8" x14ac:dyDescent="0.2">
      <c r="A356" s="1186" t="s">
        <v>20</v>
      </c>
      <c r="B356" s="1186" t="s">
        <v>885</v>
      </c>
      <c r="C356" s="1186" t="s">
        <v>1985</v>
      </c>
      <c r="D356" s="1186" t="s">
        <v>1986</v>
      </c>
      <c r="E356" s="1186" t="s">
        <v>2035</v>
      </c>
      <c r="F356" s="1186" t="s">
        <v>2033</v>
      </c>
      <c r="G356" s="1186" t="s">
        <v>828</v>
      </c>
      <c r="H356" s="1186">
        <v>15</v>
      </c>
    </row>
    <row r="357" spans="1:8" x14ac:dyDescent="0.2">
      <c r="A357" s="1186" t="s">
        <v>20</v>
      </c>
      <c r="B357" s="1186" t="s">
        <v>885</v>
      </c>
      <c r="C357" s="1186" t="s">
        <v>1985</v>
      </c>
      <c r="D357" s="1186" t="s">
        <v>1986</v>
      </c>
      <c r="E357" s="1186" t="s">
        <v>2035</v>
      </c>
      <c r="F357" s="1186" t="s">
        <v>2033</v>
      </c>
      <c r="G357" s="1186" t="s">
        <v>850</v>
      </c>
      <c r="H357" s="1186">
        <v>15</v>
      </c>
    </row>
    <row r="358" spans="1:8" x14ac:dyDescent="0.2">
      <c r="A358" s="1186" t="s">
        <v>20</v>
      </c>
      <c r="B358" s="1186" t="s">
        <v>885</v>
      </c>
      <c r="C358" s="1186" t="s">
        <v>1985</v>
      </c>
      <c r="D358" s="1186" t="s">
        <v>1986</v>
      </c>
      <c r="E358" s="1186" t="s">
        <v>2035</v>
      </c>
      <c r="F358" s="1186" t="s">
        <v>2033</v>
      </c>
      <c r="G358" s="1186" t="s">
        <v>851</v>
      </c>
      <c r="H358" s="1186">
        <v>220</v>
      </c>
    </row>
    <row r="359" spans="1:8" x14ac:dyDescent="0.2">
      <c r="A359" s="1186" t="s">
        <v>20</v>
      </c>
      <c r="B359" s="1186" t="s">
        <v>885</v>
      </c>
      <c r="C359" s="1186" t="s">
        <v>1985</v>
      </c>
      <c r="D359" s="1186" t="s">
        <v>1986</v>
      </c>
      <c r="E359" s="1186" t="s">
        <v>2035</v>
      </c>
      <c r="F359" s="1186" t="s">
        <v>2033</v>
      </c>
      <c r="G359" s="1186" t="s">
        <v>852</v>
      </c>
      <c r="H359" s="1186">
        <v>21</v>
      </c>
    </row>
    <row r="360" spans="1:8" x14ac:dyDescent="0.2">
      <c r="A360" s="1186" t="s">
        <v>20</v>
      </c>
      <c r="B360" s="1186" t="s">
        <v>885</v>
      </c>
      <c r="C360" s="1186" t="s">
        <v>1985</v>
      </c>
      <c r="D360" s="1186" t="s">
        <v>1986</v>
      </c>
      <c r="E360" s="1186" t="s">
        <v>2035</v>
      </c>
      <c r="F360" s="1186" t="s">
        <v>2034</v>
      </c>
      <c r="G360" s="1186" t="s">
        <v>828</v>
      </c>
      <c r="H360" s="1186">
        <v>101</v>
      </c>
    </row>
    <row r="361" spans="1:8" x14ac:dyDescent="0.2">
      <c r="A361" s="1186" t="s">
        <v>20</v>
      </c>
      <c r="B361" s="1186" t="s">
        <v>885</v>
      </c>
      <c r="C361" s="1186" t="s">
        <v>1985</v>
      </c>
      <c r="D361" s="1186" t="s">
        <v>1986</v>
      </c>
      <c r="E361" s="1186" t="s">
        <v>2035</v>
      </c>
      <c r="F361" s="1186" t="s">
        <v>2034</v>
      </c>
      <c r="G361" s="1186" t="s">
        <v>850</v>
      </c>
      <c r="H361" s="1186">
        <v>49</v>
      </c>
    </row>
    <row r="362" spans="1:8" x14ac:dyDescent="0.2">
      <c r="A362" s="1186" t="s">
        <v>20</v>
      </c>
      <c r="B362" s="1186" t="s">
        <v>885</v>
      </c>
      <c r="C362" s="1186" t="s">
        <v>1985</v>
      </c>
      <c r="D362" s="1186" t="s">
        <v>1986</v>
      </c>
      <c r="E362" s="1186" t="s">
        <v>2035</v>
      </c>
      <c r="F362" s="1186" t="s">
        <v>2034</v>
      </c>
      <c r="G362" s="1186" t="s">
        <v>851</v>
      </c>
      <c r="H362" s="1186">
        <v>47</v>
      </c>
    </row>
    <row r="363" spans="1:8" x14ac:dyDescent="0.2">
      <c r="A363" s="1186" t="s">
        <v>20</v>
      </c>
      <c r="B363" s="1186" t="s">
        <v>885</v>
      </c>
      <c r="C363" s="1186" t="s">
        <v>1985</v>
      </c>
      <c r="D363" s="1186" t="s">
        <v>1986</v>
      </c>
      <c r="E363" s="1186" t="s">
        <v>2035</v>
      </c>
      <c r="F363" s="1186" t="s">
        <v>2034</v>
      </c>
      <c r="G363" s="1186" t="s">
        <v>852</v>
      </c>
      <c r="H363" s="1186">
        <v>21</v>
      </c>
    </row>
    <row r="364" spans="1:8" x14ac:dyDescent="0.2">
      <c r="A364" s="1186" t="s">
        <v>20</v>
      </c>
      <c r="B364" s="1186" t="s">
        <v>20</v>
      </c>
      <c r="C364" s="1186" t="s">
        <v>1985</v>
      </c>
      <c r="D364" s="1186" t="s">
        <v>1986</v>
      </c>
      <c r="E364" s="1186" t="s">
        <v>2031</v>
      </c>
      <c r="F364" s="1186" t="s">
        <v>2032</v>
      </c>
      <c r="G364" s="1186" t="s">
        <v>828</v>
      </c>
      <c r="H364" s="1186">
        <v>4</v>
      </c>
    </row>
    <row r="365" spans="1:8" x14ac:dyDescent="0.2">
      <c r="A365" s="1186" t="s">
        <v>20</v>
      </c>
      <c r="B365" s="1186" t="s">
        <v>20</v>
      </c>
      <c r="C365" s="1186" t="s">
        <v>1985</v>
      </c>
      <c r="D365" s="1186" t="s">
        <v>1986</v>
      </c>
      <c r="E365" s="1186" t="s">
        <v>2031</v>
      </c>
      <c r="F365" s="1186" t="s">
        <v>2033</v>
      </c>
      <c r="G365" s="1186" t="s">
        <v>828</v>
      </c>
      <c r="H365" s="1186">
        <v>120</v>
      </c>
    </row>
    <row r="366" spans="1:8" x14ac:dyDescent="0.2">
      <c r="A366" s="1186" t="s">
        <v>20</v>
      </c>
      <c r="B366" s="1186" t="s">
        <v>20</v>
      </c>
      <c r="C366" s="1186" t="s">
        <v>1985</v>
      </c>
      <c r="D366" s="1186" t="s">
        <v>1986</v>
      </c>
      <c r="E366" s="1186" t="s">
        <v>2031</v>
      </c>
      <c r="F366" s="1186" t="s">
        <v>2033</v>
      </c>
      <c r="G366" s="1186" t="s">
        <v>850</v>
      </c>
      <c r="H366" s="1186">
        <v>2</v>
      </c>
    </row>
    <row r="367" spans="1:8" x14ac:dyDescent="0.2">
      <c r="A367" s="1186" t="s">
        <v>20</v>
      </c>
      <c r="B367" s="1186" t="s">
        <v>20</v>
      </c>
      <c r="C367" s="1186" t="s">
        <v>1985</v>
      </c>
      <c r="D367" s="1186" t="s">
        <v>1986</v>
      </c>
      <c r="E367" s="1186" t="s">
        <v>2031</v>
      </c>
      <c r="F367" s="1186" t="s">
        <v>2033</v>
      </c>
      <c r="G367" s="1186" t="s">
        <v>851</v>
      </c>
      <c r="H367" s="1186">
        <v>2</v>
      </c>
    </row>
    <row r="368" spans="1:8" x14ac:dyDescent="0.2">
      <c r="A368" s="1186" t="s">
        <v>20</v>
      </c>
      <c r="B368" s="1186" t="s">
        <v>20</v>
      </c>
      <c r="C368" s="1186" t="s">
        <v>1985</v>
      </c>
      <c r="D368" s="1186" t="s">
        <v>1986</v>
      </c>
      <c r="E368" s="1186" t="s">
        <v>2031</v>
      </c>
      <c r="F368" s="1186" t="s">
        <v>2033</v>
      </c>
      <c r="G368" s="1186" t="s">
        <v>852</v>
      </c>
      <c r="H368" s="1186">
        <v>3</v>
      </c>
    </row>
    <row r="369" spans="1:8" x14ac:dyDescent="0.2">
      <c r="A369" s="1186" t="s">
        <v>20</v>
      </c>
      <c r="B369" s="1186" t="s">
        <v>20</v>
      </c>
      <c r="C369" s="1186" t="s">
        <v>1985</v>
      </c>
      <c r="D369" s="1186" t="s">
        <v>1986</v>
      </c>
      <c r="E369" s="1186" t="s">
        <v>2031</v>
      </c>
      <c r="F369" s="1186" t="s">
        <v>2034</v>
      </c>
      <c r="G369" s="1186" t="s">
        <v>828</v>
      </c>
      <c r="H369" s="1186">
        <v>50</v>
      </c>
    </row>
    <row r="370" spans="1:8" x14ac:dyDescent="0.2">
      <c r="A370" s="1186" t="s">
        <v>20</v>
      </c>
      <c r="B370" s="1186" t="s">
        <v>20</v>
      </c>
      <c r="C370" s="1186" t="s">
        <v>1985</v>
      </c>
      <c r="D370" s="1186" t="s">
        <v>1986</v>
      </c>
      <c r="E370" s="1186" t="s">
        <v>2035</v>
      </c>
      <c r="F370" s="1186" t="s">
        <v>2032</v>
      </c>
      <c r="G370" s="1186" t="s">
        <v>828</v>
      </c>
      <c r="H370" s="1186">
        <v>3</v>
      </c>
    </row>
    <row r="371" spans="1:8" x14ac:dyDescent="0.2">
      <c r="A371" s="1186" t="s">
        <v>20</v>
      </c>
      <c r="B371" s="1186" t="s">
        <v>20</v>
      </c>
      <c r="C371" s="1186" t="s">
        <v>1985</v>
      </c>
      <c r="D371" s="1186" t="s">
        <v>1986</v>
      </c>
      <c r="E371" s="1186" t="s">
        <v>2035</v>
      </c>
      <c r="F371" s="1186" t="s">
        <v>2032</v>
      </c>
      <c r="G371" s="1186" t="s">
        <v>850</v>
      </c>
      <c r="H371" s="1186">
        <v>1</v>
      </c>
    </row>
    <row r="372" spans="1:8" x14ac:dyDescent="0.2">
      <c r="A372" s="1186" t="s">
        <v>20</v>
      </c>
      <c r="B372" s="1186" t="s">
        <v>20</v>
      </c>
      <c r="C372" s="1186" t="s">
        <v>1985</v>
      </c>
      <c r="D372" s="1186" t="s">
        <v>1986</v>
      </c>
      <c r="E372" s="1186" t="s">
        <v>2035</v>
      </c>
      <c r="F372" s="1186" t="s">
        <v>2032</v>
      </c>
      <c r="G372" s="1186" t="s">
        <v>851</v>
      </c>
      <c r="H372" s="1186">
        <v>13</v>
      </c>
    </row>
    <row r="373" spans="1:8" x14ac:dyDescent="0.2">
      <c r="A373" s="1186" t="s">
        <v>20</v>
      </c>
      <c r="B373" s="1186" t="s">
        <v>20</v>
      </c>
      <c r="C373" s="1186" t="s">
        <v>1985</v>
      </c>
      <c r="D373" s="1186" t="s">
        <v>1986</v>
      </c>
      <c r="E373" s="1186" t="s">
        <v>2035</v>
      </c>
      <c r="F373" s="1186" t="s">
        <v>2032</v>
      </c>
      <c r="G373" s="1186" t="s">
        <v>852</v>
      </c>
      <c r="H373" s="1186">
        <v>3</v>
      </c>
    </row>
    <row r="374" spans="1:8" x14ac:dyDescent="0.2">
      <c r="A374" s="1186" t="s">
        <v>20</v>
      </c>
      <c r="B374" s="1186" t="s">
        <v>20</v>
      </c>
      <c r="C374" s="1186" t="s">
        <v>1985</v>
      </c>
      <c r="D374" s="1186" t="s">
        <v>1986</v>
      </c>
      <c r="E374" s="1186" t="s">
        <v>2035</v>
      </c>
      <c r="F374" s="1186" t="s">
        <v>2033</v>
      </c>
      <c r="G374" s="1186" t="s">
        <v>828</v>
      </c>
      <c r="H374" s="1186">
        <v>22</v>
      </c>
    </row>
    <row r="375" spans="1:8" x14ac:dyDescent="0.2">
      <c r="A375" s="1186" t="s">
        <v>20</v>
      </c>
      <c r="B375" s="1186" t="s">
        <v>20</v>
      </c>
      <c r="C375" s="1186" t="s">
        <v>1985</v>
      </c>
      <c r="D375" s="1186" t="s">
        <v>1986</v>
      </c>
      <c r="E375" s="1186" t="s">
        <v>2035</v>
      </c>
      <c r="F375" s="1186" t="s">
        <v>2033</v>
      </c>
      <c r="G375" s="1186" t="s">
        <v>850</v>
      </c>
      <c r="H375" s="1186">
        <v>3</v>
      </c>
    </row>
    <row r="376" spans="1:8" x14ac:dyDescent="0.2">
      <c r="A376" s="1186" t="s">
        <v>20</v>
      </c>
      <c r="B376" s="1186" t="s">
        <v>20</v>
      </c>
      <c r="C376" s="1186" t="s">
        <v>1985</v>
      </c>
      <c r="D376" s="1186" t="s">
        <v>1986</v>
      </c>
      <c r="E376" s="1186" t="s">
        <v>2035</v>
      </c>
      <c r="F376" s="1186" t="s">
        <v>2033</v>
      </c>
      <c r="G376" s="1186" t="s">
        <v>851</v>
      </c>
      <c r="H376" s="1186">
        <v>174</v>
      </c>
    </row>
    <row r="377" spans="1:8" x14ac:dyDescent="0.2">
      <c r="A377" s="1186" t="s">
        <v>20</v>
      </c>
      <c r="B377" s="1186" t="s">
        <v>20</v>
      </c>
      <c r="C377" s="1186" t="s">
        <v>1985</v>
      </c>
      <c r="D377" s="1186" t="s">
        <v>1986</v>
      </c>
      <c r="E377" s="1186" t="s">
        <v>2035</v>
      </c>
      <c r="F377" s="1186" t="s">
        <v>2033</v>
      </c>
      <c r="G377" s="1186" t="s">
        <v>852</v>
      </c>
      <c r="H377" s="1186">
        <v>9</v>
      </c>
    </row>
    <row r="378" spans="1:8" x14ac:dyDescent="0.2">
      <c r="A378" s="1186" t="s">
        <v>20</v>
      </c>
      <c r="B378" s="1186" t="s">
        <v>20</v>
      </c>
      <c r="C378" s="1186" t="s">
        <v>1985</v>
      </c>
      <c r="D378" s="1186" t="s">
        <v>1986</v>
      </c>
      <c r="E378" s="1186" t="s">
        <v>2035</v>
      </c>
      <c r="F378" s="1186" t="s">
        <v>2034</v>
      </c>
      <c r="G378" s="1186" t="s">
        <v>828</v>
      </c>
      <c r="H378" s="1186">
        <v>66</v>
      </c>
    </row>
    <row r="379" spans="1:8" x14ac:dyDescent="0.2">
      <c r="A379" s="1186" t="s">
        <v>20</v>
      </c>
      <c r="B379" s="1186" t="s">
        <v>20</v>
      </c>
      <c r="C379" s="1186" t="s">
        <v>1985</v>
      </c>
      <c r="D379" s="1186" t="s">
        <v>1986</v>
      </c>
      <c r="E379" s="1186" t="s">
        <v>2035</v>
      </c>
      <c r="F379" s="1186" t="s">
        <v>2034</v>
      </c>
      <c r="G379" s="1186" t="s">
        <v>850</v>
      </c>
      <c r="H379" s="1186">
        <v>32</v>
      </c>
    </row>
    <row r="380" spans="1:8" x14ac:dyDescent="0.2">
      <c r="A380" s="1186" t="s">
        <v>20</v>
      </c>
      <c r="B380" s="1186" t="s">
        <v>20</v>
      </c>
      <c r="C380" s="1186" t="s">
        <v>1985</v>
      </c>
      <c r="D380" s="1186" t="s">
        <v>1986</v>
      </c>
      <c r="E380" s="1186" t="s">
        <v>2035</v>
      </c>
      <c r="F380" s="1186" t="s">
        <v>2034</v>
      </c>
      <c r="G380" s="1186" t="s">
        <v>851</v>
      </c>
      <c r="H380" s="1186">
        <v>32</v>
      </c>
    </row>
    <row r="381" spans="1:8" x14ac:dyDescent="0.2">
      <c r="A381" s="1186" t="s">
        <v>20</v>
      </c>
      <c r="B381" s="1186" t="s">
        <v>20</v>
      </c>
      <c r="C381" s="1186" t="s">
        <v>1985</v>
      </c>
      <c r="D381" s="1186" t="s">
        <v>1986</v>
      </c>
      <c r="E381" s="1186" t="s">
        <v>2035</v>
      </c>
      <c r="F381" s="1186" t="s">
        <v>2034</v>
      </c>
      <c r="G381" s="1186" t="s">
        <v>852</v>
      </c>
      <c r="H381" s="1186">
        <v>7</v>
      </c>
    </row>
    <row r="382" spans="1:8" x14ac:dyDescent="0.2">
      <c r="A382" s="1186" t="s">
        <v>20</v>
      </c>
      <c r="B382" s="1186" t="s">
        <v>886</v>
      </c>
      <c r="C382" s="1186" t="s">
        <v>1987</v>
      </c>
      <c r="D382" s="1186" t="s">
        <v>1986</v>
      </c>
      <c r="E382" s="1186" t="s">
        <v>2031</v>
      </c>
      <c r="F382" s="1186" t="s">
        <v>2032</v>
      </c>
      <c r="G382" s="1186" t="s">
        <v>828</v>
      </c>
      <c r="H382" s="1186">
        <v>3</v>
      </c>
    </row>
    <row r="383" spans="1:8" x14ac:dyDescent="0.2">
      <c r="A383" s="1186" t="s">
        <v>20</v>
      </c>
      <c r="B383" s="1186" t="s">
        <v>886</v>
      </c>
      <c r="C383" s="1186" t="s">
        <v>1987</v>
      </c>
      <c r="D383" s="1186" t="s">
        <v>1986</v>
      </c>
      <c r="E383" s="1186" t="s">
        <v>2031</v>
      </c>
      <c r="F383" s="1186" t="s">
        <v>2032</v>
      </c>
      <c r="G383" s="1186" t="s">
        <v>851</v>
      </c>
      <c r="H383" s="1186">
        <v>1</v>
      </c>
    </row>
    <row r="384" spans="1:8" x14ac:dyDescent="0.2">
      <c r="A384" s="1186" t="s">
        <v>20</v>
      </c>
      <c r="B384" s="1186" t="s">
        <v>886</v>
      </c>
      <c r="C384" s="1186" t="s">
        <v>1987</v>
      </c>
      <c r="D384" s="1186" t="s">
        <v>1986</v>
      </c>
      <c r="E384" s="1186" t="s">
        <v>2031</v>
      </c>
      <c r="F384" s="1186" t="s">
        <v>2033</v>
      </c>
      <c r="G384" s="1186" t="s">
        <v>828</v>
      </c>
      <c r="H384" s="1186">
        <v>138</v>
      </c>
    </row>
    <row r="385" spans="1:8" x14ac:dyDescent="0.2">
      <c r="A385" s="1186" t="s">
        <v>20</v>
      </c>
      <c r="B385" s="1186" t="s">
        <v>886</v>
      </c>
      <c r="C385" s="1186" t="s">
        <v>1987</v>
      </c>
      <c r="D385" s="1186" t="s">
        <v>1986</v>
      </c>
      <c r="E385" s="1186" t="s">
        <v>2031</v>
      </c>
      <c r="F385" s="1186" t="s">
        <v>2033</v>
      </c>
      <c r="G385" s="1186" t="s">
        <v>850</v>
      </c>
      <c r="H385" s="1186">
        <v>9</v>
      </c>
    </row>
    <row r="386" spans="1:8" x14ac:dyDescent="0.2">
      <c r="A386" s="1186" t="s">
        <v>20</v>
      </c>
      <c r="B386" s="1186" t="s">
        <v>886</v>
      </c>
      <c r="C386" s="1186" t="s">
        <v>1987</v>
      </c>
      <c r="D386" s="1186" t="s">
        <v>1986</v>
      </c>
      <c r="E386" s="1186" t="s">
        <v>2031</v>
      </c>
      <c r="F386" s="1186" t="s">
        <v>2033</v>
      </c>
      <c r="G386" s="1186" t="s">
        <v>852</v>
      </c>
      <c r="H386" s="1186">
        <v>1</v>
      </c>
    </row>
    <row r="387" spans="1:8" x14ac:dyDescent="0.2">
      <c r="A387" s="1186" t="s">
        <v>20</v>
      </c>
      <c r="B387" s="1186" t="s">
        <v>886</v>
      </c>
      <c r="C387" s="1186" t="s">
        <v>1987</v>
      </c>
      <c r="D387" s="1186" t="s">
        <v>1986</v>
      </c>
      <c r="E387" s="1186" t="s">
        <v>2031</v>
      </c>
      <c r="F387" s="1186" t="s">
        <v>2034</v>
      </c>
      <c r="G387" s="1186" t="s">
        <v>828</v>
      </c>
      <c r="H387" s="1186">
        <v>39</v>
      </c>
    </row>
    <row r="388" spans="1:8" x14ac:dyDescent="0.2">
      <c r="A388" s="1186" t="s">
        <v>20</v>
      </c>
      <c r="B388" s="1186" t="s">
        <v>886</v>
      </c>
      <c r="C388" s="1186" t="s">
        <v>1987</v>
      </c>
      <c r="D388" s="1186" t="s">
        <v>1986</v>
      </c>
      <c r="E388" s="1186" t="s">
        <v>2031</v>
      </c>
      <c r="F388" s="1186" t="s">
        <v>2034</v>
      </c>
      <c r="G388" s="1186" t="s">
        <v>850</v>
      </c>
      <c r="H388" s="1186">
        <v>2</v>
      </c>
    </row>
    <row r="389" spans="1:8" x14ac:dyDescent="0.2">
      <c r="A389" s="1186" t="s">
        <v>20</v>
      </c>
      <c r="B389" s="1186" t="s">
        <v>886</v>
      </c>
      <c r="C389" s="1186" t="s">
        <v>1987</v>
      </c>
      <c r="D389" s="1186" t="s">
        <v>1986</v>
      </c>
      <c r="E389" s="1186" t="s">
        <v>2035</v>
      </c>
      <c r="F389" s="1186" t="s">
        <v>2032</v>
      </c>
      <c r="G389" s="1186" t="s">
        <v>828</v>
      </c>
      <c r="H389" s="1186">
        <v>6</v>
      </c>
    </row>
    <row r="390" spans="1:8" x14ac:dyDescent="0.2">
      <c r="A390" s="1186" t="s">
        <v>20</v>
      </c>
      <c r="B390" s="1186" t="s">
        <v>886</v>
      </c>
      <c r="C390" s="1186" t="s">
        <v>1987</v>
      </c>
      <c r="D390" s="1186" t="s">
        <v>1986</v>
      </c>
      <c r="E390" s="1186" t="s">
        <v>2035</v>
      </c>
      <c r="F390" s="1186" t="s">
        <v>2032</v>
      </c>
      <c r="G390" s="1186" t="s">
        <v>850</v>
      </c>
      <c r="H390" s="1186">
        <v>3</v>
      </c>
    </row>
    <row r="391" spans="1:8" x14ac:dyDescent="0.2">
      <c r="A391" s="1186" t="s">
        <v>20</v>
      </c>
      <c r="B391" s="1186" t="s">
        <v>886</v>
      </c>
      <c r="C391" s="1186" t="s">
        <v>1987</v>
      </c>
      <c r="D391" s="1186" t="s">
        <v>1986</v>
      </c>
      <c r="E391" s="1186" t="s">
        <v>2035</v>
      </c>
      <c r="F391" s="1186" t="s">
        <v>2032</v>
      </c>
      <c r="G391" s="1186" t="s">
        <v>851</v>
      </c>
      <c r="H391" s="1186">
        <v>10</v>
      </c>
    </row>
    <row r="392" spans="1:8" x14ac:dyDescent="0.2">
      <c r="A392" s="1186" t="s">
        <v>20</v>
      </c>
      <c r="B392" s="1186" t="s">
        <v>886</v>
      </c>
      <c r="C392" s="1186" t="s">
        <v>1987</v>
      </c>
      <c r="D392" s="1186" t="s">
        <v>1986</v>
      </c>
      <c r="E392" s="1186" t="s">
        <v>2035</v>
      </c>
      <c r="F392" s="1186" t="s">
        <v>2032</v>
      </c>
      <c r="G392" s="1186" t="s">
        <v>852</v>
      </c>
      <c r="H392" s="1186">
        <v>3</v>
      </c>
    </row>
    <row r="393" spans="1:8" x14ac:dyDescent="0.2">
      <c r="A393" s="1186" t="s">
        <v>20</v>
      </c>
      <c r="B393" s="1186" t="s">
        <v>886</v>
      </c>
      <c r="C393" s="1186" t="s">
        <v>1987</v>
      </c>
      <c r="D393" s="1186" t="s">
        <v>1986</v>
      </c>
      <c r="E393" s="1186" t="s">
        <v>2035</v>
      </c>
      <c r="F393" s="1186" t="s">
        <v>2033</v>
      </c>
      <c r="G393" s="1186" t="s">
        <v>828</v>
      </c>
      <c r="H393" s="1186">
        <v>21</v>
      </c>
    </row>
    <row r="394" spans="1:8" x14ac:dyDescent="0.2">
      <c r="A394" s="1186" t="s">
        <v>20</v>
      </c>
      <c r="B394" s="1186" t="s">
        <v>886</v>
      </c>
      <c r="C394" s="1186" t="s">
        <v>1987</v>
      </c>
      <c r="D394" s="1186" t="s">
        <v>1986</v>
      </c>
      <c r="E394" s="1186" t="s">
        <v>2035</v>
      </c>
      <c r="F394" s="1186" t="s">
        <v>2033</v>
      </c>
      <c r="G394" s="1186" t="s">
        <v>850</v>
      </c>
      <c r="H394" s="1186">
        <v>9</v>
      </c>
    </row>
    <row r="395" spans="1:8" x14ac:dyDescent="0.2">
      <c r="A395" s="1186" t="s">
        <v>20</v>
      </c>
      <c r="B395" s="1186" t="s">
        <v>886</v>
      </c>
      <c r="C395" s="1186" t="s">
        <v>1987</v>
      </c>
      <c r="D395" s="1186" t="s">
        <v>1986</v>
      </c>
      <c r="E395" s="1186" t="s">
        <v>2035</v>
      </c>
      <c r="F395" s="1186" t="s">
        <v>2033</v>
      </c>
      <c r="G395" s="1186" t="s">
        <v>851</v>
      </c>
      <c r="H395" s="1186">
        <v>155</v>
      </c>
    </row>
    <row r="396" spans="1:8" x14ac:dyDescent="0.2">
      <c r="A396" s="1186" t="s">
        <v>20</v>
      </c>
      <c r="B396" s="1186" t="s">
        <v>886</v>
      </c>
      <c r="C396" s="1186" t="s">
        <v>1987</v>
      </c>
      <c r="D396" s="1186" t="s">
        <v>1986</v>
      </c>
      <c r="E396" s="1186" t="s">
        <v>2035</v>
      </c>
      <c r="F396" s="1186" t="s">
        <v>2033</v>
      </c>
      <c r="G396" s="1186" t="s">
        <v>852</v>
      </c>
      <c r="H396" s="1186">
        <v>19</v>
      </c>
    </row>
    <row r="397" spans="1:8" x14ac:dyDescent="0.2">
      <c r="A397" s="1186" t="s">
        <v>20</v>
      </c>
      <c r="B397" s="1186" t="s">
        <v>886</v>
      </c>
      <c r="C397" s="1186" t="s">
        <v>1987</v>
      </c>
      <c r="D397" s="1186" t="s">
        <v>1986</v>
      </c>
      <c r="E397" s="1186" t="s">
        <v>2035</v>
      </c>
      <c r="F397" s="1186" t="s">
        <v>2034</v>
      </c>
      <c r="G397" s="1186" t="s">
        <v>828</v>
      </c>
      <c r="H397" s="1186">
        <v>89</v>
      </c>
    </row>
    <row r="398" spans="1:8" x14ac:dyDescent="0.2">
      <c r="A398" s="1186" t="s">
        <v>20</v>
      </c>
      <c r="B398" s="1186" t="s">
        <v>886</v>
      </c>
      <c r="C398" s="1186" t="s">
        <v>1987</v>
      </c>
      <c r="D398" s="1186" t="s">
        <v>1986</v>
      </c>
      <c r="E398" s="1186" t="s">
        <v>2035</v>
      </c>
      <c r="F398" s="1186" t="s">
        <v>2034</v>
      </c>
      <c r="G398" s="1186" t="s">
        <v>850</v>
      </c>
      <c r="H398" s="1186">
        <v>21</v>
      </c>
    </row>
    <row r="399" spans="1:8" x14ac:dyDescent="0.2">
      <c r="A399" s="1186" t="s">
        <v>20</v>
      </c>
      <c r="B399" s="1186" t="s">
        <v>886</v>
      </c>
      <c r="C399" s="1186" t="s">
        <v>1987</v>
      </c>
      <c r="D399" s="1186" t="s">
        <v>1986</v>
      </c>
      <c r="E399" s="1186" t="s">
        <v>2035</v>
      </c>
      <c r="F399" s="1186" t="s">
        <v>2034</v>
      </c>
      <c r="G399" s="1186" t="s">
        <v>851</v>
      </c>
      <c r="H399" s="1186">
        <v>30</v>
      </c>
    </row>
    <row r="400" spans="1:8" x14ac:dyDescent="0.2">
      <c r="A400" s="1186" t="s">
        <v>20</v>
      </c>
      <c r="B400" s="1186" t="s">
        <v>886</v>
      </c>
      <c r="C400" s="1186" t="s">
        <v>1987</v>
      </c>
      <c r="D400" s="1186" t="s">
        <v>1986</v>
      </c>
      <c r="E400" s="1186" t="s">
        <v>2035</v>
      </c>
      <c r="F400" s="1186" t="s">
        <v>2034</v>
      </c>
      <c r="G400" s="1186" t="s">
        <v>852</v>
      </c>
      <c r="H400" s="1186">
        <v>7</v>
      </c>
    </row>
    <row r="401" spans="1:8" x14ac:dyDescent="0.2">
      <c r="A401" s="1186" t="s">
        <v>20</v>
      </c>
      <c r="B401" s="1186" t="s">
        <v>887</v>
      </c>
      <c r="C401" s="1186" t="s">
        <v>1987</v>
      </c>
      <c r="D401" s="1186" t="s">
        <v>1988</v>
      </c>
      <c r="E401" s="1186" t="s">
        <v>2031</v>
      </c>
      <c r="F401" s="1186" t="s">
        <v>2032</v>
      </c>
      <c r="G401" s="1186" t="s">
        <v>828</v>
      </c>
      <c r="H401" s="1186">
        <v>12</v>
      </c>
    </row>
    <row r="402" spans="1:8" x14ac:dyDescent="0.2">
      <c r="A402" s="1186" t="s">
        <v>20</v>
      </c>
      <c r="B402" s="1186" t="s">
        <v>887</v>
      </c>
      <c r="C402" s="1186" t="s">
        <v>1987</v>
      </c>
      <c r="D402" s="1186" t="s">
        <v>1988</v>
      </c>
      <c r="E402" s="1186" t="s">
        <v>2031</v>
      </c>
      <c r="F402" s="1186" t="s">
        <v>2032</v>
      </c>
      <c r="G402" s="1186" t="s">
        <v>850</v>
      </c>
      <c r="H402" s="1186">
        <v>1</v>
      </c>
    </row>
    <row r="403" spans="1:8" x14ac:dyDescent="0.2">
      <c r="A403" s="1186" t="s">
        <v>20</v>
      </c>
      <c r="B403" s="1186" t="s">
        <v>887</v>
      </c>
      <c r="C403" s="1186" t="s">
        <v>1987</v>
      </c>
      <c r="D403" s="1186" t="s">
        <v>1988</v>
      </c>
      <c r="E403" s="1186" t="s">
        <v>2031</v>
      </c>
      <c r="F403" s="1186" t="s">
        <v>2032</v>
      </c>
      <c r="G403" s="1186" t="s">
        <v>852</v>
      </c>
      <c r="H403" s="1186">
        <v>1</v>
      </c>
    </row>
    <row r="404" spans="1:8" x14ac:dyDescent="0.2">
      <c r="A404" s="1186" t="s">
        <v>20</v>
      </c>
      <c r="B404" s="1186" t="s">
        <v>887</v>
      </c>
      <c r="C404" s="1186" t="s">
        <v>1987</v>
      </c>
      <c r="D404" s="1186" t="s">
        <v>1988</v>
      </c>
      <c r="E404" s="1186" t="s">
        <v>2031</v>
      </c>
      <c r="F404" s="1186" t="s">
        <v>2033</v>
      </c>
      <c r="G404" s="1186" t="s">
        <v>828</v>
      </c>
      <c r="H404" s="1186">
        <v>168</v>
      </c>
    </row>
    <row r="405" spans="1:8" x14ac:dyDescent="0.2">
      <c r="A405" s="1186" t="s">
        <v>20</v>
      </c>
      <c r="B405" s="1186" t="s">
        <v>887</v>
      </c>
      <c r="C405" s="1186" t="s">
        <v>1987</v>
      </c>
      <c r="D405" s="1186" t="s">
        <v>1988</v>
      </c>
      <c r="E405" s="1186" t="s">
        <v>2031</v>
      </c>
      <c r="F405" s="1186" t="s">
        <v>2033</v>
      </c>
      <c r="G405" s="1186" t="s">
        <v>850</v>
      </c>
      <c r="H405" s="1186">
        <v>11</v>
      </c>
    </row>
    <row r="406" spans="1:8" x14ac:dyDescent="0.2">
      <c r="A406" s="1186" t="s">
        <v>20</v>
      </c>
      <c r="B406" s="1186" t="s">
        <v>887</v>
      </c>
      <c r="C406" s="1186" t="s">
        <v>1987</v>
      </c>
      <c r="D406" s="1186" t="s">
        <v>1988</v>
      </c>
      <c r="E406" s="1186" t="s">
        <v>2031</v>
      </c>
      <c r="F406" s="1186" t="s">
        <v>2033</v>
      </c>
      <c r="G406" s="1186" t="s">
        <v>851</v>
      </c>
      <c r="H406" s="1186">
        <v>8</v>
      </c>
    </row>
    <row r="407" spans="1:8" x14ac:dyDescent="0.2">
      <c r="A407" s="1186" t="s">
        <v>20</v>
      </c>
      <c r="B407" s="1186" t="s">
        <v>887</v>
      </c>
      <c r="C407" s="1186" t="s">
        <v>1987</v>
      </c>
      <c r="D407" s="1186" t="s">
        <v>1988</v>
      </c>
      <c r="E407" s="1186" t="s">
        <v>2031</v>
      </c>
      <c r="F407" s="1186" t="s">
        <v>2033</v>
      </c>
      <c r="G407" s="1186" t="s">
        <v>852</v>
      </c>
      <c r="H407" s="1186">
        <v>2</v>
      </c>
    </row>
    <row r="408" spans="1:8" x14ac:dyDescent="0.2">
      <c r="A408" s="1186" t="s">
        <v>20</v>
      </c>
      <c r="B408" s="1186" t="s">
        <v>887</v>
      </c>
      <c r="C408" s="1186" t="s">
        <v>1987</v>
      </c>
      <c r="D408" s="1186" t="s">
        <v>1988</v>
      </c>
      <c r="E408" s="1186" t="s">
        <v>2031</v>
      </c>
      <c r="F408" s="1186" t="s">
        <v>2034</v>
      </c>
      <c r="G408" s="1186" t="s">
        <v>828</v>
      </c>
      <c r="H408" s="1186">
        <v>29</v>
      </c>
    </row>
    <row r="409" spans="1:8" x14ac:dyDescent="0.2">
      <c r="A409" s="1186" t="s">
        <v>20</v>
      </c>
      <c r="B409" s="1186" t="s">
        <v>887</v>
      </c>
      <c r="C409" s="1186" t="s">
        <v>1987</v>
      </c>
      <c r="D409" s="1186" t="s">
        <v>1988</v>
      </c>
      <c r="E409" s="1186" t="s">
        <v>2031</v>
      </c>
      <c r="F409" s="1186" t="s">
        <v>2034</v>
      </c>
      <c r="G409" s="1186" t="s">
        <v>850</v>
      </c>
      <c r="H409" s="1186">
        <v>2</v>
      </c>
    </row>
    <row r="410" spans="1:8" x14ac:dyDescent="0.2">
      <c r="A410" s="1186" t="s">
        <v>20</v>
      </c>
      <c r="B410" s="1186" t="s">
        <v>887</v>
      </c>
      <c r="C410" s="1186" t="s">
        <v>1987</v>
      </c>
      <c r="D410" s="1186" t="s">
        <v>1988</v>
      </c>
      <c r="E410" s="1186" t="s">
        <v>2031</v>
      </c>
      <c r="F410" s="1186" t="s">
        <v>2034</v>
      </c>
      <c r="G410" s="1186" t="s">
        <v>851</v>
      </c>
      <c r="H410" s="1186">
        <v>1</v>
      </c>
    </row>
    <row r="411" spans="1:8" x14ac:dyDescent="0.2">
      <c r="A411" s="1186" t="s">
        <v>20</v>
      </c>
      <c r="B411" s="1186" t="s">
        <v>887</v>
      </c>
      <c r="C411" s="1186" t="s">
        <v>1987</v>
      </c>
      <c r="D411" s="1186" t="s">
        <v>1988</v>
      </c>
      <c r="E411" s="1186" t="s">
        <v>2035</v>
      </c>
      <c r="F411" s="1186" t="s">
        <v>2032</v>
      </c>
      <c r="G411" s="1186" t="s">
        <v>828</v>
      </c>
      <c r="H411" s="1186">
        <v>2</v>
      </c>
    </row>
    <row r="412" spans="1:8" x14ac:dyDescent="0.2">
      <c r="A412" s="1186" t="s">
        <v>20</v>
      </c>
      <c r="B412" s="1186" t="s">
        <v>887</v>
      </c>
      <c r="C412" s="1186" t="s">
        <v>1987</v>
      </c>
      <c r="D412" s="1186" t="s">
        <v>1988</v>
      </c>
      <c r="E412" s="1186" t="s">
        <v>2035</v>
      </c>
      <c r="F412" s="1186" t="s">
        <v>2032</v>
      </c>
      <c r="G412" s="1186" t="s">
        <v>850</v>
      </c>
      <c r="H412" s="1186">
        <v>2</v>
      </c>
    </row>
    <row r="413" spans="1:8" x14ac:dyDescent="0.2">
      <c r="A413" s="1186" t="s">
        <v>20</v>
      </c>
      <c r="B413" s="1186" t="s">
        <v>887</v>
      </c>
      <c r="C413" s="1186" t="s">
        <v>1987</v>
      </c>
      <c r="D413" s="1186" t="s">
        <v>1988</v>
      </c>
      <c r="E413" s="1186" t="s">
        <v>2035</v>
      </c>
      <c r="F413" s="1186" t="s">
        <v>2032</v>
      </c>
      <c r="G413" s="1186" t="s">
        <v>851</v>
      </c>
      <c r="H413" s="1186">
        <v>11</v>
      </c>
    </row>
    <row r="414" spans="1:8" x14ac:dyDescent="0.2">
      <c r="A414" s="1186" t="s">
        <v>20</v>
      </c>
      <c r="B414" s="1186" t="s">
        <v>887</v>
      </c>
      <c r="C414" s="1186" t="s">
        <v>1987</v>
      </c>
      <c r="D414" s="1186" t="s">
        <v>1988</v>
      </c>
      <c r="E414" s="1186" t="s">
        <v>2035</v>
      </c>
      <c r="F414" s="1186" t="s">
        <v>2032</v>
      </c>
      <c r="G414" s="1186" t="s">
        <v>852</v>
      </c>
      <c r="H414" s="1186">
        <v>2</v>
      </c>
    </row>
    <row r="415" spans="1:8" x14ac:dyDescent="0.2">
      <c r="A415" s="1186" t="s">
        <v>20</v>
      </c>
      <c r="B415" s="1186" t="s">
        <v>887</v>
      </c>
      <c r="C415" s="1186" t="s">
        <v>1987</v>
      </c>
      <c r="D415" s="1186" t="s">
        <v>1988</v>
      </c>
      <c r="E415" s="1186" t="s">
        <v>2035</v>
      </c>
      <c r="F415" s="1186" t="s">
        <v>2033</v>
      </c>
      <c r="G415" s="1186" t="s">
        <v>828</v>
      </c>
      <c r="H415" s="1186">
        <v>20</v>
      </c>
    </row>
    <row r="416" spans="1:8" x14ac:dyDescent="0.2">
      <c r="A416" s="1186" t="s">
        <v>20</v>
      </c>
      <c r="B416" s="1186" t="s">
        <v>887</v>
      </c>
      <c r="C416" s="1186" t="s">
        <v>1987</v>
      </c>
      <c r="D416" s="1186" t="s">
        <v>1988</v>
      </c>
      <c r="E416" s="1186" t="s">
        <v>2035</v>
      </c>
      <c r="F416" s="1186" t="s">
        <v>2033</v>
      </c>
      <c r="G416" s="1186" t="s">
        <v>850</v>
      </c>
      <c r="H416" s="1186">
        <v>6</v>
      </c>
    </row>
    <row r="417" spans="1:8" x14ac:dyDescent="0.2">
      <c r="A417" s="1186" t="s">
        <v>20</v>
      </c>
      <c r="B417" s="1186" t="s">
        <v>887</v>
      </c>
      <c r="C417" s="1186" t="s">
        <v>1987</v>
      </c>
      <c r="D417" s="1186" t="s">
        <v>1988</v>
      </c>
      <c r="E417" s="1186" t="s">
        <v>2035</v>
      </c>
      <c r="F417" s="1186" t="s">
        <v>2033</v>
      </c>
      <c r="G417" s="1186" t="s">
        <v>851</v>
      </c>
      <c r="H417" s="1186">
        <v>155</v>
      </c>
    </row>
    <row r="418" spans="1:8" x14ac:dyDescent="0.2">
      <c r="A418" s="1186" t="s">
        <v>20</v>
      </c>
      <c r="B418" s="1186" t="s">
        <v>887</v>
      </c>
      <c r="C418" s="1186" t="s">
        <v>1987</v>
      </c>
      <c r="D418" s="1186" t="s">
        <v>1988</v>
      </c>
      <c r="E418" s="1186" t="s">
        <v>2035</v>
      </c>
      <c r="F418" s="1186" t="s">
        <v>2033</v>
      </c>
      <c r="G418" s="1186" t="s">
        <v>852</v>
      </c>
      <c r="H418" s="1186">
        <v>14</v>
      </c>
    </row>
    <row r="419" spans="1:8" x14ac:dyDescent="0.2">
      <c r="A419" s="1186" t="s">
        <v>20</v>
      </c>
      <c r="B419" s="1186" t="s">
        <v>887</v>
      </c>
      <c r="C419" s="1186" t="s">
        <v>1987</v>
      </c>
      <c r="D419" s="1186" t="s">
        <v>1988</v>
      </c>
      <c r="E419" s="1186" t="s">
        <v>2035</v>
      </c>
      <c r="F419" s="1186" t="s">
        <v>2034</v>
      </c>
      <c r="G419" s="1186" t="s">
        <v>828</v>
      </c>
      <c r="H419" s="1186">
        <v>45</v>
      </c>
    </row>
    <row r="420" spans="1:8" x14ac:dyDescent="0.2">
      <c r="A420" s="1186" t="s">
        <v>20</v>
      </c>
      <c r="B420" s="1186" t="s">
        <v>887</v>
      </c>
      <c r="C420" s="1186" t="s">
        <v>1987</v>
      </c>
      <c r="D420" s="1186" t="s">
        <v>1988</v>
      </c>
      <c r="E420" s="1186" t="s">
        <v>2035</v>
      </c>
      <c r="F420" s="1186" t="s">
        <v>2034</v>
      </c>
      <c r="G420" s="1186" t="s">
        <v>850</v>
      </c>
      <c r="H420" s="1186">
        <v>27</v>
      </c>
    </row>
    <row r="421" spans="1:8" x14ac:dyDescent="0.2">
      <c r="A421" s="1186" t="s">
        <v>20</v>
      </c>
      <c r="B421" s="1186" t="s">
        <v>887</v>
      </c>
      <c r="C421" s="1186" t="s">
        <v>1987</v>
      </c>
      <c r="D421" s="1186" t="s">
        <v>1988</v>
      </c>
      <c r="E421" s="1186" t="s">
        <v>2035</v>
      </c>
      <c r="F421" s="1186" t="s">
        <v>2034</v>
      </c>
      <c r="G421" s="1186" t="s">
        <v>851</v>
      </c>
      <c r="H421" s="1186">
        <v>28</v>
      </c>
    </row>
    <row r="422" spans="1:8" x14ac:dyDescent="0.2">
      <c r="A422" s="1186" t="s">
        <v>20</v>
      </c>
      <c r="B422" s="1186" t="s">
        <v>887</v>
      </c>
      <c r="C422" s="1186" t="s">
        <v>1987</v>
      </c>
      <c r="D422" s="1186" t="s">
        <v>1988</v>
      </c>
      <c r="E422" s="1186" t="s">
        <v>2035</v>
      </c>
      <c r="F422" s="1186" t="s">
        <v>2034</v>
      </c>
      <c r="G422" s="1186" t="s">
        <v>852</v>
      </c>
      <c r="H422" s="1186">
        <v>13</v>
      </c>
    </row>
    <row r="423" spans="1:8" x14ac:dyDescent="0.2">
      <c r="A423" s="1186" t="s">
        <v>20</v>
      </c>
      <c r="B423" s="1186" t="s">
        <v>888</v>
      </c>
      <c r="C423" s="1186" t="s">
        <v>1987</v>
      </c>
      <c r="D423" s="1186" t="s">
        <v>1988</v>
      </c>
      <c r="E423" s="1186" t="s">
        <v>2031</v>
      </c>
      <c r="F423" s="1186" t="s">
        <v>2032</v>
      </c>
      <c r="G423" s="1186" t="s">
        <v>828</v>
      </c>
      <c r="H423" s="1186">
        <v>6</v>
      </c>
    </row>
    <row r="424" spans="1:8" x14ac:dyDescent="0.2">
      <c r="A424" s="1186" t="s">
        <v>20</v>
      </c>
      <c r="B424" s="1186" t="s">
        <v>888</v>
      </c>
      <c r="C424" s="1186" t="s">
        <v>1987</v>
      </c>
      <c r="D424" s="1186" t="s">
        <v>1988</v>
      </c>
      <c r="E424" s="1186" t="s">
        <v>2031</v>
      </c>
      <c r="F424" s="1186" t="s">
        <v>2032</v>
      </c>
      <c r="G424" s="1186" t="s">
        <v>850</v>
      </c>
      <c r="H424" s="1186">
        <v>1</v>
      </c>
    </row>
    <row r="425" spans="1:8" x14ac:dyDescent="0.2">
      <c r="A425" s="1186" t="s">
        <v>20</v>
      </c>
      <c r="B425" s="1186" t="s">
        <v>888</v>
      </c>
      <c r="C425" s="1186" t="s">
        <v>1987</v>
      </c>
      <c r="D425" s="1186" t="s">
        <v>1988</v>
      </c>
      <c r="E425" s="1186" t="s">
        <v>2031</v>
      </c>
      <c r="F425" s="1186" t="s">
        <v>2033</v>
      </c>
      <c r="G425" s="1186" t="s">
        <v>828</v>
      </c>
      <c r="H425" s="1186">
        <v>93</v>
      </c>
    </row>
    <row r="426" spans="1:8" x14ac:dyDescent="0.2">
      <c r="A426" s="1186" t="s">
        <v>20</v>
      </c>
      <c r="B426" s="1186" t="s">
        <v>888</v>
      </c>
      <c r="C426" s="1186" t="s">
        <v>1987</v>
      </c>
      <c r="D426" s="1186" t="s">
        <v>1988</v>
      </c>
      <c r="E426" s="1186" t="s">
        <v>2031</v>
      </c>
      <c r="F426" s="1186" t="s">
        <v>2033</v>
      </c>
      <c r="G426" s="1186" t="s">
        <v>850</v>
      </c>
      <c r="H426" s="1186">
        <v>14</v>
      </c>
    </row>
    <row r="427" spans="1:8" x14ac:dyDescent="0.2">
      <c r="A427" s="1186" t="s">
        <v>20</v>
      </c>
      <c r="B427" s="1186" t="s">
        <v>888</v>
      </c>
      <c r="C427" s="1186" t="s">
        <v>1987</v>
      </c>
      <c r="D427" s="1186" t="s">
        <v>1988</v>
      </c>
      <c r="E427" s="1186" t="s">
        <v>2031</v>
      </c>
      <c r="F427" s="1186" t="s">
        <v>2033</v>
      </c>
      <c r="G427" s="1186" t="s">
        <v>851</v>
      </c>
      <c r="H427" s="1186">
        <v>2</v>
      </c>
    </row>
    <row r="428" spans="1:8" x14ac:dyDescent="0.2">
      <c r="A428" s="1186" t="s">
        <v>20</v>
      </c>
      <c r="B428" s="1186" t="s">
        <v>888</v>
      </c>
      <c r="C428" s="1186" t="s">
        <v>1987</v>
      </c>
      <c r="D428" s="1186" t="s">
        <v>1988</v>
      </c>
      <c r="E428" s="1186" t="s">
        <v>2031</v>
      </c>
      <c r="F428" s="1186" t="s">
        <v>2033</v>
      </c>
      <c r="G428" s="1186" t="s">
        <v>852</v>
      </c>
      <c r="H428" s="1186">
        <v>3</v>
      </c>
    </row>
    <row r="429" spans="1:8" x14ac:dyDescent="0.2">
      <c r="A429" s="1186" t="s">
        <v>20</v>
      </c>
      <c r="B429" s="1186" t="s">
        <v>888</v>
      </c>
      <c r="C429" s="1186" t="s">
        <v>1987</v>
      </c>
      <c r="D429" s="1186" t="s">
        <v>1988</v>
      </c>
      <c r="E429" s="1186" t="s">
        <v>2031</v>
      </c>
      <c r="F429" s="1186" t="s">
        <v>2034</v>
      </c>
      <c r="G429" s="1186" t="s">
        <v>828</v>
      </c>
      <c r="H429" s="1186">
        <v>52</v>
      </c>
    </row>
    <row r="430" spans="1:8" x14ac:dyDescent="0.2">
      <c r="A430" s="1186" t="s">
        <v>20</v>
      </c>
      <c r="B430" s="1186" t="s">
        <v>888</v>
      </c>
      <c r="C430" s="1186" t="s">
        <v>1987</v>
      </c>
      <c r="D430" s="1186" t="s">
        <v>1988</v>
      </c>
      <c r="E430" s="1186" t="s">
        <v>2031</v>
      </c>
      <c r="F430" s="1186" t="s">
        <v>2034</v>
      </c>
      <c r="G430" s="1186" t="s">
        <v>850</v>
      </c>
      <c r="H430" s="1186">
        <v>8</v>
      </c>
    </row>
    <row r="431" spans="1:8" x14ac:dyDescent="0.2">
      <c r="A431" s="1186" t="s">
        <v>20</v>
      </c>
      <c r="B431" s="1186" t="s">
        <v>888</v>
      </c>
      <c r="C431" s="1186" t="s">
        <v>1987</v>
      </c>
      <c r="D431" s="1186" t="s">
        <v>1988</v>
      </c>
      <c r="E431" s="1186" t="s">
        <v>2035</v>
      </c>
      <c r="F431" s="1186" t="s">
        <v>2032</v>
      </c>
      <c r="G431" s="1186" t="s">
        <v>850</v>
      </c>
      <c r="H431" s="1186">
        <v>1</v>
      </c>
    </row>
    <row r="432" spans="1:8" x14ac:dyDescent="0.2">
      <c r="A432" s="1186" t="s">
        <v>20</v>
      </c>
      <c r="B432" s="1186" t="s">
        <v>888</v>
      </c>
      <c r="C432" s="1186" t="s">
        <v>1987</v>
      </c>
      <c r="D432" s="1186" t="s">
        <v>1988</v>
      </c>
      <c r="E432" s="1186" t="s">
        <v>2035</v>
      </c>
      <c r="F432" s="1186" t="s">
        <v>2032</v>
      </c>
      <c r="G432" s="1186" t="s">
        <v>851</v>
      </c>
      <c r="H432" s="1186">
        <v>11</v>
      </c>
    </row>
    <row r="433" spans="1:8" x14ac:dyDescent="0.2">
      <c r="A433" s="1186" t="s">
        <v>20</v>
      </c>
      <c r="B433" s="1186" t="s">
        <v>888</v>
      </c>
      <c r="C433" s="1186" t="s">
        <v>1987</v>
      </c>
      <c r="D433" s="1186" t="s">
        <v>1988</v>
      </c>
      <c r="E433" s="1186" t="s">
        <v>2035</v>
      </c>
      <c r="F433" s="1186" t="s">
        <v>2032</v>
      </c>
      <c r="G433" s="1186" t="s">
        <v>852</v>
      </c>
      <c r="H433" s="1186">
        <v>1</v>
      </c>
    </row>
    <row r="434" spans="1:8" x14ac:dyDescent="0.2">
      <c r="A434" s="1186" t="s">
        <v>20</v>
      </c>
      <c r="B434" s="1186" t="s">
        <v>888</v>
      </c>
      <c r="C434" s="1186" t="s">
        <v>1987</v>
      </c>
      <c r="D434" s="1186" t="s">
        <v>1988</v>
      </c>
      <c r="E434" s="1186" t="s">
        <v>2035</v>
      </c>
      <c r="F434" s="1186" t="s">
        <v>2033</v>
      </c>
      <c r="G434" s="1186" t="s">
        <v>828</v>
      </c>
      <c r="H434" s="1186">
        <v>14</v>
      </c>
    </row>
    <row r="435" spans="1:8" x14ac:dyDescent="0.2">
      <c r="A435" s="1186" t="s">
        <v>20</v>
      </c>
      <c r="B435" s="1186" t="s">
        <v>888</v>
      </c>
      <c r="C435" s="1186" t="s">
        <v>1987</v>
      </c>
      <c r="D435" s="1186" t="s">
        <v>1988</v>
      </c>
      <c r="E435" s="1186" t="s">
        <v>2035</v>
      </c>
      <c r="F435" s="1186" t="s">
        <v>2033</v>
      </c>
      <c r="G435" s="1186" t="s">
        <v>850</v>
      </c>
      <c r="H435" s="1186">
        <v>4</v>
      </c>
    </row>
    <row r="436" spans="1:8" x14ac:dyDescent="0.2">
      <c r="A436" s="1186" t="s">
        <v>20</v>
      </c>
      <c r="B436" s="1186" t="s">
        <v>888</v>
      </c>
      <c r="C436" s="1186" t="s">
        <v>1987</v>
      </c>
      <c r="D436" s="1186" t="s">
        <v>1988</v>
      </c>
      <c r="E436" s="1186" t="s">
        <v>2035</v>
      </c>
      <c r="F436" s="1186" t="s">
        <v>2033</v>
      </c>
      <c r="G436" s="1186" t="s">
        <v>851</v>
      </c>
      <c r="H436" s="1186">
        <v>139</v>
      </c>
    </row>
    <row r="437" spans="1:8" x14ac:dyDescent="0.2">
      <c r="A437" s="1186" t="s">
        <v>20</v>
      </c>
      <c r="B437" s="1186" t="s">
        <v>888</v>
      </c>
      <c r="C437" s="1186" t="s">
        <v>1987</v>
      </c>
      <c r="D437" s="1186" t="s">
        <v>1988</v>
      </c>
      <c r="E437" s="1186" t="s">
        <v>2035</v>
      </c>
      <c r="F437" s="1186" t="s">
        <v>2033</v>
      </c>
      <c r="G437" s="1186" t="s">
        <v>852</v>
      </c>
      <c r="H437" s="1186">
        <v>18</v>
      </c>
    </row>
    <row r="438" spans="1:8" x14ac:dyDescent="0.2">
      <c r="A438" s="1186" t="s">
        <v>20</v>
      </c>
      <c r="B438" s="1186" t="s">
        <v>888</v>
      </c>
      <c r="C438" s="1186" t="s">
        <v>1987</v>
      </c>
      <c r="D438" s="1186" t="s">
        <v>1988</v>
      </c>
      <c r="E438" s="1186" t="s">
        <v>2035</v>
      </c>
      <c r="F438" s="1186" t="s">
        <v>2034</v>
      </c>
      <c r="G438" s="1186" t="s">
        <v>828</v>
      </c>
      <c r="H438" s="1186">
        <v>54</v>
      </c>
    </row>
    <row r="439" spans="1:8" x14ac:dyDescent="0.2">
      <c r="A439" s="1186" t="s">
        <v>20</v>
      </c>
      <c r="B439" s="1186" t="s">
        <v>888</v>
      </c>
      <c r="C439" s="1186" t="s">
        <v>1987</v>
      </c>
      <c r="D439" s="1186" t="s">
        <v>1988</v>
      </c>
      <c r="E439" s="1186" t="s">
        <v>2035</v>
      </c>
      <c r="F439" s="1186" t="s">
        <v>2034</v>
      </c>
      <c r="G439" s="1186" t="s">
        <v>850</v>
      </c>
      <c r="H439" s="1186">
        <v>26</v>
      </c>
    </row>
    <row r="440" spans="1:8" x14ac:dyDescent="0.2">
      <c r="A440" s="1186" t="s">
        <v>20</v>
      </c>
      <c r="B440" s="1186" t="s">
        <v>888</v>
      </c>
      <c r="C440" s="1186" t="s">
        <v>1987</v>
      </c>
      <c r="D440" s="1186" t="s">
        <v>1988</v>
      </c>
      <c r="E440" s="1186" t="s">
        <v>2035</v>
      </c>
      <c r="F440" s="1186" t="s">
        <v>2034</v>
      </c>
      <c r="G440" s="1186" t="s">
        <v>851</v>
      </c>
      <c r="H440" s="1186">
        <v>23</v>
      </c>
    </row>
    <row r="441" spans="1:8" x14ac:dyDescent="0.2">
      <c r="A441" s="1186" t="s">
        <v>20</v>
      </c>
      <c r="B441" s="1186" t="s">
        <v>888</v>
      </c>
      <c r="C441" s="1186" t="s">
        <v>1987</v>
      </c>
      <c r="D441" s="1186" t="s">
        <v>1988</v>
      </c>
      <c r="E441" s="1186" t="s">
        <v>2035</v>
      </c>
      <c r="F441" s="1186" t="s">
        <v>2034</v>
      </c>
      <c r="G441" s="1186" t="s">
        <v>852</v>
      </c>
      <c r="H441" s="1186">
        <v>19</v>
      </c>
    </row>
    <row r="442" spans="1:8" x14ac:dyDescent="0.2">
      <c r="A442" s="1186" t="s">
        <v>20</v>
      </c>
      <c r="B442" s="1186" t="s">
        <v>889</v>
      </c>
      <c r="C442" s="1186" t="s">
        <v>1981</v>
      </c>
      <c r="D442" s="1186" t="s">
        <v>1988</v>
      </c>
      <c r="E442" s="1186" t="s">
        <v>2031</v>
      </c>
      <c r="F442" s="1186" t="s">
        <v>2033</v>
      </c>
      <c r="G442" s="1186" t="s">
        <v>828</v>
      </c>
      <c r="H442" s="1186">
        <v>72</v>
      </c>
    </row>
    <row r="443" spans="1:8" x14ac:dyDescent="0.2">
      <c r="A443" s="1186" t="s">
        <v>20</v>
      </c>
      <c r="B443" s="1186" t="s">
        <v>889</v>
      </c>
      <c r="C443" s="1186" t="s">
        <v>1981</v>
      </c>
      <c r="D443" s="1186" t="s">
        <v>1988</v>
      </c>
      <c r="E443" s="1186" t="s">
        <v>2031</v>
      </c>
      <c r="F443" s="1186" t="s">
        <v>2033</v>
      </c>
      <c r="G443" s="1186" t="s">
        <v>850</v>
      </c>
      <c r="H443" s="1186">
        <v>6</v>
      </c>
    </row>
    <row r="444" spans="1:8" x14ac:dyDescent="0.2">
      <c r="A444" s="1186" t="s">
        <v>20</v>
      </c>
      <c r="B444" s="1186" t="s">
        <v>889</v>
      </c>
      <c r="C444" s="1186" t="s">
        <v>1981</v>
      </c>
      <c r="D444" s="1186" t="s">
        <v>1988</v>
      </c>
      <c r="E444" s="1186" t="s">
        <v>2031</v>
      </c>
      <c r="F444" s="1186" t="s">
        <v>2033</v>
      </c>
      <c r="G444" s="1186" t="s">
        <v>851</v>
      </c>
      <c r="H444" s="1186">
        <v>2</v>
      </c>
    </row>
    <row r="445" spans="1:8" x14ac:dyDescent="0.2">
      <c r="A445" s="1186" t="s">
        <v>20</v>
      </c>
      <c r="B445" s="1186" t="s">
        <v>889</v>
      </c>
      <c r="C445" s="1186" t="s">
        <v>1981</v>
      </c>
      <c r="D445" s="1186" t="s">
        <v>1988</v>
      </c>
      <c r="E445" s="1186" t="s">
        <v>2031</v>
      </c>
      <c r="F445" s="1186" t="s">
        <v>2033</v>
      </c>
      <c r="G445" s="1186" t="s">
        <v>852</v>
      </c>
      <c r="H445" s="1186">
        <v>1</v>
      </c>
    </row>
    <row r="446" spans="1:8" x14ac:dyDescent="0.2">
      <c r="A446" s="1186" t="s">
        <v>20</v>
      </c>
      <c r="B446" s="1186" t="s">
        <v>889</v>
      </c>
      <c r="C446" s="1186" t="s">
        <v>1981</v>
      </c>
      <c r="D446" s="1186" t="s">
        <v>1988</v>
      </c>
      <c r="E446" s="1186" t="s">
        <v>2031</v>
      </c>
      <c r="F446" s="1186" t="s">
        <v>2034</v>
      </c>
      <c r="G446" s="1186" t="s">
        <v>828</v>
      </c>
      <c r="H446" s="1186">
        <v>34</v>
      </c>
    </row>
    <row r="447" spans="1:8" x14ac:dyDescent="0.2">
      <c r="A447" s="1186" t="s">
        <v>20</v>
      </c>
      <c r="B447" s="1186" t="s">
        <v>889</v>
      </c>
      <c r="C447" s="1186" t="s">
        <v>1981</v>
      </c>
      <c r="D447" s="1186" t="s">
        <v>1988</v>
      </c>
      <c r="E447" s="1186" t="s">
        <v>2031</v>
      </c>
      <c r="F447" s="1186" t="s">
        <v>2034</v>
      </c>
      <c r="G447" s="1186" t="s">
        <v>850</v>
      </c>
      <c r="H447" s="1186">
        <v>1</v>
      </c>
    </row>
    <row r="448" spans="1:8" x14ac:dyDescent="0.2">
      <c r="A448" s="1186" t="s">
        <v>20</v>
      </c>
      <c r="B448" s="1186" t="s">
        <v>889</v>
      </c>
      <c r="C448" s="1186" t="s">
        <v>1981</v>
      </c>
      <c r="D448" s="1186" t="s">
        <v>1988</v>
      </c>
      <c r="E448" s="1186" t="s">
        <v>2035</v>
      </c>
      <c r="F448" s="1186" t="s">
        <v>2032</v>
      </c>
      <c r="G448" s="1186" t="s">
        <v>828</v>
      </c>
      <c r="H448" s="1186">
        <v>4</v>
      </c>
    </row>
    <row r="449" spans="1:8" x14ac:dyDescent="0.2">
      <c r="A449" s="1186" t="s">
        <v>20</v>
      </c>
      <c r="B449" s="1186" t="s">
        <v>889</v>
      </c>
      <c r="C449" s="1186" t="s">
        <v>1981</v>
      </c>
      <c r="D449" s="1186" t="s">
        <v>1988</v>
      </c>
      <c r="E449" s="1186" t="s">
        <v>2035</v>
      </c>
      <c r="F449" s="1186" t="s">
        <v>2032</v>
      </c>
      <c r="G449" s="1186" t="s">
        <v>850</v>
      </c>
      <c r="H449" s="1186">
        <v>2</v>
      </c>
    </row>
    <row r="450" spans="1:8" x14ac:dyDescent="0.2">
      <c r="A450" s="1186" t="s">
        <v>20</v>
      </c>
      <c r="B450" s="1186" t="s">
        <v>889</v>
      </c>
      <c r="C450" s="1186" t="s">
        <v>1981</v>
      </c>
      <c r="D450" s="1186" t="s">
        <v>1988</v>
      </c>
      <c r="E450" s="1186" t="s">
        <v>2035</v>
      </c>
      <c r="F450" s="1186" t="s">
        <v>2032</v>
      </c>
      <c r="G450" s="1186" t="s">
        <v>851</v>
      </c>
      <c r="H450" s="1186">
        <v>11</v>
      </c>
    </row>
    <row r="451" spans="1:8" x14ac:dyDescent="0.2">
      <c r="A451" s="1186" t="s">
        <v>20</v>
      </c>
      <c r="B451" s="1186" t="s">
        <v>889</v>
      </c>
      <c r="C451" s="1186" t="s">
        <v>1981</v>
      </c>
      <c r="D451" s="1186" t="s">
        <v>1988</v>
      </c>
      <c r="E451" s="1186" t="s">
        <v>2035</v>
      </c>
      <c r="F451" s="1186" t="s">
        <v>2032</v>
      </c>
      <c r="G451" s="1186" t="s">
        <v>852</v>
      </c>
      <c r="H451" s="1186">
        <v>3</v>
      </c>
    </row>
    <row r="452" spans="1:8" x14ac:dyDescent="0.2">
      <c r="A452" s="1186" t="s">
        <v>20</v>
      </c>
      <c r="B452" s="1186" t="s">
        <v>889</v>
      </c>
      <c r="C452" s="1186" t="s">
        <v>1981</v>
      </c>
      <c r="D452" s="1186" t="s">
        <v>1988</v>
      </c>
      <c r="E452" s="1186" t="s">
        <v>2035</v>
      </c>
      <c r="F452" s="1186" t="s">
        <v>2033</v>
      </c>
      <c r="G452" s="1186" t="s">
        <v>828</v>
      </c>
      <c r="H452" s="1186">
        <v>17</v>
      </c>
    </row>
    <row r="453" spans="1:8" x14ac:dyDescent="0.2">
      <c r="A453" s="1186" t="s">
        <v>20</v>
      </c>
      <c r="B453" s="1186" t="s">
        <v>889</v>
      </c>
      <c r="C453" s="1186" t="s">
        <v>1981</v>
      </c>
      <c r="D453" s="1186" t="s">
        <v>1988</v>
      </c>
      <c r="E453" s="1186" t="s">
        <v>2035</v>
      </c>
      <c r="F453" s="1186" t="s">
        <v>2033</v>
      </c>
      <c r="G453" s="1186" t="s">
        <v>850</v>
      </c>
      <c r="H453" s="1186">
        <v>4</v>
      </c>
    </row>
    <row r="454" spans="1:8" x14ac:dyDescent="0.2">
      <c r="A454" s="1186" t="s">
        <v>20</v>
      </c>
      <c r="B454" s="1186" t="s">
        <v>889</v>
      </c>
      <c r="C454" s="1186" t="s">
        <v>1981</v>
      </c>
      <c r="D454" s="1186" t="s">
        <v>1988</v>
      </c>
      <c r="E454" s="1186" t="s">
        <v>2035</v>
      </c>
      <c r="F454" s="1186" t="s">
        <v>2033</v>
      </c>
      <c r="G454" s="1186" t="s">
        <v>851</v>
      </c>
      <c r="H454" s="1186">
        <v>137</v>
      </c>
    </row>
    <row r="455" spans="1:8" x14ac:dyDescent="0.2">
      <c r="A455" s="1186" t="s">
        <v>20</v>
      </c>
      <c r="B455" s="1186" t="s">
        <v>889</v>
      </c>
      <c r="C455" s="1186" t="s">
        <v>1981</v>
      </c>
      <c r="D455" s="1186" t="s">
        <v>1988</v>
      </c>
      <c r="E455" s="1186" t="s">
        <v>2035</v>
      </c>
      <c r="F455" s="1186" t="s">
        <v>2033</v>
      </c>
      <c r="G455" s="1186" t="s">
        <v>852</v>
      </c>
      <c r="H455" s="1186">
        <v>23</v>
      </c>
    </row>
    <row r="456" spans="1:8" x14ac:dyDescent="0.2">
      <c r="A456" s="1186" t="s">
        <v>20</v>
      </c>
      <c r="B456" s="1186" t="s">
        <v>889</v>
      </c>
      <c r="C456" s="1186" t="s">
        <v>1981</v>
      </c>
      <c r="D456" s="1186" t="s">
        <v>1988</v>
      </c>
      <c r="E456" s="1186" t="s">
        <v>2035</v>
      </c>
      <c r="F456" s="1186" t="s">
        <v>2034</v>
      </c>
      <c r="G456" s="1186" t="s">
        <v>828</v>
      </c>
      <c r="H456" s="1186">
        <v>68</v>
      </c>
    </row>
    <row r="457" spans="1:8" x14ac:dyDescent="0.2">
      <c r="A457" s="1186" t="s">
        <v>20</v>
      </c>
      <c r="B457" s="1186" t="s">
        <v>889</v>
      </c>
      <c r="C457" s="1186" t="s">
        <v>1981</v>
      </c>
      <c r="D457" s="1186" t="s">
        <v>1988</v>
      </c>
      <c r="E457" s="1186" t="s">
        <v>2035</v>
      </c>
      <c r="F457" s="1186" t="s">
        <v>2034</v>
      </c>
      <c r="G457" s="1186" t="s">
        <v>850</v>
      </c>
      <c r="H457" s="1186">
        <v>32</v>
      </c>
    </row>
    <row r="458" spans="1:8" x14ac:dyDescent="0.2">
      <c r="A458" s="1186" t="s">
        <v>20</v>
      </c>
      <c r="B458" s="1186" t="s">
        <v>889</v>
      </c>
      <c r="C458" s="1186" t="s">
        <v>1981</v>
      </c>
      <c r="D458" s="1186" t="s">
        <v>1988</v>
      </c>
      <c r="E458" s="1186" t="s">
        <v>2035</v>
      </c>
      <c r="F458" s="1186" t="s">
        <v>2034</v>
      </c>
      <c r="G458" s="1186" t="s">
        <v>851</v>
      </c>
      <c r="H458" s="1186">
        <v>15</v>
      </c>
    </row>
    <row r="459" spans="1:8" x14ac:dyDescent="0.2">
      <c r="A459" s="1186" t="s">
        <v>20</v>
      </c>
      <c r="B459" s="1186" t="s">
        <v>889</v>
      </c>
      <c r="C459" s="1186" t="s">
        <v>1981</v>
      </c>
      <c r="D459" s="1186" t="s">
        <v>1988</v>
      </c>
      <c r="E459" s="1186" t="s">
        <v>2035</v>
      </c>
      <c r="F459" s="1186" t="s">
        <v>2034</v>
      </c>
      <c r="G459" s="1186" t="s">
        <v>852</v>
      </c>
      <c r="H459" s="1186">
        <v>30</v>
      </c>
    </row>
    <row r="460" spans="1:8" x14ac:dyDescent="0.2">
      <c r="A460" s="1186" t="s">
        <v>13</v>
      </c>
      <c r="B460" s="1186" t="s">
        <v>890</v>
      </c>
      <c r="C460" s="1186" t="s">
        <v>1981</v>
      </c>
      <c r="D460" s="1186" t="s">
        <v>1982</v>
      </c>
      <c r="E460" s="1186" t="s">
        <v>2031</v>
      </c>
      <c r="F460" s="1186" t="s">
        <v>2032</v>
      </c>
      <c r="G460" s="1186" t="s">
        <v>828</v>
      </c>
      <c r="H460" s="1186">
        <v>3</v>
      </c>
    </row>
    <row r="461" spans="1:8" x14ac:dyDescent="0.2">
      <c r="A461" s="1186" t="s">
        <v>13</v>
      </c>
      <c r="B461" s="1186" t="s">
        <v>890</v>
      </c>
      <c r="C461" s="1186" t="s">
        <v>1981</v>
      </c>
      <c r="D461" s="1186" t="s">
        <v>1982</v>
      </c>
      <c r="E461" s="1186" t="s">
        <v>2031</v>
      </c>
      <c r="F461" s="1186" t="s">
        <v>2033</v>
      </c>
      <c r="G461" s="1186" t="s">
        <v>828</v>
      </c>
      <c r="H461" s="1186">
        <v>96</v>
      </c>
    </row>
    <row r="462" spans="1:8" x14ac:dyDescent="0.2">
      <c r="A462" s="1186" t="s">
        <v>13</v>
      </c>
      <c r="B462" s="1186" t="s">
        <v>890</v>
      </c>
      <c r="C462" s="1186" t="s">
        <v>1981</v>
      </c>
      <c r="D462" s="1186" t="s">
        <v>1982</v>
      </c>
      <c r="E462" s="1186" t="s">
        <v>2031</v>
      </c>
      <c r="F462" s="1186" t="s">
        <v>2033</v>
      </c>
      <c r="G462" s="1186" t="s">
        <v>850</v>
      </c>
      <c r="H462" s="1186">
        <v>6</v>
      </c>
    </row>
    <row r="463" spans="1:8" x14ac:dyDescent="0.2">
      <c r="A463" s="1186" t="s">
        <v>13</v>
      </c>
      <c r="B463" s="1186" t="s">
        <v>890</v>
      </c>
      <c r="C463" s="1186" t="s">
        <v>1981</v>
      </c>
      <c r="D463" s="1186" t="s">
        <v>1982</v>
      </c>
      <c r="E463" s="1186" t="s">
        <v>2031</v>
      </c>
      <c r="F463" s="1186" t="s">
        <v>2033</v>
      </c>
      <c r="G463" s="1186" t="s">
        <v>851</v>
      </c>
      <c r="H463" s="1186">
        <v>6</v>
      </c>
    </row>
    <row r="464" spans="1:8" x14ac:dyDescent="0.2">
      <c r="A464" s="1186" t="s">
        <v>13</v>
      </c>
      <c r="B464" s="1186" t="s">
        <v>890</v>
      </c>
      <c r="C464" s="1186" t="s">
        <v>1981</v>
      </c>
      <c r="D464" s="1186" t="s">
        <v>1982</v>
      </c>
      <c r="E464" s="1186" t="s">
        <v>2031</v>
      </c>
      <c r="F464" s="1186" t="s">
        <v>2033</v>
      </c>
      <c r="G464" s="1186" t="s">
        <v>852</v>
      </c>
      <c r="H464" s="1186">
        <v>5</v>
      </c>
    </row>
    <row r="465" spans="1:8" x14ac:dyDescent="0.2">
      <c r="A465" s="1186" t="s">
        <v>13</v>
      </c>
      <c r="B465" s="1186" t="s">
        <v>890</v>
      </c>
      <c r="C465" s="1186" t="s">
        <v>1981</v>
      </c>
      <c r="D465" s="1186" t="s">
        <v>1982</v>
      </c>
      <c r="E465" s="1186" t="s">
        <v>2031</v>
      </c>
      <c r="F465" s="1186" t="s">
        <v>2034</v>
      </c>
      <c r="G465" s="1186" t="s">
        <v>828</v>
      </c>
      <c r="H465" s="1186">
        <v>25</v>
      </c>
    </row>
    <row r="466" spans="1:8" x14ac:dyDescent="0.2">
      <c r="A466" s="1186" t="s">
        <v>13</v>
      </c>
      <c r="B466" s="1186" t="s">
        <v>890</v>
      </c>
      <c r="C466" s="1186" t="s">
        <v>1981</v>
      </c>
      <c r="D466" s="1186" t="s">
        <v>1982</v>
      </c>
      <c r="E466" s="1186" t="s">
        <v>2031</v>
      </c>
      <c r="F466" s="1186" t="s">
        <v>2034</v>
      </c>
      <c r="G466" s="1186" t="s">
        <v>850</v>
      </c>
      <c r="H466" s="1186">
        <v>3</v>
      </c>
    </row>
    <row r="467" spans="1:8" x14ac:dyDescent="0.2">
      <c r="A467" s="1186" t="s">
        <v>13</v>
      </c>
      <c r="B467" s="1186" t="s">
        <v>890</v>
      </c>
      <c r="C467" s="1186" t="s">
        <v>1981</v>
      </c>
      <c r="D467" s="1186" t="s">
        <v>1982</v>
      </c>
      <c r="E467" s="1186" t="s">
        <v>2031</v>
      </c>
      <c r="F467" s="1186" t="s">
        <v>2034</v>
      </c>
      <c r="G467" s="1186" t="s">
        <v>851</v>
      </c>
      <c r="H467" s="1186">
        <v>1</v>
      </c>
    </row>
    <row r="468" spans="1:8" x14ac:dyDescent="0.2">
      <c r="A468" s="1186" t="s">
        <v>13</v>
      </c>
      <c r="B468" s="1186" t="s">
        <v>890</v>
      </c>
      <c r="C468" s="1186" t="s">
        <v>1981</v>
      </c>
      <c r="D468" s="1186" t="s">
        <v>1982</v>
      </c>
      <c r="E468" s="1186" t="s">
        <v>2035</v>
      </c>
      <c r="F468" s="1186" t="s">
        <v>2032</v>
      </c>
      <c r="G468" s="1186" t="s">
        <v>828</v>
      </c>
      <c r="H468" s="1186">
        <v>4</v>
      </c>
    </row>
    <row r="469" spans="1:8" x14ac:dyDescent="0.2">
      <c r="A469" s="1186" t="s">
        <v>13</v>
      </c>
      <c r="B469" s="1186" t="s">
        <v>890</v>
      </c>
      <c r="C469" s="1186" t="s">
        <v>1981</v>
      </c>
      <c r="D469" s="1186" t="s">
        <v>1982</v>
      </c>
      <c r="E469" s="1186" t="s">
        <v>2035</v>
      </c>
      <c r="F469" s="1186" t="s">
        <v>2032</v>
      </c>
      <c r="G469" s="1186" t="s">
        <v>851</v>
      </c>
      <c r="H469" s="1186">
        <v>7</v>
      </c>
    </row>
    <row r="470" spans="1:8" x14ac:dyDescent="0.2">
      <c r="A470" s="1186" t="s">
        <v>13</v>
      </c>
      <c r="B470" s="1186" t="s">
        <v>890</v>
      </c>
      <c r="C470" s="1186" t="s">
        <v>1981</v>
      </c>
      <c r="D470" s="1186" t="s">
        <v>1982</v>
      </c>
      <c r="E470" s="1186" t="s">
        <v>2035</v>
      </c>
      <c r="F470" s="1186" t="s">
        <v>2032</v>
      </c>
      <c r="G470" s="1186" t="s">
        <v>852</v>
      </c>
      <c r="H470" s="1186">
        <v>6</v>
      </c>
    </row>
    <row r="471" spans="1:8" x14ac:dyDescent="0.2">
      <c r="A471" s="1186" t="s">
        <v>13</v>
      </c>
      <c r="B471" s="1186" t="s">
        <v>890</v>
      </c>
      <c r="C471" s="1186" t="s">
        <v>1981</v>
      </c>
      <c r="D471" s="1186" t="s">
        <v>1982</v>
      </c>
      <c r="E471" s="1186" t="s">
        <v>2035</v>
      </c>
      <c r="F471" s="1186" t="s">
        <v>2033</v>
      </c>
      <c r="G471" s="1186" t="s">
        <v>828</v>
      </c>
      <c r="H471" s="1186">
        <v>18</v>
      </c>
    </row>
    <row r="472" spans="1:8" x14ac:dyDescent="0.2">
      <c r="A472" s="1186" t="s">
        <v>13</v>
      </c>
      <c r="B472" s="1186" t="s">
        <v>890</v>
      </c>
      <c r="C472" s="1186" t="s">
        <v>1981</v>
      </c>
      <c r="D472" s="1186" t="s">
        <v>1982</v>
      </c>
      <c r="E472" s="1186" t="s">
        <v>2035</v>
      </c>
      <c r="F472" s="1186" t="s">
        <v>2033</v>
      </c>
      <c r="G472" s="1186" t="s">
        <v>850</v>
      </c>
      <c r="H472" s="1186">
        <v>9</v>
      </c>
    </row>
    <row r="473" spans="1:8" x14ac:dyDescent="0.2">
      <c r="A473" s="1186" t="s">
        <v>13</v>
      </c>
      <c r="B473" s="1186" t="s">
        <v>890</v>
      </c>
      <c r="C473" s="1186" t="s">
        <v>1981</v>
      </c>
      <c r="D473" s="1186" t="s">
        <v>1982</v>
      </c>
      <c r="E473" s="1186" t="s">
        <v>2035</v>
      </c>
      <c r="F473" s="1186" t="s">
        <v>2033</v>
      </c>
      <c r="G473" s="1186" t="s">
        <v>851</v>
      </c>
      <c r="H473" s="1186">
        <v>136</v>
      </c>
    </row>
    <row r="474" spans="1:8" x14ac:dyDescent="0.2">
      <c r="A474" s="1186" t="s">
        <v>13</v>
      </c>
      <c r="B474" s="1186" t="s">
        <v>890</v>
      </c>
      <c r="C474" s="1186" t="s">
        <v>1981</v>
      </c>
      <c r="D474" s="1186" t="s">
        <v>1982</v>
      </c>
      <c r="E474" s="1186" t="s">
        <v>2035</v>
      </c>
      <c r="F474" s="1186" t="s">
        <v>2033</v>
      </c>
      <c r="G474" s="1186" t="s">
        <v>852</v>
      </c>
      <c r="H474" s="1186">
        <v>24</v>
      </c>
    </row>
    <row r="475" spans="1:8" x14ac:dyDescent="0.2">
      <c r="A475" s="1186" t="s">
        <v>13</v>
      </c>
      <c r="B475" s="1186" t="s">
        <v>890</v>
      </c>
      <c r="C475" s="1186" t="s">
        <v>1981</v>
      </c>
      <c r="D475" s="1186" t="s">
        <v>1982</v>
      </c>
      <c r="E475" s="1186" t="s">
        <v>2035</v>
      </c>
      <c r="F475" s="1186" t="s">
        <v>2034</v>
      </c>
      <c r="G475" s="1186" t="s">
        <v>828</v>
      </c>
      <c r="H475" s="1186">
        <v>69</v>
      </c>
    </row>
    <row r="476" spans="1:8" x14ac:dyDescent="0.2">
      <c r="A476" s="1186" t="s">
        <v>13</v>
      </c>
      <c r="B476" s="1186" t="s">
        <v>890</v>
      </c>
      <c r="C476" s="1186" t="s">
        <v>1981</v>
      </c>
      <c r="D476" s="1186" t="s">
        <v>1982</v>
      </c>
      <c r="E476" s="1186" t="s">
        <v>2035</v>
      </c>
      <c r="F476" s="1186" t="s">
        <v>2034</v>
      </c>
      <c r="G476" s="1186" t="s">
        <v>850</v>
      </c>
      <c r="H476" s="1186">
        <v>38</v>
      </c>
    </row>
    <row r="477" spans="1:8" x14ac:dyDescent="0.2">
      <c r="A477" s="1186" t="s">
        <v>13</v>
      </c>
      <c r="B477" s="1186" t="s">
        <v>890</v>
      </c>
      <c r="C477" s="1186" t="s">
        <v>1981</v>
      </c>
      <c r="D477" s="1186" t="s">
        <v>1982</v>
      </c>
      <c r="E477" s="1186" t="s">
        <v>2035</v>
      </c>
      <c r="F477" s="1186" t="s">
        <v>2034</v>
      </c>
      <c r="G477" s="1186" t="s">
        <v>851</v>
      </c>
      <c r="H477" s="1186">
        <v>28</v>
      </c>
    </row>
    <row r="478" spans="1:8" x14ac:dyDescent="0.2">
      <c r="A478" s="1186" t="s">
        <v>13</v>
      </c>
      <c r="B478" s="1186" t="s">
        <v>890</v>
      </c>
      <c r="C478" s="1186" t="s">
        <v>1981</v>
      </c>
      <c r="D478" s="1186" t="s">
        <v>1982</v>
      </c>
      <c r="E478" s="1186" t="s">
        <v>2035</v>
      </c>
      <c r="F478" s="1186" t="s">
        <v>2034</v>
      </c>
      <c r="G478" s="1186" t="s">
        <v>852</v>
      </c>
      <c r="H478" s="1186">
        <v>30</v>
      </c>
    </row>
    <row r="479" spans="1:8" x14ac:dyDescent="0.2">
      <c r="A479" s="1186" t="s">
        <v>13</v>
      </c>
      <c r="B479" s="1186" t="s">
        <v>891</v>
      </c>
      <c r="C479" s="1186" t="s">
        <v>1981</v>
      </c>
      <c r="D479" s="1186" t="s">
        <v>1982</v>
      </c>
      <c r="E479" s="1186" t="s">
        <v>2031</v>
      </c>
      <c r="F479" s="1186" t="s">
        <v>2032</v>
      </c>
      <c r="G479" s="1186" t="s">
        <v>828</v>
      </c>
      <c r="H479" s="1186">
        <v>5</v>
      </c>
    </row>
    <row r="480" spans="1:8" x14ac:dyDescent="0.2">
      <c r="A480" s="1186" t="s">
        <v>13</v>
      </c>
      <c r="B480" s="1186" t="s">
        <v>891</v>
      </c>
      <c r="C480" s="1186" t="s">
        <v>1981</v>
      </c>
      <c r="D480" s="1186" t="s">
        <v>1982</v>
      </c>
      <c r="E480" s="1186" t="s">
        <v>2031</v>
      </c>
      <c r="F480" s="1186" t="s">
        <v>2033</v>
      </c>
      <c r="G480" s="1186" t="s">
        <v>828</v>
      </c>
      <c r="H480" s="1186">
        <v>70</v>
      </c>
    </row>
    <row r="481" spans="1:8" x14ac:dyDescent="0.2">
      <c r="A481" s="1186" t="s">
        <v>13</v>
      </c>
      <c r="B481" s="1186" t="s">
        <v>891</v>
      </c>
      <c r="C481" s="1186" t="s">
        <v>1981</v>
      </c>
      <c r="D481" s="1186" t="s">
        <v>1982</v>
      </c>
      <c r="E481" s="1186" t="s">
        <v>2031</v>
      </c>
      <c r="F481" s="1186" t="s">
        <v>2033</v>
      </c>
      <c r="G481" s="1186" t="s">
        <v>851</v>
      </c>
      <c r="H481" s="1186">
        <v>1</v>
      </c>
    </row>
    <row r="482" spans="1:8" x14ac:dyDescent="0.2">
      <c r="A482" s="1186" t="s">
        <v>13</v>
      </c>
      <c r="B482" s="1186" t="s">
        <v>891</v>
      </c>
      <c r="C482" s="1186" t="s">
        <v>1981</v>
      </c>
      <c r="D482" s="1186" t="s">
        <v>1982</v>
      </c>
      <c r="E482" s="1186" t="s">
        <v>2031</v>
      </c>
      <c r="F482" s="1186" t="s">
        <v>2033</v>
      </c>
      <c r="G482" s="1186" t="s">
        <v>852</v>
      </c>
      <c r="H482" s="1186">
        <v>4</v>
      </c>
    </row>
    <row r="483" spans="1:8" x14ac:dyDescent="0.2">
      <c r="A483" s="1186" t="s">
        <v>13</v>
      </c>
      <c r="B483" s="1186" t="s">
        <v>891</v>
      </c>
      <c r="C483" s="1186" t="s">
        <v>1981</v>
      </c>
      <c r="D483" s="1186" t="s">
        <v>1982</v>
      </c>
      <c r="E483" s="1186" t="s">
        <v>2031</v>
      </c>
      <c r="F483" s="1186" t="s">
        <v>2034</v>
      </c>
      <c r="G483" s="1186" t="s">
        <v>828</v>
      </c>
      <c r="H483" s="1186">
        <v>27</v>
      </c>
    </row>
    <row r="484" spans="1:8" x14ac:dyDescent="0.2">
      <c r="A484" s="1186" t="s">
        <v>13</v>
      </c>
      <c r="B484" s="1186" t="s">
        <v>891</v>
      </c>
      <c r="C484" s="1186" t="s">
        <v>1981</v>
      </c>
      <c r="D484" s="1186" t="s">
        <v>1982</v>
      </c>
      <c r="E484" s="1186" t="s">
        <v>2031</v>
      </c>
      <c r="F484" s="1186" t="s">
        <v>2034</v>
      </c>
      <c r="G484" s="1186" t="s">
        <v>850</v>
      </c>
      <c r="H484" s="1186">
        <v>1</v>
      </c>
    </row>
    <row r="485" spans="1:8" x14ac:dyDescent="0.2">
      <c r="A485" s="1186" t="s">
        <v>13</v>
      </c>
      <c r="B485" s="1186" t="s">
        <v>891</v>
      </c>
      <c r="C485" s="1186" t="s">
        <v>1981</v>
      </c>
      <c r="D485" s="1186" t="s">
        <v>1982</v>
      </c>
      <c r="E485" s="1186" t="s">
        <v>2031</v>
      </c>
      <c r="F485" s="1186" t="s">
        <v>2034</v>
      </c>
      <c r="G485" s="1186" t="s">
        <v>851</v>
      </c>
      <c r="H485" s="1186">
        <v>1</v>
      </c>
    </row>
    <row r="486" spans="1:8" x14ac:dyDescent="0.2">
      <c r="A486" s="1186" t="s">
        <v>13</v>
      </c>
      <c r="B486" s="1186" t="s">
        <v>891</v>
      </c>
      <c r="C486" s="1186" t="s">
        <v>1981</v>
      </c>
      <c r="D486" s="1186" t="s">
        <v>1982</v>
      </c>
      <c r="E486" s="1186" t="s">
        <v>2035</v>
      </c>
      <c r="F486" s="1186" t="s">
        <v>2032</v>
      </c>
      <c r="G486" s="1186" t="s">
        <v>828</v>
      </c>
      <c r="H486" s="1186">
        <v>3</v>
      </c>
    </row>
    <row r="487" spans="1:8" x14ac:dyDescent="0.2">
      <c r="A487" s="1186" t="s">
        <v>13</v>
      </c>
      <c r="B487" s="1186" t="s">
        <v>891</v>
      </c>
      <c r="C487" s="1186" t="s">
        <v>1981</v>
      </c>
      <c r="D487" s="1186" t="s">
        <v>1982</v>
      </c>
      <c r="E487" s="1186" t="s">
        <v>2035</v>
      </c>
      <c r="F487" s="1186" t="s">
        <v>2032</v>
      </c>
      <c r="G487" s="1186" t="s">
        <v>850</v>
      </c>
      <c r="H487" s="1186">
        <v>1</v>
      </c>
    </row>
    <row r="488" spans="1:8" x14ac:dyDescent="0.2">
      <c r="A488" s="1186" t="s">
        <v>13</v>
      </c>
      <c r="B488" s="1186" t="s">
        <v>891</v>
      </c>
      <c r="C488" s="1186" t="s">
        <v>1981</v>
      </c>
      <c r="D488" s="1186" t="s">
        <v>1982</v>
      </c>
      <c r="E488" s="1186" t="s">
        <v>2035</v>
      </c>
      <c r="F488" s="1186" t="s">
        <v>2032</v>
      </c>
      <c r="G488" s="1186" t="s">
        <v>851</v>
      </c>
      <c r="H488" s="1186">
        <v>8</v>
      </c>
    </row>
    <row r="489" spans="1:8" x14ac:dyDescent="0.2">
      <c r="A489" s="1186" t="s">
        <v>13</v>
      </c>
      <c r="B489" s="1186" t="s">
        <v>891</v>
      </c>
      <c r="C489" s="1186" t="s">
        <v>1981</v>
      </c>
      <c r="D489" s="1186" t="s">
        <v>1982</v>
      </c>
      <c r="E489" s="1186" t="s">
        <v>2035</v>
      </c>
      <c r="F489" s="1186" t="s">
        <v>2032</v>
      </c>
      <c r="G489" s="1186" t="s">
        <v>852</v>
      </c>
      <c r="H489" s="1186">
        <v>6</v>
      </c>
    </row>
    <row r="490" spans="1:8" x14ac:dyDescent="0.2">
      <c r="A490" s="1186" t="s">
        <v>13</v>
      </c>
      <c r="B490" s="1186" t="s">
        <v>891</v>
      </c>
      <c r="C490" s="1186" t="s">
        <v>1981</v>
      </c>
      <c r="D490" s="1186" t="s">
        <v>1982</v>
      </c>
      <c r="E490" s="1186" t="s">
        <v>2035</v>
      </c>
      <c r="F490" s="1186" t="s">
        <v>2033</v>
      </c>
      <c r="G490" s="1186" t="s">
        <v>828</v>
      </c>
      <c r="H490" s="1186">
        <v>19</v>
      </c>
    </row>
    <row r="491" spans="1:8" x14ac:dyDescent="0.2">
      <c r="A491" s="1186" t="s">
        <v>13</v>
      </c>
      <c r="B491" s="1186" t="s">
        <v>891</v>
      </c>
      <c r="C491" s="1186" t="s">
        <v>1981</v>
      </c>
      <c r="D491" s="1186" t="s">
        <v>1982</v>
      </c>
      <c r="E491" s="1186" t="s">
        <v>2035</v>
      </c>
      <c r="F491" s="1186" t="s">
        <v>2033</v>
      </c>
      <c r="G491" s="1186" t="s">
        <v>850</v>
      </c>
      <c r="H491" s="1186">
        <v>12</v>
      </c>
    </row>
    <row r="492" spans="1:8" x14ac:dyDescent="0.2">
      <c r="A492" s="1186" t="s">
        <v>13</v>
      </c>
      <c r="B492" s="1186" t="s">
        <v>891</v>
      </c>
      <c r="C492" s="1186" t="s">
        <v>1981</v>
      </c>
      <c r="D492" s="1186" t="s">
        <v>1982</v>
      </c>
      <c r="E492" s="1186" t="s">
        <v>2035</v>
      </c>
      <c r="F492" s="1186" t="s">
        <v>2033</v>
      </c>
      <c r="G492" s="1186" t="s">
        <v>851</v>
      </c>
      <c r="H492" s="1186">
        <v>156</v>
      </c>
    </row>
    <row r="493" spans="1:8" x14ac:dyDescent="0.2">
      <c r="A493" s="1186" t="s">
        <v>13</v>
      </c>
      <c r="B493" s="1186" t="s">
        <v>891</v>
      </c>
      <c r="C493" s="1186" t="s">
        <v>1981</v>
      </c>
      <c r="D493" s="1186" t="s">
        <v>1982</v>
      </c>
      <c r="E493" s="1186" t="s">
        <v>2035</v>
      </c>
      <c r="F493" s="1186" t="s">
        <v>2033</v>
      </c>
      <c r="G493" s="1186" t="s">
        <v>852</v>
      </c>
      <c r="H493" s="1186">
        <v>28</v>
      </c>
    </row>
    <row r="494" spans="1:8" x14ac:dyDescent="0.2">
      <c r="A494" s="1186" t="s">
        <v>13</v>
      </c>
      <c r="B494" s="1186" t="s">
        <v>891</v>
      </c>
      <c r="C494" s="1186" t="s">
        <v>1981</v>
      </c>
      <c r="D494" s="1186" t="s">
        <v>1982</v>
      </c>
      <c r="E494" s="1186" t="s">
        <v>2035</v>
      </c>
      <c r="F494" s="1186" t="s">
        <v>2034</v>
      </c>
      <c r="G494" s="1186" t="s">
        <v>828</v>
      </c>
      <c r="H494" s="1186">
        <v>67</v>
      </c>
    </row>
    <row r="495" spans="1:8" x14ac:dyDescent="0.2">
      <c r="A495" s="1186" t="s">
        <v>13</v>
      </c>
      <c r="B495" s="1186" t="s">
        <v>891</v>
      </c>
      <c r="C495" s="1186" t="s">
        <v>1981</v>
      </c>
      <c r="D495" s="1186" t="s">
        <v>1982</v>
      </c>
      <c r="E495" s="1186" t="s">
        <v>2035</v>
      </c>
      <c r="F495" s="1186" t="s">
        <v>2034</v>
      </c>
      <c r="G495" s="1186" t="s">
        <v>850</v>
      </c>
      <c r="H495" s="1186">
        <v>27</v>
      </c>
    </row>
    <row r="496" spans="1:8" x14ac:dyDescent="0.2">
      <c r="A496" s="1186" t="s">
        <v>13</v>
      </c>
      <c r="B496" s="1186" t="s">
        <v>891</v>
      </c>
      <c r="C496" s="1186" t="s">
        <v>1981</v>
      </c>
      <c r="D496" s="1186" t="s">
        <v>1982</v>
      </c>
      <c r="E496" s="1186" t="s">
        <v>2035</v>
      </c>
      <c r="F496" s="1186" t="s">
        <v>2034</v>
      </c>
      <c r="G496" s="1186" t="s">
        <v>851</v>
      </c>
      <c r="H496" s="1186">
        <v>33</v>
      </c>
    </row>
    <row r="497" spans="1:8" x14ac:dyDescent="0.2">
      <c r="A497" s="1186" t="s">
        <v>13</v>
      </c>
      <c r="B497" s="1186" t="s">
        <v>891</v>
      </c>
      <c r="C497" s="1186" t="s">
        <v>1981</v>
      </c>
      <c r="D497" s="1186" t="s">
        <v>1982</v>
      </c>
      <c r="E497" s="1186" t="s">
        <v>2035</v>
      </c>
      <c r="F497" s="1186" t="s">
        <v>2034</v>
      </c>
      <c r="G497" s="1186" t="s">
        <v>852</v>
      </c>
      <c r="H497" s="1186">
        <v>22</v>
      </c>
    </row>
    <row r="498" spans="1:8" x14ac:dyDescent="0.2">
      <c r="A498" s="1186" t="s">
        <v>13</v>
      </c>
      <c r="B498" s="1186" t="s">
        <v>892</v>
      </c>
      <c r="C498" s="1186" t="s">
        <v>1983</v>
      </c>
      <c r="D498" s="1186" t="s">
        <v>1982</v>
      </c>
      <c r="E498" s="1186" t="s">
        <v>2031</v>
      </c>
      <c r="F498" s="1186" t="s">
        <v>2032</v>
      </c>
      <c r="G498" s="1186" t="s">
        <v>828</v>
      </c>
      <c r="H498" s="1186">
        <v>3</v>
      </c>
    </row>
    <row r="499" spans="1:8" x14ac:dyDescent="0.2">
      <c r="A499" s="1186" t="s">
        <v>13</v>
      </c>
      <c r="B499" s="1186" t="s">
        <v>892</v>
      </c>
      <c r="C499" s="1186" t="s">
        <v>1983</v>
      </c>
      <c r="D499" s="1186" t="s">
        <v>1982</v>
      </c>
      <c r="E499" s="1186" t="s">
        <v>2031</v>
      </c>
      <c r="F499" s="1186" t="s">
        <v>2032</v>
      </c>
      <c r="G499" s="1186" t="s">
        <v>850</v>
      </c>
      <c r="H499" s="1186">
        <v>1</v>
      </c>
    </row>
    <row r="500" spans="1:8" x14ac:dyDescent="0.2">
      <c r="A500" s="1186" t="s">
        <v>13</v>
      </c>
      <c r="B500" s="1186" t="s">
        <v>892</v>
      </c>
      <c r="C500" s="1186" t="s">
        <v>1983</v>
      </c>
      <c r="D500" s="1186" t="s">
        <v>1982</v>
      </c>
      <c r="E500" s="1186" t="s">
        <v>2031</v>
      </c>
      <c r="F500" s="1186" t="s">
        <v>2033</v>
      </c>
      <c r="G500" s="1186" t="s">
        <v>828</v>
      </c>
      <c r="H500" s="1186">
        <v>62</v>
      </c>
    </row>
    <row r="501" spans="1:8" x14ac:dyDescent="0.2">
      <c r="A501" s="1186" t="s">
        <v>13</v>
      </c>
      <c r="B501" s="1186" t="s">
        <v>892</v>
      </c>
      <c r="C501" s="1186" t="s">
        <v>1983</v>
      </c>
      <c r="D501" s="1186" t="s">
        <v>1982</v>
      </c>
      <c r="E501" s="1186" t="s">
        <v>2031</v>
      </c>
      <c r="F501" s="1186" t="s">
        <v>2033</v>
      </c>
      <c r="G501" s="1186" t="s">
        <v>850</v>
      </c>
      <c r="H501" s="1186">
        <v>6</v>
      </c>
    </row>
    <row r="502" spans="1:8" x14ac:dyDescent="0.2">
      <c r="A502" s="1186" t="s">
        <v>13</v>
      </c>
      <c r="B502" s="1186" t="s">
        <v>892</v>
      </c>
      <c r="C502" s="1186" t="s">
        <v>1983</v>
      </c>
      <c r="D502" s="1186" t="s">
        <v>1982</v>
      </c>
      <c r="E502" s="1186" t="s">
        <v>2031</v>
      </c>
      <c r="F502" s="1186" t="s">
        <v>2033</v>
      </c>
      <c r="G502" s="1186" t="s">
        <v>851</v>
      </c>
      <c r="H502" s="1186">
        <v>4</v>
      </c>
    </row>
    <row r="503" spans="1:8" x14ac:dyDescent="0.2">
      <c r="A503" s="1186" t="s">
        <v>13</v>
      </c>
      <c r="B503" s="1186" t="s">
        <v>892</v>
      </c>
      <c r="C503" s="1186" t="s">
        <v>1983</v>
      </c>
      <c r="D503" s="1186" t="s">
        <v>1982</v>
      </c>
      <c r="E503" s="1186" t="s">
        <v>2031</v>
      </c>
      <c r="F503" s="1186" t="s">
        <v>2033</v>
      </c>
      <c r="G503" s="1186" t="s">
        <v>852</v>
      </c>
      <c r="H503" s="1186">
        <v>4</v>
      </c>
    </row>
    <row r="504" spans="1:8" x14ac:dyDescent="0.2">
      <c r="A504" s="1186" t="s">
        <v>13</v>
      </c>
      <c r="B504" s="1186" t="s">
        <v>892</v>
      </c>
      <c r="C504" s="1186" t="s">
        <v>1983</v>
      </c>
      <c r="D504" s="1186" t="s">
        <v>1982</v>
      </c>
      <c r="E504" s="1186" t="s">
        <v>2031</v>
      </c>
      <c r="F504" s="1186" t="s">
        <v>2034</v>
      </c>
      <c r="G504" s="1186" t="s">
        <v>828</v>
      </c>
      <c r="H504" s="1186">
        <v>28</v>
      </c>
    </row>
    <row r="505" spans="1:8" x14ac:dyDescent="0.2">
      <c r="A505" s="1186" t="s">
        <v>13</v>
      </c>
      <c r="B505" s="1186" t="s">
        <v>892</v>
      </c>
      <c r="C505" s="1186" t="s">
        <v>1983</v>
      </c>
      <c r="D505" s="1186" t="s">
        <v>1982</v>
      </c>
      <c r="E505" s="1186" t="s">
        <v>2031</v>
      </c>
      <c r="F505" s="1186" t="s">
        <v>2034</v>
      </c>
      <c r="G505" s="1186" t="s">
        <v>850</v>
      </c>
      <c r="H505" s="1186">
        <v>2</v>
      </c>
    </row>
    <row r="506" spans="1:8" x14ac:dyDescent="0.2">
      <c r="A506" s="1186" t="s">
        <v>13</v>
      </c>
      <c r="B506" s="1186" t="s">
        <v>892</v>
      </c>
      <c r="C506" s="1186" t="s">
        <v>1983</v>
      </c>
      <c r="D506" s="1186" t="s">
        <v>1982</v>
      </c>
      <c r="E506" s="1186" t="s">
        <v>2031</v>
      </c>
      <c r="F506" s="1186" t="s">
        <v>2034</v>
      </c>
      <c r="G506" s="1186" t="s">
        <v>851</v>
      </c>
      <c r="H506" s="1186">
        <v>1</v>
      </c>
    </row>
    <row r="507" spans="1:8" x14ac:dyDescent="0.2">
      <c r="A507" s="1186" t="s">
        <v>13</v>
      </c>
      <c r="B507" s="1186" t="s">
        <v>892</v>
      </c>
      <c r="C507" s="1186" t="s">
        <v>1983</v>
      </c>
      <c r="D507" s="1186" t="s">
        <v>1982</v>
      </c>
      <c r="E507" s="1186" t="s">
        <v>2035</v>
      </c>
      <c r="F507" s="1186" t="s">
        <v>2032</v>
      </c>
      <c r="G507" s="1186" t="s">
        <v>828</v>
      </c>
      <c r="H507" s="1186">
        <v>2</v>
      </c>
    </row>
    <row r="508" spans="1:8" x14ac:dyDescent="0.2">
      <c r="A508" s="1186" t="s">
        <v>13</v>
      </c>
      <c r="B508" s="1186" t="s">
        <v>892</v>
      </c>
      <c r="C508" s="1186" t="s">
        <v>1983</v>
      </c>
      <c r="D508" s="1186" t="s">
        <v>1982</v>
      </c>
      <c r="E508" s="1186" t="s">
        <v>2035</v>
      </c>
      <c r="F508" s="1186" t="s">
        <v>2032</v>
      </c>
      <c r="G508" s="1186" t="s">
        <v>850</v>
      </c>
      <c r="H508" s="1186">
        <v>1</v>
      </c>
    </row>
    <row r="509" spans="1:8" x14ac:dyDescent="0.2">
      <c r="A509" s="1186" t="s">
        <v>13</v>
      </c>
      <c r="B509" s="1186" t="s">
        <v>892</v>
      </c>
      <c r="C509" s="1186" t="s">
        <v>1983</v>
      </c>
      <c r="D509" s="1186" t="s">
        <v>1982</v>
      </c>
      <c r="E509" s="1186" t="s">
        <v>2035</v>
      </c>
      <c r="F509" s="1186" t="s">
        <v>2032</v>
      </c>
      <c r="G509" s="1186" t="s">
        <v>851</v>
      </c>
      <c r="H509" s="1186">
        <v>15</v>
      </c>
    </row>
    <row r="510" spans="1:8" x14ac:dyDescent="0.2">
      <c r="A510" s="1186" t="s">
        <v>13</v>
      </c>
      <c r="B510" s="1186" t="s">
        <v>892</v>
      </c>
      <c r="C510" s="1186" t="s">
        <v>1983</v>
      </c>
      <c r="D510" s="1186" t="s">
        <v>1982</v>
      </c>
      <c r="E510" s="1186" t="s">
        <v>2035</v>
      </c>
      <c r="F510" s="1186" t="s">
        <v>2032</v>
      </c>
      <c r="G510" s="1186" t="s">
        <v>852</v>
      </c>
      <c r="H510" s="1186">
        <v>10</v>
      </c>
    </row>
    <row r="511" spans="1:8" x14ac:dyDescent="0.2">
      <c r="A511" s="1186" t="s">
        <v>13</v>
      </c>
      <c r="B511" s="1186" t="s">
        <v>892</v>
      </c>
      <c r="C511" s="1186" t="s">
        <v>1983</v>
      </c>
      <c r="D511" s="1186" t="s">
        <v>1982</v>
      </c>
      <c r="E511" s="1186" t="s">
        <v>2035</v>
      </c>
      <c r="F511" s="1186" t="s">
        <v>2033</v>
      </c>
      <c r="G511" s="1186" t="s">
        <v>828</v>
      </c>
      <c r="H511" s="1186">
        <v>13</v>
      </c>
    </row>
    <row r="512" spans="1:8" x14ac:dyDescent="0.2">
      <c r="A512" s="1186" t="s">
        <v>13</v>
      </c>
      <c r="B512" s="1186" t="s">
        <v>892</v>
      </c>
      <c r="C512" s="1186" t="s">
        <v>1983</v>
      </c>
      <c r="D512" s="1186" t="s">
        <v>1982</v>
      </c>
      <c r="E512" s="1186" t="s">
        <v>2035</v>
      </c>
      <c r="F512" s="1186" t="s">
        <v>2033</v>
      </c>
      <c r="G512" s="1186" t="s">
        <v>850</v>
      </c>
      <c r="H512" s="1186">
        <v>11</v>
      </c>
    </row>
    <row r="513" spans="1:8" x14ac:dyDescent="0.2">
      <c r="A513" s="1186" t="s">
        <v>13</v>
      </c>
      <c r="B513" s="1186" t="s">
        <v>892</v>
      </c>
      <c r="C513" s="1186" t="s">
        <v>1983</v>
      </c>
      <c r="D513" s="1186" t="s">
        <v>1982</v>
      </c>
      <c r="E513" s="1186" t="s">
        <v>2035</v>
      </c>
      <c r="F513" s="1186" t="s">
        <v>2033</v>
      </c>
      <c r="G513" s="1186" t="s">
        <v>851</v>
      </c>
      <c r="H513" s="1186">
        <v>150</v>
      </c>
    </row>
    <row r="514" spans="1:8" x14ac:dyDescent="0.2">
      <c r="A514" s="1186" t="s">
        <v>13</v>
      </c>
      <c r="B514" s="1186" t="s">
        <v>892</v>
      </c>
      <c r="C514" s="1186" t="s">
        <v>1983</v>
      </c>
      <c r="D514" s="1186" t="s">
        <v>1982</v>
      </c>
      <c r="E514" s="1186" t="s">
        <v>2035</v>
      </c>
      <c r="F514" s="1186" t="s">
        <v>2033</v>
      </c>
      <c r="G514" s="1186" t="s">
        <v>852</v>
      </c>
      <c r="H514" s="1186">
        <v>17</v>
      </c>
    </row>
    <row r="515" spans="1:8" x14ac:dyDescent="0.2">
      <c r="A515" s="1186" t="s">
        <v>13</v>
      </c>
      <c r="B515" s="1186" t="s">
        <v>892</v>
      </c>
      <c r="C515" s="1186" t="s">
        <v>1983</v>
      </c>
      <c r="D515" s="1186" t="s">
        <v>1982</v>
      </c>
      <c r="E515" s="1186" t="s">
        <v>2035</v>
      </c>
      <c r="F515" s="1186" t="s">
        <v>2034</v>
      </c>
      <c r="G515" s="1186" t="s">
        <v>828</v>
      </c>
      <c r="H515" s="1186">
        <v>47</v>
      </c>
    </row>
    <row r="516" spans="1:8" x14ac:dyDescent="0.2">
      <c r="A516" s="1186" t="s">
        <v>13</v>
      </c>
      <c r="B516" s="1186" t="s">
        <v>892</v>
      </c>
      <c r="C516" s="1186" t="s">
        <v>1983</v>
      </c>
      <c r="D516" s="1186" t="s">
        <v>1982</v>
      </c>
      <c r="E516" s="1186" t="s">
        <v>2035</v>
      </c>
      <c r="F516" s="1186" t="s">
        <v>2034</v>
      </c>
      <c r="G516" s="1186" t="s">
        <v>850</v>
      </c>
      <c r="H516" s="1186">
        <v>37</v>
      </c>
    </row>
    <row r="517" spans="1:8" x14ac:dyDescent="0.2">
      <c r="A517" s="1186" t="s">
        <v>13</v>
      </c>
      <c r="B517" s="1186" t="s">
        <v>892</v>
      </c>
      <c r="C517" s="1186" t="s">
        <v>1983</v>
      </c>
      <c r="D517" s="1186" t="s">
        <v>1982</v>
      </c>
      <c r="E517" s="1186" t="s">
        <v>2035</v>
      </c>
      <c r="F517" s="1186" t="s">
        <v>2034</v>
      </c>
      <c r="G517" s="1186" t="s">
        <v>851</v>
      </c>
      <c r="H517" s="1186">
        <v>15</v>
      </c>
    </row>
    <row r="518" spans="1:8" x14ac:dyDescent="0.2">
      <c r="A518" s="1186" t="s">
        <v>13</v>
      </c>
      <c r="B518" s="1186" t="s">
        <v>892</v>
      </c>
      <c r="C518" s="1186" t="s">
        <v>1983</v>
      </c>
      <c r="D518" s="1186" t="s">
        <v>1982</v>
      </c>
      <c r="E518" s="1186" t="s">
        <v>2035</v>
      </c>
      <c r="F518" s="1186" t="s">
        <v>2034</v>
      </c>
      <c r="G518" s="1186" t="s">
        <v>852</v>
      </c>
      <c r="H518" s="1186">
        <v>30</v>
      </c>
    </row>
    <row r="519" spans="1:8" x14ac:dyDescent="0.2">
      <c r="A519" s="1186" t="s">
        <v>13</v>
      </c>
      <c r="B519" s="1186" t="s">
        <v>893</v>
      </c>
      <c r="C519" s="1186" t="s">
        <v>1983</v>
      </c>
      <c r="D519" s="1186" t="s">
        <v>1984</v>
      </c>
      <c r="E519" s="1186" t="s">
        <v>2031</v>
      </c>
      <c r="F519" s="1186" t="s">
        <v>2032</v>
      </c>
      <c r="G519" s="1186" t="s">
        <v>828</v>
      </c>
      <c r="H519" s="1186">
        <v>8</v>
      </c>
    </row>
    <row r="520" spans="1:8" x14ac:dyDescent="0.2">
      <c r="A520" s="1186" t="s">
        <v>13</v>
      </c>
      <c r="B520" s="1186" t="s">
        <v>893</v>
      </c>
      <c r="C520" s="1186" t="s">
        <v>1983</v>
      </c>
      <c r="D520" s="1186" t="s">
        <v>1984</v>
      </c>
      <c r="E520" s="1186" t="s">
        <v>2031</v>
      </c>
      <c r="F520" s="1186" t="s">
        <v>2032</v>
      </c>
      <c r="G520" s="1186" t="s">
        <v>851</v>
      </c>
      <c r="H520" s="1186">
        <v>4</v>
      </c>
    </row>
    <row r="521" spans="1:8" x14ac:dyDescent="0.2">
      <c r="A521" s="1186" t="s">
        <v>13</v>
      </c>
      <c r="B521" s="1186" t="s">
        <v>893</v>
      </c>
      <c r="C521" s="1186" t="s">
        <v>1983</v>
      </c>
      <c r="D521" s="1186" t="s">
        <v>1984</v>
      </c>
      <c r="E521" s="1186" t="s">
        <v>2031</v>
      </c>
      <c r="F521" s="1186" t="s">
        <v>2033</v>
      </c>
      <c r="G521" s="1186" t="s">
        <v>828</v>
      </c>
      <c r="H521" s="1186">
        <v>111</v>
      </c>
    </row>
    <row r="522" spans="1:8" x14ac:dyDescent="0.2">
      <c r="A522" s="1186" t="s">
        <v>13</v>
      </c>
      <c r="B522" s="1186" t="s">
        <v>893</v>
      </c>
      <c r="C522" s="1186" t="s">
        <v>1983</v>
      </c>
      <c r="D522" s="1186" t="s">
        <v>1984</v>
      </c>
      <c r="E522" s="1186" t="s">
        <v>2031</v>
      </c>
      <c r="F522" s="1186" t="s">
        <v>2033</v>
      </c>
      <c r="G522" s="1186" t="s">
        <v>850</v>
      </c>
      <c r="H522" s="1186">
        <v>13</v>
      </c>
    </row>
    <row r="523" spans="1:8" x14ac:dyDescent="0.2">
      <c r="A523" s="1186" t="s">
        <v>13</v>
      </c>
      <c r="B523" s="1186" t="s">
        <v>893</v>
      </c>
      <c r="C523" s="1186" t="s">
        <v>1983</v>
      </c>
      <c r="D523" s="1186" t="s">
        <v>1984</v>
      </c>
      <c r="E523" s="1186" t="s">
        <v>2031</v>
      </c>
      <c r="F523" s="1186" t="s">
        <v>2033</v>
      </c>
      <c r="G523" s="1186" t="s">
        <v>851</v>
      </c>
      <c r="H523" s="1186">
        <v>5</v>
      </c>
    </row>
    <row r="524" spans="1:8" x14ac:dyDescent="0.2">
      <c r="A524" s="1186" t="s">
        <v>13</v>
      </c>
      <c r="B524" s="1186" t="s">
        <v>893</v>
      </c>
      <c r="C524" s="1186" t="s">
        <v>1983</v>
      </c>
      <c r="D524" s="1186" t="s">
        <v>1984</v>
      </c>
      <c r="E524" s="1186" t="s">
        <v>2031</v>
      </c>
      <c r="F524" s="1186" t="s">
        <v>2033</v>
      </c>
      <c r="G524" s="1186" t="s">
        <v>852</v>
      </c>
      <c r="H524" s="1186">
        <v>1</v>
      </c>
    </row>
    <row r="525" spans="1:8" x14ac:dyDescent="0.2">
      <c r="A525" s="1186" t="s">
        <v>13</v>
      </c>
      <c r="B525" s="1186" t="s">
        <v>893</v>
      </c>
      <c r="C525" s="1186" t="s">
        <v>1983</v>
      </c>
      <c r="D525" s="1186" t="s">
        <v>1984</v>
      </c>
      <c r="E525" s="1186" t="s">
        <v>2031</v>
      </c>
      <c r="F525" s="1186" t="s">
        <v>2034</v>
      </c>
      <c r="G525" s="1186" t="s">
        <v>828</v>
      </c>
      <c r="H525" s="1186">
        <v>31</v>
      </c>
    </row>
    <row r="526" spans="1:8" x14ac:dyDescent="0.2">
      <c r="A526" s="1186" t="s">
        <v>13</v>
      </c>
      <c r="B526" s="1186" t="s">
        <v>893</v>
      </c>
      <c r="C526" s="1186" t="s">
        <v>1983</v>
      </c>
      <c r="D526" s="1186" t="s">
        <v>1984</v>
      </c>
      <c r="E526" s="1186" t="s">
        <v>2035</v>
      </c>
      <c r="F526" s="1186" t="s">
        <v>2032</v>
      </c>
      <c r="G526" s="1186" t="s">
        <v>828</v>
      </c>
      <c r="H526" s="1186">
        <v>5</v>
      </c>
    </row>
    <row r="527" spans="1:8" x14ac:dyDescent="0.2">
      <c r="A527" s="1186" t="s">
        <v>13</v>
      </c>
      <c r="B527" s="1186" t="s">
        <v>893</v>
      </c>
      <c r="C527" s="1186" t="s">
        <v>1983</v>
      </c>
      <c r="D527" s="1186" t="s">
        <v>1984</v>
      </c>
      <c r="E527" s="1186" t="s">
        <v>2035</v>
      </c>
      <c r="F527" s="1186" t="s">
        <v>2032</v>
      </c>
      <c r="G527" s="1186" t="s">
        <v>850</v>
      </c>
      <c r="H527" s="1186">
        <v>1</v>
      </c>
    </row>
    <row r="528" spans="1:8" x14ac:dyDescent="0.2">
      <c r="A528" s="1186" t="s">
        <v>13</v>
      </c>
      <c r="B528" s="1186" t="s">
        <v>893</v>
      </c>
      <c r="C528" s="1186" t="s">
        <v>1983</v>
      </c>
      <c r="D528" s="1186" t="s">
        <v>1984</v>
      </c>
      <c r="E528" s="1186" t="s">
        <v>2035</v>
      </c>
      <c r="F528" s="1186" t="s">
        <v>2032</v>
      </c>
      <c r="G528" s="1186" t="s">
        <v>851</v>
      </c>
      <c r="H528" s="1186">
        <v>9</v>
      </c>
    </row>
    <row r="529" spans="1:8" x14ac:dyDescent="0.2">
      <c r="A529" s="1186" t="s">
        <v>13</v>
      </c>
      <c r="B529" s="1186" t="s">
        <v>893</v>
      </c>
      <c r="C529" s="1186" t="s">
        <v>1983</v>
      </c>
      <c r="D529" s="1186" t="s">
        <v>1984</v>
      </c>
      <c r="E529" s="1186" t="s">
        <v>2035</v>
      </c>
      <c r="F529" s="1186" t="s">
        <v>2032</v>
      </c>
      <c r="G529" s="1186" t="s">
        <v>852</v>
      </c>
      <c r="H529" s="1186">
        <v>8</v>
      </c>
    </row>
    <row r="530" spans="1:8" x14ac:dyDescent="0.2">
      <c r="A530" s="1186" t="s">
        <v>13</v>
      </c>
      <c r="B530" s="1186" t="s">
        <v>893</v>
      </c>
      <c r="C530" s="1186" t="s">
        <v>1983</v>
      </c>
      <c r="D530" s="1186" t="s">
        <v>1984</v>
      </c>
      <c r="E530" s="1186" t="s">
        <v>2035</v>
      </c>
      <c r="F530" s="1186" t="s">
        <v>2033</v>
      </c>
      <c r="G530" s="1186" t="s">
        <v>828</v>
      </c>
      <c r="H530" s="1186">
        <v>17</v>
      </c>
    </row>
    <row r="531" spans="1:8" x14ac:dyDescent="0.2">
      <c r="A531" s="1186" t="s">
        <v>13</v>
      </c>
      <c r="B531" s="1186" t="s">
        <v>893</v>
      </c>
      <c r="C531" s="1186" t="s">
        <v>1983</v>
      </c>
      <c r="D531" s="1186" t="s">
        <v>1984</v>
      </c>
      <c r="E531" s="1186" t="s">
        <v>2035</v>
      </c>
      <c r="F531" s="1186" t="s">
        <v>2033</v>
      </c>
      <c r="G531" s="1186" t="s">
        <v>850</v>
      </c>
      <c r="H531" s="1186">
        <v>7</v>
      </c>
    </row>
    <row r="532" spans="1:8" x14ac:dyDescent="0.2">
      <c r="A532" s="1186" t="s">
        <v>13</v>
      </c>
      <c r="B532" s="1186" t="s">
        <v>893</v>
      </c>
      <c r="C532" s="1186" t="s">
        <v>1983</v>
      </c>
      <c r="D532" s="1186" t="s">
        <v>1984</v>
      </c>
      <c r="E532" s="1186" t="s">
        <v>2035</v>
      </c>
      <c r="F532" s="1186" t="s">
        <v>2033</v>
      </c>
      <c r="G532" s="1186" t="s">
        <v>851</v>
      </c>
      <c r="H532" s="1186">
        <v>178</v>
      </c>
    </row>
    <row r="533" spans="1:8" x14ac:dyDescent="0.2">
      <c r="A533" s="1186" t="s">
        <v>13</v>
      </c>
      <c r="B533" s="1186" t="s">
        <v>893</v>
      </c>
      <c r="C533" s="1186" t="s">
        <v>1983</v>
      </c>
      <c r="D533" s="1186" t="s">
        <v>1984</v>
      </c>
      <c r="E533" s="1186" t="s">
        <v>2035</v>
      </c>
      <c r="F533" s="1186" t="s">
        <v>2033</v>
      </c>
      <c r="G533" s="1186" t="s">
        <v>852</v>
      </c>
      <c r="H533" s="1186">
        <v>28</v>
      </c>
    </row>
    <row r="534" spans="1:8" x14ac:dyDescent="0.2">
      <c r="A534" s="1186" t="s">
        <v>13</v>
      </c>
      <c r="B534" s="1186" t="s">
        <v>893</v>
      </c>
      <c r="C534" s="1186" t="s">
        <v>1983</v>
      </c>
      <c r="D534" s="1186" t="s">
        <v>1984</v>
      </c>
      <c r="E534" s="1186" t="s">
        <v>2035</v>
      </c>
      <c r="F534" s="1186" t="s">
        <v>2034</v>
      </c>
      <c r="G534" s="1186" t="s">
        <v>828</v>
      </c>
      <c r="H534" s="1186">
        <v>79</v>
      </c>
    </row>
    <row r="535" spans="1:8" x14ac:dyDescent="0.2">
      <c r="A535" s="1186" t="s">
        <v>13</v>
      </c>
      <c r="B535" s="1186" t="s">
        <v>893</v>
      </c>
      <c r="C535" s="1186" t="s">
        <v>1983</v>
      </c>
      <c r="D535" s="1186" t="s">
        <v>1984</v>
      </c>
      <c r="E535" s="1186" t="s">
        <v>2035</v>
      </c>
      <c r="F535" s="1186" t="s">
        <v>2034</v>
      </c>
      <c r="G535" s="1186" t="s">
        <v>850</v>
      </c>
      <c r="H535" s="1186">
        <v>37</v>
      </c>
    </row>
    <row r="536" spans="1:8" x14ac:dyDescent="0.2">
      <c r="A536" s="1186" t="s">
        <v>13</v>
      </c>
      <c r="B536" s="1186" t="s">
        <v>893</v>
      </c>
      <c r="C536" s="1186" t="s">
        <v>1983</v>
      </c>
      <c r="D536" s="1186" t="s">
        <v>1984</v>
      </c>
      <c r="E536" s="1186" t="s">
        <v>2035</v>
      </c>
      <c r="F536" s="1186" t="s">
        <v>2034</v>
      </c>
      <c r="G536" s="1186" t="s">
        <v>851</v>
      </c>
      <c r="H536" s="1186">
        <v>33</v>
      </c>
    </row>
    <row r="537" spans="1:8" x14ac:dyDescent="0.2">
      <c r="A537" s="1186" t="s">
        <v>13</v>
      </c>
      <c r="B537" s="1186" t="s">
        <v>893</v>
      </c>
      <c r="C537" s="1186" t="s">
        <v>1983</v>
      </c>
      <c r="D537" s="1186" t="s">
        <v>1984</v>
      </c>
      <c r="E537" s="1186" t="s">
        <v>2035</v>
      </c>
      <c r="F537" s="1186" t="s">
        <v>2034</v>
      </c>
      <c r="G537" s="1186" t="s">
        <v>852</v>
      </c>
      <c r="H537" s="1186">
        <v>27</v>
      </c>
    </row>
    <row r="538" spans="1:8" x14ac:dyDescent="0.2">
      <c r="A538" s="1186" t="s">
        <v>13</v>
      </c>
      <c r="B538" s="1186" t="s">
        <v>894</v>
      </c>
      <c r="C538" s="1186" t="s">
        <v>1983</v>
      </c>
      <c r="D538" s="1186" t="s">
        <v>1984</v>
      </c>
      <c r="E538" s="1186" t="s">
        <v>2031</v>
      </c>
      <c r="F538" s="1186" t="s">
        <v>2032</v>
      </c>
      <c r="G538" s="1186" t="s">
        <v>828</v>
      </c>
      <c r="H538" s="1186">
        <v>2</v>
      </c>
    </row>
    <row r="539" spans="1:8" x14ac:dyDescent="0.2">
      <c r="A539" s="1186" t="s">
        <v>13</v>
      </c>
      <c r="B539" s="1186" t="s">
        <v>894</v>
      </c>
      <c r="C539" s="1186" t="s">
        <v>1983</v>
      </c>
      <c r="D539" s="1186" t="s">
        <v>1984</v>
      </c>
      <c r="E539" s="1186" t="s">
        <v>2031</v>
      </c>
      <c r="F539" s="1186" t="s">
        <v>2032</v>
      </c>
      <c r="G539" s="1186" t="s">
        <v>850</v>
      </c>
      <c r="H539" s="1186">
        <v>1</v>
      </c>
    </row>
    <row r="540" spans="1:8" x14ac:dyDescent="0.2">
      <c r="A540" s="1186" t="s">
        <v>13</v>
      </c>
      <c r="B540" s="1186" t="s">
        <v>894</v>
      </c>
      <c r="C540" s="1186" t="s">
        <v>1983</v>
      </c>
      <c r="D540" s="1186" t="s">
        <v>1984</v>
      </c>
      <c r="E540" s="1186" t="s">
        <v>2031</v>
      </c>
      <c r="F540" s="1186" t="s">
        <v>2032</v>
      </c>
      <c r="G540" s="1186" t="s">
        <v>851</v>
      </c>
      <c r="H540" s="1186">
        <v>2</v>
      </c>
    </row>
    <row r="541" spans="1:8" x14ac:dyDescent="0.2">
      <c r="A541" s="1186" t="s">
        <v>13</v>
      </c>
      <c r="B541" s="1186" t="s">
        <v>894</v>
      </c>
      <c r="C541" s="1186" t="s">
        <v>1983</v>
      </c>
      <c r="D541" s="1186" t="s">
        <v>1984</v>
      </c>
      <c r="E541" s="1186" t="s">
        <v>2031</v>
      </c>
      <c r="F541" s="1186" t="s">
        <v>2033</v>
      </c>
      <c r="G541" s="1186" t="s">
        <v>828</v>
      </c>
      <c r="H541" s="1186">
        <v>82</v>
      </c>
    </row>
    <row r="542" spans="1:8" x14ac:dyDescent="0.2">
      <c r="A542" s="1186" t="s">
        <v>13</v>
      </c>
      <c r="B542" s="1186" t="s">
        <v>894</v>
      </c>
      <c r="C542" s="1186" t="s">
        <v>1983</v>
      </c>
      <c r="D542" s="1186" t="s">
        <v>1984</v>
      </c>
      <c r="E542" s="1186" t="s">
        <v>2031</v>
      </c>
      <c r="F542" s="1186" t="s">
        <v>2033</v>
      </c>
      <c r="G542" s="1186" t="s">
        <v>850</v>
      </c>
      <c r="H542" s="1186">
        <v>15</v>
      </c>
    </row>
    <row r="543" spans="1:8" x14ac:dyDescent="0.2">
      <c r="A543" s="1186" t="s">
        <v>13</v>
      </c>
      <c r="B543" s="1186" t="s">
        <v>894</v>
      </c>
      <c r="C543" s="1186" t="s">
        <v>1983</v>
      </c>
      <c r="D543" s="1186" t="s">
        <v>1984</v>
      </c>
      <c r="E543" s="1186" t="s">
        <v>2031</v>
      </c>
      <c r="F543" s="1186" t="s">
        <v>2033</v>
      </c>
      <c r="G543" s="1186" t="s">
        <v>851</v>
      </c>
      <c r="H543" s="1186">
        <v>10</v>
      </c>
    </row>
    <row r="544" spans="1:8" x14ac:dyDescent="0.2">
      <c r="A544" s="1186" t="s">
        <v>13</v>
      </c>
      <c r="B544" s="1186" t="s">
        <v>894</v>
      </c>
      <c r="C544" s="1186" t="s">
        <v>1983</v>
      </c>
      <c r="D544" s="1186" t="s">
        <v>1984</v>
      </c>
      <c r="E544" s="1186" t="s">
        <v>2031</v>
      </c>
      <c r="F544" s="1186" t="s">
        <v>2033</v>
      </c>
      <c r="G544" s="1186" t="s">
        <v>852</v>
      </c>
      <c r="H544" s="1186">
        <v>4</v>
      </c>
    </row>
    <row r="545" spans="1:8" x14ac:dyDescent="0.2">
      <c r="A545" s="1186" t="s">
        <v>13</v>
      </c>
      <c r="B545" s="1186" t="s">
        <v>894</v>
      </c>
      <c r="C545" s="1186" t="s">
        <v>1983</v>
      </c>
      <c r="D545" s="1186" t="s">
        <v>1984</v>
      </c>
      <c r="E545" s="1186" t="s">
        <v>2031</v>
      </c>
      <c r="F545" s="1186" t="s">
        <v>2034</v>
      </c>
      <c r="G545" s="1186" t="s">
        <v>828</v>
      </c>
      <c r="H545" s="1186">
        <v>49</v>
      </c>
    </row>
    <row r="546" spans="1:8" x14ac:dyDescent="0.2">
      <c r="A546" s="1186" t="s">
        <v>13</v>
      </c>
      <c r="B546" s="1186" t="s">
        <v>894</v>
      </c>
      <c r="C546" s="1186" t="s">
        <v>1983</v>
      </c>
      <c r="D546" s="1186" t="s">
        <v>1984</v>
      </c>
      <c r="E546" s="1186" t="s">
        <v>2031</v>
      </c>
      <c r="F546" s="1186" t="s">
        <v>2034</v>
      </c>
      <c r="G546" s="1186" t="s">
        <v>850</v>
      </c>
      <c r="H546" s="1186">
        <v>1</v>
      </c>
    </row>
    <row r="547" spans="1:8" x14ac:dyDescent="0.2">
      <c r="A547" s="1186" t="s">
        <v>13</v>
      </c>
      <c r="B547" s="1186" t="s">
        <v>894</v>
      </c>
      <c r="C547" s="1186" t="s">
        <v>1983</v>
      </c>
      <c r="D547" s="1186" t="s">
        <v>1984</v>
      </c>
      <c r="E547" s="1186" t="s">
        <v>2035</v>
      </c>
      <c r="F547" s="1186" t="s">
        <v>2032</v>
      </c>
      <c r="G547" s="1186" t="s">
        <v>828</v>
      </c>
      <c r="H547" s="1186">
        <v>4</v>
      </c>
    </row>
    <row r="548" spans="1:8" x14ac:dyDescent="0.2">
      <c r="A548" s="1186" t="s">
        <v>13</v>
      </c>
      <c r="B548" s="1186" t="s">
        <v>894</v>
      </c>
      <c r="C548" s="1186" t="s">
        <v>1983</v>
      </c>
      <c r="D548" s="1186" t="s">
        <v>1984</v>
      </c>
      <c r="E548" s="1186" t="s">
        <v>2035</v>
      </c>
      <c r="F548" s="1186" t="s">
        <v>2032</v>
      </c>
      <c r="G548" s="1186" t="s">
        <v>850</v>
      </c>
      <c r="H548" s="1186">
        <v>2</v>
      </c>
    </row>
    <row r="549" spans="1:8" x14ac:dyDescent="0.2">
      <c r="A549" s="1186" t="s">
        <v>13</v>
      </c>
      <c r="B549" s="1186" t="s">
        <v>894</v>
      </c>
      <c r="C549" s="1186" t="s">
        <v>1983</v>
      </c>
      <c r="D549" s="1186" t="s">
        <v>1984</v>
      </c>
      <c r="E549" s="1186" t="s">
        <v>2035</v>
      </c>
      <c r="F549" s="1186" t="s">
        <v>2032</v>
      </c>
      <c r="G549" s="1186" t="s">
        <v>851</v>
      </c>
      <c r="H549" s="1186">
        <v>8</v>
      </c>
    </row>
    <row r="550" spans="1:8" x14ac:dyDescent="0.2">
      <c r="A550" s="1186" t="s">
        <v>13</v>
      </c>
      <c r="B550" s="1186" t="s">
        <v>894</v>
      </c>
      <c r="C550" s="1186" t="s">
        <v>1983</v>
      </c>
      <c r="D550" s="1186" t="s">
        <v>1984</v>
      </c>
      <c r="E550" s="1186" t="s">
        <v>2035</v>
      </c>
      <c r="F550" s="1186" t="s">
        <v>2032</v>
      </c>
      <c r="G550" s="1186" t="s">
        <v>852</v>
      </c>
      <c r="H550" s="1186">
        <v>7</v>
      </c>
    </row>
    <row r="551" spans="1:8" x14ac:dyDescent="0.2">
      <c r="A551" s="1186" t="s">
        <v>13</v>
      </c>
      <c r="B551" s="1186" t="s">
        <v>894</v>
      </c>
      <c r="C551" s="1186" t="s">
        <v>1983</v>
      </c>
      <c r="D551" s="1186" t="s">
        <v>1984</v>
      </c>
      <c r="E551" s="1186" t="s">
        <v>2035</v>
      </c>
      <c r="F551" s="1186" t="s">
        <v>2033</v>
      </c>
      <c r="G551" s="1186" t="s">
        <v>828</v>
      </c>
      <c r="H551" s="1186">
        <v>15</v>
      </c>
    </row>
    <row r="552" spans="1:8" x14ac:dyDescent="0.2">
      <c r="A552" s="1186" t="s">
        <v>13</v>
      </c>
      <c r="B552" s="1186" t="s">
        <v>894</v>
      </c>
      <c r="C552" s="1186" t="s">
        <v>1983</v>
      </c>
      <c r="D552" s="1186" t="s">
        <v>1984</v>
      </c>
      <c r="E552" s="1186" t="s">
        <v>2035</v>
      </c>
      <c r="F552" s="1186" t="s">
        <v>2033</v>
      </c>
      <c r="G552" s="1186" t="s">
        <v>850</v>
      </c>
      <c r="H552" s="1186">
        <v>13</v>
      </c>
    </row>
    <row r="553" spans="1:8" x14ac:dyDescent="0.2">
      <c r="A553" s="1186" t="s">
        <v>13</v>
      </c>
      <c r="B553" s="1186" t="s">
        <v>894</v>
      </c>
      <c r="C553" s="1186" t="s">
        <v>1983</v>
      </c>
      <c r="D553" s="1186" t="s">
        <v>1984</v>
      </c>
      <c r="E553" s="1186" t="s">
        <v>2035</v>
      </c>
      <c r="F553" s="1186" t="s">
        <v>2033</v>
      </c>
      <c r="G553" s="1186" t="s">
        <v>851</v>
      </c>
      <c r="H553" s="1186">
        <v>219</v>
      </c>
    </row>
    <row r="554" spans="1:8" x14ac:dyDescent="0.2">
      <c r="A554" s="1186" t="s">
        <v>13</v>
      </c>
      <c r="B554" s="1186" t="s">
        <v>894</v>
      </c>
      <c r="C554" s="1186" t="s">
        <v>1983</v>
      </c>
      <c r="D554" s="1186" t="s">
        <v>1984</v>
      </c>
      <c r="E554" s="1186" t="s">
        <v>2035</v>
      </c>
      <c r="F554" s="1186" t="s">
        <v>2033</v>
      </c>
      <c r="G554" s="1186" t="s">
        <v>852</v>
      </c>
      <c r="H554" s="1186">
        <v>24</v>
      </c>
    </row>
    <row r="555" spans="1:8" x14ac:dyDescent="0.2">
      <c r="A555" s="1186" t="s">
        <v>13</v>
      </c>
      <c r="B555" s="1186" t="s">
        <v>894</v>
      </c>
      <c r="C555" s="1186" t="s">
        <v>1983</v>
      </c>
      <c r="D555" s="1186" t="s">
        <v>1984</v>
      </c>
      <c r="E555" s="1186" t="s">
        <v>2035</v>
      </c>
      <c r="F555" s="1186" t="s">
        <v>2034</v>
      </c>
      <c r="G555" s="1186" t="s">
        <v>828</v>
      </c>
      <c r="H555" s="1186">
        <v>60</v>
      </c>
    </row>
    <row r="556" spans="1:8" x14ac:dyDescent="0.2">
      <c r="A556" s="1186" t="s">
        <v>13</v>
      </c>
      <c r="B556" s="1186" t="s">
        <v>894</v>
      </c>
      <c r="C556" s="1186" t="s">
        <v>1983</v>
      </c>
      <c r="D556" s="1186" t="s">
        <v>1984</v>
      </c>
      <c r="E556" s="1186" t="s">
        <v>2035</v>
      </c>
      <c r="F556" s="1186" t="s">
        <v>2034</v>
      </c>
      <c r="G556" s="1186" t="s">
        <v>850</v>
      </c>
      <c r="H556" s="1186">
        <v>29</v>
      </c>
    </row>
    <row r="557" spans="1:8" x14ac:dyDescent="0.2">
      <c r="A557" s="1186" t="s">
        <v>13</v>
      </c>
      <c r="B557" s="1186" t="s">
        <v>894</v>
      </c>
      <c r="C557" s="1186" t="s">
        <v>1983</v>
      </c>
      <c r="D557" s="1186" t="s">
        <v>1984</v>
      </c>
      <c r="E557" s="1186" t="s">
        <v>2035</v>
      </c>
      <c r="F557" s="1186" t="s">
        <v>2034</v>
      </c>
      <c r="G557" s="1186" t="s">
        <v>851</v>
      </c>
      <c r="H557" s="1186">
        <v>26</v>
      </c>
    </row>
    <row r="558" spans="1:8" x14ac:dyDescent="0.2">
      <c r="A558" s="1186" t="s">
        <v>13</v>
      </c>
      <c r="B558" s="1186" t="s">
        <v>894</v>
      </c>
      <c r="C558" s="1186" t="s">
        <v>1983</v>
      </c>
      <c r="D558" s="1186" t="s">
        <v>1984</v>
      </c>
      <c r="E558" s="1186" t="s">
        <v>2035</v>
      </c>
      <c r="F558" s="1186" t="s">
        <v>2034</v>
      </c>
      <c r="G558" s="1186" t="s">
        <v>852</v>
      </c>
      <c r="H558" s="1186">
        <v>35</v>
      </c>
    </row>
    <row r="559" spans="1:8" x14ac:dyDescent="0.2">
      <c r="A559" s="1186" t="s">
        <v>13</v>
      </c>
      <c r="B559" s="1186" t="s">
        <v>895</v>
      </c>
      <c r="C559" s="1186" t="s">
        <v>1985</v>
      </c>
      <c r="D559" s="1186" t="s">
        <v>1984</v>
      </c>
      <c r="E559" s="1186" t="s">
        <v>2031</v>
      </c>
      <c r="F559" s="1186" t="s">
        <v>2032</v>
      </c>
      <c r="G559" s="1186" t="s">
        <v>828</v>
      </c>
      <c r="H559" s="1186">
        <v>2</v>
      </c>
    </row>
    <row r="560" spans="1:8" x14ac:dyDescent="0.2">
      <c r="A560" s="1186" t="s">
        <v>13</v>
      </c>
      <c r="B560" s="1186" t="s">
        <v>895</v>
      </c>
      <c r="C560" s="1186" t="s">
        <v>1985</v>
      </c>
      <c r="D560" s="1186" t="s">
        <v>1984</v>
      </c>
      <c r="E560" s="1186" t="s">
        <v>2031</v>
      </c>
      <c r="F560" s="1186" t="s">
        <v>2032</v>
      </c>
      <c r="G560" s="1186" t="s">
        <v>850</v>
      </c>
      <c r="H560" s="1186">
        <v>1</v>
      </c>
    </row>
    <row r="561" spans="1:8" x14ac:dyDescent="0.2">
      <c r="A561" s="1186" t="s">
        <v>13</v>
      </c>
      <c r="B561" s="1186" t="s">
        <v>895</v>
      </c>
      <c r="C561" s="1186" t="s">
        <v>1985</v>
      </c>
      <c r="D561" s="1186" t="s">
        <v>1984</v>
      </c>
      <c r="E561" s="1186" t="s">
        <v>2031</v>
      </c>
      <c r="F561" s="1186" t="s">
        <v>2032</v>
      </c>
      <c r="G561" s="1186" t="s">
        <v>852</v>
      </c>
      <c r="H561" s="1186">
        <v>1</v>
      </c>
    </row>
    <row r="562" spans="1:8" x14ac:dyDescent="0.2">
      <c r="A562" s="1186" t="s">
        <v>13</v>
      </c>
      <c r="B562" s="1186" t="s">
        <v>895</v>
      </c>
      <c r="C562" s="1186" t="s">
        <v>1985</v>
      </c>
      <c r="D562" s="1186" t="s">
        <v>1984</v>
      </c>
      <c r="E562" s="1186" t="s">
        <v>2031</v>
      </c>
      <c r="F562" s="1186" t="s">
        <v>2033</v>
      </c>
      <c r="G562" s="1186" t="s">
        <v>828</v>
      </c>
      <c r="H562" s="1186">
        <v>90</v>
      </c>
    </row>
    <row r="563" spans="1:8" x14ac:dyDescent="0.2">
      <c r="A563" s="1186" t="s">
        <v>13</v>
      </c>
      <c r="B563" s="1186" t="s">
        <v>895</v>
      </c>
      <c r="C563" s="1186" t="s">
        <v>1985</v>
      </c>
      <c r="D563" s="1186" t="s">
        <v>1984</v>
      </c>
      <c r="E563" s="1186" t="s">
        <v>2031</v>
      </c>
      <c r="F563" s="1186" t="s">
        <v>2033</v>
      </c>
      <c r="G563" s="1186" t="s">
        <v>850</v>
      </c>
      <c r="H563" s="1186">
        <v>2</v>
      </c>
    </row>
    <row r="564" spans="1:8" x14ac:dyDescent="0.2">
      <c r="A564" s="1186" t="s">
        <v>13</v>
      </c>
      <c r="B564" s="1186" t="s">
        <v>895</v>
      </c>
      <c r="C564" s="1186" t="s">
        <v>1985</v>
      </c>
      <c r="D564" s="1186" t="s">
        <v>1984</v>
      </c>
      <c r="E564" s="1186" t="s">
        <v>2031</v>
      </c>
      <c r="F564" s="1186" t="s">
        <v>2033</v>
      </c>
      <c r="G564" s="1186" t="s">
        <v>851</v>
      </c>
      <c r="H564" s="1186">
        <v>6</v>
      </c>
    </row>
    <row r="565" spans="1:8" x14ac:dyDescent="0.2">
      <c r="A565" s="1186" t="s">
        <v>13</v>
      </c>
      <c r="B565" s="1186" t="s">
        <v>895</v>
      </c>
      <c r="C565" s="1186" t="s">
        <v>1985</v>
      </c>
      <c r="D565" s="1186" t="s">
        <v>1984</v>
      </c>
      <c r="E565" s="1186" t="s">
        <v>2031</v>
      </c>
      <c r="F565" s="1186" t="s">
        <v>2033</v>
      </c>
      <c r="G565" s="1186" t="s">
        <v>852</v>
      </c>
      <c r="H565" s="1186">
        <v>2</v>
      </c>
    </row>
    <row r="566" spans="1:8" x14ac:dyDescent="0.2">
      <c r="A566" s="1186" t="s">
        <v>13</v>
      </c>
      <c r="B566" s="1186" t="s">
        <v>895</v>
      </c>
      <c r="C566" s="1186" t="s">
        <v>1985</v>
      </c>
      <c r="D566" s="1186" t="s">
        <v>1984</v>
      </c>
      <c r="E566" s="1186" t="s">
        <v>2031</v>
      </c>
      <c r="F566" s="1186" t="s">
        <v>2034</v>
      </c>
      <c r="G566" s="1186" t="s">
        <v>828</v>
      </c>
      <c r="H566" s="1186">
        <v>34</v>
      </c>
    </row>
    <row r="567" spans="1:8" x14ac:dyDescent="0.2">
      <c r="A567" s="1186" t="s">
        <v>13</v>
      </c>
      <c r="B567" s="1186" t="s">
        <v>895</v>
      </c>
      <c r="C567" s="1186" t="s">
        <v>1985</v>
      </c>
      <c r="D567" s="1186" t="s">
        <v>1984</v>
      </c>
      <c r="E567" s="1186" t="s">
        <v>2035</v>
      </c>
      <c r="F567" s="1186" t="s">
        <v>2032</v>
      </c>
      <c r="G567" s="1186" t="s">
        <v>828</v>
      </c>
      <c r="H567" s="1186">
        <v>3</v>
      </c>
    </row>
    <row r="568" spans="1:8" x14ac:dyDescent="0.2">
      <c r="A568" s="1186" t="s">
        <v>13</v>
      </c>
      <c r="B568" s="1186" t="s">
        <v>895</v>
      </c>
      <c r="C568" s="1186" t="s">
        <v>1985</v>
      </c>
      <c r="D568" s="1186" t="s">
        <v>1984</v>
      </c>
      <c r="E568" s="1186" t="s">
        <v>2035</v>
      </c>
      <c r="F568" s="1186" t="s">
        <v>2032</v>
      </c>
      <c r="G568" s="1186" t="s">
        <v>851</v>
      </c>
      <c r="H568" s="1186">
        <v>7</v>
      </c>
    </row>
    <row r="569" spans="1:8" x14ac:dyDescent="0.2">
      <c r="A569" s="1186" t="s">
        <v>13</v>
      </c>
      <c r="B569" s="1186" t="s">
        <v>895</v>
      </c>
      <c r="C569" s="1186" t="s">
        <v>1985</v>
      </c>
      <c r="D569" s="1186" t="s">
        <v>1984</v>
      </c>
      <c r="E569" s="1186" t="s">
        <v>2035</v>
      </c>
      <c r="F569" s="1186" t="s">
        <v>2032</v>
      </c>
      <c r="G569" s="1186" t="s">
        <v>852</v>
      </c>
      <c r="H569" s="1186">
        <v>7</v>
      </c>
    </row>
    <row r="570" spans="1:8" x14ac:dyDescent="0.2">
      <c r="A570" s="1186" t="s">
        <v>13</v>
      </c>
      <c r="B570" s="1186" t="s">
        <v>895</v>
      </c>
      <c r="C570" s="1186" t="s">
        <v>1985</v>
      </c>
      <c r="D570" s="1186" t="s">
        <v>1984</v>
      </c>
      <c r="E570" s="1186" t="s">
        <v>2035</v>
      </c>
      <c r="F570" s="1186" t="s">
        <v>2033</v>
      </c>
      <c r="G570" s="1186" t="s">
        <v>828</v>
      </c>
      <c r="H570" s="1186">
        <v>23</v>
      </c>
    </row>
    <row r="571" spans="1:8" x14ac:dyDescent="0.2">
      <c r="A571" s="1186" t="s">
        <v>13</v>
      </c>
      <c r="B571" s="1186" t="s">
        <v>895</v>
      </c>
      <c r="C571" s="1186" t="s">
        <v>1985</v>
      </c>
      <c r="D571" s="1186" t="s">
        <v>1984</v>
      </c>
      <c r="E571" s="1186" t="s">
        <v>2035</v>
      </c>
      <c r="F571" s="1186" t="s">
        <v>2033</v>
      </c>
      <c r="G571" s="1186" t="s">
        <v>850</v>
      </c>
      <c r="H571" s="1186">
        <v>11</v>
      </c>
    </row>
    <row r="572" spans="1:8" x14ac:dyDescent="0.2">
      <c r="A572" s="1186" t="s">
        <v>13</v>
      </c>
      <c r="B572" s="1186" t="s">
        <v>895</v>
      </c>
      <c r="C572" s="1186" t="s">
        <v>1985</v>
      </c>
      <c r="D572" s="1186" t="s">
        <v>1984</v>
      </c>
      <c r="E572" s="1186" t="s">
        <v>2035</v>
      </c>
      <c r="F572" s="1186" t="s">
        <v>2033</v>
      </c>
      <c r="G572" s="1186" t="s">
        <v>851</v>
      </c>
      <c r="H572" s="1186">
        <v>171</v>
      </c>
    </row>
    <row r="573" spans="1:8" x14ac:dyDescent="0.2">
      <c r="A573" s="1186" t="s">
        <v>13</v>
      </c>
      <c r="B573" s="1186" t="s">
        <v>895</v>
      </c>
      <c r="C573" s="1186" t="s">
        <v>1985</v>
      </c>
      <c r="D573" s="1186" t="s">
        <v>1984</v>
      </c>
      <c r="E573" s="1186" t="s">
        <v>2035</v>
      </c>
      <c r="F573" s="1186" t="s">
        <v>2033</v>
      </c>
      <c r="G573" s="1186" t="s">
        <v>852</v>
      </c>
      <c r="H573" s="1186">
        <v>14</v>
      </c>
    </row>
    <row r="574" spans="1:8" x14ac:dyDescent="0.2">
      <c r="A574" s="1186" t="s">
        <v>13</v>
      </c>
      <c r="B574" s="1186" t="s">
        <v>895</v>
      </c>
      <c r="C574" s="1186" t="s">
        <v>1985</v>
      </c>
      <c r="D574" s="1186" t="s">
        <v>1984</v>
      </c>
      <c r="E574" s="1186" t="s">
        <v>2035</v>
      </c>
      <c r="F574" s="1186" t="s">
        <v>2034</v>
      </c>
      <c r="G574" s="1186" t="s">
        <v>828</v>
      </c>
      <c r="H574" s="1186">
        <v>56</v>
      </c>
    </row>
    <row r="575" spans="1:8" x14ac:dyDescent="0.2">
      <c r="A575" s="1186" t="s">
        <v>13</v>
      </c>
      <c r="B575" s="1186" t="s">
        <v>895</v>
      </c>
      <c r="C575" s="1186" t="s">
        <v>1985</v>
      </c>
      <c r="D575" s="1186" t="s">
        <v>1984</v>
      </c>
      <c r="E575" s="1186" t="s">
        <v>2035</v>
      </c>
      <c r="F575" s="1186" t="s">
        <v>2034</v>
      </c>
      <c r="G575" s="1186" t="s">
        <v>850</v>
      </c>
      <c r="H575" s="1186">
        <v>36</v>
      </c>
    </row>
    <row r="576" spans="1:8" x14ac:dyDescent="0.2">
      <c r="A576" s="1186" t="s">
        <v>13</v>
      </c>
      <c r="B576" s="1186" t="s">
        <v>895</v>
      </c>
      <c r="C576" s="1186" t="s">
        <v>1985</v>
      </c>
      <c r="D576" s="1186" t="s">
        <v>1984</v>
      </c>
      <c r="E576" s="1186" t="s">
        <v>2035</v>
      </c>
      <c r="F576" s="1186" t="s">
        <v>2034</v>
      </c>
      <c r="G576" s="1186" t="s">
        <v>851</v>
      </c>
      <c r="H576" s="1186">
        <v>27</v>
      </c>
    </row>
    <row r="577" spans="1:8" x14ac:dyDescent="0.2">
      <c r="A577" s="1186" t="s">
        <v>13</v>
      </c>
      <c r="B577" s="1186" t="s">
        <v>895</v>
      </c>
      <c r="C577" s="1186" t="s">
        <v>1985</v>
      </c>
      <c r="D577" s="1186" t="s">
        <v>1984</v>
      </c>
      <c r="E577" s="1186" t="s">
        <v>2035</v>
      </c>
      <c r="F577" s="1186" t="s">
        <v>2034</v>
      </c>
      <c r="G577" s="1186" t="s">
        <v>852</v>
      </c>
      <c r="H577" s="1186">
        <v>29</v>
      </c>
    </row>
    <row r="578" spans="1:8" x14ac:dyDescent="0.2">
      <c r="A578" s="1186" t="s">
        <v>13</v>
      </c>
      <c r="B578" s="1186" t="s">
        <v>896</v>
      </c>
      <c r="C578" s="1186" t="s">
        <v>1985</v>
      </c>
      <c r="D578" s="1186" t="s">
        <v>1986</v>
      </c>
      <c r="E578" s="1186" t="s">
        <v>2031</v>
      </c>
      <c r="F578" s="1186" t="s">
        <v>2032</v>
      </c>
      <c r="G578" s="1186" t="s">
        <v>828</v>
      </c>
      <c r="H578" s="1186">
        <v>4</v>
      </c>
    </row>
    <row r="579" spans="1:8" x14ac:dyDescent="0.2">
      <c r="A579" s="1186" t="s">
        <v>13</v>
      </c>
      <c r="B579" s="1186" t="s">
        <v>896</v>
      </c>
      <c r="C579" s="1186" t="s">
        <v>1985</v>
      </c>
      <c r="D579" s="1186" t="s">
        <v>1986</v>
      </c>
      <c r="E579" s="1186" t="s">
        <v>2031</v>
      </c>
      <c r="F579" s="1186" t="s">
        <v>2033</v>
      </c>
      <c r="G579" s="1186" t="s">
        <v>828</v>
      </c>
      <c r="H579" s="1186">
        <v>117</v>
      </c>
    </row>
    <row r="580" spans="1:8" x14ac:dyDescent="0.2">
      <c r="A580" s="1186" t="s">
        <v>13</v>
      </c>
      <c r="B580" s="1186" t="s">
        <v>896</v>
      </c>
      <c r="C580" s="1186" t="s">
        <v>1985</v>
      </c>
      <c r="D580" s="1186" t="s">
        <v>1986</v>
      </c>
      <c r="E580" s="1186" t="s">
        <v>2031</v>
      </c>
      <c r="F580" s="1186" t="s">
        <v>2033</v>
      </c>
      <c r="G580" s="1186" t="s">
        <v>850</v>
      </c>
      <c r="H580" s="1186">
        <v>5</v>
      </c>
    </row>
    <row r="581" spans="1:8" x14ac:dyDescent="0.2">
      <c r="A581" s="1186" t="s">
        <v>13</v>
      </c>
      <c r="B581" s="1186" t="s">
        <v>896</v>
      </c>
      <c r="C581" s="1186" t="s">
        <v>1985</v>
      </c>
      <c r="D581" s="1186" t="s">
        <v>1986</v>
      </c>
      <c r="E581" s="1186" t="s">
        <v>2031</v>
      </c>
      <c r="F581" s="1186" t="s">
        <v>2033</v>
      </c>
      <c r="G581" s="1186" t="s">
        <v>851</v>
      </c>
      <c r="H581" s="1186">
        <v>2</v>
      </c>
    </row>
    <row r="582" spans="1:8" x14ac:dyDescent="0.2">
      <c r="A582" s="1186" t="s">
        <v>13</v>
      </c>
      <c r="B582" s="1186" t="s">
        <v>896</v>
      </c>
      <c r="C582" s="1186" t="s">
        <v>1985</v>
      </c>
      <c r="D582" s="1186" t="s">
        <v>1986</v>
      </c>
      <c r="E582" s="1186" t="s">
        <v>2031</v>
      </c>
      <c r="F582" s="1186" t="s">
        <v>2033</v>
      </c>
      <c r="G582" s="1186" t="s">
        <v>852</v>
      </c>
      <c r="H582" s="1186">
        <v>3</v>
      </c>
    </row>
    <row r="583" spans="1:8" x14ac:dyDescent="0.2">
      <c r="A583" s="1186" t="s">
        <v>13</v>
      </c>
      <c r="B583" s="1186" t="s">
        <v>896</v>
      </c>
      <c r="C583" s="1186" t="s">
        <v>1985</v>
      </c>
      <c r="D583" s="1186" t="s">
        <v>1986</v>
      </c>
      <c r="E583" s="1186" t="s">
        <v>2031</v>
      </c>
      <c r="F583" s="1186" t="s">
        <v>2034</v>
      </c>
      <c r="G583" s="1186" t="s">
        <v>828</v>
      </c>
      <c r="H583" s="1186">
        <v>35</v>
      </c>
    </row>
    <row r="584" spans="1:8" x14ac:dyDescent="0.2">
      <c r="A584" s="1186" t="s">
        <v>13</v>
      </c>
      <c r="B584" s="1186" t="s">
        <v>896</v>
      </c>
      <c r="C584" s="1186" t="s">
        <v>1985</v>
      </c>
      <c r="D584" s="1186" t="s">
        <v>1986</v>
      </c>
      <c r="E584" s="1186" t="s">
        <v>2031</v>
      </c>
      <c r="F584" s="1186" t="s">
        <v>2034</v>
      </c>
      <c r="G584" s="1186" t="s">
        <v>850</v>
      </c>
      <c r="H584" s="1186">
        <v>2</v>
      </c>
    </row>
    <row r="585" spans="1:8" x14ac:dyDescent="0.2">
      <c r="A585" s="1186" t="s">
        <v>13</v>
      </c>
      <c r="B585" s="1186" t="s">
        <v>896</v>
      </c>
      <c r="C585" s="1186" t="s">
        <v>1985</v>
      </c>
      <c r="D585" s="1186" t="s">
        <v>1986</v>
      </c>
      <c r="E585" s="1186" t="s">
        <v>2035</v>
      </c>
      <c r="F585" s="1186" t="s">
        <v>2032</v>
      </c>
      <c r="G585" s="1186" t="s">
        <v>828</v>
      </c>
      <c r="H585" s="1186">
        <v>2</v>
      </c>
    </row>
    <row r="586" spans="1:8" x14ac:dyDescent="0.2">
      <c r="A586" s="1186" t="s">
        <v>13</v>
      </c>
      <c r="B586" s="1186" t="s">
        <v>896</v>
      </c>
      <c r="C586" s="1186" t="s">
        <v>1985</v>
      </c>
      <c r="D586" s="1186" t="s">
        <v>1986</v>
      </c>
      <c r="E586" s="1186" t="s">
        <v>2035</v>
      </c>
      <c r="F586" s="1186" t="s">
        <v>2032</v>
      </c>
      <c r="G586" s="1186" t="s">
        <v>851</v>
      </c>
      <c r="H586" s="1186">
        <v>5</v>
      </c>
    </row>
    <row r="587" spans="1:8" x14ac:dyDescent="0.2">
      <c r="A587" s="1186" t="s">
        <v>13</v>
      </c>
      <c r="B587" s="1186" t="s">
        <v>896</v>
      </c>
      <c r="C587" s="1186" t="s">
        <v>1985</v>
      </c>
      <c r="D587" s="1186" t="s">
        <v>1986</v>
      </c>
      <c r="E587" s="1186" t="s">
        <v>2035</v>
      </c>
      <c r="F587" s="1186" t="s">
        <v>2032</v>
      </c>
      <c r="G587" s="1186" t="s">
        <v>852</v>
      </c>
      <c r="H587" s="1186">
        <v>1</v>
      </c>
    </row>
    <row r="588" spans="1:8" x14ac:dyDescent="0.2">
      <c r="A588" s="1186" t="s">
        <v>13</v>
      </c>
      <c r="B588" s="1186" t="s">
        <v>896</v>
      </c>
      <c r="C588" s="1186" t="s">
        <v>1985</v>
      </c>
      <c r="D588" s="1186" t="s">
        <v>1986</v>
      </c>
      <c r="E588" s="1186" t="s">
        <v>2035</v>
      </c>
      <c r="F588" s="1186" t="s">
        <v>2033</v>
      </c>
      <c r="G588" s="1186" t="s">
        <v>828</v>
      </c>
      <c r="H588" s="1186">
        <v>18</v>
      </c>
    </row>
    <row r="589" spans="1:8" x14ac:dyDescent="0.2">
      <c r="A589" s="1186" t="s">
        <v>13</v>
      </c>
      <c r="B589" s="1186" t="s">
        <v>896</v>
      </c>
      <c r="C589" s="1186" t="s">
        <v>1985</v>
      </c>
      <c r="D589" s="1186" t="s">
        <v>1986</v>
      </c>
      <c r="E589" s="1186" t="s">
        <v>2035</v>
      </c>
      <c r="F589" s="1186" t="s">
        <v>2033</v>
      </c>
      <c r="G589" s="1186" t="s">
        <v>850</v>
      </c>
      <c r="H589" s="1186">
        <v>24</v>
      </c>
    </row>
    <row r="590" spans="1:8" x14ac:dyDescent="0.2">
      <c r="A590" s="1186" t="s">
        <v>13</v>
      </c>
      <c r="B590" s="1186" t="s">
        <v>896</v>
      </c>
      <c r="C590" s="1186" t="s">
        <v>1985</v>
      </c>
      <c r="D590" s="1186" t="s">
        <v>1986</v>
      </c>
      <c r="E590" s="1186" t="s">
        <v>2035</v>
      </c>
      <c r="F590" s="1186" t="s">
        <v>2033</v>
      </c>
      <c r="G590" s="1186" t="s">
        <v>851</v>
      </c>
      <c r="H590" s="1186">
        <v>148</v>
      </c>
    </row>
    <row r="591" spans="1:8" x14ac:dyDescent="0.2">
      <c r="A591" s="1186" t="s">
        <v>13</v>
      </c>
      <c r="B591" s="1186" t="s">
        <v>896</v>
      </c>
      <c r="C591" s="1186" t="s">
        <v>1985</v>
      </c>
      <c r="D591" s="1186" t="s">
        <v>1986</v>
      </c>
      <c r="E591" s="1186" t="s">
        <v>2035</v>
      </c>
      <c r="F591" s="1186" t="s">
        <v>2033</v>
      </c>
      <c r="G591" s="1186" t="s">
        <v>852</v>
      </c>
      <c r="H591" s="1186">
        <v>15</v>
      </c>
    </row>
    <row r="592" spans="1:8" x14ac:dyDescent="0.2">
      <c r="A592" s="1186" t="s">
        <v>13</v>
      </c>
      <c r="B592" s="1186" t="s">
        <v>896</v>
      </c>
      <c r="C592" s="1186" t="s">
        <v>1985</v>
      </c>
      <c r="D592" s="1186" t="s">
        <v>1986</v>
      </c>
      <c r="E592" s="1186" t="s">
        <v>2035</v>
      </c>
      <c r="F592" s="1186" t="s">
        <v>2034</v>
      </c>
      <c r="G592" s="1186" t="s">
        <v>828</v>
      </c>
      <c r="H592" s="1186">
        <v>53</v>
      </c>
    </row>
    <row r="593" spans="1:8" x14ac:dyDescent="0.2">
      <c r="A593" s="1186" t="s">
        <v>13</v>
      </c>
      <c r="B593" s="1186" t="s">
        <v>896</v>
      </c>
      <c r="C593" s="1186" t="s">
        <v>1985</v>
      </c>
      <c r="D593" s="1186" t="s">
        <v>1986</v>
      </c>
      <c r="E593" s="1186" t="s">
        <v>2035</v>
      </c>
      <c r="F593" s="1186" t="s">
        <v>2034</v>
      </c>
      <c r="G593" s="1186" t="s">
        <v>850</v>
      </c>
      <c r="H593" s="1186">
        <v>28</v>
      </c>
    </row>
    <row r="594" spans="1:8" x14ac:dyDescent="0.2">
      <c r="A594" s="1186" t="s">
        <v>13</v>
      </c>
      <c r="B594" s="1186" t="s">
        <v>896</v>
      </c>
      <c r="C594" s="1186" t="s">
        <v>1985</v>
      </c>
      <c r="D594" s="1186" t="s">
        <v>1986</v>
      </c>
      <c r="E594" s="1186" t="s">
        <v>2035</v>
      </c>
      <c r="F594" s="1186" t="s">
        <v>2034</v>
      </c>
      <c r="G594" s="1186" t="s">
        <v>851</v>
      </c>
      <c r="H594" s="1186">
        <v>24</v>
      </c>
    </row>
    <row r="595" spans="1:8" x14ac:dyDescent="0.2">
      <c r="A595" s="1186" t="s">
        <v>13</v>
      </c>
      <c r="B595" s="1186" t="s">
        <v>896</v>
      </c>
      <c r="C595" s="1186" t="s">
        <v>1985</v>
      </c>
      <c r="D595" s="1186" t="s">
        <v>1986</v>
      </c>
      <c r="E595" s="1186" t="s">
        <v>2035</v>
      </c>
      <c r="F595" s="1186" t="s">
        <v>2034</v>
      </c>
      <c r="G595" s="1186" t="s">
        <v>852</v>
      </c>
      <c r="H595" s="1186">
        <v>31</v>
      </c>
    </row>
    <row r="596" spans="1:8" x14ac:dyDescent="0.2">
      <c r="A596" s="1186" t="s">
        <v>13</v>
      </c>
      <c r="B596" s="1186" t="s">
        <v>897</v>
      </c>
      <c r="C596" s="1186" t="s">
        <v>1985</v>
      </c>
      <c r="D596" s="1186" t="s">
        <v>1986</v>
      </c>
      <c r="E596" s="1186" t="s">
        <v>2031</v>
      </c>
      <c r="F596" s="1186" t="s">
        <v>2032</v>
      </c>
      <c r="G596" s="1186" t="s">
        <v>828</v>
      </c>
      <c r="H596" s="1186">
        <v>6</v>
      </c>
    </row>
    <row r="597" spans="1:8" x14ac:dyDescent="0.2">
      <c r="A597" s="1186" t="s">
        <v>13</v>
      </c>
      <c r="B597" s="1186" t="s">
        <v>897</v>
      </c>
      <c r="C597" s="1186" t="s">
        <v>1985</v>
      </c>
      <c r="D597" s="1186" t="s">
        <v>1986</v>
      </c>
      <c r="E597" s="1186" t="s">
        <v>2031</v>
      </c>
      <c r="F597" s="1186" t="s">
        <v>2032</v>
      </c>
      <c r="G597" s="1186" t="s">
        <v>850</v>
      </c>
      <c r="H597" s="1186">
        <v>1</v>
      </c>
    </row>
    <row r="598" spans="1:8" x14ac:dyDescent="0.2">
      <c r="A598" s="1186" t="s">
        <v>13</v>
      </c>
      <c r="B598" s="1186" t="s">
        <v>897</v>
      </c>
      <c r="C598" s="1186" t="s">
        <v>1985</v>
      </c>
      <c r="D598" s="1186" t="s">
        <v>1986</v>
      </c>
      <c r="E598" s="1186" t="s">
        <v>2031</v>
      </c>
      <c r="F598" s="1186" t="s">
        <v>2032</v>
      </c>
      <c r="G598" s="1186" t="s">
        <v>851</v>
      </c>
      <c r="H598" s="1186">
        <v>1</v>
      </c>
    </row>
    <row r="599" spans="1:8" x14ac:dyDescent="0.2">
      <c r="A599" s="1186" t="s">
        <v>13</v>
      </c>
      <c r="B599" s="1186" t="s">
        <v>897</v>
      </c>
      <c r="C599" s="1186" t="s">
        <v>1985</v>
      </c>
      <c r="D599" s="1186" t="s">
        <v>1986</v>
      </c>
      <c r="E599" s="1186" t="s">
        <v>2031</v>
      </c>
      <c r="F599" s="1186" t="s">
        <v>2033</v>
      </c>
      <c r="G599" s="1186" t="s">
        <v>828</v>
      </c>
      <c r="H599" s="1186">
        <v>116</v>
      </c>
    </row>
    <row r="600" spans="1:8" x14ac:dyDescent="0.2">
      <c r="A600" s="1186" t="s">
        <v>13</v>
      </c>
      <c r="B600" s="1186" t="s">
        <v>897</v>
      </c>
      <c r="C600" s="1186" t="s">
        <v>1985</v>
      </c>
      <c r="D600" s="1186" t="s">
        <v>1986</v>
      </c>
      <c r="E600" s="1186" t="s">
        <v>2031</v>
      </c>
      <c r="F600" s="1186" t="s">
        <v>2033</v>
      </c>
      <c r="G600" s="1186" t="s">
        <v>850</v>
      </c>
      <c r="H600" s="1186">
        <v>9</v>
      </c>
    </row>
    <row r="601" spans="1:8" x14ac:dyDescent="0.2">
      <c r="A601" s="1186" t="s">
        <v>13</v>
      </c>
      <c r="B601" s="1186" t="s">
        <v>897</v>
      </c>
      <c r="C601" s="1186" t="s">
        <v>1985</v>
      </c>
      <c r="D601" s="1186" t="s">
        <v>1986</v>
      </c>
      <c r="E601" s="1186" t="s">
        <v>2031</v>
      </c>
      <c r="F601" s="1186" t="s">
        <v>2033</v>
      </c>
      <c r="G601" s="1186" t="s">
        <v>851</v>
      </c>
      <c r="H601" s="1186">
        <v>5</v>
      </c>
    </row>
    <row r="602" spans="1:8" x14ac:dyDescent="0.2">
      <c r="A602" s="1186" t="s">
        <v>13</v>
      </c>
      <c r="B602" s="1186" t="s">
        <v>897</v>
      </c>
      <c r="C602" s="1186" t="s">
        <v>1985</v>
      </c>
      <c r="D602" s="1186" t="s">
        <v>1986</v>
      </c>
      <c r="E602" s="1186" t="s">
        <v>2031</v>
      </c>
      <c r="F602" s="1186" t="s">
        <v>2033</v>
      </c>
      <c r="G602" s="1186" t="s">
        <v>852</v>
      </c>
      <c r="H602" s="1186">
        <v>3</v>
      </c>
    </row>
    <row r="603" spans="1:8" x14ac:dyDescent="0.2">
      <c r="A603" s="1186" t="s">
        <v>13</v>
      </c>
      <c r="B603" s="1186" t="s">
        <v>897</v>
      </c>
      <c r="C603" s="1186" t="s">
        <v>1985</v>
      </c>
      <c r="D603" s="1186" t="s">
        <v>1986</v>
      </c>
      <c r="E603" s="1186" t="s">
        <v>2031</v>
      </c>
      <c r="F603" s="1186" t="s">
        <v>2034</v>
      </c>
      <c r="G603" s="1186" t="s">
        <v>828</v>
      </c>
      <c r="H603" s="1186">
        <v>33</v>
      </c>
    </row>
    <row r="604" spans="1:8" x14ac:dyDescent="0.2">
      <c r="A604" s="1186" t="s">
        <v>13</v>
      </c>
      <c r="B604" s="1186" t="s">
        <v>897</v>
      </c>
      <c r="C604" s="1186" t="s">
        <v>1985</v>
      </c>
      <c r="D604" s="1186" t="s">
        <v>1986</v>
      </c>
      <c r="E604" s="1186" t="s">
        <v>2031</v>
      </c>
      <c r="F604" s="1186" t="s">
        <v>2034</v>
      </c>
      <c r="G604" s="1186" t="s">
        <v>850</v>
      </c>
      <c r="H604" s="1186">
        <v>5</v>
      </c>
    </row>
    <row r="605" spans="1:8" x14ac:dyDescent="0.2">
      <c r="A605" s="1186" t="s">
        <v>13</v>
      </c>
      <c r="B605" s="1186" t="s">
        <v>897</v>
      </c>
      <c r="C605" s="1186" t="s">
        <v>1985</v>
      </c>
      <c r="D605" s="1186" t="s">
        <v>1986</v>
      </c>
      <c r="E605" s="1186" t="s">
        <v>2035</v>
      </c>
      <c r="F605" s="1186" t="s">
        <v>2032</v>
      </c>
      <c r="G605" s="1186" t="s">
        <v>828</v>
      </c>
      <c r="H605" s="1186">
        <v>1</v>
      </c>
    </row>
    <row r="606" spans="1:8" x14ac:dyDescent="0.2">
      <c r="A606" s="1186" t="s">
        <v>13</v>
      </c>
      <c r="B606" s="1186" t="s">
        <v>897</v>
      </c>
      <c r="C606" s="1186" t="s">
        <v>1985</v>
      </c>
      <c r="D606" s="1186" t="s">
        <v>1986</v>
      </c>
      <c r="E606" s="1186" t="s">
        <v>2035</v>
      </c>
      <c r="F606" s="1186" t="s">
        <v>2032</v>
      </c>
      <c r="G606" s="1186" t="s">
        <v>851</v>
      </c>
      <c r="H606" s="1186">
        <v>18</v>
      </c>
    </row>
    <row r="607" spans="1:8" x14ac:dyDescent="0.2">
      <c r="A607" s="1186" t="s">
        <v>13</v>
      </c>
      <c r="B607" s="1186" t="s">
        <v>897</v>
      </c>
      <c r="C607" s="1186" t="s">
        <v>1985</v>
      </c>
      <c r="D607" s="1186" t="s">
        <v>1986</v>
      </c>
      <c r="E607" s="1186" t="s">
        <v>2035</v>
      </c>
      <c r="F607" s="1186" t="s">
        <v>2032</v>
      </c>
      <c r="G607" s="1186" t="s">
        <v>852</v>
      </c>
      <c r="H607" s="1186">
        <v>3</v>
      </c>
    </row>
    <row r="608" spans="1:8" x14ac:dyDescent="0.2">
      <c r="A608" s="1186" t="s">
        <v>13</v>
      </c>
      <c r="B608" s="1186" t="s">
        <v>897</v>
      </c>
      <c r="C608" s="1186" t="s">
        <v>1985</v>
      </c>
      <c r="D608" s="1186" t="s">
        <v>1986</v>
      </c>
      <c r="E608" s="1186" t="s">
        <v>2035</v>
      </c>
      <c r="F608" s="1186" t="s">
        <v>2033</v>
      </c>
      <c r="G608" s="1186" t="s">
        <v>828</v>
      </c>
      <c r="H608" s="1186">
        <v>14</v>
      </c>
    </row>
    <row r="609" spans="1:8" x14ac:dyDescent="0.2">
      <c r="A609" s="1186" t="s">
        <v>13</v>
      </c>
      <c r="B609" s="1186" t="s">
        <v>897</v>
      </c>
      <c r="C609" s="1186" t="s">
        <v>1985</v>
      </c>
      <c r="D609" s="1186" t="s">
        <v>1986</v>
      </c>
      <c r="E609" s="1186" t="s">
        <v>2035</v>
      </c>
      <c r="F609" s="1186" t="s">
        <v>2033</v>
      </c>
      <c r="G609" s="1186" t="s">
        <v>850</v>
      </c>
      <c r="H609" s="1186">
        <v>9</v>
      </c>
    </row>
    <row r="610" spans="1:8" x14ac:dyDescent="0.2">
      <c r="A610" s="1186" t="s">
        <v>13</v>
      </c>
      <c r="B610" s="1186" t="s">
        <v>897</v>
      </c>
      <c r="C610" s="1186" t="s">
        <v>1985</v>
      </c>
      <c r="D610" s="1186" t="s">
        <v>1986</v>
      </c>
      <c r="E610" s="1186" t="s">
        <v>2035</v>
      </c>
      <c r="F610" s="1186" t="s">
        <v>2033</v>
      </c>
      <c r="G610" s="1186" t="s">
        <v>851</v>
      </c>
      <c r="H610" s="1186">
        <v>135</v>
      </c>
    </row>
    <row r="611" spans="1:8" x14ac:dyDescent="0.2">
      <c r="A611" s="1186" t="s">
        <v>13</v>
      </c>
      <c r="B611" s="1186" t="s">
        <v>897</v>
      </c>
      <c r="C611" s="1186" t="s">
        <v>1985</v>
      </c>
      <c r="D611" s="1186" t="s">
        <v>1986</v>
      </c>
      <c r="E611" s="1186" t="s">
        <v>2035</v>
      </c>
      <c r="F611" s="1186" t="s">
        <v>2033</v>
      </c>
      <c r="G611" s="1186" t="s">
        <v>852</v>
      </c>
      <c r="H611" s="1186">
        <v>20</v>
      </c>
    </row>
    <row r="612" spans="1:8" x14ac:dyDescent="0.2">
      <c r="A612" s="1186" t="s">
        <v>13</v>
      </c>
      <c r="B612" s="1186" t="s">
        <v>897</v>
      </c>
      <c r="C612" s="1186" t="s">
        <v>1985</v>
      </c>
      <c r="D612" s="1186" t="s">
        <v>1986</v>
      </c>
      <c r="E612" s="1186" t="s">
        <v>2035</v>
      </c>
      <c r="F612" s="1186" t="s">
        <v>2034</v>
      </c>
      <c r="G612" s="1186" t="s">
        <v>828</v>
      </c>
      <c r="H612" s="1186">
        <v>41</v>
      </c>
    </row>
    <row r="613" spans="1:8" x14ac:dyDescent="0.2">
      <c r="A613" s="1186" t="s">
        <v>13</v>
      </c>
      <c r="B613" s="1186" t="s">
        <v>897</v>
      </c>
      <c r="C613" s="1186" t="s">
        <v>1985</v>
      </c>
      <c r="D613" s="1186" t="s">
        <v>1986</v>
      </c>
      <c r="E613" s="1186" t="s">
        <v>2035</v>
      </c>
      <c r="F613" s="1186" t="s">
        <v>2034</v>
      </c>
      <c r="G613" s="1186" t="s">
        <v>850</v>
      </c>
      <c r="H613" s="1186">
        <v>20</v>
      </c>
    </row>
    <row r="614" spans="1:8" x14ac:dyDescent="0.2">
      <c r="A614" s="1186" t="s">
        <v>13</v>
      </c>
      <c r="B614" s="1186" t="s">
        <v>897</v>
      </c>
      <c r="C614" s="1186" t="s">
        <v>1985</v>
      </c>
      <c r="D614" s="1186" t="s">
        <v>1986</v>
      </c>
      <c r="E614" s="1186" t="s">
        <v>2035</v>
      </c>
      <c r="F614" s="1186" t="s">
        <v>2034</v>
      </c>
      <c r="G614" s="1186" t="s">
        <v>851</v>
      </c>
      <c r="H614" s="1186">
        <v>48</v>
      </c>
    </row>
    <row r="615" spans="1:8" x14ac:dyDescent="0.2">
      <c r="A615" s="1186" t="s">
        <v>13</v>
      </c>
      <c r="B615" s="1186" t="s">
        <v>897</v>
      </c>
      <c r="C615" s="1186" t="s">
        <v>1985</v>
      </c>
      <c r="D615" s="1186" t="s">
        <v>1986</v>
      </c>
      <c r="E615" s="1186" t="s">
        <v>2035</v>
      </c>
      <c r="F615" s="1186" t="s">
        <v>2034</v>
      </c>
      <c r="G615" s="1186" t="s">
        <v>852</v>
      </c>
      <c r="H615" s="1186">
        <v>17</v>
      </c>
    </row>
    <row r="616" spans="1:8" x14ac:dyDescent="0.2">
      <c r="A616" s="1186" t="s">
        <v>13</v>
      </c>
      <c r="B616" s="1186" t="s">
        <v>13</v>
      </c>
      <c r="C616" s="1186" t="s">
        <v>1987</v>
      </c>
      <c r="D616" s="1186" t="s">
        <v>1986</v>
      </c>
      <c r="E616" s="1186" t="s">
        <v>2031</v>
      </c>
      <c r="F616" s="1186" t="s">
        <v>2032</v>
      </c>
      <c r="G616" s="1186" t="s">
        <v>828</v>
      </c>
      <c r="H616" s="1186">
        <v>5</v>
      </c>
    </row>
    <row r="617" spans="1:8" x14ac:dyDescent="0.2">
      <c r="A617" s="1186" t="s">
        <v>13</v>
      </c>
      <c r="B617" s="1186" t="s">
        <v>13</v>
      </c>
      <c r="C617" s="1186" t="s">
        <v>1987</v>
      </c>
      <c r="D617" s="1186" t="s">
        <v>1986</v>
      </c>
      <c r="E617" s="1186" t="s">
        <v>2031</v>
      </c>
      <c r="F617" s="1186" t="s">
        <v>2032</v>
      </c>
      <c r="G617" s="1186" t="s">
        <v>850</v>
      </c>
      <c r="H617" s="1186">
        <v>1</v>
      </c>
    </row>
    <row r="618" spans="1:8" x14ac:dyDescent="0.2">
      <c r="A618" s="1186" t="s">
        <v>13</v>
      </c>
      <c r="B618" s="1186" t="s">
        <v>13</v>
      </c>
      <c r="C618" s="1186" t="s">
        <v>1987</v>
      </c>
      <c r="D618" s="1186" t="s">
        <v>1986</v>
      </c>
      <c r="E618" s="1186" t="s">
        <v>2031</v>
      </c>
      <c r="F618" s="1186" t="s">
        <v>2032</v>
      </c>
      <c r="G618" s="1186" t="s">
        <v>851</v>
      </c>
      <c r="H618" s="1186">
        <v>1</v>
      </c>
    </row>
    <row r="619" spans="1:8" x14ac:dyDescent="0.2">
      <c r="A619" s="1186" t="s">
        <v>13</v>
      </c>
      <c r="B619" s="1186" t="s">
        <v>13</v>
      </c>
      <c r="C619" s="1186" t="s">
        <v>1987</v>
      </c>
      <c r="D619" s="1186" t="s">
        <v>1986</v>
      </c>
      <c r="E619" s="1186" t="s">
        <v>2031</v>
      </c>
      <c r="F619" s="1186" t="s">
        <v>2033</v>
      </c>
      <c r="G619" s="1186" t="s">
        <v>828</v>
      </c>
      <c r="H619" s="1186">
        <v>155</v>
      </c>
    </row>
    <row r="620" spans="1:8" x14ac:dyDescent="0.2">
      <c r="A620" s="1186" t="s">
        <v>13</v>
      </c>
      <c r="B620" s="1186" t="s">
        <v>13</v>
      </c>
      <c r="C620" s="1186" t="s">
        <v>1987</v>
      </c>
      <c r="D620" s="1186" t="s">
        <v>1986</v>
      </c>
      <c r="E620" s="1186" t="s">
        <v>2031</v>
      </c>
      <c r="F620" s="1186" t="s">
        <v>2033</v>
      </c>
      <c r="G620" s="1186" t="s">
        <v>850</v>
      </c>
      <c r="H620" s="1186">
        <v>9</v>
      </c>
    </row>
    <row r="621" spans="1:8" x14ac:dyDescent="0.2">
      <c r="A621" s="1186" t="s">
        <v>13</v>
      </c>
      <c r="B621" s="1186" t="s">
        <v>13</v>
      </c>
      <c r="C621" s="1186" t="s">
        <v>1987</v>
      </c>
      <c r="D621" s="1186" t="s">
        <v>1986</v>
      </c>
      <c r="E621" s="1186" t="s">
        <v>2031</v>
      </c>
      <c r="F621" s="1186" t="s">
        <v>2033</v>
      </c>
      <c r="G621" s="1186" t="s">
        <v>851</v>
      </c>
      <c r="H621" s="1186">
        <v>3</v>
      </c>
    </row>
    <row r="622" spans="1:8" x14ac:dyDescent="0.2">
      <c r="A622" s="1186" t="s">
        <v>13</v>
      </c>
      <c r="B622" s="1186" t="s">
        <v>13</v>
      </c>
      <c r="C622" s="1186" t="s">
        <v>1987</v>
      </c>
      <c r="D622" s="1186" t="s">
        <v>1986</v>
      </c>
      <c r="E622" s="1186" t="s">
        <v>2031</v>
      </c>
      <c r="F622" s="1186" t="s">
        <v>2034</v>
      </c>
      <c r="G622" s="1186" t="s">
        <v>828</v>
      </c>
      <c r="H622" s="1186">
        <v>26</v>
      </c>
    </row>
    <row r="623" spans="1:8" x14ac:dyDescent="0.2">
      <c r="A623" s="1186" t="s">
        <v>13</v>
      </c>
      <c r="B623" s="1186" t="s">
        <v>13</v>
      </c>
      <c r="C623" s="1186" t="s">
        <v>1987</v>
      </c>
      <c r="D623" s="1186" t="s">
        <v>1986</v>
      </c>
      <c r="E623" s="1186" t="s">
        <v>2031</v>
      </c>
      <c r="F623" s="1186" t="s">
        <v>2034</v>
      </c>
      <c r="G623" s="1186" t="s">
        <v>850</v>
      </c>
      <c r="H623" s="1186">
        <v>3</v>
      </c>
    </row>
    <row r="624" spans="1:8" x14ac:dyDescent="0.2">
      <c r="A624" s="1186" t="s">
        <v>13</v>
      </c>
      <c r="B624" s="1186" t="s">
        <v>13</v>
      </c>
      <c r="C624" s="1186" t="s">
        <v>1987</v>
      </c>
      <c r="D624" s="1186" t="s">
        <v>1986</v>
      </c>
      <c r="E624" s="1186" t="s">
        <v>2035</v>
      </c>
      <c r="F624" s="1186" t="s">
        <v>2032</v>
      </c>
      <c r="G624" s="1186" t="s">
        <v>828</v>
      </c>
      <c r="H624" s="1186">
        <v>3</v>
      </c>
    </row>
    <row r="625" spans="1:8" x14ac:dyDescent="0.2">
      <c r="A625" s="1186" t="s">
        <v>13</v>
      </c>
      <c r="B625" s="1186" t="s">
        <v>13</v>
      </c>
      <c r="C625" s="1186" t="s">
        <v>1987</v>
      </c>
      <c r="D625" s="1186" t="s">
        <v>1986</v>
      </c>
      <c r="E625" s="1186" t="s">
        <v>2035</v>
      </c>
      <c r="F625" s="1186" t="s">
        <v>2032</v>
      </c>
      <c r="G625" s="1186" t="s">
        <v>850</v>
      </c>
      <c r="H625" s="1186">
        <v>1</v>
      </c>
    </row>
    <row r="626" spans="1:8" x14ac:dyDescent="0.2">
      <c r="A626" s="1186" t="s">
        <v>13</v>
      </c>
      <c r="B626" s="1186" t="s">
        <v>13</v>
      </c>
      <c r="C626" s="1186" t="s">
        <v>1987</v>
      </c>
      <c r="D626" s="1186" t="s">
        <v>1986</v>
      </c>
      <c r="E626" s="1186" t="s">
        <v>2035</v>
      </c>
      <c r="F626" s="1186" t="s">
        <v>2032</v>
      </c>
      <c r="G626" s="1186" t="s">
        <v>851</v>
      </c>
      <c r="H626" s="1186">
        <v>6</v>
      </c>
    </row>
    <row r="627" spans="1:8" x14ac:dyDescent="0.2">
      <c r="A627" s="1186" t="s">
        <v>13</v>
      </c>
      <c r="B627" s="1186" t="s">
        <v>13</v>
      </c>
      <c r="C627" s="1186" t="s">
        <v>1987</v>
      </c>
      <c r="D627" s="1186" t="s">
        <v>1986</v>
      </c>
      <c r="E627" s="1186" t="s">
        <v>2035</v>
      </c>
      <c r="F627" s="1186" t="s">
        <v>2032</v>
      </c>
      <c r="G627" s="1186" t="s">
        <v>852</v>
      </c>
      <c r="H627" s="1186">
        <v>2</v>
      </c>
    </row>
    <row r="628" spans="1:8" x14ac:dyDescent="0.2">
      <c r="A628" s="1186" t="s">
        <v>13</v>
      </c>
      <c r="B628" s="1186" t="s">
        <v>13</v>
      </c>
      <c r="C628" s="1186" t="s">
        <v>1987</v>
      </c>
      <c r="D628" s="1186" t="s">
        <v>1986</v>
      </c>
      <c r="E628" s="1186" t="s">
        <v>2035</v>
      </c>
      <c r="F628" s="1186" t="s">
        <v>2033</v>
      </c>
      <c r="G628" s="1186" t="s">
        <v>828</v>
      </c>
      <c r="H628" s="1186">
        <v>18</v>
      </c>
    </row>
    <row r="629" spans="1:8" x14ac:dyDescent="0.2">
      <c r="A629" s="1186" t="s">
        <v>13</v>
      </c>
      <c r="B629" s="1186" t="s">
        <v>13</v>
      </c>
      <c r="C629" s="1186" t="s">
        <v>1987</v>
      </c>
      <c r="D629" s="1186" t="s">
        <v>1986</v>
      </c>
      <c r="E629" s="1186" t="s">
        <v>2035</v>
      </c>
      <c r="F629" s="1186" t="s">
        <v>2033</v>
      </c>
      <c r="G629" s="1186" t="s">
        <v>850</v>
      </c>
      <c r="H629" s="1186">
        <v>9</v>
      </c>
    </row>
    <row r="630" spans="1:8" x14ac:dyDescent="0.2">
      <c r="A630" s="1186" t="s">
        <v>13</v>
      </c>
      <c r="B630" s="1186" t="s">
        <v>13</v>
      </c>
      <c r="C630" s="1186" t="s">
        <v>1987</v>
      </c>
      <c r="D630" s="1186" t="s">
        <v>1986</v>
      </c>
      <c r="E630" s="1186" t="s">
        <v>2035</v>
      </c>
      <c r="F630" s="1186" t="s">
        <v>2033</v>
      </c>
      <c r="G630" s="1186" t="s">
        <v>851</v>
      </c>
      <c r="H630" s="1186">
        <v>142</v>
      </c>
    </row>
    <row r="631" spans="1:8" x14ac:dyDescent="0.2">
      <c r="A631" s="1186" t="s">
        <v>13</v>
      </c>
      <c r="B631" s="1186" t="s">
        <v>13</v>
      </c>
      <c r="C631" s="1186" t="s">
        <v>1987</v>
      </c>
      <c r="D631" s="1186" t="s">
        <v>1986</v>
      </c>
      <c r="E631" s="1186" t="s">
        <v>2035</v>
      </c>
      <c r="F631" s="1186" t="s">
        <v>2033</v>
      </c>
      <c r="G631" s="1186" t="s">
        <v>852</v>
      </c>
      <c r="H631" s="1186">
        <v>16</v>
      </c>
    </row>
    <row r="632" spans="1:8" x14ac:dyDescent="0.2">
      <c r="A632" s="1186" t="s">
        <v>13</v>
      </c>
      <c r="B632" s="1186" t="s">
        <v>13</v>
      </c>
      <c r="C632" s="1186" t="s">
        <v>1987</v>
      </c>
      <c r="D632" s="1186" t="s">
        <v>1986</v>
      </c>
      <c r="E632" s="1186" t="s">
        <v>2035</v>
      </c>
      <c r="F632" s="1186" t="s">
        <v>2034</v>
      </c>
      <c r="G632" s="1186" t="s">
        <v>828</v>
      </c>
      <c r="H632" s="1186">
        <v>80</v>
      </c>
    </row>
    <row r="633" spans="1:8" x14ac:dyDescent="0.2">
      <c r="A633" s="1186" t="s">
        <v>13</v>
      </c>
      <c r="B633" s="1186" t="s">
        <v>13</v>
      </c>
      <c r="C633" s="1186" t="s">
        <v>1987</v>
      </c>
      <c r="D633" s="1186" t="s">
        <v>1986</v>
      </c>
      <c r="E633" s="1186" t="s">
        <v>2035</v>
      </c>
      <c r="F633" s="1186" t="s">
        <v>2034</v>
      </c>
      <c r="G633" s="1186" t="s">
        <v>850</v>
      </c>
      <c r="H633" s="1186">
        <v>22</v>
      </c>
    </row>
    <row r="634" spans="1:8" x14ac:dyDescent="0.2">
      <c r="A634" s="1186" t="s">
        <v>13</v>
      </c>
      <c r="B634" s="1186" t="s">
        <v>13</v>
      </c>
      <c r="C634" s="1186" t="s">
        <v>1987</v>
      </c>
      <c r="D634" s="1186" t="s">
        <v>1986</v>
      </c>
      <c r="E634" s="1186" t="s">
        <v>2035</v>
      </c>
      <c r="F634" s="1186" t="s">
        <v>2034</v>
      </c>
      <c r="G634" s="1186" t="s">
        <v>851</v>
      </c>
      <c r="H634" s="1186">
        <v>42</v>
      </c>
    </row>
    <row r="635" spans="1:8" x14ac:dyDescent="0.2">
      <c r="A635" s="1186" t="s">
        <v>13</v>
      </c>
      <c r="B635" s="1186" t="s">
        <v>13</v>
      </c>
      <c r="C635" s="1186" t="s">
        <v>1987</v>
      </c>
      <c r="D635" s="1186" t="s">
        <v>1986</v>
      </c>
      <c r="E635" s="1186" t="s">
        <v>2035</v>
      </c>
      <c r="F635" s="1186" t="s">
        <v>2034</v>
      </c>
      <c r="G635" s="1186" t="s">
        <v>852</v>
      </c>
      <c r="H635" s="1186">
        <v>11</v>
      </c>
    </row>
    <row r="636" spans="1:8" x14ac:dyDescent="0.2">
      <c r="A636" s="1186" t="s">
        <v>13</v>
      </c>
      <c r="B636" s="1186" t="s">
        <v>898</v>
      </c>
      <c r="C636" s="1186" t="s">
        <v>1987</v>
      </c>
      <c r="D636" s="1186" t="s">
        <v>1988</v>
      </c>
      <c r="E636" s="1186" t="s">
        <v>2031</v>
      </c>
      <c r="F636" s="1186" t="s">
        <v>2032</v>
      </c>
      <c r="G636" s="1186" t="s">
        <v>828</v>
      </c>
      <c r="H636" s="1186">
        <v>4</v>
      </c>
    </row>
    <row r="637" spans="1:8" x14ac:dyDescent="0.2">
      <c r="A637" s="1186" t="s">
        <v>13</v>
      </c>
      <c r="B637" s="1186" t="s">
        <v>898</v>
      </c>
      <c r="C637" s="1186" t="s">
        <v>1987</v>
      </c>
      <c r="D637" s="1186" t="s">
        <v>1988</v>
      </c>
      <c r="E637" s="1186" t="s">
        <v>2031</v>
      </c>
      <c r="F637" s="1186" t="s">
        <v>2033</v>
      </c>
      <c r="G637" s="1186" t="s">
        <v>828</v>
      </c>
      <c r="H637" s="1186">
        <v>105</v>
      </c>
    </row>
    <row r="638" spans="1:8" x14ac:dyDescent="0.2">
      <c r="A638" s="1186" t="s">
        <v>13</v>
      </c>
      <c r="B638" s="1186" t="s">
        <v>898</v>
      </c>
      <c r="C638" s="1186" t="s">
        <v>1987</v>
      </c>
      <c r="D638" s="1186" t="s">
        <v>1988</v>
      </c>
      <c r="E638" s="1186" t="s">
        <v>2031</v>
      </c>
      <c r="F638" s="1186" t="s">
        <v>2033</v>
      </c>
      <c r="G638" s="1186" t="s">
        <v>850</v>
      </c>
      <c r="H638" s="1186">
        <v>15</v>
      </c>
    </row>
    <row r="639" spans="1:8" x14ac:dyDescent="0.2">
      <c r="A639" s="1186" t="s">
        <v>13</v>
      </c>
      <c r="B639" s="1186" t="s">
        <v>898</v>
      </c>
      <c r="C639" s="1186" t="s">
        <v>1987</v>
      </c>
      <c r="D639" s="1186" t="s">
        <v>1988</v>
      </c>
      <c r="E639" s="1186" t="s">
        <v>2031</v>
      </c>
      <c r="F639" s="1186" t="s">
        <v>2033</v>
      </c>
      <c r="G639" s="1186" t="s">
        <v>851</v>
      </c>
      <c r="H639" s="1186">
        <v>3</v>
      </c>
    </row>
    <row r="640" spans="1:8" x14ac:dyDescent="0.2">
      <c r="A640" s="1186" t="s">
        <v>13</v>
      </c>
      <c r="B640" s="1186" t="s">
        <v>898</v>
      </c>
      <c r="C640" s="1186" t="s">
        <v>1987</v>
      </c>
      <c r="D640" s="1186" t="s">
        <v>1988</v>
      </c>
      <c r="E640" s="1186" t="s">
        <v>2031</v>
      </c>
      <c r="F640" s="1186" t="s">
        <v>2033</v>
      </c>
      <c r="G640" s="1186" t="s">
        <v>852</v>
      </c>
      <c r="H640" s="1186">
        <v>4</v>
      </c>
    </row>
    <row r="641" spans="1:8" x14ac:dyDescent="0.2">
      <c r="A641" s="1186" t="s">
        <v>13</v>
      </c>
      <c r="B641" s="1186" t="s">
        <v>898</v>
      </c>
      <c r="C641" s="1186" t="s">
        <v>1987</v>
      </c>
      <c r="D641" s="1186" t="s">
        <v>1988</v>
      </c>
      <c r="E641" s="1186" t="s">
        <v>2031</v>
      </c>
      <c r="F641" s="1186" t="s">
        <v>2034</v>
      </c>
      <c r="G641" s="1186" t="s">
        <v>828</v>
      </c>
      <c r="H641" s="1186">
        <v>27</v>
      </c>
    </row>
    <row r="642" spans="1:8" x14ac:dyDescent="0.2">
      <c r="A642" s="1186" t="s">
        <v>13</v>
      </c>
      <c r="B642" s="1186" t="s">
        <v>898</v>
      </c>
      <c r="C642" s="1186" t="s">
        <v>1987</v>
      </c>
      <c r="D642" s="1186" t="s">
        <v>1988</v>
      </c>
      <c r="E642" s="1186" t="s">
        <v>2031</v>
      </c>
      <c r="F642" s="1186" t="s">
        <v>2034</v>
      </c>
      <c r="G642" s="1186" t="s">
        <v>850</v>
      </c>
      <c r="H642" s="1186">
        <v>3</v>
      </c>
    </row>
    <row r="643" spans="1:8" x14ac:dyDescent="0.2">
      <c r="A643" s="1186" t="s">
        <v>13</v>
      </c>
      <c r="B643" s="1186" t="s">
        <v>898</v>
      </c>
      <c r="C643" s="1186" t="s">
        <v>1987</v>
      </c>
      <c r="D643" s="1186" t="s">
        <v>1988</v>
      </c>
      <c r="E643" s="1186" t="s">
        <v>2031</v>
      </c>
      <c r="F643" s="1186" t="s">
        <v>2034</v>
      </c>
      <c r="G643" s="1186" t="s">
        <v>852</v>
      </c>
      <c r="H643" s="1186">
        <v>1</v>
      </c>
    </row>
    <row r="644" spans="1:8" x14ac:dyDescent="0.2">
      <c r="A644" s="1186" t="s">
        <v>13</v>
      </c>
      <c r="B644" s="1186" t="s">
        <v>898</v>
      </c>
      <c r="C644" s="1186" t="s">
        <v>1987</v>
      </c>
      <c r="D644" s="1186" t="s">
        <v>1988</v>
      </c>
      <c r="E644" s="1186" t="s">
        <v>2035</v>
      </c>
      <c r="F644" s="1186" t="s">
        <v>2032</v>
      </c>
      <c r="G644" s="1186" t="s">
        <v>828</v>
      </c>
      <c r="H644" s="1186">
        <v>2</v>
      </c>
    </row>
    <row r="645" spans="1:8" x14ac:dyDescent="0.2">
      <c r="A645" s="1186" t="s">
        <v>13</v>
      </c>
      <c r="B645" s="1186" t="s">
        <v>898</v>
      </c>
      <c r="C645" s="1186" t="s">
        <v>1987</v>
      </c>
      <c r="D645" s="1186" t="s">
        <v>1988</v>
      </c>
      <c r="E645" s="1186" t="s">
        <v>2035</v>
      </c>
      <c r="F645" s="1186" t="s">
        <v>2032</v>
      </c>
      <c r="G645" s="1186" t="s">
        <v>851</v>
      </c>
      <c r="H645" s="1186">
        <v>5</v>
      </c>
    </row>
    <row r="646" spans="1:8" x14ac:dyDescent="0.2">
      <c r="A646" s="1186" t="s">
        <v>13</v>
      </c>
      <c r="B646" s="1186" t="s">
        <v>898</v>
      </c>
      <c r="C646" s="1186" t="s">
        <v>1987</v>
      </c>
      <c r="D646" s="1186" t="s">
        <v>1988</v>
      </c>
      <c r="E646" s="1186" t="s">
        <v>2035</v>
      </c>
      <c r="F646" s="1186" t="s">
        <v>2032</v>
      </c>
      <c r="G646" s="1186" t="s">
        <v>852</v>
      </c>
      <c r="H646" s="1186">
        <v>1</v>
      </c>
    </row>
    <row r="647" spans="1:8" x14ac:dyDescent="0.2">
      <c r="A647" s="1186" t="s">
        <v>13</v>
      </c>
      <c r="B647" s="1186" t="s">
        <v>898</v>
      </c>
      <c r="C647" s="1186" t="s">
        <v>1987</v>
      </c>
      <c r="D647" s="1186" t="s">
        <v>1988</v>
      </c>
      <c r="E647" s="1186" t="s">
        <v>2035</v>
      </c>
      <c r="F647" s="1186" t="s">
        <v>2033</v>
      </c>
      <c r="G647" s="1186" t="s">
        <v>828</v>
      </c>
      <c r="H647" s="1186">
        <v>19</v>
      </c>
    </row>
    <row r="648" spans="1:8" x14ac:dyDescent="0.2">
      <c r="A648" s="1186" t="s">
        <v>13</v>
      </c>
      <c r="B648" s="1186" t="s">
        <v>898</v>
      </c>
      <c r="C648" s="1186" t="s">
        <v>1987</v>
      </c>
      <c r="D648" s="1186" t="s">
        <v>1988</v>
      </c>
      <c r="E648" s="1186" t="s">
        <v>2035</v>
      </c>
      <c r="F648" s="1186" t="s">
        <v>2033</v>
      </c>
      <c r="G648" s="1186" t="s">
        <v>850</v>
      </c>
      <c r="H648" s="1186">
        <v>31</v>
      </c>
    </row>
    <row r="649" spans="1:8" x14ac:dyDescent="0.2">
      <c r="A649" s="1186" t="s">
        <v>13</v>
      </c>
      <c r="B649" s="1186" t="s">
        <v>898</v>
      </c>
      <c r="C649" s="1186" t="s">
        <v>1987</v>
      </c>
      <c r="D649" s="1186" t="s">
        <v>1988</v>
      </c>
      <c r="E649" s="1186" t="s">
        <v>2035</v>
      </c>
      <c r="F649" s="1186" t="s">
        <v>2033</v>
      </c>
      <c r="G649" s="1186" t="s">
        <v>851</v>
      </c>
      <c r="H649" s="1186">
        <v>155</v>
      </c>
    </row>
    <row r="650" spans="1:8" x14ac:dyDescent="0.2">
      <c r="A650" s="1186" t="s">
        <v>13</v>
      </c>
      <c r="B650" s="1186" t="s">
        <v>898</v>
      </c>
      <c r="C650" s="1186" t="s">
        <v>1987</v>
      </c>
      <c r="D650" s="1186" t="s">
        <v>1988</v>
      </c>
      <c r="E650" s="1186" t="s">
        <v>2035</v>
      </c>
      <c r="F650" s="1186" t="s">
        <v>2033</v>
      </c>
      <c r="G650" s="1186" t="s">
        <v>852</v>
      </c>
      <c r="H650" s="1186">
        <v>22</v>
      </c>
    </row>
    <row r="651" spans="1:8" x14ac:dyDescent="0.2">
      <c r="A651" s="1186" t="s">
        <v>13</v>
      </c>
      <c r="B651" s="1186" t="s">
        <v>898</v>
      </c>
      <c r="C651" s="1186" t="s">
        <v>1987</v>
      </c>
      <c r="D651" s="1186" t="s">
        <v>1988</v>
      </c>
      <c r="E651" s="1186" t="s">
        <v>2035</v>
      </c>
      <c r="F651" s="1186" t="s">
        <v>2034</v>
      </c>
      <c r="G651" s="1186" t="s">
        <v>828</v>
      </c>
      <c r="H651" s="1186">
        <v>53</v>
      </c>
    </row>
    <row r="652" spans="1:8" x14ac:dyDescent="0.2">
      <c r="A652" s="1186" t="s">
        <v>13</v>
      </c>
      <c r="B652" s="1186" t="s">
        <v>898</v>
      </c>
      <c r="C652" s="1186" t="s">
        <v>1987</v>
      </c>
      <c r="D652" s="1186" t="s">
        <v>1988</v>
      </c>
      <c r="E652" s="1186" t="s">
        <v>2035</v>
      </c>
      <c r="F652" s="1186" t="s">
        <v>2034</v>
      </c>
      <c r="G652" s="1186" t="s">
        <v>850</v>
      </c>
      <c r="H652" s="1186">
        <v>17</v>
      </c>
    </row>
    <row r="653" spans="1:8" x14ac:dyDescent="0.2">
      <c r="A653" s="1186" t="s">
        <v>13</v>
      </c>
      <c r="B653" s="1186" t="s">
        <v>898</v>
      </c>
      <c r="C653" s="1186" t="s">
        <v>1987</v>
      </c>
      <c r="D653" s="1186" t="s">
        <v>1988</v>
      </c>
      <c r="E653" s="1186" t="s">
        <v>2035</v>
      </c>
      <c r="F653" s="1186" t="s">
        <v>2034</v>
      </c>
      <c r="G653" s="1186" t="s">
        <v>851</v>
      </c>
      <c r="H653" s="1186">
        <v>38</v>
      </c>
    </row>
    <row r="654" spans="1:8" x14ac:dyDescent="0.2">
      <c r="A654" s="1186" t="s">
        <v>13</v>
      </c>
      <c r="B654" s="1186" t="s">
        <v>898</v>
      </c>
      <c r="C654" s="1186" t="s">
        <v>1987</v>
      </c>
      <c r="D654" s="1186" t="s">
        <v>1988</v>
      </c>
      <c r="E654" s="1186" t="s">
        <v>2035</v>
      </c>
      <c r="F654" s="1186" t="s">
        <v>2034</v>
      </c>
      <c r="G654" s="1186" t="s">
        <v>852</v>
      </c>
      <c r="H654" s="1186">
        <v>7</v>
      </c>
    </row>
    <row r="655" spans="1:8" x14ac:dyDescent="0.2">
      <c r="A655" s="1186" t="s">
        <v>13</v>
      </c>
      <c r="B655" s="1186" t="s">
        <v>899</v>
      </c>
      <c r="C655" s="1186" t="s">
        <v>1987</v>
      </c>
      <c r="D655" s="1186" t="s">
        <v>1988</v>
      </c>
      <c r="E655" s="1186" t="s">
        <v>2031</v>
      </c>
      <c r="F655" s="1186" t="s">
        <v>2032</v>
      </c>
      <c r="G655" s="1186" t="s">
        <v>828</v>
      </c>
      <c r="H655" s="1186">
        <v>5</v>
      </c>
    </row>
    <row r="656" spans="1:8" x14ac:dyDescent="0.2">
      <c r="A656" s="1186" t="s">
        <v>13</v>
      </c>
      <c r="B656" s="1186" t="s">
        <v>899</v>
      </c>
      <c r="C656" s="1186" t="s">
        <v>1987</v>
      </c>
      <c r="D656" s="1186" t="s">
        <v>1988</v>
      </c>
      <c r="E656" s="1186" t="s">
        <v>2031</v>
      </c>
      <c r="F656" s="1186" t="s">
        <v>2033</v>
      </c>
      <c r="G656" s="1186" t="s">
        <v>828</v>
      </c>
      <c r="H656" s="1186">
        <v>114</v>
      </c>
    </row>
    <row r="657" spans="1:8" x14ac:dyDescent="0.2">
      <c r="A657" s="1186" t="s">
        <v>13</v>
      </c>
      <c r="B657" s="1186" t="s">
        <v>899</v>
      </c>
      <c r="C657" s="1186" t="s">
        <v>1987</v>
      </c>
      <c r="D657" s="1186" t="s">
        <v>1988</v>
      </c>
      <c r="E657" s="1186" t="s">
        <v>2031</v>
      </c>
      <c r="F657" s="1186" t="s">
        <v>2033</v>
      </c>
      <c r="G657" s="1186" t="s">
        <v>850</v>
      </c>
      <c r="H657" s="1186">
        <v>13</v>
      </c>
    </row>
    <row r="658" spans="1:8" x14ac:dyDescent="0.2">
      <c r="A658" s="1186" t="s">
        <v>13</v>
      </c>
      <c r="B658" s="1186" t="s">
        <v>899</v>
      </c>
      <c r="C658" s="1186" t="s">
        <v>1987</v>
      </c>
      <c r="D658" s="1186" t="s">
        <v>1988</v>
      </c>
      <c r="E658" s="1186" t="s">
        <v>2031</v>
      </c>
      <c r="F658" s="1186" t="s">
        <v>2033</v>
      </c>
      <c r="G658" s="1186" t="s">
        <v>851</v>
      </c>
      <c r="H658" s="1186">
        <v>2</v>
      </c>
    </row>
    <row r="659" spans="1:8" x14ac:dyDescent="0.2">
      <c r="A659" s="1186" t="s">
        <v>13</v>
      </c>
      <c r="B659" s="1186" t="s">
        <v>899</v>
      </c>
      <c r="C659" s="1186" t="s">
        <v>1987</v>
      </c>
      <c r="D659" s="1186" t="s">
        <v>1988</v>
      </c>
      <c r="E659" s="1186" t="s">
        <v>2031</v>
      </c>
      <c r="F659" s="1186" t="s">
        <v>2034</v>
      </c>
      <c r="G659" s="1186" t="s">
        <v>828</v>
      </c>
      <c r="H659" s="1186">
        <v>36</v>
      </c>
    </row>
    <row r="660" spans="1:8" x14ac:dyDescent="0.2">
      <c r="A660" s="1186" t="s">
        <v>13</v>
      </c>
      <c r="B660" s="1186" t="s">
        <v>899</v>
      </c>
      <c r="C660" s="1186" t="s">
        <v>1987</v>
      </c>
      <c r="D660" s="1186" t="s">
        <v>1988</v>
      </c>
      <c r="E660" s="1186" t="s">
        <v>2031</v>
      </c>
      <c r="F660" s="1186" t="s">
        <v>2034</v>
      </c>
      <c r="G660" s="1186" t="s">
        <v>850</v>
      </c>
      <c r="H660" s="1186">
        <v>1</v>
      </c>
    </row>
    <row r="661" spans="1:8" x14ac:dyDescent="0.2">
      <c r="A661" s="1186" t="s">
        <v>13</v>
      </c>
      <c r="B661" s="1186" t="s">
        <v>899</v>
      </c>
      <c r="C661" s="1186" t="s">
        <v>1987</v>
      </c>
      <c r="D661" s="1186" t="s">
        <v>1988</v>
      </c>
      <c r="E661" s="1186" t="s">
        <v>2035</v>
      </c>
      <c r="F661" s="1186" t="s">
        <v>2032</v>
      </c>
      <c r="G661" s="1186" t="s">
        <v>828</v>
      </c>
      <c r="H661" s="1186">
        <v>5</v>
      </c>
    </row>
    <row r="662" spans="1:8" x14ac:dyDescent="0.2">
      <c r="A662" s="1186" t="s">
        <v>13</v>
      </c>
      <c r="B662" s="1186" t="s">
        <v>899</v>
      </c>
      <c r="C662" s="1186" t="s">
        <v>1987</v>
      </c>
      <c r="D662" s="1186" t="s">
        <v>1988</v>
      </c>
      <c r="E662" s="1186" t="s">
        <v>2035</v>
      </c>
      <c r="F662" s="1186" t="s">
        <v>2032</v>
      </c>
      <c r="G662" s="1186" t="s">
        <v>851</v>
      </c>
      <c r="H662" s="1186">
        <v>10</v>
      </c>
    </row>
    <row r="663" spans="1:8" x14ac:dyDescent="0.2">
      <c r="A663" s="1186" t="s">
        <v>13</v>
      </c>
      <c r="B663" s="1186" t="s">
        <v>899</v>
      </c>
      <c r="C663" s="1186" t="s">
        <v>1987</v>
      </c>
      <c r="D663" s="1186" t="s">
        <v>1988</v>
      </c>
      <c r="E663" s="1186" t="s">
        <v>2035</v>
      </c>
      <c r="F663" s="1186" t="s">
        <v>2032</v>
      </c>
      <c r="G663" s="1186" t="s">
        <v>852</v>
      </c>
      <c r="H663" s="1186">
        <v>4</v>
      </c>
    </row>
    <row r="664" spans="1:8" x14ac:dyDescent="0.2">
      <c r="A664" s="1186" t="s">
        <v>13</v>
      </c>
      <c r="B664" s="1186" t="s">
        <v>899</v>
      </c>
      <c r="C664" s="1186" t="s">
        <v>1987</v>
      </c>
      <c r="D664" s="1186" t="s">
        <v>1988</v>
      </c>
      <c r="E664" s="1186" t="s">
        <v>2035</v>
      </c>
      <c r="F664" s="1186" t="s">
        <v>2033</v>
      </c>
      <c r="G664" s="1186" t="s">
        <v>828</v>
      </c>
      <c r="H664" s="1186">
        <v>14</v>
      </c>
    </row>
    <row r="665" spans="1:8" x14ac:dyDescent="0.2">
      <c r="A665" s="1186" t="s">
        <v>13</v>
      </c>
      <c r="B665" s="1186" t="s">
        <v>899</v>
      </c>
      <c r="C665" s="1186" t="s">
        <v>1987</v>
      </c>
      <c r="D665" s="1186" t="s">
        <v>1988</v>
      </c>
      <c r="E665" s="1186" t="s">
        <v>2035</v>
      </c>
      <c r="F665" s="1186" t="s">
        <v>2033</v>
      </c>
      <c r="G665" s="1186" t="s">
        <v>850</v>
      </c>
      <c r="H665" s="1186">
        <v>10</v>
      </c>
    </row>
    <row r="666" spans="1:8" x14ac:dyDescent="0.2">
      <c r="A666" s="1186" t="s">
        <v>13</v>
      </c>
      <c r="B666" s="1186" t="s">
        <v>899</v>
      </c>
      <c r="C666" s="1186" t="s">
        <v>1987</v>
      </c>
      <c r="D666" s="1186" t="s">
        <v>1988</v>
      </c>
      <c r="E666" s="1186" t="s">
        <v>2035</v>
      </c>
      <c r="F666" s="1186" t="s">
        <v>2033</v>
      </c>
      <c r="G666" s="1186" t="s">
        <v>851</v>
      </c>
      <c r="H666" s="1186">
        <v>131</v>
      </c>
    </row>
    <row r="667" spans="1:8" x14ac:dyDescent="0.2">
      <c r="A667" s="1186" t="s">
        <v>13</v>
      </c>
      <c r="B667" s="1186" t="s">
        <v>899</v>
      </c>
      <c r="C667" s="1186" t="s">
        <v>1987</v>
      </c>
      <c r="D667" s="1186" t="s">
        <v>1988</v>
      </c>
      <c r="E667" s="1186" t="s">
        <v>2035</v>
      </c>
      <c r="F667" s="1186" t="s">
        <v>2033</v>
      </c>
      <c r="G667" s="1186" t="s">
        <v>852</v>
      </c>
      <c r="H667" s="1186">
        <v>17</v>
      </c>
    </row>
    <row r="668" spans="1:8" x14ac:dyDescent="0.2">
      <c r="A668" s="1186" t="s">
        <v>13</v>
      </c>
      <c r="B668" s="1186" t="s">
        <v>899</v>
      </c>
      <c r="C668" s="1186" t="s">
        <v>1987</v>
      </c>
      <c r="D668" s="1186" t="s">
        <v>1988</v>
      </c>
      <c r="E668" s="1186" t="s">
        <v>2035</v>
      </c>
      <c r="F668" s="1186" t="s">
        <v>2034</v>
      </c>
      <c r="G668" s="1186" t="s">
        <v>828</v>
      </c>
      <c r="H668" s="1186">
        <v>42</v>
      </c>
    </row>
    <row r="669" spans="1:8" x14ac:dyDescent="0.2">
      <c r="A669" s="1186" t="s">
        <v>13</v>
      </c>
      <c r="B669" s="1186" t="s">
        <v>899</v>
      </c>
      <c r="C669" s="1186" t="s">
        <v>1987</v>
      </c>
      <c r="D669" s="1186" t="s">
        <v>1988</v>
      </c>
      <c r="E669" s="1186" t="s">
        <v>2035</v>
      </c>
      <c r="F669" s="1186" t="s">
        <v>2034</v>
      </c>
      <c r="G669" s="1186" t="s">
        <v>850</v>
      </c>
      <c r="H669" s="1186">
        <v>23</v>
      </c>
    </row>
    <row r="670" spans="1:8" x14ac:dyDescent="0.2">
      <c r="A670" s="1186" t="s">
        <v>13</v>
      </c>
      <c r="B670" s="1186" t="s">
        <v>899</v>
      </c>
      <c r="C670" s="1186" t="s">
        <v>1987</v>
      </c>
      <c r="D670" s="1186" t="s">
        <v>1988</v>
      </c>
      <c r="E670" s="1186" t="s">
        <v>2035</v>
      </c>
      <c r="F670" s="1186" t="s">
        <v>2034</v>
      </c>
      <c r="G670" s="1186" t="s">
        <v>851</v>
      </c>
      <c r="H670" s="1186">
        <v>9</v>
      </c>
    </row>
    <row r="671" spans="1:8" x14ac:dyDescent="0.2">
      <c r="A671" s="1186" t="s">
        <v>13</v>
      </c>
      <c r="B671" s="1186" t="s">
        <v>899</v>
      </c>
      <c r="C671" s="1186" t="s">
        <v>1987</v>
      </c>
      <c r="D671" s="1186" t="s">
        <v>1988</v>
      </c>
      <c r="E671" s="1186" t="s">
        <v>2035</v>
      </c>
      <c r="F671" s="1186" t="s">
        <v>2034</v>
      </c>
      <c r="G671" s="1186" t="s">
        <v>852</v>
      </c>
      <c r="H671" s="1186">
        <v>8</v>
      </c>
    </row>
    <row r="672" spans="1:8" x14ac:dyDescent="0.2">
      <c r="A672" s="1186" t="s">
        <v>13</v>
      </c>
      <c r="B672" s="1186" t="s">
        <v>900</v>
      </c>
      <c r="C672" s="1186" t="s">
        <v>1981</v>
      </c>
      <c r="D672" s="1186" t="s">
        <v>1988</v>
      </c>
      <c r="E672" s="1186" t="s">
        <v>2031</v>
      </c>
      <c r="F672" s="1186" t="s">
        <v>2032</v>
      </c>
      <c r="G672" s="1186" t="s">
        <v>828</v>
      </c>
      <c r="H672" s="1186">
        <v>7</v>
      </c>
    </row>
    <row r="673" spans="1:8" x14ac:dyDescent="0.2">
      <c r="A673" s="1186" t="s">
        <v>13</v>
      </c>
      <c r="B673" s="1186" t="s">
        <v>900</v>
      </c>
      <c r="C673" s="1186" t="s">
        <v>1981</v>
      </c>
      <c r="D673" s="1186" t="s">
        <v>1988</v>
      </c>
      <c r="E673" s="1186" t="s">
        <v>2031</v>
      </c>
      <c r="F673" s="1186" t="s">
        <v>2032</v>
      </c>
      <c r="G673" s="1186" t="s">
        <v>851</v>
      </c>
      <c r="H673" s="1186">
        <v>2</v>
      </c>
    </row>
    <row r="674" spans="1:8" x14ac:dyDescent="0.2">
      <c r="A674" s="1186" t="s">
        <v>13</v>
      </c>
      <c r="B674" s="1186" t="s">
        <v>900</v>
      </c>
      <c r="C674" s="1186" t="s">
        <v>1981</v>
      </c>
      <c r="D674" s="1186" t="s">
        <v>1988</v>
      </c>
      <c r="E674" s="1186" t="s">
        <v>2031</v>
      </c>
      <c r="F674" s="1186" t="s">
        <v>2033</v>
      </c>
      <c r="G674" s="1186" t="s">
        <v>828</v>
      </c>
      <c r="H674" s="1186">
        <v>101</v>
      </c>
    </row>
    <row r="675" spans="1:8" x14ac:dyDescent="0.2">
      <c r="A675" s="1186" t="s">
        <v>13</v>
      </c>
      <c r="B675" s="1186" t="s">
        <v>900</v>
      </c>
      <c r="C675" s="1186" t="s">
        <v>1981</v>
      </c>
      <c r="D675" s="1186" t="s">
        <v>1988</v>
      </c>
      <c r="E675" s="1186" t="s">
        <v>2031</v>
      </c>
      <c r="F675" s="1186" t="s">
        <v>2033</v>
      </c>
      <c r="G675" s="1186" t="s">
        <v>850</v>
      </c>
      <c r="H675" s="1186">
        <v>6</v>
      </c>
    </row>
    <row r="676" spans="1:8" x14ac:dyDescent="0.2">
      <c r="A676" s="1186" t="s">
        <v>13</v>
      </c>
      <c r="B676" s="1186" t="s">
        <v>900</v>
      </c>
      <c r="C676" s="1186" t="s">
        <v>1981</v>
      </c>
      <c r="D676" s="1186" t="s">
        <v>1988</v>
      </c>
      <c r="E676" s="1186" t="s">
        <v>2031</v>
      </c>
      <c r="F676" s="1186" t="s">
        <v>2033</v>
      </c>
      <c r="G676" s="1186" t="s">
        <v>851</v>
      </c>
      <c r="H676" s="1186">
        <v>11</v>
      </c>
    </row>
    <row r="677" spans="1:8" x14ac:dyDescent="0.2">
      <c r="A677" s="1186" t="s">
        <v>13</v>
      </c>
      <c r="B677" s="1186" t="s">
        <v>900</v>
      </c>
      <c r="C677" s="1186" t="s">
        <v>1981</v>
      </c>
      <c r="D677" s="1186" t="s">
        <v>1988</v>
      </c>
      <c r="E677" s="1186" t="s">
        <v>2031</v>
      </c>
      <c r="F677" s="1186" t="s">
        <v>2033</v>
      </c>
      <c r="G677" s="1186" t="s">
        <v>852</v>
      </c>
      <c r="H677" s="1186">
        <v>8</v>
      </c>
    </row>
    <row r="678" spans="1:8" x14ac:dyDescent="0.2">
      <c r="A678" s="1186" t="s">
        <v>13</v>
      </c>
      <c r="B678" s="1186" t="s">
        <v>900</v>
      </c>
      <c r="C678" s="1186" t="s">
        <v>1981</v>
      </c>
      <c r="D678" s="1186" t="s">
        <v>1988</v>
      </c>
      <c r="E678" s="1186" t="s">
        <v>2031</v>
      </c>
      <c r="F678" s="1186" t="s">
        <v>2034</v>
      </c>
      <c r="G678" s="1186" t="s">
        <v>828</v>
      </c>
      <c r="H678" s="1186">
        <v>35</v>
      </c>
    </row>
    <row r="679" spans="1:8" x14ac:dyDescent="0.2">
      <c r="A679" s="1186" t="s">
        <v>13</v>
      </c>
      <c r="B679" s="1186" t="s">
        <v>900</v>
      </c>
      <c r="C679" s="1186" t="s">
        <v>1981</v>
      </c>
      <c r="D679" s="1186" t="s">
        <v>1988</v>
      </c>
      <c r="E679" s="1186" t="s">
        <v>2031</v>
      </c>
      <c r="F679" s="1186" t="s">
        <v>2034</v>
      </c>
      <c r="G679" s="1186" t="s">
        <v>850</v>
      </c>
      <c r="H679" s="1186">
        <v>1</v>
      </c>
    </row>
    <row r="680" spans="1:8" x14ac:dyDescent="0.2">
      <c r="A680" s="1186" t="s">
        <v>13</v>
      </c>
      <c r="B680" s="1186" t="s">
        <v>900</v>
      </c>
      <c r="C680" s="1186" t="s">
        <v>1981</v>
      </c>
      <c r="D680" s="1186" t="s">
        <v>1988</v>
      </c>
      <c r="E680" s="1186" t="s">
        <v>2035</v>
      </c>
      <c r="F680" s="1186" t="s">
        <v>2032</v>
      </c>
      <c r="G680" s="1186" t="s">
        <v>828</v>
      </c>
      <c r="H680" s="1186">
        <v>3</v>
      </c>
    </row>
    <row r="681" spans="1:8" x14ac:dyDescent="0.2">
      <c r="A681" s="1186" t="s">
        <v>13</v>
      </c>
      <c r="B681" s="1186" t="s">
        <v>900</v>
      </c>
      <c r="C681" s="1186" t="s">
        <v>1981</v>
      </c>
      <c r="D681" s="1186" t="s">
        <v>1988</v>
      </c>
      <c r="E681" s="1186" t="s">
        <v>2035</v>
      </c>
      <c r="F681" s="1186" t="s">
        <v>2032</v>
      </c>
      <c r="G681" s="1186" t="s">
        <v>851</v>
      </c>
      <c r="H681" s="1186">
        <v>12</v>
      </c>
    </row>
    <row r="682" spans="1:8" x14ac:dyDescent="0.2">
      <c r="A682" s="1186" t="s">
        <v>13</v>
      </c>
      <c r="B682" s="1186" t="s">
        <v>900</v>
      </c>
      <c r="C682" s="1186" t="s">
        <v>1981</v>
      </c>
      <c r="D682" s="1186" t="s">
        <v>1988</v>
      </c>
      <c r="E682" s="1186" t="s">
        <v>2035</v>
      </c>
      <c r="F682" s="1186" t="s">
        <v>2032</v>
      </c>
      <c r="G682" s="1186" t="s">
        <v>852</v>
      </c>
      <c r="H682" s="1186">
        <v>7</v>
      </c>
    </row>
    <row r="683" spans="1:8" x14ac:dyDescent="0.2">
      <c r="A683" s="1186" t="s">
        <v>13</v>
      </c>
      <c r="B683" s="1186" t="s">
        <v>900</v>
      </c>
      <c r="C683" s="1186" t="s">
        <v>1981</v>
      </c>
      <c r="D683" s="1186" t="s">
        <v>1988</v>
      </c>
      <c r="E683" s="1186" t="s">
        <v>2035</v>
      </c>
      <c r="F683" s="1186" t="s">
        <v>2033</v>
      </c>
      <c r="G683" s="1186" t="s">
        <v>828</v>
      </c>
      <c r="H683" s="1186">
        <v>16</v>
      </c>
    </row>
    <row r="684" spans="1:8" x14ac:dyDescent="0.2">
      <c r="A684" s="1186" t="s">
        <v>13</v>
      </c>
      <c r="B684" s="1186" t="s">
        <v>900</v>
      </c>
      <c r="C684" s="1186" t="s">
        <v>1981</v>
      </c>
      <c r="D684" s="1186" t="s">
        <v>1988</v>
      </c>
      <c r="E684" s="1186" t="s">
        <v>2035</v>
      </c>
      <c r="F684" s="1186" t="s">
        <v>2033</v>
      </c>
      <c r="G684" s="1186" t="s">
        <v>850</v>
      </c>
      <c r="H684" s="1186">
        <v>16</v>
      </c>
    </row>
    <row r="685" spans="1:8" x14ac:dyDescent="0.2">
      <c r="A685" s="1186" t="s">
        <v>13</v>
      </c>
      <c r="B685" s="1186" t="s">
        <v>900</v>
      </c>
      <c r="C685" s="1186" t="s">
        <v>1981</v>
      </c>
      <c r="D685" s="1186" t="s">
        <v>1988</v>
      </c>
      <c r="E685" s="1186" t="s">
        <v>2035</v>
      </c>
      <c r="F685" s="1186" t="s">
        <v>2033</v>
      </c>
      <c r="G685" s="1186" t="s">
        <v>851</v>
      </c>
      <c r="H685" s="1186">
        <v>142</v>
      </c>
    </row>
    <row r="686" spans="1:8" x14ac:dyDescent="0.2">
      <c r="A686" s="1186" t="s">
        <v>13</v>
      </c>
      <c r="B686" s="1186" t="s">
        <v>900</v>
      </c>
      <c r="C686" s="1186" t="s">
        <v>1981</v>
      </c>
      <c r="D686" s="1186" t="s">
        <v>1988</v>
      </c>
      <c r="E686" s="1186" t="s">
        <v>2035</v>
      </c>
      <c r="F686" s="1186" t="s">
        <v>2033</v>
      </c>
      <c r="G686" s="1186" t="s">
        <v>852</v>
      </c>
      <c r="H686" s="1186">
        <v>16</v>
      </c>
    </row>
    <row r="687" spans="1:8" x14ac:dyDescent="0.2">
      <c r="A687" s="1186" t="s">
        <v>13</v>
      </c>
      <c r="B687" s="1186" t="s">
        <v>900</v>
      </c>
      <c r="C687" s="1186" t="s">
        <v>1981</v>
      </c>
      <c r="D687" s="1186" t="s">
        <v>1988</v>
      </c>
      <c r="E687" s="1186" t="s">
        <v>2035</v>
      </c>
      <c r="F687" s="1186" t="s">
        <v>2034</v>
      </c>
      <c r="G687" s="1186" t="s">
        <v>828</v>
      </c>
      <c r="H687" s="1186">
        <v>48</v>
      </c>
    </row>
    <row r="688" spans="1:8" x14ac:dyDescent="0.2">
      <c r="A688" s="1186" t="s">
        <v>13</v>
      </c>
      <c r="B688" s="1186" t="s">
        <v>900</v>
      </c>
      <c r="C688" s="1186" t="s">
        <v>1981</v>
      </c>
      <c r="D688" s="1186" t="s">
        <v>1988</v>
      </c>
      <c r="E688" s="1186" t="s">
        <v>2035</v>
      </c>
      <c r="F688" s="1186" t="s">
        <v>2034</v>
      </c>
      <c r="G688" s="1186" t="s">
        <v>850</v>
      </c>
      <c r="H688" s="1186">
        <v>26</v>
      </c>
    </row>
    <row r="689" spans="1:8" x14ac:dyDescent="0.2">
      <c r="A689" s="1186" t="s">
        <v>13</v>
      </c>
      <c r="B689" s="1186" t="s">
        <v>900</v>
      </c>
      <c r="C689" s="1186" t="s">
        <v>1981</v>
      </c>
      <c r="D689" s="1186" t="s">
        <v>1988</v>
      </c>
      <c r="E689" s="1186" t="s">
        <v>2035</v>
      </c>
      <c r="F689" s="1186" t="s">
        <v>2034</v>
      </c>
      <c r="G689" s="1186" t="s">
        <v>851</v>
      </c>
      <c r="H689" s="1186">
        <v>23</v>
      </c>
    </row>
    <row r="690" spans="1:8" x14ac:dyDescent="0.2">
      <c r="A690" s="1186" t="s">
        <v>13</v>
      </c>
      <c r="B690" s="1186" t="s">
        <v>900</v>
      </c>
      <c r="C690" s="1186" t="s">
        <v>1981</v>
      </c>
      <c r="D690" s="1186" t="s">
        <v>1988</v>
      </c>
      <c r="E690" s="1186" t="s">
        <v>2035</v>
      </c>
      <c r="F690" s="1186" t="s">
        <v>2034</v>
      </c>
      <c r="G690" s="1186" t="s">
        <v>852</v>
      </c>
      <c r="H690" s="1186">
        <v>23</v>
      </c>
    </row>
    <row r="691" spans="1:8" x14ac:dyDescent="0.2">
      <c r="A691" s="1186" t="s">
        <v>15</v>
      </c>
      <c r="B691" s="1186" t="s">
        <v>901</v>
      </c>
      <c r="C691" s="1186" t="s">
        <v>1981</v>
      </c>
      <c r="D691" s="1186" t="s">
        <v>1982</v>
      </c>
      <c r="E691" s="1186" t="s">
        <v>2031</v>
      </c>
      <c r="F691" s="1186" t="s">
        <v>2032</v>
      </c>
      <c r="G691" s="1186" t="s">
        <v>828</v>
      </c>
      <c r="H691" s="1186">
        <v>3</v>
      </c>
    </row>
    <row r="692" spans="1:8" x14ac:dyDescent="0.2">
      <c r="A692" s="1186" t="s">
        <v>15</v>
      </c>
      <c r="B692" s="1186" t="s">
        <v>901</v>
      </c>
      <c r="C692" s="1186" t="s">
        <v>1981</v>
      </c>
      <c r="D692" s="1186" t="s">
        <v>1982</v>
      </c>
      <c r="E692" s="1186" t="s">
        <v>2031</v>
      </c>
      <c r="F692" s="1186" t="s">
        <v>2033</v>
      </c>
      <c r="G692" s="1186" t="s">
        <v>828</v>
      </c>
      <c r="H692" s="1186">
        <v>82</v>
      </c>
    </row>
    <row r="693" spans="1:8" x14ac:dyDescent="0.2">
      <c r="A693" s="1186" t="s">
        <v>15</v>
      </c>
      <c r="B693" s="1186" t="s">
        <v>901</v>
      </c>
      <c r="C693" s="1186" t="s">
        <v>1981</v>
      </c>
      <c r="D693" s="1186" t="s">
        <v>1982</v>
      </c>
      <c r="E693" s="1186" t="s">
        <v>2031</v>
      </c>
      <c r="F693" s="1186" t="s">
        <v>2033</v>
      </c>
      <c r="G693" s="1186" t="s">
        <v>850</v>
      </c>
      <c r="H693" s="1186">
        <v>2</v>
      </c>
    </row>
    <row r="694" spans="1:8" x14ac:dyDescent="0.2">
      <c r="A694" s="1186" t="s">
        <v>15</v>
      </c>
      <c r="B694" s="1186" t="s">
        <v>901</v>
      </c>
      <c r="C694" s="1186" t="s">
        <v>1981</v>
      </c>
      <c r="D694" s="1186" t="s">
        <v>1982</v>
      </c>
      <c r="E694" s="1186" t="s">
        <v>2031</v>
      </c>
      <c r="F694" s="1186" t="s">
        <v>2033</v>
      </c>
      <c r="G694" s="1186" t="s">
        <v>851</v>
      </c>
      <c r="H694" s="1186">
        <v>5</v>
      </c>
    </row>
    <row r="695" spans="1:8" x14ac:dyDescent="0.2">
      <c r="A695" s="1186" t="s">
        <v>15</v>
      </c>
      <c r="B695" s="1186" t="s">
        <v>901</v>
      </c>
      <c r="C695" s="1186" t="s">
        <v>1981</v>
      </c>
      <c r="D695" s="1186" t="s">
        <v>1982</v>
      </c>
      <c r="E695" s="1186" t="s">
        <v>2031</v>
      </c>
      <c r="F695" s="1186" t="s">
        <v>2033</v>
      </c>
      <c r="G695" s="1186" t="s">
        <v>852</v>
      </c>
      <c r="H695" s="1186">
        <v>2</v>
      </c>
    </row>
    <row r="696" spans="1:8" x14ac:dyDescent="0.2">
      <c r="A696" s="1186" t="s">
        <v>15</v>
      </c>
      <c r="B696" s="1186" t="s">
        <v>901</v>
      </c>
      <c r="C696" s="1186" t="s">
        <v>1981</v>
      </c>
      <c r="D696" s="1186" t="s">
        <v>1982</v>
      </c>
      <c r="E696" s="1186" t="s">
        <v>2031</v>
      </c>
      <c r="F696" s="1186" t="s">
        <v>2034</v>
      </c>
      <c r="G696" s="1186" t="s">
        <v>828</v>
      </c>
      <c r="H696" s="1186">
        <v>42</v>
      </c>
    </row>
    <row r="697" spans="1:8" x14ac:dyDescent="0.2">
      <c r="A697" s="1186" t="s">
        <v>15</v>
      </c>
      <c r="B697" s="1186" t="s">
        <v>901</v>
      </c>
      <c r="C697" s="1186" t="s">
        <v>1981</v>
      </c>
      <c r="D697" s="1186" t="s">
        <v>1982</v>
      </c>
      <c r="E697" s="1186" t="s">
        <v>2031</v>
      </c>
      <c r="F697" s="1186" t="s">
        <v>2034</v>
      </c>
      <c r="G697" s="1186" t="s">
        <v>850</v>
      </c>
      <c r="H697" s="1186">
        <v>2</v>
      </c>
    </row>
    <row r="698" spans="1:8" x14ac:dyDescent="0.2">
      <c r="A698" s="1186" t="s">
        <v>15</v>
      </c>
      <c r="B698" s="1186" t="s">
        <v>901</v>
      </c>
      <c r="C698" s="1186" t="s">
        <v>1981</v>
      </c>
      <c r="D698" s="1186" t="s">
        <v>1982</v>
      </c>
      <c r="E698" s="1186" t="s">
        <v>2035</v>
      </c>
      <c r="F698" s="1186" t="s">
        <v>2032</v>
      </c>
      <c r="G698" s="1186" t="s">
        <v>851</v>
      </c>
      <c r="H698" s="1186">
        <v>7</v>
      </c>
    </row>
    <row r="699" spans="1:8" x14ac:dyDescent="0.2">
      <c r="A699" s="1186" t="s">
        <v>15</v>
      </c>
      <c r="B699" s="1186" t="s">
        <v>901</v>
      </c>
      <c r="C699" s="1186" t="s">
        <v>1981</v>
      </c>
      <c r="D699" s="1186" t="s">
        <v>1982</v>
      </c>
      <c r="E699" s="1186" t="s">
        <v>2035</v>
      </c>
      <c r="F699" s="1186" t="s">
        <v>2032</v>
      </c>
      <c r="G699" s="1186" t="s">
        <v>852</v>
      </c>
      <c r="H699" s="1186">
        <v>3</v>
      </c>
    </row>
    <row r="700" spans="1:8" x14ac:dyDescent="0.2">
      <c r="A700" s="1186" t="s">
        <v>15</v>
      </c>
      <c r="B700" s="1186" t="s">
        <v>901</v>
      </c>
      <c r="C700" s="1186" t="s">
        <v>1981</v>
      </c>
      <c r="D700" s="1186" t="s">
        <v>1982</v>
      </c>
      <c r="E700" s="1186" t="s">
        <v>2035</v>
      </c>
      <c r="F700" s="1186" t="s">
        <v>2033</v>
      </c>
      <c r="G700" s="1186" t="s">
        <v>828</v>
      </c>
      <c r="H700" s="1186">
        <v>23</v>
      </c>
    </row>
    <row r="701" spans="1:8" x14ac:dyDescent="0.2">
      <c r="A701" s="1186" t="s">
        <v>15</v>
      </c>
      <c r="B701" s="1186" t="s">
        <v>901</v>
      </c>
      <c r="C701" s="1186" t="s">
        <v>1981</v>
      </c>
      <c r="D701" s="1186" t="s">
        <v>1982</v>
      </c>
      <c r="E701" s="1186" t="s">
        <v>2035</v>
      </c>
      <c r="F701" s="1186" t="s">
        <v>2033</v>
      </c>
      <c r="G701" s="1186" t="s">
        <v>850</v>
      </c>
      <c r="H701" s="1186">
        <v>8</v>
      </c>
    </row>
    <row r="702" spans="1:8" x14ac:dyDescent="0.2">
      <c r="A702" s="1186" t="s">
        <v>15</v>
      </c>
      <c r="B702" s="1186" t="s">
        <v>901</v>
      </c>
      <c r="C702" s="1186" t="s">
        <v>1981</v>
      </c>
      <c r="D702" s="1186" t="s">
        <v>1982</v>
      </c>
      <c r="E702" s="1186" t="s">
        <v>2035</v>
      </c>
      <c r="F702" s="1186" t="s">
        <v>2033</v>
      </c>
      <c r="G702" s="1186" t="s">
        <v>851</v>
      </c>
      <c r="H702" s="1186">
        <v>126</v>
      </c>
    </row>
    <row r="703" spans="1:8" x14ac:dyDescent="0.2">
      <c r="A703" s="1186" t="s">
        <v>15</v>
      </c>
      <c r="B703" s="1186" t="s">
        <v>901</v>
      </c>
      <c r="C703" s="1186" t="s">
        <v>1981</v>
      </c>
      <c r="D703" s="1186" t="s">
        <v>1982</v>
      </c>
      <c r="E703" s="1186" t="s">
        <v>2035</v>
      </c>
      <c r="F703" s="1186" t="s">
        <v>2033</v>
      </c>
      <c r="G703" s="1186" t="s">
        <v>852</v>
      </c>
      <c r="H703" s="1186">
        <v>10</v>
      </c>
    </row>
    <row r="704" spans="1:8" x14ac:dyDescent="0.2">
      <c r="A704" s="1186" t="s">
        <v>15</v>
      </c>
      <c r="B704" s="1186" t="s">
        <v>901</v>
      </c>
      <c r="C704" s="1186" t="s">
        <v>1981</v>
      </c>
      <c r="D704" s="1186" t="s">
        <v>1982</v>
      </c>
      <c r="E704" s="1186" t="s">
        <v>2035</v>
      </c>
      <c r="F704" s="1186" t="s">
        <v>2034</v>
      </c>
      <c r="G704" s="1186" t="s">
        <v>828</v>
      </c>
      <c r="H704" s="1186">
        <v>61</v>
      </c>
    </row>
    <row r="705" spans="1:8" x14ac:dyDescent="0.2">
      <c r="A705" s="1186" t="s">
        <v>15</v>
      </c>
      <c r="B705" s="1186" t="s">
        <v>901</v>
      </c>
      <c r="C705" s="1186" t="s">
        <v>1981</v>
      </c>
      <c r="D705" s="1186" t="s">
        <v>1982</v>
      </c>
      <c r="E705" s="1186" t="s">
        <v>2035</v>
      </c>
      <c r="F705" s="1186" t="s">
        <v>2034</v>
      </c>
      <c r="G705" s="1186" t="s">
        <v>850</v>
      </c>
      <c r="H705" s="1186">
        <v>31</v>
      </c>
    </row>
    <row r="706" spans="1:8" x14ac:dyDescent="0.2">
      <c r="A706" s="1186" t="s">
        <v>15</v>
      </c>
      <c r="B706" s="1186" t="s">
        <v>901</v>
      </c>
      <c r="C706" s="1186" t="s">
        <v>1981</v>
      </c>
      <c r="D706" s="1186" t="s">
        <v>1982</v>
      </c>
      <c r="E706" s="1186" t="s">
        <v>2035</v>
      </c>
      <c r="F706" s="1186" t="s">
        <v>2034</v>
      </c>
      <c r="G706" s="1186" t="s">
        <v>851</v>
      </c>
      <c r="H706" s="1186">
        <v>23</v>
      </c>
    </row>
    <row r="707" spans="1:8" x14ac:dyDescent="0.2">
      <c r="A707" s="1186" t="s">
        <v>15</v>
      </c>
      <c r="B707" s="1186" t="s">
        <v>901</v>
      </c>
      <c r="C707" s="1186" t="s">
        <v>1981</v>
      </c>
      <c r="D707" s="1186" t="s">
        <v>1982</v>
      </c>
      <c r="E707" s="1186" t="s">
        <v>2035</v>
      </c>
      <c r="F707" s="1186" t="s">
        <v>2034</v>
      </c>
      <c r="G707" s="1186" t="s">
        <v>852</v>
      </c>
      <c r="H707" s="1186">
        <v>25</v>
      </c>
    </row>
    <row r="708" spans="1:8" x14ac:dyDescent="0.2">
      <c r="A708" s="1186" t="s">
        <v>15</v>
      </c>
      <c r="B708" s="1186" t="s">
        <v>902</v>
      </c>
      <c r="C708" s="1186" t="s">
        <v>1981</v>
      </c>
      <c r="D708" s="1186" t="s">
        <v>1982</v>
      </c>
      <c r="E708" s="1186" t="s">
        <v>2031</v>
      </c>
      <c r="F708" s="1186" t="s">
        <v>2032</v>
      </c>
      <c r="G708" s="1186" t="s">
        <v>828</v>
      </c>
      <c r="H708" s="1186">
        <v>4</v>
      </c>
    </row>
    <row r="709" spans="1:8" x14ac:dyDescent="0.2">
      <c r="A709" s="1186" t="s">
        <v>15</v>
      </c>
      <c r="B709" s="1186" t="s">
        <v>902</v>
      </c>
      <c r="C709" s="1186" t="s">
        <v>1981</v>
      </c>
      <c r="D709" s="1186" t="s">
        <v>1982</v>
      </c>
      <c r="E709" s="1186" t="s">
        <v>2031</v>
      </c>
      <c r="F709" s="1186" t="s">
        <v>2032</v>
      </c>
      <c r="G709" s="1186" t="s">
        <v>851</v>
      </c>
      <c r="H709" s="1186">
        <v>1</v>
      </c>
    </row>
    <row r="710" spans="1:8" x14ac:dyDescent="0.2">
      <c r="A710" s="1186" t="s">
        <v>15</v>
      </c>
      <c r="B710" s="1186" t="s">
        <v>902</v>
      </c>
      <c r="C710" s="1186" t="s">
        <v>1981</v>
      </c>
      <c r="D710" s="1186" t="s">
        <v>1982</v>
      </c>
      <c r="E710" s="1186" t="s">
        <v>2031</v>
      </c>
      <c r="F710" s="1186" t="s">
        <v>2033</v>
      </c>
      <c r="G710" s="1186" t="s">
        <v>828</v>
      </c>
      <c r="H710" s="1186">
        <v>116</v>
      </c>
    </row>
    <row r="711" spans="1:8" x14ac:dyDescent="0.2">
      <c r="A711" s="1186" t="s">
        <v>15</v>
      </c>
      <c r="B711" s="1186" t="s">
        <v>902</v>
      </c>
      <c r="C711" s="1186" t="s">
        <v>1981</v>
      </c>
      <c r="D711" s="1186" t="s">
        <v>1982</v>
      </c>
      <c r="E711" s="1186" t="s">
        <v>2031</v>
      </c>
      <c r="F711" s="1186" t="s">
        <v>2033</v>
      </c>
      <c r="G711" s="1186" t="s">
        <v>850</v>
      </c>
      <c r="H711" s="1186">
        <v>5</v>
      </c>
    </row>
    <row r="712" spans="1:8" x14ac:dyDescent="0.2">
      <c r="A712" s="1186" t="s">
        <v>15</v>
      </c>
      <c r="B712" s="1186" t="s">
        <v>902</v>
      </c>
      <c r="C712" s="1186" t="s">
        <v>1981</v>
      </c>
      <c r="D712" s="1186" t="s">
        <v>1982</v>
      </c>
      <c r="E712" s="1186" t="s">
        <v>2031</v>
      </c>
      <c r="F712" s="1186" t="s">
        <v>2033</v>
      </c>
      <c r="G712" s="1186" t="s">
        <v>851</v>
      </c>
      <c r="H712" s="1186">
        <v>5</v>
      </c>
    </row>
    <row r="713" spans="1:8" x14ac:dyDescent="0.2">
      <c r="A713" s="1186" t="s">
        <v>15</v>
      </c>
      <c r="B713" s="1186" t="s">
        <v>902</v>
      </c>
      <c r="C713" s="1186" t="s">
        <v>1981</v>
      </c>
      <c r="D713" s="1186" t="s">
        <v>1982</v>
      </c>
      <c r="E713" s="1186" t="s">
        <v>2031</v>
      </c>
      <c r="F713" s="1186" t="s">
        <v>2033</v>
      </c>
      <c r="G713" s="1186" t="s">
        <v>852</v>
      </c>
      <c r="H713" s="1186">
        <v>3</v>
      </c>
    </row>
    <row r="714" spans="1:8" x14ac:dyDescent="0.2">
      <c r="A714" s="1186" t="s">
        <v>15</v>
      </c>
      <c r="B714" s="1186" t="s">
        <v>902</v>
      </c>
      <c r="C714" s="1186" t="s">
        <v>1981</v>
      </c>
      <c r="D714" s="1186" t="s">
        <v>1982</v>
      </c>
      <c r="E714" s="1186" t="s">
        <v>2031</v>
      </c>
      <c r="F714" s="1186" t="s">
        <v>2034</v>
      </c>
      <c r="G714" s="1186" t="s">
        <v>828</v>
      </c>
      <c r="H714" s="1186">
        <v>39</v>
      </c>
    </row>
    <row r="715" spans="1:8" x14ac:dyDescent="0.2">
      <c r="A715" s="1186" t="s">
        <v>15</v>
      </c>
      <c r="B715" s="1186" t="s">
        <v>902</v>
      </c>
      <c r="C715" s="1186" t="s">
        <v>1981</v>
      </c>
      <c r="D715" s="1186" t="s">
        <v>1982</v>
      </c>
      <c r="E715" s="1186" t="s">
        <v>2031</v>
      </c>
      <c r="F715" s="1186" t="s">
        <v>2034</v>
      </c>
      <c r="G715" s="1186" t="s">
        <v>850</v>
      </c>
      <c r="H715" s="1186">
        <v>1</v>
      </c>
    </row>
    <row r="716" spans="1:8" x14ac:dyDescent="0.2">
      <c r="A716" s="1186" t="s">
        <v>15</v>
      </c>
      <c r="B716" s="1186" t="s">
        <v>902</v>
      </c>
      <c r="C716" s="1186" t="s">
        <v>1981</v>
      </c>
      <c r="D716" s="1186" t="s">
        <v>1982</v>
      </c>
      <c r="E716" s="1186" t="s">
        <v>2031</v>
      </c>
      <c r="F716" s="1186" t="s">
        <v>2034</v>
      </c>
      <c r="G716" s="1186" t="s">
        <v>851</v>
      </c>
      <c r="H716" s="1186">
        <v>1</v>
      </c>
    </row>
    <row r="717" spans="1:8" x14ac:dyDescent="0.2">
      <c r="A717" s="1186" t="s">
        <v>15</v>
      </c>
      <c r="B717" s="1186" t="s">
        <v>902</v>
      </c>
      <c r="C717" s="1186" t="s">
        <v>1981</v>
      </c>
      <c r="D717" s="1186" t="s">
        <v>1982</v>
      </c>
      <c r="E717" s="1186" t="s">
        <v>2035</v>
      </c>
      <c r="F717" s="1186" t="s">
        <v>2032</v>
      </c>
      <c r="G717" s="1186" t="s">
        <v>828</v>
      </c>
      <c r="H717" s="1186">
        <v>1</v>
      </c>
    </row>
    <row r="718" spans="1:8" x14ac:dyDescent="0.2">
      <c r="A718" s="1186" t="s">
        <v>15</v>
      </c>
      <c r="B718" s="1186" t="s">
        <v>902</v>
      </c>
      <c r="C718" s="1186" t="s">
        <v>1981</v>
      </c>
      <c r="D718" s="1186" t="s">
        <v>1982</v>
      </c>
      <c r="E718" s="1186" t="s">
        <v>2035</v>
      </c>
      <c r="F718" s="1186" t="s">
        <v>2032</v>
      </c>
      <c r="G718" s="1186" t="s">
        <v>850</v>
      </c>
      <c r="H718" s="1186">
        <v>1</v>
      </c>
    </row>
    <row r="719" spans="1:8" x14ac:dyDescent="0.2">
      <c r="A719" s="1186" t="s">
        <v>15</v>
      </c>
      <c r="B719" s="1186" t="s">
        <v>902</v>
      </c>
      <c r="C719" s="1186" t="s">
        <v>1981</v>
      </c>
      <c r="D719" s="1186" t="s">
        <v>1982</v>
      </c>
      <c r="E719" s="1186" t="s">
        <v>2035</v>
      </c>
      <c r="F719" s="1186" t="s">
        <v>2032</v>
      </c>
      <c r="G719" s="1186" t="s">
        <v>851</v>
      </c>
      <c r="H719" s="1186">
        <v>9</v>
      </c>
    </row>
    <row r="720" spans="1:8" x14ac:dyDescent="0.2">
      <c r="A720" s="1186" t="s">
        <v>15</v>
      </c>
      <c r="B720" s="1186" t="s">
        <v>902</v>
      </c>
      <c r="C720" s="1186" t="s">
        <v>1981</v>
      </c>
      <c r="D720" s="1186" t="s">
        <v>1982</v>
      </c>
      <c r="E720" s="1186" t="s">
        <v>2035</v>
      </c>
      <c r="F720" s="1186" t="s">
        <v>2032</v>
      </c>
      <c r="G720" s="1186" t="s">
        <v>852</v>
      </c>
      <c r="H720" s="1186">
        <v>6</v>
      </c>
    </row>
    <row r="721" spans="1:8" x14ac:dyDescent="0.2">
      <c r="A721" s="1186" t="s">
        <v>15</v>
      </c>
      <c r="B721" s="1186" t="s">
        <v>902</v>
      </c>
      <c r="C721" s="1186" t="s">
        <v>1981</v>
      </c>
      <c r="D721" s="1186" t="s">
        <v>1982</v>
      </c>
      <c r="E721" s="1186" t="s">
        <v>2035</v>
      </c>
      <c r="F721" s="1186" t="s">
        <v>2033</v>
      </c>
      <c r="G721" s="1186" t="s">
        <v>828</v>
      </c>
      <c r="H721" s="1186">
        <v>17</v>
      </c>
    </row>
    <row r="722" spans="1:8" x14ac:dyDescent="0.2">
      <c r="A722" s="1186" t="s">
        <v>15</v>
      </c>
      <c r="B722" s="1186" t="s">
        <v>902</v>
      </c>
      <c r="C722" s="1186" t="s">
        <v>1981</v>
      </c>
      <c r="D722" s="1186" t="s">
        <v>1982</v>
      </c>
      <c r="E722" s="1186" t="s">
        <v>2035</v>
      </c>
      <c r="F722" s="1186" t="s">
        <v>2033</v>
      </c>
      <c r="G722" s="1186" t="s">
        <v>850</v>
      </c>
      <c r="H722" s="1186">
        <v>8</v>
      </c>
    </row>
    <row r="723" spans="1:8" x14ac:dyDescent="0.2">
      <c r="A723" s="1186" t="s">
        <v>15</v>
      </c>
      <c r="B723" s="1186" t="s">
        <v>902</v>
      </c>
      <c r="C723" s="1186" t="s">
        <v>1981</v>
      </c>
      <c r="D723" s="1186" t="s">
        <v>1982</v>
      </c>
      <c r="E723" s="1186" t="s">
        <v>2035</v>
      </c>
      <c r="F723" s="1186" t="s">
        <v>2033</v>
      </c>
      <c r="G723" s="1186" t="s">
        <v>851</v>
      </c>
      <c r="H723" s="1186">
        <v>155</v>
      </c>
    </row>
    <row r="724" spans="1:8" x14ac:dyDescent="0.2">
      <c r="A724" s="1186" t="s">
        <v>15</v>
      </c>
      <c r="B724" s="1186" t="s">
        <v>902</v>
      </c>
      <c r="C724" s="1186" t="s">
        <v>1981</v>
      </c>
      <c r="D724" s="1186" t="s">
        <v>1982</v>
      </c>
      <c r="E724" s="1186" t="s">
        <v>2035</v>
      </c>
      <c r="F724" s="1186" t="s">
        <v>2033</v>
      </c>
      <c r="G724" s="1186" t="s">
        <v>852</v>
      </c>
      <c r="H724" s="1186">
        <v>23</v>
      </c>
    </row>
    <row r="725" spans="1:8" x14ac:dyDescent="0.2">
      <c r="A725" s="1186" t="s">
        <v>15</v>
      </c>
      <c r="B725" s="1186" t="s">
        <v>902</v>
      </c>
      <c r="C725" s="1186" t="s">
        <v>1981</v>
      </c>
      <c r="D725" s="1186" t="s">
        <v>1982</v>
      </c>
      <c r="E725" s="1186" t="s">
        <v>2035</v>
      </c>
      <c r="F725" s="1186" t="s">
        <v>2034</v>
      </c>
      <c r="G725" s="1186" t="s">
        <v>828</v>
      </c>
      <c r="H725" s="1186">
        <v>79</v>
      </c>
    </row>
    <row r="726" spans="1:8" x14ac:dyDescent="0.2">
      <c r="A726" s="1186" t="s">
        <v>15</v>
      </c>
      <c r="B726" s="1186" t="s">
        <v>902</v>
      </c>
      <c r="C726" s="1186" t="s">
        <v>1981</v>
      </c>
      <c r="D726" s="1186" t="s">
        <v>1982</v>
      </c>
      <c r="E726" s="1186" t="s">
        <v>2035</v>
      </c>
      <c r="F726" s="1186" t="s">
        <v>2034</v>
      </c>
      <c r="G726" s="1186" t="s">
        <v>850</v>
      </c>
      <c r="H726" s="1186">
        <v>16</v>
      </c>
    </row>
    <row r="727" spans="1:8" x14ac:dyDescent="0.2">
      <c r="A727" s="1186" t="s">
        <v>15</v>
      </c>
      <c r="B727" s="1186" t="s">
        <v>902</v>
      </c>
      <c r="C727" s="1186" t="s">
        <v>1981</v>
      </c>
      <c r="D727" s="1186" t="s">
        <v>1982</v>
      </c>
      <c r="E727" s="1186" t="s">
        <v>2035</v>
      </c>
      <c r="F727" s="1186" t="s">
        <v>2034</v>
      </c>
      <c r="G727" s="1186" t="s">
        <v>851</v>
      </c>
      <c r="H727" s="1186">
        <v>26</v>
      </c>
    </row>
    <row r="728" spans="1:8" x14ac:dyDescent="0.2">
      <c r="A728" s="1186" t="s">
        <v>15</v>
      </c>
      <c r="B728" s="1186" t="s">
        <v>902</v>
      </c>
      <c r="C728" s="1186" t="s">
        <v>1981</v>
      </c>
      <c r="D728" s="1186" t="s">
        <v>1982</v>
      </c>
      <c r="E728" s="1186" t="s">
        <v>2035</v>
      </c>
      <c r="F728" s="1186" t="s">
        <v>2034</v>
      </c>
      <c r="G728" s="1186" t="s">
        <v>852</v>
      </c>
      <c r="H728" s="1186">
        <v>34</v>
      </c>
    </row>
    <row r="729" spans="1:8" x14ac:dyDescent="0.2">
      <c r="A729" s="1186" t="s">
        <v>15</v>
      </c>
      <c r="B729" s="1186" t="s">
        <v>903</v>
      </c>
      <c r="C729" s="1186" t="s">
        <v>1983</v>
      </c>
      <c r="D729" s="1186" t="s">
        <v>1982</v>
      </c>
      <c r="E729" s="1186" t="s">
        <v>2031</v>
      </c>
      <c r="F729" s="1186" t="s">
        <v>2032</v>
      </c>
      <c r="G729" s="1186" t="s">
        <v>828</v>
      </c>
      <c r="H729" s="1186">
        <v>5</v>
      </c>
    </row>
    <row r="730" spans="1:8" x14ac:dyDescent="0.2">
      <c r="A730" s="1186" t="s">
        <v>15</v>
      </c>
      <c r="B730" s="1186" t="s">
        <v>903</v>
      </c>
      <c r="C730" s="1186" t="s">
        <v>1983</v>
      </c>
      <c r="D730" s="1186" t="s">
        <v>1982</v>
      </c>
      <c r="E730" s="1186" t="s">
        <v>2031</v>
      </c>
      <c r="F730" s="1186" t="s">
        <v>2033</v>
      </c>
      <c r="G730" s="1186" t="s">
        <v>828</v>
      </c>
      <c r="H730" s="1186">
        <v>69</v>
      </c>
    </row>
    <row r="731" spans="1:8" x14ac:dyDescent="0.2">
      <c r="A731" s="1186" t="s">
        <v>15</v>
      </c>
      <c r="B731" s="1186" t="s">
        <v>903</v>
      </c>
      <c r="C731" s="1186" t="s">
        <v>1983</v>
      </c>
      <c r="D731" s="1186" t="s">
        <v>1982</v>
      </c>
      <c r="E731" s="1186" t="s">
        <v>2031</v>
      </c>
      <c r="F731" s="1186" t="s">
        <v>2033</v>
      </c>
      <c r="G731" s="1186" t="s">
        <v>850</v>
      </c>
      <c r="H731" s="1186">
        <v>7</v>
      </c>
    </row>
    <row r="732" spans="1:8" x14ac:dyDescent="0.2">
      <c r="A732" s="1186" t="s">
        <v>15</v>
      </c>
      <c r="B732" s="1186" t="s">
        <v>903</v>
      </c>
      <c r="C732" s="1186" t="s">
        <v>1983</v>
      </c>
      <c r="D732" s="1186" t="s">
        <v>1982</v>
      </c>
      <c r="E732" s="1186" t="s">
        <v>2031</v>
      </c>
      <c r="F732" s="1186" t="s">
        <v>2033</v>
      </c>
      <c r="G732" s="1186" t="s">
        <v>851</v>
      </c>
      <c r="H732" s="1186">
        <v>2</v>
      </c>
    </row>
    <row r="733" spans="1:8" x14ac:dyDescent="0.2">
      <c r="A733" s="1186" t="s">
        <v>15</v>
      </c>
      <c r="B733" s="1186" t="s">
        <v>903</v>
      </c>
      <c r="C733" s="1186" t="s">
        <v>1983</v>
      </c>
      <c r="D733" s="1186" t="s">
        <v>1982</v>
      </c>
      <c r="E733" s="1186" t="s">
        <v>2031</v>
      </c>
      <c r="F733" s="1186" t="s">
        <v>2033</v>
      </c>
      <c r="G733" s="1186" t="s">
        <v>852</v>
      </c>
      <c r="H733" s="1186">
        <v>1</v>
      </c>
    </row>
    <row r="734" spans="1:8" x14ac:dyDescent="0.2">
      <c r="A734" s="1186" t="s">
        <v>15</v>
      </c>
      <c r="B734" s="1186" t="s">
        <v>903</v>
      </c>
      <c r="C734" s="1186" t="s">
        <v>1983</v>
      </c>
      <c r="D734" s="1186" t="s">
        <v>1982</v>
      </c>
      <c r="E734" s="1186" t="s">
        <v>2031</v>
      </c>
      <c r="F734" s="1186" t="s">
        <v>2034</v>
      </c>
      <c r="G734" s="1186" t="s">
        <v>828</v>
      </c>
      <c r="H734" s="1186">
        <v>22</v>
      </c>
    </row>
    <row r="735" spans="1:8" x14ac:dyDescent="0.2">
      <c r="A735" s="1186" t="s">
        <v>15</v>
      </c>
      <c r="B735" s="1186" t="s">
        <v>903</v>
      </c>
      <c r="C735" s="1186" t="s">
        <v>1983</v>
      </c>
      <c r="D735" s="1186" t="s">
        <v>1982</v>
      </c>
      <c r="E735" s="1186" t="s">
        <v>2031</v>
      </c>
      <c r="F735" s="1186" t="s">
        <v>2034</v>
      </c>
      <c r="G735" s="1186" t="s">
        <v>850</v>
      </c>
      <c r="H735" s="1186">
        <v>19</v>
      </c>
    </row>
    <row r="736" spans="1:8" x14ac:dyDescent="0.2">
      <c r="A736" s="1186" t="s">
        <v>15</v>
      </c>
      <c r="B736" s="1186" t="s">
        <v>903</v>
      </c>
      <c r="C736" s="1186" t="s">
        <v>1983</v>
      </c>
      <c r="D736" s="1186" t="s">
        <v>1982</v>
      </c>
      <c r="E736" s="1186" t="s">
        <v>2035</v>
      </c>
      <c r="F736" s="1186" t="s">
        <v>2032</v>
      </c>
      <c r="G736" s="1186" t="s">
        <v>828</v>
      </c>
      <c r="H736" s="1186">
        <v>3</v>
      </c>
    </row>
    <row r="737" spans="1:8" x14ac:dyDescent="0.2">
      <c r="A737" s="1186" t="s">
        <v>15</v>
      </c>
      <c r="B737" s="1186" t="s">
        <v>903</v>
      </c>
      <c r="C737" s="1186" t="s">
        <v>1983</v>
      </c>
      <c r="D737" s="1186" t="s">
        <v>1982</v>
      </c>
      <c r="E737" s="1186" t="s">
        <v>2035</v>
      </c>
      <c r="F737" s="1186" t="s">
        <v>2032</v>
      </c>
      <c r="G737" s="1186" t="s">
        <v>851</v>
      </c>
      <c r="H737" s="1186">
        <v>13</v>
      </c>
    </row>
    <row r="738" spans="1:8" x14ac:dyDescent="0.2">
      <c r="A738" s="1186" t="s">
        <v>15</v>
      </c>
      <c r="B738" s="1186" t="s">
        <v>903</v>
      </c>
      <c r="C738" s="1186" t="s">
        <v>1983</v>
      </c>
      <c r="D738" s="1186" t="s">
        <v>1982</v>
      </c>
      <c r="E738" s="1186" t="s">
        <v>2035</v>
      </c>
      <c r="F738" s="1186" t="s">
        <v>2032</v>
      </c>
      <c r="G738" s="1186" t="s">
        <v>852</v>
      </c>
      <c r="H738" s="1186">
        <v>1</v>
      </c>
    </row>
    <row r="739" spans="1:8" x14ac:dyDescent="0.2">
      <c r="A739" s="1186" t="s">
        <v>15</v>
      </c>
      <c r="B739" s="1186" t="s">
        <v>903</v>
      </c>
      <c r="C739" s="1186" t="s">
        <v>1983</v>
      </c>
      <c r="D739" s="1186" t="s">
        <v>1982</v>
      </c>
      <c r="E739" s="1186" t="s">
        <v>2035</v>
      </c>
      <c r="F739" s="1186" t="s">
        <v>2033</v>
      </c>
      <c r="G739" s="1186" t="s">
        <v>828</v>
      </c>
      <c r="H739" s="1186">
        <v>15</v>
      </c>
    </row>
    <row r="740" spans="1:8" x14ac:dyDescent="0.2">
      <c r="A740" s="1186" t="s">
        <v>15</v>
      </c>
      <c r="B740" s="1186" t="s">
        <v>903</v>
      </c>
      <c r="C740" s="1186" t="s">
        <v>1983</v>
      </c>
      <c r="D740" s="1186" t="s">
        <v>1982</v>
      </c>
      <c r="E740" s="1186" t="s">
        <v>2035</v>
      </c>
      <c r="F740" s="1186" t="s">
        <v>2033</v>
      </c>
      <c r="G740" s="1186" t="s">
        <v>850</v>
      </c>
      <c r="H740" s="1186">
        <v>7</v>
      </c>
    </row>
    <row r="741" spans="1:8" x14ac:dyDescent="0.2">
      <c r="A741" s="1186" t="s">
        <v>15</v>
      </c>
      <c r="B741" s="1186" t="s">
        <v>903</v>
      </c>
      <c r="C741" s="1186" t="s">
        <v>1983</v>
      </c>
      <c r="D741" s="1186" t="s">
        <v>1982</v>
      </c>
      <c r="E741" s="1186" t="s">
        <v>2035</v>
      </c>
      <c r="F741" s="1186" t="s">
        <v>2033</v>
      </c>
      <c r="G741" s="1186" t="s">
        <v>851</v>
      </c>
      <c r="H741" s="1186">
        <v>193</v>
      </c>
    </row>
    <row r="742" spans="1:8" x14ac:dyDescent="0.2">
      <c r="A742" s="1186" t="s">
        <v>15</v>
      </c>
      <c r="B742" s="1186" t="s">
        <v>903</v>
      </c>
      <c r="C742" s="1186" t="s">
        <v>1983</v>
      </c>
      <c r="D742" s="1186" t="s">
        <v>1982</v>
      </c>
      <c r="E742" s="1186" t="s">
        <v>2035</v>
      </c>
      <c r="F742" s="1186" t="s">
        <v>2033</v>
      </c>
      <c r="G742" s="1186" t="s">
        <v>852</v>
      </c>
      <c r="H742" s="1186">
        <v>24</v>
      </c>
    </row>
    <row r="743" spans="1:8" x14ac:dyDescent="0.2">
      <c r="A743" s="1186" t="s">
        <v>15</v>
      </c>
      <c r="B743" s="1186" t="s">
        <v>903</v>
      </c>
      <c r="C743" s="1186" t="s">
        <v>1983</v>
      </c>
      <c r="D743" s="1186" t="s">
        <v>1982</v>
      </c>
      <c r="E743" s="1186" t="s">
        <v>2035</v>
      </c>
      <c r="F743" s="1186" t="s">
        <v>2034</v>
      </c>
      <c r="G743" s="1186" t="s">
        <v>828</v>
      </c>
      <c r="H743" s="1186">
        <v>51</v>
      </c>
    </row>
    <row r="744" spans="1:8" x14ac:dyDescent="0.2">
      <c r="A744" s="1186" t="s">
        <v>15</v>
      </c>
      <c r="B744" s="1186" t="s">
        <v>903</v>
      </c>
      <c r="C744" s="1186" t="s">
        <v>1983</v>
      </c>
      <c r="D744" s="1186" t="s">
        <v>1982</v>
      </c>
      <c r="E744" s="1186" t="s">
        <v>2035</v>
      </c>
      <c r="F744" s="1186" t="s">
        <v>2034</v>
      </c>
      <c r="G744" s="1186" t="s">
        <v>850</v>
      </c>
      <c r="H744" s="1186">
        <v>33</v>
      </c>
    </row>
    <row r="745" spans="1:8" x14ac:dyDescent="0.2">
      <c r="A745" s="1186" t="s">
        <v>15</v>
      </c>
      <c r="B745" s="1186" t="s">
        <v>903</v>
      </c>
      <c r="C745" s="1186" t="s">
        <v>1983</v>
      </c>
      <c r="D745" s="1186" t="s">
        <v>1982</v>
      </c>
      <c r="E745" s="1186" t="s">
        <v>2035</v>
      </c>
      <c r="F745" s="1186" t="s">
        <v>2034</v>
      </c>
      <c r="G745" s="1186" t="s">
        <v>851</v>
      </c>
      <c r="H745" s="1186">
        <v>38</v>
      </c>
    </row>
    <row r="746" spans="1:8" x14ac:dyDescent="0.2">
      <c r="A746" s="1186" t="s">
        <v>15</v>
      </c>
      <c r="B746" s="1186" t="s">
        <v>903</v>
      </c>
      <c r="C746" s="1186" t="s">
        <v>1983</v>
      </c>
      <c r="D746" s="1186" t="s">
        <v>1982</v>
      </c>
      <c r="E746" s="1186" t="s">
        <v>2035</v>
      </c>
      <c r="F746" s="1186" t="s">
        <v>2034</v>
      </c>
      <c r="G746" s="1186" t="s">
        <v>852</v>
      </c>
      <c r="H746" s="1186">
        <v>34</v>
      </c>
    </row>
    <row r="747" spans="1:8" x14ac:dyDescent="0.2">
      <c r="A747" s="1186" t="s">
        <v>15</v>
      </c>
      <c r="B747" s="1186" t="s">
        <v>904</v>
      </c>
      <c r="C747" s="1186" t="s">
        <v>1983</v>
      </c>
      <c r="D747" s="1186" t="s">
        <v>1984</v>
      </c>
      <c r="E747" s="1186" t="s">
        <v>2031</v>
      </c>
      <c r="F747" s="1186" t="s">
        <v>2032</v>
      </c>
      <c r="G747" s="1186" t="s">
        <v>828</v>
      </c>
      <c r="H747" s="1186">
        <v>1</v>
      </c>
    </row>
    <row r="748" spans="1:8" x14ac:dyDescent="0.2">
      <c r="A748" s="1186" t="s">
        <v>15</v>
      </c>
      <c r="B748" s="1186" t="s">
        <v>904</v>
      </c>
      <c r="C748" s="1186" t="s">
        <v>1983</v>
      </c>
      <c r="D748" s="1186" t="s">
        <v>1984</v>
      </c>
      <c r="E748" s="1186" t="s">
        <v>2031</v>
      </c>
      <c r="F748" s="1186" t="s">
        <v>2032</v>
      </c>
      <c r="G748" s="1186" t="s">
        <v>852</v>
      </c>
      <c r="H748" s="1186">
        <v>1</v>
      </c>
    </row>
    <row r="749" spans="1:8" x14ac:dyDescent="0.2">
      <c r="A749" s="1186" t="s">
        <v>15</v>
      </c>
      <c r="B749" s="1186" t="s">
        <v>904</v>
      </c>
      <c r="C749" s="1186" t="s">
        <v>1983</v>
      </c>
      <c r="D749" s="1186" t="s">
        <v>1984</v>
      </c>
      <c r="E749" s="1186" t="s">
        <v>2031</v>
      </c>
      <c r="F749" s="1186" t="s">
        <v>2033</v>
      </c>
      <c r="G749" s="1186" t="s">
        <v>828</v>
      </c>
      <c r="H749" s="1186">
        <v>75</v>
      </c>
    </row>
    <row r="750" spans="1:8" x14ac:dyDescent="0.2">
      <c r="A750" s="1186" t="s">
        <v>15</v>
      </c>
      <c r="B750" s="1186" t="s">
        <v>904</v>
      </c>
      <c r="C750" s="1186" t="s">
        <v>1983</v>
      </c>
      <c r="D750" s="1186" t="s">
        <v>1984</v>
      </c>
      <c r="E750" s="1186" t="s">
        <v>2031</v>
      </c>
      <c r="F750" s="1186" t="s">
        <v>2033</v>
      </c>
      <c r="G750" s="1186" t="s">
        <v>850</v>
      </c>
      <c r="H750" s="1186">
        <v>11</v>
      </c>
    </row>
    <row r="751" spans="1:8" x14ac:dyDescent="0.2">
      <c r="A751" s="1186" t="s">
        <v>15</v>
      </c>
      <c r="B751" s="1186" t="s">
        <v>904</v>
      </c>
      <c r="C751" s="1186" t="s">
        <v>1983</v>
      </c>
      <c r="D751" s="1186" t="s">
        <v>1984</v>
      </c>
      <c r="E751" s="1186" t="s">
        <v>2031</v>
      </c>
      <c r="F751" s="1186" t="s">
        <v>2033</v>
      </c>
      <c r="G751" s="1186" t="s">
        <v>851</v>
      </c>
      <c r="H751" s="1186">
        <v>3</v>
      </c>
    </row>
    <row r="752" spans="1:8" x14ac:dyDescent="0.2">
      <c r="A752" s="1186" t="s">
        <v>15</v>
      </c>
      <c r="B752" s="1186" t="s">
        <v>904</v>
      </c>
      <c r="C752" s="1186" t="s">
        <v>1983</v>
      </c>
      <c r="D752" s="1186" t="s">
        <v>1984</v>
      </c>
      <c r="E752" s="1186" t="s">
        <v>2031</v>
      </c>
      <c r="F752" s="1186" t="s">
        <v>2033</v>
      </c>
      <c r="G752" s="1186" t="s">
        <v>852</v>
      </c>
      <c r="H752" s="1186">
        <v>2</v>
      </c>
    </row>
    <row r="753" spans="1:8" x14ac:dyDescent="0.2">
      <c r="A753" s="1186" t="s">
        <v>15</v>
      </c>
      <c r="B753" s="1186" t="s">
        <v>904</v>
      </c>
      <c r="C753" s="1186" t="s">
        <v>1983</v>
      </c>
      <c r="D753" s="1186" t="s">
        <v>1984</v>
      </c>
      <c r="E753" s="1186" t="s">
        <v>2031</v>
      </c>
      <c r="F753" s="1186" t="s">
        <v>2034</v>
      </c>
      <c r="G753" s="1186" t="s">
        <v>828</v>
      </c>
      <c r="H753" s="1186">
        <v>30</v>
      </c>
    </row>
    <row r="754" spans="1:8" x14ac:dyDescent="0.2">
      <c r="A754" s="1186" t="s">
        <v>15</v>
      </c>
      <c r="B754" s="1186" t="s">
        <v>904</v>
      </c>
      <c r="C754" s="1186" t="s">
        <v>1983</v>
      </c>
      <c r="D754" s="1186" t="s">
        <v>1984</v>
      </c>
      <c r="E754" s="1186" t="s">
        <v>2031</v>
      </c>
      <c r="F754" s="1186" t="s">
        <v>2034</v>
      </c>
      <c r="G754" s="1186" t="s">
        <v>850</v>
      </c>
      <c r="H754" s="1186">
        <v>4</v>
      </c>
    </row>
    <row r="755" spans="1:8" x14ac:dyDescent="0.2">
      <c r="A755" s="1186" t="s">
        <v>15</v>
      </c>
      <c r="B755" s="1186" t="s">
        <v>904</v>
      </c>
      <c r="C755" s="1186" t="s">
        <v>1983</v>
      </c>
      <c r="D755" s="1186" t="s">
        <v>1984</v>
      </c>
      <c r="E755" s="1186" t="s">
        <v>2035</v>
      </c>
      <c r="F755" s="1186" t="s">
        <v>2032</v>
      </c>
      <c r="G755" s="1186" t="s">
        <v>828</v>
      </c>
      <c r="H755" s="1186">
        <v>2</v>
      </c>
    </row>
    <row r="756" spans="1:8" x14ac:dyDescent="0.2">
      <c r="A756" s="1186" t="s">
        <v>15</v>
      </c>
      <c r="B756" s="1186" t="s">
        <v>904</v>
      </c>
      <c r="C756" s="1186" t="s">
        <v>1983</v>
      </c>
      <c r="D756" s="1186" t="s">
        <v>1984</v>
      </c>
      <c r="E756" s="1186" t="s">
        <v>2035</v>
      </c>
      <c r="F756" s="1186" t="s">
        <v>2032</v>
      </c>
      <c r="G756" s="1186" t="s">
        <v>851</v>
      </c>
      <c r="H756" s="1186">
        <v>7</v>
      </c>
    </row>
    <row r="757" spans="1:8" x14ac:dyDescent="0.2">
      <c r="A757" s="1186" t="s">
        <v>15</v>
      </c>
      <c r="B757" s="1186" t="s">
        <v>904</v>
      </c>
      <c r="C757" s="1186" t="s">
        <v>1983</v>
      </c>
      <c r="D757" s="1186" t="s">
        <v>1984</v>
      </c>
      <c r="E757" s="1186" t="s">
        <v>2035</v>
      </c>
      <c r="F757" s="1186" t="s">
        <v>2032</v>
      </c>
      <c r="G757" s="1186" t="s">
        <v>852</v>
      </c>
      <c r="H757" s="1186">
        <v>3</v>
      </c>
    </row>
    <row r="758" spans="1:8" x14ac:dyDescent="0.2">
      <c r="A758" s="1186" t="s">
        <v>15</v>
      </c>
      <c r="B758" s="1186" t="s">
        <v>904</v>
      </c>
      <c r="C758" s="1186" t="s">
        <v>1983</v>
      </c>
      <c r="D758" s="1186" t="s">
        <v>1984</v>
      </c>
      <c r="E758" s="1186" t="s">
        <v>2035</v>
      </c>
      <c r="F758" s="1186" t="s">
        <v>2033</v>
      </c>
      <c r="G758" s="1186" t="s">
        <v>828</v>
      </c>
      <c r="H758" s="1186">
        <v>24</v>
      </c>
    </row>
    <row r="759" spans="1:8" x14ac:dyDescent="0.2">
      <c r="A759" s="1186" t="s">
        <v>15</v>
      </c>
      <c r="B759" s="1186" t="s">
        <v>904</v>
      </c>
      <c r="C759" s="1186" t="s">
        <v>1983</v>
      </c>
      <c r="D759" s="1186" t="s">
        <v>1984</v>
      </c>
      <c r="E759" s="1186" t="s">
        <v>2035</v>
      </c>
      <c r="F759" s="1186" t="s">
        <v>2033</v>
      </c>
      <c r="G759" s="1186" t="s">
        <v>850</v>
      </c>
      <c r="H759" s="1186">
        <v>12</v>
      </c>
    </row>
    <row r="760" spans="1:8" x14ac:dyDescent="0.2">
      <c r="A760" s="1186" t="s">
        <v>15</v>
      </c>
      <c r="B760" s="1186" t="s">
        <v>904</v>
      </c>
      <c r="C760" s="1186" t="s">
        <v>1983</v>
      </c>
      <c r="D760" s="1186" t="s">
        <v>1984</v>
      </c>
      <c r="E760" s="1186" t="s">
        <v>2035</v>
      </c>
      <c r="F760" s="1186" t="s">
        <v>2033</v>
      </c>
      <c r="G760" s="1186" t="s">
        <v>851</v>
      </c>
      <c r="H760" s="1186">
        <v>169</v>
      </c>
    </row>
    <row r="761" spans="1:8" x14ac:dyDescent="0.2">
      <c r="A761" s="1186" t="s">
        <v>15</v>
      </c>
      <c r="B761" s="1186" t="s">
        <v>904</v>
      </c>
      <c r="C761" s="1186" t="s">
        <v>1983</v>
      </c>
      <c r="D761" s="1186" t="s">
        <v>1984</v>
      </c>
      <c r="E761" s="1186" t="s">
        <v>2035</v>
      </c>
      <c r="F761" s="1186" t="s">
        <v>2033</v>
      </c>
      <c r="G761" s="1186" t="s">
        <v>852</v>
      </c>
      <c r="H761" s="1186">
        <v>16</v>
      </c>
    </row>
    <row r="762" spans="1:8" x14ac:dyDescent="0.2">
      <c r="A762" s="1186" t="s">
        <v>15</v>
      </c>
      <c r="B762" s="1186" t="s">
        <v>904</v>
      </c>
      <c r="C762" s="1186" t="s">
        <v>1983</v>
      </c>
      <c r="D762" s="1186" t="s">
        <v>1984</v>
      </c>
      <c r="E762" s="1186" t="s">
        <v>2035</v>
      </c>
      <c r="F762" s="1186" t="s">
        <v>2034</v>
      </c>
      <c r="G762" s="1186" t="s">
        <v>828</v>
      </c>
      <c r="H762" s="1186">
        <v>75</v>
      </c>
    </row>
    <row r="763" spans="1:8" x14ac:dyDescent="0.2">
      <c r="A763" s="1186" t="s">
        <v>15</v>
      </c>
      <c r="B763" s="1186" t="s">
        <v>904</v>
      </c>
      <c r="C763" s="1186" t="s">
        <v>1983</v>
      </c>
      <c r="D763" s="1186" t="s">
        <v>1984</v>
      </c>
      <c r="E763" s="1186" t="s">
        <v>2035</v>
      </c>
      <c r="F763" s="1186" t="s">
        <v>2034</v>
      </c>
      <c r="G763" s="1186" t="s">
        <v>850</v>
      </c>
      <c r="H763" s="1186">
        <v>25</v>
      </c>
    </row>
    <row r="764" spans="1:8" x14ac:dyDescent="0.2">
      <c r="A764" s="1186" t="s">
        <v>15</v>
      </c>
      <c r="B764" s="1186" t="s">
        <v>904</v>
      </c>
      <c r="C764" s="1186" t="s">
        <v>1983</v>
      </c>
      <c r="D764" s="1186" t="s">
        <v>1984</v>
      </c>
      <c r="E764" s="1186" t="s">
        <v>2035</v>
      </c>
      <c r="F764" s="1186" t="s">
        <v>2034</v>
      </c>
      <c r="G764" s="1186" t="s">
        <v>851</v>
      </c>
      <c r="H764" s="1186">
        <v>52</v>
      </c>
    </row>
    <row r="765" spans="1:8" x14ac:dyDescent="0.2">
      <c r="A765" s="1186" t="s">
        <v>15</v>
      </c>
      <c r="B765" s="1186" t="s">
        <v>904</v>
      </c>
      <c r="C765" s="1186" t="s">
        <v>1983</v>
      </c>
      <c r="D765" s="1186" t="s">
        <v>1984</v>
      </c>
      <c r="E765" s="1186" t="s">
        <v>2035</v>
      </c>
      <c r="F765" s="1186" t="s">
        <v>2034</v>
      </c>
      <c r="G765" s="1186" t="s">
        <v>852</v>
      </c>
      <c r="H765" s="1186">
        <v>40</v>
      </c>
    </row>
    <row r="766" spans="1:8" x14ac:dyDescent="0.2">
      <c r="A766" s="1186" t="s">
        <v>15</v>
      </c>
      <c r="B766" s="1186" t="s">
        <v>905</v>
      </c>
      <c r="C766" s="1186" t="s">
        <v>1983</v>
      </c>
      <c r="D766" s="1186" t="s">
        <v>1984</v>
      </c>
      <c r="E766" s="1186" t="s">
        <v>2031</v>
      </c>
      <c r="F766" s="1186" t="s">
        <v>2032</v>
      </c>
      <c r="G766" s="1186" t="s">
        <v>828</v>
      </c>
      <c r="H766" s="1186">
        <v>4</v>
      </c>
    </row>
    <row r="767" spans="1:8" x14ac:dyDescent="0.2">
      <c r="A767" s="1186" t="s">
        <v>15</v>
      </c>
      <c r="B767" s="1186" t="s">
        <v>905</v>
      </c>
      <c r="C767" s="1186" t="s">
        <v>1983</v>
      </c>
      <c r="D767" s="1186" t="s">
        <v>1984</v>
      </c>
      <c r="E767" s="1186" t="s">
        <v>2031</v>
      </c>
      <c r="F767" s="1186" t="s">
        <v>2032</v>
      </c>
      <c r="G767" s="1186" t="s">
        <v>851</v>
      </c>
      <c r="H767" s="1186">
        <v>1</v>
      </c>
    </row>
    <row r="768" spans="1:8" x14ac:dyDescent="0.2">
      <c r="A768" s="1186" t="s">
        <v>15</v>
      </c>
      <c r="B768" s="1186" t="s">
        <v>905</v>
      </c>
      <c r="C768" s="1186" t="s">
        <v>1983</v>
      </c>
      <c r="D768" s="1186" t="s">
        <v>1984</v>
      </c>
      <c r="E768" s="1186" t="s">
        <v>2031</v>
      </c>
      <c r="F768" s="1186" t="s">
        <v>2033</v>
      </c>
      <c r="G768" s="1186" t="s">
        <v>828</v>
      </c>
      <c r="H768" s="1186">
        <v>89</v>
      </c>
    </row>
    <row r="769" spans="1:8" x14ac:dyDescent="0.2">
      <c r="A769" s="1186" t="s">
        <v>15</v>
      </c>
      <c r="B769" s="1186" t="s">
        <v>905</v>
      </c>
      <c r="C769" s="1186" t="s">
        <v>1983</v>
      </c>
      <c r="D769" s="1186" t="s">
        <v>1984</v>
      </c>
      <c r="E769" s="1186" t="s">
        <v>2031</v>
      </c>
      <c r="F769" s="1186" t="s">
        <v>2033</v>
      </c>
      <c r="G769" s="1186" t="s">
        <v>850</v>
      </c>
      <c r="H769" s="1186">
        <v>12</v>
      </c>
    </row>
    <row r="770" spans="1:8" x14ac:dyDescent="0.2">
      <c r="A770" s="1186" t="s">
        <v>15</v>
      </c>
      <c r="B770" s="1186" t="s">
        <v>905</v>
      </c>
      <c r="C770" s="1186" t="s">
        <v>1983</v>
      </c>
      <c r="D770" s="1186" t="s">
        <v>1984</v>
      </c>
      <c r="E770" s="1186" t="s">
        <v>2031</v>
      </c>
      <c r="F770" s="1186" t="s">
        <v>2033</v>
      </c>
      <c r="G770" s="1186" t="s">
        <v>851</v>
      </c>
      <c r="H770" s="1186">
        <v>3</v>
      </c>
    </row>
    <row r="771" spans="1:8" x14ac:dyDescent="0.2">
      <c r="A771" s="1186" t="s">
        <v>15</v>
      </c>
      <c r="B771" s="1186" t="s">
        <v>905</v>
      </c>
      <c r="C771" s="1186" t="s">
        <v>1983</v>
      </c>
      <c r="D771" s="1186" t="s">
        <v>1984</v>
      </c>
      <c r="E771" s="1186" t="s">
        <v>2031</v>
      </c>
      <c r="F771" s="1186" t="s">
        <v>2033</v>
      </c>
      <c r="G771" s="1186" t="s">
        <v>852</v>
      </c>
      <c r="H771" s="1186">
        <v>4</v>
      </c>
    </row>
    <row r="772" spans="1:8" x14ac:dyDescent="0.2">
      <c r="A772" s="1186" t="s">
        <v>15</v>
      </c>
      <c r="B772" s="1186" t="s">
        <v>905</v>
      </c>
      <c r="C772" s="1186" t="s">
        <v>1983</v>
      </c>
      <c r="D772" s="1186" t="s">
        <v>1984</v>
      </c>
      <c r="E772" s="1186" t="s">
        <v>2031</v>
      </c>
      <c r="F772" s="1186" t="s">
        <v>2034</v>
      </c>
      <c r="G772" s="1186" t="s">
        <v>828</v>
      </c>
      <c r="H772" s="1186">
        <v>17</v>
      </c>
    </row>
    <row r="773" spans="1:8" x14ac:dyDescent="0.2">
      <c r="A773" s="1186" t="s">
        <v>15</v>
      </c>
      <c r="B773" s="1186" t="s">
        <v>905</v>
      </c>
      <c r="C773" s="1186" t="s">
        <v>1983</v>
      </c>
      <c r="D773" s="1186" t="s">
        <v>1984</v>
      </c>
      <c r="E773" s="1186" t="s">
        <v>2031</v>
      </c>
      <c r="F773" s="1186" t="s">
        <v>2034</v>
      </c>
      <c r="G773" s="1186" t="s">
        <v>850</v>
      </c>
      <c r="H773" s="1186">
        <v>6</v>
      </c>
    </row>
    <row r="774" spans="1:8" x14ac:dyDescent="0.2">
      <c r="A774" s="1186" t="s">
        <v>15</v>
      </c>
      <c r="B774" s="1186" t="s">
        <v>905</v>
      </c>
      <c r="C774" s="1186" t="s">
        <v>1983</v>
      </c>
      <c r="D774" s="1186" t="s">
        <v>1984</v>
      </c>
      <c r="E774" s="1186" t="s">
        <v>2035</v>
      </c>
      <c r="F774" s="1186" t="s">
        <v>2032</v>
      </c>
      <c r="G774" s="1186" t="s">
        <v>828</v>
      </c>
      <c r="H774" s="1186">
        <v>2</v>
      </c>
    </row>
    <row r="775" spans="1:8" x14ac:dyDescent="0.2">
      <c r="A775" s="1186" t="s">
        <v>15</v>
      </c>
      <c r="B775" s="1186" t="s">
        <v>905</v>
      </c>
      <c r="C775" s="1186" t="s">
        <v>1983</v>
      </c>
      <c r="D775" s="1186" t="s">
        <v>1984</v>
      </c>
      <c r="E775" s="1186" t="s">
        <v>2035</v>
      </c>
      <c r="F775" s="1186" t="s">
        <v>2032</v>
      </c>
      <c r="G775" s="1186" t="s">
        <v>851</v>
      </c>
      <c r="H775" s="1186">
        <v>13</v>
      </c>
    </row>
    <row r="776" spans="1:8" x14ac:dyDescent="0.2">
      <c r="A776" s="1186" t="s">
        <v>15</v>
      </c>
      <c r="B776" s="1186" t="s">
        <v>905</v>
      </c>
      <c r="C776" s="1186" t="s">
        <v>1983</v>
      </c>
      <c r="D776" s="1186" t="s">
        <v>1984</v>
      </c>
      <c r="E776" s="1186" t="s">
        <v>2035</v>
      </c>
      <c r="F776" s="1186" t="s">
        <v>2032</v>
      </c>
      <c r="G776" s="1186" t="s">
        <v>852</v>
      </c>
      <c r="H776" s="1186">
        <v>7</v>
      </c>
    </row>
    <row r="777" spans="1:8" x14ac:dyDescent="0.2">
      <c r="A777" s="1186" t="s">
        <v>15</v>
      </c>
      <c r="B777" s="1186" t="s">
        <v>905</v>
      </c>
      <c r="C777" s="1186" t="s">
        <v>1983</v>
      </c>
      <c r="D777" s="1186" t="s">
        <v>1984</v>
      </c>
      <c r="E777" s="1186" t="s">
        <v>2035</v>
      </c>
      <c r="F777" s="1186" t="s">
        <v>2033</v>
      </c>
      <c r="G777" s="1186" t="s">
        <v>828</v>
      </c>
      <c r="H777" s="1186">
        <v>15</v>
      </c>
    </row>
    <row r="778" spans="1:8" x14ac:dyDescent="0.2">
      <c r="A778" s="1186" t="s">
        <v>15</v>
      </c>
      <c r="B778" s="1186" t="s">
        <v>905</v>
      </c>
      <c r="C778" s="1186" t="s">
        <v>1983</v>
      </c>
      <c r="D778" s="1186" t="s">
        <v>1984</v>
      </c>
      <c r="E778" s="1186" t="s">
        <v>2035</v>
      </c>
      <c r="F778" s="1186" t="s">
        <v>2033</v>
      </c>
      <c r="G778" s="1186" t="s">
        <v>850</v>
      </c>
      <c r="H778" s="1186">
        <v>11</v>
      </c>
    </row>
    <row r="779" spans="1:8" x14ac:dyDescent="0.2">
      <c r="A779" s="1186" t="s">
        <v>15</v>
      </c>
      <c r="B779" s="1186" t="s">
        <v>905</v>
      </c>
      <c r="C779" s="1186" t="s">
        <v>1983</v>
      </c>
      <c r="D779" s="1186" t="s">
        <v>1984</v>
      </c>
      <c r="E779" s="1186" t="s">
        <v>2035</v>
      </c>
      <c r="F779" s="1186" t="s">
        <v>2033</v>
      </c>
      <c r="G779" s="1186" t="s">
        <v>851</v>
      </c>
      <c r="H779" s="1186">
        <v>174</v>
      </c>
    </row>
    <row r="780" spans="1:8" x14ac:dyDescent="0.2">
      <c r="A780" s="1186" t="s">
        <v>15</v>
      </c>
      <c r="B780" s="1186" t="s">
        <v>905</v>
      </c>
      <c r="C780" s="1186" t="s">
        <v>1983</v>
      </c>
      <c r="D780" s="1186" t="s">
        <v>1984</v>
      </c>
      <c r="E780" s="1186" t="s">
        <v>2035</v>
      </c>
      <c r="F780" s="1186" t="s">
        <v>2033</v>
      </c>
      <c r="G780" s="1186" t="s">
        <v>852</v>
      </c>
      <c r="H780" s="1186">
        <v>33</v>
      </c>
    </row>
    <row r="781" spans="1:8" x14ac:dyDescent="0.2">
      <c r="A781" s="1186" t="s">
        <v>15</v>
      </c>
      <c r="B781" s="1186" t="s">
        <v>905</v>
      </c>
      <c r="C781" s="1186" t="s">
        <v>1983</v>
      </c>
      <c r="D781" s="1186" t="s">
        <v>1984</v>
      </c>
      <c r="E781" s="1186" t="s">
        <v>2035</v>
      </c>
      <c r="F781" s="1186" t="s">
        <v>2034</v>
      </c>
      <c r="G781" s="1186" t="s">
        <v>828</v>
      </c>
      <c r="H781" s="1186">
        <v>81</v>
      </c>
    </row>
    <row r="782" spans="1:8" x14ac:dyDescent="0.2">
      <c r="A782" s="1186" t="s">
        <v>15</v>
      </c>
      <c r="B782" s="1186" t="s">
        <v>905</v>
      </c>
      <c r="C782" s="1186" t="s">
        <v>1983</v>
      </c>
      <c r="D782" s="1186" t="s">
        <v>1984</v>
      </c>
      <c r="E782" s="1186" t="s">
        <v>2035</v>
      </c>
      <c r="F782" s="1186" t="s">
        <v>2034</v>
      </c>
      <c r="G782" s="1186" t="s">
        <v>850</v>
      </c>
      <c r="H782" s="1186">
        <v>30</v>
      </c>
    </row>
    <row r="783" spans="1:8" x14ac:dyDescent="0.2">
      <c r="A783" s="1186" t="s">
        <v>15</v>
      </c>
      <c r="B783" s="1186" t="s">
        <v>905</v>
      </c>
      <c r="C783" s="1186" t="s">
        <v>1983</v>
      </c>
      <c r="D783" s="1186" t="s">
        <v>1984</v>
      </c>
      <c r="E783" s="1186" t="s">
        <v>2035</v>
      </c>
      <c r="F783" s="1186" t="s">
        <v>2034</v>
      </c>
      <c r="G783" s="1186" t="s">
        <v>851</v>
      </c>
      <c r="H783" s="1186">
        <v>40</v>
      </c>
    </row>
    <row r="784" spans="1:8" x14ac:dyDescent="0.2">
      <c r="A784" s="1186" t="s">
        <v>15</v>
      </c>
      <c r="B784" s="1186" t="s">
        <v>905</v>
      </c>
      <c r="C784" s="1186" t="s">
        <v>1983</v>
      </c>
      <c r="D784" s="1186" t="s">
        <v>1984</v>
      </c>
      <c r="E784" s="1186" t="s">
        <v>2035</v>
      </c>
      <c r="F784" s="1186" t="s">
        <v>2034</v>
      </c>
      <c r="G784" s="1186" t="s">
        <v>852</v>
      </c>
      <c r="H784" s="1186">
        <v>31</v>
      </c>
    </row>
    <row r="785" spans="1:8" x14ac:dyDescent="0.2">
      <c r="A785" s="1186" t="s">
        <v>15</v>
      </c>
      <c r="B785" s="1186" t="s">
        <v>906</v>
      </c>
      <c r="C785" s="1186" t="s">
        <v>1985</v>
      </c>
      <c r="D785" s="1186" t="s">
        <v>1984</v>
      </c>
      <c r="E785" s="1186" t="s">
        <v>2031</v>
      </c>
      <c r="F785" s="1186" t="s">
        <v>2032</v>
      </c>
      <c r="G785" s="1186" t="s">
        <v>828</v>
      </c>
      <c r="H785" s="1186">
        <v>4</v>
      </c>
    </row>
    <row r="786" spans="1:8" x14ac:dyDescent="0.2">
      <c r="A786" s="1186" t="s">
        <v>15</v>
      </c>
      <c r="B786" s="1186" t="s">
        <v>906</v>
      </c>
      <c r="C786" s="1186" t="s">
        <v>1985</v>
      </c>
      <c r="D786" s="1186" t="s">
        <v>1984</v>
      </c>
      <c r="E786" s="1186" t="s">
        <v>2031</v>
      </c>
      <c r="F786" s="1186" t="s">
        <v>2032</v>
      </c>
      <c r="G786" s="1186" t="s">
        <v>852</v>
      </c>
      <c r="H786" s="1186">
        <v>1</v>
      </c>
    </row>
    <row r="787" spans="1:8" x14ac:dyDescent="0.2">
      <c r="A787" s="1186" t="s">
        <v>15</v>
      </c>
      <c r="B787" s="1186" t="s">
        <v>906</v>
      </c>
      <c r="C787" s="1186" t="s">
        <v>1985</v>
      </c>
      <c r="D787" s="1186" t="s">
        <v>1984</v>
      </c>
      <c r="E787" s="1186" t="s">
        <v>2031</v>
      </c>
      <c r="F787" s="1186" t="s">
        <v>2033</v>
      </c>
      <c r="G787" s="1186" t="s">
        <v>828</v>
      </c>
      <c r="H787" s="1186">
        <v>78</v>
      </c>
    </row>
    <row r="788" spans="1:8" x14ac:dyDescent="0.2">
      <c r="A788" s="1186" t="s">
        <v>15</v>
      </c>
      <c r="B788" s="1186" t="s">
        <v>906</v>
      </c>
      <c r="C788" s="1186" t="s">
        <v>1985</v>
      </c>
      <c r="D788" s="1186" t="s">
        <v>1984</v>
      </c>
      <c r="E788" s="1186" t="s">
        <v>2031</v>
      </c>
      <c r="F788" s="1186" t="s">
        <v>2033</v>
      </c>
      <c r="G788" s="1186" t="s">
        <v>850</v>
      </c>
      <c r="H788" s="1186">
        <v>6</v>
      </c>
    </row>
    <row r="789" spans="1:8" x14ac:dyDescent="0.2">
      <c r="A789" s="1186" t="s">
        <v>15</v>
      </c>
      <c r="B789" s="1186" t="s">
        <v>906</v>
      </c>
      <c r="C789" s="1186" t="s">
        <v>1985</v>
      </c>
      <c r="D789" s="1186" t="s">
        <v>1984</v>
      </c>
      <c r="E789" s="1186" t="s">
        <v>2031</v>
      </c>
      <c r="F789" s="1186" t="s">
        <v>2033</v>
      </c>
      <c r="G789" s="1186" t="s">
        <v>851</v>
      </c>
      <c r="H789" s="1186">
        <v>3</v>
      </c>
    </row>
    <row r="790" spans="1:8" x14ac:dyDescent="0.2">
      <c r="A790" s="1186" t="s">
        <v>15</v>
      </c>
      <c r="B790" s="1186" t="s">
        <v>906</v>
      </c>
      <c r="C790" s="1186" t="s">
        <v>1985</v>
      </c>
      <c r="D790" s="1186" t="s">
        <v>1984</v>
      </c>
      <c r="E790" s="1186" t="s">
        <v>2031</v>
      </c>
      <c r="F790" s="1186" t="s">
        <v>2034</v>
      </c>
      <c r="G790" s="1186" t="s">
        <v>828</v>
      </c>
      <c r="H790" s="1186">
        <v>31</v>
      </c>
    </row>
    <row r="791" spans="1:8" x14ac:dyDescent="0.2">
      <c r="A791" s="1186" t="s">
        <v>15</v>
      </c>
      <c r="B791" s="1186" t="s">
        <v>906</v>
      </c>
      <c r="C791" s="1186" t="s">
        <v>1985</v>
      </c>
      <c r="D791" s="1186" t="s">
        <v>1984</v>
      </c>
      <c r="E791" s="1186" t="s">
        <v>2031</v>
      </c>
      <c r="F791" s="1186" t="s">
        <v>2034</v>
      </c>
      <c r="G791" s="1186" t="s">
        <v>850</v>
      </c>
      <c r="H791" s="1186">
        <v>4</v>
      </c>
    </row>
    <row r="792" spans="1:8" x14ac:dyDescent="0.2">
      <c r="A792" s="1186" t="s">
        <v>15</v>
      </c>
      <c r="B792" s="1186" t="s">
        <v>906</v>
      </c>
      <c r="C792" s="1186" t="s">
        <v>1985</v>
      </c>
      <c r="D792" s="1186" t="s">
        <v>1984</v>
      </c>
      <c r="E792" s="1186" t="s">
        <v>2035</v>
      </c>
      <c r="F792" s="1186" t="s">
        <v>2032</v>
      </c>
      <c r="G792" s="1186" t="s">
        <v>828</v>
      </c>
      <c r="H792" s="1186">
        <v>2</v>
      </c>
    </row>
    <row r="793" spans="1:8" x14ac:dyDescent="0.2">
      <c r="A793" s="1186" t="s">
        <v>15</v>
      </c>
      <c r="B793" s="1186" t="s">
        <v>906</v>
      </c>
      <c r="C793" s="1186" t="s">
        <v>1985</v>
      </c>
      <c r="D793" s="1186" t="s">
        <v>1984</v>
      </c>
      <c r="E793" s="1186" t="s">
        <v>2035</v>
      </c>
      <c r="F793" s="1186" t="s">
        <v>2032</v>
      </c>
      <c r="G793" s="1186" t="s">
        <v>850</v>
      </c>
      <c r="H793" s="1186">
        <v>1</v>
      </c>
    </row>
    <row r="794" spans="1:8" x14ac:dyDescent="0.2">
      <c r="A794" s="1186" t="s">
        <v>15</v>
      </c>
      <c r="B794" s="1186" t="s">
        <v>906</v>
      </c>
      <c r="C794" s="1186" t="s">
        <v>1985</v>
      </c>
      <c r="D794" s="1186" t="s">
        <v>1984</v>
      </c>
      <c r="E794" s="1186" t="s">
        <v>2035</v>
      </c>
      <c r="F794" s="1186" t="s">
        <v>2032</v>
      </c>
      <c r="G794" s="1186" t="s">
        <v>851</v>
      </c>
      <c r="H794" s="1186">
        <v>5</v>
      </c>
    </row>
    <row r="795" spans="1:8" x14ac:dyDescent="0.2">
      <c r="A795" s="1186" t="s">
        <v>15</v>
      </c>
      <c r="B795" s="1186" t="s">
        <v>906</v>
      </c>
      <c r="C795" s="1186" t="s">
        <v>1985</v>
      </c>
      <c r="D795" s="1186" t="s">
        <v>1984</v>
      </c>
      <c r="E795" s="1186" t="s">
        <v>2035</v>
      </c>
      <c r="F795" s="1186" t="s">
        <v>2032</v>
      </c>
      <c r="G795" s="1186" t="s">
        <v>852</v>
      </c>
      <c r="H795" s="1186">
        <v>6</v>
      </c>
    </row>
    <row r="796" spans="1:8" x14ac:dyDescent="0.2">
      <c r="A796" s="1186" t="s">
        <v>15</v>
      </c>
      <c r="B796" s="1186" t="s">
        <v>906</v>
      </c>
      <c r="C796" s="1186" t="s">
        <v>1985</v>
      </c>
      <c r="D796" s="1186" t="s">
        <v>1984</v>
      </c>
      <c r="E796" s="1186" t="s">
        <v>2035</v>
      </c>
      <c r="F796" s="1186" t="s">
        <v>2033</v>
      </c>
      <c r="G796" s="1186" t="s">
        <v>828</v>
      </c>
      <c r="H796" s="1186">
        <v>24</v>
      </c>
    </row>
    <row r="797" spans="1:8" x14ac:dyDescent="0.2">
      <c r="A797" s="1186" t="s">
        <v>15</v>
      </c>
      <c r="B797" s="1186" t="s">
        <v>906</v>
      </c>
      <c r="C797" s="1186" t="s">
        <v>1985</v>
      </c>
      <c r="D797" s="1186" t="s">
        <v>1984</v>
      </c>
      <c r="E797" s="1186" t="s">
        <v>2035</v>
      </c>
      <c r="F797" s="1186" t="s">
        <v>2033</v>
      </c>
      <c r="G797" s="1186" t="s">
        <v>850</v>
      </c>
      <c r="H797" s="1186">
        <v>14</v>
      </c>
    </row>
    <row r="798" spans="1:8" x14ac:dyDescent="0.2">
      <c r="A798" s="1186" t="s">
        <v>15</v>
      </c>
      <c r="B798" s="1186" t="s">
        <v>906</v>
      </c>
      <c r="C798" s="1186" t="s">
        <v>1985</v>
      </c>
      <c r="D798" s="1186" t="s">
        <v>1984</v>
      </c>
      <c r="E798" s="1186" t="s">
        <v>2035</v>
      </c>
      <c r="F798" s="1186" t="s">
        <v>2033</v>
      </c>
      <c r="G798" s="1186" t="s">
        <v>851</v>
      </c>
      <c r="H798" s="1186">
        <v>147</v>
      </c>
    </row>
    <row r="799" spans="1:8" x14ac:dyDescent="0.2">
      <c r="A799" s="1186" t="s">
        <v>15</v>
      </c>
      <c r="B799" s="1186" t="s">
        <v>906</v>
      </c>
      <c r="C799" s="1186" t="s">
        <v>1985</v>
      </c>
      <c r="D799" s="1186" t="s">
        <v>1984</v>
      </c>
      <c r="E799" s="1186" t="s">
        <v>2035</v>
      </c>
      <c r="F799" s="1186" t="s">
        <v>2033</v>
      </c>
      <c r="G799" s="1186" t="s">
        <v>852</v>
      </c>
      <c r="H799" s="1186">
        <v>21</v>
      </c>
    </row>
    <row r="800" spans="1:8" x14ac:dyDescent="0.2">
      <c r="A800" s="1186" t="s">
        <v>15</v>
      </c>
      <c r="B800" s="1186" t="s">
        <v>906</v>
      </c>
      <c r="C800" s="1186" t="s">
        <v>1985</v>
      </c>
      <c r="D800" s="1186" t="s">
        <v>1984</v>
      </c>
      <c r="E800" s="1186" t="s">
        <v>2035</v>
      </c>
      <c r="F800" s="1186" t="s">
        <v>2034</v>
      </c>
      <c r="G800" s="1186" t="s">
        <v>828</v>
      </c>
      <c r="H800" s="1186">
        <v>63</v>
      </c>
    </row>
    <row r="801" spans="1:8" x14ac:dyDescent="0.2">
      <c r="A801" s="1186" t="s">
        <v>15</v>
      </c>
      <c r="B801" s="1186" t="s">
        <v>906</v>
      </c>
      <c r="C801" s="1186" t="s">
        <v>1985</v>
      </c>
      <c r="D801" s="1186" t="s">
        <v>1984</v>
      </c>
      <c r="E801" s="1186" t="s">
        <v>2035</v>
      </c>
      <c r="F801" s="1186" t="s">
        <v>2034</v>
      </c>
      <c r="G801" s="1186" t="s">
        <v>850</v>
      </c>
      <c r="H801" s="1186">
        <v>28</v>
      </c>
    </row>
    <row r="802" spans="1:8" x14ac:dyDescent="0.2">
      <c r="A802" s="1186" t="s">
        <v>15</v>
      </c>
      <c r="B802" s="1186" t="s">
        <v>906</v>
      </c>
      <c r="C802" s="1186" t="s">
        <v>1985</v>
      </c>
      <c r="D802" s="1186" t="s">
        <v>1984</v>
      </c>
      <c r="E802" s="1186" t="s">
        <v>2035</v>
      </c>
      <c r="F802" s="1186" t="s">
        <v>2034</v>
      </c>
      <c r="G802" s="1186" t="s">
        <v>851</v>
      </c>
      <c r="H802" s="1186">
        <v>35</v>
      </c>
    </row>
    <row r="803" spans="1:8" x14ac:dyDescent="0.2">
      <c r="A803" s="1186" t="s">
        <v>15</v>
      </c>
      <c r="B803" s="1186" t="s">
        <v>906</v>
      </c>
      <c r="C803" s="1186" t="s">
        <v>1985</v>
      </c>
      <c r="D803" s="1186" t="s">
        <v>1984</v>
      </c>
      <c r="E803" s="1186" t="s">
        <v>2035</v>
      </c>
      <c r="F803" s="1186" t="s">
        <v>2034</v>
      </c>
      <c r="G803" s="1186" t="s">
        <v>852</v>
      </c>
      <c r="H803" s="1186">
        <v>28</v>
      </c>
    </row>
    <row r="804" spans="1:8" x14ac:dyDescent="0.2">
      <c r="A804" s="1186" t="s">
        <v>15</v>
      </c>
      <c r="B804" s="1186" t="s">
        <v>907</v>
      </c>
      <c r="C804" s="1186" t="s">
        <v>1985</v>
      </c>
      <c r="D804" s="1186" t="s">
        <v>1986</v>
      </c>
      <c r="E804" s="1186" t="s">
        <v>2031</v>
      </c>
      <c r="F804" s="1186" t="s">
        <v>2032</v>
      </c>
      <c r="G804" s="1186" t="s">
        <v>828</v>
      </c>
      <c r="H804" s="1186">
        <v>4</v>
      </c>
    </row>
    <row r="805" spans="1:8" x14ac:dyDescent="0.2">
      <c r="A805" s="1186" t="s">
        <v>15</v>
      </c>
      <c r="B805" s="1186" t="s">
        <v>907</v>
      </c>
      <c r="C805" s="1186" t="s">
        <v>1985</v>
      </c>
      <c r="D805" s="1186" t="s">
        <v>1986</v>
      </c>
      <c r="E805" s="1186" t="s">
        <v>2031</v>
      </c>
      <c r="F805" s="1186" t="s">
        <v>2032</v>
      </c>
      <c r="G805" s="1186" t="s">
        <v>851</v>
      </c>
      <c r="H805" s="1186">
        <v>1</v>
      </c>
    </row>
    <row r="806" spans="1:8" x14ac:dyDescent="0.2">
      <c r="A806" s="1186" t="s">
        <v>15</v>
      </c>
      <c r="B806" s="1186" t="s">
        <v>907</v>
      </c>
      <c r="C806" s="1186" t="s">
        <v>1985</v>
      </c>
      <c r="D806" s="1186" t="s">
        <v>1986</v>
      </c>
      <c r="E806" s="1186" t="s">
        <v>2031</v>
      </c>
      <c r="F806" s="1186" t="s">
        <v>2033</v>
      </c>
      <c r="G806" s="1186" t="s">
        <v>828</v>
      </c>
      <c r="H806" s="1186">
        <v>101</v>
      </c>
    </row>
    <row r="807" spans="1:8" x14ac:dyDescent="0.2">
      <c r="A807" s="1186" t="s">
        <v>15</v>
      </c>
      <c r="B807" s="1186" t="s">
        <v>907</v>
      </c>
      <c r="C807" s="1186" t="s">
        <v>1985</v>
      </c>
      <c r="D807" s="1186" t="s">
        <v>1986</v>
      </c>
      <c r="E807" s="1186" t="s">
        <v>2031</v>
      </c>
      <c r="F807" s="1186" t="s">
        <v>2033</v>
      </c>
      <c r="G807" s="1186" t="s">
        <v>850</v>
      </c>
      <c r="H807" s="1186">
        <v>8</v>
      </c>
    </row>
    <row r="808" spans="1:8" x14ac:dyDescent="0.2">
      <c r="A808" s="1186" t="s">
        <v>15</v>
      </c>
      <c r="B808" s="1186" t="s">
        <v>907</v>
      </c>
      <c r="C808" s="1186" t="s">
        <v>1985</v>
      </c>
      <c r="D808" s="1186" t="s">
        <v>1986</v>
      </c>
      <c r="E808" s="1186" t="s">
        <v>2031</v>
      </c>
      <c r="F808" s="1186" t="s">
        <v>2033</v>
      </c>
      <c r="G808" s="1186" t="s">
        <v>851</v>
      </c>
      <c r="H808" s="1186">
        <v>2</v>
      </c>
    </row>
    <row r="809" spans="1:8" x14ac:dyDescent="0.2">
      <c r="A809" s="1186" t="s">
        <v>15</v>
      </c>
      <c r="B809" s="1186" t="s">
        <v>907</v>
      </c>
      <c r="C809" s="1186" t="s">
        <v>1985</v>
      </c>
      <c r="D809" s="1186" t="s">
        <v>1986</v>
      </c>
      <c r="E809" s="1186" t="s">
        <v>2031</v>
      </c>
      <c r="F809" s="1186" t="s">
        <v>2033</v>
      </c>
      <c r="G809" s="1186" t="s">
        <v>852</v>
      </c>
      <c r="H809" s="1186">
        <v>1</v>
      </c>
    </row>
    <row r="810" spans="1:8" x14ac:dyDescent="0.2">
      <c r="A810" s="1186" t="s">
        <v>15</v>
      </c>
      <c r="B810" s="1186" t="s">
        <v>907</v>
      </c>
      <c r="C810" s="1186" t="s">
        <v>1985</v>
      </c>
      <c r="D810" s="1186" t="s">
        <v>1986</v>
      </c>
      <c r="E810" s="1186" t="s">
        <v>2031</v>
      </c>
      <c r="F810" s="1186" t="s">
        <v>2034</v>
      </c>
      <c r="G810" s="1186" t="s">
        <v>828</v>
      </c>
      <c r="H810" s="1186">
        <v>31</v>
      </c>
    </row>
    <row r="811" spans="1:8" x14ac:dyDescent="0.2">
      <c r="A811" s="1186" t="s">
        <v>15</v>
      </c>
      <c r="B811" s="1186" t="s">
        <v>907</v>
      </c>
      <c r="C811" s="1186" t="s">
        <v>1985</v>
      </c>
      <c r="D811" s="1186" t="s">
        <v>1986</v>
      </c>
      <c r="E811" s="1186" t="s">
        <v>2031</v>
      </c>
      <c r="F811" s="1186" t="s">
        <v>2034</v>
      </c>
      <c r="G811" s="1186" t="s">
        <v>850</v>
      </c>
      <c r="H811" s="1186">
        <v>1</v>
      </c>
    </row>
    <row r="812" spans="1:8" x14ac:dyDescent="0.2">
      <c r="A812" s="1186" t="s">
        <v>15</v>
      </c>
      <c r="B812" s="1186" t="s">
        <v>907</v>
      </c>
      <c r="C812" s="1186" t="s">
        <v>1985</v>
      </c>
      <c r="D812" s="1186" t="s">
        <v>1986</v>
      </c>
      <c r="E812" s="1186" t="s">
        <v>2031</v>
      </c>
      <c r="F812" s="1186" t="s">
        <v>2034</v>
      </c>
      <c r="G812" s="1186" t="s">
        <v>851</v>
      </c>
      <c r="H812" s="1186">
        <v>2</v>
      </c>
    </row>
    <row r="813" spans="1:8" x14ac:dyDescent="0.2">
      <c r="A813" s="1186" t="s">
        <v>15</v>
      </c>
      <c r="B813" s="1186" t="s">
        <v>907</v>
      </c>
      <c r="C813" s="1186" t="s">
        <v>1985</v>
      </c>
      <c r="D813" s="1186" t="s">
        <v>1986</v>
      </c>
      <c r="E813" s="1186" t="s">
        <v>2035</v>
      </c>
      <c r="F813" s="1186" t="s">
        <v>2032</v>
      </c>
      <c r="G813" s="1186" t="s">
        <v>828</v>
      </c>
      <c r="H813" s="1186">
        <v>4</v>
      </c>
    </row>
    <row r="814" spans="1:8" x14ac:dyDescent="0.2">
      <c r="A814" s="1186" t="s">
        <v>15</v>
      </c>
      <c r="B814" s="1186" t="s">
        <v>907</v>
      </c>
      <c r="C814" s="1186" t="s">
        <v>1985</v>
      </c>
      <c r="D814" s="1186" t="s">
        <v>1986</v>
      </c>
      <c r="E814" s="1186" t="s">
        <v>2035</v>
      </c>
      <c r="F814" s="1186" t="s">
        <v>2032</v>
      </c>
      <c r="G814" s="1186" t="s">
        <v>850</v>
      </c>
      <c r="H814" s="1186">
        <v>1</v>
      </c>
    </row>
    <row r="815" spans="1:8" x14ac:dyDescent="0.2">
      <c r="A815" s="1186" t="s">
        <v>15</v>
      </c>
      <c r="B815" s="1186" t="s">
        <v>907</v>
      </c>
      <c r="C815" s="1186" t="s">
        <v>1985</v>
      </c>
      <c r="D815" s="1186" t="s">
        <v>1986</v>
      </c>
      <c r="E815" s="1186" t="s">
        <v>2035</v>
      </c>
      <c r="F815" s="1186" t="s">
        <v>2032</v>
      </c>
      <c r="G815" s="1186" t="s">
        <v>851</v>
      </c>
      <c r="H815" s="1186">
        <v>4</v>
      </c>
    </row>
    <row r="816" spans="1:8" x14ac:dyDescent="0.2">
      <c r="A816" s="1186" t="s">
        <v>15</v>
      </c>
      <c r="B816" s="1186" t="s">
        <v>907</v>
      </c>
      <c r="C816" s="1186" t="s">
        <v>1985</v>
      </c>
      <c r="D816" s="1186" t="s">
        <v>1986</v>
      </c>
      <c r="E816" s="1186" t="s">
        <v>2035</v>
      </c>
      <c r="F816" s="1186" t="s">
        <v>2032</v>
      </c>
      <c r="G816" s="1186" t="s">
        <v>852</v>
      </c>
      <c r="H816" s="1186">
        <v>6</v>
      </c>
    </row>
    <row r="817" spans="1:8" x14ac:dyDescent="0.2">
      <c r="A817" s="1186" t="s">
        <v>15</v>
      </c>
      <c r="B817" s="1186" t="s">
        <v>907</v>
      </c>
      <c r="C817" s="1186" t="s">
        <v>1985</v>
      </c>
      <c r="D817" s="1186" t="s">
        <v>1986</v>
      </c>
      <c r="E817" s="1186" t="s">
        <v>2035</v>
      </c>
      <c r="F817" s="1186" t="s">
        <v>2033</v>
      </c>
      <c r="G817" s="1186" t="s">
        <v>828</v>
      </c>
      <c r="H817" s="1186">
        <v>25</v>
      </c>
    </row>
    <row r="818" spans="1:8" x14ac:dyDescent="0.2">
      <c r="A818" s="1186" t="s">
        <v>15</v>
      </c>
      <c r="B818" s="1186" t="s">
        <v>907</v>
      </c>
      <c r="C818" s="1186" t="s">
        <v>1985</v>
      </c>
      <c r="D818" s="1186" t="s">
        <v>1986</v>
      </c>
      <c r="E818" s="1186" t="s">
        <v>2035</v>
      </c>
      <c r="F818" s="1186" t="s">
        <v>2033</v>
      </c>
      <c r="G818" s="1186" t="s">
        <v>850</v>
      </c>
      <c r="H818" s="1186">
        <v>4</v>
      </c>
    </row>
    <row r="819" spans="1:8" x14ac:dyDescent="0.2">
      <c r="A819" s="1186" t="s">
        <v>15</v>
      </c>
      <c r="B819" s="1186" t="s">
        <v>907</v>
      </c>
      <c r="C819" s="1186" t="s">
        <v>1985</v>
      </c>
      <c r="D819" s="1186" t="s">
        <v>1986</v>
      </c>
      <c r="E819" s="1186" t="s">
        <v>2035</v>
      </c>
      <c r="F819" s="1186" t="s">
        <v>2033</v>
      </c>
      <c r="G819" s="1186" t="s">
        <v>851</v>
      </c>
      <c r="H819" s="1186">
        <v>173</v>
      </c>
    </row>
    <row r="820" spans="1:8" x14ac:dyDescent="0.2">
      <c r="A820" s="1186" t="s">
        <v>15</v>
      </c>
      <c r="B820" s="1186" t="s">
        <v>907</v>
      </c>
      <c r="C820" s="1186" t="s">
        <v>1985</v>
      </c>
      <c r="D820" s="1186" t="s">
        <v>1986</v>
      </c>
      <c r="E820" s="1186" t="s">
        <v>2035</v>
      </c>
      <c r="F820" s="1186" t="s">
        <v>2033</v>
      </c>
      <c r="G820" s="1186" t="s">
        <v>852</v>
      </c>
      <c r="H820" s="1186">
        <v>22</v>
      </c>
    </row>
    <row r="821" spans="1:8" x14ac:dyDescent="0.2">
      <c r="A821" s="1186" t="s">
        <v>15</v>
      </c>
      <c r="B821" s="1186" t="s">
        <v>907</v>
      </c>
      <c r="C821" s="1186" t="s">
        <v>1985</v>
      </c>
      <c r="D821" s="1186" t="s">
        <v>1986</v>
      </c>
      <c r="E821" s="1186" t="s">
        <v>2035</v>
      </c>
      <c r="F821" s="1186" t="s">
        <v>2034</v>
      </c>
      <c r="G821" s="1186" t="s">
        <v>828</v>
      </c>
      <c r="H821" s="1186">
        <v>41</v>
      </c>
    </row>
    <row r="822" spans="1:8" x14ac:dyDescent="0.2">
      <c r="A822" s="1186" t="s">
        <v>15</v>
      </c>
      <c r="B822" s="1186" t="s">
        <v>907</v>
      </c>
      <c r="C822" s="1186" t="s">
        <v>1985</v>
      </c>
      <c r="D822" s="1186" t="s">
        <v>1986</v>
      </c>
      <c r="E822" s="1186" t="s">
        <v>2035</v>
      </c>
      <c r="F822" s="1186" t="s">
        <v>2034</v>
      </c>
      <c r="G822" s="1186" t="s">
        <v>850</v>
      </c>
      <c r="H822" s="1186">
        <v>25</v>
      </c>
    </row>
    <row r="823" spans="1:8" x14ac:dyDescent="0.2">
      <c r="A823" s="1186" t="s">
        <v>15</v>
      </c>
      <c r="B823" s="1186" t="s">
        <v>907</v>
      </c>
      <c r="C823" s="1186" t="s">
        <v>1985</v>
      </c>
      <c r="D823" s="1186" t="s">
        <v>1986</v>
      </c>
      <c r="E823" s="1186" t="s">
        <v>2035</v>
      </c>
      <c r="F823" s="1186" t="s">
        <v>2034</v>
      </c>
      <c r="G823" s="1186" t="s">
        <v>851</v>
      </c>
      <c r="H823" s="1186">
        <v>43</v>
      </c>
    </row>
    <row r="824" spans="1:8" x14ac:dyDescent="0.2">
      <c r="A824" s="1186" t="s">
        <v>15</v>
      </c>
      <c r="B824" s="1186" t="s">
        <v>907</v>
      </c>
      <c r="C824" s="1186" t="s">
        <v>1985</v>
      </c>
      <c r="D824" s="1186" t="s">
        <v>1986</v>
      </c>
      <c r="E824" s="1186" t="s">
        <v>2035</v>
      </c>
      <c r="F824" s="1186" t="s">
        <v>2034</v>
      </c>
      <c r="G824" s="1186" t="s">
        <v>852</v>
      </c>
      <c r="H824" s="1186">
        <v>10</v>
      </c>
    </row>
    <row r="825" spans="1:8" x14ac:dyDescent="0.2">
      <c r="A825" s="1186" t="s">
        <v>15</v>
      </c>
      <c r="B825" s="1186" t="s">
        <v>908</v>
      </c>
      <c r="C825" s="1186" t="s">
        <v>1985</v>
      </c>
      <c r="D825" s="1186" t="s">
        <v>1986</v>
      </c>
      <c r="E825" s="1186" t="s">
        <v>2031</v>
      </c>
      <c r="F825" s="1186" t="s">
        <v>2032</v>
      </c>
      <c r="G825" s="1186" t="s">
        <v>828</v>
      </c>
      <c r="H825" s="1186">
        <v>1</v>
      </c>
    </row>
    <row r="826" spans="1:8" x14ac:dyDescent="0.2">
      <c r="A826" s="1186" t="s">
        <v>15</v>
      </c>
      <c r="B826" s="1186" t="s">
        <v>908</v>
      </c>
      <c r="C826" s="1186" t="s">
        <v>1985</v>
      </c>
      <c r="D826" s="1186" t="s">
        <v>1986</v>
      </c>
      <c r="E826" s="1186" t="s">
        <v>2031</v>
      </c>
      <c r="F826" s="1186" t="s">
        <v>2033</v>
      </c>
      <c r="G826" s="1186" t="s">
        <v>828</v>
      </c>
      <c r="H826" s="1186">
        <v>103</v>
      </c>
    </row>
    <row r="827" spans="1:8" x14ac:dyDescent="0.2">
      <c r="A827" s="1186" t="s">
        <v>15</v>
      </c>
      <c r="B827" s="1186" t="s">
        <v>908</v>
      </c>
      <c r="C827" s="1186" t="s">
        <v>1985</v>
      </c>
      <c r="D827" s="1186" t="s">
        <v>1986</v>
      </c>
      <c r="E827" s="1186" t="s">
        <v>2031</v>
      </c>
      <c r="F827" s="1186" t="s">
        <v>2033</v>
      </c>
      <c r="G827" s="1186" t="s">
        <v>850</v>
      </c>
      <c r="H827" s="1186">
        <v>8</v>
      </c>
    </row>
    <row r="828" spans="1:8" x14ac:dyDescent="0.2">
      <c r="A828" s="1186" t="s">
        <v>15</v>
      </c>
      <c r="B828" s="1186" t="s">
        <v>908</v>
      </c>
      <c r="C828" s="1186" t="s">
        <v>1985</v>
      </c>
      <c r="D828" s="1186" t="s">
        <v>1986</v>
      </c>
      <c r="E828" s="1186" t="s">
        <v>2031</v>
      </c>
      <c r="F828" s="1186" t="s">
        <v>2033</v>
      </c>
      <c r="G828" s="1186" t="s">
        <v>851</v>
      </c>
      <c r="H828" s="1186">
        <v>6</v>
      </c>
    </row>
    <row r="829" spans="1:8" x14ac:dyDescent="0.2">
      <c r="A829" s="1186" t="s">
        <v>15</v>
      </c>
      <c r="B829" s="1186" t="s">
        <v>908</v>
      </c>
      <c r="C829" s="1186" t="s">
        <v>1985</v>
      </c>
      <c r="D829" s="1186" t="s">
        <v>1986</v>
      </c>
      <c r="E829" s="1186" t="s">
        <v>2031</v>
      </c>
      <c r="F829" s="1186" t="s">
        <v>2033</v>
      </c>
      <c r="G829" s="1186" t="s">
        <v>852</v>
      </c>
      <c r="H829" s="1186">
        <v>2</v>
      </c>
    </row>
    <row r="830" spans="1:8" x14ac:dyDescent="0.2">
      <c r="A830" s="1186" t="s">
        <v>15</v>
      </c>
      <c r="B830" s="1186" t="s">
        <v>908</v>
      </c>
      <c r="C830" s="1186" t="s">
        <v>1985</v>
      </c>
      <c r="D830" s="1186" t="s">
        <v>1986</v>
      </c>
      <c r="E830" s="1186" t="s">
        <v>2031</v>
      </c>
      <c r="F830" s="1186" t="s">
        <v>2034</v>
      </c>
      <c r="G830" s="1186" t="s">
        <v>828</v>
      </c>
      <c r="H830" s="1186">
        <v>40</v>
      </c>
    </row>
    <row r="831" spans="1:8" x14ac:dyDescent="0.2">
      <c r="A831" s="1186" t="s">
        <v>15</v>
      </c>
      <c r="B831" s="1186" t="s">
        <v>908</v>
      </c>
      <c r="C831" s="1186" t="s">
        <v>1985</v>
      </c>
      <c r="D831" s="1186" t="s">
        <v>1986</v>
      </c>
      <c r="E831" s="1186" t="s">
        <v>2031</v>
      </c>
      <c r="F831" s="1186" t="s">
        <v>2034</v>
      </c>
      <c r="G831" s="1186" t="s">
        <v>850</v>
      </c>
      <c r="H831" s="1186">
        <v>3</v>
      </c>
    </row>
    <row r="832" spans="1:8" x14ac:dyDescent="0.2">
      <c r="A832" s="1186" t="s">
        <v>15</v>
      </c>
      <c r="B832" s="1186" t="s">
        <v>908</v>
      </c>
      <c r="C832" s="1186" t="s">
        <v>1985</v>
      </c>
      <c r="D832" s="1186" t="s">
        <v>1986</v>
      </c>
      <c r="E832" s="1186" t="s">
        <v>2035</v>
      </c>
      <c r="F832" s="1186" t="s">
        <v>2032</v>
      </c>
      <c r="G832" s="1186" t="s">
        <v>828</v>
      </c>
      <c r="H832" s="1186">
        <v>1</v>
      </c>
    </row>
    <row r="833" spans="1:8" x14ac:dyDescent="0.2">
      <c r="A833" s="1186" t="s">
        <v>15</v>
      </c>
      <c r="B833" s="1186" t="s">
        <v>908</v>
      </c>
      <c r="C833" s="1186" t="s">
        <v>1985</v>
      </c>
      <c r="D833" s="1186" t="s">
        <v>1986</v>
      </c>
      <c r="E833" s="1186" t="s">
        <v>2035</v>
      </c>
      <c r="F833" s="1186" t="s">
        <v>2032</v>
      </c>
      <c r="G833" s="1186" t="s">
        <v>851</v>
      </c>
      <c r="H833" s="1186">
        <v>8</v>
      </c>
    </row>
    <row r="834" spans="1:8" x14ac:dyDescent="0.2">
      <c r="A834" s="1186" t="s">
        <v>15</v>
      </c>
      <c r="B834" s="1186" t="s">
        <v>908</v>
      </c>
      <c r="C834" s="1186" t="s">
        <v>1985</v>
      </c>
      <c r="D834" s="1186" t="s">
        <v>1986</v>
      </c>
      <c r="E834" s="1186" t="s">
        <v>2035</v>
      </c>
      <c r="F834" s="1186" t="s">
        <v>2032</v>
      </c>
      <c r="G834" s="1186" t="s">
        <v>852</v>
      </c>
      <c r="H834" s="1186">
        <v>6</v>
      </c>
    </row>
    <row r="835" spans="1:8" x14ac:dyDescent="0.2">
      <c r="A835" s="1186" t="s">
        <v>15</v>
      </c>
      <c r="B835" s="1186" t="s">
        <v>908</v>
      </c>
      <c r="C835" s="1186" t="s">
        <v>1985</v>
      </c>
      <c r="D835" s="1186" t="s">
        <v>1986</v>
      </c>
      <c r="E835" s="1186" t="s">
        <v>2035</v>
      </c>
      <c r="F835" s="1186" t="s">
        <v>2033</v>
      </c>
      <c r="G835" s="1186" t="s">
        <v>828</v>
      </c>
      <c r="H835" s="1186">
        <v>23</v>
      </c>
    </row>
    <row r="836" spans="1:8" x14ac:dyDescent="0.2">
      <c r="A836" s="1186" t="s">
        <v>15</v>
      </c>
      <c r="B836" s="1186" t="s">
        <v>908</v>
      </c>
      <c r="C836" s="1186" t="s">
        <v>1985</v>
      </c>
      <c r="D836" s="1186" t="s">
        <v>1986</v>
      </c>
      <c r="E836" s="1186" t="s">
        <v>2035</v>
      </c>
      <c r="F836" s="1186" t="s">
        <v>2033</v>
      </c>
      <c r="G836" s="1186" t="s">
        <v>850</v>
      </c>
      <c r="H836" s="1186">
        <v>14</v>
      </c>
    </row>
    <row r="837" spans="1:8" x14ac:dyDescent="0.2">
      <c r="A837" s="1186" t="s">
        <v>15</v>
      </c>
      <c r="B837" s="1186" t="s">
        <v>908</v>
      </c>
      <c r="C837" s="1186" t="s">
        <v>1985</v>
      </c>
      <c r="D837" s="1186" t="s">
        <v>1986</v>
      </c>
      <c r="E837" s="1186" t="s">
        <v>2035</v>
      </c>
      <c r="F837" s="1186" t="s">
        <v>2033</v>
      </c>
      <c r="G837" s="1186" t="s">
        <v>851</v>
      </c>
      <c r="H837" s="1186">
        <v>173</v>
      </c>
    </row>
    <row r="838" spans="1:8" x14ac:dyDescent="0.2">
      <c r="A838" s="1186" t="s">
        <v>15</v>
      </c>
      <c r="B838" s="1186" t="s">
        <v>908</v>
      </c>
      <c r="C838" s="1186" t="s">
        <v>1985</v>
      </c>
      <c r="D838" s="1186" t="s">
        <v>1986</v>
      </c>
      <c r="E838" s="1186" t="s">
        <v>2035</v>
      </c>
      <c r="F838" s="1186" t="s">
        <v>2033</v>
      </c>
      <c r="G838" s="1186" t="s">
        <v>852</v>
      </c>
      <c r="H838" s="1186">
        <v>14</v>
      </c>
    </row>
    <row r="839" spans="1:8" x14ac:dyDescent="0.2">
      <c r="A839" s="1186" t="s">
        <v>15</v>
      </c>
      <c r="B839" s="1186" t="s">
        <v>908</v>
      </c>
      <c r="C839" s="1186" t="s">
        <v>1985</v>
      </c>
      <c r="D839" s="1186" t="s">
        <v>1986</v>
      </c>
      <c r="E839" s="1186" t="s">
        <v>2035</v>
      </c>
      <c r="F839" s="1186" t="s">
        <v>2034</v>
      </c>
      <c r="G839" s="1186" t="s">
        <v>828</v>
      </c>
      <c r="H839" s="1186">
        <v>79</v>
      </c>
    </row>
    <row r="840" spans="1:8" x14ac:dyDescent="0.2">
      <c r="A840" s="1186" t="s">
        <v>15</v>
      </c>
      <c r="B840" s="1186" t="s">
        <v>908</v>
      </c>
      <c r="C840" s="1186" t="s">
        <v>1985</v>
      </c>
      <c r="D840" s="1186" t="s">
        <v>1986</v>
      </c>
      <c r="E840" s="1186" t="s">
        <v>2035</v>
      </c>
      <c r="F840" s="1186" t="s">
        <v>2034</v>
      </c>
      <c r="G840" s="1186" t="s">
        <v>850</v>
      </c>
      <c r="H840" s="1186">
        <v>26</v>
      </c>
    </row>
    <row r="841" spans="1:8" x14ac:dyDescent="0.2">
      <c r="A841" s="1186" t="s">
        <v>15</v>
      </c>
      <c r="B841" s="1186" t="s">
        <v>908</v>
      </c>
      <c r="C841" s="1186" t="s">
        <v>1985</v>
      </c>
      <c r="D841" s="1186" t="s">
        <v>1986</v>
      </c>
      <c r="E841" s="1186" t="s">
        <v>2035</v>
      </c>
      <c r="F841" s="1186" t="s">
        <v>2034</v>
      </c>
      <c r="G841" s="1186" t="s">
        <v>851</v>
      </c>
      <c r="H841" s="1186">
        <v>41</v>
      </c>
    </row>
    <row r="842" spans="1:8" x14ac:dyDescent="0.2">
      <c r="A842" s="1186" t="s">
        <v>15</v>
      </c>
      <c r="B842" s="1186" t="s">
        <v>908</v>
      </c>
      <c r="C842" s="1186" t="s">
        <v>1985</v>
      </c>
      <c r="D842" s="1186" t="s">
        <v>1986</v>
      </c>
      <c r="E842" s="1186" t="s">
        <v>2035</v>
      </c>
      <c r="F842" s="1186" t="s">
        <v>2034</v>
      </c>
      <c r="G842" s="1186" t="s">
        <v>852</v>
      </c>
      <c r="H842" s="1186">
        <v>16</v>
      </c>
    </row>
    <row r="843" spans="1:8" x14ac:dyDescent="0.2">
      <c r="A843" s="1186" t="s">
        <v>15</v>
      </c>
      <c r="B843" s="1186" t="s">
        <v>909</v>
      </c>
      <c r="C843" s="1186" t="s">
        <v>1987</v>
      </c>
      <c r="D843" s="1186" t="s">
        <v>1986</v>
      </c>
      <c r="E843" s="1186" t="s">
        <v>2031</v>
      </c>
      <c r="F843" s="1186" t="s">
        <v>2032</v>
      </c>
      <c r="G843" s="1186" t="s">
        <v>828</v>
      </c>
      <c r="H843" s="1186">
        <v>6</v>
      </c>
    </row>
    <row r="844" spans="1:8" x14ac:dyDescent="0.2">
      <c r="A844" s="1186" t="s">
        <v>15</v>
      </c>
      <c r="B844" s="1186" t="s">
        <v>909</v>
      </c>
      <c r="C844" s="1186" t="s">
        <v>1987</v>
      </c>
      <c r="D844" s="1186" t="s">
        <v>1986</v>
      </c>
      <c r="E844" s="1186" t="s">
        <v>2031</v>
      </c>
      <c r="F844" s="1186" t="s">
        <v>2033</v>
      </c>
      <c r="G844" s="1186" t="s">
        <v>828</v>
      </c>
      <c r="H844" s="1186">
        <v>118</v>
      </c>
    </row>
    <row r="845" spans="1:8" x14ac:dyDescent="0.2">
      <c r="A845" s="1186" t="s">
        <v>15</v>
      </c>
      <c r="B845" s="1186" t="s">
        <v>909</v>
      </c>
      <c r="C845" s="1186" t="s">
        <v>1987</v>
      </c>
      <c r="D845" s="1186" t="s">
        <v>1986</v>
      </c>
      <c r="E845" s="1186" t="s">
        <v>2031</v>
      </c>
      <c r="F845" s="1186" t="s">
        <v>2033</v>
      </c>
      <c r="G845" s="1186" t="s">
        <v>850</v>
      </c>
      <c r="H845" s="1186">
        <v>9</v>
      </c>
    </row>
    <row r="846" spans="1:8" x14ac:dyDescent="0.2">
      <c r="A846" s="1186" t="s">
        <v>15</v>
      </c>
      <c r="B846" s="1186" t="s">
        <v>909</v>
      </c>
      <c r="C846" s="1186" t="s">
        <v>1987</v>
      </c>
      <c r="D846" s="1186" t="s">
        <v>1986</v>
      </c>
      <c r="E846" s="1186" t="s">
        <v>2031</v>
      </c>
      <c r="F846" s="1186" t="s">
        <v>2033</v>
      </c>
      <c r="G846" s="1186" t="s">
        <v>851</v>
      </c>
      <c r="H846" s="1186">
        <v>2</v>
      </c>
    </row>
    <row r="847" spans="1:8" x14ac:dyDescent="0.2">
      <c r="A847" s="1186" t="s">
        <v>15</v>
      </c>
      <c r="B847" s="1186" t="s">
        <v>909</v>
      </c>
      <c r="C847" s="1186" t="s">
        <v>1987</v>
      </c>
      <c r="D847" s="1186" t="s">
        <v>1986</v>
      </c>
      <c r="E847" s="1186" t="s">
        <v>2031</v>
      </c>
      <c r="F847" s="1186" t="s">
        <v>2033</v>
      </c>
      <c r="G847" s="1186" t="s">
        <v>852</v>
      </c>
      <c r="H847" s="1186">
        <v>2</v>
      </c>
    </row>
    <row r="848" spans="1:8" x14ac:dyDescent="0.2">
      <c r="A848" s="1186" t="s">
        <v>15</v>
      </c>
      <c r="B848" s="1186" t="s">
        <v>909</v>
      </c>
      <c r="C848" s="1186" t="s">
        <v>1987</v>
      </c>
      <c r="D848" s="1186" t="s">
        <v>1986</v>
      </c>
      <c r="E848" s="1186" t="s">
        <v>2031</v>
      </c>
      <c r="F848" s="1186" t="s">
        <v>2034</v>
      </c>
      <c r="G848" s="1186" t="s">
        <v>828</v>
      </c>
      <c r="H848" s="1186">
        <v>30</v>
      </c>
    </row>
    <row r="849" spans="1:8" x14ac:dyDescent="0.2">
      <c r="A849" s="1186" t="s">
        <v>15</v>
      </c>
      <c r="B849" s="1186" t="s">
        <v>909</v>
      </c>
      <c r="C849" s="1186" t="s">
        <v>1987</v>
      </c>
      <c r="D849" s="1186" t="s">
        <v>1986</v>
      </c>
      <c r="E849" s="1186" t="s">
        <v>2035</v>
      </c>
      <c r="F849" s="1186" t="s">
        <v>2032</v>
      </c>
      <c r="G849" s="1186" t="s">
        <v>828</v>
      </c>
      <c r="H849" s="1186">
        <v>6</v>
      </c>
    </row>
    <row r="850" spans="1:8" x14ac:dyDescent="0.2">
      <c r="A850" s="1186" t="s">
        <v>15</v>
      </c>
      <c r="B850" s="1186" t="s">
        <v>909</v>
      </c>
      <c r="C850" s="1186" t="s">
        <v>1987</v>
      </c>
      <c r="D850" s="1186" t="s">
        <v>1986</v>
      </c>
      <c r="E850" s="1186" t="s">
        <v>2035</v>
      </c>
      <c r="F850" s="1186" t="s">
        <v>2032</v>
      </c>
      <c r="G850" s="1186" t="s">
        <v>850</v>
      </c>
      <c r="H850" s="1186">
        <v>2</v>
      </c>
    </row>
    <row r="851" spans="1:8" x14ac:dyDescent="0.2">
      <c r="A851" s="1186" t="s">
        <v>15</v>
      </c>
      <c r="B851" s="1186" t="s">
        <v>909</v>
      </c>
      <c r="C851" s="1186" t="s">
        <v>1987</v>
      </c>
      <c r="D851" s="1186" t="s">
        <v>1986</v>
      </c>
      <c r="E851" s="1186" t="s">
        <v>2035</v>
      </c>
      <c r="F851" s="1186" t="s">
        <v>2032</v>
      </c>
      <c r="G851" s="1186" t="s">
        <v>851</v>
      </c>
      <c r="H851" s="1186">
        <v>9</v>
      </c>
    </row>
    <row r="852" spans="1:8" x14ac:dyDescent="0.2">
      <c r="A852" s="1186" t="s">
        <v>15</v>
      </c>
      <c r="B852" s="1186" t="s">
        <v>909</v>
      </c>
      <c r="C852" s="1186" t="s">
        <v>1987</v>
      </c>
      <c r="D852" s="1186" t="s">
        <v>1986</v>
      </c>
      <c r="E852" s="1186" t="s">
        <v>2035</v>
      </c>
      <c r="F852" s="1186" t="s">
        <v>2032</v>
      </c>
      <c r="G852" s="1186" t="s">
        <v>852</v>
      </c>
      <c r="H852" s="1186">
        <v>4</v>
      </c>
    </row>
    <row r="853" spans="1:8" x14ac:dyDescent="0.2">
      <c r="A853" s="1186" t="s">
        <v>15</v>
      </c>
      <c r="B853" s="1186" t="s">
        <v>909</v>
      </c>
      <c r="C853" s="1186" t="s">
        <v>1987</v>
      </c>
      <c r="D853" s="1186" t="s">
        <v>1986</v>
      </c>
      <c r="E853" s="1186" t="s">
        <v>2035</v>
      </c>
      <c r="F853" s="1186" t="s">
        <v>2033</v>
      </c>
      <c r="G853" s="1186" t="s">
        <v>828</v>
      </c>
      <c r="H853" s="1186">
        <v>35</v>
      </c>
    </row>
    <row r="854" spans="1:8" x14ac:dyDescent="0.2">
      <c r="A854" s="1186" t="s">
        <v>15</v>
      </c>
      <c r="B854" s="1186" t="s">
        <v>909</v>
      </c>
      <c r="C854" s="1186" t="s">
        <v>1987</v>
      </c>
      <c r="D854" s="1186" t="s">
        <v>1986</v>
      </c>
      <c r="E854" s="1186" t="s">
        <v>2035</v>
      </c>
      <c r="F854" s="1186" t="s">
        <v>2033</v>
      </c>
      <c r="G854" s="1186" t="s">
        <v>850</v>
      </c>
      <c r="H854" s="1186">
        <v>4</v>
      </c>
    </row>
    <row r="855" spans="1:8" x14ac:dyDescent="0.2">
      <c r="A855" s="1186" t="s">
        <v>15</v>
      </c>
      <c r="B855" s="1186" t="s">
        <v>909</v>
      </c>
      <c r="C855" s="1186" t="s">
        <v>1987</v>
      </c>
      <c r="D855" s="1186" t="s">
        <v>1986</v>
      </c>
      <c r="E855" s="1186" t="s">
        <v>2035</v>
      </c>
      <c r="F855" s="1186" t="s">
        <v>2033</v>
      </c>
      <c r="G855" s="1186" t="s">
        <v>851</v>
      </c>
      <c r="H855" s="1186">
        <v>160</v>
      </c>
    </row>
    <row r="856" spans="1:8" x14ac:dyDescent="0.2">
      <c r="A856" s="1186" t="s">
        <v>15</v>
      </c>
      <c r="B856" s="1186" t="s">
        <v>909</v>
      </c>
      <c r="C856" s="1186" t="s">
        <v>1987</v>
      </c>
      <c r="D856" s="1186" t="s">
        <v>1986</v>
      </c>
      <c r="E856" s="1186" t="s">
        <v>2035</v>
      </c>
      <c r="F856" s="1186" t="s">
        <v>2033</v>
      </c>
      <c r="G856" s="1186" t="s">
        <v>852</v>
      </c>
      <c r="H856" s="1186">
        <v>13</v>
      </c>
    </row>
    <row r="857" spans="1:8" x14ac:dyDescent="0.2">
      <c r="A857" s="1186" t="s">
        <v>15</v>
      </c>
      <c r="B857" s="1186" t="s">
        <v>909</v>
      </c>
      <c r="C857" s="1186" t="s">
        <v>1987</v>
      </c>
      <c r="D857" s="1186" t="s">
        <v>1986</v>
      </c>
      <c r="E857" s="1186" t="s">
        <v>2035</v>
      </c>
      <c r="F857" s="1186" t="s">
        <v>2034</v>
      </c>
      <c r="G857" s="1186" t="s">
        <v>828</v>
      </c>
      <c r="H857" s="1186">
        <v>68</v>
      </c>
    </row>
    <row r="858" spans="1:8" x14ac:dyDescent="0.2">
      <c r="A858" s="1186" t="s">
        <v>15</v>
      </c>
      <c r="B858" s="1186" t="s">
        <v>909</v>
      </c>
      <c r="C858" s="1186" t="s">
        <v>1987</v>
      </c>
      <c r="D858" s="1186" t="s">
        <v>1986</v>
      </c>
      <c r="E858" s="1186" t="s">
        <v>2035</v>
      </c>
      <c r="F858" s="1186" t="s">
        <v>2034</v>
      </c>
      <c r="G858" s="1186" t="s">
        <v>850</v>
      </c>
      <c r="H858" s="1186">
        <v>27</v>
      </c>
    </row>
    <row r="859" spans="1:8" x14ac:dyDescent="0.2">
      <c r="A859" s="1186" t="s">
        <v>15</v>
      </c>
      <c r="B859" s="1186" t="s">
        <v>909</v>
      </c>
      <c r="C859" s="1186" t="s">
        <v>1987</v>
      </c>
      <c r="D859" s="1186" t="s">
        <v>1986</v>
      </c>
      <c r="E859" s="1186" t="s">
        <v>2035</v>
      </c>
      <c r="F859" s="1186" t="s">
        <v>2034</v>
      </c>
      <c r="G859" s="1186" t="s">
        <v>851</v>
      </c>
      <c r="H859" s="1186">
        <v>35</v>
      </c>
    </row>
    <row r="860" spans="1:8" x14ac:dyDescent="0.2">
      <c r="A860" s="1186" t="s">
        <v>15</v>
      </c>
      <c r="B860" s="1186" t="s">
        <v>909</v>
      </c>
      <c r="C860" s="1186" t="s">
        <v>1987</v>
      </c>
      <c r="D860" s="1186" t="s">
        <v>1986</v>
      </c>
      <c r="E860" s="1186" t="s">
        <v>2035</v>
      </c>
      <c r="F860" s="1186" t="s">
        <v>2034</v>
      </c>
      <c r="G860" s="1186" t="s">
        <v>852</v>
      </c>
      <c r="H860" s="1186">
        <v>13</v>
      </c>
    </row>
    <row r="861" spans="1:8" x14ac:dyDescent="0.2">
      <c r="A861" s="1186" t="s">
        <v>15</v>
      </c>
      <c r="B861" s="1186" t="s">
        <v>910</v>
      </c>
      <c r="C861" s="1186" t="s">
        <v>1987</v>
      </c>
      <c r="D861" s="1186" t="s">
        <v>1988</v>
      </c>
      <c r="E861" s="1186" t="s">
        <v>2031</v>
      </c>
      <c r="F861" s="1186" t="s">
        <v>2032</v>
      </c>
      <c r="G861" s="1186" t="s">
        <v>828</v>
      </c>
      <c r="H861" s="1186">
        <v>2</v>
      </c>
    </row>
    <row r="862" spans="1:8" x14ac:dyDescent="0.2">
      <c r="A862" s="1186" t="s">
        <v>15</v>
      </c>
      <c r="B862" s="1186" t="s">
        <v>910</v>
      </c>
      <c r="C862" s="1186" t="s">
        <v>1987</v>
      </c>
      <c r="D862" s="1186" t="s">
        <v>1988</v>
      </c>
      <c r="E862" s="1186" t="s">
        <v>2031</v>
      </c>
      <c r="F862" s="1186" t="s">
        <v>2033</v>
      </c>
      <c r="G862" s="1186" t="s">
        <v>828</v>
      </c>
      <c r="H862" s="1186">
        <v>127</v>
      </c>
    </row>
    <row r="863" spans="1:8" x14ac:dyDescent="0.2">
      <c r="A863" s="1186" t="s">
        <v>15</v>
      </c>
      <c r="B863" s="1186" t="s">
        <v>910</v>
      </c>
      <c r="C863" s="1186" t="s">
        <v>1987</v>
      </c>
      <c r="D863" s="1186" t="s">
        <v>1988</v>
      </c>
      <c r="E863" s="1186" t="s">
        <v>2031</v>
      </c>
      <c r="F863" s="1186" t="s">
        <v>2033</v>
      </c>
      <c r="G863" s="1186" t="s">
        <v>850</v>
      </c>
      <c r="H863" s="1186">
        <v>10</v>
      </c>
    </row>
    <row r="864" spans="1:8" x14ac:dyDescent="0.2">
      <c r="A864" s="1186" t="s">
        <v>15</v>
      </c>
      <c r="B864" s="1186" t="s">
        <v>910</v>
      </c>
      <c r="C864" s="1186" t="s">
        <v>1987</v>
      </c>
      <c r="D864" s="1186" t="s">
        <v>1988</v>
      </c>
      <c r="E864" s="1186" t="s">
        <v>2031</v>
      </c>
      <c r="F864" s="1186" t="s">
        <v>2033</v>
      </c>
      <c r="G864" s="1186" t="s">
        <v>851</v>
      </c>
      <c r="H864" s="1186">
        <v>2</v>
      </c>
    </row>
    <row r="865" spans="1:8" x14ac:dyDescent="0.2">
      <c r="A865" s="1186" t="s">
        <v>15</v>
      </c>
      <c r="B865" s="1186" t="s">
        <v>910</v>
      </c>
      <c r="C865" s="1186" t="s">
        <v>1987</v>
      </c>
      <c r="D865" s="1186" t="s">
        <v>1988</v>
      </c>
      <c r="E865" s="1186" t="s">
        <v>2031</v>
      </c>
      <c r="F865" s="1186" t="s">
        <v>2033</v>
      </c>
      <c r="G865" s="1186" t="s">
        <v>852</v>
      </c>
      <c r="H865" s="1186">
        <v>1</v>
      </c>
    </row>
    <row r="866" spans="1:8" x14ac:dyDescent="0.2">
      <c r="A866" s="1186" t="s">
        <v>15</v>
      </c>
      <c r="B866" s="1186" t="s">
        <v>910</v>
      </c>
      <c r="C866" s="1186" t="s">
        <v>1987</v>
      </c>
      <c r="D866" s="1186" t="s">
        <v>1988</v>
      </c>
      <c r="E866" s="1186" t="s">
        <v>2031</v>
      </c>
      <c r="F866" s="1186" t="s">
        <v>2034</v>
      </c>
      <c r="G866" s="1186" t="s">
        <v>828</v>
      </c>
      <c r="H866" s="1186">
        <v>30</v>
      </c>
    </row>
    <row r="867" spans="1:8" x14ac:dyDescent="0.2">
      <c r="A867" s="1186" t="s">
        <v>15</v>
      </c>
      <c r="B867" s="1186" t="s">
        <v>910</v>
      </c>
      <c r="C867" s="1186" t="s">
        <v>1987</v>
      </c>
      <c r="D867" s="1186" t="s">
        <v>1988</v>
      </c>
      <c r="E867" s="1186" t="s">
        <v>2031</v>
      </c>
      <c r="F867" s="1186" t="s">
        <v>2034</v>
      </c>
      <c r="G867" s="1186" t="s">
        <v>850</v>
      </c>
      <c r="H867" s="1186">
        <v>2</v>
      </c>
    </row>
    <row r="868" spans="1:8" x14ac:dyDescent="0.2">
      <c r="A868" s="1186" t="s">
        <v>15</v>
      </c>
      <c r="B868" s="1186" t="s">
        <v>910</v>
      </c>
      <c r="C868" s="1186" t="s">
        <v>1987</v>
      </c>
      <c r="D868" s="1186" t="s">
        <v>1988</v>
      </c>
      <c r="E868" s="1186" t="s">
        <v>2035</v>
      </c>
      <c r="F868" s="1186" t="s">
        <v>2032</v>
      </c>
      <c r="G868" s="1186" t="s">
        <v>828</v>
      </c>
      <c r="H868" s="1186">
        <v>3</v>
      </c>
    </row>
    <row r="869" spans="1:8" x14ac:dyDescent="0.2">
      <c r="A869" s="1186" t="s">
        <v>15</v>
      </c>
      <c r="B869" s="1186" t="s">
        <v>910</v>
      </c>
      <c r="C869" s="1186" t="s">
        <v>1987</v>
      </c>
      <c r="D869" s="1186" t="s">
        <v>1988</v>
      </c>
      <c r="E869" s="1186" t="s">
        <v>2035</v>
      </c>
      <c r="F869" s="1186" t="s">
        <v>2032</v>
      </c>
      <c r="G869" s="1186" t="s">
        <v>851</v>
      </c>
      <c r="H869" s="1186">
        <v>9</v>
      </c>
    </row>
    <row r="870" spans="1:8" x14ac:dyDescent="0.2">
      <c r="A870" s="1186" t="s">
        <v>15</v>
      </c>
      <c r="B870" s="1186" t="s">
        <v>910</v>
      </c>
      <c r="C870" s="1186" t="s">
        <v>1987</v>
      </c>
      <c r="D870" s="1186" t="s">
        <v>1988</v>
      </c>
      <c r="E870" s="1186" t="s">
        <v>2035</v>
      </c>
      <c r="F870" s="1186" t="s">
        <v>2032</v>
      </c>
      <c r="G870" s="1186" t="s">
        <v>852</v>
      </c>
      <c r="H870" s="1186">
        <v>5</v>
      </c>
    </row>
    <row r="871" spans="1:8" x14ac:dyDescent="0.2">
      <c r="A871" s="1186" t="s">
        <v>15</v>
      </c>
      <c r="B871" s="1186" t="s">
        <v>910</v>
      </c>
      <c r="C871" s="1186" t="s">
        <v>1987</v>
      </c>
      <c r="D871" s="1186" t="s">
        <v>1988</v>
      </c>
      <c r="E871" s="1186" t="s">
        <v>2035</v>
      </c>
      <c r="F871" s="1186" t="s">
        <v>2033</v>
      </c>
      <c r="G871" s="1186" t="s">
        <v>828</v>
      </c>
      <c r="H871" s="1186">
        <v>22</v>
      </c>
    </row>
    <row r="872" spans="1:8" x14ac:dyDescent="0.2">
      <c r="A872" s="1186" t="s">
        <v>15</v>
      </c>
      <c r="B872" s="1186" t="s">
        <v>910</v>
      </c>
      <c r="C872" s="1186" t="s">
        <v>1987</v>
      </c>
      <c r="D872" s="1186" t="s">
        <v>1988</v>
      </c>
      <c r="E872" s="1186" t="s">
        <v>2035</v>
      </c>
      <c r="F872" s="1186" t="s">
        <v>2033</v>
      </c>
      <c r="G872" s="1186" t="s">
        <v>850</v>
      </c>
      <c r="H872" s="1186">
        <v>6</v>
      </c>
    </row>
    <row r="873" spans="1:8" x14ac:dyDescent="0.2">
      <c r="A873" s="1186" t="s">
        <v>15</v>
      </c>
      <c r="B873" s="1186" t="s">
        <v>910</v>
      </c>
      <c r="C873" s="1186" t="s">
        <v>1987</v>
      </c>
      <c r="D873" s="1186" t="s">
        <v>1988</v>
      </c>
      <c r="E873" s="1186" t="s">
        <v>2035</v>
      </c>
      <c r="F873" s="1186" t="s">
        <v>2033</v>
      </c>
      <c r="G873" s="1186" t="s">
        <v>851</v>
      </c>
      <c r="H873" s="1186">
        <v>145</v>
      </c>
    </row>
    <row r="874" spans="1:8" x14ac:dyDescent="0.2">
      <c r="A874" s="1186" t="s">
        <v>15</v>
      </c>
      <c r="B874" s="1186" t="s">
        <v>910</v>
      </c>
      <c r="C874" s="1186" t="s">
        <v>1987</v>
      </c>
      <c r="D874" s="1186" t="s">
        <v>1988</v>
      </c>
      <c r="E874" s="1186" t="s">
        <v>2035</v>
      </c>
      <c r="F874" s="1186" t="s">
        <v>2033</v>
      </c>
      <c r="G874" s="1186" t="s">
        <v>852</v>
      </c>
      <c r="H874" s="1186">
        <v>15</v>
      </c>
    </row>
    <row r="875" spans="1:8" x14ac:dyDescent="0.2">
      <c r="A875" s="1186" t="s">
        <v>15</v>
      </c>
      <c r="B875" s="1186" t="s">
        <v>910</v>
      </c>
      <c r="C875" s="1186" t="s">
        <v>1987</v>
      </c>
      <c r="D875" s="1186" t="s">
        <v>1988</v>
      </c>
      <c r="E875" s="1186" t="s">
        <v>2035</v>
      </c>
      <c r="F875" s="1186" t="s">
        <v>2034</v>
      </c>
      <c r="G875" s="1186" t="s">
        <v>828</v>
      </c>
      <c r="H875" s="1186">
        <v>68</v>
      </c>
    </row>
    <row r="876" spans="1:8" x14ac:dyDescent="0.2">
      <c r="A876" s="1186" t="s">
        <v>15</v>
      </c>
      <c r="B876" s="1186" t="s">
        <v>910</v>
      </c>
      <c r="C876" s="1186" t="s">
        <v>1987</v>
      </c>
      <c r="D876" s="1186" t="s">
        <v>1988</v>
      </c>
      <c r="E876" s="1186" t="s">
        <v>2035</v>
      </c>
      <c r="F876" s="1186" t="s">
        <v>2034</v>
      </c>
      <c r="G876" s="1186" t="s">
        <v>850</v>
      </c>
      <c r="H876" s="1186">
        <v>19</v>
      </c>
    </row>
    <row r="877" spans="1:8" x14ac:dyDescent="0.2">
      <c r="A877" s="1186" t="s">
        <v>15</v>
      </c>
      <c r="B877" s="1186" t="s">
        <v>910</v>
      </c>
      <c r="C877" s="1186" t="s">
        <v>1987</v>
      </c>
      <c r="D877" s="1186" t="s">
        <v>1988</v>
      </c>
      <c r="E877" s="1186" t="s">
        <v>2035</v>
      </c>
      <c r="F877" s="1186" t="s">
        <v>2034</v>
      </c>
      <c r="G877" s="1186" t="s">
        <v>851</v>
      </c>
      <c r="H877" s="1186">
        <v>27</v>
      </c>
    </row>
    <row r="878" spans="1:8" x14ac:dyDescent="0.2">
      <c r="A878" s="1186" t="s">
        <v>15</v>
      </c>
      <c r="B878" s="1186" t="s">
        <v>910</v>
      </c>
      <c r="C878" s="1186" t="s">
        <v>1987</v>
      </c>
      <c r="D878" s="1186" t="s">
        <v>1988</v>
      </c>
      <c r="E878" s="1186" t="s">
        <v>2035</v>
      </c>
      <c r="F878" s="1186" t="s">
        <v>2034</v>
      </c>
      <c r="G878" s="1186" t="s">
        <v>852</v>
      </c>
      <c r="H878" s="1186">
        <v>11</v>
      </c>
    </row>
    <row r="879" spans="1:8" x14ac:dyDescent="0.2">
      <c r="A879" s="1186" t="s">
        <v>15</v>
      </c>
      <c r="B879" s="1186" t="s">
        <v>911</v>
      </c>
      <c r="C879" s="1186" t="s">
        <v>1987</v>
      </c>
      <c r="D879" s="1186" t="s">
        <v>1988</v>
      </c>
      <c r="E879" s="1186" t="s">
        <v>2031</v>
      </c>
      <c r="F879" s="1186" t="s">
        <v>2032</v>
      </c>
      <c r="G879" s="1186" t="s">
        <v>828</v>
      </c>
      <c r="H879" s="1186">
        <v>4</v>
      </c>
    </row>
    <row r="880" spans="1:8" x14ac:dyDescent="0.2">
      <c r="A880" s="1186" t="s">
        <v>15</v>
      </c>
      <c r="B880" s="1186" t="s">
        <v>911</v>
      </c>
      <c r="C880" s="1186" t="s">
        <v>1987</v>
      </c>
      <c r="D880" s="1186" t="s">
        <v>1988</v>
      </c>
      <c r="E880" s="1186" t="s">
        <v>2031</v>
      </c>
      <c r="F880" s="1186" t="s">
        <v>2032</v>
      </c>
      <c r="G880" s="1186" t="s">
        <v>850</v>
      </c>
      <c r="H880" s="1186">
        <v>2</v>
      </c>
    </row>
    <row r="881" spans="1:8" x14ac:dyDescent="0.2">
      <c r="A881" s="1186" t="s">
        <v>15</v>
      </c>
      <c r="B881" s="1186" t="s">
        <v>911</v>
      </c>
      <c r="C881" s="1186" t="s">
        <v>1987</v>
      </c>
      <c r="D881" s="1186" t="s">
        <v>1988</v>
      </c>
      <c r="E881" s="1186" t="s">
        <v>2031</v>
      </c>
      <c r="F881" s="1186" t="s">
        <v>2033</v>
      </c>
      <c r="G881" s="1186" t="s">
        <v>828</v>
      </c>
      <c r="H881" s="1186">
        <v>107</v>
      </c>
    </row>
    <row r="882" spans="1:8" x14ac:dyDescent="0.2">
      <c r="A882" s="1186" t="s">
        <v>15</v>
      </c>
      <c r="B882" s="1186" t="s">
        <v>911</v>
      </c>
      <c r="C882" s="1186" t="s">
        <v>1987</v>
      </c>
      <c r="D882" s="1186" t="s">
        <v>1988</v>
      </c>
      <c r="E882" s="1186" t="s">
        <v>2031</v>
      </c>
      <c r="F882" s="1186" t="s">
        <v>2033</v>
      </c>
      <c r="G882" s="1186" t="s">
        <v>850</v>
      </c>
      <c r="H882" s="1186">
        <v>10</v>
      </c>
    </row>
    <row r="883" spans="1:8" x14ac:dyDescent="0.2">
      <c r="A883" s="1186" t="s">
        <v>15</v>
      </c>
      <c r="B883" s="1186" t="s">
        <v>911</v>
      </c>
      <c r="C883" s="1186" t="s">
        <v>1987</v>
      </c>
      <c r="D883" s="1186" t="s">
        <v>1988</v>
      </c>
      <c r="E883" s="1186" t="s">
        <v>2031</v>
      </c>
      <c r="F883" s="1186" t="s">
        <v>2033</v>
      </c>
      <c r="G883" s="1186" t="s">
        <v>851</v>
      </c>
      <c r="H883" s="1186">
        <v>2</v>
      </c>
    </row>
    <row r="884" spans="1:8" x14ac:dyDescent="0.2">
      <c r="A884" s="1186" t="s">
        <v>15</v>
      </c>
      <c r="B884" s="1186" t="s">
        <v>911</v>
      </c>
      <c r="C884" s="1186" t="s">
        <v>1987</v>
      </c>
      <c r="D884" s="1186" t="s">
        <v>1988</v>
      </c>
      <c r="E884" s="1186" t="s">
        <v>2031</v>
      </c>
      <c r="F884" s="1186" t="s">
        <v>2034</v>
      </c>
      <c r="G884" s="1186" t="s">
        <v>828</v>
      </c>
      <c r="H884" s="1186">
        <v>23</v>
      </c>
    </row>
    <row r="885" spans="1:8" x14ac:dyDescent="0.2">
      <c r="A885" s="1186" t="s">
        <v>15</v>
      </c>
      <c r="B885" s="1186" t="s">
        <v>911</v>
      </c>
      <c r="C885" s="1186" t="s">
        <v>1987</v>
      </c>
      <c r="D885" s="1186" t="s">
        <v>1988</v>
      </c>
      <c r="E885" s="1186" t="s">
        <v>2031</v>
      </c>
      <c r="F885" s="1186" t="s">
        <v>2034</v>
      </c>
      <c r="G885" s="1186" t="s">
        <v>850</v>
      </c>
      <c r="H885" s="1186">
        <v>1</v>
      </c>
    </row>
    <row r="886" spans="1:8" x14ac:dyDescent="0.2">
      <c r="A886" s="1186" t="s">
        <v>15</v>
      </c>
      <c r="B886" s="1186" t="s">
        <v>911</v>
      </c>
      <c r="C886" s="1186" t="s">
        <v>1987</v>
      </c>
      <c r="D886" s="1186" t="s">
        <v>1988</v>
      </c>
      <c r="E886" s="1186" t="s">
        <v>2035</v>
      </c>
      <c r="F886" s="1186" t="s">
        <v>2032</v>
      </c>
      <c r="G886" s="1186" t="s">
        <v>828</v>
      </c>
      <c r="H886" s="1186">
        <v>6</v>
      </c>
    </row>
    <row r="887" spans="1:8" x14ac:dyDescent="0.2">
      <c r="A887" s="1186" t="s">
        <v>15</v>
      </c>
      <c r="B887" s="1186" t="s">
        <v>911</v>
      </c>
      <c r="C887" s="1186" t="s">
        <v>1987</v>
      </c>
      <c r="D887" s="1186" t="s">
        <v>1988</v>
      </c>
      <c r="E887" s="1186" t="s">
        <v>2035</v>
      </c>
      <c r="F887" s="1186" t="s">
        <v>2032</v>
      </c>
      <c r="G887" s="1186" t="s">
        <v>850</v>
      </c>
      <c r="H887" s="1186">
        <v>2</v>
      </c>
    </row>
    <row r="888" spans="1:8" x14ac:dyDescent="0.2">
      <c r="A888" s="1186" t="s">
        <v>15</v>
      </c>
      <c r="B888" s="1186" t="s">
        <v>911</v>
      </c>
      <c r="C888" s="1186" t="s">
        <v>1987</v>
      </c>
      <c r="D888" s="1186" t="s">
        <v>1988</v>
      </c>
      <c r="E888" s="1186" t="s">
        <v>2035</v>
      </c>
      <c r="F888" s="1186" t="s">
        <v>2032</v>
      </c>
      <c r="G888" s="1186" t="s">
        <v>851</v>
      </c>
      <c r="H888" s="1186">
        <v>10</v>
      </c>
    </row>
    <row r="889" spans="1:8" x14ac:dyDescent="0.2">
      <c r="A889" s="1186" t="s">
        <v>15</v>
      </c>
      <c r="B889" s="1186" t="s">
        <v>911</v>
      </c>
      <c r="C889" s="1186" t="s">
        <v>1987</v>
      </c>
      <c r="D889" s="1186" t="s">
        <v>1988</v>
      </c>
      <c r="E889" s="1186" t="s">
        <v>2035</v>
      </c>
      <c r="F889" s="1186" t="s">
        <v>2032</v>
      </c>
      <c r="G889" s="1186" t="s">
        <v>852</v>
      </c>
      <c r="H889" s="1186">
        <v>2</v>
      </c>
    </row>
    <row r="890" spans="1:8" x14ac:dyDescent="0.2">
      <c r="A890" s="1186" t="s">
        <v>15</v>
      </c>
      <c r="B890" s="1186" t="s">
        <v>911</v>
      </c>
      <c r="C890" s="1186" t="s">
        <v>1987</v>
      </c>
      <c r="D890" s="1186" t="s">
        <v>1988</v>
      </c>
      <c r="E890" s="1186" t="s">
        <v>2035</v>
      </c>
      <c r="F890" s="1186" t="s">
        <v>2033</v>
      </c>
      <c r="G890" s="1186" t="s">
        <v>828</v>
      </c>
      <c r="H890" s="1186">
        <v>28</v>
      </c>
    </row>
    <row r="891" spans="1:8" x14ac:dyDescent="0.2">
      <c r="A891" s="1186" t="s">
        <v>15</v>
      </c>
      <c r="B891" s="1186" t="s">
        <v>911</v>
      </c>
      <c r="C891" s="1186" t="s">
        <v>1987</v>
      </c>
      <c r="D891" s="1186" t="s">
        <v>1988</v>
      </c>
      <c r="E891" s="1186" t="s">
        <v>2035</v>
      </c>
      <c r="F891" s="1186" t="s">
        <v>2033</v>
      </c>
      <c r="G891" s="1186" t="s">
        <v>850</v>
      </c>
      <c r="H891" s="1186">
        <v>13</v>
      </c>
    </row>
    <row r="892" spans="1:8" x14ac:dyDescent="0.2">
      <c r="A892" s="1186" t="s">
        <v>15</v>
      </c>
      <c r="B892" s="1186" t="s">
        <v>911</v>
      </c>
      <c r="C892" s="1186" t="s">
        <v>1987</v>
      </c>
      <c r="D892" s="1186" t="s">
        <v>1988</v>
      </c>
      <c r="E892" s="1186" t="s">
        <v>2035</v>
      </c>
      <c r="F892" s="1186" t="s">
        <v>2033</v>
      </c>
      <c r="G892" s="1186" t="s">
        <v>851</v>
      </c>
      <c r="H892" s="1186">
        <v>138</v>
      </c>
    </row>
    <row r="893" spans="1:8" x14ac:dyDescent="0.2">
      <c r="A893" s="1186" t="s">
        <v>15</v>
      </c>
      <c r="B893" s="1186" t="s">
        <v>911</v>
      </c>
      <c r="C893" s="1186" t="s">
        <v>1987</v>
      </c>
      <c r="D893" s="1186" t="s">
        <v>1988</v>
      </c>
      <c r="E893" s="1186" t="s">
        <v>2035</v>
      </c>
      <c r="F893" s="1186" t="s">
        <v>2033</v>
      </c>
      <c r="G893" s="1186" t="s">
        <v>852</v>
      </c>
      <c r="H893" s="1186">
        <v>12</v>
      </c>
    </row>
    <row r="894" spans="1:8" x14ac:dyDescent="0.2">
      <c r="A894" s="1186" t="s">
        <v>15</v>
      </c>
      <c r="B894" s="1186" t="s">
        <v>911</v>
      </c>
      <c r="C894" s="1186" t="s">
        <v>1987</v>
      </c>
      <c r="D894" s="1186" t="s">
        <v>1988</v>
      </c>
      <c r="E894" s="1186" t="s">
        <v>2035</v>
      </c>
      <c r="F894" s="1186" t="s">
        <v>2034</v>
      </c>
      <c r="G894" s="1186" t="s">
        <v>828</v>
      </c>
      <c r="H894" s="1186">
        <v>62</v>
      </c>
    </row>
    <row r="895" spans="1:8" x14ac:dyDescent="0.2">
      <c r="A895" s="1186" t="s">
        <v>15</v>
      </c>
      <c r="B895" s="1186" t="s">
        <v>911</v>
      </c>
      <c r="C895" s="1186" t="s">
        <v>1987</v>
      </c>
      <c r="D895" s="1186" t="s">
        <v>1988</v>
      </c>
      <c r="E895" s="1186" t="s">
        <v>2035</v>
      </c>
      <c r="F895" s="1186" t="s">
        <v>2034</v>
      </c>
      <c r="G895" s="1186" t="s">
        <v>850</v>
      </c>
      <c r="H895" s="1186">
        <v>32</v>
      </c>
    </row>
    <row r="896" spans="1:8" x14ac:dyDescent="0.2">
      <c r="A896" s="1186" t="s">
        <v>15</v>
      </c>
      <c r="B896" s="1186" t="s">
        <v>911</v>
      </c>
      <c r="C896" s="1186" t="s">
        <v>1987</v>
      </c>
      <c r="D896" s="1186" t="s">
        <v>1988</v>
      </c>
      <c r="E896" s="1186" t="s">
        <v>2035</v>
      </c>
      <c r="F896" s="1186" t="s">
        <v>2034</v>
      </c>
      <c r="G896" s="1186" t="s">
        <v>851</v>
      </c>
      <c r="H896" s="1186">
        <v>27</v>
      </c>
    </row>
    <row r="897" spans="1:8" x14ac:dyDescent="0.2">
      <c r="A897" s="1186" t="s">
        <v>15</v>
      </c>
      <c r="B897" s="1186" t="s">
        <v>911</v>
      </c>
      <c r="C897" s="1186" t="s">
        <v>1987</v>
      </c>
      <c r="D897" s="1186" t="s">
        <v>1988</v>
      </c>
      <c r="E897" s="1186" t="s">
        <v>2035</v>
      </c>
      <c r="F897" s="1186" t="s">
        <v>2034</v>
      </c>
      <c r="G897" s="1186" t="s">
        <v>852</v>
      </c>
      <c r="H897" s="1186">
        <v>12</v>
      </c>
    </row>
    <row r="898" spans="1:8" x14ac:dyDescent="0.2">
      <c r="A898" s="1186" t="s">
        <v>15</v>
      </c>
      <c r="B898" s="1186" t="s">
        <v>912</v>
      </c>
      <c r="C898" s="1186" t="s">
        <v>1981</v>
      </c>
      <c r="D898" s="1186" t="s">
        <v>1988</v>
      </c>
      <c r="E898" s="1186" t="s">
        <v>2031</v>
      </c>
      <c r="F898" s="1186" t="s">
        <v>2032</v>
      </c>
      <c r="G898" s="1186" t="s">
        <v>828</v>
      </c>
      <c r="H898" s="1186">
        <v>7</v>
      </c>
    </row>
    <row r="899" spans="1:8" x14ac:dyDescent="0.2">
      <c r="A899" s="1186" t="s">
        <v>15</v>
      </c>
      <c r="B899" s="1186" t="s">
        <v>912</v>
      </c>
      <c r="C899" s="1186" t="s">
        <v>1981</v>
      </c>
      <c r="D899" s="1186" t="s">
        <v>1988</v>
      </c>
      <c r="E899" s="1186" t="s">
        <v>2031</v>
      </c>
      <c r="F899" s="1186" t="s">
        <v>2033</v>
      </c>
      <c r="G899" s="1186" t="s">
        <v>828</v>
      </c>
      <c r="H899" s="1186">
        <v>101</v>
      </c>
    </row>
    <row r="900" spans="1:8" x14ac:dyDescent="0.2">
      <c r="A900" s="1186" t="s">
        <v>15</v>
      </c>
      <c r="B900" s="1186" t="s">
        <v>912</v>
      </c>
      <c r="C900" s="1186" t="s">
        <v>1981</v>
      </c>
      <c r="D900" s="1186" t="s">
        <v>1988</v>
      </c>
      <c r="E900" s="1186" t="s">
        <v>2031</v>
      </c>
      <c r="F900" s="1186" t="s">
        <v>2033</v>
      </c>
      <c r="G900" s="1186" t="s">
        <v>850</v>
      </c>
      <c r="H900" s="1186">
        <v>4</v>
      </c>
    </row>
    <row r="901" spans="1:8" x14ac:dyDescent="0.2">
      <c r="A901" s="1186" t="s">
        <v>15</v>
      </c>
      <c r="B901" s="1186" t="s">
        <v>912</v>
      </c>
      <c r="C901" s="1186" t="s">
        <v>1981</v>
      </c>
      <c r="D901" s="1186" t="s">
        <v>1988</v>
      </c>
      <c r="E901" s="1186" t="s">
        <v>2031</v>
      </c>
      <c r="F901" s="1186" t="s">
        <v>2033</v>
      </c>
      <c r="G901" s="1186" t="s">
        <v>852</v>
      </c>
      <c r="H901" s="1186">
        <v>8</v>
      </c>
    </row>
    <row r="902" spans="1:8" x14ac:dyDescent="0.2">
      <c r="A902" s="1186" t="s">
        <v>15</v>
      </c>
      <c r="B902" s="1186" t="s">
        <v>912</v>
      </c>
      <c r="C902" s="1186" t="s">
        <v>1981</v>
      </c>
      <c r="D902" s="1186" t="s">
        <v>1988</v>
      </c>
      <c r="E902" s="1186" t="s">
        <v>2031</v>
      </c>
      <c r="F902" s="1186" t="s">
        <v>2034</v>
      </c>
      <c r="G902" s="1186" t="s">
        <v>828</v>
      </c>
      <c r="H902" s="1186">
        <v>33</v>
      </c>
    </row>
    <row r="903" spans="1:8" x14ac:dyDescent="0.2">
      <c r="A903" s="1186" t="s">
        <v>15</v>
      </c>
      <c r="B903" s="1186" t="s">
        <v>912</v>
      </c>
      <c r="C903" s="1186" t="s">
        <v>1981</v>
      </c>
      <c r="D903" s="1186" t="s">
        <v>1988</v>
      </c>
      <c r="E903" s="1186" t="s">
        <v>2031</v>
      </c>
      <c r="F903" s="1186" t="s">
        <v>2034</v>
      </c>
      <c r="G903" s="1186" t="s">
        <v>850</v>
      </c>
      <c r="H903" s="1186">
        <v>1</v>
      </c>
    </row>
    <row r="904" spans="1:8" x14ac:dyDescent="0.2">
      <c r="A904" s="1186" t="s">
        <v>15</v>
      </c>
      <c r="B904" s="1186" t="s">
        <v>912</v>
      </c>
      <c r="C904" s="1186" t="s">
        <v>1981</v>
      </c>
      <c r="D904" s="1186" t="s">
        <v>1988</v>
      </c>
      <c r="E904" s="1186" t="s">
        <v>2035</v>
      </c>
      <c r="F904" s="1186" t="s">
        <v>2032</v>
      </c>
      <c r="G904" s="1186" t="s">
        <v>828</v>
      </c>
      <c r="H904" s="1186">
        <v>3</v>
      </c>
    </row>
    <row r="905" spans="1:8" x14ac:dyDescent="0.2">
      <c r="A905" s="1186" t="s">
        <v>15</v>
      </c>
      <c r="B905" s="1186" t="s">
        <v>912</v>
      </c>
      <c r="C905" s="1186" t="s">
        <v>1981</v>
      </c>
      <c r="D905" s="1186" t="s">
        <v>1988</v>
      </c>
      <c r="E905" s="1186" t="s">
        <v>2035</v>
      </c>
      <c r="F905" s="1186" t="s">
        <v>2032</v>
      </c>
      <c r="G905" s="1186" t="s">
        <v>851</v>
      </c>
      <c r="H905" s="1186">
        <v>6</v>
      </c>
    </row>
    <row r="906" spans="1:8" x14ac:dyDescent="0.2">
      <c r="A906" s="1186" t="s">
        <v>15</v>
      </c>
      <c r="B906" s="1186" t="s">
        <v>912</v>
      </c>
      <c r="C906" s="1186" t="s">
        <v>1981</v>
      </c>
      <c r="D906" s="1186" t="s">
        <v>1988</v>
      </c>
      <c r="E906" s="1186" t="s">
        <v>2035</v>
      </c>
      <c r="F906" s="1186" t="s">
        <v>2032</v>
      </c>
      <c r="G906" s="1186" t="s">
        <v>852</v>
      </c>
      <c r="H906" s="1186">
        <v>5</v>
      </c>
    </row>
    <row r="907" spans="1:8" x14ac:dyDescent="0.2">
      <c r="A907" s="1186" t="s">
        <v>15</v>
      </c>
      <c r="B907" s="1186" t="s">
        <v>912</v>
      </c>
      <c r="C907" s="1186" t="s">
        <v>1981</v>
      </c>
      <c r="D907" s="1186" t="s">
        <v>1988</v>
      </c>
      <c r="E907" s="1186" t="s">
        <v>2035</v>
      </c>
      <c r="F907" s="1186" t="s">
        <v>2033</v>
      </c>
      <c r="G907" s="1186" t="s">
        <v>828</v>
      </c>
      <c r="H907" s="1186">
        <v>11</v>
      </c>
    </row>
    <row r="908" spans="1:8" x14ac:dyDescent="0.2">
      <c r="A908" s="1186" t="s">
        <v>15</v>
      </c>
      <c r="B908" s="1186" t="s">
        <v>912</v>
      </c>
      <c r="C908" s="1186" t="s">
        <v>1981</v>
      </c>
      <c r="D908" s="1186" t="s">
        <v>1988</v>
      </c>
      <c r="E908" s="1186" t="s">
        <v>2035</v>
      </c>
      <c r="F908" s="1186" t="s">
        <v>2033</v>
      </c>
      <c r="G908" s="1186" t="s">
        <v>850</v>
      </c>
      <c r="H908" s="1186">
        <v>7</v>
      </c>
    </row>
    <row r="909" spans="1:8" x14ac:dyDescent="0.2">
      <c r="A909" s="1186" t="s">
        <v>15</v>
      </c>
      <c r="B909" s="1186" t="s">
        <v>912</v>
      </c>
      <c r="C909" s="1186" t="s">
        <v>1981</v>
      </c>
      <c r="D909" s="1186" t="s">
        <v>1988</v>
      </c>
      <c r="E909" s="1186" t="s">
        <v>2035</v>
      </c>
      <c r="F909" s="1186" t="s">
        <v>2033</v>
      </c>
      <c r="G909" s="1186" t="s">
        <v>851</v>
      </c>
      <c r="H909" s="1186">
        <v>121</v>
      </c>
    </row>
    <row r="910" spans="1:8" x14ac:dyDescent="0.2">
      <c r="A910" s="1186" t="s">
        <v>15</v>
      </c>
      <c r="B910" s="1186" t="s">
        <v>912</v>
      </c>
      <c r="C910" s="1186" t="s">
        <v>1981</v>
      </c>
      <c r="D910" s="1186" t="s">
        <v>1988</v>
      </c>
      <c r="E910" s="1186" t="s">
        <v>2035</v>
      </c>
      <c r="F910" s="1186" t="s">
        <v>2033</v>
      </c>
      <c r="G910" s="1186" t="s">
        <v>852</v>
      </c>
      <c r="H910" s="1186">
        <v>19</v>
      </c>
    </row>
    <row r="911" spans="1:8" x14ac:dyDescent="0.2">
      <c r="A911" s="1186" t="s">
        <v>15</v>
      </c>
      <c r="B911" s="1186" t="s">
        <v>912</v>
      </c>
      <c r="C911" s="1186" t="s">
        <v>1981</v>
      </c>
      <c r="D911" s="1186" t="s">
        <v>1988</v>
      </c>
      <c r="E911" s="1186" t="s">
        <v>2035</v>
      </c>
      <c r="F911" s="1186" t="s">
        <v>2034</v>
      </c>
      <c r="G911" s="1186" t="s">
        <v>828</v>
      </c>
      <c r="H911" s="1186">
        <v>39</v>
      </c>
    </row>
    <row r="912" spans="1:8" x14ac:dyDescent="0.2">
      <c r="A912" s="1186" t="s">
        <v>15</v>
      </c>
      <c r="B912" s="1186" t="s">
        <v>912</v>
      </c>
      <c r="C912" s="1186" t="s">
        <v>1981</v>
      </c>
      <c r="D912" s="1186" t="s">
        <v>1988</v>
      </c>
      <c r="E912" s="1186" t="s">
        <v>2035</v>
      </c>
      <c r="F912" s="1186" t="s">
        <v>2034</v>
      </c>
      <c r="G912" s="1186" t="s">
        <v>850</v>
      </c>
      <c r="H912" s="1186">
        <v>33</v>
      </c>
    </row>
    <row r="913" spans="1:8" x14ac:dyDescent="0.2">
      <c r="A913" s="1186" t="s">
        <v>15</v>
      </c>
      <c r="B913" s="1186" t="s">
        <v>912</v>
      </c>
      <c r="C913" s="1186" t="s">
        <v>1981</v>
      </c>
      <c r="D913" s="1186" t="s">
        <v>1988</v>
      </c>
      <c r="E913" s="1186" t="s">
        <v>2035</v>
      </c>
      <c r="F913" s="1186" t="s">
        <v>2034</v>
      </c>
      <c r="G913" s="1186" t="s">
        <v>851</v>
      </c>
      <c r="H913" s="1186">
        <v>22</v>
      </c>
    </row>
    <row r="914" spans="1:8" x14ac:dyDescent="0.2">
      <c r="A914" s="1186" t="s">
        <v>15</v>
      </c>
      <c r="B914" s="1186" t="s">
        <v>912</v>
      </c>
      <c r="C914" s="1186" t="s">
        <v>1981</v>
      </c>
      <c r="D914" s="1186" t="s">
        <v>1988</v>
      </c>
      <c r="E914" s="1186" t="s">
        <v>2035</v>
      </c>
      <c r="F914" s="1186" t="s">
        <v>2034</v>
      </c>
      <c r="G914" s="1186" t="s">
        <v>852</v>
      </c>
      <c r="H914" s="1186">
        <v>11</v>
      </c>
    </row>
    <row r="915" spans="1:8" x14ac:dyDescent="0.2">
      <c r="A915" s="1186" t="s">
        <v>17</v>
      </c>
      <c r="B915" s="1186" t="s">
        <v>913</v>
      </c>
      <c r="C915" s="1186" t="s">
        <v>1981</v>
      </c>
      <c r="D915" s="1186" t="s">
        <v>1982</v>
      </c>
      <c r="E915" s="1186" t="s">
        <v>2031</v>
      </c>
      <c r="F915" s="1186" t="s">
        <v>2032</v>
      </c>
      <c r="G915" s="1186" t="s">
        <v>828</v>
      </c>
      <c r="H915" s="1186">
        <v>2</v>
      </c>
    </row>
    <row r="916" spans="1:8" x14ac:dyDescent="0.2">
      <c r="A916" s="1186" t="s">
        <v>17</v>
      </c>
      <c r="B916" s="1186" t="s">
        <v>913</v>
      </c>
      <c r="C916" s="1186" t="s">
        <v>1981</v>
      </c>
      <c r="D916" s="1186" t="s">
        <v>1982</v>
      </c>
      <c r="E916" s="1186" t="s">
        <v>2031</v>
      </c>
      <c r="F916" s="1186" t="s">
        <v>2033</v>
      </c>
      <c r="G916" s="1186" t="s">
        <v>828</v>
      </c>
      <c r="H916" s="1186">
        <v>93</v>
      </c>
    </row>
    <row r="917" spans="1:8" x14ac:dyDescent="0.2">
      <c r="A917" s="1186" t="s">
        <v>17</v>
      </c>
      <c r="B917" s="1186" t="s">
        <v>913</v>
      </c>
      <c r="C917" s="1186" t="s">
        <v>1981</v>
      </c>
      <c r="D917" s="1186" t="s">
        <v>1982</v>
      </c>
      <c r="E917" s="1186" t="s">
        <v>2031</v>
      </c>
      <c r="F917" s="1186" t="s">
        <v>2033</v>
      </c>
      <c r="G917" s="1186" t="s">
        <v>850</v>
      </c>
      <c r="H917" s="1186">
        <v>7</v>
      </c>
    </row>
    <row r="918" spans="1:8" x14ac:dyDescent="0.2">
      <c r="A918" s="1186" t="s">
        <v>17</v>
      </c>
      <c r="B918" s="1186" t="s">
        <v>913</v>
      </c>
      <c r="C918" s="1186" t="s">
        <v>1981</v>
      </c>
      <c r="D918" s="1186" t="s">
        <v>1982</v>
      </c>
      <c r="E918" s="1186" t="s">
        <v>2031</v>
      </c>
      <c r="F918" s="1186" t="s">
        <v>2033</v>
      </c>
      <c r="G918" s="1186" t="s">
        <v>852</v>
      </c>
      <c r="H918" s="1186">
        <v>4</v>
      </c>
    </row>
    <row r="919" spans="1:8" x14ac:dyDescent="0.2">
      <c r="A919" s="1186" t="s">
        <v>17</v>
      </c>
      <c r="B919" s="1186" t="s">
        <v>913</v>
      </c>
      <c r="C919" s="1186" t="s">
        <v>1981</v>
      </c>
      <c r="D919" s="1186" t="s">
        <v>1982</v>
      </c>
      <c r="E919" s="1186" t="s">
        <v>2031</v>
      </c>
      <c r="F919" s="1186" t="s">
        <v>2034</v>
      </c>
      <c r="G919" s="1186" t="s">
        <v>828</v>
      </c>
      <c r="H919" s="1186">
        <v>38</v>
      </c>
    </row>
    <row r="920" spans="1:8" x14ac:dyDescent="0.2">
      <c r="A920" s="1186" t="s">
        <v>17</v>
      </c>
      <c r="B920" s="1186" t="s">
        <v>913</v>
      </c>
      <c r="C920" s="1186" t="s">
        <v>1981</v>
      </c>
      <c r="D920" s="1186" t="s">
        <v>1982</v>
      </c>
      <c r="E920" s="1186" t="s">
        <v>2035</v>
      </c>
      <c r="F920" s="1186" t="s">
        <v>2032</v>
      </c>
      <c r="G920" s="1186" t="s">
        <v>828</v>
      </c>
      <c r="H920" s="1186">
        <v>6</v>
      </c>
    </row>
    <row r="921" spans="1:8" x14ac:dyDescent="0.2">
      <c r="A921" s="1186" t="s">
        <v>17</v>
      </c>
      <c r="B921" s="1186" t="s">
        <v>913</v>
      </c>
      <c r="C921" s="1186" t="s">
        <v>1981</v>
      </c>
      <c r="D921" s="1186" t="s">
        <v>1982</v>
      </c>
      <c r="E921" s="1186" t="s">
        <v>2035</v>
      </c>
      <c r="F921" s="1186" t="s">
        <v>2032</v>
      </c>
      <c r="G921" s="1186" t="s">
        <v>851</v>
      </c>
      <c r="H921" s="1186">
        <v>10</v>
      </c>
    </row>
    <row r="922" spans="1:8" x14ac:dyDescent="0.2">
      <c r="A922" s="1186" t="s">
        <v>17</v>
      </c>
      <c r="B922" s="1186" t="s">
        <v>913</v>
      </c>
      <c r="C922" s="1186" t="s">
        <v>1981</v>
      </c>
      <c r="D922" s="1186" t="s">
        <v>1982</v>
      </c>
      <c r="E922" s="1186" t="s">
        <v>2035</v>
      </c>
      <c r="F922" s="1186" t="s">
        <v>2032</v>
      </c>
      <c r="G922" s="1186" t="s">
        <v>852</v>
      </c>
      <c r="H922" s="1186">
        <v>8</v>
      </c>
    </row>
    <row r="923" spans="1:8" x14ac:dyDescent="0.2">
      <c r="A923" s="1186" t="s">
        <v>17</v>
      </c>
      <c r="B923" s="1186" t="s">
        <v>913</v>
      </c>
      <c r="C923" s="1186" t="s">
        <v>1981</v>
      </c>
      <c r="D923" s="1186" t="s">
        <v>1982</v>
      </c>
      <c r="E923" s="1186" t="s">
        <v>2035</v>
      </c>
      <c r="F923" s="1186" t="s">
        <v>2033</v>
      </c>
      <c r="G923" s="1186" t="s">
        <v>828</v>
      </c>
      <c r="H923" s="1186">
        <v>20</v>
      </c>
    </row>
    <row r="924" spans="1:8" x14ac:dyDescent="0.2">
      <c r="A924" s="1186" t="s">
        <v>17</v>
      </c>
      <c r="B924" s="1186" t="s">
        <v>913</v>
      </c>
      <c r="C924" s="1186" t="s">
        <v>1981</v>
      </c>
      <c r="D924" s="1186" t="s">
        <v>1982</v>
      </c>
      <c r="E924" s="1186" t="s">
        <v>2035</v>
      </c>
      <c r="F924" s="1186" t="s">
        <v>2033</v>
      </c>
      <c r="G924" s="1186" t="s">
        <v>850</v>
      </c>
      <c r="H924" s="1186">
        <v>15</v>
      </c>
    </row>
    <row r="925" spans="1:8" x14ac:dyDescent="0.2">
      <c r="A925" s="1186" t="s">
        <v>17</v>
      </c>
      <c r="B925" s="1186" t="s">
        <v>913</v>
      </c>
      <c r="C925" s="1186" t="s">
        <v>1981</v>
      </c>
      <c r="D925" s="1186" t="s">
        <v>1982</v>
      </c>
      <c r="E925" s="1186" t="s">
        <v>2035</v>
      </c>
      <c r="F925" s="1186" t="s">
        <v>2033</v>
      </c>
      <c r="G925" s="1186" t="s">
        <v>851</v>
      </c>
      <c r="H925" s="1186">
        <v>140</v>
      </c>
    </row>
    <row r="926" spans="1:8" x14ac:dyDescent="0.2">
      <c r="A926" s="1186" t="s">
        <v>17</v>
      </c>
      <c r="B926" s="1186" t="s">
        <v>913</v>
      </c>
      <c r="C926" s="1186" t="s">
        <v>1981</v>
      </c>
      <c r="D926" s="1186" t="s">
        <v>1982</v>
      </c>
      <c r="E926" s="1186" t="s">
        <v>2035</v>
      </c>
      <c r="F926" s="1186" t="s">
        <v>2033</v>
      </c>
      <c r="G926" s="1186" t="s">
        <v>852</v>
      </c>
      <c r="H926" s="1186">
        <v>13</v>
      </c>
    </row>
    <row r="927" spans="1:8" x14ac:dyDescent="0.2">
      <c r="A927" s="1186" t="s">
        <v>17</v>
      </c>
      <c r="B927" s="1186" t="s">
        <v>913</v>
      </c>
      <c r="C927" s="1186" t="s">
        <v>1981</v>
      </c>
      <c r="D927" s="1186" t="s">
        <v>1982</v>
      </c>
      <c r="E927" s="1186" t="s">
        <v>2035</v>
      </c>
      <c r="F927" s="1186" t="s">
        <v>2034</v>
      </c>
      <c r="G927" s="1186" t="s">
        <v>828</v>
      </c>
      <c r="H927" s="1186">
        <v>57</v>
      </c>
    </row>
    <row r="928" spans="1:8" x14ac:dyDescent="0.2">
      <c r="A928" s="1186" t="s">
        <v>17</v>
      </c>
      <c r="B928" s="1186" t="s">
        <v>913</v>
      </c>
      <c r="C928" s="1186" t="s">
        <v>1981</v>
      </c>
      <c r="D928" s="1186" t="s">
        <v>1982</v>
      </c>
      <c r="E928" s="1186" t="s">
        <v>2035</v>
      </c>
      <c r="F928" s="1186" t="s">
        <v>2034</v>
      </c>
      <c r="G928" s="1186" t="s">
        <v>850</v>
      </c>
      <c r="H928" s="1186">
        <v>17</v>
      </c>
    </row>
    <row r="929" spans="1:8" x14ac:dyDescent="0.2">
      <c r="A929" s="1186" t="s">
        <v>17</v>
      </c>
      <c r="B929" s="1186" t="s">
        <v>913</v>
      </c>
      <c r="C929" s="1186" t="s">
        <v>1981</v>
      </c>
      <c r="D929" s="1186" t="s">
        <v>1982</v>
      </c>
      <c r="E929" s="1186" t="s">
        <v>2035</v>
      </c>
      <c r="F929" s="1186" t="s">
        <v>2034</v>
      </c>
      <c r="G929" s="1186" t="s">
        <v>851</v>
      </c>
      <c r="H929" s="1186">
        <v>19</v>
      </c>
    </row>
    <row r="930" spans="1:8" x14ac:dyDescent="0.2">
      <c r="A930" s="1186" t="s">
        <v>17</v>
      </c>
      <c r="B930" s="1186" t="s">
        <v>913</v>
      </c>
      <c r="C930" s="1186" t="s">
        <v>1981</v>
      </c>
      <c r="D930" s="1186" t="s">
        <v>1982</v>
      </c>
      <c r="E930" s="1186" t="s">
        <v>2035</v>
      </c>
      <c r="F930" s="1186" t="s">
        <v>2034</v>
      </c>
      <c r="G930" s="1186" t="s">
        <v>852</v>
      </c>
      <c r="H930" s="1186">
        <v>15</v>
      </c>
    </row>
    <row r="931" spans="1:8" x14ac:dyDescent="0.2">
      <c r="A931" s="1186" t="s">
        <v>17</v>
      </c>
      <c r="B931" s="1186" t="s">
        <v>914</v>
      </c>
      <c r="C931" s="1186" t="s">
        <v>1981</v>
      </c>
      <c r="D931" s="1186" t="s">
        <v>1982</v>
      </c>
      <c r="E931" s="1186" t="s">
        <v>2031</v>
      </c>
      <c r="F931" s="1186" t="s">
        <v>2032</v>
      </c>
      <c r="G931" s="1186" t="s">
        <v>828</v>
      </c>
      <c r="H931" s="1186">
        <v>5</v>
      </c>
    </row>
    <row r="932" spans="1:8" x14ac:dyDescent="0.2">
      <c r="A932" s="1186" t="s">
        <v>17</v>
      </c>
      <c r="B932" s="1186" t="s">
        <v>914</v>
      </c>
      <c r="C932" s="1186" t="s">
        <v>1981</v>
      </c>
      <c r="D932" s="1186" t="s">
        <v>1982</v>
      </c>
      <c r="E932" s="1186" t="s">
        <v>2031</v>
      </c>
      <c r="F932" s="1186" t="s">
        <v>2032</v>
      </c>
      <c r="G932" s="1186" t="s">
        <v>851</v>
      </c>
      <c r="H932" s="1186">
        <v>1</v>
      </c>
    </row>
    <row r="933" spans="1:8" x14ac:dyDescent="0.2">
      <c r="A933" s="1186" t="s">
        <v>17</v>
      </c>
      <c r="B933" s="1186" t="s">
        <v>914</v>
      </c>
      <c r="C933" s="1186" t="s">
        <v>1981</v>
      </c>
      <c r="D933" s="1186" t="s">
        <v>1982</v>
      </c>
      <c r="E933" s="1186" t="s">
        <v>2031</v>
      </c>
      <c r="F933" s="1186" t="s">
        <v>2033</v>
      </c>
      <c r="G933" s="1186" t="s">
        <v>828</v>
      </c>
      <c r="H933" s="1186">
        <v>105</v>
      </c>
    </row>
    <row r="934" spans="1:8" x14ac:dyDescent="0.2">
      <c r="A934" s="1186" t="s">
        <v>17</v>
      </c>
      <c r="B934" s="1186" t="s">
        <v>914</v>
      </c>
      <c r="C934" s="1186" t="s">
        <v>1981</v>
      </c>
      <c r="D934" s="1186" t="s">
        <v>1982</v>
      </c>
      <c r="E934" s="1186" t="s">
        <v>2031</v>
      </c>
      <c r="F934" s="1186" t="s">
        <v>2033</v>
      </c>
      <c r="G934" s="1186" t="s">
        <v>850</v>
      </c>
      <c r="H934" s="1186">
        <v>12</v>
      </c>
    </row>
    <row r="935" spans="1:8" x14ac:dyDescent="0.2">
      <c r="A935" s="1186" t="s">
        <v>17</v>
      </c>
      <c r="B935" s="1186" t="s">
        <v>914</v>
      </c>
      <c r="C935" s="1186" t="s">
        <v>1981</v>
      </c>
      <c r="D935" s="1186" t="s">
        <v>1982</v>
      </c>
      <c r="E935" s="1186" t="s">
        <v>2031</v>
      </c>
      <c r="F935" s="1186" t="s">
        <v>2033</v>
      </c>
      <c r="G935" s="1186" t="s">
        <v>851</v>
      </c>
      <c r="H935" s="1186">
        <v>12</v>
      </c>
    </row>
    <row r="936" spans="1:8" x14ac:dyDescent="0.2">
      <c r="A936" s="1186" t="s">
        <v>17</v>
      </c>
      <c r="B936" s="1186" t="s">
        <v>914</v>
      </c>
      <c r="C936" s="1186" t="s">
        <v>1981</v>
      </c>
      <c r="D936" s="1186" t="s">
        <v>1982</v>
      </c>
      <c r="E936" s="1186" t="s">
        <v>2031</v>
      </c>
      <c r="F936" s="1186" t="s">
        <v>2033</v>
      </c>
      <c r="G936" s="1186" t="s">
        <v>852</v>
      </c>
      <c r="H936" s="1186">
        <v>5</v>
      </c>
    </row>
    <row r="937" spans="1:8" x14ac:dyDescent="0.2">
      <c r="A937" s="1186" t="s">
        <v>17</v>
      </c>
      <c r="B937" s="1186" t="s">
        <v>914</v>
      </c>
      <c r="C937" s="1186" t="s">
        <v>1981</v>
      </c>
      <c r="D937" s="1186" t="s">
        <v>1982</v>
      </c>
      <c r="E937" s="1186" t="s">
        <v>2031</v>
      </c>
      <c r="F937" s="1186" t="s">
        <v>2034</v>
      </c>
      <c r="G937" s="1186" t="s">
        <v>828</v>
      </c>
      <c r="H937" s="1186">
        <v>21</v>
      </c>
    </row>
    <row r="938" spans="1:8" x14ac:dyDescent="0.2">
      <c r="A938" s="1186" t="s">
        <v>17</v>
      </c>
      <c r="B938" s="1186" t="s">
        <v>914</v>
      </c>
      <c r="C938" s="1186" t="s">
        <v>1981</v>
      </c>
      <c r="D938" s="1186" t="s">
        <v>1982</v>
      </c>
      <c r="E938" s="1186" t="s">
        <v>2031</v>
      </c>
      <c r="F938" s="1186" t="s">
        <v>2034</v>
      </c>
      <c r="G938" s="1186" t="s">
        <v>850</v>
      </c>
      <c r="H938" s="1186">
        <v>4</v>
      </c>
    </row>
    <row r="939" spans="1:8" x14ac:dyDescent="0.2">
      <c r="A939" s="1186" t="s">
        <v>17</v>
      </c>
      <c r="B939" s="1186" t="s">
        <v>914</v>
      </c>
      <c r="C939" s="1186" t="s">
        <v>1981</v>
      </c>
      <c r="D939" s="1186" t="s">
        <v>1982</v>
      </c>
      <c r="E939" s="1186" t="s">
        <v>2035</v>
      </c>
      <c r="F939" s="1186" t="s">
        <v>2032</v>
      </c>
      <c r="G939" s="1186" t="s">
        <v>828</v>
      </c>
      <c r="H939" s="1186">
        <v>6</v>
      </c>
    </row>
    <row r="940" spans="1:8" x14ac:dyDescent="0.2">
      <c r="A940" s="1186" t="s">
        <v>17</v>
      </c>
      <c r="B940" s="1186" t="s">
        <v>914</v>
      </c>
      <c r="C940" s="1186" t="s">
        <v>1981</v>
      </c>
      <c r="D940" s="1186" t="s">
        <v>1982</v>
      </c>
      <c r="E940" s="1186" t="s">
        <v>2035</v>
      </c>
      <c r="F940" s="1186" t="s">
        <v>2032</v>
      </c>
      <c r="G940" s="1186" t="s">
        <v>850</v>
      </c>
      <c r="H940" s="1186">
        <v>1</v>
      </c>
    </row>
    <row r="941" spans="1:8" x14ac:dyDescent="0.2">
      <c r="A941" s="1186" t="s">
        <v>17</v>
      </c>
      <c r="B941" s="1186" t="s">
        <v>914</v>
      </c>
      <c r="C941" s="1186" t="s">
        <v>1981</v>
      </c>
      <c r="D941" s="1186" t="s">
        <v>1982</v>
      </c>
      <c r="E941" s="1186" t="s">
        <v>2035</v>
      </c>
      <c r="F941" s="1186" t="s">
        <v>2032</v>
      </c>
      <c r="G941" s="1186" t="s">
        <v>851</v>
      </c>
      <c r="H941" s="1186">
        <v>10</v>
      </c>
    </row>
    <row r="942" spans="1:8" x14ac:dyDescent="0.2">
      <c r="A942" s="1186" t="s">
        <v>17</v>
      </c>
      <c r="B942" s="1186" t="s">
        <v>914</v>
      </c>
      <c r="C942" s="1186" t="s">
        <v>1981</v>
      </c>
      <c r="D942" s="1186" t="s">
        <v>1982</v>
      </c>
      <c r="E942" s="1186" t="s">
        <v>2035</v>
      </c>
      <c r="F942" s="1186" t="s">
        <v>2032</v>
      </c>
      <c r="G942" s="1186" t="s">
        <v>852</v>
      </c>
      <c r="H942" s="1186">
        <v>2</v>
      </c>
    </row>
    <row r="943" spans="1:8" x14ac:dyDescent="0.2">
      <c r="A943" s="1186" t="s">
        <v>17</v>
      </c>
      <c r="B943" s="1186" t="s">
        <v>914</v>
      </c>
      <c r="C943" s="1186" t="s">
        <v>1981</v>
      </c>
      <c r="D943" s="1186" t="s">
        <v>1982</v>
      </c>
      <c r="E943" s="1186" t="s">
        <v>2035</v>
      </c>
      <c r="F943" s="1186" t="s">
        <v>2033</v>
      </c>
      <c r="G943" s="1186" t="s">
        <v>828</v>
      </c>
      <c r="H943" s="1186">
        <v>21</v>
      </c>
    </row>
    <row r="944" spans="1:8" x14ac:dyDescent="0.2">
      <c r="A944" s="1186" t="s">
        <v>17</v>
      </c>
      <c r="B944" s="1186" t="s">
        <v>914</v>
      </c>
      <c r="C944" s="1186" t="s">
        <v>1981</v>
      </c>
      <c r="D944" s="1186" t="s">
        <v>1982</v>
      </c>
      <c r="E944" s="1186" t="s">
        <v>2035</v>
      </c>
      <c r="F944" s="1186" t="s">
        <v>2033</v>
      </c>
      <c r="G944" s="1186" t="s">
        <v>850</v>
      </c>
      <c r="H944" s="1186">
        <v>6</v>
      </c>
    </row>
    <row r="945" spans="1:8" x14ac:dyDescent="0.2">
      <c r="A945" s="1186" t="s">
        <v>17</v>
      </c>
      <c r="B945" s="1186" t="s">
        <v>914</v>
      </c>
      <c r="C945" s="1186" t="s">
        <v>1981</v>
      </c>
      <c r="D945" s="1186" t="s">
        <v>1982</v>
      </c>
      <c r="E945" s="1186" t="s">
        <v>2035</v>
      </c>
      <c r="F945" s="1186" t="s">
        <v>2033</v>
      </c>
      <c r="G945" s="1186" t="s">
        <v>851</v>
      </c>
      <c r="H945" s="1186">
        <v>159</v>
      </c>
    </row>
    <row r="946" spans="1:8" x14ac:dyDescent="0.2">
      <c r="A946" s="1186" t="s">
        <v>17</v>
      </c>
      <c r="B946" s="1186" t="s">
        <v>914</v>
      </c>
      <c r="C946" s="1186" t="s">
        <v>1981</v>
      </c>
      <c r="D946" s="1186" t="s">
        <v>1982</v>
      </c>
      <c r="E946" s="1186" t="s">
        <v>2035</v>
      </c>
      <c r="F946" s="1186" t="s">
        <v>2033</v>
      </c>
      <c r="G946" s="1186" t="s">
        <v>852</v>
      </c>
      <c r="H946" s="1186">
        <v>31</v>
      </c>
    </row>
    <row r="947" spans="1:8" x14ac:dyDescent="0.2">
      <c r="A947" s="1186" t="s">
        <v>17</v>
      </c>
      <c r="B947" s="1186" t="s">
        <v>914</v>
      </c>
      <c r="C947" s="1186" t="s">
        <v>1981</v>
      </c>
      <c r="D947" s="1186" t="s">
        <v>1982</v>
      </c>
      <c r="E947" s="1186" t="s">
        <v>2035</v>
      </c>
      <c r="F947" s="1186" t="s">
        <v>2034</v>
      </c>
      <c r="G947" s="1186" t="s">
        <v>828</v>
      </c>
      <c r="H947" s="1186">
        <v>46</v>
      </c>
    </row>
    <row r="948" spans="1:8" x14ac:dyDescent="0.2">
      <c r="A948" s="1186" t="s">
        <v>17</v>
      </c>
      <c r="B948" s="1186" t="s">
        <v>914</v>
      </c>
      <c r="C948" s="1186" t="s">
        <v>1981</v>
      </c>
      <c r="D948" s="1186" t="s">
        <v>1982</v>
      </c>
      <c r="E948" s="1186" t="s">
        <v>2035</v>
      </c>
      <c r="F948" s="1186" t="s">
        <v>2034</v>
      </c>
      <c r="G948" s="1186" t="s">
        <v>850</v>
      </c>
      <c r="H948" s="1186">
        <v>26</v>
      </c>
    </row>
    <row r="949" spans="1:8" x14ac:dyDescent="0.2">
      <c r="A949" s="1186" t="s">
        <v>17</v>
      </c>
      <c r="B949" s="1186" t="s">
        <v>914</v>
      </c>
      <c r="C949" s="1186" t="s">
        <v>1981</v>
      </c>
      <c r="D949" s="1186" t="s">
        <v>1982</v>
      </c>
      <c r="E949" s="1186" t="s">
        <v>2035</v>
      </c>
      <c r="F949" s="1186" t="s">
        <v>2034</v>
      </c>
      <c r="G949" s="1186" t="s">
        <v>851</v>
      </c>
      <c r="H949" s="1186">
        <v>32</v>
      </c>
    </row>
    <row r="950" spans="1:8" x14ac:dyDescent="0.2">
      <c r="A950" s="1186" t="s">
        <v>17</v>
      </c>
      <c r="B950" s="1186" t="s">
        <v>914</v>
      </c>
      <c r="C950" s="1186" t="s">
        <v>1981</v>
      </c>
      <c r="D950" s="1186" t="s">
        <v>1982</v>
      </c>
      <c r="E950" s="1186" t="s">
        <v>2035</v>
      </c>
      <c r="F950" s="1186" t="s">
        <v>2034</v>
      </c>
      <c r="G950" s="1186" t="s">
        <v>852</v>
      </c>
      <c r="H950" s="1186">
        <v>17</v>
      </c>
    </row>
    <row r="951" spans="1:8" x14ac:dyDescent="0.2">
      <c r="A951" s="1186" t="s">
        <v>17</v>
      </c>
      <c r="B951" s="1186" t="s">
        <v>915</v>
      </c>
      <c r="C951" s="1186" t="s">
        <v>1983</v>
      </c>
      <c r="D951" s="1186" t="s">
        <v>1982</v>
      </c>
      <c r="E951" s="1186" t="s">
        <v>2031</v>
      </c>
      <c r="F951" s="1186" t="s">
        <v>2032</v>
      </c>
      <c r="G951" s="1186" t="s">
        <v>828</v>
      </c>
      <c r="H951" s="1186">
        <v>3</v>
      </c>
    </row>
    <row r="952" spans="1:8" x14ac:dyDescent="0.2">
      <c r="A952" s="1186" t="s">
        <v>17</v>
      </c>
      <c r="B952" s="1186" t="s">
        <v>915</v>
      </c>
      <c r="C952" s="1186" t="s">
        <v>1983</v>
      </c>
      <c r="D952" s="1186" t="s">
        <v>1982</v>
      </c>
      <c r="E952" s="1186" t="s">
        <v>2031</v>
      </c>
      <c r="F952" s="1186" t="s">
        <v>2032</v>
      </c>
      <c r="G952" s="1186" t="s">
        <v>851</v>
      </c>
      <c r="H952" s="1186">
        <v>1</v>
      </c>
    </row>
    <row r="953" spans="1:8" x14ac:dyDescent="0.2">
      <c r="A953" s="1186" t="s">
        <v>17</v>
      </c>
      <c r="B953" s="1186" t="s">
        <v>915</v>
      </c>
      <c r="C953" s="1186" t="s">
        <v>1983</v>
      </c>
      <c r="D953" s="1186" t="s">
        <v>1982</v>
      </c>
      <c r="E953" s="1186" t="s">
        <v>2031</v>
      </c>
      <c r="F953" s="1186" t="s">
        <v>2033</v>
      </c>
      <c r="G953" s="1186" t="s">
        <v>828</v>
      </c>
      <c r="H953" s="1186">
        <v>90</v>
      </c>
    </row>
    <row r="954" spans="1:8" x14ac:dyDescent="0.2">
      <c r="A954" s="1186" t="s">
        <v>17</v>
      </c>
      <c r="B954" s="1186" t="s">
        <v>915</v>
      </c>
      <c r="C954" s="1186" t="s">
        <v>1983</v>
      </c>
      <c r="D954" s="1186" t="s">
        <v>1982</v>
      </c>
      <c r="E954" s="1186" t="s">
        <v>2031</v>
      </c>
      <c r="F954" s="1186" t="s">
        <v>2033</v>
      </c>
      <c r="G954" s="1186" t="s">
        <v>850</v>
      </c>
      <c r="H954" s="1186">
        <v>10</v>
      </c>
    </row>
    <row r="955" spans="1:8" x14ac:dyDescent="0.2">
      <c r="A955" s="1186" t="s">
        <v>17</v>
      </c>
      <c r="B955" s="1186" t="s">
        <v>915</v>
      </c>
      <c r="C955" s="1186" t="s">
        <v>1983</v>
      </c>
      <c r="D955" s="1186" t="s">
        <v>1982</v>
      </c>
      <c r="E955" s="1186" t="s">
        <v>2031</v>
      </c>
      <c r="F955" s="1186" t="s">
        <v>2033</v>
      </c>
      <c r="G955" s="1186" t="s">
        <v>851</v>
      </c>
      <c r="H955" s="1186">
        <v>2</v>
      </c>
    </row>
    <row r="956" spans="1:8" x14ac:dyDescent="0.2">
      <c r="A956" s="1186" t="s">
        <v>17</v>
      </c>
      <c r="B956" s="1186" t="s">
        <v>915</v>
      </c>
      <c r="C956" s="1186" t="s">
        <v>1983</v>
      </c>
      <c r="D956" s="1186" t="s">
        <v>1982</v>
      </c>
      <c r="E956" s="1186" t="s">
        <v>2031</v>
      </c>
      <c r="F956" s="1186" t="s">
        <v>2034</v>
      </c>
      <c r="G956" s="1186" t="s">
        <v>828</v>
      </c>
      <c r="H956" s="1186">
        <v>22</v>
      </c>
    </row>
    <row r="957" spans="1:8" x14ac:dyDescent="0.2">
      <c r="A957" s="1186" t="s">
        <v>17</v>
      </c>
      <c r="B957" s="1186" t="s">
        <v>915</v>
      </c>
      <c r="C957" s="1186" t="s">
        <v>1983</v>
      </c>
      <c r="D957" s="1186" t="s">
        <v>1982</v>
      </c>
      <c r="E957" s="1186" t="s">
        <v>2035</v>
      </c>
      <c r="F957" s="1186" t="s">
        <v>2032</v>
      </c>
      <c r="G957" s="1186" t="s">
        <v>828</v>
      </c>
      <c r="H957" s="1186">
        <v>2</v>
      </c>
    </row>
    <row r="958" spans="1:8" x14ac:dyDescent="0.2">
      <c r="A958" s="1186" t="s">
        <v>17</v>
      </c>
      <c r="B958" s="1186" t="s">
        <v>915</v>
      </c>
      <c r="C958" s="1186" t="s">
        <v>1983</v>
      </c>
      <c r="D958" s="1186" t="s">
        <v>1982</v>
      </c>
      <c r="E958" s="1186" t="s">
        <v>2035</v>
      </c>
      <c r="F958" s="1186" t="s">
        <v>2032</v>
      </c>
      <c r="G958" s="1186" t="s">
        <v>850</v>
      </c>
      <c r="H958" s="1186">
        <v>2</v>
      </c>
    </row>
    <row r="959" spans="1:8" x14ac:dyDescent="0.2">
      <c r="A959" s="1186" t="s">
        <v>17</v>
      </c>
      <c r="B959" s="1186" t="s">
        <v>915</v>
      </c>
      <c r="C959" s="1186" t="s">
        <v>1983</v>
      </c>
      <c r="D959" s="1186" t="s">
        <v>1982</v>
      </c>
      <c r="E959" s="1186" t="s">
        <v>2035</v>
      </c>
      <c r="F959" s="1186" t="s">
        <v>2032</v>
      </c>
      <c r="G959" s="1186" t="s">
        <v>851</v>
      </c>
      <c r="H959" s="1186">
        <v>6</v>
      </c>
    </row>
    <row r="960" spans="1:8" x14ac:dyDescent="0.2">
      <c r="A960" s="1186" t="s">
        <v>17</v>
      </c>
      <c r="B960" s="1186" t="s">
        <v>915</v>
      </c>
      <c r="C960" s="1186" t="s">
        <v>1983</v>
      </c>
      <c r="D960" s="1186" t="s">
        <v>1982</v>
      </c>
      <c r="E960" s="1186" t="s">
        <v>2035</v>
      </c>
      <c r="F960" s="1186" t="s">
        <v>2032</v>
      </c>
      <c r="G960" s="1186" t="s">
        <v>852</v>
      </c>
      <c r="H960" s="1186">
        <v>2</v>
      </c>
    </row>
    <row r="961" spans="1:8" x14ac:dyDescent="0.2">
      <c r="A961" s="1186" t="s">
        <v>17</v>
      </c>
      <c r="B961" s="1186" t="s">
        <v>915</v>
      </c>
      <c r="C961" s="1186" t="s">
        <v>1983</v>
      </c>
      <c r="D961" s="1186" t="s">
        <v>1982</v>
      </c>
      <c r="E961" s="1186" t="s">
        <v>2035</v>
      </c>
      <c r="F961" s="1186" t="s">
        <v>2033</v>
      </c>
      <c r="G961" s="1186" t="s">
        <v>828</v>
      </c>
      <c r="H961" s="1186">
        <v>31</v>
      </c>
    </row>
    <row r="962" spans="1:8" x14ac:dyDescent="0.2">
      <c r="A962" s="1186" t="s">
        <v>17</v>
      </c>
      <c r="B962" s="1186" t="s">
        <v>915</v>
      </c>
      <c r="C962" s="1186" t="s">
        <v>1983</v>
      </c>
      <c r="D962" s="1186" t="s">
        <v>1982</v>
      </c>
      <c r="E962" s="1186" t="s">
        <v>2035</v>
      </c>
      <c r="F962" s="1186" t="s">
        <v>2033</v>
      </c>
      <c r="G962" s="1186" t="s">
        <v>850</v>
      </c>
      <c r="H962" s="1186">
        <v>19</v>
      </c>
    </row>
    <row r="963" spans="1:8" x14ac:dyDescent="0.2">
      <c r="A963" s="1186" t="s">
        <v>17</v>
      </c>
      <c r="B963" s="1186" t="s">
        <v>915</v>
      </c>
      <c r="C963" s="1186" t="s">
        <v>1983</v>
      </c>
      <c r="D963" s="1186" t="s">
        <v>1982</v>
      </c>
      <c r="E963" s="1186" t="s">
        <v>2035</v>
      </c>
      <c r="F963" s="1186" t="s">
        <v>2033</v>
      </c>
      <c r="G963" s="1186" t="s">
        <v>851</v>
      </c>
      <c r="H963" s="1186">
        <v>151</v>
      </c>
    </row>
    <row r="964" spans="1:8" x14ac:dyDescent="0.2">
      <c r="A964" s="1186" t="s">
        <v>17</v>
      </c>
      <c r="B964" s="1186" t="s">
        <v>915</v>
      </c>
      <c r="C964" s="1186" t="s">
        <v>1983</v>
      </c>
      <c r="D964" s="1186" t="s">
        <v>1982</v>
      </c>
      <c r="E964" s="1186" t="s">
        <v>2035</v>
      </c>
      <c r="F964" s="1186" t="s">
        <v>2033</v>
      </c>
      <c r="G964" s="1186" t="s">
        <v>852</v>
      </c>
      <c r="H964" s="1186">
        <v>33</v>
      </c>
    </row>
    <row r="965" spans="1:8" x14ac:dyDescent="0.2">
      <c r="A965" s="1186" t="s">
        <v>17</v>
      </c>
      <c r="B965" s="1186" t="s">
        <v>915</v>
      </c>
      <c r="C965" s="1186" t="s">
        <v>1983</v>
      </c>
      <c r="D965" s="1186" t="s">
        <v>1982</v>
      </c>
      <c r="E965" s="1186" t="s">
        <v>2035</v>
      </c>
      <c r="F965" s="1186" t="s">
        <v>2034</v>
      </c>
      <c r="G965" s="1186" t="s">
        <v>828</v>
      </c>
      <c r="H965" s="1186">
        <v>64</v>
      </c>
    </row>
    <row r="966" spans="1:8" x14ac:dyDescent="0.2">
      <c r="A966" s="1186" t="s">
        <v>17</v>
      </c>
      <c r="B966" s="1186" t="s">
        <v>915</v>
      </c>
      <c r="C966" s="1186" t="s">
        <v>1983</v>
      </c>
      <c r="D966" s="1186" t="s">
        <v>1982</v>
      </c>
      <c r="E966" s="1186" t="s">
        <v>2035</v>
      </c>
      <c r="F966" s="1186" t="s">
        <v>2034</v>
      </c>
      <c r="G966" s="1186" t="s">
        <v>850</v>
      </c>
      <c r="H966" s="1186">
        <v>29</v>
      </c>
    </row>
    <row r="967" spans="1:8" x14ac:dyDescent="0.2">
      <c r="A967" s="1186" t="s">
        <v>17</v>
      </c>
      <c r="B967" s="1186" t="s">
        <v>915</v>
      </c>
      <c r="C967" s="1186" t="s">
        <v>1983</v>
      </c>
      <c r="D967" s="1186" t="s">
        <v>1982</v>
      </c>
      <c r="E967" s="1186" t="s">
        <v>2035</v>
      </c>
      <c r="F967" s="1186" t="s">
        <v>2034</v>
      </c>
      <c r="G967" s="1186" t="s">
        <v>851</v>
      </c>
      <c r="H967" s="1186">
        <v>39</v>
      </c>
    </row>
    <row r="968" spans="1:8" x14ac:dyDescent="0.2">
      <c r="A968" s="1186" t="s">
        <v>17</v>
      </c>
      <c r="B968" s="1186" t="s">
        <v>915</v>
      </c>
      <c r="C968" s="1186" t="s">
        <v>1983</v>
      </c>
      <c r="D968" s="1186" t="s">
        <v>1982</v>
      </c>
      <c r="E968" s="1186" t="s">
        <v>2035</v>
      </c>
      <c r="F968" s="1186" t="s">
        <v>2034</v>
      </c>
      <c r="G968" s="1186" t="s">
        <v>852</v>
      </c>
      <c r="H968" s="1186">
        <v>32</v>
      </c>
    </row>
    <row r="969" spans="1:8" x14ac:dyDescent="0.2">
      <c r="A969" s="1186" t="s">
        <v>17</v>
      </c>
      <c r="B969" s="1186" t="s">
        <v>916</v>
      </c>
      <c r="C969" s="1186" t="s">
        <v>1983</v>
      </c>
      <c r="D969" s="1186" t="s">
        <v>1984</v>
      </c>
      <c r="E969" s="1186" t="s">
        <v>2031</v>
      </c>
      <c r="F969" s="1186" t="s">
        <v>2032</v>
      </c>
      <c r="G969" s="1186" t="s">
        <v>828</v>
      </c>
      <c r="H969" s="1186">
        <v>3</v>
      </c>
    </row>
    <row r="970" spans="1:8" x14ac:dyDescent="0.2">
      <c r="A970" s="1186" t="s">
        <v>17</v>
      </c>
      <c r="B970" s="1186" t="s">
        <v>916</v>
      </c>
      <c r="C970" s="1186" t="s">
        <v>1983</v>
      </c>
      <c r="D970" s="1186" t="s">
        <v>1984</v>
      </c>
      <c r="E970" s="1186" t="s">
        <v>2031</v>
      </c>
      <c r="F970" s="1186" t="s">
        <v>2032</v>
      </c>
      <c r="G970" s="1186" t="s">
        <v>851</v>
      </c>
      <c r="H970" s="1186">
        <v>3</v>
      </c>
    </row>
    <row r="971" spans="1:8" x14ac:dyDescent="0.2">
      <c r="A971" s="1186" t="s">
        <v>17</v>
      </c>
      <c r="B971" s="1186" t="s">
        <v>916</v>
      </c>
      <c r="C971" s="1186" t="s">
        <v>1983</v>
      </c>
      <c r="D971" s="1186" t="s">
        <v>1984</v>
      </c>
      <c r="E971" s="1186" t="s">
        <v>2031</v>
      </c>
      <c r="F971" s="1186" t="s">
        <v>2032</v>
      </c>
      <c r="G971" s="1186" t="s">
        <v>852</v>
      </c>
      <c r="H971" s="1186">
        <v>1</v>
      </c>
    </row>
    <row r="972" spans="1:8" x14ac:dyDescent="0.2">
      <c r="A972" s="1186" t="s">
        <v>17</v>
      </c>
      <c r="B972" s="1186" t="s">
        <v>916</v>
      </c>
      <c r="C972" s="1186" t="s">
        <v>1983</v>
      </c>
      <c r="D972" s="1186" t="s">
        <v>1984</v>
      </c>
      <c r="E972" s="1186" t="s">
        <v>2031</v>
      </c>
      <c r="F972" s="1186" t="s">
        <v>2033</v>
      </c>
      <c r="G972" s="1186" t="s">
        <v>828</v>
      </c>
      <c r="H972" s="1186">
        <v>107</v>
      </c>
    </row>
    <row r="973" spans="1:8" x14ac:dyDescent="0.2">
      <c r="A973" s="1186" t="s">
        <v>17</v>
      </c>
      <c r="B973" s="1186" t="s">
        <v>916</v>
      </c>
      <c r="C973" s="1186" t="s">
        <v>1983</v>
      </c>
      <c r="D973" s="1186" t="s">
        <v>1984</v>
      </c>
      <c r="E973" s="1186" t="s">
        <v>2031</v>
      </c>
      <c r="F973" s="1186" t="s">
        <v>2033</v>
      </c>
      <c r="G973" s="1186" t="s">
        <v>850</v>
      </c>
      <c r="H973" s="1186">
        <v>10</v>
      </c>
    </row>
    <row r="974" spans="1:8" x14ac:dyDescent="0.2">
      <c r="A974" s="1186" t="s">
        <v>17</v>
      </c>
      <c r="B974" s="1186" t="s">
        <v>916</v>
      </c>
      <c r="C974" s="1186" t="s">
        <v>1983</v>
      </c>
      <c r="D974" s="1186" t="s">
        <v>1984</v>
      </c>
      <c r="E974" s="1186" t="s">
        <v>2031</v>
      </c>
      <c r="F974" s="1186" t="s">
        <v>2033</v>
      </c>
      <c r="G974" s="1186" t="s">
        <v>851</v>
      </c>
      <c r="H974" s="1186">
        <v>4</v>
      </c>
    </row>
    <row r="975" spans="1:8" x14ac:dyDescent="0.2">
      <c r="A975" s="1186" t="s">
        <v>17</v>
      </c>
      <c r="B975" s="1186" t="s">
        <v>916</v>
      </c>
      <c r="C975" s="1186" t="s">
        <v>1983</v>
      </c>
      <c r="D975" s="1186" t="s">
        <v>1984</v>
      </c>
      <c r="E975" s="1186" t="s">
        <v>2031</v>
      </c>
      <c r="F975" s="1186" t="s">
        <v>2033</v>
      </c>
      <c r="G975" s="1186" t="s">
        <v>852</v>
      </c>
      <c r="H975" s="1186">
        <v>9</v>
      </c>
    </row>
    <row r="976" spans="1:8" x14ac:dyDescent="0.2">
      <c r="A976" s="1186" t="s">
        <v>17</v>
      </c>
      <c r="B976" s="1186" t="s">
        <v>916</v>
      </c>
      <c r="C976" s="1186" t="s">
        <v>1983</v>
      </c>
      <c r="D976" s="1186" t="s">
        <v>1984</v>
      </c>
      <c r="E976" s="1186" t="s">
        <v>2031</v>
      </c>
      <c r="F976" s="1186" t="s">
        <v>2034</v>
      </c>
      <c r="G976" s="1186" t="s">
        <v>828</v>
      </c>
      <c r="H976" s="1186">
        <v>13</v>
      </c>
    </row>
    <row r="977" spans="1:8" x14ac:dyDescent="0.2">
      <c r="A977" s="1186" t="s">
        <v>17</v>
      </c>
      <c r="B977" s="1186" t="s">
        <v>916</v>
      </c>
      <c r="C977" s="1186" t="s">
        <v>1983</v>
      </c>
      <c r="D977" s="1186" t="s">
        <v>1984</v>
      </c>
      <c r="E977" s="1186" t="s">
        <v>2031</v>
      </c>
      <c r="F977" s="1186" t="s">
        <v>2034</v>
      </c>
      <c r="G977" s="1186" t="s">
        <v>850</v>
      </c>
      <c r="H977" s="1186">
        <v>3</v>
      </c>
    </row>
    <row r="978" spans="1:8" x14ac:dyDescent="0.2">
      <c r="A978" s="1186" t="s">
        <v>17</v>
      </c>
      <c r="B978" s="1186" t="s">
        <v>916</v>
      </c>
      <c r="C978" s="1186" t="s">
        <v>1983</v>
      </c>
      <c r="D978" s="1186" t="s">
        <v>1984</v>
      </c>
      <c r="E978" s="1186" t="s">
        <v>2031</v>
      </c>
      <c r="F978" s="1186" t="s">
        <v>2034</v>
      </c>
      <c r="G978" s="1186" t="s">
        <v>851</v>
      </c>
      <c r="H978" s="1186">
        <v>1</v>
      </c>
    </row>
    <row r="979" spans="1:8" x14ac:dyDescent="0.2">
      <c r="A979" s="1186" t="s">
        <v>17</v>
      </c>
      <c r="B979" s="1186" t="s">
        <v>916</v>
      </c>
      <c r="C979" s="1186" t="s">
        <v>1983</v>
      </c>
      <c r="D979" s="1186" t="s">
        <v>1984</v>
      </c>
      <c r="E979" s="1186" t="s">
        <v>2035</v>
      </c>
      <c r="F979" s="1186" t="s">
        <v>2032</v>
      </c>
      <c r="G979" s="1186" t="s">
        <v>850</v>
      </c>
      <c r="H979" s="1186">
        <v>1</v>
      </c>
    </row>
    <row r="980" spans="1:8" x14ac:dyDescent="0.2">
      <c r="A980" s="1186" t="s">
        <v>17</v>
      </c>
      <c r="B980" s="1186" t="s">
        <v>916</v>
      </c>
      <c r="C980" s="1186" t="s">
        <v>1983</v>
      </c>
      <c r="D980" s="1186" t="s">
        <v>1984</v>
      </c>
      <c r="E980" s="1186" t="s">
        <v>2035</v>
      </c>
      <c r="F980" s="1186" t="s">
        <v>2032</v>
      </c>
      <c r="G980" s="1186" t="s">
        <v>851</v>
      </c>
      <c r="H980" s="1186">
        <v>12</v>
      </c>
    </row>
    <row r="981" spans="1:8" x14ac:dyDescent="0.2">
      <c r="A981" s="1186" t="s">
        <v>17</v>
      </c>
      <c r="B981" s="1186" t="s">
        <v>916</v>
      </c>
      <c r="C981" s="1186" t="s">
        <v>1983</v>
      </c>
      <c r="D981" s="1186" t="s">
        <v>1984</v>
      </c>
      <c r="E981" s="1186" t="s">
        <v>2035</v>
      </c>
      <c r="F981" s="1186" t="s">
        <v>2032</v>
      </c>
      <c r="G981" s="1186" t="s">
        <v>852</v>
      </c>
      <c r="H981" s="1186">
        <v>6</v>
      </c>
    </row>
    <row r="982" spans="1:8" x14ac:dyDescent="0.2">
      <c r="A982" s="1186" t="s">
        <v>17</v>
      </c>
      <c r="B982" s="1186" t="s">
        <v>916</v>
      </c>
      <c r="C982" s="1186" t="s">
        <v>1983</v>
      </c>
      <c r="D982" s="1186" t="s">
        <v>1984</v>
      </c>
      <c r="E982" s="1186" t="s">
        <v>2035</v>
      </c>
      <c r="F982" s="1186" t="s">
        <v>2033</v>
      </c>
      <c r="G982" s="1186" t="s">
        <v>828</v>
      </c>
      <c r="H982" s="1186">
        <v>29</v>
      </c>
    </row>
    <row r="983" spans="1:8" x14ac:dyDescent="0.2">
      <c r="A983" s="1186" t="s">
        <v>17</v>
      </c>
      <c r="B983" s="1186" t="s">
        <v>916</v>
      </c>
      <c r="C983" s="1186" t="s">
        <v>1983</v>
      </c>
      <c r="D983" s="1186" t="s">
        <v>1984</v>
      </c>
      <c r="E983" s="1186" t="s">
        <v>2035</v>
      </c>
      <c r="F983" s="1186" t="s">
        <v>2033</v>
      </c>
      <c r="G983" s="1186" t="s">
        <v>850</v>
      </c>
      <c r="H983" s="1186">
        <v>13</v>
      </c>
    </row>
    <row r="984" spans="1:8" x14ac:dyDescent="0.2">
      <c r="A984" s="1186" t="s">
        <v>17</v>
      </c>
      <c r="B984" s="1186" t="s">
        <v>916</v>
      </c>
      <c r="C984" s="1186" t="s">
        <v>1983</v>
      </c>
      <c r="D984" s="1186" t="s">
        <v>1984</v>
      </c>
      <c r="E984" s="1186" t="s">
        <v>2035</v>
      </c>
      <c r="F984" s="1186" t="s">
        <v>2033</v>
      </c>
      <c r="G984" s="1186" t="s">
        <v>851</v>
      </c>
      <c r="H984" s="1186">
        <v>191</v>
      </c>
    </row>
    <row r="985" spans="1:8" x14ac:dyDescent="0.2">
      <c r="A985" s="1186" t="s">
        <v>17</v>
      </c>
      <c r="B985" s="1186" t="s">
        <v>916</v>
      </c>
      <c r="C985" s="1186" t="s">
        <v>1983</v>
      </c>
      <c r="D985" s="1186" t="s">
        <v>1984</v>
      </c>
      <c r="E985" s="1186" t="s">
        <v>2035</v>
      </c>
      <c r="F985" s="1186" t="s">
        <v>2033</v>
      </c>
      <c r="G985" s="1186" t="s">
        <v>852</v>
      </c>
      <c r="H985" s="1186">
        <v>39</v>
      </c>
    </row>
    <row r="986" spans="1:8" x14ac:dyDescent="0.2">
      <c r="A986" s="1186" t="s">
        <v>17</v>
      </c>
      <c r="B986" s="1186" t="s">
        <v>916</v>
      </c>
      <c r="C986" s="1186" t="s">
        <v>1983</v>
      </c>
      <c r="D986" s="1186" t="s">
        <v>1984</v>
      </c>
      <c r="E986" s="1186" t="s">
        <v>2035</v>
      </c>
      <c r="F986" s="1186" t="s">
        <v>2034</v>
      </c>
      <c r="G986" s="1186" t="s">
        <v>828</v>
      </c>
      <c r="H986" s="1186">
        <v>61</v>
      </c>
    </row>
    <row r="987" spans="1:8" x14ac:dyDescent="0.2">
      <c r="A987" s="1186" t="s">
        <v>17</v>
      </c>
      <c r="B987" s="1186" t="s">
        <v>916</v>
      </c>
      <c r="C987" s="1186" t="s">
        <v>1983</v>
      </c>
      <c r="D987" s="1186" t="s">
        <v>1984</v>
      </c>
      <c r="E987" s="1186" t="s">
        <v>2035</v>
      </c>
      <c r="F987" s="1186" t="s">
        <v>2034</v>
      </c>
      <c r="G987" s="1186" t="s">
        <v>850</v>
      </c>
      <c r="H987" s="1186">
        <v>29</v>
      </c>
    </row>
    <row r="988" spans="1:8" x14ac:dyDescent="0.2">
      <c r="A988" s="1186" t="s">
        <v>17</v>
      </c>
      <c r="B988" s="1186" t="s">
        <v>916</v>
      </c>
      <c r="C988" s="1186" t="s">
        <v>1983</v>
      </c>
      <c r="D988" s="1186" t="s">
        <v>1984</v>
      </c>
      <c r="E988" s="1186" t="s">
        <v>2035</v>
      </c>
      <c r="F988" s="1186" t="s">
        <v>2034</v>
      </c>
      <c r="G988" s="1186" t="s">
        <v>851</v>
      </c>
      <c r="H988" s="1186">
        <v>42</v>
      </c>
    </row>
    <row r="989" spans="1:8" x14ac:dyDescent="0.2">
      <c r="A989" s="1186" t="s">
        <v>17</v>
      </c>
      <c r="B989" s="1186" t="s">
        <v>916</v>
      </c>
      <c r="C989" s="1186" t="s">
        <v>1983</v>
      </c>
      <c r="D989" s="1186" t="s">
        <v>1984</v>
      </c>
      <c r="E989" s="1186" t="s">
        <v>2035</v>
      </c>
      <c r="F989" s="1186" t="s">
        <v>2034</v>
      </c>
      <c r="G989" s="1186" t="s">
        <v>852</v>
      </c>
      <c r="H989" s="1186">
        <v>44</v>
      </c>
    </row>
    <row r="990" spans="1:8" x14ac:dyDescent="0.2">
      <c r="A990" s="1186" t="s">
        <v>17</v>
      </c>
      <c r="B990" s="1186" t="s">
        <v>917</v>
      </c>
      <c r="C990" s="1186" t="s">
        <v>1983</v>
      </c>
      <c r="D990" s="1186" t="s">
        <v>1984</v>
      </c>
      <c r="E990" s="1186" t="s">
        <v>2031</v>
      </c>
      <c r="F990" s="1186" t="s">
        <v>2032</v>
      </c>
      <c r="G990" s="1186" t="s">
        <v>828</v>
      </c>
      <c r="H990" s="1186">
        <v>4</v>
      </c>
    </row>
    <row r="991" spans="1:8" x14ac:dyDescent="0.2">
      <c r="A991" s="1186" t="s">
        <v>17</v>
      </c>
      <c r="B991" s="1186" t="s">
        <v>917</v>
      </c>
      <c r="C991" s="1186" t="s">
        <v>1983</v>
      </c>
      <c r="D991" s="1186" t="s">
        <v>1984</v>
      </c>
      <c r="E991" s="1186" t="s">
        <v>2031</v>
      </c>
      <c r="F991" s="1186" t="s">
        <v>2032</v>
      </c>
      <c r="G991" s="1186" t="s">
        <v>851</v>
      </c>
      <c r="H991" s="1186">
        <v>1</v>
      </c>
    </row>
    <row r="992" spans="1:8" x14ac:dyDescent="0.2">
      <c r="A992" s="1186" t="s">
        <v>17</v>
      </c>
      <c r="B992" s="1186" t="s">
        <v>917</v>
      </c>
      <c r="C992" s="1186" t="s">
        <v>1983</v>
      </c>
      <c r="D992" s="1186" t="s">
        <v>1984</v>
      </c>
      <c r="E992" s="1186" t="s">
        <v>2031</v>
      </c>
      <c r="F992" s="1186" t="s">
        <v>2033</v>
      </c>
      <c r="G992" s="1186" t="s">
        <v>828</v>
      </c>
      <c r="H992" s="1186">
        <v>99</v>
      </c>
    </row>
    <row r="993" spans="1:8" x14ac:dyDescent="0.2">
      <c r="A993" s="1186" t="s">
        <v>17</v>
      </c>
      <c r="B993" s="1186" t="s">
        <v>917</v>
      </c>
      <c r="C993" s="1186" t="s">
        <v>1983</v>
      </c>
      <c r="D993" s="1186" t="s">
        <v>1984</v>
      </c>
      <c r="E993" s="1186" t="s">
        <v>2031</v>
      </c>
      <c r="F993" s="1186" t="s">
        <v>2033</v>
      </c>
      <c r="G993" s="1186" t="s">
        <v>850</v>
      </c>
      <c r="H993" s="1186">
        <v>12</v>
      </c>
    </row>
    <row r="994" spans="1:8" x14ac:dyDescent="0.2">
      <c r="A994" s="1186" t="s">
        <v>17</v>
      </c>
      <c r="B994" s="1186" t="s">
        <v>917</v>
      </c>
      <c r="C994" s="1186" t="s">
        <v>1983</v>
      </c>
      <c r="D994" s="1186" t="s">
        <v>1984</v>
      </c>
      <c r="E994" s="1186" t="s">
        <v>2031</v>
      </c>
      <c r="F994" s="1186" t="s">
        <v>2033</v>
      </c>
      <c r="G994" s="1186" t="s">
        <v>851</v>
      </c>
      <c r="H994" s="1186">
        <v>8</v>
      </c>
    </row>
    <row r="995" spans="1:8" x14ac:dyDescent="0.2">
      <c r="A995" s="1186" t="s">
        <v>17</v>
      </c>
      <c r="B995" s="1186" t="s">
        <v>917</v>
      </c>
      <c r="C995" s="1186" t="s">
        <v>1983</v>
      </c>
      <c r="D995" s="1186" t="s">
        <v>1984</v>
      </c>
      <c r="E995" s="1186" t="s">
        <v>2031</v>
      </c>
      <c r="F995" s="1186" t="s">
        <v>2033</v>
      </c>
      <c r="G995" s="1186" t="s">
        <v>852</v>
      </c>
      <c r="H995" s="1186">
        <v>7</v>
      </c>
    </row>
    <row r="996" spans="1:8" x14ac:dyDescent="0.2">
      <c r="A996" s="1186" t="s">
        <v>17</v>
      </c>
      <c r="B996" s="1186" t="s">
        <v>917</v>
      </c>
      <c r="C996" s="1186" t="s">
        <v>1983</v>
      </c>
      <c r="D996" s="1186" t="s">
        <v>1984</v>
      </c>
      <c r="E996" s="1186" t="s">
        <v>2031</v>
      </c>
      <c r="F996" s="1186" t="s">
        <v>2034</v>
      </c>
      <c r="G996" s="1186" t="s">
        <v>828</v>
      </c>
      <c r="H996" s="1186">
        <v>7</v>
      </c>
    </row>
    <row r="997" spans="1:8" x14ac:dyDescent="0.2">
      <c r="A997" s="1186" t="s">
        <v>17</v>
      </c>
      <c r="B997" s="1186" t="s">
        <v>917</v>
      </c>
      <c r="C997" s="1186" t="s">
        <v>1983</v>
      </c>
      <c r="D997" s="1186" t="s">
        <v>1984</v>
      </c>
      <c r="E997" s="1186" t="s">
        <v>2031</v>
      </c>
      <c r="F997" s="1186" t="s">
        <v>2034</v>
      </c>
      <c r="G997" s="1186" t="s">
        <v>850</v>
      </c>
      <c r="H997" s="1186">
        <v>1</v>
      </c>
    </row>
    <row r="998" spans="1:8" x14ac:dyDescent="0.2">
      <c r="A998" s="1186" t="s">
        <v>17</v>
      </c>
      <c r="B998" s="1186" t="s">
        <v>917</v>
      </c>
      <c r="C998" s="1186" t="s">
        <v>1983</v>
      </c>
      <c r="D998" s="1186" t="s">
        <v>1984</v>
      </c>
      <c r="E998" s="1186" t="s">
        <v>2031</v>
      </c>
      <c r="F998" s="1186" t="s">
        <v>2034</v>
      </c>
      <c r="G998" s="1186" t="s">
        <v>851</v>
      </c>
      <c r="H998" s="1186">
        <v>1</v>
      </c>
    </row>
    <row r="999" spans="1:8" x14ac:dyDescent="0.2">
      <c r="A999" s="1186" t="s">
        <v>17</v>
      </c>
      <c r="B999" s="1186" t="s">
        <v>917</v>
      </c>
      <c r="C999" s="1186" t="s">
        <v>1983</v>
      </c>
      <c r="D999" s="1186" t="s">
        <v>1984</v>
      </c>
      <c r="E999" s="1186" t="s">
        <v>2031</v>
      </c>
      <c r="F999" s="1186" t="s">
        <v>2034</v>
      </c>
      <c r="G999" s="1186" t="s">
        <v>852</v>
      </c>
      <c r="H999" s="1186">
        <v>1</v>
      </c>
    </row>
    <row r="1000" spans="1:8" x14ac:dyDescent="0.2">
      <c r="A1000" s="1186" t="s">
        <v>17</v>
      </c>
      <c r="B1000" s="1186" t="s">
        <v>917</v>
      </c>
      <c r="C1000" s="1186" t="s">
        <v>1983</v>
      </c>
      <c r="D1000" s="1186" t="s">
        <v>1984</v>
      </c>
      <c r="E1000" s="1186" t="s">
        <v>2035</v>
      </c>
      <c r="F1000" s="1186" t="s">
        <v>2032</v>
      </c>
      <c r="G1000" s="1186" t="s">
        <v>850</v>
      </c>
      <c r="H1000" s="1186">
        <v>2</v>
      </c>
    </row>
    <row r="1001" spans="1:8" x14ac:dyDescent="0.2">
      <c r="A1001" s="1186" t="s">
        <v>17</v>
      </c>
      <c r="B1001" s="1186" t="s">
        <v>917</v>
      </c>
      <c r="C1001" s="1186" t="s">
        <v>1983</v>
      </c>
      <c r="D1001" s="1186" t="s">
        <v>1984</v>
      </c>
      <c r="E1001" s="1186" t="s">
        <v>2035</v>
      </c>
      <c r="F1001" s="1186" t="s">
        <v>2032</v>
      </c>
      <c r="G1001" s="1186" t="s">
        <v>851</v>
      </c>
      <c r="H1001" s="1186">
        <v>12</v>
      </c>
    </row>
    <row r="1002" spans="1:8" x14ac:dyDescent="0.2">
      <c r="A1002" s="1186" t="s">
        <v>17</v>
      </c>
      <c r="B1002" s="1186" t="s">
        <v>917</v>
      </c>
      <c r="C1002" s="1186" t="s">
        <v>1983</v>
      </c>
      <c r="D1002" s="1186" t="s">
        <v>1984</v>
      </c>
      <c r="E1002" s="1186" t="s">
        <v>2035</v>
      </c>
      <c r="F1002" s="1186" t="s">
        <v>2032</v>
      </c>
      <c r="G1002" s="1186" t="s">
        <v>852</v>
      </c>
      <c r="H1002" s="1186">
        <v>7</v>
      </c>
    </row>
    <row r="1003" spans="1:8" x14ac:dyDescent="0.2">
      <c r="A1003" s="1186" t="s">
        <v>17</v>
      </c>
      <c r="B1003" s="1186" t="s">
        <v>917</v>
      </c>
      <c r="C1003" s="1186" t="s">
        <v>1983</v>
      </c>
      <c r="D1003" s="1186" t="s">
        <v>1984</v>
      </c>
      <c r="E1003" s="1186" t="s">
        <v>2035</v>
      </c>
      <c r="F1003" s="1186" t="s">
        <v>2033</v>
      </c>
      <c r="G1003" s="1186" t="s">
        <v>828</v>
      </c>
      <c r="H1003" s="1186">
        <v>34</v>
      </c>
    </row>
    <row r="1004" spans="1:8" x14ac:dyDescent="0.2">
      <c r="A1004" s="1186" t="s">
        <v>17</v>
      </c>
      <c r="B1004" s="1186" t="s">
        <v>917</v>
      </c>
      <c r="C1004" s="1186" t="s">
        <v>1983</v>
      </c>
      <c r="D1004" s="1186" t="s">
        <v>1984</v>
      </c>
      <c r="E1004" s="1186" t="s">
        <v>2035</v>
      </c>
      <c r="F1004" s="1186" t="s">
        <v>2033</v>
      </c>
      <c r="G1004" s="1186" t="s">
        <v>850</v>
      </c>
      <c r="H1004" s="1186">
        <v>10</v>
      </c>
    </row>
    <row r="1005" spans="1:8" x14ac:dyDescent="0.2">
      <c r="A1005" s="1186" t="s">
        <v>17</v>
      </c>
      <c r="B1005" s="1186" t="s">
        <v>917</v>
      </c>
      <c r="C1005" s="1186" t="s">
        <v>1983</v>
      </c>
      <c r="D1005" s="1186" t="s">
        <v>1984</v>
      </c>
      <c r="E1005" s="1186" t="s">
        <v>2035</v>
      </c>
      <c r="F1005" s="1186" t="s">
        <v>2033</v>
      </c>
      <c r="G1005" s="1186" t="s">
        <v>851</v>
      </c>
      <c r="H1005" s="1186">
        <v>194</v>
      </c>
    </row>
    <row r="1006" spans="1:8" x14ac:dyDescent="0.2">
      <c r="A1006" s="1186" t="s">
        <v>17</v>
      </c>
      <c r="B1006" s="1186" t="s">
        <v>917</v>
      </c>
      <c r="C1006" s="1186" t="s">
        <v>1983</v>
      </c>
      <c r="D1006" s="1186" t="s">
        <v>1984</v>
      </c>
      <c r="E1006" s="1186" t="s">
        <v>2035</v>
      </c>
      <c r="F1006" s="1186" t="s">
        <v>2033</v>
      </c>
      <c r="G1006" s="1186" t="s">
        <v>852</v>
      </c>
      <c r="H1006" s="1186">
        <v>19</v>
      </c>
    </row>
    <row r="1007" spans="1:8" x14ac:dyDescent="0.2">
      <c r="A1007" s="1186" t="s">
        <v>17</v>
      </c>
      <c r="B1007" s="1186" t="s">
        <v>917</v>
      </c>
      <c r="C1007" s="1186" t="s">
        <v>1983</v>
      </c>
      <c r="D1007" s="1186" t="s">
        <v>1984</v>
      </c>
      <c r="E1007" s="1186" t="s">
        <v>2035</v>
      </c>
      <c r="F1007" s="1186" t="s">
        <v>2034</v>
      </c>
      <c r="G1007" s="1186" t="s">
        <v>828</v>
      </c>
      <c r="H1007" s="1186">
        <v>72</v>
      </c>
    </row>
    <row r="1008" spans="1:8" x14ac:dyDescent="0.2">
      <c r="A1008" s="1186" t="s">
        <v>17</v>
      </c>
      <c r="B1008" s="1186" t="s">
        <v>917</v>
      </c>
      <c r="C1008" s="1186" t="s">
        <v>1983</v>
      </c>
      <c r="D1008" s="1186" t="s">
        <v>1984</v>
      </c>
      <c r="E1008" s="1186" t="s">
        <v>2035</v>
      </c>
      <c r="F1008" s="1186" t="s">
        <v>2034</v>
      </c>
      <c r="G1008" s="1186" t="s">
        <v>850</v>
      </c>
      <c r="H1008" s="1186">
        <v>43</v>
      </c>
    </row>
    <row r="1009" spans="1:8" x14ac:dyDescent="0.2">
      <c r="A1009" s="1186" t="s">
        <v>17</v>
      </c>
      <c r="B1009" s="1186" t="s">
        <v>917</v>
      </c>
      <c r="C1009" s="1186" t="s">
        <v>1983</v>
      </c>
      <c r="D1009" s="1186" t="s">
        <v>1984</v>
      </c>
      <c r="E1009" s="1186" t="s">
        <v>2035</v>
      </c>
      <c r="F1009" s="1186" t="s">
        <v>2034</v>
      </c>
      <c r="G1009" s="1186" t="s">
        <v>851</v>
      </c>
      <c r="H1009" s="1186">
        <v>28</v>
      </c>
    </row>
    <row r="1010" spans="1:8" x14ac:dyDescent="0.2">
      <c r="A1010" s="1186" t="s">
        <v>17</v>
      </c>
      <c r="B1010" s="1186" t="s">
        <v>917</v>
      </c>
      <c r="C1010" s="1186" t="s">
        <v>1983</v>
      </c>
      <c r="D1010" s="1186" t="s">
        <v>1984</v>
      </c>
      <c r="E1010" s="1186" t="s">
        <v>2035</v>
      </c>
      <c r="F1010" s="1186" t="s">
        <v>2034</v>
      </c>
      <c r="G1010" s="1186" t="s">
        <v>852</v>
      </c>
      <c r="H1010" s="1186">
        <v>31</v>
      </c>
    </row>
    <row r="1011" spans="1:8" x14ac:dyDescent="0.2">
      <c r="A1011" s="1186" t="s">
        <v>17</v>
      </c>
      <c r="B1011" s="1186" t="s">
        <v>918</v>
      </c>
      <c r="C1011" s="1186" t="s">
        <v>1985</v>
      </c>
      <c r="D1011" s="1186" t="s">
        <v>1984</v>
      </c>
      <c r="E1011" s="1186" t="s">
        <v>2031</v>
      </c>
      <c r="F1011" s="1186" t="s">
        <v>2032</v>
      </c>
      <c r="G1011" s="1186" t="s">
        <v>828</v>
      </c>
      <c r="H1011" s="1186">
        <v>3</v>
      </c>
    </row>
    <row r="1012" spans="1:8" x14ac:dyDescent="0.2">
      <c r="A1012" s="1186" t="s">
        <v>17</v>
      </c>
      <c r="B1012" s="1186" t="s">
        <v>918</v>
      </c>
      <c r="C1012" s="1186" t="s">
        <v>1985</v>
      </c>
      <c r="D1012" s="1186" t="s">
        <v>1984</v>
      </c>
      <c r="E1012" s="1186" t="s">
        <v>2031</v>
      </c>
      <c r="F1012" s="1186" t="s">
        <v>2033</v>
      </c>
      <c r="G1012" s="1186" t="s">
        <v>828</v>
      </c>
      <c r="H1012" s="1186">
        <v>92</v>
      </c>
    </row>
    <row r="1013" spans="1:8" x14ac:dyDescent="0.2">
      <c r="A1013" s="1186" t="s">
        <v>17</v>
      </c>
      <c r="B1013" s="1186" t="s">
        <v>918</v>
      </c>
      <c r="C1013" s="1186" t="s">
        <v>1985</v>
      </c>
      <c r="D1013" s="1186" t="s">
        <v>1984</v>
      </c>
      <c r="E1013" s="1186" t="s">
        <v>2031</v>
      </c>
      <c r="F1013" s="1186" t="s">
        <v>2033</v>
      </c>
      <c r="G1013" s="1186" t="s">
        <v>850</v>
      </c>
      <c r="H1013" s="1186">
        <v>9</v>
      </c>
    </row>
    <row r="1014" spans="1:8" x14ac:dyDescent="0.2">
      <c r="A1014" s="1186" t="s">
        <v>17</v>
      </c>
      <c r="B1014" s="1186" t="s">
        <v>918</v>
      </c>
      <c r="C1014" s="1186" t="s">
        <v>1985</v>
      </c>
      <c r="D1014" s="1186" t="s">
        <v>1984</v>
      </c>
      <c r="E1014" s="1186" t="s">
        <v>2031</v>
      </c>
      <c r="F1014" s="1186" t="s">
        <v>2033</v>
      </c>
      <c r="G1014" s="1186" t="s">
        <v>851</v>
      </c>
      <c r="H1014" s="1186">
        <v>4</v>
      </c>
    </row>
    <row r="1015" spans="1:8" x14ac:dyDescent="0.2">
      <c r="A1015" s="1186" t="s">
        <v>17</v>
      </c>
      <c r="B1015" s="1186" t="s">
        <v>918</v>
      </c>
      <c r="C1015" s="1186" t="s">
        <v>1985</v>
      </c>
      <c r="D1015" s="1186" t="s">
        <v>1984</v>
      </c>
      <c r="E1015" s="1186" t="s">
        <v>2031</v>
      </c>
      <c r="F1015" s="1186" t="s">
        <v>2033</v>
      </c>
      <c r="G1015" s="1186" t="s">
        <v>852</v>
      </c>
      <c r="H1015" s="1186">
        <v>3</v>
      </c>
    </row>
    <row r="1016" spans="1:8" x14ac:dyDescent="0.2">
      <c r="A1016" s="1186" t="s">
        <v>17</v>
      </c>
      <c r="B1016" s="1186" t="s">
        <v>918</v>
      </c>
      <c r="C1016" s="1186" t="s">
        <v>1985</v>
      </c>
      <c r="D1016" s="1186" t="s">
        <v>1984</v>
      </c>
      <c r="E1016" s="1186" t="s">
        <v>2031</v>
      </c>
      <c r="F1016" s="1186" t="s">
        <v>2034</v>
      </c>
      <c r="G1016" s="1186" t="s">
        <v>828</v>
      </c>
      <c r="H1016" s="1186">
        <v>23</v>
      </c>
    </row>
    <row r="1017" spans="1:8" x14ac:dyDescent="0.2">
      <c r="A1017" s="1186" t="s">
        <v>17</v>
      </c>
      <c r="B1017" s="1186" t="s">
        <v>918</v>
      </c>
      <c r="C1017" s="1186" t="s">
        <v>1985</v>
      </c>
      <c r="D1017" s="1186" t="s">
        <v>1984</v>
      </c>
      <c r="E1017" s="1186" t="s">
        <v>2031</v>
      </c>
      <c r="F1017" s="1186" t="s">
        <v>2034</v>
      </c>
      <c r="G1017" s="1186" t="s">
        <v>851</v>
      </c>
      <c r="H1017" s="1186">
        <v>1</v>
      </c>
    </row>
    <row r="1018" spans="1:8" x14ac:dyDescent="0.2">
      <c r="A1018" s="1186" t="s">
        <v>17</v>
      </c>
      <c r="B1018" s="1186" t="s">
        <v>918</v>
      </c>
      <c r="C1018" s="1186" t="s">
        <v>1985</v>
      </c>
      <c r="D1018" s="1186" t="s">
        <v>1984</v>
      </c>
      <c r="E1018" s="1186" t="s">
        <v>2035</v>
      </c>
      <c r="F1018" s="1186" t="s">
        <v>2032</v>
      </c>
      <c r="G1018" s="1186" t="s">
        <v>828</v>
      </c>
      <c r="H1018" s="1186">
        <v>3</v>
      </c>
    </row>
    <row r="1019" spans="1:8" x14ac:dyDescent="0.2">
      <c r="A1019" s="1186" t="s">
        <v>17</v>
      </c>
      <c r="B1019" s="1186" t="s">
        <v>918</v>
      </c>
      <c r="C1019" s="1186" t="s">
        <v>1985</v>
      </c>
      <c r="D1019" s="1186" t="s">
        <v>1984</v>
      </c>
      <c r="E1019" s="1186" t="s">
        <v>2035</v>
      </c>
      <c r="F1019" s="1186" t="s">
        <v>2032</v>
      </c>
      <c r="G1019" s="1186" t="s">
        <v>851</v>
      </c>
      <c r="H1019" s="1186">
        <v>10</v>
      </c>
    </row>
    <row r="1020" spans="1:8" x14ac:dyDescent="0.2">
      <c r="A1020" s="1186" t="s">
        <v>17</v>
      </c>
      <c r="B1020" s="1186" t="s">
        <v>918</v>
      </c>
      <c r="C1020" s="1186" t="s">
        <v>1985</v>
      </c>
      <c r="D1020" s="1186" t="s">
        <v>1984</v>
      </c>
      <c r="E1020" s="1186" t="s">
        <v>2035</v>
      </c>
      <c r="F1020" s="1186" t="s">
        <v>2032</v>
      </c>
      <c r="G1020" s="1186" t="s">
        <v>852</v>
      </c>
      <c r="H1020" s="1186">
        <v>3</v>
      </c>
    </row>
    <row r="1021" spans="1:8" x14ac:dyDescent="0.2">
      <c r="A1021" s="1186" t="s">
        <v>17</v>
      </c>
      <c r="B1021" s="1186" t="s">
        <v>918</v>
      </c>
      <c r="C1021" s="1186" t="s">
        <v>1985</v>
      </c>
      <c r="D1021" s="1186" t="s">
        <v>1984</v>
      </c>
      <c r="E1021" s="1186" t="s">
        <v>2035</v>
      </c>
      <c r="F1021" s="1186" t="s">
        <v>2033</v>
      </c>
      <c r="G1021" s="1186" t="s">
        <v>828</v>
      </c>
      <c r="H1021" s="1186">
        <v>24</v>
      </c>
    </row>
    <row r="1022" spans="1:8" x14ac:dyDescent="0.2">
      <c r="A1022" s="1186" t="s">
        <v>17</v>
      </c>
      <c r="B1022" s="1186" t="s">
        <v>918</v>
      </c>
      <c r="C1022" s="1186" t="s">
        <v>1985</v>
      </c>
      <c r="D1022" s="1186" t="s">
        <v>1984</v>
      </c>
      <c r="E1022" s="1186" t="s">
        <v>2035</v>
      </c>
      <c r="F1022" s="1186" t="s">
        <v>2033</v>
      </c>
      <c r="G1022" s="1186" t="s">
        <v>850</v>
      </c>
      <c r="H1022" s="1186">
        <v>6</v>
      </c>
    </row>
    <row r="1023" spans="1:8" x14ac:dyDescent="0.2">
      <c r="A1023" s="1186" t="s">
        <v>17</v>
      </c>
      <c r="B1023" s="1186" t="s">
        <v>918</v>
      </c>
      <c r="C1023" s="1186" t="s">
        <v>1985</v>
      </c>
      <c r="D1023" s="1186" t="s">
        <v>1984</v>
      </c>
      <c r="E1023" s="1186" t="s">
        <v>2035</v>
      </c>
      <c r="F1023" s="1186" t="s">
        <v>2033</v>
      </c>
      <c r="G1023" s="1186" t="s">
        <v>851</v>
      </c>
      <c r="H1023" s="1186">
        <v>180</v>
      </c>
    </row>
    <row r="1024" spans="1:8" x14ac:dyDescent="0.2">
      <c r="A1024" s="1186" t="s">
        <v>17</v>
      </c>
      <c r="B1024" s="1186" t="s">
        <v>918</v>
      </c>
      <c r="C1024" s="1186" t="s">
        <v>1985</v>
      </c>
      <c r="D1024" s="1186" t="s">
        <v>1984</v>
      </c>
      <c r="E1024" s="1186" t="s">
        <v>2035</v>
      </c>
      <c r="F1024" s="1186" t="s">
        <v>2033</v>
      </c>
      <c r="G1024" s="1186" t="s">
        <v>852</v>
      </c>
      <c r="H1024" s="1186">
        <v>21</v>
      </c>
    </row>
    <row r="1025" spans="1:8" x14ac:dyDescent="0.2">
      <c r="A1025" s="1186" t="s">
        <v>17</v>
      </c>
      <c r="B1025" s="1186" t="s">
        <v>918</v>
      </c>
      <c r="C1025" s="1186" t="s">
        <v>1985</v>
      </c>
      <c r="D1025" s="1186" t="s">
        <v>1984</v>
      </c>
      <c r="E1025" s="1186" t="s">
        <v>2035</v>
      </c>
      <c r="F1025" s="1186" t="s">
        <v>2034</v>
      </c>
      <c r="G1025" s="1186" t="s">
        <v>828</v>
      </c>
      <c r="H1025" s="1186">
        <v>67</v>
      </c>
    </row>
    <row r="1026" spans="1:8" x14ac:dyDescent="0.2">
      <c r="A1026" s="1186" t="s">
        <v>17</v>
      </c>
      <c r="B1026" s="1186" t="s">
        <v>918</v>
      </c>
      <c r="C1026" s="1186" t="s">
        <v>1985</v>
      </c>
      <c r="D1026" s="1186" t="s">
        <v>1984</v>
      </c>
      <c r="E1026" s="1186" t="s">
        <v>2035</v>
      </c>
      <c r="F1026" s="1186" t="s">
        <v>2034</v>
      </c>
      <c r="G1026" s="1186" t="s">
        <v>850</v>
      </c>
      <c r="H1026" s="1186">
        <v>24</v>
      </c>
    </row>
    <row r="1027" spans="1:8" x14ac:dyDescent="0.2">
      <c r="A1027" s="1186" t="s">
        <v>17</v>
      </c>
      <c r="B1027" s="1186" t="s">
        <v>918</v>
      </c>
      <c r="C1027" s="1186" t="s">
        <v>1985</v>
      </c>
      <c r="D1027" s="1186" t="s">
        <v>1984</v>
      </c>
      <c r="E1027" s="1186" t="s">
        <v>2035</v>
      </c>
      <c r="F1027" s="1186" t="s">
        <v>2034</v>
      </c>
      <c r="G1027" s="1186" t="s">
        <v>851</v>
      </c>
      <c r="H1027" s="1186">
        <v>29</v>
      </c>
    </row>
    <row r="1028" spans="1:8" x14ac:dyDescent="0.2">
      <c r="A1028" s="1186" t="s">
        <v>17</v>
      </c>
      <c r="B1028" s="1186" t="s">
        <v>918</v>
      </c>
      <c r="C1028" s="1186" t="s">
        <v>1985</v>
      </c>
      <c r="D1028" s="1186" t="s">
        <v>1984</v>
      </c>
      <c r="E1028" s="1186" t="s">
        <v>2035</v>
      </c>
      <c r="F1028" s="1186" t="s">
        <v>2034</v>
      </c>
      <c r="G1028" s="1186" t="s">
        <v>852</v>
      </c>
      <c r="H1028" s="1186">
        <v>18</v>
      </c>
    </row>
    <row r="1029" spans="1:8" x14ac:dyDescent="0.2">
      <c r="A1029" s="1186" t="s">
        <v>17</v>
      </c>
      <c r="B1029" s="1186" t="s">
        <v>919</v>
      </c>
      <c r="C1029" s="1186" t="s">
        <v>1985</v>
      </c>
      <c r="D1029" s="1186" t="s">
        <v>1986</v>
      </c>
      <c r="E1029" s="1186" t="s">
        <v>2031</v>
      </c>
      <c r="F1029" s="1186" t="s">
        <v>2032</v>
      </c>
      <c r="G1029" s="1186" t="s">
        <v>828</v>
      </c>
      <c r="H1029" s="1186">
        <v>2</v>
      </c>
    </row>
    <row r="1030" spans="1:8" x14ac:dyDescent="0.2">
      <c r="A1030" s="1186" t="s">
        <v>17</v>
      </c>
      <c r="B1030" s="1186" t="s">
        <v>919</v>
      </c>
      <c r="C1030" s="1186" t="s">
        <v>1985</v>
      </c>
      <c r="D1030" s="1186" t="s">
        <v>1986</v>
      </c>
      <c r="E1030" s="1186" t="s">
        <v>2031</v>
      </c>
      <c r="F1030" s="1186" t="s">
        <v>2032</v>
      </c>
      <c r="G1030" s="1186" t="s">
        <v>850</v>
      </c>
      <c r="H1030" s="1186">
        <v>1</v>
      </c>
    </row>
    <row r="1031" spans="1:8" x14ac:dyDescent="0.2">
      <c r="A1031" s="1186" t="s">
        <v>17</v>
      </c>
      <c r="B1031" s="1186" t="s">
        <v>919</v>
      </c>
      <c r="C1031" s="1186" t="s">
        <v>1985</v>
      </c>
      <c r="D1031" s="1186" t="s">
        <v>1986</v>
      </c>
      <c r="E1031" s="1186" t="s">
        <v>2031</v>
      </c>
      <c r="F1031" s="1186" t="s">
        <v>2032</v>
      </c>
      <c r="G1031" s="1186" t="s">
        <v>851</v>
      </c>
      <c r="H1031" s="1186">
        <v>1</v>
      </c>
    </row>
    <row r="1032" spans="1:8" x14ac:dyDescent="0.2">
      <c r="A1032" s="1186" t="s">
        <v>17</v>
      </c>
      <c r="B1032" s="1186" t="s">
        <v>919</v>
      </c>
      <c r="C1032" s="1186" t="s">
        <v>1985</v>
      </c>
      <c r="D1032" s="1186" t="s">
        <v>1986</v>
      </c>
      <c r="E1032" s="1186" t="s">
        <v>2031</v>
      </c>
      <c r="F1032" s="1186" t="s">
        <v>2033</v>
      </c>
      <c r="G1032" s="1186" t="s">
        <v>828</v>
      </c>
      <c r="H1032" s="1186">
        <v>65</v>
      </c>
    </row>
    <row r="1033" spans="1:8" x14ac:dyDescent="0.2">
      <c r="A1033" s="1186" t="s">
        <v>17</v>
      </c>
      <c r="B1033" s="1186" t="s">
        <v>919</v>
      </c>
      <c r="C1033" s="1186" t="s">
        <v>1985</v>
      </c>
      <c r="D1033" s="1186" t="s">
        <v>1986</v>
      </c>
      <c r="E1033" s="1186" t="s">
        <v>2031</v>
      </c>
      <c r="F1033" s="1186" t="s">
        <v>2033</v>
      </c>
      <c r="G1033" s="1186" t="s">
        <v>850</v>
      </c>
      <c r="H1033" s="1186">
        <v>3</v>
      </c>
    </row>
    <row r="1034" spans="1:8" x14ac:dyDescent="0.2">
      <c r="A1034" s="1186" t="s">
        <v>17</v>
      </c>
      <c r="B1034" s="1186" t="s">
        <v>919</v>
      </c>
      <c r="C1034" s="1186" t="s">
        <v>1985</v>
      </c>
      <c r="D1034" s="1186" t="s">
        <v>1986</v>
      </c>
      <c r="E1034" s="1186" t="s">
        <v>2031</v>
      </c>
      <c r="F1034" s="1186" t="s">
        <v>2033</v>
      </c>
      <c r="G1034" s="1186" t="s">
        <v>851</v>
      </c>
      <c r="H1034" s="1186">
        <v>2</v>
      </c>
    </row>
    <row r="1035" spans="1:8" x14ac:dyDescent="0.2">
      <c r="A1035" s="1186" t="s">
        <v>17</v>
      </c>
      <c r="B1035" s="1186" t="s">
        <v>919</v>
      </c>
      <c r="C1035" s="1186" t="s">
        <v>1985</v>
      </c>
      <c r="D1035" s="1186" t="s">
        <v>1986</v>
      </c>
      <c r="E1035" s="1186" t="s">
        <v>2031</v>
      </c>
      <c r="F1035" s="1186" t="s">
        <v>2034</v>
      </c>
      <c r="G1035" s="1186" t="s">
        <v>828</v>
      </c>
      <c r="H1035" s="1186">
        <v>7</v>
      </c>
    </row>
    <row r="1036" spans="1:8" x14ac:dyDescent="0.2">
      <c r="A1036" s="1186" t="s">
        <v>17</v>
      </c>
      <c r="B1036" s="1186" t="s">
        <v>919</v>
      </c>
      <c r="C1036" s="1186" t="s">
        <v>1985</v>
      </c>
      <c r="D1036" s="1186" t="s">
        <v>1986</v>
      </c>
      <c r="E1036" s="1186" t="s">
        <v>2031</v>
      </c>
      <c r="F1036" s="1186" t="s">
        <v>2034</v>
      </c>
      <c r="G1036" s="1186" t="s">
        <v>850</v>
      </c>
      <c r="H1036" s="1186">
        <v>2</v>
      </c>
    </row>
    <row r="1037" spans="1:8" x14ac:dyDescent="0.2">
      <c r="A1037" s="1186" t="s">
        <v>17</v>
      </c>
      <c r="B1037" s="1186" t="s">
        <v>919</v>
      </c>
      <c r="C1037" s="1186" t="s">
        <v>1985</v>
      </c>
      <c r="D1037" s="1186" t="s">
        <v>1986</v>
      </c>
      <c r="E1037" s="1186" t="s">
        <v>2035</v>
      </c>
      <c r="F1037" s="1186" t="s">
        <v>2032</v>
      </c>
      <c r="G1037" s="1186" t="s">
        <v>828</v>
      </c>
      <c r="H1037" s="1186">
        <v>4</v>
      </c>
    </row>
    <row r="1038" spans="1:8" x14ac:dyDescent="0.2">
      <c r="A1038" s="1186" t="s">
        <v>17</v>
      </c>
      <c r="B1038" s="1186" t="s">
        <v>919</v>
      </c>
      <c r="C1038" s="1186" t="s">
        <v>1985</v>
      </c>
      <c r="D1038" s="1186" t="s">
        <v>1986</v>
      </c>
      <c r="E1038" s="1186" t="s">
        <v>2035</v>
      </c>
      <c r="F1038" s="1186" t="s">
        <v>2032</v>
      </c>
      <c r="G1038" s="1186" t="s">
        <v>851</v>
      </c>
      <c r="H1038" s="1186">
        <v>12</v>
      </c>
    </row>
    <row r="1039" spans="1:8" x14ac:dyDescent="0.2">
      <c r="A1039" s="1186" t="s">
        <v>17</v>
      </c>
      <c r="B1039" s="1186" t="s">
        <v>919</v>
      </c>
      <c r="C1039" s="1186" t="s">
        <v>1985</v>
      </c>
      <c r="D1039" s="1186" t="s">
        <v>1986</v>
      </c>
      <c r="E1039" s="1186" t="s">
        <v>2035</v>
      </c>
      <c r="F1039" s="1186" t="s">
        <v>2032</v>
      </c>
      <c r="G1039" s="1186" t="s">
        <v>852</v>
      </c>
      <c r="H1039" s="1186">
        <v>4</v>
      </c>
    </row>
    <row r="1040" spans="1:8" x14ac:dyDescent="0.2">
      <c r="A1040" s="1186" t="s">
        <v>17</v>
      </c>
      <c r="B1040" s="1186" t="s">
        <v>919</v>
      </c>
      <c r="C1040" s="1186" t="s">
        <v>1985</v>
      </c>
      <c r="D1040" s="1186" t="s">
        <v>1986</v>
      </c>
      <c r="E1040" s="1186" t="s">
        <v>2035</v>
      </c>
      <c r="F1040" s="1186" t="s">
        <v>2033</v>
      </c>
      <c r="G1040" s="1186" t="s">
        <v>828</v>
      </c>
      <c r="H1040" s="1186">
        <v>26</v>
      </c>
    </row>
    <row r="1041" spans="1:8" x14ac:dyDescent="0.2">
      <c r="A1041" s="1186" t="s">
        <v>17</v>
      </c>
      <c r="B1041" s="1186" t="s">
        <v>919</v>
      </c>
      <c r="C1041" s="1186" t="s">
        <v>1985</v>
      </c>
      <c r="D1041" s="1186" t="s">
        <v>1986</v>
      </c>
      <c r="E1041" s="1186" t="s">
        <v>2035</v>
      </c>
      <c r="F1041" s="1186" t="s">
        <v>2033</v>
      </c>
      <c r="G1041" s="1186" t="s">
        <v>850</v>
      </c>
      <c r="H1041" s="1186">
        <v>9</v>
      </c>
    </row>
    <row r="1042" spans="1:8" x14ac:dyDescent="0.2">
      <c r="A1042" s="1186" t="s">
        <v>17</v>
      </c>
      <c r="B1042" s="1186" t="s">
        <v>919</v>
      </c>
      <c r="C1042" s="1186" t="s">
        <v>1985</v>
      </c>
      <c r="D1042" s="1186" t="s">
        <v>1986</v>
      </c>
      <c r="E1042" s="1186" t="s">
        <v>2035</v>
      </c>
      <c r="F1042" s="1186" t="s">
        <v>2033</v>
      </c>
      <c r="G1042" s="1186" t="s">
        <v>851</v>
      </c>
      <c r="H1042" s="1186">
        <v>164</v>
      </c>
    </row>
    <row r="1043" spans="1:8" x14ac:dyDescent="0.2">
      <c r="A1043" s="1186" t="s">
        <v>17</v>
      </c>
      <c r="B1043" s="1186" t="s">
        <v>919</v>
      </c>
      <c r="C1043" s="1186" t="s">
        <v>1985</v>
      </c>
      <c r="D1043" s="1186" t="s">
        <v>1986</v>
      </c>
      <c r="E1043" s="1186" t="s">
        <v>2035</v>
      </c>
      <c r="F1043" s="1186" t="s">
        <v>2033</v>
      </c>
      <c r="G1043" s="1186" t="s">
        <v>852</v>
      </c>
      <c r="H1043" s="1186">
        <v>18</v>
      </c>
    </row>
    <row r="1044" spans="1:8" x14ac:dyDescent="0.2">
      <c r="A1044" s="1186" t="s">
        <v>17</v>
      </c>
      <c r="B1044" s="1186" t="s">
        <v>919</v>
      </c>
      <c r="C1044" s="1186" t="s">
        <v>1985</v>
      </c>
      <c r="D1044" s="1186" t="s">
        <v>1986</v>
      </c>
      <c r="E1044" s="1186" t="s">
        <v>2035</v>
      </c>
      <c r="F1044" s="1186" t="s">
        <v>2034</v>
      </c>
      <c r="G1044" s="1186" t="s">
        <v>828</v>
      </c>
      <c r="H1044" s="1186">
        <v>75</v>
      </c>
    </row>
    <row r="1045" spans="1:8" x14ac:dyDescent="0.2">
      <c r="A1045" s="1186" t="s">
        <v>17</v>
      </c>
      <c r="B1045" s="1186" t="s">
        <v>919</v>
      </c>
      <c r="C1045" s="1186" t="s">
        <v>1985</v>
      </c>
      <c r="D1045" s="1186" t="s">
        <v>1986</v>
      </c>
      <c r="E1045" s="1186" t="s">
        <v>2035</v>
      </c>
      <c r="F1045" s="1186" t="s">
        <v>2034</v>
      </c>
      <c r="G1045" s="1186" t="s">
        <v>850</v>
      </c>
      <c r="H1045" s="1186">
        <v>28</v>
      </c>
    </row>
    <row r="1046" spans="1:8" x14ac:dyDescent="0.2">
      <c r="A1046" s="1186" t="s">
        <v>17</v>
      </c>
      <c r="B1046" s="1186" t="s">
        <v>919</v>
      </c>
      <c r="C1046" s="1186" t="s">
        <v>1985</v>
      </c>
      <c r="D1046" s="1186" t="s">
        <v>1986</v>
      </c>
      <c r="E1046" s="1186" t="s">
        <v>2035</v>
      </c>
      <c r="F1046" s="1186" t="s">
        <v>2034</v>
      </c>
      <c r="G1046" s="1186" t="s">
        <v>851</v>
      </c>
      <c r="H1046" s="1186">
        <v>18</v>
      </c>
    </row>
    <row r="1047" spans="1:8" x14ac:dyDescent="0.2">
      <c r="A1047" s="1186" t="s">
        <v>17</v>
      </c>
      <c r="B1047" s="1186" t="s">
        <v>919</v>
      </c>
      <c r="C1047" s="1186" t="s">
        <v>1985</v>
      </c>
      <c r="D1047" s="1186" t="s">
        <v>1986</v>
      </c>
      <c r="E1047" s="1186" t="s">
        <v>2035</v>
      </c>
      <c r="F1047" s="1186" t="s">
        <v>2034</v>
      </c>
      <c r="G1047" s="1186" t="s">
        <v>852</v>
      </c>
      <c r="H1047" s="1186">
        <v>27</v>
      </c>
    </row>
    <row r="1048" spans="1:8" x14ac:dyDescent="0.2">
      <c r="A1048" s="1186" t="s">
        <v>17</v>
      </c>
      <c r="B1048" s="1186" t="s">
        <v>920</v>
      </c>
      <c r="C1048" s="1186" t="s">
        <v>1985</v>
      </c>
      <c r="D1048" s="1186" t="s">
        <v>1986</v>
      </c>
      <c r="E1048" s="1186" t="s">
        <v>2031</v>
      </c>
      <c r="F1048" s="1186" t="s">
        <v>2032</v>
      </c>
      <c r="G1048" s="1186" t="s">
        <v>828</v>
      </c>
      <c r="H1048" s="1186">
        <v>4</v>
      </c>
    </row>
    <row r="1049" spans="1:8" x14ac:dyDescent="0.2">
      <c r="A1049" s="1186" t="s">
        <v>17</v>
      </c>
      <c r="B1049" s="1186" t="s">
        <v>920</v>
      </c>
      <c r="C1049" s="1186" t="s">
        <v>1985</v>
      </c>
      <c r="D1049" s="1186" t="s">
        <v>1986</v>
      </c>
      <c r="E1049" s="1186" t="s">
        <v>2031</v>
      </c>
      <c r="F1049" s="1186" t="s">
        <v>2033</v>
      </c>
      <c r="G1049" s="1186" t="s">
        <v>828</v>
      </c>
      <c r="H1049" s="1186">
        <v>81</v>
      </c>
    </row>
    <row r="1050" spans="1:8" x14ac:dyDescent="0.2">
      <c r="A1050" s="1186" t="s">
        <v>17</v>
      </c>
      <c r="B1050" s="1186" t="s">
        <v>920</v>
      </c>
      <c r="C1050" s="1186" t="s">
        <v>1985</v>
      </c>
      <c r="D1050" s="1186" t="s">
        <v>1986</v>
      </c>
      <c r="E1050" s="1186" t="s">
        <v>2031</v>
      </c>
      <c r="F1050" s="1186" t="s">
        <v>2033</v>
      </c>
      <c r="G1050" s="1186" t="s">
        <v>850</v>
      </c>
      <c r="H1050" s="1186">
        <v>5</v>
      </c>
    </row>
    <row r="1051" spans="1:8" x14ac:dyDescent="0.2">
      <c r="A1051" s="1186" t="s">
        <v>17</v>
      </c>
      <c r="B1051" s="1186" t="s">
        <v>920</v>
      </c>
      <c r="C1051" s="1186" t="s">
        <v>1985</v>
      </c>
      <c r="D1051" s="1186" t="s">
        <v>1986</v>
      </c>
      <c r="E1051" s="1186" t="s">
        <v>2031</v>
      </c>
      <c r="F1051" s="1186" t="s">
        <v>2033</v>
      </c>
      <c r="G1051" s="1186" t="s">
        <v>851</v>
      </c>
      <c r="H1051" s="1186">
        <v>2</v>
      </c>
    </row>
    <row r="1052" spans="1:8" x14ac:dyDescent="0.2">
      <c r="A1052" s="1186" t="s">
        <v>17</v>
      </c>
      <c r="B1052" s="1186" t="s">
        <v>920</v>
      </c>
      <c r="C1052" s="1186" t="s">
        <v>1985</v>
      </c>
      <c r="D1052" s="1186" t="s">
        <v>1986</v>
      </c>
      <c r="E1052" s="1186" t="s">
        <v>2031</v>
      </c>
      <c r="F1052" s="1186" t="s">
        <v>2033</v>
      </c>
      <c r="G1052" s="1186" t="s">
        <v>852</v>
      </c>
      <c r="H1052" s="1186">
        <v>2</v>
      </c>
    </row>
    <row r="1053" spans="1:8" x14ac:dyDescent="0.2">
      <c r="A1053" s="1186" t="s">
        <v>17</v>
      </c>
      <c r="B1053" s="1186" t="s">
        <v>920</v>
      </c>
      <c r="C1053" s="1186" t="s">
        <v>1985</v>
      </c>
      <c r="D1053" s="1186" t="s">
        <v>1986</v>
      </c>
      <c r="E1053" s="1186" t="s">
        <v>2031</v>
      </c>
      <c r="F1053" s="1186" t="s">
        <v>2034</v>
      </c>
      <c r="G1053" s="1186" t="s">
        <v>828</v>
      </c>
      <c r="H1053" s="1186">
        <v>25</v>
      </c>
    </row>
    <row r="1054" spans="1:8" x14ac:dyDescent="0.2">
      <c r="A1054" s="1186" t="s">
        <v>17</v>
      </c>
      <c r="B1054" s="1186" t="s">
        <v>920</v>
      </c>
      <c r="C1054" s="1186" t="s">
        <v>1985</v>
      </c>
      <c r="D1054" s="1186" t="s">
        <v>1986</v>
      </c>
      <c r="E1054" s="1186" t="s">
        <v>2031</v>
      </c>
      <c r="F1054" s="1186" t="s">
        <v>2034</v>
      </c>
      <c r="G1054" s="1186" t="s">
        <v>850</v>
      </c>
      <c r="H1054" s="1186">
        <v>1</v>
      </c>
    </row>
    <row r="1055" spans="1:8" x14ac:dyDescent="0.2">
      <c r="A1055" s="1186" t="s">
        <v>17</v>
      </c>
      <c r="B1055" s="1186" t="s">
        <v>920</v>
      </c>
      <c r="C1055" s="1186" t="s">
        <v>1985</v>
      </c>
      <c r="D1055" s="1186" t="s">
        <v>1986</v>
      </c>
      <c r="E1055" s="1186" t="s">
        <v>2035</v>
      </c>
      <c r="F1055" s="1186" t="s">
        <v>2032</v>
      </c>
      <c r="G1055" s="1186" t="s">
        <v>828</v>
      </c>
      <c r="H1055" s="1186">
        <v>2</v>
      </c>
    </row>
    <row r="1056" spans="1:8" x14ac:dyDescent="0.2">
      <c r="A1056" s="1186" t="s">
        <v>17</v>
      </c>
      <c r="B1056" s="1186" t="s">
        <v>920</v>
      </c>
      <c r="C1056" s="1186" t="s">
        <v>1985</v>
      </c>
      <c r="D1056" s="1186" t="s">
        <v>1986</v>
      </c>
      <c r="E1056" s="1186" t="s">
        <v>2035</v>
      </c>
      <c r="F1056" s="1186" t="s">
        <v>2032</v>
      </c>
      <c r="G1056" s="1186" t="s">
        <v>850</v>
      </c>
      <c r="H1056" s="1186">
        <v>10</v>
      </c>
    </row>
    <row r="1057" spans="1:8" x14ac:dyDescent="0.2">
      <c r="A1057" s="1186" t="s">
        <v>17</v>
      </c>
      <c r="B1057" s="1186" t="s">
        <v>920</v>
      </c>
      <c r="C1057" s="1186" t="s">
        <v>1985</v>
      </c>
      <c r="D1057" s="1186" t="s">
        <v>1986</v>
      </c>
      <c r="E1057" s="1186" t="s">
        <v>2035</v>
      </c>
      <c r="F1057" s="1186" t="s">
        <v>2032</v>
      </c>
      <c r="G1057" s="1186" t="s">
        <v>851</v>
      </c>
      <c r="H1057" s="1186">
        <v>12</v>
      </c>
    </row>
    <row r="1058" spans="1:8" x14ac:dyDescent="0.2">
      <c r="A1058" s="1186" t="s">
        <v>17</v>
      </c>
      <c r="B1058" s="1186" t="s">
        <v>920</v>
      </c>
      <c r="C1058" s="1186" t="s">
        <v>1985</v>
      </c>
      <c r="D1058" s="1186" t="s">
        <v>1986</v>
      </c>
      <c r="E1058" s="1186" t="s">
        <v>2035</v>
      </c>
      <c r="F1058" s="1186" t="s">
        <v>2032</v>
      </c>
      <c r="G1058" s="1186" t="s">
        <v>852</v>
      </c>
      <c r="H1058" s="1186">
        <v>2</v>
      </c>
    </row>
    <row r="1059" spans="1:8" x14ac:dyDescent="0.2">
      <c r="A1059" s="1186" t="s">
        <v>17</v>
      </c>
      <c r="B1059" s="1186" t="s">
        <v>920</v>
      </c>
      <c r="C1059" s="1186" t="s">
        <v>1985</v>
      </c>
      <c r="D1059" s="1186" t="s">
        <v>1986</v>
      </c>
      <c r="E1059" s="1186" t="s">
        <v>2035</v>
      </c>
      <c r="F1059" s="1186" t="s">
        <v>2033</v>
      </c>
      <c r="G1059" s="1186" t="s">
        <v>828</v>
      </c>
      <c r="H1059" s="1186">
        <v>25</v>
      </c>
    </row>
    <row r="1060" spans="1:8" x14ac:dyDescent="0.2">
      <c r="A1060" s="1186" t="s">
        <v>17</v>
      </c>
      <c r="B1060" s="1186" t="s">
        <v>920</v>
      </c>
      <c r="C1060" s="1186" t="s">
        <v>1985</v>
      </c>
      <c r="D1060" s="1186" t="s">
        <v>1986</v>
      </c>
      <c r="E1060" s="1186" t="s">
        <v>2035</v>
      </c>
      <c r="F1060" s="1186" t="s">
        <v>2033</v>
      </c>
      <c r="G1060" s="1186" t="s">
        <v>850</v>
      </c>
      <c r="H1060" s="1186">
        <v>9</v>
      </c>
    </row>
    <row r="1061" spans="1:8" x14ac:dyDescent="0.2">
      <c r="A1061" s="1186" t="s">
        <v>17</v>
      </c>
      <c r="B1061" s="1186" t="s">
        <v>920</v>
      </c>
      <c r="C1061" s="1186" t="s">
        <v>1985</v>
      </c>
      <c r="D1061" s="1186" t="s">
        <v>1986</v>
      </c>
      <c r="E1061" s="1186" t="s">
        <v>2035</v>
      </c>
      <c r="F1061" s="1186" t="s">
        <v>2033</v>
      </c>
      <c r="G1061" s="1186" t="s">
        <v>851</v>
      </c>
      <c r="H1061" s="1186">
        <v>189</v>
      </c>
    </row>
    <row r="1062" spans="1:8" x14ac:dyDescent="0.2">
      <c r="A1062" s="1186" t="s">
        <v>17</v>
      </c>
      <c r="B1062" s="1186" t="s">
        <v>920</v>
      </c>
      <c r="C1062" s="1186" t="s">
        <v>1985</v>
      </c>
      <c r="D1062" s="1186" t="s">
        <v>1986</v>
      </c>
      <c r="E1062" s="1186" t="s">
        <v>2035</v>
      </c>
      <c r="F1062" s="1186" t="s">
        <v>2033</v>
      </c>
      <c r="G1062" s="1186" t="s">
        <v>852</v>
      </c>
      <c r="H1062" s="1186">
        <v>22</v>
      </c>
    </row>
    <row r="1063" spans="1:8" x14ac:dyDescent="0.2">
      <c r="A1063" s="1186" t="s">
        <v>17</v>
      </c>
      <c r="B1063" s="1186" t="s">
        <v>920</v>
      </c>
      <c r="C1063" s="1186" t="s">
        <v>1985</v>
      </c>
      <c r="D1063" s="1186" t="s">
        <v>1986</v>
      </c>
      <c r="E1063" s="1186" t="s">
        <v>2035</v>
      </c>
      <c r="F1063" s="1186" t="s">
        <v>2034</v>
      </c>
      <c r="G1063" s="1186" t="s">
        <v>828</v>
      </c>
      <c r="H1063" s="1186">
        <v>54</v>
      </c>
    </row>
    <row r="1064" spans="1:8" x14ac:dyDescent="0.2">
      <c r="A1064" s="1186" t="s">
        <v>17</v>
      </c>
      <c r="B1064" s="1186" t="s">
        <v>920</v>
      </c>
      <c r="C1064" s="1186" t="s">
        <v>1985</v>
      </c>
      <c r="D1064" s="1186" t="s">
        <v>1986</v>
      </c>
      <c r="E1064" s="1186" t="s">
        <v>2035</v>
      </c>
      <c r="F1064" s="1186" t="s">
        <v>2034</v>
      </c>
      <c r="G1064" s="1186" t="s">
        <v>850</v>
      </c>
      <c r="H1064" s="1186">
        <v>41</v>
      </c>
    </row>
    <row r="1065" spans="1:8" x14ac:dyDescent="0.2">
      <c r="A1065" s="1186" t="s">
        <v>17</v>
      </c>
      <c r="B1065" s="1186" t="s">
        <v>920</v>
      </c>
      <c r="C1065" s="1186" t="s">
        <v>1985</v>
      </c>
      <c r="D1065" s="1186" t="s">
        <v>1986</v>
      </c>
      <c r="E1065" s="1186" t="s">
        <v>2035</v>
      </c>
      <c r="F1065" s="1186" t="s">
        <v>2034</v>
      </c>
      <c r="G1065" s="1186" t="s">
        <v>851</v>
      </c>
      <c r="H1065" s="1186">
        <v>27</v>
      </c>
    </row>
    <row r="1066" spans="1:8" x14ac:dyDescent="0.2">
      <c r="A1066" s="1186" t="s">
        <v>17</v>
      </c>
      <c r="B1066" s="1186" t="s">
        <v>920</v>
      </c>
      <c r="C1066" s="1186" t="s">
        <v>1985</v>
      </c>
      <c r="D1066" s="1186" t="s">
        <v>1986</v>
      </c>
      <c r="E1066" s="1186" t="s">
        <v>2035</v>
      </c>
      <c r="F1066" s="1186" t="s">
        <v>2034</v>
      </c>
      <c r="G1066" s="1186" t="s">
        <v>852</v>
      </c>
      <c r="H1066" s="1186">
        <v>8</v>
      </c>
    </row>
    <row r="1067" spans="1:8" x14ac:dyDescent="0.2">
      <c r="A1067" s="1186" t="s">
        <v>17</v>
      </c>
      <c r="B1067" s="1186" t="s">
        <v>921</v>
      </c>
      <c r="C1067" s="1186" t="s">
        <v>1987</v>
      </c>
      <c r="D1067" s="1186" t="s">
        <v>1986</v>
      </c>
      <c r="E1067" s="1186" t="s">
        <v>2031</v>
      </c>
      <c r="F1067" s="1186" t="s">
        <v>2032</v>
      </c>
      <c r="G1067" s="1186" t="s">
        <v>828</v>
      </c>
      <c r="H1067" s="1186">
        <v>3</v>
      </c>
    </row>
    <row r="1068" spans="1:8" x14ac:dyDescent="0.2">
      <c r="A1068" s="1186" t="s">
        <v>17</v>
      </c>
      <c r="B1068" s="1186" t="s">
        <v>921</v>
      </c>
      <c r="C1068" s="1186" t="s">
        <v>1987</v>
      </c>
      <c r="D1068" s="1186" t="s">
        <v>1986</v>
      </c>
      <c r="E1068" s="1186" t="s">
        <v>2031</v>
      </c>
      <c r="F1068" s="1186" t="s">
        <v>2033</v>
      </c>
      <c r="G1068" s="1186" t="s">
        <v>828</v>
      </c>
      <c r="H1068" s="1186">
        <v>137</v>
      </c>
    </row>
    <row r="1069" spans="1:8" x14ac:dyDescent="0.2">
      <c r="A1069" s="1186" t="s">
        <v>17</v>
      </c>
      <c r="B1069" s="1186" t="s">
        <v>921</v>
      </c>
      <c r="C1069" s="1186" t="s">
        <v>1987</v>
      </c>
      <c r="D1069" s="1186" t="s">
        <v>1986</v>
      </c>
      <c r="E1069" s="1186" t="s">
        <v>2031</v>
      </c>
      <c r="F1069" s="1186" t="s">
        <v>2033</v>
      </c>
      <c r="G1069" s="1186" t="s">
        <v>850</v>
      </c>
      <c r="H1069" s="1186">
        <v>7</v>
      </c>
    </row>
    <row r="1070" spans="1:8" x14ac:dyDescent="0.2">
      <c r="A1070" s="1186" t="s">
        <v>17</v>
      </c>
      <c r="B1070" s="1186" t="s">
        <v>921</v>
      </c>
      <c r="C1070" s="1186" t="s">
        <v>1987</v>
      </c>
      <c r="D1070" s="1186" t="s">
        <v>1986</v>
      </c>
      <c r="E1070" s="1186" t="s">
        <v>2031</v>
      </c>
      <c r="F1070" s="1186" t="s">
        <v>2033</v>
      </c>
      <c r="G1070" s="1186" t="s">
        <v>851</v>
      </c>
      <c r="H1070" s="1186">
        <v>4</v>
      </c>
    </row>
    <row r="1071" spans="1:8" x14ac:dyDescent="0.2">
      <c r="A1071" s="1186" t="s">
        <v>17</v>
      </c>
      <c r="B1071" s="1186" t="s">
        <v>921</v>
      </c>
      <c r="C1071" s="1186" t="s">
        <v>1987</v>
      </c>
      <c r="D1071" s="1186" t="s">
        <v>1986</v>
      </c>
      <c r="E1071" s="1186" t="s">
        <v>2031</v>
      </c>
      <c r="F1071" s="1186" t="s">
        <v>2033</v>
      </c>
      <c r="G1071" s="1186" t="s">
        <v>852</v>
      </c>
      <c r="H1071" s="1186">
        <v>1</v>
      </c>
    </row>
    <row r="1072" spans="1:8" x14ac:dyDescent="0.2">
      <c r="A1072" s="1186" t="s">
        <v>17</v>
      </c>
      <c r="B1072" s="1186" t="s">
        <v>921</v>
      </c>
      <c r="C1072" s="1186" t="s">
        <v>1987</v>
      </c>
      <c r="D1072" s="1186" t="s">
        <v>1986</v>
      </c>
      <c r="E1072" s="1186" t="s">
        <v>2031</v>
      </c>
      <c r="F1072" s="1186" t="s">
        <v>2034</v>
      </c>
      <c r="G1072" s="1186" t="s">
        <v>828</v>
      </c>
      <c r="H1072" s="1186">
        <v>22</v>
      </c>
    </row>
    <row r="1073" spans="1:8" x14ac:dyDescent="0.2">
      <c r="A1073" s="1186" t="s">
        <v>17</v>
      </c>
      <c r="B1073" s="1186" t="s">
        <v>921</v>
      </c>
      <c r="C1073" s="1186" t="s">
        <v>1987</v>
      </c>
      <c r="D1073" s="1186" t="s">
        <v>1986</v>
      </c>
      <c r="E1073" s="1186" t="s">
        <v>2031</v>
      </c>
      <c r="F1073" s="1186" t="s">
        <v>2034</v>
      </c>
      <c r="G1073" s="1186" t="s">
        <v>850</v>
      </c>
      <c r="H1073" s="1186">
        <v>2</v>
      </c>
    </row>
    <row r="1074" spans="1:8" x14ac:dyDescent="0.2">
      <c r="A1074" s="1186" t="s">
        <v>17</v>
      </c>
      <c r="B1074" s="1186" t="s">
        <v>921</v>
      </c>
      <c r="C1074" s="1186" t="s">
        <v>1987</v>
      </c>
      <c r="D1074" s="1186" t="s">
        <v>1986</v>
      </c>
      <c r="E1074" s="1186" t="s">
        <v>2035</v>
      </c>
      <c r="F1074" s="1186" t="s">
        <v>2032</v>
      </c>
      <c r="G1074" s="1186" t="s">
        <v>828</v>
      </c>
      <c r="H1074" s="1186">
        <v>5</v>
      </c>
    </row>
    <row r="1075" spans="1:8" x14ac:dyDescent="0.2">
      <c r="A1075" s="1186" t="s">
        <v>17</v>
      </c>
      <c r="B1075" s="1186" t="s">
        <v>921</v>
      </c>
      <c r="C1075" s="1186" t="s">
        <v>1987</v>
      </c>
      <c r="D1075" s="1186" t="s">
        <v>1986</v>
      </c>
      <c r="E1075" s="1186" t="s">
        <v>2035</v>
      </c>
      <c r="F1075" s="1186" t="s">
        <v>2032</v>
      </c>
      <c r="G1075" s="1186" t="s">
        <v>850</v>
      </c>
      <c r="H1075" s="1186">
        <v>1</v>
      </c>
    </row>
    <row r="1076" spans="1:8" x14ac:dyDescent="0.2">
      <c r="A1076" s="1186" t="s">
        <v>17</v>
      </c>
      <c r="B1076" s="1186" t="s">
        <v>921</v>
      </c>
      <c r="C1076" s="1186" t="s">
        <v>1987</v>
      </c>
      <c r="D1076" s="1186" t="s">
        <v>1986</v>
      </c>
      <c r="E1076" s="1186" t="s">
        <v>2035</v>
      </c>
      <c r="F1076" s="1186" t="s">
        <v>2032</v>
      </c>
      <c r="G1076" s="1186" t="s">
        <v>851</v>
      </c>
      <c r="H1076" s="1186">
        <v>6</v>
      </c>
    </row>
    <row r="1077" spans="1:8" x14ac:dyDescent="0.2">
      <c r="A1077" s="1186" t="s">
        <v>17</v>
      </c>
      <c r="B1077" s="1186" t="s">
        <v>921</v>
      </c>
      <c r="C1077" s="1186" t="s">
        <v>1987</v>
      </c>
      <c r="D1077" s="1186" t="s">
        <v>1986</v>
      </c>
      <c r="E1077" s="1186" t="s">
        <v>2035</v>
      </c>
      <c r="F1077" s="1186" t="s">
        <v>2032</v>
      </c>
      <c r="G1077" s="1186" t="s">
        <v>852</v>
      </c>
      <c r="H1077" s="1186">
        <v>2</v>
      </c>
    </row>
    <row r="1078" spans="1:8" x14ac:dyDescent="0.2">
      <c r="A1078" s="1186" t="s">
        <v>17</v>
      </c>
      <c r="B1078" s="1186" t="s">
        <v>921</v>
      </c>
      <c r="C1078" s="1186" t="s">
        <v>1987</v>
      </c>
      <c r="D1078" s="1186" t="s">
        <v>1986</v>
      </c>
      <c r="E1078" s="1186" t="s">
        <v>2035</v>
      </c>
      <c r="F1078" s="1186" t="s">
        <v>2033</v>
      </c>
      <c r="G1078" s="1186" t="s">
        <v>828</v>
      </c>
      <c r="H1078" s="1186">
        <v>31</v>
      </c>
    </row>
    <row r="1079" spans="1:8" x14ac:dyDescent="0.2">
      <c r="A1079" s="1186" t="s">
        <v>17</v>
      </c>
      <c r="B1079" s="1186" t="s">
        <v>921</v>
      </c>
      <c r="C1079" s="1186" t="s">
        <v>1987</v>
      </c>
      <c r="D1079" s="1186" t="s">
        <v>1986</v>
      </c>
      <c r="E1079" s="1186" t="s">
        <v>2035</v>
      </c>
      <c r="F1079" s="1186" t="s">
        <v>2033</v>
      </c>
      <c r="G1079" s="1186" t="s">
        <v>850</v>
      </c>
      <c r="H1079" s="1186">
        <v>9</v>
      </c>
    </row>
    <row r="1080" spans="1:8" x14ac:dyDescent="0.2">
      <c r="A1080" s="1186" t="s">
        <v>17</v>
      </c>
      <c r="B1080" s="1186" t="s">
        <v>921</v>
      </c>
      <c r="C1080" s="1186" t="s">
        <v>1987</v>
      </c>
      <c r="D1080" s="1186" t="s">
        <v>1986</v>
      </c>
      <c r="E1080" s="1186" t="s">
        <v>2035</v>
      </c>
      <c r="F1080" s="1186" t="s">
        <v>2033</v>
      </c>
      <c r="G1080" s="1186" t="s">
        <v>851</v>
      </c>
      <c r="H1080" s="1186">
        <v>185</v>
      </c>
    </row>
    <row r="1081" spans="1:8" x14ac:dyDescent="0.2">
      <c r="A1081" s="1186" t="s">
        <v>17</v>
      </c>
      <c r="B1081" s="1186" t="s">
        <v>921</v>
      </c>
      <c r="C1081" s="1186" t="s">
        <v>1987</v>
      </c>
      <c r="D1081" s="1186" t="s">
        <v>1986</v>
      </c>
      <c r="E1081" s="1186" t="s">
        <v>2035</v>
      </c>
      <c r="F1081" s="1186" t="s">
        <v>2033</v>
      </c>
      <c r="G1081" s="1186" t="s">
        <v>852</v>
      </c>
      <c r="H1081" s="1186">
        <v>7</v>
      </c>
    </row>
    <row r="1082" spans="1:8" x14ac:dyDescent="0.2">
      <c r="A1082" s="1186" t="s">
        <v>17</v>
      </c>
      <c r="B1082" s="1186" t="s">
        <v>921</v>
      </c>
      <c r="C1082" s="1186" t="s">
        <v>1987</v>
      </c>
      <c r="D1082" s="1186" t="s">
        <v>1986</v>
      </c>
      <c r="E1082" s="1186" t="s">
        <v>2035</v>
      </c>
      <c r="F1082" s="1186" t="s">
        <v>2034</v>
      </c>
      <c r="G1082" s="1186" t="s">
        <v>828</v>
      </c>
      <c r="H1082" s="1186">
        <v>80</v>
      </c>
    </row>
    <row r="1083" spans="1:8" x14ac:dyDescent="0.2">
      <c r="A1083" s="1186" t="s">
        <v>17</v>
      </c>
      <c r="B1083" s="1186" t="s">
        <v>921</v>
      </c>
      <c r="C1083" s="1186" t="s">
        <v>1987</v>
      </c>
      <c r="D1083" s="1186" t="s">
        <v>1986</v>
      </c>
      <c r="E1083" s="1186" t="s">
        <v>2035</v>
      </c>
      <c r="F1083" s="1186" t="s">
        <v>2034</v>
      </c>
      <c r="G1083" s="1186" t="s">
        <v>850</v>
      </c>
      <c r="H1083" s="1186">
        <v>38</v>
      </c>
    </row>
    <row r="1084" spans="1:8" x14ac:dyDescent="0.2">
      <c r="A1084" s="1186" t="s">
        <v>17</v>
      </c>
      <c r="B1084" s="1186" t="s">
        <v>921</v>
      </c>
      <c r="C1084" s="1186" t="s">
        <v>1987</v>
      </c>
      <c r="D1084" s="1186" t="s">
        <v>1986</v>
      </c>
      <c r="E1084" s="1186" t="s">
        <v>2035</v>
      </c>
      <c r="F1084" s="1186" t="s">
        <v>2034</v>
      </c>
      <c r="G1084" s="1186" t="s">
        <v>851</v>
      </c>
      <c r="H1084" s="1186">
        <v>40</v>
      </c>
    </row>
    <row r="1085" spans="1:8" x14ac:dyDescent="0.2">
      <c r="A1085" s="1186" t="s">
        <v>17</v>
      </c>
      <c r="B1085" s="1186" t="s">
        <v>921</v>
      </c>
      <c r="C1085" s="1186" t="s">
        <v>1987</v>
      </c>
      <c r="D1085" s="1186" t="s">
        <v>1986</v>
      </c>
      <c r="E1085" s="1186" t="s">
        <v>2035</v>
      </c>
      <c r="F1085" s="1186" t="s">
        <v>2034</v>
      </c>
      <c r="G1085" s="1186" t="s">
        <v>852</v>
      </c>
      <c r="H1085" s="1186">
        <v>24</v>
      </c>
    </row>
    <row r="1086" spans="1:8" x14ac:dyDescent="0.2">
      <c r="A1086" s="1186" t="s">
        <v>17</v>
      </c>
      <c r="B1086" s="1186" t="s">
        <v>922</v>
      </c>
      <c r="C1086" s="1186" t="s">
        <v>1987</v>
      </c>
      <c r="D1086" s="1186" t="s">
        <v>1988</v>
      </c>
      <c r="E1086" s="1186" t="s">
        <v>2031</v>
      </c>
      <c r="F1086" s="1186" t="s">
        <v>2032</v>
      </c>
      <c r="G1086" s="1186" t="s">
        <v>828</v>
      </c>
      <c r="H1086" s="1186">
        <v>3</v>
      </c>
    </row>
    <row r="1087" spans="1:8" x14ac:dyDescent="0.2">
      <c r="A1087" s="1186" t="s">
        <v>17</v>
      </c>
      <c r="B1087" s="1186" t="s">
        <v>922</v>
      </c>
      <c r="C1087" s="1186" t="s">
        <v>1987</v>
      </c>
      <c r="D1087" s="1186" t="s">
        <v>1988</v>
      </c>
      <c r="E1087" s="1186" t="s">
        <v>2031</v>
      </c>
      <c r="F1087" s="1186" t="s">
        <v>2033</v>
      </c>
      <c r="G1087" s="1186" t="s">
        <v>828</v>
      </c>
      <c r="H1087" s="1186">
        <v>92</v>
      </c>
    </row>
    <row r="1088" spans="1:8" x14ac:dyDescent="0.2">
      <c r="A1088" s="1186" t="s">
        <v>17</v>
      </c>
      <c r="B1088" s="1186" t="s">
        <v>922</v>
      </c>
      <c r="C1088" s="1186" t="s">
        <v>1987</v>
      </c>
      <c r="D1088" s="1186" t="s">
        <v>1988</v>
      </c>
      <c r="E1088" s="1186" t="s">
        <v>2031</v>
      </c>
      <c r="F1088" s="1186" t="s">
        <v>2033</v>
      </c>
      <c r="G1088" s="1186" t="s">
        <v>850</v>
      </c>
      <c r="H1088" s="1186">
        <v>3</v>
      </c>
    </row>
    <row r="1089" spans="1:8" x14ac:dyDescent="0.2">
      <c r="A1089" s="1186" t="s">
        <v>17</v>
      </c>
      <c r="B1089" s="1186" t="s">
        <v>922</v>
      </c>
      <c r="C1089" s="1186" t="s">
        <v>1987</v>
      </c>
      <c r="D1089" s="1186" t="s">
        <v>1988</v>
      </c>
      <c r="E1089" s="1186" t="s">
        <v>2031</v>
      </c>
      <c r="F1089" s="1186" t="s">
        <v>2033</v>
      </c>
      <c r="G1089" s="1186" t="s">
        <v>851</v>
      </c>
      <c r="H1089" s="1186">
        <v>4</v>
      </c>
    </row>
    <row r="1090" spans="1:8" x14ac:dyDescent="0.2">
      <c r="A1090" s="1186" t="s">
        <v>17</v>
      </c>
      <c r="B1090" s="1186" t="s">
        <v>922</v>
      </c>
      <c r="C1090" s="1186" t="s">
        <v>1987</v>
      </c>
      <c r="D1090" s="1186" t="s">
        <v>1988</v>
      </c>
      <c r="E1090" s="1186" t="s">
        <v>2031</v>
      </c>
      <c r="F1090" s="1186" t="s">
        <v>2034</v>
      </c>
      <c r="G1090" s="1186" t="s">
        <v>828</v>
      </c>
      <c r="H1090" s="1186">
        <v>31</v>
      </c>
    </row>
    <row r="1091" spans="1:8" x14ac:dyDescent="0.2">
      <c r="A1091" s="1186" t="s">
        <v>17</v>
      </c>
      <c r="B1091" s="1186" t="s">
        <v>922</v>
      </c>
      <c r="C1091" s="1186" t="s">
        <v>1987</v>
      </c>
      <c r="D1091" s="1186" t="s">
        <v>1988</v>
      </c>
      <c r="E1091" s="1186" t="s">
        <v>2031</v>
      </c>
      <c r="F1091" s="1186" t="s">
        <v>2034</v>
      </c>
      <c r="G1091" s="1186" t="s">
        <v>850</v>
      </c>
      <c r="H1091" s="1186">
        <v>2</v>
      </c>
    </row>
    <row r="1092" spans="1:8" x14ac:dyDescent="0.2">
      <c r="A1092" s="1186" t="s">
        <v>17</v>
      </c>
      <c r="B1092" s="1186" t="s">
        <v>922</v>
      </c>
      <c r="C1092" s="1186" t="s">
        <v>1987</v>
      </c>
      <c r="D1092" s="1186" t="s">
        <v>1988</v>
      </c>
      <c r="E1092" s="1186" t="s">
        <v>2035</v>
      </c>
      <c r="F1092" s="1186" t="s">
        <v>2032</v>
      </c>
      <c r="G1092" s="1186" t="s">
        <v>828</v>
      </c>
      <c r="H1092" s="1186">
        <v>5</v>
      </c>
    </row>
    <row r="1093" spans="1:8" x14ac:dyDescent="0.2">
      <c r="A1093" s="1186" t="s">
        <v>17</v>
      </c>
      <c r="B1093" s="1186" t="s">
        <v>922</v>
      </c>
      <c r="C1093" s="1186" t="s">
        <v>1987</v>
      </c>
      <c r="D1093" s="1186" t="s">
        <v>1988</v>
      </c>
      <c r="E1093" s="1186" t="s">
        <v>2035</v>
      </c>
      <c r="F1093" s="1186" t="s">
        <v>2032</v>
      </c>
      <c r="G1093" s="1186" t="s">
        <v>850</v>
      </c>
      <c r="H1093" s="1186">
        <v>1</v>
      </c>
    </row>
    <row r="1094" spans="1:8" x14ac:dyDescent="0.2">
      <c r="A1094" s="1186" t="s">
        <v>17</v>
      </c>
      <c r="B1094" s="1186" t="s">
        <v>922</v>
      </c>
      <c r="C1094" s="1186" t="s">
        <v>1987</v>
      </c>
      <c r="D1094" s="1186" t="s">
        <v>1988</v>
      </c>
      <c r="E1094" s="1186" t="s">
        <v>2035</v>
      </c>
      <c r="F1094" s="1186" t="s">
        <v>2032</v>
      </c>
      <c r="G1094" s="1186" t="s">
        <v>851</v>
      </c>
      <c r="H1094" s="1186">
        <v>15</v>
      </c>
    </row>
    <row r="1095" spans="1:8" x14ac:dyDescent="0.2">
      <c r="A1095" s="1186" t="s">
        <v>17</v>
      </c>
      <c r="B1095" s="1186" t="s">
        <v>922</v>
      </c>
      <c r="C1095" s="1186" t="s">
        <v>1987</v>
      </c>
      <c r="D1095" s="1186" t="s">
        <v>1988</v>
      </c>
      <c r="E1095" s="1186" t="s">
        <v>2035</v>
      </c>
      <c r="F1095" s="1186" t="s">
        <v>2032</v>
      </c>
      <c r="G1095" s="1186" t="s">
        <v>852</v>
      </c>
      <c r="H1095" s="1186">
        <v>2</v>
      </c>
    </row>
    <row r="1096" spans="1:8" x14ac:dyDescent="0.2">
      <c r="A1096" s="1186" t="s">
        <v>17</v>
      </c>
      <c r="B1096" s="1186" t="s">
        <v>922</v>
      </c>
      <c r="C1096" s="1186" t="s">
        <v>1987</v>
      </c>
      <c r="D1096" s="1186" t="s">
        <v>1988</v>
      </c>
      <c r="E1096" s="1186" t="s">
        <v>2035</v>
      </c>
      <c r="F1096" s="1186" t="s">
        <v>2033</v>
      </c>
      <c r="G1096" s="1186" t="s">
        <v>828</v>
      </c>
      <c r="H1096" s="1186">
        <v>36</v>
      </c>
    </row>
    <row r="1097" spans="1:8" x14ac:dyDescent="0.2">
      <c r="A1097" s="1186" t="s">
        <v>17</v>
      </c>
      <c r="B1097" s="1186" t="s">
        <v>922</v>
      </c>
      <c r="C1097" s="1186" t="s">
        <v>1987</v>
      </c>
      <c r="D1097" s="1186" t="s">
        <v>1988</v>
      </c>
      <c r="E1097" s="1186" t="s">
        <v>2035</v>
      </c>
      <c r="F1097" s="1186" t="s">
        <v>2033</v>
      </c>
      <c r="G1097" s="1186" t="s">
        <v>850</v>
      </c>
      <c r="H1097" s="1186">
        <v>10</v>
      </c>
    </row>
    <row r="1098" spans="1:8" x14ac:dyDescent="0.2">
      <c r="A1098" s="1186" t="s">
        <v>17</v>
      </c>
      <c r="B1098" s="1186" t="s">
        <v>922</v>
      </c>
      <c r="C1098" s="1186" t="s">
        <v>1987</v>
      </c>
      <c r="D1098" s="1186" t="s">
        <v>1988</v>
      </c>
      <c r="E1098" s="1186" t="s">
        <v>2035</v>
      </c>
      <c r="F1098" s="1186" t="s">
        <v>2033</v>
      </c>
      <c r="G1098" s="1186" t="s">
        <v>851</v>
      </c>
      <c r="H1098" s="1186">
        <v>154</v>
      </c>
    </row>
    <row r="1099" spans="1:8" x14ac:dyDescent="0.2">
      <c r="A1099" s="1186" t="s">
        <v>17</v>
      </c>
      <c r="B1099" s="1186" t="s">
        <v>922</v>
      </c>
      <c r="C1099" s="1186" t="s">
        <v>1987</v>
      </c>
      <c r="D1099" s="1186" t="s">
        <v>1988</v>
      </c>
      <c r="E1099" s="1186" t="s">
        <v>2035</v>
      </c>
      <c r="F1099" s="1186" t="s">
        <v>2033</v>
      </c>
      <c r="G1099" s="1186" t="s">
        <v>852</v>
      </c>
      <c r="H1099" s="1186">
        <v>9</v>
      </c>
    </row>
    <row r="1100" spans="1:8" x14ac:dyDescent="0.2">
      <c r="A1100" s="1186" t="s">
        <v>17</v>
      </c>
      <c r="B1100" s="1186" t="s">
        <v>922</v>
      </c>
      <c r="C1100" s="1186" t="s">
        <v>1987</v>
      </c>
      <c r="D1100" s="1186" t="s">
        <v>1988</v>
      </c>
      <c r="E1100" s="1186" t="s">
        <v>2035</v>
      </c>
      <c r="F1100" s="1186" t="s">
        <v>2034</v>
      </c>
      <c r="G1100" s="1186" t="s">
        <v>828</v>
      </c>
      <c r="H1100" s="1186">
        <v>67</v>
      </c>
    </row>
    <row r="1101" spans="1:8" x14ac:dyDescent="0.2">
      <c r="A1101" s="1186" t="s">
        <v>17</v>
      </c>
      <c r="B1101" s="1186" t="s">
        <v>922</v>
      </c>
      <c r="C1101" s="1186" t="s">
        <v>1987</v>
      </c>
      <c r="D1101" s="1186" t="s">
        <v>1988</v>
      </c>
      <c r="E1101" s="1186" t="s">
        <v>2035</v>
      </c>
      <c r="F1101" s="1186" t="s">
        <v>2034</v>
      </c>
      <c r="G1101" s="1186" t="s">
        <v>850</v>
      </c>
      <c r="H1101" s="1186">
        <v>17</v>
      </c>
    </row>
    <row r="1102" spans="1:8" x14ac:dyDescent="0.2">
      <c r="A1102" s="1186" t="s">
        <v>17</v>
      </c>
      <c r="B1102" s="1186" t="s">
        <v>922</v>
      </c>
      <c r="C1102" s="1186" t="s">
        <v>1987</v>
      </c>
      <c r="D1102" s="1186" t="s">
        <v>1988</v>
      </c>
      <c r="E1102" s="1186" t="s">
        <v>2035</v>
      </c>
      <c r="F1102" s="1186" t="s">
        <v>2034</v>
      </c>
      <c r="G1102" s="1186" t="s">
        <v>851</v>
      </c>
      <c r="H1102" s="1186">
        <v>26</v>
      </c>
    </row>
    <row r="1103" spans="1:8" x14ac:dyDescent="0.2">
      <c r="A1103" s="1186" t="s">
        <v>17</v>
      </c>
      <c r="B1103" s="1186" t="s">
        <v>922</v>
      </c>
      <c r="C1103" s="1186" t="s">
        <v>1987</v>
      </c>
      <c r="D1103" s="1186" t="s">
        <v>1988</v>
      </c>
      <c r="E1103" s="1186" t="s">
        <v>2035</v>
      </c>
      <c r="F1103" s="1186" t="s">
        <v>2034</v>
      </c>
      <c r="G1103" s="1186" t="s">
        <v>852</v>
      </c>
      <c r="H1103" s="1186">
        <v>9</v>
      </c>
    </row>
    <row r="1104" spans="1:8" x14ac:dyDescent="0.2">
      <c r="A1104" s="1186" t="s">
        <v>17</v>
      </c>
      <c r="B1104" s="1186" t="s">
        <v>923</v>
      </c>
      <c r="C1104" s="1186" t="s">
        <v>1987</v>
      </c>
      <c r="D1104" s="1186" t="s">
        <v>1988</v>
      </c>
      <c r="E1104" s="1186" t="s">
        <v>2031</v>
      </c>
      <c r="F1104" s="1186" t="s">
        <v>2033</v>
      </c>
      <c r="G1104" s="1186" t="s">
        <v>828</v>
      </c>
      <c r="H1104" s="1186">
        <v>88</v>
      </c>
    </row>
    <row r="1105" spans="1:8" x14ac:dyDescent="0.2">
      <c r="A1105" s="1186" t="s">
        <v>17</v>
      </c>
      <c r="B1105" s="1186" t="s">
        <v>923</v>
      </c>
      <c r="C1105" s="1186" t="s">
        <v>1987</v>
      </c>
      <c r="D1105" s="1186" t="s">
        <v>1988</v>
      </c>
      <c r="E1105" s="1186" t="s">
        <v>2031</v>
      </c>
      <c r="F1105" s="1186" t="s">
        <v>2033</v>
      </c>
      <c r="G1105" s="1186" t="s">
        <v>850</v>
      </c>
      <c r="H1105" s="1186">
        <v>3</v>
      </c>
    </row>
    <row r="1106" spans="1:8" x14ac:dyDescent="0.2">
      <c r="A1106" s="1186" t="s">
        <v>17</v>
      </c>
      <c r="B1106" s="1186" t="s">
        <v>923</v>
      </c>
      <c r="C1106" s="1186" t="s">
        <v>1987</v>
      </c>
      <c r="D1106" s="1186" t="s">
        <v>1988</v>
      </c>
      <c r="E1106" s="1186" t="s">
        <v>2031</v>
      </c>
      <c r="F1106" s="1186" t="s">
        <v>2033</v>
      </c>
      <c r="G1106" s="1186" t="s">
        <v>851</v>
      </c>
      <c r="H1106" s="1186">
        <v>1</v>
      </c>
    </row>
    <row r="1107" spans="1:8" x14ac:dyDescent="0.2">
      <c r="A1107" s="1186" t="s">
        <v>17</v>
      </c>
      <c r="B1107" s="1186" t="s">
        <v>923</v>
      </c>
      <c r="C1107" s="1186" t="s">
        <v>1987</v>
      </c>
      <c r="D1107" s="1186" t="s">
        <v>1988</v>
      </c>
      <c r="E1107" s="1186" t="s">
        <v>2031</v>
      </c>
      <c r="F1107" s="1186" t="s">
        <v>2033</v>
      </c>
      <c r="G1107" s="1186" t="s">
        <v>852</v>
      </c>
      <c r="H1107" s="1186">
        <v>1</v>
      </c>
    </row>
    <row r="1108" spans="1:8" x14ac:dyDescent="0.2">
      <c r="A1108" s="1186" t="s">
        <v>17</v>
      </c>
      <c r="B1108" s="1186" t="s">
        <v>923</v>
      </c>
      <c r="C1108" s="1186" t="s">
        <v>1987</v>
      </c>
      <c r="D1108" s="1186" t="s">
        <v>1988</v>
      </c>
      <c r="E1108" s="1186" t="s">
        <v>2031</v>
      </c>
      <c r="F1108" s="1186" t="s">
        <v>2034</v>
      </c>
      <c r="G1108" s="1186" t="s">
        <v>828</v>
      </c>
      <c r="H1108" s="1186">
        <v>21</v>
      </c>
    </row>
    <row r="1109" spans="1:8" x14ac:dyDescent="0.2">
      <c r="A1109" s="1186" t="s">
        <v>17</v>
      </c>
      <c r="B1109" s="1186" t="s">
        <v>923</v>
      </c>
      <c r="C1109" s="1186" t="s">
        <v>1987</v>
      </c>
      <c r="D1109" s="1186" t="s">
        <v>1988</v>
      </c>
      <c r="E1109" s="1186" t="s">
        <v>2031</v>
      </c>
      <c r="F1109" s="1186" t="s">
        <v>2034</v>
      </c>
      <c r="G1109" s="1186" t="s">
        <v>850</v>
      </c>
      <c r="H1109" s="1186">
        <v>1</v>
      </c>
    </row>
    <row r="1110" spans="1:8" x14ac:dyDescent="0.2">
      <c r="A1110" s="1186" t="s">
        <v>17</v>
      </c>
      <c r="B1110" s="1186" t="s">
        <v>923</v>
      </c>
      <c r="C1110" s="1186" t="s">
        <v>1987</v>
      </c>
      <c r="D1110" s="1186" t="s">
        <v>1988</v>
      </c>
      <c r="E1110" s="1186" t="s">
        <v>2031</v>
      </c>
      <c r="F1110" s="1186" t="s">
        <v>2034</v>
      </c>
      <c r="G1110" s="1186" t="s">
        <v>851</v>
      </c>
      <c r="H1110" s="1186">
        <v>1</v>
      </c>
    </row>
    <row r="1111" spans="1:8" x14ac:dyDescent="0.2">
      <c r="A1111" s="1186" t="s">
        <v>17</v>
      </c>
      <c r="B1111" s="1186" t="s">
        <v>923</v>
      </c>
      <c r="C1111" s="1186" t="s">
        <v>1987</v>
      </c>
      <c r="D1111" s="1186" t="s">
        <v>1988</v>
      </c>
      <c r="E1111" s="1186" t="s">
        <v>2035</v>
      </c>
      <c r="F1111" s="1186" t="s">
        <v>2032</v>
      </c>
      <c r="G1111" s="1186" t="s">
        <v>828</v>
      </c>
      <c r="H1111" s="1186">
        <v>4</v>
      </c>
    </row>
    <row r="1112" spans="1:8" x14ac:dyDescent="0.2">
      <c r="A1112" s="1186" t="s">
        <v>17</v>
      </c>
      <c r="B1112" s="1186" t="s">
        <v>923</v>
      </c>
      <c r="C1112" s="1186" t="s">
        <v>1987</v>
      </c>
      <c r="D1112" s="1186" t="s">
        <v>1988</v>
      </c>
      <c r="E1112" s="1186" t="s">
        <v>2035</v>
      </c>
      <c r="F1112" s="1186" t="s">
        <v>2032</v>
      </c>
      <c r="G1112" s="1186" t="s">
        <v>850</v>
      </c>
      <c r="H1112" s="1186">
        <v>2</v>
      </c>
    </row>
    <row r="1113" spans="1:8" x14ac:dyDescent="0.2">
      <c r="A1113" s="1186" t="s">
        <v>17</v>
      </c>
      <c r="B1113" s="1186" t="s">
        <v>923</v>
      </c>
      <c r="C1113" s="1186" t="s">
        <v>1987</v>
      </c>
      <c r="D1113" s="1186" t="s">
        <v>1988</v>
      </c>
      <c r="E1113" s="1186" t="s">
        <v>2035</v>
      </c>
      <c r="F1113" s="1186" t="s">
        <v>2032</v>
      </c>
      <c r="G1113" s="1186" t="s">
        <v>851</v>
      </c>
      <c r="H1113" s="1186">
        <v>5</v>
      </c>
    </row>
    <row r="1114" spans="1:8" x14ac:dyDescent="0.2">
      <c r="A1114" s="1186" t="s">
        <v>17</v>
      </c>
      <c r="B1114" s="1186" t="s">
        <v>923</v>
      </c>
      <c r="C1114" s="1186" t="s">
        <v>1987</v>
      </c>
      <c r="D1114" s="1186" t="s">
        <v>1988</v>
      </c>
      <c r="E1114" s="1186" t="s">
        <v>2035</v>
      </c>
      <c r="F1114" s="1186" t="s">
        <v>2032</v>
      </c>
      <c r="G1114" s="1186" t="s">
        <v>852</v>
      </c>
      <c r="H1114" s="1186">
        <v>2</v>
      </c>
    </row>
    <row r="1115" spans="1:8" x14ac:dyDescent="0.2">
      <c r="A1115" s="1186" t="s">
        <v>17</v>
      </c>
      <c r="B1115" s="1186" t="s">
        <v>923</v>
      </c>
      <c r="C1115" s="1186" t="s">
        <v>1987</v>
      </c>
      <c r="D1115" s="1186" t="s">
        <v>1988</v>
      </c>
      <c r="E1115" s="1186" t="s">
        <v>2035</v>
      </c>
      <c r="F1115" s="1186" t="s">
        <v>2033</v>
      </c>
      <c r="G1115" s="1186" t="s">
        <v>828</v>
      </c>
      <c r="H1115" s="1186">
        <v>24</v>
      </c>
    </row>
    <row r="1116" spans="1:8" x14ac:dyDescent="0.2">
      <c r="A1116" s="1186" t="s">
        <v>17</v>
      </c>
      <c r="B1116" s="1186" t="s">
        <v>923</v>
      </c>
      <c r="C1116" s="1186" t="s">
        <v>1987</v>
      </c>
      <c r="D1116" s="1186" t="s">
        <v>1988</v>
      </c>
      <c r="E1116" s="1186" t="s">
        <v>2035</v>
      </c>
      <c r="F1116" s="1186" t="s">
        <v>2033</v>
      </c>
      <c r="G1116" s="1186" t="s">
        <v>850</v>
      </c>
      <c r="H1116" s="1186">
        <v>3</v>
      </c>
    </row>
    <row r="1117" spans="1:8" x14ac:dyDescent="0.2">
      <c r="A1117" s="1186" t="s">
        <v>17</v>
      </c>
      <c r="B1117" s="1186" t="s">
        <v>923</v>
      </c>
      <c r="C1117" s="1186" t="s">
        <v>1987</v>
      </c>
      <c r="D1117" s="1186" t="s">
        <v>1988</v>
      </c>
      <c r="E1117" s="1186" t="s">
        <v>2035</v>
      </c>
      <c r="F1117" s="1186" t="s">
        <v>2033</v>
      </c>
      <c r="G1117" s="1186" t="s">
        <v>851</v>
      </c>
      <c r="H1117" s="1186">
        <v>124</v>
      </c>
    </row>
    <row r="1118" spans="1:8" x14ac:dyDescent="0.2">
      <c r="A1118" s="1186" t="s">
        <v>17</v>
      </c>
      <c r="B1118" s="1186" t="s">
        <v>923</v>
      </c>
      <c r="C1118" s="1186" t="s">
        <v>1987</v>
      </c>
      <c r="D1118" s="1186" t="s">
        <v>1988</v>
      </c>
      <c r="E1118" s="1186" t="s">
        <v>2035</v>
      </c>
      <c r="F1118" s="1186" t="s">
        <v>2033</v>
      </c>
      <c r="G1118" s="1186" t="s">
        <v>852</v>
      </c>
      <c r="H1118" s="1186">
        <v>9</v>
      </c>
    </row>
    <row r="1119" spans="1:8" x14ac:dyDescent="0.2">
      <c r="A1119" s="1186" t="s">
        <v>17</v>
      </c>
      <c r="B1119" s="1186" t="s">
        <v>923</v>
      </c>
      <c r="C1119" s="1186" t="s">
        <v>1987</v>
      </c>
      <c r="D1119" s="1186" t="s">
        <v>1988</v>
      </c>
      <c r="E1119" s="1186" t="s">
        <v>2035</v>
      </c>
      <c r="F1119" s="1186" t="s">
        <v>2034</v>
      </c>
      <c r="G1119" s="1186" t="s">
        <v>828</v>
      </c>
      <c r="H1119" s="1186">
        <v>63</v>
      </c>
    </row>
    <row r="1120" spans="1:8" x14ac:dyDescent="0.2">
      <c r="A1120" s="1186" t="s">
        <v>17</v>
      </c>
      <c r="B1120" s="1186" t="s">
        <v>923</v>
      </c>
      <c r="C1120" s="1186" t="s">
        <v>1987</v>
      </c>
      <c r="D1120" s="1186" t="s">
        <v>1988</v>
      </c>
      <c r="E1120" s="1186" t="s">
        <v>2035</v>
      </c>
      <c r="F1120" s="1186" t="s">
        <v>2034</v>
      </c>
      <c r="G1120" s="1186" t="s">
        <v>850</v>
      </c>
      <c r="H1120" s="1186">
        <v>25</v>
      </c>
    </row>
    <row r="1121" spans="1:8" x14ac:dyDescent="0.2">
      <c r="A1121" s="1186" t="s">
        <v>17</v>
      </c>
      <c r="B1121" s="1186" t="s">
        <v>923</v>
      </c>
      <c r="C1121" s="1186" t="s">
        <v>1987</v>
      </c>
      <c r="D1121" s="1186" t="s">
        <v>1988</v>
      </c>
      <c r="E1121" s="1186" t="s">
        <v>2035</v>
      </c>
      <c r="F1121" s="1186" t="s">
        <v>2034</v>
      </c>
      <c r="G1121" s="1186" t="s">
        <v>851</v>
      </c>
      <c r="H1121" s="1186">
        <v>20</v>
      </c>
    </row>
    <row r="1122" spans="1:8" x14ac:dyDescent="0.2">
      <c r="A1122" s="1186" t="s">
        <v>17</v>
      </c>
      <c r="B1122" s="1186" t="s">
        <v>923</v>
      </c>
      <c r="C1122" s="1186" t="s">
        <v>1987</v>
      </c>
      <c r="D1122" s="1186" t="s">
        <v>1988</v>
      </c>
      <c r="E1122" s="1186" t="s">
        <v>2035</v>
      </c>
      <c r="F1122" s="1186" t="s">
        <v>2034</v>
      </c>
      <c r="G1122" s="1186" t="s">
        <v>852</v>
      </c>
      <c r="H1122" s="1186">
        <v>10</v>
      </c>
    </row>
    <row r="1123" spans="1:8" x14ac:dyDescent="0.2">
      <c r="A1123" s="1186" t="s">
        <v>17</v>
      </c>
      <c r="B1123" s="1186" t="s">
        <v>924</v>
      </c>
      <c r="C1123" s="1186" t="s">
        <v>1981</v>
      </c>
      <c r="D1123" s="1186" t="s">
        <v>1988</v>
      </c>
      <c r="E1123" s="1186" t="s">
        <v>2031</v>
      </c>
      <c r="F1123" s="1186" t="s">
        <v>2032</v>
      </c>
      <c r="G1123" s="1186" t="s">
        <v>828</v>
      </c>
      <c r="H1123" s="1186">
        <v>3</v>
      </c>
    </row>
    <row r="1124" spans="1:8" x14ac:dyDescent="0.2">
      <c r="A1124" s="1186" t="s">
        <v>17</v>
      </c>
      <c r="B1124" s="1186" t="s">
        <v>924</v>
      </c>
      <c r="C1124" s="1186" t="s">
        <v>1981</v>
      </c>
      <c r="D1124" s="1186" t="s">
        <v>1988</v>
      </c>
      <c r="E1124" s="1186" t="s">
        <v>2031</v>
      </c>
      <c r="F1124" s="1186" t="s">
        <v>2033</v>
      </c>
      <c r="G1124" s="1186" t="s">
        <v>828</v>
      </c>
      <c r="H1124" s="1186">
        <v>91</v>
      </c>
    </row>
    <row r="1125" spans="1:8" x14ac:dyDescent="0.2">
      <c r="A1125" s="1186" t="s">
        <v>17</v>
      </c>
      <c r="B1125" s="1186" t="s">
        <v>924</v>
      </c>
      <c r="C1125" s="1186" t="s">
        <v>1981</v>
      </c>
      <c r="D1125" s="1186" t="s">
        <v>1988</v>
      </c>
      <c r="E1125" s="1186" t="s">
        <v>2031</v>
      </c>
      <c r="F1125" s="1186" t="s">
        <v>2033</v>
      </c>
      <c r="G1125" s="1186" t="s">
        <v>850</v>
      </c>
      <c r="H1125" s="1186">
        <v>5</v>
      </c>
    </row>
    <row r="1126" spans="1:8" x14ac:dyDescent="0.2">
      <c r="A1126" s="1186" t="s">
        <v>17</v>
      </c>
      <c r="B1126" s="1186" t="s">
        <v>924</v>
      </c>
      <c r="C1126" s="1186" t="s">
        <v>1981</v>
      </c>
      <c r="D1126" s="1186" t="s">
        <v>1988</v>
      </c>
      <c r="E1126" s="1186" t="s">
        <v>2031</v>
      </c>
      <c r="F1126" s="1186" t="s">
        <v>2033</v>
      </c>
      <c r="G1126" s="1186" t="s">
        <v>851</v>
      </c>
      <c r="H1126" s="1186">
        <v>7</v>
      </c>
    </row>
    <row r="1127" spans="1:8" x14ac:dyDescent="0.2">
      <c r="A1127" s="1186" t="s">
        <v>17</v>
      </c>
      <c r="B1127" s="1186" t="s">
        <v>924</v>
      </c>
      <c r="C1127" s="1186" t="s">
        <v>1981</v>
      </c>
      <c r="D1127" s="1186" t="s">
        <v>1988</v>
      </c>
      <c r="E1127" s="1186" t="s">
        <v>2031</v>
      </c>
      <c r="F1127" s="1186" t="s">
        <v>2033</v>
      </c>
      <c r="G1127" s="1186" t="s">
        <v>852</v>
      </c>
      <c r="H1127" s="1186">
        <v>2</v>
      </c>
    </row>
    <row r="1128" spans="1:8" x14ac:dyDescent="0.2">
      <c r="A1128" s="1186" t="s">
        <v>17</v>
      </c>
      <c r="B1128" s="1186" t="s">
        <v>924</v>
      </c>
      <c r="C1128" s="1186" t="s">
        <v>1981</v>
      </c>
      <c r="D1128" s="1186" t="s">
        <v>1988</v>
      </c>
      <c r="E1128" s="1186" t="s">
        <v>2031</v>
      </c>
      <c r="F1128" s="1186" t="s">
        <v>2034</v>
      </c>
      <c r="G1128" s="1186" t="s">
        <v>828</v>
      </c>
      <c r="H1128" s="1186">
        <v>23</v>
      </c>
    </row>
    <row r="1129" spans="1:8" x14ac:dyDescent="0.2">
      <c r="A1129" s="1186" t="s">
        <v>17</v>
      </c>
      <c r="B1129" s="1186" t="s">
        <v>924</v>
      </c>
      <c r="C1129" s="1186" t="s">
        <v>1981</v>
      </c>
      <c r="D1129" s="1186" t="s">
        <v>1988</v>
      </c>
      <c r="E1129" s="1186" t="s">
        <v>2035</v>
      </c>
      <c r="F1129" s="1186" t="s">
        <v>2032</v>
      </c>
      <c r="G1129" s="1186" t="s">
        <v>828</v>
      </c>
      <c r="H1129" s="1186">
        <v>4</v>
      </c>
    </row>
    <row r="1130" spans="1:8" x14ac:dyDescent="0.2">
      <c r="A1130" s="1186" t="s">
        <v>17</v>
      </c>
      <c r="B1130" s="1186" t="s">
        <v>924</v>
      </c>
      <c r="C1130" s="1186" t="s">
        <v>1981</v>
      </c>
      <c r="D1130" s="1186" t="s">
        <v>1988</v>
      </c>
      <c r="E1130" s="1186" t="s">
        <v>2035</v>
      </c>
      <c r="F1130" s="1186" t="s">
        <v>2032</v>
      </c>
      <c r="G1130" s="1186" t="s">
        <v>850</v>
      </c>
      <c r="H1130" s="1186">
        <v>1</v>
      </c>
    </row>
    <row r="1131" spans="1:8" x14ac:dyDescent="0.2">
      <c r="A1131" s="1186" t="s">
        <v>17</v>
      </c>
      <c r="B1131" s="1186" t="s">
        <v>924</v>
      </c>
      <c r="C1131" s="1186" t="s">
        <v>1981</v>
      </c>
      <c r="D1131" s="1186" t="s">
        <v>1988</v>
      </c>
      <c r="E1131" s="1186" t="s">
        <v>2035</v>
      </c>
      <c r="F1131" s="1186" t="s">
        <v>2032</v>
      </c>
      <c r="G1131" s="1186" t="s">
        <v>851</v>
      </c>
      <c r="H1131" s="1186">
        <v>8</v>
      </c>
    </row>
    <row r="1132" spans="1:8" x14ac:dyDescent="0.2">
      <c r="A1132" s="1186" t="s">
        <v>17</v>
      </c>
      <c r="B1132" s="1186" t="s">
        <v>924</v>
      </c>
      <c r="C1132" s="1186" t="s">
        <v>1981</v>
      </c>
      <c r="D1132" s="1186" t="s">
        <v>1988</v>
      </c>
      <c r="E1132" s="1186" t="s">
        <v>2035</v>
      </c>
      <c r="F1132" s="1186" t="s">
        <v>2032</v>
      </c>
      <c r="G1132" s="1186" t="s">
        <v>852</v>
      </c>
      <c r="H1132" s="1186">
        <v>6</v>
      </c>
    </row>
    <row r="1133" spans="1:8" x14ac:dyDescent="0.2">
      <c r="A1133" s="1186" t="s">
        <v>17</v>
      </c>
      <c r="B1133" s="1186" t="s">
        <v>924</v>
      </c>
      <c r="C1133" s="1186" t="s">
        <v>1981</v>
      </c>
      <c r="D1133" s="1186" t="s">
        <v>1988</v>
      </c>
      <c r="E1133" s="1186" t="s">
        <v>2035</v>
      </c>
      <c r="F1133" s="1186" t="s">
        <v>2033</v>
      </c>
      <c r="G1133" s="1186" t="s">
        <v>828</v>
      </c>
      <c r="H1133" s="1186">
        <v>24</v>
      </c>
    </row>
    <row r="1134" spans="1:8" x14ac:dyDescent="0.2">
      <c r="A1134" s="1186" t="s">
        <v>17</v>
      </c>
      <c r="B1134" s="1186" t="s">
        <v>924</v>
      </c>
      <c r="C1134" s="1186" t="s">
        <v>1981</v>
      </c>
      <c r="D1134" s="1186" t="s">
        <v>1988</v>
      </c>
      <c r="E1134" s="1186" t="s">
        <v>2035</v>
      </c>
      <c r="F1134" s="1186" t="s">
        <v>2033</v>
      </c>
      <c r="G1134" s="1186" t="s">
        <v>850</v>
      </c>
      <c r="H1134" s="1186">
        <v>16</v>
      </c>
    </row>
    <row r="1135" spans="1:8" x14ac:dyDescent="0.2">
      <c r="A1135" s="1186" t="s">
        <v>17</v>
      </c>
      <c r="B1135" s="1186" t="s">
        <v>924</v>
      </c>
      <c r="C1135" s="1186" t="s">
        <v>1981</v>
      </c>
      <c r="D1135" s="1186" t="s">
        <v>1988</v>
      </c>
      <c r="E1135" s="1186" t="s">
        <v>2035</v>
      </c>
      <c r="F1135" s="1186" t="s">
        <v>2033</v>
      </c>
      <c r="G1135" s="1186" t="s">
        <v>851</v>
      </c>
      <c r="H1135" s="1186">
        <v>148</v>
      </c>
    </row>
    <row r="1136" spans="1:8" x14ac:dyDescent="0.2">
      <c r="A1136" s="1186" t="s">
        <v>17</v>
      </c>
      <c r="B1136" s="1186" t="s">
        <v>924</v>
      </c>
      <c r="C1136" s="1186" t="s">
        <v>1981</v>
      </c>
      <c r="D1136" s="1186" t="s">
        <v>1988</v>
      </c>
      <c r="E1136" s="1186" t="s">
        <v>2035</v>
      </c>
      <c r="F1136" s="1186" t="s">
        <v>2033</v>
      </c>
      <c r="G1136" s="1186" t="s">
        <v>852</v>
      </c>
      <c r="H1136" s="1186">
        <v>18</v>
      </c>
    </row>
    <row r="1137" spans="1:8" x14ac:dyDescent="0.2">
      <c r="A1137" s="1186" t="s">
        <v>17</v>
      </c>
      <c r="B1137" s="1186" t="s">
        <v>924</v>
      </c>
      <c r="C1137" s="1186" t="s">
        <v>1981</v>
      </c>
      <c r="D1137" s="1186" t="s">
        <v>1988</v>
      </c>
      <c r="E1137" s="1186" t="s">
        <v>2035</v>
      </c>
      <c r="F1137" s="1186" t="s">
        <v>2034</v>
      </c>
      <c r="G1137" s="1186" t="s">
        <v>828</v>
      </c>
      <c r="H1137" s="1186">
        <v>57</v>
      </c>
    </row>
    <row r="1138" spans="1:8" x14ac:dyDescent="0.2">
      <c r="A1138" s="1186" t="s">
        <v>17</v>
      </c>
      <c r="B1138" s="1186" t="s">
        <v>924</v>
      </c>
      <c r="C1138" s="1186" t="s">
        <v>1981</v>
      </c>
      <c r="D1138" s="1186" t="s">
        <v>1988</v>
      </c>
      <c r="E1138" s="1186" t="s">
        <v>2035</v>
      </c>
      <c r="F1138" s="1186" t="s">
        <v>2034</v>
      </c>
      <c r="G1138" s="1186" t="s">
        <v>850</v>
      </c>
      <c r="H1138" s="1186">
        <v>36</v>
      </c>
    </row>
    <row r="1139" spans="1:8" x14ac:dyDescent="0.2">
      <c r="A1139" s="1186" t="s">
        <v>17</v>
      </c>
      <c r="B1139" s="1186" t="s">
        <v>924</v>
      </c>
      <c r="C1139" s="1186" t="s">
        <v>1981</v>
      </c>
      <c r="D1139" s="1186" t="s">
        <v>1988</v>
      </c>
      <c r="E1139" s="1186" t="s">
        <v>2035</v>
      </c>
      <c r="F1139" s="1186" t="s">
        <v>2034</v>
      </c>
      <c r="G1139" s="1186" t="s">
        <v>851</v>
      </c>
      <c r="H1139" s="1186">
        <v>27</v>
      </c>
    </row>
    <row r="1140" spans="1:8" x14ac:dyDescent="0.2">
      <c r="A1140" s="1186" t="s">
        <v>17</v>
      </c>
      <c r="B1140" s="1186" t="s">
        <v>924</v>
      </c>
      <c r="C1140" s="1186" t="s">
        <v>1981</v>
      </c>
      <c r="D1140" s="1186" t="s">
        <v>1988</v>
      </c>
      <c r="E1140" s="1186" t="s">
        <v>2035</v>
      </c>
      <c r="F1140" s="1186" t="s">
        <v>2034</v>
      </c>
      <c r="G1140" s="1186" t="s">
        <v>852</v>
      </c>
      <c r="H1140" s="1186">
        <v>18</v>
      </c>
    </row>
    <row r="1141" spans="1:8" x14ac:dyDescent="0.2">
      <c r="A1141" s="1186" t="s">
        <v>133</v>
      </c>
      <c r="B1141" s="1186" t="s">
        <v>925</v>
      </c>
      <c r="C1141" s="1186" t="s">
        <v>1981</v>
      </c>
      <c r="D1141" s="1186" t="s">
        <v>1982</v>
      </c>
      <c r="E1141" s="1186" t="s">
        <v>2031</v>
      </c>
      <c r="F1141" s="1186" t="s">
        <v>2032</v>
      </c>
      <c r="G1141" s="1186" t="s">
        <v>828</v>
      </c>
      <c r="H1141" s="1186">
        <v>1</v>
      </c>
    </row>
    <row r="1142" spans="1:8" x14ac:dyDescent="0.2">
      <c r="A1142" s="1186" t="s">
        <v>133</v>
      </c>
      <c r="B1142" s="1186" t="s">
        <v>925</v>
      </c>
      <c r="C1142" s="1186" t="s">
        <v>1981</v>
      </c>
      <c r="D1142" s="1186" t="s">
        <v>1982</v>
      </c>
      <c r="E1142" s="1186" t="s">
        <v>2031</v>
      </c>
      <c r="F1142" s="1186" t="s">
        <v>2032</v>
      </c>
      <c r="G1142" s="1186" t="s">
        <v>852</v>
      </c>
      <c r="H1142" s="1186">
        <v>1</v>
      </c>
    </row>
    <row r="1143" spans="1:8" x14ac:dyDescent="0.2">
      <c r="A1143" s="1186" t="s">
        <v>133</v>
      </c>
      <c r="B1143" s="1186" t="s">
        <v>925</v>
      </c>
      <c r="C1143" s="1186" t="s">
        <v>1981</v>
      </c>
      <c r="D1143" s="1186" t="s">
        <v>1982</v>
      </c>
      <c r="E1143" s="1186" t="s">
        <v>2031</v>
      </c>
      <c r="F1143" s="1186" t="s">
        <v>2033</v>
      </c>
      <c r="G1143" s="1186" t="s">
        <v>828</v>
      </c>
      <c r="H1143" s="1186">
        <v>60</v>
      </c>
    </row>
    <row r="1144" spans="1:8" x14ac:dyDescent="0.2">
      <c r="A1144" s="1186" t="s">
        <v>133</v>
      </c>
      <c r="B1144" s="1186" t="s">
        <v>925</v>
      </c>
      <c r="C1144" s="1186" t="s">
        <v>1981</v>
      </c>
      <c r="D1144" s="1186" t="s">
        <v>1982</v>
      </c>
      <c r="E1144" s="1186" t="s">
        <v>2031</v>
      </c>
      <c r="F1144" s="1186" t="s">
        <v>2033</v>
      </c>
      <c r="G1144" s="1186" t="s">
        <v>850</v>
      </c>
      <c r="H1144" s="1186">
        <v>13</v>
      </c>
    </row>
    <row r="1145" spans="1:8" x14ac:dyDescent="0.2">
      <c r="A1145" s="1186" t="s">
        <v>133</v>
      </c>
      <c r="B1145" s="1186" t="s">
        <v>925</v>
      </c>
      <c r="C1145" s="1186" t="s">
        <v>1981</v>
      </c>
      <c r="D1145" s="1186" t="s">
        <v>1982</v>
      </c>
      <c r="E1145" s="1186" t="s">
        <v>2031</v>
      </c>
      <c r="F1145" s="1186" t="s">
        <v>2033</v>
      </c>
      <c r="G1145" s="1186" t="s">
        <v>851</v>
      </c>
      <c r="H1145" s="1186">
        <v>2</v>
      </c>
    </row>
    <row r="1146" spans="1:8" x14ac:dyDescent="0.2">
      <c r="A1146" s="1186" t="s">
        <v>133</v>
      </c>
      <c r="B1146" s="1186" t="s">
        <v>925</v>
      </c>
      <c r="C1146" s="1186" t="s">
        <v>1981</v>
      </c>
      <c r="D1146" s="1186" t="s">
        <v>1982</v>
      </c>
      <c r="E1146" s="1186" t="s">
        <v>2031</v>
      </c>
      <c r="F1146" s="1186" t="s">
        <v>2033</v>
      </c>
      <c r="G1146" s="1186" t="s">
        <v>852</v>
      </c>
      <c r="H1146" s="1186">
        <v>3</v>
      </c>
    </row>
    <row r="1147" spans="1:8" x14ac:dyDescent="0.2">
      <c r="A1147" s="1186" t="s">
        <v>133</v>
      </c>
      <c r="B1147" s="1186" t="s">
        <v>925</v>
      </c>
      <c r="C1147" s="1186" t="s">
        <v>1981</v>
      </c>
      <c r="D1147" s="1186" t="s">
        <v>1982</v>
      </c>
      <c r="E1147" s="1186" t="s">
        <v>2031</v>
      </c>
      <c r="F1147" s="1186" t="s">
        <v>2034</v>
      </c>
      <c r="G1147" s="1186" t="s">
        <v>828</v>
      </c>
      <c r="H1147" s="1186">
        <v>9</v>
      </c>
    </row>
    <row r="1148" spans="1:8" x14ac:dyDescent="0.2">
      <c r="A1148" s="1186" t="s">
        <v>133</v>
      </c>
      <c r="B1148" s="1186" t="s">
        <v>925</v>
      </c>
      <c r="C1148" s="1186" t="s">
        <v>1981</v>
      </c>
      <c r="D1148" s="1186" t="s">
        <v>1982</v>
      </c>
      <c r="E1148" s="1186" t="s">
        <v>2031</v>
      </c>
      <c r="F1148" s="1186" t="s">
        <v>2034</v>
      </c>
      <c r="G1148" s="1186" t="s">
        <v>850</v>
      </c>
      <c r="H1148" s="1186">
        <v>2</v>
      </c>
    </row>
    <row r="1149" spans="1:8" x14ac:dyDescent="0.2">
      <c r="A1149" s="1186" t="s">
        <v>133</v>
      </c>
      <c r="B1149" s="1186" t="s">
        <v>925</v>
      </c>
      <c r="C1149" s="1186" t="s">
        <v>1981</v>
      </c>
      <c r="D1149" s="1186" t="s">
        <v>1982</v>
      </c>
      <c r="E1149" s="1186" t="s">
        <v>2031</v>
      </c>
      <c r="F1149" s="1186" t="s">
        <v>2034</v>
      </c>
      <c r="G1149" s="1186" t="s">
        <v>851</v>
      </c>
      <c r="H1149" s="1186">
        <v>1</v>
      </c>
    </row>
    <row r="1150" spans="1:8" x14ac:dyDescent="0.2">
      <c r="A1150" s="1186" t="s">
        <v>133</v>
      </c>
      <c r="B1150" s="1186" t="s">
        <v>925</v>
      </c>
      <c r="C1150" s="1186" t="s">
        <v>1981</v>
      </c>
      <c r="D1150" s="1186" t="s">
        <v>1982</v>
      </c>
      <c r="E1150" s="1186" t="s">
        <v>2035</v>
      </c>
      <c r="F1150" s="1186" t="s">
        <v>2032</v>
      </c>
      <c r="G1150" s="1186" t="s">
        <v>828</v>
      </c>
      <c r="H1150" s="1186">
        <v>1</v>
      </c>
    </row>
    <row r="1151" spans="1:8" x14ac:dyDescent="0.2">
      <c r="A1151" s="1186" t="s">
        <v>133</v>
      </c>
      <c r="B1151" s="1186" t="s">
        <v>925</v>
      </c>
      <c r="C1151" s="1186" t="s">
        <v>1981</v>
      </c>
      <c r="D1151" s="1186" t="s">
        <v>1982</v>
      </c>
      <c r="E1151" s="1186" t="s">
        <v>2035</v>
      </c>
      <c r="F1151" s="1186" t="s">
        <v>2032</v>
      </c>
      <c r="G1151" s="1186" t="s">
        <v>850</v>
      </c>
      <c r="H1151" s="1186">
        <v>3</v>
      </c>
    </row>
    <row r="1152" spans="1:8" x14ac:dyDescent="0.2">
      <c r="A1152" s="1186" t="s">
        <v>133</v>
      </c>
      <c r="B1152" s="1186" t="s">
        <v>925</v>
      </c>
      <c r="C1152" s="1186" t="s">
        <v>1981</v>
      </c>
      <c r="D1152" s="1186" t="s">
        <v>1982</v>
      </c>
      <c r="E1152" s="1186" t="s">
        <v>2035</v>
      </c>
      <c r="F1152" s="1186" t="s">
        <v>2032</v>
      </c>
      <c r="G1152" s="1186" t="s">
        <v>851</v>
      </c>
      <c r="H1152" s="1186">
        <v>9</v>
      </c>
    </row>
    <row r="1153" spans="1:8" x14ac:dyDescent="0.2">
      <c r="A1153" s="1186" t="s">
        <v>133</v>
      </c>
      <c r="B1153" s="1186" t="s">
        <v>925</v>
      </c>
      <c r="C1153" s="1186" t="s">
        <v>1981</v>
      </c>
      <c r="D1153" s="1186" t="s">
        <v>1982</v>
      </c>
      <c r="E1153" s="1186" t="s">
        <v>2035</v>
      </c>
      <c r="F1153" s="1186" t="s">
        <v>2032</v>
      </c>
      <c r="G1153" s="1186" t="s">
        <v>852</v>
      </c>
      <c r="H1153" s="1186">
        <v>4</v>
      </c>
    </row>
    <row r="1154" spans="1:8" x14ac:dyDescent="0.2">
      <c r="A1154" s="1186" t="s">
        <v>133</v>
      </c>
      <c r="B1154" s="1186" t="s">
        <v>925</v>
      </c>
      <c r="C1154" s="1186" t="s">
        <v>1981</v>
      </c>
      <c r="D1154" s="1186" t="s">
        <v>1982</v>
      </c>
      <c r="E1154" s="1186" t="s">
        <v>2035</v>
      </c>
      <c r="F1154" s="1186" t="s">
        <v>2033</v>
      </c>
      <c r="G1154" s="1186" t="s">
        <v>828</v>
      </c>
      <c r="H1154" s="1186">
        <v>27</v>
      </c>
    </row>
    <row r="1155" spans="1:8" x14ac:dyDescent="0.2">
      <c r="A1155" s="1186" t="s">
        <v>133</v>
      </c>
      <c r="B1155" s="1186" t="s">
        <v>925</v>
      </c>
      <c r="C1155" s="1186" t="s">
        <v>1981</v>
      </c>
      <c r="D1155" s="1186" t="s">
        <v>1982</v>
      </c>
      <c r="E1155" s="1186" t="s">
        <v>2035</v>
      </c>
      <c r="F1155" s="1186" t="s">
        <v>2033</v>
      </c>
      <c r="G1155" s="1186" t="s">
        <v>850</v>
      </c>
      <c r="H1155" s="1186">
        <v>12</v>
      </c>
    </row>
    <row r="1156" spans="1:8" x14ac:dyDescent="0.2">
      <c r="A1156" s="1186" t="s">
        <v>133</v>
      </c>
      <c r="B1156" s="1186" t="s">
        <v>925</v>
      </c>
      <c r="C1156" s="1186" t="s">
        <v>1981</v>
      </c>
      <c r="D1156" s="1186" t="s">
        <v>1982</v>
      </c>
      <c r="E1156" s="1186" t="s">
        <v>2035</v>
      </c>
      <c r="F1156" s="1186" t="s">
        <v>2033</v>
      </c>
      <c r="G1156" s="1186" t="s">
        <v>851</v>
      </c>
      <c r="H1156" s="1186">
        <v>139</v>
      </c>
    </row>
    <row r="1157" spans="1:8" x14ac:dyDescent="0.2">
      <c r="A1157" s="1186" t="s">
        <v>133</v>
      </c>
      <c r="B1157" s="1186" t="s">
        <v>925</v>
      </c>
      <c r="C1157" s="1186" t="s">
        <v>1981</v>
      </c>
      <c r="D1157" s="1186" t="s">
        <v>1982</v>
      </c>
      <c r="E1157" s="1186" t="s">
        <v>2035</v>
      </c>
      <c r="F1157" s="1186" t="s">
        <v>2033</v>
      </c>
      <c r="G1157" s="1186" t="s">
        <v>852</v>
      </c>
      <c r="H1157" s="1186">
        <v>20</v>
      </c>
    </row>
    <row r="1158" spans="1:8" x14ac:dyDescent="0.2">
      <c r="A1158" s="1186" t="s">
        <v>133</v>
      </c>
      <c r="B1158" s="1186" t="s">
        <v>925</v>
      </c>
      <c r="C1158" s="1186" t="s">
        <v>1981</v>
      </c>
      <c r="D1158" s="1186" t="s">
        <v>1982</v>
      </c>
      <c r="E1158" s="1186" t="s">
        <v>2035</v>
      </c>
      <c r="F1158" s="1186" t="s">
        <v>2034</v>
      </c>
      <c r="G1158" s="1186" t="s">
        <v>828</v>
      </c>
      <c r="H1158" s="1186">
        <v>61</v>
      </c>
    </row>
    <row r="1159" spans="1:8" x14ac:dyDescent="0.2">
      <c r="A1159" s="1186" t="s">
        <v>133</v>
      </c>
      <c r="B1159" s="1186" t="s">
        <v>925</v>
      </c>
      <c r="C1159" s="1186" t="s">
        <v>1981</v>
      </c>
      <c r="D1159" s="1186" t="s">
        <v>1982</v>
      </c>
      <c r="E1159" s="1186" t="s">
        <v>2035</v>
      </c>
      <c r="F1159" s="1186" t="s">
        <v>2034</v>
      </c>
      <c r="G1159" s="1186" t="s">
        <v>850</v>
      </c>
      <c r="H1159" s="1186">
        <v>29</v>
      </c>
    </row>
    <row r="1160" spans="1:8" x14ac:dyDescent="0.2">
      <c r="A1160" s="1186" t="s">
        <v>133</v>
      </c>
      <c r="B1160" s="1186" t="s">
        <v>925</v>
      </c>
      <c r="C1160" s="1186" t="s">
        <v>1981</v>
      </c>
      <c r="D1160" s="1186" t="s">
        <v>1982</v>
      </c>
      <c r="E1160" s="1186" t="s">
        <v>2035</v>
      </c>
      <c r="F1160" s="1186" t="s">
        <v>2034</v>
      </c>
      <c r="G1160" s="1186" t="s">
        <v>851</v>
      </c>
      <c r="H1160" s="1186">
        <v>16</v>
      </c>
    </row>
    <row r="1161" spans="1:8" x14ac:dyDescent="0.2">
      <c r="A1161" s="1186" t="s">
        <v>133</v>
      </c>
      <c r="B1161" s="1186" t="s">
        <v>925</v>
      </c>
      <c r="C1161" s="1186" t="s">
        <v>1981</v>
      </c>
      <c r="D1161" s="1186" t="s">
        <v>1982</v>
      </c>
      <c r="E1161" s="1186" t="s">
        <v>2035</v>
      </c>
      <c r="F1161" s="1186" t="s">
        <v>2034</v>
      </c>
      <c r="G1161" s="1186" t="s">
        <v>852</v>
      </c>
      <c r="H1161" s="1186">
        <v>22</v>
      </c>
    </row>
    <row r="1162" spans="1:8" x14ac:dyDescent="0.2">
      <c r="A1162" s="1186" t="s">
        <v>133</v>
      </c>
      <c r="B1162" s="1186" t="s">
        <v>926</v>
      </c>
      <c r="C1162" s="1186" t="s">
        <v>1981</v>
      </c>
      <c r="D1162" s="1186" t="s">
        <v>1982</v>
      </c>
      <c r="E1162" s="1186" t="s">
        <v>2031</v>
      </c>
      <c r="F1162" s="1186" t="s">
        <v>2032</v>
      </c>
      <c r="G1162" s="1186" t="s">
        <v>828</v>
      </c>
      <c r="H1162" s="1186">
        <v>4</v>
      </c>
    </row>
    <row r="1163" spans="1:8" x14ac:dyDescent="0.2">
      <c r="A1163" s="1186" t="s">
        <v>133</v>
      </c>
      <c r="B1163" s="1186" t="s">
        <v>926</v>
      </c>
      <c r="C1163" s="1186" t="s">
        <v>1981</v>
      </c>
      <c r="D1163" s="1186" t="s">
        <v>1982</v>
      </c>
      <c r="E1163" s="1186" t="s">
        <v>2031</v>
      </c>
      <c r="F1163" s="1186" t="s">
        <v>2033</v>
      </c>
      <c r="G1163" s="1186" t="s">
        <v>828</v>
      </c>
      <c r="H1163" s="1186">
        <v>97</v>
      </c>
    </row>
    <row r="1164" spans="1:8" x14ac:dyDescent="0.2">
      <c r="A1164" s="1186" t="s">
        <v>133</v>
      </c>
      <c r="B1164" s="1186" t="s">
        <v>926</v>
      </c>
      <c r="C1164" s="1186" t="s">
        <v>1981</v>
      </c>
      <c r="D1164" s="1186" t="s">
        <v>1982</v>
      </c>
      <c r="E1164" s="1186" t="s">
        <v>2031</v>
      </c>
      <c r="F1164" s="1186" t="s">
        <v>2033</v>
      </c>
      <c r="G1164" s="1186" t="s">
        <v>850</v>
      </c>
      <c r="H1164" s="1186">
        <v>8</v>
      </c>
    </row>
    <row r="1165" spans="1:8" x14ac:dyDescent="0.2">
      <c r="A1165" s="1186" t="s">
        <v>133</v>
      </c>
      <c r="B1165" s="1186" t="s">
        <v>926</v>
      </c>
      <c r="C1165" s="1186" t="s">
        <v>1981</v>
      </c>
      <c r="D1165" s="1186" t="s">
        <v>1982</v>
      </c>
      <c r="E1165" s="1186" t="s">
        <v>2031</v>
      </c>
      <c r="F1165" s="1186" t="s">
        <v>2033</v>
      </c>
      <c r="G1165" s="1186" t="s">
        <v>851</v>
      </c>
      <c r="H1165" s="1186">
        <v>6</v>
      </c>
    </row>
    <row r="1166" spans="1:8" x14ac:dyDescent="0.2">
      <c r="A1166" s="1186" t="s">
        <v>133</v>
      </c>
      <c r="B1166" s="1186" t="s">
        <v>926</v>
      </c>
      <c r="C1166" s="1186" t="s">
        <v>1981</v>
      </c>
      <c r="D1166" s="1186" t="s">
        <v>1982</v>
      </c>
      <c r="E1166" s="1186" t="s">
        <v>2031</v>
      </c>
      <c r="F1166" s="1186" t="s">
        <v>2033</v>
      </c>
      <c r="G1166" s="1186" t="s">
        <v>852</v>
      </c>
      <c r="H1166" s="1186">
        <v>2</v>
      </c>
    </row>
    <row r="1167" spans="1:8" x14ac:dyDescent="0.2">
      <c r="A1167" s="1186" t="s">
        <v>133</v>
      </c>
      <c r="B1167" s="1186" t="s">
        <v>926</v>
      </c>
      <c r="C1167" s="1186" t="s">
        <v>1981</v>
      </c>
      <c r="D1167" s="1186" t="s">
        <v>1982</v>
      </c>
      <c r="E1167" s="1186" t="s">
        <v>2031</v>
      </c>
      <c r="F1167" s="1186" t="s">
        <v>2034</v>
      </c>
      <c r="G1167" s="1186" t="s">
        <v>828</v>
      </c>
      <c r="H1167" s="1186">
        <v>27</v>
      </c>
    </row>
    <row r="1168" spans="1:8" x14ac:dyDescent="0.2">
      <c r="A1168" s="1186" t="s">
        <v>133</v>
      </c>
      <c r="B1168" s="1186" t="s">
        <v>926</v>
      </c>
      <c r="C1168" s="1186" t="s">
        <v>1981</v>
      </c>
      <c r="D1168" s="1186" t="s">
        <v>1982</v>
      </c>
      <c r="E1168" s="1186" t="s">
        <v>2031</v>
      </c>
      <c r="F1168" s="1186" t="s">
        <v>2034</v>
      </c>
      <c r="G1168" s="1186" t="s">
        <v>850</v>
      </c>
      <c r="H1168" s="1186">
        <v>2</v>
      </c>
    </row>
    <row r="1169" spans="1:8" x14ac:dyDescent="0.2">
      <c r="A1169" s="1186" t="s">
        <v>133</v>
      </c>
      <c r="B1169" s="1186" t="s">
        <v>926</v>
      </c>
      <c r="C1169" s="1186" t="s">
        <v>1981</v>
      </c>
      <c r="D1169" s="1186" t="s">
        <v>1982</v>
      </c>
      <c r="E1169" s="1186" t="s">
        <v>2031</v>
      </c>
      <c r="F1169" s="1186" t="s">
        <v>2034</v>
      </c>
      <c r="G1169" s="1186" t="s">
        <v>851</v>
      </c>
      <c r="H1169" s="1186">
        <v>1</v>
      </c>
    </row>
    <row r="1170" spans="1:8" x14ac:dyDescent="0.2">
      <c r="A1170" s="1186" t="s">
        <v>133</v>
      </c>
      <c r="B1170" s="1186" t="s">
        <v>926</v>
      </c>
      <c r="C1170" s="1186" t="s">
        <v>1981</v>
      </c>
      <c r="D1170" s="1186" t="s">
        <v>1982</v>
      </c>
      <c r="E1170" s="1186" t="s">
        <v>2035</v>
      </c>
      <c r="F1170" s="1186" t="s">
        <v>2032</v>
      </c>
      <c r="G1170" s="1186" t="s">
        <v>828</v>
      </c>
      <c r="H1170" s="1186">
        <v>5</v>
      </c>
    </row>
    <row r="1171" spans="1:8" x14ac:dyDescent="0.2">
      <c r="A1171" s="1186" t="s">
        <v>133</v>
      </c>
      <c r="B1171" s="1186" t="s">
        <v>926</v>
      </c>
      <c r="C1171" s="1186" t="s">
        <v>1981</v>
      </c>
      <c r="D1171" s="1186" t="s">
        <v>1982</v>
      </c>
      <c r="E1171" s="1186" t="s">
        <v>2035</v>
      </c>
      <c r="F1171" s="1186" t="s">
        <v>2032</v>
      </c>
      <c r="G1171" s="1186" t="s">
        <v>851</v>
      </c>
      <c r="H1171" s="1186">
        <v>10</v>
      </c>
    </row>
    <row r="1172" spans="1:8" x14ac:dyDescent="0.2">
      <c r="A1172" s="1186" t="s">
        <v>133</v>
      </c>
      <c r="B1172" s="1186" t="s">
        <v>926</v>
      </c>
      <c r="C1172" s="1186" t="s">
        <v>1981</v>
      </c>
      <c r="D1172" s="1186" t="s">
        <v>1982</v>
      </c>
      <c r="E1172" s="1186" t="s">
        <v>2035</v>
      </c>
      <c r="F1172" s="1186" t="s">
        <v>2032</v>
      </c>
      <c r="G1172" s="1186" t="s">
        <v>852</v>
      </c>
      <c r="H1172" s="1186">
        <v>2</v>
      </c>
    </row>
    <row r="1173" spans="1:8" x14ac:dyDescent="0.2">
      <c r="A1173" s="1186" t="s">
        <v>133</v>
      </c>
      <c r="B1173" s="1186" t="s">
        <v>926</v>
      </c>
      <c r="C1173" s="1186" t="s">
        <v>1981</v>
      </c>
      <c r="D1173" s="1186" t="s">
        <v>1982</v>
      </c>
      <c r="E1173" s="1186" t="s">
        <v>2035</v>
      </c>
      <c r="F1173" s="1186" t="s">
        <v>2033</v>
      </c>
      <c r="G1173" s="1186" t="s">
        <v>828</v>
      </c>
      <c r="H1173" s="1186">
        <v>29</v>
      </c>
    </row>
    <row r="1174" spans="1:8" x14ac:dyDescent="0.2">
      <c r="A1174" s="1186" t="s">
        <v>133</v>
      </c>
      <c r="B1174" s="1186" t="s">
        <v>926</v>
      </c>
      <c r="C1174" s="1186" t="s">
        <v>1981</v>
      </c>
      <c r="D1174" s="1186" t="s">
        <v>1982</v>
      </c>
      <c r="E1174" s="1186" t="s">
        <v>2035</v>
      </c>
      <c r="F1174" s="1186" t="s">
        <v>2033</v>
      </c>
      <c r="G1174" s="1186" t="s">
        <v>850</v>
      </c>
      <c r="H1174" s="1186">
        <v>11</v>
      </c>
    </row>
    <row r="1175" spans="1:8" x14ac:dyDescent="0.2">
      <c r="A1175" s="1186" t="s">
        <v>133</v>
      </c>
      <c r="B1175" s="1186" t="s">
        <v>926</v>
      </c>
      <c r="C1175" s="1186" t="s">
        <v>1981</v>
      </c>
      <c r="D1175" s="1186" t="s">
        <v>1982</v>
      </c>
      <c r="E1175" s="1186" t="s">
        <v>2035</v>
      </c>
      <c r="F1175" s="1186" t="s">
        <v>2033</v>
      </c>
      <c r="G1175" s="1186" t="s">
        <v>851</v>
      </c>
      <c r="H1175" s="1186">
        <v>132</v>
      </c>
    </row>
    <row r="1176" spans="1:8" x14ac:dyDescent="0.2">
      <c r="A1176" s="1186" t="s">
        <v>133</v>
      </c>
      <c r="B1176" s="1186" t="s">
        <v>926</v>
      </c>
      <c r="C1176" s="1186" t="s">
        <v>1981</v>
      </c>
      <c r="D1176" s="1186" t="s">
        <v>1982</v>
      </c>
      <c r="E1176" s="1186" t="s">
        <v>2035</v>
      </c>
      <c r="F1176" s="1186" t="s">
        <v>2033</v>
      </c>
      <c r="G1176" s="1186" t="s">
        <v>852</v>
      </c>
      <c r="H1176" s="1186">
        <v>30</v>
      </c>
    </row>
    <row r="1177" spans="1:8" x14ac:dyDescent="0.2">
      <c r="A1177" s="1186" t="s">
        <v>133</v>
      </c>
      <c r="B1177" s="1186" t="s">
        <v>926</v>
      </c>
      <c r="C1177" s="1186" t="s">
        <v>1981</v>
      </c>
      <c r="D1177" s="1186" t="s">
        <v>1982</v>
      </c>
      <c r="E1177" s="1186" t="s">
        <v>2035</v>
      </c>
      <c r="F1177" s="1186" t="s">
        <v>2034</v>
      </c>
      <c r="G1177" s="1186" t="s">
        <v>828</v>
      </c>
      <c r="H1177" s="1186">
        <v>61</v>
      </c>
    </row>
    <row r="1178" spans="1:8" x14ac:dyDescent="0.2">
      <c r="A1178" s="1186" t="s">
        <v>133</v>
      </c>
      <c r="B1178" s="1186" t="s">
        <v>926</v>
      </c>
      <c r="C1178" s="1186" t="s">
        <v>1981</v>
      </c>
      <c r="D1178" s="1186" t="s">
        <v>1982</v>
      </c>
      <c r="E1178" s="1186" t="s">
        <v>2035</v>
      </c>
      <c r="F1178" s="1186" t="s">
        <v>2034</v>
      </c>
      <c r="G1178" s="1186" t="s">
        <v>850</v>
      </c>
      <c r="H1178" s="1186">
        <v>25</v>
      </c>
    </row>
    <row r="1179" spans="1:8" x14ac:dyDescent="0.2">
      <c r="A1179" s="1186" t="s">
        <v>133</v>
      </c>
      <c r="B1179" s="1186" t="s">
        <v>926</v>
      </c>
      <c r="C1179" s="1186" t="s">
        <v>1981</v>
      </c>
      <c r="D1179" s="1186" t="s">
        <v>1982</v>
      </c>
      <c r="E1179" s="1186" t="s">
        <v>2035</v>
      </c>
      <c r="F1179" s="1186" t="s">
        <v>2034</v>
      </c>
      <c r="G1179" s="1186" t="s">
        <v>851</v>
      </c>
      <c r="H1179" s="1186">
        <v>29</v>
      </c>
    </row>
    <row r="1180" spans="1:8" x14ac:dyDescent="0.2">
      <c r="A1180" s="1186" t="s">
        <v>133</v>
      </c>
      <c r="B1180" s="1186" t="s">
        <v>926</v>
      </c>
      <c r="C1180" s="1186" t="s">
        <v>1981</v>
      </c>
      <c r="D1180" s="1186" t="s">
        <v>1982</v>
      </c>
      <c r="E1180" s="1186" t="s">
        <v>2035</v>
      </c>
      <c r="F1180" s="1186" t="s">
        <v>2034</v>
      </c>
      <c r="G1180" s="1186" t="s">
        <v>852</v>
      </c>
      <c r="H1180" s="1186">
        <v>32</v>
      </c>
    </row>
    <row r="1181" spans="1:8" x14ac:dyDescent="0.2">
      <c r="A1181" s="1186" t="s">
        <v>133</v>
      </c>
      <c r="B1181" s="1186" t="s">
        <v>927</v>
      </c>
      <c r="C1181" s="1186" t="s">
        <v>1983</v>
      </c>
      <c r="D1181" s="1186" t="s">
        <v>1982</v>
      </c>
      <c r="E1181" s="1186" t="s">
        <v>2031</v>
      </c>
      <c r="F1181" s="1186" t="s">
        <v>2032</v>
      </c>
      <c r="G1181" s="1186" t="s">
        <v>828</v>
      </c>
      <c r="H1181" s="1186">
        <v>1</v>
      </c>
    </row>
    <row r="1182" spans="1:8" x14ac:dyDescent="0.2">
      <c r="A1182" s="1186" t="s">
        <v>133</v>
      </c>
      <c r="B1182" s="1186" t="s">
        <v>927</v>
      </c>
      <c r="C1182" s="1186" t="s">
        <v>1983</v>
      </c>
      <c r="D1182" s="1186" t="s">
        <v>1982</v>
      </c>
      <c r="E1182" s="1186" t="s">
        <v>2031</v>
      </c>
      <c r="F1182" s="1186" t="s">
        <v>2032</v>
      </c>
      <c r="G1182" s="1186" t="s">
        <v>851</v>
      </c>
      <c r="H1182" s="1186">
        <v>2</v>
      </c>
    </row>
    <row r="1183" spans="1:8" x14ac:dyDescent="0.2">
      <c r="A1183" s="1186" t="s">
        <v>133</v>
      </c>
      <c r="B1183" s="1186" t="s">
        <v>927</v>
      </c>
      <c r="C1183" s="1186" t="s">
        <v>1983</v>
      </c>
      <c r="D1183" s="1186" t="s">
        <v>1982</v>
      </c>
      <c r="E1183" s="1186" t="s">
        <v>2031</v>
      </c>
      <c r="F1183" s="1186" t="s">
        <v>2033</v>
      </c>
      <c r="G1183" s="1186" t="s">
        <v>828</v>
      </c>
      <c r="H1183" s="1186">
        <v>67</v>
      </c>
    </row>
    <row r="1184" spans="1:8" x14ac:dyDescent="0.2">
      <c r="A1184" s="1186" t="s">
        <v>133</v>
      </c>
      <c r="B1184" s="1186" t="s">
        <v>927</v>
      </c>
      <c r="C1184" s="1186" t="s">
        <v>1983</v>
      </c>
      <c r="D1184" s="1186" t="s">
        <v>1982</v>
      </c>
      <c r="E1184" s="1186" t="s">
        <v>2031</v>
      </c>
      <c r="F1184" s="1186" t="s">
        <v>2033</v>
      </c>
      <c r="G1184" s="1186" t="s">
        <v>850</v>
      </c>
      <c r="H1184" s="1186">
        <v>6</v>
      </c>
    </row>
    <row r="1185" spans="1:8" x14ac:dyDescent="0.2">
      <c r="A1185" s="1186" t="s">
        <v>133</v>
      </c>
      <c r="B1185" s="1186" t="s">
        <v>927</v>
      </c>
      <c r="C1185" s="1186" t="s">
        <v>1983</v>
      </c>
      <c r="D1185" s="1186" t="s">
        <v>1982</v>
      </c>
      <c r="E1185" s="1186" t="s">
        <v>2031</v>
      </c>
      <c r="F1185" s="1186" t="s">
        <v>2033</v>
      </c>
      <c r="G1185" s="1186" t="s">
        <v>851</v>
      </c>
      <c r="H1185" s="1186">
        <v>4</v>
      </c>
    </row>
    <row r="1186" spans="1:8" x14ac:dyDescent="0.2">
      <c r="A1186" s="1186" t="s">
        <v>133</v>
      </c>
      <c r="B1186" s="1186" t="s">
        <v>927</v>
      </c>
      <c r="C1186" s="1186" t="s">
        <v>1983</v>
      </c>
      <c r="D1186" s="1186" t="s">
        <v>1982</v>
      </c>
      <c r="E1186" s="1186" t="s">
        <v>2031</v>
      </c>
      <c r="F1186" s="1186" t="s">
        <v>2033</v>
      </c>
      <c r="G1186" s="1186" t="s">
        <v>852</v>
      </c>
      <c r="H1186" s="1186">
        <v>3</v>
      </c>
    </row>
    <row r="1187" spans="1:8" x14ac:dyDescent="0.2">
      <c r="A1187" s="1186" t="s">
        <v>133</v>
      </c>
      <c r="B1187" s="1186" t="s">
        <v>927</v>
      </c>
      <c r="C1187" s="1186" t="s">
        <v>1983</v>
      </c>
      <c r="D1187" s="1186" t="s">
        <v>1982</v>
      </c>
      <c r="E1187" s="1186" t="s">
        <v>2031</v>
      </c>
      <c r="F1187" s="1186" t="s">
        <v>2034</v>
      </c>
      <c r="G1187" s="1186" t="s">
        <v>828</v>
      </c>
      <c r="H1187" s="1186">
        <v>17</v>
      </c>
    </row>
    <row r="1188" spans="1:8" x14ac:dyDescent="0.2">
      <c r="A1188" s="1186" t="s">
        <v>133</v>
      </c>
      <c r="B1188" s="1186" t="s">
        <v>927</v>
      </c>
      <c r="C1188" s="1186" t="s">
        <v>1983</v>
      </c>
      <c r="D1188" s="1186" t="s">
        <v>1982</v>
      </c>
      <c r="E1188" s="1186" t="s">
        <v>2031</v>
      </c>
      <c r="F1188" s="1186" t="s">
        <v>2034</v>
      </c>
      <c r="G1188" s="1186" t="s">
        <v>850</v>
      </c>
      <c r="H1188" s="1186">
        <v>1</v>
      </c>
    </row>
    <row r="1189" spans="1:8" x14ac:dyDescent="0.2">
      <c r="A1189" s="1186" t="s">
        <v>133</v>
      </c>
      <c r="B1189" s="1186" t="s">
        <v>927</v>
      </c>
      <c r="C1189" s="1186" t="s">
        <v>1983</v>
      </c>
      <c r="D1189" s="1186" t="s">
        <v>1982</v>
      </c>
      <c r="E1189" s="1186" t="s">
        <v>2035</v>
      </c>
      <c r="F1189" s="1186" t="s">
        <v>2032</v>
      </c>
      <c r="G1189" s="1186" t="s">
        <v>828</v>
      </c>
      <c r="H1189" s="1186">
        <v>2</v>
      </c>
    </row>
    <row r="1190" spans="1:8" x14ac:dyDescent="0.2">
      <c r="A1190" s="1186" t="s">
        <v>133</v>
      </c>
      <c r="B1190" s="1186" t="s">
        <v>927</v>
      </c>
      <c r="C1190" s="1186" t="s">
        <v>1983</v>
      </c>
      <c r="D1190" s="1186" t="s">
        <v>1982</v>
      </c>
      <c r="E1190" s="1186" t="s">
        <v>2035</v>
      </c>
      <c r="F1190" s="1186" t="s">
        <v>2032</v>
      </c>
      <c r="G1190" s="1186" t="s">
        <v>851</v>
      </c>
      <c r="H1190" s="1186">
        <v>11</v>
      </c>
    </row>
    <row r="1191" spans="1:8" x14ac:dyDescent="0.2">
      <c r="A1191" s="1186" t="s">
        <v>133</v>
      </c>
      <c r="B1191" s="1186" t="s">
        <v>927</v>
      </c>
      <c r="C1191" s="1186" t="s">
        <v>1983</v>
      </c>
      <c r="D1191" s="1186" t="s">
        <v>1982</v>
      </c>
      <c r="E1191" s="1186" t="s">
        <v>2035</v>
      </c>
      <c r="F1191" s="1186" t="s">
        <v>2032</v>
      </c>
      <c r="G1191" s="1186" t="s">
        <v>852</v>
      </c>
      <c r="H1191" s="1186">
        <v>5</v>
      </c>
    </row>
    <row r="1192" spans="1:8" x14ac:dyDescent="0.2">
      <c r="A1192" s="1186" t="s">
        <v>133</v>
      </c>
      <c r="B1192" s="1186" t="s">
        <v>927</v>
      </c>
      <c r="C1192" s="1186" t="s">
        <v>1983</v>
      </c>
      <c r="D1192" s="1186" t="s">
        <v>1982</v>
      </c>
      <c r="E1192" s="1186" t="s">
        <v>2035</v>
      </c>
      <c r="F1192" s="1186" t="s">
        <v>2033</v>
      </c>
      <c r="G1192" s="1186" t="s">
        <v>828</v>
      </c>
      <c r="H1192" s="1186">
        <v>29</v>
      </c>
    </row>
    <row r="1193" spans="1:8" x14ac:dyDescent="0.2">
      <c r="A1193" s="1186" t="s">
        <v>133</v>
      </c>
      <c r="B1193" s="1186" t="s">
        <v>927</v>
      </c>
      <c r="C1193" s="1186" t="s">
        <v>1983</v>
      </c>
      <c r="D1193" s="1186" t="s">
        <v>1982</v>
      </c>
      <c r="E1193" s="1186" t="s">
        <v>2035</v>
      </c>
      <c r="F1193" s="1186" t="s">
        <v>2033</v>
      </c>
      <c r="G1193" s="1186" t="s">
        <v>850</v>
      </c>
      <c r="H1193" s="1186">
        <v>11</v>
      </c>
    </row>
    <row r="1194" spans="1:8" x14ac:dyDescent="0.2">
      <c r="A1194" s="1186" t="s">
        <v>133</v>
      </c>
      <c r="B1194" s="1186" t="s">
        <v>927</v>
      </c>
      <c r="C1194" s="1186" t="s">
        <v>1983</v>
      </c>
      <c r="D1194" s="1186" t="s">
        <v>1982</v>
      </c>
      <c r="E1194" s="1186" t="s">
        <v>2035</v>
      </c>
      <c r="F1194" s="1186" t="s">
        <v>2033</v>
      </c>
      <c r="G1194" s="1186" t="s">
        <v>851</v>
      </c>
      <c r="H1194" s="1186">
        <v>152</v>
      </c>
    </row>
    <row r="1195" spans="1:8" x14ac:dyDescent="0.2">
      <c r="A1195" s="1186" t="s">
        <v>133</v>
      </c>
      <c r="B1195" s="1186" t="s">
        <v>927</v>
      </c>
      <c r="C1195" s="1186" t="s">
        <v>1983</v>
      </c>
      <c r="D1195" s="1186" t="s">
        <v>1982</v>
      </c>
      <c r="E1195" s="1186" t="s">
        <v>2035</v>
      </c>
      <c r="F1195" s="1186" t="s">
        <v>2033</v>
      </c>
      <c r="G1195" s="1186" t="s">
        <v>852</v>
      </c>
      <c r="H1195" s="1186">
        <v>29</v>
      </c>
    </row>
    <row r="1196" spans="1:8" x14ac:dyDescent="0.2">
      <c r="A1196" s="1186" t="s">
        <v>133</v>
      </c>
      <c r="B1196" s="1186" t="s">
        <v>927</v>
      </c>
      <c r="C1196" s="1186" t="s">
        <v>1983</v>
      </c>
      <c r="D1196" s="1186" t="s">
        <v>1982</v>
      </c>
      <c r="E1196" s="1186" t="s">
        <v>2035</v>
      </c>
      <c r="F1196" s="1186" t="s">
        <v>2034</v>
      </c>
      <c r="G1196" s="1186" t="s">
        <v>828</v>
      </c>
      <c r="H1196" s="1186">
        <v>62</v>
      </c>
    </row>
    <row r="1197" spans="1:8" x14ac:dyDescent="0.2">
      <c r="A1197" s="1186" t="s">
        <v>133</v>
      </c>
      <c r="B1197" s="1186" t="s">
        <v>927</v>
      </c>
      <c r="C1197" s="1186" t="s">
        <v>1983</v>
      </c>
      <c r="D1197" s="1186" t="s">
        <v>1982</v>
      </c>
      <c r="E1197" s="1186" t="s">
        <v>2035</v>
      </c>
      <c r="F1197" s="1186" t="s">
        <v>2034</v>
      </c>
      <c r="G1197" s="1186" t="s">
        <v>850</v>
      </c>
      <c r="H1197" s="1186">
        <v>29</v>
      </c>
    </row>
    <row r="1198" spans="1:8" x14ac:dyDescent="0.2">
      <c r="A1198" s="1186" t="s">
        <v>133</v>
      </c>
      <c r="B1198" s="1186" t="s">
        <v>927</v>
      </c>
      <c r="C1198" s="1186" t="s">
        <v>1983</v>
      </c>
      <c r="D1198" s="1186" t="s">
        <v>1982</v>
      </c>
      <c r="E1198" s="1186" t="s">
        <v>2035</v>
      </c>
      <c r="F1198" s="1186" t="s">
        <v>2034</v>
      </c>
      <c r="G1198" s="1186" t="s">
        <v>851</v>
      </c>
      <c r="H1198" s="1186">
        <v>29</v>
      </c>
    </row>
    <row r="1199" spans="1:8" x14ac:dyDescent="0.2">
      <c r="A1199" s="1186" t="s">
        <v>133</v>
      </c>
      <c r="B1199" s="1186" t="s">
        <v>927</v>
      </c>
      <c r="C1199" s="1186" t="s">
        <v>1983</v>
      </c>
      <c r="D1199" s="1186" t="s">
        <v>1982</v>
      </c>
      <c r="E1199" s="1186" t="s">
        <v>2035</v>
      </c>
      <c r="F1199" s="1186" t="s">
        <v>2034</v>
      </c>
      <c r="G1199" s="1186" t="s">
        <v>852</v>
      </c>
      <c r="H1199" s="1186">
        <v>36</v>
      </c>
    </row>
    <row r="1200" spans="1:8" x14ac:dyDescent="0.2">
      <c r="A1200" s="1186" t="s">
        <v>133</v>
      </c>
      <c r="B1200" s="1186" t="s">
        <v>928</v>
      </c>
      <c r="C1200" s="1186" t="s">
        <v>1983</v>
      </c>
      <c r="D1200" s="1186" t="s">
        <v>1984</v>
      </c>
      <c r="E1200" s="1186" t="s">
        <v>2031</v>
      </c>
      <c r="F1200" s="1186" t="s">
        <v>2032</v>
      </c>
      <c r="G1200" s="1186" t="s">
        <v>828</v>
      </c>
      <c r="H1200" s="1186">
        <v>2</v>
      </c>
    </row>
    <row r="1201" spans="1:8" x14ac:dyDescent="0.2">
      <c r="A1201" s="1186" t="s">
        <v>133</v>
      </c>
      <c r="B1201" s="1186" t="s">
        <v>928</v>
      </c>
      <c r="C1201" s="1186" t="s">
        <v>1983</v>
      </c>
      <c r="D1201" s="1186" t="s">
        <v>1984</v>
      </c>
      <c r="E1201" s="1186" t="s">
        <v>2031</v>
      </c>
      <c r="F1201" s="1186" t="s">
        <v>2032</v>
      </c>
      <c r="G1201" s="1186" t="s">
        <v>852</v>
      </c>
      <c r="H1201" s="1186">
        <v>2</v>
      </c>
    </row>
    <row r="1202" spans="1:8" x14ac:dyDescent="0.2">
      <c r="A1202" s="1186" t="s">
        <v>133</v>
      </c>
      <c r="B1202" s="1186" t="s">
        <v>928</v>
      </c>
      <c r="C1202" s="1186" t="s">
        <v>1983</v>
      </c>
      <c r="D1202" s="1186" t="s">
        <v>1984</v>
      </c>
      <c r="E1202" s="1186" t="s">
        <v>2031</v>
      </c>
      <c r="F1202" s="1186" t="s">
        <v>2033</v>
      </c>
      <c r="G1202" s="1186" t="s">
        <v>828</v>
      </c>
      <c r="H1202" s="1186">
        <v>80</v>
      </c>
    </row>
    <row r="1203" spans="1:8" x14ac:dyDescent="0.2">
      <c r="A1203" s="1186" t="s">
        <v>133</v>
      </c>
      <c r="B1203" s="1186" t="s">
        <v>928</v>
      </c>
      <c r="C1203" s="1186" t="s">
        <v>1983</v>
      </c>
      <c r="D1203" s="1186" t="s">
        <v>1984</v>
      </c>
      <c r="E1203" s="1186" t="s">
        <v>2031</v>
      </c>
      <c r="F1203" s="1186" t="s">
        <v>2033</v>
      </c>
      <c r="G1203" s="1186" t="s">
        <v>850</v>
      </c>
      <c r="H1203" s="1186">
        <v>8</v>
      </c>
    </row>
    <row r="1204" spans="1:8" x14ac:dyDescent="0.2">
      <c r="A1204" s="1186" t="s">
        <v>133</v>
      </c>
      <c r="B1204" s="1186" t="s">
        <v>928</v>
      </c>
      <c r="C1204" s="1186" t="s">
        <v>1983</v>
      </c>
      <c r="D1204" s="1186" t="s">
        <v>1984</v>
      </c>
      <c r="E1204" s="1186" t="s">
        <v>2031</v>
      </c>
      <c r="F1204" s="1186" t="s">
        <v>2033</v>
      </c>
      <c r="G1204" s="1186" t="s">
        <v>851</v>
      </c>
      <c r="H1204" s="1186">
        <v>3</v>
      </c>
    </row>
    <row r="1205" spans="1:8" x14ac:dyDescent="0.2">
      <c r="A1205" s="1186" t="s">
        <v>133</v>
      </c>
      <c r="B1205" s="1186" t="s">
        <v>928</v>
      </c>
      <c r="C1205" s="1186" t="s">
        <v>1983</v>
      </c>
      <c r="D1205" s="1186" t="s">
        <v>1984</v>
      </c>
      <c r="E1205" s="1186" t="s">
        <v>2031</v>
      </c>
      <c r="F1205" s="1186" t="s">
        <v>2034</v>
      </c>
      <c r="G1205" s="1186" t="s">
        <v>828</v>
      </c>
      <c r="H1205" s="1186">
        <v>28</v>
      </c>
    </row>
    <row r="1206" spans="1:8" x14ac:dyDescent="0.2">
      <c r="A1206" s="1186" t="s">
        <v>133</v>
      </c>
      <c r="B1206" s="1186" t="s">
        <v>928</v>
      </c>
      <c r="C1206" s="1186" t="s">
        <v>1983</v>
      </c>
      <c r="D1206" s="1186" t="s">
        <v>1984</v>
      </c>
      <c r="E1206" s="1186" t="s">
        <v>2031</v>
      </c>
      <c r="F1206" s="1186" t="s">
        <v>2034</v>
      </c>
      <c r="G1206" s="1186" t="s">
        <v>850</v>
      </c>
      <c r="H1206" s="1186">
        <v>1</v>
      </c>
    </row>
    <row r="1207" spans="1:8" x14ac:dyDescent="0.2">
      <c r="A1207" s="1186" t="s">
        <v>133</v>
      </c>
      <c r="B1207" s="1186" t="s">
        <v>928</v>
      </c>
      <c r="C1207" s="1186" t="s">
        <v>1983</v>
      </c>
      <c r="D1207" s="1186" t="s">
        <v>1984</v>
      </c>
      <c r="E1207" s="1186" t="s">
        <v>2035</v>
      </c>
      <c r="F1207" s="1186" t="s">
        <v>2032</v>
      </c>
      <c r="G1207" s="1186" t="s">
        <v>828</v>
      </c>
      <c r="H1207" s="1186">
        <v>2</v>
      </c>
    </row>
    <row r="1208" spans="1:8" x14ac:dyDescent="0.2">
      <c r="A1208" s="1186" t="s">
        <v>133</v>
      </c>
      <c r="B1208" s="1186" t="s">
        <v>928</v>
      </c>
      <c r="C1208" s="1186" t="s">
        <v>1983</v>
      </c>
      <c r="D1208" s="1186" t="s">
        <v>1984</v>
      </c>
      <c r="E1208" s="1186" t="s">
        <v>2035</v>
      </c>
      <c r="F1208" s="1186" t="s">
        <v>2032</v>
      </c>
      <c r="G1208" s="1186" t="s">
        <v>850</v>
      </c>
      <c r="H1208" s="1186">
        <v>4</v>
      </c>
    </row>
    <row r="1209" spans="1:8" x14ac:dyDescent="0.2">
      <c r="A1209" s="1186" t="s">
        <v>133</v>
      </c>
      <c r="B1209" s="1186" t="s">
        <v>928</v>
      </c>
      <c r="C1209" s="1186" t="s">
        <v>1983</v>
      </c>
      <c r="D1209" s="1186" t="s">
        <v>1984</v>
      </c>
      <c r="E1209" s="1186" t="s">
        <v>2035</v>
      </c>
      <c r="F1209" s="1186" t="s">
        <v>2032</v>
      </c>
      <c r="G1209" s="1186" t="s">
        <v>851</v>
      </c>
      <c r="H1209" s="1186">
        <v>11</v>
      </c>
    </row>
    <row r="1210" spans="1:8" x14ac:dyDescent="0.2">
      <c r="A1210" s="1186" t="s">
        <v>133</v>
      </c>
      <c r="B1210" s="1186" t="s">
        <v>928</v>
      </c>
      <c r="C1210" s="1186" t="s">
        <v>1983</v>
      </c>
      <c r="D1210" s="1186" t="s">
        <v>1984</v>
      </c>
      <c r="E1210" s="1186" t="s">
        <v>2035</v>
      </c>
      <c r="F1210" s="1186" t="s">
        <v>2032</v>
      </c>
      <c r="G1210" s="1186" t="s">
        <v>852</v>
      </c>
      <c r="H1210" s="1186">
        <v>3</v>
      </c>
    </row>
    <row r="1211" spans="1:8" x14ac:dyDescent="0.2">
      <c r="A1211" s="1186" t="s">
        <v>133</v>
      </c>
      <c r="B1211" s="1186" t="s">
        <v>928</v>
      </c>
      <c r="C1211" s="1186" t="s">
        <v>1983</v>
      </c>
      <c r="D1211" s="1186" t="s">
        <v>1984</v>
      </c>
      <c r="E1211" s="1186" t="s">
        <v>2035</v>
      </c>
      <c r="F1211" s="1186" t="s">
        <v>2033</v>
      </c>
      <c r="G1211" s="1186" t="s">
        <v>828</v>
      </c>
      <c r="H1211" s="1186">
        <v>21</v>
      </c>
    </row>
    <row r="1212" spans="1:8" x14ac:dyDescent="0.2">
      <c r="A1212" s="1186" t="s">
        <v>133</v>
      </c>
      <c r="B1212" s="1186" t="s">
        <v>928</v>
      </c>
      <c r="C1212" s="1186" t="s">
        <v>1983</v>
      </c>
      <c r="D1212" s="1186" t="s">
        <v>1984</v>
      </c>
      <c r="E1212" s="1186" t="s">
        <v>2035</v>
      </c>
      <c r="F1212" s="1186" t="s">
        <v>2033</v>
      </c>
      <c r="G1212" s="1186" t="s">
        <v>850</v>
      </c>
      <c r="H1212" s="1186">
        <v>12</v>
      </c>
    </row>
    <row r="1213" spans="1:8" x14ac:dyDescent="0.2">
      <c r="A1213" s="1186" t="s">
        <v>133</v>
      </c>
      <c r="B1213" s="1186" t="s">
        <v>928</v>
      </c>
      <c r="C1213" s="1186" t="s">
        <v>1983</v>
      </c>
      <c r="D1213" s="1186" t="s">
        <v>1984</v>
      </c>
      <c r="E1213" s="1186" t="s">
        <v>2035</v>
      </c>
      <c r="F1213" s="1186" t="s">
        <v>2033</v>
      </c>
      <c r="G1213" s="1186" t="s">
        <v>851</v>
      </c>
      <c r="H1213" s="1186">
        <v>166</v>
      </c>
    </row>
    <row r="1214" spans="1:8" x14ac:dyDescent="0.2">
      <c r="A1214" s="1186" t="s">
        <v>133</v>
      </c>
      <c r="B1214" s="1186" t="s">
        <v>928</v>
      </c>
      <c r="C1214" s="1186" t="s">
        <v>1983</v>
      </c>
      <c r="D1214" s="1186" t="s">
        <v>1984</v>
      </c>
      <c r="E1214" s="1186" t="s">
        <v>2035</v>
      </c>
      <c r="F1214" s="1186" t="s">
        <v>2033</v>
      </c>
      <c r="G1214" s="1186" t="s">
        <v>852</v>
      </c>
      <c r="H1214" s="1186">
        <v>29</v>
      </c>
    </row>
    <row r="1215" spans="1:8" x14ac:dyDescent="0.2">
      <c r="A1215" s="1186" t="s">
        <v>133</v>
      </c>
      <c r="B1215" s="1186" t="s">
        <v>928</v>
      </c>
      <c r="C1215" s="1186" t="s">
        <v>1983</v>
      </c>
      <c r="D1215" s="1186" t="s">
        <v>1984</v>
      </c>
      <c r="E1215" s="1186" t="s">
        <v>2035</v>
      </c>
      <c r="F1215" s="1186" t="s">
        <v>2034</v>
      </c>
      <c r="G1215" s="1186" t="s">
        <v>828</v>
      </c>
      <c r="H1215" s="1186">
        <v>67</v>
      </c>
    </row>
    <row r="1216" spans="1:8" x14ac:dyDescent="0.2">
      <c r="A1216" s="1186" t="s">
        <v>133</v>
      </c>
      <c r="B1216" s="1186" t="s">
        <v>928</v>
      </c>
      <c r="C1216" s="1186" t="s">
        <v>1983</v>
      </c>
      <c r="D1216" s="1186" t="s">
        <v>1984</v>
      </c>
      <c r="E1216" s="1186" t="s">
        <v>2035</v>
      </c>
      <c r="F1216" s="1186" t="s">
        <v>2034</v>
      </c>
      <c r="G1216" s="1186" t="s">
        <v>850</v>
      </c>
      <c r="H1216" s="1186">
        <v>38</v>
      </c>
    </row>
    <row r="1217" spans="1:8" x14ac:dyDescent="0.2">
      <c r="A1217" s="1186" t="s">
        <v>133</v>
      </c>
      <c r="B1217" s="1186" t="s">
        <v>928</v>
      </c>
      <c r="C1217" s="1186" t="s">
        <v>1983</v>
      </c>
      <c r="D1217" s="1186" t="s">
        <v>1984</v>
      </c>
      <c r="E1217" s="1186" t="s">
        <v>2035</v>
      </c>
      <c r="F1217" s="1186" t="s">
        <v>2034</v>
      </c>
      <c r="G1217" s="1186" t="s">
        <v>851</v>
      </c>
      <c r="H1217" s="1186">
        <v>34</v>
      </c>
    </row>
    <row r="1218" spans="1:8" x14ac:dyDescent="0.2">
      <c r="A1218" s="1186" t="s">
        <v>133</v>
      </c>
      <c r="B1218" s="1186" t="s">
        <v>928</v>
      </c>
      <c r="C1218" s="1186" t="s">
        <v>1983</v>
      </c>
      <c r="D1218" s="1186" t="s">
        <v>1984</v>
      </c>
      <c r="E1218" s="1186" t="s">
        <v>2035</v>
      </c>
      <c r="F1218" s="1186" t="s">
        <v>2034</v>
      </c>
      <c r="G1218" s="1186" t="s">
        <v>852</v>
      </c>
      <c r="H1218" s="1186">
        <v>25</v>
      </c>
    </row>
    <row r="1219" spans="1:8" x14ac:dyDescent="0.2">
      <c r="A1219" s="1186" t="s">
        <v>133</v>
      </c>
      <c r="B1219" s="1186" t="s">
        <v>929</v>
      </c>
      <c r="C1219" s="1186" t="s">
        <v>1983</v>
      </c>
      <c r="D1219" s="1186" t="s">
        <v>1984</v>
      </c>
      <c r="E1219" s="1186" t="s">
        <v>2031</v>
      </c>
      <c r="F1219" s="1186" t="s">
        <v>2032</v>
      </c>
      <c r="G1219" s="1186" t="s">
        <v>828</v>
      </c>
      <c r="H1219" s="1186">
        <v>2</v>
      </c>
    </row>
    <row r="1220" spans="1:8" x14ac:dyDescent="0.2">
      <c r="A1220" s="1186" t="s">
        <v>133</v>
      </c>
      <c r="B1220" s="1186" t="s">
        <v>929</v>
      </c>
      <c r="C1220" s="1186" t="s">
        <v>1983</v>
      </c>
      <c r="D1220" s="1186" t="s">
        <v>1984</v>
      </c>
      <c r="E1220" s="1186" t="s">
        <v>2031</v>
      </c>
      <c r="F1220" s="1186" t="s">
        <v>2032</v>
      </c>
      <c r="G1220" s="1186" t="s">
        <v>850</v>
      </c>
      <c r="H1220" s="1186">
        <v>1</v>
      </c>
    </row>
    <row r="1221" spans="1:8" x14ac:dyDescent="0.2">
      <c r="A1221" s="1186" t="s">
        <v>133</v>
      </c>
      <c r="B1221" s="1186" t="s">
        <v>929</v>
      </c>
      <c r="C1221" s="1186" t="s">
        <v>1983</v>
      </c>
      <c r="D1221" s="1186" t="s">
        <v>1984</v>
      </c>
      <c r="E1221" s="1186" t="s">
        <v>2031</v>
      </c>
      <c r="F1221" s="1186" t="s">
        <v>2032</v>
      </c>
      <c r="G1221" s="1186" t="s">
        <v>852</v>
      </c>
      <c r="H1221" s="1186">
        <v>1</v>
      </c>
    </row>
    <row r="1222" spans="1:8" x14ac:dyDescent="0.2">
      <c r="A1222" s="1186" t="s">
        <v>133</v>
      </c>
      <c r="B1222" s="1186" t="s">
        <v>929</v>
      </c>
      <c r="C1222" s="1186" t="s">
        <v>1983</v>
      </c>
      <c r="D1222" s="1186" t="s">
        <v>1984</v>
      </c>
      <c r="E1222" s="1186" t="s">
        <v>2031</v>
      </c>
      <c r="F1222" s="1186" t="s">
        <v>2033</v>
      </c>
      <c r="G1222" s="1186" t="s">
        <v>828</v>
      </c>
      <c r="H1222" s="1186">
        <v>67</v>
      </c>
    </row>
    <row r="1223" spans="1:8" x14ac:dyDescent="0.2">
      <c r="A1223" s="1186" t="s">
        <v>133</v>
      </c>
      <c r="B1223" s="1186" t="s">
        <v>929</v>
      </c>
      <c r="C1223" s="1186" t="s">
        <v>1983</v>
      </c>
      <c r="D1223" s="1186" t="s">
        <v>1984</v>
      </c>
      <c r="E1223" s="1186" t="s">
        <v>2031</v>
      </c>
      <c r="F1223" s="1186" t="s">
        <v>2033</v>
      </c>
      <c r="G1223" s="1186" t="s">
        <v>850</v>
      </c>
      <c r="H1223" s="1186">
        <v>7</v>
      </c>
    </row>
    <row r="1224" spans="1:8" x14ac:dyDescent="0.2">
      <c r="A1224" s="1186" t="s">
        <v>133</v>
      </c>
      <c r="B1224" s="1186" t="s">
        <v>929</v>
      </c>
      <c r="C1224" s="1186" t="s">
        <v>1983</v>
      </c>
      <c r="D1224" s="1186" t="s">
        <v>1984</v>
      </c>
      <c r="E1224" s="1186" t="s">
        <v>2031</v>
      </c>
      <c r="F1224" s="1186" t="s">
        <v>2033</v>
      </c>
      <c r="G1224" s="1186" t="s">
        <v>851</v>
      </c>
      <c r="H1224" s="1186">
        <v>2</v>
      </c>
    </row>
    <row r="1225" spans="1:8" x14ac:dyDescent="0.2">
      <c r="A1225" s="1186" t="s">
        <v>133</v>
      </c>
      <c r="B1225" s="1186" t="s">
        <v>929</v>
      </c>
      <c r="C1225" s="1186" t="s">
        <v>1983</v>
      </c>
      <c r="D1225" s="1186" t="s">
        <v>1984</v>
      </c>
      <c r="E1225" s="1186" t="s">
        <v>2031</v>
      </c>
      <c r="F1225" s="1186" t="s">
        <v>2033</v>
      </c>
      <c r="G1225" s="1186" t="s">
        <v>852</v>
      </c>
      <c r="H1225" s="1186">
        <v>3</v>
      </c>
    </row>
    <row r="1226" spans="1:8" x14ac:dyDescent="0.2">
      <c r="A1226" s="1186" t="s">
        <v>133</v>
      </c>
      <c r="B1226" s="1186" t="s">
        <v>929</v>
      </c>
      <c r="C1226" s="1186" t="s">
        <v>1983</v>
      </c>
      <c r="D1226" s="1186" t="s">
        <v>1984</v>
      </c>
      <c r="E1226" s="1186" t="s">
        <v>2031</v>
      </c>
      <c r="F1226" s="1186" t="s">
        <v>2034</v>
      </c>
      <c r="G1226" s="1186" t="s">
        <v>828</v>
      </c>
      <c r="H1226" s="1186">
        <v>22</v>
      </c>
    </row>
    <row r="1227" spans="1:8" x14ac:dyDescent="0.2">
      <c r="A1227" s="1186" t="s">
        <v>133</v>
      </c>
      <c r="B1227" s="1186" t="s">
        <v>929</v>
      </c>
      <c r="C1227" s="1186" t="s">
        <v>1983</v>
      </c>
      <c r="D1227" s="1186" t="s">
        <v>1984</v>
      </c>
      <c r="E1227" s="1186" t="s">
        <v>2031</v>
      </c>
      <c r="F1227" s="1186" t="s">
        <v>2034</v>
      </c>
      <c r="G1227" s="1186" t="s">
        <v>850</v>
      </c>
      <c r="H1227" s="1186">
        <v>2</v>
      </c>
    </row>
    <row r="1228" spans="1:8" x14ac:dyDescent="0.2">
      <c r="A1228" s="1186" t="s">
        <v>133</v>
      </c>
      <c r="B1228" s="1186" t="s">
        <v>929</v>
      </c>
      <c r="C1228" s="1186" t="s">
        <v>1983</v>
      </c>
      <c r="D1228" s="1186" t="s">
        <v>1984</v>
      </c>
      <c r="E1228" s="1186" t="s">
        <v>2031</v>
      </c>
      <c r="F1228" s="1186" t="s">
        <v>2034</v>
      </c>
      <c r="G1228" s="1186" t="s">
        <v>852</v>
      </c>
      <c r="H1228" s="1186">
        <v>1</v>
      </c>
    </row>
    <row r="1229" spans="1:8" x14ac:dyDescent="0.2">
      <c r="A1229" s="1186" t="s">
        <v>133</v>
      </c>
      <c r="B1229" s="1186" t="s">
        <v>929</v>
      </c>
      <c r="C1229" s="1186" t="s">
        <v>1983</v>
      </c>
      <c r="D1229" s="1186" t="s">
        <v>1984</v>
      </c>
      <c r="E1229" s="1186" t="s">
        <v>2035</v>
      </c>
      <c r="F1229" s="1186" t="s">
        <v>2032</v>
      </c>
      <c r="G1229" s="1186" t="s">
        <v>828</v>
      </c>
      <c r="H1229" s="1186">
        <v>4</v>
      </c>
    </row>
    <row r="1230" spans="1:8" x14ac:dyDescent="0.2">
      <c r="A1230" s="1186" t="s">
        <v>133</v>
      </c>
      <c r="B1230" s="1186" t="s">
        <v>929</v>
      </c>
      <c r="C1230" s="1186" t="s">
        <v>1983</v>
      </c>
      <c r="D1230" s="1186" t="s">
        <v>1984</v>
      </c>
      <c r="E1230" s="1186" t="s">
        <v>2035</v>
      </c>
      <c r="F1230" s="1186" t="s">
        <v>2032</v>
      </c>
      <c r="G1230" s="1186" t="s">
        <v>850</v>
      </c>
      <c r="H1230" s="1186">
        <v>3</v>
      </c>
    </row>
    <row r="1231" spans="1:8" x14ac:dyDescent="0.2">
      <c r="A1231" s="1186" t="s">
        <v>133</v>
      </c>
      <c r="B1231" s="1186" t="s">
        <v>929</v>
      </c>
      <c r="C1231" s="1186" t="s">
        <v>1983</v>
      </c>
      <c r="D1231" s="1186" t="s">
        <v>1984</v>
      </c>
      <c r="E1231" s="1186" t="s">
        <v>2035</v>
      </c>
      <c r="F1231" s="1186" t="s">
        <v>2032</v>
      </c>
      <c r="G1231" s="1186" t="s">
        <v>851</v>
      </c>
      <c r="H1231" s="1186">
        <v>14</v>
      </c>
    </row>
    <row r="1232" spans="1:8" x14ac:dyDescent="0.2">
      <c r="A1232" s="1186" t="s">
        <v>133</v>
      </c>
      <c r="B1232" s="1186" t="s">
        <v>929</v>
      </c>
      <c r="C1232" s="1186" t="s">
        <v>1983</v>
      </c>
      <c r="D1232" s="1186" t="s">
        <v>1984</v>
      </c>
      <c r="E1232" s="1186" t="s">
        <v>2035</v>
      </c>
      <c r="F1232" s="1186" t="s">
        <v>2032</v>
      </c>
      <c r="G1232" s="1186" t="s">
        <v>852</v>
      </c>
      <c r="H1232" s="1186">
        <v>6</v>
      </c>
    </row>
    <row r="1233" spans="1:8" x14ac:dyDescent="0.2">
      <c r="A1233" s="1186" t="s">
        <v>133</v>
      </c>
      <c r="B1233" s="1186" t="s">
        <v>929</v>
      </c>
      <c r="C1233" s="1186" t="s">
        <v>1983</v>
      </c>
      <c r="D1233" s="1186" t="s">
        <v>1984</v>
      </c>
      <c r="E1233" s="1186" t="s">
        <v>2035</v>
      </c>
      <c r="F1233" s="1186" t="s">
        <v>2033</v>
      </c>
      <c r="G1233" s="1186" t="s">
        <v>828</v>
      </c>
      <c r="H1233" s="1186">
        <v>22</v>
      </c>
    </row>
    <row r="1234" spans="1:8" x14ac:dyDescent="0.2">
      <c r="A1234" s="1186" t="s">
        <v>133</v>
      </c>
      <c r="B1234" s="1186" t="s">
        <v>929</v>
      </c>
      <c r="C1234" s="1186" t="s">
        <v>1983</v>
      </c>
      <c r="D1234" s="1186" t="s">
        <v>1984</v>
      </c>
      <c r="E1234" s="1186" t="s">
        <v>2035</v>
      </c>
      <c r="F1234" s="1186" t="s">
        <v>2033</v>
      </c>
      <c r="G1234" s="1186" t="s">
        <v>850</v>
      </c>
      <c r="H1234" s="1186">
        <v>7</v>
      </c>
    </row>
    <row r="1235" spans="1:8" x14ac:dyDescent="0.2">
      <c r="A1235" s="1186" t="s">
        <v>133</v>
      </c>
      <c r="B1235" s="1186" t="s">
        <v>929</v>
      </c>
      <c r="C1235" s="1186" t="s">
        <v>1983</v>
      </c>
      <c r="D1235" s="1186" t="s">
        <v>1984</v>
      </c>
      <c r="E1235" s="1186" t="s">
        <v>2035</v>
      </c>
      <c r="F1235" s="1186" t="s">
        <v>2033</v>
      </c>
      <c r="G1235" s="1186" t="s">
        <v>851</v>
      </c>
      <c r="H1235" s="1186">
        <v>210</v>
      </c>
    </row>
    <row r="1236" spans="1:8" x14ac:dyDescent="0.2">
      <c r="A1236" s="1186" t="s">
        <v>133</v>
      </c>
      <c r="B1236" s="1186" t="s">
        <v>929</v>
      </c>
      <c r="C1236" s="1186" t="s">
        <v>1983</v>
      </c>
      <c r="D1236" s="1186" t="s">
        <v>1984</v>
      </c>
      <c r="E1236" s="1186" t="s">
        <v>2035</v>
      </c>
      <c r="F1236" s="1186" t="s">
        <v>2033</v>
      </c>
      <c r="G1236" s="1186" t="s">
        <v>852</v>
      </c>
      <c r="H1236" s="1186">
        <v>20</v>
      </c>
    </row>
    <row r="1237" spans="1:8" x14ac:dyDescent="0.2">
      <c r="A1237" s="1186" t="s">
        <v>133</v>
      </c>
      <c r="B1237" s="1186" t="s">
        <v>929</v>
      </c>
      <c r="C1237" s="1186" t="s">
        <v>1983</v>
      </c>
      <c r="D1237" s="1186" t="s">
        <v>1984</v>
      </c>
      <c r="E1237" s="1186" t="s">
        <v>2035</v>
      </c>
      <c r="F1237" s="1186" t="s">
        <v>2034</v>
      </c>
      <c r="G1237" s="1186" t="s">
        <v>828</v>
      </c>
      <c r="H1237" s="1186">
        <v>83</v>
      </c>
    </row>
    <row r="1238" spans="1:8" x14ac:dyDescent="0.2">
      <c r="A1238" s="1186" t="s">
        <v>133</v>
      </c>
      <c r="B1238" s="1186" t="s">
        <v>929</v>
      </c>
      <c r="C1238" s="1186" t="s">
        <v>1983</v>
      </c>
      <c r="D1238" s="1186" t="s">
        <v>1984</v>
      </c>
      <c r="E1238" s="1186" t="s">
        <v>2035</v>
      </c>
      <c r="F1238" s="1186" t="s">
        <v>2034</v>
      </c>
      <c r="G1238" s="1186" t="s">
        <v>850</v>
      </c>
      <c r="H1238" s="1186">
        <v>54</v>
      </c>
    </row>
    <row r="1239" spans="1:8" x14ac:dyDescent="0.2">
      <c r="A1239" s="1186" t="s">
        <v>133</v>
      </c>
      <c r="B1239" s="1186" t="s">
        <v>929</v>
      </c>
      <c r="C1239" s="1186" t="s">
        <v>1983</v>
      </c>
      <c r="D1239" s="1186" t="s">
        <v>1984</v>
      </c>
      <c r="E1239" s="1186" t="s">
        <v>2035</v>
      </c>
      <c r="F1239" s="1186" t="s">
        <v>2034</v>
      </c>
      <c r="G1239" s="1186" t="s">
        <v>851</v>
      </c>
      <c r="H1239" s="1186">
        <v>32</v>
      </c>
    </row>
    <row r="1240" spans="1:8" x14ac:dyDescent="0.2">
      <c r="A1240" s="1186" t="s">
        <v>133</v>
      </c>
      <c r="B1240" s="1186" t="s">
        <v>929</v>
      </c>
      <c r="C1240" s="1186" t="s">
        <v>1983</v>
      </c>
      <c r="D1240" s="1186" t="s">
        <v>1984</v>
      </c>
      <c r="E1240" s="1186" t="s">
        <v>2035</v>
      </c>
      <c r="F1240" s="1186" t="s">
        <v>2034</v>
      </c>
      <c r="G1240" s="1186" t="s">
        <v>852</v>
      </c>
      <c r="H1240" s="1186">
        <v>27</v>
      </c>
    </row>
    <row r="1241" spans="1:8" x14ac:dyDescent="0.2">
      <c r="A1241" s="1186" t="s">
        <v>133</v>
      </c>
      <c r="B1241" s="1186" t="s">
        <v>930</v>
      </c>
      <c r="C1241" s="1186" t="s">
        <v>1985</v>
      </c>
      <c r="D1241" s="1186" t="s">
        <v>1984</v>
      </c>
      <c r="E1241" s="1186" t="s">
        <v>2031</v>
      </c>
      <c r="F1241" s="1186" t="s">
        <v>2032</v>
      </c>
      <c r="G1241" s="1186" t="s">
        <v>828</v>
      </c>
      <c r="H1241" s="1186">
        <v>2</v>
      </c>
    </row>
    <row r="1242" spans="1:8" x14ac:dyDescent="0.2">
      <c r="A1242" s="1186" t="s">
        <v>133</v>
      </c>
      <c r="B1242" s="1186" t="s">
        <v>930</v>
      </c>
      <c r="C1242" s="1186" t="s">
        <v>1985</v>
      </c>
      <c r="D1242" s="1186" t="s">
        <v>1984</v>
      </c>
      <c r="E1242" s="1186" t="s">
        <v>2031</v>
      </c>
      <c r="F1242" s="1186" t="s">
        <v>2033</v>
      </c>
      <c r="G1242" s="1186" t="s">
        <v>828</v>
      </c>
      <c r="H1242" s="1186">
        <v>74</v>
      </c>
    </row>
    <row r="1243" spans="1:8" x14ac:dyDescent="0.2">
      <c r="A1243" s="1186" t="s">
        <v>133</v>
      </c>
      <c r="B1243" s="1186" t="s">
        <v>930</v>
      </c>
      <c r="C1243" s="1186" t="s">
        <v>1985</v>
      </c>
      <c r="D1243" s="1186" t="s">
        <v>1984</v>
      </c>
      <c r="E1243" s="1186" t="s">
        <v>2031</v>
      </c>
      <c r="F1243" s="1186" t="s">
        <v>2033</v>
      </c>
      <c r="G1243" s="1186" t="s">
        <v>850</v>
      </c>
      <c r="H1243" s="1186">
        <v>10</v>
      </c>
    </row>
    <row r="1244" spans="1:8" x14ac:dyDescent="0.2">
      <c r="A1244" s="1186" t="s">
        <v>133</v>
      </c>
      <c r="B1244" s="1186" t="s">
        <v>930</v>
      </c>
      <c r="C1244" s="1186" t="s">
        <v>1985</v>
      </c>
      <c r="D1244" s="1186" t="s">
        <v>1984</v>
      </c>
      <c r="E1244" s="1186" t="s">
        <v>2031</v>
      </c>
      <c r="F1244" s="1186" t="s">
        <v>2033</v>
      </c>
      <c r="G1244" s="1186" t="s">
        <v>851</v>
      </c>
      <c r="H1244" s="1186">
        <v>6</v>
      </c>
    </row>
    <row r="1245" spans="1:8" x14ac:dyDescent="0.2">
      <c r="A1245" s="1186" t="s">
        <v>133</v>
      </c>
      <c r="B1245" s="1186" t="s">
        <v>930</v>
      </c>
      <c r="C1245" s="1186" t="s">
        <v>1985</v>
      </c>
      <c r="D1245" s="1186" t="s">
        <v>1984</v>
      </c>
      <c r="E1245" s="1186" t="s">
        <v>2031</v>
      </c>
      <c r="F1245" s="1186" t="s">
        <v>2033</v>
      </c>
      <c r="G1245" s="1186" t="s">
        <v>852</v>
      </c>
      <c r="H1245" s="1186">
        <v>4</v>
      </c>
    </row>
    <row r="1246" spans="1:8" x14ac:dyDescent="0.2">
      <c r="A1246" s="1186" t="s">
        <v>133</v>
      </c>
      <c r="B1246" s="1186" t="s">
        <v>930</v>
      </c>
      <c r="C1246" s="1186" t="s">
        <v>1985</v>
      </c>
      <c r="D1246" s="1186" t="s">
        <v>1984</v>
      </c>
      <c r="E1246" s="1186" t="s">
        <v>2031</v>
      </c>
      <c r="F1246" s="1186" t="s">
        <v>2034</v>
      </c>
      <c r="G1246" s="1186" t="s">
        <v>828</v>
      </c>
      <c r="H1246" s="1186">
        <v>25</v>
      </c>
    </row>
    <row r="1247" spans="1:8" x14ac:dyDescent="0.2">
      <c r="A1247" s="1186" t="s">
        <v>133</v>
      </c>
      <c r="B1247" s="1186" t="s">
        <v>930</v>
      </c>
      <c r="C1247" s="1186" t="s">
        <v>1985</v>
      </c>
      <c r="D1247" s="1186" t="s">
        <v>1984</v>
      </c>
      <c r="E1247" s="1186" t="s">
        <v>2031</v>
      </c>
      <c r="F1247" s="1186" t="s">
        <v>2034</v>
      </c>
      <c r="G1247" s="1186" t="s">
        <v>850</v>
      </c>
      <c r="H1247" s="1186">
        <v>1</v>
      </c>
    </row>
    <row r="1248" spans="1:8" x14ac:dyDescent="0.2">
      <c r="A1248" s="1186" t="s">
        <v>133</v>
      </c>
      <c r="B1248" s="1186" t="s">
        <v>930</v>
      </c>
      <c r="C1248" s="1186" t="s">
        <v>1985</v>
      </c>
      <c r="D1248" s="1186" t="s">
        <v>1984</v>
      </c>
      <c r="E1248" s="1186" t="s">
        <v>2035</v>
      </c>
      <c r="F1248" s="1186" t="s">
        <v>2032</v>
      </c>
      <c r="G1248" s="1186" t="s">
        <v>828</v>
      </c>
      <c r="H1248" s="1186">
        <v>4</v>
      </c>
    </row>
    <row r="1249" spans="1:8" x14ac:dyDescent="0.2">
      <c r="A1249" s="1186" t="s">
        <v>133</v>
      </c>
      <c r="B1249" s="1186" t="s">
        <v>930</v>
      </c>
      <c r="C1249" s="1186" t="s">
        <v>1985</v>
      </c>
      <c r="D1249" s="1186" t="s">
        <v>1984</v>
      </c>
      <c r="E1249" s="1186" t="s">
        <v>2035</v>
      </c>
      <c r="F1249" s="1186" t="s">
        <v>2032</v>
      </c>
      <c r="G1249" s="1186" t="s">
        <v>850</v>
      </c>
      <c r="H1249" s="1186">
        <v>1</v>
      </c>
    </row>
    <row r="1250" spans="1:8" x14ac:dyDescent="0.2">
      <c r="A1250" s="1186" t="s">
        <v>133</v>
      </c>
      <c r="B1250" s="1186" t="s">
        <v>930</v>
      </c>
      <c r="C1250" s="1186" t="s">
        <v>1985</v>
      </c>
      <c r="D1250" s="1186" t="s">
        <v>1984</v>
      </c>
      <c r="E1250" s="1186" t="s">
        <v>2035</v>
      </c>
      <c r="F1250" s="1186" t="s">
        <v>2032</v>
      </c>
      <c r="G1250" s="1186" t="s">
        <v>851</v>
      </c>
      <c r="H1250" s="1186">
        <v>10</v>
      </c>
    </row>
    <row r="1251" spans="1:8" x14ac:dyDescent="0.2">
      <c r="A1251" s="1186" t="s">
        <v>133</v>
      </c>
      <c r="B1251" s="1186" t="s">
        <v>930</v>
      </c>
      <c r="C1251" s="1186" t="s">
        <v>1985</v>
      </c>
      <c r="D1251" s="1186" t="s">
        <v>1984</v>
      </c>
      <c r="E1251" s="1186" t="s">
        <v>2035</v>
      </c>
      <c r="F1251" s="1186" t="s">
        <v>2032</v>
      </c>
      <c r="G1251" s="1186" t="s">
        <v>852</v>
      </c>
      <c r="H1251" s="1186">
        <v>9</v>
      </c>
    </row>
    <row r="1252" spans="1:8" x14ac:dyDescent="0.2">
      <c r="A1252" s="1186" t="s">
        <v>133</v>
      </c>
      <c r="B1252" s="1186" t="s">
        <v>930</v>
      </c>
      <c r="C1252" s="1186" t="s">
        <v>1985</v>
      </c>
      <c r="D1252" s="1186" t="s">
        <v>1984</v>
      </c>
      <c r="E1252" s="1186" t="s">
        <v>2035</v>
      </c>
      <c r="F1252" s="1186" t="s">
        <v>2033</v>
      </c>
      <c r="G1252" s="1186" t="s">
        <v>828</v>
      </c>
      <c r="H1252" s="1186">
        <v>37</v>
      </c>
    </row>
    <row r="1253" spans="1:8" x14ac:dyDescent="0.2">
      <c r="A1253" s="1186" t="s">
        <v>133</v>
      </c>
      <c r="B1253" s="1186" t="s">
        <v>930</v>
      </c>
      <c r="C1253" s="1186" t="s">
        <v>1985</v>
      </c>
      <c r="D1253" s="1186" t="s">
        <v>1984</v>
      </c>
      <c r="E1253" s="1186" t="s">
        <v>2035</v>
      </c>
      <c r="F1253" s="1186" t="s">
        <v>2033</v>
      </c>
      <c r="G1253" s="1186" t="s">
        <v>850</v>
      </c>
      <c r="H1253" s="1186">
        <v>7</v>
      </c>
    </row>
    <row r="1254" spans="1:8" x14ac:dyDescent="0.2">
      <c r="A1254" s="1186" t="s">
        <v>133</v>
      </c>
      <c r="B1254" s="1186" t="s">
        <v>930</v>
      </c>
      <c r="C1254" s="1186" t="s">
        <v>1985</v>
      </c>
      <c r="D1254" s="1186" t="s">
        <v>1984</v>
      </c>
      <c r="E1254" s="1186" t="s">
        <v>2035</v>
      </c>
      <c r="F1254" s="1186" t="s">
        <v>2033</v>
      </c>
      <c r="G1254" s="1186" t="s">
        <v>851</v>
      </c>
      <c r="H1254" s="1186">
        <v>140</v>
      </c>
    </row>
    <row r="1255" spans="1:8" x14ac:dyDescent="0.2">
      <c r="A1255" s="1186" t="s">
        <v>133</v>
      </c>
      <c r="B1255" s="1186" t="s">
        <v>930</v>
      </c>
      <c r="C1255" s="1186" t="s">
        <v>1985</v>
      </c>
      <c r="D1255" s="1186" t="s">
        <v>1984</v>
      </c>
      <c r="E1255" s="1186" t="s">
        <v>2035</v>
      </c>
      <c r="F1255" s="1186" t="s">
        <v>2033</v>
      </c>
      <c r="G1255" s="1186" t="s">
        <v>852</v>
      </c>
      <c r="H1255" s="1186">
        <v>22</v>
      </c>
    </row>
    <row r="1256" spans="1:8" x14ac:dyDescent="0.2">
      <c r="A1256" s="1186" t="s">
        <v>133</v>
      </c>
      <c r="B1256" s="1186" t="s">
        <v>930</v>
      </c>
      <c r="C1256" s="1186" t="s">
        <v>1985</v>
      </c>
      <c r="D1256" s="1186" t="s">
        <v>1984</v>
      </c>
      <c r="E1256" s="1186" t="s">
        <v>2035</v>
      </c>
      <c r="F1256" s="1186" t="s">
        <v>2034</v>
      </c>
      <c r="G1256" s="1186" t="s">
        <v>828</v>
      </c>
      <c r="H1256" s="1186">
        <v>55</v>
      </c>
    </row>
    <row r="1257" spans="1:8" x14ac:dyDescent="0.2">
      <c r="A1257" s="1186" t="s">
        <v>133</v>
      </c>
      <c r="B1257" s="1186" t="s">
        <v>930</v>
      </c>
      <c r="C1257" s="1186" t="s">
        <v>1985</v>
      </c>
      <c r="D1257" s="1186" t="s">
        <v>1984</v>
      </c>
      <c r="E1257" s="1186" t="s">
        <v>2035</v>
      </c>
      <c r="F1257" s="1186" t="s">
        <v>2034</v>
      </c>
      <c r="G1257" s="1186" t="s">
        <v>850</v>
      </c>
      <c r="H1257" s="1186">
        <v>20</v>
      </c>
    </row>
    <row r="1258" spans="1:8" x14ac:dyDescent="0.2">
      <c r="A1258" s="1186" t="s">
        <v>133</v>
      </c>
      <c r="B1258" s="1186" t="s">
        <v>930</v>
      </c>
      <c r="C1258" s="1186" t="s">
        <v>1985</v>
      </c>
      <c r="D1258" s="1186" t="s">
        <v>1984</v>
      </c>
      <c r="E1258" s="1186" t="s">
        <v>2035</v>
      </c>
      <c r="F1258" s="1186" t="s">
        <v>2034</v>
      </c>
      <c r="G1258" s="1186" t="s">
        <v>851</v>
      </c>
      <c r="H1258" s="1186">
        <v>22</v>
      </c>
    </row>
    <row r="1259" spans="1:8" x14ac:dyDescent="0.2">
      <c r="A1259" s="1186" t="s">
        <v>133</v>
      </c>
      <c r="B1259" s="1186" t="s">
        <v>930</v>
      </c>
      <c r="C1259" s="1186" t="s">
        <v>1985</v>
      </c>
      <c r="D1259" s="1186" t="s">
        <v>1984</v>
      </c>
      <c r="E1259" s="1186" t="s">
        <v>2035</v>
      </c>
      <c r="F1259" s="1186" t="s">
        <v>2034</v>
      </c>
      <c r="G1259" s="1186" t="s">
        <v>852</v>
      </c>
      <c r="H1259" s="1186">
        <v>20</v>
      </c>
    </row>
    <row r="1260" spans="1:8" x14ac:dyDescent="0.2">
      <c r="A1260" s="1186" t="s">
        <v>133</v>
      </c>
      <c r="B1260" s="1186" t="s">
        <v>931</v>
      </c>
      <c r="C1260" s="1186" t="s">
        <v>1985</v>
      </c>
      <c r="D1260" s="1186" t="s">
        <v>1986</v>
      </c>
      <c r="E1260" s="1186" t="s">
        <v>2031</v>
      </c>
      <c r="F1260" s="1186" t="s">
        <v>2033</v>
      </c>
      <c r="G1260" s="1186" t="s">
        <v>828</v>
      </c>
      <c r="H1260" s="1186">
        <v>89</v>
      </c>
    </row>
    <row r="1261" spans="1:8" x14ac:dyDescent="0.2">
      <c r="A1261" s="1186" t="s">
        <v>133</v>
      </c>
      <c r="B1261" s="1186" t="s">
        <v>931</v>
      </c>
      <c r="C1261" s="1186" t="s">
        <v>1985</v>
      </c>
      <c r="D1261" s="1186" t="s">
        <v>1986</v>
      </c>
      <c r="E1261" s="1186" t="s">
        <v>2031</v>
      </c>
      <c r="F1261" s="1186" t="s">
        <v>2033</v>
      </c>
      <c r="G1261" s="1186" t="s">
        <v>850</v>
      </c>
      <c r="H1261" s="1186">
        <v>7</v>
      </c>
    </row>
    <row r="1262" spans="1:8" x14ac:dyDescent="0.2">
      <c r="A1262" s="1186" t="s">
        <v>133</v>
      </c>
      <c r="B1262" s="1186" t="s">
        <v>931</v>
      </c>
      <c r="C1262" s="1186" t="s">
        <v>1985</v>
      </c>
      <c r="D1262" s="1186" t="s">
        <v>1986</v>
      </c>
      <c r="E1262" s="1186" t="s">
        <v>2031</v>
      </c>
      <c r="F1262" s="1186" t="s">
        <v>2033</v>
      </c>
      <c r="G1262" s="1186" t="s">
        <v>851</v>
      </c>
      <c r="H1262" s="1186">
        <v>1</v>
      </c>
    </row>
    <row r="1263" spans="1:8" x14ac:dyDescent="0.2">
      <c r="A1263" s="1186" t="s">
        <v>133</v>
      </c>
      <c r="B1263" s="1186" t="s">
        <v>931</v>
      </c>
      <c r="C1263" s="1186" t="s">
        <v>1985</v>
      </c>
      <c r="D1263" s="1186" t="s">
        <v>1986</v>
      </c>
      <c r="E1263" s="1186" t="s">
        <v>2031</v>
      </c>
      <c r="F1263" s="1186" t="s">
        <v>2033</v>
      </c>
      <c r="G1263" s="1186" t="s">
        <v>852</v>
      </c>
      <c r="H1263" s="1186">
        <v>1</v>
      </c>
    </row>
    <row r="1264" spans="1:8" x14ac:dyDescent="0.2">
      <c r="A1264" s="1186" t="s">
        <v>133</v>
      </c>
      <c r="B1264" s="1186" t="s">
        <v>931</v>
      </c>
      <c r="C1264" s="1186" t="s">
        <v>1985</v>
      </c>
      <c r="D1264" s="1186" t="s">
        <v>1986</v>
      </c>
      <c r="E1264" s="1186" t="s">
        <v>2031</v>
      </c>
      <c r="F1264" s="1186" t="s">
        <v>2034</v>
      </c>
      <c r="G1264" s="1186" t="s">
        <v>828</v>
      </c>
      <c r="H1264" s="1186">
        <v>16</v>
      </c>
    </row>
    <row r="1265" spans="1:8" x14ac:dyDescent="0.2">
      <c r="A1265" s="1186" t="s">
        <v>133</v>
      </c>
      <c r="B1265" s="1186" t="s">
        <v>931</v>
      </c>
      <c r="C1265" s="1186" t="s">
        <v>1985</v>
      </c>
      <c r="D1265" s="1186" t="s">
        <v>1986</v>
      </c>
      <c r="E1265" s="1186" t="s">
        <v>2035</v>
      </c>
      <c r="F1265" s="1186" t="s">
        <v>2032</v>
      </c>
      <c r="G1265" s="1186" t="s">
        <v>828</v>
      </c>
      <c r="H1265" s="1186">
        <v>7</v>
      </c>
    </row>
    <row r="1266" spans="1:8" x14ac:dyDescent="0.2">
      <c r="A1266" s="1186" t="s">
        <v>133</v>
      </c>
      <c r="B1266" s="1186" t="s">
        <v>931</v>
      </c>
      <c r="C1266" s="1186" t="s">
        <v>1985</v>
      </c>
      <c r="D1266" s="1186" t="s">
        <v>1986</v>
      </c>
      <c r="E1266" s="1186" t="s">
        <v>2035</v>
      </c>
      <c r="F1266" s="1186" t="s">
        <v>2032</v>
      </c>
      <c r="G1266" s="1186" t="s">
        <v>850</v>
      </c>
      <c r="H1266" s="1186">
        <v>2</v>
      </c>
    </row>
    <row r="1267" spans="1:8" x14ac:dyDescent="0.2">
      <c r="A1267" s="1186" t="s">
        <v>133</v>
      </c>
      <c r="B1267" s="1186" t="s">
        <v>931</v>
      </c>
      <c r="C1267" s="1186" t="s">
        <v>1985</v>
      </c>
      <c r="D1267" s="1186" t="s">
        <v>1986</v>
      </c>
      <c r="E1267" s="1186" t="s">
        <v>2035</v>
      </c>
      <c r="F1267" s="1186" t="s">
        <v>2032</v>
      </c>
      <c r="G1267" s="1186" t="s">
        <v>851</v>
      </c>
      <c r="H1267" s="1186">
        <v>3</v>
      </c>
    </row>
    <row r="1268" spans="1:8" x14ac:dyDescent="0.2">
      <c r="A1268" s="1186" t="s">
        <v>133</v>
      </c>
      <c r="B1268" s="1186" t="s">
        <v>931</v>
      </c>
      <c r="C1268" s="1186" t="s">
        <v>1985</v>
      </c>
      <c r="D1268" s="1186" t="s">
        <v>1986</v>
      </c>
      <c r="E1268" s="1186" t="s">
        <v>2035</v>
      </c>
      <c r="F1268" s="1186" t="s">
        <v>2032</v>
      </c>
      <c r="G1268" s="1186" t="s">
        <v>852</v>
      </c>
      <c r="H1268" s="1186">
        <v>2</v>
      </c>
    </row>
    <row r="1269" spans="1:8" x14ac:dyDescent="0.2">
      <c r="A1269" s="1186" t="s">
        <v>133</v>
      </c>
      <c r="B1269" s="1186" t="s">
        <v>931</v>
      </c>
      <c r="C1269" s="1186" t="s">
        <v>1985</v>
      </c>
      <c r="D1269" s="1186" t="s">
        <v>1986</v>
      </c>
      <c r="E1269" s="1186" t="s">
        <v>2035</v>
      </c>
      <c r="F1269" s="1186" t="s">
        <v>2033</v>
      </c>
      <c r="G1269" s="1186" t="s">
        <v>828</v>
      </c>
      <c r="H1269" s="1186">
        <v>43</v>
      </c>
    </row>
    <row r="1270" spans="1:8" x14ac:dyDescent="0.2">
      <c r="A1270" s="1186" t="s">
        <v>133</v>
      </c>
      <c r="B1270" s="1186" t="s">
        <v>931</v>
      </c>
      <c r="C1270" s="1186" t="s">
        <v>1985</v>
      </c>
      <c r="D1270" s="1186" t="s">
        <v>1986</v>
      </c>
      <c r="E1270" s="1186" t="s">
        <v>2035</v>
      </c>
      <c r="F1270" s="1186" t="s">
        <v>2033</v>
      </c>
      <c r="G1270" s="1186" t="s">
        <v>850</v>
      </c>
      <c r="H1270" s="1186">
        <v>5</v>
      </c>
    </row>
    <row r="1271" spans="1:8" x14ac:dyDescent="0.2">
      <c r="A1271" s="1186" t="s">
        <v>133</v>
      </c>
      <c r="B1271" s="1186" t="s">
        <v>931</v>
      </c>
      <c r="C1271" s="1186" t="s">
        <v>1985</v>
      </c>
      <c r="D1271" s="1186" t="s">
        <v>1986</v>
      </c>
      <c r="E1271" s="1186" t="s">
        <v>2035</v>
      </c>
      <c r="F1271" s="1186" t="s">
        <v>2033</v>
      </c>
      <c r="G1271" s="1186" t="s">
        <v>851</v>
      </c>
      <c r="H1271" s="1186">
        <v>165</v>
      </c>
    </row>
    <row r="1272" spans="1:8" x14ac:dyDescent="0.2">
      <c r="A1272" s="1186" t="s">
        <v>133</v>
      </c>
      <c r="B1272" s="1186" t="s">
        <v>931</v>
      </c>
      <c r="C1272" s="1186" t="s">
        <v>1985</v>
      </c>
      <c r="D1272" s="1186" t="s">
        <v>1986</v>
      </c>
      <c r="E1272" s="1186" t="s">
        <v>2035</v>
      </c>
      <c r="F1272" s="1186" t="s">
        <v>2033</v>
      </c>
      <c r="G1272" s="1186" t="s">
        <v>852</v>
      </c>
      <c r="H1272" s="1186">
        <v>15</v>
      </c>
    </row>
    <row r="1273" spans="1:8" x14ac:dyDescent="0.2">
      <c r="A1273" s="1186" t="s">
        <v>133</v>
      </c>
      <c r="B1273" s="1186" t="s">
        <v>931</v>
      </c>
      <c r="C1273" s="1186" t="s">
        <v>1985</v>
      </c>
      <c r="D1273" s="1186" t="s">
        <v>1986</v>
      </c>
      <c r="E1273" s="1186" t="s">
        <v>2035</v>
      </c>
      <c r="F1273" s="1186" t="s">
        <v>2034</v>
      </c>
      <c r="G1273" s="1186" t="s">
        <v>828</v>
      </c>
      <c r="H1273" s="1186">
        <v>69</v>
      </c>
    </row>
    <row r="1274" spans="1:8" x14ac:dyDescent="0.2">
      <c r="A1274" s="1186" t="s">
        <v>133</v>
      </c>
      <c r="B1274" s="1186" t="s">
        <v>931</v>
      </c>
      <c r="C1274" s="1186" t="s">
        <v>1985</v>
      </c>
      <c r="D1274" s="1186" t="s">
        <v>1986</v>
      </c>
      <c r="E1274" s="1186" t="s">
        <v>2035</v>
      </c>
      <c r="F1274" s="1186" t="s">
        <v>2034</v>
      </c>
      <c r="G1274" s="1186" t="s">
        <v>850</v>
      </c>
      <c r="H1274" s="1186">
        <v>34</v>
      </c>
    </row>
    <row r="1275" spans="1:8" x14ac:dyDescent="0.2">
      <c r="A1275" s="1186" t="s">
        <v>133</v>
      </c>
      <c r="B1275" s="1186" t="s">
        <v>931</v>
      </c>
      <c r="C1275" s="1186" t="s">
        <v>1985</v>
      </c>
      <c r="D1275" s="1186" t="s">
        <v>1986</v>
      </c>
      <c r="E1275" s="1186" t="s">
        <v>2035</v>
      </c>
      <c r="F1275" s="1186" t="s">
        <v>2034</v>
      </c>
      <c r="G1275" s="1186" t="s">
        <v>851</v>
      </c>
      <c r="H1275" s="1186">
        <v>45</v>
      </c>
    </row>
    <row r="1276" spans="1:8" x14ac:dyDescent="0.2">
      <c r="A1276" s="1186" t="s">
        <v>133</v>
      </c>
      <c r="B1276" s="1186" t="s">
        <v>931</v>
      </c>
      <c r="C1276" s="1186" t="s">
        <v>1985</v>
      </c>
      <c r="D1276" s="1186" t="s">
        <v>1986</v>
      </c>
      <c r="E1276" s="1186" t="s">
        <v>2035</v>
      </c>
      <c r="F1276" s="1186" t="s">
        <v>2034</v>
      </c>
      <c r="G1276" s="1186" t="s">
        <v>852</v>
      </c>
      <c r="H1276" s="1186">
        <v>20</v>
      </c>
    </row>
    <row r="1277" spans="1:8" x14ac:dyDescent="0.2">
      <c r="A1277" s="1186" t="s">
        <v>133</v>
      </c>
      <c r="B1277" s="1186" t="s">
        <v>932</v>
      </c>
      <c r="C1277" s="1186" t="s">
        <v>1985</v>
      </c>
      <c r="D1277" s="1186" t="s">
        <v>1986</v>
      </c>
      <c r="E1277" s="1186" t="s">
        <v>2031</v>
      </c>
      <c r="F1277" s="1186" t="s">
        <v>2032</v>
      </c>
      <c r="G1277" s="1186" t="s">
        <v>828</v>
      </c>
      <c r="H1277" s="1186">
        <v>5</v>
      </c>
    </row>
    <row r="1278" spans="1:8" x14ac:dyDescent="0.2">
      <c r="A1278" s="1186" t="s">
        <v>133</v>
      </c>
      <c r="B1278" s="1186" t="s">
        <v>932</v>
      </c>
      <c r="C1278" s="1186" t="s">
        <v>1985</v>
      </c>
      <c r="D1278" s="1186" t="s">
        <v>1986</v>
      </c>
      <c r="E1278" s="1186" t="s">
        <v>2031</v>
      </c>
      <c r="F1278" s="1186" t="s">
        <v>2033</v>
      </c>
      <c r="G1278" s="1186" t="s">
        <v>828</v>
      </c>
      <c r="H1278" s="1186">
        <v>71</v>
      </c>
    </row>
    <row r="1279" spans="1:8" x14ac:dyDescent="0.2">
      <c r="A1279" s="1186" t="s">
        <v>133</v>
      </c>
      <c r="B1279" s="1186" t="s">
        <v>932</v>
      </c>
      <c r="C1279" s="1186" t="s">
        <v>1985</v>
      </c>
      <c r="D1279" s="1186" t="s">
        <v>1986</v>
      </c>
      <c r="E1279" s="1186" t="s">
        <v>2031</v>
      </c>
      <c r="F1279" s="1186" t="s">
        <v>2033</v>
      </c>
      <c r="G1279" s="1186" t="s">
        <v>850</v>
      </c>
      <c r="H1279" s="1186">
        <v>4</v>
      </c>
    </row>
    <row r="1280" spans="1:8" x14ac:dyDescent="0.2">
      <c r="A1280" s="1186" t="s">
        <v>133</v>
      </c>
      <c r="B1280" s="1186" t="s">
        <v>932</v>
      </c>
      <c r="C1280" s="1186" t="s">
        <v>1985</v>
      </c>
      <c r="D1280" s="1186" t="s">
        <v>1986</v>
      </c>
      <c r="E1280" s="1186" t="s">
        <v>2031</v>
      </c>
      <c r="F1280" s="1186" t="s">
        <v>2033</v>
      </c>
      <c r="G1280" s="1186" t="s">
        <v>851</v>
      </c>
      <c r="H1280" s="1186">
        <v>3</v>
      </c>
    </row>
    <row r="1281" spans="1:8" x14ac:dyDescent="0.2">
      <c r="A1281" s="1186" t="s">
        <v>133</v>
      </c>
      <c r="B1281" s="1186" t="s">
        <v>932</v>
      </c>
      <c r="C1281" s="1186" t="s">
        <v>1985</v>
      </c>
      <c r="D1281" s="1186" t="s">
        <v>1986</v>
      </c>
      <c r="E1281" s="1186" t="s">
        <v>2031</v>
      </c>
      <c r="F1281" s="1186" t="s">
        <v>2034</v>
      </c>
      <c r="G1281" s="1186" t="s">
        <v>828</v>
      </c>
      <c r="H1281" s="1186">
        <v>34</v>
      </c>
    </row>
    <row r="1282" spans="1:8" x14ac:dyDescent="0.2">
      <c r="A1282" s="1186" t="s">
        <v>133</v>
      </c>
      <c r="B1282" s="1186" t="s">
        <v>932</v>
      </c>
      <c r="C1282" s="1186" t="s">
        <v>1985</v>
      </c>
      <c r="D1282" s="1186" t="s">
        <v>1986</v>
      </c>
      <c r="E1282" s="1186" t="s">
        <v>2031</v>
      </c>
      <c r="F1282" s="1186" t="s">
        <v>2034</v>
      </c>
      <c r="G1282" s="1186" t="s">
        <v>850</v>
      </c>
      <c r="H1282" s="1186">
        <v>4</v>
      </c>
    </row>
    <row r="1283" spans="1:8" x14ac:dyDescent="0.2">
      <c r="A1283" s="1186" t="s">
        <v>133</v>
      </c>
      <c r="B1283" s="1186" t="s">
        <v>932</v>
      </c>
      <c r="C1283" s="1186" t="s">
        <v>1985</v>
      </c>
      <c r="D1283" s="1186" t="s">
        <v>1986</v>
      </c>
      <c r="E1283" s="1186" t="s">
        <v>2031</v>
      </c>
      <c r="F1283" s="1186" t="s">
        <v>2034</v>
      </c>
      <c r="G1283" s="1186" t="s">
        <v>851</v>
      </c>
      <c r="H1283" s="1186">
        <v>1</v>
      </c>
    </row>
    <row r="1284" spans="1:8" x14ac:dyDescent="0.2">
      <c r="A1284" s="1186" t="s">
        <v>133</v>
      </c>
      <c r="B1284" s="1186" t="s">
        <v>932</v>
      </c>
      <c r="C1284" s="1186" t="s">
        <v>1985</v>
      </c>
      <c r="D1284" s="1186" t="s">
        <v>1986</v>
      </c>
      <c r="E1284" s="1186" t="s">
        <v>2035</v>
      </c>
      <c r="F1284" s="1186" t="s">
        <v>2032</v>
      </c>
      <c r="G1284" s="1186" t="s">
        <v>828</v>
      </c>
      <c r="H1284" s="1186">
        <v>11</v>
      </c>
    </row>
    <row r="1285" spans="1:8" x14ac:dyDescent="0.2">
      <c r="A1285" s="1186" t="s">
        <v>133</v>
      </c>
      <c r="B1285" s="1186" t="s">
        <v>932</v>
      </c>
      <c r="C1285" s="1186" t="s">
        <v>1985</v>
      </c>
      <c r="D1285" s="1186" t="s">
        <v>1986</v>
      </c>
      <c r="E1285" s="1186" t="s">
        <v>2035</v>
      </c>
      <c r="F1285" s="1186" t="s">
        <v>2032</v>
      </c>
      <c r="G1285" s="1186" t="s">
        <v>850</v>
      </c>
      <c r="H1285" s="1186">
        <v>1</v>
      </c>
    </row>
    <row r="1286" spans="1:8" x14ac:dyDescent="0.2">
      <c r="A1286" s="1186" t="s">
        <v>133</v>
      </c>
      <c r="B1286" s="1186" t="s">
        <v>932</v>
      </c>
      <c r="C1286" s="1186" t="s">
        <v>1985</v>
      </c>
      <c r="D1286" s="1186" t="s">
        <v>1986</v>
      </c>
      <c r="E1286" s="1186" t="s">
        <v>2035</v>
      </c>
      <c r="F1286" s="1186" t="s">
        <v>2032</v>
      </c>
      <c r="G1286" s="1186" t="s">
        <v>851</v>
      </c>
      <c r="H1286" s="1186">
        <v>13</v>
      </c>
    </row>
    <row r="1287" spans="1:8" x14ac:dyDescent="0.2">
      <c r="A1287" s="1186" t="s">
        <v>133</v>
      </c>
      <c r="B1287" s="1186" t="s">
        <v>932</v>
      </c>
      <c r="C1287" s="1186" t="s">
        <v>1985</v>
      </c>
      <c r="D1287" s="1186" t="s">
        <v>1986</v>
      </c>
      <c r="E1287" s="1186" t="s">
        <v>2035</v>
      </c>
      <c r="F1287" s="1186" t="s">
        <v>2032</v>
      </c>
      <c r="G1287" s="1186" t="s">
        <v>852</v>
      </c>
      <c r="H1287" s="1186">
        <v>6</v>
      </c>
    </row>
    <row r="1288" spans="1:8" x14ac:dyDescent="0.2">
      <c r="A1288" s="1186" t="s">
        <v>133</v>
      </c>
      <c r="B1288" s="1186" t="s">
        <v>932</v>
      </c>
      <c r="C1288" s="1186" t="s">
        <v>1985</v>
      </c>
      <c r="D1288" s="1186" t="s">
        <v>1986</v>
      </c>
      <c r="E1288" s="1186" t="s">
        <v>2035</v>
      </c>
      <c r="F1288" s="1186" t="s">
        <v>2033</v>
      </c>
      <c r="G1288" s="1186" t="s">
        <v>828</v>
      </c>
      <c r="H1288" s="1186">
        <v>41</v>
      </c>
    </row>
    <row r="1289" spans="1:8" x14ac:dyDescent="0.2">
      <c r="A1289" s="1186" t="s">
        <v>133</v>
      </c>
      <c r="B1289" s="1186" t="s">
        <v>932</v>
      </c>
      <c r="C1289" s="1186" t="s">
        <v>1985</v>
      </c>
      <c r="D1289" s="1186" t="s">
        <v>1986</v>
      </c>
      <c r="E1289" s="1186" t="s">
        <v>2035</v>
      </c>
      <c r="F1289" s="1186" t="s">
        <v>2033</v>
      </c>
      <c r="G1289" s="1186" t="s">
        <v>850</v>
      </c>
      <c r="H1289" s="1186">
        <v>4</v>
      </c>
    </row>
    <row r="1290" spans="1:8" x14ac:dyDescent="0.2">
      <c r="A1290" s="1186" t="s">
        <v>133</v>
      </c>
      <c r="B1290" s="1186" t="s">
        <v>932</v>
      </c>
      <c r="C1290" s="1186" t="s">
        <v>1985</v>
      </c>
      <c r="D1290" s="1186" t="s">
        <v>1986</v>
      </c>
      <c r="E1290" s="1186" t="s">
        <v>2035</v>
      </c>
      <c r="F1290" s="1186" t="s">
        <v>2033</v>
      </c>
      <c r="G1290" s="1186" t="s">
        <v>851</v>
      </c>
      <c r="H1290" s="1186">
        <v>166</v>
      </c>
    </row>
    <row r="1291" spans="1:8" x14ac:dyDescent="0.2">
      <c r="A1291" s="1186" t="s">
        <v>133</v>
      </c>
      <c r="B1291" s="1186" t="s">
        <v>932</v>
      </c>
      <c r="C1291" s="1186" t="s">
        <v>1985</v>
      </c>
      <c r="D1291" s="1186" t="s">
        <v>1986</v>
      </c>
      <c r="E1291" s="1186" t="s">
        <v>2035</v>
      </c>
      <c r="F1291" s="1186" t="s">
        <v>2033</v>
      </c>
      <c r="G1291" s="1186" t="s">
        <v>852</v>
      </c>
      <c r="H1291" s="1186">
        <v>24</v>
      </c>
    </row>
    <row r="1292" spans="1:8" x14ac:dyDescent="0.2">
      <c r="A1292" s="1186" t="s">
        <v>133</v>
      </c>
      <c r="B1292" s="1186" t="s">
        <v>932</v>
      </c>
      <c r="C1292" s="1186" t="s">
        <v>1985</v>
      </c>
      <c r="D1292" s="1186" t="s">
        <v>1986</v>
      </c>
      <c r="E1292" s="1186" t="s">
        <v>2035</v>
      </c>
      <c r="F1292" s="1186" t="s">
        <v>2034</v>
      </c>
      <c r="G1292" s="1186" t="s">
        <v>828</v>
      </c>
      <c r="H1292" s="1186">
        <v>51</v>
      </c>
    </row>
    <row r="1293" spans="1:8" x14ac:dyDescent="0.2">
      <c r="A1293" s="1186" t="s">
        <v>133</v>
      </c>
      <c r="B1293" s="1186" t="s">
        <v>932</v>
      </c>
      <c r="C1293" s="1186" t="s">
        <v>1985</v>
      </c>
      <c r="D1293" s="1186" t="s">
        <v>1986</v>
      </c>
      <c r="E1293" s="1186" t="s">
        <v>2035</v>
      </c>
      <c r="F1293" s="1186" t="s">
        <v>2034</v>
      </c>
      <c r="G1293" s="1186" t="s">
        <v>850</v>
      </c>
      <c r="H1293" s="1186">
        <v>22</v>
      </c>
    </row>
    <row r="1294" spans="1:8" x14ac:dyDescent="0.2">
      <c r="A1294" s="1186" t="s">
        <v>133</v>
      </c>
      <c r="B1294" s="1186" t="s">
        <v>932</v>
      </c>
      <c r="C1294" s="1186" t="s">
        <v>1985</v>
      </c>
      <c r="D1294" s="1186" t="s">
        <v>1986</v>
      </c>
      <c r="E1294" s="1186" t="s">
        <v>2035</v>
      </c>
      <c r="F1294" s="1186" t="s">
        <v>2034</v>
      </c>
      <c r="G1294" s="1186" t="s">
        <v>851</v>
      </c>
      <c r="H1294" s="1186">
        <v>31</v>
      </c>
    </row>
    <row r="1295" spans="1:8" x14ac:dyDescent="0.2">
      <c r="A1295" s="1186" t="s">
        <v>133</v>
      </c>
      <c r="B1295" s="1186" t="s">
        <v>932</v>
      </c>
      <c r="C1295" s="1186" t="s">
        <v>1985</v>
      </c>
      <c r="D1295" s="1186" t="s">
        <v>1986</v>
      </c>
      <c r="E1295" s="1186" t="s">
        <v>2035</v>
      </c>
      <c r="F1295" s="1186" t="s">
        <v>2034</v>
      </c>
      <c r="G1295" s="1186" t="s">
        <v>852</v>
      </c>
      <c r="H1295" s="1186">
        <v>19</v>
      </c>
    </row>
    <row r="1296" spans="1:8" x14ac:dyDescent="0.2">
      <c r="A1296" s="1186" t="s">
        <v>133</v>
      </c>
      <c r="B1296" s="1186" t="s">
        <v>933</v>
      </c>
      <c r="C1296" s="1186" t="s">
        <v>1987</v>
      </c>
      <c r="D1296" s="1186" t="s">
        <v>1986</v>
      </c>
      <c r="E1296" s="1186" t="s">
        <v>2031</v>
      </c>
      <c r="F1296" s="1186" t="s">
        <v>2032</v>
      </c>
      <c r="G1296" s="1186" t="s">
        <v>828</v>
      </c>
      <c r="H1296" s="1186">
        <v>2</v>
      </c>
    </row>
    <row r="1297" spans="1:8" x14ac:dyDescent="0.2">
      <c r="A1297" s="1186" t="s">
        <v>133</v>
      </c>
      <c r="B1297" s="1186" t="s">
        <v>933</v>
      </c>
      <c r="C1297" s="1186" t="s">
        <v>1987</v>
      </c>
      <c r="D1297" s="1186" t="s">
        <v>1986</v>
      </c>
      <c r="E1297" s="1186" t="s">
        <v>2031</v>
      </c>
      <c r="F1297" s="1186" t="s">
        <v>2033</v>
      </c>
      <c r="G1297" s="1186" t="s">
        <v>828</v>
      </c>
      <c r="H1297" s="1186">
        <v>86</v>
      </c>
    </row>
    <row r="1298" spans="1:8" x14ac:dyDescent="0.2">
      <c r="A1298" s="1186" t="s">
        <v>133</v>
      </c>
      <c r="B1298" s="1186" t="s">
        <v>933</v>
      </c>
      <c r="C1298" s="1186" t="s">
        <v>1987</v>
      </c>
      <c r="D1298" s="1186" t="s">
        <v>1986</v>
      </c>
      <c r="E1298" s="1186" t="s">
        <v>2031</v>
      </c>
      <c r="F1298" s="1186" t="s">
        <v>2033</v>
      </c>
      <c r="G1298" s="1186" t="s">
        <v>850</v>
      </c>
      <c r="H1298" s="1186">
        <v>7</v>
      </c>
    </row>
    <row r="1299" spans="1:8" x14ac:dyDescent="0.2">
      <c r="A1299" s="1186" t="s">
        <v>133</v>
      </c>
      <c r="B1299" s="1186" t="s">
        <v>933</v>
      </c>
      <c r="C1299" s="1186" t="s">
        <v>1987</v>
      </c>
      <c r="D1299" s="1186" t="s">
        <v>1986</v>
      </c>
      <c r="E1299" s="1186" t="s">
        <v>2031</v>
      </c>
      <c r="F1299" s="1186" t="s">
        <v>2033</v>
      </c>
      <c r="G1299" s="1186" t="s">
        <v>851</v>
      </c>
      <c r="H1299" s="1186">
        <v>3</v>
      </c>
    </row>
    <row r="1300" spans="1:8" x14ac:dyDescent="0.2">
      <c r="A1300" s="1186" t="s">
        <v>133</v>
      </c>
      <c r="B1300" s="1186" t="s">
        <v>933</v>
      </c>
      <c r="C1300" s="1186" t="s">
        <v>1987</v>
      </c>
      <c r="D1300" s="1186" t="s">
        <v>1986</v>
      </c>
      <c r="E1300" s="1186" t="s">
        <v>2031</v>
      </c>
      <c r="F1300" s="1186" t="s">
        <v>2033</v>
      </c>
      <c r="G1300" s="1186" t="s">
        <v>852</v>
      </c>
      <c r="H1300" s="1186">
        <v>1</v>
      </c>
    </row>
    <row r="1301" spans="1:8" x14ac:dyDescent="0.2">
      <c r="A1301" s="1186" t="s">
        <v>133</v>
      </c>
      <c r="B1301" s="1186" t="s">
        <v>933</v>
      </c>
      <c r="C1301" s="1186" t="s">
        <v>1987</v>
      </c>
      <c r="D1301" s="1186" t="s">
        <v>1986</v>
      </c>
      <c r="E1301" s="1186" t="s">
        <v>2031</v>
      </c>
      <c r="F1301" s="1186" t="s">
        <v>2034</v>
      </c>
      <c r="G1301" s="1186" t="s">
        <v>828</v>
      </c>
      <c r="H1301" s="1186">
        <v>14</v>
      </c>
    </row>
    <row r="1302" spans="1:8" x14ac:dyDescent="0.2">
      <c r="A1302" s="1186" t="s">
        <v>133</v>
      </c>
      <c r="B1302" s="1186" t="s">
        <v>933</v>
      </c>
      <c r="C1302" s="1186" t="s">
        <v>1987</v>
      </c>
      <c r="D1302" s="1186" t="s">
        <v>1986</v>
      </c>
      <c r="E1302" s="1186" t="s">
        <v>2031</v>
      </c>
      <c r="F1302" s="1186" t="s">
        <v>2034</v>
      </c>
      <c r="G1302" s="1186" t="s">
        <v>850</v>
      </c>
      <c r="H1302" s="1186">
        <v>1</v>
      </c>
    </row>
    <row r="1303" spans="1:8" x14ac:dyDescent="0.2">
      <c r="A1303" s="1186" t="s">
        <v>133</v>
      </c>
      <c r="B1303" s="1186" t="s">
        <v>933</v>
      </c>
      <c r="C1303" s="1186" t="s">
        <v>1987</v>
      </c>
      <c r="D1303" s="1186" t="s">
        <v>1986</v>
      </c>
      <c r="E1303" s="1186" t="s">
        <v>2035</v>
      </c>
      <c r="F1303" s="1186" t="s">
        <v>2032</v>
      </c>
      <c r="G1303" s="1186" t="s">
        <v>828</v>
      </c>
      <c r="H1303" s="1186">
        <v>12</v>
      </c>
    </row>
    <row r="1304" spans="1:8" x14ac:dyDescent="0.2">
      <c r="A1304" s="1186" t="s">
        <v>133</v>
      </c>
      <c r="B1304" s="1186" t="s">
        <v>933</v>
      </c>
      <c r="C1304" s="1186" t="s">
        <v>1987</v>
      </c>
      <c r="D1304" s="1186" t="s">
        <v>1986</v>
      </c>
      <c r="E1304" s="1186" t="s">
        <v>2035</v>
      </c>
      <c r="F1304" s="1186" t="s">
        <v>2032</v>
      </c>
      <c r="G1304" s="1186" t="s">
        <v>851</v>
      </c>
      <c r="H1304" s="1186">
        <v>15</v>
      </c>
    </row>
    <row r="1305" spans="1:8" x14ac:dyDescent="0.2">
      <c r="A1305" s="1186" t="s">
        <v>133</v>
      </c>
      <c r="B1305" s="1186" t="s">
        <v>933</v>
      </c>
      <c r="C1305" s="1186" t="s">
        <v>1987</v>
      </c>
      <c r="D1305" s="1186" t="s">
        <v>1986</v>
      </c>
      <c r="E1305" s="1186" t="s">
        <v>2035</v>
      </c>
      <c r="F1305" s="1186" t="s">
        <v>2033</v>
      </c>
      <c r="G1305" s="1186" t="s">
        <v>828</v>
      </c>
      <c r="H1305" s="1186">
        <v>58</v>
      </c>
    </row>
    <row r="1306" spans="1:8" x14ac:dyDescent="0.2">
      <c r="A1306" s="1186" t="s">
        <v>133</v>
      </c>
      <c r="B1306" s="1186" t="s">
        <v>933</v>
      </c>
      <c r="C1306" s="1186" t="s">
        <v>1987</v>
      </c>
      <c r="D1306" s="1186" t="s">
        <v>1986</v>
      </c>
      <c r="E1306" s="1186" t="s">
        <v>2035</v>
      </c>
      <c r="F1306" s="1186" t="s">
        <v>2033</v>
      </c>
      <c r="G1306" s="1186" t="s">
        <v>850</v>
      </c>
      <c r="H1306" s="1186">
        <v>10</v>
      </c>
    </row>
    <row r="1307" spans="1:8" x14ac:dyDescent="0.2">
      <c r="A1307" s="1186" t="s">
        <v>133</v>
      </c>
      <c r="B1307" s="1186" t="s">
        <v>933</v>
      </c>
      <c r="C1307" s="1186" t="s">
        <v>1987</v>
      </c>
      <c r="D1307" s="1186" t="s">
        <v>1986</v>
      </c>
      <c r="E1307" s="1186" t="s">
        <v>2035</v>
      </c>
      <c r="F1307" s="1186" t="s">
        <v>2033</v>
      </c>
      <c r="G1307" s="1186" t="s">
        <v>851</v>
      </c>
      <c r="H1307" s="1186">
        <v>200</v>
      </c>
    </row>
    <row r="1308" spans="1:8" x14ac:dyDescent="0.2">
      <c r="A1308" s="1186" t="s">
        <v>133</v>
      </c>
      <c r="B1308" s="1186" t="s">
        <v>933</v>
      </c>
      <c r="C1308" s="1186" t="s">
        <v>1987</v>
      </c>
      <c r="D1308" s="1186" t="s">
        <v>1986</v>
      </c>
      <c r="E1308" s="1186" t="s">
        <v>2035</v>
      </c>
      <c r="F1308" s="1186" t="s">
        <v>2033</v>
      </c>
      <c r="G1308" s="1186" t="s">
        <v>852</v>
      </c>
      <c r="H1308" s="1186">
        <v>11</v>
      </c>
    </row>
    <row r="1309" spans="1:8" x14ac:dyDescent="0.2">
      <c r="A1309" s="1186" t="s">
        <v>133</v>
      </c>
      <c r="B1309" s="1186" t="s">
        <v>933</v>
      </c>
      <c r="C1309" s="1186" t="s">
        <v>1987</v>
      </c>
      <c r="D1309" s="1186" t="s">
        <v>1986</v>
      </c>
      <c r="E1309" s="1186" t="s">
        <v>2035</v>
      </c>
      <c r="F1309" s="1186" t="s">
        <v>2034</v>
      </c>
      <c r="G1309" s="1186" t="s">
        <v>828</v>
      </c>
      <c r="H1309" s="1186">
        <v>86</v>
      </c>
    </row>
    <row r="1310" spans="1:8" x14ac:dyDescent="0.2">
      <c r="A1310" s="1186" t="s">
        <v>133</v>
      </c>
      <c r="B1310" s="1186" t="s">
        <v>933</v>
      </c>
      <c r="C1310" s="1186" t="s">
        <v>1987</v>
      </c>
      <c r="D1310" s="1186" t="s">
        <v>1986</v>
      </c>
      <c r="E1310" s="1186" t="s">
        <v>2035</v>
      </c>
      <c r="F1310" s="1186" t="s">
        <v>2034</v>
      </c>
      <c r="G1310" s="1186" t="s">
        <v>850</v>
      </c>
      <c r="H1310" s="1186">
        <v>50</v>
      </c>
    </row>
    <row r="1311" spans="1:8" x14ac:dyDescent="0.2">
      <c r="A1311" s="1186" t="s">
        <v>133</v>
      </c>
      <c r="B1311" s="1186" t="s">
        <v>933</v>
      </c>
      <c r="C1311" s="1186" t="s">
        <v>1987</v>
      </c>
      <c r="D1311" s="1186" t="s">
        <v>1986</v>
      </c>
      <c r="E1311" s="1186" t="s">
        <v>2035</v>
      </c>
      <c r="F1311" s="1186" t="s">
        <v>2034</v>
      </c>
      <c r="G1311" s="1186" t="s">
        <v>851</v>
      </c>
      <c r="H1311" s="1186">
        <v>48</v>
      </c>
    </row>
    <row r="1312" spans="1:8" x14ac:dyDescent="0.2">
      <c r="A1312" s="1186" t="s">
        <v>133</v>
      </c>
      <c r="B1312" s="1186" t="s">
        <v>933</v>
      </c>
      <c r="C1312" s="1186" t="s">
        <v>1987</v>
      </c>
      <c r="D1312" s="1186" t="s">
        <v>1986</v>
      </c>
      <c r="E1312" s="1186" t="s">
        <v>2035</v>
      </c>
      <c r="F1312" s="1186" t="s">
        <v>2034</v>
      </c>
      <c r="G1312" s="1186" t="s">
        <v>852</v>
      </c>
      <c r="H1312" s="1186">
        <v>11</v>
      </c>
    </row>
    <row r="1313" spans="1:8" x14ac:dyDescent="0.2">
      <c r="A1313" s="1186" t="s">
        <v>133</v>
      </c>
      <c r="B1313" s="1186" t="s">
        <v>934</v>
      </c>
      <c r="C1313" s="1186" t="s">
        <v>1987</v>
      </c>
      <c r="D1313" s="1186" t="s">
        <v>1988</v>
      </c>
      <c r="E1313" s="1186" t="s">
        <v>2031</v>
      </c>
      <c r="F1313" s="1186" t="s">
        <v>2032</v>
      </c>
      <c r="G1313" s="1186" t="s">
        <v>828</v>
      </c>
      <c r="H1313" s="1186">
        <v>6</v>
      </c>
    </row>
    <row r="1314" spans="1:8" x14ac:dyDescent="0.2">
      <c r="A1314" s="1186" t="s">
        <v>133</v>
      </c>
      <c r="B1314" s="1186" t="s">
        <v>934</v>
      </c>
      <c r="C1314" s="1186" t="s">
        <v>1987</v>
      </c>
      <c r="D1314" s="1186" t="s">
        <v>1988</v>
      </c>
      <c r="E1314" s="1186" t="s">
        <v>2031</v>
      </c>
      <c r="F1314" s="1186" t="s">
        <v>2032</v>
      </c>
      <c r="G1314" s="1186" t="s">
        <v>850</v>
      </c>
      <c r="H1314" s="1186">
        <v>2</v>
      </c>
    </row>
    <row r="1315" spans="1:8" x14ac:dyDescent="0.2">
      <c r="A1315" s="1186" t="s">
        <v>133</v>
      </c>
      <c r="B1315" s="1186" t="s">
        <v>934</v>
      </c>
      <c r="C1315" s="1186" t="s">
        <v>1987</v>
      </c>
      <c r="D1315" s="1186" t="s">
        <v>1988</v>
      </c>
      <c r="E1315" s="1186" t="s">
        <v>2031</v>
      </c>
      <c r="F1315" s="1186" t="s">
        <v>2033</v>
      </c>
      <c r="G1315" s="1186" t="s">
        <v>828</v>
      </c>
      <c r="H1315" s="1186">
        <v>84</v>
      </c>
    </row>
    <row r="1316" spans="1:8" x14ac:dyDescent="0.2">
      <c r="A1316" s="1186" t="s">
        <v>133</v>
      </c>
      <c r="B1316" s="1186" t="s">
        <v>934</v>
      </c>
      <c r="C1316" s="1186" t="s">
        <v>1987</v>
      </c>
      <c r="D1316" s="1186" t="s">
        <v>1988</v>
      </c>
      <c r="E1316" s="1186" t="s">
        <v>2031</v>
      </c>
      <c r="F1316" s="1186" t="s">
        <v>2033</v>
      </c>
      <c r="G1316" s="1186" t="s">
        <v>850</v>
      </c>
      <c r="H1316" s="1186">
        <v>9</v>
      </c>
    </row>
    <row r="1317" spans="1:8" x14ac:dyDescent="0.2">
      <c r="A1317" s="1186" t="s">
        <v>133</v>
      </c>
      <c r="B1317" s="1186" t="s">
        <v>934</v>
      </c>
      <c r="C1317" s="1186" t="s">
        <v>1987</v>
      </c>
      <c r="D1317" s="1186" t="s">
        <v>1988</v>
      </c>
      <c r="E1317" s="1186" t="s">
        <v>2031</v>
      </c>
      <c r="F1317" s="1186" t="s">
        <v>2033</v>
      </c>
      <c r="G1317" s="1186" t="s">
        <v>851</v>
      </c>
      <c r="H1317" s="1186">
        <v>1</v>
      </c>
    </row>
    <row r="1318" spans="1:8" x14ac:dyDescent="0.2">
      <c r="A1318" s="1186" t="s">
        <v>133</v>
      </c>
      <c r="B1318" s="1186" t="s">
        <v>934</v>
      </c>
      <c r="C1318" s="1186" t="s">
        <v>1987</v>
      </c>
      <c r="D1318" s="1186" t="s">
        <v>1988</v>
      </c>
      <c r="E1318" s="1186" t="s">
        <v>2031</v>
      </c>
      <c r="F1318" s="1186" t="s">
        <v>2033</v>
      </c>
      <c r="G1318" s="1186" t="s">
        <v>852</v>
      </c>
      <c r="H1318" s="1186">
        <v>1</v>
      </c>
    </row>
    <row r="1319" spans="1:8" x14ac:dyDescent="0.2">
      <c r="A1319" s="1186" t="s">
        <v>133</v>
      </c>
      <c r="B1319" s="1186" t="s">
        <v>934</v>
      </c>
      <c r="C1319" s="1186" t="s">
        <v>1987</v>
      </c>
      <c r="D1319" s="1186" t="s">
        <v>1988</v>
      </c>
      <c r="E1319" s="1186" t="s">
        <v>2031</v>
      </c>
      <c r="F1319" s="1186" t="s">
        <v>2034</v>
      </c>
      <c r="G1319" s="1186" t="s">
        <v>828</v>
      </c>
      <c r="H1319" s="1186">
        <v>20</v>
      </c>
    </row>
    <row r="1320" spans="1:8" x14ac:dyDescent="0.2">
      <c r="A1320" s="1186" t="s">
        <v>133</v>
      </c>
      <c r="B1320" s="1186" t="s">
        <v>934</v>
      </c>
      <c r="C1320" s="1186" t="s">
        <v>1987</v>
      </c>
      <c r="D1320" s="1186" t="s">
        <v>1988</v>
      </c>
      <c r="E1320" s="1186" t="s">
        <v>2031</v>
      </c>
      <c r="F1320" s="1186" t="s">
        <v>2034</v>
      </c>
      <c r="G1320" s="1186" t="s">
        <v>850</v>
      </c>
      <c r="H1320" s="1186">
        <v>2</v>
      </c>
    </row>
    <row r="1321" spans="1:8" x14ac:dyDescent="0.2">
      <c r="A1321" s="1186" t="s">
        <v>133</v>
      </c>
      <c r="B1321" s="1186" t="s">
        <v>934</v>
      </c>
      <c r="C1321" s="1186" t="s">
        <v>1987</v>
      </c>
      <c r="D1321" s="1186" t="s">
        <v>1988</v>
      </c>
      <c r="E1321" s="1186" t="s">
        <v>2035</v>
      </c>
      <c r="F1321" s="1186" t="s">
        <v>2032</v>
      </c>
      <c r="G1321" s="1186" t="s">
        <v>828</v>
      </c>
      <c r="H1321" s="1186">
        <v>10</v>
      </c>
    </row>
    <row r="1322" spans="1:8" x14ac:dyDescent="0.2">
      <c r="A1322" s="1186" t="s">
        <v>133</v>
      </c>
      <c r="B1322" s="1186" t="s">
        <v>934</v>
      </c>
      <c r="C1322" s="1186" t="s">
        <v>1987</v>
      </c>
      <c r="D1322" s="1186" t="s">
        <v>1988</v>
      </c>
      <c r="E1322" s="1186" t="s">
        <v>2035</v>
      </c>
      <c r="F1322" s="1186" t="s">
        <v>2032</v>
      </c>
      <c r="G1322" s="1186" t="s">
        <v>850</v>
      </c>
      <c r="H1322" s="1186">
        <v>1</v>
      </c>
    </row>
    <row r="1323" spans="1:8" x14ac:dyDescent="0.2">
      <c r="A1323" s="1186" t="s">
        <v>133</v>
      </c>
      <c r="B1323" s="1186" t="s">
        <v>934</v>
      </c>
      <c r="C1323" s="1186" t="s">
        <v>1987</v>
      </c>
      <c r="D1323" s="1186" t="s">
        <v>1988</v>
      </c>
      <c r="E1323" s="1186" t="s">
        <v>2035</v>
      </c>
      <c r="F1323" s="1186" t="s">
        <v>2032</v>
      </c>
      <c r="G1323" s="1186" t="s">
        <v>851</v>
      </c>
      <c r="H1323" s="1186">
        <v>9</v>
      </c>
    </row>
    <row r="1324" spans="1:8" x14ac:dyDescent="0.2">
      <c r="A1324" s="1186" t="s">
        <v>133</v>
      </c>
      <c r="B1324" s="1186" t="s">
        <v>934</v>
      </c>
      <c r="C1324" s="1186" t="s">
        <v>1987</v>
      </c>
      <c r="D1324" s="1186" t="s">
        <v>1988</v>
      </c>
      <c r="E1324" s="1186" t="s">
        <v>2035</v>
      </c>
      <c r="F1324" s="1186" t="s">
        <v>2032</v>
      </c>
      <c r="G1324" s="1186" t="s">
        <v>852</v>
      </c>
      <c r="H1324" s="1186">
        <v>6</v>
      </c>
    </row>
    <row r="1325" spans="1:8" x14ac:dyDescent="0.2">
      <c r="A1325" s="1186" t="s">
        <v>133</v>
      </c>
      <c r="B1325" s="1186" t="s">
        <v>934</v>
      </c>
      <c r="C1325" s="1186" t="s">
        <v>1987</v>
      </c>
      <c r="D1325" s="1186" t="s">
        <v>1988</v>
      </c>
      <c r="E1325" s="1186" t="s">
        <v>2035</v>
      </c>
      <c r="F1325" s="1186" t="s">
        <v>2033</v>
      </c>
      <c r="G1325" s="1186" t="s">
        <v>828</v>
      </c>
      <c r="H1325" s="1186">
        <v>74</v>
      </c>
    </row>
    <row r="1326" spans="1:8" x14ac:dyDescent="0.2">
      <c r="A1326" s="1186" t="s">
        <v>133</v>
      </c>
      <c r="B1326" s="1186" t="s">
        <v>934</v>
      </c>
      <c r="C1326" s="1186" t="s">
        <v>1987</v>
      </c>
      <c r="D1326" s="1186" t="s">
        <v>1988</v>
      </c>
      <c r="E1326" s="1186" t="s">
        <v>2035</v>
      </c>
      <c r="F1326" s="1186" t="s">
        <v>2033</v>
      </c>
      <c r="G1326" s="1186" t="s">
        <v>850</v>
      </c>
      <c r="H1326" s="1186">
        <v>11</v>
      </c>
    </row>
    <row r="1327" spans="1:8" x14ac:dyDescent="0.2">
      <c r="A1327" s="1186" t="s">
        <v>133</v>
      </c>
      <c r="B1327" s="1186" t="s">
        <v>934</v>
      </c>
      <c r="C1327" s="1186" t="s">
        <v>1987</v>
      </c>
      <c r="D1327" s="1186" t="s">
        <v>1988</v>
      </c>
      <c r="E1327" s="1186" t="s">
        <v>2035</v>
      </c>
      <c r="F1327" s="1186" t="s">
        <v>2033</v>
      </c>
      <c r="G1327" s="1186" t="s">
        <v>851</v>
      </c>
      <c r="H1327" s="1186">
        <v>156</v>
      </c>
    </row>
    <row r="1328" spans="1:8" x14ac:dyDescent="0.2">
      <c r="A1328" s="1186" t="s">
        <v>133</v>
      </c>
      <c r="B1328" s="1186" t="s">
        <v>934</v>
      </c>
      <c r="C1328" s="1186" t="s">
        <v>1987</v>
      </c>
      <c r="D1328" s="1186" t="s">
        <v>1988</v>
      </c>
      <c r="E1328" s="1186" t="s">
        <v>2035</v>
      </c>
      <c r="F1328" s="1186" t="s">
        <v>2033</v>
      </c>
      <c r="G1328" s="1186" t="s">
        <v>852</v>
      </c>
      <c r="H1328" s="1186">
        <v>21</v>
      </c>
    </row>
    <row r="1329" spans="1:8" x14ac:dyDescent="0.2">
      <c r="A1329" s="1186" t="s">
        <v>133</v>
      </c>
      <c r="B1329" s="1186" t="s">
        <v>934</v>
      </c>
      <c r="C1329" s="1186" t="s">
        <v>1987</v>
      </c>
      <c r="D1329" s="1186" t="s">
        <v>1988</v>
      </c>
      <c r="E1329" s="1186" t="s">
        <v>2035</v>
      </c>
      <c r="F1329" s="1186" t="s">
        <v>2034</v>
      </c>
      <c r="G1329" s="1186" t="s">
        <v>828</v>
      </c>
      <c r="H1329" s="1186">
        <v>82</v>
      </c>
    </row>
    <row r="1330" spans="1:8" x14ac:dyDescent="0.2">
      <c r="A1330" s="1186" t="s">
        <v>133</v>
      </c>
      <c r="B1330" s="1186" t="s">
        <v>934</v>
      </c>
      <c r="C1330" s="1186" t="s">
        <v>1987</v>
      </c>
      <c r="D1330" s="1186" t="s">
        <v>1988</v>
      </c>
      <c r="E1330" s="1186" t="s">
        <v>2035</v>
      </c>
      <c r="F1330" s="1186" t="s">
        <v>2034</v>
      </c>
      <c r="G1330" s="1186" t="s">
        <v>850</v>
      </c>
      <c r="H1330" s="1186">
        <v>10</v>
      </c>
    </row>
    <row r="1331" spans="1:8" x14ac:dyDescent="0.2">
      <c r="A1331" s="1186" t="s">
        <v>133</v>
      </c>
      <c r="B1331" s="1186" t="s">
        <v>934</v>
      </c>
      <c r="C1331" s="1186" t="s">
        <v>1987</v>
      </c>
      <c r="D1331" s="1186" t="s">
        <v>1988</v>
      </c>
      <c r="E1331" s="1186" t="s">
        <v>2035</v>
      </c>
      <c r="F1331" s="1186" t="s">
        <v>2034</v>
      </c>
      <c r="G1331" s="1186" t="s">
        <v>851</v>
      </c>
      <c r="H1331" s="1186">
        <v>40</v>
      </c>
    </row>
    <row r="1332" spans="1:8" x14ac:dyDescent="0.2">
      <c r="A1332" s="1186" t="s">
        <v>133</v>
      </c>
      <c r="B1332" s="1186" t="s">
        <v>934</v>
      </c>
      <c r="C1332" s="1186" t="s">
        <v>1987</v>
      </c>
      <c r="D1332" s="1186" t="s">
        <v>1988</v>
      </c>
      <c r="E1332" s="1186" t="s">
        <v>2035</v>
      </c>
      <c r="F1332" s="1186" t="s">
        <v>2034</v>
      </c>
      <c r="G1332" s="1186" t="s">
        <v>852</v>
      </c>
      <c r="H1332" s="1186">
        <v>13</v>
      </c>
    </row>
    <row r="1333" spans="1:8" x14ac:dyDescent="0.2">
      <c r="A1333" s="1186" t="s">
        <v>133</v>
      </c>
      <c r="B1333" s="1186" t="s">
        <v>935</v>
      </c>
      <c r="C1333" s="1186" t="s">
        <v>1987</v>
      </c>
      <c r="D1333" s="1186" t="s">
        <v>1988</v>
      </c>
      <c r="E1333" s="1186" t="s">
        <v>2031</v>
      </c>
      <c r="F1333" s="1186" t="s">
        <v>2032</v>
      </c>
      <c r="G1333" s="1186" t="s">
        <v>828</v>
      </c>
      <c r="H1333" s="1186">
        <v>3</v>
      </c>
    </row>
    <row r="1334" spans="1:8" x14ac:dyDescent="0.2">
      <c r="A1334" s="1186" t="s">
        <v>133</v>
      </c>
      <c r="B1334" s="1186" t="s">
        <v>935</v>
      </c>
      <c r="C1334" s="1186" t="s">
        <v>1987</v>
      </c>
      <c r="D1334" s="1186" t="s">
        <v>1988</v>
      </c>
      <c r="E1334" s="1186" t="s">
        <v>2031</v>
      </c>
      <c r="F1334" s="1186" t="s">
        <v>2032</v>
      </c>
      <c r="G1334" s="1186" t="s">
        <v>850</v>
      </c>
      <c r="H1334" s="1186">
        <v>2</v>
      </c>
    </row>
    <row r="1335" spans="1:8" x14ac:dyDescent="0.2">
      <c r="A1335" s="1186" t="s">
        <v>133</v>
      </c>
      <c r="B1335" s="1186" t="s">
        <v>935</v>
      </c>
      <c r="C1335" s="1186" t="s">
        <v>1987</v>
      </c>
      <c r="D1335" s="1186" t="s">
        <v>1988</v>
      </c>
      <c r="E1335" s="1186" t="s">
        <v>2031</v>
      </c>
      <c r="F1335" s="1186" t="s">
        <v>2033</v>
      </c>
      <c r="G1335" s="1186" t="s">
        <v>828</v>
      </c>
      <c r="H1335" s="1186">
        <v>72</v>
      </c>
    </row>
    <row r="1336" spans="1:8" x14ac:dyDescent="0.2">
      <c r="A1336" s="1186" t="s">
        <v>133</v>
      </c>
      <c r="B1336" s="1186" t="s">
        <v>935</v>
      </c>
      <c r="C1336" s="1186" t="s">
        <v>1987</v>
      </c>
      <c r="D1336" s="1186" t="s">
        <v>1988</v>
      </c>
      <c r="E1336" s="1186" t="s">
        <v>2031</v>
      </c>
      <c r="F1336" s="1186" t="s">
        <v>2033</v>
      </c>
      <c r="G1336" s="1186" t="s">
        <v>850</v>
      </c>
      <c r="H1336" s="1186">
        <v>7</v>
      </c>
    </row>
    <row r="1337" spans="1:8" x14ac:dyDescent="0.2">
      <c r="A1337" s="1186" t="s">
        <v>133</v>
      </c>
      <c r="B1337" s="1186" t="s">
        <v>935</v>
      </c>
      <c r="C1337" s="1186" t="s">
        <v>1987</v>
      </c>
      <c r="D1337" s="1186" t="s">
        <v>1988</v>
      </c>
      <c r="E1337" s="1186" t="s">
        <v>2031</v>
      </c>
      <c r="F1337" s="1186" t="s">
        <v>2033</v>
      </c>
      <c r="G1337" s="1186" t="s">
        <v>851</v>
      </c>
      <c r="H1337" s="1186">
        <v>6</v>
      </c>
    </row>
    <row r="1338" spans="1:8" x14ac:dyDescent="0.2">
      <c r="A1338" s="1186" t="s">
        <v>133</v>
      </c>
      <c r="B1338" s="1186" t="s">
        <v>935</v>
      </c>
      <c r="C1338" s="1186" t="s">
        <v>1987</v>
      </c>
      <c r="D1338" s="1186" t="s">
        <v>1988</v>
      </c>
      <c r="E1338" s="1186" t="s">
        <v>2031</v>
      </c>
      <c r="F1338" s="1186" t="s">
        <v>2033</v>
      </c>
      <c r="G1338" s="1186" t="s">
        <v>852</v>
      </c>
      <c r="H1338" s="1186">
        <v>2</v>
      </c>
    </row>
    <row r="1339" spans="1:8" x14ac:dyDescent="0.2">
      <c r="A1339" s="1186" t="s">
        <v>133</v>
      </c>
      <c r="B1339" s="1186" t="s">
        <v>935</v>
      </c>
      <c r="C1339" s="1186" t="s">
        <v>1987</v>
      </c>
      <c r="D1339" s="1186" t="s">
        <v>1988</v>
      </c>
      <c r="E1339" s="1186" t="s">
        <v>2031</v>
      </c>
      <c r="F1339" s="1186" t="s">
        <v>2034</v>
      </c>
      <c r="G1339" s="1186" t="s">
        <v>828</v>
      </c>
      <c r="H1339" s="1186">
        <v>8</v>
      </c>
    </row>
    <row r="1340" spans="1:8" x14ac:dyDescent="0.2">
      <c r="A1340" s="1186" t="s">
        <v>133</v>
      </c>
      <c r="B1340" s="1186" t="s">
        <v>935</v>
      </c>
      <c r="C1340" s="1186" t="s">
        <v>1987</v>
      </c>
      <c r="D1340" s="1186" t="s">
        <v>1988</v>
      </c>
      <c r="E1340" s="1186" t="s">
        <v>2031</v>
      </c>
      <c r="F1340" s="1186" t="s">
        <v>2034</v>
      </c>
      <c r="G1340" s="1186" t="s">
        <v>850</v>
      </c>
      <c r="H1340" s="1186">
        <v>1</v>
      </c>
    </row>
    <row r="1341" spans="1:8" x14ac:dyDescent="0.2">
      <c r="A1341" s="1186" t="s">
        <v>133</v>
      </c>
      <c r="B1341" s="1186" t="s">
        <v>935</v>
      </c>
      <c r="C1341" s="1186" t="s">
        <v>1987</v>
      </c>
      <c r="D1341" s="1186" t="s">
        <v>1988</v>
      </c>
      <c r="E1341" s="1186" t="s">
        <v>2031</v>
      </c>
      <c r="F1341" s="1186" t="s">
        <v>2034</v>
      </c>
      <c r="G1341" s="1186" t="s">
        <v>851</v>
      </c>
      <c r="H1341" s="1186">
        <v>1</v>
      </c>
    </row>
    <row r="1342" spans="1:8" x14ac:dyDescent="0.2">
      <c r="A1342" s="1186" t="s">
        <v>133</v>
      </c>
      <c r="B1342" s="1186" t="s">
        <v>935</v>
      </c>
      <c r="C1342" s="1186" t="s">
        <v>1987</v>
      </c>
      <c r="D1342" s="1186" t="s">
        <v>1988</v>
      </c>
      <c r="E1342" s="1186" t="s">
        <v>2035</v>
      </c>
      <c r="F1342" s="1186" t="s">
        <v>2032</v>
      </c>
      <c r="G1342" s="1186" t="s">
        <v>828</v>
      </c>
      <c r="H1342" s="1186">
        <v>18</v>
      </c>
    </row>
    <row r="1343" spans="1:8" x14ac:dyDescent="0.2">
      <c r="A1343" s="1186" t="s">
        <v>133</v>
      </c>
      <c r="B1343" s="1186" t="s">
        <v>935</v>
      </c>
      <c r="C1343" s="1186" t="s">
        <v>1987</v>
      </c>
      <c r="D1343" s="1186" t="s">
        <v>1988</v>
      </c>
      <c r="E1343" s="1186" t="s">
        <v>2035</v>
      </c>
      <c r="F1343" s="1186" t="s">
        <v>2032</v>
      </c>
      <c r="G1343" s="1186" t="s">
        <v>850</v>
      </c>
      <c r="H1343" s="1186">
        <v>2</v>
      </c>
    </row>
    <row r="1344" spans="1:8" x14ac:dyDescent="0.2">
      <c r="A1344" s="1186" t="s">
        <v>133</v>
      </c>
      <c r="B1344" s="1186" t="s">
        <v>935</v>
      </c>
      <c r="C1344" s="1186" t="s">
        <v>1987</v>
      </c>
      <c r="D1344" s="1186" t="s">
        <v>1988</v>
      </c>
      <c r="E1344" s="1186" t="s">
        <v>2035</v>
      </c>
      <c r="F1344" s="1186" t="s">
        <v>2032</v>
      </c>
      <c r="G1344" s="1186" t="s">
        <v>851</v>
      </c>
      <c r="H1344" s="1186">
        <v>9</v>
      </c>
    </row>
    <row r="1345" spans="1:8" x14ac:dyDescent="0.2">
      <c r="A1345" s="1186" t="s">
        <v>133</v>
      </c>
      <c r="B1345" s="1186" t="s">
        <v>935</v>
      </c>
      <c r="C1345" s="1186" t="s">
        <v>1987</v>
      </c>
      <c r="D1345" s="1186" t="s">
        <v>1988</v>
      </c>
      <c r="E1345" s="1186" t="s">
        <v>2035</v>
      </c>
      <c r="F1345" s="1186" t="s">
        <v>2032</v>
      </c>
      <c r="G1345" s="1186" t="s">
        <v>852</v>
      </c>
      <c r="H1345" s="1186">
        <v>1</v>
      </c>
    </row>
    <row r="1346" spans="1:8" x14ac:dyDescent="0.2">
      <c r="A1346" s="1186" t="s">
        <v>133</v>
      </c>
      <c r="B1346" s="1186" t="s">
        <v>935</v>
      </c>
      <c r="C1346" s="1186" t="s">
        <v>1987</v>
      </c>
      <c r="D1346" s="1186" t="s">
        <v>1988</v>
      </c>
      <c r="E1346" s="1186" t="s">
        <v>2035</v>
      </c>
      <c r="F1346" s="1186" t="s">
        <v>2033</v>
      </c>
      <c r="G1346" s="1186" t="s">
        <v>828</v>
      </c>
      <c r="H1346" s="1186">
        <v>75</v>
      </c>
    </row>
    <row r="1347" spans="1:8" x14ac:dyDescent="0.2">
      <c r="A1347" s="1186" t="s">
        <v>133</v>
      </c>
      <c r="B1347" s="1186" t="s">
        <v>935</v>
      </c>
      <c r="C1347" s="1186" t="s">
        <v>1987</v>
      </c>
      <c r="D1347" s="1186" t="s">
        <v>1988</v>
      </c>
      <c r="E1347" s="1186" t="s">
        <v>2035</v>
      </c>
      <c r="F1347" s="1186" t="s">
        <v>2033</v>
      </c>
      <c r="G1347" s="1186" t="s">
        <v>850</v>
      </c>
      <c r="H1347" s="1186">
        <v>12</v>
      </c>
    </row>
    <row r="1348" spans="1:8" x14ac:dyDescent="0.2">
      <c r="A1348" s="1186" t="s">
        <v>133</v>
      </c>
      <c r="B1348" s="1186" t="s">
        <v>935</v>
      </c>
      <c r="C1348" s="1186" t="s">
        <v>1987</v>
      </c>
      <c r="D1348" s="1186" t="s">
        <v>1988</v>
      </c>
      <c r="E1348" s="1186" t="s">
        <v>2035</v>
      </c>
      <c r="F1348" s="1186" t="s">
        <v>2033</v>
      </c>
      <c r="G1348" s="1186" t="s">
        <v>851</v>
      </c>
      <c r="H1348" s="1186">
        <v>158</v>
      </c>
    </row>
    <row r="1349" spans="1:8" x14ac:dyDescent="0.2">
      <c r="A1349" s="1186" t="s">
        <v>133</v>
      </c>
      <c r="B1349" s="1186" t="s">
        <v>935</v>
      </c>
      <c r="C1349" s="1186" t="s">
        <v>1987</v>
      </c>
      <c r="D1349" s="1186" t="s">
        <v>1988</v>
      </c>
      <c r="E1349" s="1186" t="s">
        <v>2035</v>
      </c>
      <c r="F1349" s="1186" t="s">
        <v>2033</v>
      </c>
      <c r="G1349" s="1186" t="s">
        <v>852</v>
      </c>
      <c r="H1349" s="1186">
        <v>16</v>
      </c>
    </row>
    <row r="1350" spans="1:8" x14ac:dyDescent="0.2">
      <c r="A1350" s="1186" t="s">
        <v>133</v>
      </c>
      <c r="B1350" s="1186" t="s">
        <v>935</v>
      </c>
      <c r="C1350" s="1186" t="s">
        <v>1987</v>
      </c>
      <c r="D1350" s="1186" t="s">
        <v>1988</v>
      </c>
      <c r="E1350" s="1186" t="s">
        <v>2035</v>
      </c>
      <c r="F1350" s="1186" t="s">
        <v>2034</v>
      </c>
      <c r="G1350" s="1186" t="s">
        <v>828</v>
      </c>
      <c r="H1350" s="1186">
        <v>79</v>
      </c>
    </row>
    <row r="1351" spans="1:8" x14ac:dyDescent="0.2">
      <c r="A1351" s="1186" t="s">
        <v>133</v>
      </c>
      <c r="B1351" s="1186" t="s">
        <v>935</v>
      </c>
      <c r="C1351" s="1186" t="s">
        <v>1987</v>
      </c>
      <c r="D1351" s="1186" t="s">
        <v>1988</v>
      </c>
      <c r="E1351" s="1186" t="s">
        <v>2035</v>
      </c>
      <c r="F1351" s="1186" t="s">
        <v>2034</v>
      </c>
      <c r="G1351" s="1186" t="s">
        <v>850</v>
      </c>
      <c r="H1351" s="1186">
        <v>22</v>
      </c>
    </row>
    <row r="1352" spans="1:8" x14ac:dyDescent="0.2">
      <c r="A1352" s="1186" t="s">
        <v>133</v>
      </c>
      <c r="B1352" s="1186" t="s">
        <v>935</v>
      </c>
      <c r="C1352" s="1186" t="s">
        <v>1987</v>
      </c>
      <c r="D1352" s="1186" t="s">
        <v>1988</v>
      </c>
      <c r="E1352" s="1186" t="s">
        <v>2035</v>
      </c>
      <c r="F1352" s="1186" t="s">
        <v>2034</v>
      </c>
      <c r="G1352" s="1186" t="s">
        <v>851</v>
      </c>
      <c r="H1352" s="1186">
        <v>22</v>
      </c>
    </row>
    <row r="1353" spans="1:8" x14ac:dyDescent="0.2">
      <c r="A1353" s="1186" t="s">
        <v>133</v>
      </c>
      <c r="B1353" s="1186" t="s">
        <v>935</v>
      </c>
      <c r="C1353" s="1186" t="s">
        <v>1987</v>
      </c>
      <c r="D1353" s="1186" t="s">
        <v>1988</v>
      </c>
      <c r="E1353" s="1186" t="s">
        <v>2035</v>
      </c>
      <c r="F1353" s="1186" t="s">
        <v>2034</v>
      </c>
      <c r="G1353" s="1186" t="s">
        <v>852</v>
      </c>
      <c r="H1353" s="1186">
        <v>10</v>
      </c>
    </row>
    <row r="1354" spans="1:8" x14ac:dyDescent="0.2">
      <c r="A1354" s="1186" t="s">
        <v>133</v>
      </c>
      <c r="B1354" s="1186" t="s">
        <v>936</v>
      </c>
      <c r="C1354" s="1186" t="s">
        <v>1981</v>
      </c>
      <c r="D1354" s="1186" t="s">
        <v>1988</v>
      </c>
      <c r="E1354" s="1186" t="s">
        <v>2031</v>
      </c>
      <c r="F1354" s="1186" t="s">
        <v>2032</v>
      </c>
      <c r="G1354" s="1186" t="s">
        <v>828</v>
      </c>
      <c r="H1354" s="1186">
        <v>5</v>
      </c>
    </row>
    <row r="1355" spans="1:8" x14ac:dyDescent="0.2">
      <c r="A1355" s="1186" t="s">
        <v>133</v>
      </c>
      <c r="B1355" s="1186" t="s">
        <v>936</v>
      </c>
      <c r="C1355" s="1186" t="s">
        <v>1981</v>
      </c>
      <c r="D1355" s="1186" t="s">
        <v>1988</v>
      </c>
      <c r="E1355" s="1186" t="s">
        <v>2031</v>
      </c>
      <c r="F1355" s="1186" t="s">
        <v>2032</v>
      </c>
      <c r="G1355" s="1186" t="s">
        <v>852</v>
      </c>
      <c r="H1355" s="1186">
        <v>1</v>
      </c>
    </row>
    <row r="1356" spans="1:8" x14ac:dyDescent="0.2">
      <c r="A1356" s="1186" t="s">
        <v>133</v>
      </c>
      <c r="B1356" s="1186" t="s">
        <v>936</v>
      </c>
      <c r="C1356" s="1186" t="s">
        <v>1981</v>
      </c>
      <c r="D1356" s="1186" t="s">
        <v>1988</v>
      </c>
      <c r="E1356" s="1186" t="s">
        <v>2031</v>
      </c>
      <c r="F1356" s="1186" t="s">
        <v>2033</v>
      </c>
      <c r="G1356" s="1186" t="s">
        <v>828</v>
      </c>
      <c r="H1356" s="1186">
        <v>100</v>
      </c>
    </row>
    <row r="1357" spans="1:8" x14ac:dyDescent="0.2">
      <c r="A1357" s="1186" t="s">
        <v>133</v>
      </c>
      <c r="B1357" s="1186" t="s">
        <v>936</v>
      </c>
      <c r="C1357" s="1186" t="s">
        <v>1981</v>
      </c>
      <c r="D1357" s="1186" t="s">
        <v>1988</v>
      </c>
      <c r="E1357" s="1186" t="s">
        <v>2031</v>
      </c>
      <c r="F1357" s="1186" t="s">
        <v>2033</v>
      </c>
      <c r="G1357" s="1186" t="s">
        <v>850</v>
      </c>
      <c r="H1357" s="1186">
        <v>5</v>
      </c>
    </row>
    <row r="1358" spans="1:8" x14ac:dyDescent="0.2">
      <c r="A1358" s="1186" t="s">
        <v>133</v>
      </c>
      <c r="B1358" s="1186" t="s">
        <v>936</v>
      </c>
      <c r="C1358" s="1186" t="s">
        <v>1981</v>
      </c>
      <c r="D1358" s="1186" t="s">
        <v>1988</v>
      </c>
      <c r="E1358" s="1186" t="s">
        <v>2031</v>
      </c>
      <c r="F1358" s="1186" t="s">
        <v>2033</v>
      </c>
      <c r="G1358" s="1186" t="s">
        <v>851</v>
      </c>
      <c r="H1358" s="1186">
        <v>3</v>
      </c>
    </row>
    <row r="1359" spans="1:8" x14ac:dyDescent="0.2">
      <c r="A1359" s="1186" t="s">
        <v>133</v>
      </c>
      <c r="B1359" s="1186" t="s">
        <v>936</v>
      </c>
      <c r="C1359" s="1186" t="s">
        <v>1981</v>
      </c>
      <c r="D1359" s="1186" t="s">
        <v>1988</v>
      </c>
      <c r="E1359" s="1186" t="s">
        <v>2031</v>
      </c>
      <c r="F1359" s="1186" t="s">
        <v>2033</v>
      </c>
      <c r="G1359" s="1186" t="s">
        <v>852</v>
      </c>
      <c r="H1359" s="1186">
        <v>1</v>
      </c>
    </row>
    <row r="1360" spans="1:8" x14ac:dyDescent="0.2">
      <c r="A1360" s="1186" t="s">
        <v>133</v>
      </c>
      <c r="B1360" s="1186" t="s">
        <v>936</v>
      </c>
      <c r="C1360" s="1186" t="s">
        <v>1981</v>
      </c>
      <c r="D1360" s="1186" t="s">
        <v>1988</v>
      </c>
      <c r="E1360" s="1186" t="s">
        <v>2031</v>
      </c>
      <c r="F1360" s="1186" t="s">
        <v>2034</v>
      </c>
      <c r="G1360" s="1186" t="s">
        <v>828</v>
      </c>
      <c r="H1360" s="1186">
        <v>21</v>
      </c>
    </row>
    <row r="1361" spans="1:8" x14ac:dyDescent="0.2">
      <c r="A1361" s="1186" t="s">
        <v>133</v>
      </c>
      <c r="B1361" s="1186" t="s">
        <v>936</v>
      </c>
      <c r="C1361" s="1186" t="s">
        <v>1981</v>
      </c>
      <c r="D1361" s="1186" t="s">
        <v>1988</v>
      </c>
      <c r="E1361" s="1186" t="s">
        <v>2031</v>
      </c>
      <c r="F1361" s="1186" t="s">
        <v>2034</v>
      </c>
      <c r="G1361" s="1186" t="s">
        <v>851</v>
      </c>
      <c r="H1361" s="1186">
        <v>1</v>
      </c>
    </row>
    <row r="1362" spans="1:8" x14ac:dyDescent="0.2">
      <c r="A1362" s="1186" t="s">
        <v>133</v>
      </c>
      <c r="B1362" s="1186" t="s">
        <v>936</v>
      </c>
      <c r="C1362" s="1186" t="s">
        <v>1981</v>
      </c>
      <c r="D1362" s="1186" t="s">
        <v>1988</v>
      </c>
      <c r="E1362" s="1186" t="s">
        <v>2035</v>
      </c>
      <c r="F1362" s="1186" t="s">
        <v>2032</v>
      </c>
      <c r="G1362" s="1186" t="s">
        <v>828</v>
      </c>
      <c r="H1362" s="1186">
        <v>15</v>
      </c>
    </row>
    <row r="1363" spans="1:8" x14ac:dyDescent="0.2">
      <c r="A1363" s="1186" t="s">
        <v>133</v>
      </c>
      <c r="B1363" s="1186" t="s">
        <v>936</v>
      </c>
      <c r="C1363" s="1186" t="s">
        <v>1981</v>
      </c>
      <c r="D1363" s="1186" t="s">
        <v>1988</v>
      </c>
      <c r="E1363" s="1186" t="s">
        <v>2035</v>
      </c>
      <c r="F1363" s="1186" t="s">
        <v>2032</v>
      </c>
      <c r="G1363" s="1186" t="s">
        <v>850</v>
      </c>
      <c r="H1363" s="1186">
        <v>2</v>
      </c>
    </row>
    <row r="1364" spans="1:8" x14ac:dyDescent="0.2">
      <c r="A1364" s="1186" t="s">
        <v>133</v>
      </c>
      <c r="B1364" s="1186" t="s">
        <v>936</v>
      </c>
      <c r="C1364" s="1186" t="s">
        <v>1981</v>
      </c>
      <c r="D1364" s="1186" t="s">
        <v>1988</v>
      </c>
      <c r="E1364" s="1186" t="s">
        <v>2035</v>
      </c>
      <c r="F1364" s="1186" t="s">
        <v>2032</v>
      </c>
      <c r="G1364" s="1186" t="s">
        <v>851</v>
      </c>
      <c r="H1364" s="1186">
        <v>5</v>
      </c>
    </row>
    <row r="1365" spans="1:8" x14ac:dyDescent="0.2">
      <c r="A1365" s="1186" t="s">
        <v>133</v>
      </c>
      <c r="B1365" s="1186" t="s">
        <v>936</v>
      </c>
      <c r="C1365" s="1186" t="s">
        <v>1981</v>
      </c>
      <c r="D1365" s="1186" t="s">
        <v>1988</v>
      </c>
      <c r="E1365" s="1186" t="s">
        <v>2035</v>
      </c>
      <c r="F1365" s="1186" t="s">
        <v>2032</v>
      </c>
      <c r="G1365" s="1186" t="s">
        <v>852</v>
      </c>
      <c r="H1365" s="1186">
        <v>3</v>
      </c>
    </row>
    <row r="1366" spans="1:8" x14ac:dyDescent="0.2">
      <c r="A1366" s="1186" t="s">
        <v>133</v>
      </c>
      <c r="B1366" s="1186" t="s">
        <v>936</v>
      </c>
      <c r="C1366" s="1186" t="s">
        <v>1981</v>
      </c>
      <c r="D1366" s="1186" t="s">
        <v>1988</v>
      </c>
      <c r="E1366" s="1186" t="s">
        <v>2035</v>
      </c>
      <c r="F1366" s="1186" t="s">
        <v>2033</v>
      </c>
      <c r="G1366" s="1186" t="s">
        <v>828</v>
      </c>
      <c r="H1366" s="1186">
        <v>48</v>
      </c>
    </row>
    <row r="1367" spans="1:8" x14ac:dyDescent="0.2">
      <c r="A1367" s="1186" t="s">
        <v>133</v>
      </c>
      <c r="B1367" s="1186" t="s">
        <v>936</v>
      </c>
      <c r="C1367" s="1186" t="s">
        <v>1981</v>
      </c>
      <c r="D1367" s="1186" t="s">
        <v>1988</v>
      </c>
      <c r="E1367" s="1186" t="s">
        <v>2035</v>
      </c>
      <c r="F1367" s="1186" t="s">
        <v>2033</v>
      </c>
      <c r="G1367" s="1186" t="s">
        <v>850</v>
      </c>
      <c r="H1367" s="1186">
        <v>12</v>
      </c>
    </row>
    <row r="1368" spans="1:8" x14ac:dyDescent="0.2">
      <c r="A1368" s="1186" t="s">
        <v>133</v>
      </c>
      <c r="B1368" s="1186" t="s">
        <v>936</v>
      </c>
      <c r="C1368" s="1186" t="s">
        <v>1981</v>
      </c>
      <c r="D1368" s="1186" t="s">
        <v>1988</v>
      </c>
      <c r="E1368" s="1186" t="s">
        <v>2035</v>
      </c>
      <c r="F1368" s="1186" t="s">
        <v>2033</v>
      </c>
      <c r="G1368" s="1186" t="s">
        <v>851</v>
      </c>
      <c r="H1368" s="1186">
        <v>147</v>
      </c>
    </row>
    <row r="1369" spans="1:8" x14ac:dyDescent="0.2">
      <c r="A1369" s="1186" t="s">
        <v>133</v>
      </c>
      <c r="B1369" s="1186" t="s">
        <v>936</v>
      </c>
      <c r="C1369" s="1186" t="s">
        <v>1981</v>
      </c>
      <c r="D1369" s="1186" t="s">
        <v>1988</v>
      </c>
      <c r="E1369" s="1186" t="s">
        <v>2035</v>
      </c>
      <c r="F1369" s="1186" t="s">
        <v>2033</v>
      </c>
      <c r="G1369" s="1186" t="s">
        <v>852</v>
      </c>
      <c r="H1369" s="1186">
        <v>22</v>
      </c>
    </row>
    <row r="1370" spans="1:8" x14ac:dyDescent="0.2">
      <c r="A1370" s="1186" t="s">
        <v>133</v>
      </c>
      <c r="B1370" s="1186" t="s">
        <v>936</v>
      </c>
      <c r="C1370" s="1186" t="s">
        <v>1981</v>
      </c>
      <c r="D1370" s="1186" t="s">
        <v>1988</v>
      </c>
      <c r="E1370" s="1186" t="s">
        <v>2035</v>
      </c>
      <c r="F1370" s="1186" t="s">
        <v>2034</v>
      </c>
      <c r="G1370" s="1186" t="s">
        <v>828</v>
      </c>
      <c r="H1370" s="1186">
        <v>104</v>
      </c>
    </row>
    <row r="1371" spans="1:8" x14ac:dyDescent="0.2">
      <c r="A1371" s="1186" t="s">
        <v>133</v>
      </c>
      <c r="B1371" s="1186" t="s">
        <v>936</v>
      </c>
      <c r="C1371" s="1186" t="s">
        <v>1981</v>
      </c>
      <c r="D1371" s="1186" t="s">
        <v>1988</v>
      </c>
      <c r="E1371" s="1186" t="s">
        <v>2035</v>
      </c>
      <c r="F1371" s="1186" t="s">
        <v>2034</v>
      </c>
      <c r="G1371" s="1186" t="s">
        <v>850</v>
      </c>
      <c r="H1371" s="1186">
        <v>15</v>
      </c>
    </row>
    <row r="1372" spans="1:8" x14ac:dyDescent="0.2">
      <c r="A1372" s="1186" t="s">
        <v>133</v>
      </c>
      <c r="B1372" s="1186" t="s">
        <v>936</v>
      </c>
      <c r="C1372" s="1186" t="s">
        <v>1981</v>
      </c>
      <c r="D1372" s="1186" t="s">
        <v>1988</v>
      </c>
      <c r="E1372" s="1186" t="s">
        <v>2035</v>
      </c>
      <c r="F1372" s="1186" t="s">
        <v>2034</v>
      </c>
      <c r="G1372" s="1186" t="s">
        <v>851</v>
      </c>
      <c r="H1372" s="1186">
        <v>60</v>
      </c>
    </row>
    <row r="1373" spans="1:8" x14ac:dyDescent="0.2">
      <c r="A1373" s="1186" t="s">
        <v>133</v>
      </c>
      <c r="B1373" s="1186" t="s">
        <v>936</v>
      </c>
      <c r="C1373" s="1186" t="s">
        <v>1981</v>
      </c>
      <c r="D1373" s="1186" t="s">
        <v>1988</v>
      </c>
      <c r="E1373" s="1186" t="s">
        <v>2035</v>
      </c>
      <c r="F1373" s="1186" t="s">
        <v>2034</v>
      </c>
      <c r="G1373" s="1186" t="s">
        <v>852</v>
      </c>
      <c r="H1373" s="1186">
        <v>13</v>
      </c>
    </row>
    <row r="1374" spans="1:8" x14ac:dyDescent="0.2">
      <c r="A1374" s="1186" t="s">
        <v>144</v>
      </c>
      <c r="B1374" s="1186" t="s">
        <v>937</v>
      </c>
      <c r="C1374" s="1186" t="s">
        <v>1981</v>
      </c>
      <c r="D1374" s="1186" t="s">
        <v>1982</v>
      </c>
      <c r="E1374" s="1186" t="s">
        <v>2031</v>
      </c>
      <c r="F1374" s="1186" t="s">
        <v>2032</v>
      </c>
      <c r="G1374" s="1186" t="s">
        <v>828</v>
      </c>
      <c r="H1374" s="1186">
        <v>5</v>
      </c>
    </row>
    <row r="1375" spans="1:8" x14ac:dyDescent="0.2">
      <c r="A1375" s="1186" t="s">
        <v>144</v>
      </c>
      <c r="B1375" s="1186" t="s">
        <v>937</v>
      </c>
      <c r="C1375" s="1186" t="s">
        <v>1981</v>
      </c>
      <c r="D1375" s="1186" t="s">
        <v>1982</v>
      </c>
      <c r="E1375" s="1186" t="s">
        <v>2031</v>
      </c>
      <c r="F1375" s="1186" t="s">
        <v>2033</v>
      </c>
      <c r="G1375" s="1186" t="s">
        <v>828</v>
      </c>
      <c r="H1375" s="1186">
        <v>86</v>
      </c>
    </row>
    <row r="1376" spans="1:8" x14ac:dyDescent="0.2">
      <c r="A1376" s="1186" t="s">
        <v>144</v>
      </c>
      <c r="B1376" s="1186" t="s">
        <v>937</v>
      </c>
      <c r="C1376" s="1186" t="s">
        <v>1981</v>
      </c>
      <c r="D1376" s="1186" t="s">
        <v>1982</v>
      </c>
      <c r="E1376" s="1186" t="s">
        <v>2031</v>
      </c>
      <c r="F1376" s="1186" t="s">
        <v>2033</v>
      </c>
      <c r="G1376" s="1186" t="s">
        <v>850</v>
      </c>
      <c r="H1376" s="1186">
        <v>2</v>
      </c>
    </row>
    <row r="1377" spans="1:8" x14ac:dyDescent="0.2">
      <c r="A1377" s="1186" t="s">
        <v>144</v>
      </c>
      <c r="B1377" s="1186" t="s">
        <v>937</v>
      </c>
      <c r="C1377" s="1186" t="s">
        <v>1981</v>
      </c>
      <c r="D1377" s="1186" t="s">
        <v>1982</v>
      </c>
      <c r="E1377" s="1186" t="s">
        <v>2031</v>
      </c>
      <c r="F1377" s="1186" t="s">
        <v>2033</v>
      </c>
      <c r="G1377" s="1186" t="s">
        <v>851</v>
      </c>
      <c r="H1377" s="1186">
        <v>2</v>
      </c>
    </row>
    <row r="1378" spans="1:8" x14ac:dyDescent="0.2">
      <c r="A1378" s="1186" t="s">
        <v>144</v>
      </c>
      <c r="B1378" s="1186" t="s">
        <v>937</v>
      </c>
      <c r="C1378" s="1186" t="s">
        <v>1981</v>
      </c>
      <c r="D1378" s="1186" t="s">
        <v>1982</v>
      </c>
      <c r="E1378" s="1186" t="s">
        <v>2031</v>
      </c>
      <c r="F1378" s="1186" t="s">
        <v>2033</v>
      </c>
      <c r="G1378" s="1186" t="s">
        <v>852</v>
      </c>
      <c r="H1378" s="1186">
        <v>7</v>
      </c>
    </row>
    <row r="1379" spans="1:8" x14ac:dyDescent="0.2">
      <c r="A1379" s="1186" t="s">
        <v>144</v>
      </c>
      <c r="B1379" s="1186" t="s">
        <v>937</v>
      </c>
      <c r="C1379" s="1186" t="s">
        <v>1981</v>
      </c>
      <c r="D1379" s="1186" t="s">
        <v>1982</v>
      </c>
      <c r="E1379" s="1186" t="s">
        <v>2031</v>
      </c>
      <c r="F1379" s="1186" t="s">
        <v>2034</v>
      </c>
      <c r="G1379" s="1186" t="s">
        <v>828</v>
      </c>
      <c r="H1379" s="1186">
        <v>12</v>
      </c>
    </row>
    <row r="1380" spans="1:8" x14ac:dyDescent="0.2">
      <c r="A1380" s="1186" t="s">
        <v>144</v>
      </c>
      <c r="B1380" s="1186" t="s">
        <v>937</v>
      </c>
      <c r="C1380" s="1186" t="s">
        <v>1981</v>
      </c>
      <c r="D1380" s="1186" t="s">
        <v>1982</v>
      </c>
      <c r="E1380" s="1186" t="s">
        <v>2031</v>
      </c>
      <c r="F1380" s="1186" t="s">
        <v>2034</v>
      </c>
      <c r="G1380" s="1186" t="s">
        <v>850</v>
      </c>
      <c r="H1380" s="1186">
        <v>2</v>
      </c>
    </row>
    <row r="1381" spans="1:8" x14ac:dyDescent="0.2">
      <c r="A1381" s="1186" t="s">
        <v>144</v>
      </c>
      <c r="B1381" s="1186" t="s">
        <v>937</v>
      </c>
      <c r="C1381" s="1186" t="s">
        <v>1981</v>
      </c>
      <c r="D1381" s="1186" t="s">
        <v>1982</v>
      </c>
      <c r="E1381" s="1186" t="s">
        <v>2035</v>
      </c>
      <c r="F1381" s="1186" t="s">
        <v>2032</v>
      </c>
      <c r="G1381" s="1186" t="s">
        <v>828</v>
      </c>
      <c r="H1381" s="1186">
        <v>16</v>
      </c>
    </row>
    <row r="1382" spans="1:8" x14ac:dyDescent="0.2">
      <c r="A1382" s="1186" t="s">
        <v>144</v>
      </c>
      <c r="B1382" s="1186" t="s">
        <v>937</v>
      </c>
      <c r="C1382" s="1186" t="s">
        <v>1981</v>
      </c>
      <c r="D1382" s="1186" t="s">
        <v>1982</v>
      </c>
      <c r="E1382" s="1186" t="s">
        <v>2035</v>
      </c>
      <c r="F1382" s="1186" t="s">
        <v>2032</v>
      </c>
      <c r="G1382" s="1186" t="s">
        <v>850</v>
      </c>
      <c r="H1382" s="1186">
        <v>1</v>
      </c>
    </row>
    <row r="1383" spans="1:8" x14ac:dyDescent="0.2">
      <c r="A1383" s="1186" t="s">
        <v>144</v>
      </c>
      <c r="B1383" s="1186" t="s">
        <v>937</v>
      </c>
      <c r="C1383" s="1186" t="s">
        <v>1981</v>
      </c>
      <c r="D1383" s="1186" t="s">
        <v>1982</v>
      </c>
      <c r="E1383" s="1186" t="s">
        <v>2035</v>
      </c>
      <c r="F1383" s="1186" t="s">
        <v>2032</v>
      </c>
      <c r="G1383" s="1186" t="s">
        <v>851</v>
      </c>
      <c r="H1383" s="1186">
        <v>7</v>
      </c>
    </row>
    <row r="1384" spans="1:8" x14ac:dyDescent="0.2">
      <c r="A1384" s="1186" t="s">
        <v>144</v>
      </c>
      <c r="B1384" s="1186" t="s">
        <v>937</v>
      </c>
      <c r="C1384" s="1186" t="s">
        <v>1981</v>
      </c>
      <c r="D1384" s="1186" t="s">
        <v>1982</v>
      </c>
      <c r="E1384" s="1186" t="s">
        <v>2035</v>
      </c>
      <c r="F1384" s="1186" t="s">
        <v>2032</v>
      </c>
      <c r="G1384" s="1186" t="s">
        <v>852</v>
      </c>
      <c r="H1384" s="1186">
        <v>5</v>
      </c>
    </row>
    <row r="1385" spans="1:8" x14ac:dyDescent="0.2">
      <c r="A1385" s="1186" t="s">
        <v>144</v>
      </c>
      <c r="B1385" s="1186" t="s">
        <v>937</v>
      </c>
      <c r="C1385" s="1186" t="s">
        <v>1981</v>
      </c>
      <c r="D1385" s="1186" t="s">
        <v>1982</v>
      </c>
      <c r="E1385" s="1186" t="s">
        <v>2035</v>
      </c>
      <c r="F1385" s="1186" t="s">
        <v>2033</v>
      </c>
      <c r="G1385" s="1186" t="s">
        <v>828</v>
      </c>
      <c r="H1385" s="1186">
        <v>62</v>
      </c>
    </row>
    <row r="1386" spans="1:8" x14ac:dyDescent="0.2">
      <c r="A1386" s="1186" t="s">
        <v>144</v>
      </c>
      <c r="B1386" s="1186" t="s">
        <v>937</v>
      </c>
      <c r="C1386" s="1186" t="s">
        <v>1981</v>
      </c>
      <c r="D1386" s="1186" t="s">
        <v>1982</v>
      </c>
      <c r="E1386" s="1186" t="s">
        <v>2035</v>
      </c>
      <c r="F1386" s="1186" t="s">
        <v>2033</v>
      </c>
      <c r="G1386" s="1186" t="s">
        <v>850</v>
      </c>
      <c r="H1386" s="1186">
        <v>12</v>
      </c>
    </row>
    <row r="1387" spans="1:8" x14ac:dyDescent="0.2">
      <c r="A1387" s="1186" t="s">
        <v>144</v>
      </c>
      <c r="B1387" s="1186" t="s">
        <v>937</v>
      </c>
      <c r="C1387" s="1186" t="s">
        <v>1981</v>
      </c>
      <c r="D1387" s="1186" t="s">
        <v>1982</v>
      </c>
      <c r="E1387" s="1186" t="s">
        <v>2035</v>
      </c>
      <c r="F1387" s="1186" t="s">
        <v>2033</v>
      </c>
      <c r="G1387" s="1186" t="s">
        <v>851</v>
      </c>
      <c r="H1387" s="1186">
        <v>166</v>
      </c>
    </row>
    <row r="1388" spans="1:8" x14ac:dyDescent="0.2">
      <c r="A1388" s="1186" t="s">
        <v>144</v>
      </c>
      <c r="B1388" s="1186" t="s">
        <v>937</v>
      </c>
      <c r="C1388" s="1186" t="s">
        <v>1981</v>
      </c>
      <c r="D1388" s="1186" t="s">
        <v>1982</v>
      </c>
      <c r="E1388" s="1186" t="s">
        <v>2035</v>
      </c>
      <c r="F1388" s="1186" t="s">
        <v>2033</v>
      </c>
      <c r="G1388" s="1186" t="s">
        <v>852</v>
      </c>
      <c r="H1388" s="1186">
        <v>21</v>
      </c>
    </row>
    <row r="1389" spans="1:8" x14ac:dyDescent="0.2">
      <c r="A1389" s="1186" t="s">
        <v>144</v>
      </c>
      <c r="B1389" s="1186" t="s">
        <v>937</v>
      </c>
      <c r="C1389" s="1186" t="s">
        <v>1981</v>
      </c>
      <c r="D1389" s="1186" t="s">
        <v>1982</v>
      </c>
      <c r="E1389" s="1186" t="s">
        <v>2035</v>
      </c>
      <c r="F1389" s="1186" t="s">
        <v>2034</v>
      </c>
      <c r="G1389" s="1186" t="s">
        <v>828</v>
      </c>
      <c r="H1389" s="1186">
        <v>80</v>
      </c>
    </row>
    <row r="1390" spans="1:8" x14ac:dyDescent="0.2">
      <c r="A1390" s="1186" t="s">
        <v>144</v>
      </c>
      <c r="B1390" s="1186" t="s">
        <v>937</v>
      </c>
      <c r="C1390" s="1186" t="s">
        <v>1981</v>
      </c>
      <c r="D1390" s="1186" t="s">
        <v>1982</v>
      </c>
      <c r="E1390" s="1186" t="s">
        <v>2035</v>
      </c>
      <c r="F1390" s="1186" t="s">
        <v>2034</v>
      </c>
      <c r="G1390" s="1186" t="s">
        <v>850</v>
      </c>
      <c r="H1390" s="1186">
        <v>28</v>
      </c>
    </row>
    <row r="1391" spans="1:8" x14ac:dyDescent="0.2">
      <c r="A1391" s="1186" t="s">
        <v>144</v>
      </c>
      <c r="B1391" s="1186" t="s">
        <v>937</v>
      </c>
      <c r="C1391" s="1186" t="s">
        <v>1981</v>
      </c>
      <c r="D1391" s="1186" t="s">
        <v>1982</v>
      </c>
      <c r="E1391" s="1186" t="s">
        <v>2035</v>
      </c>
      <c r="F1391" s="1186" t="s">
        <v>2034</v>
      </c>
      <c r="G1391" s="1186" t="s">
        <v>851</v>
      </c>
      <c r="H1391" s="1186">
        <v>41</v>
      </c>
    </row>
    <row r="1392" spans="1:8" x14ac:dyDescent="0.2">
      <c r="A1392" s="1186" t="s">
        <v>144</v>
      </c>
      <c r="B1392" s="1186" t="s">
        <v>937</v>
      </c>
      <c r="C1392" s="1186" t="s">
        <v>1981</v>
      </c>
      <c r="D1392" s="1186" t="s">
        <v>1982</v>
      </c>
      <c r="E1392" s="1186" t="s">
        <v>2035</v>
      </c>
      <c r="F1392" s="1186" t="s">
        <v>2034</v>
      </c>
      <c r="G1392" s="1186" t="s">
        <v>852</v>
      </c>
      <c r="H1392" s="1186">
        <v>29</v>
      </c>
    </row>
    <row r="1393" spans="1:8" x14ac:dyDescent="0.2">
      <c r="A1393" s="1186" t="s">
        <v>144</v>
      </c>
      <c r="B1393" s="1186" t="s">
        <v>938</v>
      </c>
      <c r="C1393" s="1186" t="s">
        <v>1981</v>
      </c>
      <c r="D1393" s="1186" t="s">
        <v>1982</v>
      </c>
      <c r="E1393" s="1186" t="s">
        <v>2031</v>
      </c>
      <c r="F1393" s="1186" t="s">
        <v>2032</v>
      </c>
      <c r="G1393" s="1186" t="s">
        <v>828</v>
      </c>
      <c r="H1393" s="1186">
        <v>4</v>
      </c>
    </row>
    <row r="1394" spans="1:8" x14ac:dyDescent="0.2">
      <c r="A1394" s="1186" t="s">
        <v>144</v>
      </c>
      <c r="B1394" s="1186" t="s">
        <v>938</v>
      </c>
      <c r="C1394" s="1186" t="s">
        <v>1981</v>
      </c>
      <c r="D1394" s="1186" t="s">
        <v>1982</v>
      </c>
      <c r="E1394" s="1186" t="s">
        <v>2031</v>
      </c>
      <c r="F1394" s="1186" t="s">
        <v>2032</v>
      </c>
      <c r="G1394" s="1186" t="s">
        <v>851</v>
      </c>
      <c r="H1394" s="1186">
        <v>3</v>
      </c>
    </row>
    <row r="1395" spans="1:8" x14ac:dyDescent="0.2">
      <c r="A1395" s="1186" t="s">
        <v>144</v>
      </c>
      <c r="B1395" s="1186" t="s">
        <v>938</v>
      </c>
      <c r="C1395" s="1186" t="s">
        <v>1981</v>
      </c>
      <c r="D1395" s="1186" t="s">
        <v>1982</v>
      </c>
      <c r="E1395" s="1186" t="s">
        <v>2031</v>
      </c>
      <c r="F1395" s="1186" t="s">
        <v>2033</v>
      </c>
      <c r="G1395" s="1186" t="s">
        <v>828</v>
      </c>
      <c r="H1395" s="1186">
        <v>82</v>
      </c>
    </row>
    <row r="1396" spans="1:8" x14ac:dyDescent="0.2">
      <c r="A1396" s="1186" t="s">
        <v>144</v>
      </c>
      <c r="B1396" s="1186" t="s">
        <v>938</v>
      </c>
      <c r="C1396" s="1186" t="s">
        <v>1981</v>
      </c>
      <c r="D1396" s="1186" t="s">
        <v>1982</v>
      </c>
      <c r="E1396" s="1186" t="s">
        <v>2031</v>
      </c>
      <c r="F1396" s="1186" t="s">
        <v>2033</v>
      </c>
      <c r="G1396" s="1186" t="s">
        <v>850</v>
      </c>
      <c r="H1396" s="1186">
        <v>10</v>
      </c>
    </row>
    <row r="1397" spans="1:8" x14ac:dyDescent="0.2">
      <c r="A1397" s="1186" t="s">
        <v>144</v>
      </c>
      <c r="B1397" s="1186" t="s">
        <v>938</v>
      </c>
      <c r="C1397" s="1186" t="s">
        <v>1981</v>
      </c>
      <c r="D1397" s="1186" t="s">
        <v>1982</v>
      </c>
      <c r="E1397" s="1186" t="s">
        <v>2031</v>
      </c>
      <c r="F1397" s="1186" t="s">
        <v>2033</v>
      </c>
      <c r="G1397" s="1186" t="s">
        <v>851</v>
      </c>
      <c r="H1397" s="1186">
        <v>13</v>
      </c>
    </row>
    <row r="1398" spans="1:8" x14ac:dyDescent="0.2">
      <c r="A1398" s="1186" t="s">
        <v>144</v>
      </c>
      <c r="B1398" s="1186" t="s">
        <v>938</v>
      </c>
      <c r="C1398" s="1186" t="s">
        <v>1981</v>
      </c>
      <c r="D1398" s="1186" t="s">
        <v>1982</v>
      </c>
      <c r="E1398" s="1186" t="s">
        <v>2031</v>
      </c>
      <c r="F1398" s="1186" t="s">
        <v>2033</v>
      </c>
      <c r="G1398" s="1186" t="s">
        <v>852</v>
      </c>
      <c r="H1398" s="1186">
        <v>5</v>
      </c>
    </row>
    <row r="1399" spans="1:8" x14ac:dyDescent="0.2">
      <c r="A1399" s="1186" t="s">
        <v>144</v>
      </c>
      <c r="B1399" s="1186" t="s">
        <v>938</v>
      </c>
      <c r="C1399" s="1186" t="s">
        <v>1981</v>
      </c>
      <c r="D1399" s="1186" t="s">
        <v>1982</v>
      </c>
      <c r="E1399" s="1186" t="s">
        <v>2031</v>
      </c>
      <c r="F1399" s="1186" t="s">
        <v>2034</v>
      </c>
      <c r="G1399" s="1186" t="s">
        <v>828</v>
      </c>
      <c r="H1399" s="1186">
        <v>14</v>
      </c>
    </row>
    <row r="1400" spans="1:8" x14ac:dyDescent="0.2">
      <c r="A1400" s="1186" t="s">
        <v>144</v>
      </c>
      <c r="B1400" s="1186" t="s">
        <v>938</v>
      </c>
      <c r="C1400" s="1186" t="s">
        <v>1981</v>
      </c>
      <c r="D1400" s="1186" t="s">
        <v>1982</v>
      </c>
      <c r="E1400" s="1186" t="s">
        <v>2031</v>
      </c>
      <c r="F1400" s="1186" t="s">
        <v>2034</v>
      </c>
      <c r="G1400" s="1186" t="s">
        <v>850</v>
      </c>
      <c r="H1400" s="1186">
        <v>4</v>
      </c>
    </row>
    <row r="1401" spans="1:8" x14ac:dyDescent="0.2">
      <c r="A1401" s="1186" t="s">
        <v>144</v>
      </c>
      <c r="B1401" s="1186" t="s">
        <v>938</v>
      </c>
      <c r="C1401" s="1186" t="s">
        <v>1981</v>
      </c>
      <c r="D1401" s="1186" t="s">
        <v>1982</v>
      </c>
      <c r="E1401" s="1186" t="s">
        <v>2031</v>
      </c>
      <c r="F1401" s="1186" t="s">
        <v>2034</v>
      </c>
      <c r="G1401" s="1186" t="s">
        <v>851</v>
      </c>
      <c r="H1401" s="1186">
        <v>10</v>
      </c>
    </row>
    <row r="1402" spans="1:8" x14ac:dyDescent="0.2">
      <c r="A1402" s="1186" t="s">
        <v>144</v>
      </c>
      <c r="B1402" s="1186" t="s">
        <v>938</v>
      </c>
      <c r="C1402" s="1186" t="s">
        <v>1981</v>
      </c>
      <c r="D1402" s="1186" t="s">
        <v>1982</v>
      </c>
      <c r="E1402" s="1186" t="s">
        <v>2035</v>
      </c>
      <c r="F1402" s="1186" t="s">
        <v>2032</v>
      </c>
      <c r="G1402" s="1186" t="s">
        <v>828</v>
      </c>
      <c r="H1402" s="1186">
        <v>8</v>
      </c>
    </row>
    <row r="1403" spans="1:8" x14ac:dyDescent="0.2">
      <c r="A1403" s="1186" t="s">
        <v>144</v>
      </c>
      <c r="B1403" s="1186" t="s">
        <v>938</v>
      </c>
      <c r="C1403" s="1186" t="s">
        <v>1981</v>
      </c>
      <c r="D1403" s="1186" t="s">
        <v>1982</v>
      </c>
      <c r="E1403" s="1186" t="s">
        <v>2035</v>
      </c>
      <c r="F1403" s="1186" t="s">
        <v>2032</v>
      </c>
      <c r="G1403" s="1186" t="s">
        <v>850</v>
      </c>
      <c r="H1403" s="1186">
        <v>1</v>
      </c>
    </row>
    <row r="1404" spans="1:8" x14ac:dyDescent="0.2">
      <c r="A1404" s="1186" t="s">
        <v>144</v>
      </c>
      <c r="B1404" s="1186" t="s">
        <v>938</v>
      </c>
      <c r="C1404" s="1186" t="s">
        <v>1981</v>
      </c>
      <c r="D1404" s="1186" t="s">
        <v>1982</v>
      </c>
      <c r="E1404" s="1186" t="s">
        <v>2035</v>
      </c>
      <c r="F1404" s="1186" t="s">
        <v>2032</v>
      </c>
      <c r="G1404" s="1186" t="s">
        <v>851</v>
      </c>
      <c r="H1404" s="1186">
        <v>10</v>
      </c>
    </row>
    <row r="1405" spans="1:8" x14ac:dyDescent="0.2">
      <c r="A1405" s="1186" t="s">
        <v>144</v>
      </c>
      <c r="B1405" s="1186" t="s">
        <v>938</v>
      </c>
      <c r="C1405" s="1186" t="s">
        <v>1981</v>
      </c>
      <c r="D1405" s="1186" t="s">
        <v>1982</v>
      </c>
      <c r="E1405" s="1186" t="s">
        <v>2035</v>
      </c>
      <c r="F1405" s="1186" t="s">
        <v>2032</v>
      </c>
      <c r="G1405" s="1186" t="s">
        <v>852</v>
      </c>
      <c r="H1405" s="1186">
        <v>1</v>
      </c>
    </row>
    <row r="1406" spans="1:8" x14ac:dyDescent="0.2">
      <c r="A1406" s="1186" t="s">
        <v>144</v>
      </c>
      <c r="B1406" s="1186" t="s">
        <v>938</v>
      </c>
      <c r="C1406" s="1186" t="s">
        <v>1981</v>
      </c>
      <c r="D1406" s="1186" t="s">
        <v>1982</v>
      </c>
      <c r="E1406" s="1186" t="s">
        <v>2035</v>
      </c>
      <c r="F1406" s="1186" t="s">
        <v>2033</v>
      </c>
      <c r="G1406" s="1186" t="s">
        <v>828</v>
      </c>
      <c r="H1406" s="1186">
        <v>68</v>
      </c>
    </row>
    <row r="1407" spans="1:8" x14ac:dyDescent="0.2">
      <c r="A1407" s="1186" t="s">
        <v>144</v>
      </c>
      <c r="B1407" s="1186" t="s">
        <v>938</v>
      </c>
      <c r="C1407" s="1186" t="s">
        <v>1981</v>
      </c>
      <c r="D1407" s="1186" t="s">
        <v>1982</v>
      </c>
      <c r="E1407" s="1186" t="s">
        <v>2035</v>
      </c>
      <c r="F1407" s="1186" t="s">
        <v>2033</v>
      </c>
      <c r="G1407" s="1186" t="s">
        <v>850</v>
      </c>
      <c r="H1407" s="1186">
        <v>9</v>
      </c>
    </row>
    <row r="1408" spans="1:8" x14ac:dyDescent="0.2">
      <c r="A1408" s="1186" t="s">
        <v>144</v>
      </c>
      <c r="B1408" s="1186" t="s">
        <v>938</v>
      </c>
      <c r="C1408" s="1186" t="s">
        <v>1981</v>
      </c>
      <c r="D1408" s="1186" t="s">
        <v>1982</v>
      </c>
      <c r="E1408" s="1186" t="s">
        <v>2035</v>
      </c>
      <c r="F1408" s="1186" t="s">
        <v>2033</v>
      </c>
      <c r="G1408" s="1186" t="s">
        <v>851</v>
      </c>
      <c r="H1408" s="1186">
        <v>160</v>
      </c>
    </row>
    <row r="1409" spans="1:8" x14ac:dyDescent="0.2">
      <c r="A1409" s="1186" t="s">
        <v>144</v>
      </c>
      <c r="B1409" s="1186" t="s">
        <v>938</v>
      </c>
      <c r="C1409" s="1186" t="s">
        <v>1981</v>
      </c>
      <c r="D1409" s="1186" t="s">
        <v>1982</v>
      </c>
      <c r="E1409" s="1186" t="s">
        <v>2035</v>
      </c>
      <c r="F1409" s="1186" t="s">
        <v>2033</v>
      </c>
      <c r="G1409" s="1186" t="s">
        <v>852</v>
      </c>
      <c r="H1409" s="1186">
        <v>28</v>
      </c>
    </row>
    <row r="1410" spans="1:8" x14ac:dyDescent="0.2">
      <c r="A1410" s="1186" t="s">
        <v>144</v>
      </c>
      <c r="B1410" s="1186" t="s">
        <v>938</v>
      </c>
      <c r="C1410" s="1186" t="s">
        <v>1981</v>
      </c>
      <c r="D1410" s="1186" t="s">
        <v>1982</v>
      </c>
      <c r="E1410" s="1186" t="s">
        <v>2035</v>
      </c>
      <c r="F1410" s="1186" t="s">
        <v>2034</v>
      </c>
      <c r="G1410" s="1186" t="s">
        <v>828</v>
      </c>
      <c r="H1410" s="1186">
        <v>97</v>
      </c>
    </row>
    <row r="1411" spans="1:8" x14ac:dyDescent="0.2">
      <c r="A1411" s="1186" t="s">
        <v>144</v>
      </c>
      <c r="B1411" s="1186" t="s">
        <v>938</v>
      </c>
      <c r="C1411" s="1186" t="s">
        <v>1981</v>
      </c>
      <c r="D1411" s="1186" t="s">
        <v>1982</v>
      </c>
      <c r="E1411" s="1186" t="s">
        <v>2035</v>
      </c>
      <c r="F1411" s="1186" t="s">
        <v>2034</v>
      </c>
      <c r="G1411" s="1186" t="s">
        <v>850</v>
      </c>
      <c r="H1411" s="1186">
        <v>30</v>
      </c>
    </row>
    <row r="1412" spans="1:8" x14ac:dyDescent="0.2">
      <c r="A1412" s="1186" t="s">
        <v>144</v>
      </c>
      <c r="B1412" s="1186" t="s">
        <v>938</v>
      </c>
      <c r="C1412" s="1186" t="s">
        <v>1981</v>
      </c>
      <c r="D1412" s="1186" t="s">
        <v>1982</v>
      </c>
      <c r="E1412" s="1186" t="s">
        <v>2035</v>
      </c>
      <c r="F1412" s="1186" t="s">
        <v>2034</v>
      </c>
      <c r="G1412" s="1186" t="s">
        <v>851</v>
      </c>
      <c r="H1412" s="1186">
        <v>20</v>
      </c>
    </row>
    <row r="1413" spans="1:8" x14ac:dyDescent="0.2">
      <c r="A1413" s="1186" t="s">
        <v>144</v>
      </c>
      <c r="B1413" s="1186" t="s">
        <v>938</v>
      </c>
      <c r="C1413" s="1186" t="s">
        <v>1981</v>
      </c>
      <c r="D1413" s="1186" t="s">
        <v>1982</v>
      </c>
      <c r="E1413" s="1186" t="s">
        <v>2035</v>
      </c>
      <c r="F1413" s="1186" t="s">
        <v>2034</v>
      </c>
      <c r="G1413" s="1186" t="s">
        <v>852</v>
      </c>
      <c r="H1413" s="1186">
        <v>23</v>
      </c>
    </row>
    <row r="1414" spans="1:8" x14ac:dyDescent="0.2">
      <c r="A1414" s="1186" t="s">
        <v>144</v>
      </c>
      <c r="B1414" s="1186" t="s">
        <v>939</v>
      </c>
      <c r="C1414" s="1186" t="s">
        <v>1983</v>
      </c>
      <c r="D1414" s="1186" t="s">
        <v>1982</v>
      </c>
      <c r="E1414" s="1186" t="s">
        <v>2031</v>
      </c>
      <c r="F1414" s="1186" t="s">
        <v>2032</v>
      </c>
      <c r="G1414" s="1186" t="s">
        <v>828</v>
      </c>
      <c r="H1414" s="1186">
        <v>3</v>
      </c>
    </row>
    <row r="1415" spans="1:8" x14ac:dyDescent="0.2">
      <c r="A1415" s="1186" t="s">
        <v>144</v>
      </c>
      <c r="B1415" s="1186" t="s">
        <v>939</v>
      </c>
      <c r="C1415" s="1186" t="s">
        <v>1983</v>
      </c>
      <c r="D1415" s="1186" t="s">
        <v>1982</v>
      </c>
      <c r="E1415" s="1186" t="s">
        <v>2031</v>
      </c>
      <c r="F1415" s="1186" t="s">
        <v>2032</v>
      </c>
      <c r="G1415" s="1186" t="s">
        <v>851</v>
      </c>
      <c r="H1415" s="1186">
        <v>1</v>
      </c>
    </row>
    <row r="1416" spans="1:8" x14ac:dyDescent="0.2">
      <c r="A1416" s="1186" t="s">
        <v>144</v>
      </c>
      <c r="B1416" s="1186" t="s">
        <v>939</v>
      </c>
      <c r="C1416" s="1186" t="s">
        <v>1983</v>
      </c>
      <c r="D1416" s="1186" t="s">
        <v>1982</v>
      </c>
      <c r="E1416" s="1186" t="s">
        <v>2031</v>
      </c>
      <c r="F1416" s="1186" t="s">
        <v>2033</v>
      </c>
      <c r="G1416" s="1186" t="s">
        <v>828</v>
      </c>
      <c r="H1416" s="1186">
        <v>102</v>
      </c>
    </row>
    <row r="1417" spans="1:8" x14ac:dyDescent="0.2">
      <c r="A1417" s="1186" t="s">
        <v>144</v>
      </c>
      <c r="B1417" s="1186" t="s">
        <v>939</v>
      </c>
      <c r="C1417" s="1186" t="s">
        <v>1983</v>
      </c>
      <c r="D1417" s="1186" t="s">
        <v>1982</v>
      </c>
      <c r="E1417" s="1186" t="s">
        <v>2031</v>
      </c>
      <c r="F1417" s="1186" t="s">
        <v>2033</v>
      </c>
      <c r="G1417" s="1186" t="s">
        <v>850</v>
      </c>
      <c r="H1417" s="1186">
        <v>12</v>
      </c>
    </row>
    <row r="1418" spans="1:8" x14ac:dyDescent="0.2">
      <c r="A1418" s="1186" t="s">
        <v>144</v>
      </c>
      <c r="B1418" s="1186" t="s">
        <v>939</v>
      </c>
      <c r="C1418" s="1186" t="s">
        <v>1983</v>
      </c>
      <c r="D1418" s="1186" t="s">
        <v>1982</v>
      </c>
      <c r="E1418" s="1186" t="s">
        <v>2031</v>
      </c>
      <c r="F1418" s="1186" t="s">
        <v>2033</v>
      </c>
      <c r="G1418" s="1186" t="s">
        <v>851</v>
      </c>
      <c r="H1418" s="1186">
        <v>6</v>
      </c>
    </row>
    <row r="1419" spans="1:8" x14ac:dyDescent="0.2">
      <c r="A1419" s="1186" t="s">
        <v>144</v>
      </c>
      <c r="B1419" s="1186" t="s">
        <v>939</v>
      </c>
      <c r="C1419" s="1186" t="s">
        <v>1983</v>
      </c>
      <c r="D1419" s="1186" t="s">
        <v>1982</v>
      </c>
      <c r="E1419" s="1186" t="s">
        <v>2031</v>
      </c>
      <c r="F1419" s="1186" t="s">
        <v>2033</v>
      </c>
      <c r="G1419" s="1186" t="s">
        <v>852</v>
      </c>
      <c r="H1419" s="1186">
        <v>3</v>
      </c>
    </row>
    <row r="1420" spans="1:8" x14ac:dyDescent="0.2">
      <c r="A1420" s="1186" t="s">
        <v>144</v>
      </c>
      <c r="B1420" s="1186" t="s">
        <v>939</v>
      </c>
      <c r="C1420" s="1186" t="s">
        <v>1983</v>
      </c>
      <c r="D1420" s="1186" t="s">
        <v>1982</v>
      </c>
      <c r="E1420" s="1186" t="s">
        <v>2031</v>
      </c>
      <c r="F1420" s="1186" t="s">
        <v>2034</v>
      </c>
      <c r="G1420" s="1186" t="s">
        <v>828</v>
      </c>
      <c r="H1420" s="1186">
        <v>19</v>
      </c>
    </row>
    <row r="1421" spans="1:8" x14ac:dyDescent="0.2">
      <c r="A1421" s="1186" t="s">
        <v>144</v>
      </c>
      <c r="B1421" s="1186" t="s">
        <v>939</v>
      </c>
      <c r="C1421" s="1186" t="s">
        <v>1983</v>
      </c>
      <c r="D1421" s="1186" t="s">
        <v>1982</v>
      </c>
      <c r="E1421" s="1186" t="s">
        <v>2031</v>
      </c>
      <c r="F1421" s="1186" t="s">
        <v>2034</v>
      </c>
      <c r="G1421" s="1186" t="s">
        <v>850</v>
      </c>
      <c r="H1421" s="1186">
        <v>4</v>
      </c>
    </row>
    <row r="1422" spans="1:8" x14ac:dyDescent="0.2">
      <c r="A1422" s="1186" t="s">
        <v>144</v>
      </c>
      <c r="B1422" s="1186" t="s">
        <v>939</v>
      </c>
      <c r="C1422" s="1186" t="s">
        <v>1983</v>
      </c>
      <c r="D1422" s="1186" t="s">
        <v>1982</v>
      </c>
      <c r="E1422" s="1186" t="s">
        <v>2035</v>
      </c>
      <c r="F1422" s="1186" t="s">
        <v>2032</v>
      </c>
      <c r="G1422" s="1186" t="s">
        <v>828</v>
      </c>
      <c r="H1422" s="1186">
        <v>10</v>
      </c>
    </row>
    <row r="1423" spans="1:8" x14ac:dyDescent="0.2">
      <c r="A1423" s="1186" t="s">
        <v>144</v>
      </c>
      <c r="B1423" s="1186" t="s">
        <v>939</v>
      </c>
      <c r="C1423" s="1186" t="s">
        <v>1983</v>
      </c>
      <c r="D1423" s="1186" t="s">
        <v>1982</v>
      </c>
      <c r="E1423" s="1186" t="s">
        <v>2035</v>
      </c>
      <c r="F1423" s="1186" t="s">
        <v>2032</v>
      </c>
      <c r="G1423" s="1186" t="s">
        <v>850</v>
      </c>
      <c r="H1423" s="1186">
        <v>1</v>
      </c>
    </row>
    <row r="1424" spans="1:8" x14ac:dyDescent="0.2">
      <c r="A1424" s="1186" t="s">
        <v>144</v>
      </c>
      <c r="B1424" s="1186" t="s">
        <v>939</v>
      </c>
      <c r="C1424" s="1186" t="s">
        <v>1983</v>
      </c>
      <c r="D1424" s="1186" t="s">
        <v>1982</v>
      </c>
      <c r="E1424" s="1186" t="s">
        <v>2035</v>
      </c>
      <c r="F1424" s="1186" t="s">
        <v>2032</v>
      </c>
      <c r="G1424" s="1186" t="s">
        <v>851</v>
      </c>
      <c r="H1424" s="1186">
        <v>18</v>
      </c>
    </row>
    <row r="1425" spans="1:8" x14ac:dyDescent="0.2">
      <c r="A1425" s="1186" t="s">
        <v>144</v>
      </c>
      <c r="B1425" s="1186" t="s">
        <v>939</v>
      </c>
      <c r="C1425" s="1186" t="s">
        <v>1983</v>
      </c>
      <c r="D1425" s="1186" t="s">
        <v>1982</v>
      </c>
      <c r="E1425" s="1186" t="s">
        <v>2035</v>
      </c>
      <c r="F1425" s="1186" t="s">
        <v>2032</v>
      </c>
      <c r="G1425" s="1186" t="s">
        <v>852</v>
      </c>
      <c r="H1425" s="1186">
        <v>4</v>
      </c>
    </row>
    <row r="1426" spans="1:8" x14ac:dyDescent="0.2">
      <c r="A1426" s="1186" t="s">
        <v>144</v>
      </c>
      <c r="B1426" s="1186" t="s">
        <v>939</v>
      </c>
      <c r="C1426" s="1186" t="s">
        <v>1983</v>
      </c>
      <c r="D1426" s="1186" t="s">
        <v>1982</v>
      </c>
      <c r="E1426" s="1186" t="s">
        <v>2035</v>
      </c>
      <c r="F1426" s="1186" t="s">
        <v>2033</v>
      </c>
      <c r="G1426" s="1186" t="s">
        <v>828</v>
      </c>
      <c r="H1426" s="1186">
        <v>74</v>
      </c>
    </row>
    <row r="1427" spans="1:8" x14ac:dyDescent="0.2">
      <c r="A1427" s="1186" t="s">
        <v>144</v>
      </c>
      <c r="B1427" s="1186" t="s">
        <v>939</v>
      </c>
      <c r="C1427" s="1186" t="s">
        <v>1983</v>
      </c>
      <c r="D1427" s="1186" t="s">
        <v>1982</v>
      </c>
      <c r="E1427" s="1186" t="s">
        <v>2035</v>
      </c>
      <c r="F1427" s="1186" t="s">
        <v>2033</v>
      </c>
      <c r="G1427" s="1186" t="s">
        <v>850</v>
      </c>
      <c r="H1427" s="1186">
        <v>9</v>
      </c>
    </row>
    <row r="1428" spans="1:8" x14ac:dyDescent="0.2">
      <c r="A1428" s="1186" t="s">
        <v>144</v>
      </c>
      <c r="B1428" s="1186" t="s">
        <v>939</v>
      </c>
      <c r="C1428" s="1186" t="s">
        <v>1983</v>
      </c>
      <c r="D1428" s="1186" t="s">
        <v>1982</v>
      </c>
      <c r="E1428" s="1186" t="s">
        <v>2035</v>
      </c>
      <c r="F1428" s="1186" t="s">
        <v>2033</v>
      </c>
      <c r="G1428" s="1186" t="s">
        <v>851</v>
      </c>
      <c r="H1428" s="1186">
        <v>152</v>
      </c>
    </row>
    <row r="1429" spans="1:8" x14ac:dyDescent="0.2">
      <c r="A1429" s="1186" t="s">
        <v>144</v>
      </c>
      <c r="B1429" s="1186" t="s">
        <v>939</v>
      </c>
      <c r="C1429" s="1186" t="s">
        <v>1983</v>
      </c>
      <c r="D1429" s="1186" t="s">
        <v>1982</v>
      </c>
      <c r="E1429" s="1186" t="s">
        <v>2035</v>
      </c>
      <c r="F1429" s="1186" t="s">
        <v>2033</v>
      </c>
      <c r="G1429" s="1186" t="s">
        <v>852</v>
      </c>
      <c r="H1429" s="1186">
        <v>35</v>
      </c>
    </row>
    <row r="1430" spans="1:8" x14ac:dyDescent="0.2">
      <c r="A1430" s="1186" t="s">
        <v>144</v>
      </c>
      <c r="B1430" s="1186" t="s">
        <v>939</v>
      </c>
      <c r="C1430" s="1186" t="s">
        <v>1983</v>
      </c>
      <c r="D1430" s="1186" t="s">
        <v>1982</v>
      </c>
      <c r="E1430" s="1186" t="s">
        <v>2035</v>
      </c>
      <c r="F1430" s="1186" t="s">
        <v>2034</v>
      </c>
      <c r="G1430" s="1186" t="s">
        <v>828</v>
      </c>
      <c r="H1430" s="1186">
        <v>91</v>
      </c>
    </row>
    <row r="1431" spans="1:8" x14ac:dyDescent="0.2">
      <c r="A1431" s="1186" t="s">
        <v>144</v>
      </c>
      <c r="B1431" s="1186" t="s">
        <v>939</v>
      </c>
      <c r="C1431" s="1186" t="s">
        <v>1983</v>
      </c>
      <c r="D1431" s="1186" t="s">
        <v>1982</v>
      </c>
      <c r="E1431" s="1186" t="s">
        <v>2035</v>
      </c>
      <c r="F1431" s="1186" t="s">
        <v>2034</v>
      </c>
      <c r="G1431" s="1186" t="s">
        <v>850</v>
      </c>
      <c r="H1431" s="1186">
        <v>13</v>
      </c>
    </row>
    <row r="1432" spans="1:8" x14ac:dyDescent="0.2">
      <c r="A1432" s="1186" t="s">
        <v>144</v>
      </c>
      <c r="B1432" s="1186" t="s">
        <v>939</v>
      </c>
      <c r="C1432" s="1186" t="s">
        <v>1983</v>
      </c>
      <c r="D1432" s="1186" t="s">
        <v>1982</v>
      </c>
      <c r="E1432" s="1186" t="s">
        <v>2035</v>
      </c>
      <c r="F1432" s="1186" t="s">
        <v>2034</v>
      </c>
      <c r="G1432" s="1186" t="s">
        <v>851</v>
      </c>
      <c r="H1432" s="1186">
        <v>19</v>
      </c>
    </row>
    <row r="1433" spans="1:8" x14ac:dyDescent="0.2">
      <c r="A1433" s="1186" t="s">
        <v>144</v>
      </c>
      <c r="B1433" s="1186" t="s">
        <v>939</v>
      </c>
      <c r="C1433" s="1186" t="s">
        <v>1983</v>
      </c>
      <c r="D1433" s="1186" t="s">
        <v>1982</v>
      </c>
      <c r="E1433" s="1186" t="s">
        <v>2035</v>
      </c>
      <c r="F1433" s="1186" t="s">
        <v>2034</v>
      </c>
      <c r="G1433" s="1186" t="s">
        <v>852</v>
      </c>
      <c r="H1433" s="1186">
        <v>35</v>
      </c>
    </row>
    <row r="1434" spans="1:8" x14ac:dyDescent="0.2">
      <c r="A1434" s="1186" t="s">
        <v>144</v>
      </c>
      <c r="B1434" s="1186" t="s">
        <v>940</v>
      </c>
      <c r="C1434" s="1186" t="s">
        <v>1983</v>
      </c>
      <c r="D1434" s="1186" t="s">
        <v>1984</v>
      </c>
      <c r="E1434" s="1186" t="s">
        <v>2031</v>
      </c>
      <c r="F1434" s="1186" t="s">
        <v>2032</v>
      </c>
      <c r="G1434" s="1186" t="s">
        <v>828</v>
      </c>
      <c r="H1434" s="1186">
        <v>2</v>
      </c>
    </row>
    <row r="1435" spans="1:8" x14ac:dyDescent="0.2">
      <c r="A1435" s="1186" t="s">
        <v>144</v>
      </c>
      <c r="B1435" s="1186" t="s">
        <v>940</v>
      </c>
      <c r="C1435" s="1186" t="s">
        <v>1983</v>
      </c>
      <c r="D1435" s="1186" t="s">
        <v>1984</v>
      </c>
      <c r="E1435" s="1186" t="s">
        <v>2031</v>
      </c>
      <c r="F1435" s="1186" t="s">
        <v>2032</v>
      </c>
      <c r="G1435" s="1186" t="s">
        <v>851</v>
      </c>
      <c r="H1435" s="1186">
        <v>1</v>
      </c>
    </row>
    <row r="1436" spans="1:8" x14ac:dyDescent="0.2">
      <c r="A1436" s="1186" t="s">
        <v>144</v>
      </c>
      <c r="B1436" s="1186" t="s">
        <v>940</v>
      </c>
      <c r="C1436" s="1186" t="s">
        <v>1983</v>
      </c>
      <c r="D1436" s="1186" t="s">
        <v>1984</v>
      </c>
      <c r="E1436" s="1186" t="s">
        <v>2031</v>
      </c>
      <c r="F1436" s="1186" t="s">
        <v>2033</v>
      </c>
      <c r="G1436" s="1186" t="s">
        <v>828</v>
      </c>
      <c r="H1436" s="1186">
        <v>78</v>
      </c>
    </row>
    <row r="1437" spans="1:8" x14ac:dyDescent="0.2">
      <c r="A1437" s="1186" t="s">
        <v>144</v>
      </c>
      <c r="B1437" s="1186" t="s">
        <v>940</v>
      </c>
      <c r="C1437" s="1186" t="s">
        <v>1983</v>
      </c>
      <c r="D1437" s="1186" t="s">
        <v>1984</v>
      </c>
      <c r="E1437" s="1186" t="s">
        <v>2031</v>
      </c>
      <c r="F1437" s="1186" t="s">
        <v>2033</v>
      </c>
      <c r="G1437" s="1186" t="s">
        <v>850</v>
      </c>
      <c r="H1437" s="1186">
        <v>13</v>
      </c>
    </row>
    <row r="1438" spans="1:8" x14ac:dyDescent="0.2">
      <c r="A1438" s="1186" t="s">
        <v>144</v>
      </c>
      <c r="B1438" s="1186" t="s">
        <v>940</v>
      </c>
      <c r="C1438" s="1186" t="s">
        <v>1983</v>
      </c>
      <c r="D1438" s="1186" t="s">
        <v>1984</v>
      </c>
      <c r="E1438" s="1186" t="s">
        <v>2031</v>
      </c>
      <c r="F1438" s="1186" t="s">
        <v>2033</v>
      </c>
      <c r="G1438" s="1186" t="s">
        <v>851</v>
      </c>
      <c r="H1438" s="1186">
        <v>5</v>
      </c>
    </row>
    <row r="1439" spans="1:8" x14ac:dyDescent="0.2">
      <c r="A1439" s="1186" t="s">
        <v>144</v>
      </c>
      <c r="B1439" s="1186" t="s">
        <v>940</v>
      </c>
      <c r="C1439" s="1186" t="s">
        <v>1983</v>
      </c>
      <c r="D1439" s="1186" t="s">
        <v>1984</v>
      </c>
      <c r="E1439" s="1186" t="s">
        <v>2031</v>
      </c>
      <c r="F1439" s="1186" t="s">
        <v>2033</v>
      </c>
      <c r="G1439" s="1186" t="s">
        <v>852</v>
      </c>
      <c r="H1439" s="1186">
        <v>5</v>
      </c>
    </row>
    <row r="1440" spans="1:8" x14ac:dyDescent="0.2">
      <c r="A1440" s="1186" t="s">
        <v>144</v>
      </c>
      <c r="B1440" s="1186" t="s">
        <v>940</v>
      </c>
      <c r="C1440" s="1186" t="s">
        <v>1983</v>
      </c>
      <c r="D1440" s="1186" t="s">
        <v>1984</v>
      </c>
      <c r="E1440" s="1186" t="s">
        <v>2031</v>
      </c>
      <c r="F1440" s="1186" t="s">
        <v>2034</v>
      </c>
      <c r="G1440" s="1186" t="s">
        <v>828</v>
      </c>
      <c r="H1440" s="1186">
        <v>19</v>
      </c>
    </row>
    <row r="1441" spans="1:8" x14ac:dyDescent="0.2">
      <c r="A1441" s="1186" t="s">
        <v>144</v>
      </c>
      <c r="B1441" s="1186" t="s">
        <v>940</v>
      </c>
      <c r="C1441" s="1186" t="s">
        <v>1983</v>
      </c>
      <c r="D1441" s="1186" t="s">
        <v>1984</v>
      </c>
      <c r="E1441" s="1186" t="s">
        <v>2031</v>
      </c>
      <c r="F1441" s="1186" t="s">
        <v>2034</v>
      </c>
      <c r="G1441" s="1186" t="s">
        <v>850</v>
      </c>
      <c r="H1441" s="1186">
        <v>2</v>
      </c>
    </row>
    <row r="1442" spans="1:8" x14ac:dyDescent="0.2">
      <c r="A1442" s="1186" t="s">
        <v>144</v>
      </c>
      <c r="B1442" s="1186" t="s">
        <v>940</v>
      </c>
      <c r="C1442" s="1186" t="s">
        <v>1983</v>
      </c>
      <c r="D1442" s="1186" t="s">
        <v>1984</v>
      </c>
      <c r="E1442" s="1186" t="s">
        <v>2031</v>
      </c>
      <c r="F1442" s="1186" t="s">
        <v>2034</v>
      </c>
      <c r="G1442" s="1186" t="s">
        <v>851</v>
      </c>
      <c r="H1442" s="1186">
        <v>1</v>
      </c>
    </row>
    <row r="1443" spans="1:8" x14ac:dyDescent="0.2">
      <c r="A1443" s="1186" t="s">
        <v>144</v>
      </c>
      <c r="B1443" s="1186" t="s">
        <v>940</v>
      </c>
      <c r="C1443" s="1186" t="s">
        <v>1983</v>
      </c>
      <c r="D1443" s="1186" t="s">
        <v>1984</v>
      </c>
      <c r="E1443" s="1186" t="s">
        <v>2035</v>
      </c>
      <c r="F1443" s="1186" t="s">
        <v>2032</v>
      </c>
      <c r="G1443" s="1186" t="s">
        <v>828</v>
      </c>
      <c r="H1443" s="1186">
        <v>12</v>
      </c>
    </row>
    <row r="1444" spans="1:8" x14ac:dyDescent="0.2">
      <c r="A1444" s="1186" t="s">
        <v>144</v>
      </c>
      <c r="B1444" s="1186" t="s">
        <v>940</v>
      </c>
      <c r="C1444" s="1186" t="s">
        <v>1983</v>
      </c>
      <c r="D1444" s="1186" t="s">
        <v>1984</v>
      </c>
      <c r="E1444" s="1186" t="s">
        <v>2035</v>
      </c>
      <c r="F1444" s="1186" t="s">
        <v>2032</v>
      </c>
      <c r="G1444" s="1186" t="s">
        <v>851</v>
      </c>
      <c r="H1444" s="1186">
        <v>7</v>
      </c>
    </row>
    <row r="1445" spans="1:8" x14ac:dyDescent="0.2">
      <c r="A1445" s="1186" t="s">
        <v>144</v>
      </c>
      <c r="B1445" s="1186" t="s">
        <v>940</v>
      </c>
      <c r="C1445" s="1186" t="s">
        <v>1983</v>
      </c>
      <c r="D1445" s="1186" t="s">
        <v>1984</v>
      </c>
      <c r="E1445" s="1186" t="s">
        <v>2035</v>
      </c>
      <c r="F1445" s="1186" t="s">
        <v>2032</v>
      </c>
      <c r="G1445" s="1186" t="s">
        <v>852</v>
      </c>
      <c r="H1445" s="1186">
        <v>6</v>
      </c>
    </row>
    <row r="1446" spans="1:8" x14ac:dyDescent="0.2">
      <c r="A1446" s="1186" t="s">
        <v>144</v>
      </c>
      <c r="B1446" s="1186" t="s">
        <v>940</v>
      </c>
      <c r="C1446" s="1186" t="s">
        <v>1983</v>
      </c>
      <c r="D1446" s="1186" t="s">
        <v>1984</v>
      </c>
      <c r="E1446" s="1186" t="s">
        <v>2035</v>
      </c>
      <c r="F1446" s="1186" t="s">
        <v>2033</v>
      </c>
      <c r="G1446" s="1186" t="s">
        <v>828</v>
      </c>
      <c r="H1446" s="1186">
        <v>63</v>
      </c>
    </row>
    <row r="1447" spans="1:8" x14ac:dyDescent="0.2">
      <c r="A1447" s="1186" t="s">
        <v>144</v>
      </c>
      <c r="B1447" s="1186" t="s">
        <v>940</v>
      </c>
      <c r="C1447" s="1186" t="s">
        <v>1983</v>
      </c>
      <c r="D1447" s="1186" t="s">
        <v>1984</v>
      </c>
      <c r="E1447" s="1186" t="s">
        <v>2035</v>
      </c>
      <c r="F1447" s="1186" t="s">
        <v>2033</v>
      </c>
      <c r="G1447" s="1186" t="s">
        <v>850</v>
      </c>
      <c r="H1447" s="1186">
        <v>13</v>
      </c>
    </row>
    <row r="1448" spans="1:8" x14ac:dyDescent="0.2">
      <c r="A1448" s="1186" t="s">
        <v>144</v>
      </c>
      <c r="B1448" s="1186" t="s">
        <v>940</v>
      </c>
      <c r="C1448" s="1186" t="s">
        <v>1983</v>
      </c>
      <c r="D1448" s="1186" t="s">
        <v>1984</v>
      </c>
      <c r="E1448" s="1186" t="s">
        <v>2035</v>
      </c>
      <c r="F1448" s="1186" t="s">
        <v>2033</v>
      </c>
      <c r="G1448" s="1186" t="s">
        <v>851</v>
      </c>
      <c r="H1448" s="1186">
        <v>181</v>
      </c>
    </row>
    <row r="1449" spans="1:8" x14ac:dyDescent="0.2">
      <c r="A1449" s="1186" t="s">
        <v>144</v>
      </c>
      <c r="B1449" s="1186" t="s">
        <v>940</v>
      </c>
      <c r="C1449" s="1186" t="s">
        <v>1983</v>
      </c>
      <c r="D1449" s="1186" t="s">
        <v>1984</v>
      </c>
      <c r="E1449" s="1186" t="s">
        <v>2035</v>
      </c>
      <c r="F1449" s="1186" t="s">
        <v>2033</v>
      </c>
      <c r="G1449" s="1186" t="s">
        <v>852</v>
      </c>
      <c r="H1449" s="1186">
        <v>34</v>
      </c>
    </row>
    <row r="1450" spans="1:8" x14ac:dyDescent="0.2">
      <c r="A1450" s="1186" t="s">
        <v>144</v>
      </c>
      <c r="B1450" s="1186" t="s">
        <v>940</v>
      </c>
      <c r="C1450" s="1186" t="s">
        <v>1983</v>
      </c>
      <c r="D1450" s="1186" t="s">
        <v>1984</v>
      </c>
      <c r="E1450" s="1186" t="s">
        <v>2035</v>
      </c>
      <c r="F1450" s="1186" t="s">
        <v>2034</v>
      </c>
      <c r="G1450" s="1186" t="s">
        <v>828</v>
      </c>
      <c r="H1450" s="1186">
        <v>86</v>
      </c>
    </row>
    <row r="1451" spans="1:8" x14ac:dyDescent="0.2">
      <c r="A1451" s="1186" t="s">
        <v>144</v>
      </c>
      <c r="B1451" s="1186" t="s">
        <v>940</v>
      </c>
      <c r="C1451" s="1186" t="s">
        <v>1983</v>
      </c>
      <c r="D1451" s="1186" t="s">
        <v>1984</v>
      </c>
      <c r="E1451" s="1186" t="s">
        <v>2035</v>
      </c>
      <c r="F1451" s="1186" t="s">
        <v>2034</v>
      </c>
      <c r="G1451" s="1186" t="s">
        <v>850</v>
      </c>
      <c r="H1451" s="1186">
        <v>34</v>
      </c>
    </row>
    <row r="1452" spans="1:8" x14ac:dyDescent="0.2">
      <c r="A1452" s="1186" t="s">
        <v>144</v>
      </c>
      <c r="B1452" s="1186" t="s">
        <v>940</v>
      </c>
      <c r="C1452" s="1186" t="s">
        <v>1983</v>
      </c>
      <c r="D1452" s="1186" t="s">
        <v>1984</v>
      </c>
      <c r="E1452" s="1186" t="s">
        <v>2035</v>
      </c>
      <c r="F1452" s="1186" t="s">
        <v>2034</v>
      </c>
      <c r="G1452" s="1186" t="s">
        <v>851</v>
      </c>
      <c r="H1452" s="1186">
        <v>31</v>
      </c>
    </row>
    <row r="1453" spans="1:8" x14ac:dyDescent="0.2">
      <c r="A1453" s="1186" t="s">
        <v>144</v>
      </c>
      <c r="B1453" s="1186" t="s">
        <v>940</v>
      </c>
      <c r="C1453" s="1186" t="s">
        <v>1983</v>
      </c>
      <c r="D1453" s="1186" t="s">
        <v>1984</v>
      </c>
      <c r="E1453" s="1186" t="s">
        <v>2035</v>
      </c>
      <c r="F1453" s="1186" t="s">
        <v>2034</v>
      </c>
      <c r="G1453" s="1186" t="s">
        <v>852</v>
      </c>
      <c r="H1453" s="1186">
        <v>29</v>
      </c>
    </row>
    <row r="1454" spans="1:8" x14ac:dyDescent="0.2">
      <c r="A1454" s="1186" t="s">
        <v>144</v>
      </c>
      <c r="B1454" s="1186" t="s">
        <v>941</v>
      </c>
      <c r="C1454" s="1186" t="s">
        <v>1983</v>
      </c>
      <c r="D1454" s="1186" t="s">
        <v>1984</v>
      </c>
      <c r="E1454" s="1186" t="s">
        <v>2031</v>
      </c>
      <c r="F1454" s="1186" t="s">
        <v>2032</v>
      </c>
      <c r="G1454" s="1186" t="s">
        <v>828</v>
      </c>
      <c r="H1454" s="1186">
        <v>2</v>
      </c>
    </row>
    <row r="1455" spans="1:8" x14ac:dyDescent="0.2">
      <c r="A1455" s="1186" t="s">
        <v>144</v>
      </c>
      <c r="B1455" s="1186" t="s">
        <v>941</v>
      </c>
      <c r="C1455" s="1186" t="s">
        <v>1983</v>
      </c>
      <c r="D1455" s="1186" t="s">
        <v>1984</v>
      </c>
      <c r="E1455" s="1186" t="s">
        <v>2031</v>
      </c>
      <c r="F1455" s="1186" t="s">
        <v>2032</v>
      </c>
      <c r="G1455" s="1186" t="s">
        <v>851</v>
      </c>
      <c r="H1455" s="1186">
        <v>1</v>
      </c>
    </row>
    <row r="1456" spans="1:8" x14ac:dyDescent="0.2">
      <c r="A1456" s="1186" t="s">
        <v>144</v>
      </c>
      <c r="B1456" s="1186" t="s">
        <v>941</v>
      </c>
      <c r="C1456" s="1186" t="s">
        <v>1983</v>
      </c>
      <c r="D1456" s="1186" t="s">
        <v>1984</v>
      </c>
      <c r="E1456" s="1186" t="s">
        <v>2031</v>
      </c>
      <c r="F1456" s="1186" t="s">
        <v>2033</v>
      </c>
      <c r="G1456" s="1186" t="s">
        <v>828</v>
      </c>
      <c r="H1456" s="1186">
        <v>95</v>
      </c>
    </row>
    <row r="1457" spans="1:8" x14ac:dyDescent="0.2">
      <c r="A1457" s="1186" t="s">
        <v>144</v>
      </c>
      <c r="B1457" s="1186" t="s">
        <v>941</v>
      </c>
      <c r="C1457" s="1186" t="s">
        <v>1983</v>
      </c>
      <c r="D1457" s="1186" t="s">
        <v>1984</v>
      </c>
      <c r="E1457" s="1186" t="s">
        <v>2031</v>
      </c>
      <c r="F1457" s="1186" t="s">
        <v>2033</v>
      </c>
      <c r="G1457" s="1186" t="s">
        <v>850</v>
      </c>
      <c r="H1457" s="1186">
        <v>7</v>
      </c>
    </row>
    <row r="1458" spans="1:8" x14ac:dyDescent="0.2">
      <c r="A1458" s="1186" t="s">
        <v>144</v>
      </c>
      <c r="B1458" s="1186" t="s">
        <v>941</v>
      </c>
      <c r="C1458" s="1186" t="s">
        <v>1983</v>
      </c>
      <c r="D1458" s="1186" t="s">
        <v>1984</v>
      </c>
      <c r="E1458" s="1186" t="s">
        <v>2031</v>
      </c>
      <c r="F1458" s="1186" t="s">
        <v>2033</v>
      </c>
      <c r="G1458" s="1186" t="s">
        <v>851</v>
      </c>
      <c r="H1458" s="1186">
        <v>3</v>
      </c>
    </row>
    <row r="1459" spans="1:8" x14ac:dyDescent="0.2">
      <c r="A1459" s="1186" t="s">
        <v>144</v>
      </c>
      <c r="B1459" s="1186" t="s">
        <v>941</v>
      </c>
      <c r="C1459" s="1186" t="s">
        <v>1983</v>
      </c>
      <c r="D1459" s="1186" t="s">
        <v>1984</v>
      </c>
      <c r="E1459" s="1186" t="s">
        <v>2031</v>
      </c>
      <c r="F1459" s="1186" t="s">
        <v>2033</v>
      </c>
      <c r="G1459" s="1186" t="s">
        <v>852</v>
      </c>
      <c r="H1459" s="1186">
        <v>6</v>
      </c>
    </row>
    <row r="1460" spans="1:8" x14ac:dyDescent="0.2">
      <c r="A1460" s="1186" t="s">
        <v>144</v>
      </c>
      <c r="B1460" s="1186" t="s">
        <v>941</v>
      </c>
      <c r="C1460" s="1186" t="s">
        <v>1983</v>
      </c>
      <c r="D1460" s="1186" t="s">
        <v>1984</v>
      </c>
      <c r="E1460" s="1186" t="s">
        <v>2031</v>
      </c>
      <c r="F1460" s="1186" t="s">
        <v>2034</v>
      </c>
      <c r="G1460" s="1186" t="s">
        <v>828</v>
      </c>
      <c r="H1460" s="1186">
        <v>15</v>
      </c>
    </row>
    <row r="1461" spans="1:8" x14ac:dyDescent="0.2">
      <c r="A1461" s="1186" t="s">
        <v>144</v>
      </c>
      <c r="B1461" s="1186" t="s">
        <v>941</v>
      </c>
      <c r="C1461" s="1186" t="s">
        <v>1983</v>
      </c>
      <c r="D1461" s="1186" t="s">
        <v>1984</v>
      </c>
      <c r="E1461" s="1186" t="s">
        <v>2031</v>
      </c>
      <c r="F1461" s="1186" t="s">
        <v>2034</v>
      </c>
      <c r="G1461" s="1186" t="s">
        <v>850</v>
      </c>
      <c r="H1461" s="1186">
        <v>1</v>
      </c>
    </row>
    <row r="1462" spans="1:8" x14ac:dyDescent="0.2">
      <c r="A1462" s="1186" t="s">
        <v>144</v>
      </c>
      <c r="B1462" s="1186" t="s">
        <v>941</v>
      </c>
      <c r="C1462" s="1186" t="s">
        <v>1983</v>
      </c>
      <c r="D1462" s="1186" t="s">
        <v>1984</v>
      </c>
      <c r="E1462" s="1186" t="s">
        <v>2035</v>
      </c>
      <c r="F1462" s="1186" t="s">
        <v>2032</v>
      </c>
      <c r="G1462" s="1186" t="s">
        <v>828</v>
      </c>
      <c r="H1462" s="1186">
        <v>14</v>
      </c>
    </row>
    <row r="1463" spans="1:8" x14ac:dyDescent="0.2">
      <c r="A1463" s="1186" t="s">
        <v>144</v>
      </c>
      <c r="B1463" s="1186" t="s">
        <v>941</v>
      </c>
      <c r="C1463" s="1186" t="s">
        <v>1983</v>
      </c>
      <c r="D1463" s="1186" t="s">
        <v>1984</v>
      </c>
      <c r="E1463" s="1186" t="s">
        <v>2035</v>
      </c>
      <c r="F1463" s="1186" t="s">
        <v>2032</v>
      </c>
      <c r="G1463" s="1186" t="s">
        <v>851</v>
      </c>
      <c r="H1463" s="1186">
        <v>14</v>
      </c>
    </row>
    <row r="1464" spans="1:8" x14ac:dyDescent="0.2">
      <c r="A1464" s="1186" t="s">
        <v>144</v>
      </c>
      <c r="B1464" s="1186" t="s">
        <v>941</v>
      </c>
      <c r="C1464" s="1186" t="s">
        <v>1983</v>
      </c>
      <c r="D1464" s="1186" t="s">
        <v>1984</v>
      </c>
      <c r="E1464" s="1186" t="s">
        <v>2035</v>
      </c>
      <c r="F1464" s="1186" t="s">
        <v>2032</v>
      </c>
      <c r="G1464" s="1186" t="s">
        <v>852</v>
      </c>
      <c r="H1464" s="1186">
        <v>7</v>
      </c>
    </row>
    <row r="1465" spans="1:8" x14ac:dyDescent="0.2">
      <c r="A1465" s="1186" t="s">
        <v>144</v>
      </c>
      <c r="B1465" s="1186" t="s">
        <v>941</v>
      </c>
      <c r="C1465" s="1186" t="s">
        <v>1983</v>
      </c>
      <c r="D1465" s="1186" t="s">
        <v>1984</v>
      </c>
      <c r="E1465" s="1186" t="s">
        <v>2035</v>
      </c>
      <c r="F1465" s="1186" t="s">
        <v>2033</v>
      </c>
      <c r="G1465" s="1186" t="s">
        <v>828</v>
      </c>
      <c r="H1465" s="1186">
        <v>62</v>
      </c>
    </row>
    <row r="1466" spans="1:8" x14ac:dyDescent="0.2">
      <c r="A1466" s="1186" t="s">
        <v>144</v>
      </c>
      <c r="B1466" s="1186" t="s">
        <v>941</v>
      </c>
      <c r="C1466" s="1186" t="s">
        <v>1983</v>
      </c>
      <c r="D1466" s="1186" t="s">
        <v>1984</v>
      </c>
      <c r="E1466" s="1186" t="s">
        <v>2035</v>
      </c>
      <c r="F1466" s="1186" t="s">
        <v>2033</v>
      </c>
      <c r="G1466" s="1186" t="s">
        <v>850</v>
      </c>
      <c r="H1466" s="1186">
        <v>11</v>
      </c>
    </row>
    <row r="1467" spans="1:8" x14ac:dyDescent="0.2">
      <c r="A1467" s="1186" t="s">
        <v>144</v>
      </c>
      <c r="B1467" s="1186" t="s">
        <v>941</v>
      </c>
      <c r="C1467" s="1186" t="s">
        <v>1983</v>
      </c>
      <c r="D1467" s="1186" t="s">
        <v>1984</v>
      </c>
      <c r="E1467" s="1186" t="s">
        <v>2035</v>
      </c>
      <c r="F1467" s="1186" t="s">
        <v>2033</v>
      </c>
      <c r="G1467" s="1186" t="s">
        <v>851</v>
      </c>
      <c r="H1467" s="1186">
        <v>180</v>
      </c>
    </row>
    <row r="1468" spans="1:8" x14ac:dyDescent="0.2">
      <c r="A1468" s="1186" t="s">
        <v>144</v>
      </c>
      <c r="B1468" s="1186" t="s">
        <v>941</v>
      </c>
      <c r="C1468" s="1186" t="s">
        <v>1983</v>
      </c>
      <c r="D1468" s="1186" t="s">
        <v>1984</v>
      </c>
      <c r="E1468" s="1186" t="s">
        <v>2035</v>
      </c>
      <c r="F1468" s="1186" t="s">
        <v>2033</v>
      </c>
      <c r="G1468" s="1186" t="s">
        <v>852</v>
      </c>
      <c r="H1468" s="1186">
        <v>33</v>
      </c>
    </row>
    <row r="1469" spans="1:8" x14ac:dyDescent="0.2">
      <c r="A1469" s="1186" t="s">
        <v>144</v>
      </c>
      <c r="B1469" s="1186" t="s">
        <v>941</v>
      </c>
      <c r="C1469" s="1186" t="s">
        <v>1983</v>
      </c>
      <c r="D1469" s="1186" t="s">
        <v>1984</v>
      </c>
      <c r="E1469" s="1186" t="s">
        <v>2035</v>
      </c>
      <c r="F1469" s="1186" t="s">
        <v>2034</v>
      </c>
      <c r="G1469" s="1186" t="s">
        <v>828</v>
      </c>
      <c r="H1469" s="1186">
        <v>70</v>
      </c>
    </row>
    <row r="1470" spans="1:8" x14ac:dyDescent="0.2">
      <c r="A1470" s="1186" t="s">
        <v>144</v>
      </c>
      <c r="B1470" s="1186" t="s">
        <v>941</v>
      </c>
      <c r="C1470" s="1186" t="s">
        <v>1983</v>
      </c>
      <c r="D1470" s="1186" t="s">
        <v>1984</v>
      </c>
      <c r="E1470" s="1186" t="s">
        <v>2035</v>
      </c>
      <c r="F1470" s="1186" t="s">
        <v>2034</v>
      </c>
      <c r="G1470" s="1186" t="s">
        <v>850</v>
      </c>
      <c r="H1470" s="1186">
        <v>36</v>
      </c>
    </row>
    <row r="1471" spans="1:8" x14ac:dyDescent="0.2">
      <c r="A1471" s="1186" t="s">
        <v>144</v>
      </c>
      <c r="B1471" s="1186" t="s">
        <v>941</v>
      </c>
      <c r="C1471" s="1186" t="s">
        <v>1983</v>
      </c>
      <c r="D1471" s="1186" t="s">
        <v>1984</v>
      </c>
      <c r="E1471" s="1186" t="s">
        <v>2035</v>
      </c>
      <c r="F1471" s="1186" t="s">
        <v>2034</v>
      </c>
      <c r="G1471" s="1186" t="s">
        <v>851</v>
      </c>
      <c r="H1471" s="1186">
        <v>35</v>
      </c>
    </row>
    <row r="1472" spans="1:8" x14ac:dyDescent="0.2">
      <c r="A1472" s="1186" t="s">
        <v>144</v>
      </c>
      <c r="B1472" s="1186" t="s">
        <v>941</v>
      </c>
      <c r="C1472" s="1186" t="s">
        <v>1983</v>
      </c>
      <c r="D1472" s="1186" t="s">
        <v>1984</v>
      </c>
      <c r="E1472" s="1186" t="s">
        <v>2035</v>
      </c>
      <c r="F1472" s="1186" t="s">
        <v>2034</v>
      </c>
      <c r="G1472" s="1186" t="s">
        <v>852</v>
      </c>
      <c r="H1472" s="1186">
        <v>27</v>
      </c>
    </row>
    <row r="1473" spans="1:8" x14ac:dyDescent="0.2">
      <c r="A1473" s="1186" t="s">
        <v>144</v>
      </c>
      <c r="B1473" s="1186" t="s">
        <v>942</v>
      </c>
      <c r="C1473" s="1186" t="s">
        <v>1985</v>
      </c>
      <c r="D1473" s="1186" t="s">
        <v>1984</v>
      </c>
      <c r="E1473" s="1186" t="s">
        <v>2031</v>
      </c>
      <c r="F1473" s="1186" t="s">
        <v>2032</v>
      </c>
      <c r="G1473" s="1186" t="s">
        <v>828</v>
      </c>
      <c r="H1473" s="1186">
        <v>2</v>
      </c>
    </row>
    <row r="1474" spans="1:8" x14ac:dyDescent="0.2">
      <c r="A1474" s="1186" t="s">
        <v>144</v>
      </c>
      <c r="B1474" s="1186" t="s">
        <v>942</v>
      </c>
      <c r="C1474" s="1186" t="s">
        <v>1985</v>
      </c>
      <c r="D1474" s="1186" t="s">
        <v>1984</v>
      </c>
      <c r="E1474" s="1186" t="s">
        <v>2031</v>
      </c>
      <c r="F1474" s="1186" t="s">
        <v>2032</v>
      </c>
      <c r="G1474" s="1186" t="s">
        <v>850</v>
      </c>
      <c r="H1474" s="1186">
        <v>1</v>
      </c>
    </row>
    <row r="1475" spans="1:8" x14ac:dyDescent="0.2">
      <c r="A1475" s="1186" t="s">
        <v>144</v>
      </c>
      <c r="B1475" s="1186" t="s">
        <v>942</v>
      </c>
      <c r="C1475" s="1186" t="s">
        <v>1985</v>
      </c>
      <c r="D1475" s="1186" t="s">
        <v>1984</v>
      </c>
      <c r="E1475" s="1186" t="s">
        <v>2031</v>
      </c>
      <c r="F1475" s="1186" t="s">
        <v>2032</v>
      </c>
      <c r="G1475" s="1186" t="s">
        <v>851</v>
      </c>
      <c r="H1475" s="1186">
        <v>1</v>
      </c>
    </row>
    <row r="1476" spans="1:8" x14ac:dyDescent="0.2">
      <c r="A1476" s="1186" t="s">
        <v>144</v>
      </c>
      <c r="B1476" s="1186" t="s">
        <v>942</v>
      </c>
      <c r="C1476" s="1186" t="s">
        <v>1985</v>
      </c>
      <c r="D1476" s="1186" t="s">
        <v>1984</v>
      </c>
      <c r="E1476" s="1186" t="s">
        <v>2031</v>
      </c>
      <c r="F1476" s="1186" t="s">
        <v>2033</v>
      </c>
      <c r="G1476" s="1186" t="s">
        <v>828</v>
      </c>
      <c r="H1476" s="1186">
        <v>86</v>
      </c>
    </row>
    <row r="1477" spans="1:8" x14ac:dyDescent="0.2">
      <c r="A1477" s="1186" t="s">
        <v>144</v>
      </c>
      <c r="B1477" s="1186" t="s">
        <v>942</v>
      </c>
      <c r="C1477" s="1186" t="s">
        <v>1985</v>
      </c>
      <c r="D1477" s="1186" t="s">
        <v>1984</v>
      </c>
      <c r="E1477" s="1186" t="s">
        <v>2031</v>
      </c>
      <c r="F1477" s="1186" t="s">
        <v>2033</v>
      </c>
      <c r="G1477" s="1186" t="s">
        <v>850</v>
      </c>
      <c r="H1477" s="1186">
        <v>15</v>
      </c>
    </row>
    <row r="1478" spans="1:8" x14ac:dyDescent="0.2">
      <c r="A1478" s="1186" t="s">
        <v>144</v>
      </c>
      <c r="B1478" s="1186" t="s">
        <v>942</v>
      </c>
      <c r="C1478" s="1186" t="s">
        <v>1985</v>
      </c>
      <c r="D1478" s="1186" t="s">
        <v>1984</v>
      </c>
      <c r="E1478" s="1186" t="s">
        <v>2031</v>
      </c>
      <c r="F1478" s="1186" t="s">
        <v>2033</v>
      </c>
      <c r="G1478" s="1186" t="s">
        <v>851</v>
      </c>
      <c r="H1478" s="1186">
        <v>5</v>
      </c>
    </row>
    <row r="1479" spans="1:8" x14ac:dyDescent="0.2">
      <c r="A1479" s="1186" t="s">
        <v>144</v>
      </c>
      <c r="B1479" s="1186" t="s">
        <v>942</v>
      </c>
      <c r="C1479" s="1186" t="s">
        <v>1985</v>
      </c>
      <c r="D1479" s="1186" t="s">
        <v>1984</v>
      </c>
      <c r="E1479" s="1186" t="s">
        <v>2031</v>
      </c>
      <c r="F1479" s="1186" t="s">
        <v>2033</v>
      </c>
      <c r="G1479" s="1186" t="s">
        <v>852</v>
      </c>
      <c r="H1479" s="1186">
        <v>2</v>
      </c>
    </row>
    <row r="1480" spans="1:8" x14ac:dyDescent="0.2">
      <c r="A1480" s="1186" t="s">
        <v>144</v>
      </c>
      <c r="B1480" s="1186" t="s">
        <v>942</v>
      </c>
      <c r="C1480" s="1186" t="s">
        <v>1985</v>
      </c>
      <c r="D1480" s="1186" t="s">
        <v>1984</v>
      </c>
      <c r="E1480" s="1186" t="s">
        <v>2031</v>
      </c>
      <c r="F1480" s="1186" t="s">
        <v>2034</v>
      </c>
      <c r="G1480" s="1186" t="s">
        <v>828</v>
      </c>
      <c r="H1480" s="1186">
        <v>18</v>
      </c>
    </row>
    <row r="1481" spans="1:8" x14ac:dyDescent="0.2">
      <c r="A1481" s="1186" t="s">
        <v>144</v>
      </c>
      <c r="B1481" s="1186" t="s">
        <v>942</v>
      </c>
      <c r="C1481" s="1186" t="s">
        <v>1985</v>
      </c>
      <c r="D1481" s="1186" t="s">
        <v>1984</v>
      </c>
      <c r="E1481" s="1186" t="s">
        <v>2031</v>
      </c>
      <c r="F1481" s="1186" t="s">
        <v>2034</v>
      </c>
      <c r="G1481" s="1186" t="s">
        <v>850</v>
      </c>
      <c r="H1481" s="1186">
        <v>4</v>
      </c>
    </row>
    <row r="1482" spans="1:8" x14ac:dyDescent="0.2">
      <c r="A1482" s="1186" t="s">
        <v>144</v>
      </c>
      <c r="B1482" s="1186" t="s">
        <v>942</v>
      </c>
      <c r="C1482" s="1186" t="s">
        <v>1985</v>
      </c>
      <c r="D1482" s="1186" t="s">
        <v>1984</v>
      </c>
      <c r="E1482" s="1186" t="s">
        <v>2031</v>
      </c>
      <c r="F1482" s="1186" t="s">
        <v>2034</v>
      </c>
      <c r="G1482" s="1186" t="s">
        <v>851</v>
      </c>
      <c r="H1482" s="1186">
        <v>2</v>
      </c>
    </row>
    <row r="1483" spans="1:8" x14ac:dyDescent="0.2">
      <c r="A1483" s="1186" t="s">
        <v>144</v>
      </c>
      <c r="B1483" s="1186" t="s">
        <v>942</v>
      </c>
      <c r="C1483" s="1186" t="s">
        <v>1985</v>
      </c>
      <c r="D1483" s="1186" t="s">
        <v>1984</v>
      </c>
      <c r="E1483" s="1186" t="s">
        <v>2035</v>
      </c>
      <c r="F1483" s="1186" t="s">
        <v>2032</v>
      </c>
      <c r="G1483" s="1186" t="s">
        <v>828</v>
      </c>
      <c r="H1483" s="1186">
        <v>19</v>
      </c>
    </row>
    <row r="1484" spans="1:8" x14ac:dyDescent="0.2">
      <c r="A1484" s="1186" t="s">
        <v>144</v>
      </c>
      <c r="B1484" s="1186" t="s">
        <v>942</v>
      </c>
      <c r="C1484" s="1186" t="s">
        <v>1985</v>
      </c>
      <c r="D1484" s="1186" t="s">
        <v>1984</v>
      </c>
      <c r="E1484" s="1186" t="s">
        <v>2035</v>
      </c>
      <c r="F1484" s="1186" t="s">
        <v>2032</v>
      </c>
      <c r="G1484" s="1186" t="s">
        <v>851</v>
      </c>
      <c r="H1484" s="1186">
        <v>7</v>
      </c>
    </row>
    <row r="1485" spans="1:8" x14ac:dyDescent="0.2">
      <c r="A1485" s="1186" t="s">
        <v>144</v>
      </c>
      <c r="B1485" s="1186" t="s">
        <v>942</v>
      </c>
      <c r="C1485" s="1186" t="s">
        <v>1985</v>
      </c>
      <c r="D1485" s="1186" t="s">
        <v>1984</v>
      </c>
      <c r="E1485" s="1186" t="s">
        <v>2035</v>
      </c>
      <c r="F1485" s="1186" t="s">
        <v>2032</v>
      </c>
      <c r="G1485" s="1186" t="s">
        <v>852</v>
      </c>
      <c r="H1485" s="1186">
        <v>3</v>
      </c>
    </row>
    <row r="1486" spans="1:8" x14ac:dyDescent="0.2">
      <c r="A1486" s="1186" t="s">
        <v>144</v>
      </c>
      <c r="B1486" s="1186" t="s">
        <v>942</v>
      </c>
      <c r="C1486" s="1186" t="s">
        <v>1985</v>
      </c>
      <c r="D1486" s="1186" t="s">
        <v>1984</v>
      </c>
      <c r="E1486" s="1186" t="s">
        <v>2035</v>
      </c>
      <c r="F1486" s="1186" t="s">
        <v>2033</v>
      </c>
      <c r="G1486" s="1186" t="s">
        <v>828</v>
      </c>
      <c r="H1486" s="1186">
        <v>52</v>
      </c>
    </row>
    <row r="1487" spans="1:8" x14ac:dyDescent="0.2">
      <c r="A1487" s="1186" t="s">
        <v>144</v>
      </c>
      <c r="B1487" s="1186" t="s">
        <v>942</v>
      </c>
      <c r="C1487" s="1186" t="s">
        <v>1985</v>
      </c>
      <c r="D1487" s="1186" t="s">
        <v>1984</v>
      </c>
      <c r="E1487" s="1186" t="s">
        <v>2035</v>
      </c>
      <c r="F1487" s="1186" t="s">
        <v>2033</v>
      </c>
      <c r="G1487" s="1186" t="s">
        <v>850</v>
      </c>
      <c r="H1487" s="1186">
        <v>12</v>
      </c>
    </row>
    <row r="1488" spans="1:8" x14ac:dyDescent="0.2">
      <c r="A1488" s="1186" t="s">
        <v>144</v>
      </c>
      <c r="B1488" s="1186" t="s">
        <v>942</v>
      </c>
      <c r="C1488" s="1186" t="s">
        <v>1985</v>
      </c>
      <c r="D1488" s="1186" t="s">
        <v>1984</v>
      </c>
      <c r="E1488" s="1186" t="s">
        <v>2035</v>
      </c>
      <c r="F1488" s="1186" t="s">
        <v>2033</v>
      </c>
      <c r="G1488" s="1186" t="s">
        <v>851</v>
      </c>
      <c r="H1488" s="1186">
        <v>183</v>
      </c>
    </row>
    <row r="1489" spans="1:8" x14ac:dyDescent="0.2">
      <c r="A1489" s="1186" t="s">
        <v>144</v>
      </c>
      <c r="B1489" s="1186" t="s">
        <v>942</v>
      </c>
      <c r="C1489" s="1186" t="s">
        <v>1985</v>
      </c>
      <c r="D1489" s="1186" t="s">
        <v>1984</v>
      </c>
      <c r="E1489" s="1186" t="s">
        <v>2035</v>
      </c>
      <c r="F1489" s="1186" t="s">
        <v>2033</v>
      </c>
      <c r="G1489" s="1186" t="s">
        <v>852</v>
      </c>
      <c r="H1489" s="1186">
        <v>27</v>
      </c>
    </row>
    <row r="1490" spans="1:8" x14ac:dyDescent="0.2">
      <c r="A1490" s="1186" t="s">
        <v>144</v>
      </c>
      <c r="B1490" s="1186" t="s">
        <v>942</v>
      </c>
      <c r="C1490" s="1186" t="s">
        <v>1985</v>
      </c>
      <c r="D1490" s="1186" t="s">
        <v>1984</v>
      </c>
      <c r="E1490" s="1186" t="s">
        <v>2035</v>
      </c>
      <c r="F1490" s="1186" t="s">
        <v>2034</v>
      </c>
      <c r="G1490" s="1186" t="s">
        <v>828</v>
      </c>
      <c r="H1490" s="1186">
        <v>81</v>
      </c>
    </row>
    <row r="1491" spans="1:8" x14ac:dyDescent="0.2">
      <c r="A1491" s="1186" t="s">
        <v>144</v>
      </c>
      <c r="B1491" s="1186" t="s">
        <v>942</v>
      </c>
      <c r="C1491" s="1186" t="s">
        <v>1985</v>
      </c>
      <c r="D1491" s="1186" t="s">
        <v>1984</v>
      </c>
      <c r="E1491" s="1186" t="s">
        <v>2035</v>
      </c>
      <c r="F1491" s="1186" t="s">
        <v>2034</v>
      </c>
      <c r="G1491" s="1186" t="s">
        <v>850</v>
      </c>
      <c r="H1491" s="1186">
        <v>44</v>
      </c>
    </row>
    <row r="1492" spans="1:8" x14ac:dyDescent="0.2">
      <c r="A1492" s="1186" t="s">
        <v>144</v>
      </c>
      <c r="B1492" s="1186" t="s">
        <v>942</v>
      </c>
      <c r="C1492" s="1186" t="s">
        <v>1985</v>
      </c>
      <c r="D1492" s="1186" t="s">
        <v>1984</v>
      </c>
      <c r="E1492" s="1186" t="s">
        <v>2035</v>
      </c>
      <c r="F1492" s="1186" t="s">
        <v>2034</v>
      </c>
      <c r="G1492" s="1186" t="s">
        <v>851</v>
      </c>
      <c r="H1492" s="1186">
        <v>18</v>
      </c>
    </row>
    <row r="1493" spans="1:8" x14ac:dyDescent="0.2">
      <c r="A1493" s="1186" t="s">
        <v>144</v>
      </c>
      <c r="B1493" s="1186" t="s">
        <v>942</v>
      </c>
      <c r="C1493" s="1186" t="s">
        <v>1985</v>
      </c>
      <c r="D1493" s="1186" t="s">
        <v>1984</v>
      </c>
      <c r="E1493" s="1186" t="s">
        <v>2035</v>
      </c>
      <c r="F1493" s="1186" t="s">
        <v>2034</v>
      </c>
      <c r="G1493" s="1186" t="s">
        <v>852</v>
      </c>
      <c r="H1493" s="1186">
        <v>33</v>
      </c>
    </row>
    <row r="1494" spans="1:8" x14ac:dyDescent="0.2">
      <c r="A1494" s="1186" t="s">
        <v>144</v>
      </c>
      <c r="B1494" s="1186" t="s">
        <v>943</v>
      </c>
      <c r="C1494" s="1186" t="s">
        <v>1985</v>
      </c>
      <c r="D1494" s="1186" t="s">
        <v>1986</v>
      </c>
      <c r="E1494" s="1186" t="s">
        <v>2031</v>
      </c>
      <c r="F1494" s="1186" t="s">
        <v>2032</v>
      </c>
      <c r="G1494" s="1186" t="s">
        <v>828</v>
      </c>
      <c r="H1494" s="1186">
        <v>2</v>
      </c>
    </row>
    <row r="1495" spans="1:8" x14ac:dyDescent="0.2">
      <c r="A1495" s="1186" t="s">
        <v>144</v>
      </c>
      <c r="B1495" s="1186" t="s">
        <v>943</v>
      </c>
      <c r="C1495" s="1186" t="s">
        <v>1985</v>
      </c>
      <c r="D1495" s="1186" t="s">
        <v>1986</v>
      </c>
      <c r="E1495" s="1186" t="s">
        <v>2031</v>
      </c>
      <c r="F1495" s="1186" t="s">
        <v>2032</v>
      </c>
      <c r="G1495" s="1186" t="s">
        <v>850</v>
      </c>
      <c r="H1495" s="1186">
        <v>1</v>
      </c>
    </row>
    <row r="1496" spans="1:8" x14ac:dyDescent="0.2">
      <c r="A1496" s="1186" t="s">
        <v>144</v>
      </c>
      <c r="B1496" s="1186" t="s">
        <v>943</v>
      </c>
      <c r="C1496" s="1186" t="s">
        <v>1985</v>
      </c>
      <c r="D1496" s="1186" t="s">
        <v>1986</v>
      </c>
      <c r="E1496" s="1186" t="s">
        <v>2031</v>
      </c>
      <c r="F1496" s="1186" t="s">
        <v>2032</v>
      </c>
      <c r="G1496" s="1186" t="s">
        <v>851</v>
      </c>
      <c r="H1496" s="1186">
        <v>1</v>
      </c>
    </row>
    <row r="1497" spans="1:8" x14ac:dyDescent="0.2">
      <c r="A1497" s="1186" t="s">
        <v>144</v>
      </c>
      <c r="B1497" s="1186" t="s">
        <v>943</v>
      </c>
      <c r="C1497" s="1186" t="s">
        <v>1985</v>
      </c>
      <c r="D1497" s="1186" t="s">
        <v>1986</v>
      </c>
      <c r="E1497" s="1186" t="s">
        <v>2031</v>
      </c>
      <c r="F1497" s="1186" t="s">
        <v>2033</v>
      </c>
      <c r="G1497" s="1186" t="s">
        <v>828</v>
      </c>
      <c r="H1497" s="1186">
        <v>93</v>
      </c>
    </row>
    <row r="1498" spans="1:8" x14ac:dyDescent="0.2">
      <c r="A1498" s="1186" t="s">
        <v>144</v>
      </c>
      <c r="B1498" s="1186" t="s">
        <v>943</v>
      </c>
      <c r="C1498" s="1186" t="s">
        <v>1985</v>
      </c>
      <c r="D1498" s="1186" t="s">
        <v>1986</v>
      </c>
      <c r="E1498" s="1186" t="s">
        <v>2031</v>
      </c>
      <c r="F1498" s="1186" t="s">
        <v>2033</v>
      </c>
      <c r="G1498" s="1186" t="s">
        <v>850</v>
      </c>
      <c r="H1498" s="1186">
        <v>13</v>
      </c>
    </row>
    <row r="1499" spans="1:8" x14ac:dyDescent="0.2">
      <c r="A1499" s="1186" t="s">
        <v>144</v>
      </c>
      <c r="B1499" s="1186" t="s">
        <v>943</v>
      </c>
      <c r="C1499" s="1186" t="s">
        <v>1985</v>
      </c>
      <c r="D1499" s="1186" t="s">
        <v>1986</v>
      </c>
      <c r="E1499" s="1186" t="s">
        <v>2031</v>
      </c>
      <c r="F1499" s="1186" t="s">
        <v>2033</v>
      </c>
      <c r="G1499" s="1186" t="s">
        <v>851</v>
      </c>
      <c r="H1499" s="1186">
        <v>4</v>
      </c>
    </row>
    <row r="1500" spans="1:8" x14ac:dyDescent="0.2">
      <c r="A1500" s="1186" t="s">
        <v>144</v>
      </c>
      <c r="B1500" s="1186" t="s">
        <v>943</v>
      </c>
      <c r="C1500" s="1186" t="s">
        <v>1985</v>
      </c>
      <c r="D1500" s="1186" t="s">
        <v>1986</v>
      </c>
      <c r="E1500" s="1186" t="s">
        <v>2031</v>
      </c>
      <c r="F1500" s="1186" t="s">
        <v>2034</v>
      </c>
      <c r="G1500" s="1186" t="s">
        <v>828</v>
      </c>
      <c r="H1500" s="1186">
        <v>25</v>
      </c>
    </row>
    <row r="1501" spans="1:8" x14ac:dyDescent="0.2">
      <c r="A1501" s="1186" t="s">
        <v>144</v>
      </c>
      <c r="B1501" s="1186" t="s">
        <v>943</v>
      </c>
      <c r="C1501" s="1186" t="s">
        <v>1985</v>
      </c>
      <c r="D1501" s="1186" t="s">
        <v>1986</v>
      </c>
      <c r="E1501" s="1186" t="s">
        <v>2031</v>
      </c>
      <c r="F1501" s="1186" t="s">
        <v>2034</v>
      </c>
      <c r="G1501" s="1186" t="s">
        <v>851</v>
      </c>
      <c r="H1501" s="1186">
        <v>1</v>
      </c>
    </row>
    <row r="1502" spans="1:8" x14ac:dyDescent="0.2">
      <c r="A1502" s="1186" t="s">
        <v>144</v>
      </c>
      <c r="B1502" s="1186" t="s">
        <v>943</v>
      </c>
      <c r="C1502" s="1186" t="s">
        <v>1985</v>
      </c>
      <c r="D1502" s="1186" t="s">
        <v>1986</v>
      </c>
      <c r="E1502" s="1186" t="s">
        <v>2035</v>
      </c>
      <c r="F1502" s="1186" t="s">
        <v>2032</v>
      </c>
      <c r="G1502" s="1186" t="s">
        <v>828</v>
      </c>
      <c r="H1502" s="1186">
        <v>13</v>
      </c>
    </row>
    <row r="1503" spans="1:8" x14ac:dyDescent="0.2">
      <c r="A1503" s="1186" t="s">
        <v>144</v>
      </c>
      <c r="B1503" s="1186" t="s">
        <v>943</v>
      </c>
      <c r="C1503" s="1186" t="s">
        <v>1985</v>
      </c>
      <c r="D1503" s="1186" t="s">
        <v>1986</v>
      </c>
      <c r="E1503" s="1186" t="s">
        <v>2035</v>
      </c>
      <c r="F1503" s="1186" t="s">
        <v>2032</v>
      </c>
      <c r="G1503" s="1186" t="s">
        <v>850</v>
      </c>
      <c r="H1503" s="1186">
        <v>1</v>
      </c>
    </row>
    <row r="1504" spans="1:8" x14ac:dyDescent="0.2">
      <c r="A1504" s="1186" t="s">
        <v>144</v>
      </c>
      <c r="B1504" s="1186" t="s">
        <v>943</v>
      </c>
      <c r="C1504" s="1186" t="s">
        <v>1985</v>
      </c>
      <c r="D1504" s="1186" t="s">
        <v>1986</v>
      </c>
      <c r="E1504" s="1186" t="s">
        <v>2035</v>
      </c>
      <c r="F1504" s="1186" t="s">
        <v>2032</v>
      </c>
      <c r="G1504" s="1186" t="s">
        <v>851</v>
      </c>
      <c r="H1504" s="1186">
        <v>7</v>
      </c>
    </row>
    <row r="1505" spans="1:8" x14ac:dyDescent="0.2">
      <c r="A1505" s="1186" t="s">
        <v>144</v>
      </c>
      <c r="B1505" s="1186" t="s">
        <v>943</v>
      </c>
      <c r="C1505" s="1186" t="s">
        <v>1985</v>
      </c>
      <c r="D1505" s="1186" t="s">
        <v>1986</v>
      </c>
      <c r="E1505" s="1186" t="s">
        <v>2035</v>
      </c>
      <c r="F1505" s="1186" t="s">
        <v>2032</v>
      </c>
      <c r="G1505" s="1186" t="s">
        <v>852</v>
      </c>
      <c r="H1505" s="1186">
        <v>2</v>
      </c>
    </row>
    <row r="1506" spans="1:8" x14ac:dyDescent="0.2">
      <c r="A1506" s="1186" t="s">
        <v>144</v>
      </c>
      <c r="B1506" s="1186" t="s">
        <v>943</v>
      </c>
      <c r="C1506" s="1186" t="s">
        <v>1985</v>
      </c>
      <c r="D1506" s="1186" t="s">
        <v>1986</v>
      </c>
      <c r="E1506" s="1186" t="s">
        <v>2035</v>
      </c>
      <c r="F1506" s="1186" t="s">
        <v>2033</v>
      </c>
      <c r="G1506" s="1186" t="s">
        <v>828</v>
      </c>
      <c r="H1506" s="1186">
        <v>69</v>
      </c>
    </row>
    <row r="1507" spans="1:8" x14ac:dyDescent="0.2">
      <c r="A1507" s="1186" t="s">
        <v>144</v>
      </c>
      <c r="B1507" s="1186" t="s">
        <v>943</v>
      </c>
      <c r="C1507" s="1186" t="s">
        <v>1985</v>
      </c>
      <c r="D1507" s="1186" t="s">
        <v>1986</v>
      </c>
      <c r="E1507" s="1186" t="s">
        <v>2035</v>
      </c>
      <c r="F1507" s="1186" t="s">
        <v>2033</v>
      </c>
      <c r="G1507" s="1186" t="s">
        <v>850</v>
      </c>
      <c r="H1507" s="1186">
        <v>4</v>
      </c>
    </row>
    <row r="1508" spans="1:8" x14ac:dyDescent="0.2">
      <c r="A1508" s="1186" t="s">
        <v>144</v>
      </c>
      <c r="B1508" s="1186" t="s">
        <v>943</v>
      </c>
      <c r="C1508" s="1186" t="s">
        <v>1985</v>
      </c>
      <c r="D1508" s="1186" t="s">
        <v>1986</v>
      </c>
      <c r="E1508" s="1186" t="s">
        <v>2035</v>
      </c>
      <c r="F1508" s="1186" t="s">
        <v>2033</v>
      </c>
      <c r="G1508" s="1186" t="s">
        <v>851</v>
      </c>
      <c r="H1508" s="1186">
        <v>186</v>
      </c>
    </row>
    <row r="1509" spans="1:8" x14ac:dyDescent="0.2">
      <c r="A1509" s="1186" t="s">
        <v>144</v>
      </c>
      <c r="B1509" s="1186" t="s">
        <v>943</v>
      </c>
      <c r="C1509" s="1186" t="s">
        <v>1985</v>
      </c>
      <c r="D1509" s="1186" t="s">
        <v>1986</v>
      </c>
      <c r="E1509" s="1186" t="s">
        <v>2035</v>
      </c>
      <c r="F1509" s="1186" t="s">
        <v>2033</v>
      </c>
      <c r="G1509" s="1186" t="s">
        <v>852</v>
      </c>
      <c r="H1509" s="1186">
        <v>19</v>
      </c>
    </row>
    <row r="1510" spans="1:8" x14ac:dyDescent="0.2">
      <c r="A1510" s="1186" t="s">
        <v>144</v>
      </c>
      <c r="B1510" s="1186" t="s">
        <v>943</v>
      </c>
      <c r="C1510" s="1186" t="s">
        <v>1985</v>
      </c>
      <c r="D1510" s="1186" t="s">
        <v>1986</v>
      </c>
      <c r="E1510" s="1186" t="s">
        <v>2035</v>
      </c>
      <c r="F1510" s="1186" t="s">
        <v>2034</v>
      </c>
      <c r="G1510" s="1186" t="s">
        <v>828</v>
      </c>
      <c r="H1510" s="1186">
        <v>85</v>
      </c>
    </row>
    <row r="1511" spans="1:8" x14ac:dyDescent="0.2">
      <c r="A1511" s="1186" t="s">
        <v>144</v>
      </c>
      <c r="B1511" s="1186" t="s">
        <v>943</v>
      </c>
      <c r="C1511" s="1186" t="s">
        <v>1985</v>
      </c>
      <c r="D1511" s="1186" t="s">
        <v>1986</v>
      </c>
      <c r="E1511" s="1186" t="s">
        <v>2035</v>
      </c>
      <c r="F1511" s="1186" t="s">
        <v>2034</v>
      </c>
      <c r="G1511" s="1186" t="s">
        <v>850</v>
      </c>
      <c r="H1511" s="1186">
        <v>25</v>
      </c>
    </row>
    <row r="1512" spans="1:8" x14ac:dyDescent="0.2">
      <c r="A1512" s="1186" t="s">
        <v>144</v>
      </c>
      <c r="B1512" s="1186" t="s">
        <v>943</v>
      </c>
      <c r="C1512" s="1186" t="s">
        <v>1985</v>
      </c>
      <c r="D1512" s="1186" t="s">
        <v>1986</v>
      </c>
      <c r="E1512" s="1186" t="s">
        <v>2035</v>
      </c>
      <c r="F1512" s="1186" t="s">
        <v>2034</v>
      </c>
      <c r="G1512" s="1186" t="s">
        <v>851</v>
      </c>
      <c r="H1512" s="1186">
        <v>29</v>
      </c>
    </row>
    <row r="1513" spans="1:8" x14ac:dyDescent="0.2">
      <c r="A1513" s="1186" t="s">
        <v>144</v>
      </c>
      <c r="B1513" s="1186" t="s">
        <v>943</v>
      </c>
      <c r="C1513" s="1186" t="s">
        <v>1985</v>
      </c>
      <c r="D1513" s="1186" t="s">
        <v>1986</v>
      </c>
      <c r="E1513" s="1186" t="s">
        <v>2035</v>
      </c>
      <c r="F1513" s="1186" t="s">
        <v>2034</v>
      </c>
      <c r="G1513" s="1186" t="s">
        <v>852</v>
      </c>
      <c r="H1513" s="1186">
        <v>22</v>
      </c>
    </row>
    <row r="1514" spans="1:8" x14ac:dyDescent="0.2">
      <c r="A1514" s="1186" t="s">
        <v>144</v>
      </c>
      <c r="B1514" s="1186" t="s">
        <v>944</v>
      </c>
      <c r="C1514" s="1186" t="s">
        <v>1985</v>
      </c>
      <c r="D1514" s="1186" t="s">
        <v>1986</v>
      </c>
      <c r="E1514" s="1186" t="s">
        <v>2031</v>
      </c>
      <c r="F1514" s="1186" t="s">
        <v>2032</v>
      </c>
      <c r="G1514" s="1186" t="s">
        <v>828</v>
      </c>
      <c r="H1514" s="1186">
        <v>2</v>
      </c>
    </row>
    <row r="1515" spans="1:8" x14ac:dyDescent="0.2">
      <c r="A1515" s="1186" t="s">
        <v>144</v>
      </c>
      <c r="B1515" s="1186" t="s">
        <v>944</v>
      </c>
      <c r="C1515" s="1186" t="s">
        <v>1985</v>
      </c>
      <c r="D1515" s="1186" t="s">
        <v>1986</v>
      </c>
      <c r="E1515" s="1186" t="s">
        <v>2031</v>
      </c>
      <c r="F1515" s="1186" t="s">
        <v>2033</v>
      </c>
      <c r="G1515" s="1186" t="s">
        <v>828</v>
      </c>
      <c r="H1515" s="1186">
        <v>103</v>
      </c>
    </row>
    <row r="1516" spans="1:8" x14ac:dyDescent="0.2">
      <c r="A1516" s="1186" t="s">
        <v>144</v>
      </c>
      <c r="B1516" s="1186" t="s">
        <v>944</v>
      </c>
      <c r="C1516" s="1186" t="s">
        <v>1985</v>
      </c>
      <c r="D1516" s="1186" t="s">
        <v>1986</v>
      </c>
      <c r="E1516" s="1186" t="s">
        <v>2031</v>
      </c>
      <c r="F1516" s="1186" t="s">
        <v>2033</v>
      </c>
      <c r="G1516" s="1186" t="s">
        <v>850</v>
      </c>
      <c r="H1516" s="1186">
        <v>10</v>
      </c>
    </row>
    <row r="1517" spans="1:8" x14ac:dyDescent="0.2">
      <c r="A1517" s="1186" t="s">
        <v>144</v>
      </c>
      <c r="B1517" s="1186" t="s">
        <v>944</v>
      </c>
      <c r="C1517" s="1186" t="s">
        <v>1985</v>
      </c>
      <c r="D1517" s="1186" t="s">
        <v>1986</v>
      </c>
      <c r="E1517" s="1186" t="s">
        <v>2031</v>
      </c>
      <c r="F1517" s="1186" t="s">
        <v>2033</v>
      </c>
      <c r="G1517" s="1186" t="s">
        <v>851</v>
      </c>
      <c r="H1517" s="1186">
        <v>6</v>
      </c>
    </row>
    <row r="1518" spans="1:8" x14ac:dyDescent="0.2">
      <c r="A1518" s="1186" t="s">
        <v>144</v>
      </c>
      <c r="B1518" s="1186" t="s">
        <v>944</v>
      </c>
      <c r="C1518" s="1186" t="s">
        <v>1985</v>
      </c>
      <c r="D1518" s="1186" t="s">
        <v>1986</v>
      </c>
      <c r="E1518" s="1186" t="s">
        <v>2031</v>
      </c>
      <c r="F1518" s="1186" t="s">
        <v>2033</v>
      </c>
      <c r="G1518" s="1186" t="s">
        <v>852</v>
      </c>
      <c r="H1518" s="1186">
        <v>3</v>
      </c>
    </row>
    <row r="1519" spans="1:8" x14ac:dyDescent="0.2">
      <c r="A1519" s="1186" t="s">
        <v>144</v>
      </c>
      <c r="B1519" s="1186" t="s">
        <v>944</v>
      </c>
      <c r="C1519" s="1186" t="s">
        <v>1985</v>
      </c>
      <c r="D1519" s="1186" t="s">
        <v>1986</v>
      </c>
      <c r="E1519" s="1186" t="s">
        <v>2031</v>
      </c>
      <c r="F1519" s="1186" t="s">
        <v>2034</v>
      </c>
      <c r="G1519" s="1186" t="s">
        <v>828</v>
      </c>
      <c r="H1519" s="1186">
        <v>24</v>
      </c>
    </row>
    <row r="1520" spans="1:8" x14ac:dyDescent="0.2">
      <c r="A1520" s="1186" t="s">
        <v>144</v>
      </c>
      <c r="B1520" s="1186" t="s">
        <v>944</v>
      </c>
      <c r="C1520" s="1186" t="s">
        <v>1985</v>
      </c>
      <c r="D1520" s="1186" t="s">
        <v>1986</v>
      </c>
      <c r="E1520" s="1186" t="s">
        <v>2031</v>
      </c>
      <c r="F1520" s="1186" t="s">
        <v>2034</v>
      </c>
      <c r="G1520" s="1186" t="s">
        <v>851</v>
      </c>
      <c r="H1520" s="1186">
        <v>1</v>
      </c>
    </row>
    <row r="1521" spans="1:8" x14ac:dyDescent="0.2">
      <c r="A1521" s="1186" t="s">
        <v>144</v>
      </c>
      <c r="B1521" s="1186" t="s">
        <v>944</v>
      </c>
      <c r="C1521" s="1186" t="s">
        <v>1985</v>
      </c>
      <c r="D1521" s="1186" t="s">
        <v>1986</v>
      </c>
      <c r="E1521" s="1186" t="s">
        <v>2035</v>
      </c>
      <c r="F1521" s="1186" t="s">
        <v>2032</v>
      </c>
      <c r="G1521" s="1186" t="s">
        <v>828</v>
      </c>
      <c r="H1521" s="1186">
        <v>34</v>
      </c>
    </row>
    <row r="1522" spans="1:8" x14ac:dyDescent="0.2">
      <c r="A1522" s="1186" t="s">
        <v>144</v>
      </c>
      <c r="B1522" s="1186" t="s">
        <v>944</v>
      </c>
      <c r="C1522" s="1186" t="s">
        <v>1985</v>
      </c>
      <c r="D1522" s="1186" t="s">
        <v>1986</v>
      </c>
      <c r="E1522" s="1186" t="s">
        <v>2035</v>
      </c>
      <c r="F1522" s="1186" t="s">
        <v>2032</v>
      </c>
      <c r="G1522" s="1186" t="s">
        <v>850</v>
      </c>
      <c r="H1522" s="1186">
        <v>1</v>
      </c>
    </row>
    <row r="1523" spans="1:8" x14ac:dyDescent="0.2">
      <c r="A1523" s="1186" t="s">
        <v>144</v>
      </c>
      <c r="B1523" s="1186" t="s">
        <v>944</v>
      </c>
      <c r="C1523" s="1186" t="s">
        <v>1985</v>
      </c>
      <c r="D1523" s="1186" t="s">
        <v>1986</v>
      </c>
      <c r="E1523" s="1186" t="s">
        <v>2035</v>
      </c>
      <c r="F1523" s="1186" t="s">
        <v>2032</v>
      </c>
      <c r="G1523" s="1186" t="s">
        <v>851</v>
      </c>
      <c r="H1523" s="1186">
        <v>7</v>
      </c>
    </row>
    <row r="1524" spans="1:8" x14ac:dyDescent="0.2">
      <c r="A1524" s="1186" t="s">
        <v>144</v>
      </c>
      <c r="B1524" s="1186" t="s">
        <v>944</v>
      </c>
      <c r="C1524" s="1186" t="s">
        <v>1985</v>
      </c>
      <c r="D1524" s="1186" t="s">
        <v>1986</v>
      </c>
      <c r="E1524" s="1186" t="s">
        <v>2035</v>
      </c>
      <c r="F1524" s="1186" t="s">
        <v>2032</v>
      </c>
      <c r="G1524" s="1186" t="s">
        <v>852</v>
      </c>
      <c r="H1524" s="1186">
        <v>4</v>
      </c>
    </row>
    <row r="1525" spans="1:8" x14ac:dyDescent="0.2">
      <c r="A1525" s="1186" t="s">
        <v>144</v>
      </c>
      <c r="B1525" s="1186" t="s">
        <v>944</v>
      </c>
      <c r="C1525" s="1186" t="s">
        <v>1985</v>
      </c>
      <c r="D1525" s="1186" t="s">
        <v>1986</v>
      </c>
      <c r="E1525" s="1186" t="s">
        <v>2035</v>
      </c>
      <c r="F1525" s="1186" t="s">
        <v>2033</v>
      </c>
      <c r="G1525" s="1186" t="s">
        <v>828</v>
      </c>
      <c r="H1525" s="1186">
        <v>79</v>
      </c>
    </row>
    <row r="1526" spans="1:8" x14ac:dyDescent="0.2">
      <c r="A1526" s="1186" t="s">
        <v>144</v>
      </c>
      <c r="B1526" s="1186" t="s">
        <v>944</v>
      </c>
      <c r="C1526" s="1186" t="s">
        <v>1985</v>
      </c>
      <c r="D1526" s="1186" t="s">
        <v>1986</v>
      </c>
      <c r="E1526" s="1186" t="s">
        <v>2035</v>
      </c>
      <c r="F1526" s="1186" t="s">
        <v>2033</v>
      </c>
      <c r="G1526" s="1186" t="s">
        <v>850</v>
      </c>
      <c r="H1526" s="1186">
        <v>14</v>
      </c>
    </row>
    <row r="1527" spans="1:8" x14ac:dyDescent="0.2">
      <c r="A1527" s="1186" t="s">
        <v>144</v>
      </c>
      <c r="B1527" s="1186" t="s">
        <v>944</v>
      </c>
      <c r="C1527" s="1186" t="s">
        <v>1985</v>
      </c>
      <c r="D1527" s="1186" t="s">
        <v>1986</v>
      </c>
      <c r="E1527" s="1186" t="s">
        <v>2035</v>
      </c>
      <c r="F1527" s="1186" t="s">
        <v>2033</v>
      </c>
      <c r="G1527" s="1186" t="s">
        <v>851</v>
      </c>
      <c r="H1527" s="1186">
        <v>163</v>
      </c>
    </row>
    <row r="1528" spans="1:8" x14ac:dyDescent="0.2">
      <c r="A1528" s="1186" t="s">
        <v>144</v>
      </c>
      <c r="B1528" s="1186" t="s">
        <v>944</v>
      </c>
      <c r="C1528" s="1186" t="s">
        <v>1985</v>
      </c>
      <c r="D1528" s="1186" t="s">
        <v>1986</v>
      </c>
      <c r="E1528" s="1186" t="s">
        <v>2035</v>
      </c>
      <c r="F1528" s="1186" t="s">
        <v>2033</v>
      </c>
      <c r="G1528" s="1186" t="s">
        <v>852</v>
      </c>
      <c r="H1528" s="1186">
        <v>18</v>
      </c>
    </row>
    <row r="1529" spans="1:8" x14ac:dyDescent="0.2">
      <c r="A1529" s="1186" t="s">
        <v>144</v>
      </c>
      <c r="B1529" s="1186" t="s">
        <v>944</v>
      </c>
      <c r="C1529" s="1186" t="s">
        <v>1985</v>
      </c>
      <c r="D1529" s="1186" t="s">
        <v>1986</v>
      </c>
      <c r="E1529" s="1186" t="s">
        <v>2035</v>
      </c>
      <c r="F1529" s="1186" t="s">
        <v>2034</v>
      </c>
      <c r="G1529" s="1186" t="s">
        <v>828</v>
      </c>
      <c r="H1529" s="1186">
        <v>74</v>
      </c>
    </row>
    <row r="1530" spans="1:8" x14ac:dyDescent="0.2">
      <c r="A1530" s="1186" t="s">
        <v>144</v>
      </c>
      <c r="B1530" s="1186" t="s">
        <v>944</v>
      </c>
      <c r="C1530" s="1186" t="s">
        <v>1985</v>
      </c>
      <c r="D1530" s="1186" t="s">
        <v>1986</v>
      </c>
      <c r="E1530" s="1186" t="s">
        <v>2035</v>
      </c>
      <c r="F1530" s="1186" t="s">
        <v>2034</v>
      </c>
      <c r="G1530" s="1186" t="s">
        <v>850</v>
      </c>
      <c r="H1530" s="1186">
        <v>27</v>
      </c>
    </row>
    <row r="1531" spans="1:8" x14ac:dyDescent="0.2">
      <c r="A1531" s="1186" t="s">
        <v>144</v>
      </c>
      <c r="B1531" s="1186" t="s">
        <v>944</v>
      </c>
      <c r="C1531" s="1186" t="s">
        <v>1985</v>
      </c>
      <c r="D1531" s="1186" t="s">
        <v>1986</v>
      </c>
      <c r="E1531" s="1186" t="s">
        <v>2035</v>
      </c>
      <c r="F1531" s="1186" t="s">
        <v>2034</v>
      </c>
      <c r="G1531" s="1186" t="s">
        <v>851</v>
      </c>
      <c r="H1531" s="1186">
        <v>36</v>
      </c>
    </row>
    <row r="1532" spans="1:8" x14ac:dyDescent="0.2">
      <c r="A1532" s="1186" t="s">
        <v>144</v>
      </c>
      <c r="B1532" s="1186" t="s">
        <v>944</v>
      </c>
      <c r="C1532" s="1186" t="s">
        <v>1985</v>
      </c>
      <c r="D1532" s="1186" t="s">
        <v>1986</v>
      </c>
      <c r="E1532" s="1186" t="s">
        <v>2035</v>
      </c>
      <c r="F1532" s="1186" t="s">
        <v>2034</v>
      </c>
      <c r="G1532" s="1186" t="s">
        <v>852</v>
      </c>
      <c r="H1532" s="1186">
        <v>3</v>
      </c>
    </row>
    <row r="1533" spans="1:8" x14ac:dyDescent="0.2">
      <c r="A1533" s="1186" t="s">
        <v>144</v>
      </c>
      <c r="B1533" s="1186" t="s">
        <v>945</v>
      </c>
      <c r="C1533" s="1186" t="s">
        <v>1987</v>
      </c>
      <c r="D1533" s="1186" t="s">
        <v>1986</v>
      </c>
      <c r="E1533" s="1186" t="s">
        <v>2031</v>
      </c>
      <c r="F1533" s="1186" t="s">
        <v>2032</v>
      </c>
      <c r="G1533" s="1186" t="s">
        <v>828</v>
      </c>
      <c r="H1533" s="1186">
        <v>5</v>
      </c>
    </row>
    <row r="1534" spans="1:8" x14ac:dyDescent="0.2">
      <c r="A1534" s="1186" t="s">
        <v>144</v>
      </c>
      <c r="B1534" s="1186" t="s">
        <v>945</v>
      </c>
      <c r="C1534" s="1186" t="s">
        <v>1987</v>
      </c>
      <c r="D1534" s="1186" t="s">
        <v>1986</v>
      </c>
      <c r="E1534" s="1186" t="s">
        <v>2031</v>
      </c>
      <c r="F1534" s="1186" t="s">
        <v>2032</v>
      </c>
      <c r="G1534" s="1186" t="s">
        <v>851</v>
      </c>
      <c r="H1534" s="1186">
        <v>1</v>
      </c>
    </row>
    <row r="1535" spans="1:8" x14ac:dyDescent="0.2">
      <c r="A1535" s="1186" t="s">
        <v>144</v>
      </c>
      <c r="B1535" s="1186" t="s">
        <v>945</v>
      </c>
      <c r="C1535" s="1186" t="s">
        <v>1987</v>
      </c>
      <c r="D1535" s="1186" t="s">
        <v>1986</v>
      </c>
      <c r="E1535" s="1186" t="s">
        <v>2031</v>
      </c>
      <c r="F1535" s="1186" t="s">
        <v>2033</v>
      </c>
      <c r="G1535" s="1186" t="s">
        <v>828</v>
      </c>
      <c r="H1535" s="1186">
        <v>91</v>
      </c>
    </row>
    <row r="1536" spans="1:8" x14ac:dyDescent="0.2">
      <c r="A1536" s="1186" t="s">
        <v>144</v>
      </c>
      <c r="B1536" s="1186" t="s">
        <v>945</v>
      </c>
      <c r="C1536" s="1186" t="s">
        <v>1987</v>
      </c>
      <c r="D1536" s="1186" t="s">
        <v>1986</v>
      </c>
      <c r="E1536" s="1186" t="s">
        <v>2031</v>
      </c>
      <c r="F1536" s="1186" t="s">
        <v>2033</v>
      </c>
      <c r="G1536" s="1186" t="s">
        <v>850</v>
      </c>
      <c r="H1536" s="1186">
        <v>8</v>
      </c>
    </row>
    <row r="1537" spans="1:8" x14ac:dyDescent="0.2">
      <c r="A1537" s="1186" t="s">
        <v>144</v>
      </c>
      <c r="B1537" s="1186" t="s">
        <v>945</v>
      </c>
      <c r="C1537" s="1186" t="s">
        <v>1987</v>
      </c>
      <c r="D1537" s="1186" t="s">
        <v>1986</v>
      </c>
      <c r="E1537" s="1186" t="s">
        <v>2031</v>
      </c>
      <c r="F1537" s="1186" t="s">
        <v>2033</v>
      </c>
      <c r="G1537" s="1186" t="s">
        <v>851</v>
      </c>
      <c r="H1537" s="1186">
        <v>4</v>
      </c>
    </row>
    <row r="1538" spans="1:8" x14ac:dyDescent="0.2">
      <c r="A1538" s="1186" t="s">
        <v>144</v>
      </c>
      <c r="B1538" s="1186" t="s">
        <v>945</v>
      </c>
      <c r="C1538" s="1186" t="s">
        <v>1987</v>
      </c>
      <c r="D1538" s="1186" t="s">
        <v>1986</v>
      </c>
      <c r="E1538" s="1186" t="s">
        <v>2031</v>
      </c>
      <c r="F1538" s="1186" t="s">
        <v>2034</v>
      </c>
      <c r="G1538" s="1186" t="s">
        <v>828</v>
      </c>
      <c r="H1538" s="1186">
        <v>12</v>
      </c>
    </row>
    <row r="1539" spans="1:8" x14ac:dyDescent="0.2">
      <c r="A1539" s="1186" t="s">
        <v>144</v>
      </c>
      <c r="B1539" s="1186" t="s">
        <v>945</v>
      </c>
      <c r="C1539" s="1186" t="s">
        <v>1987</v>
      </c>
      <c r="D1539" s="1186" t="s">
        <v>1986</v>
      </c>
      <c r="E1539" s="1186" t="s">
        <v>2031</v>
      </c>
      <c r="F1539" s="1186" t="s">
        <v>2034</v>
      </c>
      <c r="G1539" s="1186" t="s">
        <v>850</v>
      </c>
      <c r="H1539" s="1186">
        <v>2</v>
      </c>
    </row>
    <row r="1540" spans="1:8" x14ac:dyDescent="0.2">
      <c r="A1540" s="1186" t="s">
        <v>144</v>
      </c>
      <c r="B1540" s="1186" t="s">
        <v>945</v>
      </c>
      <c r="C1540" s="1186" t="s">
        <v>1987</v>
      </c>
      <c r="D1540" s="1186" t="s">
        <v>1986</v>
      </c>
      <c r="E1540" s="1186" t="s">
        <v>2031</v>
      </c>
      <c r="F1540" s="1186" t="s">
        <v>2034</v>
      </c>
      <c r="G1540" s="1186" t="s">
        <v>851</v>
      </c>
      <c r="H1540" s="1186">
        <v>2</v>
      </c>
    </row>
    <row r="1541" spans="1:8" x14ac:dyDescent="0.2">
      <c r="A1541" s="1186" t="s">
        <v>144</v>
      </c>
      <c r="B1541" s="1186" t="s">
        <v>945</v>
      </c>
      <c r="C1541" s="1186" t="s">
        <v>1987</v>
      </c>
      <c r="D1541" s="1186" t="s">
        <v>1986</v>
      </c>
      <c r="E1541" s="1186" t="s">
        <v>2035</v>
      </c>
      <c r="F1541" s="1186" t="s">
        <v>2032</v>
      </c>
      <c r="G1541" s="1186" t="s">
        <v>828</v>
      </c>
      <c r="H1541" s="1186">
        <v>21</v>
      </c>
    </row>
    <row r="1542" spans="1:8" x14ac:dyDescent="0.2">
      <c r="A1542" s="1186" t="s">
        <v>144</v>
      </c>
      <c r="B1542" s="1186" t="s">
        <v>945</v>
      </c>
      <c r="C1542" s="1186" t="s">
        <v>1987</v>
      </c>
      <c r="D1542" s="1186" t="s">
        <v>1986</v>
      </c>
      <c r="E1542" s="1186" t="s">
        <v>2035</v>
      </c>
      <c r="F1542" s="1186" t="s">
        <v>2032</v>
      </c>
      <c r="G1542" s="1186" t="s">
        <v>850</v>
      </c>
      <c r="H1542" s="1186">
        <v>3</v>
      </c>
    </row>
    <row r="1543" spans="1:8" x14ac:dyDescent="0.2">
      <c r="A1543" s="1186" t="s">
        <v>144</v>
      </c>
      <c r="B1543" s="1186" t="s">
        <v>945</v>
      </c>
      <c r="C1543" s="1186" t="s">
        <v>1987</v>
      </c>
      <c r="D1543" s="1186" t="s">
        <v>1986</v>
      </c>
      <c r="E1543" s="1186" t="s">
        <v>2035</v>
      </c>
      <c r="F1543" s="1186" t="s">
        <v>2032</v>
      </c>
      <c r="G1543" s="1186" t="s">
        <v>851</v>
      </c>
      <c r="H1543" s="1186">
        <v>6</v>
      </c>
    </row>
    <row r="1544" spans="1:8" x14ac:dyDescent="0.2">
      <c r="A1544" s="1186" t="s">
        <v>144</v>
      </c>
      <c r="B1544" s="1186" t="s">
        <v>945</v>
      </c>
      <c r="C1544" s="1186" t="s">
        <v>1987</v>
      </c>
      <c r="D1544" s="1186" t="s">
        <v>1986</v>
      </c>
      <c r="E1544" s="1186" t="s">
        <v>2035</v>
      </c>
      <c r="F1544" s="1186" t="s">
        <v>2032</v>
      </c>
      <c r="G1544" s="1186" t="s">
        <v>852</v>
      </c>
      <c r="H1544" s="1186">
        <v>4</v>
      </c>
    </row>
    <row r="1545" spans="1:8" x14ac:dyDescent="0.2">
      <c r="A1545" s="1186" t="s">
        <v>144</v>
      </c>
      <c r="B1545" s="1186" t="s">
        <v>945</v>
      </c>
      <c r="C1545" s="1186" t="s">
        <v>1987</v>
      </c>
      <c r="D1545" s="1186" t="s">
        <v>1986</v>
      </c>
      <c r="E1545" s="1186" t="s">
        <v>2035</v>
      </c>
      <c r="F1545" s="1186" t="s">
        <v>2033</v>
      </c>
      <c r="G1545" s="1186" t="s">
        <v>828</v>
      </c>
      <c r="H1545" s="1186">
        <v>80</v>
      </c>
    </row>
    <row r="1546" spans="1:8" x14ac:dyDescent="0.2">
      <c r="A1546" s="1186" t="s">
        <v>144</v>
      </c>
      <c r="B1546" s="1186" t="s">
        <v>945</v>
      </c>
      <c r="C1546" s="1186" t="s">
        <v>1987</v>
      </c>
      <c r="D1546" s="1186" t="s">
        <v>1986</v>
      </c>
      <c r="E1546" s="1186" t="s">
        <v>2035</v>
      </c>
      <c r="F1546" s="1186" t="s">
        <v>2033</v>
      </c>
      <c r="G1546" s="1186" t="s">
        <v>850</v>
      </c>
      <c r="H1546" s="1186">
        <v>7</v>
      </c>
    </row>
    <row r="1547" spans="1:8" x14ac:dyDescent="0.2">
      <c r="A1547" s="1186" t="s">
        <v>144</v>
      </c>
      <c r="B1547" s="1186" t="s">
        <v>945</v>
      </c>
      <c r="C1547" s="1186" t="s">
        <v>1987</v>
      </c>
      <c r="D1547" s="1186" t="s">
        <v>1986</v>
      </c>
      <c r="E1547" s="1186" t="s">
        <v>2035</v>
      </c>
      <c r="F1547" s="1186" t="s">
        <v>2033</v>
      </c>
      <c r="G1547" s="1186" t="s">
        <v>851</v>
      </c>
      <c r="H1547" s="1186">
        <v>177</v>
      </c>
    </row>
    <row r="1548" spans="1:8" x14ac:dyDescent="0.2">
      <c r="A1548" s="1186" t="s">
        <v>144</v>
      </c>
      <c r="B1548" s="1186" t="s">
        <v>945</v>
      </c>
      <c r="C1548" s="1186" t="s">
        <v>1987</v>
      </c>
      <c r="D1548" s="1186" t="s">
        <v>1986</v>
      </c>
      <c r="E1548" s="1186" t="s">
        <v>2035</v>
      </c>
      <c r="F1548" s="1186" t="s">
        <v>2033</v>
      </c>
      <c r="G1548" s="1186" t="s">
        <v>852</v>
      </c>
      <c r="H1548" s="1186">
        <v>15</v>
      </c>
    </row>
    <row r="1549" spans="1:8" x14ac:dyDescent="0.2">
      <c r="A1549" s="1186" t="s">
        <v>144</v>
      </c>
      <c r="B1549" s="1186" t="s">
        <v>945</v>
      </c>
      <c r="C1549" s="1186" t="s">
        <v>1987</v>
      </c>
      <c r="D1549" s="1186" t="s">
        <v>1986</v>
      </c>
      <c r="E1549" s="1186" t="s">
        <v>2035</v>
      </c>
      <c r="F1549" s="1186" t="s">
        <v>2034</v>
      </c>
      <c r="G1549" s="1186" t="s">
        <v>828</v>
      </c>
      <c r="H1549" s="1186">
        <v>160</v>
      </c>
    </row>
    <row r="1550" spans="1:8" x14ac:dyDescent="0.2">
      <c r="A1550" s="1186" t="s">
        <v>144</v>
      </c>
      <c r="B1550" s="1186" t="s">
        <v>945</v>
      </c>
      <c r="C1550" s="1186" t="s">
        <v>1987</v>
      </c>
      <c r="D1550" s="1186" t="s">
        <v>1986</v>
      </c>
      <c r="E1550" s="1186" t="s">
        <v>2035</v>
      </c>
      <c r="F1550" s="1186" t="s">
        <v>2034</v>
      </c>
      <c r="G1550" s="1186" t="s">
        <v>850</v>
      </c>
      <c r="H1550" s="1186">
        <v>25</v>
      </c>
    </row>
    <row r="1551" spans="1:8" x14ac:dyDescent="0.2">
      <c r="A1551" s="1186" t="s">
        <v>144</v>
      </c>
      <c r="B1551" s="1186" t="s">
        <v>945</v>
      </c>
      <c r="C1551" s="1186" t="s">
        <v>1987</v>
      </c>
      <c r="D1551" s="1186" t="s">
        <v>1986</v>
      </c>
      <c r="E1551" s="1186" t="s">
        <v>2035</v>
      </c>
      <c r="F1551" s="1186" t="s">
        <v>2034</v>
      </c>
      <c r="G1551" s="1186" t="s">
        <v>851</v>
      </c>
      <c r="H1551" s="1186">
        <v>76</v>
      </c>
    </row>
    <row r="1552" spans="1:8" x14ac:dyDescent="0.2">
      <c r="A1552" s="1186" t="s">
        <v>144</v>
      </c>
      <c r="B1552" s="1186" t="s">
        <v>945</v>
      </c>
      <c r="C1552" s="1186" t="s">
        <v>1987</v>
      </c>
      <c r="D1552" s="1186" t="s">
        <v>1986</v>
      </c>
      <c r="E1552" s="1186" t="s">
        <v>2035</v>
      </c>
      <c r="F1552" s="1186" t="s">
        <v>2034</v>
      </c>
      <c r="G1552" s="1186" t="s">
        <v>852</v>
      </c>
      <c r="H1552" s="1186">
        <v>18</v>
      </c>
    </row>
    <row r="1553" spans="1:8" x14ac:dyDescent="0.2">
      <c r="A1553" s="1186" t="s">
        <v>144</v>
      </c>
      <c r="B1553" s="1186" t="s">
        <v>946</v>
      </c>
      <c r="C1553" s="1186" t="s">
        <v>1987</v>
      </c>
      <c r="D1553" s="1186" t="s">
        <v>1988</v>
      </c>
      <c r="E1553" s="1186" t="s">
        <v>2031</v>
      </c>
      <c r="F1553" s="1186" t="s">
        <v>2032</v>
      </c>
      <c r="G1553" s="1186" t="s">
        <v>828</v>
      </c>
      <c r="H1553" s="1186">
        <v>4</v>
      </c>
    </row>
    <row r="1554" spans="1:8" x14ac:dyDescent="0.2">
      <c r="A1554" s="1186" t="s">
        <v>144</v>
      </c>
      <c r="B1554" s="1186" t="s">
        <v>946</v>
      </c>
      <c r="C1554" s="1186" t="s">
        <v>1987</v>
      </c>
      <c r="D1554" s="1186" t="s">
        <v>1988</v>
      </c>
      <c r="E1554" s="1186" t="s">
        <v>2031</v>
      </c>
      <c r="F1554" s="1186" t="s">
        <v>2032</v>
      </c>
      <c r="G1554" s="1186" t="s">
        <v>851</v>
      </c>
      <c r="H1554" s="1186">
        <v>1</v>
      </c>
    </row>
    <row r="1555" spans="1:8" x14ac:dyDescent="0.2">
      <c r="A1555" s="1186" t="s">
        <v>144</v>
      </c>
      <c r="B1555" s="1186" t="s">
        <v>946</v>
      </c>
      <c r="C1555" s="1186" t="s">
        <v>1987</v>
      </c>
      <c r="D1555" s="1186" t="s">
        <v>1988</v>
      </c>
      <c r="E1555" s="1186" t="s">
        <v>2031</v>
      </c>
      <c r="F1555" s="1186" t="s">
        <v>2033</v>
      </c>
      <c r="G1555" s="1186" t="s">
        <v>828</v>
      </c>
      <c r="H1555" s="1186">
        <v>81</v>
      </c>
    </row>
    <row r="1556" spans="1:8" x14ac:dyDescent="0.2">
      <c r="A1556" s="1186" t="s">
        <v>144</v>
      </c>
      <c r="B1556" s="1186" t="s">
        <v>946</v>
      </c>
      <c r="C1556" s="1186" t="s">
        <v>1987</v>
      </c>
      <c r="D1556" s="1186" t="s">
        <v>1988</v>
      </c>
      <c r="E1556" s="1186" t="s">
        <v>2031</v>
      </c>
      <c r="F1556" s="1186" t="s">
        <v>2033</v>
      </c>
      <c r="G1556" s="1186" t="s">
        <v>850</v>
      </c>
      <c r="H1556" s="1186">
        <v>6</v>
      </c>
    </row>
    <row r="1557" spans="1:8" x14ac:dyDescent="0.2">
      <c r="A1557" s="1186" t="s">
        <v>144</v>
      </c>
      <c r="B1557" s="1186" t="s">
        <v>946</v>
      </c>
      <c r="C1557" s="1186" t="s">
        <v>1987</v>
      </c>
      <c r="D1557" s="1186" t="s">
        <v>1988</v>
      </c>
      <c r="E1557" s="1186" t="s">
        <v>2031</v>
      </c>
      <c r="F1557" s="1186" t="s">
        <v>2033</v>
      </c>
      <c r="G1557" s="1186" t="s">
        <v>851</v>
      </c>
      <c r="H1557" s="1186">
        <v>5</v>
      </c>
    </row>
    <row r="1558" spans="1:8" x14ac:dyDescent="0.2">
      <c r="A1558" s="1186" t="s">
        <v>144</v>
      </c>
      <c r="B1558" s="1186" t="s">
        <v>946</v>
      </c>
      <c r="C1558" s="1186" t="s">
        <v>1987</v>
      </c>
      <c r="D1558" s="1186" t="s">
        <v>1988</v>
      </c>
      <c r="E1558" s="1186" t="s">
        <v>2031</v>
      </c>
      <c r="F1558" s="1186" t="s">
        <v>2033</v>
      </c>
      <c r="G1558" s="1186" t="s">
        <v>852</v>
      </c>
      <c r="H1558" s="1186">
        <v>3</v>
      </c>
    </row>
    <row r="1559" spans="1:8" x14ac:dyDescent="0.2">
      <c r="A1559" s="1186" t="s">
        <v>144</v>
      </c>
      <c r="B1559" s="1186" t="s">
        <v>946</v>
      </c>
      <c r="C1559" s="1186" t="s">
        <v>1987</v>
      </c>
      <c r="D1559" s="1186" t="s">
        <v>1988</v>
      </c>
      <c r="E1559" s="1186" t="s">
        <v>2031</v>
      </c>
      <c r="F1559" s="1186" t="s">
        <v>2034</v>
      </c>
      <c r="G1559" s="1186" t="s">
        <v>828</v>
      </c>
      <c r="H1559" s="1186">
        <v>8</v>
      </c>
    </row>
    <row r="1560" spans="1:8" x14ac:dyDescent="0.2">
      <c r="A1560" s="1186" t="s">
        <v>144</v>
      </c>
      <c r="B1560" s="1186" t="s">
        <v>946</v>
      </c>
      <c r="C1560" s="1186" t="s">
        <v>1987</v>
      </c>
      <c r="D1560" s="1186" t="s">
        <v>1988</v>
      </c>
      <c r="E1560" s="1186" t="s">
        <v>2031</v>
      </c>
      <c r="F1560" s="1186" t="s">
        <v>2034</v>
      </c>
      <c r="G1560" s="1186" t="s">
        <v>850</v>
      </c>
      <c r="H1560" s="1186">
        <v>6</v>
      </c>
    </row>
    <row r="1561" spans="1:8" x14ac:dyDescent="0.2">
      <c r="A1561" s="1186" t="s">
        <v>144</v>
      </c>
      <c r="B1561" s="1186" t="s">
        <v>946</v>
      </c>
      <c r="C1561" s="1186" t="s">
        <v>1987</v>
      </c>
      <c r="D1561" s="1186" t="s">
        <v>1988</v>
      </c>
      <c r="E1561" s="1186" t="s">
        <v>2035</v>
      </c>
      <c r="F1561" s="1186" t="s">
        <v>2032</v>
      </c>
      <c r="G1561" s="1186" t="s">
        <v>828</v>
      </c>
      <c r="H1561" s="1186">
        <v>28</v>
      </c>
    </row>
    <row r="1562" spans="1:8" x14ac:dyDescent="0.2">
      <c r="A1562" s="1186" t="s">
        <v>144</v>
      </c>
      <c r="B1562" s="1186" t="s">
        <v>946</v>
      </c>
      <c r="C1562" s="1186" t="s">
        <v>1987</v>
      </c>
      <c r="D1562" s="1186" t="s">
        <v>1988</v>
      </c>
      <c r="E1562" s="1186" t="s">
        <v>2035</v>
      </c>
      <c r="F1562" s="1186" t="s">
        <v>2032</v>
      </c>
      <c r="G1562" s="1186" t="s">
        <v>850</v>
      </c>
      <c r="H1562" s="1186">
        <v>1</v>
      </c>
    </row>
    <row r="1563" spans="1:8" x14ac:dyDescent="0.2">
      <c r="A1563" s="1186" t="s">
        <v>144</v>
      </c>
      <c r="B1563" s="1186" t="s">
        <v>946</v>
      </c>
      <c r="C1563" s="1186" t="s">
        <v>1987</v>
      </c>
      <c r="D1563" s="1186" t="s">
        <v>1988</v>
      </c>
      <c r="E1563" s="1186" t="s">
        <v>2035</v>
      </c>
      <c r="F1563" s="1186" t="s">
        <v>2032</v>
      </c>
      <c r="G1563" s="1186" t="s">
        <v>851</v>
      </c>
      <c r="H1563" s="1186">
        <v>20</v>
      </c>
    </row>
    <row r="1564" spans="1:8" x14ac:dyDescent="0.2">
      <c r="A1564" s="1186" t="s">
        <v>144</v>
      </c>
      <c r="B1564" s="1186" t="s">
        <v>946</v>
      </c>
      <c r="C1564" s="1186" t="s">
        <v>1987</v>
      </c>
      <c r="D1564" s="1186" t="s">
        <v>1988</v>
      </c>
      <c r="E1564" s="1186" t="s">
        <v>2035</v>
      </c>
      <c r="F1564" s="1186" t="s">
        <v>2032</v>
      </c>
      <c r="G1564" s="1186" t="s">
        <v>852</v>
      </c>
      <c r="H1564" s="1186">
        <v>4</v>
      </c>
    </row>
    <row r="1565" spans="1:8" x14ac:dyDescent="0.2">
      <c r="A1565" s="1186" t="s">
        <v>144</v>
      </c>
      <c r="B1565" s="1186" t="s">
        <v>946</v>
      </c>
      <c r="C1565" s="1186" t="s">
        <v>1987</v>
      </c>
      <c r="D1565" s="1186" t="s">
        <v>1988</v>
      </c>
      <c r="E1565" s="1186" t="s">
        <v>2035</v>
      </c>
      <c r="F1565" s="1186" t="s">
        <v>2033</v>
      </c>
      <c r="G1565" s="1186" t="s">
        <v>828</v>
      </c>
      <c r="H1565" s="1186">
        <v>95</v>
      </c>
    </row>
    <row r="1566" spans="1:8" x14ac:dyDescent="0.2">
      <c r="A1566" s="1186" t="s">
        <v>144</v>
      </c>
      <c r="B1566" s="1186" t="s">
        <v>946</v>
      </c>
      <c r="C1566" s="1186" t="s">
        <v>1987</v>
      </c>
      <c r="D1566" s="1186" t="s">
        <v>1988</v>
      </c>
      <c r="E1566" s="1186" t="s">
        <v>2035</v>
      </c>
      <c r="F1566" s="1186" t="s">
        <v>2033</v>
      </c>
      <c r="G1566" s="1186" t="s">
        <v>850</v>
      </c>
      <c r="H1566" s="1186">
        <v>16</v>
      </c>
    </row>
    <row r="1567" spans="1:8" x14ac:dyDescent="0.2">
      <c r="A1567" s="1186" t="s">
        <v>144</v>
      </c>
      <c r="B1567" s="1186" t="s">
        <v>946</v>
      </c>
      <c r="C1567" s="1186" t="s">
        <v>1987</v>
      </c>
      <c r="D1567" s="1186" t="s">
        <v>1988</v>
      </c>
      <c r="E1567" s="1186" t="s">
        <v>2035</v>
      </c>
      <c r="F1567" s="1186" t="s">
        <v>2033</v>
      </c>
      <c r="G1567" s="1186" t="s">
        <v>851</v>
      </c>
      <c r="H1567" s="1186">
        <v>184</v>
      </c>
    </row>
    <row r="1568" spans="1:8" x14ac:dyDescent="0.2">
      <c r="A1568" s="1186" t="s">
        <v>144</v>
      </c>
      <c r="B1568" s="1186" t="s">
        <v>946</v>
      </c>
      <c r="C1568" s="1186" t="s">
        <v>1987</v>
      </c>
      <c r="D1568" s="1186" t="s">
        <v>1988</v>
      </c>
      <c r="E1568" s="1186" t="s">
        <v>2035</v>
      </c>
      <c r="F1568" s="1186" t="s">
        <v>2033</v>
      </c>
      <c r="G1568" s="1186" t="s">
        <v>852</v>
      </c>
      <c r="H1568" s="1186">
        <v>21</v>
      </c>
    </row>
    <row r="1569" spans="1:8" x14ac:dyDescent="0.2">
      <c r="A1569" s="1186" t="s">
        <v>144</v>
      </c>
      <c r="B1569" s="1186" t="s">
        <v>946</v>
      </c>
      <c r="C1569" s="1186" t="s">
        <v>1987</v>
      </c>
      <c r="D1569" s="1186" t="s">
        <v>1988</v>
      </c>
      <c r="E1569" s="1186" t="s">
        <v>2035</v>
      </c>
      <c r="F1569" s="1186" t="s">
        <v>2034</v>
      </c>
      <c r="G1569" s="1186" t="s">
        <v>828</v>
      </c>
      <c r="H1569" s="1186">
        <v>122</v>
      </c>
    </row>
    <row r="1570" spans="1:8" x14ac:dyDescent="0.2">
      <c r="A1570" s="1186" t="s">
        <v>144</v>
      </c>
      <c r="B1570" s="1186" t="s">
        <v>946</v>
      </c>
      <c r="C1570" s="1186" t="s">
        <v>1987</v>
      </c>
      <c r="D1570" s="1186" t="s">
        <v>1988</v>
      </c>
      <c r="E1570" s="1186" t="s">
        <v>2035</v>
      </c>
      <c r="F1570" s="1186" t="s">
        <v>2034</v>
      </c>
      <c r="G1570" s="1186" t="s">
        <v>850</v>
      </c>
      <c r="H1570" s="1186">
        <v>28</v>
      </c>
    </row>
    <row r="1571" spans="1:8" x14ac:dyDescent="0.2">
      <c r="A1571" s="1186" t="s">
        <v>144</v>
      </c>
      <c r="B1571" s="1186" t="s">
        <v>946</v>
      </c>
      <c r="C1571" s="1186" t="s">
        <v>1987</v>
      </c>
      <c r="D1571" s="1186" t="s">
        <v>1988</v>
      </c>
      <c r="E1571" s="1186" t="s">
        <v>2035</v>
      </c>
      <c r="F1571" s="1186" t="s">
        <v>2034</v>
      </c>
      <c r="G1571" s="1186" t="s">
        <v>851</v>
      </c>
      <c r="H1571" s="1186">
        <v>59</v>
      </c>
    </row>
    <row r="1572" spans="1:8" x14ac:dyDescent="0.2">
      <c r="A1572" s="1186" t="s">
        <v>144</v>
      </c>
      <c r="B1572" s="1186" t="s">
        <v>946</v>
      </c>
      <c r="C1572" s="1186" t="s">
        <v>1987</v>
      </c>
      <c r="D1572" s="1186" t="s">
        <v>1988</v>
      </c>
      <c r="E1572" s="1186" t="s">
        <v>2035</v>
      </c>
      <c r="F1572" s="1186" t="s">
        <v>2034</v>
      </c>
      <c r="G1572" s="1186" t="s">
        <v>852</v>
      </c>
      <c r="H1572" s="1186">
        <v>18</v>
      </c>
    </row>
    <row r="1573" spans="1:8" x14ac:dyDescent="0.2">
      <c r="A1573" s="1186" t="s">
        <v>144</v>
      </c>
      <c r="B1573" s="1186" t="s">
        <v>947</v>
      </c>
      <c r="C1573" s="1186" t="s">
        <v>1987</v>
      </c>
      <c r="D1573" s="1186" t="s">
        <v>1988</v>
      </c>
      <c r="E1573" s="1186" t="s">
        <v>2031</v>
      </c>
      <c r="F1573" s="1186" t="s">
        <v>2032</v>
      </c>
      <c r="G1573" s="1186" t="s">
        <v>828</v>
      </c>
      <c r="H1573" s="1186">
        <v>4</v>
      </c>
    </row>
    <row r="1574" spans="1:8" x14ac:dyDescent="0.2">
      <c r="A1574" s="1186" t="s">
        <v>144</v>
      </c>
      <c r="B1574" s="1186" t="s">
        <v>947</v>
      </c>
      <c r="C1574" s="1186" t="s">
        <v>1987</v>
      </c>
      <c r="D1574" s="1186" t="s">
        <v>1988</v>
      </c>
      <c r="E1574" s="1186" t="s">
        <v>2031</v>
      </c>
      <c r="F1574" s="1186" t="s">
        <v>2033</v>
      </c>
      <c r="G1574" s="1186" t="s">
        <v>828</v>
      </c>
      <c r="H1574" s="1186">
        <v>86</v>
      </c>
    </row>
    <row r="1575" spans="1:8" x14ac:dyDescent="0.2">
      <c r="A1575" s="1186" t="s">
        <v>144</v>
      </c>
      <c r="B1575" s="1186" t="s">
        <v>947</v>
      </c>
      <c r="C1575" s="1186" t="s">
        <v>1987</v>
      </c>
      <c r="D1575" s="1186" t="s">
        <v>1988</v>
      </c>
      <c r="E1575" s="1186" t="s">
        <v>2031</v>
      </c>
      <c r="F1575" s="1186" t="s">
        <v>2033</v>
      </c>
      <c r="G1575" s="1186" t="s">
        <v>850</v>
      </c>
      <c r="H1575" s="1186">
        <v>9</v>
      </c>
    </row>
    <row r="1576" spans="1:8" x14ac:dyDescent="0.2">
      <c r="A1576" s="1186" t="s">
        <v>144</v>
      </c>
      <c r="B1576" s="1186" t="s">
        <v>947</v>
      </c>
      <c r="C1576" s="1186" t="s">
        <v>1987</v>
      </c>
      <c r="D1576" s="1186" t="s">
        <v>1988</v>
      </c>
      <c r="E1576" s="1186" t="s">
        <v>2031</v>
      </c>
      <c r="F1576" s="1186" t="s">
        <v>2033</v>
      </c>
      <c r="G1576" s="1186" t="s">
        <v>851</v>
      </c>
      <c r="H1576" s="1186">
        <v>3</v>
      </c>
    </row>
    <row r="1577" spans="1:8" x14ac:dyDescent="0.2">
      <c r="A1577" s="1186" t="s">
        <v>144</v>
      </c>
      <c r="B1577" s="1186" t="s">
        <v>947</v>
      </c>
      <c r="C1577" s="1186" t="s">
        <v>1987</v>
      </c>
      <c r="D1577" s="1186" t="s">
        <v>1988</v>
      </c>
      <c r="E1577" s="1186" t="s">
        <v>2031</v>
      </c>
      <c r="F1577" s="1186" t="s">
        <v>2034</v>
      </c>
      <c r="G1577" s="1186" t="s">
        <v>828</v>
      </c>
      <c r="H1577" s="1186">
        <v>23</v>
      </c>
    </row>
    <row r="1578" spans="1:8" x14ac:dyDescent="0.2">
      <c r="A1578" s="1186" t="s">
        <v>144</v>
      </c>
      <c r="B1578" s="1186" t="s">
        <v>947</v>
      </c>
      <c r="C1578" s="1186" t="s">
        <v>1987</v>
      </c>
      <c r="D1578" s="1186" t="s">
        <v>1988</v>
      </c>
      <c r="E1578" s="1186" t="s">
        <v>2031</v>
      </c>
      <c r="F1578" s="1186" t="s">
        <v>2034</v>
      </c>
      <c r="G1578" s="1186" t="s">
        <v>850</v>
      </c>
      <c r="H1578" s="1186">
        <v>1</v>
      </c>
    </row>
    <row r="1579" spans="1:8" x14ac:dyDescent="0.2">
      <c r="A1579" s="1186" t="s">
        <v>144</v>
      </c>
      <c r="B1579" s="1186" t="s">
        <v>947</v>
      </c>
      <c r="C1579" s="1186" t="s">
        <v>1987</v>
      </c>
      <c r="D1579" s="1186" t="s">
        <v>1988</v>
      </c>
      <c r="E1579" s="1186" t="s">
        <v>2035</v>
      </c>
      <c r="F1579" s="1186" t="s">
        <v>2032</v>
      </c>
      <c r="G1579" s="1186" t="s">
        <v>828</v>
      </c>
      <c r="H1579" s="1186">
        <v>31</v>
      </c>
    </row>
    <row r="1580" spans="1:8" x14ac:dyDescent="0.2">
      <c r="A1580" s="1186" t="s">
        <v>144</v>
      </c>
      <c r="B1580" s="1186" t="s">
        <v>947</v>
      </c>
      <c r="C1580" s="1186" t="s">
        <v>1987</v>
      </c>
      <c r="D1580" s="1186" t="s">
        <v>1988</v>
      </c>
      <c r="E1580" s="1186" t="s">
        <v>2035</v>
      </c>
      <c r="F1580" s="1186" t="s">
        <v>2032</v>
      </c>
      <c r="G1580" s="1186" t="s">
        <v>851</v>
      </c>
      <c r="H1580" s="1186">
        <v>14</v>
      </c>
    </row>
    <row r="1581" spans="1:8" x14ac:dyDescent="0.2">
      <c r="A1581" s="1186" t="s">
        <v>144</v>
      </c>
      <c r="B1581" s="1186" t="s">
        <v>947</v>
      </c>
      <c r="C1581" s="1186" t="s">
        <v>1987</v>
      </c>
      <c r="D1581" s="1186" t="s">
        <v>1988</v>
      </c>
      <c r="E1581" s="1186" t="s">
        <v>2035</v>
      </c>
      <c r="F1581" s="1186" t="s">
        <v>2032</v>
      </c>
      <c r="G1581" s="1186" t="s">
        <v>852</v>
      </c>
      <c r="H1581" s="1186">
        <v>5</v>
      </c>
    </row>
    <row r="1582" spans="1:8" x14ac:dyDescent="0.2">
      <c r="A1582" s="1186" t="s">
        <v>144</v>
      </c>
      <c r="B1582" s="1186" t="s">
        <v>947</v>
      </c>
      <c r="C1582" s="1186" t="s">
        <v>1987</v>
      </c>
      <c r="D1582" s="1186" t="s">
        <v>1988</v>
      </c>
      <c r="E1582" s="1186" t="s">
        <v>2035</v>
      </c>
      <c r="F1582" s="1186" t="s">
        <v>2033</v>
      </c>
      <c r="G1582" s="1186" t="s">
        <v>828</v>
      </c>
      <c r="H1582" s="1186">
        <v>56</v>
      </c>
    </row>
    <row r="1583" spans="1:8" x14ac:dyDescent="0.2">
      <c r="A1583" s="1186" t="s">
        <v>144</v>
      </c>
      <c r="B1583" s="1186" t="s">
        <v>947</v>
      </c>
      <c r="C1583" s="1186" t="s">
        <v>1987</v>
      </c>
      <c r="D1583" s="1186" t="s">
        <v>1988</v>
      </c>
      <c r="E1583" s="1186" t="s">
        <v>2035</v>
      </c>
      <c r="F1583" s="1186" t="s">
        <v>2033</v>
      </c>
      <c r="G1583" s="1186" t="s">
        <v>850</v>
      </c>
      <c r="H1583" s="1186">
        <v>13</v>
      </c>
    </row>
    <row r="1584" spans="1:8" x14ac:dyDescent="0.2">
      <c r="A1584" s="1186" t="s">
        <v>144</v>
      </c>
      <c r="B1584" s="1186" t="s">
        <v>947</v>
      </c>
      <c r="C1584" s="1186" t="s">
        <v>1987</v>
      </c>
      <c r="D1584" s="1186" t="s">
        <v>1988</v>
      </c>
      <c r="E1584" s="1186" t="s">
        <v>2035</v>
      </c>
      <c r="F1584" s="1186" t="s">
        <v>2033</v>
      </c>
      <c r="G1584" s="1186" t="s">
        <v>851</v>
      </c>
      <c r="H1584" s="1186">
        <v>207</v>
      </c>
    </row>
    <row r="1585" spans="1:8" x14ac:dyDescent="0.2">
      <c r="A1585" s="1186" t="s">
        <v>144</v>
      </c>
      <c r="B1585" s="1186" t="s">
        <v>947</v>
      </c>
      <c r="C1585" s="1186" t="s">
        <v>1987</v>
      </c>
      <c r="D1585" s="1186" t="s">
        <v>1988</v>
      </c>
      <c r="E1585" s="1186" t="s">
        <v>2035</v>
      </c>
      <c r="F1585" s="1186" t="s">
        <v>2033</v>
      </c>
      <c r="G1585" s="1186" t="s">
        <v>852</v>
      </c>
      <c r="H1585" s="1186">
        <v>18</v>
      </c>
    </row>
    <row r="1586" spans="1:8" x14ac:dyDescent="0.2">
      <c r="A1586" s="1186" t="s">
        <v>144</v>
      </c>
      <c r="B1586" s="1186" t="s">
        <v>947</v>
      </c>
      <c r="C1586" s="1186" t="s">
        <v>1987</v>
      </c>
      <c r="D1586" s="1186" t="s">
        <v>1988</v>
      </c>
      <c r="E1586" s="1186" t="s">
        <v>2035</v>
      </c>
      <c r="F1586" s="1186" t="s">
        <v>2034</v>
      </c>
      <c r="G1586" s="1186" t="s">
        <v>828</v>
      </c>
      <c r="H1586" s="1186">
        <v>86</v>
      </c>
    </row>
    <row r="1587" spans="1:8" x14ac:dyDescent="0.2">
      <c r="A1587" s="1186" t="s">
        <v>144</v>
      </c>
      <c r="B1587" s="1186" t="s">
        <v>947</v>
      </c>
      <c r="C1587" s="1186" t="s">
        <v>1987</v>
      </c>
      <c r="D1587" s="1186" t="s">
        <v>1988</v>
      </c>
      <c r="E1587" s="1186" t="s">
        <v>2035</v>
      </c>
      <c r="F1587" s="1186" t="s">
        <v>2034</v>
      </c>
      <c r="G1587" s="1186" t="s">
        <v>850</v>
      </c>
      <c r="H1587" s="1186">
        <v>34</v>
      </c>
    </row>
    <row r="1588" spans="1:8" x14ac:dyDescent="0.2">
      <c r="A1588" s="1186" t="s">
        <v>144</v>
      </c>
      <c r="B1588" s="1186" t="s">
        <v>947</v>
      </c>
      <c r="C1588" s="1186" t="s">
        <v>1987</v>
      </c>
      <c r="D1588" s="1186" t="s">
        <v>1988</v>
      </c>
      <c r="E1588" s="1186" t="s">
        <v>2035</v>
      </c>
      <c r="F1588" s="1186" t="s">
        <v>2034</v>
      </c>
      <c r="G1588" s="1186" t="s">
        <v>851</v>
      </c>
      <c r="H1588" s="1186">
        <v>27</v>
      </c>
    </row>
    <row r="1589" spans="1:8" x14ac:dyDescent="0.2">
      <c r="A1589" s="1186" t="s">
        <v>144</v>
      </c>
      <c r="B1589" s="1186" t="s">
        <v>947</v>
      </c>
      <c r="C1589" s="1186" t="s">
        <v>1987</v>
      </c>
      <c r="D1589" s="1186" t="s">
        <v>1988</v>
      </c>
      <c r="E1589" s="1186" t="s">
        <v>2035</v>
      </c>
      <c r="F1589" s="1186" t="s">
        <v>2034</v>
      </c>
      <c r="G1589" s="1186" t="s">
        <v>852</v>
      </c>
      <c r="H1589" s="1186">
        <v>5</v>
      </c>
    </row>
    <row r="1590" spans="1:8" x14ac:dyDescent="0.2">
      <c r="A1590" s="1186" t="s">
        <v>144</v>
      </c>
      <c r="B1590" s="1186" t="s">
        <v>948</v>
      </c>
      <c r="C1590" s="1186" t="s">
        <v>1981</v>
      </c>
      <c r="D1590" s="1186" t="s">
        <v>1988</v>
      </c>
      <c r="E1590" s="1186" t="s">
        <v>2031</v>
      </c>
      <c r="F1590" s="1186" t="s">
        <v>2032</v>
      </c>
      <c r="G1590" s="1186" t="s">
        <v>828</v>
      </c>
      <c r="H1590" s="1186">
        <v>5</v>
      </c>
    </row>
    <row r="1591" spans="1:8" x14ac:dyDescent="0.2">
      <c r="A1591" s="1186" t="s">
        <v>144</v>
      </c>
      <c r="B1591" s="1186" t="s">
        <v>948</v>
      </c>
      <c r="C1591" s="1186" t="s">
        <v>1981</v>
      </c>
      <c r="D1591" s="1186" t="s">
        <v>1988</v>
      </c>
      <c r="E1591" s="1186" t="s">
        <v>2031</v>
      </c>
      <c r="F1591" s="1186" t="s">
        <v>2032</v>
      </c>
      <c r="G1591" s="1186" t="s">
        <v>850</v>
      </c>
      <c r="H1591" s="1186">
        <v>1</v>
      </c>
    </row>
    <row r="1592" spans="1:8" x14ac:dyDescent="0.2">
      <c r="A1592" s="1186" t="s">
        <v>144</v>
      </c>
      <c r="B1592" s="1186" t="s">
        <v>948</v>
      </c>
      <c r="C1592" s="1186" t="s">
        <v>1981</v>
      </c>
      <c r="D1592" s="1186" t="s">
        <v>1988</v>
      </c>
      <c r="E1592" s="1186" t="s">
        <v>2031</v>
      </c>
      <c r="F1592" s="1186" t="s">
        <v>2033</v>
      </c>
      <c r="G1592" s="1186" t="s">
        <v>828</v>
      </c>
      <c r="H1592" s="1186">
        <v>80</v>
      </c>
    </row>
    <row r="1593" spans="1:8" x14ac:dyDescent="0.2">
      <c r="A1593" s="1186" t="s">
        <v>144</v>
      </c>
      <c r="B1593" s="1186" t="s">
        <v>948</v>
      </c>
      <c r="C1593" s="1186" t="s">
        <v>1981</v>
      </c>
      <c r="D1593" s="1186" t="s">
        <v>1988</v>
      </c>
      <c r="E1593" s="1186" t="s">
        <v>2031</v>
      </c>
      <c r="F1593" s="1186" t="s">
        <v>2033</v>
      </c>
      <c r="G1593" s="1186" t="s">
        <v>850</v>
      </c>
      <c r="H1593" s="1186">
        <v>12</v>
      </c>
    </row>
    <row r="1594" spans="1:8" x14ac:dyDescent="0.2">
      <c r="A1594" s="1186" t="s">
        <v>144</v>
      </c>
      <c r="B1594" s="1186" t="s">
        <v>948</v>
      </c>
      <c r="C1594" s="1186" t="s">
        <v>1981</v>
      </c>
      <c r="D1594" s="1186" t="s">
        <v>1988</v>
      </c>
      <c r="E1594" s="1186" t="s">
        <v>2031</v>
      </c>
      <c r="F1594" s="1186" t="s">
        <v>2033</v>
      </c>
      <c r="G1594" s="1186" t="s">
        <v>851</v>
      </c>
      <c r="H1594" s="1186">
        <v>5</v>
      </c>
    </row>
    <row r="1595" spans="1:8" x14ac:dyDescent="0.2">
      <c r="A1595" s="1186" t="s">
        <v>144</v>
      </c>
      <c r="B1595" s="1186" t="s">
        <v>948</v>
      </c>
      <c r="C1595" s="1186" t="s">
        <v>1981</v>
      </c>
      <c r="D1595" s="1186" t="s">
        <v>1988</v>
      </c>
      <c r="E1595" s="1186" t="s">
        <v>2031</v>
      </c>
      <c r="F1595" s="1186" t="s">
        <v>2033</v>
      </c>
      <c r="G1595" s="1186" t="s">
        <v>852</v>
      </c>
      <c r="H1595" s="1186">
        <v>1</v>
      </c>
    </row>
    <row r="1596" spans="1:8" x14ac:dyDescent="0.2">
      <c r="A1596" s="1186" t="s">
        <v>144</v>
      </c>
      <c r="B1596" s="1186" t="s">
        <v>948</v>
      </c>
      <c r="C1596" s="1186" t="s">
        <v>1981</v>
      </c>
      <c r="D1596" s="1186" t="s">
        <v>1988</v>
      </c>
      <c r="E1596" s="1186" t="s">
        <v>2031</v>
      </c>
      <c r="F1596" s="1186" t="s">
        <v>2034</v>
      </c>
      <c r="G1596" s="1186" t="s">
        <v>828</v>
      </c>
      <c r="H1596" s="1186">
        <v>37</v>
      </c>
    </row>
    <row r="1597" spans="1:8" x14ac:dyDescent="0.2">
      <c r="A1597" s="1186" t="s">
        <v>144</v>
      </c>
      <c r="B1597" s="1186" t="s">
        <v>948</v>
      </c>
      <c r="C1597" s="1186" t="s">
        <v>1981</v>
      </c>
      <c r="D1597" s="1186" t="s">
        <v>1988</v>
      </c>
      <c r="E1597" s="1186" t="s">
        <v>2031</v>
      </c>
      <c r="F1597" s="1186" t="s">
        <v>2034</v>
      </c>
      <c r="G1597" s="1186" t="s">
        <v>850</v>
      </c>
      <c r="H1597" s="1186">
        <v>1</v>
      </c>
    </row>
    <row r="1598" spans="1:8" x14ac:dyDescent="0.2">
      <c r="A1598" s="1186" t="s">
        <v>144</v>
      </c>
      <c r="B1598" s="1186" t="s">
        <v>948</v>
      </c>
      <c r="C1598" s="1186" t="s">
        <v>1981</v>
      </c>
      <c r="D1598" s="1186" t="s">
        <v>1988</v>
      </c>
      <c r="E1598" s="1186" t="s">
        <v>2031</v>
      </c>
      <c r="F1598" s="1186" t="s">
        <v>2034</v>
      </c>
      <c r="G1598" s="1186" t="s">
        <v>851</v>
      </c>
      <c r="H1598" s="1186">
        <v>2</v>
      </c>
    </row>
    <row r="1599" spans="1:8" x14ac:dyDescent="0.2">
      <c r="A1599" s="1186" t="s">
        <v>144</v>
      </c>
      <c r="B1599" s="1186" t="s">
        <v>948</v>
      </c>
      <c r="C1599" s="1186" t="s">
        <v>1981</v>
      </c>
      <c r="D1599" s="1186" t="s">
        <v>1988</v>
      </c>
      <c r="E1599" s="1186" t="s">
        <v>2035</v>
      </c>
      <c r="F1599" s="1186" t="s">
        <v>2032</v>
      </c>
      <c r="G1599" s="1186" t="s">
        <v>828</v>
      </c>
      <c r="H1599" s="1186">
        <v>16</v>
      </c>
    </row>
    <row r="1600" spans="1:8" x14ac:dyDescent="0.2">
      <c r="A1600" s="1186" t="s">
        <v>144</v>
      </c>
      <c r="B1600" s="1186" t="s">
        <v>948</v>
      </c>
      <c r="C1600" s="1186" t="s">
        <v>1981</v>
      </c>
      <c r="D1600" s="1186" t="s">
        <v>1988</v>
      </c>
      <c r="E1600" s="1186" t="s">
        <v>2035</v>
      </c>
      <c r="F1600" s="1186" t="s">
        <v>2032</v>
      </c>
      <c r="G1600" s="1186" t="s">
        <v>850</v>
      </c>
      <c r="H1600" s="1186">
        <v>4</v>
      </c>
    </row>
    <row r="1601" spans="1:8" x14ac:dyDescent="0.2">
      <c r="A1601" s="1186" t="s">
        <v>144</v>
      </c>
      <c r="B1601" s="1186" t="s">
        <v>948</v>
      </c>
      <c r="C1601" s="1186" t="s">
        <v>1981</v>
      </c>
      <c r="D1601" s="1186" t="s">
        <v>1988</v>
      </c>
      <c r="E1601" s="1186" t="s">
        <v>2035</v>
      </c>
      <c r="F1601" s="1186" t="s">
        <v>2032</v>
      </c>
      <c r="G1601" s="1186" t="s">
        <v>851</v>
      </c>
      <c r="H1601" s="1186">
        <v>8</v>
      </c>
    </row>
    <row r="1602" spans="1:8" x14ac:dyDescent="0.2">
      <c r="A1602" s="1186" t="s">
        <v>144</v>
      </c>
      <c r="B1602" s="1186" t="s">
        <v>948</v>
      </c>
      <c r="C1602" s="1186" t="s">
        <v>1981</v>
      </c>
      <c r="D1602" s="1186" t="s">
        <v>1988</v>
      </c>
      <c r="E1602" s="1186" t="s">
        <v>2035</v>
      </c>
      <c r="F1602" s="1186" t="s">
        <v>2032</v>
      </c>
      <c r="G1602" s="1186" t="s">
        <v>852</v>
      </c>
      <c r="H1602" s="1186">
        <v>6</v>
      </c>
    </row>
    <row r="1603" spans="1:8" x14ac:dyDescent="0.2">
      <c r="A1603" s="1186" t="s">
        <v>144</v>
      </c>
      <c r="B1603" s="1186" t="s">
        <v>948</v>
      </c>
      <c r="C1603" s="1186" t="s">
        <v>1981</v>
      </c>
      <c r="D1603" s="1186" t="s">
        <v>1988</v>
      </c>
      <c r="E1603" s="1186" t="s">
        <v>2035</v>
      </c>
      <c r="F1603" s="1186" t="s">
        <v>2033</v>
      </c>
      <c r="G1603" s="1186" t="s">
        <v>828</v>
      </c>
      <c r="H1603" s="1186">
        <v>61</v>
      </c>
    </row>
    <row r="1604" spans="1:8" x14ac:dyDescent="0.2">
      <c r="A1604" s="1186" t="s">
        <v>144</v>
      </c>
      <c r="B1604" s="1186" t="s">
        <v>948</v>
      </c>
      <c r="C1604" s="1186" t="s">
        <v>1981</v>
      </c>
      <c r="D1604" s="1186" t="s">
        <v>1988</v>
      </c>
      <c r="E1604" s="1186" t="s">
        <v>2035</v>
      </c>
      <c r="F1604" s="1186" t="s">
        <v>2033</v>
      </c>
      <c r="G1604" s="1186" t="s">
        <v>850</v>
      </c>
      <c r="H1604" s="1186">
        <v>10</v>
      </c>
    </row>
    <row r="1605" spans="1:8" x14ac:dyDescent="0.2">
      <c r="A1605" s="1186" t="s">
        <v>144</v>
      </c>
      <c r="B1605" s="1186" t="s">
        <v>948</v>
      </c>
      <c r="C1605" s="1186" t="s">
        <v>1981</v>
      </c>
      <c r="D1605" s="1186" t="s">
        <v>1988</v>
      </c>
      <c r="E1605" s="1186" t="s">
        <v>2035</v>
      </c>
      <c r="F1605" s="1186" t="s">
        <v>2033</v>
      </c>
      <c r="G1605" s="1186" t="s">
        <v>851</v>
      </c>
      <c r="H1605" s="1186">
        <v>190</v>
      </c>
    </row>
    <row r="1606" spans="1:8" x14ac:dyDescent="0.2">
      <c r="A1606" s="1186" t="s">
        <v>144</v>
      </c>
      <c r="B1606" s="1186" t="s">
        <v>948</v>
      </c>
      <c r="C1606" s="1186" t="s">
        <v>1981</v>
      </c>
      <c r="D1606" s="1186" t="s">
        <v>1988</v>
      </c>
      <c r="E1606" s="1186" t="s">
        <v>2035</v>
      </c>
      <c r="F1606" s="1186" t="s">
        <v>2033</v>
      </c>
      <c r="G1606" s="1186" t="s">
        <v>852</v>
      </c>
      <c r="H1606" s="1186">
        <v>24</v>
      </c>
    </row>
    <row r="1607" spans="1:8" x14ac:dyDescent="0.2">
      <c r="A1607" s="1186" t="s">
        <v>144</v>
      </c>
      <c r="B1607" s="1186" t="s">
        <v>948</v>
      </c>
      <c r="C1607" s="1186" t="s">
        <v>1981</v>
      </c>
      <c r="D1607" s="1186" t="s">
        <v>1988</v>
      </c>
      <c r="E1607" s="1186" t="s">
        <v>2035</v>
      </c>
      <c r="F1607" s="1186" t="s">
        <v>2034</v>
      </c>
      <c r="G1607" s="1186" t="s">
        <v>828</v>
      </c>
      <c r="H1607" s="1186">
        <v>99</v>
      </c>
    </row>
    <row r="1608" spans="1:8" x14ac:dyDescent="0.2">
      <c r="A1608" s="1186" t="s">
        <v>144</v>
      </c>
      <c r="B1608" s="1186" t="s">
        <v>948</v>
      </c>
      <c r="C1608" s="1186" t="s">
        <v>1981</v>
      </c>
      <c r="D1608" s="1186" t="s">
        <v>1988</v>
      </c>
      <c r="E1608" s="1186" t="s">
        <v>2035</v>
      </c>
      <c r="F1608" s="1186" t="s">
        <v>2034</v>
      </c>
      <c r="G1608" s="1186" t="s">
        <v>850</v>
      </c>
      <c r="H1608" s="1186">
        <v>31</v>
      </c>
    </row>
    <row r="1609" spans="1:8" x14ac:dyDescent="0.2">
      <c r="A1609" s="1186" t="s">
        <v>144</v>
      </c>
      <c r="B1609" s="1186" t="s">
        <v>948</v>
      </c>
      <c r="C1609" s="1186" t="s">
        <v>1981</v>
      </c>
      <c r="D1609" s="1186" t="s">
        <v>1988</v>
      </c>
      <c r="E1609" s="1186" t="s">
        <v>2035</v>
      </c>
      <c r="F1609" s="1186" t="s">
        <v>2034</v>
      </c>
      <c r="G1609" s="1186" t="s">
        <v>851</v>
      </c>
      <c r="H1609" s="1186">
        <v>20</v>
      </c>
    </row>
    <row r="1610" spans="1:8" x14ac:dyDescent="0.2">
      <c r="A1610" s="1186" t="s">
        <v>144</v>
      </c>
      <c r="B1610" s="1186" t="s">
        <v>948</v>
      </c>
      <c r="C1610" s="1186" t="s">
        <v>1981</v>
      </c>
      <c r="D1610" s="1186" t="s">
        <v>1988</v>
      </c>
      <c r="E1610" s="1186" t="s">
        <v>2035</v>
      </c>
      <c r="F1610" s="1186" t="s">
        <v>2034</v>
      </c>
      <c r="G1610" s="1186" t="s">
        <v>852</v>
      </c>
      <c r="H1610" s="1186">
        <v>22</v>
      </c>
    </row>
    <row r="1611" spans="1:8" x14ac:dyDescent="0.2">
      <c r="A1611" s="1186" t="s">
        <v>282</v>
      </c>
      <c r="B1611" s="1186" t="s">
        <v>949</v>
      </c>
      <c r="C1611" s="1186" t="s">
        <v>1981</v>
      </c>
      <c r="D1611" s="1186" t="s">
        <v>1982</v>
      </c>
      <c r="E1611" s="1186" t="s">
        <v>2031</v>
      </c>
      <c r="F1611" s="1186" t="s">
        <v>2032</v>
      </c>
      <c r="G1611" s="1186" t="s">
        <v>828</v>
      </c>
      <c r="H1611" s="1186">
        <v>1</v>
      </c>
    </row>
    <row r="1612" spans="1:8" x14ac:dyDescent="0.2">
      <c r="A1612" s="1186" t="s">
        <v>282</v>
      </c>
      <c r="B1612" s="1186" t="s">
        <v>949</v>
      </c>
      <c r="C1612" s="1186" t="s">
        <v>1981</v>
      </c>
      <c r="D1612" s="1186" t="s">
        <v>1982</v>
      </c>
      <c r="E1612" s="1186" t="s">
        <v>2031</v>
      </c>
      <c r="F1612" s="1186" t="s">
        <v>2032</v>
      </c>
      <c r="G1612" s="1186" t="s">
        <v>851</v>
      </c>
      <c r="H1612" s="1186">
        <v>1</v>
      </c>
    </row>
    <row r="1613" spans="1:8" x14ac:dyDescent="0.2">
      <c r="A1613" s="1186" t="s">
        <v>282</v>
      </c>
      <c r="B1613" s="1186" t="s">
        <v>949</v>
      </c>
      <c r="C1613" s="1186" t="s">
        <v>1981</v>
      </c>
      <c r="D1613" s="1186" t="s">
        <v>1982</v>
      </c>
      <c r="E1613" s="1186" t="s">
        <v>2031</v>
      </c>
      <c r="F1613" s="1186" t="s">
        <v>2033</v>
      </c>
      <c r="G1613" s="1186" t="s">
        <v>828</v>
      </c>
      <c r="H1613" s="1186">
        <v>115</v>
      </c>
    </row>
    <row r="1614" spans="1:8" x14ac:dyDescent="0.2">
      <c r="A1614" s="1186" t="s">
        <v>282</v>
      </c>
      <c r="B1614" s="1186" t="s">
        <v>949</v>
      </c>
      <c r="C1614" s="1186" t="s">
        <v>1981</v>
      </c>
      <c r="D1614" s="1186" t="s">
        <v>1982</v>
      </c>
      <c r="E1614" s="1186" t="s">
        <v>2031</v>
      </c>
      <c r="F1614" s="1186" t="s">
        <v>2033</v>
      </c>
      <c r="G1614" s="1186" t="s">
        <v>850</v>
      </c>
      <c r="H1614" s="1186">
        <v>5</v>
      </c>
    </row>
    <row r="1615" spans="1:8" x14ac:dyDescent="0.2">
      <c r="A1615" s="1186" t="s">
        <v>282</v>
      </c>
      <c r="B1615" s="1186" t="s">
        <v>949</v>
      </c>
      <c r="C1615" s="1186" t="s">
        <v>1981</v>
      </c>
      <c r="D1615" s="1186" t="s">
        <v>1982</v>
      </c>
      <c r="E1615" s="1186" t="s">
        <v>2031</v>
      </c>
      <c r="F1615" s="1186" t="s">
        <v>2033</v>
      </c>
      <c r="G1615" s="1186" t="s">
        <v>851</v>
      </c>
      <c r="H1615" s="1186">
        <v>6</v>
      </c>
    </row>
    <row r="1616" spans="1:8" x14ac:dyDescent="0.2">
      <c r="A1616" s="1186" t="s">
        <v>282</v>
      </c>
      <c r="B1616" s="1186" t="s">
        <v>949</v>
      </c>
      <c r="C1616" s="1186" t="s">
        <v>1981</v>
      </c>
      <c r="D1616" s="1186" t="s">
        <v>1982</v>
      </c>
      <c r="E1616" s="1186" t="s">
        <v>2031</v>
      </c>
      <c r="F1616" s="1186" t="s">
        <v>2033</v>
      </c>
      <c r="G1616" s="1186" t="s">
        <v>852</v>
      </c>
      <c r="H1616" s="1186">
        <v>5</v>
      </c>
    </row>
    <row r="1617" spans="1:8" x14ac:dyDescent="0.2">
      <c r="A1617" s="1186" t="s">
        <v>282</v>
      </c>
      <c r="B1617" s="1186" t="s">
        <v>949</v>
      </c>
      <c r="C1617" s="1186" t="s">
        <v>1981</v>
      </c>
      <c r="D1617" s="1186" t="s">
        <v>1982</v>
      </c>
      <c r="E1617" s="1186" t="s">
        <v>2031</v>
      </c>
      <c r="F1617" s="1186" t="s">
        <v>2034</v>
      </c>
      <c r="G1617" s="1186" t="s">
        <v>828</v>
      </c>
      <c r="H1617" s="1186">
        <v>17</v>
      </c>
    </row>
    <row r="1618" spans="1:8" x14ac:dyDescent="0.2">
      <c r="A1618" s="1186" t="s">
        <v>282</v>
      </c>
      <c r="B1618" s="1186" t="s">
        <v>949</v>
      </c>
      <c r="C1618" s="1186" t="s">
        <v>1981</v>
      </c>
      <c r="D1618" s="1186" t="s">
        <v>1982</v>
      </c>
      <c r="E1618" s="1186" t="s">
        <v>2035</v>
      </c>
      <c r="F1618" s="1186" t="s">
        <v>2032</v>
      </c>
      <c r="G1618" s="1186" t="s">
        <v>828</v>
      </c>
      <c r="H1618" s="1186">
        <v>27</v>
      </c>
    </row>
    <row r="1619" spans="1:8" x14ac:dyDescent="0.2">
      <c r="A1619" s="1186" t="s">
        <v>282</v>
      </c>
      <c r="B1619" s="1186" t="s">
        <v>949</v>
      </c>
      <c r="C1619" s="1186" t="s">
        <v>1981</v>
      </c>
      <c r="D1619" s="1186" t="s">
        <v>1982</v>
      </c>
      <c r="E1619" s="1186" t="s">
        <v>2035</v>
      </c>
      <c r="F1619" s="1186" t="s">
        <v>2032</v>
      </c>
      <c r="G1619" s="1186" t="s">
        <v>850</v>
      </c>
      <c r="H1619" s="1186">
        <v>1</v>
      </c>
    </row>
    <row r="1620" spans="1:8" x14ac:dyDescent="0.2">
      <c r="A1620" s="1186" t="s">
        <v>282</v>
      </c>
      <c r="B1620" s="1186" t="s">
        <v>949</v>
      </c>
      <c r="C1620" s="1186" t="s">
        <v>1981</v>
      </c>
      <c r="D1620" s="1186" t="s">
        <v>1982</v>
      </c>
      <c r="E1620" s="1186" t="s">
        <v>2035</v>
      </c>
      <c r="F1620" s="1186" t="s">
        <v>2032</v>
      </c>
      <c r="G1620" s="1186" t="s">
        <v>851</v>
      </c>
      <c r="H1620" s="1186">
        <v>8</v>
      </c>
    </row>
    <row r="1621" spans="1:8" x14ac:dyDescent="0.2">
      <c r="A1621" s="1186" t="s">
        <v>282</v>
      </c>
      <c r="B1621" s="1186" t="s">
        <v>949</v>
      </c>
      <c r="C1621" s="1186" t="s">
        <v>1981</v>
      </c>
      <c r="D1621" s="1186" t="s">
        <v>1982</v>
      </c>
      <c r="E1621" s="1186" t="s">
        <v>2035</v>
      </c>
      <c r="F1621" s="1186" t="s">
        <v>2032</v>
      </c>
      <c r="G1621" s="1186" t="s">
        <v>852</v>
      </c>
      <c r="H1621" s="1186">
        <v>9</v>
      </c>
    </row>
    <row r="1622" spans="1:8" x14ac:dyDescent="0.2">
      <c r="A1622" s="1186" t="s">
        <v>282</v>
      </c>
      <c r="B1622" s="1186" t="s">
        <v>949</v>
      </c>
      <c r="C1622" s="1186" t="s">
        <v>1981</v>
      </c>
      <c r="D1622" s="1186" t="s">
        <v>1982</v>
      </c>
      <c r="E1622" s="1186" t="s">
        <v>2035</v>
      </c>
      <c r="F1622" s="1186" t="s">
        <v>2033</v>
      </c>
      <c r="G1622" s="1186" t="s">
        <v>828</v>
      </c>
      <c r="H1622" s="1186">
        <v>71</v>
      </c>
    </row>
    <row r="1623" spans="1:8" x14ac:dyDescent="0.2">
      <c r="A1623" s="1186" t="s">
        <v>282</v>
      </c>
      <c r="B1623" s="1186" t="s">
        <v>949</v>
      </c>
      <c r="C1623" s="1186" t="s">
        <v>1981</v>
      </c>
      <c r="D1623" s="1186" t="s">
        <v>1982</v>
      </c>
      <c r="E1623" s="1186" t="s">
        <v>2035</v>
      </c>
      <c r="F1623" s="1186" t="s">
        <v>2033</v>
      </c>
      <c r="G1623" s="1186" t="s">
        <v>850</v>
      </c>
      <c r="H1623" s="1186">
        <v>12</v>
      </c>
    </row>
    <row r="1624" spans="1:8" x14ac:dyDescent="0.2">
      <c r="A1624" s="1186" t="s">
        <v>282</v>
      </c>
      <c r="B1624" s="1186" t="s">
        <v>949</v>
      </c>
      <c r="C1624" s="1186" t="s">
        <v>1981</v>
      </c>
      <c r="D1624" s="1186" t="s">
        <v>1982</v>
      </c>
      <c r="E1624" s="1186" t="s">
        <v>2035</v>
      </c>
      <c r="F1624" s="1186" t="s">
        <v>2033</v>
      </c>
      <c r="G1624" s="1186" t="s">
        <v>851</v>
      </c>
      <c r="H1624" s="1186">
        <v>164</v>
      </c>
    </row>
    <row r="1625" spans="1:8" x14ac:dyDescent="0.2">
      <c r="A1625" s="1186" t="s">
        <v>282</v>
      </c>
      <c r="B1625" s="1186" t="s">
        <v>949</v>
      </c>
      <c r="C1625" s="1186" t="s">
        <v>1981</v>
      </c>
      <c r="D1625" s="1186" t="s">
        <v>1982</v>
      </c>
      <c r="E1625" s="1186" t="s">
        <v>2035</v>
      </c>
      <c r="F1625" s="1186" t="s">
        <v>2033</v>
      </c>
      <c r="G1625" s="1186" t="s">
        <v>852</v>
      </c>
      <c r="H1625" s="1186">
        <v>15</v>
      </c>
    </row>
    <row r="1626" spans="1:8" x14ac:dyDescent="0.2">
      <c r="A1626" s="1186" t="s">
        <v>282</v>
      </c>
      <c r="B1626" s="1186" t="s">
        <v>949</v>
      </c>
      <c r="C1626" s="1186" t="s">
        <v>1981</v>
      </c>
      <c r="D1626" s="1186" t="s">
        <v>1982</v>
      </c>
      <c r="E1626" s="1186" t="s">
        <v>2035</v>
      </c>
      <c r="F1626" s="1186" t="s">
        <v>2034</v>
      </c>
      <c r="G1626" s="1186" t="s">
        <v>828</v>
      </c>
      <c r="H1626" s="1186">
        <v>76</v>
      </c>
    </row>
    <row r="1627" spans="1:8" x14ac:dyDescent="0.2">
      <c r="A1627" s="1186" t="s">
        <v>282</v>
      </c>
      <c r="B1627" s="1186" t="s">
        <v>949</v>
      </c>
      <c r="C1627" s="1186" t="s">
        <v>1981</v>
      </c>
      <c r="D1627" s="1186" t="s">
        <v>1982</v>
      </c>
      <c r="E1627" s="1186" t="s">
        <v>2035</v>
      </c>
      <c r="F1627" s="1186" t="s">
        <v>2034</v>
      </c>
      <c r="G1627" s="1186" t="s">
        <v>850</v>
      </c>
      <c r="H1627" s="1186">
        <v>48</v>
      </c>
    </row>
    <row r="1628" spans="1:8" x14ac:dyDescent="0.2">
      <c r="A1628" s="1186" t="s">
        <v>282</v>
      </c>
      <c r="B1628" s="1186" t="s">
        <v>949</v>
      </c>
      <c r="C1628" s="1186" t="s">
        <v>1981</v>
      </c>
      <c r="D1628" s="1186" t="s">
        <v>1982</v>
      </c>
      <c r="E1628" s="1186" t="s">
        <v>2035</v>
      </c>
      <c r="F1628" s="1186" t="s">
        <v>2034</v>
      </c>
      <c r="G1628" s="1186" t="s">
        <v>851</v>
      </c>
      <c r="H1628" s="1186">
        <v>27</v>
      </c>
    </row>
    <row r="1629" spans="1:8" x14ac:dyDescent="0.2">
      <c r="A1629" s="1186" t="s">
        <v>282</v>
      </c>
      <c r="B1629" s="1186" t="s">
        <v>949</v>
      </c>
      <c r="C1629" s="1186" t="s">
        <v>1981</v>
      </c>
      <c r="D1629" s="1186" t="s">
        <v>1982</v>
      </c>
      <c r="E1629" s="1186" t="s">
        <v>2035</v>
      </c>
      <c r="F1629" s="1186" t="s">
        <v>2034</v>
      </c>
      <c r="G1629" s="1186" t="s">
        <v>852</v>
      </c>
      <c r="H1629" s="1186">
        <v>28</v>
      </c>
    </row>
    <row r="1630" spans="1:8" x14ac:dyDescent="0.2">
      <c r="A1630" s="1186" t="s">
        <v>282</v>
      </c>
      <c r="B1630" s="1186" t="s">
        <v>950</v>
      </c>
      <c r="C1630" s="1186" t="s">
        <v>1981</v>
      </c>
      <c r="D1630" s="1186" t="s">
        <v>1982</v>
      </c>
      <c r="E1630" s="1186" t="s">
        <v>2031</v>
      </c>
      <c r="F1630" s="1186" t="s">
        <v>2032</v>
      </c>
      <c r="G1630" s="1186" t="s">
        <v>828</v>
      </c>
      <c r="H1630" s="1186">
        <v>2</v>
      </c>
    </row>
    <row r="1631" spans="1:8" x14ac:dyDescent="0.2">
      <c r="A1631" s="1186" t="s">
        <v>282</v>
      </c>
      <c r="B1631" s="1186" t="s">
        <v>950</v>
      </c>
      <c r="C1631" s="1186" t="s">
        <v>1981</v>
      </c>
      <c r="D1631" s="1186" t="s">
        <v>1982</v>
      </c>
      <c r="E1631" s="1186" t="s">
        <v>2031</v>
      </c>
      <c r="F1631" s="1186" t="s">
        <v>2032</v>
      </c>
      <c r="G1631" s="1186" t="s">
        <v>850</v>
      </c>
      <c r="H1631" s="1186">
        <v>1</v>
      </c>
    </row>
    <row r="1632" spans="1:8" x14ac:dyDescent="0.2">
      <c r="A1632" s="1186" t="s">
        <v>282</v>
      </c>
      <c r="B1632" s="1186" t="s">
        <v>950</v>
      </c>
      <c r="C1632" s="1186" t="s">
        <v>1981</v>
      </c>
      <c r="D1632" s="1186" t="s">
        <v>1982</v>
      </c>
      <c r="E1632" s="1186" t="s">
        <v>2031</v>
      </c>
      <c r="F1632" s="1186" t="s">
        <v>2033</v>
      </c>
      <c r="G1632" s="1186" t="s">
        <v>828</v>
      </c>
      <c r="H1632" s="1186">
        <v>111</v>
      </c>
    </row>
    <row r="1633" spans="1:8" x14ac:dyDescent="0.2">
      <c r="A1633" s="1186" t="s">
        <v>282</v>
      </c>
      <c r="B1633" s="1186" t="s">
        <v>950</v>
      </c>
      <c r="C1633" s="1186" t="s">
        <v>1981</v>
      </c>
      <c r="D1633" s="1186" t="s">
        <v>1982</v>
      </c>
      <c r="E1633" s="1186" t="s">
        <v>2031</v>
      </c>
      <c r="F1633" s="1186" t="s">
        <v>2033</v>
      </c>
      <c r="G1633" s="1186" t="s">
        <v>850</v>
      </c>
      <c r="H1633" s="1186">
        <v>3</v>
      </c>
    </row>
    <row r="1634" spans="1:8" x14ac:dyDescent="0.2">
      <c r="A1634" s="1186" t="s">
        <v>282</v>
      </c>
      <c r="B1634" s="1186" t="s">
        <v>950</v>
      </c>
      <c r="C1634" s="1186" t="s">
        <v>1981</v>
      </c>
      <c r="D1634" s="1186" t="s">
        <v>1982</v>
      </c>
      <c r="E1634" s="1186" t="s">
        <v>2031</v>
      </c>
      <c r="F1634" s="1186" t="s">
        <v>2033</v>
      </c>
      <c r="G1634" s="1186" t="s">
        <v>851</v>
      </c>
      <c r="H1634" s="1186">
        <v>7</v>
      </c>
    </row>
    <row r="1635" spans="1:8" x14ac:dyDescent="0.2">
      <c r="A1635" s="1186" t="s">
        <v>282</v>
      </c>
      <c r="B1635" s="1186" t="s">
        <v>950</v>
      </c>
      <c r="C1635" s="1186" t="s">
        <v>1981</v>
      </c>
      <c r="D1635" s="1186" t="s">
        <v>1982</v>
      </c>
      <c r="E1635" s="1186" t="s">
        <v>2031</v>
      </c>
      <c r="F1635" s="1186" t="s">
        <v>2033</v>
      </c>
      <c r="G1635" s="1186" t="s">
        <v>852</v>
      </c>
      <c r="H1635" s="1186">
        <v>2</v>
      </c>
    </row>
    <row r="1636" spans="1:8" x14ac:dyDescent="0.2">
      <c r="A1636" s="1186" t="s">
        <v>282</v>
      </c>
      <c r="B1636" s="1186" t="s">
        <v>950</v>
      </c>
      <c r="C1636" s="1186" t="s">
        <v>1981</v>
      </c>
      <c r="D1636" s="1186" t="s">
        <v>1982</v>
      </c>
      <c r="E1636" s="1186" t="s">
        <v>2031</v>
      </c>
      <c r="F1636" s="1186" t="s">
        <v>2034</v>
      </c>
      <c r="G1636" s="1186" t="s">
        <v>828</v>
      </c>
      <c r="H1636" s="1186">
        <v>10</v>
      </c>
    </row>
    <row r="1637" spans="1:8" x14ac:dyDescent="0.2">
      <c r="A1637" s="1186" t="s">
        <v>282</v>
      </c>
      <c r="B1637" s="1186" t="s">
        <v>950</v>
      </c>
      <c r="C1637" s="1186" t="s">
        <v>1981</v>
      </c>
      <c r="D1637" s="1186" t="s">
        <v>1982</v>
      </c>
      <c r="E1637" s="1186" t="s">
        <v>2031</v>
      </c>
      <c r="F1637" s="1186" t="s">
        <v>2034</v>
      </c>
      <c r="G1637" s="1186" t="s">
        <v>850</v>
      </c>
      <c r="H1637" s="1186">
        <v>1</v>
      </c>
    </row>
    <row r="1638" spans="1:8" x14ac:dyDescent="0.2">
      <c r="A1638" s="1186" t="s">
        <v>282</v>
      </c>
      <c r="B1638" s="1186" t="s">
        <v>950</v>
      </c>
      <c r="C1638" s="1186" t="s">
        <v>1981</v>
      </c>
      <c r="D1638" s="1186" t="s">
        <v>1982</v>
      </c>
      <c r="E1638" s="1186" t="s">
        <v>2035</v>
      </c>
      <c r="F1638" s="1186" t="s">
        <v>2032</v>
      </c>
      <c r="G1638" s="1186" t="s">
        <v>828</v>
      </c>
      <c r="H1638" s="1186">
        <v>26</v>
      </c>
    </row>
    <row r="1639" spans="1:8" x14ac:dyDescent="0.2">
      <c r="A1639" s="1186" t="s">
        <v>282</v>
      </c>
      <c r="B1639" s="1186" t="s">
        <v>950</v>
      </c>
      <c r="C1639" s="1186" t="s">
        <v>1981</v>
      </c>
      <c r="D1639" s="1186" t="s">
        <v>1982</v>
      </c>
      <c r="E1639" s="1186" t="s">
        <v>2035</v>
      </c>
      <c r="F1639" s="1186" t="s">
        <v>2032</v>
      </c>
      <c r="G1639" s="1186" t="s">
        <v>850</v>
      </c>
      <c r="H1639" s="1186">
        <v>4</v>
      </c>
    </row>
    <row r="1640" spans="1:8" x14ac:dyDescent="0.2">
      <c r="A1640" s="1186" t="s">
        <v>282</v>
      </c>
      <c r="B1640" s="1186" t="s">
        <v>950</v>
      </c>
      <c r="C1640" s="1186" t="s">
        <v>1981</v>
      </c>
      <c r="D1640" s="1186" t="s">
        <v>1982</v>
      </c>
      <c r="E1640" s="1186" t="s">
        <v>2035</v>
      </c>
      <c r="F1640" s="1186" t="s">
        <v>2032</v>
      </c>
      <c r="G1640" s="1186" t="s">
        <v>851</v>
      </c>
      <c r="H1640" s="1186">
        <v>10</v>
      </c>
    </row>
    <row r="1641" spans="1:8" x14ac:dyDescent="0.2">
      <c r="A1641" s="1186" t="s">
        <v>282</v>
      </c>
      <c r="B1641" s="1186" t="s">
        <v>950</v>
      </c>
      <c r="C1641" s="1186" t="s">
        <v>1981</v>
      </c>
      <c r="D1641" s="1186" t="s">
        <v>1982</v>
      </c>
      <c r="E1641" s="1186" t="s">
        <v>2035</v>
      </c>
      <c r="F1641" s="1186" t="s">
        <v>2032</v>
      </c>
      <c r="G1641" s="1186" t="s">
        <v>852</v>
      </c>
      <c r="H1641" s="1186">
        <v>10</v>
      </c>
    </row>
    <row r="1642" spans="1:8" x14ac:dyDescent="0.2">
      <c r="A1642" s="1186" t="s">
        <v>282</v>
      </c>
      <c r="B1642" s="1186" t="s">
        <v>950</v>
      </c>
      <c r="C1642" s="1186" t="s">
        <v>1981</v>
      </c>
      <c r="D1642" s="1186" t="s">
        <v>1982</v>
      </c>
      <c r="E1642" s="1186" t="s">
        <v>2035</v>
      </c>
      <c r="F1642" s="1186" t="s">
        <v>2033</v>
      </c>
      <c r="G1642" s="1186" t="s">
        <v>828</v>
      </c>
      <c r="H1642" s="1186">
        <v>74</v>
      </c>
    </row>
    <row r="1643" spans="1:8" x14ac:dyDescent="0.2">
      <c r="A1643" s="1186" t="s">
        <v>282</v>
      </c>
      <c r="B1643" s="1186" t="s">
        <v>950</v>
      </c>
      <c r="C1643" s="1186" t="s">
        <v>1981</v>
      </c>
      <c r="D1643" s="1186" t="s">
        <v>1982</v>
      </c>
      <c r="E1643" s="1186" t="s">
        <v>2035</v>
      </c>
      <c r="F1643" s="1186" t="s">
        <v>2033</v>
      </c>
      <c r="G1643" s="1186" t="s">
        <v>850</v>
      </c>
      <c r="H1643" s="1186">
        <v>11</v>
      </c>
    </row>
    <row r="1644" spans="1:8" x14ac:dyDescent="0.2">
      <c r="A1644" s="1186" t="s">
        <v>282</v>
      </c>
      <c r="B1644" s="1186" t="s">
        <v>950</v>
      </c>
      <c r="C1644" s="1186" t="s">
        <v>1981</v>
      </c>
      <c r="D1644" s="1186" t="s">
        <v>1982</v>
      </c>
      <c r="E1644" s="1186" t="s">
        <v>2035</v>
      </c>
      <c r="F1644" s="1186" t="s">
        <v>2033</v>
      </c>
      <c r="G1644" s="1186" t="s">
        <v>851</v>
      </c>
      <c r="H1644" s="1186">
        <v>194</v>
      </c>
    </row>
    <row r="1645" spans="1:8" x14ac:dyDescent="0.2">
      <c r="A1645" s="1186" t="s">
        <v>282</v>
      </c>
      <c r="B1645" s="1186" t="s">
        <v>950</v>
      </c>
      <c r="C1645" s="1186" t="s">
        <v>1981</v>
      </c>
      <c r="D1645" s="1186" t="s">
        <v>1982</v>
      </c>
      <c r="E1645" s="1186" t="s">
        <v>2035</v>
      </c>
      <c r="F1645" s="1186" t="s">
        <v>2033</v>
      </c>
      <c r="G1645" s="1186" t="s">
        <v>852</v>
      </c>
      <c r="H1645" s="1186">
        <v>36</v>
      </c>
    </row>
    <row r="1646" spans="1:8" x14ac:dyDescent="0.2">
      <c r="A1646" s="1186" t="s">
        <v>282</v>
      </c>
      <c r="B1646" s="1186" t="s">
        <v>950</v>
      </c>
      <c r="C1646" s="1186" t="s">
        <v>1981</v>
      </c>
      <c r="D1646" s="1186" t="s">
        <v>1982</v>
      </c>
      <c r="E1646" s="1186" t="s">
        <v>2035</v>
      </c>
      <c r="F1646" s="1186" t="s">
        <v>2034</v>
      </c>
      <c r="G1646" s="1186" t="s">
        <v>828</v>
      </c>
      <c r="H1646" s="1186">
        <v>74</v>
      </c>
    </row>
    <row r="1647" spans="1:8" x14ac:dyDescent="0.2">
      <c r="A1647" s="1186" t="s">
        <v>282</v>
      </c>
      <c r="B1647" s="1186" t="s">
        <v>950</v>
      </c>
      <c r="C1647" s="1186" t="s">
        <v>1981</v>
      </c>
      <c r="D1647" s="1186" t="s">
        <v>1982</v>
      </c>
      <c r="E1647" s="1186" t="s">
        <v>2035</v>
      </c>
      <c r="F1647" s="1186" t="s">
        <v>2034</v>
      </c>
      <c r="G1647" s="1186" t="s">
        <v>850</v>
      </c>
      <c r="H1647" s="1186">
        <v>33</v>
      </c>
    </row>
    <row r="1648" spans="1:8" x14ac:dyDescent="0.2">
      <c r="A1648" s="1186" t="s">
        <v>282</v>
      </c>
      <c r="B1648" s="1186" t="s">
        <v>950</v>
      </c>
      <c r="C1648" s="1186" t="s">
        <v>1981</v>
      </c>
      <c r="D1648" s="1186" t="s">
        <v>1982</v>
      </c>
      <c r="E1648" s="1186" t="s">
        <v>2035</v>
      </c>
      <c r="F1648" s="1186" t="s">
        <v>2034</v>
      </c>
      <c r="G1648" s="1186" t="s">
        <v>851</v>
      </c>
      <c r="H1648" s="1186">
        <v>30</v>
      </c>
    </row>
    <row r="1649" spans="1:8" x14ac:dyDescent="0.2">
      <c r="A1649" s="1186" t="s">
        <v>282</v>
      </c>
      <c r="B1649" s="1186" t="s">
        <v>950</v>
      </c>
      <c r="C1649" s="1186" t="s">
        <v>1981</v>
      </c>
      <c r="D1649" s="1186" t="s">
        <v>1982</v>
      </c>
      <c r="E1649" s="1186" t="s">
        <v>2035</v>
      </c>
      <c r="F1649" s="1186" t="s">
        <v>2034</v>
      </c>
      <c r="G1649" s="1186" t="s">
        <v>852</v>
      </c>
      <c r="H1649" s="1186">
        <v>31</v>
      </c>
    </row>
    <row r="1650" spans="1:8" x14ac:dyDescent="0.2">
      <c r="A1650" s="1186" t="s">
        <v>282</v>
      </c>
      <c r="B1650" s="1186" t="s">
        <v>951</v>
      </c>
      <c r="C1650" s="1186" t="s">
        <v>1983</v>
      </c>
      <c r="D1650" s="1186" t="s">
        <v>1982</v>
      </c>
      <c r="E1650" s="1186" t="s">
        <v>2031</v>
      </c>
      <c r="F1650" s="1186" t="s">
        <v>2032</v>
      </c>
      <c r="G1650" s="1186" t="s">
        <v>828</v>
      </c>
      <c r="H1650" s="1186">
        <v>1</v>
      </c>
    </row>
    <row r="1651" spans="1:8" x14ac:dyDescent="0.2">
      <c r="A1651" s="1186" t="s">
        <v>282</v>
      </c>
      <c r="B1651" s="1186" t="s">
        <v>951</v>
      </c>
      <c r="C1651" s="1186" t="s">
        <v>1983</v>
      </c>
      <c r="D1651" s="1186" t="s">
        <v>1982</v>
      </c>
      <c r="E1651" s="1186" t="s">
        <v>2031</v>
      </c>
      <c r="F1651" s="1186" t="s">
        <v>2032</v>
      </c>
      <c r="G1651" s="1186" t="s">
        <v>850</v>
      </c>
      <c r="H1651" s="1186">
        <v>1</v>
      </c>
    </row>
    <row r="1652" spans="1:8" x14ac:dyDescent="0.2">
      <c r="A1652" s="1186" t="s">
        <v>282</v>
      </c>
      <c r="B1652" s="1186" t="s">
        <v>951</v>
      </c>
      <c r="C1652" s="1186" t="s">
        <v>1983</v>
      </c>
      <c r="D1652" s="1186" t="s">
        <v>1982</v>
      </c>
      <c r="E1652" s="1186" t="s">
        <v>2031</v>
      </c>
      <c r="F1652" s="1186" t="s">
        <v>2033</v>
      </c>
      <c r="G1652" s="1186" t="s">
        <v>828</v>
      </c>
      <c r="H1652" s="1186">
        <v>99</v>
      </c>
    </row>
    <row r="1653" spans="1:8" x14ac:dyDescent="0.2">
      <c r="A1653" s="1186" t="s">
        <v>282</v>
      </c>
      <c r="B1653" s="1186" t="s">
        <v>951</v>
      </c>
      <c r="C1653" s="1186" t="s">
        <v>1983</v>
      </c>
      <c r="D1653" s="1186" t="s">
        <v>1982</v>
      </c>
      <c r="E1653" s="1186" t="s">
        <v>2031</v>
      </c>
      <c r="F1653" s="1186" t="s">
        <v>2033</v>
      </c>
      <c r="G1653" s="1186" t="s">
        <v>850</v>
      </c>
      <c r="H1653" s="1186">
        <v>11</v>
      </c>
    </row>
    <row r="1654" spans="1:8" x14ac:dyDescent="0.2">
      <c r="A1654" s="1186" t="s">
        <v>282</v>
      </c>
      <c r="B1654" s="1186" t="s">
        <v>951</v>
      </c>
      <c r="C1654" s="1186" t="s">
        <v>1983</v>
      </c>
      <c r="D1654" s="1186" t="s">
        <v>1982</v>
      </c>
      <c r="E1654" s="1186" t="s">
        <v>2031</v>
      </c>
      <c r="F1654" s="1186" t="s">
        <v>2033</v>
      </c>
      <c r="G1654" s="1186" t="s">
        <v>851</v>
      </c>
      <c r="H1654" s="1186">
        <v>7</v>
      </c>
    </row>
    <row r="1655" spans="1:8" x14ac:dyDescent="0.2">
      <c r="A1655" s="1186" t="s">
        <v>282</v>
      </c>
      <c r="B1655" s="1186" t="s">
        <v>951</v>
      </c>
      <c r="C1655" s="1186" t="s">
        <v>1983</v>
      </c>
      <c r="D1655" s="1186" t="s">
        <v>1982</v>
      </c>
      <c r="E1655" s="1186" t="s">
        <v>2031</v>
      </c>
      <c r="F1655" s="1186" t="s">
        <v>2033</v>
      </c>
      <c r="G1655" s="1186" t="s">
        <v>852</v>
      </c>
      <c r="H1655" s="1186">
        <v>2</v>
      </c>
    </row>
    <row r="1656" spans="1:8" x14ac:dyDescent="0.2">
      <c r="A1656" s="1186" t="s">
        <v>282</v>
      </c>
      <c r="B1656" s="1186" t="s">
        <v>951</v>
      </c>
      <c r="C1656" s="1186" t="s">
        <v>1983</v>
      </c>
      <c r="D1656" s="1186" t="s">
        <v>1982</v>
      </c>
      <c r="E1656" s="1186" t="s">
        <v>2031</v>
      </c>
      <c r="F1656" s="1186" t="s">
        <v>2034</v>
      </c>
      <c r="G1656" s="1186" t="s">
        <v>828</v>
      </c>
      <c r="H1656" s="1186">
        <v>11</v>
      </c>
    </row>
    <row r="1657" spans="1:8" x14ac:dyDescent="0.2">
      <c r="A1657" s="1186" t="s">
        <v>282</v>
      </c>
      <c r="B1657" s="1186" t="s">
        <v>951</v>
      </c>
      <c r="C1657" s="1186" t="s">
        <v>1983</v>
      </c>
      <c r="D1657" s="1186" t="s">
        <v>1982</v>
      </c>
      <c r="E1657" s="1186" t="s">
        <v>2031</v>
      </c>
      <c r="F1657" s="1186" t="s">
        <v>2034</v>
      </c>
      <c r="G1657" s="1186" t="s">
        <v>850</v>
      </c>
      <c r="H1657" s="1186">
        <v>3</v>
      </c>
    </row>
    <row r="1658" spans="1:8" x14ac:dyDescent="0.2">
      <c r="A1658" s="1186" t="s">
        <v>282</v>
      </c>
      <c r="B1658" s="1186" t="s">
        <v>951</v>
      </c>
      <c r="C1658" s="1186" t="s">
        <v>1983</v>
      </c>
      <c r="D1658" s="1186" t="s">
        <v>1982</v>
      </c>
      <c r="E1658" s="1186" t="s">
        <v>2031</v>
      </c>
      <c r="F1658" s="1186" t="s">
        <v>2034</v>
      </c>
      <c r="G1658" s="1186" t="s">
        <v>852</v>
      </c>
      <c r="H1658" s="1186">
        <v>4</v>
      </c>
    </row>
    <row r="1659" spans="1:8" x14ac:dyDescent="0.2">
      <c r="A1659" s="1186" t="s">
        <v>282</v>
      </c>
      <c r="B1659" s="1186" t="s">
        <v>951</v>
      </c>
      <c r="C1659" s="1186" t="s">
        <v>1983</v>
      </c>
      <c r="D1659" s="1186" t="s">
        <v>1982</v>
      </c>
      <c r="E1659" s="1186" t="s">
        <v>2035</v>
      </c>
      <c r="F1659" s="1186" t="s">
        <v>2032</v>
      </c>
      <c r="G1659" s="1186" t="s">
        <v>828</v>
      </c>
      <c r="H1659" s="1186">
        <v>22</v>
      </c>
    </row>
    <row r="1660" spans="1:8" x14ac:dyDescent="0.2">
      <c r="A1660" s="1186" t="s">
        <v>282</v>
      </c>
      <c r="B1660" s="1186" t="s">
        <v>951</v>
      </c>
      <c r="C1660" s="1186" t="s">
        <v>1983</v>
      </c>
      <c r="D1660" s="1186" t="s">
        <v>1982</v>
      </c>
      <c r="E1660" s="1186" t="s">
        <v>2035</v>
      </c>
      <c r="F1660" s="1186" t="s">
        <v>2032</v>
      </c>
      <c r="G1660" s="1186" t="s">
        <v>850</v>
      </c>
      <c r="H1660" s="1186">
        <v>4</v>
      </c>
    </row>
    <row r="1661" spans="1:8" x14ac:dyDescent="0.2">
      <c r="A1661" s="1186" t="s">
        <v>282</v>
      </c>
      <c r="B1661" s="1186" t="s">
        <v>951</v>
      </c>
      <c r="C1661" s="1186" t="s">
        <v>1983</v>
      </c>
      <c r="D1661" s="1186" t="s">
        <v>1982</v>
      </c>
      <c r="E1661" s="1186" t="s">
        <v>2035</v>
      </c>
      <c r="F1661" s="1186" t="s">
        <v>2032</v>
      </c>
      <c r="G1661" s="1186" t="s">
        <v>851</v>
      </c>
      <c r="H1661" s="1186">
        <v>14</v>
      </c>
    </row>
    <row r="1662" spans="1:8" x14ac:dyDescent="0.2">
      <c r="A1662" s="1186" t="s">
        <v>282</v>
      </c>
      <c r="B1662" s="1186" t="s">
        <v>951</v>
      </c>
      <c r="C1662" s="1186" t="s">
        <v>1983</v>
      </c>
      <c r="D1662" s="1186" t="s">
        <v>1982</v>
      </c>
      <c r="E1662" s="1186" t="s">
        <v>2035</v>
      </c>
      <c r="F1662" s="1186" t="s">
        <v>2032</v>
      </c>
      <c r="G1662" s="1186" t="s">
        <v>852</v>
      </c>
      <c r="H1662" s="1186">
        <v>8</v>
      </c>
    </row>
    <row r="1663" spans="1:8" x14ac:dyDescent="0.2">
      <c r="A1663" s="1186" t="s">
        <v>282</v>
      </c>
      <c r="B1663" s="1186" t="s">
        <v>951</v>
      </c>
      <c r="C1663" s="1186" t="s">
        <v>1983</v>
      </c>
      <c r="D1663" s="1186" t="s">
        <v>1982</v>
      </c>
      <c r="E1663" s="1186" t="s">
        <v>2035</v>
      </c>
      <c r="F1663" s="1186" t="s">
        <v>2033</v>
      </c>
      <c r="G1663" s="1186" t="s">
        <v>828</v>
      </c>
      <c r="H1663" s="1186">
        <v>54</v>
      </c>
    </row>
    <row r="1664" spans="1:8" x14ac:dyDescent="0.2">
      <c r="A1664" s="1186" t="s">
        <v>282</v>
      </c>
      <c r="B1664" s="1186" t="s">
        <v>951</v>
      </c>
      <c r="C1664" s="1186" t="s">
        <v>1983</v>
      </c>
      <c r="D1664" s="1186" t="s">
        <v>1982</v>
      </c>
      <c r="E1664" s="1186" t="s">
        <v>2035</v>
      </c>
      <c r="F1664" s="1186" t="s">
        <v>2033</v>
      </c>
      <c r="G1664" s="1186" t="s">
        <v>850</v>
      </c>
      <c r="H1664" s="1186">
        <v>15</v>
      </c>
    </row>
    <row r="1665" spans="1:8" x14ac:dyDescent="0.2">
      <c r="A1665" s="1186" t="s">
        <v>282</v>
      </c>
      <c r="B1665" s="1186" t="s">
        <v>951</v>
      </c>
      <c r="C1665" s="1186" t="s">
        <v>1983</v>
      </c>
      <c r="D1665" s="1186" t="s">
        <v>1982</v>
      </c>
      <c r="E1665" s="1186" t="s">
        <v>2035</v>
      </c>
      <c r="F1665" s="1186" t="s">
        <v>2033</v>
      </c>
      <c r="G1665" s="1186" t="s">
        <v>851</v>
      </c>
      <c r="H1665" s="1186">
        <v>223</v>
      </c>
    </row>
    <row r="1666" spans="1:8" x14ac:dyDescent="0.2">
      <c r="A1666" s="1186" t="s">
        <v>282</v>
      </c>
      <c r="B1666" s="1186" t="s">
        <v>951</v>
      </c>
      <c r="C1666" s="1186" t="s">
        <v>1983</v>
      </c>
      <c r="D1666" s="1186" t="s">
        <v>1982</v>
      </c>
      <c r="E1666" s="1186" t="s">
        <v>2035</v>
      </c>
      <c r="F1666" s="1186" t="s">
        <v>2033</v>
      </c>
      <c r="G1666" s="1186" t="s">
        <v>852</v>
      </c>
      <c r="H1666" s="1186">
        <v>46</v>
      </c>
    </row>
    <row r="1667" spans="1:8" x14ac:dyDescent="0.2">
      <c r="A1667" s="1186" t="s">
        <v>282</v>
      </c>
      <c r="B1667" s="1186" t="s">
        <v>951</v>
      </c>
      <c r="C1667" s="1186" t="s">
        <v>1983</v>
      </c>
      <c r="D1667" s="1186" t="s">
        <v>1982</v>
      </c>
      <c r="E1667" s="1186" t="s">
        <v>2035</v>
      </c>
      <c r="F1667" s="1186" t="s">
        <v>2034</v>
      </c>
      <c r="G1667" s="1186" t="s">
        <v>828</v>
      </c>
      <c r="H1667" s="1186">
        <v>79</v>
      </c>
    </row>
    <row r="1668" spans="1:8" x14ac:dyDescent="0.2">
      <c r="A1668" s="1186" t="s">
        <v>282</v>
      </c>
      <c r="B1668" s="1186" t="s">
        <v>951</v>
      </c>
      <c r="C1668" s="1186" t="s">
        <v>1983</v>
      </c>
      <c r="D1668" s="1186" t="s">
        <v>1982</v>
      </c>
      <c r="E1668" s="1186" t="s">
        <v>2035</v>
      </c>
      <c r="F1668" s="1186" t="s">
        <v>2034</v>
      </c>
      <c r="G1668" s="1186" t="s">
        <v>850</v>
      </c>
      <c r="H1668" s="1186">
        <v>45</v>
      </c>
    </row>
    <row r="1669" spans="1:8" x14ac:dyDescent="0.2">
      <c r="A1669" s="1186" t="s">
        <v>282</v>
      </c>
      <c r="B1669" s="1186" t="s">
        <v>951</v>
      </c>
      <c r="C1669" s="1186" t="s">
        <v>1983</v>
      </c>
      <c r="D1669" s="1186" t="s">
        <v>1982</v>
      </c>
      <c r="E1669" s="1186" t="s">
        <v>2035</v>
      </c>
      <c r="F1669" s="1186" t="s">
        <v>2034</v>
      </c>
      <c r="G1669" s="1186" t="s">
        <v>851</v>
      </c>
      <c r="H1669" s="1186">
        <v>40</v>
      </c>
    </row>
    <row r="1670" spans="1:8" x14ac:dyDescent="0.2">
      <c r="A1670" s="1186" t="s">
        <v>282</v>
      </c>
      <c r="B1670" s="1186" t="s">
        <v>951</v>
      </c>
      <c r="C1670" s="1186" t="s">
        <v>1983</v>
      </c>
      <c r="D1670" s="1186" t="s">
        <v>1982</v>
      </c>
      <c r="E1670" s="1186" t="s">
        <v>2035</v>
      </c>
      <c r="F1670" s="1186" t="s">
        <v>2034</v>
      </c>
      <c r="G1670" s="1186" t="s">
        <v>852</v>
      </c>
      <c r="H1670" s="1186">
        <v>33</v>
      </c>
    </row>
    <row r="1671" spans="1:8" x14ac:dyDescent="0.2">
      <c r="A1671" s="1186" t="s">
        <v>282</v>
      </c>
      <c r="B1671" s="1186" t="s">
        <v>952</v>
      </c>
      <c r="C1671" s="1186" t="s">
        <v>1983</v>
      </c>
      <c r="D1671" s="1186" t="s">
        <v>1984</v>
      </c>
      <c r="E1671" s="1186" t="s">
        <v>2031</v>
      </c>
      <c r="F1671" s="1186" t="s">
        <v>2032</v>
      </c>
      <c r="G1671" s="1186" t="s">
        <v>828</v>
      </c>
      <c r="H1671" s="1186">
        <v>3</v>
      </c>
    </row>
    <row r="1672" spans="1:8" x14ac:dyDescent="0.2">
      <c r="A1672" s="1186" t="s">
        <v>282</v>
      </c>
      <c r="B1672" s="1186" t="s">
        <v>952</v>
      </c>
      <c r="C1672" s="1186" t="s">
        <v>1983</v>
      </c>
      <c r="D1672" s="1186" t="s">
        <v>1984</v>
      </c>
      <c r="E1672" s="1186" t="s">
        <v>2031</v>
      </c>
      <c r="F1672" s="1186" t="s">
        <v>2032</v>
      </c>
      <c r="G1672" s="1186" t="s">
        <v>851</v>
      </c>
      <c r="H1672" s="1186">
        <v>1</v>
      </c>
    </row>
    <row r="1673" spans="1:8" x14ac:dyDescent="0.2">
      <c r="A1673" s="1186" t="s">
        <v>282</v>
      </c>
      <c r="B1673" s="1186" t="s">
        <v>952</v>
      </c>
      <c r="C1673" s="1186" t="s">
        <v>1983</v>
      </c>
      <c r="D1673" s="1186" t="s">
        <v>1984</v>
      </c>
      <c r="E1673" s="1186" t="s">
        <v>2031</v>
      </c>
      <c r="F1673" s="1186" t="s">
        <v>2033</v>
      </c>
      <c r="G1673" s="1186" t="s">
        <v>828</v>
      </c>
      <c r="H1673" s="1186">
        <v>90</v>
      </c>
    </row>
    <row r="1674" spans="1:8" x14ac:dyDescent="0.2">
      <c r="A1674" s="1186" t="s">
        <v>282</v>
      </c>
      <c r="B1674" s="1186" t="s">
        <v>952</v>
      </c>
      <c r="C1674" s="1186" t="s">
        <v>1983</v>
      </c>
      <c r="D1674" s="1186" t="s">
        <v>1984</v>
      </c>
      <c r="E1674" s="1186" t="s">
        <v>2031</v>
      </c>
      <c r="F1674" s="1186" t="s">
        <v>2033</v>
      </c>
      <c r="G1674" s="1186" t="s">
        <v>850</v>
      </c>
      <c r="H1674" s="1186">
        <v>3</v>
      </c>
    </row>
    <row r="1675" spans="1:8" x14ac:dyDescent="0.2">
      <c r="A1675" s="1186" t="s">
        <v>282</v>
      </c>
      <c r="B1675" s="1186" t="s">
        <v>952</v>
      </c>
      <c r="C1675" s="1186" t="s">
        <v>1983</v>
      </c>
      <c r="D1675" s="1186" t="s">
        <v>1984</v>
      </c>
      <c r="E1675" s="1186" t="s">
        <v>2031</v>
      </c>
      <c r="F1675" s="1186" t="s">
        <v>2033</v>
      </c>
      <c r="G1675" s="1186" t="s">
        <v>851</v>
      </c>
      <c r="H1675" s="1186">
        <v>4</v>
      </c>
    </row>
    <row r="1676" spans="1:8" x14ac:dyDescent="0.2">
      <c r="A1676" s="1186" t="s">
        <v>282</v>
      </c>
      <c r="B1676" s="1186" t="s">
        <v>952</v>
      </c>
      <c r="C1676" s="1186" t="s">
        <v>1983</v>
      </c>
      <c r="D1676" s="1186" t="s">
        <v>1984</v>
      </c>
      <c r="E1676" s="1186" t="s">
        <v>2031</v>
      </c>
      <c r="F1676" s="1186" t="s">
        <v>2033</v>
      </c>
      <c r="G1676" s="1186" t="s">
        <v>852</v>
      </c>
      <c r="H1676" s="1186">
        <v>3</v>
      </c>
    </row>
    <row r="1677" spans="1:8" x14ac:dyDescent="0.2">
      <c r="A1677" s="1186" t="s">
        <v>282</v>
      </c>
      <c r="B1677" s="1186" t="s">
        <v>952</v>
      </c>
      <c r="C1677" s="1186" t="s">
        <v>1983</v>
      </c>
      <c r="D1677" s="1186" t="s">
        <v>1984</v>
      </c>
      <c r="E1677" s="1186" t="s">
        <v>2031</v>
      </c>
      <c r="F1677" s="1186" t="s">
        <v>2034</v>
      </c>
      <c r="G1677" s="1186" t="s">
        <v>828</v>
      </c>
      <c r="H1677" s="1186">
        <v>15</v>
      </c>
    </row>
    <row r="1678" spans="1:8" x14ac:dyDescent="0.2">
      <c r="A1678" s="1186" t="s">
        <v>282</v>
      </c>
      <c r="B1678" s="1186" t="s">
        <v>952</v>
      </c>
      <c r="C1678" s="1186" t="s">
        <v>1983</v>
      </c>
      <c r="D1678" s="1186" t="s">
        <v>1984</v>
      </c>
      <c r="E1678" s="1186" t="s">
        <v>2031</v>
      </c>
      <c r="F1678" s="1186" t="s">
        <v>2034</v>
      </c>
      <c r="G1678" s="1186" t="s">
        <v>850</v>
      </c>
      <c r="H1678" s="1186">
        <v>2</v>
      </c>
    </row>
    <row r="1679" spans="1:8" x14ac:dyDescent="0.2">
      <c r="A1679" s="1186" t="s">
        <v>282</v>
      </c>
      <c r="B1679" s="1186" t="s">
        <v>952</v>
      </c>
      <c r="C1679" s="1186" t="s">
        <v>1983</v>
      </c>
      <c r="D1679" s="1186" t="s">
        <v>1984</v>
      </c>
      <c r="E1679" s="1186" t="s">
        <v>2035</v>
      </c>
      <c r="F1679" s="1186" t="s">
        <v>2032</v>
      </c>
      <c r="G1679" s="1186" t="s">
        <v>828</v>
      </c>
      <c r="H1679" s="1186">
        <v>26</v>
      </c>
    </row>
    <row r="1680" spans="1:8" x14ac:dyDescent="0.2">
      <c r="A1680" s="1186" t="s">
        <v>282</v>
      </c>
      <c r="B1680" s="1186" t="s">
        <v>952</v>
      </c>
      <c r="C1680" s="1186" t="s">
        <v>1983</v>
      </c>
      <c r="D1680" s="1186" t="s">
        <v>1984</v>
      </c>
      <c r="E1680" s="1186" t="s">
        <v>2035</v>
      </c>
      <c r="F1680" s="1186" t="s">
        <v>2032</v>
      </c>
      <c r="G1680" s="1186" t="s">
        <v>850</v>
      </c>
      <c r="H1680" s="1186">
        <v>1</v>
      </c>
    </row>
    <row r="1681" spans="1:8" x14ac:dyDescent="0.2">
      <c r="A1681" s="1186" t="s">
        <v>282</v>
      </c>
      <c r="B1681" s="1186" t="s">
        <v>952</v>
      </c>
      <c r="C1681" s="1186" t="s">
        <v>1983</v>
      </c>
      <c r="D1681" s="1186" t="s">
        <v>1984</v>
      </c>
      <c r="E1681" s="1186" t="s">
        <v>2035</v>
      </c>
      <c r="F1681" s="1186" t="s">
        <v>2032</v>
      </c>
      <c r="G1681" s="1186" t="s">
        <v>851</v>
      </c>
      <c r="H1681" s="1186">
        <v>14</v>
      </c>
    </row>
    <row r="1682" spans="1:8" x14ac:dyDescent="0.2">
      <c r="A1682" s="1186" t="s">
        <v>282</v>
      </c>
      <c r="B1682" s="1186" t="s">
        <v>952</v>
      </c>
      <c r="C1682" s="1186" t="s">
        <v>1983</v>
      </c>
      <c r="D1682" s="1186" t="s">
        <v>1984</v>
      </c>
      <c r="E1682" s="1186" t="s">
        <v>2035</v>
      </c>
      <c r="F1682" s="1186" t="s">
        <v>2032</v>
      </c>
      <c r="G1682" s="1186" t="s">
        <v>852</v>
      </c>
      <c r="H1682" s="1186">
        <v>7</v>
      </c>
    </row>
    <row r="1683" spans="1:8" x14ac:dyDescent="0.2">
      <c r="A1683" s="1186" t="s">
        <v>282</v>
      </c>
      <c r="B1683" s="1186" t="s">
        <v>952</v>
      </c>
      <c r="C1683" s="1186" t="s">
        <v>1983</v>
      </c>
      <c r="D1683" s="1186" t="s">
        <v>1984</v>
      </c>
      <c r="E1683" s="1186" t="s">
        <v>2035</v>
      </c>
      <c r="F1683" s="1186" t="s">
        <v>2033</v>
      </c>
      <c r="G1683" s="1186" t="s">
        <v>828</v>
      </c>
      <c r="H1683" s="1186">
        <v>78</v>
      </c>
    </row>
    <row r="1684" spans="1:8" x14ac:dyDescent="0.2">
      <c r="A1684" s="1186" t="s">
        <v>282</v>
      </c>
      <c r="B1684" s="1186" t="s">
        <v>952</v>
      </c>
      <c r="C1684" s="1186" t="s">
        <v>1983</v>
      </c>
      <c r="D1684" s="1186" t="s">
        <v>1984</v>
      </c>
      <c r="E1684" s="1186" t="s">
        <v>2035</v>
      </c>
      <c r="F1684" s="1186" t="s">
        <v>2033</v>
      </c>
      <c r="G1684" s="1186" t="s">
        <v>850</v>
      </c>
      <c r="H1684" s="1186">
        <v>10</v>
      </c>
    </row>
    <row r="1685" spans="1:8" x14ac:dyDescent="0.2">
      <c r="A1685" s="1186" t="s">
        <v>282</v>
      </c>
      <c r="B1685" s="1186" t="s">
        <v>952</v>
      </c>
      <c r="C1685" s="1186" t="s">
        <v>1983</v>
      </c>
      <c r="D1685" s="1186" t="s">
        <v>1984</v>
      </c>
      <c r="E1685" s="1186" t="s">
        <v>2035</v>
      </c>
      <c r="F1685" s="1186" t="s">
        <v>2033</v>
      </c>
      <c r="G1685" s="1186" t="s">
        <v>851</v>
      </c>
      <c r="H1685" s="1186">
        <v>182</v>
      </c>
    </row>
    <row r="1686" spans="1:8" x14ac:dyDescent="0.2">
      <c r="A1686" s="1186" t="s">
        <v>282</v>
      </c>
      <c r="B1686" s="1186" t="s">
        <v>952</v>
      </c>
      <c r="C1686" s="1186" t="s">
        <v>1983</v>
      </c>
      <c r="D1686" s="1186" t="s">
        <v>1984</v>
      </c>
      <c r="E1686" s="1186" t="s">
        <v>2035</v>
      </c>
      <c r="F1686" s="1186" t="s">
        <v>2033</v>
      </c>
      <c r="G1686" s="1186" t="s">
        <v>852</v>
      </c>
      <c r="H1686" s="1186">
        <v>34</v>
      </c>
    </row>
    <row r="1687" spans="1:8" x14ac:dyDescent="0.2">
      <c r="A1687" s="1186" t="s">
        <v>282</v>
      </c>
      <c r="B1687" s="1186" t="s">
        <v>952</v>
      </c>
      <c r="C1687" s="1186" t="s">
        <v>1983</v>
      </c>
      <c r="D1687" s="1186" t="s">
        <v>1984</v>
      </c>
      <c r="E1687" s="1186" t="s">
        <v>2035</v>
      </c>
      <c r="F1687" s="1186" t="s">
        <v>2034</v>
      </c>
      <c r="G1687" s="1186" t="s">
        <v>828</v>
      </c>
      <c r="H1687" s="1186">
        <v>83</v>
      </c>
    </row>
    <row r="1688" spans="1:8" x14ac:dyDescent="0.2">
      <c r="A1688" s="1186" t="s">
        <v>282</v>
      </c>
      <c r="B1688" s="1186" t="s">
        <v>952</v>
      </c>
      <c r="C1688" s="1186" t="s">
        <v>1983</v>
      </c>
      <c r="D1688" s="1186" t="s">
        <v>1984</v>
      </c>
      <c r="E1688" s="1186" t="s">
        <v>2035</v>
      </c>
      <c r="F1688" s="1186" t="s">
        <v>2034</v>
      </c>
      <c r="G1688" s="1186" t="s">
        <v>850</v>
      </c>
      <c r="H1688" s="1186">
        <v>40</v>
      </c>
    </row>
    <row r="1689" spans="1:8" x14ac:dyDescent="0.2">
      <c r="A1689" s="1186" t="s">
        <v>282</v>
      </c>
      <c r="B1689" s="1186" t="s">
        <v>952</v>
      </c>
      <c r="C1689" s="1186" t="s">
        <v>1983</v>
      </c>
      <c r="D1689" s="1186" t="s">
        <v>1984</v>
      </c>
      <c r="E1689" s="1186" t="s">
        <v>2035</v>
      </c>
      <c r="F1689" s="1186" t="s">
        <v>2034</v>
      </c>
      <c r="G1689" s="1186" t="s">
        <v>851</v>
      </c>
      <c r="H1689" s="1186">
        <v>32</v>
      </c>
    </row>
    <row r="1690" spans="1:8" x14ac:dyDescent="0.2">
      <c r="A1690" s="1186" t="s">
        <v>282</v>
      </c>
      <c r="B1690" s="1186" t="s">
        <v>952</v>
      </c>
      <c r="C1690" s="1186" t="s">
        <v>1983</v>
      </c>
      <c r="D1690" s="1186" t="s">
        <v>1984</v>
      </c>
      <c r="E1690" s="1186" t="s">
        <v>2035</v>
      </c>
      <c r="F1690" s="1186" t="s">
        <v>2034</v>
      </c>
      <c r="G1690" s="1186" t="s">
        <v>852</v>
      </c>
      <c r="H1690" s="1186">
        <v>35</v>
      </c>
    </row>
    <row r="1691" spans="1:8" x14ac:dyDescent="0.2">
      <c r="A1691" s="1186" t="s">
        <v>282</v>
      </c>
      <c r="B1691" s="1186" t="s">
        <v>953</v>
      </c>
      <c r="C1691" s="1186" t="s">
        <v>1983</v>
      </c>
      <c r="D1691" s="1186" t="s">
        <v>1984</v>
      </c>
      <c r="E1691" s="1186" t="s">
        <v>2031</v>
      </c>
      <c r="F1691" s="1186" t="s">
        <v>2032</v>
      </c>
      <c r="G1691" s="1186" t="s">
        <v>828</v>
      </c>
      <c r="H1691" s="1186">
        <v>4</v>
      </c>
    </row>
    <row r="1692" spans="1:8" x14ac:dyDescent="0.2">
      <c r="A1692" s="1186" t="s">
        <v>282</v>
      </c>
      <c r="B1692" s="1186" t="s">
        <v>953</v>
      </c>
      <c r="C1692" s="1186" t="s">
        <v>1983</v>
      </c>
      <c r="D1692" s="1186" t="s">
        <v>1984</v>
      </c>
      <c r="E1692" s="1186" t="s">
        <v>2031</v>
      </c>
      <c r="F1692" s="1186" t="s">
        <v>2032</v>
      </c>
      <c r="G1692" s="1186" t="s">
        <v>851</v>
      </c>
      <c r="H1692" s="1186">
        <v>1</v>
      </c>
    </row>
    <row r="1693" spans="1:8" x14ac:dyDescent="0.2">
      <c r="A1693" s="1186" t="s">
        <v>282</v>
      </c>
      <c r="B1693" s="1186" t="s">
        <v>953</v>
      </c>
      <c r="C1693" s="1186" t="s">
        <v>1983</v>
      </c>
      <c r="D1693" s="1186" t="s">
        <v>1984</v>
      </c>
      <c r="E1693" s="1186" t="s">
        <v>2031</v>
      </c>
      <c r="F1693" s="1186" t="s">
        <v>2033</v>
      </c>
      <c r="G1693" s="1186" t="s">
        <v>828</v>
      </c>
      <c r="H1693" s="1186">
        <v>74</v>
      </c>
    </row>
    <row r="1694" spans="1:8" x14ac:dyDescent="0.2">
      <c r="A1694" s="1186" t="s">
        <v>282</v>
      </c>
      <c r="B1694" s="1186" t="s">
        <v>953</v>
      </c>
      <c r="C1694" s="1186" t="s">
        <v>1983</v>
      </c>
      <c r="D1694" s="1186" t="s">
        <v>1984</v>
      </c>
      <c r="E1694" s="1186" t="s">
        <v>2031</v>
      </c>
      <c r="F1694" s="1186" t="s">
        <v>2033</v>
      </c>
      <c r="G1694" s="1186" t="s">
        <v>850</v>
      </c>
      <c r="H1694" s="1186">
        <v>7</v>
      </c>
    </row>
    <row r="1695" spans="1:8" x14ac:dyDescent="0.2">
      <c r="A1695" s="1186" t="s">
        <v>282</v>
      </c>
      <c r="B1695" s="1186" t="s">
        <v>953</v>
      </c>
      <c r="C1695" s="1186" t="s">
        <v>1983</v>
      </c>
      <c r="D1695" s="1186" t="s">
        <v>1984</v>
      </c>
      <c r="E1695" s="1186" t="s">
        <v>2031</v>
      </c>
      <c r="F1695" s="1186" t="s">
        <v>2033</v>
      </c>
      <c r="G1695" s="1186" t="s">
        <v>851</v>
      </c>
      <c r="H1695" s="1186">
        <v>9</v>
      </c>
    </row>
    <row r="1696" spans="1:8" x14ac:dyDescent="0.2">
      <c r="A1696" s="1186" t="s">
        <v>282</v>
      </c>
      <c r="B1696" s="1186" t="s">
        <v>953</v>
      </c>
      <c r="C1696" s="1186" t="s">
        <v>1983</v>
      </c>
      <c r="D1696" s="1186" t="s">
        <v>1984</v>
      </c>
      <c r="E1696" s="1186" t="s">
        <v>2031</v>
      </c>
      <c r="F1696" s="1186" t="s">
        <v>2033</v>
      </c>
      <c r="G1696" s="1186" t="s">
        <v>852</v>
      </c>
      <c r="H1696" s="1186">
        <v>3</v>
      </c>
    </row>
    <row r="1697" spans="1:8" x14ac:dyDescent="0.2">
      <c r="A1697" s="1186" t="s">
        <v>282</v>
      </c>
      <c r="B1697" s="1186" t="s">
        <v>953</v>
      </c>
      <c r="C1697" s="1186" t="s">
        <v>1983</v>
      </c>
      <c r="D1697" s="1186" t="s">
        <v>1984</v>
      </c>
      <c r="E1697" s="1186" t="s">
        <v>2031</v>
      </c>
      <c r="F1697" s="1186" t="s">
        <v>2034</v>
      </c>
      <c r="G1697" s="1186" t="s">
        <v>828</v>
      </c>
      <c r="H1697" s="1186">
        <v>14</v>
      </c>
    </row>
    <row r="1698" spans="1:8" x14ac:dyDescent="0.2">
      <c r="A1698" s="1186" t="s">
        <v>282</v>
      </c>
      <c r="B1698" s="1186" t="s">
        <v>953</v>
      </c>
      <c r="C1698" s="1186" t="s">
        <v>1983</v>
      </c>
      <c r="D1698" s="1186" t="s">
        <v>1984</v>
      </c>
      <c r="E1698" s="1186" t="s">
        <v>2031</v>
      </c>
      <c r="F1698" s="1186" t="s">
        <v>2034</v>
      </c>
      <c r="G1698" s="1186" t="s">
        <v>850</v>
      </c>
      <c r="H1698" s="1186">
        <v>1</v>
      </c>
    </row>
    <row r="1699" spans="1:8" x14ac:dyDescent="0.2">
      <c r="A1699" s="1186" t="s">
        <v>282</v>
      </c>
      <c r="B1699" s="1186" t="s">
        <v>953</v>
      </c>
      <c r="C1699" s="1186" t="s">
        <v>1983</v>
      </c>
      <c r="D1699" s="1186" t="s">
        <v>1984</v>
      </c>
      <c r="E1699" s="1186" t="s">
        <v>2035</v>
      </c>
      <c r="F1699" s="1186" t="s">
        <v>2032</v>
      </c>
      <c r="G1699" s="1186" t="s">
        <v>828</v>
      </c>
      <c r="H1699" s="1186">
        <v>18</v>
      </c>
    </row>
    <row r="1700" spans="1:8" x14ac:dyDescent="0.2">
      <c r="A1700" s="1186" t="s">
        <v>282</v>
      </c>
      <c r="B1700" s="1186" t="s">
        <v>953</v>
      </c>
      <c r="C1700" s="1186" t="s">
        <v>1983</v>
      </c>
      <c r="D1700" s="1186" t="s">
        <v>1984</v>
      </c>
      <c r="E1700" s="1186" t="s">
        <v>2035</v>
      </c>
      <c r="F1700" s="1186" t="s">
        <v>2032</v>
      </c>
      <c r="G1700" s="1186" t="s">
        <v>850</v>
      </c>
      <c r="H1700" s="1186">
        <v>1</v>
      </c>
    </row>
    <row r="1701" spans="1:8" x14ac:dyDescent="0.2">
      <c r="A1701" s="1186" t="s">
        <v>282</v>
      </c>
      <c r="B1701" s="1186" t="s">
        <v>953</v>
      </c>
      <c r="C1701" s="1186" t="s">
        <v>1983</v>
      </c>
      <c r="D1701" s="1186" t="s">
        <v>1984</v>
      </c>
      <c r="E1701" s="1186" t="s">
        <v>2035</v>
      </c>
      <c r="F1701" s="1186" t="s">
        <v>2032</v>
      </c>
      <c r="G1701" s="1186" t="s">
        <v>851</v>
      </c>
      <c r="H1701" s="1186">
        <v>13</v>
      </c>
    </row>
    <row r="1702" spans="1:8" x14ac:dyDescent="0.2">
      <c r="A1702" s="1186" t="s">
        <v>282</v>
      </c>
      <c r="B1702" s="1186" t="s">
        <v>953</v>
      </c>
      <c r="C1702" s="1186" t="s">
        <v>1983</v>
      </c>
      <c r="D1702" s="1186" t="s">
        <v>1984</v>
      </c>
      <c r="E1702" s="1186" t="s">
        <v>2035</v>
      </c>
      <c r="F1702" s="1186" t="s">
        <v>2032</v>
      </c>
      <c r="G1702" s="1186" t="s">
        <v>852</v>
      </c>
      <c r="H1702" s="1186">
        <v>8</v>
      </c>
    </row>
    <row r="1703" spans="1:8" x14ac:dyDescent="0.2">
      <c r="A1703" s="1186" t="s">
        <v>282</v>
      </c>
      <c r="B1703" s="1186" t="s">
        <v>953</v>
      </c>
      <c r="C1703" s="1186" t="s">
        <v>1983</v>
      </c>
      <c r="D1703" s="1186" t="s">
        <v>1984</v>
      </c>
      <c r="E1703" s="1186" t="s">
        <v>2035</v>
      </c>
      <c r="F1703" s="1186" t="s">
        <v>2033</v>
      </c>
      <c r="G1703" s="1186" t="s">
        <v>828</v>
      </c>
      <c r="H1703" s="1186">
        <v>76</v>
      </c>
    </row>
    <row r="1704" spans="1:8" x14ac:dyDescent="0.2">
      <c r="A1704" s="1186" t="s">
        <v>282</v>
      </c>
      <c r="B1704" s="1186" t="s">
        <v>953</v>
      </c>
      <c r="C1704" s="1186" t="s">
        <v>1983</v>
      </c>
      <c r="D1704" s="1186" t="s">
        <v>1984</v>
      </c>
      <c r="E1704" s="1186" t="s">
        <v>2035</v>
      </c>
      <c r="F1704" s="1186" t="s">
        <v>2033</v>
      </c>
      <c r="G1704" s="1186" t="s">
        <v>850</v>
      </c>
      <c r="H1704" s="1186">
        <v>8</v>
      </c>
    </row>
    <row r="1705" spans="1:8" x14ac:dyDescent="0.2">
      <c r="A1705" s="1186" t="s">
        <v>282</v>
      </c>
      <c r="B1705" s="1186" t="s">
        <v>953</v>
      </c>
      <c r="C1705" s="1186" t="s">
        <v>1983</v>
      </c>
      <c r="D1705" s="1186" t="s">
        <v>1984</v>
      </c>
      <c r="E1705" s="1186" t="s">
        <v>2035</v>
      </c>
      <c r="F1705" s="1186" t="s">
        <v>2033</v>
      </c>
      <c r="G1705" s="1186" t="s">
        <v>851</v>
      </c>
      <c r="H1705" s="1186">
        <v>157</v>
      </c>
    </row>
    <row r="1706" spans="1:8" x14ac:dyDescent="0.2">
      <c r="A1706" s="1186" t="s">
        <v>282</v>
      </c>
      <c r="B1706" s="1186" t="s">
        <v>953</v>
      </c>
      <c r="C1706" s="1186" t="s">
        <v>1983</v>
      </c>
      <c r="D1706" s="1186" t="s">
        <v>1984</v>
      </c>
      <c r="E1706" s="1186" t="s">
        <v>2035</v>
      </c>
      <c r="F1706" s="1186" t="s">
        <v>2033</v>
      </c>
      <c r="G1706" s="1186" t="s">
        <v>852</v>
      </c>
      <c r="H1706" s="1186">
        <v>34</v>
      </c>
    </row>
    <row r="1707" spans="1:8" x14ac:dyDescent="0.2">
      <c r="A1707" s="1186" t="s">
        <v>282</v>
      </c>
      <c r="B1707" s="1186" t="s">
        <v>953</v>
      </c>
      <c r="C1707" s="1186" t="s">
        <v>1983</v>
      </c>
      <c r="D1707" s="1186" t="s">
        <v>1984</v>
      </c>
      <c r="E1707" s="1186" t="s">
        <v>2035</v>
      </c>
      <c r="F1707" s="1186" t="s">
        <v>2034</v>
      </c>
      <c r="G1707" s="1186" t="s">
        <v>828</v>
      </c>
      <c r="H1707" s="1186">
        <v>97</v>
      </c>
    </row>
    <row r="1708" spans="1:8" x14ac:dyDescent="0.2">
      <c r="A1708" s="1186" t="s">
        <v>282</v>
      </c>
      <c r="B1708" s="1186" t="s">
        <v>953</v>
      </c>
      <c r="C1708" s="1186" t="s">
        <v>1983</v>
      </c>
      <c r="D1708" s="1186" t="s">
        <v>1984</v>
      </c>
      <c r="E1708" s="1186" t="s">
        <v>2035</v>
      </c>
      <c r="F1708" s="1186" t="s">
        <v>2034</v>
      </c>
      <c r="G1708" s="1186" t="s">
        <v>850</v>
      </c>
      <c r="H1708" s="1186">
        <v>39</v>
      </c>
    </row>
    <row r="1709" spans="1:8" x14ac:dyDescent="0.2">
      <c r="A1709" s="1186" t="s">
        <v>282</v>
      </c>
      <c r="B1709" s="1186" t="s">
        <v>953</v>
      </c>
      <c r="C1709" s="1186" t="s">
        <v>1983</v>
      </c>
      <c r="D1709" s="1186" t="s">
        <v>1984</v>
      </c>
      <c r="E1709" s="1186" t="s">
        <v>2035</v>
      </c>
      <c r="F1709" s="1186" t="s">
        <v>2034</v>
      </c>
      <c r="G1709" s="1186" t="s">
        <v>851</v>
      </c>
      <c r="H1709" s="1186">
        <v>38</v>
      </c>
    </row>
    <row r="1710" spans="1:8" x14ac:dyDescent="0.2">
      <c r="A1710" s="1186" t="s">
        <v>282</v>
      </c>
      <c r="B1710" s="1186" t="s">
        <v>953</v>
      </c>
      <c r="C1710" s="1186" t="s">
        <v>1983</v>
      </c>
      <c r="D1710" s="1186" t="s">
        <v>1984</v>
      </c>
      <c r="E1710" s="1186" t="s">
        <v>2035</v>
      </c>
      <c r="F1710" s="1186" t="s">
        <v>2034</v>
      </c>
      <c r="G1710" s="1186" t="s">
        <v>852</v>
      </c>
      <c r="H1710" s="1186">
        <v>47</v>
      </c>
    </row>
    <row r="1711" spans="1:8" x14ac:dyDescent="0.2">
      <c r="A1711" s="1186" t="s">
        <v>282</v>
      </c>
      <c r="B1711" s="1186" t="s">
        <v>954</v>
      </c>
      <c r="C1711" s="1186" t="s">
        <v>1985</v>
      </c>
      <c r="D1711" s="1186" t="s">
        <v>1984</v>
      </c>
      <c r="E1711" s="1186" t="s">
        <v>2031</v>
      </c>
      <c r="F1711" s="1186" t="s">
        <v>2032</v>
      </c>
      <c r="G1711" s="1186" t="s">
        <v>828</v>
      </c>
      <c r="H1711" s="1186">
        <v>4</v>
      </c>
    </row>
    <row r="1712" spans="1:8" x14ac:dyDescent="0.2">
      <c r="A1712" s="1186" t="s">
        <v>282</v>
      </c>
      <c r="B1712" s="1186" t="s">
        <v>954</v>
      </c>
      <c r="C1712" s="1186" t="s">
        <v>1985</v>
      </c>
      <c r="D1712" s="1186" t="s">
        <v>1984</v>
      </c>
      <c r="E1712" s="1186" t="s">
        <v>2031</v>
      </c>
      <c r="F1712" s="1186" t="s">
        <v>2033</v>
      </c>
      <c r="G1712" s="1186" t="s">
        <v>828</v>
      </c>
      <c r="H1712" s="1186">
        <v>76</v>
      </c>
    </row>
    <row r="1713" spans="1:8" x14ac:dyDescent="0.2">
      <c r="A1713" s="1186" t="s">
        <v>282</v>
      </c>
      <c r="B1713" s="1186" t="s">
        <v>954</v>
      </c>
      <c r="C1713" s="1186" t="s">
        <v>1985</v>
      </c>
      <c r="D1713" s="1186" t="s">
        <v>1984</v>
      </c>
      <c r="E1713" s="1186" t="s">
        <v>2031</v>
      </c>
      <c r="F1713" s="1186" t="s">
        <v>2033</v>
      </c>
      <c r="G1713" s="1186" t="s">
        <v>850</v>
      </c>
      <c r="H1713" s="1186">
        <v>5</v>
      </c>
    </row>
    <row r="1714" spans="1:8" x14ac:dyDescent="0.2">
      <c r="A1714" s="1186" t="s">
        <v>282</v>
      </c>
      <c r="B1714" s="1186" t="s">
        <v>954</v>
      </c>
      <c r="C1714" s="1186" t="s">
        <v>1985</v>
      </c>
      <c r="D1714" s="1186" t="s">
        <v>1984</v>
      </c>
      <c r="E1714" s="1186" t="s">
        <v>2031</v>
      </c>
      <c r="F1714" s="1186" t="s">
        <v>2033</v>
      </c>
      <c r="G1714" s="1186" t="s">
        <v>851</v>
      </c>
      <c r="H1714" s="1186">
        <v>3</v>
      </c>
    </row>
    <row r="1715" spans="1:8" x14ac:dyDescent="0.2">
      <c r="A1715" s="1186" t="s">
        <v>282</v>
      </c>
      <c r="B1715" s="1186" t="s">
        <v>954</v>
      </c>
      <c r="C1715" s="1186" t="s">
        <v>1985</v>
      </c>
      <c r="D1715" s="1186" t="s">
        <v>1984</v>
      </c>
      <c r="E1715" s="1186" t="s">
        <v>2031</v>
      </c>
      <c r="F1715" s="1186" t="s">
        <v>2033</v>
      </c>
      <c r="G1715" s="1186" t="s">
        <v>852</v>
      </c>
      <c r="H1715" s="1186">
        <v>3</v>
      </c>
    </row>
    <row r="1716" spans="1:8" x14ac:dyDescent="0.2">
      <c r="A1716" s="1186" t="s">
        <v>282</v>
      </c>
      <c r="B1716" s="1186" t="s">
        <v>954</v>
      </c>
      <c r="C1716" s="1186" t="s">
        <v>1985</v>
      </c>
      <c r="D1716" s="1186" t="s">
        <v>1984</v>
      </c>
      <c r="E1716" s="1186" t="s">
        <v>2031</v>
      </c>
      <c r="F1716" s="1186" t="s">
        <v>2034</v>
      </c>
      <c r="G1716" s="1186" t="s">
        <v>828</v>
      </c>
      <c r="H1716" s="1186">
        <v>8</v>
      </c>
    </row>
    <row r="1717" spans="1:8" x14ac:dyDescent="0.2">
      <c r="A1717" s="1186" t="s">
        <v>282</v>
      </c>
      <c r="B1717" s="1186" t="s">
        <v>954</v>
      </c>
      <c r="C1717" s="1186" t="s">
        <v>1985</v>
      </c>
      <c r="D1717" s="1186" t="s">
        <v>1984</v>
      </c>
      <c r="E1717" s="1186" t="s">
        <v>2031</v>
      </c>
      <c r="F1717" s="1186" t="s">
        <v>2034</v>
      </c>
      <c r="G1717" s="1186" t="s">
        <v>850</v>
      </c>
      <c r="H1717" s="1186">
        <v>2</v>
      </c>
    </row>
    <row r="1718" spans="1:8" x14ac:dyDescent="0.2">
      <c r="A1718" s="1186" t="s">
        <v>282</v>
      </c>
      <c r="B1718" s="1186" t="s">
        <v>954</v>
      </c>
      <c r="C1718" s="1186" t="s">
        <v>1985</v>
      </c>
      <c r="D1718" s="1186" t="s">
        <v>1984</v>
      </c>
      <c r="E1718" s="1186" t="s">
        <v>2035</v>
      </c>
      <c r="F1718" s="1186" t="s">
        <v>2032</v>
      </c>
      <c r="G1718" s="1186" t="s">
        <v>828</v>
      </c>
      <c r="H1718" s="1186">
        <v>28</v>
      </c>
    </row>
    <row r="1719" spans="1:8" x14ac:dyDescent="0.2">
      <c r="A1719" s="1186" t="s">
        <v>282</v>
      </c>
      <c r="B1719" s="1186" t="s">
        <v>954</v>
      </c>
      <c r="C1719" s="1186" t="s">
        <v>1985</v>
      </c>
      <c r="D1719" s="1186" t="s">
        <v>1984</v>
      </c>
      <c r="E1719" s="1186" t="s">
        <v>2035</v>
      </c>
      <c r="F1719" s="1186" t="s">
        <v>2032</v>
      </c>
      <c r="G1719" s="1186" t="s">
        <v>850</v>
      </c>
      <c r="H1719" s="1186">
        <v>1</v>
      </c>
    </row>
    <row r="1720" spans="1:8" x14ac:dyDescent="0.2">
      <c r="A1720" s="1186" t="s">
        <v>282</v>
      </c>
      <c r="B1720" s="1186" t="s">
        <v>954</v>
      </c>
      <c r="C1720" s="1186" t="s">
        <v>1985</v>
      </c>
      <c r="D1720" s="1186" t="s">
        <v>1984</v>
      </c>
      <c r="E1720" s="1186" t="s">
        <v>2035</v>
      </c>
      <c r="F1720" s="1186" t="s">
        <v>2032</v>
      </c>
      <c r="G1720" s="1186" t="s">
        <v>851</v>
      </c>
      <c r="H1720" s="1186">
        <v>10</v>
      </c>
    </row>
    <row r="1721" spans="1:8" x14ac:dyDescent="0.2">
      <c r="A1721" s="1186" t="s">
        <v>282</v>
      </c>
      <c r="B1721" s="1186" t="s">
        <v>954</v>
      </c>
      <c r="C1721" s="1186" t="s">
        <v>1985</v>
      </c>
      <c r="D1721" s="1186" t="s">
        <v>1984</v>
      </c>
      <c r="E1721" s="1186" t="s">
        <v>2035</v>
      </c>
      <c r="F1721" s="1186" t="s">
        <v>2032</v>
      </c>
      <c r="G1721" s="1186" t="s">
        <v>852</v>
      </c>
      <c r="H1721" s="1186">
        <v>1</v>
      </c>
    </row>
    <row r="1722" spans="1:8" x14ac:dyDescent="0.2">
      <c r="A1722" s="1186" t="s">
        <v>282</v>
      </c>
      <c r="B1722" s="1186" t="s">
        <v>954</v>
      </c>
      <c r="C1722" s="1186" t="s">
        <v>1985</v>
      </c>
      <c r="D1722" s="1186" t="s">
        <v>1984</v>
      </c>
      <c r="E1722" s="1186" t="s">
        <v>2035</v>
      </c>
      <c r="F1722" s="1186" t="s">
        <v>2033</v>
      </c>
      <c r="G1722" s="1186" t="s">
        <v>828</v>
      </c>
      <c r="H1722" s="1186">
        <v>82</v>
      </c>
    </row>
    <row r="1723" spans="1:8" x14ac:dyDescent="0.2">
      <c r="A1723" s="1186" t="s">
        <v>282</v>
      </c>
      <c r="B1723" s="1186" t="s">
        <v>954</v>
      </c>
      <c r="C1723" s="1186" t="s">
        <v>1985</v>
      </c>
      <c r="D1723" s="1186" t="s">
        <v>1984</v>
      </c>
      <c r="E1723" s="1186" t="s">
        <v>2035</v>
      </c>
      <c r="F1723" s="1186" t="s">
        <v>2033</v>
      </c>
      <c r="G1723" s="1186" t="s">
        <v>850</v>
      </c>
      <c r="H1723" s="1186">
        <v>15</v>
      </c>
    </row>
    <row r="1724" spans="1:8" x14ac:dyDescent="0.2">
      <c r="A1724" s="1186" t="s">
        <v>282</v>
      </c>
      <c r="B1724" s="1186" t="s">
        <v>954</v>
      </c>
      <c r="C1724" s="1186" t="s">
        <v>1985</v>
      </c>
      <c r="D1724" s="1186" t="s">
        <v>1984</v>
      </c>
      <c r="E1724" s="1186" t="s">
        <v>2035</v>
      </c>
      <c r="F1724" s="1186" t="s">
        <v>2033</v>
      </c>
      <c r="G1724" s="1186" t="s">
        <v>851</v>
      </c>
      <c r="H1724" s="1186">
        <v>170</v>
      </c>
    </row>
    <row r="1725" spans="1:8" x14ac:dyDescent="0.2">
      <c r="A1725" s="1186" t="s">
        <v>282</v>
      </c>
      <c r="B1725" s="1186" t="s">
        <v>954</v>
      </c>
      <c r="C1725" s="1186" t="s">
        <v>1985</v>
      </c>
      <c r="D1725" s="1186" t="s">
        <v>1984</v>
      </c>
      <c r="E1725" s="1186" t="s">
        <v>2035</v>
      </c>
      <c r="F1725" s="1186" t="s">
        <v>2033</v>
      </c>
      <c r="G1725" s="1186" t="s">
        <v>852</v>
      </c>
      <c r="H1725" s="1186">
        <v>29</v>
      </c>
    </row>
    <row r="1726" spans="1:8" x14ac:dyDescent="0.2">
      <c r="A1726" s="1186" t="s">
        <v>282</v>
      </c>
      <c r="B1726" s="1186" t="s">
        <v>954</v>
      </c>
      <c r="C1726" s="1186" t="s">
        <v>1985</v>
      </c>
      <c r="D1726" s="1186" t="s">
        <v>1984</v>
      </c>
      <c r="E1726" s="1186" t="s">
        <v>2035</v>
      </c>
      <c r="F1726" s="1186" t="s">
        <v>2034</v>
      </c>
      <c r="G1726" s="1186" t="s">
        <v>828</v>
      </c>
      <c r="H1726" s="1186">
        <v>103</v>
      </c>
    </row>
    <row r="1727" spans="1:8" x14ac:dyDescent="0.2">
      <c r="A1727" s="1186" t="s">
        <v>282</v>
      </c>
      <c r="B1727" s="1186" t="s">
        <v>954</v>
      </c>
      <c r="C1727" s="1186" t="s">
        <v>1985</v>
      </c>
      <c r="D1727" s="1186" t="s">
        <v>1984</v>
      </c>
      <c r="E1727" s="1186" t="s">
        <v>2035</v>
      </c>
      <c r="F1727" s="1186" t="s">
        <v>2034</v>
      </c>
      <c r="G1727" s="1186" t="s">
        <v>850</v>
      </c>
      <c r="H1727" s="1186">
        <v>48</v>
      </c>
    </row>
    <row r="1728" spans="1:8" x14ac:dyDescent="0.2">
      <c r="A1728" s="1186" t="s">
        <v>282</v>
      </c>
      <c r="B1728" s="1186" t="s">
        <v>954</v>
      </c>
      <c r="C1728" s="1186" t="s">
        <v>1985</v>
      </c>
      <c r="D1728" s="1186" t="s">
        <v>1984</v>
      </c>
      <c r="E1728" s="1186" t="s">
        <v>2035</v>
      </c>
      <c r="F1728" s="1186" t="s">
        <v>2034</v>
      </c>
      <c r="G1728" s="1186" t="s">
        <v>851</v>
      </c>
      <c r="H1728" s="1186">
        <v>24</v>
      </c>
    </row>
    <row r="1729" spans="1:8" x14ac:dyDescent="0.2">
      <c r="A1729" s="1186" t="s">
        <v>282</v>
      </c>
      <c r="B1729" s="1186" t="s">
        <v>954</v>
      </c>
      <c r="C1729" s="1186" t="s">
        <v>1985</v>
      </c>
      <c r="D1729" s="1186" t="s">
        <v>1984</v>
      </c>
      <c r="E1729" s="1186" t="s">
        <v>2035</v>
      </c>
      <c r="F1729" s="1186" t="s">
        <v>2034</v>
      </c>
      <c r="G1729" s="1186" t="s">
        <v>852</v>
      </c>
      <c r="H1729" s="1186">
        <v>27</v>
      </c>
    </row>
    <row r="1730" spans="1:8" x14ac:dyDescent="0.2">
      <c r="A1730" s="1186" t="s">
        <v>282</v>
      </c>
      <c r="B1730" s="1186" t="s">
        <v>955</v>
      </c>
      <c r="C1730" s="1186" t="s">
        <v>1985</v>
      </c>
      <c r="D1730" s="1186" t="s">
        <v>1986</v>
      </c>
      <c r="E1730" s="1186" t="s">
        <v>2031</v>
      </c>
      <c r="F1730" s="1186" t="s">
        <v>2032</v>
      </c>
      <c r="G1730" s="1186" t="s">
        <v>828</v>
      </c>
      <c r="H1730" s="1186">
        <v>3</v>
      </c>
    </row>
    <row r="1731" spans="1:8" x14ac:dyDescent="0.2">
      <c r="A1731" s="1186" t="s">
        <v>282</v>
      </c>
      <c r="B1731" s="1186" t="s">
        <v>955</v>
      </c>
      <c r="C1731" s="1186" t="s">
        <v>1985</v>
      </c>
      <c r="D1731" s="1186" t="s">
        <v>1986</v>
      </c>
      <c r="E1731" s="1186" t="s">
        <v>2031</v>
      </c>
      <c r="F1731" s="1186" t="s">
        <v>2032</v>
      </c>
      <c r="G1731" s="1186" t="s">
        <v>851</v>
      </c>
      <c r="H1731" s="1186">
        <v>3</v>
      </c>
    </row>
    <row r="1732" spans="1:8" x14ac:dyDescent="0.2">
      <c r="A1732" s="1186" t="s">
        <v>282</v>
      </c>
      <c r="B1732" s="1186" t="s">
        <v>955</v>
      </c>
      <c r="C1732" s="1186" t="s">
        <v>1985</v>
      </c>
      <c r="D1732" s="1186" t="s">
        <v>1986</v>
      </c>
      <c r="E1732" s="1186" t="s">
        <v>2031</v>
      </c>
      <c r="F1732" s="1186" t="s">
        <v>2033</v>
      </c>
      <c r="G1732" s="1186" t="s">
        <v>828</v>
      </c>
      <c r="H1732" s="1186">
        <v>91</v>
      </c>
    </row>
    <row r="1733" spans="1:8" x14ac:dyDescent="0.2">
      <c r="A1733" s="1186" t="s">
        <v>282</v>
      </c>
      <c r="B1733" s="1186" t="s">
        <v>955</v>
      </c>
      <c r="C1733" s="1186" t="s">
        <v>1985</v>
      </c>
      <c r="D1733" s="1186" t="s">
        <v>1986</v>
      </c>
      <c r="E1733" s="1186" t="s">
        <v>2031</v>
      </c>
      <c r="F1733" s="1186" t="s">
        <v>2033</v>
      </c>
      <c r="G1733" s="1186" t="s">
        <v>850</v>
      </c>
      <c r="H1733" s="1186">
        <v>7</v>
      </c>
    </row>
    <row r="1734" spans="1:8" x14ac:dyDescent="0.2">
      <c r="A1734" s="1186" t="s">
        <v>282</v>
      </c>
      <c r="B1734" s="1186" t="s">
        <v>955</v>
      </c>
      <c r="C1734" s="1186" t="s">
        <v>1985</v>
      </c>
      <c r="D1734" s="1186" t="s">
        <v>1986</v>
      </c>
      <c r="E1734" s="1186" t="s">
        <v>2031</v>
      </c>
      <c r="F1734" s="1186" t="s">
        <v>2033</v>
      </c>
      <c r="G1734" s="1186" t="s">
        <v>851</v>
      </c>
      <c r="H1734" s="1186">
        <v>2</v>
      </c>
    </row>
    <row r="1735" spans="1:8" x14ac:dyDescent="0.2">
      <c r="A1735" s="1186" t="s">
        <v>282</v>
      </c>
      <c r="B1735" s="1186" t="s">
        <v>955</v>
      </c>
      <c r="C1735" s="1186" t="s">
        <v>1985</v>
      </c>
      <c r="D1735" s="1186" t="s">
        <v>1986</v>
      </c>
      <c r="E1735" s="1186" t="s">
        <v>2031</v>
      </c>
      <c r="F1735" s="1186" t="s">
        <v>2033</v>
      </c>
      <c r="G1735" s="1186" t="s">
        <v>852</v>
      </c>
      <c r="H1735" s="1186">
        <v>2</v>
      </c>
    </row>
    <row r="1736" spans="1:8" x14ac:dyDescent="0.2">
      <c r="A1736" s="1186" t="s">
        <v>282</v>
      </c>
      <c r="B1736" s="1186" t="s">
        <v>955</v>
      </c>
      <c r="C1736" s="1186" t="s">
        <v>1985</v>
      </c>
      <c r="D1736" s="1186" t="s">
        <v>1986</v>
      </c>
      <c r="E1736" s="1186" t="s">
        <v>2031</v>
      </c>
      <c r="F1736" s="1186" t="s">
        <v>2034</v>
      </c>
      <c r="G1736" s="1186" t="s">
        <v>828</v>
      </c>
      <c r="H1736" s="1186">
        <v>17</v>
      </c>
    </row>
    <row r="1737" spans="1:8" x14ac:dyDescent="0.2">
      <c r="A1737" s="1186" t="s">
        <v>282</v>
      </c>
      <c r="B1737" s="1186" t="s">
        <v>955</v>
      </c>
      <c r="C1737" s="1186" t="s">
        <v>1985</v>
      </c>
      <c r="D1737" s="1186" t="s">
        <v>1986</v>
      </c>
      <c r="E1737" s="1186" t="s">
        <v>2031</v>
      </c>
      <c r="F1737" s="1186" t="s">
        <v>2034</v>
      </c>
      <c r="G1737" s="1186" t="s">
        <v>850</v>
      </c>
      <c r="H1737" s="1186">
        <v>1</v>
      </c>
    </row>
    <row r="1738" spans="1:8" x14ac:dyDescent="0.2">
      <c r="A1738" s="1186" t="s">
        <v>282</v>
      </c>
      <c r="B1738" s="1186" t="s">
        <v>955</v>
      </c>
      <c r="C1738" s="1186" t="s">
        <v>1985</v>
      </c>
      <c r="D1738" s="1186" t="s">
        <v>1986</v>
      </c>
      <c r="E1738" s="1186" t="s">
        <v>2035</v>
      </c>
      <c r="F1738" s="1186" t="s">
        <v>2032</v>
      </c>
      <c r="G1738" s="1186" t="s">
        <v>828</v>
      </c>
      <c r="H1738" s="1186">
        <v>28</v>
      </c>
    </row>
    <row r="1739" spans="1:8" x14ac:dyDescent="0.2">
      <c r="A1739" s="1186" t="s">
        <v>282</v>
      </c>
      <c r="B1739" s="1186" t="s">
        <v>955</v>
      </c>
      <c r="C1739" s="1186" t="s">
        <v>1985</v>
      </c>
      <c r="D1739" s="1186" t="s">
        <v>1986</v>
      </c>
      <c r="E1739" s="1186" t="s">
        <v>2035</v>
      </c>
      <c r="F1739" s="1186" t="s">
        <v>2032</v>
      </c>
      <c r="G1739" s="1186" t="s">
        <v>850</v>
      </c>
      <c r="H1739" s="1186">
        <v>1</v>
      </c>
    </row>
    <row r="1740" spans="1:8" x14ac:dyDescent="0.2">
      <c r="A1740" s="1186" t="s">
        <v>282</v>
      </c>
      <c r="B1740" s="1186" t="s">
        <v>955</v>
      </c>
      <c r="C1740" s="1186" t="s">
        <v>1985</v>
      </c>
      <c r="D1740" s="1186" t="s">
        <v>1986</v>
      </c>
      <c r="E1740" s="1186" t="s">
        <v>2035</v>
      </c>
      <c r="F1740" s="1186" t="s">
        <v>2032</v>
      </c>
      <c r="G1740" s="1186" t="s">
        <v>851</v>
      </c>
      <c r="H1740" s="1186">
        <v>13</v>
      </c>
    </row>
    <row r="1741" spans="1:8" x14ac:dyDescent="0.2">
      <c r="A1741" s="1186" t="s">
        <v>282</v>
      </c>
      <c r="B1741" s="1186" t="s">
        <v>955</v>
      </c>
      <c r="C1741" s="1186" t="s">
        <v>1985</v>
      </c>
      <c r="D1741" s="1186" t="s">
        <v>1986</v>
      </c>
      <c r="E1741" s="1186" t="s">
        <v>2035</v>
      </c>
      <c r="F1741" s="1186" t="s">
        <v>2032</v>
      </c>
      <c r="G1741" s="1186" t="s">
        <v>852</v>
      </c>
      <c r="H1741" s="1186">
        <v>2</v>
      </c>
    </row>
    <row r="1742" spans="1:8" x14ac:dyDescent="0.2">
      <c r="A1742" s="1186" t="s">
        <v>282</v>
      </c>
      <c r="B1742" s="1186" t="s">
        <v>955</v>
      </c>
      <c r="C1742" s="1186" t="s">
        <v>1985</v>
      </c>
      <c r="D1742" s="1186" t="s">
        <v>1986</v>
      </c>
      <c r="E1742" s="1186" t="s">
        <v>2035</v>
      </c>
      <c r="F1742" s="1186" t="s">
        <v>2033</v>
      </c>
      <c r="G1742" s="1186" t="s">
        <v>828</v>
      </c>
      <c r="H1742" s="1186">
        <v>90</v>
      </c>
    </row>
    <row r="1743" spans="1:8" x14ac:dyDescent="0.2">
      <c r="A1743" s="1186" t="s">
        <v>282</v>
      </c>
      <c r="B1743" s="1186" t="s">
        <v>955</v>
      </c>
      <c r="C1743" s="1186" t="s">
        <v>1985</v>
      </c>
      <c r="D1743" s="1186" t="s">
        <v>1986</v>
      </c>
      <c r="E1743" s="1186" t="s">
        <v>2035</v>
      </c>
      <c r="F1743" s="1186" t="s">
        <v>2033</v>
      </c>
      <c r="G1743" s="1186" t="s">
        <v>850</v>
      </c>
      <c r="H1743" s="1186">
        <v>11</v>
      </c>
    </row>
    <row r="1744" spans="1:8" x14ac:dyDescent="0.2">
      <c r="A1744" s="1186" t="s">
        <v>282</v>
      </c>
      <c r="B1744" s="1186" t="s">
        <v>955</v>
      </c>
      <c r="C1744" s="1186" t="s">
        <v>1985</v>
      </c>
      <c r="D1744" s="1186" t="s">
        <v>1986</v>
      </c>
      <c r="E1744" s="1186" t="s">
        <v>2035</v>
      </c>
      <c r="F1744" s="1186" t="s">
        <v>2033</v>
      </c>
      <c r="G1744" s="1186" t="s">
        <v>851</v>
      </c>
      <c r="H1744" s="1186">
        <v>224</v>
      </c>
    </row>
    <row r="1745" spans="1:8" x14ac:dyDescent="0.2">
      <c r="A1745" s="1186" t="s">
        <v>282</v>
      </c>
      <c r="B1745" s="1186" t="s">
        <v>955</v>
      </c>
      <c r="C1745" s="1186" t="s">
        <v>1985</v>
      </c>
      <c r="D1745" s="1186" t="s">
        <v>1986</v>
      </c>
      <c r="E1745" s="1186" t="s">
        <v>2035</v>
      </c>
      <c r="F1745" s="1186" t="s">
        <v>2033</v>
      </c>
      <c r="G1745" s="1186" t="s">
        <v>852</v>
      </c>
      <c r="H1745" s="1186">
        <v>21</v>
      </c>
    </row>
    <row r="1746" spans="1:8" x14ac:dyDescent="0.2">
      <c r="A1746" s="1186" t="s">
        <v>282</v>
      </c>
      <c r="B1746" s="1186" t="s">
        <v>955</v>
      </c>
      <c r="C1746" s="1186" t="s">
        <v>1985</v>
      </c>
      <c r="D1746" s="1186" t="s">
        <v>1986</v>
      </c>
      <c r="E1746" s="1186" t="s">
        <v>2035</v>
      </c>
      <c r="F1746" s="1186" t="s">
        <v>2034</v>
      </c>
      <c r="G1746" s="1186" t="s">
        <v>828</v>
      </c>
      <c r="H1746" s="1186">
        <v>80</v>
      </c>
    </row>
    <row r="1747" spans="1:8" x14ac:dyDescent="0.2">
      <c r="A1747" s="1186" t="s">
        <v>282</v>
      </c>
      <c r="B1747" s="1186" t="s">
        <v>955</v>
      </c>
      <c r="C1747" s="1186" t="s">
        <v>1985</v>
      </c>
      <c r="D1747" s="1186" t="s">
        <v>1986</v>
      </c>
      <c r="E1747" s="1186" t="s">
        <v>2035</v>
      </c>
      <c r="F1747" s="1186" t="s">
        <v>2034</v>
      </c>
      <c r="G1747" s="1186" t="s">
        <v>850</v>
      </c>
      <c r="H1747" s="1186">
        <v>42</v>
      </c>
    </row>
    <row r="1748" spans="1:8" x14ac:dyDescent="0.2">
      <c r="A1748" s="1186" t="s">
        <v>282</v>
      </c>
      <c r="B1748" s="1186" t="s">
        <v>955</v>
      </c>
      <c r="C1748" s="1186" t="s">
        <v>1985</v>
      </c>
      <c r="D1748" s="1186" t="s">
        <v>1986</v>
      </c>
      <c r="E1748" s="1186" t="s">
        <v>2035</v>
      </c>
      <c r="F1748" s="1186" t="s">
        <v>2034</v>
      </c>
      <c r="G1748" s="1186" t="s">
        <v>851</v>
      </c>
      <c r="H1748" s="1186">
        <v>30</v>
      </c>
    </row>
    <row r="1749" spans="1:8" x14ac:dyDescent="0.2">
      <c r="A1749" s="1186" t="s">
        <v>282</v>
      </c>
      <c r="B1749" s="1186" t="s">
        <v>955</v>
      </c>
      <c r="C1749" s="1186" t="s">
        <v>1985</v>
      </c>
      <c r="D1749" s="1186" t="s">
        <v>1986</v>
      </c>
      <c r="E1749" s="1186" t="s">
        <v>2035</v>
      </c>
      <c r="F1749" s="1186" t="s">
        <v>2034</v>
      </c>
      <c r="G1749" s="1186" t="s">
        <v>852</v>
      </c>
      <c r="H1749" s="1186">
        <v>16</v>
      </c>
    </row>
    <row r="1750" spans="1:8" x14ac:dyDescent="0.2">
      <c r="A1750" s="1186" t="s">
        <v>282</v>
      </c>
      <c r="B1750" s="1186" t="s">
        <v>956</v>
      </c>
      <c r="C1750" s="1186" t="s">
        <v>1985</v>
      </c>
      <c r="D1750" s="1186" t="s">
        <v>1986</v>
      </c>
      <c r="E1750" s="1186" t="s">
        <v>2031</v>
      </c>
      <c r="F1750" s="1186" t="s">
        <v>2032</v>
      </c>
      <c r="G1750" s="1186" t="s">
        <v>828</v>
      </c>
      <c r="H1750" s="1186">
        <v>2</v>
      </c>
    </row>
    <row r="1751" spans="1:8" x14ac:dyDescent="0.2">
      <c r="A1751" s="1186" t="s">
        <v>282</v>
      </c>
      <c r="B1751" s="1186" t="s">
        <v>956</v>
      </c>
      <c r="C1751" s="1186" t="s">
        <v>1985</v>
      </c>
      <c r="D1751" s="1186" t="s">
        <v>1986</v>
      </c>
      <c r="E1751" s="1186" t="s">
        <v>2031</v>
      </c>
      <c r="F1751" s="1186" t="s">
        <v>2033</v>
      </c>
      <c r="G1751" s="1186" t="s">
        <v>828</v>
      </c>
      <c r="H1751" s="1186">
        <v>91</v>
      </c>
    </row>
    <row r="1752" spans="1:8" x14ac:dyDescent="0.2">
      <c r="A1752" s="1186" t="s">
        <v>282</v>
      </c>
      <c r="B1752" s="1186" t="s">
        <v>956</v>
      </c>
      <c r="C1752" s="1186" t="s">
        <v>1985</v>
      </c>
      <c r="D1752" s="1186" t="s">
        <v>1986</v>
      </c>
      <c r="E1752" s="1186" t="s">
        <v>2031</v>
      </c>
      <c r="F1752" s="1186" t="s">
        <v>2033</v>
      </c>
      <c r="G1752" s="1186" t="s">
        <v>850</v>
      </c>
      <c r="H1752" s="1186">
        <v>6</v>
      </c>
    </row>
    <row r="1753" spans="1:8" x14ac:dyDescent="0.2">
      <c r="A1753" s="1186" t="s">
        <v>282</v>
      </c>
      <c r="B1753" s="1186" t="s">
        <v>956</v>
      </c>
      <c r="C1753" s="1186" t="s">
        <v>1985</v>
      </c>
      <c r="D1753" s="1186" t="s">
        <v>1986</v>
      </c>
      <c r="E1753" s="1186" t="s">
        <v>2031</v>
      </c>
      <c r="F1753" s="1186" t="s">
        <v>2033</v>
      </c>
      <c r="G1753" s="1186" t="s">
        <v>851</v>
      </c>
      <c r="H1753" s="1186">
        <v>4</v>
      </c>
    </row>
    <row r="1754" spans="1:8" x14ac:dyDescent="0.2">
      <c r="A1754" s="1186" t="s">
        <v>282</v>
      </c>
      <c r="B1754" s="1186" t="s">
        <v>956</v>
      </c>
      <c r="C1754" s="1186" t="s">
        <v>1985</v>
      </c>
      <c r="D1754" s="1186" t="s">
        <v>1986</v>
      </c>
      <c r="E1754" s="1186" t="s">
        <v>2031</v>
      </c>
      <c r="F1754" s="1186" t="s">
        <v>2033</v>
      </c>
      <c r="G1754" s="1186" t="s">
        <v>852</v>
      </c>
      <c r="H1754" s="1186">
        <v>1</v>
      </c>
    </row>
    <row r="1755" spans="1:8" x14ac:dyDescent="0.2">
      <c r="A1755" s="1186" t="s">
        <v>282</v>
      </c>
      <c r="B1755" s="1186" t="s">
        <v>956</v>
      </c>
      <c r="C1755" s="1186" t="s">
        <v>1985</v>
      </c>
      <c r="D1755" s="1186" t="s">
        <v>1986</v>
      </c>
      <c r="E1755" s="1186" t="s">
        <v>2031</v>
      </c>
      <c r="F1755" s="1186" t="s">
        <v>2034</v>
      </c>
      <c r="G1755" s="1186" t="s">
        <v>828</v>
      </c>
      <c r="H1755" s="1186">
        <v>19</v>
      </c>
    </row>
    <row r="1756" spans="1:8" x14ac:dyDescent="0.2">
      <c r="A1756" s="1186" t="s">
        <v>282</v>
      </c>
      <c r="B1756" s="1186" t="s">
        <v>956</v>
      </c>
      <c r="C1756" s="1186" t="s">
        <v>1985</v>
      </c>
      <c r="D1756" s="1186" t="s">
        <v>1986</v>
      </c>
      <c r="E1756" s="1186" t="s">
        <v>2031</v>
      </c>
      <c r="F1756" s="1186" t="s">
        <v>2034</v>
      </c>
      <c r="G1756" s="1186" t="s">
        <v>850</v>
      </c>
      <c r="H1756" s="1186">
        <v>1</v>
      </c>
    </row>
    <row r="1757" spans="1:8" x14ac:dyDescent="0.2">
      <c r="A1757" s="1186" t="s">
        <v>282</v>
      </c>
      <c r="B1757" s="1186" t="s">
        <v>956</v>
      </c>
      <c r="C1757" s="1186" t="s">
        <v>1985</v>
      </c>
      <c r="D1757" s="1186" t="s">
        <v>1986</v>
      </c>
      <c r="E1757" s="1186" t="s">
        <v>2031</v>
      </c>
      <c r="F1757" s="1186" t="s">
        <v>2034</v>
      </c>
      <c r="G1757" s="1186" t="s">
        <v>851</v>
      </c>
      <c r="H1757" s="1186">
        <v>3</v>
      </c>
    </row>
    <row r="1758" spans="1:8" x14ac:dyDescent="0.2">
      <c r="A1758" s="1186" t="s">
        <v>282</v>
      </c>
      <c r="B1758" s="1186" t="s">
        <v>956</v>
      </c>
      <c r="C1758" s="1186" t="s">
        <v>1985</v>
      </c>
      <c r="D1758" s="1186" t="s">
        <v>1986</v>
      </c>
      <c r="E1758" s="1186" t="s">
        <v>2035</v>
      </c>
      <c r="F1758" s="1186" t="s">
        <v>2032</v>
      </c>
      <c r="G1758" s="1186" t="s">
        <v>828</v>
      </c>
      <c r="H1758" s="1186">
        <v>27</v>
      </c>
    </row>
    <row r="1759" spans="1:8" x14ac:dyDescent="0.2">
      <c r="A1759" s="1186" t="s">
        <v>282</v>
      </c>
      <c r="B1759" s="1186" t="s">
        <v>956</v>
      </c>
      <c r="C1759" s="1186" t="s">
        <v>1985</v>
      </c>
      <c r="D1759" s="1186" t="s">
        <v>1986</v>
      </c>
      <c r="E1759" s="1186" t="s">
        <v>2035</v>
      </c>
      <c r="F1759" s="1186" t="s">
        <v>2032</v>
      </c>
      <c r="G1759" s="1186" t="s">
        <v>851</v>
      </c>
      <c r="H1759" s="1186">
        <v>6</v>
      </c>
    </row>
    <row r="1760" spans="1:8" x14ac:dyDescent="0.2">
      <c r="A1760" s="1186" t="s">
        <v>282</v>
      </c>
      <c r="B1760" s="1186" t="s">
        <v>956</v>
      </c>
      <c r="C1760" s="1186" t="s">
        <v>1985</v>
      </c>
      <c r="D1760" s="1186" t="s">
        <v>1986</v>
      </c>
      <c r="E1760" s="1186" t="s">
        <v>2035</v>
      </c>
      <c r="F1760" s="1186" t="s">
        <v>2032</v>
      </c>
      <c r="G1760" s="1186" t="s">
        <v>852</v>
      </c>
      <c r="H1760" s="1186">
        <v>8</v>
      </c>
    </row>
    <row r="1761" spans="1:8" x14ac:dyDescent="0.2">
      <c r="A1761" s="1186" t="s">
        <v>282</v>
      </c>
      <c r="B1761" s="1186" t="s">
        <v>956</v>
      </c>
      <c r="C1761" s="1186" t="s">
        <v>1985</v>
      </c>
      <c r="D1761" s="1186" t="s">
        <v>1986</v>
      </c>
      <c r="E1761" s="1186" t="s">
        <v>2035</v>
      </c>
      <c r="F1761" s="1186" t="s">
        <v>2033</v>
      </c>
      <c r="G1761" s="1186" t="s">
        <v>828</v>
      </c>
      <c r="H1761" s="1186">
        <v>86</v>
      </c>
    </row>
    <row r="1762" spans="1:8" x14ac:dyDescent="0.2">
      <c r="A1762" s="1186" t="s">
        <v>282</v>
      </c>
      <c r="B1762" s="1186" t="s">
        <v>956</v>
      </c>
      <c r="C1762" s="1186" t="s">
        <v>1985</v>
      </c>
      <c r="D1762" s="1186" t="s">
        <v>1986</v>
      </c>
      <c r="E1762" s="1186" t="s">
        <v>2035</v>
      </c>
      <c r="F1762" s="1186" t="s">
        <v>2033</v>
      </c>
      <c r="G1762" s="1186" t="s">
        <v>850</v>
      </c>
      <c r="H1762" s="1186">
        <v>19</v>
      </c>
    </row>
    <row r="1763" spans="1:8" x14ac:dyDescent="0.2">
      <c r="A1763" s="1186" t="s">
        <v>282</v>
      </c>
      <c r="B1763" s="1186" t="s">
        <v>956</v>
      </c>
      <c r="C1763" s="1186" t="s">
        <v>1985</v>
      </c>
      <c r="D1763" s="1186" t="s">
        <v>1986</v>
      </c>
      <c r="E1763" s="1186" t="s">
        <v>2035</v>
      </c>
      <c r="F1763" s="1186" t="s">
        <v>2033</v>
      </c>
      <c r="G1763" s="1186" t="s">
        <v>851</v>
      </c>
      <c r="H1763" s="1186">
        <v>178</v>
      </c>
    </row>
    <row r="1764" spans="1:8" x14ac:dyDescent="0.2">
      <c r="A1764" s="1186" t="s">
        <v>282</v>
      </c>
      <c r="B1764" s="1186" t="s">
        <v>956</v>
      </c>
      <c r="C1764" s="1186" t="s">
        <v>1985</v>
      </c>
      <c r="D1764" s="1186" t="s">
        <v>1986</v>
      </c>
      <c r="E1764" s="1186" t="s">
        <v>2035</v>
      </c>
      <c r="F1764" s="1186" t="s">
        <v>2033</v>
      </c>
      <c r="G1764" s="1186" t="s">
        <v>852</v>
      </c>
      <c r="H1764" s="1186">
        <v>19</v>
      </c>
    </row>
    <row r="1765" spans="1:8" x14ac:dyDescent="0.2">
      <c r="A1765" s="1186" t="s">
        <v>282</v>
      </c>
      <c r="B1765" s="1186" t="s">
        <v>956</v>
      </c>
      <c r="C1765" s="1186" t="s">
        <v>1985</v>
      </c>
      <c r="D1765" s="1186" t="s">
        <v>1986</v>
      </c>
      <c r="E1765" s="1186" t="s">
        <v>2035</v>
      </c>
      <c r="F1765" s="1186" t="s">
        <v>2034</v>
      </c>
      <c r="G1765" s="1186" t="s">
        <v>828</v>
      </c>
      <c r="H1765" s="1186">
        <v>80</v>
      </c>
    </row>
    <row r="1766" spans="1:8" x14ac:dyDescent="0.2">
      <c r="A1766" s="1186" t="s">
        <v>282</v>
      </c>
      <c r="B1766" s="1186" t="s">
        <v>956</v>
      </c>
      <c r="C1766" s="1186" t="s">
        <v>1985</v>
      </c>
      <c r="D1766" s="1186" t="s">
        <v>1986</v>
      </c>
      <c r="E1766" s="1186" t="s">
        <v>2035</v>
      </c>
      <c r="F1766" s="1186" t="s">
        <v>2034</v>
      </c>
      <c r="G1766" s="1186" t="s">
        <v>850</v>
      </c>
      <c r="H1766" s="1186">
        <v>21</v>
      </c>
    </row>
    <row r="1767" spans="1:8" x14ac:dyDescent="0.2">
      <c r="A1767" s="1186" t="s">
        <v>282</v>
      </c>
      <c r="B1767" s="1186" t="s">
        <v>956</v>
      </c>
      <c r="C1767" s="1186" t="s">
        <v>1985</v>
      </c>
      <c r="D1767" s="1186" t="s">
        <v>1986</v>
      </c>
      <c r="E1767" s="1186" t="s">
        <v>2035</v>
      </c>
      <c r="F1767" s="1186" t="s">
        <v>2034</v>
      </c>
      <c r="G1767" s="1186" t="s">
        <v>851</v>
      </c>
      <c r="H1767" s="1186">
        <v>22</v>
      </c>
    </row>
    <row r="1768" spans="1:8" x14ac:dyDescent="0.2">
      <c r="A1768" s="1186" t="s">
        <v>282</v>
      </c>
      <c r="B1768" s="1186" t="s">
        <v>956</v>
      </c>
      <c r="C1768" s="1186" t="s">
        <v>1985</v>
      </c>
      <c r="D1768" s="1186" t="s">
        <v>1986</v>
      </c>
      <c r="E1768" s="1186" t="s">
        <v>2035</v>
      </c>
      <c r="F1768" s="1186" t="s">
        <v>2034</v>
      </c>
      <c r="G1768" s="1186" t="s">
        <v>852</v>
      </c>
      <c r="H1768" s="1186">
        <v>5</v>
      </c>
    </row>
    <row r="1769" spans="1:8" x14ac:dyDescent="0.2">
      <c r="A1769" s="1186" t="s">
        <v>282</v>
      </c>
      <c r="B1769" s="1186" t="s">
        <v>957</v>
      </c>
      <c r="C1769" s="1186" t="s">
        <v>1987</v>
      </c>
      <c r="D1769" s="1186" t="s">
        <v>1986</v>
      </c>
      <c r="E1769" s="1186" t="s">
        <v>2031</v>
      </c>
      <c r="F1769" s="1186" t="s">
        <v>2032</v>
      </c>
      <c r="G1769" s="1186" t="s">
        <v>828</v>
      </c>
      <c r="H1769" s="1186">
        <v>6</v>
      </c>
    </row>
    <row r="1770" spans="1:8" x14ac:dyDescent="0.2">
      <c r="A1770" s="1186" t="s">
        <v>282</v>
      </c>
      <c r="B1770" s="1186" t="s">
        <v>957</v>
      </c>
      <c r="C1770" s="1186" t="s">
        <v>1987</v>
      </c>
      <c r="D1770" s="1186" t="s">
        <v>1986</v>
      </c>
      <c r="E1770" s="1186" t="s">
        <v>2031</v>
      </c>
      <c r="F1770" s="1186" t="s">
        <v>2032</v>
      </c>
      <c r="G1770" s="1186" t="s">
        <v>851</v>
      </c>
      <c r="H1770" s="1186">
        <v>1</v>
      </c>
    </row>
    <row r="1771" spans="1:8" x14ac:dyDescent="0.2">
      <c r="A1771" s="1186" t="s">
        <v>282</v>
      </c>
      <c r="B1771" s="1186" t="s">
        <v>957</v>
      </c>
      <c r="C1771" s="1186" t="s">
        <v>1987</v>
      </c>
      <c r="D1771" s="1186" t="s">
        <v>1986</v>
      </c>
      <c r="E1771" s="1186" t="s">
        <v>2031</v>
      </c>
      <c r="F1771" s="1186" t="s">
        <v>2033</v>
      </c>
      <c r="G1771" s="1186" t="s">
        <v>828</v>
      </c>
      <c r="H1771" s="1186">
        <v>88</v>
      </c>
    </row>
    <row r="1772" spans="1:8" x14ac:dyDescent="0.2">
      <c r="A1772" s="1186" t="s">
        <v>282</v>
      </c>
      <c r="B1772" s="1186" t="s">
        <v>957</v>
      </c>
      <c r="C1772" s="1186" t="s">
        <v>1987</v>
      </c>
      <c r="D1772" s="1186" t="s">
        <v>1986</v>
      </c>
      <c r="E1772" s="1186" t="s">
        <v>2031</v>
      </c>
      <c r="F1772" s="1186" t="s">
        <v>2033</v>
      </c>
      <c r="G1772" s="1186" t="s">
        <v>850</v>
      </c>
      <c r="H1772" s="1186">
        <v>7</v>
      </c>
    </row>
    <row r="1773" spans="1:8" x14ac:dyDescent="0.2">
      <c r="A1773" s="1186" t="s">
        <v>282</v>
      </c>
      <c r="B1773" s="1186" t="s">
        <v>957</v>
      </c>
      <c r="C1773" s="1186" t="s">
        <v>1987</v>
      </c>
      <c r="D1773" s="1186" t="s">
        <v>1986</v>
      </c>
      <c r="E1773" s="1186" t="s">
        <v>2031</v>
      </c>
      <c r="F1773" s="1186" t="s">
        <v>2033</v>
      </c>
      <c r="G1773" s="1186" t="s">
        <v>851</v>
      </c>
      <c r="H1773" s="1186">
        <v>1</v>
      </c>
    </row>
    <row r="1774" spans="1:8" x14ac:dyDescent="0.2">
      <c r="A1774" s="1186" t="s">
        <v>282</v>
      </c>
      <c r="B1774" s="1186" t="s">
        <v>957</v>
      </c>
      <c r="C1774" s="1186" t="s">
        <v>1987</v>
      </c>
      <c r="D1774" s="1186" t="s">
        <v>1986</v>
      </c>
      <c r="E1774" s="1186" t="s">
        <v>2031</v>
      </c>
      <c r="F1774" s="1186" t="s">
        <v>2033</v>
      </c>
      <c r="G1774" s="1186" t="s">
        <v>852</v>
      </c>
      <c r="H1774" s="1186">
        <v>2</v>
      </c>
    </row>
    <row r="1775" spans="1:8" x14ac:dyDescent="0.2">
      <c r="A1775" s="1186" t="s">
        <v>282</v>
      </c>
      <c r="B1775" s="1186" t="s">
        <v>957</v>
      </c>
      <c r="C1775" s="1186" t="s">
        <v>1987</v>
      </c>
      <c r="D1775" s="1186" t="s">
        <v>1986</v>
      </c>
      <c r="E1775" s="1186" t="s">
        <v>2031</v>
      </c>
      <c r="F1775" s="1186" t="s">
        <v>2034</v>
      </c>
      <c r="G1775" s="1186" t="s">
        <v>828</v>
      </c>
      <c r="H1775" s="1186">
        <v>18</v>
      </c>
    </row>
    <row r="1776" spans="1:8" x14ac:dyDescent="0.2">
      <c r="A1776" s="1186" t="s">
        <v>282</v>
      </c>
      <c r="B1776" s="1186" t="s">
        <v>957</v>
      </c>
      <c r="C1776" s="1186" t="s">
        <v>1987</v>
      </c>
      <c r="D1776" s="1186" t="s">
        <v>1986</v>
      </c>
      <c r="E1776" s="1186" t="s">
        <v>2035</v>
      </c>
      <c r="F1776" s="1186" t="s">
        <v>2032</v>
      </c>
      <c r="G1776" s="1186" t="s">
        <v>828</v>
      </c>
      <c r="H1776" s="1186">
        <v>22</v>
      </c>
    </row>
    <row r="1777" spans="1:8" x14ac:dyDescent="0.2">
      <c r="A1777" s="1186" t="s">
        <v>282</v>
      </c>
      <c r="B1777" s="1186" t="s">
        <v>957</v>
      </c>
      <c r="C1777" s="1186" t="s">
        <v>1987</v>
      </c>
      <c r="D1777" s="1186" t="s">
        <v>1986</v>
      </c>
      <c r="E1777" s="1186" t="s">
        <v>2035</v>
      </c>
      <c r="F1777" s="1186" t="s">
        <v>2032</v>
      </c>
      <c r="G1777" s="1186" t="s">
        <v>850</v>
      </c>
      <c r="H1777" s="1186">
        <v>2</v>
      </c>
    </row>
    <row r="1778" spans="1:8" x14ac:dyDescent="0.2">
      <c r="A1778" s="1186" t="s">
        <v>282</v>
      </c>
      <c r="B1778" s="1186" t="s">
        <v>957</v>
      </c>
      <c r="C1778" s="1186" t="s">
        <v>1987</v>
      </c>
      <c r="D1778" s="1186" t="s">
        <v>1986</v>
      </c>
      <c r="E1778" s="1186" t="s">
        <v>2035</v>
      </c>
      <c r="F1778" s="1186" t="s">
        <v>2032</v>
      </c>
      <c r="G1778" s="1186" t="s">
        <v>851</v>
      </c>
      <c r="H1778" s="1186">
        <v>9</v>
      </c>
    </row>
    <row r="1779" spans="1:8" x14ac:dyDescent="0.2">
      <c r="A1779" s="1186" t="s">
        <v>282</v>
      </c>
      <c r="B1779" s="1186" t="s">
        <v>957</v>
      </c>
      <c r="C1779" s="1186" t="s">
        <v>1987</v>
      </c>
      <c r="D1779" s="1186" t="s">
        <v>1986</v>
      </c>
      <c r="E1779" s="1186" t="s">
        <v>2035</v>
      </c>
      <c r="F1779" s="1186" t="s">
        <v>2032</v>
      </c>
      <c r="G1779" s="1186" t="s">
        <v>852</v>
      </c>
      <c r="H1779" s="1186">
        <v>3</v>
      </c>
    </row>
    <row r="1780" spans="1:8" x14ac:dyDescent="0.2">
      <c r="A1780" s="1186" t="s">
        <v>282</v>
      </c>
      <c r="B1780" s="1186" t="s">
        <v>957</v>
      </c>
      <c r="C1780" s="1186" t="s">
        <v>1987</v>
      </c>
      <c r="D1780" s="1186" t="s">
        <v>1986</v>
      </c>
      <c r="E1780" s="1186" t="s">
        <v>2035</v>
      </c>
      <c r="F1780" s="1186" t="s">
        <v>2033</v>
      </c>
      <c r="G1780" s="1186" t="s">
        <v>828</v>
      </c>
      <c r="H1780" s="1186">
        <v>93</v>
      </c>
    </row>
    <row r="1781" spans="1:8" x14ac:dyDescent="0.2">
      <c r="A1781" s="1186" t="s">
        <v>282</v>
      </c>
      <c r="B1781" s="1186" t="s">
        <v>957</v>
      </c>
      <c r="C1781" s="1186" t="s">
        <v>1987</v>
      </c>
      <c r="D1781" s="1186" t="s">
        <v>1986</v>
      </c>
      <c r="E1781" s="1186" t="s">
        <v>2035</v>
      </c>
      <c r="F1781" s="1186" t="s">
        <v>2033</v>
      </c>
      <c r="G1781" s="1186" t="s">
        <v>850</v>
      </c>
      <c r="H1781" s="1186">
        <v>7</v>
      </c>
    </row>
    <row r="1782" spans="1:8" x14ac:dyDescent="0.2">
      <c r="A1782" s="1186" t="s">
        <v>282</v>
      </c>
      <c r="B1782" s="1186" t="s">
        <v>957</v>
      </c>
      <c r="C1782" s="1186" t="s">
        <v>1987</v>
      </c>
      <c r="D1782" s="1186" t="s">
        <v>1986</v>
      </c>
      <c r="E1782" s="1186" t="s">
        <v>2035</v>
      </c>
      <c r="F1782" s="1186" t="s">
        <v>2033</v>
      </c>
      <c r="G1782" s="1186" t="s">
        <v>851</v>
      </c>
      <c r="H1782" s="1186">
        <v>195</v>
      </c>
    </row>
    <row r="1783" spans="1:8" x14ac:dyDescent="0.2">
      <c r="A1783" s="1186" t="s">
        <v>282</v>
      </c>
      <c r="B1783" s="1186" t="s">
        <v>957</v>
      </c>
      <c r="C1783" s="1186" t="s">
        <v>1987</v>
      </c>
      <c r="D1783" s="1186" t="s">
        <v>1986</v>
      </c>
      <c r="E1783" s="1186" t="s">
        <v>2035</v>
      </c>
      <c r="F1783" s="1186" t="s">
        <v>2033</v>
      </c>
      <c r="G1783" s="1186" t="s">
        <v>852</v>
      </c>
      <c r="H1783" s="1186">
        <v>15</v>
      </c>
    </row>
    <row r="1784" spans="1:8" x14ac:dyDescent="0.2">
      <c r="A1784" s="1186" t="s">
        <v>282</v>
      </c>
      <c r="B1784" s="1186" t="s">
        <v>957</v>
      </c>
      <c r="C1784" s="1186" t="s">
        <v>1987</v>
      </c>
      <c r="D1784" s="1186" t="s">
        <v>1986</v>
      </c>
      <c r="E1784" s="1186" t="s">
        <v>2035</v>
      </c>
      <c r="F1784" s="1186" t="s">
        <v>2034</v>
      </c>
      <c r="G1784" s="1186" t="s">
        <v>828</v>
      </c>
      <c r="H1784" s="1186">
        <v>91</v>
      </c>
    </row>
    <row r="1785" spans="1:8" x14ac:dyDescent="0.2">
      <c r="A1785" s="1186" t="s">
        <v>282</v>
      </c>
      <c r="B1785" s="1186" t="s">
        <v>957</v>
      </c>
      <c r="C1785" s="1186" t="s">
        <v>1987</v>
      </c>
      <c r="D1785" s="1186" t="s">
        <v>1986</v>
      </c>
      <c r="E1785" s="1186" t="s">
        <v>2035</v>
      </c>
      <c r="F1785" s="1186" t="s">
        <v>2034</v>
      </c>
      <c r="G1785" s="1186" t="s">
        <v>850</v>
      </c>
      <c r="H1785" s="1186">
        <v>39</v>
      </c>
    </row>
    <row r="1786" spans="1:8" x14ac:dyDescent="0.2">
      <c r="A1786" s="1186" t="s">
        <v>282</v>
      </c>
      <c r="B1786" s="1186" t="s">
        <v>957</v>
      </c>
      <c r="C1786" s="1186" t="s">
        <v>1987</v>
      </c>
      <c r="D1786" s="1186" t="s">
        <v>1986</v>
      </c>
      <c r="E1786" s="1186" t="s">
        <v>2035</v>
      </c>
      <c r="F1786" s="1186" t="s">
        <v>2034</v>
      </c>
      <c r="G1786" s="1186" t="s">
        <v>851</v>
      </c>
      <c r="H1786" s="1186">
        <v>20</v>
      </c>
    </row>
    <row r="1787" spans="1:8" x14ac:dyDescent="0.2">
      <c r="A1787" s="1186" t="s">
        <v>282</v>
      </c>
      <c r="B1787" s="1186" t="s">
        <v>957</v>
      </c>
      <c r="C1787" s="1186" t="s">
        <v>1987</v>
      </c>
      <c r="D1787" s="1186" t="s">
        <v>1986</v>
      </c>
      <c r="E1787" s="1186" t="s">
        <v>2035</v>
      </c>
      <c r="F1787" s="1186" t="s">
        <v>2034</v>
      </c>
      <c r="G1787" s="1186" t="s">
        <v>852</v>
      </c>
      <c r="H1787" s="1186">
        <v>9</v>
      </c>
    </row>
    <row r="1788" spans="1:8" x14ac:dyDescent="0.2">
      <c r="A1788" s="1186" t="s">
        <v>282</v>
      </c>
      <c r="B1788" s="1186" t="s">
        <v>958</v>
      </c>
      <c r="C1788" s="1186" t="s">
        <v>1987</v>
      </c>
      <c r="D1788" s="1186" t="s">
        <v>1988</v>
      </c>
      <c r="E1788" s="1186" t="s">
        <v>2031</v>
      </c>
      <c r="F1788" s="1186" t="s">
        <v>2032</v>
      </c>
      <c r="G1788" s="1186" t="s">
        <v>828</v>
      </c>
      <c r="H1788" s="1186">
        <v>4</v>
      </c>
    </row>
    <row r="1789" spans="1:8" x14ac:dyDescent="0.2">
      <c r="A1789" s="1186" t="s">
        <v>282</v>
      </c>
      <c r="B1789" s="1186" t="s">
        <v>958</v>
      </c>
      <c r="C1789" s="1186" t="s">
        <v>1987</v>
      </c>
      <c r="D1789" s="1186" t="s">
        <v>1988</v>
      </c>
      <c r="E1789" s="1186" t="s">
        <v>2031</v>
      </c>
      <c r="F1789" s="1186" t="s">
        <v>2033</v>
      </c>
      <c r="G1789" s="1186" t="s">
        <v>828</v>
      </c>
      <c r="H1789" s="1186">
        <v>107</v>
      </c>
    </row>
    <row r="1790" spans="1:8" x14ac:dyDescent="0.2">
      <c r="A1790" s="1186" t="s">
        <v>282</v>
      </c>
      <c r="B1790" s="1186" t="s">
        <v>958</v>
      </c>
      <c r="C1790" s="1186" t="s">
        <v>1987</v>
      </c>
      <c r="D1790" s="1186" t="s">
        <v>1988</v>
      </c>
      <c r="E1790" s="1186" t="s">
        <v>2031</v>
      </c>
      <c r="F1790" s="1186" t="s">
        <v>2033</v>
      </c>
      <c r="G1790" s="1186" t="s">
        <v>850</v>
      </c>
      <c r="H1790" s="1186">
        <v>4</v>
      </c>
    </row>
    <row r="1791" spans="1:8" x14ac:dyDescent="0.2">
      <c r="A1791" s="1186" t="s">
        <v>282</v>
      </c>
      <c r="B1791" s="1186" t="s">
        <v>958</v>
      </c>
      <c r="C1791" s="1186" t="s">
        <v>1987</v>
      </c>
      <c r="D1791" s="1186" t="s">
        <v>1988</v>
      </c>
      <c r="E1791" s="1186" t="s">
        <v>2031</v>
      </c>
      <c r="F1791" s="1186" t="s">
        <v>2033</v>
      </c>
      <c r="G1791" s="1186" t="s">
        <v>851</v>
      </c>
      <c r="H1791" s="1186">
        <v>2</v>
      </c>
    </row>
    <row r="1792" spans="1:8" x14ac:dyDescent="0.2">
      <c r="A1792" s="1186" t="s">
        <v>282</v>
      </c>
      <c r="B1792" s="1186" t="s">
        <v>958</v>
      </c>
      <c r="C1792" s="1186" t="s">
        <v>1987</v>
      </c>
      <c r="D1792" s="1186" t="s">
        <v>1988</v>
      </c>
      <c r="E1792" s="1186" t="s">
        <v>2031</v>
      </c>
      <c r="F1792" s="1186" t="s">
        <v>2033</v>
      </c>
      <c r="G1792" s="1186" t="s">
        <v>852</v>
      </c>
      <c r="H1792" s="1186">
        <v>2</v>
      </c>
    </row>
    <row r="1793" spans="1:8" x14ac:dyDescent="0.2">
      <c r="A1793" s="1186" t="s">
        <v>282</v>
      </c>
      <c r="B1793" s="1186" t="s">
        <v>958</v>
      </c>
      <c r="C1793" s="1186" t="s">
        <v>1987</v>
      </c>
      <c r="D1793" s="1186" t="s">
        <v>1988</v>
      </c>
      <c r="E1793" s="1186" t="s">
        <v>2031</v>
      </c>
      <c r="F1793" s="1186" t="s">
        <v>2034</v>
      </c>
      <c r="G1793" s="1186" t="s">
        <v>828</v>
      </c>
      <c r="H1793" s="1186">
        <v>15</v>
      </c>
    </row>
    <row r="1794" spans="1:8" x14ac:dyDescent="0.2">
      <c r="A1794" s="1186" t="s">
        <v>282</v>
      </c>
      <c r="B1794" s="1186" t="s">
        <v>958</v>
      </c>
      <c r="C1794" s="1186" t="s">
        <v>1987</v>
      </c>
      <c r="D1794" s="1186" t="s">
        <v>1988</v>
      </c>
      <c r="E1794" s="1186" t="s">
        <v>2031</v>
      </c>
      <c r="F1794" s="1186" t="s">
        <v>2034</v>
      </c>
      <c r="G1794" s="1186" t="s">
        <v>850</v>
      </c>
      <c r="H1794" s="1186">
        <v>2</v>
      </c>
    </row>
    <row r="1795" spans="1:8" x14ac:dyDescent="0.2">
      <c r="A1795" s="1186" t="s">
        <v>282</v>
      </c>
      <c r="B1795" s="1186" t="s">
        <v>958</v>
      </c>
      <c r="C1795" s="1186" t="s">
        <v>1987</v>
      </c>
      <c r="D1795" s="1186" t="s">
        <v>1988</v>
      </c>
      <c r="E1795" s="1186" t="s">
        <v>2035</v>
      </c>
      <c r="F1795" s="1186" t="s">
        <v>2032</v>
      </c>
      <c r="G1795" s="1186" t="s">
        <v>828</v>
      </c>
      <c r="H1795" s="1186">
        <v>20</v>
      </c>
    </row>
    <row r="1796" spans="1:8" x14ac:dyDescent="0.2">
      <c r="A1796" s="1186" t="s">
        <v>282</v>
      </c>
      <c r="B1796" s="1186" t="s">
        <v>958</v>
      </c>
      <c r="C1796" s="1186" t="s">
        <v>1987</v>
      </c>
      <c r="D1796" s="1186" t="s">
        <v>1988</v>
      </c>
      <c r="E1796" s="1186" t="s">
        <v>2035</v>
      </c>
      <c r="F1796" s="1186" t="s">
        <v>2032</v>
      </c>
      <c r="G1796" s="1186" t="s">
        <v>851</v>
      </c>
      <c r="H1796" s="1186">
        <v>2</v>
      </c>
    </row>
    <row r="1797" spans="1:8" x14ac:dyDescent="0.2">
      <c r="A1797" s="1186" t="s">
        <v>282</v>
      </c>
      <c r="B1797" s="1186" t="s">
        <v>958</v>
      </c>
      <c r="C1797" s="1186" t="s">
        <v>1987</v>
      </c>
      <c r="D1797" s="1186" t="s">
        <v>1988</v>
      </c>
      <c r="E1797" s="1186" t="s">
        <v>2035</v>
      </c>
      <c r="F1797" s="1186" t="s">
        <v>2032</v>
      </c>
      <c r="G1797" s="1186" t="s">
        <v>852</v>
      </c>
      <c r="H1797" s="1186">
        <v>2</v>
      </c>
    </row>
    <row r="1798" spans="1:8" x14ac:dyDescent="0.2">
      <c r="A1798" s="1186" t="s">
        <v>282</v>
      </c>
      <c r="B1798" s="1186" t="s">
        <v>958</v>
      </c>
      <c r="C1798" s="1186" t="s">
        <v>1987</v>
      </c>
      <c r="D1798" s="1186" t="s">
        <v>1988</v>
      </c>
      <c r="E1798" s="1186" t="s">
        <v>2035</v>
      </c>
      <c r="F1798" s="1186" t="s">
        <v>2033</v>
      </c>
      <c r="G1798" s="1186" t="s">
        <v>828</v>
      </c>
      <c r="H1798" s="1186">
        <v>110</v>
      </c>
    </row>
    <row r="1799" spans="1:8" x14ac:dyDescent="0.2">
      <c r="A1799" s="1186" t="s">
        <v>282</v>
      </c>
      <c r="B1799" s="1186" t="s">
        <v>958</v>
      </c>
      <c r="C1799" s="1186" t="s">
        <v>1987</v>
      </c>
      <c r="D1799" s="1186" t="s">
        <v>1988</v>
      </c>
      <c r="E1799" s="1186" t="s">
        <v>2035</v>
      </c>
      <c r="F1799" s="1186" t="s">
        <v>2033</v>
      </c>
      <c r="G1799" s="1186" t="s">
        <v>850</v>
      </c>
      <c r="H1799" s="1186">
        <v>5</v>
      </c>
    </row>
    <row r="1800" spans="1:8" x14ac:dyDescent="0.2">
      <c r="A1800" s="1186" t="s">
        <v>282</v>
      </c>
      <c r="B1800" s="1186" t="s">
        <v>958</v>
      </c>
      <c r="C1800" s="1186" t="s">
        <v>1987</v>
      </c>
      <c r="D1800" s="1186" t="s">
        <v>1988</v>
      </c>
      <c r="E1800" s="1186" t="s">
        <v>2035</v>
      </c>
      <c r="F1800" s="1186" t="s">
        <v>2033</v>
      </c>
      <c r="G1800" s="1186" t="s">
        <v>851</v>
      </c>
      <c r="H1800" s="1186">
        <v>169</v>
      </c>
    </row>
    <row r="1801" spans="1:8" x14ac:dyDescent="0.2">
      <c r="A1801" s="1186" t="s">
        <v>282</v>
      </c>
      <c r="B1801" s="1186" t="s">
        <v>958</v>
      </c>
      <c r="C1801" s="1186" t="s">
        <v>1987</v>
      </c>
      <c r="D1801" s="1186" t="s">
        <v>1988</v>
      </c>
      <c r="E1801" s="1186" t="s">
        <v>2035</v>
      </c>
      <c r="F1801" s="1186" t="s">
        <v>2033</v>
      </c>
      <c r="G1801" s="1186" t="s">
        <v>852</v>
      </c>
      <c r="H1801" s="1186">
        <v>13</v>
      </c>
    </row>
    <row r="1802" spans="1:8" x14ac:dyDescent="0.2">
      <c r="A1802" s="1186" t="s">
        <v>282</v>
      </c>
      <c r="B1802" s="1186" t="s">
        <v>958</v>
      </c>
      <c r="C1802" s="1186" t="s">
        <v>1987</v>
      </c>
      <c r="D1802" s="1186" t="s">
        <v>1988</v>
      </c>
      <c r="E1802" s="1186" t="s">
        <v>2035</v>
      </c>
      <c r="F1802" s="1186" t="s">
        <v>2034</v>
      </c>
      <c r="G1802" s="1186" t="s">
        <v>828</v>
      </c>
      <c r="H1802" s="1186">
        <v>64</v>
      </c>
    </row>
    <row r="1803" spans="1:8" x14ac:dyDescent="0.2">
      <c r="A1803" s="1186" t="s">
        <v>282</v>
      </c>
      <c r="B1803" s="1186" t="s">
        <v>958</v>
      </c>
      <c r="C1803" s="1186" t="s">
        <v>1987</v>
      </c>
      <c r="D1803" s="1186" t="s">
        <v>1988</v>
      </c>
      <c r="E1803" s="1186" t="s">
        <v>2035</v>
      </c>
      <c r="F1803" s="1186" t="s">
        <v>2034</v>
      </c>
      <c r="G1803" s="1186" t="s">
        <v>850</v>
      </c>
      <c r="H1803" s="1186">
        <v>25</v>
      </c>
    </row>
    <row r="1804" spans="1:8" x14ac:dyDescent="0.2">
      <c r="A1804" s="1186" t="s">
        <v>282</v>
      </c>
      <c r="B1804" s="1186" t="s">
        <v>958</v>
      </c>
      <c r="C1804" s="1186" t="s">
        <v>1987</v>
      </c>
      <c r="D1804" s="1186" t="s">
        <v>1988</v>
      </c>
      <c r="E1804" s="1186" t="s">
        <v>2035</v>
      </c>
      <c r="F1804" s="1186" t="s">
        <v>2034</v>
      </c>
      <c r="G1804" s="1186" t="s">
        <v>851</v>
      </c>
      <c r="H1804" s="1186">
        <v>25</v>
      </c>
    </row>
    <row r="1805" spans="1:8" x14ac:dyDescent="0.2">
      <c r="A1805" s="1186" t="s">
        <v>282</v>
      </c>
      <c r="B1805" s="1186" t="s">
        <v>958</v>
      </c>
      <c r="C1805" s="1186" t="s">
        <v>1987</v>
      </c>
      <c r="D1805" s="1186" t="s">
        <v>1988</v>
      </c>
      <c r="E1805" s="1186" t="s">
        <v>2035</v>
      </c>
      <c r="F1805" s="1186" t="s">
        <v>2034</v>
      </c>
      <c r="G1805" s="1186" t="s">
        <v>852</v>
      </c>
      <c r="H1805" s="1186">
        <v>8</v>
      </c>
    </row>
    <row r="1806" spans="1:8" x14ac:dyDescent="0.2">
      <c r="A1806" s="1186" t="s">
        <v>282</v>
      </c>
      <c r="B1806" s="1186" t="s">
        <v>959</v>
      </c>
      <c r="C1806" s="1186" t="s">
        <v>1987</v>
      </c>
      <c r="D1806" s="1186" t="s">
        <v>1988</v>
      </c>
      <c r="E1806" s="1186" t="s">
        <v>2031</v>
      </c>
      <c r="F1806" s="1186" t="s">
        <v>2032</v>
      </c>
      <c r="G1806" s="1186" t="s">
        <v>828</v>
      </c>
      <c r="H1806" s="1186">
        <v>6</v>
      </c>
    </row>
    <row r="1807" spans="1:8" x14ac:dyDescent="0.2">
      <c r="A1807" s="1186" t="s">
        <v>282</v>
      </c>
      <c r="B1807" s="1186" t="s">
        <v>959</v>
      </c>
      <c r="C1807" s="1186" t="s">
        <v>1987</v>
      </c>
      <c r="D1807" s="1186" t="s">
        <v>1988</v>
      </c>
      <c r="E1807" s="1186" t="s">
        <v>2031</v>
      </c>
      <c r="F1807" s="1186" t="s">
        <v>2033</v>
      </c>
      <c r="G1807" s="1186" t="s">
        <v>828</v>
      </c>
      <c r="H1807" s="1186">
        <v>58</v>
      </c>
    </row>
    <row r="1808" spans="1:8" x14ac:dyDescent="0.2">
      <c r="A1808" s="1186" t="s">
        <v>282</v>
      </c>
      <c r="B1808" s="1186" t="s">
        <v>959</v>
      </c>
      <c r="C1808" s="1186" t="s">
        <v>1987</v>
      </c>
      <c r="D1808" s="1186" t="s">
        <v>1988</v>
      </c>
      <c r="E1808" s="1186" t="s">
        <v>2031</v>
      </c>
      <c r="F1808" s="1186" t="s">
        <v>2033</v>
      </c>
      <c r="G1808" s="1186" t="s">
        <v>850</v>
      </c>
      <c r="H1808" s="1186">
        <v>5</v>
      </c>
    </row>
    <row r="1809" spans="1:8" x14ac:dyDescent="0.2">
      <c r="A1809" s="1186" t="s">
        <v>282</v>
      </c>
      <c r="B1809" s="1186" t="s">
        <v>959</v>
      </c>
      <c r="C1809" s="1186" t="s">
        <v>1987</v>
      </c>
      <c r="D1809" s="1186" t="s">
        <v>1988</v>
      </c>
      <c r="E1809" s="1186" t="s">
        <v>2031</v>
      </c>
      <c r="F1809" s="1186" t="s">
        <v>2033</v>
      </c>
      <c r="G1809" s="1186" t="s">
        <v>852</v>
      </c>
      <c r="H1809" s="1186">
        <v>2</v>
      </c>
    </row>
    <row r="1810" spans="1:8" x14ac:dyDescent="0.2">
      <c r="A1810" s="1186" t="s">
        <v>282</v>
      </c>
      <c r="B1810" s="1186" t="s">
        <v>959</v>
      </c>
      <c r="C1810" s="1186" t="s">
        <v>1987</v>
      </c>
      <c r="D1810" s="1186" t="s">
        <v>1988</v>
      </c>
      <c r="E1810" s="1186" t="s">
        <v>2031</v>
      </c>
      <c r="F1810" s="1186" t="s">
        <v>2034</v>
      </c>
      <c r="G1810" s="1186" t="s">
        <v>828</v>
      </c>
      <c r="H1810" s="1186">
        <v>5</v>
      </c>
    </row>
    <row r="1811" spans="1:8" x14ac:dyDescent="0.2">
      <c r="A1811" s="1186" t="s">
        <v>282</v>
      </c>
      <c r="B1811" s="1186" t="s">
        <v>959</v>
      </c>
      <c r="C1811" s="1186" t="s">
        <v>1987</v>
      </c>
      <c r="D1811" s="1186" t="s">
        <v>1988</v>
      </c>
      <c r="E1811" s="1186" t="s">
        <v>2031</v>
      </c>
      <c r="F1811" s="1186" t="s">
        <v>2034</v>
      </c>
      <c r="G1811" s="1186" t="s">
        <v>850</v>
      </c>
      <c r="H1811" s="1186">
        <v>2</v>
      </c>
    </row>
    <row r="1812" spans="1:8" x14ac:dyDescent="0.2">
      <c r="A1812" s="1186" t="s">
        <v>282</v>
      </c>
      <c r="B1812" s="1186" t="s">
        <v>959</v>
      </c>
      <c r="C1812" s="1186" t="s">
        <v>1987</v>
      </c>
      <c r="D1812" s="1186" t="s">
        <v>1988</v>
      </c>
      <c r="E1812" s="1186" t="s">
        <v>2035</v>
      </c>
      <c r="F1812" s="1186" t="s">
        <v>2032</v>
      </c>
      <c r="G1812" s="1186" t="s">
        <v>828</v>
      </c>
      <c r="H1812" s="1186">
        <v>34</v>
      </c>
    </row>
    <row r="1813" spans="1:8" x14ac:dyDescent="0.2">
      <c r="A1813" s="1186" t="s">
        <v>282</v>
      </c>
      <c r="B1813" s="1186" t="s">
        <v>959</v>
      </c>
      <c r="C1813" s="1186" t="s">
        <v>1987</v>
      </c>
      <c r="D1813" s="1186" t="s">
        <v>1988</v>
      </c>
      <c r="E1813" s="1186" t="s">
        <v>2035</v>
      </c>
      <c r="F1813" s="1186" t="s">
        <v>2032</v>
      </c>
      <c r="G1813" s="1186" t="s">
        <v>850</v>
      </c>
      <c r="H1813" s="1186">
        <v>2</v>
      </c>
    </row>
    <row r="1814" spans="1:8" x14ac:dyDescent="0.2">
      <c r="A1814" s="1186" t="s">
        <v>282</v>
      </c>
      <c r="B1814" s="1186" t="s">
        <v>959</v>
      </c>
      <c r="C1814" s="1186" t="s">
        <v>1987</v>
      </c>
      <c r="D1814" s="1186" t="s">
        <v>1988</v>
      </c>
      <c r="E1814" s="1186" t="s">
        <v>2035</v>
      </c>
      <c r="F1814" s="1186" t="s">
        <v>2032</v>
      </c>
      <c r="G1814" s="1186" t="s">
        <v>851</v>
      </c>
      <c r="H1814" s="1186">
        <v>11</v>
      </c>
    </row>
    <row r="1815" spans="1:8" x14ac:dyDescent="0.2">
      <c r="A1815" s="1186" t="s">
        <v>282</v>
      </c>
      <c r="B1815" s="1186" t="s">
        <v>959</v>
      </c>
      <c r="C1815" s="1186" t="s">
        <v>1987</v>
      </c>
      <c r="D1815" s="1186" t="s">
        <v>1988</v>
      </c>
      <c r="E1815" s="1186" t="s">
        <v>2035</v>
      </c>
      <c r="F1815" s="1186" t="s">
        <v>2032</v>
      </c>
      <c r="G1815" s="1186" t="s">
        <v>852</v>
      </c>
      <c r="H1815" s="1186">
        <v>5</v>
      </c>
    </row>
    <row r="1816" spans="1:8" x14ac:dyDescent="0.2">
      <c r="A1816" s="1186" t="s">
        <v>282</v>
      </c>
      <c r="B1816" s="1186" t="s">
        <v>959</v>
      </c>
      <c r="C1816" s="1186" t="s">
        <v>1987</v>
      </c>
      <c r="D1816" s="1186" t="s">
        <v>1988</v>
      </c>
      <c r="E1816" s="1186" t="s">
        <v>2035</v>
      </c>
      <c r="F1816" s="1186" t="s">
        <v>2033</v>
      </c>
      <c r="G1816" s="1186" t="s">
        <v>828</v>
      </c>
      <c r="H1816" s="1186">
        <v>92</v>
      </c>
    </row>
    <row r="1817" spans="1:8" x14ac:dyDescent="0.2">
      <c r="A1817" s="1186" t="s">
        <v>282</v>
      </c>
      <c r="B1817" s="1186" t="s">
        <v>959</v>
      </c>
      <c r="C1817" s="1186" t="s">
        <v>1987</v>
      </c>
      <c r="D1817" s="1186" t="s">
        <v>1988</v>
      </c>
      <c r="E1817" s="1186" t="s">
        <v>2035</v>
      </c>
      <c r="F1817" s="1186" t="s">
        <v>2033</v>
      </c>
      <c r="G1817" s="1186" t="s">
        <v>850</v>
      </c>
      <c r="H1817" s="1186">
        <v>14</v>
      </c>
    </row>
    <row r="1818" spans="1:8" x14ac:dyDescent="0.2">
      <c r="A1818" s="1186" t="s">
        <v>282</v>
      </c>
      <c r="B1818" s="1186" t="s">
        <v>959</v>
      </c>
      <c r="C1818" s="1186" t="s">
        <v>1987</v>
      </c>
      <c r="D1818" s="1186" t="s">
        <v>1988</v>
      </c>
      <c r="E1818" s="1186" t="s">
        <v>2035</v>
      </c>
      <c r="F1818" s="1186" t="s">
        <v>2033</v>
      </c>
      <c r="G1818" s="1186" t="s">
        <v>851</v>
      </c>
      <c r="H1818" s="1186">
        <v>129</v>
      </c>
    </row>
    <row r="1819" spans="1:8" x14ac:dyDescent="0.2">
      <c r="A1819" s="1186" t="s">
        <v>282</v>
      </c>
      <c r="B1819" s="1186" t="s">
        <v>959</v>
      </c>
      <c r="C1819" s="1186" t="s">
        <v>1987</v>
      </c>
      <c r="D1819" s="1186" t="s">
        <v>1988</v>
      </c>
      <c r="E1819" s="1186" t="s">
        <v>2035</v>
      </c>
      <c r="F1819" s="1186" t="s">
        <v>2033</v>
      </c>
      <c r="G1819" s="1186" t="s">
        <v>852</v>
      </c>
      <c r="H1819" s="1186">
        <v>13</v>
      </c>
    </row>
    <row r="1820" spans="1:8" x14ac:dyDescent="0.2">
      <c r="A1820" s="1186" t="s">
        <v>282</v>
      </c>
      <c r="B1820" s="1186" t="s">
        <v>959</v>
      </c>
      <c r="C1820" s="1186" t="s">
        <v>1987</v>
      </c>
      <c r="D1820" s="1186" t="s">
        <v>1988</v>
      </c>
      <c r="E1820" s="1186" t="s">
        <v>2035</v>
      </c>
      <c r="F1820" s="1186" t="s">
        <v>2034</v>
      </c>
      <c r="G1820" s="1186" t="s">
        <v>828</v>
      </c>
      <c r="H1820" s="1186">
        <v>74</v>
      </c>
    </row>
    <row r="1821" spans="1:8" x14ac:dyDescent="0.2">
      <c r="A1821" s="1186" t="s">
        <v>282</v>
      </c>
      <c r="B1821" s="1186" t="s">
        <v>959</v>
      </c>
      <c r="C1821" s="1186" t="s">
        <v>1987</v>
      </c>
      <c r="D1821" s="1186" t="s">
        <v>1988</v>
      </c>
      <c r="E1821" s="1186" t="s">
        <v>2035</v>
      </c>
      <c r="F1821" s="1186" t="s">
        <v>2034</v>
      </c>
      <c r="G1821" s="1186" t="s">
        <v>850</v>
      </c>
      <c r="H1821" s="1186">
        <v>29</v>
      </c>
    </row>
    <row r="1822" spans="1:8" x14ac:dyDescent="0.2">
      <c r="A1822" s="1186" t="s">
        <v>282</v>
      </c>
      <c r="B1822" s="1186" t="s">
        <v>959</v>
      </c>
      <c r="C1822" s="1186" t="s">
        <v>1987</v>
      </c>
      <c r="D1822" s="1186" t="s">
        <v>1988</v>
      </c>
      <c r="E1822" s="1186" t="s">
        <v>2035</v>
      </c>
      <c r="F1822" s="1186" t="s">
        <v>2034</v>
      </c>
      <c r="G1822" s="1186" t="s">
        <v>851</v>
      </c>
      <c r="H1822" s="1186">
        <v>37</v>
      </c>
    </row>
    <row r="1823" spans="1:8" x14ac:dyDescent="0.2">
      <c r="A1823" s="1186" t="s">
        <v>282</v>
      </c>
      <c r="B1823" s="1186" t="s">
        <v>959</v>
      </c>
      <c r="C1823" s="1186" t="s">
        <v>1987</v>
      </c>
      <c r="D1823" s="1186" t="s">
        <v>1988</v>
      </c>
      <c r="E1823" s="1186" t="s">
        <v>2035</v>
      </c>
      <c r="F1823" s="1186" t="s">
        <v>2034</v>
      </c>
      <c r="G1823" s="1186" t="s">
        <v>852</v>
      </c>
      <c r="H1823" s="1186">
        <v>12</v>
      </c>
    </row>
    <row r="1824" spans="1:8" x14ac:dyDescent="0.2">
      <c r="A1824" s="1186" t="s">
        <v>282</v>
      </c>
      <c r="B1824" s="1186" t="s">
        <v>960</v>
      </c>
      <c r="C1824" s="1186" t="s">
        <v>1981</v>
      </c>
      <c r="D1824" s="1186" t="s">
        <v>1988</v>
      </c>
      <c r="E1824" s="1186" t="s">
        <v>2031</v>
      </c>
      <c r="F1824" s="1186" t="s">
        <v>2032</v>
      </c>
      <c r="G1824" s="1186" t="s">
        <v>828</v>
      </c>
      <c r="H1824" s="1186">
        <v>3</v>
      </c>
    </row>
    <row r="1825" spans="1:8" x14ac:dyDescent="0.2">
      <c r="A1825" s="1186" t="s">
        <v>282</v>
      </c>
      <c r="B1825" s="1186" t="s">
        <v>960</v>
      </c>
      <c r="C1825" s="1186" t="s">
        <v>1981</v>
      </c>
      <c r="D1825" s="1186" t="s">
        <v>1988</v>
      </c>
      <c r="E1825" s="1186" t="s">
        <v>2031</v>
      </c>
      <c r="F1825" s="1186" t="s">
        <v>2032</v>
      </c>
      <c r="G1825" s="1186" t="s">
        <v>850</v>
      </c>
      <c r="H1825" s="1186">
        <v>1</v>
      </c>
    </row>
    <row r="1826" spans="1:8" x14ac:dyDescent="0.2">
      <c r="A1826" s="1186" t="s">
        <v>282</v>
      </c>
      <c r="B1826" s="1186" t="s">
        <v>960</v>
      </c>
      <c r="C1826" s="1186" t="s">
        <v>1981</v>
      </c>
      <c r="D1826" s="1186" t="s">
        <v>1988</v>
      </c>
      <c r="E1826" s="1186" t="s">
        <v>2031</v>
      </c>
      <c r="F1826" s="1186" t="s">
        <v>2033</v>
      </c>
      <c r="G1826" s="1186" t="s">
        <v>828</v>
      </c>
      <c r="H1826" s="1186">
        <v>115</v>
      </c>
    </row>
    <row r="1827" spans="1:8" x14ac:dyDescent="0.2">
      <c r="A1827" s="1186" t="s">
        <v>282</v>
      </c>
      <c r="B1827" s="1186" t="s">
        <v>960</v>
      </c>
      <c r="C1827" s="1186" t="s">
        <v>1981</v>
      </c>
      <c r="D1827" s="1186" t="s">
        <v>1988</v>
      </c>
      <c r="E1827" s="1186" t="s">
        <v>2031</v>
      </c>
      <c r="F1827" s="1186" t="s">
        <v>2033</v>
      </c>
      <c r="G1827" s="1186" t="s">
        <v>850</v>
      </c>
      <c r="H1827" s="1186">
        <v>9</v>
      </c>
    </row>
    <row r="1828" spans="1:8" x14ac:dyDescent="0.2">
      <c r="A1828" s="1186" t="s">
        <v>282</v>
      </c>
      <c r="B1828" s="1186" t="s">
        <v>960</v>
      </c>
      <c r="C1828" s="1186" t="s">
        <v>1981</v>
      </c>
      <c r="D1828" s="1186" t="s">
        <v>1988</v>
      </c>
      <c r="E1828" s="1186" t="s">
        <v>2031</v>
      </c>
      <c r="F1828" s="1186" t="s">
        <v>2033</v>
      </c>
      <c r="G1828" s="1186" t="s">
        <v>851</v>
      </c>
      <c r="H1828" s="1186">
        <v>3</v>
      </c>
    </row>
    <row r="1829" spans="1:8" x14ac:dyDescent="0.2">
      <c r="A1829" s="1186" t="s">
        <v>282</v>
      </c>
      <c r="B1829" s="1186" t="s">
        <v>960</v>
      </c>
      <c r="C1829" s="1186" t="s">
        <v>1981</v>
      </c>
      <c r="D1829" s="1186" t="s">
        <v>1988</v>
      </c>
      <c r="E1829" s="1186" t="s">
        <v>2031</v>
      </c>
      <c r="F1829" s="1186" t="s">
        <v>2033</v>
      </c>
      <c r="G1829" s="1186" t="s">
        <v>852</v>
      </c>
      <c r="H1829" s="1186">
        <v>4</v>
      </c>
    </row>
    <row r="1830" spans="1:8" x14ac:dyDescent="0.2">
      <c r="A1830" s="1186" t="s">
        <v>282</v>
      </c>
      <c r="B1830" s="1186" t="s">
        <v>960</v>
      </c>
      <c r="C1830" s="1186" t="s">
        <v>1981</v>
      </c>
      <c r="D1830" s="1186" t="s">
        <v>1988</v>
      </c>
      <c r="E1830" s="1186" t="s">
        <v>2031</v>
      </c>
      <c r="F1830" s="1186" t="s">
        <v>2034</v>
      </c>
      <c r="G1830" s="1186" t="s">
        <v>828</v>
      </c>
      <c r="H1830" s="1186">
        <v>15</v>
      </c>
    </row>
    <row r="1831" spans="1:8" x14ac:dyDescent="0.2">
      <c r="A1831" s="1186" t="s">
        <v>282</v>
      </c>
      <c r="B1831" s="1186" t="s">
        <v>960</v>
      </c>
      <c r="C1831" s="1186" t="s">
        <v>1981</v>
      </c>
      <c r="D1831" s="1186" t="s">
        <v>1988</v>
      </c>
      <c r="E1831" s="1186" t="s">
        <v>2031</v>
      </c>
      <c r="F1831" s="1186" t="s">
        <v>2034</v>
      </c>
      <c r="G1831" s="1186" t="s">
        <v>850</v>
      </c>
      <c r="H1831" s="1186">
        <v>3</v>
      </c>
    </row>
    <row r="1832" spans="1:8" x14ac:dyDescent="0.2">
      <c r="A1832" s="1186" t="s">
        <v>282</v>
      </c>
      <c r="B1832" s="1186" t="s">
        <v>960</v>
      </c>
      <c r="C1832" s="1186" t="s">
        <v>1981</v>
      </c>
      <c r="D1832" s="1186" t="s">
        <v>1988</v>
      </c>
      <c r="E1832" s="1186" t="s">
        <v>2035</v>
      </c>
      <c r="F1832" s="1186" t="s">
        <v>2032</v>
      </c>
      <c r="G1832" s="1186" t="s">
        <v>828</v>
      </c>
      <c r="H1832" s="1186">
        <v>25</v>
      </c>
    </row>
    <row r="1833" spans="1:8" x14ac:dyDescent="0.2">
      <c r="A1833" s="1186" t="s">
        <v>282</v>
      </c>
      <c r="B1833" s="1186" t="s">
        <v>960</v>
      </c>
      <c r="C1833" s="1186" t="s">
        <v>1981</v>
      </c>
      <c r="D1833" s="1186" t="s">
        <v>1988</v>
      </c>
      <c r="E1833" s="1186" t="s">
        <v>2035</v>
      </c>
      <c r="F1833" s="1186" t="s">
        <v>2032</v>
      </c>
      <c r="G1833" s="1186" t="s">
        <v>850</v>
      </c>
      <c r="H1833" s="1186">
        <v>3</v>
      </c>
    </row>
    <row r="1834" spans="1:8" x14ac:dyDescent="0.2">
      <c r="A1834" s="1186" t="s">
        <v>282</v>
      </c>
      <c r="B1834" s="1186" t="s">
        <v>960</v>
      </c>
      <c r="C1834" s="1186" t="s">
        <v>1981</v>
      </c>
      <c r="D1834" s="1186" t="s">
        <v>1988</v>
      </c>
      <c r="E1834" s="1186" t="s">
        <v>2035</v>
      </c>
      <c r="F1834" s="1186" t="s">
        <v>2032</v>
      </c>
      <c r="G1834" s="1186" t="s">
        <v>851</v>
      </c>
      <c r="H1834" s="1186">
        <v>1</v>
      </c>
    </row>
    <row r="1835" spans="1:8" x14ac:dyDescent="0.2">
      <c r="A1835" s="1186" t="s">
        <v>282</v>
      </c>
      <c r="B1835" s="1186" t="s">
        <v>960</v>
      </c>
      <c r="C1835" s="1186" t="s">
        <v>1981</v>
      </c>
      <c r="D1835" s="1186" t="s">
        <v>1988</v>
      </c>
      <c r="E1835" s="1186" t="s">
        <v>2035</v>
      </c>
      <c r="F1835" s="1186" t="s">
        <v>2032</v>
      </c>
      <c r="G1835" s="1186" t="s">
        <v>852</v>
      </c>
      <c r="H1835" s="1186">
        <v>8</v>
      </c>
    </row>
    <row r="1836" spans="1:8" x14ac:dyDescent="0.2">
      <c r="A1836" s="1186" t="s">
        <v>282</v>
      </c>
      <c r="B1836" s="1186" t="s">
        <v>960</v>
      </c>
      <c r="C1836" s="1186" t="s">
        <v>1981</v>
      </c>
      <c r="D1836" s="1186" t="s">
        <v>1988</v>
      </c>
      <c r="E1836" s="1186" t="s">
        <v>2035</v>
      </c>
      <c r="F1836" s="1186" t="s">
        <v>2033</v>
      </c>
      <c r="G1836" s="1186" t="s">
        <v>828</v>
      </c>
      <c r="H1836" s="1186">
        <v>93</v>
      </c>
    </row>
    <row r="1837" spans="1:8" x14ac:dyDescent="0.2">
      <c r="A1837" s="1186" t="s">
        <v>282</v>
      </c>
      <c r="B1837" s="1186" t="s">
        <v>960</v>
      </c>
      <c r="C1837" s="1186" t="s">
        <v>1981</v>
      </c>
      <c r="D1837" s="1186" t="s">
        <v>1988</v>
      </c>
      <c r="E1837" s="1186" t="s">
        <v>2035</v>
      </c>
      <c r="F1837" s="1186" t="s">
        <v>2033</v>
      </c>
      <c r="G1837" s="1186" t="s">
        <v>850</v>
      </c>
      <c r="H1837" s="1186">
        <v>22</v>
      </c>
    </row>
    <row r="1838" spans="1:8" x14ac:dyDescent="0.2">
      <c r="A1838" s="1186" t="s">
        <v>282</v>
      </c>
      <c r="B1838" s="1186" t="s">
        <v>960</v>
      </c>
      <c r="C1838" s="1186" t="s">
        <v>1981</v>
      </c>
      <c r="D1838" s="1186" t="s">
        <v>1988</v>
      </c>
      <c r="E1838" s="1186" t="s">
        <v>2035</v>
      </c>
      <c r="F1838" s="1186" t="s">
        <v>2033</v>
      </c>
      <c r="G1838" s="1186" t="s">
        <v>851</v>
      </c>
      <c r="H1838" s="1186">
        <v>162</v>
      </c>
    </row>
    <row r="1839" spans="1:8" x14ac:dyDescent="0.2">
      <c r="A1839" s="1186" t="s">
        <v>282</v>
      </c>
      <c r="B1839" s="1186" t="s">
        <v>960</v>
      </c>
      <c r="C1839" s="1186" t="s">
        <v>1981</v>
      </c>
      <c r="D1839" s="1186" t="s">
        <v>1988</v>
      </c>
      <c r="E1839" s="1186" t="s">
        <v>2035</v>
      </c>
      <c r="F1839" s="1186" t="s">
        <v>2033</v>
      </c>
      <c r="G1839" s="1186" t="s">
        <v>852</v>
      </c>
      <c r="H1839" s="1186">
        <v>23</v>
      </c>
    </row>
    <row r="1840" spans="1:8" x14ac:dyDescent="0.2">
      <c r="A1840" s="1186" t="s">
        <v>282</v>
      </c>
      <c r="B1840" s="1186" t="s">
        <v>960</v>
      </c>
      <c r="C1840" s="1186" t="s">
        <v>1981</v>
      </c>
      <c r="D1840" s="1186" t="s">
        <v>1988</v>
      </c>
      <c r="E1840" s="1186" t="s">
        <v>2035</v>
      </c>
      <c r="F1840" s="1186" t="s">
        <v>2034</v>
      </c>
      <c r="G1840" s="1186" t="s">
        <v>828</v>
      </c>
      <c r="H1840" s="1186">
        <v>86</v>
      </c>
    </row>
    <row r="1841" spans="1:8" x14ac:dyDescent="0.2">
      <c r="A1841" s="1186" t="s">
        <v>282</v>
      </c>
      <c r="B1841" s="1186" t="s">
        <v>960</v>
      </c>
      <c r="C1841" s="1186" t="s">
        <v>1981</v>
      </c>
      <c r="D1841" s="1186" t="s">
        <v>1988</v>
      </c>
      <c r="E1841" s="1186" t="s">
        <v>2035</v>
      </c>
      <c r="F1841" s="1186" t="s">
        <v>2034</v>
      </c>
      <c r="G1841" s="1186" t="s">
        <v>850</v>
      </c>
      <c r="H1841" s="1186">
        <v>40</v>
      </c>
    </row>
    <row r="1842" spans="1:8" x14ac:dyDescent="0.2">
      <c r="A1842" s="1186" t="s">
        <v>282</v>
      </c>
      <c r="B1842" s="1186" t="s">
        <v>960</v>
      </c>
      <c r="C1842" s="1186" t="s">
        <v>1981</v>
      </c>
      <c r="D1842" s="1186" t="s">
        <v>1988</v>
      </c>
      <c r="E1842" s="1186" t="s">
        <v>2035</v>
      </c>
      <c r="F1842" s="1186" t="s">
        <v>2034</v>
      </c>
      <c r="G1842" s="1186" t="s">
        <v>851</v>
      </c>
      <c r="H1842" s="1186">
        <v>41</v>
      </c>
    </row>
    <row r="1843" spans="1:8" x14ac:dyDescent="0.2">
      <c r="A1843" s="1186" t="s">
        <v>282</v>
      </c>
      <c r="B1843" s="1186" t="s">
        <v>960</v>
      </c>
      <c r="C1843" s="1186" t="s">
        <v>1981</v>
      </c>
      <c r="D1843" s="1186" t="s">
        <v>1988</v>
      </c>
      <c r="E1843" s="1186" t="s">
        <v>2035</v>
      </c>
      <c r="F1843" s="1186" t="s">
        <v>2034</v>
      </c>
      <c r="G1843" s="1186" t="s">
        <v>852</v>
      </c>
      <c r="H1843" s="1186">
        <v>9</v>
      </c>
    </row>
    <row r="1844" spans="1:8" x14ac:dyDescent="0.2">
      <c r="A1844" s="1186" t="s">
        <v>311</v>
      </c>
      <c r="B1844" s="1186" t="s">
        <v>961</v>
      </c>
      <c r="C1844" s="1186" t="s">
        <v>1981</v>
      </c>
      <c r="D1844" s="1186" t="s">
        <v>1982</v>
      </c>
      <c r="E1844" s="1186" t="s">
        <v>2031</v>
      </c>
      <c r="F1844" s="1186" t="s">
        <v>2032</v>
      </c>
      <c r="G1844" s="1186" t="s">
        <v>828</v>
      </c>
      <c r="H1844" s="1186">
        <v>3</v>
      </c>
    </row>
    <row r="1845" spans="1:8" x14ac:dyDescent="0.2">
      <c r="A1845" s="1186" t="s">
        <v>311</v>
      </c>
      <c r="B1845" s="1186" t="s">
        <v>961</v>
      </c>
      <c r="C1845" s="1186" t="s">
        <v>1981</v>
      </c>
      <c r="D1845" s="1186" t="s">
        <v>1982</v>
      </c>
      <c r="E1845" s="1186" t="s">
        <v>2031</v>
      </c>
      <c r="F1845" s="1186" t="s">
        <v>2032</v>
      </c>
      <c r="G1845" s="1186" t="s">
        <v>851</v>
      </c>
      <c r="H1845" s="1186">
        <v>2</v>
      </c>
    </row>
    <row r="1846" spans="1:8" x14ac:dyDescent="0.2">
      <c r="A1846" s="1186" t="s">
        <v>311</v>
      </c>
      <c r="B1846" s="1186" t="s">
        <v>961</v>
      </c>
      <c r="C1846" s="1186" t="s">
        <v>1981</v>
      </c>
      <c r="D1846" s="1186" t="s">
        <v>1982</v>
      </c>
      <c r="E1846" s="1186" t="s">
        <v>2031</v>
      </c>
      <c r="F1846" s="1186" t="s">
        <v>2033</v>
      </c>
      <c r="G1846" s="1186" t="s">
        <v>828</v>
      </c>
      <c r="H1846" s="1186">
        <v>115</v>
      </c>
    </row>
    <row r="1847" spans="1:8" x14ac:dyDescent="0.2">
      <c r="A1847" s="1186" t="s">
        <v>311</v>
      </c>
      <c r="B1847" s="1186" t="s">
        <v>961</v>
      </c>
      <c r="C1847" s="1186" t="s">
        <v>1981</v>
      </c>
      <c r="D1847" s="1186" t="s">
        <v>1982</v>
      </c>
      <c r="E1847" s="1186" t="s">
        <v>2031</v>
      </c>
      <c r="F1847" s="1186" t="s">
        <v>2033</v>
      </c>
      <c r="G1847" s="1186" t="s">
        <v>850</v>
      </c>
      <c r="H1847" s="1186">
        <v>3</v>
      </c>
    </row>
    <row r="1848" spans="1:8" x14ac:dyDescent="0.2">
      <c r="A1848" s="1186" t="s">
        <v>311</v>
      </c>
      <c r="B1848" s="1186" t="s">
        <v>961</v>
      </c>
      <c r="C1848" s="1186" t="s">
        <v>1981</v>
      </c>
      <c r="D1848" s="1186" t="s">
        <v>1982</v>
      </c>
      <c r="E1848" s="1186" t="s">
        <v>2031</v>
      </c>
      <c r="F1848" s="1186" t="s">
        <v>2033</v>
      </c>
      <c r="G1848" s="1186" t="s">
        <v>851</v>
      </c>
      <c r="H1848" s="1186">
        <v>7</v>
      </c>
    </row>
    <row r="1849" spans="1:8" x14ac:dyDescent="0.2">
      <c r="A1849" s="1186" t="s">
        <v>311</v>
      </c>
      <c r="B1849" s="1186" t="s">
        <v>961</v>
      </c>
      <c r="C1849" s="1186" t="s">
        <v>1981</v>
      </c>
      <c r="D1849" s="1186" t="s">
        <v>1982</v>
      </c>
      <c r="E1849" s="1186" t="s">
        <v>2031</v>
      </c>
      <c r="F1849" s="1186" t="s">
        <v>2033</v>
      </c>
      <c r="G1849" s="1186" t="s">
        <v>852</v>
      </c>
      <c r="H1849" s="1186">
        <v>1</v>
      </c>
    </row>
    <row r="1850" spans="1:8" x14ac:dyDescent="0.2">
      <c r="A1850" s="1186" t="s">
        <v>311</v>
      </c>
      <c r="B1850" s="1186" t="s">
        <v>961</v>
      </c>
      <c r="C1850" s="1186" t="s">
        <v>1981</v>
      </c>
      <c r="D1850" s="1186" t="s">
        <v>1982</v>
      </c>
      <c r="E1850" s="1186" t="s">
        <v>2031</v>
      </c>
      <c r="F1850" s="1186" t="s">
        <v>2034</v>
      </c>
      <c r="G1850" s="1186" t="s">
        <v>828</v>
      </c>
      <c r="H1850" s="1186">
        <v>14</v>
      </c>
    </row>
    <row r="1851" spans="1:8" x14ac:dyDescent="0.2">
      <c r="A1851" s="1186" t="s">
        <v>311</v>
      </c>
      <c r="B1851" s="1186" t="s">
        <v>961</v>
      </c>
      <c r="C1851" s="1186" t="s">
        <v>1981</v>
      </c>
      <c r="D1851" s="1186" t="s">
        <v>1982</v>
      </c>
      <c r="E1851" s="1186" t="s">
        <v>2031</v>
      </c>
      <c r="F1851" s="1186" t="s">
        <v>2034</v>
      </c>
      <c r="G1851" s="1186" t="s">
        <v>850</v>
      </c>
      <c r="H1851" s="1186">
        <v>1</v>
      </c>
    </row>
    <row r="1852" spans="1:8" x14ac:dyDescent="0.2">
      <c r="A1852" s="1186" t="s">
        <v>311</v>
      </c>
      <c r="B1852" s="1186" t="s">
        <v>961</v>
      </c>
      <c r="C1852" s="1186" t="s">
        <v>1981</v>
      </c>
      <c r="D1852" s="1186" t="s">
        <v>1982</v>
      </c>
      <c r="E1852" s="1186" t="s">
        <v>2035</v>
      </c>
      <c r="F1852" s="1186" t="s">
        <v>2032</v>
      </c>
      <c r="G1852" s="1186" t="s">
        <v>828</v>
      </c>
      <c r="H1852" s="1186">
        <v>30</v>
      </c>
    </row>
    <row r="1853" spans="1:8" x14ac:dyDescent="0.2">
      <c r="A1853" s="1186" t="s">
        <v>311</v>
      </c>
      <c r="B1853" s="1186" t="s">
        <v>961</v>
      </c>
      <c r="C1853" s="1186" t="s">
        <v>1981</v>
      </c>
      <c r="D1853" s="1186" t="s">
        <v>1982</v>
      </c>
      <c r="E1853" s="1186" t="s">
        <v>2035</v>
      </c>
      <c r="F1853" s="1186" t="s">
        <v>2032</v>
      </c>
      <c r="G1853" s="1186" t="s">
        <v>850</v>
      </c>
      <c r="H1853" s="1186">
        <v>3</v>
      </c>
    </row>
    <row r="1854" spans="1:8" x14ac:dyDescent="0.2">
      <c r="A1854" s="1186" t="s">
        <v>311</v>
      </c>
      <c r="B1854" s="1186" t="s">
        <v>961</v>
      </c>
      <c r="C1854" s="1186" t="s">
        <v>1981</v>
      </c>
      <c r="D1854" s="1186" t="s">
        <v>1982</v>
      </c>
      <c r="E1854" s="1186" t="s">
        <v>2035</v>
      </c>
      <c r="F1854" s="1186" t="s">
        <v>2032</v>
      </c>
      <c r="G1854" s="1186" t="s">
        <v>851</v>
      </c>
      <c r="H1854" s="1186">
        <v>9</v>
      </c>
    </row>
    <row r="1855" spans="1:8" x14ac:dyDescent="0.2">
      <c r="A1855" s="1186" t="s">
        <v>311</v>
      </c>
      <c r="B1855" s="1186" t="s">
        <v>961</v>
      </c>
      <c r="C1855" s="1186" t="s">
        <v>1981</v>
      </c>
      <c r="D1855" s="1186" t="s">
        <v>1982</v>
      </c>
      <c r="E1855" s="1186" t="s">
        <v>2035</v>
      </c>
      <c r="F1855" s="1186" t="s">
        <v>2032</v>
      </c>
      <c r="G1855" s="1186" t="s">
        <v>852</v>
      </c>
      <c r="H1855" s="1186">
        <v>2</v>
      </c>
    </row>
    <row r="1856" spans="1:8" x14ac:dyDescent="0.2">
      <c r="A1856" s="1186" t="s">
        <v>311</v>
      </c>
      <c r="B1856" s="1186" t="s">
        <v>961</v>
      </c>
      <c r="C1856" s="1186" t="s">
        <v>1981</v>
      </c>
      <c r="D1856" s="1186" t="s">
        <v>1982</v>
      </c>
      <c r="E1856" s="1186" t="s">
        <v>2035</v>
      </c>
      <c r="F1856" s="1186" t="s">
        <v>2033</v>
      </c>
      <c r="G1856" s="1186" t="s">
        <v>828</v>
      </c>
      <c r="H1856" s="1186">
        <v>86</v>
      </c>
    </row>
    <row r="1857" spans="1:8" x14ac:dyDescent="0.2">
      <c r="A1857" s="1186" t="s">
        <v>311</v>
      </c>
      <c r="B1857" s="1186" t="s">
        <v>961</v>
      </c>
      <c r="C1857" s="1186" t="s">
        <v>1981</v>
      </c>
      <c r="D1857" s="1186" t="s">
        <v>1982</v>
      </c>
      <c r="E1857" s="1186" t="s">
        <v>2035</v>
      </c>
      <c r="F1857" s="1186" t="s">
        <v>2033</v>
      </c>
      <c r="G1857" s="1186" t="s">
        <v>850</v>
      </c>
      <c r="H1857" s="1186">
        <v>12</v>
      </c>
    </row>
    <row r="1858" spans="1:8" x14ac:dyDescent="0.2">
      <c r="A1858" s="1186" t="s">
        <v>311</v>
      </c>
      <c r="B1858" s="1186" t="s">
        <v>961</v>
      </c>
      <c r="C1858" s="1186" t="s">
        <v>1981</v>
      </c>
      <c r="D1858" s="1186" t="s">
        <v>1982</v>
      </c>
      <c r="E1858" s="1186" t="s">
        <v>2035</v>
      </c>
      <c r="F1858" s="1186" t="s">
        <v>2033</v>
      </c>
      <c r="G1858" s="1186" t="s">
        <v>851</v>
      </c>
      <c r="H1858" s="1186">
        <v>172</v>
      </c>
    </row>
    <row r="1859" spans="1:8" x14ac:dyDescent="0.2">
      <c r="A1859" s="1186" t="s">
        <v>311</v>
      </c>
      <c r="B1859" s="1186" t="s">
        <v>961</v>
      </c>
      <c r="C1859" s="1186" t="s">
        <v>1981</v>
      </c>
      <c r="D1859" s="1186" t="s">
        <v>1982</v>
      </c>
      <c r="E1859" s="1186" t="s">
        <v>2035</v>
      </c>
      <c r="F1859" s="1186" t="s">
        <v>2033</v>
      </c>
      <c r="G1859" s="1186" t="s">
        <v>852</v>
      </c>
      <c r="H1859" s="1186">
        <v>23</v>
      </c>
    </row>
    <row r="1860" spans="1:8" x14ac:dyDescent="0.2">
      <c r="A1860" s="1186" t="s">
        <v>311</v>
      </c>
      <c r="B1860" s="1186" t="s">
        <v>961</v>
      </c>
      <c r="C1860" s="1186" t="s">
        <v>1981</v>
      </c>
      <c r="D1860" s="1186" t="s">
        <v>1982</v>
      </c>
      <c r="E1860" s="1186" t="s">
        <v>2035</v>
      </c>
      <c r="F1860" s="1186" t="s">
        <v>2034</v>
      </c>
      <c r="G1860" s="1186" t="s">
        <v>828</v>
      </c>
      <c r="H1860" s="1186">
        <v>85</v>
      </c>
    </row>
    <row r="1861" spans="1:8" x14ac:dyDescent="0.2">
      <c r="A1861" s="1186" t="s">
        <v>311</v>
      </c>
      <c r="B1861" s="1186" t="s">
        <v>961</v>
      </c>
      <c r="C1861" s="1186" t="s">
        <v>1981</v>
      </c>
      <c r="D1861" s="1186" t="s">
        <v>1982</v>
      </c>
      <c r="E1861" s="1186" t="s">
        <v>2035</v>
      </c>
      <c r="F1861" s="1186" t="s">
        <v>2034</v>
      </c>
      <c r="G1861" s="1186" t="s">
        <v>850</v>
      </c>
      <c r="H1861" s="1186">
        <v>22</v>
      </c>
    </row>
    <row r="1862" spans="1:8" x14ac:dyDescent="0.2">
      <c r="A1862" s="1186" t="s">
        <v>311</v>
      </c>
      <c r="B1862" s="1186" t="s">
        <v>961</v>
      </c>
      <c r="C1862" s="1186" t="s">
        <v>1981</v>
      </c>
      <c r="D1862" s="1186" t="s">
        <v>1982</v>
      </c>
      <c r="E1862" s="1186" t="s">
        <v>2035</v>
      </c>
      <c r="F1862" s="1186" t="s">
        <v>2034</v>
      </c>
      <c r="G1862" s="1186" t="s">
        <v>851</v>
      </c>
      <c r="H1862" s="1186">
        <v>30</v>
      </c>
    </row>
    <row r="1863" spans="1:8" x14ac:dyDescent="0.2">
      <c r="A1863" s="1186" t="s">
        <v>311</v>
      </c>
      <c r="B1863" s="1186" t="s">
        <v>961</v>
      </c>
      <c r="C1863" s="1186" t="s">
        <v>1981</v>
      </c>
      <c r="D1863" s="1186" t="s">
        <v>1982</v>
      </c>
      <c r="E1863" s="1186" t="s">
        <v>2035</v>
      </c>
      <c r="F1863" s="1186" t="s">
        <v>2034</v>
      </c>
      <c r="G1863" s="1186" t="s">
        <v>852</v>
      </c>
      <c r="H1863" s="1186">
        <v>16</v>
      </c>
    </row>
    <row r="1864" spans="1:8" x14ac:dyDescent="0.2">
      <c r="A1864" s="1186" t="s">
        <v>311</v>
      </c>
      <c r="B1864" s="1186" t="s">
        <v>962</v>
      </c>
      <c r="C1864" s="1186" t="s">
        <v>1981</v>
      </c>
      <c r="D1864" s="1186" t="s">
        <v>1982</v>
      </c>
      <c r="E1864" s="1186" t="s">
        <v>2031</v>
      </c>
      <c r="F1864" s="1186" t="s">
        <v>2033</v>
      </c>
      <c r="G1864" s="1186" t="s">
        <v>828</v>
      </c>
      <c r="H1864" s="1186">
        <v>67</v>
      </c>
    </row>
    <row r="1865" spans="1:8" x14ac:dyDescent="0.2">
      <c r="A1865" s="1186" t="s">
        <v>311</v>
      </c>
      <c r="B1865" s="1186" t="s">
        <v>962</v>
      </c>
      <c r="C1865" s="1186" t="s">
        <v>1981</v>
      </c>
      <c r="D1865" s="1186" t="s">
        <v>1982</v>
      </c>
      <c r="E1865" s="1186" t="s">
        <v>2031</v>
      </c>
      <c r="F1865" s="1186" t="s">
        <v>2033</v>
      </c>
      <c r="G1865" s="1186" t="s">
        <v>850</v>
      </c>
      <c r="H1865" s="1186">
        <v>15</v>
      </c>
    </row>
    <row r="1866" spans="1:8" x14ac:dyDescent="0.2">
      <c r="A1866" s="1186" t="s">
        <v>311</v>
      </c>
      <c r="B1866" s="1186" t="s">
        <v>962</v>
      </c>
      <c r="C1866" s="1186" t="s">
        <v>1981</v>
      </c>
      <c r="D1866" s="1186" t="s">
        <v>1982</v>
      </c>
      <c r="E1866" s="1186" t="s">
        <v>2031</v>
      </c>
      <c r="F1866" s="1186" t="s">
        <v>2033</v>
      </c>
      <c r="G1866" s="1186" t="s">
        <v>851</v>
      </c>
      <c r="H1866" s="1186">
        <v>3</v>
      </c>
    </row>
    <row r="1867" spans="1:8" x14ac:dyDescent="0.2">
      <c r="A1867" s="1186" t="s">
        <v>311</v>
      </c>
      <c r="B1867" s="1186" t="s">
        <v>962</v>
      </c>
      <c r="C1867" s="1186" t="s">
        <v>1981</v>
      </c>
      <c r="D1867" s="1186" t="s">
        <v>1982</v>
      </c>
      <c r="E1867" s="1186" t="s">
        <v>2031</v>
      </c>
      <c r="F1867" s="1186" t="s">
        <v>2033</v>
      </c>
      <c r="G1867" s="1186" t="s">
        <v>852</v>
      </c>
      <c r="H1867" s="1186">
        <v>7</v>
      </c>
    </row>
    <row r="1868" spans="1:8" x14ac:dyDescent="0.2">
      <c r="A1868" s="1186" t="s">
        <v>311</v>
      </c>
      <c r="B1868" s="1186" t="s">
        <v>962</v>
      </c>
      <c r="C1868" s="1186" t="s">
        <v>1981</v>
      </c>
      <c r="D1868" s="1186" t="s">
        <v>1982</v>
      </c>
      <c r="E1868" s="1186" t="s">
        <v>2031</v>
      </c>
      <c r="F1868" s="1186" t="s">
        <v>2034</v>
      </c>
      <c r="G1868" s="1186" t="s">
        <v>828</v>
      </c>
      <c r="H1868" s="1186">
        <v>14</v>
      </c>
    </row>
    <row r="1869" spans="1:8" x14ac:dyDescent="0.2">
      <c r="A1869" s="1186" t="s">
        <v>311</v>
      </c>
      <c r="B1869" s="1186" t="s">
        <v>962</v>
      </c>
      <c r="C1869" s="1186" t="s">
        <v>1981</v>
      </c>
      <c r="D1869" s="1186" t="s">
        <v>1982</v>
      </c>
      <c r="E1869" s="1186" t="s">
        <v>2031</v>
      </c>
      <c r="F1869" s="1186" t="s">
        <v>2034</v>
      </c>
      <c r="G1869" s="1186" t="s">
        <v>850</v>
      </c>
      <c r="H1869" s="1186">
        <v>3</v>
      </c>
    </row>
    <row r="1870" spans="1:8" x14ac:dyDescent="0.2">
      <c r="A1870" s="1186" t="s">
        <v>311</v>
      </c>
      <c r="B1870" s="1186" t="s">
        <v>962</v>
      </c>
      <c r="C1870" s="1186" t="s">
        <v>1981</v>
      </c>
      <c r="D1870" s="1186" t="s">
        <v>1982</v>
      </c>
      <c r="E1870" s="1186" t="s">
        <v>2035</v>
      </c>
      <c r="F1870" s="1186" t="s">
        <v>2032</v>
      </c>
      <c r="G1870" s="1186" t="s">
        <v>828</v>
      </c>
      <c r="H1870" s="1186">
        <v>29</v>
      </c>
    </row>
    <row r="1871" spans="1:8" x14ac:dyDescent="0.2">
      <c r="A1871" s="1186" t="s">
        <v>311</v>
      </c>
      <c r="B1871" s="1186" t="s">
        <v>962</v>
      </c>
      <c r="C1871" s="1186" t="s">
        <v>1981</v>
      </c>
      <c r="D1871" s="1186" t="s">
        <v>1982</v>
      </c>
      <c r="E1871" s="1186" t="s">
        <v>2035</v>
      </c>
      <c r="F1871" s="1186" t="s">
        <v>2032</v>
      </c>
      <c r="G1871" s="1186" t="s">
        <v>850</v>
      </c>
      <c r="H1871" s="1186">
        <v>2</v>
      </c>
    </row>
    <row r="1872" spans="1:8" x14ac:dyDescent="0.2">
      <c r="A1872" s="1186" t="s">
        <v>311</v>
      </c>
      <c r="B1872" s="1186" t="s">
        <v>962</v>
      </c>
      <c r="C1872" s="1186" t="s">
        <v>1981</v>
      </c>
      <c r="D1872" s="1186" t="s">
        <v>1982</v>
      </c>
      <c r="E1872" s="1186" t="s">
        <v>2035</v>
      </c>
      <c r="F1872" s="1186" t="s">
        <v>2032</v>
      </c>
      <c r="G1872" s="1186" t="s">
        <v>851</v>
      </c>
      <c r="H1872" s="1186">
        <v>10</v>
      </c>
    </row>
    <row r="1873" spans="1:8" x14ac:dyDescent="0.2">
      <c r="A1873" s="1186" t="s">
        <v>311</v>
      </c>
      <c r="B1873" s="1186" t="s">
        <v>962</v>
      </c>
      <c r="C1873" s="1186" t="s">
        <v>1981</v>
      </c>
      <c r="D1873" s="1186" t="s">
        <v>1982</v>
      </c>
      <c r="E1873" s="1186" t="s">
        <v>2035</v>
      </c>
      <c r="F1873" s="1186" t="s">
        <v>2032</v>
      </c>
      <c r="G1873" s="1186" t="s">
        <v>852</v>
      </c>
      <c r="H1873" s="1186">
        <v>5</v>
      </c>
    </row>
    <row r="1874" spans="1:8" x14ac:dyDescent="0.2">
      <c r="A1874" s="1186" t="s">
        <v>311</v>
      </c>
      <c r="B1874" s="1186" t="s">
        <v>962</v>
      </c>
      <c r="C1874" s="1186" t="s">
        <v>1981</v>
      </c>
      <c r="D1874" s="1186" t="s">
        <v>1982</v>
      </c>
      <c r="E1874" s="1186" t="s">
        <v>2035</v>
      </c>
      <c r="F1874" s="1186" t="s">
        <v>2033</v>
      </c>
      <c r="G1874" s="1186" t="s">
        <v>828</v>
      </c>
      <c r="H1874" s="1186">
        <v>102</v>
      </c>
    </row>
    <row r="1875" spans="1:8" x14ac:dyDescent="0.2">
      <c r="A1875" s="1186" t="s">
        <v>311</v>
      </c>
      <c r="B1875" s="1186" t="s">
        <v>962</v>
      </c>
      <c r="C1875" s="1186" t="s">
        <v>1981</v>
      </c>
      <c r="D1875" s="1186" t="s">
        <v>1982</v>
      </c>
      <c r="E1875" s="1186" t="s">
        <v>2035</v>
      </c>
      <c r="F1875" s="1186" t="s">
        <v>2033</v>
      </c>
      <c r="G1875" s="1186" t="s">
        <v>850</v>
      </c>
      <c r="H1875" s="1186">
        <v>13</v>
      </c>
    </row>
    <row r="1876" spans="1:8" x14ac:dyDescent="0.2">
      <c r="A1876" s="1186" t="s">
        <v>311</v>
      </c>
      <c r="B1876" s="1186" t="s">
        <v>962</v>
      </c>
      <c r="C1876" s="1186" t="s">
        <v>1981</v>
      </c>
      <c r="D1876" s="1186" t="s">
        <v>1982</v>
      </c>
      <c r="E1876" s="1186" t="s">
        <v>2035</v>
      </c>
      <c r="F1876" s="1186" t="s">
        <v>2033</v>
      </c>
      <c r="G1876" s="1186" t="s">
        <v>851</v>
      </c>
      <c r="H1876" s="1186">
        <v>184</v>
      </c>
    </row>
    <row r="1877" spans="1:8" x14ac:dyDescent="0.2">
      <c r="A1877" s="1186" t="s">
        <v>311</v>
      </c>
      <c r="B1877" s="1186" t="s">
        <v>962</v>
      </c>
      <c r="C1877" s="1186" t="s">
        <v>1981</v>
      </c>
      <c r="D1877" s="1186" t="s">
        <v>1982</v>
      </c>
      <c r="E1877" s="1186" t="s">
        <v>2035</v>
      </c>
      <c r="F1877" s="1186" t="s">
        <v>2033</v>
      </c>
      <c r="G1877" s="1186" t="s">
        <v>852</v>
      </c>
      <c r="H1877" s="1186">
        <v>40</v>
      </c>
    </row>
    <row r="1878" spans="1:8" x14ac:dyDescent="0.2">
      <c r="A1878" s="1186" t="s">
        <v>311</v>
      </c>
      <c r="B1878" s="1186" t="s">
        <v>962</v>
      </c>
      <c r="C1878" s="1186" t="s">
        <v>1981</v>
      </c>
      <c r="D1878" s="1186" t="s">
        <v>1982</v>
      </c>
      <c r="E1878" s="1186" t="s">
        <v>2035</v>
      </c>
      <c r="F1878" s="1186" t="s">
        <v>2034</v>
      </c>
      <c r="G1878" s="1186" t="s">
        <v>828</v>
      </c>
      <c r="H1878" s="1186">
        <v>82</v>
      </c>
    </row>
    <row r="1879" spans="1:8" x14ac:dyDescent="0.2">
      <c r="A1879" s="1186" t="s">
        <v>311</v>
      </c>
      <c r="B1879" s="1186" t="s">
        <v>962</v>
      </c>
      <c r="C1879" s="1186" t="s">
        <v>1981</v>
      </c>
      <c r="D1879" s="1186" t="s">
        <v>1982</v>
      </c>
      <c r="E1879" s="1186" t="s">
        <v>2035</v>
      </c>
      <c r="F1879" s="1186" t="s">
        <v>2034</v>
      </c>
      <c r="G1879" s="1186" t="s">
        <v>850</v>
      </c>
      <c r="H1879" s="1186">
        <v>33</v>
      </c>
    </row>
    <row r="1880" spans="1:8" x14ac:dyDescent="0.2">
      <c r="A1880" s="1186" t="s">
        <v>311</v>
      </c>
      <c r="B1880" s="1186" t="s">
        <v>962</v>
      </c>
      <c r="C1880" s="1186" t="s">
        <v>1981</v>
      </c>
      <c r="D1880" s="1186" t="s">
        <v>1982</v>
      </c>
      <c r="E1880" s="1186" t="s">
        <v>2035</v>
      </c>
      <c r="F1880" s="1186" t="s">
        <v>2034</v>
      </c>
      <c r="G1880" s="1186" t="s">
        <v>851</v>
      </c>
      <c r="H1880" s="1186">
        <v>33</v>
      </c>
    </row>
    <row r="1881" spans="1:8" x14ac:dyDescent="0.2">
      <c r="A1881" s="1186" t="s">
        <v>311</v>
      </c>
      <c r="B1881" s="1186" t="s">
        <v>962</v>
      </c>
      <c r="C1881" s="1186" t="s">
        <v>1981</v>
      </c>
      <c r="D1881" s="1186" t="s">
        <v>1982</v>
      </c>
      <c r="E1881" s="1186" t="s">
        <v>2035</v>
      </c>
      <c r="F1881" s="1186" t="s">
        <v>2034</v>
      </c>
      <c r="G1881" s="1186" t="s">
        <v>852</v>
      </c>
      <c r="H1881" s="1186">
        <v>35</v>
      </c>
    </row>
    <row r="1882" spans="1:8" x14ac:dyDescent="0.2">
      <c r="A1882" s="1186" t="s">
        <v>311</v>
      </c>
      <c r="B1882" s="1186" t="s">
        <v>963</v>
      </c>
      <c r="C1882" s="1186" t="s">
        <v>1983</v>
      </c>
      <c r="D1882" s="1186" t="s">
        <v>1982</v>
      </c>
      <c r="E1882" s="1186" t="s">
        <v>2031</v>
      </c>
      <c r="F1882" s="1186" t="s">
        <v>2032</v>
      </c>
      <c r="G1882" s="1186" t="s">
        <v>828</v>
      </c>
      <c r="H1882" s="1186">
        <v>1</v>
      </c>
    </row>
    <row r="1883" spans="1:8" x14ac:dyDescent="0.2">
      <c r="A1883" s="1186" t="s">
        <v>311</v>
      </c>
      <c r="B1883" s="1186" t="s">
        <v>963</v>
      </c>
      <c r="C1883" s="1186" t="s">
        <v>1983</v>
      </c>
      <c r="D1883" s="1186" t="s">
        <v>1982</v>
      </c>
      <c r="E1883" s="1186" t="s">
        <v>2031</v>
      </c>
      <c r="F1883" s="1186" t="s">
        <v>2033</v>
      </c>
      <c r="G1883" s="1186" t="s">
        <v>828</v>
      </c>
      <c r="H1883" s="1186">
        <v>71</v>
      </c>
    </row>
    <row r="1884" spans="1:8" x14ac:dyDescent="0.2">
      <c r="A1884" s="1186" t="s">
        <v>311</v>
      </c>
      <c r="B1884" s="1186" t="s">
        <v>963</v>
      </c>
      <c r="C1884" s="1186" t="s">
        <v>1983</v>
      </c>
      <c r="D1884" s="1186" t="s">
        <v>1982</v>
      </c>
      <c r="E1884" s="1186" t="s">
        <v>2031</v>
      </c>
      <c r="F1884" s="1186" t="s">
        <v>2033</v>
      </c>
      <c r="G1884" s="1186" t="s">
        <v>850</v>
      </c>
      <c r="H1884" s="1186">
        <v>14</v>
      </c>
    </row>
    <row r="1885" spans="1:8" x14ac:dyDescent="0.2">
      <c r="A1885" s="1186" t="s">
        <v>311</v>
      </c>
      <c r="B1885" s="1186" t="s">
        <v>963</v>
      </c>
      <c r="C1885" s="1186" t="s">
        <v>1983</v>
      </c>
      <c r="D1885" s="1186" t="s">
        <v>1982</v>
      </c>
      <c r="E1885" s="1186" t="s">
        <v>2031</v>
      </c>
      <c r="F1885" s="1186" t="s">
        <v>2033</v>
      </c>
      <c r="G1885" s="1186" t="s">
        <v>851</v>
      </c>
      <c r="H1885" s="1186">
        <v>2</v>
      </c>
    </row>
    <row r="1886" spans="1:8" x14ac:dyDescent="0.2">
      <c r="A1886" s="1186" t="s">
        <v>311</v>
      </c>
      <c r="B1886" s="1186" t="s">
        <v>963</v>
      </c>
      <c r="C1886" s="1186" t="s">
        <v>1983</v>
      </c>
      <c r="D1886" s="1186" t="s">
        <v>1982</v>
      </c>
      <c r="E1886" s="1186" t="s">
        <v>2031</v>
      </c>
      <c r="F1886" s="1186" t="s">
        <v>2033</v>
      </c>
      <c r="G1886" s="1186" t="s">
        <v>852</v>
      </c>
      <c r="H1886" s="1186">
        <v>4</v>
      </c>
    </row>
    <row r="1887" spans="1:8" x14ac:dyDescent="0.2">
      <c r="A1887" s="1186" t="s">
        <v>311</v>
      </c>
      <c r="B1887" s="1186" t="s">
        <v>963</v>
      </c>
      <c r="C1887" s="1186" t="s">
        <v>1983</v>
      </c>
      <c r="D1887" s="1186" t="s">
        <v>1982</v>
      </c>
      <c r="E1887" s="1186" t="s">
        <v>2031</v>
      </c>
      <c r="F1887" s="1186" t="s">
        <v>2034</v>
      </c>
      <c r="G1887" s="1186" t="s">
        <v>828</v>
      </c>
      <c r="H1887" s="1186">
        <v>28</v>
      </c>
    </row>
    <row r="1888" spans="1:8" x14ac:dyDescent="0.2">
      <c r="A1888" s="1186" t="s">
        <v>311</v>
      </c>
      <c r="B1888" s="1186" t="s">
        <v>963</v>
      </c>
      <c r="C1888" s="1186" t="s">
        <v>1983</v>
      </c>
      <c r="D1888" s="1186" t="s">
        <v>1982</v>
      </c>
      <c r="E1888" s="1186" t="s">
        <v>2031</v>
      </c>
      <c r="F1888" s="1186" t="s">
        <v>2034</v>
      </c>
      <c r="G1888" s="1186" t="s">
        <v>850</v>
      </c>
      <c r="H1888" s="1186">
        <v>4</v>
      </c>
    </row>
    <row r="1889" spans="1:8" x14ac:dyDescent="0.2">
      <c r="A1889" s="1186" t="s">
        <v>311</v>
      </c>
      <c r="B1889" s="1186" t="s">
        <v>963</v>
      </c>
      <c r="C1889" s="1186" t="s">
        <v>1983</v>
      </c>
      <c r="D1889" s="1186" t="s">
        <v>1982</v>
      </c>
      <c r="E1889" s="1186" t="s">
        <v>2035</v>
      </c>
      <c r="F1889" s="1186" t="s">
        <v>2032</v>
      </c>
      <c r="G1889" s="1186" t="s">
        <v>828</v>
      </c>
      <c r="H1889" s="1186">
        <v>23</v>
      </c>
    </row>
    <row r="1890" spans="1:8" x14ac:dyDescent="0.2">
      <c r="A1890" s="1186" t="s">
        <v>311</v>
      </c>
      <c r="B1890" s="1186" t="s">
        <v>963</v>
      </c>
      <c r="C1890" s="1186" t="s">
        <v>1983</v>
      </c>
      <c r="D1890" s="1186" t="s">
        <v>1982</v>
      </c>
      <c r="E1890" s="1186" t="s">
        <v>2035</v>
      </c>
      <c r="F1890" s="1186" t="s">
        <v>2032</v>
      </c>
      <c r="G1890" s="1186" t="s">
        <v>850</v>
      </c>
      <c r="H1890" s="1186">
        <v>2</v>
      </c>
    </row>
    <row r="1891" spans="1:8" x14ac:dyDescent="0.2">
      <c r="A1891" s="1186" t="s">
        <v>311</v>
      </c>
      <c r="B1891" s="1186" t="s">
        <v>963</v>
      </c>
      <c r="C1891" s="1186" t="s">
        <v>1983</v>
      </c>
      <c r="D1891" s="1186" t="s">
        <v>1982</v>
      </c>
      <c r="E1891" s="1186" t="s">
        <v>2035</v>
      </c>
      <c r="F1891" s="1186" t="s">
        <v>2032</v>
      </c>
      <c r="G1891" s="1186" t="s">
        <v>851</v>
      </c>
      <c r="H1891" s="1186">
        <v>12</v>
      </c>
    </row>
    <row r="1892" spans="1:8" x14ac:dyDescent="0.2">
      <c r="A1892" s="1186" t="s">
        <v>311</v>
      </c>
      <c r="B1892" s="1186" t="s">
        <v>963</v>
      </c>
      <c r="C1892" s="1186" t="s">
        <v>1983</v>
      </c>
      <c r="D1892" s="1186" t="s">
        <v>1982</v>
      </c>
      <c r="E1892" s="1186" t="s">
        <v>2035</v>
      </c>
      <c r="F1892" s="1186" t="s">
        <v>2032</v>
      </c>
      <c r="G1892" s="1186" t="s">
        <v>852</v>
      </c>
      <c r="H1892" s="1186">
        <v>4</v>
      </c>
    </row>
    <row r="1893" spans="1:8" x14ac:dyDescent="0.2">
      <c r="A1893" s="1186" t="s">
        <v>311</v>
      </c>
      <c r="B1893" s="1186" t="s">
        <v>963</v>
      </c>
      <c r="C1893" s="1186" t="s">
        <v>1983</v>
      </c>
      <c r="D1893" s="1186" t="s">
        <v>1982</v>
      </c>
      <c r="E1893" s="1186" t="s">
        <v>2035</v>
      </c>
      <c r="F1893" s="1186" t="s">
        <v>2033</v>
      </c>
      <c r="G1893" s="1186" t="s">
        <v>828</v>
      </c>
      <c r="H1893" s="1186">
        <v>81</v>
      </c>
    </row>
    <row r="1894" spans="1:8" x14ac:dyDescent="0.2">
      <c r="A1894" s="1186" t="s">
        <v>311</v>
      </c>
      <c r="B1894" s="1186" t="s">
        <v>963</v>
      </c>
      <c r="C1894" s="1186" t="s">
        <v>1983</v>
      </c>
      <c r="D1894" s="1186" t="s">
        <v>1982</v>
      </c>
      <c r="E1894" s="1186" t="s">
        <v>2035</v>
      </c>
      <c r="F1894" s="1186" t="s">
        <v>2033</v>
      </c>
      <c r="G1894" s="1186" t="s">
        <v>850</v>
      </c>
      <c r="H1894" s="1186">
        <v>23</v>
      </c>
    </row>
    <row r="1895" spans="1:8" x14ac:dyDescent="0.2">
      <c r="A1895" s="1186" t="s">
        <v>311</v>
      </c>
      <c r="B1895" s="1186" t="s">
        <v>963</v>
      </c>
      <c r="C1895" s="1186" t="s">
        <v>1983</v>
      </c>
      <c r="D1895" s="1186" t="s">
        <v>1982</v>
      </c>
      <c r="E1895" s="1186" t="s">
        <v>2035</v>
      </c>
      <c r="F1895" s="1186" t="s">
        <v>2033</v>
      </c>
      <c r="G1895" s="1186" t="s">
        <v>851</v>
      </c>
      <c r="H1895" s="1186">
        <v>177</v>
      </c>
    </row>
    <row r="1896" spans="1:8" x14ac:dyDescent="0.2">
      <c r="A1896" s="1186" t="s">
        <v>311</v>
      </c>
      <c r="B1896" s="1186" t="s">
        <v>963</v>
      </c>
      <c r="C1896" s="1186" t="s">
        <v>1983</v>
      </c>
      <c r="D1896" s="1186" t="s">
        <v>1982</v>
      </c>
      <c r="E1896" s="1186" t="s">
        <v>2035</v>
      </c>
      <c r="F1896" s="1186" t="s">
        <v>2033</v>
      </c>
      <c r="G1896" s="1186" t="s">
        <v>852</v>
      </c>
      <c r="H1896" s="1186">
        <v>42</v>
      </c>
    </row>
    <row r="1897" spans="1:8" x14ac:dyDescent="0.2">
      <c r="A1897" s="1186" t="s">
        <v>311</v>
      </c>
      <c r="B1897" s="1186" t="s">
        <v>963</v>
      </c>
      <c r="C1897" s="1186" t="s">
        <v>1983</v>
      </c>
      <c r="D1897" s="1186" t="s">
        <v>1982</v>
      </c>
      <c r="E1897" s="1186" t="s">
        <v>2035</v>
      </c>
      <c r="F1897" s="1186" t="s">
        <v>2034</v>
      </c>
      <c r="G1897" s="1186" t="s">
        <v>828</v>
      </c>
      <c r="H1897" s="1186">
        <v>82</v>
      </c>
    </row>
    <row r="1898" spans="1:8" x14ac:dyDescent="0.2">
      <c r="A1898" s="1186" t="s">
        <v>311</v>
      </c>
      <c r="B1898" s="1186" t="s">
        <v>963</v>
      </c>
      <c r="C1898" s="1186" t="s">
        <v>1983</v>
      </c>
      <c r="D1898" s="1186" t="s">
        <v>1982</v>
      </c>
      <c r="E1898" s="1186" t="s">
        <v>2035</v>
      </c>
      <c r="F1898" s="1186" t="s">
        <v>2034</v>
      </c>
      <c r="G1898" s="1186" t="s">
        <v>850</v>
      </c>
      <c r="H1898" s="1186">
        <v>26</v>
      </c>
    </row>
    <row r="1899" spans="1:8" x14ac:dyDescent="0.2">
      <c r="A1899" s="1186" t="s">
        <v>311</v>
      </c>
      <c r="B1899" s="1186" t="s">
        <v>963</v>
      </c>
      <c r="C1899" s="1186" t="s">
        <v>1983</v>
      </c>
      <c r="D1899" s="1186" t="s">
        <v>1982</v>
      </c>
      <c r="E1899" s="1186" t="s">
        <v>2035</v>
      </c>
      <c r="F1899" s="1186" t="s">
        <v>2034</v>
      </c>
      <c r="G1899" s="1186" t="s">
        <v>851</v>
      </c>
      <c r="H1899" s="1186">
        <v>42</v>
      </c>
    </row>
    <row r="1900" spans="1:8" x14ac:dyDescent="0.2">
      <c r="A1900" s="1186" t="s">
        <v>311</v>
      </c>
      <c r="B1900" s="1186" t="s">
        <v>963</v>
      </c>
      <c r="C1900" s="1186" t="s">
        <v>1983</v>
      </c>
      <c r="D1900" s="1186" t="s">
        <v>1982</v>
      </c>
      <c r="E1900" s="1186" t="s">
        <v>2035</v>
      </c>
      <c r="F1900" s="1186" t="s">
        <v>2034</v>
      </c>
      <c r="G1900" s="1186" t="s">
        <v>852</v>
      </c>
      <c r="H1900" s="1186">
        <v>22</v>
      </c>
    </row>
    <row r="1901" spans="1:8" x14ac:dyDescent="0.2">
      <c r="A1901" s="1186" t="s">
        <v>311</v>
      </c>
      <c r="B1901" s="1186" t="s">
        <v>964</v>
      </c>
      <c r="C1901" s="1186" t="s">
        <v>1983</v>
      </c>
      <c r="D1901" s="1186" t="s">
        <v>1984</v>
      </c>
      <c r="E1901" s="1186" t="s">
        <v>2031</v>
      </c>
      <c r="F1901" s="1186" t="s">
        <v>2032</v>
      </c>
      <c r="G1901" s="1186" t="s">
        <v>828</v>
      </c>
      <c r="H1901" s="1186">
        <v>4</v>
      </c>
    </row>
    <row r="1902" spans="1:8" x14ac:dyDescent="0.2">
      <c r="A1902" s="1186" t="s">
        <v>311</v>
      </c>
      <c r="B1902" s="1186" t="s">
        <v>964</v>
      </c>
      <c r="C1902" s="1186" t="s">
        <v>1983</v>
      </c>
      <c r="D1902" s="1186" t="s">
        <v>1984</v>
      </c>
      <c r="E1902" s="1186" t="s">
        <v>2031</v>
      </c>
      <c r="F1902" s="1186" t="s">
        <v>2032</v>
      </c>
      <c r="G1902" s="1186" t="s">
        <v>852</v>
      </c>
      <c r="H1902" s="1186">
        <v>1</v>
      </c>
    </row>
    <row r="1903" spans="1:8" x14ac:dyDescent="0.2">
      <c r="A1903" s="1186" t="s">
        <v>311</v>
      </c>
      <c r="B1903" s="1186" t="s">
        <v>964</v>
      </c>
      <c r="C1903" s="1186" t="s">
        <v>1983</v>
      </c>
      <c r="D1903" s="1186" t="s">
        <v>1984</v>
      </c>
      <c r="E1903" s="1186" t="s">
        <v>2031</v>
      </c>
      <c r="F1903" s="1186" t="s">
        <v>2033</v>
      </c>
      <c r="G1903" s="1186" t="s">
        <v>828</v>
      </c>
      <c r="H1903" s="1186">
        <v>57</v>
      </c>
    </row>
    <row r="1904" spans="1:8" x14ac:dyDescent="0.2">
      <c r="A1904" s="1186" t="s">
        <v>311</v>
      </c>
      <c r="B1904" s="1186" t="s">
        <v>964</v>
      </c>
      <c r="C1904" s="1186" t="s">
        <v>1983</v>
      </c>
      <c r="D1904" s="1186" t="s">
        <v>1984</v>
      </c>
      <c r="E1904" s="1186" t="s">
        <v>2031</v>
      </c>
      <c r="F1904" s="1186" t="s">
        <v>2033</v>
      </c>
      <c r="G1904" s="1186" t="s">
        <v>850</v>
      </c>
      <c r="H1904" s="1186">
        <v>5</v>
      </c>
    </row>
    <row r="1905" spans="1:8" x14ac:dyDescent="0.2">
      <c r="A1905" s="1186" t="s">
        <v>311</v>
      </c>
      <c r="B1905" s="1186" t="s">
        <v>964</v>
      </c>
      <c r="C1905" s="1186" t="s">
        <v>1983</v>
      </c>
      <c r="D1905" s="1186" t="s">
        <v>1984</v>
      </c>
      <c r="E1905" s="1186" t="s">
        <v>2031</v>
      </c>
      <c r="F1905" s="1186" t="s">
        <v>2033</v>
      </c>
      <c r="G1905" s="1186" t="s">
        <v>851</v>
      </c>
      <c r="H1905" s="1186">
        <v>6</v>
      </c>
    </row>
    <row r="1906" spans="1:8" x14ac:dyDescent="0.2">
      <c r="A1906" s="1186" t="s">
        <v>311</v>
      </c>
      <c r="B1906" s="1186" t="s">
        <v>964</v>
      </c>
      <c r="C1906" s="1186" t="s">
        <v>1983</v>
      </c>
      <c r="D1906" s="1186" t="s">
        <v>1984</v>
      </c>
      <c r="E1906" s="1186" t="s">
        <v>2031</v>
      </c>
      <c r="F1906" s="1186" t="s">
        <v>2033</v>
      </c>
      <c r="G1906" s="1186" t="s">
        <v>852</v>
      </c>
      <c r="H1906" s="1186">
        <v>1</v>
      </c>
    </row>
    <row r="1907" spans="1:8" x14ac:dyDescent="0.2">
      <c r="A1907" s="1186" t="s">
        <v>311</v>
      </c>
      <c r="B1907" s="1186" t="s">
        <v>964</v>
      </c>
      <c r="C1907" s="1186" t="s">
        <v>1983</v>
      </c>
      <c r="D1907" s="1186" t="s">
        <v>1984</v>
      </c>
      <c r="E1907" s="1186" t="s">
        <v>2031</v>
      </c>
      <c r="F1907" s="1186" t="s">
        <v>2034</v>
      </c>
      <c r="G1907" s="1186" t="s">
        <v>828</v>
      </c>
      <c r="H1907" s="1186">
        <v>20</v>
      </c>
    </row>
    <row r="1908" spans="1:8" x14ac:dyDescent="0.2">
      <c r="A1908" s="1186" t="s">
        <v>311</v>
      </c>
      <c r="B1908" s="1186" t="s">
        <v>964</v>
      </c>
      <c r="C1908" s="1186" t="s">
        <v>1983</v>
      </c>
      <c r="D1908" s="1186" t="s">
        <v>1984</v>
      </c>
      <c r="E1908" s="1186" t="s">
        <v>2031</v>
      </c>
      <c r="F1908" s="1186" t="s">
        <v>2034</v>
      </c>
      <c r="G1908" s="1186" t="s">
        <v>850</v>
      </c>
      <c r="H1908" s="1186">
        <v>2</v>
      </c>
    </row>
    <row r="1909" spans="1:8" x14ac:dyDescent="0.2">
      <c r="A1909" s="1186" t="s">
        <v>311</v>
      </c>
      <c r="B1909" s="1186" t="s">
        <v>964</v>
      </c>
      <c r="C1909" s="1186" t="s">
        <v>1983</v>
      </c>
      <c r="D1909" s="1186" t="s">
        <v>1984</v>
      </c>
      <c r="E1909" s="1186" t="s">
        <v>2031</v>
      </c>
      <c r="F1909" s="1186" t="s">
        <v>2034</v>
      </c>
      <c r="G1909" s="1186" t="s">
        <v>851</v>
      </c>
      <c r="H1909" s="1186">
        <v>2</v>
      </c>
    </row>
    <row r="1910" spans="1:8" x14ac:dyDescent="0.2">
      <c r="A1910" s="1186" t="s">
        <v>311</v>
      </c>
      <c r="B1910" s="1186" t="s">
        <v>964</v>
      </c>
      <c r="C1910" s="1186" t="s">
        <v>1983</v>
      </c>
      <c r="D1910" s="1186" t="s">
        <v>1984</v>
      </c>
      <c r="E1910" s="1186" t="s">
        <v>2035</v>
      </c>
      <c r="F1910" s="1186" t="s">
        <v>2032</v>
      </c>
      <c r="G1910" s="1186" t="s">
        <v>828</v>
      </c>
      <c r="H1910" s="1186">
        <v>15</v>
      </c>
    </row>
    <row r="1911" spans="1:8" x14ac:dyDescent="0.2">
      <c r="A1911" s="1186" t="s">
        <v>311</v>
      </c>
      <c r="B1911" s="1186" t="s">
        <v>964</v>
      </c>
      <c r="C1911" s="1186" t="s">
        <v>1983</v>
      </c>
      <c r="D1911" s="1186" t="s">
        <v>1984</v>
      </c>
      <c r="E1911" s="1186" t="s">
        <v>2035</v>
      </c>
      <c r="F1911" s="1186" t="s">
        <v>2032</v>
      </c>
      <c r="G1911" s="1186" t="s">
        <v>850</v>
      </c>
      <c r="H1911" s="1186">
        <v>1</v>
      </c>
    </row>
    <row r="1912" spans="1:8" x14ac:dyDescent="0.2">
      <c r="A1912" s="1186" t="s">
        <v>311</v>
      </c>
      <c r="B1912" s="1186" t="s">
        <v>964</v>
      </c>
      <c r="C1912" s="1186" t="s">
        <v>1983</v>
      </c>
      <c r="D1912" s="1186" t="s">
        <v>1984</v>
      </c>
      <c r="E1912" s="1186" t="s">
        <v>2035</v>
      </c>
      <c r="F1912" s="1186" t="s">
        <v>2032</v>
      </c>
      <c r="G1912" s="1186" t="s">
        <v>851</v>
      </c>
      <c r="H1912" s="1186">
        <v>5</v>
      </c>
    </row>
    <row r="1913" spans="1:8" x14ac:dyDescent="0.2">
      <c r="A1913" s="1186" t="s">
        <v>311</v>
      </c>
      <c r="B1913" s="1186" t="s">
        <v>964</v>
      </c>
      <c r="C1913" s="1186" t="s">
        <v>1983</v>
      </c>
      <c r="D1913" s="1186" t="s">
        <v>1984</v>
      </c>
      <c r="E1913" s="1186" t="s">
        <v>2035</v>
      </c>
      <c r="F1913" s="1186" t="s">
        <v>2032</v>
      </c>
      <c r="G1913" s="1186" t="s">
        <v>852</v>
      </c>
      <c r="H1913" s="1186">
        <v>11</v>
      </c>
    </row>
    <row r="1914" spans="1:8" x14ac:dyDescent="0.2">
      <c r="A1914" s="1186" t="s">
        <v>311</v>
      </c>
      <c r="B1914" s="1186" t="s">
        <v>964</v>
      </c>
      <c r="C1914" s="1186" t="s">
        <v>1983</v>
      </c>
      <c r="D1914" s="1186" t="s">
        <v>1984</v>
      </c>
      <c r="E1914" s="1186" t="s">
        <v>2035</v>
      </c>
      <c r="F1914" s="1186" t="s">
        <v>2033</v>
      </c>
      <c r="G1914" s="1186" t="s">
        <v>828</v>
      </c>
      <c r="H1914" s="1186">
        <v>93</v>
      </c>
    </row>
    <row r="1915" spans="1:8" x14ac:dyDescent="0.2">
      <c r="A1915" s="1186" t="s">
        <v>311</v>
      </c>
      <c r="B1915" s="1186" t="s">
        <v>964</v>
      </c>
      <c r="C1915" s="1186" t="s">
        <v>1983</v>
      </c>
      <c r="D1915" s="1186" t="s">
        <v>1984</v>
      </c>
      <c r="E1915" s="1186" t="s">
        <v>2035</v>
      </c>
      <c r="F1915" s="1186" t="s">
        <v>2033</v>
      </c>
      <c r="G1915" s="1186" t="s">
        <v>850</v>
      </c>
      <c r="H1915" s="1186">
        <v>12</v>
      </c>
    </row>
    <row r="1916" spans="1:8" x14ac:dyDescent="0.2">
      <c r="A1916" s="1186" t="s">
        <v>311</v>
      </c>
      <c r="B1916" s="1186" t="s">
        <v>964</v>
      </c>
      <c r="C1916" s="1186" t="s">
        <v>1983</v>
      </c>
      <c r="D1916" s="1186" t="s">
        <v>1984</v>
      </c>
      <c r="E1916" s="1186" t="s">
        <v>2035</v>
      </c>
      <c r="F1916" s="1186" t="s">
        <v>2033</v>
      </c>
      <c r="G1916" s="1186" t="s">
        <v>851</v>
      </c>
      <c r="H1916" s="1186">
        <v>194</v>
      </c>
    </row>
    <row r="1917" spans="1:8" x14ac:dyDescent="0.2">
      <c r="A1917" s="1186" t="s">
        <v>311</v>
      </c>
      <c r="B1917" s="1186" t="s">
        <v>964</v>
      </c>
      <c r="C1917" s="1186" t="s">
        <v>1983</v>
      </c>
      <c r="D1917" s="1186" t="s">
        <v>1984</v>
      </c>
      <c r="E1917" s="1186" t="s">
        <v>2035</v>
      </c>
      <c r="F1917" s="1186" t="s">
        <v>2033</v>
      </c>
      <c r="G1917" s="1186" t="s">
        <v>852</v>
      </c>
      <c r="H1917" s="1186">
        <v>36</v>
      </c>
    </row>
    <row r="1918" spans="1:8" x14ac:dyDescent="0.2">
      <c r="A1918" s="1186" t="s">
        <v>311</v>
      </c>
      <c r="B1918" s="1186" t="s">
        <v>964</v>
      </c>
      <c r="C1918" s="1186" t="s">
        <v>1983</v>
      </c>
      <c r="D1918" s="1186" t="s">
        <v>1984</v>
      </c>
      <c r="E1918" s="1186" t="s">
        <v>2035</v>
      </c>
      <c r="F1918" s="1186" t="s">
        <v>2034</v>
      </c>
      <c r="G1918" s="1186" t="s">
        <v>828</v>
      </c>
      <c r="H1918" s="1186">
        <v>63</v>
      </c>
    </row>
    <row r="1919" spans="1:8" x14ac:dyDescent="0.2">
      <c r="A1919" s="1186" t="s">
        <v>311</v>
      </c>
      <c r="B1919" s="1186" t="s">
        <v>964</v>
      </c>
      <c r="C1919" s="1186" t="s">
        <v>1983</v>
      </c>
      <c r="D1919" s="1186" t="s">
        <v>1984</v>
      </c>
      <c r="E1919" s="1186" t="s">
        <v>2035</v>
      </c>
      <c r="F1919" s="1186" t="s">
        <v>2034</v>
      </c>
      <c r="G1919" s="1186" t="s">
        <v>850</v>
      </c>
      <c r="H1919" s="1186">
        <v>56</v>
      </c>
    </row>
    <row r="1920" spans="1:8" x14ac:dyDescent="0.2">
      <c r="A1920" s="1186" t="s">
        <v>311</v>
      </c>
      <c r="B1920" s="1186" t="s">
        <v>964</v>
      </c>
      <c r="C1920" s="1186" t="s">
        <v>1983</v>
      </c>
      <c r="D1920" s="1186" t="s">
        <v>1984</v>
      </c>
      <c r="E1920" s="1186" t="s">
        <v>2035</v>
      </c>
      <c r="F1920" s="1186" t="s">
        <v>2034</v>
      </c>
      <c r="G1920" s="1186" t="s">
        <v>851</v>
      </c>
      <c r="H1920" s="1186">
        <v>23</v>
      </c>
    </row>
    <row r="1921" spans="1:8" x14ac:dyDescent="0.2">
      <c r="A1921" s="1186" t="s">
        <v>311</v>
      </c>
      <c r="B1921" s="1186" t="s">
        <v>964</v>
      </c>
      <c r="C1921" s="1186" t="s">
        <v>1983</v>
      </c>
      <c r="D1921" s="1186" t="s">
        <v>1984</v>
      </c>
      <c r="E1921" s="1186" t="s">
        <v>2035</v>
      </c>
      <c r="F1921" s="1186" t="s">
        <v>2034</v>
      </c>
      <c r="G1921" s="1186" t="s">
        <v>852</v>
      </c>
      <c r="H1921" s="1186">
        <v>37</v>
      </c>
    </row>
    <row r="1922" spans="1:8" x14ac:dyDescent="0.2">
      <c r="A1922" s="1186" t="s">
        <v>311</v>
      </c>
      <c r="B1922" s="1186" t="s">
        <v>965</v>
      </c>
      <c r="C1922" s="1186" t="s">
        <v>1983</v>
      </c>
      <c r="D1922" s="1186" t="s">
        <v>1984</v>
      </c>
      <c r="E1922" s="1186" t="s">
        <v>2031</v>
      </c>
      <c r="F1922" s="1186" t="s">
        <v>2032</v>
      </c>
      <c r="G1922" s="1186" t="s">
        <v>828</v>
      </c>
      <c r="H1922" s="1186">
        <v>3</v>
      </c>
    </row>
    <row r="1923" spans="1:8" x14ac:dyDescent="0.2">
      <c r="A1923" s="1186" t="s">
        <v>311</v>
      </c>
      <c r="B1923" s="1186" t="s">
        <v>965</v>
      </c>
      <c r="C1923" s="1186" t="s">
        <v>1983</v>
      </c>
      <c r="D1923" s="1186" t="s">
        <v>1984</v>
      </c>
      <c r="E1923" s="1186" t="s">
        <v>2031</v>
      </c>
      <c r="F1923" s="1186" t="s">
        <v>2032</v>
      </c>
      <c r="G1923" s="1186" t="s">
        <v>851</v>
      </c>
      <c r="H1923" s="1186">
        <v>1</v>
      </c>
    </row>
    <row r="1924" spans="1:8" x14ac:dyDescent="0.2">
      <c r="A1924" s="1186" t="s">
        <v>311</v>
      </c>
      <c r="B1924" s="1186" t="s">
        <v>965</v>
      </c>
      <c r="C1924" s="1186" t="s">
        <v>1983</v>
      </c>
      <c r="D1924" s="1186" t="s">
        <v>1984</v>
      </c>
      <c r="E1924" s="1186" t="s">
        <v>2031</v>
      </c>
      <c r="F1924" s="1186" t="s">
        <v>2033</v>
      </c>
      <c r="G1924" s="1186" t="s">
        <v>828</v>
      </c>
      <c r="H1924" s="1186">
        <v>45</v>
      </c>
    </row>
    <row r="1925" spans="1:8" x14ac:dyDescent="0.2">
      <c r="A1925" s="1186" t="s">
        <v>311</v>
      </c>
      <c r="B1925" s="1186" t="s">
        <v>965</v>
      </c>
      <c r="C1925" s="1186" t="s">
        <v>1983</v>
      </c>
      <c r="D1925" s="1186" t="s">
        <v>1984</v>
      </c>
      <c r="E1925" s="1186" t="s">
        <v>2031</v>
      </c>
      <c r="F1925" s="1186" t="s">
        <v>2033</v>
      </c>
      <c r="G1925" s="1186" t="s">
        <v>850</v>
      </c>
      <c r="H1925" s="1186">
        <v>13</v>
      </c>
    </row>
    <row r="1926" spans="1:8" x14ac:dyDescent="0.2">
      <c r="A1926" s="1186" t="s">
        <v>311</v>
      </c>
      <c r="B1926" s="1186" t="s">
        <v>965</v>
      </c>
      <c r="C1926" s="1186" t="s">
        <v>1983</v>
      </c>
      <c r="D1926" s="1186" t="s">
        <v>1984</v>
      </c>
      <c r="E1926" s="1186" t="s">
        <v>2031</v>
      </c>
      <c r="F1926" s="1186" t="s">
        <v>2033</v>
      </c>
      <c r="G1926" s="1186" t="s">
        <v>851</v>
      </c>
      <c r="H1926" s="1186">
        <v>10</v>
      </c>
    </row>
    <row r="1927" spans="1:8" x14ac:dyDescent="0.2">
      <c r="A1927" s="1186" t="s">
        <v>311</v>
      </c>
      <c r="B1927" s="1186" t="s">
        <v>965</v>
      </c>
      <c r="C1927" s="1186" t="s">
        <v>1983</v>
      </c>
      <c r="D1927" s="1186" t="s">
        <v>1984</v>
      </c>
      <c r="E1927" s="1186" t="s">
        <v>2031</v>
      </c>
      <c r="F1927" s="1186" t="s">
        <v>2033</v>
      </c>
      <c r="G1927" s="1186" t="s">
        <v>852</v>
      </c>
      <c r="H1927" s="1186">
        <v>2</v>
      </c>
    </row>
    <row r="1928" spans="1:8" x14ac:dyDescent="0.2">
      <c r="A1928" s="1186" t="s">
        <v>311</v>
      </c>
      <c r="B1928" s="1186" t="s">
        <v>965</v>
      </c>
      <c r="C1928" s="1186" t="s">
        <v>1983</v>
      </c>
      <c r="D1928" s="1186" t="s">
        <v>1984</v>
      </c>
      <c r="E1928" s="1186" t="s">
        <v>2031</v>
      </c>
      <c r="F1928" s="1186" t="s">
        <v>2034</v>
      </c>
      <c r="G1928" s="1186" t="s">
        <v>828</v>
      </c>
      <c r="H1928" s="1186">
        <v>17</v>
      </c>
    </row>
    <row r="1929" spans="1:8" x14ac:dyDescent="0.2">
      <c r="A1929" s="1186" t="s">
        <v>311</v>
      </c>
      <c r="B1929" s="1186" t="s">
        <v>965</v>
      </c>
      <c r="C1929" s="1186" t="s">
        <v>1983</v>
      </c>
      <c r="D1929" s="1186" t="s">
        <v>1984</v>
      </c>
      <c r="E1929" s="1186" t="s">
        <v>2031</v>
      </c>
      <c r="F1929" s="1186" t="s">
        <v>2034</v>
      </c>
      <c r="G1929" s="1186" t="s">
        <v>850</v>
      </c>
      <c r="H1929" s="1186">
        <v>7</v>
      </c>
    </row>
    <row r="1930" spans="1:8" x14ac:dyDescent="0.2">
      <c r="A1930" s="1186" t="s">
        <v>311</v>
      </c>
      <c r="B1930" s="1186" t="s">
        <v>965</v>
      </c>
      <c r="C1930" s="1186" t="s">
        <v>1983</v>
      </c>
      <c r="D1930" s="1186" t="s">
        <v>1984</v>
      </c>
      <c r="E1930" s="1186" t="s">
        <v>2031</v>
      </c>
      <c r="F1930" s="1186" t="s">
        <v>2034</v>
      </c>
      <c r="G1930" s="1186" t="s">
        <v>851</v>
      </c>
      <c r="H1930" s="1186">
        <v>1</v>
      </c>
    </row>
    <row r="1931" spans="1:8" x14ac:dyDescent="0.2">
      <c r="A1931" s="1186" t="s">
        <v>311</v>
      </c>
      <c r="B1931" s="1186" t="s">
        <v>965</v>
      </c>
      <c r="C1931" s="1186" t="s">
        <v>1983</v>
      </c>
      <c r="D1931" s="1186" t="s">
        <v>1984</v>
      </c>
      <c r="E1931" s="1186" t="s">
        <v>2035</v>
      </c>
      <c r="F1931" s="1186" t="s">
        <v>2032</v>
      </c>
      <c r="G1931" s="1186" t="s">
        <v>828</v>
      </c>
      <c r="H1931" s="1186">
        <v>16</v>
      </c>
    </row>
    <row r="1932" spans="1:8" x14ac:dyDescent="0.2">
      <c r="A1932" s="1186" t="s">
        <v>311</v>
      </c>
      <c r="B1932" s="1186" t="s">
        <v>965</v>
      </c>
      <c r="C1932" s="1186" t="s">
        <v>1983</v>
      </c>
      <c r="D1932" s="1186" t="s">
        <v>1984</v>
      </c>
      <c r="E1932" s="1186" t="s">
        <v>2035</v>
      </c>
      <c r="F1932" s="1186" t="s">
        <v>2032</v>
      </c>
      <c r="G1932" s="1186" t="s">
        <v>850</v>
      </c>
      <c r="H1932" s="1186">
        <v>1</v>
      </c>
    </row>
    <row r="1933" spans="1:8" x14ac:dyDescent="0.2">
      <c r="A1933" s="1186" t="s">
        <v>311</v>
      </c>
      <c r="B1933" s="1186" t="s">
        <v>965</v>
      </c>
      <c r="C1933" s="1186" t="s">
        <v>1983</v>
      </c>
      <c r="D1933" s="1186" t="s">
        <v>1984</v>
      </c>
      <c r="E1933" s="1186" t="s">
        <v>2035</v>
      </c>
      <c r="F1933" s="1186" t="s">
        <v>2032</v>
      </c>
      <c r="G1933" s="1186" t="s">
        <v>851</v>
      </c>
      <c r="H1933" s="1186">
        <v>10</v>
      </c>
    </row>
    <row r="1934" spans="1:8" x14ac:dyDescent="0.2">
      <c r="A1934" s="1186" t="s">
        <v>311</v>
      </c>
      <c r="B1934" s="1186" t="s">
        <v>965</v>
      </c>
      <c r="C1934" s="1186" t="s">
        <v>1983</v>
      </c>
      <c r="D1934" s="1186" t="s">
        <v>1984</v>
      </c>
      <c r="E1934" s="1186" t="s">
        <v>2035</v>
      </c>
      <c r="F1934" s="1186" t="s">
        <v>2032</v>
      </c>
      <c r="G1934" s="1186" t="s">
        <v>852</v>
      </c>
      <c r="H1934" s="1186">
        <v>4</v>
      </c>
    </row>
    <row r="1935" spans="1:8" x14ac:dyDescent="0.2">
      <c r="A1935" s="1186" t="s">
        <v>311</v>
      </c>
      <c r="B1935" s="1186" t="s">
        <v>965</v>
      </c>
      <c r="C1935" s="1186" t="s">
        <v>1983</v>
      </c>
      <c r="D1935" s="1186" t="s">
        <v>1984</v>
      </c>
      <c r="E1935" s="1186" t="s">
        <v>2035</v>
      </c>
      <c r="F1935" s="1186" t="s">
        <v>2033</v>
      </c>
      <c r="G1935" s="1186" t="s">
        <v>828</v>
      </c>
      <c r="H1935" s="1186">
        <v>98</v>
      </c>
    </row>
    <row r="1936" spans="1:8" x14ac:dyDescent="0.2">
      <c r="A1936" s="1186" t="s">
        <v>311</v>
      </c>
      <c r="B1936" s="1186" t="s">
        <v>965</v>
      </c>
      <c r="C1936" s="1186" t="s">
        <v>1983</v>
      </c>
      <c r="D1936" s="1186" t="s">
        <v>1984</v>
      </c>
      <c r="E1936" s="1186" t="s">
        <v>2035</v>
      </c>
      <c r="F1936" s="1186" t="s">
        <v>2033</v>
      </c>
      <c r="G1936" s="1186" t="s">
        <v>850</v>
      </c>
      <c r="H1936" s="1186">
        <v>15</v>
      </c>
    </row>
    <row r="1937" spans="1:8" x14ac:dyDescent="0.2">
      <c r="A1937" s="1186" t="s">
        <v>311</v>
      </c>
      <c r="B1937" s="1186" t="s">
        <v>965</v>
      </c>
      <c r="C1937" s="1186" t="s">
        <v>1983</v>
      </c>
      <c r="D1937" s="1186" t="s">
        <v>1984</v>
      </c>
      <c r="E1937" s="1186" t="s">
        <v>2035</v>
      </c>
      <c r="F1937" s="1186" t="s">
        <v>2033</v>
      </c>
      <c r="G1937" s="1186" t="s">
        <v>851</v>
      </c>
      <c r="H1937" s="1186">
        <v>197</v>
      </c>
    </row>
    <row r="1938" spans="1:8" x14ac:dyDescent="0.2">
      <c r="A1938" s="1186" t="s">
        <v>311</v>
      </c>
      <c r="B1938" s="1186" t="s">
        <v>965</v>
      </c>
      <c r="C1938" s="1186" t="s">
        <v>1983</v>
      </c>
      <c r="D1938" s="1186" t="s">
        <v>1984</v>
      </c>
      <c r="E1938" s="1186" t="s">
        <v>2035</v>
      </c>
      <c r="F1938" s="1186" t="s">
        <v>2033</v>
      </c>
      <c r="G1938" s="1186" t="s">
        <v>852</v>
      </c>
      <c r="H1938" s="1186">
        <v>39</v>
      </c>
    </row>
    <row r="1939" spans="1:8" x14ac:dyDescent="0.2">
      <c r="A1939" s="1186" t="s">
        <v>311</v>
      </c>
      <c r="B1939" s="1186" t="s">
        <v>965</v>
      </c>
      <c r="C1939" s="1186" t="s">
        <v>1983</v>
      </c>
      <c r="D1939" s="1186" t="s">
        <v>1984</v>
      </c>
      <c r="E1939" s="1186" t="s">
        <v>2035</v>
      </c>
      <c r="F1939" s="1186" t="s">
        <v>2034</v>
      </c>
      <c r="G1939" s="1186" t="s">
        <v>828</v>
      </c>
      <c r="H1939" s="1186">
        <v>91</v>
      </c>
    </row>
    <row r="1940" spans="1:8" x14ac:dyDescent="0.2">
      <c r="A1940" s="1186" t="s">
        <v>311</v>
      </c>
      <c r="B1940" s="1186" t="s">
        <v>965</v>
      </c>
      <c r="C1940" s="1186" t="s">
        <v>1983</v>
      </c>
      <c r="D1940" s="1186" t="s">
        <v>1984</v>
      </c>
      <c r="E1940" s="1186" t="s">
        <v>2035</v>
      </c>
      <c r="F1940" s="1186" t="s">
        <v>2034</v>
      </c>
      <c r="G1940" s="1186" t="s">
        <v>850</v>
      </c>
      <c r="H1940" s="1186">
        <v>40</v>
      </c>
    </row>
    <row r="1941" spans="1:8" x14ac:dyDescent="0.2">
      <c r="A1941" s="1186" t="s">
        <v>311</v>
      </c>
      <c r="B1941" s="1186" t="s">
        <v>965</v>
      </c>
      <c r="C1941" s="1186" t="s">
        <v>1983</v>
      </c>
      <c r="D1941" s="1186" t="s">
        <v>1984</v>
      </c>
      <c r="E1941" s="1186" t="s">
        <v>2035</v>
      </c>
      <c r="F1941" s="1186" t="s">
        <v>2034</v>
      </c>
      <c r="G1941" s="1186" t="s">
        <v>851</v>
      </c>
      <c r="H1941" s="1186">
        <v>20</v>
      </c>
    </row>
    <row r="1942" spans="1:8" x14ac:dyDescent="0.2">
      <c r="A1942" s="1186" t="s">
        <v>311</v>
      </c>
      <c r="B1942" s="1186" t="s">
        <v>965</v>
      </c>
      <c r="C1942" s="1186" t="s">
        <v>1983</v>
      </c>
      <c r="D1942" s="1186" t="s">
        <v>1984</v>
      </c>
      <c r="E1942" s="1186" t="s">
        <v>2035</v>
      </c>
      <c r="F1942" s="1186" t="s">
        <v>2034</v>
      </c>
      <c r="G1942" s="1186" t="s">
        <v>852</v>
      </c>
      <c r="H1942" s="1186">
        <v>21</v>
      </c>
    </row>
    <row r="1943" spans="1:8" x14ac:dyDescent="0.2">
      <c r="A1943" s="1186" t="s">
        <v>311</v>
      </c>
      <c r="B1943" s="1186" t="s">
        <v>966</v>
      </c>
      <c r="C1943" s="1186" t="s">
        <v>1985</v>
      </c>
      <c r="D1943" s="1186" t="s">
        <v>1984</v>
      </c>
      <c r="E1943" s="1186" t="s">
        <v>2031</v>
      </c>
      <c r="F1943" s="1186" t="s">
        <v>2032</v>
      </c>
      <c r="G1943" s="1186" t="s">
        <v>828</v>
      </c>
      <c r="H1943" s="1186">
        <v>2</v>
      </c>
    </row>
    <row r="1944" spans="1:8" x14ac:dyDescent="0.2">
      <c r="A1944" s="1186" t="s">
        <v>311</v>
      </c>
      <c r="B1944" s="1186" t="s">
        <v>966</v>
      </c>
      <c r="C1944" s="1186" t="s">
        <v>1985</v>
      </c>
      <c r="D1944" s="1186" t="s">
        <v>1984</v>
      </c>
      <c r="E1944" s="1186" t="s">
        <v>2031</v>
      </c>
      <c r="F1944" s="1186" t="s">
        <v>2033</v>
      </c>
      <c r="G1944" s="1186" t="s">
        <v>828</v>
      </c>
      <c r="H1944" s="1186">
        <v>68</v>
      </c>
    </row>
    <row r="1945" spans="1:8" x14ac:dyDescent="0.2">
      <c r="A1945" s="1186" t="s">
        <v>311</v>
      </c>
      <c r="B1945" s="1186" t="s">
        <v>966</v>
      </c>
      <c r="C1945" s="1186" t="s">
        <v>1985</v>
      </c>
      <c r="D1945" s="1186" t="s">
        <v>1984</v>
      </c>
      <c r="E1945" s="1186" t="s">
        <v>2031</v>
      </c>
      <c r="F1945" s="1186" t="s">
        <v>2033</v>
      </c>
      <c r="G1945" s="1186" t="s">
        <v>850</v>
      </c>
      <c r="H1945" s="1186">
        <v>15</v>
      </c>
    </row>
    <row r="1946" spans="1:8" x14ac:dyDescent="0.2">
      <c r="A1946" s="1186" t="s">
        <v>311</v>
      </c>
      <c r="B1946" s="1186" t="s">
        <v>966</v>
      </c>
      <c r="C1946" s="1186" t="s">
        <v>1985</v>
      </c>
      <c r="D1946" s="1186" t="s">
        <v>1984</v>
      </c>
      <c r="E1946" s="1186" t="s">
        <v>2031</v>
      </c>
      <c r="F1946" s="1186" t="s">
        <v>2033</v>
      </c>
      <c r="G1946" s="1186" t="s">
        <v>851</v>
      </c>
      <c r="H1946" s="1186">
        <v>3</v>
      </c>
    </row>
    <row r="1947" spans="1:8" x14ac:dyDescent="0.2">
      <c r="A1947" s="1186" t="s">
        <v>311</v>
      </c>
      <c r="B1947" s="1186" t="s">
        <v>966</v>
      </c>
      <c r="C1947" s="1186" t="s">
        <v>1985</v>
      </c>
      <c r="D1947" s="1186" t="s">
        <v>1984</v>
      </c>
      <c r="E1947" s="1186" t="s">
        <v>2031</v>
      </c>
      <c r="F1947" s="1186" t="s">
        <v>2034</v>
      </c>
      <c r="G1947" s="1186" t="s">
        <v>828</v>
      </c>
      <c r="H1947" s="1186">
        <v>15</v>
      </c>
    </row>
    <row r="1948" spans="1:8" x14ac:dyDescent="0.2">
      <c r="A1948" s="1186" t="s">
        <v>311</v>
      </c>
      <c r="B1948" s="1186" t="s">
        <v>966</v>
      </c>
      <c r="C1948" s="1186" t="s">
        <v>1985</v>
      </c>
      <c r="D1948" s="1186" t="s">
        <v>1984</v>
      </c>
      <c r="E1948" s="1186" t="s">
        <v>2031</v>
      </c>
      <c r="F1948" s="1186" t="s">
        <v>2034</v>
      </c>
      <c r="G1948" s="1186" t="s">
        <v>850</v>
      </c>
      <c r="H1948" s="1186">
        <v>2</v>
      </c>
    </row>
    <row r="1949" spans="1:8" x14ac:dyDescent="0.2">
      <c r="A1949" s="1186" t="s">
        <v>311</v>
      </c>
      <c r="B1949" s="1186" t="s">
        <v>966</v>
      </c>
      <c r="C1949" s="1186" t="s">
        <v>1985</v>
      </c>
      <c r="D1949" s="1186" t="s">
        <v>1984</v>
      </c>
      <c r="E1949" s="1186" t="s">
        <v>2035</v>
      </c>
      <c r="F1949" s="1186" t="s">
        <v>2032</v>
      </c>
      <c r="G1949" s="1186" t="s">
        <v>828</v>
      </c>
      <c r="H1949" s="1186">
        <v>15</v>
      </c>
    </row>
    <row r="1950" spans="1:8" x14ac:dyDescent="0.2">
      <c r="A1950" s="1186" t="s">
        <v>311</v>
      </c>
      <c r="B1950" s="1186" t="s">
        <v>966</v>
      </c>
      <c r="C1950" s="1186" t="s">
        <v>1985</v>
      </c>
      <c r="D1950" s="1186" t="s">
        <v>1984</v>
      </c>
      <c r="E1950" s="1186" t="s">
        <v>2035</v>
      </c>
      <c r="F1950" s="1186" t="s">
        <v>2032</v>
      </c>
      <c r="G1950" s="1186" t="s">
        <v>850</v>
      </c>
      <c r="H1950" s="1186">
        <v>1</v>
      </c>
    </row>
    <row r="1951" spans="1:8" x14ac:dyDescent="0.2">
      <c r="A1951" s="1186" t="s">
        <v>311</v>
      </c>
      <c r="B1951" s="1186" t="s">
        <v>966</v>
      </c>
      <c r="C1951" s="1186" t="s">
        <v>1985</v>
      </c>
      <c r="D1951" s="1186" t="s">
        <v>1984</v>
      </c>
      <c r="E1951" s="1186" t="s">
        <v>2035</v>
      </c>
      <c r="F1951" s="1186" t="s">
        <v>2032</v>
      </c>
      <c r="G1951" s="1186" t="s">
        <v>851</v>
      </c>
      <c r="H1951" s="1186">
        <v>6</v>
      </c>
    </row>
    <row r="1952" spans="1:8" x14ac:dyDescent="0.2">
      <c r="A1952" s="1186" t="s">
        <v>311</v>
      </c>
      <c r="B1952" s="1186" t="s">
        <v>966</v>
      </c>
      <c r="C1952" s="1186" t="s">
        <v>1985</v>
      </c>
      <c r="D1952" s="1186" t="s">
        <v>1984</v>
      </c>
      <c r="E1952" s="1186" t="s">
        <v>2035</v>
      </c>
      <c r="F1952" s="1186" t="s">
        <v>2032</v>
      </c>
      <c r="G1952" s="1186" t="s">
        <v>852</v>
      </c>
      <c r="H1952" s="1186">
        <v>6</v>
      </c>
    </row>
    <row r="1953" spans="1:8" x14ac:dyDescent="0.2">
      <c r="A1953" s="1186" t="s">
        <v>311</v>
      </c>
      <c r="B1953" s="1186" t="s">
        <v>966</v>
      </c>
      <c r="C1953" s="1186" t="s">
        <v>1985</v>
      </c>
      <c r="D1953" s="1186" t="s">
        <v>1984</v>
      </c>
      <c r="E1953" s="1186" t="s">
        <v>2035</v>
      </c>
      <c r="F1953" s="1186" t="s">
        <v>2033</v>
      </c>
      <c r="G1953" s="1186" t="s">
        <v>828</v>
      </c>
      <c r="H1953" s="1186">
        <v>81</v>
      </c>
    </row>
    <row r="1954" spans="1:8" x14ac:dyDescent="0.2">
      <c r="A1954" s="1186" t="s">
        <v>311</v>
      </c>
      <c r="B1954" s="1186" t="s">
        <v>966</v>
      </c>
      <c r="C1954" s="1186" t="s">
        <v>1985</v>
      </c>
      <c r="D1954" s="1186" t="s">
        <v>1984</v>
      </c>
      <c r="E1954" s="1186" t="s">
        <v>2035</v>
      </c>
      <c r="F1954" s="1186" t="s">
        <v>2033</v>
      </c>
      <c r="G1954" s="1186" t="s">
        <v>850</v>
      </c>
      <c r="H1954" s="1186">
        <v>13</v>
      </c>
    </row>
    <row r="1955" spans="1:8" x14ac:dyDescent="0.2">
      <c r="A1955" s="1186" t="s">
        <v>311</v>
      </c>
      <c r="B1955" s="1186" t="s">
        <v>966</v>
      </c>
      <c r="C1955" s="1186" t="s">
        <v>1985</v>
      </c>
      <c r="D1955" s="1186" t="s">
        <v>1984</v>
      </c>
      <c r="E1955" s="1186" t="s">
        <v>2035</v>
      </c>
      <c r="F1955" s="1186" t="s">
        <v>2033</v>
      </c>
      <c r="G1955" s="1186" t="s">
        <v>851</v>
      </c>
      <c r="H1955" s="1186">
        <v>149</v>
      </c>
    </row>
    <row r="1956" spans="1:8" x14ac:dyDescent="0.2">
      <c r="A1956" s="1186" t="s">
        <v>311</v>
      </c>
      <c r="B1956" s="1186" t="s">
        <v>966</v>
      </c>
      <c r="C1956" s="1186" t="s">
        <v>1985</v>
      </c>
      <c r="D1956" s="1186" t="s">
        <v>1984</v>
      </c>
      <c r="E1956" s="1186" t="s">
        <v>2035</v>
      </c>
      <c r="F1956" s="1186" t="s">
        <v>2033</v>
      </c>
      <c r="G1956" s="1186" t="s">
        <v>852</v>
      </c>
      <c r="H1956" s="1186">
        <v>35</v>
      </c>
    </row>
    <row r="1957" spans="1:8" x14ac:dyDescent="0.2">
      <c r="A1957" s="1186" t="s">
        <v>311</v>
      </c>
      <c r="B1957" s="1186" t="s">
        <v>966</v>
      </c>
      <c r="C1957" s="1186" t="s">
        <v>1985</v>
      </c>
      <c r="D1957" s="1186" t="s">
        <v>1984</v>
      </c>
      <c r="E1957" s="1186" t="s">
        <v>2035</v>
      </c>
      <c r="F1957" s="1186" t="s">
        <v>2034</v>
      </c>
      <c r="G1957" s="1186" t="s">
        <v>828</v>
      </c>
      <c r="H1957" s="1186">
        <v>75</v>
      </c>
    </row>
    <row r="1958" spans="1:8" x14ac:dyDescent="0.2">
      <c r="A1958" s="1186" t="s">
        <v>311</v>
      </c>
      <c r="B1958" s="1186" t="s">
        <v>966</v>
      </c>
      <c r="C1958" s="1186" t="s">
        <v>1985</v>
      </c>
      <c r="D1958" s="1186" t="s">
        <v>1984</v>
      </c>
      <c r="E1958" s="1186" t="s">
        <v>2035</v>
      </c>
      <c r="F1958" s="1186" t="s">
        <v>2034</v>
      </c>
      <c r="G1958" s="1186" t="s">
        <v>850</v>
      </c>
      <c r="H1958" s="1186">
        <v>42</v>
      </c>
    </row>
    <row r="1959" spans="1:8" x14ac:dyDescent="0.2">
      <c r="A1959" s="1186" t="s">
        <v>311</v>
      </c>
      <c r="B1959" s="1186" t="s">
        <v>966</v>
      </c>
      <c r="C1959" s="1186" t="s">
        <v>1985</v>
      </c>
      <c r="D1959" s="1186" t="s">
        <v>1984</v>
      </c>
      <c r="E1959" s="1186" t="s">
        <v>2035</v>
      </c>
      <c r="F1959" s="1186" t="s">
        <v>2034</v>
      </c>
      <c r="G1959" s="1186" t="s">
        <v>851</v>
      </c>
      <c r="H1959" s="1186">
        <v>20</v>
      </c>
    </row>
    <row r="1960" spans="1:8" x14ac:dyDescent="0.2">
      <c r="A1960" s="1186" t="s">
        <v>311</v>
      </c>
      <c r="B1960" s="1186" t="s">
        <v>966</v>
      </c>
      <c r="C1960" s="1186" t="s">
        <v>1985</v>
      </c>
      <c r="D1960" s="1186" t="s">
        <v>1984</v>
      </c>
      <c r="E1960" s="1186" t="s">
        <v>2035</v>
      </c>
      <c r="F1960" s="1186" t="s">
        <v>2034</v>
      </c>
      <c r="G1960" s="1186" t="s">
        <v>852</v>
      </c>
      <c r="H1960" s="1186">
        <v>16</v>
      </c>
    </row>
    <row r="1961" spans="1:8" x14ac:dyDescent="0.2">
      <c r="A1961" s="1186" t="s">
        <v>311</v>
      </c>
      <c r="B1961" s="1186" t="s">
        <v>967</v>
      </c>
      <c r="C1961" s="1186" t="s">
        <v>1985</v>
      </c>
      <c r="D1961" s="1186" t="s">
        <v>1986</v>
      </c>
      <c r="E1961" s="1186" t="s">
        <v>2031</v>
      </c>
      <c r="F1961" s="1186" t="s">
        <v>2032</v>
      </c>
      <c r="G1961" s="1186" t="s">
        <v>828</v>
      </c>
      <c r="H1961" s="1186">
        <v>4</v>
      </c>
    </row>
    <row r="1962" spans="1:8" x14ac:dyDescent="0.2">
      <c r="A1962" s="1186" t="s">
        <v>311</v>
      </c>
      <c r="B1962" s="1186" t="s">
        <v>967</v>
      </c>
      <c r="C1962" s="1186" t="s">
        <v>1985</v>
      </c>
      <c r="D1962" s="1186" t="s">
        <v>1986</v>
      </c>
      <c r="E1962" s="1186" t="s">
        <v>2031</v>
      </c>
      <c r="F1962" s="1186" t="s">
        <v>2032</v>
      </c>
      <c r="G1962" s="1186" t="s">
        <v>850</v>
      </c>
      <c r="H1962" s="1186">
        <v>1</v>
      </c>
    </row>
    <row r="1963" spans="1:8" x14ac:dyDescent="0.2">
      <c r="A1963" s="1186" t="s">
        <v>311</v>
      </c>
      <c r="B1963" s="1186" t="s">
        <v>967</v>
      </c>
      <c r="C1963" s="1186" t="s">
        <v>1985</v>
      </c>
      <c r="D1963" s="1186" t="s">
        <v>1986</v>
      </c>
      <c r="E1963" s="1186" t="s">
        <v>2031</v>
      </c>
      <c r="F1963" s="1186" t="s">
        <v>2033</v>
      </c>
      <c r="G1963" s="1186" t="s">
        <v>828</v>
      </c>
      <c r="H1963" s="1186">
        <v>57</v>
      </c>
    </row>
    <row r="1964" spans="1:8" x14ac:dyDescent="0.2">
      <c r="A1964" s="1186" t="s">
        <v>311</v>
      </c>
      <c r="B1964" s="1186" t="s">
        <v>967</v>
      </c>
      <c r="C1964" s="1186" t="s">
        <v>1985</v>
      </c>
      <c r="D1964" s="1186" t="s">
        <v>1986</v>
      </c>
      <c r="E1964" s="1186" t="s">
        <v>2031</v>
      </c>
      <c r="F1964" s="1186" t="s">
        <v>2033</v>
      </c>
      <c r="G1964" s="1186" t="s">
        <v>850</v>
      </c>
      <c r="H1964" s="1186">
        <v>13</v>
      </c>
    </row>
    <row r="1965" spans="1:8" x14ac:dyDescent="0.2">
      <c r="A1965" s="1186" t="s">
        <v>311</v>
      </c>
      <c r="B1965" s="1186" t="s">
        <v>967</v>
      </c>
      <c r="C1965" s="1186" t="s">
        <v>1985</v>
      </c>
      <c r="D1965" s="1186" t="s">
        <v>1986</v>
      </c>
      <c r="E1965" s="1186" t="s">
        <v>2031</v>
      </c>
      <c r="F1965" s="1186" t="s">
        <v>2033</v>
      </c>
      <c r="G1965" s="1186" t="s">
        <v>851</v>
      </c>
      <c r="H1965" s="1186">
        <v>5</v>
      </c>
    </row>
    <row r="1966" spans="1:8" x14ac:dyDescent="0.2">
      <c r="A1966" s="1186" t="s">
        <v>311</v>
      </c>
      <c r="B1966" s="1186" t="s">
        <v>967</v>
      </c>
      <c r="C1966" s="1186" t="s">
        <v>1985</v>
      </c>
      <c r="D1966" s="1186" t="s">
        <v>1986</v>
      </c>
      <c r="E1966" s="1186" t="s">
        <v>2031</v>
      </c>
      <c r="F1966" s="1186" t="s">
        <v>2033</v>
      </c>
      <c r="G1966" s="1186" t="s">
        <v>852</v>
      </c>
      <c r="H1966" s="1186">
        <v>2</v>
      </c>
    </row>
    <row r="1967" spans="1:8" x14ac:dyDescent="0.2">
      <c r="A1967" s="1186" t="s">
        <v>311</v>
      </c>
      <c r="B1967" s="1186" t="s">
        <v>967</v>
      </c>
      <c r="C1967" s="1186" t="s">
        <v>1985</v>
      </c>
      <c r="D1967" s="1186" t="s">
        <v>1986</v>
      </c>
      <c r="E1967" s="1186" t="s">
        <v>2031</v>
      </c>
      <c r="F1967" s="1186" t="s">
        <v>2034</v>
      </c>
      <c r="G1967" s="1186" t="s">
        <v>828</v>
      </c>
      <c r="H1967" s="1186">
        <v>15</v>
      </c>
    </row>
    <row r="1968" spans="1:8" x14ac:dyDescent="0.2">
      <c r="A1968" s="1186" t="s">
        <v>311</v>
      </c>
      <c r="B1968" s="1186" t="s">
        <v>967</v>
      </c>
      <c r="C1968" s="1186" t="s">
        <v>1985</v>
      </c>
      <c r="D1968" s="1186" t="s">
        <v>1986</v>
      </c>
      <c r="E1968" s="1186" t="s">
        <v>2031</v>
      </c>
      <c r="F1968" s="1186" t="s">
        <v>2034</v>
      </c>
      <c r="G1968" s="1186" t="s">
        <v>850</v>
      </c>
      <c r="H1968" s="1186">
        <v>2</v>
      </c>
    </row>
    <row r="1969" spans="1:8" x14ac:dyDescent="0.2">
      <c r="A1969" s="1186" t="s">
        <v>311</v>
      </c>
      <c r="B1969" s="1186" t="s">
        <v>967</v>
      </c>
      <c r="C1969" s="1186" t="s">
        <v>1985</v>
      </c>
      <c r="D1969" s="1186" t="s">
        <v>1986</v>
      </c>
      <c r="E1969" s="1186" t="s">
        <v>2035</v>
      </c>
      <c r="F1969" s="1186" t="s">
        <v>2032</v>
      </c>
      <c r="G1969" s="1186" t="s">
        <v>828</v>
      </c>
      <c r="H1969" s="1186">
        <v>7</v>
      </c>
    </row>
    <row r="1970" spans="1:8" x14ac:dyDescent="0.2">
      <c r="A1970" s="1186" t="s">
        <v>311</v>
      </c>
      <c r="B1970" s="1186" t="s">
        <v>967</v>
      </c>
      <c r="C1970" s="1186" t="s">
        <v>1985</v>
      </c>
      <c r="D1970" s="1186" t="s">
        <v>1986</v>
      </c>
      <c r="E1970" s="1186" t="s">
        <v>2035</v>
      </c>
      <c r="F1970" s="1186" t="s">
        <v>2032</v>
      </c>
      <c r="G1970" s="1186" t="s">
        <v>851</v>
      </c>
      <c r="H1970" s="1186">
        <v>11</v>
      </c>
    </row>
    <row r="1971" spans="1:8" x14ac:dyDescent="0.2">
      <c r="A1971" s="1186" t="s">
        <v>311</v>
      </c>
      <c r="B1971" s="1186" t="s">
        <v>967</v>
      </c>
      <c r="C1971" s="1186" t="s">
        <v>1985</v>
      </c>
      <c r="D1971" s="1186" t="s">
        <v>1986</v>
      </c>
      <c r="E1971" s="1186" t="s">
        <v>2035</v>
      </c>
      <c r="F1971" s="1186" t="s">
        <v>2032</v>
      </c>
      <c r="G1971" s="1186" t="s">
        <v>852</v>
      </c>
      <c r="H1971" s="1186">
        <v>5</v>
      </c>
    </row>
    <row r="1972" spans="1:8" x14ac:dyDescent="0.2">
      <c r="A1972" s="1186" t="s">
        <v>311</v>
      </c>
      <c r="B1972" s="1186" t="s">
        <v>967</v>
      </c>
      <c r="C1972" s="1186" t="s">
        <v>1985</v>
      </c>
      <c r="D1972" s="1186" t="s">
        <v>1986</v>
      </c>
      <c r="E1972" s="1186" t="s">
        <v>2035</v>
      </c>
      <c r="F1972" s="1186" t="s">
        <v>2033</v>
      </c>
      <c r="G1972" s="1186" t="s">
        <v>828</v>
      </c>
      <c r="H1972" s="1186">
        <v>74</v>
      </c>
    </row>
    <row r="1973" spans="1:8" x14ac:dyDescent="0.2">
      <c r="A1973" s="1186" t="s">
        <v>311</v>
      </c>
      <c r="B1973" s="1186" t="s">
        <v>967</v>
      </c>
      <c r="C1973" s="1186" t="s">
        <v>1985</v>
      </c>
      <c r="D1973" s="1186" t="s">
        <v>1986</v>
      </c>
      <c r="E1973" s="1186" t="s">
        <v>2035</v>
      </c>
      <c r="F1973" s="1186" t="s">
        <v>2033</v>
      </c>
      <c r="G1973" s="1186" t="s">
        <v>850</v>
      </c>
      <c r="H1973" s="1186">
        <v>29</v>
      </c>
    </row>
    <row r="1974" spans="1:8" x14ac:dyDescent="0.2">
      <c r="A1974" s="1186" t="s">
        <v>311</v>
      </c>
      <c r="B1974" s="1186" t="s">
        <v>967</v>
      </c>
      <c r="C1974" s="1186" t="s">
        <v>1985</v>
      </c>
      <c r="D1974" s="1186" t="s">
        <v>1986</v>
      </c>
      <c r="E1974" s="1186" t="s">
        <v>2035</v>
      </c>
      <c r="F1974" s="1186" t="s">
        <v>2033</v>
      </c>
      <c r="G1974" s="1186" t="s">
        <v>851</v>
      </c>
      <c r="H1974" s="1186">
        <v>186</v>
      </c>
    </row>
    <row r="1975" spans="1:8" x14ac:dyDescent="0.2">
      <c r="A1975" s="1186" t="s">
        <v>311</v>
      </c>
      <c r="B1975" s="1186" t="s">
        <v>967</v>
      </c>
      <c r="C1975" s="1186" t="s">
        <v>1985</v>
      </c>
      <c r="D1975" s="1186" t="s">
        <v>1986</v>
      </c>
      <c r="E1975" s="1186" t="s">
        <v>2035</v>
      </c>
      <c r="F1975" s="1186" t="s">
        <v>2033</v>
      </c>
      <c r="G1975" s="1186" t="s">
        <v>852</v>
      </c>
      <c r="H1975" s="1186">
        <v>28</v>
      </c>
    </row>
    <row r="1976" spans="1:8" x14ac:dyDescent="0.2">
      <c r="A1976" s="1186" t="s">
        <v>311</v>
      </c>
      <c r="B1976" s="1186" t="s">
        <v>967</v>
      </c>
      <c r="C1976" s="1186" t="s">
        <v>1985</v>
      </c>
      <c r="D1976" s="1186" t="s">
        <v>1986</v>
      </c>
      <c r="E1976" s="1186" t="s">
        <v>2035</v>
      </c>
      <c r="F1976" s="1186" t="s">
        <v>2034</v>
      </c>
      <c r="G1976" s="1186" t="s">
        <v>828</v>
      </c>
      <c r="H1976" s="1186">
        <v>81</v>
      </c>
    </row>
    <row r="1977" spans="1:8" x14ac:dyDescent="0.2">
      <c r="A1977" s="1186" t="s">
        <v>311</v>
      </c>
      <c r="B1977" s="1186" t="s">
        <v>967</v>
      </c>
      <c r="C1977" s="1186" t="s">
        <v>1985</v>
      </c>
      <c r="D1977" s="1186" t="s">
        <v>1986</v>
      </c>
      <c r="E1977" s="1186" t="s">
        <v>2035</v>
      </c>
      <c r="F1977" s="1186" t="s">
        <v>2034</v>
      </c>
      <c r="G1977" s="1186" t="s">
        <v>850</v>
      </c>
      <c r="H1977" s="1186">
        <v>30</v>
      </c>
    </row>
    <row r="1978" spans="1:8" x14ac:dyDescent="0.2">
      <c r="A1978" s="1186" t="s">
        <v>311</v>
      </c>
      <c r="B1978" s="1186" t="s">
        <v>967</v>
      </c>
      <c r="C1978" s="1186" t="s">
        <v>1985</v>
      </c>
      <c r="D1978" s="1186" t="s">
        <v>1986</v>
      </c>
      <c r="E1978" s="1186" t="s">
        <v>2035</v>
      </c>
      <c r="F1978" s="1186" t="s">
        <v>2034</v>
      </c>
      <c r="G1978" s="1186" t="s">
        <v>851</v>
      </c>
      <c r="H1978" s="1186">
        <v>30</v>
      </c>
    </row>
    <row r="1979" spans="1:8" x14ac:dyDescent="0.2">
      <c r="A1979" s="1186" t="s">
        <v>311</v>
      </c>
      <c r="B1979" s="1186" t="s">
        <v>967</v>
      </c>
      <c r="C1979" s="1186" t="s">
        <v>1985</v>
      </c>
      <c r="D1979" s="1186" t="s">
        <v>1986</v>
      </c>
      <c r="E1979" s="1186" t="s">
        <v>2035</v>
      </c>
      <c r="F1979" s="1186" t="s">
        <v>2034</v>
      </c>
      <c r="G1979" s="1186" t="s">
        <v>852</v>
      </c>
      <c r="H1979" s="1186">
        <v>16</v>
      </c>
    </row>
    <row r="1980" spans="1:8" x14ac:dyDescent="0.2">
      <c r="A1980" s="1186" t="s">
        <v>311</v>
      </c>
      <c r="B1980" s="1186" t="s">
        <v>968</v>
      </c>
      <c r="C1980" s="1186" t="s">
        <v>1985</v>
      </c>
      <c r="D1980" s="1186" t="s">
        <v>1986</v>
      </c>
      <c r="E1980" s="1186" t="s">
        <v>2031</v>
      </c>
      <c r="F1980" s="1186" t="s">
        <v>2032</v>
      </c>
      <c r="G1980" s="1186" t="s">
        <v>828</v>
      </c>
      <c r="H1980" s="1186">
        <v>10</v>
      </c>
    </row>
    <row r="1981" spans="1:8" x14ac:dyDescent="0.2">
      <c r="A1981" s="1186" t="s">
        <v>311</v>
      </c>
      <c r="B1981" s="1186" t="s">
        <v>968</v>
      </c>
      <c r="C1981" s="1186" t="s">
        <v>1985</v>
      </c>
      <c r="D1981" s="1186" t="s">
        <v>1986</v>
      </c>
      <c r="E1981" s="1186" t="s">
        <v>2031</v>
      </c>
      <c r="F1981" s="1186" t="s">
        <v>2033</v>
      </c>
      <c r="G1981" s="1186" t="s">
        <v>828</v>
      </c>
      <c r="H1981" s="1186">
        <v>87</v>
      </c>
    </row>
    <row r="1982" spans="1:8" x14ac:dyDescent="0.2">
      <c r="A1982" s="1186" t="s">
        <v>311</v>
      </c>
      <c r="B1982" s="1186" t="s">
        <v>968</v>
      </c>
      <c r="C1982" s="1186" t="s">
        <v>1985</v>
      </c>
      <c r="D1982" s="1186" t="s">
        <v>1986</v>
      </c>
      <c r="E1982" s="1186" t="s">
        <v>2031</v>
      </c>
      <c r="F1982" s="1186" t="s">
        <v>2033</v>
      </c>
      <c r="G1982" s="1186" t="s">
        <v>850</v>
      </c>
      <c r="H1982" s="1186">
        <v>11</v>
      </c>
    </row>
    <row r="1983" spans="1:8" x14ac:dyDescent="0.2">
      <c r="A1983" s="1186" t="s">
        <v>311</v>
      </c>
      <c r="B1983" s="1186" t="s">
        <v>968</v>
      </c>
      <c r="C1983" s="1186" t="s">
        <v>1985</v>
      </c>
      <c r="D1983" s="1186" t="s">
        <v>1986</v>
      </c>
      <c r="E1983" s="1186" t="s">
        <v>2031</v>
      </c>
      <c r="F1983" s="1186" t="s">
        <v>2033</v>
      </c>
      <c r="G1983" s="1186" t="s">
        <v>851</v>
      </c>
      <c r="H1983" s="1186">
        <v>2</v>
      </c>
    </row>
    <row r="1984" spans="1:8" x14ac:dyDescent="0.2">
      <c r="A1984" s="1186" t="s">
        <v>311</v>
      </c>
      <c r="B1984" s="1186" t="s">
        <v>968</v>
      </c>
      <c r="C1984" s="1186" t="s">
        <v>1985</v>
      </c>
      <c r="D1984" s="1186" t="s">
        <v>1986</v>
      </c>
      <c r="E1984" s="1186" t="s">
        <v>2031</v>
      </c>
      <c r="F1984" s="1186" t="s">
        <v>2033</v>
      </c>
      <c r="G1984" s="1186" t="s">
        <v>852</v>
      </c>
      <c r="H1984" s="1186">
        <v>2</v>
      </c>
    </row>
    <row r="1985" spans="1:8" x14ac:dyDescent="0.2">
      <c r="A1985" s="1186" t="s">
        <v>311</v>
      </c>
      <c r="B1985" s="1186" t="s">
        <v>968</v>
      </c>
      <c r="C1985" s="1186" t="s">
        <v>1985</v>
      </c>
      <c r="D1985" s="1186" t="s">
        <v>1986</v>
      </c>
      <c r="E1985" s="1186" t="s">
        <v>2031</v>
      </c>
      <c r="F1985" s="1186" t="s">
        <v>2034</v>
      </c>
      <c r="G1985" s="1186" t="s">
        <v>828</v>
      </c>
      <c r="H1985" s="1186">
        <v>22</v>
      </c>
    </row>
    <row r="1986" spans="1:8" x14ac:dyDescent="0.2">
      <c r="A1986" s="1186" t="s">
        <v>311</v>
      </c>
      <c r="B1986" s="1186" t="s">
        <v>968</v>
      </c>
      <c r="C1986" s="1186" t="s">
        <v>1985</v>
      </c>
      <c r="D1986" s="1186" t="s">
        <v>1986</v>
      </c>
      <c r="E1986" s="1186" t="s">
        <v>2031</v>
      </c>
      <c r="F1986" s="1186" t="s">
        <v>2034</v>
      </c>
      <c r="G1986" s="1186" t="s">
        <v>850</v>
      </c>
      <c r="H1986" s="1186">
        <v>3</v>
      </c>
    </row>
    <row r="1987" spans="1:8" x14ac:dyDescent="0.2">
      <c r="A1987" s="1186" t="s">
        <v>311</v>
      </c>
      <c r="B1987" s="1186" t="s">
        <v>968</v>
      </c>
      <c r="C1987" s="1186" t="s">
        <v>1985</v>
      </c>
      <c r="D1987" s="1186" t="s">
        <v>1986</v>
      </c>
      <c r="E1987" s="1186" t="s">
        <v>2035</v>
      </c>
      <c r="F1987" s="1186" t="s">
        <v>2032</v>
      </c>
      <c r="G1987" s="1186" t="s">
        <v>828</v>
      </c>
      <c r="H1987" s="1186">
        <v>14</v>
      </c>
    </row>
    <row r="1988" spans="1:8" x14ac:dyDescent="0.2">
      <c r="A1988" s="1186" t="s">
        <v>311</v>
      </c>
      <c r="B1988" s="1186" t="s">
        <v>968</v>
      </c>
      <c r="C1988" s="1186" t="s">
        <v>1985</v>
      </c>
      <c r="D1988" s="1186" t="s">
        <v>1986</v>
      </c>
      <c r="E1988" s="1186" t="s">
        <v>2035</v>
      </c>
      <c r="F1988" s="1186" t="s">
        <v>2032</v>
      </c>
      <c r="G1988" s="1186" t="s">
        <v>851</v>
      </c>
      <c r="H1988" s="1186">
        <v>7</v>
      </c>
    </row>
    <row r="1989" spans="1:8" x14ac:dyDescent="0.2">
      <c r="A1989" s="1186" t="s">
        <v>311</v>
      </c>
      <c r="B1989" s="1186" t="s">
        <v>968</v>
      </c>
      <c r="C1989" s="1186" t="s">
        <v>1985</v>
      </c>
      <c r="D1989" s="1186" t="s">
        <v>1986</v>
      </c>
      <c r="E1989" s="1186" t="s">
        <v>2035</v>
      </c>
      <c r="F1989" s="1186" t="s">
        <v>2032</v>
      </c>
      <c r="G1989" s="1186" t="s">
        <v>852</v>
      </c>
      <c r="H1989" s="1186">
        <v>1</v>
      </c>
    </row>
    <row r="1990" spans="1:8" x14ac:dyDescent="0.2">
      <c r="A1990" s="1186" t="s">
        <v>311</v>
      </c>
      <c r="B1990" s="1186" t="s">
        <v>968</v>
      </c>
      <c r="C1990" s="1186" t="s">
        <v>1985</v>
      </c>
      <c r="D1990" s="1186" t="s">
        <v>1986</v>
      </c>
      <c r="E1990" s="1186" t="s">
        <v>2035</v>
      </c>
      <c r="F1990" s="1186" t="s">
        <v>2033</v>
      </c>
      <c r="G1990" s="1186" t="s">
        <v>828</v>
      </c>
      <c r="H1990" s="1186">
        <v>81</v>
      </c>
    </row>
    <row r="1991" spans="1:8" x14ac:dyDescent="0.2">
      <c r="A1991" s="1186" t="s">
        <v>311</v>
      </c>
      <c r="B1991" s="1186" t="s">
        <v>968</v>
      </c>
      <c r="C1991" s="1186" t="s">
        <v>1985</v>
      </c>
      <c r="D1991" s="1186" t="s">
        <v>1986</v>
      </c>
      <c r="E1991" s="1186" t="s">
        <v>2035</v>
      </c>
      <c r="F1991" s="1186" t="s">
        <v>2033</v>
      </c>
      <c r="G1991" s="1186" t="s">
        <v>850</v>
      </c>
      <c r="H1991" s="1186">
        <v>4</v>
      </c>
    </row>
    <row r="1992" spans="1:8" x14ac:dyDescent="0.2">
      <c r="A1992" s="1186" t="s">
        <v>311</v>
      </c>
      <c r="B1992" s="1186" t="s">
        <v>968</v>
      </c>
      <c r="C1992" s="1186" t="s">
        <v>1985</v>
      </c>
      <c r="D1992" s="1186" t="s">
        <v>1986</v>
      </c>
      <c r="E1992" s="1186" t="s">
        <v>2035</v>
      </c>
      <c r="F1992" s="1186" t="s">
        <v>2033</v>
      </c>
      <c r="G1992" s="1186" t="s">
        <v>851</v>
      </c>
      <c r="H1992" s="1186">
        <v>215</v>
      </c>
    </row>
    <row r="1993" spans="1:8" x14ac:dyDescent="0.2">
      <c r="A1993" s="1186" t="s">
        <v>311</v>
      </c>
      <c r="B1993" s="1186" t="s">
        <v>968</v>
      </c>
      <c r="C1993" s="1186" t="s">
        <v>1985</v>
      </c>
      <c r="D1993" s="1186" t="s">
        <v>1986</v>
      </c>
      <c r="E1993" s="1186" t="s">
        <v>2035</v>
      </c>
      <c r="F1993" s="1186" t="s">
        <v>2033</v>
      </c>
      <c r="G1993" s="1186" t="s">
        <v>852</v>
      </c>
      <c r="H1993" s="1186">
        <v>22</v>
      </c>
    </row>
    <row r="1994" spans="1:8" x14ac:dyDescent="0.2">
      <c r="A1994" s="1186" t="s">
        <v>311</v>
      </c>
      <c r="B1994" s="1186" t="s">
        <v>968</v>
      </c>
      <c r="C1994" s="1186" t="s">
        <v>1985</v>
      </c>
      <c r="D1994" s="1186" t="s">
        <v>1986</v>
      </c>
      <c r="E1994" s="1186" t="s">
        <v>2035</v>
      </c>
      <c r="F1994" s="1186" t="s">
        <v>2034</v>
      </c>
      <c r="G1994" s="1186" t="s">
        <v>828</v>
      </c>
      <c r="H1994" s="1186">
        <v>81</v>
      </c>
    </row>
    <row r="1995" spans="1:8" x14ac:dyDescent="0.2">
      <c r="A1995" s="1186" t="s">
        <v>311</v>
      </c>
      <c r="B1995" s="1186" t="s">
        <v>968</v>
      </c>
      <c r="C1995" s="1186" t="s">
        <v>1985</v>
      </c>
      <c r="D1995" s="1186" t="s">
        <v>1986</v>
      </c>
      <c r="E1995" s="1186" t="s">
        <v>2035</v>
      </c>
      <c r="F1995" s="1186" t="s">
        <v>2034</v>
      </c>
      <c r="G1995" s="1186" t="s">
        <v>850</v>
      </c>
      <c r="H1995" s="1186">
        <v>24</v>
      </c>
    </row>
    <row r="1996" spans="1:8" x14ac:dyDescent="0.2">
      <c r="A1996" s="1186" t="s">
        <v>311</v>
      </c>
      <c r="B1996" s="1186" t="s">
        <v>968</v>
      </c>
      <c r="C1996" s="1186" t="s">
        <v>1985</v>
      </c>
      <c r="D1996" s="1186" t="s">
        <v>1986</v>
      </c>
      <c r="E1996" s="1186" t="s">
        <v>2035</v>
      </c>
      <c r="F1996" s="1186" t="s">
        <v>2034</v>
      </c>
      <c r="G1996" s="1186" t="s">
        <v>851</v>
      </c>
      <c r="H1996" s="1186">
        <v>42</v>
      </c>
    </row>
    <row r="1997" spans="1:8" x14ac:dyDescent="0.2">
      <c r="A1997" s="1186" t="s">
        <v>311</v>
      </c>
      <c r="B1997" s="1186" t="s">
        <v>968</v>
      </c>
      <c r="C1997" s="1186" t="s">
        <v>1985</v>
      </c>
      <c r="D1997" s="1186" t="s">
        <v>1986</v>
      </c>
      <c r="E1997" s="1186" t="s">
        <v>2035</v>
      </c>
      <c r="F1997" s="1186" t="s">
        <v>2034</v>
      </c>
      <c r="G1997" s="1186" t="s">
        <v>852</v>
      </c>
      <c r="H1997" s="1186">
        <v>12</v>
      </c>
    </row>
    <row r="1998" spans="1:8" x14ac:dyDescent="0.2">
      <c r="A1998" s="1186" t="s">
        <v>311</v>
      </c>
      <c r="B1998" s="1186" t="s">
        <v>969</v>
      </c>
      <c r="C1998" s="1186" t="s">
        <v>1987</v>
      </c>
      <c r="D1998" s="1186" t="s">
        <v>1986</v>
      </c>
      <c r="E1998" s="1186" t="s">
        <v>2031</v>
      </c>
      <c r="F1998" s="1186" t="s">
        <v>2032</v>
      </c>
      <c r="G1998" s="1186" t="s">
        <v>828</v>
      </c>
      <c r="H1998" s="1186">
        <v>4</v>
      </c>
    </row>
    <row r="1999" spans="1:8" x14ac:dyDescent="0.2">
      <c r="A1999" s="1186" t="s">
        <v>311</v>
      </c>
      <c r="B1999" s="1186" t="s">
        <v>969</v>
      </c>
      <c r="C1999" s="1186" t="s">
        <v>1987</v>
      </c>
      <c r="D1999" s="1186" t="s">
        <v>1986</v>
      </c>
      <c r="E1999" s="1186" t="s">
        <v>2031</v>
      </c>
      <c r="F1999" s="1186" t="s">
        <v>2032</v>
      </c>
      <c r="G1999" s="1186" t="s">
        <v>850</v>
      </c>
      <c r="H1999" s="1186">
        <v>2</v>
      </c>
    </row>
    <row r="2000" spans="1:8" x14ac:dyDescent="0.2">
      <c r="A2000" s="1186" t="s">
        <v>311</v>
      </c>
      <c r="B2000" s="1186" t="s">
        <v>969</v>
      </c>
      <c r="C2000" s="1186" t="s">
        <v>1987</v>
      </c>
      <c r="D2000" s="1186" t="s">
        <v>1986</v>
      </c>
      <c r="E2000" s="1186" t="s">
        <v>2031</v>
      </c>
      <c r="F2000" s="1186" t="s">
        <v>2033</v>
      </c>
      <c r="G2000" s="1186" t="s">
        <v>828</v>
      </c>
      <c r="H2000" s="1186">
        <v>105</v>
      </c>
    </row>
    <row r="2001" spans="1:8" x14ac:dyDescent="0.2">
      <c r="A2001" s="1186" t="s">
        <v>311</v>
      </c>
      <c r="B2001" s="1186" t="s">
        <v>969</v>
      </c>
      <c r="C2001" s="1186" t="s">
        <v>1987</v>
      </c>
      <c r="D2001" s="1186" t="s">
        <v>1986</v>
      </c>
      <c r="E2001" s="1186" t="s">
        <v>2031</v>
      </c>
      <c r="F2001" s="1186" t="s">
        <v>2033</v>
      </c>
      <c r="G2001" s="1186" t="s">
        <v>850</v>
      </c>
      <c r="H2001" s="1186">
        <v>11</v>
      </c>
    </row>
    <row r="2002" spans="1:8" x14ac:dyDescent="0.2">
      <c r="A2002" s="1186" t="s">
        <v>311</v>
      </c>
      <c r="B2002" s="1186" t="s">
        <v>969</v>
      </c>
      <c r="C2002" s="1186" t="s">
        <v>1987</v>
      </c>
      <c r="D2002" s="1186" t="s">
        <v>1986</v>
      </c>
      <c r="E2002" s="1186" t="s">
        <v>2031</v>
      </c>
      <c r="F2002" s="1186" t="s">
        <v>2033</v>
      </c>
      <c r="G2002" s="1186" t="s">
        <v>851</v>
      </c>
      <c r="H2002" s="1186">
        <v>4</v>
      </c>
    </row>
    <row r="2003" spans="1:8" x14ac:dyDescent="0.2">
      <c r="A2003" s="1186" t="s">
        <v>311</v>
      </c>
      <c r="B2003" s="1186" t="s">
        <v>969</v>
      </c>
      <c r="C2003" s="1186" t="s">
        <v>1987</v>
      </c>
      <c r="D2003" s="1186" t="s">
        <v>1986</v>
      </c>
      <c r="E2003" s="1186" t="s">
        <v>2031</v>
      </c>
      <c r="F2003" s="1186" t="s">
        <v>2033</v>
      </c>
      <c r="G2003" s="1186" t="s">
        <v>852</v>
      </c>
      <c r="H2003" s="1186">
        <v>1</v>
      </c>
    </row>
    <row r="2004" spans="1:8" x14ac:dyDescent="0.2">
      <c r="A2004" s="1186" t="s">
        <v>311</v>
      </c>
      <c r="B2004" s="1186" t="s">
        <v>969</v>
      </c>
      <c r="C2004" s="1186" t="s">
        <v>1987</v>
      </c>
      <c r="D2004" s="1186" t="s">
        <v>1986</v>
      </c>
      <c r="E2004" s="1186" t="s">
        <v>2031</v>
      </c>
      <c r="F2004" s="1186" t="s">
        <v>2034</v>
      </c>
      <c r="G2004" s="1186" t="s">
        <v>828</v>
      </c>
      <c r="H2004" s="1186">
        <v>21</v>
      </c>
    </row>
    <row r="2005" spans="1:8" x14ac:dyDescent="0.2">
      <c r="A2005" s="1186" t="s">
        <v>311</v>
      </c>
      <c r="B2005" s="1186" t="s">
        <v>969</v>
      </c>
      <c r="C2005" s="1186" t="s">
        <v>1987</v>
      </c>
      <c r="D2005" s="1186" t="s">
        <v>1986</v>
      </c>
      <c r="E2005" s="1186" t="s">
        <v>2031</v>
      </c>
      <c r="F2005" s="1186" t="s">
        <v>2034</v>
      </c>
      <c r="G2005" s="1186" t="s">
        <v>850</v>
      </c>
      <c r="H2005" s="1186">
        <v>9</v>
      </c>
    </row>
    <row r="2006" spans="1:8" x14ac:dyDescent="0.2">
      <c r="A2006" s="1186" t="s">
        <v>311</v>
      </c>
      <c r="B2006" s="1186" t="s">
        <v>969</v>
      </c>
      <c r="C2006" s="1186" t="s">
        <v>1987</v>
      </c>
      <c r="D2006" s="1186" t="s">
        <v>1986</v>
      </c>
      <c r="E2006" s="1186" t="s">
        <v>2035</v>
      </c>
      <c r="F2006" s="1186" t="s">
        <v>2032</v>
      </c>
      <c r="G2006" s="1186" t="s">
        <v>828</v>
      </c>
      <c r="H2006" s="1186">
        <v>17</v>
      </c>
    </row>
    <row r="2007" spans="1:8" x14ac:dyDescent="0.2">
      <c r="A2007" s="1186" t="s">
        <v>311</v>
      </c>
      <c r="B2007" s="1186" t="s">
        <v>969</v>
      </c>
      <c r="C2007" s="1186" t="s">
        <v>1987</v>
      </c>
      <c r="D2007" s="1186" t="s">
        <v>1986</v>
      </c>
      <c r="E2007" s="1186" t="s">
        <v>2035</v>
      </c>
      <c r="F2007" s="1186" t="s">
        <v>2032</v>
      </c>
      <c r="G2007" s="1186" t="s">
        <v>850</v>
      </c>
      <c r="H2007" s="1186">
        <v>1</v>
      </c>
    </row>
    <row r="2008" spans="1:8" x14ac:dyDescent="0.2">
      <c r="A2008" s="1186" t="s">
        <v>311</v>
      </c>
      <c r="B2008" s="1186" t="s">
        <v>969</v>
      </c>
      <c r="C2008" s="1186" t="s">
        <v>1987</v>
      </c>
      <c r="D2008" s="1186" t="s">
        <v>1986</v>
      </c>
      <c r="E2008" s="1186" t="s">
        <v>2035</v>
      </c>
      <c r="F2008" s="1186" t="s">
        <v>2032</v>
      </c>
      <c r="G2008" s="1186" t="s">
        <v>851</v>
      </c>
      <c r="H2008" s="1186">
        <v>6</v>
      </c>
    </row>
    <row r="2009" spans="1:8" x14ac:dyDescent="0.2">
      <c r="A2009" s="1186" t="s">
        <v>311</v>
      </c>
      <c r="B2009" s="1186" t="s">
        <v>969</v>
      </c>
      <c r="C2009" s="1186" t="s">
        <v>1987</v>
      </c>
      <c r="D2009" s="1186" t="s">
        <v>1986</v>
      </c>
      <c r="E2009" s="1186" t="s">
        <v>2035</v>
      </c>
      <c r="F2009" s="1186" t="s">
        <v>2032</v>
      </c>
      <c r="G2009" s="1186" t="s">
        <v>852</v>
      </c>
      <c r="H2009" s="1186">
        <v>2</v>
      </c>
    </row>
    <row r="2010" spans="1:8" x14ac:dyDescent="0.2">
      <c r="A2010" s="1186" t="s">
        <v>311</v>
      </c>
      <c r="B2010" s="1186" t="s">
        <v>969</v>
      </c>
      <c r="C2010" s="1186" t="s">
        <v>1987</v>
      </c>
      <c r="D2010" s="1186" t="s">
        <v>1986</v>
      </c>
      <c r="E2010" s="1186" t="s">
        <v>2035</v>
      </c>
      <c r="F2010" s="1186" t="s">
        <v>2033</v>
      </c>
      <c r="G2010" s="1186" t="s">
        <v>828</v>
      </c>
      <c r="H2010" s="1186">
        <v>122</v>
      </c>
    </row>
    <row r="2011" spans="1:8" x14ac:dyDescent="0.2">
      <c r="A2011" s="1186" t="s">
        <v>311</v>
      </c>
      <c r="B2011" s="1186" t="s">
        <v>969</v>
      </c>
      <c r="C2011" s="1186" t="s">
        <v>1987</v>
      </c>
      <c r="D2011" s="1186" t="s">
        <v>1986</v>
      </c>
      <c r="E2011" s="1186" t="s">
        <v>2035</v>
      </c>
      <c r="F2011" s="1186" t="s">
        <v>2033</v>
      </c>
      <c r="G2011" s="1186" t="s">
        <v>850</v>
      </c>
      <c r="H2011" s="1186">
        <v>16</v>
      </c>
    </row>
    <row r="2012" spans="1:8" x14ac:dyDescent="0.2">
      <c r="A2012" s="1186" t="s">
        <v>311</v>
      </c>
      <c r="B2012" s="1186" t="s">
        <v>969</v>
      </c>
      <c r="C2012" s="1186" t="s">
        <v>1987</v>
      </c>
      <c r="D2012" s="1186" t="s">
        <v>1986</v>
      </c>
      <c r="E2012" s="1186" t="s">
        <v>2035</v>
      </c>
      <c r="F2012" s="1186" t="s">
        <v>2033</v>
      </c>
      <c r="G2012" s="1186" t="s">
        <v>851</v>
      </c>
      <c r="H2012" s="1186">
        <v>213</v>
      </c>
    </row>
    <row r="2013" spans="1:8" x14ac:dyDescent="0.2">
      <c r="A2013" s="1186" t="s">
        <v>311</v>
      </c>
      <c r="B2013" s="1186" t="s">
        <v>969</v>
      </c>
      <c r="C2013" s="1186" t="s">
        <v>1987</v>
      </c>
      <c r="D2013" s="1186" t="s">
        <v>1986</v>
      </c>
      <c r="E2013" s="1186" t="s">
        <v>2035</v>
      </c>
      <c r="F2013" s="1186" t="s">
        <v>2033</v>
      </c>
      <c r="G2013" s="1186" t="s">
        <v>852</v>
      </c>
      <c r="H2013" s="1186">
        <v>19</v>
      </c>
    </row>
    <row r="2014" spans="1:8" x14ac:dyDescent="0.2">
      <c r="A2014" s="1186" t="s">
        <v>311</v>
      </c>
      <c r="B2014" s="1186" t="s">
        <v>969</v>
      </c>
      <c r="C2014" s="1186" t="s">
        <v>1987</v>
      </c>
      <c r="D2014" s="1186" t="s">
        <v>1986</v>
      </c>
      <c r="E2014" s="1186" t="s">
        <v>2035</v>
      </c>
      <c r="F2014" s="1186" t="s">
        <v>2034</v>
      </c>
      <c r="G2014" s="1186" t="s">
        <v>828</v>
      </c>
      <c r="H2014" s="1186">
        <v>91</v>
      </c>
    </row>
    <row r="2015" spans="1:8" x14ac:dyDescent="0.2">
      <c r="A2015" s="1186" t="s">
        <v>311</v>
      </c>
      <c r="B2015" s="1186" t="s">
        <v>969</v>
      </c>
      <c r="C2015" s="1186" t="s">
        <v>1987</v>
      </c>
      <c r="D2015" s="1186" t="s">
        <v>1986</v>
      </c>
      <c r="E2015" s="1186" t="s">
        <v>2035</v>
      </c>
      <c r="F2015" s="1186" t="s">
        <v>2034</v>
      </c>
      <c r="G2015" s="1186" t="s">
        <v>850</v>
      </c>
      <c r="H2015" s="1186">
        <v>51</v>
      </c>
    </row>
    <row r="2016" spans="1:8" x14ac:dyDescent="0.2">
      <c r="A2016" s="1186" t="s">
        <v>311</v>
      </c>
      <c r="B2016" s="1186" t="s">
        <v>969</v>
      </c>
      <c r="C2016" s="1186" t="s">
        <v>1987</v>
      </c>
      <c r="D2016" s="1186" t="s">
        <v>1986</v>
      </c>
      <c r="E2016" s="1186" t="s">
        <v>2035</v>
      </c>
      <c r="F2016" s="1186" t="s">
        <v>2034</v>
      </c>
      <c r="G2016" s="1186" t="s">
        <v>851</v>
      </c>
      <c r="H2016" s="1186">
        <v>26</v>
      </c>
    </row>
    <row r="2017" spans="1:8" x14ac:dyDescent="0.2">
      <c r="A2017" s="1186" t="s">
        <v>311</v>
      </c>
      <c r="B2017" s="1186" t="s">
        <v>969</v>
      </c>
      <c r="C2017" s="1186" t="s">
        <v>1987</v>
      </c>
      <c r="D2017" s="1186" t="s">
        <v>1986</v>
      </c>
      <c r="E2017" s="1186" t="s">
        <v>2035</v>
      </c>
      <c r="F2017" s="1186" t="s">
        <v>2034</v>
      </c>
      <c r="G2017" s="1186" t="s">
        <v>852</v>
      </c>
      <c r="H2017" s="1186">
        <v>10</v>
      </c>
    </row>
    <row r="2018" spans="1:8" x14ac:dyDescent="0.2">
      <c r="A2018" s="1186" t="s">
        <v>311</v>
      </c>
      <c r="B2018" s="1186" t="s">
        <v>970</v>
      </c>
      <c r="C2018" s="1186" t="s">
        <v>1987</v>
      </c>
      <c r="D2018" s="1186" t="s">
        <v>1988</v>
      </c>
      <c r="E2018" s="1186" t="s">
        <v>2031</v>
      </c>
      <c r="F2018" s="1186" t="s">
        <v>2032</v>
      </c>
      <c r="G2018" s="1186" t="s">
        <v>828</v>
      </c>
      <c r="H2018" s="1186">
        <v>3</v>
      </c>
    </row>
    <row r="2019" spans="1:8" x14ac:dyDescent="0.2">
      <c r="A2019" s="1186" t="s">
        <v>311</v>
      </c>
      <c r="B2019" s="1186" t="s">
        <v>970</v>
      </c>
      <c r="C2019" s="1186" t="s">
        <v>1987</v>
      </c>
      <c r="D2019" s="1186" t="s">
        <v>1988</v>
      </c>
      <c r="E2019" s="1186" t="s">
        <v>2031</v>
      </c>
      <c r="F2019" s="1186" t="s">
        <v>2032</v>
      </c>
      <c r="G2019" s="1186" t="s">
        <v>851</v>
      </c>
      <c r="H2019" s="1186">
        <v>1</v>
      </c>
    </row>
    <row r="2020" spans="1:8" x14ac:dyDescent="0.2">
      <c r="A2020" s="1186" t="s">
        <v>311</v>
      </c>
      <c r="B2020" s="1186" t="s">
        <v>970</v>
      </c>
      <c r="C2020" s="1186" t="s">
        <v>1987</v>
      </c>
      <c r="D2020" s="1186" t="s">
        <v>1988</v>
      </c>
      <c r="E2020" s="1186" t="s">
        <v>2031</v>
      </c>
      <c r="F2020" s="1186" t="s">
        <v>2033</v>
      </c>
      <c r="G2020" s="1186" t="s">
        <v>828</v>
      </c>
      <c r="H2020" s="1186">
        <v>104</v>
      </c>
    </row>
    <row r="2021" spans="1:8" x14ac:dyDescent="0.2">
      <c r="A2021" s="1186" t="s">
        <v>311</v>
      </c>
      <c r="B2021" s="1186" t="s">
        <v>970</v>
      </c>
      <c r="C2021" s="1186" t="s">
        <v>1987</v>
      </c>
      <c r="D2021" s="1186" t="s">
        <v>1988</v>
      </c>
      <c r="E2021" s="1186" t="s">
        <v>2031</v>
      </c>
      <c r="F2021" s="1186" t="s">
        <v>2033</v>
      </c>
      <c r="G2021" s="1186" t="s">
        <v>850</v>
      </c>
      <c r="H2021" s="1186">
        <v>4</v>
      </c>
    </row>
    <row r="2022" spans="1:8" x14ac:dyDescent="0.2">
      <c r="A2022" s="1186" t="s">
        <v>311</v>
      </c>
      <c r="B2022" s="1186" t="s">
        <v>970</v>
      </c>
      <c r="C2022" s="1186" t="s">
        <v>1987</v>
      </c>
      <c r="D2022" s="1186" t="s">
        <v>1988</v>
      </c>
      <c r="E2022" s="1186" t="s">
        <v>2031</v>
      </c>
      <c r="F2022" s="1186" t="s">
        <v>2033</v>
      </c>
      <c r="G2022" s="1186" t="s">
        <v>851</v>
      </c>
      <c r="H2022" s="1186">
        <v>4</v>
      </c>
    </row>
    <row r="2023" spans="1:8" x14ac:dyDescent="0.2">
      <c r="A2023" s="1186" t="s">
        <v>311</v>
      </c>
      <c r="B2023" s="1186" t="s">
        <v>970</v>
      </c>
      <c r="C2023" s="1186" t="s">
        <v>1987</v>
      </c>
      <c r="D2023" s="1186" t="s">
        <v>1988</v>
      </c>
      <c r="E2023" s="1186" t="s">
        <v>2031</v>
      </c>
      <c r="F2023" s="1186" t="s">
        <v>2033</v>
      </c>
      <c r="G2023" s="1186" t="s">
        <v>852</v>
      </c>
      <c r="H2023" s="1186">
        <v>1</v>
      </c>
    </row>
    <row r="2024" spans="1:8" x14ac:dyDescent="0.2">
      <c r="A2024" s="1186" t="s">
        <v>311</v>
      </c>
      <c r="B2024" s="1186" t="s">
        <v>970</v>
      </c>
      <c r="C2024" s="1186" t="s">
        <v>1987</v>
      </c>
      <c r="D2024" s="1186" t="s">
        <v>1988</v>
      </c>
      <c r="E2024" s="1186" t="s">
        <v>2031</v>
      </c>
      <c r="F2024" s="1186" t="s">
        <v>2034</v>
      </c>
      <c r="G2024" s="1186" t="s">
        <v>828</v>
      </c>
      <c r="H2024" s="1186">
        <v>17</v>
      </c>
    </row>
    <row r="2025" spans="1:8" x14ac:dyDescent="0.2">
      <c r="A2025" s="1186" t="s">
        <v>311</v>
      </c>
      <c r="B2025" s="1186" t="s">
        <v>970</v>
      </c>
      <c r="C2025" s="1186" t="s">
        <v>1987</v>
      </c>
      <c r="D2025" s="1186" t="s">
        <v>1988</v>
      </c>
      <c r="E2025" s="1186" t="s">
        <v>2031</v>
      </c>
      <c r="F2025" s="1186" t="s">
        <v>2034</v>
      </c>
      <c r="G2025" s="1186" t="s">
        <v>850</v>
      </c>
      <c r="H2025" s="1186">
        <v>1</v>
      </c>
    </row>
    <row r="2026" spans="1:8" x14ac:dyDescent="0.2">
      <c r="A2026" s="1186" t="s">
        <v>311</v>
      </c>
      <c r="B2026" s="1186" t="s">
        <v>970</v>
      </c>
      <c r="C2026" s="1186" t="s">
        <v>1987</v>
      </c>
      <c r="D2026" s="1186" t="s">
        <v>1988</v>
      </c>
      <c r="E2026" s="1186" t="s">
        <v>2035</v>
      </c>
      <c r="F2026" s="1186" t="s">
        <v>2032</v>
      </c>
      <c r="G2026" s="1186" t="s">
        <v>828</v>
      </c>
      <c r="H2026" s="1186">
        <v>27</v>
      </c>
    </row>
    <row r="2027" spans="1:8" x14ac:dyDescent="0.2">
      <c r="A2027" s="1186" t="s">
        <v>311</v>
      </c>
      <c r="B2027" s="1186" t="s">
        <v>970</v>
      </c>
      <c r="C2027" s="1186" t="s">
        <v>1987</v>
      </c>
      <c r="D2027" s="1186" t="s">
        <v>1988</v>
      </c>
      <c r="E2027" s="1186" t="s">
        <v>2035</v>
      </c>
      <c r="F2027" s="1186" t="s">
        <v>2032</v>
      </c>
      <c r="G2027" s="1186" t="s">
        <v>850</v>
      </c>
      <c r="H2027" s="1186">
        <v>1</v>
      </c>
    </row>
    <row r="2028" spans="1:8" x14ac:dyDescent="0.2">
      <c r="A2028" s="1186" t="s">
        <v>311</v>
      </c>
      <c r="B2028" s="1186" t="s">
        <v>970</v>
      </c>
      <c r="C2028" s="1186" t="s">
        <v>1987</v>
      </c>
      <c r="D2028" s="1186" t="s">
        <v>1988</v>
      </c>
      <c r="E2028" s="1186" t="s">
        <v>2035</v>
      </c>
      <c r="F2028" s="1186" t="s">
        <v>2032</v>
      </c>
      <c r="G2028" s="1186" t="s">
        <v>851</v>
      </c>
      <c r="H2028" s="1186">
        <v>7</v>
      </c>
    </row>
    <row r="2029" spans="1:8" x14ac:dyDescent="0.2">
      <c r="A2029" s="1186" t="s">
        <v>311</v>
      </c>
      <c r="B2029" s="1186" t="s">
        <v>970</v>
      </c>
      <c r="C2029" s="1186" t="s">
        <v>1987</v>
      </c>
      <c r="D2029" s="1186" t="s">
        <v>1988</v>
      </c>
      <c r="E2029" s="1186" t="s">
        <v>2035</v>
      </c>
      <c r="F2029" s="1186" t="s">
        <v>2032</v>
      </c>
      <c r="G2029" s="1186" t="s">
        <v>852</v>
      </c>
      <c r="H2029" s="1186">
        <v>7</v>
      </c>
    </row>
    <row r="2030" spans="1:8" x14ac:dyDescent="0.2">
      <c r="A2030" s="1186" t="s">
        <v>311</v>
      </c>
      <c r="B2030" s="1186" t="s">
        <v>970</v>
      </c>
      <c r="C2030" s="1186" t="s">
        <v>1987</v>
      </c>
      <c r="D2030" s="1186" t="s">
        <v>1988</v>
      </c>
      <c r="E2030" s="1186" t="s">
        <v>2035</v>
      </c>
      <c r="F2030" s="1186" t="s">
        <v>2033</v>
      </c>
      <c r="G2030" s="1186" t="s">
        <v>828</v>
      </c>
      <c r="H2030" s="1186">
        <v>109</v>
      </c>
    </row>
    <row r="2031" spans="1:8" x14ac:dyDescent="0.2">
      <c r="A2031" s="1186" t="s">
        <v>311</v>
      </c>
      <c r="B2031" s="1186" t="s">
        <v>970</v>
      </c>
      <c r="C2031" s="1186" t="s">
        <v>1987</v>
      </c>
      <c r="D2031" s="1186" t="s">
        <v>1988</v>
      </c>
      <c r="E2031" s="1186" t="s">
        <v>2035</v>
      </c>
      <c r="F2031" s="1186" t="s">
        <v>2033</v>
      </c>
      <c r="G2031" s="1186" t="s">
        <v>850</v>
      </c>
      <c r="H2031" s="1186">
        <v>9</v>
      </c>
    </row>
    <row r="2032" spans="1:8" x14ac:dyDescent="0.2">
      <c r="A2032" s="1186" t="s">
        <v>311</v>
      </c>
      <c r="B2032" s="1186" t="s">
        <v>970</v>
      </c>
      <c r="C2032" s="1186" t="s">
        <v>1987</v>
      </c>
      <c r="D2032" s="1186" t="s">
        <v>1988</v>
      </c>
      <c r="E2032" s="1186" t="s">
        <v>2035</v>
      </c>
      <c r="F2032" s="1186" t="s">
        <v>2033</v>
      </c>
      <c r="G2032" s="1186" t="s">
        <v>851</v>
      </c>
      <c r="H2032" s="1186">
        <v>168</v>
      </c>
    </row>
    <row r="2033" spans="1:8" x14ac:dyDescent="0.2">
      <c r="A2033" s="1186" t="s">
        <v>311</v>
      </c>
      <c r="B2033" s="1186" t="s">
        <v>970</v>
      </c>
      <c r="C2033" s="1186" t="s">
        <v>1987</v>
      </c>
      <c r="D2033" s="1186" t="s">
        <v>1988</v>
      </c>
      <c r="E2033" s="1186" t="s">
        <v>2035</v>
      </c>
      <c r="F2033" s="1186" t="s">
        <v>2033</v>
      </c>
      <c r="G2033" s="1186" t="s">
        <v>852</v>
      </c>
      <c r="H2033" s="1186">
        <v>19</v>
      </c>
    </row>
    <row r="2034" spans="1:8" x14ac:dyDescent="0.2">
      <c r="A2034" s="1186" t="s">
        <v>311</v>
      </c>
      <c r="B2034" s="1186" t="s">
        <v>970</v>
      </c>
      <c r="C2034" s="1186" t="s">
        <v>1987</v>
      </c>
      <c r="D2034" s="1186" t="s">
        <v>1988</v>
      </c>
      <c r="E2034" s="1186" t="s">
        <v>2035</v>
      </c>
      <c r="F2034" s="1186" t="s">
        <v>2034</v>
      </c>
      <c r="G2034" s="1186" t="s">
        <v>828</v>
      </c>
      <c r="H2034" s="1186">
        <v>70</v>
      </c>
    </row>
    <row r="2035" spans="1:8" x14ac:dyDescent="0.2">
      <c r="A2035" s="1186" t="s">
        <v>311</v>
      </c>
      <c r="B2035" s="1186" t="s">
        <v>970</v>
      </c>
      <c r="C2035" s="1186" t="s">
        <v>1987</v>
      </c>
      <c r="D2035" s="1186" t="s">
        <v>1988</v>
      </c>
      <c r="E2035" s="1186" t="s">
        <v>2035</v>
      </c>
      <c r="F2035" s="1186" t="s">
        <v>2034</v>
      </c>
      <c r="G2035" s="1186" t="s">
        <v>850</v>
      </c>
      <c r="H2035" s="1186">
        <v>18</v>
      </c>
    </row>
    <row r="2036" spans="1:8" x14ac:dyDescent="0.2">
      <c r="A2036" s="1186" t="s">
        <v>311</v>
      </c>
      <c r="B2036" s="1186" t="s">
        <v>970</v>
      </c>
      <c r="C2036" s="1186" t="s">
        <v>1987</v>
      </c>
      <c r="D2036" s="1186" t="s">
        <v>1988</v>
      </c>
      <c r="E2036" s="1186" t="s">
        <v>2035</v>
      </c>
      <c r="F2036" s="1186" t="s">
        <v>2034</v>
      </c>
      <c r="G2036" s="1186" t="s">
        <v>851</v>
      </c>
      <c r="H2036" s="1186">
        <v>47</v>
      </c>
    </row>
    <row r="2037" spans="1:8" x14ac:dyDescent="0.2">
      <c r="A2037" s="1186" t="s">
        <v>311</v>
      </c>
      <c r="B2037" s="1186" t="s">
        <v>970</v>
      </c>
      <c r="C2037" s="1186" t="s">
        <v>1987</v>
      </c>
      <c r="D2037" s="1186" t="s">
        <v>1988</v>
      </c>
      <c r="E2037" s="1186" t="s">
        <v>2035</v>
      </c>
      <c r="F2037" s="1186" t="s">
        <v>2034</v>
      </c>
      <c r="G2037" s="1186" t="s">
        <v>852</v>
      </c>
      <c r="H2037" s="1186">
        <v>12</v>
      </c>
    </row>
    <row r="2038" spans="1:8" x14ac:dyDescent="0.2">
      <c r="A2038" s="1186" t="s">
        <v>311</v>
      </c>
      <c r="B2038" s="1186" t="s">
        <v>971</v>
      </c>
      <c r="C2038" s="1186" t="s">
        <v>1987</v>
      </c>
      <c r="D2038" s="1186" t="s">
        <v>1988</v>
      </c>
      <c r="E2038" s="1186" t="s">
        <v>2031</v>
      </c>
      <c r="F2038" s="1186" t="s">
        <v>2032</v>
      </c>
      <c r="G2038" s="1186" t="s">
        <v>828</v>
      </c>
      <c r="H2038" s="1186">
        <v>3</v>
      </c>
    </row>
    <row r="2039" spans="1:8" x14ac:dyDescent="0.2">
      <c r="A2039" s="1186" t="s">
        <v>311</v>
      </c>
      <c r="B2039" s="1186" t="s">
        <v>971</v>
      </c>
      <c r="C2039" s="1186" t="s">
        <v>1987</v>
      </c>
      <c r="D2039" s="1186" t="s">
        <v>1988</v>
      </c>
      <c r="E2039" s="1186" t="s">
        <v>2031</v>
      </c>
      <c r="F2039" s="1186" t="s">
        <v>2033</v>
      </c>
      <c r="G2039" s="1186" t="s">
        <v>828</v>
      </c>
      <c r="H2039" s="1186">
        <v>67</v>
      </c>
    </row>
    <row r="2040" spans="1:8" x14ac:dyDescent="0.2">
      <c r="A2040" s="1186" t="s">
        <v>311</v>
      </c>
      <c r="B2040" s="1186" t="s">
        <v>971</v>
      </c>
      <c r="C2040" s="1186" t="s">
        <v>1987</v>
      </c>
      <c r="D2040" s="1186" t="s">
        <v>1988</v>
      </c>
      <c r="E2040" s="1186" t="s">
        <v>2031</v>
      </c>
      <c r="F2040" s="1186" t="s">
        <v>2033</v>
      </c>
      <c r="G2040" s="1186" t="s">
        <v>850</v>
      </c>
      <c r="H2040" s="1186">
        <v>8</v>
      </c>
    </row>
    <row r="2041" spans="1:8" x14ac:dyDescent="0.2">
      <c r="A2041" s="1186" t="s">
        <v>311</v>
      </c>
      <c r="B2041" s="1186" t="s">
        <v>971</v>
      </c>
      <c r="C2041" s="1186" t="s">
        <v>1987</v>
      </c>
      <c r="D2041" s="1186" t="s">
        <v>1988</v>
      </c>
      <c r="E2041" s="1186" t="s">
        <v>2031</v>
      </c>
      <c r="F2041" s="1186" t="s">
        <v>2033</v>
      </c>
      <c r="G2041" s="1186" t="s">
        <v>851</v>
      </c>
      <c r="H2041" s="1186">
        <v>5</v>
      </c>
    </row>
    <row r="2042" spans="1:8" x14ac:dyDescent="0.2">
      <c r="A2042" s="1186" t="s">
        <v>311</v>
      </c>
      <c r="B2042" s="1186" t="s">
        <v>971</v>
      </c>
      <c r="C2042" s="1186" t="s">
        <v>1987</v>
      </c>
      <c r="D2042" s="1186" t="s">
        <v>1988</v>
      </c>
      <c r="E2042" s="1186" t="s">
        <v>2031</v>
      </c>
      <c r="F2042" s="1186" t="s">
        <v>2033</v>
      </c>
      <c r="G2042" s="1186" t="s">
        <v>852</v>
      </c>
      <c r="H2042" s="1186">
        <v>1</v>
      </c>
    </row>
    <row r="2043" spans="1:8" x14ac:dyDescent="0.2">
      <c r="A2043" s="1186" t="s">
        <v>311</v>
      </c>
      <c r="B2043" s="1186" t="s">
        <v>971</v>
      </c>
      <c r="C2043" s="1186" t="s">
        <v>1987</v>
      </c>
      <c r="D2043" s="1186" t="s">
        <v>1988</v>
      </c>
      <c r="E2043" s="1186" t="s">
        <v>2031</v>
      </c>
      <c r="F2043" s="1186" t="s">
        <v>2034</v>
      </c>
      <c r="G2043" s="1186" t="s">
        <v>828</v>
      </c>
      <c r="H2043" s="1186">
        <v>16</v>
      </c>
    </row>
    <row r="2044" spans="1:8" x14ac:dyDescent="0.2">
      <c r="A2044" s="1186" t="s">
        <v>311</v>
      </c>
      <c r="B2044" s="1186" t="s">
        <v>971</v>
      </c>
      <c r="C2044" s="1186" t="s">
        <v>1987</v>
      </c>
      <c r="D2044" s="1186" t="s">
        <v>1988</v>
      </c>
      <c r="E2044" s="1186" t="s">
        <v>2031</v>
      </c>
      <c r="F2044" s="1186" t="s">
        <v>2034</v>
      </c>
      <c r="G2044" s="1186" t="s">
        <v>850</v>
      </c>
      <c r="H2044" s="1186">
        <v>2</v>
      </c>
    </row>
    <row r="2045" spans="1:8" x14ac:dyDescent="0.2">
      <c r="A2045" s="1186" t="s">
        <v>311</v>
      </c>
      <c r="B2045" s="1186" t="s">
        <v>971</v>
      </c>
      <c r="C2045" s="1186" t="s">
        <v>1987</v>
      </c>
      <c r="D2045" s="1186" t="s">
        <v>1988</v>
      </c>
      <c r="E2045" s="1186" t="s">
        <v>2031</v>
      </c>
      <c r="F2045" s="1186" t="s">
        <v>2034</v>
      </c>
      <c r="G2045" s="1186" t="s">
        <v>851</v>
      </c>
      <c r="H2045" s="1186">
        <v>1</v>
      </c>
    </row>
    <row r="2046" spans="1:8" x14ac:dyDescent="0.2">
      <c r="A2046" s="1186" t="s">
        <v>311</v>
      </c>
      <c r="B2046" s="1186" t="s">
        <v>971</v>
      </c>
      <c r="C2046" s="1186" t="s">
        <v>1987</v>
      </c>
      <c r="D2046" s="1186" t="s">
        <v>1988</v>
      </c>
      <c r="E2046" s="1186" t="s">
        <v>2035</v>
      </c>
      <c r="F2046" s="1186" t="s">
        <v>2032</v>
      </c>
      <c r="G2046" s="1186" t="s">
        <v>828</v>
      </c>
      <c r="H2046" s="1186">
        <v>27</v>
      </c>
    </row>
    <row r="2047" spans="1:8" x14ac:dyDescent="0.2">
      <c r="A2047" s="1186" t="s">
        <v>311</v>
      </c>
      <c r="B2047" s="1186" t="s">
        <v>971</v>
      </c>
      <c r="C2047" s="1186" t="s">
        <v>1987</v>
      </c>
      <c r="D2047" s="1186" t="s">
        <v>1988</v>
      </c>
      <c r="E2047" s="1186" t="s">
        <v>2035</v>
      </c>
      <c r="F2047" s="1186" t="s">
        <v>2032</v>
      </c>
      <c r="G2047" s="1186" t="s">
        <v>850</v>
      </c>
      <c r="H2047" s="1186">
        <v>2</v>
      </c>
    </row>
    <row r="2048" spans="1:8" x14ac:dyDescent="0.2">
      <c r="A2048" s="1186" t="s">
        <v>311</v>
      </c>
      <c r="B2048" s="1186" t="s">
        <v>971</v>
      </c>
      <c r="C2048" s="1186" t="s">
        <v>1987</v>
      </c>
      <c r="D2048" s="1186" t="s">
        <v>1988</v>
      </c>
      <c r="E2048" s="1186" t="s">
        <v>2035</v>
      </c>
      <c r="F2048" s="1186" t="s">
        <v>2032</v>
      </c>
      <c r="G2048" s="1186" t="s">
        <v>851</v>
      </c>
      <c r="H2048" s="1186">
        <v>3</v>
      </c>
    </row>
    <row r="2049" spans="1:8" x14ac:dyDescent="0.2">
      <c r="A2049" s="1186" t="s">
        <v>311</v>
      </c>
      <c r="B2049" s="1186" t="s">
        <v>971</v>
      </c>
      <c r="C2049" s="1186" t="s">
        <v>1987</v>
      </c>
      <c r="D2049" s="1186" t="s">
        <v>1988</v>
      </c>
      <c r="E2049" s="1186" t="s">
        <v>2035</v>
      </c>
      <c r="F2049" s="1186" t="s">
        <v>2032</v>
      </c>
      <c r="G2049" s="1186" t="s">
        <v>852</v>
      </c>
      <c r="H2049" s="1186">
        <v>5</v>
      </c>
    </row>
    <row r="2050" spans="1:8" x14ac:dyDescent="0.2">
      <c r="A2050" s="1186" t="s">
        <v>311</v>
      </c>
      <c r="B2050" s="1186" t="s">
        <v>971</v>
      </c>
      <c r="C2050" s="1186" t="s">
        <v>1987</v>
      </c>
      <c r="D2050" s="1186" t="s">
        <v>1988</v>
      </c>
      <c r="E2050" s="1186" t="s">
        <v>2035</v>
      </c>
      <c r="F2050" s="1186" t="s">
        <v>2033</v>
      </c>
      <c r="G2050" s="1186" t="s">
        <v>828</v>
      </c>
      <c r="H2050" s="1186">
        <v>86</v>
      </c>
    </row>
    <row r="2051" spans="1:8" x14ac:dyDescent="0.2">
      <c r="A2051" s="1186" t="s">
        <v>311</v>
      </c>
      <c r="B2051" s="1186" t="s">
        <v>971</v>
      </c>
      <c r="C2051" s="1186" t="s">
        <v>1987</v>
      </c>
      <c r="D2051" s="1186" t="s">
        <v>1988</v>
      </c>
      <c r="E2051" s="1186" t="s">
        <v>2035</v>
      </c>
      <c r="F2051" s="1186" t="s">
        <v>2033</v>
      </c>
      <c r="G2051" s="1186" t="s">
        <v>850</v>
      </c>
      <c r="H2051" s="1186">
        <v>9</v>
      </c>
    </row>
    <row r="2052" spans="1:8" x14ac:dyDescent="0.2">
      <c r="A2052" s="1186" t="s">
        <v>311</v>
      </c>
      <c r="B2052" s="1186" t="s">
        <v>971</v>
      </c>
      <c r="C2052" s="1186" t="s">
        <v>1987</v>
      </c>
      <c r="D2052" s="1186" t="s">
        <v>1988</v>
      </c>
      <c r="E2052" s="1186" t="s">
        <v>2035</v>
      </c>
      <c r="F2052" s="1186" t="s">
        <v>2033</v>
      </c>
      <c r="G2052" s="1186" t="s">
        <v>851</v>
      </c>
      <c r="H2052" s="1186">
        <v>151</v>
      </c>
    </row>
    <row r="2053" spans="1:8" x14ac:dyDescent="0.2">
      <c r="A2053" s="1186" t="s">
        <v>311</v>
      </c>
      <c r="B2053" s="1186" t="s">
        <v>971</v>
      </c>
      <c r="C2053" s="1186" t="s">
        <v>1987</v>
      </c>
      <c r="D2053" s="1186" t="s">
        <v>1988</v>
      </c>
      <c r="E2053" s="1186" t="s">
        <v>2035</v>
      </c>
      <c r="F2053" s="1186" t="s">
        <v>2033</v>
      </c>
      <c r="G2053" s="1186" t="s">
        <v>852</v>
      </c>
      <c r="H2053" s="1186">
        <v>24</v>
      </c>
    </row>
    <row r="2054" spans="1:8" x14ac:dyDescent="0.2">
      <c r="A2054" s="1186" t="s">
        <v>311</v>
      </c>
      <c r="B2054" s="1186" t="s">
        <v>971</v>
      </c>
      <c r="C2054" s="1186" t="s">
        <v>1987</v>
      </c>
      <c r="D2054" s="1186" t="s">
        <v>1988</v>
      </c>
      <c r="E2054" s="1186" t="s">
        <v>2035</v>
      </c>
      <c r="F2054" s="1186" t="s">
        <v>2034</v>
      </c>
      <c r="G2054" s="1186" t="s">
        <v>828</v>
      </c>
      <c r="H2054" s="1186">
        <v>75</v>
      </c>
    </row>
    <row r="2055" spans="1:8" x14ac:dyDescent="0.2">
      <c r="A2055" s="1186" t="s">
        <v>311</v>
      </c>
      <c r="B2055" s="1186" t="s">
        <v>971</v>
      </c>
      <c r="C2055" s="1186" t="s">
        <v>1987</v>
      </c>
      <c r="D2055" s="1186" t="s">
        <v>1988</v>
      </c>
      <c r="E2055" s="1186" t="s">
        <v>2035</v>
      </c>
      <c r="F2055" s="1186" t="s">
        <v>2034</v>
      </c>
      <c r="G2055" s="1186" t="s">
        <v>850</v>
      </c>
      <c r="H2055" s="1186">
        <v>22</v>
      </c>
    </row>
    <row r="2056" spans="1:8" x14ac:dyDescent="0.2">
      <c r="A2056" s="1186" t="s">
        <v>311</v>
      </c>
      <c r="B2056" s="1186" t="s">
        <v>971</v>
      </c>
      <c r="C2056" s="1186" t="s">
        <v>1987</v>
      </c>
      <c r="D2056" s="1186" t="s">
        <v>1988</v>
      </c>
      <c r="E2056" s="1186" t="s">
        <v>2035</v>
      </c>
      <c r="F2056" s="1186" t="s">
        <v>2034</v>
      </c>
      <c r="G2056" s="1186" t="s">
        <v>851</v>
      </c>
      <c r="H2056" s="1186">
        <v>17</v>
      </c>
    </row>
    <row r="2057" spans="1:8" x14ac:dyDescent="0.2">
      <c r="A2057" s="1186" t="s">
        <v>311</v>
      </c>
      <c r="B2057" s="1186" t="s">
        <v>971</v>
      </c>
      <c r="C2057" s="1186" t="s">
        <v>1987</v>
      </c>
      <c r="D2057" s="1186" t="s">
        <v>1988</v>
      </c>
      <c r="E2057" s="1186" t="s">
        <v>2035</v>
      </c>
      <c r="F2057" s="1186" t="s">
        <v>2034</v>
      </c>
      <c r="G2057" s="1186" t="s">
        <v>852</v>
      </c>
      <c r="H2057" s="1186">
        <v>12</v>
      </c>
    </row>
    <row r="2058" spans="1:8" x14ac:dyDescent="0.2">
      <c r="A2058" s="1186" t="s">
        <v>311</v>
      </c>
      <c r="B2058" s="1186" t="s">
        <v>972</v>
      </c>
      <c r="C2058" s="1186" t="s">
        <v>1981</v>
      </c>
      <c r="D2058" s="1186" t="s">
        <v>1988</v>
      </c>
      <c r="E2058" s="1186" t="s">
        <v>2031</v>
      </c>
      <c r="F2058" s="1186" t="s">
        <v>2032</v>
      </c>
      <c r="G2058" s="1186" t="s">
        <v>828</v>
      </c>
      <c r="H2058" s="1186">
        <v>3</v>
      </c>
    </row>
    <row r="2059" spans="1:8" x14ac:dyDescent="0.2">
      <c r="A2059" s="1186" t="s">
        <v>311</v>
      </c>
      <c r="B2059" s="1186" t="s">
        <v>972</v>
      </c>
      <c r="C2059" s="1186" t="s">
        <v>1981</v>
      </c>
      <c r="D2059" s="1186" t="s">
        <v>1988</v>
      </c>
      <c r="E2059" s="1186" t="s">
        <v>2031</v>
      </c>
      <c r="F2059" s="1186" t="s">
        <v>2033</v>
      </c>
      <c r="G2059" s="1186" t="s">
        <v>828</v>
      </c>
      <c r="H2059" s="1186">
        <v>78</v>
      </c>
    </row>
    <row r="2060" spans="1:8" x14ac:dyDescent="0.2">
      <c r="A2060" s="1186" t="s">
        <v>311</v>
      </c>
      <c r="B2060" s="1186" t="s">
        <v>972</v>
      </c>
      <c r="C2060" s="1186" t="s">
        <v>1981</v>
      </c>
      <c r="D2060" s="1186" t="s">
        <v>1988</v>
      </c>
      <c r="E2060" s="1186" t="s">
        <v>2031</v>
      </c>
      <c r="F2060" s="1186" t="s">
        <v>2033</v>
      </c>
      <c r="G2060" s="1186" t="s">
        <v>850</v>
      </c>
      <c r="H2060" s="1186">
        <v>7</v>
      </c>
    </row>
    <row r="2061" spans="1:8" x14ac:dyDescent="0.2">
      <c r="A2061" s="1186" t="s">
        <v>311</v>
      </c>
      <c r="B2061" s="1186" t="s">
        <v>972</v>
      </c>
      <c r="C2061" s="1186" t="s">
        <v>1981</v>
      </c>
      <c r="D2061" s="1186" t="s">
        <v>1988</v>
      </c>
      <c r="E2061" s="1186" t="s">
        <v>2031</v>
      </c>
      <c r="F2061" s="1186" t="s">
        <v>2033</v>
      </c>
      <c r="G2061" s="1186" t="s">
        <v>852</v>
      </c>
      <c r="H2061" s="1186">
        <v>3</v>
      </c>
    </row>
    <row r="2062" spans="1:8" x14ac:dyDescent="0.2">
      <c r="A2062" s="1186" t="s">
        <v>311</v>
      </c>
      <c r="B2062" s="1186" t="s">
        <v>972</v>
      </c>
      <c r="C2062" s="1186" t="s">
        <v>1981</v>
      </c>
      <c r="D2062" s="1186" t="s">
        <v>1988</v>
      </c>
      <c r="E2062" s="1186" t="s">
        <v>2031</v>
      </c>
      <c r="F2062" s="1186" t="s">
        <v>2034</v>
      </c>
      <c r="G2062" s="1186" t="s">
        <v>828</v>
      </c>
      <c r="H2062" s="1186">
        <v>15</v>
      </c>
    </row>
    <row r="2063" spans="1:8" x14ac:dyDescent="0.2">
      <c r="A2063" s="1186" t="s">
        <v>311</v>
      </c>
      <c r="B2063" s="1186" t="s">
        <v>972</v>
      </c>
      <c r="C2063" s="1186" t="s">
        <v>1981</v>
      </c>
      <c r="D2063" s="1186" t="s">
        <v>1988</v>
      </c>
      <c r="E2063" s="1186" t="s">
        <v>2031</v>
      </c>
      <c r="F2063" s="1186" t="s">
        <v>2034</v>
      </c>
      <c r="G2063" s="1186" t="s">
        <v>850</v>
      </c>
      <c r="H2063" s="1186">
        <v>2</v>
      </c>
    </row>
    <row r="2064" spans="1:8" x14ac:dyDescent="0.2">
      <c r="A2064" s="1186" t="s">
        <v>311</v>
      </c>
      <c r="B2064" s="1186" t="s">
        <v>972</v>
      </c>
      <c r="C2064" s="1186" t="s">
        <v>1981</v>
      </c>
      <c r="D2064" s="1186" t="s">
        <v>1988</v>
      </c>
      <c r="E2064" s="1186" t="s">
        <v>2031</v>
      </c>
      <c r="F2064" s="1186" t="s">
        <v>2034</v>
      </c>
      <c r="G2064" s="1186" t="s">
        <v>852</v>
      </c>
      <c r="H2064" s="1186">
        <v>1</v>
      </c>
    </row>
    <row r="2065" spans="1:8" x14ac:dyDescent="0.2">
      <c r="A2065" s="1186" t="s">
        <v>311</v>
      </c>
      <c r="B2065" s="1186" t="s">
        <v>972</v>
      </c>
      <c r="C2065" s="1186" t="s">
        <v>1981</v>
      </c>
      <c r="D2065" s="1186" t="s">
        <v>1988</v>
      </c>
      <c r="E2065" s="1186" t="s">
        <v>2035</v>
      </c>
      <c r="F2065" s="1186" t="s">
        <v>2032</v>
      </c>
      <c r="G2065" s="1186" t="s">
        <v>828</v>
      </c>
      <c r="H2065" s="1186">
        <v>21</v>
      </c>
    </row>
    <row r="2066" spans="1:8" x14ac:dyDescent="0.2">
      <c r="A2066" s="1186" t="s">
        <v>311</v>
      </c>
      <c r="B2066" s="1186" t="s">
        <v>972</v>
      </c>
      <c r="C2066" s="1186" t="s">
        <v>1981</v>
      </c>
      <c r="D2066" s="1186" t="s">
        <v>1988</v>
      </c>
      <c r="E2066" s="1186" t="s">
        <v>2035</v>
      </c>
      <c r="F2066" s="1186" t="s">
        <v>2032</v>
      </c>
      <c r="G2066" s="1186" t="s">
        <v>850</v>
      </c>
      <c r="H2066" s="1186">
        <v>3</v>
      </c>
    </row>
    <row r="2067" spans="1:8" x14ac:dyDescent="0.2">
      <c r="A2067" s="1186" t="s">
        <v>311</v>
      </c>
      <c r="B2067" s="1186" t="s">
        <v>972</v>
      </c>
      <c r="C2067" s="1186" t="s">
        <v>1981</v>
      </c>
      <c r="D2067" s="1186" t="s">
        <v>1988</v>
      </c>
      <c r="E2067" s="1186" t="s">
        <v>2035</v>
      </c>
      <c r="F2067" s="1186" t="s">
        <v>2032</v>
      </c>
      <c r="G2067" s="1186" t="s">
        <v>851</v>
      </c>
      <c r="H2067" s="1186">
        <v>8</v>
      </c>
    </row>
    <row r="2068" spans="1:8" x14ac:dyDescent="0.2">
      <c r="A2068" s="1186" t="s">
        <v>311</v>
      </c>
      <c r="B2068" s="1186" t="s">
        <v>972</v>
      </c>
      <c r="C2068" s="1186" t="s">
        <v>1981</v>
      </c>
      <c r="D2068" s="1186" t="s">
        <v>1988</v>
      </c>
      <c r="E2068" s="1186" t="s">
        <v>2035</v>
      </c>
      <c r="F2068" s="1186" t="s">
        <v>2032</v>
      </c>
      <c r="G2068" s="1186" t="s">
        <v>852</v>
      </c>
      <c r="H2068" s="1186">
        <v>9</v>
      </c>
    </row>
    <row r="2069" spans="1:8" x14ac:dyDescent="0.2">
      <c r="A2069" s="1186" t="s">
        <v>311</v>
      </c>
      <c r="B2069" s="1186" t="s">
        <v>972</v>
      </c>
      <c r="C2069" s="1186" t="s">
        <v>1981</v>
      </c>
      <c r="D2069" s="1186" t="s">
        <v>1988</v>
      </c>
      <c r="E2069" s="1186" t="s">
        <v>2035</v>
      </c>
      <c r="F2069" s="1186" t="s">
        <v>2033</v>
      </c>
      <c r="G2069" s="1186" t="s">
        <v>828</v>
      </c>
      <c r="H2069" s="1186">
        <v>115</v>
      </c>
    </row>
    <row r="2070" spans="1:8" x14ac:dyDescent="0.2">
      <c r="A2070" s="1186" t="s">
        <v>311</v>
      </c>
      <c r="B2070" s="1186" t="s">
        <v>972</v>
      </c>
      <c r="C2070" s="1186" t="s">
        <v>1981</v>
      </c>
      <c r="D2070" s="1186" t="s">
        <v>1988</v>
      </c>
      <c r="E2070" s="1186" t="s">
        <v>2035</v>
      </c>
      <c r="F2070" s="1186" t="s">
        <v>2033</v>
      </c>
      <c r="G2070" s="1186" t="s">
        <v>850</v>
      </c>
      <c r="H2070" s="1186">
        <v>10</v>
      </c>
    </row>
    <row r="2071" spans="1:8" x14ac:dyDescent="0.2">
      <c r="A2071" s="1186" t="s">
        <v>311</v>
      </c>
      <c r="B2071" s="1186" t="s">
        <v>972</v>
      </c>
      <c r="C2071" s="1186" t="s">
        <v>1981</v>
      </c>
      <c r="D2071" s="1186" t="s">
        <v>1988</v>
      </c>
      <c r="E2071" s="1186" t="s">
        <v>2035</v>
      </c>
      <c r="F2071" s="1186" t="s">
        <v>2033</v>
      </c>
      <c r="G2071" s="1186" t="s">
        <v>851</v>
      </c>
      <c r="H2071" s="1186">
        <v>127</v>
      </c>
    </row>
    <row r="2072" spans="1:8" x14ac:dyDescent="0.2">
      <c r="A2072" s="1186" t="s">
        <v>311</v>
      </c>
      <c r="B2072" s="1186" t="s">
        <v>972</v>
      </c>
      <c r="C2072" s="1186" t="s">
        <v>1981</v>
      </c>
      <c r="D2072" s="1186" t="s">
        <v>1988</v>
      </c>
      <c r="E2072" s="1186" t="s">
        <v>2035</v>
      </c>
      <c r="F2072" s="1186" t="s">
        <v>2033</v>
      </c>
      <c r="G2072" s="1186" t="s">
        <v>852</v>
      </c>
      <c r="H2072" s="1186">
        <v>25</v>
      </c>
    </row>
    <row r="2073" spans="1:8" x14ac:dyDescent="0.2">
      <c r="A2073" s="1186" t="s">
        <v>311</v>
      </c>
      <c r="B2073" s="1186" t="s">
        <v>972</v>
      </c>
      <c r="C2073" s="1186" t="s">
        <v>1981</v>
      </c>
      <c r="D2073" s="1186" t="s">
        <v>1988</v>
      </c>
      <c r="E2073" s="1186" t="s">
        <v>2035</v>
      </c>
      <c r="F2073" s="1186" t="s">
        <v>2034</v>
      </c>
      <c r="G2073" s="1186" t="s">
        <v>828</v>
      </c>
      <c r="H2073" s="1186">
        <v>76</v>
      </c>
    </row>
    <row r="2074" spans="1:8" x14ac:dyDescent="0.2">
      <c r="A2074" s="1186" t="s">
        <v>311</v>
      </c>
      <c r="B2074" s="1186" t="s">
        <v>972</v>
      </c>
      <c r="C2074" s="1186" t="s">
        <v>1981</v>
      </c>
      <c r="D2074" s="1186" t="s">
        <v>1988</v>
      </c>
      <c r="E2074" s="1186" t="s">
        <v>2035</v>
      </c>
      <c r="F2074" s="1186" t="s">
        <v>2034</v>
      </c>
      <c r="G2074" s="1186" t="s">
        <v>850</v>
      </c>
      <c r="H2074" s="1186">
        <v>19</v>
      </c>
    </row>
    <row r="2075" spans="1:8" x14ac:dyDescent="0.2">
      <c r="A2075" s="1186" t="s">
        <v>311</v>
      </c>
      <c r="B2075" s="1186" t="s">
        <v>972</v>
      </c>
      <c r="C2075" s="1186" t="s">
        <v>1981</v>
      </c>
      <c r="D2075" s="1186" t="s">
        <v>1988</v>
      </c>
      <c r="E2075" s="1186" t="s">
        <v>2035</v>
      </c>
      <c r="F2075" s="1186" t="s">
        <v>2034</v>
      </c>
      <c r="G2075" s="1186" t="s">
        <v>851</v>
      </c>
      <c r="H2075" s="1186">
        <v>32</v>
      </c>
    </row>
    <row r="2076" spans="1:8" x14ac:dyDescent="0.2">
      <c r="A2076" s="1186" t="s">
        <v>311</v>
      </c>
      <c r="B2076" s="1186" t="s">
        <v>972</v>
      </c>
      <c r="C2076" s="1186" t="s">
        <v>1981</v>
      </c>
      <c r="D2076" s="1186" t="s">
        <v>1988</v>
      </c>
      <c r="E2076" s="1186" t="s">
        <v>2035</v>
      </c>
      <c r="F2076" s="1186" t="s">
        <v>2034</v>
      </c>
      <c r="G2076" s="1186" t="s">
        <v>852</v>
      </c>
      <c r="H2076" s="1186">
        <v>14</v>
      </c>
    </row>
    <row r="2077" spans="1:8" x14ac:dyDescent="0.2">
      <c r="A2077" s="1186" t="s">
        <v>621</v>
      </c>
      <c r="B2077" s="1186" t="s">
        <v>973</v>
      </c>
      <c r="C2077" s="1186" t="s">
        <v>1981</v>
      </c>
      <c r="D2077" s="1186" t="s">
        <v>1982</v>
      </c>
      <c r="E2077" s="1186" t="s">
        <v>2031</v>
      </c>
      <c r="F2077" s="1186" t="s">
        <v>2032</v>
      </c>
      <c r="G2077" s="1186" t="s">
        <v>828</v>
      </c>
      <c r="H2077" s="1186">
        <v>2</v>
      </c>
    </row>
    <row r="2078" spans="1:8" x14ac:dyDescent="0.2">
      <c r="A2078" s="1186" t="s">
        <v>621</v>
      </c>
      <c r="B2078" s="1186" t="s">
        <v>973</v>
      </c>
      <c r="C2078" s="1186" t="s">
        <v>1981</v>
      </c>
      <c r="D2078" s="1186" t="s">
        <v>1982</v>
      </c>
      <c r="E2078" s="1186" t="s">
        <v>2031</v>
      </c>
      <c r="F2078" s="1186" t="s">
        <v>2033</v>
      </c>
      <c r="G2078" s="1186" t="s">
        <v>828</v>
      </c>
      <c r="H2078" s="1186">
        <v>81</v>
      </c>
    </row>
    <row r="2079" spans="1:8" x14ac:dyDescent="0.2">
      <c r="A2079" s="1186" t="s">
        <v>621</v>
      </c>
      <c r="B2079" s="1186" t="s">
        <v>973</v>
      </c>
      <c r="C2079" s="1186" t="s">
        <v>1981</v>
      </c>
      <c r="D2079" s="1186" t="s">
        <v>1982</v>
      </c>
      <c r="E2079" s="1186" t="s">
        <v>2031</v>
      </c>
      <c r="F2079" s="1186" t="s">
        <v>2033</v>
      </c>
      <c r="G2079" s="1186" t="s">
        <v>850</v>
      </c>
      <c r="H2079" s="1186">
        <v>9</v>
      </c>
    </row>
    <row r="2080" spans="1:8" x14ac:dyDescent="0.2">
      <c r="A2080" s="1186" t="s">
        <v>621</v>
      </c>
      <c r="B2080" s="1186" t="s">
        <v>973</v>
      </c>
      <c r="C2080" s="1186" t="s">
        <v>1981</v>
      </c>
      <c r="D2080" s="1186" t="s">
        <v>1982</v>
      </c>
      <c r="E2080" s="1186" t="s">
        <v>2031</v>
      </c>
      <c r="F2080" s="1186" t="s">
        <v>2033</v>
      </c>
      <c r="G2080" s="1186" t="s">
        <v>851</v>
      </c>
      <c r="H2080" s="1186">
        <v>2</v>
      </c>
    </row>
    <row r="2081" spans="1:8" x14ac:dyDescent="0.2">
      <c r="A2081" s="1186" t="s">
        <v>621</v>
      </c>
      <c r="B2081" s="1186" t="s">
        <v>973</v>
      </c>
      <c r="C2081" s="1186" t="s">
        <v>1981</v>
      </c>
      <c r="D2081" s="1186" t="s">
        <v>1982</v>
      </c>
      <c r="E2081" s="1186" t="s">
        <v>2031</v>
      </c>
      <c r="F2081" s="1186" t="s">
        <v>2033</v>
      </c>
      <c r="G2081" s="1186" t="s">
        <v>852</v>
      </c>
      <c r="H2081" s="1186">
        <v>2</v>
      </c>
    </row>
    <row r="2082" spans="1:8" x14ac:dyDescent="0.2">
      <c r="A2082" s="1186" t="s">
        <v>621</v>
      </c>
      <c r="B2082" s="1186" t="s">
        <v>973</v>
      </c>
      <c r="C2082" s="1186" t="s">
        <v>1981</v>
      </c>
      <c r="D2082" s="1186" t="s">
        <v>1982</v>
      </c>
      <c r="E2082" s="1186" t="s">
        <v>2031</v>
      </c>
      <c r="F2082" s="1186" t="s">
        <v>2034</v>
      </c>
      <c r="G2082" s="1186" t="s">
        <v>828</v>
      </c>
      <c r="H2082" s="1186">
        <v>8</v>
      </c>
    </row>
    <row r="2083" spans="1:8" x14ac:dyDescent="0.2">
      <c r="A2083" s="1186" t="s">
        <v>621</v>
      </c>
      <c r="B2083" s="1186" t="s">
        <v>973</v>
      </c>
      <c r="C2083" s="1186" t="s">
        <v>1981</v>
      </c>
      <c r="D2083" s="1186" t="s">
        <v>1982</v>
      </c>
      <c r="E2083" s="1186" t="s">
        <v>2031</v>
      </c>
      <c r="F2083" s="1186" t="s">
        <v>2034</v>
      </c>
      <c r="G2083" s="1186" t="s">
        <v>850</v>
      </c>
      <c r="H2083" s="1186">
        <v>1</v>
      </c>
    </row>
    <row r="2084" spans="1:8" x14ac:dyDescent="0.2">
      <c r="A2084" s="1186" t="s">
        <v>621</v>
      </c>
      <c r="B2084" s="1186" t="s">
        <v>973</v>
      </c>
      <c r="C2084" s="1186" t="s">
        <v>1981</v>
      </c>
      <c r="D2084" s="1186" t="s">
        <v>1982</v>
      </c>
      <c r="E2084" s="1186" t="s">
        <v>2035</v>
      </c>
      <c r="F2084" s="1186" t="s">
        <v>2032</v>
      </c>
      <c r="G2084" s="1186" t="s">
        <v>828</v>
      </c>
      <c r="H2084" s="1186">
        <v>14</v>
      </c>
    </row>
    <row r="2085" spans="1:8" x14ac:dyDescent="0.2">
      <c r="A2085" s="1186" t="s">
        <v>621</v>
      </c>
      <c r="B2085" s="1186" t="s">
        <v>973</v>
      </c>
      <c r="C2085" s="1186" t="s">
        <v>1981</v>
      </c>
      <c r="D2085" s="1186" t="s">
        <v>1982</v>
      </c>
      <c r="E2085" s="1186" t="s">
        <v>2035</v>
      </c>
      <c r="F2085" s="1186" t="s">
        <v>2032</v>
      </c>
      <c r="G2085" s="1186" t="s">
        <v>850</v>
      </c>
      <c r="H2085" s="1186">
        <v>1</v>
      </c>
    </row>
    <row r="2086" spans="1:8" x14ac:dyDescent="0.2">
      <c r="A2086" s="1186" t="s">
        <v>621</v>
      </c>
      <c r="B2086" s="1186" t="s">
        <v>973</v>
      </c>
      <c r="C2086" s="1186" t="s">
        <v>1981</v>
      </c>
      <c r="D2086" s="1186" t="s">
        <v>1982</v>
      </c>
      <c r="E2086" s="1186" t="s">
        <v>2035</v>
      </c>
      <c r="F2086" s="1186" t="s">
        <v>2032</v>
      </c>
      <c r="G2086" s="1186" t="s">
        <v>851</v>
      </c>
      <c r="H2086" s="1186">
        <v>3</v>
      </c>
    </row>
    <row r="2087" spans="1:8" x14ac:dyDescent="0.2">
      <c r="A2087" s="1186" t="s">
        <v>621</v>
      </c>
      <c r="B2087" s="1186" t="s">
        <v>973</v>
      </c>
      <c r="C2087" s="1186" t="s">
        <v>1981</v>
      </c>
      <c r="D2087" s="1186" t="s">
        <v>1982</v>
      </c>
      <c r="E2087" s="1186" t="s">
        <v>2035</v>
      </c>
      <c r="F2087" s="1186" t="s">
        <v>2032</v>
      </c>
      <c r="G2087" s="1186" t="s">
        <v>852</v>
      </c>
      <c r="H2087" s="1186">
        <v>6</v>
      </c>
    </row>
    <row r="2088" spans="1:8" x14ac:dyDescent="0.2">
      <c r="A2088" s="1186" t="s">
        <v>621</v>
      </c>
      <c r="B2088" s="1186" t="s">
        <v>973</v>
      </c>
      <c r="C2088" s="1186" t="s">
        <v>1981</v>
      </c>
      <c r="D2088" s="1186" t="s">
        <v>1982</v>
      </c>
      <c r="E2088" s="1186" t="s">
        <v>2035</v>
      </c>
      <c r="F2088" s="1186" t="s">
        <v>2033</v>
      </c>
      <c r="G2088" s="1186" t="s">
        <v>828</v>
      </c>
      <c r="H2088" s="1186">
        <v>68</v>
      </c>
    </row>
    <row r="2089" spans="1:8" x14ac:dyDescent="0.2">
      <c r="A2089" s="1186" t="s">
        <v>621</v>
      </c>
      <c r="B2089" s="1186" t="s">
        <v>973</v>
      </c>
      <c r="C2089" s="1186" t="s">
        <v>1981</v>
      </c>
      <c r="D2089" s="1186" t="s">
        <v>1982</v>
      </c>
      <c r="E2089" s="1186" t="s">
        <v>2035</v>
      </c>
      <c r="F2089" s="1186" t="s">
        <v>2033</v>
      </c>
      <c r="G2089" s="1186" t="s">
        <v>850</v>
      </c>
      <c r="H2089" s="1186">
        <v>12</v>
      </c>
    </row>
    <row r="2090" spans="1:8" x14ac:dyDescent="0.2">
      <c r="A2090" s="1186" t="s">
        <v>621</v>
      </c>
      <c r="B2090" s="1186" t="s">
        <v>973</v>
      </c>
      <c r="C2090" s="1186" t="s">
        <v>1981</v>
      </c>
      <c r="D2090" s="1186" t="s">
        <v>1982</v>
      </c>
      <c r="E2090" s="1186" t="s">
        <v>2035</v>
      </c>
      <c r="F2090" s="1186" t="s">
        <v>2033</v>
      </c>
      <c r="G2090" s="1186" t="s">
        <v>851</v>
      </c>
      <c r="H2090" s="1186">
        <v>114</v>
      </c>
    </row>
    <row r="2091" spans="1:8" x14ac:dyDescent="0.2">
      <c r="A2091" s="1186" t="s">
        <v>621</v>
      </c>
      <c r="B2091" s="1186" t="s">
        <v>973</v>
      </c>
      <c r="C2091" s="1186" t="s">
        <v>1981</v>
      </c>
      <c r="D2091" s="1186" t="s">
        <v>1982</v>
      </c>
      <c r="E2091" s="1186" t="s">
        <v>2035</v>
      </c>
      <c r="F2091" s="1186" t="s">
        <v>2033</v>
      </c>
      <c r="G2091" s="1186" t="s">
        <v>852</v>
      </c>
      <c r="H2091" s="1186">
        <v>38</v>
      </c>
    </row>
    <row r="2092" spans="1:8" x14ac:dyDescent="0.2">
      <c r="A2092" s="1186" t="s">
        <v>621</v>
      </c>
      <c r="B2092" s="1186" t="s">
        <v>973</v>
      </c>
      <c r="C2092" s="1186" t="s">
        <v>1981</v>
      </c>
      <c r="D2092" s="1186" t="s">
        <v>1982</v>
      </c>
      <c r="E2092" s="1186" t="s">
        <v>2035</v>
      </c>
      <c r="F2092" s="1186" t="s">
        <v>2034</v>
      </c>
      <c r="G2092" s="1186" t="s">
        <v>828</v>
      </c>
      <c r="H2092" s="1186">
        <v>85</v>
      </c>
    </row>
    <row r="2093" spans="1:8" x14ac:dyDescent="0.2">
      <c r="A2093" s="1186" t="s">
        <v>621</v>
      </c>
      <c r="B2093" s="1186" t="s">
        <v>973</v>
      </c>
      <c r="C2093" s="1186" t="s">
        <v>1981</v>
      </c>
      <c r="D2093" s="1186" t="s">
        <v>1982</v>
      </c>
      <c r="E2093" s="1186" t="s">
        <v>2035</v>
      </c>
      <c r="F2093" s="1186" t="s">
        <v>2034</v>
      </c>
      <c r="G2093" s="1186" t="s">
        <v>850</v>
      </c>
      <c r="H2093" s="1186">
        <v>32</v>
      </c>
    </row>
    <row r="2094" spans="1:8" x14ac:dyDescent="0.2">
      <c r="A2094" s="1186" t="s">
        <v>621</v>
      </c>
      <c r="B2094" s="1186" t="s">
        <v>973</v>
      </c>
      <c r="C2094" s="1186" t="s">
        <v>1981</v>
      </c>
      <c r="D2094" s="1186" t="s">
        <v>1982</v>
      </c>
      <c r="E2094" s="1186" t="s">
        <v>2035</v>
      </c>
      <c r="F2094" s="1186" t="s">
        <v>2034</v>
      </c>
      <c r="G2094" s="1186" t="s">
        <v>851</v>
      </c>
      <c r="H2094" s="1186">
        <v>24</v>
      </c>
    </row>
    <row r="2095" spans="1:8" x14ac:dyDescent="0.2">
      <c r="A2095" s="1186" t="s">
        <v>621</v>
      </c>
      <c r="B2095" s="1186" t="s">
        <v>973</v>
      </c>
      <c r="C2095" s="1186" t="s">
        <v>1981</v>
      </c>
      <c r="D2095" s="1186" t="s">
        <v>1982</v>
      </c>
      <c r="E2095" s="1186" t="s">
        <v>2035</v>
      </c>
      <c r="F2095" s="1186" t="s">
        <v>2034</v>
      </c>
      <c r="G2095" s="1186" t="s">
        <v>852</v>
      </c>
      <c r="H2095" s="1186">
        <v>15</v>
      </c>
    </row>
    <row r="2096" spans="1:8" x14ac:dyDescent="0.2">
      <c r="A2096" s="1186" t="s">
        <v>621</v>
      </c>
      <c r="B2096" s="1186" t="s">
        <v>974</v>
      </c>
      <c r="C2096" s="1186" t="s">
        <v>1981</v>
      </c>
      <c r="D2096" s="1186" t="s">
        <v>1982</v>
      </c>
      <c r="E2096" s="1186" t="s">
        <v>2031</v>
      </c>
      <c r="F2096" s="1186" t="s">
        <v>2032</v>
      </c>
      <c r="G2096" s="1186" t="s">
        <v>828</v>
      </c>
      <c r="H2096" s="1186">
        <v>2</v>
      </c>
    </row>
    <row r="2097" spans="1:8" x14ac:dyDescent="0.2">
      <c r="A2097" s="1186" t="s">
        <v>621</v>
      </c>
      <c r="B2097" s="1186" t="s">
        <v>974</v>
      </c>
      <c r="C2097" s="1186" t="s">
        <v>1981</v>
      </c>
      <c r="D2097" s="1186" t="s">
        <v>1982</v>
      </c>
      <c r="E2097" s="1186" t="s">
        <v>2031</v>
      </c>
      <c r="F2097" s="1186" t="s">
        <v>2032</v>
      </c>
      <c r="G2097" s="1186" t="s">
        <v>851</v>
      </c>
      <c r="H2097" s="1186">
        <v>1</v>
      </c>
    </row>
    <row r="2098" spans="1:8" x14ac:dyDescent="0.2">
      <c r="A2098" s="1186" t="s">
        <v>621</v>
      </c>
      <c r="B2098" s="1186" t="s">
        <v>974</v>
      </c>
      <c r="C2098" s="1186" t="s">
        <v>1981</v>
      </c>
      <c r="D2098" s="1186" t="s">
        <v>1982</v>
      </c>
      <c r="E2098" s="1186" t="s">
        <v>2031</v>
      </c>
      <c r="F2098" s="1186" t="s">
        <v>2033</v>
      </c>
      <c r="G2098" s="1186" t="s">
        <v>828</v>
      </c>
      <c r="H2098" s="1186">
        <v>79</v>
      </c>
    </row>
    <row r="2099" spans="1:8" x14ac:dyDescent="0.2">
      <c r="A2099" s="1186" t="s">
        <v>621</v>
      </c>
      <c r="B2099" s="1186" t="s">
        <v>974</v>
      </c>
      <c r="C2099" s="1186" t="s">
        <v>1981</v>
      </c>
      <c r="D2099" s="1186" t="s">
        <v>1982</v>
      </c>
      <c r="E2099" s="1186" t="s">
        <v>2031</v>
      </c>
      <c r="F2099" s="1186" t="s">
        <v>2033</v>
      </c>
      <c r="G2099" s="1186" t="s">
        <v>850</v>
      </c>
      <c r="H2099" s="1186">
        <v>9</v>
      </c>
    </row>
    <row r="2100" spans="1:8" x14ac:dyDescent="0.2">
      <c r="A2100" s="1186" t="s">
        <v>621</v>
      </c>
      <c r="B2100" s="1186" t="s">
        <v>974</v>
      </c>
      <c r="C2100" s="1186" t="s">
        <v>1981</v>
      </c>
      <c r="D2100" s="1186" t="s">
        <v>1982</v>
      </c>
      <c r="E2100" s="1186" t="s">
        <v>2031</v>
      </c>
      <c r="F2100" s="1186" t="s">
        <v>2033</v>
      </c>
      <c r="G2100" s="1186" t="s">
        <v>851</v>
      </c>
      <c r="H2100" s="1186">
        <v>4</v>
      </c>
    </row>
    <row r="2101" spans="1:8" x14ac:dyDescent="0.2">
      <c r="A2101" s="1186" t="s">
        <v>621</v>
      </c>
      <c r="B2101" s="1186" t="s">
        <v>974</v>
      </c>
      <c r="C2101" s="1186" t="s">
        <v>1981</v>
      </c>
      <c r="D2101" s="1186" t="s">
        <v>1982</v>
      </c>
      <c r="E2101" s="1186" t="s">
        <v>2031</v>
      </c>
      <c r="F2101" s="1186" t="s">
        <v>2033</v>
      </c>
      <c r="G2101" s="1186" t="s">
        <v>852</v>
      </c>
      <c r="H2101" s="1186">
        <v>10</v>
      </c>
    </row>
    <row r="2102" spans="1:8" x14ac:dyDescent="0.2">
      <c r="A2102" s="1186" t="s">
        <v>621</v>
      </c>
      <c r="B2102" s="1186" t="s">
        <v>974</v>
      </c>
      <c r="C2102" s="1186" t="s">
        <v>1981</v>
      </c>
      <c r="D2102" s="1186" t="s">
        <v>1982</v>
      </c>
      <c r="E2102" s="1186" t="s">
        <v>2031</v>
      </c>
      <c r="F2102" s="1186" t="s">
        <v>2034</v>
      </c>
      <c r="G2102" s="1186" t="s">
        <v>828</v>
      </c>
      <c r="H2102" s="1186">
        <v>21</v>
      </c>
    </row>
    <row r="2103" spans="1:8" x14ac:dyDescent="0.2">
      <c r="A2103" s="1186" t="s">
        <v>621</v>
      </c>
      <c r="B2103" s="1186" t="s">
        <v>974</v>
      </c>
      <c r="C2103" s="1186" t="s">
        <v>1981</v>
      </c>
      <c r="D2103" s="1186" t="s">
        <v>1982</v>
      </c>
      <c r="E2103" s="1186" t="s">
        <v>2031</v>
      </c>
      <c r="F2103" s="1186" t="s">
        <v>2034</v>
      </c>
      <c r="G2103" s="1186" t="s">
        <v>850</v>
      </c>
      <c r="H2103" s="1186">
        <v>5</v>
      </c>
    </row>
    <row r="2104" spans="1:8" x14ac:dyDescent="0.2">
      <c r="A2104" s="1186" t="s">
        <v>621</v>
      </c>
      <c r="B2104" s="1186" t="s">
        <v>974</v>
      </c>
      <c r="C2104" s="1186" t="s">
        <v>1981</v>
      </c>
      <c r="D2104" s="1186" t="s">
        <v>1982</v>
      </c>
      <c r="E2104" s="1186" t="s">
        <v>2035</v>
      </c>
      <c r="F2104" s="1186" t="s">
        <v>2032</v>
      </c>
      <c r="G2104" s="1186" t="s">
        <v>828</v>
      </c>
      <c r="H2104" s="1186">
        <v>24</v>
      </c>
    </row>
    <row r="2105" spans="1:8" x14ac:dyDescent="0.2">
      <c r="A2105" s="1186" t="s">
        <v>621</v>
      </c>
      <c r="B2105" s="1186" t="s">
        <v>974</v>
      </c>
      <c r="C2105" s="1186" t="s">
        <v>1981</v>
      </c>
      <c r="D2105" s="1186" t="s">
        <v>1982</v>
      </c>
      <c r="E2105" s="1186" t="s">
        <v>2035</v>
      </c>
      <c r="F2105" s="1186" t="s">
        <v>2032</v>
      </c>
      <c r="G2105" s="1186" t="s">
        <v>851</v>
      </c>
      <c r="H2105" s="1186">
        <v>11</v>
      </c>
    </row>
    <row r="2106" spans="1:8" x14ac:dyDescent="0.2">
      <c r="A2106" s="1186" t="s">
        <v>621</v>
      </c>
      <c r="B2106" s="1186" t="s">
        <v>974</v>
      </c>
      <c r="C2106" s="1186" t="s">
        <v>1981</v>
      </c>
      <c r="D2106" s="1186" t="s">
        <v>1982</v>
      </c>
      <c r="E2106" s="1186" t="s">
        <v>2035</v>
      </c>
      <c r="F2106" s="1186" t="s">
        <v>2032</v>
      </c>
      <c r="G2106" s="1186" t="s">
        <v>852</v>
      </c>
      <c r="H2106" s="1186">
        <v>6</v>
      </c>
    </row>
    <row r="2107" spans="1:8" x14ac:dyDescent="0.2">
      <c r="A2107" s="1186" t="s">
        <v>621</v>
      </c>
      <c r="B2107" s="1186" t="s">
        <v>974</v>
      </c>
      <c r="C2107" s="1186" t="s">
        <v>1981</v>
      </c>
      <c r="D2107" s="1186" t="s">
        <v>1982</v>
      </c>
      <c r="E2107" s="1186" t="s">
        <v>2035</v>
      </c>
      <c r="F2107" s="1186" t="s">
        <v>2033</v>
      </c>
      <c r="G2107" s="1186" t="s">
        <v>828</v>
      </c>
      <c r="H2107" s="1186">
        <v>81</v>
      </c>
    </row>
    <row r="2108" spans="1:8" x14ac:dyDescent="0.2">
      <c r="A2108" s="1186" t="s">
        <v>621</v>
      </c>
      <c r="B2108" s="1186" t="s">
        <v>974</v>
      </c>
      <c r="C2108" s="1186" t="s">
        <v>1981</v>
      </c>
      <c r="D2108" s="1186" t="s">
        <v>1982</v>
      </c>
      <c r="E2108" s="1186" t="s">
        <v>2035</v>
      </c>
      <c r="F2108" s="1186" t="s">
        <v>2033</v>
      </c>
      <c r="G2108" s="1186" t="s">
        <v>850</v>
      </c>
      <c r="H2108" s="1186">
        <v>22</v>
      </c>
    </row>
    <row r="2109" spans="1:8" x14ac:dyDescent="0.2">
      <c r="A2109" s="1186" t="s">
        <v>621</v>
      </c>
      <c r="B2109" s="1186" t="s">
        <v>974</v>
      </c>
      <c r="C2109" s="1186" t="s">
        <v>1981</v>
      </c>
      <c r="D2109" s="1186" t="s">
        <v>1982</v>
      </c>
      <c r="E2109" s="1186" t="s">
        <v>2035</v>
      </c>
      <c r="F2109" s="1186" t="s">
        <v>2033</v>
      </c>
      <c r="G2109" s="1186" t="s">
        <v>851</v>
      </c>
      <c r="H2109" s="1186">
        <v>138</v>
      </c>
    </row>
    <row r="2110" spans="1:8" x14ac:dyDescent="0.2">
      <c r="A2110" s="1186" t="s">
        <v>621</v>
      </c>
      <c r="B2110" s="1186" t="s">
        <v>974</v>
      </c>
      <c r="C2110" s="1186" t="s">
        <v>1981</v>
      </c>
      <c r="D2110" s="1186" t="s">
        <v>1982</v>
      </c>
      <c r="E2110" s="1186" t="s">
        <v>2035</v>
      </c>
      <c r="F2110" s="1186" t="s">
        <v>2033</v>
      </c>
      <c r="G2110" s="1186" t="s">
        <v>852</v>
      </c>
      <c r="H2110" s="1186">
        <v>31</v>
      </c>
    </row>
    <row r="2111" spans="1:8" x14ac:dyDescent="0.2">
      <c r="A2111" s="1186" t="s">
        <v>621</v>
      </c>
      <c r="B2111" s="1186" t="s">
        <v>974</v>
      </c>
      <c r="C2111" s="1186" t="s">
        <v>1981</v>
      </c>
      <c r="D2111" s="1186" t="s">
        <v>1982</v>
      </c>
      <c r="E2111" s="1186" t="s">
        <v>2035</v>
      </c>
      <c r="F2111" s="1186" t="s">
        <v>2034</v>
      </c>
      <c r="G2111" s="1186" t="s">
        <v>828</v>
      </c>
      <c r="H2111" s="1186">
        <v>96</v>
      </c>
    </row>
    <row r="2112" spans="1:8" x14ac:dyDescent="0.2">
      <c r="A2112" s="1186" t="s">
        <v>621</v>
      </c>
      <c r="B2112" s="1186" t="s">
        <v>974</v>
      </c>
      <c r="C2112" s="1186" t="s">
        <v>1981</v>
      </c>
      <c r="D2112" s="1186" t="s">
        <v>1982</v>
      </c>
      <c r="E2112" s="1186" t="s">
        <v>2035</v>
      </c>
      <c r="F2112" s="1186" t="s">
        <v>2034</v>
      </c>
      <c r="G2112" s="1186" t="s">
        <v>850</v>
      </c>
      <c r="H2112" s="1186">
        <v>37</v>
      </c>
    </row>
    <row r="2113" spans="1:8" x14ac:dyDescent="0.2">
      <c r="A2113" s="1186" t="s">
        <v>621</v>
      </c>
      <c r="B2113" s="1186" t="s">
        <v>974</v>
      </c>
      <c r="C2113" s="1186" t="s">
        <v>1981</v>
      </c>
      <c r="D2113" s="1186" t="s">
        <v>1982</v>
      </c>
      <c r="E2113" s="1186" t="s">
        <v>2035</v>
      </c>
      <c r="F2113" s="1186" t="s">
        <v>2034</v>
      </c>
      <c r="G2113" s="1186" t="s">
        <v>851</v>
      </c>
      <c r="H2113" s="1186">
        <v>42</v>
      </c>
    </row>
    <row r="2114" spans="1:8" x14ac:dyDescent="0.2">
      <c r="A2114" s="1186" t="s">
        <v>621</v>
      </c>
      <c r="B2114" s="1186" t="s">
        <v>974</v>
      </c>
      <c r="C2114" s="1186" t="s">
        <v>1981</v>
      </c>
      <c r="D2114" s="1186" t="s">
        <v>1982</v>
      </c>
      <c r="E2114" s="1186" t="s">
        <v>2035</v>
      </c>
      <c r="F2114" s="1186" t="s">
        <v>2034</v>
      </c>
      <c r="G2114" s="1186" t="s">
        <v>852</v>
      </c>
      <c r="H2114" s="1186">
        <v>38</v>
      </c>
    </row>
    <row r="2115" spans="1:8" x14ac:dyDescent="0.2">
      <c r="A2115" s="1186" t="s">
        <v>621</v>
      </c>
      <c r="B2115" s="1186" t="s">
        <v>975</v>
      </c>
      <c r="C2115" s="1186" t="s">
        <v>1983</v>
      </c>
      <c r="D2115" s="1186" t="s">
        <v>1982</v>
      </c>
      <c r="E2115" s="1186" t="s">
        <v>2031</v>
      </c>
      <c r="F2115" s="1186" t="s">
        <v>2032</v>
      </c>
      <c r="G2115" s="1186" t="s">
        <v>828</v>
      </c>
      <c r="H2115" s="1186">
        <v>1</v>
      </c>
    </row>
    <row r="2116" spans="1:8" x14ac:dyDescent="0.2">
      <c r="A2116" s="1186" t="s">
        <v>621</v>
      </c>
      <c r="B2116" s="1186" t="s">
        <v>975</v>
      </c>
      <c r="C2116" s="1186" t="s">
        <v>1983</v>
      </c>
      <c r="D2116" s="1186" t="s">
        <v>1982</v>
      </c>
      <c r="E2116" s="1186" t="s">
        <v>2031</v>
      </c>
      <c r="F2116" s="1186" t="s">
        <v>2033</v>
      </c>
      <c r="G2116" s="1186" t="s">
        <v>828</v>
      </c>
      <c r="H2116" s="1186">
        <v>101</v>
      </c>
    </row>
    <row r="2117" spans="1:8" x14ac:dyDescent="0.2">
      <c r="A2117" s="1186" t="s">
        <v>621</v>
      </c>
      <c r="B2117" s="1186" t="s">
        <v>975</v>
      </c>
      <c r="C2117" s="1186" t="s">
        <v>1983</v>
      </c>
      <c r="D2117" s="1186" t="s">
        <v>1982</v>
      </c>
      <c r="E2117" s="1186" t="s">
        <v>2031</v>
      </c>
      <c r="F2117" s="1186" t="s">
        <v>2033</v>
      </c>
      <c r="G2117" s="1186" t="s">
        <v>850</v>
      </c>
      <c r="H2117" s="1186">
        <v>12</v>
      </c>
    </row>
    <row r="2118" spans="1:8" x14ac:dyDescent="0.2">
      <c r="A2118" s="1186" t="s">
        <v>621</v>
      </c>
      <c r="B2118" s="1186" t="s">
        <v>975</v>
      </c>
      <c r="C2118" s="1186" t="s">
        <v>1983</v>
      </c>
      <c r="D2118" s="1186" t="s">
        <v>1982</v>
      </c>
      <c r="E2118" s="1186" t="s">
        <v>2031</v>
      </c>
      <c r="F2118" s="1186" t="s">
        <v>2033</v>
      </c>
      <c r="G2118" s="1186" t="s">
        <v>852</v>
      </c>
      <c r="H2118" s="1186">
        <v>4</v>
      </c>
    </row>
    <row r="2119" spans="1:8" x14ac:dyDescent="0.2">
      <c r="A2119" s="1186" t="s">
        <v>621</v>
      </c>
      <c r="B2119" s="1186" t="s">
        <v>975</v>
      </c>
      <c r="C2119" s="1186" t="s">
        <v>1983</v>
      </c>
      <c r="D2119" s="1186" t="s">
        <v>1982</v>
      </c>
      <c r="E2119" s="1186" t="s">
        <v>2031</v>
      </c>
      <c r="F2119" s="1186" t="s">
        <v>2034</v>
      </c>
      <c r="G2119" s="1186" t="s">
        <v>828</v>
      </c>
      <c r="H2119" s="1186">
        <v>13</v>
      </c>
    </row>
    <row r="2120" spans="1:8" x14ac:dyDescent="0.2">
      <c r="A2120" s="1186" t="s">
        <v>621</v>
      </c>
      <c r="B2120" s="1186" t="s">
        <v>975</v>
      </c>
      <c r="C2120" s="1186" t="s">
        <v>1983</v>
      </c>
      <c r="D2120" s="1186" t="s">
        <v>1982</v>
      </c>
      <c r="E2120" s="1186" t="s">
        <v>2031</v>
      </c>
      <c r="F2120" s="1186" t="s">
        <v>2034</v>
      </c>
      <c r="G2120" s="1186" t="s">
        <v>850</v>
      </c>
      <c r="H2120" s="1186">
        <v>7</v>
      </c>
    </row>
    <row r="2121" spans="1:8" x14ac:dyDescent="0.2">
      <c r="A2121" s="1186" t="s">
        <v>621</v>
      </c>
      <c r="B2121" s="1186" t="s">
        <v>975</v>
      </c>
      <c r="C2121" s="1186" t="s">
        <v>1983</v>
      </c>
      <c r="D2121" s="1186" t="s">
        <v>1982</v>
      </c>
      <c r="E2121" s="1186" t="s">
        <v>2031</v>
      </c>
      <c r="F2121" s="1186" t="s">
        <v>2034</v>
      </c>
      <c r="G2121" s="1186" t="s">
        <v>852</v>
      </c>
      <c r="H2121" s="1186">
        <v>1</v>
      </c>
    </row>
    <row r="2122" spans="1:8" x14ac:dyDescent="0.2">
      <c r="A2122" s="1186" t="s">
        <v>621</v>
      </c>
      <c r="B2122" s="1186" t="s">
        <v>975</v>
      </c>
      <c r="C2122" s="1186" t="s">
        <v>1983</v>
      </c>
      <c r="D2122" s="1186" t="s">
        <v>1982</v>
      </c>
      <c r="E2122" s="1186" t="s">
        <v>2035</v>
      </c>
      <c r="F2122" s="1186" t="s">
        <v>2032</v>
      </c>
      <c r="G2122" s="1186" t="s">
        <v>828</v>
      </c>
      <c r="H2122" s="1186">
        <v>13</v>
      </c>
    </row>
    <row r="2123" spans="1:8" x14ac:dyDescent="0.2">
      <c r="A2123" s="1186" t="s">
        <v>621</v>
      </c>
      <c r="B2123" s="1186" t="s">
        <v>975</v>
      </c>
      <c r="C2123" s="1186" t="s">
        <v>1983</v>
      </c>
      <c r="D2123" s="1186" t="s">
        <v>1982</v>
      </c>
      <c r="E2123" s="1186" t="s">
        <v>2035</v>
      </c>
      <c r="F2123" s="1186" t="s">
        <v>2032</v>
      </c>
      <c r="G2123" s="1186" t="s">
        <v>850</v>
      </c>
      <c r="H2123" s="1186">
        <v>1</v>
      </c>
    </row>
    <row r="2124" spans="1:8" x14ac:dyDescent="0.2">
      <c r="A2124" s="1186" t="s">
        <v>621</v>
      </c>
      <c r="B2124" s="1186" t="s">
        <v>975</v>
      </c>
      <c r="C2124" s="1186" t="s">
        <v>1983</v>
      </c>
      <c r="D2124" s="1186" t="s">
        <v>1982</v>
      </c>
      <c r="E2124" s="1186" t="s">
        <v>2035</v>
      </c>
      <c r="F2124" s="1186" t="s">
        <v>2032</v>
      </c>
      <c r="G2124" s="1186" t="s">
        <v>851</v>
      </c>
      <c r="H2124" s="1186">
        <v>10</v>
      </c>
    </row>
    <row r="2125" spans="1:8" x14ac:dyDescent="0.2">
      <c r="A2125" s="1186" t="s">
        <v>621</v>
      </c>
      <c r="B2125" s="1186" t="s">
        <v>975</v>
      </c>
      <c r="C2125" s="1186" t="s">
        <v>1983</v>
      </c>
      <c r="D2125" s="1186" t="s">
        <v>1982</v>
      </c>
      <c r="E2125" s="1186" t="s">
        <v>2035</v>
      </c>
      <c r="F2125" s="1186" t="s">
        <v>2032</v>
      </c>
      <c r="G2125" s="1186" t="s">
        <v>852</v>
      </c>
      <c r="H2125" s="1186">
        <v>7</v>
      </c>
    </row>
    <row r="2126" spans="1:8" x14ac:dyDescent="0.2">
      <c r="A2126" s="1186" t="s">
        <v>621</v>
      </c>
      <c r="B2126" s="1186" t="s">
        <v>975</v>
      </c>
      <c r="C2126" s="1186" t="s">
        <v>1983</v>
      </c>
      <c r="D2126" s="1186" t="s">
        <v>1982</v>
      </c>
      <c r="E2126" s="1186" t="s">
        <v>2035</v>
      </c>
      <c r="F2126" s="1186" t="s">
        <v>2033</v>
      </c>
      <c r="G2126" s="1186" t="s">
        <v>828</v>
      </c>
      <c r="H2126" s="1186">
        <v>77</v>
      </c>
    </row>
    <row r="2127" spans="1:8" x14ac:dyDescent="0.2">
      <c r="A2127" s="1186" t="s">
        <v>621</v>
      </c>
      <c r="B2127" s="1186" t="s">
        <v>975</v>
      </c>
      <c r="C2127" s="1186" t="s">
        <v>1983</v>
      </c>
      <c r="D2127" s="1186" t="s">
        <v>1982</v>
      </c>
      <c r="E2127" s="1186" t="s">
        <v>2035</v>
      </c>
      <c r="F2127" s="1186" t="s">
        <v>2033</v>
      </c>
      <c r="G2127" s="1186" t="s">
        <v>850</v>
      </c>
      <c r="H2127" s="1186">
        <v>14</v>
      </c>
    </row>
    <row r="2128" spans="1:8" x14ac:dyDescent="0.2">
      <c r="A2128" s="1186" t="s">
        <v>621</v>
      </c>
      <c r="B2128" s="1186" t="s">
        <v>975</v>
      </c>
      <c r="C2128" s="1186" t="s">
        <v>1983</v>
      </c>
      <c r="D2128" s="1186" t="s">
        <v>1982</v>
      </c>
      <c r="E2128" s="1186" t="s">
        <v>2035</v>
      </c>
      <c r="F2128" s="1186" t="s">
        <v>2033</v>
      </c>
      <c r="G2128" s="1186" t="s">
        <v>851</v>
      </c>
      <c r="H2128" s="1186">
        <v>165</v>
      </c>
    </row>
    <row r="2129" spans="1:8" x14ac:dyDescent="0.2">
      <c r="A2129" s="1186" t="s">
        <v>621</v>
      </c>
      <c r="B2129" s="1186" t="s">
        <v>975</v>
      </c>
      <c r="C2129" s="1186" t="s">
        <v>1983</v>
      </c>
      <c r="D2129" s="1186" t="s">
        <v>1982</v>
      </c>
      <c r="E2129" s="1186" t="s">
        <v>2035</v>
      </c>
      <c r="F2129" s="1186" t="s">
        <v>2033</v>
      </c>
      <c r="G2129" s="1186" t="s">
        <v>852</v>
      </c>
      <c r="H2129" s="1186">
        <v>27</v>
      </c>
    </row>
    <row r="2130" spans="1:8" x14ac:dyDescent="0.2">
      <c r="A2130" s="1186" t="s">
        <v>621</v>
      </c>
      <c r="B2130" s="1186" t="s">
        <v>975</v>
      </c>
      <c r="C2130" s="1186" t="s">
        <v>1983</v>
      </c>
      <c r="D2130" s="1186" t="s">
        <v>1982</v>
      </c>
      <c r="E2130" s="1186" t="s">
        <v>2035</v>
      </c>
      <c r="F2130" s="1186" t="s">
        <v>2034</v>
      </c>
      <c r="G2130" s="1186" t="s">
        <v>828</v>
      </c>
      <c r="H2130" s="1186">
        <v>110</v>
      </c>
    </row>
    <row r="2131" spans="1:8" x14ac:dyDescent="0.2">
      <c r="A2131" s="1186" t="s">
        <v>621</v>
      </c>
      <c r="B2131" s="1186" t="s">
        <v>975</v>
      </c>
      <c r="C2131" s="1186" t="s">
        <v>1983</v>
      </c>
      <c r="D2131" s="1186" t="s">
        <v>1982</v>
      </c>
      <c r="E2131" s="1186" t="s">
        <v>2035</v>
      </c>
      <c r="F2131" s="1186" t="s">
        <v>2034</v>
      </c>
      <c r="G2131" s="1186" t="s">
        <v>850</v>
      </c>
      <c r="H2131" s="1186">
        <v>34</v>
      </c>
    </row>
    <row r="2132" spans="1:8" x14ac:dyDescent="0.2">
      <c r="A2132" s="1186" t="s">
        <v>621</v>
      </c>
      <c r="B2132" s="1186" t="s">
        <v>975</v>
      </c>
      <c r="C2132" s="1186" t="s">
        <v>1983</v>
      </c>
      <c r="D2132" s="1186" t="s">
        <v>1982</v>
      </c>
      <c r="E2132" s="1186" t="s">
        <v>2035</v>
      </c>
      <c r="F2132" s="1186" t="s">
        <v>2034</v>
      </c>
      <c r="G2132" s="1186" t="s">
        <v>851</v>
      </c>
      <c r="H2132" s="1186">
        <v>40</v>
      </c>
    </row>
    <row r="2133" spans="1:8" x14ac:dyDescent="0.2">
      <c r="A2133" s="1186" t="s">
        <v>621</v>
      </c>
      <c r="B2133" s="1186" t="s">
        <v>975</v>
      </c>
      <c r="C2133" s="1186" t="s">
        <v>1983</v>
      </c>
      <c r="D2133" s="1186" t="s">
        <v>1982</v>
      </c>
      <c r="E2133" s="1186" t="s">
        <v>2035</v>
      </c>
      <c r="F2133" s="1186" t="s">
        <v>2034</v>
      </c>
      <c r="G2133" s="1186" t="s">
        <v>852</v>
      </c>
      <c r="H2133" s="1186">
        <v>36</v>
      </c>
    </row>
    <row r="2134" spans="1:8" x14ac:dyDescent="0.2">
      <c r="A2134" s="1186" t="s">
        <v>621</v>
      </c>
      <c r="B2134" s="1186" t="s">
        <v>976</v>
      </c>
      <c r="C2134" s="1186" t="s">
        <v>1983</v>
      </c>
      <c r="D2134" s="1186" t="s">
        <v>1984</v>
      </c>
      <c r="E2134" s="1186" t="s">
        <v>2031</v>
      </c>
      <c r="F2134" s="1186" t="s">
        <v>2032</v>
      </c>
      <c r="G2134" s="1186" t="s">
        <v>828</v>
      </c>
      <c r="H2134" s="1186">
        <v>2</v>
      </c>
    </row>
    <row r="2135" spans="1:8" x14ac:dyDescent="0.2">
      <c r="A2135" s="1186" t="s">
        <v>621</v>
      </c>
      <c r="B2135" s="1186" t="s">
        <v>976</v>
      </c>
      <c r="C2135" s="1186" t="s">
        <v>1983</v>
      </c>
      <c r="D2135" s="1186" t="s">
        <v>1984</v>
      </c>
      <c r="E2135" s="1186" t="s">
        <v>2031</v>
      </c>
      <c r="F2135" s="1186" t="s">
        <v>2032</v>
      </c>
      <c r="G2135" s="1186" t="s">
        <v>851</v>
      </c>
      <c r="H2135" s="1186">
        <v>1</v>
      </c>
    </row>
    <row r="2136" spans="1:8" x14ac:dyDescent="0.2">
      <c r="A2136" s="1186" t="s">
        <v>621</v>
      </c>
      <c r="B2136" s="1186" t="s">
        <v>976</v>
      </c>
      <c r="C2136" s="1186" t="s">
        <v>1983</v>
      </c>
      <c r="D2136" s="1186" t="s">
        <v>1984</v>
      </c>
      <c r="E2136" s="1186" t="s">
        <v>2031</v>
      </c>
      <c r="F2136" s="1186" t="s">
        <v>2032</v>
      </c>
      <c r="G2136" s="1186" t="s">
        <v>852</v>
      </c>
      <c r="H2136" s="1186">
        <v>1</v>
      </c>
    </row>
    <row r="2137" spans="1:8" x14ac:dyDescent="0.2">
      <c r="A2137" s="1186" t="s">
        <v>621</v>
      </c>
      <c r="B2137" s="1186" t="s">
        <v>976</v>
      </c>
      <c r="C2137" s="1186" t="s">
        <v>1983</v>
      </c>
      <c r="D2137" s="1186" t="s">
        <v>1984</v>
      </c>
      <c r="E2137" s="1186" t="s">
        <v>2031</v>
      </c>
      <c r="F2137" s="1186" t="s">
        <v>2033</v>
      </c>
      <c r="G2137" s="1186" t="s">
        <v>828</v>
      </c>
      <c r="H2137" s="1186">
        <v>86</v>
      </c>
    </row>
    <row r="2138" spans="1:8" x14ac:dyDescent="0.2">
      <c r="A2138" s="1186" t="s">
        <v>621</v>
      </c>
      <c r="B2138" s="1186" t="s">
        <v>976</v>
      </c>
      <c r="C2138" s="1186" t="s">
        <v>1983</v>
      </c>
      <c r="D2138" s="1186" t="s">
        <v>1984</v>
      </c>
      <c r="E2138" s="1186" t="s">
        <v>2031</v>
      </c>
      <c r="F2138" s="1186" t="s">
        <v>2033</v>
      </c>
      <c r="G2138" s="1186" t="s">
        <v>850</v>
      </c>
      <c r="H2138" s="1186">
        <v>5</v>
      </c>
    </row>
    <row r="2139" spans="1:8" x14ac:dyDescent="0.2">
      <c r="A2139" s="1186" t="s">
        <v>621</v>
      </c>
      <c r="B2139" s="1186" t="s">
        <v>976</v>
      </c>
      <c r="C2139" s="1186" t="s">
        <v>1983</v>
      </c>
      <c r="D2139" s="1186" t="s">
        <v>1984</v>
      </c>
      <c r="E2139" s="1186" t="s">
        <v>2031</v>
      </c>
      <c r="F2139" s="1186" t="s">
        <v>2033</v>
      </c>
      <c r="G2139" s="1186" t="s">
        <v>851</v>
      </c>
      <c r="H2139" s="1186">
        <v>1</v>
      </c>
    </row>
    <row r="2140" spans="1:8" x14ac:dyDescent="0.2">
      <c r="A2140" s="1186" t="s">
        <v>621</v>
      </c>
      <c r="B2140" s="1186" t="s">
        <v>976</v>
      </c>
      <c r="C2140" s="1186" t="s">
        <v>1983</v>
      </c>
      <c r="D2140" s="1186" t="s">
        <v>1984</v>
      </c>
      <c r="E2140" s="1186" t="s">
        <v>2031</v>
      </c>
      <c r="F2140" s="1186" t="s">
        <v>2033</v>
      </c>
      <c r="G2140" s="1186" t="s">
        <v>852</v>
      </c>
      <c r="H2140" s="1186">
        <v>4</v>
      </c>
    </row>
    <row r="2141" spans="1:8" x14ac:dyDescent="0.2">
      <c r="A2141" s="1186" t="s">
        <v>621</v>
      </c>
      <c r="B2141" s="1186" t="s">
        <v>976</v>
      </c>
      <c r="C2141" s="1186" t="s">
        <v>1983</v>
      </c>
      <c r="D2141" s="1186" t="s">
        <v>1984</v>
      </c>
      <c r="E2141" s="1186" t="s">
        <v>2031</v>
      </c>
      <c r="F2141" s="1186" t="s">
        <v>2034</v>
      </c>
      <c r="G2141" s="1186" t="s">
        <v>828</v>
      </c>
      <c r="H2141" s="1186">
        <v>13</v>
      </c>
    </row>
    <row r="2142" spans="1:8" x14ac:dyDescent="0.2">
      <c r="A2142" s="1186" t="s">
        <v>621</v>
      </c>
      <c r="B2142" s="1186" t="s">
        <v>976</v>
      </c>
      <c r="C2142" s="1186" t="s">
        <v>1983</v>
      </c>
      <c r="D2142" s="1186" t="s">
        <v>1984</v>
      </c>
      <c r="E2142" s="1186" t="s">
        <v>2031</v>
      </c>
      <c r="F2142" s="1186" t="s">
        <v>2034</v>
      </c>
      <c r="G2142" s="1186" t="s">
        <v>850</v>
      </c>
      <c r="H2142" s="1186">
        <v>7</v>
      </c>
    </row>
    <row r="2143" spans="1:8" x14ac:dyDescent="0.2">
      <c r="A2143" s="1186" t="s">
        <v>621</v>
      </c>
      <c r="B2143" s="1186" t="s">
        <v>976</v>
      </c>
      <c r="C2143" s="1186" t="s">
        <v>1983</v>
      </c>
      <c r="D2143" s="1186" t="s">
        <v>1984</v>
      </c>
      <c r="E2143" s="1186" t="s">
        <v>2031</v>
      </c>
      <c r="F2143" s="1186" t="s">
        <v>2034</v>
      </c>
      <c r="G2143" s="1186" t="s">
        <v>851</v>
      </c>
      <c r="H2143" s="1186">
        <v>1</v>
      </c>
    </row>
    <row r="2144" spans="1:8" x14ac:dyDescent="0.2">
      <c r="A2144" s="1186" t="s">
        <v>621</v>
      </c>
      <c r="B2144" s="1186" t="s">
        <v>976</v>
      </c>
      <c r="C2144" s="1186" t="s">
        <v>1983</v>
      </c>
      <c r="D2144" s="1186" t="s">
        <v>1984</v>
      </c>
      <c r="E2144" s="1186" t="s">
        <v>2035</v>
      </c>
      <c r="F2144" s="1186" t="s">
        <v>2032</v>
      </c>
      <c r="G2144" s="1186" t="s">
        <v>828</v>
      </c>
      <c r="H2144" s="1186">
        <v>11</v>
      </c>
    </row>
    <row r="2145" spans="1:8" x14ac:dyDescent="0.2">
      <c r="A2145" s="1186" t="s">
        <v>621</v>
      </c>
      <c r="B2145" s="1186" t="s">
        <v>976</v>
      </c>
      <c r="C2145" s="1186" t="s">
        <v>1983</v>
      </c>
      <c r="D2145" s="1186" t="s">
        <v>1984</v>
      </c>
      <c r="E2145" s="1186" t="s">
        <v>2035</v>
      </c>
      <c r="F2145" s="1186" t="s">
        <v>2032</v>
      </c>
      <c r="G2145" s="1186" t="s">
        <v>851</v>
      </c>
      <c r="H2145" s="1186">
        <v>12</v>
      </c>
    </row>
    <row r="2146" spans="1:8" x14ac:dyDescent="0.2">
      <c r="A2146" s="1186" t="s">
        <v>621</v>
      </c>
      <c r="B2146" s="1186" t="s">
        <v>976</v>
      </c>
      <c r="C2146" s="1186" t="s">
        <v>1983</v>
      </c>
      <c r="D2146" s="1186" t="s">
        <v>1984</v>
      </c>
      <c r="E2146" s="1186" t="s">
        <v>2035</v>
      </c>
      <c r="F2146" s="1186" t="s">
        <v>2032</v>
      </c>
      <c r="G2146" s="1186" t="s">
        <v>852</v>
      </c>
      <c r="H2146" s="1186">
        <v>10</v>
      </c>
    </row>
    <row r="2147" spans="1:8" x14ac:dyDescent="0.2">
      <c r="A2147" s="1186" t="s">
        <v>621</v>
      </c>
      <c r="B2147" s="1186" t="s">
        <v>976</v>
      </c>
      <c r="C2147" s="1186" t="s">
        <v>1983</v>
      </c>
      <c r="D2147" s="1186" t="s">
        <v>1984</v>
      </c>
      <c r="E2147" s="1186" t="s">
        <v>2035</v>
      </c>
      <c r="F2147" s="1186" t="s">
        <v>2033</v>
      </c>
      <c r="G2147" s="1186" t="s">
        <v>828</v>
      </c>
      <c r="H2147" s="1186">
        <v>76</v>
      </c>
    </row>
    <row r="2148" spans="1:8" x14ac:dyDescent="0.2">
      <c r="A2148" s="1186" t="s">
        <v>621</v>
      </c>
      <c r="B2148" s="1186" t="s">
        <v>976</v>
      </c>
      <c r="C2148" s="1186" t="s">
        <v>1983</v>
      </c>
      <c r="D2148" s="1186" t="s">
        <v>1984</v>
      </c>
      <c r="E2148" s="1186" t="s">
        <v>2035</v>
      </c>
      <c r="F2148" s="1186" t="s">
        <v>2033</v>
      </c>
      <c r="G2148" s="1186" t="s">
        <v>850</v>
      </c>
      <c r="H2148" s="1186">
        <v>10</v>
      </c>
    </row>
    <row r="2149" spans="1:8" x14ac:dyDescent="0.2">
      <c r="A2149" s="1186" t="s">
        <v>621</v>
      </c>
      <c r="B2149" s="1186" t="s">
        <v>976</v>
      </c>
      <c r="C2149" s="1186" t="s">
        <v>1983</v>
      </c>
      <c r="D2149" s="1186" t="s">
        <v>1984</v>
      </c>
      <c r="E2149" s="1186" t="s">
        <v>2035</v>
      </c>
      <c r="F2149" s="1186" t="s">
        <v>2033</v>
      </c>
      <c r="G2149" s="1186" t="s">
        <v>851</v>
      </c>
      <c r="H2149" s="1186">
        <v>185</v>
      </c>
    </row>
    <row r="2150" spans="1:8" x14ac:dyDescent="0.2">
      <c r="A2150" s="1186" t="s">
        <v>621</v>
      </c>
      <c r="B2150" s="1186" t="s">
        <v>976</v>
      </c>
      <c r="C2150" s="1186" t="s">
        <v>1983</v>
      </c>
      <c r="D2150" s="1186" t="s">
        <v>1984</v>
      </c>
      <c r="E2150" s="1186" t="s">
        <v>2035</v>
      </c>
      <c r="F2150" s="1186" t="s">
        <v>2033</v>
      </c>
      <c r="G2150" s="1186" t="s">
        <v>852</v>
      </c>
      <c r="H2150" s="1186">
        <v>41</v>
      </c>
    </row>
    <row r="2151" spans="1:8" x14ac:dyDescent="0.2">
      <c r="A2151" s="1186" t="s">
        <v>621</v>
      </c>
      <c r="B2151" s="1186" t="s">
        <v>976</v>
      </c>
      <c r="C2151" s="1186" t="s">
        <v>1983</v>
      </c>
      <c r="D2151" s="1186" t="s">
        <v>1984</v>
      </c>
      <c r="E2151" s="1186" t="s">
        <v>2035</v>
      </c>
      <c r="F2151" s="1186" t="s">
        <v>2034</v>
      </c>
      <c r="G2151" s="1186" t="s">
        <v>828</v>
      </c>
      <c r="H2151" s="1186">
        <v>85</v>
      </c>
    </row>
    <row r="2152" spans="1:8" x14ac:dyDescent="0.2">
      <c r="A2152" s="1186" t="s">
        <v>621</v>
      </c>
      <c r="B2152" s="1186" t="s">
        <v>976</v>
      </c>
      <c r="C2152" s="1186" t="s">
        <v>1983</v>
      </c>
      <c r="D2152" s="1186" t="s">
        <v>1984</v>
      </c>
      <c r="E2152" s="1186" t="s">
        <v>2035</v>
      </c>
      <c r="F2152" s="1186" t="s">
        <v>2034</v>
      </c>
      <c r="G2152" s="1186" t="s">
        <v>850</v>
      </c>
      <c r="H2152" s="1186">
        <v>49</v>
      </c>
    </row>
    <row r="2153" spans="1:8" x14ac:dyDescent="0.2">
      <c r="A2153" s="1186" t="s">
        <v>621</v>
      </c>
      <c r="B2153" s="1186" t="s">
        <v>976</v>
      </c>
      <c r="C2153" s="1186" t="s">
        <v>1983</v>
      </c>
      <c r="D2153" s="1186" t="s">
        <v>1984</v>
      </c>
      <c r="E2153" s="1186" t="s">
        <v>2035</v>
      </c>
      <c r="F2153" s="1186" t="s">
        <v>2034</v>
      </c>
      <c r="G2153" s="1186" t="s">
        <v>851</v>
      </c>
      <c r="H2153" s="1186">
        <v>36</v>
      </c>
    </row>
    <row r="2154" spans="1:8" x14ac:dyDescent="0.2">
      <c r="A2154" s="1186" t="s">
        <v>621</v>
      </c>
      <c r="B2154" s="1186" t="s">
        <v>976</v>
      </c>
      <c r="C2154" s="1186" t="s">
        <v>1983</v>
      </c>
      <c r="D2154" s="1186" t="s">
        <v>1984</v>
      </c>
      <c r="E2154" s="1186" t="s">
        <v>2035</v>
      </c>
      <c r="F2154" s="1186" t="s">
        <v>2034</v>
      </c>
      <c r="G2154" s="1186" t="s">
        <v>852</v>
      </c>
      <c r="H2154" s="1186">
        <v>38</v>
      </c>
    </row>
    <row r="2155" spans="1:8" x14ac:dyDescent="0.2">
      <c r="A2155" s="1186" t="s">
        <v>621</v>
      </c>
      <c r="B2155" s="1186" t="s">
        <v>977</v>
      </c>
      <c r="C2155" s="1186" t="s">
        <v>1983</v>
      </c>
      <c r="D2155" s="1186" t="s">
        <v>1984</v>
      </c>
      <c r="E2155" s="1186" t="s">
        <v>2031</v>
      </c>
      <c r="F2155" s="1186" t="s">
        <v>2032</v>
      </c>
      <c r="G2155" s="1186" t="s">
        <v>828</v>
      </c>
      <c r="H2155" s="1186">
        <v>4</v>
      </c>
    </row>
    <row r="2156" spans="1:8" x14ac:dyDescent="0.2">
      <c r="A2156" s="1186" t="s">
        <v>621</v>
      </c>
      <c r="B2156" s="1186" t="s">
        <v>977</v>
      </c>
      <c r="C2156" s="1186" t="s">
        <v>1983</v>
      </c>
      <c r="D2156" s="1186" t="s">
        <v>1984</v>
      </c>
      <c r="E2156" s="1186" t="s">
        <v>2031</v>
      </c>
      <c r="F2156" s="1186" t="s">
        <v>2033</v>
      </c>
      <c r="G2156" s="1186" t="s">
        <v>828</v>
      </c>
      <c r="H2156" s="1186">
        <v>79</v>
      </c>
    </row>
    <row r="2157" spans="1:8" x14ac:dyDescent="0.2">
      <c r="A2157" s="1186" t="s">
        <v>621</v>
      </c>
      <c r="B2157" s="1186" t="s">
        <v>977</v>
      </c>
      <c r="C2157" s="1186" t="s">
        <v>1983</v>
      </c>
      <c r="D2157" s="1186" t="s">
        <v>1984</v>
      </c>
      <c r="E2157" s="1186" t="s">
        <v>2031</v>
      </c>
      <c r="F2157" s="1186" t="s">
        <v>2033</v>
      </c>
      <c r="G2157" s="1186" t="s">
        <v>850</v>
      </c>
      <c r="H2157" s="1186">
        <v>16</v>
      </c>
    </row>
    <row r="2158" spans="1:8" x14ac:dyDescent="0.2">
      <c r="A2158" s="1186" t="s">
        <v>621</v>
      </c>
      <c r="B2158" s="1186" t="s">
        <v>977</v>
      </c>
      <c r="C2158" s="1186" t="s">
        <v>1983</v>
      </c>
      <c r="D2158" s="1186" t="s">
        <v>1984</v>
      </c>
      <c r="E2158" s="1186" t="s">
        <v>2031</v>
      </c>
      <c r="F2158" s="1186" t="s">
        <v>2033</v>
      </c>
      <c r="G2158" s="1186" t="s">
        <v>851</v>
      </c>
      <c r="H2158" s="1186">
        <v>7</v>
      </c>
    </row>
    <row r="2159" spans="1:8" x14ac:dyDescent="0.2">
      <c r="A2159" s="1186" t="s">
        <v>621</v>
      </c>
      <c r="B2159" s="1186" t="s">
        <v>977</v>
      </c>
      <c r="C2159" s="1186" t="s">
        <v>1983</v>
      </c>
      <c r="D2159" s="1186" t="s">
        <v>1984</v>
      </c>
      <c r="E2159" s="1186" t="s">
        <v>2031</v>
      </c>
      <c r="F2159" s="1186" t="s">
        <v>2033</v>
      </c>
      <c r="G2159" s="1186" t="s">
        <v>852</v>
      </c>
      <c r="H2159" s="1186">
        <v>2</v>
      </c>
    </row>
    <row r="2160" spans="1:8" x14ac:dyDescent="0.2">
      <c r="A2160" s="1186" t="s">
        <v>621</v>
      </c>
      <c r="B2160" s="1186" t="s">
        <v>977</v>
      </c>
      <c r="C2160" s="1186" t="s">
        <v>1983</v>
      </c>
      <c r="D2160" s="1186" t="s">
        <v>1984</v>
      </c>
      <c r="E2160" s="1186" t="s">
        <v>2031</v>
      </c>
      <c r="F2160" s="1186" t="s">
        <v>2034</v>
      </c>
      <c r="G2160" s="1186" t="s">
        <v>828</v>
      </c>
      <c r="H2160" s="1186">
        <v>23</v>
      </c>
    </row>
    <row r="2161" spans="1:8" x14ac:dyDescent="0.2">
      <c r="A2161" s="1186" t="s">
        <v>621</v>
      </c>
      <c r="B2161" s="1186" t="s">
        <v>977</v>
      </c>
      <c r="C2161" s="1186" t="s">
        <v>1983</v>
      </c>
      <c r="D2161" s="1186" t="s">
        <v>1984</v>
      </c>
      <c r="E2161" s="1186" t="s">
        <v>2031</v>
      </c>
      <c r="F2161" s="1186" t="s">
        <v>2034</v>
      </c>
      <c r="G2161" s="1186" t="s">
        <v>850</v>
      </c>
      <c r="H2161" s="1186">
        <v>1</v>
      </c>
    </row>
    <row r="2162" spans="1:8" x14ac:dyDescent="0.2">
      <c r="A2162" s="1186" t="s">
        <v>621</v>
      </c>
      <c r="B2162" s="1186" t="s">
        <v>977</v>
      </c>
      <c r="C2162" s="1186" t="s">
        <v>1983</v>
      </c>
      <c r="D2162" s="1186" t="s">
        <v>1984</v>
      </c>
      <c r="E2162" s="1186" t="s">
        <v>2035</v>
      </c>
      <c r="F2162" s="1186" t="s">
        <v>2032</v>
      </c>
      <c r="G2162" s="1186" t="s">
        <v>828</v>
      </c>
      <c r="H2162" s="1186">
        <v>25</v>
      </c>
    </row>
    <row r="2163" spans="1:8" x14ac:dyDescent="0.2">
      <c r="A2163" s="1186" t="s">
        <v>621</v>
      </c>
      <c r="B2163" s="1186" t="s">
        <v>977</v>
      </c>
      <c r="C2163" s="1186" t="s">
        <v>1983</v>
      </c>
      <c r="D2163" s="1186" t="s">
        <v>1984</v>
      </c>
      <c r="E2163" s="1186" t="s">
        <v>2035</v>
      </c>
      <c r="F2163" s="1186" t="s">
        <v>2032</v>
      </c>
      <c r="G2163" s="1186" t="s">
        <v>851</v>
      </c>
      <c r="H2163" s="1186">
        <v>6</v>
      </c>
    </row>
    <row r="2164" spans="1:8" x14ac:dyDescent="0.2">
      <c r="A2164" s="1186" t="s">
        <v>621</v>
      </c>
      <c r="B2164" s="1186" t="s">
        <v>977</v>
      </c>
      <c r="C2164" s="1186" t="s">
        <v>1983</v>
      </c>
      <c r="D2164" s="1186" t="s">
        <v>1984</v>
      </c>
      <c r="E2164" s="1186" t="s">
        <v>2035</v>
      </c>
      <c r="F2164" s="1186" t="s">
        <v>2032</v>
      </c>
      <c r="G2164" s="1186" t="s">
        <v>852</v>
      </c>
      <c r="H2164" s="1186">
        <v>8</v>
      </c>
    </row>
    <row r="2165" spans="1:8" x14ac:dyDescent="0.2">
      <c r="A2165" s="1186" t="s">
        <v>621</v>
      </c>
      <c r="B2165" s="1186" t="s">
        <v>977</v>
      </c>
      <c r="C2165" s="1186" t="s">
        <v>1983</v>
      </c>
      <c r="D2165" s="1186" t="s">
        <v>1984</v>
      </c>
      <c r="E2165" s="1186" t="s">
        <v>2035</v>
      </c>
      <c r="F2165" s="1186" t="s">
        <v>2033</v>
      </c>
      <c r="G2165" s="1186" t="s">
        <v>828</v>
      </c>
      <c r="H2165" s="1186">
        <v>70</v>
      </c>
    </row>
    <row r="2166" spans="1:8" x14ac:dyDescent="0.2">
      <c r="A2166" s="1186" t="s">
        <v>621</v>
      </c>
      <c r="B2166" s="1186" t="s">
        <v>977</v>
      </c>
      <c r="C2166" s="1186" t="s">
        <v>1983</v>
      </c>
      <c r="D2166" s="1186" t="s">
        <v>1984</v>
      </c>
      <c r="E2166" s="1186" t="s">
        <v>2035</v>
      </c>
      <c r="F2166" s="1186" t="s">
        <v>2033</v>
      </c>
      <c r="G2166" s="1186" t="s">
        <v>850</v>
      </c>
      <c r="H2166" s="1186">
        <v>60</v>
      </c>
    </row>
    <row r="2167" spans="1:8" x14ac:dyDescent="0.2">
      <c r="A2167" s="1186" t="s">
        <v>621</v>
      </c>
      <c r="B2167" s="1186" t="s">
        <v>977</v>
      </c>
      <c r="C2167" s="1186" t="s">
        <v>1983</v>
      </c>
      <c r="D2167" s="1186" t="s">
        <v>1984</v>
      </c>
      <c r="E2167" s="1186" t="s">
        <v>2035</v>
      </c>
      <c r="F2167" s="1186" t="s">
        <v>2033</v>
      </c>
      <c r="G2167" s="1186" t="s">
        <v>851</v>
      </c>
      <c r="H2167" s="1186">
        <v>164</v>
      </c>
    </row>
    <row r="2168" spans="1:8" x14ac:dyDescent="0.2">
      <c r="A2168" s="1186" t="s">
        <v>621</v>
      </c>
      <c r="B2168" s="1186" t="s">
        <v>977</v>
      </c>
      <c r="C2168" s="1186" t="s">
        <v>1983</v>
      </c>
      <c r="D2168" s="1186" t="s">
        <v>1984</v>
      </c>
      <c r="E2168" s="1186" t="s">
        <v>2035</v>
      </c>
      <c r="F2168" s="1186" t="s">
        <v>2033</v>
      </c>
      <c r="G2168" s="1186" t="s">
        <v>852</v>
      </c>
      <c r="H2168" s="1186">
        <v>46</v>
      </c>
    </row>
    <row r="2169" spans="1:8" x14ac:dyDescent="0.2">
      <c r="A2169" s="1186" t="s">
        <v>621</v>
      </c>
      <c r="B2169" s="1186" t="s">
        <v>977</v>
      </c>
      <c r="C2169" s="1186" t="s">
        <v>1983</v>
      </c>
      <c r="D2169" s="1186" t="s">
        <v>1984</v>
      </c>
      <c r="E2169" s="1186" t="s">
        <v>2035</v>
      </c>
      <c r="F2169" s="1186" t="s">
        <v>2034</v>
      </c>
      <c r="G2169" s="1186" t="s">
        <v>828</v>
      </c>
      <c r="H2169" s="1186">
        <v>98</v>
      </c>
    </row>
    <row r="2170" spans="1:8" x14ac:dyDescent="0.2">
      <c r="A2170" s="1186" t="s">
        <v>621</v>
      </c>
      <c r="B2170" s="1186" t="s">
        <v>977</v>
      </c>
      <c r="C2170" s="1186" t="s">
        <v>1983</v>
      </c>
      <c r="D2170" s="1186" t="s">
        <v>1984</v>
      </c>
      <c r="E2170" s="1186" t="s">
        <v>2035</v>
      </c>
      <c r="F2170" s="1186" t="s">
        <v>2034</v>
      </c>
      <c r="G2170" s="1186" t="s">
        <v>850</v>
      </c>
      <c r="H2170" s="1186">
        <v>28</v>
      </c>
    </row>
    <row r="2171" spans="1:8" x14ac:dyDescent="0.2">
      <c r="A2171" s="1186" t="s">
        <v>621</v>
      </c>
      <c r="B2171" s="1186" t="s">
        <v>977</v>
      </c>
      <c r="C2171" s="1186" t="s">
        <v>1983</v>
      </c>
      <c r="D2171" s="1186" t="s">
        <v>1984</v>
      </c>
      <c r="E2171" s="1186" t="s">
        <v>2035</v>
      </c>
      <c r="F2171" s="1186" t="s">
        <v>2034</v>
      </c>
      <c r="G2171" s="1186" t="s">
        <v>851</v>
      </c>
      <c r="H2171" s="1186">
        <v>22</v>
      </c>
    </row>
    <row r="2172" spans="1:8" x14ac:dyDescent="0.2">
      <c r="A2172" s="1186" t="s">
        <v>621</v>
      </c>
      <c r="B2172" s="1186" t="s">
        <v>977</v>
      </c>
      <c r="C2172" s="1186" t="s">
        <v>1983</v>
      </c>
      <c r="D2172" s="1186" t="s">
        <v>1984</v>
      </c>
      <c r="E2172" s="1186" t="s">
        <v>2035</v>
      </c>
      <c r="F2172" s="1186" t="s">
        <v>2034</v>
      </c>
      <c r="G2172" s="1186" t="s">
        <v>852</v>
      </c>
      <c r="H2172" s="1186">
        <v>26</v>
      </c>
    </row>
    <row r="2173" spans="1:8" x14ac:dyDescent="0.2">
      <c r="A2173" s="1186" t="s">
        <v>621</v>
      </c>
      <c r="B2173" s="1186" t="s">
        <v>978</v>
      </c>
      <c r="C2173" s="1186" t="s">
        <v>1985</v>
      </c>
      <c r="D2173" s="1186" t="s">
        <v>1984</v>
      </c>
      <c r="E2173" s="1186" t="s">
        <v>2031</v>
      </c>
      <c r="F2173" s="1186" t="s">
        <v>2032</v>
      </c>
      <c r="G2173" s="1186" t="s">
        <v>828</v>
      </c>
      <c r="H2173" s="1186">
        <v>2</v>
      </c>
    </row>
    <row r="2174" spans="1:8" x14ac:dyDescent="0.2">
      <c r="A2174" s="1186" t="s">
        <v>621</v>
      </c>
      <c r="B2174" s="1186" t="s">
        <v>978</v>
      </c>
      <c r="C2174" s="1186" t="s">
        <v>1985</v>
      </c>
      <c r="D2174" s="1186" t="s">
        <v>1984</v>
      </c>
      <c r="E2174" s="1186" t="s">
        <v>2031</v>
      </c>
      <c r="F2174" s="1186" t="s">
        <v>2033</v>
      </c>
      <c r="G2174" s="1186" t="s">
        <v>828</v>
      </c>
      <c r="H2174" s="1186">
        <v>59</v>
      </c>
    </row>
    <row r="2175" spans="1:8" x14ac:dyDescent="0.2">
      <c r="A2175" s="1186" t="s">
        <v>621</v>
      </c>
      <c r="B2175" s="1186" t="s">
        <v>978</v>
      </c>
      <c r="C2175" s="1186" t="s">
        <v>1985</v>
      </c>
      <c r="D2175" s="1186" t="s">
        <v>1984</v>
      </c>
      <c r="E2175" s="1186" t="s">
        <v>2031</v>
      </c>
      <c r="F2175" s="1186" t="s">
        <v>2033</v>
      </c>
      <c r="G2175" s="1186" t="s">
        <v>850</v>
      </c>
      <c r="H2175" s="1186">
        <v>15</v>
      </c>
    </row>
    <row r="2176" spans="1:8" x14ac:dyDescent="0.2">
      <c r="A2176" s="1186" t="s">
        <v>621</v>
      </c>
      <c r="B2176" s="1186" t="s">
        <v>978</v>
      </c>
      <c r="C2176" s="1186" t="s">
        <v>1985</v>
      </c>
      <c r="D2176" s="1186" t="s">
        <v>1984</v>
      </c>
      <c r="E2176" s="1186" t="s">
        <v>2031</v>
      </c>
      <c r="F2176" s="1186" t="s">
        <v>2033</v>
      </c>
      <c r="G2176" s="1186" t="s">
        <v>851</v>
      </c>
      <c r="H2176" s="1186">
        <v>1</v>
      </c>
    </row>
    <row r="2177" spans="1:8" x14ac:dyDescent="0.2">
      <c r="A2177" s="1186" t="s">
        <v>621</v>
      </c>
      <c r="B2177" s="1186" t="s">
        <v>978</v>
      </c>
      <c r="C2177" s="1186" t="s">
        <v>1985</v>
      </c>
      <c r="D2177" s="1186" t="s">
        <v>1984</v>
      </c>
      <c r="E2177" s="1186" t="s">
        <v>2031</v>
      </c>
      <c r="F2177" s="1186" t="s">
        <v>2033</v>
      </c>
      <c r="G2177" s="1186" t="s">
        <v>852</v>
      </c>
      <c r="H2177" s="1186">
        <v>4</v>
      </c>
    </row>
    <row r="2178" spans="1:8" x14ac:dyDescent="0.2">
      <c r="A2178" s="1186" t="s">
        <v>621</v>
      </c>
      <c r="B2178" s="1186" t="s">
        <v>978</v>
      </c>
      <c r="C2178" s="1186" t="s">
        <v>1985</v>
      </c>
      <c r="D2178" s="1186" t="s">
        <v>1984</v>
      </c>
      <c r="E2178" s="1186" t="s">
        <v>2031</v>
      </c>
      <c r="F2178" s="1186" t="s">
        <v>2034</v>
      </c>
      <c r="G2178" s="1186" t="s">
        <v>828</v>
      </c>
      <c r="H2178" s="1186">
        <v>9</v>
      </c>
    </row>
    <row r="2179" spans="1:8" x14ac:dyDescent="0.2">
      <c r="A2179" s="1186" t="s">
        <v>621</v>
      </c>
      <c r="B2179" s="1186" t="s">
        <v>978</v>
      </c>
      <c r="C2179" s="1186" t="s">
        <v>1985</v>
      </c>
      <c r="D2179" s="1186" t="s">
        <v>1984</v>
      </c>
      <c r="E2179" s="1186" t="s">
        <v>2031</v>
      </c>
      <c r="F2179" s="1186" t="s">
        <v>2034</v>
      </c>
      <c r="G2179" s="1186" t="s">
        <v>850</v>
      </c>
      <c r="H2179" s="1186">
        <v>1</v>
      </c>
    </row>
    <row r="2180" spans="1:8" x14ac:dyDescent="0.2">
      <c r="A2180" s="1186" t="s">
        <v>621</v>
      </c>
      <c r="B2180" s="1186" t="s">
        <v>978</v>
      </c>
      <c r="C2180" s="1186" t="s">
        <v>1985</v>
      </c>
      <c r="D2180" s="1186" t="s">
        <v>1984</v>
      </c>
      <c r="E2180" s="1186" t="s">
        <v>2035</v>
      </c>
      <c r="F2180" s="1186" t="s">
        <v>2032</v>
      </c>
      <c r="G2180" s="1186" t="s">
        <v>828</v>
      </c>
      <c r="H2180" s="1186">
        <v>17</v>
      </c>
    </row>
    <row r="2181" spans="1:8" x14ac:dyDescent="0.2">
      <c r="A2181" s="1186" t="s">
        <v>621</v>
      </c>
      <c r="B2181" s="1186" t="s">
        <v>978</v>
      </c>
      <c r="C2181" s="1186" t="s">
        <v>1985</v>
      </c>
      <c r="D2181" s="1186" t="s">
        <v>1984</v>
      </c>
      <c r="E2181" s="1186" t="s">
        <v>2035</v>
      </c>
      <c r="F2181" s="1186" t="s">
        <v>2032</v>
      </c>
      <c r="G2181" s="1186" t="s">
        <v>850</v>
      </c>
      <c r="H2181" s="1186">
        <v>1</v>
      </c>
    </row>
    <row r="2182" spans="1:8" x14ac:dyDescent="0.2">
      <c r="A2182" s="1186" t="s">
        <v>621</v>
      </c>
      <c r="B2182" s="1186" t="s">
        <v>978</v>
      </c>
      <c r="C2182" s="1186" t="s">
        <v>1985</v>
      </c>
      <c r="D2182" s="1186" t="s">
        <v>1984</v>
      </c>
      <c r="E2182" s="1186" t="s">
        <v>2035</v>
      </c>
      <c r="F2182" s="1186" t="s">
        <v>2032</v>
      </c>
      <c r="G2182" s="1186" t="s">
        <v>851</v>
      </c>
      <c r="H2182" s="1186">
        <v>7</v>
      </c>
    </row>
    <row r="2183" spans="1:8" x14ac:dyDescent="0.2">
      <c r="A2183" s="1186" t="s">
        <v>621</v>
      </c>
      <c r="B2183" s="1186" t="s">
        <v>978</v>
      </c>
      <c r="C2183" s="1186" t="s">
        <v>1985</v>
      </c>
      <c r="D2183" s="1186" t="s">
        <v>1984</v>
      </c>
      <c r="E2183" s="1186" t="s">
        <v>2035</v>
      </c>
      <c r="F2183" s="1186" t="s">
        <v>2032</v>
      </c>
      <c r="G2183" s="1186" t="s">
        <v>852</v>
      </c>
      <c r="H2183" s="1186">
        <v>3</v>
      </c>
    </row>
    <row r="2184" spans="1:8" x14ac:dyDescent="0.2">
      <c r="A2184" s="1186" t="s">
        <v>621</v>
      </c>
      <c r="B2184" s="1186" t="s">
        <v>978</v>
      </c>
      <c r="C2184" s="1186" t="s">
        <v>1985</v>
      </c>
      <c r="D2184" s="1186" t="s">
        <v>1984</v>
      </c>
      <c r="E2184" s="1186" t="s">
        <v>2035</v>
      </c>
      <c r="F2184" s="1186" t="s">
        <v>2033</v>
      </c>
      <c r="G2184" s="1186" t="s">
        <v>828</v>
      </c>
      <c r="H2184" s="1186">
        <v>98</v>
      </c>
    </row>
    <row r="2185" spans="1:8" x14ac:dyDescent="0.2">
      <c r="A2185" s="1186" t="s">
        <v>621</v>
      </c>
      <c r="B2185" s="1186" t="s">
        <v>978</v>
      </c>
      <c r="C2185" s="1186" t="s">
        <v>1985</v>
      </c>
      <c r="D2185" s="1186" t="s">
        <v>1984</v>
      </c>
      <c r="E2185" s="1186" t="s">
        <v>2035</v>
      </c>
      <c r="F2185" s="1186" t="s">
        <v>2033</v>
      </c>
      <c r="G2185" s="1186" t="s">
        <v>850</v>
      </c>
      <c r="H2185" s="1186">
        <v>20</v>
      </c>
    </row>
    <row r="2186" spans="1:8" x14ac:dyDescent="0.2">
      <c r="A2186" s="1186" t="s">
        <v>621</v>
      </c>
      <c r="B2186" s="1186" t="s">
        <v>978</v>
      </c>
      <c r="C2186" s="1186" t="s">
        <v>1985</v>
      </c>
      <c r="D2186" s="1186" t="s">
        <v>1984</v>
      </c>
      <c r="E2186" s="1186" t="s">
        <v>2035</v>
      </c>
      <c r="F2186" s="1186" t="s">
        <v>2033</v>
      </c>
      <c r="G2186" s="1186" t="s">
        <v>851</v>
      </c>
      <c r="H2186" s="1186">
        <v>193</v>
      </c>
    </row>
    <row r="2187" spans="1:8" x14ac:dyDescent="0.2">
      <c r="A2187" s="1186" t="s">
        <v>621</v>
      </c>
      <c r="B2187" s="1186" t="s">
        <v>978</v>
      </c>
      <c r="C2187" s="1186" t="s">
        <v>1985</v>
      </c>
      <c r="D2187" s="1186" t="s">
        <v>1984</v>
      </c>
      <c r="E2187" s="1186" t="s">
        <v>2035</v>
      </c>
      <c r="F2187" s="1186" t="s">
        <v>2033</v>
      </c>
      <c r="G2187" s="1186" t="s">
        <v>852</v>
      </c>
      <c r="H2187" s="1186">
        <v>32</v>
      </c>
    </row>
    <row r="2188" spans="1:8" x14ac:dyDescent="0.2">
      <c r="A2188" s="1186" t="s">
        <v>621</v>
      </c>
      <c r="B2188" s="1186" t="s">
        <v>978</v>
      </c>
      <c r="C2188" s="1186" t="s">
        <v>1985</v>
      </c>
      <c r="D2188" s="1186" t="s">
        <v>1984</v>
      </c>
      <c r="E2188" s="1186" t="s">
        <v>2035</v>
      </c>
      <c r="F2188" s="1186" t="s">
        <v>2034</v>
      </c>
      <c r="G2188" s="1186" t="s">
        <v>828</v>
      </c>
      <c r="H2188" s="1186">
        <v>82</v>
      </c>
    </row>
    <row r="2189" spans="1:8" x14ac:dyDescent="0.2">
      <c r="A2189" s="1186" t="s">
        <v>621</v>
      </c>
      <c r="B2189" s="1186" t="s">
        <v>978</v>
      </c>
      <c r="C2189" s="1186" t="s">
        <v>1985</v>
      </c>
      <c r="D2189" s="1186" t="s">
        <v>1984</v>
      </c>
      <c r="E2189" s="1186" t="s">
        <v>2035</v>
      </c>
      <c r="F2189" s="1186" t="s">
        <v>2034</v>
      </c>
      <c r="G2189" s="1186" t="s">
        <v>850</v>
      </c>
      <c r="H2189" s="1186">
        <v>50</v>
      </c>
    </row>
    <row r="2190" spans="1:8" x14ac:dyDescent="0.2">
      <c r="A2190" s="1186" t="s">
        <v>621</v>
      </c>
      <c r="B2190" s="1186" t="s">
        <v>978</v>
      </c>
      <c r="C2190" s="1186" t="s">
        <v>1985</v>
      </c>
      <c r="D2190" s="1186" t="s">
        <v>1984</v>
      </c>
      <c r="E2190" s="1186" t="s">
        <v>2035</v>
      </c>
      <c r="F2190" s="1186" t="s">
        <v>2034</v>
      </c>
      <c r="G2190" s="1186" t="s">
        <v>851</v>
      </c>
      <c r="H2190" s="1186">
        <v>27</v>
      </c>
    </row>
    <row r="2191" spans="1:8" x14ac:dyDescent="0.2">
      <c r="A2191" s="1186" t="s">
        <v>621</v>
      </c>
      <c r="B2191" s="1186" t="s">
        <v>978</v>
      </c>
      <c r="C2191" s="1186" t="s">
        <v>1985</v>
      </c>
      <c r="D2191" s="1186" t="s">
        <v>1984</v>
      </c>
      <c r="E2191" s="1186" t="s">
        <v>2035</v>
      </c>
      <c r="F2191" s="1186" t="s">
        <v>2034</v>
      </c>
      <c r="G2191" s="1186" t="s">
        <v>852</v>
      </c>
      <c r="H2191" s="1186">
        <v>27</v>
      </c>
    </row>
    <row r="2192" spans="1:8" x14ac:dyDescent="0.2">
      <c r="A2192" s="1186" t="s">
        <v>621</v>
      </c>
      <c r="B2192" s="1186" t="s">
        <v>979</v>
      </c>
      <c r="C2192" s="1186" t="s">
        <v>1985</v>
      </c>
      <c r="D2192" s="1186" t="s">
        <v>1986</v>
      </c>
      <c r="E2192" s="1186" t="s">
        <v>2031</v>
      </c>
      <c r="F2192" s="1186" t="s">
        <v>2032</v>
      </c>
      <c r="G2192" s="1186" t="s">
        <v>828</v>
      </c>
      <c r="H2192" s="1186">
        <v>1</v>
      </c>
    </row>
    <row r="2193" spans="1:8" x14ac:dyDescent="0.2">
      <c r="A2193" s="1186" t="s">
        <v>621</v>
      </c>
      <c r="B2193" s="1186" t="s">
        <v>979</v>
      </c>
      <c r="C2193" s="1186" t="s">
        <v>1985</v>
      </c>
      <c r="D2193" s="1186" t="s">
        <v>1986</v>
      </c>
      <c r="E2193" s="1186" t="s">
        <v>2031</v>
      </c>
      <c r="F2193" s="1186" t="s">
        <v>2033</v>
      </c>
      <c r="G2193" s="1186" t="s">
        <v>828</v>
      </c>
      <c r="H2193" s="1186">
        <v>81</v>
      </c>
    </row>
    <row r="2194" spans="1:8" x14ac:dyDescent="0.2">
      <c r="A2194" s="1186" t="s">
        <v>621</v>
      </c>
      <c r="B2194" s="1186" t="s">
        <v>979</v>
      </c>
      <c r="C2194" s="1186" t="s">
        <v>1985</v>
      </c>
      <c r="D2194" s="1186" t="s">
        <v>1986</v>
      </c>
      <c r="E2194" s="1186" t="s">
        <v>2031</v>
      </c>
      <c r="F2194" s="1186" t="s">
        <v>2033</v>
      </c>
      <c r="G2194" s="1186" t="s">
        <v>850</v>
      </c>
      <c r="H2194" s="1186">
        <v>6</v>
      </c>
    </row>
    <row r="2195" spans="1:8" x14ac:dyDescent="0.2">
      <c r="A2195" s="1186" t="s">
        <v>621</v>
      </c>
      <c r="B2195" s="1186" t="s">
        <v>979</v>
      </c>
      <c r="C2195" s="1186" t="s">
        <v>1985</v>
      </c>
      <c r="D2195" s="1186" t="s">
        <v>1986</v>
      </c>
      <c r="E2195" s="1186" t="s">
        <v>2031</v>
      </c>
      <c r="F2195" s="1186" t="s">
        <v>2033</v>
      </c>
      <c r="G2195" s="1186" t="s">
        <v>851</v>
      </c>
      <c r="H2195" s="1186">
        <v>4</v>
      </c>
    </row>
    <row r="2196" spans="1:8" x14ac:dyDescent="0.2">
      <c r="A2196" s="1186" t="s">
        <v>621</v>
      </c>
      <c r="B2196" s="1186" t="s">
        <v>979</v>
      </c>
      <c r="C2196" s="1186" t="s">
        <v>1985</v>
      </c>
      <c r="D2196" s="1186" t="s">
        <v>1986</v>
      </c>
      <c r="E2196" s="1186" t="s">
        <v>2031</v>
      </c>
      <c r="F2196" s="1186" t="s">
        <v>2033</v>
      </c>
      <c r="G2196" s="1186" t="s">
        <v>852</v>
      </c>
      <c r="H2196" s="1186">
        <v>4</v>
      </c>
    </row>
    <row r="2197" spans="1:8" x14ac:dyDescent="0.2">
      <c r="A2197" s="1186" t="s">
        <v>621</v>
      </c>
      <c r="B2197" s="1186" t="s">
        <v>979</v>
      </c>
      <c r="C2197" s="1186" t="s">
        <v>1985</v>
      </c>
      <c r="D2197" s="1186" t="s">
        <v>1986</v>
      </c>
      <c r="E2197" s="1186" t="s">
        <v>2031</v>
      </c>
      <c r="F2197" s="1186" t="s">
        <v>2034</v>
      </c>
      <c r="G2197" s="1186" t="s">
        <v>828</v>
      </c>
      <c r="H2197" s="1186">
        <v>10</v>
      </c>
    </row>
    <row r="2198" spans="1:8" x14ac:dyDescent="0.2">
      <c r="A2198" s="1186" t="s">
        <v>621</v>
      </c>
      <c r="B2198" s="1186" t="s">
        <v>979</v>
      </c>
      <c r="C2198" s="1186" t="s">
        <v>1985</v>
      </c>
      <c r="D2198" s="1186" t="s">
        <v>1986</v>
      </c>
      <c r="E2198" s="1186" t="s">
        <v>2031</v>
      </c>
      <c r="F2198" s="1186" t="s">
        <v>2034</v>
      </c>
      <c r="G2198" s="1186" t="s">
        <v>850</v>
      </c>
      <c r="H2198" s="1186">
        <v>4</v>
      </c>
    </row>
    <row r="2199" spans="1:8" x14ac:dyDescent="0.2">
      <c r="A2199" s="1186" t="s">
        <v>621</v>
      </c>
      <c r="B2199" s="1186" t="s">
        <v>979</v>
      </c>
      <c r="C2199" s="1186" t="s">
        <v>1985</v>
      </c>
      <c r="D2199" s="1186" t="s">
        <v>1986</v>
      </c>
      <c r="E2199" s="1186" t="s">
        <v>2035</v>
      </c>
      <c r="F2199" s="1186" t="s">
        <v>2032</v>
      </c>
      <c r="G2199" s="1186" t="s">
        <v>828</v>
      </c>
      <c r="H2199" s="1186">
        <v>18</v>
      </c>
    </row>
    <row r="2200" spans="1:8" x14ac:dyDescent="0.2">
      <c r="A2200" s="1186" t="s">
        <v>621</v>
      </c>
      <c r="B2200" s="1186" t="s">
        <v>979</v>
      </c>
      <c r="C2200" s="1186" t="s">
        <v>1985</v>
      </c>
      <c r="D2200" s="1186" t="s">
        <v>1986</v>
      </c>
      <c r="E2200" s="1186" t="s">
        <v>2035</v>
      </c>
      <c r="F2200" s="1186" t="s">
        <v>2032</v>
      </c>
      <c r="G2200" s="1186" t="s">
        <v>850</v>
      </c>
      <c r="H2200" s="1186">
        <v>1</v>
      </c>
    </row>
    <row r="2201" spans="1:8" x14ac:dyDescent="0.2">
      <c r="A2201" s="1186" t="s">
        <v>621</v>
      </c>
      <c r="B2201" s="1186" t="s">
        <v>979</v>
      </c>
      <c r="C2201" s="1186" t="s">
        <v>1985</v>
      </c>
      <c r="D2201" s="1186" t="s">
        <v>1986</v>
      </c>
      <c r="E2201" s="1186" t="s">
        <v>2035</v>
      </c>
      <c r="F2201" s="1186" t="s">
        <v>2032</v>
      </c>
      <c r="G2201" s="1186" t="s">
        <v>851</v>
      </c>
      <c r="H2201" s="1186">
        <v>9</v>
      </c>
    </row>
    <row r="2202" spans="1:8" x14ac:dyDescent="0.2">
      <c r="A2202" s="1186" t="s">
        <v>621</v>
      </c>
      <c r="B2202" s="1186" t="s">
        <v>979</v>
      </c>
      <c r="C2202" s="1186" t="s">
        <v>1985</v>
      </c>
      <c r="D2202" s="1186" t="s">
        <v>1986</v>
      </c>
      <c r="E2202" s="1186" t="s">
        <v>2035</v>
      </c>
      <c r="F2202" s="1186" t="s">
        <v>2032</v>
      </c>
      <c r="G2202" s="1186" t="s">
        <v>852</v>
      </c>
      <c r="H2202" s="1186">
        <v>5</v>
      </c>
    </row>
    <row r="2203" spans="1:8" x14ac:dyDescent="0.2">
      <c r="A2203" s="1186" t="s">
        <v>621</v>
      </c>
      <c r="B2203" s="1186" t="s">
        <v>979</v>
      </c>
      <c r="C2203" s="1186" t="s">
        <v>1985</v>
      </c>
      <c r="D2203" s="1186" t="s">
        <v>1986</v>
      </c>
      <c r="E2203" s="1186" t="s">
        <v>2035</v>
      </c>
      <c r="F2203" s="1186" t="s">
        <v>2033</v>
      </c>
      <c r="G2203" s="1186" t="s">
        <v>828</v>
      </c>
      <c r="H2203" s="1186">
        <v>102</v>
      </c>
    </row>
    <row r="2204" spans="1:8" x14ac:dyDescent="0.2">
      <c r="A2204" s="1186" t="s">
        <v>621</v>
      </c>
      <c r="B2204" s="1186" t="s">
        <v>979</v>
      </c>
      <c r="C2204" s="1186" t="s">
        <v>1985</v>
      </c>
      <c r="D2204" s="1186" t="s">
        <v>1986</v>
      </c>
      <c r="E2204" s="1186" t="s">
        <v>2035</v>
      </c>
      <c r="F2204" s="1186" t="s">
        <v>2033</v>
      </c>
      <c r="G2204" s="1186" t="s">
        <v>850</v>
      </c>
      <c r="H2204" s="1186">
        <v>22</v>
      </c>
    </row>
    <row r="2205" spans="1:8" x14ac:dyDescent="0.2">
      <c r="A2205" s="1186" t="s">
        <v>621</v>
      </c>
      <c r="B2205" s="1186" t="s">
        <v>979</v>
      </c>
      <c r="C2205" s="1186" t="s">
        <v>1985</v>
      </c>
      <c r="D2205" s="1186" t="s">
        <v>1986</v>
      </c>
      <c r="E2205" s="1186" t="s">
        <v>2035</v>
      </c>
      <c r="F2205" s="1186" t="s">
        <v>2033</v>
      </c>
      <c r="G2205" s="1186" t="s">
        <v>851</v>
      </c>
      <c r="H2205" s="1186">
        <v>185</v>
      </c>
    </row>
    <row r="2206" spans="1:8" x14ac:dyDescent="0.2">
      <c r="A2206" s="1186" t="s">
        <v>621</v>
      </c>
      <c r="B2206" s="1186" t="s">
        <v>979</v>
      </c>
      <c r="C2206" s="1186" t="s">
        <v>1985</v>
      </c>
      <c r="D2206" s="1186" t="s">
        <v>1986</v>
      </c>
      <c r="E2206" s="1186" t="s">
        <v>2035</v>
      </c>
      <c r="F2206" s="1186" t="s">
        <v>2033</v>
      </c>
      <c r="G2206" s="1186" t="s">
        <v>852</v>
      </c>
      <c r="H2206" s="1186">
        <v>40</v>
      </c>
    </row>
    <row r="2207" spans="1:8" x14ac:dyDescent="0.2">
      <c r="A2207" s="1186" t="s">
        <v>621</v>
      </c>
      <c r="B2207" s="1186" t="s">
        <v>979</v>
      </c>
      <c r="C2207" s="1186" t="s">
        <v>1985</v>
      </c>
      <c r="D2207" s="1186" t="s">
        <v>1986</v>
      </c>
      <c r="E2207" s="1186" t="s">
        <v>2035</v>
      </c>
      <c r="F2207" s="1186" t="s">
        <v>2034</v>
      </c>
      <c r="G2207" s="1186" t="s">
        <v>828</v>
      </c>
      <c r="H2207" s="1186">
        <v>66</v>
      </c>
    </row>
    <row r="2208" spans="1:8" x14ac:dyDescent="0.2">
      <c r="A2208" s="1186" t="s">
        <v>621</v>
      </c>
      <c r="B2208" s="1186" t="s">
        <v>979</v>
      </c>
      <c r="C2208" s="1186" t="s">
        <v>1985</v>
      </c>
      <c r="D2208" s="1186" t="s">
        <v>1986</v>
      </c>
      <c r="E2208" s="1186" t="s">
        <v>2035</v>
      </c>
      <c r="F2208" s="1186" t="s">
        <v>2034</v>
      </c>
      <c r="G2208" s="1186" t="s">
        <v>850</v>
      </c>
      <c r="H2208" s="1186">
        <v>36</v>
      </c>
    </row>
    <row r="2209" spans="1:8" x14ac:dyDescent="0.2">
      <c r="A2209" s="1186" t="s">
        <v>621</v>
      </c>
      <c r="B2209" s="1186" t="s">
        <v>979</v>
      </c>
      <c r="C2209" s="1186" t="s">
        <v>1985</v>
      </c>
      <c r="D2209" s="1186" t="s">
        <v>1986</v>
      </c>
      <c r="E2209" s="1186" t="s">
        <v>2035</v>
      </c>
      <c r="F2209" s="1186" t="s">
        <v>2034</v>
      </c>
      <c r="G2209" s="1186" t="s">
        <v>851</v>
      </c>
      <c r="H2209" s="1186">
        <v>35</v>
      </c>
    </row>
    <row r="2210" spans="1:8" x14ac:dyDescent="0.2">
      <c r="A2210" s="1186" t="s">
        <v>621</v>
      </c>
      <c r="B2210" s="1186" t="s">
        <v>979</v>
      </c>
      <c r="C2210" s="1186" t="s">
        <v>1985</v>
      </c>
      <c r="D2210" s="1186" t="s">
        <v>1986</v>
      </c>
      <c r="E2210" s="1186" t="s">
        <v>2035</v>
      </c>
      <c r="F2210" s="1186" t="s">
        <v>2034</v>
      </c>
      <c r="G2210" s="1186" t="s">
        <v>852</v>
      </c>
      <c r="H2210" s="1186">
        <v>16</v>
      </c>
    </row>
    <row r="2211" spans="1:8" x14ac:dyDescent="0.2">
      <c r="A2211" s="1186" t="s">
        <v>621</v>
      </c>
      <c r="B2211" s="1186" t="s">
        <v>980</v>
      </c>
      <c r="C2211" s="1186" t="s">
        <v>1985</v>
      </c>
      <c r="D2211" s="1186" t="s">
        <v>1986</v>
      </c>
      <c r="E2211" s="1186" t="s">
        <v>2031</v>
      </c>
      <c r="F2211" s="1186" t="s">
        <v>2032</v>
      </c>
      <c r="G2211" s="1186" t="s">
        <v>828</v>
      </c>
      <c r="H2211" s="1186">
        <v>6</v>
      </c>
    </row>
    <row r="2212" spans="1:8" x14ac:dyDescent="0.2">
      <c r="A2212" s="1186" t="s">
        <v>621</v>
      </c>
      <c r="B2212" s="1186" t="s">
        <v>980</v>
      </c>
      <c r="C2212" s="1186" t="s">
        <v>1985</v>
      </c>
      <c r="D2212" s="1186" t="s">
        <v>1986</v>
      </c>
      <c r="E2212" s="1186" t="s">
        <v>2031</v>
      </c>
      <c r="F2212" s="1186" t="s">
        <v>2032</v>
      </c>
      <c r="G2212" s="1186" t="s">
        <v>850</v>
      </c>
      <c r="H2212" s="1186">
        <v>1</v>
      </c>
    </row>
    <row r="2213" spans="1:8" x14ac:dyDescent="0.2">
      <c r="A2213" s="1186" t="s">
        <v>621</v>
      </c>
      <c r="B2213" s="1186" t="s">
        <v>980</v>
      </c>
      <c r="C2213" s="1186" t="s">
        <v>1985</v>
      </c>
      <c r="D2213" s="1186" t="s">
        <v>1986</v>
      </c>
      <c r="E2213" s="1186" t="s">
        <v>2031</v>
      </c>
      <c r="F2213" s="1186" t="s">
        <v>2033</v>
      </c>
      <c r="G2213" s="1186" t="s">
        <v>828</v>
      </c>
      <c r="H2213" s="1186">
        <v>61</v>
      </c>
    </row>
    <row r="2214" spans="1:8" x14ac:dyDescent="0.2">
      <c r="A2214" s="1186" t="s">
        <v>621</v>
      </c>
      <c r="B2214" s="1186" t="s">
        <v>980</v>
      </c>
      <c r="C2214" s="1186" t="s">
        <v>1985</v>
      </c>
      <c r="D2214" s="1186" t="s">
        <v>1986</v>
      </c>
      <c r="E2214" s="1186" t="s">
        <v>2031</v>
      </c>
      <c r="F2214" s="1186" t="s">
        <v>2033</v>
      </c>
      <c r="G2214" s="1186" t="s">
        <v>850</v>
      </c>
      <c r="H2214" s="1186">
        <v>11</v>
      </c>
    </row>
    <row r="2215" spans="1:8" x14ac:dyDescent="0.2">
      <c r="A2215" s="1186" t="s">
        <v>621</v>
      </c>
      <c r="B2215" s="1186" t="s">
        <v>980</v>
      </c>
      <c r="C2215" s="1186" t="s">
        <v>1985</v>
      </c>
      <c r="D2215" s="1186" t="s">
        <v>1986</v>
      </c>
      <c r="E2215" s="1186" t="s">
        <v>2031</v>
      </c>
      <c r="F2215" s="1186" t="s">
        <v>2033</v>
      </c>
      <c r="G2215" s="1186" t="s">
        <v>851</v>
      </c>
      <c r="H2215" s="1186">
        <v>3</v>
      </c>
    </row>
    <row r="2216" spans="1:8" x14ac:dyDescent="0.2">
      <c r="A2216" s="1186" t="s">
        <v>621</v>
      </c>
      <c r="B2216" s="1186" t="s">
        <v>980</v>
      </c>
      <c r="C2216" s="1186" t="s">
        <v>1985</v>
      </c>
      <c r="D2216" s="1186" t="s">
        <v>1986</v>
      </c>
      <c r="E2216" s="1186" t="s">
        <v>2031</v>
      </c>
      <c r="F2216" s="1186" t="s">
        <v>2033</v>
      </c>
      <c r="G2216" s="1186" t="s">
        <v>852</v>
      </c>
      <c r="H2216" s="1186">
        <v>2</v>
      </c>
    </row>
    <row r="2217" spans="1:8" x14ac:dyDescent="0.2">
      <c r="A2217" s="1186" t="s">
        <v>621</v>
      </c>
      <c r="B2217" s="1186" t="s">
        <v>980</v>
      </c>
      <c r="C2217" s="1186" t="s">
        <v>1985</v>
      </c>
      <c r="D2217" s="1186" t="s">
        <v>1986</v>
      </c>
      <c r="E2217" s="1186" t="s">
        <v>2031</v>
      </c>
      <c r="F2217" s="1186" t="s">
        <v>2034</v>
      </c>
      <c r="G2217" s="1186" t="s">
        <v>828</v>
      </c>
      <c r="H2217" s="1186">
        <v>10</v>
      </c>
    </row>
    <row r="2218" spans="1:8" x14ac:dyDescent="0.2">
      <c r="A2218" s="1186" t="s">
        <v>621</v>
      </c>
      <c r="B2218" s="1186" t="s">
        <v>980</v>
      </c>
      <c r="C2218" s="1186" t="s">
        <v>1985</v>
      </c>
      <c r="D2218" s="1186" t="s">
        <v>1986</v>
      </c>
      <c r="E2218" s="1186" t="s">
        <v>2031</v>
      </c>
      <c r="F2218" s="1186" t="s">
        <v>2034</v>
      </c>
      <c r="G2218" s="1186" t="s">
        <v>850</v>
      </c>
      <c r="H2218" s="1186">
        <v>5</v>
      </c>
    </row>
    <row r="2219" spans="1:8" x14ac:dyDescent="0.2">
      <c r="A2219" s="1186" t="s">
        <v>621</v>
      </c>
      <c r="B2219" s="1186" t="s">
        <v>980</v>
      </c>
      <c r="C2219" s="1186" t="s">
        <v>1985</v>
      </c>
      <c r="D2219" s="1186" t="s">
        <v>1986</v>
      </c>
      <c r="E2219" s="1186" t="s">
        <v>2035</v>
      </c>
      <c r="F2219" s="1186" t="s">
        <v>2032</v>
      </c>
      <c r="G2219" s="1186" t="s">
        <v>828</v>
      </c>
      <c r="H2219" s="1186">
        <v>18</v>
      </c>
    </row>
    <row r="2220" spans="1:8" x14ac:dyDescent="0.2">
      <c r="A2220" s="1186" t="s">
        <v>621</v>
      </c>
      <c r="B2220" s="1186" t="s">
        <v>980</v>
      </c>
      <c r="C2220" s="1186" t="s">
        <v>1985</v>
      </c>
      <c r="D2220" s="1186" t="s">
        <v>1986</v>
      </c>
      <c r="E2220" s="1186" t="s">
        <v>2035</v>
      </c>
      <c r="F2220" s="1186" t="s">
        <v>2032</v>
      </c>
      <c r="G2220" s="1186" t="s">
        <v>850</v>
      </c>
      <c r="H2220" s="1186">
        <v>1</v>
      </c>
    </row>
    <row r="2221" spans="1:8" x14ac:dyDescent="0.2">
      <c r="A2221" s="1186" t="s">
        <v>621</v>
      </c>
      <c r="B2221" s="1186" t="s">
        <v>980</v>
      </c>
      <c r="C2221" s="1186" t="s">
        <v>1985</v>
      </c>
      <c r="D2221" s="1186" t="s">
        <v>1986</v>
      </c>
      <c r="E2221" s="1186" t="s">
        <v>2035</v>
      </c>
      <c r="F2221" s="1186" t="s">
        <v>2032</v>
      </c>
      <c r="G2221" s="1186" t="s">
        <v>851</v>
      </c>
      <c r="H2221" s="1186">
        <v>7</v>
      </c>
    </row>
    <row r="2222" spans="1:8" x14ac:dyDescent="0.2">
      <c r="A2222" s="1186" t="s">
        <v>621</v>
      </c>
      <c r="B2222" s="1186" t="s">
        <v>980</v>
      </c>
      <c r="C2222" s="1186" t="s">
        <v>1985</v>
      </c>
      <c r="D2222" s="1186" t="s">
        <v>1986</v>
      </c>
      <c r="E2222" s="1186" t="s">
        <v>2035</v>
      </c>
      <c r="F2222" s="1186" t="s">
        <v>2032</v>
      </c>
      <c r="G2222" s="1186" t="s">
        <v>852</v>
      </c>
      <c r="H2222" s="1186">
        <v>2</v>
      </c>
    </row>
    <row r="2223" spans="1:8" x14ac:dyDescent="0.2">
      <c r="A2223" s="1186" t="s">
        <v>621</v>
      </c>
      <c r="B2223" s="1186" t="s">
        <v>980</v>
      </c>
      <c r="C2223" s="1186" t="s">
        <v>1985</v>
      </c>
      <c r="D2223" s="1186" t="s">
        <v>1986</v>
      </c>
      <c r="E2223" s="1186" t="s">
        <v>2035</v>
      </c>
      <c r="F2223" s="1186" t="s">
        <v>2033</v>
      </c>
      <c r="G2223" s="1186" t="s">
        <v>828</v>
      </c>
      <c r="H2223" s="1186">
        <v>85</v>
      </c>
    </row>
    <row r="2224" spans="1:8" x14ac:dyDescent="0.2">
      <c r="A2224" s="1186" t="s">
        <v>621</v>
      </c>
      <c r="B2224" s="1186" t="s">
        <v>980</v>
      </c>
      <c r="C2224" s="1186" t="s">
        <v>1985</v>
      </c>
      <c r="D2224" s="1186" t="s">
        <v>1986</v>
      </c>
      <c r="E2224" s="1186" t="s">
        <v>2035</v>
      </c>
      <c r="F2224" s="1186" t="s">
        <v>2033</v>
      </c>
      <c r="G2224" s="1186" t="s">
        <v>850</v>
      </c>
      <c r="H2224" s="1186">
        <v>9</v>
      </c>
    </row>
    <row r="2225" spans="1:8" x14ac:dyDescent="0.2">
      <c r="A2225" s="1186" t="s">
        <v>621</v>
      </c>
      <c r="B2225" s="1186" t="s">
        <v>980</v>
      </c>
      <c r="C2225" s="1186" t="s">
        <v>1985</v>
      </c>
      <c r="D2225" s="1186" t="s">
        <v>1986</v>
      </c>
      <c r="E2225" s="1186" t="s">
        <v>2035</v>
      </c>
      <c r="F2225" s="1186" t="s">
        <v>2033</v>
      </c>
      <c r="G2225" s="1186" t="s">
        <v>851</v>
      </c>
      <c r="H2225" s="1186">
        <v>157</v>
      </c>
    </row>
    <row r="2226" spans="1:8" x14ac:dyDescent="0.2">
      <c r="A2226" s="1186" t="s">
        <v>621</v>
      </c>
      <c r="B2226" s="1186" t="s">
        <v>980</v>
      </c>
      <c r="C2226" s="1186" t="s">
        <v>1985</v>
      </c>
      <c r="D2226" s="1186" t="s">
        <v>1986</v>
      </c>
      <c r="E2226" s="1186" t="s">
        <v>2035</v>
      </c>
      <c r="F2226" s="1186" t="s">
        <v>2033</v>
      </c>
      <c r="G2226" s="1186" t="s">
        <v>852</v>
      </c>
      <c r="H2226" s="1186">
        <v>22</v>
      </c>
    </row>
    <row r="2227" spans="1:8" x14ac:dyDescent="0.2">
      <c r="A2227" s="1186" t="s">
        <v>621</v>
      </c>
      <c r="B2227" s="1186" t="s">
        <v>980</v>
      </c>
      <c r="C2227" s="1186" t="s">
        <v>1985</v>
      </c>
      <c r="D2227" s="1186" t="s">
        <v>1986</v>
      </c>
      <c r="E2227" s="1186" t="s">
        <v>2035</v>
      </c>
      <c r="F2227" s="1186" t="s">
        <v>2034</v>
      </c>
      <c r="G2227" s="1186" t="s">
        <v>828</v>
      </c>
      <c r="H2227" s="1186">
        <v>81</v>
      </c>
    </row>
    <row r="2228" spans="1:8" x14ac:dyDescent="0.2">
      <c r="A2228" s="1186" t="s">
        <v>621</v>
      </c>
      <c r="B2228" s="1186" t="s">
        <v>980</v>
      </c>
      <c r="C2228" s="1186" t="s">
        <v>1985</v>
      </c>
      <c r="D2228" s="1186" t="s">
        <v>1986</v>
      </c>
      <c r="E2228" s="1186" t="s">
        <v>2035</v>
      </c>
      <c r="F2228" s="1186" t="s">
        <v>2034</v>
      </c>
      <c r="G2228" s="1186" t="s">
        <v>850</v>
      </c>
      <c r="H2228" s="1186">
        <v>36</v>
      </c>
    </row>
    <row r="2229" spans="1:8" x14ac:dyDescent="0.2">
      <c r="A2229" s="1186" t="s">
        <v>621</v>
      </c>
      <c r="B2229" s="1186" t="s">
        <v>980</v>
      </c>
      <c r="C2229" s="1186" t="s">
        <v>1985</v>
      </c>
      <c r="D2229" s="1186" t="s">
        <v>1986</v>
      </c>
      <c r="E2229" s="1186" t="s">
        <v>2035</v>
      </c>
      <c r="F2229" s="1186" t="s">
        <v>2034</v>
      </c>
      <c r="G2229" s="1186" t="s">
        <v>851</v>
      </c>
      <c r="H2229" s="1186">
        <v>33</v>
      </c>
    </row>
    <row r="2230" spans="1:8" x14ac:dyDescent="0.2">
      <c r="A2230" s="1186" t="s">
        <v>621</v>
      </c>
      <c r="B2230" s="1186" t="s">
        <v>980</v>
      </c>
      <c r="C2230" s="1186" t="s">
        <v>1985</v>
      </c>
      <c r="D2230" s="1186" t="s">
        <v>1986</v>
      </c>
      <c r="E2230" s="1186" t="s">
        <v>2035</v>
      </c>
      <c r="F2230" s="1186" t="s">
        <v>2034</v>
      </c>
      <c r="G2230" s="1186" t="s">
        <v>852</v>
      </c>
      <c r="H2230" s="1186">
        <v>10</v>
      </c>
    </row>
    <row r="2231" spans="1:8" x14ac:dyDescent="0.2">
      <c r="A2231" s="1186" t="s">
        <v>621</v>
      </c>
      <c r="B2231" s="1186" t="s">
        <v>981</v>
      </c>
      <c r="C2231" s="1186" t="s">
        <v>1987</v>
      </c>
      <c r="D2231" s="1186" t="s">
        <v>1986</v>
      </c>
      <c r="E2231" s="1186" t="s">
        <v>2031</v>
      </c>
      <c r="F2231" s="1186" t="s">
        <v>2032</v>
      </c>
      <c r="G2231" s="1186" t="s">
        <v>828</v>
      </c>
      <c r="H2231" s="1186">
        <v>4</v>
      </c>
    </row>
    <row r="2232" spans="1:8" x14ac:dyDescent="0.2">
      <c r="A2232" s="1186" t="s">
        <v>621</v>
      </c>
      <c r="B2232" s="1186" t="s">
        <v>981</v>
      </c>
      <c r="C2232" s="1186" t="s">
        <v>1987</v>
      </c>
      <c r="D2232" s="1186" t="s">
        <v>1986</v>
      </c>
      <c r="E2232" s="1186" t="s">
        <v>2031</v>
      </c>
      <c r="F2232" s="1186" t="s">
        <v>2033</v>
      </c>
      <c r="G2232" s="1186" t="s">
        <v>828</v>
      </c>
      <c r="H2232" s="1186">
        <v>83</v>
      </c>
    </row>
    <row r="2233" spans="1:8" x14ac:dyDescent="0.2">
      <c r="A2233" s="1186" t="s">
        <v>621</v>
      </c>
      <c r="B2233" s="1186" t="s">
        <v>981</v>
      </c>
      <c r="C2233" s="1186" t="s">
        <v>1987</v>
      </c>
      <c r="D2233" s="1186" t="s">
        <v>1986</v>
      </c>
      <c r="E2233" s="1186" t="s">
        <v>2031</v>
      </c>
      <c r="F2233" s="1186" t="s">
        <v>2033</v>
      </c>
      <c r="G2233" s="1186" t="s">
        <v>850</v>
      </c>
      <c r="H2233" s="1186">
        <v>10</v>
      </c>
    </row>
    <row r="2234" spans="1:8" x14ac:dyDescent="0.2">
      <c r="A2234" s="1186" t="s">
        <v>621</v>
      </c>
      <c r="B2234" s="1186" t="s">
        <v>981</v>
      </c>
      <c r="C2234" s="1186" t="s">
        <v>1987</v>
      </c>
      <c r="D2234" s="1186" t="s">
        <v>1986</v>
      </c>
      <c r="E2234" s="1186" t="s">
        <v>2031</v>
      </c>
      <c r="F2234" s="1186" t="s">
        <v>2034</v>
      </c>
      <c r="G2234" s="1186" t="s">
        <v>828</v>
      </c>
      <c r="H2234" s="1186">
        <v>15</v>
      </c>
    </row>
    <row r="2235" spans="1:8" x14ac:dyDescent="0.2">
      <c r="A2235" s="1186" t="s">
        <v>621</v>
      </c>
      <c r="B2235" s="1186" t="s">
        <v>981</v>
      </c>
      <c r="C2235" s="1186" t="s">
        <v>1987</v>
      </c>
      <c r="D2235" s="1186" t="s">
        <v>1986</v>
      </c>
      <c r="E2235" s="1186" t="s">
        <v>2031</v>
      </c>
      <c r="F2235" s="1186" t="s">
        <v>2034</v>
      </c>
      <c r="G2235" s="1186" t="s">
        <v>850</v>
      </c>
      <c r="H2235" s="1186">
        <v>4</v>
      </c>
    </row>
    <row r="2236" spans="1:8" x14ac:dyDescent="0.2">
      <c r="A2236" s="1186" t="s">
        <v>621</v>
      </c>
      <c r="B2236" s="1186" t="s">
        <v>981</v>
      </c>
      <c r="C2236" s="1186" t="s">
        <v>1987</v>
      </c>
      <c r="D2236" s="1186" t="s">
        <v>1986</v>
      </c>
      <c r="E2236" s="1186" t="s">
        <v>2035</v>
      </c>
      <c r="F2236" s="1186" t="s">
        <v>2032</v>
      </c>
      <c r="G2236" s="1186" t="s">
        <v>828</v>
      </c>
      <c r="H2236" s="1186">
        <v>15</v>
      </c>
    </row>
    <row r="2237" spans="1:8" x14ac:dyDescent="0.2">
      <c r="A2237" s="1186" t="s">
        <v>621</v>
      </c>
      <c r="B2237" s="1186" t="s">
        <v>981</v>
      </c>
      <c r="C2237" s="1186" t="s">
        <v>1987</v>
      </c>
      <c r="D2237" s="1186" t="s">
        <v>1986</v>
      </c>
      <c r="E2237" s="1186" t="s">
        <v>2035</v>
      </c>
      <c r="F2237" s="1186" t="s">
        <v>2032</v>
      </c>
      <c r="G2237" s="1186" t="s">
        <v>851</v>
      </c>
      <c r="H2237" s="1186">
        <v>8</v>
      </c>
    </row>
    <row r="2238" spans="1:8" x14ac:dyDescent="0.2">
      <c r="A2238" s="1186" t="s">
        <v>621</v>
      </c>
      <c r="B2238" s="1186" t="s">
        <v>981</v>
      </c>
      <c r="C2238" s="1186" t="s">
        <v>1987</v>
      </c>
      <c r="D2238" s="1186" t="s">
        <v>1986</v>
      </c>
      <c r="E2238" s="1186" t="s">
        <v>2035</v>
      </c>
      <c r="F2238" s="1186" t="s">
        <v>2032</v>
      </c>
      <c r="G2238" s="1186" t="s">
        <v>852</v>
      </c>
      <c r="H2238" s="1186">
        <v>8</v>
      </c>
    </row>
    <row r="2239" spans="1:8" x14ac:dyDescent="0.2">
      <c r="A2239" s="1186" t="s">
        <v>621</v>
      </c>
      <c r="B2239" s="1186" t="s">
        <v>981</v>
      </c>
      <c r="C2239" s="1186" t="s">
        <v>1987</v>
      </c>
      <c r="D2239" s="1186" t="s">
        <v>1986</v>
      </c>
      <c r="E2239" s="1186" t="s">
        <v>2035</v>
      </c>
      <c r="F2239" s="1186" t="s">
        <v>2033</v>
      </c>
      <c r="G2239" s="1186" t="s">
        <v>828</v>
      </c>
      <c r="H2239" s="1186">
        <v>94</v>
      </c>
    </row>
    <row r="2240" spans="1:8" x14ac:dyDescent="0.2">
      <c r="A2240" s="1186" t="s">
        <v>621</v>
      </c>
      <c r="B2240" s="1186" t="s">
        <v>981</v>
      </c>
      <c r="C2240" s="1186" t="s">
        <v>1987</v>
      </c>
      <c r="D2240" s="1186" t="s">
        <v>1986</v>
      </c>
      <c r="E2240" s="1186" t="s">
        <v>2035</v>
      </c>
      <c r="F2240" s="1186" t="s">
        <v>2033</v>
      </c>
      <c r="G2240" s="1186" t="s">
        <v>850</v>
      </c>
      <c r="H2240" s="1186">
        <v>16</v>
      </c>
    </row>
    <row r="2241" spans="1:8" x14ac:dyDescent="0.2">
      <c r="A2241" s="1186" t="s">
        <v>621</v>
      </c>
      <c r="B2241" s="1186" t="s">
        <v>981</v>
      </c>
      <c r="C2241" s="1186" t="s">
        <v>1987</v>
      </c>
      <c r="D2241" s="1186" t="s">
        <v>1986</v>
      </c>
      <c r="E2241" s="1186" t="s">
        <v>2035</v>
      </c>
      <c r="F2241" s="1186" t="s">
        <v>2033</v>
      </c>
      <c r="G2241" s="1186" t="s">
        <v>851</v>
      </c>
      <c r="H2241" s="1186">
        <v>173</v>
      </c>
    </row>
    <row r="2242" spans="1:8" x14ac:dyDescent="0.2">
      <c r="A2242" s="1186" t="s">
        <v>621</v>
      </c>
      <c r="B2242" s="1186" t="s">
        <v>981</v>
      </c>
      <c r="C2242" s="1186" t="s">
        <v>1987</v>
      </c>
      <c r="D2242" s="1186" t="s">
        <v>1986</v>
      </c>
      <c r="E2242" s="1186" t="s">
        <v>2035</v>
      </c>
      <c r="F2242" s="1186" t="s">
        <v>2033</v>
      </c>
      <c r="G2242" s="1186" t="s">
        <v>852</v>
      </c>
      <c r="H2242" s="1186">
        <v>14</v>
      </c>
    </row>
    <row r="2243" spans="1:8" x14ac:dyDescent="0.2">
      <c r="A2243" s="1186" t="s">
        <v>621</v>
      </c>
      <c r="B2243" s="1186" t="s">
        <v>981</v>
      </c>
      <c r="C2243" s="1186" t="s">
        <v>1987</v>
      </c>
      <c r="D2243" s="1186" t="s">
        <v>1986</v>
      </c>
      <c r="E2243" s="1186" t="s">
        <v>2035</v>
      </c>
      <c r="F2243" s="1186" t="s">
        <v>2034</v>
      </c>
      <c r="G2243" s="1186" t="s">
        <v>828</v>
      </c>
      <c r="H2243" s="1186">
        <v>112</v>
      </c>
    </row>
    <row r="2244" spans="1:8" x14ac:dyDescent="0.2">
      <c r="A2244" s="1186" t="s">
        <v>621</v>
      </c>
      <c r="B2244" s="1186" t="s">
        <v>981</v>
      </c>
      <c r="C2244" s="1186" t="s">
        <v>1987</v>
      </c>
      <c r="D2244" s="1186" t="s">
        <v>1986</v>
      </c>
      <c r="E2244" s="1186" t="s">
        <v>2035</v>
      </c>
      <c r="F2244" s="1186" t="s">
        <v>2034</v>
      </c>
      <c r="G2244" s="1186" t="s">
        <v>850</v>
      </c>
      <c r="H2244" s="1186">
        <v>24</v>
      </c>
    </row>
    <row r="2245" spans="1:8" x14ac:dyDescent="0.2">
      <c r="A2245" s="1186" t="s">
        <v>621</v>
      </c>
      <c r="B2245" s="1186" t="s">
        <v>981</v>
      </c>
      <c r="C2245" s="1186" t="s">
        <v>1987</v>
      </c>
      <c r="D2245" s="1186" t="s">
        <v>1986</v>
      </c>
      <c r="E2245" s="1186" t="s">
        <v>2035</v>
      </c>
      <c r="F2245" s="1186" t="s">
        <v>2034</v>
      </c>
      <c r="G2245" s="1186" t="s">
        <v>851</v>
      </c>
      <c r="H2245" s="1186">
        <v>38</v>
      </c>
    </row>
    <row r="2246" spans="1:8" x14ac:dyDescent="0.2">
      <c r="A2246" s="1186" t="s">
        <v>621</v>
      </c>
      <c r="B2246" s="1186" t="s">
        <v>981</v>
      </c>
      <c r="C2246" s="1186" t="s">
        <v>1987</v>
      </c>
      <c r="D2246" s="1186" t="s">
        <v>1986</v>
      </c>
      <c r="E2246" s="1186" t="s">
        <v>2035</v>
      </c>
      <c r="F2246" s="1186" t="s">
        <v>2034</v>
      </c>
      <c r="G2246" s="1186" t="s">
        <v>852</v>
      </c>
      <c r="H2246" s="1186">
        <v>9</v>
      </c>
    </row>
    <row r="2247" spans="1:8" x14ac:dyDescent="0.2">
      <c r="A2247" s="1186" t="s">
        <v>621</v>
      </c>
      <c r="B2247" s="1186" t="s">
        <v>982</v>
      </c>
      <c r="C2247" s="1186" t="s">
        <v>1987</v>
      </c>
      <c r="D2247" s="1186" t="s">
        <v>1988</v>
      </c>
      <c r="E2247" s="1186" t="s">
        <v>2031</v>
      </c>
      <c r="F2247" s="1186" t="s">
        <v>2032</v>
      </c>
      <c r="G2247" s="1186" t="s">
        <v>828</v>
      </c>
      <c r="H2247" s="1186">
        <v>1</v>
      </c>
    </row>
    <row r="2248" spans="1:8" x14ac:dyDescent="0.2">
      <c r="A2248" s="1186" t="s">
        <v>621</v>
      </c>
      <c r="B2248" s="1186" t="s">
        <v>982</v>
      </c>
      <c r="C2248" s="1186" t="s">
        <v>1987</v>
      </c>
      <c r="D2248" s="1186" t="s">
        <v>1988</v>
      </c>
      <c r="E2248" s="1186" t="s">
        <v>2031</v>
      </c>
      <c r="F2248" s="1186" t="s">
        <v>2033</v>
      </c>
      <c r="G2248" s="1186" t="s">
        <v>828</v>
      </c>
      <c r="H2248" s="1186">
        <v>105</v>
      </c>
    </row>
    <row r="2249" spans="1:8" x14ac:dyDescent="0.2">
      <c r="A2249" s="1186" t="s">
        <v>621</v>
      </c>
      <c r="B2249" s="1186" t="s">
        <v>982</v>
      </c>
      <c r="C2249" s="1186" t="s">
        <v>1987</v>
      </c>
      <c r="D2249" s="1186" t="s">
        <v>1988</v>
      </c>
      <c r="E2249" s="1186" t="s">
        <v>2031</v>
      </c>
      <c r="F2249" s="1186" t="s">
        <v>2033</v>
      </c>
      <c r="G2249" s="1186" t="s">
        <v>850</v>
      </c>
      <c r="H2249" s="1186">
        <v>3</v>
      </c>
    </row>
    <row r="2250" spans="1:8" x14ac:dyDescent="0.2">
      <c r="A2250" s="1186" t="s">
        <v>621</v>
      </c>
      <c r="B2250" s="1186" t="s">
        <v>982</v>
      </c>
      <c r="C2250" s="1186" t="s">
        <v>1987</v>
      </c>
      <c r="D2250" s="1186" t="s">
        <v>1988</v>
      </c>
      <c r="E2250" s="1186" t="s">
        <v>2031</v>
      </c>
      <c r="F2250" s="1186" t="s">
        <v>2033</v>
      </c>
      <c r="G2250" s="1186" t="s">
        <v>851</v>
      </c>
      <c r="H2250" s="1186">
        <v>1</v>
      </c>
    </row>
    <row r="2251" spans="1:8" x14ac:dyDescent="0.2">
      <c r="A2251" s="1186" t="s">
        <v>621</v>
      </c>
      <c r="B2251" s="1186" t="s">
        <v>982</v>
      </c>
      <c r="C2251" s="1186" t="s">
        <v>1987</v>
      </c>
      <c r="D2251" s="1186" t="s">
        <v>1988</v>
      </c>
      <c r="E2251" s="1186" t="s">
        <v>2031</v>
      </c>
      <c r="F2251" s="1186" t="s">
        <v>2033</v>
      </c>
      <c r="G2251" s="1186" t="s">
        <v>852</v>
      </c>
      <c r="H2251" s="1186">
        <v>3</v>
      </c>
    </row>
    <row r="2252" spans="1:8" x14ac:dyDescent="0.2">
      <c r="A2252" s="1186" t="s">
        <v>621</v>
      </c>
      <c r="B2252" s="1186" t="s">
        <v>982</v>
      </c>
      <c r="C2252" s="1186" t="s">
        <v>1987</v>
      </c>
      <c r="D2252" s="1186" t="s">
        <v>1988</v>
      </c>
      <c r="E2252" s="1186" t="s">
        <v>2031</v>
      </c>
      <c r="F2252" s="1186" t="s">
        <v>2034</v>
      </c>
      <c r="G2252" s="1186" t="s">
        <v>828</v>
      </c>
      <c r="H2252" s="1186">
        <v>20</v>
      </c>
    </row>
    <row r="2253" spans="1:8" x14ac:dyDescent="0.2">
      <c r="A2253" s="1186" t="s">
        <v>621</v>
      </c>
      <c r="B2253" s="1186" t="s">
        <v>982</v>
      </c>
      <c r="C2253" s="1186" t="s">
        <v>1987</v>
      </c>
      <c r="D2253" s="1186" t="s">
        <v>1988</v>
      </c>
      <c r="E2253" s="1186" t="s">
        <v>2031</v>
      </c>
      <c r="F2253" s="1186" t="s">
        <v>2034</v>
      </c>
      <c r="G2253" s="1186" t="s">
        <v>852</v>
      </c>
      <c r="H2253" s="1186">
        <v>1</v>
      </c>
    </row>
    <row r="2254" spans="1:8" x14ac:dyDescent="0.2">
      <c r="A2254" s="1186" t="s">
        <v>621</v>
      </c>
      <c r="B2254" s="1186" t="s">
        <v>982</v>
      </c>
      <c r="C2254" s="1186" t="s">
        <v>1987</v>
      </c>
      <c r="D2254" s="1186" t="s">
        <v>1988</v>
      </c>
      <c r="E2254" s="1186" t="s">
        <v>2035</v>
      </c>
      <c r="F2254" s="1186" t="s">
        <v>2032</v>
      </c>
      <c r="G2254" s="1186" t="s">
        <v>828</v>
      </c>
      <c r="H2254" s="1186">
        <v>23</v>
      </c>
    </row>
    <row r="2255" spans="1:8" x14ac:dyDescent="0.2">
      <c r="A2255" s="1186" t="s">
        <v>621</v>
      </c>
      <c r="B2255" s="1186" t="s">
        <v>982</v>
      </c>
      <c r="C2255" s="1186" t="s">
        <v>1987</v>
      </c>
      <c r="D2255" s="1186" t="s">
        <v>1988</v>
      </c>
      <c r="E2255" s="1186" t="s">
        <v>2035</v>
      </c>
      <c r="F2255" s="1186" t="s">
        <v>2032</v>
      </c>
      <c r="G2255" s="1186" t="s">
        <v>850</v>
      </c>
      <c r="H2255" s="1186">
        <v>1</v>
      </c>
    </row>
    <row r="2256" spans="1:8" x14ac:dyDescent="0.2">
      <c r="A2256" s="1186" t="s">
        <v>621</v>
      </c>
      <c r="B2256" s="1186" t="s">
        <v>982</v>
      </c>
      <c r="C2256" s="1186" t="s">
        <v>1987</v>
      </c>
      <c r="D2256" s="1186" t="s">
        <v>1988</v>
      </c>
      <c r="E2256" s="1186" t="s">
        <v>2035</v>
      </c>
      <c r="F2256" s="1186" t="s">
        <v>2032</v>
      </c>
      <c r="G2256" s="1186" t="s">
        <v>851</v>
      </c>
      <c r="H2256" s="1186">
        <v>7</v>
      </c>
    </row>
    <row r="2257" spans="1:8" x14ac:dyDescent="0.2">
      <c r="A2257" s="1186" t="s">
        <v>621</v>
      </c>
      <c r="B2257" s="1186" t="s">
        <v>982</v>
      </c>
      <c r="C2257" s="1186" t="s">
        <v>1987</v>
      </c>
      <c r="D2257" s="1186" t="s">
        <v>1988</v>
      </c>
      <c r="E2257" s="1186" t="s">
        <v>2035</v>
      </c>
      <c r="F2257" s="1186" t="s">
        <v>2032</v>
      </c>
      <c r="G2257" s="1186" t="s">
        <v>852</v>
      </c>
      <c r="H2257" s="1186">
        <v>7</v>
      </c>
    </row>
    <row r="2258" spans="1:8" x14ac:dyDescent="0.2">
      <c r="A2258" s="1186" t="s">
        <v>621</v>
      </c>
      <c r="B2258" s="1186" t="s">
        <v>982</v>
      </c>
      <c r="C2258" s="1186" t="s">
        <v>1987</v>
      </c>
      <c r="D2258" s="1186" t="s">
        <v>1988</v>
      </c>
      <c r="E2258" s="1186" t="s">
        <v>2035</v>
      </c>
      <c r="F2258" s="1186" t="s">
        <v>2033</v>
      </c>
      <c r="G2258" s="1186" t="s">
        <v>828</v>
      </c>
      <c r="H2258" s="1186">
        <v>94</v>
      </c>
    </row>
    <row r="2259" spans="1:8" x14ac:dyDescent="0.2">
      <c r="A2259" s="1186" t="s">
        <v>621</v>
      </c>
      <c r="B2259" s="1186" t="s">
        <v>982</v>
      </c>
      <c r="C2259" s="1186" t="s">
        <v>1987</v>
      </c>
      <c r="D2259" s="1186" t="s">
        <v>1988</v>
      </c>
      <c r="E2259" s="1186" t="s">
        <v>2035</v>
      </c>
      <c r="F2259" s="1186" t="s">
        <v>2033</v>
      </c>
      <c r="G2259" s="1186" t="s">
        <v>850</v>
      </c>
      <c r="H2259" s="1186">
        <v>9</v>
      </c>
    </row>
    <row r="2260" spans="1:8" x14ac:dyDescent="0.2">
      <c r="A2260" s="1186" t="s">
        <v>621</v>
      </c>
      <c r="B2260" s="1186" t="s">
        <v>982</v>
      </c>
      <c r="C2260" s="1186" t="s">
        <v>1987</v>
      </c>
      <c r="D2260" s="1186" t="s">
        <v>1988</v>
      </c>
      <c r="E2260" s="1186" t="s">
        <v>2035</v>
      </c>
      <c r="F2260" s="1186" t="s">
        <v>2033</v>
      </c>
      <c r="G2260" s="1186" t="s">
        <v>851</v>
      </c>
      <c r="H2260" s="1186">
        <v>145</v>
      </c>
    </row>
    <row r="2261" spans="1:8" x14ac:dyDescent="0.2">
      <c r="A2261" s="1186" t="s">
        <v>621</v>
      </c>
      <c r="B2261" s="1186" t="s">
        <v>982</v>
      </c>
      <c r="C2261" s="1186" t="s">
        <v>1987</v>
      </c>
      <c r="D2261" s="1186" t="s">
        <v>1988</v>
      </c>
      <c r="E2261" s="1186" t="s">
        <v>2035</v>
      </c>
      <c r="F2261" s="1186" t="s">
        <v>2033</v>
      </c>
      <c r="G2261" s="1186" t="s">
        <v>852</v>
      </c>
      <c r="H2261" s="1186">
        <v>23</v>
      </c>
    </row>
    <row r="2262" spans="1:8" x14ac:dyDescent="0.2">
      <c r="A2262" s="1186" t="s">
        <v>621</v>
      </c>
      <c r="B2262" s="1186" t="s">
        <v>982</v>
      </c>
      <c r="C2262" s="1186" t="s">
        <v>1987</v>
      </c>
      <c r="D2262" s="1186" t="s">
        <v>1988</v>
      </c>
      <c r="E2262" s="1186" t="s">
        <v>2035</v>
      </c>
      <c r="F2262" s="1186" t="s">
        <v>2034</v>
      </c>
      <c r="G2262" s="1186" t="s">
        <v>828</v>
      </c>
      <c r="H2262" s="1186">
        <v>112</v>
      </c>
    </row>
    <row r="2263" spans="1:8" x14ac:dyDescent="0.2">
      <c r="A2263" s="1186" t="s">
        <v>621</v>
      </c>
      <c r="B2263" s="1186" t="s">
        <v>982</v>
      </c>
      <c r="C2263" s="1186" t="s">
        <v>1987</v>
      </c>
      <c r="D2263" s="1186" t="s">
        <v>1988</v>
      </c>
      <c r="E2263" s="1186" t="s">
        <v>2035</v>
      </c>
      <c r="F2263" s="1186" t="s">
        <v>2034</v>
      </c>
      <c r="G2263" s="1186" t="s">
        <v>850</v>
      </c>
      <c r="H2263" s="1186">
        <v>44</v>
      </c>
    </row>
    <row r="2264" spans="1:8" x14ac:dyDescent="0.2">
      <c r="A2264" s="1186" t="s">
        <v>621</v>
      </c>
      <c r="B2264" s="1186" t="s">
        <v>982</v>
      </c>
      <c r="C2264" s="1186" t="s">
        <v>1987</v>
      </c>
      <c r="D2264" s="1186" t="s">
        <v>1988</v>
      </c>
      <c r="E2264" s="1186" t="s">
        <v>2035</v>
      </c>
      <c r="F2264" s="1186" t="s">
        <v>2034</v>
      </c>
      <c r="G2264" s="1186" t="s">
        <v>851</v>
      </c>
      <c r="H2264" s="1186">
        <v>16</v>
      </c>
    </row>
    <row r="2265" spans="1:8" x14ac:dyDescent="0.2">
      <c r="A2265" s="1186" t="s">
        <v>621</v>
      </c>
      <c r="B2265" s="1186" t="s">
        <v>982</v>
      </c>
      <c r="C2265" s="1186" t="s">
        <v>1987</v>
      </c>
      <c r="D2265" s="1186" t="s">
        <v>1988</v>
      </c>
      <c r="E2265" s="1186" t="s">
        <v>2035</v>
      </c>
      <c r="F2265" s="1186" t="s">
        <v>2034</v>
      </c>
      <c r="G2265" s="1186" t="s">
        <v>852</v>
      </c>
      <c r="H2265" s="1186">
        <v>16</v>
      </c>
    </row>
    <row r="2266" spans="1:8" x14ac:dyDescent="0.2">
      <c r="A2266" s="1186" t="s">
        <v>621</v>
      </c>
      <c r="B2266" s="1186" t="s">
        <v>983</v>
      </c>
      <c r="C2266" s="1186" t="s">
        <v>1987</v>
      </c>
      <c r="D2266" s="1186" t="s">
        <v>1988</v>
      </c>
      <c r="E2266" s="1186" t="s">
        <v>2031</v>
      </c>
      <c r="F2266" s="1186" t="s">
        <v>2032</v>
      </c>
      <c r="G2266" s="1186" t="s">
        <v>828</v>
      </c>
      <c r="H2266" s="1186">
        <v>10</v>
      </c>
    </row>
    <row r="2267" spans="1:8" x14ac:dyDescent="0.2">
      <c r="A2267" s="1186" t="s">
        <v>621</v>
      </c>
      <c r="B2267" s="1186" t="s">
        <v>983</v>
      </c>
      <c r="C2267" s="1186" t="s">
        <v>1987</v>
      </c>
      <c r="D2267" s="1186" t="s">
        <v>1988</v>
      </c>
      <c r="E2267" s="1186" t="s">
        <v>2031</v>
      </c>
      <c r="F2267" s="1186" t="s">
        <v>2032</v>
      </c>
      <c r="G2267" s="1186" t="s">
        <v>851</v>
      </c>
      <c r="H2267" s="1186">
        <v>2</v>
      </c>
    </row>
    <row r="2268" spans="1:8" x14ac:dyDescent="0.2">
      <c r="A2268" s="1186" t="s">
        <v>621</v>
      </c>
      <c r="B2268" s="1186" t="s">
        <v>983</v>
      </c>
      <c r="C2268" s="1186" t="s">
        <v>1987</v>
      </c>
      <c r="D2268" s="1186" t="s">
        <v>1988</v>
      </c>
      <c r="E2268" s="1186" t="s">
        <v>2031</v>
      </c>
      <c r="F2268" s="1186" t="s">
        <v>2033</v>
      </c>
      <c r="G2268" s="1186" t="s">
        <v>828</v>
      </c>
      <c r="H2268" s="1186">
        <v>97</v>
      </c>
    </row>
    <row r="2269" spans="1:8" x14ac:dyDescent="0.2">
      <c r="A2269" s="1186" t="s">
        <v>621</v>
      </c>
      <c r="B2269" s="1186" t="s">
        <v>983</v>
      </c>
      <c r="C2269" s="1186" t="s">
        <v>1987</v>
      </c>
      <c r="D2269" s="1186" t="s">
        <v>1988</v>
      </c>
      <c r="E2269" s="1186" t="s">
        <v>2031</v>
      </c>
      <c r="F2269" s="1186" t="s">
        <v>2033</v>
      </c>
      <c r="G2269" s="1186" t="s">
        <v>850</v>
      </c>
      <c r="H2269" s="1186">
        <v>2</v>
      </c>
    </row>
    <row r="2270" spans="1:8" x14ac:dyDescent="0.2">
      <c r="A2270" s="1186" t="s">
        <v>621</v>
      </c>
      <c r="B2270" s="1186" t="s">
        <v>983</v>
      </c>
      <c r="C2270" s="1186" t="s">
        <v>1987</v>
      </c>
      <c r="D2270" s="1186" t="s">
        <v>1988</v>
      </c>
      <c r="E2270" s="1186" t="s">
        <v>2031</v>
      </c>
      <c r="F2270" s="1186" t="s">
        <v>2033</v>
      </c>
      <c r="G2270" s="1186" t="s">
        <v>851</v>
      </c>
      <c r="H2270" s="1186">
        <v>8</v>
      </c>
    </row>
    <row r="2271" spans="1:8" x14ac:dyDescent="0.2">
      <c r="A2271" s="1186" t="s">
        <v>621</v>
      </c>
      <c r="B2271" s="1186" t="s">
        <v>983</v>
      </c>
      <c r="C2271" s="1186" t="s">
        <v>1987</v>
      </c>
      <c r="D2271" s="1186" t="s">
        <v>1988</v>
      </c>
      <c r="E2271" s="1186" t="s">
        <v>2031</v>
      </c>
      <c r="F2271" s="1186" t="s">
        <v>2034</v>
      </c>
      <c r="G2271" s="1186" t="s">
        <v>828</v>
      </c>
      <c r="H2271" s="1186">
        <v>26</v>
      </c>
    </row>
    <row r="2272" spans="1:8" x14ac:dyDescent="0.2">
      <c r="A2272" s="1186" t="s">
        <v>621</v>
      </c>
      <c r="B2272" s="1186" t="s">
        <v>983</v>
      </c>
      <c r="C2272" s="1186" t="s">
        <v>1987</v>
      </c>
      <c r="D2272" s="1186" t="s">
        <v>1988</v>
      </c>
      <c r="E2272" s="1186" t="s">
        <v>2031</v>
      </c>
      <c r="F2272" s="1186" t="s">
        <v>2034</v>
      </c>
      <c r="G2272" s="1186" t="s">
        <v>850</v>
      </c>
      <c r="H2272" s="1186">
        <v>1</v>
      </c>
    </row>
    <row r="2273" spans="1:8" x14ac:dyDescent="0.2">
      <c r="A2273" s="1186" t="s">
        <v>621</v>
      </c>
      <c r="B2273" s="1186" t="s">
        <v>983</v>
      </c>
      <c r="C2273" s="1186" t="s">
        <v>1987</v>
      </c>
      <c r="D2273" s="1186" t="s">
        <v>1988</v>
      </c>
      <c r="E2273" s="1186" t="s">
        <v>2035</v>
      </c>
      <c r="F2273" s="1186" t="s">
        <v>2032</v>
      </c>
      <c r="G2273" s="1186" t="s">
        <v>828</v>
      </c>
      <c r="H2273" s="1186">
        <v>17</v>
      </c>
    </row>
    <row r="2274" spans="1:8" x14ac:dyDescent="0.2">
      <c r="A2274" s="1186" t="s">
        <v>621</v>
      </c>
      <c r="B2274" s="1186" t="s">
        <v>983</v>
      </c>
      <c r="C2274" s="1186" t="s">
        <v>1987</v>
      </c>
      <c r="D2274" s="1186" t="s">
        <v>1988</v>
      </c>
      <c r="E2274" s="1186" t="s">
        <v>2035</v>
      </c>
      <c r="F2274" s="1186" t="s">
        <v>2032</v>
      </c>
      <c r="G2274" s="1186" t="s">
        <v>850</v>
      </c>
      <c r="H2274" s="1186">
        <v>1</v>
      </c>
    </row>
    <row r="2275" spans="1:8" x14ac:dyDescent="0.2">
      <c r="A2275" s="1186" t="s">
        <v>621</v>
      </c>
      <c r="B2275" s="1186" t="s">
        <v>983</v>
      </c>
      <c r="C2275" s="1186" t="s">
        <v>1987</v>
      </c>
      <c r="D2275" s="1186" t="s">
        <v>1988</v>
      </c>
      <c r="E2275" s="1186" t="s">
        <v>2035</v>
      </c>
      <c r="F2275" s="1186" t="s">
        <v>2032</v>
      </c>
      <c r="G2275" s="1186" t="s">
        <v>851</v>
      </c>
      <c r="H2275" s="1186">
        <v>5</v>
      </c>
    </row>
    <row r="2276" spans="1:8" x14ac:dyDescent="0.2">
      <c r="A2276" s="1186" t="s">
        <v>621</v>
      </c>
      <c r="B2276" s="1186" t="s">
        <v>983</v>
      </c>
      <c r="C2276" s="1186" t="s">
        <v>1987</v>
      </c>
      <c r="D2276" s="1186" t="s">
        <v>1988</v>
      </c>
      <c r="E2276" s="1186" t="s">
        <v>2035</v>
      </c>
      <c r="F2276" s="1186" t="s">
        <v>2032</v>
      </c>
      <c r="G2276" s="1186" t="s">
        <v>852</v>
      </c>
      <c r="H2276" s="1186">
        <v>5</v>
      </c>
    </row>
    <row r="2277" spans="1:8" x14ac:dyDescent="0.2">
      <c r="A2277" s="1186" t="s">
        <v>621</v>
      </c>
      <c r="B2277" s="1186" t="s">
        <v>983</v>
      </c>
      <c r="C2277" s="1186" t="s">
        <v>1987</v>
      </c>
      <c r="D2277" s="1186" t="s">
        <v>1988</v>
      </c>
      <c r="E2277" s="1186" t="s">
        <v>2035</v>
      </c>
      <c r="F2277" s="1186" t="s">
        <v>2033</v>
      </c>
      <c r="G2277" s="1186" t="s">
        <v>828</v>
      </c>
      <c r="H2277" s="1186">
        <v>86</v>
      </c>
    </row>
    <row r="2278" spans="1:8" x14ac:dyDescent="0.2">
      <c r="A2278" s="1186" t="s">
        <v>621</v>
      </c>
      <c r="B2278" s="1186" t="s">
        <v>983</v>
      </c>
      <c r="C2278" s="1186" t="s">
        <v>1987</v>
      </c>
      <c r="D2278" s="1186" t="s">
        <v>1988</v>
      </c>
      <c r="E2278" s="1186" t="s">
        <v>2035</v>
      </c>
      <c r="F2278" s="1186" t="s">
        <v>2033</v>
      </c>
      <c r="G2278" s="1186" t="s">
        <v>850</v>
      </c>
      <c r="H2278" s="1186">
        <v>11</v>
      </c>
    </row>
    <row r="2279" spans="1:8" x14ac:dyDescent="0.2">
      <c r="A2279" s="1186" t="s">
        <v>621</v>
      </c>
      <c r="B2279" s="1186" t="s">
        <v>983</v>
      </c>
      <c r="C2279" s="1186" t="s">
        <v>1987</v>
      </c>
      <c r="D2279" s="1186" t="s">
        <v>1988</v>
      </c>
      <c r="E2279" s="1186" t="s">
        <v>2035</v>
      </c>
      <c r="F2279" s="1186" t="s">
        <v>2033</v>
      </c>
      <c r="G2279" s="1186" t="s">
        <v>851</v>
      </c>
      <c r="H2279" s="1186">
        <v>115</v>
      </c>
    </row>
    <row r="2280" spans="1:8" x14ac:dyDescent="0.2">
      <c r="A2280" s="1186" t="s">
        <v>621</v>
      </c>
      <c r="B2280" s="1186" t="s">
        <v>983</v>
      </c>
      <c r="C2280" s="1186" t="s">
        <v>1987</v>
      </c>
      <c r="D2280" s="1186" t="s">
        <v>1988</v>
      </c>
      <c r="E2280" s="1186" t="s">
        <v>2035</v>
      </c>
      <c r="F2280" s="1186" t="s">
        <v>2033</v>
      </c>
      <c r="G2280" s="1186" t="s">
        <v>852</v>
      </c>
      <c r="H2280" s="1186">
        <v>18</v>
      </c>
    </row>
    <row r="2281" spans="1:8" x14ac:dyDescent="0.2">
      <c r="A2281" s="1186" t="s">
        <v>621</v>
      </c>
      <c r="B2281" s="1186" t="s">
        <v>983</v>
      </c>
      <c r="C2281" s="1186" t="s">
        <v>1987</v>
      </c>
      <c r="D2281" s="1186" t="s">
        <v>1988</v>
      </c>
      <c r="E2281" s="1186" t="s">
        <v>2035</v>
      </c>
      <c r="F2281" s="1186" t="s">
        <v>2034</v>
      </c>
      <c r="G2281" s="1186" t="s">
        <v>828</v>
      </c>
      <c r="H2281" s="1186">
        <v>103</v>
      </c>
    </row>
    <row r="2282" spans="1:8" x14ac:dyDescent="0.2">
      <c r="A2282" s="1186" t="s">
        <v>621</v>
      </c>
      <c r="B2282" s="1186" t="s">
        <v>983</v>
      </c>
      <c r="C2282" s="1186" t="s">
        <v>1987</v>
      </c>
      <c r="D2282" s="1186" t="s">
        <v>1988</v>
      </c>
      <c r="E2282" s="1186" t="s">
        <v>2035</v>
      </c>
      <c r="F2282" s="1186" t="s">
        <v>2034</v>
      </c>
      <c r="G2282" s="1186" t="s">
        <v>850</v>
      </c>
      <c r="H2282" s="1186">
        <v>42</v>
      </c>
    </row>
    <row r="2283" spans="1:8" x14ac:dyDescent="0.2">
      <c r="A2283" s="1186" t="s">
        <v>621</v>
      </c>
      <c r="B2283" s="1186" t="s">
        <v>983</v>
      </c>
      <c r="C2283" s="1186" t="s">
        <v>1987</v>
      </c>
      <c r="D2283" s="1186" t="s">
        <v>1988</v>
      </c>
      <c r="E2283" s="1186" t="s">
        <v>2035</v>
      </c>
      <c r="F2283" s="1186" t="s">
        <v>2034</v>
      </c>
      <c r="G2283" s="1186" t="s">
        <v>851</v>
      </c>
      <c r="H2283" s="1186">
        <v>37</v>
      </c>
    </row>
    <row r="2284" spans="1:8" x14ac:dyDescent="0.2">
      <c r="A2284" s="1186" t="s">
        <v>621</v>
      </c>
      <c r="B2284" s="1186" t="s">
        <v>983</v>
      </c>
      <c r="C2284" s="1186" t="s">
        <v>1987</v>
      </c>
      <c r="D2284" s="1186" t="s">
        <v>1988</v>
      </c>
      <c r="E2284" s="1186" t="s">
        <v>2035</v>
      </c>
      <c r="F2284" s="1186" t="s">
        <v>2034</v>
      </c>
      <c r="G2284" s="1186" t="s">
        <v>852</v>
      </c>
      <c r="H2284" s="1186">
        <v>13</v>
      </c>
    </row>
    <row r="2285" spans="1:8" x14ac:dyDescent="0.2">
      <c r="A2285" s="1186" t="s">
        <v>621</v>
      </c>
      <c r="B2285" s="1186" t="s">
        <v>984</v>
      </c>
      <c r="C2285" s="1186" t="s">
        <v>1981</v>
      </c>
      <c r="D2285" s="1186" t="s">
        <v>1988</v>
      </c>
      <c r="E2285" s="1186" t="s">
        <v>2031</v>
      </c>
      <c r="F2285" s="1186" t="s">
        <v>2032</v>
      </c>
      <c r="G2285" s="1186" t="s">
        <v>828</v>
      </c>
      <c r="H2285" s="1186">
        <v>7</v>
      </c>
    </row>
    <row r="2286" spans="1:8" x14ac:dyDescent="0.2">
      <c r="A2286" s="1186" t="s">
        <v>621</v>
      </c>
      <c r="B2286" s="1186" t="s">
        <v>984</v>
      </c>
      <c r="C2286" s="1186" t="s">
        <v>1981</v>
      </c>
      <c r="D2286" s="1186" t="s">
        <v>1988</v>
      </c>
      <c r="E2286" s="1186" t="s">
        <v>2031</v>
      </c>
      <c r="F2286" s="1186" t="s">
        <v>2032</v>
      </c>
      <c r="G2286" s="1186" t="s">
        <v>851</v>
      </c>
      <c r="H2286" s="1186">
        <v>1</v>
      </c>
    </row>
    <row r="2287" spans="1:8" x14ac:dyDescent="0.2">
      <c r="A2287" s="1186" t="s">
        <v>621</v>
      </c>
      <c r="B2287" s="1186" t="s">
        <v>984</v>
      </c>
      <c r="C2287" s="1186" t="s">
        <v>1981</v>
      </c>
      <c r="D2287" s="1186" t="s">
        <v>1988</v>
      </c>
      <c r="E2287" s="1186" t="s">
        <v>2031</v>
      </c>
      <c r="F2287" s="1186" t="s">
        <v>2032</v>
      </c>
      <c r="G2287" s="1186" t="s">
        <v>852</v>
      </c>
      <c r="H2287" s="1186">
        <v>1</v>
      </c>
    </row>
    <row r="2288" spans="1:8" x14ac:dyDescent="0.2">
      <c r="A2288" s="1186" t="s">
        <v>621</v>
      </c>
      <c r="B2288" s="1186" t="s">
        <v>984</v>
      </c>
      <c r="C2288" s="1186" t="s">
        <v>1981</v>
      </c>
      <c r="D2288" s="1186" t="s">
        <v>1988</v>
      </c>
      <c r="E2288" s="1186" t="s">
        <v>2031</v>
      </c>
      <c r="F2288" s="1186" t="s">
        <v>2033</v>
      </c>
      <c r="G2288" s="1186" t="s">
        <v>828</v>
      </c>
      <c r="H2288" s="1186">
        <v>104</v>
      </c>
    </row>
    <row r="2289" spans="1:8" x14ac:dyDescent="0.2">
      <c r="A2289" s="1186" t="s">
        <v>621</v>
      </c>
      <c r="B2289" s="1186" t="s">
        <v>984</v>
      </c>
      <c r="C2289" s="1186" t="s">
        <v>1981</v>
      </c>
      <c r="D2289" s="1186" t="s">
        <v>1988</v>
      </c>
      <c r="E2289" s="1186" t="s">
        <v>2031</v>
      </c>
      <c r="F2289" s="1186" t="s">
        <v>2033</v>
      </c>
      <c r="G2289" s="1186" t="s">
        <v>850</v>
      </c>
      <c r="H2289" s="1186">
        <v>11</v>
      </c>
    </row>
    <row r="2290" spans="1:8" x14ac:dyDescent="0.2">
      <c r="A2290" s="1186" t="s">
        <v>621</v>
      </c>
      <c r="B2290" s="1186" t="s">
        <v>984</v>
      </c>
      <c r="C2290" s="1186" t="s">
        <v>1981</v>
      </c>
      <c r="D2290" s="1186" t="s">
        <v>1988</v>
      </c>
      <c r="E2290" s="1186" t="s">
        <v>2031</v>
      </c>
      <c r="F2290" s="1186" t="s">
        <v>2033</v>
      </c>
      <c r="G2290" s="1186" t="s">
        <v>851</v>
      </c>
      <c r="H2290" s="1186">
        <v>3</v>
      </c>
    </row>
    <row r="2291" spans="1:8" x14ac:dyDescent="0.2">
      <c r="A2291" s="1186" t="s">
        <v>621</v>
      </c>
      <c r="B2291" s="1186" t="s">
        <v>984</v>
      </c>
      <c r="C2291" s="1186" t="s">
        <v>1981</v>
      </c>
      <c r="D2291" s="1186" t="s">
        <v>1988</v>
      </c>
      <c r="E2291" s="1186" t="s">
        <v>2031</v>
      </c>
      <c r="F2291" s="1186" t="s">
        <v>2033</v>
      </c>
      <c r="G2291" s="1186" t="s">
        <v>852</v>
      </c>
      <c r="H2291" s="1186">
        <v>3</v>
      </c>
    </row>
    <row r="2292" spans="1:8" x14ac:dyDescent="0.2">
      <c r="A2292" s="1186" t="s">
        <v>621</v>
      </c>
      <c r="B2292" s="1186" t="s">
        <v>984</v>
      </c>
      <c r="C2292" s="1186" t="s">
        <v>1981</v>
      </c>
      <c r="D2292" s="1186" t="s">
        <v>1988</v>
      </c>
      <c r="E2292" s="1186" t="s">
        <v>2031</v>
      </c>
      <c r="F2292" s="1186" t="s">
        <v>2034</v>
      </c>
      <c r="G2292" s="1186" t="s">
        <v>828</v>
      </c>
      <c r="H2292" s="1186">
        <v>13</v>
      </c>
    </row>
    <row r="2293" spans="1:8" x14ac:dyDescent="0.2">
      <c r="A2293" s="1186" t="s">
        <v>621</v>
      </c>
      <c r="B2293" s="1186" t="s">
        <v>984</v>
      </c>
      <c r="C2293" s="1186" t="s">
        <v>1981</v>
      </c>
      <c r="D2293" s="1186" t="s">
        <v>1988</v>
      </c>
      <c r="E2293" s="1186" t="s">
        <v>2035</v>
      </c>
      <c r="F2293" s="1186" t="s">
        <v>2032</v>
      </c>
      <c r="G2293" s="1186" t="s">
        <v>828</v>
      </c>
      <c r="H2293" s="1186">
        <v>20</v>
      </c>
    </row>
    <row r="2294" spans="1:8" x14ac:dyDescent="0.2">
      <c r="A2294" s="1186" t="s">
        <v>621</v>
      </c>
      <c r="B2294" s="1186" t="s">
        <v>984</v>
      </c>
      <c r="C2294" s="1186" t="s">
        <v>1981</v>
      </c>
      <c r="D2294" s="1186" t="s">
        <v>1988</v>
      </c>
      <c r="E2294" s="1186" t="s">
        <v>2035</v>
      </c>
      <c r="F2294" s="1186" t="s">
        <v>2032</v>
      </c>
      <c r="G2294" s="1186" t="s">
        <v>851</v>
      </c>
      <c r="H2294" s="1186">
        <v>12</v>
      </c>
    </row>
    <row r="2295" spans="1:8" x14ac:dyDescent="0.2">
      <c r="A2295" s="1186" t="s">
        <v>621</v>
      </c>
      <c r="B2295" s="1186" t="s">
        <v>984</v>
      </c>
      <c r="C2295" s="1186" t="s">
        <v>1981</v>
      </c>
      <c r="D2295" s="1186" t="s">
        <v>1988</v>
      </c>
      <c r="E2295" s="1186" t="s">
        <v>2035</v>
      </c>
      <c r="F2295" s="1186" t="s">
        <v>2032</v>
      </c>
      <c r="G2295" s="1186" t="s">
        <v>852</v>
      </c>
      <c r="H2295" s="1186">
        <v>5</v>
      </c>
    </row>
    <row r="2296" spans="1:8" x14ac:dyDescent="0.2">
      <c r="A2296" s="1186" t="s">
        <v>621</v>
      </c>
      <c r="B2296" s="1186" t="s">
        <v>984</v>
      </c>
      <c r="C2296" s="1186" t="s">
        <v>1981</v>
      </c>
      <c r="D2296" s="1186" t="s">
        <v>1988</v>
      </c>
      <c r="E2296" s="1186" t="s">
        <v>2035</v>
      </c>
      <c r="F2296" s="1186" t="s">
        <v>2033</v>
      </c>
      <c r="G2296" s="1186" t="s">
        <v>828</v>
      </c>
      <c r="H2296" s="1186">
        <v>80</v>
      </c>
    </row>
    <row r="2297" spans="1:8" x14ac:dyDescent="0.2">
      <c r="A2297" s="1186" t="s">
        <v>621</v>
      </c>
      <c r="B2297" s="1186" t="s">
        <v>984</v>
      </c>
      <c r="C2297" s="1186" t="s">
        <v>1981</v>
      </c>
      <c r="D2297" s="1186" t="s">
        <v>1988</v>
      </c>
      <c r="E2297" s="1186" t="s">
        <v>2035</v>
      </c>
      <c r="F2297" s="1186" t="s">
        <v>2033</v>
      </c>
      <c r="G2297" s="1186" t="s">
        <v>850</v>
      </c>
      <c r="H2297" s="1186">
        <v>13</v>
      </c>
    </row>
    <row r="2298" spans="1:8" x14ac:dyDescent="0.2">
      <c r="A2298" s="1186" t="s">
        <v>621</v>
      </c>
      <c r="B2298" s="1186" t="s">
        <v>984</v>
      </c>
      <c r="C2298" s="1186" t="s">
        <v>1981</v>
      </c>
      <c r="D2298" s="1186" t="s">
        <v>1988</v>
      </c>
      <c r="E2298" s="1186" t="s">
        <v>2035</v>
      </c>
      <c r="F2298" s="1186" t="s">
        <v>2033</v>
      </c>
      <c r="G2298" s="1186" t="s">
        <v>851</v>
      </c>
      <c r="H2298" s="1186">
        <v>166</v>
      </c>
    </row>
    <row r="2299" spans="1:8" x14ac:dyDescent="0.2">
      <c r="A2299" s="1186" t="s">
        <v>621</v>
      </c>
      <c r="B2299" s="1186" t="s">
        <v>984</v>
      </c>
      <c r="C2299" s="1186" t="s">
        <v>1981</v>
      </c>
      <c r="D2299" s="1186" t="s">
        <v>1988</v>
      </c>
      <c r="E2299" s="1186" t="s">
        <v>2035</v>
      </c>
      <c r="F2299" s="1186" t="s">
        <v>2033</v>
      </c>
      <c r="G2299" s="1186" t="s">
        <v>852</v>
      </c>
      <c r="H2299" s="1186">
        <v>23</v>
      </c>
    </row>
    <row r="2300" spans="1:8" x14ac:dyDescent="0.2">
      <c r="A2300" s="1186" t="s">
        <v>621</v>
      </c>
      <c r="B2300" s="1186" t="s">
        <v>984</v>
      </c>
      <c r="C2300" s="1186" t="s">
        <v>1981</v>
      </c>
      <c r="D2300" s="1186" t="s">
        <v>1988</v>
      </c>
      <c r="E2300" s="1186" t="s">
        <v>2035</v>
      </c>
      <c r="F2300" s="1186" t="s">
        <v>2034</v>
      </c>
      <c r="G2300" s="1186" t="s">
        <v>828</v>
      </c>
      <c r="H2300" s="1186">
        <v>97</v>
      </c>
    </row>
    <row r="2301" spans="1:8" x14ac:dyDescent="0.2">
      <c r="A2301" s="1186" t="s">
        <v>621</v>
      </c>
      <c r="B2301" s="1186" t="s">
        <v>984</v>
      </c>
      <c r="C2301" s="1186" t="s">
        <v>1981</v>
      </c>
      <c r="D2301" s="1186" t="s">
        <v>1988</v>
      </c>
      <c r="E2301" s="1186" t="s">
        <v>2035</v>
      </c>
      <c r="F2301" s="1186" t="s">
        <v>2034</v>
      </c>
      <c r="G2301" s="1186" t="s">
        <v>850</v>
      </c>
      <c r="H2301" s="1186">
        <v>48</v>
      </c>
    </row>
    <row r="2302" spans="1:8" x14ac:dyDescent="0.2">
      <c r="A2302" s="1186" t="s">
        <v>621</v>
      </c>
      <c r="B2302" s="1186" t="s">
        <v>984</v>
      </c>
      <c r="C2302" s="1186" t="s">
        <v>1981</v>
      </c>
      <c r="D2302" s="1186" t="s">
        <v>1988</v>
      </c>
      <c r="E2302" s="1186" t="s">
        <v>2035</v>
      </c>
      <c r="F2302" s="1186" t="s">
        <v>2034</v>
      </c>
      <c r="G2302" s="1186" t="s">
        <v>851</v>
      </c>
      <c r="H2302" s="1186">
        <v>24</v>
      </c>
    </row>
    <row r="2303" spans="1:8" x14ac:dyDescent="0.2">
      <c r="A2303" s="1186" t="s">
        <v>621</v>
      </c>
      <c r="B2303" s="1186" t="s">
        <v>984</v>
      </c>
      <c r="C2303" s="1186" t="s">
        <v>1981</v>
      </c>
      <c r="D2303" s="1186" t="s">
        <v>1988</v>
      </c>
      <c r="E2303" s="1186" t="s">
        <v>2035</v>
      </c>
      <c r="F2303" s="1186" t="s">
        <v>2034</v>
      </c>
      <c r="G2303" s="1186" t="s">
        <v>852</v>
      </c>
      <c r="H2303" s="1186">
        <v>19</v>
      </c>
    </row>
    <row r="2304" spans="1:8" x14ac:dyDescent="0.2">
      <c r="A2304" s="1186" t="s">
        <v>1419</v>
      </c>
      <c r="B2304" s="1186" t="s">
        <v>1427</v>
      </c>
      <c r="C2304" s="1186" t="s">
        <v>1981</v>
      </c>
      <c r="D2304" s="1186" t="s">
        <v>1982</v>
      </c>
      <c r="E2304" s="1186" t="s">
        <v>2031</v>
      </c>
      <c r="F2304" s="1186" t="s">
        <v>2032</v>
      </c>
      <c r="G2304" s="1186" t="s">
        <v>828</v>
      </c>
      <c r="H2304" s="1186">
        <v>2</v>
      </c>
    </row>
    <row r="2305" spans="1:8" x14ac:dyDescent="0.2">
      <c r="A2305" s="1186" t="s">
        <v>1419</v>
      </c>
      <c r="B2305" s="1186" t="s">
        <v>1427</v>
      </c>
      <c r="C2305" s="1186" t="s">
        <v>1981</v>
      </c>
      <c r="D2305" s="1186" t="s">
        <v>1982</v>
      </c>
      <c r="E2305" s="1186" t="s">
        <v>2031</v>
      </c>
      <c r="F2305" s="1186" t="s">
        <v>2033</v>
      </c>
      <c r="G2305" s="1186" t="s">
        <v>828</v>
      </c>
      <c r="H2305" s="1186">
        <v>74</v>
      </c>
    </row>
    <row r="2306" spans="1:8" x14ac:dyDescent="0.2">
      <c r="A2306" s="1186" t="s">
        <v>1419</v>
      </c>
      <c r="B2306" s="1186" t="s">
        <v>1427</v>
      </c>
      <c r="C2306" s="1186" t="s">
        <v>1981</v>
      </c>
      <c r="D2306" s="1186" t="s">
        <v>1982</v>
      </c>
      <c r="E2306" s="1186" t="s">
        <v>2031</v>
      </c>
      <c r="F2306" s="1186" t="s">
        <v>2033</v>
      </c>
      <c r="G2306" s="1186" t="s">
        <v>850</v>
      </c>
      <c r="H2306" s="1186">
        <v>6</v>
      </c>
    </row>
    <row r="2307" spans="1:8" x14ac:dyDescent="0.2">
      <c r="A2307" s="1186" t="s">
        <v>1419</v>
      </c>
      <c r="B2307" s="1186" t="s">
        <v>1427</v>
      </c>
      <c r="C2307" s="1186" t="s">
        <v>1981</v>
      </c>
      <c r="D2307" s="1186" t="s">
        <v>1982</v>
      </c>
      <c r="E2307" s="1186" t="s">
        <v>2031</v>
      </c>
      <c r="F2307" s="1186" t="s">
        <v>2033</v>
      </c>
      <c r="G2307" s="1186" t="s">
        <v>851</v>
      </c>
      <c r="H2307" s="1186">
        <v>3</v>
      </c>
    </row>
    <row r="2308" spans="1:8" x14ac:dyDescent="0.2">
      <c r="A2308" s="1186" t="s">
        <v>1419</v>
      </c>
      <c r="B2308" s="1186" t="s">
        <v>1427</v>
      </c>
      <c r="C2308" s="1186" t="s">
        <v>1981</v>
      </c>
      <c r="D2308" s="1186" t="s">
        <v>1982</v>
      </c>
      <c r="E2308" s="1186" t="s">
        <v>2031</v>
      </c>
      <c r="F2308" s="1186" t="s">
        <v>2033</v>
      </c>
      <c r="G2308" s="1186" t="s">
        <v>852</v>
      </c>
      <c r="H2308" s="1186">
        <v>7</v>
      </c>
    </row>
    <row r="2309" spans="1:8" x14ac:dyDescent="0.2">
      <c r="A2309" s="1186" t="s">
        <v>1419</v>
      </c>
      <c r="B2309" s="1186" t="s">
        <v>1427</v>
      </c>
      <c r="C2309" s="1186" t="s">
        <v>1981</v>
      </c>
      <c r="D2309" s="1186" t="s">
        <v>1982</v>
      </c>
      <c r="E2309" s="1186" t="s">
        <v>2031</v>
      </c>
      <c r="F2309" s="1186" t="s">
        <v>2034</v>
      </c>
      <c r="G2309" s="1186" t="s">
        <v>828</v>
      </c>
      <c r="H2309" s="1186">
        <v>22</v>
      </c>
    </row>
    <row r="2310" spans="1:8" x14ac:dyDescent="0.2">
      <c r="A2310" s="1186" t="s">
        <v>1419</v>
      </c>
      <c r="B2310" s="1186" t="s">
        <v>1427</v>
      </c>
      <c r="C2310" s="1186" t="s">
        <v>1981</v>
      </c>
      <c r="D2310" s="1186" t="s">
        <v>1982</v>
      </c>
      <c r="E2310" s="1186" t="s">
        <v>2031</v>
      </c>
      <c r="F2310" s="1186" t="s">
        <v>2034</v>
      </c>
      <c r="G2310" s="1186" t="s">
        <v>850</v>
      </c>
      <c r="H2310" s="1186">
        <v>2</v>
      </c>
    </row>
    <row r="2311" spans="1:8" x14ac:dyDescent="0.2">
      <c r="A2311" s="1186" t="s">
        <v>1419</v>
      </c>
      <c r="B2311" s="1186" t="s">
        <v>1427</v>
      </c>
      <c r="C2311" s="1186" t="s">
        <v>1981</v>
      </c>
      <c r="D2311" s="1186" t="s">
        <v>1982</v>
      </c>
      <c r="E2311" s="1186" t="s">
        <v>2035</v>
      </c>
      <c r="F2311" s="1186" t="s">
        <v>2032</v>
      </c>
      <c r="G2311" s="1186" t="s">
        <v>828</v>
      </c>
      <c r="H2311" s="1186">
        <v>13</v>
      </c>
    </row>
    <row r="2312" spans="1:8" x14ac:dyDescent="0.2">
      <c r="A2312" s="1186" t="s">
        <v>1419</v>
      </c>
      <c r="B2312" s="1186" t="s">
        <v>1427</v>
      </c>
      <c r="C2312" s="1186" t="s">
        <v>1981</v>
      </c>
      <c r="D2312" s="1186" t="s">
        <v>1982</v>
      </c>
      <c r="E2312" s="1186" t="s">
        <v>2035</v>
      </c>
      <c r="F2312" s="1186" t="s">
        <v>2032</v>
      </c>
      <c r="G2312" s="1186" t="s">
        <v>850</v>
      </c>
      <c r="H2312" s="1186">
        <v>1</v>
      </c>
    </row>
    <row r="2313" spans="1:8" x14ac:dyDescent="0.2">
      <c r="A2313" s="1186" t="s">
        <v>1419</v>
      </c>
      <c r="B2313" s="1186" t="s">
        <v>1427</v>
      </c>
      <c r="C2313" s="1186" t="s">
        <v>1981</v>
      </c>
      <c r="D2313" s="1186" t="s">
        <v>1982</v>
      </c>
      <c r="E2313" s="1186" t="s">
        <v>2035</v>
      </c>
      <c r="F2313" s="1186" t="s">
        <v>2032</v>
      </c>
      <c r="G2313" s="1186" t="s">
        <v>851</v>
      </c>
      <c r="H2313" s="1186">
        <v>7</v>
      </c>
    </row>
    <row r="2314" spans="1:8" x14ac:dyDescent="0.2">
      <c r="A2314" s="1186" t="s">
        <v>1419</v>
      </c>
      <c r="B2314" s="1186" t="s">
        <v>1427</v>
      </c>
      <c r="C2314" s="1186" t="s">
        <v>1981</v>
      </c>
      <c r="D2314" s="1186" t="s">
        <v>1982</v>
      </c>
      <c r="E2314" s="1186" t="s">
        <v>2035</v>
      </c>
      <c r="F2314" s="1186" t="s">
        <v>2032</v>
      </c>
      <c r="G2314" s="1186" t="s">
        <v>852</v>
      </c>
      <c r="H2314" s="1186">
        <v>7</v>
      </c>
    </row>
    <row r="2315" spans="1:8" x14ac:dyDescent="0.2">
      <c r="A2315" s="1186" t="s">
        <v>1419</v>
      </c>
      <c r="B2315" s="1186" t="s">
        <v>1427</v>
      </c>
      <c r="C2315" s="1186" t="s">
        <v>1981</v>
      </c>
      <c r="D2315" s="1186" t="s">
        <v>1982</v>
      </c>
      <c r="E2315" s="1186" t="s">
        <v>2035</v>
      </c>
      <c r="F2315" s="1186" t="s">
        <v>2033</v>
      </c>
      <c r="G2315" s="1186" t="s">
        <v>828</v>
      </c>
      <c r="H2315" s="1186">
        <v>77</v>
      </c>
    </row>
    <row r="2316" spans="1:8" x14ac:dyDescent="0.2">
      <c r="A2316" s="1186" t="s">
        <v>1419</v>
      </c>
      <c r="B2316" s="1186" t="s">
        <v>1427</v>
      </c>
      <c r="C2316" s="1186" t="s">
        <v>1981</v>
      </c>
      <c r="D2316" s="1186" t="s">
        <v>1982</v>
      </c>
      <c r="E2316" s="1186" t="s">
        <v>2035</v>
      </c>
      <c r="F2316" s="1186" t="s">
        <v>2033</v>
      </c>
      <c r="G2316" s="1186" t="s">
        <v>850</v>
      </c>
      <c r="H2316" s="1186">
        <v>14</v>
      </c>
    </row>
    <row r="2317" spans="1:8" x14ac:dyDescent="0.2">
      <c r="A2317" s="1186" t="s">
        <v>1419</v>
      </c>
      <c r="B2317" s="1186" t="s">
        <v>1427</v>
      </c>
      <c r="C2317" s="1186" t="s">
        <v>1981</v>
      </c>
      <c r="D2317" s="1186" t="s">
        <v>1982</v>
      </c>
      <c r="E2317" s="1186" t="s">
        <v>2035</v>
      </c>
      <c r="F2317" s="1186" t="s">
        <v>2033</v>
      </c>
      <c r="G2317" s="1186" t="s">
        <v>851</v>
      </c>
      <c r="H2317" s="1186">
        <v>150</v>
      </c>
    </row>
    <row r="2318" spans="1:8" x14ac:dyDescent="0.2">
      <c r="A2318" s="1186" t="s">
        <v>1419</v>
      </c>
      <c r="B2318" s="1186" t="s">
        <v>1427</v>
      </c>
      <c r="C2318" s="1186" t="s">
        <v>1981</v>
      </c>
      <c r="D2318" s="1186" t="s">
        <v>1982</v>
      </c>
      <c r="E2318" s="1186" t="s">
        <v>2035</v>
      </c>
      <c r="F2318" s="1186" t="s">
        <v>2033</v>
      </c>
      <c r="G2318" s="1186" t="s">
        <v>852</v>
      </c>
      <c r="H2318" s="1186">
        <v>29</v>
      </c>
    </row>
    <row r="2319" spans="1:8" x14ac:dyDescent="0.2">
      <c r="A2319" s="1186" t="s">
        <v>1419</v>
      </c>
      <c r="B2319" s="1186" t="s">
        <v>1427</v>
      </c>
      <c r="C2319" s="1186" t="s">
        <v>1981</v>
      </c>
      <c r="D2319" s="1186" t="s">
        <v>1982</v>
      </c>
      <c r="E2319" s="1186" t="s">
        <v>2035</v>
      </c>
      <c r="F2319" s="1186" t="s">
        <v>2034</v>
      </c>
      <c r="G2319" s="1186" t="s">
        <v>828</v>
      </c>
      <c r="H2319" s="1186">
        <v>87</v>
      </c>
    </row>
    <row r="2320" spans="1:8" x14ac:dyDescent="0.2">
      <c r="A2320" s="1186" t="s">
        <v>1419</v>
      </c>
      <c r="B2320" s="1186" t="s">
        <v>1427</v>
      </c>
      <c r="C2320" s="1186" t="s">
        <v>1981</v>
      </c>
      <c r="D2320" s="1186" t="s">
        <v>1982</v>
      </c>
      <c r="E2320" s="1186" t="s">
        <v>2035</v>
      </c>
      <c r="F2320" s="1186" t="s">
        <v>2034</v>
      </c>
      <c r="G2320" s="1186" t="s">
        <v>850</v>
      </c>
      <c r="H2320" s="1186">
        <v>43</v>
      </c>
    </row>
    <row r="2321" spans="1:8" x14ac:dyDescent="0.2">
      <c r="A2321" s="1186" t="s">
        <v>1419</v>
      </c>
      <c r="B2321" s="1186" t="s">
        <v>1427</v>
      </c>
      <c r="C2321" s="1186" t="s">
        <v>1981</v>
      </c>
      <c r="D2321" s="1186" t="s">
        <v>1982</v>
      </c>
      <c r="E2321" s="1186" t="s">
        <v>2035</v>
      </c>
      <c r="F2321" s="1186" t="s">
        <v>2034</v>
      </c>
      <c r="G2321" s="1186" t="s">
        <v>851</v>
      </c>
      <c r="H2321" s="1186">
        <v>26</v>
      </c>
    </row>
    <row r="2322" spans="1:8" x14ac:dyDescent="0.2">
      <c r="A2322" s="1186" t="s">
        <v>1419</v>
      </c>
      <c r="B2322" s="1186" t="s">
        <v>1427</v>
      </c>
      <c r="C2322" s="1186" t="s">
        <v>1981</v>
      </c>
      <c r="D2322" s="1186" t="s">
        <v>1982</v>
      </c>
      <c r="E2322" s="1186" t="s">
        <v>2035</v>
      </c>
      <c r="F2322" s="1186" t="s">
        <v>2034</v>
      </c>
      <c r="G2322" s="1186" t="s">
        <v>852</v>
      </c>
      <c r="H2322" s="1186">
        <v>37</v>
      </c>
    </row>
    <row r="2323" spans="1:8" x14ac:dyDescent="0.2">
      <c r="A2323" s="1186" t="s">
        <v>1419</v>
      </c>
      <c r="B2323" s="1186" t="s">
        <v>1428</v>
      </c>
      <c r="C2323" s="1186" t="s">
        <v>1981</v>
      </c>
      <c r="D2323" s="1186" t="s">
        <v>1982</v>
      </c>
      <c r="E2323" s="1186" t="s">
        <v>2031</v>
      </c>
      <c r="F2323" s="1186" t="s">
        <v>2032</v>
      </c>
      <c r="G2323" s="1186" t="s">
        <v>828</v>
      </c>
      <c r="H2323" s="1186">
        <v>3</v>
      </c>
    </row>
    <row r="2324" spans="1:8" x14ac:dyDescent="0.2">
      <c r="A2324" s="1186" t="s">
        <v>1419</v>
      </c>
      <c r="B2324" s="1186" t="s">
        <v>1428</v>
      </c>
      <c r="C2324" s="1186" t="s">
        <v>1981</v>
      </c>
      <c r="D2324" s="1186" t="s">
        <v>1982</v>
      </c>
      <c r="E2324" s="1186" t="s">
        <v>2031</v>
      </c>
      <c r="F2324" s="1186" t="s">
        <v>2032</v>
      </c>
      <c r="G2324" s="1186" t="s">
        <v>850</v>
      </c>
      <c r="H2324" s="1186">
        <v>1</v>
      </c>
    </row>
    <row r="2325" spans="1:8" x14ac:dyDescent="0.2">
      <c r="A2325" s="1186" t="s">
        <v>1419</v>
      </c>
      <c r="B2325" s="1186" t="s">
        <v>1428</v>
      </c>
      <c r="C2325" s="1186" t="s">
        <v>1981</v>
      </c>
      <c r="D2325" s="1186" t="s">
        <v>1982</v>
      </c>
      <c r="E2325" s="1186" t="s">
        <v>2031</v>
      </c>
      <c r="F2325" s="1186" t="s">
        <v>2032</v>
      </c>
      <c r="G2325" s="1186" t="s">
        <v>852</v>
      </c>
      <c r="H2325" s="1186">
        <v>1</v>
      </c>
    </row>
    <row r="2326" spans="1:8" x14ac:dyDescent="0.2">
      <c r="A2326" s="1186" t="s">
        <v>1419</v>
      </c>
      <c r="B2326" s="1186" t="s">
        <v>1428</v>
      </c>
      <c r="C2326" s="1186" t="s">
        <v>1981</v>
      </c>
      <c r="D2326" s="1186" t="s">
        <v>1982</v>
      </c>
      <c r="E2326" s="1186" t="s">
        <v>2031</v>
      </c>
      <c r="F2326" s="1186" t="s">
        <v>2033</v>
      </c>
      <c r="G2326" s="1186" t="s">
        <v>828</v>
      </c>
      <c r="H2326" s="1186">
        <v>62</v>
      </c>
    </row>
    <row r="2327" spans="1:8" x14ac:dyDescent="0.2">
      <c r="A2327" s="1186" t="s">
        <v>1419</v>
      </c>
      <c r="B2327" s="1186" t="s">
        <v>1428</v>
      </c>
      <c r="C2327" s="1186" t="s">
        <v>1981</v>
      </c>
      <c r="D2327" s="1186" t="s">
        <v>1982</v>
      </c>
      <c r="E2327" s="1186" t="s">
        <v>2031</v>
      </c>
      <c r="F2327" s="1186" t="s">
        <v>2033</v>
      </c>
      <c r="G2327" s="1186" t="s">
        <v>850</v>
      </c>
      <c r="H2327" s="1186">
        <v>7</v>
      </c>
    </row>
    <row r="2328" spans="1:8" x14ac:dyDescent="0.2">
      <c r="A2328" s="1186" t="s">
        <v>1419</v>
      </c>
      <c r="B2328" s="1186" t="s">
        <v>1428</v>
      </c>
      <c r="C2328" s="1186" t="s">
        <v>1981</v>
      </c>
      <c r="D2328" s="1186" t="s">
        <v>1982</v>
      </c>
      <c r="E2328" s="1186" t="s">
        <v>2031</v>
      </c>
      <c r="F2328" s="1186" t="s">
        <v>2033</v>
      </c>
      <c r="G2328" s="1186" t="s">
        <v>851</v>
      </c>
      <c r="H2328" s="1186">
        <v>4</v>
      </c>
    </row>
    <row r="2329" spans="1:8" x14ac:dyDescent="0.2">
      <c r="A2329" s="1186" t="s">
        <v>1419</v>
      </c>
      <c r="B2329" s="1186" t="s">
        <v>1428</v>
      </c>
      <c r="C2329" s="1186" t="s">
        <v>1981</v>
      </c>
      <c r="D2329" s="1186" t="s">
        <v>1982</v>
      </c>
      <c r="E2329" s="1186" t="s">
        <v>2031</v>
      </c>
      <c r="F2329" s="1186" t="s">
        <v>2033</v>
      </c>
      <c r="G2329" s="1186" t="s">
        <v>852</v>
      </c>
      <c r="H2329" s="1186">
        <v>5</v>
      </c>
    </row>
    <row r="2330" spans="1:8" x14ac:dyDescent="0.2">
      <c r="A2330" s="1186" t="s">
        <v>1419</v>
      </c>
      <c r="B2330" s="1186" t="s">
        <v>1428</v>
      </c>
      <c r="C2330" s="1186" t="s">
        <v>1981</v>
      </c>
      <c r="D2330" s="1186" t="s">
        <v>1982</v>
      </c>
      <c r="E2330" s="1186" t="s">
        <v>2031</v>
      </c>
      <c r="F2330" s="1186" t="s">
        <v>2034</v>
      </c>
      <c r="G2330" s="1186" t="s">
        <v>828</v>
      </c>
      <c r="H2330" s="1186">
        <v>37</v>
      </c>
    </row>
    <row r="2331" spans="1:8" x14ac:dyDescent="0.2">
      <c r="A2331" s="1186" t="s">
        <v>1419</v>
      </c>
      <c r="B2331" s="1186" t="s">
        <v>1428</v>
      </c>
      <c r="C2331" s="1186" t="s">
        <v>1981</v>
      </c>
      <c r="D2331" s="1186" t="s">
        <v>1982</v>
      </c>
      <c r="E2331" s="1186" t="s">
        <v>2035</v>
      </c>
      <c r="F2331" s="1186" t="s">
        <v>2032</v>
      </c>
      <c r="G2331" s="1186" t="s">
        <v>828</v>
      </c>
      <c r="H2331" s="1186">
        <v>20</v>
      </c>
    </row>
    <row r="2332" spans="1:8" x14ac:dyDescent="0.2">
      <c r="A2332" s="1186" t="s">
        <v>1419</v>
      </c>
      <c r="B2332" s="1186" t="s">
        <v>1428</v>
      </c>
      <c r="C2332" s="1186" t="s">
        <v>1981</v>
      </c>
      <c r="D2332" s="1186" t="s">
        <v>1982</v>
      </c>
      <c r="E2332" s="1186" t="s">
        <v>2035</v>
      </c>
      <c r="F2332" s="1186" t="s">
        <v>2032</v>
      </c>
      <c r="G2332" s="1186" t="s">
        <v>850</v>
      </c>
      <c r="H2332" s="1186">
        <v>2</v>
      </c>
    </row>
    <row r="2333" spans="1:8" x14ac:dyDescent="0.2">
      <c r="A2333" s="1186" t="s">
        <v>1419</v>
      </c>
      <c r="B2333" s="1186" t="s">
        <v>1428</v>
      </c>
      <c r="C2333" s="1186" t="s">
        <v>1981</v>
      </c>
      <c r="D2333" s="1186" t="s">
        <v>1982</v>
      </c>
      <c r="E2333" s="1186" t="s">
        <v>2035</v>
      </c>
      <c r="F2333" s="1186" t="s">
        <v>2032</v>
      </c>
      <c r="G2333" s="1186" t="s">
        <v>851</v>
      </c>
      <c r="H2333" s="1186">
        <v>15</v>
      </c>
    </row>
    <row r="2334" spans="1:8" x14ac:dyDescent="0.2">
      <c r="A2334" s="1186" t="s">
        <v>1419</v>
      </c>
      <c r="B2334" s="1186" t="s">
        <v>1428</v>
      </c>
      <c r="C2334" s="1186" t="s">
        <v>1981</v>
      </c>
      <c r="D2334" s="1186" t="s">
        <v>1982</v>
      </c>
      <c r="E2334" s="1186" t="s">
        <v>2035</v>
      </c>
      <c r="F2334" s="1186" t="s">
        <v>2032</v>
      </c>
      <c r="G2334" s="1186" t="s">
        <v>852</v>
      </c>
      <c r="H2334" s="1186">
        <v>6</v>
      </c>
    </row>
    <row r="2335" spans="1:8" x14ac:dyDescent="0.2">
      <c r="A2335" s="1186" t="s">
        <v>1419</v>
      </c>
      <c r="B2335" s="1186" t="s">
        <v>1428</v>
      </c>
      <c r="C2335" s="1186" t="s">
        <v>1981</v>
      </c>
      <c r="D2335" s="1186" t="s">
        <v>1982</v>
      </c>
      <c r="E2335" s="1186" t="s">
        <v>2035</v>
      </c>
      <c r="F2335" s="1186" t="s">
        <v>2033</v>
      </c>
      <c r="G2335" s="1186" t="s">
        <v>828</v>
      </c>
      <c r="H2335" s="1186">
        <v>82</v>
      </c>
    </row>
    <row r="2336" spans="1:8" x14ac:dyDescent="0.2">
      <c r="A2336" s="1186" t="s">
        <v>1419</v>
      </c>
      <c r="B2336" s="1186" t="s">
        <v>1428</v>
      </c>
      <c r="C2336" s="1186" t="s">
        <v>1981</v>
      </c>
      <c r="D2336" s="1186" t="s">
        <v>1982</v>
      </c>
      <c r="E2336" s="1186" t="s">
        <v>2035</v>
      </c>
      <c r="F2336" s="1186" t="s">
        <v>2033</v>
      </c>
      <c r="G2336" s="1186" t="s">
        <v>850</v>
      </c>
      <c r="H2336" s="1186">
        <v>9</v>
      </c>
    </row>
    <row r="2337" spans="1:8" x14ac:dyDescent="0.2">
      <c r="A2337" s="1186" t="s">
        <v>1419</v>
      </c>
      <c r="B2337" s="1186" t="s">
        <v>1428</v>
      </c>
      <c r="C2337" s="1186" t="s">
        <v>1981</v>
      </c>
      <c r="D2337" s="1186" t="s">
        <v>1982</v>
      </c>
      <c r="E2337" s="1186" t="s">
        <v>2035</v>
      </c>
      <c r="F2337" s="1186" t="s">
        <v>2033</v>
      </c>
      <c r="G2337" s="1186" t="s">
        <v>851</v>
      </c>
      <c r="H2337" s="1186">
        <v>155</v>
      </c>
    </row>
    <row r="2338" spans="1:8" x14ac:dyDescent="0.2">
      <c r="A2338" s="1186" t="s">
        <v>1419</v>
      </c>
      <c r="B2338" s="1186" t="s">
        <v>1428</v>
      </c>
      <c r="C2338" s="1186" t="s">
        <v>1981</v>
      </c>
      <c r="D2338" s="1186" t="s">
        <v>1982</v>
      </c>
      <c r="E2338" s="1186" t="s">
        <v>2035</v>
      </c>
      <c r="F2338" s="1186" t="s">
        <v>2033</v>
      </c>
      <c r="G2338" s="1186" t="s">
        <v>852</v>
      </c>
      <c r="H2338" s="1186">
        <v>34</v>
      </c>
    </row>
    <row r="2339" spans="1:8" x14ac:dyDescent="0.2">
      <c r="A2339" s="1186" t="s">
        <v>1419</v>
      </c>
      <c r="B2339" s="1186" t="s">
        <v>1428</v>
      </c>
      <c r="C2339" s="1186" t="s">
        <v>1981</v>
      </c>
      <c r="D2339" s="1186" t="s">
        <v>1982</v>
      </c>
      <c r="E2339" s="1186" t="s">
        <v>2035</v>
      </c>
      <c r="F2339" s="1186" t="s">
        <v>2034</v>
      </c>
      <c r="G2339" s="1186" t="s">
        <v>828</v>
      </c>
      <c r="H2339" s="1186">
        <v>111</v>
      </c>
    </row>
    <row r="2340" spans="1:8" x14ac:dyDescent="0.2">
      <c r="A2340" s="1186" t="s">
        <v>1419</v>
      </c>
      <c r="B2340" s="1186" t="s">
        <v>1428</v>
      </c>
      <c r="C2340" s="1186" t="s">
        <v>1981</v>
      </c>
      <c r="D2340" s="1186" t="s">
        <v>1982</v>
      </c>
      <c r="E2340" s="1186" t="s">
        <v>2035</v>
      </c>
      <c r="F2340" s="1186" t="s">
        <v>2034</v>
      </c>
      <c r="G2340" s="1186" t="s">
        <v>850</v>
      </c>
      <c r="H2340" s="1186">
        <v>52</v>
      </c>
    </row>
    <row r="2341" spans="1:8" x14ac:dyDescent="0.2">
      <c r="A2341" s="1186" t="s">
        <v>1419</v>
      </c>
      <c r="B2341" s="1186" t="s">
        <v>1428</v>
      </c>
      <c r="C2341" s="1186" t="s">
        <v>1981</v>
      </c>
      <c r="D2341" s="1186" t="s">
        <v>1982</v>
      </c>
      <c r="E2341" s="1186" t="s">
        <v>2035</v>
      </c>
      <c r="F2341" s="1186" t="s">
        <v>2034</v>
      </c>
      <c r="G2341" s="1186" t="s">
        <v>851</v>
      </c>
      <c r="H2341" s="1186">
        <v>31</v>
      </c>
    </row>
    <row r="2342" spans="1:8" x14ac:dyDescent="0.2">
      <c r="A2342" s="1186" t="s">
        <v>1419</v>
      </c>
      <c r="B2342" s="1186" t="s">
        <v>1428</v>
      </c>
      <c r="C2342" s="1186" t="s">
        <v>1981</v>
      </c>
      <c r="D2342" s="1186" t="s">
        <v>1982</v>
      </c>
      <c r="E2342" s="1186" t="s">
        <v>2035</v>
      </c>
      <c r="F2342" s="1186" t="s">
        <v>2034</v>
      </c>
      <c r="G2342" s="1186" t="s">
        <v>852</v>
      </c>
      <c r="H2342" s="1186">
        <v>29</v>
      </c>
    </row>
    <row r="2343" spans="1:8" x14ac:dyDescent="0.2">
      <c r="A2343" s="1186" t="s">
        <v>1419</v>
      </c>
      <c r="B2343" s="1186" t="s">
        <v>1429</v>
      </c>
      <c r="C2343" s="1186" t="s">
        <v>1983</v>
      </c>
      <c r="D2343" s="1186" t="s">
        <v>1982</v>
      </c>
      <c r="E2343" s="1186" t="s">
        <v>2031</v>
      </c>
      <c r="F2343" s="1186" t="s">
        <v>2032</v>
      </c>
      <c r="G2343" s="1186" t="s">
        <v>828</v>
      </c>
      <c r="H2343" s="1186">
        <v>2</v>
      </c>
    </row>
    <row r="2344" spans="1:8" x14ac:dyDescent="0.2">
      <c r="A2344" s="1186" t="s">
        <v>1419</v>
      </c>
      <c r="B2344" s="1186" t="s">
        <v>1429</v>
      </c>
      <c r="C2344" s="1186" t="s">
        <v>1983</v>
      </c>
      <c r="D2344" s="1186" t="s">
        <v>1982</v>
      </c>
      <c r="E2344" s="1186" t="s">
        <v>2031</v>
      </c>
      <c r="F2344" s="1186" t="s">
        <v>2032</v>
      </c>
      <c r="G2344" s="1186" t="s">
        <v>851</v>
      </c>
      <c r="H2344" s="1186">
        <v>1</v>
      </c>
    </row>
    <row r="2345" spans="1:8" x14ac:dyDescent="0.2">
      <c r="A2345" s="1186" t="s">
        <v>1419</v>
      </c>
      <c r="B2345" s="1186" t="s">
        <v>1429</v>
      </c>
      <c r="C2345" s="1186" t="s">
        <v>1983</v>
      </c>
      <c r="D2345" s="1186" t="s">
        <v>1982</v>
      </c>
      <c r="E2345" s="1186" t="s">
        <v>2031</v>
      </c>
      <c r="F2345" s="1186" t="s">
        <v>2033</v>
      </c>
      <c r="G2345" s="1186" t="s">
        <v>828</v>
      </c>
      <c r="H2345" s="1186">
        <v>49</v>
      </c>
    </row>
    <row r="2346" spans="1:8" x14ac:dyDescent="0.2">
      <c r="A2346" s="1186" t="s">
        <v>1419</v>
      </c>
      <c r="B2346" s="1186" t="s">
        <v>1429</v>
      </c>
      <c r="C2346" s="1186" t="s">
        <v>1983</v>
      </c>
      <c r="D2346" s="1186" t="s">
        <v>1982</v>
      </c>
      <c r="E2346" s="1186" t="s">
        <v>2031</v>
      </c>
      <c r="F2346" s="1186" t="s">
        <v>2033</v>
      </c>
      <c r="G2346" s="1186" t="s">
        <v>850</v>
      </c>
      <c r="H2346" s="1186">
        <v>11</v>
      </c>
    </row>
    <row r="2347" spans="1:8" x14ac:dyDescent="0.2">
      <c r="A2347" s="1186" t="s">
        <v>1419</v>
      </c>
      <c r="B2347" s="1186" t="s">
        <v>1429</v>
      </c>
      <c r="C2347" s="1186" t="s">
        <v>1983</v>
      </c>
      <c r="D2347" s="1186" t="s">
        <v>1982</v>
      </c>
      <c r="E2347" s="1186" t="s">
        <v>2031</v>
      </c>
      <c r="F2347" s="1186" t="s">
        <v>2033</v>
      </c>
      <c r="G2347" s="1186" t="s">
        <v>851</v>
      </c>
      <c r="H2347" s="1186">
        <v>4</v>
      </c>
    </row>
    <row r="2348" spans="1:8" x14ac:dyDescent="0.2">
      <c r="A2348" s="1186" t="s">
        <v>1419</v>
      </c>
      <c r="B2348" s="1186" t="s">
        <v>1429</v>
      </c>
      <c r="C2348" s="1186" t="s">
        <v>1983</v>
      </c>
      <c r="D2348" s="1186" t="s">
        <v>1982</v>
      </c>
      <c r="E2348" s="1186" t="s">
        <v>2031</v>
      </c>
      <c r="F2348" s="1186" t="s">
        <v>2033</v>
      </c>
      <c r="G2348" s="1186" t="s">
        <v>852</v>
      </c>
      <c r="H2348" s="1186">
        <v>5</v>
      </c>
    </row>
    <row r="2349" spans="1:8" x14ac:dyDescent="0.2">
      <c r="A2349" s="1186" t="s">
        <v>1419</v>
      </c>
      <c r="B2349" s="1186" t="s">
        <v>1429</v>
      </c>
      <c r="C2349" s="1186" t="s">
        <v>1983</v>
      </c>
      <c r="D2349" s="1186" t="s">
        <v>1982</v>
      </c>
      <c r="E2349" s="1186" t="s">
        <v>2031</v>
      </c>
      <c r="F2349" s="1186" t="s">
        <v>2034</v>
      </c>
      <c r="G2349" s="1186" t="s">
        <v>828</v>
      </c>
      <c r="H2349" s="1186">
        <v>22</v>
      </c>
    </row>
    <row r="2350" spans="1:8" x14ac:dyDescent="0.2">
      <c r="A2350" s="1186" t="s">
        <v>1419</v>
      </c>
      <c r="B2350" s="1186" t="s">
        <v>1429</v>
      </c>
      <c r="C2350" s="1186" t="s">
        <v>1983</v>
      </c>
      <c r="D2350" s="1186" t="s">
        <v>1982</v>
      </c>
      <c r="E2350" s="1186" t="s">
        <v>2031</v>
      </c>
      <c r="F2350" s="1186" t="s">
        <v>2034</v>
      </c>
      <c r="G2350" s="1186" t="s">
        <v>850</v>
      </c>
      <c r="H2350" s="1186">
        <v>9</v>
      </c>
    </row>
    <row r="2351" spans="1:8" x14ac:dyDescent="0.2">
      <c r="A2351" s="1186" t="s">
        <v>1419</v>
      </c>
      <c r="B2351" s="1186" t="s">
        <v>1429</v>
      </c>
      <c r="C2351" s="1186" t="s">
        <v>1983</v>
      </c>
      <c r="D2351" s="1186" t="s">
        <v>1982</v>
      </c>
      <c r="E2351" s="1186" t="s">
        <v>2035</v>
      </c>
      <c r="F2351" s="1186" t="s">
        <v>2032</v>
      </c>
      <c r="G2351" s="1186" t="s">
        <v>828</v>
      </c>
      <c r="H2351" s="1186">
        <v>24</v>
      </c>
    </row>
    <row r="2352" spans="1:8" x14ac:dyDescent="0.2">
      <c r="A2352" s="1186" t="s">
        <v>1419</v>
      </c>
      <c r="B2352" s="1186" t="s">
        <v>1429</v>
      </c>
      <c r="C2352" s="1186" t="s">
        <v>1983</v>
      </c>
      <c r="D2352" s="1186" t="s">
        <v>1982</v>
      </c>
      <c r="E2352" s="1186" t="s">
        <v>2035</v>
      </c>
      <c r="F2352" s="1186" t="s">
        <v>2032</v>
      </c>
      <c r="G2352" s="1186" t="s">
        <v>850</v>
      </c>
      <c r="H2352" s="1186">
        <v>1</v>
      </c>
    </row>
    <row r="2353" spans="1:8" x14ac:dyDescent="0.2">
      <c r="A2353" s="1186" t="s">
        <v>1419</v>
      </c>
      <c r="B2353" s="1186" t="s">
        <v>1429</v>
      </c>
      <c r="C2353" s="1186" t="s">
        <v>1983</v>
      </c>
      <c r="D2353" s="1186" t="s">
        <v>1982</v>
      </c>
      <c r="E2353" s="1186" t="s">
        <v>2035</v>
      </c>
      <c r="F2353" s="1186" t="s">
        <v>2032</v>
      </c>
      <c r="G2353" s="1186" t="s">
        <v>851</v>
      </c>
      <c r="H2353" s="1186">
        <v>4</v>
      </c>
    </row>
    <row r="2354" spans="1:8" x14ac:dyDescent="0.2">
      <c r="A2354" s="1186" t="s">
        <v>1419</v>
      </c>
      <c r="B2354" s="1186" t="s">
        <v>1429</v>
      </c>
      <c r="C2354" s="1186" t="s">
        <v>1983</v>
      </c>
      <c r="D2354" s="1186" t="s">
        <v>1982</v>
      </c>
      <c r="E2354" s="1186" t="s">
        <v>2035</v>
      </c>
      <c r="F2354" s="1186" t="s">
        <v>2032</v>
      </c>
      <c r="G2354" s="1186" t="s">
        <v>852</v>
      </c>
      <c r="H2354" s="1186">
        <v>5</v>
      </c>
    </row>
    <row r="2355" spans="1:8" x14ac:dyDescent="0.2">
      <c r="A2355" s="1186" t="s">
        <v>1419</v>
      </c>
      <c r="B2355" s="1186" t="s">
        <v>1429</v>
      </c>
      <c r="C2355" s="1186" t="s">
        <v>1983</v>
      </c>
      <c r="D2355" s="1186" t="s">
        <v>1982</v>
      </c>
      <c r="E2355" s="1186" t="s">
        <v>2035</v>
      </c>
      <c r="F2355" s="1186" t="s">
        <v>2033</v>
      </c>
      <c r="G2355" s="1186" t="s">
        <v>828</v>
      </c>
      <c r="H2355" s="1186">
        <v>65</v>
      </c>
    </row>
    <row r="2356" spans="1:8" x14ac:dyDescent="0.2">
      <c r="A2356" s="1186" t="s">
        <v>1419</v>
      </c>
      <c r="B2356" s="1186" t="s">
        <v>1429</v>
      </c>
      <c r="C2356" s="1186" t="s">
        <v>1983</v>
      </c>
      <c r="D2356" s="1186" t="s">
        <v>1982</v>
      </c>
      <c r="E2356" s="1186" t="s">
        <v>2035</v>
      </c>
      <c r="F2356" s="1186" t="s">
        <v>2033</v>
      </c>
      <c r="G2356" s="1186" t="s">
        <v>850</v>
      </c>
      <c r="H2356" s="1186">
        <v>9</v>
      </c>
    </row>
    <row r="2357" spans="1:8" x14ac:dyDescent="0.2">
      <c r="A2357" s="1186" t="s">
        <v>1419</v>
      </c>
      <c r="B2357" s="1186" t="s">
        <v>1429</v>
      </c>
      <c r="C2357" s="1186" t="s">
        <v>1983</v>
      </c>
      <c r="D2357" s="1186" t="s">
        <v>1982</v>
      </c>
      <c r="E2357" s="1186" t="s">
        <v>2035</v>
      </c>
      <c r="F2357" s="1186" t="s">
        <v>2033</v>
      </c>
      <c r="G2357" s="1186" t="s">
        <v>851</v>
      </c>
      <c r="H2357" s="1186">
        <v>142</v>
      </c>
    </row>
    <row r="2358" spans="1:8" x14ac:dyDescent="0.2">
      <c r="A2358" s="1186" t="s">
        <v>1419</v>
      </c>
      <c r="B2358" s="1186" t="s">
        <v>1429</v>
      </c>
      <c r="C2358" s="1186" t="s">
        <v>1983</v>
      </c>
      <c r="D2358" s="1186" t="s">
        <v>1982</v>
      </c>
      <c r="E2358" s="1186" t="s">
        <v>2035</v>
      </c>
      <c r="F2358" s="1186" t="s">
        <v>2033</v>
      </c>
      <c r="G2358" s="1186" t="s">
        <v>852</v>
      </c>
      <c r="H2358" s="1186">
        <v>25</v>
      </c>
    </row>
    <row r="2359" spans="1:8" x14ac:dyDescent="0.2">
      <c r="A2359" s="1186" t="s">
        <v>1419</v>
      </c>
      <c r="B2359" s="1186" t="s">
        <v>1429</v>
      </c>
      <c r="C2359" s="1186" t="s">
        <v>1983</v>
      </c>
      <c r="D2359" s="1186" t="s">
        <v>1982</v>
      </c>
      <c r="E2359" s="1186" t="s">
        <v>2035</v>
      </c>
      <c r="F2359" s="1186" t="s">
        <v>2034</v>
      </c>
      <c r="G2359" s="1186" t="s">
        <v>828</v>
      </c>
      <c r="H2359" s="1186">
        <v>105</v>
      </c>
    </row>
    <row r="2360" spans="1:8" x14ac:dyDescent="0.2">
      <c r="A2360" s="1186" t="s">
        <v>1419</v>
      </c>
      <c r="B2360" s="1186" t="s">
        <v>1429</v>
      </c>
      <c r="C2360" s="1186" t="s">
        <v>1983</v>
      </c>
      <c r="D2360" s="1186" t="s">
        <v>1982</v>
      </c>
      <c r="E2360" s="1186" t="s">
        <v>2035</v>
      </c>
      <c r="F2360" s="1186" t="s">
        <v>2034</v>
      </c>
      <c r="G2360" s="1186" t="s">
        <v>850</v>
      </c>
      <c r="H2360" s="1186">
        <v>52</v>
      </c>
    </row>
    <row r="2361" spans="1:8" x14ac:dyDescent="0.2">
      <c r="A2361" s="1186" t="s">
        <v>1419</v>
      </c>
      <c r="B2361" s="1186" t="s">
        <v>1429</v>
      </c>
      <c r="C2361" s="1186" t="s">
        <v>1983</v>
      </c>
      <c r="D2361" s="1186" t="s">
        <v>1982</v>
      </c>
      <c r="E2361" s="1186" t="s">
        <v>2035</v>
      </c>
      <c r="F2361" s="1186" t="s">
        <v>2034</v>
      </c>
      <c r="G2361" s="1186" t="s">
        <v>851</v>
      </c>
      <c r="H2361" s="1186">
        <v>37</v>
      </c>
    </row>
    <row r="2362" spans="1:8" x14ac:dyDescent="0.2">
      <c r="A2362" s="1186" t="s">
        <v>1419</v>
      </c>
      <c r="B2362" s="1186" t="s">
        <v>1429</v>
      </c>
      <c r="C2362" s="1186" t="s">
        <v>1983</v>
      </c>
      <c r="D2362" s="1186" t="s">
        <v>1982</v>
      </c>
      <c r="E2362" s="1186" t="s">
        <v>2035</v>
      </c>
      <c r="F2362" s="1186" t="s">
        <v>2034</v>
      </c>
      <c r="G2362" s="1186" t="s">
        <v>852</v>
      </c>
      <c r="H2362" s="1186">
        <v>39</v>
      </c>
    </row>
    <row r="2363" spans="1:8" x14ac:dyDescent="0.2">
      <c r="A2363" s="1186" t="s">
        <v>1419</v>
      </c>
      <c r="B2363" s="1186" t="s">
        <v>1430</v>
      </c>
      <c r="C2363" s="1186" t="s">
        <v>1983</v>
      </c>
      <c r="D2363" s="1186" t="s">
        <v>1984</v>
      </c>
      <c r="E2363" s="1186" t="s">
        <v>2031</v>
      </c>
      <c r="F2363" s="1186" t="s">
        <v>2032</v>
      </c>
      <c r="G2363" s="1186" t="s">
        <v>828</v>
      </c>
      <c r="H2363" s="1186">
        <v>2</v>
      </c>
    </row>
    <row r="2364" spans="1:8" x14ac:dyDescent="0.2">
      <c r="A2364" s="1186" t="s">
        <v>1419</v>
      </c>
      <c r="B2364" s="1186" t="s">
        <v>1430</v>
      </c>
      <c r="C2364" s="1186" t="s">
        <v>1983</v>
      </c>
      <c r="D2364" s="1186" t="s">
        <v>1984</v>
      </c>
      <c r="E2364" s="1186" t="s">
        <v>2031</v>
      </c>
      <c r="F2364" s="1186" t="s">
        <v>2033</v>
      </c>
      <c r="G2364" s="1186" t="s">
        <v>828</v>
      </c>
      <c r="H2364" s="1186">
        <v>60</v>
      </c>
    </row>
    <row r="2365" spans="1:8" x14ac:dyDescent="0.2">
      <c r="A2365" s="1186" t="s">
        <v>1419</v>
      </c>
      <c r="B2365" s="1186" t="s">
        <v>1430</v>
      </c>
      <c r="C2365" s="1186" t="s">
        <v>1983</v>
      </c>
      <c r="D2365" s="1186" t="s">
        <v>1984</v>
      </c>
      <c r="E2365" s="1186" t="s">
        <v>2031</v>
      </c>
      <c r="F2365" s="1186" t="s">
        <v>2033</v>
      </c>
      <c r="G2365" s="1186" t="s">
        <v>850</v>
      </c>
      <c r="H2365" s="1186">
        <v>10</v>
      </c>
    </row>
    <row r="2366" spans="1:8" x14ac:dyDescent="0.2">
      <c r="A2366" s="1186" t="s">
        <v>1419</v>
      </c>
      <c r="B2366" s="1186" t="s">
        <v>1430</v>
      </c>
      <c r="C2366" s="1186" t="s">
        <v>1983</v>
      </c>
      <c r="D2366" s="1186" t="s">
        <v>1984</v>
      </c>
      <c r="E2366" s="1186" t="s">
        <v>2031</v>
      </c>
      <c r="F2366" s="1186" t="s">
        <v>2033</v>
      </c>
      <c r="G2366" s="1186" t="s">
        <v>851</v>
      </c>
      <c r="H2366" s="1186">
        <v>1</v>
      </c>
    </row>
    <row r="2367" spans="1:8" x14ac:dyDescent="0.2">
      <c r="A2367" s="1186" t="s">
        <v>1419</v>
      </c>
      <c r="B2367" s="1186" t="s">
        <v>1430</v>
      </c>
      <c r="C2367" s="1186" t="s">
        <v>1983</v>
      </c>
      <c r="D2367" s="1186" t="s">
        <v>1984</v>
      </c>
      <c r="E2367" s="1186" t="s">
        <v>2031</v>
      </c>
      <c r="F2367" s="1186" t="s">
        <v>2033</v>
      </c>
      <c r="G2367" s="1186" t="s">
        <v>852</v>
      </c>
      <c r="H2367" s="1186">
        <v>3</v>
      </c>
    </row>
    <row r="2368" spans="1:8" x14ac:dyDescent="0.2">
      <c r="A2368" s="1186" t="s">
        <v>1419</v>
      </c>
      <c r="B2368" s="1186" t="s">
        <v>1430</v>
      </c>
      <c r="C2368" s="1186" t="s">
        <v>1983</v>
      </c>
      <c r="D2368" s="1186" t="s">
        <v>1984</v>
      </c>
      <c r="E2368" s="1186" t="s">
        <v>2031</v>
      </c>
      <c r="F2368" s="1186" t="s">
        <v>2034</v>
      </c>
      <c r="G2368" s="1186" t="s">
        <v>828</v>
      </c>
      <c r="H2368" s="1186">
        <v>16</v>
      </c>
    </row>
    <row r="2369" spans="1:8" x14ac:dyDescent="0.2">
      <c r="A2369" s="1186" t="s">
        <v>1419</v>
      </c>
      <c r="B2369" s="1186" t="s">
        <v>1430</v>
      </c>
      <c r="C2369" s="1186" t="s">
        <v>1983</v>
      </c>
      <c r="D2369" s="1186" t="s">
        <v>1984</v>
      </c>
      <c r="E2369" s="1186" t="s">
        <v>2031</v>
      </c>
      <c r="F2369" s="1186" t="s">
        <v>2034</v>
      </c>
      <c r="G2369" s="1186" t="s">
        <v>850</v>
      </c>
      <c r="H2369" s="1186">
        <v>1</v>
      </c>
    </row>
    <row r="2370" spans="1:8" x14ac:dyDescent="0.2">
      <c r="A2370" s="1186" t="s">
        <v>1419</v>
      </c>
      <c r="B2370" s="1186" t="s">
        <v>1430</v>
      </c>
      <c r="C2370" s="1186" t="s">
        <v>1983</v>
      </c>
      <c r="D2370" s="1186" t="s">
        <v>1984</v>
      </c>
      <c r="E2370" s="1186" t="s">
        <v>2035</v>
      </c>
      <c r="F2370" s="1186" t="s">
        <v>2032</v>
      </c>
      <c r="G2370" s="1186" t="s">
        <v>828</v>
      </c>
      <c r="H2370" s="1186">
        <v>21</v>
      </c>
    </row>
    <row r="2371" spans="1:8" x14ac:dyDescent="0.2">
      <c r="A2371" s="1186" t="s">
        <v>1419</v>
      </c>
      <c r="B2371" s="1186" t="s">
        <v>1430</v>
      </c>
      <c r="C2371" s="1186" t="s">
        <v>1983</v>
      </c>
      <c r="D2371" s="1186" t="s">
        <v>1984</v>
      </c>
      <c r="E2371" s="1186" t="s">
        <v>2035</v>
      </c>
      <c r="F2371" s="1186" t="s">
        <v>2032</v>
      </c>
      <c r="G2371" s="1186" t="s">
        <v>850</v>
      </c>
      <c r="H2371" s="1186">
        <v>1</v>
      </c>
    </row>
    <row r="2372" spans="1:8" x14ac:dyDescent="0.2">
      <c r="A2372" s="1186" t="s">
        <v>1419</v>
      </c>
      <c r="B2372" s="1186" t="s">
        <v>1430</v>
      </c>
      <c r="C2372" s="1186" t="s">
        <v>1983</v>
      </c>
      <c r="D2372" s="1186" t="s">
        <v>1984</v>
      </c>
      <c r="E2372" s="1186" t="s">
        <v>2035</v>
      </c>
      <c r="F2372" s="1186" t="s">
        <v>2032</v>
      </c>
      <c r="G2372" s="1186" t="s">
        <v>851</v>
      </c>
      <c r="H2372" s="1186">
        <v>13</v>
      </c>
    </row>
    <row r="2373" spans="1:8" x14ac:dyDescent="0.2">
      <c r="A2373" s="1186" t="s">
        <v>1419</v>
      </c>
      <c r="B2373" s="1186" t="s">
        <v>1430</v>
      </c>
      <c r="C2373" s="1186" t="s">
        <v>1983</v>
      </c>
      <c r="D2373" s="1186" t="s">
        <v>1984</v>
      </c>
      <c r="E2373" s="1186" t="s">
        <v>2035</v>
      </c>
      <c r="F2373" s="1186" t="s">
        <v>2032</v>
      </c>
      <c r="G2373" s="1186" t="s">
        <v>852</v>
      </c>
      <c r="H2373" s="1186">
        <v>7</v>
      </c>
    </row>
    <row r="2374" spans="1:8" x14ac:dyDescent="0.2">
      <c r="A2374" s="1186" t="s">
        <v>1419</v>
      </c>
      <c r="B2374" s="1186" t="s">
        <v>1430</v>
      </c>
      <c r="C2374" s="1186" t="s">
        <v>1983</v>
      </c>
      <c r="D2374" s="1186" t="s">
        <v>1984</v>
      </c>
      <c r="E2374" s="1186" t="s">
        <v>2035</v>
      </c>
      <c r="F2374" s="1186" t="s">
        <v>2033</v>
      </c>
      <c r="G2374" s="1186" t="s">
        <v>828</v>
      </c>
      <c r="H2374" s="1186">
        <v>87</v>
      </c>
    </row>
    <row r="2375" spans="1:8" x14ac:dyDescent="0.2">
      <c r="A2375" s="1186" t="s">
        <v>1419</v>
      </c>
      <c r="B2375" s="1186" t="s">
        <v>1430</v>
      </c>
      <c r="C2375" s="1186" t="s">
        <v>1983</v>
      </c>
      <c r="D2375" s="1186" t="s">
        <v>1984</v>
      </c>
      <c r="E2375" s="1186" t="s">
        <v>2035</v>
      </c>
      <c r="F2375" s="1186" t="s">
        <v>2033</v>
      </c>
      <c r="G2375" s="1186" t="s">
        <v>850</v>
      </c>
      <c r="H2375" s="1186">
        <v>24</v>
      </c>
    </row>
    <row r="2376" spans="1:8" x14ac:dyDescent="0.2">
      <c r="A2376" s="1186" t="s">
        <v>1419</v>
      </c>
      <c r="B2376" s="1186" t="s">
        <v>1430</v>
      </c>
      <c r="C2376" s="1186" t="s">
        <v>1983</v>
      </c>
      <c r="D2376" s="1186" t="s">
        <v>1984</v>
      </c>
      <c r="E2376" s="1186" t="s">
        <v>2035</v>
      </c>
      <c r="F2376" s="1186" t="s">
        <v>2033</v>
      </c>
      <c r="G2376" s="1186" t="s">
        <v>851</v>
      </c>
      <c r="H2376" s="1186">
        <v>174</v>
      </c>
    </row>
    <row r="2377" spans="1:8" x14ac:dyDescent="0.2">
      <c r="A2377" s="1186" t="s">
        <v>1419</v>
      </c>
      <c r="B2377" s="1186" t="s">
        <v>1430</v>
      </c>
      <c r="C2377" s="1186" t="s">
        <v>1983</v>
      </c>
      <c r="D2377" s="1186" t="s">
        <v>1984</v>
      </c>
      <c r="E2377" s="1186" t="s">
        <v>2035</v>
      </c>
      <c r="F2377" s="1186" t="s">
        <v>2033</v>
      </c>
      <c r="G2377" s="1186" t="s">
        <v>852</v>
      </c>
      <c r="H2377" s="1186">
        <v>22</v>
      </c>
    </row>
    <row r="2378" spans="1:8" x14ac:dyDescent="0.2">
      <c r="A2378" s="1186" t="s">
        <v>1419</v>
      </c>
      <c r="B2378" s="1186" t="s">
        <v>1430</v>
      </c>
      <c r="C2378" s="1186" t="s">
        <v>1983</v>
      </c>
      <c r="D2378" s="1186" t="s">
        <v>1984</v>
      </c>
      <c r="E2378" s="1186" t="s">
        <v>2035</v>
      </c>
      <c r="F2378" s="1186" t="s">
        <v>2034</v>
      </c>
      <c r="G2378" s="1186" t="s">
        <v>828</v>
      </c>
      <c r="H2378" s="1186">
        <v>119</v>
      </c>
    </row>
    <row r="2379" spans="1:8" x14ac:dyDescent="0.2">
      <c r="A2379" s="1186" t="s">
        <v>1419</v>
      </c>
      <c r="B2379" s="1186" t="s">
        <v>1430</v>
      </c>
      <c r="C2379" s="1186" t="s">
        <v>1983</v>
      </c>
      <c r="D2379" s="1186" t="s">
        <v>1984</v>
      </c>
      <c r="E2379" s="1186" t="s">
        <v>2035</v>
      </c>
      <c r="F2379" s="1186" t="s">
        <v>2034</v>
      </c>
      <c r="G2379" s="1186" t="s">
        <v>850</v>
      </c>
      <c r="H2379" s="1186">
        <v>68</v>
      </c>
    </row>
    <row r="2380" spans="1:8" x14ac:dyDescent="0.2">
      <c r="A2380" s="1186" t="s">
        <v>1419</v>
      </c>
      <c r="B2380" s="1186" t="s">
        <v>1430</v>
      </c>
      <c r="C2380" s="1186" t="s">
        <v>1983</v>
      </c>
      <c r="D2380" s="1186" t="s">
        <v>1984</v>
      </c>
      <c r="E2380" s="1186" t="s">
        <v>2035</v>
      </c>
      <c r="F2380" s="1186" t="s">
        <v>2034</v>
      </c>
      <c r="G2380" s="1186" t="s">
        <v>851</v>
      </c>
      <c r="H2380" s="1186">
        <v>50</v>
      </c>
    </row>
    <row r="2381" spans="1:8" x14ac:dyDescent="0.2">
      <c r="A2381" s="1186" t="s">
        <v>1419</v>
      </c>
      <c r="B2381" s="1186" t="s">
        <v>1430</v>
      </c>
      <c r="C2381" s="1186" t="s">
        <v>1983</v>
      </c>
      <c r="D2381" s="1186" t="s">
        <v>1984</v>
      </c>
      <c r="E2381" s="1186" t="s">
        <v>2035</v>
      </c>
      <c r="F2381" s="1186" t="s">
        <v>2034</v>
      </c>
      <c r="G2381" s="1186" t="s">
        <v>852</v>
      </c>
      <c r="H2381" s="1186">
        <v>56</v>
      </c>
    </row>
    <row r="2382" spans="1:8" x14ac:dyDescent="0.2">
      <c r="A2382" s="1186" t="s">
        <v>1419</v>
      </c>
      <c r="B2382" s="1186" t="s">
        <v>1431</v>
      </c>
      <c r="C2382" s="1186" t="s">
        <v>1983</v>
      </c>
      <c r="D2382" s="1186" t="s">
        <v>1984</v>
      </c>
      <c r="E2382" s="1186" t="s">
        <v>2031</v>
      </c>
      <c r="F2382" s="1186" t="s">
        <v>2032</v>
      </c>
      <c r="G2382" s="1186" t="s">
        <v>828</v>
      </c>
      <c r="H2382" s="1186">
        <v>1</v>
      </c>
    </row>
    <row r="2383" spans="1:8" x14ac:dyDescent="0.2">
      <c r="A2383" s="1186" t="s">
        <v>1419</v>
      </c>
      <c r="B2383" s="1186" t="s">
        <v>1431</v>
      </c>
      <c r="C2383" s="1186" t="s">
        <v>1983</v>
      </c>
      <c r="D2383" s="1186" t="s">
        <v>1984</v>
      </c>
      <c r="E2383" s="1186" t="s">
        <v>2031</v>
      </c>
      <c r="F2383" s="1186" t="s">
        <v>2032</v>
      </c>
      <c r="G2383" s="1186" t="s">
        <v>850</v>
      </c>
      <c r="H2383" s="1186">
        <v>1</v>
      </c>
    </row>
    <row r="2384" spans="1:8" x14ac:dyDescent="0.2">
      <c r="A2384" s="1186" t="s">
        <v>1419</v>
      </c>
      <c r="B2384" s="1186" t="s">
        <v>1431</v>
      </c>
      <c r="C2384" s="1186" t="s">
        <v>1983</v>
      </c>
      <c r="D2384" s="1186" t="s">
        <v>1984</v>
      </c>
      <c r="E2384" s="1186" t="s">
        <v>2031</v>
      </c>
      <c r="F2384" s="1186" t="s">
        <v>2032</v>
      </c>
      <c r="G2384" s="1186" t="s">
        <v>851</v>
      </c>
      <c r="H2384" s="1186">
        <v>1</v>
      </c>
    </row>
    <row r="2385" spans="1:8" x14ac:dyDescent="0.2">
      <c r="A2385" s="1186" t="s">
        <v>1419</v>
      </c>
      <c r="B2385" s="1186" t="s">
        <v>1431</v>
      </c>
      <c r="C2385" s="1186" t="s">
        <v>1983</v>
      </c>
      <c r="D2385" s="1186" t="s">
        <v>1984</v>
      </c>
      <c r="E2385" s="1186" t="s">
        <v>2031</v>
      </c>
      <c r="F2385" s="1186" t="s">
        <v>2033</v>
      </c>
      <c r="G2385" s="1186" t="s">
        <v>828</v>
      </c>
      <c r="H2385" s="1186">
        <v>57</v>
      </c>
    </row>
    <row r="2386" spans="1:8" x14ac:dyDescent="0.2">
      <c r="A2386" s="1186" t="s">
        <v>1419</v>
      </c>
      <c r="B2386" s="1186" t="s">
        <v>1431</v>
      </c>
      <c r="C2386" s="1186" t="s">
        <v>1983</v>
      </c>
      <c r="D2386" s="1186" t="s">
        <v>1984</v>
      </c>
      <c r="E2386" s="1186" t="s">
        <v>2031</v>
      </c>
      <c r="F2386" s="1186" t="s">
        <v>2033</v>
      </c>
      <c r="G2386" s="1186" t="s">
        <v>850</v>
      </c>
      <c r="H2386" s="1186">
        <v>8</v>
      </c>
    </row>
    <row r="2387" spans="1:8" x14ac:dyDescent="0.2">
      <c r="A2387" s="1186" t="s">
        <v>1419</v>
      </c>
      <c r="B2387" s="1186" t="s">
        <v>1431</v>
      </c>
      <c r="C2387" s="1186" t="s">
        <v>1983</v>
      </c>
      <c r="D2387" s="1186" t="s">
        <v>1984</v>
      </c>
      <c r="E2387" s="1186" t="s">
        <v>2031</v>
      </c>
      <c r="F2387" s="1186" t="s">
        <v>2033</v>
      </c>
      <c r="G2387" s="1186" t="s">
        <v>851</v>
      </c>
      <c r="H2387" s="1186">
        <v>4</v>
      </c>
    </row>
    <row r="2388" spans="1:8" x14ac:dyDescent="0.2">
      <c r="A2388" s="1186" t="s">
        <v>1419</v>
      </c>
      <c r="B2388" s="1186" t="s">
        <v>1431</v>
      </c>
      <c r="C2388" s="1186" t="s">
        <v>1983</v>
      </c>
      <c r="D2388" s="1186" t="s">
        <v>1984</v>
      </c>
      <c r="E2388" s="1186" t="s">
        <v>2031</v>
      </c>
      <c r="F2388" s="1186" t="s">
        <v>2033</v>
      </c>
      <c r="G2388" s="1186" t="s">
        <v>852</v>
      </c>
      <c r="H2388" s="1186">
        <v>1</v>
      </c>
    </row>
    <row r="2389" spans="1:8" x14ac:dyDescent="0.2">
      <c r="A2389" s="1186" t="s">
        <v>1419</v>
      </c>
      <c r="B2389" s="1186" t="s">
        <v>1431</v>
      </c>
      <c r="C2389" s="1186" t="s">
        <v>1983</v>
      </c>
      <c r="D2389" s="1186" t="s">
        <v>1984</v>
      </c>
      <c r="E2389" s="1186" t="s">
        <v>2031</v>
      </c>
      <c r="F2389" s="1186" t="s">
        <v>2034</v>
      </c>
      <c r="G2389" s="1186" t="s">
        <v>828</v>
      </c>
      <c r="H2389" s="1186">
        <v>9</v>
      </c>
    </row>
    <row r="2390" spans="1:8" x14ac:dyDescent="0.2">
      <c r="A2390" s="1186" t="s">
        <v>1419</v>
      </c>
      <c r="B2390" s="1186" t="s">
        <v>1431</v>
      </c>
      <c r="C2390" s="1186" t="s">
        <v>1983</v>
      </c>
      <c r="D2390" s="1186" t="s">
        <v>1984</v>
      </c>
      <c r="E2390" s="1186" t="s">
        <v>2035</v>
      </c>
      <c r="F2390" s="1186" t="s">
        <v>2032</v>
      </c>
      <c r="G2390" s="1186" t="s">
        <v>828</v>
      </c>
      <c r="H2390" s="1186">
        <v>12</v>
      </c>
    </row>
    <row r="2391" spans="1:8" x14ac:dyDescent="0.2">
      <c r="A2391" s="1186" t="s">
        <v>1419</v>
      </c>
      <c r="B2391" s="1186" t="s">
        <v>1431</v>
      </c>
      <c r="C2391" s="1186" t="s">
        <v>1983</v>
      </c>
      <c r="D2391" s="1186" t="s">
        <v>1984</v>
      </c>
      <c r="E2391" s="1186" t="s">
        <v>2035</v>
      </c>
      <c r="F2391" s="1186" t="s">
        <v>2032</v>
      </c>
      <c r="G2391" s="1186" t="s">
        <v>850</v>
      </c>
      <c r="H2391" s="1186">
        <v>2</v>
      </c>
    </row>
    <row r="2392" spans="1:8" x14ac:dyDescent="0.2">
      <c r="A2392" s="1186" t="s">
        <v>1419</v>
      </c>
      <c r="B2392" s="1186" t="s">
        <v>1431</v>
      </c>
      <c r="C2392" s="1186" t="s">
        <v>1983</v>
      </c>
      <c r="D2392" s="1186" t="s">
        <v>1984</v>
      </c>
      <c r="E2392" s="1186" t="s">
        <v>2035</v>
      </c>
      <c r="F2392" s="1186" t="s">
        <v>2032</v>
      </c>
      <c r="G2392" s="1186" t="s">
        <v>851</v>
      </c>
      <c r="H2392" s="1186">
        <v>4</v>
      </c>
    </row>
    <row r="2393" spans="1:8" x14ac:dyDescent="0.2">
      <c r="A2393" s="1186" t="s">
        <v>1419</v>
      </c>
      <c r="B2393" s="1186" t="s">
        <v>1431</v>
      </c>
      <c r="C2393" s="1186" t="s">
        <v>1983</v>
      </c>
      <c r="D2393" s="1186" t="s">
        <v>1984</v>
      </c>
      <c r="E2393" s="1186" t="s">
        <v>2035</v>
      </c>
      <c r="F2393" s="1186" t="s">
        <v>2032</v>
      </c>
      <c r="G2393" s="1186" t="s">
        <v>852</v>
      </c>
      <c r="H2393" s="1186">
        <v>8</v>
      </c>
    </row>
    <row r="2394" spans="1:8" x14ac:dyDescent="0.2">
      <c r="A2394" s="1186" t="s">
        <v>1419</v>
      </c>
      <c r="B2394" s="1186" t="s">
        <v>1431</v>
      </c>
      <c r="C2394" s="1186" t="s">
        <v>1983</v>
      </c>
      <c r="D2394" s="1186" t="s">
        <v>1984</v>
      </c>
      <c r="E2394" s="1186" t="s">
        <v>2035</v>
      </c>
      <c r="F2394" s="1186" t="s">
        <v>2033</v>
      </c>
      <c r="G2394" s="1186" t="s">
        <v>828</v>
      </c>
      <c r="H2394" s="1186">
        <v>83</v>
      </c>
    </row>
    <row r="2395" spans="1:8" x14ac:dyDescent="0.2">
      <c r="A2395" s="1186" t="s">
        <v>1419</v>
      </c>
      <c r="B2395" s="1186" t="s">
        <v>1431</v>
      </c>
      <c r="C2395" s="1186" t="s">
        <v>1983</v>
      </c>
      <c r="D2395" s="1186" t="s">
        <v>1984</v>
      </c>
      <c r="E2395" s="1186" t="s">
        <v>2035</v>
      </c>
      <c r="F2395" s="1186" t="s">
        <v>2033</v>
      </c>
      <c r="G2395" s="1186" t="s">
        <v>850</v>
      </c>
      <c r="H2395" s="1186">
        <v>15</v>
      </c>
    </row>
    <row r="2396" spans="1:8" x14ac:dyDescent="0.2">
      <c r="A2396" s="1186" t="s">
        <v>1419</v>
      </c>
      <c r="B2396" s="1186" t="s">
        <v>1431</v>
      </c>
      <c r="C2396" s="1186" t="s">
        <v>1983</v>
      </c>
      <c r="D2396" s="1186" t="s">
        <v>1984</v>
      </c>
      <c r="E2396" s="1186" t="s">
        <v>2035</v>
      </c>
      <c r="F2396" s="1186" t="s">
        <v>2033</v>
      </c>
      <c r="G2396" s="1186" t="s">
        <v>851</v>
      </c>
      <c r="H2396" s="1186">
        <v>150</v>
      </c>
    </row>
    <row r="2397" spans="1:8" x14ac:dyDescent="0.2">
      <c r="A2397" s="1186" t="s">
        <v>1419</v>
      </c>
      <c r="B2397" s="1186" t="s">
        <v>1431</v>
      </c>
      <c r="C2397" s="1186" t="s">
        <v>1983</v>
      </c>
      <c r="D2397" s="1186" t="s">
        <v>1984</v>
      </c>
      <c r="E2397" s="1186" t="s">
        <v>2035</v>
      </c>
      <c r="F2397" s="1186" t="s">
        <v>2033</v>
      </c>
      <c r="G2397" s="1186" t="s">
        <v>852</v>
      </c>
      <c r="H2397" s="1186">
        <v>31</v>
      </c>
    </row>
    <row r="2398" spans="1:8" x14ac:dyDescent="0.2">
      <c r="A2398" s="1186" t="s">
        <v>1419</v>
      </c>
      <c r="B2398" s="1186" t="s">
        <v>1431</v>
      </c>
      <c r="C2398" s="1186" t="s">
        <v>1983</v>
      </c>
      <c r="D2398" s="1186" t="s">
        <v>1984</v>
      </c>
      <c r="E2398" s="1186" t="s">
        <v>2035</v>
      </c>
      <c r="F2398" s="1186" t="s">
        <v>2034</v>
      </c>
      <c r="G2398" s="1186" t="s">
        <v>828</v>
      </c>
      <c r="H2398" s="1186">
        <v>108</v>
      </c>
    </row>
    <row r="2399" spans="1:8" x14ac:dyDescent="0.2">
      <c r="A2399" s="1186" t="s">
        <v>1419</v>
      </c>
      <c r="B2399" s="1186" t="s">
        <v>1431</v>
      </c>
      <c r="C2399" s="1186" t="s">
        <v>1983</v>
      </c>
      <c r="D2399" s="1186" t="s">
        <v>1984</v>
      </c>
      <c r="E2399" s="1186" t="s">
        <v>2035</v>
      </c>
      <c r="F2399" s="1186" t="s">
        <v>2034</v>
      </c>
      <c r="G2399" s="1186" t="s">
        <v>850</v>
      </c>
      <c r="H2399" s="1186">
        <v>49</v>
      </c>
    </row>
    <row r="2400" spans="1:8" x14ac:dyDescent="0.2">
      <c r="A2400" s="1186" t="s">
        <v>1419</v>
      </c>
      <c r="B2400" s="1186" t="s">
        <v>1431</v>
      </c>
      <c r="C2400" s="1186" t="s">
        <v>1983</v>
      </c>
      <c r="D2400" s="1186" t="s">
        <v>1984</v>
      </c>
      <c r="E2400" s="1186" t="s">
        <v>2035</v>
      </c>
      <c r="F2400" s="1186" t="s">
        <v>2034</v>
      </c>
      <c r="G2400" s="1186" t="s">
        <v>851</v>
      </c>
      <c r="H2400" s="1186">
        <v>37</v>
      </c>
    </row>
    <row r="2401" spans="1:8" x14ac:dyDescent="0.2">
      <c r="A2401" s="1186" t="s">
        <v>1419</v>
      </c>
      <c r="B2401" s="1186" t="s">
        <v>1431</v>
      </c>
      <c r="C2401" s="1186" t="s">
        <v>1983</v>
      </c>
      <c r="D2401" s="1186" t="s">
        <v>1984</v>
      </c>
      <c r="E2401" s="1186" t="s">
        <v>2035</v>
      </c>
      <c r="F2401" s="1186" t="s">
        <v>2034</v>
      </c>
      <c r="G2401" s="1186" t="s">
        <v>852</v>
      </c>
      <c r="H2401" s="1186">
        <v>46</v>
      </c>
    </row>
    <row r="2402" spans="1:8" x14ac:dyDescent="0.2">
      <c r="A2402" s="1186" t="s">
        <v>1419</v>
      </c>
      <c r="B2402" s="1186" t="s">
        <v>1432</v>
      </c>
      <c r="C2402" s="1186" t="s">
        <v>1985</v>
      </c>
      <c r="D2402" s="1186" t="s">
        <v>1984</v>
      </c>
      <c r="E2402" s="1186" t="s">
        <v>2031</v>
      </c>
      <c r="F2402" s="1186" t="s">
        <v>2032</v>
      </c>
      <c r="G2402" s="1186" t="s">
        <v>828</v>
      </c>
      <c r="H2402" s="1186">
        <v>1</v>
      </c>
    </row>
    <row r="2403" spans="1:8" x14ac:dyDescent="0.2">
      <c r="A2403" s="1186" t="s">
        <v>1419</v>
      </c>
      <c r="B2403" s="1186" t="s">
        <v>1432</v>
      </c>
      <c r="C2403" s="1186" t="s">
        <v>1985</v>
      </c>
      <c r="D2403" s="1186" t="s">
        <v>1984</v>
      </c>
      <c r="E2403" s="1186" t="s">
        <v>2031</v>
      </c>
      <c r="F2403" s="1186" t="s">
        <v>2032</v>
      </c>
      <c r="G2403" s="1186" t="s">
        <v>851</v>
      </c>
      <c r="H2403" s="1186">
        <v>1</v>
      </c>
    </row>
    <row r="2404" spans="1:8" x14ac:dyDescent="0.2">
      <c r="A2404" s="1186" t="s">
        <v>1419</v>
      </c>
      <c r="B2404" s="1186" t="s">
        <v>1432</v>
      </c>
      <c r="C2404" s="1186" t="s">
        <v>1985</v>
      </c>
      <c r="D2404" s="1186" t="s">
        <v>1984</v>
      </c>
      <c r="E2404" s="1186" t="s">
        <v>2031</v>
      </c>
      <c r="F2404" s="1186" t="s">
        <v>2033</v>
      </c>
      <c r="G2404" s="1186" t="s">
        <v>828</v>
      </c>
      <c r="H2404" s="1186">
        <v>48</v>
      </c>
    </row>
    <row r="2405" spans="1:8" x14ac:dyDescent="0.2">
      <c r="A2405" s="1186" t="s">
        <v>1419</v>
      </c>
      <c r="B2405" s="1186" t="s">
        <v>1432</v>
      </c>
      <c r="C2405" s="1186" t="s">
        <v>1985</v>
      </c>
      <c r="D2405" s="1186" t="s">
        <v>1984</v>
      </c>
      <c r="E2405" s="1186" t="s">
        <v>2031</v>
      </c>
      <c r="F2405" s="1186" t="s">
        <v>2033</v>
      </c>
      <c r="G2405" s="1186" t="s">
        <v>850</v>
      </c>
      <c r="H2405" s="1186">
        <v>9</v>
      </c>
    </row>
    <row r="2406" spans="1:8" x14ac:dyDescent="0.2">
      <c r="A2406" s="1186" t="s">
        <v>1419</v>
      </c>
      <c r="B2406" s="1186" t="s">
        <v>1432</v>
      </c>
      <c r="C2406" s="1186" t="s">
        <v>1985</v>
      </c>
      <c r="D2406" s="1186" t="s">
        <v>1984</v>
      </c>
      <c r="E2406" s="1186" t="s">
        <v>2031</v>
      </c>
      <c r="F2406" s="1186" t="s">
        <v>2033</v>
      </c>
      <c r="G2406" s="1186" t="s">
        <v>851</v>
      </c>
      <c r="H2406" s="1186">
        <v>1</v>
      </c>
    </row>
    <row r="2407" spans="1:8" x14ac:dyDescent="0.2">
      <c r="A2407" s="1186" t="s">
        <v>1419</v>
      </c>
      <c r="B2407" s="1186" t="s">
        <v>1432</v>
      </c>
      <c r="C2407" s="1186" t="s">
        <v>1985</v>
      </c>
      <c r="D2407" s="1186" t="s">
        <v>1984</v>
      </c>
      <c r="E2407" s="1186" t="s">
        <v>2031</v>
      </c>
      <c r="F2407" s="1186" t="s">
        <v>2033</v>
      </c>
      <c r="G2407" s="1186" t="s">
        <v>852</v>
      </c>
      <c r="H2407" s="1186">
        <v>3</v>
      </c>
    </row>
    <row r="2408" spans="1:8" x14ac:dyDescent="0.2">
      <c r="A2408" s="1186" t="s">
        <v>1419</v>
      </c>
      <c r="B2408" s="1186" t="s">
        <v>1432</v>
      </c>
      <c r="C2408" s="1186" t="s">
        <v>1985</v>
      </c>
      <c r="D2408" s="1186" t="s">
        <v>1984</v>
      </c>
      <c r="E2408" s="1186" t="s">
        <v>2031</v>
      </c>
      <c r="F2408" s="1186" t="s">
        <v>2034</v>
      </c>
      <c r="G2408" s="1186" t="s">
        <v>828</v>
      </c>
      <c r="H2408" s="1186">
        <v>11</v>
      </c>
    </row>
    <row r="2409" spans="1:8" x14ac:dyDescent="0.2">
      <c r="A2409" s="1186" t="s">
        <v>1419</v>
      </c>
      <c r="B2409" s="1186" t="s">
        <v>1432</v>
      </c>
      <c r="C2409" s="1186" t="s">
        <v>1985</v>
      </c>
      <c r="D2409" s="1186" t="s">
        <v>1984</v>
      </c>
      <c r="E2409" s="1186" t="s">
        <v>2031</v>
      </c>
      <c r="F2409" s="1186" t="s">
        <v>2034</v>
      </c>
      <c r="G2409" s="1186" t="s">
        <v>850</v>
      </c>
      <c r="H2409" s="1186">
        <v>2</v>
      </c>
    </row>
    <row r="2410" spans="1:8" x14ac:dyDescent="0.2">
      <c r="A2410" s="1186" t="s">
        <v>1419</v>
      </c>
      <c r="B2410" s="1186" t="s">
        <v>1432</v>
      </c>
      <c r="C2410" s="1186" t="s">
        <v>1985</v>
      </c>
      <c r="D2410" s="1186" t="s">
        <v>1984</v>
      </c>
      <c r="E2410" s="1186" t="s">
        <v>2035</v>
      </c>
      <c r="F2410" s="1186" t="s">
        <v>2032</v>
      </c>
      <c r="G2410" s="1186" t="s">
        <v>828</v>
      </c>
      <c r="H2410" s="1186">
        <v>16</v>
      </c>
    </row>
    <row r="2411" spans="1:8" x14ac:dyDescent="0.2">
      <c r="A2411" s="1186" t="s">
        <v>1419</v>
      </c>
      <c r="B2411" s="1186" t="s">
        <v>1432</v>
      </c>
      <c r="C2411" s="1186" t="s">
        <v>1985</v>
      </c>
      <c r="D2411" s="1186" t="s">
        <v>1984</v>
      </c>
      <c r="E2411" s="1186" t="s">
        <v>2035</v>
      </c>
      <c r="F2411" s="1186" t="s">
        <v>2032</v>
      </c>
      <c r="G2411" s="1186" t="s">
        <v>851</v>
      </c>
      <c r="H2411" s="1186">
        <v>3</v>
      </c>
    </row>
    <row r="2412" spans="1:8" x14ac:dyDescent="0.2">
      <c r="A2412" s="1186" t="s">
        <v>1419</v>
      </c>
      <c r="B2412" s="1186" t="s">
        <v>1432</v>
      </c>
      <c r="C2412" s="1186" t="s">
        <v>1985</v>
      </c>
      <c r="D2412" s="1186" t="s">
        <v>1984</v>
      </c>
      <c r="E2412" s="1186" t="s">
        <v>2035</v>
      </c>
      <c r="F2412" s="1186" t="s">
        <v>2032</v>
      </c>
      <c r="G2412" s="1186" t="s">
        <v>852</v>
      </c>
      <c r="H2412" s="1186">
        <v>4</v>
      </c>
    </row>
    <row r="2413" spans="1:8" x14ac:dyDescent="0.2">
      <c r="A2413" s="1186" t="s">
        <v>1419</v>
      </c>
      <c r="B2413" s="1186" t="s">
        <v>1432</v>
      </c>
      <c r="C2413" s="1186" t="s">
        <v>1985</v>
      </c>
      <c r="D2413" s="1186" t="s">
        <v>1984</v>
      </c>
      <c r="E2413" s="1186" t="s">
        <v>2035</v>
      </c>
      <c r="F2413" s="1186" t="s">
        <v>2033</v>
      </c>
      <c r="G2413" s="1186" t="s">
        <v>828</v>
      </c>
      <c r="H2413" s="1186">
        <v>77</v>
      </c>
    </row>
    <row r="2414" spans="1:8" x14ac:dyDescent="0.2">
      <c r="A2414" s="1186" t="s">
        <v>1419</v>
      </c>
      <c r="B2414" s="1186" t="s">
        <v>1432</v>
      </c>
      <c r="C2414" s="1186" t="s">
        <v>1985</v>
      </c>
      <c r="D2414" s="1186" t="s">
        <v>1984</v>
      </c>
      <c r="E2414" s="1186" t="s">
        <v>2035</v>
      </c>
      <c r="F2414" s="1186" t="s">
        <v>2033</v>
      </c>
      <c r="G2414" s="1186" t="s">
        <v>850</v>
      </c>
      <c r="H2414" s="1186">
        <v>14</v>
      </c>
    </row>
    <row r="2415" spans="1:8" x14ac:dyDescent="0.2">
      <c r="A2415" s="1186" t="s">
        <v>1419</v>
      </c>
      <c r="B2415" s="1186" t="s">
        <v>1432</v>
      </c>
      <c r="C2415" s="1186" t="s">
        <v>1985</v>
      </c>
      <c r="D2415" s="1186" t="s">
        <v>1984</v>
      </c>
      <c r="E2415" s="1186" t="s">
        <v>2035</v>
      </c>
      <c r="F2415" s="1186" t="s">
        <v>2033</v>
      </c>
      <c r="G2415" s="1186" t="s">
        <v>851</v>
      </c>
      <c r="H2415" s="1186">
        <v>136</v>
      </c>
    </row>
    <row r="2416" spans="1:8" x14ac:dyDescent="0.2">
      <c r="A2416" s="1186" t="s">
        <v>1419</v>
      </c>
      <c r="B2416" s="1186" t="s">
        <v>1432</v>
      </c>
      <c r="C2416" s="1186" t="s">
        <v>1985</v>
      </c>
      <c r="D2416" s="1186" t="s">
        <v>1984</v>
      </c>
      <c r="E2416" s="1186" t="s">
        <v>2035</v>
      </c>
      <c r="F2416" s="1186" t="s">
        <v>2033</v>
      </c>
      <c r="G2416" s="1186" t="s">
        <v>852</v>
      </c>
      <c r="H2416" s="1186">
        <v>30</v>
      </c>
    </row>
    <row r="2417" spans="1:8" x14ac:dyDescent="0.2">
      <c r="A2417" s="1186" t="s">
        <v>1419</v>
      </c>
      <c r="B2417" s="1186" t="s">
        <v>1432</v>
      </c>
      <c r="C2417" s="1186" t="s">
        <v>1985</v>
      </c>
      <c r="D2417" s="1186" t="s">
        <v>1984</v>
      </c>
      <c r="E2417" s="1186" t="s">
        <v>2035</v>
      </c>
      <c r="F2417" s="1186" t="s">
        <v>2034</v>
      </c>
      <c r="G2417" s="1186" t="s">
        <v>828</v>
      </c>
      <c r="H2417" s="1186">
        <v>123</v>
      </c>
    </row>
    <row r="2418" spans="1:8" x14ac:dyDescent="0.2">
      <c r="A2418" s="1186" t="s">
        <v>1419</v>
      </c>
      <c r="B2418" s="1186" t="s">
        <v>1432</v>
      </c>
      <c r="C2418" s="1186" t="s">
        <v>1985</v>
      </c>
      <c r="D2418" s="1186" t="s">
        <v>1984</v>
      </c>
      <c r="E2418" s="1186" t="s">
        <v>2035</v>
      </c>
      <c r="F2418" s="1186" t="s">
        <v>2034</v>
      </c>
      <c r="G2418" s="1186" t="s">
        <v>850</v>
      </c>
      <c r="H2418" s="1186">
        <v>39</v>
      </c>
    </row>
    <row r="2419" spans="1:8" x14ac:dyDescent="0.2">
      <c r="A2419" s="1186" t="s">
        <v>1419</v>
      </c>
      <c r="B2419" s="1186" t="s">
        <v>1432</v>
      </c>
      <c r="C2419" s="1186" t="s">
        <v>1985</v>
      </c>
      <c r="D2419" s="1186" t="s">
        <v>1984</v>
      </c>
      <c r="E2419" s="1186" t="s">
        <v>2035</v>
      </c>
      <c r="F2419" s="1186" t="s">
        <v>2034</v>
      </c>
      <c r="G2419" s="1186" t="s">
        <v>851</v>
      </c>
      <c r="H2419" s="1186">
        <v>33</v>
      </c>
    </row>
    <row r="2420" spans="1:8" x14ac:dyDescent="0.2">
      <c r="A2420" s="1186" t="s">
        <v>1419</v>
      </c>
      <c r="B2420" s="1186" t="s">
        <v>1432</v>
      </c>
      <c r="C2420" s="1186" t="s">
        <v>1985</v>
      </c>
      <c r="D2420" s="1186" t="s">
        <v>1984</v>
      </c>
      <c r="E2420" s="1186" t="s">
        <v>2035</v>
      </c>
      <c r="F2420" s="1186" t="s">
        <v>2034</v>
      </c>
      <c r="G2420" s="1186" t="s">
        <v>852</v>
      </c>
      <c r="H2420" s="1186">
        <v>40</v>
      </c>
    </row>
    <row r="2421" spans="1:8" x14ac:dyDescent="0.2">
      <c r="A2421" s="1186" t="s">
        <v>1419</v>
      </c>
      <c r="B2421" s="1186" t="s">
        <v>1433</v>
      </c>
      <c r="C2421" s="1186" t="s">
        <v>1985</v>
      </c>
      <c r="D2421" s="1186" t="s">
        <v>1986</v>
      </c>
      <c r="E2421" s="1186" t="s">
        <v>2031</v>
      </c>
      <c r="F2421" s="1186" t="s">
        <v>2032</v>
      </c>
      <c r="G2421" s="1186" t="s">
        <v>828</v>
      </c>
      <c r="H2421" s="1186">
        <v>2</v>
      </c>
    </row>
    <row r="2422" spans="1:8" x14ac:dyDescent="0.2">
      <c r="A2422" s="1186" t="s">
        <v>1419</v>
      </c>
      <c r="B2422" s="1186" t="s">
        <v>1433</v>
      </c>
      <c r="C2422" s="1186" t="s">
        <v>1985</v>
      </c>
      <c r="D2422" s="1186" t="s">
        <v>1986</v>
      </c>
      <c r="E2422" s="1186" t="s">
        <v>2031</v>
      </c>
      <c r="F2422" s="1186" t="s">
        <v>2032</v>
      </c>
      <c r="G2422" s="1186" t="s">
        <v>851</v>
      </c>
      <c r="H2422" s="1186">
        <v>1</v>
      </c>
    </row>
    <row r="2423" spans="1:8" x14ac:dyDescent="0.2">
      <c r="A2423" s="1186" t="s">
        <v>1419</v>
      </c>
      <c r="B2423" s="1186" t="s">
        <v>1433</v>
      </c>
      <c r="C2423" s="1186" t="s">
        <v>1985</v>
      </c>
      <c r="D2423" s="1186" t="s">
        <v>1986</v>
      </c>
      <c r="E2423" s="1186" t="s">
        <v>2031</v>
      </c>
      <c r="F2423" s="1186" t="s">
        <v>2033</v>
      </c>
      <c r="G2423" s="1186" t="s">
        <v>828</v>
      </c>
      <c r="H2423" s="1186">
        <v>84</v>
      </c>
    </row>
    <row r="2424" spans="1:8" x14ac:dyDescent="0.2">
      <c r="A2424" s="1186" t="s">
        <v>1419</v>
      </c>
      <c r="B2424" s="1186" t="s">
        <v>1433</v>
      </c>
      <c r="C2424" s="1186" t="s">
        <v>1985</v>
      </c>
      <c r="D2424" s="1186" t="s">
        <v>1986</v>
      </c>
      <c r="E2424" s="1186" t="s">
        <v>2031</v>
      </c>
      <c r="F2424" s="1186" t="s">
        <v>2033</v>
      </c>
      <c r="G2424" s="1186" t="s">
        <v>850</v>
      </c>
      <c r="H2424" s="1186">
        <v>2</v>
      </c>
    </row>
    <row r="2425" spans="1:8" x14ac:dyDescent="0.2">
      <c r="A2425" s="1186" t="s">
        <v>1419</v>
      </c>
      <c r="B2425" s="1186" t="s">
        <v>1433</v>
      </c>
      <c r="C2425" s="1186" t="s">
        <v>1985</v>
      </c>
      <c r="D2425" s="1186" t="s">
        <v>1986</v>
      </c>
      <c r="E2425" s="1186" t="s">
        <v>2031</v>
      </c>
      <c r="F2425" s="1186" t="s">
        <v>2033</v>
      </c>
      <c r="G2425" s="1186" t="s">
        <v>851</v>
      </c>
      <c r="H2425" s="1186">
        <v>2</v>
      </c>
    </row>
    <row r="2426" spans="1:8" x14ac:dyDescent="0.2">
      <c r="A2426" s="1186" t="s">
        <v>1419</v>
      </c>
      <c r="B2426" s="1186" t="s">
        <v>1433</v>
      </c>
      <c r="C2426" s="1186" t="s">
        <v>1985</v>
      </c>
      <c r="D2426" s="1186" t="s">
        <v>1986</v>
      </c>
      <c r="E2426" s="1186" t="s">
        <v>2031</v>
      </c>
      <c r="F2426" s="1186" t="s">
        <v>2034</v>
      </c>
      <c r="G2426" s="1186" t="s">
        <v>828</v>
      </c>
      <c r="H2426" s="1186">
        <v>25</v>
      </c>
    </row>
    <row r="2427" spans="1:8" x14ac:dyDescent="0.2">
      <c r="A2427" s="1186" t="s">
        <v>1419</v>
      </c>
      <c r="B2427" s="1186" t="s">
        <v>1433</v>
      </c>
      <c r="C2427" s="1186" t="s">
        <v>1985</v>
      </c>
      <c r="D2427" s="1186" t="s">
        <v>1986</v>
      </c>
      <c r="E2427" s="1186" t="s">
        <v>2035</v>
      </c>
      <c r="F2427" s="1186" t="s">
        <v>2032</v>
      </c>
      <c r="G2427" s="1186" t="s">
        <v>828</v>
      </c>
      <c r="H2427" s="1186">
        <v>16</v>
      </c>
    </row>
    <row r="2428" spans="1:8" x14ac:dyDescent="0.2">
      <c r="A2428" s="1186" t="s">
        <v>1419</v>
      </c>
      <c r="B2428" s="1186" t="s">
        <v>1433</v>
      </c>
      <c r="C2428" s="1186" t="s">
        <v>1985</v>
      </c>
      <c r="D2428" s="1186" t="s">
        <v>1986</v>
      </c>
      <c r="E2428" s="1186" t="s">
        <v>2035</v>
      </c>
      <c r="F2428" s="1186" t="s">
        <v>2032</v>
      </c>
      <c r="G2428" s="1186" t="s">
        <v>851</v>
      </c>
      <c r="H2428" s="1186">
        <v>7</v>
      </c>
    </row>
    <row r="2429" spans="1:8" x14ac:dyDescent="0.2">
      <c r="A2429" s="1186" t="s">
        <v>1419</v>
      </c>
      <c r="B2429" s="1186" t="s">
        <v>1433</v>
      </c>
      <c r="C2429" s="1186" t="s">
        <v>1985</v>
      </c>
      <c r="D2429" s="1186" t="s">
        <v>1986</v>
      </c>
      <c r="E2429" s="1186" t="s">
        <v>2035</v>
      </c>
      <c r="F2429" s="1186" t="s">
        <v>2032</v>
      </c>
      <c r="G2429" s="1186" t="s">
        <v>852</v>
      </c>
      <c r="H2429" s="1186">
        <v>4</v>
      </c>
    </row>
    <row r="2430" spans="1:8" x14ac:dyDescent="0.2">
      <c r="A2430" s="1186" t="s">
        <v>1419</v>
      </c>
      <c r="B2430" s="1186" t="s">
        <v>1433</v>
      </c>
      <c r="C2430" s="1186" t="s">
        <v>1985</v>
      </c>
      <c r="D2430" s="1186" t="s">
        <v>1986</v>
      </c>
      <c r="E2430" s="1186" t="s">
        <v>2035</v>
      </c>
      <c r="F2430" s="1186" t="s">
        <v>2033</v>
      </c>
      <c r="G2430" s="1186" t="s">
        <v>828</v>
      </c>
      <c r="H2430" s="1186">
        <v>72</v>
      </c>
    </row>
    <row r="2431" spans="1:8" x14ac:dyDescent="0.2">
      <c r="A2431" s="1186" t="s">
        <v>1419</v>
      </c>
      <c r="B2431" s="1186" t="s">
        <v>1433</v>
      </c>
      <c r="C2431" s="1186" t="s">
        <v>1985</v>
      </c>
      <c r="D2431" s="1186" t="s">
        <v>1986</v>
      </c>
      <c r="E2431" s="1186" t="s">
        <v>2035</v>
      </c>
      <c r="F2431" s="1186" t="s">
        <v>2033</v>
      </c>
      <c r="G2431" s="1186" t="s">
        <v>850</v>
      </c>
      <c r="H2431" s="1186">
        <v>8</v>
      </c>
    </row>
    <row r="2432" spans="1:8" x14ac:dyDescent="0.2">
      <c r="A2432" s="1186" t="s">
        <v>1419</v>
      </c>
      <c r="B2432" s="1186" t="s">
        <v>1433</v>
      </c>
      <c r="C2432" s="1186" t="s">
        <v>1985</v>
      </c>
      <c r="D2432" s="1186" t="s">
        <v>1986</v>
      </c>
      <c r="E2432" s="1186" t="s">
        <v>2035</v>
      </c>
      <c r="F2432" s="1186" t="s">
        <v>2033</v>
      </c>
      <c r="G2432" s="1186" t="s">
        <v>851</v>
      </c>
      <c r="H2432" s="1186">
        <v>152</v>
      </c>
    </row>
    <row r="2433" spans="1:8" x14ac:dyDescent="0.2">
      <c r="A2433" s="1186" t="s">
        <v>1419</v>
      </c>
      <c r="B2433" s="1186" t="s">
        <v>1433</v>
      </c>
      <c r="C2433" s="1186" t="s">
        <v>1985</v>
      </c>
      <c r="D2433" s="1186" t="s">
        <v>1986</v>
      </c>
      <c r="E2433" s="1186" t="s">
        <v>2035</v>
      </c>
      <c r="F2433" s="1186" t="s">
        <v>2033</v>
      </c>
      <c r="G2433" s="1186" t="s">
        <v>852</v>
      </c>
      <c r="H2433" s="1186">
        <v>16</v>
      </c>
    </row>
    <row r="2434" spans="1:8" x14ac:dyDescent="0.2">
      <c r="A2434" s="1186" t="s">
        <v>1419</v>
      </c>
      <c r="B2434" s="1186" t="s">
        <v>1433</v>
      </c>
      <c r="C2434" s="1186" t="s">
        <v>1985</v>
      </c>
      <c r="D2434" s="1186" t="s">
        <v>1986</v>
      </c>
      <c r="E2434" s="1186" t="s">
        <v>2035</v>
      </c>
      <c r="F2434" s="1186" t="s">
        <v>2034</v>
      </c>
      <c r="G2434" s="1186" t="s">
        <v>828</v>
      </c>
      <c r="H2434" s="1186">
        <v>105</v>
      </c>
    </row>
    <row r="2435" spans="1:8" x14ac:dyDescent="0.2">
      <c r="A2435" s="1186" t="s">
        <v>1419</v>
      </c>
      <c r="B2435" s="1186" t="s">
        <v>1433</v>
      </c>
      <c r="C2435" s="1186" t="s">
        <v>1985</v>
      </c>
      <c r="D2435" s="1186" t="s">
        <v>1986</v>
      </c>
      <c r="E2435" s="1186" t="s">
        <v>2035</v>
      </c>
      <c r="F2435" s="1186" t="s">
        <v>2034</v>
      </c>
      <c r="G2435" s="1186" t="s">
        <v>850</v>
      </c>
      <c r="H2435" s="1186">
        <v>46</v>
      </c>
    </row>
    <row r="2436" spans="1:8" x14ac:dyDescent="0.2">
      <c r="A2436" s="1186" t="s">
        <v>1419</v>
      </c>
      <c r="B2436" s="1186" t="s">
        <v>1433</v>
      </c>
      <c r="C2436" s="1186" t="s">
        <v>1985</v>
      </c>
      <c r="D2436" s="1186" t="s">
        <v>1986</v>
      </c>
      <c r="E2436" s="1186" t="s">
        <v>2035</v>
      </c>
      <c r="F2436" s="1186" t="s">
        <v>2034</v>
      </c>
      <c r="G2436" s="1186" t="s">
        <v>851</v>
      </c>
      <c r="H2436" s="1186">
        <v>56</v>
      </c>
    </row>
    <row r="2437" spans="1:8" x14ac:dyDescent="0.2">
      <c r="A2437" s="1186" t="s">
        <v>1419</v>
      </c>
      <c r="B2437" s="1186" t="s">
        <v>1433</v>
      </c>
      <c r="C2437" s="1186" t="s">
        <v>1985</v>
      </c>
      <c r="D2437" s="1186" t="s">
        <v>1986</v>
      </c>
      <c r="E2437" s="1186" t="s">
        <v>2035</v>
      </c>
      <c r="F2437" s="1186" t="s">
        <v>2034</v>
      </c>
      <c r="G2437" s="1186" t="s">
        <v>852</v>
      </c>
      <c r="H2437" s="1186">
        <v>27</v>
      </c>
    </row>
    <row r="2438" spans="1:8" x14ac:dyDescent="0.2">
      <c r="A2438" s="1186" t="s">
        <v>1419</v>
      </c>
      <c r="B2438" s="1186" t="s">
        <v>1434</v>
      </c>
      <c r="C2438" s="1186" t="s">
        <v>1985</v>
      </c>
      <c r="D2438" s="1186" t="s">
        <v>1986</v>
      </c>
      <c r="E2438" s="1186" t="s">
        <v>2031</v>
      </c>
      <c r="F2438" s="1186" t="s">
        <v>2032</v>
      </c>
      <c r="G2438" s="1186" t="s">
        <v>828</v>
      </c>
      <c r="H2438" s="1186">
        <v>1</v>
      </c>
    </row>
    <row r="2439" spans="1:8" x14ac:dyDescent="0.2">
      <c r="A2439" s="1186" t="s">
        <v>1419</v>
      </c>
      <c r="B2439" s="1186" t="s">
        <v>1434</v>
      </c>
      <c r="C2439" s="1186" t="s">
        <v>1985</v>
      </c>
      <c r="D2439" s="1186" t="s">
        <v>1986</v>
      </c>
      <c r="E2439" s="1186" t="s">
        <v>2031</v>
      </c>
      <c r="F2439" s="1186" t="s">
        <v>2033</v>
      </c>
      <c r="G2439" s="1186" t="s">
        <v>828</v>
      </c>
      <c r="H2439" s="1186">
        <v>82</v>
      </c>
    </row>
    <row r="2440" spans="1:8" x14ac:dyDescent="0.2">
      <c r="A2440" s="1186" t="s">
        <v>1419</v>
      </c>
      <c r="B2440" s="1186" t="s">
        <v>1434</v>
      </c>
      <c r="C2440" s="1186" t="s">
        <v>1985</v>
      </c>
      <c r="D2440" s="1186" t="s">
        <v>1986</v>
      </c>
      <c r="E2440" s="1186" t="s">
        <v>2031</v>
      </c>
      <c r="F2440" s="1186" t="s">
        <v>2033</v>
      </c>
      <c r="G2440" s="1186" t="s">
        <v>850</v>
      </c>
      <c r="H2440" s="1186">
        <v>12</v>
      </c>
    </row>
    <row r="2441" spans="1:8" x14ac:dyDescent="0.2">
      <c r="A2441" s="1186" t="s">
        <v>1419</v>
      </c>
      <c r="B2441" s="1186" t="s">
        <v>1434</v>
      </c>
      <c r="C2441" s="1186" t="s">
        <v>1985</v>
      </c>
      <c r="D2441" s="1186" t="s">
        <v>1986</v>
      </c>
      <c r="E2441" s="1186" t="s">
        <v>2031</v>
      </c>
      <c r="F2441" s="1186" t="s">
        <v>2033</v>
      </c>
      <c r="G2441" s="1186" t="s">
        <v>851</v>
      </c>
      <c r="H2441" s="1186">
        <v>6</v>
      </c>
    </row>
    <row r="2442" spans="1:8" x14ac:dyDescent="0.2">
      <c r="A2442" s="1186" t="s">
        <v>1419</v>
      </c>
      <c r="B2442" s="1186" t="s">
        <v>1434</v>
      </c>
      <c r="C2442" s="1186" t="s">
        <v>1985</v>
      </c>
      <c r="D2442" s="1186" t="s">
        <v>1986</v>
      </c>
      <c r="E2442" s="1186" t="s">
        <v>2031</v>
      </c>
      <c r="F2442" s="1186" t="s">
        <v>2033</v>
      </c>
      <c r="G2442" s="1186" t="s">
        <v>852</v>
      </c>
      <c r="H2442" s="1186">
        <v>1</v>
      </c>
    </row>
    <row r="2443" spans="1:8" x14ac:dyDescent="0.2">
      <c r="A2443" s="1186" t="s">
        <v>1419</v>
      </c>
      <c r="B2443" s="1186" t="s">
        <v>1434</v>
      </c>
      <c r="C2443" s="1186" t="s">
        <v>1985</v>
      </c>
      <c r="D2443" s="1186" t="s">
        <v>1986</v>
      </c>
      <c r="E2443" s="1186" t="s">
        <v>2031</v>
      </c>
      <c r="F2443" s="1186" t="s">
        <v>2034</v>
      </c>
      <c r="G2443" s="1186" t="s">
        <v>828</v>
      </c>
      <c r="H2443" s="1186">
        <v>13</v>
      </c>
    </row>
    <row r="2444" spans="1:8" x14ac:dyDescent="0.2">
      <c r="A2444" s="1186" t="s">
        <v>1419</v>
      </c>
      <c r="B2444" s="1186" t="s">
        <v>1434</v>
      </c>
      <c r="C2444" s="1186" t="s">
        <v>1985</v>
      </c>
      <c r="D2444" s="1186" t="s">
        <v>1986</v>
      </c>
      <c r="E2444" s="1186" t="s">
        <v>2031</v>
      </c>
      <c r="F2444" s="1186" t="s">
        <v>2034</v>
      </c>
      <c r="G2444" s="1186" t="s">
        <v>850</v>
      </c>
      <c r="H2444" s="1186">
        <v>1</v>
      </c>
    </row>
    <row r="2445" spans="1:8" x14ac:dyDescent="0.2">
      <c r="A2445" s="1186" t="s">
        <v>1419</v>
      </c>
      <c r="B2445" s="1186" t="s">
        <v>1434</v>
      </c>
      <c r="C2445" s="1186" t="s">
        <v>1985</v>
      </c>
      <c r="D2445" s="1186" t="s">
        <v>1986</v>
      </c>
      <c r="E2445" s="1186" t="s">
        <v>2035</v>
      </c>
      <c r="F2445" s="1186" t="s">
        <v>2032</v>
      </c>
      <c r="G2445" s="1186" t="s">
        <v>828</v>
      </c>
      <c r="H2445" s="1186">
        <v>28</v>
      </c>
    </row>
    <row r="2446" spans="1:8" x14ac:dyDescent="0.2">
      <c r="A2446" s="1186" t="s">
        <v>1419</v>
      </c>
      <c r="B2446" s="1186" t="s">
        <v>1434</v>
      </c>
      <c r="C2446" s="1186" t="s">
        <v>1985</v>
      </c>
      <c r="D2446" s="1186" t="s">
        <v>1986</v>
      </c>
      <c r="E2446" s="1186" t="s">
        <v>2035</v>
      </c>
      <c r="F2446" s="1186" t="s">
        <v>2032</v>
      </c>
      <c r="G2446" s="1186" t="s">
        <v>850</v>
      </c>
      <c r="H2446" s="1186">
        <v>3</v>
      </c>
    </row>
    <row r="2447" spans="1:8" x14ac:dyDescent="0.2">
      <c r="A2447" s="1186" t="s">
        <v>1419</v>
      </c>
      <c r="B2447" s="1186" t="s">
        <v>1434</v>
      </c>
      <c r="C2447" s="1186" t="s">
        <v>1985</v>
      </c>
      <c r="D2447" s="1186" t="s">
        <v>1986</v>
      </c>
      <c r="E2447" s="1186" t="s">
        <v>2035</v>
      </c>
      <c r="F2447" s="1186" t="s">
        <v>2032</v>
      </c>
      <c r="G2447" s="1186" t="s">
        <v>851</v>
      </c>
      <c r="H2447" s="1186">
        <v>7</v>
      </c>
    </row>
    <row r="2448" spans="1:8" x14ac:dyDescent="0.2">
      <c r="A2448" s="1186" t="s">
        <v>1419</v>
      </c>
      <c r="B2448" s="1186" t="s">
        <v>1434</v>
      </c>
      <c r="C2448" s="1186" t="s">
        <v>1985</v>
      </c>
      <c r="D2448" s="1186" t="s">
        <v>1986</v>
      </c>
      <c r="E2448" s="1186" t="s">
        <v>2035</v>
      </c>
      <c r="F2448" s="1186" t="s">
        <v>2032</v>
      </c>
      <c r="G2448" s="1186" t="s">
        <v>852</v>
      </c>
      <c r="H2448" s="1186">
        <v>13</v>
      </c>
    </row>
    <row r="2449" spans="1:8" x14ac:dyDescent="0.2">
      <c r="A2449" s="1186" t="s">
        <v>1419</v>
      </c>
      <c r="B2449" s="1186" t="s">
        <v>1434</v>
      </c>
      <c r="C2449" s="1186" t="s">
        <v>1985</v>
      </c>
      <c r="D2449" s="1186" t="s">
        <v>1986</v>
      </c>
      <c r="E2449" s="1186" t="s">
        <v>2035</v>
      </c>
      <c r="F2449" s="1186" t="s">
        <v>2033</v>
      </c>
      <c r="G2449" s="1186" t="s">
        <v>828</v>
      </c>
      <c r="H2449" s="1186">
        <v>108</v>
      </c>
    </row>
    <row r="2450" spans="1:8" x14ac:dyDescent="0.2">
      <c r="A2450" s="1186" t="s">
        <v>1419</v>
      </c>
      <c r="B2450" s="1186" t="s">
        <v>1434</v>
      </c>
      <c r="C2450" s="1186" t="s">
        <v>1985</v>
      </c>
      <c r="D2450" s="1186" t="s">
        <v>1986</v>
      </c>
      <c r="E2450" s="1186" t="s">
        <v>2035</v>
      </c>
      <c r="F2450" s="1186" t="s">
        <v>2033</v>
      </c>
      <c r="G2450" s="1186" t="s">
        <v>850</v>
      </c>
      <c r="H2450" s="1186">
        <v>12</v>
      </c>
    </row>
    <row r="2451" spans="1:8" x14ac:dyDescent="0.2">
      <c r="A2451" s="1186" t="s">
        <v>1419</v>
      </c>
      <c r="B2451" s="1186" t="s">
        <v>1434</v>
      </c>
      <c r="C2451" s="1186" t="s">
        <v>1985</v>
      </c>
      <c r="D2451" s="1186" t="s">
        <v>1986</v>
      </c>
      <c r="E2451" s="1186" t="s">
        <v>2035</v>
      </c>
      <c r="F2451" s="1186" t="s">
        <v>2033</v>
      </c>
      <c r="G2451" s="1186" t="s">
        <v>851</v>
      </c>
      <c r="H2451" s="1186">
        <v>148</v>
      </c>
    </row>
    <row r="2452" spans="1:8" x14ac:dyDescent="0.2">
      <c r="A2452" s="1186" t="s">
        <v>1419</v>
      </c>
      <c r="B2452" s="1186" t="s">
        <v>1434</v>
      </c>
      <c r="C2452" s="1186" t="s">
        <v>1985</v>
      </c>
      <c r="D2452" s="1186" t="s">
        <v>1986</v>
      </c>
      <c r="E2452" s="1186" t="s">
        <v>2035</v>
      </c>
      <c r="F2452" s="1186" t="s">
        <v>2033</v>
      </c>
      <c r="G2452" s="1186" t="s">
        <v>852</v>
      </c>
      <c r="H2452" s="1186">
        <v>17</v>
      </c>
    </row>
    <row r="2453" spans="1:8" x14ac:dyDescent="0.2">
      <c r="A2453" s="1186" t="s">
        <v>1419</v>
      </c>
      <c r="B2453" s="1186" t="s">
        <v>1434</v>
      </c>
      <c r="C2453" s="1186" t="s">
        <v>1985</v>
      </c>
      <c r="D2453" s="1186" t="s">
        <v>1986</v>
      </c>
      <c r="E2453" s="1186" t="s">
        <v>2035</v>
      </c>
      <c r="F2453" s="1186" t="s">
        <v>2034</v>
      </c>
      <c r="G2453" s="1186" t="s">
        <v>828</v>
      </c>
      <c r="H2453" s="1186">
        <v>103</v>
      </c>
    </row>
    <row r="2454" spans="1:8" x14ac:dyDescent="0.2">
      <c r="A2454" s="1186" t="s">
        <v>1419</v>
      </c>
      <c r="B2454" s="1186" t="s">
        <v>1434</v>
      </c>
      <c r="C2454" s="1186" t="s">
        <v>1985</v>
      </c>
      <c r="D2454" s="1186" t="s">
        <v>1986</v>
      </c>
      <c r="E2454" s="1186" t="s">
        <v>2035</v>
      </c>
      <c r="F2454" s="1186" t="s">
        <v>2034</v>
      </c>
      <c r="G2454" s="1186" t="s">
        <v>850</v>
      </c>
      <c r="H2454" s="1186">
        <v>50</v>
      </c>
    </row>
    <row r="2455" spans="1:8" x14ac:dyDescent="0.2">
      <c r="A2455" s="1186" t="s">
        <v>1419</v>
      </c>
      <c r="B2455" s="1186" t="s">
        <v>1434</v>
      </c>
      <c r="C2455" s="1186" t="s">
        <v>1985</v>
      </c>
      <c r="D2455" s="1186" t="s">
        <v>1986</v>
      </c>
      <c r="E2455" s="1186" t="s">
        <v>2035</v>
      </c>
      <c r="F2455" s="1186" t="s">
        <v>2034</v>
      </c>
      <c r="G2455" s="1186" t="s">
        <v>851</v>
      </c>
      <c r="H2455" s="1186">
        <v>33</v>
      </c>
    </row>
    <row r="2456" spans="1:8" x14ac:dyDescent="0.2">
      <c r="A2456" s="1186" t="s">
        <v>1419</v>
      </c>
      <c r="B2456" s="1186" t="s">
        <v>1434</v>
      </c>
      <c r="C2456" s="1186" t="s">
        <v>1985</v>
      </c>
      <c r="D2456" s="1186" t="s">
        <v>1986</v>
      </c>
      <c r="E2456" s="1186" t="s">
        <v>2035</v>
      </c>
      <c r="F2456" s="1186" t="s">
        <v>2034</v>
      </c>
      <c r="G2456" s="1186" t="s">
        <v>852</v>
      </c>
      <c r="H2456" s="1186">
        <v>14</v>
      </c>
    </row>
    <row r="2457" spans="1:8" x14ac:dyDescent="0.2">
      <c r="A2457" s="1186" t="s">
        <v>1419</v>
      </c>
      <c r="B2457" s="1186" t="s">
        <v>1435</v>
      </c>
      <c r="C2457" s="1186" t="s">
        <v>1987</v>
      </c>
      <c r="D2457" s="1186" t="s">
        <v>1986</v>
      </c>
      <c r="E2457" s="1186" t="s">
        <v>2031</v>
      </c>
      <c r="F2457" s="1186" t="s">
        <v>2032</v>
      </c>
      <c r="G2457" s="1186" t="s">
        <v>828</v>
      </c>
      <c r="H2457" s="1186">
        <v>4</v>
      </c>
    </row>
    <row r="2458" spans="1:8" x14ac:dyDescent="0.2">
      <c r="A2458" s="1186" t="s">
        <v>1419</v>
      </c>
      <c r="B2458" s="1186" t="s">
        <v>1435</v>
      </c>
      <c r="C2458" s="1186" t="s">
        <v>1987</v>
      </c>
      <c r="D2458" s="1186" t="s">
        <v>1986</v>
      </c>
      <c r="E2458" s="1186" t="s">
        <v>2031</v>
      </c>
      <c r="F2458" s="1186" t="s">
        <v>2032</v>
      </c>
      <c r="G2458" s="1186" t="s">
        <v>850</v>
      </c>
      <c r="H2458" s="1186">
        <v>1</v>
      </c>
    </row>
    <row r="2459" spans="1:8" x14ac:dyDescent="0.2">
      <c r="A2459" s="1186" t="s">
        <v>1419</v>
      </c>
      <c r="B2459" s="1186" t="s">
        <v>1435</v>
      </c>
      <c r="C2459" s="1186" t="s">
        <v>1987</v>
      </c>
      <c r="D2459" s="1186" t="s">
        <v>1986</v>
      </c>
      <c r="E2459" s="1186" t="s">
        <v>2031</v>
      </c>
      <c r="F2459" s="1186" t="s">
        <v>2033</v>
      </c>
      <c r="G2459" s="1186" t="s">
        <v>828</v>
      </c>
      <c r="H2459" s="1186">
        <v>112</v>
      </c>
    </row>
    <row r="2460" spans="1:8" x14ac:dyDescent="0.2">
      <c r="A2460" s="1186" t="s">
        <v>1419</v>
      </c>
      <c r="B2460" s="1186" t="s">
        <v>1435</v>
      </c>
      <c r="C2460" s="1186" t="s">
        <v>1987</v>
      </c>
      <c r="D2460" s="1186" t="s">
        <v>1986</v>
      </c>
      <c r="E2460" s="1186" t="s">
        <v>2031</v>
      </c>
      <c r="F2460" s="1186" t="s">
        <v>2033</v>
      </c>
      <c r="G2460" s="1186" t="s">
        <v>850</v>
      </c>
      <c r="H2460" s="1186">
        <v>3</v>
      </c>
    </row>
    <row r="2461" spans="1:8" x14ac:dyDescent="0.2">
      <c r="A2461" s="1186" t="s">
        <v>1419</v>
      </c>
      <c r="B2461" s="1186" t="s">
        <v>1435</v>
      </c>
      <c r="C2461" s="1186" t="s">
        <v>1987</v>
      </c>
      <c r="D2461" s="1186" t="s">
        <v>1986</v>
      </c>
      <c r="E2461" s="1186" t="s">
        <v>2031</v>
      </c>
      <c r="F2461" s="1186" t="s">
        <v>2033</v>
      </c>
      <c r="G2461" s="1186" t="s">
        <v>851</v>
      </c>
      <c r="H2461" s="1186">
        <v>2</v>
      </c>
    </row>
    <row r="2462" spans="1:8" x14ac:dyDescent="0.2">
      <c r="A2462" s="1186" t="s">
        <v>1419</v>
      </c>
      <c r="B2462" s="1186" t="s">
        <v>1435</v>
      </c>
      <c r="C2462" s="1186" t="s">
        <v>1987</v>
      </c>
      <c r="D2462" s="1186" t="s">
        <v>1986</v>
      </c>
      <c r="E2462" s="1186" t="s">
        <v>2031</v>
      </c>
      <c r="F2462" s="1186" t="s">
        <v>2033</v>
      </c>
      <c r="G2462" s="1186" t="s">
        <v>852</v>
      </c>
      <c r="H2462" s="1186">
        <v>1</v>
      </c>
    </row>
    <row r="2463" spans="1:8" x14ac:dyDescent="0.2">
      <c r="A2463" s="1186" t="s">
        <v>1419</v>
      </c>
      <c r="B2463" s="1186" t="s">
        <v>1435</v>
      </c>
      <c r="C2463" s="1186" t="s">
        <v>1987</v>
      </c>
      <c r="D2463" s="1186" t="s">
        <v>1986</v>
      </c>
      <c r="E2463" s="1186" t="s">
        <v>2031</v>
      </c>
      <c r="F2463" s="1186" t="s">
        <v>2034</v>
      </c>
      <c r="G2463" s="1186" t="s">
        <v>828</v>
      </c>
      <c r="H2463" s="1186">
        <v>9</v>
      </c>
    </row>
    <row r="2464" spans="1:8" x14ac:dyDescent="0.2">
      <c r="A2464" s="1186" t="s">
        <v>1419</v>
      </c>
      <c r="B2464" s="1186" t="s">
        <v>1435</v>
      </c>
      <c r="C2464" s="1186" t="s">
        <v>1987</v>
      </c>
      <c r="D2464" s="1186" t="s">
        <v>1986</v>
      </c>
      <c r="E2464" s="1186" t="s">
        <v>2035</v>
      </c>
      <c r="F2464" s="1186" t="s">
        <v>2032</v>
      </c>
      <c r="G2464" s="1186" t="s">
        <v>828</v>
      </c>
      <c r="H2464" s="1186">
        <v>27</v>
      </c>
    </row>
    <row r="2465" spans="1:8" x14ac:dyDescent="0.2">
      <c r="A2465" s="1186" t="s">
        <v>1419</v>
      </c>
      <c r="B2465" s="1186" t="s">
        <v>1435</v>
      </c>
      <c r="C2465" s="1186" t="s">
        <v>1987</v>
      </c>
      <c r="D2465" s="1186" t="s">
        <v>1986</v>
      </c>
      <c r="E2465" s="1186" t="s">
        <v>2035</v>
      </c>
      <c r="F2465" s="1186" t="s">
        <v>2032</v>
      </c>
      <c r="G2465" s="1186" t="s">
        <v>850</v>
      </c>
      <c r="H2465" s="1186">
        <v>2</v>
      </c>
    </row>
    <row r="2466" spans="1:8" x14ac:dyDescent="0.2">
      <c r="A2466" s="1186" t="s">
        <v>1419</v>
      </c>
      <c r="B2466" s="1186" t="s">
        <v>1435</v>
      </c>
      <c r="C2466" s="1186" t="s">
        <v>1987</v>
      </c>
      <c r="D2466" s="1186" t="s">
        <v>1986</v>
      </c>
      <c r="E2466" s="1186" t="s">
        <v>2035</v>
      </c>
      <c r="F2466" s="1186" t="s">
        <v>2032</v>
      </c>
      <c r="G2466" s="1186" t="s">
        <v>851</v>
      </c>
      <c r="H2466" s="1186">
        <v>4</v>
      </c>
    </row>
    <row r="2467" spans="1:8" x14ac:dyDescent="0.2">
      <c r="A2467" s="1186" t="s">
        <v>1419</v>
      </c>
      <c r="B2467" s="1186" t="s">
        <v>1435</v>
      </c>
      <c r="C2467" s="1186" t="s">
        <v>1987</v>
      </c>
      <c r="D2467" s="1186" t="s">
        <v>1986</v>
      </c>
      <c r="E2467" s="1186" t="s">
        <v>2035</v>
      </c>
      <c r="F2467" s="1186" t="s">
        <v>2032</v>
      </c>
      <c r="G2467" s="1186" t="s">
        <v>852</v>
      </c>
      <c r="H2467" s="1186">
        <v>9</v>
      </c>
    </row>
    <row r="2468" spans="1:8" x14ac:dyDescent="0.2">
      <c r="A2468" s="1186" t="s">
        <v>1419</v>
      </c>
      <c r="B2468" s="1186" t="s">
        <v>1435</v>
      </c>
      <c r="C2468" s="1186" t="s">
        <v>1987</v>
      </c>
      <c r="D2468" s="1186" t="s">
        <v>1986</v>
      </c>
      <c r="E2468" s="1186" t="s">
        <v>2035</v>
      </c>
      <c r="F2468" s="1186" t="s">
        <v>2033</v>
      </c>
      <c r="G2468" s="1186" t="s">
        <v>828</v>
      </c>
      <c r="H2468" s="1186">
        <v>155</v>
      </c>
    </row>
    <row r="2469" spans="1:8" x14ac:dyDescent="0.2">
      <c r="A2469" s="1186" t="s">
        <v>1419</v>
      </c>
      <c r="B2469" s="1186" t="s">
        <v>1435</v>
      </c>
      <c r="C2469" s="1186" t="s">
        <v>1987</v>
      </c>
      <c r="D2469" s="1186" t="s">
        <v>1986</v>
      </c>
      <c r="E2469" s="1186" t="s">
        <v>2035</v>
      </c>
      <c r="F2469" s="1186" t="s">
        <v>2033</v>
      </c>
      <c r="G2469" s="1186" t="s">
        <v>850</v>
      </c>
      <c r="H2469" s="1186">
        <v>18</v>
      </c>
    </row>
    <row r="2470" spans="1:8" x14ac:dyDescent="0.2">
      <c r="A2470" s="1186" t="s">
        <v>1419</v>
      </c>
      <c r="B2470" s="1186" t="s">
        <v>1435</v>
      </c>
      <c r="C2470" s="1186" t="s">
        <v>1987</v>
      </c>
      <c r="D2470" s="1186" t="s">
        <v>1986</v>
      </c>
      <c r="E2470" s="1186" t="s">
        <v>2035</v>
      </c>
      <c r="F2470" s="1186" t="s">
        <v>2033</v>
      </c>
      <c r="G2470" s="1186" t="s">
        <v>851</v>
      </c>
      <c r="H2470" s="1186">
        <v>176</v>
      </c>
    </row>
    <row r="2471" spans="1:8" x14ac:dyDescent="0.2">
      <c r="A2471" s="1186" t="s">
        <v>1419</v>
      </c>
      <c r="B2471" s="1186" t="s">
        <v>1435</v>
      </c>
      <c r="C2471" s="1186" t="s">
        <v>1987</v>
      </c>
      <c r="D2471" s="1186" t="s">
        <v>1986</v>
      </c>
      <c r="E2471" s="1186" t="s">
        <v>2035</v>
      </c>
      <c r="F2471" s="1186" t="s">
        <v>2033</v>
      </c>
      <c r="G2471" s="1186" t="s">
        <v>852</v>
      </c>
      <c r="H2471" s="1186">
        <v>24</v>
      </c>
    </row>
    <row r="2472" spans="1:8" x14ac:dyDescent="0.2">
      <c r="A2472" s="1186" t="s">
        <v>1419</v>
      </c>
      <c r="B2472" s="1186" t="s">
        <v>1435</v>
      </c>
      <c r="C2472" s="1186" t="s">
        <v>1987</v>
      </c>
      <c r="D2472" s="1186" t="s">
        <v>1986</v>
      </c>
      <c r="E2472" s="1186" t="s">
        <v>2035</v>
      </c>
      <c r="F2472" s="1186" t="s">
        <v>2034</v>
      </c>
      <c r="G2472" s="1186" t="s">
        <v>828</v>
      </c>
      <c r="H2472" s="1186">
        <v>133</v>
      </c>
    </row>
    <row r="2473" spans="1:8" x14ac:dyDescent="0.2">
      <c r="A2473" s="1186" t="s">
        <v>1419</v>
      </c>
      <c r="B2473" s="1186" t="s">
        <v>1435</v>
      </c>
      <c r="C2473" s="1186" t="s">
        <v>1987</v>
      </c>
      <c r="D2473" s="1186" t="s">
        <v>1986</v>
      </c>
      <c r="E2473" s="1186" t="s">
        <v>2035</v>
      </c>
      <c r="F2473" s="1186" t="s">
        <v>2034</v>
      </c>
      <c r="G2473" s="1186" t="s">
        <v>850</v>
      </c>
      <c r="H2473" s="1186">
        <v>54</v>
      </c>
    </row>
    <row r="2474" spans="1:8" x14ac:dyDescent="0.2">
      <c r="A2474" s="1186" t="s">
        <v>1419</v>
      </c>
      <c r="B2474" s="1186" t="s">
        <v>1435</v>
      </c>
      <c r="C2474" s="1186" t="s">
        <v>1987</v>
      </c>
      <c r="D2474" s="1186" t="s">
        <v>1986</v>
      </c>
      <c r="E2474" s="1186" t="s">
        <v>2035</v>
      </c>
      <c r="F2474" s="1186" t="s">
        <v>2034</v>
      </c>
      <c r="G2474" s="1186" t="s">
        <v>851</v>
      </c>
      <c r="H2474" s="1186">
        <v>46</v>
      </c>
    </row>
    <row r="2475" spans="1:8" x14ac:dyDescent="0.2">
      <c r="A2475" s="1186" t="s">
        <v>1419</v>
      </c>
      <c r="B2475" s="1186" t="s">
        <v>1435</v>
      </c>
      <c r="C2475" s="1186" t="s">
        <v>1987</v>
      </c>
      <c r="D2475" s="1186" t="s">
        <v>1986</v>
      </c>
      <c r="E2475" s="1186" t="s">
        <v>2035</v>
      </c>
      <c r="F2475" s="1186" t="s">
        <v>2034</v>
      </c>
      <c r="G2475" s="1186" t="s">
        <v>852</v>
      </c>
      <c r="H2475" s="1186">
        <v>19</v>
      </c>
    </row>
    <row r="2476" spans="1:8" x14ac:dyDescent="0.2">
      <c r="A2476" s="1186" t="s">
        <v>1419</v>
      </c>
      <c r="B2476" s="1186" t="s">
        <v>1436</v>
      </c>
      <c r="C2476" s="1186" t="s">
        <v>1987</v>
      </c>
      <c r="D2476" s="1186" t="s">
        <v>1988</v>
      </c>
      <c r="E2476" s="1186" t="s">
        <v>2031</v>
      </c>
      <c r="F2476" s="1186" t="s">
        <v>2032</v>
      </c>
      <c r="G2476" s="1186" t="s">
        <v>828</v>
      </c>
      <c r="H2476" s="1186">
        <v>3</v>
      </c>
    </row>
    <row r="2477" spans="1:8" x14ac:dyDescent="0.2">
      <c r="A2477" s="1186" t="s">
        <v>1419</v>
      </c>
      <c r="B2477" s="1186" t="s">
        <v>1436</v>
      </c>
      <c r="C2477" s="1186" t="s">
        <v>1987</v>
      </c>
      <c r="D2477" s="1186" t="s">
        <v>1988</v>
      </c>
      <c r="E2477" s="1186" t="s">
        <v>2031</v>
      </c>
      <c r="F2477" s="1186" t="s">
        <v>2033</v>
      </c>
      <c r="G2477" s="1186" t="s">
        <v>828</v>
      </c>
      <c r="H2477" s="1186">
        <v>84</v>
      </c>
    </row>
    <row r="2478" spans="1:8" x14ac:dyDescent="0.2">
      <c r="A2478" s="1186" t="s">
        <v>1419</v>
      </c>
      <c r="B2478" s="1186" t="s">
        <v>1436</v>
      </c>
      <c r="C2478" s="1186" t="s">
        <v>1987</v>
      </c>
      <c r="D2478" s="1186" t="s">
        <v>1988</v>
      </c>
      <c r="E2478" s="1186" t="s">
        <v>2031</v>
      </c>
      <c r="F2478" s="1186" t="s">
        <v>2033</v>
      </c>
      <c r="G2478" s="1186" t="s">
        <v>850</v>
      </c>
      <c r="H2478" s="1186">
        <v>11</v>
      </c>
    </row>
    <row r="2479" spans="1:8" x14ac:dyDescent="0.2">
      <c r="A2479" s="1186" t="s">
        <v>1419</v>
      </c>
      <c r="B2479" s="1186" t="s">
        <v>1436</v>
      </c>
      <c r="C2479" s="1186" t="s">
        <v>1987</v>
      </c>
      <c r="D2479" s="1186" t="s">
        <v>1988</v>
      </c>
      <c r="E2479" s="1186" t="s">
        <v>2031</v>
      </c>
      <c r="F2479" s="1186" t="s">
        <v>2033</v>
      </c>
      <c r="G2479" s="1186" t="s">
        <v>851</v>
      </c>
      <c r="H2479" s="1186">
        <v>1</v>
      </c>
    </row>
    <row r="2480" spans="1:8" x14ac:dyDescent="0.2">
      <c r="A2480" s="1186" t="s">
        <v>1419</v>
      </c>
      <c r="B2480" s="1186" t="s">
        <v>1436</v>
      </c>
      <c r="C2480" s="1186" t="s">
        <v>1987</v>
      </c>
      <c r="D2480" s="1186" t="s">
        <v>1988</v>
      </c>
      <c r="E2480" s="1186" t="s">
        <v>2031</v>
      </c>
      <c r="F2480" s="1186" t="s">
        <v>2033</v>
      </c>
      <c r="G2480" s="1186" t="s">
        <v>852</v>
      </c>
      <c r="H2480" s="1186">
        <v>2</v>
      </c>
    </row>
    <row r="2481" spans="1:8" x14ac:dyDescent="0.2">
      <c r="A2481" s="1186" t="s">
        <v>1419</v>
      </c>
      <c r="B2481" s="1186" t="s">
        <v>1436</v>
      </c>
      <c r="C2481" s="1186" t="s">
        <v>1987</v>
      </c>
      <c r="D2481" s="1186" t="s">
        <v>1988</v>
      </c>
      <c r="E2481" s="1186" t="s">
        <v>2031</v>
      </c>
      <c r="F2481" s="1186" t="s">
        <v>2034</v>
      </c>
      <c r="G2481" s="1186" t="s">
        <v>828</v>
      </c>
      <c r="H2481" s="1186">
        <v>1</v>
      </c>
    </row>
    <row r="2482" spans="1:8" x14ac:dyDescent="0.2">
      <c r="A2482" s="1186" t="s">
        <v>1419</v>
      </c>
      <c r="B2482" s="1186" t="s">
        <v>1436</v>
      </c>
      <c r="C2482" s="1186" t="s">
        <v>1987</v>
      </c>
      <c r="D2482" s="1186" t="s">
        <v>1988</v>
      </c>
      <c r="E2482" s="1186" t="s">
        <v>2031</v>
      </c>
      <c r="F2482" s="1186" t="s">
        <v>2034</v>
      </c>
      <c r="G2482" s="1186" t="s">
        <v>850</v>
      </c>
      <c r="H2482" s="1186">
        <v>1</v>
      </c>
    </row>
    <row r="2483" spans="1:8" x14ac:dyDescent="0.2">
      <c r="A2483" s="1186" t="s">
        <v>1419</v>
      </c>
      <c r="B2483" s="1186" t="s">
        <v>1436</v>
      </c>
      <c r="C2483" s="1186" t="s">
        <v>1987</v>
      </c>
      <c r="D2483" s="1186" t="s">
        <v>1988</v>
      </c>
      <c r="E2483" s="1186" t="s">
        <v>2031</v>
      </c>
      <c r="F2483" s="1186" t="s">
        <v>2034</v>
      </c>
      <c r="G2483" s="1186" t="s">
        <v>851</v>
      </c>
      <c r="H2483" s="1186">
        <v>1</v>
      </c>
    </row>
    <row r="2484" spans="1:8" x14ac:dyDescent="0.2">
      <c r="A2484" s="1186" t="s">
        <v>1419</v>
      </c>
      <c r="B2484" s="1186" t="s">
        <v>1436</v>
      </c>
      <c r="C2484" s="1186" t="s">
        <v>1987</v>
      </c>
      <c r="D2484" s="1186" t="s">
        <v>1988</v>
      </c>
      <c r="E2484" s="1186" t="s">
        <v>2035</v>
      </c>
      <c r="F2484" s="1186" t="s">
        <v>2032</v>
      </c>
      <c r="G2484" s="1186" t="s">
        <v>828</v>
      </c>
      <c r="H2484" s="1186">
        <v>25</v>
      </c>
    </row>
    <row r="2485" spans="1:8" x14ac:dyDescent="0.2">
      <c r="A2485" s="1186" t="s">
        <v>1419</v>
      </c>
      <c r="B2485" s="1186" t="s">
        <v>1436</v>
      </c>
      <c r="C2485" s="1186" t="s">
        <v>1987</v>
      </c>
      <c r="D2485" s="1186" t="s">
        <v>1988</v>
      </c>
      <c r="E2485" s="1186" t="s">
        <v>2035</v>
      </c>
      <c r="F2485" s="1186" t="s">
        <v>2032</v>
      </c>
      <c r="G2485" s="1186" t="s">
        <v>851</v>
      </c>
      <c r="H2485" s="1186">
        <v>10</v>
      </c>
    </row>
    <row r="2486" spans="1:8" x14ac:dyDescent="0.2">
      <c r="A2486" s="1186" t="s">
        <v>1419</v>
      </c>
      <c r="B2486" s="1186" t="s">
        <v>1436</v>
      </c>
      <c r="C2486" s="1186" t="s">
        <v>1987</v>
      </c>
      <c r="D2486" s="1186" t="s">
        <v>1988</v>
      </c>
      <c r="E2486" s="1186" t="s">
        <v>2035</v>
      </c>
      <c r="F2486" s="1186" t="s">
        <v>2032</v>
      </c>
      <c r="G2486" s="1186" t="s">
        <v>852</v>
      </c>
      <c r="H2486" s="1186">
        <v>5</v>
      </c>
    </row>
    <row r="2487" spans="1:8" x14ac:dyDescent="0.2">
      <c r="A2487" s="1186" t="s">
        <v>1419</v>
      </c>
      <c r="B2487" s="1186" t="s">
        <v>1436</v>
      </c>
      <c r="C2487" s="1186" t="s">
        <v>1987</v>
      </c>
      <c r="D2487" s="1186" t="s">
        <v>1988</v>
      </c>
      <c r="E2487" s="1186" t="s">
        <v>2035</v>
      </c>
      <c r="F2487" s="1186" t="s">
        <v>2033</v>
      </c>
      <c r="G2487" s="1186" t="s">
        <v>828</v>
      </c>
      <c r="H2487" s="1186">
        <v>106</v>
      </c>
    </row>
    <row r="2488" spans="1:8" x14ac:dyDescent="0.2">
      <c r="A2488" s="1186" t="s">
        <v>1419</v>
      </c>
      <c r="B2488" s="1186" t="s">
        <v>1436</v>
      </c>
      <c r="C2488" s="1186" t="s">
        <v>1987</v>
      </c>
      <c r="D2488" s="1186" t="s">
        <v>1988</v>
      </c>
      <c r="E2488" s="1186" t="s">
        <v>2035</v>
      </c>
      <c r="F2488" s="1186" t="s">
        <v>2033</v>
      </c>
      <c r="G2488" s="1186" t="s">
        <v>850</v>
      </c>
      <c r="H2488" s="1186">
        <v>13</v>
      </c>
    </row>
    <row r="2489" spans="1:8" x14ac:dyDescent="0.2">
      <c r="A2489" s="1186" t="s">
        <v>1419</v>
      </c>
      <c r="B2489" s="1186" t="s">
        <v>1436</v>
      </c>
      <c r="C2489" s="1186" t="s">
        <v>1987</v>
      </c>
      <c r="D2489" s="1186" t="s">
        <v>1988</v>
      </c>
      <c r="E2489" s="1186" t="s">
        <v>2035</v>
      </c>
      <c r="F2489" s="1186" t="s">
        <v>2033</v>
      </c>
      <c r="G2489" s="1186" t="s">
        <v>851</v>
      </c>
      <c r="H2489" s="1186">
        <v>137</v>
      </c>
    </row>
    <row r="2490" spans="1:8" x14ac:dyDescent="0.2">
      <c r="A2490" s="1186" t="s">
        <v>1419</v>
      </c>
      <c r="B2490" s="1186" t="s">
        <v>1436</v>
      </c>
      <c r="C2490" s="1186" t="s">
        <v>1987</v>
      </c>
      <c r="D2490" s="1186" t="s">
        <v>1988</v>
      </c>
      <c r="E2490" s="1186" t="s">
        <v>2035</v>
      </c>
      <c r="F2490" s="1186" t="s">
        <v>2033</v>
      </c>
      <c r="G2490" s="1186" t="s">
        <v>852</v>
      </c>
      <c r="H2490" s="1186">
        <v>16</v>
      </c>
    </row>
    <row r="2491" spans="1:8" x14ac:dyDescent="0.2">
      <c r="A2491" s="1186" t="s">
        <v>1419</v>
      </c>
      <c r="B2491" s="1186" t="s">
        <v>1436</v>
      </c>
      <c r="C2491" s="1186" t="s">
        <v>1987</v>
      </c>
      <c r="D2491" s="1186" t="s">
        <v>1988</v>
      </c>
      <c r="E2491" s="1186" t="s">
        <v>2035</v>
      </c>
      <c r="F2491" s="1186" t="s">
        <v>2034</v>
      </c>
      <c r="G2491" s="1186" t="s">
        <v>828</v>
      </c>
      <c r="H2491" s="1186">
        <v>105</v>
      </c>
    </row>
    <row r="2492" spans="1:8" x14ac:dyDescent="0.2">
      <c r="A2492" s="1186" t="s">
        <v>1419</v>
      </c>
      <c r="B2492" s="1186" t="s">
        <v>1436</v>
      </c>
      <c r="C2492" s="1186" t="s">
        <v>1987</v>
      </c>
      <c r="D2492" s="1186" t="s">
        <v>1988</v>
      </c>
      <c r="E2492" s="1186" t="s">
        <v>2035</v>
      </c>
      <c r="F2492" s="1186" t="s">
        <v>2034</v>
      </c>
      <c r="G2492" s="1186" t="s">
        <v>850</v>
      </c>
      <c r="H2492" s="1186">
        <v>32</v>
      </c>
    </row>
    <row r="2493" spans="1:8" x14ac:dyDescent="0.2">
      <c r="A2493" s="1186" t="s">
        <v>1419</v>
      </c>
      <c r="B2493" s="1186" t="s">
        <v>1436</v>
      </c>
      <c r="C2493" s="1186" t="s">
        <v>1987</v>
      </c>
      <c r="D2493" s="1186" t="s">
        <v>1988</v>
      </c>
      <c r="E2493" s="1186" t="s">
        <v>2035</v>
      </c>
      <c r="F2493" s="1186" t="s">
        <v>2034</v>
      </c>
      <c r="G2493" s="1186" t="s">
        <v>851</v>
      </c>
      <c r="H2493" s="1186">
        <v>26</v>
      </c>
    </row>
    <row r="2494" spans="1:8" x14ac:dyDescent="0.2">
      <c r="A2494" s="1186" t="s">
        <v>1419</v>
      </c>
      <c r="B2494" s="1186" t="s">
        <v>1436</v>
      </c>
      <c r="C2494" s="1186" t="s">
        <v>1987</v>
      </c>
      <c r="D2494" s="1186" t="s">
        <v>1988</v>
      </c>
      <c r="E2494" s="1186" t="s">
        <v>2035</v>
      </c>
      <c r="F2494" s="1186" t="s">
        <v>2034</v>
      </c>
      <c r="G2494" s="1186" t="s">
        <v>852</v>
      </c>
      <c r="H2494" s="1186">
        <v>13</v>
      </c>
    </row>
    <row r="2495" spans="1:8" x14ac:dyDescent="0.2">
      <c r="A2495" s="1186" t="s">
        <v>1419</v>
      </c>
      <c r="B2495" s="1186" t="s">
        <v>1437</v>
      </c>
      <c r="C2495" s="1186" t="s">
        <v>1987</v>
      </c>
      <c r="D2495" s="1186" t="s">
        <v>1988</v>
      </c>
      <c r="E2495" s="1186" t="s">
        <v>2031</v>
      </c>
      <c r="F2495" s="1186" t="s">
        <v>2032</v>
      </c>
      <c r="G2495" s="1186" t="s">
        <v>828</v>
      </c>
      <c r="H2495" s="1186">
        <v>1</v>
      </c>
    </row>
    <row r="2496" spans="1:8" x14ac:dyDescent="0.2">
      <c r="A2496" s="1186" t="s">
        <v>1419</v>
      </c>
      <c r="B2496" s="1186" t="s">
        <v>1437</v>
      </c>
      <c r="C2496" s="1186" t="s">
        <v>1987</v>
      </c>
      <c r="D2496" s="1186" t="s">
        <v>1988</v>
      </c>
      <c r="E2496" s="1186" t="s">
        <v>2031</v>
      </c>
      <c r="F2496" s="1186" t="s">
        <v>2033</v>
      </c>
      <c r="G2496" s="1186" t="s">
        <v>828</v>
      </c>
      <c r="H2496" s="1186">
        <v>86</v>
      </c>
    </row>
    <row r="2497" spans="1:8" x14ac:dyDescent="0.2">
      <c r="A2497" s="1186" t="s">
        <v>1419</v>
      </c>
      <c r="B2497" s="1186" t="s">
        <v>1437</v>
      </c>
      <c r="C2497" s="1186" t="s">
        <v>1987</v>
      </c>
      <c r="D2497" s="1186" t="s">
        <v>1988</v>
      </c>
      <c r="E2497" s="1186" t="s">
        <v>2031</v>
      </c>
      <c r="F2497" s="1186" t="s">
        <v>2033</v>
      </c>
      <c r="G2497" s="1186" t="s">
        <v>850</v>
      </c>
      <c r="H2497" s="1186">
        <v>9</v>
      </c>
    </row>
    <row r="2498" spans="1:8" x14ac:dyDescent="0.2">
      <c r="A2498" s="1186" t="s">
        <v>1419</v>
      </c>
      <c r="B2498" s="1186" t="s">
        <v>1437</v>
      </c>
      <c r="C2498" s="1186" t="s">
        <v>1987</v>
      </c>
      <c r="D2498" s="1186" t="s">
        <v>1988</v>
      </c>
      <c r="E2498" s="1186" t="s">
        <v>2031</v>
      </c>
      <c r="F2498" s="1186" t="s">
        <v>2033</v>
      </c>
      <c r="G2498" s="1186" t="s">
        <v>852</v>
      </c>
      <c r="H2498" s="1186">
        <v>1</v>
      </c>
    </row>
    <row r="2499" spans="1:8" x14ac:dyDescent="0.2">
      <c r="A2499" s="1186" t="s">
        <v>1419</v>
      </c>
      <c r="B2499" s="1186" t="s">
        <v>1437</v>
      </c>
      <c r="C2499" s="1186" t="s">
        <v>1987</v>
      </c>
      <c r="D2499" s="1186" t="s">
        <v>1988</v>
      </c>
      <c r="E2499" s="1186" t="s">
        <v>2031</v>
      </c>
      <c r="F2499" s="1186" t="s">
        <v>2034</v>
      </c>
      <c r="G2499" s="1186" t="s">
        <v>828</v>
      </c>
      <c r="H2499" s="1186">
        <v>7</v>
      </c>
    </row>
    <row r="2500" spans="1:8" x14ac:dyDescent="0.2">
      <c r="A2500" s="1186" t="s">
        <v>1419</v>
      </c>
      <c r="B2500" s="1186" t="s">
        <v>1437</v>
      </c>
      <c r="C2500" s="1186" t="s">
        <v>1987</v>
      </c>
      <c r="D2500" s="1186" t="s">
        <v>1988</v>
      </c>
      <c r="E2500" s="1186" t="s">
        <v>2035</v>
      </c>
      <c r="F2500" s="1186" t="s">
        <v>2032</v>
      </c>
      <c r="G2500" s="1186" t="s">
        <v>828</v>
      </c>
      <c r="H2500" s="1186">
        <v>19</v>
      </c>
    </row>
    <row r="2501" spans="1:8" x14ac:dyDescent="0.2">
      <c r="A2501" s="1186" t="s">
        <v>1419</v>
      </c>
      <c r="B2501" s="1186" t="s">
        <v>1437</v>
      </c>
      <c r="C2501" s="1186" t="s">
        <v>1987</v>
      </c>
      <c r="D2501" s="1186" t="s">
        <v>1988</v>
      </c>
      <c r="E2501" s="1186" t="s">
        <v>2035</v>
      </c>
      <c r="F2501" s="1186" t="s">
        <v>2032</v>
      </c>
      <c r="G2501" s="1186" t="s">
        <v>850</v>
      </c>
      <c r="H2501" s="1186">
        <v>2</v>
      </c>
    </row>
    <row r="2502" spans="1:8" x14ac:dyDescent="0.2">
      <c r="A2502" s="1186" t="s">
        <v>1419</v>
      </c>
      <c r="B2502" s="1186" t="s">
        <v>1437</v>
      </c>
      <c r="C2502" s="1186" t="s">
        <v>1987</v>
      </c>
      <c r="D2502" s="1186" t="s">
        <v>1988</v>
      </c>
      <c r="E2502" s="1186" t="s">
        <v>2035</v>
      </c>
      <c r="F2502" s="1186" t="s">
        <v>2032</v>
      </c>
      <c r="G2502" s="1186" t="s">
        <v>851</v>
      </c>
      <c r="H2502" s="1186">
        <v>12</v>
      </c>
    </row>
    <row r="2503" spans="1:8" x14ac:dyDescent="0.2">
      <c r="A2503" s="1186" t="s">
        <v>1419</v>
      </c>
      <c r="B2503" s="1186" t="s">
        <v>1437</v>
      </c>
      <c r="C2503" s="1186" t="s">
        <v>1987</v>
      </c>
      <c r="D2503" s="1186" t="s">
        <v>1988</v>
      </c>
      <c r="E2503" s="1186" t="s">
        <v>2035</v>
      </c>
      <c r="F2503" s="1186" t="s">
        <v>2032</v>
      </c>
      <c r="G2503" s="1186" t="s">
        <v>852</v>
      </c>
      <c r="H2503" s="1186">
        <v>6</v>
      </c>
    </row>
    <row r="2504" spans="1:8" x14ac:dyDescent="0.2">
      <c r="A2504" s="1186" t="s">
        <v>1419</v>
      </c>
      <c r="B2504" s="1186" t="s">
        <v>1437</v>
      </c>
      <c r="C2504" s="1186" t="s">
        <v>1987</v>
      </c>
      <c r="D2504" s="1186" t="s">
        <v>1988</v>
      </c>
      <c r="E2504" s="1186" t="s">
        <v>2035</v>
      </c>
      <c r="F2504" s="1186" t="s">
        <v>2033</v>
      </c>
      <c r="G2504" s="1186" t="s">
        <v>828</v>
      </c>
      <c r="H2504" s="1186">
        <v>69</v>
      </c>
    </row>
    <row r="2505" spans="1:8" x14ac:dyDescent="0.2">
      <c r="A2505" s="1186" t="s">
        <v>1419</v>
      </c>
      <c r="B2505" s="1186" t="s">
        <v>1437</v>
      </c>
      <c r="C2505" s="1186" t="s">
        <v>1987</v>
      </c>
      <c r="D2505" s="1186" t="s">
        <v>1988</v>
      </c>
      <c r="E2505" s="1186" t="s">
        <v>2035</v>
      </c>
      <c r="F2505" s="1186" t="s">
        <v>2033</v>
      </c>
      <c r="G2505" s="1186" t="s">
        <v>850</v>
      </c>
      <c r="H2505" s="1186">
        <v>23</v>
      </c>
    </row>
    <row r="2506" spans="1:8" x14ac:dyDescent="0.2">
      <c r="A2506" s="1186" t="s">
        <v>1419</v>
      </c>
      <c r="B2506" s="1186" t="s">
        <v>1437</v>
      </c>
      <c r="C2506" s="1186" t="s">
        <v>1987</v>
      </c>
      <c r="D2506" s="1186" t="s">
        <v>1988</v>
      </c>
      <c r="E2506" s="1186" t="s">
        <v>2035</v>
      </c>
      <c r="F2506" s="1186" t="s">
        <v>2033</v>
      </c>
      <c r="G2506" s="1186" t="s">
        <v>851</v>
      </c>
      <c r="H2506" s="1186">
        <v>114</v>
      </c>
    </row>
    <row r="2507" spans="1:8" x14ac:dyDescent="0.2">
      <c r="A2507" s="1186" t="s">
        <v>1419</v>
      </c>
      <c r="B2507" s="1186" t="s">
        <v>1437</v>
      </c>
      <c r="C2507" s="1186" t="s">
        <v>1987</v>
      </c>
      <c r="D2507" s="1186" t="s">
        <v>1988</v>
      </c>
      <c r="E2507" s="1186" t="s">
        <v>2035</v>
      </c>
      <c r="F2507" s="1186" t="s">
        <v>2033</v>
      </c>
      <c r="G2507" s="1186" t="s">
        <v>852</v>
      </c>
      <c r="H2507" s="1186">
        <v>17</v>
      </c>
    </row>
    <row r="2508" spans="1:8" x14ac:dyDescent="0.2">
      <c r="A2508" s="1186" t="s">
        <v>1419</v>
      </c>
      <c r="B2508" s="1186" t="s">
        <v>1437</v>
      </c>
      <c r="C2508" s="1186" t="s">
        <v>1987</v>
      </c>
      <c r="D2508" s="1186" t="s">
        <v>1988</v>
      </c>
      <c r="E2508" s="1186" t="s">
        <v>2035</v>
      </c>
      <c r="F2508" s="1186" t="s">
        <v>2034</v>
      </c>
      <c r="G2508" s="1186" t="s">
        <v>828</v>
      </c>
      <c r="H2508" s="1186">
        <v>101</v>
      </c>
    </row>
    <row r="2509" spans="1:8" x14ac:dyDescent="0.2">
      <c r="A2509" s="1186" t="s">
        <v>1419</v>
      </c>
      <c r="B2509" s="1186" t="s">
        <v>1437</v>
      </c>
      <c r="C2509" s="1186" t="s">
        <v>1987</v>
      </c>
      <c r="D2509" s="1186" t="s">
        <v>1988</v>
      </c>
      <c r="E2509" s="1186" t="s">
        <v>2035</v>
      </c>
      <c r="F2509" s="1186" t="s">
        <v>2034</v>
      </c>
      <c r="G2509" s="1186" t="s">
        <v>850</v>
      </c>
      <c r="H2509" s="1186">
        <v>35</v>
      </c>
    </row>
    <row r="2510" spans="1:8" x14ac:dyDescent="0.2">
      <c r="A2510" s="1186" t="s">
        <v>1419</v>
      </c>
      <c r="B2510" s="1186" t="s">
        <v>1437</v>
      </c>
      <c r="C2510" s="1186" t="s">
        <v>1987</v>
      </c>
      <c r="D2510" s="1186" t="s">
        <v>1988</v>
      </c>
      <c r="E2510" s="1186" t="s">
        <v>2035</v>
      </c>
      <c r="F2510" s="1186" t="s">
        <v>2034</v>
      </c>
      <c r="G2510" s="1186" t="s">
        <v>851</v>
      </c>
      <c r="H2510" s="1186">
        <v>59</v>
      </c>
    </row>
    <row r="2511" spans="1:8" x14ac:dyDescent="0.2">
      <c r="A2511" s="1186" t="s">
        <v>1419</v>
      </c>
      <c r="B2511" s="1186" t="s">
        <v>1437</v>
      </c>
      <c r="C2511" s="1186" t="s">
        <v>1987</v>
      </c>
      <c r="D2511" s="1186" t="s">
        <v>1988</v>
      </c>
      <c r="E2511" s="1186" t="s">
        <v>2035</v>
      </c>
      <c r="F2511" s="1186" t="s">
        <v>2034</v>
      </c>
      <c r="G2511" s="1186" t="s">
        <v>852</v>
      </c>
      <c r="H2511" s="1186">
        <v>15</v>
      </c>
    </row>
    <row r="2512" spans="1:8" x14ac:dyDescent="0.2">
      <c r="A2512" s="1186" t="s">
        <v>1419</v>
      </c>
      <c r="B2512" s="1186" t="s">
        <v>1438</v>
      </c>
      <c r="C2512" s="1186" t="s">
        <v>1981</v>
      </c>
      <c r="D2512" s="1186" t="s">
        <v>1988</v>
      </c>
      <c r="E2512" s="1186" t="s">
        <v>2031</v>
      </c>
      <c r="F2512" s="1186" t="s">
        <v>2032</v>
      </c>
      <c r="G2512" s="1186" t="s">
        <v>828</v>
      </c>
      <c r="H2512" s="1186">
        <v>1</v>
      </c>
    </row>
    <row r="2513" spans="1:8" x14ac:dyDescent="0.2">
      <c r="A2513" s="1186" t="s">
        <v>1419</v>
      </c>
      <c r="B2513" s="1186" t="s">
        <v>1438</v>
      </c>
      <c r="C2513" s="1186" t="s">
        <v>1981</v>
      </c>
      <c r="D2513" s="1186" t="s">
        <v>1988</v>
      </c>
      <c r="E2513" s="1186" t="s">
        <v>2031</v>
      </c>
      <c r="F2513" s="1186" t="s">
        <v>2033</v>
      </c>
      <c r="G2513" s="1186" t="s">
        <v>828</v>
      </c>
      <c r="H2513" s="1186">
        <v>79</v>
      </c>
    </row>
    <row r="2514" spans="1:8" x14ac:dyDescent="0.2">
      <c r="A2514" s="1186" t="s">
        <v>1419</v>
      </c>
      <c r="B2514" s="1186" t="s">
        <v>1438</v>
      </c>
      <c r="C2514" s="1186" t="s">
        <v>1981</v>
      </c>
      <c r="D2514" s="1186" t="s">
        <v>1988</v>
      </c>
      <c r="E2514" s="1186" t="s">
        <v>2031</v>
      </c>
      <c r="F2514" s="1186" t="s">
        <v>2033</v>
      </c>
      <c r="G2514" s="1186" t="s">
        <v>850</v>
      </c>
      <c r="H2514" s="1186">
        <v>3</v>
      </c>
    </row>
    <row r="2515" spans="1:8" x14ac:dyDescent="0.2">
      <c r="A2515" s="1186" t="s">
        <v>1419</v>
      </c>
      <c r="B2515" s="1186" t="s">
        <v>1438</v>
      </c>
      <c r="C2515" s="1186" t="s">
        <v>1981</v>
      </c>
      <c r="D2515" s="1186" t="s">
        <v>1988</v>
      </c>
      <c r="E2515" s="1186" t="s">
        <v>2031</v>
      </c>
      <c r="F2515" s="1186" t="s">
        <v>2033</v>
      </c>
      <c r="G2515" s="1186" t="s">
        <v>851</v>
      </c>
      <c r="H2515" s="1186">
        <v>1</v>
      </c>
    </row>
    <row r="2516" spans="1:8" x14ac:dyDescent="0.2">
      <c r="A2516" s="1186" t="s">
        <v>1419</v>
      </c>
      <c r="B2516" s="1186" t="s">
        <v>1438</v>
      </c>
      <c r="C2516" s="1186" t="s">
        <v>1981</v>
      </c>
      <c r="D2516" s="1186" t="s">
        <v>1988</v>
      </c>
      <c r="E2516" s="1186" t="s">
        <v>2031</v>
      </c>
      <c r="F2516" s="1186" t="s">
        <v>2033</v>
      </c>
      <c r="G2516" s="1186" t="s">
        <v>852</v>
      </c>
      <c r="H2516" s="1186">
        <v>1</v>
      </c>
    </row>
    <row r="2517" spans="1:8" x14ac:dyDescent="0.2">
      <c r="A2517" s="1186" t="s">
        <v>1419</v>
      </c>
      <c r="B2517" s="1186" t="s">
        <v>1438</v>
      </c>
      <c r="C2517" s="1186" t="s">
        <v>1981</v>
      </c>
      <c r="D2517" s="1186" t="s">
        <v>1988</v>
      </c>
      <c r="E2517" s="1186" t="s">
        <v>2031</v>
      </c>
      <c r="F2517" s="1186" t="s">
        <v>2034</v>
      </c>
      <c r="G2517" s="1186" t="s">
        <v>828</v>
      </c>
      <c r="H2517" s="1186">
        <v>5</v>
      </c>
    </row>
    <row r="2518" spans="1:8" x14ac:dyDescent="0.2">
      <c r="A2518" s="1186" t="s">
        <v>1419</v>
      </c>
      <c r="B2518" s="1186" t="s">
        <v>1438</v>
      </c>
      <c r="C2518" s="1186" t="s">
        <v>1981</v>
      </c>
      <c r="D2518" s="1186" t="s">
        <v>1988</v>
      </c>
      <c r="E2518" s="1186" t="s">
        <v>2031</v>
      </c>
      <c r="F2518" s="1186" t="s">
        <v>2034</v>
      </c>
      <c r="G2518" s="1186" t="s">
        <v>850</v>
      </c>
      <c r="H2518" s="1186">
        <v>5</v>
      </c>
    </row>
    <row r="2519" spans="1:8" x14ac:dyDescent="0.2">
      <c r="A2519" s="1186" t="s">
        <v>1419</v>
      </c>
      <c r="B2519" s="1186" t="s">
        <v>1438</v>
      </c>
      <c r="C2519" s="1186" t="s">
        <v>1981</v>
      </c>
      <c r="D2519" s="1186" t="s">
        <v>1988</v>
      </c>
      <c r="E2519" s="1186" t="s">
        <v>2035</v>
      </c>
      <c r="F2519" s="1186" t="s">
        <v>2032</v>
      </c>
      <c r="G2519" s="1186" t="s">
        <v>828</v>
      </c>
      <c r="H2519" s="1186">
        <v>27</v>
      </c>
    </row>
    <row r="2520" spans="1:8" x14ac:dyDescent="0.2">
      <c r="A2520" s="1186" t="s">
        <v>1419</v>
      </c>
      <c r="B2520" s="1186" t="s">
        <v>1438</v>
      </c>
      <c r="C2520" s="1186" t="s">
        <v>1981</v>
      </c>
      <c r="D2520" s="1186" t="s">
        <v>1988</v>
      </c>
      <c r="E2520" s="1186" t="s">
        <v>2035</v>
      </c>
      <c r="F2520" s="1186" t="s">
        <v>2032</v>
      </c>
      <c r="G2520" s="1186" t="s">
        <v>851</v>
      </c>
      <c r="H2520" s="1186">
        <v>5</v>
      </c>
    </row>
    <row r="2521" spans="1:8" x14ac:dyDescent="0.2">
      <c r="A2521" s="1186" t="s">
        <v>1419</v>
      </c>
      <c r="B2521" s="1186" t="s">
        <v>1438</v>
      </c>
      <c r="C2521" s="1186" t="s">
        <v>1981</v>
      </c>
      <c r="D2521" s="1186" t="s">
        <v>1988</v>
      </c>
      <c r="E2521" s="1186" t="s">
        <v>2035</v>
      </c>
      <c r="F2521" s="1186" t="s">
        <v>2032</v>
      </c>
      <c r="G2521" s="1186" t="s">
        <v>852</v>
      </c>
      <c r="H2521" s="1186">
        <v>11</v>
      </c>
    </row>
    <row r="2522" spans="1:8" x14ac:dyDescent="0.2">
      <c r="A2522" s="1186" t="s">
        <v>1419</v>
      </c>
      <c r="B2522" s="1186" t="s">
        <v>1438</v>
      </c>
      <c r="C2522" s="1186" t="s">
        <v>1981</v>
      </c>
      <c r="D2522" s="1186" t="s">
        <v>1988</v>
      </c>
      <c r="E2522" s="1186" t="s">
        <v>2035</v>
      </c>
      <c r="F2522" s="1186" t="s">
        <v>2033</v>
      </c>
      <c r="G2522" s="1186" t="s">
        <v>828</v>
      </c>
      <c r="H2522" s="1186">
        <v>73</v>
      </c>
    </row>
    <row r="2523" spans="1:8" x14ac:dyDescent="0.2">
      <c r="A2523" s="1186" t="s">
        <v>1419</v>
      </c>
      <c r="B2523" s="1186" t="s">
        <v>1438</v>
      </c>
      <c r="C2523" s="1186" t="s">
        <v>1981</v>
      </c>
      <c r="D2523" s="1186" t="s">
        <v>1988</v>
      </c>
      <c r="E2523" s="1186" t="s">
        <v>2035</v>
      </c>
      <c r="F2523" s="1186" t="s">
        <v>2033</v>
      </c>
      <c r="G2523" s="1186" t="s">
        <v>850</v>
      </c>
      <c r="H2523" s="1186">
        <v>4</v>
      </c>
    </row>
    <row r="2524" spans="1:8" x14ac:dyDescent="0.2">
      <c r="A2524" s="1186" t="s">
        <v>1419</v>
      </c>
      <c r="B2524" s="1186" t="s">
        <v>1438</v>
      </c>
      <c r="C2524" s="1186" t="s">
        <v>1981</v>
      </c>
      <c r="D2524" s="1186" t="s">
        <v>1988</v>
      </c>
      <c r="E2524" s="1186" t="s">
        <v>2035</v>
      </c>
      <c r="F2524" s="1186" t="s">
        <v>2033</v>
      </c>
      <c r="G2524" s="1186" t="s">
        <v>851</v>
      </c>
      <c r="H2524" s="1186">
        <v>87</v>
      </c>
    </row>
    <row r="2525" spans="1:8" x14ac:dyDescent="0.2">
      <c r="A2525" s="1186" t="s">
        <v>1419</v>
      </c>
      <c r="B2525" s="1186" t="s">
        <v>1438</v>
      </c>
      <c r="C2525" s="1186" t="s">
        <v>1981</v>
      </c>
      <c r="D2525" s="1186" t="s">
        <v>1988</v>
      </c>
      <c r="E2525" s="1186" t="s">
        <v>2035</v>
      </c>
      <c r="F2525" s="1186" t="s">
        <v>2033</v>
      </c>
      <c r="G2525" s="1186" t="s">
        <v>852</v>
      </c>
      <c r="H2525" s="1186">
        <v>12</v>
      </c>
    </row>
    <row r="2526" spans="1:8" x14ac:dyDescent="0.2">
      <c r="A2526" s="1186" t="s">
        <v>1419</v>
      </c>
      <c r="B2526" s="1186" t="s">
        <v>1438</v>
      </c>
      <c r="C2526" s="1186" t="s">
        <v>1981</v>
      </c>
      <c r="D2526" s="1186" t="s">
        <v>1988</v>
      </c>
      <c r="E2526" s="1186" t="s">
        <v>2035</v>
      </c>
      <c r="F2526" s="1186" t="s">
        <v>2034</v>
      </c>
      <c r="G2526" s="1186" t="s">
        <v>828</v>
      </c>
      <c r="H2526" s="1186">
        <v>77</v>
      </c>
    </row>
    <row r="2527" spans="1:8" x14ac:dyDescent="0.2">
      <c r="A2527" s="1186" t="s">
        <v>1419</v>
      </c>
      <c r="B2527" s="1186" t="s">
        <v>1438</v>
      </c>
      <c r="C2527" s="1186" t="s">
        <v>1981</v>
      </c>
      <c r="D2527" s="1186" t="s">
        <v>1988</v>
      </c>
      <c r="E2527" s="1186" t="s">
        <v>2035</v>
      </c>
      <c r="F2527" s="1186" t="s">
        <v>2034</v>
      </c>
      <c r="G2527" s="1186" t="s">
        <v>850</v>
      </c>
      <c r="H2527" s="1186">
        <v>28</v>
      </c>
    </row>
    <row r="2528" spans="1:8" x14ac:dyDescent="0.2">
      <c r="A2528" s="1186" t="s">
        <v>1419</v>
      </c>
      <c r="B2528" s="1186" t="s">
        <v>1438</v>
      </c>
      <c r="C2528" s="1186" t="s">
        <v>1981</v>
      </c>
      <c r="D2528" s="1186" t="s">
        <v>1988</v>
      </c>
      <c r="E2528" s="1186" t="s">
        <v>2035</v>
      </c>
      <c r="F2528" s="1186" t="s">
        <v>2034</v>
      </c>
      <c r="G2528" s="1186" t="s">
        <v>851</v>
      </c>
      <c r="H2528" s="1186">
        <v>26</v>
      </c>
    </row>
    <row r="2529" spans="1:8" x14ac:dyDescent="0.2">
      <c r="A2529" s="1186" t="s">
        <v>1419</v>
      </c>
      <c r="B2529" s="1186" t="s">
        <v>1438</v>
      </c>
      <c r="C2529" s="1186" t="s">
        <v>1981</v>
      </c>
      <c r="D2529" s="1186" t="s">
        <v>1988</v>
      </c>
      <c r="E2529" s="1186" t="s">
        <v>2035</v>
      </c>
      <c r="F2529" s="1186" t="s">
        <v>2034</v>
      </c>
      <c r="G2529" s="1186" t="s">
        <v>852</v>
      </c>
      <c r="H2529" s="1186">
        <v>28</v>
      </c>
    </row>
    <row r="2530" spans="1:8" x14ac:dyDescent="0.2">
      <c r="A2530" s="1186" t="s">
        <v>1572</v>
      </c>
      <c r="B2530" s="1186" t="s">
        <v>1989</v>
      </c>
      <c r="C2530" s="1186" t="s">
        <v>1981</v>
      </c>
      <c r="D2530" s="1186" t="s">
        <v>1982</v>
      </c>
      <c r="E2530" s="1186" t="s">
        <v>2031</v>
      </c>
      <c r="F2530" s="1186" t="s">
        <v>2032</v>
      </c>
      <c r="G2530" s="1186" t="s">
        <v>828</v>
      </c>
      <c r="H2530" s="1186">
        <v>8</v>
      </c>
    </row>
    <row r="2531" spans="1:8" x14ac:dyDescent="0.2">
      <c r="A2531" s="1186" t="s">
        <v>1572</v>
      </c>
      <c r="B2531" s="1186" t="s">
        <v>1989</v>
      </c>
      <c r="C2531" s="1186" t="s">
        <v>1981</v>
      </c>
      <c r="D2531" s="1186" t="s">
        <v>1982</v>
      </c>
      <c r="E2531" s="1186" t="s">
        <v>2031</v>
      </c>
      <c r="F2531" s="1186" t="s">
        <v>2032</v>
      </c>
      <c r="G2531" s="1186" t="s">
        <v>850</v>
      </c>
      <c r="H2531" s="1186">
        <v>1</v>
      </c>
    </row>
    <row r="2532" spans="1:8" x14ac:dyDescent="0.2">
      <c r="A2532" s="1186" t="s">
        <v>1572</v>
      </c>
      <c r="B2532" s="1186" t="s">
        <v>1989</v>
      </c>
      <c r="C2532" s="1186" t="s">
        <v>1981</v>
      </c>
      <c r="D2532" s="1186" t="s">
        <v>1982</v>
      </c>
      <c r="E2532" s="1186" t="s">
        <v>2031</v>
      </c>
      <c r="F2532" s="1186" t="s">
        <v>2033</v>
      </c>
      <c r="G2532" s="1186" t="s">
        <v>828</v>
      </c>
      <c r="H2532" s="1186">
        <v>97</v>
      </c>
    </row>
    <row r="2533" spans="1:8" x14ac:dyDescent="0.2">
      <c r="A2533" s="1186" t="s">
        <v>1572</v>
      </c>
      <c r="B2533" s="1186" t="s">
        <v>1989</v>
      </c>
      <c r="C2533" s="1186" t="s">
        <v>1981</v>
      </c>
      <c r="D2533" s="1186" t="s">
        <v>1982</v>
      </c>
      <c r="E2533" s="1186" t="s">
        <v>2031</v>
      </c>
      <c r="F2533" s="1186" t="s">
        <v>2033</v>
      </c>
      <c r="G2533" s="1186" t="s">
        <v>850</v>
      </c>
      <c r="H2533" s="1186">
        <v>5</v>
      </c>
    </row>
    <row r="2534" spans="1:8" x14ac:dyDescent="0.2">
      <c r="A2534" s="1186" t="s">
        <v>1572</v>
      </c>
      <c r="B2534" s="1186" t="s">
        <v>1989</v>
      </c>
      <c r="C2534" s="1186" t="s">
        <v>1981</v>
      </c>
      <c r="D2534" s="1186" t="s">
        <v>1982</v>
      </c>
      <c r="E2534" s="1186" t="s">
        <v>2031</v>
      </c>
      <c r="F2534" s="1186" t="s">
        <v>2033</v>
      </c>
      <c r="G2534" s="1186" t="s">
        <v>852</v>
      </c>
      <c r="H2534" s="1186">
        <v>6</v>
      </c>
    </row>
    <row r="2535" spans="1:8" x14ac:dyDescent="0.2">
      <c r="A2535" s="1186" t="s">
        <v>1572</v>
      </c>
      <c r="B2535" s="1186" t="s">
        <v>1989</v>
      </c>
      <c r="C2535" s="1186" t="s">
        <v>1981</v>
      </c>
      <c r="D2535" s="1186" t="s">
        <v>1982</v>
      </c>
      <c r="E2535" s="1186" t="s">
        <v>2031</v>
      </c>
      <c r="F2535" s="1186" t="s">
        <v>2034</v>
      </c>
      <c r="G2535" s="1186" t="s">
        <v>828</v>
      </c>
      <c r="H2535" s="1186">
        <v>7</v>
      </c>
    </row>
    <row r="2536" spans="1:8" x14ac:dyDescent="0.2">
      <c r="A2536" s="1186" t="s">
        <v>1572</v>
      </c>
      <c r="B2536" s="1186" t="s">
        <v>1989</v>
      </c>
      <c r="C2536" s="1186" t="s">
        <v>1981</v>
      </c>
      <c r="D2536" s="1186" t="s">
        <v>1982</v>
      </c>
      <c r="E2536" s="1186" t="s">
        <v>2031</v>
      </c>
      <c r="F2536" s="1186" t="s">
        <v>2034</v>
      </c>
      <c r="G2536" s="1186" t="s">
        <v>850</v>
      </c>
      <c r="H2536" s="1186">
        <v>1</v>
      </c>
    </row>
    <row r="2537" spans="1:8" x14ac:dyDescent="0.2">
      <c r="A2537" s="1186" t="s">
        <v>1572</v>
      </c>
      <c r="B2537" s="1186" t="s">
        <v>1989</v>
      </c>
      <c r="C2537" s="1186" t="s">
        <v>1981</v>
      </c>
      <c r="D2537" s="1186" t="s">
        <v>1982</v>
      </c>
      <c r="E2537" s="1186" t="s">
        <v>2035</v>
      </c>
      <c r="F2537" s="1186" t="s">
        <v>2032</v>
      </c>
      <c r="G2537" s="1186" t="s">
        <v>828</v>
      </c>
      <c r="H2537" s="1186">
        <v>24</v>
      </c>
    </row>
    <row r="2538" spans="1:8" x14ac:dyDescent="0.2">
      <c r="A2538" s="1186" t="s">
        <v>1572</v>
      </c>
      <c r="B2538" s="1186" t="s">
        <v>1989</v>
      </c>
      <c r="C2538" s="1186" t="s">
        <v>1981</v>
      </c>
      <c r="D2538" s="1186" t="s">
        <v>1982</v>
      </c>
      <c r="E2538" s="1186" t="s">
        <v>2035</v>
      </c>
      <c r="F2538" s="1186" t="s">
        <v>2032</v>
      </c>
      <c r="G2538" s="1186" t="s">
        <v>851</v>
      </c>
      <c r="H2538" s="1186">
        <v>1</v>
      </c>
    </row>
    <row r="2539" spans="1:8" x14ac:dyDescent="0.2">
      <c r="A2539" s="1186" t="s">
        <v>1572</v>
      </c>
      <c r="B2539" s="1186" t="s">
        <v>1989</v>
      </c>
      <c r="C2539" s="1186" t="s">
        <v>1981</v>
      </c>
      <c r="D2539" s="1186" t="s">
        <v>1982</v>
      </c>
      <c r="E2539" s="1186" t="s">
        <v>2035</v>
      </c>
      <c r="F2539" s="1186" t="s">
        <v>2032</v>
      </c>
      <c r="G2539" s="1186" t="s">
        <v>852</v>
      </c>
      <c r="H2539" s="1186">
        <v>3</v>
      </c>
    </row>
    <row r="2540" spans="1:8" x14ac:dyDescent="0.2">
      <c r="A2540" s="1186" t="s">
        <v>1572</v>
      </c>
      <c r="B2540" s="1186" t="s">
        <v>1989</v>
      </c>
      <c r="C2540" s="1186" t="s">
        <v>1981</v>
      </c>
      <c r="D2540" s="1186" t="s">
        <v>1982</v>
      </c>
      <c r="E2540" s="1186" t="s">
        <v>2035</v>
      </c>
      <c r="F2540" s="1186" t="s">
        <v>2033</v>
      </c>
      <c r="G2540" s="1186" t="s">
        <v>828</v>
      </c>
      <c r="H2540" s="1186">
        <v>52</v>
      </c>
    </row>
    <row r="2541" spans="1:8" x14ac:dyDescent="0.2">
      <c r="A2541" s="1186" t="s">
        <v>1572</v>
      </c>
      <c r="B2541" s="1186" t="s">
        <v>1989</v>
      </c>
      <c r="C2541" s="1186" t="s">
        <v>1981</v>
      </c>
      <c r="D2541" s="1186" t="s">
        <v>1982</v>
      </c>
      <c r="E2541" s="1186" t="s">
        <v>2035</v>
      </c>
      <c r="F2541" s="1186" t="s">
        <v>2033</v>
      </c>
      <c r="G2541" s="1186" t="s">
        <v>850</v>
      </c>
      <c r="H2541" s="1186">
        <v>3</v>
      </c>
    </row>
    <row r="2542" spans="1:8" x14ac:dyDescent="0.2">
      <c r="A2542" s="1186" t="s">
        <v>1572</v>
      </c>
      <c r="B2542" s="1186" t="s">
        <v>1989</v>
      </c>
      <c r="C2542" s="1186" t="s">
        <v>1981</v>
      </c>
      <c r="D2542" s="1186" t="s">
        <v>1982</v>
      </c>
      <c r="E2542" s="1186" t="s">
        <v>2035</v>
      </c>
      <c r="F2542" s="1186" t="s">
        <v>2033</v>
      </c>
      <c r="G2542" s="1186" t="s">
        <v>851</v>
      </c>
      <c r="H2542" s="1186">
        <v>26</v>
      </c>
    </row>
    <row r="2543" spans="1:8" x14ac:dyDescent="0.2">
      <c r="A2543" s="1186" t="s">
        <v>1572</v>
      </c>
      <c r="B2543" s="1186" t="s">
        <v>1989</v>
      </c>
      <c r="C2543" s="1186" t="s">
        <v>1981</v>
      </c>
      <c r="D2543" s="1186" t="s">
        <v>1982</v>
      </c>
      <c r="E2543" s="1186" t="s">
        <v>2035</v>
      </c>
      <c r="F2543" s="1186" t="s">
        <v>2033</v>
      </c>
      <c r="G2543" s="1186" t="s">
        <v>852</v>
      </c>
      <c r="H2543" s="1186">
        <v>12</v>
      </c>
    </row>
    <row r="2544" spans="1:8" x14ac:dyDescent="0.2">
      <c r="A2544" s="1186" t="s">
        <v>1572</v>
      </c>
      <c r="B2544" s="1186" t="s">
        <v>1989</v>
      </c>
      <c r="C2544" s="1186" t="s">
        <v>1981</v>
      </c>
      <c r="D2544" s="1186" t="s">
        <v>1982</v>
      </c>
      <c r="E2544" s="1186" t="s">
        <v>2035</v>
      </c>
      <c r="F2544" s="1186" t="s">
        <v>2034</v>
      </c>
      <c r="G2544" s="1186" t="s">
        <v>828</v>
      </c>
      <c r="H2544" s="1186">
        <v>56</v>
      </c>
    </row>
    <row r="2545" spans="1:8" x14ac:dyDescent="0.2">
      <c r="A2545" s="1186" t="s">
        <v>1572</v>
      </c>
      <c r="B2545" s="1186" t="s">
        <v>1989</v>
      </c>
      <c r="C2545" s="1186" t="s">
        <v>1981</v>
      </c>
      <c r="D2545" s="1186" t="s">
        <v>1982</v>
      </c>
      <c r="E2545" s="1186" t="s">
        <v>2035</v>
      </c>
      <c r="F2545" s="1186" t="s">
        <v>2034</v>
      </c>
      <c r="G2545" s="1186" t="s">
        <v>850</v>
      </c>
      <c r="H2545" s="1186">
        <v>6</v>
      </c>
    </row>
    <row r="2546" spans="1:8" x14ac:dyDescent="0.2">
      <c r="A2546" s="1186" t="s">
        <v>1572</v>
      </c>
      <c r="B2546" s="1186" t="s">
        <v>1989</v>
      </c>
      <c r="C2546" s="1186" t="s">
        <v>1981</v>
      </c>
      <c r="D2546" s="1186" t="s">
        <v>1982</v>
      </c>
      <c r="E2546" s="1186" t="s">
        <v>2035</v>
      </c>
      <c r="F2546" s="1186" t="s">
        <v>2034</v>
      </c>
      <c r="G2546" s="1186" t="s">
        <v>851</v>
      </c>
      <c r="H2546" s="1186">
        <v>6</v>
      </c>
    </row>
    <row r="2547" spans="1:8" x14ac:dyDescent="0.2">
      <c r="A2547" s="1186" t="s">
        <v>1572</v>
      </c>
      <c r="B2547" s="1186" t="s">
        <v>1989</v>
      </c>
      <c r="C2547" s="1186" t="s">
        <v>1981</v>
      </c>
      <c r="D2547" s="1186" t="s">
        <v>1982</v>
      </c>
      <c r="E2547" s="1186" t="s">
        <v>2035</v>
      </c>
      <c r="F2547" s="1186" t="s">
        <v>2034</v>
      </c>
      <c r="G2547" s="1186" t="s">
        <v>852</v>
      </c>
      <c r="H2547" s="1186">
        <v>16</v>
      </c>
    </row>
    <row r="2548" spans="1:8" x14ac:dyDescent="0.2">
      <c r="A2548" s="1186" t="s">
        <v>1572</v>
      </c>
      <c r="B2548" s="1186" t="s">
        <v>1990</v>
      </c>
      <c r="C2548" s="1186" t="s">
        <v>1981</v>
      </c>
      <c r="D2548" s="1186" t="s">
        <v>1982</v>
      </c>
      <c r="E2548" s="1186" t="s">
        <v>2031</v>
      </c>
      <c r="F2548" s="1186" t="s">
        <v>2032</v>
      </c>
      <c r="G2548" s="1186" t="s">
        <v>828</v>
      </c>
      <c r="H2548" s="1186">
        <v>3</v>
      </c>
    </row>
    <row r="2549" spans="1:8" x14ac:dyDescent="0.2">
      <c r="A2549" s="1186" t="s">
        <v>1572</v>
      </c>
      <c r="B2549" s="1186" t="s">
        <v>1990</v>
      </c>
      <c r="C2549" s="1186" t="s">
        <v>1981</v>
      </c>
      <c r="D2549" s="1186" t="s">
        <v>1982</v>
      </c>
      <c r="E2549" s="1186" t="s">
        <v>2031</v>
      </c>
      <c r="F2549" s="1186" t="s">
        <v>2033</v>
      </c>
      <c r="G2549" s="1186" t="s">
        <v>828</v>
      </c>
      <c r="H2549" s="1186">
        <v>82</v>
      </c>
    </row>
    <row r="2550" spans="1:8" x14ac:dyDescent="0.2">
      <c r="A2550" s="1186" t="s">
        <v>1572</v>
      </c>
      <c r="B2550" s="1186" t="s">
        <v>1990</v>
      </c>
      <c r="C2550" s="1186" t="s">
        <v>1981</v>
      </c>
      <c r="D2550" s="1186" t="s">
        <v>1982</v>
      </c>
      <c r="E2550" s="1186" t="s">
        <v>2031</v>
      </c>
      <c r="F2550" s="1186" t="s">
        <v>2033</v>
      </c>
      <c r="G2550" s="1186" t="s">
        <v>850</v>
      </c>
      <c r="H2550" s="1186">
        <v>6</v>
      </c>
    </row>
    <row r="2551" spans="1:8" x14ac:dyDescent="0.2">
      <c r="A2551" s="1186" t="s">
        <v>1572</v>
      </c>
      <c r="B2551" s="1186" t="s">
        <v>1990</v>
      </c>
      <c r="C2551" s="1186" t="s">
        <v>1981</v>
      </c>
      <c r="D2551" s="1186" t="s">
        <v>1982</v>
      </c>
      <c r="E2551" s="1186" t="s">
        <v>2031</v>
      </c>
      <c r="F2551" s="1186" t="s">
        <v>2033</v>
      </c>
      <c r="G2551" s="1186" t="s">
        <v>851</v>
      </c>
      <c r="H2551" s="1186">
        <v>2</v>
      </c>
    </row>
    <row r="2552" spans="1:8" x14ac:dyDescent="0.2">
      <c r="A2552" s="1186" t="s">
        <v>1572</v>
      </c>
      <c r="B2552" s="1186" t="s">
        <v>1990</v>
      </c>
      <c r="C2552" s="1186" t="s">
        <v>1981</v>
      </c>
      <c r="D2552" s="1186" t="s">
        <v>1982</v>
      </c>
      <c r="E2552" s="1186" t="s">
        <v>2031</v>
      </c>
      <c r="F2552" s="1186" t="s">
        <v>2033</v>
      </c>
      <c r="G2552" s="1186" t="s">
        <v>852</v>
      </c>
      <c r="H2552" s="1186">
        <v>7</v>
      </c>
    </row>
    <row r="2553" spans="1:8" x14ac:dyDescent="0.2">
      <c r="A2553" s="1186" t="s">
        <v>1572</v>
      </c>
      <c r="B2553" s="1186" t="s">
        <v>1990</v>
      </c>
      <c r="C2553" s="1186" t="s">
        <v>1981</v>
      </c>
      <c r="D2553" s="1186" t="s">
        <v>1982</v>
      </c>
      <c r="E2553" s="1186" t="s">
        <v>2031</v>
      </c>
      <c r="F2553" s="1186" t="s">
        <v>2034</v>
      </c>
      <c r="G2553" s="1186" t="s">
        <v>828</v>
      </c>
      <c r="H2553" s="1186">
        <v>9</v>
      </c>
    </row>
    <row r="2554" spans="1:8" x14ac:dyDescent="0.2">
      <c r="A2554" s="1186" t="s">
        <v>1572</v>
      </c>
      <c r="B2554" s="1186" t="s">
        <v>1990</v>
      </c>
      <c r="C2554" s="1186" t="s">
        <v>1981</v>
      </c>
      <c r="D2554" s="1186" t="s">
        <v>1982</v>
      </c>
      <c r="E2554" s="1186" t="s">
        <v>2031</v>
      </c>
      <c r="F2554" s="1186" t="s">
        <v>2034</v>
      </c>
      <c r="G2554" s="1186" t="s">
        <v>850</v>
      </c>
      <c r="H2554" s="1186">
        <v>2</v>
      </c>
    </row>
    <row r="2555" spans="1:8" x14ac:dyDescent="0.2">
      <c r="A2555" s="1186" t="s">
        <v>1572</v>
      </c>
      <c r="B2555" s="1186" t="s">
        <v>1990</v>
      </c>
      <c r="C2555" s="1186" t="s">
        <v>1981</v>
      </c>
      <c r="D2555" s="1186" t="s">
        <v>1982</v>
      </c>
      <c r="E2555" s="1186" t="s">
        <v>2035</v>
      </c>
      <c r="F2555" s="1186" t="s">
        <v>2032</v>
      </c>
      <c r="G2555" s="1186" t="s">
        <v>828</v>
      </c>
      <c r="H2555" s="1186">
        <v>11</v>
      </c>
    </row>
    <row r="2556" spans="1:8" x14ac:dyDescent="0.2">
      <c r="A2556" s="1186" t="s">
        <v>1572</v>
      </c>
      <c r="B2556" s="1186" t="s">
        <v>1990</v>
      </c>
      <c r="C2556" s="1186" t="s">
        <v>1981</v>
      </c>
      <c r="D2556" s="1186" t="s">
        <v>1982</v>
      </c>
      <c r="E2556" s="1186" t="s">
        <v>2035</v>
      </c>
      <c r="F2556" s="1186" t="s">
        <v>2032</v>
      </c>
      <c r="G2556" s="1186" t="s">
        <v>851</v>
      </c>
      <c r="H2556" s="1186">
        <v>1</v>
      </c>
    </row>
    <row r="2557" spans="1:8" x14ac:dyDescent="0.2">
      <c r="A2557" s="1186" t="s">
        <v>1572</v>
      </c>
      <c r="B2557" s="1186" t="s">
        <v>1990</v>
      </c>
      <c r="C2557" s="1186" t="s">
        <v>1981</v>
      </c>
      <c r="D2557" s="1186" t="s">
        <v>1982</v>
      </c>
      <c r="E2557" s="1186" t="s">
        <v>2035</v>
      </c>
      <c r="F2557" s="1186" t="s">
        <v>2032</v>
      </c>
      <c r="G2557" s="1186" t="s">
        <v>852</v>
      </c>
      <c r="H2557" s="1186">
        <v>6</v>
      </c>
    </row>
    <row r="2558" spans="1:8" x14ac:dyDescent="0.2">
      <c r="A2558" s="1186" t="s">
        <v>1572</v>
      </c>
      <c r="B2558" s="1186" t="s">
        <v>1990</v>
      </c>
      <c r="C2558" s="1186" t="s">
        <v>1981</v>
      </c>
      <c r="D2558" s="1186" t="s">
        <v>1982</v>
      </c>
      <c r="E2558" s="1186" t="s">
        <v>2035</v>
      </c>
      <c r="F2558" s="1186" t="s">
        <v>2033</v>
      </c>
      <c r="G2558" s="1186" t="s">
        <v>828</v>
      </c>
      <c r="H2558" s="1186">
        <v>44</v>
      </c>
    </row>
    <row r="2559" spans="1:8" x14ac:dyDescent="0.2">
      <c r="A2559" s="1186" t="s">
        <v>1572</v>
      </c>
      <c r="B2559" s="1186" t="s">
        <v>1990</v>
      </c>
      <c r="C2559" s="1186" t="s">
        <v>1981</v>
      </c>
      <c r="D2559" s="1186" t="s">
        <v>1982</v>
      </c>
      <c r="E2559" s="1186" t="s">
        <v>2035</v>
      </c>
      <c r="F2559" s="1186" t="s">
        <v>2033</v>
      </c>
      <c r="G2559" s="1186" t="s">
        <v>850</v>
      </c>
      <c r="H2559" s="1186">
        <v>8</v>
      </c>
    </row>
    <row r="2560" spans="1:8" x14ac:dyDescent="0.2">
      <c r="A2560" s="1186" t="s">
        <v>1572</v>
      </c>
      <c r="B2560" s="1186" t="s">
        <v>1990</v>
      </c>
      <c r="C2560" s="1186" t="s">
        <v>1981</v>
      </c>
      <c r="D2560" s="1186" t="s">
        <v>1982</v>
      </c>
      <c r="E2560" s="1186" t="s">
        <v>2035</v>
      </c>
      <c r="F2560" s="1186" t="s">
        <v>2033</v>
      </c>
      <c r="G2560" s="1186" t="s">
        <v>851</v>
      </c>
      <c r="H2560" s="1186">
        <v>41</v>
      </c>
    </row>
    <row r="2561" spans="1:8" x14ac:dyDescent="0.2">
      <c r="A2561" s="1186" t="s">
        <v>1572</v>
      </c>
      <c r="B2561" s="1186" t="s">
        <v>1990</v>
      </c>
      <c r="C2561" s="1186" t="s">
        <v>1981</v>
      </c>
      <c r="D2561" s="1186" t="s">
        <v>1982</v>
      </c>
      <c r="E2561" s="1186" t="s">
        <v>2035</v>
      </c>
      <c r="F2561" s="1186" t="s">
        <v>2033</v>
      </c>
      <c r="G2561" s="1186" t="s">
        <v>852</v>
      </c>
      <c r="H2561" s="1186">
        <v>30</v>
      </c>
    </row>
    <row r="2562" spans="1:8" x14ac:dyDescent="0.2">
      <c r="A2562" s="1186" t="s">
        <v>1572</v>
      </c>
      <c r="B2562" s="1186" t="s">
        <v>1990</v>
      </c>
      <c r="C2562" s="1186" t="s">
        <v>1981</v>
      </c>
      <c r="D2562" s="1186" t="s">
        <v>1982</v>
      </c>
      <c r="E2562" s="1186" t="s">
        <v>2035</v>
      </c>
      <c r="F2562" s="1186" t="s">
        <v>2034</v>
      </c>
      <c r="G2562" s="1186" t="s">
        <v>828</v>
      </c>
      <c r="H2562" s="1186">
        <v>96</v>
      </c>
    </row>
    <row r="2563" spans="1:8" x14ac:dyDescent="0.2">
      <c r="A2563" s="1186" t="s">
        <v>1572</v>
      </c>
      <c r="B2563" s="1186" t="s">
        <v>1990</v>
      </c>
      <c r="C2563" s="1186" t="s">
        <v>1981</v>
      </c>
      <c r="D2563" s="1186" t="s">
        <v>1982</v>
      </c>
      <c r="E2563" s="1186" t="s">
        <v>2035</v>
      </c>
      <c r="F2563" s="1186" t="s">
        <v>2034</v>
      </c>
      <c r="G2563" s="1186" t="s">
        <v>850</v>
      </c>
      <c r="H2563" s="1186">
        <v>16</v>
      </c>
    </row>
    <row r="2564" spans="1:8" x14ac:dyDescent="0.2">
      <c r="A2564" s="1186" t="s">
        <v>1572</v>
      </c>
      <c r="B2564" s="1186" t="s">
        <v>1990</v>
      </c>
      <c r="C2564" s="1186" t="s">
        <v>1981</v>
      </c>
      <c r="D2564" s="1186" t="s">
        <v>1982</v>
      </c>
      <c r="E2564" s="1186" t="s">
        <v>2035</v>
      </c>
      <c r="F2564" s="1186" t="s">
        <v>2034</v>
      </c>
      <c r="G2564" s="1186" t="s">
        <v>851</v>
      </c>
      <c r="H2564" s="1186">
        <v>8</v>
      </c>
    </row>
    <row r="2565" spans="1:8" x14ac:dyDescent="0.2">
      <c r="A2565" s="1186" t="s">
        <v>1572</v>
      </c>
      <c r="B2565" s="1186" t="s">
        <v>1990</v>
      </c>
      <c r="C2565" s="1186" t="s">
        <v>1981</v>
      </c>
      <c r="D2565" s="1186" t="s">
        <v>1982</v>
      </c>
      <c r="E2565" s="1186" t="s">
        <v>2035</v>
      </c>
      <c r="F2565" s="1186" t="s">
        <v>2034</v>
      </c>
      <c r="G2565" s="1186" t="s">
        <v>852</v>
      </c>
      <c r="H2565" s="1186">
        <v>21</v>
      </c>
    </row>
    <row r="2566" spans="1:8" x14ac:dyDescent="0.2">
      <c r="A2566" s="1186" t="s">
        <v>1572</v>
      </c>
      <c r="B2566" s="1186" t="s">
        <v>1991</v>
      </c>
      <c r="C2566" s="1186" t="s">
        <v>1983</v>
      </c>
      <c r="D2566" s="1186" t="s">
        <v>1982</v>
      </c>
      <c r="E2566" s="1186" t="s">
        <v>2031</v>
      </c>
      <c r="F2566" s="1186" t="s">
        <v>2032</v>
      </c>
      <c r="G2566" s="1186" t="s">
        <v>828</v>
      </c>
      <c r="H2566" s="1186">
        <v>6</v>
      </c>
    </row>
    <row r="2567" spans="1:8" x14ac:dyDescent="0.2">
      <c r="A2567" s="1186" t="s">
        <v>1572</v>
      </c>
      <c r="B2567" s="1186" t="s">
        <v>1991</v>
      </c>
      <c r="C2567" s="1186" t="s">
        <v>1983</v>
      </c>
      <c r="D2567" s="1186" t="s">
        <v>1982</v>
      </c>
      <c r="E2567" s="1186" t="s">
        <v>2031</v>
      </c>
      <c r="F2567" s="1186" t="s">
        <v>2033</v>
      </c>
      <c r="G2567" s="1186" t="s">
        <v>828</v>
      </c>
      <c r="H2567" s="1186">
        <v>73</v>
      </c>
    </row>
    <row r="2568" spans="1:8" x14ac:dyDescent="0.2">
      <c r="A2568" s="1186" t="s">
        <v>1572</v>
      </c>
      <c r="B2568" s="1186" t="s">
        <v>1991</v>
      </c>
      <c r="C2568" s="1186" t="s">
        <v>1983</v>
      </c>
      <c r="D2568" s="1186" t="s">
        <v>1982</v>
      </c>
      <c r="E2568" s="1186" t="s">
        <v>2031</v>
      </c>
      <c r="F2568" s="1186" t="s">
        <v>2033</v>
      </c>
      <c r="G2568" s="1186" t="s">
        <v>850</v>
      </c>
      <c r="H2568" s="1186">
        <v>9</v>
      </c>
    </row>
    <row r="2569" spans="1:8" x14ac:dyDescent="0.2">
      <c r="A2569" s="1186" t="s">
        <v>1572</v>
      </c>
      <c r="B2569" s="1186" t="s">
        <v>1991</v>
      </c>
      <c r="C2569" s="1186" t="s">
        <v>1983</v>
      </c>
      <c r="D2569" s="1186" t="s">
        <v>1982</v>
      </c>
      <c r="E2569" s="1186" t="s">
        <v>2031</v>
      </c>
      <c r="F2569" s="1186" t="s">
        <v>2033</v>
      </c>
      <c r="G2569" s="1186" t="s">
        <v>851</v>
      </c>
      <c r="H2569" s="1186">
        <v>1</v>
      </c>
    </row>
    <row r="2570" spans="1:8" x14ac:dyDescent="0.2">
      <c r="A2570" s="1186" t="s">
        <v>1572</v>
      </c>
      <c r="B2570" s="1186" t="s">
        <v>1991</v>
      </c>
      <c r="C2570" s="1186" t="s">
        <v>1983</v>
      </c>
      <c r="D2570" s="1186" t="s">
        <v>1982</v>
      </c>
      <c r="E2570" s="1186" t="s">
        <v>2031</v>
      </c>
      <c r="F2570" s="1186" t="s">
        <v>2033</v>
      </c>
      <c r="G2570" s="1186" t="s">
        <v>852</v>
      </c>
      <c r="H2570" s="1186">
        <v>3</v>
      </c>
    </row>
    <row r="2571" spans="1:8" x14ac:dyDescent="0.2">
      <c r="A2571" s="1186" t="s">
        <v>1572</v>
      </c>
      <c r="B2571" s="1186" t="s">
        <v>1991</v>
      </c>
      <c r="C2571" s="1186" t="s">
        <v>1983</v>
      </c>
      <c r="D2571" s="1186" t="s">
        <v>1982</v>
      </c>
      <c r="E2571" s="1186" t="s">
        <v>2031</v>
      </c>
      <c r="F2571" s="1186" t="s">
        <v>2034</v>
      </c>
      <c r="G2571" s="1186" t="s">
        <v>828</v>
      </c>
      <c r="H2571" s="1186">
        <v>10</v>
      </c>
    </row>
    <row r="2572" spans="1:8" x14ac:dyDescent="0.2">
      <c r="A2572" s="1186" t="s">
        <v>1572</v>
      </c>
      <c r="B2572" s="1186" t="s">
        <v>1991</v>
      </c>
      <c r="C2572" s="1186" t="s">
        <v>1983</v>
      </c>
      <c r="D2572" s="1186" t="s">
        <v>1982</v>
      </c>
      <c r="E2572" s="1186" t="s">
        <v>2031</v>
      </c>
      <c r="F2572" s="1186" t="s">
        <v>2034</v>
      </c>
      <c r="G2572" s="1186" t="s">
        <v>850</v>
      </c>
      <c r="H2572" s="1186">
        <v>1</v>
      </c>
    </row>
    <row r="2573" spans="1:8" x14ac:dyDescent="0.2">
      <c r="A2573" s="1186" t="s">
        <v>1572</v>
      </c>
      <c r="B2573" s="1186" t="s">
        <v>1991</v>
      </c>
      <c r="C2573" s="1186" t="s">
        <v>1983</v>
      </c>
      <c r="D2573" s="1186" t="s">
        <v>1982</v>
      </c>
      <c r="E2573" s="1186" t="s">
        <v>2031</v>
      </c>
      <c r="F2573" s="1186" t="s">
        <v>2034</v>
      </c>
      <c r="G2573" s="1186" t="s">
        <v>851</v>
      </c>
      <c r="H2573" s="1186">
        <v>1</v>
      </c>
    </row>
    <row r="2574" spans="1:8" x14ac:dyDescent="0.2">
      <c r="A2574" s="1186" t="s">
        <v>1572</v>
      </c>
      <c r="B2574" s="1186" t="s">
        <v>1991</v>
      </c>
      <c r="C2574" s="1186" t="s">
        <v>1983</v>
      </c>
      <c r="D2574" s="1186" t="s">
        <v>1982</v>
      </c>
      <c r="E2574" s="1186" t="s">
        <v>2035</v>
      </c>
      <c r="F2574" s="1186" t="s">
        <v>2032</v>
      </c>
      <c r="G2574" s="1186" t="s">
        <v>828</v>
      </c>
      <c r="H2574" s="1186">
        <v>9</v>
      </c>
    </row>
    <row r="2575" spans="1:8" x14ac:dyDescent="0.2">
      <c r="A2575" s="1186" t="s">
        <v>1572</v>
      </c>
      <c r="B2575" s="1186" t="s">
        <v>1991</v>
      </c>
      <c r="C2575" s="1186" t="s">
        <v>1983</v>
      </c>
      <c r="D2575" s="1186" t="s">
        <v>1982</v>
      </c>
      <c r="E2575" s="1186" t="s">
        <v>2035</v>
      </c>
      <c r="F2575" s="1186" t="s">
        <v>2032</v>
      </c>
      <c r="G2575" s="1186" t="s">
        <v>850</v>
      </c>
      <c r="H2575" s="1186">
        <v>1</v>
      </c>
    </row>
    <row r="2576" spans="1:8" x14ac:dyDescent="0.2">
      <c r="A2576" s="1186" t="s">
        <v>1572</v>
      </c>
      <c r="B2576" s="1186" t="s">
        <v>1991</v>
      </c>
      <c r="C2576" s="1186" t="s">
        <v>1983</v>
      </c>
      <c r="D2576" s="1186" t="s">
        <v>1982</v>
      </c>
      <c r="E2576" s="1186" t="s">
        <v>2035</v>
      </c>
      <c r="F2576" s="1186" t="s">
        <v>2032</v>
      </c>
      <c r="G2576" s="1186" t="s">
        <v>851</v>
      </c>
      <c r="H2576" s="1186">
        <v>4</v>
      </c>
    </row>
    <row r="2577" spans="1:8" x14ac:dyDescent="0.2">
      <c r="A2577" s="1186" t="s">
        <v>1572</v>
      </c>
      <c r="B2577" s="1186" t="s">
        <v>1991</v>
      </c>
      <c r="C2577" s="1186" t="s">
        <v>1983</v>
      </c>
      <c r="D2577" s="1186" t="s">
        <v>1982</v>
      </c>
      <c r="E2577" s="1186" t="s">
        <v>2035</v>
      </c>
      <c r="F2577" s="1186" t="s">
        <v>2032</v>
      </c>
      <c r="G2577" s="1186" t="s">
        <v>852</v>
      </c>
      <c r="H2577" s="1186">
        <v>13</v>
      </c>
    </row>
    <row r="2578" spans="1:8" x14ac:dyDescent="0.2">
      <c r="A2578" s="1186" t="s">
        <v>1572</v>
      </c>
      <c r="B2578" s="1186" t="s">
        <v>1991</v>
      </c>
      <c r="C2578" s="1186" t="s">
        <v>1983</v>
      </c>
      <c r="D2578" s="1186" t="s">
        <v>1982</v>
      </c>
      <c r="E2578" s="1186" t="s">
        <v>2035</v>
      </c>
      <c r="F2578" s="1186" t="s">
        <v>2033</v>
      </c>
      <c r="G2578" s="1186" t="s">
        <v>828</v>
      </c>
      <c r="H2578" s="1186">
        <v>53</v>
      </c>
    </row>
    <row r="2579" spans="1:8" x14ac:dyDescent="0.2">
      <c r="A2579" s="1186" t="s">
        <v>1572</v>
      </c>
      <c r="B2579" s="1186" t="s">
        <v>1991</v>
      </c>
      <c r="C2579" s="1186" t="s">
        <v>1983</v>
      </c>
      <c r="D2579" s="1186" t="s">
        <v>1982</v>
      </c>
      <c r="E2579" s="1186" t="s">
        <v>2035</v>
      </c>
      <c r="F2579" s="1186" t="s">
        <v>2033</v>
      </c>
      <c r="G2579" s="1186" t="s">
        <v>850</v>
      </c>
      <c r="H2579" s="1186">
        <v>5</v>
      </c>
    </row>
    <row r="2580" spans="1:8" x14ac:dyDescent="0.2">
      <c r="A2580" s="1186" t="s">
        <v>1572</v>
      </c>
      <c r="B2580" s="1186" t="s">
        <v>1991</v>
      </c>
      <c r="C2580" s="1186" t="s">
        <v>1983</v>
      </c>
      <c r="D2580" s="1186" t="s">
        <v>1982</v>
      </c>
      <c r="E2580" s="1186" t="s">
        <v>2035</v>
      </c>
      <c r="F2580" s="1186" t="s">
        <v>2033</v>
      </c>
      <c r="G2580" s="1186" t="s">
        <v>851</v>
      </c>
      <c r="H2580" s="1186">
        <v>82</v>
      </c>
    </row>
    <row r="2581" spans="1:8" x14ac:dyDescent="0.2">
      <c r="A2581" s="1186" t="s">
        <v>1572</v>
      </c>
      <c r="B2581" s="1186" t="s">
        <v>1991</v>
      </c>
      <c r="C2581" s="1186" t="s">
        <v>1983</v>
      </c>
      <c r="D2581" s="1186" t="s">
        <v>1982</v>
      </c>
      <c r="E2581" s="1186" t="s">
        <v>2035</v>
      </c>
      <c r="F2581" s="1186" t="s">
        <v>2033</v>
      </c>
      <c r="G2581" s="1186" t="s">
        <v>852</v>
      </c>
      <c r="H2581" s="1186">
        <v>33</v>
      </c>
    </row>
    <row r="2582" spans="1:8" x14ac:dyDescent="0.2">
      <c r="A2582" s="1186" t="s">
        <v>1572</v>
      </c>
      <c r="B2582" s="1186" t="s">
        <v>1991</v>
      </c>
      <c r="C2582" s="1186" t="s">
        <v>1983</v>
      </c>
      <c r="D2582" s="1186" t="s">
        <v>1982</v>
      </c>
      <c r="E2582" s="1186" t="s">
        <v>2035</v>
      </c>
      <c r="F2582" s="1186" t="s">
        <v>2034</v>
      </c>
      <c r="G2582" s="1186" t="s">
        <v>828</v>
      </c>
      <c r="H2582" s="1186">
        <v>67</v>
      </c>
    </row>
    <row r="2583" spans="1:8" x14ac:dyDescent="0.2">
      <c r="A2583" s="1186" t="s">
        <v>1572</v>
      </c>
      <c r="B2583" s="1186" t="s">
        <v>1991</v>
      </c>
      <c r="C2583" s="1186" t="s">
        <v>1983</v>
      </c>
      <c r="D2583" s="1186" t="s">
        <v>1982</v>
      </c>
      <c r="E2583" s="1186" t="s">
        <v>2035</v>
      </c>
      <c r="F2583" s="1186" t="s">
        <v>2034</v>
      </c>
      <c r="G2583" s="1186" t="s">
        <v>850</v>
      </c>
      <c r="H2583" s="1186">
        <v>13</v>
      </c>
    </row>
    <row r="2584" spans="1:8" x14ac:dyDescent="0.2">
      <c r="A2584" s="1186" t="s">
        <v>1572</v>
      </c>
      <c r="B2584" s="1186" t="s">
        <v>1991</v>
      </c>
      <c r="C2584" s="1186" t="s">
        <v>1983</v>
      </c>
      <c r="D2584" s="1186" t="s">
        <v>1982</v>
      </c>
      <c r="E2584" s="1186" t="s">
        <v>2035</v>
      </c>
      <c r="F2584" s="1186" t="s">
        <v>2034</v>
      </c>
      <c r="G2584" s="1186" t="s">
        <v>851</v>
      </c>
      <c r="H2584" s="1186">
        <v>26</v>
      </c>
    </row>
    <row r="2585" spans="1:8" x14ac:dyDescent="0.2">
      <c r="A2585" s="1186" t="s">
        <v>1572</v>
      </c>
      <c r="B2585" s="1186" t="s">
        <v>1991</v>
      </c>
      <c r="C2585" s="1186" t="s">
        <v>1983</v>
      </c>
      <c r="D2585" s="1186" t="s">
        <v>1982</v>
      </c>
      <c r="E2585" s="1186" t="s">
        <v>2035</v>
      </c>
      <c r="F2585" s="1186" t="s">
        <v>2034</v>
      </c>
      <c r="G2585" s="1186" t="s">
        <v>852</v>
      </c>
      <c r="H2585" s="1186">
        <v>34</v>
      </c>
    </row>
    <row r="2586" spans="1:8" x14ac:dyDescent="0.2">
      <c r="A2586" s="1186" t="s">
        <v>1572</v>
      </c>
      <c r="B2586" s="1186" t="s">
        <v>1992</v>
      </c>
      <c r="C2586" s="1186" t="s">
        <v>1983</v>
      </c>
      <c r="D2586" s="1186" t="s">
        <v>1984</v>
      </c>
      <c r="E2586" s="1186" t="s">
        <v>2031</v>
      </c>
      <c r="F2586" s="1186" t="s">
        <v>2032</v>
      </c>
      <c r="G2586" s="1186" t="s">
        <v>828</v>
      </c>
      <c r="H2586" s="1186">
        <v>2</v>
      </c>
    </row>
    <row r="2587" spans="1:8" x14ac:dyDescent="0.2">
      <c r="A2587" s="1186" t="s">
        <v>1572</v>
      </c>
      <c r="B2587" s="1186" t="s">
        <v>1992</v>
      </c>
      <c r="C2587" s="1186" t="s">
        <v>1983</v>
      </c>
      <c r="D2587" s="1186" t="s">
        <v>1984</v>
      </c>
      <c r="E2587" s="1186" t="s">
        <v>2031</v>
      </c>
      <c r="F2587" s="1186" t="s">
        <v>2032</v>
      </c>
      <c r="G2587" s="1186" t="s">
        <v>851</v>
      </c>
      <c r="H2587" s="1186">
        <v>1</v>
      </c>
    </row>
    <row r="2588" spans="1:8" x14ac:dyDescent="0.2">
      <c r="A2588" s="1186" t="s">
        <v>1572</v>
      </c>
      <c r="B2588" s="1186" t="s">
        <v>1992</v>
      </c>
      <c r="C2588" s="1186" t="s">
        <v>1983</v>
      </c>
      <c r="D2588" s="1186" t="s">
        <v>1984</v>
      </c>
      <c r="E2588" s="1186" t="s">
        <v>2031</v>
      </c>
      <c r="F2588" s="1186" t="s">
        <v>2032</v>
      </c>
      <c r="G2588" s="1186" t="s">
        <v>852</v>
      </c>
      <c r="H2588" s="1186">
        <v>1</v>
      </c>
    </row>
    <row r="2589" spans="1:8" x14ac:dyDescent="0.2">
      <c r="A2589" s="1186" t="s">
        <v>1572</v>
      </c>
      <c r="B2589" s="1186" t="s">
        <v>1992</v>
      </c>
      <c r="C2589" s="1186" t="s">
        <v>1983</v>
      </c>
      <c r="D2589" s="1186" t="s">
        <v>1984</v>
      </c>
      <c r="E2589" s="1186" t="s">
        <v>2031</v>
      </c>
      <c r="F2589" s="1186" t="s">
        <v>2033</v>
      </c>
      <c r="G2589" s="1186" t="s">
        <v>828</v>
      </c>
      <c r="H2589" s="1186">
        <v>50</v>
      </c>
    </row>
    <row r="2590" spans="1:8" x14ac:dyDescent="0.2">
      <c r="A2590" s="1186" t="s">
        <v>1572</v>
      </c>
      <c r="B2590" s="1186" t="s">
        <v>1992</v>
      </c>
      <c r="C2590" s="1186" t="s">
        <v>1983</v>
      </c>
      <c r="D2590" s="1186" t="s">
        <v>1984</v>
      </c>
      <c r="E2590" s="1186" t="s">
        <v>2031</v>
      </c>
      <c r="F2590" s="1186" t="s">
        <v>2033</v>
      </c>
      <c r="G2590" s="1186" t="s">
        <v>850</v>
      </c>
      <c r="H2590" s="1186">
        <v>9</v>
      </c>
    </row>
    <row r="2591" spans="1:8" x14ac:dyDescent="0.2">
      <c r="A2591" s="1186" t="s">
        <v>1572</v>
      </c>
      <c r="B2591" s="1186" t="s">
        <v>1992</v>
      </c>
      <c r="C2591" s="1186" t="s">
        <v>1983</v>
      </c>
      <c r="D2591" s="1186" t="s">
        <v>1984</v>
      </c>
      <c r="E2591" s="1186" t="s">
        <v>2031</v>
      </c>
      <c r="F2591" s="1186" t="s">
        <v>2033</v>
      </c>
      <c r="G2591" s="1186" t="s">
        <v>852</v>
      </c>
      <c r="H2591" s="1186">
        <v>3</v>
      </c>
    </row>
    <row r="2592" spans="1:8" x14ac:dyDescent="0.2">
      <c r="A2592" s="1186" t="s">
        <v>1572</v>
      </c>
      <c r="B2592" s="1186" t="s">
        <v>1992</v>
      </c>
      <c r="C2592" s="1186" t="s">
        <v>1983</v>
      </c>
      <c r="D2592" s="1186" t="s">
        <v>1984</v>
      </c>
      <c r="E2592" s="1186" t="s">
        <v>2031</v>
      </c>
      <c r="F2592" s="1186" t="s">
        <v>2034</v>
      </c>
      <c r="G2592" s="1186" t="s">
        <v>828</v>
      </c>
      <c r="H2592" s="1186">
        <v>18</v>
      </c>
    </row>
    <row r="2593" spans="1:8" x14ac:dyDescent="0.2">
      <c r="A2593" s="1186" t="s">
        <v>1572</v>
      </c>
      <c r="B2593" s="1186" t="s">
        <v>1992</v>
      </c>
      <c r="C2593" s="1186" t="s">
        <v>1983</v>
      </c>
      <c r="D2593" s="1186" t="s">
        <v>1984</v>
      </c>
      <c r="E2593" s="1186" t="s">
        <v>2031</v>
      </c>
      <c r="F2593" s="1186" t="s">
        <v>2034</v>
      </c>
      <c r="G2593" s="1186" t="s">
        <v>850</v>
      </c>
      <c r="H2593" s="1186">
        <v>2</v>
      </c>
    </row>
    <row r="2594" spans="1:8" x14ac:dyDescent="0.2">
      <c r="A2594" s="1186" t="s">
        <v>1572</v>
      </c>
      <c r="B2594" s="1186" t="s">
        <v>1992</v>
      </c>
      <c r="C2594" s="1186" t="s">
        <v>1983</v>
      </c>
      <c r="D2594" s="1186" t="s">
        <v>1984</v>
      </c>
      <c r="E2594" s="1186" t="s">
        <v>2031</v>
      </c>
      <c r="F2594" s="1186" t="s">
        <v>2034</v>
      </c>
      <c r="G2594" s="1186" t="s">
        <v>851</v>
      </c>
      <c r="H2594" s="1186">
        <v>1</v>
      </c>
    </row>
    <row r="2595" spans="1:8" x14ac:dyDescent="0.2">
      <c r="A2595" s="1186" t="s">
        <v>1572</v>
      </c>
      <c r="B2595" s="1186" t="s">
        <v>1992</v>
      </c>
      <c r="C2595" s="1186" t="s">
        <v>1983</v>
      </c>
      <c r="D2595" s="1186" t="s">
        <v>1984</v>
      </c>
      <c r="E2595" s="1186" t="s">
        <v>2035</v>
      </c>
      <c r="F2595" s="1186" t="s">
        <v>2032</v>
      </c>
      <c r="G2595" s="1186" t="s">
        <v>828</v>
      </c>
      <c r="H2595" s="1186">
        <v>10</v>
      </c>
    </row>
    <row r="2596" spans="1:8" x14ac:dyDescent="0.2">
      <c r="A2596" s="1186" t="s">
        <v>1572</v>
      </c>
      <c r="B2596" s="1186" t="s">
        <v>1992</v>
      </c>
      <c r="C2596" s="1186" t="s">
        <v>1983</v>
      </c>
      <c r="D2596" s="1186" t="s">
        <v>1984</v>
      </c>
      <c r="E2596" s="1186" t="s">
        <v>2035</v>
      </c>
      <c r="F2596" s="1186" t="s">
        <v>2032</v>
      </c>
      <c r="G2596" s="1186" t="s">
        <v>850</v>
      </c>
      <c r="H2596" s="1186">
        <v>2</v>
      </c>
    </row>
    <row r="2597" spans="1:8" x14ac:dyDescent="0.2">
      <c r="A2597" s="1186" t="s">
        <v>1572</v>
      </c>
      <c r="B2597" s="1186" t="s">
        <v>1992</v>
      </c>
      <c r="C2597" s="1186" t="s">
        <v>1983</v>
      </c>
      <c r="D2597" s="1186" t="s">
        <v>1984</v>
      </c>
      <c r="E2597" s="1186" t="s">
        <v>2035</v>
      </c>
      <c r="F2597" s="1186" t="s">
        <v>2032</v>
      </c>
      <c r="G2597" s="1186" t="s">
        <v>851</v>
      </c>
      <c r="H2597" s="1186">
        <v>11</v>
      </c>
    </row>
    <row r="2598" spans="1:8" x14ac:dyDescent="0.2">
      <c r="A2598" s="1186" t="s">
        <v>1572</v>
      </c>
      <c r="B2598" s="1186" t="s">
        <v>1992</v>
      </c>
      <c r="C2598" s="1186" t="s">
        <v>1983</v>
      </c>
      <c r="D2598" s="1186" t="s">
        <v>1984</v>
      </c>
      <c r="E2598" s="1186" t="s">
        <v>2035</v>
      </c>
      <c r="F2598" s="1186" t="s">
        <v>2032</v>
      </c>
      <c r="G2598" s="1186" t="s">
        <v>852</v>
      </c>
      <c r="H2598" s="1186">
        <v>8</v>
      </c>
    </row>
    <row r="2599" spans="1:8" x14ac:dyDescent="0.2">
      <c r="A2599" s="1186" t="s">
        <v>1572</v>
      </c>
      <c r="B2599" s="1186" t="s">
        <v>1992</v>
      </c>
      <c r="C2599" s="1186" t="s">
        <v>1983</v>
      </c>
      <c r="D2599" s="1186" t="s">
        <v>1984</v>
      </c>
      <c r="E2599" s="1186" t="s">
        <v>2035</v>
      </c>
      <c r="F2599" s="1186" t="s">
        <v>2033</v>
      </c>
      <c r="G2599" s="1186" t="s">
        <v>828</v>
      </c>
      <c r="H2599" s="1186">
        <v>73</v>
      </c>
    </row>
    <row r="2600" spans="1:8" x14ac:dyDescent="0.2">
      <c r="A2600" s="1186" t="s">
        <v>1572</v>
      </c>
      <c r="B2600" s="1186" t="s">
        <v>1992</v>
      </c>
      <c r="C2600" s="1186" t="s">
        <v>1983</v>
      </c>
      <c r="D2600" s="1186" t="s">
        <v>1984</v>
      </c>
      <c r="E2600" s="1186" t="s">
        <v>2035</v>
      </c>
      <c r="F2600" s="1186" t="s">
        <v>2033</v>
      </c>
      <c r="G2600" s="1186" t="s">
        <v>850</v>
      </c>
      <c r="H2600" s="1186">
        <v>6</v>
      </c>
    </row>
    <row r="2601" spans="1:8" x14ac:dyDescent="0.2">
      <c r="A2601" s="1186" t="s">
        <v>1572</v>
      </c>
      <c r="B2601" s="1186" t="s">
        <v>1992</v>
      </c>
      <c r="C2601" s="1186" t="s">
        <v>1983</v>
      </c>
      <c r="D2601" s="1186" t="s">
        <v>1984</v>
      </c>
      <c r="E2601" s="1186" t="s">
        <v>2035</v>
      </c>
      <c r="F2601" s="1186" t="s">
        <v>2033</v>
      </c>
      <c r="G2601" s="1186" t="s">
        <v>851</v>
      </c>
      <c r="H2601" s="1186">
        <v>84</v>
      </c>
    </row>
    <row r="2602" spans="1:8" x14ac:dyDescent="0.2">
      <c r="A2602" s="1186" t="s">
        <v>1572</v>
      </c>
      <c r="B2602" s="1186" t="s">
        <v>1992</v>
      </c>
      <c r="C2602" s="1186" t="s">
        <v>1983</v>
      </c>
      <c r="D2602" s="1186" t="s">
        <v>1984</v>
      </c>
      <c r="E2602" s="1186" t="s">
        <v>2035</v>
      </c>
      <c r="F2602" s="1186" t="s">
        <v>2033</v>
      </c>
      <c r="G2602" s="1186" t="s">
        <v>852</v>
      </c>
      <c r="H2602" s="1186">
        <v>23</v>
      </c>
    </row>
    <row r="2603" spans="1:8" x14ac:dyDescent="0.2">
      <c r="A2603" s="1186" t="s">
        <v>1572</v>
      </c>
      <c r="B2603" s="1186" t="s">
        <v>1992</v>
      </c>
      <c r="C2603" s="1186" t="s">
        <v>1983</v>
      </c>
      <c r="D2603" s="1186" t="s">
        <v>1984</v>
      </c>
      <c r="E2603" s="1186" t="s">
        <v>2035</v>
      </c>
      <c r="F2603" s="1186" t="s">
        <v>2034</v>
      </c>
      <c r="G2603" s="1186" t="s">
        <v>828</v>
      </c>
      <c r="H2603" s="1186">
        <v>79</v>
      </c>
    </row>
    <row r="2604" spans="1:8" x14ac:dyDescent="0.2">
      <c r="A2604" s="1186" t="s">
        <v>1572</v>
      </c>
      <c r="B2604" s="1186" t="s">
        <v>1992</v>
      </c>
      <c r="C2604" s="1186" t="s">
        <v>1983</v>
      </c>
      <c r="D2604" s="1186" t="s">
        <v>1984</v>
      </c>
      <c r="E2604" s="1186" t="s">
        <v>2035</v>
      </c>
      <c r="F2604" s="1186" t="s">
        <v>2034</v>
      </c>
      <c r="G2604" s="1186" t="s">
        <v>850</v>
      </c>
      <c r="H2604" s="1186">
        <v>30</v>
      </c>
    </row>
    <row r="2605" spans="1:8" x14ac:dyDescent="0.2">
      <c r="A2605" s="1186" t="s">
        <v>1572</v>
      </c>
      <c r="B2605" s="1186" t="s">
        <v>1992</v>
      </c>
      <c r="C2605" s="1186" t="s">
        <v>1983</v>
      </c>
      <c r="D2605" s="1186" t="s">
        <v>1984</v>
      </c>
      <c r="E2605" s="1186" t="s">
        <v>2035</v>
      </c>
      <c r="F2605" s="1186" t="s">
        <v>2034</v>
      </c>
      <c r="G2605" s="1186" t="s">
        <v>851</v>
      </c>
      <c r="H2605" s="1186">
        <v>20</v>
      </c>
    </row>
    <row r="2606" spans="1:8" x14ac:dyDescent="0.2">
      <c r="A2606" s="1186" t="s">
        <v>1572</v>
      </c>
      <c r="B2606" s="1186" t="s">
        <v>1992</v>
      </c>
      <c r="C2606" s="1186" t="s">
        <v>1983</v>
      </c>
      <c r="D2606" s="1186" t="s">
        <v>1984</v>
      </c>
      <c r="E2606" s="1186" t="s">
        <v>2035</v>
      </c>
      <c r="F2606" s="1186" t="s">
        <v>2034</v>
      </c>
      <c r="G2606" s="1186" t="s">
        <v>852</v>
      </c>
      <c r="H2606" s="1186">
        <v>69</v>
      </c>
    </row>
    <row r="2607" spans="1:8" x14ac:dyDescent="0.2">
      <c r="A2607" s="1186" t="s">
        <v>1572</v>
      </c>
      <c r="B2607" s="1186" t="s">
        <v>1993</v>
      </c>
      <c r="C2607" s="1186" t="s">
        <v>1983</v>
      </c>
      <c r="D2607" s="1186" t="s">
        <v>1984</v>
      </c>
      <c r="E2607" s="1186" t="s">
        <v>2031</v>
      </c>
      <c r="F2607" s="1186" t="s">
        <v>2032</v>
      </c>
      <c r="G2607" s="1186" t="s">
        <v>828</v>
      </c>
      <c r="H2607" s="1186">
        <v>2</v>
      </c>
    </row>
    <row r="2608" spans="1:8" x14ac:dyDescent="0.2">
      <c r="A2608" s="1186" t="s">
        <v>1572</v>
      </c>
      <c r="B2608" s="1186" t="s">
        <v>1993</v>
      </c>
      <c r="C2608" s="1186" t="s">
        <v>1983</v>
      </c>
      <c r="D2608" s="1186" t="s">
        <v>1984</v>
      </c>
      <c r="E2608" s="1186" t="s">
        <v>2031</v>
      </c>
      <c r="F2608" s="1186" t="s">
        <v>2033</v>
      </c>
      <c r="G2608" s="1186" t="s">
        <v>828</v>
      </c>
      <c r="H2608" s="1186">
        <v>76</v>
      </c>
    </row>
    <row r="2609" spans="1:8" x14ac:dyDescent="0.2">
      <c r="A2609" s="1186" t="s">
        <v>1572</v>
      </c>
      <c r="B2609" s="1186" t="s">
        <v>1993</v>
      </c>
      <c r="C2609" s="1186" t="s">
        <v>1983</v>
      </c>
      <c r="D2609" s="1186" t="s">
        <v>1984</v>
      </c>
      <c r="E2609" s="1186" t="s">
        <v>2031</v>
      </c>
      <c r="F2609" s="1186" t="s">
        <v>2033</v>
      </c>
      <c r="G2609" s="1186" t="s">
        <v>850</v>
      </c>
      <c r="H2609" s="1186">
        <v>9</v>
      </c>
    </row>
    <row r="2610" spans="1:8" x14ac:dyDescent="0.2">
      <c r="A2610" s="1186" t="s">
        <v>1572</v>
      </c>
      <c r="B2610" s="1186" t="s">
        <v>1993</v>
      </c>
      <c r="C2610" s="1186" t="s">
        <v>1983</v>
      </c>
      <c r="D2610" s="1186" t="s">
        <v>1984</v>
      </c>
      <c r="E2610" s="1186" t="s">
        <v>2031</v>
      </c>
      <c r="F2610" s="1186" t="s">
        <v>2033</v>
      </c>
      <c r="G2610" s="1186" t="s">
        <v>851</v>
      </c>
      <c r="H2610" s="1186">
        <v>7</v>
      </c>
    </row>
    <row r="2611" spans="1:8" x14ac:dyDescent="0.2">
      <c r="A2611" s="1186" t="s">
        <v>1572</v>
      </c>
      <c r="B2611" s="1186" t="s">
        <v>1993</v>
      </c>
      <c r="C2611" s="1186" t="s">
        <v>1983</v>
      </c>
      <c r="D2611" s="1186" t="s">
        <v>1984</v>
      </c>
      <c r="E2611" s="1186" t="s">
        <v>2031</v>
      </c>
      <c r="F2611" s="1186" t="s">
        <v>2033</v>
      </c>
      <c r="G2611" s="1186" t="s">
        <v>852</v>
      </c>
      <c r="H2611" s="1186">
        <v>5</v>
      </c>
    </row>
    <row r="2612" spans="1:8" x14ac:dyDescent="0.2">
      <c r="A2612" s="1186" t="s">
        <v>1572</v>
      </c>
      <c r="B2612" s="1186" t="s">
        <v>1993</v>
      </c>
      <c r="C2612" s="1186" t="s">
        <v>1983</v>
      </c>
      <c r="D2612" s="1186" t="s">
        <v>1984</v>
      </c>
      <c r="E2612" s="1186" t="s">
        <v>2031</v>
      </c>
      <c r="F2612" s="1186" t="s">
        <v>2034</v>
      </c>
      <c r="G2612" s="1186" t="s">
        <v>828</v>
      </c>
      <c r="H2612" s="1186">
        <v>18</v>
      </c>
    </row>
    <row r="2613" spans="1:8" x14ac:dyDescent="0.2">
      <c r="A2613" s="1186" t="s">
        <v>1572</v>
      </c>
      <c r="B2613" s="1186" t="s">
        <v>1993</v>
      </c>
      <c r="C2613" s="1186" t="s">
        <v>1983</v>
      </c>
      <c r="D2613" s="1186" t="s">
        <v>1984</v>
      </c>
      <c r="E2613" s="1186" t="s">
        <v>2031</v>
      </c>
      <c r="F2613" s="1186" t="s">
        <v>2034</v>
      </c>
      <c r="G2613" s="1186" t="s">
        <v>850</v>
      </c>
      <c r="H2613" s="1186">
        <v>1</v>
      </c>
    </row>
    <row r="2614" spans="1:8" x14ac:dyDescent="0.2">
      <c r="A2614" s="1186" t="s">
        <v>1572</v>
      </c>
      <c r="B2614" s="1186" t="s">
        <v>1993</v>
      </c>
      <c r="C2614" s="1186" t="s">
        <v>1983</v>
      </c>
      <c r="D2614" s="1186" t="s">
        <v>1984</v>
      </c>
      <c r="E2614" s="1186" t="s">
        <v>2035</v>
      </c>
      <c r="F2614" s="1186" t="s">
        <v>2032</v>
      </c>
      <c r="G2614" s="1186" t="s">
        <v>828</v>
      </c>
      <c r="H2614" s="1186">
        <v>7</v>
      </c>
    </row>
    <row r="2615" spans="1:8" x14ac:dyDescent="0.2">
      <c r="A2615" s="1186" t="s">
        <v>1572</v>
      </c>
      <c r="B2615" s="1186" t="s">
        <v>1993</v>
      </c>
      <c r="C2615" s="1186" t="s">
        <v>1983</v>
      </c>
      <c r="D2615" s="1186" t="s">
        <v>1984</v>
      </c>
      <c r="E2615" s="1186" t="s">
        <v>2035</v>
      </c>
      <c r="F2615" s="1186" t="s">
        <v>2032</v>
      </c>
      <c r="G2615" s="1186" t="s">
        <v>850</v>
      </c>
      <c r="H2615" s="1186">
        <v>1</v>
      </c>
    </row>
    <row r="2616" spans="1:8" x14ac:dyDescent="0.2">
      <c r="A2616" s="1186" t="s">
        <v>1572</v>
      </c>
      <c r="B2616" s="1186" t="s">
        <v>1993</v>
      </c>
      <c r="C2616" s="1186" t="s">
        <v>1983</v>
      </c>
      <c r="D2616" s="1186" t="s">
        <v>1984</v>
      </c>
      <c r="E2616" s="1186" t="s">
        <v>2035</v>
      </c>
      <c r="F2616" s="1186" t="s">
        <v>2032</v>
      </c>
      <c r="G2616" s="1186" t="s">
        <v>851</v>
      </c>
      <c r="H2616" s="1186">
        <v>10</v>
      </c>
    </row>
    <row r="2617" spans="1:8" x14ac:dyDescent="0.2">
      <c r="A2617" s="1186" t="s">
        <v>1572</v>
      </c>
      <c r="B2617" s="1186" t="s">
        <v>1993</v>
      </c>
      <c r="C2617" s="1186" t="s">
        <v>1983</v>
      </c>
      <c r="D2617" s="1186" t="s">
        <v>1984</v>
      </c>
      <c r="E2617" s="1186" t="s">
        <v>2035</v>
      </c>
      <c r="F2617" s="1186" t="s">
        <v>2032</v>
      </c>
      <c r="G2617" s="1186" t="s">
        <v>852</v>
      </c>
      <c r="H2617" s="1186">
        <v>11</v>
      </c>
    </row>
    <row r="2618" spans="1:8" x14ac:dyDescent="0.2">
      <c r="A2618" s="1186" t="s">
        <v>1572</v>
      </c>
      <c r="B2618" s="1186" t="s">
        <v>1993</v>
      </c>
      <c r="C2618" s="1186" t="s">
        <v>1983</v>
      </c>
      <c r="D2618" s="1186" t="s">
        <v>1984</v>
      </c>
      <c r="E2618" s="1186" t="s">
        <v>2035</v>
      </c>
      <c r="F2618" s="1186" t="s">
        <v>2033</v>
      </c>
      <c r="G2618" s="1186" t="s">
        <v>828</v>
      </c>
      <c r="H2618" s="1186">
        <v>42</v>
      </c>
    </row>
    <row r="2619" spans="1:8" x14ac:dyDescent="0.2">
      <c r="A2619" s="1186" t="s">
        <v>1572</v>
      </c>
      <c r="B2619" s="1186" t="s">
        <v>1993</v>
      </c>
      <c r="C2619" s="1186" t="s">
        <v>1983</v>
      </c>
      <c r="D2619" s="1186" t="s">
        <v>1984</v>
      </c>
      <c r="E2619" s="1186" t="s">
        <v>2035</v>
      </c>
      <c r="F2619" s="1186" t="s">
        <v>2033</v>
      </c>
      <c r="G2619" s="1186" t="s">
        <v>850</v>
      </c>
      <c r="H2619" s="1186">
        <v>8</v>
      </c>
    </row>
    <row r="2620" spans="1:8" x14ac:dyDescent="0.2">
      <c r="A2620" s="1186" t="s">
        <v>1572</v>
      </c>
      <c r="B2620" s="1186" t="s">
        <v>1993</v>
      </c>
      <c r="C2620" s="1186" t="s">
        <v>1983</v>
      </c>
      <c r="D2620" s="1186" t="s">
        <v>1984</v>
      </c>
      <c r="E2620" s="1186" t="s">
        <v>2035</v>
      </c>
      <c r="F2620" s="1186" t="s">
        <v>2033</v>
      </c>
      <c r="G2620" s="1186" t="s">
        <v>851</v>
      </c>
      <c r="H2620" s="1186">
        <v>104</v>
      </c>
    </row>
    <row r="2621" spans="1:8" x14ac:dyDescent="0.2">
      <c r="A2621" s="1186" t="s">
        <v>1572</v>
      </c>
      <c r="B2621" s="1186" t="s">
        <v>1993</v>
      </c>
      <c r="C2621" s="1186" t="s">
        <v>1983</v>
      </c>
      <c r="D2621" s="1186" t="s">
        <v>1984</v>
      </c>
      <c r="E2621" s="1186" t="s">
        <v>2035</v>
      </c>
      <c r="F2621" s="1186" t="s">
        <v>2033</v>
      </c>
      <c r="G2621" s="1186" t="s">
        <v>852</v>
      </c>
      <c r="H2621" s="1186">
        <v>31</v>
      </c>
    </row>
    <row r="2622" spans="1:8" x14ac:dyDescent="0.2">
      <c r="A2622" s="1186" t="s">
        <v>1572</v>
      </c>
      <c r="B2622" s="1186" t="s">
        <v>1993</v>
      </c>
      <c r="C2622" s="1186" t="s">
        <v>1983</v>
      </c>
      <c r="D2622" s="1186" t="s">
        <v>1984</v>
      </c>
      <c r="E2622" s="1186" t="s">
        <v>2035</v>
      </c>
      <c r="F2622" s="1186" t="s">
        <v>2034</v>
      </c>
      <c r="G2622" s="1186" t="s">
        <v>828</v>
      </c>
      <c r="H2622" s="1186">
        <v>100</v>
      </c>
    </row>
    <row r="2623" spans="1:8" x14ac:dyDescent="0.2">
      <c r="A2623" s="1186" t="s">
        <v>1572</v>
      </c>
      <c r="B2623" s="1186" t="s">
        <v>1993</v>
      </c>
      <c r="C2623" s="1186" t="s">
        <v>1983</v>
      </c>
      <c r="D2623" s="1186" t="s">
        <v>1984</v>
      </c>
      <c r="E2623" s="1186" t="s">
        <v>2035</v>
      </c>
      <c r="F2623" s="1186" t="s">
        <v>2034</v>
      </c>
      <c r="G2623" s="1186" t="s">
        <v>850</v>
      </c>
      <c r="H2623" s="1186">
        <v>25</v>
      </c>
    </row>
    <row r="2624" spans="1:8" x14ac:dyDescent="0.2">
      <c r="A2624" s="1186" t="s">
        <v>1572</v>
      </c>
      <c r="B2624" s="1186" t="s">
        <v>1993</v>
      </c>
      <c r="C2624" s="1186" t="s">
        <v>1983</v>
      </c>
      <c r="D2624" s="1186" t="s">
        <v>1984</v>
      </c>
      <c r="E2624" s="1186" t="s">
        <v>2035</v>
      </c>
      <c r="F2624" s="1186" t="s">
        <v>2034</v>
      </c>
      <c r="G2624" s="1186" t="s">
        <v>851</v>
      </c>
      <c r="H2624" s="1186">
        <v>58</v>
      </c>
    </row>
    <row r="2625" spans="1:8" x14ac:dyDescent="0.2">
      <c r="A2625" s="1186" t="s">
        <v>1572</v>
      </c>
      <c r="B2625" s="1186" t="s">
        <v>1993</v>
      </c>
      <c r="C2625" s="1186" t="s">
        <v>1983</v>
      </c>
      <c r="D2625" s="1186" t="s">
        <v>1984</v>
      </c>
      <c r="E2625" s="1186" t="s">
        <v>2035</v>
      </c>
      <c r="F2625" s="1186" t="s">
        <v>2034</v>
      </c>
      <c r="G2625" s="1186" t="s">
        <v>852</v>
      </c>
      <c r="H2625" s="1186">
        <v>66</v>
      </c>
    </row>
    <row r="2626" spans="1:8" x14ac:dyDescent="0.2">
      <c r="A2626" s="1186" t="s">
        <v>1572</v>
      </c>
      <c r="B2626" s="1186" t="s">
        <v>1994</v>
      </c>
      <c r="C2626" s="1186" t="s">
        <v>1985</v>
      </c>
      <c r="D2626" s="1186" t="s">
        <v>1984</v>
      </c>
      <c r="E2626" s="1186" t="s">
        <v>2031</v>
      </c>
      <c r="F2626" s="1186" t="s">
        <v>2032</v>
      </c>
      <c r="G2626" s="1186" t="s">
        <v>828</v>
      </c>
      <c r="H2626" s="1186">
        <v>4</v>
      </c>
    </row>
    <row r="2627" spans="1:8" x14ac:dyDescent="0.2">
      <c r="A2627" s="1186" t="s">
        <v>1572</v>
      </c>
      <c r="B2627" s="1186" t="s">
        <v>1994</v>
      </c>
      <c r="C2627" s="1186" t="s">
        <v>1985</v>
      </c>
      <c r="D2627" s="1186" t="s">
        <v>1984</v>
      </c>
      <c r="E2627" s="1186" t="s">
        <v>2031</v>
      </c>
      <c r="F2627" s="1186" t="s">
        <v>2033</v>
      </c>
      <c r="G2627" s="1186" t="s">
        <v>828</v>
      </c>
      <c r="H2627" s="1186">
        <v>63</v>
      </c>
    </row>
    <row r="2628" spans="1:8" x14ac:dyDescent="0.2">
      <c r="A2628" s="1186" t="s">
        <v>1572</v>
      </c>
      <c r="B2628" s="1186" t="s">
        <v>1994</v>
      </c>
      <c r="C2628" s="1186" t="s">
        <v>1985</v>
      </c>
      <c r="D2628" s="1186" t="s">
        <v>1984</v>
      </c>
      <c r="E2628" s="1186" t="s">
        <v>2031</v>
      </c>
      <c r="F2628" s="1186" t="s">
        <v>2033</v>
      </c>
      <c r="G2628" s="1186" t="s">
        <v>850</v>
      </c>
      <c r="H2628" s="1186">
        <v>4</v>
      </c>
    </row>
    <row r="2629" spans="1:8" x14ac:dyDescent="0.2">
      <c r="A2629" s="1186" t="s">
        <v>1572</v>
      </c>
      <c r="B2629" s="1186" t="s">
        <v>1994</v>
      </c>
      <c r="C2629" s="1186" t="s">
        <v>1985</v>
      </c>
      <c r="D2629" s="1186" t="s">
        <v>1984</v>
      </c>
      <c r="E2629" s="1186" t="s">
        <v>2031</v>
      </c>
      <c r="F2629" s="1186" t="s">
        <v>2033</v>
      </c>
      <c r="G2629" s="1186" t="s">
        <v>851</v>
      </c>
      <c r="H2629" s="1186">
        <v>1</v>
      </c>
    </row>
    <row r="2630" spans="1:8" x14ac:dyDescent="0.2">
      <c r="A2630" s="1186" t="s">
        <v>1572</v>
      </c>
      <c r="B2630" s="1186" t="s">
        <v>1994</v>
      </c>
      <c r="C2630" s="1186" t="s">
        <v>1985</v>
      </c>
      <c r="D2630" s="1186" t="s">
        <v>1984</v>
      </c>
      <c r="E2630" s="1186" t="s">
        <v>2031</v>
      </c>
      <c r="F2630" s="1186" t="s">
        <v>2033</v>
      </c>
      <c r="G2630" s="1186" t="s">
        <v>852</v>
      </c>
      <c r="H2630" s="1186">
        <v>6</v>
      </c>
    </row>
    <row r="2631" spans="1:8" x14ac:dyDescent="0.2">
      <c r="A2631" s="1186" t="s">
        <v>1572</v>
      </c>
      <c r="B2631" s="1186" t="s">
        <v>1994</v>
      </c>
      <c r="C2631" s="1186" t="s">
        <v>1985</v>
      </c>
      <c r="D2631" s="1186" t="s">
        <v>1984</v>
      </c>
      <c r="E2631" s="1186" t="s">
        <v>2031</v>
      </c>
      <c r="F2631" s="1186" t="s">
        <v>2034</v>
      </c>
      <c r="G2631" s="1186" t="s">
        <v>828</v>
      </c>
      <c r="H2631" s="1186">
        <v>11</v>
      </c>
    </row>
    <row r="2632" spans="1:8" x14ac:dyDescent="0.2">
      <c r="A2632" s="1186" t="s">
        <v>1572</v>
      </c>
      <c r="B2632" s="1186" t="s">
        <v>1994</v>
      </c>
      <c r="C2632" s="1186" t="s">
        <v>1985</v>
      </c>
      <c r="D2632" s="1186" t="s">
        <v>1984</v>
      </c>
      <c r="E2632" s="1186" t="s">
        <v>2031</v>
      </c>
      <c r="F2632" s="1186" t="s">
        <v>2034</v>
      </c>
      <c r="G2632" s="1186" t="s">
        <v>850</v>
      </c>
      <c r="H2632" s="1186">
        <v>1</v>
      </c>
    </row>
    <row r="2633" spans="1:8" x14ac:dyDescent="0.2">
      <c r="A2633" s="1186" t="s">
        <v>1572</v>
      </c>
      <c r="B2633" s="1186" t="s">
        <v>1994</v>
      </c>
      <c r="C2633" s="1186" t="s">
        <v>1985</v>
      </c>
      <c r="D2633" s="1186" t="s">
        <v>1984</v>
      </c>
      <c r="E2633" s="1186" t="s">
        <v>2031</v>
      </c>
      <c r="F2633" s="1186" t="s">
        <v>2034</v>
      </c>
      <c r="G2633" s="1186" t="s">
        <v>851</v>
      </c>
      <c r="H2633" s="1186">
        <v>1</v>
      </c>
    </row>
    <row r="2634" spans="1:8" x14ac:dyDescent="0.2">
      <c r="A2634" s="1186" t="s">
        <v>1572</v>
      </c>
      <c r="B2634" s="1186" t="s">
        <v>1994</v>
      </c>
      <c r="C2634" s="1186" t="s">
        <v>1985</v>
      </c>
      <c r="D2634" s="1186" t="s">
        <v>1984</v>
      </c>
      <c r="E2634" s="1186" t="s">
        <v>2035</v>
      </c>
      <c r="F2634" s="1186" t="s">
        <v>2032</v>
      </c>
      <c r="G2634" s="1186" t="s">
        <v>828</v>
      </c>
      <c r="H2634" s="1186">
        <v>14</v>
      </c>
    </row>
    <row r="2635" spans="1:8" x14ac:dyDescent="0.2">
      <c r="A2635" s="1186" t="s">
        <v>1572</v>
      </c>
      <c r="B2635" s="1186" t="s">
        <v>1994</v>
      </c>
      <c r="C2635" s="1186" t="s">
        <v>1985</v>
      </c>
      <c r="D2635" s="1186" t="s">
        <v>1984</v>
      </c>
      <c r="E2635" s="1186" t="s">
        <v>2035</v>
      </c>
      <c r="F2635" s="1186" t="s">
        <v>2032</v>
      </c>
      <c r="G2635" s="1186" t="s">
        <v>851</v>
      </c>
      <c r="H2635" s="1186">
        <v>5</v>
      </c>
    </row>
    <row r="2636" spans="1:8" x14ac:dyDescent="0.2">
      <c r="A2636" s="1186" t="s">
        <v>1572</v>
      </c>
      <c r="B2636" s="1186" t="s">
        <v>1994</v>
      </c>
      <c r="C2636" s="1186" t="s">
        <v>1985</v>
      </c>
      <c r="D2636" s="1186" t="s">
        <v>1984</v>
      </c>
      <c r="E2636" s="1186" t="s">
        <v>2035</v>
      </c>
      <c r="F2636" s="1186" t="s">
        <v>2032</v>
      </c>
      <c r="G2636" s="1186" t="s">
        <v>852</v>
      </c>
      <c r="H2636" s="1186">
        <v>3</v>
      </c>
    </row>
    <row r="2637" spans="1:8" x14ac:dyDescent="0.2">
      <c r="A2637" s="1186" t="s">
        <v>1572</v>
      </c>
      <c r="B2637" s="1186" t="s">
        <v>1994</v>
      </c>
      <c r="C2637" s="1186" t="s">
        <v>1985</v>
      </c>
      <c r="D2637" s="1186" t="s">
        <v>1984</v>
      </c>
      <c r="E2637" s="1186" t="s">
        <v>2035</v>
      </c>
      <c r="F2637" s="1186" t="s">
        <v>2033</v>
      </c>
      <c r="G2637" s="1186" t="s">
        <v>828</v>
      </c>
      <c r="H2637" s="1186">
        <v>58</v>
      </c>
    </row>
    <row r="2638" spans="1:8" x14ac:dyDescent="0.2">
      <c r="A2638" s="1186" t="s">
        <v>1572</v>
      </c>
      <c r="B2638" s="1186" t="s">
        <v>1994</v>
      </c>
      <c r="C2638" s="1186" t="s">
        <v>1985</v>
      </c>
      <c r="D2638" s="1186" t="s">
        <v>1984</v>
      </c>
      <c r="E2638" s="1186" t="s">
        <v>2035</v>
      </c>
      <c r="F2638" s="1186" t="s">
        <v>2033</v>
      </c>
      <c r="G2638" s="1186" t="s">
        <v>850</v>
      </c>
      <c r="H2638" s="1186">
        <v>6</v>
      </c>
    </row>
    <row r="2639" spans="1:8" x14ac:dyDescent="0.2">
      <c r="A2639" s="1186" t="s">
        <v>1572</v>
      </c>
      <c r="B2639" s="1186" t="s">
        <v>1994</v>
      </c>
      <c r="C2639" s="1186" t="s">
        <v>1985</v>
      </c>
      <c r="D2639" s="1186" t="s">
        <v>1984</v>
      </c>
      <c r="E2639" s="1186" t="s">
        <v>2035</v>
      </c>
      <c r="F2639" s="1186" t="s">
        <v>2033</v>
      </c>
      <c r="G2639" s="1186" t="s">
        <v>851</v>
      </c>
      <c r="H2639" s="1186">
        <v>92</v>
      </c>
    </row>
    <row r="2640" spans="1:8" x14ac:dyDescent="0.2">
      <c r="A2640" s="1186" t="s">
        <v>1572</v>
      </c>
      <c r="B2640" s="1186" t="s">
        <v>1994</v>
      </c>
      <c r="C2640" s="1186" t="s">
        <v>1985</v>
      </c>
      <c r="D2640" s="1186" t="s">
        <v>1984</v>
      </c>
      <c r="E2640" s="1186" t="s">
        <v>2035</v>
      </c>
      <c r="F2640" s="1186" t="s">
        <v>2033</v>
      </c>
      <c r="G2640" s="1186" t="s">
        <v>852</v>
      </c>
      <c r="H2640" s="1186">
        <v>26</v>
      </c>
    </row>
    <row r="2641" spans="1:8" x14ac:dyDescent="0.2">
      <c r="A2641" s="1186" t="s">
        <v>1572</v>
      </c>
      <c r="B2641" s="1186" t="s">
        <v>1994</v>
      </c>
      <c r="C2641" s="1186" t="s">
        <v>1985</v>
      </c>
      <c r="D2641" s="1186" t="s">
        <v>1984</v>
      </c>
      <c r="E2641" s="1186" t="s">
        <v>2035</v>
      </c>
      <c r="F2641" s="1186" t="s">
        <v>2034</v>
      </c>
      <c r="G2641" s="1186" t="s">
        <v>828</v>
      </c>
      <c r="H2641" s="1186">
        <v>66</v>
      </c>
    </row>
    <row r="2642" spans="1:8" x14ac:dyDescent="0.2">
      <c r="A2642" s="1186" t="s">
        <v>1572</v>
      </c>
      <c r="B2642" s="1186" t="s">
        <v>1994</v>
      </c>
      <c r="C2642" s="1186" t="s">
        <v>1985</v>
      </c>
      <c r="D2642" s="1186" t="s">
        <v>1984</v>
      </c>
      <c r="E2642" s="1186" t="s">
        <v>2035</v>
      </c>
      <c r="F2642" s="1186" t="s">
        <v>2034</v>
      </c>
      <c r="G2642" s="1186" t="s">
        <v>850</v>
      </c>
      <c r="H2642" s="1186">
        <v>34</v>
      </c>
    </row>
    <row r="2643" spans="1:8" x14ac:dyDescent="0.2">
      <c r="A2643" s="1186" t="s">
        <v>1572</v>
      </c>
      <c r="B2643" s="1186" t="s">
        <v>1994</v>
      </c>
      <c r="C2643" s="1186" t="s">
        <v>1985</v>
      </c>
      <c r="D2643" s="1186" t="s">
        <v>1984</v>
      </c>
      <c r="E2643" s="1186" t="s">
        <v>2035</v>
      </c>
      <c r="F2643" s="1186" t="s">
        <v>2034</v>
      </c>
      <c r="G2643" s="1186" t="s">
        <v>851</v>
      </c>
      <c r="H2643" s="1186">
        <v>35</v>
      </c>
    </row>
    <row r="2644" spans="1:8" x14ac:dyDescent="0.2">
      <c r="A2644" s="1186" t="s">
        <v>1572</v>
      </c>
      <c r="B2644" s="1186" t="s">
        <v>1994</v>
      </c>
      <c r="C2644" s="1186" t="s">
        <v>1985</v>
      </c>
      <c r="D2644" s="1186" t="s">
        <v>1984</v>
      </c>
      <c r="E2644" s="1186" t="s">
        <v>2035</v>
      </c>
      <c r="F2644" s="1186" t="s">
        <v>2034</v>
      </c>
      <c r="G2644" s="1186" t="s">
        <v>852</v>
      </c>
      <c r="H2644" s="1186">
        <v>47</v>
      </c>
    </row>
    <row r="2645" spans="1:8" x14ac:dyDescent="0.2">
      <c r="A2645" s="1186" t="s">
        <v>1572</v>
      </c>
      <c r="B2645" s="1186" t="s">
        <v>1995</v>
      </c>
      <c r="C2645" s="1186" t="s">
        <v>1985</v>
      </c>
      <c r="D2645" s="1186" t="s">
        <v>1986</v>
      </c>
      <c r="E2645" s="1186" t="s">
        <v>2031</v>
      </c>
      <c r="F2645" s="1186" t="s">
        <v>2032</v>
      </c>
      <c r="G2645" s="1186" t="s">
        <v>828</v>
      </c>
      <c r="H2645" s="1186">
        <v>3</v>
      </c>
    </row>
    <row r="2646" spans="1:8" x14ac:dyDescent="0.2">
      <c r="A2646" s="1186" t="s">
        <v>1572</v>
      </c>
      <c r="B2646" s="1186" t="s">
        <v>1995</v>
      </c>
      <c r="C2646" s="1186" t="s">
        <v>1985</v>
      </c>
      <c r="D2646" s="1186" t="s">
        <v>1986</v>
      </c>
      <c r="E2646" s="1186" t="s">
        <v>2031</v>
      </c>
      <c r="F2646" s="1186" t="s">
        <v>2032</v>
      </c>
      <c r="G2646" s="1186" t="s">
        <v>851</v>
      </c>
      <c r="H2646" s="1186">
        <v>3</v>
      </c>
    </row>
    <row r="2647" spans="1:8" x14ac:dyDescent="0.2">
      <c r="A2647" s="1186" t="s">
        <v>1572</v>
      </c>
      <c r="B2647" s="1186" t="s">
        <v>1995</v>
      </c>
      <c r="C2647" s="1186" t="s">
        <v>1985</v>
      </c>
      <c r="D2647" s="1186" t="s">
        <v>1986</v>
      </c>
      <c r="E2647" s="1186" t="s">
        <v>2031</v>
      </c>
      <c r="F2647" s="1186" t="s">
        <v>2033</v>
      </c>
      <c r="G2647" s="1186" t="s">
        <v>828</v>
      </c>
      <c r="H2647" s="1186">
        <v>75</v>
      </c>
    </row>
    <row r="2648" spans="1:8" x14ac:dyDescent="0.2">
      <c r="A2648" s="1186" t="s">
        <v>1572</v>
      </c>
      <c r="B2648" s="1186" t="s">
        <v>1995</v>
      </c>
      <c r="C2648" s="1186" t="s">
        <v>1985</v>
      </c>
      <c r="D2648" s="1186" t="s">
        <v>1986</v>
      </c>
      <c r="E2648" s="1186" t="s">
        <v>2031</v>
      </c>
      <c r="F2648" s="1186" t="s">
        <v>2033</v>
      </c>
      <c r="G2648" s="1186" t="s">
        <v>850</v>
      </c>
      <c r="H2648" s="1186">
        <v>5</v>
      </c>
    </row>
    <row r="2649" spans="1:8" x14ac:dyDescent="0.2">
      <c r="A2649" s="1186" t="s">
        <v>1572</v>
      </c>
      <c r="B2649" s="1186" t="s">
        <v>1995</v>
      </c>
      <c r="C2649" s="1186" t="s">
        <v>1985</v>
      </c>
      <c r="D2649" s="1186" t="s">
        <v>1986</v>
      </c>
      <c r="E2649" s="1186" t="s">
        <v>2031</v>
      </c>
      <c r="F2649" s="1186" t="s">
        <v>2033</v>
      </c>
      <c r="G2649" s="1186" t="s">
        <v>851</v>
      </c>
      <c r="H2649" s="1186">
        <v>1</v>
      </c>
    </row>
    <row r="2650" spans="1:8" x14ac:dyDescent="0.2">
      <c r="A2650" s="1186" t="s">
        <v>1572</v>
      </c>
      <c r="B2650" s="1186" t="s">
        <v>1995</v>
      </c>
      <c r="C2650" s="1186" t="s">
        <v>1985</v>
      </c>
      <c r="D2650" s="1186" t="s">
        <v>1986</v>
      </c>
      <c r="E2650" s="1186" t="s">
        <v>2031</v>
      </c>
      <c r="F2650" s="1186" t="s">
        <v>2033</v>
      </c>
      <c r="G2650" s="1186" t="s">
        <v>852</v>
      </c>
      <c r="H2650" s="1186">
        <v>1</v>
      </c>
    </row>
    <row r="2651" spans="1:8" x14ac:dyDescent="0.2">
      <c r="A2651" s="1186" t="s">
        <v>1572</v>
      </c>
      <c r="B2651" s="1186" t="s">
        <v>1995</v>
      </c>
      <c r="C2651" s="1186" t="s">
        <v>1985</v>
      </c>
      <c r="D2651" s="1186" t="s">
        <v>1986</v>
      </c>
      <c r="E2651" s="1186" t="s">
        <v>2031</v>
      </c>
      <c r="F2651" s="1186" t="s">
        <v>2034</v>
      </c>
      <c r="G2651" s="1186" t="s">
        <v>828</v>
      </c>
      <c r="H2651" s="1186">
        <v>20</v>
      </c>
    </row>
    <row r="2652" spans="1:8" x14ac:dyDescent="0.2">
      <c r="A2652" s="1186" t="s">
        <v>1572</v>
      </c>
      <c r="B2652" s="1186" t="s">
        <v>1995</v>
      </c>
      <c r="C2652" s="1186" t="s">
        <v>1985</v>
      </c>
      <c r="D2652" s="1186" t="s">
        <v>1986</v>
      </c>
      <c r="E2652" s="1186" t="s">
        <v>2031</v>
      </c>
      <c r="F2652" s="1186" t="s">
        <v>2034</v>
      </c>
      <c r="G2652" s="1186" t="s">
        <v>850</v>
      </c>
      <c r="H2652" s="1186">
        <v>4</v>
      </c>
    </row>
    <row r="2653" spans="1:8" x14ac:dyDescent="0.2">
      <c r="A2653" s="1186" t="s">
        <v>1572</v>
      </c>
      <c r="B2653" s="1186" t="s">
        <v>1995</v>
      </c>
      <c r="C2653" s="1186" t="s">
        <v>1985</v>
      </c>
      <c r="D2653" s="1186" t="s">
        <v>1986</v>
      </c>
      <c r="E2653" s="1186" t="s">
        <v>2035</v>
      </c>
      <c r="F2653" s="1186" t="s">
        <v>2032</v>
      </c>
      <c r="G2653" s="1186" t="s">
        <v>828</v>
      </c>
      <c r="H2653" s="1186">
        <v>16</v>
      </c>
    </row>
    <row r="2654" spans="1:8" x14ac:dyDescent="0.2">
      <c r="A2654" s="1186" t="s">
        <v>1572</v>
      </c>
      <c r="B2654" s="1186" t="s">
        <v>1995</v>
      </c>
      <c r="C2654" s="1186" t="s">
        <v>1985</v>
      </c>
      <c r="D2654" s="1186" t="s">
        <v>1986</v>
      </c>
      <c r="E2654" s="1186" t="s">
        <v>2035</v>
      </c>
      <c r="F2654" s="1186" t="s">
        <v>2032</v>
      </c>
      <c r="G2654" s="1186" t="s">
        <v>850</v>
      </c>
      <c r="H2654" s="1186">
        <v>1</v>
      </c>
    </row>
    <row r="2655" spans="1:8" x14ac:dyDescent="0.2">
      <c r="A2655" s="1186" t="s">
        <v>1572</v>
      </c>
      <c r="B2655" s="1186" t="s">
        <v>1995</v>
      </c>
      <c r="C2655" s="1186" t="s">
        <v>1985</v>
      </c>
      <c r="D2655" s="1186" t="s">
        <v>1986</v>
      </c>
      <c r="E2655" s="1186" t="s">
        <v>2035</v>
      </c>
      <c r="F2655" s="1186" t="s">
        <v>2032</v>
      </c>
      <c r="G2655" s="1186" t="s">
        <v>851</v>
      </c>
      <c r="H2655" s="1186">
        <v>4</v>
      </c>
    </row>
    <row r="2656" spans="1:8" x14ac:dyDescent="0.2">
      <c r="A2656" s="1186" t="s">
        <v>1572</v>
      </c>
      <c r="B2656" s="1186" t="s">
        <v>1995</v>
      </c>
      <c r="C2656" s="1186" t="s">
        <v>1985</v>
      </c>
      <c r="D2656" s="1186" t="s">
        <v>1986</v>
      </c>
      <c r="E2656" s="1186" t="s">
        <v>2035</v>
      </c>
      <c r="F2656" s="1186" t="s">
        <v>2032</v>
      </c>
      <c r="G2656" s="1186" t="s">
        <v>852</v>
      </c>
      <c r="H2656" s="1186">
        <v>3</v>
      </c>
    </row>
    <row r="2657" spans="1:8" x14ac:dyDescent="0.2">
      <c r="A2657" s="1186" t="s">
        <v>1572</v>
      </c>
      <c r="B2657" s="1186" t="s">
        <v>1995</v>
      </c>
      <c r="C2657" s="1186" t="s">
        <v>1985</v>
      </c>
      <c r="D2657" s="1186" t="s">
        <v>1986</v>
      </c>
      <c r="E2657" s="1186" t="s">
        <v>2035</v>
      </c>
      <c r="F2657" s="1186" t="s">
        <v>2033</v>
      </c>
      <c r="G2657" s="1186" t="s">
        <v>828</v>
      </c>
      <c r="H2657" s="1186">
        <v>51</v>
      </c>
    </row>
    <row r="2658" spans="1:8" x14ac:dyDescent="0.2">
      <c r="A2658" s="1186" t="s">
        <v>1572</v>
      </c>
      <c r="B2658" s="1186" t="s">
        <v>1995</v>
      </c>
      <c r="C2658" s="1186" t="s">
        <v>1985</v>
      </c>
      <c r="D2658" s="1186" t="s">
        <v>1986</v>
      </c>
      <c r="E2658" s="1186" t="s">
        <v>2035</v>
      </c>
      <c r="F2658" s="1186" t="s">
        <v>2033</v>
      </c>
      <c r="G2658" s="1186" t="s">
        <v>850</v>
      </c>
      <c r="H2658" s="1186">
        <v>5</v>
      </c>
    </row>
    <row r="2659" spans="1:8" x14ac:dyDescent="0.2">
      <c r="A2659" s="1186" t="s">
        <v>1572</v>
      </c>
      <c r="B2659" s="1186" t="s">
        <v>1995</v>
      </c>
      <c r="C2659" s="1186" t="s">
        <v>1985</v>
      </c>
      <c r="D2659" s="1186" t="s">
        <v>1986</v>
      </c>
      <c r="E2659" s="1186" t="s">
        <v>2035</v>
      </c>
      <c r="F2659" s="1186" t="s">
        <v>2033</v>
      </c>
      <c r="G2659" s="1186" t="s">
        <v>851</v>
      </c>
      <c r="H2659" s="1186">
        <v>98</v>
      </c>
    </row>
    <row r="2660" spans="1:8" x14ac:dyDescent="0.2">
      <c r="A2660" s="1186" t="s">
        <v>1572</v>
      </c>
      <c r="B2660" s="1186" t="s">
        <v>1995</v>
      </c>
      <c r="C2660" s="1186" t="s">
        <v>1985</v>
      </c>
      <c r="D2660" s="1186" t="s">
        <v>1986</v>
      </c>
      <c r="E2660" s="1186" t="s">
        <v>2035</v>
      </c>
      <c r="F2660" s="1186" t="s">
        <v>2033</v>
      </c>
      <c r="G2660" s="1186" t="s">
        <v>852</v>
      </c>
      <c r="H2660" s="1186">
        <v>21</v>
      </c>
    </row>
    <row r="2661" spans="1:8" x14ac:dyDescent="0.2">
      <c r="A2661" s="1186" t="s">
        <v>1572</v>
      </c>
      <c r="B2661" s="1186" t="s">
        <v>1995</v>
      </c>
      <c r="C2661" s="1186" t="s">
        <v>1985</v>
      </c>
      <c r="D2661" s="1186" t="s">
        <v>1986</v>
      </c>
      <c r="E2661" s="1186" t="s">
        <v>2035</v>
      </c>
      <c r="F2661" s="1186" t="s">
        <v>2034</v>
      </c>
      <c r="G2661" s="1186" t="s">
        <v>828</v>
      </c>
      <c r="H2661" s="1186">
        <v>91</v>
      </c>
    </row>
    <row r="2662" spans="1:8" x14ac:dyDescent="0.2">
      <c r="A2662" s="1186" t="s">
        <v>1572</v>
      </c>
      <c r="B2662" s="1186" t="s">
        <v>1995</v>
      </c>
      <c r="C2662" s="1186" t="s">
        <v>1985</v>
      </c>
      <c r="D2662" s="1186" t="s">
        <v>1986</v>
      </c>
      <c r="E2662" s="1186" t="s">
        <v>2035</v>
      </c>
      <c r="F2662" s="1186" t="s">
        <v>2034</v>
      </c>
      <c r="G2662" s="1186" t="s">
        <v>850</v>
      </c>
      <c r="H2662" s="1186">
        <v>23</v>
      </c>
    </row>
    <row r="2663" spans="1:8" x14ac:dyDescent="0.2">
      <c r="A2663" s="1186" t="s">
        <v>1572</v>
      </c>
      <c r="B2663" s="1186" t="s">
        <v>1995</v>
      </c>
      <c r="C2663" s="1186" t="s">
        <v>1985</v>
      </c>
      <c r="D2663" s="1186" t="s">
        <v>1986</v>
      </c>
      <c r="E2663" s="1186" t="s">
        <v>2035</v>
      </c>
      <c r="F2663" s="1186" t="s">
        <v>2034</v>
      </c>
      <c r="G2663" s="1186" t="s">
        <v>851</v>
      </c>
      <c r="H2663" s="1186">
        <v>39</v>
      </c>
    </row>
    <row r="2664" spans="1:8" x14ac:dyDescent="0.2">
      <c r="A2664" s="1186" t="s">
        <v>1572</v>
      </c>
      <c r="B2664" s="1186" t="s">
        <v>1995</v>
      </c>
      <c r="C2664" s="1186" t="s">
        <v>1985</v>
      </c>
      <c r="D2664" s="1186" t="s">
        <v>1986</v>
      </c>
      <c r="E2664" s="1186" t="s">
        <v>2035</v>
      </c>
      <c r="F2664" s="1186" t="s">
        <v>2034</v>
      </c>
      <c r="G2664" s="1186" t="s">
        <v>852</v>
      </c>
      <c r="H2664" s="1186">
        <v>29</v>
      </c>
    </row>
    <row r="2665" spans="1:8" x14ac:dyDescent="0.2">
      <c r="A2665" s="1186" t="s">
        <v>1572</v>
      </c>
      <c r="B2665" s="1186" t="s">
        <v>1996</v>
      </c>
      <c r="C2665" s="1186" t="s">
        <v>1985</v>
      </c>
      <c r="D2665" s="1186" t="s">
        <v>1986</v>
      </c>
      <c r="E2665" s="1186" t="s">
        <v>2031</v>
      </c>
      <c r="F2665" s="1186" t="s">
        <v>2032</v>
      </c>
      <c r="G2665" s="1186" t="s">
        <v>828</v>
      </c>
      <c r="H2665" s="1186">
        <v>3</v>
      </c>
    </row>
    <row r="2666" spans="1:8" x14ac:dyDescent="0.2">
      <c r="A2666" s="1186" t="s">
        <v>1572</v>
      </c>
      <c r="B2666" s="1186" t="s">
        <v>1996</v>
      </c>
      <c r="C2666" s="1186" t="s">
        <v>1985</v>
      </c>
      <c r="D2666" s="1186" t="s">
        <v>1986</v>
      </c>
      <c r="E2666" s="1186" t="s">
        <v>2031</v>
      </c>
      <c r="F2666" s="1186" t="s">
        <v>2032</v>
      </c>
      <c r="G2666" s="1186" t="s">
        <v>850</v>
      </c>
      <c r="H2666" s="1186">
        <v>1</v>
      </c>
    </row>
    <row r="2667" spans="1:8" x14ac:dyDescent="0.2">
      <c r="A2667" s="1186" t="s">
        <v>1572</v>
      </c>
      <c r="B2667" s="1186" t="s">
        <v>1996</v>
      </c>
      <c r="C2667" s="1186" t="s">
        <v>1985</v>
      </c>
      <c r="D2667" s="1186" t="s">
        <v>1986</v>
      </c>
      <c r="E2667" s="1186" t="s">
        <v>2031</v>
      </c>
      <c r="F2667" s="1186" t="s">
        <v>2032</v>
      </c>
      <c r="G2667" s="1186" t="s">
        <v>852</v>
      </c>
      <c r="H2667" s="1186">
        <v>1</v>
      </c>
    </row>
    <row r="2668" spans="1:8" x14ac:dyDescent="0.2">
      <c r="A2668" s="1186" t="s">
        <v>1572</v>
      </c>
      <c r="B2668" s="1186" t="s">
        <v>1996</v>
      </c>
      <c r="C2668" s="1186" t="s">
        <v>1985</v>
      </c>
      <c r="D2668" s="1186" t="s">
        <v>1986</v>
      </c>
      <c r="E2668" s="1186" t="s">
        <v>2031</v>
      </c>
      <c r="F2668" s="1186" t="s">
        <v>2033</v>
      </c>
      <c r="G2668" s="1186" t="s">
        <v>828</v>
      </c>
      <c r="H2668" s="1186">
        <v>72</v>
      </c>
    </row>
    <row r="2669" spans="1:8" x14ac:dyDescent="0.2">
      <c r="A2669" s="1186" t="s">
        <v>1572</v>
      </c>
      <c r="B2669" s="1186" t="s">
        <v>1996</v>
      </c>
      <c r="C2669" s="1186" t="s">
        <v>1985</v>
      </c>
      <c r="D2669" s="1186" t="s">
        <v>1986</v>
      </c>
      <c r="E2669" s="1186" t="s">
        <v>2031</v>
      </c>
      <c r="F2669" s="1186" t="s">
        <v>2033</v>
      </c>
      <c r="G2669" s="1186" t="s">
        <v>850</v>
      </c>
      <c r="H2669" s="1186">
        <v>11</v>
      </c>
    </row>
    <row r="2670" spans="1:8" x14ac:dyDescent="0.2">
      <c r="A2670" s="1186" t="s">
        <v>1572</v>
      </c>
      <c r="B2670" s="1186" t="s">
        <v>1996</v>
      </c>
      <c r="C2670" s="1186" t="s">
        <v>1985</v>
      </c>
      <c r="D2670" s="1186" t="s">
        <v>1986</v>
      </c>
      <c r="E2670" s="1186" t="s">
        <v>2031</v>
      </c>
      <c r="F2670" s="1186" t="s">
        <v>2033</v>
      </c>
      <c r="G2670" s="1186" t="s">
        <v>851</v>
      </c>
      <c r="H2670" s="1186">
        <v>2</v>
      </c>
    </row>
    <row r="2671" spans="1:8" x14ac:dyDescent="0.2">
      <c r="A2671" s="1186" t="s">
        <v>1572</v>
      </c>
      <c r="B2671" s="1186" t="s">
        <v>1996</v>
      </c>
      <c r="C2671" s="1186" t="s">
        <v>1985</v>
      </c>
      <c r="D2671" s="1186" t="s">
        <v>1986</v>
      </c>
      <c r="E2671" s="1186" t="s">
        <v>2031</v>
      </c>
      <c r="F2671" s="1186" t="s">
        <v>2033</v>
      </c>
      <c r="G2671" s="1186" t="s">
        <v>852</v>
      </c>
      <c r="H2671" s="1186">
        <v>1</v>
      </c>
    </row>
    <row r="2672" spans="1:8" x14ac:dyDescent="0.2">
      <c r="A2672" s="1186" t="s">
        <v>1572</v>
      </c>
      <c r="B2672" s="1186" t="s">
        <v>1996</v>
      </c>
      <c r="C2672" s="1186" t="s">
        <v>1985</v>
      </c>
      <c r="D2672" s="1186" t="s">
        <v>1986</v>
      </c>
      <c r="E2672" s="1186" t="s">
        <v>2031</v>
      </c>
      <c r="F2672" s="1186" t="s">
        <v>2034</v>
      </c>
      <c r="G2672" s="1186" t="s">
        <v>828</v>
      </c>
      <c r="H2672" s="1186">
        <v>22</v>
      </c>
    </row>
    <row r="2673" spans="1:8" x14ac:dyDescent="0.2">
      <c r="A2673" s="1186" t="s">
        <v>1572</v>
      </c>
      <c r="B2673" s="1186" t="s">
        <v>1996</v>
      </c>
      <c r="C2673" s="1186" t="s">
        <v>1985</v>
      </c>
      <c r="D2673" s="1186" t="s">
        <v>1986</v>
      </c>
      <c r="E2673" s="1186" t="s">
        <v>2031</v>
      </c>
      <c r="F2673" s="1186" t="s">
        <v>2034</v>
      </c>
      <c r="G2673" s="1186" t="s">
        <v>851</v>
      </c>
      <c r="H2673" s="1186">
        <v>1</v>
      </c>
    </row>
    <row r="2674" spans="1:8" x14ac:dyDescent="0.2">
      <c r="A2674" s="1186" t="s">
        <v>1572</v>
      </c>
      <c r="B2674" s="1186" t="s">
        <v>1996</v>
      </c>
      <c r="C2674" s="1186" t="s">
        <v>1985</v>
      </c>
      <c r="D2674" s="1186" t="s">
        <v>1986</v>
      </c>
      <c r="E2674" s="1186" t="s">
        <v>2035</v>
      </c>
      <c r="F2674" s="1186" t="s">
        <v>2032</v>
      </c>
      <c r="G2674" s="1186" t="s">
        <v>828</v>
      </c>
      <c r="H2674" s="1186">
        <v>15</v>
      </c>
    </row>
    <row r="2675" spans="1:8" x14ac:dyDescent="0.2">
      <c r="A2675" s="1186" t="s">
        <v>1572</v>
      </c>
      <c r="B2675" s="1186" t="s">
        <v>1996</v>
      </c>
      <c r="C2675" s="1186" t="s">
        <v>1985</v>
      </c>
      <c r="D2675" s="1186" t="s">
        <v>1986</v>
      </c>
      <c r="E2675" s="1186" t="s">
        <v>2035</v>
      </c>
      <c r="F2675" s="1186" t="s">
        <v>2032</v>
      </c>
      <c r="G2675" s="1186" t="s">
        <v>851</v>
      </c>
      <c r="H2675" s="1186">
        <v>9</v>
      </c>
    </row>
    <row r="2676" spans="1:8" x14ac:dyDescent="0.2">
      <c r="A2676" s="1186" t="s">
        <v>1572</v>
      </c>
      <c r="B2676" s="1186" t="s">
        <v>1996</v>
      </c>
      <c r="C2676" s="1186" t="s">
        <v>1985</v>
      </c>
      <c r="D2676" s="1186" t="s">
        <v>1986</v>
      </c>
      <c r="E2676" s="1186" t="s">
        <v>2035</v>
      </c>
      <c r="F2676" s="1186" t="s">
        <v>2032</v>
      </c>
      <c r="G2676" s="1186" t="s">
        <v>852</v>
      </c>
      <c r="H2676" s="1186">
        <v>6</v>
      </c>
    </row>
    <row r="2677" spans="1:8" x14ac:dyDescent="0.2">
      <c r="A2677" s="1186" t="s">
        <v>1572</v>
      </c>
      <c r="B2677" s="1186" t="s">
        <v>1996</v>
      </c>
      <c r="C2677" s="1186" t="s">
        <v>1985</v>
      </c>
      <c r="D2677" s="1186" t="s">
        <v>1986</v>
      </c>
      <c r="E2677" s="1186" t="s">
        <v>2035</v>
      </c>
      <c r="F2677" s="1186" t="s">
        <v>2033</v>
      </c>
      <c r="G2677" s="1186" t="s">
        <v>828</v>
      </c>
      <c r="H2677" s="1186">
        <v>43</v>
      </c>
    </row>
    <row r="2678" spans="1:8" x14ac:dyDescent="0.2">
      <c r="A2678" s="1186" t="s">
        <v>1572</v>
      </c>
      <c r="B2678" s="1186" t="s">
        <v>1996</v>
      </c>
      <c r="C2678" s="1186" t="s">
        <v>1985</v>
      </c>
      <c r="D2678" s="1186" t="s">
        <v>1986</v>
      </c>
      <c r="E2678" s="1186" t="s">
        <v>2035</v>
      </c>
      <c r="F2678" s="1186" t="s">
        <v>2033</v>
      </c>
      <c r="G2678" s="1186" t="s">
        <v>850</v>
      </c>
      <c r="H2678" s="1186">
        <v>4</v>
      </c>
    </row>
    <row r="2679" spans="1:8" x14ac:dyDescent="0.2">
      <c r="A2679" s="1186" t="s">
        <v>1572</v>
      </c>
      <c r="B2679" s="1186" t="s">
        <v>1996</v>
      </c>
      <c r="C2679" s="1186" t="s">
        <v>1985</v>
      </c>
      <c r="D2679" s="1186" t="s">
        <v>1986</v>
      </c>
      <c r="E2679" s="1186" t="s">
        <v>2035</v>
      </c>
      <c r="F2679" s="1186" t="s">
        <v>2033</v>
      </c>
      <c r="G2679" s="1186" t="s">
        <v>851</v>
      </c>
      <c r="H2679" s="1186">
        <v>58</v>
      </c>
    </row>
    <row r="2680" spans="1:8" x14ac:dyDescent="0.2">
      <c r="A2680" s="1186" t="s">
        <v>1572</v>
      </c>
      <c r="B2680" s="1186" t="s">
        <v>1996</v>
      </c>
      <c r="C2680" s="1186" t="s">
        <v>1985</v>
      </c>
      <c r="D2680" s="1186" t="s">
        <v>1986</v>
      </c>
      <c r="E2680" s="1186" t="s">
        <v>2035</v>
      </c>
      <c r="F2680" s="1186" t="s">
        <v>2033</v>
      </c>
      <c r="G2680" s="1186" t="s">
        <v>852</v>
      </c>
      <c r="H2680" s="1186">
        <v>10</v>
      </c>
    </row>
    <row r="2681" spans="1:8" x14ac:dyDescent="0.2">
      <c r="A2681" s="1186" t="s">
        <v>1572</v>
      </c>
      <c r="B2681" s="1186" t="s">
        <v>1996</v>
      </c>
      <c r="C2681" s="1186" t="s">
        <v>1985</v>
      </c>
      <c r="D2681" s="1186" t="s">
        <v>1986</v>
      </c>
      <c r="E2681" s="1186" t="s">
        <v>2035</v>
      </c>
      <c r="F2681" s="1186" t="s">
        <v>2034</v>
      </c>
      <c r="G2681" s="1186" t="s">
        <v>828</v>
      </c>
      <c r="H2681" s="1186">
        <v>57</v>
      </c>
    </row>
    <row r="2682" spans="1:8" x14ac:dyDescent="0.2">
      <c r="A2682" s="1186" t="s">
        <v>1572</v>
      </c>
      <c r="B2682" s="1186" t="s">
        <v>1996</v>
      </c>
      <c r="C2682" s="1186" t="s">
        <v>1985</v>
      </c>
      <c r="D2682" s="1186" t="s">
        <v>1986</v>
      </c>
      <c r="E2682" s="1186" t="s">
        <v>2035</v>
      </c>
      <c r="F2682" s="1186" t="s">
        <v>2034</v>
      </c>
      <c r="G2682" s="1186" t="s">
        <v>850</v>
      </c>
      <c r="H2682" s="1186">
        <v>27</v>
      </c>
    </row>
    <row r="2683" spans="1:8" x14ac:dyDescent="0.2">
      <c r="A2683" s="1186" t="s">
        <v>1572</v>
      </c>
      <c r="B2683" s="1186" t="s">
        <v>1996</v>
      </c>
      <c r="C2683" s="1186" t="s">
        <v>1985</v>
      </c>
      <c r="D2683" s="1186" t="s">
        <v>1986</v>
      </c>
      <c r="E2683" s="1186" t="s">
        <v>2035</v>
      </c>
      <c r="F2683" s="1186" t="s">
        <v>2034</v>
      </c>
      <c r="G2683" s="1186" t="s">
        <v>851</v>
      </c>
      <c r="H2683" s="1186">
        <v>17</v>
      </c>
    </row>
    <row r="2684" spans="1:8" x14ac:dyDescent="0.2">
      <c r="A2684" s="1186" t="s">
        <v>1572</v>
      </c>
      <c r="B2684" s="1186" t="s">
        <v>1996</v>
      </c>
      <c r="C2684" s="1186" t="s">
        <v>1985</v>
      </c>
      <c r="D2684" s="1186" t="s">
        <v>1986</v>
      </c>
      <c r="E2684" s="1186" t="s">
        <v>2035</v>
      </c>
      <c r="F2684" s="1186" t="s">
        <v>2034</v>
      </c>
      <c r="G2684" s="1186" t="s">
        <v>852</v>
      </c>
      <c r="H2684" s="1186">
        <v>22</v>
      </c>
    </row>
    <row r="2685" spans="1:8" x14ac:dyDescent="0.2">
      <c r="A2685" s="1186" t="s">
        <v>1572</v>
      </c>
      <c r="B2685" s="1186" t="s">
        <v>1997</v>
      </c>
      <c r="C2685" s="1186" t="s">
        <v>1987</v>
      </c>
      <c r="D2685" s="1186" t="s">
        <v>1986</v>
      </c>
      <c r="E2685" s="1186" t="s">
        <v>2031</v>
      </c>
      <c r="F2685" s="1186" t="s">
        <v>2032</v>
      </c>
      <c r="G2685" s="1186" t="s">
        <v>828</v>
      </c>
      <c r="H2685" s="1186">
        <v>5</v>
      </c>
    </row>
    <row r="2686" spans="1:8" x14ac:dyDescent="0.2">
      <c r="A2686" s="1186" t="s">
        <v>1572</v>
      </c>
      <c r="B2686" s="1186" t="s">
        <v>1997</v>
      </c>
      <c r="C2686" s="1186" t="s">
        <v>1987</v>
      </c>
      <c r="D2686" s="1186" t="s">
        <v>1986</v>
      </c>
      <c r="E2686" s="1186" t="s">
        <v>2031</v>
      </c>
      <c r="F2686" s="1186" t="s">
        <v>2032</v>
      </c>
      <c r="G2686" s="1186" t="s">
        <v>851</v>
      </c>
      <c r="H2686" s="1186">
        <v>1</v>
      </c>
    </row>
    <row r="2687" spans="1:8" x14ac:dyDescent="0.2">
      <c r="A2687" s="1186" t="s">
        <v>1572</v>
      </c>
      <c r="B2687" s="1186" t="s">
        <v>1997</v>
      </c>
      <c r="C2687" s="1186" t="s">
        <v>1987</v>
      </c>
      <c r="D2687" s="1186" t="s">
        <v>1986</v>
      </c>
      <c r="E2687" s="1186" t="s">
        <v>2031</v>
      </c>
      <c r="F2687" s="1186" t="s">
        <v>2033</v>
      </c>
      <c r="G2687" s="1186" t="s">
        <v>828</v>
      </c>
      <c r="H2687" s="1186">
        <v>68</v>
      </c>
    </row>
    <row r="2688" spans="1:8" x14ac:dyDescent="0.2">
      <c r="A2688" s="1186" t="s">
        <v>1572</v>
      </c>
      <c r="B2688" s="1186" t="s">
        <v>1997</v>
      </c>
      <c r="C2688" s="1186" t="s">
        <v>1987</v>
      </c>
      <c r="D2688" s="1186" t="s">
        <v>1986</v>
      </c>
      <c r="E2688" s="1186" t="s">
        <v>2031</v>
      </c>
      <c r="F2688" s="1186" t="s">
        <v>2033</v>
      </c>
      <c r="G2688" s="1186" t="s">
        <v>850</v>
      </c>
      <c r="H2688" s="1186">
        <v>7</v>
      </c>
    </row>
    <row r="2689" spans="1:8" x14ac:dyDescent="0.2">
      <c r="A2689" s="1186" t="s">
        <v>1572</v>
      </c>
      <c r="B2689" s="1186" t="s">
        <v>1997</v>
      </c>
      <c r="C2689" s="1186" t="s">
        <v>1987</v>
      </c>
      <c r="D2689" s="1186" t="s">
        <v>1986</v>
      </c>
      <c r="E2689" s="1186" t="s">
        <v>2031</v>
      </c>
      <c r="F2689" s="1186" t="s">
        <v>2033</v>
      </c>
      <c r="G2689" s="1186" t="s">
        <v>852</v>
      </c>
      <c r="H2689" s="1186">
        <v>8</v>
      </c>
    </row>
    <row r="2690" spans="1:8" x14ac:dyDescent="0.2">
      <c r="A2690" s="1186" t="s">
        <v>1572</v>
      </c>
      <c r="B2690" s="1186" t="s">
        <v>1997</v>
      </c>
      <c r="C2690" s="1186" t="s">
        <v>1987</v>
      </c>
      <c r="D2690" s="1186" t="s">
        <v>1986</v>
      </c>
      <c r="E2690" s="1186" t="s">
        <v>2031</v>
      </c>
      <c r="F2690" s="1186" t="s">
        <v>2034</v>
      </c>
      <c r="G2690" s="1186" t="s">
        <v>828</v>
      </c>
      <c r="H2690" s="1186">
        <v>28</v>
      </c>
    </row>
    <row r="2691" spans="1:8" x14ac:dyDescent="0.2">
      <c r="A2691" s="1186" t="s">
        <v>1572</v>
      </c>
      <c r="B2691" s="1186" t="s">
        <v>1997</v>
      </c>
      <c r="C2691" s="1186" t="s">
        <v>1987</v>
      </c>
      <c r="D2691" s="1186" t="s">
        <v>1986</v>
      </c>
      <c r="E2691" s="1186" t="s">
        <v>2031</v>
      </c>
      <c r="F2691" s="1186" t="s">
        <v>2034</v>
      </c>
      <c r="G2691" s="1186" t="s">
        <v>850</v>
      </c>
      <c r="H2691" s="1186">
        <v>2</v>
      </c>
    </row>
    <row r="2692" spans="1:8" x14ac:dyDescent="0.2">
      <c r="A2692" s="1186" t="s">
        <v>1572</v>
      </c>
      <c r="B2692" s="1186" t="s">
        <v>1997</v>
      </c>
      <c r="C2692" s="1186" t="s">
        <v>1987</v>
      </c>
      <c r="D2692" s="1186" t="s">
        <v>1986</v>
      </c>
      <c r="E2692" s="1186" t="s">
        <v>2035</v>
      </c>
      <c r="F2692" s="1186" t="s">
        <v>2032</v>
      </c>
      <c r="G2692" s="1186" t="s">
        <v>828</v>
      </c>
      <c r="H2692" s="1186">
        <v>16</v>
      </c>
    </row>
    <row r="2693" spans="1:8" x14ac:dyDescent="0.2">
      <c r="A2693" s="1186" t="s">
        <v>1572</v>
      </c>
      <c r="B2693" s="1186" t="s">
        <v>1997</v>
      </c>
      <c r="C2693" s="1186" t="s">
        <v>1987</v>
      </c>
      <c r="D2693" s="1186" t="s">
        <v>1986</v>
      </c>
      <c r="E2693" s="1186" t="s">
        <v>2035</v>
      </c>
      <c r="F2693" s="1186" t="s">
        <v>2032</v>
      </c>
      <c r="G2693" s="1186" t="s">
        <v>851</v>
      </c>
      <c r="H2693" s="1186">
        <v>13</v>
      </c>
    </row>
    <row r="2694" spans="1:8" x14ac:dyDescent="0.2">
      <c r="A2694" s="1186" t="s">
        <v>1572</v>
      </c>
      <c r="B2694" s="1186" t="s">
        <v>1997</v>
      </c>
      <c r="C2694" s="1186" t="s">
        <v>1987</v>
      </c>
      <c r="D2694" s="1186" t="s">
        <v>1986</v>
      </c>
      <c r="E2694" s="1186" t="s">
        <v>2035</v>
      </c>
      <c r="F2694" s="1186" t="s">
        <v>2032</v>
      </c>
      <c r="G2694" s="1186" t="s">
        <v>852</v>
      </c>
      <c r="H2694" s="1186">
        <v>9</v>
      </c>
    </row>
    <row r="2695" spans="1:8" x14ac:dyDescent="0.2">
      <c r="A2695" s="1186" t="s">
        <v>1572</v>
      </c>
      <c r="B2695" s="1186" t="s">
        <v>1997</v>
      </c>
      <c r="C2695" s="1186" t="s">
        <v>1987</v>
      </c>
      <c r="D2695" s="1186" t="s">
        <v>1986</v>
      </c>
      <c r="E2695" s="1186" t="s">
        <v>2035</v>
      </c>
      <c r="F2695" s="1186" t="s">
        <v>2033</v>
      </c>
      <c r="G2695" s="1186" t="s">
        <v>828</v>
      </c>
      <c r="H2695" s="1186">
        <v>64</v>
      </c>
    </row>
    <row r="2696" spans="1:8" x14ac:dyDescent="0.2">
      <c r="A2696" s="1186" t="s">
        <v>1572</v>
      </c>
      <c r="B2696" s="1186" t="s">
        <v>1997</v>
      </c>
      <c r="C2696" s="1186" t="s">
        <v>1987</v>
      </c>
      <c r="D2696" s="1186" t="s">
        <v>1986</v>
      </c>
      <c r="E2696" s="1186" t="s">
        <v>2035</v>
      </c>
      <c r="F2696" s="1186" t="s">
        <v>2033</v>
      </c>
      <c r="G2696" s="1186" t="s">
        <v>850</v>
      </c>
      <c r="H2696" s="1186">
        <v>2</v>
      </c>
    </row>
    <row r="2697" spans="1:8" x14ac:dyDescent="0.2">
      <c r="A2697" s="1186" t="s">
        <v>1572</v>
      </c>
      <c r="B2697" s="1186" t="s">
        <v>1997</v>
      </c>
      <c r="C2697" s="1186" t="s">
        <v>1987</v>
      </c>
      <c r="D2697" s="1186" t="s">
        <v>1986</v>
      </c>
      <c r="E2697" s="1186" t="s">
        <v>2035</v>
      </c>
      <c r="F2697" s="1186" t="s">
        <v>2033</v>
      </c>
      <c r="G2697" s="1186" t="s">
        <v>851</v>
      </c>
      <c r="H2697" s="1186">
        <v>124</v>
      </c>
    </row>
    <row r="2698" spans="1:8" x14ac:dyDescent="0.2">
      <c r="A2698" s="1186" t="s">
        <v>1572</v>
      </c>
      <c r="B2698" s="1186" t="s">
        <v>1997</v>
      </c>
      <c r="C2698" s="1186" t="s">
        <v>1987</v>
      </c>
      <c r="D2698" s="1186" t="s">
        <v>1986</v>
      </c>
      <c r="E2698" s="1186" t="s">
        <v>2035</v>
      </c>
      <c r="F2698" s="1186" t="s">
        <v>2033</v>
      </c>
      <c r="G2698" s="1186" t="s">
        <v>852</v>
      </c>
      <c r="H2698" s="1186">
        <v>13</v>
      </c>
    </row>
    <row r="2699" spans="1:8" x14ac:dyDescent="0.2">
      <c r="A2699" s="1186" t="s">
        <v>1572</v>
      </c>
      <c r="B2699" s="1186" t="s">
        <v>1997</v>
      </c>
      <c r="C2699" s="1186" t="s">
        <v>1987</v>
      </c>
      <c r="D2699" s="1186" t="s">
        <v>1986</v>
      </c>
      <c r="E2699" s="1186" t="s">
        <v>2035</v>
      </c>
      <c r="F2699" s="1186" t="s">
        <v>2034</v>
      </c>
      <c r="G2699" s="1186" t="s">
        <v>828</v>
      </c>
      <c r="H2699" s="1186">
        <v>58</v>
      </c>
    </row>
    <row r="2700" spans="1:8" x14ac:dyDescent="0.2">
      <c r="A2700" s="1186" t="s">
        <v>1572</v>
      </c>
      <c r="B2700" s="1186" t="s">
        <v>1997</v>
      </c>
      <c r="C2700" s="1186" t="s">
        <v>1987</v>
      </c>
      <c r="D2700" s="1186" t="s">
        <v>1986</v>
      </c>
      <c r="E2700" s="1186" t="s">
        <v>2035</v>
      </c>
      <c r="F2700" s="1186" t="s">
        <v>2034</v>
      </c>
      <c r="G2700" s="1186" t="s">
        <v>850</v>
      </c>
      <c r="H2700" s="1186">
        <v>27</v>
      </c>
    </row>
    <row r="2701" spans="1:8" x14ac:dyDescent="0.2">
      <c r="A2701" s="1186" t="s">
        <v>1572</v>
      </c>
      <c r="B2701" s="1186" t="s">
        <v>1997</v>
      </c>
      <c r="C2701" s="1186" t="s">
        <v>1987</v>
      </c>
      <c r="D2701" s="1186" t="s">
        <v>1986</v>
      </c>
      <c r="E2701" s="1186" t="s">
        <v>2035</v>
      </c>
      <c r="F2701" s="1186" t="s">
        <v>2034</v>
      </c>
      <c r="G2701" s="1186" t="s">
        <v>851</v>
      </c>
      <c r="H2701" s="1186">
        <v>36</v>
      </c>
    </row>
    <row r="2702" spans="1:8" x14ac:dyDescent="0.2">
      <c r="A2702" s="1186" t="s">
        <v>1572</v>
      </c>
      <c r="B2702" s="1186" t="s">
        <v>1997</v>
      </c>
      <c r="C2702" s="1186" t="s">
        <v>1987</v>
      </c>
      <c r="D2702" s="1186" t="s">
        <v>1986</v>
      </c>
      <c r="E2702" s="1186" t="s">
        <v>2035</v>
      </c>
      <c r="F2702" s="1186" t="s">
        <v>2034</v>
      </c>
      <c r="G2702" s="1186" t="s">
        <v>852</v>
      </c>
      <c r="H2702" s="1186">
        <v>15</v>
      </c>
    </row>
    <row r="2703" spans="1:8" x14ac:dyDescent="0.2">
      <c r="A2703" s="1186" t="s">
        <v>1572</v>
      </c>
      <c r="B2703" s="1186" t="s">
        <v>1998</v>
      </c>
      <c r="C2703" s="1186" t="s">
        <v>1987</v>
      </c>
      <c r="D2703" s="1186" t="s">
        <v>1988</v>
      </c>
      <c r="E2703" s="1186" t="s">
        <v>2031</v>
      </c>
      <c r="F2703" s="1186" t="s">
        <v>2032</v>
      </c>
      <c r="G2703" s="1186" t="s">
        <v>828</v>
      </c>
      <c r="H2703" s="1186">
        <v>4</v>
      </c>
    </row>
    <row r="2704" spans="1:8" x14ac:dyDescent="0.2">
      <c r="A2704" s="1186" t="s">
        <v>1572</v>
      </c>
      <c r="B2704" s="1186" t="s">
        <v>1998</v>
      </c>
      <c r="C2704" s="1186" t="s">
        <v>1987</v>
      </c>
      <c r="D2704" s="1186" t="s">
        <v>1988</v>
      </c>
      <c r="E2704" s="1186" t="s">
        <v>2031</v>
      </c>
      <c r="F2704" s="1186" t="s">
        <v>2032</v>
      </c>
      <c r="G2704" s="1186" t="s">
        <v>851</v>
      </c>
      <c r="H2704" s="1186">
        <v>1</v>
      </c>
    </row>
    <row r="2705" spans="1:8" x14ac:dyDescent="0.2">
      <c r="A2705" s="1186" t="s">
        <v>1572</v>
      </c>
      <c r="B2705" s="1186" t="s">
        <v>1998</v>
      </c>
      <c r="C2705" s="1186" t="s">
        <v>1987</v>
      </c>
      <c r="D2705" s="1186" t="s">
        <v>1988</v>
      </c>
      <c r="E2705" s="1186" t="s">
        <v>2031</v>
      </c>
      <c r="F2705" s="1186" t="s">
        <v>2033</v>
      </c>
      <c r="G2705" s="1186" t="s">
        <v>828</v>
      </c>
      <c r="H2705" s="1186">
        <v>100</v>
      </c>
    </row>
    <row r="2706" spans="1:8" x14ac:dyDescent="0.2">
      <c r="A2706" s="1186" t="s">
        <v>1572</v>
      </c>
      <c r="B2706" s="1186" t="s">
        <v>1998</v>
      </c>
      <c r="C2706" s="1186" t="s">
        <v>1987</v>
      </c>
      <c r="D2706" s="1186" t="s">
        <v>1988</v>
      </c>
      <c r="E2706" s="1186" t="s">
        <v>2031</v>
      </c>
      <c r="F2706" s="1186" t="s">
        <v>2033</v>
      </c>
      <c r="G2706" s="1186" t="s">
        <v>850</v>
      </c>
      <c r="H2706" s="1186">
        <v>1</v>
      </c>
    </row>
    <row r="2707" spans="1:8" x14ac:dyDescent="0.2">
      <c r="A2707" s="1186" t="s">
        <v>1572</v>
      </c>
      <c r="B2707" s="1186" t="s">
        <v>1998</v>
      </c>
      <c r="C2707" s="1186" t="s">
        <v>1987</v>
      </c>
      <c r="D2707" s="1186" t="s">
        <v>1988</v>
      </c>
      <c r="E2707" s="1186" t="s">
        <v>2031</v>
      </c>
      <c r="F2707" s="1186" t="s">
        <v>2033</v>
      </c>
      <c r="G2707" s="1186" t="s">
        <v>851</v>
      </c>
      <c r="H2707" s="1186">
        <v>1</v>
      </c>
    </row>
    <row r="2708" spans="1:8" x14ac:dyDescent="0.2">
      <c r="A2708" s="1186" t="s">
        <v>1572</v>
      </c>
      <c r="B2708" s="1186" t="s">
        <v>1998</v>
      </c>
      <c r="C2708" s="1186" t="s">
        <v>1987</v>
      </c>
      <c r="D2708" s="1186" t="s">
        <v>1988</v>
      </c>
      <c r="E2708" s="1186" t="s">
        <v>2031</v>
      </c>
      <c r="F2708" s="1186" t="s">
        <v>2034</v>
      </c>
      <c r="G2708" s="1186" t="s">
        <v>828</v>
      </c>
      <c r="H2708" s="1186">
        <v>21</v>
      </c>
    </row>
    <row r="2709" spans="1:8" x14ac:dyDescent="0.2">
      <c r="A2709" s="1186" t="s">
        <v>1572</v>
      </c>
      <c r="B2709" s="1186" t="s">
        <v>1998</v>
      </c>
      <c r="C2709" s="1186" t="s">
        <v>1987</v>
      </c>
      <c r="D2709" s="1186" t="s">
        <v>1988</v>
      </c>
      <c r="E2709" s="1186" t="s">
        <v>2031</v>
      </c>
      <c r="F2709" s="1186" t="s">
        <v>2034</v>
      </c>
      <c r="G2709" s="1186" t="s">
        <v>850</v>
      </c>
      <c r="H2709" s="1186">
        <v>5</v>
      </c>
    </row>
    <row r="2710" spans="1:8" x14ac:dyDescent="0.2">
      <c r="A2710" s="1186" t="s">
        <v>1572</v>
      </c>
      <c r="B2710" s="1186" t="s">
        <v>1998</v>
      </c>
      <c r="C2710" s="1186" t="s">
        <v>1987</v>
      </c>
      <c r="D2710" s="1186" t="s">
        <v>1988</v>
      </c>
      <c r="E2710" s="1186" t="s">
        <v>2035</v>
      </c>
      <c r="F2710" s="1186" t="s">
        <v>2032</v>
      </c>
      <c r="G2710" s="1186" t="s">
        <v>828</v>
      </c>
      <c r="H2710" s="1186">
        <v>14</v>
      </c>
    </row>
    <row r="2711" spans="1:8" x14ac:dyDescent="0.2">
      <c r="A2711" s="1186" t="s">
        <v>1572</v>
      </c>
      <c r="B2711" s="1186" t="s">
        <v>1998</v>
      </c>
      <c r="C2711" s="1186" t="s">
        <v>1987</v>
      </c>
      <c r="D2711" s="1186" t="s">
        <v>1988</v>
      </c>
      <c r="E2711" s="1186" t="s">
        <v>2035</v>
      </c>
      <c r="F2711" s="1186" t="s">
        <v>2032</v>
      </c>
      <c r="G2711" s="1186" t="s">
        <v>850</v>
      </c>
      <c r="H2711" s="1186">
        <v>1</v>
      </c>
    </row>
    <row r="2712" spans="1:8" x14ac:dyDescent="0.2">
      <c r="A2712" s="1186" t="s">
        <v>1572</v>
      </c>
      <c r="B2712" s="1186" t="s">
        <v>1998</v>
      </c>
      <c r="C2712" s="1186" t="s">
        <v>1987</v>
      </c>
      <c r="D2712" s="1186" t="s">
        <v>1988</v>
      </c>
      <c r="E2712" s="1186" t="s">
        <v>2035</v>
      </c>
      <c r="F2712" s="1186" t="s">
        <v>2032</v>
      </c>
      <c r="G2712" s="1186" t="s">
        <v>851</v>
      </c>
      <c r="H2712" s="1186">
        <v>8</v>
      </c>
    </row>
    <row r="2713" spans="1:8" x14ac:dyDescent="0.2">
      <c r="A2713" s="1186" t="s">
        <v>1572</v>
      </c>
      <c r="B2713" s="1186" t="s">
        <v>1998</v>
      </c>
      <c r="C2713" s="1186" t="s">
        <v>1987</v>
      </c>
      <c r="D2713" s="1186" t="s">
        <v>1988</v>
      </c>
      <c r="E2713" s="1186" t="s">
        <v>2035</v>
      </c>
      <c r="F2713" s="1186" t="s">
        <v>2032</v>
      </c>
      <c r="G2713" s="1186" t="s">
        <v>852</v>
      </c>
      <c r="H2713" s="1186">
        <v>6</v>
      </c>
    </row>
    <row r="2714" spans="1:8" x14ac:dyDescent="0.2">
      <c r="A2714" s="1186" t="s">
        <v>1572</v>
      </c>
      <c r="B2714" s="1186" t="s">
        <v>1998</v>
      </c>
      <c r="C2714" s="1186" t="s">
        <v>1987</v>
      </c>
      <c r="D2714" s="1186" t="s">
        <v>1988</v>
      </c>
      <c r="E2714" s="1186" t="s">
        <v>2035</v>
      </c>
      <c r="F2714" s="1186" t="s">
        <v>2033</v>
      </c>
      <c r="G2714" s="1186" t="s">
        <v>828</v>
      </c>
      <c r="H2714" s="1186">
        <v>59</v>
      </c>
    </row>
    <row r="2715" spans="1:8" x14ac:dyDescent="0.2">
      <c r="A2715" s="1186" t="s">
        <v>1572</v>
      </c>
      <c r="B2715" s="1186" t="s">
        <v>1998</v>
      </c>
      <c r="C2715" s="1186" t="s">
        <v>1987</v>
      </c>
      <c r="D2715" s="1186" t="s">
        <v>1988</v>
      </c>
      <c r="E2715" s="1186" t="s">
        <v>2035</v>
      </c>
      <c r="F2715" s="1186" t="s">
        <v>2033</v>
      </c>
      <c r="G2715" s="1186" t="s">
        <v>850</v>
      </c>
      <c r="H2715" s="1186">
        <v>3</v>
      </c>
    </row>
    <row r="2716" spans="1:8" x14ac:dyDescent="0.2">
      <c r="A2716" s="1186" t="s">
        <v>1572</v>
      </c>
      <c r="B2716" s="1186" t="s">
        <v>1998</v>
      </c>
      <c r="C2716" s="1186" t="s">
        <v>1987</v>
      </c>
      <c r="D2716" s="1186" t="s">
        <v>1988</v>
      </c>
      <c r="E2716" s="1186" t="s">
        <v>2035</v>
      </c>
      <c r="F2716" s="1186" t="s">
        <v>2033</v>
      </c>
      <c r="G2716" s="1186" t="s">
        <v>851</v>
      </c>
      <c r="H2716" s="1186">
        <v>75</v>
      </c>
    </row>
    <row r="2717" spans="1:8" x14ac:dyDescent="0.2">
      <c r="A2717" s="1186" t="s">
        <v>1572</v>
      </c>
      <c r="B2717" s="1186" t="s">
        <v>1998</v>
      </c>
      <c r="C2717" s="1186" t="s">
        <v>1987</v>
      </c>
      <c r="D2717" s="1186" t="s">
        <v>1988</v>
      </c>
      <c r="E2717" s="1186" t="s">
        <v>2035</v>
      </c>
      <c r="F2717" s="1186" t="s">
        <v>2033</v>
      </c>
      <c r="G2717" s="1186" t="s">
        <v>852</v>
      </c>
      <c r="H2717" s="1186">
        <v>19</v>
      </c>
    </row>
    <row r="2718" spans="1:8" x14ac:dyDescent="0.2">
      <c r="A2718" s="1186" t="s">
        <v>1572</v>
      </c>
      <c r="B2718" s="1186" t="s">
        <v>1998</v>
      </c>
      <c r="C2718" s="1186" t="s">
        <v>1987</v>
      </c>
      <c r="D2718" s="1186" t="s">
        <v>1988</v>
      </c>
      <c r="E2718" s="1186" t="s">
        <v>2035</v>
      </c>
      <c r="F2718" s="1186" t="s">
        <v>2034</v>
      </c>
      <c r="G2718" s="1186" t="s">
        <v>828</v>
      </c>
      <c r="H2718" s="1186">
        <v>65</v>
      </c>
    </row>
    <row r="2719" spans="1:8" x14ac:dyDescent="0.2">
      <c r="A2719" s="1186" t="s">
        <v>1572</v>
      </c>
      <c r="B2719" s="1186" t="s">
        <v>1998</v>
      </c>
      <c r="C2719" s="1186" t="s">
        <v>1987</v>
      </c>
      <c r="D2719" s="1186" t="s">
        <v>1988</v>
      </c>
      <c r="E2719" s="1186" t="s">
        <v>2035</v>
      </c>
      <c r="F2719" s="1186" t="s">
        <v>2034</v>
      </c>
      <c r="G2719" s="1186" t="s">
        <v>850</v>
      </c>
      <c r="H2719" s="1186">
        <v>11</v>
      </c>
    </row>
    <row r="2720" spans="1:8" x14ac:dyDescent="0.2">
      <c r="A2720" s="1186" t="s">
        <v>1572</v>
      </c>
      <c r="B2720" s="1186" t="s">
        <v>1998</v>
      </c>
      <c r="C2720" s="1186" t="s">
        <v>1987</v>
      </c>
      <c r="D2720" s="1186" t="s">
        <v>1988</v>
      </c>
      <c r="E2720" s="1186" t="s">
        <v>2035</v>
      </c>
      <c r="F2720" s="1186" t="s">
        <v>2034</v>
      </c>
      <c r="G2720" s="1186" t="s">
        <v>851</v>
      </c>
      <c r="H2720" s="1186">
        <v>16</v>
      </c>
    </row>
    <row r="2721" spans="1:8" x14ac:dyDescent="0.2">
      <c r="A2721" s="1186" t="s">
        <v>1572</v>
      </c>
      <c r="B2721" s="1186" t="s">
        <v>1998</v>
      </c>
      <c r="C2721" s="1186" t="s">
        <v>1987</v>
      </c>
      <c r="D2721" s="1186" t="s">
        <v>1988</v>
      </c>
      <c r="E2721" s="1186" t="s">
        <v>2035</v>
      </c>
      <c r="F2721" s="1186" t="s">
        <v>2034</v>
      </c>
      <c r="G2721" s="1186" t="s">
        <v>852</v>
      </c>
      <c r="H2721" s="1186">
        <v>21</v>
      </c>
    </row>
    <row r="2722" spans="1:8" x14ac:dyDescent="0.2">
      <c r="A2722" s="1186" t="s">
        <v>1572</v>
      </c>
      <c r="B2722" s="1186" t="s">
        <v>1999</v>
      </c>
      <c r="C2722" s="1186" t="s">
        <v>1987</v>
      </c>
      <c r="D2722" s="1186" t="s">
        <v>1988</v>
      </c>
      <c r="E2722" s="1186" t="s">
        <v>2031</v>
      </c>
      <c r="F2722" s="1186" t="s">
        <v>2032</v>
      </c>
      <c r="G2722" s="1186" t="s">
        <v>828</v>
      </c>
      <c r="H2722" s="1186">
        <v>5</v>
      </c>
    </row>
    <row r="2723" spans="1:8" x14ac:dyDescent="0.2">
      <c r="A2723" s="1186" t="s">
        <v>1572</v>
      </c>
      <c r="B2723" s="1186" t="s">
        <v>1999</v>
      </c>
      <c r="C2723" s="1186" t="s">
        <v>1987</v>
      </c>
      <c r="D2723" s="1186" t="s">
        <v>1988</v>
      </c>
      <c r="E2723" s="1186" t="s">
        <v>2031</v>
      </c>
      <c r="F2723" s="1186" t="s">
        <v>2033</v>
      </c>
      <c r="G2723" s="1186" t="s">
        <v>828</v>
      </c>
      <c r="H2723" s="1186">
        <v>64</v>
      </c>
    </row>
    <row r="2724" spans="1:8" x14ac:dyDescent="0.2">
      <c r="A2724" s="1186" t="s">
        <v>1572</v>
      </c>
      <c r="B2724" s="1186" t="s">
        <v>1999</v>
      </c>
      <c r="C2724" s="1186" t="s">
        <v>1987</v>
      </c>
      <c r="D2724" s="1186" t="s">
        <v>1988</v>
      </c>
      <c r="E2724" s="1186" t="s">
        <v>2031</v>
      </c>
      <c r="F2724" s="1186" t="s">
        <v>2033</v>
      </c>
      <c r="G2724" s="1186" t="s">
        <v>850</v>
      </c>
      <c r="H2724" s="1186">
        <v>5</v>
      </c>
    </row>
    <row r="2725" spans="1:8" x14ac:dyDescent="0.2">
      <c r="A2725" s="1186" t="s">
        <v>1572</v>
      </c>
      <c r="B2725" s="1186" t="s">
        <v>1999</v>
      </c>
      <c r="C2725" s="1186" t="s">
        <v>1987</v>
      </c>
      <c r="D2725" s="1186" t="s">
        <v>1988</v>
      </c>
      <c r="E2725" s="1186" t="s">
        <v>2031</v>
      </c>
      <c r="F2725" s="1186" t="s">
        <v>2033</v>
      </c>
      <c r="G2725" s="1186" t="s">
        <v>851</v>
      </c>
      <c r="H2725" s="1186">
        <v>3</v>
      </c>
    </row>
    <row r="2726" spans="1:8" x14ac:dyDescent="0.2">
      <c r="A2726" s="1186" t="s">
        <v>1572</v>
      </c>
      <c r="B2726" s="1186" t="s">
        <v>1999</v>
      </c>
      <c r="C2726" s="1186" t="s">
        <v>1987</v>
      </c>
      <c r="D2726" s="1186" t="s">
        <v>1988</v>
      </c>
      <c r="E2726" s="1186" t="s">
        <v>2031</v>
      </c>
      <c r="F2726" s="1186" t="s">
        <v>2033</v>
      </c>
      <c r="G2726" s="1186" t="s">
        <v>852</v>
      </c>
      <c r="H2726" s="1186">
        <v>2</v>
      </c>
    </row>
    <row r="2727" spans="1:8" x14ac:dyDescent="0.2">
      <c r="A2727" s="1186" t="s">
        <v>1572</v>
      </c>
      <c r="B2727" s="1186" t="s">
        <v>1999</v>
      </c>
      <c r="C2727" s="1186" t="s">
        <v>1987</v>
      </c>
      <c r="D2727" s="1186" t="s">
        <v>1988</v>
      </c>
      <c r="E2727" s="1186" t="s">
        <v>2031</v>
      </c>
      <c r="F2727" s="1186" t="s">
        <v>2034</v>
      </c>
      <c r="G2727" s="1186" t="s">
        <v>828</v>
      </c>
      <c r="H2727" s="1186">
        <v>10</v>
      </c>
    </row>
    <row r="2728" spans="1:8" x14ac:dyDescent="0.2">
      <c r="A2728" s="1186" t="s">
        <v>1572</v>
      </c>
      <c r="B2728" s="1186" t="s">
        <v>1999</v>
      </c>
      <c r="C2728" s="1186" t="s">
        <v>1987</v>
      </c>
      <c r="D2728" s="1186" t="s">
        <v>1988</v>
      </c>
      <c r="E2728" s="1186" t="s">
        <v>2031</v>
      </c>
      <c r="F2728" s="1186" t="s">
        <v>2034</v>
      </c>
      <c r="G2728" s="1186" t="s">
        <v>850</v>
      </c>
      <c r="H2728" s="1186">
        <v>2</v>
      </c>
    </row>
    <row r="2729" spans="1:8" x14ac:dyDescent="0.2">
      <c r="A2729" s="1186" t="s">
        <v>1572</v>
      </c>
      <c r="B2729" s="1186" t="s">
        <v>1999</v>
      </c>
      <c r="C2729" s="1186" t="s">
        <v>1987</v>
      </c>
      <c r="D2729" s="1186" t="s">
        <v>1988</v>
      </c>
      <c r="E2729" s="1186" t="s">
        <v>2035</v>
      </c>
      <c r="F2729" s="1186" t="s">
        <v>2032</v>
      </c>
      <c r="G2729" s="1186" t="s">
        <v>828</v>
      </c>
      <c r="H2729" s="1186">
        <v>20</v>
      </c>
    </row>
    <row r="2730" spans="1:8" x14ac:dyDescent="0.2">
      <c r="A2730" s="1186" t="s">
        <v>1572</v>
      </c>
      <c r="B2730" s="1186" t="s">
        <v>1999</v>
      </c>
      <c r="C2730" s="1186" t="s">
        <v>1987</v>
      </c>
      <c r="D2730" s="1186" t="s">
        <v>1988</v>
      </c>
      <c r="E2730" s="1186" t="s">
        <v>2035</v>
      </c>
      <c r="F2730" s="1186" t="s">
        <v>2032</v>
      </c>
      <c r="G2730" s="1186" t="s">
        <v>851</v>
      </c>
      <c r="H2730" s="1186">
        <v>2</v>
      </c>
    </row>
    <row r="2731" spans="1:8" x14ac:dyDescent="0.2">
      <c r="A2731" s="1186" t="s">
        <v>1572</v>
      </c>
      <c r="B2731" s="1186" t="s">
        <v>1999</v>
      </c>
      <c r="C2731" s="1186" t="s">
        <v>1987</v>
      </c>
      <c r="D2731" s="1186" t="s">
        <v>1988</v>
      </c>
      <c r="E2731" s="1186" t="s">
        <v>2035</v>
      </c>
      <c r="F2731" s="1186" t="s">
        <v>2032</v>
      </c>
      <c r="G2731" s="1186" t="s">
        <v>852</v>
      </c>
      <c r="H2731" s="1186">
        <v>4</v>
      </c>
    </row>
    <row r="2732" spans="1:8" x14ac:dyDescent="0.2">
      <c r="A2732" s="1186" t="s">
        <v>1572</v>
      </c>
      <c r="B2732" s="1186" t="s">
        <v>1999</v>
      </c>
      <c r="C2732" s="1186" t="s">
        <v>1987</v>
      </c>
      <c r="D2732" s="1186" t="s">
        <v>1988</v>
      </c>
      <c r="E2732" s="1186" t="s">
        <v>2035</v>
      </c>
      <c r="F2732" s="1186" t="s">
        <v>2033</v>
      </c>
      <c r="G2732" s="1186" t="s">
        <v>828</v>
      </c>
      <c r="H2732" s="1186">
        <v>45</v>
      </c>
    </row>
    <row r="2733" spans="1:8" x14ac:dyDescent="0.2">
      <c r="A2733" s="1186" t="s">
        <v>1572</v>
      </c>
      <c r="B2733" s="1186" t="s">
        <v>1999</v>
      </c>
      <c r="C2733" s="1186" t="s">
        <v>1987</v>
      </c>
      <c r="D2733" s="1186" t="s">
        <v>1988</v>
      </c>
      <c r="E2733" s="1186" t="s">
        <v>2035</v>
      </c>
      <c r="F2733" s="1186" t="s">
        <v>2033</v>
      </c>
      <c r="G2733" s="1186" t="s">
        <v>850</v>
      </c>
      <c r="H2733" s="1186">
        <v>3</v>
      </c>
    </row>
    <row r="2734" spans="1:8" x14ac:dyDescent="0.2">
      <c r="A2734" s="1186" t="s">
        <v>1572</v>
      </c>
      <c r="B2734" s="1186" t="s">
        <v>1999</v>
      </c>
      <c r="C2734" s="1186" t="s">
        <v>1987</v>
      </c>
      <c r="D2734" s="1186" t="s">
        <v>1988</v>
      </c>
      <c r="E2734" s="1186" t="s">
        <v>2035</v>
      </c>
      <c r="F2734" s="1186" t="s">
        <v>2033</v>
      </c>
      <c r="G2734" s="1186" t="s">
        <v>851</v>
      </c>
      <c r="H2734" s="1186">
        <v>72</v>
      </c>
    </row>
    <row r="2735" spans="1:8" x14ac:dyDescent="0.2">
      <c r="A2735" s="1186" t="s">
        <v>1572</v>
      </c>
      <c r="B2735" s="1186" t="s">
        <v>1999</v>
      </c>
      <c r="C2735" s="1186" t="s">
        <v>1987</v>
      </c>
      <c r="D2735" s="1186" t="s">
        <v>1988</v>
      </c>
      <c r="E2735" s="1186" t="s">
        <v>2035</v>
      </c>
      <c r="F2735" s="1186" t="s">
        <v>2033</v>
      </c>
      <c r="G2735" s="1186" t="s">
        <v>852</v>
      </c>
      <c r="H2735" s="1186">
        <v>15</v>
      </c>
    </row>
    <row r="2736" spans="1:8" x14ac:dyDescent="0.2">
      <c r="A2736" s="1186" t="s">
        <v>1572</v>
      </c>
      <c r="B2736" s="1186" t="s">
        <v>1999</v>
      </c>
      <c r="C2736" s="1186" t="s">
        <v>1987</v>
      </c>
      <c r="D2736" s="1186" t="s">
        <v>1988</v>
      </c>
      <c r="E2736" s="1186" t="s">
        <v>2035</v>
      </c>
      <c r="F2736" s="1186" t="s">
        <v>2034</v>
      </c>
      <c r="G2736" s="1186" t="s">
        <v>828</v>
      </c>
      <c r="H2736" s="1186">
        <v>62</v>
      </c>
    </row>
    <row r="2737" spans="1:8" x14ac:dyDescent="0.2">
      <c r="A2737" s="1186" t="s">
        <v>1572</v>
      </c>
      <c r="B2737" s="1186" t="s">
        <v>1999</v>
      </c>
      <c r="C2737" s="1186" t="s">
        <v>1987</v>
      </c>
      <c r="D2737" s="1186" t="s">
        <v>1988</v>
      </c>
      <c r="E2737" s="1186" t="s">
        <v>2035</v>
      </c>
      <c r="F2737" s="1186" t="s">
        <v>2034</v>
      </c>
      <c r="G2737" s="1186" t="s">
        <v>850</v>
      </c>
      <c r="H2737" s="1186">
        <v>14</v>
      </c>
    </row>
    <row r="2738" spans="1:8" x14ac:dyDescent="0.2">
      <c r="A2738" s="1186" t="s">
        <v>1572</v>
      </c>
      <c r="B2738" s="1186" t="s">
        <v>1999</v>
      </c>
      <c r="C2738" s="1186" t="s">
        <v>1987</v>
      </c>
      <c r="D2738" s="1186" t="s">
        <v>1988</v>
      </c>
      <c r="E2738" s="1186" t="s">
        <v>2035</v>
      </c>
      <c r="F2738" s="1186" t="s">
        <v>2034</v>
      </c>
      <c r="G2738" s="1186" t="s">
        <v>851</v>
      </c>
      <c r="H2738" s="1186">
        <v>26</v>
      </c>
    </row>
    <row r="2739" spans="1:8" x14ac:dyDescent="0.2">
      <c r="A2739" s="1186" t="s">
        <v>1572</v>
      </c>
      <c r="B2739" s="1186" t="s">
        <v>1999</v>
      </c>
      <c r="C2739" s="1186" t="s">
        <v>1987</v>
      </c>
      <c r="D2739" s="1186" t="s">
        <v>1988</v>
      </c>
      <c r="E2739" s="1186" t="s">
        <v>2035</v>
      </c>
      <c r="F2739" s="1186" t="s">
        <v>2034</v>
      </c>
      <c r="G2739" s="1186" t="s">
        <v>852</v>
      </c>
      <c r="H2739" s="1186">
        <v>16</v>
      </c>
    </row>
    <row r="2740" spans="1:8" x14ac:dyDescent="0.2">
      <c r="A2740" s="1186" t="s">
        <v>1572</v>
      </c>
      <c r="B2740" s="1186" t="s">
        <v>2000</v>
      </c>
      <c r="C2740" s="1186" t="s">
        <v>1981</v>
      </c>
      <c r="D2740" s="1186" t="s">
        <v>1988</v>
      </c>
      <c r="E2740" s="1186" t="s">
        <v>2031</v>
      </c>
      <c r="F2740" s="1186" t="s">
        <v>2032</v>
      </c>
      <c r="G2740" s="1186" t="s">
        <v>828</v>
      </c>
      <c r="H2740" s="1186">
        <v>3</v>
      </c>
    </row>
    <row r="2741" spans="1:8" x14ac:dyDescent="0.2">
      <c r="A2741" s="1186" t="s">
        <v>1572</v>
      </c>
      <c r="B2741" s="1186" t="s">
        <v>2000</v>
      </c>
      <c r="C2741" s="1186" t="s">
        <v>1981</v>
      </c>
      <c r="D2741" s="1186" t="s">
        <v>1988</v>
      </c>
      <c r="E2741" s="1186" t="s">
        <v>2031</v>
      </c>
      <c r="F2741" s="1186" t="s">
        <v>2032</v>
      </c>
      <c r="G2741" s="1186" t="s">
        <v>852</v>
      </c>
      <c r="H2741" s="1186">
        <v>1</v>
      </c>
    </row>
    <row r="2742" spans="1:8" x14ac:dyDescent="0.2">
      <c r="A2742" s="1186" t="s">
        <v>1572</v>
      </c>
      <c r="B2742" s="1186" t="s">
        <v>2000</v>
      </c>
      <c r="C2742" s="1186" t="s">
        <v>1981</v>
      </c>
      <c r="D2742" s="1186" t="s">
        <v>1988</v>
      </c>
      <c r="E2742" s="1186" t="s">
        <v>2031</v>
      </c>
      <c r="F2742" s="1186" t="s">
        <v>2033</v>
      </c>
      <c r="G2742" s="1186" t="s">
        <v>828</v>
      </c>
      <c r="H2742" s="1186">
        <v>56</v>
      </c>
    </row>
    <row r="2743" spans="1:8" x14ac:dyDescent="0.2">
      <c r="A2743" s="1186" t="s">
        <v>1572</v>
      </c>
      <c r="B2743" s="1186" t="s">
        <v>2000</v>
      </c>
      <c r="C2743" s="1186" t="s">
        <v>1981</v>
      </c>
      <c r="D2743" s="1186" t="s">
        <v>1988</v>
      </c>
      <c r="E2743" s="1186" t="s">
        <v>2031</v>
      </c>
      <c r="F2743" s="1186" t="s">
        <v>2033</v>
      </c>
      <c r="G2743" s="1186" t="s">
        <v>850</v>
      </c>
      <c r="H2743" s="1186">
        <v>3</v>
      </c>
    </row>
    <row r="2744" spans="1:8" x14ac:dyDescent="0.2">
      <c r="A2744" s="1186" t="s">
        <v>1572</v>
      </c>
      <c r="B2744" s="1186" t="s">
        <v>2000</v>
      </c>
      <c r="C2744" s="1186" t="s">
        <v>1981</v>
      </c>
      <c r="D2744" s="1186" t="s">
        <v>1988</v>
      </c>
      <c r="E2744" s="1186" t="s">
        <v>2031</v>
      </c>
      <c r="F2744" s="1186" t="s">
        <v>2033</v>
      </c>
      <c r="G2744" s="1186" t="s">
        <v>851</v>
      </c>
      <c r="H2744" s="1186">
        <v>4</v>
      </c>
    </row>
    <row r="2745" spans="1:8" x14ac:dyDescent="0.2">
      <c r="A2745" s="1186" t="s">
        <v>1572</v>
      </c>
      <c r="B2745" s="1186" t="s">
        <v>2000</v>
      </c>
      <c r="C2745" s="1186" t="s">
        <v>1981</v>
      </c>
      <c r="D2745" s="1186" t="s">
        <v>1988</v>
      </c>
      <c r="E2745" s="1186" t="s">
        <v>2031</v>
      </c>
      <c r="F2745" s="1186" t="s">
        <v>2033</v>
      </c>
      <c r="G2745" s="1186" t="s">
        <v>852</v>
      </c>
      <c r="H2745" s="1186">
        <v>3</v>
      </c>
    </row>
    <row r="2746" spans="1:8" x14ac:dyDescent="0.2">
      <c r="A2746" s="1186" t="s">
        <v>1572</v>
      </c>
      <c r="B2746" s="1186" t="s">
        <v>2000</v>
      </c>
      <c r="C2746" s="1186" t="s">
        <v>1981</v>
      </c>
      <c r="D2746" s="1186" t="s">
        <v>1988</v>
      </c>
      <c r="E2746" s="1186" t="s">
        <v>2031</v>
      </c>
      <c r="F2746" s="1186" t="s">
        <v>2034</v>
      </c>
      <c r="G2746" s="1186" t="s">
        <v>828</v>
      </c>
      <c r="H2746" s="1186">
        <v>14</v>
      </c>
    </row>
    <row r="2747" spans="1:8" x14ac:dyDescent="0.2">
      <c r="A2747" s="1186" t="s">
        <v>1572</v>
      </c>
      <c r="B2747" s="1186" t="s">
        <v>2000</v>
      </c>
      <c r="C2747" s="1186" t="s">
        <v>1981</v>
      </c>
      <c r="D2747" s="1186" t="s">
        <v>1988</v>
      </c>
      <c r="E2747" s="1186" t="s">
        <v>2031</v>
      </c>
      <c r="F2747" s="1186" t="s">
        <v>2034</v>
      </c>
      <c r="G2747" s="1186" t="s">
        <v>850</v>
      </c>
      <c r="H2747" s="1186">
        <v>1</v>
      </c>
    </row>
    <row r="2748" spans="1:8" x14ac:dyDescent="0.2">
      <c r="A2748" s="1186" t="s">
        <v>1572</v>
      </c>
      <c r="B2748" s="1186" t="s">
        <v>2000</v>
      </c>
      <c r="C2748" s="1186" t="s">
        <v>1981</v>
      </c>
      <c r="D2748" s="1186" t="s">
        <v>1988</v>
      </c>
      <c r="E2748" s="1186" t="s">
        <v>2035</v>
      </c>
      <c r="F2748" s="1186" t="s">
        <v>2032</v>
      </c>
      <c r="G2748" s="1186" t="s">
        <v>828</v>
      </c>
      <c r="H2748" s="1186">
        <v>16</v>
      </c>
    </row>
    <row r="2749" spans="1:8" x14ac:dyDescent="0.2">
      <c r="A2749" s="1186" t="s">
        <v>1572</v>
      </c>
      <c r="B2749" s="1186" t="s">
        <v>2000</v>
      </c>
      <c r="C2749" s="1186" t="s">
        <v>1981</v>
      </c>
      <c r="D2749" s="1186" t="s">
        <v>1988</v>
      </c>
      <c r="E2749" s="1186" t="s">
        <v>2035</v>
      </c>
      <c r="F2749" s="1186" t="s">
        <v>2032</v>
      </c>
      <c r="G2749" s="1186" t="s">
        <v>851</v>
      </c>
      <c r="H2749" s="1186">
        <v>2</v>
      </c>
    </row>
    <row r="2750" spans="1:8" x14ac:dyDescent="0.2">
      <c r="A2750" s="1186" t="s">
        <v>1572</v>
      </c>
      <c r="B2750" s="1186" t="s">
        <v>2000</v>
      </c>
      <c r="C2750" s="1186" t="s">
        <v>1981</v>
      </c>
      <c r="D2750" s="1186" t="s">
        <v>1988</v>
      </c>
      <c r="E2750" s="1186" t="s">
        <v>2035</v>
      </c>
      <c r="F2750" s="1186" t="s">
        <v>2032</v>
      </c>
      <c r="G2750" s="1186" t="s">
        <v>852</v>
      </c>
      <c r="H2750" s="1186">
        <v>3</v>
      </c>
    </row>
    <row r="2751" spans="1:8" x14ac:dyDescent="0.2">
      <c r="A2751" s="1186" t="s">
        <v>1572</v>
      </c>
      <c r="B2751" s="1186" t="s">
        <v>2000</v>
      </c>
      <c r="C2751" s="1186" t="s">
        <v>1981</v>
      </c>
      <c r="D2751" s="1186" t="s">
        <v>1988</v>
      </c>
      <c r="E2751" s="1186" t="s">
        <v>2035</v>
      </c>
      <c r="F2751" s="1186" t="s">
        <v>2033</v>
      </c>
      <c r="G2751" s="1186" t="s">
        <v>828</v>
      </c>
      <c r="H2751" s="1186">
        <v>39</v>
      </c>
    </row>
    <row r="2752" spans="1:8" x14ac:dyDescent="0.2">
      <c r="A2752" s="1186" t="s">
        <v>1572</v>
      </c>
      <c r="B2752" s="1186" t="s">
        <v>2000</v>
      </c>
      <c r="C2752" s="1186" t="s">
        <v>1981</v>
      </c>
      <c r="D2752" s="1186" t="s">
        <v>1988</v>
      </c>
      <c r="E2752" s="1186" t="s">
        <v>2035</v>
      </c>
      <c r="F2752" s="1186" t="s">
        <v>2033</v>
      </c>
      <c r="G2752" s="1186" t="s">
        <v>850</v>
      </c>
      <c r="H2752" s="1186">
        <v>1</v>
      </c>
    </row>
    <row r="2753" spans="1:8" x14ac:dyDescent="0.2">
      <c r="A2753" s="1186" t="s">
        <v>1572</v>
      </c>
      <c r="B2753" s="1186" t="s">
        <v>2000</v>
      </c>
      <c r="C2753" s="1186" t="s">
        <v>1981</v>
      </c>
      <c r="D2753" s="1186" t="s">
        <v>1988</v>
      </c>
      <c r="E2753" s="1186" t="s">
        <v>2035</v>
      </c>
      <c r="F2753" s="1186" t="s">
        <v>2033</v>
      </c>
      <c r="G2753" s="1186" t="s">
        <v>851</v>
      </c>
      <c r="H2753" s="1186">
        <v>86</v>
      </c>
    </row>
    <row r="2754" spans="1:8" x14ac:dyDescent="0.2">
      <c r="A2754" s="1186" t="s">
        <v>1572</v>
      </c>
      <c r="B2754" s="1186" t="s">
        <v>2000</v>
      </c>
      <c r="C2754" s="1186" t="s">
        <v>1981</v>
      </c>
      <c r="D2754" s="1186" t="s">
        <v>1988</v>
      </c>
      <c r="E2754" s="1186" t="s">
        <v>2035</v>
      </c>
      <c r="F2754" s="1186" t="s">
        <v>2033</v>
      </c>
      <c r="G2754" s="1186" t="s">
        <v>852</v>
      </c>
      <c r="H2754" s="1186">
        <v>12</v>
      </c>
    </row>
    <row r="2755" spans="1:8" x14ac:dyDescent="0.2">
      <c r="A2755" s="1186" t="s">
        <v>1572</v>
      </c>
      <c r="B2755" s="1186" t="s">
        <v>2000</v>
      </c>
      <c r="C2755" s="1186" t="s">
        <v>1981</v>
      </c>
      <c r="D2755" s="1186" t="s">
        <v>1988</v>
      </c>
      <c r="E2755" s="1186" t="s">
        <v>2035</v>
      </c>
      <c r="F2755" s="1186" t="s">
        <v>2034</v>
      </c>
      <c r="G2755" s="1186" t="s">
        <v>828</v>
      </c>
      <c r="H2755" s="1186">
        <v>65</v>
      </c>
    </row>
    <row r="2756" spans="1:8" x14ac:dyDescent="0.2">
      <c r="A2756" s="1186" t="s">
        <v>1572</v>
      </c>
      <c r="B2756" s="1186" t="s">
        <v>2000</v>
      </c>
      <c r="C2756" s="1186" t="s">
        <v>1981</v>
      </c>
      <c r="D2756" s="1186" t="s">
        <v>1988</v>
      </c>
      <c r="E2756" s="1186" t="s">
        <v>2035</v>
      </c>
      <c r="F2756" s="1186" t="s">
        <v>2034</v>
      </c>
      <c r="G2756" s="1186" t="s">
        <v>850</v>
      </c>
      <c r="H2756" s="1186">
        <v>27</v>
      </c>
    </row>
    <row r="2757" spans="1:8" x14ac:dyDescent="0.2">
      <c r="A2757" s="1186" t="s">
        <v>1572</v>
      </c>
      <c r="B2757" s="1186" t="s">
        <v>2000</v>
      </c>
      <c r="C2757" s="1186" t="s">
        <v>1981</v>
      </c>
      <c r="D2757" s="1186" t="s">
        <v>1988</v>
      </c>
      <c r="E2757" s="1186" t="s">
        <v>2035</v>
      </c>
      <c r="F2757" s="1186" t="s">
        <v>2034</v>
      </c>
      <c r="G2757" s="1186" t="s">
        <v>851</v>
      </c>
      <c r="H2757" s="1186">
        <v>16</v>
      </c>
    </row>
    <row r="2758" spans="1:8" x14ac:dyDescent="0.2">
      <c r="A2758" s="1186" t="s">
        <v>1572</v>
      </c>
      <c r="B2758" s="1186" t="s">
        <v>2000</v>
      </c>
      <c r="C2758" s="1186" t="s">
        <v>1981</v>
      </c>
      <c r="D2758" s="1186" t="s">
        <v>1988</v>
      </c>
      <c r="E2758" s="1186" t="s">
        <v>2035</v>
      </c>
      <c r="F2758" s="1186" t="s">
        <v>2034</v>
      </c>
      <c r="G2758" s="1186" t="s">
        <v>852</v>
      </c>
      <c r="H2758" s="1186">
        <v>34</v>
      </c>
    </row>
  </sheetData>
  <pageMargins left="0.7" right="0.7" top="0.75" bottom="0.75" header="0.3" footer="0.3"/>
  <pageSetup paperSize="9" fitToHeight="50" orientation="landscape" r:id="rId1"/>
  <legacyDrawing r:id="rId2"/>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pageSetUpPr fitToPage="1"/>
  </sheetPr>
  <dimension ref="A1:M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6.42578125" bestFit="1" customWidth="1"/>
    <col min="2" max="2" width="7.42578125" bestFit="1" customWidth="1"/>
    <col min="3" max="3" width="9.85546875" bestFit="1" customWidth="1"/>
    <col min="4" max="7" width="5.42578125" bestFit="1" customWidth="1"/>
    <col min="8" max="8" width="6.85546875" bestFit="1" customWidth="1"/>
    <col min="9" max="11" width="5.42578125" bestFit="1" customWidth="1"/>
    <col min="12" max="12" width="3.85546875" bestFit="1" customWidth="1"/>
  </cols>
  <sheetData>
    <row r="1" spans="1:13" x14ac:dyDescent="0.2"/>
    <row r="4" spans="1:13" x14ac:dyDescent="0.2">
      <c r="A4" s="1223" t="s">
        <v>444</v>
      </c>
      <c r="B4" s="1223" t="s">
        <v>4</v>
      </c>
      <c r="C4" s="1223" t="s">
        <v>1782</v>
      </c>
      <c r="D4" s="1223" t="s">
        <v>176</v>
      </c>
      <c r="E4" s="1223" t="s">
        <v>832</v>
      </c>
      <c r="F4" s="1223" t="s">
        <v>833</v>
      </c>
      <c r="G4" s="1223" t="s">
        <v>834</v>
      </c>
      <c r="H4" s="1225">
        <v>44332</v>
      </c>
      <c r="I4" s="1223" t="s">
        <v>835</v>
      </c>
      <c r="J4" s="1223" t="s">
        <v>836</v>
      </c>
      <c r="K4" s="1223" t="s">
        <v>837</v>
      </c>
      <c r="L4" s="1223" t="s">
        <v>838</v>
      </c>
      <c r="M4" s="1228" t="s">
        <v>830</v>
      </c>
    </row>
    <row r="5" spans="1:13" x14ac:dyDescent="0.2">
      <c r="A5" s="1186" t="s">
        <v>414</v>
      </c>
      <c r="B5" s="1186" t="s">
        <v>19</v>
      </c>
      <c r="C5" s="1186">
        <v>61</v>
      </c>
      <c r="D5" s="1186">
        <v>4</v>
      </c>
      <c r="E5" s="1186">
        <v>2</v>
      </c>
      <c r="F5" s="1186">
        <v>11</v>
      </c>
      <c r="G5" s="1186">
        <v>14</v>
      </c>
      <c r="H5" s="1186">
        <v>2</v>
      </c>
      <c r="I5" s="1186">
        <v>15</v>
      </c>
      <c r="J5" s="1186">
        <v>7</v>
      </c>
      <c r="K5" s="1186">
        <v>6</v>
      </c>
      <c r="L5" s="1186"/>
      <c r="M5" s="1229">
        <v>0</v>
      </c>
    </row>
    <row r="6" spans="1:13" x14ac:dyDescent="0.2">
      <c r="A6" s="1186" t="s">
        <v>414</v>
      </c>
      <c r="B6" s="1186" t="s">
        <v>20</v>
      </c>
      <c r="C6" s="1186">
        <v>52</v>
      </c>
      <c r="D6" s="1186">
        <v>6</v>
      </c>
      <c r="E6" s="1186">
        <v>6</v>
      </c>
      <c r="F6" s="1186">
        <v>8</v>
      </c>
      <c r="G6" s="1186">
        <v>9</v>
      </c>
      <c r="H6" s="1186"/>
      <c r="I6" s="1186">
        <v>5</v>
      </c>
      <c r="J6" s="1186">
        <v>12</v>
      </c>
      <c r="K6" s="1186">
        <v>5</v>
      </c>
      <c r="L6" s="1186">
        <v>1</v>
      </c>
      <c r="M6" s="1229">
        <v>0</v>
      </c>
    </row>
    <row r="7" spans="1:13" x14ac:dyDescent="0.2">
      <c r="A7" s="1186" t="s">
        <v>414</v>
      </c>
      <c r="B7" s="1186" t="s">
        <v>13</v>
      </c>
      <c r="C7" s="1186">
        <v>59</v>
      </c>
      <c r="D7" s="1186">
        <v>3</v>
      </c>
      <c r="E7" s="1186">
        <v>5</v>
      </c>
      <c r="F7" s="1186">
        <v>12</v>
      </c>
      <c r="G7" s="1186">
        <v>6</v>
      </c>
      <c r="H7" s="1186">
        <v>3</v>
      </c>
      <c r="I7" s="1186">
        <v>12</v>
      </c>
      <c r="J7" s="1186">
        <v>7</v>
      </c>
      <c r="K7" s="1186">
        <v>8</v>
      </c>
      <c r="L7" s="1186">
        <v>3</v>
      </c>
      <c r="M7" s="1229">
        <v>0</v>
      </c>
    </row>
    <row r="8" spans="1:13" x14ac:dyDescent="0.2">
      <c r="A8" s="1186" t="s">
        <v>414</v>
      </c>
      <c r="B8" s="1186" t="s">
        <v>15</v>
      </c>
      <c r="C8" s="1186">
        <v>46</v>
      </c>
      <c r="D8" s="1186">
        <v>1</v>
      </c>
      <c r="E8" s="1186">
        <v>4</v>
      </c>
      <c r="F8" s="1186">
        <v>9</v>
      </c>
      <c r="G8" s="1186">
        <v>6</v>
      </c>
      <c r="H8" s="1186"/>
      <c r="I8" s="1186">
        <v>5</v>
      </c>
      <c r="J8" s="1186">
        <v>9</v>
      </c>
      <c r="K8" s="1186">
        <v>9</v>
      </c>
      <c r="L8" s="1186">
        <v>3</v>
      </c>
      <c r="M8" s="225">
        <v>0</v>
      </c>
    </row>
    <row r="9" spans="1:13" x14ac:dyDescent="0.2">
      <c r="A9" s="1186" t="s">
        <v>414</v>
      </c>
      <c r="B9" s="1186" t="s">
        <v>17</v>
      </c>
      <c r="C9" s="1186">
        <v>31</v>
      </c>
      <c r="D9" s="1186"/>
      <c r="E9" s="1186">
        <v>3</v>
      </c>
      <c r="F9" s="1186">
        <v>6</v>
      </c>
      <c r="G9" s="1186">
        <v>6</v>
      </c>
      <c r="H9" s="1186"/>
      <c r="I9" s="1186">
        <v>3</v>
      </c>
      <c r="J9" s="1186">
        <v>4</v>
      </c>
      <c r="K9" s="1186">
        <v>8</v>
      </c>
      <c r="L9" s="1186">
        <v>1</v>
      </c>
      <c r="M9" s="225">
        <v>0</v>
      </c>
    </row>
    <row r="10" spans="1:13" x14ac:dyDescent="0.2">
      <c r="A10" s="1186" t="s">
        <v>414</v>
      </c>
      <c r="B10" s="1186" t="s">
        <v>133</v>
      </c>
      <c r="C10" s="1186">
        <v>40</v>
      </c>
      <c r="D10" s="1186">
        <v>2</v>
      </c>
      <c r="E10" s="1186">
        <v>5</v>
      </c>
      <c r="F10" s="1186">
        <v>4</v>
      </c>
      <c r="G10" s="1186">
        <v>5</v>
      </c>
      <c r="H10" s="1186">
        <v>1</v>
      </c>
      <c r="I10" s="1186">
        <v>5</v>
      </c>
      <c r="J10" s="1186">
        <v>7</v>
      </c>
      <c r="K10" s="1186">
        <v>7</v>
      </c>
      <c r="L10" s="1186">
        <v>4</v>
      </c>
      <c r="M10" s="225">
        <v>0</v>
      </c>
    </row>
    <row r="11" spans="1:13" x14ac:dyDescent="0.2">
      <c r="A11" s="1186" t="s">
        <v>414</v>
      </c>
      <c r="B11" s="1186" t="s">
        <v>144</v>
      </c>
      <c r="C11" s="1186">
        <v>45</v>
      </c>
      <c r="D11" s="1186">
        <v>3</v>
      </c>
      <c r="E11" s="1186">
        <v>3</v>
      </c>
      <c r="F11" s="1186">
        <v>6</v>
      </c>
      <c r="G11" s="1186">
        <v>10</v>
      </c>
      <c r="H11" s="1186"/>
      <c r="I11" s="1186">
        <v>9</v>
      </c>
      <c r="J11" s="1186">
        <v>6</v>
      </c>
      <c r="K11" s="1186">
        <v>4</v>
      </c>
      <c r="L11" s="1186">
        <v>4</v>
      </c>
      <c r="M11" s="225">
        <v>0</v>
      </c>
    </row>
    <row r="12" spans="1:13" x14ac:dyDescent="0.2">
      <c r="A12" s="1186" t="s">
        <v>414</v>
      </c>
      <c r="B12" s="1186" t="s">
        <v>282</v>
      </c>
      <c r="C12" s="1186">
        <v>44</v>
      </c>
      <c r="D12" s="1186">
        <v>4</v>
      </c>
      <c r="E12" s="1186">
        <v>4</v>
      </c>
      <c r="F12" s="1186">
        <v>10</v>
      </c>
      <c r="G12" s="1186">
        <v>8</v>
      </c>
      <c r="H12" s="1186"/>
      <c r="I12" s="1186">
        <v>8</v>
      </c>
      <c r="J12" s="1186">
        <v>3</v>
      </c>
      <c r="K12" s="1186">
        <v>6</v>
      </c>
      <c r="L12" s="1186">
        <v>1</v>
      </c>
      <c r="M12" s="225">
        <v>0</v>
      </c>
    </row>
    <row r="13" spans="1:13" x14ac:dyDescent="0.2">
      <c r="A13" s="1186" t="s">
        <v>414</v>
      </c>
      <c r="B13" s="1186" t="s">
        <v>311</v>
      </c>
      <c r="C13" s="1186">
        <v>44</v>
      </c>
      <c r="D13" s="1186">
        <v>3</v>
      </c>
      <c r="E13" s="1186">
        <v>4</v>
      </c>
      <c r="F13" s="1186">
        <v>7</v>
      </c>
      <c r="G13" s="1186">
        <v>7</v>
      </c>
      <c r="H13" s="1186"/>
      <c r="I13" s="1186">
        <v>11</v>
      </c>
      <c r="J13" s="1186">
        <v>7</v>
      </c>
      <c r="K13" s="1186">
        <v>4</v>
      </c>
      <c r="L13" s="1186">
        <v>1</v>
      </c>
      <c r="M13" s="225">
        <v>0</v>
      </c>
    </row>
    <row r="14" spans="1:13" x14ac:dyDescent="0.2">
      <c r="A14" s="1186" t="s">
        <v>414</v>
      </c>
      <c r="B14" s="1186" t="s">
        <v>621</v>
      </c>
      <c r="C14" s="1186">
        <v>44</v>
      </c>
      <c r="D14" s="1186">
        <v>2</v>
      </c>
      <c r="E14" s="1186">
        <v>2</v>
      </c>
      <c r="F14" s="1186">
        <v>5</v>
      </c>
      <c r="G14" s="1186">
        <v>9</v>
      </c>
      <c r="H14" s="1186"/>
      <c r="I14" s="1186">
        <v>15</v>
      </c>
      <c r="J14" s="1186">
        <v>8</v>
      </c>
      <c r="K14" s="1186">
        <v>2</v>
      </c>
      <c r="L14" s="1186">
        <v>1</v>
      </c>
      <c r="M14" s="225">
        <v>0</v>
      </c>
    </row>
    <row r="15" spans="1:13" x14ac:dyDescent="0.2">
      <c r="A15" s="1186" t="s">
        <v>414</v>
      </c>
      <c r="B15" s="1186" t="s">
        <v>1419</v>
      </c>
      <c r="C15" s="1186">
        <v>27</v>
      </c>
      <c r="D15" s="1186"/>
      <c r="E15" s="1186">
        <v>2</v>
      </c>
      <c r="F15" s="1186">
        <v>3</v>
      </c>
      <c r="G15" s="1186">
        <v>8</v>
      </c>
      <c r="H15" s="1186"/>
      <c r="I15" s="1186">
        <v>4</v>
      </c>
      <c r="J15" s="1186">
        <v>5</v>
      </c>
      <c r="K15" s="1186">
        <v>5</v>
      </c>
      <c r="L15" s="1186"/>
      <c r="M15" s="225">
        <v>0</v>
      </c>
    </row>
    <row r="16" spans="1:13" x14ac:dyDescent="0.2">
      <c r="A16" s="1186" t="s">
        <v>414</v>
      </c>
      <c r="B16" s="1186" t="s">
        <v>1572</v>
      </c>
      <c r="C16" s="1186">
        <v>53</v>
      </c>
      <c r="D16" s="1186">
        <v>2</v>
      </c>
      <c r="E16" s="1186">
        <v>1</v>
      </c>
      <c r="F16" s="1186">
        <v>6</v>
      </c>
      <c r="G16" s="1186">
        <v>13</v>
      </c>
      <c r="H16" s="1186">
        <v>3</v>
      </c>
      <c r="I16" s="1186">
        <v>11</v>
      </c>
      <c r="J16" s="1186">
        <v>10</v>
      </c>
      <c r="K16" s="1186">
        <v>4</v>
      </c>
      <c r="L16" s="1186">
        <v>3</v>
      </c>
      <c r="M16" s="225">
        <v>0</v>
      </c>
    </row>
  </sheetData>
  <pageMargins left="0.7" right="0.7" top="0.75" bottom="0.75" header="0.3" footer="0.3"/>
  <pageSetup paperSize="9" fitToHeight="50" orientation="landscape" r:id="rId1"/>
  <legacyDrawing r:id="rId2"/>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pageSetUpPr fitToPage="1"/>
  </sheetPr>
  <dimension ref="A1:N16"/>
  <sheetViews>
    <sheetView zoomScaleNormal="100" workbookViewId="0">
      <pane ySplit="4" topLeftCell="A5" activePane="bottomLeft" state="frozen"/>
      <selection activeCell="A5" sqref="A5"/>
      <selection pane="bottomLeft" activeCell="A5" sqref="A5"/>
    </sheetView>
  </sheetViews>
  <sheetFormatPr defaultColWidth="8.7109375" defaultRowHeight="12.75" x14ac:dyDescent="0.2"/>
  <cols>
    <col min="1" max="1" width="16.42578125" bestFit="1" customWidth="1"/>
    <col min="2" max="2" width="7.42578125" bestFit="1" customWidth="1"/>
    <col min="3" max="3" width="12.42578125" bestFit="1" customWidth="1"/>
    <col min="4" max="4" width="3.5703125" bestFit="1" customWidth="1"/>
    <col min="5" max="8" width="5.42578125" bestFit="1" customWidth="1"/>
    <col min="9" max="9" width="6.85546875" bestFit="1" customWidth="1"/>
    <col min="10" max="12" width="5.42578125" bestFit="1" customWidth="1"/>
    <col min="13" max="13" width="3.85546875" bestFit="1" customWidth="1"/>
    <col min="14" max="14" width="8" bestFit="1" customWidth="1"/>
  </cols>
  <sheetData>
    <row r="1" spans="1:14" x14ac:dyDescent="0.2"/>
    <row r="4" spans="1:14" x14ac:dyDescent="0.2">
      <c r="A4" s="1223" t="s">
        <v>563</v>
      </c>
      <c r="B4" s="1223" t="s">
        <v>4</v>
      </c>
      <c r="C4" s="1223" t="s">
        <v>1772</v>
      </c>
      <c r="D4" s="1223" t="s">
        <v>830</v>
      </c>
      <c r="E4" s="1223" t="s">
        <v>176</v>
      </c>
      <c r="F4" s="1223" t="s">
        <v>832</v>
      </c>
      <c r="G4" s="1223" t="s">
        <v>833</v>
      </c>
      <c r="H4" s="1223" t="s">
        <v>834</v>
      </c>
      <c r="I4" s="1225">
        <v>44332</v>
      </c>
      <c r="J4" s="1223" t="s">
        <v>835</v>
      </c>
      <c r="K4" s="1223" t="s">
        <v>836</v>
      </c>
      <c r="L4" s="1223" t="s">
        <v>837</v>
      </c>
      <c r="M4" s="1223" t="s">
        <v>838</v>
      </c>
      <c r="N4" s="1223" t="s">
        <v>168</v>
      </c>
    </row>
    <row r="5" spans="1:14" x14ac:dyDescent="0.2">
      <c r="A5" s="1186" t="s">
        <v>414</v>
      </c>
      <c r="B5" s="1186" t="s">
        <v>19</v>
      </c>
      <c r="C5" s="1186">
        <v>1205</v>
      </c>
      <c r="D5" s="1186">
        <v>39</v>
      </c>
      <c r="E5" s="1186">
        <v>238</v>
      </c>
      <c r="F5" s="1186">
        <v>202</v>
      </c>
      <c r="G5" s="1186">
        <v>206</v>
      </c>
      <c r="H5" s="1186">
        <v>144</v>
      </c>
      <c r="I5" s="1186">
        <v>67</v>
      </c>
      <c r="J5" s="1186">
        <v>119</v>
      </c>
      <c r="K5" s="1186">
        <v>99</v>
      </c>
      <c r="L5" s="1186">
        <v>66</v>
      </c>
      <c r="M5" s="1186">
        <v>24</v>
      </c>
      <c r="N5" s="1186">
        <v>1</v>
      </c>
    </row>
    <row r="6" spans="1:14" x14ac:dyDescent="0.2">
      <c r="A6" s="1186" t="s">
        <v>414</v>
      </c>
      <c r="B6" s="1186" t="s">
        <v>20</v>
      </c>
      <c r="C6" s="1186">
        <v>1304</v>
      </c>
      <c r="D6" s="1186">
        <v>32</v>
      </c>
      <c r="E6" s="1186">
        <v>283</v>
      </c>
      <c r="F6" s="1186">
        <v>203</v>
      </c>
      <c r="G6" s="1186">
        <v>212</v>
      </c>
      <c r="H6" s="1186">
        <v>168</v>
      </c>
      <c r="I6" s="1186">
        <v>81</v>
      </c>
      <c r="J6" s="1186">
        <v>116</v>
      </c>
      <c r="K6" s="1186">
        <v>98</v>
      </c>
      <c r="L6" s="1186">
        <v>81</v>
      </c>
      <c r="M6" s="1186">
        <v>28</v>
      </c>
      <c r="N6" s="1186">
        <v>2</v>
      </c>
    </row>
    <row r="7" spans="1:14" x14ac:dyDescent="0.2">
      <c r="A7" s="1186" t="s">
        <v>414</v>
      </c>
      <c r="B7" s="1186" t="s">
        <v>13</v>
      </c>
      <c r="C7" s="1186">
        <v>1386</v>
      </c>
      <c r="D7" s="1186">
        <v>43</v>
      </c>
      <c r="E7" s="1186">
        <v>268</v>
      </c>
      <c r="F7" s="1186">
        <v>241</v>
      </c>
      <c r="G7" s="1186">
        <v>225</v>
      </c>
      <c r="H7" s="1186">
        <v>178</v>
      </c>
      <c r="I7" s="1186">
        <v>76</v>
      </c>
      <c r="J7" s="1186">
        <v>129</v>
      </c>
      <c r="K7" s="1186">
        <v>96</v>
      </c>
      <c r="L7" s="1186">
        <v>93</v>
      </c>
      <c r="M7" s="1186">
        <v>32</v>
      </c>
      <c r="N7" s="1186">
        <v>5</v>
      </c>
    </row>
    <row r="8" spans="1:14" x14ac:dyDescent="0.2">
      <c r="A8" s="1186" t="s">
        <v>414</v>
      </c>
      <c r="B8" s="1186" t="s">
        <v>15</v>
      </c>
      <c r="C8" s="1186">
        <v>1301</v>
      </c>
      <c r="D8" s="1186">
        <v>42</v>
      </c>
      <c r="E8" s="1186">
        <v>252</v>
      </c>
      <c r="F8" s="1186">
        <v>159</v>
      </c>
      <c r="G8" s="1186">
        <v>191</v>
      </c>
      <c r="H8" s="1186">
        <v>164</v>
      </c>
      <c r="I8" s="1186">
        <v>47</v>
      </c>
      <c r="J8" s="1186">
        <v>142</v>
      </c>
      <c r="K8" s="1186">
        <v>129</v>
      </c>
      <c r="L8" s="1186">
        <v>83</v>
      </c>
      <c r="M8" s="1186">
        <v>35</v>
      </c>
      <c r="N8" s="1186">
        <v>57</v>
      </c>
    </row>
    <row r="9" spans="1:14" x14ac:dyDescent="0.2">
      <c r="A9" s="1186" t="s">
        <v>414</v>
      </c>
      <c r="B9" s="1186" t="s">
        <v>17</v>
      </c>
      <c r="C9" s="1186">
        <v>1295</v>
      </c>
      <c r="D9" s="1186">
        <v>30</v>
      </c>
      <c r="E9" s="1186">
        <v>227</v>
      </c>
      <c r="F9" s="1186">
        <v>184</v>
      </c>
      <c r="G9" s="1186">
        <v>219</v>
      </c>
      <c r="H9" s="1186">
        <v>169</v>
      </c>
      <c r="I9" s="1186">
        <v>60</v>
      </c>
      <c r="J9" s="1186">
        <v>132</v>
      </c>
      <c r="K9" s="1186">
        <v>88</v>
      </c>
      <c r="L9" s="1186">
        <v>97</v>
      </c>
      <c r="M9" s="1186">
        <v>22</v>
      </c>
      <c r="N9" s="1186">
        <v>67</v>
      </c>
    </row>
    <row r="10" spans="1:14" x14ac:dyDescent="0.2">
      <c r="A10" s="1186" t="s">
        <v>414</v>
      </c>
      <c r="B10" s="1186" t="s">
        <v>133</v>
      </c>
      <c r="C10" s="1186">
        <v>1087</v>
      </c>
      <c r="D10" s="1186">
        <v>41</v>
      </c>
      <c r="E10" s="1186">
        <v>186</v>
      </c>
      <c r="F10" s="1186">
        <v>149</v>
      </c>
      <c r="G10" s="1186">
        <v>165</v>
      </c>
      <c r="H10" s="1186">
        <v>118</v>
      </c>
      <c r="I10" s="1186">
        <v>47</v>
      </c>
      <c r="J10" s="1186">
        <v>118</v>
      </c>
      <c r="K10" s="1186">
        <v>88</v>
      </c>
      <c r="L10" s="1186">
        <v>77</v>
      </c>
      <c r="M10" s="1186">
        <v>31</v>
      </c>
      <c r="N10" s="1186">
        <v>67</v>
      </c>
    </row>
    <row r="11" spans="1:14" x14ac:dyDescent="0.2">
      <c r="A11" s="1186" t="s">
        <v>414</v>
      </c>
      <c r="B11" s="1186" t="s">
        <v>144</v>
      </c>
      <c r="C11" s="1186">
        <v>1266</v>
      </c>
      <c r="D11" s="1186">
        <v>31</v>
      </c>
      <c r="E11" s="1186">
        <v>204</v>
      </c>
      <c r="F11" s="1186">
        <v>187</v>
      </c>
      <c r="G11" s="1186">
        <v>176</v>
      </c>
      <c r="H11" s="1186">
        <v>179</v>
      </c>
      <c r="I11" s="1186">
        <v>46</v>
      </c>
      <c r="J11" s="1186">
        <v>139</v>
      </c>
      <c r="K11" s="1186">
        <v>118</v>
      </c>
      <c r="L11" s="1186">
        <v>95</v>
      </c>
      <c r="M11" s="1186">
        <v>29</v>
      </c>
      <c r="N11" s="1186">
        <v>62</v>
      </c>
    </row>
    <row r="12" spans="1:14" x14ac:dyDescent="0.2">
      <c r="A12" s="1186" t="s">
        <v>414</v>
      </c>
      <c r="B12" s="1186" t="s">
        <v>282</v>
      </c>
      <c r="C12" s="1186">
        <v>1248</v>
      </c>
      <c r="D12" s="1186">
        <v>28</v>
      </c>
      <c r="E12" s="1186">
        <v>201</v>
      </c>
      <c r="F12" s="1186">
        <v>205</v>
      </c>
      <c r="G12" s="1186">
        <v>196</v>
      </c>
      <c r="H12" s="1186">
        <v>173</v>
      </c>
      <c r="I12" s="1186">
        <v>50</v>
      </c>
      <c r="J12" s="1186">
        <v>114</v>
      </c>
      <c r="K12" s="1186">
        <v>92</v>
      </c>
      <c r="L12" s="1186">
        <v>82</v>
      </c>
      <c r="M12" s="1186">
        <v>46</v>
      </c>
      <c r="N12" s="1186">
        <v>61</v>
      </c>
    </row>
    <row r="13" spans="1:14" x14ac:dyDescent="0.2">
      <c r="A13" s="1186" t="s">
        <v>414</v>
      </c>
      <c r="B13" s="1186" t="s">
        <v>311</v>
      </c>
      <c r="C13" s="1186">
        <v>1088</v>
      </c>
      <c r="D13" s="1186">
        <v>35</v>
      </c>
      <c r="E13" s="1186">
        <v>183</v>
      </c>
      <c r="F13" s="1186">
        <v>165</v>
      </c>
      <c r="G13" s="1186">
        <v>161</v>
      </c>
      <c r="H13" s="1186">
        <v>150</v>
      </c>
      <c r="I13" s="1186">
        <v>52</v>
      </c>
      <c r="J13" s="1186">
        <v>93</v>
      </c>
      <c r="K13" s="1186">
        <v>82</v>
      </c>
      <c r="L13" s="1186">
        <v>78</v>
      </c>
      <c r="M13" s="1186">
        <v>16</v>
      </c>
      <c r="N13" s="1186">
        <v>73</v>
      </c>
    </row>
    <row r="14" spans="1:14" x14ac:dyDescent="0.2">
      <c r="A14" s="1186" t="s">
        <v>414</v>
      </c>
      <c r="B14" s="1186" t="s">
        <v>621</v>
      </c>
      <c r="C14" s="1186">
        <v>1176</v>
      </c>
      <c r="D14" s="1186">
        <v>30</v>
      </c>
      <c r="E14" s="1186">
        <v>181</v>
      </c>
      <c r="F14" s="1186">
        <v>181</v>
      </c>
      <c r="G14" s="1186">
        <v>178</v>
      </c>
      <c r="H14" s="1186">
        <v>156</v>
      </c>
      <c r="I14" s="1186">
        <v>53</v>
      </c>
      <c r="J14" s="1186">
        <v>126</v>
      </c>
      <c r="K14" s="1186">
        <v>73</v>
      </c>
      <c r="L14" s="1186">
        <v>81</v>
      </c>
      <c r="M14" s="1186">
        <v>23</v>
      </c>
      <c r="N14" s="1186">
        <v>94</v>
      </c>
    </row>
    <row r="15" spans="1:14" x14ac:dyDescent="0.2">
      <c r="A15" s="1186" t="s">
        <v>414</v>
      </c>
      <c r="B15" s="1186" t="s">
        <v>1419</v>
      </c>
      <c r="C15" s="1186">
        <v>1014</v>
      </c>
      <c r="D15" s="1186">
        <v>31</v>
      </c>
      <c r="E15" s="1186">
        <v>133</v>
      </c>
      <c r="F15" s="1186">
        <v>155</v>
      </c>
      <c r="G15" s="1186">
        <v>157</v>
      </c>
      <c r="H15" s="1186">
        <v>135</v>
      </c>
      <c r="I15" s="1186">
        <v>45</v>
      </c>
      <c r="J15" s="1186">
        <v>91</v>
      </c>
      <c r="K15" s="1186">
        <v>87</v>
      </c>
      <c r="L15" s="1186">
        <v>65</v>
      </c>
      <c r="M15" s="1186">
        <v>25</v>
      </c>
      <c r="N15" s="1186">
        <v>90</v>
      </c>
    </row>
    <row r="16" spans="1:14" x14ac:dyDescent="0.2">
      <c r="A16" s="1186" t="s">
        <v>414</v>
      </c>
      <c r="B16" s="1186" t="s">
        <v>1572</v>
      </c>
      <c r="C16" s="1186">
        <v>1009</v>
      </c>
      <c r="D16" s="1186">
        <v>15</v>
      </c>
      <c r="E16" s="1186">
        <v>126</v>
      </c>
      <c r="F16" s="1186">
        <v>147</v>
      </c>
      <c r="G16" s="1186">
        <v>170</v>
      </c>
      <c r="H16" s="1186">
        <v>135</v>
      </c>
      <c r="I16" s="1186">
        <v>30</v>
      </c>
      <c r="J16" s="1186">
        <v>87</v>
      </c>
      <c r="K16" s="1186">
        <v>71</v>
      </c>
      <c r="L16" s="1186">
        <v>68</v>
      </c>
      <c r="M16" s="1186">
        <v>24</v>
      </c>
      <c r="N16" s="1186">
        <v>136</v>
      </c>
    </row>
  </sheetData>
  <pageMargins left="0.7" right="0.7" top="0.75" bottom="0.75" header="0.3" footer="0.3"/>
  <pageSetup paperSize="9" fitToHeight="50" orientation="landscape" r:id="rId1"/>
  <legacyDrawing r:id="rId2"/>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pageSetUpPr fitToPage="1"/>
  </sheetPr>
  <dimension ref="A1:H45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26.28515625" bestFit="1" customWidth="1"/>
    <col min="2" max="2" width="7.42578125" bestFit="1" customWidth="1"/>
    <col min="3" max="3" width="18" bestFit="1" customWidth="1"/>
    <col min="4" max="4" width="15" bestFit="1" customWidth="1"/>
    <col min="5" max="5" width="4.85546875" bestFit="1" customWidth="1"/>
    <col min="6" max="6" width="6.28515625" bestFit="1" customWidth="1"/>
    <col min="7" max="7" width="18" bestFit="1" customWidth="1"/>
    <col min="8" max="8" width="7.85546875" bestFit="1" customWidth="1"/>
  </cols>
  <sheetData>
    <row r="1" spans="1:8" x14ac:dyDescent="0.2"/>
    <row r="4" spans="1:8" x14ac:dyDescent="0.2">
      <c r="A4" s="1223" t="s">
        <v>1111</v>
      </c>
      <c r="B4" s="1223" t="s">
        <v>464</v>
      </c>
      <c r="C4" s="1223" t="s">
        <v>1972</v>
      </c>
      <c r="D4" s="1223" t="s">
        <v>993</v>
      </c>
      <c r="E4" s="1223" t="s">
        <v>11</v>
      </c>
      <c r="F4" s="1223" t="s">
        <v>1632</v>
      </c>
      <c r="G4" s="1223" t="s">
        <v>1973</v>
      </c>
      <c r="H4" s="1223" t="s">
        <v>1582</v>
      </c>
    </row>
    <row r="5" spans="1:8" x14ac:dyDescent="0.2">
      <c r="A5" s="1186" t="s">
        <v>343</v>
      </c>
      <c r="B5" s="1186" t="s">
        <v>15</v>
      </c>
      <c r="C5" s="1186">
        <v>1</v>
      </c>
      <c r="D5" s="1186" t="s">
        <v>852</v>
      </c>
      <c r="E5" s="1186">
        <v>5</v>
      </c>
      <c r="F5" s="1186">
        <v>2012</v>
      </c>
      <c r="G5" s="1186">
        <v>1</v>
      </c>
      <c r="H5" s="1186">
        <v>1053621</v>
      </c>
    </row>
    <row r="6" spans="1:8" x14ac:dyDescent="0.2">
      <c r="A6" s="1186" t="s">
        <v>342</v>
      </c>
      <c r="B6" s="1186" t="s">
        <v>15</v>
      </c>
      <c r="C6" s="1186">
        <v>1</v>
      </c>
      <c r="D6" s="1186" t="s">
        <v>850</v>
      </c>
      <c r="E6" s="1186">
        <v>1</v>
      </c>
      <c r="F6" s="1186">
        <v>2012</v>
      </c>
      <c r="G6" s="1186">
        <v>1</v>
      </c>
      <c r="H6" s="1186">
        <v>1053621</v>
      </c>
    </row>
    <row r="7" spans="1:8" x14ac:dyDescent="0.2">
      <c r="A7" s="1186" t="s">
        <v>342</v>
      </c>
      <c r="B7" s="1186" t="s">
        <v>15</v>
      </c>
      <c r="C7" s="1186">
        <v>1</v>
      </c>
      <c r="D7" s="1186" t="s">
        <v>828</v>
      </c>
      <c r="E7" s="1186">
        <v>14</v>
      </c>
      <c r="F7" s="1186">
        <v>2012</v>
      </c>
      <c r="G7" s="1186">
        <v>1</v>
      </c>
      <c r="H7" s="1186">
        <v>1053621</v>
      </c>
    </row>
    <row r="8" spans="1:8" x14ac:dyDescent="0.2">
      <c r="A8" s="1186" t="s">
        <v>343</v>
      </c>
      <c r="B8" s="1186" t="s">
        <v>15</v>
      </c>
      <c r="C8" s="1186">
        <v>1</v>
      </c>
      <c r="D8" s="1186" t="s">
        <v>828</v>
      </c>
      <c r="E8" s="1186">
        <v>449</v>
      </c>
      <c r="F8" s="1186">
        <v>2012</v>
      </c>
      <c r="G8" s="1186">
        <v>1</v>
      </c>
      <c r="H8" s="1186">
        <v>1053621</v>
      </c>
    </row>
    <row r="9" spans="1:8" x14ac:dyDescent="0.2">
      <c r="A9" s="1186" t="s">
        <v>343</v>
      </c>
      <c r="B9" s="1186" t="s">
        <v>15</v>
      </c>
      <c r="C9" s="1186">
        <v>1</v>
      </c>
      <c r="D9" s="1186" t="s">
        <v>850</v>
      </c>
      <c r="E9" s="1186">
        <v>19</v>
      </c>
      <c r="F9" s="1186">
        <v>2012</v>
      </c>
      <c r="G9" s="1186">
        <v>1</v>
      </c>
      <c r="H9" s="1186">
        <v>1053621</v>
      </c>
    </row>
    <row r="10" spans="1:8" x14ac:dyDescent="0.2">
      <c r="A10" s="1186" t="s">
        <v>343</v>
      </c>
      <c r="B10" s="1186" t="s">
        <v>15</v>
      </c>
      <c r="C10" s="1186">
        <v>1</v>
      </c>
      <c r="D10" s="1186" t="s">
        <v>851</v>
      </c>
      <c r="E10" s="1186">
        <v>2</v>
      </c>
      <c r="F10" s="1186">
        <v>2012</v>
      </c>
      <c r="G10" s="1186">
        <v>1</v>
      </c>
      <c r="H10" s="1186">
        <v>1053621</v>
      </c>
    </row>
    <row r="11" spans="1:8" x14ac:dyDescent="0.2">
      <c r="A11" s="1186" t="s">
        <v>341</v>
      </c>
      <c r="B11" s="1186" t="s">
        <v>15</v>
      </c>
      <c r="C11" s="1186">
        <v>1</v>
      </c>
      <c r="D11" s="1186" t="s">
        <v>828</v>
      </c>
      <c r="E11" s="1186">
        <v>337</v>
      </c>
      <c r="F11" s="1186">
        <v>2012</v>
      </c>
      <c r="G11" s="1186">
        <v>1</v>
      </c>
      <c r="H11" s="1186">
        <v>1053621</v>
      </c>
    </row>
    <row r="12" spans="1:8" x14ac:dyDescent="0.2">
      <c r="A12" s="1186" t="s">
        <v>341</v>
      </c>
      <c r="B12" s="1186" t="s">
        <v>15</v>
      </c>
      <c r="C12" s="1186">
        <v>1</v>
      </c>
      <c r="D12" s="1186" t="s">
        <v>852</v>
      </c>
      <c r="E12" s="1186">
        <v>4</v>
      </c>
      <c r="F12" s="1186">
        <v>2012</v>
      </c>
      <c r="G12" s="1186">
        <v>1</v>
      </c>
      <c r="H12" s="1186">
        <v>1053621</v>
      </c>
    </row>
    <row r="13" spans="1:8" x14ac:dyDescent="0.2">
      <c r="A13" s="1186" t="s">
        <v>341</v>
      </c>
      <c r="B13" s="1186" t="s">
        <v>15</v>
      </c>
      <c r="C13" s="1186">
        <v>1</v>
      </c>
      <c r="D13" s="1186" t="s">
        <v>851</v>
      </c>
      <c r="E13" s="1186">
        <v>2</v>
      </c>
      <c r="F13" s="1186">
        <v>2012</v>
      </c>
      <c r="G13" s="1186">
        <v>1</v>
      </c>
      <c r="H13" s="1186">
        <v>1053621</v>
      </c>
    </row>
    <row r="14" spans="1:8" x14ac:dyDescent="0.2">
      <c r="A14" s="1186" t="s">
        <v>341</v>
      </c>
      <c r="B14" s="1186" t="s">
        <v>15</v>
      </c>
      <c r="C14" s="1186">
        <v>1</v>
      </c>
      <c r="D14" s="1186" t="s">
        <v>850</v>
      </c>
      <c r="E14" s="1186">
        <v>14</v>
      </c>
      <c r="F14" s="1186">
        <v>2012</v>
      </c>
      <c r="G14" s="1186">
        <v>1</v>
      </c>
      <c r="H14" s="1186">
        <v>1053621</v>
      </c>
    </row>
    <row r="15" spans="1:8" x14ac:dyDescent="0.2">
      <c r="A15" s="1186" t="s">
        <v>343</v>
      </c>
      <c r="B15" s="1186" t="s">
        <v>15</v>
      </c>
      <c r="C15" s="1186">
        <v>2</v>
      </c>
      <c r="D15" s="1186" t="s">
        <v>850</v>
      </c>
      <c r="E15" s="1186">
        <v>29</v>
      </c>
      <c r="F15" s="1186">
        <v>2012</v>
      </c>
      <c r="G15" s="1186">
        <v>2</v>
      </c>
      <c r="H15" s="1186">
        <v>1052734</v>
      </c>
    </row>
    <row r="16" spans="1:8" x14ac:dyDescent="0.2">
      <c r="A16" s="1186" t="s">
        <v>342</v>
      </c>
      <c r="B16" s="1186" t="s">
        <v>15</v>
      </c>
      <c r="C16" s="1186">
        <v>2</v>
      </c>
      <c r="D16" s="1186" t="s">
        <v>852</v>
      </c>
      <c r="E16" s="1186">
        <v>1</v>
      </c>
      <c r="F16" s="1186">
        <v>2012</v>
      </c>
      <c r="G16" s="1186">
        <v>2</v>
      </c>
      <c r="H16" s="1186">
        <v>1052734</v>
      </c>
    </row>
    <row r="17" spans="1:8" x14ac:dyDescent="0.2">
      <c r="A17" s="1186" t="s">
        <v>342</v>
      </c>
      <c r="B17" s="1186" t="s">
        <v>15</v>
      </c>
      <c r="C17" s="1186">
        <v>2</v>
      </c>
      <c r="D17" s="1186" t="s">
        <v>850</v>
      </c>
      <c r="E17" s="1186">
        <v>1</v>
      </c>
      <c r="F17" s="1186">
        <v>2012</v>
      </c>
      <c r="G17" s="1186">
        <v>2</v>
      </c>
      <c r="H17" s="1186">
        <v>1052734</v>
      </c>
    </row>
    <row r="18" spans="1:8" x14ac:dyDescent="0.2">
      <c r="A18" s="1186" t="s">
        <v>343</v>
      </c>
      <c r="B18" s="1186" t="s">
        <v>15</v>
      </c>
      <c r="C18" s="1186">
        <v>2</v>
      </c>
      <c r="D18" s="1186" t="s">
        <v>852</v>
      </c>
      <c r="E18" s="1186">
        <v>10</v>
      </c>
      <c r="F18" s="1186">
        <v>2012</v>
      </c>
      <c r="G18" s="1186">
        <v>2</v>
      </c>
      <c r="H18" s="1186">
        <v>1052734</v>
      </c>
    </row>
    <row r="19" spans="1:8" x14ac:dyDescent="0.2">
      <c r="A19" s="1186" t="s">
        <v>342</v>
      </c>
      <c r="B19" s="1186" t="s">
        <v>15</v>
      </c>
      <c r="C19" s="1186">
        <v>2</v>
      </c>
      <c r="D19" s="1186" t="s">
        <v>828</v>
      </c>
      <c r="E19" s="1186">
        <v>6</v>
      </c>
      <c r="F19" s="1186">
        <v>2012</v>
      </c>
      <c r="G19" s="1186">
        <v>2</v>
      </c>
      <c r="H19" s="1186">
        <v>1052734</v>
      </c>
    </row>
    <row r="20" spans="1:8" x14ac:dyDescent="0.2">
      <c r="A20" s="1186" t="s">
        <v>343</v>
      </c>
      <c r="B20" s="1186" t="s">
        <v>15</v>
      </c>
      <c r="C20" s="1186">
        <v>2</v>
      </c>
      <c r="D20" s="1186" t="s">
        <v>851</v>
      </c>
      <c r="E20" s="1186">
        <v>11</v>
      </c>
      <c r="F20" s="1186">
        <v>2012</v>
      </c>
      <c r="G20" s="1186">
        <v>2</v>
      </c>
      <c r="H20" s="1186">
        <v>1052734</v>
      </c>
    </row>
    <row r="21" spans="1:8" x14ac:dyDescent="0.2">
      <c r="A21" s="1186" t="s">
        <v>343</v>
      </c>
      <c r="B21" s="1186" t="s">
        <v>15</v>
      </c>
      <c r="C21" s="1186">
        <v>2</v>
      </c>
      <c r="D21" s="1186" t="s">
        <v>828</v>
      </c>
      <c r="E21" s="1186">
        <v>266</v>
      </c>
      <c r="F21" s="1186">
        <v>2012</v>
      </c>
      <c r="G21" s="1186">
        <v>2</v>
      </c>
      <c r="H21" s="1186">
        <v>1052734</v>
      </c>
    </row>
    <row r="22" spans="1:8" x14ac:dyDescent="0.2">
      <c r="A22" s="1186" t="s">
        <v>341</v>
      </c>
      <c r="B22" s="1186" t="s">
        <v>15</v>
      </c>
      <c r="C22" s="1186">
        <v>2</v>
      </c>
      <c r="D22" s="1186" t="s">
        <v>852</v>
      </c>
      <c r="E22" s="1186">
        <v>9</v>
      </c>
      <c r="F22" s="1186">
        <v>2012</v>
      </c>
      <c r="G22" s="1186">
        <v>2</v>
      </c>
      <c r="H22" s="1186">
        <v>1052734</v>
      </c>
    </row>
    <row r="23" spans="1:8" x14ac:dyDescent="0.2">
      <c r="A23" s="1186" t="s">
        <v>341</v>
      </c>
      <c r="B23" s="1186" t="s">
        <v>15</v>
      </c>
      <c r="C23" s="1186">
        <v>2</v>
      </c>
      <c r="D23" s="1186" t="s">
        <v>828</v>
      </c>
      <c r="E23" s="1186">
        <v>205</v>
      </c>
      <c r="F23" s="1186">
        <v>2012</v>
      </c>
      <c r="G23" s="1186">
        <v>2</v>
      </c>
      <c r="H23" s="1186">
        <v>1052734</v>
      </c>
    </row>
    <row r="24" spans="1:8" x14ac:dyDescent="0.2">
      <c r="A24" s="1186" t="s">
        <v>341</v>
      </c>
      <c r="B24" s="1186" t="s">
        <v>15</v>
      </c>
      <c r="C24" s="1186">
        <v>2</v>
      </c>
      <c r="D24" s="1186" t="s">
        <v>850</v>
      </c>
      <c r="E24" s="1186">
        <v>26</v>
      </c>
      <c r="F24" s="1186">
        <v>2012</v>
      </c>
      <c r="G24" s="1186">
        <v>2</v>
      </c>
      <c r="H24" s="1186">
        <v>1052734</v>
      </c>
    </row>
    <row r="25" spans="1:8" x14ac:dyDescent="0.2">
      <c r="A25" s="1186" t="s">
        <v>341</v>
      </c>
      <c r="B25" s="1186" t="s">
        <v>15</v>
      </c>
      <c r="C25" s="1186">
        <v>2</v>
      </c>
      <c r="D25" s="1186" t="s">
        <v>851</v>
      </c>
      <c r="E25" s="1186">
        <v>8</v>
      </c>
      <c r="F25" s="1186">
        <v>2012</v>
      </c>
      <c r="G25" s="1186">
        <v>2</v>
      </c>
      <c r="H25" s="1186">
        <v>1052734</v>
      </c>
    </row>
    <row r="26" spans="1:8" x14ac:dyDescent="0.2">
      <c r="A26" s="1186" t="s">
        <v>341</v>
      </c>
      <c r="B26" s="1186" t="s">
        <v>15</v>
      </c>
      <c r="C26" s="1186">
        <v>3</v>
      </c>
      <c r="D26" s="1186" t="s">
        <v>828</v>
      </c>
      <c r="E26" s="1186">
        <v>162</v>
      </c>
      <c r="F26" s="1186">
        <v>2012</v>
      </c>
      <c r="G26" s="1186">
        <v>3</v>
      </c>
      <c r="H26" s="1186">
        <v>1061383</v>
      </c>
    </row>
    <row r="27" spans="1:8" x14ac:dyDescent="0.2">
      <c r="A27" s="1186" t="s">
        <v>343</v>
      </c>
      <c r="B27" s="1186" t="s">
        <v>15</v>
      </c>
      <c r="C27" s="1186">
        <v>3</v>
      </c>
      <c r="D27" s="1186" t="s">
        <v>828</v>
      </c>
      <c r="E27" s="1186">
        <v>204</v>
      </c>
      <c r="F27" s="1186">
        <v>2012</v>
      </c>
      <c r="G27" s="1186">
        <v>3</v>
      </c>
      <c r="H27" s="1186">
        <v>1061383</v>
      </c>
    </row>
    <row r="28" spans="1:8" x14ac:dyDescent="0.2">
      <c r="A28" s="1186" t="s">
        <v>343</v>
      </c>
      <c r="B28" s="1186" t="s">
        <v>15</v>
      </c>
      <c r="C28" s="1186">
        <v>3</v>
      </c>
      <c r="D28" s="1186" t="s">
        <v>850</v>
      </c>
      <c r="E28" s="1186">
        <v>18</v>
      </c>
      <c r="F28" s="1186">
        <v>2012</v>
      </c>
      <c r="G28" s="1186">
        <v>3</v>
      </c>
      <c r="H28" s="1186">
        <v>1061383</v>
      </c>
    </row>
    <row r="29" spans="1:8" x14ac:dyDescent="0.2">
      <c r="A29" s="1186" t="s">
        <v>343</v>
      </c>
      <c r="B29" s="1186" t="s">
        <v>15</v>
      </c>
      <c r="C29" s="1186">
        <v>3</v>
      </c>
      <c r="D29" s="1186" t="s">
        <v>851</v>
      </c>
      <c r="E29" s="1186">
        <v>10</v>
      </c>
      <c r="F29" s="1186">
        <v>2012</v>
      </c>
      <c r="G29" s="1186">
        <v>3</v>
      </c>
      <c r="H29" s="1186">
        <v>1061383</v>
      </c>
    </row>
    <row r="30" spans="1:8" x14ac:dyDescent="0.2">
      <c r="A30" s="1186" t="s">
        <v>343</v>
      </c>
      <c r="B30" s="1186" t="s">
        <v>15</v>
      </c>
      <c r="C30" s="1186">
        <v>3</v>
      </c>
      <c r="D30" s="1186" t="s">
        <v>852</v>
      </c>
      <c r="E30" s="1186">
        <v>5</v>
      </c>
      <c r="F30" s="1186">
        <v>2012</v>
      </c>
      <c r="G30" s="1186">
        <v>3</v>
      </c>
      <c r="H30" s="1186">
        <v>1061383</v>
      </c>
    </row>
    <row r="31" spans="1:8" x14ac:dyDescent="0.2">
      <c r="A31" s="1186" t="s">
        <v>341</v>
      </c>
      <c r="B31" s="1186" t="s">
        <v>15</v>
      </c>
      <c r="C31" s="1186">
        <v>3</v>
      </c>
      <c r="D31" s="1186" t="s">
        <v>850</v>
      </c>
      <c r="E31" s="1186">
        <v>18</v>
      </c>
      <c r="F31" s="1186">
        <v>2012</v>
      </c>
      <c r="G31" s="1186">
        <v>3</v>
      </c>
      <c r="H31" s="1186">
        <v>1061383</v>
      </c>
    </row>
    <row r="32" spans="1:8" x14ac:dyDescent="0.2">
      <c r="A32" s="1186" t="s">
        <v>341</v>
      </c>
      <c r="B32" s="1186" t="s">
        <v>15</v>
      </c>
      <c r="C32" s="1186">
        <v>3</v>
      </c>
      <c r="D32" s="1186" t="s">
        <v>851</v>
      </c>
      <c r="E32" s="1186">
        <v>10</v>
      </c>
      <c r="F32" s="1186">
        <v>2012</v>
      </c>
      <c r="G32" s="1186">
        <v>3</v>
      </c>
      <c r="H32" s="1186">
        <v>1061383</v>
      </c>
    </row>
    <row r="33" spans="1:8" x14ac:dyDescent="0.2">
      <c r="A33" s="1186" t="s">
        <v>341</v>
      </c>
      <c r="B33" s="1186" t="s">
        <v>15</v>
      </c>
      <c r="C33" s="1186">
        <v>3</v>
      </c>
      <c r="D33" s="1186" t="s">
        <v>852</v>
      </c>
      <c r="E33" s="1186">
        <v>5</v>
      </c>
      <c r="F33" s="1186">
        <v>2012</v>
      </c>
      <c r="G33" s="1186">
        <v>3</v>
      </c>
      <c r="H33" s="1186">
        <v>1061383</v>
      </c>
    </row>
    <row r="34" spans="1:8" x14ac:dyDescent="0.2">
      <c r="A34" s="1186" t="s">
        <v>342</v>
      </c>
      <c r="B34" s="1186" t="s">
        <v>15</v>
      </c>
      <c r="C34" s="1186">
        <v>3</v>
      </c>
      <c r="D34" s="1186" t="s">
        <v>828</v>
      </c>
      <c r="E34" s="1186">
        <v>10</v>
      </c>
      <c r="F34" s="1186">
        <v>2012</v>
      </c>
      <c r="G34" s="1186">
        <v>3</v>
      </c>
      <c r="H34" s="1186">
        <v>1061383</v>
      </c>
    </row>
    <row r="35" spans="1:8" x14ac:dyDescent="0.2">
      <c r="A35" s="1186" t="s">
        <v>341</v>
      </c>
      <c r="B35" s="1186" t="s">
        <v>15</v>
      </c>
      <c r="C35" s="1186">
        <v>4</v>
      </c>
      <c r="D35" s="1186" t="s">
        <v>851</v>
      </c>
      <c r="E35" s="1186">
        <v>9</v>
      </c>
      <c r="F35" s="1186">
        <v>2012</v>
      </c>
      <c r="G35" s="1186">
        <v>4</v>
      </c>
      <c r="H35" s="1186">
        <v>1060010</v>
      </c>
    </row>
    <row r="36" spans="1:8" x14ac:dyDescent="0.2">
      <c r="A36" s="1186" t="s">
        <v>343</v>
      </c>
      <c r="B36" s="1186" t="s">
        <v>15</v>
      </c>
      <c r="C36" s="1186">
        <v>4</v>
      </c>
      <c r="D36" s="1186" t="s">
        <v>852</v>
      </c>
      <c r="E36" s="1186">
        <v>5</v>
      </c>
      <c r="F36" s="1186">
        <v>2012</v>
      </c>
      <c r="G36" s="1186">
        <v>4</v>
      </c>
      <c r="H36" s="1186">
        <v>1060010</v>
      </c>
    </row>
    <row r="37" spans="1:8" x14ac:dyDescent="0.2">
      <c r="A37" s="1186" t="s">
        <v>343</v>
      </c>
      <c r="B37" s="1186" t="s">
        <v>15</v>
      </c>
      <c r="C37" s="1186">
        <v>4</v>
      </c>
      <c r="D37" s="1186" t="s">
        <v>851</v>
      </c>
      <c r="E37" s="1186">
        <v>9</v>
      </c>
      <c r="F37" s="1186">
        <v>2012</v>
      </c>
      <c r="G37" s="1186">
        <v>4</v>
      </c>
      <c r="H37" s="1186">
        <v>1060010</v>
      </c>
    </row>
    <row r="38" spans="1:8" x14ac:dyDescent="0.2">
      <c r="A38" s="1186" t="s">
        <v>341</v>
      </c>
      <c r="B38" s="1186" t="s">
        <v>15</v>
      </c>
      <c r="C38" s="1186">
        <v>4</v>
      </c>
      <c r="D38" s="1186" t="s">
        <v>850</v>
      </c>
      <c r="E38" s="1186">
        <v>16</v>
      </c>
      <c r="F38" s="1186">
        <v>2012</v>
      </c>
      <c r="G38" s="1186">
        <v>4</v>
      </c>
      <c r="H38" s="1186">
        <v>1060010</v>
      </c>
    </row>
    <row r="39" spans="1:8" x14ac:dyDescent="0.2">
      <c r="A39" s="1186" t="s">
        <v>341</v>
      </c>
      <c r="B39" s="1186" t="s">
        <v>15</v>
      </c>
      <c r="C39" s="1186">
        <v>4</v>
      </c>
      <c r="D39" s="1186" t="s">
        <v>852</v>
      </c>
      <c r="E39" s="1186">
        <v>5</v>
      </c>
      <c r="F39" s="1186">
        <v>2012</v>
      </c>
      <c r="G39" s="1186">
        <v>4</v>
      </c>
      <c r="H39" s="1186">
        <v>1060010</v>
      </c>
    </row>
    <row r="40" spans="1:8" x14ac:dyDescent="0.2">
      <c r="A40" s="1186" t="s">
        <v>343</v>
      </c>
      <c r="B40" s="1186" t="s">
        <v>15</v>
      </c>
      <c r="C40" s="1186">
        <v>4</v>
      </c>
      <c r="D40" s="1186" t="s">
        <v>850</v>
      </c>
      <c r="E40" s="1186">
        <v>20</v>
      </c>
      <c r="F40" s="1186">
        <v>2012</v>
      </c>
      <c r="G40" s="1186">
        <v>4</v>
      </c>
      <c r="H40" s="1186">
        <v>1060010</v>
      </c>
    </row>
    <row r="41" spans="1:8" x14ac:dyDescent="0.2">
      <c r="A41" s="1186" t="s">
        <v>343</v>
      </c>
      <c r="B41" s="1186" t="s">
        <v>15</v>
      </c>
      <c r="C41" s="1186">
        <v>4</v>
      </c>
      <c r="D41" s="1186" t="s">
        <v>828</v>
      </c>
      <c r="E41" s="1186">
        <v>152</v>
      </c>
      <c r="F41" s="1186">
        <v>2012</v>
      </c>
      <c r="G41" s="1186">
        <v>4</v>
      </c>
      <c r="H41" s="1186">
        <v>1060010</v>
      </c>
    </row>
    <row r="42" spans="1:8" x14ac:dyDescent="0.2">
      <c r="A42" s="1186" t="s">
        <v>342</v>
      </c>
      <c r="B42" s="1186" t="s">
        <v>15</v>
      </c>
      <c r="C42" s="1186">
        <v>4</v>
      </c>
      <c r="D42" s="1186" t="s">
        <v>828</v>
      </c>
      <c r="E42" s="1186">
        <v>6</v>
      </c>
      <c r="F42" s="1186">
        <v>2012</v>
      </c>
      <c r="G42" s="1186">
        <v>4</v>
      </c>
      <c r="H42" s="1186">
        <v>1060010</v>
      </c>
    </row>
    <row r="43" spans="1:8" x14ac:dyDescent="0.2">
      <c r="A43" s="1186" t="s">
        <v>342</v>
      </c>
      <c r="B43" s="1186" t="s">
        <v>15</v>
      </c>
      <c r="C43" s="1186">
        <v>4</v>
      </c>
      <c r="D43" s="1186" t="s">
        <v>851</v>
      </c>
      <c r="E43" s="1186">
        <v>2</v>
      </c>
      <c r="F43" s="1186">
        <v>2012</v>
      </c>
      <c r="G43" s="1186">
        <v>4</v>
      </c>
      <c r="H43" s="1186">
        <v>1060010</v>
      </c>
    </row>
    <row r="44" spans="1:8" x14ac:dyDescent="0.2">
      <c r="A44" s="1186" t="s">
        <v>341</v>
      </c>
      <c r="B44" s="1186" t="s">
        <v>15</v>
      </c>
      <c r="C44" s="1186">
        <v>4</v>
      </c>
      <c r="D44" s="1186" t="s">
        <v>828</v>
      </c>
      <c r="E44" s="1186">
        <v>131</v>
      </c>
      <c r="F44" s="1186">
        <v>2012</v>
      </c>
      <c r="G44" s="1186">
        <v>4</v>
      </c>
      <c r="H44" s="1186">
        <v>1060010</v>
      </c>
    </row>
    <row r="45" spans="1:8" x14ac:dyDescent="0.2">
      <c r="A45" s="1186" t="s">
        <v>343</v>
      </c>
      <c r="B45" s="1186" t="s">
        <v>15</v>
      </c>
      <c r="C45" s="1186">
        <v>5</v>
      </c>
      <c r="D45" s="1186" t="s">
        <v>852</v>
      </c>
      <c r="E45" s="1186">
        <v>1</v>
      </c>
      <c r="F45" s="1186">
        <v>2012</v>
      </c>
      <c r="G45" s="1186">
        <v>5</v>
      </c>
      <c r="H45" s="1186">
        <v>1085852</v>
      </c>
    </row>
    <row r="46" spans="1:8" x14ac:dyDescent="0.2">
      <c r="A46" s="1186" t="s">
        <v>343</v>
      </c>
      <c r="B46" s="1186" t="s">
        <v>15</v>
      </c>
      <c r="C46" s="1186">
        <v>5</v>
      </c>
      <c r="D46" s="1186" t="s">
        <v>828</v>
      </c>
      <c r="E46" s="1186">
        <v>95</v>
      </c>
      <c r="F46" s="1186">
        <v>2012</v>
      </c>
      <c r="G46" s="1186">
        <v>5</v>
      </c>
      <c r="H46" s="1186">
        <v>1085852</v>
      </c>
    </row>
    <row r="47" spans="1:8" x14ac:dyDescent="0.2">
      <c r="A47" s="1186" t="s">
        <v>343</v>
      </c>
      <c r="B47" s="1186" t="s">
        <v>15</v>
      </c>
      <c r="C47" s="1186">
        <v>5</v>
      </c>
      <c r="D47" s="1186" t="s">
        <v>850</v>
      </c>
      <c r="E47" s="1186">
        <v>6</v>
      </c>
      <c r="F47" s="1186">
        <v>2012</v>
      </c>
      <c r="G47" s="1186">
        <v>5</v>
      </c>
      <c r="H47" s="1186">
        <v>1085852</v>
      </c>
    </row>
    <row r="48" spans="1:8" x14ac:dyDescent="0.2">
      <c r="A48" s="1186" t="s">
        <v>341</v>
      </c>
      <c r="B48" s="1186" t="s">
        <v>15</v>
      </c>
      <c r="C48" s="1186">
        <v>5</v>
      </c>
      <c r="D48" s="1186" t="s">
        <v>851</v>
      </c>
      <c r="E48" s="1186">
        <v>3</v>
      </c>
      <c r="F48" s="1186">
        <v>2012</v>
      </c>
      <c r="G48" s="1186">
        <v>5</v>
      </c>
      <c r="H48" s="1186">
        <v>1085852</v>
      </c>
    </row>
    <row r="49" spans="1:8" x14ac:dyDescent="0.2">
      <c r="A49" s="1186" t="s">
        <v>343</v>
      </c>
      <c r="B49" s="1186" t="s">
        <v>15</v>
      </c>
      <c r="C49" s="1186">
        <v>5</v>
      </c>
      <c r="D49" s="1186" t="s">
        <v>851</v>
      </c>
      <c r="E49" s="1186">
        <v>3</v>
      </c>
      <c r="F49" s="1186">
        <v>2012</v>
      </c>
      <c r="G49" s="1186">
        <v>5</v>
      </c>
      <c r="H49" s="1186">
        <v>1085852</v>
      </c>
    </row>
    <row r="50" spans="1:8" x14ac:dyDescent="0.2">
      <c r="A50" s="1186" t="s">
        <v>341</v>
      </c>
      <c r="B50" s="1186" t="s">
        <v>15</v>
      </c>
      <c r="C50" s="1186">
        <v>5</v>
      </c>
      <c r="D50" s="1186" t="s">
        <v>850</v>
      </c>
      <c r="E50" s="1186">
        <v>4</v>
      </c>
      <c r="F50" s="1186">
        <v>2012</v>
      </c>
      <c r="G50" s="1186">
        <v>5</v>
      </c>
      <c r="H50" s="1186">
        <v>1085852</v>
      </c>
    </row>
    <row r="51" spans="1:8" x14ac:dyDescent="0.2">
      <c r="A51" s="1186" t="s">
        <v>342</v>
      </c>
      <c r="B51" s="1186" t="s">
        <v>15</v>
      </c>
      <c r="C51" s="1186">
        <v>5</v>
      </c>
      <c r="D51" s="1186" t="s">
        <v>828</v>
      </c>
      <c r="E51" s="1186">
        <v>4</v>
      </c>
      <c r="F51" s="1186">
        <v>2012</v>
      </c>
      <c r="G51" s="1186">
        <v>5</v>
      </c>
      <c r="H51" s="1186">
        <v>1085852</v>
      </c>
    </row>
    <row r="52" spans="1:8" x14ac:dyDescent="0.2">
      <c r="A52" s="1186" t="s">
        <v>342</v>
      </c>
      <c r="B52" s="1186" t="s">
        <v>15</v>
      </c>
      <c r="C52" s="1186">
        <v>5</v>
      </c>
      <c r="D52" s="1186" t="s">
        <v>852</v>
      </c>
      <c r="E52" s="1186">
        <v>1</v>
      </c>
      <c r="F52" s="1186">
        <v>2012</v>
      </c>
      <c r="G52" s="1186">
        <v>5</v>
      </c>
      <c r="H52" s="1186">
        <v>1085852</v>
      </c>
    </row>
    <row r="53" spans="1:8" x14ac:dyDescent="0.2">
      <c r="A53" s="1186" t="s">
        <v>341</v>
      </c>
      <c r="B53" s="1186" t="s">
        <v>15</v>
      </c>
      <c r="C53" s="1186">
        <v>5</v>
      </c>
      <c r="D53" s="1186" t="s">
        <v>828</v>
      </c>
      <c r="E53" s="1186">
        <v>88</v>
      </c>
      <c r="F53" s="1186">
        <v>2012</v>
      </c>
      <c r="G53" s="1186">
        <v>5</v>
      </c>
      <c r="H53" s="1186">
        <v>1085852</v>
      </c>
    </row>
    <row r="54" spans="1:8" x14ac:dyDescent="0.2">
      <c r="A54" s="1186" t="s">
        <v>341</v>
      </c>
      <c r="B54" s="1186" t="s">
        <v>15</v>
      </c>
      <c r="C54" s="1186">
        <v>5</v>
      </c>
      <c r="D54" s="1186" t="s">
        <v>852</v>
      </c>
      <c r="E54" s="1186">
        <v>1</v>
      </c>
      <c r="F54" s="1186">
        <v>2012</v>
      </c>
      <c r="G54" s="1186">
        <v>5</v>
      </c>
      <c r="H54" s="1186">
        <v>1085852</v>
      </c>
    </row>
    <row r="55" spans="1:8" x14ac:dyDescent="0.2">
      <c r="A55" s="1186" t="s">
        <v>341</v>
      </c>
      <c r="B55" s="1186" t="s">
        <v>17</v>
      </c>
      <c r="C55" s="1186">
        <v>1</v>
      </c>
      <c r="D55" s="1186" t="s">
        <v>850</v>
      </c>
      <c r="E55" s="1186">
        <v>12</v>
      </c>
      <c r="F55" s="1186">
        <v>2013</v>
      </c>
      <c r="G55" s="1186">
        <v>1</v>
      </c>
      <c r="H55" s="1186">
        <v>1052242</v>
      </c>
    </row>
    <row r="56" spans="1:8" x14ac:dyDescent="0.2">
      <c r="A56" s="1186" t="s">
        <v>341</v>
      </c>
      <c r="B56" s="1186" t="s">
        <v>17</v>
      </c>
      <c r="C56" s="1186">
        <v>1</v>
      </c>
      <c r="D56" s="1186" t="s">
        <v>828</v>
      </c>
      <c r="E56" s="1186">
        <v>383</v>
      </c>
      <c r="F56" s="1186">
        <v>2013</v>
      </c>
      <c r="G56" s="1186">
        <v>1</v>
      </c>
      <c r="H56" s="1186">
        <v>1052242</v>
      </c>
    </row>
    <row r="57" spans="1:8" x14ac:dyDescent="0.2">
      <c r="A57" s="1186" t="s">
        <v>343</v>
      </c>
      <c r="B57" s="1186" t="s">
        <v>17</v>
      </c>
      <c r="C57" s="1186">
        <v>1</v>
      </c>
      <c r="D57" s="1186" t="s">
        <v>850</v>
      </c>
      <c r="E57" s="1186">
        <v>18</v>
      </c>
      <c r="F57" s="1186">
        <v>2013</v>
      </c>
      <c r="G57" s="1186">
        <v>1</v>
      </c>
      <c r="H57" s="1186">
        <v>1052242</v>
      </c>
    </row>
    <row r="58" spans="1:8" x14ac:dyDescent="0.2">
      <c r="A58" s="1186" t="s">
        <v>343</v>
      </c>
      <c r="B58" s="1186" t="s">
        <v>17</v>
      </c>
      <c r="C58" s="1186">
        <v>1</v>
      </c>
      <c r="D58" s="1186" t="s">
        <v>852</v>
      </c>
      <c r="E58" s="1186">
        <v>8</v>
      </c>
      <c r="F58" s="1186">
        <v>2013</v>
      </c>
      <c r="G58" s="1186">
        <v>1</v>
      </c>
      <c r="H58" s="1186">
        <v>1052242</v>
      </c>
    </row>
    <row r="59" spans="1:8" x14ac:dyDescent="0.2">
      <c r="A59" s="1186" t="s">
        <v>343</v>
      </c>
      <c r="B59" s="1186" t="s">
        <v>17</v>
      </c>
      <c r="C59" s="1186">
        <v>1</v>
      </c>
      <c r="D59" s="1186" t="s">
        <v>851</v>
      </c>
      <c r="E59" s="1186">
        <v>2</v>
      </c>
      <c r="F59" s="1186">
        <v>2013</v>
      </c>
      <c r="G59" s="1186">
        <v>1</v>
      </c>
      <c r="H59" s="1186">
        <v>1052242</v>
      </c>
    </row>
    <row r="60" spans="1:8" x14ac:dyDescent="0.2">
      <c r="A60" s="1186" t="s">
        <v>343</v>
      </c>
      <c r="B60" s="1186" t="s">
        <v>17</v>
      </c>
      <c r="C60" s="1186">
        <v>1</v>
      </c>
      <c r="D60" s="1186" t="s">
        <v>828</v>
      </c>
      <c r="E60" s="1186">
        <v>473</v>
      </c>
      <c r="F60" s="1186">
        <v>2013</v>
      </c>
      <c r="G60" s="1186">
        <v>1</v>
      </c>
      <c r="H60" s="1186">
        <v>1052242</v>
      </c>
    </row>
    <row r="61" spans="1:8" x14ac:dyDescent="0.2">
      <c r="A61" s="1186" t="s">
        <v>342</v>
      </c>
      <c r="B61" s="1186" t="s">
        <v>17</v>
      </c>
      <c r="C61" s="1186">
        <v>1</v>
      </c>
      <c r="D61" s="1186" t="s">
        <v>828</v>
      </c>
      <c r="E61" s="1186">
        <v>16</v>
      </c>
      <c r="F61" s="1186">
        <v>2013</v>
      </c>
      <c r="G61" s="1186">
        <v>1</v>
      </c>
      <c r="H61" s="1186">
        <v>1052242</v>
      </c>
    </row>
    <row r="62" spans="1:8" x14ac:dyDescent="0.2">
      <c r="A62" s="1186" t="s">
        <v>341</v>
      </c>
      <c r="B62" s="1186" t="s">
        <v>17</v>
      </c>
      <c r="C62" s="1186">
        <v>1</v>
      </c>
      <c r="D62" s="1186" t="s">
        <v>852</v>
      </c>
      <c r="E62" s="1186">
        <v>3</v>
      </c>
      <c r="F62" s="1186">
        <v>2013</v>
      </c>
      <c r="G62" s="1186">
        <v>1</v>
      </c>
      <c r="H62" s="1186">
        <v>1052242</v>
      </c>
    </row>
    <row r="63" spans="1:8" x14ac:dyDescent="0.2">
      <c r="A63" s="1186" t="s">
        <v>341</v>
      </c>
      <c r="B63" s="1186" t="s">
        <v>17</v>
      </c>
      <c r="C63" s="1186">
        <v>1</v>
      </c>
      <c r="D63" s="1186" t="s">
        <v>851</v>
      </c>
      <c r="E63" s="1186">
        <v>2</v>
      </c>
      <c r="F63" s="1186">
        <v>2013</v>
      </c>
      <c r="G63" s="1186">
        <v>1</v>
      </c>
      <c r="H63" s="1186">
        <v>1052242</v>
      </c>
    </row>
    <row r="64" spans="1:8" x14ac:dyDescent="0.2">
      <c r="A64" s="1186" t="s">
        <v>342</v>
      </c>
      <c r="B64" s="1186" t="s">
        <v>17</v>
      </c>
      <c r="C64" s="1186">
        <v>2</v>
      </c>
      <c r="D64" s="1186" t="s">
        <v>828</v>
      </c>
      <c r="E64" s="1186">
        <v>5</v>
      </c>
      <c r="F64" s="1186">
        <v>2013</v>
      </c>
      <c r="G64" s="1186">
        <v>2</v>
      </c>
      <c r="H64" s="1186">
        <v>1051706</v>
      </c>
    </row>
    <row r="65" spans="1:8" x14ac:dyDescent="0.2">
      <c r="A65" s="1186" t="s">
        <v>343</v>
      </c>
      <c r="B65" s="1186" t="s">
        <v>17</v>
      </c>
      <c r="C65" s="1186">
        <v>2</v>
      </c>
      <c r="D65" s="1186" t="s">
        <v>851</v>
      </c>
      <c r="E65" s="1186">
        <v>7</v>
      </c>
      <c r="F65" s="1186">
        <v>2013</v>
      </c>
      <c r="G65" s="1186">
        <v>2</v>
      </c>
      <c r="H65" s="1186">
        <v>1051706</v>
      </c>
    </row>
    <row r="66" spans="1:8" x14ac:dyDescent="0.2">
      <c r="A66" s="1186" t="s">
        <v>341</v>
      </c>
      <c r="B66" s="1186" t="s">
        <v>17</v>
      </c>
      <c r="C66" s="1186">
        <v>2</v>
      </c>
      <c r="D66" s="1186" t="s">
        <v>828</v>
      </c>
      <c r="E66" s="1186">
        <v>212</v>
      </c>
      <c r="F66" s="1186">
        <v>2013</v>
      </c>
      <c r="G66" s="1186">
        <v>2</v>
      </c>
      <c r="H66" s="1186">
        <v>1051706</v>
      </c>
    </row>
    <row r="67" spans="1:8" x14ac:dyDescent="0.2">
      <c r="A67" s="1186" t="s">
        <v>343</v>
      </c>
      <c r="B67" s="1186" t="s">
        <v>17</v>
      </c>
      <c r="C67" s="1186">
        <v>2</v>
      </c>
      <c r="D67" s="1186" t="s">
        <v>852</v>
      </c>
      <c r="E67" s="1186">
        <v>4</v>
      </c>
      <c r="F67" s="1186">
        <v>2013</v>
      </c>
      <c r="G67" s="1186">
        <v>2</v>
      </c>
      <c r="H67" s="1186">
        <v>1051706</v>
      </c>
    </row>
    <row r="68" spans="1:8" x14ac:dyDescent="0.2">
      <c r="A68" s="1186" t="s">
        <v>341</v>
      </c>
      <c r="B68" s="1186" t="s">
        <v>17</v>
      </c>
      <c r="C68" s="1186">
        <v>2</v>
      </c>
      <c r="D68" s="1186" t="s">
        <v>850</v>
      </c>
      <c r="E68" s="1186">
        <v>24</v>
      </c>
      <c r="F68" s="1186">
        <v>2013</v>
      </c>
      <c r="G68" s="1186">
        <v>2</v>
      </c>
      <c r="H68" s="1186">
        <v>1051706</v>
      </c>
    </row>
    <row r="69" spans="1:8" x14ac:dyDescent="0.2">
      <c r="A69" s="1186" t="s">
        <v>341</v>
      </c>
      <c r="B69" s="1186" t="s">
        <v>17</v>
      </c>
      <c r="C69" s="1186">
        <v>2</v>
      </c>
      <c r="D69" s="1186" t="s">
        <v>851</v>
      </c>
      <c r="E69" s="1186">
        <v>4</v>
      </c>
      <c r="F69" s="1186">
        <v>2013</v>
      </c>
      <c r="G69" s="1186">
        <v>2</v>
      </c>
      <c r="H69" s="1186">
        <v>1051706</v>
      </c>
    </row>
    <row r="70" spans="1:8" x14ac:dyDescent="0.2">
      <c r="A70" s="1186" t="s">
        <v>341</v>
      </c>
      <c r="B70" s="1186" t="s">
        <v>17</v>
      </c>
      <c r="C70" s="1186">
        <v>2</v>
      </c>
      <c r="D70" s="1186" t="s">
        <v>852</v>
      </c>
      <c r="E70" s="1186">
        <v>3</v>
      </c>
      <c r="F70" s="1186">
        <v>2013</v>
      </c>
      <c r="G70" s="1186">
        <v>2</v>
      </c>
      <c r="H70" s="1186">
        <v>1051706</v>
      </c>
    </row>
    <row r="71" spans="1:8" x14ac:dyDescent="0.2">
      <c r="A71" s="1186" t="s">
        <v>343</v>
      </c>
      <c r="B71" s="1186" t="s">
        <v>17</v>
      </c>
      <c r="C71" s="1186">
        <v>2</v>
      </c>
      <c r="D71" s="1186" t="s">
        <v>850</v>
      </c>
      <c r="E71" s="1186">
        <v>24</v>
      </c>
      <c r="F71" s="1186">
        <v>2013</v>
      </c>
      <c r="G71" s="1186">
        <v>2</v>
      </c>
      <c r="H71" s="1186">
        <v>1051706</v>
      </c>
    </row>
    <row r="72" spans="1:8" x14ac:dyDescent="0.2">
      <c r="A72" s="1186" t="s">
        <v>343</v>
      </c>
      <c r="B72" s="1186" t="s">
        <v>17</v>
      </c>
      <c r="C72" s="1186">
        <v>2</v>
      </c>
      <c r="D72" s="1186" t="s">
        <v>828</v>
      </c>
      <c r="E72" s="1186">
        <v>269</v>
      </c>
      <c r="F72" s="1186">
        <v>2013</v>
      </c>
      <c r="G72" s="1186">
        <v>2</v>
      </c>
      <c r="H72" s="1186">
        <v>1051706</v>
      </c>
    </row>
    <row r="73" spans="1:8" x14ac:dyDescent="0.2">
      <c r="A73" s="1186" t="s">
        <v>343</v>
      </c>
      <c r="B73" s="1186" t="s">
        <v>17</v>
      </c>
      <c r="C73" s="1186">
        <v>3</v>
      </c>
      <c r="D73" s="1186" t="s">
        <v>852</v>
      </c>
      <c r="E73" s="1186">
        <v>12</v>
      </c>
      <c r="F73" s="1186">
        <v>2013</v>
      </c>
      <c r="G73" s="1186">
        <v>3</v>
      </c>
      <c r="H73" s="1186">
        <v>1062201</v>
      </c>
    </row>
    <row r="74" spans="1:8" x14ac:dyDescent="0.2">
      <c r="A74" s="1186" t="s">
        <v>342</v>
      </c>
      <c r="B74" s="1186" t="s">
        <v>17</v>
      </c>
      <c r="C74" s="1186">
        <v>3</v>
      </c>
      <c r="D74" s="1186" t="s">
        <v>828</v>
      </c>
      <c r="E74" s="1186">
        <v>3</v>
      </c>
      <c r="F74" s="1186">
        <v>2013</v>
      </c>
      <c r="G74" s="1186">
        <v>3</v>
      </c>
      <c r="H74" s="1186">
        <v>1062201</v>
      </c>
    </row>
    <row r="75" spans="1:8" x14ac:dyDescent="0.2">
      <c r="A75" s="1186" t="s">
        <v>343</v>
      </c>
      <c r="B75" s="1186" t="s">
        <v>17</v>
      </c>
      <c r="C75" s="1186">
        <v>3</v>
      </c>
      <c r="D75" s="1186" t="s">
        <v>851</v>
      </c>
      <c r="E75" s="1186">
        <v>11</v>
      </c>
      <c r="F75" s="1186">
        <v>2013</v>
      </c>
      <c r="G75" s="1186">
        <v>3</v>
      </c>
      <c r="H75" s="1186">
        <v>1062201</v>
      </c>
    </row>
    <row r="76" spans="1:8" x14ac:dyDescent="0.2">
      <c r="A76" s="1186" t="s">
        <v>341</v>
      </c>
      <c r="B76" s="1186" t="s">
        <v>17</v>
      </c>
      <c r="C76" s="1186">
        <v>3</v>
      </c>
      <c r="D76" s="1186" t="s">
        <v>828</v>
      </c>
      <c r="E76" s="1186">
        <v>161</v>
      </c>
      <c r="F76" s="1186">
        <v>2013</v>
      </c>
      <c r="G76" s="1186">
        <v>3</v>
      </c>
      <c r="H76" s="1186">
        <v>1062201</v>
      </c>
    </row>
    <row r="77" spans="1:8" x14ac:dyDescent="0.2">
      <c r="A77" s="1186" t="s">
        <v>341</v>
      </c>
      <c r="B77" s="1186" t="s">
        <v>17</v>
      </c>
      <c r="C77" s="1186">
        <v>3</v>
      </c>
      <c r="D77" s="1186" t="s">
        <v>850</v>
      </c>
      <c r="E77" s="1186">
        <v>15</v>
      </c>
      <c r="F77" s="1186">
        <v>2013</v>
      </c>
      <c r="G77" s="1186">
        <v>3</v>
      </c>
      <c r="H77" s="1186">
        <v>1062201</v>
      </c>
    </row>
    <row r="78" spans="1:8" x14ac:dyDescent="0.2">
      <c r="A78" s="1186" t="s">
        <v>341</v>
      </c>
      <c r="B78" s="1186" t="s">
        <v>17</v>
      </c>
      <c r="C78" s="1186">
        <v>3</v>
      </c>
      <c r="D78" s="1186" t="s">
        <v>852</v>
      </c>
      <c r="E78" s="1186">
        <v>11</v>
      </c>
      <c r="F78" s="1186">
        <v>2013</v>
      </c>
      <c r="G78" s="1186">
        <v>3</v>
      </c>
      <c r="H78" s="1186">
        <v>1062201</v>
      </c>
    </row>
    <row r="79" spans="1:8" x14ac:dyDescent="0.2">
      <c r="A79" s="1186" t="s">
        <v>343</v>
      </c>
      <c r="B79" s="1186" t="s">
        <v>17</v>
      </c>
      <c r="C79" s="1186">
        <v>3</v>
      </c>
      <c r="D79" s="1186" t="s">
        <v>850</v>
      </c>
      <c r="E79" s="1186">
        <v>17</v>
      </c>
      <c r="F79" s="1186">
        <v>2013</v>
      </c>
      <c r="G79" s="1186">
        <v>3</v>
      </c>
      <c r="H79" s="1186">
        <v>1062201</v>
      </c>
    </row>
    <row r="80" spans="1:8" x14ac:dyDescent="0.2">
      <c r="A80" s="1186" t="s">
        <v>343</v>
      </c>
      <c r="B80" s="1186" t="s">
        <v>17</v>
      </c>
      <c r="C80" s="1186">
        <v>3</v>
      </c>
      <c r="D80" s="1186" t="s">
        <v>828</v>
      </c>
      <c r="E80" s="1186">
        <v>182</v>
      </c>
      <c r="F80" s="1186">
        <v>2013</v>
      </c>
      <c r="G80" s="1186">
        <v>3</v>
      </c>
      <c r="H80" s="1186">
        <v>1062201</v>
      </c>
    </row>
    <row r="81" spans="1:8" x14ac:dyDescent="0.2">
      <c r="A81" s="1186" t="s">
        <v>342</v>
      </c>
      <c r="B81" s="1186" t="s">
        <v>17</v>
      </c>
      <c r="C81" s="1186">
        <v>3</v>
      </c>
      <c r="D81" s="1186" t="s">
        <v>850</v>
      </c>
      <c r="E81" s="1186">
        <v>1</v>
      </c>
      <c r="F81" s="1186">
        <v>2013</v>
      </c>
      <c r="G81" s="1186">
        <v>3</v>
      </c>
      <c r="H81" s="1186">
        <v>1062201</v>
      </c>
    </row>
    <row r="82" spans="1:8" x14ac:dyDescent="0.2">
      <c r="A82" s="1186" t="s">
        <v>341</v>
      </c>
      <c r="B82" s="1186" t="s">
        <v>17</v>
      </c>
      <c r="C82" s="1186">
        <v>3</v>
      </c>
      <c r="D82" s="1186" t="s">
        <v>851</v>
      </c>
      <c r="E82" s="1186">
        <v>10</v>
      </c>
      <c r="F82" s="1186">
        <v>2013</v>
      </c>
      <c r="G82" s="1186">
        <v>3</v>
      </c>
      <c r="H82" s="1186">
        <v>1062201</v>
      </c>
    </row>
    <row r="83" spans="1:8" x14ac:dyDescent="0.2">
      <c r="A83" s="1186" t="s">
        <v>343</v>
      </c>
      <c r="B83" s="1186" t="s">
        <v>17</v>
      </c>
      <c r="C83" s="1186">
        <v>4</v>
      </c>
      <c r="D83" s="1186" t="s">
        <v>828</v>
      </c>
      <c r="E83" s="1186">
        <v>133</v>
      </c>
      <c r="F83" s="1186">
        <v>2013</v>
      </c>
      <c r="G83" s="1186">
        <v>4</v>
      </c>
      <c r="H83" s="1186">
        <v>1066971</v>
      </c>
    </row>
    <row r="84" spans="1:8" x14ac:dyDescent="0.2">
      <c r="A84" s="1186" t="s">
        <v>343</v>
      </c>
      <c r="B84" s="1186" t="s">
        <v>17</v>
      </c>
      <c r="C84" s="1186">
        <v>4</v>
      </c>
      <c r="D84" s="1186" t="s">
        <v>850</v>
      </c>
      <c r="E84" s="1186">
        <v>17</v>
      </c>
      <c r="F84" s="1186">
        <v>2013</v>
      </c>
      <c r="G84" s="1186">
        <v>4</v>
      </c>
      <c r="H84" s="1186">
        <v>1066971</v>
      </c>
    </row>
    <row r="85" spans="1:8" x14ac:dyDescent="0.2">
      <c r="A85" s="1186" t="s">
        <v>343</v>
      </c>
      <c r="B85" s="1186" t="s">
        <v>17</v>
      </c>
      <c r="C85" s="1186">
        <v>4</v>
      </c>
      <c r="D85" s="1186" t="s">
        <v>851</v>
      </c>
      <c r="E85" s="1186">
        <v>17</v>
      </c>
      <c r="F85" s="1186">
        <v>2013</v>
      </c>
      <c r="G85" s="1186">
        <v>4</v>
      </c>
      <c r="H85" s="1186">
        <v>1066971</v>
      </c>
    </row>
    <row r="86" spans="1:8" x14ac:dyDescent="0.2">
      <c r="A86" s="1186" t="s">
        <v>343</v>
      </c>
      <c r="B86" s="1186" t="s">
        <v>17</v>
      </c>
      <c r="C86" s="1186">
        <v>4</v>
      </c>
      <c r="D86" s="1186" t="s">
        <v>852</v>
      </c>
      <c r="E86" s="1186">
        <v>6</v>
      </c>
      <c r="F86" s="1186">
        <v>2013</v>
      </c>
      <c r="G86" s="1186">
        <v>4</v>
      </c>
      <c r="H86" s="1186">
        <v>1066971</v>
      </c>
    </row>
    <row r="87" spans="1:8" x14ac:dyDescent="0.2">
      <c r="A87" s="1186" t="s">
        <v>341</v>
      </c>
      <c r="B87" s="1186" t="s">
        <v>17</v>
      </c>
      <c r="C87" s="1186">
        <v>4</v>
      </c>
      <c r="D87" s="1186" t="s">
        <v>828</v>
      </c>
      <c r="E87" s="1186">
        <v>109</v>
      </c>
      <c r="F87" s="1186">
        <v>2013</v>
      </c>
      <c r="G87" s="1186">
        <v>4</v>
      </c>
      <c r="H87" s="1186">
        <v>1066971</v>
      </c>
    </row>
    <row r="88" spans="1:8" x14ac:dyDescent="0.2">
      <c r="A88" s="1186" t="s">
        <v>341</v>
      </c>
      <c r="B88" s="1186" t="s">
        <v>17</v>
      </c>
      <c r="C88" s="1186">
        <v>4</v>
      </c>
      <c r="D88" s="1186" t="s">
        <v>850</v>
      </c>
      <c r="E88" s="1186">
        <v>17</v>
      </c>
      <c r="F88" s="1186">
        <v>2013</v>
      </c>
      <c r="G88" s="1186">
        <v>4</v>
      </c>
      <c r="H88" s="1186">
        <v>1066971</v>
      </c>
    </row>
    <row r="89" spans="1:8" x14ac:dyDescent="0.2">
      <c r="A89" s="1186" t="s">
        <v>341</v>
      </c>
      <c r="B89" s="1186" t="s">
        <v>17</v>
      </c>
      <c r="C89" s="1186">
        <v>4</v>
      </c>
      <c r="D89" s="1186" t="s">
        <v>851</v>
      </c>
      <c r="E89" s="1186">
        <v>17</v>
      </c>
      <c r="F89" s="1186">
        <v>2013</v>
      </c>
      <c r="G89" s="1186">
        <v>4</v>
      </c>
      <c r="H89" s="1186">
        <v>1066971</v>
      </c>
    </row>
    <row r="90" spans="1:8" x14ac:dyDescent="0.2">
      <c r="A90" s="1186" t="s">
        <v>341</v>
      </c>
      <c r="B90" s="1186" t="s">
        <v>17</v>
      </c>
      <c r="C90" s="1186">
        <v>4</v>
      </c>
      <c r="D90" s="1186" t="s">
        <v>852</v>
      </c>
      <c r="E90" s="1186">
        <v>4</v>
      </c>
      <c r="F90" s="1186">
        <v>2013</v>
      </c>
      <c r="G90" s="1186">
        <v>4</v>
      </c>
      <c r="H90" s="1186">
        <v>1066971</v>
      </c>
    </row>
    <row r="91" spans="1:8" x14ac:dyDescent="0.2">
      <c r="A91" s="1186" t="s">
        <v>342</v>
      </c>
      <c r="B91" s="1186" t="s">
        <v>17</v>
      </c>
      <c r="C91" s="1186">
        <v>4</v>
      </c>
      <c r="D91" s="1186" t="s">
        <v>828</v>
      </c>
      <c r="E91" s="1186">
        <v>3</v>
      </c>
      <c r="F91" s="1186">
        <v>2013</v>
      </c>
      <c r="G91" s="1186">
        <v>4</v>
      </c>
      <c r="H91" s="1186">
        <v>1066971</v>
      </c>
    </row>
    <row r="92" spans="1:8" x14ac:dyDescent="0.2">
      <c r="A92" s="1186" t="s">
        <v>343</v>
      </c>
      <c r="B92" s="1186" t="s">
        <v>17</v>
      </c>
      <c r="C92" s="1186">
        <v>5</v>
      </c>
      <c r="D92" s="1186" t="s">
        <v>852</v>
      </c>
      <c r="E92" s="1186">
        <v>4</v>
      </c>
      <c r="F92" s="1186">
        <v>2013</v>
      </c>
      <c r="G92" s="1186">
        <v>5</v>
      </c>
      <c r="H92" s="1186">
        <v>1094580</v>
      </c>
    </row>
    <row r="93" spans="1:8" x14ac:dyDescent="0.2">
      <c r="A93" s="1186" t="s">
        <v>342</v>
      </c>
      <c r="B93" s="1186" t="s">
        <v>17</v>
      </c>
      <c r="C93" s="1186">
        <v>5</v>
      </c>
      <c r="D93" s="1186" t="s">
        <v>851</v>
      </c>
      <c r="E93" s="1186">
        <v>1</v>
      </c>
      <c r="F93" s="1186">
        <v>2013</v>
      </c>
      <c r="G93" s="1186">
        <v>5</v>
      </c>
      <c r="H93" s="1186">
        <v>1094580</v>
      </c>
    </row>
    <row r="94" spans="1:8" x14ac:dyDescent="0.2">
      <c r="A94" s="1186" t="s">
        <v>341</v>
      </c>
      <c r="B94" s="1186" t="s">
        <v>17</v>
      </c>
      <c r="C94" s="1186">
        <v>5</v>
      </c>
      <c r="D94" s="1186" t="s">
        <v>828</v>
      </c>
      <c r="E94" s="1186">
        <v>77</v>
      </c>
      <c r="F94" s="1186">
        <v>2013</v>
      </c>
      <c r="G94" s="1186">
        <v>5</v>
      </c>
      <c r="H94" s="1186">
        <v>1094580</v>
      </c>
    </row>
    <row r="95" spans="1:8" x14ac:dyDescent="0.2">
      <c r="A95" s="1186" t="s">
        <v>343</v>
      </c>
      <c r="B95" s="1186" t="s">
        <v>17</v>
      </c>
      <c r="C95" s="1186">
        <v>5</v>
      </c>
      <c r="D95" s="1186" t="s">
        <v>828</v>
      </c>
      <c r="E95" s="1186">
        <v>83</v>
      </c>
      <c r="F95" s="1186">
        <v>2013</v>
      </c>
      <c r="G95" s="1186">
        <v>5</v>
      </c>
      <c r="H95" s="1186">
        <v>1094580</v>
      </c>
    </row>
    <row r="96" spans="1:8" x14ac:dyDescent="0.2">
      <c r="A96" s="1186" t="s">
        <v>343</v>
      </c>
      <c r="B96" s="1186" t="s">
        <v>17</v>
      </c>
      <c r="C96" s="1186">
        <v>5</v>
      </c>
      <c r="D96" s="1186" t="s">
        <v>850</v>
      </c>
      <c r="E96" s="1186">
        <v>10</v>
      </c>
      <c r="F96" s="1186">
        <v>2013</v>
      </c>
      <c r="G96" s="1186">
        <v>5</v>
      </c>
      <c r="H96" s="1186">
        <v>1094580</v>
      </c>
    </row>
    <row r="97" spans="1:8" x14ac:dyDescent="0.2">
      <c r="A97" s="1186" t="s">
        <v>343</v>
      </c>
      <c r="B97" s="1186" t="s">
        <v>17</v>
      </c>
      <c r="C97" s="1186">
        <v>5</v>
      </c>
      <c r="D97" s="1186" t="s">
        <v>851</v>
      </c>
      <c r="E97" s="1186">
        <v>13</v>
      </c>
      <c r="F97" s="1186">
        <v>2013</v>
      </c>
      <c r="G97" s="1186">
        <v>5</v>
      </c>
      <c r="H97" s="1186">
        <v>1094580</v>
      </c>
    </row>
    <row r="98" spans="1:8" x14ac:dyDescent="0.2">
      <c r="A98" s="1186" t="s">
        <v>341</v>
      </c>
      <c r="B98" s="1186" t="s">
        <v>17</v>
      </c>
      <c r="C98" s="1186">
        <v>5</v>
      </c>
      <c r="D98" s="1186" t="s">
        <v>852</v>
      </c>
      <c r="E98" s="1186">
        <v>4</v>
      </c>
      <c r="F98" s="1186">
        <v>2013</v>
      </c>
      <c r="G98" s="1186">
        <v>5</v>
      </c>
      <c r="H98" s="1186">
        <v>1094580</v>
      </c>
    </row>
    <row r="99" spans="1:8" x14ac:dyDescent="0.2">
      <c r="A99" s="1186" t="s">
        <v>342</v>
      </c>
      <c r="B99" s="1186" t="s">
        <v>17</v>
      </c>
      <c r="C99" s="1186">
        <v>5</v>
      </c>
      <c r="D99" s="1186" t="s">
        <v>828</v>
      </c>
      <c r="E99" s="1186">
        <v>2</v>
      </c>
      <c r="F99" s="1186">
        <v>2013</v>
      </c>
      <c r="G99" s="1186">
        <v>5</v>
      </c>
      <c r="H99" s="1186">
        <v>1094580</v>
      </c>
    </row>
    <row r="100" spans="1:8" x14ac:dyDescent="0.2">
      <c r="A100" s="1186" t="s">
        <v>341</v>
      </c>
      <c r="B100" s="1186" t="s">
        <v>17</v>
      </c>
      <c r="C100" s="1186">
        <v>5</v>
      </c>
      <c r="D100" s="1186" t="s">
        <v>851</v>
      </c>
      <c r="E100" s="1186">
        <v>13</v>
      </c>
      <c r="F100" s="1186">
        <v>2013</v>
      </c>
      <c r="G100" s="1186">
        <v>5</v>
      </c>
      <c r="H100" s="1186">
        <v>1094580</v>
      </c>
    </row>
    <row r="101" spans="1:8" x14ac:dyDescent="0.2">
      <c r="A101" s="1186" t="s">
        <v>341</v>
      </c>
      <c r="B101" s="1186" t="s">
        <v>17</v>
      </c>
      <c r="C101" s="1186">
        <v>5</v>
      </c>
      <c r="D101" s="1186" t="s">
        <v>850</v>
      </c>
      <c r="E101" s="1186">
        <v>8</v>
      </c>
      <c r="F101" s="1186">
        <v>2013</v>
      </c>
      <c r="G101" s="1186">
        <v>5</v>
      </c>
      <c r="H101" s="1186">
        <v>1094580</v>
      </c>
    </row>
    <row r="102" spans="1:8" x14ac:dyDescent="0.2">
      <c r="A102" s="1186" t="s">
        <v>343</v>
      </c>
      <c r="B102" s="1186" t="s">
        <v>133</v>
      </c>
      <c r="C102" s="1186"/>
      <c r="D102" s="1186" t="s">
        <v>852</v>
      </c>
      <c r="E102" s="1186">
        <v>1</v>
      </c>
      <c r="F102" s="1186"/>
      <c r="G102" s="1186"/>
      <c r="H102" s="1186"/>
    </row>
    <row r="103" spans="1:8" x14ac:dyDescent="0.2">
      <c r="A103" s="1186" t="s">
        <v>343</v>
      </c>
      <c r="B103" s="1186" t="s">
        <v>133</v>
      </c>
      <c r="C103" s="1186">
        <v>1</v>
      </c>
      <c r="D103" s="1186" t="s">
        <v>852</v>
      </c>
      <c r="E103" s="1186">
        <v>7</v>
      </c>
      <c r="F103" s="1186">
        <v>2014</v>
      </c>
      <c r="G103" s="1186">
        <v>1</v>
      </c>
      <c r="H103" s="1186">
        <v>1051892</v>
      </c>
    </row>
    <row r="104" spans="1:8" x14ac:dyDescent="0.2">
      <c r="A104" s="1186" t="s">
        <v>343</v>
      </c>
      <c r="B104" s="1186" t="s">
        <v>133</v>
      </c>
      <c r="C104" s="1186">
        <v>1</v>
      </c>
      <c r="D104" s="1186" t="s">
        <v>851</v>
      </c>
      <c r="E104" s="1186">
        <v>7</v>
      </c>
      <c r="F104" s="1186">
        <v>2014</v>
      </c>
      <c r="G104" s="1186">
        <v>1</v>
      </c>
      <c r="H104" s="1186">
        <v>1051892</v>
      </c>
    </row>
    <row r="105" spans="1:8" x14ac:dyDescent="0.2">
      <c r="A105" s="1186" t="s">
        <v>343</v>
      </c>
      <c r="B105" s="1186" t="s">
        <v>133</v>
      </c>
      <c r="C105" s="1186">
        <v>1</v>
      </c>
      <c r="D105" s="1186" t="s">
        <v>850</v>
      </c>
      <c r="E105" s="1186">
        <v>16</v>
      </c>
      <c r="F105" s="1186">
        <v>2014</v>
      </c>
      <c r="G105" s="1186">
        <v>1</v>
      </c>
      <c r="H105" s="1186">
        <v>1051892</v>
      </c>
    </row>
    <row r="106" spans="1:8" x14ac:dyDescent="0.2">
      <c r="A106" s="1186" t="s">
        <v>341</v>
      </c>
      <c r="B106" s="1186" t="s">
        <v>133</v>
      </c>
      <c r="C106" s="1186">
        <v>1</v>
      </c>
      <c r="D106" s="1186" t="s">
        <v>852</v>
      </c>
      <c r="E106" s="1186">
        <v>4</v>
      </c>
      <c r="F106" s="1186">
        <v>2014</v>
      </c>
      <c r="G106" s="1186">
        <v>1</v>
      </c>
      <c r="H106" s="1186">
        <v>1051892</v>
      </c>
    </row>
    <row r="107" spans="1:8" x14ac:dyDescent="0.2">
      <c r="A107" s="1186" t="s">
        <v>341</v>
      </c>
      <c r="B107" s="1186" t="s">
        <v>133</v>
      </c>
      <c r="C107" s="1186">
        <v>1</v>
      </c>
      <c r="D107" s="1186" t="s">
        <v>850</v>
      </c>
      <c r="E107" s="1186">
        <v>12</v>
      </c>
      <c r="F107" s="1186">
        <v>2014</v>
      </c>
      <c r="G107" s="1186">
        <v>1</v>
      </c>
      <c r="H107" s="1186">
        <v>1051892</v>
      </c>
    </row>
    <row r="108" spans="1:8" x14ac:dyDescent="0.2">
      <c r="A108" s="1186" t="s">
        <v>341</v>
      </c>
      <c r="B108" s="1186" t="s">
        <v>133</v>
      </c>
      <c r="C108" s="1186">
        <v>1</v>
      </c>
      <c r="D108" s="1186" t="s">
        <v>851</v>
      </c>
      <c r="E108" s="1186">
        <v>5</v>
      </c>
      <c r="F108" s="1186">
        <v>2014</v>
      </c>
      <c r="G108" s="1186">
        <v>1</v>
      </c>
      <c r="H108" s="1186">
        <v>1051892</v>
      </c>
    </row>
    <row r="109" spans="1:8" x14ac:dyDescent="0.2">
      <c r="A109" s="1186" t="s">
        <v>343</v>
      </c>
      <c r="B109" s="1186" t="s">
        <v>133</v>
      </c>
      <c r="C109" s="1186">
        <v>1</v>
      </c>
      <c r="D109" s="1186" t="s">
        <v>828</v>
      </c>
      <c r="E109" s="1186">
        <v>390</v>
      </c>
      <c r="F109" s="1186">
        <v>2014</v>
      </c>
      <c r="G109" s="1186">
        <v>1</v>
      </c>
      <c r="H109" s="1186">
        <v>1051892</v>
      </c>
    </row>
    <row r="110" spans="1:8" x14ac:dyDescent="0.2">
      <c r="A110" s="1186" t="s">
        <v>341</v>
      </c>
      <c r="B110" s="1186" t="s">
        <v>133</v>
      </c>
      <c r="C110" s="1186">
        <v>1</v>
      </c>
      <c r="D110" s="1186" t="s">
        <v>828</v>
      </c>
      <c r="E110" s="1186">
        <v>311</v>
      </c>
      <c r="F110" s="1186">
        <v>2014</v>
      </c>
      <c r="G110" s="1186">
        <v>1</v>
      </c>
      <c r="H110" s="1186">
        <v>1051892</v>
      </c>
    </row>
    <row r="111" spans="1:8" x14ac:dyDescent="0.2">
      <c r="A111" s="1186" t="s">
        <v>342</v>
      </c>
      <c r="B111" s="1186" t="s">
        <v>133</v>
      </c>
      <c r="C111" s="1186">
        <v>1</v>
      </c>
      <c r="D111" s="1186" t="s">
        <v>850</v>
      </c>
      <c r="E111" s="1186">
        <v>2</v>
      </c>
      <c r="F111" s="1186">
        <v>2014</v>
      </c>
      <c r="G111" s="1186">
        <v>1</v>
      </c>
      <c r="H111" s="1186">
        <v>1051892</v>
      </c>
    </row>
    <row r="112" spans="1:8" x14ac:dyDescent="0.2">
      <c r="A112" s="1186" t="s">
        <v>342</v>
      </c>
      <c r="B112" s="1186" t="s">
        <v>133</v>
      </c>
      <c r="C112" s="1186">
        <v>1</v>
      </c>
      <c r="D112" s="1186" t="s">
        <v>828</v>
      </c>
      <c r="E112" s="1186">
        <v>10</v>
      </c>
      <c r="F112" s="1186">
        <v>2014</v>
      </c>
      <c r="G112" s="1186">
        <v>1</v>
      </c>
      <c r="H112" s="1186">
        <v>1051892</v>
      </c>
    </row>
    <row r="113" spans="1:8" x14ac:dyDescent="0.2">
      <c r="A113" s="1186" t="s">
        <v>342</v>
      </c>
      <c r="B113" s="1186" t="s">
        <v>133</v>
      </c>
      <c r="C113" s="1186">
        <v>2</v>
      </c>
      <c r="D113" s="1186" t="s">
        <v>850</v>
      </c>
      <c r="E113" s="1186">
        <v>1</v>
      </c>
      <c r="F113" s="1186">
        <v>2014</v>
      </c>
      <c r="G113" s="1186">
        <v>2</v>
      </c>
      <c r="H113" s="1186">
        <v>1052469</v>
      </c>
    </row>
    <row r="114" spans="1:8" x14ac:dyDescent="0.2">
      <c r="A114" s="1186" t="s">
        <v>343</v>
      </c>
      <c r="B114" s="1186" t="s">
        <v>133</v>
      </c>
      <c r="C114" s="1186">
        <v>2</v>
      </c>
      <c r="D114" s="1186" t="s">
        <v>852</v>
      </c>
      <c r="E114" s="1186">
        <v>4</v>
      </c>
      <c r="F114" s="1186">
        <v>2014</v>
      </c>
      <c r="G114" s="1186">
        <v>2</v>
      </c>
      <c r="H114" s="1186">
        <v>1052469</v>
      </c>
    </row>
    <row r="115" spans="1:8" x14ac:dyDescent="0.2">
      <c r="A115" s="1186" t="s">
        <v>343</v>
      </c>
      <c r="B115" s="1186" t="s">
        <v>133</v>
      </c>
      <c r="C115" s="1186">
        <v>2</v>
      </c>
      <c r="D115" s="1186" t="s">
        <v>851</v>
      </c>
      <c r="E115" s="1186">
        <v>6</v>
      </c>
      <c r="F115" s="1186">
        <v>2014</v>
      </c>
      <c r="G115" s="1186">
        <v>2</v>
      </c>
      <c r="H115" s="1186">
        <v>1052469</v>
      </c>
    </row>
    <row r="116" spans="1:8" x14ac:dyDescent="0.2">
      <c r="A116" s="1186" t="s">
        <v>343</v>
      </c>
      <c r="B116" s="1186" t="s">
        <v>133</v>
      </c>
      <c r="C116" s="1186">
        <v>2</v>
      </c>
      <c r="D116" s="1186" t="s">
        <v>850</v>
      </c>
      <c r="E116" s="1186">
        <v>22</v>
      </c>
      <c r="F116" s="1186">
        <v>2014</v>
      </c>
      <c r="G116" s="1186">
        <v>2</v>
      </c>
      <c r="H116" s="1186">
        <v>1052469</v>
      </c>
    </row>
    <row r="117" spans="1:8" x14ac:dyDescent="0.2">
      <c r="A117" s="1186" t="s">
        <v>343</v>
      </c>
      <c r="B117" s="1186" t="s">
        <v>133</v>
      </c>
      <c r="C117" s="1186">
        <v>2</v>
      </c>
      <c r="D117" s="1186" t="s">
        <v>828</v>
      </c>
      <c r="E117" s="1186">
        <v>231</v>
      </c>
      <c r="F117" s="1186">
        <v>2014</v>
      </c>
      <c r="G117" s="1186">
        <v>2</v>
      </c>
      <c r="H117" s="1186">
        <v>1052469</v>
      </c>
    </row>
    <row r="118" spans="1:8" x14ac:dyDescent="0.2">
      <c r="A118" s="1186" t="s">
        <v>342</v>
      </c>
      <c r="B118" s="1186" t="s">
        <v>133</v>
      </c>
      <c r="C118" s="1186">
        <v>2</v>
      </c>
      <c r="D118" s="1186" t="s">
        <v>852</v>
      </c>
      <c r="E118" s="1186">
        <v>3</v>
      </c>
      <c r="F118" s="1186">
        <v>2014</v>
      </c>
      <c r="G118" s="1186">
        <v>2</v>
      </c>
      <c r="H118" s="1186">
        <v>1052469</v>
      </c>
    </row>
    <row r="119" spans="1:8" x14ac:dyDescent="0.2">
      <c r="A119" s="1186" t="s">
        <v>342</v>
      </c>
      <c r="B119" s="1186" t="s">
        <v>133</v>
      </c>
      <c r="C119" s="1186">
        <v>2</v>
      </c>
      <c r="D119" s="1186" t="s">
        <v>828</v>
      </c>
      <c r="E119" s="1186">
        <v>5</v>
      </c>
      <c r="F119" s="1186">
        <v>2014</v>
      </c>
      <c r="G119" s="1186">
        <v>2</v>
      </c>
      <c r="H119" s="1186">
        <v>1052469</v>
      </c>
    </row>
    <row r="120" spans="1:8" x14ac:dyDescent="0.2">
      <c r="A120" s="1186" t="s">
        <v>341</v>
      </c>
      <c r="B120" s="1186" t="s">
        <v>133</v>
      </c>
      <c r="C120" s="1186">
        <v>2</v>
      </c>
      <c r="D120" s="1186" t="s">
        <v>852</v>
      </c>
      <c r="E120" s="1186">
        <v>3</v>
      </c>
      <c r="F120" s="1186">
        <v>2014</v>
      </c>
      <c r="G120" s="1186">
        <v>2</v>
      </c>
      <c r="H120" s="1186">
        <v>1052469</v>
      </c>
    </row>
    <row r="121" spans="1:8" x14ac:dyDescent="0.2">
      <c r="A121" s="1186" t="s">
        <v>341</v>
      </c>
      <c r="B121" s="1186" t="s">
        <v>133</v>
      </c>
      <c r="C121" s="1186">
        <v>2</v>
      </c>
      <c r="D121" s="1186" t="s">
        <v>850</v>
      </c>
      <c r="E121" s="1186">
        <v>20</v>
      </c>
      <c r="F121" s="1186">
        <v>2014</v>
      </c>
      <c r="G121" s="1186">
        <v>2</v>
      </c>
      <c r="H121" s="1186">
        <v>1052469</v>
      </c>
    </row>
    <row r="122" spans="1:8" x14ac:dyDescent="0.2">
      <c r="A122" s="1186" t="s">
        <v>341</v>
      </c>
      <c r="B122" s="1186" t="s">
        <v>133</v>
      </c>
      <c r="C122" s="1186">
        <v>2</v>
      </c>
      <c r="D122" s="1186" t="s">
        <v>851</v>
      </c>
      <c r="E122" s="1186">
        <v>5</v>
      </c>
      <c r="F122" s="1186">
        <v>2014</v>
      </c>
      <c r="G122" s="1186">
        <v>2</v>
      </c>
      <c r="H122" s="1186">
        <v>1052469</v>
      </c>
    </row>
    <row r="123" spans="1:8" x14ac:dyDescent="0.2">
      <c r="A123" s="1186" t="s">
        <v>341</v>
      </c>
      <c r="B123" s="1186" t="s">
        <v>133</v>
      </c>
      <c r="C123" s="1186">
        <v>2</v>
      </c>
      <c r="D123" s="1186" t="s">
        <v>828</v>
      </c>
      <c r="E123" s="1186">
        <v>186</v>
      </c>
      <c r="F123" s="1186">
        <v>2014</v>
      </c>
      <c r="G123" s="1186">
        <v>2</v>
      </c>
      <c r="H123" s="1186">
        <v>1052469</v>
      </c>
    </row>
    <row r="124" spans="1:8" x14ac:dyDescent="0.2">
      <c r="A124" s="1186" t="s">
        <v>343</v>
      </c>
      <c r="B124" s="1186" t="s">
        <v>133</v>
      </c>
      <c r="C124" s="1186">
        <v>3</v>
      </c>
      <c r="D124" s="1186" t="s">
        <v>852</v>
      </c>
      <c r="E124" s="1186">
        <v>2</v>
      </c>
      <c r="F124" s="1186">
        <v>2014</v>
      </c>
      <c r="G124" s="1186">
        <v>3</v>
      </c>
      <c r="H124" s="1186">
        <v>1063532</v>
      </c>
    </row>
    <row r="125" spans="1:8" x14ac:dyDescent="0.2">
      <c r="A125" s="1186" t="s">
        <v>343</v>
      </c>
      <c r="B125" s="1186" t="s">
        <v>133</v>
      </c>
      <c r="C125" s="1186">
        <v>3</v>
      </c>
      <c r="D125" s="1186" t="s">
        <v>851</v>
      </c>
      <c r="E125" s="1186">
        <v>8</v>
      </c>
      <c r="F125" s="1186">
        <v>2014</v>
      </c>
      <c r="G125" s="1186">
        <v>3</v>
      </c>
      <c r="H125" s="1186">
        <v>1063532</v>
      </c>
    </row>
    <row r="126" spans="1:8" x14ac:dyDescent="0.2">
      <c r="A126" s="1186" t="s">
        <v>342</v>
      </c>
      <c r="B126" s="1186" t="s">
        <v>133</v>
      </c>
      <c r="C126" s="1186">
        <v>3</v>
      </c>
      <c r="D126" s="1186" t="s">
        <v>852</v>
      </c>
      <c r="E126" s="1186">
        <v>1</v>
      </c>
      <c r="F126" s="1186">
        <v>2014</v>
      </c>
      <c r="G126" s="1186">
        <v>3</v>
      </c>
      <c r="H126" s="1186">
        <v>1063532</v>
      </c>
    </row>
    <row r="127" spans="1:8" x14ac:dyDescent="0.2">
      <c r="A127" s="1186" t="s">
        <v>341</v>
      </c>
      <c r="B127" s="1186" t="s">
        <v>133</v>
      </c>
      <c r="C127" s="1186">
        <v>3</v>
      </c>
      <c r="D127" s="1186" t="s">
        <v>852</v>
      </c>
      <c r="E127" s="1186">
        <v>2</v>
      </c>
      <c r="F127" s="1186">
        <v>2014</v>
      </c>
      <c r="G127" s="1186">
        <v>3</v>
      </c>
      <c r="H127" s="1186">
        <v>1063532</v>
      </c>
    </row>
    <row r="128" spans="1:8" x14ac:dyDescent="0.2">
      <c r="A128" s="1186" t="s">
        <v>343</v>
      </c>
      <c r="B128" s="1186" t="s">
        <v>133</v>
      </c>
      <c r="C128" s="1186">
        <v>3</v>
      </c>
      <c r="D128" s="1186" t="s">
        <v>850</v>
      </c>
      <c r="E128" s="1186">
        <v>23</v>
      </c>
      <c r="F128" s="1186">
        <v>2014</v>
      </c>
      <c r="G128" s="1186">
        <v>3</v>
      </c>
      <c r="H128" s="1186">
        <v>1063532</v>
      </c>
    </row>
    <row r="129" spans="1:8" x14ac:dyDescent="0.2">
      <c r="A129" s="1186" t="s">
        <v>342</v>
      </c>
      <c r="B129" s="1186" t="s">
        <v>133</v>
      </c>
      <c r="C129" s="1186">
        <v>3</v>
      </c>
      <c r="D129" s="1186" t="s">
        <v>828</v>
      </c>
      <c r="E129" s="1186">
        <v>9</v>
      </c>
      <c r="F129" s="1186">
        <v>2014</v>
      </c>
      <c r="G129" s="1186">
        <v>3</v>
      </c>
      <c r="H129" s="1186">
        <v>1063532</v>
      </c>
    </row>
    <row r="130" spans="1:8" x14ac:dyDescent="0.2">
      <c r="A130" s="1186" t="s">
        <v>341</v>
      </c>
      <c r="B130" s="1186" t="s">
        <v>133</v>
      </c>
      <c r="C130" s="1186">
        <v>3</v>
      </c>
      <c r="D130" s="1186" t="s">
        <v>828</v>
      </c>
      <c r="E130" s="1186">
        <v>139</v>
      </c>
      <c r="F130" s="1186">
        <v>2014</v>
      </c>
      <c r="G130" s="1186">
        <v>3</v>
      </c>
      <c r="H130" s="1186">
        <v>1063532</v>
      </c>
    </row>
    <row r="131" spans="1:8" x14ac:dyDescent="0.2">
      <c r="A131" s="1186" t="s">
        <v>341</v>
      </c>
      <c r="B131" s="1186" t="s">
        <v>133</v>
      </c>
      <c r="C131" s="1186">
        <v>3</v>
      </c>
      <c r="D131" s="1186" t="s">
        <v>850</v>
      </c>
      <c r="E131" s="1186">
        <v>18</v>
      </c>
      <c r="F131" s="1186">
        <v>2014</v>
      </c>
      <c r="G131" s="1186">
        <v>3</v>
      </c>
      <c r="H131" s="1186">
        <v>1063532</v>
      </c>
    </row>
    <row r="132" spans="1:8" x14ac:dyDescent="0.2">
      <c r="A132" s="1186" t="s">
        <v>341</v>
      </c>
      <c r="B132" s="1186" t="s">
        <v>133</v>
      </c>
      <c r="C132" s="1186">
        <v>3</v>
      </c>
      <c r="D132" s="1186" t="s">
        <v>851</v>
      </c>
      <c r="E132" s="1186">
        <v>7</v>
      </c>
      <c r="F132" s="1186">
        <v>2014</v>
      </c>
      <c r="G132" s="1186">
        <v>3</v>
      </c>
      <c r="H132" s="1186">
        <v>1063532</v>
      </c>
    </row>
    <row r="133" spans="1:8" x14ac:dyDescent="0.2">
      <c r="A133" s="1186" t="s">
        <v>343</v>
      </c>
      <c r="B133" s="1186" t="s">
        <v>133</v>
      </c>
      <c r="C133" s="1186">
        <v>3</v>
      </c>
      <c r="D133" s="1186" t="s">
        <v>828</v>
      </c>
      <c r="E133" s="1186">
        <v>167</v>
      </c>
      <c r="F133" s="1186">
        <v>2014</v>
      </c>
      <c r="G133" s="1186">
        <v>3</v>
      </c>
      <c r="H133" s="1186">
        <v>1063532</v>
      </c>
    </row>
    <row r="134" spans="1:8" x14ac:dyDescent="0.2">
      <c r="A134" s="1186" t="s">
        <v>342</v>
      </c>
      <c r="B134" s="1186" t="s">
        <v>133</v>
      </c>
      <c r="C134" s="1186">
        <v>4</v>
      </c>
      <c r="D134" s="1186" t="s">
        <v>851</v>
      </c>
      <c r="E134" s="1186">
        <v>1</v>
      </c>
      <c r="F134" s="1186">
        <v>2014</v>
      </c>
      <c r="G134" s="1186">
        <v>4</v>
      </c>
      <c r="H134" s="1186">
        <v>1076943</v>
      </c>
    </row>
    <row r="135" spans="1:8" x14ac:dyDescent="0.2">
      <c r="A135" s="1186" t="s">
        <v>342</v>
      </c>
      <c r="B135" s="1186" t="s">
        <v>133</v>
      </c>
      <c r="C135" s="1186">
        <v>4</v>
      </c>
      <c r="D135" s="1186" t="s">
        <v>828</v>
      </c>
      <c r="E135" s="1186">
        <v>4</v>
      </c>
      <c r="F135" s="1186">
        <v>2014</v>
      </c>
      <c r="G135" s="1186">
        <v>4</v>
      </c>
      <c r="H135" s="1186">
        <v>1076943</v>
      </c>
    </row>
    <row r="136" spans="1:8" x14ac:dyDescent="0.2">
      <c r="A136" s="1186" t="s">
        <v>342</v>
      </c>
      <c r="B136" s="1186" t="s">
        <v>133</v>
      </c>
      <c r="C136" s="1186">
        <v>4</v>
      </c>
      <c r="D136" s="1186" t="s">
        <v>852</v>
      </c>
      <c r="E136" s="1186">
        <v>1</v>
      </c>
      <c r="F136" s="1186">
        <v>2014</v>
      </c>
      <c r="G136" s="1186">
        <v>4</v>
      </c>
      <c r="H136" s="1186">
        <v>1076943</v>
      </c>
    </row>
    <row r="137" spans="1:8" x14ac:dyDescent="0.2">
      <c r="A137" s="1186" t="s">
        <v>341</v>
      </c>
      <c r="B137" s="1186" t="s">
        <v>133</v>
      </c>
      <c r="C137" s="1186">
        <v>4</v>
      </c>
      <c r="D137" s="1186" t="s">
        <v>828</v>
      </c>
      <c r="E137" s="1186">
        <v>82</v>
      </c>
      <c r="F137" s="1186">
        <v>2014</v>
      </c>
      <c r="G137" s="1186">
        <v>4</v>
      </c>
      <c r="H137" s="1186">
        <v>1076943</v>
      </c>
    </row>
    <row r="138" spans="1:8" x14ac:dyDescent="0.2">
      <c r="A138" s="1186" t="s">
        <v>343</v>
      </c>
      <c r="B138" s="1186" t="s">
        <v>133</v>
      </c>
      <c r="C138" s="1186">
        <v>4</v>
      </c>
      <c r="D138" s="1186" t="s">
        <v>851</v>
      </c>
      <c r="E138" s="1186">
        <v>17</v>
      </c>
      <c r="F138" s="1186">
        <v>2014</v>
      </c>
      <c r="G138" s="1186">
        <v>4</v>
      </c>
      <c r="H138" s="1186">
        <v>1076943</v>
      </c>
    </row>
    <row r="139" spans="1:8" x14ac:dyDescent="0.2">
      <c r="A139" s="1186" t="s">
        <v>343</v>
      </c>
      <c r="B139" s="1186" t="s">
        <v>133</v>
      </c>
      <c r="C139" s="1186">
        <v>4</v>
      </c>
      <c r="D139" s="1186" t="s">
        <v>852</v>
      </c>
      <c r="E139" s="1186">
        <v>5</v>
      </c>
      <c r="F139" s="1186">
        <v>2014</v>
      </c>
      <c r="G139" s="1186">
        <v>4</v>
      </c>
      <c r="H139" s="1186">
        <v>1076943</v>
      </c>
    </row>
    <row r="140" spans="1:8" x14ac:dyDescent="0.2">
      <c r="A140" s="1186" t="s">
        <v>341</v>
      </c>
      <c r="B140" s="1186" t="s">
        <v>133</v>
      </c>
      <c r="C140" s="1186">
        <v>4</v>
      </c>
      <c r="D140" s="1186" t="s">
        <v>850</v>
      </c>
      <c r="E140" s="1186">
        <v>19</v>
      </c>
      <c r="F140" s="1186">
        <v>2014</v>
      </c>
      <c r="G140" s="1186">
        <v>4</v>
      </c>
      <c r="H140" s="1186">
        <v>1076943</v>
      </c>
    </row>
    <row r="141" spans="1:8" x14ac:dyDescent="0.2">
      <c r="A141" s="1186" t="s">
        <v>341</v>
      </c>
      <c r="B141" s="1186" t="s">
        <v>133</v>
      </c>
      <c r="C141" s="1186">
        <v>4</v>
      </c>
      <c r="D141" s="1186" t="s">
        <v>851</v>
      </c>
      <c r="E141" s="1186">
        <v>12</v>
      </c>
      <c r="F141" s="1186">
        <v>2014</v>
      </c>
      <c r="G141" s="1186">
        <v>4</v>
      </c>
      <c r="H141" s="1186">
        <v>1076943</v>
      </c>
    </row>
    <row r="142" spans="1:8" x14ac:dyDescent="0.2">
      <c r="A142" s="1186" t="s">
        <v>341</v>
      </c>
      <c r="B142" s="1186" t="s">
        <v>133</v>
      </c>
      <c r="C142" s="1186">
        <v>4</v>
      </c>
      <c r="D142" s="1186" t="s">
        <v>852</v>
      </c>
      <c r="E142" s="1186">
        <v>5</v>
      </c>
      <c r="F142" s="1186">
        <v>2014</v>
      </c>
      <c r="G142" s="1186">
        <v>4</v>
      </c>
      <c r="H142" s="1186">
        <v>1076943</v>
      </c>
    </row>
    <row r="143" spans="1:8" x14ac:dyDescent="0.2">
      <c r="A143" s="1186" t="s">
        <v>343</v>
      </c>
      <c r="B143" s="1186" t="s">
        <v>133</v>
      </c>
      <c r="C143" s="1186">
        <v>4</v>
      </c>
      <c r="D143" s="1186" t="s">
        <v>850</v>
      </c>
      <c r="E143" s="1186">
        <v>19</v>
      </c>
      <c r="F143" s="1186">
        <v>2014</v>
      </c>
      <c r="G143" s="1186">
        <v>4</v>
      </c>
      <c r="H143" s="1186">
        <v>1076943</v>
      </c>
    </row>
    <row r="144" spans="1:8" x14ac:dyDescent="0.2">
      <c r="A144" s="1186" t="s">
        <v>343</v>
      </c>
      <c r="B144" s="1186" t="s">
        <v>133</v>
      </c>
      <c r="C144" s="1186">
        <v>4</v>
      </c>
      <c r="D144" s="1186" t="s">
        <v>828</v>
      </c>
      <c r="E144" s="1186">
        <v>100</v>
      </c>
      <c r="F144" s="1186">
        <v>2014</v>
      </c>
      <c r="G144" s="1186">
        <v>4</v>
      </c>
      <c r="H144" s="1186">
        <v>1076943</v>
      </c>
    </row>
    <row r="145" spans="1:8" x14ac:dyDescent="0.2">
      <c r="A145" s="1186" t="s">
        <v>343</v>
      </c>
      <c r="B145" s="1186" t="s">
        <v>133</v>
      </c>
      <c r="C145" s="1186">
        <v>5</v>
      </c>
      <c r="D145" s="1186" t="s">
        <v>851</v>
      </c>
      <c r="E145" s="1186">
        <v>2</v>
      </c>
      <c r="F145" s="1186">
        <v>2014</v>
      </c>
      <c r="G145" s="1186">
        <v>5</v>
      </c>
      <c r="H145" s="1186">
        <v>1102764</v>
      </c>
    </row>
    <row r="146" spans="1:8" x14ac:dyDescent="0.2">
      <c r="A146" s="1186" t="s">
        <v>341</v>
      </c>
      <c r="B146" s="1186" t="s">
        <v>133</v>
      </c>
      <c r="C146" s="1186">
        <v>5</v>
      </c>
      <c r="D146" s="1186" t="s">
        <v>828</v>
      </c>
      <c r="E146" s="1186">
        <v>44</v>
      </c>
      <c r="F146" s="1186">
        <v>2014</v>
      </c>
      <c r="G146" s="1186">
        <v>5</v>
      </c>
      <c r="H146" s="1186">
        <v>1102764</v>
      </c>
    </row>
    <row r="147" spans="1:8" x14ac:dyDescent="0.2">
      <c r="A147" s="1186" t="s">
        <v>341</v>
      </c>
      <c r="B147" s="1186" t="s">
        <v>133</v>
      </c>
      <c r="C147" s="1186">
        <v>5</v>
      </c>
      <c r="D147" s="1186" t="s">
        <v>850</v>
      </c>
      <c r="E147" s="1186">
        <v>9</v>
      </c>
      <c r="F147" s="1186">
        <v>2014</v>
      </c>
      <c r="G147" s="1186">
        <v>5</v>
      </c>
      <c r="H147" s="1186">
        <v>1102764</v>
      </c>
    </row>
    <row r="148" spans="1:8" x14ac:dyDescent="0.2">
      <c r="A148" s="1186" t="s">
        <v>341</v>
      </c>
      <c r="B148" s="1186" t="s">
        <v>133</v>
      </c>
      <c r="C148" s="1186">
        <v>5</v>
      </c>
      <c r="D148" s="1186" t="s">
        <v>851</v>
      </c>
      <c r="E148" s="1186">
        <v>1</v>
      </c>
      <c r="F148" s="1186">
        <v>2014</v>
      </c>
      <c r="G148" s="1186">
        <v>5</v>
      </c>
      <c r="H148" s="1186">
        <v>1102764</v>
      </c>
    </row>
    <row r="149" spans="1:8" x14ac:dyDescent="0.2">
      <c r="A149" s="1186" t="s">
        <v>341</v>
      </c>
      <c r="B149" s="1186" t="s">
        <v>133</v>
      </c>
      <c r="C149" s="1186">
        <v>5</v>
      </c>
      <c r="D149" s="1186" t="s">
        <v>852</v>
      </c>
      <c r="E149" s="1186">
        <v>2</v>
      </c>
      <c r="F149" s="1186">
        <v>2014</v>
      </c>
      <c r="G149" s="1186">
        <v>5</v>
      </c>
      <c r="H149" s="1186">
        <v>1102764</v>
      </c>
    </row>
    <row r="150" spans="1:8" x14ac:dyDescent="0.2">
      <c r="A150" s="1186" t="s">
        <v>343</v>
      </c>
      <c r="B150" s="1186" t="s">
        <v>133</v>
      </c>
      <c r="C150" s="1186">
        <v>5</v>
      </c>
      <c r="D150" s="1186" t="s">
        <v>852</v>
      </c>
      <c r="E150" s="1186">
        <v>2</v>
      </c>
      <c r="F150" s="1186">
        <v>2014</v>
      </c>
      <c r="G150" s="1186">
        <v>5</v>
      </c>
      <c r="H150" s="1186">
        <v>1102764</v>
      </c>
    </row>
    <row r="151" spans="1:8" x14ac:dyDescent="0.2">
      <c r="A151" s="1186" t="s">
        <v>342</v>
      </c>
      <c r="B151" s="1186" t="s">
        <v>133</v>
      </c>
      <c r="C151" s="1186">
        <v>5</v>
      </c>
      <c r="D151" s="1186" t="s">
        <v>828</v>
      </c>
      <c r="E151" s="1186">
        <v>3</v>
      </c>
      <c r="F151" s="1186">
        <v>2014</v>
      </c>
      <c r="G151" s="1186">
        <v>5</v>
      </c>
      <c r="H151" s="1186">
        <v>1102764</v>
      </c>
    </row>
    <row r="152" spans="1:8" x14ac:dyDescent="0.2">
      <c r="A152" s="1186" t="s">
        <v>343</v>
      </c>
      <c r="B152" s="1186" t="s">
        <v>133</v>
      </c>
      <c r="C152" s="1186">
        <v>5</v>
      </c>
      <c r="D152" s="1186" t="s">
        <v>850</v>
      </c>
      <c r="E152" s="1186">
        <v>11</v>
      </c>
      <c r="F152" s="1186">
        <v>2014</v>
      </c>
      <c r="G152" s="1186">
        <v>5</v>
      </c>
      <c r="H152" s="1186">
        <v>1102764</v>
      </c>
    </row>
    <row r="153" spans="1:8" x14ac:dyDescent="0.2">
      <c r="A153" s="1186" t="s">
        <v>343</v>
      </c>
      <c r="B153" s="1186" t="s">
        <v>133</v>
      </c>
      <c r="C153" s="1186">
        <v>5</v>
      </c>
      <c r="D153" s="1186" t="s">
        <v>828</v>
      </c>
      <c r="E153" s="1186">
        <v>59</v>
      </c>
      <c r="F153" s="1186">
        <v>2014</v>
      </c>
      <c r="G153" s="1186">
        <v>5</v>
      </c>
      <c r="H153" s="1186">
        <v>1102764</v>
      </c>
    </row>
    <row r="154" spans="1:8" x14ac:dyDescent="0.2">
      <c r="A154" s="1186" t="s">
        <v>341</v>
      </c>
      <c r="B154" s="1186" t="s">
        <v>144</v>
      </c>
      <c r="C154" s="1186"/>
      <c r="D154" s="1186" t="s">
        <v>852</v>
      </c>
      <c r="E154" s="1186">
        <v>2</v>
      </c>
      <c r="F154" s="1186"/>
      <c r="G154" s="1186"/>
      <c r="H154" s="1186"/>
    </row>
    <row r="155" spans="1:8" x14ac:dyDescent="0.2">
      <c r="A155" s="1186" t="s">
        <v>343</v>
      </c>
      <c r="B155" s="1186" t="s">
        <v>144</v>
      </c>
      <c r="C155" s="1186"/>
      <c r="D155" s="1186" t="s">
        <v>852</v>
      </c>
      <c r="E155" s="1186">
        <v>4</v>
      </c>
      <c r="F155" s="1186"/>
      <c r="G155" s="1186"/>
      <c r="H155" s="1186"/>
    </row>
    <row r="156" spans="1:8" x14ac:dyDescent="0.2">
      <c r="A156" s="1186" t="s">
        <v>342</v>
      </c>
      <c r="B156" s="1186" t="s">
        <v>144</v>
      </c>
      <c r="C156" s="1186">
        <v>1</v>
      </c>
      <c r="D156" s="1186" t="s">
        <v>828</v>
      </c>
      <c r="E156" s="1186">
        <v>15</v>
      </c>
      <c r="F156" s="1186">
        <v>2015</v>
      </c>
      <c r="G156" s="1186">
        <v>1</v>
      </c>
      <c r="H156" s="1186">
        <v>1054168</v>
      </c>
    </row>
    <row r="157" spans="1:8" x14ac:dyDescent="0.2">
      <c r="A157" s="1186" t="s">
        <v>343</v>
      </c>
      <c r="B157" s="1186" t="s">
        <v>144</v>
      </c>
      <c r="C157" s="1186">
        <v>1</v>
      </c>
      <c r="D157" s="1186" t="s">
        <v>852</v>
      </c>
      <c r="E157" s="1186">
        <v>1</v>
      </c>
      <c r="F157" s="1186">
        <v>2015</v>
      </c>
      <c r="G157" s="1186">
        <v>1</v>
      </c>
      <c r="H157" s="1186">
        <v>1054168</v>
      </c>
    </row>
    <row r="158" spans="1:8" x14ac:dyDescent="0.2">
      <c r="A158" s="1186" t="s">
        <v>343</v>
      </c>
      <c r="B158" s="1186" t="s">
        <v>144</v>
      </c>
      <c r="C158" s="1186">
        <v>1</v>
      </c>
      <c r="D158" s="1186" t="s">
        <v>850</v>
      </c>
      <c r="E158" s="1186">
        <v>29</v>
      </c>
      <c r="F158" s="1186">
        <v>2015</v>
      </c>
      <c r="G158" s="1186">
        <v>1</v>
      </c>
      <c r="H158" s="1186">
        <v>1054168</v>
      </c>
    </row>
    <row r="159" spans="1:8" x14ac:dyDescent="0.2">
      <c r="A159" s="1186" t="s">
        <v>341</v>
      </c>
      <c r="B159" s="1186" t="s">
        <v>144</v>
      </c>
      <c r="C159" s="1186">
        <v>1</v>
      </c>
      <c r="D159" s="1186" t="s">
        <v>851</v>
      </c>
      <c r="E159" s="1186">
        <v>3</v>
      </c>
      <c r="F159" s="1186">
        <v>2015</v>
      </c>
      <c r="G159" s="1186">
        <v>1</v>
      </c>
      <c r="H159" s="1186">
        <v>1054168</v>
      </c>
    </row>
    <row r="160" spans="1:8" x14ac:dyDescent="0.2">
      <c r="A160" s="1186" t="s">
        <v>343</v>
      </c>
      <c r="B160" s="1186" t="s">
        <v>144</v>
      </c>
      <c r="C160" s="1186">
        <v>1</v>
      </c>
      <c r="D160" s="1186" t="s">
        <v>851</v>
      </c>
      <c r="E160" s="1186">
        <v>4</v>
      </c>
      <c r="F160" s="1186">
        <v>2015</v>
      </c>
      <c r="G160" s="1186">
        <v>1</v>
      </c>
      <c r="H160" s="1186">
        <v>1054168</v>
      </c>
    </row>
    <row r="161" spans="1:8" x14ac:dyDescent="0.2">
      <c r="A161" s="1186" t="s">
        <v>341</v>
      </c>
      <c r="B161" s="1186" t="s">
        <v>144</v>
      </c>
      <c r="C161" s="1186">
        <v>1</v>
      </c>
      <c r="D161" s="1186" t="s">
        <v>852</v>
      </c>
      <c r="E161" s="1186">
        <v>1</v>
      </c>
      <c r="F161" s="1186">
        <v>2015</v>
      </c>
      <c r="G161" s="1186">
        <v>1</v>
      </c>
      <c r="H161" s="1186">
        <v>1054168</v>
      </c>
    </row>
    <row r="162" spans="1:8" x14ac:dyDescent="0.2">
      <c r="A162" s="1186" t="s">
        <v>341</v>
      </c>
      <c r="B162" s="1186" t="s">
        <v>144</v>
      </c>
      <c r="C162" s="1186">
        <v>1</v>
      </c>
      <c r="D162" s="1186" t="s">
        <v>850</v>
      </c>
      <c r="E162" s="1186">
        <v>27</v>
      </c>
      <c r="F162" s="1186">
        <v>2015</v>
      </c>
      <c r="G162" s="1186">
        <v>1</v>
      </c>
      <c r="H162" s="1186">
        <v>1054168</v>
      </c>
    </row>
    <row r="163" spans="1:8" x14ac:dyDescent="0.2">
      <c r="A163" s="1186" t="s">
        <v>341</v>
      </c>
      <c r="B163" s="1186" t="s">
        <v>144</v>
      </c>
      <c r="C163" s="1186">
        <v>1</v>
      </c>
      <c r="D163" s="1186" t="s">
        <v>828</v>
      </c>
      <c r="E163" s="1186">
        <v>381</v>
      </c>
      <c r="F163" s="1186">
        <v>2015</v>
      </c>
      <c r="G163" s="1186">
        <v>1</v>
      </c>
      <c r="H163" s="1186">
        <v>1054168</v>
      </c>
    </row>
    <row r="164" spans="1:8" x14ac:dyDescent="0.2">
      <c r="A164" s="1186" t="s">
        <v>343</v>
      </c>
      <c r="B164" s="1186" t="s">
        <v>144</v>
      </c>
      <c r="C164" s="1186">
        <v>1</v>
      </c>
      <c r="D164" s="1186" t="s">
        <v>828</v>
      </c>
      <c r="E164" s="1186">
        <v>497</v>
      </c>
      <c r="F164" s="1186">
        <v>2015</v>
      </c>
      <c r="G164" s="1186">
        <v>1</v>
      </c>
      <c r="H164" s="1186">
        <v>1054168</v>
      </c>
    </row>
    <row r="165" spans="1:8" x14ac:dyDescent="0.2">
      <c r="A165" s="1186" t="s">
        <v>343</v>
      </c>
      <c r="B165" s="1186" t="s">
        <v>144</v>
      </c>
      <c r="C165" s="1186">
        <v>2</v>
      </c>
      <c r="D165" s="1186" t="s">
        <v>852</v>
      </c>
      <c r="E165" s="1186">
        <v>13</v>
      </c>
      <c r="F165" s="1186">
        <v>2015</v>
      </c>
      <c r="G165" s="1186">
        <v>2</v>
      </c>
      <c r="H165" s="1186">
        <v>1055402</v>
      </c>
    </row>
    <row r="166" spans="1:8" x14ac:dyDescent="0.2">
      <c r="A166" s="1186" t="s">
        <v>341</v>
      </c>
      <c r="B166" s="1186" t="s">
        <v>144</v>
      </c>
      <c r="C166" s="1186">
        <v>2</v>
      </c>
      <c r="D166" s="1186" t="s">
        <v>852</v>
      </c>
      <c r="E166" s="1186">
        <v>11</v>
      </c>
      <c r="F166" s="1186">
        <v>2015</v>
      </c>
      <c r="G166" s="1186">
        <v>2</v>
      </c>
      <c r="H166" s="1186">
        <v>1055402</v>
      </c>
    </row>
    <row r="167" spans="1:8" x14ac:dyDescent="0.2">
      <c r="A167" s="1186" t="s">
        <v>343</v>
      </c>
      <c r="B167" s="1186" t="s">
        <v>144</v>
      </c>
      <c r="C167" s="1186">
        <v>2</v>
      </c>
      <c r="D167" s="1186" t="s">
        <v>828</v>
      </c>
      <c r="E167" s="1186">
        <v>263</v>
      </c>
      <c r="F167" s="1186">
        <v>2015</v>
      </c>
      <c r="G167" s="1186">
        <v>2</v>
      </c>
      <c r="H167" s="1186">
        <v>1055402</v>
      </c>
    </row>
    <row r="168" spans="1:8" x14ac:dyDescent="0.2">
      <c r="A168" s="1186" t="s">
        <v>341</v>
      </c>
      <c r="B168" s="1186" t="s">
        <v>144</v>
      </c>
      <c r="C168" s="1186">
        <v>2</v>
      </c>
      <c r="D168" s="1186" t="s">
        <v>851</v>
      </c>
      <c r="E168" s="1186">
        <v>5</v>
      </c>
      <c r="F168" s="1186">
        <v>2015</v>
      </c>
      <c r="G168" s="1186">
        <v>2</v>
      </c>
      <c r="H168" s="1186">
        <v>1055402</v>
      </c>
    </row>
    <row r="169" spans="1:8" x14ac:dyDescent="0.2">
      <c r="A169" s="1186" t="s">
        <v>341</v>
      </c>
      <c r="B169" s="1186" t="s">
        <v>144</v>
      </c>
      <c r="C169" s="1186">
        <v>2</v>
      </c>
      <c r="D169" s="1186" t="s">
        <v>828</v>
      </c>
      <c r="E169" s="1186">
        <v>202</v>
      </c>
      <c r="F169" s="1186">
        <v>2015</v>
      </c>
      <c r="G169" s="1186">
        <v>2</v>
      </c>
      <c r="H169" s="1186">
        <v>1055402</v>
      </c>
    </row>
    <row r="170" spans="1:8" x14ac:dyDescent="0.2">
      <c r="A170" s="1186" t="s">
        <v>342</v>
      </c>
      <c r="B170" s="1186" t="s">
        <v>144</v>
      </c>
      <c r="C170" s="1186">
        <v>2</v>
      </c>
      <c r="D170" s="1186" t="s">
        <v>828</v>
      </c>
      <c r="E170" s="1186">
        <v>9</v>
      </c>
      <c r="F170" s="1186">
        <v>2015</v>
      </c>
      <c r="G170" s="1186">
        <v>2</v>
      </c>
      <c r="H170" s="1186">
        <v>1055402</v>
      </c>
    </row>
    <row r="171" spans="1:8" x14ac:dyDescent="0.2">
      <c r="A171" s="1186" t="s">
        <v>343</v>
      </c>
      <c r="B171" s="1186" t="s">
        <v>144</v>
      </c>
      <c r="C171" s="1186">
        <v>2</v>
      </c>
      <c r="D171" s="1186" t="s">
        <v>851</v>
      </c>
      <c r="E171" s="1186">
        <v>5</v>
      </c>
      <c r="F171" s="1186">
        <v>2015</v>
      </c>
      <c r="G171" s="1186">
        <v>2</v>
      </c>
      <c r="H171" s="1186">
        <v>1055402</v>
      </c>
    </row>
    <row r="172" spans="1:8" x14ac:dyDescent="0.2">
      <c r="A172" s="1186" t="s">
        <v>343</v>
      </c>
      <c r="B172" s="1186" t="s">
        <v>144</v>
      </c>
      <c r="C172" s="1186">
        <v>2</v>
      </c>
      <c r="D172" s="1186" t="s">
        <v>850</v>
      </c>
      <c r="E172" s="1186">
        <v>26</v>
      </c>
      <c r="F172" s="1186">
        <v>2015</v>
      </c>
      <c r="G172" s="1186">
        <v>2</v>
      </c>
      <c r="H172" s="1186">
        <v>1055402</v>
      </c>
    </row>
    <row r="173" spans="1:8" x14ac:dyDescent="0.2">
      <c r="A173" s="1186" t="s">
        <v>341</v>
      </c>
      <c r="B173" s="1186" t="s">
        <v>144</v>
      </c>
      <c r="C173" s="1186">
        <v>2</v>
      </c>
      <c r="D173" s="1186" t="s">
        <v>850</v>
      </c>
      <c r="E173" s="1186">
        <v>20</v>
      </c>
      <c r="F173" s="1186">
        <v>2015</v>
      </c>
      <c r="G173" s="1186">
        <v>2</v>
      </c>
      <c r="H173" s="1186">
        <v>1055402</v>
      </c>
    </row>
    <row r="174" spans="1:8" x14ac:dyDescent="0.2">
      <c r="A174" s="1186" t="s">
        <v>341</v>
      </c>
      <c r="B174" s="1186" t="s">
        <v>144</v>
      </c>
      <c r="C174" s="1186">
        <v>3</v>
      </c>
      <c r="D174" s="1186" t="s">
        <v>850</v>
      </c>
      <c r="E174" s="1186">
        <v>27</v>
      </c>
      <c r="F174" s="1186">
        <v>2015</v>
      </c>
      <c r="G174" s="1186">
        <v>3</v>
      </c>
      <c r="H174" s="1186">
        <v>1065989</v>
      </c>
    </row>
    <row r="175" spans="1:8" x14ac:dyDescent="0.2">
      <c r="A175" s="1186" t="s">
        <v>342</v>
      </c>
      <c r="B175" s="1186" t="s">
        <v>144</v>
      </c>
      <c r="C175" s="1186">
        <v>3</v>
      </c>
      <c r="D175" s="1186" t="s">
        <v>851</v>
      </c>
      <c r="E175" s="1186">
        <v>3</v>
      </c>
      <c r="F175" s="1186">
        <v>2015</v>
      </c>
      <c r="G175" s="1186">
        <v>3</v>
      </c>
      <c r="H175" s="1186">
        <v>1065989</v>
      </c>
    </row>
    <row r="176" spans="1:8" x14ac:dyDescent="0.2">
      <c r="A176" s="1186" t="s">
        <v>341</v>
      </c>
      <c r="B176" s="1186" t="s">
        <v>144</v>
      </c>
      <c r="C176" s="1186">
        <v>3</v>
      </c>
      <c r="D176" s="1186" t="s">
        <v>828</v>
      </c>
      <c r="E176" s="1186">
        <v>121</v>
      </c>
      <c r="F176" s="1186">
        <v>2015</v>
      </c>
      <c r="G176" s="1186">
        <v>3</v>
      </c>
      <c r="H176" s="1186">
        <v>1065989</v>
      </c>
    </row>
    <row r="177" spans="1:8" x14ac:dyDescent="0.2">
      <c r="A177" s="1186" t="s">
        <v>343</v>
      </c>
      <c r="B177" s="1186" t="s">
        <v>144</v>
      </c>
      <c r="C177" s="1186">
        <v>3</v>
      </c>
      <c r="D177" s="1186" t="s">
        <v>852</v>
      </c>
      <c r="E177" s="1186">
        <v>5</v>
      </c>
      <c r="F177" s="1186">
        <v>2015</v>
      </c>
      <c r="G177" s="1186">
        <v>3</v>
      </c>
      <c r="H177" s="1186">
        <v>1065989</v>
      </c>
    </row>
    <row r="178" spans="1:8" x14ac:dyDescent="0.2">
      <c r="A178" s="1186" t="s">
        <v>343</v>
      </c>
      <c r="B178" s="1186" t="s">
        <v>144</v>
      </c>
      <c r="C178" s="1186">
        <v>3</v>
      </c>
      <c r="D178" s="1186" t="s">
        <v>851</v>
      </c>
      <c r="E178" s="1186">
        <v>26</v>
      </c>
      <c r="F178" s="1186">
        <v>2015</v>
      </c>
      <c r="G178" s="1186">
        <v>3</v>
      </c>
      <c r="H178" s="1186">
        <v>1065989</v>
      </c>
    </row>
    <row r="179" spans="1:8" x14ac:dyDescent="0.2">
      <c r="A179" s="1186" t="s">
        <v>343</v>
      </c>
      <c r="B179" s="1186" t="s">
        <v>144</v>
      </c>
      <c r="C179" s="1186">
        <v>3</v>
      </c>
      <c r="D179" s="1186" t="s">
        <v>850</v>
      </c>
      <c r="E179" s="1186">
        <v>29</v>
      </c>
      <c r="F179" s="1186">
        <v>2015</v>
      </c>
      <c r="G179" s="1186">
        <v>3</v>
      </c>
      <c r="H179" s="1186">
        <v>1065989</v>
      </c>
    </row>
    <row r="180" spans="1:8" x14ac:dyDescent="0.2">
      <c r="A180" s="1186" t="s">
        <v>343</v>
      </c>
      <c r="B180" s="1186" t="s">
        <v>144</v>
      </c>
      <c r="C180" s="1186">
        <v>3</v>
      </c>
      <c r="D180" s="1186" t="s">
        <v>828</v>
      </c>
      <c r="E180" s="1186">
        <v>148</v>
      </c>
      <c r="F180" s="1186">
        <v>2015</v>
      </c>
      <c r="G180" s="1186">
        <v>3</v>
      </c>
      <c r="H180" s="1186">
        <v>1065989</v>
      </c>
    </row>
    <row r="181" spans="1:8" x14ac:dyDescent="0.2">
      <c r="A181" s="1186" t="s">
        <v>341</v>
      </c>
      <c r="B181" s="1186" t="s">
        <v>144</v>
      </c>
      <c r="C181" s="1186">
        <v>3</v>
      </c>
      <c r="D181" s="1186" t="s">
        <v>852</v>
      </c>
      <c r="E181" s="1186">
        <v>5</v>
      </c>
      <c r="F181" s="1186">
        <v>2015</v>
      </c>
      <c r="G181" s="1186">
        <v>3</v>
      </c>
      <c r="H181" s="1186">
        <v>1065989</v>
      </c>
    </row>
    <row r="182" spans="1:8" x14ac:dyDescent="0.2">
      <c r="A182" s="1186" t="s">
        <v>341</v>
      </c>
      <c r="B182" s="1186" t="s">
        <v>144</v>
      </c>
      <c r="C182" s="1186">
        <v>3</v>
      </c>
      <c r="D182" s="1186" t="s">
        <v>851</v>
      </c>
      <c r="E182" s="1186">
        <v>25</v>
      </c>
      <c r="F182" s="1186">
        <v>2015</v>
      </c>
      <c r="G182" s="1186">
        <v>3</v>
      </c>
      <c r="H182" s="1186">
        <v>1065989</v>
      </c>
    </row>
    <row r="183" spans="1:8" x14ac:dyDescent="0.2">
      <c r="A183" s="1186" t="s">
        <v>342</v>
      </c>
      <c r="B183" s="1186" t="s">
        <v>144</v>
      </c>
      <c r="C183" s="1186">
        <v>3</v>
      </c>
      <c r="D183" s="1186" t="s">
        <v>828</v>
      </c>
      <c r="E183" s="1186">
        <v>6</v>
      </c>
      <c r="F183" s="1186">
        <v>2015</v>
      </c>
      <c r="G183" s="1186">
        <v>3</v>
      </c>
      <c r="H183" s="1186">
        <v>1065989</v>
      </c>
    </row>
    <row r="184" spans="1:8" x14ac:dyDescent="0.2">
      <c r="A184" s="1186" t="s">
        <v>341</v>
      </c>
      <c r="B184" s="1186" t="s">
        <v>144</v>
      </c>
      <c r="C184" s="1186">
        <v>4</v>
      </c>
      <c r="D184" s="1186" t="s">
        <v>851</v>
      </c>
      <c r="E184" s="1186">
        <v>21</v>
      </c>
      <c r="F184" s="1186">
        <v>2015</v>
      </c>
      <c r="G184" s="1186">
        <v>4</v>
      </c>
      <c r="H184" s="1186">
        <v>1087470</v>
      </c>
    </row>
    <row r="185" spans="1:8" x14ac:dyDescent="0.2">
      <c r="A185" s="1186" t="s">
        <v>342</v>
      </c>
      <c r="B185" s="1186" t="s">
        <v>144</v>
      </c>
      <c r="C185" s="1186">
        <v>4</v>
      </c>
      <c r="D185" s="1186" t="s">
        <v>850</v>
      </c>
      <c r="E185" s="1186">
        <v>2</v>
      </c>
      <c r="F185" s="1186">
        <v>2015</v>
      </c>
      <c r="G185" s="1186">
        <v>4</v>
      </c>
      <c r="H185" s="1186">
        <v>1087470</v>
      </c>
    </row>
    <row r="186" spans="1:8" x14ac:dyDescent="0.2">
      <c r="A186" s="1186" t="s">
        <v>341</v>
      </c>
      <c r="B186" s="1186" t="s">
        <v>144</v>
      </c>
      <c r="C186" s="1186">
        <v>4</v>
      </c>
      <c r="D186" s="1186" t="s">
        <v>850</v>
      </c>
      <c r="E186" s="1186">
        <v>17</v>
      </c>
      <c r="F186" s="1186">
        <v>2015</v>
      </c>
      <c r="G186" s="1186">
        <v>4</v>
      </c>
      <c r="H186" s="1186">
        <v>1087470</v>
      </c>
    </row>
    <row r="187" spans="1:8" x14ac:dyDescent="0.2">
      <c r="A187" s="1186" t="s">
        <v>341</v>
      </c>
      <c r="B187" s="1186" t="s">
        <v>144</v>
      </c>
      <c r="C187" s="1186">
        <v>4</v>
      </c>
      <c r="D187" s="1186" t="s">
        <v>828</v>
      </c>
      <c r="E187" s="1186">
        <v>75</v>
      </c>
      <c r="F187" s="1186">
        <v>2015</v>
      </c>
      <c r="G187" s="1186">
        <v>4</v>
      </c>
      <c r="H187" s="1186">
        <v>1087470</v>
      </c>
    </row>
    <row r="188" spans="1:8" x14ac:dyDescent="0.2">
      <c r="A188" s="1186" t="s">
        <v>341</v>
      </c>
      <c r="B188" s="1186" t="s">
        <v>144</v>
      </c>
      <c r="C188" s="1186">
        <v>4</v>
      </c>
      <c r="D188" s="1186" t="s">
        <v>852</v>
      </c>
      <c r="E188" s="1186">
        <v>6</v>
      </c>
      <c r="F188" s="1186">
        <v>2015</v>
      </c>
      <c r="G188" s="1186">
        <v>4</v>
      </c>
      <c r="H188" s="1186">
        <v>1087470</v>
      </c>
    </row>
    <row r="189" spans="1:8" x14ac:dyDescent="0.2">
      <c r="A189" s="1186" t="s">
        <v>343</v>
      </c>
      <c r="B189" s="1186" t="s">
        <v>144</v>
      </c>
      <c r="C189" s="1186">
        <v>4</v>
      </c>
      <c r="D189" s="1186" t="s">
        <v>828</v>
      </c>
      <c r="E189" s="1186">
        <v>98</v>
      </c>
      <c r="F189" s="1186">
        <v>2015</v>
      </c>
      <c r="G189" s="1186">
        <v>4</v>
      </c>
      <c r="H189" s="1186">
        <v>1087470</v>
      </c>
    </row>
    <row r="190" spans="1:8" x14ac:dyDescent="0.2">
      <c r="A190" s="1186" t="s">
        <v>343</v>
      </c>
      <c r="B190" s="1186" t="s">
        <v>144</v>
      </c>
      <c r="C190" s="1186">
        <v>4</v>
      </c>
      <c r="D190" s="1186" t="s">
        <v>850</v>
      </c>
      <c r="E190" s="1186">
        <v>20</v>
      </c>
      <c r="F190" s="1186">
        <v>2015</v>
      </c>
      <c r="G190" s="1186">
        <v>4</v>
      </c>
      <c r="H190" s="1186">
        <v>1087470</v>
      </c>
    </row>
    <row r="191" spans="1:8" x14ac:dyDescent="0.2">
      <c r="A191" s="1186" t="s">
        <v>343</v>
      </c>
      <c r="B191" s="1186" t="s">
        <v>144</v>
      </c>
      <c r="C191" s="1186">
        <v>4</v>
      </c>
      <c r="D191" s="1186" t="s">
        <v>851</v>
      </c>
      <c r="E191" s="1186">
        <v>22</v>
      </c>
      <c r="F191" s="1186">
        <v>2015</v>
      </c>
      <c r="G191" s="1186">
        <v>4</v>
      </c>
      <c r="H191" s="1186">
        <v>1087470</v>
      </c>
    </row>
    <row r="192" spans="1:8" x14ac:dyDescent="0.2">
      <c r="A192" s="1186" t="s">
        <v>343</v>
      </c>
      <c r="B192" s="1186" t="s">
        <v>144</v>
      </c>
      <c r="C192" s="1186">
        <v>4</v>
      </c>
      <c r="D192" s="1186" t="s">
        <v>852</v>
      </c>
      <c r="E192" s="1186">
        <v>8</v>
      </c>
      <c r="F192" s="1186">
        <v>2015</v>
      </c>
      <c r="G192" s="1186">
        <v>4</v>
      </c>
      <c r="H192" s="1186">
        <v>1087470</v>
      </c>
    </row>
    <row r="193" spans="1:8" x14ac:dyDescent="0.2">
      <c r="A193" s="1186" t="s">
        <v>342</v>
      </c>
      <c r="B193" s="1186" t="s">
        <v>144</v>
      </c>
      <c r="C193" s="1186">
        <v>4</v>
      </c>
      <c r="D193" s="1186" t="s">
        <v>828</v>
      </c>
      <c r="E193" s="1186">
        <v>7</v>
      </c>
      <c r="F193" s="1186">
        <v>2015</v>
      </c>
      <c r="G193" s="1186">
        <v>4</v>
      </c>
      <c r="H193" s="1186">
        <v>1087470</v>
      </c>
    </row>
    <row r="194" spans="1:8" x14ac:dyDescent="0.2">
      <c r="A194" s="1186" t="s">
        <v>341</v>
      </c>
      <c r="B194" s="1186" t="s">
        <v>144</v>
      </c>
      <c r="C194" s="1186">
        <v>5</v>
      </c>
      <c r="D194" s="1186" t="s">
        <v>828</v>
      </c>
      <c r="E194" s="1186">
        <v>50</v>
      </c>
      <c r="F194" s="1186">
        <v>2015</v>
      </c>
      <c r="G194" s="1186">
        <v>5</v>
      </c>
      <c r="H194" s="1186">
        <v>1109971</v>
      </c>
    </row>
    <row r="195" spans="1:8" x14ac:dyDescent="0.2">
      <c r="A195" s="1186" t="s">
        <v>341</v>
      </c>
      <c r="B195" s="1186" t="s">
        <v>144</v>
      </c>
      <c r="C195" s="1186">
        <v>5</v>
      </c>
      <c r="D195" s="1186" t="s">
        <v>851</v>
      </c>
      <c r="E195" s="1186">
        <v>2</v>
      </c>
      <c r="F195" s="1186">
        <v>2015</v>
      </c>
      <c r="G195" s="1186">
        <v>5</v>
      </c>
      <c r="H195" s="1186">
        <v>1109971</v>
      </c>
    </row>
    <row r="196" spans="1:8" x14ac:dyDescent="0.2">
      <c r="A196" s="1186" t="s">
        <v>342</v>
      </c>
      <c r="B196" s="1186" t="s">
        <v>144</v>
      </c>
      <c r="C196" s="1186">
        <v>5</v>
      </c>
      <c r="D196" s="1186" t="s">
        <v>828</v>
      </c>
      <c r="E196" s="1186">
        <v>2</v>
      </c>
      <c r="F196" s="1186">
        <v>2015</v>
      </c>
      <c r="G196" s="1186">
        <v>5</v>
      </c>
      <c r="H196" s="1186">
        <v>1109971</v>
      </c>
    </row>
    <row r="197" spans="1:8" x14ac:dyDescent="0.2">
      <c r="A197" s="1186" t="s">
        <v>341</v>
      </c>
      <c r="B197" s="1186" t="s">
        <v>144</v>
      </c>
      <c r="C197" s="1186">
        <v>5</v>
      </c>
      <c r="D197" s="1186" t="s">
        <v>850</v>
      </c>
      <c r="E197" s="1186">
        <v>12</v>
      </c>
      <c r="F197" s="1186">
        <v>2015</v>
      </c>
      <c r="G197" s="1186">
        <v>5</v>
      </c>
      <c r="H197" s="1186">
        <v>1109971</v>
      </c>
    </row>
    <row r="198" spans="1:8" x14ac:dyDescent="0.2">
      <c r="A198" s="1186" t="s">
        <v>343</v>
      </c>
      <c r="B198" s="1186" t="s">
        <v>144</v>
      </c>
      <c r="C198" s="1186">
        <v>5</v>
      </c>
      <c r="D198" s="1186" t="s">
        <v>828</v>
      </c>
      <c r="E198" s="1186">
        <v>57</v>
      </c>
      <c r="F198" s="1186">
        <v>2015</v>
      </c>
      <c r="G198" s="1186">
        <v>5</v>
      </c>
      <c r="H198" s="1186">
        <v>1109971</v>
      </c>
    </row>
    <row r="199" spans="1:8" x14ac:dyDescent="0.2">
      <c r="A199" s="1186" t="s">
        <v>343</v>
      </c>
      <c r="B199" s="1186" t="s">
        <v>144</v>
      </c>
      <c r="C199" s="1186">
        <v>5</v>
      </c>
      <c r="D199" s="1186" t="s">
        <v>850</v>
      </c>
      <c r="E199" s="1186">
        <v>13</v>
      </c>
      <c r="F199" s="1186">
        <v>2015</v>
      </c>
      <c r="G199" s="1186">
        <v>5</v>
      </c>
      <c r="H199" s="1186">
        <v>1109971</v>
      </c>
    </row>
    <row r="200" spans="1:8" x14ac:dyDescent="0.2">
      <c r="A200" s="1186" t="s">
        <v>341</v>
      </c>
      <c r="B200" s="1186" t="s">
        <v>144</v>
      </c>
      <c r="C200" s="1186">
        <v>5</v>
      </c>
      <c r="D200" s="1186" t="s">
        <v>852</v>
      </c>
      <c r="E200" s="1186">
        <v>4</v>
      </c>
      <c r="F200" s="1186">
        <v>2015</v>
      </c>
      <c r="G200" s="1186">
        <v>5</v>
      </c>
      <c r="H200" s="1186">
        <v>1109971</v>
      </c>
    </row>
    <row r="201" spans="1:8" x14ac:dyDescent="0.2">
      <c r="A201" s="1186" t="s">
        <v>343</v>
      </c>
      <c r="B201" s="1186" t="s">
        <v>144</v>
      </c>
      <c r="C201" s="1186">
        <v>5</v>
      </c>
      <c r="D201" s="1186" t="s">
        <v>852</v>
      </c>
      <c r="E201" s="1186">
        <v>4</v>
      </c>
      <c r="F201" s="1186">
        <v>2015</v>
      </c>
      <c r="G201" s="1186">
        <v>5</v>
      </c>
      <c r="H201" s="1186">
        <v>1109971</v>
      </c>
    </row>
    <row r="202" spans="1:8" x14ac:dyDescent="0.2">
      <c r="A202" s="1186" t="s">
        <v>342</v>
      </c>
      <c r="B202" s="1186" t="s">
        <v>144</v>
      </c>
      <c r="C202" s="1186">
        <v>5</v>
      </c>
      <c r="D202" s="1186" t="s">
        <v>850</v>
      </c>
      <c r="E202" s="1186">
        <v>1</v>
      </c>
      <c r="F202" s="1186">
        <v>2015</v>
      </c>
      <c r="G202" s="1186">
        <v>5</v>
      </c>
      <c r="H202" s="1186">
        <v>1109971</v>
      </c>
    </row>
    <row r="203" spans="1:8" x14ac:dyDescent="0.2">
      <c r="A203" s="1186" t="s">
        <v>343</v>
      </c>
      <c r="B203" s="1186" t="s">
        <v>144</v>
      </c>
      <c r="C203" s="1186">
        <v>5</v>
      </c>
      <c r="D203" s="1186" t="s">
        <v>851</v>
      </c>
      <c r="E203" s="1186">
        <v>4</v>
      </c>
      <c r="F203" s="1186">
        <v>2015</v>
      </c>
      <c r="G203" s="1186">
        <v>5</v>
      </c>
      <c r="H203" s="1186">
        <v>1109971</v>
      </c>
    </row>
    <row r="204" spans="1:8" x14ac:dyDescent="0.2">
      <c r="A204" s="1186" t="s">
        <v>341</v>
      </c>
      <c r="B204" s="1186" t="s">
        <v>282</v>
      </c>
      <c r="C204" s="1186">
        <v>1</v>
      </c>
      <c r="D204" s="1186" t="s">
        <v>852</v>
      </c>
      <c r="E204" s="1186">
        <v>5</v>
      </c>
      <c r="F204" s="1186">
        <v>2016</v>
      </c>
      <c r="G204" s="1186">
        <v>1</v>
      </c>
      <c r="H204" s="1186">
        <v>1058713</v>
      </c>
    </row>
    <row r="205" spans="1:8" x14ac:dyDescent="0.2">
      <c r="A205" s="1186" t="s">
        <v>342</v>
      </c>
      <c r="B205" s="1186" t="s">
        <v>282</v>
      </c>
      <c r="C205" s="1186">
        <v>1</v>
      </c>
      <c r="D205" s="1186" t="s">
        <v>850</v>
      </c>
      <c r="E205" s="1186">
        <v>2</v>
      </c>
      <c r="F205" s="1186">
        <v>2016</v>
      </c>
      <c r="G205" s="1186">
        <v>1</v>
      </c>
      <c r="H205" s="1186">
        <v>1058713</v>
      </c>
    </row>
    <row r="206" spans="1:8" x14ac:dyDescent="0.2">
      <c r="A206" s="1186" t="s">
        <v>342</v>
      </c>
      <c r="B206" s="1186" t="s">
        <v>282</v>
      </c>
      <c r="C206" s="1186">
        <v>1</v>
      </c>
      <c r="D206" s="1186" t="s">
        <v>828</v>
      </c>
      <c r="E206" s="1186">
        <v>13</v>
      </c>
      <c r="F206" s="1186">
        <v>2016</v>
      </c>
      <c r="G206" s="1186">
        <v>1</v>
      </c>
      <c r="H206" s="1186">
        <v>1058713</v>
      </c>
    </row>
    <row r="207" spans="1:8" x14ac:dyDescent="0.2">
      <c r="A207" s="1186" t="s">
        <v>341</v>
      </c>
      <c r="B207" s="1186" t="s">
        <v>282</v>
      </c>
      <c r="C207" s="1186">
        <v>1</v>
      </c>
      <c r="D207" s="1186" t="s">
        <v>828</v>
      </c>
      <c r="E207" s="1186">
        <v>348</v>
      </c>
      <c r="F207" s="1186">
        <v>2016</v>
      </c>
      <c r="G207" s="1186">
        <v>1</v>
      </c>
      <c r="H207" s="1186">
        <v>1058713</v>
      </c>
    </row>
    <row r="208" spans="1:8" x14ac:dyDescent="0.2">
      <c r="A208" s="1186" t="s">
        <v>341</v>
      </c>
      <c r="B208" s="1186" t="s">
        <v>282</v>
      </c>
      <c r="C208" s="1186">
        <v>1</v>
      </c>
      <c r="D208" s="1186" t="s">
        <v>851</v>
      </c>
      <c r="E208" s="1186">
        <v>4</v>
      </c>
      <c r="F208" s="1186">
        <v>2016</v>
      </c>
      <c r="G208" s="1186">
        <v>1</v>
      </c>
      <c r="H208" s="1186">
        <v>1058713</v>
      </c>
    </row>
    <row r="209" spans="1:8" x14ac:dyDescent="0.2">
      <c r="A209" s="1186" t="s">
        <v>343</v>
      </c>
      <c r="B209" s="1186" t="s">
        <v>282</v>
      </c>
      <c r="C209" s="1186">
        <v>1</v>
      </c>
      <c r="D209" s="1186" t="s">
        <v>828</v>
      </c>
      <c r="E209" s="1186">
        <v>501</v>
      </c>
      <c r="F209" s="1186">
        <v>2016</v>
      </c>
      <c r="G209" s="1186">
        <v>1</v>
      </c>
      <c r="H209" s="1186">
        <v>1058713</v>
      </c>
    </row>
    <row r="210" spans="1:8" x14ac:dyDescent="0.2">
      <c r="A210" s="1186" t="s">
        <v>343</v>
      </c>
      <c r="B210" s="1186" t="s">
        <v>282</v>
      </c>
      <c r="C210" s="1186">
        <v>1</v>
      </c>
      <c r="D210" s="1186" t="s">
        <v>850</v>
      </c>
      <c r="E210" s="1186">
        <v>17</v>
      </c>
      <c r="F210" s="1186">
        <v>2016</v>
      </c>
      <c r="G210" s="1186">
        <v>1</v>
      </c>
      <c r="H210" s="1186">
        <v>1058713</v>
      </c>
    </row>
    <row r="211" spans="1:8" x14ac:dyDescent="0.2">
      <c r="A211" s="1186" t="s">
        <v>343</v>
      </c>
      <c r="B211" s="1186" t="s">
        <v>282</v>
      </c>
      <c r="C211" s="1186">
        <v>1</v>
      </c>
      <c r="D211" s="1186" t="s">
        <v>851</v>
      </c>
      <c r="E211" s="1186">
        <v>5</v>
      </c>
      <c r="F211" s="1186">
        <v>2016</v>
      </c>
      <c r="G211" s="1186">
        <v>1</v>
      </c>
      <c r="H211" s="1186">
        <v>1058713</v>
      </c>
    </row>
    <row r="212" spans="1:8" x14ac:dyDescent="0.2">
      <c r="A212" s="1186" t="s">
        <v>343</v>
      </c>
      <c r="B212" s="1186" t="s">
        <v>282</v>
      </c>
      <c r="C212" s="1186">
        <v>1</v>
      </c>
      <c r="D212" s="1186" t="s">
        <v>852</v>
      </c>
      <c r="E212" s="1186">
        <v>7</v>
      </c>
      <c r="F212" s="1186">
        <v>2016</v>
      </c>
      <c r="G212" s="1186">
        <v>1</v>
      </c>
      <c r="H212" s="1186">
        <v>1058713</v>
      </c>
    </row>
    <row r="213" spans="1:8" x14ac:dyDescent="0.2">
      <c r="A213" s="1186" t="s">
        <v>341</v>
      </c>
      <c r="B213" s="1186" t="s">
        <v>282</v>
      </c>
      <c r="C213" s="1186">
        <v>1</v>
      </c>
      <c r="D213" s="1186" t="s">
        <v>850</v>
      </c>
      <c r="E213" s="1186">
        <v>13</v>
      </c>
      <c r="F213" s="1186">
        <v>2016</v>
      </c>
      <c r="G213" s="1186">
        <v>1</v>
      </c>
      <c r="H213" s="1186">
        <v>1058713</v>
      </c>
    </row>
    <row r="214" spans="1:8" x14ac:dyDescent="0.2">
      <c r="A214" s="1186" t="s">
        <v>342</v>
      </c>
      <c r="B214" s="1186" t="s">
        <v>282</v>
      </c>
      <c r="C214" s="1186">
        <v>2</v>
      </c>
      <c r="D214" s="1186" t="s">
        <v>828</v>
      </c>
      <c r="E214" s="1186">
        <v>5</v>
      </c>
      <c r="F214" s="1186">
        <v>2016</v>
      </c>
      <c r="G214" s="1186">
        <v>2</v>
      </c>
      <c r="H214" s="1186">
        <v>1057929</v>
      </c>
    </row>
    <row r="215" spans="1:8" x14ac:dyDescent="0.2">
      <c r="A215" s="1186" t="s">
        <v>342</v>
      </c>
      <c r="B215" s="1186" t="s">
        <v>282</v>
      </c>
      <c r="C215" s="1186">
        <v>2</v>
      </c>
      <c r="D215" s="1186" t="s">
        <v>851</v>
      </c>
      <c r="E215" s="1186">
        <v>1</v>
      </c>
      <c r="F215" s="1186">
        <v>2016</v>
      </c>
      <c r="G215" s="1186">
        <v>2</v>
      </c>
      <c r="H215" s="1186">
        <v>1057929</v>
      </c>
    </row>
    <row r="216" spans="1:8" x14ac:dyDescent="0.2">
      <c r="A216" s="1186" t="s">
        <v>341</v>
      </c>
      <c r="B216" s="1186" t="s">
        <v>282</v>
      </c>
      <c r="C216" s="1186">
        <v>2</v>
      </c>
      <c r="D216" s="1186" t="s">
        <v>852</v>
      </c>
      <c r="E216" s="1186">
        <v>7</v>
      </c>
      <c r="F216" s="1186">
        <v>2016</v>
      </c>
      <c r="G216" s="1186">
        <v>2</v>
      </c>
      <c r="H216" s="1186">
        <v>1057929</v>
      </c>
    </row>
    <row r="217" spans="1:8" x14ac:dyDescent="0.2">
      <c r="A217" s="1186" t="s">
        <v>341</v>
      </c>
      <c r="B217" s="1186" t="s">
        <v>282</v>
      </c>
      <c r="C217" s="1186">
        <v>2</v>
      </c>
      <c r="D217" s="1186" t="s">
        <v>850</v>
      </c>
      <c r="E217" s="1186">
        <v>17</v>
      </c>
      <c r="F217" s="1186">
        <v>2016</v>
      </c>
      <c r="G217" s="1186">
        <v>2</v>
      </c>
      <c r="H217" s="1186">
        <v>1057929</v>
      </c>
    </row>
    <row r="218" spans="1:8" x14ac:dyDescent="0.2">
      <c r="A218" s="1186" t="s">
        <v>341</v>
      </c>
      <c r="B218" s="1186" t="s">
        <v>282</v>
      </c>
      <c r="C218" s="1186">
        <v>2</v>
      </c>
      <c r="D218" s="1186" t="s">
        <v>851</v>
      </c>
      <c r="E218" s="1186">
        <v>8</v>
      </c>
      <c r="F218" s="1186">
        <v>2016</v>
      </c>
      <c r="G218" s="1186">
        <v>2</v>
      </c>
      <c r="H218" s="1186">
        <v>1057929</v>
      </c>
    </row>
    <row r="219" spans="1:8" x14ac:dyDescent="0.2">
      <c r="A219" s="1186" t="s">
        <v>343</v>
      </c>
      <c r="B219" s="1186" t="s">
        <v>282</v>
      </c>
      <c r="C219" s="1186">
        <v>2</v>
      </c>
      <c r="D219" s="1186" t="s">
        <v>828</v>
      </c>
      <c r="E219" s="1186">
        <v>273</v>
      </c>
      <c r="F219" s="1186">
        <v>2016</v>
      </c>
      <c r="G219" s="1186">
        <v>2</v>
      </c>
      <c r="H219" s="1186">
        <v>1057929</v>
      </c>
    </row>
    <row r="220" spans="1:8" x14ac:dyDescent="0.2">
      <c r="A220" s="1186" t="s">
        <v>343</v>
      </c>
      <c r="B220" s="1186" t="s">
        <v>282</v>
      </c>
      <c r="C220" s="1186">
        <v>2</v>
      </c>
      <c r="D220" s="1186" t="s">
        <v>850</v>
      </c>
      <c r="E220" s="1186">
        <v>19</v>
      </c>
      <c r="F220" s="1186">
        <v>2016</v>
      </c>
      <c r="G220" s="1186">
        <v>2</v>
      </c>
      <c r="H220" s="1186">
        <v>1057929</v>
      </c>
    </row>
    <row r="221" spans="1:8" x14ac:dyDescent="0.2">
      <c r="A221" s="1186" t="s">
        <v>343</v>
      </c>
      <c r="B221" s="1186" t="s">
        <v>282</v>
      </c>
      <c r="C221" s="1186">
        <v>2</v>
      </c>
      <c r="D221" s="1186" t="s">
        <v>851</v>
      </c>
      <c r="E221" s="1186">
        <v>9</v>
      </c>
      <c r="F221" s="1186">
        <v>2016</v>
      </c>
      <c r="G221" s="1186">
        <v>2</v>
      </c>
      <c r="H221" s="1186">
        <v>1057929</v>
      </c>
    </row>
    <row r="222" spans="1:8" x14ac:dyDescent="0.2">
      <c r="A222" s="1186" t="s">
        <v>343</v>
      </c>
      <c r="B222" s="1186" t="s">
        <v>282</v>
      </c>
      <c r="C222" s="1186">
        <v>2</v>
      </c>
      <c r="D222" s="1186" t="s">
        <v>852</v>
      </c>
      <c r="E222" s="1186">
        <v>8</v>
      </c>
      <c r="F222" s="1186">
        <v>2016</v>
      </c>
      <c r="G222" s="1186">
        <v>2</v>
      </c>
      <c r="H222" s="1186">
        <v>1057929</v>
      </c>
    </row>
    <row r="223" spans="1:8" x14ac:dyDescent="0.2">
      <c r="A223" s="1186" t="s">
        <v>341</v>
      </c>
      <c r="B223" s="1186" t="s">
        <v>282</v>
      </c>
      <c r="C223" s="1186">
        <v>2</v>
      </c>
      <c r="D223" s="1186" t="s">
        <v>828</v>
      </c>
      <c r="E223" s="1186">
        <v>204</v>
      </c>
      <c r="F223" s="1186">
        <v>2016</v>
      </c>
      <c r="G223" s="1186">
        <v>2</v>
      </c>
      <c r="H223" s="1186">
        <v>1057929</v>
      </c>
    </row>
    <row r="224" spans="1:8" x14ac:dyDescent="0.2">
      <c r="A224" s="1186" t="s">
        <v>341</v>
      </c>
      <c r="B224" s="1186" t="s">
        <v>282</v>
      </c>
      <c r="C224" s="1186">
        <v>3</v>
      </c>
      <c r="D224" s="1186" t="s">
        <v>850</v>
      </c>
      <c r="E224" s="1186">
        <v>12</v>
      </c>
      <c r="F224" s="1186">
        <v>2016</v>
      </c>
      <c r="G224" s="1186">
        <v>3</v>
      </c>
      <c r="H224" s="1186">
        <v>1070719</v>
      </c>
    </row>
    <row r="225" spans="1:8" x14ac:dyDescent="0.2">
      <c r="A225" s="1186" t="s">
        <v>342</v>
      </c>
      <c r="B225" s="1186" t="s">
        <v>282</v>
      </c>
      <c r="C225" s="1186">
        <v>3</v>
      </c>
      <c r="D225" s="1186" t="s">
        <v>828</v>
      </c>
      <c r="E225" s="1186">
        <v>7</v>
      </c>
      <c r="F225" s="1186">
        <v>2016</v>
      </c>
      <c r="G225" s="1186">
        <v>3</v>
      </c>
      <c r="H225" s="1186">
        <v>1070719</v>
      </c>
    </row>
    <row r="226" spans="1:8" x14ac:dyDescent="0.2">
      <c r="A226" s="1186" t="s">
        <v>342</v>
      </c>
      <c r="B226" s="1186" t="s">
        <v>282</v>
      </c>
      <c r="C226" s="1186">
        <v>3</v>
      </c>
      <c r="D226" s="1186" t="s">
        <v>851</v>
      </c>
      <c r="E226" s="1186">
        <v>1</v>
      </c>
      <c r="F226" s="1186">
        <v>2016</v>
      </c>
      <c r="G226" s="1186">
        <v>3</v>
      </c>
      <c r="H226" s="1186">
        <v>1070719</v>
      </c>
    </row>
    <row r="227" spans="1:8" x14ac:dyDescent="0.2">
      <c r="A227" s="1186" t="s">
        <v>343</v>
      </c>
      <c r="B227" s="1186" t="s">
        <v>282</v>
      </c>
      <c r="C227" s="1186">
        <v>3</v>
      </c>
      <c r="D227" s="1186" t="s">
        <v>828</v>
      </c>
      <c r="E227" s="1186">
        <v>162</v>
      </c>
      <c r="F227" s="1186">
        <v>2016</v>
      </c>
      <c r="G227" s="1186">
        <v>3</v>
      </c>
      <c r="H227" s="1186">
        <v>1070719</v>
      </c>
    </row>
    <row r="228" spans="1:8" x14ac:dyDescent="0.2">
      <c r="A228" s="1186" t="s">
        <v>343</v>
      </c>
      <c r="B228" s="1186" t="s">
        <v>282</v>
      </c>
      <c r="C228" s="1186">
        <v>3</v>
      </c>
      <c r="D228" s="1186" t="s">
        <v>852</v>
      </c>
      <c r="E228" s="1186">
        <v>10</v>
      </c>
      <c r="F228" s="1186">
        <v>2016</v>
      </c>
      <c r="G228" s="1186">
        <v>3</v>
      </c>
      <c r="H228" s="1186">
        <v>1070719</v>
      </c>
    </row>
    <row r="229" spans="1:8" x14ac:dyDescent="0.2">
      <c r="A229" s="1186" t="s">
        <v>341</v>
      </c>
      <c r="B229" s="1186" t="s">
        <v>282</v>
      </c>
      <c r="C229" s="1186">
        <v>3</v>
      </c>
      <c r="D229" s="1186" t="s">
        <v>828</v>
      </c>
      <c r="E229" s="1186">
        <v>112</v>
      </c>
      <c r="F229" s="1186">
        <v>2016</v>
      </c>
      <c r="G229" s="1186">
        <v>3</v>
      </c>
      <c r="H229" s="1186">
        <v>1070719</v>
      </c>
    </row>
    <row r="230" spans="1:8" x14ac:dyDescent="0.2">
      <c r="A230" s="1186" t="s">
        <v>341</v>
      </c>
      <c r="B230" s="1186" t="s">
        <v>282</v>
      </c>
      <c r="C230" s="1186">
        <v>3</v>
      </c>
      <c r="D230" s="1186" t="s">
        <v>851</v>
      </c>
      <c r="E230" s="1186">
        <v>8</v>
      </c>
      <c r="F230" s="1186">
        <v>2016</v>
      </c>
      <c r="G230" s="1186">
        <v>3</v>
      </c>
      <c r="H230" s="1186">
        <v>1070719</v>
      </c>
    </row>
    <row r="231" spans="1:8" x14ac:dyDescent="0.2">
      <c r="A231" s="1186" t="s">
        <v>341</v>
      </c>
      <c r="B231" s="1186" t="s">
        <v>282</v>
      </c>
      <c r="C231" s="1186">
        <v>3</v>
      </c>
      <c r="D231" s="1186" t="s">
        <v>852</v>
      </c>
      <c r="E231" s="1186">
        <v>8</v>
      </c>
      <c r="F231" s="1186">
        <v>2016</v>
      </c>
      <c r="G231" s="1186">
        <v>3</v>
      </c>
      <c r="H231" s="1186">
        <v>1070719</v>
      </c>
    </row>
    <row r="232" spans="1:8" x14ac:dyDescent="0.2">
      <c r="A232" s="1186" t="s">
        <v>343</v>
      </c>
      <c r="B232" s="1186" t="s">
        <v>282</v>
      </c>
      <c r="C232" s="1186">
        <v>3</v>
      </c>
      <c r="D232" s="1186" t="s">
        <v>851</v>
      </c>
      <c r="E232" s="1186">
        <v>11</v>
      </c>
      <c r="F232" s="1186">
        <v>2016</v>
      </c>
      <c r="G232" s="1186">
        <v>3</v>
      </c>
      <c r="H232" s="1186">
        <v>1070719</v>
      </c>
    </row>
    <row r="233" spans="1:8" x14ac:dyDescent="0.2">
      <c r="A233" s="1186" t="s">
        <v>343</v>
      </c>
      <c r="B233" s="1186" t="s">
        <v>282</v>
      </c>
      <c r="C233" s="1186">
        <v>3</v>
      </c>
      <c r="D233" s="1186" t="s">
        <v>850</v>
      </c>
      <c r="E233" s="1186">
        <v>15</v>
      </c>
      <c r="F233" s="1186">
        <v>2016</v>
      </c>
      <c r="G233" s="1186">
        <v>3</v>
      </c>
      <c r="H233" s="1186">
        <v>1070719</v>
      </c>
    </row>
    <row r="234" spans="1:8" x14ac:dyDescent="0.2">
      <c r="A234" s="1186" t="s">
        <v>341</v>
      </c>
      <c r="B234" s="1186" t="s">
        <v>282</v>
      </c>
      <c r="C234" s="1186">
        <v>4</v>
      </c>
      <c r="D234" s="1186" t="s">
        <v>828</v>
      </c>
      <c r="E234" s="1186">
        <v>81</v>
      </c>
      <c r="F234" s="1186">
        <v>2016</v>
      </c>
      <c r="G234" s="1186">
        <v>4</v>
      </c>
      <c r="H234" s="1186">
        <v>1099208</v>
      </c>
    </row>
    <row r="235" spans="1:8" x14ac:dyDescent="0.2">
      <c r="A235" s="1186" t="s">
        <v>341</v>
      </c>
      <c r="B235" s="1186" t="s">
        <v>282</v>
      </c>
      <c r="C235" s="1186">
        <v>4</v>
      </c>
      <c r="D235" s="1186" t="s">
        <v>850</v>
      </c>
      <c r="E235" s="1186">
        <v>9</v>
      </c>
      <c r="F235" s="1186">
        <v>2016</v>
      </c>
      <c r="G235" s="1186">
        <v>4</v>
      </c>
      <c r="H235" s="1186">
        <v>1099208</v>
      </c>
    </row>
    <row r="236" spans="1:8" x14ac:dyDescent="0.2">
      <c r="A236" s="1186" t="s">
        <v>341</v>
      </c>
      <c r="B236" s="1186" t="s">
        <v>282</v>
      </c>
      <c r="C236" s="1186">
        <v>4</v>
      </c>
      <c r="D236" s="1186" t="s">
        <v>851</v>
      </c>
      <c r="E236" s="1186">
        <v>15</v>
      </c>
      <c r="F236" s="1186">
        <v>2016</v>
      </c>
      <c r="G236" s="1186">
        <v>4</v>
      </c>
      <c r="H236" s="1186">
        <v>1099208</v>
      </c>
    </row>
    <row r="237" spans="1:8" x14ac:dyDescent="0.2">
      <c r="A237" s="1186" t="s">
        <v>341</v>
      </c>
      <c r="B237" s="1186" t="s">
        <v>282</v>
      </c>
      <c r="C237" s="1186">
        <v>4</v>
      </c>
      <c r="D237" s="1186" t="s">
        <v>852</v>
      </c>
      <c r="E237" s="1186">
        <v>4</v>
      </c>
      <c r="F237" s="1186">
        <v>2016</v>
      </c>
      <c r="G237" s="1186">
        <v>4</v>
      </c>
      <c r="H237" s="1186">
        <v>1099208</v>
      </c>
    </row>
    <row r="238" spans="1:8" x14ac:dyDescent="0.2">
      <c r="A238" s="1186" t="s">
        <v>342</v>
      </c>
      <c r="B238" s="1186" t="s">
        <v>282</v>
      </c>
      <c r="C238" s="1186">
        <v>4</v>
      </c>
      <c r="D238" s="1186" t="s">
        <v>851</v>
      </c>
      <c r="E238" s="1186">
        <v>3</v>
      </c>
      <c r="F238" s="1186">
        <v>2016</v>
      </c>
      <c r="G238" s="1186">
        <v>4</v>
      </c>
      <c r="H238" s="1186">
        <v>1099208</v>
      </c>
    </row>
    <row r="239" spans="1:8" x14ac:dyDescent="0.2">
      <c r="A239" s="1186" t="s">
        <v>343</v>
      </c>
      <c r="B239" s="1186" t="s">
        <v>282</v>
      </c>
      <c r="C239" s="1186">
        <v>4</v>
      </c>
      <c r="D239" s="1186" t="s">
        <v>852</v>
      </c>
      <c r="E239" s="1186">
        <v>4</v>
      </c>
      <c r="F239" s="1186">
        <v>2016</v>
      </c>
      <c r="G239" s="1186">
        <v>4</v>
      </c>
      <c r="H239" s="1186">
        <v>1099208</v>
      </c>
    </row>
    <row r="240" spans="1:8" x14ac:dyDescent="0.2">
      <c r="A240" s="1186" t="s">
        <v>342</v>
      </c>
      <c r="B240" s="1186" t="s">
        <v>282</v>
      </c>
      <c r="C240" s="1186">
        <v>4</v>
      </c>
      <c r="D240" s="1186" t="s">
        <v>828</v>
      </c>
      <c r="E240" s="1186">
        <v>4</v>
      </c>
      <c r="F240" s="1186">
        <v>2016</v>
      </c>
      <c r="G240" s="1186">
        <v>4</v>
      </c>
      <c r="H240" s="1186">
        <v>1099208</v>
      </c>
    </row>
    <row r="241" spans="1:8" x14ac:dyDescent="0.2">
      <c r="A241" s="1186" t="s">
        <v>343</v>
      </c>
      <c r="B241" s="1186" t="s">
        <v>282</v>
      </c>
      <c r="C241" s="1186">
        <v>4</v>
      </c>
      <c r="D241" s="1186" t="s">
        <v>828</v>
      </c>
      <c r="E241" s="1186">
        <v>100</v>
      </c>
      <c r="F241" s="1186">
        <v>2016</v>
      </c>
      <c r="G241" s="1186">
        <v>4</v>
      </c>
      <c r="H241" s="1186">
        <v>1099208</v>
      </c>
    </row>
    <row r="242" spans="1:8" x14ac:dyDescent="0.2">
      <c r="A242" s="1186" t="s">
        <v>343</v>
      </c>
      <c r="B242" s="1186" t="s">
        <v>282</v>
      </c>
      <c r="C242" s="1186">
        <v>4</v>
      </c>
      <c r="D242" s="1186" t="s">
        <v>850</v>
      </c>
      <c r="E242" s="1186">
        <v>13</v>
      </c>
      <c r="F242" s="1186">
        <v>2016</v>
      </c>
      <c r="G242" s="1186">
        <v>4</v>
      </c>
      <c r="H242" s="1186">
        <v>1099208</v>
      </c>
    </row>
    <row r="243" spans="1:8" x14ac:dyDescent="0.2">
      <c r="A243" s="1186" t="s">
        <v>342</v>
      </c>
      <c r="B243" s="1186" t="s">
        <v>282</v>
      </c>
      <c r="C243" s="1186">
        <v>4</v>
      </c>
      <c r="D243" s="1186" t="s">
        <v>850</v>
      </c>
      <c r="E243" s="1186">
        <v>1</v>
      </c>
      <c r="F243" s="1186">
        <v>2016</v>
      </c>
      <c r="G243" s="1186">
        <v>4</v>
      </c>
      <c r="H243" s="1186">
        <v>1099208</v>
      </c>
    </row>
    <row r="244" spans="1:8" x14ac:dyDescent="0.2">
      <c r="A244" s="1186" t="s">
        <v>343</v>
      </c>
      <c r="B244" s="1186" t="s">
        <v>282</v>
      </c>
      <c r="C244" s="1186">
        <v>4</v>
      </c>
      <c r="D244" s="1186" t="s">
        <v>851</v>
      </c>
      <c r="E244" s="1186">
        <v>17</v>
      </c>
      <c r="F244" s="1186">
        <v>2016</v>
      </c>
      <c r="G244" s="1186">
        <v>4</v>
      </c>
      <c r="H244" s="1186">
        <v>1099208</v>
      </c>
    </row>
    <row r="245" spans="1:8" x14ac:dyDescent="0.2">
      <c r="A245" s="1186" t="s">
        <v>342</v>
      </c>
      <c r="B245" s="1186" t="s">
        <v>282</v>
      </c>
      <c r="C245" s="1186">
        <v>5</v>
      </c>
      <c r="D245" s="1186" t="s">
        <v>828</v>
      </c>
      <c r="E245" s="1186">
        <v>7</v>
      </c>
      <c r="F245" s="1186">
        <v>2016</v>
      </c>
      <c r="G245" s="1186">
        <v>5</v>
      </c>
      <c r="H245" s="1186">
        <v>1118131</v>
      </c>
    </row>
    <row r="246" spans="1:8" x14ac:dyDescent="0.2">
      <c r="A246" s="1186" t="s">
        <v>341</v>
      </c>
      <c r="B246" s="1186" t="s">
        <v>282</v>
      </c>
      <c r="C246" s="1186">
        <v>5</v>
      </c>
      <c r="D246" s="1186" t="s">
        <v>852</v>
      </c>
      <c r="E246" s="1186">
        <v>2</v>
      </c>
      <c r="F246" s="1186">
        <v>2016</v>
      </c>
      <c r="G246" s="1186">
        <v>5</v>
      </c>
      <c r="H246" s="1186">
        <v>1118131</v>
      </c>
    </row>
    <row r="247" spans="1:8" x14ac:dyDescent="0.2">
      <c r="A247" s="1186" t="s">
        <v>341</v>
      </c>
      <c r="B247" s="1186" t="s">
        <v>282</v>
      </c>
      <c r="C247" s="1186">
        <v>5</v>
      </c>
      <c r="D247" s="1186" t="s">
        <v>851</v>
      </c>
      <c r="E247" s="1186">
        <v>5</v>
      </c>
      <c r="F247" s="1186">
        <v>2016</v>
      </c>
      <c r="G247" s="1186">
        <v>5</v>
      </c>
      <c r="H247" s="1186">
        <v>1118131</v>
      </c>
    </row>
    <row r="248" spans="1:8" x14ac:dyDescent="0.2">
      <c r="A248" s="1186" t="s">
        <v>341</v>
      </c>
      <c r="B248" s="1186" t="s">
        <v>282</v>
      </c>
      <c r="C248" s="1186">
        <v>5</v>
      </c>
      <c r="D248" s="1186" t="s">
        <v>850</v>
      </c>
      <c r="E248" s="1186">
        <v>5</v>
      </c>
      <c r="F248" s="1186">
        <v>2016</v>
      </c>
      <c r="G248" s="1186">
        <v>5</v>
      </c>
      <c r="H248" s="1186">
        <v>1118131</v>
      </c>
    </row>
    <row r="249" spans="1:8" x14ac:dyDescent="0.2">
      <c r="A249" s="1186" t="s">
        <v>343</v>
      </c>
      <c r="B249" s="1186" t="s">
        <v>282</v>
      </c>
      <c r="C249" s="1186">
        <v>5</v>
      </c>
      <c r="D249" s="1186" t="s">
        <v>828</v>
      </c>
      <c r="E249" s="1186">
        <v>79</v>
      </c>
      <c r="F249" s="1186">
        <v>2016</v>
      </c>
      <c r="G249" s="1186">
        <v>5</v>
      </c>
      <c r="H249" s="1186">
        <v>1118131</v>
      </c>
    </row>
    <row r="250" spans="1:8" x14ac:dyDescent="0.2">
      <c r="A250" s="1186" t="s">
        <v>341</v>
      </c>
      <c r="B250" s="1186" t="s">
        <v>282</v>
      </c>
      <c r="C250" s="1186">
        <v>5</v>
      </c>
      <c r="D250" s="1186" t="s">
        <v>828</v>
      </c>
      <c r="E250" s="1186">
        <v>69</v>
      </c>
      <c r="F250" s="1186">
        <v>2016</v>
      </c>
      <c r="G250" s="1186">
        <v>5</v>
      </c>
      <c r="H250" s="1186">
        <v>1118131</v>
      </c>
    </row>
    <row r="251" spans="1:8" x14ac:dyDescent="0.2">
      <c r="A251" s="1186" t="s">
        <v>343</v>
      </c>
      <c r="B251" s="1186" t="s">
        <v>282</v>
      </c>
      <c r="C251" s="1186">
        <v>5</v>
      </c>
      <c r="D251" s="1186" t="s">
        <v>850</v>
      </c>
      <c r="E251" s="1186">
        <v>8</v>
      </c>
      <c r="F251" s="1186">
        <v>2016</v>
      </c>
      <c r="G251" s="1186">
        <v>5</v>
      </c>
      <c r="H251" s="1186">
        <v>1118131</v>
      </c>
    </row>
    <row r="252" spans="1:8" x14ac:dyDescent="0.2">
      <c r="A252" s="1186" t="s">
        <v>343</v>
      </c>
      <c r="B252" s="1186" t="s">
        <v>282</v>
      </c>
      <c r="C252" s="1186">
        <v>5</v>
      </c>
      <c r="D252" s="1186" t="s">
        <v>851</v>
      </c>
      <c r="E252" s="1186">
        <v>6</v>
      </c>
      <c r="F252" s="1186">
        <v>2016</v>
      </c>
      <c r="G252" s="1186">
        <v>5</v>
      </c>
      <c r="H252" s="1186">
        <v>1118131</v>
      </c>
    </row>
    <row r="253" spans="1:8" x14ac:dyDescent="0.2">
      <c r="A253" s="1186" t="s">
        <v>343</v>
      </c>
      <c r="B253" s="1186" t="s">
        <v>282</v>
      </c>
      <c r="C253" s="1186">
        <v>5</v>
      </c>
      <c r="D253" s="1186" t="s">
        <v>852</v>
      </c>
      <c r="E253" s="1186">
        <v>2</v>
      </c>
      <c r="F253" s="1186">
        <v>2016</v>
      </c>
      <c r="G253" s="1186">
        <v>5</v>
      </c>
      <c r="H253" s="1186">
        <v>1118131</v>
      </c>
    </row>
    <row r="254" spans="1:8" x14ac:dyDescent="0.2">
      <c r="A254" s="1186" t="s">
        <v>341</v>
      </c>
      <c r="B254" s="1186" t="s">
        <v>311</v>
      </c>
      <c r="C254" s="1186"/>
      <c r="D254" s="1186" t="s">
        <v>852</v>
      </c>
      <c r="E254" s="1186">
        <v>1</v>
      </c>
      <c r="F254" s="1186"/>
      <c r="G254" s="1186"/>
      <c r="H254" s="1186"/>
    </row>
    <row r="255" spans="1:8" x14ac:dyDescent="0.2">
      <c r="A255" s="1186" t="s">
        <v>343</v>
      </c>
      <c r="B255" s="1186" t="s">
        <v>311</v>
      </c>
      <c r="C255" s="1186"/>
      <c r="D255" s="1186" t="s">
        <v>852</v>
      </c>
      <c r="E255" s="1186">
        <v>2</v>
      </c>
      <c r="F255" s="1186"/>
      <c r="G255" s="1186"/>
      <c r="H255" s="1186"/>
    </row>
    <row r="256" spans="1:8" x14ac:dyDescent="0.2">
      <c r="A256" s="1186" t="s">
        <v>341</v>
      </c>
      <c r="B256" s="1186" t="s">
        <v>311</v>
      </c>
      <c r="C256" s="1186">
        <v>1</v>
      </c>
      <c r="D256" s="1186" t="s">
        <v>852</v>
      </c>
      <c r="E256" s="1186">
        <v>4</v>
      </c>
      <c r="F256" s="1186">
        <v>2017</v>
      </c>
      <c r="G256" s="1186">
        <v>1</v>
      </c>
      <c r="H256" s="1186">
        <v>1059288</v>
      </c>
    </row>
    <row r="257" spans="1:8" x14ac:dyDescent="0.2">
      <c r="A257" s="1186" t="s">
        <v>341</v>
      </c>
      <c r="B257" s="1186" t="s">
        <v>311</v>
      </c>
      <c r="C257" s="1186">
        <v>1</v>
      </c>
      <c r="D257" s="1186" t="s">
        <v>851</v>
      </c>
      <c r="E257" s="1186">
        <v>6</v>
      </c>
      <c r="F257" s="1186">
        <v>2017</v>
      </c>
      <c r="G257" s="1186">
        <v>1</v>
      </c>
      <c r="H257" s="1186">
        <v>1059288</v>
      </c>
    </row>
    <row r="258" spans="1:8" x14ac:dyDescent="0.2">
      <c r="A258" s="1186" t="s">
        <v>341</v>
      </c>
      <c r="B258" s="1186" t="s">
        <v>311</v>
      </c>
      <c r="C258" s="1186">
        <v>1</v>
      </c>
      <c r="D258" s="1186" t="s">
        <v>850</v>
      </c>
      <c r="E258" s="1186">
        <v>18</v>
      </c>
      <c r="F258" s="1186">
        <v>2017</v>
      </c>
      <c r="G258" s="1186">
        <v>1</v>
      </c>
      <c r="H258" s="1186">
        <v>1059288</v>
      </c>
    </row>
    <row r="259" spans="1:8" x14ac:dyDescent="0.2">
      <c r="A259" s="1186" t="s">
        <v>341</v>
      </c>
      <c r="B259" s="1186" t="s">
        <v>311</v>
      </c>
      <c r="C259" s="1186">
        <v>1</v>
      </c>
      <c r="D259" s="1186" t="s">
        <v>828</v>
      </c>
      <c r="E259" s="1186">
        <v>314</v>
      </c>
      <c r="F259" s="1186">
        <v>2017</v>
      </c>
      <c r="G259" s="1186">
        <v>1</v>
      </c>
      <c r="H259" s="1186">
        <v>1059288</v>
      </c>
    </row>
    <row r="260" spans="1:8" x14ac:dyDescent="0.2">
      <c r="A260" s="1186" t="s">
        <v>342</v>
      </c>
      <c r="B260" s="1186" t="s">
        <v>311</v>
      </c>
      <c r="C260" s="1186">
        <v>1</v>
      </c>
      <c r="D260" s="1186" t="s">
        <v>828</v>
      </c>
      <c r="E260" s="1186">
        <v>14</v>
      </c>
      <c r="F260" s="1186">
        <v>2017</v>
      </c>
      <c r="G260" s="1186">
        <v>1</v>
      </c>
      <c r="H260" s="1186">
        <v>1059288</v>
      </c>
    </row>
    <row r="261" spans="1:8" x14ac:dyDescent="0.2">
      <c r="A261" s="1186" t="s">
        <v>343</v>
      </c>
      <c r="B261" s="1186" t="s">
        <v>311</v>
      </c>
      <c r="C261" s="1186">
        <v>1</v>
      </c>
      <c r="D261" s="1186" t="s">
        <v>852</v>
      </c>
      <c r="E261" s="1186">
        <v>4</v>
      </c>
      <c r="F261" s="1186">
        <v>2017</v>
      </c>
      <c r="G261" s="1186">
        <v>1</v>
      </c>
      <c r="H261" s="1186">
        <v>1059288</v>
      </c>
    </row>
    <row r="262" spans="1:8" x14ac:dyDescent="0.2">
      <c r="A262" s="1186" t="s">
        <v>343</v>
      </c>
      <c r="B262" s="1186" t="s">
        <v>311</v>
      </c>
      <c r="C262" s="1186">
        <v>1</v>
      </c>
      <c r="D262" s="1186" t="s">
        <v>851</v>
      </c>
      <c r="E262" s="1186">
        <v>14</v>
      </c>
      <c r="F262" s="1186">
        <v>2017</v>
      </c>
      <c r="G262" s="1186">
        <v>1</v>
      </c>
      <c r="H262" s="1186">
        <v>1059288</v>
      </c>
    </row>
    <row r="263" spans="1:8" x14ac:dyDescent="0.2">
      <c r="A263" s="1186" t="s">
        <v>343</v>
      </c>
      <c r="B263" s="1186" t="s">
        <v>311</v>
      </c>
      <c r="C263" s="1186">
        <v>1</v>
      </c>
      <c r="D263" s="1186" t="s">
        <v>850</v>
      </c>
      <c r="E263" s="1186">
        <v>31</v>
      </c>
      <c r="F263" s="1186">
        <v>2017</v>
      </c>
      <c r="G263" s="1186">
        <v>1</v>
      </c>
      <c r="H263" s="1186">
        <v>1059288</v>
      </c>
    </row>
    <row r="264" spans="1:8" x14ac:dyDescent="0.2">
      <c r="A264" s="1186" t="s">
        <v>343</v>
      </c>
      <c r="B264" s="1186" t="s">
        <v>311</v>
      </c>
      <c r="C264" s="1186">
        <v>1</v>
      </c>
      <c r="D264" s="1186" t="s">
        <v>828</v>
      </c>
      <c r="E264" s="1186">
        <v>410</v>
      </c>
      <c r="F264" s="1186">
        <v>2017</v>
      </c>
      <c r="G264" s="1186">
        <v>1</v>
      </c>
      <c r="H264" s="1186">
        <v>1059288</v>
      </c>
    </row>
    <row r="265" spans="1:8" x14ac:dyDescent="0.2">
      <c r="A265" s="1186" t="s">
        <v>342</v>
      </c>
      <c r="B265" s="1186" t="s">
        <v>311</v>
      </c>
      <c r="C265" s="1186">
        <v>1</v>
      </c>
      <c r="D265" s="1186" t="s">
        <v>850</v>
      </c>
      <c r="E265" s="1186">
        <v>2</v>
      </c>
      <c r="F265" s="1186">
        <v>2017</v>
      </c>
      <c r="G265" s="1186">
        <v>1</v>
      </c>
      <c r="H265" s="1186">
        <v>1059288</v>
      </c>
    </row>
    <row r="266" spans="1:8" x14ac:dyDescent="0.2">
      <c r="A266" s="1186" t="s">
        <v>343</v>
      </c>
      <c r="B266" s="1186" t="s">
        <v>311</v>
      </c>
      <c r="C266" s="1186">
        <v>2</v>
      </c>
      <c r="D266" s="1186" t="s">
        <v>850</v>
      </c>
      <c r="E266" s="1186">
        <v>27</v>
      </c>
      <c r="F266" s="1186">
        <v>2017</v>
      </c>
      <c r="G266" s="1186">
        <v>2</v>
      </c>
      <c r="H266" s="1186">
        <v>1059104</v>
      </c>
    </row>
    <row r="267" spans="1:8" x14ac:dyDescent="0.2">
      <c r="A267" s="1186" t="s">
        <v>343</v>
      </c>
      <c r="B267" s="1186" t="s">
        <v>311</v>
      </c>
      <c r="C267" s="1186">
        <v>2</v>
      </c>
      <c r="D267" s="1186" t="s">
        <v>851</v>
      </c>
      <c r="E267" s="1186">
        <v>4</v>
      </c>
      <c r="F267" s="1186">
        <v>2017</v>
      </c>
      <c r="G267" s="1186">
        <v>2</v>
      </c>
      <c r="H267" s="1186">
        <v>1059104</v>
      </c>
    </row>
    <row r="268" spans="1:8" x14ac:dyDescent="0.2">
      <c r="A268" s="1186" t="s">
        <v>341</v>
      </c>
      <c r="B268" s="1186" t="s">
        <v>311</v>
      </c>
      <c r="C268" s="1186">
        <v>2</v>
      </c>
      <c r="D268" s="1186" t="s">
        <v>852</v>
      </c>
      <c r="E268" s="1186">
        <v>6</v>
      </c>
      <c r="F268" s="1186">
        <v>2017</v>
      </c>
      <c r="G268" s="1186">
        <v>2</v>
      </c>
      <c r="H268" s="1186">
        <v>1059104</v>
      </c>
    </row>
    <row r="269" spans="1:8" x14ac:dyDescent="0.2">
      <c r="A269" s="1186" t="s">
        <v>341</v>
      </c>
      <c r="B269" s="1186" t="s">
        <v>311</v>
      </c>
      <c r="C269" s="1186">
        <v>2</v>
      </c>
      <c r="D269" s="1186" t="s">
        <v>828</v>
      </c>
      <c r="E269" s="1186">
        <v>181</v>
      </c>
      <c r="F269" s="1186">
        <v>2017</v>
      </c>
      <c r="G269" s="1186">
        <v>2</v>
      </c>
      <c r="H269" s="1186">
        <v>1059104</v>
      </c>
    </row>
    <row r="270" spans="1:8" x14ac:dyDescent="0.2">
      <c r="A270" s="1186" t="s">
        <v>343</v>
      </c>
      <c r="B270" s="1186" t="s">
        <v>311</v>
      </c>
      <c r="C270" s="1186">
        <v>2</v>
      </c>
      <c r="D270" s="1186" t="s">
        <v>852</v>
      </c>
      <c r="E270" s="1186">
        <v>7</v>
      </c>
      <c r="F270" s="1186">
        <v>2017</v>
      </c>
      <c r="G270" s="1186">
        <v>2</v>
      </c>
      <c r="H270" s="1186">
        <v>1059104</v>
      </c>
    </row>
    <row r="271" spans="1:8" x14ac:dyDescent="0.2">
      <c r="A271" s="1186" t="s">
        <v>341</v>
      </c>
      <c r="B271" s="1186" t="s">
        <v>311</v>
      </c>
      <c r="C271" s="1186">
        <v>2</v>
      </c>
      <c r="D271" s="1186" t="s">
        <v>851</v>
      </c>
      <c r="E271" s="1186">
        <v>3</v>
      </c>
      <c r="F271" s="1186">
        <v>2017</v>
      </c>
      <c r="G271" s="1186">
        <v>2</v>
      </c>
      <c r="H271" s="1186">
        <v>1059104</v>
      </c>
    </row>
    <row r="272" spans="1:8" x14ac:dyDescent="0.2">
      <c r="A272" s="1186" t="s">
        <v>343</v>
      </c>
      <c r="B272" s="1186" t="s">
        <v>311</v>
      </c>
      <c r="C272" s="1186">
        <v>2</v>
      </c>
      <c r="D272" s="1186" t="s">
        <v>828</v>
      </c>
      <c r="E272" s="1186">
        <v>217</v>
      </c>
      <c r="F272" s="1186">
        <v>2017</v>
      </c>
      <c r="G272" s="1186">
        <v>2</v>
      </c>
      <c r="H272" s="1186">
        <v>1059104</v>
      </c>
    </row>
    <row r="273" spans="1:8" x14ac:dyDescent="0.2">
      <c r="A273" s="1186" t="s">
        <v>342</v>
      </c>
      <c r="B273" s="1186" t="s">
        <v>311</v>
      </c>
      <c r="C273" s="1186">
        <v>2</v>
      </c>
      <c r="D273" s="1186" t="s">
        <v>828</v>
      </c>
      <c r="E273" s="1186">
        <v>5</v>
      </c>
      <c r="F273" s="1186">
        <v>2017</v>
      </c>
      <c r="G273" s="1186">
        <v>2</v>
      </c>
      <c r="H273" s="1186">
        <v>1059104</v>
      </c>
    </row>
    <row r="274" spans="1:8" x14ac:dyDescent="0.2">
      <c r="A274" s="1186" t="s">
        <v>341</v>
      </c>
      <c r="B274" s="1186" t="s">
        <v>311</v>
      </c>
      <c r="C274" s="1186">
        <v>2</v>
      </c>
      <c r="D274" s="1186" t="s">
        <v>850</v>
      </c>
      <c r="E274" s="1186">
        <v>22</v>
      </c>
      <c r="F274" s="1186">
        <v>2017</v>
      </c>
      <c r="G274" s="1186">
        <v>2</v>
      </c>
      <c r="H274" s="1186">
        <v>1059104</v>
      </c>
    </row>
    <row r="275" spans="1:8" x14ac:dyDescent="0.2">
      <c r="A275" s="1186" t="s">
        <v>342</v>
      </c>
      <c r="B275" s="1186" t="s">
        <v>311</v>
      </c>
      <c r="C275" s="1186">
        <v>2</v>
      </c>
      <c r="D275" s="1186" t="s">
        <v>850</v>
      </c>
      <c r="E275" s="1186">
        <v>1</v>
      </c>
      <c r="F275" s="1186">
        <v>2017</v>
      </c>
      <c r="G275" s="1186">
        <v>2</v>
      </c>
      <c r="H275" s="1186">
        <v>1059104</v>
      </c>
    </row>
    <row r="276" spans="1:8" x14ac:dyDescent="0.2">
      <c r="A276" s="1186" t="s">
        <v>341</v>
      </c>
      <c r="B276" s="1186" t="s">
        <v>311</v>
      </c>
      <c r="C276" s="1186">
        <v>3</v>
      </c>
      <c r="D276" s="1186" t="s">
        <v>828</v>
      </c>
      <c r="E276" s="1186">
        <v>109</v>
      </c>
      <c r="F276" s="1186">
        <v>2017</v>
      </c>
      <c r="G276" s="1186">
        <v>3</v>
      </c>
      <c r="H276" s="1186">
        <v>1072629</v>
      </c>
    </row>
    <row r="277" spans="1:8" x14ac:dyDescent="0.2">
      <c r="A277" s="1186" t="s">
        <v>341</v>
      </c>
      <c r="B277" s="1186" t="s">
        <v>311</v>
      </c>
      <c r="C277" s="1186">
        <v>3</v>
      </c>
      <c r="D277" s="1186" t="s">
        <v>850</v>
      </c>
      <c r="E277" s="1186">
        <v>15</v>
      </c>
      <c r="F277" s="1186">
        <v>2017</v>
      </c>
      <c r="G277" s="1186">
        <v>3</v>
      </c>
      <c r="H277" s="1186">
        <v>1072629</v>
      </c>
    </row>
    <row r="278" spans="1:8" x14ac:dyDescent="0.2">
      <c r="A278" s="1186" t="s">
        <v>341</v>
      </c>
      <c r="B278" s="1186" t="s">
        <v>311</v>
      </c>
      <c r="C278" s="1186">
        <v>3</v>
      </c>
      <c r="D278" s="1186" t="s">
        <v>851</v>
      </c>
      <c r="E278" s="1186">
        <v>13</v>
      </c>
      <c r="F278" s="1186">
        <v>2017</v>
      </c>
      <c r="G278" s="1186">
        <v>3</v>
      </c>
      <c r="H278" s="1186">
        <v>1072629</v>
      </c>
    </row>
    <row r="279" spans="1:8" x14ac:dyDescent="0.2">
      <c r="A279" s="1186" t="s">
        <v>341</v>
      </c>
      <c r="B279" s="1186" t="s">
        <v>311</v>
      </c>
      <c r="C279" s="1186">
        <v>3</v>
      </c>
      <c r="D279" s="1186" t="s">
        <v>852</v>
      </c>
      <c r="E279" s="1186">
        <v>4</v>
      </c>
      <c r="F279" s="1186">
        <v>2017</v>
      </c>
      <c r="G279" s="1186">
        <v>3</v>
      </c>
      <c r="H279" s="1186">
        <v>1072629</v>
      </c>
    </row>
    <row r="280" spans="1:8" x14ac:dyDescent="0.2">
      <c r="A280" s="1186" t="s">
        <v>342</v>
      </c>
      <c r="B280" s="1186" t="s">
        <v>311</v>
      </c>
      <c r="C280" s="1186">
        <v>3</v>
      </c>
      <c r="D280" s="1186" t="s">
        <v>852</v>
      </c>
      <c r="E280" s="1186">
        <v>1</v>
      </c>
      <c r="F280" s="1186">
        <v>2017</v>
      </c>
      <c r="G280" s="1186">
        <v>3</v>
      </c>
      <c r="H280" s="1186">
        <v>1072629</v>
      </c>
    </row>
    <row r="281" spans="1:8" x14ac:dyDescent="0.2">
      <c r="A281" s="1186" t="s">
        <v>342</v>
      </c>
      <c r="B281" s="1186" t="s">
        <v>311</v>
      </c>
      <c r="C281" s="1186">
        <v>3</v>
      </c>
      <c r="D281" s="1186" t="s">
        <v>851</v>
      </c>
      <c r="E281" s="1186">
        <v>3</v>
      </c>
      <c r="F281" s="1186">
        <v>2017</v>
      </c>
      <c r="G281" s="1186">
        <v>3</v>
      </c>
      <c r="H281" s="1186">
        <v>1072629</v>
      </c>
    </row>
    <row r="282" spans="1:8" x14ac:dyDescent="0.2">
      <c r="A282" s="1186" t="s">
        <v>343</v>
      </c>
      <c r="B282" s="1186" t="s">
        <v>311</v>
      </c>
      <c r="C282" s="1186">
        <v>3</v>
      </c>
      <c r="D282" s="1186" t="s">
        <v>828</v>
      </c>
      <c r="E282" s="1186">
        <v>128</v>
      </c>
      <c r="F282" s="1186">
        <v>2017</v>
      </c>
      <c r="G282" s="1186">
        <v>3</v>
      </c>
      <c r="H282" s="1186">
        <v>1072629</v>
      </c>
    </row>
    <row r="283" spans="1:8" x14ac:dyDescent="0.2">
      <c r="A283" s="1186" t="s">
        <v>342</v>
      </c>
      <c r="B283" s="1186" t="s">
        <v>311</v>
      </c>
      <c r="C283" s="1186">
        <v>3</v>
      </c>
      <c r="D283" s="1186" t="s">
        <v>828</v>
      </c>
      <c r="E283" s="1186">
        <v>10</v>
      </c>
      <c r="F283" s="1186">
        <v>2017</v>
      </c>
      <c r="G283" s="1186">
        <v>3</v>
      </c>
      <c r="H283" s="1186">
        <v>1072629</v>
      </c>
    </row>
    <row r="284" spans="1:8" x14ac:dyDescent="0.2">
      <c r="A284" s="1186" t="s">
        <v>343</v>
      </c>
      <c r="B284" s="1186" t="s">
        <v>311</v>
      </c>
      <c r="C284" s="1186">
        <v>3</v>
      </c>
      <c r="D284" s="1186" t="s">
        <v>850</v>
      </c>
      <c r="E284" s="1186">
        <v>19</v>
      </c>
      <c r="F284" s="1186">
        <v>2017</v>
      </c>
      <c r="G284" s="1186">
        <v>3</v>
      </c>
      <c r="H284" s="1186">
        <v>1072629</v>
      </c>
    </row>
    <row r="285" spans="1:8" x14ac:dyDescent="0.2">
      <c r="A285" s="1186" t="s">
        <v>343</v>
      </c>
      <c r="B285" s="1186" t="s">
        <v>311</v>
      </c>
      <c r="C285" s="1186">
        <v>3</v>
      </c>
      <c r="D285" s="1186" t="s">
        <v>851</v>
      </c>
      <c r="E285" s="1186">
        <v>19</v>
      </c>
      <c r="F285" s="1186">
        <v>2017</v>
      </c>
      <c r="G285" s="1186">
        <v>3</v>
      </c>
      <c r="H285" s="1186">
        <v>1072629</v>
      </c>
    </row>
    <row r="286" spans="1:8" x14ac:dyDescent="0.2">
      <c r="A286" s="1186" t="s">
        <v>343</v>
      </c>
      <c r="B286" s="1186" t="s">
        <v>311</v>
      </c>
      <c r="C286" s="1186">
        <v>3</v>
      </c>
      <c r="D286" s="1186" t="s">
        <v>852</v>
      </c>
      <c r="E286" s="1186">
        <v>4</v>
      </c>
      <c r="F286" s="1186">
        <v>2017</v>
      </c>
      <c r="G286" s="1186">
        <v>3</v>
      </c>
      <c r="H286" s="1186">
        <v>1072629</v>
      </c>
    </row>
    <row r="287" spans="1:8" x14ac:dyDescent="0.2">
      <c r="A287" s="1186" t="s">
        <v>342</v>
      </c>
      <c r="B287" s="1186" t="s">
        <v>311</v>
      </c>
      <c r="C287" s="1186">
        <v>4</v>
      </c>
      <c r="D287" s="1186" t="s">
        <v>828</v>
      </c>
      <c r="E287" s="1186">
        <v>5</v>
      </c>
      <c r="F287" s="1186">
        <v>2017</v>
      </c>
      <c r="G287" s="1186">
        <v>4</v>
      </c>
      <c r="H287" s="1186">
        <v>1110521</v>
      </c>
    </row>
    <row r="288" spans="1:8" x14ac:dyDescent="0.2">
      <c r="A288" s="1186" t="s">
        <v>341</v>
      </c>
      <c r="B288" s="1186" t="s">
        <v>311</v>
      </c>
      <c r="C288" s="1186">
        <v>4</v>
      </c>
      <c r="D288" s="1186" t="s">
        <v>828</v>
      </c>
      <c r="E288" s="1186">
        <v>75</v>
      </c>
      <c r="F288" s="1186">
        <v>2017</v>
      </c>
      <c r="G288" s="1186">
        <v>4</v>
      </c>
      <c r="H288" s="1186">
        <v>1110521</v>
      </c>
    </row>
    <row r="289" spans="1:8" x14ac:dyDescent="0.2">
      <c r="A289" s="1186" t="s">
        <v>341</v>
      </c>
      <c r="B289" s="1186" t="s">
        <v>311</v>
      </c>
      <c r="C289" s="1186">
        <v>4</v>
      </c>
      <c r="D289" s="1186" t="s">
        <v>850</v>
      </c>
      <c r="E289" s="1186">
        <v>23</v>
      </c>
      <c r="F289" s="1186">
        <v>2017</v>
      </c>
      <c r="G289" s="1186">
        <v>4</v>
      </c>
      <c r="H289" s="1186">
        <v>1110521</v>
      </c>
    </row>
    <row r="290" spans="1:8" x14ac:dyDescent="0.2">
      <c r="A290" s="1186" t="s">
        <v>341</v>
      </c>
      <c r="B290" s="1186" t="s">
        <v>311</v>
      </c>
      <c r="C290" s="1186">
        <v>4</v>
      </c>
      <c r="D290" s="1186" t="s">
        <v>851</v>
      </c>
      <c r="E290" s="1186">
        <v>10</v>
      </c>
      <c r="F290" s="1186">
        <v>2017</v>
      </c>
      <c r="G290" s="1186">
        <v>4</v>
      </c>
      <c r="H290" s="1186">
        <v>1110521</v>
      </c>
    </row>
    <row r="291" spans="1:8" x14ac:dyDescent="0.2">
      <c r="A291" s="1186" t="s">
        <v>341</v>
      </c>
      <c r="B291" s="1186" t="s">
        <v>311</v>
      </c>
      <c r="C291" s="1186">
        <v>4</v>
      </c>
      <c r="D291" s="1186" t="s">
        <v>852</v>
      </c>
      <c r="E291" s="1186">
        <v>3</v>
      </c>
      <c r="F291" s="1186">
        <v>2017</v>
      </c>
      <c r="G291" s="1186">
        <v>4</v>
      </c>
      <c r="H291" s="1186">
        <v>1110521</v>
      </c>
    </row>
    <row r="292" spans="1:8" x14ac:dyDescent="0.2">
      <c r="A292" s="1186" t="s">
        <v>343</v>
      </c>
      <c r="B292" s="1186" t="s">
        <v>311</v>
      </c>
      <c r="C292" s="1186">
        <v>4</v>
      </c>
      <c r="D292" s="1186" t="s">
        <v>828</v>
      </c>
      <c r="E292" s="1186">
        <v>100</v>
      </c>
      <c r="F292" s="1186">
        <v>2017</v>
      </c>
      <c r="G292" s="1186">
        <v>4</v>
      </c>
      <c r="H292" s="1186">
        <v>1110521</v>
      </c>
    </row>
    <row r="293" spans="1:8" x14ac:dyDescent="0.2">
      <c r="A293" s="1186" t="s">
        <v>343</v>
      </c>
      <c r="B293" s="1186" t="s">
        <v>311</v>
      </c>
      <c r="C293" s="1186">
        <v>4</v>
      </c>
      <c r="D293" s="1186" t="s">
        <v>850</v>
      </c>
      <c r="E293" s="1186">
        <v>28</v>
      </c>
      <c r="F293" s="1186">
        <v>2017</v>
      </c>
      <c r="G293" s="1186">
        <v>4</v>
      </c>
      <c r="H293" s="1186">
        <v>1110521</v>
      </c>
    </row>
    <row r="294" spans="1:8" x14ac:dyDescent="0.2">
      <c r="A294" s="1186" t="s">
        <v>343</v>
      </c>
      <c r="B294" s="1186" t="s">
        <v>311</v>
      </c>
      <c r="C294" s="1186">
        <v>4</v>
      </c>
      <c r="D294" s="1186" t="s">
        <v>851</v>
      </c>
      <c r="E294" s="1186">
        <v>11</v>
      </c>
      <c r="F294" s="1186">
        <v>2017</v>
      </c>
      <c r="G294" s="1186">
        <v>4</v>
      </c>
      <c r="H294" s="1186">
        <v>1110521</v>
      </c>
    </row>
    <row r="295" spans="1:8" x14ac:dyDescent="0.2">
      <c r="A295" s="1186" t="s">
        <v>343</v>
      </c>
      <c r="B295" s="1186" t="s">
        <v>311</v>
      </c>
      <c r="C295" s="1186">
        <v>4</v>
      </c>
      <c r="D295" s="1186" t="s">
        <v>852</v>
      </c>
      <c r="E295" s="1186">
        <v>7</v>
      </c>
      <c r="F295" s="1186">
        <v>2017</v>
      </c>
      <c r="G295" s="1186">
        <v>4</v>
      </c>
      <c r="H295" s="1186">
        <v>1110521</v>
      </c>
    </row>
    <row r="296" spans="1:8" x14ac:dyDescent="0.2">
      <c r="A296" s="1186" t="s">
        <v>341</v>
      </c>
      <c r="B296" s="1186" t="s">
        <v>311</v>
      </c>
      <c r="C296" s="1186">
        <v>5</v>
      </c>
      <c r="D296" s="1186" t="s">
        <v>828</v>
      </c>
      <c r="E296" s="1186">
        <v>58</v>
      </c>
      <c r="F296" s="1186">
        <v>2017</v>
      </c>
      <c r="G296" s="1186">
        <v>5</v>
      </c>
      <c r="H296" s="1186">
        <v>1123258</v>
      </c>
    </row>
    <row r="297" spans="1:8" x14ac:dyDescent="0.2">
      <c r="A297" s="1186" t="s">
        <v>341</v>
      </c>
      <c r="B297" s="1186" t="s">
        <v>311</v>
      </c>
      <c r="C297" s="1186">
        <v>5</v>
      </c>
      <c r="D297" s="1186" t="s">
        <v>850</v>
      </c>
      <c r="E297" s="1186">
        <v>12</v>
      </c>
      <c r="F297" s="1186">
        <v>2017</v>
      </c>
      <c r="G297" s="1186">
        <v>5</v>
      </c>
      <c r="H297" s="1186">
        <v>1123258</v>
      </c>
    </row>
    <row r="298" spans="1:8" x14ac:dyDescent="0.2">
      <c r="A298" s="1186" t="s">
        <v>341</v>
      </c>
      <c r="B298" s="1186" t="s">
        <v>311</v>
      </c>
      <c r="C298" s="1186">
        <v>5</v>
      </c>
      <c r="D298" s="1186" t="s">
        <v>851</v>
      </c>
      <c r="E298" s="1186">
        <v>3</v>
      </c>
      <c r="F298" s="1186">
        <v>2017</v>
      </c>
      <c r="G298" s="1186">
        <v>5</v>
      </c>
      <c r="H298" s="1186">
        <v>1123258</v>
      </c>
    </row>
    <row r="299" spans="1:8" x14ac:dyDescent="0.2">
      <c r="A299" s="1186" t="s">
        <v>341</v>
      </c>
      <c r="B299" s="1186" t="s">
        <v>311</v>
      </c>
      <c r="C299" s="1186">
        <v>5</v>
      </c>
      <c r="D299" s="1186" t="s">
        <v>852</v>
      </c>
      <c r="E299" s="1186">
        <v>1</v>
      </c>
      <c r="F299" s="1186">
        <v>2017</v>
      </c>
      <c r="G299" s="1186">
        <v>5</v>
      </c>
      <c r="H299" s="1186">
        <v>1123258</v>
      </c>
    </row>
    <row r="300" spans="1:8" x14ac:dyDescent="0.2">
      <c r="A300" s="1186" t="s">
        <v>342</v>
      </c>
      <c r="B300" s="1186" t="s">
        <v>311</v>
      </c>
      <c r="C300" s="1186">
        <v>5</v>
      </c>
      <c r="D300" s="1186" t="s">
        <v>828</v>
      </c>
      <c r="E300" s="1186">
        <v>3</v>
      </c>
      <c r="F300" s="1186">
        <v>2017</v>
      </c>
      <c r="G300" s="1186">
        <v>5</v>
      </c>
      <c r="H300" s="1186">
        <v>1123258</v>
      </c>
    </row>
    <row r="301" spans="1:8" x14ac:dyDescent="0.2">
      <c r="A301" s="1186" t="s">
        <v>343</v>
      </c>
      <c r="B301" s="1186" t="s">
        <v>311</v>
      </c>
      <c r="C301" s="1186">
        <v>5</v>
      </c>
      <c r="D301" s="1186" t="s">
        <v>850</v>
      </c>
      <c r="E301" s="1186">
        <v>14</v>
      </c>
      <c r="F301" s="1186">
        <v>2017</v>
      </c>
      <c r="G301" s="1186">
        <v>5</v>
      </c>
      <c r="H301" s="1186">
        <v>1123258</v>
      </c>
    </row>
    <row r="302" spans="1:8" x14ac:dyDescent="0.2">
      <c r="A302" s="1186" t="s">
        <v>343</v>
      </c>
      <c r="B302" s="1186" t="s">
        <v>311</v>
      </c>
      <c r="C302" s="1186">
        <v>5</v>
      </c>
      <c r="D302" s="1186" t="s">
        <v>851</v>
      </c>
      <c r="E302" s="1186">
        <v>3</v>
      </c>
      <c r="F302" s="1186">
        <v>2017</v>
      </c>
      <c r="G302" s="1186">
        <v>5</v>
      </c>
      <c r="H302" s="1186">
        <v>1123258</v>
      </c>
    </row>
    <row r="303" spans="1:8" x14ac:dyDescent="0.2">
      <c r="A303" s="1186" t="s">
        <v>343</v>
      </c>
      <c r="B303" s="1186" t="s">
        <v>311</v>
      </c>
      <c r="C303" s="1186">
        <v>5</v>
      </c>
      <c r="D303" s="1186" t="s">
        <v>852</v>
      </c>
      <c r="E303" s="1186">
        <v>1</v>
      </c>
      <c r="F303" s="1186">
        <v>2017</v>
      </c>
      <c r="G303" s="1186">
        <v>5</v>
      </c>
      <c r="H303" s="1186">
        <v>1123258</v>
      </c>
    </row>
    <row r="304" spans="1:8" x14ac:dyDescent="0.2">
      <c r="A304" s="1186" t="s">
        <v>343</v>
      </c>
      <c r="B304" s="1186" t="s">
        <v>311</v>
      </c>
      <c r="C304" s="1186">
        <v>5</v>
      </c>
      <c r="D304" s="1186" t="s">
        <v>828</v>
      </c>
      <c r="E304" s="1186">
        <v>66</v>
      </c>
      <c r="F304" s="1186">
        <v>2017</v>
      </c>
      <c r="G304" s="1186">
        <v>5</v>
      </c>
      <c r="H304" s="1186">
        <v>1123258</v>
      </c>
    </row>
    <row r="305" spans="1:8" x14ac:dyDescent="0.2">
      <c r="A305" s="1186" t="s">
        <v>341</v>
      </c>
      <c r="B305" s="1186" t="s">
        <v>621</v>
      </c>
      <c r="C305" s="1186">
        <v>1</v>
      </c>
      <c r="D305" s="1186" t="s">
        <v>852</v>
      </c>
      <c r="E305" s="1186">
        <v>10</v>
      </c>
      <c r="F305" s="1186">
        <v>2018</v>
      </c>
      <c r="G305" s="1186">
        <v>1</v>
      </c>
      <c r="H305" s="1186">
        <v>1059180</v>
      </c>
    </row>
    <row r="306" spans="1:8" x14ac:dyDescent="0.2">
      <c r="A306" s="1186" t="s">
        <v>343</v>
      </c>
      <c r="B306" s="1186" t="s">
        <v>621</v>
      </c>
      <c r="C306" s="1186">
        <v>1</v>
      </c>
      <c r="D306" s="1186" t="s">
        <v>852</v>
      </c>
      <c r="E306" s="1186">
        <v>12</v>
      </c>
      <c r="F306" s="1186">
        <v>2018</v>
      </c>
      <c r="G306" s="1186">
        <v>1</v>
      </c>
      <c r="H306" s="1186">
        <v>1059180</v>
      </c>
    </row>
    <row r="307" spans="1:8" x14ac:dyDescent="0.2">
      <c r="A307" s="1186" t="s">
        <v>343</v>
      </c>
      <c r="B307" s="1186" t="s">
        <v>621</v>
      </c>
      <c r="C307" s="1186">
        <v>1</v>
      </c>
      <c r="D307" s="1186" t="s">
        <v>851</v>
      </c>
      <c r="E307" s="1186">
        <v>2</v>
      </c>
      <c r="F307" s="1186">
        <v>2018</v>
      </c>
      <c r="G307" s="1186">
        <v>1</v>
      </c>
      <c r="H307" s="1186">
        <v>1059180</v>
      </c>
    </row>
    <row r="308" spans="1:8" x14ac:dyDescent="0.2">
      <c r="A308" s="1186" t="s">
        <v>341</v>
      </c>
      <c r="B308" s="1186" t="s">
        <v>621</v>
      </c>
      <c r="C308" s="1186">
        <v>1</v>
      </c>
      <c r="D308" s="1186" t="s">
        <v>828</v>
      </c>
      <c r="E308" s="1186">
        <v>374</v>
      </c>
      <c r="F308" s="1186">
        <v>2018</v>
      </c>
      <c r="G308" s="1186">
        <v>1</v>
      </c>
      <c r="H308" s="1186">
        <v>1059180</v>
      </c>
    </row>
    <row r="309" spans="1:8" x14ac:dyDescent="0.2">
      <c r="A309" s="1186" t="s">
        <v>342</v>
      </c>
      <c r="B309" s="1186" t="s">
        <v>621</v>
      </c>
      <c r="C309" s="1186">
        <v>1</v>
      </c>
      <c r="D309" s="1186" t="s">
        <v>852</v>
      </c>
      <c r="E309" s="1186">
        <v>1</v>
      </c>
      <c r="F309" s="1186">
        <v>2018</v>
      </c>
      <c r="G309" s="1186">
        <v>1</v>
      </c>
      <c r="H309" s="1186">
        <v>1059180</v>
      </c>
    </row>
    <row r="310" spans="1:8" x14ac:dyDescent="0.2">
      <c r="A310" s="1186" t="s">
        <v>341</v>
      </c>
      <c r="B310" s="1186" t="s">
        <v>621</v>
      </c>
      <c r="C310" s="1186">
        <v>1</v>
      </c>
      <c r="D310" s="1186" t="s">
        <v>850</v>
      </c>
      <c r="E310" s="1186">
        <v>19</v>
      </c>
      <c r="F310" s="1186">
        <v>2018</v>
      </c>
      <c r="G310" s="1186">
        <v>1</v>
      </c>
      <c r="H310" s="1186">
        <v>1059180</v>
      </c>
    </row>
    <row r="311" spans="1:8" x14ac:dyDescent="0.2">
      <c r="A311" s="1186" t="s">
        <v>343</v>
      </c>
      <c r="B311" s="1186" t="s">
        <v>621</v>
      </c>
      <c r="C311" s="1186">
        <v>1</v>
      </c>
      <c r="D311" s="1186" t="s">
        <v>850</v>
      </c>
      <c r="E311" s="1186">
        <v>20</v>
      </c>
      <c r="F311" s="1186">
        <v>2018</v>
      </c>
      <c r="G311" s="1186">
        <v>1</v>
      </c>
      <c r="H311" s="1186">
        <v>1059180</v>
      </c>
    </row>
    <row r="312" spans="1:8" x14ac:dyDescent="0.2">
      <c r="A312" s="1186" t="s">
        <v>341</v>
      </c>
      <c r="B312" s="1186" t="s">
        <v>621</v>
      </c>
      <c r="C312" s="1186">
        <v>1</v>
      </c>
      <c r="D312" s="1186" t="s">
        <v>851</v>
      </c>
      <c r="E312" s="1186">
        <v>1</v>
      </c>
      <c r="F312" s="1186">
        <v>2018</v>
      </c>
      <c r="G312" s="1186">
        <v>1</v>
      </c>
      <c r="H312" s="1186">
        <v>1059180</v>
      </c>
    </row>
    <row r="313" spans="1:8" x14ac:dyDescent="0.2">
      <c r="A313" s="1186" t="s">
        <v>342</v>
      </c>
      <c r="B313" s="1186" t="s">
        <v>621</v>
      </c>
      <c r="C313" s="1186">
        <v>1</v>
      </c>
      <c r="D313" s="1186" t="s">
        <v>828</v>
      </c>
      <c r="E313" s="1186">
        <v>13</v>
      </c>
      <c r="F313" s="1186">
        <v>2018</v>
      </c>
      <c r="G313" s="1186">
        <v>1</v>
      </c>
      <c r="H313" s="1186">
        <v>1059180</v>
      </c>
    </row>
    <row r="314" spans="1:8" x14ac:dyDescent="0.2">
      <c r="A314" s="1186" t="s">
        <v>343</v>
      </c>
      <c r="B314" s="1186" t="s">
        <v>621</v>
      </c>
      <c r="C314" s="1186">
        <v>1</v>
      </c>
      <c r="D314" s="1186" t="s">
        <v>828</v>
      </c>
      <c r="E314" s="1186">
        <v>491</v>
      </c>
      <c r="F314" s="1186">
        <v>2018</v>
      </c>
      <c r="G314" s="1186">
        <v>1</v>
      </c>
      <c r="H314" s="1186">
        <v>1059180</v>
      </c>
    </row>
    <row r="315" spans="1:8" x14ac:dyDescent="0.2">
      <c r="A315" s="1186" t="s">
        <v>341</v>
      </c>
      <c r="B315" s="1186" t="s">
        <v>621</v>
      </c>
      <c r="C315" s="1186">
        <v>2</v>
      </c>
      <c r="D315" s="1186" t="s">
        <v>852</v>
      </c>
      <c r="E315" s="1186">
        <v>7</v>
      </c>
      <c r="F315" s="1186">
        <v>2018</v>
      </c>
      <c r="G315" s="1186">
        <v>2</v>
      </c>
      <c r="H315" s="1186">
        <v>1058116</v>
      </c>
    </row>
    <row r="316" spans="1:8" x14ac:dyDescent="0.2">
      <c r="A316" s="1186" t="s">
        <v>341</v>
      </c>
      <c r="B316" s="1186" t="s">
        <v>621</v>
      </c>
      <c r="C316" s="1186">
        <v>2</v>
      </c>
      <c r="D316" s="1186" t="s">
        <v>851</v>
      </c>
      <c r="E316" s="1186">
        <v>10</v>
      </c>
      <c r="F316" s="1186">
        <v>2018</v>
      </c>
      <c r="G316" s="1186">
        <v>2</v>
      </c>
      <c r="H316" s="1186">
        <v>1058116</v>
      </c>
    </row>
    <row r="317" spans="1:8" x14ac:dyDescent="0.2">
      <c r="A317" s="1186" t="s">
        <v>341</v>
      </c>
      <c r="B317" s="1186" t="s">
        <v>621</v>
      </c>
      <c r="C317" s="1186">
        <v>2</v>
      </c>
      <c r="D317" s="1186" t="s">
        <v>828</v>
      </c>
      <c r="E317" s="1186">
        <v>182</v>
      </c>
      <c r="F317" s="1186">
        <v>2018</v>
      </c>
      <c r="G317" s="1186">
        <v>2</v>
      </c>
      <c r="H317" s="1186">
        <v>1058116</v>
      </c>
    </row>
    <row r="318" spans="1:8" x14ac:dyDescent="0.2">
      <c r="A318" s="1186" t="s">
        <v>343</v>
      </c>
      <c r="B318" s="1186" t="s">
        <v>621</v>
      </c>
      <c r="C318" s="1186">
        <v>2</v>
      </c>
      <c r="D318" s="1186" t="s">
        <v>828</v>
      </c>
      <c r="E318" s="1186">
        <v>236</v>
      </c>
      <c r="F318" s="1186">
        <v>2018</v>
      </c>
      <c r="G318" s="1186">
        <v>2</v>
      </c>
      <c r="H318" s="1186">
        <v>1058116</v>
      </c>
    </row>
    <row r="319" spans="1:8" x14ac:dyDescent="0.2">
      <c r="A319" s="1186" t="s">
        <v>341</v>
      </c>
      <c r="B319" s="1186" t="s">
        <v>621</v>
      </c>
      <c r="C319" s="1186">
        <v>2</v>
      </c>
      <c r="D319" s="1186" t="s">
        <v>850</v>
      </c>
      <c r="E319" s="1186">
        <v>18</v>
      </c>
      <c r="F319" s="1186">
        <v>2018</v>
      </c>
      <c r="G319" s="1186">
        <v>2</v>
      </c>
      <c r="H319" s="1186">
        <v>1058116</v>
      </c>
    </row>
    <row r="320" spans="1:8" x14ac:dyDescent="0.2">
      <c r="A320" s="1186" t="s">
        <v>342</v>
      </c>
      <c r="B320" s="1186" t="s">
        <v>621</v>
      </c>
      <c r="C320" s="1186">
        <v>2</v>
      </c>
      <c r="D320" s="1186" t="s">
        <v>828</v>
      </c>
      <c r="E320" s="1186">
        <v>9</v>
      </c>
      <c r="F320" s="1186">
        <v>2018</v>
      </c>
      <c r="G320" s="1186">
        <v>2</v>
      </c>
      <c r="H320" s="1186">
        <v>1058116</v>
      </c>
    </row>
    <row r="321" spans="1:8" x14ac:dyDescent="0.2">
      <c r="A321" s="1186" t="s">
        <v>343</v>
      </c>
      <c r="B321" s="1186" t="s">
        <v>621</v>
      </c>
      <c r="C321" s="1186">
        <v>2</v>
      </c>
      <c r="D321" s="1186" t="s">
        <v>851</v>
      </c>
      <c r="E321" s="1186">
        <v>11</v>
      </c>
      <c r="F321" s="1186">
        <v>2018</v>
      </c>
      <c r="G321" s="1186">
        <v>2</v>
      </c>
      <c r="H321" s="1186">
        <v>1058116</v>
      </c>
    </row>
    <row r="322" spans="1:8" x14ac:dyDescent="0.2">
      <c r="A322" s="1186" t="s">
        <v>343</v>
      </c>
      <c r="B322" s="1186" t="s">
        <v>621</v>
      </c>
      <c r="C322" s="1186">
        <v>2</v>
      </c>
      <c r="D322" s="1186" t="s">
        <v>852</v>
      </c>
      <c r="E322" s="1186">
        <v>7</v>
      </c>
      <c r="F322" s="1186">
        <v>2018</v>
      </c>
      <c r="G322" s="1186">
        <v>2</v>
      </c>
      <c r="H322" s="1186">
        <v>1058116</v>
      </c>
    </row>
    <row r="323" spans="1:8" x14ac:dyDescent="0.2">
      <c r="A323" s="1186" t="s">
        <v>342</v>
      </c>
      <c r="B323" s="1186" t="s">
        <v>621</v>
      </c>
      <c r="C323" s="1186">
        <v>2</v>
      </c>
      <c r="D323" s="1186" t="s">
        <v>850</v>
      </c>
      <c r="E323" s="1186">
        <v>1</v>
      </c>
      <c r="F323" s="1186">
        <v>2018</v>
      </c>
      <c r="G323" s="1186">
        <v>2</v>
      </c>
      <c r="H323" s="1186">
        <v>1058116</v>
      </c>
    </row>
    <row r="324" spans="1:8" x14ac:dyDescent="0.2">
      <c r="A324" s="1186" t="s">
        <v>342</v>
      </c>
      <c r="B324" s="1186" t="s">
        <v>621</v>
      </c>
      <c r="C324" s="1186">
        <v>2</v>
      </c>
      <c r="D324" s="1186" t="s">
        <v>852</v>
      </c>
      <c r="E324" s="1186">
        <v>1</v>
      </c>
      <c r="F324" s="1186">
        <v>2018</v>
      </c>
      <c r="G324" s="1186">
        <v>2</v>
      </c>
      <c r="H324" s="1186">
        <v>1058116</v>
      </c>
    </row>
    <row r="325" spans="1:8" x14ac:dyDescent="0.2">
      <c r="A325" s="1186" t="s">
        <v>343</v>
      </c>
      <c r="B325" s="1186" t="s">
        <v>621</v>
      </c>
      <c r="C325" s="1186">
        <v>2</v>
      </c>
      <c r="D325" s="1186" t="s">
        <v>850</v>
      </c>
      <c r="E325" s="1186">
        <v>23</v>
      </c>
      <c r="F325" s="1186">
        <v>2018</v>
      </c>
      <c r="G325" s="1186">
        <v>2</v>
      </c>
      <c r="H325" s="1186">
        <v>1058116</v>
      </c>
    </row>
    <row r="326" spans="1:8" x14ac:dyDescent="0.2">
      <c r="A326" s="1186" t="s">
        <v>341</v>
      </c>
      <c r="B326" s="1186" t="s">
        <v>621</v>
      </c>
      <c r="C326" s="1186">
        <v>3</v>
      </c>
      <c r="D326" s="1186" t="s">
        <v>852</v>
      </c>
      <c r="E326" s="1186">
        <v>10</v>
      </c>
      <c r="F326" s="1186">
        <v>2018</v>
      </c>
      <c r="G326" s="1186">
        <v>3</v>
      </c>
      <c r="H326" s="1186">
        <v>1075006</v>
      </c>
    </row>
    <row r="327" spans="1:8" x14ac:dyDescent="0.2">
      <c r="A327" s="1186" t="s">
        <v>343</v>
      </c>
      <c r="B327" s="1186" t="s">
        <v>621</v>
      </c>
      <c r="C327" s="1186">
        <v>3</v>
      </c>
      <c r="D327" s="1186" t="s">
        <v>828</v>
      </c>
      <c r="E327" s="1186">
        <v>148</v>
      </c>
      <c r="F327" s="1186">
        <v>2018</v>
      </c>
      <c r="G327" s="1186">
        <v>3</v>
      </c>
      <c r="H327" s="1186">
        <v>1075006</v>
      </c>
    </row>
    <row r="328" spans="1:8" x14ac:dyDescent="0.2">
      <c r="A328" s="1186" t="s">
        <v>343</v>
      </c>
      <c r="B328" s="1186" t="s">
        <v>621</v>
      </c>
      <c r="C328" s="1186">
        <v>3</v>
      </c>
      <c r="D328" s="1186" t="s">
        <v>850</v>
      </c>
      <c r="E328" s="1186">
        <v>33</v>
      </c>
      <c r="F328" s="1186">
        <v>2018</v>
      </c>
      <c r="G328" s="1186">
        <v>3</v>
      </c>
      <c r="H328" s="1186">
        <v>1075006</v>
      </c>
    </row>
    <row r="329" spans="1:8" x14ac:dyDescent="0.2">
      <c r="A329" s="1186" t="s">
        <v>342</v>
      </c>
      <c r="B329" s="1186" t="s">
        <v>621</v>
      </c>
      <c r="C329" s="1186">
        <v>3</v>
      </c>
      <c r="D329" s="1186" t="s">
        <v>828</v>
      </c>
      <c r="E329" s="1186">
        <v>10</v>
      </c>
      <c r="F329" s="1186">
        <v>2018</v>
      </c>
      <c r="G329" s="1186">
        <v>3</v>
      </c>
      <c r="H329" s="1186">
        <v>1075006</v>
      </c>
    </row>
    <row r="330" spans="1:8" x14ac:dyDescent="0.2">
      <c r="A330" s="1186" t="s">
        <v>343</v>
      </c>
      <c r="B330" s="1186" t="s">
        <v>621</v>
      </c>
      <c r="C330" s="1186">
        <v>3</v>
      </c>
      <c r="D330" s="1186" t="s">
        <v>851</v>
      </c>
      <c r="E330" s="1186">
        <v>6</v>
      </c>
      <c r="F330" s="1186">
        <v>2018</v>
      </c>
      <c r="G330" s="1186">
        <v>3</v>
      </c>
      <c r="H330" s="1186">
        <v>1075006</v>
      </c>
    </row>
    <row r="331" spans="1:8" x14ac:dyDescent="0.2">
      <c r="A331" s="1186" t="s">
        <v>343</v>
      </c>
      <c r="B331" s="1186" t="s">
        <v>621</v>
      </c>
      <c r="C331" s="1186">
        <v>3</v>
      </c>
      <c r="D331" s="1186" t="s">
        <v>852</v>
      </c>
      <c r="E331" s="1186">
        <v>10</v>
      </c>
      <c r="F331" s="1186">
        <v>2018</v>
      </c>
      <c r="G331" s="1186">
        <v>3</v>
      </c>
      <c r="H331" s="1186">
        <v>1075006</v>
      </c>
    </row>
    <row r="332" spans="1:8" x14ac:dyDescent="0.2">
      <c r="A332" s="1186" t="s">
        <v>341</v>
      </c>
      <c r="B332" s="1186" t="s">
        <v>621</v>
      </c>
      <c r="C332" s="1186">
        <v>3</v>
      </c>
      <c r="D332" s="1186" t="s">
        <v>851</v>
      </c>
      <c r="E332" s="1186">
        <v>6</v>
      </c>
      <c r="F332" s="1186">
        <v>2018</v>
      </c>
      <c r="G332" s="1186">
        <v>3</v>
      </c>
      <c r="H332" s="1186">
        <v>1075006</v>
      </c>
    </row>
    <row r="333" spans="1:8" x14ac:dyDescent="0.2">
      <c r="A333" s="1186" t="s">
        <v>341</v>
      </c>
      <c r="B333" s="1186" t="s">
        <v>621</v>
      </c>
      <c r="C333" s="1186">
        <v>3</v>
      </c>
      <c r="D333" s="1186" t="s">
        <v>828</v>
      </c>
      <c r="E333" s="1186">
        <v>120</v>
      </c>
      <c r="F333" s="1186">
        <v>2018</v>
      </c>
      <c r="G333" s="1186">
        <v>3</v>
      </c>
      <c r="H333" s="1186">
        <v>1075006</v>
      </c>
    </row>
    <row r="334" spans="1:8" x14ac:dyDescent="0.2">
      <c r="A334" s="1186" t="s">
        <v>341</v>
      </c>
      <c r="B334" s="1186" t="s">
        <v>621</v>
      </c>
      <c r="C334" s="1186">
        <v>3</v>
      </c>
      <c r="D334" s="1186" t="s">
        <v>850</v>
      </c>
      <c r="E334" s="1186">
        <v>28</v>
      </c>
      <c r="F334" s="1186">
        <v>2018</v>
      </c>
      <c r="G334" s="1186">
        <v>3</v>
      </c>
      <c r="H334" s="1186">
        <v>1075006</v>
      </c>
    </row>
    <row r="335" spans="1:8" x14ac:dyDescent="0.2">
      <c r="A335" s="1186" t="s">
        <v>343</v>
      </c>
      <c r="B335" s="1186" t="s">
        <v>621</v>
      </c>
      <c r="C335" s="1186">
        <v>4</v>
      </c>
      <c r="D335" s="1186" t="s">
        <v>828</v>
      </c>
      <c r="E335" s="1186">
        <v>76</v>
      </c>
      <c r="F335" s="1186">
        <v>2018</v>
      </c>
      <c r="G335" s="1186">
        <v>4</v>
      </c>
      <c r="H335" s="1186">
        <v>1120192</v>
      </c>
    </row>
    <row r="336" spans="1:8" x14ac:dyDescent="0.2">
      <c r="A336" s="1186" t="s">
        <v>343</v>
      </c>
      <c r="B336" s="1186" t="s">
        <v>621</v>
      </c>
      <c r="C336" s="1186">
        <v>4</v>
      </c>
      <c r="D336" s="1186" t="s">
        <v>850</v>
      </c>
      <c r="E336" s="1186">
        <v>22</v>
      </c>
      <c r="F336" s="1186">
        <v>2018</v>
      </c>
      <c r="G336" s="1186">
        <v>4</v>
      </c>
      <c r="H336" s="1186">
        <v>1120192</v>
      </c>
    </row>
    <row r="337" spans="1:8" x14ac:dyDescent="0.2">
      <c r="A337" s="1186" t="s">
        <v>342</v>
      </c>
      <c r="B337" s="1186" t="s">
        <v>621</v>
      </c>
      <c r="C337" s="1186">
        <v>4</v>
      </c>
      <c r="D337" s="1186" t="s">
        <v>828</v>
      </c>
      <c r="E337" s="1186">
        <v>6</v>
      </c>
      <c r="F337" s="1186">
        <v>2018</v>
      </c>
      <c r="G337" s="1186">
        <v>4</v>
      </c>
      <c r="H337" s="1186">
        <v>1120192</v>
      </c>
    </row>
    <row r="338" spans="1:8" x14ac:dyDescent="0.2">
      <c r="A338" s="1186" t="s">
        <v>343</v>
      </c>
      <c r="B338" s="1186" t="s">
        <v>621</v>
      </c>
      <c r="C338" s="1186">
        <v>4</v>
      </c>
      <c r="D338" s="1186" t="s">
        <v>851</v>
      </c>
      <c r="E338" s="1186">
        <v>10</v>
      </c>
      <c r="F338" s="1186">
        <v>2018</v>
      </c>
      <c r="G338" s="1186">
        <v>4</v>
      </c>
      <c r="H338" s="1186">
        <v>1120192</v>
      </c>
    </row>
    <row r="339" spans="1:8" x14ac:dyDescent="0.2">
      <c r="A339" s="1186" t="s">
        <v>342</v>
      </c>
      <c r="B339" s="1186" t="s">
        <v>621</v>
      </c>
      <c r="C339" s="1186">
        <v>4</v>
      </c>
      <c r="D339" s="1186" t="s">
        <v>851</v>
      </c>
      <c r="E339" s="1186">
        <v>1</v>
      </c>
      <c r="F339" s="1186">
        <v>2018</v>
      </c>
      <c r="G339" s="1186">
        <v>4</v>
      </c>
      <c r="H339" s="1186">
        <v>1120192</v>
      </c>
    </row>
    <row r="340" spans="1:8" x14ac:dyDescent="0.2">
      <c r="A340" s="1186" t="s">
        <v>341</v>
      </c>
      <c r="B340" s="1186" t="s">
        <v>621</v>
      </c>
      <c r="C340" s="1186">
        <v>4</v>
      </c>
      <c r="D340" s="1186" t="s">
        <v>852</v>
      </c>
      <c r="E340" s="1186">
        <v>6</v>
      </c>
      <c r="F340" s="1186">
        <v>2018</v>
      </c>
      <c r="G340" s="1186">
        <v>4</v>
      </c>
      <c r="H340" s="1186">
        <v>1120192</v>
      </c>
    </row>
    <row r="341" spans="1:8" x14ac:dyDescent="0.2">
      <c r="A341" s="1186" t="s">
        <v>341</v>
      </c>
      <c r="B341" s="1186" t="s">
        <v>621</v>
      </c>
      <c r="C341" s="1186">
        <v>4</v>
      </c>
      <c r="D341" s="1186" t="s">
        <v>851</v>
      </c>
      <c r="E341" s="1186">
        <v>9</v>
      </c>
      <c r="F341" s="1186">
        <v>2018</v>
      </c>
      <c r="G341" s="1186">
        <v>4</v>
      </c>
      <c r="H341" s="1186">
        <v>1120192</v>
      </c>
    </row>
    <row r="342" spans="1:8" x14ac:dyDescent="0.2">
      <c r="A342" s="1186" t="s">
        <v>341</v>
      </c>
      <c r="B342" s="1186" t="s">
        <v>621</v>
      </c>
      <c r="C342" s="1186">
        <v>4</v>
      </c>
      <c r="D342" s="1186" t="s">
        <v>850</v>
      </c>
      <c r="E342" s="1186">
        <v>15</v>
      </c>
      <c r="F342" s="1186">
        <v>2018</v>
      </c>
      <c r="G342" s="1186">
        <v>4</v>
      </c>
      <c r="H342" s="1186">
        <v>1120192</v>
      </c>
    </row>
    <row r="343" spans="1:8" x14ac:dyDescent="0.2">
      <c r="A343" s="1186" t="s">
        <v>341</v>
      </c>
      <c r="B343" s="1186" t="s">
        <v>621</v>
      </c>
      <c r="C343" s="1186">
        <v>4</v>
      </c>
      <c r="D343" s="1186" t="s">
        <v>828</v>
      </c>
      <c r="E343" s="1186">
        <v>60</v>
      </c>
      <c r="F343" s="1186">
        <v>2018</v>
      </c>
      <c r="G343" s="1186">
        <v>4</v>
      </c>
      <c r="H343" s="1186">
        <v>1120192</v>
      </c>
    </row>
    <row r="344" spans="1:8" x14ac:dyDescent="0.2">
      <c r="A344" s="1186" t="s">
        <v>343</v>
      </c>
      <c r="B344" s="1186" t="s">
        <v>621</v>
      </c>
      <c r="C344" s="1186">
        <v>4</v>
      </c>
      <c r="D344" s="1186" t="s">
        <v>852</v>
      </c>
      <c r="E344" s="1186">
        <v>6</v>
      </c>
      <c r="F344" s="1186">
        <v>2018</v>
      </c>
      <c r="G344" s="1186">
        <v>4</v>
      </c>
      <c r="H344" s="1186">
        <v>1120192</v>
      </c>
    </row>
    <row r="345" spans="1:8" x14ac:dyDescent="0.2">
      <c r="A345" s="1186" t="s">
        <v>341</v>
      </c>
      <c r="B345" s="1186" t="s">
        <v>621</v>
      </c>
      <c r="C345" s="1186">
        <v>5</v>
      </c>
      <c r="D345" s="1186" t="s">
        <v>852</v>
      </c>
      <c r="E345" s="1186">
        <v>2</v>
      </c>
      <c r="F345" s="1186">
        <v>2018</v>
      </c>
      <c r="G345" s="1186">
        <v>5</v>
      </c>
      <c r="H345" s="1186">
        <v>1125606</v>
      </c>
    </row>
    <row r="346" spans="1:8" x14ac:dyDescent="0.2">
      <c r="A346" s="1186" t="s">
        <v>342</v>
      </c>
      <c r="B346" s="1186" t="s">
        <v>621</v>
      </c>
      <c r="C346" s="1186">
        <v>5</v>
      </c>
      <c r="D346" s="1186" t="s">
        <v>828</v>
      </c>
      <c r="E346" s="1186">
        <v>2</v>
      </c>
      <c r="F346" s="1186">
        <v>2018</v>
      </c>
      <c r="G346" s="1186">
        <v>5</v>
      </c>
      <c r="H346" s="1186">
        <v>1125606</v>
      </c>
    </row>
    <row r="347" spans="1:8" x14ac:dyDescent="0.2">
      <c r="A347" s="1186" t="s">
        <v>341</v>
      </c>
      <c r="B347" s="1186" t="s">
        <v>621</v>
      </c>
      <c r="C347" s="1186">
        <v>5</v>
      </c>
      <c r="D347" s="1186" t="s">
        <v>828</v>
      </c>
      <c r="E347" s="1186">
        <v>57</v>
      </c>
      <c r="F347" s="1186">
        <v>2018</v>
      </c>
      <c r="G347" s="1186">
        <v>5</v>
      </c>
      <c r="H347" s="1186">
        <v>1125606</v>
      </c>
    </row>
    <row r="348" spans="1:8" x14ac:dyDescent="0.2">
      <c r="A348" s="1186" t="s">
        <v>341</v>
      </c>
      <c r="B348" s="1186" t="s">
        <v>621</v>
      </c>
      <c r="C348" s="1186">
        <v>5</v>
      </c>
      <c r="D348" s="1186" t="s">
        <v>851</v>
      </c>
      <c r="E348" s="1186">
        <v>5</v>
      </c>
      <c r="F348" s="1186">
        <v>2018</v>
      </c>
      <c r="G348" s="1186">
        <v>5</v>
      </c>
      <c r="H348" s="1186">
        <v>1125606</v>
      </c>
    </row>
    <row r="349" spans="1:8" x14ac:dyDescent="0.2">
      <c r="A349" s="1186" t="s">
        <v>343</v>
      </c>
      <c r="B349" s="1186" t="s">
        <v>621</v>
      </c>
      <c r="C349" s="1186">
        <v>5</v>
      </c>
      <c r="D349" s="1186" t="s">
        <v>828</v>
      </c>
      <c r="E349" s="1186">
        <v>65</v>
      </c>
      <c r="F349" s="1186">
        <v>2018</v>
      </c>
      <c r="G349" s="1186">
        <v>5</v>
      </c>
      <c r="H349" s="1186">
        <v>1125606</v>
      </c>
    </row>
    <row r="350" spans="1:8" x14ac:dyDescent="0.2">
      <c r="A350" s="1186" t="s">
        <v>343</v>
      </c>
      <c r="B350" s="1186" t="s">
        <v>621</v>
      </c>
      <c r="C350" s="1186">
        <v>5</v>
      </c>
      <c r="D350" s="1186" t="s">
        <v>850</v>
      </c>
      <c r="E350" s="1186">
        <v>11</v>
      </c>
      <c r="F350" s="1186">
        <v>2018</v>
      </c>
      <c r="G350" s="1186">
        <v>5</v>
      </c>
      <c r="H350" s="1186">
        <v>1125606</v>
      </c>
    </row>
    <row r="351" spans="1:8" x14ac:dyDescent="0.2">
      <c r="A351" s="1186" t="s">
        <v>343</v>
      </c>
      <c r="B351" s="1186" t="s">
        <v>621</v>
      </c>
      <c r="C351" s="1186">
        <v>5</v>
      </c>
      <c r="D351" s="1186" t="s">
        <v>851</v>
      </c>
      <c r="E351" s="1186">
        <v>5</v>
      </c>
      <c r="F351" s="1186">
        <v>2018</v>
      </c>
      <c r="G351" s="1186">
        <v>5</v>
      </c>
      <c r="H351" s="1186">
        <v>1125606</v>
      </c>
    </row>
    <row r="352" spans="1:8" x14ac:dyDescent="0.2">
      <c r="A352" s="1186" t="s">
        <v>343</v>
      </c>
      <c r="B352" s="1186" t="s">
        <v>621</v>
      </c>
      <c r="C352" s="1186">
        <v>5</v>
      </c>
      <c r="D352" s="1186" t="s">
        <v>852</v>
      </c>
      <c r="E352" s="1186">
        <v>3</v>
      </c>
      <c r="F352" s="1186">
        <v>2018</v>
      </c>
      <c r="G352" s="1186">
        <v>5</v>
      </c>
      <c r="H352" s="1186">
        <v>1125606</v>
      </c>
    </row>
    <row r="353" spans="1:8" x14ac:dyDescent="0.2">
      <c r="A353" s="1186" t="s">
        <v>341</v>
      </c>
      <c r="B353" s="1186" t="s">
        <v>621</v>
      </c>
      <c r="C353" s="1186">
        <v>5</v>
      </c>
      <c r="D353" s="1186" t="s">
        <v>850</v>
      </c>
      <c r="E353" s="1186">
        <v>10</v>
      </c>
      <c r="F353" s="1186">
        <v>2018</v>
      </c>
      <c r="G353" s="1186">
        <v>5</v>
      </c>
      <c r="H353" s="1186">
        <v>1125606</v>
      </c>
    </row>
    <row r="354" spans="1:8" x14ac:dyDescent="0.2">
      <c r="A354" s="1186" t="s">
        <v>342</v>
      </c>
      <c r="B354" s="1186" t="s">
        <v>1419</v>
      </c>
      <c r="C354" s="1186">
        <v>1</v>
      </c>
      <c r="D354" s="1186" t="s">
        <v>851</v>
      </c>
      <c r="E354" s="1186">
        <v>1</v>
      </c>
      <c r="F354" s="1186">
        <v>2019</v>
      </c>
      <c r="G354" s="1186">
        <v>1</v>
      </c>
      <c r="H354" s="1186">
        <v>1060939</v>
      </c>
    </row>
    <row r="355" spans="1:8" x14ac:dyDescent="0.2">
      <c r="A355" s="1186" t="s">
        <v>343</v>
      </c>
      <c r="B355" s="1186" t="s">
        <v>1419</v>
      </c>
      <c r="C355" s="1186">
        <v>1</v>
      </c>
      <c r="D355" s="1186" t="s">
        <v>828</v>
      </c>
      <c r="E355" s="1186">
        <v>377</v>
      </c>
      <c r="F355" s="1186">
        <v>2019</v>
      </c>
      <c r="G355" s="1186">
        <v>1</v>
      </c>
      <c r="H355" s="1186">
        <v>1060939</v>
      </c>
    </row>
    <row r="356" spans="1:8" x14ac:dyDescent="0.2">
      <c r="A356" s="1186" t="s">
        <v>343</v>
      </c>
      <c r="B356" s="1186" t="s">
        <v>1419</v>
      </c>
      <c r="C356" s="1186">
        <v>1</v>
      </c>
      <c r="D356" s="1186" t="s">
        <v>850</v>
      </c>
      <c r="E356" s="1186">
        <v>17</v>
      </c>
      <c r="F356" s="1186">
        <v>2019</v>
      </c>
      <c r="G356" s="1186">
        <v>1</v>
      </c>
      <c r="H356" s="1186">
        <v>1060939</v>
      </c>
    </row>
    <row r="357" spans="1:8" x14ac:dyDescent="0.2">
      <c r="A357" s="1186" t="s">
        <v>343</v>
      </c>
      <c r="B357" s="1186" t="s">
        <v>1419</v>
      </c>
      <c r="C357" s="1186">
        <v>1</v>
      </c>
      <c r="D357" s="1186" t="s">
        <v>851</v>
      </c>
      <c r="E357" s="1186">
        <v>2</v>
      </c>
      <c r="F357" s="1186">
        <v>2019</v>
      </c>
      <c r="G357" s="1186">
        <v>1</v>
      </c>
      <c r="H357" s="1186">
        <v>1060939</v>
      </c>
    </row>
    <row r="358" spans="1:8" x14ac:dyDescent="0.2">
      <c r="A358" s="1186" t="s">
        <v>343</v>
      </c>
      <c r="B358" s="1186" t="s">
        <v>1419</v>
      </c>
      <c r="C358" s="1186">
        <v>1</v>
      </c>
      <c r="D358" s="1186" t="s">
        <v>852</v>
      </c>
      <c r="E358" s="1186">
        <v>7</v>
      </c>
      <c r="F358" s="1186">
        <v>2019</v>
      </c>
      <c r="G358" s="1186">
        <v>1</v>
      </c>
      <c r="H358" s="1186">
        <v>1060939</v>
      </c>
    </row>
    <row r="359" spans="1:8" x14ac:dyDescent="0.2">
      <c r="A359" s="1186" t="s">
        <v>341</v>
      </c>
      <c r="B359" s="1186" t="s">
        <v>1419</v>
      </c>
      <c r="C359" s="1186">
        <v>1</v>
      </c>
      <c r="D359" s="1186" t="s">
        <v>852</v>
      </c>
      <c r="E359" s="1186">
        <v>6</v>
      </c>
      <c r="F359" s="1186">
        <v>2019</v>
      </c>
      <c r="G359" s="1186">
        <v>1</v>
      </c>
      <c r="H359" s="1186">
        <v>1060939</v>
      </c>
    </row>
    <row r="360" spans="1:8" x14ac:dyDescent="0.2">
      <c r="A360" s="1186" t="s">
        <v>342</v>
      </c>
      <c r="B360" s="1186" t="s">
        <v>1419</v>
      </c>
      <c r="C360" s="1186">
        <v>1</v>
      </c>
      <c r="D360" s="1186" t="s">
        <v>828</v>
      </c>
      <c r="E360" s="1186">
        <v>11</v>
      </c>
      <c r="F360" s="1186">
        <v>2019</v>
      </c>
      <c r="G360" s="1186">
        <v>1</v>
      </c>
      <c r="H360" s="1186">
        <v>1060939</v>
      </c>
    </row>
    <row r="361" spans="1:8" x14ac:dyDescent="0.2">
      <c r="A361" s="1186" t="s">
        <v>342</v>
      </c>
      <c r="B361" s="1186" t="s">
        <v>1419</v>
      </c>
      <c r="C361" s="1186">
        <v>1</v>
      </c>
      <c r="D361" s="1186" t="s">
        <v>850</v>
      </c>
      <c r="E361" s="1186">
        <v>1</v>
      </c>
      <c r="F361" s="1186">
        <v>2019</v>
      </c>
      <c r="G361" s="1186">
        <v>1</v>
      </c>
      <c r="H361" s="1186">
        <v>1060939</v>
      </c>
    </row>
    <row r="362" spans="1:8" x14ac:dyDescent="0.2">
      <c r="A362" s="1186" t="s">
        <v>341</v>
      </c>
      <c r="B362" s="1186" t="s">
        <v>1419</v>
      </c>
      <c r="C362" s="1186">
        <v>1</v>
      </c>
      <c r="D362" s="1186" t="s">
        <v>851</v>
      </c>
      <c r="E362" s="1186">
        <v>2</v>
      </c>
      <c r="F362" s="1186">
        <v>2019</v>
      </c>
      <c r="G362" s="1186">
        <v>1</v>
      </c>
      <c r="H362" s="1186">
        <v>1060939</v>
      </c>
    </row>
    <row r="363" spans="1:8" x14ac:dyDescent="0.2">
      <c r="A363" s="1186" t="s">
        <v>341</v>
      </c>
      <c r="B363" s="1186" t="s">
        <v>1419</v>
      </c>
      <c r="C363" s="1186">
        <v>1</v>
      </c>
      <c r="D363" s="1186" t="s">
        <v>850</v>
      </c>
      <c r="E363" s="1186">
        <v>16</v>
      </c>
      <c r="F363" s="1186">
        <v>2019</v>
      </c>
      <c r="G363" s="1186">
        <v>1</v>
      </c>
      <c r="H363" s="1186">
        <v>1060939</v>
      </c>
    </row>
    <row r="364" spans="1:8" x14ac:dyDescent="0.2">
      <c r="A364" s="1186" t="s">
        <v>341</v>
      </c>
      <c r="B364" s="1186" t="s">
        <v>1419</v>
      </c>
      <c r="C364" s="1186">
        <v>1</v>
      </c>
      <c r="D364" s="1186" t="s">
        <v>828</v>
      </c>
      <c r="E364" s="1186">
        <v>288</v>
      </c>
      <c r="F364" s="1186">
        <v>2019</v>
      </c>
      <c r="G364" s="1186">
        <v>1</v>
      </c>
      <c r="H364" s="1186">
        <v>1060939</v>
      </c>
    </row>
    <row r="365" spans="1:8" x14ac:dyDescent="0.2">
      <c r="A365" s="1186" t="s">
        <v>343</v>
      </c>
      <c r="B365" s="1186" t="s">
        <v>1419</v>
      </c>
      <c r="C365" s="1186">
        <v>2</v>
      </c>
      <c r="D365" s="1186" t="s">
        <v>850</v>
      </c>
      <c r="E365" s="1186">
        <v>19</v>
      </c>
      <c r="F365" s="1186">
        <v>2019</v>
      </c>
      <c r="G365" s="1186">
        <v>2</v>
      </c>
      <c r="H365" s="1186">
        <v>1060924</v>
      </c>
    </row>
    <row r="366" spans="1:8" x14ac:dyDescent="0.2">
      <c r="A366" s="1186" t="s">
        <v>343</v>
      </c>
      <c r="B366" s="1186" t="s">
        <v>1419</v>
      </c>
      <c r="C366" s="1186">
        <v>2</v>
      </c>
      <c r="D366" s="1186" t="s">
        <v>851</v>
      </c>
      <c r="E366" s="1186">
        <v>6</v>
      </c>
      <c r="F366" s="1186">
        <v>2019</v>
      </c>
      <c r="G366" s="1186">
        <v>2</v>
      </c>
      <c r="H366" s="1186">
        <v>1060924</v>
      </c>
    </row>
    <row r="367" spans="1:8" x14ac:dyDescent="0.2">
      <c r="A367" s="1186" t="s">
        <v>343</v>
      </c>
      <c r="B367" s="1186" t="s">
        <v>1419</v>
      </c>
      <c r="C367" s="1186">
        <v>2</v>
      </c>
      <c r="D367" s="1186" t="s">
        <v>852</v>
      </c>
      <c r="E367" s="1186">
        <v>11</v>
      </c>
      <c r="F367" s="1186">
        <v>2019</v>
      </c>
      <c r="G367" s="1186">
        <v>2</v>
      </c>
      <c r="H367" s="1186">
        <v>1060924</v>
      </c>
    </row>
    <row r="368" spans="1:8" x14ac:dyDescent="0.2">
      <c r="A368" s="1186" t="s">
        <v>342</v>
      </c>
      <c r="B368" s="1186" t="s">
        <v>1419</v>
      </c>
      <c r="C368" s="1186">
        <v>2</v>
      </c>
      <c r="D368" s="1186" t="s">
        <v>828</v>
      </c>
      <c r="E368" s="1186">
        <v>5</v>
      </c>
      <c r="F368" s="1186">
        <v>2019</v>
      </c>
      <c r="G368" s="1186">
        <v>2</v>
      </c>
      <c r="H368" s="1186">
        <v>1060924</v>
      </c>
    </row>
    <row r="369" spans="1:8" x14ac:dyDescent="0.2">
      <c r="A369" s="1186" t="s">
        <v>341</v>
      </c>
      <c r="B369" s="1186" t="s">
        <v>1419</v>
      </c>
      <c r="C369" s="1186">
        <v>2</v>
      </c>
      <c r="D369" s="1186" t="s">
        <v>852</v>
      </c>
      <c r="E369" s="1186">
        <v>10</v>
      </c>
      <c r="F369" s="1186">
        <v>2019</v>
      </c>
      <c r="G369" s="1186">
        <v>2</v>
      </c>
      <c r="H369" s="1186">
        <v>1060924</v>
      </c>
    </row>
    <row r="370" spans="1:8" x14ac:dyDescent="0.2">
      <c r="A370" s="1186" t="s">
        <v>341</v>
      </c>
      <c r="B370" s="1186" t="s">
        <v>1419</v>
      </c>
      <c r="C370" s="1186">
        <v>2</v>
      </c>
      <c r="D370" s="1186" t="s">
        <v>851</v>
      </c>
      <c r="E370" s="1186">
        <v>6</v>
      </c>
      <c r="F370" s="1186">
        <v>2019</v>
      </c>
      <c r="G370" s="1186">
        <v>2</v>
      </c>
      <c r="H370" s="1186">
        <v>1060924</v>
      </c>
    </row>
    <row r="371" spans="1:8" x14ac:dyDescent="0.2">
      <c r="A371" s="1186" t="s">
        <v>341</v>
      </c>
      <c r="B371" s="1186" t="s">
        <v>1419</v>
      </c>
      <c r="C371" s="1186">
        <v>2</v>
      </c>
      <c r="D371" s="1186" t="s">
        <v>850</v>
      </c>
      <c r="E371" s="1186">
        <v>18</v>
      </c>
      <c r="F371" s="1186">
        <v>2019</v>
      </c>
      <c r="G371" s="1186">
        <v>2</v>
      </c>
      <c r="H371" s="1186">
        <v>1060924</v>
      </c>
    </row>
    <row r="372" spans="1:8" x14ac:dyDescent="0.2">
      <c r="A372" s="1186" t="s">
        <v>343</v>
      </c>
      <c r="B372" s="1186" t="s">
        <v>1419</v>
      </c>
      <c r="C372" s="1186">
        <v>2</v>
      </c>
      <c r="D372" s="1186" t="s">
        <v>828</v>
      </c>
      <c r="E372" s="1186">
        <v>209</v>
      </c>
      <c r="F372" s="1186">
        <v>2019</v>
      </c>
      <c r="G372" s="1186">
        <v>2</v>
      </c>
      <c r="H372" s="1186">
        <v>1060924</v>
      </c>
    </row>
    <row r="373" spans="1:8" x14ac:dyDescent="0.2">
      <c r="A373" s="1186" t="s">
        <v>341</v>
      </c>
      <c r="B373" s="1186" t="s">
        <v>1419</v>
      </c>
      <c r="C373" s="1186">
        <v>2</v>
      </c>
      <c r="D373" s="1186" t="s">
        <v>828</v>
      </c>
      <c r="E373" s="1186">
        <v>148</v>
      </c>
      <c r="F373" s="1186">
        <v>2019</v>
      </c>
      <c r="G373" s="1186">
        <v>2</v>
      </c>
      <c r="H373" s="1186">
        <v>1060924</v>
      </c>
    </row>
    <row r="374" spans="1:8" x14ac:dyDescent="0.2">
      <c r="A374" s="1186" t="s">
        <v>342</v>
      </c>
      <c r="B374" s="1186" t="s">
        <v>1419</v>
      </c>
      <c r="C374" s="1186">
        <v>2</v>
      </c>
      <c r="D374" s="1186" t="s">
        <v>851</v>
      </c>
      <c r="E374" s="1186">
        <v>1</v>
      </c>
      <c r="F374" s="1186">
        <v>2019</v>
      </c>
      <c r="G374" s="1186">
        <v>2</v>
      </c>
      <c r="H374" s="1186">
        <v>1060924</v>
      </c>
    </row>
    <row r="375" spans="1:8" x14ac:dyDescent="0.2">
      <c r="A375" s="1186" t="s">
        <v>342</v>
      </c>
      <c r="B375" s="1186" t="s">
        <v>1419</v>
      </c>
      <c r="C375" s="1186">
        <v>2</v>
      </c>
      <c r="D375" s="1186" t="s">
        <v>850</v>
      </c>
      <c r="E375" s="1186">
        <v>1</v>
      </c>
      <c r="F375" s="1186">
        <v>2019</v>
      </c>
      <c r="G375" s="1186">
        <v>2</v>
      </c>
      <c r="H375" s="1186">
        <v>1060924</v>
      </c>
    </row>
    <row r="376" spans="1:8" x14ac:dyDescent="0.2">
      <c r="A376" s="1186" t="s">
        <v>341</v>
      </c>
      <c r="B376" s="1186" t="s">
        <v>1419</v>
      </c>
      <c r="C376" s="1186">
        <v>3</v>
      </c>
      <c r="D376" s="1186" t="s">
        <v>851</v>
      </c>
      <c r="E376" s="1186">
        <v>6</v>
      </c>
      <c r="F376" s="1186">
        <v>2019</v>
      </c>
      <c r="G376" s="1186">
        <v>3</v>
      </c>
      <c r="H376" s="1186">
        <v>1078198</v>
      </c>
    </row>
    <row r="377" spans="1:8" x14ac:dyDescent="0.2">
      <c r="A377" s="1186" t="s">
        <v>343</v>
      </c>
      <c r="B377" s="1186" t="s">
        <v>1419</v>
      </c>
      <c r="C377" s="1186">
        <v>3</v>
      </c>
      <c r="D377" s="1186" t="s">
        <v>828</v>
      </c>
      <c r="E377" s="1186">
        <v>131</v>
      </c>
      <c r="F377" s="1186">
        <v>2019</v>
      </c>
      <c r="G377" s="1186">
        <v>3</v>
      </c>
      <c r="H377" s="1186">
        <v>1078198</v>
      </c>
    </row>
    <row r="378" spans="1:8" x14ac:dyDescent="0.2">
      <c r="A378" s="1186" t="s">
        <v>343</v>
      </c>
      <c r="B378" s="1186" t="s">
        <v>1419</v>
      </c>
      <c r="C378" s="1186">
        <v>3</v>
      </c>
      <c r="D378" s="1186" t="s">
        <v>850</v>
      </c>
      <c r="E378" s="1186">
        <v>27</v>
      </c>
      <c r="F378" s="1186">
        <v>2019</v>
      </c>
      <c r="G378" s="1186">
        <v>3</v>
      </c>
      <c r="H378" s="1186">
        <v>1078198</v>
      </c>
    </row>
    <row r="379" spans="1:8" x14ac:dyDescent="0.2">
      <c r="A379" s="1186" t="s">
        <v>343</v>
      </c>
      <c r="B379" s="1186" t="s">
        <v>1419</v>
      </c>
      <c r="C379" s="1186">
        <v>3</v>
      </c>
      <c r="D379" s="1186" t="s">
        <v>851</v>
      </c>
      <c r="E379" s="1186">
        <v>7</v>
      </c>
      <c r="F379" s="1186">
        <v>2019</v>
      </c>
      <c r="G379" s="1186">
        <v>3</v>
      </c>
      <c r="H379" s="1186">
        <v>1078198</v>
      </c>
    </row>
    <row r="380" spans="1:8" x14ac:dyDescent="0.2">
      <c r="A380" s="1186" t="s">
        <v>343</v>
      </c>
      <c r="B380" s="1186" t="s">
        <v>1419</v>
      </c>
      <c r="C380" s="1186">
        <v>3</v>
      </c>
      <c r="D380" s="1186" t="s">
        <v>852</v>
      </c>
      <c r="E380" s="1186">
        <v>6</v>
      </c>
      <c r="F380" s="1186">
        <v>2019</v>
      </c>
      <c r="G380" s="1186">
        <v>3</v>
      </c>
      <c r="H380" s="1186">
        <v>1078198</v>
      </c>
    </row>
    <row r="381" spans="1:8" x14ac:dyDescent="0.2">
      <c r="A381" s="1186" t="s">
        <v>341</v>
      </c>
      <c r="B381" s="1186" t="s">
        <v>1419</v>
      </c>
      <c r="C381" s="1186">
        <v>3</v>
      </c>
      <c r="D381" s="1186" t="s">
        <v>852</v>
      </c>
      <c r="E381" s="1186">
        <v>5</v>
      </c>
      <c r="F381" s="1186">
        <v>2019</v>
      </c>
      <c r="G381" s="1186">
        <v>3</v>
      </c>
      <c r="H381" s="1186">
        <v>1078198</v>
      </c>
    </row>
    <row r="382" spans="1:8" x14ac:dyDescent="0.2">
      <c r="A382" s="1186" t="s">
        <v>341</v>
      </c>
      <c r="B382" s="1186" t="s">
        <v>1419</v>
      </c>
      <c r="C382" s="1186">
        <v>3</v>
      </c>
      <c r="D382" s="1186" t="s">
        <v>850</v>
      </c>
      <c r="E382" s="1186">
        <v>24</v>
      </c>
      <c r="F382" s="1186">
        <v>2019</v>
      </c>
      <c r="G382" s="1186">
        <v>3</v>
      </c>
      <c r="H382" s="1186">
        <v>1078198</v>
      </c>
    </row>
    <row r="383" spans="1:8" x14ac:dyDescent="0.2">
      <c r="A383" s="1186" t="s">
        <v>341</v>
      </c>
      <c r="B383" s="1186" t="s">
        <v>1419</v>
      </c>
      <c r="C383" s="1186">
        <v>3</v>
      </c>
      <c r="D383" s="1186" t="s">
        <v>828</v>
      </c>
      <c r="E383" s="1186">
        <v>98</v>
      </c>
      <c r="F383" s="1186">
        <v>2019</v>
      </c>
      <c r="G383" s="1186">
        <v>3</v>
      </c>
      <c r="H383" s="1186">
        <v>1078198</v>
      </c>
    </row>
    <row r="384" spans="1:8" x14ac:dyDescent="0.2">
      <c r="A384" s="1186" t="s">
        <v>342</v>
      </c>
      <c r="B384" s="1186" t="s">
        <v>1419</v>
      </c>
      <c r="C384" s="1186">
        <v>3</v>
      </c>
      <c r="D384" s="1186" t="s">
        <v>828</v>
      </c>
      <c r="E384" s="1186">
        <v>2</v>
      </c>
      <c r="F384" s="1186">
        <v>2019</v>
      </c>
      <c r="G384" s="1186">
        <v>3</v>
      </c>
      <c r="H384" s="1186">
        <v>1078198</v>
      </c>
    </row>
    <row r="385" spans="1:8" x14ac:dyDescent="0.2">
      <c r="A385" s="1186" t="s">
        <v>341</v>
      </c>
      <c r="B385" s="1186" t="s">
        <v>1419</v>
      </c>
      <c r="C385" s="1186">
        <v>4</v>
      </c>
      <c r="D385" s="1186" t="s">
        <v>852</v>
      </c>
      <c r="E385" s="1186">
        <v>5</v>
      </c>
      <c r="F385" s="1186">
        <v>2019</v>
      </c>
      <c r="G385" s="1186">
        <v>4</v>
      </c>
      <c r="H385" s="1186">
        <v>1132425</v>
      </c>
    </row>
    <row r="386" spans="1:8" x14ac:dyDescent="0.2">
      <c r="A386" s="1186" t="s">
        <v>343</v>
      </c>
      <c r="B386" s="1186" t="s">
        <v>1419</v>
      </c>
      <c r="C386" s="1186">
        <v>4</v>
      </c>
      <c r="D386" s="1186" t="s">
        <v>851</v>
      </c>
      <c r="E386" s="1186">
        <v>8</v>
      </c>
      <c r="F386" s="1186">
        <v>2019</v>
      </c>
      <c r="G386" s="1186">
        <v>4</v>
      </c>
      <c r="H386" s="1186">
        <v>1132425</v>
      </c>
    </row>
    <row r="387" spans="1:8" x14ac:dyDescent="0.2">
      <c r="A387" s="1186" t="s">
        <v>343</v>
      </c>
      <c r="B387" s="1186" t="s">
        <v>1419</v>
      </c>
      <c r="C387" s="1186">
        <v>4</v>
      </c>
      <c r="D387" s="1186" t="s">
        <v>850</v>
      </c>
      <c r="E387" s="1186">
        <v>22</v>
      </c>
      <c r="F387" s="1186">
        <v>2019</v>
      </c>
      <c r="G387" s="1186">
        <v>4</v>
      </c>
      <c r="H387" s="1186">
        <v>1132425</v>
      </c>
    </row>
    <row r="388" spans="1:8" x14ac:dyDescent="0.2">
      <c r="A388" s="1186" t="s">
        <v>342</v>
      </c>
      <c r="B388" s="1186" t="s">
        <v>1419</v>
      </c>
      <c r="C388" s="1186">
        <v>4</v>
      </c>
      <c r="D388" s="1186" t="s">
        <v>850</v>
      </c>
      <c r="E388" s="1186">
        <v>1</v>
      </c>
      <c r="F388" s="1186">
        <v>2019</v>
      </c>
      <c r="G388" s="1186">
        <v>4</v>
      </c>
      <c r="H388" s="1186">
        <v>1132425</v>
      </c>
    </row>
    <row r="389" spans="1:8" x14ac:dyDescent="0.2">
      <c r="A389" s="1186" t="s">
        <v>342</v>
      </c>
      <c r="B389" s="1186" t="s">
        <v>1419</v>
      </c>
      <c r="C389" s="1186">
        <v>4</v>
      </c>
      <c r="D389" s="1186" t="s">
        <v>828</v>
      </c>
      <c r="E389" s="1186">
        <v>3</v>
      </c>
      <c r="F389" s="1186">
        <v>2019</v>
      </c>
      <c r="G389" s="1186">
        <v>4</v>
      </c>
      <c r="H389" s="1186">
        <v>1132425</v>
      </c>
    </row>
    <row r="390" spans="1:8" x14ac:dyDescent="0.2">
      <c r="A390" s="1186" t="s">
        <v>343</v>
      </c>
      <c r="B390" s="1186" t="s">
        <v>1419</v>
      </c>
      <c r="C390" s="1186">
        <v>4</v>
      </c>
      <c r="D390" s="1186" t="s">
        <v>828</v>
      </c>
      <c r="E390" s="1186">
        <v>88</v>
      </c>
      <c r="F390" s="1186">
        <v>2019</v>
      </c>
      <c r="G390" s="1186">
        <v>4</v>
      </c>
      <c r="H390" s="1186">
        <v>1132425</v>
      </c>
    </row>
    <row r="391" spans="1:8" x14ac:dyDescent="0.2">
      <c r="A391" s="1186" t="s">
        <v>341</v>
      </c>
      <c r="B391" s="1186" t="s">
        <v>1419</v>
      </c>
      <c r="C391" s="1186">
        <v>4</v>
      </c>
      <c r="D391" s="1186" t="s">
        <v>850</v>
      </c>
      <c r="E391" s="1186">
        <v>21</v>
      </c>
      <c r="F391" s="1186">
        <v>2019</v>
      </c>
      <c r="G391" s="1186">
        <v>4</v>
      </c>
      <c r="H391" s="1186">
        <v>1132425</v>
      </c>
    </row>
    <row r="392" spans="1:8" x14ac:dyDescent="0.2">
      <c r="A392" s="1186" t="s">
        <v>341</v>
      </c>
      <c r="B392" s="1186" t="s">
        <v>1419</v>
      </c>
      <c r="C392" s="1186">
        <v>4</v>
      </c>
      <c r="D392" s="1186" t="s">
        <v>851</v>
      </c>
      <c r="E392" s="1186">
        <v>7</v>
      </c>
      <c r="F392" s="1186">
        <v>2019</v>
      </c>
      <c r="G392" s="1186">
        <v>4</v>
      </c>
      <c r="H392" s="1186">
        <v>1132425</v>
      </c>
    </row>
    <row r="393" spans="1:8" x14ac:dyDescent="0.2">
      <c r="A393" s="1186" t="s">
        <v>343</v>
      </c>
      <c r="B393" s="1186" t="s">
        <v>1419</v>
      </c>
      <c r="C393" s="1186">
        <v>4</v>
      </c>
      <c r="D393" s="1186" t="s">
        <v>852</v>
      </c>
      <c r="E393" s="1186">
        <v>5</v>
      </c>
      <c r="F393" s="1186">
        <v>2019</v>
      </c>
      <c r="G393" s="1186">
        <v>4</v>
      </c>
      <c r="H393" s="1186">
        <v>1132425</v>
      </c>
    </row>
    <row r="394" spans="1:8" x14ac:dyDescent="0.2">
      <c r="A394" s="1186" t="s">
        <v>341</v>
      </c>
      <c r="B394" s="1186" t="s">
        <v>1419</v>
      </c>
      <c r="C394" s="1186">
        <v>4</v>
      </c>
      <c r="D394" s="1186" t="s">
        <v>828</v>
      </c>
      <c r="E394" s="1186">
        <v>75</v>
      </c>
      <c r="F394" s="1186">
        <v>2019</v>
      </c>
      <c r="G394" s="1186">
        <v>4</v>
      </c>
      <c r="H394" s="1186">
        <v>1132425</v>
      </c>
    </row>
    <row r="395" spans="1:8" x14ac:dyDescent="0.2">
      <c r="A395" s="1186" t="s">
        <v>342</v>
      </c>
      <c r="B395" s="1186" t="s">
        <v>1419</v>
      </c>
      <c r="C395" s="1186">
        <v>5</v>
      </c>
      <c r="D395" s="1186" t="s">
        <v>851</v>
      </c>
      <c r="E395" s="1186">
        <v>1</v>
      </c>
      <c r="F395" s="1186">
        <v>2019</v>
      </c>
      <c r="G395" s="1186">
        <v>5</v>
      </c>
      <c r="H395" s="1186">
        <v>1130814</v>
      </c>
    </row>
    <row r="396" spans="1:8" x14ac:dyDescent="0.2">
      <c r="A396" s="1186" t="s">
        <v>343</v>
      </c>
      <c r="B396" s="1186" t="s">
        <v>1419</v>
      </c>
      <c r="C396" s="1186">
        <v>5</v>
      </c>
      <c r="D396" s="1186" t="s">
        <v>852</v>
      </c>
      <c r="E396" s="1186">
        <v>1</v>
      </c>
      <c r="F396" s="1186">
        <v>2019</v>
      </c>
      <c r="G396" s="1186">
        <v>5</v>
      </c>
      <c r="H396" s="1186">
        <v>1130814</v>
      </c>
    </row>
    <row r="397" spans="1:8" x14ac:dyDescent="0.2">
      <c r="A397" s="1186" t="s">
        <v>341</v>
      </c>
      <c r="B397" s="1186" t="s">
        <v>1419</v>
      </c>
      <c r="C397" s="1186">
        <v>5</v>
      </c>
      <c r="D397" s="1186" t="s">
        <v>851</v>
      </c>
      <c r="E397" s="1186">
        <v>4</v>
      </c>
      <c r="F397" s="1186">
        <v>2019</v>
      </c>
      <c r="G397" s="1186">
        <v>5</v>
      </c>
      <c r="H397" s="1186">
        <v>1130814</v>
      </c>
    </row>
    <row r="398" spans="1:8" x14ac:dyDescent="0.2">
      <c r="A398" s="1186" t="s">
        <v>341</v>
      </c>
      <c r="B398" s="1186" t="s">
        <v>1419</v>
      </c>
      <c r="C398" s="1186">
        <v>5</v>
      </c>
      <c r="D398" s="1186" t="s">
        <v>828</v>
      </c>
      <c r="E398" s="1186">
        <v>62</v>
      </c>
      <c r="F398" s="1186">
        <v>2019</v>
      </c>
      <c r="G398" s="1186">
        <v>5</v>
      </c>
      <c r="H398" s="1186">
        <v>1130814</v>
      </c>
    </row>
    <row r="399" spans="1:8" x14ac:dyDescent="0.2">
      <c r="A399" s="1186" t="s">
        <v>341</v>
      </c>
      <c r="B399" s="1186" t="s">
        <v>1419</v>
      </c>
      <c r="C399" s="1186">
        <v>5</v>
      </c>
      <c r="D399" s="1186" t="s">
        <v>852</v>
      </c>
      <c r="E399" s="1186">
        <v>1</v>
      </c>
      <c r="F399" s="1186">
        <v>2019</v>
      </c>
      <c r="G399" s="1186">
        <v>5</v>
      </c>
      <c r="H399" s="1186">
        <v>1130814</v>
      </c>
    </row>
    <row r="400" spans="1:8" x14ac:dyDescent="0.2">
      <c r="A400" s="1186" t="s">
        <v>343</v>
      </c>
      <c r="B400" s="1186" t="s">
        <v>1419</v>
      </c>
      <c r="C400" s="1186">
        <v>5</v>
      </c>
      <c r="D400" s="1186" t="s">
        <v>851</v>
      </c>
      <c r="E400" s="1186">
        <v>6</v>
      </c>
      <c r="F400" s="1186">
        <v>2019</v>
      </c>
      <c r="G400" s="1186">
        <v>5</v>
      </c>
      <c r="H400" s="1186">
        <v>1130814</v>
      </c>
    </row>
    <row r="401" spans="1:8" x14ac:dyDescent="0.2">
      <c r="A401" s="1186" t="s">
        <v>343</v>
      </c>
      <c r="B401" s="1186" t="s">
        <v>1419</v>
      </c>
      <c r="C401" s="1186">
        <v>5</v>
      </c>
      <c r="D401" s="1186" t="s">
        <v>850</v>
      </c>
      <c r="E401" s="1186">
        <v>6</v>
      </c>
      <c r="F401" s="1186">
        <v>2019</v>
      </c>
      <c r="G401" s="1186">
        <v>5</v>
      </c>
      <c r="H401" s="1186">
        <v>1130814</v>
      </c>
    </row>
    <row r="402" spans="1:8" x14ac:dyDescent="0.2">
      <c r="A402" s="1186" t="s">
        <v>343</v>
      </c>
      <c r="B402" s="1186" t="s">
        <v>1419</v>
      </c>
      <c r="C402" s="1186">
        <v>5</v>
      </c>
      <c r="D402" s="1186" t="s">
        <v>828</v>
      </c>
      <c r="E402" s="1186">
        <v>72</v>
      </c>
      <c r="F402" s="1186">
        <v>2019</v>
      </c>
      <c r="G402" s="1186">
        <v>5</v>
      </c>
      <c r="H402" s="1186">
        <v>1130814</v>
      </c>
    </row>
    <row r="403" spans="1:8" x14ac:dyDescent="0.2">
      <c r="A403" s="1186" t="s">
        <v>341</v>
      </c>
      <c r="B403" s="1186" t="s">
        <v>1419</v>
      </c>
      <c r="C403" s="1186">
        <v>5</v>
      </c>
      <c r="D403" s="1186" t="s">
        <v>850</v>
      </c>
      <c r="E403" s="1186">
        <v>6</v>
      </c>
      <c r="F403" s="1186">
        <v>2019</v>
      </c>
      <c r="G403" s="1186">
        <v>5</v>
      </c>
      <c r="H403" s="1186">
        <v>1130814</v>
      </c>
    </row>
    <row r="404" spans="1:8" x14ac:dyDescent="0.2">
      <c r="A404" s="1186" t="s">
        <v>343</v>
      </c>
      <c r="B404" s="1186" t="s">
        <v>1572</v>
      </c>
      <c r="C404" s="1186">
        <v>1</v>
      </c>
      <c r="D404" s="1186" t="s">
        <v>828</v>
      </c>
      <c r="E404" s="1186">
        <v>446</v>
      </c>
      <c r="F404" s="1186">
        <v>2020</v>
      </c>
      <c r="G404" s="1186">
        <v>1</v>
      </c>
      <c r="H404" s="1186">
        <v>1057767</v>
      </c>
    </row>
    <row r="405" spans="1:8" x14ac:dyDescent="0.2">
      <c r="A405" s="1186" t="s">
        <v>343</v>
      </c>
      <c r="B405" s="1186" t="s">
        <v>1572</v>
      </c>
      <c r="C405" s="1186">
        <v>1</v>
      </c>
      <c r="D405" s="1186" t="s">
        <v>850</v>
      </c>
      <c r="E405" s="1186">
        <v>14</v>
      </c>
      <c r="F405" s="1186">
        <v>2020</v>
      </c>
      <c r="G405" s="1186">
        <v>1</v>
      </c>
      <c r="H405" s="1186">
        <v>1057767</v>
      </c>
    </row>
    <row r="406" spans="1:8" x14ac:dyDescent="0.2">
      <c r="A406" s="1186" t="s">
        <v>343</v>
      </c>
      <c r="B406" s="1186" t="s">
        <v>1572</v>
      </c>
      <c r="C406" s="1186">
        <v>1</v>
      </c>
      <c r="D406" s="1186" t="s">
        <v>851</v>
      </c>
      <c r="E406" s="1186">
        <v>2</v>
      </c>
      <c r="F406" s="1186">
        <v>2020</v>
      </c>
      <c r="G406" s="1186">
        <v>1</v>
      </c>
      <c r="H406" s="1186">
        <v>1057767</v>
      </c>
    </row>
    <row r="407" spans="1:8" x14ac:dyDescent="0.2">
      <c r="A407" s="1186" t="s">
        <v>343</v>
      </c>
      <c r="B407" s="1186" t="s">
        <v>1572</v>
      </c>
      <c r="C407" s="1186">
        <v>1</v>
      </c>
      <c r="D407" s="1186" t="s">
        <v>852</v>
      </c>
      <c r="E407" s="1186">
        <v>10</v>
      </c>
      <c r="F407" s="1186">
        <v>2020</v>
      </c>
      <c r="G407" s="1186">
        <v>1</v>
      </c>
      <c r="H407" s="1186">
        <v>1057767</v>
      </c>
    </row>
    <row r="408" spans="1:8" x14ac:dyDescent="0.2">
      <c r="A408" s="1186" t="s">
        <v>341</v>
      </c>
      <c r="B408" s="1186" t="s">
        <v>1572</v>
      </c>
      <c r="C408" s="1186">
        <v>1</v>
      </c>
      <c r="D408" s="1186" t="s">
        <v>852</v>
      </c>
      <c r="E408" s="1186">
        <v>8</v>
      </c>
      <c r="F408" s="1186">
        <v>2020</v>
      </c>
      <c r="G408" s="1186">
        <v>1</v>
      </c>
      <c r="H408" s="1186">
        <v>1057767</v>
      </c>
    </row>
    <row r="409" spans="1:8" x14ac:dyDescent="0.2">
      <c r="A409" s="1186" t="s">
        <v>342</v>
      </c>
      <c r="B409" s="1186" t="s">
        <v>1572</v>
      </c>
      <c r="C409" s="1186">
        <v>1</v>
      </c>
      <c r="D409" s="1186" t="s">
        <v>828</v>
      </c>
      <c r="E409" s="1186">
        <v>17</v>
      </c>
      <c r="F409" s="1186">
        <v>2020</v>
      </c>
      <c r="G409" s="1186">
        <v>1</v>
      </c>
      <c r="H409" s="1186">
        <v>1057767</v>
      </c>
    </row>
    <row r="410" spans="1:8" x14ac:dyDescent="0.2">
      <c r="A410" s="1186" t="s">
        <v>342</v>
      </c>
      <c r="B410" s="1186" t="s">
        <v>1572</v>
      </c>
      <c r="C410" s="1186">
        <v>1</v>
      </c>
      <c r="D410" s="1186" t="s">
        <v>851</v>
      </c>
      <c r="E410" s="1186">
        <v>1</v>
      </c>
      <c r="F410" s="1186">
        <v>2020</v>
      </c>
      <c r="G410" s="1186">
        <v>1</v>
      </c>
      <c r="H410" s="1186">
        <v>1057767</v>
      </c>
    </row>
    <row r="411" spans="1:8" x14ac:dyDescent="0.2">
      <c r="A411" s="1186" t="s">
        <v>342</v>
      </c>
      <c r="B411" s="1186" t="s">
        <v>1572</v>
      </c>
      <c r="C411" s="1186">
        <v>1</v>
      </c>
      <c r="D411" s="1186" t="s">
        <v>852</v>
      </c>
      <c r="E411" s="1186">
        <v>1</v>
      </c>
      <c r="F411" s="1186">
        <v>2020</v>
      </c>
      <c r="G411" s="1186">
        <v>1</v>
      </c>
      <c r="H411" s="1186">
        <v>1057767</v>
      </c>
    </row>
    <row r="412" spans="1:8" x14ac:dyDescent="0.2">
      <c r="A412" s="1186" t="s">
        <v>341</v>
      </c>
      <c r="B412" s="1186" t="s">
        <v>1572</v>
      </c>
      <c r="C412" s="1186">
        <v>1</v>
      </c>
      <c r="D412" s="1186" t="s">
        <v>828</v>
      </c>
      <c r="E412" s="1186">
        <v>288</v>
      </c>
      <c r="F412" s="1186">
        <v>2020</v>
      </c>
      <c r="G412" s="1186">
        <v>1</v>
      </c>
      <c r="H412" s="1186">
        <v>1057767</v>
      </c>
    </row>
    <row r="413" spans="1:8" x14ac:dyDescent="0.2">
      <c r="A413" s="1186" t="s">
        <v>341</v>
      </c>
      <c r="B413" s="1186" t="s">
        <v>1572</v>
      </c>
      <c r="C413" s="1186">
        <v>1</v>
      </c>
      <c r="D413" s="1186" t="s">
        <v>850</v>
      </c>
      <c r="E413" s="1186">
        <v>5</v>
      </c>
      <c r="F413" s="1186">
        <v>2020</v>
      </c>
      <c r="G413" s="1186">
        <v>1</v>
      </c>
      <c r="H413" s="1186">
        <v>1057767</v>
      </c>
    </row>
    <row r="414" spans="1:8" x14ac:dyDescent="0.2">
      <c r="A414" s="1186" t="s">
        <v>341</v>
      </c>
      <c r="B414" s="1186" t="s">
        <v>1572</v>
      </c>
      <c r="C414" s="1186">
        <v>1</v>
      </c>
      <c r="D414" s="1186" t="s">
        <v>851</v>
      </c>
      <c r="E414" s="1186">
        <v>2</v>
      </c>
      <c r="F414" s="1186">
        <v>2020</v>
      </c>
      <c r="G414" s="1186">
        <v>1</v>
      </c>
      <c r="H414" s="1186">
        <v>1057767</v>
      </c>
    </row>
    <row r="415" spans="1:8" x14ac:dyDescent="0.2">
      <c r="A415" s="1186" t="s">
        <v>341</v>
      </c>
      <c r="B415" s="1186" t="s">
        <v>1572</v>
      </c>
      <c r="C415" s="1186">
        <v>2</v>
      </c>
      <c r="D415" s="1186" t="s">
        <v>851</v>
      </c>
      <c r="E415" s="1186">
        <v>2</v>
      </c>
      <c r="F415" s="1186">
        <v>2020</v>
      </c>
      <c r="G415" s="1186">
        <v>2</v>
      </c>
      <c r="H415" s="1186">
        <v>1057929</v>
      </c>
    </row>
    <row r="416" spans="1:8" x14ac:dyDescent="0.2">
      <c r="A416" s="1186" t="s">
        <v>341</v>
      </c>
      <c r="B416" s="1186" t="s">
        <v>1572</v>
      </c>
      <c r="C416" s="1186">
        <v>2</v>
      </c>
      <c r="D416" s="1186" t="s">
        <v>828</v>
      </c>
      <c r="E416" s="1186">
        <v>145</v>
      </c>
      <c r="F416" s="1186">
        <v>2020</v>
      </c>
      <c r="G416" s="1186">
        <v>2</v>
      </c>
      <c r="H416" s="1186">
        <v>1057929</v>
      </c>
    </row>
    <row r="417" spans="1:8" x14ac:dyDescent="0.2">
      <c r="A417" s="1186" t="s">
        <v>343</v>
      </c>
      <c r="B417" s="1186" t="s">
        <v>1572</v>
      </c>
      <c r="C417" s="1186">
        <v>2</v>
      </c>
      <c r="D417" s="1186" t="s">
        <v>851</v>
      </c>
      <c r="E417" s="1186">
        <v>3</v>
      </c>
      <c r="F417" s="1186">
        <v>2020</v>
      </c>
      <c r="G417" s="1186">
        <v>2</v>
      </c>
      <c r="H417" s="1186">
        <v>1057929</v>
      </c>
    </row>
    <row r="418" spans="1:8" x14ac:dyDescent="0.2">
      <c r="A418" s="1186" t="s">
        <v>343</v>
      </c>
      <c r="B418" s="1186" t="s">
        <v>1572</v>
      </c>
      <c r="C418" s="1186">
        <v>2</v>
      </c>
      <c r="D418" s="1186" t="s">
        <v>828</v>
      </c>
      <c r="E418" s="1186">
        <v>206</v>
      </c>
      <c r="F418" s="1186">
        <v>2020</v>
      </c>
      <c r="G418" s="1186">
        <v>2</v>
      </c>
      <c r="H418" s="1186">
        <v>1057929</v>
      </c>
    </row>
    <row r="419" spans="1:8" x14ac:dyDescent="0.2">
      <c r="A419" s="1186" t="s">
        <v>343</v>
      </c>
      <c r="B419" s="1186" t="s">
        <v>1572</v>
      </c>
      <c r="C419" s="1186">
        <v>2</v>
      </c>
      <c r="D419" s="1186" t="s">
        <v>852</v>
      </c>
      <c r="E419" s="1186">
        <v>9</v>
      </c>
      <c r="F419" s="1186">
        <v>2020</v>
      </c>
      <c r="G419" s="1186">
        <v>2</v>
      </c>
      <c r="H419" s="1186">
        <v>1057929</v>
      </c>
    </row>
    <row r="420" spans="1:8" x14ac:dyDescent="0.2">
      <c r="A420" s="1186" t="s">
        <v>341</v>
      </c>
      <c r="B420" s="1186" t="s">
        <v>1572</v>
      </c>
      <c r="C420" s="1186">
        <v>2</v>
      </c>
      <c r="D420" s="1186" t="s">
        <v>850</v>
      </c>
      <c r="E420" s="1186">
        <v>14</v>
      </c>
      <c r="F420" s="1186">
        <v>2020</v>
      </c>
      <c r="G420" s="1186">
        <v>2</v>
      </c>
      <c r="H420" s="1186">
        <v>1057929</v>
      </c>
    </row>
    <row r="421" spans="1:8" x14ac:dyDescent="0.2">
      <c r="A421" s="1186" t="s">
        <v>343</v>
      </c>
      <c r="B421" s="1186" t="s">
        <v>1572</v>
      </c>
      <c r="C421" s="1186">
        <v>2</v>
      </c>
      <c r="D421" s="1186" t="s">
        <v>850</v>
      </c>
      <c r="E421" s="1186">
        <v>17</v>
      </c>
      <c r="F421" s="1186">
        <v>2020</v>
      </c>
      <c r="G421" s="1186">
        <v>2</v>
      </c>
      <c r="H421" s="1186">
        <v>1057929</v>
      </c>
    </row>
    <row r="422" spans="1:8" x14ac:dyDescent="0.2">
      <c r="A422" s="1186" t="s">
        <v>341</v>
      </c>
      <c r="B422" s="1186" t="s">
        <v>1572</v>
      </c>
      <c r="C422" s="1186">
        <v>2</v>
      </c>
      <c r="D422" s="1186" t="s">
        <v>852</v>
      </c>
      <c r="E422" s="1186">
        <v>8</v>
      </c>
      <c r="F422" s="1186">
        <v>2020</v>
      </c>
      <c r="G422" s="1186">
        <v>2</v>
      </c>
      <c r="H422" s="1186">
        <v>1057929</v>
      </c>
    </row>
    <row r="423" spans="1:8" x14ac:dyDescent="0.2">
      <c r="A423" s="1186" t="s">
        <v>342</v>
      </c>
      <c r="B423" s="1186" t="s">
        <v>1572</v>
      </c>
      <c r="C423" s="1186">
        <v>2</v>
      </c>
      <c r="D423" s="1186" t="s">
        <v>850</v>
      </c>
      <c r="E423" s="1186">
        <v>1</v>
      </c>
      <c r="F423" s="1186">
        <v>2020</v>
      </c>
      <c r="G423" s="1186">
        <v>2</v>
      </c>
      <c r="H423" s="1186">
        <v>1057929</v>
      </c>
    </row>
    <row r="424" spans="1:8" x14ac:dyDescent="0.2">
      <c r="A424" s="1186" t="s">
        <v>342</v>
      </c>
      <c r="B424" s="1186" t="s">
        <v>1572</v>
      </c>
      <c r="C424" s="1186">
        <v>2</v>
      </c>
      <c r="D424" s="1186" t="s">
        <v>852</v>
      </c>
      <c r="E424" s="1186">
        <v>1</v>
      </c>
      <c r="F424" s="1186">
        <v>2020</v>
      </c>
      <c r="G424" s="1186">
        <v>2</v>
      </c>
      <c r="H424" s="1186">
        <v>1057929</v>
      </c>
    </row>
    <row r="425" spans="1:8" x14ac:dyDescent="0.2">
      <c r="A425" s="1186" t="s">
        <v>342</v>
      </c>
      <c r="B425" s="1186" t="s">
        <v>1572</v>
      </c>
      <c r="C425" s="1186">
        <v>2</v>
      </c>
      <c r="D425" s="1186" t="s">
        <v>851</v>
      </c>
      <c r="E425" s="1186">
        <v>1</v>
      </c>
      <c r="F425" s="1186">
        <v>2020</v>
      </c>
      <c r="G425" s="1186">
        <v>2</v>
      </c>
      <c r="H425" s="1186">
        <v>1057929</v>
      </c>
    </row>
    <row r="426" spans="1:8" x14ac:dyDescent="0.2">
      <c r="A426" s="1186" t="s">
        <v>342</v>
      </c>
      <c r="B426" s="1186" t="s">
        <v>1572</v>
      </c>
      <c r="C426" s="1186">
        <v>2</v>
      </c>
      <c r="D426" s="1186" t="s">
        <v>828</v>
      </c>
      <c r="E426" s="1186">
        <v>14</v>
      </c>
      <c r="F426" s="1186">
        <v>2020</v>
      </c>
      <c r="G426" s="1186">
        <v>2</v>
      </c>
      <c r="H426" s="1186">
        <v>1057929</v>
      </c>
    </row>
    <row r="427" spans="1:8" x14ac:dyDescent="0.2">
      <c r="A427" s="1186" t="s">
        <v>341</v>
      </c>
      <c r="B427" s="1186" t="s">
        <v>1572</v>
      </c>
      <c r="C427" s="1186">
        <v>3</v>
      </c>
      <c r="D427" s="1186" t="s">
        <v>850</v>
      </c>
      <c r="E427" s="1186">
        <v>17</v>
      </c>
      <c r="F427" s="1186">
        <v>2020</v>
      </c>
      <c r="G427" s="1186">
        <v>3</v>
      </c>
      <c r="H427" s="1186">
        <v>1077589</v>
      </c>
    </row>
    <row r="428" spans="1:8" x14ac:dyDescent="0.2">
      <c r="A428" s="1186" t="s">
        <v>342</v>
      </c>
      <c r="B428" s="1186" t="s">
        <v>1572</v>
      </c>
      <c r="C428" s="1186">
        <v>3</v>
      </c>
      <c r="D428" s="1186" t="s">
        <v>850</v>
      </c>
      <c r="E428" s="1186">
        <v>1</v>
      </c>
      <c r="F428" s="1186">
        <v>2020</v>
      </c>
      <c r="G428" s="1186">
        <v>3</v>
      </c>
      <c r="H428" s="1186">
        <v>1077589</v>
      </c>
    </row>
    <row r="429" spans="1:8" x14ac:dyDescent="0.2">
      <c r="A429" s="1186" t="s">
        <v>342</v>
      </c>
      <c r="B429" s="1186" t="s">
        <v>1572</v>
      </c>
      <c r="C429" s="1186">
        <v>3</v>
      </c>
      <c r="D429" s="1186" t="s">
        <v>828</v>
      </c>
      <c r="E429" s="1186">
        <v>8</v>
      </c>
      <c r="F429" s="1186">
        <v>2020</v>
      </c>
      <c r="G429" s="1186">
        <v>3</v>
      </c>
      <c r="H429" s="1186">
        <v>1077589</v>
      </c>
    </row>
    <row r="430" spans="1:8" x14ac:dyDescent="0.2">
      <c r="A430" s="1186" t="s">
        <v>342</v>
      </c>
      <c r="B430" s="1186" t="s">
        <v>1572</v>
      </c>
      <c r="C430" s="1186">
        <v>3</v>
      </c>
      <c r="D430" s="1186" t="s">
        <v>851</v>
      </c>
      <c r="E430" s="1186">
        <v>2</v>
      </c>
      <c r="F430" s="1186">
        <v>2020</v>
      </c>
      <c r="G430" s="1186">
        <v>3</v>
      </c>
      <c r="H430" s="1186">
        <v>1077589</v>
      </c>
    </row>
    <row r="431" spans="1:8" x14ac:dyDescent="0.2">
      <c r="A431" s="1186" t="s">
        <v>341</v>
      </c>
      <c r="B431" s="1186" t="s">
        <v>1572</v>
      </c>
      <c r="C431" s="1186">
        <v>3</v>
      </c>
      <c r="D431" s="1186" t="s">
        <v>851</v>
      </c>
      <c r="E431" s="1186">
        <v>5</v>
      </c>
      <c r="F431" s="1186">
        <v>2020</v>
      </c>
      <c r="G431" s="1186">
        <v>3</v>
      </c>
      <c r="H431" s="1186">
        <v>1077589</v>
      </c>
    </row>
    <row r="432" spans="1:8" x14ac:dyDescent="0.2">
      <c r="A432" s="1186" t="s">
        <v>343</v>
      </c>
      <c r="B432" s="1186" t="s">
        <v>1572</v>
      </c>
      <c r="C432" s="1186">
        <v>3</v>
      </c>
      <c r="D432" s="1186" t="s">
        <v>828</v>
      </c>
      <c r="E432" s="1186">
        <v>107</v>
      </c>
      <c r="F432" s="1186">
        <v>2020</v>
      </c>
      <c r="G432" s="1186">
        <v>3</v>
      </c>
      <c r="H432" s="1186">
        <v>1077589</v>
      </c>
    </row>
    <row r="433" spans="1:8" x14ac:dyDescent="0.2">
      <c r="A433" s="1186" t="s">
        <v>343</v>
      </c>
      <c r="B433" s="1186" t="s">
        <v>1572</v>
      </c>
      <c r="C433" s="1186">
        <v>3</v>
      </c>
      <c r="D433" s="1186" t="s">
        <v>852</v>
      </c>
      <c r="E433" s="1186">
        <v>14</v>
      </c>
      <c r="F433" s="1186">
        <v>2020</v>
      </c>
      <c r="G433" s="1186">
        <v>3</v>
      </c>
      <c r="H433" s="1186">
        <v>1077589</v>
      </c>
    </row>
    <row r="434" spans="1:8" x14ac:dyDescent="0.2">
      <c r="A434" s="1186" t="s">
        <v>343</v>
      </c>
      <c r="B434" s="1186" t="s">
        <v>1572</v>
      </c>
      <c r="C434" s="1186">
        <v>3</v>
      </c>
      <c r="D434" s="1186" t="s">
        <v>850</v>
      </c>
      <c r="E434" s="1186">
        <v>21</v>
      </c>
      <c r="F434" s="1186">
        <v>2020</v>
      </c>
      <c r="G434" s="1186">
        <v>3</v>
      </c>
      <c r="H434" s="1186">
        <v>1077589</v>
      </c>
    </row>
    <row r="435" spans="1:8" x14ac:dyDescent="0.2">
      <c r="A435" s="1186" t="s">
        <v>343</v>
      </c>
      <c r="B435" s="1186" t="s">
        <v>1572</v>
      </c>
      <c r="C435" s="1186">
        <v>3</v>
      </c>
      <c r="D435" s="1186" t="s">
        <v>851</v>
      </c>
      <c r="E435" s="1186">
        <v>5</v>
      </c>
      <c r="F435" s="1186">
        <v>2020</v>
      </c>
      <c r="G435" s="1186">
        <v>3</v>
      </c>
      <c r="H435" s="1186">
        <v>1077589</v>
      </c>
    </row>
    <row r="436" spans="1:8" x14ac:dyDescent="0.2">
      <c r="A436" s="1186" t="s">
        <v>341</v>
      </c>
      <c r="B436" s="1186" t="s">
        <v>1572</v>
      </c>
      <c r="C436" s="1186">
        <v>3</v>
      </c>
      <c r="D436" s="1186" t="s">
        <v>828</v>
      </c>
      <c r="E436" s="1186">
        <v>66</v>
      </c>
      <c r="F436" s="1186">
        <v>2020</v>
      </c>
      <c r="G436" s="1186">
        <v>3</v>
      </c>
      <c r="H436" s="1186">
        <v>1077589</v>
      </c>
    </row>
    <row r="437" spans="1:8" x14ac:dyDescent="0.2">
      <c r="A437" s="1186" t="s">
        <v>341</v>
      </c>
      <c r="B437" s="1186" t="s">
        <v>1572</v>
      </c>
      <c r="C437" s="1186">
        <v>3</v>
      </c>
      <c r="D437" s="1186" t="s">
        <v>852</v>
      </c>
      <c r="E437" s="1186">
        <v>13</v>
      </c>
      <c r="F437" s="1186">
        <v>2020</v>
      </c>
      <c r="G437" s="1186">
        <v>3</v>
      </c>
      <c r="H437" s="1186">
        <v>1077589</v>
      </c>
    </row>
    <row r="438" spans="1:8" x14ac:dyDescent="0.2">
      <c r="A438" s="1186" t="s">
        <v>343</v>
      </c>
      <c r="B438" s="1186" t="s">
        <v>1572</v>
      </c>
      <c r="C438" s="1186">
        <v>4</v>
      </c>
      <c r="D438" s="1186" t="s">
        <v>852</v>
      </c>
      <c r="E438" s="1186">
        <v>10</v>
      </c>
      <c r="F438" s="1186">
        <v>2020</v>
      </c>
      <c r="G438" s="1186">
        <v>4</v>
      </c>
      <c r="H438" s="1186">
        <v>1140448</v>
      </c>
    </row>
    <row r="439" spans="1:8" x14ac:dyDescent="0.2">
      <c r="A439" s="1186" t="s">
        <v>343</v>
      </c>
      <c r="B439" s="1186" t="s">
        <v>1572</v>
      </c>
      <c r="C439" s="1186">
        <v>4</v>
      </c>
      <c r="D439" s="1186" t="s">
        <v>851</v>
      </c>
      <c r="E439" s="1186">
        <v>9</v>
      </c>
      <c r="F439" s="1186">
        <v>2020</v>
      </c>
      <c r="G439" s="1186">
        <v>4</v>
      </c>
      <c r="H439" s="1186">
        <v>1140448</v>
      </c>
    </row>
    <row r="440" spans="1:8" x14ac:dyDescent="0.2">
      <c r="A440" s="1186" t="s">
        <v>343</v>
      </c>
      <c r="B440" s="1186" t="s">
        <v>1572</v>
      </c>
      <c r="C440" s="1186">
        <v>4</v>
      </c>
      <c r="D440" s="1186" t="s">
        <v>850</v>
      </c>
      <c r="E440" s="1186">
        <v>20</v>
      </c>
      <c r="F440" s="1186">
        <v>2020</v>
      </c>
      <c r="G440" s="1186">
        <v>4</v>
      </c>
      <c r="H440" s="1186">
        <v>1140448</v>
      </c>
    </row>
    <row r="441" spans="1:8" x14ac:dyDescent="0.2">
      <c r="A441" s="1186" t="s">
        <v>343</v>
      </c>
      <c r="B441" s="1186" t="s">
        <v>1572</v>
      </c>
      <c r="C441" s="1186">
        <v>4</v>
      </c>
      <c r="D441" s="1186" t="s">
        <v>828</v>
      </c>
      <c r="E441" s="1186">
        <v>68</v>
      </c>
      <c r="F441" s="1186">
        <v>2020</v>
      </c>
      <c r="G441" s="1186">
        <v>4</v>
      </c>
      <c r="H441" s="1186">
        <v>1140448</v>
      </c>
    </row>
    <row r="442" spans="1:8" x14ac:dyDescent="0.2">
      <c r="A442" s="1186" t="s">
        <v>342</v>
      </c>
      <c r="B442" s="1186" t="s">
        <v>1572</v>
      </c>
      <c r="C442" s="1186">
        <v>4</v>
      </c>
      <c r="D442" s="1186" t="s">
        <v>828</v>
      </c>
      <c r="E442" s="1186">
        <v>2</v>
      </c>
      <c r="F442" s="1186">
        <v>2020</v>
      </c>
      <c r="G442" s="1186">
        <v>4</v>
      </c>
      <c r="H442" s="1186">
        <v>1140448</v>
      </c>
    </row>
    <row r="443" spans="1:8" x14ac:dyDescent="0.2">
      <c r="A443" s="1186" t="s">
        <v>341</v>
      </c>
      <c r="B443" s="1186" t="s">
        <v>1572</v>
      </c>
      <c r="C443" s="1186">
        <v>4</v>
      </c>
      <c r="D443" s="1186" t="s">
        <v>828</v>
      </c>
      <c r="E443" s="1186">
        <v>52</v>
      </c>
      <c r="F443" s="1186">
        <v>2020</v>
      </c>
      <c r="G443" s="1186">
        <v>4</v>
      </c>
      <c r="H443" s="1186">
        <v>1140448</v>
      </c>
    </row>
    <row r="444" spans="1:8" x14ac:dyDescent="0.2">
      <c r="A444" s="1186" t="s">
        <v>341</v>
      </c>
      <c r="B444" s="1186" t="s">
        <v>1572</v>
      </c>
      <c r="C444" s="1186">
        <v>4</v>
      </c>
      <c r="D444" s="1186" t="s">
        <v>850</v>
      </c>
      <c r="E444" s="1186">
        <v>16</v>
      </c>
      <c r="F444" s="1186">
        <v>2020</v>
      </c>
      <c r="G444" s="1186">
        <v>4</v>
      </c>
      <c r="H444" s="1186">
        <v>1140448</v>
      </c>
    </row>
    <row r="445" spans="1:8" x14ac:dyDescent="0.2">
      <c r="A445" s="1186" t="s">
        <v>341</v>
      </c>
      <c r="B445" s="1186" t="s">
        <v>1572</v>
      </c>
      <c r="C445" s="1186">
        <v>4</v>
      </c>
      <c r="D445" s="1186" t="s">
        <v>851</v>
      </c>
      <c r="E445" s="1186">
        <v>4</v>
      </c>
      <c r="F445" s="1186">
        <v>2020</v>
      </c>
      <c r="G445" s="1186">
        <v>4</v>
      </c>
      <c r="H445" s="1186">
        <v>1140448</v>
      </c>
    </row>
    <row r="446" spans="1:8" x14ac:dyDescent="0.2">
      <c r="A446" s="1186" t="s">
        <v>341</v>
      </c>
      <c r="B446" s="1186" t="s">
        <v>1572</v>
      </c>
      <c r="C446" s="1186">
        <v>4</v>
      </c>
      <c r="D446" s="1186" t="s">
        <v>852</v>
      </c>
      <c r="E446" s="1186">
        <v>10</v>
      </c>
      <c r="F446" s="1186">
        <v>2020</v>
      </c>
      <c r="G446" s="1186">
        <v>4</v>
      </c>
      <c r="H446" s="1186">
        <v>1140448</v>
      </c>
    </row>
    <row r="447" spans="1:8" x14ac:dyDescent="0.2">
      <c r="A447" s="1186" t="s">
        <v>342</v>
      </c>
      <c r="B447" s="1186" t="s">
        <v>1572</v>
      </c>
      <c r="C447" s="1186">
        <v>4</v>
      </c>
      <c r="D447" s="1186" t="s">
        <v>851</v>
      </c>
      <c r="E447" s="1186">
        <v>1</v>
      </c>
      <c r="F447" s="1186">
        <v>2020</v>
      </c>
      <c r="G447" s="1186">
        <v>4</v>
      </c>
      <c r="H447" s="1186">
        <v>1140448</v>
      </c>
    </row>
    <row r="448" spans="1:8" x14ac:dyDescent="0.2">
      <c r="A448" s="1186" t="s">
        <v>343</v>
      </c>
      <c r="B448" s="1186" t="s">
        <v>1572</v>
      </c>
      <c r="C448" s="1186">
        <v>5</v>
      </c>
      <c r="D448" s="1186" t="s">
        <v>852</v>
      </c>
      <c r="E448" s="1186">
        <v>2</v>
      </c>
      <c r="F448" s="1186">
        <v>2020</v>
      </c>
      <c r="G448" s="1186">
        <v>5</v>
      </c>
      <c r="H448" s="1186">
        <v>1132267</v>
      </c>
    </row>
    <row r="449" spans="1:8" x14ac:dyDescent="0.2">
      <c r="A449" s="1186" t="s">
        <v>342</v>
      </c>
      <c r="B449" s="1186" t="s">
        <v>1572</v>
      </c>
      <c r="C449" s="1186">
        <v>5</v>
      </c>
      <c r="D449" s="1186" t="s">
        <v>828</v>
      </c>
      <c r="E449" s="1186">
        <v>3</v>
      </c>
      <c r="F449" s="1186">
        <v>2020</v>
      </c>
      <c r="G449" s="1186">
        <v>5</v>
      </c>
      <c r="H449" s="1186">
        <v>1132267</v>
      </c>
    </row>
    <row r="450" spans="1:8" x14ac:dyDescent="0.2">
      <c r="A450" s="1186" t="s">
        <v>341</v>
      </c>
      <c r="B450" s="1186" t="s">
        <v>1572</v>
      </c>
      <c r="C450" s="1186">
        <v>5</v>
      </c>
      <c r="D450" s="1186" t="s">
        <v>828</v>
      </c>
      <c r="E450" s="1186">
        <v>33</v>
      </c>
      <c r="F450" s="1186">
        <v>2020</v>
      </c>
      <c r="G450" s="1186">
        <v>5</v>
      </c>
      <c r="H450" s="1186">
        <v>1132267</v>
      </c>
    </row>
    <row r="451" spans="1:8" x14ac:dyDescent="0.2">
      <c r="A451" s="1186" t="s">
        <v>341</v>
      </c>
      <c r="B451" s="1186" t="s">
        <v>1572</v>
      </c>
      <c r="C451" s="1186">
        <v>5</v>
      </c>
      <c r="D451" s="1186" t="s">
        <v>850</v>
      </c>
      <c r="E451" s="1186">
        <v>2</v>
      </c>
      <c r="F451" s="1186">
        <v>2020</v>
      </c>
      <c r="G451" s="1186">
        <v>5</v>
      </c>
      <c r="H451" s="1186">
        <v>1132267</v>
      </c>
    </row>
    <row r="452" spans="1:8" x14ac:dyDescent="0.2">
      <c r="A452" s="1186" t="s">
        <v>341</v>
      </c>
      <c r="B452" s="1186" t="s">
        <v>1572</v>
      </c>
      <c r="C452" s="1186">
        <v>5</v>
      </c>
      <c r="D452" s="1186" t="s">
        <v>851</v>
      </c>
      <c r="E452" s="1186">
        <v>2</v>
      </c>
      <c r="F452" s="1186">
        <v>2020</v>
      </c>
      <c r="G452" s="1186">
        <v>5</v>
      </c>
      <c r="H452" s="1186">
        <v>1132267</v>
      </c>
    </row>
    <row r="453" spans="1:8" x14ac:dyDescent="0.2">
      <c r="A453" s="1186" t="s">
        <v>341</v>
      </c>
      <c r="B453" s="1186" t="s">
        <v>1572</v>
      </c>
      <c r="C453" s="1186">
        <v>5</v>
      </c>
      <c r="D453" s="1186" t="s">
        <v>852</v>
      </c>
      <c r="E453" s="1186">
        <v>1</v>
      </c>
      <c r="F453" s="1186">
        <v>2020</v>
      </c>
      <c r="G453" s="1186">
        <v>5</v>
      </c>
      <c r="H453" s="1186">
        <v>1132267</v>
      </c>
    </row>
    <row r="454" spans="1:8" x14ac:dyDescent="0.2">
      <c r="A454" s="1186" t="s">
        <v>343</v>
      </c>
      <c r="B454" s="1186" t="s">
        <v>1572</v>
      </c>
      <c r="C454" s="1186">
        <v>5</v>
      </c>
      <c r="D454" s="1186" t="s">
        <v>828</v>
      </c>
      <c r="E454" s="1186">
        <v>49</v>
      </c>
      <c r="F454" s="1186">
        <v>2020</v>
      </c>
      <c r="G454" s="1186">
        <v>5</v>
      </c>
      <c r="H454" s="1186">
        <v>1132267</v>
      </c>
    </row>
    <row r="455" spans="1:8" x14ac:dyDescent="0.2">
      <c r="A455" s="1186" t="s">
        <v>343</v>
      </c>
      <c r="B455" s="1186" t="s">
        <v>1572</v>
      </c>
      <c r="C455" s="1186">
        <v>5</v>
      </c>
      <c r="D455" s="1186" t="s">
        <v>850</v>
      </c>
      <c r="E455" s="1186">
        <v>2</v>
      </c>
      <c r="F455" s="1186">
        <v>2020</v>
      </c>
      <c r="G455" s="1186">
        <v>5</v>
      </c>
      <c r="H455" s="1186">
        <v>1132267</v>
      </c>
    </row>
    <row r="456" spans="1:8" x14ac:dyDescent="0.2">
      <c r="A456" s="1186" t="s">
        <v>343</v>
      </c>
      <c r="B456" s="1186" t="s">
        <v>1572</v>
      </c>
      <c r="C456" s="1186">
        <v>5</v>
      </c>
      <c r="D456" s="1186" t="s">
        <v>851</v>
      </c>
      <c r="E456" s="1186">
        <v>3</v>
      </c>
      <c r="F456" s="1186">
        <v>2020</v>
      </c>
      <c r="G456" s="1186">
        <v>5</v>
      </c>
      <c r="H456" s="1186">
        <v>1132267</v>
      </c>
    </row>
  </sheetData>
  <pageMargins left="0.7" right="0.7" top="0.75" bottom="0.75" header="0.3" footer="0.3"/>
  <pageSetup paperSize="9" fitToHeight="50" orientation="landscape" r:id="rId1"/>
  <legacyDrawing r:id="rId2"/>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pageSetUpPr fitToPage="1"/>
  </sheetPr>
  <dimension ref="A1:H507"/>
  <sheetViews>
    <sheetView zoomScale="85" zoomScaleNormal="85" workbookViewId="0">
      <pane ySplit="4" topLeftCell="A482" activePane="bottomLeft" state="frozen"/>
      <selection activeCell="A5" sqref="A5"/>
      <selection pane="bottomLeft" activeCell="A5" sqref="A5"/>
    </sheetView>
  </sheetViews>
  <sheetFormatPr defaultColWidth="8.7109375" defaultRowHeight="12.75" x14ac:dyDescent="0.2"/>
  <cols>
    <col min="1" max="1" width="26.28515625" bestFit="1" customWidth="1"/>
    <col min="2" max="2" width="7.42578125" bestFit="1" customWidth="1"/>
    <col min="3" max="3" width="10.5703125" bestFit="1" customWidth="1"/>
    <col min="4" max="4" width="15" bestFit="1" customWidth="1"/>
    <col min="5" max="5" width="4.85546875" bestFit="1" customWidth="1"/>
    <col min="6" max="6" width="6.28515625" bestFit="1" customWidth="1"/>
    <col min="7" max="7" width="10.5703125" bestFit="1" customWidth="1"/>
    <col min="8" max="8" width="7.85546875" bestFit="1" customWidth="1"/>
  </cols>
  <sheetData>
    <row r="1" spans="1:8" x14ac:dyDescent="0.2"/>
    <row r="4" spans="1:8" x14ac:dyDescent="0.2">
      <c r="A4" s="1223" t="s">
        <v>1111</v>
      </c>
      <c r="B4" s="1223" t="s">
        <v>464</v>
      </c>
      <c r="C4" s="1223" t="s">
        <v>1974</v>
      </c>
      <c r="D4" s="1223" t="s">
        <v>993</v>
      </c>
      <c r="E4" s="1223" t="s">
        <v>11</v>
      </c>
      <c r="F4" s="1223" t="s">
        <v>1632</v>
      </c>
      <c r="G4" s="1223" t="s">
        <v>1975</v>
      </c>
      <c r="H4" s="1223" t="s">
        <v>1582</v>
      </c>
    </row>
    <row r="5" spans="1:8" x14ac:dyDescent="0.2">
      <c r="A5" s="1186" t="s">
        <v>343</v>
      </c>
      <c r="B5" s="1186" t="s">
        <v>133</v>
      </c>
      <c r="C5" s="1186"/>
      <c r="D5" s="1186" t="s">
        <v>852</v>
      </c>
      <c r="E5" s="1186">
        <v>1</v>
      </c>
      <c r="F5" s="1186"/>
      <c r="G5" s="1186"/>
      <c r="H5" s="1186"/>
    </row>
    <row r="6" spans="1:8" x14ac:dyDescent="0.2">
      <c r="A6" s="1186" t="s">
        <v>343</v>
      </c>
      <c r="B6" s="1186" t="s">
        <v>144</v>
      </c>
      <c r="C6" s="1186"/>
      <c r="D6" s="1186" t="s">
        <v>852</v>
      </c>
      <c r="E6" s="1186">
        <v>4</v>
      </c>
      <c r="F6" s="1186"/>
      <c r="G6" s="1186"/>
      <c r="H6" s="1186"/>
    </row>
    <row r="7" spans="1:8" x14ac:dyDescent="0.2">
      <c r="A7" s="1186" t="s">
        <v>341</v>
      </c>
      <c r="B7" s="1186" t="s">
        <v>144</v>
      </c>
      <c r="C7" s="1186"/>
      <c r="D7" s="1186" t="s">
        <v>852</v>
      </c>
      <c r="E7" s="1186">
        <v>2</v>
      </c>
      <c r="F7" s="1186"/>
      <c r="G7" s="1186"/>
      <c r="H7" s="1186"/>
    </row>
    <row r="8" spans="1:8" x14ac:dyDescent="0.2">
      <c r="A8" s="1186" t="s">
        <v>341</v>
      </c>
      <c r="B8" s="1186" t="s">
        <v>311</v>
      </c>
      <c r="C8" s="1186"/>
      <c r="D8" s="1186" t="s">
        <v>852</v>
      </c>
      <c r="E8" s="1186">
        <v>1</v>
      </c>
      <c r="F8" s="1186"/>
      <c r="G8" s="1186"/>
      <c r="H8" s="1186"/>
    </row>
    <row r="9" spans="1:8" x14ac:dyDescent="0.2">
      <c r="A9" s="1186" t="s">
        <v>343</v>
      </c>
      <c r="B9" s="1186" t="s">
        <v>311</v>
      </c>
      <c r="C9" s="1186"/>
      <c r="D9" s="1186" t="s">
        <v>852</v>
      </c>
      <c r="E9" s="1186">
        <v>2</v>
      </c>
      <c r="F9" s="1186"/>
      <c r="G9" s="1186"/>
      <c r="H9" s="1186"/>
    </row>
    <row r="10" spans="1:8" x14ac:dyDescent="0.2">
      <c r="A10" s="1186" t="s">
        <v>343</v>
      </c>
      <c r="B10" s="1186" t="s">
        <v>15</v>
      </c>
      <c r="C10" s="1186">
        <v>1</v>
      </c>
      <c r="D10" s="1186" t="s">
        <v>852</v>
      </c>
      <c r="E10" s="1186">
        <v>7</v>
      </c>
      <c r="F10" s="1186">
        <v>2012</v>
      </c>
      <c r="G10" s="1186">
        <v>1</v>
      </c>
      <c r="H10" s="1186">
        <v>1819758</v>
      </c>
    </row>
    <row r="11" spans="1:8" x14ac:dyDescent="0.2">
      <c r="A11" s="1186" t="s">
        <v>343</v>
      </c>
      <c r="B11" s="1186" t="s">
        <v>15</v>
      </c>
      <c r="C11" s="1186">
        <v>1</v>
      </c>
      <c r="D11" s="1186" t="s">
        <v>851</v>
      </c>
      <c r="E11" s="1186">
        <v>5</v>
      </c>
      <c r="F11" s="1186">
        <v>2012</v>
      </c>
      <c r="G11" s="1186">
        <v>1</v>
      </c>
      <c r="H11" s="1186">
        <v>1819758</v>
      </c>
    </row>
    <row r="12" spans="1:8" x14ac:dyDescent="0.2">
      <c r="A12" s="1186" t="s">
        <v>343</v>
      </c>
      <c r="B12" s="1186" t="s">
        <v>15</v>
      </c>
      <c r="C12" s="1186">
        <v>1</v>
      </c>
      <c r="D12" s="1186" t="s">
        <v>850</v>
      </c>
      <c r="E12" s="1186">
        <v>42</v>
      </c>
      <c r="F12" s="1186">
        <v>2012</v>
      </c>
      <c r="G12" s="1186">
        <v>1</v>
      </c>
      <c r="H12" s="1186">
        <v>1819758</v>
      </c>
    </row>
    <row r="13" spans="1:8" x14ac:dyDescent="0.2">
      <c r="A13" s="1186" t="s">
        <v>343</v>
      </c>
      <c r="B13" s="1186" t="s">
        <v>15</v>
      </c>
      <c r="C13" s="1186">
        <v>1</v>
      </c>
      <c r="D13" s="1186" t="s">
        <v>828</v>
      </c>
      <c r="E13" s="1186">
        <v>546</v>
      </c>
      <c r="F13" s="1186">
        <v>2012</v>
      </c>
      <c r="G13" s="1186">
        <v>1</v>
      </c>
      <c r="H13" s="1186">
        <v>1819758</v>
      </c>
    </row>
    <row r="14" spans="1:8" x14ac:dyDescent="0.2">
      <c r="A14" s="1186" t="s">
        <v>342</v>
      </c>
      <c r="B14" s="1186" t="s">
        <v>15</v>
      </c>
      <c r="C14" s="1186">
        <v>1</v>
      </c>
      <c r="D14" s="1186" t="s">
        <v>852</v>
      </c>
      <c r="E14" s="1186">
        <v>2</v>
      </c>
      <c r="F14" s="1186">
        <v>2012</v>
      </c>
      <c r="G14" s="1186">
        <v>1</v>
      </c>
      <c r="H14" s="1186">
        <v>1819758</v>
      </c>
    </row>
    <row r="15" spans="1:8" x14ac:dyDescent="0.2">
      <c r="A15" s="1186" t="s">
        <v>341</v>
      </c>
      <c r="B15" s="1186" t="s">
        <v>15</v>
      </c>
      <c r="C15" s="1186">
        <v>1</v>
      </c>
      <c r="D15" s="1186" t="s">
        <v>852</v>
      </c>
      <c r="E15" s="1186">
        <v>5</v>
      </c>
      <c r="F15" s="1186">
        <v>2012</v>
      </c>
      <c r="G15" s="1186">
        <v>1</v>
      </c>
      <c r="H15" s="1186">
        <v>1819758</v>
      </c>
    </row>
    <row r="16" spans="1:8" x14ac:dyDescent="0.2">
      <c r="A16" s="1186" t="s">
        <v>341</v>
      </c>
      <c r="B16" s="1186" t="s">
        <v>15</v>
      </c>
      <c r="C16" s="1186">
        <v>1</v>
      </c>
      <c r="D16" s="1186" t="s">
        <v>851</v>
      </c>
      <c r="E16" s="1186">
        <v>3</v>
      </c>
      <c r="F16" s="1186">
        <v>2012</v>
      </c>
      <c r="G16" s="1186">
        <v>1</v>
      </c>
      <c r="H16" s="1186">
        <v>1819758</v>
      </c>
    </row>
    <row r="17" spans="1:8" x14ac:dyDescent="0.2">
      <c r="A17" s="1186" t="s">
        <v>341</v>
      </c>
      <c r="B17" s="1186" t="s">
        <v>15</v>
      </c>
      <c r="C17" s="1186">
        <v>1</v>
      </c>
      <c r="D17" s="1186" t="s">
        <v>850</v>
      </c>
      <c r="E17" s="1186">
        <v>37</v>
      </c>
      <c r="F17" s="1186">
        <v>2012</v>
      </c>
      <c r="G17" s="1186">
        <v>1</v>
      </c>
      <c r="H17" s="1186">
        <v>1819758</v>
      </c>
    </row>
    <row r="18" spans="1:8" x14ac:dyDescent="0.2">
      <c r="A18" s="1186" t="s">
        <v>342</v>
      </c>
      <c r="B18" s="1186" t="s">
        <v>15</v>
      </c>
      <c r="C18" s="1186">
        <v>1</v>
      </c>
      <c r="D18" s="1186" t="s">
        <v>850</v>
      </c>
      <c r="E18" s="1186">
        <v>1</v>
      </c>
      <c r="F18" s="1186">
        <v>2012</v>
      </c>
      <c r="G18" s="1186">
        <v>1</v>
      </c>
      <c r="H18" s="1186">
        <v>1819758</v>
      </c>
    </row>
    <row r="19" spans="1:8" x14ac:dyDescent="0.2">
      <c r="A19" s="1186" t="s">
        <v>341</v>
      </c>
      <c r="B19" s="1186" t="s">
        <v>15</v>
      </c>
      <c r="C19" s="1186">
        <v>1</v>
      </c>
      <c r="D19" s="1186" t="s">
        <v>828</v>
      </c>
      <c r="E19" s="1186">
        <v>423</v>
      </c>
      <c r="F19" s="1186">
        <v>2012</v>
      </c>
      <c r="G19" s="1186">
        <v>1</v>
      </c>
      <c r="H19" s="1186">
        <v>1819758</v>
      </c>
    </row>
    <row r="20" spans="1:8" x14ac:dyDescent="0.2">
      <c r="A20" s="1186" t="s">
        <v>342</v>
      </c>
      <c r="B20" s="1186" t="s">
        <v>15</v>
      </c>
      <c r="C20" s="1186">
        <v>1</v>
      </c>
      <c r="D20" s="1186" t="s">
        <v>828</v>
      </c>
      <c r="E20" s="1186">
        <v>18</v>
      </c>
      <c r="F20" s="1186">
        <v>2012</v>
      </c>
      <c r="G20" s="1186">
        <v>1</v>
      </c>
      <c r="H20" s="1186">
        <v>1819758</v>
      </c>
    </row>
    <row r="21" spans="1:8" x14ac:dyDescent="0.2">
      <c r="A21" s="1186" t="s">
        <v>342</v>
      </c>
      <c r="B21" s="1186" t="s">
        <v>17</v>
      </c>
      <c r="C21" s="1186">
        <v>1</v>
      </c>
      <c r="D21" s="1186" t="s">
        <v>828</v>
      </c>
      <c r="E21" s="1186">
        <v>10</v>
      </c>
      <c r="F21" s="1186">
        <v>2013</v>
      </c>
      <c r="G21" s="1186">
        <v>1</v>
      </c>
      <c r="H21" s="1186">
        <v>1828026</v>
      </c>
    </row>
    <row r="22" spans="1:8" x14ac:dyDescent="0.2">
      <c r="A22" s="1186" t="s">
        <v>341</v>
      </c>
      <c r="B22" s="1186" t="s">
        <v>17</v>
      </c>
      <c r="C22" s="1186">
        <v>1</v>
      </c>
      <c r="D22" s="1186" t="s">
        <v>828</v>
      </c>
      <c r="E22" s="1186">
        <v>442</v>
      </c>
      <c r="F22" s="1186">
        <v>2013</v>
      </c>
      <c r="G22" s="1186">
        <v>1</v>
      </c>
      <c r="H22" s="1186">
        <v>1828026</v>
      </c>
    </row>
    <row r="23" spans="1:8" x14ac:dyDescent="0.2">
      <c r="A23" s="1186" t="s">
        <v>341</v>
      </c>
      <c r="B23" s="1186" t="s">
        <v>17</v>
      </c>
      <c r="C23" s="1186">
        <v>1</v>
      </c>
      <c r="D23" s="1186" t="s">
        <v>850</v>
      </c>
      <c r="E23" s="1186">
        <v>28</v>
      </c>
      <c r="F23" s="1186">
        <v>2013</v>
      </c>
      <c r="G23" s="1186">
        <v>1</v>
      </c>
      <c r="H23" s="1186">
        <v>1828026</v>
      </c>
    </row>
    <row r="24" spans="1:8" x14ac:dyDescent="0.2">
      <c r="A24" s="1186" t="s">
        <v>341</v>
      </c>
      <c r="B24" s="1186" t="s">
        <v>17</v>
      </c>
      <c r="C24" s="1186">
        <v>1</v>
      </c>
      <c r="D24" s="1186" t="s">
        <v>852</v>
      </c>
      <c r="E24" s="1186">
        <v>3</v>
      </c>
      <c r="F24" s="1186">
        <v>2013</v>
      </c>
      <c r="G24" s="1186">
        <v>1</v>
      </c>
      <c r="H24" s="1186">
        <v>1828026</v>
      </c>
    </row>
    <row r="25" spans="1:8" x14ac:dyDescent="0.2">
      <c r="A25" s="1186" t="s">
        <v>343</v>
      </c>
      <c r="B25" s="1186" t="s">
        <v>17</v>
      </c>
      <c r="C25" s="1186">
        <v>1</v>
      </c>
      <c r="D25" s="1186" t="s">
        <v>852</v>
      </c>
      <c r="E25" s="1186">
        <v>5</v>
      </c>
      <c r="F25" s="1186">
        <v>2013</v>
      </c>
      <c r="G25" s="1186">
        <v>1</v>
      </c>
      <c r="H25" s="1186">
        <v>1828026</v>
      </c>
    </row>
    <row r="26" spans="1:8" x14ac:dyDescent="0.2">
      <c r="A26" s="1186" t="s">
        <v>343</v>
      </c>
      <c r="B26" s="1186" t="s">
        <v>17</v>
      </c>
      <c r="C26" s="1186">
        <v>1</v>
      </c>
      <c r="D26" s="1186" t="s">
        <v>851</v>
      </c>
      <c r="E26" s="1186">
        <v>5</v>
      </c>
      <c r="F26" s="1186">
        <v>2013</v>
      </c>
      <c r="G26" s="1186">
        <v>1</v>
      </c>
      <c r="H26" s="1186">
        <v>1828026</v>
      </c>
    </row>
    <row r="27" spans="1:8" x14ac:dyDescent="0.2">
      <c r="A27" s="1186" t="s">
        <v>343</v>
      </c>
      <c r="B27" s="1186" t="s">
        <v>17</v>
      </c>
      <c r="C27" s="1186">
        <v>1</v>
      </c>
      <c r="D27" s="1186" t="s">
        <v>850</v>
      </c>
      <c r="E27" s="1186">
        <v>31</v>
      </c>
      <c r="F27" s="1186">
        <v>2013</v>
      </c>
      <c r="G27" s="1186">
        <v>1</v>
      </c>
      <c r="H27" s="1186">
        <v>1828026</v>
      </c>
    </row>
    <row r="28" spans="1:8" x14ac:dyDescent="0.2">
      <c r="A28" s="1186" t="s">
        <v>343</v>
      </c>
      <c r="B28" s="1186" t="s">
        <v>17</v>
      </c>
      <c r="C28" s="1186">
        <v>1</v>
      </c>
      <c r="D28" s="1186" t="s">
        <v>828</v>
      </c>
      <c r="E28" s="1186">
        <v>522</v>
      </c>
      <c r="F28" s="1186">
        <v>2013</v>
      </c>
      <c r="G28" s="1186">
        <v>1</v>
      </c>
      <c r="H28" s="1186">
        <v>1828026</v>
      </c>
    </row>
    <row r="29" spans="1:8" x14ac:dyDescent="0.2">
      <c r="A29" s="1186" t="s">
        <v>341</v>
      </c>
      <c r="B29" s="1186" t="s">
        <v>17</v>
      </c>
      <c r="C29" s="1186">
        <v>1</v>
      </c>
      <c r="D29" s="1186" t="s">
        <v>851</v>
      </c>
      <c r="E29" s="1186">
        <v>5</v>
      </c>
      <c r="F29" s="1186">
        <v>2013</v>
      </c>
      <c r="G29" s="1186">
        <v>1</v>
      </c>
      <c r="H29" s="1186">
        <v>1828026</v>
      </c>
    </row>
    <row r="30" spans="1:8" x14ac:dyDescent="0.2">
      <c r="A30" s="1186" t="s">
        <v>342</v>
      </c>
      <c r="B30" s="1186" t="s">
        <v>133</v>
      </c>
      <c r="C30" s="1186">
        <v>1</v>
      </c>
      <c r="D30" s="1186" t="s">
        <v>828</v>
      </c>
      <c r="E30" s="1186">
        <v>10</v>
      </c>
      <c r="F30" s="1186">
        <v>2014</v>
      </c>
      <c r="G30" s="1186">
        <v>1</v>
      </c>
      <c r="H30" s="1186">
        <v>1839393</v>
      </c>
    </row>
    <row r="31" spans="1:8" x14ac:dyDescent="0.2">
      <c r="A31" s="1186" t="s">
        <v>342</v>
      </c>
      <c r="B31" s="1186" t="s">
        <v>133</v>
      </c>
      <c r="C31" s="1186">
        <v>1</v>
      </c>
      <c r="D31" s="1186" t="s">
        <v>850</v>
      </c>
      <c r="E31" s="1186">
        <v>3</v>
      </c>
      <c r="F31" s="1186">
        <v>2014</v>
      </c>
      <c r="G31" s="1186">
        <v>1</v>
      </c>
      <c r="H31" s="1186">
        <v>1839393</v>
      </c>
    </row>
    <row r="32" spans="1:8" x14ac:dyDescent="0.2">
      <c r="A32" s="1186" t="s">
        <v>342</v>
      </c>
      <c r="B32" s="1186" t="s">
        <v>133</v>
      </c>
      <c r="C32" s="1186">
        <v>1</v>
      </c>
      <c r="D32" s="1186" t="s">
        <v>852</v>
      </c>
      <c r="E32" s="1186">
        <v>2</v>
      </c>
      <c r="F32" s="1186">
        <v>2014</v>
      </c>
      <c r="G32" s="1186">
        <v>1</v>
      </c>
      <c r="H32" s="1186">
        <v>1839393</v>
      </c>
    </row>
    <row r="33" spans="1:8" x14ac:dyDescent="0.2">
      <c r="A33" s="1186" t="s">
        <v>341</v>
      </c>
      <c r="B33" s="1186" t="s">
        <v>133</v>
      </c>
      <c r="C33" s="1186">
        <v>1</v>
      </c>
      <c r="D33" s="1186" t="s">
        <v>828</v>
      </c>
      <c r="E33" s="1186">
        <v>326</v>
      </c>
      <c r="F33" s="1186">
        <v>2014</v>
      </c>
      <c r="G33" s="1186">
        <v>1</v>
      </c>
      <c r="H33" s="1186">
        <v>1839393</v>
      </c>
    </row>
    <row r="34" spans="1:8" x14ac:dyDescent="0.2">
      <c r="A34" s="1186" t="s">
        <v>341</v>
      </c>
      <c r="B34" s="1186" t="s">
        <v>133</v>
      </c>
      <c r="C34" s="1186">
        <v>1</v>
      </c>
      <c r="D34" s="1186" t="s">
        <v>850</v>
      </c>
      <c r="E34" s="1186">
        <v>23</v>
      </c>
      <c r="F34" s="1186">
        <v>2014</v>
      </c>
      <c r="G34" s="1186">
        <v>1</v>
      </c>
      <c r="H34" s="1186">
        <v>1839393</v>
      </c>
    </row>
    <row r="35" spans="1:8" x14ac:dyDescent="0.2">
      <c r="A35" s="1186" t="s">
        <v>343</v>
      </c>
      <c r="B35" s="1186" t="s">
        <v>133</v>
      </c>
      <c r="C35" s="1186">
        <v>1</v>
      </c>
      <c r="D35" s="1186" t="s">
        <v>850</v>
      </c>
      <c r="E35" s="1186">
        <v>28</v>
      </c>
      <c r="F35" s="1186">
        <v>2014</v>
      </c>
      <c r="G35" s="1186">
        <v>1</v>
      </c>
      <c r="H35" s="1186">
        <v>1839393</v>
      </c>
    </row>
    <row r="36" spans="1:8" x14ac:dyDescent="0.2">
      <c r="A36" s="1186" t="s">
        <v>341</v>
      </c>
      <c r="B36" s="1186" t="s">
        <v>133</v>
      </c>
      <c r="C36" s="1186">
        <v>1</v>
      </c>
      <c r="D36" s="1186" t="s">
        <v>851</v>
      </c>
      <c r="E36" s="1186">
        <v>6</v>
      </c>
      <c r="F36" s="1186">
        <v>2014</v>
      </c>
      <c r="G36" s="1186">
        <v>1</v>
      </c>
      <c r="H36" s="1186">
        <v>1839393</v>
      </c>
    </row>
    <row r="37" spans="1:8" x14ac:dyDescent="0.2">
      <c r="A37" s="1186" t="s">
        <v>341</v>
      </c>
      <c r="B37" s="1186" t="s">
        <v>133</v>
      </c>
      <c r="C37" s="1186">
        <v>1</v>
      </c>
      <c r="D37" s="1186" t="s">
        <v>852</v>
      </c>
      <c r="E37" s="1186">
        <v>3</v>
      </c>
      <c r="F37" s="1186">
        <v>2014</v>
      </c>
      <c r="G37" s="1186">
        <v>1</v>
      </c>
      <c r="H37" s="1186">
        <v>1839393</v>
      </c>
    </row>
    <row r="38" spans="1:8" x14ac:dyDescent="0.2">
      <c r="A38" s="1186" t="s">
        <v>343</v>
      </c>
      <c r="B38" s="1186" t="s">
        <v>133</v>
      </c>
      <c r="C38" s="1186">
        <v>1</v>
      </c>
      <c r="D38" s="1186" t="s">
        <v>851</v>
      </c>
      <c r="E38" s="1186">
        <v>13</v>
      </c>
      <c r="F38" s="1186">
        <v>2014</v>
      </c>
      <c r="G38" s="1186">
        <v>1</v>
      </c>
      <c r="H38" s="1186">
        <v>1839393</v>
      </c>
    </row>
    <row r="39" spans="1:8" x14ac:dyDescent="0.2">
      <c r="A39" s="1186" t="s">
        <v>343</v>
      </c>
      <c r="B39" s="1186" t="s">
        <v>133</v>
      </c>
      <c r="C39" s="1186">
        <v>1</v>
      </c>
      <c r="D39" s="1186" t="s">
        <v>828</v>
      </c>
      <c r="E39" s="1186">
        <v>391</v>
      </c>
      <c r="F39" s="1186">
        <v>2014</v>
      </c>
      <c r="G39" s="1186">
        <v>1</v>
      </c>
      <c r="H39" s="1186">
        <v>1839393</v>
      </c>
    </row>
    <row r="40" spans="1:8" x14ac:dyDescent="0.2">
      <c r="A40" s="1186" t="s">
        <v>343</v>
      </c>
      <c r="B40" s="1186" t="s">
        <v>133</v>
      </c>
      <c r="C40" s="1186">
        <v>1</v>
      </c>
      <c r="D40" s="1186" t="s">
        <v>852</v>
      </c>
      <c r="E40" s="1186">
        <v>4</v>
      </c>
      <c r="F40" s="1186">
        <v>2014</v>
      </c>
      <c r="G40" s="1186">
        <v>1</v>
      </c>
      <c r="H40" s="1186">
        <v>1839393</v>
      </c>
    </row>
    <row r="41" spans="1:8" x14ac:dyDescent="0.2">
      <c r="A41" s="1186" t="s">
        <v>341</v>
      </c>
      <c r="B41" s="1186" t="s">
        <v>144</v>
      </c>
      <c r="C41" s="1186">
        <v>1</v>
      </c>
      <c r="D41" s="1186" t="s">
        <v>852</v>
      </c>
      <c r="E41" s="1186">
        <v>6</v>
      </c>
      <c r="F41" s="1186">
        <v>2015</v>
      </c>
      <c r="G41" s="1186">
        <v>1</v>
      </c>
      <c r="H41" s="1186">
        <v>1854344</v>
      </c>
    </row>
    <row r="42" spans="1:8" x14ac:dyDescent="0.2">
      <c r="A42" s="1186" t="s">
        <v>341</v>
      </c>
      <c r="B42" s="1186" t="s">
        <v>144</v>
      </c>
      <c r="C42" s="1186">
        <v>1</v>
      </c>
      <c r="D42" s="1186" t="s">
        <v>851</v>
      </c>
      <c r="E42" s="1186">
        <v>4</v>
      </c>
      <c r="F42" s="1186">
        <v>2015</v>
      </c>
      <c r="G42" s="1186">
        <v>1</v>
      </c>
      <c r="H42" s="1186">
        <v>1854344</v>
      </c>
    </row>
    <row r="43" spans="1:8" x14ac:dyDescent="0.2">
      <c r="A43" s="1186" t="s">
        <v>342</v>
      </c>
      <c r="B43" s="1186" t="s">
        <v>144</v>
      </c>
      <c r="C43" s="1186">
        <v>1</v>
      </c>
      <c r="D43" s="1186" t="s">
        <v>828</v>
      </c>
      <c r="E43" s="1186">
        <v>13</v>
      </c>
      <c r="F43" s="1186">
        <v>2015</v>
      </c>
      <c r="G43" s="1186">
        <v>1</v>
      </c>
      <c r="H43" s="1186">
        <v>1854344</v>
      </c>
    </row>
    <row r="44" spans="1:8" x14ac:dyDescent="0.2">
      <c r="A44" s="1186" t="s">
        <v>341</v>
      </c>
      <c r="B44" s="1186" t="s">
        <v>144</v>
      </c>
      <c r="C44" s="1186">
        <v>1</v>
      </c>
      <c r="D44" s="1186" t="s">
        <v>850</v>
      </c>
      <c r="E44" s="1186">
        <v>35</v>
      </c>
      <c r="F44" s="1186">
        <v>2015</v>
      </c>
      <c r="G44" s="1186">
        <v>1</v>
      </c>
      <c r="H44" s="1186">
        <v>1854344</v>
      </c>
    </row>
    <row r="45" spans="1:8" x14ac:dyDescent="0.2">
      <c r="A45" s="1186" t="s">
        <v>343</v>
      </c>
      <c r="B45" s="1186" t="s">
        <v>144</v>
      </c>
      <c r="C45" s="1186">
        <v>1</v>
      </c>
      <c r="D45" s="1186" t="s">
        <v>851</v>
      </c>
      <c r="E45" s="1186">
        <v>4</v>
      </c>
      <c r="F45" s="1186">
        <v>2015</v>
      </c>
      <c r="G45" s="1186">
        <v>1</v>
      </c>
      <c r="H45" s="1186">
        <v>1854344</v>
      </c>
    </row>
    <row r="46" spans="1:8" x14ac:dyDescent="0.2">
      <c r="A46" s="1186" t="s">
        <v>343</v>
      </c>
      <c r="B46" s="1186" t="s">
        <v>144</v>
      </c>
      <c r="C46" s="1186">
        <v>1</v>
      </c>
      <c r="D46" s="1186" t="s">
        <v>828</v>
      </c>
      <c r="E46" s="1186">
        <v>512</v>
      </c>
      <c r="F46" s="1186">
        <v>2015</v>
      </c>
      <c r="G46" s="1186">
        <v>1</v>
      </c>
      <c r="H46" s="1186">
        <v>1854344</v>
      </c>
    </row>
    <row r="47" spans="1:8" x14ac:dyDescent="0.2">
      <c r="A47" s="1186" t="s">
        <v>343</v>
      </c>
      <c r="B47" s="1186" t="s">
        <v>144</v>
      </c>
      <c r="C47" s="1186">
        <v>1</v>
      </c>
      <c r="D47" s="1186" t="s">
        <v>852</v>
      </c>
      <c r="E47" s="1186">
        <v>7</v>
      </c>
      <c r="F47" s="1186">
        <v>2015</v>
      </c>
      <c r="G47" s="1186">
        <v>1</v>
      </c>
      <c r="H47" s="1186">
        <v>1854344</v>
      </c>
    </row>
    <row r="48" spans="1:8" x14ac:dyDescent="0.2">
      <c r="A48" s="1186" t="s">
        <v>341</v>
      </c>
      <c r="B48" s="1186" t="s">
        <v>144</v>
      </c>
      <c r="C48" s="1186">
        <v>1</v>
      </c>
      <c r="D48" s="1186" t="s">
        <v>828</v>
      </c>
      <c r="E48" s="1186">
        <v>408</v>
      </c>
      <c r="F48" s="1186">
        <v>2015</v>
      </c>
      <c r="G48" s="1186">
        <v>1</v>
      </c>
      <c r="H48" s="1186">
        <v>1854344</v>
      </c>
    </row>
    <row r="49" spans="1:8" x14ac:dyDescent="0.2">
      <c r="A49" s="1186" t="s">
        <v>343</v>
      </c>
      <c r="B49" s="1186" t="s">
        <v>144</v>
      </c>
      <c r="C49" s="1186">
        <v>1</v>
      </c>
      <c r="D49" s="1186" t="s">
        <v>850</v>
      </c>
      <c r="E49" s="1186">
        <v>38</v>
      </c>
      <c r="F49" s="1186">
        <v>2015</v>
      </c>
      <c r="G49" s="1186">
        <v>1</v>
      </c>
      <c r="H49" s="1186">
        <v>1854344</v>
      </c>
    </row>
    <row r="50" spans="1:8" x14ac:dyDescent="0.2">
      <c r="A50" s="1186" t="s">
        <v>342</v>
      </c>
      <c r="B50" s="1186" t="s">
        <v>144</v>
      </c>
      <c r="C50" s="1186">
        <v>1</v>
      </c>
      <c r="D50" s="1186" t="s">
        <v>850</v>
      </c>
      <c r="E50" s="1186">
        <v>1</v>
      </c>
      <c r="F50" s="1186">
        <v>2015</v>
      </c>
      <c r="G50" s="1186">
        <v>1</v>
      </c>
      <c r="H50" s="1186">
        <v>1854344</v>
      </c>
    </row>
    <row r="51" spans="1:8" x14ac:dyDescent="0.2">
      <c r="A51" s="1186" t="s">
        <v>341</v>
      </c>
      <c r="B51" s="1186" t="s">
        <v>282</v>
      </c>
      <c r="C51" s="1186">
        <v>1</v>
      </c>
      <c r="D51" s="1186" t="s">
        <v>851</v>
      </c>
      <c r="E51" s="1186">
        <v>9</v>
      </c>
      <c r="F51" s="1186">
        <v>2016</v>
      </c>
      <c r="G51" s="1186">
        <v>1</v>
      </c>
      <c r="H51" s="1186">
        <v>1872642</v>
      </c>
    </row>
    <row r="52" spans="1:8" x14ac:dyDescent="0.2">
      <c r="A52" s="1186" t="s">
        <v>341</v>
      </c>
      <c r="B52" s="1186" t="s">
        <v>282</v>
      </c>
      <c r="C52" s="1186">
        <v>1</v>
      </c>
      <c r="D52" s="1186" t="s">
        <v>850</v>
      </c>
      <c r="E52" s="1186">
        <v>20</v>
      </c>
      <c r="F52" s="1186">
        <v>2016</v>
      </c>
      <c r="G52" s="1186">
        <v>1</v>
      </c>
      <c r="H52" s="1186">
        <v>1872642</v>
      </c>
    </row>
    <row r="53" spans="1:8" x14ac:dyDescent="0.2">
      <c r="A53" s="1186" t="s">
        <v>341</v>
      </c>
      <c r="B53" s="1186" t="s">
        <v>282</v>
      </c>
      <c r="C53" s="1186">
        <v>1</v>
      </c>
      <c r="D53" s="1186" t="s">
        <v>828</v>
      </c>
      <c r="E53" s="1186">
        <v>361</v>
      </c>
      <c r="F53" s="1186">
        <v>2016</v>
      </c>
      <c r="G53" s="1186">
        <v>1</v>
      </c>
      <c r="H53" s="1186">
        <v>1872642</v>
      </c>
    </row>
    <row r="54" spans="1:8" x14ac:dyDescent="0.2">
      <c r="A54" s="1186" t="s">
        <v>342</v>
      </c>
      <c r="B54" s="1186" t="s">
        <v>282</v>
      </c>
      <c r="C54" s="1186">
        <v>1</v>
      </c>
      <c r="D54" s="1186" t="s">
        <v>828</v>
      </c>
      <c r="E54" s="1186">
        <v>15</v>
      </c>
      <c r="F54" s="1186">
        <v>2016</v>
      </c>
      <c r="G54" s="1186">
        <v>1</v>
      </c>
      <c r="H54" s="1186">
        <v>1872642</v>
      </c>
    </row>
    <row r="55" spans="1:8" x14ac:dyDescent="0.2">
      <c r="A55" s="1186" t="s">
        <v>342</v>
      </c>
      <c r="B55" s="1186" t="s">
        <v>282</v>
      </c>
      <c r="C55" s="1186">
        <v>1</v>
      </c>
      <c r="D55" s="1186" t="s">
        <v>850</v>
      </c>
      <c r="E55" s="1186">
        <v>2</v>
      </c>
      <c r="F55" s="1186">
        <v>2016</v>
      </c>
      <c r="G55" s="1186">
        <v>1</v>
      </c>
      <c r="H55" s="1186">
        <v>1872642</v>
      </c>
    </row>
    <row r="56" spans="1:8" x14ac:dyDescent="0.2">
      <c r="A56" s="1186" t="s">
        <v>342</v>
      </c>
      <c r="B56" s="1186" t="s">
        <v>282</v>
      </c>
      <c r="C56" s="1186">
        <v>1</v>
      </c>
      <c r="D56" s="1186" t="s">
        <v>851</v>
      </c>
      <c r="E56" s="1186">
        <v>1</v>
      </c>
      <c r="F56" s="1186">
        <v>2016</v>
      </c>
      <c r="G56" s="1186">
        <v>1</v>
      </c>
      <c r="H56" s="1186">
        <v>1872642</v>
      </c>
    </row>
    <row r="57" spans="1:8" x14ac:dyDescent="0.2">
      <c r="A57" s="1186" t="s">
        <v>343</v>
      </c>
      <c r="B57" s="1186" t="s">
        <v>282</v>
      </c>
      <c r="C57" s="1186">
        <v>1</v>
      </c>
      <c r="D57" s="1186" t="s">
        <v>852</v>
      </c>
      <c r="E57" s="1186">
        <v>8</v>
      </c>
      <c r="F57" s="1186">
        <v>2016</v>
      </c>
      <c r="G57" s="1186">
        <v>1</v>
      </c>
      <c r="H57" s="1186">
        <v>1872642</v>
      </c>
    </row>
    <row r="58" spans="1:8" x14ac:dyDescent="0.2">
      <c r="A58" s="1186" t="s">
        <v>343</v>
      </c>
      <c r="B58" s="1186" t="s">
        <v>282</v>
      </c>
      <c r="C58" s="1186">
        <v>1</v>
      </c>
      <c r="D58" s="1186" t="s">
        <v>851</v>
      </c>
      <c r="E58" s="1186">
        <v>14</v>
      </c>
      <c r="F58" s="1186">
        <v>2016</v>
      </c>
      <c r="G58" s="1186">
        <v>1</v>
      </c>
      <c r="H58" s="1186">
        <v>1872642</v>
      </c>
    </row>
    <row r="59" spans="1:8" x14ac:dyDescent="0.2">
      <c r="A59" s="1186" t="s">
        <v>343</v>
      </c>
      <c r="B59" s="1186" t="s">
        <v>282</v>
      </c>
      <c r="C59" s="1186">
        <v>1</v>
      </c>
      <c r="D59" s="1186" t="s">
        <v>850</v>
      </c>
      <c r="E59" s="1186">
        <v>27</v>
      </c>
      <c r="F59" s="1186">
        <v>2016</v>
      </c>
      <c r="G59" s="1186">
        <v>1</v>
      </c>
      <c r="H59" s="1186">
        <v>1872642</v>
      </c>
    </row>
    <row r="60" spans="1:8" x14ac:dyDescent="0.2">
      <c r="A60" s="1186" t="s">
        <v>343</v>
      </c>
      <c r="B60" s="1186" t="s">
        <v>282</v>
      </c>
      <c r="C60" s="1186">
        <v>1</v>
      </c>
      <c r="D60" s="1186" t="s">
        <v>828</v>
      </c>
      <c r="E60" s="1186">
        <v>496</v>
      </c>
      <c r="F60" s="1186">
        <v>2016</v>
      </c>
      <c r="G60" s="1186">
        <v>1</v>
      </c>
      <c r="H60" s="1186">
        <v>1872642</v>
      </c>
    </row>
    <row r="61" spans="1:8" x14ac:dyDescent="0.2">
      <c r="A61" s="1186" t="s">
        <v>341</v>
      </c>
      <c r="B61" s="1186" t="s">
        <v>282</v>
      </c>
      <c r="C61" s="1186">
        <v>1</v>
      </c>
      <c r="D61" s="1186" t="s">
        <v>852</v>
      </c>
      <c r="E61" s="1186">
        <v>7</v>
      </c>
      <c r="F61" s="1186">
        <v>2016</v>
      </c>
      <c r="G61" s="1186">
        <v>1</v>
      </c>
      <c r="H61" s="1186">
        <v>1872642</v>
      </c>
    </row>
    <row r="62" spans="1:8" x14ac:dyDescent="0.2">
      <c r="A62" s="1186" t="s">
        <v>341</v>
      </c>
      <c r="B62" s="1186" t="s">
        <v>311</v>
      </c>
      <c r="C62" s="1186">
        <v>1</v>
      </c>
      <c r="D62" s="1186" t="s">
        <v>851</v>
      </c>
      <c r="E62" s="1186">
        <v>8</v>
      </c>
      <c r="F62" s="1186">
        <v>2017</v>
      </c>
      <c r="G62" s="1186">
        <v>1</v>
      </c>
      <c r="H62" s="1186">
        <v>1884644</v>
      </c>
    </row>
    <row r="63" spans="1:8" x14ac:dyDescent="0.2">
      <c r="A63" s="1186" t="s">
        <v>343</v>
      </c>
      <c r="B63" s="1186" t="s">
        <v>311</v>
      </c>
      <c r="C63" s="1186">
        <v>1</v>
      </c>
      <c r="D63" s="1186" t="s">
        <v>852</v>
      </c>
      <c r="E63" s="1186">
        <v>5</v>
      </c>
      <c r="F63" s="1186">
        <v>2017</v>
      </c>
      <c r="G63" s="1186">
        <v>1</v>
      </c>
      <c r="H63" s="1186">
        <v>1884644</v>
      </c>
    </row>
    <row r="64" spans="1:8" x14ac:dyDescent="0.2">
      <c r="A64" s="1186" t="s">
        <v>343</v>
      </c>
      <c r="B64" s="1186" t="s">
        <v>311</v>
      </c>
      <c r="C64" s="1186">
        <v>1</v>
      </c>
      <c r="D64" s="1186" t="s">
        <v>851</v>
      </c>
      <c r="E64" s="1186">
        <v>16</v>
      </c>
      <c r="F64" s="1186">
        <v>2017</v>
      </c>
      <c r="G64" s="1186">
        <v>1</v>
      </c>
      <c r="H64" s="1186">
        <v>1884644</v>
      </c>
    </row>
    <row r="65" spans="1:8" x14ac:dyDescent="0.2">
      <c r="A65" s="1186" t="s">
        <v>343</v>
      </c>
      <c r="B65" s="1186" t="s">
        <v>311</v>
      </c>
      <c r="C65" s="1186">
        <v>1</v>
      </c>
      <c r="D65" s="1186" t="s">
        <v>850</v>
      </c>
      <c r="E65" s="1186">
        <v>35</v>
      </c>
      <c r="F65" s="1186">
        <v>2017</v>
      </c>
      <c r="G65" s="1186">
        <v>1</v>
      </c>
      <c r="H65" s="1186">
        <v>1884644</v>
      </c>
    </row>
    <row r="66" spans="1:8" x14ac:dyDescent="0.2">
      <c r="A66" s="1186" t="s">
        <v>341</v>
      </c>
      <c r="B66" s="1186" t="s">
        <v>311</v>
      </c>
      <c r="C66" s="1186">
        <v>1</v>
      </c>
      <c r="D66" s="1186" t="s">
        <v>828</v>
      </c>
      <c r="E66" s="1186">
        <v>325</v>
      </c>
      <c r="F66" s="1186">
        <v>2017</v>
      </c>
      <c r="G66" s="1186">
        <v>1</v>
      </c>
      <c r="H66" s="1186">
        <v>1884644</v>
      </c>
    </row>
    <row r="67" spans="1:8" x14ac:dyDescent="0.2">
      <c r="A67" s="1186" t="s">
        <v>343</v>
      </c>
      <c r="B67" s="1186" t="s">
        <v>311</v>
      </c>
      <c r="C67" s="1186">
        <v>1</v>
      </c>
      <c r="D67" s="1186" t="s">
        <v>828</v>
      </c>
      <c r="E67" s="1186">
        <v>396</v>
      </c>
      <c r="F67" s="1186">
        <v>2017</v>
      </c>
      <c r="G67" s="1186">
        <v>1</v>
      </c>
      <c r="H67" s="1186">
        <v>1884644</v>
      </c>
    </row>
    <row r="68" spans="1:8" x14ac:dyDescent="0.2">
      <c r="A68" s="1186" t="s">
        <v>342</v>
      </c>
      <c r="B68" s="1186" t="s">
        <v>311</v>
      </c>
      <c r="C68" s="1186">
        <v>1</v>
      </c>
      <c r="D68" s="1186" t="s">
        <v>828</v>
      </c>
      <c r="E68" s="1186">
        <v>12</v>
      </c>
      <c r="F68" s="1186">
        <v>2017</v>
      </c>
      <c r="G68" s="1186">
        <v>1</v>
      </c>
      <c r="H68" s="1186">
        <v>1884644</v>
      </c>
    </row>
    <row r="69" spans="1:8" x14ac:dyDescent="0.2">
      <c r="A69" s="1186" t="s">
        <v>341</v>
      </c>
      <c r="B69" s="1186" t="s">
        <v>311</v>
      </c>
      <c r="C69" s="1186">
        <v>1</v>
      </c>
      <c r="D69" s="1186" t="s">
        <v>850</v>
      </c>
      <c r="E69" s="1186">
        <v>29</v>
      </c>
      <c r="F69" s="1186">
        <v>2017</v>
      </c>
      <c r="G69" s="1186">
        <v>1</v>
      </c>
      <c r="H69" s="1186">
        <v>1884644</v>
      </c>
    </row>
    <row r="70" spans="1:8" x14ac:dyDescent="0.2">
      <c r="A70" s="1186" t="s">
        <v>341</v>
      </c>
      <c r="B70" s="1186" t="s">
        <v>311</v>
      </c>
      <c r="C70" s="1186">
        <v>1</v>
      </c>
      <c r="D70" s="1186" t="s">
        <v>852</v>
      </c>
      <c r="E70" s="1186">
        <v>5</v>
      </c>
      <c r="F70" s="1186">
        <v>2017</v>
      </c>
      <c r="G70" s="1186">
        <v>1</v>
      </c>
      <c r="H70" s="1186">
        <v>1884644</v>
      </c>
    </row>
    <row r="71" spans="1:8" x14ac:dyDescent="0.2">
      <c r="A71" s="1186" t="s">
        <v>342</v>
      </c>
      <c r="B71" s="1186" t="s">
        <v>621</v>
      </c>
      <c r="C71" s="1186">
        <v>1</v>
      </c>
      <c r="D71" s="1186" t="s">
        <v>852</v>
      </c>
      <c r="E71" s="1186">
        <v>2</v>
      </c>
      <c r="F71" s="1186">
        <v>2018</v>
      </c>
      <c r="G71" s="1186">
        <v>1</v>
      </c>
      <c r="H71" s="1186">
        <v>1894973</v>
      </c>
    </row>
    <row r="72" spans="1:8" x14ac:dyDescent="0.2">
      <c r="A72" s="1186" t="s">
        <v>342</v>
      </c>
      <c r="B72" s="1186" t="s">
        <v>621</v>
      </c>
      <c r="C72" s="1186">
        <v>1</v>
      </c>
      <c r="D72" s="1186" t="s">
        <v>828</v>
      </c>
      <c r="E72" s="1186">
        <v>6</v>
      </c>
      <c r="F72" s="1186">
        <v>2018</v>
      </c>
      <c r="G72" s="1186">
        <v>1</v>
      </c>
      <c r="H72" s="1186">
        <v>1894973</v>
      </c>
    </row>
    <row r="73" spans="1:8" x14ac:dyDescent="0.2">
      <c r="A73" s="1186" t="s">
        <v>341</v>
      </c>
      <c r="B73" s="1186" t="s">
        <v>621</v>
      </c>
      <c r="C73" s="1186">
        <v>1</v>
      </c>
      <c r="D73" s="1186" t="s">
        <v>850</v>
      </c>
      <c r="E73" s="1186">
        <v>38</v>
      </c>
      <c r="F73" s="1186">
        <v>2018</v>
      </c>
      <c r="G73" s="1186">
        <v>1</v>
      </c>
      <c r="H73" s="1186">
        <v>1894973</v>
      </c>
    </row>
    <row r="74" spans="1:8" x14ac:dyDescent="0.2">
      <c r="A74" s="1186" t="s">
        <v>342</v>
      </c>
      <c r="B74" s="1186" t="s">
        <v>621</v>
      </c>
      <c r="C74" s="1186">
        <v>1</v>
      </c>
      <c r="D74" s="1186" t="s">
        <v>851</v>
      </c>
      <c r="E74" s="1186">
        <v>1</v>
      </c>
      <c r="F74" s="1186">
        <v>2018</v>
      </c>
      <c r="G74" s="1186">
        <v>1</v>
      </c>
      <c r="H74" s="1186">
        <v>1894973</v>
      </c>
    </row>
    <row r="75" spans="1:8" x14ac:dyDescent="0.2">
      <c r="A75" s="1186" t="s">
        <v>341</v>
      </c>
      <c r="B75" s="1186" t="s">
        <v>621</v>
      </c>
      <c r="C75" s="1186">
        <v>1</v>
      </c>
      <c r="D75" s="1186" t="s">
        <v>828</v>
      </c>
      <c r="E75" s="1186">
        <v>350</v>
      </c>
      <c r="F75" s="1186">
        <v>2018</v>
      </c>
      <c r="G75" s="1186">
        <v>1</v>
      </c>
      <c r="H75" s="1186">
        <v>1894973</v>
      </c>
    </row>
    <row r="76" spans="1:8" x14ac:dyDescent="0.2">
      <c r="A76" s="1186" t="s">
        <v>341</v>
      </c>
      <c r="B76" s="1186" t="s">
        <v>621</v>
      </c>
      <c r="C76" s="1186">
        <v>1</v>
      </c>
      <c r="D76" s="1186" t="s">
        <v>852</v>
      </c>
      <c r="E76" s="1186">
        <v>12</v>
      </c>
      <c r="F76" s="1186">
        <v>2018</v>
      </c>
      <c r="G76" s="1186">
        <v>1</v>
      </c>
      <c r="H76" s="1186">
        <v>1894973</v>
      </c>
    </row>
    <row r="77" spans="1:8" x14ac:dyDescent="0.2">
      <c r="A77" s="1186" t="s">
        <v>343</v>
      </c>
      <c r="B77" s="1186" t="s">
        <v>621</v>
      </c>
      <c r="C77" s="1186">
        <v>1</v>
      </c>
      <c r="D77" s="1186" t="s">
        <v>828</v>
      </c>
      <c r="E77" s="1186">
        <v>437</v>
      </c>
      <c r="F77" s="1186">
        <v>2018</v>
      </c>
      <c r="G77" s="1186">
        <v>1</v>
      </c>
      <c r="H77" s="1186">
        <v>1894973</v>
      </c>
    </row>
    <row r="78" spans="1:8" x14ac:dyDescent="0.2">
      <c r="A78" s="1186" t="s">
        <v>341</v>
      </c>
      <c r="B78" s="1186" t="s">
        <v>621</v>
      </c>
      <c r="C78" s="1186">
        <v>1</v>
      </c>
      <c r="D78" s="1186" t="s">
        <v>851</v>
      </c>
      <c r="E78" s="1186">
        <v>5</v>
      </c>
      <c r="F78" s="1186">
        <v>2018</v>
      </c>
      <c r="G78" s="1186">
        <v>1</v>
      </c>
      <c r="H78" s="1186">
        <v>1894973</v>
      </c>
    </row>
    <row r="79" spans="1:8" x14ac:dyDescent="0.2">
      <c r="A79" s="1186" t="s">
        <v>343</v>
      </c>
      <c r="B79" s="1186" t="s">
        <v>621</v>
      </c>
      <c r="C79" s="1186">
        <v>1</v>
      </c>
      <c r="D79" s="1186" t="s">
        <v>852</v>
      </c>
      <c r="E79" s="1186">
        <v>15</v>
      </c>
      <c r="F79" s="1186">
        <v>2018</v>
      </c>
      <c r="G79" s="1186">
        <v>1</v>
      </c>
      <c r="H79" s="1186">
        <v>1894973</v>
      </c>
    </row>
    <row r="80" spans="1:8" x14ac:dyDescent="0.2">
      <c r="A80" s="1186" t="s">
        <v>343</v>
      </c>
      <c r="B80" s="1186" t="s">
        <v>621</v>
      </c>
      <c r="C80" s="1186">
        <v>1</v>
      </c>
      <c r="D80" s="1186" t="s">
        <v>851</v>
      </c>
      <c r="E80" s="1186">
        <v>5</v>
      </c>
      <c r="F80" s="1186">
        <v>2018</v>
      </c>
      <c r="G80" s="1186">
        <v>1</v>
      </c>
      <c r="H80" s="1186">
        <v>1894973</v>
      </c>
    </row>
    <row r="81" spans="1:8" x14ac:dyDescent="0.2">
      <c r="A81" s="1186" t="s">
        <v>343</v>
      </c>
      <c r="B81" s="1186" t="s">
        <v>621</v>
      </c>
      <c r="C81" s="1186">
        <v>1</v>
      </c>
      <c r="D81" s="1186" t="s">
        <v>850</v>
      </c>
      <c r="E81" s="1186">
        <v>45</v>
      </c>
      <c r="F81" s="1186">
        <v>2018</v>
      </c>
      <c r="G81" s="1186">
        <v>1</v>
      </c>
      <c r="H81" s="1186">
        <v>1894973</v>
      </c>
    </row>
    <row r="82" spans="1:8" x14ac:dyDescent="0.2">
      <c r="A82" s="1186" t="s">
        <v>343</v>
      </c>
      <c r="B82" s="1186" t="s">
        <v>1419</v>
      </c>
      <c r="C82" s="1186">
        <v>1</v>
      </c>
      <c r="D82" s="1186" t="s">
        <v>828</v>
      </c>
      <c r="E82" s="1186">
        <v>378</v>
      </c>
      <c r="F82" s="1186">
        <v>2019</v>
      </c>
      <c r="G82" s="1186">
        <v>1</v>
      </c>
      <c r="H82" s="1186">
        <v>1910606</v>
      </c>
    </row>
    <row r="83" spans="1:8" x14ac:dyDescent="0.2">
      <c r="A83" s="1186" t="s">
        <v>343</v>
      </c>
      <c r="B83" s="1186" t="s">
        <v>1419</v>
      </c>
      <c r="C83" s="1186">
        <v>1</v>
      </c>
      <c r="D83" s="1186" t="s">
        <v>851</v>
      </c>
      <c r="E83" s="1186">
        <v>4</v>
      </c>
      <c r="F83" s="1186">
        <v>2019</v>
      </c>
      <c r="G83" s="1186">
        <v>1</v>
      </c>
      <c r="H83" s="1186">
        <v>1910606</v>
      </c>
    </row>
    <row r="84" spans="1:8" x14ac:dyDescent="0.2">
      <c r="A84" s="1186" t="s">
        <v>341</v>
      </c>
      <c r="B84" s="1186" t="s">
        <v>1419</v>
      </c>
      <c r="C84" s="1186">
        <v>1</v>
      </c>
      <c r="D84" s="1186" t="s">
        <v>828</v>
      </c>
      <c r="E84" s="1186">
        <v>298</v>
      </c>
      <c r="F84" s="1186">
        <v>2019</v>
      </c>
      <c r="G84" s="1186">
        <v>1</v>
      </c>
      <c r="H84" s="1186">
        <v>1910606</v>
      </c>
    </row>
    <row r="85" spans="1:8" x14ac:dyDescent="0.2">
      <c r="A85" s="1186" t="s">
        <v>341</v>
      </c>
      <c r="B85" s="1186" t="s">
        <v>1419</v>
      </c>
      <c r="C85" s="1186">
        <v>1</v>
      </c>
      <c r="D85" s="1186" t="s">
        <v>850</v>
      </c>
      <c r="E85" s="1186">
        <v>28</v>
      </c>
      <c r="F85" s="1186">
        <v>2019</v>
      </c>
      <c r="G85" s="1186">
        <v>1</v>
      </c>
      <c r="H85" s="1186">
        <v>1910606</v>
      </c>
    </row>
    <row r="86" spans="1:8" x14ac:dyDescent="0.2">
      <c r="A86" s="1186" t="s">
        <v>341</v>
      </c>
      <c r="B86" s="1186" t="s">
        <v>1419</v>
      </c>
      <c r="C86" s="1186">
        <v>1</v>
      </c>
      <c r="D86" s="1186" t="s">
        <v>851</v>
      </c>
      <c r="E86" s="1186">
        <v>4</v>
      </c>
      <c r="F86" s="1186">
        <v>2019</v>
      </c>
      <c r="G86" s="1186">
        <v>1</v>
      </c>
      <c r="H86" s="1186">
        <v>1910606</v>
      </c>
    </row>
    <row r="87" spans="1:8" x14ac:dyDescent="0.2">
      <c r="A87" s="1186" t="s">
        <v>342</v>
      </c>
      <c r="B87" s="1186" t="s">
        <v>1419</v>
      </c>
      <c r="C87" s="1186">
        <v>1</v>
      </c>
      <c r="D87" s="1186" t="s">
        <v>828</v>
      </c>
      <c r="E87" s="1186">
        <v>4</v>
      </c>
      <c r="F87" s="1186">
        <v>2019</v>
      </c>
      <c r="G87" s="1186">
        <v>1</v>
      </c>
      <c r="H87" s="1186">
        <v>1910606</v>
      </c>
    </row>
    <row r="88" spans="1:8" x14ac:dyDescent="0.2">
      <c r="A88" s="1186" t="s">
        <v>343</v>
      </c>
      <c r="B88" s="1186" t="s">
        <v>1419</v>
      </c>
      <c r="C88" s="1186">
        <v>1</v>
      </c>
      <c r="D88" s="1186" t="s">
        <v>852</v>
      </c>
      <c r="E88" s="1186">
        <v>5</v>
      </c>
      <c r="F88" s="1186">
        <v>2019</v>
      </c>
      <c r="G88" s="1186">
        <v>1</v>
      </c>
      <c r="H88" s="1186">
        <v>1910606</v>
      </c>
    </row>
    <row r="89" spans="1:8" x14ac:dyDescent="0.2">
      <c r="A89" s="1186" t="s">
        <v>341</v>
      </c>
      <c r="B89" s="1186" t="s">
        <v>1419</v>
      </c>
      <c r="C89" s="1186">
        <v>1</v>
      </c>
      <c r="D89" s="1186" t="s">
        <v>852</v>
      </c>
      <c r="E89" s="1186">
        <v>3</v>
      </c>
      <c r="F89" s="1186">
        <v>2019</v>
      </c>
      <c r="G89" s="1186">
        <v>1</v>
      </c>
      <c r="H89" s="1186">
        <v>1910606</v>
      </c>
    </row>
    <row r="90" spans="1:8" x14ac:dyDescent="0.2">
      <c r="A90" s="1186" t="s">
        <v>343</v>
      </c>
      <c r="B90" s="1186" t="s">
        <v>1419</v>
      </c>
      <c r="C90" s="1186">
        <v>1</v>
      </c>
      <c r="D90" s="1186" t="s">
        <v>850</v>
      </c>
      <c r="E90" s="1186">
        <v>31</v>
      </c>
      <c r="F90" s="1186">
        <v>2019</v>
      </c>
      <c r="G90" s="1186">
        <v>1</v>
      </c>
      <c r="H90" s="1186">
        <v>1910606</v>
      </c>
    </row>
    <row r="91" spans="1:8" x14ac:dyDescent="0.2">
      <c r="A91" s="1186" t="s">
        <v>342</v>
      </c>
      <c r="B91" s="1186" t="s">
        <v>1572</v>
      </c>
      <c r="C91" s="1186">
        <v>1</v>
      </c>
      <c r="D91" s="1186" t="s">
        <v>850</v>
      </c>
      <c r="E91" s="1186">
        <v>1</v>
      </c>
      <c r="F91" s="1186">
        <v>2020</v>
      </c>
      <c r="G91" s="1186">
        <v>1</v>
      </c>
      <c r="H91" s="1186">
        <v>1914450</v>
      </c>
    </row>
    <row r="92" spans="1:8" x14ac:dyDescent="0.2">
      <c r="A92" s="1186" t="s">
        <v>341</v>
      </c>
      <c r="B92" s="1186" t="s">
        <v>1572</v>
      </c>
      <c r="C92" s="1186">
        <v>1</v>
      </c>
      <c r="D92" s="1186" t="s">
        <v>851</v>
      </c>
      <c r="E92" s="1186">
        <v>2</v>
      </c>
      <c r="F92" s="1186">
        <v>2020</v>
      </c>
      <c r="G92" s="1186">
        <v>1</v>
      </c>
      <c r="H92" s="1186">
        <v>1914450</v>
      </c>
    </row>
    <row r="93" spans="1:8" x14ac:dyDescent="0.2">
      <c r="A93" s="1186" t="s">
        <v>341</v>
      </c>
      <c r="B93" s="1186" t="s">
        <v>1572</v>
      </c>
      <c r="C93" s="1186">
        <v>1</v>
      </c>
      <c r="D93" s="1186" t="s">
        <v>850</v>
      </c>
      <c r="E93" s="1186">
        <v>21</v>
      </c>
      <c r="F93" s="1186">
        <v>2020</v>
      </c>
      <c r="G93" s="1186">
        <v>1</v>
      </c>
      <c r="H93" s="1186">
        <v>1914450</v>
      </c>
    </row>
    <row r="94" spans="1:8" x14ac:dyDescent="0.2">
      <c r="A94" s="1186" t="s">
        <v>343</v>
      </c>
      <c r="B94" s="1186" t="s">
        <v>1572</v>
      </c>
      <c r="C94" s="1186">
        <v>1</v>
      </c>
      <c r="D94" s="1186" t="s">
        <v>852</v>
      </c>
      <c r="E94" s="1186">
        <v>12</v>
      </c>
      <c r="F94" s="1186">
        <v>2020</v>
      </c>
      <c r="G94" s="1186">
        <v>1</v>
      </c>
      <c r="H94" s="1186">
        <v>1914450</v>
      </c>
    </row>
    <row r="95" spans="1:8" x14ac:dyDescent="0.2">
      <c r="A95" s="1186" t="s">
        <v>342</v>
      </c>
      <c r="B95" s="1186" t="s">
        <v>1572</v>
      </c>
      <c r="C95" s="1186">
        <v>1</v>
      </c>
      <c r="D95" s="1186" t="s">
        <v>851</v>
      </c>
      <c r="E95" s="1186">
        <v>2</v>
      </c>
      <c r="F95" s="1186">
        <v>2020</v>
      </c>
      <c r="G95" s="1186">
        <v>1</v>
      </c>
      <c r="H95" s="1186">
        <v>1914450</v>
      </c>
    </row>
    <row r="96" spans="1:8" x14ac:dyDescent="0.2">
      <c r="A96" s="1186" t="s">
        <v>343</v>
      </c>
      <c r="B96" s="1186" t="s">
        <v>1572</v>
      </c>
      <c r="C96" s="1186">
        <v>1</v>
      </c>
      <c r="D96" s="1186" t="s">
        <v>851</v>
      </c>
      <c r="E96" s="1186">
        <v>2</v>
      </c>
      <c r="F96" s="1186">
        <v>2020</v>
      </c>
      <c r="G96" s="1186">
        <v>1</v>
      </c>
      <c r="H96" s="1186">
        <v>1914450</v>
      </c>
    </row>
    <row r="97" spans="1:8" x14ac:dyDescent="0.2">
      <c r="A97" s="1186" t="s">
        <v>343</v>
      </c>
      <c r="B97" s="1186" t="s">
        <v>1572</v>
      </c>
      <c r="C97" s="1186">
        <v>1</v>
      </c>
      <c r="D97" s="1186" t="s">
        <v>850</v>
      </c>
      <c r="E97" s="1186">
        <v>35</v>
      </c>
      <c r="F97" s="1186">
        <v>2020</v>
      </c>
      <c r="G97" s="1186">
        <v>1</v>
      </c>
      <c r="H97" s="1186">
        <v>1914450</v>
      </c>
    </row>
    <row r="98" spans="1:8" x14ac:dyDescent="0.2">
      <c r="A98" s="1186" t="s">
        <v>343</v>
      </c>
      <c r="B98" s="1186" t="s">
        <v>1572</v>
      </c>
      <c r="C98" s="1186">
        <v>1</v>
      </c>
      <c r="D98" s="1186" t="s">
        <v>828</v>
      </c>
      <c r="E98" s="1186">
        <v>360</v>
      </c>
      <c r="F98" s="1186">
        <v>2020</v>
      </c>
      <c r="G98" s="1186">
        <v>1</v>
      </c>
      <c r="H98" s="1186">
        <v>1914450</v>
      </c>
    </row>
    <row r="99" spans="1:8" x14ac:dyDescent="0.2">
      <c r="A99" s="1186" t="s">
        <v>341</v>
      </c>
      <c r="B99" s="1186" t="s">
        <v>1572</v>
      </c>
      <c r="C99" s="1186">
        <v>1</v>
      </c>
      <c r="D99" s="1186" t="s">
        <v>828</v>
      </c>
      <c r="E99" s="1186">
        <v>243</v>
      </c>
      <c r="F99" s="1186">
        <v>2020</v>
      </c>
      <c r="G99" s="1186">
        <v>1</v>
      </c>
      <c r="H99" s="1186">
        <v>1914450</v>
      </c>
    </row>
    <row r="100" spans="1:8" x14ac:dyDescent="0.2">
      <c r="A100" s="1186" t="s">
        <v>342</v>
      </c>
      <c r="B100" s="1186" t="s">
        <v>1572</v>
      </c>
      <c r="C100" s="1186">
        <v>1</v>
      </c>
      <c r="D100" s="1186" t="s">
        <v>828</v>
      </c>
      <c r="E100" s="1186">
        <v>20</v>
      </c>
      <c r="F100" s="1186">
        <v>2020</v>
      </c>
      <c r="G100" s="1186">
        <v>1</v>
      </c>
      <c r="H100" s="1186">
        <v>1914450</v>
      </c>
    </row>
    <row r="101" spans="1:8" x14ac:dyDescent="0.2">
      <c r="A101" s="1186" t="s">
        <v>341</v>
      </c>
      <c r="B101" s="1186" t="s">
        <v>1572</v>
      </c>
      <c r="C101" s="1186">
        <v>1</v>
      </c>
      <c r="D101" s="1186" t="s">
        <v>852</v>
      </c>
      <c r="E101" s="1186">
        <v>10</v>
      </c>
      <c r="F101" s="1186">
        <v>2020</v>
      </c>
      <c r="G101" s="1186">
        <v>1</v>
      </c>
      <c r="H101" s="1186">
        <v>1914450</v>
      </c>
    </row>
    <row r="102" spans="1:8" x14ac:dyDescent="0.2">
      <c r="A102" s="1186" t="s">
        <v>343</v>
      </c>
      <c r="B102" s="1186" t="s">
        <v>15</v>
      </c>
      <c r="C102" s="1186">
        <v>2</v>
      </c>
      <c r="D102" s="1186" t="s">
        <v>828</v>
      </c>
      <c r="E102" s="1186">
        <v>406</v>
      </c>
      <c r="F102" s="1186">
        <v>2012</v>
      </c>
      <c r="G102" s="1186">
        <v>2</v>
      </c>
      <c r="H102" s="1186">
        <v>1946513</v>
      </c>
    </row>
    <row r="103" spans="1:8" x14ac:dyDescent="0.2">
      <c r="A103" s="1186" t="s">
        <v>341</v>
      </c>
      <c r="B103" s="1186" t="s">
        <v>15</v>
      </c>
      <c r="C103" s="1186">
        <v>2</v>
      </c>
      <c r="D103" s="1186" t="s">
        <v>850</v>
      </c>
      <c r="E103" s="1186">
        <v>23</v>
      </c>
      <c r="F103" s="1186">
        <v>2012</v>
      </c>
      <c r="G103" s="1186">
        <v>2</v>
      </c>
      <c r="H103" s="1186">
        <v>1946513</v>
      </c>
    </row>
    <row r="104" spans="1:8" x14ac:dyDescent="0.2">
      <c r="A104" s="1186" t="s">
        <v>341</v>
      </c>
      <c r="B104" s="1186" t="s">
        <v>15</v>
      </c>
      <c r="C104" s="1186">
        <v>2</v>
      </c>
      <c r="D104" s="1186" t="s">
        <v>851</v>
      </c>
      <c r="E104" s="1186">
        <v>4</v>
      </c>
      <c r="F104" s="1186">
        <v>2012</v>
      </c>
      <c r="G104" s="1186">
        <v>2</v>
      </c>
      <c r="H104" s="1186">
        <v>1946513</v>
      </c>
    </row>
    <row r="105" spans="1:8" x14ac:dyDescent="0.2">
      <c r="A105" s="1186" t="s">
        <v>341</v>
      </c>
      <c r="B105" s="1186" t="s">
        <v>15</v>
      </c>
      <c r="C105" s="1186">
        <v>2</v>
      </c>
      <c r="D105" s="1186" t="s">
        <v>828</v>
      </c>
      <c r="E105" s="1186">
        <v>317</v>
      </c>
      <c r="F105" s="1186">
        <v>2012</v>
      </c>
      <c r="G105" s="1186">
        <v>2</v>
      </c>
      <c r="H105" s="1186">
        <v>1946513</v>
      </c>
    </row>
    <row r="106" spans="1:8" x14ac:dyDescent="0.2">
      <c r="A106" s="1186" t="s">
        <v>343</v>
      </c>
      <c r="B106" s="1186" t="s">
        <v>15</v>
      </c>
      <c r="C106" s="1186">
        <v>2</v>
      </c>
      <c r="D106" s="1186" t="s">
        <v>850</v>
      </c>
      <c r="E106" s="1186">
        <v>27</v>
      </c>
      <c r="F106" s="1186">
        <v>2012</v>
      </c>
      <c r="G106" s="1186">
        <v>2</v>
      </c>
      <c r="H106" s="1186">
        <v>1946513</v>
      </c>
    </row>
    <row r="107" spans="1:8" x14ac:dyDescent="0.2">
      <c r="A107" s="1186" t="s">
        <v>343</v>
      </c>
      <c r="B107" s="1186" t="s">
        <v>15</v>
      </c>
      <c r="C107" s="1186">
        <v>2</v>
      </c>
      <c r="D107" s="1186" t="s">
        <v>851</v>
      </c>
      <c r="E107" s="1186">
        <v>4</v>
      </c>
      <c r="F107" s="1186">
        <v>2012</v>
      </c>
      <c r="G107" s="1186">
        <v>2</v>
      </c>
      <c r="H107" s="1186">
        <v>1946513</v>
      </c>
    </row>
    <row r="108" spans="1:8" x14ac:dyDescent="0.2">
      <c r="A108" s="1186" t="s">
        <v>342</v>
      </c>
      <c r="B108" s="1186" t="s">
        <v>15</v>
      </c>
      <c r="C108" s="1186">
        <v>2</v>
      </c>
      <c r="D108" s="1186" t="s">
        <v>850</v>
      </c>
      <c r="E108" s="1186">
        <v>1</v>
      </c>
      <c r="F108" s="1186">
        <v>2012</v>
      </c>
      <c r="G108" s="1186">
        <v>2</v>
      </c>
      <c r="H108" s="1186">
        <v>1946513</v>
      </c>
    </row>
    <row r="109" spans="1:8" x14ac:dyDescent="0.2">
      <c r="A109" s="1186" t="s">
        <v>342</v>
      </c>
      <c r="B109" s="1186" t="s">
        <v>15</v>
      </c>
      <c r="C109" s="1186">
        <v>2</v>
      </c>
      <c r="D109" s="1186" t="s">
        <v>828</v>
      </c>
      <c r="E109" s="1186">
        <v>13</v>
      </c>
      <c r="F109" s="1186">
        <v>2012</v>
      </c>
      <c r="G109" s="1186">
        <v>2</v>
      </c>
      <c r="H109" s="1186">
        <v>1946513</v>
      </c>
    </row>
    <row r="110" spans="1:8" x14ac:dyDescent="0.2">
      <c r="A110" s="1186" t="s">
        <v>343</v>
      </c>
      <c r="B110" s="1186" t="s">
        <v>15</v>
      </c>
      <c r="C110" s="1186">
        <v>2</v>
      </c>
      <c r="D110" s="1186" t="s">
        <v>852</v>
      </c>
      <c r="E110" s="1186">
        <v>7</v>
      </c>
      <c r="F110" s="1186">
        <v>2012</v>
      </c>
      <c r="G110" s="1186">
        <v>2</v>
      </c>
      <c r="H110" s="1186">
        <v>1946513</v>
      </c>
    </row>
    <row r="111" spans="1:8" x14ac:dyDescent="0.2">
      <c r="A111" s="1186" t="s">
        <v>341</v>
      </c>
      <c r="B111" s="1186" t="s">
        <v>15</v>
      </c>
      <c r="C111" s="1186">
        <v>2</v>
      </c>
      <c r="D111" s="1186" t="s">
        <v>852</v>
      </c>
      <c r="E111" s="1186">
        <v>7</v>
      </c>
      <c r="F111" s="1186">
        <v>2012</v>
      </c>
      <c r="G111" s="1186">
        <v>2</v>
      </c>
      <c r="H111" s="1186">
        <v>1946513</v>
      </c>
    </row>
    <row r="112" spans="1:8" x14ac:dyDescent="0.2">
      <c r="A112" s="1186" t="s">
        <v>341</v>
      </c>
      <c r="B112" s="1186" t="s">
        <v>17</v>
      </c>
      <c r="C112" s="1186">
        <v>2</v>
      </c>
      <c r="D112" s="1186" t="s">
        <v>851</v>
      </c>
      <c r="E112" s="1186">
        <v>9</v>
      </c>
      <c r="F112" s="1186">
        <v>2013</v>
      </c>
      <c r="G112" s="1186">
        <v>2</v>
      </c>
      <c r="H112" s="1186">
        <v>1948246</v>
      </c>
    </row>
    <row r="113" spans="1:8" x14ac:dyDescent="0.2">
      <c r="A113" s="1186" t="s">
        <v>341</v>
      </c>
      <c r="B113" s="1186" t="s">
        <v>17</v>
      </c>
      <c r="C113" s="1186">
        <v>2</v>
      </c>
      <c r="D113" s="1186" t="s">
        <v>828</v>
      </c>
      <c r="E113" s="1186">
        <v>299</v>
      </c>
      <c r="F113" s="1186">
        <v>2013</v>
      </c>
      <c r="G113" s="1186">
        <v>2</v>
      </c>
      <c r="H113" s="1186">
        <v>1948246</v>
      </c>
    </row>
    <row r="114" spans="1:8" x14ac:dyDescent="0.2">
      <c r="A114" s="1186" t="s">
        <v>341</v>
      </c>
      <c r="B114" s="1186" t="s">
        <v>17</v>
      </c>
      <c r="C114" s="1186">
        <v>2</v>
      </c>
      <c r="D114" s="1186" t="s">
        <v>850</v>
      </c>
      <c r="E114" s="1186">
        <v>31</v>
      </c>
      <c r="F114" s="1186">
        <v>2013</v>
      </c>
      <c r="G114" s="1186">
        <v>2</v>
      </c>
      <c r="H114" s="1186">
        <v>1948246</v>
      </c>
    </row>
    <row r="115" spans="1:8" x14ac:dyDescent="0.2">
      <c r="A115" s="1186" t="s">
        <v>341</v>
      </c>
      <c r="B115" s="1186" t="s">
        <v>17</v>
      </c>
      <c r="C115" s="1186">
        <v>2</v>
      </c>
      <c r="D115" s="1186" t="s">
        <v>852</v>
      </c>
      <c r="E115" s="1186">
        <v>10</v>
      </c>
      <c r="F115" s="1186">
        <v>2013</v>
      </c>
      <c r="G115" s="1186">
        <v>2</v>
      </c>
      <c r="H115" s="1186">
        <v>1948246</v>
      </c>
    </row>
    <row r="116" spans="1:8" x14ac:dyDescent="0.2">
      <c r="A116" s="1186" t="s">
        <v>342</v>
      </c>
      <c r="B116" s="1186" t="s">
        <v>17</v>
      </c>
      <c r="C116" s="1186">
        <v>2</v>
      </c>
      <c r="D116" s="1186" t="s">
        <v>850</v>
      </c>
      <c r="E116" s="1186">
        <v>1</v>
      </c>
      <c r="F116" s="1186">
        <v>2013</v>
      </c>
      <c r="G116" s="1186">
        <v>2</v>
      </c>
      <c r="H116" s="1186">
        <v>1948246</v>
      </c>
    </row>
    <row r="117" spans="1:8" x14ac:dyDescent="0.2">
      <c r="A117" s="1186" t="s">
        <v>343</v>
      </c>
      <c r="B117" s="1186" t="s">
        <v>17</v>
      </c>
      <c r="C117" s="1186">
        <v>2</v>
      </c>
      <c r="D117" s="1186" t="s">
        <v>852</v>
      </c>
      <c r="E117" s="1186">
        <v>14</v>
      </c>
      <c r="F117" s="1186">
        <v>2013</v>
      </c>
      <c r="G117" s="1186">
        <v>2</v>
      </c>
      <c r="H117" s="1186">
        <v>1948246</v>
      </c>
    </row>
    <row r="118" spans="1:8" x14ac:dyDescent="0.2">
      <c r="A118" s="1186" t="s">
        <v>343</v>
      </c>
      <c r="B118" s="1186" t="s">
        <v>17</v>
      </c>
      <c r="C118" s="1186">
        <v>2</v>
      </c>
      <c r="D118" s="1186" t="s">
        <v>851</v>
      </c>
      <c r="E118" s="1186">
        <v>13</v>
      </c>
      <c r="F118" s="1186">
        <v>2013</v>
      </c>
      <c r="G118" s="1186">
        <v>2</v>
      </c>
      <c r="H118" s="1186">
        <v>1948246</v>
      </c>
    </row>
    <row r="119" spans="1:8" x14ac:dyDescent="0.2">
      <c r="A119" s="1186" t="s">
        <v>342</v>
      </c>
      <c r="B119" s="1186" t="s">
        <v>17</v>
      </c>
      <c r="C119" s="1186">
        <v>2</v>
      </c>
      <c r="D119" s="1186" t="s">
        <v>828</v>
      </c>
      <c r="E119" s="1186">
        <v>13</v>
      </c>
      <c r="F119" s="1186">
        <v>2013</v>
      </c>
      <c r="G119" s="1186">
        <v>2</v>
      </c>
      <c r="H119" s="1186">
        <v>1948246</v>
      </c>
    </row>
    <row r="120" spans="1:8" x14ac:dyDescent="0.2">
      <c r="A120" s="1186" t="s">
        <v>343</v>
      </c>
      <c r="B120" s="1186" t="s">
        <v>17</v>
      </c>
      <c r="C120" s="1186">
        <v>2</v>
      </c>
      <c r="D120" s="1186" t="s">
        <v>850</v>
      </c>
      <c r="E120" s="1186">
        <v>38</v>
      </c>
      <c r="F120" s="1186">
        <v>2013</v>
      </c>
      <c r="G120" s="1186">
        <v>2</v>
      </c>
      <c r="H120" s="1186">
        <v>1948246</v>
      </c>
    </row>
    <row r="121" spans="1:8" x14ac:dyDescent="0.2">
      <c r="A121" s="1186" t="s">
        <v>343</v>
      </c>
      <c r="B121" s="1186" t="s">
        <v>17</v>
      </c>
      <c r="C121" s="1186">
        <v>2</v>
      </c>
      <c r="D121" s="1186" t="s">
        <v>828</v>
      </c>
      <c r="E121" s="1186">
        <v>382</v>
      </c>
      <c r="F121" s="1186">
        <v>2013</v>
      </c>
      <c r="G121" s="1186">
        <v>2</v>
      </c>
      <c r="H121" s="1186">
        <v>1948246</v>
      </c>
    </row>
    <row r="122" spans="1:8" x14ac:dyDescent="0.2">
      <c r="A122" s="1186" t="s">
        <v>342</v>
      </c>
      <c r="B122" s="1186" t="s">
        <v>133</v>
      </c>
      <c r="C122" s="1186">
        <v>2</v>
      </c>
      <c r="D122" s="1186" t="s">
        <v>828</v>
      </c>
      <c r="E122" s="1186">
        <v>10</v>
      </c>
      <c r="F122" s="1186">
        <v>2014</v>
      </c>
      <c r="G122" s="1186">
        <v>2</v>
      </c>
      <c r="H122" s="1186">
        <v>1951361</v>
      </c>
    </row>
    <row r="123" spans="1:8" x14ac:dyDescent="0.2">
      <c r="A123" s="1186" t="s">
        <v>343</v>
      </c>
      <c r="B123" s="1186" t="s">
        <v>133</v>
      </c>
      <c r="C123" s="1186">
        <v>2</v>
      </c>
      <c r="D123" s="1186" t="s">
        <v>828</v>
      </c>
      <c r="E123" s="1186">
        <v>396</v>
      </c>
      <c r="F123" s="1186">
        <v>2014</v>
      </c>
      <c r="G123" s="1186">
        <v>2</v>
      </c>
      <c r="H123" s="1186">
        <v>1951361</v>
      </c>
    </row>
    <row r="124" spans="1:8" x14ac:dyDescent="0.2">
      <c r="A124" s="1186" t="s">
        <v>341</v>
      </c>
      <c r="B124" s="1186" t="s">
        <v>133</v>
      </c>
      <c r="C124" s="1186">
        <v>2</v>
      </c>
      <c r="D124" s="1186" t="s">
        <v>828</v>
      </c>
      <c r="E124" s="1186">
        <v>301</v>
      </c>
      <c r="F124" s="1186">
        <v>2014</v>
      </c>
      <c r="G124" s="1186">
        <v>2</v>
      </c>
      <c r="H124" s="1186">
        <v>1951361</v>
      </c>
    </row>
    <row r="125" spans="1:8" x14ac:dyDescent="0.2">
      <c r="A125" s="1186" t="s">
        <v>343</v>
      </c>
      <c r="B125" s="1186" t="s">
        <v>133</v>
      </c>
      <c r="C125" s="1186">
        <v>2</v>
      </c>
      <c r="D125" s="1186" t="s">
        <v>851</v>
      </c>
      <c r="E125" s="1186">
        <v>9</v>
      </c>
      <c r="F125" s="1186">
        <v>2014</v>
      </c>
      <c r="G125" s="1186">
        <v>2</v>
      </c>
      <c r="H125" s="1186">
        <v>1951361</v>
      </c>
    </row>
    <row r="126" spans="1:8" x14ac:dyDescent="0.2">
      <c r="A126" s="1186" t="s">
        <v>343</v>
      </c>
      <c r="B126" s="1186" t="s">
        <v>133</v>
      </c>
      <c r="C126" s="1186">
        <v>2</v>
      </c>
      <c r="D126" s="1186" t="s">
        <v>852</v>
      </c>
      <c r="E126" s="1186">
        <v>9</v>
      </c>
      <c r="F126" s="1186">
        <v>2014</v>
      </c>
      <c r="G126" s="1186">
        <v>2</v>
      </c>
      <c r="H126" s="1186">
        <v>1951361</v>
      </c>
    </row>
    <row r="127" spans="1:8" x14ac:dyDescent="0.2">
      <c r="A127" s="1186" t="s">
        <v>341</v>
      </c>
      <c r="B127" s="1186" t="s">
        <v>133</v>
      </c>
      <c r="C127" s="1186">
        <v>2</v>
      </c>
      <c r="D127" s="1186" t="s">
        <v>850</v>
      </c>
      <c r="E127" s="1186">
        <v>34</v>
      </c>
      <c r="F127" s="1186">
        <v>2014</v>
      </c>
      <c r="G127" s="1186">
        <v>2</v>
      </c>
      <c r="H127" s="1186">
        <v>1951361</v>
      </c>
    </row>
    <row r="128" spans="1:8" x14ac:dyDescent="0.2">
      <c r="A128" s="1186" t="s">
        <v>341</v>
      </c>
      <c r="B128" s="1186" t="s">
        <v>133</v>
      </c>
      <c r="C128" s="1186">
        <v>2</v>
      </c>
      <c r="D128" s="1186" t="s">
        <v>851</v>
      </c>
      <c r="E128" s="1186">
        <v>7</v>
      </c>
      <c r="F128" s="1186">
        <v>2014</v>
      </c>
      <c r="G128" s="1186">
        <v>2</v>
      </c>
      <c r="H128" s="1186">
        <v>1951361</v>
      </c>
    </row>
    <row r="129" spans="1:8" x14ac:dyDescent="0.2">
      <c r="A129" s="1186" t="s">
        <v>341</v>
      </c>
      <c r="B129" s="1186" t="s">
        <v>133</v>
      </c>
      <c r="C129" s="1186">
        <v>2</v>
      </c>
      <c r="D129" s="1186" t="s">
        <v>852</v>
      </c>
      <c r="E129" s="1186">
        <v>6</v>
      </c>
      <c r="F129" s="1186">
        <v>2014</v>
      </c>
      <c r="G129" s="1186">
        <v>2</v>
      </c>
      <c r="H129" s="1186">
        <v>1951361</v>
      </c>
    </row>
    <row r="130" spans="1:8" x14ac:dyDescent="0.2">
      <c r="A130" s="1186" t="s">
        <v>343</v>
      </c>
      <c r="B130" s="1186" t="s">
        <v>133</v>
      </c>
      <c r="C130" s="1186">
        <v>2</v>
      </c>
      <c r="D130" s="1186" t="s">
        <v>850</v>
      </c>
      <c r="E130" s="1186">
        <v>38</v>
      </c>
      <c r="F130" s="1186">
        <v>2014</v>
      </c>
      <c r="G130" s="1186">
        <v>2</v>
      </c>
      <c r="H130" s="1186">
        <v>1951361</v>
      </c>
    </row>
    <row r="131" spans="1:8" x14ac:dyDescent="0.2">
      <c r="A131" s="1186" t="s">
        <v>343</v>
      </c>
      <c r="B131" s="1186" t="s">
        <v>144</v>
      </c>
      <c r="C131" s="1186">
        <v>2</v>
      </c>
      <c r="D131" s="1186" t="s">
        <v>828</v>
      </c>
      <c r="E131" s="1186">
        <v>387</v>
      </c>
      <c r="F131" s="1186">
        <v>2015</v>
      </c>
      <c r="G131" s="1186">
        <v>2</v>
      </c>
      <c r="H131" s="1186">
        <v>1956221</v>
      </c>
    </row>
    <row r="132" spans="1:8" x14ac:dyDescent="0.2">
      <c r="A132" s="1186" t="s">
        <v>343</v>
      </c>
      <c r="B132" s="1186" t="s">
        <v>144</v>
      </c>
      <c r="C132" s="1186">
        <v>2</v>
      </c>
      <c r="D132" s="1186" t="s">
        <v>850</v>
      </c>
      <c r="E132" s="1186">
        <v>44</v>
      </c>
      <c r="F132" s="1186">
        <v>2015</v>
      </c>
      <c r="G132" s="1186">
        <v>2</v>
      </c>
      <c r="H132" s="1186">
        <v>1956221</v>
      </c>
    </row>
    <row r="133" spans="1:8" x14ac:dyDescent="0.2">
      <c r="A133" s="1186" t="s">
        <v>343</v>
      </c>
      <c r="B133" s="1186" t="s">
        <v>144</v>
      </c>
      <c r="C133" s="1186">
        <v>2</v>
      </c>
      <c r="D133" s="1186" t="s">
        <v>851</v>
      </c>
      <c r="E133" s="1186">
        <v>13</v>
      </c>
      <c r="F133" s="1186">
        <v>2015</v>
      </c>
      <c r="G133" s="1186">
        <v>2</v>
      </c>
      <c r="H133" s="1186">
        <v>1956221</v>
      </c>
    </row>
    <row r="134" spans="1:8" x14ac:dyDescent="0.2">
      <c r="A134" s="1186" t="s">
        <v>342</v>
      </c>
      <c r="B134" s="1186" t="s">
        <v>144</v>
      </c>
      <c r="C134" s="1186">
        <v>2</v>
      </c>
      <c r="D134" s="1186" t="s">
        <v>828</v>
      </c>
      <c r="E134" s="1186">
        <v>14</v>
      </c>
      <c r="F134" s="1186">
        <v>2015</v>
      </c>
      <c r="G134" s="1186">
        <v>2</v>
      </c>
      <c r="H134" s="1186">
        <v>1956221</v>
      </c>
    </row>
    <row r="135" spans="1:8" x14ac:dyDescent="0.2">
      <c r="A135" s="1186" t="s">
        <v>341</v>
      </c>
      <c r="B135" s="1186" t="s">
        <v>144</v>
      </c>
      <c r="C135" s="1186">
        <v>2</v>
      </c>
      <c r="D135" s="1186" t="s">
        <v>828</v>
      </c>
      <c r="E135" s="1186">
        <v>298</v>
      </c>
      <c r="F135" s="1186">
        <v>2015</v>
      </c>
      <c r="G135" s="1186">
        <v>2</v>
      </c>
      <c r="H135" s="1186">
        <v>1956221</v>
      </c>
    </row>
    <row r="136" spans="1:8" x14ac:dyDescent="0.2">
      <c r="A136" s="1186" t="s">
        <v>341</v>
      </c>
      <c r="B136" s="1186" t="s">
        <v>144</v>
      </c>
      <c r="C136" s="1186">
        <v>2</v>
      </c>
      <c r="D136" s="1186" t="s">
        <v>850</v>
      </c>
      <c r="E136" s="1186">
        <v>34</v>
      </c>
      <c r="F136" s="1186">
        <v>2015</v>
      </c>
      <c r="G136" s="1186">
        <v>2</v>
      </c>
      <c r="H136" s="1186">
        <v>1956221</v>
      </c>
    </row>
    <row r="137" spans="1:8" x14ac:dyDescent="0.2">
      <c r="A137" s="1186" t="s">
        <v>341</v>
      </c>
      <c r="B137" s="1186" t="s">
        <v>144</v>
      </c>
      <c r="C137" s="1186">
        <v>2</v>
      </c>
      <c r="D137" s="1186" t="s">
        <v>852</v>
      </c>
      <c r="E137" s="1186">
        <v>13</v>
      </c>
      <c r="F137" s="1186">
        <v>2015</v>
      </c>
      <c r="G137" s="1186">
        <v>2</v>
      </c>
      <c r="H137" s="1186">
        <v>1956221</v>
      </c>
    </row>
    <row r="138" spans="1:8" x14ac:dyDescent="0.2">
      <c r="A138" s="1186" t="s">
        <v>341</v>
      </c>
      <c r="B138" s="1186" t="s">
        <v>144</v>
      </c>
      <c r="C138" s="1186">
        <v>2</v>
      </c>
      <c r="D138" s="1186" t="s">
        <v>851</v>
      </c>
      <c r="E138" s="1186">
        <v>10</v>
      </c>
      <c r="F138" s="1186">
        <v>2015</v>
      </c>
      <c r="G138" s="1186">
        <v>2</v>
      </c>
      <c r="H138" s="1186">
        <v>1956221</v>
      </c>
    </row>
    <row r="139" spans="1:8" x14ac:dyDescent="0.2">
      <c r="A139" s="1186" t="s">
        <v>343</v>
      </c>
      <c r="B139" s="1186" t="s">
        <v>144</v>
      </c>
      <c r="C139" s="1186">
        <v>2</v>
      </c>
      <c r="D139" s="1186" t="s">
        <v>852</v>
      </c>
      <c r="E139" s="1186">
        <v>15</v>
      </c>
      <c r="F139" s="1186">
        <v>2015</v>
      </c>
      <c r="G139" s="1186">
        <v>2</v>
      </c>
      <c r="H139" s="1186">
        <v>1956221</v>
      </c>
    </row>
    <row r="140" spans="1:8" x14ac:dyDescent="0.2">
      <c r="A140" s="1186" t="s">
        <v>341</v>
      </c>
      <c r="B140" s="1186" t="s">
        <v>282</v>
      </c>
      <c r="C140" s="1186">
        <v>2</v>
      </c>
      <c r="D140" s="1186" t="s">
        <v>851</v>
      </c>
      <c r="E140" s="1186">
        <v>10</v>
      </c>
      <c r="F140" s="1186">
        <v>2016</v>
      </c>
      <c r="G140" s="1186">
        <v>2</v>
      </c>
      <c r="H140" s="1186">
        <v>1960470</v>
      </c>
    </row>
    <row r="141" spans="1:8" x14ac:dyDescent="0.2">
      <c r="A141" s="1186" t="s">
        <v>342</v>
      </c>
      <c r="B141" s="1186" t="s">
        <v>282</v>
      </c>
      <c r="C141" s="1186">
        <v>2</v>
      </c>
      <c r="D141" s="1186" t="s">
        <v>828</v>
      </c>
      <c r="E141" s="1186">
        <v>11</v>
      </c>
      <c r="F141" s="1186">
        <v>2016</v>
      </c>
      <c r="G141" s="1186">
        <v>2</v>
      </c>
      <c r="H141" s="1186">
        <v>1960470</v>
      </c>
    </row>
    <row r="142" spans="1:8" x14ac:dyDescent="0.2">
      <c r="A142" s="1186" t="s">
        <v>343</v>
      </c>
      <c r="B142" s="1186" t="s">
        <v>282</v>
      </c>
      <c r="C142" s="1186">
        <v>2</v>
      </c>
      <c r="D142" s="1186" t="s">
        <v>852</v>
      </c>
      <c r="E142" s="1186">
        <v>10</v>
      </c>
      <c r="F142" s="1186">
        <v>2016</v>
      </c>
      <c r="G142" s="1186">
        <v>2</v>
      </c>
      <c r="H142" s="1186">
        <v>1960470</v>
      </c>
    </row>
    <row r="143" spans="1:8" x14ac:dyDescent="0.2">
      <c r="A143" s="1186" t="s">
        <v>341</v>
      </c>
      <c r="B143" s="1186" t="s">
        <v>282</v>
      </c>
      <c r="C143" s="1186">
        <v>2</v>
      </c>
      <c r="D143" s="1186" t="s">
        <v>828</v>
      </c>
      <c r="E143" s="1186">
        <v>320</v>
      </c>
      <c r="F143" s="1186">
        <v>2016</v>
      </c>
      <c r="G143" s="1186">
        <v>2</v>
      </c>
      <c r="H143" s="1186">
        <v>1960470</v>
      </c>
    </row>
    <row r="144" spans="1:8" x14ac:dyDescent="0.2">
      <c r="A144" s="1186" t="s">
        <v>343</v>
      </c>
      <c r="B144" s="1186" t="s">
        <v>282</v>
      </c>
      <c r="C144" s="1186">
        <v>2</v>
      </c>
      <c r="D144" s="1186" t="s">
        <v>851</v>
      </c>
      <c r="E144" s="1186">
        <v>11</v>
      </c>
      <c r="F144" s="1186">
        <v>2016</v>
      </c>
      <c r="G144" s="1186">
        <v>2</v>
      </c>
      <c r="H144" s="1186">
        <v>1960470</v>
      </c>
    </row>
    <row r="145" spans="1:8" x14ac:dyDescent="0.2">
      <c r="A145" s="1186" t="s">
        <v>343</v>
      </c>
      <c r="B145" s="1186" t="s">
        <v>282</v>
      </c>
      <c r="C145" s="1186">
        <v>2</v>
      </c>
      <c r="D145" s="1186" t="s">
        <v>850</v>
      </c>
      <c r="E145" s="1186">
        <v>26</v>
      </c>
      <c r="F145" s="1186">
        <v>2016</v>
      </c>
      <c r="G145" s="1186">
        <v>2</v>
      </c>
      <c r="H145" s="1186">
        <v>1960470</v>
      </c>
    </row>
    <row r="146" spans="1:8" x14ac:dyDescent="0.2">
      <c r="A146" s="1186" t="s">
        <v>341</v>
      </c>
      <c r="B146" s="1186" t="s">
        <v>282</v>
      </c>
      <c r="C146" s="1186">
        <v>2</v>
      </c>
      <c r="D146" s="1186" t="s">
        <v>850</v>
      </c>
      <c r="E146" s="1186">
        <v>21</v>
      </c>
      <c r="F146" s="1186">
        <v>2016</v>
      </c>
      <c r="G146" s="1186">
        <v>2</v>
      </c>
      <c r="H146" s="1186">
        <v>1960470</v>
      </c>
    </row>
    <row r="147" spans="1:8" x14ac:dyDescent="0.2">
      <c r="A147" s="1186" t="s">
        <v>343</v>
      </c>
      <c r="B147" s="1186" t="s">
        <v>282</v>
      </c>
      <c r="C147" s="1186">
        <v>2</v>
      </c>
      <c r="D147" s="1186" t="s">
        <v>828</v>
      </c>
      <c r="E147" s="1186">
        <v>439</v>
      </c>
      <c r="F147" s="1186">
        <v>2016</v>
      </c>
      <c r="G147" s="1186">
        <v>2</v>
      </c>
      <c r="H147" s="1186">
        <v>1960470</v>
      </c>
    </row>
    <row r="148" spans="1:8" x14ac:dyDescent="0.2">
      <c r="A148" s="1186" t="s">
        <v>341</v>
      </c>
      <c r="B148" s="1186" t="s">
        <v>282</v>
      </c>
      <c r="C148" s="1186">
        <v>2</v>
      </c>
      <c r="D148" s="1186" t="s">
        <v>852</v>
      </c>
      <c r="E148" s="1186">
        <v>9</v>
      </c>
      <c r="F148" s="1186">
        <v>2016</v>
      </c>
      <c r="G148" s="1186">
        <v>2</v>
      </c>
      <c r="H148" s="1186">
        <v>1960470</v>
      </c>
    </row>
    <row r="149" spans="1:8" x14ac:dyDescent="0.2">
      <c r="A149" s="1186" t="s">
        <v>341</v>
      </c>
      <c r="B149" s="1186" t="s">
        <v>311</v>
      </c>
      <c r="C149" s="1186">
        <v>2</v>
      </c>
      <c r="D149" s="1186" t="s">
        <v>850</v>
      </c>
      <c r="E149" s="1186">
        <v>41</v>
      </c>
      <c r="F149" s="1186">
        <v>2017</v>
      </c>
      <c r="G149" s="1186">
        <v>2</v>
      </c>
      <c r="H149" s="1186">
        <v>1961709</v>
      </c>
    </row>
    <row r="150" spans="1:8" x14ac:dyDescent="0.2">
      <c r="A150" s="1186" t="s">
        <v>343</v>
      </c>
      <c r="B150" s="1186" t="s">
        <v>311</v>
      </c>
      <c r="C150" s="1186">
        <v>2</v>
      </c>
      <c r="D150" s="1186" t="s">
        <v>850</v>
      </c>
      <c r="E150" s="1186">
        <v>56</v>
      </c>
      <c r="F150" s="1186">
        <v>2017</v>
      </c>
      <c r="G150" s="1186">
        <v>2</v>
      </c>
      <c r="H150" s="1186">
        <v>1961709</v>
      </c>
    </row>
    <row r="151" spans="1:8" x14ac:dyDescent="0.2">
      <c r="A151" s="1186" t="s">
        <v>343</v>
      </c>
      <c r="B151" s="1186" t="s">
        <v>311</v>
      </c>
      <c r="C151" s="1186">
        <v>2</v>
      </c>
      <c r="D151" s="1186" t="s">
        <v>828</v>
      </c>
      <c r="E151" s="1186">
        <v>363</v>
      </c>
      <c r="F151" s="1186">
        <v>2017</v>
      </c>
      <c r="G151" s="1186">
        <v>2</v>
      </c>
      <c r="H151" s="1186">
        <v>1961709</v>
      </c>
    </row>
    <row r="152" spans="1:8" x14ac:dyDescent="0.2">
      <c r="A152" s="1186" t="s">
        <v>341</v>
      </c>
      <c r="B152" s="1186" t="s">
        <v>311</v>
      </c>
      <c r="C152" s="1186">
        <v>2</v>
      </c>
      <c r="D152" s="1186" t="s">
        <v>852</v>
      </c>
      <c r="E152" s="1186">
        <v>7</v>
      </c>
      <c r="F152" s="1186">
        <v>2017</v>
      </c>
      <c r="G152" s="1186">
        <v>2</v>
      </c>
      <c r="H152" s="1186">
        <v>1961709</v>
      </c>
    </row>
    <row r="153" spans="1:8" x14ac:dyDescent="0.2">
      <c r="A153" s="1186" t="s">
        <v>342</v>
      </c>
      <c r="B153" s="1186" t="s">
        <v>311</v>
      </c>
      <c r="C153" s="1186">
        <v>2</v>
      </c>
      <c r="D153" s="1186" t="s">
        <v>851</v>
      </c>
      <c r="E153" s="1186">
        <v>2</v>
      </c>
      <c r="F153" s="1186">
        <v>2017</v>
      </c>
      <c r="G153" s="1186">
        <v>2</v>
      </c>
      <c r="H153" s="1186">
        <v>1961709</v>
      </c>
    </row>
    <row r="154" spans="1:8" x14ac:dyDescent="0.2">
      <c r="A154" s="1186" t="s">
        <v>343</v>
      </c>
      <c r="B154" s="1186" t="s">
        <v>311</v>
      </c>
      <c r="C154" s="1186">
        <v>2</v>
      </c>
      <c r="D154" s="1186" t="s">
        <v>852</v>
      </c>
      <c r="E154" s="1186">
        <v>9</v>
      </c>
      <c r="F154" s="1186">
        <v>2017</v>
      </c>
      <c r="G154" s="1186">
        <v>2</v>
      </c>
      <c r="H154" s="1186">
        <v>1961709</v>
      </c>
    </row>
    <row r="155" spans="1:8" x14ac:dyDescent="0.2">
      <c r="A155" s="1186" t="s">
        <v>343</v>
      </c>
      <c r="B155" s="1186" t="s">
        <v>311</v>
      </c>
      <c r="C155" s="1186">
        <v>2</v>
      </c>
      <c r="D155" s="1186" t="s">
        <v>851</v>
      </c>
      <c r="E155" s="1186">
        <v>4</v>
      </c>
      <c r="F155" s="1186">
        <v>2017</v>
      </c>
      <c r="G155" s="1186">
        <v>2</v>
      </c>
      <c r="H155" s="1186">
        <v>1961709</v>
      </c>
    </row>
    <row r="156" spans="1:8" x14ac:dyDescent="0.2">
      <c r="A156" s="1186" t="s">
        <v>341</v>
      </c>
      <c r="B156" s="1186" t="s">
        <v>311</v>
      </c>
      <c r="C156" s="1186">
        <v>2</v>
      </c>
      <c r="D156" s="1186" t="s">
        <v>851</v>
      </c>
      <c r="E156" s="1186">
        <v>4</v>
      </c>
      <c r="F156" s="1186">
        <v>2017</v>
      </c>
      <c r="G156" s="1186">
        <v>2</v>
      </c>
      <c r="H156" s="1186">
        <v>1961709</v>
      </c>
    </row>
    <row r="157" spans="1:8" x14ac:dyDescent="0.2">
      <c r="A157" s="1186" t="s">
        <v>341</v>
      </c>
      <c r="B157" s="1186" t="s">
        <v>311</v>
      </c>
      <c r="C157" s="1186">
        <v>2</v>
      </c>
      <c r="D157" s="1186" t="s">
        <v>828</v>
      </c>
      <c r="E157" s="1186">
        <v>283</v>
      </c>
      <c r="F157" s="1186">
        <v>2017</v>
      </c>
      <c r="G157" s="1186">
        <v>2</v>
      </c>
      <c r="H157" s="1186">
        <v>1961709</v>
      </c>
    </row>
    <row r="158" spans="1:8" x14ac:dyDescent="0.2">
      <c r="A158" s="1186" t="s">
        <v>342</v>
      </c>
      <c r="B158" s="1186" t="s">
        <v>311</v>
      </c>
      <c r="C158" s="1186">
        <v>2</v>
      </c>
      <c r="D158" s="1186" t="s">
        <v>828</v>
      </c>
      <c r="E158" s="1186">
        <v>12</v>
      </c>
      <c r="F158" s="1186">
        <v>2017</v>
      </c>
      <c r="G158" s="1186">
        <v>2</v>
      </c>
      <c r="H158" s="1186">
        <v>1961709</v>
      </c>
    </row>
    <row r="159" spans="1:8" x14ac:dyDescent="0.2">
      <c r="A159" s="1186" t="s">
        <v>342</v>
      </c>
      <c r="B159" s="1186" t="s">
        <v>311</v>
      </c>
      <c r="C159" s="1186">
        <v>2</v>
      </c>
      <c r="D159" s="1186" t="s">
        <v>850</v>
      </c>
      <c r="E159" s="1186">
        <v>3</v>
      </c>
      <c r="F159" s="1186">
        <v>2017</v>
      </c>
      <c r="G159" s="1186">
        <v>2</v>
      </c>
      <c r="H159" s="1186">
        <v>1961709</v>
      </c>
    </row>
    <row r="160" spans="1:8" x14ac:dyDescent="0.2">
      <c r="A160" s="1186" t="s">
        <v>343</v>
      </c>
      <c r="B160" s="1186" t="s">
        <v>621</v>
      </c>
      <c r="C160" s="1186">
        <v>2</v>
      </c>
      <c r="D160" s="1186" t="s">
        <v>850</v>
      </c>
      <c r="E160" s="1186">
        <v>38</v>
      </c>
      <c r="F160" s="1186">
        <v>2018</v>
      </c>
      <c r="G160" s="1186">
        <v>2</v>
      </c>
      <c r="H160" s="1186">
        <v>1959405</v>
      </c>
    </row>
    <row r="161" spans="1:8" x14ac:dyDescent="0.2">
      <c r="A161" s="1186" t="s">
        <v>343</v>
      </c>
      <c r="B161" s="1186" t="s">
        <v>621</v>
      </c>
      <c r="C161" s="1186">
        <v>2</v>
      </c>
      <c r="D161" s="1186" t="s">
        <v>851</v>
      </c>
      <c r="E161" s="1186">
        <v>11</v>
      </c>
      <c r="F161" s="1186">
        <v>2018</v>
      </c>
      <c r="G161" s="1186">
        <v>2</v>
      </c>
      <c r="H161" s="1186">
        <v>1959405</v>
      </c>
    </row>
    <row r="162" spans="1:8" x14ac:dyDescent="0.2">
      <c r="A162" s="1186" t="s">
        <v>343</v>
      </c>
      <c r="B162" s="1186" t="s">
        <v>621</v>
      </c>
      <c r="C162" s="1186">
        <v>2</v>
      </c>
      <c r="D162" s="1186" t="s">
        <v>852</v>
      </c>
      <c r="E162" s="1186">
        <v>9</v>
      </c>
      <c r="F162" s="1186">
        <v>2018</v>
      </c>
      <c r="G162" s="1186">
        <v>2</v>
      </c>
      <c r="H162" s="1186">
        <v>1959405</v>
      </c>
    </row>
    <row r="163" spans="1:8" x14ac:dyDescent="0.2">
      <c r="A163" s="1186" t="s">
        <v>343</v>
      </c>
      <c r="B163" s="1186" t="s">
        <v>621</v>
      </c>
      <c r="C163" s="1186">
        <v>2</v>
      </c>
      <c r="D163" s="1186" t="s">
        <v>828</v>
      </c>
      <c r="E163" s="1186">
        <v>412</v>
      </c>
      <c r="F163" s="1186">
        <v>2018</v>
      </c>
      <c r="G163" s="1186">
        <v>2</v>
      </c>
      <c r="H163" s="1186">
        <v>1959405</v>
      </c>
    </row>
    <row r="164" spans="1:8" x14ac:dyDescent="0.2">
      <c r="A164" s="1186" t="s">
        <v>341</v>
      </c>
      <c r="B164" s="1186" t="s">
        <v>621</v>
      </c>
      <c r="C164" s="1186">
        <v>2</v>
      </c>
      <c r="D164" s="1186" t="s">
        <v>850</v>
      </c>
      <c r="E164" s="1186">
        <v>33</v>
      </c>
      <c r="F164" s="1186">
        <v>2018</v>
      </c>
      <c r="G164" s="1186">
        <v>2</v>
      </c>
      <c r="H164" s="1186">
        <v>1959405</v>
      </c>
    </row>
    <row r="165" spans="1:8" x14ac:dyDescent="0.2">
      <c r="A165" s="1186" t="s">
        <v>342</v>
      </c>
      <c r="B165" s="1186" t="s">
        <v>621</v>
      </c>
      <c r="C165" s="1186">
        <v>2</v>
      </c>
      <c r="D165" s="1186" t="s">
        <v>828</v>
      </c>
      <c r="E165" s="1186">
        <v>16</v>
      </c>
      <c r="F165" s="1186">
        <v>2018</v>
      </c>
      <c r="G165" s="1186">
        <v>2</v>
      </c>
      <c r="H165" s="1186">
        <v>1959405</v>
      </c>
    </row>
    <row r="166" spans="1:8" x14ac:dyDescent="0.2">
      <c r="A166" s="1186" t="s">
        <v>341</v>
      </c>
      <c r="B166" s="1186" t="s">
        <v>621</v>
      </c>
      <c r="C166" s="1186">
        <v>2</v>
      </c>
      <c r="D166" s="1186" t="s">
        <v>852</v>
      </c>
      <c r="E166" s="1186">
        <v>9</v>
      </c>
      <c r="F166" s="1186">
        <v>2018</v>
      </c>
      <c r="G166" s="1186">
        <v>2</v>
      </c>
      <c r="H166" s="1186">
        <v>1959405</v>
      </c>
    </row>
    <row r="167" spans="1:8" x14ac:dyDescent="0.2">
      <c r="A167" s="1186" t="s">
        <v>341</v>
      </c>
      <c r="B167" s="1186" t="s">
        <v>621</v>
      </c>
      <c r="C167" s="1186">
        <v>2</v>
      </c>
      <c r="D167" s="1186" t="s">
        <v>851</v>
      </c>
      <c r="E167" s="1186">
        <v>9</v>
      </c>
      <c r="F167" s="1186">
        <v>2018</v>
      </c>
      <c r="G167" s="1186">
        <v>2</v>
      </c>
      <c r="H167" s="1186">
        <v>1959405</v>
      </c>
    </row>
    <row r="168" spans="1:8" x14ac:dyDescent="0.2">
      <c r="A168" s="1186" t="s">
        <v>341</v>
      </c>
      <c r="B168" s="1186" t="s">
        <v>621</v>
      </c>
      <c r="C168" s="1186">
        <v>2</v>
      </c>
      <c r="D168" s="1186" t="s">
        <v>828</v>
      </c>
      <c r="E168" s="1186">
        <v>310</v>
      </c>
      <c r="F168" s="1186">
        <v>2018</v>
      </c>
      <c r="G168" s="1186">
        <v>2</v>
      </c>
      <c r="H168" s="1186">
        <v>1959405</v>
      </c>
    </row>
    <row r="169" spans="1:8" x14ac:dyDescent="0.2">
      <c r="A169" s="1186" t="s">
        <v>341</v>
      </c>
      <c r="B169" s="1186" t="s">
        <v>1419</v>
      </c>
      <c r="C169" s="1186">
        <v>2</v>
      </c>
      <c r="D169" s="1186" t="s">
        <v>828</v>
      </c>
      <c r="E169" s="1186">
        <v>252</v>
      </c>
      <c r="F169" s="1186">
        <v>2019</v>
      </c>
      <c r="G169" s="1186">
        <v>2</v>
      </c>
      <c r="H169" s="1186">
        <v>1960069</v>
      </c>
    </row>
    <row r="170" spans="1:8" x14ac:dyDescent="0.2">
      <c r="A170" s="1186" t="s">
        <v>341</v>
      </c>
      <c r="B170" s="1186" t="s">
        <v>1419</v>
      </c>
      <c r="C170" s="1186">
        <v>2</v>
      </c>
      <c r="D170" s="1186" t="s">
        <v>851</v>
      </c>
      <c r="E170" s="1186">
        <v>7</v>
      </c>
      <c r="F170" s="1186">
        <v>2019</v>
      </c>
      <c r="G170" s="1186">
        <v>2</v>
      </c>
      <c r="H170" s="1186">
        <v>1960069</v>
      </c>
    </row>
    <row r="171" spans="1:8" x14ac:dyDescent="0.2">
      <c r="A171" s="1186" t="s">
        <v>342</v>
      </c>
      <c r="B171" s="1186" t="s">
        <v>1419</v>
      </c>
      <c r="C171" s="1186">
        <v>2</v>
      </c>
      <c r="D171" s="1186" t="s">
        <v>828</v>
      </c>
      <c r="E171" s="1186">
        <v>9</v>
      </c>
      <c r="F171" s="1186">
        <v>2019</v>
      </c>
      <c r="G171" s="1186">
        <v>2</v>
      </c>
      <c r="H171" s="1186">
        <v>1960069</v>
      </c>
    </row>
    <row r="172" spans="1:8" x14ac:dyDescent="0.2">
      <c r="A172" s="1186" t="s">
        <v>342</v>
      </c>
      <c r="B172" s="1186" t="s">
        <v>1419</v>
      </c>
      <c r="C172" s="1186">
        <v>2</v>
      </c>
      <c r="D172" s="1186" t="s">
        <v>850</v>
      </c>
      <c r="E172" s="1186">
        <v>2</v>
      </c>
      <c r="F172" s="1186">
        <v>2019</v>
      </c>
      <c r="G172" s="1186">
        <v>2</v>
      </c>
      <c r="H172" s="1186">
        <v>1960069</v>
      </c>
    </row>
    <row r="173" spans="1:8" x14ac:dyDescent="0.2">
      <c r="A173" s="1186" t="s">
        <v>343</v>
      </c>
      <c r="B173" s="1186" t="s">
        <v>1419</v>
      </c>
      <c r="C173" s="1186">
        <v>2</v>
      </c>
      <c r="D173" s="1186" t="s">
        <v>852</v>
      </c>
      <c r="E173" s="1186">
        <v>15</v>
      </c>
      <c r="F173" s="1186">
        <v>2019</v>
      </c>
      <c r="G173" s="1186">
        <v>2</v>
      </c>
      <c r="H173" s="1186">
        <v>1960069</v>
      </c>
    </row>
    <row r="174" spans="1:8" x14ac:dyDescent="0.2">
      <c r="A174" s="1186" t="s">
        <v>341</v>
      </c>
      <c r="B174" s="1186" t="s">
        <v>1419</v>
      </c>
      <c r="C174" s="1186">
        <v>2</v>
      </c>
      <c r="D174" s="1186" t="s">
        <v>850</v>
      </c>
      <c r="E174" s="1186">
        <v>25</v>
      </c>
      <c r="F174" s="1186">
        <v>2019</v>
      </c>
      <c r="G174" s="1186">
        <v>2</v>
      </c>
      <c r="H174" s="1186">
        <v>1960069</v>
      </c>
    </row>
    <row r="175" spans="1:8" x14ac:dyDescent="0.2">
      <c r="A175" s="1186" t="s">
        <v>343</v>
      </c>
      <c r="B175" s="1186" t="s">
        <v>1419</v>
      </c>
      <c r="C175" s="1186">
        <v>2</v>
      </c>
      <c r="D175" s="1186" t="s">
        <v>850</v>
      </c>
      <c r="E175" s="1186">
        <v>27</v>
      </c>
      <c r="F175" s="1186">
        <v>2019</v>
      </c>
      <c r="G175" s="1186">
        <v>2</v>
      </c>
      <c r="H175" s="1186">
        <v>1960069</v>
      </c>
    </row>
    <row r="176" spans="1:8" x14ac:dyDescent="0.2">
      <c r="A176" s="1186" t="s">
        <v>343</v>
      </c>
      <c r="B176" s="1186" t="s">
        <v>1419</v>
      </c>
      <c r="C176" s="1186">
        <v>2</v>
      </c>
      <c r="D176" s="1186" t="s">
        <v>851</v>
      </c>
      <c r="E176" s="1186">
        <v>9</v>
      </c>
      <c r="F176" s="1186">
        <v>2019</v>
      </c>
      <c r="G176" s="1186">
        <v>2</v>
      </c>
      <c r="H176" s="1186">
        <v>1960069</v>
      </c>
    </row>
    <row r="177" spans="1:8" x14ac:dyDescent="0.2">
      <c r="A177" s="1186" t="s">
        <v>342</v>
      </c>
      <c r="B177" s="1186" t="s">
        <v>1419</v>
      </c>
      <c r="C177" s="1186">
        <v>2</v>
      </c>
      <c r="D177" s="1186" t="s">
        <v>851</v>
      </c>
      <c r="E177" s="1186">
        <v>1</v>
      </c>
      <c r="F177" s="1186">
        <v>2019</v>
      </c>
      <c r="G177" s="1186">
        <v>2</v>
      </c>
      <c r="H177" s="1186">
        <v>1960069</v>
      </c>
    </row>
    <row r="178" spans="1:8" x14ac:dyDescent="0.2">
      <c r="A178" s="1186" t="s">
        <v>341</v>
      </c>
      <c r="B178" s="1186" t="s">
        <v>1419</v>
      </c>
      <c r="C178" s="1186">
        <v>2</v>
      </c>
      <c r="D178" s="1186" t="s">
        <v>852</v>
      </c>
      <c r="E178" s="1186">
        <v>14</v>
      </c>
      <c r="F178" s="1186">
        <v>2019</v>
      </c>
      <c r="G178" s="1186">
        <v>2</v>
      </c>
      <c r="H178" s="1186">
        <v>1960069</v>
      </c>
    </row>
    <row r="179" spans="1:8" x14ac:dyDescent="0.2">
      <c r="A179" s="1186" t="s">
        <v>343</v>
      </c>
      <c r="B179" s="1186" t="s">
        <v>1419</v>
      </c>
      <c r="C179" s="1186">
        <v>2</v>
      </c>
      <c r="D179" s="1186" t="s">
        <v>828</v>
      </c>
      <c r="E179" s="1186">
        <v>342</v>
      </c>
      <c r="F179" s="1186">
        <v>2019</v>
      </c>
      <c r="G179" s="1186">
        <v>2</v>
      </c>
      <c r="H179" s="1186">
        <v>1960069</v>
      </c>
    </row>
    <row r="180" spans="1:8" x14ac:dyDescent="0.2">
      <c r="A180" s="1186" t="s">
        <v>341</v>
      </c>
      <c r="B180" s="1186" t="s">
        <v>1572</v>
      </c>
      <c r="C180" s="1186">
        <v>2</v>
      </c>
      <c r="D180" s="1186" t="s">
        <v>850</v>
      </c>
      <c r="E180" s="1186">
        <v>11</v>
      </c>
      <c r="F180" s="1186">
        <v>2020</v>
      </c>
      <c r="G180" s="1186">
        <v>2</v>
      </c>
      <c r="H180" s="1186">
        <v>1954572</v>
      </c>
    </row>
    <row r="181" spans="1:8" x14ac:dyDescent="0.2">
      <c r="A181" s="1186" t="s">
        <v>341</v>
      </c>
      <c r="B181" s="1186" t="s">
        <v>1572</v>
      </c>
      <c r="C181" s="1186">
        <v>2</v>
      </c>
      <c r="D181" s="1186" t="s">
        <v>852</v>
      </c>
      <c r="E181" s="1186">
        <v>11</v>
      </c>
      <c r="F181" s="1186">
        <v>2020</v>
      </c>
      <c r="G181" s="1186">
        <v>2</v>
      </c>
      <c r="H181" s="1186">
        <v>1954572</v>
      </c>
    </row>
    <row r="182" spans="1:8" x14ac:dyDescent="0.2">
      <c r="A182" s="1186" t="s">
        <v>341</v>
      </c>
      <c r="B182" s="1186" t="s">
        <v>1572</v>
      </c>
      <c r="C182" s="1186">
        <v>2</v>
      </c>
      <c r="D182" s="1186" t="s">
        <v>851</v>
      </c>
      <c r="E182" s="1186">
        <v>6</v>
      </c>
      <c r="F182" s="1186">
        <v>2020</v>
      </c>
      <c r="G182" s="1186">
        <v>2</v>
      </c>
      <c r="H182" s="1186">
        <v>1954572</v>
      </c>
    </row>
    <row r="183" spans="1:8" x14ac:dyDescent="0.2">
      <c r="A183" s="1186" t="s">
        <v>341</v>
      </c>
      <c r="B183" s="1186" t="s">
        <v>1572</v>
      </c>
      <c r="C183" s="1186">
        <v>2</v>
      </c>
      <c r="D183" s="1186" t="s">
        <v>828</v>
      </c>
      <c r="E183" s="1186">
        <v>249</v>
      </c>
      <c r="F183" s="1186">
        <v>2020</v>
      </c>
      <c r="G183" s="1186">
        <v>2</v>
      </c>
      <c r="H183" s="1186">
        <v>1954572</v>
      </c>
    </row>
    <row r="184" spans="1:8" x14ac:dyDescent="0.2">
      <c r="A184" s="1186" t="s">
        <v>343</v>
      </c>
      <c r="B184" s="1186" t="s">
        <v>1572</v>
      </c>
      <c r="C184" s="1186">
        <v>2</v>
      </c>
      <c r="D184" s="1186" t="s">
        <v>828</v>
      </c>
      <c r="E184" s="1186">
        <v>365</v>
      </c>
      <c r="F184" s="1186">
        <v>2020</v>
      </c>
      <c r="G184" s="1186">
        <v>2</v>
      </c>
      <c r="H184" s="1186">
        <v>1954572</v>
      </c>
    </row>
    <row r="185" spans="1:8" x14ac:dyDescent="0.2">
      <c r="A185" s="1186" t="s">
        <v>343</v>
      </c>
      <c r="B185" s="1186" t="s">
        <v>1572</v>
      </c>
      <c r="C185" s="1186">
        <v>2</v>
      </c>
      <c r="D185" s="1186" t="s">
        <v>851</v>
      </c>
      <c r="E185" s="1186">
        <v>10</v>
      </c>
      <c r="F185" s="1186">
        <v>2020</v>
      </c>
      <c r="G185" s="1186">
        <v>2</v>
      </c>
      <c r="H185" s="1186">
        <v>1954572</v>
      </c>
    </row>
    <row r="186" spans="1:8" x14ac:dyDescent="0.2">
      <c r="A186" s="1186" t="s">
        <v>342</v>
      </c>
      <c r="B186" s="1186" t="s">
        <v>1572</v>
      </c>
      <c r="C186" s="1186">
        <v>2</v>
      </c>
      <c r="D186" s="1186" t="s">
        <v>852</v>
      </c>
      <c r="E186" s="1186">
        <v>1</v>
      </c>
      <c r="F186" s="1186">
        <v>2020</v>
      </c>
      <c r="G186" s="1186">
        <v>2</v>
      </c>
      <c r="H186" s="1186">
        <v>1954572</v>
      </c>
    </row>
    <row r="187" spans="1:8" x14ac:dyDescent="0.2">
      <c r="A187" s="1186" t="s">
        <v>342</v>
      </c>
      <c r="B187" s="1186" t="s">
        <v>1572</v>
      </c>
      <c r="C187" s="1186">
        <v>2</v>
      </c>
      <c r="D187" s="1186" t="s">
        <v>828</v>
      </c>
      <c r="E187" s="1186">
        <v>14</v>
      </c>
      <c r="F187" s="1186">
        <v>2020</v>
      </c>
      <c r="G187" s="1186">
        <v>2</v>
      </c>
      <c r="H187" s="1186">
        <v>1954572</v>
      </c>
    </row>
    <row r="188" spans="1:8" x14ac:dyDescent="0.2">
      <c r="A188" s="1186" t="s">
        <v>343</v>
      </c>
      <c r="B188" s="1186" t="s">
        <v>1572</v>
      </c>
      <c r="C188" s="1186">
        <v>2</v>
      </c>
      <c r="D188" s="1186" t="s">
        <v>850</v>
      </c>
      <c r="E188" s="1186">
        <v>13</v>
      </c>
      <c r="F188" s="1186">
        <v>2020</v>
      </c>
      <c r="G188" s="1186">
        <v>2</v>
      </c>
      <c r="H188" s="1186">
        <v>1954572</v>
      </c>
    </row>
    <row r="189" spans="1:8" x14ac:dyDescent="0.2">
      <c r="A189" s="1186" t="s">
        <v>343</v>
      </c>
      <c r="B189" s="1186" t="s">
        <v>1572</v>
      </c>
      <c r="C189" s="1186">
        <v>2</v>
      </c>
      <c r="D189" s="1186" t="s">
        <v>852</v>
      </c>
      <c r="E189" s="1186">
        <v>12</v>
      </c>
      <c r="F189" s="1186">
        <v>2020</v>
      </c>
      <c r="G189" s="1186">
        <v>2</v>
      </c>
      <c r="H189" s="1186">
        <v>1954572</v>
      </c>
    </row>
    <row r="190" spans="1:8" x14ac:dyDescent="0.2">
      <c r="A190" s="1186" t="s">
        <v>343</v>
      </c>
      <c r="B190" s="1186" t="s">
        <v>15</v>
      </c>
      <c r="C190" s="1186">
        <v>3</v>
      </c>
      <c r="D190" s="1186" t="s">
        <v>851</v>
      </c>
      <c r="E190" s="1186">
        <v>1</v>
      </c>
      <c r="F190" s="1186">
        <v>2012</v>
      </c>
      <c r="G190" s="1186">
        <v>3</v>
      </c>
      <c r="H190" s="1186">
        <v>461593</v>
      </c>
    </row>
    <row r="191" spans="1:8" x14ac:dyDescent="0.2">
      <c r="A191" s="1186" t="s">
        <v>343</v>
      </c>
      <c r="B191" s="1186" t="s">
        <v>15</v>
      </c>
      <c r="C191" s="1186">
        <v>3</v>
      </c>
      <c r="D191" s="1186" t="s">
        <v>850</v>
      </c>
      <c r="E191" s="1186">
        <v>4</v>
      </c>
      <c r="F191" s="1186">
        <v>2012</v>
      </c>
      <c r="G191" s="1186">
        <v>3</v>
      </c>
      <c r="H191" s="1186">
        <v>461593</v>
      </c>
    </row>
    <row r="192" spans="1:8" x14ac:dyDescent="0.2">
      <c r="A192" s="1186" t="s">
        <v>343</v>
      </c>
      <c r="B192" s="1186" t="s">
        <v>15</v>
      </c>
      <c r="C192" s="1186">
        <v>3</v>
      </c>
      <c r="D192" s="1186" t="s">
        <v>828</v>
      </c>
      <c r="E192" s="1186">
        <v>80</v>
      </c>
      <c r="F192" s="1186">
        <v>2012</v>
      </c>
      <c r="G192" s="1186">
        <v>3</v>
      </c>
      <c r="H192" s="1186">
        <v>461593</v>
      </c>
    </row>
    <row r="193" spans="1:8" x14ac:dyDescent="0.2">
      <c r="A193" s="1186" t="s">
        <v>341</v>
      </c>
      <c r="B193" s="1186" t="s">
        <v>15</v>
      </c>
      <c r="C193" s="1186">
        <v>3</v>
      </c>
      <c r="D193" s="1186" t="s">
        <v>828</v>
      </c>
      <c r="E193" s="1186">
        <v>67</v>
      </c>
      <c r="F193" s="1186">
        <v>2012</v>
      </c>
      <c r="G193" s="1186">
        <v>3</v>
      </c>
      <c r="H193" s="1186">
        <v>461593</v>
      </c>
    </row>
    <row r="194" spans="1:8" x14ac:dyDescent="0.2">
      <c r="A194" s="1186" t="s">
        <v>341</v>
      </c>
      <c r="B194" s="1186" t="s">
        <v>15</v>
      </c>
      <c r="C194" s="1186">
        <v>3</v>
      </c>
      <c r="D194" s="1186" t="s">
        <v>850</v>
      </c>
      <c r="E194" s="1186">
        <v>4</v>
      </c>
      <c r="F194" s="1186">
        <v>2012</v>
      </c>
      <c r="G194" s="1186">
        <v>3</v>
      </c>
      <c r="H194" s="1186">
        <v>461593</v>
      </c>
    </row>
    <row r="195" spans="1:8" x14ac:dyDescent="0.2">
      <c r="A195" s="1186" t="s">
        <v>341</v>
      </c>
      <c r="B195" s="1186" t="s">
        <v>15</v>
      </c>
      <c r="C195" s="1186">
        <v>3</v>
      </c>
      <c r="D195" s="1186" t="s">
        <v>851</v>
      </c>
      <c r="E195" s="1186">
        <v>1</v>
      </c>
      <c r="F195" s="1186">
        <v>2012</v>
      </c>
      <c r="G195" s="1186">
        <v>3</v>
      </c>
      <c r="H195" s="1186">
        <v>461593</v>
      </c>
    </row>
    <row r="196" spans="1:8" x14ac:dyDescent="0.2">
      <c r="A196" s="1186" t="s">
        <v>342</v>
      </c>
      <c r="B196" s="1186" t="s">
        <v>15</v>
      </c>
      <c r="C196" s="1186">
        <v>3</v>
      </c>
      <c r="D196" s="1186" t="s">
        <v>828</v>
      </c>
      <c r="E196" s="1186">
        <v>1</v>
      </c>
      <c r="F196" s="1186">
        <v>2012</v>
      </c>
      <c r="G196" s="1186">
        <v>3</v>
      </c>
      <c r="H196" s="1186">
        <v>461593</v>
      </c>
    </row>
    <row r="197" spans="1:8" x14ac:dyDescent="0.2">
      <c r="A197" s="1186" t="s">
        <v>343</v>
      </c>
      <c r="B197" s="1186" t="s">
        <v>15</v>
      </c>
      <c r="C197" s="1186">
        <v>3</v>
      </c>
      <c r="D197" s="1186" t="s">
        <v>852</v>
      </c>
      <c r="E197" s="1186">
        <v>1</v>
      </c>
      <c r="F197" s="1186">
        <v>2012</v>
      </c>
      <c r="G197" s="1186">
        <v>3</v>
      </c>
      <c r="H197" s="1186">
        <v>461593</v>
      </c>
    </row>
    <row r="198" spans="1:8" x14ac:dyDescent="0.2">
      <c r="A198" s="1186" t="s">
        <v>341</v>
      </c>
      <c r="B198" s="1186" t="s">
        <v>15</v>
      </c>
      <c r="C198" s="1186">
        <v>3</v>
      </c>
      <c r="D198" s="1186" t="s">
        <v>852</v>
      </c>
      <c r="E198" s="1186">
        <v>1</v>
      </c>
      <c r="F198" s="1186">
        <v>2012</v>
      </c>
      <c r="G198" s="1186">
        <v>3</v>
      </c>
      <c r="H198" s="1186">
        <v>461593</v>
      </c>
    </row>
    <row r="199" spans="1:8" x14ac:dyDescent="0.2">
      <c r="A199" s="1186" t="s">
        <v>343</v>
      </c>
      <c r="B199" s="1186" t="s">
        <v>17</v>
      </c>
      <c r="C199" s="1186">
        <v>3</v>
      </c>
      <c r="D199" s="1186" t="s">
        <v>852</v>
      </c>
      <c r="E199" s="1186">
        <v>1</v>
      </c>
      <c r="F199" s="1186">
        <v>2013</v>
      </c>
      <c r="G199" s="1186">
        <v>3</v>
      </c>
      <c r="H199" s="1186">
        <v>463037</v>
      </c>
    </row>
    <row r="200" spans="1:8" x14ac:dyDescent="0.2">
      <c r="A200" s="1186" t="s">
        <v>342</v>
      </c>
      <c r="B200" s="1186" t="s">
        <v>17</v>
      </c>
      <c r="C200" s="1186">
        <v>3</v>
      </c>
      <c r="D200" s="1186" t="s">
        <v>828</v>
      </c>
      <c r="E200" s="1186">
        <v>1</v>
      </c>
      <c r="F200" s="1186">
        <v>2013</v>
      </c>
      <c r="G200" s="1186">
        <v>3</v>
      </c>
      <c r="H200" s="1186">
        <v>463037</v>
      </c>
    </row>
    <row r="201" spans="1:8" x14ac:dyDescent="0.2">
      <c r="A201" s="1186" t="s">
        <v>341</v>
      </c>
      <c r="B201" s="1186" t="s">
        <v>17</v>
      </c>
      <c r="C201" s="1186">
        <v>3</v>
      </c>
      <c r="D201" s="1186" t="s">
        <v>851</v>
      </c>
      <c r="E201" s="1186">
        <v>3</v>
      </c>
      <c r="F201" s="1186">
        <v>2013</v>
      </c>
      <c r="G201" s="1186">
        <v>3</v>
      </c>
      <c r="H201" s="1186">
        <v>463037</v>
      </c>
    </row>
    <row r="202" spans="1:8" x14ac:dyDescent="0.2">
      <c r="A202" s="1186" t="s">
        <v>343</v>
      </c>
      <c r="B202" s="1186" t="s">
        <v>17</v>
      </c>
      <c r="C202" s="1186">
        <v>3</v>
      </c>
      <c r="D202" s="1186" t="s">
        <v>851</v>
      </c>
      <c r="E202" s="1186">
        <v>3</v>
      </c>
      <c r="F202" s="1186">
        <v>2013</v>
      </c>
      <c r="G202" s="1186">
        <v>3</v>
      </c>
      <c r="H202" s="1186">
        <v>463037</v>
      </c>
    </row>
    <row r="203" spans="1:8" x14ac:dyDescent="0.2">
      <c r="A203" s="1186" t="s">
        <v>343</v>
      </c>
      <c r="B203" s="1186" t="s">
        <v>17</v>
      </c>
      <c r="C203" s="1186">
        <v>3</v>
      </c>
      <c r="D203" s="1186" t="s">
        <v>850</v>
      </c>
      <c r="E203" s="1186">
        <v>1</v>
      </c>
      <c r="F203" s="1186">
        <v>2013</v>
      </c>
      <c r="G203" s="1186">
        <v>3</v>
      </c>
      <c r="H203" s="1186">
        <v>463037</v>
      </c>
    </row>
    <row r="204" spans="1:8" x14ac:dyDescent="0.2">
      <c r="A204" s="1186" t="s">
        <v>341</v>
      </c>
      <c r="B204" s="1186" t="s">
        <v>17</v>
      </c>
      <c r="C204" s="1186">
        <v>3</v>
      </c>
      <c r="D204" s="1186" t="s">
        <v>828</v>
      </c>
      <c r="E204" s="1186">
        <v>66</v>
      </c>
      <c r="F204" s="1186">
        <v>2013</v>
      </c>
      <c r="G204" s="1186">
        <v>3</v>
      </c>
      <c r="H204" s="1186">
        <v>463037</v>
      </c>
    </row>
    <row r="205" spans="1:8" x14ac:dyDescent="0.2">
      <c r="A205" s="1186" t="s">
        <v>343</v>
      </c>
      <c r="B205" s="1186" t="s">
        <v>17</v>
      </c>
      <c r="C205" s="1186">
        <v>3</v>
      </c>
      <c r="D205" s="1186" t="s">
        <v>828</v>
      </c>
      <c r="E205" s="1186">
        <v>75</v>
      </c>
      <c r="F205" s="1186">
        <v>2013</v>
      </c>
      <c r="G205" s="1186">
        <v>3</v>
      </c>
      <c r="H205" s="1186">
        <v>463037</v>
      </c>
    </row>
    <row r="206" spans="1:8" x14ac:dyDescent="0.2">
      <c r="A206" s="1186" t="s">
        <v>341</v>
      </c>
      <c r="B206" s="1186" t="s">
        <v>17</v>
      </c>
      <c r="C206" s="1186">
        <v>3</v>
      </c>
      <c r="D206" s="1186" t="s">
        <v>850</v>
      </c>
      <c r="E206" s="1186">
        <v>1</v>
      </c>
      <c r="F206" s="1186">
        <v>2013</v>
      </c>
      <c r="G206" s="1186">
        <v>3</v>
      </c>
      <c r="H206" s="1186">
        <v>463037</v>
      </c>
    </row>
    <row r="207" spans="1:8" x14ac:dyDescent="0.2">
      <c r="A207" s="1186" t="s">
        <v>341</v>
      </c>
      <c r="B207" s="1186" t="s">
        <v>17</v>
      </c>
      <c r="C207" s="1186">
        <v>3</v>
      </c>
      <c r="D207" s="1186" t="s">
        <v>852</v>
      </c>
      <c r="E207" s="1186">
        <v>1</v>
      </c>
      <c r="F207" s="1186">
        <v>2013</v>
      </c>
      <c r="G207" s="1186">
        <v>3</v>
      </c>
      <c r="H207" s="1186">
        <v>463037</v>
      </c>
    </row>
    <row r="208" spans="1:8" x14ac:dyDescent="0.2">
      <c r="A208" s="1186" t="s">
        <v>343</v>
      </c>
      <c r="B208" s="1186" t="s">
        <v>133</v>
      </c>
      <c r="C208" s="1186">
        <v>3</v>
      </c>
      <c r="D208" s="1186" t="s">
        <v>850</v>
      </c>
      <c r="E208" s="1186">
        <v>6</v>
      </c>
      <c r="F208" s="1186">
        <v>2014</v>
      </c>
      <c r="G208" s="1186">
        <v>3</v>
      </c>
      <c r="H208" s="1186">
        <v>463205</v>
      </c>
    </row>
    <row r="209" spans="1:8" x14ac:dyDescent="0.2">
      <c r="A209" s="1186" t="s">
        <v>341</v>
      </c>
      <c r="B209" s="1186" t="s">
        <v>133</v>
      </c>
      <c r="C209" s="1186">
        <v>3</v>
      </c>
      <c r="D209" s="1186" t="s">
        <v>852</v>
      </c>
      <c r="E209" s="1186">
        <v>4</v>
      </c>
      <c r="F209" s="1186">
        <v>2014</v>
      </c>
      <c r="G209" s="1186">
        <v>3</v>
      </c>
      <c r="H209" s="1186">
        <v>463205</v>
      </c>
    </row>
    <row r="210" spans="1:8" x14ac:dyDescent="0.2">
      <c r="A210" s="1186" t="s">
        <v>341</v>
      </c>
      <c r="B210" s="1186" t="s">
        <v>133</v>
      </c>
      <c r="C210" s="1186">
        <v>3</v>
      </c>
      <c r="D210" s="1186" t="s">
        <v>850</v>
      </c>
      <c r="E210" s="1186">
        <v>6</v>
      </c>
      <c r="F210" s="1186">
        <v>2014</v>
      </c>
      <c r="G210" s="1186">
        <v>3</v>
      </c>
      <c r="H210" s="1186">
        <v>463205</v>
      </c>
    </row>
    <row r="211" spans="1:8" x14ac:dyDescent="0.2">
      <c r="A211" s="1186" t="s">
        <v>343</v>
      </c>
      <c r="B211" s="1186" t="s">
        <v>133</v>
      </c>
      <c r="C211" s="1186">
        <v>3</v>
      </c>
      <c r="D211" s="1186" t="s">
        <v>828</v>
      </c>
      <c r="E211" s="1186">
        <v>34</v>
      </c>
      <c r="F211" s="1186">
        <v>2014</v>
      </c>
      <c r="G211" s="1186">
        <v>3</v>
      </c>
      <c r="H211" s="1186">
        <v>463205</v>
      </c>
    </row>
    <row r="212" spans="1:8" x14ac:dyDescent="0.2">
      <c r="A212" s="1186" t="s">
        <v>343</v>
      </c>
      <c r="B212" s="1186" t="s">
        <v>133</v>
      </c>
      <c r="C212" s="1186">
        <v>3</v>
      </c>
      <c r="D212" s="1186" t="s">
        <v>851</v>
      </c>
      <c r="E212" s="1186">
        <v>3</v>
      </c>
      <c r="F212" s="1186">
        <v>2014</v>
      </c>
      <c r="G212" s="1186">
        <v>3</v>
      </c>
      <c r="H212" s="1186">
        <v>463205</v>
      </c>
    </row>
    <row r="213" spans="1:8" x14ac:dyDescent="0.2">
      <c r="A213" s="1186" t="s">
        <v>343</v>
      </c>
      <c r="B213" s="1186" t="s">
        <v>133</v>
      </c>
      <c r="C213" s="1186">
        <v>3</v>
      </c>
      <c r="D213" s="1186" t="s">
        <v>852</v>
      </c>
      <c r="E213" s="1186">
        <v>4</v>
      </c>
      <c r="F213" s="1186">
        <v>2014</v>
      </c>
      <c r="G213" s="1186">
        <v>3</v>
      </c>
      <c r="H213" s="1186">
        <v>463205</v>
      </c>
    </row>
    <row r="214" spans="1:8" x14ac:dyDescent="0.2">
      <c r="A214" s="1186" t="s">
        <v>342</v>
      </c>
      <c r="B214" s="1186" t="s">
        <v>133</v>
      </c>
      <c r="C214" s="1186">
        <v>3</v>
      </c>
      <c r="D214" s="1186" t="s">
        <v>852</v>
      </c>
      <c r="E214" s="1186">
        <v>1</v>
      </c>
      <c r="F214" s="1186">
        <v>2014</v>
      </c>
      <c r="G214" s="1186">
        <v>3</v>
      </c>
      <c r="H214" s="1186">
        <v>463205</v>
      </c>
    </row>
    <row r="215" spans="1:8" x14ac:dyDescent="0.2">
      <c r="A215" s="1186" t="s">
        <v>341</v>
      </c>
      <c r="B215" s="1186" t="s">
        <v>133</v>
      </c>
      <c r="C215" s="1186">
        <v>3</v>
      </c>
      <c r="D215" s="1186" t="s">
        <v>828</v>
      </c>
      <c r="E215" s="1186">
        <v>27</v>
      </c>
      <c r="F215" s="1186">
        <v>2014</v>
      </c>
      <c r="G215" s="1186">
        <v>3</v>
      </c>
      <c r="H215" s="1186">
        <v>463205</v>
      </c>
    </row>
    <row r="216" spans="1:8" x14ac:dyDescent="0.2">
      <c r="A216" s="1186" t="s">
        <v>341</v>
      </c>
      <c r="B216" s="1186" t="s">
        <v>133</v>
      </c>
      <c r="C216" s="1186">
        <v>3</v>
      </c>
      <c r="D216" s="1186" t="s">
        <v>851</v>
      </c>
      <c r="E216" s="1186">
        <v>2</v>
      </c>
      <c r="F216" s="1186">
        <v>2014</v>
      </c>
      <c r="G216" s="1186">
        <v>3</v>
      </c>
      <c r="H216" s="1186">
        <v>463205</v>
      </c>
    </row>
    <row r="217" spans="1:8" x14ac:dyDescent="0.2">
      <c r="A217" s="1186" t="s">
        <v>342</v>
      </c>
      <c r="B217" s="1186" t="s">
        <v>133</v>
      </c>
      <c r="C217" s="1186">
        <v>3</v>
      </c>
      <c r="D217" s="1186" t="s">
        <v>828</v>
      </c>
      <c r="E217" s="1186">
        <v>1</v>
      </c>
      <c r="F217" s="1186">
        <v>2014</v>
      </c>
      <c r="G217" s="1186">
        <v>3</v>
      </c>
      <c r="H217" s="1186">
        <v>463205</v>
      </c>
    </row>
    <row r="218" spans="1:8" x14ac:dyDescent="0.2">
      <c r="A218" s="1186" t="s">
        <v>342</v>
      </c>
      <c r="B218" s="1186" t="s">
        <v>144</v>
      </c>
      <c r="C218" s="1186">
        <v>3</v>
      </c>
      <c r="D218" s="1186" t="s">
        <v>828</v>
      </c>
      <c r="E218" s="1186">
        <v>1</v>
      </c>
      <c r="F218" s="1186">
        <v>2015</v>
      </c>
      <c r="G218" s="1186">
        <v>3</v>
      </c>
      <c r="H218" s="1186">
        <v>463264</v>
      </c>
    </row>
    <row r="219" spans="1:8" x14ac:dyDescent="0.2">
      <c r="A219" s="1186" t="s">
        <v>341</v>
      </c>
      <c r="B219" s="1186" t="s">
        <v>144</v>
      </c>
      <c r="C219" s="1186">
        <v>3</v>
      </c>
      <c r="D219" s="1186" t="s">
        <v>850</v>
      </c>
      <c r="E219" s="1186">
        <v>7</v>
      </c>
      <c r="F219" s="1186">
        <v>2015</v>
      </c>
      <c r="G219" s="1186">
        <v>3</v>
      </c>
      <c r="H219" s="1186">
        <v>463264</v>
      </c>
    </row>
    <row r="220" spans="1:8" x14ac:dyDescent="0.2">
      <c r="A220" s="1186" t="s">
        <v>341</v>
      </c>
      <c r="B220" s="1186" t="s">
        <v>144</v>
      </c>
      <c r="C220" s="1186">
        <v>3</v>
      </c>
      <c r="D220" s="1186" t="s">
        <v>851</v>
      </c>
      <c r="E220" s="1186">
        <v>1</v>
      </c>
      <c r="F220" s="1186">
        <v>2015</v>
      </c>
      <c r="G220" s="1186">
        <v>3</v>
      </c>
      <c r="H220" s="1186">
        <v>463264</v>
      </c>
    </row>
    <row r="221" spans="1:8" x14ac:dyDescent="0.2">
      <c r="A221" s="1186" t="s">
        <v>343</v>
      </c>
      <c r="B221" s="1186" t="s">
        <v>144</v>
      </c>
      <c r="C221" s="1186">
        <v>3</v>
      </c>
      <c r="D221" s="1186" t="s">
        <v>851</v>
      </c>
      <c r="E221" s="1186">
        <v>1</v>
      </c>
      <c r="F221" s="1186">
        <v>2015</v>
      </c>
      <c r="G221" s="1186">
        <v>3</v>
      </c>
      <c r="H221" s="1186">
        <v>463264</v>
      </c>
    </row>
    <row r="222" spans="1:8" x14ac:dyDescent="0.2">
      <c r="A222" s="1186" t="s">
        <v>343</v>
      </c>
      <c r="B222" s="1186" t="s">
        <v>144</v>
      </c>
      <c r="C222" s="1186">
        <v>3</v>
      </c>
      <c r="D222" s="1186" t="s">
        <v>850</v>
      </c>
      <c r="E222" s="1186">
        <v>7</v>
      </c>
      <c r="F222" s="1186">
        <v>2015</v>
      </c>
      <c r="G222" s="1186">
        <v>3</v>
      </c>
      <c r="H222" s="1186">
        <v>463264</v>
      </c>
    </row>
    <row r="223" spans="1:8" x14ac:dyDescent="0.2">
      <c r="A223" s="1186" t="s">
        <v>343</v>
      </c>
      <c r="B223" s="1186" t="s">
        <v>144</v>
      </c>
      <c r="C223" s="1186">
        <v>3</v>
      </c>
      <c r="D223" s="1186" t="s">
        <v>828</v>
      </c>
      <c r="E223" s="1186">
        <v>57</v>
      </c>
      <c r="F223" s="1186">
        <v>2015</v>
      </c>
      <c r="G223" s="1186">
        <v>3</v>
      </c>
      <c r="H223" s="1186">
        <v>463264</v>
      </c>
    </row>
    <row r="224" spans="1:8" x14ac:dyDescent="0.2">
      <c r="A224" s="1186" t="s">
        <v>341</v>
      </c>
      <c r="B224" s="1186" t="s">
        <v>144</v>
      </c>
      <c r="C224" s="1186">
        <v>3</v>
      </c>
      <c r="D224" s="1186" t="s">
        <v>828</v>
      </c>
      <c r="E224" s="1186">
        <v>40</v>
      </c>
      <c r="F224" s="1186">
        <v>2015</v>
      </c>
      <c r="G224" s="1186">
        <v>3</v>
      </c>
      <c r="H224" s="1186">
        <v>463264</v>
      </c>
    </row>
    <row r="225" spans="1:8" x14ac:dyDescent="0.2">
      <c r="A225" s="1186" t="s">
        <v>341</v>
      </c>
      <c r="B225" s="1186" t="s">
        <v>282</v>
      </c>
      <c r="C225" s="1186">
        <v>3</v>
      </c>
      <c r="D225" s="1186" t="s">
        <v>851</v>
      </c>
      <c r="E225" s="1186">
        <v>2</v>
      </c>
      <c r="F225" s="1186">
        <v>2016</v>
      </c>
      <c r="G225" s="1186">
        <v>3</v>
      </c>
      <c r="H225" s="1186">
        <v>465834</v>
      </c>
    </row>
    <row r="226" spans="1:8" x14ac:dyDescent="0.2">
      <c r="A226" s="1186" t="s">
        <v>343</v>
      </c>
      <c r="B226" s="1186" t="s">
        <v>282</v>
      </c>
      <c r="C226" s="1186">
        <v>3</v>
      </c>
      <c r="D226" s="1186" t="s">
        <v>852</v>
      </c>
      <c r="E226" s="1186">
        <v>3</v>
      </c>
      <c r="F226" s="1186">
        <v>2016</v>
      </c>
      <c r="G226" s="1186">
        <v>3</v>
      </c>
      <c r="H226" s="1186">
        <v>465834</v>
      </c>
    </row>
    <row r="227" spans="1:8" x14ac:dyDescent="0.2">
      <c r="A227" s="1186" t="s">
        <v>341</v>
      </c>
      <c r="B227" s="1186" t="s">
        <v>282</v>
      </c>
      <c r="C227" s="1186">
        <v>3</v>
      </c>
      <c r="D227" s="1186" t="s">
        <v>852</v>
      </c>
      <c r="E227" s="1186">
        <v>1</v>
      </c>
      <c r="F227" s="1186">
        <v>2016</v>
      </c>
      <c r="G227" s="1186">
        <v>3</v>
      </c>
      <c r="H227" s="1186">
        <v>465834</v>
      </c>
    </row>
    <row r="228" spans="1:8" x14ac:dyDescent="0.2">
      <c r="A228" s="1186" t="s">
        <v>341</v>
      </c>
      <c r="B228" s="1186" t="s">
        <v>282</v>
      </c>
      <c r="C228" s="1186">
        <v>3</v>
      </c>
      <c r="D228" s="1186" t="s">
        <v>850</v>
      </c>
      <c r="E228" s="1186">
        <v>1</v>
      </c>
      <c r="F228" s="1186">
        <v>2016</v>
      </c>
      <c r="G228" s="1186">
        <v>3</v>
      </c>
      <c r="H228" s="1186">
        <v>465834</v>
      </c>
    </row>
    <row r="229" spans="1:8" x14ac:dyDescent="0.2">
      <c r="A229" s="1186" t="s">
        <v>341</v>
      </c>
      <c r="B229" s="1186" t="s">
        <v>282</v>
      </c>
      <c r="C229" s="1186">
        <v>3</v>
      </c>
      <c r="D229" s="1186" t="s">
        <v>828</v>
      </c>
      <c r="E229" s="1186">
        <v>43</v>
      </c>
      <c r="F229" s="1186">
        <v>2016</v>
      </c>
      <c r="G229" s="1186">
        <v>3</v>
      </c>
      <c r="H229" s="1186">
        <v>465834</v>
      </c>
    </row>
    <row r="230" spans="1:8" x14ac:dyDescent="0.2">
      <c r="A230" s="1186" t="s">
        <v>342</v>
      </c>
      <c r="B230" s="1186" t="s">
        <v>282</v>
      </c>
      <c r="C230" s="1186">
        <v>3</v>
      </c>
      <c r="D230" s="1186" t="s">
        <v>850</v>
      </c>
      <c r="E230" s="1186">
        <v>1</v>
      </c>
      <c r="F230" s="1186">
        <v>2016</v>
      </c>
      <c r="G230" s="1186">
        <v>3</v>
      </c>
      <c r="H230" s="1186">
        <v>465834</v>
      </c>
    </row>
    <row r="231" spans="1:8" x14ac:dyDescent="0.2">
      <c r="A231" s="1186" t="s">
        <v>342</v>
      </c>
      <c r="B231" s="1186" t="s">
        <v>282</v>
      </c>
      <c r="C231" s="1186">
        <v>3</v>
      </c>
      <c r="D231" s="1186" t="s">
        <v>828</v>
      </c>
      <c r="E231" s="1186">
        <v>1</v>
      </c>
      <c r="F231" s="1186">
        <v>2016</v>
      </c>
      <c r="G231" s="1186">
        <v>3</v>
      </c>
      <c r="H231" s="1186">
        <v>465834</v>
      </c>
    </row>
    <row r="232" spans="1:8" x14ac:dyDescent="0.2">
      <c r="A232" s="1186" t="s">
        <v>343</v>
      </c>
      <c r="B232" s="1186" t="s">
        <v>282</v>
      </c>
      <c r="C232" s="1186">
        <v>3</v>
      </c>
      <c r="D232" s="1186" t="s">
        <v>850</v>
      </c>
      <c r="E232" s="1186">
        <v>2</v>
      </c>
      <c r="F232" s="1186">
        <v>2016</v>
      </c>
      <c r="G232" s="1186">
        <v>3</v>
      </c>
      <c r="H232" s="1186">
        <v>465834</v>
      </c>
    </row>
    <row r="233" spans="1:8" x14ac:dyDescent="0.2">
      <c r="A233" s="1186" t="s">
        <v>343</v>
      </c>
      <c r="B233" s="1186" t="s">
        <v>282</v>
      </c>
      <c r="C233" s="1186">
        <v>3</v>
      </c>
      <c r="D233" s="1186" t="s">
        <v>828</v>
      </c>
      <c r="E233" s="1186">
        <v>58</v>
      </c>
      <c r="F233" s="1186">
        <v>2016</v>
      </c>
      <c r="G233" s="1186">
        <v>3</v>
      </c>
      <c r="H233" s="1186">
        <v>465834</v>
      </c>
    </row>
    <row r="234" spans="1:8" x14ac:dyDescent="0.2">
      <c r="A234" s="1186" t="s">
        <v>343</v>
      </c>
      <c r="B234" s="1186" t="s">
        <v>282</v>
      </c>
      <c r="C234" s="1186">
        <v>3</v>
      </c>
      <c r="D234" s="1186" t="s">
        <v>851</v>
      </c>
      <c r="E234" s="1186">
        <v>2</v>
      </c>
      <c r="F234" s="1186">
        <v>2016</v>
      </c>
      <c r="G234" s="1186">
        <v>3</v>
      </c>
      <c r="H234" s="1186">
        <v>465834</v>
      </c>
    </row>
    <row r="235" spans="1:8" x14ac:dyDescent="0.2">
      <c r="A235" s="1186" t="s">
        <v>341</v>
      </c>
      <c r="B235" s="1186" t="s">
        <v>311</v>
      </c>
      <c r="C235" s="1186">
        <v>3</v>
      </c>
      <c r="D235" s="1186" t="s">
        <v>850</v>
      </c>
      <c r="E235" s="1186">
        <v>5</v>
      </c>
      <c r="F235" s="1186">
        <v>2017</v>
      </c>
      <c r="G235" s="1186">
        <v>3</v>
      </c>
      <c r="H235" s="1186">
        <v>467115</v>
      </c>
    </row>
    <row r="236" spans="1:8" x14ac:dyDescent="0.2">
      <c r="A236" s="1186" t="s">
        <v>342</v>
      </c>
      <c r="B236" s="1186" t="s">
        <v>311</v>
      </c>
      <c r="C236" s="1186">
        <v>3</v>
      </c>
      <c r="D236" s="1186" t="s">
        <v>828</v>
      </c>
      <c r="E236" s="1186">
        <v>3</v>
      </c>
      <c r="F236" s="1186">
        <v>2017</v>
      </c>
      <c r="G236" s="1186">
        <v>3</v>
      </c>
      <c r="H236" s="1186">
        <v>467115</v>
      </c>
    </row>
    <row r="237" spans="1:8" x14ac:dyDescent="0.2">
      <c r="A237" s="1186" t="s">
        <v>343</v>
      </c>
      <c r="B237" s="1186" t="s">
        <v>311</v>
      </c>
      <c r="C237" s="1186">
        <v>3</v>
      </c>
      <c r="D237" s="1186" t="s">
        <v>850</v>
      </c>
      <c r="E237" s="1186">
        <v>10</v>
      </c>
      <c r="F237" s="1186">
        <v>2017</v>
      </c>
      <c r="G237" s="1186">
        <v>3</v>
      </c>
      <c r="H237" s="1186">
        <v>467115</v>
      </c>
    </row>
    <row r="238" spans="1:8" x14ac:dyDescent="0.2">
      <c r="A238" s="1186" t="s">
        <v>341</v>
      </c>
      <c r="B238" s="1186" t="s">
        <v>311</v>
      </c>
      <c r="C238" s="1186">
        <v>3</v>
      </c>
      <c r="D238" s="1186" t="s">
        <v>828</v>
      </c>
      <c r="E238" s="1186">
        <v>43</v>
      </c>
      <c r="F238" s="1186">
        <v>2017</v>
      </c>
      <c r="G238" s="1186">
        <v>3</v>
      </c>
      <c r="H238" s="1186">
        <v>467115</v>
      </c>
    </row>
    <row r="239" spans="1:8" x14ac:dyDescent="0.2">
      <c r="A239" s="1186" t="s">
        <v>343</v>
      </c>
      <c r="B239" s="1186" t="s">
        <v>311</v>
      </c>
      <c r="C239" s="1186">
        <v>3</v>
      </c>
      <c r="D239" s="1186" t="s">
        <v>851</v>
      </c>
      <c r="E239" s="1186">
        <v>5</v>
      </c>
      <c r="F239" s="1186">
        <v>2017</v>
      </c>
      <c r="G239" s="1186">
        <v>3</v>
      </c>
      <c r="H239" s="1186">
        <v>467115</v>
      </c>
    </row>
    <row r="240" spans="1:8" x14ac:dyDescent="0.2">
      <c r="A240" s="1186" t="s">
        <v>341</v>
      </c>
      <c r="B240" s="1186" t="s">
        <v>311</v>
      </c>
      <c r="C240" s="1186">
        <v>3</v>
      </c>
      <c r="D240" s="1186" t="s">
        <v>851</v>
      </c>
      <c r="E240" s="1186">
        <v>3</v>
      </c>
      <c r="F240" s="1186">
        <v>2017</v>
      </c>
      <c r="G240" s="1186">
        <v>3</v>
      </c>
      <c r="H240" s="1186">
        <v>467115</v>
      </c>
    </row>
    <row r="241" spans="1:8" x14ac:dyDescent="0.2">
      <c r="A241" s="1186" t="s">
        <v>343</v>
      </c>
      <c r="B241" s="1186" t="s">
        <v>311</v>
      </c>
      <c r="C241" s="1186">
        <v>3</v>
      </c>
      <c r="D241" s="1186" t="s">
        <v>828</v>
      </c>
      <c r="E241" s="1186">
        <v>54</v>
      </c>
      <c r="F241" s="1186">
        <v>2017</v>
      </c>
      <c r="G241" s="1186">
        <v>3</v>
      </c>
      <c r="H241" s="1186">
        <v>467115</v>
      </c>
    </row>
    <row r="242" spans="1:8" x14ac:dyDescent="0.2">
      <c r="A242" s="1186" t="s">
        <v>343</v>
      </c>
      <c r="B242" s="1186" t="s">
        <v>621</v>
      </c>
      <c r="C242" s="1186">
        <v>3</v>
      </c>
      <c r="D242" s="1186" t="s">
        <v>828</v>
      </c>
      <c r="E242" s="1186">
        <v>63</v>
      </c>
      <c r="F242" s="1186">
        <v>2018</v>
      </c>
      <c r="G242" s="1186">
        <v>3</v>
      </c>
      <c r="H242" s="1186">
        <v>467717</v>
      </c>
    </row>
    <row r="243" spans="1:8" x14ac:dyDescent="0.2">
      <c r="A243" s="1186" t="s">
        <v>341</v>
      </c>
      <c r="B243" s="1186" t="s">
        <v>621</v>
      </c>
      <c r="C243" s="1186">
        <v>3</v>
      </c>
      <c r="D243" s="1186" t="s">
        <v>851</v>
      </c>
      <c r="E243" s="1186">
        <v>1</v>
      </c>
      <c r="F243" s="1186">
        <v>2018</v>
      </c>
      <c r="G243" s="1186">
        <v>3</v>
      </c>
      <c r="H243" s="1186">
        <v>467717</v>
      </c>
    </row>
    <row r="244" spans="1:8" x14ac:dyDescent="0.2">
      <c r="A244" s="1186" t="s">
        <v>341</v>
      </c>
      <c r="B244" s="1186" t="s">
        <v>621</v>
      </c>
      <c r="C244" s="1186">
        <v>3</v>
      </c>
      <c r="D244" s="1186" t="s">
        <v>850</v>
      </c>
      <c r="E244" s="1186">
        <v>6</v>
      </c>
      <c r="F244" s="1186">
        <v>2018</v>
      </c>
      <c r="G244" s="1186">
        <v>3</v>
      </c>
      <c r="H244" s="1186">
        <v>467717</v>
      </c>
    </row>
    <row r="245" spans="1:8" x14ac:dyDescent="0.2">
      <c r="A245" s="1186" t="s">
        <v>341</v>
      </c>
      <c r="B245" s="1186" t="s">
        <v>621</v>
      </c>
      <c r="C245" s="1186">
        <v>3</v>
      </c>
      <c r="D245" s="1186" t="s">
        <v>828</v>
      </c>
      <c r="E245" s="1186">
        <v>49</v>
      </c>
      <c r="F245" s="1186">
        <v>2018</v>
      </c>
      <c r="G245" s="1186">
        <v>3</v>
      </c>
      <c r="H245" s="1186">
        <v>467717</v>
      </c>
    </row>
    <row r="246" spans="1:8" x14ac:dyDescent="0.2">
      <c r="A246" s="1186" t="s">
        <v>343</v>
      </c>
      <c r="B246" s="1186" t="s">
        <v>621</v>
      </c>
      <c r="C246" s="1186">
        <v>3</v>
      </c>
      <c r="D246" s="1186" t="s">
        <v>851</v>
      </c>
      <c r="E246" s="1186">
        <v>2</v>
      </c>
      <c r="F246" s="1186">
        <v>2018</v>
      </c>
      <c r="G246" s="1186">
        <v>3</v>
      </c>
      <c r="H246" s="1186">
        <v>467717</v>
      </c>
    </row>
    <row r="247" spans="1:8" x14ac:dyDescent="0.2">
      <c r="A247" s="1186" t="s">
        <v>341</v>
      </c>
      <c r="B247" s="1186" t="s">
        <v>621</v>
      </c>
      <c r="C247" s="1186">
        <v>3</v>
      </c>
      <c r="D247" s="1186" t="s">
        <v>852</v>
      </c>
      <c r="E247" s="1186">
        <v>4</v>
      </c>
      <c r="F247" s="1186">
        <v>2018</v>
      </c>
      <c r="G247" s="1186">
        <v>3</v>
      </c>
      <c r="H247" s="1186">
        <v>467717</v>
      </c>
    </row>
    <row r="248" spans="1:8" x14ac:dyDescent="0.2">
      <c r="A248" s="1186" t="s">
        <v>342</v>
      </c>
      <c r="B248" s="1186" t="s">
        <v>621</v>
      </c>
      <c r="C248" s="1186">
        <v>3</v>
      </c>
      <c r="D248" s="1186" t="s">
        <v>828</v>
      </c>
      <c r="E248" s="1186">
        <v>6</v>
      </c>
      <c r="F248" s="1186">
        <v>2018</v>
      </c>
      <c r="G248" s="1186">
        <v>3</v>
      </c>
      <c r="H248" s="1186">
        <v>467717</v>
      </c>
    </row>
    <row r="249" spans="1:8" x14ac:dyDescent="0.2">
      <c r="A249" s="1186" t="s">
        <v>343</v>
      </c>
      <c r="B249" s="1186" t="s">
        <v>621</v>
      </c>
      <c r="C249" s="1186">
        <v>3</v>
      </c>
      <c r="D249" s="1186" t="s">
        <v>852</v>
      </c>
      <c r="E249" s="1186">
        <v>4</v>
      </c>
      <c r="F249" s="1186">
        <v>2018</v>
      </c>
      <c r="G249" s="1186">
        <v>3</v>
      </c>
      <c r="H249" s="1186">
        <v>467717</v>
      </c>
    </row>
    <row r="250" spans="1:8" x14ac:dyDescent="0.2">
      <c r="A250" s="1186" t="s">
        <v>343</v>
      </c>
      <c r="B250" s="1186" t="s">
        <v>621</v>
      </c>
      <c r="C250" s="1186">
        <v>3</v>
      </c>
      <c r="D250" s="1186" t="s">
        <v>850</v>
      </c>
      <c r="E250" s="1186">
        <v>9</v>
      </c>
      <c r="F250" s="1186">
        <v>2018</v>
      </c>
      <c r="G250" s="1186">
        <v>3</v>
      </c>
      <c r="H250" s="1186">
        <v>467717</v>
      </c>
    </row>
    <row r="251" spans="1:8" x14ac:dyDescent="0.2">
      <c r="A251" s="1186" t="s">
        <v>341</v>
      </c>
      <c r="B251" s="1186" t="s">
        <v>1419</v>
      </c>
      <c r="C251" s="1186">
        <v>3</v>
      </c>
      <c r="D251" s="1186" t="s">
        <v>852</v>
      </c>
      <c r="E251" s="1186">
        <v>3</v>
      </c>
      <c r="F251" s="1186">
        <v>2019</v>
      </c>
      <c r="G251" s="1186">
        <v>3</v>
      </c>
      <c r="H251" s="1186">
        <v>468895</v>
      </c>
    </row>
    <row r="252" spans="1:8" x14ac:dyDescent="0.2">
      <c r="A252" s="1186" t="s">
        <v>341</v>
      </c>
      <c r="B252" s="1186" t="s">
        <v>1419</v>
      </c>
      <c r="C252" s="1186">
        <v>3</v>
      </c>
      <c r="D252" s="1186" t="s">
        <v>851</v>
      </c>
      <c r="E252" s="1186">
        <v>4</v>
      </c>
      <c r="F252" s="1186">
        <v>2019</v>
      </c>
      <c r="G252" s="1186">
        <v>3</v>
      </c>
      <c r="H252" s="1186">
        <v>468895</v>
      </c>
    </row>
    <row r="253" spans="1:8" x14ac:dyDescent="0.2">
      <c r="A253" s="1186" t="s">
        <v>343</v>
      </c>
      <c r="B253" s="1186" t="s">
        <v>1419</v>
      </c>
      <c r="C253" s="1186">
        <v>3</v>
      </c>
      <c r="D253" s="1186" t="s">
        <v>852</v>
      </c>
      <c r="E253" s="1186">
        <v>3</v>
      </c>
      <c r="F253" s="1186">
        <v>2019</v>
      </c>
      <c r="G253" s="1186">
        <v>3</v>
      </c>
      <c r="H253" s="1186">
        <v>468895</v>
      </c>
    </row>
    <row r="254" spans="1:8" x14ac:dyDescent="0.2">
      <c r="A254" s="1186" t="s">
        <v>343</v>
      </c>
      <c r="B254" s="1186" t="s">
        <v>1419</v>
      </c>
      <c r="C254" s="1186">
        <v>3</v>
      </c>
      <c r="D254" s="1186" t="s">
        <v>850</v>
      </c>
      <c r="E254" s="1186">
        <v>6</v>
      </c>
      <c r="F254" s="1186">
        <v>2019</v>
      </c>
      <c r="G254" s="1186">
        <v>3</v>
      </c>
      <c r="H254" s="1186">
        <v>468895</v>
      </c>
    </row>
    <row r="255" spans="1:8" x14ac:dyDescent="0.2">
      <c r="A255" s="1186" t="s">
        <v>341</v>
      </c>
      <c r="B255" s="1186" t="s">
        <v>1419</v>
      </c>
      <c r="C255" s="1186">
        <v>3</v>
      </c>
      <c r="D255" s="1186" t="s">
        <v>850</v>
      </c>
      <c r="E255" s="1186">
        <v>6</v>
      </c>
      <c r="F255" s="1186">
        <v>2019</v>
      </c>
      <c r="G255" s="1186">
        <v>3</v>
      </c>
      <c r="H255" s="1186">
        <v>468895</v>
      </c>
    </row>
    <row r="256" spans="1:8" x14ac:dyDescent="0.2">
      <c r="A256" s="1186" t="s">
        <v>341</v>
      </c>
      <c r="B256" s="1186" t="s">
        <v>1419</v>
      </c>
      <c r="C256" s="1186">
        <v>3</v>
      </c>
      <c r="D256" s="1186" t="s">
        <v>828</v>
      </c>
      <c r="E256" s="1186">
        <v>38</v>
      </c>
      <c r="F256" s="1186">
        <v>2019</v>
      </c>
      <c r="G256" s="1186">
        <v>3</v>
      </c>
      <c r="H256" s="1186">
        <v>468895</v>
      </c>
    </row>
    <row r="257" spans="1:8" x14ac:dyDescent="0.2">
      <c r="A257" s="1186" t="s">
        <v>342</v>
      </c>
      <c r="B257" s="1186" t="s">
        <v>1419</v>
      </c>
      <c r="C257" s="1186">
        <v>3</v>
      </c>
      <c r="D257" s="1186" t="s">
        <v>828</v>
      </c>
      <c r="E257" s="1186">
        <v>1</v>
      </c>
      <c r="F257" s="1186">
        <v>2019</v>
      </c>
      <c r="G257" s="1186">
        <v>3</v>
      </c>
      <c r="H257" s="1186">
        <v>468895</v>
      </c>
    </row>
    <row r="258" spans="1:8" x14ac:dyDescent="0.2">
      <c r="A258" s="1186" t="s">
        <v>343</v>
      </c>
      <c r="B258" s="1186" t="s">
        <v>1419</v>
      </c>
      <c r="C258" s="1186">
        <v>3</v>
      </c>
      <c r="D258" s="1186" t="s">
        <v>828</v>
      </c>
      <c r="E258" s="1186">
        <v>52</v>
      </c>
      <c r="F258" s="1186">
        <v>2019</v>
      </c>
      <c r="G258" s="1186">
        <v>3</v>
      </c>
      <c r="H258" s="1186">
        <v>468895</v>
      </c>
    </row>
    <row r="259" spans="1:8" x14ac:dyDescent="0.2">
      <c r="A259" s="1186" t="s">
        <v>342</v>
      </c>
      <c r="B259" s="1186" t="s">
        <v>1419</v>
      </c>
      <c r="C259" s="1186">
        <v>3</v>
      </c>
      <c r="D259" s="1186" t="s">
        <v>851</v>
      </c>
      <c r="E259" s="1186">
        <v>1</v>
      </c>
      <c r="F259" s="1186">
        <v>2019</v>
      </c>
      <c r="G259" s="1186">
        <v>3</v>
      </c>
      <c r="H259" s="1186">
        <v>468895</v>
      </c>
    </row>
    <row r="260" spans="1:8" x14ac:dyDescent="0.2">
      <c r="A260" s="1186" t="s">
        <v>343</v>
      </c>
      <c r="B260" s="1186" t="s">
        <v>1419</v>
      </c>
      <c r="C260" s="1186">
        <v>3</v>
      </c>
      <c r="D260" s="1186" t="s">
        <v>851</v>
      </c>
      <c r="E260" s="1186">
        <v>4</v>
      </c>
      <c r="F260" s="1186">
        <v>2019</v>
      </c>
      <c r="G260" s="1186">
        <v>3</v>
      </c>
      <c r="H260" s="1186">
        <v>468895</v>
      </c>
    </row>
    <row r="261" spans="1:8" x14ac:dyDescent="0.2">
      <c r="A261" s="1186" t="s">
        <v>342</v>
      </c>
      <c r="B261" s="1186" t="s">
        <v>1572</v>
      </c>
      <c r="C261" s="1186">
        <v>3</v>
      </c>
      <c r="D261" s="1186" t="s">
        <v>828</v>
      </c>
      <c r="E261" s="1186">
        <v>4</v>
      </c>
      <c r="F261" s="1186">
        <v>2020</v>
      </c>
      <c r="G261" s="1186">
        <v>3</v>
      </c>
      <c r="H261" s="1186">
        <v>468634</v>
      </c>
    </row>
    <row r="262" spans="1:8" x14ac:dyDescent="0.2">
      <c r="A262" s="1186" t="s">
        <v>343</v>
      </c>
      <c r="B262" s="1186" t="s">
        <v>1572</v>
      </c>
      <c r="C262" s="1186">
        <v>3</v>
      </c>
      <c r="D262" s="1186" t="s">
        <v>852</v>
      </c>
      <c r="E262" s="1186">
        <v>3</v>
      </c>
      <c r="F262" s="1186">
        <v>2020</v>
      </c>
      <c r="G262" s="1186">
        <v>3</v>
      </c>
      <c r="H262" s="1186">
        <v>468634</v>
      </c>
    </row>
    <row r="263" spans="1:8" x14ac:dyDescent="0.2">
      <c r="A263" s="1186" t="s">
        <v>343</v>
      </c>
      <c r="B263" s="1186" t="s">
        <v>1572</v>
      </c>
      <c r="C263" s="1186">
        <v>3</v>
      </c>
      <c r="D263" s="1186" t="s">
        <v>851</v>
      </c>
      <c r="E263" s="1186">
        <v>1</v>
      </c>
      <c r="F263" s="1186">
        <v>2020</v>
      </c>
      <c r="G263" s="1186">
        <v>3</v>
      </c>
      <c r="H263" s="1186">
        <v>468634</v>
      </c>
    </row>
    <row r="264" spans="1:8" x14ac:dyDescent="0.2">
      <c r="A264" s="1186" t="s">
        <v>343</v>
      </c>
      <c r="B264" s="1186" t="s">
        <v>1572</v>
      </c>
      <c r="C264" s="1186">
        <v>3</v>
      </c>
      <c r="D264" s="1186" t="s">
        <v>850</v>
      </c>
      <c r="E264" s="1186">
        <v>2</v>
      </c>
      <c r="F264" s="1186">
        <v>2020</v>
      </c>
      <c r="G264" s="1186">
        <v>3</v>
      </c>
      <c r="H264" s="1186">
        <v>468634</v>
      </c>
    </row>
    <row r="265" spans="1:8" x14ac:dyDescent="0.2">
      <c r="A265" s="1186" t="s">
        <v>341</v>
      </c>
      <c r="B265" s="1186" t="s">
        <v>1572</v>
      </c>
      <c r="C265" s="1186">
        <v>3</v>
      </c>
      <c r="D265" s="1186" t="s">
        <v>851</v>
      </c>
      <c r="E265" s="1186">
        <v>1</v>
      </c>
      <c r="F265" s="1186">
        <v>2020</v>
      </c>
      <c r="G265" s="1186">
        <v>3</v>
      </c>
      <c r="H265" s="1186">
        <v>468634</v>
      </c>
    </row>
    <row r="266" spans="1:8" x14ac:dyDescent="0.2">
      <c r="A266" s="1186" t="s">
        <v>343</v>
      </c>
      <c r="B266" s="1186" t="s">
        <v>1572</v>
      </c>
      <c r="C266" s="1186">
        <v>3</v>
      </c>
      <c r="D266" s="1186" t="s">
        <v>828</v>
      </c>
      <c r="E266" s="1186">
        <v>75</v>
      </c>
      <c r="F266" s="1186">
        <v>2020</v>
      </c>
      <c r="G266" s="1186">
        <v>3</v>
      </c>
      <c r="H266" s="1186">
        <v>468634</v>
      </c>
    </row>
    <row r="267" spans="1:8" x14ac:dyDescent="0.2">
      <c r="A267" s="1186" t="s">
        <v>341</v>
      </c>
      <c r="B267" s="1186" t="s">
        <v>1572</v>
      </c>
      <c r="C267" s="1186">
        <v>3</v>
      </c>
      <c r="D267" s="1186" t="s">
        <v>852</v>
      </c>
      <c r="E267" s="1186">
        <v>2</v>
      </c>
      <c r="F267" s="1186">
        <v>2020</v>
      </c>
      <c r="G267" s="1186">
        <v>3</v>
      </c>
      <c r="H267" s="1186">
        <v>468634</v>
      </c>
    </row>
    <row r="268" spans="1:8" x14ac:dyDescent="0.2">
      <c r="A268" s="1186" t="s">
        <v>341</v>
      </c>
      <c r="B268" s="1186" t="s">
        <v>1572</v>
      </c>
      <c r="C268" s="1186">
        <v>3</v>
      </c>
      <c r="D268" s="1186" t="s">
        <v>828</v>
      </c>
      <c r="E268" s="1186">
        <v>43</v>
      </c>
      <c r="F268" s="1186">
        <v>2020</v>
      </c>
      <c r="G268" s="1186">
        <v>3</v>
      </c>
      <c r="H268" s="1186">
        <v>468634</v>
      </c>
    </row>
    <row r="269" spans="1:8" x14ac:dyDescent="0.2">
      <c r="A269" s="1186" t="s">
        <v>341</v>
      </c>
      <c r="B269" s="1186" t="s">
        <v>1572</v>
      </c>
      <c r="C269" s="1186">
        <v>3</v>
      </c>
      <c r="D269" s="1186" t="s">
        <v>850</v>
      </c>
      <c r="E269" s="1186">
        <v>1</v>
      </c>
      <c r="F269" s="1186">
        <v>2020</v>
      </c>
      <c r="G269" s="1186">
        <v>3</v>
      </c>
      <c r="H269" s="1186">
        <v>468634</v>
      </c>
    </row>
    <row r="270" spans="1:8" x14ac:dyDescent="0.2">
      <c r="A270" s="1186" t="s">
        <v>341</v>
      </c>
      <c r="B270" s="1186" t="s">
        <v>15</v>
      </c>
      <c r="C270" s="1186">
        <v>4</v>
      </c>
      <c r="D270" s="1186" t="s">
        <v>850</v>
      </c>
      <c r="E270" s="1186">
        <v>3</v>
      </c>
      <c r="F270" s="1186">
        <v>2012</v>
      </c>
      <c r="G270" s="1186">
        <v>4</v>
      </c>
      <c r="H270" s="1186">
        <v>193502</v>
      </c>
    </row>
    <row r="271" spans="1:8" x14ac:dyDescent="0.2">
      <c r="A271" s="1186" t="s">
        <v>341</v>
      </c>
      <c r="B271" s="1186" t="s">
        <v>15</v>
      </c>
      <c r="C271" s="1186">
        <v>4</v>
      </c>
      <c r="D271" s="1186" t="s">
        <v>851</v>
      </c>
      <c r="E271" s="1186">
        <v>2</v>
      </c>
      <c r="F271" s="1186">
        <v>2012</v>
      </c>
      <c r="G271" s="1186">
        <v>4</v>
      </c>
      <c r="H271" s="1186">
        <v>193502</v>
      </c>
    </row>
    <row r="272" spans="1:8" x14ac:dyDescent="0.2">
      <c r="A272" s="1186" t="s">
        <v>341</v>
      </c>
      <c r="B272" s="1186" t="s">
        <v>15</v>
      </c>
      <c r="C272" s="1186">
        <v>4</v>
      </c>
      <c r="D272" s="1186" t="s">
        <v>852</v>
      </c>
      <c r="E272" s="1186">
        <v>1</v>
      </c>
      <c r="F272" s="1186">
        <v>2012</v>
      </c>
      <c r="G272" s="1186">
        <v>4</v>
      </c>
      <c r="H272" s="1186">
        <v>193502</v>
      </c>
    </row>
    <row r="273" spans="1:8" x14ac:dyDescent="0.2">
      <c r="A273" s="1186" t="s">
        <v>342</v>
      </c>
      <c r="B273" s="1186" t="s">
        <v>15</v>
      </c>
      <c r="C273" s="1186">
        <v>4</v>
      </c>
      <c r="D273" s="1186" t="s">
        <v>828</v>
      </c>
      <c r="E273" s="1186">
        <v>1</v>
      </c>
      <c r="F273" s="1186">
        <v>2012</v>
      </c>
      <c r="G273" s="1186">
        <v>4</v>
      </c>
      <c r="H273" s="1186">
        <v>193502</v>
      </c>
    </row>
    <row r="274" spans="1:8" x14ac:dyDescent="0.2">
      <c r="A274" s="1186" t="s">
        <v>343</v>
      </c>
      <c r="B274" s="1186" t="s">
        <v>15</v>
      </c>
      <c r="C274" s="1186">
        <v>4</v>
      </c>
      <c r="D274" s="1186" t="s">
        <v>828</v>
      </c>
      <c r="E274" s="1186">
        <v>21</v>
      </c>
      <c r="F274" s="1186">
        <v>2012</v>
      </c>
      <c r="G274" s="1186">
        <v>4</v>
      </c>
      <c r="H274" s="1186">
        <v>193502</v>
      </c>
    </row>
    <row r="275" spans="1:8" x14ac:dyDescent="0.2">
      <c r="A275" s="1186" t="s">
        <v>343</v>
      </c>
      <c r="B275" s="1186" t="s">
        <v>15</v>
      </c>
      <c r="C275" s="1186">
        <v>4</v>
      </c>
      <c r="D275" s="1186" t="s">
        <v>852</v>
      </c>
      <c r="E275" s="1186">
        <v>1</v>
      </c>
      <c r="F275" s="1186">
        <v>2012</v>
      </c>
      <c r="G275" s="1186">
        <v>4</v>
      </c>
      <c r="H275" s="1186">
        <v>193502</v>
      </c>
    </row>
    <row r="276" spans="1:8" x14ac:dyDescent="0.2">
      <c r="A276" s="1186" t="s">
        <v>343</v>
      </c>
      <c r="B276" s="1186" t="s">
        <v>15</v>
      </c>
      <c r="C276" s="1186">
        <v>4</v>
      </c>
      <c r="D276" s="1186" t="s">
        <v>851</v>
      </c>
      <c r="E276" s="1186">
        <v>2</v>
      </c>
      <c r="F276" s="1186">
        <v>2012</v>
      </c>
      <c r="G276" s="1186">
        <v>4</v>
      </c>
      <c r="H276" s="1186">
        <v>193502</v>
      </c>
    </row>
    <row r="277" spans="1:8" x14ac:dyDescent="0.2">
      <c r="A277" s="1186" t="s">
        <v>343</v>
      </c>
      <c r="B277" s="1186" t="s">
        <v>15</v>
      </c>
      <c r="C277" s="1186">
        <v>4</v>
      </c>
      <c r="D277" s="1186" t="s">
        <v>850</v>
      </c>
      <c r="E277" s="1186">
        <v>3</v>
      </c>
      <c r="F277" s="1186">
        <v>2012</v>
      </c>
      <c r="G277" s="1186">
        <v>4</v>
      </c>
      <c r="H277" s="1186">
        <v>193502</v>
      </c>
    </row>
    <row r="278" spans="1:8" x14ac:dyDescent="0.2">
      <c r="A278" s="1186" t="s">
        <v>341</v>
      </c>
      <c r="B278" s="1186" t="s">
        <v>15</v>
      </c>
      <c r="C278" s="1186">
        <v>4</v>
      </c>
      <c r="D278" s="1186" t="s">
        <v>828</v>
      </c>
      <c r="E278" s="1186">
        <v>17</v>
      </c>
      <c r="F278" s="1186">
        <v>2012</v>
      </c>
      <c r="G278" s="1186">
        <v>4</v>
      </c>
      <c r="H278" s="1186">
        <v>193502</v>
      </c>
    </row>
    <row r="279" spans="1:8" x14ac:dyDescent="0.2">
      <c r="A279" s="1186" t="s">
        <v>341</v>
      </c>
      <c r="B279" s="1186" t="s">
        <v>17</v>
      </c>
      <c r="C279" s="1186">
        <v>4</v>
      </c>
      <c r="D279" s="1186" t="s">
        <v>852</v>
      </c>
      <c r="E279" s="1186">
        <v>1</v>
      </c>
      <c r="F279" s="1186">
        <v>2013</v>
      </c>
      <c r="G279" s="1186">
        <v>4</v>
      </c>
      <c r="H279" s="1186">
        <v>193081</v>
      </c>
    </row>
    <row r="280" spans="1:8" x14ac:dyDescent="0.2">
      <c r="A280" s="1186" t="s">
        <v>341</v>
      </c>
      <c r="B280" s="1186" t="s">
        <v>17</v>
      </c>
      <c r="C280" s="1186">
        <v>4</v>
      </c>
      <c r="D280" s="1186" t="s">
        <v>828</v>
      </c>
      <c r="E280" s="1186">
        <v>39</v>
      </c>
      <c r="F280" s="1186">
        <v>2013</v>
      </c>
      <c r="G280" s="1186">
        <v>4</v>
      </c>
      <c r="H280" s="1186">
        <v>193081</v>
      </c>
    </row>
    <row r="281" spans="1:8" x14ac:dyDescent="0.2">
      <c r="A281" s="1186" t="s">
        <v>341</v>
      </c>
      <c r="B281" s="1186" t="s">
        <v>17</v>
      </c>
      <c r="C281" s="1186">
        <v>4</v>
      </c>
      <c r="D281" s="1186" t="s">
        <v>850</v>
      </c>
      <c r="E281" s="1186">
        <v>1</v>
      </c>
      <c r="F281" s="1186">
        <v>2013</v>
      </c>
      <c r="G281" s="1186">
        <v>4</v>
      </c>
      <c r="H281" s="1186">
        <v>193081</v>
      </c>
    </row>
    <row r="282" spans="1:8" x14ac:dyDescent="0.2">
      <c r="A282" s="1186" t="s">
        <v>343</v>
      </c>
      <c r="B282" s="1186" t="s">
        <v>17</v>
      </c>
      <c r="C282" s="1186">
        <v>4</v>
      </c>
      <c r="D282" s="1186" t="s">
        <v>828</v>
      </c>
      <c r="E282" s="1186">
        <v>43</v>
      </c>
      <c r="F282" s="1186">
        <v>2013</v>
      </c>
      <c r="G282" s="1186">
        <v>4</v>
      </c>
      <c r="H282" s="1186">
        <v>193081</v>
      </c>
    </row>
    <row r="283" spans="1:8" x14ac:dyDescent="0.2">
      <c r="A283" s="1186" t="s">
        <v>343</v>
      </c>
      <c r="B283" s="1186" t="s">
        <v>17</v>
      </c>
      <c r="C283" s="1186">
        <v>4</v>
      </c>
      <c r="D283" s="1186" t="s">
        <v>850</v>
      </c>
      <c r="E283" s="1186">
        <v>1</v>
      </c>
      <c r="F283" s="1186">
        <v>2013</v>
      </c>
      <c r="G283" s="1186">
        <v>4</v>
      </c>
      <c r="H283" s="1186">
        <v>193081</v>
      </c>
    </row>
    <row r="284" spans="1:8" x14ac:dyDescent="0.2">
      <c r="A284" s="1186" t="s">
        <v>343</v>
      </c>
      <c r="B284" s="1186" t="s">
        <v>17</v>
      </c>
      <c r="C284" s="1186">
        <v>4</v>
      </c>
      <c r="D284" s="1186" t="s">
        <v>852</v>
      </c>
      <c r="E284" s="1186">
        <v>1</v>
      </c>
      <c r="F284" s="1186">
        <v>2013</v>
      </c>
      <c r="G284" s="1186">
        <v>4</v>
      </c>
      <c r="H284" s="1186">
        <v>193081</v>
      </c>
    </row>
    <row r="285" spans="1:8" x14ac:dyDescent="0.2">
      <c r="A285" s="1186" t="s">
        <v>343</v>
      </c>
      <c r="B285" s="1186" t="s">
        <v>133</v>
      </c>
      <c r="C285" s="1186">
        <v>4</v>
      </c>
      <c r="D285" s="1186" t="s">
        <v>850</v>
      </c>
      <c r="E285" s="1186">
        <v>5</v>
      </c>
      <c r="F285" s="1186">
        <v>2014</v>
      </c>
      <c r="G285" s="1186">
        <v>4</v>
      </c>
      <c r="H285" s="1186">
        <v>192400</v>
      </c>
    </row>
    <row r="286" spans="1:8" x14ac:dyDescent="0.2">
      <c r="A286" s="1186" t="s">
        <v>341</v>
      </c>
      <c r="B286" s="1186" t="s">
        <v>133</v>
      </c>
      <c r="C286" s="1186">
        <v>4</v>
      </c>
      <c r="D286" s="1186" t="s">
        <v>850</v>
      </c>
      <c r="E286" s="1186">
        <v>1</v>
      </c>
      <c r="F286" s="1186">
        <v>2014</v>
      </c>
      <c r="G286" s="1186">
        <v>4</v>
      </c>
      <c r="H286" s="1186">
        <v>192400</v>
      </c>
    </row>
    <row r="287" spans="1:8" x14ac:dyDescent="0.2">
      <c r="A287" s="1186" t="s">
        <v>341</v>
      </c>
      <c r="B287" s="1186" t="s">
        <v>133</v>
      </c>
      <c r="C287" s="1186">
        <v>4</v>
      </c>
      <c r="D287" s="1186" t="s">
        <v>828</v>
      </c>
      <c r="E287" s="1186">
        <v>34</v>
      </c>
      <c r="F287" s="1186">
        <v>2014</v>
      </c>
      <c r="G287" s="1186">
        <v>4</v>
      </c>
      <c r="H287" s="1186">
        <v>192400</v>
      </c>
    </row>
    <row r="288" spans="1:8" x14ac:dyDescent="0.2">
      <c r="A288" s="1186" t="s">
        <v>343</v>
      </c>
      <c r="B288" s="1186" t="s">
        <v>133</v>
      </c>
      <c r="C288" s="1186">
        <v>4</v>
      </c>
      <c r="D288" s="1186" t="s">
        <v>828</v>
      </c>
      <c r="E288" s="1186">
        <v>39</v>
      </c>
      <c r="F288" s="1186">
        <v>2014</v>
      </c>
      <c r="G288" s="1186">
        <v>4</v>
      </c>
      <c r="H288" s="1186">
        <v>192400</v>
      </c>
    </row>
    <row r="289" spans="1:8" x14ac:dyDescent="0.2">
      <c r="A289" s="1186" t="s">
        <v>342</v>
      </c>
      <c r="B289" s="1186" t="s">
        <v>133</v>
      </c>
      <c r="C289" s="1186">
        <v>4</v>
      </c>
      <c r="D289" s="1186" t="s">
        <v>828</v>
      </c>
      <c r="E289" s="1186">
        <v>1</v>
      </c>
      <c r="F289" s="1186">
        <v>2014</v>
      </c>
      <c r="G289" s="1186">
        <v>4</v>
      </c>
      <c r="H289" s="1186">
        <v>192400</v>
      </c>
    </row>
    <row r="290" spans="1:8" x14ac:dyDescent="0.2">
      <c r="A290" s="1186" t="s">
        <v>341</v>
      </c>
      <c r="B290" s="1186" t="s">
        <v>144</v>
      </c>
      <c r="C290" s="1186">
        <v>4</v>
      </c>
      <c r="D290" s="1186" t="s">
        <v>828</v>
      </c>
      <c r="E290" s="1186">
        <v>17</v>
      </c>
      <c r="F290" s="1186">
        <v>2015</v>
      </c>
      <c r="G290" s="1186">
        <v>4</v>
      </c>
      <c r="H290" s="1186">
        <v>192266</v>
      </c>
    </row>
    <row r="291" spans="1:8" x14ac:dyDescent="0.2">
      <c r="A291" s="1186" t="s">
        <v>341</v>
      </c>
      <c r="B291" s="1186" t="s">
        <v>144</v>
      </c>
      <c r="C291" s="1186">
        <v>4</v>
      </c>
      <c r="D291" s="1186" t="s">
        <v>850</v>
      </c>
      <c r="E291" s="1186">
        <v>2</v>
      </c>
      <c r="F291" s="1186">
        <v>2015</v>
      </c>
      <c r="G291" s="1186">
        <v>4</v>
      </c>
      <c r="H291" s="1186">
        <v>192266</v>
      </c>
    </row>
    <row r="292" spans="1:8" x14ac:dyDescent="0.2">
      <c r="A292" s="1186" t="s">
        <v>343</v>
      </c>
      <c r="B292" s="1186" t="s">
        <v>144</v>
      </c>
      <c r="C292" s="1186">
        <v>4</v>
      </c>
      <c r="D292" s="1186" t="s">
        <v>828</v>
      </c>
      <c r="E292" s="1186">
        <v>29</v>
      </c>
      <c r="F292" s="1186">
        <v>2015</v>
      </c>
      <c r="G292" s="1186">
        <v>4</v>
      </c>
      <c r="H292" s="1186">
        <v>192266</v>
      </c>
    </row>
    <row r="293" spans="1:8" x14ac:dyDescent="0.2">
      <c r="A293" s="1186" t="s">
        <v>343</v>
      </c>
      <c r="B293" s="1186" t="s">
        <v>144</v>
      </c>
      <c r="C293" s="1186">
        <v>4</v>
      </c>
      <c r="D293" s="1186" t="s">
        <v>850</v>
      </c>
      <c r="E293" s="1186">
        <v>2</v>
      </c>
      <c r="F293" s="1186">
        <v>2015</v>
      </c>
      <c r="G293" s="1186">
        <v>4</v>
      </c>
      <c r="H293" s="1186">
        <v>192266</v>
      </c>
    </row>
    <row r="294" spans="1:8" x14ac:dyDescent="0.2">
      <c r="A294" s="1186" t="s">
        <v>342</v>
      </c>
      <c r="B294" s="1186" t="s">
        <v>144</v>
      </c>
      <c r="C294" s="1186">
        <v>4</v>
      </c>
      <c r="D294" s="1186" t="s">
        <v>828</v>
      </c>
      <c r="E294" s="1186">
        <v>2</v>
      </c>
      <c r="F294" s="1186">
        <v>2015</v>
      </c>
      <c r="G294" s="1186">
        <v>4</v>
      </c>
      <c r="H294" s="1186">
        <v>192266</v>
      </c>
    </row>
    <row r="295" spans="1:8" x14ac:dyDescent="0.2">
      <c r="A295" s="1186" t="s">
        <v>343</v>
      </c>
      <c r="B295" s="1186" t="s">
        <v>282</v>
      </c>
      <c r="C295" s="1186">
        <v>4</v>
      </c>
      <c r="D295" s="1186" t="s">
        <v>850</v>
      </c>
      <c r="E295" s="1186">
        <v>4</v>
      </c>
      <c r="F295" s="1186">
        <v>2016</v>
      </c>
      <c r="G295" s="1186">
        <v>4</v>
      </c>
      <c r="H295" s="1186">
        <v>192175</v>
      </c>
    </row>
    <row r="296" spans="1:8" x14ac:dyDescent="0.2">
      <c r="A296" s="1186" t="s">
        <v>343</v>
      </c>
      <c r="B296" s="1186" t="s">
        <v>282</v>
      </c>
      <c r="C296" s="1186">
        <v>4</v>
      </c>
      <c r="D296" s="1186" t="s">
        <v>828</v>
      </c>
      <c r="E296" s="1186">
        <v>32</v>
      </c>
      <c r="F296" s="1186">
        <v>2016</v>
      </c>
      <c r="G296" s="1186">
        <v>4</v>
      </c>
      <c r="H296" s="1186">
        <v>192175</v>
      </c>
    </row>
    <row r="297" spans="1:8" x14ac:dyDescent="0.2">
      <c r="A297" s="1186" t="s">
        <v>341</v>
      </c>
      <c r="B297" s="1186" t="s">
        <v>282</v>
      </c>
      <c r="C297" s="1186">
        <v>4</v>
      </c>
      <c r="D297" s="1186" t="s">
        <v>850</v>
      </c>
      <c r="E297" s="1186">
        <v>4</v>
      </c>
      <c r="F297" s="1186">
        <v>2016</v>
      </c>
      <c r="G297" s="1186">
        <v>4</v>
      </c>
      <c r="H297" s="1186">
        <v>192175</v>
      </c>
    </row>
    <row r="298" spans="1:8" x14ac:dyDescent="0.2">
      <c r="A298" s="1186" t="s">
        <v>341</v>
      </c>
      <c r="B298" s="1186" t="s">
        <v>282</v>
      </c>
      <c r="C298" s="1186">
        <v>4</v>
      </c>
      <c r="D298" s="1186" t="s">
        <v>828</v>
      </c>
      <c r="E298" s="1186">
        <v>21</v>
      </c>
      <c r="F298" s="1186">
        <v>2016</v>
      </c>
      <c r="G298" s="1186">
        <v>4</v>
      </c>
      <c r="H298" s="1186">
        <v>192175</v>
      </c>
    </row>
    <row r="299" spans="1:8" x14ac:dyDescent="0.2">
      <c r="A299" s="1186" t="s">
        <v>343</v>
      </c>
      <c r="B299" s="1186" t="s">
        <v>311</v>
      </c>
      <c r="C299" s="1186">
        <v>4</v>
      </c>
      <c r="D299" s="1186" t="s">
        <v>851</v>
      </c>
      <c r="E299" s="1186">
        <v>2</v>
      </c>
      <c r="F299" s="1186">
        <v>2017</v>
      </c>
      <c r="G299" s="1186">
        <v>4</v>
      </c>
      <c r="H299" s="1186">
        <v>191497</v>
      </c>
    </row>
    <row r="300" spans="1:8" x14ac:dyDescent="0.2">
      <c r="A300" s="1186" t="s">
        <v>341</v>
      </c>
      <c r="B300" s="1186" t="s">
        <v>311</v>
      </c>
      <c r="C300" s="1186">
        <v>4</v>
      </c>
      <c r="D300" s="1186" t="s">
        <v>850</v>
      </c>
      <c r="E300" s="1186">
        <v>1</v>
      </c>
      <c r="F300" s="1186">
        <v>2017</v>
      </c>
      <c r="G300" s="1186">
        <v>4</v>
      </c>
      <c r="H300" s="1186">
        <v>191497</v>
      </c>
    </row>
    <row r="301" spans="1:8" x14ac:dyDescent="0.2">
      <c r="A301" s="1186" t="s">
        <v>343</v>
      </c>
      <c r="B301" s="1186" t="s">
        <v>311</v>
      </c>
      <c r="C301" s="1186">
        <v>4</v>
      </c>
      <c r="D301" s="1186" t="s">
        <v>828</v>
      </c>
      <c r="E301" s="1186">
        <v>24</v>
      </c>
      <c r="F301" s="1186">
        <v>2017</v>
      </c>
      <c r="G301" s="1186">
        <v>4</v>
      </c>
      <c r="H301" s="1186">
        <v>191497</v>
      </c>
    </row>
    <row r="302" spans="1:8" x14ac:dyDescent="0.2">
      <c r="A302" s="1186" t="s">
        <v>343</v>
      </c>
      <c r="B302" s="1186" t="s">
        <v>311</v>
      </c>
      <c r="C302" s="1186">
        <v>4</v>
      </c>
      <c r="D302" s="1186" t="s">
        <v>850</v>
      </c>
      <c r="E302" s="1186">
        <v>1</v>
      </c>
      <c r="F302" s="1186">
        <v>2017</v>
      </c>
      <c r="G302" s="1186">
        <v>4</v>
      </c>
      <c r="H302" s="1186">
        <v>191497</v>
      </c>
    </row>
    <row r="303" spans="1:8" x14ac:dyDescent="0.2">
      <c r="A303" s="1186" t="s">
        <v>342</v>
      </c>
      <c r="B303" s="1186" t="s">
        <v>311</v>
      </c>
      <c r="C303" s="1186">
        <v>4</v>
      </c>
      <c r="D303" s="1186" t="s">
        <v>852</v>
      </c>
      <c r="E303" s="1186">
        <v>1</v>
      </c>
      <c r="F303" s="1186">
        <v>2017</v>
      </c>
      <c r="G303" s="1186">
        <v>4</v>
      </c>
      <c r="H303" s="1186">
        <v>191497</v>
      </c>
    </row>
    <row r="304" spans="1:8" x14ac:dyDescent="0.2">
      <c r="A304" s="1186" t="s">
        <v>342</v>
      </c>
      <c r="B304" s="1186" t="s">
        <v>311</v>
      </c>
      <c r="C304" s="1186">
        <v>4</v>
      </c>
      <c r="D304" s="1186" t="s">
        <v>828</v>
      </c>
      <c r="E304" s="1186">
        <v>4</v>
      </c>
      <c r="F304" s="1186">
        <v>2017</v>
      </c>
      <c r="G304" s="1186">
        <v>4</v>
      </c>
      <c r="H304" s="1186">
        <v>191497</v>
      </c>
    </row>
    <row r="305" spans="1:8" x14ac:dyDescent="0.2">
      <c r="A305" s="1186" t="s">
        <v>341</v>
      </c>
      <c r="B305" s="1186" t="s">
        <v>311</v>
      </c>
      <c r="C305" s="1186">
        <v>4</v>
      </c>
      <c r="D305" s="1186" t="s">
        <v>828</v>
      </c>
      <c r="E305" s="1186">
        <v>16</v>
      </c>
      <c r="F305" s="1186">
        <v>2017</v>
      </c>
      <c r="G305" s="1186">
        <v>4</v>
      </c>
      <c r="H305" s="1186">
        <v>191497</v>
      </c>
    </row>
    <row r="306" spans="1:8" x14ac:dyDescent="0.2">
      <c r="A306" s="1186" t="s">
        <v>342</v>
      </c>
      <c r="B306" s="1186" t="s">
        <v>621</v>
      </c>
      <c r="C306" s="1186">
        <v>4</v>
      </c>
      <c r="D306" s="1186" t="s">
        <v>828</v>
      </c>
      <c r="E306" s="1186">
        <v>4</v>
      </c>
      <c r="F306" s="1186">
        <v>2018</v>
      </c>
      <c r="G306" s="1186">
        <v>4</v>
      </c>
      <c r="H306" s="1186">
        <v>191207</v>
      </c>
    </row>
    <row r="307" spans="1:8" x14ac:dyDescent="0.2">
      <c r="A307" s="1186" t="s">
        <v>343</v>
      </c>
      <c r="B307" s="1186" t="s">
        <v>621</v>
      </c>
      <c r="C307" s="1186">
        <v>4</v>
      </c>
      <c r="D307" s="1186" t="s">
        <v>851</v>
      </c>
      <c r="E307" s="1186">
        <v>1</v>
      </c>
      <c r="F307" s="1186">
        <v>2018</v>
      </c>
      <c r="G307" s="1186">
        <v>4</v>
      </c>
      <c r="H307" s="1186">
        <v>191207</v>
      </c>
    </row>
    <row r="308" spans="1:8" x14ac:dyDescent="0.2">
      <c r="A308" s="1186" t="s">
        <v>343</v>
      </c>
      <c r="B308" s="1186" t="s">
        <v>621</v>
      </c>
      <c r="C308" s="1186">
        <v>4</v>
      </c>
      <c r="D308" s="1186" t="s">
        <v>850</v>
      </c>
      <c r="E308" s="1186">
        <v>1</v>
      </c>
      <c r="F308" s="1186">
        <v>2018</v>
      </c>
      <c r="G308" s="1186">
        <v>4</v>
      </c>
      <c r="H308" s="1186">
        <v>191207</v>
      </c>
    </row>
    <row r="309" spans="1:8" x14ac:dyDescent="0.2">
      <c r="A309" s="1186" t="s">
        <v>341</v>
      </c>
      <c r="B309" s="1186" t="s">
        <v>621</v>
      </c>
      <c r="C309" s="1186">
        <v>4</v>
      </c>
      <c r="D309" s="1186" t="s">
        <v>852</v>
      </c>
      <c r="E309" s="1186">
        <v>1</v>
      </c>
      <c r="F309" s="1186">
        <v>2018</v>
      </c>
      <c r="G309" s="1186">
        <v>4</v>
      </c>
      <c r="H309" s="1186">
        <v>191207</v>
      </c>
    </row>
    <row r="310" spans="1:8" x14ac:dyDescent="0.2">
      <c r="A310" s="1186" t="s">
        <v>343</v>
      </c>
      <c r="B310" s="1186" t="s">
        <v>621</v>
      </c>
      <c r="C310" s="1186">
        <v>4</v>
      </c>
      <c r="D310" s="1186" t="s">
        <v>828</v>
      </c>
      <c r="E310" s="1186">
        <v>28</v>
      </c>
      <c r="F310" s="1186">
        <v>2018</v>
      </c>
      <c r="G310" s="1186">
        <v>4</v>
      </c>
      <c r="H310" s="1186">
        <v>191207</v>
      </c>
    </row>
    <row r="311" spans="1:8" x14ac:dyDescent="0.2">
      <c r="A311" s="1186" t="s">
        <v>341</v>
      </c>
      <c r="B311" s="1186" t="s">
        <v>621</v>
      </c>
      <c r="C311" s="1186">
        <v>4</v>
      </c>
      <c r="D311" s="1186" t="s">
        <v>828</v>
      </c>
      <c r="E311" s="1186">
        <v>25</v>
      </c>
      <c r="F311" s="1186">
        <v>2018</v>
      </c>
      <c r="G311" s="1186">
        <v>4</v>
      </c>
      <c r="H311" s="1186">
        <v>191207</v>
      </c>
    </row>
    <row r="312" spans="1:8" x14ac:dyDescent="0.2">
      <c r="A312" s="1186" t="s">
        <v>341</v>
      </c>
      <c r="B312" s="1186" t="s">
        <v>621</v>
      </c>
      <c r="C312" s="1186">
        <v>4</v>
      </c>
      <c r="D312" s="1186" t="s">
        <v>850</v>
      </c>
      <c r="E312" s="1186">
        <v>1</v>
      </c>
      <c r="F312" s="1186">
        <v>2018</v>
      </c>
      <c r="G312" s="1186">
        <v>4</v>
      </c>
      <c r="H312" s="1186">
        <v>191207</v>
      </c>
    </row>
    <row r="313" spans="1:8" x14ac:dyDescent="0.2">
      <c r="A313" s="1186" t="s">
        <v>343</v>
      </c>
      <c r="B313" s="1186" t="s">
        <v>621</v>
      </c>
      <c r="C313" s="1186">
        <v>4</v>
      </c>
      <c r="D313" s="1186" t="s">
        <v>852</v>
      </c>
      <c r="E313" s="1186">
        <v>1</v>
      </c>
      <c r="F313" s="1186">
        <v>2018</v>
      </c>
      <c r="G313" s="1186">
        <v>4</v>
      </c>
      <c r="H313" s="1186">
        <v>191207</v>
      </c>
    </row>
    <row r="314" spans="1:8" x14ac:dyDescent="0.2">
      <c r="A314" s="1186" t="s">
        <v>341</v>
      </c>
      <c r="B314" s="1186" t="s">
        <v>621</v>
      </c>
      <c r="C314" s="1186">
        <v>4</v>
      </c>
      <c r="D314" s="1186" t="s">
        <v>851</v>
      </c>
      <c r="E314" s="1186">
        <v>1</v>
      </c>
      <c r="F314" s="1186">
        <v>2018</v>
      </c>
      <c r="G314" s="1186">
        <v>4</v>
      </c>
      <c r="H314" s="1186">
        <v>191207</v>
      </c>
    </row>
    <row r="315" spans="1:8" x14ac:dyDescent="0.2">
      <c r="A315" s="1186" t="s">
        <v>341</v>
      </c>
      <c r="B315" s="1186" t="s">
        <v>1419</v>
      </c>
      <c r="C315" s="1186">
        <v>4</v>
      </c>
      <c r="D315" s="1186" t="s">
        <v>850</v>
      </c>
      <c r="E315" s="1186">
        <v>2</v>
      </c>
      <c r="F315" s="1186">
        <v>2019</v>
      </c>
      <c r="G315" s="1186">
        <v>4</v>
      </c>
      <c r="H315" s="1186">
        <v>191028</v>
      </c>
    </row>
    <row r="316" spans="1:8" x14ac:dyDescent="0.2">
      <c r="A316" s="1186" t="s">
        <v>341</v>
      </c>
      <c r="B316" s="1186" t="s">
        <v>1419</v>
      </c>
      <c r="C316" s="1186">
        <v>4</v>
      </c>
      <c r="D316" s="1186" t="s">
        <v>828</v>
      </c>
      <c r="E316" s="1186">
        <v>21</v>
      </c>
      <c r="F316" s="1186">
        <v>2019</v>
      </c>
      <c r="G316" s="1186">
        <v>4</v>
      </c>
      <c r="H316" s="1186">
        <v>191028</v>
      </c>
    </row>
    <row r="317" spans="1:8" x14ac:dyDescent="0.2">
      <c r="A317" s="1186" t="s">
        <v>342</v>
      </c>
      <c r="B317" s="1186" t="s">
        <v>1419</v>
      </c>
      <c r="C317" s="1186">
        <v>4</v>
      </c>
      <c r="D317" s="1186" t="s">
        <v>828</v>
      </c>
      <c r="E317" s="1186">
        <v>1</v>
      </c>
      <c r="F317" s="1186">
        <v>2019</v>
      </c>
      <c r="G317" s="1186">
        <v>4</v>
      </c>
      <c r="H317" s="1186">
        <v>191028</v>
      </c>
    </row>
    <row r="318" spans="1:8" x14ac:dyDescent="0.2">
      <c r="A318" s="1186" t="s">
        <v>343</v>
      </c>
      <c r="B318" s="1186" t="s">
        <v>1419</v>
      </c>
      <c r="C318" s="1186">
        <v>4</v>
      </c>
      <c r="D318" s="1186" t="s">
        <v>850</v>
      </c>
      <c r="E318" s="1186">
        <v>3</v>
      </c>
      <c r="F318" s="1186">
        <v>2019</v>
      </c>
      <c r="G318" s="1186">
        <v>4</v>
      </c>
      <c r="H318" s="1186">
        <v>191028</v>
      </c>
    </row>
    <row r="319" spans="1:8" x14ac:dyDescent="0.2">
      <c r="A319" s="1186" t="s">
        <v>343</v>
      </c>
      <c r="B319" s="1186" t="s">
        <v>1419</v>
      </c>
      <c r="C319" s="1186">
        <v>4</v>
      </c>
      <c r="D319" s="1186" t="s">
        <v>851</v>
      </c>
      <c r="E319" s="1186">
        <v>2</v>
      </c>
      <c r="F319" s="1186">
        <v>2019</v>
      </c>
      <c r="G319" s="1186">
        <v>4</v>
      </c>
      <c r="H319" s="1186">
        <v>191028</v>
      </c>
    </row>
    <row r="320" spans="1:8" x14ac:dyDescent="0.2">
      <c r="A320" s="1186" t="s">
        <v>343</v>
      </c>
      <c r="B320" s="1186" t="s">
        <v>1419</v>
      </c>
      <c r="C320" s="1186">
        <v>4</v>
      </c>
      <c r="D320" s="1186" t="s">
        <v>828</v>
      </c>
      <c r="E320" s="1186">
        <v>27</v>
      </c>
      <c r="F320" s="1186">
        <v>2019</v>
      </c>
      <c r="G320" s="1186">
        <v>4</v>
      </c>
      <c r="H320" s="1186">
        <v>191028</v>
      </c>
    </row>
    <row r="321" spans="1:8" x14ac:dyDescent="0.2">
      <c r="A321" s="1186" t="s">
        <v>341</v>
      </c>
      <c r="B321" s="1186" t="s">
        <v>1419</v>
      </c>
      <c r="C321" s="1186">
        <v>4</v>
      </c>
      <c r="D321" s="1186" t="s">
        <v>851</v>
      </c>
      <c r="E321" s="1186">
        <v>2</v>
      </c>
      <c r="F321" s="1186">
        <v>2019</v>
      </c>
      <c r="G321" s="1186">
        <v>4</v>
      </c>
      <c r="H321" s="1186">
        <v>191028</v>
      </c>
    </row>
    <row r="322" spans="1:8" x14ac:dyDescent="0.2">
      <c r="A322" s="1186" t="s">
        <v>341</v>
      </c>
      <c r="B322" s="1186" t="s">
        <v>1572</v>
      </c>
      <c r="C322" s="1186">
        <v>4</v>
      </c>
      <c r="D322" s="1186" t="s">
        <v>850</v>
      </c>
      <c r="E322" s="1186">
        <v>5</v>
      </c>
      <c r="F322" s="1186">
        <v>2020</v>
      </c>
      <c r="G322" s="1186">
        <v>4</v>
      </c>
      <c r="H322" s="1186">
        <v>189997</v>
      </c>
    </row>
    <row r="323" spans="1:8" x14ac:dyDescent="0.2">
      <c r="A323" s="1186" t="s">
        <v>341</v>
      </c>
      <c r="B323" s="1186" t="s">
        <v>1572</v>
      </c>
      <c r="C323" s="1186">
        <v>4</v>
      </c>
      <c r="D323" s="1186" t="s">
        <v>828</v>
      </c>
      <c r="E323" s="1186">
        <v>19</v>
      </c>
      <c r="F323" s="1186">
        <v>2020</v>
      </c>
      <c r="G323" s="1186">
        <v>4</v>
      </c>
      <c r="H323" s="1186">
        <v>189997</v>
      </c>
    </row>
    <row r="324" spans="1:8" x14ac:dyDescent="0.2">
      <c r="A324" s="1186" t="s">
        <v>343</v>
      </c>
      <c r="B324" s="1186" t="s">
        <v>1572</v>
      </c>
      <c r="C324" s="1186">
        <v>4</v>
      </c>
      <c r="D324" s="1186" t="s">
        <v>852</v>
      </c>
      <c r="E324" s="1186">
        <v>1</v>
      </c>
      <c r="F324" s="1186">
        <v>2020</v>
      </c>
      <c r="G324" s="1186">
        <v>4</v>
      </c>
      <c r="H324" s="1186">
        <v>189997</v>
      </c>
    </row>
    <row r="325" spans="1:8" x14ac:dyDescent="0.2">
      <c r="A325" s="1186" t="s">
        <v>341</v>
      </c>
      <c r="B325" s="1186" t="s">
        <v>1572</v>
      </c>
      <c r="C325" s="1186">
        <v>4</v>
      </c>
      <c r="D325" s="1186" t="s">
        <v>852</v>
      </c>
      <c r="E325" s="1186">
        <v>1</v>
      </c>
      <c r="F325" s="1186">
        <v>2020</v>
      </c>
      <c r="G325" s="1186">
        <v>4</v>
      </c>
      <c r="H325" s="1186">
        <v>189997</v>
      </c>
    </row>
    <row r="326" spans="1:8" x14ac:dyDescent="0.2">
      <c r="A326" s="1186" t="s">
        <v>343</v>
      </c>
      <c r="B326" s="1186" t="s">
        <v>1572</v>
      </c>
      <c r="C326" s="1186">
        <v>4</v>
      </c>
      <c r="D326" s="1186" t="s">
        <v>850</v>
      </c>
      <c r="E326" s="1186">
        <v>5</v>
      </c>
      <c r="F326" s="1186">
        <v>2020</v>
      </c>
      <c r="G326" s="1186">
        <v>4</v>
      </c>
      <c r="H326" s="1186">
        <v>189997</v>
      </c>
    </row>
    <row r="327" spans="1:8" x14ac:dyDescent="0.2">
      <c r="A327" s="1186" t="s">
        <v>343</v>
      </c>
      <c r="B327" s="1186" t="s">
        <v>1572</v>
      </c>
      <c r="C327" s="1186">
        <v>4</v>
      </c>
      <c r="D327" s="1186" t="s">
        <v>828</v>
      </c>
      <c r="E327" s="1186">
        <v>27</v>
      </c>
      <c r="F327" s="1186">
        <v>2020</v>
      </c>
      <c r="G327" s="1186">
        <v>4</v>
      </c>
      <c r="H327" s="1186">
        <v>189997</v>
      </c>
    </row>
    <row r="328" spans="1:8" x14ac:dyDescent="0.2">
      <c r="A328" s="1186" t="s">
        <v>343</v>
      </c>
      <c r="B328" s="1186" t="s">
        <v>15</v>
      </c>
      <c r="C328" s="1186">
        <v>5</v>
      </c>
      <c r="D328" s="1186" t="s">
        <v>852</v>
      </c>
      <c r="E328" s="1186">
        <v>3</v>
      </c>
      <c r="F328" s="1186">
        <v>2012</v>
      </c>
      <c r="G328" s="1186">
        <v>5</v>
      </c>
      <c r="H328" s="1186">
        <v>576605</v>
      </c>
    </row>
    <row r="329" spans="1:8" x14ac:dyDescent="0.2">
      <c r="A329" s="1186" t="s">
        <v>343</v>
      </c>
      <c r="B329" s="1186" t="s">
        <v>15</v>
      </c>
      <c r="C329" s="1186">
        <v>5</v>
      </c>
      <c r="D329" s="1186" t="s">
        <v>850</v>
      </c>
      <c r="E329" s="1186">
        <v>8</v>
      </c>
      <c r="F329" s="1186">
        <v>2012</v>
      </c>
      <c r="G329" s="1186">
        <v>5</v>
      </c>
      <c r="H329" s="1186">
        <v>576605</v>
      </c>
    </row>
    <row r="330" spans="1:8" x14ac:dyDescent="0.2">
      <c r="A330" s="1186" t="s">
        <v>343</v>
      </c>
      <c r="B330" s="1186" t="s">
        <v>15</v>
      </c>
      <c r="C330" s="1186">
        <v>5</v>
      </c>
      <c r="D330" s="1186" t="s">
        <v>828</v>
      </c>
      <c r="E330" s="1186">
        <v>69</v>
      </c>
      <c r="F330" s="1186">
        <v>2012</v>
      </c>
      <c r="G330" s="1186">
        <v>5</v>
      </c>
      <c r="H330" s="1186">
        <v>576605</v>
      </c>
    </row>
    <row r="331" spans="1:8" x14ac:dyDescent="0.2">
      <c r="A331" s="1186" t="s">
        <v>341</v>
      </c>
      <c r="B331" s="1186" t="s">
        <v>15</v>
      </c>
      <c r="C331" s="1186">
        <v>5</v>
      </c>
      <c r="D331" s="1186" t="s">
        <v>851</v>
      </c>
      <c r="E331" s="1186">
        <v>19</v>
      </c>
      <c r="F331" s="1186">
        <v>2012</v>
      </c>
      <c r="G331" s="1186">
        <v>5</v>
      </c>
      <c r="H331" s="1186">
        <v>576605</v>
      </c>
    </row>
    <row r="332" spans="1:8" x14ac:dyDescent="0.2">
      <c r="A332" s="1186" t="s">
        <v>343</v>
      </c>
      <c r="B332" s="1186" t="s">
        <v>15</v>
      </c>
      <c r="C332" s="1186">
        <v>5</v>
      </c>
      <c r="D332" s="1186" t="s">
        <v>851</v>
      </c>
      <c r="E332" s="1186">
        <v>20</v>
      </c>
      <c r="F332" s="1186">
        <v>2012</v>
      </c>
      <c r="G332" s="1186">
        <v>5</v>
      </c>
      <c r="H332" s="1186">
        <v>576605</v>
      </c>
    </row>
    <row r="333" spans="1:8" x14ac:dyDescent="0.2">
      <c r="A333" s="1186" t="s">
        <v>341</v>
      </c>
      <c r="B333" s="1186" t="s">
        <v>15</v>
      </c>
      <c r="C333" s="1186">
        <v>5</v>
      </c>
      <c r="D333" s="1186" t="s">
        <v>850</v>
      </c>
      <c r="E333" s="1186">
        <v>4</v>
      </c>
      <c r="F333" s="1186">
        <v>2012</v>
      </c>
      <c r="G333" s="1186">
        <v>5</v>
      </c>
      <c r="H333" s="1186">
        <v>576605</v>
      </c>
    </row>
    <row r="334" spans="1:8" x14ac:dyDescent="0.2">
      <c r="A334" s="1186" t="s">
        <v>342</v>
      </c>
      <c r="B334" s="1186" t="s">
        <v>15</v>
      </c>
      <c r="C334" s="1186">
        <v>5</v>
      </c>
      <c r="D334" s="1186" t="s">
        <v>828</v>
      </c>
      <c r="E334" s="1186">
        <v>5</v>
      </c>
      <c r="F334" s="1186">
        <v>2012</v>
      </c>
      <c r="G334" s="1186">
        <v>5</v>
      </c>
      <c r="H334" s="1186">
        <v>576605</v>
      </c>
    </row>
    <row r="335" spans="1:8" x14ac:dyDescent="0.2">
      <c r="A335" s="1186" t="s">
        <v>341</v>
      </c>
      <c r="B335" s="1186" t="s">
        <v>15</v>
      </c>
      <c r="C335" s="1186">
        <v>5</v>
      </c>
      <c r="D335" s="1186" t="s">
        <v>852</v>
      </c>
      <c r="E335" s="1186">
        <v>3</v>
      </c>
      <c r="F335" s="1186">
        <v>2012</v>
      </c>
      <c r="G335" s="1186">
        <v>5</v>
      </c>
      <c r="H335" s="1186">
        <v>576605</v>
      </c>
    </row>
    <row r="336" spans="1:8" x14ac:dyDescent="0.2">
      <c r="A336" s="1186" t="s">
        <v>341</v>
      </c>
      <c r="B336" s="1186" t="s">
        <v>15</v>
      </c>
      <c r="C336" s="1186">
        <v>5</v>
      </c>
      <c r="D336" s="1186" t="s">
        <v>828</v>
      </c>
      <c r="E336" s="1186">
        <v>61</v>
      </c>
      <c r="F336" s="1186">
        <v>2012</v>
      </c>
      <c r="G336" s="1186">
        <v>5</v>
      </c>
      <c r="H336" s="1186">
        <v>576605</v>
      </c>
    </row>
    <row r="337" spans="1:8" x14ac:dyDescent="0.2">
      <c r="A337" s="1186" t="s">
        <v>342</v>
      </c>
      <c r="B337" s="1186" t="s">
        <v>15</v>
      </c>
      <c r="C337" s="1186">
        <v>5</v>
      </c>
      <c r="D337" s="1186" t="s">
        <v>851</v>
      </c>
      <c r="E337" s="1186">
        <v>2</v>
      </c>
      <c r="F337" s="1186">
        <v>2012</v>
      </c>
      <c r="G337" s="1186">
        <v>5</v>
      </c>
      <c r="H337" s="1186">
        <v>576605</v>
      </c>
    </row>
    <row r="338" spans="1:8" x14ac:dyDescent="0.2">
      <c r="A338" s="1186" t="s">
        <v>341</v>
      </c>
      <c r="B338" s="1186" t="s">
        <v>17</v>
      </c>
      <c r="C338" s="1186">
        <v>5</v>
      </c>
      <c r="D338" s="1186" t="s">
        <v>850</v>
      </c>
      <c r="E338" s="1186">
        <v>11</v>
      </c>
      <c r="F338" s="1186">
        <v>2013</v>
      </c>
      <c r="G338" s="1186">
        <v>5</v>
      </c>
      <c r="H338" s="1186">
        <v>580159</v>
      </c>
    </row>
    <row r="339" spans="1:8" x14ac:dyDescent="0.2">
      <c r="A339" s="1186" t="s">
        <v>343</v>
      </c>
      <c r="B339" s="1186" t="s">
        <v>17</v>
      </c>
      <c r="C339" s="1186">
        <v>5</v>
      </c>
      <c r="D339" s="1186" t="s">
        <v>828</v>
      </c>
      <c r="E339" s="1186">
        <v>72</v>
      </c>
      <c r="F339" s="1186">
        <v>2013</v>
      </c>
      <c r="G339" s="1186">
        <v>5</v>
      </c>
      <c r="H339" s="1186">
        <v>580159</v>
      </c>
    </row>
    <row r="340" spans="1:8" x14ac:dyDescent="0.2">
      <c r="A340" s="1186" t="s">
        <v>341</v>
      </c>
      <c r="B340" s="1186" t="s">
        <v>17</v>
      </c>
      <c r="C340" s="1186">
        <v>5</v>
      </c>
      <c r="D340" s="1186" t="s">
        <v>851</v>
      </c>
      <c r="E340" s="1186">
        <v>25</v>
      </c>
      <c r="F340" s="1186">
        <v>2013</v>
      </c>
      <c r="G340" s="1186">
        <v>5</v>
      </c>
      <c r="H340" s="1186">
        <v>580159</v>
      </c>
    </row>
    <row r="341" spans="1:8" x14ac:dyDescent="0.2">
      <c r="A341" s="1186" t="s">
        <v>343</v>
      </c>
      <c r="B341" s="1186" t="s">
        <v>17</v>
      </c>
      <c r="C341" s="1186">
        <v>5</v>
      </c>
      <c r="D341" s="1186" t="s">
        <v>852</v>
      </c>
      <c r="E341" s="1186">
        <v>8</v>
      </c>
      <c r="F341" s="1186">
        <v>2013</v>
      </c>
      <c r="G341" s="1186">
        <v>5</v>
      </c>
      <c r="H341" s="1186">
        <v>580159</v>
      </c>
    </row>
    <row r="342" spans="1:8" x14ac:dyDescent="0.2">
      <c r="A342" s="1186" t="s">
        <v>343</v>
      </c>
      <c r="B342" s="1186" t="s">
        <v>17</v>
      </c>
      <c r="C342" s="1186">
        <v>5</v>
      </c>
      <c r="D342" s="1186" t="s">
        <v>851</v>
      </c>
      <c r="E342" s="1186">
        <v>25</v>
      </c>
      <c r="F342" s="1186">
        <v>2013</v>
      </c>
      <c r="G342" s="1186">
        <v>5</v>
      </c>
      <c r="H342" s="1186">
        <v>580159</v>
      </c>
    </row>
    <row r="343" spans="1:8" x14ac:dyDescent="0.2">
      <c r="A343" s="1186" t="s">
        <v>342</v>
      </c>
      <c r="B343" s="1186" t="s">
        <v>17</v>
      </c>
      <c r="C343" s="1186">
        <v>5</v>
      </c>
      <c r="D343" s="1186" t="s">
        <v>828</v>
      </c>
      <c r="E343" s="1186">
        <v>5</v>
      </c>
      <c r="F343" s="1186">
        <v>2013</v>
      </c>
      <c r="G343" s="1186">
        <v>5</v>
      </c>
      <c r="H343" s="1186">
        <v>580159</v>
      </c>
    </row>
    <row r="344" spans="1:8" x14ac:dyDescent="0.2">
      <c r="A344" s="1186" t="s">
        <v>341</v>
      </c>
      <c r="B344" s="1186" t="s">
        <v>17</v>
      </c>
      <c r="C344" s="1186">
        <v>5</v>
      </c>
      <c r="D344" s="1186" t="s">
        <v>828</v>
      </c>
      <c r="E344" s="1186">
        <v>62</v>
      </c>
      <c r="F344" s="1186">
        <v>2013</v>
      </c>
      <c r="G344" s="1186">
        <v>5</v>
      </c>
      <c r="H344" s="1186">
        <v>580159</v>
      </c>
    </row>
    <row r="345" spans="1:8" x14ac:dyDescent="0.2">
      <c r="A345" s="1186" t="s">
        <v>341</v>
      </c>
      <c r="B345" s="1186" t="s">
        <v>17</v>
      </c>
      <c r="C345" s="1186">
        <v>5</v>
      </c>
      <c r="D345" s="1186" t="s">
        <v>852</v>
      </c>
      <c r="E345" s="1186">
        <v>5</v>
      </c>
      <c r="F345" s="1186">
        <v>2013</v>
      </c>
      <c r="G345" s="1186">
        <v>5</v>
      </c>
      <c r="H345" s="1186">
        <v>580159</v>
      </c>
    </row>
    <row r="346" spans="1:8" x14ac:dyDescent="0.2">
      <c r="A346" s="1186" t="s">
        <v>343</v>
      </c>
      <c r="B346" s="1186" t="s">
        <v>17</v>
      </c>
      <c r="C346" s="1186">
        <v>5</v>
      </c>
      <c r="D346" s="1186" t="s">
        <v>850</v>
      </c>
      <c r="E346" s="1186">
        <v>11</v>
      </c>
      <c r="F346" s="1186">
        <v>2013</v>
      </c>
      <c r="G346" s="1186">
        <v>5</v>
      </c>
      <c r="H346" s="1186">
        <v>580159</v>
      </c>
    </row>
    <row r="347" spans="1:8" x14ac:dyDescent="0.2">
      <c r="A347" s="1186" t="s">
        <v>342</v>
      </c>
      <c r="B347" s="1186" t="s">
        <v>17</v>
      </c>
      <c r="C347" s="1186">
        <v>5</v>
      </c>
      <c r="D347" s="1186" t="s">
        <v>851</v>
      </c>
      <c r="E347" s="1186">
        <v>1</v>
      </c>
      <c r="F347" s="1186">
        <v>2013</v>
      </c>
      <c r="G347" s="1186">
        <v>5</v>
      </c>
      <c r="H347" s="1186">
        <v>580159</v>
      </c>
    </row>
    <row r="348" spans="1:8" x14ac:dyDescent="0.2">
      <c r="A348" s="1186" t="s">
        <v>341</v>
      </c>
      <c r="B348" s="1186" t="s">
        <v>133</v>
      </c>
      <c r="C348" s="1186">
        <v>5</v>
      </c>
      <c r="D348" s="1186" t="s">
        <v>828</v>
      </c>
      <c r="E348" s="1186">
        <v>42</v>
      </c>
      <c r="F348" s="1186">
        <v>2014</v>
      </c>
      <c r="G348" s="1186">
        <v>5</v>
      </c>
      <c r="H348" s="1186">
        <v>585566</v>
      </c>
    </row>
    <row r="349" spans="1:8" x14ac:dyDescent="0.2">
      <c r="A349" s="1186" t="s">
        <v>341</v>
      </c>
      <c r="B349" s="1186" t="s">
        <v>133</v>
      </c>
      <c r="C349" s="1186">
        <v>5</v>
      </c>
      <c r="D349" s="1186" t="s">
        <v>852</v>
      </c>
      <c r="E349" s="1186">
        <v>1</v>
      </c>
      <c r="F349" s="1186">
        <v>2014</v>
      </c>
      <c r="G349" s="1186">
        <v>5</v>
      </c>
      <c r="H349" s="1186">
        <v>585566</v>
      </c>
    </row>
    <row r="350" spans="1:8" x14ac:dyDescent="0.2">
      <c r="A350" s="1186" t="s">
        <v>342</v>
      </c>
      <c r="B350" s="1186" t="s">
        <v>133</v>
      </c>
      <c r="C350" s="1186">
        <v>5</v>
      </c>
      <c r="D350" s="1186" t="s">
        <v>828</v>
      </c>
      <c r="E350" s="1186">
        <v>4</v>
      </c>
      <c r="F350" s="1186">
        <v>2014</v>
      </c>
      <c r="G350" s="1186">
        <v>5</v>
      </c>
      <c r="H350" s="1186">
        <v>585566</v>
      </c>
    </row>
    <row r="351" spans="1:8" x14ac:dyDescent="0.2">
      <c r="A351" s="1186" t="s">
        <v>342</v>
      </c>
      <c r="B351" s="1186" t="s">
        <v>133</v>
      </c>
      <c r="C351" s="1186">
        <v>5</v>
      </c>
      <c r="D351" s="1186" t="s">
        <v>851</v>
      </c>
      <c r="E351" s="1186">
        <v>1</v>
      </c>
      <c r="F351" s="1186">
        <v>2014</v>
      </c>
      <c r="G351" s="1186">
        <v>5</v>
      </c>
      <c r="H351" s="1186">
        <v>585566</v>
      </c>
    </row>
    <row r="352" spans="1:8" x14ac:dyDescent="0.2">
      <c r="A352" s="1186" t="s">
        <v>342</v>
      </c>
      <c r="B352" s="1186" t="s">
        <v>133</v>
      </c>
      <c r="C352" s="1186">
        <v>5</v>
      </c>
      <c r="D352" s="1186" t="s">
        <v>852</v>
      </c>
      <c r="E352" s="1186">
        <v>1</v>
      </c>
      <c r="F352" s="1186">
        <v>2014</v>
      </c>
      <c r="G352" s="1186">
        <v>5</v>
      </c>
      <c r="H352" s="1186">
        <v>585566</v>
      </c>
    </row>
    <row r="353" spans="1:8" x14ac:dyDescent="0.2">
      <c r="A353" s="1186" t="s">
        <v>343</v>
      </c>
      <c r="B353" s="1186" t="s">
        <v>133</v>
      </c>
      <c r="C353" s="1186">
        <v>5</v>
      </c>
      <c r="D353" s="1186" t="s">
        <v>852</v>
      </c>
      <c r="E353" s="1186">
        <v>1</v>
      </c>
      <c r="F353" s="1186">
        <v>2014</v>
      </c>
      <c r="G353" s="1186">
        <v>5</v>
      </c>
      <c r="H353" s="1186">
        <v>585566</v>
      </c>
    </row>
    <row r="354" spans="1:8" x14ac:dyDescent="0.2">
      <c r="A354" s="1186" t="s">
        <v>343</v>
      </c>
      <c r="B354" s="1186" t="s">
        <v>133</v>
      </c>
      <c r="C354" s="1186">
        <v>5</v>
      </c>
      <c r="D354" s="1186" t="s">
        <v>851</v>
      </c>
      <c r="E354" s="1186">
        <v>10</v>
      </c>
      <c r="F354" s="1186">
        <v>2014</v>
      </c>
      <c r="G354" s="1186">
        <v>5</v>
      </c>
      <c r="H354" s="1186">
        <v>585566</v>
      </c>
    </row>
    <row r="355" spans="1:8" x14ac:dyDescent="0.2">
      <c r="A355" s="1186" t="s">
        <v>343</v>
      </c>
      <c r="B355" s="1186" t="s">
        <v>133</v>
      </c>
      <c r="C355" s="1186">
        <v>5</v>
      </c>
      <c r="D355" s="1186" t="s">
        <v>850</v>
      </c>
      <c r="E355" s="1186">
        <v>11</v>
      </c>
      <c r="F355" s="1186">
        <v>2014</v>
      </c>
      <c r="G355" s="1186">
        <v>5</v>
      </c>
      <c r="H355" s="1186">
        <v>585566</v>
      </c>
    </row>
    <row r="356" spans="1:8" x14ac:dyDescent="0.2">
      <c r="A356" s="1186" t="s">
        <v>343</v>
      </c>
      <c r="B356" s="1186" t="s">
        <v>133</v>
      </c>
      <c r="C356" s="1186">
        <v>5</v>
      </c>
      <c r="D356" s="1186" t="s">
        <v>828</v>
      </c>
      <c r="E356" s="1186">
        <v>49</v>
      </c>
      <c r="F356" s="1186">
        <v>2014</v>
      </c>
      <c r="G356" s="1186">
        <v>5</v>
      </c>
      <c r="H356" s="1186">
        <v>585566</v>
      </c>
    </row>
    <row r="357" spans="1:8" x14ac:dyDescent="0.2">
      <c r="A357" s="1186" t="s">
        <v>341</v>
      </c>
      <c r="B357" s="1186" t="s">
        <v>133</v>
      </c>
      <c r="C357" s="1186">
        <v>5</v>
      </c>
      <c r="D357" s="1186" t="s">
        <v>850</v>
      </c>
      <c r="E357" s="1186">
        <v>11</v>
      </c>
      <c r="F357" s="1186">
        <v>2014</v>
      </c>
      <c r="G357" s="1186">
        <v>5</v>
      </c>
      <c r="H357" s="1186">
        <v>585566</v>
      </c>
    </row>
    <row r="358" spans="1:8" x14ac:dyDescent="0.2">
      <c r="A358" s="1186" t="s">
        <v>341</v>
      </c>
      <c r="B358" s="1186" t="s">
        <v>133</v>
      </c>
      <c r="C358" s="1186">
        <v>5</v>
      </c>
      <c r="D358" s="1186" t="s">
        <v>851</v>
      </c>
      <c r="E358" s="1186">
        <v>10</v>
      </c>
      <c r="F358" s="1186">
        <v>2014</v>
      </c>
      <c r="G358" s="1186">
        <v>5</v>
      </c>
      <c r="H358" s="1186">
        <v>585566</v>
      </c>
    </row>
    <row r="359" spans="1:8" x14ac:dyDescent="0.2">
      <c r="A359" s="1186" t="s">
        <v>343</v>
      </c>
      <c r="B359" s="1186" t="s">
        <v>144</v>
      </c>
      <c r="C359" s="1186">
        <v>5</v>
      </c>
      <c r="D359" s="1186" t="s">
        <v>852</v>
      </c>
      <c r="E359" s="1186">
        <v>5</v>
      </c>
      <c r="F359" s="1186">
        <v>2015</v>
      </c>
      <c r="G359" s="1186">
        <v>5</v>
      </c>
      <c r="H359" s="1186">
        <v>591482</v>
      </c>
    </row>
    <row r="360" spans="1:8" x14ac:dyDescent="0.2">
      <c r="A360" s="1186" t="s">
        <v>343</v>
      </c>
      <c r="B360" s="1186" t="s">
        <v>144</v>
      </c>
      <c r="C360" s="1186">
        <v>5</v>
      </c>
      <c r="D360" s="1186" t="s">
        <v>851</v>
      </c>
      <c r="E360" s="1186">
        <v>20</v>
      </c>
      <c r="F360" s="1186">
        <v>2015</v>
      </c>
      <c r="G360" s="1186">
        <v>5</v>
      </c>
      <c r="H360" s="1186">
        <v>591482</v>
      </c>
    </row>
    <row r="361" spans="1:8" x14ac:dyDescent="0.2">
      <c r="A361" s="1186" t="s">
        <v>343</v>
      </c>
      <c r="B361" s="1186" t="s">
        <v>144</v>
      </c>
      <c r="C361" s="1186">
        <v>5</v>
      </c>
      <c r="D361" s="1186" t="s">
        <v>850</v>
      </c>
      <c r="E361" s="1186">
        <v>17</v>
      </c>
      <c r="F361" s="1186">
        <v>2015</v>
      </c>
      <c r="G361" s="1186">
        <v>5</v>
      </c>
      <c r="H361" s="1186">
        <v>591482</v>
      </c>
    </row>
    <row r="362" spans="1:8" x14ac:dyDescent="0.2">
      <c r="A362" s="1186" t="s">
        <v>343</v>
      </c>
      <c r="B362" s="1186" t="s">
        <v>144</v>
      </c>
      <c r="C362" s="1186">
        <v>5</v>
      </c>
      <c r="D362" s="1186" t="s">
        <v>828</v>
      </c>
      <c r="E362" s="1186">
        <v>51</v>
      </c>
      <c r="F362" s="1186">
        <v>2015</v>
      </c>
      <c r="G362" s="1186">
        <v>5</v>
      </c>
      <c r="H362" s="1186">
        <v>591482</v>
      </c>
    </row>
    <row r="363" spans="1:8" x14ac:dyDescent="0.2">
      <c r="A363" s="1186" t="s">
        <v>341</v>
      </c>
      <c r="B363" s="1186" t="s">
        <v>144</v>
      </c>
      <c r="C363" s="1186">
        <v>5</v>
      </c>
      <c r="D363" s="1186" t="s">
        <v>850</v>
      </c>
      <c r="E363" s="1186">
        <v>16</v>
      </c>
      <c r="F363" s="1186">
        <v>2015</v>
      </c>
      <c r="G363" s="1186">
        <v>5</v>
      </c>
      <c r="H363" s="1186">
        <v>591482</v>
      </c>
    </row>
    <row r="364" spans="1:8" x14ac:dyDescent="0.2">
      <c r="A364" s="1186" t="s">
        <v>341</v>
      </c>
      <c r="B364" s="1186" t="s">
        <v>144</v>
      </c>
      <c r="C364" s="1186">
        <v>5</v>
      </c>
      <c r="D364" s="1186" t="s">
        <v>851</v>
      </c>
      <c r="E364" s="1186">
        <v>19</v>
      </c>
      <c r="F364" s="1186">
        <v>2015</v>
      </c>
      <c r="G364" s="1186">
        <v>5</v>
      </c>
      <c r="H364" s="1186">
        <v>591482</v>
      </c>
    </row>
    <row r="365" spans="1:8" x14ac:dyDescent="0.2">
      <c r="A365" s="1186" t="s">
        <v>341</v>
      </c>
      <c r="B365" s="1186" t="s">
        <v>144</v>
      </c>
      <c r="C365" s="1186">
        <v>5</v>
      </c>
      <c r="D365" s="1186" t="s">
        <v>852</v>
      </c>
      <c r="E365" s="1186">
        <v>5</v>
      </c>
      <c r="F365" s="1186">
        <v>2015</v>
      </c>
      <c r="G365" s="1186">
        <v>5</v>
      </c>
      <c r="H365" s="1186">
        <v>591482</v>
      </c>
    </row>
    <row r="366" spans="1:8" x14ac:dyDescent="0.2">
      <c r="A366" s="1186" t="s">
        <v>342</v>
      </c>
      <c r="B366" s="1186" t="s">
        <v>144</v>
      </c>
      <c r="C366" s="1186">
        <v>5</v>
      </c>
      <c r="D366" s="1186" t="s">
        <v>851</v>
      </c>
      <c r="E366" s="1186">
        <v>2</v>
      </c>
      <c r="F366" s="1186">
        <v>2015</v>
      </c>
      <c r="G366" s="1186">
        <v>5</v>
      </c>
      <c r="H366" s="1186">
        <v>591482</v>
      </c>
    </row>
    <row r="367" spans="1:8" x14ac:dyDescent="0.2">
      <c r="A367" s="1186" t="s">
        <v>342</v>
      </c>
      <c r="B367" s="1186" t="s">
        <v>144</v>
      </c>
      <c r="C367" s="1186">
        <v>5</v>
      </c>
      <c r="D367" s="1186" t="s">
        <v>850</v>
      </c>
      <c r="E367" s="1186">
        <v>1</v>
      </c>
      <c r="F367" s="1186">
        <v>2015</v>
      </c>
      <c r="G367" s="1186">
        <v>5</v>
      </c>
      <c r="H367" s="1186">
        <v>591482</v>
      </c>
    </row>
    <row r="368" spans="1:8" x14ac:dyDescent="0.2">
      <c r="A368" s="1186" t="s">
        <v>342</v>
      </c>
      <c r="B368" s="1186" t="s">
        <v>144</v>
      </c>
      <c r="C368" s="1186">
        <v>5</v>
      </c>
      <c r="D368" s="1186" t="s">
        <v>828</v>
      </c>
      <c r="E368" s="1186">
        <v>3</v>
      </c>
      <c r="F368" s="1186">
        <v>2015</v>
      </c>
      <c r="G368" s="1186">
        <v>5</v>
      </c>
      <c r="H368" s="1186">
        <v>591482</v>
      </c>
    </row>
    <row r="369" spans="1:8" x14ac:dyDescent="0.2">
      <c r="A369" s="1186" t="s">
        <v>341</v>
      </c>
      <c r="B369" s="1186" t="s">
        <v>144</v>
      </c>
      <c r="C369" s="1186">
        <v>5</v>
      </c>
      <c r="D369" s="1186" t="s">
        <v>828</v>
      </c>
      <c r="E369" s="1186">
        <v>46</v>
      </c>
      <c r="F369" s="1186">
        <v>2015</v>
      </c>
      <c r="G369" s="1186">
        <v>5</v>
      </c>
      <c r="H369" s="1186">
        <v>591482</v>
      </c>
    </row>
    <row r="370" spans="1:8" x14ac:dyDescent="0.2">
      <c r="A370" s="1186" t="s">
        <v>341</v>
      </c>
      <c r="B370" s="1186" t="s">
        <v>282</v>
      </c>
      <c r="C370" s="1186">
        <v>5</v>
      </c>
      <c r="D370" s="1186" t="s">
        <v>852</v>
      </c>
      <c r="E370" s="1186">
        <v>4</v>
      </c>
      <c r="F370" s="1186">
        <v>2016</v>
      </c>
      <c r="G370" s="1186">
        <v>5</v>
      </c>
      <c r="H370" s="1186">
        <v>598082</v>
      </c>
    </row>
    <row r="371" spans="1:8" x14ac:dyDescent="0.2">
      <c r="A371" s="1186" t="s">
        <v>342</v>
      </c>
      <c r="B371" s="1186" t="s">
        <v>282</v>
      </c>
      <c r="C371" s="1186">
        <v>5</v>
      </c>
      <c r="D371" s="1186" t="s">
        <v>851</v>
      </c>
      <c r="E371" s="1186">
        <v>3</v>
      </c>
      <c r="F371" s="1186">
        <v>2016</v>
      </c>
      <c r="G371" s="1186">
        <v>5</v>
      </c>
      <c r="H371" s="1186">
        <v>598082</v>
      </c>
    </row>
    <row r="372" spans="1:8" x14ac:dyDescent="0.2">
      <c r="A372" s="1186" t="s">
        <v>341</v>
      </c>
      <c r="B372" s="1186" t="s">
        <v>282</v>
      </c>
      <c r="C372" s="1186">
        <v>5</v>
      </c>
      <c r="D372" s="1186" t="s">
        <v>828</v>
      </c>
      <c r="E372" s="1186">
        <v>47</v>
      </c>
      <c r="F372" s="1186">
        <v>2016</v>
      </c>
      <c r="G372" s="1186">
        <v>5</v>
      </c>
      <c r="H372" s="1186">
        <v>598082</v>
      </c>
    </row>
    <row r="373" spans="1:8" x14ac:dyDescent="0.2">
      <c r="A373" s="1186" t="s">
        <v>341</v>
      </c>
      <c r="B373" s="1186" t="s">
        <v>282</v>
      </c>
      <c r="C373" s="1186">
        <v>5</v>
      </c>
      <c r="D373" s="1186" t="s">
        <v>850</v>
      </c>
      <c r="E373" s="1186">
        <v>8</v>
      </c>
      <c r="F373" s="1186">
        <v>2016</v>
      </c>
      <c r="G373" s="1186">
        <v>5</v>
      </c>
      <c r="H373" s="1186">
        <v>598082</v>
      </c>
    </row>
    <row r="374" spans="1:8" x14ac:dyDescent="0.2">
      <c r="A374" s="1186" t="s">
        <v>341</v>
      </c>
      <c r="B374" s="1186" t="s">
        <v>282</v>
      </c>
      <c r="C374" s="1186">
        <v>5</v>
      </c>
      <c r="D374" s="1186" t="s">
        <v>851</v>
      </c>
      <c r="E374" s="1186">
        <v>17</v>
      </c>
      <c r="F374" s="1186">
        <v>2016</v>
      </c>
      <c r="G374" s="1186">
        <v>5</v>
      </c>
      <c r="H374" s="1186">
        <v>598082</v>
      </c>
    </row>
    <row r="375" spans="1:8" x14ac:dyDescent="0.2">
      <c r="A375" s="1186" t="s">
        <v>342</v>
      </c>
      <c r="B375" s="1186" t="s">
        <v>282</v>
      </c>
      <c r="C375" s="1186">
        <v>5</v>
      </c>
      <c r="D375" s="1186" t="s">
        <v>828</v>
      </c>
      <c r="E375" s="1186">
        <v>3</v>
      </c>
      <c r="F375" s="1186">
        <v>2016</v>
      </c>
      <c r="G375" s="1186">
        <v>5</v>
      </c>
      <c r="H375" s="1186">
        <v>598082</v>
      </c>
    </row>
    <row r="376" spans="1:8" x14ac:dyDescent="0.2">
      <c r="A376" s="1186" t="s">
        <v>343</v>
      </c>
      <c r="B376" s="1186" t="s">
        <v>282</v>
      </c>
      <c r="C376" s="1186">
        <v>5</v>
      </c>
      <c r="D376" s="1186" t="s">
        <v>828</v>
      </c>
      <c r="E376" s="1186">
        <v>54</v>
      </c>
      <c r="F376" s="1186">
        <v>2016</v>
      </c>
      <c r="G376" s="1186">
        <v>5</v>
      </c>
      <c r="H376" s="1186">
        <v>598082</v>
      </c>
    </row>
    <row r="377" spans="1:8" x14ac:dyDescent="0.2">
      <c r="A377" s="1186" t="s">
        <v>343</v>
      </c>
      <c r="B377" s="1186" t="s">
        <v>282</v>
      </c>
      <c r="C377" s="1186">
        <v>5</v>
      </c>
      <c r="D377" s="1186" t="s">
        <v>850</v>
      </c>
      <c r="E377" s="1186">
        <v>10</v>
      </c>
      <c r="F377" s="1186">
        <v>2016</v>
      </c>
      <c r="G377" s="1186">
        <v>5</v>
      </c>
      <c r="H377" s="1186">
        <v>598082</v>
      </c>
    </row>
    <row r="378" spans="1:8" x14ac:dyDescent="0.2">
      <c r="A378" s="1186" t="s">
        <v>343</v>
      </c>
      <c r="B378" s="1186" t="s">
        <v>282</v>
      </c>
      <c r="C378" s="1186">
        <v>5</v>
      </c>
      <c r="D378" s="1186" t="s">
        <v>851</v>
      </c>
      <c r="E378" s="1186">
        <v>19</v>
      </c>
      <c r="F378" s="1186">
        <v>2016</v>
      </c>
      <c r="G378" s="1186">
        <v>5</v>
      </c>
      <c r="H378" s="1186">
        <v>598082</v>
      </c>
    </row>
    <row r="379" spans="1:8" x14ac:dyDescent="0.2">
      <c r="A379" s="1186" t="s">
        <v>343</v>
      </c>
      <c r="B379" s="1186" t="s">
        <v>282</v>
      </c>
      <c r="C379" s="1186">
        <v>5</v>
      </c>
      <c r="D379" s="1186" t="s">
        <v>852</v>
      </c>
      <c r="E379" s="1186">
        <v>4</v>
      </c>
      <c r="F379" s="1186">
        <v>2016</v>
      </c>
      <c r="G379" s="1186">
        <v>5</v>
      </c>
      <c r="H379" s="1186">
        <v>598082</v>
      </c>
    </row>
    <row r="380" spans="1:8" x14ac:dyDescent="0.2">
      <c r="A380" s="1186" t="s">
        <v>343</v>
      </c>
      <c r="B380" s="1186" t="s">
        <v>311</v>
      </c>
      <c r="C380" s="1186">
        <v>5</v>
      </c>
      <c r="D380" s="1186" t="s">
        <v>852</v>
      </c>
      <c r="E380" s="1186">
        <v>6</v>
      </c>
      <c r="F380" s="1186">
        <v>2017</v>
      </c>
      <c r="G380" s="1186">
        <v>5</v>
      </c>
      <c r="H380" s="1186">
        <v>603678</v>
      </c>
    </row>
    <row r="381" spans="1:8" x14ac:dyDescent="0.2">
      <c r="A381" s="1186" t="s">
        <v>342</v>
      </c>
      <c r="B381" s="1186" t="s">
        <v>311</v>
      </c>
      <c r="C381" s="1186">
        <v>5</v>
      </c>
      <c r="D381" s="1186" t="s">
        <v>851</v>
      </c>
      <c r="E381" s="1186">
        <v>1</v>
      </c>
      <c r="F381" s="1186">
        <v>2017</v>
      </c>
      <c r="G381" s="1186">
        <v>5</v>
      </c>
      <c r="H381" s="1186">
        <v>603678</v>
      </c>
    </row>
    <row r="382" spans="1:8" x14ac:dyDescent="0.2">
      <c r="A382" s="1186" t="s">
        <v>342</v>
      </c>
      <c r="B382" s="1186" t="s">
        <v>311</v>
      </c>
      <c r="C382" s="1186">
        <v>5</v>
      </c>
      <c r="D382" s="1186" t="s">
        <v>828</v>
      </c>
      <c r="E382" s="1186">
        <v>4</v>
      </c>
      <c r="F382" s="1186">
        <v>2017</v>
      </c>
      <c r="G382" s="1186">
        <v>5</v>
      </c>
      <c r="H382" s="1186">
        <v>603678</v>
      </c>
    </row>
    <row r="383" spans="1:8" x14ac:dyDescent="0.2">
      <c r="A383" s="1186" t="s">
        <v>343</v>
      </c>
      <c r="B383" s="1186" t="s">
        <v>311</v>
      </c>
      <c r="C383" s="1186">
        <v>5</v>
      </c>
      <c r="D383" s="1186" t="s">
        <v>828</v>
      </c>
      <c r="E383" s="1186">
        <v>49</v>
      </c>
      <c r="F383" s="1186">
        <v>2017</v>
      </c>
      <c r="G383" s="1186">
        <v>5</v>
      </c>
      <c r="H383" s="1186">
        <v>603678</v>
      </c>
    </row>
    <row r="384" spans="1:8" x14ac:dyDescent="0.2">
      <c r="A384" s="1186" t="s">
        <v>343</v>
      </c>
      <c r="B384" s="1186" t="s">
        <v>311</v>
      </c>
      <c r="C384" s="1186">
        <v>5</v>
      </c>
      <c r="D384" s="1186" t="s">
        <v>851</v>
      </c>
      <c r="E384" s="1186">
        <v>19</v>
      </c>
      <c r="F384" s="1186">
        <v>2017</v>
      </c>
      <c r="G384" s="1186">
        <v>5</v>
      </c>
      <c r="H384" s="1186">
        <v>603678</v>
      </c>
    </row>
    <row r="385" spans="1:8" x14ac:dyDescent="0.2">
      <c r="A385" s="1186" t="s">
        <v>341</v>
      </c>
      <c r="B385" s="1186" t="s">
        <v>311</v>
      </c>
      <c r="C385" s="1186">
        <v>5</v>
      </c>
      <c r="D385" s="1186" t="s">
        <v>850</v>
      </c>
      <c r="E385" s="1186">
        <v>11</v>
      </c>
      <c r="F385" s="1186">
        <v>2017</v>
      </c>
      <c r="G385" s="1186">
        <v>5</v>
      </c>
      <c r="H385" s="1186">
        <v>603678</v>
      </c>
    </row>
    <row r="386" spans="1:8" x14ac:dyDescent="0.2">
      <c r="A386" s="1186" t="s">
        <v>341</v>
      </c>
      <c r="B386" s="1186" t="s">
        <v>311</v>
      </c>
      <c r="C386" s="1186">
        <v>5</v>
      </c>
      <c r="D386" s="1186" t="s">
        <v>851</v>
      </c>
      <c r="E386" s="1186">
        <v>15</v>
      </c>
      <c r="F386" s="1186">
        <v>2017</v>
      </c>
      <c r="G386" s="1186">
        <v>5</v>
      </c>
      <c r="H386" s="1186">
        <v>603678</v>
      </c>
    </row>
    <row r="387" spans="1:8" x14ac:dyDescent="0.2">
      <c r="A387" s="1186" t="s">
        <v>341</v>
      </c>
      <c r="B387" s="1186" t="s">
        <v>311</v>
      </c>
      <c r="C387" s="1186">
        <v>5</v>
      </c>
      <c r="D387" s="1186" t="s">
        <v>852</v>
      </c>
      <c r="E387" s="1186">
        <v>4</v>
      </c>
      <c r="F387" s="1186">
        <v>2017</v>
      </c>
      <c r="G387" s="1186">
        <v>5</v>
      </c>
      <c r="H387" s="1186">
        <v>603678</v>
      </c>
    </row>
    <row r="388" spans="1:8" x14ac:dyDescent="0.2">
      <c r="A388" s="1186" t="s">
        <v>343</v>
      </c>
      <c r="B388" s="1186" t="s">
        <v>311</v>
      </c>
      <c r="C388" s="1186">
        <v>5</v>
      </c>
      <c r="D388" s="1186" t="s">
        <v>850</v>
      </c>
      <c r="E388" s="1186">
        <v>12</v>
      </c>
      <c r="F388" s="1186">
        <v>2017</v>
      </c>
      <c r="G388" s="1186">
        <v>5</v>
      </c>
      <c r="H388" s="1186">
        <v>603678</v>
      </c>
    </row>
    <row r="389" spans="1:8" x14ac:dyDescent="0.2">
      <c r="A389" s="1186" t="s">
        <v>341</v>
      </c>
      <c r="B389" s="1186" t="s">
        <v>311</v>
      </c>
      <c r="C389" s="1186">
        <v>5</v>
      </c>
      <c r="D389" s="1186" t="s">
        <v>828</v>
      </c>
      <c r="E389" s="1186">
        <v>43</v>
      </c>
      <c r="F389" s="1186">
        <v>2017</v>
      </c>
      <c r="G389" s="1186">
        <v>5</v>
      </c>
      <c r="H389" s="1186">
        <v>603678</v>
      </c>
    </row>
    <row r="390" spans="1:8" x14ac:dyDescent="0.2">
      <c r="A390" s="1186" t="s">
        <v>343</v>
      </c>
      <c r="B390" s="1186" t="s">
        <v>621</v>
      </c>
      <c r="C390" s="1186">
        <v>5</v>
      </c>
      <c r="D390" s="1186" t="s">
        <v>852</v>
      </c>
      <c r="E390" s="1186">
        <v>5</v>
      </c>
      <c r="F390" s="1186">
        <v>2018</v>
      </c>
      <c r="G390" s="1186">
        <v>5</v>
      </c>
      <c r="H390" s="1186">
        <v>608611</v>
      </c>
    </row>
    <row r="391" spans="1:8" x14ac:dyDescent="0.2">
      <c r="A391" s="1186" t="s">
        <v>341</v>
      </c>
      <c r="B391" s="1186" t="s">
        <v>621</v>
      </c>
      <c r="C391" s="1186">
        <v>5</v>
      </c>
      <c r="D391" s="1186" t="s">
        <v>851</v>
      </c>
      <c r="E391" s="1186">
        <v>12</v>
      </c>
      <c r="F391" s="1186">
        <v>2018</v>
      </c>
      <c r="G391" s="1186">
        <v>5</v>
      </c>
      <c r="H391" s="1186">
        <v>608611</v>
      </c>
    </row>
    <row r="392" spans="1:8" x14ac:dyDescent="0.2">
      <c r="A392" s="1186" t="s">
        <v>341</v>
      </c>
      <c r="B392" s="1186" t="s">
        <v>621</v>
      </c>
      <c r="C392" s="1186">
        <v>5</v>
      </c>
      <c r="D392" s="1186" t="s">
        <v>828</v>
      </c>
      <c r="E392" s="1186">
        <v>34</v>
      </c>
      <c r="F392" s="1186">
        <v>2018</v>
      </c>
      <c r="G392" s="1186">
        <v>5</v>
      </c>
      <c r="H392" s="1186">
        <v>608611</v>
      </c>
    </row>
    <row r="393" spans="1:8" x14ac:dyDescent="0.2">
      <c r="A393" s="1186" t="s">
        <v>341</v>
      </c>
      <c r="B393" s="1186" t="s">
        <v>621</v>
      </c>
      <c r="C393" s="1186">
        <v>5</v>
      </c>
      <c r="D393" s="1186" t="s">
        <v>850</v>
      </c>
      <c r="E393" s="1186">
        <v>8</v>
      </c>
      <c r="F393" s="1186">
        <v>2018</v>
      </c>
      <c r="G393" s="1186">
        <v>5</v>
      </c>
      <c r="H393" s="1186">
        <v>608611</v>
      </c>
    </row>
    <row r="394" spans="1:8" x14ac:dyDescent="0.2">
      <c r="A394" s="1186" t="s">
        <v>343</v>
      </c>
      <c r="B394" s="1186" t="s">
        <v>621</v>
      </c>
      <c r="C394" s="1186">
        <v>5</v>
      </c>
      <c r="D394" s="1186" t="s">
        <v>828</v>
      </c>
      <c r="E394" s="1186">
        <v>42</v>
      </c>
      <c r="F394" s="1186">
        <v>2018</v>
      </c>
      <c r="G394" s="1186">
        <v>5</v>
      </c>
      <c r="H394" s="1186">
        <v>608611</v>
      </c>
    </row>
    <row r="395" spans="1:8" x14ac:dyDescent="0.2">
      <c r="A395" s="1186" t="s">
        <v>342</v>
      </c>
      <c r="B395" s="1186" t="s">
        <v>621</v>
      </c>
      <c r="C395" s="1186">
        <v>5</v>
      </c>
      <c r="D395" s="1186" t="s">
        <v>828</v>
      </c>
      <c r="E395" s="1186">
        <v>6</v>
      </c>
      <c r="F395" s="1186">
        <v>2018</v>
      </c>
      <c r="G395" s="1186">
        <v>5</v>
      </c>
      <c r="H395" s="1186">
        <v>608611</v>
      </c>
    </row>
    <row r="396" spans="1:8" x14ac:dyDescent="0.2">
      <c r="A396" s="1186" t="s">
        <v>342</v>
      </c>
      <c r="B396" s="1186" t="s">
        <v>621</v>
      </c>
      <c r="C396" s="1186">
        <v>5</v>
      </c>
      <c r="D396" s="1186" t="s">
        <v>850</v>
      </c>
      <c r="E396" s="1186">
        <v>1</v>
      </c>
      <c r="F396" s="1186">
        <v>2018</v>
      </c>
      <c r="G396" s="1186">
        <v>5</v>
      </c>
      <c r="H396" s="1186">
        <v>608611</v>
      </c>
    </row>
    <row r="397" spans="1:8" x14ac:dyDescent="0.2">
      <c r="A397" s="1186" t="s">
        <v>343</v>
      </c>
      <c r="B397" s="1186" t="s">
        <v>621</v>
      </c>
      <c r="C397" s="1186">
        <v>5</v>
      </c>
      <c r="D397" s="1186" t="s">
        <v>850</v>
      </c>
      <c r="E397" s="1186">
        <v>12</v>
      </c>
      <c r="F397" s="1186">
        <v>2018</v>
      </c>
      <c r="G397" s="1186">
        <v>5</v>
      </c>
      <c r="H397" s="1186">
        <v>608611</v>
      </c>
    </row>
    <row r="398" spans="1:8" x14ac:dyDescent="0.2">
      <c r="A398" s="1186" t="s">
        <v>343</v>
      </c>
      <c r="B398" s="1186" t="s">
        <v>621</v>
      </c>
      <c r="C398" s="1186">
        <v>5</v>
      </c>
      <c r="D398" s="1186" t="s">
        <v>851</v>
      </c>
      <c r="E398" s="1186">
        <v>12</v>
      </c>
      <c r="F398" s="1186">
        <v>2018</v>
      </c>
      <c r="G398" s="1186">
        <v>5</v>
      </c>
      <c r="H398" s="1186">
        <v>608611</v>
      </c>
    </row>
    <row r="399" spans="1:8" x14ac:dyDescent="0.2">
      <c r="A399" s="1186" t="s">
        <v>341</v>
      </c>
      <c r="B399" s="1186" t="s">
        <v>621</v>
      </c>
      <c r="C399" s="1186">
        <v>5</v>
      </c>
      <c r="D399" s="1186" t="s">
        <v>852</v>
      </c>
      <c r="E399" s="1186">
        <v>5</v>
      </c>
      <c r="F399" s="1186">
        <v>2018</v>
      </c>
      <c r="G399" s="1186">
        <v>5</v>
      </c>
      <c r="H399" s="1186">
        <v>608611</v>
      </c>
    </row>
    <row r="400" spans="1:8" x14ac:dyDescent="0.2">
      <c r="A400" s="1186" t="s">
        <v>341</v>
      </c>
      <c r="B400" s="1186" t="s">
        <v>1419</v>
      </c>
      <c r="C400" s="1186">
        <v>5</v>
      </c>
      <c r="D400" s="1186" t="s">
        <v>850</v>
      </c>
      <c r="E400" s="1186">
        <v>17</v>
      </c>
      <c r="F400" s="1186">
        <v>2019</v>
      </c>
      <c r="G400" s="1186">
        <v>5</v>
      </c>
      <c r="H400" s="1186">
        <v>616536</v>
      </c>
    </row>
    <row r="401" spans="1:8" x14ac:dyDescent="0.2">
      <c r="A401" s="1186" t="s">
        <v>343</v>
      </c>
      <c r="B401" s="1186" t="s">
        <v>1419</v>
      </c>
      <c r="C401" s="1186">
        <v>5</v>
      </c>
      <c r="D401" s="1186" t="s">
        <v>852</v>
      </c>
      <c r="E401" s="1186">
        <v>6</v>
      </c>
      <c r="F401" s="1186">
        <v>2019</v>
      </c>
      <c r="G401" s="1186">
        <v>5</v>
      </c>
      <c r="H401" s="1186">
        <v>616536</v>
      </c>
    </row>
    <row r="402" spans="1:8" x14ac:dyDescent="0.2">
      <c r="A402" s="1186" t="s">
        <v>343</v>
      </c>
      <c r="B402" s="1186" t="s">
        <v>1419</v>
      </c>
      <c r="C402" s="1186">
        <v>5</v>
      </c>
      <c r="D402" s="1186" t="s">
        <v>851</v>
      </c>
      <c r="E402" s="1186">
        <v>5</v>
      </c>
      <c r="F402" s="1186">
        <v>2019</v>
      </c>
      <c r="G402" s="1186">
        <v>5</v>
      </c>
      <c r="H402" s="1186">
        <v>616536</v>
      </c>
    </row>
    <row r="403" spans="1:8" x14ac:dyDescent="0.2">
      <c r="A403" s="1186" t="s">
        <v>343</v>
      </c>
      <c r="B403" s="1186" t="s">
        <v>1419</v>
      </c>
      <c r="C403" s="1186">
        <v>5</v>
      </c>
      <c r="D403" s="1186" t="s">
        <v>850</v>
      </c>
      <c r="E403" s="1186">
        <v>17</v>
      </c>
      <c r="F403" s="1186">
        <v>2019</v>
      </c>
      <c r="G403" s="1186">
        <v>5</v>
      </c>
      <c r="H403" s="1186">
        <v>616536</v>
      </c>
    </row>
    <row r="404" spans="1:8" x14ac:dyDescent="0.2">
      <c r="A404" s="1186" t="s">
        <v>342</v>
      </c>
      <c r="B404" s="1186" t="s">
        <v>1419</v>
      </c>
      <c r="C404" s="1186">
        <v>5</v>
      </c>
      <c r="D404" s="1186" t="s">
        <v>850</v>
      </c>
      <c r="E404" s="1186">
        <v>1</v>
      </c>
      <c r="F404" s="1186">
        <v>2019</v>
      </c>
      <c r="G404" s="1186">
        <v>5</v>
      </c>
      <c r="H404" s="1186">
        <v>616536</v>
      </c>
    </row>
    <row r="405" spans="1:8" x14ac:dyDescent="0.2">
      <c r="A405" s="1186" t="s">
        <v>341</v>
      </c>
      <c r="B405" s="1186" t="s">
        <v>1419</v>
      </c>
      <c r="C405" s="1186">
        <v>5</v>
      </c>
      <c r="D405" s="1186" t="s">
        <v>828</v>
      </c>
      <c r="E405" s="1186">
        <v>41</v>
      </c>
      <c r="F405" s="1186">
        <v>2019</v>
      </c>
      <c r="G405" s="1186">
        <v>5</v>
      </c>
      <c r="H405" s="1186">
        <v>616536</v>
      </c>
    </row>
    <row r="406" spans="1:8" x14ac:dyDescent="0.2">
      <c r="A406" s="1186" t="s">
        <v>342</v>
      </c>
      <c r="B406" s="1186" t="s">
        <v>1419</v>
      </c>
      <c r="C406" s="1186">
        <v>5</v>
      </c>
      <c r="D406" s="1186" t="s">
        <v>851</v>
      </c>
      <c r="E406" s="1186">
        <v>1</v>
      </c>
      <c r="F406" s="1186">
        <v>2019</v>
      </c>
      <c r="G406" s="1186">
        <v>5</v>
      </c>
      <c r="H406" s="1186">
        <v>616536</v>
      </c>
    </row>
    <row r="407" spans="1:8" x14ac:dyDescent="0.2">
      <c r="A407" s="1186" t="s">
        <v>341</v>
      </c>
      <c r="B407" s="1186" t="s">
        <v>1419</v>
      </c>
      <c r="C407" s="1186">
        <v>5</v>
      </c>
      <c r="D407" s="1186" t="s">
        <v>851</v>
      </c>
      <c r="E407" s="1186">
        <v>4</v>
      </c>
      <c r="F407" s="1186">
        <v>2019</v>
      </c>
      <c r="G407" s="1186">
        <v>5</v>
      </c>
      <c r="H407" s="1186">
        <v>616536</v>
      </c>
    </row>
    <row r="408" spans="1:8" x14ac:dyDescent="0.2">
      <c r="A408" s="1186" t="s">
        <v>341</v>
      </c>
      <c r="B408" s="1186" t="s">
        <v>1419</v>
      </c>
      <c r="C408" s="1186">
        <v>5</v>
      </c>
      <c r="D408" s="1186" t="s">
        <v>852</v>
      </c>
      <c r="E408" s="1186">
        <v>6</v>
      </c>
      <c r="F408" s="1186">
        <v>2019</v>
      </c>
      <c r="G408" s="1186">
        <v>5</v>
      </c>
      <c r="H408" s="1186">
        <v>616536</v>
      </c>
    </row>
    <row r="409" spans="1:8" x14ac:dyDescent="0.2">
      <c r="A409" s="1186" t="s">
        <v>342</v>
      </c>
      <c r="B409" s="1186" t="s">
        <v>1419</v>
      </c>
      <c r="C409" s="1186">
        <v>5</v>
      </c>
      <c r="D409" s="1186" t="s">
        <v>828</v>
      </c>
      <c r="E409" s="1186">
        <v>3</v>
      </c>
      <c r="F409" s="1186">
        <v>2019</v>
      </c>
      <c r="G409" s="1186">
        <v>5</v>
      </c>
      <c r="H409" s="1186">
        <v>616536</v>
      </c>
    </row>
    <row r="410" spans="1:8" x14ac:dyDescent="0.2">
      <c r="A410" s="1186" t="s">
        <v>343</v>
      </c>
      <c r="B410" s="1186" t="s">
        <v>1419</v>
      </c>
      <c r="C410" s="1186">
        <v>5</v>
      </c>
      <c r="D410" s="1186" t="s">
        <v>828</v>
      </c>
      <c r="E410" s="1186">
        <v>52</v>
      </c>
      <c r="F410" s="1186">
        <v>2019</v>
      </c>
      <c r="G410" s="1186">
        <v>5</v>
      </c>
      <c r="H410" s="1186">
        <v>616536</v>
      </c>
    </row>
    <row r="411" spans="1:8" x14ac:dyDescent="0.2">
      <c r="A411" s="1186" t="s">
        <v>342</v>
      </c>
      <c r="B411" s="1186" t="s">
        <v>1572</v>
      </c>
      <c r="C411" s="1186">
        <v>5</v>
      </c>
      <c r="D411" s="1186" t="s">
        <v>851</v>
      </c>
      <c r="E411" s="1186">
        <v>2</v>
      </c>
      <c r="F411" s="1186">
        <v>2020</v>
      </c>
      <c r="G411" s="1186">
        <v>5</v>
      </c>
      <c r="H411" s="1186">
        <v>623257</v>
      </c>
    </row>
    <row r="412" spans="1:8" x14ac:dyDescent="0.2">
      <c r="A412" s="1186" t="s">
        <v>342</v>
      </c>
      <c r="B412" s="1186" t="s">
        <v>1572</v>
      </c>
      <c r="C412" s="1186">
        <v>5</v>
      </c>
      <c r="D412" s="1186" t="s">
        <v>852</v>
      </c>
      <c r="E412" s="1186">
        <v>1</v>
      </c>
      <c r="F412" s="1186">
        <v>2020</v>
      </c>
      <c r="G412" s="1186">
        <v>5</v>
      </c>
      <c r="H412" s="1186">
        <v>623257</v>
      </c>
    </row>
    <row r="413" spans="1:8" x14ac:dyDescent="0.2">
      <c r="A413" s="1186" t="s">
        <v>342</v>
      </c>
      <c r="B413" s="1186" t="s">
        <v>1572</v>
      </c>
      <c r="C413" s="1186">
        <v>5</v>
      </c>
      <c r="D413" s="1186" t="s">
        <v>828</v>
      </c>
      <c r="E413" s="1186">
        <v>4</v>
      </c>
      <c r="F413" s="1186">
        <v>2020</v>
      </c>
      <c r="G413" s="1186">
        <v>5</v>
      </c>
      <c r="H413" s="1186">
        <v>623257</v>
      </c>
    </row>
    <row r="414" spans="1:8" x14ac:dyDescent="0.2">
      <c r="A414" s="1186" t="s">
        <v>343</v>
      </c>
      <c r="B414" s="1186" t="s">
        <v>1572</v>
      </c>
      <c r="C414" s="1186">
        <v>5</v>
      </c>
      <c r="D414" s="1186" t="s">
        <v>852</v>
      </c>
      <c r="E414" s="1186">
        <v>11</v>
      </c>
      <c r="F414" s="1186">
        <v>2020</v>
      </c>
      <c r="G414" s="1186">
        <v>5</v>
      </c>
      <c r="H414" s="1186">
        <v>623257</v>
      </c>
    </row>
    <row r="415" spans="1:8" x14ac:dyDescent="0.2">
      <c r="A415" s="1186" t="s">
        <v>341</v>
      </c>
      <c r="B415" s="1186" t="s">
        <v>1572</v>
      </c>
      <c r="C415" s="1186">
        <v>5</v>
      </c>
      <c r="D415" s="1186" t="s">
        <v>850</v>
      </c>
      <c r="E415" s="1186">
        <v>9</v>
      </c>
      <c r="F415" s="1186">
        <v>2020</v>
      </c>
      <c r="G415" s="1186">
        <v>5</v>
      </c>
      <c r="H415" s="1186">
        <v>623257</v>
      </c>
    </row>
    <row r="416" spans="1:8" x14ac:dyDescent="0.2">
      <c r="A416" s="1186" t="s">
        <v>343</v>
      </c>
      <c r="B416" s="1186" t="s">
        <v>1572</v>
      </c>
      <c r="C416" s="1186">
        <v>5</v>
      </c>
      <c r="D416" s="1186" t="s">
        <v>828</v>
      </c>
      <c r="E416" s="1186">
        <v>33</v>
      </c>
      <c r="F416" s="1186">
        <v>2020</v>
      </c>
      <c r="G416" s="1186">
        <v>5</v>
      </c>
      <c r="H416" s="1186">
        <v>623257</v>
      </c>
    </row>
    <row r="417" spans="1:8" x14ac:dyDescent="0.2">
      <c r="A417" s="1186" t="s">
        <v>343</v>
      </c>
      <c r="B417" s="1186" t="s">
        <v>1572</v>
      </c>
      <c r="C417" s="1186">
        <v>5</v>
      </c>
      <c r="D417" s="1186" t="s">
        <v>851</v>
      </c>
      <c r="E417" s="1186">
        <v>8</v>
      </c>
      <c r="F417" s="1186">
        <v>2020</v>
      </c>
      <c r="G417" s="1186">
        <v>5</v>
      </c>
      <c r="H417" s="1186">
        <v>623257</v>
      </c>
    </row>
    <row r="418" spans="1:8" x14ac:dyDescent="0.2">
      <c r="A418" s="1186" t="s">
        <v>341</v>
      </c>
      <c r="B418" s="1186" t="s">
        <v>1572</v>
      </c>
      <c r="C418" s="1186">
        <v>5</v>
      </c>
      <c r="D418" s="1186" t="s">
        <v>828</v>
      </c>
      <c r="E418" s="1186">
        <v>21</v>
      </c>
      <c r="F418" s="1186">
        <v>2020</v>
      </c>
      <c r="G418" s="1186">
        <v>5</v>
      </c>
      <c r="H418" s="1186">
        <v>623257</v>
      </c>
    </row>
    <row r="419" spans="1:8" x14ac:dyDescent="0.2">
      <c r="A419" s="1186" t="s">
        <v>343</v>
      </c>
      <c r="B419" s="1186" t="s">
        <v>1572</v>
      </c>
      <c r="C419" s="1186">
        <v>5</v>
      </c>
      <c r="D419" s="1186" t="s">
        <v>850</v>
      </c>
      <c r="E419" s="1186">
        <v>12</v>
      </c>
      <c r="F419" s="1186">
        <v>2020</v>
      </c>
      <c r="G419" s="1186">
        <v>5</v>
      </c>
      <c r="H419" s="1186">
        <v>623257</v>
      </c>
    </row>
    <row r="420" spans="1:8" x14ac:dyDescent="0.2">
      <c r="A420" s="1186" t="s">
        <v>341</v>
      </c>
      <c r="B420" s="1186" t="s">
        <v>1572</v>
      </c>
      <c r="C420" s="1186">
        <v>5</v>
      </c>
      <c r="D420" s="1186" t="s">
        <v>851</v>
      </c>
      <c r="E420" s="1186">
        <v>5</v>
      </c>
      <c r="F420" s="1186">
        <v>2020</v>
      </c>
      <c r="G420" s="1186">
        <v>5</v>
      </c>
      <c r="H420" s="1186">
        <v>623257</v>
      </c>
    </row>
    <row r="421" spans="1:8" x14ac:dyDescent="0.2">
      <c r="A421" s="1186" t="s">
        <v>341</v>
      </c>
      <c r="B421" s="1186" t="s">
        <v>1572</v>
      </c>
      <c r="C421" s="1186">
        <v>5</v>
      </c>
      <c r="D421" s="1186" t="s">
        <v>852</v>
      </c>
      <c r="E421" s="1186">
        <v>10</v>
      </c>
      <c r="F421" s="1186">
        <v>2020</v>
      </c>
      <c r="G421" s="1186">
        <v>5</v>
      </c>
      <c r="H421" s="1186">
        <v>623257</v>
      </c>
    </row>
    <row r="422" spans="1:8" x14ac:dyDescent="0.2">
      <c r="A422" s="1186" t="s">
        <v>341</v>
      </c>
      <c r="B422" s="1186" t="s">
        <v>15</v>
      </c>
      <c r="C422" s="1186">
        <v>6</v>
      </c>
      <c r="D422" s="1186" t="s">
        <v>851</v>
      </c>
      <c r="E422" s="1186">
        <v>3</v>
      </c>
      <c r="F422" s="1186">
        <v>2012</v>
      </c>
      <c r="G422" s="1186">
        <v>6</v>
      </c>
      <c r="H422" s="1186">
        <v>315629</v>
      </c>
    </row>
    <row r="423" spans="1:8" x14ac:dyDescent="0.2">
      <c r="A423" s="1186" t="s">
        <v>343</v>
      </c>
      <c r="B423" s="1186" t="s">
        <v>15</v>
      </c>
      <c r="C423" s="1186">
        <v>6</v>
      </c>
      <c r="D423" s="1186" t="s">
        <v>850</v>
      </c>
      <c r="E423" s="1186">
        <v>8</v>
      </c>
      <c r="F423" s="1186">
        <v>2012</v>
      </c>
      <c r="G423" s="1186">
        <v>6</v>
      </c>
      <c r="H423" s="1186">
        <v>315629</v>
      </c>
    </row>
    <row r="424" spans="1:8" x14ac:dyDescent="0.2">
      <c r="A424" s="1186" t="s">
        <v>343</v>
      </c>
      <c r="B424" s="1186" t="s">
        <v>15</v>
      </c>
      <c r="C424" s="1186">
        <v>6</v>
      </c>
      <c r="D424" s="1186" t="s">
        <v>851</v>
      </c>
      <c r="E424" s="1186">
        <v>3</v>
      </c>
      <c r="F424" s="1186">
        <v>2012</v>
      </c>
      <c r="G424" s="1186">
        <v>6</v>
      </c>
      <c r="H424" s="1186">
        <v>315629</v>
      </c>
    </row>
    <row r="425" spans="1:8" x14ac:dyDescent="0.2">
      <c r="A425" s="1186" t="s">
        <v>343</v>
      </c>
      <c r="B425" s="1186" t="s">
        <v>15</v>
      </c>
      <c r="C425" s="1186">
        <v>6</v>
      </c>
      <c r="D425" s="1186" t="s">
        <v>852</v>
      </c>
      <c r="E425" s="1186">
        <v>7</v>
      </c>
      <c r="F425" s="1186">
        <v>2012</v>
      </c>
      <c r="G425" s="1186">
        <v>6</v>
      </c>
      <c r="H425" s="1186">
        <v>315629</v>
      </c>
    </row>
    <row r="426" spans="1:8" x14ac:dyDescent="0.2">
      <c r="A426" s="1186" t="s">
        <v>341</v>
      </c>
      <c r="B426" s="1186" t="s">
        <v>15</v>
      </c>
      <c r="C426" s="1186">
        <v>6</v>
      </c>
      <c r="D426" s="1186" t="s">
        <v>828</v>
      </c>
      <c r="E426" s="1186">
        <v>38</v>
      </c>
      <c r="F426" s="1186">
        <v>2012</v>
      </c>
      <c r="G426" s="1186">
        <v>6</v>
      </c>
      <c r="H426" s="1186">
        <v>315629</v>
      </c>
    </row>
    <row r="427" spans="1:8" x14ac:dyDescent="0.2">
      <c r="A427" s="1186" t="s">
        <v>341</v>
      </c>
      <c r="B427" s="1186" t="s">
        <v>15</v>
      </c>
      <c r="C427" s="1186">
        <v>6</v>
      </c>
      <c r="D427" s="1186" t="s">
        <v>850</v>
      </c>
      <c r="E427" s="1186">
        <v>7</v>
      </c>
      <c r="F427" s="1186">
        <v>2012</v>
      </c>
      <c r="G427" s="1186">
        <v>6</v>
      </c>
      <c r="H427" s="1186">
        <v>315629</v>
      </c>
    </row>
    <row r="428" spans="1:8" x14ac:dyDescent="0.2">
      <c r="A428" s="1186" t="s">
        <v>341</v>
      </c>
      <c r="B428" s="1186" t="s">
        <v>15</v>
      </c>
      <c r="C428" s="1186">
        <v>6</v>
      </c>
      <c r="D428" s="1186" t="s">
        <v>852</v>
      </c>
      <c r="E428" s="1186">
        <v>7</v>
      </c>
      <c r="F428" s="1186">
        <v>2012</v>
      </c>
      <c r="G428" s="1186">
        <v>6</v>
      </c>
      <c r="H428" s="1186">
        <v>315629</v>
      </c>
    </row>
    <row r="429" spans="1:8" x14ac:dyDescent="0.2">
      <c r="A429" s="1186" t="s">
        <v>342</v>
      </c>
      <c r="B429" s="1186" t="s">
        <v>15</v>
      </c>
      <c r="C429" s="1186">
        <v>6</v>
      </c>
      <c r="D429" s="1186" t="s">
        <v>828</v>
      </c>
      <c r="E429" s="1186">
        <v>2</v>
      </c>
      <c r="F429" s="1186">
        <v>2012</v>
      </c>
      <c r="G429" s="1186">
        <v>6</v>
      </c>
      <c r="H429" s="1186">
        <v>315629</v>
      </c>
    </row>
    <row r="430" spans="1:8" x14ac:dyDescent="0.2">
      <c r="A430" s="1186" t="s">
        <v>343</v>
      </c>
      <c r="B430" s="1186" t="s">
        <v>15</v>
      </c>
      <c r="C430" s="1186">
        <v>6</v>
      </c>
      <c r="D430" s="1186" t="s">
        <v>828</v>
      </c>
      <c r="E430" s="1186">
        <v>44</v>
      </c>
      <c r="F430" s="1186">
        <v>2012</v>
      </c>
      <c r="G430" s="1186">
        <v>6</v>
      </c>
      <c r="H430" s="1186">
        <v>315629</v>
      </c>
    </row>
    <row r="431" spans="1:8" x14ac:dyDescent="0.2">
      <c r="A431" s="1186" t="s">
        <v>341</v>
      </c>
      <c r="B431" s="1186" t="s">
        <v>17</v>
      </c>
      <c r="C431" s="1186">
        <v>6</v>
      </c>
      <c r="D431" s="1186" t="s">
        <v>851</v>
      </c>
      <c r="E431" s="1186">
        <v>4</v>
      </c>
      <c r="F431" s="1186">
        <v>2013</v>
      </c>
      <c r="G431" s="1186">
        <v>6</v>
      </c>
      <c r="H431" s="1186">
        <v>315151</v>
      </c>
    </row>
    <row r="432" spans="1:8" x14ac:dyDescent="0.2">
      <c r="A432" s="1186" t="s">
        <v>341</v>
      </c>
      <c r="B432" s="1186" t="s">
        <v>17</v>
      </c>
      <c r="C432" s="1186">
        <v>6</v>
      </c>
      <c r="D432" s="1186" t="s">
        <v>850</v>
      </c>
      <c r="E432" s="1186">
        <v>4</v>
      </c>
      <c r="F432" s="1186">
        <v>2013</v>
      </c>
      <c r="G432" s="1186">
        <v>6</v>
      </c>
      <c r="H432" s="1186">
        <v>315151</v>
      </c>
    </row>
    <row r="433" spans="1:8" x14ac:dyDescent="0.2">
      <c r="A433" s="1186" t="s">
        <v>341</v>
      </c>
      <c r="B433" s="1186" t="s">
        <v>17</v>
      </c>
      <c r="C433" s="1186">
        <v>6</v>
      </c>
      <c r="D433" s="1186" t="s">
        <v>852</v>
      </c>
      <c r="E433" s="1186">
        <v>5</v>
      </c>
      <c r="F433" s="1186">
        <v>2013</v>
      </c>
      <c r="G433" s="1186">
        <v>6</v>
      </c>
      <c r="H433" s="1186">
        <v>315151</v>
      </c>
    </row>
    <row r="434" spans="1:8" x14ac:dyDescent="0.2">
      <c r="A434" s="1186" t="s">
        <v>341</v>
      </c>
      <c r="B434" s="1186" t="s">
        <v>17</v>
      </c>
      <c r="C434" s="1186">
        <v>6</v>
      </c>
      <c r="D434" s="1186" t="s">
        <v>828</v>
      </c>
      <c r="E434" s="1186">
        <v>34</v>
      </c>
      <c r="F434" s="1186">
        <v>2013</v>
      </c>
      <c r="G434" s="1186">
        <v>6</v>
      </c>
      <c r="H434" s="1186">
        <v>315151</v>
      </c>
    </row>
    <row r="435" spans="1:8" x14ac:dyDescent="0.2">
      <c r="A435" s="1186" t="s">
        <v>343</v>
      </c>
      <c r="B435" s="1186" t="s">
        <v>17</v>
      </c>
      <c r="C435" s="1186">
        <v>6</v>
      </c>
      <c r="D435" s="1186" t="s">
        <v>851</v>
      </c>
      <c r="E435" s="1186">
        <v>4</v>
      </c>
      <c r="F435" s="1186">
        <v>2013</v>
      </c>
      <c r="G435" s="1186">
        <v>6</v>
      </c>
      <c r="H435" s="1186">
        <v>315151</v>
      </c>
    </row>
    <row r="436" spans="1:8" x14ac:dyDescent="0.2">
      <c r="A436" s="1186" t="s">
        <v>343</v>
      </c>
      <c r="B436" s="1186" t="s">
        <v>17</v>
      </c>
      <c r="C436" s="1186">
        <v>6</v>
      </c>
      <c r="D436" s="1186" t="s">
        <v>850</v>
      </c>
      <c r="E436" s="1186">
        <v>4</v>
      </c>
      <c r="F436" s="1186">
        <v>2013</v>
      </c>
      <c r="G436" s="1186">
        <v>6</v>
      </c>
      <c r="H436" s="1186">
        <v>315151</v>
      </c>
    </row>
    <row r="437" spans="1:8" x14ac:dyDescent="0.2">
      <c r="A437" s="1186" t="s">
        <v>343</v>
      </c>
      <c r="B437" s="1186" t="s">
        <v>17</v>
      </c>
      <c r="C437" s="1186">
        <v>6</v>
      </c>
      <c r="D437" s="1186" t="s">
        <v>828</v>
      </c>
      <c r="E437" s="1186">
        <v>46</v>
      </c>
      <c r="F437" s="1186">
        <v>2013</v>
      </c>
      <c r="G437" s="1186">
        <v>6</v>
      </c>
      <c r="H437" s="1186">
        <v>315151</v>
      </c>
    </row>
    <row r="438" spans="1:8" x14ac:dyDescent="0.2">
      <c r="A438" s="1186" t="s">
        <v>343</v>
      </c>
      <c r="B438" s="1186" t="s">
        <v>17</v>
      </c>
      <c r="C438" s="1186">
        <v>6</v>
      </c>
      <c r="D438" s="1186" t="s">
        <v>852</v>
      </c>
      <c r="E438" s="1186">
        <v>5</v>
      </c>
      <c r="F438" s="1186">
        <v>2013</v>
      </c>
      <c r="G438" s="1186">
        <v>6</v>
      </c>
      <c r="H438" s="1186">
        <v>315151</v>
      </c>
    </row>
    <row r="439" spans="1:8" x14ac:dyDescent="0.2">
      <c r="A439" s="1186" t="s">
        <v>343</v>
      </c>
      <c r="B439" s="1186" t="s">
        <v>133</v>
      </c>
      <c r="C439" s="1186">
        <v>6</v>
      </c>
      <c r="D439" s="1186" t="s">
        <v>852</v>
      </c>
      <c r="E439" s="1186">
        <v>2</v>
      </c>
      <c r="F439" s="1186">
        <v>2014</v>
      </c>
      <c r="G439" s="1186">
        <v>6</v>
      </c>
      <c r="H439" s="1186">
        <v>315675</v>
      </c>
    </row>
    <row r="440" spans="1:8" x14ac:dyDescent="0.2">
      <c r="A440" s="1186" t="s">
        <v>343</v>
      </c>
      <c r="B440" s="1186" t="s">
        <v>133</v>
      </c>
      <c r="C440" s="1186">
        <v>6</v>
      </c>
      <c r="D440" s="1186" t="s">
        <v>828</v>
      </c>
      <c r="E440" s="1186">
        <v>38</v>
      </c>
      <c r="F440" s="1186">
        <v>2014</v>
      </c>
      <c r="G440" s="1186">
        <v>6</v>
      </c>
      <c r="H440" s="1186">
        <v>315675</v>
      </c>
    </row>
    <row r="441" spans="1:8" x14ac:dyDescent="0.2">
      <c r="A441" s="1186" t="s">
        <v>343</v>
      </c>
      <c r="B441" s="1186" t="s">
        <v>133</v>
      </c>
      <c r="C441" s="1186">
        <v>6</v>
      </c>
      <c r="D441" s="1186" t="s">
        <v>850</v>
      </c>
      <c r="E441" s="1186">
        <v>3</v>
      </c>
      <c r="F441" s="1186">
        <v>2014</v>
      </c>
      <c r="G441" s="1186">
        <v>6</v>
      </c>
      <c r="H441" s="1186">
        <v>315675</v>
      </c>
    </row>
    <row r="442" spans="1:8" x14ac:dyDescent="0.2">
      <c r="A442" s="1186" t="s">
        <v>341</v>
      </c>
      <c r="B442" s="1186" t="s">
        <v>133</v>
      </c>
      <c r="C442" s="1186">
        <v>6</v>
      </c>
      <c r="D442" s="1186" t="s">
        <v>851</v>
      </c>
      <c r="E442" s="1186">
        <v>5</v>
      </c>
      <c r="F442" s="1186">
        <v>2014</v>
      </c>
      <c r="G442" s="1186">
        <v>6</v>
      </c>
      <c r="H442" s="1186">
        <v>315675</v>
      </c>
    </row>
    <row r="443" spans="1:8" x14ac:dyDescent="0.2">
      <c r="A443" s="1186" t="s">
        <v>343</v>
      </c>
      <c r="B443" s="1186" t="s">
        <v>133</v>
      </c>
      <c r="C443" s="1186">
        <v>6</v>
      </c>
      <c r="D443" s="1186" t="s">
        <v>851</v>
      </c>
      <c r="E443" s="1186">
        <v>5</v>
      </c>
      <c r="F443" s="1186">
        <v>2014</v>
      </c>
      <c r="G443" s="1186">
        <v>6</v>
      </c>
      <c r="H443" s="1186">
        <v>315675</v>
      </c>
    </row>
    <row r="444" spans="1:8" x14ac:dyDescent="0.2">
      <c r="A444" s="1186" t="s">
        <v>342</v>
      </c>
      <c r="B444" s="1186" t="s">
        <v>133</v>
      </c>
      <c r="C444" s="1186">
        <v>6</v>
      </c>
      <c r="D444" s="1186" t="s">
        <v>828</v>
      </c>
      <c r="E444" s="1186">
        <v>5</v>
      </c>
      <c r="F444" s="1186">
        <v>2014</v>
      </c>
      <c r="G444" s="1186">
        <v>6</v>
      </c>
      <c r="H444" s="1186">
        <v>315675</v>
      </c>
    </row>
    <row r="445" spans="1:8" x14ac:dyDescent="0.2">
      <c r="A445" s="1186" t="s">
        <v>341</v>
      </c>
      <c r="B445" s="1186" t="s">
        <v>133</v>
      </c>
      <c r="C445" s="1186">
        <v>6</v>
      </c>
      <c r="D445" s="1186" t="s">
        <v>850</v>
      </c>
      <c r="E445" s="1186">
        <v>3</v>
      </c>
      <c r="F445" s="1186">
        <v>2014</v>
      </c>
      <c r="G445" s="1186">
        <v>6</v>
      </c>
      <c r="H445" s="1186">
        <v>315675</v>
      </c>
    </row>
    <row r="446" spans="1:8" x14ac:dyDescent="0.2">
      <c r="A446" s="1186" t="s">
        <v>342</v>
      </c>
      <c r="B446" s="1186" t="s">
        <v>133</v>
      </c>
      <c r="C446" s="1186">
        <v>6</v>
      </c>
      <c r="D446" s="1186" t="s">
        <v>852</v>
      </c>
      <c r="E446" s="1186">
        <v>1</v>
      </c>
      <c r="F446" s="1186">
        <v>2014</v>
      </c>
      <c r="G446" s="1186">
        <v>6</v>
      </c>
      <c r="H446" s="1186">
        <v>315675</v>
      </c>
    </row>
    <row r="447" spans="1:8" x14ac:dyDescent="0.2">
      <c r="A447" s="1186" t="s">
        <v>341</v>
      </c>
      <c r="B447" s="1186" t="s">
        <v>133</v>
      </c>
      <c r="C447" s="1186">
        <v>6</v>
      </c>
      <c r="D447" s="1186" t="s">
        <v>852</v>
      </c>
      <c r="E447" s="1186">
        <v>2</v>
      </c>
      <c r="F447" s="1186">
        <v>2014</v>
      </c>
      <c r="G447" s="1186">
        <v>6</v>
      </c>
      <c r="H447" s="1186">
        <v>315675</v>
      </c>
    </row>
    <row r="448" spans="1:8" x14ac:dyDescent="0.2">
      <c r="A448" s="1186" t="s">
        <v>341</v>
      </c>
      <c r="B448" s="1186" t="s">
        <v>133</v>
      </c>
      <c r="C448" s="1186">
        <v>6</v>
      </c>
      <c r="D448" s="1186" t="s">
        <v>828</v>
      </c>
      <c r="E448" s="1186">
        <v>32</v>
      </c>
      <c r="F448" s="1186">
        <v>2014</v>
      </c>
      <c r="G448" s="1186">
        <v>6</v>
      </c>
      <c r="H448" s="1186">
        <v>315675</v>
      </c>
    </row>
    <row r="449" spans="1:8" x14ac:dyDescent="0.2">
      <c r="A449" s="1186" t="s">
        <v>343</v>
      </c>
      <c r="B449" s="1186" t="s">
        <v>144</v>
      </c>
      <c r="C449" s="1186">
        <v>6</v>
      </c>
      <c r="D449" s="1186" t="s">
        <v>852</v>
      </c>
      <c r="E449" s="1186">
        <v>4</v>
      </c>
      <c r="F449" s="1186">
        <v>2015</v>
      </c>
      <c r="G449" s="1186">
        <v>6</v>
      </c>
      <c r="H449" s="1186">
        <v>315423</v>
      </c>
    </row>
    <row r="450" spans="1:8" x14ac:dyDescent="0.2">
      <c r="A450" s="1186" t="s">
        <v>342</v>
      </c>
      <c r="B450" s="1186" t="s">
        <v>144</v>
      </c>
      <c r="C450" s="1186">
        <v>6</v>
      </c>
      <c r="D450" s="1186" t="s">
        <v>828</v>
      </c>
      <c r="E450" s="1186">
        <v>6</v>
      </c>
      <c r="F450" s="1186">
        <v>2015</v>
      </c>
      <c r="G450" s="1186">
        <v>6</v>
      </c>
      <c r="H450" s="1186">
        <v>315423</v>
      </c>
    </row>
    <row r="451" spans="1:8" x14ac:dyDescent="0.2">
      <c r="A451" s="1186" t="s">
        <v>342</v>
      </c>
      <c r="B451" s="1186" t="s">
        <v>144</v>
      </c>
      <c r="C451" s="1186">
        <v>6</v>
      </c>
      <c r="D451" s="1186" t="s">
        <v>850</v>
      </c>
      <c r="E451" s="1186">
        <v>1</v>
      </c>
      <c r="F451" s="1186">
        <v>2015</v>
      </c>
      <c r="G451" s="1186">
        <v>6</v>
      </c>
      <c r="H451" s="1186">
        <v>315423</v>
      </c>
    </row>
    <row r="452" spans="1:8" x14ac:dyDescent="0.2">
      <c r="A452" s="1186" t="s">
        <v>342</v>
      </c>
      <c r="B452" s="1186" t="s">
        <v>144</v>
      </c>
      <c r="C452" s="1186">
        <v>6</v>
      </c>
      <c r="D452" s="1186" t="s">
        <v>851</v>
      </c>
      <c r="E452" s="1186">
        <v>1</v>
      </c>
      <c r="F452" s="1186">
        <v>2015</v>
      </c>
      <c r="G452" s="1186">
        <v>6</v>
      </c>
      <c r="H452" s="1186">
        <v>315423</v>
      </c>
    </row>
    <row r="453" spans="1:8" x14ac:dyDescent="0.2">
      <c r="A453" s="1186" t="s">
        <v>341</v>
      </c>
      <c r="B453" s="1186" t="s">
        <v>144</v>
      </c>
      <c r="C453" s="1186">
        <v>6</v>
      </c>
      <c r="D453" s="1186" t="s">
        <v>852</v>
      </c>
      <c r="E453" s="1186">
        <v>3</v>
      </c>
      <c r="F453" s="1186">
        <v>2015</v>
      </c>
      <c r="G453" s="1186">
        <v>6</v>
      </c>
      <c r="H453" s="1186">
        <v>315423</v>
      </c>
    </row>
    <row r="454" spans="1:8" x14ac:dyDescent="0.2">
      <c r="A454" s="1186" t="s">
        <v>341</v>
      </c>
      <c r="B454" s="1186" t="s">
        <v>144</v>
      </c>
      <c r="C454" s="1186">
        <v>6</v>
      </c>
      <c r="D454" s="1186" t="s">
        <v>851</v>
      </c>
      <c r="E454" s="1186">
        <v>22</v>
      </c>
      <c r="F454" s="1186">
        <v>2015</v>
      </c>
      <c r="G454" s="1186">
        <v>6</v>
      </c>
      <c r="H454" s="1186">
        <v>315423</v>
      </c>
    </row>
    <row r="455" spans="1:8" x14ac:dyDescent="0.2">
      <c r="A455" s="1186" t="s">
        <v>341</v>
      </c>
      <c r="B455" s="1186" t="s">
        <v>144</v>
      </c>
      <c r="C455" s="1186">
        <v>6</v>
      </c>
      <c r="D455" s="1186" t="s">
        <v>828</v>
      </c>
      <c r="E455" s="1186">
        <v>20</v>
      </c>
      <c r="F455" s="1186">
        <v>2015</v>
      </c>
      <c r="G455" s="1186">
        <v>6</v>
      </c>
      <c r="H455" s="1186">
        <v>315423</v>
      </c>
    </row>
    <row r="456" spans="1:8" x14ac:dyDescent="0.2">
      <c r="A456" s="1186" t="s">
        <v>343</v>
      </c>
      <c r="B456" s="1186" t="s">
        <v>144</v>
      </c>
      <c r="C456" s="1186">
        <v>6</v>
      </c>
      <c r="D456" s="1186" t="s">
        <v>851</v>
      </c>
      <c r="E456" s="1186">
        <v>23</v>
      </c>
      <c r="F456" s="1186">
        <v>2015</v>
      </c>
      <c r="G456" s="1186">
        <v>6</v>
      </c>
      <c r="H456" s="1186">
        <v>315423</v>
      </c>
    </row>
    <row r="457" spans="1:8" x14ac:dyDescent="0.2">
      <c r="A457" s="1186" t="s">
        <v>343</v>
      </c>
      <c r="B457" s="1186" t="s">
        <v>144</v>
      </c>
      <c r="C457" s="1186">
        <v>6</v>
      </c>
      <c r="D457" s="1186" t="s">
        <v>850</v>
      </c>
      <c r="E457" s="1186">
        <v>9</v>
      </c>
      <c r="F457" s="1186">
        <v>2015</v>
      </c>
      <c r="G457" s="1186">
        <v>6</v>
      </c>
      <c r="H457" s="1186">
        <v>315423</v>
      </c>
    </row>
    <row r="458" spans="1:8" x14ac:dyDescent="0.2">
      <c r="A458" s="1186" t="s">
        <v>343</v>
      </c>
      <c r="B458" s="1186" t="s">
        <v>144</v>
      </c>
      <c r="C458" s="1186">
        <v>6</v>
      </c>
      <c r="D458" s="1186" t="s">
        <v>828</v>
      </c>
      <c r="E458" s="1186">
        <v>27</v>
      </c>
      <c r="F458" s="1186">
        <v>2015</v>
      </c>
      <c r="G458" s="1186">
        <v>6</v>
      </c>
      <c r="H458" s="1186">
        <v>315423</v>
      </c>
    </row>
    <row r="459" spans="1:8" x14ac:dyDescent="0.2">
      <c r="A459" s="1186" t="s">
        <v>341</v>
      </c>
      <c r="B459" s="1186" t="s">
        <v>144</v>
      </c>
      <c r="C459" s="1186">
        <v>6</v>
      </c>
      <c r="D459" s="1186" t="s">
        <v>850</v>
      </c>
      <c r="E459" s="1186">
        <v>9</v>
      </c>
      <c r="F459" s="1186">
        <v>2015</v>
      </c>
      <c r="G459" s="1186">
        <v>6</v>
      </c>
      <c r="H459" s="1186">
        <v>315423</v>
      </c>
    </row>
    <row r="460" spans="1:8" x14ac:dyDescent="0.2">
      <c r="A460" s="1186" t="s">
        <v>343</v>
      </c>
      <c r="B460" s="1186" t="s">
        <v>282</v>
      </c>
      <c r="C460" s="1186">
        <v>6</v>
      </c>
      <c r="D460" s="1186" t="s">
        <v>852</v>
      </c>
      <c r="E460" s="1186">
        <v>6</v>
      </c>
      <c r="F460" s="1186">
        <v>2016</v>
      </c>
      <c r="G460" s="1186">
        <v>6</v>
      </c>
      <c r="H460" s="1186">
        <v>315497</v>
      </c>
    </row>
    <row r="461" spans="1:8" x14ac:dyDescent="0.2">
      <c r="A461" s="1186" t="s">
        <v>343</v>
      </c>
      <c r="B461" s="1186" t="s">
        <v>282</v>
      </c>
      <c r="C461" s="1186">
        <v>6</v>
      </c>
      <c r="D461" s="1186" t="s">
        <v>851</v>
      </c>
      <c r="E461" s="1186">
        <v>2</v>
      </c>
      <c r="F461" s="1186">
        <v>2016</v>
      </c>
      <c r="G461" s="1186">
        <v>6</v>
      </c>
      <c r="H461" s="1186">
        <v>315497</v>
      </c>
    </row>
    <row r="462" spans="1:8" x14ac:dyDescent="0.2">
      <c r="A462" s="1186" t="s">
        <v>343</v>
      </c>
      <c r="B462" s="1186" t="s">
        <v>282</v>
      </c>
      <c r="C462" s="1186">
        <v>6</v>
      </c>
      <c r="D462" s="1186" t="s">
        <v>850</v>
      </c>
      <c r="E462" s="1186">
        <v>3</v>
      </c>
      <c r="F462" s="1186">
        <v>2016</v>
      </c>
      <c r="G462" s="1186">
        <v>6</v>
      </c>
      <c r="H462" s="1186">
        <v>315497</v>
      </c>
    </row>
    <row r="463" spans="1:8" x14ac:dyDescent="0.2">
      <c r="A463" s="1186" t="s">
        <v>343</v>
      </c>
      <c r="B463" s="1186" t="s">
        <v>282</v>
      </c>
      <c r="C463" s="1186">
        <v>6</v>
      </c>
      <c r="D463" s="1186" t="s">
        <v>828</v>
      </c>
      <c r="E463" s="1186">
        <v>36</v>
      </c>
      <c r="F463" s="1186">
        <v>2016</v>
      </c>
      <c r="G463" s="1186">
        <v>6</v>
      </c>
      <c r="H463" s="1186">
        <v>315497</v>
      </c>
    </row>
    <row r="464" spans="1:8" x14ac:dyDescent="0.2">
      <c r="A464" s="1186" t="s">
        <v>342</v>
      </c>
      <c r="B464" s="1186" t="s">
        <v>282</v>
      </c>
      <c r="C464" s="1186">
        <v>6</v>
      </c>
      <c r="D464" s="1186" t="s">
        <v>828</v>
      </c>
      <c r="E464" s="1186">
        <v>6</v>
      </c>
      <c r="F464" s="1186">
        <v>2016</v>
      </c>
      <c r="G464" s="1186">
        <v>6</v>
      </c>
      <c r="H464" s="1186">
        <v>315497</v>
      </c>
    </row>
    <row r="465" spans="1:8" x14ac:dyDescent="0.2">
      <c r="A465" s="1186" t="s">
        <v>341</v>
      </c>
      <c r="B465" s="1186" t="s">
        <v>282</v>
      </c>
      <c r="C465" s="1186">
        <v>6</v>
      </c>
      <c r="D465" s="1186" t="s">
        <v>852</v>
      </c>
      <c r="E465" s="1186">
        <v>5</v>
      </c>
      <c r="F465" s="1186">
        <v>2016</v>
      </c>
      <c r="G465" s="1186">
        <v>6</v>
      </c>
      <c r="H465" s="1186">
        <v>315497</v>
      </c>
    </row>
    <row r="466" spans="1:8" x14ac:dyDescent="0.2">
      <c r="A466" s="1186" t="s">
        <v>341</v>
      </c>
      <c r="B466" s="1186" t="s">
        <v>282</v>
      </c>
      <c r="C466" s="1186">
        <v>6</v>
      </c>
      <c r="D466" s="1186" t="s">
        <v>851</v>
      </c>
      <c r="E466" s="1186">
        <v>2</v>
      </c>
      <c r="F466" s="1186">
        <v>2016</v>
      </c>
      <c r="G466" s="1186">
        <v>6</v>
      </c>
      <c r="H466" s="1186">
        <v>315497</v>
      </c>
    </row>
    <row r="467" spans="1:8" x14ac:dyDescent="0.2">
      <c r="A467" s="1186" t="s">
        <v>341</v>
      </c>
      <c r="B467" s="1186" t="s">
        <v>282</v>
      </c>
      <c r="C467" s="1186">
        <v>6</v>
      </c>
      <c r="D467" s="1186" t="s">
        <v>850</v>
      </c>
      <c r="E467" s="1186">
        <v>2</v>
      </c>
      <c r="F467" s="1186">
        <v>2016</v>
      </c>
      <c r="G467" s="1186">
        <v>6</v>
      </c>
      <c r="H467" s="1186">
        <v>315497</v>
      </c>
    </row>
    <row r="468" spans="1:8" x14ac:dyDescent="0.2">
      <c r="A468" s="1186" t="s">
        <v>342</v>
      </c>
      <c r="B468" s="1186" t="s">
        <v>282</v>
      </c>
      <c r="C468" s="1186">
        <v>6</v>
      </c>
      <c r="D468" s="1186" t="s">
        <v>851</v>
      </c>
      <c r="E468" s="1186">
        <v>1</v>
      </c>
      <c r="F468" s="1186">
        <v>2016</v>
      </c>
      <c r="G468" s="1186">
        <v>6</v>
      </c>
      <c r="H468" s="1186">
        <v>315497</v>
      </c>
    </row>
    <row r="469" spans="1:8" x14ac:dyDescent="0.2">
      <c r="A469" s="1186" t="s">
        <v>341</v>
      </c>
      <c r="B469" s="1186" t="s">
        <v>282</v>
      </c>
      <c r="C469" s="1186">
        <v>6</v>
      </c>
      <c r="D469" s="1186" t="s">
        <v>828</v>
      </c>
      <c r="E469" s="1186">
        <v>22</v>
      </c>
      <c r="F469" s="1186">
        <v>2016</v>
      </c>
      <c r="G469" s="1186">
        <v>6</v>
      </c>
      <c r="H469" s="1186">
        <v>315497</v>
      </c>
    </row>
    <row r="470" spans="1:8" x14ac:dyDescent="0.2">
      <c r="A470" s="1186" t="s">
        <v>341</v>
      </c>
      <c r="B470" s="1186" t="s">
        <v>311</v>
      </c>
      <c r="C470" s="1186">
        <v>6</v>
      </c>
      <c r="D470" s="1186" t="s">
        <v>852</v>
      </c>
      <c r="E470" s="1186">
        <v>2</v>
      </c>
      <c r="F470" s="1186">
        <v>2017</v>
      </c>
      <c r="G470" s="1186">
        <v>6</v>
      </c>
      <c r="H470" s="1186">
        <v>316157</v>
      </c>
    </row>
    <row r="471" spans="1:8" x14ac:dyDescent="0.2">
      <c r="A471" s="1186" t="s">
        <v>343</v>
      </c>
      <c r="B471" s="1186" t="s">
        <v>311</v>
      </c>
      <c r="C471" s="1186">
        <v>6</v>
      </c>
      <c r="D471" s="1186" t="s">
        <v>851</v>
      </c>
      <c r="E471" s="1186">
        <v>5</v>
      </c>
      <c r="F471" s="1186">
        <v>2017</v>
      </c>
      <c r="G471" s="1186">
        <v>6</v>
      </c>
      <c r="H471" s="1186">
        <v>316157</v>
      </c>
    </row>
    <row r="472" spans="1:8" x14ac:dyDescent="0.2">
      <c r="A472" s="1186" t="s">
        <v>343</v>
      </c>
      <c r="B472" s="1186" t="s">
        <v>311</v>
      </c>
      <c r="C472" s="1186">
        <v>6</v>
      </c>
      <c r="D472" s="1186" t="s">
        <v>852</v>
      </c>
      <c r="E472" s="1186">
        <v>3</v>
      </c>
      <c r="F472" s="1186">
        <v>2017</v>
      </c>
      <c r="G472" s="1186">
        <v>6</v>
      </c>
      <c r="H472" s="1186">
        <v>316157</v>
      </c>
    </row>
    <row r="473" spans="1:8" x14ac:dyDescent="0.2">
      <c r="A473" s="1186" t="s">
        <v>341</v>
      </c>
      <c r="B473" s="1186" t="s">
        <v>311</v>
      </c>
      <c r="C473" s="1186">
        <v>6</v>
      </c>
      <c r="D473" s="1186" t="s">
        <v>851</v>
      </c>
      <c r="E473" s="1186">
        <v>5</v>
      </c>
      <c r="F473" s="1186">
        <v>2017</v>
      </c>
      <c r="G473" s="1186">
        <v>6</v>
      </c>
      <c r="H473" s="1186">
        <v>316157</v>
      </c>
    </row>
    <row r="474" spans="1:8" x14ac:dyDescent="0.2">
      <c r="A474" s="1186" t="s">
        <v>343</v>
      </c>
      <c r="B474" s="1186" t="s">
        <v>311</v>
      </c>
      <c r="C474" s="1186">
        <v>6</v>
      </c>
      <c r="D474" s="1186" t="s">
        <v>828</v>
      </c>
      <c r="E474" s="1186">
        <v>35</v>
      </c>
      <c r="F474" s="1186">
        <v>2017</v>
      </c>
      <c r="G474" s="1186">
        <v>6</v>
      </c>
      <c r="H474" s="1186">
        <v>316157</v>
      </c>
    </row>
    <row r="475" spans="1:8" x14ac:dyDescent="0.2">
      <c r="A475" s="1186" t="s">
        <v>341</v>
      </c>
      <c r="B475" s="1186" t="s">
        <v>311</v>
      </c>
      <c r="C475" s="1186">
        <v>6</v>
      </c>
      <c r="D475" s="1186" t="s">
        <v>828</v>
      </c>
      <c r="E475" s="1186">
        <v>27</v>
      </c>
      <c r="F475" s="1186">
        <v>2017</v>
      </c>
      <c r="G475" s="1186">
        <v>6</v>
      </c>
      <c r="H475" s="1186">
        <v>316157</v>
      </c>
    </row>
    <row r="476" spans="1:8" x14ac:dyDescent="0.2">
      <c r="A476" s="1186" t="s">
        <v>341</v>
      </c>
      <c r="B476" s="1186" t="s">
        <v>311</v>
      </c>
      <c r="C476" s="1186">
        <v>6</v>
      </c>
      <c r="D476" s="1186" t="s">
        <v>850</v>
      </c>
      <c r="E476" s="1186">
        <v>3</v>
      </c>
      <c r="F476" s="1186">
        <v>2017</v>
      </c>
      <c r="G476" s="1186">
        <v>6</v>
      </c>
      <c r="H476" s="1186">
        <v>316157</v>
      </c>
    </row>
    <row r="477" spans="1:8" x14ac:dyDescent="0.2">
      <c r="A477" s="1186" t="s">
        <v>343</v>
      </c>
      <c r="B477" s="1186" t="s">
        <v>311</v>
      </c>
      <c r="C477" s="1186">
        <v>6</v>
      </c>
      <c r="D477" s="1186" t="s">
        <v>850</v>
      </c>
      <c r="E477" s="1186">
        <v>5</v>
      </c>
      <c r="F477" s="1186">
        <v>2017</v>
      </c>
      <c r="G477" s="1186">
        <v>6</v>
      </c>
      <c r="H477" s="1186">
        <v>316157</v>
      </c>
    </row>
    <row r="478" spans="1:8" x14ac:dyDescent="0.2">
      <c r="A478" s="1186" t="s">
        <v>342</v>
      </c>
      <c r="B478" s="1186" t="s">
        <v>311</v>
      </c>
      <c r="C478" s="1186">
        <v>6</v>
      </c>
      <c r="D478" s="1186" t="s">
        <v>828</v>
      </c>
      <c r="E478" s="1186">
        <v>2</v>
      </c>
      <c r="F478" s="1186">
        <v>2017</v>
      </c>
      <c r="G478" s="1186">
        <v>6</v>
      </c>
      <c r="H478" s="1186">
        <v>316157</v>
      </c>
    </row>
    <row r="479" spans="1:8" x14ac:dyDescent="0.2">
      <c r="A479" s="1186" t="s">
        <v>343</v>
      </c>
      <c r="B479" s="1186" t="s">
        <v>621</v>
      </c>
      <c r="C479" s="1186">
        <v>6</v>
      </c>
      <c r="D479" s="1186" t="s">
        <v>852</v>
      </c>
      <c r="E479" s="1186">
        <v>4</v>
      </c>
      <c r="F479" s="1186">
        <v>2018</v>
      </c>
      <c r="G479" s="1186">
        <v>6</v>
      </c>
      <c r="H479" s="1186">
        <v>316187</v>
      </c>
    </row>
    <row r="480" spans="1:8" x14ac:dyDescent="0.2">
      <c r="A480" s="1186" t="s">
        <v>341</v>
      </c>
      <c r="B480" s="1186" t="s">
        <v>621</v>
      </c>
      <c r="C480" s="1186">
        <v>6</v>
      </c>
      <c r="D480" s="1186" t="s">
        <v>828</v>
      </c>
      <c r="E480" s="1186">
        <v>25</v>
      </c>
      <c r="F480" s="1186">
        <v>2018</v>
      </c>
      <c r="G480" s="1186">
        <v>6</v>
      </c>
      <c r="H480" s="1186">
        <v>316187</v>
      </c>
    </row>
    <row r="481" spans="1:8" x14ac:dyDescent="0.2">
      <c r="A481" s="1186" t="s">
        <v>341</v>
      </c>
      <c r="B481" s="1186" t="s">
        <v>621</v>
      </c>
      <c r="C481" s="1186">
        <v>6</v>
      </c>
      <c r="D481" s="1186" t="s">
        <v>850</v>
      </c>
      <c r="E481" s="1186">
        <v>4</v>
      </c>
      <c r="F481" s="1186">
        <v>2018</v>
      </c>
      <c r="G481" s="1186">
        <v>6</v>
      </c>
      <c r="H481" s="1186">
        <v>316187</v>
      </c>
    </row>
    <row r="482" spans="1:8" x14ac:dyDescent="0.2">
      <c r="A482" s="1186" t="s">
        <v>341</v>
      </c>
      <c r="B482" s="1186" t="s">
        <v>621</v>
      </c>
      <c r="C482" s="1186">
        <v>6</v>
      </c>
      <c r="D482" s="1186" t="s">
        <v>851</v>
      </c>
      <c r="E482" s="1186">
        <v>3</v>
      </c>
      <c r="F482" s="1186">
        <v>2018</v>
      </c>
      <c r="G482" s="1186">
        <v>6</v>
      </c>
      <c r="H482" s="1186">
        <v>316187</v>
      </c>
    </row>
    <row r="483" spans="1:8" x14ac:dyDescent="0.2">
      <c r="A483" s="1186" t="s">
        <v>341</v>
      </c>
      <c r="B483" s="1186" t="s">
        <v>621</v>
      </c>
      <c r="C483" s="1186">
        <v>6</v>
      </c>
      <c r="D483" s="1186" t="s">
        <v>852</v>
      </c>
      <c r="E483" s="1186">
        <v>4</v>
      </c>
      <c r="F483" s="1186">
        <v>2018</v>
      </c>
      <c r="G483" s="1186">
        <v>6</v>
      </c>
      <c r="H483" s="1186">
        <v>316187</v>
      </c>
    </row>
    <row r="484" spans="1:8" x14ac:dyDescent="0.2">
      <c r="A484" s="1186" t="s">
        <v>343</v>
      </c>
      <c r="B484" s="1186" t="s">
        <v>621</v>
      </c>
      <c r="C484" s="1186">
        <v>6</v>
      </c>
      <c r="D484" s="1186" t="s">
        <v>851</v>
      </c>
      <c r="E484" s="1186">
        <v>3</v>
      </c>
      <c r="F484" s="1186">
        <v>2018</v>
      </c>
      <c r="G484" s="1186">
        <v>6</v>
      </c>
      <c r="H484" s="1186">
        <v>316187</v>
      </c>
    </row>
    <row r="485" spans="1:8" x14ac:dyDescent="0.2">
      <c r="A485" s="1186" t="s">
        <v>343</v>
      </c>
      <c r="B485" s="1186" t="s">
        <v>621</v>
      </c>
      <c r="C485" s="1186">
        <v>6</v>
      </c>
      <c r="D485" s="1186" t="s">
        <v>850</v>
      </c>
      <c r="E485" s="1186">
        <v>4</v>
      </c>
      <c r="F485" s="1186">
        <v>2018</v>
      </c>
      <c r="G485" s="1186">
        <v>6</v>
      </c>
      <c r="H485" s="1186">
        <v>316187</v>
      </c>
    </row>
    <row r="486" spans="1:8" x14ac:dyDescent="0.2">
      <c r="A486" s="1186" t="s">
        <v>343</v>
      </c>
      <c r="B486" s="1186" t="s">
        <v>621</v>
      </c>
      <c r="C486" s="1186">
        <v>6</v>
      </c>
      <c r="D486" s="1186" t="s">
        <v>828</v>
      </c>
      <c r="E486" s="1186">
        <v>34</v>
      </c>
      <c r="F486" s="1186">
        <v>2018</v>
      </c>
      <c r="G486" s="1186">
        <v>6</v>
      </c>
      <c r="H486" s="1186">
        <v>316187</v>
      </c>
    </row>
    <row r="487" spans="1:8" x14ac:dyDescent="0.2">
      <c r="A487" s="1186" t="s">
        <v>342</v>
      </c>
      <c r="B487" s="1186" t="s">
        <v>621</v>
      </c>
      <c r="C487" s="1186">
        <v>6</v>
      </c>
      <c r="D487" s="1186" t="s">
        <v>828</v>
      </c>
      <c r="E487" s="1186">
        <v>2</v>
      </c>
      <c r="F487" s="1186">
        <v>2018</v>
      </c>
      <c r="G487" s="1186">
        <v>6</v>
      </c>
      <c r="H487" s="1186">
        <v>316187</v>
      </c>
    </row>
    <row r="488" spans="1:8" x14ac:dyDescent="0.2">
      <c r="A488" s="1186" t="s">
        <v>343</v>
      </c>
      <c r="B488" s="1186" t="s">
        <v>1419</v>
      </c>
      <c r="C488" s="1186">
        <v>6</v>
      </c>
      <c r="D488" s="1186" t="s">
        <v>828</v>
      </c>
      <c r="E488" s="1186">
        <v>26</v>
      </c>
      <c r="F488" s="1186">
        <v>2019</v>
      </c>
      <c r="G488" s="1186">
        <v>6</v>
      </c>
      <c r="H488" s="1186">
        <v>316166</v>
      </c>
    </row>
    <row r="489" spans="1:8" x14ac:dyDescent="0.2">
      <c r="A489" s="1186" t="s">
        <v>343</v>
      </c>
      <c r="B489" s="1186" t="s">
        <v>1419</v>
      </c>
      <c r="C489" s="1186">
        <v>6</v>
      </c>
      <c r="D489" s="1186" t="s">
        <v>852</v>
      </c>
      <c r="E489" s="1186">
        <v>1</v>
      </c>
      <c r="F489" s="1186">
        <v>2019</v>
      </c>
      <c r="G489" s="1186">
        <v>6</v>
      </c>
      <c r="H489" s="1186">
        <v>316166</v>
      </c>
    </row>
    <row r="490" spans="1:8" x14ac:dyDescent="0.2">
      <c r="A490" s="1186" t="s">
        <v>342</v>
      </c>
      <c r="B490" s="1186" t="s">
        <v>1419</v>
      </c>
      <c r="C490" s="1186">
        <v>6</v>
      </c>
      <c r="D490" s="1186" t="s">
        <v>828</v>
      </c>
      <c r="E490" s="1186">
        <v>3</v>
      </c>
      <c r="F490" s="1186">
        <v>2019</v>
      </c>
      <c r="G490" s="1186">
        <v>6</v>
      </c>
      <c r="H490" s="1186">
        <v>316166</v>
      </c>
    </row>
    <row r="491" spans="1:8" x14ac:dyDescent="0.2">
      <c r="A491" s="1186" t="s">
        <v>343</v>
      </c>
      <c r="B491" s="1186" t="s">
        <v>1419</v>
      </c>
      <c r="C491" s="1186">
        <v>6</v>
      </c>
      <c r="D491" s="1186" t="s">
        <v>850</v>
      </c>
      <c r="E491" s="1186">
        <v>7</v>
      </c>
      <c r="F491" s="1186">
        <v>2019</v>
      </c>
      <c r="G491" s="1186">
        <v>6</v>
      </c>
      <c r="H491" s="1186">
        <v>316166</v>
      </c>
    </row>
    <row r="492" spans="1:8" x14ac:dyDescent="0.2">
      <c r="A492" s="1186" t="s">
        <v>341</v>
      </c>
      <c r="B492" s="1186" t="s">
        <v>1419</v>
      </c>
      <c r="C492" s="1186">
        <v>6</v>
      </c>
      <c r="D492" s="1186" t="s">
        <v>851</v>
      </c>
      <c r="E492" s="1186">
        <v>4</v>
      </c>
      <c r="F492" s="1186">
        <v>2019</v>
      </c>
      <c r="G492" s="1186">
        <v>6</v>
      </c>
      <c r="H492" s="1186">
        <v>316166</v>
      </c>
    </row>
    <row r="493" spans="1:8" x14ac:dyDescent="0.2">
      <c r="A493" s="1186" t="s">
        <v>341</v>
      </c>
      <c r="B493" s="1186" t="s">
        <v>1419</v>
      </c>
      <c r="C493" s="1186">
        <v>6</v>
      </c>
      <c r="D493" s="1186" t="s">
        <v>850</v>
      </c>
      <c r="E493" s="1186">
        <v>7</v>
      </c>
      <c r="F493" s="1186">
        <v>2019</v>
      </c>
      <c r="G493" s="1186">
        <v>6</v>
      </c>
      <c r="H493" s="1186">
        <v>316166</v>
      </c>
    </row>
    <row r="494" spans="1:8" x14ac:dyDescent="0.2">
      <c r="A494" s="1186" t="s">
        <v>341</v>
      </c>
      <c r="B494" s="1186" t="s">
        <v>1419</v>
      </c>
      <c r="C494" s="1186">
        <v>6</v>
      </c>
      <c r="D494" s="1186" t="s">
        <v>828</v>
      </c>
      <c r="E494" s="1186">
        <v>21</v>
      </c>
      <c r="F494" s="1186">
        <v>2019</v>
      </c>
      <c r="G494" s="1186">
        <v>6</v>
      </c>
      <c r="H494" s="1186">
        <v>316166</v>
      </c>
    </row>
    <row r="495" spans="1:8" x14ac:dyDescent="0.2">
      <c r="A495" s="1186" t="s">
        <v>341</v>
      </c>
      <c r="B495" s="1186" t="s">
        <v>1419</v>
      </c>
      <c r="C495" s="1186">
        <v>6</v>
      </c>
      <c r="D495" s="1186" t="s">
        <v>852</v>
      </c>
      <c r="E495" s="1186">
        <v>1</v>
      </c>
      <c r="F495" s="1186">
        <v>2019</v>
      </c>
      <c r="G495" s="1186">
        <v>6</v>
      </c>
      <c r="H495" s="1186">
        <v>316166</v>
      </c>
    </row>
    <row r="496" spans="1:8" x14ac:dyDescent="0.2">
      <c r="A496" s="1186" t="s">
        <v>343</v>
      </c>
      <c r="B496" s="1186" t="s">
        <v>1419</v>
      </c>
      <c r="C496" s="1186">
        <v>6</v>
      </c>
      <c r="D496" s="1186" t="s">
        <v>851</v>
      </c>
      <c r="E496" s="1186">
        <v>5</v>
      </c>
      <c r="F496" s="1186">
        <v>2019</v>
      </c>
      <c r="G496" s="1186">
        <v>6</v>
      </c>
      <c r="H496" s="1186">
        <v>316166</v>
      </c>
    </row>
    <row r="497" spans="1:8" x14ac:dyDescent="0.2">
      <c r="A497" s="1186" t="s">
        <v>343</v>
      </c>
      <c r="B497" s="1186" t="s">
        <v>1572</v>
      </c>
      <c r="C497" s="1186">
        <v>6</v>
      </c>
      <c r="D497" s="1186" t="s">
        <v>852</v>
      </c>
      <c r="E497" s="1186">
        <v>6</v>
      </c>
      <c r="F497" s="1186">
        <v>2020</v>
      </c>
      <c r="G497" s="1186">
        <v>6</v>
      </c>
      <c r="H497" s="1186">
        <v>315090</v>
      </c>
    </row>
    <row r="498" spans="1:8" x14ac:dyDescent="0.2">
      <c r="A498" s="1186" t="s">
        <v>343</v>
      </c>
      <c r="B498" s="1186" t="s">
        <v>1572</v>
      </c>
      <c r="C498" s="1186">
        <v>6</v>
      </c>
      <c r="D498" s="1186" t="s">
        <v>851</v>
      </c>
      <c r="E498" s="1186">
        <v>1</v>
      </c>
      <c r="F498" s="1186">
        <v>2020</v>
      </c>
      <c r="G498" s="1186">
        <v>6</v>
      </c>
      <c r="H498" s="1186">
        <v>315090</v>
      </c>
    </row>
    <row r="499" spans="1:8" x14ac:dyDescent="0.2">
      <c r="A499" s="1186" t="s">
        <v>343</v>
      </c>
      <c r="B499" s="1186" t="s">
        <v>1572</v>
      </c>
      <c r="C499" s="1186">
        <v>6</v>
      </c>
      <c r="D499" s="1186" t="s">
        <v>850</v>
      </c>
      <c r="E499" s="1186">
        <v>7</v>
      </c>
      <c r="F499" s="1186">
        <v>2020</v>
      </c>
      <c r="G499" s="1186">
        <v>6</v>
      </c>
      <c r="H499" s="1186">
        <v>315090</v>
      </c>
    </row>
    <row r="500" spans="1:8" x14ac:dyDescent="0.2">
      <c r="A500" s="1186" t="s">
        <v>343</v>
      </c>
      <c r="B500" s="1186" t="s">
        <v>1572</v>
      </c>
      <c r="C500" s="1186">
        <v>6</v>
      </c>
      <c r="D500" s="1186" t="s">
        <v>828</v>
      </c>
      <c r="E500" s="1186">
        <v>16</v>
      </c>
      <c r="F500" s="1186">
        <v>2020</v>
      </c>
      <c r="G500" s="1186">
        <v>6</v>
      </c>
      <c r="H500" s="1186">
        <v>315090</v>
      </c>
    </row>
    <row r="501" spans="1:8" x14ac:dyDescent="0.2">
      <c r="A501" s="1186" t="s">
        <v>342</v>
      </c>
      <c r="B501" s="1186" t="s">
        <v>1572</v>
      </c>
      <c r="C501" s="1186">
        <v>6</v>
      </c>
      <c r="D501" s="1186" t="s">
        <v>851</v>
      </c>
      <c r="E501" s="1186">
        <v>1</v>
      </c>
      <c r="F501" s="1186">
        <v>2020</v>
      </c>
      <c r="G501" s="1186">
        <v>6</v>
      </c>
      <c r="H501" s="1186">
        <v>315090</v>
      </c>
    </row>
    <row r="502" spans="1:8" x14ac:dyDescent="0.2">
      <c r="A502" s="1186" t="s">
        <v>342</v>
      </c>
      <c r="B502" s="1186" t="s">
        <v>1572</v>
      </c>
      <c r="C502" s="1186">
        <v>6</v>
      </c>
      <c r="D502" s="1186" t="s">
        <v>850</v>
      </c>
      <c r="E502" s="1186">
        <v>1</v>
      </c>
      <c r="F502" s="1186">
        <v>2020</v>
      </c>
      <c r="G502" s="1186">
        <v>6</v>
      </c>
      <c r="H502" s="1186">
        <v>315090</v>
      </c>
    </row>
    <row r="503" spans="1:8" x14ac:dyDescent="0.2">
      <c r="A503" s="1186" t="s">
        <v>341</v>
      </c>
      <c r="B503" s="1186" t="s">
        <v>1572</v>
      </c>
      <c r="C503" s="1186">
        <v>6</v>
      </c>
      <c r="D503" s="1186" t="s">
        <v>851</v>
      </c>
      <c r="E503" s="1186">
        <v>1</v>
      </c>
      <c r="F503" s="1186">
        <v>2020</v>
      </c>
      <c r="G503" s="1186">
        <v>6</v>
      </c>
      <c r="H503" s="1186">
        <v>315090</v>
      </c>
    </row>
    <row r="504" spans="1:8" x14ac:dyDescent="0.2">
      <c r="A504" s="1186" t="s">
        <v>341</v>
      </c>
      <c r="B504" s="1186" t="s">
        <v>1572</v>
      </c>
      <c r="C504" s="1186">
        <v>6</v>
      </c>
      <c r="D504" s="1186" t="s">
        <v>852</v>
      </c>
      <c r="E504" s="1186">
        <v>6</v>
      </c>
      <c r="F504" s="1186">
        <v>2020</v>
      </c>
      <c r="G504" s="1186">
        <v>6</v>
      </c>
      <c r="H504" s="1186">
        <v>315090</v>
      </c>
    </row>
    <row r="505" spans="1:8" x14ac:dyDescent="0.2">
      <c r="A505" s="1186" t="s">
        <v>341</v>
      </c>
      <c r="B505" s="1186" t="s">
        <v>1572</v>
      </c>
      <c r="C505" s="1186">
        <v>6</v>
      </c>
      <c r="D505" s="1186" t="s">
        <v>828</v>
      </c>
      <c r="E505" s="1186">
        <v>9</v>
      </c>
      <c r="F505" s="1186">
        <v>2020</v>
      </c>
      <c r="G505" s="1186">
        <v>6</v>
      </c>
      <c r="H505" s="1186">
        <v>315090</v>
      </c>
    </row>
    <row r="506" spans="1:8" x14ac:dyDescent="0.2">
      <c r="A506" s="1186" t="s">
        <v>341</v>
      </c>
      <c r="B506" s="1186" t="s">
        <v>1572</v>
      </c>
      <c r="C506" s="1186">
        <v>6</v>
      </c>
      <c r="D506" s="1186" t="s">
        <v>850</v>
      </c>
      <c r="E506" s="1186">
        <v>7</v>
      </c>
      <c r="F506" s="1186">
        <v>2020</v>
      </c>
      <c r="G506" s="1186">
        <v>6</v>
      </c>
      <c r="H506" s="1186">
        <v>315090</v>
      </c>
    </row>
    <row r="507" spans="1:8" x14ac:dyDescent="0.2">
      <c r="A507" s="1186" t="s">
        <v>342</v>
      </c>
      <c r="B507" s="1186" t="s">
        <v>1572</v>
      </c>
      <c r="C507" s="1186">
        <v>6</v>
      </c>
      <c r="D507" s="1186" t="s">
        <v>828</v>
      </c>
      <c r="E507" s="1186">
        <v>2</v>
      </c>
      <c r="F507" s="1186">
        <v>2020</v>
      </c>
      <c r="G507" s="1186">
        <v>6</v>
      </c>
      <c r="H507" s="1186">
        <v>315090</v>
      </c>
    </row>
  </sheetData>
  <pageMargins left="0.7" right="0.7" top="0.75" bottom="0.75" header="0.3" footer="0.3"/>
  <pageSetup paperSize="9" fitToHeight="50" orientation="landscape" r:id="rId1"/>
  <legacyDrawing r:id="rId2"/>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pageSetUpPr fitToPage="1"/>
  </sheetPr>
  <dimension ref="A1:G28"/>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cols>
    <col min="1" max="1" width="13" bestFit="1" customWidth="1"/>
    <col min="2" max="2" width="7.42578125" bestFit="1" customWidth="1"/>
    <col min="3" max="4" width="6.42578125" bestFit="1" customWidth="1"/>
    <col min="5" max="5" width="5" bestFit="1" customWidth="1"/>
    <col min="6" max="6" width="7.28515625" bestFit="1" customWidth="1"/>
    <col min="7" max="7" width="6.5703125" bestFit="1" customWidth="1"/>
  </cols>
  <sheetData>
    <row r="1" spans="1:7" x14ac:dyDescent="0.2"/>
    <row r="4" spans="1:7" x14ac:dyDescent="0.2">
      <c r="A4" s="1223" t="s">
        <v>1912</v>
      </c>
      <c r="B4" s="1223" t="s">
        <v>4</v>
      </c>
      <c r="C4" s="1225">
        <v>44520</v>
      </c>
      <c r="D4" s="1225">
        <v>44357</v>
      </c>
      <c r="E4" s="1223" t="s">
        <v>1000</v>
      </c>
      <c r="F4" s="1223" t="s">
        <v>1003</v>
      </c>
      <c r="G4" s="1223" t="s">
        <v>2036</v>
      </c>
    </row>
    <row r="5" spans="1:7" x14ac:dyDescent="0.2">
      <c r="A5" s="1186" t="s">
        <v>752</v>
      </c>
      <c r="B5" s="1186" t="s">
        <v>19</v>
      </c>
      <c r="C5" s="1186">
        <v>218</v>
      </c>
      <c r="D5" s="1186">
        <v>302</v>
      </c>
      <c r="E5" s="1186">
        <v>849</v>
      </c>
      <c r="F5" s="1186">
        <v>274</v>
      </c>
      <c r="G5" s="1186">
        <v>1953</v>
      </c>
    </row>
    <row r="6" spans="1:7" x14ac:dyDescent="0.2">
      <c r="A6" s="1186" t="s">
        <v>752</v>
      </c>
      <c r="B6" s="1186" t="s">
        <v>20</v>
      </c>
      <c r="C6" s="1186">
        <v>217</v>
      </c>
      <c r="D6" s="1186">
        <v>333</v>
      </c>
      <c r="E6" s="1186">
        <v>954</v>
      </c>
      <c r="F6" s="1186">
        <v>330</v>
      </c>
      <c r="G6" s="1186">
        <v>1904</v>
      </c>
    </row>
    <row r="7" spans="1:7" x14ac:dyDescent="0.2">
      <c r="A7" s="1186" t="s">
        <v>752</v>
      </c>
      <c r="B7" s="1186" t="s">
        <v>13</v>
      </c>
      <c r="C7" s="1186">
        <v>212</v>
      </c>
      <c r="D7" s="1186">
        <v>299</v>
      </c>
      <c r="E7" s="1186">
        <v>900</v>
      </c>
      <c r="F7" s="1186">
        <v>241</v>
      </c>
      <c r="G7" s="1186">
        <v>1953</v>
      </c>
    </row>
    <row r="8" spans="1:7" x14ac:dyDescent="0.2">
      <c r="A8" s="1186" t="s">
        <v>752</v>
      </c>
      <c r="B8" s="1186" t="s">
        <v>15</v>
      </c>
      <c r="C8" s="1186">
        <v>200</v>
      </c>
      <c r="D8" s="1186">
        <v>295</v>
      </c>
      <c r="E8" s="1186">
        <v>821</v>
      </c>
      <c r="F8" s="1186">
        <v>236</v>
      </c>
      <c r="G8" s="1186">
        <v>1740</v>
      </c>
    </row>
    <row r="9" spans="1:7" x14ac:dyDescent="0.2">
      <c r="A9" s="1186" t="s">
        <v>752</v>
      </c>
      <c r="B9" s="1186" t="s">
        <v>17</v>
      </c>
      <c r="C9" s="1186">
        <v>188</v>
      </c>
      <c r="D9" s="1186">
        <v>278</v>
      </c>
      <c r="E9" s="1186">
        <v>652</v>
      </c>
      <c r="F9" s="1186">
        <v>205</v>
      </c>
      <c r="G9" s="1186">
        <v>1550</v>
      </c>
    </row>
    <row r="10" spans="1:7" x14ac:dyDescent="0.2">
      <c r="A10" s="1186" t="s">
        <v>752</v>
      </c>
      <c r="B10" s="1186" t="s">
        <v>133</v>
      </c>
      <c r="C10" s="1186">
        <v>151</v>
      </c>
      <c r="D10" s="1186">
        <v>278</v>
      </c>
      <c r="E10" s="1186">
        <v>799</v>
      </c>
      <c r="F10" s="1186">
        <v>211</v>
      </c>
      <c r="G10" s="1186">
        <v>1585</v>
      </c>
    </row>
    <row r="11" spans="1:7" x14ac:dyDescent="0.2">
      <c r="A11" s="1186" t="s">
        <v>752</v>
      </c>
      <c r="B11" s="1186" t="s">
        <v>144</v>
      </c>
      <c r="C11" s="1186">
        <v>192</v>
      </c>
      <c r="D11" s="1186">
        <v>293</v>
      </c>
      <c r="E11" s="1186">
        <v>821</v>
      </c>
      <c r="F11" s="1186">
        <v>190</v>
      </c>
      <c r="G11" s="1186">
        <v>1546</v>
      </c>
    </row>
    <row r="12" spans="1:7" x14ac:dyDescent="0.2">
      <c r="A12" s="1186" t="s">
        <v>752</v>
      </c>
      <c r="B12" s="1186" t="s">
        <v>282</v>
      </c>
      <c r="C12" s="1186">
        <v>159</v>
      </c>
      <c r="D12" s="1186">
        <v>269</v>
      </c>
      <c r="E12" s="1186">
        <v>816</v>
      </c>
      <c r="F12" s="1186">
        <v>226</v>
      </c>
      <c r="G12" s="1186">
        <v>1442</v>
      </c>
    </row>
    <row r="13" spans="1:7" x14ac:dyDescent="0.2">
      <c r="A13" s="1186" t="s">
        <v>752</v>
      </c>
      <c r="B13" s="1186" t="s">
        <v>311</v>
      </c>
      <c r="C13" s="1186">
        <v>172</v>
      </c>
      <c r="D13" s="1186">
        <v>258</v>
      </c>
      <c r="E13" s="1186">
        <v>802</v>
      </c>
      <c r="F13" s="1186">
        <v>212</v>
      </c>
      <c r="G13" s="1186">
        <v>1386</v>
      </c>
    </row>
    <row r="14" spans="1:7" x14ac:dyDescent="0.2">
      <c r="A14" s="1186" t="s">
        <v>752</v>
      </c>
      <c r="B14" s="1186" t="s">
        <v>621</v>
      </c>
      <c r="C14" s="1186">
        <v>182</v>
      </c>
      <c r="D14" s="1186">
        <v>260</v>
      </c>
      <c r="E14" s="1186">
        <v>789</v>
      </c>
      <c r="F14" s="1186">
        <v>216</v>
      </c>
      <c r="G14" s="1186">
        <v>1255</v>
      </c>
    </row>
    <row r="15" spans="1:7" x14ac:dyDescent="0.2">
      <c r="A15" s="1186" t="s">
        <v>752</v>
      </c>
      <c r="B15" s="1186" t="s">
        <v>1419</v>
      </c>
      <c r="C15" s="1186">
        <v>176</v>
      </c>
      <c r="D15" s="1186">
        <v>229</v>
      </c>
      <c r="E15" s="1186">
        <v>835</v>
      </c>
      <c r="F15" s="1186">
        <v>218</v>
      </c>
      <c r="G15" s="1186">
        <v>1119</v>
      </c>
    </row>
    <row r="16" spans="1:7" x14ac:dyDescent="0.2">
      <c r="A16" s="1186" t="s">
        <v>752</v>
      </c>
      <c r="B16" s="1186" t="s">
        <v>1572</v>
      </c>
      <c r="C16" s="1186">
        <v>150</v>
      </c>
      <c r="D16" s="1186">
        <v>243</v>
      </c>
      <c r="E16" s="1186">
        <v>823</v>
      </c>
      <c r="F16" s="1186">
        <v>187</v>
      </c>
      <c r="G16" s="1186">
        <v>1157</v>
      </c>
    </row>
    <row r="17" spans="1:7" x14ac:dyDescent="0.2">
      <c r="A17" s="1186" t="s">
        <v>6</v>
      </c>
      <c r="B17" s="1186" t="s">
        <v>19</v>
      </c>
      <c r="C17" s="1186">
        <v>178</v>
      </c>
      <c r="D17" s="1186">
        <v>272</v>
      </c>
      <c r="E17" s="1186">
        <v>521</v>
      </c>
      <c r="F17" s="1186">
        <v>295</v>
      </c>
      <c r="G17" s="1186">
        <v>1175</v>
      </c>
    </row>
    <row r="18" spans="1:7" x14ac:dyDescent="0.2">
      <c r="A18" s="1186" t="s">
        <v>6</v>
      </c>
      <c r="B18" s="1186" t="s">
        <v>20</v>
      </c>
      <c r="C18" s="1186">
        <v>143</v>
      </c>
      <c r="D18" s="1186">
        <v>208</v>
      </c>
      <c r="E18" s="1186">
        <v>442</v>
      </c>
      <c r="F18" s="1186">
        <v>282</v>
      </c>
      <c r="G18" s="1186">
        <v>902</v>
      </c>
    </row>
    <row r="19" spans="1:7" x14ac:dyDescent="0.2">
      <c r="A19" s="1186" t="s">
        <v>6</v>
      </c>
      <c r="B19" s="1186" t="s">
        <v>13</v>
      </c>
      <c r="C19" s="1186">
        <v>158</v>
      </c>
      <c r="D19" s="1186">
        <v>214</v>
      </c>
      <c r="E19" s="1186">
        <v>330</v>
      </c>
      <c r="F19" s="1186">
        <v>267</v>
      </c>
      <c r="G19" s="1186">
        <v>861</v>
      </c>
    </row>
    <row r="20" spans="1:7" x14ac:dyDescent="0.2">
      <c r="A20" s="1186" t="s">
        <v>6</v>
      </c>
      <c r="B20" s="1186" t="s">
        <v>15</v>
      </c>
      <c r="C20" s="1186">
        <v>124</v>
      </c>
      <c r="D20" s="1186">
        <v>201</v>
      </c>
      <c r="E20" s="1186">
        <v>304</v>
      </c>
      <c r="F20" s="1186">
        <v>227</v>
      </c>
      <c r="G20" s="1186">
        <v>709</v>
      </c>
    </row>
    <row r="21" spans="1:7" x14ac:dyDescent="0.2">
      <c r="A21" s="1186" t="s">
        <v>6</v>
      </c>
      <c r="B21" s="1186" t="s">
        <v>17</v>
      </c>
      <c r="C21" s="1186">
        <v>162</v>
      </c>
      <c r="D21" s="1186">
        <v>186</v>
      </c>
      <c r="E21" s="1186">
        <v>269</v>
      </c>
      <c r="F21" s="1186">
        <v>219</v>
      </c>
      <c r="G21" s="1186">
        <v>688</v>
      </c>
    </row>
    <row r="22" spans="1:7" x14ac:dyDescent="0.2">
      <c r="A22" s="1186" t="s">
        <v>6</v>
      </c>
      <c r="B22" s="1186" t="s">
        <v>133</v>
      </c>
      <c r="C22" s="1186">
        <v>145</v>
      </c>
      <c r="D22" s="1186">
        <v>193</v>
      </c>
      <c r="E22" s="1186">
        <v>281</v>
      </c>
      <c r="F22" s="1186">
        <v>227</v>
      </c>
      <c r="G22" s="1186">
        <v>666</v>
      </c>
    </row>
    <row r="23" spans="1:7" x14ac:dyDescent="0.2">
      <c r="A23" s="1186" t="s">
        <v>6</v>
      </c>
      <c r="B23" s="1186" t="s">
        <v>144</v>
      </c>
      <c r="C23" s="1186">
        <v>155</v>
      </c>
      <c r="D23" s="1186">
        <v>197</v>
      </c>
      <c r="E23" s="1186">
        <v>279</v>
      </c>
      <c r="F23" s="1186">
        <v>223</v>
      </c>
      <c r="G23" s="1186">
        <v>729</v>
      </c>
    </row>
    <row r="24" spans="1:7" x14ac:dyDescent="0.2">
      <c r="A24" s="1186" t="s">
        <v>6</v>
      </c>
      <c r="B24" s="1186" t="s">
        <v>282</v>
      </c>
      <c r="C24" s="1186">
        <v>127</v>
      </c>
      <c r="D24" s="1186">
        <v>202</v>
      </c>
      <c r="E24" s="1186">
        <v>264</v>
      </c>
      <c r="F24" s="1186">
        <v>217</v>
      </c>
      <c r="G24" s="1186">
        <v>659</v>
      </c>
    </row>
    <row r="25" spans="1:7" x14ac:dyDescent="0.2">
      <c r="A25" s="1186" t="s">
        <v>6</v>
      </c>
      <c r="B25" s="1186" t="s">
        <v>311</v>
      </c>
      <c r="C25" s="1186">
        <v>145</v>
      </c>
      <c r="D25" s="1186">
        <v>227</v>
      </c>
      <c r="E25" s="1186">
        <v>255</v>
      </c>
      <c r="F25" s="1186">
        <v>240</v>
      </c>
      <c r="G25" s="1186">
        <v>679</v>
      </c>
    </row>
    <row r="26" spans="1:7" x14ac:dyDescent="0.2">
      <c r="A26" s="1186" t="s">
        <v>6</v>
      </c>
      <c r="B26" s="1186" t="s">
        <v>621</v>
      </c>
      <c r="C26" s="1186">
        <v>138</v>
      </c>
      <c r="D26" s="1186">
        <v>191</v>
      </c>
      <c r="E26" s="1186">
        <v>280</v>
      </c>
      <c r="F26" s="1186">
        <v>221</v>
      </c>
      <c r="G26" s="1186">
        <v>643</v>
      </c>
    </row>
    <row r="27" spans="1:7" x14ac:dyDescent="0.2">
      <c r="A27" s="1186" t="s">
        <v>6</v>
      </c>
      <c r="B27" s="1186" t="s">
        <v>1419</v>
      </c>
      <c r="C27" s="1186">
        <v>119</v>
      </c>
      <c r="D27" s="1186">
        <v>163</v>
      </c>
      <c r="E27" s="1186">
        <v>292</v>
      </c>
      <c r="F27" s="1186">
        <v>186</v>
      </c>
      <c r="G27" s="1186">
        <v>503</v>
      </c>
    </row>
    <row r="28" spans="1:7" x14ac:dyDescent="0.2">
      <c r="A28" s="1186" t="s">
        <v>6</v>
      </c>
      <c r="B28" s="1186" t="s">
        <v>1572</v>
      </c>
      <c r="C28" s="1186">
        <v>107</v>
      </c>
      <c r="D28" s="1186">
        <v>170</v>
      </c>
      <c r="E28" s="1186">
        <v>258</v>
      </c>
      <c r="F28" s="1186">
        <v>188</v>
      </c>
      <c r="G28" s="1186">
        <v>461</v>
      </c>
    </row>
  </sheetData>
  <pageMargins left="0.7" right="0.7" top="0.75" bottom="0.75" header="0.3" footer="0.3"/>
  <pageSetup paperSize="9" fitToHeight="5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E37"/>
  <sheetViews>
    <sheetView workbookViewId="0">
      <selection activeCell="G23" sqref="G23"/>
    </sheetView>
  </sheetViews>
  <sheetFormatPr defaultRowHeight="12.75" x14ac:dyDescent="0.2"/>
  <cols>
    <col min="1" max="1" width="19.5703125" bestFit="1" customWidth="1"/>
    <col min="2" max="2" width="16.42578125" bestFit="1" customWidth="1"/>
    <col min="3" max="3" width="21.42578125" bestFit="1" customWidth="1"/>
    <col min="4" max="4" width="24.5703125" bestFit="1" customWidth="1"/>
    <col min="5" max="5" width="15.7109375" bestFit="1" customWidth="1"/>
  </cols>
  <sheetData>
    <row r="2" spans="1:5" x14ac:dyDescent="0.2">
      <c r="A2" s="234" t="s">
        <v>4</v>
      </c>
      <c r="B2" t="s">
        <v>1572</v>
      </c>
    </row>
    <row r="4" spans="1:5" x14ac:dyDescent="0.2">
      <c r="A4" s="234" t="s">
        <v>326</v>
      </c>
      <c r="B4" t="s">
        <v>345</v>
      </c>
      <c r="C4" t="s">
        <v>347</v>
      </c>
      <c r="D4" t="s">
        <v>346</v>
      </c>
      <c r="E4" t="s">
        <v>348</v>
      </c>
    </row>
    <row r="5" spans="1:5" x14ac:dyDescent="0.2">
      <c r="A5" s="235" t="s">
        <v>23</v>
      </c>
      <c r="B5">
        <v>222</v>
      </c>
      <c r="C5">
        <v>3</v>
      </c>
      <c r="D5">
        <v>25</v>
      </c>
      <c r="E5">
        <v>120980</v>
      </c>
    </row>
    <row r="6" spans="1:5" x14ac:dyDescent="0.2">
      <c r="A6" s="235" t="s">
        <v>24</v>
      </c>
      <c r="B6">
        <v>164</v>
      </c>
      <c r="C6">
        <v>1</v>
      </c>
      <c r="D6">
        <v>15</v>
      </c>
      <c r="E6">
        <v>119854</v>
      </c>
    </row>
    <row r="7" spans="1:5" x14ac:dyDescent="0.2">
      <c r="A7" s="235" t="s">
        <v>25</v>
      </c>
      <c r="B7">
        <v>74</v>
      </c>
      <c r="D7">
        <v>19</v>
      </c>
      <c r="E7">
        <v>57206</v>
      </c>
    </row>
    <row r="8" spans="1:5" x14ac:dyDescent="0.2">
      <c r="A8" s="235" t="s">
        <v>26</v>
      </c>
      <c r="B8">
        <v>84</v>
      </c>
      <c r="C8">
        <v>1</v>
      </c>
      <c r="D8">
        <v>7</v>
      </c>
      <c r="E8">
        <v>48199</v>
      </c>
    </row>
    <row r="9" spans="1:5" x14ac:dyDescent="0.2">
      <c r="A9" s="235" t="s">
        <v>619</v>
      </c>
      <c r="B9">
        <v>369</v>
      </c>
      <c r="C9">
        <v>2</v>
      </c>
      <c r="D9">
        <v>52</v>
      </c>
      <c r="E9">
        <v>254929</v>
      </c>
    </row>
    <row r="10" spans="1:5" x14ac:dyDescent="0.2">
      <c r="A10" s="235" t="s">
        <v>27</v>
      </c>
      <c r="B10">
        <v>54</v>
      </c>
      <c r="C10">
        <v>2</v>
      </c>
      <c r="D10">
        <v>19</v>
      </c>
      <c r="E10">
        <v>24838</v>
      </c>
    </row>
    <row r="11" spans="1:5" x14ac:dyDescent="0.2">
      <c r="A11" s="235" t="s">
        <v>28</v>
      </c>
      <c r="B11">
        <v>69</v>
      </c>
      <c r="C11">
        <v>1</v>
      </c>
      <c r="D11">
        <v>4</v>
      </c>
      <c r="E11">
        <v>75298</v>
      </c>
    </row>
    <row r="12" spans="1:5" x14ac:dyDescent="0.2">
      <c r="A12" s="235" t="s">
        <v>29</v>
      </c>
      <c r="B12">
        <v>186</v>
      </c>
      <c r="C12">
        <v>3</v>
      </c>
      <c r="D12">
        <v>31</v>
      </c>
      <c r="E12">
        <v>75027</v>
      </c>
    </row>
    <row r="13" spans="1:5" x14ac:dyDescent="0.2">
      <c r="A13" s="235" t="s">
        <v>30</v>
      </c>
      <c r="B13">
        <v>95</v>
      </c>
      <c r="C13">
        <v>1</v>
      </c>
      <c r="D13">
        <v>18</v>
      </c>
      <c r="E13">
        <v>58821</v>
      </c>
    </row>
    <row r="14" spans="1:5" x14ac:dyDescent="0.2">
      <c r="A14" s="235" t="s">
        <v>31</v>
      </c>
      <c r="B14">
        <v>65</v>
      </c>
      <c r="C14">
        <v>1</v>
      </c>
      <c r="D14">
        <v>7</v>
      </c>
      <c r="E14">
        <v>47251</v>
      </c>
    </row>
    <row r="15" spans="1:5" x14ac:dyDescent="0.2">
      <c r="A15" s="235" t="s">
        <v>32</v>
      </c>
      <c r="B15">
        <v>46</v>
      </c>
      <c r="C15">
        <v>1</v>
      </c>
      <c r="D15">
        <v>4</v>
      </c>
      <c r="E15">
        <v>49642</v>
      </c>
    </row>
    <row r="16" spans="1:5" x14ac:dyDescent="0.2">
      <c r="A16" s="235" t="s">
        <v>33</v>
      </c>
      <c r="B16">
        <v>49</v>
      </c>
      <c r="D16">
        <v>5</v>
      </c>
      <c r="E16">
        <v>39453</v>
      </c>
    </row>
    <row r="17" spans="1:5" x14ac:dyDescent="0.2">
      <c r="A17" s="235" t="s">
        <v>34</v>
      </c>
      <c r="B17">
        <v>99</v>
      </c>
      <c r="D17">
        <v>30</v>
      </c>
      <c r="E17">
        <v>75595</v>
      </c>
    </row>
    <row r="18" spans="1:5" x14ac:dyDescent="0.2">
      <c r="A18" s="235" t="s">
        <v>35</v>
      </c>
      <c r="B18">
        <v>227</v>
      </c>
      <c r="C18">
        <v>2</v>
      </c>
      <c r="D18">
        <v>43</v>
      </c>
      <c r="E18">
        <v>179232</v>
      </c>
    </row>
    <row r="19" spans="1:5" x14ac:dyDescent="0.2">
      <c r="A19" s="235" t="s">
        <v>36</v>
      </c>
      <c r="B19">
        <v>685</v>
      </c>
      <c r="C19">
        <v>7</v>
      </c>
      <c r="D19">
        <v>135</v>
      </c>
      <c r="E19">
        <v>317193</v>
      </c>
    </row>
    <row r="20" spans="1:5" x14ac:dyDescent="0.2">
      <c r="A20" s="235" t="s">
        <v>37</v>
      </c>
      <c r="B20">
        <v>126</v>
      </c>
      <c r="D20">
        <v>17</v>
      </c>
      <c r="E20">
        <v>119918</v>
      </c>
    </row>
    <row r="21" spans="1:5" x14ac:dyDescent="0.2">
      <c r="A21" s="235" t="s">
        <v>38</v>
      </c>
      <c r="B21">
        <v>88</v>
      </c>
      <c r="C21">
        <v>1</v>
      </c>
      <c r="D21">
        <v>24</v>
      </c>
      <c r="E21">
        <v>39107</v>
      </c>
    </row>
    <row r="22" spans="1:5" x14ac:dyDescent="0.2">
      <c r="A22" s="235" t="s">
        <v>39</v>
      </c>
      <c r="B22">
        <v>57</v>
      </c>
      <c r="C22">
        <v>1</v>
      </c>
      <c r="D22">
        <v>10</v>
      </c>
      <c r="E22">
        <v>41657</v>
      </c>
    </row>
    <row r="23" spans="1:5" x14ac:dyDescent="0.2">
      <c r="A23" s="235" t="s">
        <v>40</v>
      </c>
      <c r="B23">
        <v>50</v>
      </c>
      <c r="C23">
        <v>1</v>
      </c>
      <c r="D23">
        <v>7</v>
      </c>
      <c r="E23">
        <v>45838</v>
      </c>
    </row>
    <row r="24" spans="1:5" x14ac:dyDescent="0.2">
      <c r="A24" s="235" t="s">
        <v>295</v>
      </c>
      <c r="B24">
        <v>21</v>
      </c>
      <c r="D24">
        <v>4</v>
      </c>
      <c r="E24">
        <v>14764</v>
      </c>
    </row>
    <row r="25" spans="1:5" x14ac:dyDescent="0.2">
      <c r="A25" s="235" t="s">
        <v>41</v>
      </c>
      <c r="B25">
        <v>136</v>
      </c>
      <c r="D25">
        <v>32</v>
      </c>
      <c r="E25">
        <v>68843</v>
      </c>
    </row>
    <row r="26" spans="1:5" x14ac:dyDescent="0.2">
      <c r="A26" s="235" t="s">
        <v>42</v>
      </c>
      <c r="B26">
        <v>279</v>
      </c>
      <c r="C26">
        <v>1</v>
      </c>
      <c r="D26">
        <v>64</v>
      </c>
      <c r="E26">
        <v>157625</v>
      </c>
    </row>
    <row r="27" spans="1:5" x14ac:dyDescent="0.2">
      <c r="A27" s="235" t="s">
        <v>43</v>
      </c>
      <c r="B27">
        <v>4</v>
      </c>
      <c r="D27">
        <v>1</v>
      </c>
      <c r="E27">
        <v>11391</v>
      </c>
    </row>
    <row r="28" spans="1:5" x14ac:dyDescent="0.2">
      <c r="A28" s="235" t="s">
        <v>44</v>
      </c>
      <c r="B28">
        <v>97</v>
      </c>
      <c r="D28">
        <v>23</v>
      </c>
      <c r="E28">
        <v>73775</v>
      </c>
    </row>
    <row r="29" spans="1:5" x14ac:dyDescent="0.2">
      <c r="A29" s="235" t="s">
        <v>45</v>
      </c>
      <c r="B29">
        <v>151</v>
      </c>
      <c r="D29">
        <v>31</v>
      </c>
      <c r="E29">
        <v>88624</v>
      </c>
    </row>
    <row r="30" spans="1:5" x14ac:dyDescent="0.2">
      <c r="A30" s="235" t="s">
        <v>46</v>
      </c>
      <c r="B30">
        <v>77</v>
      </c>
      <c r="C30">
        <v>1</v>
      </c>
      <c r="D30">
        <v>12</v>
      </c>
      <c r="E30">
        <v>58814</v>
      </c>
    </row>
    <row r="31" spans="1:5" x14ac:dyDescent="0.2">
      <c r="A31" s="235" t="s">
        <v>47</v>
      </c>
      <c r="B31">
        <v>24</v>
      </c>
      <c r="D31">
        <v>2</v>
      </c>
      <c r="E31">
        <v>11374</v>
      </c>
    </row>
    <row r="32" spans="1:5" x14ac:dyDescent="0.2">
      <c r="A32" s="235" t="s">
        <v>48</v>
      </c>
      <c r="B32">
        <v>73</v>
      </c>
      <c r="C32">
        <v>1</v>
      </c>
      <c r="D32">
        <v>16</v>
      </c>
      <c r="E32">
        <v>55793</v>
      </c>
    </row>
    <row r="33" spans="1:5" x14ac:dyDescent="0.2">
      <c r="A33" s="235" t="s">
        <v>49</v>
      </c>
      <c r="B33">
        <v>221</v>
      </c>
      <c r="C33">
        <v>2</v>
      </c>
      <c r="D33">
        <v>46</v>
      </c>
      <c r="E33">
        <v>153863</v>
      </c>
    </row>
    <row r="34" spans="1:5" x14ac:dyDescent="0.2">
      <c r="A34" s="235" t="s">
        <v>50</v>
      </c>
      <c r="B34">
        <v>48</v>
      </c>
      <c r="D34">
        <v>7</v>
      </c>
      <c r="E34">
        <v>41950</v>
      </c>
    </row>
    <row r="35" spans="1:5" x14ac:dyDescent="0.2">
      <c r="A35" s="235" t="s">
        <v>51</v>
      </c>
      <c r="B35">
        <v>102</v>
      </c>
      <c r="C35">
        <v>1</v>
      </c>
      <c r="D35">
        <v>18</v>
      </c>
      <c r="E35">
        <v>45148</v>
      </c>
    </row>
    <row r="36" spans="1:5" x14ac:dyDescent="0.2">
      <c r="A36" s="235" t="s">
        <v>52</v>
      </c>
      <c r="B36">
        <v>99</v>
      </c>
      <c r="C36">
        <v>2</v>
      </c>
      <c r="D36">
        <v>23</v>
      </c>
      <c r="E36">
        <v>81723</v>
      </c>
    </row>
    <row r="37" spans="1:5" x14ac:dyDescent="0.2">
      <c r="A37" s="235" t="s">
        <v>333</v>
      </c>
      <c r="B37">
        <v>4141</v>
      </c>
      <c r="C37">
        <v>36</v>
      </c>
      <c r="D37">
        <v>751</v>
      </c>
      <c r="E37">
        <v>2653725</v>
      </c>
    </row>
  </sheetData>
  <pageMargins left="0.7" right="0.7" top="0.75" bottom="0.75" header="0.3" footer="0.3"/>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pageSetUpPr fitToPage="1"/>
  </sheetPr>
  <dimension ref="A1:S52"/>
  <sheetViews>
    <sheetView topLeftCell="G1" zoomScale="85" zoomScaleNormal="85" workbookViewId="0">
      <pane ySplit="4" topLeftCell="A44" activePane="bottomLeft" state="frozen"/>
      <selection activeCell="A5" sqref="A5"/>
      <selection pane="bottomLeft" activeCell="A5" sqref="A5"/>
    </sheetView>
  </sheetViews>
  <sheetFormatPr defaultColWidth="8.7109375" defaultRowHeight="12.75" x14ac:dyDescent="0.2"/>
  <cols>
    <col min="1" max="1" width="7.42578125" bestFit="1" customWidth="1"/>
    <col min="2" max="2" width="44.42578125" bestFit="1" customWidth="1"/>
    <col min="3" max="3" width="12.42578125" bestFit="1" customWidth="1"/>
    <col min="4" max="4" width="16.42578125" bestFit="1" customWidth="1"/>
    <col min="5" max="6" width="17.42578125" bestFit="1" customWidth="1"/>
    <col min="7" max="7" width="15.85546875" bestFit="1" customWidth="1"/>
    <col min="8" max="8" width="20" bestFit="1" customWidth="1"/>
    <col min="9" max="9" width="20.140625" bestFit="1" customWidth="1"/>
    <col min="10" max="11" width="21.140625" bestFit="1" customWidth="1"/>
    <col min="12" max="12" width="19.5703125" bestFit="1" customWidth="1"/>
    <col min="13" max="13" width="23.7109375" bestFit="1" customWidth="1"/>
    <col min="14" max="14" width="7.42578125" bestFit="1" customWidth="1"/>
    <col min="15" max="15" width="7.85546875" bestFit="1" customWidth="1"/>
    <col min="16" max="17" width="6.85546875" bestFit="1" customWidth="1"/>
    <col min="18" max="19" width="7.85546875" bestFit="1" customWidth="1"/>
  </cols>
  <sheetData>
    <row r="1" spans="1:19" x14ac:dyDescent="0.2"/>
    <row r="4" spans="1:19" x14ac:dyDescent="0.2">
      <c r="A4" s="1223" t="s">
        <v>464</v>
      </c>
      <c r="B4" s="1223" t="s">
        <v>1291</v>
      </c>
      <c r="C4" s="1223" t="s">
        <v>1772</v>
      </c>
      <c r="D4" s="1223" t="s">
        <v>1798</v>
      </c>
      <c r="E4" s="1223" t="s">
        <v>1799</v>
      </c>
      <c r="F4" s="1223" t="s">
        <v>1800</v>
      </c>
      <c r="G4" s="1223" t="s">
        <v>1801</v>
      </c>
      <c r="H4" s="1223" t="s">
        <v>1802</v>
      </c>
      <c r="I4" s="1223" t="s">
        <v>1803</v>
      </c>
      <c r="J4" s="1223" t="s">
        <v>1804</v>
      </c>
      <c r="K4" s="1223" t="s">
        <v>1805</v>
      </c>
      <c r="L4" s="1223" t="s">
        <v>1806</v>
      </c>
      <c r="M4" s="1223" t="s">
        <v>1807</v>
      </c>
      <c r="N4" s="1223" t="s">
        <v>1632</v>
      </c>
      <c r="O4" s="1223" t="s">
        <v>11</v>
      </c>
      <c r="P4" s="1223" t="s">
        <v>175</v>
      </c>
      <c r="Q4" s="1223" t="s">
        <v>176</v>
      </c>
      <c r="R4" s="1223" t="s">
        <v>177</v>
      </c>
      <c r="S4" s="1223" t="s">
        <v>178</v>
      </c>
    </row>
    <row r="5" spans="1:19" x14ac:dyDescent="0.2">
      <c r="A5" s="1186" t="s">
        <v>19</v>
      </c>
      <c r="B5" s="1186" t="s">
        <v>432</v>
      </c>
      <c r="C5" s="1186">
        <v>267</v>
      </c>
      <c r="D5" s="1186"/>
      <c r="E5" s="1186">
        <v>1</v>
      </c>
      <c r="F5" s="1186">
        <v>1</v>
      </c>
      <c r="G5" s="1186"/>
      <c r="H5" s="1186"/>
      <c r="I5" s="1186">
        <v>35</v>
      </c>
      <c r="J5" s="1186">
        <v>46</v>
      </c>
      <c r="K5" s="1186">
        <v>113</v>
      </c>
      <c r="L5" s="1186">
        <v>70</v>
      </c>
      <c r="M5" s="1186">
        <v>1</v>
      </c>
      <c r="N5" s="1186" t="s">
        <v>19</v>
      </c>
      <c r="O5" s="1186">
        <v>5231900</v>
      </c>
      <c r="P5" s="1186">
        <v>984309</v>
      </c>
      <c r="Q5" s="1186">
        <v>893916</v>
      </c>
      <c r="R5" s="1186">
        <v>2159788</v>
      </c>
      <c r="S5" s="1186">
        <v>1193887</v>
      </c>
    </row>
    <row r="6" spans="1:19" x14ac:dyDescent="0.2">
      <c r="A6" s="1186" t="s">
        <v>19</v>
      </c>
      <c r="B6" s="1186" t="s">
        <v>433</v>
      </c>
      <c r="C6" s="1186">
        <v>414</v>
      </c>
      <c r="D6" s="1186"/>
      <c r="E6" s="1186">
        <v>1</v>
      </c>
      <c r="F6" s="1186">
        <v>3</v>
      </c>
      <c r="G6" s="1186"/>
      <c r="H6" s="1186"/>
      <c r="I6" s="1186">
        <v>38</v>
      </c>
      <c r="J6" s="1186">
        <v>84</v>
      </c>
      <c r="K6" s="1186">
        <v>181</v>
      </c>
      <c r="L6" s="1186">
        <v>107</v>
      </c>
      <c r="M6" s="1186"/>
      <c r="N6" s="1186" t="s">
        <v>19</v>
      </c>
      <c r="O6" s="1186">
        <v>5231900</v>
      </c>
      <c r="P6" s="1186">
        <v>984309</v>
      </c>
      <c r="Q6" s="1186">
        <v>893916</v>
      </c>
      <c r="R6" s="1186">
        <v>2159788</v>
      </c>
      <c r="S6" s="1186">
        <v>1193887</v>
      </c>
    </row>
    <row r="7" spans="1:19" x14ac:dyDescent="0.2">
      <c r="A7" s="1186" t="s">
        <v>19</v>
      </c>
      <c r="B7" s="1186" t="s">
        <v>434</v>
      </c>
      <c r="C7" s="1186">
        <v>449</v>
      </c>
      <c r="D7" s="1186"/>
      <c r="E7" s="1186">
        <v>3</v>
      </c>
      <c r="F7" s="1186">
        <v>7</v>
      </c>
      <c r="G7" s="1186"/>
      <c r="H7" s="1186"/>
      <c r="I7" s="1186">
        <v>28</v>
      </c>
      <c r="J7" s="1186">
        <v>92</v>
      </c>
      <c r="K7" s="1186">
        <v>204</v>
      </c>
      <c r="L7" s="1186">
        <v>115</v>
      </c>
      <c r="M7" s="1186"/>
      <c r="N7" s="1186" t="s">
        <v>19</v>
      </c>
      <c r="O7" s="1186">
        <v>5231900</v>
      </c>
      <c r="P7" s="1186">
        <v>984309</v>
      </c>
      <c r="Q7" s="1186">
        <v>893916</v>
      </c>
      <c r="R7" s="1186">
        <v>2159788</v>
      </c>
      <c r="S7" s="1186">
        <v>1193887</v>
      </c>
    </row>
    <row r="8" spans="1:19" x14ac:dyDescent="0.2">
      <c r="A8" s="1186" t="s">
        <v>19</v>
      </c>
      <c r="B8" s="1186" t="s">
        <v>435</v>
      </c>
      <c r="C8" s="1186">
        <v>93</v>
      </c>
      <c r="D8" s="1186"/>
      <c r="E8" s="1186"/>
      <c r="F8" s="1186">
        <v>2</v>
      </c>
      <c r="G8" s="1186"/>
      <c r="H8" s="1186"/>
      <c r="I8" s="1186">
        <v>5</v>
      </c>
      <c r="J8" s="1186">
        <v>16</v>
      </c>
      <c r="K8" s="1186">
        <v>54</v>
      </c>
      <c r="L8" s="1186">
        <v>16</v>
      </c>
      <c r="M8" s="1186"/>
      <c r="N8" s="1186" t="s">
        <v>19</v>
      </c>
      <c r="O8" s="1186">
        <v>5231900</v>
      </c>
      <c r="P8" s="1186">
        <v>984309</v>
      </c>
      <c r="Q8" s="1186">
        <v>893916</v>
      </c>
      <c r="R8" s="1186">
        <v>2159788</v>
      </c>
      <c r="S8" s="1186">
        <v>1193887</v>
      </c>
    </row>
    <row r="9" spans="1:19" x14ac:dyDescent="0.2">
      <c r="A9" s="1186" t="s">
        <v>20</v>
      </c>
      <c r="B9" s="1186" t="s">
        <v>432</v>
      </c>
      <c r="C9" s="1186">
        <v>238</v>
      </c>
      <c r="D9" s="1186"/>
      <c r="E9" s="1186"/>
      <c r="F9" s="1186">
        <v>3</v>
      </c>
      <c r="G9" s="1186"/>
      <c r="H9" s="1186"/>
      <c r="I9" s="1186">
        <v>31</v>
      </c>
      <c r="J9" s="1186">
        <v>47</v>
      </c>
      <c r="K9" s="1186">
        <v>101</v>
      </c>
      <c r="L9" s="1186">
        <v>55</v>
      </c>
      <c r="M9" s="1186">
        <v>1</v>
      </c>
      <c r="N9" s="1186" t="s">
        <v>20</v>
      </c>
      <c r="O9" s="1186">
        <v>5262200</v>
      </c>
      <c r="P9" s="1186">
        <v>981096</v>
      </c>
      <c r="Q9" s="1186">
        <v>903573</v>
      </c>
      <c r="R9" s="1186">
        <v>2163995</v>
      </c>
      <c r="S9" s="1186">
        <v>1213536</v>
      </c>
    </row>
    <row r="10" spans="1:19" x14ac:dyDescent="0.2">
      <c r="A10" s="1186" t="s">
        <v>20</v>
      </c>
      <c r="B10" s="1186" t="s">
        <v>433</v>
      </c>
      <c r="C10" s="1186">
        <v>448</v>
      </c>
      <c r="D10" s="1186"/>
      <c r="E10" s="1186">
        <v>1</v>
      </c>
      <c r="F10" s="1186">
        <v>2</v>
      </c>
      <c r="G10" s="1186"/>
      <c r="H10" s="1186"/>
      <c r="I10" s="1186">
        <v>29</v>
      </c>
      <c r="J10" s="1186">
        <v>101</v>
      </c>
      <c r="K10" s="1186">
        <v>193</v>
      </c>
      <c r="L10" s="1186">
        <v>122</v>
      </c>
      <c r="M10" s="1186"/>
      <c r="N10" s="1186" t="s">
        <v>20</v>
      </c>
      <c r="O10" s="1186">
        <v>5262200</v>
      </c>
      <c r="P10" s="1186">
        <v>981096</v>
      </c>
      <c r="Q10" s="1186">
        <v>903573</v>
      </c>
      <c r="R10" s="1186">
        <v>2163995</v>
      </c>
      <c r="S10" s="1186">
        <v>1213536</v>
      </c>
    </row>
    <row r="11" spans="1:19" x14ac:dyDescent="0.2">
      <c r="A11" s="1186" t="s">
        <v>20</v>
      </c>
      <c r="B11" s="1186" t="s">
        <v>434</v>
      </c>
      <c r="C11" s="1186">
        <v>543</v>
      </c>
      <c r="D11" s="1186"/>
      <c r="E11" s="1186">
        <v>3</v>
      </c>
      <c r="F11" s="1186">
        <v>16</v>
      </c>
      <c r="G11" s="1186"/>
      <c r="H11" s="1186"/>
      <c r="I11" s="1186">
        <v>51</v>
      </c>
      <c r="J11" s="1186">
        <v>113</v>
      </c>
      <c r="K11" s="1186">
        <v>236</v>
      </c>
      <c r="L11" s="1186">
        <v>123</v>
      </c>
      <c r="M11" s="1186">
        <v>1</v>
      </c>
      <c r="N11" s="1186" t="s">
        <v>20</v>
      </c>
      <c r="O11" s="1186">
        <v>5262200</v>
      </c>
      <c r="P11" s="1186">
        <v>981096</v>
      </c>
      <c r="Q11" s="1186">
        <v>903573</v>
      </c>
      <c r="R11" s="1186">
        <v>2163995</v>
      </c>
      <c r="S11" s="1186">
        <v>1213536</v>
      </c>
    </row>
    <row r="12" spans="1:19" x14ac:dyDescent="0.2">
      <c r="A12" s="1186" t="s">
        <v>20</v>
      </c>
      <c r="B12" s="1186" t="s">
        <v>435</v>
      </c>
      <c r="C12" s="1186">
        <v>103</v>
      </c>
      <c r="D12" s="1186"/>
      <c r="E12" s="1186"/>
      <c r="F12" s="1186">
        <v>3</v>
      </c>
      <c r="G12" s="1186"/>
      <c r="H12" s="1186"/>
      <c r="I12" s="1186">
        <v>2</v>
      </c>
      <c r="J12" s="1186">
        <v>22</v>
      </c>
      <c r="K12" s="1186">
        <v>53</v>
      </c>
      <c r="L12" s="1186">
        <v>23</v>
      </c>
      <c r="M12" s="1186"/>
      <c r="N12" s="1186" t="s">
        <v>20</v>
      </c>
      <c r="O12" s="1186">
        <v>5262200</v>
      </c>
      <c r="P12" s="1186">
        <v>981096</v>
      </c>
      <c r="Q12" s="1186">
        <v>903573</v>
      </c>
      <c r="R12" s="1186">
        <v>2163995</v>
      </c>
      <c r="S12" s="1186">
        <v>1213536</v>
      </c>
    </row>
    <row r="13" spans="1:19" x14ac:dyDescent="0.2">
      <c r="A13" s="1186" t="s">
        <v>13</v>
      </c>
      <c r="B13" s="1186" t="s">
        <v>432</v>
      </c>
      <c r="C13" s="1186">
        <v>297</v>
      </c>
      <c r="D13" s="1186"/>
      <c r="E13" s="1186"/>
      <c r="F13" s="1186">
        <v>3</v>
      </c>
      <c r="G13" s="1186"/>
      <c r="H13" s="1186"/>
      <c r="I13" s="1186">
        <v>36</v>
      </c>
      <c r="J13" s="1186">
        <v>56</v>
      </c>
      <c r="K13" s="1186">
        <v>129</v>
      </c>
      <c r="L13" s="1186">
        <v>71</v>
      </c>
      <c r="M13" s="1186">
        <v>2</v>
      </c>
      <c r="N13" s="1186" t="s">
        <v>13</v>
      </c>
      <c r="O13" s="1186">
        <v>5299900</v>
      </c>
      <c r="P13" s="1186">
        <v>978075</v>
      </c>
      <c r="Q13" s="1186">
        <v>915437</v>
      </c>
      <c r="R13" s="1186">
        <v>2173561</v>
      </c>
      <c r="S13" s="1186">
        <v>1232827</v>
      </c>
    </row>
    <row r="14" spans="1:19" x14ac:dyDescent="0.2">
      <c r="A14" s="1186" t="s">
        <v>13</v>
      </c>
      <c r="B14" s="1186" t="s">
        <v>433</v>
      </c>
      <c r="C14" s="1186">
        <v>522</v>
      </c>
      <c r="D14" s="1186"/>
      <c r="E14" s="1186"/>
      <c r="F14" s="1186">
        <v>9</v>
      </c>
      <c r="G14" s="1186"/>
      <c r="H14" s="1186"/>
      <c r="I14" s="1186">
        <v>34</v>
      </c>
      <c r="J14" s="1186">
        <v>86</v>
      </c>
      <c r="K14" s="1186">
        <v>256</v>
      </c>
      <c r="L14" s="1186">
        <v>134</v>
      </c>
      <c r="M14" s="1186">
        <v>3</v>
      </c>
      <c r="N14" s="1186" t="s">
        <v>13</v>
      </c>
      <c r="O14" s="1186">
        <v>5299900</v>
      </c>
      <c r="P14" s="1186">
        <v>978075</v>
      </c>
      <c r="Q14" s="1186">
        <v>915437</v>
      </c>
      <c r="R14" s="1186">
        <v>2173561</v>
      </c>
      <c r="S14" s="1186">
        <v>1232827</v>
      </c>
    </row>
    <row r="15" spans="1:19" x14ac:dyDescent="0.2">
      <c r="A15" s="1186" t="s">
        <v>13</v>
      </c>
      <c r="B15" s="1186" t="s">
        <v>434</v>
      </c>
      <c r="C15" s="1186">
        <v>513</v>
      </c>
      <c r="D15" s="1186"/>
      <c r="E15" s="1186">
        <v>1</v>
      </c>
      <c r="F15" s="1186">
        <v>11</v>
      </c>
      <c r="G15" s="1186"/>
      <c r="H15" s="1186"/>
      <c r="I15" s="1186">
        <v>49</v>
      </c>
      <c r="J15" s="1186">
        <v>111</v>
      </c>
      <c r="K15" s="1186">
        <v>212</v>
      </c>
      <c r="L15" s="1186">
        <v>129</v>
      </c>
      <c r="M15" s="1186"/>
      <c r="N15" s="1186" t="s">
        <v>13</v>
      </c>
      <c r="O15" s="1186">
        <v>5299900</v>
      </c>
      <c r="P15" s="1186">
        <v>978075</v>
      </c>
      <c r="Q15" s="1186">
        <v>915437</v>
      </c>
      <c r="R15" s="1186">
        <v>2173561</v>
      </c>
      <c r="S15" s="1186">
        <v>1232827</v>
      </c>
    </row>
    <row r="16" spans="1:19" x14ac:dyDescent="0.2">
      <c r="A16" s="1186" t="s">
        <v>13</v>
      </c>
      <c r="B16" s="1186" t="s">
        <v>435</v>
      </c>
      <c r="C16" s="1186">
        <v>82</v>
      </c>
      <c r="D16" s="1186"/>
      <c r="E16" s="1186">
        <v>1</v>
      </c>
      <c r="F16" s="1186">
        <v>3</v>
      </c>
      <c r="G16" s="1186"/>
      <c r="H16" s="1186"/>
      <c r="I16" s="1186"/>
      <c r="J16" s="1186">
        <v>15</v>
      </c>
      <c r="K16" s="1186">
        <v>47</v>
      </c>
      <c r="L16" s="1186">
        <v>16</v>
      </c>
      <c r="M16" s="1186"/>
      <c r="N16" s="1186" t="s">
        <v>13</v>
      </c>
      <c r="O16" s="1186">
        <v>5299900</v>
      </c>
      <c r="P16" s="1186">
        <v>978075</v>
      </c>
      <c r="Q16" s="1186">
        <v>915437</v>
      </c>
      <c r="R16" s="1186">
        <v>2173561</v>
      </c>
      <c r="S16" s="1186">
        <v>1232827</v>
      </c>
    </row>
    <row r="17" spans="1:19" x14ac:dyDescent="0.2">
      <c r="A17" s="1186" t="s">
        <v>15</v>
      </c>
      <c r="B17" s="1186" t="s">
        <v>432</v>
      </c>
      <c r="C17" s="1186">
        <v>262</v>
      </c>
      <c r="D17" s="1186"/>
      <c r="E17" s="1186"/>
      <c r="F17" s="1186">
        <v>1</v>
      </c>
      <c r="G17" s="1186"/>
      <c r="H17" s="1186"/>
      <c r="I17" s="1186">
        <v>29</v>
      </c>
      <c r="J17" s="1186">
        <v>54</v>
      </c>
      <c r="K17" s="1186">
        <v>96</v>
      </c>
      <c r="L17" s="1186">
        <v>61</v>
      </c>
      <c r="M17" s="1186">
        <v>21</v>
      </c>
      <c r="N17" s="1186" t="s">
        <v>15</v>
      </c>
      <c r="O17" s="1186">
        <v>5313600</v>
      </c>
      <c r="P17" s="1186">
        <v>976055</v>
      </c>
      <c r="Q17" s="1186">
        <v>914515</v>
      </c>
      <c r="R17" s="1186">
        <v>2174666</v>
      </c>
      <c r="S17" s="1186">
        <v>1248364</v>
      </c>
    </row>
    <row r="18" spans="1:19" x14ac:dyDescent="0.2">
      <c r="A18" s="1186" t="s">
        <v>15</v>
      </c>
      <c r="B18" s="1186" t="s">
        <v>433</v>
      </c>
      <c r="C18" s="1186">
        <v>558</v>
      </c>
      <c r="D18" s="1186"/>
      <c r="E18" s="1186">
        <v>3</v>
      </c>
      <c r="F18" s="1186">
        <v>6</v>
      </c>
      <c r="G18" s="1186"/>
      <c r="H18" s="1186"/>
      <c r="I18" s="1186">
        <v>29</v>
      </c>
      <c r="J18" s="1186">
        <v>109</v>
      </c>
      <c r="K18" s="1186">
        <v>213</v>
      </c>
      <c r="L18" s="1186">
        <v>175</v>
      </c>
      <c r="M18" s="1186">
        <v>23</v>
      </c>
      <c r="N18" s="1186" t="s">
        <v>15</v>
      </c>
      <c r="O18" s="1186">
        <v>5313600</v>
      </c>
      <c r="P18" s="1186">
        <v>976055</v>
      </c>
      <c r="Q18" s="1186">
        <v>914515</v>
      </c>
      <c r="R18" s="1186">
        <v>2174666</v>
      </c>
      <c r="S18" s="1186">
        <v>1248364</v>
      </c>
    </row>
    <row r="19" spans="1:19" x14ac:dyDescent="0.2">
      <c r="A19" s="1186" t="s">
        <v>15</v>
      </c>
      <c r="B19" s="1186" t="s">
        <v>434</v>
      </c>
      <c r="C19" s="1186">
        <v>442</v>
      </c>
      <c r="D19" s="1186"/>
      <c r="E19" s="1186"/>
      <c r="F19" s="1186">
        <v>7</v>
      </c>
      <c r="G19" s="1186"/>
      <c r="H19" s="1186"/>
      <c r="I19" s="1186">
        <v>31</v>
      </c>
      <c r="J19" s="1186">
        <v>78</v>
      </c>
      <c r="K19" s="1186">
        <v>176</v>
      </c>
      <c r="L19" s="1186">
        <v>137</v>
      </c>
      <c r="M19" s="1186">
        <v>13</v>
      </c>
      <c r="N19" s="1186" t="s">
        <v>15</v>
      </c>
      <c r="O19" s="1186">
        <v>5313600</v>
      </c>
      <c r="P19" s="1186">
        <v>976055</v>
      </c>
      <c r="Q19" s="1186">
        <v>914515</v>
      </c>
      <c r="R19" s="1186">
        <v>2174666</v>
      </c>
      <c r="S19" s="1186">
        <v>1248364</v>
      </c>
    </row>
    <row r="20" spans="1:19" x14ac:dyDescent="0.2">
      <c r="A20" s="1186" t="s">
        <v>15</v>
      </c>
      <c r="B20" s="1186" t="s">
        <v>435</v>
      </c>
      <c r="C20" s="1186">
        <v>57</v>
      </c>
      <c r="D20" s="1186"/>
      <c r="E20" s="1186"/>
      <c r="F20" s="1186"/>
      <c r="G20" s="1186"/>
      <c r="H20" s="1186">
        <v>1</v>
      </c>
      <c r="I20" s="1186"/>
      <c r="J20" s="1186">
        <v>11</v>
      </c>
      <c r="K20" s="1186">
        <v>29</v>
      </c>
      <c r="L20" s="1186">
        <v>16</v>
      </c>
      <c r="M20" s="1186"/>
      <c r="N20" s="1186" t="s">
        <v>15</v>
      </c>
      <c r="O20" s="1186">
        <v>5313600</v>
      </c>
      <c r="P20" s="1186">
        <v>976055</v>
      </c>
      <c r="Q20" s="1186">
        <v>914515</v>
      </c>
      <c r="R20" s="1186">
        <v>2174666</v>
      </c>
      <c r="S20" s="1186">
        <v>1248364</v>
      </c>
    </row>
    <row r="21" spans="1:19" x14ac:dyDescent="0.2">
      <c r="A21" s="1186" t="s">
        <v>17</v>
      </c>
      <c r="B21" s="1186" t="s">
        <v>432</v>
      </c>
      <c r="C21" s="1186">
        <v>221</v>
      </c>
      <c r="D21" s="1186"/>
      <c r="E21" s="1186"/>
      <c r="F21" s="1186">
        <v>2</v>
      </c>
      <c r="G21" s="1186"/>
      <c r="H21" s="1186"/>
      <c r="I21" s="1186">
        <v>24</v>
      </c>
      <c r="J21" s="1186">
        <v>37</v>
      </c>
      <c r="K21" s="1186">
        <v>93</v>
      </c>
      <c r="L21" s="1186">
        <v>50</v>
      </c>
      <c r="M21" s="1186">
        <v>15</v>
      </c>
      <c r="N21" s="1186" t="s">
        <v>17</v>
      </c>
      <c r="O21" s="1186">
        <v>5327700</v>
      </c>
      <c r="P21" s="1186">
        <v>973340</v>
      </c>
      <c r="Q21" s="1186">
        <v>914383</v>
      </c>
      <c r="R21" s="1186">
        <v>2175770</v>
      </c>
      <c r="S21" s="1186">
        <v>1264207</v>
      </c>
    </row>
    <row r="22" spans="1:19" x14ac:dyDescent="0.2">
      <c r="A22" s="1186" t="s">
        <v>17</v>
      </c>
      <c r="B22" s="1186" t="s">
        <v>433</v>
      </c>
      <c r="C22" s="1186">
        <v>570</v>
      </c>
      <c r="D22" s="1186"/>
      <c r="E22" s="1186">
        <v>1</v>
      </c>
      <c r="F22" s="1186">
        <v>2</v>
      </c>
      <c r="G22" s="1186"/>
      <c r="H22" s="1186"/>
      <c r="I22" s="1186">
        <v>33</v>
      </c>
      <c r="J22" s="1186">
        <v>107</v>
      </c>
      <c r="K22" s="1186">
        <v>241</v>
      </c>
      <c r="L22" s="1186">
        <v>162</v>
      </c>
      <c r="M22" s="1186">
        <v>24</v>
      </c>
      <c r="N22" s="1186" t="s">
        <v>17</v>
      </c>
      <c r="O22" s="1186">
        <v>5327700</v>
      </c>
      <c r="P22" s="1186">
        <v>973340</v>
      </c>
      <c r="Q22" s="1186">
        <v>914383</v>
      </c>
      <c r="R22" s="1186">
        <v>2175770</v>
      </c>
      <c r="S22" s="1186">
        <v>1264207</v>
      </c>
    </row>
    <row r="23" spans="1:19" x14ac:dyDescent="0.2">
      <c r="A23" s="1186" t="s">
        <v>17</v>
      </c>
      <c r="B23" s="1186" t="s">
        <v>434</v>
      </c>
      <c r="C23" s="1186">
        <v>443</v>
      </c>
      <c r="D23" s="1186"/>
      <c r="E23" s="1186">
        <v>2</v>
      </c>
      <c r="F23" s="1186">
        <v>5</v>
      </c>
      <c r="G23" s="1186">
        <v>1</v>
      </c>
      <c r="H23" s="1186"/>
      <c r="I23" s="1186">
        <v>32</v>
      </c>
      <c r="J23" s="1186">
        <v>70</v>
      </c>
      <c r="K23" s="1186">
        <v>205</v>
      </c>
      <c r="L23" s="1186">
        <v>106</v>
      </c>
      <c r="M23" s="1186">
        <v>22</v>
      </c>
      <c r="N23" s="1186" t="s">
        <v>17</v>
      </c>
      <c r="O23" s="1186">
        <v>5327700</v>
      </c>
      <c r="P23" s="1186">
        <v>973340</v>
      </c>
      <c r="Q23" s="1186">
        <v>914383</v>
      </c>
      <c r="R23" s="1186">
        <v>2175770</v>
      </c>
      <c r="S23" s="1186">
        <v>1264207</v>
      </c>
    </row>
    <row r="24" spans="1:19" x14ac:dyDescent="0.2">
      <c r="A24" s="1186" t="s">
        <v>17</v>
      </c>
      <c r="B24" s="1186" t="s">
        <v>435</v>
      </c>
      <c r="C24" s="1186">
        <v>76</v>
      </c>
      <c r="D24" s="1186"/>
      <c r="E24" s="1186"/>
      <c r="F24" s="1186">
        <v>2</v>
      </c>
      <c r="G24" s="1186"/>
      <c r="H24" s="1186"/>
      <c r="I24" s="1186">
        <v>1</v>
      </c>
      <c r="J24" s="1186">
        <v>13</v>
      </c>
      <c r="K24" s="1186">
        <v>33</v>
      </c>
      <c r="L24" s="1186">
        <v>21</v>
      </c>
      <c r="M24" s="1186">
        <v>6</v>
      </c>
      <c r="N24" s="1186" t="s">
        <v>17</v>
      </c>
      <c r="O24" s="1186">
        <v>5327700</v>
      </c>
      <c r="P24" s="1186">
        <v>973340</v>
      </c>
      <c r="Q24" s="1186">
        <v>914383</v>
      </c>
      <c r="R24" s="1186">
        <v>2175770</v>
      </c>
      <c r="S24" s="1186">
        <v>1264207</v>
      </c>
    </row>
    <row r="25" spans="1:19" x14ac:dyDescent="0.2">
      <c r="A25" s="1186" t="s">
        <v>133</v>
      </c>
      <c r="B25" s="1186" t="s">
        <v>432</v>
      </c>
      <c r="C25" s="1186">
        <v>213</v>
      </c>
      <c r="D25" s="1186"/>
      <c r="E25" s="1186"/>
      <c r="F25" s="1186">
        <v>2</v>
      </c>
      <c r="G25" s="1186"/>
      <c r="H25" s="1186"/>
      <c r="I25" s="1186">
        <v>28</v>
      </c>
      <c r="J25" s="1186">
        <v>37</v>
      </c>
      <c r="K25" s="1186">
        <v>72</v>
      </c>
      <c r="L25" s="1186">
        <v>56</v>
      </c>
      <c r="M25" s="1186">
        <v>18</v>
      </c>
      <c r="N25" s="1186" t="s">
        <v>133</v>
      </c>
      <c r="O25" s="1186">
        <v>5347600</v>
      </c>
      <c r="P25" s="1186">
        <v>970875</v>
      </c>
      <c r="Q25" s="1186">
        <v>915972</v>
      </c>
      <c r="R25" s="1186">
        <v>2176493</v>
      </c>
      <c r="S25" s="1186">
        <v>1284260</v>
      </c>
    </row>
    <row r="26" spans="1:19" x14ac:dyDescent="0.2">
      <c r="A26" s="1186" t="s">
        <v>133</v>
      </c>
      <c r="B26" s="1186" t="s">
        <v>433</v>
      </c>
      <c r="C26" s="1186">
        <v>441</v>
      </c>
      <c r="D26" s="1186"/>
      <c r="E26" s="1186"/>
      <c r="F26" s="1186">
        <v>1</v>
      </c>
      <c r="G26" s="1186"/>
      <c r="H26" s="1186"/>
      <c r="I26" s="1186">
        <v>26</v>
      </c>
      <c r="J26" s="1186">
        <v>77</v>
      </c>
      <c r="K26" s="1186">
        <v>180</v>
      </c>
      <c r="L26" s="1186">
        <v>133</v>
      </c>
      <c r="M26" s="1186">
        <v>24</v>
      </c>
      <c r="N26" s="1186" t="s">
        <v>133</v>
      </c>
      <c r="O26" s="1186">
        <v>5347600</v>
      </c>
      <c r="P26" s="1186">
        <v>970875</v>
      </c>
      <c r="Q26" s="1186">
        <v>915972</v>
      </c>
      <c r="R26" s="1186">
        <v>2176493</v>
      </c>
      <c r="S26" s="1186">
        <v>1284260</v>
      </c>
    </row>
    <row r="27" spans="1:19" x14ac:dyDescent="0.2">
      <c r="A27" s="1186" t="s">
        <v>133</v>
      </c>
      <c r="B27" s="1186" t="s">
        <v>434</v>
      </c>
      <c r="C27" s="1186">
        <v>383</v>
      </c>
      <c r="D27" s="1186"/>
      <c r="E27" s="1186"/>
      <c r="F27" s="1186">
        <v>6</v>
      </c>
      <c r="G27" s="1186"/>
      <c r="H27" s="1186"/>
      <c r="I27" s="1186">
        <v>31</v>
      </c>
      <c r="J27" s="1186">
        <v>64</v>
      </c>
      <c r="K27" s="1186">
        <v>150</v>
      </c>
      <c r="L27" s="1186">
        <v>109</v>
      </c>
      <c r="M27" s="1186">
        <v>23</v>
      </c>
      <c r="N27" s="1186" t="s">
        <v>133</v>
      </c>
      <c r="O27" s="1186">
        <v>5347600</v>
      </c>
      <c r="P27" s="1186">
        <v>970875</v>
      </c>
      <c r="Q27" s="1186">
        <v>915972</v>
      </c>
      <c r="R27" s="1186">
        <v>2176493</v>
      </c>
      <c r="S27" s="1186">
        <v>1284260</v>
      </c>
    </row>
    <row r="28" spans="1:19" x14ac:dyDescent="0.2">
      <c r="A28" s="1186" t="s">
        <v>133</v>
      </c>
      <c r="B28" s="1186" t="s">
        <v>435</v>
      </c>
      <c r="C28" s="1186">
        <v>62</v>
      </c>
      <c r="D28" s="1186"/>
      <c r="E28" s="1186"/>
      <c r="F28" s="1186">
        <v>3</v>
      </c>
      <c r="G28" s="1186"/>
      <c r="H28" s="1186"/>
      <c r="I28" s="1186">
        <v>3</v>
      </c>
      <c r="J28" s="1186">
        <v>8</v>
      </c>
      <c r="K28" s="1186">
        <v>30</v>
      </c>
      <c r="L28" s="1186">
        <v>16</v>
      </c>
      <c r="M28" s="1186">
        <v>2</v>
      </c>
      <c r="N28" s="1186" t="s">
        <v>133</v>
      </c>
      <c r="O28" s="1186">
        <v>5347600</v>
      </c>
      <c r="P28" s="1186">
        <v>970875</v>
      </c>
      <c r="Q28" s="1186">
        <v>915972</v>
      </c>
      <c r="R28" s="1186">
        <v>2176493</v>
      </c>
      <c r="S28" s="1186">
        <v>1284260</v>
      </c>
    </row>
    <row r="29" spans="1:19" x14ac:dyDescent="0.2">
      <c r="A29" s="1186" t="s">
        <v>144</v>
      </c>
      <c r="B29" s="1186" t="s">
        <v>432</v>
      </c>
      <c r="C29" s="1186">
        <v>259</v>
      </c>
      <c r="D29" s="1186"/>
      <c r="E29" s="1186"/>
      <c r="F29" s="1186">
        <v>1</v>
      </c>
      <c r="G29" s="1186"/>
      <c r="H29" s="1186">
        <v>1</v>
      </c>
      <c r="I29" s="1186">
        <v>23</v>
      </c>
      <c r="J29" s="1186">
        <v>57</v>
      </c>
      <c r="K29" s="1186">
        <v>98</v>
      </c>
      <c r="L29" s="1186">
        <v>64</v>
      </c>
      <c r="M29" s="1186">
        <v>15</v>
      </c>
      <c r="N29" s="1186" t="s">
        <v>144</v>
      </c>
      <c r="O29" s="1186">
        <v>5373000</v>
      </c>
      <c r="P29" s="1186">
        <v>971022</v>
      </c>
      <c r="Q29" s="1186">
        <v>920189</v>
      </c>
      <c r="R29" s="1186">
        <v>2181793</v>
      </c>
      <c r="S29" s="1186">
        <v>1299996</v>
      </c>
    </row>
    <row r="30" spans="1:19" x14ac:dyDescent="0.2">
      <c r="A30" s="1186" t="s">
        <v>144</v>
      </c>
      <c r="B30" s="1186" t="s">
        <v>433</v>
      </c>
      <c r="C30" s="1186">
        <v>516</v>
      </c>
      <c r="D30" s="1186"/>
      <c r="E30" s="1186">
        <v>1</v>
      </c>
      <c r="F30" s="1186"/>
      <c r="G30" s="1186"/>
      <c r="H30" s="1186"/>
      <c r="I30" s="1186">
        <v>26</v>
      </c>
      <c r="J30" s="1186">
        <v>76</v>
      </c>
      <c r="K30" s="1186">
        <v>219</v>
      </c>
      <c r="L30" s="1186">
        <v>169</v>
      </c>
      <c r="M30" s="1186">
        <v>25</v>
      </c>
      <c r="N30" s="1186" t="s">
        <v>144</v>
      </c>
      <c r="O30" s="1186">
        <v>5373000</v>
      </c>
      <c r="P30" s="1186">
        <v>971022</v>
      </c>
      <c r="Q30" s="1186">
        <v>920189</v>
      </c>
      <c r="R30" s="1186">
        <v>2181793</v>
      </c>
      <c r="S30" s="1186">
        <v>1299996</v>
      </c>
    </row>
    <row r="31" spans="1:19" x14ac:dyDescent="0.2">
      <c r="A31" s="1186" t="s">
        <v>144</v>
      </c>
      <c r="B31" s="1186" t="s">
        <v>434</v>
      </c>
      <c r="C31" s="1186">
        <v>431</v>
      </c>
      <c r="D31" s="1186"/>
      <c r="E31" s="1186">
        <v>1</v>
      </c>
      <c r="F31" s="1186">
        <v>6</v>
      </c>
      <c r="G31" s="1186"/>
      <c r="H31" s="1186"/>
      <c r="I31" s="1186">
        <v>27</v>
      </c>
      <c r="J31" s="1186">
        <v>63</v>
      </c>
      <c r="K31" s="1186">
        <v>182</v>
      </c>
      <c r="L31" s="1186">
        <v>134</v>
      </c>
      <c r="M31" s="1186">
        <v>18</v>
      </c>
      <c r="N31" s="1186" t="s">
        <v>144</v>
      </c>
      <c r="O31" s="1186">
        <v>5373000</v>
      </c>
      <c r="P31" s="1186">
        <v>971022</v>
      </c>
      <c r="Q31" s="1186">
        <v>920189</v>
      </c>
      <c r="R31" s="1186">
        <v>2181793</v>
      </c>
      <c r="S31" s="1186">
        <v>1299996</v>
      </c>
    </row>
    <row r="32" spans="1:19" x14ac:dyDescent="0.2">
      <c r="A32" s="1186" t="s">
        <v>144</v>
      </c>
      <c r="B32" s="1186" t="s">
        <v>435</v>
      </c>
      <c r="C32" s="1186">
        <v>70</v>
      </c>
      <c r="D32" s="1186"/>
      <c r="E32" s="1186"/>
      <c r="F32" s="1186"/>
      <c r="G32" s="1186"/>
      <c r="H32" s="1186"/>
      <c r="I32" s="1186">
        <v>1</v>
      </c>
      <c r="J32" s="1186">
        <v>8</v>
      </c>
      <c r="K32" s="1186">
        <v>43</v>
      </c>
      <c r="L32" s="1186">
        <v>14</v>
      </c>
      <c r="M32" s="1186">
        <v>4</v>
      </c>
      <c r="N32" s="1186" t="s">
        <v>144</v>
      </c>
      <c r="O32" s="1186">
        <v>5373000</v>
      </c>
      <c r="P32" s="1186">
        <v>971022</v>
      </c>
      <c r="Q32" s="1186">
        <v>920189</v>
      </c>
      <c r="R32" s="1186">
        <v>2181793</v>
      </c>
      <c r="S32" s="1186">
        <v>1299996</v>
      </c>
    </row>
    <row r="33" spans="1:19" x14ac:dyDescent="0.2">
      <c r="A33" s="1186" t="s">
        <v>282</v>
      </c>
      <c r="B33" s="1186" t="s">
        <v>432</v>
      </c>
      <c r="C33" s="1186">
        <v>330</v>
      </c>
      <c r="D33" s="1186"/>
      <c r="E33" s="1186">
        <v>1</v>
      </c>
      <c r="F33" s="1186">
        <v>3</v>
      </c>
      <c r="G33" s="1186"/>
      <c r="H33" s="1186"/>
      <c r="I33" s="1186">
        <v>23</v>
      </c>
      <c r="J33" s="1186">
        <v>50</v>
      </c>
      <c r="K33" s="1186">
        <v>139</v>
      </c>
      <c r="L33" s="1186">
        <v>92</v>
      </c>
      <c r="M33" s="1186">
        <v>22</v>
      </c>
      <c r="N33" s="1186" t="s">
        <v>282</v>
      </c>
      <c r="O33" s="1186">
        <v>5404700</v>
      </c>
      <c r="P33" s="1186">
        <v>972780</v>
      </c>
      <c r="Q33" s="1186">
        <v>924449</v>
      </c>
      <c r="R33" s="1186">
        <v>2187067</v>
      </c>
      <c r="S33" s="1186">
        <v>1320404</v>
      </c>
    </row>
    <row r="34" spans="1:19" x14ac:dyDescent="0.2">
      <c r="A34" s="1186" t="s">
        <v>282</v>
      </c>
      <c r="B34" s="1186" t="s">
        <v>433</v>
      </c>
      <c r="C34" s="1186">
        <v>487</v>
      </c>
      <c r="D34" s="1186"/>
      <c r="E34" s="1186"/>
      <c r="F34" s="1186">
        <v>2</v>
      </c>
      <c r="G34" s="1186"/>
      <c r="H34" s="1186">
        <v>1</v>
      </c>
      <c r="I34" s="1186">
        <v>21</v>
      </c>
      <c r="J34" s="1186">
        <v>73</v>
      </c>
      <c r="K34" s="1186">
        <v>234</v>
      </c>
      <c r="L34" s="1186">
        <v>131</v>
      </c>
      <c r="M34" s="1186">
        <v>25</v>
      </c>
      <c r="N34" s="1186" t="s">
        <v>282</v>
      </c>
      <c r="O34" s="1186">
        <v>5404700</v>
      </c>
      <c r="P34" s="1186">
        <v>972780</v>
      </c>
      <c r="Q34" s="1186">
        <v>924449</v>
      </c>
      <c r="R34" s="1186">
        <v>2187067</v>
      </c>
      <c r="S34" s="1186">
        <v>1320404</v>
      </c>
    </row>
    <row r="35" spans="1:19" x14ac:dyDescent="0.2">
      <c r="A35" s="1186" t="s">
        <v>282</v>
      </c>
      <c r="B35" s="1186" t="s">
        <v>434</v>
      </c>
      <c r="C35" s="1186">
        <v>384</v>
      </c>
      <c r="D35" s="1186"/>
      <c r="E35" s="1186"/>
      <c r="F35" s="1186">
        <v>7</v>
      </c>
      <c r="G35" s="1186"/>
      <c r="H35" s="1186">
        <v>2</v>
      </c>
      <c r="I35" s="1186">
        <v>27</v>
      </c>
      <c r="J35" s="1186">
        <v>67</v>
      </c>
      <c r="K35" s="1186">
        <v>166</v>
      </c>
      <c r="L35" s="1186">
        <v>102</v>
      </c>
      <c r="M35" s="1186">
        <v>13</v>
      </c>
      <c r="N35" s="1186" t="s">
        <v>282</v>
      </c>
      <c r="O35" s="1186">
        <v>5404700</v>
      </c>
      <c r="P35" s="1186">
        <v>972780</v>
      </c>
      <c r="Q35" s="1186">
        <v>924449</v>
      </c>
      <c r="R35" s="1186">
        <v>2187067</v>
      </c>
      <c r="S35" s="1186">
        <v>1320404</v>
      </c>
    </row>
    <row r="36" spans="1:19" x14ac:dyDescent="0.2">
      <c r="A36" s="1186" t="s">
        <v>282</v>
      </c>
      <c r="B36" s="1186" t="s">
        <v>435</v>
      </c>
      <c r="C36" s="1186">
        <v>65</v>
      </c>
      <c r="D36" s="1186"/>
      <c r="E36" s="1186"/>
      <c r="F36" s="1186">
        <v>1</v>
      </c>
      <c r="G36" s="1186"/>
      <c r="H36" s="1186">
        <v>1</v>
      </c>
      <c r="I36" s="1186">
        <v>7</v>
      </c>
      <c r="J36" s="1186">
        <v>11</v>
      </c>
      <c r="K36" s="1186">
        <v>35</v>
      </c>
      <c r="L36" s="1186">
        <v>9</v>
      </c>
      <c r="M36" s="1186">
        <v>1</v>
      </c>
      <c r="N36" s="1186" t="s">
        <v>282</v>
      </c>
      <c r="O36" s="1186">
        <v>5404700</v>
      </c>
      <c r="P36" s="1186">
        <v>972780</v>
      </c>
      <c r="Q36" s="1186">
        <v>924449</v>
      </c>
      <c r="R36" s="1186">
        <v>2187067</v>
      </c>
      <c r="S36" s="1186">
        <v>1320404</v>
      </c>
    </row>
    <row r="37" spans="1:19" x14ac:dyDescent="0.2">
      <c r="A37" s="1186" t="s">
        <v>311</v>
      </c>
      <c r="B37" s="1186" t="s">
        <v>432</v>
      </c>
      <c r="C37" s="1186">
        <v>235</v>
      </c>
      <c r="D37" s="1186"/>
      <c r="E37" s="1186"/>
      <c r="F37" s="1186">
        <v>2</v>
      </c>
      <c r="G37" s="1186">
        <v>2</v>
      </c>
      <c r="H37" s="1186">
        <v>6</v>
      </c>
      <c r="I37" s="1186">
        <v>31</v>
      </c>
      <c r="J37" s="1186">
        <v>33</v>
      </c>
      <c r="K37" s="1186">
        <v>85</v>
      </c>
      <c r="L37" s="1186">
        <v>64</v>
      </c>
      <c r="M37" s="1186">
        <v>12</v>
      </c>
      <c r="N37" s="1186" t="s">
        <v>311</v>
      </c>
      <c r="O37" s="1186">
        <v>5424800</v>
      </c>
      <c r="P37" s="1186">
        <v>973036</v>
      </c>
      <c r="Q37" s="1186">
        <v>920015</v>
      </c>
      <c r="R37" s="1186">
        <v>2190171</v>
      </c>
      <c r="S37" s="1186">
        <v>1341578</v>
      </c>
    </row>
    <row r="38" spans="1:19" x14ac:dyDescent="0.2">
      <c r="A38" s="1186" t="s">
        <v>311</v>
      </c>
      <c r="B38" s="1186" t="s">
        <v>433</v>
      </c>
      <c r="C38" s="1186">
        <v>462</v>
      </c>
      <c r="D38" s="1186"/>
      <c r="E38" s="1186">
        <v>2</v>
      </c>
      <c r="F38" s="1186">
        <v>3</v>
      </c>
      <c r="G38" s="1186"/>
      <c r="H38" s="1186">
        <v>2</v>
      </c>
      <c r="I38" s="1186">
        <v>17</v>
      </c>
      <c r="J38" s="1186">
        <v>70</v>
      </c>
      <c r="K38" s="1186">
        <v>206</v>
      </c>
      <c r="L38" s="1186">
        <v>119</v>
      </c>
      <c r="M38" s="1186">
        <v>43</v>
      </c>
      <c r="N38" s="1186" t="s">
        <v>311</v>
      </c>
      <c r="O38" s="1186">
        <v>5424800</v>
      </c>
      <c r="P38" s="1186">
        <v>973036</v>
      </c>
      <c r="Q38" s="1186">
        <v>920015</v>
      </c>
      <c r="R38" s="1186">
        <v>2190171</v>
      </c>
      <c r="S38" s="1186">
        <v>1341578</v>
      </c>
    </row>
    <row r="39" spans="1:19" x14ac:dyDescent="0.2">
      <c r="A39" s="1186" t="s">
        <v>311</v>
      </c>
      <c r="B39" s="1186" t="s">
        <v>434</v>
      </c>
      <c r="C39" s="1186">
        <v>356</v>
      </c>
      <c r="D39" s="1186"/>
      <c r="E39" s="1186">
        <v>2</v>
      </c>
      <c r="F39" s="1186">
        <v>7</v>
      </c>
      <c r="G39" s="1186"/>
      <c r="H39" s="1186">
        <v>1</v>
      </c>
      <c r="I39" s="1186">
        <v>37</v>
      </c>
      <c r="J39" s="1186">
        <v>67</v>
      </c>
      <c r="K39" s="1186">
        <v>154</v>
      </c>
      <c r="L39" s="1186">
        <v>73</v>
      </c>
      <c r="M39" s="1186">
        <v>15</v>
      </c>
      <c r="N39" s="1186" t="s">
        <v>311</v>
      </c>
      <c r="O39" s="1186">
        <v>5424800</v>
      </c>
      <c r="P39" s="1186">
        <v>973036</v>
      </c>
      <c r="Q39" s="1186">
        <v>920015</v>
      </c>
      <c r="R39" s="1186">
        <v>2190171</v>
      </c>
      <c r="S39" s="1186">
        <v>1341578</v>
      </c>
    </row>
    <row r="40" spans="1:19" x14ac:dyDescent="0.2">
      <c r="A40" s="1186" t="s">
        <v>311</v>
      </c>
      <c r="B40" s="1186" t="s">
        <v>435</v>
      </c>
      <c r="C40" s="1186">
        <v>63</v>
      </c>
      <c r="D40" s="1186"/>
      <c r="E40" s="1186"/>
      <c r="F40" s="1186">
        <v>1</v>
      </c>
      <c r="G40" s="1186"/>
      <c r="H40" s="1186"/>
      <c r="I40" s="1186">
        <v>2</v>
      </c>
      <c r="J40" s="1186">
        <v>13</v>
      </c>
      <c r="K40" s="1186">
        <v>31</v>
      </c>
      <c r="L40" s="1186">
        <v>13</v>
      </c>
      <c r="M40" s="1186">
        <v>3</v>
      </c>
      <c r="N40" s="1186" t="s">
        <v>311</v>
      </c>
      <c r="O40" s="1186">
        <v>5424800</v>
      </c>
      <c r="P40" s="1186">
        <v>973036</v>
      </c>
      <c r="Q40" s="1186">
        <v>920015</v>
      </c>
      <c r="R40" s="1186">
        <v>2190171</v>
      </c>
      <c r="S40" s="1186">
        <v>1341578</v>
      </c>
    </row>
    <row r="41" spans="1:19" x14ac:dyDescent="0.2">
      <c r="A41" s="1186" t="s">
        <v>621</v>
      </c>
      <c r="B41" s="1186" t="s">
        <v>432</v>
      </c>
      <c r="C41" s="1186">
        <v>248</v>
      </c>
      <c r="D41" s="1186"/>
      <c r="E41" s="1186"/>
      <c r="F41" s="1186">
        <v>1</v>
      </c>
      <c r="G41" s="1186"/>
      <c r="H41" s="1186">
        <v>4</v>
      </c>
      <c r="I41" s="1186">
        <v>26</v>
      </c>
      <c r="J41" s="1186">
        <v>30</v>
      </c>
      <c r="K41" s="1186">
        <v>110</v>
      </c>
      <c r="L41" s="1186">
        <v>64</v>
      </c>
      <c r="M41" s="1186">
        <v>13</v>
      </c>
      <c r="N41" s="1186" t="s">
        <v>621</v>
      </c>
      <c r="O41" s="1186">
        <v>5438100</v>
      </c>
      <c r="P41" s="1186">
        <v>972972</v>
      </c>
      <c r="Q41" s="1186">
        <v>910297</v>
      </c>
      <c r="R41" s="1186">
        <v>2192411</v>
      </c>
      <c r="S41" s="1186">
        <v>1362420</v>
      </c>
    </row>
    <row r="42" spans="1:19" x14ac:dyDescent="0.2">
      <c r="A42" s="1186" t="s">
        <v>621</v>
      </c>
      <c r="B42" s="1186" t="s">
        <v>433</v>
      </c>
      <c r="C42" s="1186">
        <v>523</v>
      </c>
      <c r="D42" s="1186"/>
      <c r="E42" s="1186">
        <v>1</v>
      </c>
      <c r="F42" s="1186">
        <v>5</v>
      </c>
      <c r="G42" s="1186"/>
      <c r="H42" s="1186">
        <v>2</v>
      </c>
      <c r="I42" s="1186">
        <v>29</v>
      </c>
      <c r="J42" s="1186">
        <v>77</v>
      </c>
      <c r="K42" s="1186">
        <v>223</v>
      </c>
      <c r="L42" s="1186">
        <v>136</v>
      </c>
      <c r="M42" s="1186">
        <v>50</v>
      </c>
      <c r="N42" s="1186" t="s">
        <v>621</v>
      </c>
      <c r="O42" s="1186">
        <v>5438100</v>
      </c>
      <c r="P42" s="1186">
        <v>972972</v>
      </c>
      <c r="Q42" s="1186">
        <v>910297</v>
      </c>
      <c r="R42" s="1186">
        <v>2192411</v>
      </c>
      <c r="S42" s="1186">
        <v>1362420</v>
      </c>
    </row>
    <row r="43" spans="1:19" x14ac:dyDescent="0.2">
      <c r="A43" s="1186" t="s">
        <v>621</v>
      </c>
      <c r="B43" s="1186" t="s">
        <v>434</v>
      </c>
      <c r="C43" s="1186">
        <v>373</v>
      </c>
      <c r="D43" s="1186"/>
      <c r="E43" s="1186">
        <v>1</v>
      </c>
      <c r="F43" s="1186">
        <v>5</v>
      </c>
      <c r="G43" s="1186"/>
      <c r="H43" s="1186">
        <v>2</v>
      </c>
      <c r="I43" s="1186">
        <v>25</v>
      </c>
      <c r="J43" s="1186">
        <v>62</v>
      </c>
      <c r="K43" s="1186">
        <v>161</v>
      </c>
      <c r="L43" s="1186">
        <v>92</v>
      </c>
      <c r="M43" s="1186">
        <v>25</v>
      </c>
      <c r="N43" s="1186" t="s">
        <v>621</v>
      </c>
      <c r="O43" s="1186">
        <v>5438100</v>
      </c>
      <c r="P43" s="1186">
        <v>972972</v>
      </c>
      <c r="Q43" s="1186">
        <v>910297</v>
      </c>
      <c r="R43" s="1186">
        <v>2192411</v>
      </c>
      <c r="S43" s="1186">
        <v>1362420</v>
      </c>
    </row>
    <row r="44" spans="1:19" x14ac:dyDescent="0.2">
      <c r="A44" s="1186" t="s">
        <v>621</v>
      </c>
      <c r="B44" s="1186" t="s">
        <v>435</v>
      </c>
      <c r="C44" s="1186">
        <v>53</v>
      </c>
      <c r="D44" s="1186"/>
      <c r="E44" s="1186"/>
      <c r="F44" s="1186"/>
      <c r="G44" s="1186"/>
      <c r="H44" s="1186"/>
      <c r="I44" s="1186">
        <v>3</v>
      </c>
      <c r="J44" s="1186">
        <v>12</v>
      </c>
      <c r="K44" s="1186">
        <v>21</v>
      </c>
      <c r="L44" s="1186">
        <v>11</v>
      </c>
      <c r="M44" s="1186">
        <v>6</v>
      </c>
      <c r="N44" s="1186" t="s">
        <v>621</v>
      </c>
      <c r="O44" s="1186">
        <v>5438100</v>
      </c>
      <c r="P44" s="1186">
        <v>972972</v>
      </c>
      <c r="Q44" s="1186">
        <v>910297</v>
      </c>
      <c r="R44" s="1186">
        <v>2192411</v>
      </c>
      <c r="S44" s="1186">
        <v>1362420</v>
      </c>
    </row>
    <row r="45" spans="1:19" x14ac:dyDescent="0.2">
      <c r="A45" s="1186" t="s">
        <v>1419</v>
      </c>
      <c r="B45" s="1186" t="s">
        <v>432</v>
      </c>
      <c r="C45" s="1186">
        <v>219</v>
      </c>
      <c r="D45" s="1186"/>
      <c r="E45" s="1186"/>
      <c r="F45" s="1186">
        <v>2</v>
      </c>
      <c r="G45" s="1186">
        <v>1</v>
      </c>
      <c r="H45" s="1186">
        <v>2</v>
      </c>
      <c r="I45" s="1186">
        <v>26</v>
      </c>
      <c r="J45" s="1186">
        <v>37</v>
      </c>
      <c r="K45" s="1186">
        <v>91</v>
      </c>
      <c r="L45" s="1186">
        <v>44</v>
      </c>
      <c r="M45" s="1186">
        <v>16</v>
      </c>
      <c r="N45" s="1186" t="s">
        <v>1419</v>
      </c>
      <c r="O45" s="1186">
        <v>5463300</v>
      </c>
      <c r="P45" s="1186">
        <v>975449</v>
      </c>
      <c r="Q45" s="1186">
        <v>901925</v>
      </c>
      <c r="R45" s="1186">
        <v>2197088</v>
      </c>
      <c r="S45" s="1186">
        <v>1388838</v>
      </c>
    </row>
    <row r="46" spans="1:19" x14ac:dyDescent="0.2">
      <c r="A46" s="1186" t="s">
        <v>1419</v>
      </c>
      <c r="B46" s="1186" t="s">
        <v>433</v>
      </c>
      <c r="C46" s="1186">
        <v>441</v>
      </c>
      <c r="D46" s="1186"/>
      <c r="E46" s="1186">
        <v>1</v>
      </c>
      <c r="F46" s="1186">
        <v>1</v>
      </c>
      <c r="G46" s="1186"/>
      <c r="H46" s="1186"/>
      <c r="I46" s="1186">
        <v>34</v>
      </c>
      <c r="J46" s="1186">
        <v>46</v>
      </c>
      <c r="K46" s="1186">
        <v>189</v>
      </c>
      <c r="L46" s="1186">
        <v>132</v>
      </c>
      <c r="M46" s="1186">
        <v>38</v>
      </c>
      <c r="N46" s="1186" t="s">
        <v>1419</v>
      </c>
      <c r="O46" s="1186">
        <v>5463300</v>
      </c>
      <c r="P46" s="1186">
        <v>975449</v>
      </c>
      <c r="Q46" s="1186">
        <v>901925</v>
      </c>
      <c r="R46" s="1186">
        <v>2197088</v>
      </c>
      <c r="S46" s="1186">
        <v>1388838</v>
      </c>
    </row>
    <row r="47" spans="1:19" x14ac:dyDescent="0.2">
      <c r="A47" s="1186" t="s">
        <v>1419</v>
      </c>
      <c r="B47" s="1186" t="s">
        <v>434</v>
      </c>
      <c r="C47" s="1186">
        <v>314</v>
      </c>
      <c r="D47" s="1186"/>
      <c r="E47" s="1186">
        <v>1</v>
      </c>
      <c r="F47" s="1186">
        <v>4</v>
      </c>
      <c r="G47" s="1186"/>
      <c r="H47" s="1186">
        <v>1</v>
      </c>
      <c r="I47" s="1186">
        <v>26</v>
      </c>
      <c r="J47" s="1186">
        <v>45</v>
      </c>
      <c r="K47" s="1186">
        <v>135</v>
      </c>
      <c r="L47" s="1186">
        <v>82</v>
      </c>
      <c r="M47" s="1186">
        <v>20</v>
      </c>
      <c r="N47" s="1186" t="s">
        <v>1419</v>
      </c>
      <c r="O47" s="1186">
        <v>5463300</v>
      </c>
      <c r="P47" s="1186">
        <v>975449</v>
      </c>
      <c r="Q47" s="1186">
        <v>901925</v>
      </c>
      <c r="R47" s="1186">
        <v>2197088</v>
      </c>
      <c r="S47" s="1186">
        <v>1388838</v>
      </c>
    </row>
    <row r="48" spans="1:19" x14ac:dyDescent="0.2">
      <c r="A48" s="1186" t="s">
        <v>1419</v>
      </c>
      <c r="B48" s="1186" t="s">
        <v>435</v>
      </c>
      <c r="C48" s="1186">
        <v>53</v>
      </c>
      <c r="D48" s="1186"/>
      <c r="E48" s="1186"/>
      <c r="F48" s="1186"/>
      <c r="G48" s="1186"/>
      <c r="H48" s="1186"/>
      <c r="I48" s="1186"/>
      <c r="J48" s="1186">
        <v>5</v>
      </c>
      <c r="K48" s="1186">
        <v>32</v>
      </c>
      <c r="L48" s="1186">
        <v>10</v>
      </c>
      <c r="M48" s="1186">
        <v>6</v>
      </c>
      <c r="N48" s="1186" t="s">
        <v>1419</v>
      </c>
      <c r="O48" s="1186">
        <v>5463300</v>
      </c>
      <c r="P48" s="1186">
        <v>975449</v>
      </c>
      <c r="Q48" s="1186">
        <v>901925</v>
      </c>
      <c r="R48" s="1186">
        <v>2197088</v>
      </c>
      <c r="S48" s="1186">
        <v>1388838</v>
      </c>
    </row>
    <row r="49" spans="1:19" x14ac:dyDescent="0.2">
      <c r="A49" s="1186" t="s">
        <v>1572</v>
      </c>
      <c r="B49" s="1186" t="s">
        <v>432</v>
      </c>
      <c r="C49" s="1186">
        <v>324</v>
      </c>
      <c r="D49" s="1186">
        <v>1</v>
      </c>
      <c r="E49" s="1186"/>
      <c r="F49" s="1186"/>
      <c r="G49" s="1186"/>
      <c r="H49" s="1186">
        <v>1</v>
      </c>
      <c r="I49" s="1186">
        <v>57</v>
      </c>
      <c r="J49" s="1186">
        <v>39</v>
      </c>
      <c r="K49" s="1186">
        <v>140</v>
      </c>
      <c r="L49" s="1186">
        <v>64</v>
      </c>
      <c r="M49" s="1186">
        <v>22</v>
      </c>
      <c r="N49" s="1186" t="s">
        <v>1572</v>
      </c>
      <c r="O49" s="1186">
        <v>5466000</v>
      </c>
      <c r="P49" s="1186">
        <v>972673</v>
      </c>
      <c r="Q49" s="1186">
        <v>888196</v>
      </c>
      <c r="R49" s="1186">
        <v>2196482</v>
      </c>
      <c r="S49" s="1186">
        <v>1408649</v>
      </c>
    </row>
    <row r="50" spans="1:19" x14ac:dyDescent="0.2">
      <c r="A50" s="1186" t="s">
        <v>1572</v>
      </c>
      <c r="B50" s="1186" t="s">
        <v>433</v>
      </c>
      <c r="C50" s="1186">
        <v>343</v>
      </c>
      <c r="D50" s="1186"/>
      <c r="E50" s="1186"/>
      <c r="F50" s="1186"/>
      <c r="G50" s="1186"/>
      <c r="H50" s="1186"/>
      <c r="I50" s="1186">
        <v>30</v>
      </c>
      <c r="J50" s="1186">
        <v>37</v>
      </c>
      <c r="K50" s="1186">
        <v>153</v>
      </c>
      <c r="L50" s="1186">
        <v>96</v>
      </c>
      <c r="M50" s="1186">
        <v>27</v>
      </c>
      <c r="N50" s="1186" t="s">
        <v>1572</v>
      </c>
      <c r="O50" s="1186">
        <v>5466000</v>
      </c>
      <c r="P50" s="1186">
        <v>972673</v>
      </c>
      <c r="Q50" s="1186">
        <v>888196</v>
      </c>
      <c r="R50" s="1186">
        <v>2196482</v>
      </c>
      <c r="S50" s="1186">
        <v>1408649</v>
      </c>
    </row>
    <row r="51" spans="1:19" x14ac:dyDescent="0.2">
      <c r="A51" s="1186" t="s">
        <v>1572</v>
      </c>
      <c r="B51" s="1186" t="s">
        <v>434</v>
      </c>
      <c r="C51" s="1186">
        <v>299</v>
      </c>
      <c r="D51" s="1186">
        <v>1</v>
      </c>
      <c r="E51" s="1186"/>
      <c r="F51" s="1186">
        <v>5</v>
      </c>
      <c r="G51" s="1186"/>
      <c r="H51" s="1186"/>
      <c r="I51" s="1186">
        <v>28</v>
      </c>
      <c r="J51" s="1186">
        <v>44</v>
      </c>
      <c r="K51" s="1186">
        <v>134</v>
      </c>
      <c r="L51" s="1186">
        <v>76</v>
      </c>
      <c r="M51" s="1186">
        <v>11</v>
      </c>
      <c r="N51" s="1186" t="s">
        <v>1572</v>
      </c>
      <c r="O51" s="1186">
        <v>5466000</v>
      </c>
      <c r="P51" s="1186">
        <v>972673</v>
      </c>
      <c r="Q51" s="1186">
        <v>888196</v>
      </c>
      <c r="R51" s="1186">
        <v>2196482</v>
      </c>
      <c r="S51" s="1186">
        <v>1408649</v>
      </c>
    </row>
    <row r="52" spans="1:19" x14ac:dyDescent="0.2">
      <c r="A52" s="1186" t="s">
        <v>1572</v>
      </c>
      <c r="B52" s="1186" t="s">
        <v>435</v>
      </c>
      <c r="C52" s="1186">
        <v>51</v>
      </c>
      <c r="D52" s="1186"/>
      <c r="E52" s="1186"/>
      <c r="F52" s="1186"/>
      <c r="G52" s="1186"/>
      <c r="H52" s="1186"/>
      <c r="I52" s="1186">
        <v>1</v>
      </c>
      <c r="J52" s="1186">
        <v>6</v>
      </c>
      <c r="K52" s="1186">
        <v>25</v>
      </c>
      <c r="L52" s="1186">
        <v>14</v>
      </c>
      <c r="M52" s="1186">
        <v>5</v>
      </c>
      <c r="N52" s="1186" t="s">
        <v>1572</v>
      </c>
      <c r="O52" s="1186">
        <v>5466000</v>
      </c>
      <c r="P52" s="1186">
        <v>972673</v>
      </c>
      <c r="Q52" s="1186">
        <v>888196</v>
      </c>
      <c r="R52" s="1186">
        <v>2196482</v>
      </c>
      <c r="S52" s="1186">
        <v>1408649</v>
      </c>
    </row>
  </sheetData>
  <pageMargins left="0.7" right="0.7" top="0.75" bottom="0.75" header="0.3" footer="0.3"/>
  <pageSetup paperSize="9" fitToHeight="50" orientation="landscape" r:id="rId1"/>
  <legacy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pageSetUpPr fitToPage="1"/>
  </sheetPr>
  <dimension ref="A4:AF16"/>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sheetData>
    <row r="4" spans="1:32" x14ac:dyDescent="0.2">
      <c r="A4" s="1223" t="s">
        <v>4</v>
      </c>
      <c r="B4" s="1223" t="s">
        <v>1729</v>
      </c>
      <c r="C4" s="1223" t="s">
        <v>1487</v>
      </c>
      <c r="D4" s="1223" t="s">
        <v>1488</v>
      </c>
      <c r="E4" s="1223" t="s">
        <v>1489</v>
      </c>
      <c r="F4" s="1223" t="s">
        <v>1490</v>
      </c>
      <c r="G4" s="1223" t="s">
        <v>1491</v>
      </c>
      <c r="H4" s="1223" t="s">
        <v>1492</v>
      </c>
      <c r="I4" s="1223" t="s">
        <v>1493</v>
      </c>
      <c r="J4" s="1223" t="s">
        <v>1494</v>
      </c>
      <c r="K4" s="1223" t="s">
        <v>1495</v>
      </c>
      <c r="L4" s="1223" t="s">
        <v>1496</v>
      </c>
      <c r="M4" s="1223" t="s">
        <v>1497</v>
      </c>
      <c r="N4" s="1223" t="s">
        <v>1498</v>
      </c>
      <c r="O4" s="1223" t="s">
        <v>1499</v>
      </c>
      <c r="P4" s="1223" t="s">
        <v>1500</v>
      </c>
      <c r="Q4" s="1223" t="s">
        <v>1501</v>
      </c>
      <c r="R4" s="1223" t="s">
        <v>1502</v>
      </c>
      <c r="S4" s="1223" t="s">
        <v>1503</v>
      </c>
      <c r="T4" s="1223" t="s">
        <v>1504</v>
      </c>
      <c r="U4" s="1223" t="s">
        <v>1505</v>
      </c>
      <c r="V4" s="1223" t="s">
        <v>1506</v>
      </c>
      <c r="W4" s="1223" t="s">
        <v>1507</v>
      </c>
      <c r="X4" s="1223" t="s">
        <v>1508</v>
      </c>
      <c r="Y4" s="1223" t="s">
        <v>1509</v>
      </c>
      <c r="Z4" s="1223" t="s">
        <v>1510</v>
      </c>
      <c r="AA4" s="1223" t="s">
        <v>1511</v>
      </c>
      <c r="AB4" s="1223" t="s">
        <v>1512</v>
      </c>
      <c r="AC4" s="1223" t="s">
        <v>1513</v>
      </c>
      <c r="AD4" s="1223" t="s">
        <v>1514</v>
      </c>
      <c r="AE4" s="1223" t="s">
        <v>1515</v>
      </c>
      <c r="AF4" s="1223" t="s">
        <v>1516</v>
      </c>
    </row>
    <row r="5" spans="1:32" x14ac:dyDescent="0.2">
      <c r="A5" s="1186" t="s">
        <v>19</v>
      </c>
      <c r="B5" s="1186">
        <v>9564</v>
      </c>
      <c r="C5" s="1186">
        <v>2064</v>
      </c>
      <c r="D5" s="1186">
        <v>3195</v>
      </c>
      <c r="E5" s="1186">
        <v>818</v>
      </c>
      <c r="F5" s="1186">
        <v>42</v>
      </c>
      <c r="G5" s="1186">
        <v>3</v>
      </c>
      <c r="H5" s="1186">
        <v>362</v>
      </c>
      <c r="I5" s="1186">
        <v>28</v>
      </c>
      <c r="J5" s="1186">
        <v>48</v>
      </c>
      <c r="K5" s="1186">
        <v>418</v>
      </c>
      <c r="L5" s="1186">
        <v>88</v>
      </c>
      <c r="M5" s="1186">
        <v>299</v>
      </c>
      <c r="N5" s="1186">
        <v>64</v>
      </c>
      <c r="O5" s="1186">
        <v>143</v>
      </c>
      <c r="P5" s="1186">
        <v>87</v>
      </c>
      <c r="Q5" s="1186">
        <v>177</v>
      </c>
      <c r="R5" s="1186">
        <v>204</v>
      </c>
      <c r="S5" s="1186">
        <v>328</v>
      </c>
      <c r="T5" s="1186">
        <v>219</v>
      </c>
      <c r="U5" s="1186">
        <v>161</v>
      </c>
      <c r="V5" s="1186">
        <v>205</v>
      </c>
      <c r="W5" s="1186">
        <v>85</v>
      </c>
      <c r="X5" s="1186">
        <v>47</v>
      </c>
      <c r="Y5" s="1186">
        <v>10</v>
      </c>
      <c r="Z5" s="1186">
        <v>18</v>
      </c>
      <c r="AA5" s="1186">
        <v>144</v>
      </c>
      <c r="AB5" s="1186">
        <v>157</v>
      </c>
      <c r="AC5" s="1186">
        <v>18</v>
      </c>
      <c r="AD5" s="1186">
        <v>96</v>
      </c>
      <c r="AE5" s="1186">
        <v>27</v>
      </c>
      <c r="AF5" s="1186">
        <v>9</v>
      </c>
    </row>
    <row r="6" spans="1:32" x14ac:dyDescent="0.2">
      <c r="A6" s="1186" t="s">
        <v>20</v>
      </c>
      <c r="B6" s="1186">
        <v>9088</v>
      </c>
      <c r="C6" s="1186">
        <v>2026</v>
      </c>
      <c r="D6" s="1186">
        <v>2989</v>
      </c>
      <c r="E6" s="1186">
        <v>753</v>
      </c>
      <c r="F6" s="1186">
        <v>43</v>
      </c>
      <c r="G6" s="1186">
        <v>3</v>
      </c>
      <c r="H6" s="1186">
        <v>413</v>
      </c>
      <c r="I6" s="1186">
        <v>36</v>
      </c>
      <c r="J6" s="1186">
        <v>30</v>
      </c>
      <c r="K6" s="1186">
        <v>393</v>
      </c>
      <c r="L6" s="1186">
        <v>88</v>
      </c>
      <c r="M6" s="1186">
        <v>324</v>
      </c>
      <c r="N6" s="1186">
        <v>53</v>
      </c>
      <c r="O6" s="1186">
        <v>144</v>
      </c>
      <c r="P6" s="1186">
        <v>110</v>
      </c>
      <c r="Q6" s="1186">
        <v>142</v>
      </c>
      <c r="R6" s="1186">
        <v>196</v>
      </c>
      <c r="S6" s="1186">
        <v>301</v>
      </c>
      <c r="T6" s="1186">
        <v>187</v>
      </c>
      <c r="U6" s="1186">
        <v>140</v>
      </c>
      <c r="V6" s="1186">
        <v>136</v>
      </c>
      <c r="W6" s="1186">
        <v>95</v>
      </c>
      <c r="X6" s="1186">
        <v>47</v>
      </c>
      <c r="Y6" s="1186">
        <v>7</v>
      </c>
      <c r="Z6" s="1186">
        <v>18</v>
      </c>
      <c r="AA6" s="1186">
        <v>137</v>
      </c>
      <c r="AB6" s="1186">
        <v>157</v>
      </c>
      <c r="AC6" s="1186">
        <v>15</v>
      </c>
      <c r="AD6" s="1186">
        <v>75</v>
      </c>
      <c r="AE6" s="1186">
        <v>21</v>
      </c>
      <c r="AF6" s="1186">
        <v>9</v>
      </c>
    </row>
    <row r="7" spans="1:32" x14ac:dyDescent="0.2">
      <c r="A7" s="1186" t="s">
        <v>13</v>
      </c>
      <c r="B7" s="1186">
        <v>8874</v>
      </c>
      <c r="C7" s="1186">
        <v>1936</v>
      </c>
      <c r="D7" s="1186">
        <v>2879</v>
      </c>
      <c r="E7" s="1186">
        <v>764</v>
      </c>
      <c r="F7" s="1186">
        <v>25</v>
      </c>
      <c r="G7" s="1186">
        <v>9</v>
      </c>
      <c r="H7" s="1186">
        <v>501</v>
      </c>
      <c r="I7" s="1186">
        <v>19</v>
      </c>
      <c r="J7" s="1186">
        <v>24</v>
      </c>
      <c r="K7" s="1186">
        <v>428</v>
      </c>
      <c r="L7" s="1186">
        <v>84</v>
      </c>
      <c r="M7" s="1186">
        <v>298</v>
      </c>
      <c r="N7" s="1186">
        <v>38</v>
      </c>
      <c r="O7" s="1186">
        <v>118</v>
      </c>
      <c r="P7" s="1186">
        <v>110</v>
      </c>
      <c r="Q7" s="1186">
        <v>157</v>
      </c>
      <c r="R7" s="1186">
        <v>188</v>
      </c>
      <c r="S7" s="1186">
        <v>272</v>
      </c>
      <c r="T7" s="1186">
        <v>164</v>
      </c>
      <c r="U7" s="1186">
        <v>173</v>
      </c>
      <c r="V7" s="1186">
        <v>175</v>
      </c>
      <c r="W7" s="1186">
        <v>66</v>
      </c>
      <c r="X7" s="1186">
        <v>51</v>
      </c>
      <c r="Y7" s="1186">
        <v>4</v>
      </c>
      <c r="Z7" s="1186">
        <v>15</v>
      </c>
      <c r="AA7" s="1186">
        <v>135</v>
      </c>
      <c r="AB7" s="1186">
        <v>125</v>
      </c>
      <c r="AC7" s="1186">
        <v>16</v>
      </c>
      <c r="AD7" s="1186">
        <v>71</v>
      </c>
      <c r="AE7" s="1186">
        <v>19</v>
      </c>
      <c r="AF7" s="1186">
        <v>10</v>
      </c>
    </row>
    <row r="8" spans="1:32" x14ac:dyDescent="0.2">
      <c r="A8" s="1186" t="s">
        <v>15</v>
      </c>
      <c r="B8" s="1186">
        <v>8237</v>
      </c>
      <c r="C8" s="1186">
        <v>2018</v>
      </c>
      <c r="D8" s="1186">
        <v>2502</v>
      </c>
      <c r="E8" s="1186">
        <v>732</v>
      </c>
      <c r="F8" s="1186">
        <v>31</v>
      </c>
      <c r="G8" s="1186">
        <v>4</v>
      </c>
      <c r="H8" s="1186">
        <v>485</v>
      </c>
      <c r="I8" s="1186">
        <v>28</v>
      </c>
      <c r="J8" s="1186">
        <v>29</v>
      </c>
      <c r="K8" s="1186">
        <v>350</v>
      </c>
      <c r="L8" s="1186">
        <v>86</v>
      </c>
      <c r="M8" s="1186">
        <v>234</v>
      </c>
      <c r="N8" s="1186">
        <v>37</v>
      </c>
      <c r="O8" s="1186">
        <v>107</v>
      </c>
      <c r="P8" s="1186">
        <v>122</v>
      </c>
      <c r="Q8" s="1186">
        <v>126</v>
      </c>
      <c r="R8" s="1186">
        <v>145</v>
      </c>
      <c r="S8" s="1186">
        <v>234</v>
      </c>
      <c r="T8" s="1186">
        <v>160</v>
      </c>
      <c r="U8" s="1186">
        <v>152</v>
      </c>
      <c r="V8" s="1186">
        <v>180</v>
      </c>
      <c r="W8" s="1186">
        <v>79</v>
      </c>
      <c r="X8" s="1186">
        <v>48</v>
      </c>
      <c r="Y8" s="1186">
        <v>12</v>
      </c>
      <c r="Z8" s="1186">
        <v>16</v>
      </c>
      <c r="AA8" s="1186">
        <v>133</v>
      </c>
      <c r="AB8" s="1186">
        <v>90</v>
      </c>
      <c r="AC8" s="1186">
        <v>13</v>
      </c>
      <c r="AD8" s="1186">
        <v>59</v>
      </c>
      <c r="AE8" s="1186">
        <v>12</v>
      </c>
      <c r="AF8" s="1186">
        <v>13</v>
      </c>
    </row>
    <row r="9" spans="1:32" x14ac:dyDescent="0.2">
      <c r="A9" s="1186" t="s">
        <v>17</v>
      </c>
      <c r="B9" s="1186">
        <v>7669</v>
      </c>
      <c r="C9" s="1186">
        <v>1932</v>
      </c>
      <c r="D9" s="1186">
        <v>2184</v>
      </c>
      <c r="E9" s="1186">
        <v>691</v>
      </c>
      <c r="F9" s="1186">
        <v>43</v>
      </c>
      <c r="G9" s="1186">
        <v>1</v>
      </c>
      <c r="H9" s="1186">
        <v>431</v>
      </c>
      <c r="I9" s="1186">
        <v>19</v>
      </c>
      <c r="J9" s="1186">
        <v>22</v>
      </c>
      <c r="K9" s="1186">
        <v>346</v>
      </c>
      <c r="L9" s="1186">
        <v>88</v>
      </c>
      <c r="M9" s="1186">
        <v>219</v>
      </c>
      <c r="N9" s="1186">
        <v>40</v>
      </c>
      <c r="O9" s="1186">
        <v>121</v>
      </c>
      <c r="P9" s="1186">
        <v>113</v>
      </c>
      <c r="Q9" s="1186">
        <v>124</v>
      </c>
      <c r="R9" s="1186">
        <v>155</v>
      </c>
      <c r="S9" s="1186">
        <v>232</v>
      </c>
      <c r="T9" s="1186">
        <v>151</v>
      </c>
      <c r="U9" s="1186">
        <v>141</v>
      </c>
      <c r="V9" s="1186">
        <v>170</v>
      </c>
      <c r="W9" s="1186">
        <v>89</v>
      </c>
      <c r="X9" s="1186">
        <v>41</v>
      </c>
      <c r="Y9" s="1186">
        <v>6</v>
      </c>
      <c r="Z9" s="1186">
        <v>13</v>
      </c>
      <c r="AA9" s="1186">
        <v>130</v>
      </c>
      <c r="AB9" s="1186">
        <v>93</v>
      </c>
      <c r="AC9" s="1186">
        <v>19</v>
      </c>
      <c r="AD9" s="1186">
        <v>38</v>
      </c>
      <c r="AE9" s="1186">
        <v>8</v>
      </c>
      <c r="AF9" s="1186">
        <v>9</v>
      </c>
    </row>
    <row r="10" spans="1:32" x14ac:dyDescent="0.2">
      <c r="A10" s="1186" t="s">
        <v>133</v>
      </c>
      <c r="B10" s="1186">
        <v>7898</v>
      </c>
      <c r="C10" s="1186">
        <v>2017</v>
      </c>
      <c r="D10" s="1186">
        <v>2234</v>
      </c>
      <c r="E10" s="1186">
        <v>708</v>
      </c>
      <c r="F10" s="1186">
        <v>31</v>
      </c>
      <c r="G10" s="1186">
        <v>1</v>
      </c>
      <c r="H10" s="1186">
        <v>537</v>
      </c>
      <c r="I10" s="1186">
        <v>22</v>
      </c>
      <c r="J10" s="1186">
        <v>24</v>
      </c>
      <c r="K10" s="1186">
        <v>358</v>
      </c>
      <c r="L10" s="1186">
        <v>91</v>
      </c>
      <c r="M10" s="1186">
        <v>223</v>
      </c>
      <c r="N10" s="1186">
        <v>30</v>
      </c>
      <c r="O10" s="1186">
        <v>120</v>
      </c>
      <c r="P10" s="1186">
        <v>99</v>
      </c>
      <c r="Q10" s="1186">
        <v>102</v>
      </c>
      <c r="R10" s="1186">
        <v>160</v>
      </c>
      <c r="S10" s="1186">
        <v>234</v>
      </c>
      <c r="T10" s="1186">
        <v>158</v>
      </c>
      <c r="U10" s="1186">
        <v>156</v>
      </c>
      <c r="V10" s="1186">
        <v>164</v>
      </c>
      <c r="W10" s="1186">
        <v>69</v>
      </c>
      <c r="X10" s="1186">
        <v>51</v>
      </c>
      <c r="Y10" s="1186">
        <v>11</v>
      </c>
      <c r="Z10" s="1186">
        <v>8</v>
      </c>
      <c r="AA10" s="1186">
        <v>147</v>
      </c>
      <c r="AB10" s="1186">
        <v>82</v>
      </c>
      <c r="AC10" s="1186">
        <v>13</v>
      </c>
      <c r="AD10" s="1186">
        <v>24</v>
      </c>
      <c r="AE10" s="1186">
        <v>15</v>
      </c>
      <c r="AF10" s="1186">
        <v>9</v>
      </c>
    </row>
    <row r="11" spans="1:32" x14ac:dyDescent="0.2">
      <c r="A11" s="1186" t="s">
        <v>144</v>
      </c>
      <c r="B11" s="1186">
        <v>8167</v>
      </c>
      <c r="C11" s="1186">
        <v>2091</v>
      </c>
      <c r="D11" s="1186">
        <v>2237</v>
      </c>
      <c r="E11" s="1186">
        <v>692</v>
      </c>
      <c r="F11" s="1186">
        <v>28</v>
      </c>
      <c r="G11" s="1186">
        <v>1</v>
      </c>
      <c r="H11" s="1186">
        <v>576</v>
      </c>
      <c r="I11" s="1186">
        <v>23</v>
      </c>
      <c r="J11" s="1186">
        <v>25</v>
      </c>
      <c r="K11" s="1186">
        <v>312</v>
      </c>
      <c r="L11" s="1186">
        <v>87</v>
      </c>
      <c r="M11" s="1186">
        <v>246</v>
      </c>
      <c r="N11" s="1186">
        <v>47</v>
      </c>
      <c r="O11" s="1186">
        <v>131</v>
      </c>
      <c r="P11" s="1186">
        <v>119</v>
      </c>
      <c r="Q11" s="1186">
        <v>110</v>
      </c>
      <c r="R11" s="1186">
        <v>165</v>
      </c>
      <c r="S11" s="1186">
        <v>257</v>
      </c>
      <c r="T11" s="1186">
        <v>175</v>
      </c>
      <c r="U11" s="1186">
        <v>167</v>
      </c>
      <c r="V11" s="1186">
        <v>188</v>
      </c>
      <c r="W11" s="1186">
        <v>93</v>
      </c>
      <c r="X11" s="1186">
        <v>56</v>
      </c>
      <c r="Y11" s="1186">
        <v>10</v>
      </c>
      <c r="Z11" s="1186">
        <v>7</v>
      </c>
      <c r="AA11" s="1186">
        <v>184</v>
      </c>
      <c r="AB11" s="1186">
        <v>70</v>
      </c>
      <c r="AC11" s="1186">
        <v>27</v>
      </c>
      <c r="AD11" s="1186">
        <v>36</v>
      </c>
      <c r="AE11" s="1186">
        <v>2</v>
      </c>
      <c r="AF11" s="1186">
        <v>5</v>
      </c>
    </row>
    <row r="12" spans="1:32" x14ac:dyDescent="0.2">
      <c r="A12" s="1186" t="s">
        <v>282</v>
      </c>
      <c r="B12" s="1186">
        <v>7817</v>
      </c>
      <c r="C12" s="1186">
        <v>2050</v>
      </c>
      <c r="D12" s="1186">
        <v>2146</v>
      </c>
      <c r="E12" s="1186">
        <v>713</v>
      </c>
      <c r="F12" s="1186">
        <v>33</v>
      </c>
      <c r="G12" s="1186"/>
      <c r="H12" s="1186">
        <v>550</v>
      </c>
      <c r="I12" s="1186">
        <v>22</v>
      </c>
      <c r="J12" s="1186">
        <v>26</v>
      </c>
      <c r="K12" s="1186">
        <v>317</v>
      </c>
      <c r="L12" s="1186">
        <v>72</v>
      </c>
      <c r="M12" s="1186">
        <v>235</v>
      </c>
      <c r="N12" s="1186">
        <v>52</v>
      </c>
      <c r="O12" s="1186">
        <v>120</v>
      </c>
      <c r="P12" s="1186">
        <v>99</v>
      </c>
      <c r="Q12" s="1186">
        <v>106</v>
      </c>
      <c r="R12" s="1186">
        <v>171</v>
      </c>
      <c r="S12" s="1186">
        <v>225</v>
      </c>
      <c r="T12" s="1186">
        <v>165</v>
      </c>
      <c r="U12" s="1186">
        <v>145</v>
      </c>
      <c r="V12" s="1186">
        <v>155</v>
      </c>
      <c r="W12" s="1186">
        <v>84</v>
      </c>
      <c r="X12" s="1186">
        <v>51</v>
      </c>
      <c r="Y12" s="1186">
        <v>4</v>
      </c>
      <c r="Z12" s="1186">
        <v>12</v>
      </c>
      <c r="AA12" s="1186">
        <v>151</v>
      </c>
      <c r="AB12" s="1186">
        <v>68</v>
      </c>
      <c r="AC12" s="1186">
        <v>11</v>
      </c>
      <c r="AD12" s="1186">
        <v>23</v>
      </c>
      <c r="AE12" s="1186">
        <v>6</v>
      </c>
      <c r="AF12" s="1186">
        <v>5</v>
      </c>
    </row>
    <row r="13" spans="1:32" x14ac:dyDescent="0.2">
      <c r="A13" s="1186" t="s">
        <v>311</v>
      </c>
      <c r="B13" s="1186">
        <v>7598</v>
      </c>
      <c r="C13" s="1186">
        <v>1971</v>
      </c>
      <c r="D13" s="1186">
        <v>2099</v>
      </c>
      <c r="E13" s="1186">
        <v>701</v>
      </c>
      <c r="F13" s="1186">
        <v>35</v>
      </c>
      <c r="G13" s="1186">
        <v>3</v>
      </c>
      <c r="H13" s="1186">
        <v>453</v>
      </c>
      <c r="I13" s="1186">
        <v>31</v>
      </c>
      <c r="J13" s="1186">
        <v>18</v>
      </c>
      <c r="K13" s="1186">
        <v>355</v>
      </c>
      <c r="L13" s="1186">
        <v>68</v>
      </c>
      <c r="M13" s="1186">
        <v>228</v>
      </c>
      <c r="N13" s="1186">
        <v>35</v>
      </c>
      <c r="O13" s="1186">
        <v>107</v>
      </c>
      <c r="P13" s="1186">
        <v>155</v>
      </c>
      <c r="Q13" s="1186">
        <v>115</v>
      </c>
      <c r="R13" s="1186">
        <v>156</v>
      </c>
      <c r="S13" s="1186">
        <v>205</v>
      </c>
      <c r="T13" s="1186">
        <v>177</v>
      </c>
      <c r="U13" s="1186">
        <v>128</v>
      </c>
      <c r="V13" s="1186">
        <v>173</v>
      </c>
      <c r="W13" s="1186">
        <v>54</v>
      </c>
      <c r="X13" s="1186">
        <v>55</v>
      </c>
      <c r="Y13" s="1186">
        <v>11</v>
      </c>
      <c r="Z13" s="1186">
        <v>7</v>
      </c>
      <c r="AA13" s="1186">
        <v>146</v>
      </c>
      <c r="AB13" s="1186">
        <v>55</v>
      </c>
      <c r="AC13" s="1186">
        <v>14</v>
      </c>
      <c r="AD13" s="1186">
        <v>36</v>
      </c>
      <c r="AE13" s="1186">
        <v>4</v>
      </c>
      <c r="AF13" s="1186">
        <v>3</v>
      </c>
    </row>
    <row r="14" spans="1:32" x14ac:dyDescent="0.2">
      <c r="A14" s="1186" t="s">
        <v>621</v>
      </c>
      <c r="B14" s="1186">
        <v>7397</v>
      </c>
      <c r="C14" s="1186">
        <v>2012</v>
      </c>
      <c r="D14" s="1186">
        <v>1956</v>
      </c>
      <c r="E14" s="1186">
        <v>674</v>
      </c>
      <c r="F14" s="1186">
        <v>24</v>
      </c>
      <c r="G14" s="1186">
        <v>2</v>
      </c>
      <c r="H14" s="1186">
        <v>426</v>
      </c>
      <c r="I14" s="1186">
        <v>27</v>
      </c>
      <c r="J14" s="1186">
        <v>24</v>
      </c>
      <c r="K14" s="1186">
        <v>333</v>
      </c>
      <c r="L14" s="1186">
        <v>79</v>
      </c>
      <c r="M14" s="1186">
        <v>197</v>
      </c>
      <c r="N14" s="1186">
        <v>38</v>
      </c>
      <c r="O14" s="1186">
        <v>107</v>
      </c>
      <c r="P14" s="1186">
        <v>160</v>
      </c>
      <c r="Q14" s="1186">
        <v>95</v>
      </c>
      <c r="R14" s="1186">
        <v>165</v>
      </c>
      <c r="S14" s="1186">
        <v>210</v>
      </c>
      <c r="T14" s="1186">
        <v>155</v>
      </c>
      <c r="U14" s="1186">
        <v>132</v>
      </c>
      <c r="V14" s="1186">
        <v>159</v>
      </c>
      <c r="W14" s="1186">
        <v>77</v>
      </c>
      <c r="X14" s="1186">
        <v>50</v>
      </c>
      <c r="Y14" s="1186">
        <v>6</v>
      </c>
      <c r="Z14" s="1186">
        <v>13</v>
      </c>
      <c r="AA14" s="1186">
        <v>125</v>
      </c>
      <c r="AB14" s="1186">
        <v>67</v>
      </c>
      <c r="AC14" s="1186">
        <v>18</v>
      </c>
      <c r="AD14" s="1186">
        <v>50</v>
      </c>
      <c r="AE14" s="1186">
        <v>11</v>
      </c>
      <c r="AF14" s="1186">
        <v>5</v>
      </c>
    </row>
    <row r="15" spans="1:32" x14ac:dyDescent="0.2">
      <c r="A15" s="1186" t="s">
        <v>1419</v>
      </c>
      <c r="B15" s="1186">
        <v>6870</v>
      </c>
      <c r="C15" s="1186">
        <v>1930</v>
      </c>
      <c r="D15" s="1186">
        <v>1847</v>
      </c>
      <c r="E15" s="1186">
        <v>688</v>
      </c>
      <c r="F15" s="1186">
        <v>32</v>
      </c>
      <c r="G15" s="1186">
        <v>1</v>
      </c>
      <c r="H15" s="1186">
        <v>358</v>
      </c>
      <c r="I15" s="1186">
        <v>17</v>
      </c>
      <c r="J15" s="1186">
        <v>17</v>
      </c>
      <c r="K15" s="1186">
        <v>295</v>
      </c>
      <c r="L15" s="1186">
        <v>54</v>
      </c>
      <c r="M15" s="1186">
        <v>171</v>
      </c>
      <c r="N15" s="1186">
        <v>30</v>
      </c>
      <c r="O15" s="1186">
        <v>112</v>
      </c>
      <c r="P15" s="1186">
        <v>93</v>
      </c>
      <c r="Q15" s="1186">
        <v>99</v>
      </c>
      <c r="R15" s="1186">
        <v>142</v>
      </c>
      <c r="S15" s="1186">
        <v>187</v>
      </c>
      <c r="T15" s="1186">
        <v>157</v>
      </c>
      <c r="U15" s="1186">
        <v>111</v>
      </c>
      <c r="V15" s="1186">
        <v>140</v>
      </c>
      <c r="W15" s="1186">
        <v>64</v>
      </c>
      <c r="X15" s="1186">
        <v>36</v>
      </c>
      <c r="Y15" s="1186">
        <v>9</v>
      </c>
      <c r="Z15" s="1186">
        <v>8</v>
      </c>
      <c r="AA15" s="1186">
        <v>123</v>
      </c>
      <c r="AB15" s="1186">
        <v>70</v>
      </c>
      <c r="AC15" s="1186">
        <v>13</v>
      </c>
      <c r="AD15" s="1186">
        <v>52</v>
      </c>
      <c r="AE15" s="1186">
        <v>7</v>
      </c>
      <c r="AF15" s="1186">
        <v>7</v>
      </c>
    </row>
    <row r="16" spans="1:32" x14ac:dyDescent="0.2">
      <c r="A16" s="1186" t="s">
        <v>1572</v>
      </c>
      <c r="B16" s="1186">
        <v>6379</v>
      </c>
      <c r="C16" s="1186">
        <v>1864</v>
      </c>
      <c r="D16" s="1186">
        <v>1701</v>
      </c>
      <c r="E16" s="1186">
        <v>662</v>
      </c>
      <c r="F16" s="1186">
        <v>14</v>
      </c>
      <c r="G16" s="1186">
        <v>4</v>
      </c>
      <c r="H16" s="1186">
        <v>331</v>
      </c>
      <c r="I16" s="1186">
        <v>13</v>
      </c>
      <c r="J16" s="1186">
        <v>72</v>
      </c>
      <c r="K16" s="1186">
        <v>316</v>
      </c>
      <c r="L16" s="1186">
        <v>73</v>
      </c>
      <c r="M16" s="1186">
        <v>197</v>
      </c>
      <c r="N16" s="1186">
        <v>31</v>
      </c>
      <c r="O16" s="1186">
        <v>65</v>
      </c>
      <c r="P16" s="1186">
        <v>83</v>
      </c>
      <c r="Q16" s="1186">
        <v>72</v>
      </c>
      <c r="R16" s="1186">
        <v>112</v>
      </c>
      <c r="S16" s="1186">
        <v>140</v>
      </c>
      <c r="T16" s="1186">
        <v>89</v>
      </c>
      <c r="U16" s="1186">
        <v>95</v>
      </c>
      <c r="V16" s="1186">
        <v>105</v>
      </c>
      <c r="W16" s="1186">
        <v>44</v>
      </c>
      <c r="X16" s="1186">
        <v>32</v>
      </c>
      <c r="Y16" s="1186">
        <v>6</v>
      </c>
      <c r="Z16" s="1186">
        <v>6</v>
      </c>
      <c r="AA16" s="1186">
        <v>116</v>
      </c>
      <c r="AB16" s="1186">
        <v>48</v>
      </c>
      <c r="AC16" s="1186">
        <v>12</v>
      </c>
      <c r="AD16" s="1186">
        <v>54</v>
      </c>
      <c r="AE16" s="1186">
        <v>18</v>
      </c>
      <c r="AF16" s="1186">
        <v>4</v>
      </c>
    </row>
  </sheetData>
  <pageMargins left="0.7" right="0.7" top="0.75" bottom="0.75" header="0.3" footer="0.3"/>
  <pageSetup paperSize="9" fitToHeight="50" orientation="landscape"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pageSetUpPr fitToPage="1"/>
  </sheetPr>
  <dimension ref="A4:AG389"/>
  <sheetViews>
    <sheetView topLeftCell="L1" zoomScale="85" zoomScaleNormal="85" workbookViewId="0">
      <pane ySplit="4" topLeftCell="A345" activePane="bottomLeft" state="frozen"/>
      <selection activeCell="A5" sqref="A5"/>
      <selection pane="bottomLeft" activeCell="A5" sqref="A5"/>
    </sheetView>
  </sheetViews>
  <sheetFormatPr defaultColWidth="8.7109375" defaultRowHeight="12.75" x14ac:dyDescent="0.2"/>
  <sheetData>
    <row r="4" spans="1:33" x14ac:dyDescent="0.2">
      <c r="A4" s="1223" t="s">
        <v>1627</v>
      </c>
      <c r="B4" s="1223" t="s">
        <v>4</v>
      </c>
      <c r="C4" s="1223" t="s">
        <v>1729</v>
      </c>
      <c r="D4" s="1223" t="s">
        <v>1487</v>
      </c>
      <c r="E4" s="1223" t="s">
        <v>1488</v>
      </c>
      <c r="F4" s="1223" t="s">
        <v>1489</v>
      </c>
      <c r="G4" s="1223" t="s">
        <v>1490</v>
      </c>
      <c r="H4" s="1223" t="s">
        <v>1491</v>
      </c>
      <c r="I4" s="1223" t="s">
        <v>1492</v>
      </c>
      <c r="J4" s="1223" t="s">
        <v>1493</v>
      </c>
      <c r="K4" s="1223" t="s">
        <v>1494</v>
      </c>
      <c r="L4" s="1223" t="s">
        <v>1495</v>
      </c>
      <c r="M4" s="1223" t="s">
        <v>1496</v>
      </c>
      <c r="N4" s="1223" t="s">
        <v>1497</v>
      </c>
      <c r="O4" s="1223" t="s">
        <v>1498</v>
      </c>
      <c r="P4" s="1223" t="s">
        <v>1499</v>
      </c>
      <c r="Q4" s="1223" t="s">
        <v>1500</v>
      </c>
      <c r="R4" s="1223" t="s">
        <v>1501</v>
      </c>
      <c r="S4" s="1223" t="s">
        <v>1502</v>
      </c>
      <c r="T4" s="1223" t="s">
        <v>1503</v>
      </c>
      <c r="U4" s="1223" t="s">
        <v>1504</v>
      </c>
      <c r="V4" s="1223" t="s">
        <v>1505</v>
      </c>
      <c r="W4" s="1223" t="s">
        <v>1506</v>
      </c>
      <c r="X4" s="1223" t="s">
        <v>1507</v>
      </c>
      <c r="Y4" s="1223" t="s">
        <v>1508</v>
      </c>
      <c r="Z4" s="1223" t="s">
        <v>1509</v>
      </c>
      <c r="AA4" s="1223" t="s">
        <v>1510</v>
      </c>
      <c r="AB4" s="1223" t="s">
        <v>1511</v>
      </c>
      <c r="AC4" s="1223" t="s">
        <v>1512</v>
      </c>
      <c r="AD4" s="1223" t="s">
        <v>1513</v>
      </c>
      <c r="AE4" s="1223" t="s">
        <v>1514</v>
      </c>
      <c r="AF4" s="1223" t="s">
        <v>1515</v>
      </c>
      <c r="AG4" s="1223" t="s">
        <v>1516</v>
      </c>
    </row>
    <row r="5" spans="1:33" x14ac:dyDescent="0.2">
      <c r="A5" s="1186" t="s">
        <v>23</v>
      </c>
      <c r="B5" s="1186" t="s">
        <v>19</v>
      </c>
      <c r="C5" s="1186">
        <v>537</v>
      </c>
      <c r="D5" s="1186">
        <v>62</v>
      </c>
      <c r="E5" s="1186">
        <v>246</v>
      </c>
      <c r="F5" s="1186">
        <v>60</v>
      </c>
      <c r="G5" s="1186">
        <v>2</v>
      </c>
      <c r="H5" s="1186"/>
      <c r="I5" s="1186">
        <v>20</v>
      </c>
      <c r="J5" s="1186"/>
      <c r="K5" s="1186">
        <v>1</v>
      </c>
      <c r="L5" s="1186">
        <v>11</v>
      </c>
      <c r="M5" s="1186"/>
      <c r="N5" s="1186">
        <v>15</v>
      </c>
      <c r="O5" s="1186">
        <v>1</v>
      </c>
      <c r="P5" s="1186">
        <v>14</v>
      </c>
      <c r="Q5" s="1186">
        <v>6</v>
      </c>
      <c r="R5" s="1186">
        <v>6</v>
      </c>
      <c r="S5" s="1186">
        <v>8</v>
      </c>
      <c r="T5" s="1186">
        <v>18</v>
      </c>
      <c r="U5" s="1186">
        <v>7</v>
      </c>
      <c r="V5" s="1186">
        <v>14</v>
      </c>
      <c r="W5" s="1186">
        <v>9</v>
      </c>
      <c r="X5" s="1186">
        <v>9</v>
      </c>
      <c r="Y5" s="1186">
        <v>3</v>
      </c>
      <c r="Z5" s="1186">
        <v>1</v>
      </c>
      <c r="AA5" s="1186"/>
      <c r="AB5" s="1186">
        <v>3</v>
      </c>
      <c r="AC5" s="1186">
        <v>15</v>
      </c>
      <c r="AD5" s="1186"/>
      <c r="AE5" s="1186">
        <v>4</v>
      </c>
      <c r="AF5" s="1186"/>
      <c r="AG5" s="1186">
        <v>2</v>
      </c>
    </row>
    <row r="6" spans="1:33" x14ac:dyDescent="0.2">
      <c r="A6" s="1186" t="s">
        <v>24</v>
      </c>
      <c r="B6" s="1186" t="s">
        <v>19</v>
      </c>
      <c r="C6" s="1186">
        <v>293</v>
      </c>
      <c r="D6" s="1186">
        <v>95</v>
      </c>
      <c r="E6" s="1186">
        <v>41</v>
      </c>
      <c r="F6" s="1186">
        <v>5</v>
      </c>
      <c r="G6" s="1186">
        <v>1</v>
      </c>
      <c r="H6" s="1186"/>
      <c r="I6" s="1186">
        <v>55</v>
      </c>
      <c r="J6" s="1186">
        <v>4</v>
      </c>
      <c r="K6" s="1186">
        <v>3</v>
      </c>
      <c r="L6" s="1186">
        <v>14</v>
      </c>
      <c r="M6" s="1186">
        <v>15</v>
      </c>
      <c r="N6" s="1186">
        <v>10</v>
      </c>
      <c r="O6" s="1186"/>
      <c r="P6" s="1186">
        <v>4</v>
      </c>
      <c r="Q6" s="1186">
        <v>5</v>
      </c>
      <c r="R6" s="1186">
        <v>6</v>
      </c>
      <c r="S6" s="1186">
        <v>4</v>
      </c>
      <c r="T6" s="1186">
        <v>5</v>
      </c>
      <c r="U6" s="1186">
        <v>6</v>
      </c>
      <c r="V6" s="1186">
        <v>6</v>
      </c>
      <c r="W6" s="1186">
        <v>1</v>
      </c>
      <c r="X6" s="1186">
        <v>8</v>
      </c>
      <c r="Y6" s="1186"/>
      <c r="Z6" s="1186"/>
      <c r="AA6" s="1186"/>
      <c r="AB6" s="1186">
        <v>3</v>
      </c>
      <c r="AC6" s="1186"/>
      <c r="AD6" s="1186"/>
      <c r="AE6" s="1186"/>
      <c r="AF6" s="1186">
        <v>2</v>
      </c>
      <c r="AG6" s="1186"/>
    </row>
    <row r="7" spans="1:33" x14ac:dyDescent="0.2">
      <c r="A7" s="1186" t="s">
        <v>25</v>
      </c>
      <c r="B7" s="1186" t="s">
        <v>19</v>
      </c>
      <c r="C7" s="1186">
        <v>145</v>
      </c>
      <c r="D7" s="1186">
        <v>35</v>
      </c>
      <c r="E7" s="1186">
        <v>39</v>
      </c>
      <c r="F7" s="1186">
        <v>8</v>
      </c>
      <c r="G7" s="1186"/>
      <c r="H7" s="1186"/>
      <c r="I7" s="1186">
        <v>16</v>
      </c>
      <c r="J7" s="1186">
        <v>1</v>
      </c>
      <c r="K7" s="1186">
        <v>3</v>
      </c>
      <c r="L7" s="1186">
        <v>6</v>
      </c>
      <c r="M7" s="1186">
        <v>2</v>
      </c>
      <c r="N7" s="1186">
        <v>5</v>
      </c>
      <c r="O7" s="1186">
        <v>1</v>
      </c>
      <c r="P7" s="1186"/>
      <c r="Q7" s="1186">
        <v>1</v>
      </c>
      <c r="R7" s="1186">
        <v>2</v>
      </c>
      <c r="S7" s="1186">
        <v>2</v>
      </c>
      <c r="T7" s="1186">
        <v>6</v>
      </c>
      <c r="U7" s="1186">
        <v>4</v>
      </c>
      <c r="V7" s="1186">
        <v>1</v>
      </c>
      <c r="W7" s="1186">
        <v>5</v>
      </c>
      <c r="X7" s="1186">
        <v>2</v>
      </c>
      <c r="Y7" s="1186"/>
      <c r="Z7" s="1186"/>
      <c r="AA7" s="1186"/>
      <c r="AB7" s="1186">
        <v>1</v>
      </c>
      <c r="AC7" s="1186"/>
      <c r="AD7" s="1186">
        <v>1</v>
      </c>
      <c r="AE7" s="1186">
        <v>3</v>
      </c>
      <c r="AF7" s="1186"/>
      <c r="AG7" s="1186">
        <v>1</v>
      </c>
    </row>
    <row r="8" spans="1:33" x14ac:dyDescent="0.2">
      <c r="A8" s="1186" t="s">
        <v>26</v>
      </c>
      <c r="B8" s="1186" t="s">
        <v>19</v>
      </c>
      <c r="C8" s="1186">
        <v>136</v>
      </c>
      <c r="D8" s="1186">
        <v>35</v>
      </c>
      <c r="E8" s="1186">
        <v>26</v>
      </c>
      <c r="F8" s="1186">
        <v>15</v>
      </c>
      <c r="G8" s="1186"/>
      <c r="H8" s="1186"/>
      <c r="I8" s="1186">
        <v>8</v>
      </c>
      <c r="J8" s="1186">
        <v>2</v>
      </c>
      <c r="K8" s="1186"/>
      <c r="L8" s="1186">
        <v>5</v>
      </c>
      <c r="M8" s="1186">
        <v>1</v>
      </c>
      <c r="N8" s="1186">
        <v>5</v>
      </c>
      <c r="O8" s="1186"/>
      <c r="P8" s="1186">
        <v>2</v>
      </c>
      <c r="Q8" s="1186">
        <v>1</v>
      </c>
      <c r="R8" s="1186">
        <v>1</v>
      </c>
      <c r="S8" s="1186">
        <v>4</v>
      </c>
      <c r="T8" s="1186">
        <v>7</v>
      </c>
      <c r="U8" s="1186">
        <v>5</v>
      </c>
      <c r="V8" s="1186">
        <v>1</v>
      </c>
      <c r="W8" s="1186">
        <v>2</v>
      </c>
      <c r="X8" s="1186">
        <v>5</v>
      </c>
      <c r="Y8" s="1186">
        <v>1</v>
      </c>
      <c r="Z8" s="1186">
        <v>3</v>
      </c>
      <c r="AA8" s="1186">
        <v>3</v>
      </c>
      <c r="AB8" s="1186">
        <v>3</v>
      </c>
      <c r="AC8" s="1186"/>
      <c r="AD8" s="1186"/>
      <c r="AE8" s="1186">
        <v>1</v>
      </c>
      <c r="AF8" s="1186"/>
      <c r="AG8" s="1186"/>
    </row>
    <row r="9" spans="1:33" x14ac:dyDescent="0.2">
      <c r="A9" s="1186" t="s">
        <v>619</v>
      </c>
      <c r="B9" s="1186" t="s">
        <v>19</v>
      </c>
      <c r="C9" s="1186">
        <v>1135</v>
      </c>
      <c r="D9" s="1186">
        <v>107</v>
      </c>
      <c r="E9" s="1186">
        <v>475</v>
      </c>
      <c r="F9" s="1186">
        <v>145</v>
      </c>
      <c r="G9" s="1186">
        <v>10</v>
      </c>
      <c r="H9" s="1186">
        <v>1</v>
      </c>
      <c r="I9" s="1186">
        <v>45</v>
      </c>
      <c r="J9" s="1186">
        <v>1</v>
      </c>
      <c r="K9" s="1186">
        <v>11</v>
      </c>
      <c r="L9" s="1186">
        <v>22</v>
      </c>
      <c r="M9" s="1186">
        <v>3</v>
      </c>
      <c r="N9" s="1186">
        <v>25</v>
      </c>
      <c r="O9" s="1186">
        <v>5</v>
      </c>
      <c r="P9" s="1186">
        <v>17</v>
      </c>
      <c r="Q9" s="1186">
        <v>8</v>
      </c>
      <c r="R9" s="1186">
        <v>25</v>
      </c>
      <c r="S9" s="1186">
        <v>36</v>
      </c>
      <c r="T9" s="1186">
        <v>43</v>
      </c>
      <c r="U9" s="1186">
        <v>23</v>
      </c>
      <c r="V9" s="1186">
        <v>14</v>
      </c>
      <c r="W9" s="1186">
        <v>31</v>
      </c>
      <c r="X9" s="1186">
        <v>5</v>
      </c>
      <c r="Y9" s="1186">
        <v>11</v>
      </c>
      <c r="Z9" s="1186">
        <v>1</v>
      </c>
      <c r="AA9" s="1186"/>
      <c r="AB9" s="1186">
        <v>15</v>
      </c>
      <c r="AC9" s="1186">
        <v>36</v>
      </c>
      <c r="AD9" s="1186">
        <v>4</v>
      </c>
      <c r="AE9" s="1186">
        <v>10</v>
      </c>
      <c r="AF9" s="1186">
        <v>6</v>
      </c>
      <c r="AG9" s="1186"/>
    </row>
    <row r="10" spans="1:33" x14ac:dyDescent="0.2">
      <c r="A10" s="1186" t="s">
        <v>27</v>
      </c>
      <c r="B10" s="1186" t="s">
        <v>19</v>
      </c>
      <c r="C10" s="1186">
        <v>64</v>
      </c>
      <c r="D10" s="1186">
        <v>14</v>
      </c>
      <c r="E10" s="1186">
        <v>24</v>
      </c>
      <c r="F10" s="1186"/>
      <c r="G10" s="1186"/>
      <c r="H10" s="1186"/>
      <c r="I10" s="1186">
        <v>2</v>
      </c>
      <c r="J10" s="1186"/>
      <c r="K10" s="1186"/>
      <c r="L10" s="1186">
        <v>2</v>
      </c>
      <c r="M10" s="1186"/>
      <c r="N10" s="1186">
        <v>7</v>
      </c>
      <c r="O10" s="1186">
        <v>3</v>
      </c>
      <c r="P10" s="1186">
        <v>1</v>
      </c>
      <c r="Q10" s="1186">
        <v>4</v>
      </c>
      <c r="R10" s="1186"/>
      <c r="S10" s="1186"/>
      <c r="T10" s="1186">
        <v>2</v>
      </c>
      <c r="U10" s="1186">
        <v>1</v>
      </c>
      <c r="V10" s="1186"/>
      <c r="W10" s="1186"/>
      <c r="X10" s="1186"/>
      <c r="Y10" s="1186"/>
      <c r="Z10" s="1186"/>
      <c r="AA10" s="1186"/>
      <c r="AB10" s="1186">
        <v>2</v>
      </c>
      <c r="AC10" s="1186"/>
      <c r="AD10" s="1186"/>
      <c r="AE10" s="1186">
        <v>2</v>
      </c>
      <c r="AF10" s="1186"/>
      <c r="AG10" s="1186"/>
    </row>
    <row r="11" spans="1:33" x14ac:dyDescent="0.2">
      <c r="A11" s="1186" t="s">
        <v>28</v>
      </c>
      <c r="B11" s="1186" t="s">
        <v>19</v>
      </c>
      <c r="C11" s="1186">
        <v>199</v>
      </c>
      <c r="D11" s="1186">
        <v>77</v>
      </c>
      <c r="E11" s="1186">
        <v>44</v>
      </c>
      <c r="F11" s="1186"/>
      <c r="G11" s="1186">
        <v>4</v>
      </c>
      <c r="H11" s="1186"/>
      <c r="I11" s="1186">
        <v>7</v>
      </c>
      <c r="J11" s="1186"/>
      <c r="K11" s="1186"/>
      <c r="L11" s="1186">
        <v>9</v>
      </c>
      <c r="M11" s="1186">
        <v>10</v>
      </c>
      <c r="N11" s="1186">
        <v>11</v>
      </c>
      <c r="O11" s="1186">
        <v>3</v>
      </c>
      <c r="P11" s="1186">
        <v>3</v>
      </c>
      <c r="Q11" s="1186">
        <v>2</v>
      </c>
      <c r="R11" s="1186">
        <v>6</v>
      </c>
      <c r="S11" s="1186">
        <v>2</v>
      </c>
      <c r="T11" s="1186">
        <v>7</v>
      </c>
      <c r="U11" s="1186">
        <v>3</v>
      </c>
      <c r="V11" s="1186"/>
      <c r="W11" s="1186">
        <v>2</v>
      </c>
      <c r="X11" s="1186">
        <v>3</v>
      </c>
      <c r="Y11" s="1186"/>
      <c r="Z11" s="1186">
        <v>1</v>
      </c>
      <c r="AA11" s="1186">
        <v>2</v>
      </c>
      <c r="AB11" s="1186">
        <v>2</v>
      </c>
      <c r="AC11" s="1186"/>
      <c r="AD11" s="1186"/>
      <c r="AE11" s="1186"/>
      <c r="AF11" s="1186">
        <v>1</v>
      </c>
      <c r="AG11" s="1186"/>
    </row>
    <row r="12" spans="1:33" x14ac:dyDescent="0.2">
      <c r="A12" s="1186" t="s">
        <v>29</v>
      </c>
      <c r="B12" s="1186" t="s">
        <v>19</v>
      </c>
      <c r="C12" s="1186">
        <v>432</v>
      </c>
      <c r="D12" s="1186">
        <v>46</v>
      </c>
      <c r="E12" s="1186">
        <v>167</v>
      </c>
      <c r="F12" s="1186">
        <v>75</v>
      </c>
      <c r="G12" s="1186">
        <v>9</v>
      </c>
      <c r="H12" s="1186"/>
      <c r="I12" s="1186">
        <v>22</v>
      </c>
      <c r="J12" s="1186"/>
      <c r="K12" s="1186">
        <v>6</v>
      </c>
      <c r="L12" s="1186">
        <v>11</v>
      </c>
      <c r="M12" s="1186"/>
      <c r="N12" s="1186">
        <v>11</v>
      </c>
      <c r="O12" s="1186">
        <v>1</v>
      </c>
      <c r="P12" s="1186">
        <v>4</v>
      </c>
      <c r="Q12" s="1186"/>
      <c r="R12" s="1186">
        <v>4</v>
      </c>
      <c r="S12" s="1186">
        <v>9</v>
      </c>
      <c r="T12" s="1186">
        <v>14</v>
      </c>
      <c r="U12" s="1186">
        <v>4</v>
      </c>
      <c r="V12" s="1186">
        <v>9</v>
      </c>
      <c r="W12" s="1186">
        <v>5</v>
      </c>
      <c r="X12" s="1186">
        <v>3</v>
      </c>
      <c r="Y12" s="1186">
        <v>5</v>
      </c>
      <c r="Z12" s="1186"/>
      <c r="AA12" s="1186"/>
      <c r="AB12" s="1186">
        <v>8</v>
      </c>
      <c r="AC12" s="1186">
        <v>13</v>
      </c>
      <c r="AD12" s="1186"/>
      <c r="AE12" s="1186">
        <v>5</v>
      </c>
      <c r="AF12" s="1186"/>
      <c r="AG12" s="1186">
        <v>1</v>
      </c>
    </row>
    <row r="13" spans="1:33" x14ac:dyDescent="0.2">
      <c r="A13" s="1186" t="s">
        <v>30</v>
      </c>
      <c r="B13" s="1186" t="s">
        <v>19</v>
      </c>
      <c r="C13" s="1186">
        <v>191</v>
      </c>
      <c r="D13" s="1186">
        <v>74</v>
      </c>
      <c r="E13" s="1186">
        <v>45</v>
      </c>
      <c r="F13" s="1186">
        <v>1</v>
      </c>
      <c r="G13" s="1186"/>
      <c r="H13" s="1186"/>
      <c r="I13" s="1186">
        <v>4</v>
      </c>
      <c r="J13" s="1186">
        <v>1</v>
      </c>
      <c r="K13" s="1186"/>
      <c r="L13" s="1186">
        <v>14</v>
      </c>
      <c r="M13" s="1186">
        <v>3</v>
      </c>
      <c r="N13" s="1186">
        <v>12</v>
      </c>
      <c r="O13" s="1186"/>
      <c r="P13" s="1186">
        <v>4</v>
      </c>
      <c r="Q13" s="1186">
        <v>2</v>
      </c>
      <c r="R13" s="1186">
        <v>6</v>
      </c>
      <c r="S13" s="1186">
        <v>3</v>
      </c>
      <c r="T13" s="1186">
        <v>5</v>
      </c>
      <c r="U13" s="1186">
        <v>2</v>
      </c>
      <c r="V13" s="1186">
        <v>1</v>
      </c>
      <c r="W13" s="1186">
        <v>4</v>
      </c>
      <c r="X13" s="1186"/>
      <c r="Y13" s="1186"/>
      <c r="Z13" s="1186"/>
      <c r="AA13" s="1186">
        <v>1</v>
      </c>
      <c r="AB13" s="1186">
        <v>2</v>
      </c>
      <c r="AC13" s="1186"/>
      <c r="AD13" s="1186"/>
      <c r="AE13" s="1186">
        <v>6</v>
      </c>
      <c r="AF13" s="1186"/>
      <c r="AG13" s="1186">
        <v>1</v>
      </c>
    </row>
    <row r="14" spans="1:33" x14ac:dyDescent="0.2">
      <c r="A14" s="1186" t="s">
        <v>31</v>
      </c>
      <c r="B14" s="1186" t="s">
        <v>19</v>
      </c>
      <c r="C14" s="1186">
        <v>118</v>
      </c>
      <c r="D14" s="1186">
        <v>37</v>
      </c>
      <c r="E14" s="1186">
        <v>32</v>
      </c>
      <c r="F14" s="1186">
        <v>3</v>
      </c>
      <c r="G14" s="1186"/>
      <c r="H14" s="1186"/>
      <c r="I14" s="1186">
        <v>5</v>
      </c>
      <c r="J14" s="1186"/>
      <c r="K14" s="1186">
        <v>1</v>
      </c>
      <c r="L14" s="1186">
        <v>9</v>
      </c>
      <c r="M14" s="1186"/>
      <c r="N14" s="1186"/>
      <c r="O14" s="1186"/>
      <c r="P14" s="1186">
        <v>3</v>
      </c>
      <c r="Q14" s="1186">
        <v>4</v>
      </c>
      <c r="R14" s="1186">
        <v>2</v>
      </c>
      <c r="S14" s="1186">
        <v>5</v>
      </c>
      <c r="T14" s="1186">
        <v>6</v>
      </c>
      <c r="U14" s="1186">
        <v>7</v>
      </c>
      <c r="V14" s="1186"/>
      <c r="W14" s="1186">
        <v>2</v>
      </c>
      <c r="X14" s="1186"/>
      <c r="Y14" s="1186">
        <v>1</v>
      </c>
      <c r="Z14" s="1186"/>
      <c r="AA14" s="1186"/>
      <c r="AB14" s="1186"/>
      <c r="AC14" s="1186"/>
      <c r="AD14" s="1186"/>
      <c r="AE14" s="1186">
        <v>1</v>
      </c>
      <c r="AF14" s="1186"/>
      <c r="AG14" s="1186"/>
    </row>
    <row r="15" spans="1:33" x14ac:dyDescent="0.2">
      <c r="A15" s="1186" t="s">
        <v>32</v>
      </c>
      <c r="B15" s="1186" t="s">
        <v>19</v>
      </c>
      <c r="C15" s="1186">
        <v>150</v>
      </c>
      <c r="D15" s="1186">
        <v>47</v>
      </c>
      <c r="E15" s="1186">
        <v>38</v>
      </c>
      <c r="F15" s="1186">
        <v>3</v>
      </c>
      <c r="G15" s="1186">
        <v>1</v>
      </c>
      <c r="H15" s="1186"/>
      <c r="I15" s="1186">
        <v>8</v>
      </c>
      <c r="J15" s="1186">
        <v>1</v>
      </c>
      <c r="K15" s="1186">
        <v>2</v>
      </c>
      <c r="L15" s="1186">
        <v>9</v>
      </c>
      <c r="M15" s="1186">
        <v>3</v>
      </c>
      <c r="N15" s="1186">
        <v>5</v>
      </c>
      <c r="O15" s="1186"/>
      <c r="P15" s="1186">
        <v>3</v>
      </c>
      <c r="Q15" s="1186">
        <v>1</v>
      </c>
      <c r="R15" s="1186">
        <v>6</v>
      </c>
      <c r="S15" s="1186">
        <v>1</v>
      </c>
      <c r="T15" s="1186">
        <v>4</v>
      </c>
      <c r="U15" s="1186">
        <v>1</v>
      </c>
      <c r="V15" s="1186"/>
      <c r="W15" s="1186">
        <v>3</v>
      </c>
      <c r="X15" s="1186">
        <v>2</v>
      </c>
      <c r="Y15" s="1186"/>
      <c r="Z15" s="1186"/>
      <c r="AA15" s="1186">
        <v>1</v>
      </c>
      <c r="AB15" s="1186">
        <v>3</v>
      </c>
      <c r="AC15" s="1186">
        <v>3</v>
      </c>
      <c r="AD15" s="1186">
        <v>1</v>
      </c>
      <c r="AE15" s="1186">
        <v>2</v>
      </c>
      <c r="AF15" s="1186">
        <v>2</v>
      </c>
      <c r="AG15" s="1186"/>
    </row>
    <row r="16" spans="1:33" x14ac:dyDescent="0.2">
      <c r="A16" s="1186" t="s">
        <v>33</v>
      </c>
      <c r="B16" s="1186" t="s">
        <v>19</v>
      </c>
      <c r="C16" s="1186">
        <v>84</v>
      </c>
      <c r="D16" s="1186">
        <v>29</v>
      </c>
      <c r="E16" s="1186">
        <v>8</v>
      </c>
      <c r="F16" s="1186">
        <v>3</v>
      </c>
      <c r="G16" s="1186"/>
      <c r="H16" s="1186"/>
      <c r="I16" s="1186">
        <v>7</v>
      </c>
      <c r="J16" s="1186">
        <v>1</v>
      </c>
      <c r="K16" s="1186"/>
      <c r="L16" s="1186">
        <v>5</v>
      </c>
      <c r="M16" s="1186"/>
      <c r="N16" s="1186">
        <v>3</v>
      </c>
      <c r="O16" s="1186">
        <v>2</v>
      </c>
      <c r="P16" s="1186">
        <v>5</v>
      </c>
      <c r="Q16" s="1186"/>
      <c r="R16" s="1186">
        <v>1</v>
      </c>
      <c r="S16" s="1186">
        <v>4</v>
      </c>
      <c r="T16" s="1186">
        <v>4</v>
      </c>
      <c r="U16" s="1186">
        <v>4</v>
      </c>
      <c r="V16" s="1186">
        <v>1</v>
      </c>
      <c r="W16" s="1186">
        <v>2</v>
      </c>
      <c r="X16" s="1186"/>
      <c r="Y16" s="1186"/>
      <c r="Z16" s="1186"/>
      <c r="AA16" s="1186"/>
      <c r="AB16" s="1186">
        <v>4</v>
      </c>
      <c r="AC16" s="1186">
        <v>1</v>
      </c>
      <c r="AD16" s="1186"/>
      <c r="AE16" s="1186"/>
      <c r="AF16" s="1186"/>
      <c r="AG16" s="1186"/>
    </row>
    <row r="17" spans="1:33" x14ac:dyDescent="0.2">
      <c r="A17" s="1186" t="s">
        <v>34</v>
      </c>
      <c r="B17" s="1186" t="s">
        <v>19</v>
      </c>
      <c r="C17" s="1186">
        <v>170</v>
      </c>
      <c r="D17" s="1186">
        <v>38</v>
      </c>
      <c r="E17" s="1186">
        <v>67</v>
      </c>
      <c r="F17" s="1186"/>
      <c r="G17" s="1186"/>
      <c r="H17" s="1186"/>
      <c r="I17" s="1186">
        <v>7</v>
      </c>
      <c r="J17" s="1186">
        <v>1</v>
      </c>
      <c r="K17" s="1186"/>
      <c r="L17" s="1186">
        <v>8</v>
      </c>
      <c r="M17" s="1186">
        <v>1</v>
      </c>
      <c r="N17" s="1186">
        <v>6</v>
      </c>
      <c r="O17" s="1186">
        <v>2</v>
      </c>
      <c r="P17" s="1186">
        <v>7</v>
      </c>
      <c r="Q17" s="1186">
        <v>1</v>
      </c>
      <c r="R17" s="1186">
        <v>2</v>
      </c>
      <c r="S17" s="1186">
        <v>1</v>
      </c>
      <c r="T17" s="1186">
        <v>10</v>
      </c>
      <c r="U17" s="1186">
        <v>2</v>
      </c>
      <c r="V17" s="1186">
        <v>6</v>
      </c>
      <c r="W17" s="1186">
        <v>2</v>
      </c>
      <c r="X17" s="1186">
        <v>2</v>
      </c>
      <c r="Y17" s="1186">
        <v>1</v>
      </c>
      <c r="Z17" s="1186"/>
      <c r="AA17" s="1186"/>
      <c r="AB17" s="1186">
        <v>4</v>
      </c>
      <c r="AC17" s="1186"/>
      <c r="AD17" s="1186">
        <v>1</v>
      </c>
      <c r="AE17" s="1186"/>
      <c r="AF17" s="1186">
        <v>1</v>
      </c>
      <c r="AG17" s="1186"/>
    </row>
    <row r="18" spans="1:33" x14ac:dyDescent="0.2">
      <c r="A18" s="1186" t="s">
        <v>35</v>
      </c>
      <c r="B18" s="1186" t="s">
        <v>19</v>
      </c>
      <c r="C18" s="1186">
        <v>473</v>
      </c>
      <c r="D18" s="1186">
        <v>141</v>
      </c>
      <c r="E18" s="1186">
        <v>164</v>
      </c>
      <c r="F18" s="1186">
        <v>1</v>
      </c>
      <c r="G18" s="1186">
        <v>2</v>
      </c>
      <c r="H18" s="1186"/>
      <c r="I18" s="1186">
        <v>10</v>
      </c>
      <c r="J18" s="1186">
        <v>1</v>
      </c>
      <c r="K18" s="1186">
        <v>1</v>
      </c>
      <c r="L18" s="1186">
        <v>36</v>
      </c>
      <c r="M18" s="1186">
        <v>5</v>
      </c>
      <c r="N18" s="1186">
        <v>16</v>
      </c>
      <c r="O18" s="1186">
        <v>5</v>
      </c>
      <c r="P18" s="1186">
        <v>6</v>
      </c>
      <c r="Q18" s="1186"/>
      <c r="R18" s="1186">
        <v>6</v>
      </c>
      <c r="S18" s="1186">
        <v>6</v>
      </c>
      <c r="T18" s="1186">
        <v>19</v>
      </c>
      <c r="U18" s="1186">
        <v>10</v>
      </c>
      <c r="V18" s="1186">
        <v>6</v>
      </c>
      <c r="W18" s="1186">
        <v>4</v>
      </c>
      <c r="X18" s="1186">
        <v>3</v>
      </c>
      <c r="Y18" s="1186"/>
      <c r="Z18" s="1186"/>
      <c r="AA18" s="1186"/>
      <c r="AB18" s="1186">
        <v>15</v>
      </c>
      <c r="AC18" s="1186">
        <v>5</v>
      </c>
      <c r="AD18" s="1186"/>
      <c r="AE18" s="1186">
        <v>10</v>
      </c>
      <c r="AF18" s="1186"/>
      <c r="AG18" s="1186">
        <v>1</v>
      </c>
    </row>
    <row r="19" spans="1:33" x14ac:dyDescent="0.2">
      <c r="A19" s="1186" t="s">
        <v>36</v>
      </c>
      <c r="B19" s="1186" t="s">
        <v>19</v>
      </c>
      <c r="C19" s="1186">
        <v>1800</v>
      </c>
      <c r="D19" s="1186">
        <v>165</v>
      </c>
      <c r="E19" s="1186">
        <v>758</v>
      </c>
      <c r="F19" s="1186">
        <v>306</v>
      </c>
      <c r="G19" s="1186">
        <v>8</v>
      </c>
      <c r="H19" s="1186">
        <v>1</v>
      </c>
      <c r="I19" s="1186">
        <v>38</v>
      </c>
      <c r="J19" s="1186">
        <v>3</v>
      </c>
      <c r="K19" s="1186">
        <v>5</v>
      </c>
      <c r="L19" s="1186">
        <v>43</v>
      </c>
      <c r="M19" s="1186"/>
      <c r="N19" s="1186">
        <v>28</v>
      </c>
      <c r="O19" s="1186">
        <v>8</v>
      </c>
      <c r="P19" s="1186">
        <v>21</v>
      </c>
      <c r="Q19" s="1186">
        <v>16</v>
      </c>
      <c r="R19" s="1186">
        <v>27</v>
      </c>
      <c r="S19" s="1186">
        <v>35</v>
      </c>
      <c r="T19" s="1186">
        <v>55</v>
      </c>
      <c r="U19" s="1186">
        <v>56</v>
      </c>
      <c r="V19" s="1186">
        <v>50</v>
      </c>
      <c r="W19" s="1186">
        <v>34</v>
      </c>
      <c r="X19" s="1186">
        <v>10</v>
      </c>
      <c r="Y19" s="1186">
        <v>22</v>
      </c>
      <c r="Z19" s="1186"/>
      <c r="AA19" s="1186">
        <v>2</v>
      </c>
      <c r="AB19" s="1186">
        <v>23</v>
      </c>
      <c r="AC19" s="1186">
        <v>64</v>
      </c>
      <c r="AD19" s="1186">
        <v>5</v>
      </c>
      <c r="AE19" s="1186">
        <v>12</v>
      </c>
      <c r="AF19" s="1186">
        <v>5</v>
      </c>
      <c r="AG19" s="1186"/>
    </row>
    <row r="20" spans="1:33" x14ac:dyDescent="0.2">
      <c r="A20" s="1186" t="s">
        <v>37</v>
      </c>
      <c r="B20" s="1186" t="s">
        <v>19</v>
      </c>
      <c r="C20" s="1186">
        <v>226</v>
      </c>
      <c r="D20" s="1186">
        <v>100</v>
      </c>
      <c r="E20" s="1186">
        <v>33</v>
      </c>
      <c r="F20" s="1186">
        <v>1</v>
      </c>
      <c r="G20" s="1186">
        <v>2</v>
      </c>
      <c r="H20" s="1186"/>
      <c r="I20" s="1186">
        <v>6</v>
      </c>
      <c r="J20" s="1186">
        <v>3</v>
      </c>
      <c r="K20" s="1186"/>
      <c r="L20" s="1186">
        <v>7</v>
      </c>
      <c r="M20" s="1186">
        <v>2</v>
      </c>
      <c r="N20" s="1186">
        <v>14</v>
      </c>
      <c r="O20" s="1186">
        <v>2</v>
      </c>
      <c r="P20" s="1186">
        <v>4</v>
      </c>
      <c r="Q20" s="1186"/>
      <c r="R20" s="1186">
        <v>5</v>
      </c>
      <c r="S20" s="1186">
        <v>8</v>
      </c>
      <c r="T20" s="1186">
        <v>11</v>
      </c>
      <c r="U20" s="1186">
        <v>7</v>
      </c>
      <c r="V20" s="1186">
        <v>2</v>
      </c>
      <c r="W20" s="1186">
        <v>5</v>
      </c>
      <c r="X20" s="1186">
        <v>9</v>
      </c>
      <c r="Y20" s="1186"/>
      <c r="Z20" s="1186"/>
      <c r="AA20" s="1186">
        <v>1</v>
      </c>
      <c r="AB20" s="1186">
        <v>3</v>
      </c>
      <c r="AC20" s="1186"/>
      <c r="AD20" s="1186">
        <v>1</v>
      </c>
      <c r="AE20" s="1186"/>
      <c r="AF20" s="1186"/>
      <c r="AG20" s="1186"/>
    </row>
    <row r="21" spans="1:33" x14ac:dyDescent="0.2">
      <c r="A21" s="1186" t="s">
        <v>38</v>
      </c>
      <c r="B21" s="1186" t="s">
        <v>19</v>
      </c>
      <c r="C21" s="1186">
        <v>195</v>
      </c>
      <c r="D21" s="1186">
        <v>27</v>
      </c>
      <c r="E21" s="1186">
        <v>57</v>
      </c>
      <c r="F21" s="1186">
        <v>49</v>
      </c>
      <c r="G21" s="1186">
        <v>1</v>
      </c>
      <c r="H21" s="1186"/>
      <c r="I21" s="1186">
        <v>10</v>
      </c>
      <c r="J21" s="1186"/>
      <c r="K21" s="1186"/>
      <c r="L21" s="1186">
        <v>6</v>
      </c>
      <c r="M21" s="1186"/>
      <c r="N21" s="1186">
        <v>5</v>
      </c>
      <c r="O21" s="1186">
        <v>1</v>
      </c>
      <c r="P21" s="1186">
        <v>1</v>
      </c>
      <c r="Q21" s="1186">
        <v>2</v>
      </c>
      <c r="R21" s="1186">
        <v>5</v>
      </c>
      <c r="S21" s="1186">
        <v>1</v>
      </c>
      <c r="T21" s="1186">
        <v>4</v>
      </c>
      <c r="U21" s="1186">
        <v>5</v>
      </c>
      <c r="V21" s="1186">
        <v>5</v>
      </c>
      <c r="W21" s="1186">
        <v>5</v>
      </c>
      <c r="X21" s="1186">
        <v>1</v>
      </c>
      <c r="Y21" s="1186"/>
      <c r="Z21" s="1186"/>
      <c r="AA21" s="1186"/>
      <c r="AB21" s="1186"/>
      <c r="AC21" s="1186"/>
      <c r="AD21" s="1186"/>
      <c r="AE21" s="1186">
        <v>8</v>
      </c>
      <c r="AF21" s="1186">
        <v>2</v>
      </c>
      <c r="AG21" s="1186"/>
    </row>
    <row r="22" spans="1:33" x14ac:dyDescent="0.2">
      <c r="A22" s="1186" t="s">
        <v>39</v>
      </c>
      <c r="B22" s="1186" t="s">
        <v>19</v>
      </c>
      <c r="C22" s="1186">
        <v>120</v>
      </c>
      <c r="D22" s="1186">
        <v>39</v>
      </c>
      <c r="E22" s="1186">
        <v>25</v>
      </c>
      <c r="F22" s="1186">
        <v>2</v>
      </c>
      <c r="G22" s="1186"/>
      <c r="H22" s="1186"/>
      <c r="I22" s="1186">
        <v>5</v>
      </c>
      <c r="J22" s="1186">
        <v>2</v>
      </c>
      <c r="K22" s="1186"/>
      <c r="L22" s="1186">
        <v>12</v>
      </c>
      <c r="M22" s="1186">
        <v>3</v>
      </c>
      <c r="N22" s="1186">
        <v>7</v>
      </c>
      <c r="O22" s="1186"/>
      <c r="P22" s="1186">
        <v>1</v>
      </c>
      <c r="Q22" s="1186">
        <v>1</v>
      </c>
      <c r="R22" s="1186">
        <v>2</v>
      </c>
      <c r="S22" s="1186">
        <v>1</v>
      </c>
      <c r="T22" s="1186">
        <v>4</v>
      </c>
      <c r="U22" s="1186">
        <v>7</v>
      </c>
      <c r="V22" s="1186">
        <v>1</v>
      </c>
      <c r="W22" s="1186">
        <v>3</v>
      </c>
      <c r="X22" s="1186">
        <v>1</v>
      </c>
      <c r="Y22" s="1186"/>
      <c r="Z22" s="1186"/>
      <c r="AA22" s="1186"/>
      <c r="AB22" s="1186">
        <v>2</v>
      </c>
      <c r="AC22" s="1186"/>
      <c r="AD22" s="1186">
        <v>1</v>
      </c>
      <c r="AE22" s="1186">
        <v>1</v>
      </c>
      <c r="AF22" s="1186"/>
      <c r="AG22" s="1186"/>
    </row>
    <row r="23" spans="1:33" x14ac:dyDescent="0.2">
      <c r="A23" s="1186" t="s">
        <v>40</v>
      </c>
      <c r="B23" s="1186" t="s">
        <v>19</v>
      </c>
      <c r="C23" s="1186">
        <v>110</v>
      </c>
      <c r="D23" s="1186">
        <v>38</v>
      </c>
      <c r="E23" s="1186">
        <v>20</v>
      </c>
      <c r="F23" s="1186"/>
      <c r="G23" s="1186"/>
      <c r="H23" s="1186"/>
      <c r="I23" s="1186">
        <v>11</v>
      </c>
      <c r="J23" s="1186">
        <v>1</v>
      </c>
      <c r="K23" s="1186">
        <v>1</v>
      </c>
      <c r="L23" s="1186">
        <v>8</v>
      </c>
      <c r="M23" s="1186">
        <v>3</v>
      </c>
      <c r="N23" s="1186">
        <v>5</v>
      </c>
      <c r="O23" s="1186">
        <v>1</v>
      </c>
      <c r="P23" s="1186">
        <v>1</v>
      </c>
      <c r="Q23" s="1186">
        <v>1</v>
      </c>
      <c r="R23" s="1186">
        <v>2</v>
      </c>
      <c r="S23" s="1186">
        <v>2</v>
      </c>
      <c r="T23" s="1186">
        <v>3</v>
      </c>
      <c r="U23" s="1186">
        <v>1</v>
      </c>
      <c r="V23" s="1186">
        <v>3</v>
      </c>
      <c r="W23" s="1186">
        <v>4</v>
      </c>
      <c r="X23" s="1186">
        <v>1</v>
      </c>
      <c r="Y23" s="1186"/>
      <c r="Z23" s="1186">
        <v>1</v>
      </c>
      <c r="AA23" s="1186"/>
      <c r="AB23" s="1186">
        <v>3</v>
      </c>
      <c r="AC23" s="1186"/>
      <c r="AD23" s="1186"/>
      <c r="AE23" s="1186"/>
      <c r="AF23" s="1186"/>
      <c r="AG23" s="1186"/>
    </row>
    <row r="24" spans="1:33" x14ac:dyDescent="0.2">
      <c r="A24" s="1186" t="s">
        <v>295</v>
      </c>
      <c r="B24" s="1186" t="s">
        <v>19</v>
      </c>
      <c r="C24" s="1186">
        <v>32</v>
      </c>
      <c r="D24" s="1186">
        <v>22</v>
      </c>
      <c r="E24" s="1186">
        <v>2</v>
      </c>
      <c r="F24" s="1186"/>
      <c r="G24" s="1186"/>
      <c r="H24" s="1186"/>
      <c r="I24" s="1186"/>
      <c r="J24" s="1186"/>
      <c r="K24" s="1186"/>
      <c r="L24" s="1186">
        <v>3</v>
      </c>
      <c r="M24" s="1186"/>
      <c r="N24" s="1186">
        <v>1</v>
      </c>
      <c r="O24" s="1186">
        <v>1</v>
      </c>
      <c r="P24" s="1186"/>
      <c r="Q24" s="1186"/>
      <c r="R24" s="1186"/>
      <c r="S24" s="1186"/>
      <c r="T24" s="1186"/>
      <c r="U24" s="1186"/>
      <c r="V24" s="1186"/>
      <c r="W24" s="1186">
        <v>1</v>
      </c>
      <c r="X24" s="1186">
        <v>2</v>
      </c>
      <c r="Y24" s="1186"/>
      <c r="Z24" s="1186"/>
      <c r="AA24" s="1186"/>
      <c r="AB24" s="1186"/>
      <c r="AC24" s="1186"/>
      <c r="AD24" s="1186"/>
      <c r="AE24" s="1186"/>
      <c r="AF24" s="1186"/>
      <c r="AG24" s="1186"/>
    </row>
    <row r="25" spans="1:33" x14ac:dyDescent="0.2">
      <c r="A25" s="1186" t="s">
        <v>41</v>
      </c>
      <c r="B25" s="1186" t="s">
        <v>19</v>
      </c>
      <c r="C25" s="1186">
        <v>251</v>
      </c>
      <c r="D25" s="1186">
        <v>93</v>
      </c>
      <c r="E25" s="1186">
        <v>57</v>
      </c>
      <c r="F25" s="1186">
        <v>8</v>
      </c>
      <c r="G25" s="1186"/>
      <c r="H25" s="1186">
        <v>1</v>
      </c>
      <c r="I25" s="1186">
        <v>17</v>
      </c>
      <c r="J25" s="1186">
        <v>1</v>
      </c>
      <c r="K25" s="1186"/>
      <c r="L25" s="1186">
        <v>17</v>
      </c>
      <c r="M25" s="1186">
        <v>1</v>
      </c>
      <c r="N25" s="1186">
        <v>5</v>
      </c>
      <c r="O25" s="1186">
        <v>2</v>
      </c>
      <c r="P25" s="1186">
        <v>4</v>
      </c>
      <c r="Q25" s="1186"/>
      <c r="R25" s="1186">
        <v>6</v>
      </c>
      <c r="S25" s="1186">
        <v>7</v>
      </c>
      <c r="T25" s="1186">
        <v>5</v>
      </c>
      <c r="U25" s="1186">
        <v>3</v>
      </c>
      <c r="V25" s="1186">
        <v>4</v>
      </c>
      <c r="W25" s="1186">
        <v>9</v>
      </c>
      <c r="X25" s="1186">
        <v>3</v>
      </c>
      <c r="Y25" s="1186"/>
      <c r="Z25" s="1186"/>
      <c r="AA25" s="1186"/>
      <c r="AB25" s="1186">
        <v>2</v>
      </c>
      <c r="AC25" s="1186"/>
      <c r="AD25" s="1186">
        <v>1</v>
      </c>
      <c r="AE25" s="1186">
        <v>4</v>
      </c>
      <c r="AF25" s="1186">
        <v>1</v>
      </c>
      <c r="AG25" s="1186"/>
    </row>
    <row r="26" spans="1:33" x14ac:dyDescent="0.2">
      <c r="A26" s="1186" t="s">
        <v>42</v>
      </c>
      <c r="B26" s="1186" t="s">
        <v>19</v>
      </c>
      <c r="C26" s="1186">
        <v>567</v>
      </c>
      <c r="D26" s="1186">
        <v>145</v>
      </c>
      <c r="E26" s="1186">
        <v>204</v>
      </c>
      <c r="F26" s="1186">
        <v>17</v>
      </c>
      <c r="G26" s="1186"/>
      <c r="H26" s="1186"/>
      <c r="I26" s="1186">
        <v>10</v>
      </c>
      <c r="J26" s="1186"/>
      <c r="K26" s="1186">
        <v>2</v>
      </c>
      <c r="L26" s="1186">
        <v>51</v>
      </c>
      <c r="M26" s="1186"/>
      <c r="N26" s="1186">
        <v>16</v>
      </c>
      <c r="O26" s="1186">
        <v>6</v>
      </c>
      <c r="P26" s="1186">
        <v>10</v>
      </c>
      <c r="Q26" s="1186">
        <v>6</v>
      </c>
      <c r="R26" s="1186">
        <v>7</v>
      </c>
      <c r="S26" s="1186">
        <v>15</v>
      </c>
      <c r="T26" s="1186">
        <v>16</v>
      </c>
      <c r="U26" s="1186">
        <v>14</v>
      </c>
      <c r="V26" s="1186">
        <v>8</v>
      </c>
      <c r="W26" s="1186">
        <v>22</v>
      </c>
      <c r="X26" s="1186">
        <v>1</v>
      </c>
      <c r="Y26" s="1186">
        <v>1</v>
      </c>
      <c r="Z26" s="1186"/>
      <c r="AA26" s="1186">
        <v>3</v>
      </c>
      <c r="AB26" s="1186">
        <v>6</v>
      </c>
      <c r="AC26" s="1186"/>
      <c r="AD26" s="1186"/>
      <c r="AE26" s="1186">
        <v>4</v>
      </c>
      <c r="AF26" s="1186">
        <v>2</v>
      </c>
      <c r="AG26" s="1186">
        <v>1</v>
      </c>
    </row>
    <row r="27" spans="1:33" x14ac:dyDescent="0.2">
      <c r="A27" s="1186" t="s">
        <v>43</v>
      </c>
      <c r="B27" s="1186" t="s">
        <v>19</v>
      </c>
      <c r="C27" s="1186">
        <v>16</v>
      </c>
      <c r="D27" s="1186">
        <v>10</v>
      </c>
      <c r="E27" s="1186"/>
      <c r="F27" s="1186"/>
      <c r="G27" s="1186">
        <v>1</v>
      </c>
      <c r="H27" s="1186"/>
      <c r="I27" s="1186"/>
      <c r="J27" s="1186"/>
      <c r="K27" s="1186"/>
      <c r="L27" s="1186">
        <v>2</v>
      </c>
      <c r="M27" s="1186"/>
      <c r="N27" s="1186"/>
      <c r="O27" s="1186">
        <v>1</v>
      </c>
      <c r="P27" s="1186"/>
      <c r="Q27" s="1186"/>
      <c r="R27" s="1186"/>
      <c r="S27" s="1186"/>
      <c r="T27" s="1186">
        <v>1</v>
      </c>
      <c r="U27" s="1186"/>
      <c r="V27" s="1186"/>
      <c r="W27" s="1186"/>
      <c r="X27" s="1186"/>
      <c r="Y27" s="1186"/>
      <c r="Z27" s="1186"/>
      <c r="AA27" s="1186"/>
      <c r="AB27" s="1186">
        <v>1</v>
      </c>
      <c r="AC27" s="1186"/>
      <c r="AD27" s="1186"/>
      <c r="AE27" s="1186"/>
      <c r="AF27" s="1186"/>
      <c r="AG27" s="1186"/>
    </row>
    <row r="28" spans="1:33" x14ac:dyDescent="0.2">
      <c r="A28" s="1186" t="s">
        <v>44</v>
      </c>
      <c r="B28" s="1186" t="s">
        <v>19</v>
      </c>
      <c r="C28" s="1186">
        <v>206</v>
      </c>
      <c r="D28" s="1186">
        <v>47</v>
      </c>
      <c r="E28" s="1186">
        <v>62</v>
      </c>
      <c r="F28" s="1186">
        <v>9</v>
      </c>
      <c r="G28" s="1186"/>
      <c r="H28" s="1186"/>
      <c r="I28" s="1186">
        <v>2</v>
      </c>
      <c r="J28" s="1186"/>
      <c r="K28" s="1186">
        <v>2</v>
      </c>
      <c r="L28" s="1186">
        <v>9</v>
      </c>
      <c r="M28" s="1186">
        <v>9</v>
      </c>
      <c r="N28" s="1186">
        <v>12</v>
      </c>
      <c r="O28" s="1186">
        <v>1</v>
      </c>
      <c r="P28" s="1186">
        <v>3</v>
      </c>
      <c r="Q28" s="1186">
        <v>8</v>
      </c>
      <c r="R28" s="1186">
        <v>4</v>
      </c>
      <c r="S28" s="1186">
        <v>5</v>
      </c>
      <c r="T28" s="1186">
        <v>10</v>
      </c>
      <c r="U28" s="1186">
        <v>5</v>
      </c>
      <c r="V28" s="1186">
        <v>2</v>
      </c>
      <c r="W28" s="1186">
        <v>4</v>
      </c>
      <c r="X28" s="1186">
        <v>4</v>
      </c>
      <c r="Y28" s="1186"/>
      <c r="Z28" s="1186"/>
      <c r="AA28" s="1186"/>
      <c r="AB28" s="1186">
        <v>2</v>
      </c>
      <c r="AC28" s="1186">
        <v>1</v>
      </c>
      <c r="AD28" s="1186">
        <v>2</v>
      </c>
      <c r="AE28" s="1186">
        <v>1</v>
      </c>
      <c r="AF28" s="1186">
        <v>2</v>
      </c>
      <c r="AG28" s="1186"/>
    </row>
    <row r="29" spans="1:33" x14ac:dyDescent="0.2">
      <c r="A29" s="1186" t="s">
        <v>45</v>
      </c>
      <c r="B29" s="1186" t="s">
        <v>19</v>
      </c>
      <c r="C29" s="1186">
        <v>382</v>
      </c>
      <c r="D29" s="1186">
        <v>68</v>
      </c>
      <c r="E29" s="1186">
        <v>103</v>
      </c>
      <c r="F29" s="1186">
        <v>51</v>
      </c>
      <c r="G29" s="1186"/>
      <c r="H29" s="1186"/>
      <c r="I29" s="1186">
        <v>14</v>
      </c>
      <c r="J29" s="1186">
        <v>1</v>
      </c>
      <c r="K29" s="1186"/>
      <c r="L29" s="1186">
        <v>16</v>
      </c>
      <c r="M29" s="1186">
        <v>2</v>
      </c>
      <c r="N29" s="1186">
        <v>21</v>
      </c>
      <c r="O29" s="1186">
        <v>6</v>
      </c>
      <c r="P29" s="1186">
        <v>9</v>
      </c>
      <c r="Q29" s="1186">
        <v>2</v>
      </c>
      <c r="R29" s="1186">
        <v>8</v>
      </c>
      <c r="S29" s="1186">
        <v>9</v>
      </c>
      <c r="T29" s="1186">
        <v>12</v>
      </c>
      <c r="U29" s="1186">
        <v>5</v>
      </c>
      <c r="V29" s="1186">
        <v>7</v>
      </c>
      <c r="W29" s="1186">
        <v>16</v>
      </c>
      <c r="X29" s="1186">
        <v>3</v>
      </c>
      <c r="Y29" s="1186"/>
      <c r="Z29" s="1186">
        <v>2</v>
      </c>
      <c r="AA29" s="1186">
        <v>1</v>
      </c>
      <c r="AB29" s="1186">
        <v>4</v>
      </c>
      <c r="AC29" s="1186">
        <v>14</v>
      </c>
      <c r="AD29" s="1186"/>
      <c r="AE29" s="1186">
        <v>7</v>
      </c>
      <c r="AF29" s="1186">
        <v>1</v>
      </c>
      <c r="AG29" s="1186"/>
    </row>
    <row r="30" spans="1:33" x14ac:dyDescent="0.2">
      <c r="A30" s="1186" t="s">
        <v>46</v>
      </c>
      <c r="B30" s="1186" t="s">
        <v>19</v>
      </c>
      <c r="C30" s="1186">
        <v>157</v>
      </c>
      <c r="D30" s="1186">
        <v>50</v>
      </c>
      <c r="E30" s="1186">
        <v>46</v>
      </c>
      <c r="F30" s="1186">
        <v>2</v>
      </c>
      <c r="G30" s="1186"/>
      <c r="H30" s="1186"/>
      <c r="I30" s="1186">
        <v>9</v>
      </c>
      <c r="J30" s="1186"/>
      <c r="K30" s="1186">
        <v>4</v>
      </c>
      <c r="L30" s="1186">
        <v>4</v>
      </c>
      <c r="M30" s="1186">
        <v>8</v>
      </c>
      <c r="N30" s="1186">
        <v>7</v>
      </c>
      <c r="O30" s="1186"/>
      <c r="P30" s="1186">
        <v>2</v>
      </c>
      <c r="Q30" s="1186">
        <v>1</v>
      </c>
      <c r="R30" s="1186">
        <v>1</v>
      </c>
      <c r="S30" s="1186">
        <v>1</v>
      </c>
      <c r="T30" s="1186">
        <v>2</v>
      </c>
      <c r="U30" s="1186">
        <v>2</v>
      </c>
      <c r="V30" s="1186"/>
      <c r="W30" s="1186">
        <v>1</v>
      </c>
      <c r="X30" s="1186">
        <v>3</v>
      </c>
      <c r="Y30" s="1186"/>
      <c r="Z30" s="1186"/>
      <c r="AA30" s="1186">
        <v>1</v>
      </c>
      <c r="AB30" s="1186">
        <v>5</v>
      </c>
      <c r="AC30" s="1186">
        <v>3</v>
      </c>
      <c r="AD30" s="1186"/>
      <c r="AE30" s="1186">
        <v>4</v>
      </c>
      <c r="AF30" s="1186">
        <v>1</v>
      </c>
      <c r="AG30" s="1186"/>
    </row>
    <row r="31" spans="1:33" x14ac:dyDescent="0.2">
      <c r="A31" s="1186" t="s">
        <v>47</v>
      </c>
      <c r="B31" s="1186" t="s">
        <v>19</v>
      </c>
      <c r="C31" s="1186">
        <v>21</v>
      </c>
      <c r="D31" s="1186">
        <v>11</v>
      </c>
      <c r="E31" s="1186"/>
      <c r="F31" s="1186"/>
      <c r="G31" s="1186"/>
      <c r="H31" s="1186"/>
      <c r="I31" s="1186"/>
      <c r="J31" s="1186"/>
      <c r="K31" s="1186"/>
      <c r="L31" s="1186">
        <v>3</v>
      </c>
      <c r="M31" s="1186"/>
      <c r="N31" s="1186">
        <v>1</v>
      </c>
      <c r="O31" s="1186"/>
      <c r="P31" s="1186">
        <v>1</v>
      </c>
      <c r="Q31" s="1186"/>
      <c r="R31" s="1186"/>
      <c r="S31" s="1186"/>
      <c r="T31" s="1186"/>
      <c r="U31" s="1186">
        <v>2</v>
      </c>
      <c r="V31" s="1186">
        <v>2</v>
      </c>
      <c r="W31" s="1186">
        <v>1</v>
      </c>
      <c r="X31" s="1186"/>
      <c r="Y31" s="1186"/>
      <c r="Z31" s="1186"/>
      <c r="AA31" s="1186"/>
      <c r="AB31" s="1186"/>
      <c r="AC31" s="1186"/>
      <c r="AD31" s="1186"/>
      <c r="AE31" s="1186"/>
      <c r="AF31" s="1186"/>
      <c r="AG31" s="1186"/>
    </row>
    <row r="32" spans="1:33" x14ac:dyDescent="0.2">
      <c r="A32" s="1186" t="s">
        <v>48</v>
      </c>
      <c r="B32" s="1186" t="s">
        <v>19</v>
      </c>
      <c r="C32" s="1186">
        <v>158</v>
      </c>
      <c r="D32" s="1186">
        <v>51</v>
      </c>
      <c r="E32" s="1186">
        <v>42</v>
      </c>
      <c r="F32" s="1186">
        <v>4</v>
      </c>
      <c r="G32" s="1186"/>
      <c r="H32" s="1186"/>
      <c r="I32" s="1186">
        <v>2</v>
      </c>
      <c r="J32" s="1186"/>
      <c r="K32" s="1186"/>
      <c r="L32" s="1186">
        <v>3</v>
      </c>
      <c r="M32" s="1186">
        <v>3</v>
      </c>
      <c r="N32" s="1186">
        <v>4</v>
      </c>
      <c r="O32" s="1186">
        <v>1</v>
      </c>
      <c r="P32" s="1186">
        <v>1</v>
      </c>
      <c r="Q32" s="1186">
        <v>1</v>
      </c>
      <c r="R32" s="1186">
        <v>5</v>
      </c>
      <c r="S32" s="1186">
        <v>6</v>
      </c>
      <c r="T32" s="1186">
        <v>10</v>
      </c>
      <c r="U32" s="1186">
        <v>1</v>
      </c>
      <c r="V32" s="1186">
        <v>5</v>
      </c>
      <c r="W32" s="1186">
        <v>9</v>
      </c>
      <c r="X32" s="1186">
        <v>1</v>
      </c>
      <c r="Y32" s="1186">
        <v>1</v>
      </c>
      <c r="Z32" s="1186"/>
      <c r="AA32" s="1186"/>
      <c r="AB32" s="1186">
        <v>3</v>
      </c>
      <c r="AC32" s="1186"/>
      <c r="AD32" s="1186"/>
      <c r="AE32" s="1186">
        <v>3</v>
      </c>
      <c r="AF32" s="1186">
        <v>1</v>
      </c>
      <c r="AG32" s="1186">
        <v>1</v>
      </c>
    </row>
    <row r="33" spans="1:33" x14ac:dyDescent="0.2">
      <c r="A33" s="1186" t="s">
        <v>49</v>
      </c>
      <c r="B33" s="1186" t="s">
        <v>19</v>
      </c>
      <c r="C33" s="1186">
        <v>496</v>
      </c>
      <c r="D33" s="1186">
        <v>159</v>
      </c>
      <c r="E33" s="1186">
        <v>127</v>
      </c>
      <c r="F33" s="1186">
        <v>25</v>
      </c>
      <c r="G33" s="1186"/>
      <c r="H33" s="1186"/>
      <c r="I33" s="1186">
        <v>11</v>
      </c>
      <c r="J33" s="1186">
        <v>2</v>
      </c>
      <c r="K33" s="1186">
        <v>2</v>
      </c>
      <c r="L33" s="1186">
        <v>37</v>
      </c>
      <c r="M33" s="1186">
        <v>9</v>
      </c>
      <c r="N33" s="1186">
        <v>17</v>
      </c>
      <c r="O33" s="1186">
        <v>4</v>
      </c>
      <c r="P33" s="1186">
        <v>5</v>
      </c>
      <c r="Q33" s="1186">
        <v>3</v>
      </c>
      <c r="R33" s="1186">
        <v>15</v>
      </c>
      <c r="S33" s="1186">
        <v>11</v>
      </c>
      <c r="T33" s="1186">
        <v>25</v>
      </c>
      <c r="U33" s="1186">
        <v>15</v>
      </c>
      <c r="V33" s="1186">
        <v>6</v>
      </c>
      <c r="W33" s="1186">
        <v>8</v>
      </c>
      <c r="X33" s="1186">
        <v>1</v>
      </c>
      <c r="Y33" s="1186">
        <v>1</v>
      </c>
      <c r="Z33" s="1186"/>
      <c r="AA33" s="1186">
        <v>1</v>
      </c>
      <c r="AB33" s="1186">
        <v>7</v>
      </c>
      <c r="AC33" s="1186"/>
      <c r="AD33" s="1186">
        <v>1</v>
      </c>
      <c r="AE33" s="1186">
        <v>4</v>
      </c>
      <c r="AF33" s="1186"/>
      <c r="AG33" s="1186"/>
    </row>
    <row r="34" spans="1:33" x14ac:dyDescent="0.2">
      <c r="A34" s="1186" t="s">
        <v>50</v>
      </c>
      <c r="B34" s="1186" t="s">
        <v>19</v>
      </c>
      <c r="C34" s="1186">
        <v>140</v>
      </c>
      <c r="D34" s="1186">
        <v>32</v>
      </c>
      <c r="E34" s="1186">
        <v>52</v>
      </c>
      <c r="F34" s="1186">
        <v>2</v>
      </c>
      <c r="G34" s="1186">
        <v>1</v>
      </c>
      <c r="H34" s="1186"/>
      <c r="I34" s="1186">
        <v>3</v>
      </c>
      <c r="J34" s="1186">
        <v>2</v>
      </c>
      <c r="K34" s="1186">
        <v>2</v>
      </c>
      <c r="L34" s="1186">
        <v>2</v>
      </c>
      <c r="M34" s="1186">
        <v>2</v>
      </c>
      <c r="N34" s="1186">
        <v>5</v>
      </c>
      <c r="O34" s="1186"/>
      <c r="P34" s="1186"/>
      <c r="Q34" s="1186">
        <v>7</v>
      </c>
      <c r="R34" s="1186">
        <v>2</v>
      </c>
      <c r="S34" s="1186">
        <v>4</v>
      </c>
      <c r="T34" s="1186">
        <v>3</v>
      </c>
      <c r="U34" s="1186">
        <v>2</v>
      </c>
      <c r="V34" s="1186">
        <v>3</v>
      </c>
      <c r="W34" s="1186">
        <v>2</v>
      </c>
      <c r="X34" s="1186"/>
      <c r="Y34" s="1186"/>
      <c r="Z34" s="1186">
        <v>1</v>
      </c>
      <c r="AA34" s="1186"/>
      <c r="AB34" s="1186">
        <v>10</v>
      </c>
      <c r="AC34" s="1186">
        <v>2</v>
      </c>
      <c r="AD34" s="1186"/>
      <c r="AE34" s="1186">
        <v>1</v>
      </c>
      <c r="AF34" s="1186"/>
      <c r="AG34" s="1186"/>
    </row>
    <row r="35" spans="1:33" x14ac:dyDescent="0.2">
      <c r="A35" s="1186" t="s">
        <v>51</v>
      </c>
      <c r="B35" s="1186" t="s">
        <v>19</v>
      </c>
      <c r="C35" s="1186">
        <v>223</v>
      </c>
      <c r="D35" s="1186">
        <v>36</v>
      </c>
      <c r="E35" s="1186">
        <v>117</v>
      </c>
      <c r="F35" s="1186">
        <v>16</v>
      </c>
      <c r="G35" s="1186"/>
      <c r="H35" s="1186"/>
      <c r="I35" s="1186">
        <v>3</v>
      </c>
      <c r="J35" s="1186"/>
      <c r="K35" s="1186"/>
      <c r="L35" s="1186">
        <v>6</v>
      </c>
      <c r="M35" s="1186"/>
      <c r="N35" s="1186">
        <v>3</v>
      </c>
      <c r="O35" s="1186"/>
      <c r="P35" s="1186">
        <v>1</v>
      </c>
      <c r="Q35" s="1186"/>
      <c r="R35" s="1186">
        <v>9</v>
      </c>
      <c r="S35" s="1186">
        <v>6</v>
      </c>
      <c r="T35" s="1186">
        <v>7</v>
      </c>
      <c r="U35" s="1186">
        <v>6</v>
      </c>
      <c r="V35" s="1186">
        <v>1</v>
      </c>
      <c r="W35" s="1186">
        <v>5</v>
      </c>
      <c r="X35" s="1186">
        <v>1</v>
      </c>
      <c r="Y35" s="1186"/>
      <c r="Z35" s="1186"/>
      <c r="AA35" s="1186">
        <v>1</v>
      </c>
      <c r="AB35" s="1186">
        <v>4</v>
      </c>
      <c r="AC35" s="1186"/>
      <c r="AD35" s="1186"/>
      <c r="AE35" s="1186">
        <v>1</v>
      </c>
      <c r="AF35" s="1186"/>
      <c r="AG35" s="1186"/>
    </row>
    <row r="36" spans="1:33" x14ac:dyDescent="0.2">
      <c r="A36" s="1186" t="s">
        <v>52</v>
      </c>
      <c r="B36" s="1186" t="s">
        <v>19</v>
      </c>
      <c r="C36" s="1186">
        <v>337</v>
      </c>
      <c r="D36" s="1186">
        <v>134</v>
      </c>
      <c r="E36" s="1186">
        <v>74</v>
      </c>
      <c r="F36" s="1186">
        <v>7</v>
      </c>
      <c r="G36" s="1186"/>
      <c r="H36" s="1186"/>
      <c r="I36" s="1186">
        <v>5</v>
      </c>
      <c r="J36" s="1186"/>
      <c r="K36" s="1186">
        <v>2</v>
      </c>
      <c r="L36" s="1186">
        <v>28</v>
      </c>
      <c r="M36" s="1186">
        <v>3</v>
      </c>
      <c r="N36" s="1186">
        <v>17</v>
      </c>
      <c r="O36" s="1186">
        <v>7</v>
      </c>
      <c r="P36" s="1186">
        <v>6</v>
      </c>
      <c r="Q36" s="1186">
        <v>4</v>
      </c>
      <c r="R36" s="1186">
        <v>6</v>
      </c>
      <c r="S36" s="1186">
        <v>8</v>
      </c>
      <c r="T36" s="1186">
        <v>10</v>
      </c>
      <c r="U36" s="1186">
        <v>9</v>
      </c>
      <c r="V36" s="1186">
        <v>3</v>
      </c>
      <c r="W36" s="1186">
        <v>4</v>
      </c>
      <c r="X36" s="1186">
        <v>2</v>
      </c>
      <c r="Y36" s="1186"/>
      <c r="Z36" s="1186"/>
      <c r="AA36" s="1186">
        <v>1</v>
      </c>
      <c r="AB36" s="1186">
        <v>4</v>
      </c>
      <c r="AC36" s="1186"/>
      <c r="AD36" s="1186"/>
      <c r="AE36" s="1186">
        <v>2</v>
      </c>
      <c r="AF36" s="1186"/>
      <c r="AG36" s="1186">
        <v>1</v>
      </c>
    </row>
    <row r="37" spans="1:33" x14ac:dyDescent="0.2">
      <c r="A37" s="1186" t="s">
        <v>23</v>
      </c>
      <c r="B37" s="1186" t="s">
        <v>20</v>
      </c>
      <c r="C37" s="1186">
        <v>479</v>
      </c>
      <c r="D37" s="1186">
        <v>53</v>
      </c>
      <c r="E37" s="1186">
        <v>219</v>
      </c>
      <c r="F37" s="1186">
        <v>39</v>
      </c>
      <c r="G37" s="1186">
        <v>5</v>
      </c>
      <c r="H37" s="1186">
        <v>2</v>
      </c>
      <c r="I37" s="1186">
        <v>22</v>
      </c>
      <c r="J37" s="1186"/>
      <c r="K37" s="1186"/>
      <c r="L37" s="1186">
        <v>11</v>
      </c>
      <c r="M37" s="1186"/>
      <c r="N37" s="1186">
        <v>14</v>
      </c>
      <c r="O37" s="1186">
        <v>2</v>
      </c>
      <c r="P37" s="1186">
        <v>9</v>
      </c>
      <c r="Q37" s="1186">
        <v>9</v>
      </c>
      <c r="R37" s="1186">
        <v>7</v>
      </c>
      <c r="S37" s="1186">
        <v>9</v>
      </c>
      <c r="T37" s="1186">
        <v>9</v>
      </c>
      <c r="U37" s="1186">
        <v>9</v>
      </c>
      <c r="V37" s="1186">
        <v>11</v>
      </c>
      <c r="W37" s="1186">
        <v>4</v>
      </c>
      <c r="X37" s="1186">
        <v>6</v>
      </c>
      <c r="Y37" s="1186"/>
      <c r="Z37" s="1186"/>
      <c r="AA37" s="1186">
        <v>1</v>
      </c>
      <c r="AB37" s="1186">
        <v>8</v>
      </c>
      <c r="AC37" s="1186">
        <v>24</v>
      </c>
      <c r="AD37" s="1186">
        <v>2</v>
      </c>
      <c r="AE37" s="1186">
        <v>4</v>
      </c>
      <c r="AF37" s="1186"/>
      <c r="AG37" s="1186"/>
    </row>
    <row r="38" spans="1:33" x14ac:dyDescent="0.2">
      <c r="A38" s="1186" t="s">
        <v>24</v>
      </c>
      <c r="B38" s="1186" t="s">
        <v>20</v>
      </c>
      <c r="C38" s="1186">
        <v>309</v>
      </c>
      <c r="D38" s="1186">
        <v>89</v>
      </c>
      <c r="E38" s="1186">
        <v>40</v>
      </c>
      <c r="F38" s="1186">
        <v>3</v>
      </c>
      <c r="G38" s="1186">
        <v>2</v>
      </c>
      <c r="H38" s="1186"/>
      <c r="I38" s="1186">
        <v>67</v>
      </c>
      <c r="J38" s="1186">
        <v>2</v>
      </c>
      <c r="K38" s="1186"/>
      <c r="L38" s="1186">
        <v>17</v>
      </c>
      <c r="M38" s="1186">
        <v>18</v>
      </c>
      <c r="N38" s="1186">
        <v>12</v>
      </c>
      <c r="O38" s="1186">
        <v>1</v>
      </c>
      <c r="P38" s="1186">
        <v>5</v>
      </c>
      <c r="Q38" s="1186">
        <v>2</v>
      </c>
      <c r="R38" s="1186">
        <v>2</v>
      </c>
      <c r="S38" s="1186">
        <v>4</v>
      </c>
      <c r="T38" s="1186">
        <v>13</v>
      </c>
      <c r="U38" s="1186">
        <v>4</v>
      </c>
      <c r="V38" s="1186"/>
      <c r="W38" s="1186">
        <v>11</v>
      </c>
      <c r="X38" s="1186">
        <v>9</v>
      </c>
      <c r="Y38" s="1186">
        <v>1</v>
      </c>
      <c r="Z38" s="1186"/>
      <c r="AA38" s="1186">
        <v>1</v>
      </c>
      <c r="AB38" s="1186">
        <v>5</v>
      </c>
      <c r="AC38" s="1186"/>
      <c r="AD38" s="1186"/>
      <c r="AE38" s="1186"/>
      <c r="AF38" s="1186"/>
      <c r="AG38" s="1186">
        <v>1</v>
      </c>
    </row>
    <row r="39" spans="1:33" x14ac:dyDescent="0.2">
      <c r="A39" s="1186" t="s">
        <v>25</v>
      </c>
      <c r="B39" s="1186" t="s">
        <v>20</v>
      </c>
      <c r="C39" s="1186">
        <v>125</v>
      </c>
      <c r="D39" s="1186">
        <v>37</v>
      </c>
      <c r="E39" s="1186">
        <v>36</v>
      </c>
      <c r="F39" s="1186">
        <v>2</v>
      </c>
      <c r="G39" s="1186">
        <v>1</v>
      </c>
      <c r="H39" s="1186"/>
      <c r="I39" s="1186">
        <v>9</v>
      </c>
      <c r="J39" s="1186"/>
      <c r="K39" s="1186">
        <v>2</v>
      </c>
      <c r="L39" s="1186">
        <v>5</v>
      </c>
      <c r="M39" s="1186">
        <v>7</v>
      </c>
      <c r="N39" s="1186">
        <v>7</v>
      </c>
      <c r="O39" s="1186"/>
      <c r="P39" s="1186"/>
      <c r="Q39" s="1186"/>
      <c r="R39" s="1186">
        <v>1</v>
      </c>
      <c r="S39" s="1186">
        <v>2</v>
      </c>
      <c r="T39" s="1186">
        <v>5</v>
      </c>
      <c r="U39" s="1186">
        <v>2</v>
      </c>
      <c r="V39" s="1186"/>
      <c r="W39" s="1186">
        <v>1</v>
      </c>
      <c r="X39" s="1186">
        <v>1</v>
      </c>
      <c r="Y39" s="1186"/>
      <c r="Z39" s="1186"/>
      <c r="AA39" s="1186"/>
      <c r="AB39" s="1186">
        <v>3</v>
      </c>
      <c r="AC39" s="1186"/>
      <c r="AD39" s="1186">
        <v>1</v>
      </c>
      <c r="AE39" s="1186">
        <v>3</v>
      </c>
      <c r="AF39" s="1186"/>
      <c r="AG39" s="1186"/>
    </row>
    <row r="40" spans="1:33" x14ac:dyDescent="0.2">
      <c r="A40" s="1186" t="s">
        <v>26</v>
      </c>
      <c r="B40" s="1186" t="s">
        <v>20</v>
      </c>
      <c r="C40" s="1186">
        <v>188</v>
      </c>
      <c r="D40" s="1186">
        <v>50</v>
      </c>
      <c r="E40" s="1186">
        <v>40</v>
      </c>
      <c r="F40" s="1186">
        <v>23</v>
      </c>
      <c r="G40" s="1186"/>
      <c r="H40" s="1186"/>
      <c r="I40" s="1186">
        <v>11</v>
      </c>
      <c r="J40" s="1186">
        <v>2</v>
      </c>
      <c r="K40" s="1186"/>
      <c r="L40" s="1186">
        <v>4</v>
      </c>
      <c r="M40" s="1186">
        <v>3</v>
      </c>
      <c r="N40" s="1186">
        <v>8</v>
      </c>
      <c r="O40" s="1186">
        <v>2</v>
      </c>
      <c r="P40" s="1186">
        <v>2</v>
      </c>
      <c r="Q40" s="1186">
        <v>2</v>
      </c>
      <c r="R40" s="1186">
        <v>3</v>
      </c>
      <c r="S40" s="1186">
        <v>2</v>
      </c>
      <c r="T40" s="1186">
        <v>8</v>
      </c>
      <c r="U40" s="1186">
        <v>3</v>
      </c>
      <c r="V40" s="1186">
        <v>2</v>
      </c>
      <c r="W40" s="1186">
        <v>3</v>
      </c>
      <c r="X40" s="1186">
        <v>6</v>
      </c>
      <c r="Y40" s="1186"/>
      <c r="Z40" s="1186">
        <v>2</v>
      </c>
      <c r="AA40" s="1186"/>
      <c r="AB40" s="1186">
        <v>5</v>
      </c>
      <c r="AC40" s="1186"/>
      <c r="AD40" s="1186">
        <v>1</v>
      </c>
      <c r="AE40" s="1186">
        <v>4</v>
      </c>
      <c r="AF40" s="1186">
        <v>1</v>
      </c>
      <c r="AG40" s="1186">
        <v>1</v>
      </c>
    </row>
    <row r="41" spans="1:33" x14ac:dyDescent="0.2">
      <c r="A41" s="1186" t="s">
        <v>619</v>
      </c>
      <c r="B41" s="1186" t="s">
        <v>20</v>
      </c>
      <c r="C41" s="1186">
        <v>1061</v>
      </c>
      <c r="D41" s="1186">
        <v>108</v>
      </c>
      <c r="E41" s="1186">
        <v>432</v>
      </c>
      <c r="F41" s="1186">
        <v>127</v>
      </c>
      <c r="G41" s="1186">
        <v>4</v>
      </c>
      <c r="H41" s="1186"/>
      <c r="I41" s="1186">
        <v>54</v>
      </c>
      <c r="J41" s="1186"/>
      <c r="K41" s="1186">
        <v>3</v>
      </c>
      <c r="L41" s="1186">
        <v>28</v>
      </c>
      <c r="M41" s="1186">
        <v>3</v>
      </c>
      <c r="N41" s="1186">
        <v>21</v>
      </c>
      <c r="O41" s="1186">
        <v>3</v>
      </c>
      <c r="P41" s="1186">
        <v>20</v>
      </c>
      <c r="Q41" s="1186">
        <v>4</v>
      </c>
      <c r="R41" s="1186">
        <v>20</v>
      </c>
      <c r="S41" s="1186">
        <v>32</v>
      </c>
      <c r="T41" s="1186">
        <v>38</v>
      </c>
      <c r="U41" s="1186">
        <v>23</v>
      </c>
      <c r="V41" s="1186">
        <v>24</v>
      </c>
      <c r="W41" s="1186">
        <v>14</v>
      </c>
      <c r="X41" s="1186">
        <v>11</v>
      </c>
      <c r="Y41" s="1186">
        <v>6</v>
      </c>
      <c r="Z41" s="1186"/>
      <c r="AA41" s="1186">
        <v>1</v>
      </c>
      <c r="AB41" s="1186">
        <v>21</v>
      </c>
      <c r="AC41" s="1186">
        <v>51</v>
      </c>
      <c r="AD41" s="1186">
        <v>5</v>
      </c>
      <c r="AE41" s="1186">
        <v>7</v>
      </c>
      <c r="AF41" s="1186">
        <v>1</v>
      </c>
      <c r="AG41" s="1186"/>
    </row>
    <row r="42" spans="1:33" x14ac:dyDescent="0.2">
      <c r="A42" s="1186" t="s">
        <v>27</v>
      </c>
      <c r="B42" s="1186" t="s">
        <v>20</v>
      </c>
      <c r="C42" s="1186">
        <v>74</v>
      </c>
      <c r="D42" s="1186">
        <v>12</v>
      </c>
      <c r="E42" s="1186">
        <v>26</v>
      </c>
      <c r="F42" s="1186">
        <v>3</v>
      </c>
      <c r="G42" s="1186"/>
      <c r="H42" s="1186"/>
      <c r="I42" s="1186">
        <v>3</v>
      </c>
      <c r="J42" s="1186">
        <v>4</v>
      </c>
      <c r="K42" s="1186">
        <v>1</v>
      </c>
      <c r="L42" s="1186">
        <v>6</v>
      </c>
      <c r="M42" s="1186"/>
      <c r="N42" s="1186">
        <v>11</v>
      </c>
      <c r="O42" s="1186"/>
      <c r="P42" s="1186"/>
      <c r="Q42" s="1186">
        <v>2</v>
      </c>
      <c r="R42" s="1186">
        <v>1</v>
      </c>
      <c r="S42" s="1186">
        <v>1</v>
      </c>
      <c r="T42" s="1186">
        <v>1</v>
      </c>
      <c r="U42" s="1186">
        <v>3</v>
      </c>
      <c r="V42" s="1186"/>
      <c r="W42" s="1186"/>
      <c r="X42" s="1186"/>
      <c r="Y42" s="1186"/>
      <c r="Z42" s="1186"/>
      <c r="AA42" s="1186"/>
      <c r="AB42" s="1186"/>
      <c r="AC42" s="1186"/>
      <c r="AD42" s="1186"/>
      <c r="AE42" s="1186"/>
      <c r="AF42" s="1186"/>
      <c r="AG42" s="1186"/>
    </row>
    <row r="43" spans="1:33" x14ac:dyDescent="0.2">
      <c r="A43" s="1186" t="s">
        <v>28</v>
      </c>
      <c r="B43" s="1186" t="s">
        <v>20</v>
      </c>
      <c r="C43" s="1186">
        <v>191</v>
      </c>
      <c r="D43" s="1186">
        <v>71</v>
      </c>
      <c r="E43" s="1186">
        <v>33</v>
      </c>
      <c r="F43" s="1186"/>
      <c r="G43" s="1186">
        <v>2</v>
      </c>
      <c r="H43" s="1186"/>
      <c r="I43" s="1186">
        <v>1</v>
      </c>
      <c r="J43" s="1186">
        <v>2</v>
      </c>
      <c r="K43" s="1186">
        <v>1</v>
      </c>
      <c r="L43" s="1186">
        <v>21</v>
      </c>
      <c r="M43" s="1186">
        <v>12</v>
      </c>
      <c r="N43" s="1186">
        <v>10</v>
      </c>
      <c r="O43" s="1186">
        <v>2</v>
      </c>
      <c r="P43" s="1186">
        <v>1</v>
      </c>
      <c r="Q43" s="1186">
        <v>6</v>
      </c>
      <c r="R43" s="1186">
        <v>2</v>
      </c>
      <c r="S43" s="1186">
        <v>3</v>
      </c>
      <c r="T43" s="1186">
        <v>9</v>
      </c>
      <c r="U43" s="1186">
        <v>2</v>
      </c>
      <c r="V43" s="1186">
        <v>3</v>
      </c>
      <c r="W43" s="1186">
        <v>5</v>
      </c>
      <c r="X43" s="1186">
        <v>2</v>
      </c>
      <c r="Y43" s="1186"/>
      <c r="Z43" s="1186"/>
      <c r="AA43" s="1186"/>
      <c r="AB43" s="1186">
        <v>2</v>
      </c>
      <c r="AC43" s="1186"/>
      <c r="AD43" s="1186">
        <v>1</v>
      </c>
      <c r="AE43" s="1186"/>
      <c r="AF43" s="1186"/>
      <c r="AG43" s="1186"/>
    </row>
    <row r="44" spans="1:33" x14ac:dyDescent="0.2">
      <c r="A44" s="1186" t="s">
        <v>29</v>
      </c>
      <c r="B44" s="1186" t="s">
        <v>20</v>
      </c>
      <c r="C44" s="1186">
        <v>435</v>
      </c>
      <c r="D44" s="1186">
        <v>52</v>
      </c>
      <c r="E44" s="1186">
        <v>186</v>
      </c>
      <c r="F44" s="1186">
        <v>52</v>
      </c>
      <c r="G44" s="1186">
        <v>11</v>
      </c>
      <c r="H44" s="1186"/>
      <c r="I44" s="1186">
        <v>29</v>
      </c>
      <c r="J44" s="1186"/>
      <c r="K44" s="1186">
        <v>2</v>
      </c>
      <c r="L44" s="1186">
        <v>14</v>
      </c>
      <c r="M44" s="1186">
        <v>1</v>
      </c>
      <c r="N44" s="1186">
        <v>11</v>
      </c>
      <c r="O44" s="1186">
        <v>1</v>
      </c>
      <c r="P44" s="1186">
        <v>4</v>
      </c>
      <c r="Q44" s="1186">
        <v>1</v>
      </c>
      <c r="R44" s="1186">
        <v>3</v>
      </c>
      <c r="S44" s="1186">
        <v>9</v>
      </c>
      <c r="T44" s="1186">
        <v>11</v>
      </c>
      <c r="U44" s="1186">
        <v>5</v>
      </c>
      <c r="V44" s="1186">
        <v>8</v>
      </c>
      <c r="W44" s="1186">
        <v>3</v>
      </c>
      <c r="X44" s="1186">
        <v>1</v>
      </c>
      <c r="Y44" s="1186">
        <v>5</v>
      </c>
      <c r="Z44" s="1186"/>
      <c r="AA44" s="1186"/>
      <c r="AB44" s="1186">
        <v>4</v>
      </c>
      <c r="AC44" s="1186">
        <v>15</v>
      </c>
      <c r="AD44" s="1186"/>
      <c r="AE44" s="1186">
        <v>2</v>
      </c>
      <c r="AF44" s="1186">
        <v>2</v>
      </c>
      <c r="AG44" s="1186">
        <v>3</v>
      </c>
    </row>
    <row r="45" spans="1:33" x14ac:dyDescent="0.2">
      <c r="A45" s="1186" t="s">
        <v>30</v>
      </c>
      <c r="B45" s="1186" t="s">
        <v>20</v>
      </c>
      <c r="C45" s="1186">
        <v>162</v>
      </c>
      <c r="D45" s="1186">
        <v>60</v>
      </c>
      <c r="E45" s="1186">
        <v>46</v>
      </c>
      <c r="F45" s="1186">
        <v>7</v>
      </c>
      <c r="G45" s="1186"/>
      <c r="H45" s="1186"/>
      <c r="I45" s="1186">
        <v>4</v>
      </c>
      <c r="J45" s="1186">
        <v>1</v>
      </c>
      <c r="K45" s="1186"/>
      <c r="L45" s="1186">
        <v>7</v>
      </c>
      <c r="M45" s="1186">
        <v>1</v>
      </c>
      <c r="N45" s="1186">
        <v>6</v>
      </c>
      <c r="O45" s="1186">
        <v>5</v>
      </c>
      <c r="P45" s="1186">
        <v>1</v>
      </c>
      <c r="Q45" s="1186">
        <v>8</v>
      </c>
      <c r="R45" s="1186">
        <v>1</v>
      </c>
      <c r="S45" s="1186">
        <v>2</v>
      </c>
      <c r="T45" s="1186">
        <v>2</v>
      </c>
      <c r="U45" s="1186">
        <v>3</v>
      </c>
      <c r="V45" s="1186">
        <v>1</v>
      </c>
      <c r="W45" s="1186">
        <v>4</v>
      </c>
      <c r="X45" s="1186"/>
      <c r="Y45" s="1186">
        <v>1</v>
      </c>
      <c r="Z45" s="1186"/>
      <c r="AA45" s="1186"/>
      <c r="AB45" s="1186"/>
      <c r="AC45" s="1186">
        <v>1</v>
      </c>
      <c r="AD45" s="1186">
        <v>1</v>
      </c>
      <c r="AE45" s="1186"/>
      <c r="AF45" s="1186"/>
      <c r="AG45" s="1186"/>
    </row>
    <row r="46" spans="1:33" x14ac:dyDescent="0.2">
      <c r="A46" s="1186" t="s">
        <v>31</v>
      </c>
      <c r="B46" s="1186" t="s">
        <v>20</v>
      </c>
      <c r="C46" s="1186">
        <v>106</v>
      </c>
      <c r="D46" s="1186">
        <v>39</v>
      </c>
      <c r="E46" s="1186">
        <v>24</v>
      </c>
      <c r="F46" s="1186">
        <v>2</v>
      </c>
      <c r="G46" s="1186"/>
      <c r="H46" s="1186"/>
      <c r="I46" s="1186">
        <v>4</v>
      </c>
      <c r="J46" s="1186"/>
      <c r="K46" s="1186"/>
      <c r="L46" s="1186">
        <v>10</v>
      </c>
      <c r="M46" s="1186">
        <v>2</v>
      </c>
      <c r="N46" s="1186">
        <v>1</v>
      </c>
      <c r="O46" s="1186"/>
      <c r="P46" s="1186">
        <v>2</v>
      </c>
      <c r="Q46" s="1186">
        <v>1</v>
      </c>
      <c r="R46" s="1186">
        <v>2</v>
      </c>
      <c r="S46" s="1186">
        <v>3</v>
      </c>
      <c r="T46" s="1186">
        <v>1</v>
      </c>
      <c r="U46" s="1186">
        <v>4</v>
      </c>
      <c r="V46" s="1186"/>
      <c r="W46" s="1186">
        <v>4</v>
      </c>
      <c r="X46" s="1186"/>
      <c r="Y46" s="1186"/>
      <c r="Z46" s="1186"/>
      <c r="AA46" s="1186"/>
      <c r="AB46" s="1186">
        <v>4</v>
      </c>
      <c r="AC46" s="1186"/>
      <c r="AD46" s="1186"/>
      <c r="AE46" s="1186">
        <v>1</v>
      </c>
      <c r="AF46" s="1186">
        <v>2</v>
      </c>
      <c r="AG46" s="1186"/>
    </row>
    <row r="47" spans="1:33" x14ac:dyDescent="0.2">
      <c r="A47" s="1186" t="s">
        <v>32</v>
      </c>
      <c r="B47" s="1186" t="s">
        <v>20</v>
      </c>
      <c r="C47" s="1186">
        <v>129</v>
      </c>
      <c r="D47" s="1186">
        <v>51</v>
      </c>
      <c r="E47" s="1186">
        <v>21</v>
      </c>
      <c r="F47" s="1186">
        <v>1</v>
      </c>
      <c r="G47" s="1186"/>
      <c r="H47" s="1186"/>
      <c r="I47" s="1186">
        <v>12</v>
      </c>
      <c r="J47" s="1186">
        <v>2</v>
      </c>
      <c r="K47" s="1186">
        <v>1</v>
      </c>
      <c r="L47" s="1186">
        <v>7</v>
      </c>
      <c r="M47" s="1186">
        <v>2</v>
      </c>
      <c r="N47" s="1186">
        <v>1</v>
      </c>
      <c r="O47" s="1186">
        <v>2</v>
      </c>
      <c r="P47" s="1186">
        <v>1</v>
      </c>
      <c r="Q47" s="1186">
        <v>2</v>
      </c>
      <c r="R47" s="1186">
        <v>2</v>
      </c>
      <c r="S47" s="1186">
        <v>1</v>
      </c>
      <c r="T47" s="1186">
        <v>4</v>
      </c>
      <c r="U47" s="1186">
        <v>3</v>
      </c>
      <c r="V47" s="1186">
        <v>1</v>
      </c>
      <c r="W47" s="1186">
        <v>2</v>
      </c>
      <c r="X47" s="1186">
        <v>5</v>
      </c>
      <c r="Y47" s="1186">
        <v>2</v>
      </c>
      <c r="Z47" s="1186"/>
      <c r="AA47" s="1186">
        <v>1</v>
      </c>
      <c r="AB47" s="1186">
        <v>2</v>
      </c>
      <c r="AC47" s="1186">
        <v>3</v>
      </c>
      <c r="AD47" s="1186"/>
      <c r="AE47" s="1186"/>
      <c r="AF47" s="1186"/>
      <c r="AG47" s="1186"/>
    </row>
    <row r="48" spans="1:33" x14ac:dyDescent="0.2">
      <c r="A48" s="1186" t="s">
        <v>33</v>
      </c>
      <c r="B48" s="1186" t="s">
        <v>20</v>
      </c>
      <c r="C48" s="1186">
        <v>84</v>
      </c>
      <c r="D48" s="1186">
        <v>35</v>
      </c>
      <c r="E48" s="1186">
        <v>12</v>
      </c>
      <c r="F48" s="1186">
        <v>4</v>
      </c>
      <c r="G48" s="1186"/>
      <c r="H48" s="1186"/>
      <c r="I48" s="1186">
        <v>7</v>
      </c>
      <c r="J48" s="1186"/>
      <c r="K48" s="1186"/>
      <c r="L48" s="1186">
        <v>4</v>
      </c>
      <c r="M48" s="1186"/>
      <c r="N48" s="1186">
        <v>6</v>
      </c>
      <c r="O48" s="1186"/>
      <c r="P48" s="1186">
        <v>1</v>
      </c>
      <c r="Q48" s="1186"/>
      <c r="R48" s="1186">
        <v>3</v>
      </c>
      <c r="S48" s="1186">
        <v>2</v>
      </c>
      <c r="T48" s="1186">
        <v>2</v>
      </c>
      <c r="U48" s="1186">
        <v>4</v>
      </c>
      <c r="V48" s="1186"/>
      <c r="W48" s="1186"/>
      <c r="X48" s="1186"/>
      <c r="Y48" s="1186">
        <v>1</v>
      </c>
      <c r="Z48" s="1186"/>
      <c r="AA48" s="1186"/>
      <c r="AB48" s="1186">
        <v>2</v>
      </c>
      <c r="AC48" s="1186"/>
      <c r="AD48" s="1186"/>
      <c r="AE48" s="1186">
        <v>1</v>
      </c>
      <c r="AF48" s="1186"/>
      <c r="AG48" s="1186"/>
    </row>
    <row r="49" spans="1:33" x14ac:dyDescent="0.2">
      <c r="A49" s="1186" t="s">
        <v>34</v>
      </c>
      <c r="B49" s="1186" t="s">
        <v>20</v>
      </c>
      <c r="C49" s="1186">
        <v>212</v>
      </c>
      <c r="D49" s="1186">
        <v>61</v>
      </c>
      <c r="E49" s="1186">
        <v>55</v>
      </c>
      <c r="F49" s="1186">
        <v>5</v>
      </c>
      <c r="G49" s="1186"/>
      <c r="H49" s="1186"/>
      <c r="I49" s="1186">
        <v>6</v>
      </c>
      <c r="J49" s="1186">
        <v>1</v>
      </c>
      <c r="K49" s="1186">
        <v>2</v>
      </c>
      <c r="L49" s="1186">
        <v>8</v>
      </c>
      <c r="M49" s="1186">
        <v>1</v>
      </c>
      <c r="N49" s="1186">
        <v>12</v>
      </c>
      <c r="O49" s="1186">
        <v>3</v>
      </c>
      <c r="P49" s="1186">
        <v>3</v>
      </c>
      <c r="Q49" s="1186">
        <v>8</v>
      </c>
      <c r="R49" s="1186">
        <v>3</v>
      </c>
      <c r="S49" s="1186">
        <v>6</v>
      </c>
      <c r="T49" s="1186">
        <v>11</v>
      </c>
      <c r="U49" s="1186">
        <v>10</v>
      </c>
      <c r="V49" s="1186">
        <v>5</v>
      </c>
      <c r="W49" s="1186">
        <v>3</v>
      </c>
      <c r="X49" s="1186">
        <v>3</v>
      </c>
      <c r="Y49" s="1186"/>
      <c r="Z49" s="1186"/>
      <c r="AA49" s="1186"/>
      <c r="AB49" s="1186">
        <v>2</v>
      </c>
      <c r="AC49" s="1186"/>
      <c r="AD49" s="1186"/>
      <c r="AE49" s="1186">
        <v>1</v>
      </c>
      <c r="AF49" s="1186">
        <v>3</v>
      </c>
      <c r="AG49" s="1186"/>
    </row>
    <row r="50" spans="1:33" x14ac:dyDescent="0.2">
      <c r="A50" s="1186" t="s">
        <v>35</v>
      </c>
      <c r="B50" s="1186" t="s">
        <v>20</v>
      </c>
      <c r="C50" s="1186">
        <v>438</v>
      </c>
      <c r="D50" s="1186">
        <v>146</v>
      </c>
      <c r="E50" s="1186">
        <v>136</v>
      </c>
      <c r="F50" s="1186"/>
      <c r="G50" s="1186">
        <v>1</v>
      </c>
      <c r="H50" s="1186"/>
      <c r="I50" s="1186">
        <v>11</v>
      </c>
      <c r="J50" s="1186">
        <v>4</v>
      </c>
      <c r="K50" s="1186">
        <v>3</v>
      </c>
      <c r="L50" s="1186">
        <v>24</v>
      </c>
      <c r="M50" s="1186">
        <v>4</v>
      </c>
      <c r="N50" s="1186">
        <v>27</v>
      </c>
      <c r="O50" s="1186">
        <v>3</v>
      </c>
      <c r="P50" s="1186">
        <v>7</v>
      </c>
      <c r="Q50" s="1186">
        <v>1</v>
      </c>
      <c r="R50" s="1186">
        <v>6</v>
      </c>
      <c r="S50" s="1186">
        <v>13</v>
      </c>
      <c r="T50" s="1186">
        <v>19</v>
      </c>
      <c r="U50" s="1186">
        <v>10</v>
      </c>
      <c r="V50" s="1186">
        <v>2</v>
      </c>
      <c r="W50" s="1186">
        <v>6</v>
      </c>
      <c r="X50" s="1186">
        <v>3</v>
      </c>
      <c r="Y50" s="1186">
        <v>1</v>
      </c>
      <c r="Z50" s="1186"/>
      <c r="AA50" s="1186"/>
      <c r="AB50" s="1186">
        <v>5</v>
      </c>
      <c r="AC50" s="1186">
        <v>3</v>
      </c>
      <c r="AD50" s="1186">
        <v>1</v>
      </c>
      <c r="AE50" s="1186">
        <v>1</v>
      </c>
      <c r="AF50" s="1186"/>
      <c r="AG50" s="1186">
        <v>1</v>
      </c>
    </row>
    <row r="51" spans="1:33" x14ac:dyDescent="0.2">
      <c r="A51" s="1186" t="s">
        <v>36</v>
      </c>
      <c r="B51" s="1186" t="s">
        <v>20</v>
      </c>
      <c r="C51" s="1186">
        <v>1619</v>
      </c>
      <c r="D51" s="1186">
        <v>141</v>
      </c>
      <c r="E51" s="1186">
        <v>723</v>
      </c>
      <c r="F51" s="1186">
        <v>264</v>
      </c>
      <c r="G51" s="1186">
        <v>5</v>
      </c>
      <c r="H51" s="1186"/>
      <c r="I51" s="1186">
        <v>38</v>
      </c>
      <c r="J51" s="1186">
        <v>1</v>
      </c>
      <c r="K51" s="1186">
        <v>7</v>
      </c>
      <c r="L51" s="1186">
        <v>29</v>
      </c>
      <c r="M51" s="1186"/>
      <c r="N51" s="1186">
        <v>32</v>
      </c>
      <c r="O51" s="1186">
        <v>5</v>
      </c>
      <c r="P51" s="1186">
        <v>39</v>
      </c>
      <c r="Q51" s="1186">
        <v>14</v>
      </c>
      <c r="R51" s="1186">
        <v>27</v>
      </c>
      <c r="S51" s="1186">
        <v>43</v>
      </c>
      <c r="T51" s="1186">
        <v>52</v>
      </c>
      <c r="U51" s="1186">
        <v>34</v>
      </c>
      <c r="V51" s="1186">
        <v>44</v>
      </c>
      <c r="W51" s="1186">
        <v>19</v>
      </c>
      <c r="X51" s="1186">
        <v>4</v>
      </c>
      <c r="Y51" s="1186">
        <v>19</v>
      </c>
      <c r="Z51" s="1186"/>
      <c r="AA51" s="1186"/>
      <c r="AB51" s="1186">
        <v>16</v>
      </c>
      <c r="AC51" s="1186">
        <v>49</v>
      </c>
      <c r="AD51" s="1186"/>
      <c r="AE51" s="1186">
        <v>13</v>
      </c>
      <c r="AF51" s="1186">
        <v>1</v>
      </c>
      <c r="AG51" s="1186"/>
    </row>
    <row r="52" spans="1:33" x14ac:dyDescent="0.2">
      <c r="A52" s="1186" t="s">
        <v>37</v>
      </c>
      <c r="B52" s="1186" t="s">
        <v>20</v>
      </c>
      <c r="C52" s="1186">
        <v>252</v>
      </c>
      <c r="D52" s="1186">
        <v>113</v>
      </c>
      <c r="E52" s="1186">
        <v>33</v>
      </c>
      <c r="F52" s="1186">
        <v>3</v>
      </c>
      <c r="G52" s="1186">
        <v>1</v>
      </c>
      <c r="H52" s="1186">
        <v>1</v>
      </c>
      <c r="I52" s="1186">
        <v>6</v>
      </c>
      <c r="J52" s="1186">
        <v>2</v>
      </c>
      <c r="K52" s="1186">
        <v>3</v>
      </c>
      <c r="L52" s="1186">
        <v>11</v>
      </c>
      <c r="M52" s="1186">
        <v>7</v>
      </c>
      <c r="N52" s="1186">
        <v>10</v>
      </c>
      <c r="O52" s="1186">
        <v>2</v>
      </c>
      <c r="P52" s="1186">
        <v>1</v>
      </c>
      <c r="Q52" s="1186">
        <v>2</v>
      </c>
      <c r="R52" s="1186">
        <v>4</v>
      </c>
      <c r="S52" s="1186">
        <v>9</v>
      </c>
      <c r="T52" s="1186">
        <v>7</v>
      </c>
      <c r="U52" s="1186">
        <v>10</v>
      </c>
      <c r="V52" s="1186">
        <v>2</v>
      </c>
      <c r="W52" s="1186">
        <v>4</v>
      </c>
      <c r="X52" s="1186">
        <v>9</v>
      </c>
      <c r="Y52" s="1186">
        <v>1</v>
      </c>
      <c r="Z52" s="1186">
        <v>2</v>
      </c>
      <c r="AA52" s="1186">
        <v>2</v>
      </c>
      <c r="AB52" s="1186">
        <v>4</v>
      </c>
      <c r="AC52" s="1186"/>
      <c r="AD52" s="1186">
        <v>1</v>
      </c>
      <c r="AE52" s="1186"/>
      <c r="AF52" s="1186"/>
      <c r="AG52" s="1186">
        <v>2</v>
      </c>
    </row>
    <row r="53" spans="1:33" x14ac:dyDescent="0.2">
      <c r="A53" s="1186" t="s">
        <v>38</v>
      </c>
      <c r="B53" s="1186" t="s">
        <v>20</v>
      </c>
      <c r="C53" s="1186">
        <v>193</v>
      </c>
      <c r="D53" s="1186">
        <v>22</v>
      </c>
      <c r="E53" s="1186">
        <v>50</v>
      </c>
      <c r="F53" s="1186">
        <v>50</v>
      </c>
      <c r="G53" s="1186"/>
      <c r="H53" s="1186"/>
      <c r="I53" s="1186">
        <v>10</v>
      </c>
      <c r="J53" s="1186"/>
      <c r="K53" s="1186"/>
      <c r="L53" s="1186">
        <v>8</v>
      </c>
      <c r="M53" s="1186"/>
      <c r="N53" s="1186">
        <v>12</v>
      </c>
      <c r="O53" s="1186">
        <v>1</v>
      </c>
      <c r="P53" s="1186">
        <v>4</v>
      </c>
      <c r="Q53" s="1186">
        <v>1</v>
      </c>
      <c r="R53" s="1186">
        <v>3</v>
      </c>
      <c r="S53" s="1186">
        <v>4</v>
      </c>
      <c r="T53" s="1186">
        <v>3</v>
      </c>
      <c r="U53" s="1186">
        <v>5</v>
      </c>
      <c r="V53" s="1186">
        <v>4</v>
      </c>
      <c r="W53" s="1186">
        <v>3</v>
      </c>
      <c r="X53" s="1186"/>
      <c r="Y53" s="1186">
        <v>1</v>
      </c>
      <c r="Z53" s="1186"/>
      <c r="AA53" s="1186"/>
      <c r="AB53" s="1186">
        <v>4</v>
      </c>
      <c r="AC53" s="1186">
        <v>1</v>
      </c>
      <c r="AD53" s="1186"/>
      <c r="AE53" s="1186">
        <v>6</v>
      </c>
      <c r="AF53" s="1186">
        <v>1</v>
      </c>
      <c r="AG53" s="1186"/>
    </row>
    <row r="54" spans="1:33" x14ac:dyDescent="0.2">
      <c r="A54" s="1186" t="s">
        <v>39</v>
      </c>
      <c r="B54" s="1186" t="s">
        <v>20</v>
      </c>
      <c r="C54" s="1186">
        <v>106</v>
      </c>
      <c r="D54" s="1186">
        <v>44</v>
      </c>
      <c r="E54" s="1186">
        <v>22</v>
      </c>
      <c r="F54" s="1186">
        <v>1</v>
      </c>
      <c r="G54" s="1186"/>
      <c r="H54" s="1186"/>
      <c r="I54" s="1186">
        <v>2</v>
      </c>
      <c r="J54" s="1186">
        <v>3</v>
      </c>
      <c r="K54" s="1186">
        <v>1</v>
      </c>
      <c r="L54" s="1186">
        <v>3</v>
      </c>
      <c r="M54" s="1186"/>
      <c r="N54" s="1186">
        <v>5</v>
      </c>
      <c r="O54" s="1186">
        <v>2</v>
      </c>
      <c r="P54" s="1186">
        <v>3</v>
      </c>
      <c r="Q54" s="1186"/>
      <c r="R54" s="1186">
        <v>1</v>
      </c>
      <c r="S54" s="1186">
        <v>3</v>
      </c>
      <c r="T54" s="1186">
        <v>5</v>
      </c>
      <c r="U54" s="1186">
        <v>5</v>
      </c>
      <c r="V54" s="1186">
        <v>1</v>
      </c>
      <c r="W54" s="1186">
        <v>1</v>
      </c>
      <c r="X54" s="1186">
        <v>1</v>
      </c>
      <c r="Y54" s="1186">
        <v>1</v>
      </c>
      <c r="Z54" s="1186"/>
      <c r="AA54" s="1186"/>
      <c r="AB54" s="1186">
        <v>1</v>
      </c>
      <c r="AC54" s="1186"/>
      <c r="AD54" s="1186"/>
      <c r="AE54" s="1186">
        <v>1</v>
      </c>
      <c r="AF54" s="1186"/>
      <c r="AG54" s="1186"/>
    </row>
    <row r="55" spans="1:33" x14ac:dyDescent="0.2">
      <c r="A55" s="1186" t="s">
        <v>40</v>
      </c>
      <c r="B55" s="1186" t="s">
        <v>20</v>
      </c>
      <c r="C55" s="1186">
        <v>122</v>
      </c>
      <c r="D55" s="1186">
        <v>41</v>
      </c>
      <c r="E55" s="1186">
        <v>18</v>
      </c>
      <c r="F55" s="1186">
        <v>1</v>
      </c>
      <c r="G55" s="1186"/>
      <c r="H55" s="1186"/>
      <c r="I55" s="1186">
        <v>14</v>
      </c>
      <c r="J55" s="1186">
        <v>2</v>
      </c>
      <c r="K55" s="1186"/>
      <c r="L55" s="1186">
        <v>12</v>
      </c>
      <c r="M55" s="1186">
        <v>2</v>
      </c>
      <c r="N55" s="1186">
        <v>7</v>
      </c>
      <c r="O55" s="1186">
        <v>1</v>
      </c>
      <c r="P55" s="1186">
        <v>1</v>
      </c>
      <c r="Q55" s="1186">
        <v>2</v>
      </c>
      <c r="R55" s="1186">
        <v>2</v>
      </c>
      <c r="S55" s="1186">
        <v>2</v>
      </c>
      <c r="T55" s="1186">
        <v>5</v>
      </c>
      <c r="U55" s="1186">
        <v>3</v>
      </c>
      <c r="V55" s="1186">
        <v>4</v>
      </c>
      <c r="W55" s="1186">
        <v>1</v>
      </c>
      <c r="X55" s="1186"/>
      <c r="Y55" s="1186"/>
      <c r="Z55" s="1186"/>
      <c r="AA55" s="1186">
        <v>1</v>
      </c>
      <c r="AB55" s="1186">
        <v>2</v>
      </c>
      <c r="AC55" s="1186"/>
      <c r="AD55" s="1186"/>
      <c r="AE55" s="1186">
        <v>1</v>
      </c>
      <c r="AF55" s="1186"/>
      <c r="AG55" s="1186"/>
    </row>
    <row r="56" spans="1:33" x14ac:dyDescent="0.2">
      <c r="A56" s="1186" t="s">
        <v>295</v>
      </c>
      <c r="B56" s="1186" t="s">
        <v>20</v>
      </c>
      <c r="C56" s="1186">
        <v>27</v>
      </c>
      <c r="D56" s="1186">
        <v>12</v>
      </c>
      <c r="E56" s="1186">
        <v>4</v>
      </c>
      <c r="F56" s="1186"/>
      <c r="G56" s="1186"/>
      <c r="H56" s="1186"/>
      <c r="I56" s="1186"/>
      <c r="J56" s="1186">
        <v>1</v>
      </c>
      <c r="K56" s="1186"/>
      <c r="L56" s="1186">
        <v>1</v>
      </c>
      <c r="M56" s="1186">
        <v>1</v>
      </c>
      <c r="N56" s="1186"/>
      <c r="O56" s="1186">
        <v>1</v>
      </c>
      <c r="P56" s="1186">
        <v>1</v>
      </c>
      <c r="Q56" s="1186"/>
      <c r="R56" s="1186">
        <v>2</v>
      </c>
      <c r="S56" s="1186"/>
      <c r="T56" s="1186">
        <v>1</v>
      </c>
      <c r="U56" s="1186"/>
      <c r="V56" s="1186"/>
      <c r="W56" s="1186"/>
      <c r="X56" s="1186">
        <v>1</v>
      </c>
      <c r="Y56" s="1186"/>
      <c r="Z56" s="1186"/>
      <c r="AA56" s="1186"/>
      <c r="AB56" s="1186">
        <v>1</v>
      </c>
      <c r="AC56" s="1186"/>
      <c r="AD56" s="1186"/>
      <c r="AE56" s="1186"/>
      <c r="AF56" s="1186"/>
      <c r="AG56" s="1186">
        <v>1</v>
      </c>
    </row>
    <row r="57" spans="1:33" x14ac:dyDescent="0.2">
      <c r="A57" s="1186" t="s">
        <v>41</v>
      </c>
      <c r="B57" s="1186" t="s">
        <v>20</v>
      </c>
      <c r="C57" s="1186">
        <v>245</v>
      </c>
      <c r="D57" s="1186">
        <v>76</v>
      </c>
      <c r="E57" s="1186">
        <v>63</v>
      </c>
      <c r="F57" s="1186">
        <v>9</v>
      </c>
      <c r="G57" s="1186">
        <v>2</v>
      </c>
      <c r="H57" s="1186"/>
      <c r="I57" s="1186">
        <v>14</v>
      </c>
      <c r="J57" s="1186">
        <v>3</v>
      </c>
      <c r="K57" s="1186"/>
      <c r="L57" s="1186">
        <v>18</v>
      </c>
      <c r="M57" s="1186">
        <v>1</v>
      </c>
      <c r="N57" s="1186">
        <v>16</v>
      </c>
      <c r="O57" s="1186">
        <v>1</v>
      </c>
      <c r="P57" s="1186">
        <v>1</v>
      </c>
      <c r="Q57" s="1186"/>
      <c r="R57" s="1186">
        <v>8</v>
      </c>
      <c r="S57" s="1186">
        <v>2</v>
      </c>
      <c r="T57" s="1186">
        <v>12</v>
      </c>
      <c r="U57" s="1186">
        <v>2</v>
      </c>
      <c r="V57" s="1186"/>
      <c r="W57" s="1186">
        <v>4</v>
      </c>
      <c r="X57" s="1186">
        <v>2</v>
      </c>
      <c r="Y57" s="1186">
        <v>2</v>
      </c>
      <c r="Z57" s="1186"/>
      <c r="AA57" s="1186">
        <v>4</v>
      </c>
      <c r="AB57" s="1186"/>
      <c r="AC57" s="1186"/>
      <c r="AD57" s="1186">
        <v>1</v>
      </c>
      <c r="AE57" s="1186">
        <v>2</v>
      </c>
      <c r="AF57" s="1186">
        <v>2</v>
      </c>
      <c r="AG57" s="1186"/>
    </row>
    <row r="58" spans="1:33" x14ac:dyDescent="0.2">
      <c r="A58" s="1186" t="s">
        <v>42</v>
      </c>
      <c r="B58" s="1186" t="s">
        <v>20</v>
      </c>
      <c r="C58" s="1186">
        <v>499</v>
      </c>
      <c r="D58" s="1186">
        <v>142</v>
      </c>
      <c r="E58" s="1186">
        <v>198</v>
      </c>
      <c r="F58" s="1186">
        <v>16</v>
      </c>
      <c r="G58" s="1186"/>
      <c r="H58" s="1186"/>
      <c r="I58" s="1186">
        <v>14</v>
      </c>
      <c r="J58" s="1186"/>
      <c r="K58" s="1186"/>
      <c r="L58" s="1186">
        <v>38</v>
      </c>
      <c r="M58" s="1186">
        <v>1</v>
      </c>
      <c r="N58" s="1186">
        <v>10</v>
      </c>
      <c r="O58" s="1186">
        <v>3</v>
      </c>
      <c r="P58" s="1186">
        <v>6</v>
      </c>
      <c r="Q58" s="1186">
        <v>4</v>
      </c>
      <c r="R58" s="1186">
        <v>7</v>
      </c>
      <c r="S58" s="1186">
        <v>9</v>
      </c>
      <c r="T58" s="1186">
        <v>18</v>
      </c>
      <c r="U58" s="1186">
        <v>5</v>
      </c>
      <c r="V58" s="1186">
        <v>3</v>
      </c>
      <c r="W58" s="1186">
        <v>10</v>
      </c>
      <c r="X58" s="1186">
        <v>1</v>
      </c>
      <c r="Y58" s="1186">
        <v>2</v>
      </c>
      <c r="Z58" s="1186"/>
      <c r="AA58" s="1186">
        <v>1</v>
      </c>
      <c r="AB58" s="1186">
        <v>8</v>
      </c>
      <c r="AC58" s="1186"/>
      <c r="AD58" s="1186"/>
      <c r="AE58" s="1186">
        <v>2</v>
      </c>
      <c r="AF58" s="1186">
        <v>1</v>
      </c>
      <c r="AG58" s="1186"/>
    </row>
    <row r="59" spans="1:33" x14ac:dyDescent="0.2">
      <c r="A59" s="1186" t="s">
        <v>43</v>
      </c>
      <c r="B59" s="1186" t="s">
        <v>20</v>
      </c>
      <c r="C59" s="1186">
        <v>17</v>
      </c>
      <c r="D59" s="1186">
        <v>7</v>
      </c>
      <c r="E59" s="1186">
        <v>2</v>
      </c>
      <c r="F59" s="1186"/>
      <c r="G59" s="1186"/>
      <c r="H59" s="1186"/>
      <c r="I59" s="1186"/>
      <c r="J59" s="1186"/>
      <c r="K59" s="1186"/>
      <c r="L59" s="1186">
        <v>1</v>
      </c>
      <c r="M59" s="1186"/>
      <c r="N59" s="1186">
        <v>1</v>
      </c>
      <c r="O59" s="1186"/>
      <c r="P59" s="1186"/>
      <c r="Q59" s="1186"/>
      <c r="R59" s="1186"/>
      <c r="S59" s="1186">
        <v>1</v>
      </c>
      <c r="T59" s="1186">
        <v>1</v>
      </c>
      <c r="U59" s="1186"/>
      <c r="V59" s="1186"/>
      <c r="W59" s="1186">
        <v>1</v>
      </c>
      <c r="X59" s="1186">
        <v>1</v>
      </c>
      <c r="Y59" s="1186"/>
      <c r="Z59" s="1186">
        <v>1</v>
      </c>
      <c r="AA59" s="1186"/>
      <c r="AB59" s="1186">
        <v>1</v>
      </c>
      <c r="AC59" s="1186"/>
      <c r="AD59" s="1186"/>
      <c r="AE59" s="1186"/>
      <c r="AF59" s="1186"/>
      <c r="AG59" s="1186"/>
    </row>
    <row r="60" spans="1:33" x14ac:dyDescent="0.2">
      <c r="A60" s="1186" t="s">
        <v>44</v>
      </c>
      <c r="B60" s="1186" t="s">
        <v>20</v>
      </c>
      <c r="C60" s="1186">
        <v>207</v>
      </c>
      <c r="D60" s="1186">
        <v>50</v>
      </c>
      <c r="E60" s="1186">
        <v>53</v>
      </c>
      <c r="F60" s="1186">
        <v>20</v>
      </c>
      <c r="G60" s="1186">
        <v>3</v>
      </c>
      <c r="H60" s="1186"/>
      <c r="I60" s="1186">
        <v>9</v>
      </c>
      <c r="J60" s="1186"/>
      <c r="K60" s="1186">
        <v>3</v>
      </c>
      <c r="L60" s="1186">
        <v>2</v>
      </c>
      <c r="M60" s="1186">
        <v>9</v>
      </c>
      <c r="N60" s="1186">
        <v>9</v>
      </c>
      <c r="O60" s="1186"/>
      <c r="P60" s="1186">
        <v>3</v>
      </c>
      <c r="Q60" s="1186">
        <v>10</v>
      </c>
      <c r="R60" s="1186">
        <v>4</v>
      </c>
      <c r="S60" s="1186">
        <v>1</v>
      </c>
      <c r="T60" s="1186">
        <v>4</v>
      </c>
      <c r="U60" s="1186">
        <v>2</v>
      </c>
      <c r="V60" s="1186">
        <v>4</v>
      </c>
      <c r="W60" s="1186">
        <v>2</v>
      </c>
      <c r="X60" s="1186">
        <v>9</v>
      </c>
      <c r="Y60" s="1186"/>
      <c r="Z60" s="1186"/>
      <c r="AA60" s="1186">
        <v>2</v>
      </c>
      <c r="AB60" s="1186">
        <v>5</v>
      </c>
      <c r="AC60" s="1186"/>
      <c r="AD60" s="1186"/>
      <c r="AE60" s="1186">
        <v>2</v>
      </c>
      <c r="AF60" s="1186">
        <v>1</v>
      </c>
      <c r="AG60" s="1186"/>
    </row>
    <row r="61" spans="1:33" x14ac:dyDescent="0.2">
      <c r="A61" s="1186" t="s">
        <v>45</v>
      </c>
      <c r="B61" s="1186" t="s">
        <v>20</v>
      </c>
      <c r="C61" s="1186">
        <v>344</v>
      </c>
      <c r="D61" s="1186">
        <v>62</v>
      </c>
      <c r="E61" s="1186">
        <v>92</v>
      </c>
      <c r="F61" s="1186">
        <v>75</v>
      </c>
      <c r="G61" s="1186">
        <v>2</v>
      </c>
      <c r="H61" s="1186"/>
      <c r="I61" s="1186">
        <v>13</v>
      </c>
      <c r="J61" s="1186">
        <v>2</v>
      </c>
      <c r="K61" s="1186"/>
      <c r="L61" s="1186">
        <v>16</v>
      </c>
      <c r="M61" s="1186"/>
      <c r="N61" s="1186">
        <v>13</v>
      </c>
      <c r="O61" s="1186">
        <v>2</v>
      </c>
      <c r="P61" s="1186">
        <v>6</v>
      </c>
      <c r="Q61" s="1186">
        <v>1</v>
      </c>
      <c r="R61" s="1186">
        <v>8</v>
      </c>
      <c r="S61" s="1186">
        <v>6</v>
      </c>
      <c r="T61" s="1186">
        <v>12</v>
      </c>
      <c r="U61" s="1186">
        <v>4</v>
      </c>
      <c r="V61" s="1186">
        <v>2</v>
      </c>
      <c r="W61" s="1186">
        <v>4</v>
      </c>
      <c r="X61" s="1186">
        <v>2</v>
      </c>
      <c r="Y61" s="1186">
        <v>3</v>
      </c>
      <c r="Z61" s="1186"/>
      <c r="AA61" s="1186"/>
      <c r="AB61" s="1186">
        <v>4</v>
      </c>
      <c r="AC61" s="1186">
        <v>6</v>
      </c>
      <c r="AD61" s="1186"/>
      <c r="AE61" s="1186">
        <v>7</v>
      </c>
      <c r="AF61" s="1186">
        <v>2</v>
      </c>
      <c r="AG61" s="1186"/>
    </row>
    <row r="62" spans="1:33" x14ac:dyDescent="0.2">
      <c r="A62" s="1186" t="s">
        <v>46</v>
      </c>
      <c r="B62" s="1186" t="s">
        <v>20</v>
      </c>
      <c r="C62" s="1186">
        <v>162</v>
      </c>
      <c r="D62" s="1186">
        <v>53</v>
      </c>
      <c r="E62" s="1186">
        <v>54</v>
      </c>
      <c r="F62" s="1186"/>
      <c r="G62" s="1186">
        <v>1</v>
      </c>
      <c r="H62" s="1186"/>
      <c r="I62" s="1186">
        <v>4</v>
      </c>
      <c r="J62" s="1186">
        <v>1</v>
      </c>
      <c r="K62" s="1186"/>
      <c r="L62" s="1186">
        <v>5</v>
      </c>
      <c r="M62" s="1186">
        <v>4</v>
      </c>
      <c r="N62" s="1186">
        <v>5</v>
      </c>
      <c r="O62" s="1186"/>
      <c r="P62" s="1186">
        <v>2</v>
      </c>
      <c r="Q62" s="1186">
        <v>1</v>
      </c>
      <c r="R62" s="1186">
        <v>1</v>
      </c>
      <c r="S62" s="1186">
        <v>4</v>
      </c>
      <c r="T62" s="1186">
        <v>7</v>
      </c>
      <c r="U62" s="1186">
        <v>4</v>
      </c>
      <c r="V62" s="1186">
        <v>1</v>
      </c>
      <c r="W62" s="1186">
        <v>6</v>
      </c>
      <c r="X62" s="1186">
        <v>3</v>
      </c>
      <c r="Y62" s="1186"/>
      <c r="Z62" s="1186"/>
      <c r="AA62" s="1186">
        <v>2</v>
      </c>
      <c r="AB62" s="1186">
        <v>1</v>
      </c>
      <c r="AC62" s="1186"/>
      <c r="AD62" s="1186"/>
      <c r="AE62" s="1186">
        <v>2</v>
      </c>
      <c r="AF62" s="1186">
        <v>1</v>
      </c>
      <c r="AG62" s="1186"/>
    </row>
    <row r="63" spans="1:33" x14ac:dyDescent="0.2">
      <c r="A63" s="1186" t="s">
        <v>47</v>
      </c>
      <c r="B63" s="1186" t="s">
        <v>20</v>
      </c>
      <c r="C63" s="1186">
        <v>12</v>
      </c>
      <c r="D63" s="1186">
        <v>8</v>
      </c>
      <c r="E63" s="1186">
        <v>2</v>
      </c>
      <c r="F63" s="1186"/>
      <c r="G63" s="1186"/>
      <c r="H63" s="1186"/>
      <c r="I63" s="1186"/>
      <c r="J63" s="1186"/>
      <c r="K63" s="1186"/>
      <c r="L63" s="1186"/>
      <c r="M63" s="1186"/>
      <c r="N63" s="1186">
        <v>1</v>
      </c>
      <c r="O63" s="1186"/>
      <c r="P63" s="1186"/>
      <c r="Q63" s="1186"/>
      <c r="R63" s="1186"/>
      <c r="S63" s="1186"/>
      <c r="T63" s="1186">
        <v>1</v>
      </c>
      <c r="U63" s="1186"/>
      <c r="V63" s="1186"/>
      <c r="W63" s="1186"/>
      <c r="X63" s="1186"/>
      <c r="Y63" s="1186"/>
      <c r="Z63" s="1186"/>
      <c r="AA63" s="1186"/>
      <c r="AB63" s="1186"/>
      <c r="AC63" s="1186"/>
      <c r="AD63" s="1186"/>
      <c r="AE63" s="1186"/>
      <c r="AF63" s="1186"/>
      <c r="AG63" s="1186"/>
    </row>
    <row r="64" spans="1:33" x14ac:dyDescent="0.2">
      <c r="A64" s="1186" t="s">
        <v>48</v>
      </c>
      <c r="B64" s="1186" t="s">
        <v>20</v>
      </c>
      <c r="C64" s="1186">
        <v>166</v>
      </c>
      <c r="D64" s="1186">
        <v>52</v>
      </c>
      <c r="E64" s="1186">
        <v>44</v>
      </c>
      <c r="F64" s="1186">
        <v>7</v>
      </c>
      <c r="G64" s="1186"/>
      <c r="H64" s="1186"/>
      <c r="I64" s="1186">
        <v>4</v>
      </c>
      <c r="J64" s="1186"/>
      <c r="K64" s="1186"/>
      <c r="L64" s="1186">
        <v>10</v>
      </c>
      <c r="M64" s="1186">
        <v>3</v>
      </c>
      <c r="N64" s="1186">
        <v>6</v>
      </c>
      <c r="O64" s="1186">
        <v>1</v>
      </c>
      <c r="P64" s="1186">
        <v>3</v>
      </c>
      <c r="Q64" s="1186">
        <v>2</v>
      </c>
      <c r="R64" s="1186">
        <v>5</v>
      </c>
      <c r="S64" s="1186">
        <v>4</v>
      </c>
      <c r="T64" s="1186">
        <v>6</v>
      </c>
      <c r="U64" s="1186">
        <v>4</v>
      </c>
      <c r="V64" s="1186">
        <v>3</v>
      </c>
      <c r="W64" s="1186">
        <v>3</v>
      </c>
      <c r="X64" s="1186">
        <v>1</v>
      </c>
      <c r="Y64" s="1186"/>
      <c r="Z64" s="1186">
        <v>1</v>
      </c>
      <c r="AA64" s="1186">
        <v>1</v>
      </c>
      <c r="AB64" s="1186">
        <v>6</v>
      </c>
      <c r="AC64" s="1186"/>
      <c r="AD64" s="1186"/>
      <c r="AE64" s="1186"/>
      <c r="AF64" s="1186"/>
      <c r="AG64" s="1186"/>
    </row>
    <row r="65" spans="1:33" x14ac:dyDescent="0.2">
      <c r="A65" s="1186" t="s">
        <v>49</v>
      </c>
      <c r="B65" s="1186" t="s">
        <v>20</v>
      </c>
      <c r="C65" s="1186">
        <v>481</v>
      </c>
      <c r="D65" s="1186">
        <v>141</v>
      </c>
      <c r="E65" s="1186">
        <v>139</v>
      </c>
      <c r="F65" s="1186">
        <v>16</v>
      </c>
      <c r="G65" s="1186"/>
      <c r="H65" s="1186"/>
      <c r="I65" s="1186">
        <v>19</v>
      </c>
      <c r="J65" s="1186">
        <v>1</v>
      </c>
      <c r="K65" s="1186"/>
      <c r="L65" s="1186">
        <v>46</v>
      </c>
      <c r="M65" s="1186">
        <v>6</v>
      </c>
      <c r="N65" s="1186">
        <v>22</v>
      </c>
      <c r="O65" s="1186">
        <v>3</v>
      </c>
      <c r="P65" s="1186">
        <v>8</v>
      </c>
      <c r="Q65" s="1186">
        <v>4</v>
      </c>
      <c r="R65" s="1186">
        <v>8</v>
      </c>
      <c r="S65" s="1186">
        <v>7</v>
      </c>
      <c r="T65" s="1186">
        <v>16</v>
      </c>
      <c r="U65" s="1186">
        <v>3</v>
      </c>
      <c r="V65" s="1186">
        <v>4</v>
      </c>
      <c r="W65" s="1186">
        <v>11</v>
      </c>
      <c r="X65" s="1186">
        <v>4</v>
      </c>
      <c r="Y65" s="1186">
        <v>1</v>
      </c>
      <c r="Z65" s="1186"/>
      <c r="AA65" s="1186">
        <v>1</v>
      </c>
      <c r="AB65" s="1186">
        <v>8</v>
      </c>
      <c r="AC65" s="1186">
        <v>1</v>
      </c>
      <c r="AD65" s="1186"/>
      <c r="AE65" s="1186">
        <v>11</v>
      </c>
      <c r="AF65" s="1186">
        <v>1</v>
      </c>
      <c r="AG65" s="1186"/>
    </row>
    <row r="66" spans="1:33" x14ac:dyDescent="0.2">
      <c r="A66" s="1186" t="s">
        <v>50</v>
      </c>
      <c r="B66" s="1186" t="s">
        <v>20</v>
      </c>
      <c r="C66" s="1186">
        <v>136</v>
      </c>
      <c r="D66" s="1186">
        <v>32</v>
      </c>
      <c r="E66" s="1186">
        <v>31</v>
      </c>
      <c r="F66" s="1186">
        <v>4</v>
      </c>
      <c r="G66" s="1186">
        <v>2</v>
      </c>
      <c r="H66" s="1186"/>
      <c r="I66" s="1186">
        <v>6</v>
      </c>
      <c r="J66" s="1186"/>
      <c r="K66" s="1186"/>
      <c r="L66" s="1186">
        <v>4</v>
      </c>
      <c r="M66" s="1186"/>
      <c r="N66" s="1186">
        <v>5</v>
      </c>
      <c r="O66" s="1186"/>
      <c r="P66" s="1186">
        <v>2</v>
      </c>
      <c r="Q66" s="1186">
        <v>13</v>
      </c>
      <c r="R66" s="1186">
        <v>2</v>
      </c>
      <c r="S66" s="1186">
        <v>3</v>
      </c>
      <c r="T66" s="1186">
        <v>9</v>
      </c>
      <c r="U66" s="1186">
        <v>5</v>
      </c>
      <c r="V66" s="1186">
        <v>1</v>
      </c>
      <c r="W66" s="1186">
        <v>2</v>
      </c>
      <c r="X66" s="1186">
        <v>3</v>
      </c>
      <c r="Y66" s="1186"/>
      <c r="Z66" s="1186">
        <v>1</v>
      </c>
      <c r="AA66" s="1186"/>
      <c r="AB66" s="1186">
        <v>3</v>
      </c>
      <c r="AC66" s="1186">
        <v>3</v>
      </c>
      <c r="AD66" s="1186">
        <v>1</v>
      </c>
      <c r="AE66" s="1186">
        <v>2</v>
      </c>
      <c r="AF66" s="1186">
        <v>2</v>
      </c>
      <c r="AG66" s="1186"/>
    </row>
    <row r="67" spans="1:33" x14ac:dyDescent="0.2">
      <c r="A67" s="1186" t="s">
        <v>51</v>
      </c>
      <c r="B67" s="1186" t="s">
        <v>20</v>
      </c>
      <c r="C67" s="1186">
        <v>196</v>
      </c>
      <c r="D67" s="1186">
        <v>28</v>
      </c>
      <c r="E67" s="1186">
        <v>99</v>
      </c>
      <c r="F67" s="1186">
        <v>18</v>
      </c>
      <c r="G67" s="1186"/>
      <c r="H67" s="1186"/>
      <c r="I67" s="1186">
        <v>5</v>
      </c>
      <c r="J67" s="1186">
        <v>1</v>
      </c>
      <c r="K67" s="1186"/>
      <c r="L67" s="1186">
        <v>7</v>
      </c>
      <c r="M67" s="1186"/>
      <c r="N67" s="1186">
        <v>8</v>
      </c>
      <c r="O67" s="1186">
        <v>2</v>
      </c>
      <c r="P67" s="1186">
        <v>3</v>
      </c>
      <c r="Q67" s="1186"/>
      <c r="R67" s="1186">
        <v>1</v>
      </c>
      <c r="S67" s="1186"/>
      <c r="T67" s="1186">
        <v>5</v>
      </c>
      <c r="U67" s="1186">
        <v>6</v>
      </c>
      <c r="V67" s="1186">
        <v>3</v>
      </c>
      <c r="W67" s="1186">
        <v>1</v>
      </c>
      <c r="X67" s="1186">
        <v>2</v>
      </c>
      <c r="Y67" s="1186"/>
      <c r="Z67" s="1186"/>
      <c r="AA67" s="1186"/>
      <c r="AB67" s="1186">
        <v>7</v>
      </c>
      <c r="AC67" s="1186"/>
      <c r="AD67" s="1186"/>
      <c r="AE67" s="1186"/>
      <c r="AF67" s="1186"/>
      <c r="AG67" s="1186"/>
    </row>
    <row r="68" spans="1:33" x14ac:dyDescent="0.2">
      <c r="A68" s="1186" t="s">
        <v>52</v>
      </c>
      <c r="B68" s="1186" t="s">
        <v>20</v>
      </c>
      <c r="C68" s="1186">
        <v>311</v>
      </c>
      <c r="D68" s="1186">
        <v>138</v>
      </c>
      <c r="E68" s="1186">
        <v>56</v>
      </c>
      <c r="F68" s="1186">
        <v>1</v>
      </c>
      <c r="G68" s="1186">
        <v>1</v>
      </c>
      <c r="H68" s="1186"/>
      <c r="I68" s="1186">
        <v>15</v>
      </c>
      <c r="J68" s="1186">
        <v>1</v>
      </c>
      <c r="K68" s="1186">
        <v>1</v>
      </c>
      <c r="L68" s="1186">
        <v>16</v>
      </c>
      <c r="M68" s="1186"/>
      <c r="N68" s="1186">
        <v>15</v>
      </c>
      <c r="O68" s="1186">
        <v>5</v>
      </c>
      <c r="P68" s="1186">
        <v>5</v>
      </c>
      <c r="Q68" s="1186">
        <v>10</v>
      </c>
      <c r="R68" s="1186">
        <v>3</v>
      </c>
      <c r="S68" s="1186">
        <v>9</v>
      </c>
      <c r="T68" s="1186">
        <v>4</v>
      </c>
      <c r="U68" s="1186">
        <v>10</v>
      </c>
      <c r="V68" s="1186">
        <v>7</v>
      </c>
      <c r="W68" s="1186">
        <v>4</v>
      </c>
      <c r="X68" s="1186">
        <v>5</v>
      </c>
      <c r="Y68" s="1186"/>
      <c r="Z68" s="1186"/>
      <c r="AA68" s="1186"/>
      <c r="AB68" s="1186">
        <v>3</v>
      </c>
      <c r="AC68" s="1186"/>
      <c r="AD68" s="1186"/>
      <c r="AE68" s="1186">
        <v>2</v>
      </c>
      <c r="AF68" s="1186"/>
      <c r="AG68" s="1186"/>
    </row>
    <row r="69" spans="1:33" x14ac:dyDescent="0.2">
      <c r="A69" s="1186" t="s">
        <v>23</v>
      </c>
      <c r="B69" s="1186" t="s">
        <v>13</v>
      </c>
      <c r="C69" s="1186">
        <v>530</v>
      </c>
      <c r="D69" s="1186">
        <v>62</v>
      </c>
      <c r="E69" s="1186">
        <v>227</v>
      </c>
      <c r="F69" s="1186">
        <v>53</v>
      </c>
      <c r="G69" s="1186">
        <v>2</v>
      </c>
      <c r="H69" s="1186"/>
      <c r="I69" s="1186">
        <v>30</v>
      </c>
      <c r="J69" s="1186">
        <v>1</v>
      </c>
      <c r="K69" s="1186"/>
      <c r="L69" s="1186">
        <v>21</v>
      </c>
      <c r="M69" s="1186">
        <v>2</v>
      </c>
      <c r="N69" s="1186">
        <v>9</v>
      </c>
      <c r="O69" s="1186">
        <v>1</v>
      </c>
      <c r="P69" s="1186">
        <v>10</v>
      </c>
      <c r="Q69" s="1186">
        <v>7</v>
      </c>
      <c r="R69" s="1186">
        <v>4</v>
      </c>
      <c r="S69" s="1186">
        <v>6</v>
      </c>
      <c r="T69" s="1186">
        <v>19</v>
      </c>
      <c r="U69" s="1186">
        <v>15</v>
      </c>
      <c r="V69" s="1186">
        <v>14</v>
      </c>
      <c r="W69" s="1186">
        <v>13</v>
      </c>
      <c r="X69" s="1186">
        <v>4</v>
      </c>
      <c r="Y69" s="1186">
        <v>2</v>
      </c>
      <c r="Z69" s="1186"/>
      <c r="AA69" s="1186">
        <v>1</v>
      </c>
      <c r="AB69" s="1186">
        <v>7</v>
      </c>
      <c r="AC69" s="1186">
        <v>17</v>
      </c>
      <c r="AD69" s="1186"/>
      <c r="AE69" s="1186"/>
      <c r="AF69" s="1186"/>
      <c r="AG69" s="1186">
        <v>3</v>
      </c>
    </row>
    <row r="70" spans="1:33" x14ac:dyDescent="0.2">
      <c r="A70" s="1186" t="s">
        <v>24</v>
      </c>
      <c r="B70" s="1186" t="s">
        <v>13</v>
      </c>
      <c r="C70" s="1186">
        <v>300</v>
      </c>
      <c r="D70" s="1186">
        <v>101</v>
      </c>
      <c r="E70" s="1186">
        <v>36</v>
      </c>
      <c r="F70" s="1186">
        <v>5</v>
      </c>
      <c r="G70" s="1186">
        <v>1</v>
      </c>
      <c r="H70" s="1186"/>
      <c r="I70" s="1186">
        <v>62</v>
      </c>
      <c r="J70" s="1186"/>
      <c r="K70" s="1186">
        <v>2</v>
      </c>
      <c r="L70" s="1186">
        <v>21</v>
      </c>
      <c r="M70" s="1186">
        <v>11</v>
      </c>
      <c r="N70" s="1186">
        <v>18</v>
      </c>
      <c r="O70" s="1186">
        <v>2</v>
      </c>
      <c r="P70" s="1186">
        <v>1</v>
      </c>
      <c r="Q70" s="1186">
        <v>2</v>
      </c>
      <c r="R70" s="1186">
        <v>3</v>
      </c>
      <c r="S70" s="1186">
        <v>4</v>
      </c>
      <c r="T70" s="1186">
        <v>7</v>
      </c>
      <c r="U70" s="1186">
        <v>4</v>
      </c>
      <c r="V70" s="1186">
        <v>2</v>
      </c>
      <c r="W70" s="1186">
        <v>8</v>
      </c>
      <c r="X70" s="1186">
        <v>5</v>
      </c>
      <c r="Y70" s="1186"/>
      <c r="Z70" s="1186"/>
      <c r="AA70" s="1186"/>
      <c r="AB70" s="1186">
        <v>4</v>
      </c>
      <c r="AC70" s="1186">
        <v>1</v>
      </c>
      <c r="AD70" s="1186"/>
      <c r="AE70" s="1186"/>
      <c r="AF70" s="1186"/>
      <c r="AG70" s="1186"/>
    </row>
    <row r="71" spans="1:33" x14ac:dyDescent="0.2">
      <c r="A71" s="1186" t="s">
        <v>25</v>
      </c>
      <c r="B71" s="1186" t="s">
        <v>13</v>
      </c>
      <c r="C71" s="1186">
        <v>133</v>
      </c>
      <c r="D71" s="1186">
        <v>45</v>
      </c>
      <c r="E71" s="1186">
        <v>37</v>
      </c>
      <c r="F71" s="1186">
        <v>3</v>
      </c>
      <c r="G71" s="1186"/>
      <c r="H71" s="1186">
        <v>3</v>
      </c>
      <c r="I71" s="1186">
        <v>13</v>
      </c>
      <c r="J71" s="1186"/>
      <c r="K71" s="1186"/>
      <c r="L71" s="1186">
        <v>10</v>
      </c>
      <c r="M71" s="1186">
        <v>1</v>
      </c>
      <c r="N71" s="1186">
        <v>3</v>
      </c>
      <c r="O71" s="1186"/>
      <c r="P71" s="1186">
        <v>1</v>
      </c>
      <c r="Q71" s="1186">
        <v>3</v>
      </c>
      <c r="R71" s="1186"/>
      <c r="S71" s="1186">
        <v>2</v>
      </c>
      <c r="T71" s="1186">
        <v>2</v>
      </c>
      <c r="U71" s="1186"/>
      <c r="V71" s="1186"/>
      <c r="W71" s="1186"/>
      <c r="X71" s="1186">
        <v>1</v>
      </c>
      <c r="Y71" s="1186"/>
      <c r="Z71" s="1186"/>
      <c r="AA71" s="1186">
        <v>1</v>
      </c>
      <c r="AB71" s="1186">
        <v>3</v>
      </c>
      <c r="AC71" s="1186"/>
      <c r="AD71" s="1186">
        <v>1</v>
      </c>
      <c r="AE71" s="1186">
        <v>3</v>
      </c>
      <c r="AF71" s="1186">
        <v>1</v>
      </c>
      <c r="AG71" s="1186"/>
    </row>
    <row r="72" spans="1:33" x14ac:dyDescent="0.2">
      <c r="A72" s="1186" t="s">
        <v>26</v>
      </c>
      <c r="B72" s="1186" t="s">
        <v>13</v>
      </c>
      <c r="C72" s="1186">
        <v>148</v>
      </c>
      <c r="D72" s="1186">
        <v>43</v>
      </c>
      <c r="E72" s="1186">
        <v>23</v>
      </c>
      <c r="F72" s="1186">
        <v>8</v>
      </c>
      <c r="G72" s="1186">
        <v>1</v>
      </c>
      <c r="H72" s="1186"/>
      <c r="I72" s="1186">
        <v>17</v>
      </c>
      <c r="J72" s="1186"/>
      <c r="K72" s="1186"/>
      <c r="L72" s="1186">
        <v>3</v>
      </c>
      <c r="M72" s="1186">
        <v>1</v>
      </c>
      <c r="N72" s="1186">
        <v>4</v>
      </c>
      <c r="O72" s="1186">
        <v>1</v>
      </c>
      <c r="P72" s="1186">
        <v>3</v>
      </c>
      <c r="Q72" s="1186"/>
      <c r="R72" s="1186"/>
      <c r="S72" s="1186">
        <v>8</v>
      </c>
      <c r="T72" s="1186">
        <v>1</v>
      </c>
      <c r="U72" s="1186">
        <v>4</v>
      </c>
      <c r="V72" s="1186">
        <v>4</v>
      </c>
      <c r="W72" s="1186">
        <v>8</v>
      </c>
      <c r="X72" s="1186">
        <v>6</v>
      </c>
      <c r="Y72" s="1186">
        <v>2</v>
      </c>
      <c r="Z72" s="1186">
        <v>1</v>
      </c>
      <c r="AA72" s="1186">
        <v>2</v>
      </c>
      <c r="AB72" s="1186">
        <v>2</v>
      </c>
      <c r="AC72" s="1186"/>
      <c r="AD72" s="1186">
        <v>1</v>
      </c>
      <c r="AE72" s="1186">
        <v>2</v>
      </c>
      <c r="AF72" s="1186">
        <v>3</v>
      </c>
      <c r="AG72" s="1186"/>
    </row>
    <row r="73" spans="1:33" x14ac:dyDescent="0.2">
      <c r="A73" s="1186" t="s">
        <v>619</v>
      </c>
      <c r="B73" s="1186" t="s">
        <v>13</v>
      </c>
      <c r="C73" s="1186">
        <v>1062</v>
      </c>
      <c r="D73" s="1186">
        <v>122</v>
      </c>
      <c r="E73" s="1186">
        <v>426</v>
      </c>
      <c r="F73" s="1186">
        <v>121</v>
      </c>
      <c r="G73" s="1186">
        <v>2</v>
      </c>
      <c r="H73" s="1186">
        <v>3</v>
      </c>
      <c r="I73" s="1186">
        <v>63</v>
      </c>
      <c r="J73" s="1186">
        <v>1</v>
      </c>
      <c r="K73" s="1186">
        <v>8</v>
      </c>
      <c r="L73" s="1186">
        <v>27</v>
      </c>
      <c r="M73" s="1186">
        <v>2</v>
      </c>
      <c r="N73" s="1186">
        <v>13</v>
      </c>
      <c r="O73" s="1186">
        <v>3</v>
      </c>
      <c r="P73" s="1186">
        <v>26</v>
      </c>
      <c r="Q73" s="1186">
        <v>10</v>
      </c>
      <c r="R73" s="1186">
        <v>25</v>
      </c>
      <c r="S73" s="1186">
        <v>32</v>
      </c>
      <c r="T73" s="1186">
        <v>37</v>
      </c>
      <c r="U73" s="1186">
        <v>19</v>
      </c>
      <c r="V73" s="1186">
        <v>24</v>
      </c>
      <c r="W73" s="1186">
        <v>21</v>
      </c>
      <c r="X73" s="1186">
        <v>9</v>
      </c>
      <c r="Y73" s="1186">
        <v>12</v>
      </c>
      <c r="Z73" s="1186"/>
      <c r="AA73" s="1186"/>
      <c r="AB73" s="1186">
        <v>12</v>
      </c>
      <c r="AC73" s="1186">
        <v>30</v>
      </c>
      <c r="AD73" s="1186">
        <v>3</v>
      </c>
      <c r="AE73" s="1186">
        <v>6</v>
      </c>
      <c r="AF73" s="1186">
        <v>3</v>
      </c>
      <c r="AG73" s="1186">
        <v>2</v>
      </c>
    </row>
    <row r="74" spans="1:33" x14ac:dyDescent="0.2">
      <c r="A74" s="1186" t="s">
        <v>27</v>
      </c>
      <c r="B74" s="1186" t="s">
        <v>13</v>
      </c>
      <c r="C74" s="1186">
        <v>74</v>
      </c>
      <c r="D74" s="1186">
        <v>28</v>
      </c>
      <c r="E74" s="1186">
        <v>25</v>
      </c>
      <c r="F74" s="1186">
        <v>1</v>
      </c>
      <c r="G74" s="1186"/>
      <c r="H74" s="1186"/>
      <c r="I74" s="1186">
        <v>3</v>
      </c>
      <c r="J74" s="1186">
        <v>1</v>
      </c>
      <c r="K74" s="1186"/>
      <c r="L74" s="1186">
        <v>7</v>
      </c>
      <c r="M74" s="1186"/>
      <c r="N74" s="1186">
        <v>2</v>
      </c>
      <c r="O74" s="1186"/>
      <c r="P74" s="1186">
        <v>1</v>
      </c>
      <c r="Q74" s="1186"/>
      <c r="R74" s="1186">
        <v>1</v>
      </c>
      <c r="S74" s="1186">
        <v>1</v>
      </c>
      <c r="T74" s="1186">
        <v>2</v>
      </c>
      <c r="U74" s="1186">
        <v>1</v>
      </c>
      <c r="V74" s="1186"/>
      <c r="W74" s="1186"/>
      <c r="X74" s="1186"/>
      <c r="Y74" s="1186"/>
      <c r="Z74" s="1186"/>
      <c r="AA74" s="1186"/>
      <c r="AB74" s="1186"/>
      <c r="AC74" s="1186"/>
      <c r="AD74" s="1186"/>
      <c r="AE74" s="1186">
        <v>1</v>
      </c>
      <c r="AF74" s="1186"/>
      <c r="AG74" s="1186"/>
    </row>
    <row r="75" spans="1:33" x14ac:dyDescent="0.2">
      <c r="A75" s="1186" t="s">
        <v>28</v>
      </c>
      <c r="B75" s="1186" t="s">
        <v>13</v>
      </c>
      <c r="C75" s="1186">
        <v>163</v>
      </c>
      <c r="D75" s="1186">
        <v>67</v>
      </c>
      <c r="E75" s="1186">
        <v>34</v>
      </c>
      <c r="F75" s="1186"/>
      <c r="G75" s="1186"/>
      <c r="H75" s="1186"/>
      <c r="I75" s="1186">
        <v>5</v>
      </c>
      <c r="J75" s="1186"/>
      <c r="K75" s="1186"/>
      <c r="L75" s="1186">
        <v>8</v>
      </c>
      <c r="M75" s="1186">
        <v>7</v>
      </c>
      <c r="N75" s="1186">
        <v>10</v>
      </c>
      <c r="O75" s="1186"/>
      <c r="P75" s="1186"/>
      <c r="Q75" s="1186">
        <v>2</v>
      </c>
      <c r="R75" s="1186">
        <v>2</v>
      </c>
      <c r="S75" s="1186">
        <v>1</v>
      </c>
      <c r="T75" s="1186">
        <v>2</v>
      </c>
      <c r="U75" s="1186">
        <v>5</v>
      </c>
      <c r="V75" s="1186">
        <v>2</v>
      </c>
      <c r="W75" s="1186">
        <v>10</v>
      </c>
      <c r="X75" s="1186">
        <v>4</v>
      </c>
      <c r="Y75" s="1186"/>
      <c r="Z75" s="1186"/>
      <c r="AA75" s="1186">
        <v>1</v>
      </c>
      <c r="AB75" s="1186">
        <v>1</v>
      </c>
      <c r="AC75" s="1186"/>
      <c r="AD75" s="1186">
        <v>1</v>
      </c>
      <c r="AE75" s="1186"/>
      <c r="AF75" s="1186"/>
      <c r="AG75" s="1186">
        <v>1</v>
      </c>
    </row>
    <row r="76" spans="1:33" x14ac:dyDescent="0.2">
      <c r="A76" s="1186" t="s">
        <v>29</v>
      </c>
      <c r="B76" s="1186" t="s">
        <v>13</v>
      </c>
      <c r="C76" s="1186">
        <v>361</v>
      </c>
      <c r="D76" s="1186">
        <v>43</v>
      </c>
      <c r="E76" s="1186">
        <v>149</v>
      </c>
      <c r="F76" s="1186">
        <v>52</v>
      </c>
      <c r="G76" s="1186">
        <v>5</v>
      </c>
      <c r="H76" s="1186"/>
      <c r="I76" s="1186">
        <v>25</v>
      </c>
      <c r="J76" s="1186"/>
      <c r="K76" s="1186">
        <v>2</v>
      </c>
      <c r="L76" s="1186">
        <v>7</v>
      </c>
      <c r="M76" s="1186"/>
      <c r="N76" s="1186">
        <v>14</v>
      </c>
      <c r="O76" s="1186"/>
      <c r="P76" s="1186">
        <v>5</v>
      </c>
      <c r="Q76" s="1186"/>
      <c r="R76" s="1186">
        <v>3</v>
      </c>
      <c r="S76" s="1186">
        <v>10</v>
      </c>
      <c r="T76" s="1186">
        <v>4</v>
      </c>
      <c r="U76" s="1186">
        <v>7</v>
      </c>
      <c r="V76" s="1186">
        <v>6</v>
      </c>
      <c r="W76" s="1186">
        <v>1</v>
      </c>
      <c r="X76" s="1186">
        <v>2</v>
      </c>
      <c r="Y76" s="1186">
        <v>3</v>
      </c>
      <c r="Z76" s="1186"/>
      <c r="AA76" s="1186"/>
      <c r="AB76" s="1186">
        <v>6</v>
      </c>
      <c r="AC76" s="1186">
        <v>9</v>
      </c>
      <c r="AD76" s="1186">
        <v>1</v>
      </c>
      <c r="AE76" s="1186">
        <v>6</v>
      </c>
      <c r="AF76" s="1186"/>
      <c r="AG76" s="1186">
        <v>1</v>
      </c>
    </row>
    <row r="77" spans="1:33" x14ac:dyDescent="0.2">
      <c r="A77" s="1186" t="s">
        <v>30</v>
      </c>
      <c r="B77" s="1186" t="s">
        <v>13</v>
      </c>
      <c r="C77" s="1186">
        <v>179</v>
      </c>
      <c r="D77" s="1186">
        <v>59</v>
      </c>
      <c r="E77" s="1186">
        <v>49</v>
      </c>
      <c r="F77" s="1186">
        <v>1</v>
      </c>
      <c r="G77" s="1186"/>
      <c r="H77" s="1186"/>
      <c r="I77" s="1186">
        <v>7</v>
      </c>
      <c r="J77" s="1186"/>
      <c r="K77" s="1186"/>
      <c r="L77" s="1186">
        <v>16</v>
      </c>
      <c r="M77" s="1186">
        <v>3</v>
      </c>
      <c r="N77" s="1186">
        <v>7</v>
      </c>
      <c r="O77" s="1186">
        <v>1</v>
      </c>
      <c r="P77" s="1186">
        <v>4</v>
      </c>
      <c r="Q77" s="1186">
        <v>6</v>
      </c>
      <c r="R77" s="1186">
        <v>5</v>
      </c>
      <c r="S77" s="1186"/>
      <c r="T77" s="1186">
        <v>4</v>
      </c>
      <c r="U77" s="1186">
        <v>5</v>
      </c>
      <c r="V77" s="1186">
        <v>1</v>
      </c>
      <c r="W77" s="1186">
        <v>2</v>
      </c>
      <c r="X77" s="1186"/>
      <c r="Y77" s="1186">
        <v>1</v>
      </c>
      <c r="Z77" s="1186"/>
      <c r="AA77" s="1186"/>
      <c r="AB77" s="1186">
        <v>3</v>
      </c>
      <c r="AC77" s="1186"/>
      <c r="AD77" s="1186">
        <v>1</v>
      </c>
      <c r="AE77" s="1186">
        <v>3</v>
      </c>
      <c r="AF77" s="1186">
        <v>1</v>
      </c>
      <c r="AG77" s="1186"/>
    </row>
    <row r="78" spans="1:33" x14ac:dyDescent="0.2">
      <c r="A78" s="1186" t="s">
        <v>31</v>
      </c>
      <c r="B78" s="1186" t="s">
        <v>13</v>
      </c>
      <c r="C78" s="1186">
        <v>96</v>
      </c>
      <c r="D78" s="1186">
        <v>35</v>
      </c>
      <c r="E78" s="1186">
        <v>13</v>
      </c>
      <c r="F78" s="1186">
        <v>5</v>
      </c>
      <c r="G78" s="1186"/>
      <c r="H78" s="1186"/>
      <c r="I78" s="1186">
        <v>12</v>
      </c>
      <c r="J78" s="1186"/>
      <c r="K78" s="1186"/>
      <c r="L78" s="1186">
        <v>4</v>
      </c>
      <c r="M78" s="1186">
        <v>3</v>
      </c>
      <c r="N78" s="1186">
        <v>4</v>
      </c>
      <c r="O78" s="1186"/>
      <c r="P78" s="1186">
        <v>5</v>
      </c>
      <c r="Q78" s="1186">
        <v>2</v>
      </c>
      <c r="R78" s="1186">
        <v>3</v>
      </c>
      <c r="S78" s="1186">
        <v>3</v>
      </c>
      <c r="T78" s="1186"/>
      <c r="U78" s="1186">
        <v>2</v>
      </c>
      <c r="V78" s="1186"/>
      <c r="W78" s="1186">
        <v>1</v>
      </c>
      <c r="X78" s="1186"/>
      <c r="Y78" s="1186"/>
      <c r="Z78" s="1186"/>
      <c r="AA78" s="1186"/>
      <c r="AB78" s="1186">
        <v>2</v>
      </c>
      <c r="AC78" s="1186"/>
      <c r="AD78" s="1186"/>
      <c r="AE78" s="1186">
        <v>2</v>
      </c>
      <c r="AF78" s="1186"/>
      <c r="AG78" s="1186"/>
    </row>
    <row r="79" spans="1:33" x14ac:dyDescent="0.2">
      <c r="A79" s="1186" t="s">
        <v>32</v>
      </c>
      <c r="B79" s="1186" t="s">
        <v>13</v>
      </c>
      <c r="C79" s="1186">
        <v>140</v>
      </c>
      <c r="D79" s="1186">
        <v>54</v>
      </c>
      <c r="E79" s="1186">
        <v>31</v>
      </c>
      <c r="F79" s="1186">
        <v>4</v>
      </c>
      <c r="G79" s="1186"/>
      <c r="H79" s="1186"/>
      <c r="I79" s="1186">
        <v>5</v>
      </c>
      <c r="J79" s="1186">
        <v>3</v>
      </c>
      <c r="K79" s="1186">
        <v>1</v>
      </c>
      <c r="L79" s="1186">
        <v>11</v>
      </c>
      <c r="M79" s="1186">
        <v>2</v>
      </c>
      <c r="N79" s="1186">
        <v>10</v>
      </c>
      <c r="O79" s="1186"/>
      <c r="P79" s="1186">
        <v>1</v>
      </c>
      <c r="Q79" s="1186">
        <v>2</v>
      </c>
      <c r="R79" s="1186">
        <v>3</v>
      </c>
      <c r="S79" s="1186">
        <v>2</v>
      </c>
      <c r="T79" s="1186">
        <v>4</v>
      </c>
      <c r="U79" s="1186">
        <v>2</v>
      </c>
      <c r="V79" s="1186"/>
      <c r="W79" s="1186">
        <v>1</v>
      </c>
      <c r="X79" s="1186"/>
      <c r="Y79" s="1186"/>
      <c r="Z79" s="1186"/>
      <c r="AA79" s="1186"/>
      <c r="AB79" s="1186">
        <v>1</v>
      </c>
      <c r="AC79" s="1186">
        <v>1</v>
      </c>
      <c r="AD79" s="1186">
        <v>1</v>
      </c>
      <c r="AE79" s="1186">
        <v>1</v>
      </c>
      <c r="AF79" s="1186"/>
      <c r="AG79" s="1186"/>
    </row>
    <row r="80" spans="1:33" x14ac:dyDescent="0.2">
      <c r="A80" s="1186" t="s">
        <v>33</v>
      </c>
      <c r="B80" s="1186" t="s">
        <v>13</v>
      </c>
      <c r="C80" s="1186">
        <v>98</v>
      </c>
      <c r="D80" s="1186">
        <v>31</v>
      </c>
      <c r="E80" s="1186">
        <v>25</v>
      </c>
      <c r="F80" s="1186">
        <v>3</v>
      </c>
      <c r="G80" s="1186"/>
      <c r="H80" s="1186"/>
      <c r="I80" s="1186">
        <v>9</v>
      </c>
      <c r="J80" s="1186"/>
      <c r="K80" s="1186"/>
      <c r="L80" s="1186">
        <v>3</v>
      </c>
      <c r="M80" s="1186"/>
      <c r="N80" s="1186">
        <v>4</v>
      </c>
      <c r="O80" s="1186">
        <v>1</v>
      </c>
      <c r="P80" s="1186">
        <v>1</v>
      </c>
      <c r="Q80" s="1186"/>
      <c r="R80" s="1186">
        <v>3</v>
      </c>
      <c r="S80" s="1186"/>
      <c r="T80" s="1186">
        <v>4</v>
      </c>
      <c r="U80" s="1186">
        <v>5</v>
      </c>
      <c r="V80" s="1186"/>
      <c r="W80" s="1186">
        <v>6</v>
      </c>
      <c r="X80" s="1186"/>
      <c r="Y80" s="1186">
        <v>1</v>
      </c>
      <c r="Z80" s="1186"/>
      <c r="AA80" s="1186"/>
      <c r="AB80" s="1186">
        <v>1</v>
      </c>
      <c r="AC80" s="1186"/>
      <c r="AD80" s="1186"/>
      <c r="AE80" s="1186">
        <v>1</v>
      </c>
      <c r="AF80" s="1186"/>
      <c r="AG80" s="1186"/>
    </row>
    <row r="81" spans="1:33" x14ac:dyDescent="0.2">
      <c r="A81" s="1186" t="s">
        <v>34</v>
      </c>
      <c r="B81" s="1186" t="s">
        <v>13</v>
      </c>
      <c r="C81" s="1186">
        <v>194</v>
      </c>
      <c r="D81" s="1186">
        <v>57</v>
      </c>
      <c r="E81" s="1186">
        <v>52</v>
      </c>
      <c r="F81" s="1186">
        <v>2</v>
      </c>
      <c r="G81" s="1186"/>
      <c r="H81" s="1186"/>
      <c r="I81" s="1186">
        <v>7</v>
      </c>
      <c r="J81" s="1186">
        <v>1</v>
      </c>
      <c r="K81" s="1186"/>
      <c r="L81" s="1186">
        <v>12</v>
      </c>
      <c r="M81" s="1186">
        <v>2</v>
      </c>
      <c r="N81" s="1186">
        <v>14</v>
      </c>
      <c r="O81" s="1186">
        <v>2</v>
      </c>
      <c r="P81" s="1186">
        <v>2</v>
      </c>
      <c r="Q81" s="1186">
        <v>8</v>
      </c>
      <c r="R81" s="1186">
        <v>4</v>
      </c>
      <c r="S81" s="1186">
        <v>3</v>
      </c>
      <c r="T81" s="1186">
        <v>8</v>
      </c>
      <c r="U81" s="1186">
        <v>7</v>
      </c>
      <c r="V81" s="1186">
        <v>1</v>
      </c>
      <c r="W81" s="1186">
        <v>3</v>
      </c>
      <c r="X81" s="1186"/>
      <c r="Y81" s="1186">
        <v>2</v>
      </c>
      <c r="Z81" s="1186"/>
      <c r="AA81" s="1186"/>
      <c r="AB81" s="1186">
        <v>3</v>
      </c>
      <c r="AC81" s="1186">
        <v>1</v>
      </c>
      <c r="AD81" s="1186"/>
      <c r="AE81" s="1186">
        <v>2</v>
      </c>
      <c r="AF81" s="1186">
        <v>1</v>
      </c>
      <c r="AG81" s="1186"/>
    </row>
    <row r="82" spans="1:33" x14ac:dyDescent="0.2">
      <c r="A82" s="1186" t="s">
        <v>35</v>
      </c>
      <c r="B82" s="1186" t="s">
        <v>13</v>
      </c>
      <c r="C82" s="1186">
        <v>436</v>
      </c>
      <c r="D82" s="1186">
        <v>132</v>
      </c>
      <c r="E82" s="1186">
        <v>157</v>
      </c>
      <c r="F82" s="1186">
        <v>1</v>
      </c>
      <c r="G82" s="1186">
        <v>2</v>
      </c>
      <c r="H82" s="1186"/>
      <c r="I82" s="1186">
        <v>10</v>
      </c>
      <c r="J82" s="1186"/>
      <c r="K82" s="1186">
        <v>1</v>
      </c>
      <c r="L82" s="1186">
        <v>34</v>
      </c>
      <c r="M82" s="1186">
        <v>6</v>
      </c>
      <c r="N82" s="1186">
        <v>25</v>
      </c>
      <c r="O82" s="1186">
        <v>2</v>
      </c>
      <c r="P82" s="1186">
        <v>3</v>
      </c>
      <c r="Q82" s="1186"/>
      <c r="R82" s="1186">
        <v>9</v>
      </c>
      <c r="S82" s="1186">
        <v>9</v>
      </c>
      <c r="T82" s="1186">
        <v>9</v>
      </c>
      <c r="U82" s="1186">
        <v>7</v>
      </c>
      <c r="V82" s="1186">
        <v>7</v>
      </c>
      <c r="W82" s="1186">
        <v>7</v>
      </c>
      <c r="X82" s="1186"/>
      <c r="Y82" s="1186"/>
      <c r="Z82" s="1186">
        <v>1</v>
      </c>
      <c r="AA82" s="1186"/>
      <c r="AB82" s="1186">
        <v>7</v>
      </c>
      <c r="AC82" s="1186">
        <v>3</v>
      </c>
      <c r="AD82" s="1186"/>
      <c r="AE82" s="1186">
        <v>4</v>
      </c>
      <c r="AF82" s="1186"/>
      <c r="AG82" s="1186"/>
    </row>
    <row r="83" spans="1:33" x14ac:dyDescent="0.2">
      <c r="A83" s="1186" t="s">
        <v>36</v>
      </c>
      <c r="B83" s="1186" t="s">
        <v>13</v>
      </c>
      <c r="C83" s="1186">
        <v>1724</v>
      </c>
      <c r="D83" s="1186">
        <v>122</v>
      </c>
      <c r="E83" s="1186">
        <v>689</v>
      </c>
      <c r="F83" s="1186">
        <v>346</v>
      </c>
      <c r="G83" s="1186">
        <v>1</v>
      </c>
      <c r="H83" s="1186">
        <v>1</v>
      </c>
      <c r="I83" s="1186">
        <v>53</v>
      </c>
      <c r="J83" s="1186">
        <v>1</v>
      </c>
      <c r="K83" s="1186"/>
      <c r="L83" s="1186">
        <v>30</v>
      </c>
      <c r="M83" s="1186">
        <v>1</v>
      </c>
      <c r="N83" s="1186">
        <v>28</v>
      </c>
      <c r="O83" s="1186">
        <v>3</v>
      </c>
      <c r="P83" s="1186">
        <v>30</v>
      </c>
      <c r="Q83" s="1186">
        <v>14</v>
      </c>
      <c r="R83" s="1186">
        <v>39</v>
      </c>
      <c r="S83" s="1186">
        <v>46</v>
      </c>
      <c r="T83" s="1186">
        <v>61</v>
      </c>
      <c r="U83" s="1186">
        <v>37</v>
      </c>
      <c r="V83" s="1186">
        <v>70</v>
      </c>
      <c r="W83" s="1186">
        <v>25</v>
      </c>
      <c r="X83" s="1186">
        <v>3</v>
      </c>
      <c r="Y83" s="1186">
        <v>14</v>
      </c>
      <c r="Z83" s="1186"/>
      <c r="AA83" s="1186">
        <v>2</v>
      </c>
      <c r="AB83" s="1186">
        <v>27</v>
      </c>
      <c r="AC83" s="1186">
        <v>58</v>
      </c>
      <c r="AD83" s="1186">
        <v>3</v>
      </c>
      <c r="AE83" s="1186">
        <v>15</v>
      </c>
      <c r="AF83" s="1186">
        <v>5</v>
      </c>
      <c r="AG83" s="1186"/>
    </row>
    <row r="84" spans="1:33" x14ac:dyDescent="0.2">
      <c r="A84" s="1186" t="s">
        <v>37</v>
      </c>
      <c r="B84" s="1186" t="s">
        <v>13</v>
      </c>
      <c r="C84" s="1186">
        <v>231</v>
      </c>
      <c r="D84" s="1186">
        <v>93</v>
      </c>
      <c r="E84" s="1186">
        <v>39</v>
      </c>
      <c r="F84" s="1186">
        <v>1</v>
      </c>
      <c r="G84" s="1186">
        <v>1</v>
      </c>
      <c r="H84" s="1186"/>
      <c r="I84" s="1186">
        <v>6</v>
      </c>
      <c r="J84" s="1186">
        <v>2</v>
      </c>
      <c r="K84" s="1186">
        <v>1</v>
      </c>
      <c r="L84" s="1186">
        <v>14</v>
      </c>
      <c r="M84" s="1186">
        <v>5</v>
      </c>
      <c r="N84" s="1186">
        <v>15</v>
      </c>
      <c r="O84" s="1186">
        <v>2</v>
      </c>
      <c r="P84" s="1186">
        <v>1</v>
      </c>
      <c r="Q84" s="1186">
        <v>2</v>
      </c>
      <c r="R84" s="1186">
        <v>3</v>
      </c>
      <c r="S84" s="1186">
        <v>6</v>
      </c>
      <c r="T84" s="1186">
        <v>14</v>
      </c>
      <c r="U84" s="1186"/>
      <c r="V84" s="1186">
        <v>1</v>
      </c>
      <c r="W84" s="1186">
        <v>8</v>
      </c>
      <c r="X84" s="1186">
        <v>7</v>
      </c>
      <c r="Y84" s="1186"/>
      <c r="Z84" s="1186"/>
      <c r="AA84" s="1186">
        <v>1</v>
      </c>
      <c r="AB84" s="1186">
        <v>3</v>
      </c>
      <c r="AC84" s="1186"/>
      <c r="AD84" s="1186"/>
      <c r="AE84" s="1186">
        <v>2</v>
      </c>
      <c r="AF84" s="1186">
        <v>2</v>
      </c>
      <c r="AG84" s="1186">
        <v>2</v>
      </c>
    </row>
    <row r="85" spans="1:33" x14ac:dyDescent="0.2">
      <c r="A85" s="1186" t="s">
        <v>38</v>
      </c>
      <c r="B85" s="1186" t="s">
        <v>13</v>
      </c>
      <c r="C85" s="1186">
        <v>151</v>
      </c>
      <c r="D85" s="1186">
        <v>18</v>
      </c>
      <c r="E85" s="1186">
        <v>43</v>
      </c>
      <c r="F85" s="1186">
        <v>39</v>
      </c>
      <c r="G85" s="1186"/>
      <c r="H85" s="1186"/>
      <c r="I85" s="1186">
        <v>8</v>
      </c>
      <c r="J85" s="1186"/>
      <c r="K85" s="1186"/>
      <c r="L85" s="1186">
        <v>14</v>
      </c>
      <c r="M85" s="1186"/>
      <c r="N85" s="1186">
        <v>4</v>
      </c>
      <c r="O85" s="1186">
        <v>1</v>
      </c>
      <c r="P85" s="1186">
        <v>1</v>
      </c>
      <c r="Q85" s="1186">
        <v>4</v>
      </c>
      <c r="R85" s="1186">
        <v>3</v>
      </c>
      <c r="S85" s="1186"/>
      <c r="T85" s="1186">
        <v>6</v>
      </c>
      <c r="U85" s="1186">
        <v>2</v>
      </c>
      <c r="V85" s="1186">
        <v>4</v>
      </c>
      <c r="W85" s="1186">
        <v>2</v>
      </c>
      <c r="X85" s="1186"/>
      <c r="Y85" s="1186"/>
      <c r="Z85" s="1186"/>
      <c r="AA85" s="1186"/>
      <c r="AB85" s="1186">
        <v>1</v>
      </c>
      <c r="AC85" s="1186"/>
      <c r="AD85" s="1186"/>
      <c r="AE85" s="1186">
        <v>1</v>
      </c>
      <c r="AF85" s="1186"/>
      <c r="AG85" s="1186"/>
    </row>
    <row r="86" spans="1:33" x14ac:dyDescent="0.2">
      <c r="A86" s="1186" t="s">
        <v>39</v>
      </c>
      <c r="B86" s="1186" t="s">
        <v>13</v>
      </c>
      <c r="C86" s="1186">
        <v>119</v>
      </c>
      <c r="D86" s="1186">
        <v>44</v>
      </c>
      <c r="E86" s="1186">
        <v>18</v>
      </c>
      <c r="F86" s="1186">
        <v>2</v>
      </c>
      <c r="G86" s="1186">
        <v>1</v>
      </c>
      <c r="H86" s="1186"/>
      <c r="I86" s="1186">
        <v>12</v>
      </c>
      <c r="J86" s="1186">
        <v>1</v>
      </c>
      <c r="K86" s="1186">
        <v>1</v>
      </c>
      <c r="L86" s="1186">
        <v>8</v>
      </c>
      <c r="M86" s="1186">
        <v>3</v>
      </c>
      <c r="N86" s="1186">
        <v>6</v>
      </c>
      <c r="O86" s="1186"/>
      <c r="P86" s="1186">
        <v>1</v>
      </c>
      <c r="Q86" s="1186">
        <v>1</v>
      </c>
      <c r="R86" s="1186">
        <v>3</v>
      </c>
      <c r="S86" s="1186">
        <v>2</v>
      </c>
      <c r="T86" s="1186">
        <v>2</v>
      </c>
      <c r="U86" s="1186">
        <v>5</v>
      </c>
      <c r="V86" s="1186">
        <v>1</v>
      </c>
      <c r="W86" s="1186">
        <v>1</v>
      </c>
      <c r="X86" s="1186">
        <v>1</v>
      </c>
      <c r="Y86" s="1186">
        <v>1</v>
      </c>
      <c r="Z86" s="1186"/>
      <c r="AA86" s="1186"/>
      <c r="AB86" s="1186">
        <v>3</v>
      </c>
      <c r="AC86" s="1186"/>
      <c r="AD86" s="1186">
        <v>1</v>
      </c>
      <c r="AE86" s="1186">
        <v>1</v>
      </c>
      <c r="AF86" s="1186"/>
      <c r="AG86" s="1186"/>
    </row>
    <row r="87" spans="1:33" x14ac:dyDescent="0.2">
      <c r="A87" s="1186" t="s">
        <v>40</v>
      </c>
      <c r="B87" s="1186" t="s">
        <v>13</v>
      </c>
      <c r="C87" s="1186">
        <v>110</v>
      </c>
      <c r="D87" s="1186">
        <v>38</v>
      </c>
      <c r="E87" s="1186">
        <v>20</v>
      </c>
      <c r="F87" s="1186"/>
      <c r="G87" s="1186">
        <v>1</v>
      </c>
      <c r="H87" s="1186"/>
      <c r="I87" s="1186">
        <v>12</v>
      </c>
      <c r="J87" s="1186">
        <v>2</v>
      </c>
      <c r="K87" s="1186">
        <v>2</v>
      </c>
      <c r="L87" s="1186">
        <v>6</v>
      </c>
      <c r="M87" s="1186">
        <v>3</v>
      </c>
      <c r="N87" s="1186">
        <v>7</v>
      </c>
      <c r="O87" s="1186"/>
      <c r="P87" s="1186"/>
      <c r="Q87" s="1186">
        <v>2</v>
      </c>
      <c r="R87" s="1186">
        <v>2</v>
      </c>
      <c r="S87" s="1186">
        <v>1</v>
      </c>
      <c r="T87" s="1186">
        <v>1</v>
      </c>
      <c r="U87" s="1186">
        <v>1</v>
      </c>
      <c r="V87" s="1186">
        <v>2</v>
      </c>
      <c r="W87" s="1186">
        <v>4</v>
      </c>
      <c r="X87" s="1186">
        <v>1</v>
      </c>
      <c r="Y87" s="1186"/>
      <c r="Z87" s="1186"/>
      <c r="AA87" s="1186">
        <v>1</v>
      </c>
      <c r="AB87" s="1186">
        <v>1</v>
      </c>
      <c r="AC87" s="1186">
        <v>2</v>
      </c>
      <c r="AD87" s="1186">
        <v>1</v>
      </c>
      <c r="AE87" s="1186"/>
      <c r="AF87" s="1186"/>
      <c r="AG87" s="1186"/>
    </row>
    <row r="88" spans="1:33" x14ac:dyDescent="0.2">
      <c r="A88" s="1186" t="s">
        <v>295</v>
      </c>
      <c r="B88" s="1186" t="s">
        <v>13</v>
      </c>
      <c r="C88" s="1186">
        <v>22</v>
      </c>
      <c r="D88" s="1186">
        <v>17</v>
      </c>
      <c r="E88" s="1186"/>
      <c r="F88" s="1186"/>
      <c r="G88" s="1186"/>
      <c r="H88" s="1186"/>
      <c r="I88" s="1186"/>
      <c r="J88" s="1186"/>
      <c r="K88" s="1186"/>
      <c r="L88" s="1186"/>
      <c r="M88" s="1186"/>
      <c r="N88" s="1186"/>
      <c r="O88" s="1186"/>
      <c r="P88" s="1186"/>
      <c r="Q88" s="1186"/>
      <c r="R88" s="1186"/>
      <c r="S88" s="1186"/>
      <c r="T88" s="1186">
        <v>1</v>
      </c>
      <c r="U88" s="1186"/>
      <c r="V88" s="1186"/>
      <c r="W88" s="1186">
        <v>1</v>
      </c>
      <c r="X88" s="1186">
        <v>1</v>
      </c>
      <c r="Y88" s="1186">
        <v>2</v>
      </c>
      <c r="Z88" s="1186"/>
      <c r="AA88" s="1186"/>
      <c r="AB88" s="1186"/>
      <c r="AC88" s="1186"/>
      <c r="AD88" s="1186"/>
      <c r="AE88" s="1186"/>
      <c r="AF88" s="1186"/>
      <c r="AG88" s="1186"/>
    </row>
    <row r="89" spans="1:33" x14ac:dyDescent="0.2">
      <c r="A89" s="1186" t="s">
        <v>41</v>
      </c>
      <c r="B89" s="1186" t="s">
        <v>13</v>
      </c>
      <c r="C89" s="1186">
        <v>210</v>
      </c>
      <c r="D89" s="1186">
        <v>70</v>
      </c>
      <c r="E89" s="1186">
        <v>48</v>
      </c>
      <c r="F89" s="1186">
        <v>5</v>
      </c>
      <c r="G89" s="1186"/>
      <c r="H89" s="1186"/>
      <c r="I89" s="1186">
        <v>19</v>
      </c>
      <c r="J89" s="1186"/>
      <c r="K89" s="1186"/>
      <c r="L89" s="1186">
        <v>21</v>
      </c>
      <c r="M89" s="1186">
        <v>3</v>
      </c>
      <c r="N89" s="1186">
        <v>8</v>
      </c>
      <c r="O89" s="1186"/>
      <c r="P89" s="1186"/>
      <c r="Q89" s="1186"/>
      <c r="R89" s="1186">
        <v>2</v>
      </c>
      <c r="S89" s="1186">
        <v>2</v>
      </c>
      <c r="T89" s="1186">
        <v>6</v>
      </c>
      <c r="U89" s="1186">
        <v>3</v>
      </c>
      <c r="V89" s="1186">
        <v>2</v>
      </c>
      <c r="W89" s="1186">
        <v>7</v>
      </c>
      <c r="X89" s="1186">
        <v>3</v>
      </c>
      <c r="Y89" s="1186"/>
      <c r="Z89" s="1186">
        <v>1</v>
      </c>
      <c r="AA89" s="1186">
        <v>1</v>
      </c>
      <c r="AB89" s="1186">
        <v>4</v>
      </c>
      <c r="AC89" s="1186"/>
      <c r="AD89" s="1186"/>
      <c r="AE89" s="1186">
        <v>3</v>
      </c>
      <c r="AF89" s="1186">
        <v>2</v>
      </c>
      <c r="AG89" s="1186"/>
    </row>
    <row r="90" spans="1:33" x14ac:dyDescent="0.2">
      <c r="A90" s="1186" t="s">
        <v>42</v>
      </c>
      <c r="B90" s="1186" t="s">
        <v>13</v>
      </c>
      <c r="C90" s="1186">
        <v>509</v>
      </c>
      <c r="D90" s="1186">
        <v>147</v>
      </c>
      <c r="E90" s="1186">
        <v>178</v>
      </c>
      <c r="F90" s="1186">
        <v>7</v>
      </c>
      <c r="G90" s="1186"/>
      <c r="H90" s="1186"/>
      <c r="I90" s="1186">
        <v>13</v>
      </c>
      <c r="J90" s="1186"/>
      <c r="K90" s="1186"/>
      <c r="L90" s="1186">
        <v>56</v>
      </c>
      <c r="M90" s="1186">
        <v>1</v>
      </c>
      <c r="N90" s="1186">
        <v>19</v>
      </c>
      <c r="O90" s="1186">
        <v>7</v>
      </c>
      <c r="P90" s="1186">
        <v>4</v>
      </c>
      <c r="Q90" s="1186">
        <v>3</v>
      </c>
      <c r="R90" s="1186">
        <v>15</v>
      </c>
      <c r="S90" s="1186">
        <v>10</v>
      </c>
      <c r="T90" s="1186">
        <v>10</v>
      </c>
      <c r="U90" s="1186">
        <v>9</v>
      </c>
      <c r="V90" s="1186">
        <v>3</v>
      </c>
      <c r="W90" s="1186">
        <v>12</v>
      </c>
      <c r="X90" s="1186">
        <v>1</v>
      </c>
      <c r="Y90" s="1186">
        <v>3</v>
      </c>
      <c r="Z90" s="1186"/>
      <c r="AA90" s="1186">
        <v>1</v>
      </c>
      <c r="AB90" s="1186">
        <v>7</v>
      </c>
      <c r="AC90" s="1186"/>
      <c r="AD90" s="1186">
        <v>1</v>
      </c>
      <c r="AE90" s="1186">
        <v>2</v>
      </c>
      <c r="AF90" s="1186"/>
      <c r="AG90" s="1186"/>
    </row>
    <row r="91" spans="1:33" x14ac:dyDescent="0.2">
      <c r="A91" s="1186" t="s">
        <v>43</v>
      </c>
      <c r="B91" s="1186" t="s">
        <v>13</v>
      </c>
      <c r="C91" s="1186">
        <v>17</v>
      </c>
      <c r="D91" s="1186">
        <v>7</v>
      </c>
      <c r="E91" s="1186">
        <v>3</v>
      </c>
      <c r="F91" s="1186"/>
      <c r="G91" s="1186"/>
      <c r="H91" s="1186"/>
      <c r="I91" s="1186"/>
      <c r="J91" s="1186">
        <v>2</v>
      </c>
      <c r="K91" s="1186"/>
      <c r="L91" s="1186"/>
      <c r="M91" s="1186">
        <v>2</v>
      </c>
      <c r="N91" s="1186">
        <v>3</v>
      </c>
      <c r="O91" s="1186"/>
      <c r="P91" s="1186"/>
      <c r="Q91" s="1186"/>
      <c r="R91" s="1186"/>
      <c r="S91" s="1186"/>
      <c r="T91" s="1186"/>
      <c r="U91" s="1186"/>
      <c r="V91" s="1186"/>
      <c r="W91" s="1186"/>
      <c r="X91" s="1186"/>
      <c r="Y91" s="1186"/>
      <c r="Z91" s="1186"/>
      <c r="AA91" s="1186"/>
      <c r="AB91" s="1186"/>
      <c r="AC91" s="1186"/>
      <c r="AD91" s="1186"/>
      <c r="AE91" s="1186"/>
      <c r="AF91" s="1186"/>
      <c r="AG91" s="1186"/>
    </row>
    <row r="92" spans="1:33" x14ac:dyDescent="0.2">
      <c r="A92" s="1186" t="s">
        <v>44</v>
      </c>
      <c r="B92" s="1186" t="s">
        <v>13</v>
      </c>
      <c r="C92" s="1186">
        <v>199</v>
      </c>
      <c r="D92" s="1186">
        <v>54</v>
      </c>
      <c r="E92" s="1186">
        <v>46</v>
      </c>
      <c r="F92" s="1186">
        <v>14</v>
      </c>
      <c r="G92" s="1186"/>
      <c r="H92" s="1186"/>
      <c r="I92" s="1186">
        <v>12</v>
      </c>
      <c r="J92" s="1186"/>
      <c r="K92" s="1186">
        <v>1</v>
      </c>
      <c r="L92" s="1186">
        <v>9</v>
      </c>
      <c r="M92" s="1186">
        <v>6</v>
      </c>
      <c r="N92" s="1186">
        <v>12</v>
      </c>
      <c r="O92" s="1186"/>
      <c r="P92" s="1186"/>
      <c r="Q92" s="1186">
        <v>9</v>
      </c>
      <c r="R92" s="1186">
        <v>2</v>
      </c>
      <c r="S92" s="1186">
        <v>4</v>
      </c>
      <c r="T92" s="1186">
        <v>3</v>
      </c>
      <c r="U92" s="1186">
        <v>6</v>
      </c>
      <c r="V92" s="1186">
        <v>4</v>
      </c>
      <c r="W92" s="1186">
        <v>4</v>
      </c>
      <c r="X92" s="1186">
        <v>5</v>
      </c>
      <c r="Y92" s="1186"/>
      <c r="Z92" s="1186"/>
      <c r="AA92" s="1186"/>
      <c r="AB92" s="1186">
        <v>4</v>
      </c>
      <c r="AC92" s="1186"/>
      <c r="AD92" s="1186">
        <v>1</v>
      </c>
      <c r="AE92" s="1186">
        <v>3</v>
      </c>
      <c r="AF92" s="1186"/>
      <c r="AG92" s="1186"/>
    </row>
    <row r="93" spans="1:33" x14ac:dyDescent="0.2">
      <c r="A93" s="1186" t="s">
        <v>45</v>
      </c>
      <c r="B93" s="1186" t="s">
        <v>13</v>
      </c>
      <c r="C93" s="1186">
        <v>355</v>
      </c>
      <c r="D93" s="1186">
        <v>66</v>
      </c>
      <c r="E93" s="1186">
        <v>114</v>
      </c>
      <c r="F93" s="1186">
        <v>60</v>
      </c>
      <c r="G93" s="1186"/>
      <c r="H93" s="1186"/>
      <c r="I93" s="1186">
        <v>23</v>
      </c>
      <c r="J93" s="1186">
        <v>1</v>
      </c>
      <c r="K93" s="1186"/>
      <c r="L93" s="1186">
        <v>17</v>
      </c>
      <c r="M93" s="1186">
        <v>2</v>
      </c>
      <c r="N93" s="1186">
        <v>8</v>
      </c>
      <c r="O93" s="1186">
        <v>4</v>
      </c>
      <c r="P93" s="1186">
        <v>3</v>
      </c>
      <c r="Q93" s="1186">
        <v>2</v>
      </c>
      <c r="R93" s="1186">
        <v>4</v>
      </c>
      <c r="S93" s="1186">
        <v>4</v>
      </c>
      <c r="T93" s="1186">
        <v>11</v>
      </c>
      <c r="U93" s="1186">
        <v>5</v>
      </c>
      <c r="V93" s="1186">
        <v>7</v>
      </c>
      <c r="W93" s="1186">
        <v>5</v>
      </c>
      <c r="X93" s="1186"/>
      <c r="Y93" s="1186">
        <v>2</v>
      </c>
      <c r="Z93" s="1186"/>
      <c r="AA93" s="1186">
        <v>3</v>
      </c>
      <c r="AB93" s="1186">
        <v>8</v>
      </c>
      <c r="AC93" s="1186">
        <v>1</v>
      </c>
      <c r="AD93" s="1186"/>
      <c r="AE93" s="1186">
        <v>5</v>
      </c>
      <c r="AF93" s="1186"/>
      <c r="AG93" s="1186"/>
    </row>
    <row r="94" spans="1:33" x14ac:dyDescent="0.2">
      <c r="A94" s="1186" t="s">
        <v>46</v>
      </c>
      <c r="B94" s="1186" t="s">
        <v>13</v>
      </c>
      <c r="C94" s="1186">
        <v>139</v>
      </c>
      <c r="D94" s="1186">
        <v>33</v>
      </c>
      <c r="E94" s="1186">
        <v>39</v>
      </c>
      <c r="F94" s="1186">
        <v>3</v>
      </c>
      <c r="G94" s="1186">
        <v>1</v>
      </c>
      <c r="H94" s="1186"/>
      <c r="I94" s="1186">
        <v>16</v>
      </c>
      <c r="J94" s="1186"/>
      <c r="K94" s="1186">
        <v>3</v>
      </c>
      <c r="L94" s="1186">
        <v>4</v>
      </c>
      <c r="M94" s="1186">
        <v>7</v>
      </c>
      <c r="N94" s="1186">
        <v>10</v>
      </c>
      <c r="O94" s="1186"/>
      <c r="P94" s="1186">
        <v>3</v>
      </c>
      <c r="Q94" s="1186"/>
      <c r="R94" s="1186">
        <v>1</v>
      </c>
      <c r="S94" s="1186">
        <v>1</v>
      </c>
      <c r="T94" s="1186">
        <v>4</v>
      </c>
      <c r="U94" s="1186">
        <v>2</v>
      </c>
      <c r="V94" s="1186">
        <v>2</v>
      </c>
      <c r="W94" s="1186">
        <v>3</v>
      </c>
      <c r="X94" s="1186">
        <v>1</v>
      </c>
      <c r="Y94" s="1186"/>
      <c r="Z94" s="1186"/>
      <c r="AA94" s="1186"/>
      <c r="AB94" s="1186">
        <v>5</v>
      </c>
      <c r="AC94" s="1186"/>
      <c r="AD94" s="1186"/>
      <c r="AE94" s="1186"/>
      <c r="AF94" s="1186">
        <v>1</v>
      </c>
      <c r="AG94" s="1186"/>
    </row>
    <row r="95" spans="1:33" x14ac:dyDescent="0.2">
      <c r="A95" s="1186" t="s">
        <v>47</v>
      </c>
      <c r="B95" s="1186" t="s">
        <v>13</v>
      </c>
      <c r="C95" s="1186">
        <v>18</v>
      </c>
      <c r="D95" s="1186">
        <v>9</v>
      </c>
      <c r="E95" s="1186"/>
      <c r="F95" s="1186"/>
      <c r="G95" s="1186"/>
      <c r="H95" s="1186"/>
      <c r="I95" s="1186"/>
      <c r="J95" s="1186"/>
      <c r="K95" s="1186">
        <v>1</v>
      </c>
      <c r="L95" s="1186">
        <v>2</v>
      </c>
      <c r="M95" s="1186"/>
      <c r="N95" s="1186">
        <v>1</v>
      </c>
      <c r="O95" s="1186"/>
      <c r="P95" s="1186"/>
      <c r="Q95" s="1186"/>
      <c r="R95" s="1186"/>
      <c r="S95" s="1186"/>
      <c r="T95" s="1186"/>
      <c r="U95" s="1186"/>
      <c r="V95" s="1186">
        <v>1</v>
      </c>
      <c r="W95" s="1186">
        <v>2</v>
      </c>
      <c r="X95" s="1186">
        <v>1</v>
      </c>
      <c r="Y95" s="1186"/>
      <c r="Z95" s="1186"/>
      <c r="AA95" s="1186"/>
      <c r="AB95" s="1186">
        <v>1</v>
      </c>
      <c r="AC95" s="1186"/>
      <c r="AD95" s="1186"/>
      <c r="AE95" s="1186"/>
      <c r="AF95" s="1186"/>
      <c r="AG95" s="1186"/>
    </row>
    <row r="96" spans="1:33" x14ac:dyDescent="0.2">
      <c r="A96" s="1186" t="s">
        <v>48</v>
      </c>
      <c r="B96" s="1186" t="s">
        <v>13</v>
      </c>
      <c r="C96" s="1186">
        <v>126</v>
      </c>
      <c r="D96" s="1186">
        <v>38</v>
      </c>
      <c r="E96" s="1186">
        <v>39</v>
      </c>
      <c r="F96" s="1186">
        <v>2</v>
      </c>
      <c r="G96" s="1186"/>
      <c r="H96" s="1186"/>
      <c r="I96" s="1186">
        <v>7</v>
      </c>
      <c r="J96" s="1186"/>
      <c r="K96" s="1186"/>
      <c r="L96" s="1186">
        <v>4</v>
      </c>
      <c r="M96" s="1186">
        <v>3</v>
      </c>
      <c r="N96" s="1186">
        <v>2</v>
      </c>
      <c r="O96" s="1186"/>
      <c r="P96" s="1186">
        <v>1</v>
      </c>
      <c r="Q96" s="1186"/>
      <c r="R96" s="1186"/>
      <c r="S96" s="1186">
        <v>7</v>
      </c>
      <c r="T96" s="1186">
        <v>9</v>
      </c>
      <c r="U96" s="1186"/>
      <c r="V96" s="1186">
        <v>2</v>
      </c>
      <c r="W96" s="1186">
        <v>2</v>
      </c>
      <c r="X96" s="1186">
        <v>3</v>
      </c>
      <c r="Y96" s="1186">
        <v>2</v>
      </c>
      <c r="Z96" s="1186"/>
      <c r="AA96" s="1186"/>
      <c r="AB96" s="1186">
        <v>2</v>
      </c>
      <c r="AC96" s="1186"/>
      <c r="AD96" s="1186"/>
      <c r="AE96" s="1186">
        <v>2</v>
      </c>
      <c r="AF96" s="1186"/>
      <c r="AG96" s="1186">
        <v>1</v>
      </c>
    </row>
    <row r="97" spans="1:33" x14ac:dyDescent="0.2">
      <c r="A97" s="1186" t="s">
        <v>49</v>
      </c>
      <c r="B97" s="1186" t="s">
        <v>13</v>
      </c>
      <c r="C97" s="1186">
        <v>428</v>
      </c>
      <c r="D97" s="1186">
        <v>120</v>
      </c>
      <c r="E97" s="1186">
        <v>155</v>
      </c>
      <c r="F97" s="1186">
        <v>10</v>
      </c>
      <c r="G97" s="1186">
        <v>1</v>
      </c>
      <c r="H97" s="1186"/>
      <c r="I97" s="1186">
        <v>23</v>
      </c>
      <c r="J97" s="1186">
        <v>2</v>
      </c>
      <c r="K97" s="1186">
        <v>1</v>
      </c>
      <c r="L97" s="1186">
        <v>33</v>
      </c>
      <c r="M97" s="1186">
        <v>3</v>
      </c>
      <c r="N97" s="1186">
        <v>15</v>
      </c>
      <c r="O97" s="1186"/>
      <c r="P97" s="1186">
        <v>5</v>
      </c>
      <c r="Q97" s="1186">
        <v>1</v>
      </c>
      <c r="R97" s="1186">
        <v>4</v>
      </c>
      <c r="S97" s="1186">
        <v>15</v>
      </c>
      <c r="T97" s="1186">
        <v>15</v>
      </c>
      <c r="U97" s="1186">
        <v>5</v>
      </c>
      <c r="V97" s="1186">
        <v>6</v>
      </c>
      <c r="W97" s="1186">
        <v>8</v>
      </c>
      <c r="X97" s="1186"/>
      <c r="Y97" s="1186">
        <v>1</v>
      </c>
      <c r="Z97" s="1186"/>
      <c r="AA97" s="1186">
        <v>1</v>
      </c>
      <c r="AB97" s="1186">
        <v>3</v>
      </c>
      <c r="AC97" s="1186"/>
      <c r="AD97" s="1186"/>
      <c r="AE97" s="1186">
        <v>1</v>
      </c>
      <c r="AF97" s="1186"/>
      <c r="AG97" s="1186"/>
    </row>
    <row r="98" spans="1:33" x14ac:dyDescent="0.2">
      <c r="A98" s="1186" t="s">
        <v>50</v>
      </c>
      <c r="B98" s="1186" t="s">
        <v>13</v>
      </c>
      <c r="C98" s="1186">
        <v>123</v>
      </c>
      <c r="D98" s="1186">
        <v>30</v>
      </c>
      <c r="E98" s="1186">
        <v>21</v>
      </c>
      <c r="F98" s="1186">
        <v>3</v>
      </c>
      <c r="G98" s="1186">
        <v>2</v>
      </c>
      <c r="H98" s="1186">
        <v>1</v>
      </c>
      <c r="I98" s="1186">
        <v>11</v>
      </c>
      <c r="J98" s="1186">
        <v>1</v>
      </c>
      <c r="K98" s="1186"/>
      <c r="L98" s="1186">
        <v>5</v>
      </c>
      <c r="M98" s="1186">
        <v>2</v>
      </c>
      <c r="N98" s="1186">
        <v>6</v>
      </c>
      <c r="O98" s="1186">
        <v>1</v>
      </c>
      <c r="P98" s="1186">
        <v>3</v>
      </c>
      <c r="Q98" s="1186">
        <v>16</v>
      </c>
      <c r="R98" s="1186">
        <v>1</v>
      </c>
      <c r="S98" s="1186"/>
      <c r="T98" s="1186">
        <v>4</v>
      </c>
      <c r="U98" s="1186"/>
      <c r="V98" s="1186">
        <v>1</v>
      </c>
      <c r="W98" s="1186">
        <v>1</v>
      </c>
      <c r="X98" s="1186">
        <v>4</v>
      </c>
      <c r="Y98" s="1186">
        <v>1</v>
      </c>
      <c r="Z98" s="1186">
        <v>1</v>
      </c>
      <c r="AA98" s="1186"/>
      <c r="AB98" s="1186">
        <v>4</v>
      </c>
      <c r="AC98" s="1186">
        <v>2</v>
      </c>
      <c r="AD98" s="1186"/>
      <c r="AE98" s="1186">
        <v>2</v>
      </c>
      <c r="AF98" s="1186"/>
      <c r="AG98" s="1186"/>
    </row>
    <row r="99" spans="1:33" x14ac:dyDescent="0.2">
      <c r="A99" s="1186" t="s">
        <v>51</v>
      </c>
      <c r="B99" s="1186" t="s">
        <v>13</v>
      </c>
      <c r="C99" s="1186">
        <v>194</v>
      </c>
      <c r="D99" s="1186">
        <v>46</v>
      </c>
      <c r="E99" s="1186">
        <v>90</v>
      </c>
      <c r="F99" s="1186">
        <v>10</v>
      </c>
      <c r="G99" s="1186"/>
      <c r="H99" s="1186"/>
      <c r="I99" s="1186">
        <v>2</v>
      </c>
      <c r="J99" s="1186"/>
      <c r="K99" s="1186"/>
      <c r="L99" s="1186">
        <v>7</v>
      </c>
      <c r="M99" s="1186"/>
      <c r="N99" s="1186">
        <v>4</v>
      </c>
      <c r="O99" s="1186">
        <v>3</v>
      </c>
      <c r="P99" s="1186">
        <v>1</v>
      </c>
      <c r="Q99" s="1186"/>
      <c r="R99" s="1186">
        <v>3</v>
      </c>
      <c r="S99" s="1186">
        <v>3</v>
      </c>
      <c r="T99" s="1186">
        <v>7</v>
      </c>
      <c r="U99" s="1186">
        <v>3</v>
      </c>
      <c r="V99" s="1186">
        <v>1</v>
      </c>
      <c r="W99" s="1186">
        <v>5</v>
      </c>
      <c r="X99" s="1186">
        <v>2</v>
      </c>
      <c r="Y99" s="1186">
        <v>1</v>
      </c>
      <c r="Z99" s="1186"/>
      <c r="AA99" s="1186"/>
      <c r="AB99" s="1186">
        <v>5</v>
      </c>
      <c r="AC99" s="1186"/>
      <c r="AD99" s="1186"/>
      <c r="AE99" s="1186">
        <v>1</v>
      </c>
      <c r="AF99" s="1186"/>
      <c r="AG99" s="1186"/>
    </row>
    <row r="100" spans="1:33" x14ac:dyDescent="0.2">
      <c r="A100" s="1186" t="s">
        <v>52</v>
      </c>
      <c r="B100" s="1186" t="s">
        <v>13</v>
      </c>
      <c r="C100" s="1186">
        <v>285</v>
      </c>
      <c r="D100" s="1186">
        <v>105</v>
      </c>
      <c r="E100" s="1186">
        <v>53</v>
      </c>
      <c r="F100" s="1186">
        <v>3</v>
      </c>
      <c r="G100" s="1186">
        <v>4</v>
      </c>
      <c r="H100" s="1186">
        <v>1</v>
      </c>
      <c r="I100" s="1186">
        <v>16</v>
      </c>
      <c r="J100" s="1186"/>
      <c r="K100" s="1186"/>
      <c r="L100" s="1186">
        <v>14</v>
      </c>
      <c r="M100" s="1186">
        <v>3</v>
      </c>
      <c r="N100" s="1186">
        <v>13</v>
      </c>
      <c r="O100" s="1186">
        <v>4</v>
      </c>
      <c r="P100" s="1186">
        <v>2</v>
      </c>
      <c r="Q100" s="1186">
        <v>14</v>
      </c>
      <c r="R100" s="1186">
        <v>10</v>
      </c>
      <c r="S100" s="1186">
        <v>6</v>
      </c>
      <c r="T100" s="1186">
        <v>15</v>
      </c>
      <c r="U100" s="1186">
        <v>3</v>
      </c>
      <c r="V100" s="1186">
        <v>5</v>
      </c>
      <c r="W100" s="1186">
        <v>4</v>
      </c>
      <c r="X100" s="1186">
        <v>2</v>
      </c>
      <c r="Y100" s="1186">
        <v>1</v>
      </c>
      <c r="Z100" s="1186"/>
      <c r="AA100" s="1186"/>
      <c r="AB100" s="1186">
        <v>5</v>
      </c>
      <c r="AC100" s="1186"/>
      <c r="AD100" s="1186"/>
      <c r="AE100" s="1186">
        <v>2</v>
      </c>
      <c r="AF100" s="1186"/>
      <c r="AG100" s="1186"/>
    </row>
    <row r="101" spans="1:33" x14ac:dyDescent="0.2">
      <c r="A101" s="1186" t="s">
        <v>23</v>
      </c>
      <c r="B101" s="1186" t="s">
        <v>15</v>
      </c>
      <c r="C101" s="1186">
        <v>452</v>
      </c>
      <c r="D101" s="1186">
        <v>66</v>
      </c>
      <c r="E101" s="1186">
        <v>167</v>
      </c>
      <c r="F101" s="1186">
        <v>50</v>
      </c>
      <c r="G101" s="1186">
        <v>5</v>
      </c>
      <c r="H101" s="1186">
        <v>1</v>
      </c>
      <c r="I101" s="1186">
        <v>28</v>
      </c>
      <c r="J101" s="1186">
        <v>3</v>
      </c>
      <c r="K101" s="1186"/>
      <c r="L101" s="1186">
        <v>4</v>
      </c>
      <c r="M101" s="1186">
        <v>2</v>
      </c>
      <c r="N101" s="1186">
        <v>12</v>
      </c>
      <c r="O101" s="1186">
        <v>1</v>
      </c>
      <c r="P101" s="1186">
        <v>9</v>
      </c>
      <c r="Q101" s="1186">
        <v>10</v>
      </c>
      <c r="R101" s="1186">
        <v>8</v>
      </c>
      <c r="S101" s="1186">
        <v>10</v>
      </c>
      <c r="T101" s="1186">
        <v>13</v>
      </c>
      <c r="U101" s="1186">
        <v>10</v>
      </c>
      <c r="V101" s="1186">
        <v>14</v>
      </c>
      <c r="W101" s="1186">
        <v>9</v>
      </c>
      <c r="X101" s="1186">
        <v>7</v>
      </c>
      <c r="Y101" s="1186">
        <v>1</v>
      </c>
      <c r="Z101" s="1186">
        <v>1</v>
      </c>
      <c r="AA101" s="1186"/>
      <c r="AB101" s="1186">
        <v>10</v>
      </c>
      <c r="AC101" s="1186">
        <v>9</v>
      </c>
      <c r="AD101" s="1186"/>
      <c r="AE101" s="1186"/>
      <c r="AF101" s="1186"/>
      <c r="AG101" s="1186">
        <v>2</v>
      </c>
    </row>
    <row r="102" spans="1:33" x14ac:dyDescent="0.2">
      <c r="A102" s="1186" t="s">
        <v>24</v>
      </c>
      <c r="B102" s="1186" t="s">
        <v>15</v>
      </c>
      <c r="C102" s="1186">
        <v>268</v>
      </c>
      <c r="D102" s="1186">
        <v>85</v>
      </c>
      <c r="E102" s="1186">
        <v>33</v>
      </c>
      <c r="F102" s="1186">
        <v>2</v>
      </c>
      <c r="G102" s="1186">
        <v>3</v>
      </c>
      <c r="H102" s="1186">
        <v>1</v>
      </c>
      <c r="I102" s="1186">
        <v>47</v>
      </c>
      <c r="J102" s="1186">
        <v>7</v>
      </c>
      <c r="K102" s="1186">
        <v>1</v>
      </c>
      <c r="L102" s="1186">
        <v>11</v>
      </c>
      <c r="M102" s="1186">
        <v>25</v>
      </c>
      <c r="N102" s="1186">
        <v>13</v>
      </c>
      <c r="O102" s="1186"/>
      <c r="P102" s="1186">
        <v>2</v>
      </c>
      <c r="Q102" s="1186">
        <v>1</v>
      </c>
      <c r="R102" s="1186">
        <v>4</v>
      </c>
      <c r="S102" s="1186">
        <v>5</v>
      </c>
      <c r="T102" s="1186">
        <v>6</v>
      </c>
      <c r="U102" s="1186">
        <v>7</v>
      </c>
      <c r="V102" s="1186">
        <v>3</v>
      </c>
      <c r="W102" s="1186">
        <v>3</v>
      </c>
      <c r="X102" s="1186">
        <v>2</v>
      </c>
      <c r="Y102" s="1186"/>
      <c r="Z102" s="1186"/>
      <c r="AA102" s="1186"/>
      <c r="AB102" s="1186">
        <v>5</v>
      </c>
      <c r="AC102" s="1186">
        <v>1</v>
      </c>
      <c r="AD102" s="1186">
        <v>1</v>
      </c>
      <c r="AE102" s="1186"/>
      <c r="AF102" s="1186"/>
      <c r="AG102" s="1186"/>
    </row>
    <row r="103" spans="1:33" x14ac:dyDescent="0.2">
      <c r="A103" s="1186" t="s">
        <v>25</v>
      </c>
      <c r="B103" s="1186" t="s">
        <v>15</v>
      </c>
      <c r="C103" s="1186">
        <v>134</v>
      </c>
      <c r="D103" s="1186">
        <v>35</v>
      </c>
      <c r="E103" s="1186">
        <v>27</v>
      </c>
      <c r="F103" s="1186">
        <v>4</v>
      </c>
      <c r="G103" s="1186">
        <v>1</v>
      </c>
      <c r="H103" s="1186">
        <v>1</v>
      </c>
      <c r="I103" s="1186">
        <v>15</v>
      </c>
      <c r="J103" s="1186">
        <v>3</v>
      </c>
      <c r="K103" s="1186"/>
      <c r="L103" s="1186">
        <v>12</v>
      </c>
      <c r="M103" s="1186">
        <v>7</v>
      </c>
      <c r="N103" s="1186">
        <v>7</v>
      </c>
      <c r="O103" s="1186"/>
      <c r="P103" s="1186"/>
      <c r="Q103" s="1186">
        <v>2</v>
      </c>
      <c r="R103" s="1186">
        <v>2</v>
      </c>
      <c r="S103" s="1186">
        <v>3</v>
      </c>
      <c r="T103" s="1186">
        <v>3</v>
      </c>
      <c r="U103" s="1186"/>
      <c r="V103" s="1186">
        <v>2</v>
      </c>
      <c r="W103" s="1186">
        <v>3</v>
      </c>
      <c r="X103" s="1186"/>
      <c r="Y103" s="1186"/>
      <c r="Z103" s="1186"/>
      <c r="AA103" s="1186"/>
      <c r="AB103" s="1186">
        <v>2</v>
      </c>
      <c r="AC103" s="1186"/>
      <c r="AD103" s="1186"/>
      <c r="AE103" s="1186">
        <v>4</v>
      </c>
      <c r="AF103" s="1186"/>
      <c r="AG103" s="1186">
        <v>1</v>
      </c>
    </row>
    <row r="104" spans="1:33" x14ac:dyDescent="0.2">
      <c r="A104" s="1186" t="s">
        <v>26</v>
      </c>
      <c r="B104" s="1186" t="s">
        <v>15</v>
      </c>
      <c r="C104" s="1186">
        <v>134</v>
      </c>
      <c r="D104" s="1186">
        <v>35</v>
      </c>
      <c r="E104" s="1186">
        <v>31</v>
      </c>
      <c r="F104" s="1186">
        <v>8</v>
      </c>
      <c r="G104" s="1186"/>
      <c r="H104" s="1186"/>
      <c r="I104" s="1186">
        <v>12</v>
      </c>
      <c r="J104" s="1186">
        <v>2</v>
      </c>
      <c r="K104" s="1186"/>
      <c r="L104" s="1186">
        <v>6</v>
      </c>
      <c r="M104" s="1186">
        <v>1</v>
      </c>
      <c r="N104" s="1186">
        <v>4</v>
      </c>
      <c r="O104" s="1186">
        <v>2</v>
      </c>
      <c r="P104" s="1186">
        <v>1</v>
      </c>
      <c r="Q104" s="1186"/>
      <c r="R104" s="1186">
        <v>3</v>
      </c>
      <c r="S104" s="1186">
        <v>1</v>
      </c>
      <c r="T104" s="1186">
        <v>3</v>
      </c>
      <c r="U104" s="1186">
        <v>2</v>
      </c>
      <c r="V104" s="1186">
        <v>3</v>
      </c>
      <c r="W104" s="1186">
        <v>4</v>
      </c>
      <c r="X104" s="1186">
        <v>5</v>
      </c>
      <c r="Y104" s="1186">
        <v>2</v>
      </c>
      <c r="Z104" s="1186">
        <v>2</v>
      </c>
      <c r="AA104" s="1186">
        <v>1</v>
      </c>
      <c r="AB104" s="1186"/>
      <c r="AC104" s="1186"/>
      <c r="AD104" s="1186">
        <v>1</v>
      </c>
      <c r="AE104" s="1186">
        <v>3</v>
      </c>
      <c r="AF104" s="1186">
        <v>1</v>
      </c>
      <c r="AG104" s="1186">
        <v>1</v>
      </c>
    </row>
    <row r="105" spans="1:33" x14ac:dyDescent="0.2">
      <c r="A105" s="1186" t="s">
        <v>619</v>
      </c>
      <c r="B105" s="1186" t="s">
        <v>15</v>
      </c>
      <c r="C105" s="1186">
        <v>957</v>
      </c>
      <c r="D105" s="1186">
        <v>101</v>
      </c>
      <c r="E105" s="1186">
        <v>378</v>
      </c>
      <c r="F105" s="1186">
        <v>153</v>
      </c>
      <c r="G105" s="1186">
        <v>5</v>
      </c>
      <c r="H105" s="1186"/>
      <c r="I105" s="1186">
        <v>53</v>
      </c>
      <c r="J105" s="1186">
        <v>1</v>
      </c>
      <c r="K105" s="1186">
        <v>9</v>
      </c>
      <c r="L105" s="1186">
        <v>19</v>
      </c>
      <c r="M105" s="1186"/>
      <c r="N105" s="1186">
        <v>8</v>
      </c>
      <c r="O105" s="1186">
        <v>1</v>
      </c>
      <c r="P105" s="1186">
        <v>18</v>
      </c>
      <c r="Q105" s="1186">
        <v>16</v>
      </c>
      <c r="R105" s="1186">
        <v>11</v>
      </c>
      <c r="S105" s="1186">
        <v>23</v>
      </c>
      <c r="T105" s="1186">
        <v>29</v>
      </c>
      <c r="U105" s="1186">
        <v>15</v>
      </c>
      <c r="V105" s="1186">
        <v>23</v>
      </c>
      <c r="W105" s="1186">
        <v>17</v>
      </c>
      <c r="X105" s="1186">
        <v>13</v>
      </c>
      <c r="Y105" s="1186">
        <v>7</v>
      </c>
      <c r="Z105" s="1186"/>
      <c r="AA105" s="1186">
        <v>1</v>
      </c>
      <c r="AB105" s="1186">
        <v>13</v>
      </c>
      <c r="AC105" s="1186">
        <v>31</v>
      </c>
      <c r="AD105" s="1186">
        <v>2</v>
      </c>
      <c r="AE105" s="1186">
        <v>8</v>
      </c>
      <c r="AF105" s="1186">
        <v>1</v>
      </c>
      <c r="AG105" s="1186">
        <v>1</v>
      </c>
    </row>
    <row r="106" spans="1:33" x14ac:dyDescent="0.2">
      <c r="A106" s="1186" t="s">
        <v>27</v>
      </c>
      <c r="B106" s="1186" t="s">
        <v>15</v>
      </c>
      <c r="C106" s="1186">
        <v>66</v>
      </c>
      <c r="D106" s="1186">
        <v>20</v>
      </c>
      <c r="E106" s="1186">
        <v>18</v>
      </c>
      <c r="F106" s="1186">
        <v>1</v>
      </c>
      <c r="G106" s="1186"/>
      <c r="H106" s="1186">
        <v>1</v>
      </c>
      <c r="I106" s="1186">
        <v>4</v>
      </c>
      <c r="J106" s="1186"/>
      <c r="K106" s="1186"/>
      <c r="L106" s="1186">
        <v>3</v>
      </c>
      <c r="M106" s="1186">
        <v>1</v>
      </c>
      <c r="N106" s="1186">
        <v>4</v>
      </c>
      <c r="O106" s="1186">
        <v>1</v>
      </c>
      <c r="P106" s="1186"/>
      <c r="Q106" s="1186">
        <v>1</v>
      </c>
      <c r="R106" s="1186"/>
      <c r="S106" s="1186">
        <v>3</v>
      </c>
      <c r="T106" s="1186">
        <v>2</v>
      </c>
      <c r="U106" s="1186"/>
      <c r="V106" s="1186">
        <v>2</v>
      </c>
      <c r="W106" s="1186">
        <v>2</v>
      </c>
      <c r="X106" s="1186"/>
      <c r="Y106" s="1186">
        <v>1</v>
      </c>
      <c r="Z106" s="1186"/>
      <c r="AA106" s="1186">
        <v>1</v>
      </c>
      <c r="AB106" s="1186"/>
      <c r="AC106" s="1186"/>
      <c r="AD106" s="1186"/>
      <c r="AE106" s="1186"/>
      <c r="AF106" s="1186">
        <v>1</v>
      </c>
      <c r="AG106" s="1186"/>
    </row>
    <row r="107" spans="1:33" x14ac:dyDescent="0.2">
      <c r="A107" s="1186" t="s">
        <v>28</v>
      </c>
      <c r="B107" s="1186" t="s">
        <v>15</v>
      </c>
      <c r="C107" s="1186">
        <v>171</v>
      </c>
      <c r="D107" s="1186">
        <v>65</v>
      </c>
      <c r="E107" s="1186">
        <v>34</v>
      </c>
      <c r="F107" s="1186"/>
      <c r="G107" s="1186">
        <v>1</v>
      </c>
      <c r="H107" s="1186"/>
      <c r="I107" s="1186">
        <v>6</v>
      </c>
      <c r="J107" s="1186"/>
      <c r="K107" s="1186"/>
      <c r="L107" s="1186">
        <v>9</v>
      </c>
      <c r="M107" s="1186">
        <v>8</v>
      </c>
      <c r="N107" s="1186">
        <v>12</v>
      </c>
      <c r="O107" s="1186">
        <v>1</v>
      </c>
      <c r="P107" s="1186">
        <v>3</v>
      </c>
      <c r="Q107" s="1186">
        <v>3</v>
      </c>
      <c r="R107" s="1186">
        <v>3</v>
      </c>
      <c r="S107" s="1186">
        <v>5</v>
      </c>
      <c r="T107" s="1186">
        <v>8</v>
      </c>
      <c r="U107" s="1186">
        <v>4</v>
      </c>
      <c r="V107" s="1186">
        <v>1</v>
      </c>
      <c r="W107" s="1186">
        <v>3</v>
      </c>
      <c r="X107" s="1186">
        <v>1</v>
      </c>
      <c r="Y107" s="1186"/>
      <c r="Z107" s="1186"/>
      <c r="AA107" s="1186">
        <v>1</v>
      </c>
      <c r="AB107" s="1186">
        <v>3</v>
      </c>
      <c r="AC107" s="1186"/>
      <c r="AD107" s="1186"/>
      <c r="AE107" s="1186"/>
      <c r="AF107" s="1186"/>
      <c r="AG107" s="1186"/>
    </row>
    <row r="108" spans="1:33" x14ac:dyDescent="0.2">
      <c r="A108" s="1186" t="s">
        <v>29</v>
      </c>
      <c r="B108" s="1186" t="s">
        <v>15</v>
      </c>
      <c r="C108" s="1186">
        <v>343</v>
      </c>
      <c r="D108" s="1186">
        <v>68</v>
      </c>
      <c r="E108" s="1186">
        <v>113</v>
      </c>
      <c r="F108" s="1186">
        <v>50</v>
      </c>
      <c r="G108" s="1186">
        <v>3</v>
      </c>
      <c r="H108" s="1186"/>
      <c r="I108" s="1186">
        <v>35</v>
      </c>
      <c r="J108" s="1186"/>
      <c r="K108" s="1186"/>
      <c r="L108" s="1186">
        <v>4</v>
      </c>
      <c r="M108" s="1186"/>
      <c r="N108" s="1186">
        <v>6</v>
      </c>
      <c r="O108" s="1186">
        <v>1</v>
      </c>
      <c r="P108" s="1186">
        <v>1</v>
      </c>
      <c r="Q108" s="1186">
        <v>4</v>
      </c>
      <c r="R108" s="1186">
        <v>4</v>
      </c>
      <c r="S108" s="1186">
        <v>4</v>
      </c>
      <c r="T108" s="1186">
        <v>8</v>
      </c>
      <c r="U108" s="1186">
        <v>5</v>
      </c>
      <c r="V108" s="1186">
        <v>8</v>
      </c>
      <c r="W108" s="1186">
        <v>7</v>
      </c>
      <c r="X108" s="1186">
        <v>3</v>
      </c>
      <c r="Y108" s="1186">
        <v>3</v>
      </c>
      <c r="Z108" s="1186"/>
      <c r="AA108" s="1186"/>
      <c r="AB108" s="1186">
        <v>5</v>
      </c>
      <c r="AC108" s="1186">
        <v>8</v>
      </c>
      <c r="AD108" s="1186">
        <v>1</v>
      </c>
      <c r="AE108" s="1186"/>
      <c r="AF108" s="1186"/>
      <c r="AG108" s="1186">
        <v>2</v>
      </c>
    </row>
    <row r="109" spans="1:33" x14ac:dyDescent="0.2">
      <c r="A109" s="1186" t="s">
        <v>30</v>
      </c>
      <c r="B109" s="1186" t="s">
        <v>15</v>
      </c>
      <c r="C109" s="1186">
        <v>161</v>
      </c>
      <c r="D109" s="1186">
        <v>74</v>
      </c>
      <c r="E109" s="1186">
        <v>21</v>
      </c>
      <c r="F109" s="1186">
        <v>5</v>
      </c>
      <c r="G109" s="1186"/>
      <c r="H109" s="1186"/>
      <c r="I109" s="1186">
        <v>6</v>
      </c>
      <c r="J109" s="1186">
        <v>2</v>
      </c>
      <c r="K109" s="1186"/>
      <c r="L109" s="1186">
        <v>12</v>
      </c>
      <c r="M109" s="1186">
        <v>4</v>
      </c>
      <c r="N109" s="1186">
        <v>7</v>
      </c>
      <c r="O109" s="1186"/>
      <c r="P109" s="1186">
        <v>2</v>
      </c>
      <c r="Q109" s="1186">
        <v>3</v>
      </c>
      <c r="R109" s="1186">
        <v>1</v>
      </c>
      <c r="S109" s="1186">
        <v>1</v>
      </c>
      <c r="T109" s="1186">
        <v>9</v>
      </c>
      <c r="U109" s="1186">
        <v>5</v>
      </c>
      <c r="V109" s="1186">
        <v>1</v>
      </c>
      <c r="W109" s="1186">
        <v>3</v>
      </c>
      <c r="X109" s="1186"/>
      <c r="Y109" s="1186">
        <v>1</v>
      </c>
      <c r="Z109" s="1186"/>
      <c r="AA109" s="1186"/>
      <c r="AB109" s="1186">
        <v>1</v>
      </c>
      <c r="AC109" s="1186"/>
      <c r="AD109" s="1186"/>
      <c r="AE109" s="1186">
        <v>2</v>
      </c>
      <c r="AF109" s="1186">
        <v>1</v>
      </c>
      <c r="AG109" s="1186"/>
    </row>
    <row r="110" spans="1:33" x14ac:dyDescent="0.2">
      <c r="A110" s="1186" t="s">
        <v>31</v>
      </c>
      <c r="B110" s="1186" t="s">
        <v>15</v>
      </c>
      <c r="C110" s="1186">
        <v>112</v>
      </c>
      <c r="D110" s="1186">
        <v>50</v>
      </c>
      <c r="E110" s="1186">
        <v>13</v>
      </c>
      <c r="F110" s="1186">
        <v>2</v>
      </c>
      <c r="G110" s="1186"/>
      <c r="H110" s="1186"/>
      <c r="I110" s="1186">
        <v>4</v>
      </c>
      <c r="J110" s="1186">
        <v>1</v>
      </c>
      <c r="K110" s="1186"/>
      <c r="L110" s="1186">
        <v>7</v>
      </c>
      <c r="M110" s="1186"/>
      <c r="N110" s="1186">
        <v>2</v>
      </c>
      <c r="O110" s="1186"/>
      <c r="P110" s="1186">
        <v>3</v>
      </c>
      <c r="Q110" s="1186">
        <v>6</v>
      </c>
      <c r="R110" s="1186">
        <v>3</v>
      </c>
      <c r="S110" s="1186">
        <v>2</v>
      </c>
      <c r="T110" s="1186">
        <v>4</v>
      </c>
      <c r="U110" s="1186">
        <v>4</v>
      </c>
      <c r="V110" s="1186"/>
      <c r="W110" s="1186">
        <v>3</v>
      </c>
      <c r="X110" s="1186"/>
      <c r="Y110" s="1186">
        <v>1</v>
      </c>
      <c r="Z110" s="1186"/>
      <c r="AA110" s="1186"/>
      <c r="AB110" s="1186">
        <v>5</v>
      </c>
      <c r="AC110" s="1186"/>
      <c r="AD110" s="1186"/>
      <c r="AE110" s="1186">
        <v>2</v>
      </c>
      <c r="AF110" s="1186"/>
      <c r="AG110" s="1186"/>
    </row>
    <row r="111" spans="1:33" x14ac:dyDescent="0.2">
      <c r="A111" s="1186" t="s">
        <v>32</v>
      </c>
      <c r="B111" s="1186" t="s">
        <v>15</v>
      </c>
      <c r="C111" s="1186">
        <v>139</v>
      </c>
      <c r="D111" s="1186">
        <v>64</v>
      </c>
      <c r="E111" s="1186">
        <v>28</v>
      </c>
      <c r="F111" s="1186">
        <v>1</v>
      </c>
      <c r="G111" s="1186"/>
      <c r="H111" s="1186"/>
      <c r="I111" s="1186">
        <v>10</v>
      </c>
      <c r="J111" s="1186"/>
      <c r="K111" s="1186"/>
      <c r="L111" s="1186">
        <v>4</v>
      </c>
      <c r="M111" s="1186">
        <v>2</v>
      </c>
      <c r="N111" s="1186">
        <v>5</v>
      </c>
      <c r="O111" s="1186"/>
      <c r="P111" s="1186"/>
      <c r="Q111" s="1186">
        <v>1</v>
      </c>
      <c r="R111" s="1186">
        <v>7</v>
      </c>
      <c r="S111" s="1186">
        <v>2</v>
      </c>
      <c r="T111" s="1186">
        <v>5</v>
      </c>
      <c r="U111" s="1186">
        <v>3</v>
      </c>
      <c r="V111" s="1186">
        <v>1</v>
      </c>
      <c r="W111" s="1186">
        <v>1</v>
      </c>
      <c r="X111" s="1186">
        <v>1</v>
      </c>
      <c r="Y111" s="1186">
        <v>2</v>
      </c>
      <c r="Z111" s="1186"/>
      <c r="AA111" s="1186"/>
      <c r="AB111" s="1186">
        <v>1</v>
      </c>
      <c r="AC111" s="1186">
        <v>1</v>
      </c>
      <c r="AD111" s="1186"/>
      <c r="AE111" s="1186"/>
      <c r="AF111" s="1186"/>
      <c r="AG111" s="1186"/>
    </row>
    <row r="112" spans="1:33" x14ac:dyDescent="0.2">
      <c r="A112" s="1186" t="s">
        <v>33</v>
      </c>
      <c r="B112" s="1186" t="s">
        <v>15</v>
      </c>
      <c r="C112" s="1186">
        <v>105</v>
      </c>
      <c r="D112" s="1186">
        <v>29</v>
      </c>
      <c r="E112" s="1186">
        <v>31</v>
      </c>
      <c r="F112" s="1186">
        <v>8</v>
      </c>
      <c r="G112" s="1186"/>
      <c r="H112" s="1186"/>
      <c r="I112" s="1186">
        <v>7</v>
      </c>
      <c r="J112" s="1186"/>
      <c r="K112" s="1186"/>
      <c r="L112" s="1186">
        <v>9</v>
      </c>
      <c r="M112" s="1186"/>
      <c r="N112" s="1186"/>
      <c r="O112" s="1186">
        <v>1</v>
      </c>
      <c r="P112" s="1186">
        <v>3</v>
      </c>
      <c r="Q112" s="1186"/>
      <c r="R112" s="1186">
        <v>1</v>
      </c>
      <c r="S112" s="1186">
        <v>1</v>
      </c>
      <c r="T112" s="1186">
        <v>5</v>
      </c>
      <c r="U112" s="1186">
        <v>6</v>
      </c>
      <c r="V112" s="1186"/>
      <c r="W112" s="1186">
        <v>2</v>
      </c>
      <c r="X112" s="1186"/>
      <c r="Y112" s="1186"/>
      <c r="Z112" s="1186"/>
      <c r="AA112" s="1186"/>
      <c r="AB112" s="1186">
        <v>1</v>
      </c>
      <c r="AC112" s="1186"/>
      <c r="AD112" s="1186"/>
      <c r="AE112" s="1186"/>
      <c r="AF112" s="1186">
        <v>1</v>
      </c>
      <c r="AG112" s="1186"/>
    </row>
    <row r="113" spans="1:33" x14ac:dyDescent="0.2">
      <c r="A113" s="1186" t="s">
        <v>34</v>
      </c>
      <c r="B113" s="1186" t="s">
        <v>15</v>
      </c>
      <c r="C113" s="1186">
        <v>156</v>
      </c>
      <c r="D113" s="1186">
        <v>48</v>
      </c>
      <c r="E113" s="1186">
        <v>46</v>
      </c>
      <c r="F113" s="1186">
        <v>3</v>
      </c>
      <c r="G113" s="1186"/>
      <c r="H113" s="1186"/>
      <c r="I113" s="1186">
        <v>4</v>
      </c>
      <c r="J113" s="1186">
        <v>1</v>
      </c>
      <c r="K113" s="1186">
        <v>1</v>
      </c>
      <c r="L113" s="1186">
        <v>10</v>
      </c>
      <c r="M113" s="1186"/>
      <c r="N113" s="1186">
        <v>5</v>
      </c>
      <c r="O113" s="1186">
        <v>3</v>
      </c>
      <c r="P113" s="1186">
        <v>2</v>
      </c>
      <c r="Q113" s="1186">
        <v>12</v>
      </c>
      <c r="R113" s="1186">
        <v>2</v>
      </c>
      <c r="S113" s="1186">
        <v>3</v>
      </c>
      <c r="T113" s="1186">
        <v>3</v>
      </c>
      <c r="U113" s="1186">
        <v>5</v>
      </c>
      <c r="V113" s="1186">
        <v>1</v>
      </c>
      <c r="W113" s="1186">
        <v>2</v>
      </c>
      <c r="X113" s="1186">
        <v>1</v>
      </c>
      <c r="Y113" s="1186"/>
      <c r="Z113" s="1186"/>
      <c r="AA113" s="1186"/>
      <c r="AB113" s="1186">
        <v>2</v>
      </c>
      <c r="AC113" s="1186"/>
      <c r="AD113" s="1186"/>
      <c r="AE113" s="1186">
        <v>1</v>
      </c>
      <c r="AF113" s="1186">
        <v>1</v>
      </c>
      <c r="AG113" s="1186"/>
    </row>
    <row r="114" spans="1:33" x14ac:dyDescent="0.2">
      <c r="A114" s="1186" t="s">
        <v>35</v>
      </c>
      <c r="B114" s="1186" t="s">
        <v>15</v>
      </c>
      <c r="C114" s="1186">
        <v>430</v>
      </c>
      <c r="D114" s="1186">
        <v>156</v>
      </c>
      <c r="E114" s="1186">
        <v>131</v>
      </c>
      <c r="F114" s="1186">
        <v>1</v>
      </c>
      <c r="G114" s="1186">
        <v>1</v>
      </c>
      <c r="H114" s="1186"/>
      <c r="I114" s="1186">
        <v>9</v>
      </c>
      <c r="J114" s="1186"/>
      <c r="K114" s="1186"/>
      <c r="L114" s="1186">
        <v>35</v>
      </c>
      <c r="M114" s="1186">
        <v>4</v>
      </c>
      <c r="N114" s="1186">
        <v>25</v>
      </c>
      <c r="O114" s="1186">
        <v>2</v>
      </c>
      <c r="P114" s="1186">
        <v>2</v>
      </c>
      <c r="Q114" s="1186">
        <v>2</v>
      </c>
      <c r="R114" s="1186">
        <v>5</v>
      </c>
      <c r="S114" s="1186">
        <v>9</v>
      </c>
      <c r="T114" s="1186">
        <v>12</v>
      </c>
      <c r="U114" s="1186">
        <v>6</v>
      </c>
      <c r="V114" s="1186">
        <v>6</v>
      </c>
      <c r="W114" s="1186">
        <v>8</v>
      </c>
      <c r="X114" s="1186">
        <v>4</v>
      </c>
      <c r="Y114" s="1186">
        <v>1</v>
      </c>
      <c r="Z114" s="1186">
        <v>1</v>
      </c>
      <c r="AA114" s="1186"/>
      <c r="AB114" s="1186">
        <v>5</v>
      </c>
      <c r="AC114" s="1186">
        <v>2</v>
      </c>
      <c r="AD114" s="1186"/>
      <c r="AE114" s="1186">
        <v>3</v>
      </c>
      <c r="AF114" s="1186"/>
      <c r="AG114" s="1186"/>
    </row>
    <row r="115" spans="1:33" x14ac:dyDescent="0.2">
      <c r="A115" s="1186" t="s">
        <v>36</v>
      </c>
      <c r="B115" s="1186" t="s">
        <v>15</v>
      </c>
      <c r="C115" s="1186">
        <v>1468</v>
      </c>
      <c r="D115" s="1186">
        <v>142</v>
      </c>
      <c r="E115" s="1186">
        <v>562</v>
      </c>
      <c r="F115" s="1186">
        <v>283</v>
      </c>
      <c r="G115" s="1186">
        <v>3</v>
      </c>
      <c r="H115" s="1186"/>
      <c r="I115" s="1186">
        <v>50</v>
      </c>
      <c r="J115" s="1186"/>
      <c r="K115" s="1186"/>
      <c r="L115" s="1186">
        <v>39</v>
      </c>
      <c r="M115" s="1186"/>
      <c r="N115" s="1186">
        <v>22</v>
      </c>
      <c r="O115" s="1186">
        <v>10</v>
      </c>
      <c r="P115" s="1186">
        <v>28</v>
      </c>
      <c r="Q115" s="1186">
        <v>14</v>
      </c>
      <c r="R115" s="1186">
        <v>20</v>
      </c>
      <c r="S115" s="1186">
        <v>25</v>
      </c>
      <c r="T115" s="1186">
        <v>47</v>
      </c>
      <c r="U115" s="1186">
        <v>33</v>
      </c>
      <c r="V115" s="1186">
        <v>49</v>
      </c>
      <c r="W115" s="1186">
        <v>37</v>
      </c>
      <c r="X115" s="1186">
        <v>8</v>
      </c>
      <c r="Y115" s="1186">
        <v>15</v>
      </c>
      <c r="Z115" s="1186"/>
      <c r="AA115" s="1186"/>
      <c r="AB115" s="1186">
        <v>26</v>
      </c>
      <c r="AC115" s="1186">
        <v>36</v>
      </c>
      <c r="AD115" s="1186">
        <v>2</v>
      </c>
      <c r="AE115" s="1186">
        <v>13</v>
      </c>
      <c r="AF115" s="1186">
        <v>4</v>
      </c>
      <c r="AG115" s="1186"/>
    </row>
    <row r="116" spans="1:33" x14ac:dyDescent="0.2">
      <c r="A116" s="1186" t="s">
        <v>37</v>
      </c>
      <c r="B116" s="1186" t="s">
        <v>15</v>
      </c>
      <c r="C116" s="1186">
        <v>220</v>
      </c>
      <c r="D116" s="1186">
        <v>94</v>
      </c>
      <c r="E116" s="1186">
        <v>24</v>
      </c>
      <c r="F116" s="1186">
        <v>2</v>
      </c>
      <c r="G116" s="1186">
        <v>1</v>
      </c>
      <c r="H116" s="1186"/>
      <c r="I116" s="1186">
        <v>5</v>
      </c>
      <c r="J116" s="1186">
        <v>1</v>
      </c>
      <c r="K116" s="1186">
        <v>5</v>
      </c>
      <c r="L116" s="1186">
        <v>19</v>
      </c>
      <c r="M116" s="1186">
        <v>5</v>
      </c>
      <c r="N116" s="1186">
        <v>10</v>
      </c>
      <c r="O116" s="1186">
        <v>1</v>
      </c>
      <c r="P116" s="1186">
        <v>1</v>
      </c>
      <c r="Q116" s="1186">
        <v>3</v>
      </c>
      <c r="R116" s="1186">
        <v>2</v>
      </c>
      <c r="S116" s="1186">
        <v>7</v>
      </c>
      <c r="T116" s="1186">
        <v>4</v>
      </c>
      <c r="U116" s="1186">
        <v>5</v>
      </c>
      <c r="V116" s="1186">
        <v>5</v>
      </c>
      <c r="W116" s="1186">
        <v>4</v>
      </c>
      <c r="X116" s="1186">
        <v>4</v>
      </c>
      <c r="Y116" s="1186">
        <v>1</v>
      </c>
      <c r="Z116" s="1186">
        <v>6</v>
      </c>
      <c r="AA116" s="1186">
        <v>2</v>
      </c>
      <c r="AB116" s="1186">
        <v>4</v>
      </c>
      <c r="AC116" s="1186"/>
      <c r="AD116" s="1186">
        <v>2</v>
      </c>
      <c r="AE116" s="1186">
        <v>1</v>
      </c>
      <c r="AF116" s="1186"/>
      <c r="AG116" s="1186">
        <v>2</v>
      </c>
    </row>
    <row r="117" spans="1:33" x14ac:dyDescent="0.2">
      <c r="A117" s="1186" t="s">
        <v>38</v>
      </c>
      <c r="B117" s="1186" t="s">
        <v>15</v>
      </c>
      <c r="C117" s="1186">
        <v>125</v>
      </c>
      <c r="D117" s="1186">
        <v>20</v>
      </c>
      <c r="E117" s="1186">
        <v>31</v>
      </c>
      <c r="F117" s="1186">
        <v>37</v>
      </c>
      <c r="G117" s="1186"/>
      <c r="H117" s="1186"/>
      <c r="I117" s="1186">
        <v>9</v>
      </c>
      <c r="J117" s="1186"/>
      <c r="K117" s="1186">
        <v>1</v>
      </c>
      <c r="L117" s="1186"/>
      <c r="M117" s="1186"/>
      <c r="N117" s="1186">
        <v>4</v>
      </c>
      <c r="O117" s="1186"/>
      <c r="P117" s="1186"/>
      <c r="Q117" s="1186">
        <v>2</v>
      </c>
      <c r="R117" s="1186">
        <v>2</v>
      </c>
      <c r="S117" s="1186">
        <v>1</v>
      </c>
      <c r="T117" s="1186">
        <v>4</v>
      </c>
      <c r="U117" s="1186">
        <v>2</v>
      </c>
      <c r="V117" s="1186">
        <v>1</v>
      </c>
      <c r="W117" s="1186">
        <v>4</v>
      </c>
      <c r="X117" s="1186">
        <v>1</v>
      </c>
      <c r="Y117" s="1186"/>
      <c r="Z117" s="1186"/>
      <c r="AA117" s="1186">
        <v>1</v>
      </c>
      <c r="AB117" s="1186"/>
      <c r="AC117" s="1186"/>
      <c r="AD117" s="1186"/>
      <c r="AE117" s="1186">
        <v>5</v>
      </c>
      <c r="AF117" s="1186"/>
      <c r="AG117" s="1186"/>
    </row>
    <row r="118" spans="1:33" x14ac:dyDescent="0.2">
      <c r="A118" s="1186" t="s">
        <v>39</v>
      </c>
      <c r="B118" s="1186" t="s">
        <v>15</v>
      </c>
      <c r="C118" s="1186">
        <v>122</v>
      </c>
      <c r="D118" s="1186">
        <v>56</v>
      </c>
      <c r="E118" s="1186">
        <v>26</v>
      </c>
      <c r="F118" s="1186">
        <v>2</v>
      </c>
      <c r="G118" s="1186">
        <v>1</v>
      </c>
      <c r="H118" s="1186"/>
      <c r="I118" s="1186">
        <v>6</v>
      </c>
      <c r="J118" s="1186">
        <v>1</v>
      </c>
      <c r="K118" s="1186">
        <v>1</v>
      </c>
      <c r="L118" s="1186">
        <v>5</v>
      </c>
      <c r="M118" s="1186"/>
      <c r="N118" s="1186">
        <v>4</v>
      </c>
      <c r="O118" s="1186"/>
      <c r="P118" s="1186"/>
      <c r="Q118" s="1186"/>
      <c r="R118" s="1186"/>
      <c r="S118" s="1186">
        <v>2</v>
      </c>
      <c r="T118" s="1186">
        <v>5</v>
      </c>
      <c r="U118" s="1186">
        <v>4</v>
      </c>
      <c r="V118" s="1186">
        <v>1</v>
      </c>
      <c r="W118" s="1186">
        <v>4</v>
      </c>
      <c r="X118" s="1186"/>
      <c r="Y118" s="1186">
        <v>1</v>
      </c>
      <c r="Z118" s="1186"/>
      <c r="AA118" s="1186">
        <v>1</v>
      </c>
      <c r="AB118" s="1186">
        <v>2</v>
      </c>
      <c r="AC118" s="1186"/>
      <c r="AD118" s="1186"/>
      <c r="AE118" s="1186"/>
      <c r="AF118" s="1186"/>
      <c r="AG118" s="1186"/>
    </row>
    <row r="119" spans="1:33" x14ac:dyDescent="0.2">
      <c r="A119" s="1186" t="s">
        <v>40</v>
      </c>
      <c r="B119" s="1186" t="s">
        <v>15</v>
      </c>
      <c r="C119" s="1186">
        <v>89</v>
      </c>
      <c r="D119" s="1186">
        <v>39</v>
      </c>
      <c r="E119" s="1186">
        <v>7</v>
      </c>
      <c r="F119" s="1186"/>
      <c r="G119" s="1186"/>
      <c r="H119" s="1186"/>
      <c r="I119" s="1186">
        <v>11</v>
      </c>
      <c r="J119" s="1186"/>
      <c r="K119" s="1186"/>
      <c r="L119" s="1186">
        <v>2</v>
      </c>
      <c r="M119" s="1186">
        <v>4</v>
      </c>
      <c r="N119" s="1186">
        <v>8</v>
      </c>
      <c r="O119" s="1186"/>
      <c r="P119" s="1186"/>
      <c r="Q119" s="1186">
        <v>1</v>
      </c>
      <c r="R119" s="1186">
        <v>1</v>
      </c>
      <c r="S119" s="1186">
        <v>1</v>
      </c>
      <c r="T119" s="1186">
        <v>2</v>
      </c>
      <c r="U119" s="1186">
        <v>4</v>
      </c>
      <c r="V119" s="1186">
        <v>2</v>
      </c>
      <c r="W119" s="1186">
        <v>1</v>
      </c>
      <c r="X119" s="1186">
        <v>3</v>
      </c>
      <c r="Y119" s="1186"/>
      <c r="Z119" s="1186"/>
      <c r="AA119" s="1186"/>
      <c r="AB119" s="1186"/>
      <c r="AC119" s="1186"/>
      <c r="AD119" s="1186"/>
      <c r="AE119" s="1186"/>
      <c r="AF119" s="1186"/>
      <c r="AG119" s="1186">
        <v>3</v>
      </c>
    </row>
    <row r="120" spans="1:33" x14ac:dyDescent="0.2">
      <c r="A120" s="1186" t="s">
        <v>295</v>
      </c>
      <c r="B120" s="1186" t="s">
        <v>15</v>
      </c>
      <c r="C120" s="1186">
        <v>32</v>
      </c>
      <c r="D120" s="1186">
        <v>23</v>
      </c>
      <c r="E120" s="1186"/>
      <c r="F120" s="1186"/>
      <c r="G120" s="1186"/>
      <c r="H120" s="1186"/>
      <c r="I120" s="1186"/>
      <c r="J120" s="1186"/>
      <c r="K120" s="1186"/>
      <c r="L120" s="1186">
        <v>1</v>
      </c>
      <c r="M120" s="1186"/>
      <c r="N120" s="1186">
        <v>1</v>
      </c>
      <c r="O120" s="1186"/>
      <c r="P120" s="1186">
        <v>1</v>
      </c>
      <c r="Q120" s="1186"/>
      <c r="R120" s="1186"/>
      <c r="S120" s="1186">
        <v>1</v>
      </c>
      <c r="T120" s="1186">
        <v>1</v>
      </c>
      <c r="U120" s="1186">
        <v>3</v>
      </c>
      <c r="V120" s="1186"/>
      <c r="W120" s="1186"/>
      <c r="X120" s="1186">
        <v>1</v>
      </c>
      <c r="Y120" s="1186"/>
      <c r="Z120" s="1186"/>
      <c r="AA120" s="1186"/>
      <c r="AB120" s="1186"/>
      <c r="AC120" s="1186"/>
      <c r="AD120" s="1186"/>
      <c r="AE120" s="1186"/>
      <c r="AF120" s="1186"/>
      <c r="AG120" s="1186"/>
    </row>
    <row r="121" spans="1:33" x14ac:dyDescent="0.2">
      <c r="A121" s="1186" t="s">
        <v>41</v>
      </c>
      <c r="B121" s="1186" t="s">
        <v>15</v>
      </c>
      <c r="C121" s="1186">
        <v>200</v>
      </c>
      <c r="D121" s="1186">
        <v>78</v>
      </c>
      <c r="E121" s="1186">
        <v>54</v>
      </c>
      <c r="F121" s="1186">
        <v>8</v>
      </c>
      <c r="G121" s="1186"/>
      <c r="H121" s="1186"/>
      <c r="I121" s="1186">
        <v>13</v>
      </c>
      <c r="J121" s="1186">
        <v>1</v>
      </c>
      <c r="K121" s="1186"/>
      <c r="L121" s="1186">
        <v>11</v>
      </c>
      <c r="M121" s="1186">
        <v>1</v>
      </c>
      <c r="N121" s="1186">
        <v>8</v>
      </c>
      <c r="O121" s="1186"/>
      <c r="P121" s="1186"/>
      <c r="Q121" s="1186"/>
      <c r="R121" s="1186">
        <v>5</v>
      </c>
      <c r="S121" s="1186">
        <v>1</v>
      </c>
      <c r="T121" s="1186">
        <v>4</v>
      </c>
      <c r="U121" s="1186">
        <v>2</v>
      </c>
      <c r="V121" s="1186"/>
      <c r="W121" s="1186">
        <v>3</v>
      </c>
      <c r="X121" s="1186">
        <v>1</v>
      </c>
      <c r="Y121" s="1186">
        <v>2</v>
      </c>
      <c r="Z121" s="1186"/>
      <c r="AA121" s="1186">
        <v>1</v>
      </c>
      <c r="AB121" s="1186">
        <v>6</v>
      </c>
      <c r="AC121" s="1186"/>
      <c r="AD121" s="1186"/>
      <c r="AE121" s="1186">
        <v>1</v>
      </c>
      <c r="AF121" s="1186"/>
      <c r="AG121" s="1186"/>
    </row>
    <row r="122" spans="1:33" x14ac:dyDescent="0.2">
      <c r="A122" s="1186" t="s">
        <v>42</v>
      </c>
      <c r="B122" s="1186" t="s">
        <v>15</v>
      </c>
      <c r="C122" s="1186">
        <v>503</v>
      </c>
      <c r="D122" s="1186">
        <v>152</v>
      </c>
      <c r="E122" s="1186">
        <v>181</v>
      </c>
      <c r="F122" s="1186">
        <v>8</v>
      </c>
      <c r="G122" s="1186"/>
      <c r="H122" s="1186"/>
      <c r="I122" s="1186">
        <v>17</v>
      </c>
      <c r="J122" s="1186">
        <v>2</v>
      </c>
      <c r="K122" s="1186"/>
      <c r="L122" s="1186">
        <v>36</v>
      </c>
      <c r="M122" s="1186">
        <v>2</v>
      </c>
      <c r="N122" s="1186">
        <v>15</v>
      </c>
      <c r="O122" s="1186">
        <v>1</v>
      </c>
      <c r="P122" s="1186">
        <v>7</v>
      </c>
      <c r="Q122" s="1186">
        <v>7</v>
      </c>
      <c r="R122" s="1186">
        <v>9</v>
      </c>
      <c r="S122" s="1186">
        <v>9</v>
      </c>
      <c r="T122" s="1186">
        <v>15</v>
      </c>
      <c r="U122" s="1186">
        <v>10</v>
      </c>
      <c r="V122" s="1186">
        <v>3</v>
      </c>
      <c r="W122" s="1186">
        <v>15</v>
      </c>
      <c r="X122" s="1186"/>
      <c r="Y122" s="1186"/>
      <c r="Z122" s="1186"/>
      <c r="AA122" s="1186">
        <v>2</v>
      </c>
      <c r="AB122" s="1186">
        <v>9</v>
      </c>
      <c r="AC122" s="1186"/>
      <c r="AD122" s="1186"/>
      <c r="AE122" s="1186">
        <v>3</v>
      </c>
      <c r="AF122" s="1186"/>
      <c r="AG122" s="1186"/>
    </row>
    <row r="123" spans="1:33" x14ac:dyDescent="0.2">
      <c r="A123" s="1186" t="s">
        <v>43</v>
      </c>
      <c r="B123" s="1186" t="s">
        <v>15</v>
      </c>
      <c r="C123" s="1186">
        <v>16</v>
      </c>
      <c r="D123" s="1186">
        <v>8</v>
      </c>
      <c r="E123" s="1186">
        <v>1</v>
      </c>
      <c r="F123" s="1186">
        <v>1</v>
      </c>
      <c r="G123" s="1186"/>
      <c r="H123" s="1186"/>
      <c r="I123" s="1186"/>
      <c r="J123" s="1186"/>
      <c r="K123" s="1186"/>
      <c r="L123" s="1186">
        <v>2</v>
      </c>
      <c r="M123" s="1186"/>
      <c r="N123" s="1186"/>
      <c r="O123" s="1186"/>
      <c r="P123" s="1186"/>
      <c r="Q123" s="1186"/>
      <c r="R123" s="1186">
        <v>1</v>
      </c>
      <c r="S123" s="1186">
        <v>1</v>
      </c>
      <c r="T123" s="1186"/>
      <c r="U123" s="1186"/>
      <c r="V123" s="1186"/>
      <c r="W123" s="1186">
        <v>1</v>
      </c>
      <c r="X123" s="1186"/>
      <c r="Y123" s="1186"/>
      <c r="Z123" s="1186"/>
      <c r="AA123" s="1186"/>
      <c r="AB123" s="1186"/>
      <c r="AC123" s="1186"/>
      <c r="AD123" s="1186">
        <v>1</v>
      </c>
      <c r="AE123" s="1186"/>
      <c r="AF123" s="1186"/>
      <c r="AG123" s="1186"/>
    </row>
    <row r="124" spans="1:33" x14ac:dyDescent="0.2">
      <c r="A124" s="1186" t="s">
        <v>44</v>
      </c>
      <c r="B124" s="1186" t="s">
        <v>15</v>
      </c>
      <c r="C124" s="1186">
        <v>189</v>
      </c>
      <c r="D124" s="1186">
        <v>56</v>
      </c>
      <c r="E124" s="1186">
        <v>36</v>
      </c>
      <c r="F124" s="1186">
        <v>16</v>
      </c>
      <c r="G124" s="1186"/>
      <c r="H124" s="1186"/>
      <c r="I124" s="1186">
        <v>13</v>
      </c>
      <c r="J124" s="1186"/>
      <c r="K124" s="1186"/>
      <c r="L124" s="1186">
        <v>4</v>
      </c>
      <c r="M124" s="1186">
        <v>7</v>
      </c>
      <c r="N124" s="1186">
        <v>8</v>
      </c>
      <c r="O124" s="1186"/>
      <c r="P124" s="1186">
        <v>5</v>
      </c>
      <c r="Q124" s="1186">
        <v>6</v>
      </c>
      <c r="R124" s="1186">
        <v>2</v>
      </c>
      <c r="S124" s="1186">
        <v>4</v>
      </c>
      <c r="T124" s="1186">
        <v>7</v>
      </c>
      <c r="U124" s="1186">
        <v>2</v>
      </c>
      <c r="V124" s="1186">
        <v>4</v>
      </c>
      <c r="W124" s="1186">
        <v>4</v>
      </c>
      <c r="X124" s="1186">
        <v>3</v>
      </c>
      <c r="Y124" s="1186">
        <v>2</v>
      </c>
      <c r="Z124" s="1186"/>
      <c r="AA124" s="1186">
        <v>1</v>
      </c>
      <c r="AB124" s="1186">
        <v>4</v>
      </c>
      <c r="AC124" s="1186"/>
      <c r="AD124" s="1186"/>
      <c r="AE124" s="1186">
        <v>5</v>
      </c>
      <c r="AF124" s="1186"/>
      <c r="AG124" s="1186"/>
    </row>
    <row r="125" spans="1:33" x14ac:dyDescent="0.2">
      <c r="A125" s="1186" t="s">
        <v>45</v>
      </c>
      <c r="B125" s="1186" t="s">
        <v>15</v>
      </c>
      <c r="C125" s="1186">
        <v>342</v>
      </c>
      <c r="D125" s="1186">
        <v>75</v>
      </c>
      <c r="E125" s="1186">
        <v>89</v>
      </c>
      <c r="F125" s="1186">
        <v>55</v>
      </c>
      <c r="G125" s="1186"/>
      <c r="H125" s="1186"/>
      <c r="I125" s="1186">
        <v>41</v>
      </c>
      <c r="J125" s="1186"/>
      <c r="K125" s="1186"/>
      <c r="L125" s="1186">
        <v>15</v>
      </c>
      <c r="M125" s="1186">
        <v>2</v>
      </c>
      <c r="N125" s="1186">
        <v>4</v>
      </c>
      <c r="O125" s="1186">
        <v>3</v>
      </c>
      <c r="P125" s="1186">
        <v>2</v>
      </c>
      <c r="Q125" s="1186">
        <v>5</v>
      </c>
      <c r="R125" s="1186">
        <v>7</v>
      </c>
      <c r="S125" s="1186">
        <v>5</v>
      </c>
      <c r="T125" s="1186">
        <v>3</v>
      </c>
      <c r="U125" s="1186">
        <v>5</v>
      </c>
      <c r="V125" s="1186">
        <v>5</v>
      </c>
      <c r="W125" s="1186">
        <v>7</v>
      </c>
      <c r="X125" s="1186">
        <v>4</v>
      </c>
      <c r="Y125" s="1186">
        <v>6</v>
      </c>
      <c r="Z125" s="1186"/>
      <c r="AA125" s="1186"/>
      <c r="AB125" s="1186">
        <v>6</v>
      </c>
      <c r="AC125" s="1186">
        <v>1</v>
      </c>
      <c r="AD125" s="1186"/>
      <c r="AE125" s="1186">
        <v>1</v>
      </c>
      <c r="AF125" s="1186"/>
      <c r="AG125" s="1186">
        <v>1</v>
      </c>
    </row>
    <row r="126" spans="1:33" x14ac:dyDescent="0.2">
      <c r="A126" s="1186" t="s">
        <v>46</v>
      </c>
      <c r="B126" s="1186" t="s">
        <v>15</v>
      </c>
      <c r="C126" s="1186">
        <v>132</v>
      </c>
      <c r="D126" s="1186">
        <v>51</v>
      </c>
      <c r="E126" s="1186">
        <v>33</v>
      </c>
      <c r="F126" s="1186">
        <v>2</v>
      </c>
      <c r="G126" s="1186">
        <v>1</v>
      </c>
      <c r="H126" s="1186"/>
      <c r="I126" s="1186">
        <v>15</v>
      </c>
      <c r="J126" s="1186">
        <v>1</v>
      </c>
      <c r="K126" s="1186">
        <v>4</v>
      </c>
      <c r="L126" s="1186">
        <v>4</v>
      </c>
      <c r="M126" s="1186">
        <v>4</v>
      </c>
      <c r="N126" s="1186">
        <v>3</v>
      </c>
      <c r="O126" s="1186"/>
      <c r="P126" s="1186"/>
      <c r="Q126" s="1186"/>
      <c r="R126" s="1186">
        <v>2</v>
      </c>
      <c r="S126" s="1186">
        <v>2</v>
      </c>
      <c r="T126" s="1186">
        <v>1</v>
      </c>
      <c r="U126" s="1186"/>
      <c r="V126" s="1186"/>
      <c r="W126" s="1186">
        <v>1</v>
      </c>
      <c r="X126" s="1186">
        <v>4</v>
      </c>
      <c r="Y126" s="1186"/>
      <c r="Z126" s="1186"/>
      <c r="AA126" s="1186"/>
      <c r="AB126" s="1186">
        <v>1</v>
      </c>
      <c r="AC126" s="1186"/>
      <c r="AD126" s="1186"/>
      <c r="AE126" s="1186">
        <v>3</v>
      </c>
      <c r="AF126" s="1186"/>
      <c r="AG126" s="1186"/>
    </row>
    <row r="127" spans="1:33" x14ac:dyDescent="0.2">
      <c r="A127" s="1186" t="s">
        <v>47</v>
      </c>
      <c r="B127" s="1186" t="s">
        <v>15</v>
      </c>
      <c r="C127" s="1186">
        <v>24</v>
      </c>
      <c r="D127" s="1186">
        <v>16</v>
      </c>
      <c r="E127" s="1186"/>
      <c r="F127" s="1186"/>
      <c r="G127" s="1186">
        <v>1</v>
      </c>
      <c r="H127" s="1186"/>
      <c r="I127" s="1186"/>
      <c r="J127" s="1186"/>
      <c r="K127" s="1186">
        <v>1</v>
      </c>
      <c r="L127" s="1186">
        <v>2</v>
      </c>
      <c r="M127" s="1186"/>
      <c r="N127" s="1186">
        <v>1</v>
      </c>
      <c r="O127" s="1186"/>
      <c r="P127" s="1186"/>
      <c r="Q127" s="1186"/>
      <c r="R127" s="1186"/>
      <c r="S127" s="1186">
        <v>1</v>
      </c>
      <c r="T127" s="1186"/>
      <c r="U127" s="1186">
        <v>1</v>
      </c>
      <c r="V127" s="1186"/>
      <c r="W127" s="1186">
        <v>1</v>
      </c>
      <c r="X127" s="1186"/>
      <c r="Y127" s="1186"/>
      <c r="Z127" s="1186"/>
      <c r="AA127" s="1186"/>
      <c r="AB127" s="1186"/>
      <c r="AC127" s="1186"/>
      <c r="AD127" s="1186"/>
      <c r="AE127" s="1186"/>
      <c r="AF127" s="1186"/>
      <c r="AG127" s="1186"/>
    </row>
    <row r="128" spans="1:33" x14ac:dyDescent="0.2">
      <c r="A128" s="1186" t="s">
        <v>48</v>
      </c>
      <c r="B128" s="1186" t="s">
        <v>15</v>
      </c>
      <c r="C128" s="1186">
        <v>162</v>
      </c>
      <c r="D128" s="1186">
        <v>33</v>
      </c>
      <c r="E128" s="1186">
        <v>67</v>
      </c>
      <c r="F128" s="1186">
        <v>4</v>
      </c>
      <c r="G128" s="1186"/>
      <c r="H128" s="1186"/>
      <c r="I128" s="1186">
        <v>6</v>
      </c>
      <c r="J128" s="1186">
        <v>1</v>
      </c>
      <c r="K128" s="1186"/>
      <c r="L128" s="1186">
        <v>13</v>
      </c>
      <c r="M128" s="1186"/>
      <c r="N128" s="1186">
        <v>6</v>
      </c>
      <c r="O128" s="1186">
        <v>1</v>
      </c>
      <c r="P128" s="1186">
        <v>2</v>
      </c>
      <c r="Q128" s="1186"/>
      <c r="R128" s="1186">
        <v>4</v>
      </c>
      <c r="S128" s="1186"/>
      <c r="T128" s="1186">
        <v>7</v>
      </c>
      <c r="U128" s="1186">
        <v>1</v>
      </c>
      <c r="V128" s="1186">
        <v>2</v>
      </c>
      <c r="W128" s="1186">
        <v>6</v>
      </c>
      <c r="X128" s="1186">
        <v>3</v>
      </c>
      <c r="Y128" s="1186">
        <v>1</v>
      </c>
      <c r="Z128" s="1186">
        <v>1</v>
      </c>
      <c r="AA128" s="1186">
        <v>1</v>
      </c>
      <c r="AB128" s="1186">
        <v>2</v>
      </c>
      <c r="AC128" s="1186"/>
      <c r="AD128" s="1186"/>
      <c r="AE128" s="1186">
        <v>1</v>
      </c>
      <c r="AF128" s="1186"/>
      <c r="AG128" s="1186"/>
    </row>
    <row r="129" spans="1:33" x14ac:dyDescent="0.2">
      <c r="A129" s="1186" t="s">
        <v>49</v>
      </c>
      <c r="B129" s="1186" t="s">
        <v>15</v>
      </c>
      <c r="C129" s="1186">
        <v>419</v>
      </c>
      <c r="D129" s="1186">
        <v>111</v>
      </c>
      <c r="E129" s="1186">
        <v>142</v>
      </c>
      <c r="F129" s="1186">
        <v>10</v>
      </c>
      <c r="G129" s="1186"/>
      <c r="H129" s="1186"/>
      <c r="I129" s="1186">
        <v>28</v>
      </c>
      <c r="J129" s="1186"/>
      <c r="K129" s="1186">
        <v>1</v>
      </c>
      <c r="L129" s="1186">
        <v>33</v>
      </c>
      <c r="M129" s="1186">
        <v>3</v>
      </c>
      <c r="N129" s="1186">
        <v>17</v>
      </c>
      <c r="O129" s="1186">
        <v>4</v>
      </c>
      <c r="P129" s="1186">
        <v>8</v>
      </c>
      <c r="Q129" s="1186"/>
      <c r="R129" s="1186">
        <v>10</v>
      </c>
      <c r="S129" s="1186">
        <v>4</v>
      </c>
      <c r="T129" s="1186">
        <v>14</v>
      </c>
      <c r="U129" s="1186">
        <v>4</v>
      </c>
      <c r="V129" s="1186">
        <v>8</v>
      </c>
      <c r="W129" s="1186">
        <v>10</v>
      </c>
      <c r="X129" s="1186">
        <v>1</v>
      </c>
      <c r="Y129" s="1186"/>
      <c r="Z129" s="1186"/>
      <c r="AA129" s="1186">
        <v>1</v>
      </c>
      <c r="AB129" s="1186">
        <v>9</v>
      </c>
      <c r="AC129" s="1186">
        <v>1</v>
      </c>
      <c r="AD129" s="1186"/>
      <c r="AE129" s="1186"/>
      <c r="AF129" s="1186"/>
      <c r="AG129" s="1186"/>
    </row>
    <row r="130" spans="1:33" x14ac:dyDescent="0.2">
      <c r="A130" s="1186" t="s">
        <v>50</v>
      </c>
      <c r="B130" s="1186" t="s">
        <v>15</v>
      </c>
      <c r="C130" s="1186">
        <v>100</v>
      </c>
      <c r="D130" s="1186">
        <v>21</v>
      </c>
      <c r="E130" s="1186">
        <v>21</v>
      </c>
      <c r="F130" s="1186">
        <v>2</v>
      </c>
      <c r="G130" s="1186">
        <v>1</v>
      </c>
      <c r="H130" s="1186"/>
      <c r="I130" s="1186">
        <v>9</v>
      </c>
      <c r="J130" s="1186"/>
      <c r="K130" s="1186">
        <v>3</v>
      </c>
      <c r="L130" s="1186">
        <v>5</v>
      </c>
      <c r="M130" s="1186"/>
      <c r="N130" s="1186">
        <v>5</v>
      </c>
      <c r="O130" s="1186"/>
      <c r="P130" s="1186">
        <v>1</v>
      </c>
      <c r="Q130" s="1186">
        <v>11</v>
      </c>
      <c r="R130" s="1186">
        <v>1</v>
      </c>
      <c r="S130" s="1186">
        <v>4</v>
      </c>
      <c r="T130" s="1186">
        <v>1</v>
      </c>
      <c r="U130" s="1186">
        <v>4</v>
      </c>
      <c r="V130" s="1186"/>
      <c r="W130" s="1186">
        <v>2</v>
      </c>
      <c r="X130" s="1186">
        <v>3</v>
      </c>
      <c r="Y130" s="1186"/>
      <c r="Z130" s="1186">
        <v>1</v>
      </c>
      <c r="AA130" s="1186"/>
      <c r="AB130" s="1186">
        <v>2</v>
      </c>
      <c r="AC130" s="1186"/>
      <c r="AD130" s="1186">
        <v>1</v>
      </c>
      <c r="AE130" s="1186">
        <v>1</v>
      </c>
      <c r="AF130" s="1186">
        <v>1</v>
      </c>
      <c r="AG130" s="1186"/>
    </row>
    <row r="131" spans="1:33" x14ac:dyDescent="0.2">
      <c r="A131" s="1186" t="s">
        <v>51</v>
      </c>
      <c r="B131" s="1186" t="s">
        <v>15</v>
      </c>
      <c r="C131" s="1186">
        <v>190</v>
      </c>
      <c r="D131" s="1186">
        <v>27</v>
      </c>
      <c r="E131" s="1186">
        <v>99</v>
      </c>
      <c r="F131" s="1186">
        <v>12</v>
      </c>
      <c r="G131" s="1186"/>
      <c r="H131" s="1186"/>
      <c r="I131" s="1186">
        <v>8</v>
      </c>
      <c r="J131" s="1186"/>
      <c r="K131" s="1186"/>
      <c r="L131" s="1186">
        <v>8</v>
      </c>
      <c r="M131" s="1186">
        <v>2</v>
      </c>
      <c r="N131" s="1186">
        <v>2</v>
      </c>
      <c r="O131" s="1186">
        <v>1</v>
      </c>
      <c r="P131" s="1186">
        <v>3</v>
      </c>
      <c r="Q131" s="1186"/>
      <c r="R131" s="1186"/>
      <c r="S131" s="1186">
        <v>4</v>
      </c>
      <c r="T131" s="1186">
        <v>2</v>
      </c>
      <c r="U131" s="1186">
        <v>3</v>
      </c>
      <c r="V131" s="1186">
        <v>1</v>
      </c>
      <c r="W131" s="1186">
        <v>6</v>
      </c>
      <c r="X131" s="1186">
        <v>3</v>
      </c>
      <c r="Y131" s="1186"/>
      <c r="Z131" s="1186"/>
      <c r="AA131" s="1186">
        <v>2</v>
      </c>
      <c r="AB131" s="1186">
        <v>5</v>
      </c>
      <c r="AC131" s="1186"/>
      <c r="AD131" s="1186">
        <v>1</v>
      </c>
      <c r="AE131" s="1186">
        <v>1</v>
      </c>
      <c r="AF131" s="1186"/>
      <c r="AG131" s="1186"/>
    </row>
    <row r="132" spans="1:33" x14ac:dyDescent="0.2">
      <c r="A132" s="1186" t="s">
        <v>52</v>
      </c>
      <c r="B132" s="1186" t="s">
        <v>15</v>
      </c>
      <c r="C132" s="1186">
        <v>276</v>
      </c>
      <c r="D132" s="1186">
        <v>120</v>
      </c>
      <c r="E132" s="1186">
        <v>58</v>
      </c>
      <c r="F132" s="1186">
        <v>2</v>
      </c>
      <c r="G132" s="1186">
        <v>4</v>
      </c>
      <c r="H132" s="1186"/>
      <c r="I132" s="1186">
        <v>14</v>
      </c>
      <c r="J132" s="1186">
        <v>1</v>
      </c>
      <c r="K132" s="1186">
        <v>2</v>
      </c>
      <c r="L132" s="1186">
        <v>6</v>
      </c>
      <c r="M132" s="1186">
        <v>2</v>
      </c>
      <c r="N132" s="1186">
        <v>6</v>
      </c>
      <c r="O132" s="1186">
        <v>3</v>
      </c>
      <c r="P132" s="1186">
        <v>3</v>
      </c>
      <c r="Q132" s="1186">
        <v>12</v>
      </c>
      <c r="R132" s="1186">
        <v>6</v>
      </c>
      <c r="S132" s="1186">
        <v>1</v>
      </c>
      <c r="T132" s="1186">
        <v>7</v>
      </c>
      <c r="U132" s="1186">
        <v>5</v>
      </c>
      <c r="V132" s="1186">
        <v>6</v>
      </c>
      <c r="W132" s="1186">
        <v>7</v>
      </c>
      <c r="X132" s="1186">
        <v>3</v>
      </c>
      <c r="Y132" s="1186">
        <v>1</v>
      </c>
      <c r="Z132" s="1186"/>
      <c r="AA132" s="1186"/>
      <c r="AB132" s="1186">
        <v>4</v>
      </c>
      <c r="AC132" s="1186"/>
      <c r="AD132" s="1186">
        <v>1</v>
      </c>
      <c r="AE132" s="1186">
        <v>1</v>
      </c>
      <c r="AF132" s="1186">
        <v>1</v>
      </c>
      <c r="AG132" s="1186"/>
    </row>
    <row r="133" spans="1:33" x14ac:dyDescent="0.2">
      <c r="A133" s="1186" t="s">
        <v>23</v>
      </c>
      <c r="B133" s="1186" t="s">
        <v>17</v>
      </c>
      <c r="C133" s="1186">
        <v>436</v>
      </c>
      <c r="D133" s="1186">
        <v>67</v>
      </c>
      <c r="E133" s="1186">
        <v>163</v>
      </c>
      <c r="F133" s="1186">
        <v>41</v>
      </c>
      <c r="G133" s="1186">
        <v>5</v>
      </c>
      <c r="H133" s="1186"/>
      <c r="I133" s="1186">
        <v>16</v>
      </c>
      <c r="J133" s="1186">
        <v>1</v>
      </c>
      <c r="K133" s="1186">
        <v>1</v>
      </c>
      <c r="L133" s="1186">
        <v>4</v>
      </c>
      <c r="M133" s="1186"/>
      <c r="N133" s="1186">
        <v>18</v>
      </c>
      <c r="O133" s="1186">
        <v>2</v>
      </c>
      <c r="P133" s="1186">
        <v>15</v>
      </c>
      <c r="Q133" s="1186">
        <v>5</v>
      </c>
      <c r="R133" s="1186">
        <v>7</v>
      </c>
      <c r="S133" s="1186">
        <v>10</v>
      </c>
      <c r="T133" s="1186">
        <v>13</v>
      </c>
      <c r="U133" s="1186">
        <v>15</v>
      </c>
      <c r="V133" s="1186">
        <v>12</v>
      </c>
      <c r="W133" s="1186">
        <v>11</v>
      </c>
      <c r="X133" s="1186">
        <v>6</v>
      </c>
      <c r="Y133" s="1186">
        <v>4</v>
      </c>
      <c r="Z133" s="1186"/>
      <c r="AA133" s="1186"/>
      <c r="AB133" s="1186">
        <v>8</v>
      </c>
      <c r="AC133" s="1186">
        <v>11</v>
      </c>
      <c r="AD133" s="1186"/>
      <c r="AE133" s="1186"/>
      <c r="AF133" s="1186">
        <v>1</v>
      </c>
      <c r="AG133" s="1186"/>
    </row>
    <row r="134" spans="1:33" x14ac:dyDescent="0.2">
      <c r="A134" s="1186" t="s">
        <v>24</v>
      </c>
      <c r="B134" s="1186" t="s">
        <v>17</v>
      </c>
      <c r="C134" s="1186">
        <v>270</v>
      </c>
      <c r="D134" s="1186">
        <v>98</v>
      </c>
      <c r="E134" s="1186">
        <v>24</v>
      </c>
      <c r="F134" s="1186">
        <v>2</v>
      </c>
      <c r="G134" s="1186">
        <v>1</v>
      </c>
      <c r="H134" s="1186"/>
      <c r="I134" s="1186">
        <v>55</v>
      </c>
      <c r="J134" s="1186">
        <v>2</v>
      </c>
      <c r="K134" s="1186"/>
      <c r="L134" s="1186">
        <v>15</v>
      </c>
      <c r="M134" s="1186">
        <v>17</v>
      </c>
      <c r="N134" s="1186">
        <v>4</v>
      </c>
      <c r="O134" s="1186">
        <v>1</v>
      </c>
      <c r="P134" s="1186">
        <v>3</v>
      </c>
      <c r="Q134" s="1186">
        <v>1</v>
      </c>
      <c r="R134" s="1186">
        <v>2</v>
      </c>
      <c r="S134" s="1186">
        <v>4</v>
      </c>
      <c r="T134" s="1186">
        <v>12</v>
      </c>
      <c r="U134" s="1186">
        <v>6</v>
      </c>
      <c r="V134" s="1186">
        <v>4</v>
      </c>
      <c r="W134" s="1186">
        <v>1</v>
      </c>
      <c r="X134" s="1186">
        <v>6</v>
      </c>
      <c r="Y134" s="1186"/>
      <c r="Z134" s="1186"/>
      <c r="AA134" s="1186">
        <v>2</v>
      </c>
      <c r="AB134" s="1186">
        <v>9</v>
      </c>
      <c r="AC134" s="1186">
        <v>1</v>
      </c>
      <c r="AD134" s="1186"/>
      <c r="AE134" s="1186"/>
      <c r="AF134" s="1186"/>
      <c r="AG134" s="1186"/>
    </row>
    <row r="135" spans="1:33" x14ac:dyDescent="0.2">
      <c r="A135" s="1186" t="s">
        <v>25</v>
      </c>
      <c r="B135" s="1186" t="s">
        <v>17</v>
      </c>
      <c r="C135" s="1186">
        <v>125</v>
      </c>
      <c r="D135" s="1186">
        <v>35</v>
      </c>
      <c r="E135" s="1186">
        <v>23</v>
      </c>
      <c r="F135" s="1186">
        <v>12</v>
      </c>
      <c r="G135" s="1186">
        <v>1</v>
      </c>
      <c r="H135" s="1186"/>
      <c r="I135" s="1186">
        <v>8</v>
      </c>
      <c r="J135" s="1186">
        <v>1</v>
      </c>
      <c r="K135" s="1186"/>
      <c r="L135" s="1186">
        <v>6</v>
      </c>
      <c r="M135" s="1186">
        <v>5</v>
      </c>
      <c r="N135" s="1186">
        <v>5</v>
      </c>
      <c r="O135" s="1186"/>
      <c r="P135" s="1186">
        <v>2</v>
      </c>
      <c r="Q135" s="1186">
        <v>1</v>
      </c>
      <c r="R135" s="1186">
        <v>3</v>
      </c>
      <c r="S135" s="1186">
        <v>4</v>
      </c>
      <c r="T135" s="1186">
        <v>2</v>
      </c>
      <c r="U135" s="1186">
        <v>4</v>
      </c>
      <c r="V135" s="1186">
        <v>3</v>
      </c>
      <c r="W135" s="1186">
        <v>2</v>
      </c>
      <c r="X135" s="1186"/>
      <c r="Y135" s="1186"/>
      <c r="Z135" s="1186"/>
      <c r="AA135" s="1186"/>
      <c r="AB135" s="1186">
        <v>5</v>
      </c>
      <c r="AC135" s="1186"/>
      <c r="AD135" s="1186"/>
      <c r="AE135" s="1186">
        <v>2</v>
      </c>
      <c r="AF135" s="1186"/>
      <c r="AG135" s="1186">
        <v>1</v>
      </c>
    </row>
    <row r="136" spans="1:33" x14ac:dyDescent="0.2">
      <c r="A136" s="1186" t="s">
        <v>26</v>
      </c>
      <c r="B136" s="1186" t="s">
        <v>17</v>
      </c>
      <c r="C136" s="1186">
        <v>134</v>
      </c>
      <c r="D136" s="1186">
        <v>39</v>
      </c>
      <c r="E136" s="1186">
        <v>27</v>
      </c>
      <c r="F136" s="1186">
        <v>11</v>
      </c>
      <c r="G136" s="1186"/>
      <c r="H136" s="1186"/>
      <c r="I136" s="1186">
        <v>10</v>
      </c>
      <c r="J136" s="1186">
        <v>1</v>
      </c>
      <c r="K136" s="1186"/>
      <c r="L136" s="1186">
        <v>6</v>
      </c>
      <c r="M136" s="1186">
        <v>1</v>
      </c>
      <c r="N136" s="1186">
        <v>5</v>
      </c>
      <c r="O136" s="1186"/>
      <c r="P136" s="1186">
        <v>2</v>
      </c>
      <c r="Q136" s="1186"/>
      <c r="R136" s="1186">
        <v>7</v>
      </c>
      <c r="S136" s="1186">
        <v>2</v>
      </c>
      <c r="T136" s="1186">
        <v>6</v>
      </c>
      <c r="U136" s="1186">
        <v>3</v>
      </c>
      <c r="V136" s="1186">
        <v>1</v>
      </c>
      <c r="W136" s="1186">
        <v>2</v>
      </c>
      <c r="X136" s="1186">
        <v>6</v>
      </c>
      <c r="Y136" s="1186"/>
      <c r="Z136" s="1186"/>
      <c r="AA136" s="1186"/>
      <c r="AB136" s="1186">
        <v>3</v>
      </c>
      <c r="AC136" s="1186"/>
      <c r="AD136" s="1186">
        <v>1</v>
      </c>
      <c r="AE136" s="1186">
        <v>1</v>
      </c>
      <c r="AF136" s="1186"/>
      <c r="AG136" s="1186"/>
    </row>
    <row r="137" spans="1:33" x14ac:dyDescent="0.2">
      <c r="A137" s="1186" t="s">
        <v>619</v>
      </c>
      <c r="B137" s="1186" t="s">
        <v>17</v>
      </c>
      <c r="C137" s="1186">
        <v>874</v>
      </c>
      <c r="D137" s="1186">
        <v>119</v>
      </c>
      <c r="E137" s="1186">
        <v>316</v>
      </c>
      <c r="F137" s="1186">
        <v>119</v>
      </c>
      <c r="G137" s="1186">
        <v>6</v>
      </c>
      <c r="H137" s="1186"/>
      <c r="I137" s="1186">
        <v>45</v>
      </c>
      <c r="J137" s="1186"/>
      <c r="K137" s="1186">
        <v>2</v>
      </c>
      <c r="L137" s="1186">
        <v>22</v>
      </c>
      <c r="M137" s="1186">
        <v>3</v>
      </c>
      <c r="N137" s="1186">
        <v>11</v>
      </c>
      <c r="O137" s="1186">
        <v>1</v>
      </c>
      <c r="P137" s="1186">
        <v>15</v>
      </c>
      <c r="Q137" s="1186">
        <v>9</v>
      </c>
      <c r="R137" s="1186">
        <v>18</v>
      </c>
      <c r="S137" s="1186">
        <v>29</v>
      </c>
      <c r="T137" s="1186">
        <v>33</v>
      </c>
      <c r="U137" s="1186">
        <v>18</v>
      </c>
      <c r="V137" s="1186">
        <v>20</v>
      </c>
      <c r="W137" s="1186">
        <v>14</v>
      </c>
      <c r="X137" s="1186">
        <v>14</v>
      </c>
      <c r="Y137" s="1186">
        <v>8</v>
      </c>
      <c r="Z137" s="1186"/>
      <c r="AA137" s="1186">
        <v>1</v>
      </c>
      <c r="AB137" s="1186">
        <v>6</v>
      </c>
      <c r="AC137" s="1186">
        <v>34</v>
      </c>
      <c r="AD137" s="1186">
        <v>2</v>
      </c>
      <c r="AE137" s="1186">
        <v>5</v>
      </c>
      <c r="AF137" s="1186">
        <v>2</v>
      </c>
      <c r="AG137" s="1186">
        <v>2</v>
      </c>
    </row>
    <row r="138" spans="1:33" x14ac:dyDescent="0.2">
      <c r="A138" s="1186" t="s">
        <v>27</v>
      </c>
      <c r="B138" s="1186" t="s">
        <v>17</v>
      </c>
      <c r="C138" s="1186">
        <v>63</v>
      </c>
      <c r="D138" s="1186">
        <v>24</v>
      </c>
      <c r="E138" s="1186">
        <v>16</v>
      </c>
      <c r="F138" s="1186"/>
      <c r="G138" s="1186"/>
      <c r="H138" s="1186"/>
      <c r="I138" s="1186">
        <v>2</v>
      </c>
      <c r="J138" s="1186"/>
      <c r="K138" s="1186"/>
      <c r="L138" s="1186">
        <v>3</v>
      </c>
      <c r="M138" s="1186">
        <v>3</v>
      </c>
      <c r="N138" s="1186">
        <v>1</v>
      </c>
      <c r="O138" s="1186"/>
      <c r="P138" s="1186">
        <v>1</v>
      </c>
      <c r="Q138" s="1186">
        <v>4</v>
      </c>
      <c r="R138" s="1186"/>
      <c r="S138" s="1186">
        <v>3</v>
      </c>
      <c r="T138" s="1186"/>
      <c r="U138" s="1186">
        <v>1</v>
      </c>
      <c r="V138" s="1186"/>
      <c r="W138" s="1186">
        <v>1</v>
      </c>
      <c r="X138" s="1186"/>
      <c r="Y138" s="1186"/>
      <c r="Z138" s="1186"/>
      <c r="AA138" s="1186"/>
      <c r="AB138" s="1186">
        <v>4</v>
      </c>
      <c r="AC138" s="1186"/>
      <c r="AD138" s="1186"/>
      <c r="AE138" s="1186"/>
      <c r="AF138" s="1186"/>
      <c r="AG138" s="1186"/>
    </row>
    <row r="139" spans="1:33" x14ac:dyDescent="0.2">
      <c r="A139" s="1186" t="s">
        <v>28</v>
      </c>
      <c r="B139" s="1186" t="s">
        <v>17</v>
      </c>
      <c r="C139" s="1186">
        <v>169</v>
      </c>
      <c r="D139" s="1186">
        <v>68</v>
      </c>
      <c r="E139" s="1186">
        <v>32</v>
      </c>
      <c r="F139" s="1186"/>
      <c r="G139" s="1186"/>
      <c r="H139" s="1186"/>
      <c r="I139" s="1186">
        <v>11</v>
      </c>
      <c r="J139" s="1186"/>
      <c r="K139" s="1186">
        <v>1</v>
      </c>
      <c r="L139" s="1186">
        <v>9</v>
      </c>
      <c r="M139" s="1186">
        <v>5</v>
      </c>
      <c r="N139" s="1186">
        <v>7</v>
      </c>
      <c r="O139" s="1186">
        <v>1</v>
      </c>
      <c r="P139" s="1186">
        <v>4</v>
      </c>
      <c r="Q139" s="1186">
        <v>3</v>
      </c>
      <c r="R139" s="1186">
        <v>3</v>
      </c>
      <c r="S139" s="1186">
        <v>1</v>
      </c>
      <c r="T139" s="1186">
        <v>5</v>
      </c>
      <c r="U139" s="1186">
        <v>4</v>
      </c>
      <c r="V139" s="1186">
        <v>1</v>
      </c>
      <c r="W139" s="1186">
        <v>6</v>
      </c>
      <c r="X139" s="1186">
        <v>2</v>
      </c>
      <c r="Y139" s="1186"/>
      <c r="Z139" s="1186">
        <v>1</v>
      </c>
      <c r="AA139" s="1186">
        <v>2</v>
      </c>
      <c r="AB139" s="1186">
        <v>1</v>
      </c>
      <c r="AC139" s="1186"/>
      <c r="AD139" s="1186"/>
      <c r="AE139" s="1186"/>
      <c r="AF139" s="1186">
        <v>1</v>
      </c>
      <c r="AG139" s="1186">
        <v>1</v>
      </c>
    </row>
    <row r="140" spans="1:33" x14ac:dyDescent="0.2">
      <c r="A140" s="1186" t="s">
        <v>29</v>
      </c>
      <c r="B140" s="1186" t="s">
        <v>17</v>
      </c>
      <c r="C140" s="1186">
        <v>279</v>
      </c>
      <c r="D140" s="1186">
        <v>40</v>
      </c>
      <c r="E140" s="1186">
        <v>88</v>
      </c>
      <c r="F140" s="1186">
        <v>54</v>
      </c>
      <c r="G140" s="1186">
        <v>6</v>
      </c>
      <c r="H140" s="1186"/>
      <c r="I140" s="1186">
        <v>28</v>
      </c>
      <c r="J140" s="1186"/>
      <c r="K140" s="1186">
        <v>4</v>
      </c>
      <c r="L140" s="1186">
        <v>6</v>
      </c>
      <c r="M140" s="1186"/>
      <c r="N140" s="1186">
        <v>6</v>
      </c>
      <c r="O140" s="1186"/>
      <c r="P140" s="1186">
        <v>2</v>
      </c>
      <c r="Q140" s="1186">
        <v>1</v>
      </c>
      <c r="R140" s="1186">
        <v>3</v>
      </c>
      <c r="S140" s="1186">
        <v>2</v>
      </c>
      <c r="T140" s="1186">
        <v>6</v>
      </c>
      <c r="U140" s="1186">
        <v>4</v>
      </c>
      <c r="V140" s="1186">
        <v>4</v>
      </c>
      <c r="W140" s="1186">
        <v>5</v>
      </c>
      <c r="X140" s="1186">
        <v>1</v>
      </c>
      <c r="Y140" s="1186">
        <v>6</v>
      </c>
      <c r="Z140" s="1186"/>
      <c r="AA140" s="1186"/>
      <c r="AB140" s="1186">
        <v>5</v>
      </c>
      <c r="AC140" s="1186">
        <v>6</v>
      </c>
      <c r="AD140" s="1186">
        <v>1</v>
      </c>
      <c r="AE140" s="1186">
        <v>1</v>
      </c>
      <c r="AF140" s="1186"/>
      <c r="AG140" s="1186"/>
    </row>
    <row r="141" spans="1:33" x14ac:dyDescent="0.2">
      <c r="A141" s="1186" t="s">
        <v>30</v>
      </c>
      <c r="B141" s="1186" t="s">
        <v>17</v>
      </c>
      <c r="C141" s="1186">
        <v>151</v>
      </c>
      <c r="D141" s="1186">
        <v>53</v>
      </c>
      <c r="E141" s="1186">
        <v>44</v>
      </c>
      <c r="F141" s="1186">
        <v>3</v>
      </c>
      <c r="G141" s="1186"/>
      <c r="H141" s="1186"/>
      <c r="I141" s="1186">
        <v>7</v>
      </c>
      <c r="J141" s="1186"/>
      <c r="K141" s="1186"/>
      <c r="L141" s="1186">
        <v>10</v>
      </c>
      <c r="M141" s="1186">
        <v>7</v>
      </c>
      <c r="N141" s="1186">
        <v>3</v>
      </c>
      <c r="O141" s="1186">
        <v>1</v>
      </c>
      <c r="P141" s="1186">
        <v>2</v>
      </c>
      <c r="Q141" s="1186">
        <v>3</v>
      </c>
      <c r="R141" s="1186">
        <v>1</v>
      </c>
      <c r="S141" s="1186">
        <v>2</v>
      </c>
      <c r="T141" s="1186">
        <v>3</v>
      </c>
      <c r="U141" s="1186">
        <v>3</v>
      </c>
      <c r="V141" s="1186">
        <v>1</v>
      </c>
      <c r="W141" s="1186">
        <v>3</v>
      </c>
      <c r="X141" s="1186">
        <v>1</v>
      </c>
      <c r="Y141" s="1186"/>
      <c r="Z141" s="1186"/>
      <c r="AA141" s="1186"/>
      <c r="AB141" s="1186">
        <v>2</v>
      </c>
      <c r="AC141" s="1186"/>
      <c r="AD141" s="1186">
        <v>1</v>
      </c>
      <c r="AE141" s="1186">
        <v>1</v>
      </c>
      <c r="AF141" s="1186"/>
      <c r="AG141" s="1186"/>
    </row>
    <row r="142" spans="1:33" x14ac:dyDescent="0.2">
      <c r="A142" s="1186" t="s">
        <v>31</v>
      </c>
      <c r="B142" s="1186" t="s">
        <v>17</v>
      </c>
      <c r="C142" s="1186">
        <v>85</v>
      </c>
      <c r="D142" s="1186">
        <v>32</v>
      </c>
      <c r="E142" s="1186">
        <v>18</v>
      </c>
      <c r="F142" s="1186">
        <v>6</v>
      </c>
      <c r="G142" s="1186"/>
      <c r="H142" s="1186"/>
      <c r="I142" s="1186">
        <v>1</v>
      </c>
      <c r="J142" s="1186"/>
      <c r="K142" s="1186"/>
      <c r="L142" s="1186">
        <v>4</v>
      </c>
      <c r="M142" s="1186"/>
      <c r="N142" s="1186">
        <v>3</v>
      </c>
      <c r="O142" s="1186"/>
      <c r="P142" s="1186">
        <v>2</v>
      </c>
      <c r="Q142" s="1186">
        <v>3</v>
      </c>
      <c r="R142" s="1186">
        <v>5</v>
      </c>
      <c r="S142" s="1186">
        <v>1</v>
      </c>
      <c r="T142" s="1186">
        <v>1</v>
      </c>
      <c r="U142" s="1186"/>
      <c r="V142" s="1186"/>
      <c r="W142" s="1186">
        <v>3</v>
      </c>
      <c r="X142" s="1186"/>
      <c r="Y142" s="1186"/>
      <c r="Z142" s="1186"/>
      <c r="AA142" s="1186"/>
      <c r="AB142" s="1186">
        <v>3</v>
      </c>
      <c r="AC142" s="1186"/>
      <c r="AD142" s="1186"/>
      <c r="AE142" s="1186">
        <v>2</v>
      </c>
      <c r="AF142" s="1186">
        <v>1</v>
      </c>
      <c r="AG142" s="1186"/>
    </row>
    <row r="143" spans="1:33" x14ac:dyDescent="0.2">
      <c r="A143" s="1186" t="s">
        <v>32</v>
      </c>
      <c r="B143" s="1186" t="s">
        <v>17</v>
      </c>
      <c r="C143" s="1186">
        <v>120</v>
      </c>
      <c r="D143" s="1186">
        <v>55</v>
      </c>
      <c r="E143" s="1186">
        <v>14</v>
      </c>
      <c r="F143" s="1186">
        <v>8</v>
      </c>
      <c r="G143" s="1186">
        <v>1</v>
      </c>
      <c r="H143" s="1186"/>
      <c r="I143" s="1186">
        <v>5</v>
      </c>
      <c r="J143" s="1186"/>
      <c r="K143" s="1186"/>
      <c r="L143" s="1186">
        <v>9</v>
      </c>
      <c r="M143" s="1186">
        <v>5</v>
      </c>
      <c r="N143" s="1186"/>
      <c r="O143" s="1186"/>
      <c r="P143" s="1186">
        <v>1</v>
      </c>
      <c r="Q143" s="1186"/>
      <c r="R143" s="1186">
        <v>2</v>
      </c>
      <c r="S143" s="1186">
        <v>2</v>
      </c>
      <c r="T143" s="1186">
        <v>2</v>
      </c>
      <c r="U143" s="1186">
        <v>1</v>
      </c>
      <c r="V143" s="1186">
        <v>1</v>
      </c>
      <c r="W143" s="1186">
        <v>4</v>
      </c>
      <c r="X143" s="1186">
        <v>1</v>
      </c>
      <c r="Y143" s="1186"/>
      <c r="Z143" s="1186"/>
      <c r="AA143" s="1186">
        <v>1</v>
      </c>
      <c r="AB143" s="1186">
        <v>4</v>
      </c>
      <c r="AC143" s="1186">
        <v>4</v>
      </c>
      <c r="AD143" s="1186"/>
      <c r="AE143" s="1186"/>
      <c r="AF143" s="1186"/>
      <c r="AG143" s="1186"/>
    </row>
    <row r="144" spans="1:33" x14ac:dyDescent="0.2">
      <c r="A144" s="1186" t="s">
        <v>33</v>
      </c>
      <c r="B144" s="1186" t="s">
        <v>17</v>
      </c>
      <c r="C144" s="1186">
        <v>89</v>
      </c>
      <c r="D144" s="1186">
        <v>35</v>
      </c>
      <c r="E144" s="1186">
        <v>19</v>
      </c>
      <c r="F144" s="1186">
        <v>4</v>
      </c>
      <c r="G144" s="1186"/>
      <c r="H144" s="1186"/>
      <c r="I144" s="1186">
        <v>6</v>
      </c>
      <c r="J144" s="1186"/>
      <c r="K144" s="1186"/>
      <c r="L144" s="1186">
        <v>7</v>
      </c>
      <c r="M144" s="1186">
        <v>1</v>
      </c>
      <c r="N144" s="1186">
        <v>1</v>
      </c>
      <c r="O144" s="1186">
        <v>2</v>
      </c>
      <c r="P144" s="1186"/>
      <c r="Q144" s="1186">
        <v>1</v>
      </c>
      <c r="R144" s="1186">
        <v>3</v>
      </c>
      <c r="S144" s="1186">
        <v>1</v>
      </c>
      <c r="T144" s="1186">
        <v>3</v>
      </c>
      <c r="U144" s="1186"/>
      <c r="V144" s="1186">
        <v>1</v>
      </c>
      <c r="W144" s="1186">
        <v>3</v>
      </c>
      <c r="X144" s="1186"/>
      <c r="Y144" s="1186"/>
      <c r="Z144" s="1186"/>
      <c r="AA144" s="1186"/>
      <c r="AB144" s="1186">
        <v>2</v>
      </c>
      <c r="AC144" s="1186"/>
      <c r="AD144" s="1186"/>
      <c r="AE144" s="1186"/>
      <c r="AF144" s="1186"/>
      <c r="AG144" s="1186"/>
    </row>
    <row r="145" spans="1:33" x14ac:dyDescent="0.2">
      <c r="A145" s="1186" t="s">
        <v>34</v>
      </c>
      <c r="B145" s="1186" t="s">
        <v>17</v>
      </c>
      <c r="C145" s="1186">
        <v>200</v>
      </c>
      <c r="D145" s="1186">
        <v>64</v>
      </c>
      <c r="E145" s="1186">
        <v>54</v>
      </c>
      <c r="F145" s="1186">
        <v>7</v>
      </c>
      <c r="G145" s="1186"/>
      <c r="H145" s="1186"/>
      <c r="I145" s="1186">
        <v>3</v>
      </c>
      <c r="J145" s="1186"/>
      <c r="K145" s="1186">
        <v>2</v>
      </c>
      <c r="L145" s="1186">
        <v>12</v>
      </c>
      <c r="M145" s="1186"/>
      <c r="N145" s="1186">
        <v>13</v>
      </c>
      <c r="O145" s="1186">
        <v>2</v>
      </c>
      <c r="P145" s="1186">
        <v>3</v>
      </c>
      <c r="Q145" s="1186">
        <v>11</v>
      </c>
      <c r="R145" s="1186">
        <v>2</v>
      </c>
      <c r="S145" s="1186">
        <v>3</v>
      </c>
      <c r="T145" s="1186">
        <v>4</v>
      </c>
      <c r="U145" s="1186">
        <v>3</v>
      </c>
      <c r="V145" s="1186">
        <v>8</v>
      </c>
      <c r="W145" s="1186">
        <v>5</v>
      </c>
      <c r="X145" s="1186">
        <v>1</v>
      </c>
      <c r="Y145" s="1186"/>
      <c r="Z145" s="1186">
        <v>1</v>
      </c>
      <c r="AA145" s="1186"/>
      <c r="AB145" s="1186">
        <v>2</v>
      </c>
      <c r="AC145" s="1186"/>
      <c r="AD145" s="1186"/>
      <c r="AE145" s="1186"/>
      <c r="AF145" s="1186"/>
      <c r="AG145" s="1186"/>
    </row>
    <row r="146" spans="1:33" x14ac:dyDescent="0.2">
      <c r="A146" s="1186" t="s">
        <v>35</v>
      </c>
      <c r="B146" s="1186" t="s">
        <v>17</v>
      </c>
      <c r="C146" s="1186">
        <v>358</v>
      </c>
      <c r="D146" s="1186">
        <v>132</v>
      </c>
      <c r="E146" s="1186">
        <v>88</v>
      </c>
      <c r="F146" s="1186">
        <v>1</v>
      </c>
      <c r="G146" s="1186">
        <v>1</v>
      </c>
      <c r="H146" s="1186"/>
      <c r="I146" s="1186">
        <v>9</v>
      </c>
      <c r="J146" s="1186"/>
      <c r="K146" s="1186"/>
      <c r="L146" s="1186">
        <v>33</v>
      </c>
      <c r="M146" s="1186">
        <v>6</v>
      </c>
      <c r="N146" s="1186">
        <v>22</v>
      </c>
      <c r="O146" s="1186">
        <v>3</v>
      </c>
      <c r="P146" s="1186">
        <v>2</v>
      </c>
      <c r="Q146" s="1186">
        <v>2</v>
      </c>
      <c r="R146" s="1186">
        <v>4</v>
      </c>
      <c r="S146" s="1186">
        <v>9</v>
      </c>
      <c r="T146" s="1186">
        <v>12</v>
      </c>
      <c r="U146" s="1186">
        <v>11</v>
      </c>
      <c r="V146" s="1186">
        <v>2</v>
      </c>
      <c r="W146" s="1186">
        <v>7</v>
      </c>
      <c r="X146" s="1186">
        <v>4</v>
      </c>
      <c r="Y146" s="1186"/>
      <c r="Z146" s="1186"/>
      <c r="AA146" s="1186"/>
      <c r="AB146" s="1186">
        <v>4</v>
      </c>
      <c r="AC146" s="1186">
        <v>3</v>
      </c>
      <c r="AD146" s="1186">
        <v>1</v>
      </c>
      <c r="AE146" s="1186">
        <v>2</v>
      </c>
      <c r="AF146" s="1186"/>
      <c r="AG146" s="1186"/>
    </row>
    <row r="147" spans="1:33" x14ac:dyDescent="0.2">
      <c r="A147" s="1186" t="s">
        <v>36</v>
      </c>
      <c r="B147" s="1186" t="s">
        <v>17</v>
      </c>
      <c r="C147" s="1186">
        <v>1341</v>
      </c>
      <c r="D147" s="1186">
        <v>125</v>
      </c>
      <c r="E147" s="1186">
        <v>472</v>
      </c>
      <c r="F147" s="1186">
        <v>269</v>
      </c>
      <c r="G147" s="1186">
        <v>7</v>
      </c>
      <c r="H147" s="1186"/>
      <c r="I147" s="1186">
        <v>43</v>
      </c>
      <c r="J147" s="1186"/>
      <c r="K147" s="1186"/>
      <c r="L147" s="1186">
        <v>29</v>
      </c>
      <c r="M147" s="1186"/>
      <c r="N147" s="1186">
        <v>26</v>
      </c>
      <c r="O147" s="1186">
        <v>10</v>
      </c>
      <c r="P147" s="1186">
        <v>38</v>
      </c>
      <c r="Q147" s="1186">
        <v>21</v>
      </c>
      <c r="R147" s="1186">
        <v>20</v>
      </c>
      <c r="S147" s="1186">
        <v>23</v>
      </c>
      <c r="T147" s="1186">
        <v>51</v>
      </c>
      <c r="U147" s="1186">
        <v>33</v>
      </c>
      <c r="V147" s="1186">
        <v>45</v>
      </c>
      <c r="W147" s="1186">
        <v>43</v>
      </c>
      <c r="X147" s="1186">
        <v>12</v>
      </c>
      <c r="Y147" s="1186">
        <v>13</v>
      </c>
      <c r="Z147" s="1186"/>
      <c r="AA147" s="1186"/>
      <c r="AB147" s="1186">
        <v>22</v>
      </c>
      <c r="AC147" s="1186">
        <v>25</v>
      </c>
      <c r="AD147" s="1186">
        <v>5</v>
      </c>
      <c r="AE147" s="1186">
        <v>8</v>
      </c>
      <c r="AF147" s="1186">
        <v>1</v>
      </c>
      <c r="AG147" s="1186"/>
    </row>
    <row r="148" spans="1:33" x14ac:dyDescent="0.2">
      <c r="A148" s="1186" t="s">
        <v>37</v>
      </c>
      <c r="B148" s="1186" t="s">
        <v>17</v>
      </c>
      <c r="C148" s="1186">
        <v>228</v>
      </c>
      <c r="D148" s="1186">
        <v>101</v>
      </c>
      <c r="E148" s="1186">
        <v>31</v>
      </c>
      <c r="F148" s="1186"/>
      <c r="G148" s="1186">
        <v>1</v>
      </c>
      <c r="H148" s="1186">
        <v>1</v>
      </c>
      <c r="I148" s="1186">
        <v>6</v>
      </c>
      <c r="J148" s="1186">
        <v>2</v>
      </c>
      <c r="K148" s="1186">
        <v>1</v>
      </c>
      <c r="L148" s="1186">
        <v>9</v>
      </c>
      <c r="M148" s="1186">
        <v>6</v>
      </c>
      <c r="N148" s="1186">
        <v>15</v>
      </c>
      <c r="O148" s="1186">
        <v>1</v>
      </c>
      <c r="P148" s="1186"/>
      <c r="Q148" s="1186">
        <v>2</v>
      </c>
      <c r="R148" s="1186">
        <v>7</v>
      </c>
      <c r="S148" s="1186">
        <v>8</v>
      </c>
      <c r="T148" s="1186">
        <v>6</v>
      </c>
      <c r="U148" s="1186">
        <v>1</v>
      </c>
      <c r="V148" s="1186">
        <v>3</v>
      </c>
      <c r="W148" s="1186">
        <v>6</v>
      </c>
      <c r="X148" s="1186">
        <v>4</v>
      </c>
      <c r="Y148" s="1186">
        <v>4</v>
      </c>
      <c r="Z148" s="1186">
        <v>4</v>
      </c>
      <c r="AA148" s="1186"/>
      <c r="AB148" s="1186">
        <v>4</v>
      </c>
      <c r="AC148" s="1186"/>
      <c r="AD148" s="1186">
        <v>4</v>
      </c>
      <c r="AE148" s="1186"/>
      <c r="AF148" s="1186"/>
      <c r="AG148" s="1186">
        <v>1</v>
      </c>
    </row>
    <row r="149" spans="1:33" x14ac:dyDescent="0.2">
      <c r="A149" s="1186" t="s">
        <v>38</v>
      </c>
      <c r="B149" s="1186" t="s">
        <v>17</v>
      </c>
      <c r="C149" s="1186">
        <v>137</v>
      </c>
      <c r="D149" s="1186">
        <v>24</v>
      </c>
      <c r="E149" s="1186">
        <v>33</v>
      </c>
      <c r="F149" s="1186">
        <v>36</v>
      </c>
      <c r="G149" s="1186"/>
      <c r="H149" s="1186"/>
      <c r="I149" s="1186">
        <v>13</v>
      </c>
      <c r="J149" s="1186"/>
      <c r="K149" s="1186"/>
      <c r="L149" s="1186">
        <v>5</v>
      </c>
      <c r="M149" s="1186"/>
      <c r="N149" s="1186">
        <v>2</v>
      </c>
      <c r="O149" s="1186"/>
      <c r="P149" s="1186">
        <v>2</v>
      </c>
      <c r="Q149" s="1186"/>
      <c r="R149" s="1186">
        <v>1</v>
      </c>
      <c r="S149" s="1186">
        <v>2</v>
      </c>
      <c r="T149" s="1186">
        <v>3</v>
      </c>
      <c r="U149" s="1186">
        <v>5</v>
      </c>
      <c r="V149" s="1186">
        <v>2</v>
      </c>
      <c r="W149" s="1186">
        <v>6</v>
      </c>
      <c r="X149" s="1186"/>
      <c r="Y149" s="1186"/>
      <c r="Z149" s="1186"/>
      <c r="AA149" s="1186"/>
      <c r="AB149" s="1186">
        <v>2</v>
      </c>
      <c r="AC149" s="1186">
        <v>1</v>
      </c>
      <c r="AD149" s="1186"/>
      <c r="AE149" s="1186"/>
      <c r="AF149" s="1186"/>
      <c r="AG149" s="1186"/>
    </row>
    <row r="150" spans="1:33" x14ac:dyDescent="0.2">
      <c r="A150" s="1186" t="s">
        <v>39</v>
      </c>
      <c r="B150" s="1186" t="s">
        <v>17</v>
      </c>
      <c r="C150" s="1186">
        <v>96</v>
      </c>
      <c r="D150" s="1186">
        <v>39</v>
      </c>
      <c r="E150" s="1186">
        <v>15</v>
      </c>
      <c r="F150" s="1186">
        <v>1</v>
      </c>
      <c r="G150" s="1186">
        <v>2</v>
      </c>
      <c r="H150" s="1186"/>
      <c r="I150" s="1186">
        <v>7</v>
      </c>
      <c r="J150" s="1186">
        <v>1</v>
      </c>
      <c r="K150" s="1186">
        <v>1</v>
      </c>
      <c r="L150" s="1186">
        <v>10</v>
      </c>
      <c r="M150" s="1186">
        <v>4</v>
      </c>
      <c r="N150" s="1186"/>
      <c r="O150" s="1186"/>
      <c r="P150" s="1186"/>
      <c r="Q150" s="1186"/>
      <c r="R150" s="1186">
        <v>1</v>
      </c>
      <c r="S150" s="1186">
        <v>1</v>
      </c>
      <c r="T150" s="1186">
        <v>3</v>
      </c>
      <c r="U150" s="1186">
        <v>4</v>
      </c>
      <c r="V150" s="1186">
        <v>1</v>
      </c>
      <c r="W150" s="1186">
        <v>1</v>
      </c>
      <c r="X150" s="1186"/>
      <c r="Y150" s="1186"/>
      <c r="Z150" s="1186"/>
      <c r="AA150" s="1186"/>
      <c r="AB150" s="1186">
        <v>2</v>
      </c>
      <c r="AC150" s="1186"/>
      <c r="AD150" s="1186">
        <v>1</v>
      </c>
      <c r="AE150" s="1186">
        <v>2</v>
      </c>
      <c r="AF150" s="1186"/>
      <c r="AG150" s="1186"/>
    </row>
    <row r="151" spans="1:33" x14ac:dyDescent="0.2">
      <c r="A151" s="1186" t="s">
        <v>40</v>
      </c>
      <c r="B151" s="1186" t="s">
        <v>17</v>
      </c>
      <c r="C151" s="1186">
        <v>119</v>
      </c>
      <c r="D151" s="1186">
        <v>46</v>
      </c>
      <c r="E151" s="1186">
        <v>9</v>
      </c>
      <c r="F151" s="1186"/>
      <c r="G151" s="1186">
        <v>1</v>
      </c>
      <c r="H151" s="1186"/>
      <c r="I151" s="1186">
        <v>15</v>
      </c>
      <c r="J151" s="1186"/>
      <c r="K151" s="1186">
        <v>3</v>
      </c>
      <c r="L151" s="1186">
        <v>5</v>
      </c>
      <c r="M151" s="1186">
        <v>6</v>
      </c>
      <c r="N151" s="1186">
        <v>5</v>
      </c>
      <c r="O151" s="1186"/>
      <c r="P151" s="1186">
        <v>1</v>
      </c>
      <c r="Q151" s="1186">
        <v>2</v>
      </c>
      <c r="R151" s="1186"/>
      <c r="S151" s="1186">
        <v>3</v>
      </c>
      <c r="T151" s="1186">
        <v>6</v>
      </c>
      <c r="U151" s="1186">
        <v>1</v>
      </c>
      <c r="V151" s="1186"/>
      <c r="W151" s="1186">
        <v>7</v>
      </c>
      <c r="X151" s="1186">
        <v>2</v>
      </c>
      <c r="Y151" s="1186"/>
      <c r="Z151" s="1186"/>
      <c r="AA151" s="1186">
        <v>1</v>
      </c>
      <c r="AB151" s="1186">
        <v>1</v>
      </c>
      <c r="AC151" s="1186">
        <v>1</v>
      </c>
      <c r="AD151" s="1186">
        <v>1</v>
      </c>
      <c r="AE151" s="1186"/>
      <c r="AF151" s="1186">
        <v>1</v>
      </c>
      <c r="AG151" s="1186">
        <v>2</v>
      </c>
    </row>
    <row r="152" spans="1:33" x14ac:dyDescent="0.2">
      <c r="A152" s="1186" t="s">
        <v>295</v>
      </c>
      <c r="B152" s="1186" t="s">
        <v>17</v>
      </c>
      <c r="C152" s="1186">
        <v>20</v>
      </c>
      <c r="D152" s="1186">
        <v>10</v>
      </c>
      <c r="E152" s="1186">
        <v>1</v>
      </c>
      <c r="F152" s="1186"/>
      <c r="G152" s="1186"/>
      <c r="H152" s="1186"/>
      <c r="I152" s="1186"/>
      <c r="J152" s="1186"/>
      <c r="K152" s="1186"/>
      <c r="L152" s="1186">
        <v>2</v>
      </c>
      <c r="M152" s="1186">
        <v>1</v>
      </c>
      <c r="N152" s="1186"/>
      <c r="O152" s="1186"/>
      <c r="P152" s="1186"/>
      <c r="Q152" s="1186"/>
      <c r="R152" s="1186"/>
      <c r="S152" s="1186">
        <v>1</v>
      </c>
      <c r="T152" s="1186"/>
      <c r="U152" s="1186"/>
      <c r="V152" s="1186">
        <v>1</v>
      </c>
      <c r="W152" s="1186"/>
      <c r="X152" s="1186">
        <v>1</v>
      </c>
      <c r="Y152" s="1186"/>
      <c r="Z152" s="1186"/>
      <c r="AA152" s="1186"/>
      <c r="AB152" s="1186">
        <v>1</v>
      </c>
      <c r="AC152" s="1186">
        <v>1</v>
      </c>
      <c r="AD152" s="1186">
        <v>1</v>
      </c>
      <c r="AE152" s="1186"/>
      <c r="AF152" s="1186"/>
      <c r="AG152" s="1186"/>
    </row>
    <row r="153" spans="1:33" x14ac:dyDescent="0.2">
      <c r="A153" s="1186" t="s">
        <v>41</v>
      </c>
      <c r="B153" s="1186" t="s">
        <v>17</v>
      </c>
      <c r="C153" s="1186">
        <v>190</v>
      </c>
      <c r="D153" s="1186">
        <v>80</v>
      </c>
      <c r="E153" s="1186">
        <v>48</v>
      </c>
      <c r="F153" s="1186">
        <v>8</v>
      </c>
      <c r="G153" s="1186"/>
      <c r="H153" s="1186"/>
      <c r="I153" s="1186">
        <v>10</v>
      </c>
      <c r="J153" s="1186">
        <v>2</v>
      </c>
      <c r="K153" s="1186"/>
      <c r="L153" s="1186">
        <v>5</v>
      </c>
      <c r="M153" s="1186">
        <v>3</v>
      </c>
      <c r="N153" s="1186">
        <v>5</v>
      </c>
      <c r="O153" s="1186">
        <v>2</v>
      </c>
      <c r="P153" s="1186">
        <v>1</v>
      </c>
      <c r="Q153" s="1186">
        <v>1</v>
      </c>
      <c r="R153" s="1186">
        <v>2</v>
      </c>
      <c r="S153" s="1186">
        <v>3</v>
      </c>
      <c r="T153" s="1186">
        <v>3</v>
      </c>
      <c r="U153" s="1186">
        <v>5</v>
      </c>
      <c r="V153" s="1186">
        <v>1</v>
      </c>
      <c r="W153" s="1186">
        <v>3</v>
      </c>
      <c r="X153" s="1186"/>
      <c r="Y153" s="1186"/>
      <c r="Z153" s="1186"/>
      <c r="AA153" s="1186">
        <v>1</v>
      </c>
      <c r="AB153" s="1186">
        <v>4</v>
      </c>
      <c r="AC153" s="1186">
        <v>1</v>
      </c>
      <c r="AD153" s="1186"/>
      <c r="AE153" s="1186">
        <v>1</v>
      </c>
      <c r="AF153" s="1186"/>
      <c r="AG153" s="1186">
        <v>1</v>
      </c>
    </row>
    <row r="154" spans="1:33" x14ac:dyDescent="0.2">
      <c r="A154" s="1186" t="s">
        <v>42</v>
      </c>
      <c r="B154" s="1186" t="s">
        <v>17</v>
      </c>
      <c r="C154" s="1186">
        <v>450</v>
      </c>
      <c r="D154" s="1186">
        <v>118</v>
      </c>
      <c r="E154" s="1186">
        <v>169</v>
      </c>
      <c r="F154" s="1186">
        <v>10</v>
      </c>
      <c r="G154" s="1186">
        <v>4</v>
      </c>
      <c r="H154" s="1186"/>
      <c r="I154" s="1186">
        <v>14</v>
      </c>
      <c r="J154" s="1186"/>
      <c r="K154" s="1186"/>
      <c r="L154" s="1186">
        <v>36</v>
      </c>
      <c r="M154" s="1186">
        <v>3</v>
      </c>
      <c r="N154" s="1186">
        <v>14</v>
      </c>
      <c r="O154" s="1186">
        <v>7</v>
      </c>
      <c r="P154" s="1186">
        <v>10</v>
      </c>
      <c r="Q154" s="1186">
        <v>9</v>
      </c>
      <c r="R154" s="1186">
        <v>8</v>
      </c>
      <c r="S154" s="1186">
        <v>6</v>
      </c>
      <c r="T154" s="1186">
        <v>9</v>
      </c>
      <c r="U154" s="1186">
        <v>5</v>
      </c>
      <c r="V154" s="1186">
        <v>5</v>
      </c>
      <c r="W154" s="1186">
        <v>8</v>
      </c>
      <c r="X154" s="1186">
        <v>2</v>
      </c>
      <c r="Y154" s="1186">
        <v>3</v>
      </c>
      <c r="Z154" s="1186"/>
      <c r="AA154" s="1186">
        <v>2</v>
      </c>
      <c r="AB154" s="1186">
        <v>5</v>
      </c>
      <c r="AC154" s="1186"/>
      <c r="AD154" s="1186"/>
      <c r="AE154" s="1186">
        <v>3</v>
      </c>
      <c r="AF154" s="1186"/>
      <c r="AG154" s="1186"/>
    </row>
    <row r="155" spans="1:33" x14ac:dyDescent="0.2">
      <c r="A155" s="1186" t="s">
        <v>43</v>
      </c>
      <c r="B155" s="1186" t="s">
        <v>17</v>
      </c>
      <c r="C155" s="1186">
        <v>21</v>
      </c>
      <c r="D155" s="1186">
        <v>6</v>
      </c>
      <c r="E155" s="1186">
        <v>2</v>
      </c>
      <c r="F155" s="1186"/>
      <c r="G155" s="1186"/>
      <c r="H155" s="1186"/>
      <c r="I155" s="1186">
        <v>1</v>
      </c>
      <c r="J155" s="1186">
        <v>1</v>
      </c>
      <c r="K155" s="1186"/>
      <c r="L155" s="1186">
        <v>3</v>
      </c>
      <c r="M155" s="1186">
        <v>1</v>
      </c>
      <c r="N155" s="1186">
        <v>1</v>
      </c>
      <c r="O155" s="1186"/>
      <c r="P155" s="1186"/>
      <c r="Q155" s="1186"/>
      <c r="R155" s="1186"/>
      <c r="S155" s="1186"/>
      <c r="T155" s="1186">
        <v>3</v>
      </c>
      <c r="U155" s="1186"/>
      <c r="V155" s="1186"/>
      <c r="W155" s="1186"/>
      <c r="X155" s="1186"/>
      <c r="Y155" s="1186"/>
      <c r="Z155" s="1186"/>
      <c r="AA155" s="1186"/>
      <c r="AB155" s="1186">
        <v>3</v>
      </c>
      <c r="AC155" s="1186"/>
      <c r="AD155" s="1186"/>
      <c r="AE155" s="1186"/>
      <c r="AF155" s="1186"/>
      <c r="AG155" s="1186"/>
    </row>
    <row r="156" spans="1:33" x14ac:dyDescent="0.2">
      <c r="A156" s="1186" t="s">
        <v>44</v>
      </c>
      <c r="B156" s="1186" t="s">
        <v>17</v>
      </c>
      <c r="C156" s="1186">
        <v>163</v>
      </c>
      <c r="D156" s="1186">
        <v>48</v>
      </c>
      <c r="E156" s="1186">
        <v>34</v>
      </c>
      <c r="F156" s="1186">
        <v>11</v>
      </c>
      <c r="G156" s="1186"/>
      <c r="H156" s="1186"/>
      <c r="I156" s="1186">
        <v>9</v>
      </c>
      <c r="J156" s="1186">
        <v>2</v>
      </c>
      <c r="K156" s="1186">
        <v>1</v>
      </c>
      <c r="L156" s="1186">
        <v>5</v>
      </c>
      <c r="M156" s="1186">
        <v>2</v>
      </c>
      <c r="N156" s="1186">
        <v>5</v>
      </c>
      <c r="O156" s="1186">
        <v>1</v>
      </c>
      <c r="P156" s="1186"/>
      <c r="Q156" s="1186">
        <v>12</v>
      </c>
      <c r="R156" s="1186"/>
      <c r="S156" s="1186">
        <v>7</v>
      </c>
      <c r="T156" s="1186">
        <v>5</v>
      </c>
      <c r="U156" s="1186">
        <v>1</v>
      </c>
      <c r="V156" s="1186">
        <v>5</v>
      </c>
      <c r="W156" s="1186">
        <v>6</v>
      </c>
      <c r="X156" s="1186">
        <v>6</v>
      </c>
      <c r="Y156" s="1186">
        <v>1</v>
      </c>
      <c r="Z156" s="1186"/>
      <c r="AA156" s="1186"/>
      <c r="AB156" s="1186">
        <v>1</v>
      </c>
      <c r="AC156" s="1186"/>
      <c r="AD156" s="1186"/>
      <c r="AE156" s="1186">
        <v>1</v>
      </c>
      <c r="AF156" s="1186"/>
      <c r="AG156" s="1186"/>
    </row>
    <row r="157" spans="1:33" x14ac:dyDescent="0.2">
      <c r="A157" s="1186" t="s">
        <v>45</v>
      </c>
      <c r="B157" s="1186" t="s">
        <v>17</v>
      </c>
      <c r="C157" s="1186">
        <v>339</v>
      </c>
      <c r="D157" s="1186">
        <v>62</v>
      </c>
      <c r="E157" s="1186">
        <v>104</v>
      </c>
      <c r="F157" s="1186">
        <v>55</v>
      </c>
      <c r="G157" s="1186">
        <v>1</v>
      </c>
      <c r="H157" s="1186"/>
      <c r="I157" s="1186">
        <v>39</v>
      </c>
      <c r="J157" s="1186">
        <v>1</v>
      </c>
      <c r="K157" s="1186"/>
      <c r="L157" s="1186">
        <v>13</v>
      </c>
      <c r="M157" s="1186">
        <v>2</v>
      </c>
      <c r="N157" s="1186">
        <v>9</v>
      </c>
      <c r="O157" s="1186">
        <v>1</v>
      </c>
      <c r="P157" s="1186">
        <v>2</v>
      </c>
      <c r="Q157" s="1186">
        <v>2</v>
      </c>
      <c r="R157" s="1186">
        <v>4</v>
      </c>
      <c r="S157" s="1186">
        <v>5</v>
      </c>
      <c r="T157" s="1186">
        <v>5</v>
      </c>
      <c r="U157" s="1186">
        <v>5</v>
      </c>
      <c r="V157" s="1186">
        <v>7</v>
      </c>
      <c r="W157" s="1186">
        <v>7</v>
      </c>
      <c r="X157" s="1186">
        <v>5</v>
      </c>
      <c r="Y157" s="1186"/>
      <c r="Z157" s="1186"/>
      <c r="AA157" s="1186"/>
      <c r="AB157" s="1186">
        <v>7</v>
      </c>
      <c r="AC157" s="1186">
        <v>2</v>
      </c>
      <c r="AD157" s="1186"/>
      <c r="AE157" s="1186">
        <v>1</v>
      </c>
      <c r="AF157" s="1186"/>
      <c r="AG157" s="1186"/>
    </row>
    <row r="158" spans="1:33" x14ac:dyDescent="0.2">
      <c r="A158" s="1186" t="s">
        <v>46</v>
      </c>
      <c r="B158" s="1186" t="s">
        <v>17</v>
      </c>
      <c r="C158" s="1186">
        <v>139</v>
      </c>
      <c r="D158" s="1186">
        <v>58</v>
      </c>
      <c r="E158" s="1186">
        <v>26</v>
      </c>
      <c r="F158" s="1186">
        <v>6</v>
      </c>
      <c r="G158" s="1186"/>
      <c r="H158" s="1186"/>
      <c r="I158" s="1186">
        <v>15</v>
      </c>
      <c r="J158" s="1186">
        <v>2</v>
      </c>
      <c r="K158" s="1186">
        <v>3</v>
      </c>
      <c r="L158" s="1186">
        <v>3</v>
      </c>
      <c r="M158" s="1186">
        <v>2</v>
      </c>
      <c r="N158" s="1186">
        <v>4</v>
      </c>
      <c r="O158" s="1186"/>
      <c r="P158" s="1186">
        <v>2</v>
      </c>
      <c r="Q158" s="1186">
        <v>1</v>
      </c>
      <c r="R158" s="1186">
        <v>1</v>
      </c>
      <c r="S158" s="1186">
        <v>2</v>
      </c>
      <c r="T158" s="1186">
        <v>2</v>
      </c>
      <c r="U158" s="1186">
        <v>2</v>
      </c>
      <c r="V158" s="1186">
        <v>1</v>
      </c>
      <c r="W158" s="1186">
        <v>1</v>
      </c>
      <c r="X158" s="1186">
        <v>2</v>
      </c>
      <c r="Y158" s="1186"/>
      <c r="Z158" s="1186"/>
      <c r="AA158" s="1186"/>
      <c r="AB158" s="1186">
        <v>4</v>
      </c>
      <c r="AC158" s="1186"/>
      <c r="AD158" s="1186"/>
      <c r="AE158" s="1186">
        <v>2</v>
      </c>
      <c r="AF158" s="1186"/>
      <c r="AG158" s="1186"/>
    </row>
    <row r="159" spans="1:33" x14ac:dyDescent="0.2">
      <c r="A159" s="1186" t="s">
        <v>47</v>
      </c>
      <c r="B159" s="1186" t="s">
        <v>17</v>
      </c>
      <c r="C159" s="1186">
        <v>15</v>
      </c>
      <c r="D159" s="1186">
        <v>7</v>
      </c>
      <c r="E159" s="1186">
        <v>4</v>
      </c>
      <c r="F159" s="1186"/>
      <c r="G159" s="1186"/>
      <c r="H159" s="1186"/>
      <c r="I159" s="1186"/>
      <c r="J159" s="1186"/>
      <c r="K159" s="1186"/>
      <c r="L159" s="1186">
        <v>3</v>
      </c>
      <c r="M159" s="1186"/>
      <c r="N159" s="1186"/>
      <c r="O159" s="1186"/>
      <c r="P159" s="1186"/>
      <c r="Q159" s="1186"/>
      <c r="R159" s="1186"/>
      <c r="S159" s="1186"/>
      <c r="T159" s="1186"/>
      <c r="U159" s="1186"/>
      <c r="V159" s="1186"/>
      <c r="W159" s="1186"/>
      <c r="X159" s="1186"/>
      <c r="Y159" s="1186"/>
      <c r="Z159" s="1186"/>
      <c r="AA159" s="1186"/>
      <c r="AB159" s="1186">
        <v>1</v>
      </c>
      <c r="AC159" s="1186"/>
      <c r="AD159" s="1186"/>
      <c r="AE159" s="1186"/>
      <c r="AF159" s="1186"/>
      <c r="AG159" s="1186"/>
    </row>
    <row r="160" spans="1:33" x14ac:dyDescent="0.2">
      <c r="A160" s="1186" t="s">
        <v>48</v>
      </c>
      <c r="B160" s="1186" t="s">
        <v>17</v>
      </c>
      <c r="C160" s="1186">
        <v>141</v>
      </c>
      <c r="D160" s="1186">
        <v>45</v>
      </c>
      <c r="E160" s="1186">
        <v>31</v>
      </c>
      <c r="F160" s="1186">
        <v>6</v>
      </c>
      <c r="G160" s="1186"/>
      <c r="H160" s="1186"/>
      <c r="I160" s="1186">
        <v>11</v>
      </c>
      <c r="J160" s="1186"/>
      <c r="K160" s="1186"/>
      <c r="L160" s="1186">
        <v>8</v>
      </c>
      <c r="M160" s="1186"/>
      <c r="N160" s="1186">
        <v>3</v>
      </c>
      <c r="O160" s="1186"/>
      <c r="P160" s="1186">
        <v>2</v>
      </c>
      <c r="Q160" s="1186">
        <v>1</v>
      </c>
      <c r="R160" s="1186">
        <v>2</v>
      </c>
      <c r="S160" s="1186">
        <v>3</v>
      </c>
      <c r="T160" s="1186">
        <v>5</v>
      </c>
      <c r="U160" s="1186">
        <v>5</v>
      </c>
      <c r="V160" s="1186">
        <v>2</v>
      </c>
      <c r="W160" s="1186">
        <v>4</v>
      </c>
      <c r="X160" s="1186">
        <v>5</v>
      </c>
      <c r="Y160" s="1186">
        <v>1</v>
      </c>
      <c r="Z160" s="1186"/>
      <c r="AA160" s="1186">
        <v>1</v>
      </c>
      <c r="AB160" s="1186">
        <v>5</v>
      </c>
      <c r="AC160" s="1186"/>
      <c r="AD160" s="1186"/>
      <c r="AE160" s="1186">
        <v>1</v>
      </c>
      <c r="AF160" s="1186"/>
      <c r="AG160" s="1186"/>
    </row>
    <row r="161" spans="1:33" x14ac:dyDescent="0.2">
      <c r="A161" s="1186" t="s">
        <v>49</v>
      </c>
      <c r="B161" s="1186" t="s">
        <v>17</v>
      </c>
      <c r="C161" s="1186">
        <v>360</v>
      </c>
      <c r="D161" s="1186">
        <v>109</v>
      </c>
      <c r="E161" s="1186">
        <v>126</v>
      </c>
      <c r="F161" s="1186">
        <v>7</v>
      </c>
      <c r="G161" s="1186">
        <v>1</v>
      </c>
      <c r="H161" s="1186"/>
      <c r="I161" s="1186">
        <v>18</v>
      </c>
      <c r="J161" s="1186">
        <v>2</v>
      </c>
      <c r="K161" s="1186"/>
      <c r="L161" s="1186">
        <v>33</v>
      </c>
      <c r="M161" s="1186">
        <v>2</v>
      </c>
      <c r="N161" s="1186">
        <v>10</v>
      </c>
      <c r="O161" s="1186">
        <v>1</v>
      </c>
      <c r="P161" s="1186">
        <v>5</v>
      </c>
      <c r="Q161" s="1186">
        <v>1</v>
      </c>
      <c r="R161" s="1186">
        <v>8</v>
      </c>
      <c r="S161" s="1186">
        <v>8</v>
      </c>
      <c r="T161" s="1186">
        <v>14</v>
      </c>
      <c r="U161" s="1186">
        <v>3</v>
      </c>
      <c r="V161" s="1186">
        <v>1</v>
      </c>
      <c r="W161" s="1186">
        <v>1</v>
      </c>
      <c r="X161" s="1186">
        <v>1</v>
      </c>
      <c r="Y161" s="1186">
        <v>1</v>
      </c>
      <c r="Z161" s="1186"/>
      <c r="AA161" s="1186"/>
      <c r="AB161" s="1186">
        <v>6</v>
      </c>
      <c r="AC161" s="1186"/>
      <c r="AD161" s="1186"/>
      <c r="AE161" s="1186">
        <v>1</v>
      </c>
      <c r="AF161" s="1186"/>
      <c r="AG161" s="1186">
        <v>1</v>
      </c>
    </row>
    <row r="162" spans="1:33" x14ac:dyDescent="0.2">
      <c r="A162" s="1186" t="s">
        <v>50</v>
      </c>
      <c r="B162" s="1186" t="s">
        <v>17</v>
      </c>
      <c r="C162" s="1186">
        <v>118</v>
      </c>
      <c r="D162" s="1186">
        <v>44</v>
      </c>
      <c r="E162" s="1186">
        <v>17</v>
      </c>
      <c r="F162" s="1186">
        <v>1</v>
      </c>
      <c r="G162" s="1186">
        <v>3</v>
      </c>
      <c r="H162" s="1186"/>
      <c r="I162" s="1186">
        <v>7</v>
      </c>
      <c r="J162" s="1186"/>
      <c r="K162" s="1186"/>
      <c r="L162" s="1186">
        <v>4</v>
      </c>
      <c r="M162" s="1186">
        <v>1</v>
      </c>
      <c r="N162" s="1186">
        <v>10</v>
      </c>
      <c r="O162" s="1186">
        <v>1</v>
      </c>
      <c r="P162" s="1186"/>
      <c r="Q162" s="1186">
        <v>5</v>
      </c>
      <c r="R162" s="1186">
        <v>3</v>
      </c>
      <c r="S162" s="1186">
        <v>1</v>
      </c>
      <c r="T162" s="1186">
        <v>6</v>
      </c>
      <c r="U162" s="1186"/>
      <c r="V162" s="1186">
        <v>1</v>
      </c>
      <c r="W162" s="1186">
        <v>3</v>
      </c>
      <c r="X162" s="1186">
        <v>3</v>
      </c>
      <c r="Y162" s="1186"/>
      <c r="Z162" s="1186"/>
      <c r="AA162" s="1186">
        <v>1</v>
      </c>
      <c r="AB162" s="1186">
        <v>2</v>
      </c>
      <c r="AC162" s="1186">
        <v>2</v>
      </c>
      <c r="AD162" s="1186">
        <v>1</v>
      </c>
      <c r="AE162" s="1186">
        <v>2</v>
      </c>
      <c r="AF162" s="1186"/>
      <c r="AG162" s="1186"/>
    </row>
    <row r="163" spans="1:33" x14ac:dyDescent="0.2">
      <c r="A163" s="1186" t="s">
        <v>51</v>
      </c>
      <c r="B163" s="1186" t="s">
        <v>17</v>
      </c>
      <c r="C163" s="1186">
        <v>170</v>
      </c>
      <c r="D163" s="1186">
        <v>32</v>
      </c>
      <c r="E163" s="1186">
        <v>88</v>
      </c>
      <c r="F163" s="1186">
        <v>9</v>
      </c>
      <c r="G163" s="1186"/>
      <c r="H163" s="1186"/>
      <c r="I163" s="1186">
        <v>4</v>
      </c>
      <c r="J163" s="1186"/>
      <c r="K163" s="1186"/>
      <c r="L163" s="1186">
        <v>8</v>
      </c>
      <c r="M163" s="1186">
        <v>1</v>
      </c>
      <c r="N163" s="1186">
        <v>2</v>
      </c>
      <c r="O163" s="1186"/>
      <c r="P163" s="1186">
        <v>1</v>
      </c>
      <c r="Q163" s="1186">
        <v>1</v>
      </c>
      <c r="R163" s="1186">
        <v>3</v>
      </c>
      <c r="S163" s="1186">
        <v>3</v>
      </c>
      <c r="T163" s="1186">
        <v>3</v>
      </c>
      <c r="U163" s="1186">
        <v>3</v>
      </c>
      <c r="V163" s="1186">
        <v>3</v>
      </c>
      <c r="W163" s="1186">
        <v>4</v>
      </c>
      <c r="X163" s="1186">
        <v>2</v>
      </c>
      <c r="Y163" s="1186"/>
      <c r="Z163" s="1186"/>
      <c r="AA163" s="1186"/>
      <c r="AB163" s="1186">
        <v>2</v>
      </c>
      <c r="AC163" s="1186"/>
      <c r="AD163" s="1186"/>
      <c r="AE163" s="1186">
        <v>1</v>
      </c>
      <c r="AF163" s="1186"/>
      <c r="AG163" s="1186"/>
    </row>
    <row r="164" spans="1:33" x14ac:dyDescent="0.2">
      <c r="A164" s="1186" t="s">
        <v>52</v>
      </c>
      <c r="B164" s="1186" t="s">
        <v>17</v>
      </c>
      <c r="C164" s="1186">
        <v>269</v>
      </c>
      <c r="D164" s="1186">
        <v>117</v>
      </c>
      <c r="E164" s="1186">
        <v>48</v>
      </c>
      <c r="F164" s="1186">
        <v>4</v>
      </c>
      <c r="G164" s="1186">
        <v>2</v>
      </c>
      <c r="H164" s="1186"/>
      <c r="I164" s="1186">
        <v>13</v>
      </c>
      <c r="J164" s="1186">
        <v>1</v>
      </c>
      <c r="K164" s="1186">
        <v>3</v>
      </c>
      <c r="L164" s="1186">
        <v>19</v>
      </c>
      <c r="M164" s="1186">
        <v>1</v>
      </c>
      <c r="N164" s="1186">
        <v>9</v>
      </c>
      <c r="O164" s="1186">
        <v>3</v>
      </c>
      <c r="P164" s="1186">
        <v>3</v>
      </c>
      <c r="Q164" s="1186">
        <v>11</v>
      </c>
      <c r="R164" s="1186">
        <v>4</v>
      </c>
      <c r="S164" s="1186">
        <v>6</v>
      </c>
      <c r="T164" s="1186">
        <v>6</v>
      </c>
      <c r="U164" s="1186">
        <v>5</v>
      </c>
      <c r="V164" s="1186">
        <v>5</v>
      </c>
      <c r="W164" s="1186">
        <v>3</v>
      </c>
      <c r="X164" s="1186">
        <v>2</v>
      </c>
      <c r="Y164" s="1186"/>
      <c r="Z164" s="1186"/>
      <c r="AA164" s="1186">
        <v>1</v>
      </c>
      <c r="AB164" s="1186"/>
      <c r="AC164" s="1186">
        <v>1</v>
      </c>
      <c r="AD164" s="1186"/>
      <c r="AE164" s="1186">
        <v>1</v>
      </c>
      <c r="AF164" s="1186">
        <v>1</v>
      </c>
      <c r="AG164" s="1186"/>
    </row>
    <row r="165" spans="1:33" x14ac:dyDescent="0.2">
      <c r="A165" s="1186" t="s">
        <v>23</v>
      </c>
      <c r="B165" s="1186" t="s">
        <v>133</v>
      </c>
      <c r="C165" s="1186">
        <v>445</v>
      </c>
      <c r="D165" s="1186">
        <v>49</v>
      </c>
      <c r="E165" s="1186">
        <v>200</v>
      </c>
      <c r="F165" s="1186">
        <v>43</v>
      </c>
      <c r="G165" s="1186">
        <v>1</v>
      </c>
      <c r="H165" s="1186"/>
      <c r="I165" s="1186">
        <v>26</v>
      </c>
      <c r="J165" s="1186"/>
      <c r="K165" s="1186">
        <v>1</v>
      </c>
      <c r="L165" s="1186">
        <v>10</v>
      </c>
      <c r="M165" s="1186"/>
      <c r="N165" s="1186">
        <v>14</v>
      </c>
      <c r="O165" s="1186">
        <v>1</v>
      </c>
      <c r="P165" s="1186">
        <v>7</v>
      </c>
      <c r="Q165" s="1186">
        <v>3</v>
      </c>
      <c r="R165" s="1186">
        <v>5</v>
      </c>
      <c r="S165" s="1186">
        <v>14</v>
      </c>
      <c r="T165" s="1186">
        <v>16</v>
      </c>
      <c r="U165" s="1186">
        <v>12</v>
      </c>
      <c r="V165" s="1186">
        <v>10</v>
      </c>
      <c r="W165" s="1186">
        <v>4</v>
      </c>
      <c r="X165" s="1186">
        <v>7</v>
      </c>
      <c r="Y165" s="1186"/>
      <c r="Z165" s="1186"/>
      <c r="AA165" s="1186"/>
      <c r="AB165" s="1186">
        <v>10</v>
      </c>
      <c r="AC165" s="1186">
        <v>11</v>
      </c>
      <c r="AD165" s="1186"/>
      <c r="AE165" s="1186"/>
      <c r="AF165" s="1186">
        <v>1</v>
      </c>
      <c r="AG165" s="1186"/>
    </row>
    <row r="166" spans="1:33" x14ac:dyDescent="0.2">
      <c r="A166" s="1186" t="s">
        <v>24</v>
      </c>
      <c r="B166" s="1186" t="s">
        <v>133</v>
      </c>
      <c r="C166" s="1186">
        <v>308</v>
      </c>
      <c r="D166" s="1186">
        <v>111</v>
      </c>
      <c r="E166" s="1186">
        <v>24</v>
      </c>
      <c r="F166" s="1186">
        <v>4</v>
      </c>
      <c r="G166" s="1186">
        <v>1</v>
      </c>
      <c r="H166" s="1186"/>
      <c r="I166" s="1186">
        <v>57</v>
      </c>
      <c r="J166" s="1186">
        <v>1</v>
      </c>
      <c r="K166" s="1186">
        <v>2</v>
      </c>
      <c r="L166" s="1186">
        <v>19</v>
      </c>
      <c r="M166" s="1186">
        <v>13</v>
      </c>
      <c r="N166" s="1186">
        <v>17</v>
      </c>
      <c r="O166" s="1186">
        <v>2</v>
      </c>
      <c r="P166" s="1186">
        <v>4</v>
      </c>
      <c r="Q166" s="1186">
        <v>6</v>
      </c>
      <c r="R166" s="1186">
        <v>4</v>
      </c>
      <c r="S166" s="1186">
        <v>4</v>
      </c>
      <c r="T166" s="1186">
        <v>7</v>
      </c>
      <c r="U166" s="1186">
        <v>6</v>
      </c>
      <c r="V166" s="1186">
        <v>3</v>
      </c>
      <c r="W166" s="1186">
        <v>5</v>
      </c>
      <c r="X166" s="1186">
        <v>5</v>
      </c>
      <c r="Y166" s="1186">
        <v>1</v>
      </c>
      <c r="Z166" s="1186">
        <v>1</v>
      </c>
      <c r="AA166" s="1186"/>
      <c r="AB166" s="1186">
        <v>11</v>
      </c>
      <c r="AC166" s="1186"/>
      <c r="AD166" s="1186"/>
      <c r="AE166" s="1186"/>
      <c r="AF166" s="1186"/>
      <c r="AG166" s="1186"/>
    </row>
    <row r="167" spans="1:33" x14ac:dyDescent="0.2">
      <c r="A167" s="1186" t="s">
        <v>25</v>
      </c>
      <c r="B167" s="1186" t="s">
        <v>133</v>
      </c>
      <c r="C167" s="1186">
        <v>148</v>
      </c>
      <c r="D167" s="1186">
        <v>48</v>
      </c>
      <c r="E167" s="1186">
        <v>28</v>
      </c>
      <c r="F167" s="1186">
        <v>15</v>
      </c>
      <c r="G167" s="1186"/>
      <c r="H167" s="1186"/>
      <c r="I167" s="1186">
        <v>17</v>
      </c>
      <c r="J167" s="1186">
        <v>4</v>
      </c>
      <c r="K167" s="1186">
        <v>1</v>
      </c>
      <c r="L167" s="1186">
        <v>6</v>
      </c>
      <c r="M167" s="1186">
        <v>2</v>
      </c>
      <c r="N167" s="1186">
        <v>5</v>
      </c>
      <c r="O167" s="1186"/>
      <c r="P167" s="1186">
        <v>1</v>
      </c>
      <c r="Q167" s="1186">
        <v>1</v>
      </c>
      <c r="R167" s="1186">
        <v>2</v>
      </c>
      <c r="S167" s="1186">
        <v>2</v>
      </c>
      <c r="T167" s="1186">
        <v>3</v>
      </c>
      <c r="U167" s="1186">
        <v>2</v>
      </c>
      <c r="V167" s="1186">
        <v>1</v>
      </c>
      <c r="W167" s="1186">
        <v>3</v>
      </c>
      <c r="X167" s="1186"/>
      <c r="Y167" s="1186"/>
      <c r="Z167" s="1186">
        <v>1</v>
      </c>
      <c r="AA167" s="1186">
        <v>1</v>
      </c>
      <c r="AB167" s="1186">
        <v>4</v>
      </c>
      <c r="AC167" s="1186"/>
      <c r="AD167" s="1186"/>
      <c r="AE167" s="1186"/>
      <c r="AF167" s="1186"/>
      <c r="AG167" s="1186">
        <v>1</v>
      </c>
    </row>
    <row r="168" spans="1:33" x14ac:dyDescent="0.2">
      <c r="A168" s="1186" t="s">
        <v>26</v>
      </c>
      <c r="B168" s="1186" t="s">
        <v>133</v>
      </c>
      <c r="C168" s="1186">
        <v>124</v>
      </c>
      <c r="D168" s="1186">
        <v>36</v>
      </c>
      <c r="E168" s="1186">
        <v>34</v>
      </c>
      <c r="F168" s="1186">
        <v>7</v>
      </c>
      <c r="G168" s="1186"/>
      <c r="H168" s="1186"/>
      <c r="I168" s="1186">
        <v>11</v>
      </c>
      <c r="J168" s="1186"/>
      <c r="K168" s="1186"/>
      <c r="L168" s="1186">
        <v>5</v>
      </c>
      <c r="M168" s="1186">
        <v>2</v>
      </c>
      <c r="N168" s="1186">
        <v>5</v>
      </c>
      <c r="O168" s="1186"/>
      <c r="P168" s="1186">
        <v>2</v>
      </c>
      <c r="Q168" s="1186"/>
      <c r="R168" s="1186">
        <v>3</v>
      </c>
      <c r="S168" s="1186">
        <v>3</v>
      </c>
      <c r="T168" s="1186">
        <v>4</v>
      </c>
      <c r="U168" s="1186">
        <v>1</v>
      </c>
      <c r="V168" s="1186">
        <v>1</v>
      </c>
      <c r="W168" s="1186">
        <v>2</v>
      </c>
      <c r="X168" s="1186">
        <v>3</v>
      </c>
      <c r="Y168" s="1186"/>
      <c r="Z168" s="1186"/>
      <c r="AA168" s="1186">
        <v>1</v>
      </c>
      <c r="AB168" s="1186">
        <v>3</v>
      </c>
      <c r="AC168" s="1186"/>
      <c r="AD168" s="1186"/>
      <c r="AE168" s="1186"/>
      <c r="AF168" s="1186">
        <v>1</v>
      </c>
      <c r="AG168" s="1186"/>
    </row>
    <row r="169" spans="1:33" x14ac:dyDescent="0.2">
      <c r="A169" s="1186" t="s">
        <v>619</v>
      </c>
      <c r="B169" s="1186" t="s">
        <v>133</v>
      </c>
      <c r="C169" s="1186">
        <v>936</v>
      </c>
      <c r="D169" s="1186">
        <v>108</v>
      </c>
      <c r="E169" s="1186">
        <v>340</v>
      </c>
      <c r="F169" s="1186">
        <v>140</v>
      </c>
      <c r="G169" s="1186">
        <v>7</v>
      </c>
      <c r="H169" s="1186"/>
      <c r="I169" s="1186">
        <v>63</v>
      </c>
      <c r="J169" s="1186"/>
      <c r="K169" s="1186">
        <v>5</v>
      </c>
      <c r="L169" s="1186">
        <v>15</v>
      </c>
      <c r="M169" s="1186">
        <v>2</v>
      </c>
      <c r="N169" s="1186">
        <v>18</v>
      </c>
      <c r="O169" s="1186"/>
      <c r="P169" s="1186">
        <v>20</v>
      </c>
      <c r="Q169" s="1186">
        <v>5</v>
      </c>
      <c r="R169" s="1186">
        <v>14</v>
      </c>
      <c r="S169" s="1186">
        <v>38</v>
      </c>
      <c r="T169" s="1186">
        <v>26</v>
      </c>
      <c r="U169" s="1186">
        <v>18</v>
      </c>
      <c r="V169" s="1186">
        <v>24</v>
      </c>
      <c r="W169" s="1186">
        <v>19</v>
      </c>
      <c r="X169" s="1186">
        <v>13</v>
      </c>
      <c r="Y169" s="1186">
        <v>6</v>
      </c>
      <c r="Z169" s="1186">
        <v>1</v>
      </c>
      <c r="AA169" s="1186"/>
      <c r="AB169" s="1186">
        <v>8</v>
      </c>
      <c r="AC169" s="1186">
        <v>33</v>
      </c>
      <c r="AD169" s="1186">
        <v>3</v>
      </c>
      <c r="AE169" s="1186">
        <v>9</v>
      </c>
      <c r="AF169" s="1186">
        <v>1</v>
      </c>
      <c r="AG169" s="1186"/>
    </row>
    <row r="170" spans="1:33" x14ac:dyDescent="0.2">
      <c r="A170" s="1186" t="s">
        <v>27</v>
      </c>
      <c r="B170" s="1186" t="s">
        <v>133</v>
      </c>
      <c r="C170" s="1186">
        <v>72</v>
      </c>
      <c r="D170" s="1186">
        <v>26</v>
      </c>
      <c r="E170" s="1186">
        <v>17</v>
      </c>
      <c r="F170" s="1186">
        <v>1</v>
      </c>
      <c r="G170" s="1186"/>
      <c r="H170" s="1186"/>
      <c r="I170" s="1186">
        <v>4</v>
      </c>
      <c r="J170" s="1186"/>
      <c r="K170" s="1186">
        <v>1</v>
      </c>
      <c r="L170" s="1186">
        <v>4</v>
      </c>
      <c r="M170" s="1186"/>
      <c r="N170" s="1186">
        <v>4</v>
      </c>
      <c r="O170" s="1186"/>
      <c r="P170" s="1186"/>
      <c r="Q170" s="1186">
        <v>2</v>
      </c>
      <c r="R170" s="1186">
        <v>1</v>
      </c>
      <c r="S170" s="1186">
        <v>2</v>
      </c>
      <c r="T170" s="1186">
        <v>1</v>
      </c>
      <c r="U170" s="1186">
        <v>3</v>
      </c>
      <c r="V170" s="1186"/>
      <c r="W170" s="1186">
        <v>3</v>
      </c>
      <c r="X170" s="1186"/>
      <c r="Y170" s="1186"/>
      <c r="Z170" s="1186"/>
      <c r="AA170" s="1186">
        <v>1</v>
      </c>
      <c r="AB170" s="1186">
        <v>1</v>
      </c>
      <c r="AC170" s="1186"/>
      <c r="AD170" s="1186"/>
      <c r="AE170" s="1186">
        <v>1</v>
      </c>
      <c r="AF170" s="1186"/>
      <c r="AG170" s="1186"/>
    </row>
    <row r="171" spans="1:33" x14ac:dyDescent="0.2">
      <c r="A171" s="1186" t="s">
        <v>28</v>
      </c>
      <c r="B171" s="1186" t="s">
        <v>133</v>
      </c>
      <c r="C171" s="1186">
        <v>147</v>
      </c>
      <c r="D171" s="1186">
        <v>64</v>
      </c>
      <c r="E171" s="1186">
        <v>26</v>
      </c>
      <c r="F171" s="1186"/>
      <c r="G171" s="1186"/>
      <c r="H171" s="1186"/>
      <c r="I171" s="1186">
        <v>8</v>
      </c>
      <c r="J171" s="1186"/>
      <c r="K171" s="1186"/>
      <c r="L171" s="1186">
        <v>7</v>
      </c>
      <c r="M171" s="1186">
        <v>8</v>
      </c>
      <c r="N171" s="1186">
        <v>4</v>
      </c>
      <c r="O171" s="1186"/>
      <c r="P171" s="1186">
        <v>4</v>
      </c>
      <c r="Q171" s="1186">
        <v>5</v>
      </c>
      <c r="R171" s="1186">
        <v>1</v>
      </c>
      <c r="S171" s="1186">
        <v>2</v>
      </c>
      <c r="T171" s="1186">
        <v>5</v>
      </c>
      <c r="U171" s="1186">
        <v>2</v>
      </c>
      <c r="V171" s="1186">
        <v>2</v>
      </c>
      <c r="W171" s="1186">
        <v>3</v>
      </c>
      <c r="X171" s="1186">
        <v>1</v>
      </c>
      <c r="Y171" s="1186"/>
      <c r="Z171" s="1186">
        <v>2</v>
      </c>
      <c r="AA171" s="1186"/>
      <c r="AB171" s="1186">
        <v>3</v>
      </c>
      <c r="AC171" s="1186"/>
      <c r="AD171" s="1186"/>
      <c r="AE171" s="1186"/>
      <c r="AF171" s="1186"/>
      <c r="AG171" s="1186"/>
    </row>
    <row r="172" spans="1:33" x14ac:dyDescent="0.2">
      <c r="A172" s="1186" t="s">
        <v>29</v>
      </c>
      <c r="B172" s="1186" t="s">
        <v>133</v>
      </c>
      <c r="C172" s="1186">
        <v>283</v>
      </c>
      <c r="D172" s="1186">
        <v>34</v>
      </c>
      <c r="E172" s="1186">
        <v>77</v>
      </c>
      <c r="F172" s="1186">
        <v>53</v>
      </c>
      <c r="G172" s="1186">
        <v>5</v>
      </c>
      <c r="H172" s="1186"/>
      <c r="I172" s="1186">
        <v>45</v>
      </c>
      <c r="J172" s="1186"/>
      <c r="K172" s="1186"/>
      <c r="L172" s="1186">
        <v>8</v>
      </c>
      <c r="M172" s="1186"/>
      <c r="N172" s="1186">
        <v>6</v>
      </c>
      <c r="O172" s="1186">
        <v>1</v>
      </c>
      <c r="P172" s="1186">
        <v>1</v>
      </c>
      <c r="Q172" s="1186">
        <v>3</v>
      </c>
      <c r="R172" s="1186">
        <v>2</v>
      </c>
      <c r="S172" s="1186">
        <v>2</v>
      </c>
      <c r="T172" s="1186">
        <v>6</v>
      </c>
      <c r="U172" s="1186">
        <v>11</v>
      </c>
      <c r="V172" s="1186">
        <v>8</v>
      </c>
      <c r="W172" s="1186">
        <v>6</v>
      </c>
      <c r="X172" s="1186">
        <v>1</v>
      </c>
      <c r="Y172" s="1186">
        <v>4</v>
      </c>
      <c r="Z172" s="1186"/>
      <c r="AA172" s="1186"/>
      <c r="AB172" s="1186">
        <v>5</v>
      </c>
      <c r="AC172" s="1186">
        <v>3</v>
      </c>
      <c r="AD172" s="1186">
        <v>1</v>
      </c>
      <c r="AE172" s="1186"/>
      <c r="AF172" s="1186"/>
      <c r="AG172" s="1186">
        <v>1</v>
      </c>
    </row>
    <row r="173" spans="1:33" x14ac:dyDescent="0.2">
      <c r="A173" s="1186" t="s">
        <v>30</v>
      </c>
      <c r="B173" s="1186" t="s">
        <v>133</v>
      </c>
      <c r="C173" s="1186">
        <v>150</v>
      </c>
      <c r="D173" s="1186">
        <v>70</v>
      </c>
      <c r="E173" s="1186">
        <v>32</v>
      </c>
      <c r="F173" s="1186">
        <v>2</v>
      </c>
      <c r="G173" s="1186"/>
      <c r="H173" s="1186"/>
      <c r="I173" s="1186">
        <v>8</v>
      </c>
      <c r="J173" s="1186">
        <v>1</v>
      </c>
      <c r="K173" s="1186"/>
      <c r="L173" s="1186">
        <v>9</v>
      </c>
      <c r="M173" s="1186">
        <v>2</v>
      </c>
      <c r="N173" s="1186">
        <v>1</v>
      </c>
      <c r="O173" s="1186"/>
      <c r="P173" s="1186">
        <v>1</v>
      </c>
      <c r="Q173" s="1186">
        <v>4</v>
      </c>
      <c r="R173" s="1186">
        <v>3</v>
      </c>
      <c r="S173" s="1186"/>
      <c r="T173" s="1186">
        <v>5</v>
      </c>
      <c r="U173" s="1186">
        <v>1</v>
      </c>
      <c r="V173" s="1186">
        <v>3</v>
      </c>
      <c r="W173" s="1186">
        <v>5</v>
      </c>
      <c r="X173" s="1186"/>
      <c r="Y173" s="1186"/>
      <c r="Z173" s="1186"/>
      <c r="AA173" s="1186"/>
      <c r="AB173" s="1186">
        <v>3</v>
      </c>
      <c r="AC173" s="1186"/>
      <c r="AD173" s="1186"/>
      <c r="AE173" s="1186"/>
      <c r="AF173" s="1186"/>
      <c r="AG173" s="1186"/>
    </row>
    <row r="174" spans="1:33" x14ac:dyDescent="0.2">
      <c r="A174" s="1186" t="s">
        <v>31</v>
      </c>
      <c r="B174" s="1186" t="s">
        <v>133</v>
      </c>
      <c r="C174" s="1186">
        <v>98</v>
      </c>
      <c r="D174" s="1186">
        <v>43</v>
      </c>
      <c r="E174" s="1186">
        <v>11</v>
      </c>
      <c r="F174" s="1186">
        <v>4</v>
      </c>
      <c r="G174" s="1186">
        <v>1</v>
      </c>
      <c r="H174" s="1186"/>
      <c r="I174" s="1186">
        <v>14</v>
      </c>
      <c r="J174" s="1186"/>
      <c r="K174" s="1186"/>
      <c r="L174" s="1186">
        <v>6</v>
      </c>
      <c r="M174" s="1186"/>
      <c r="N174" s="1186">
        <v>1</v>
      </c>
      <c r="O174" s="1186"/>
      <c r="P174" s="1186"/>
      <c r="Q174" s="1186">
        <v>4</v>
      </c>
      <c r="R174" s="1186"/>
      <c r="S174" s="1186">
        <v>1</v>
      </c>
      <c r="T174" s="1186">
        <v>2</v>
      </c>
      <c r="U174" s="1186">
        <v>4</v>
      </c>
      <c r="V174" s="1186"/>
      <c r="W174" s="1186">
        <v>5</v>
      </c>
      <c r="X174" s="1186"/>
      <c r="Y174" s="1186"/>
      <c r="Z174" s="1186"/>
      <c r="AA174" s="1186"/>
      <c r="AB174" s="1186">
        <v>2</v>
      </c>
      <c r="AC174" s="1186"/>
      <c r="AD174" s="1186"/>
      <c r="AE174" s="1186"/>
      <c r="AF174" s="1186"/>
      <c r="AG174" s="1186"/>
    </row>
    <row r="175" spans="1:33" x14ac:dyDescent="0.2">
      <c r="A175" s="1186" t="s">
        <v>32</v>
      </c>
      <c r="B175" s="1186" t="s">
        <v>133</v>
      </c>
      <c r="C175" s="1186">
        <v>119</v>
      </c>
      <c r="D175" s="1186">
        <v>51</v>
      </c>
      <c r="E175" s="1186">
        <v>16</v>
      </c>
      <c r="F175" s="1186">
        <v>4</v>
      </c>
      <c r="G175" s="1186">
        <v>1</v>
      </c>
      <c r="H175" s="1186"/>
      <c r="I175" s="1186">
        <v>1</v>
      </c>
      <c r="J175" s="1186">
        <v>2</v>
      </c>
      <c r="K175" s="1186"/>
      <c r="L175" s="1186">
        <v>3</v>
      </c>
      <c r="M175" s="1186">
        <v>4</v>
      </c>
      <c r="N175" s="1186">
        <v>9</v>
      </c>
      <c r="O175" s="1186"/>
      <c r="P175" s="1186"/>
      <c r="Q175" s="1186"/>
      <c r="R175" s="1186">
        <v>1</v>
      </c>
      <c r="S175" s="1186">
        <v>4</v>
      </c>
      <c r="T175" s="1186">
        <v>3</v>
      </c>
      <c r="U175" s="1186">
        <v>3</v>
      </c>
      <c r="V175" s="1186">
        <v>1</v>
      </c>
      <c r="W175" s="1186">
        <v>2</v>
      </c>
      <c r="X175" s="1186">
        <v>4</v>
      </c>
      <c r="Y175" s="1186"/>
      <c r="Z175" s="1186"/>
      <c r="AA175" s="1186"/>
      <c r="AB175" s="1186">
        <v>5</v>
      </c>
      <c r="AC175" s="1186">
        <v>3</v>
      </c>
      <c r="AD175" s="1186"/>
      <c r="AE175" s="1186">
        <v>2</v>
      </c>
      <c r="AF175" s="1186"/>
      <c r="AG175" s="1186"/>
    </row>
    <row r="176" spans="1:33" x14ac:dyDescent="0.2">
      <c r="A176" s="1186" t="s">
        <v>33</v>
      </c>
      <c r="B176" s="1186" t="s">
        <v>133</v>
      </c>
      <c r="C176" s="1186">
        <v>87</v>
      </c>
      <c r="D176" s="1186">
        <v>35</v>
      </c>
      <c r="E176" s="1186">
        <v>17</v>
      </c>
      <c r="F176" s="1186">
        <v>8</v>
      </c>
      <c r="G176" s="1186"/>
      <c r="H176" s="1186"/>
      <c r="I176" s="1186">
        <v>10</v>
      </c>
      <c r="J176" s="1186"/>
      <c r="K176" s="1186"/>
      <c r="L176" s="1186">
        <v>4</v>
      </c>
      <c r="M176" s="1186">
        <v>1</v>
      </c>
      <c r="N176" s="1186">
        <v>1</v>
      </c>
      <c r="O176" s="1186">
        <v>1</v>
      </c>
      <c r="P176" s="1186"/>
      <c r="Q176" s="1186"/>
      <c r="R176" s="1186">
        <v>2</v>
      </c>
      <c r="S176" s="1186">
        <v>1</v>
      </c>
      <c r="T176" s="1186">
        <v>2</v>
      </c>
      <c r="U176" s="1186">
        <v>4</v>
      </c>
      <c r="V176" s="1186"/>
      <c r="W176" s="1186"/>
      <c r="X176" s="1186"/>
      <c r="Y176" s="1186"/>
      <c r="Z176" s="1186"/>
      <c r="AA176" s="1186"/>
      <c r="AB176" s="1186"/>
      <c r="AC176" s="1186"/>
      <c r="AD176" s="1186"/>
      <c r="AE176" s="1186">
        <v>1</v>
      </c>
      <c r="AF176" s="1186"/>
      <c r="AG176" s="1186"/>
    </row>
    <row r="177" spans="1:33" x14ac:dyDescent="0.2">
      <c r="A177" s="1186" t="s">
        <v>34</v>
      </c>
      <c r="B177" s="1186" t="s">
        <v>133</v>
      </c>
      <c r="C177" s="1186">
        <v>169</v>
      </c>
      <c r="D177" s="1186">
        <v>64</v>
      </c>
      <c r="E177" s="1186">
        <v>43</v>
      </c>
      <c r="F177" s="1186">
        <v>4</v>
      </c>
      <c r="G177" s="1186"/>
      <c r="H177" s="1186">
        <v>1</v>
      </c>
      <c r="I177" s="1186">
        <v>8</v>
      </c>
      <c r="J177" s="1186">
        <v>3</v>
      </c>
      <c r="K177" s="1186"/>
      <c r="L177" s="1186">
        <v>6</v>
      </c>
      <c r="M177" s="1186">
        <v>1</v>
      </c>
      <c r="N177" s="1186">
        <v>8</v>
      </c>
      <c r="O177" s="1186">
        <v>1</v>
      </c>
      <c r="P177" s="1186">
        <v>1</v>
      </c>
      <c r="Q177" s="1186">
        <v>2</v>
      </c>
      <c r="R177" s="1186">
        <v>3</v>
      </c>
      <c r="S177" s="1186">
        <v>6</v>
      </c>
      <c r="T177" s="1186">
        <v>2</v>
      </c>
      <c r="U177" s="1186"/>
      <c r="V177" s="1186">
        <v>11</v>
      </c>
      <c r="W177" s="1186">
        <v>4</v>
      </c>
      <c r="X177" s="1186"/>
      <c r="Y177" s="1186"/>
      <c r="Z177" s="1186"/>
      <c r="AA177" s="1186"/>
      <c r="AB177" s="1186">
        <v>1</v>
      </c>
      <c r="AC177" s="1186"/>
      <c r="AD177" s="1186"/>
      <c r="AE177" s="1186"/>
      <c r="AF177" s="1186"/>
      <c r="AG177" s="1186"/>
    </row>
    <row r="178" spans="1:33" x14ac:dyDescent="0.2">
      <c r="A178" s="1186" t="s">
        <v>35</v>
      </c>
      <c r="B178" s="1186" t="s">
        <v>133</v>
      </c>
      <c r="C178" s="1186">
        <v>372</v>
      </c>
      <c r="D178" s="1186">
        <v>131</v>
      </c>
      <c r="E178" s="1186">
        <v>108</v>
      </c>
      <c r="F178" s="1186"/>
      <c r="G178" s="1186">
        <v>1</v>
      </c>
      <c r="H178" s="1186"/>
      <c r="I178" s="1186">
        <v>8</v>
      </c>
      <c r="J178" s="1186">
        <v>2</v>
      </c>
      <c r="K178" s="1186">
        <v>1</v>
      </c>
      <c r="L178" s="1186">
        <v>33</v>
      </c>
      <c r="M178" s="1186">
        <v>3</v>
      </c>
      <c r="N178" s="1186">
        <v>21</v>
      </c>
      <c r="O178" s="1186">
        <v>1</v>
      </c>
      <c r="P178" s="1186">
        <v>2</v>
      </c>
      <c r="Q178" s="1186">
        <v>5</v>
      </c>
      <c r="R178" s="1186">
        <v>6</v>
      </c>
      <c r="S178" s="1186">
        <v>7</v>
      </c>
      <c r="T178" s="1186">
        <v>10</v>
      </c>
      <c r="U178" s="1186">
        <v>5</v>
      </c>
      <c r="V178" s="1186">
        <v>9</v>
      </c>
      <c r="W178" s="1186">
        <v>6</v>
      </c>
      <c r="X178" s="1186">
        <v>1</v>
      </c>
      <c r="Y178" s="1186">
        <v>2</v>
      </c>
      <c r="Z178" s="1186"/>
      <c r="AA178" s="1186">
        <v>1</v>
      </c>
      <c r="AB178" s="1186">
        <v>6</v>
      </c>
      <c r="AC178" s="1186">
        <v>1</v>
      </c>
      <c r="AD178" s="1186"/>
      <c r="AE178" s="1186">
        <v>2</v>
      </c>
      <c r="AF178" s="1186"/>
      <c r="AG178" s="1186"/>
    </row>
    <row r="179" spans="1:33" x14ac:dyDescent="0.2">
      <c r="A179" s="1186" t="s">
        <v>36</v>
      </c>
      <c r="B179" s="1186" t="s">
        <v>133</v>
      </c>
      <c r="C179" s="1186">
        <v>1337</v>
      </c>
      <c r="D179" s="1186">
        <v>145</v>
      </c>
      <c r="E179" s="1186">
        <v>468</v>
      </c>
      <c r="F179" s="1186">
        <v>266</v>
      </c>
      <c r="G179" s="1186">
        <v>7</v>
      </c>
      <c r="H179" s="1186"/>
      <c r="I179" s="1186">
        <v>57</v>
      </c>
      <c r="J179" s="1186"/>
      <c r="K179" s="1186"/>
      <c r="L179" s="1186">
        <v>37</v>
      </c>
      <c r="M179" s="1186">
        <v>2</v>
      </c>
      <c r="N179" s="1186">
        <v>26</v>
      </c>
      <c r="O179" s="1186">
        <v>5</v>
      </c>
      <c r="P179" s="1186">
        <v>28</v>
      </c>
      <c r="Q179" s="1186">
        <v>15</v>
      </c>
      <c r="R179" s="1186">
        <v>20</v>
      </c>
      <c r="S179" s="1186">
        <v>26</v>
      </c>
      <c r="T179" s="1186">
        <v>41</v>
      </c>
      <c r="U179" s="1186">
        <v>31</v>
      </c>
      <c r="V179" s="1186">
        <v>41</v>
      </c>
      <c r="W179" s="1186">
        <v>27</v>
      </c>
      <c r="X179" s="1186">
        <v>10</v>
      </c>
      <c r="Y179" s="1186">
        <v>27</v>
      </c>
      <c r="Z179" s="1186"/>
      <c r="AA179" s="1186"/>
      <c r="AB179" s="1186">
        <v>29</v>
      </c>
      <c r="AC179" s="1186">
        <v>23</v>
      </c>
      <c r="AD179" s="1186">
        <v>2</v>
      </c>
      <c r="AE179" s="1186"/>
      <c r="AF179" s="1186">
        <v>4</v>
      </c>
      <c r="AG179" s="1186"/>
    </row>
    <row r="180" spans="1:33" x14ac:dyDescent="0.2">
      <c r="A180" s="1186" t="s">
        <v>37</v>
      </c>
      <c r="B180" s="1186" t="s">
        <v>133</v>
      </c>
      <c r="C180" s="1186">
        <v>234</v>
      </c>
      <c r="D180" s="1186">
        <v>120</v>
      </c>
      <c r="E180" s="1186">
        <v>22</v>
      </c>
      <c r="F180" s="1186">
        <v>7</v>
      </c>
      <c r="G180" s="1186">
        <v>2</v>
      </c>
      <c r="H180" s="1186"/>
      <c r="I180" s="1186">
        <v>8</v>
      </c>
      <c r="J180" s="1186">
        <v>2</v>
      </c>
      <c r="K180" s="1186">
        <v>2</v>
      </c>
      <c r="L180" s="1186">
        <v>15</v>
      </c>
      <c r="M180" s="1186">
        <v>5</v>
      </c>
      <c r="N180" s="1186">
        <v>6</v>
      </c>
      <c r="O180" s="1186"/>
      <c r="P180" s="1186">
        <v>3</v>
      </c>
      <c r="Q180" s="1186">
        <v>1</v>
      </c>
      <c r="R180" s="1186">
        <v>1</v>
      </c>
      <c r="S180" s="1186">
        <v>5</v>
      </c>
      <c r="T180" s="1186">
        <v>7</v>
      </c>
      <c r="U180" s="1186">
        <v>2</v>
      </c>
      <c r="V180" s="1186">
        <v>3</v>
      </c>
      <c r="W180" s="1186">
        <v>9</v>
      </c>
      <c r="X180" s="1186">
        <v>4</v>
      </c>
      <c r="Y180" s="1186">
        <v>1</v>
      </c>
      <c r="Z180" s="1186">
        <v>1</v>
      </c>
      <c r="AA180" s="1186">
        <v>1</v>
      </c>
      <c r="AB180" s="1186">
        <v>3</v>
      </c>
      <c r="AC180" s="1186"/>
      <c r="AD180" s="1186">
        <v>1</v>
      </c>
      <c r="AE180" s="1186"/>
      <c r="AF180" s="1186">
        <v>1</v>
      </c>
      <c r="AG180" s="1186">
        <v>2</v>
      </c>
    </row>
    <row r="181" spans="1:33" x14ac:dyDescent="0.2">
      <c r="A181" s="1186" t="s">
        <v>38</v>
      </c>
      <c r="B181" s="1186" t="s">
        <v>133</v>
      </c>
      <c r="C181" s="1186">
        <v>148</v>
      </c>
      <c r="D181" s="1186">
        <v>29</v>
      </c>
      <c r="E181" s="1186">
        <v>42</v>
      </c>
      <c r="F181" s="1186">
        <v>29</v>
      </c>
      <c r="G181" s="1186"/>
      <c r="H181" s="1186"/>
      <c r="I181" s="1186">
        <v>12</v>
      </c>
      <c r="J181" s="1186">
        <v>1</v>
      </c>
      <c r="K181" s="1186"/>
      <c r="L181" s="1186">
        <v>7</v>
      </c>
      <c r="M181" s="1186"/>
      <c r="N181" s="1186">
        <v>1</v>
      </c>
      <c r="O181" s="1186">
        <v>2</v>
      </c>
      <c r="P181" s="1186">
        <v>3</v>
      </c>
      <c r="Q181" s="1186">
        <v>2</v>
      </c>
      <c r="R181" s="1186">
        <v>5</v>
      </c>
      <c r="S181" s="1186">
        <v>3</v>
      </c>
      <c r="T181" s="1186">
        <v>1</v>
      </c>
      <c r="U181" s="1186">
        <v>3</v>
      </c>
      <c r="V181" s="1186">
        <v>1</v>
      </c>
      <c r="W181" s="1186">
        <v>2</v>
      </c>
      <c r="X181" s="1186"/>
      <c r="Y181" s="1186">
        <v>1</v>
      </c>
      <c r="Z181" s="1186"/>
      <c r="AA181" s="1186"/>
      <c r="AB181" s="1186">
        <v>4</v>
      </c>
      <c r="AC181" s="1186"/>
      <c r="AD181" s="1186"/>
      <c r="AE181" s="1186"/>
      <c r="AF181" s="1186"/>
      <c r="AG181" s="1186"/>
    </row>
    <row r="182" spans="1:33" x14ac:dyDescent="0.2">
      <c r="A182" s="1186" t="s">
        <v>39</v>
      </c>
      <c r="B182" s="1186" t="s">
        <v>133</v>
      </c>
      <c r="C182" s="1186">
        <v>107</v>
      </c>
      <c r="D182" s="1186">
        <v>40</v>
      </c>
      <c r="E182" s="1186">
        <v>19</v>
      </c>
      <c r="F182" s="1186">
        <v>2</v>
      </c>
      <c r="G182" s="1186"/>
      <c r="H182" s="1186"/>
      <c r="I182" s="1186">
        <v>6</v>
      </c>
      <c r="J182" s="1186">
        <v>2</v>
      </c>
      <c r="K182" s="1186">
        <v>2</v>
      </c>
      <c r="L182" s="1186">
        <v>9</v>
      </c>
      <c r="M182" s="1186">
        <v>2</v>
      </c>
      <c r="N182" s="1186">
        <v>2</v>
      </c>
      <c r="O182" s="1186"/>
      <c r="P182" s="1186"/>
      <c r="Q182" s="1186"/>
      <c r="R182" s="1186"/>
      <c r="S182" s="1186">
        <v>2</v>
      </c>
      <c r="T182" s="1186">
        <v>6</v>
      </c>
      <c r="U182" s="1186">
        <v>1</v>
      </c>
      <c r="V182" s="1186">
        <v>2</v>
      </c>
      <c r="W182" s="1186">
        <v>4</v>
      </c>
      <c r="X182" s="1186">
        <v>1</v>
      </c>
      <c r="Y182" s="1186">
        <v>1</v>
      </c>
      <c r="Z182" s="1186"/>
      <c r="AA182" s="1186">
        <v>1</v>
      </c>
      <c r="AB182" s="1186">
        <v>2</v>
      </c>
      <c r="AC182" s="1186"/>
      <c r="AD182" s="1186">
        <v>1</v>
      </c>
      <c r="AE182" s="1186">
        <v>1</v>
      </c>
      <c r="AF182" s="1186">
        <v>1</v>
      </c>
      <c r="AG182" s="1186"/>
    </row>
    <row r="183" spans="1:33" x14ac:dyDescent="0.2">
      <c r="A183" s="1186" t="s">
        <v>40</v>
      </c>
      <c r="B183" s="1186" t="s">
        <v>133</v>
      </c>
      <c r="C183" s="1186">
        <v>102</v>
      </c>
      <c r="D183" s="1186">
        <v>35</v>
      </c>
      <c r="E183" s="1186">
        <v>10</v>
      </c>
      <c r="F183" s="1186"/>
      <c r="G183" s="1186"/>
      <c r="H183" s="1186"/>
      <c r="I183" s="1186">
        <v>10</v>
      </c>
      <c r="J183" s="1186">
        <v>2</v>
      </c>
      <c r="K183" s="1186">
        <v>2</v>
      </c>
      <c r="L183" s="1186">
        <v>10</v>
      </c>
      <c r="M183" s="1186">
        <v>5</v>
      </c>
      <c r="N183" s="1186">
        <v>6</v>
      </c>
      <c r="O183" s="1186"/>
      <c r="P183" s="1186">
        <v>2</v>
      </c>
      <c r="Q183" s="1186"/>
      <c r="R183" s="1186">
        <v>1</v>
      </c>
      <c r="S183" s="1186">
        <v>5</v>
      </c>
      <c r="T183" s="1186">
        <v>6</v>
      </c>
      <c r="U183" s="1186"/>
      <c r="V183" s="1186">
        <v>1</v>
      </c>
      <c r="W183" s="1186"/>
      <c r="X183" s="1186">
        <v>3</v>
      </c>
      <c r="Y183" s="1186">
        <v>1</v>
      </c>
      <c r="Z183" s="1186"/>
      <c r="AA183" s="1186"/>
      <c r="AB183" s="1186">
        <v>1</v>
      </c>
      <c r="AC183" s="1186"/>
      <c r="AD183" s="1186"/>
      <c r="AE183" s="1186"/>
      <c r="AF183" s="1186"/>
      <c r="AG183" s="1186">
        <v>2</v>
      </c>
    </row>
    <row r="184" spans="1:33" x14ac:dyDescent="0.2">
      <c r="A184" s="1186" t="s">
        <v>295</v>
      </c>
      <c r="B184" s="1186" t="s">
        <v>133</v>
      </c>
      <c r="C184" s="1186">
        <v>29</v>
      </c>
      <c r="D184" s="1186">
        <v>22</v>
      </c>
      <c r="E184" s="1186"/>
      <c r="F184" s="1186"/>
      <c r="G184" s="1186"/>
      <c r="H184" s="1186"/>
      <c r="I184" s="1186"/>
      <c r="J184" s="1186"/>
      <c r="K184" s="1186"/>
      <c r="L184" s="1186"/>
      <c r="M184" s="1186">
        <v>1</v>
      </c>
      <c r="N184" s="1186">
        <v>1</v>
      </c>
      <c r="O184" s="1186"/>
      <c r="P184" s="1186"/>
      <c r="Q184" s="1186"/>
      <c r="R184" s="1186"/>
      <c r="S184" s="1186"/>
      <c r="T184" s="1186">
        <v>1</v>
      </c>
      <c r="U184" s="1186"/>
      <c r="V184" s="1186">
        <v>1</v>
      </c>
      <c r="W184" s="1186">
        <v>1</v>
      </c>
      <c r="X184" s="1186"/>
      <c r="Y184" s="1186"/>
      <c r="Z184" s="1186"/>
      <c r="AA184" s="1186"/>
      <c r="AB184" s="1186"/>
      <c r="AC184" s="1186">
        <v>1</v>
      </c>
      <c r="AD184" s="1186"/>
      <c r="AE184" s="1186">
        <v>1</v>
      </c>
      <c r="AF184" s="1186"/>
      <c r="AG184" s="1186"/>
    </row>
    <row r="185" spans="1:33" x14ac:dyDescent="0.2">
      <c r="A185" s="1186" t="s">
        <v>41</v>
      </c>
      <c r="B185" s="1186" t="s">
        <v>133</v>
      </c>
      <c r="C185" s="1186">
        <v>224</v>
      </c>
      <c r="D185" s="1186">
        <v>86</v>
      </c>
      <c r="E185" s="1186">
        <v>49</v>
      </c>
      <c r="F185" s="1186">
        <v>9</v>
      </c>
      <c r="G185" s="1186"/>
      <c r="H185" s="1186"/>
      <c r="I185" s="1186">
        <v>24</v>
      </c>
      <c r="J185" s="1186"/>
      <c r="K185" s="1186"/>
      <c r="L185" s="1186">
        <v>19</v>
      </c>
      <c r="M185" s="1186">
        <v>2</v>
      </c>
      <c r="N185" s="1186">
        <v>2</v>
      </c>
      <c r="O185" s="1186">
        <v>3</v>
      </c>
      <c r="P185" s="1186">
        <v>3</v>
      </c>
      <c r="Q185" s="1186"/>
      <c r="R185" s="1186">
        <v>1</v>
      </c>
      <c r="S185" s="1186"/>
      <c r="T185" s="1186">
        <v>5</v>
      </c>
      <c r="U185" s="1186">
        <v>9</v>
      </c>
      <c r="V185" s="1186">
        <v>1</v>
      </c>
      <c r="W185" s="1186">
        <v>1</v>
      </c>
      <c r="X185" s="1186">
        <v>1</v>
      </c>
      <c r="Y185" s="1186"/>
      <c r="Z185" s="1186"/>
      <c r="AA185" s="1186">
        <v>2</v>
      </c>
      <c r="AB185" s="1186">
        <v>6</v>
      </c>
      <c r="AC185" s="1186"/>
      <c r="AD185" s="1186">
        <v>1</v>
      </c>
      <c r="AE185" s="1186"/>
      <c r="AF185" s="1186"/>
      <c r="AG185" s="1186"/>
    </row>
    <row r="186" spans="1:33" x14ac:dyDescent="0.2">
      <c r="A186" s="1186" t="s">
        <v>42</v>
      </c>
      <c r="B186" s="1186" t="s">
        <v>133</v>
      </c>
      <c r="C186" s="1186">
        <v>471</v>
      </c>
      <c r="D186" s="1186">
        <v>141</v>
      </c>
      <c r="E186" s="1186">
        <v>158</v>
      </c>
      <c r="F186" s="1186">
        <v>16</v>
      </c>
      <c r="G186" s="1186"/>
      <c r="H186" s="1186"/>
      <c r="I186" s="1186">
        <v>30</v>
      </c>
      <c r="J186" s="1186"/>
      <c r="K186" s="1186"/>
      <c r="L186" s="1186">
        <v>29</v>
      </c>
      <c r="M186" s="1186">
        <v>5</v>
      </c>
      <c r="N186" s="1186">
        <v>13</v>
      </c>
      <c r="O186" s="1186">
        <v>5</v>
      </c>
      <c r="P186" s="1186">
        <v>6</v>
      </c>
      <c r="Q186" s="1186">
        <v>7</v>
      </c>
      <c r="R186" s="1186">
        <v>6</v>
      </c>
      <c r="S186" s="1186">
        <v>5</v>
      </c>
      <c r="T186" s="1186">
        <v>11</v>
      </c>
      <c r="U186" s="1186">
        <v>7</v>
      </c>
      <c r="V186" s="1186">
        <v>6</v>
      </c>
      <c r="W186" s="1186">
        <v>16</v>
      </c>
      <c r="X186" s="1186">
        <v>1</v>
      </c>
      <c r="Y186" s="1186">
        <v>3</v>
      </c>
      <c r="Z186" s="1186"/>
      <c r="AA186" s="1186"/>
      <c r="AB186" s="1186">
        <v>4</v>
      </c>
      <c r="AC186" s="1186">
        <v>1</v>
      </c>
      <c r="AD186" s="1186"/>
      <c r="AE186" s="1186">
        <v>1</v>
      </c>
      <c r="AF186" s="1186"/>
      <c r="AG186" s="1186"/>
    </row>
    <row r="187" spans="1:33" x14ac:dyDescent="0.2">
      <c r="A187" s="1186" t="s">
        <v>43</v>
      </c>
      <c r="B187" s="1186" t="s">
        <v>133</v>
      </c>
      <c r="C187" s="1186">
        <v>21</v>
      </c>
      <c r="D187" s="1186">
        <v>11</v>
      </c>
      <c r="E187" s="1186">
        <v>4</v>
      </c>
      <c r="F187" s="1186"/>
      <c r="G187" s="1186"/>
      <c r="H187" s="1186"/>
      <c r="I187" s="1186"/>
      <c r="J187" s="1186"/>
      <c r="K187" s="1186"/>
      <c r="L187" s="1186">
        <v>1</v>
      </c>
      <c r="M187" s="1186"/>
      <c r="N187" s="1186">
        <v>1</v>
      </c>
      <c r="O187" s="1186"/>
      <c r="P187" s="1186"/>
      <c r="Q187" s="1186"/>
      <c r="R187" s="1186"/>
      <c r="S187" s="1186"/>
      <c r="T187" s="1186"/>
      <c r="U187" s="1186">
        <v>1</v>
      </c>
      <c r="V187" s="1186"/>
      <c r="W187" s="1186">
        <v>3</v>
      </c>
      <c r="X187" s="1186"/>
      <c r="Y187" s="1186"/>
      <c r="Z187" s="1186"/>
      <c r="AA187" s="1186"/>
      <c r="AB187" s="1186"/>
      <c r="AC187" s="1186"/>
      <c r="AD187" s="1186"/>
      <c r="AE187" s="1186"/>
      <c r="AF187" s="1186"/>
      <c r="AG187" s="1186"/>
    </row>
    <row r="188" spans="1:33" x14ac:dyDescent="0.2">
      <c r="A188" s="1186" t="s">
        <v>44</v>
      </c>
      <c r="B188" s="1186" t="s">
        <v>133</v>
      </c>
      <c r="C188" s="1186">
        <v>201</v>
      </c>
      <c r="D188" s="1186">
        <v>53</v>
      </c>
      <c r="E188" s="1186">
        <v>41</v>
      </c>
      <c r="F188" s="1186">
        <v>25</v>
      </c>
      <c r="G188" s="1186">
        <v>1</v>
      </c>
      <c r="H188" s="1186"/>
      <c r="I188" s="1186">
        <v>10</v>
      </c>
      <c r="J188" s="1186">
        <v>1</v>
      </c>
      <c r="K188" s="1186"/>
      <c r="L188" s="1186">
        <v>4</v>
      </c>
      <c r="M188" s="1186">
        <v>11</v>
      </c>
      <c r="N188" s="1186">
        <v>7</v>
      </c>
      <c r="O188" s="1186"/>
      <c r="P188" s="1186">
        <v>3</v>
      </c>
      <c r="Q188" s="1186">
        <v>14</v>
      </c>
      <c r="R188" s="1186"/>
      <c r="S188" s="1186">
        <v>2</v>
      </c>
      <c r="T188" s="1186">
        <v>8</v>
      </c>
      <c r="U188" s="1186">
        <v>1</v>
      </c>
      <c r="V188" s="1186">
        <v>1</v>
      </c>
      <c r="W188" s="1186">
        <v>3</v>
      </c>
      <c r="X188" s="1186">
        <v>7</v>
      </c>
      <c r="Y188" s="1186">
        <v>1</v>
      </c>
      <c r="Z188" s="1186">
        <v>2</v>
      </c>
      <c r="AA188" s="1186"/>
      <c r="AB188" s="1186">
        <v>2</v>
      </c>
      <c r="AC188" s="1186">
        <v>2</v>
      </c>
      <c r="AD188" s="1186">
        <v>1</v>
      </c>
      <c r="AE188" s="1186"/>
      <c r="AF188" s="1186">
        <v>1</v>
      </c>
      <c r="AG188" s="1186"/>
    </row>
    <row r="189" spans="1:33" x14ac:dyDescent="0.2">
      <c r="A189" s="1186" t="s">
        <v>45</v>
      </c>
      <c r="B189" s="1186" t="s">
        <v>133</v>
      </c>
      <c r="C189" s="1186">
        <v>333</v>
      </c>
      <c r="D189" s="1186">
        <v>70</v>
      </c>
      <c r="E189" s="1186">
        <v>100</v>
      </c>
      <c r="F189" s="1186">
        <v>43</v>
      </c>
      <c r="G189" s="1186"/>
      <c r="H189" s="1186"/>
      <c r="I189" s="1186">
        <v>34</v>
      </c>
      <c r="J189" s="1186"/>
      <c r="K189" s="1186"/>
      <c r="L189" s="1186">
        <v>12</v>
      </c>
      <c r="M189" s="1186">
        <v>1</v>
      </c>
      <c r="N189" s="1186">
        <v>9</v>
      </c>
      <c r="O189" s="1186">
        <v>3</v>
      </c>
      <c r="P189" s="1186">
        <v>6</v>
      </c>
      <c r="Q189" s="1186">
        <v>3</v>
      </c>
      <c r="R189" s="1186">
        <v>4</v>
      </c>
      <c r="S189" s="1186">
        <v>5</v>
      </c>
      <c r="T189" s="1186">
        <v>9</v>
      </c>
      <c r="U189" s="1186">
        <v>7</v>
      </c>
      <c r="V189" s="1186">
        <v>6</v>
      </c>
      <c r="W189" s="1186">
        <v>6</v>
      </c>
      <c r="X189" s="1186">
        <v>1</v>
      </c>
      <c r="Y189" s="1186">
        <v>1</v>
      </c>
      <c r="Z189" s="1186"/>
      <c r="AA189" s="1186"/>
      <c r="AB189" s="1186">
        <v>9</v>
      </c>
      <c r="AC189" s="1186">
        <v>4</v>
      </c>
      <c r="AD189" s="1186"/>
      <c r="AE189" s="1186"/>
      <c r="AF189" s="1186"/>
      <c r="AG189" s="1186"/>
    </row>
    <row r="190" spans="1:33" x14ac:dyDescent="0.2">
      <c r="A190" s="1186" t="s">
        <v>46</v>
      </c>
      <c r="B190" s="1186" t="s">
        <v>133</v>
      </c>
      <c r="C190" s="1186">
        <v>125</v>
      </c>
      <c r="D190" s="1186">
        <v>33</v>
      </c>
      <c r="E190" s="1186">
        <v>29</v>
      </c>
      <c r="F190" s="1186">
        <v>5</v>
      </c>
      <c r="G190" s="1186"/>
      <c r="H190" s="1186"/>
      <c r="I190" s="1186">
        <v>14</v>
      </c>
      <c r="J190" s="1186"/>
      <c r="K190" s="1186">
        <v>2</v>
      </c>
      <c r="L190" s="1186">
        <v>3</v>
      </c>
      <c r="M190" s="1186">
        <v>12</v>
      </c>
      <c r="N190" s="1186">
        <v>4</v>
      </c>
      <c r="O190" s="1186">
        <v>1</v>
      </c>
      <c r="P190" s="1186"/>
      <c r="Q190" s="1186"/>
      <c r="R190" s="1186">
        <v>2</v>
      </c>
      <c r="S190" s="1186">
        <v>1</v>
      </c>
      <c r="T190" s="1186">
        <v>4</v>
      </c>
      <c r="U190" s="1186">
        <v>2</v>
      </c>
      <c r="V190" s="1186"/>
      <c r="W190" s="1186">
        <v>6</v>
      </c>
      <c r="X190" s="1186">
        <v>1</v>
      </c>
      <c r="Y190" s="1186"/>
      <c r="Z190" s="1186">
        <v>1</v>
      </c>
      <c r="AA190" s="1186"/>
      <c r="AB190" s="1186">
        <v>2</v>
      </c>
      <c r="AC190" s="1186"/>
      <c r="AD190" s="1186">
        <v>1</v>
      </c>
      <c r="AE190" s="1186">
        <v>2</v>
      </c>
      <c r="AF190" s="1186"/>
      <c r="AG190" s="1186"/>
    </row>
    <row r="191" spans="1:33" x14ac:dyDescent="0.2">
      <c r="A191" s="1186" t="s">
        <v>47</v>
      </c>
      <c r="B191" s="1186" t="s">
        <v>133</v>
      </c>
      <c r="C191" s="1186">
        <v>28</v>
      </c>
      <c r="D191" s="1186">
        <v>10</v>
      </c>
      <c r="E191" s="1186">
        <v>1</v>
      </c>
      <c r="F191" s="1186"/>
      <c r="G191" s="1186"/>
      <c r="H191" s="1186"/>
      <c r="I191" s="1186"/>
      <c r="J191" s="1186"/>
      <c r="K191" s="1186"/>
      <c r="L191" s="1186">
        <v>2</v>
      </c>
      <c r="M191" s="1186">
        <v>1</v>
      </c>
      <c r="N191" s="1186">
        <v>2</v>
      </c>
      <c r="O191" s="1186"/>
      <c r="P191" s="1186">
        <v>2</v>
      </c>
      <c r="Q191" s="1186"/>
      <c r="R191" s="1186">
        <v>1</v>
      </c>
      <c r="S191" s="1186"/>
      <c r="T191" s="1186"/>
      <c r="U191" s="1186">
        <v>2</v>
      </c>
      <c r="V191" s="1186">
        <v>1</v>
      </c>
      <c r="W191" s="1186">
        <v>1</v>
      </c>
      <c r="X191" s="1186">
        <v>1</v>
      </c>
      <c r="Y191" s="1186">
        <v>1</v>
      </c>
      <c r="Z191" s="1186">
        <v>1</v>
      </c>
      <c r="AA191" s="1186"/>
      <c r="AB191" s="1186">
        <v>1</v>
      </c>
      <c r="AC191" s="1186"/>
      <c r="AD191" s="1186"/>
      <c r="AE191" s="1186"/>
      <c r="AF191" s="1186"/>
      <c r="AG191" s="1186">
        <v>1</v>
      </c>
    </row>
    <row r="192" spans="1:33" x14ac:dyDescent="0.2">
      <c r="A192" s="1186" t="s">
        <v>48</v>
      </c>
      <c r="B192" s="1186" t="s">
        <v>133</v>
      </c>
      <c r="C192" s="1186">
        <v>144</v>
      </c>
      <c r="D192" s="1186">
        <v>46</v>
      </c>
      <c r="E192" s="1186">
        <v>39</v>
      </c>
      <c r="F192" s="1186">
        <v>2</v>
      </c>
      <c r="G192" s="1186"/>
      <c r="H192" s="1186"/>
      <c r="I192" s="1186">
        <v>4</v>
      </c>
      <c r="J192" s="1186"/>
      <c r="K192" s="1186"/>
      <c r="L192" s="1186">
        <v>12</v>
      </c>
      <c r="M192" s="1186">
        <v>4</v>
      </c>
      <c r="N192" s="1186">
        <v>4</v>
      </c>
      <c r="O192" s="1186">
        <v>2</v>
      </c>
      <c r="P192" s="1186">
        <v>2</v>
      </c>
      <c r="Q192" s="1186">
        <v>1</v>
      </c>
      <c r="R192" s="1186">
        <v>2</v>
      </c>
      <c r="S192" s="1186">
        <v>1</v>
      </c>
      <c r="T192" s="1186">
        <v>8</v>
      </c>
      <c r="U192" s="1186">
        <v>4</v>
      </c>
      <c r="V192" s="1186">
        <v>2</v>
      </c>
      <c r="W192" s="1186">
        <v>4</v>
      </c>
      <c r="X192" s="1186">
        <v>4</v>
      </c>
      <c r="Y192" s="1186"/>
      <c r="Z192" s="1186"/>
      <c r="AA192" s="1186"/>
      <c r="AB192" s="1186">
        <v>2</v>
      </c>
      <c r="AC192" s="1186"/>
      <c r="AD192" s="1186"/>
      <c r="AE192" s="1186"/>
      <c r="AF192" s="1186">
        <v>1</v>
      </c>
      <c r="AG192" s="1186"/>
    </row>
    <row r="193" spans="1:33" x14ac:dyDescent="0.2">
      <c r="A193" s="1186" t="s">
        <v>49</v>
      </c>
      <c r="B193" s="1186" t="s">
        <v>133</v>
      </c>
      <c r="C193" s="1186">
        <v>417</v>
      </c>
      <c r="D193" s="1186">
        <v>133</v>
      </c>
      <c r="E193" s="1186">
        <v>146</v>
      </c>
      <c r="F193" s="1186">
        <v>8</v>
      </c>
      <c r="G193" s="1186"/>
      <c r="H193" s="1186"/>
      <c r="I193" s="1186">
        <v>17</v>
      </c>
      <c r="J193" s="1186"/>
      <c r="K193" s="1186"/>
      <c r="L193" s="1186">
        <v>39</v>
      </c>
      <c r="M193" s="1186"/>
      <c r="N193" s="1186">
        <v>7</v>
      </c>
      <c r="O193" s="1186"/>
      <c r="P193" s="1186">
        <v>8</v>
      </c>
      <c r="Q193" s="1186">
        <v>3</v>
      </c>
      <c r="R193" s="1186">
        <v>7</v>
      </c>
      <c r="S193" s="1186">
        <v>9</v>
      </c>
      <c r="T193" s="1186">
        <v>13</v>
      </c>
      <c r="U193" s="1186">
        <v>4</v>
      </c>
      <c r="V193" s="1186">
        <v>7</v>
      </c>
      <c r="W193" s="1186">
        <v>10</v>
      </c>
      <c r="X193" s="1186"/>
      <c r="Y193" s="1186"/>
      <c r="Z193" s="1186"/>
      <c r="AA193" s="1186"/>
      <c r="AB193" s="1186">
        <v>6</v>
      </c>
      <c r="AC193" s="1186"/>
      <c r="AD193" s="1186"/>
      <c r="AE193" s="1186"/>
      <c r="AF193" s="1186"/>
      <c r="AG193" s="1186"/>
    </row>
    <row r="194" spans="1:33" x14ac:dyDescent="0.2">
      <c r="A194" s="1186" t="s">
        <v>50</v>
      </c>
      <c r="B194" s="1186" t="s">
        <v>133</v>
      </c>
      <c r="C194" s="1186">
        <v>127</v>
      </c>
      <c r="D194" s="1186">
        <v>32</v>
      </c>
      <c r="E194" s="1186">
        <v>32</v>
      </c>
      <c r="F194" s="1186">
        <v>5</v>
      </c>
      <c r="G194" s="1186">
        <v>1</v>
      </c>
      <c r="H194" s="1186"/>
      <c r="I194" s="1186">
        <v>13</v>
      </c>
      <c r="J194" s="1186">
        <v>1</v>
      </c>
      <c r="K194" s="1186">
        <v>3</v>
      </c>
      <c r="L194" s="1186">
        <v>4</v>
      </c>
      <c r="M194" s="1186">
        <v>1</v>
      </c>
      <c r="N194" s="1186">
        <v>4</v>
      </c>
      <c r="O194" s="1186"/>
      <c r="P194" s="1186">
        <v>2</v>
      </c>
      <c r="Q194" s="1186">
        <v>7</v>
      </c>
      <c r="R194" s="1186">
        <v>3</v>
      </c>
      <c r="S194" s="1186">
        <v>5</v>
      </c>
      <c r="T194" s="1186">
        <v>6</v>
      </c>
      <c r="U194" s="1186">
        <v>1</v>
      </c>
      <c r="V194" s="1186"/>
      <c r="W194" s="1186"/>
      <c r="X194" s="1186"/>
      <c r="Y194" s="1186"/>
      <c r="Z194" s="1186">
        <v>1</v>
      </c>
      <c r="AA194" s="1186"/>
      <c r="AB194" s="1186">
        <v>4</v>
      </c>
      <c r="AC194" s="1186"/>
      <c r="AD194" s="1186">
        <v>1</v>
      </c>
      <c r="AE194" s="1186"/>
      <c r="AF194" s="1186">
        <v>1</v>
      </c>
      <c r="AG194" s="1186"/>
    </row>
    <row r="195" spans="1:33" x14ac:dyDescent="0.2">
      <c r="A195" s="1186" t="s">
        <v>51</v>
      </c>
      <c r="B195" s="1186" t="s">
        <v>133</v>
      </c>
      <c r="C195" s="1186">
        <v>132</v>
      </c>
      <c r="D195" s="1186">
        <v>21</v>
      </c>
      <c r="E195" s="1186">
        <v>69</v>
      </c>
      <c r="F195" s="1186">
        <v>4</v>
      </c>
      <c r="G195" s="1186"/>
      <c r="H195" s="1186"/>
      <c r="I195" s="1186">
        <v>4</v>
      </c>
      <c r="J195" s="1186"/>
      <c r="K195" s="1186"/>
      <c r="L195" s="1186">
        <v>8</v>
      </c>
      <c r="M195" s="1186"/>
      <c r="N195" s="1186">
        <v>4</v>
      </c>
      <c r="O195" s="1186"/>
      <c r="P195" s="1186">
        <v>3</v>
      </c>
      <c r="Q195" s="1186">
        <v>3</v>
      </c>
      <c r="R195" s="1186">
        <v>1</v>
      </c>
      <c r="S195" s="1186"/>
      <c r="T195" s="1186">
        <v>3</v>
      </c>
      <c r="U195" s="1186">
        <v>4</v>
      </c>
      <c r="V195" s="1186">
        <v>1</v>
      </c>
      <c r="W195" s="1186">
        <v>2</v>
      </c>
      <c r="X195" s="1186"/>
      <c r="Y195" s="1186"/>
      <c r="Z195" s="1186"/>
      <c r="AA195" s="1186"/>
      <c r="AB195" s="1186">
        <v>4</v>
      </c>
      <c r="AC195" s="1186"/>
      <c r="AD195" s="1186">
        <v>1</v>
      </c>
      <c r="AE195" s="1186"/>
      <c r="AF195" s="1186"/>
      <c r="AG195" s="1186"/>
    </row>
    <row r="196" spans="1:33" x14ac:dyDescent="0.2">
      <c r="A196" s="1186" t="s">
        <v>52</v>
      </c>
      <c r="B196" s="1186" t="s">
        <v>133</v>
      </c>
      <c r="C196" s="1186">
        <v>260</v>
      </c>
      <c r="D196" s="1186">
        <v>120</v>
      </c>
      <c r="E196" s="1186">
        <v>32</v>
      </c>
      <c r="F196" s="1186">
        <v>2</v>
      </c>
      <c r="G196" s="1186">
        <v>3</v>
      </c>
      <c r="H196" s="1186"/>
      <c r="I196" s="1186">
        <v>14</v>
      </c>
      <c r="J196" s="1186"/>
      <c r="K196" s="1186">
        <v>2</v>
      </c>
      <c r="L196" s="1186">
        <v>12</v>
      </c>
      <c r="M196" s="1186">
        <v>1</v>
      </c>
      <c r="N196" s="1186">
        <v>10</v>
      </c>
      <c r="O196" s="1186">
        <v>2</v>
      </c>
      <c r="P196" s="1186">
        <v>6</v>
      </c>
      <c r="Q196" s="1186">
        <v>3</v>
      </c>
      <c r="R196" s="1186">
        <v>1</v>
      </c>
      <c r="S196" s="1186">
        <v>5</v>
      </c>
      <c r="T196" s="1186">
        <v>13</v>
      </c>
      <c r="U196" s="1186">
        <v>7</v>
      </c>
      <c r="V196" s="1186">
        <v>9</v>
      </c>
      <c r="W196" s="1186">
        <v>2</v>
      </c>
      <c r="X196" s="1186"/>
      <c r="Y196" s="1186">
        <v>1</v>
      </c>
      <c r="Z196" s="1186"/>
      <c r="AA196" s="1186"/>
      <c r="AB196" s="1186">
        <v>6</v>
      </c>
      <c r="AC196" s="1186"/>
      <c r="AD196" s="1186"/>
      <c r="AE196" s="1186">
        <v>4</v>
      </c>
      <c r="AF196" s="1186">
        <v>3</v>
      </c>
      <c r="AG196" s="1186">
        <v>2</v>
      </c>
    </row>
    <row r="197" spans="1:33" x14ac:dyDescent="0.2">
      <c r="A197" s="1186" t="s">
        <v>23</v>
      </c>
      <c r="B197" s="1186" t="s">
        <v>144</v>
      </c>
      <c r="C197" s="1186">
        <v>455</v>
      </c>
      <c r="D197" s="1186">
        <v>76</v>
      </c>
      <c r="E197" s="1186">
        <v>188</v>
      </c>
      <c r="F197" s="1186">
        <v>30</v>
      </c>
      <c r="G197" s="1186">
        <v>2</v>
      </c>
      <c r="H197" s="1186"/>
      <c r="I197" s="1186">
        <v>38</v>
      </c>
      <c r="J197" s="1186"/>
      <c r="K197" s="1186"/>
      <c r="L197" s="1186">
        <v>7</v>
      </c>
      <c r="M197" s="1186"/>
      <c r="N197" s="1186">
        <v>13</v>
      </c>
      <c r="O197" s="1186"/>
      <c r="P197" s="1186">
        <v>12</v>
      </c>
      <c r="Q197" s="1186">
        <v>2</v>
      </c>
      <c r="R197" s="1186">
        <v>6</v>
      </c>
      <c r="S197" s="1186">
        <v>10</v>
      </c>
      <c r="T197" s="1186">
        <v>13</v>
      </c>
      <c r="U197" s="1186">
        <v>10</v>
      </c>
      <c r="V197" s="1186">
        <v>16</v>
      </c>
      <c r="W197" s="1186">
        <v>10</v>
      </c>
      <c r="X197" s="1186">
        <v>7</v>
      </c>
      <c r="Y197" s="1186">
        <v>2</v>
      </c>
      <c r="Z197" s="1186"/>
      <c r="AA197" s="1186"/>
      <c r="AB197" s="1186">
        <v>6</v>
      </c>
      <c r="AC197" s="1186">
        <v>7</v>
      </c>
      <c r="AD197" s="1186"/>
      <c r="AE197" s="1186"/>
      <c r="AF197" s="1186"/>
      <c r="AG197" s="1186"/>
    </row>
    <row r="198" spans="1:33" x14ac:dyDescent="0.2">
      <c r="A198" s="1186" t="s">
        <v>24</v>
      </c>
      <c r="B198" s="1186" t="s">
        <v>144</v>
      </c>
      <c r="C198" s="1186">
        <v>275</v>
      </c>
      <c r="D198" s="1186">
        <v>85</v>
      </c>
      <c r="E198" s="1186">
        <v>24</v>
      </c>
      <c r="F198" s="1186">
        <v>7</v>
      </c>
      <c r="G198" s="1186">
        <v>1</v>
      </c>
      <c r="H198" s="1186"/>
      <c r="I198" s="1186">
        <v>69</v>
      </c>
      <c r="J198" s="1186">
        <v>3</v>
      </c>
      <c r="K198" s="1186">
        <v>3</v>
      </c>
      <c r="L198" s="1186">
        <v>7</v>
      </c>
      <c r="M198" s="1186">
        <v>5</v>
      </c>
      <c r="N198" s="1186">
        <v>17</v>
      </c>
      <c r="O198" s="1186">
        <v>1</v>
      </c>
      <c r="P198" s="1186">
        <v>3</v>
      </c>
      <c r="Q198" s="1186">
        <v>8</v>
      </c>
      <c r="R198" s="1186">
        <v>3</v>
      </c>
      <c r="S198" s="1186">
        <v>4</v>
      </c>
      <c r="T198" s="1186">
        <v>6</v>
      </c>
      <c r="U198" s="1186">
        <v>8</v>
      </c>
      <c r="V198" s="1186">
        <v>3</v>
      </c>
      <c r="W198" s="1186">
        <v>5</v>
      </c>
      <c r="X198" s="1186">
        <v>3</v>
      </c>
      <c r="Y198" s="1186"/>
      <c r="Z198" s="1186">
        <v>1</v>
      </c>
      <c r="AA198" s="1186">
        <v>1</v>
      </c>
      <c r="AB198" s="1186">
        <v>7</v>
      </c>
      <c r="AC198" s="1186">
        <v>1</v>
      </c>
      <c r="AD198" s="1186"/>
      <c r="AE198" s="1186"/>
      <c r="AF198" s="1186"/>
      <c r="AG198" s="1186"/>
    </row>
    <row r="199" spans="1:33" x14ac:dyDescent="0.2">
      <c r="A199" s="1186" t="s">
        <v>25</v>
      </c>
      <c r="B199" s="1186" t="s">
        <v>144</v>
      </c>
      <c r="C199" s="1186">
        <v>137</v>
      </c>
      <c r="D199" s="1186">
        <v>42</v>
      </c>
      <c r="E199" s="1186">
        <v>30</v>
      </c>
      <c r="F199" s="1186">
        <v>11</v>
      </c>
      <c r="G199" s="1186">
        <v>2</v>
      </c>
      <c r="H199" s="1186"/>
      <c r="I199" s="1186">
        <v>10</v>
      </c>
      <c r="J199" s="1186"/>
      <c r="K199" s="1186"/>
      <c r="L199" s="1186">
        <v>11</v>
      </c>
      <c r="M199" s="1186">
        <v>5</v>
      </c>
      <c r="N199" s="1186">
        <v>5</v>
      </c>
      <c r="O199" s="1186"/>
      <c r="P199" s="1186"/>
      <c r="Q199" s="1186">
        <v>1</v>
      </c>
      <c r="R199" s="1186"/>
      <c r="S199" s="1186">
        <v>2</v>
      </c>
      <c r="T199" s="1186">
        <v>6</v>
      </c>
      <c r="U199" s="1186">
        <v>5</v>
      </c>
      <c r="V199" s="1186">
        <v>2</v>
      </c>
      <c r="W199" s="1186">
        <v>2</v>
      </c>
      <c r="X199" s="1186"/>
      <c r="Y199" s="1186"/>
      <c r="Z199" s="1186">
        <v>1</v>
      </c>
      <c r="AA199" s="1186"/>
      <c r="AB199" s="1186">
        <v>2</v>
      </c>
      <c r="AC199" s="1186"/>
      <c r="AD199" s="1186"/>
      <c r="AE199" s="1186"/>
      <c r="AF199" s="1186"/>
      <c r="AG199" s="1186"/>
    </row>
    <row r="200" spans="1:33" x14ac:dyDescent="0.2">
      <c r="A200" s="1186" t="s">
        <v>26</v>
      </c>
      <c r="B200" s="1186" t="s">
        <v>144</v>
      </c>
      <c r="C200" s="1186">
        <v>102</v>
      </c>
      <c r="D200" s="1186">
        <v>31</v>
      </c>
      <c r="E200" s="1186">
        <v>24</v>
      </c>
      <c r="F200" s="1186">
        <v>3</v>
      </c>
      <c r="G200" s="1186"/>
      <c r="H200" s="1186"/>
      <c r="I200" s="1186">
        <v>6</v>
      </c>
      <c r="J200" s="1186"/>
      <c r="K200" s="1186"/>
      <c r="L200" s="1186">
        <v>2</v>
      </c>
      <c r="M200" s="1186">
        <v>4</v>
      </c>
      <c r="N200" s="1186">
        <v>4</v>
      </c>
      <c r="O200" s="1186"/>
      <c r="P200" s="1186">
        <v>1</v>
      </c>
      <c r="Q200" s="1186"/>
      <c r="R200" s="1186">
        <v>1</v>
      </c>
      <c r="S200" s="1186">
        <v>2</v>
      </c>
      <c r="T200" s="1186">
        <v>3</v>
      </c>
      <c r="U200" s="1186">
        <v>2</v>
      </c>
      <c r="V200" s="1186"/>
      <c r="W200" s="1186">
        <v>9</v>
      </c>
      <c r="X200" s="1186">
        <v>5</v>
      </c>
      <c r="Y200" s="1186"/>
      <c r="Z200" s="1186"/>
      <c r="AA200" s="1186"/>
      <c r="AB200" s="1186"/>
      <c r="AC200" s="1186"/>
      <c r="AD200" s="1186">
        <v>3</v>
      </c>
      <c r="AE200" s="1186">
        <v>1</v>
      </c>
      <c r="AF200" s="1186"/>
      <c r="AG200" s="1186">
        <v>1</v>
      </c>
    </row>
    <row r="201" spans="1:33" x14ac:dyDescent="0.2">
      <c r="A201" s="1186" t="s">
        <v>619</v>
      </c>
      <c r="B201" s="1186" t="s">
        <v>144</v>
      </c>
      <c r="C201" s="1186">
        <v>921</v>
      </c>
      <c r="D201" s="1186">
        <v>113</v>
      </c>
      <c r="E201" s="1186">
        <v>315</v>
      </c>
      <c r="F201" s="1186">
        <v>125</v>
      </c>
      <c r="G201" s="1186">
        <v>4</v>
      </c>
      <c r="H201" s="1186"/>
      <c r="I201" s="1186">
        <v>69</v>
      </c>
      <c r="J201" s="1186">
        <v>4</v>
      </c>
      <c r="K201" s="1186">
        <v>3</v>
      </c>
      <c r="L201" s="1186">
        <v>23</v>
      </c>
      <c r="M201" s="1186">
        <v>3</v>
      </c>
      <c r="N201" s="1186">
        <v>9</v>
      </c>
      <c r="O201" s="1186">
        <v>4</v>
      </c>
      <c r="P201" s="1186">
        <v>30</v>
      </c>
      <c r="Q201" s="1186">
        <v>13</v>
      </c>
      <c r="R201" s="1186">
        <v>14</v>
      </c>
      <c r="S201" s="1186">
        <v>35</v>
      </c>
      <c r="T201" s="1186">
        <v>25</v>
      </c>
      <c r="U201" s="1186">
        <v>18</v>
      </c>
      <c r="V201" s="1186">
        <v>22</v>
      </c>
      <c r="W201" s="1186">
        <v>25</v>
      </c>
      <c r="X201" s="1186">
        <v>14</v>
      </c>
      <c r="Y201" s="1186">
        <v>4</v>
      </c>
      <c r="Z201" s="1186"/>
      <c r="AA201" s="1186"/>
      <c r="AB201" s="1186">
        <v>12</v>
      </c>
      <c r="AC201" s="1186">
        <v>30</v>
      </c>
      <c r="AD201" s="1186">
        <v>7</v>
      </c>
      <c r="AE201" s="1186"/>
      <c r="AF201" s="1186"/>
      <c r="AG201" s="1186"/>
    </row>
    <row r="202" spans="1:33" x14ac:dyDescent="0.2">
      <c r="A202" s="1186" t="s">
        <v>27</v>
      </c>
      <c r="B202" s="1186" t="s">
        <v>144</v>
      </c>
      <c r="C202" s="1186">
        <v>98</v>
      </c>
      <c r="D202" s="1186">
        <v>40</v>
      </c>
      <c r="E202" s="1186">
        <v>31</v>
      </c>
      <c r="F202" s="1186">
        <v>1</v>
      </c>
      <c r="G202" s="1186">
        <v>1</v>
      </c>
      <c r="H202" s="1186"/>
      <c r="I202" s="1186">
        <v>2</v>
      </c>
      <c r="J202" s="1186"/>
      <c r="K202" s="1186"/>
      <c r="L202" s="1186">
        <v>1</v>
      </c>
      <c r="M202" s="1186"/>
      <c r="N202" s="1186">
        <v>3</v>
      </c>
      <c r="O202" s="1186">
        <v>2</v>
      </c>
      <c r="P202" s="1186"/>
      <c r="Q202" s="1186">
        <v>5</v>
      </c>
      <c r="R202" s="1186"/>
      <c r="S202" s="1186">
        <v>3</v>
      </c>
      <c r="T202" s="1186">
        <v>1</v>
      </c>
      <c r="U202" s="1186">
        <v>3</v>
      </c>
      <c r="V202" s="1186">
        <v>3</v>
      </c>
      <c r="W202" s="1186">
        <v>2</v>
      </c>
      <c r="X202" s="1186"/>
      <c r="Y202" s="1186"/>
      <c r="Z202" s="1186"/>
      <c r="AA202" s="1186"/>
      <c r="AB202" s="1186"/>
      <c r="AC202" s="1186"/>
      <c r="AD202" s="1186"/>
      <c r="AE202" s="1186"/>
      <c r="AF202" s="1186"/>
      <c r="AG202" s="1186"/>
    </row>
    <row r="203" spans="1:33" x14ac:dyDescent="0.2">
      <c r="A203" s="1186" t="s">
        <v>28</v>
      </c>
      <c r="B203" s="1186" t="s">
        <v>144</v>
      </c>
      <c r="C203" s="1186">
        <v>138</v>
      </c>
      <c r="D203" s="1186">
        <v>66</v>
      </c>
      <c r="E203" s="1186">
        <v>20</v>
      </c>
      <c r="F203" s="1186">
        <v>2</v>
      </c>
      <c r="G203" s="1186"/>
      <c r="H203" s="1186"/>
      <c r="I203" s="1186">
        <v>3</v>
      </c>
      <c r="J203" s="1186">
        <v>1</v>
      </c>
      <c r="K203" s="1186">
        <v>2</v>
      </c>
      <c r="L203" s="1186">
        <v>8</v>
      </c>
      <c r="M203" s="1186">
        <v>8</v>
      </c>
      <c r="N203" s="1186"/>
      <c r="O203" s="1186"/>
      <c r="P203" s="1186">
        <v>1</v>
      </c>
      <c r="Q203" s="1186">
        <v>1</v>
      </c>
      <c r="R203" s="1186">
        <v>5</v>
      </c>
      <c r="S203" s="1186">
        <v>6</v>
      </c>
      <c r="T203" s="1186">
        <v>1</v>
      </c>
      <c r="U203" s="1186">
        <v>5</v>
      </c>
      <c r="V203" s="1186">
        <v>1</v>
      </c>
      <c r="W203" s="1186">
        <v>3</v>
      </c>
      <c r="X203" s="1186">
        <v>1</v>
      </c>
      <c r="Y203" s="1186"/>
      <c r="Z203" s="1186"/>
      <c r="AA203" s="1186">
        <v>1</v>
      </c>
      <c r="AB203" s="1186">
        <v>3</v>
      </c>
      <c r="AC203" s="1186"/>
      <c r="AD203" s="1186"/>
      <c r="AE203" s="1186"/>
      <c r="AF203" s="1186"/>
      <c r="AG203" s="1186"/>
    </row>
    <row r="204" spans="1:33" x14ac:dyDescent="0.2">
      <c r="A204" s="1186" t="s">
        <v>29</v>
      </c>
      <c r="B204" s="1186" t="s">
        <v>144</v>
      </c>
      <c r="C204" s="1186">
        <v>334</v>
      </c>
      <c r="D204" s="1186">
        <v>57</v>
      </c>
      <c r="E204" s="1186">
        <v>102</v>
      </c>
      <c r="F204" s="1186">
        <v>64</v>
      </c>
      <c r="G204" s="1186">
        <v>2</v>
      </c>
      <c r="H204" s="1186"/>
      <c r="I204" s="1186">
        <v>30</v>
      </c>
      <c r="J204" s="1186"/>
      <c r="K204" s="1186">
        <v>1</v>
      </c>
      <c r="L204" s="1186">
        <v>9</v>
      </c>
      <c r="M204" s="1186">
        <v>1</v>
      </c>
      <c r="N204" s="1186">
        <v>9</v>
      </c>
      <c r="O204" s="1186">
        <v>4</v>
      </c>
      <c r="P204" s="1186">
        <v>3</v>
      </c>
      <c r="Q204" s="1186">
        <v>1</v>
      </c>
      <c r="R204" s="1186">
        <v>3</v>
      </c>
      <c r="S204" s="1186">
        <v>5</v>
      </c>
      <c r="T204" s="1186">
        <v>12</v>
      </c>
      <c r="U204" s="1186">
        <v>4</v>
      </c>
      <c r="V204" s="1186">
        <v>8</v>
      </c>
      <c r="W204" s="1186">
        <v>5</v>
      </c>
      <c r="X204" s="1186"/>
      <c r="Y204" s="1186">
        <v>3</v>
      </c>
      <c r="Z204" s="1186"/>
      <c r="AA204" s="1186"/>
      <c r="AB204" s="1186">
        <v>8</v>
      </c>
      <c r="AC204" s="1186">
        <v>1</v>
      </c>
      <c r="AD204" s="1186">
        <v>1</v>
      </c>
      <c r="AE204" s="1186"/>
      <c r="AF204" s="1186"/>
      <c r="AG204" s="1186">
        <v>1</v>
      </c>
    </row>
    <row r="205" spans="1:33" x14ac:dyDescent="0.2">
      <c r="A205" s="1186" t="s">
        <v>30</v>
      </c>
      <c r="B205" s="1186" t="s">
        <v>144</v>
      </c>
      <c r="C205" s="1186">
        <v>158</v>
      </c>
      <c r="D205" s="1186">
        <v>67</v>
      </c>
      <c r="E205" s="1186">
        <v>25</v>
      </c>
      <c r="F205" s="1186">
        <v>3</v>
      </c>
      <c r="G205" s="1186"/>
      <c r="H205" s="1186"/>
      <c r="I205" s="1186">
        <v>7</v>
      </c>
      <c r="J205" s="1186">
        <v>2</v>
      </c>
      <c r="K205" s="1186"/>
      <c r="L205" s="1186">
        <v>14</v>
      </c>
      <c r="M205" s="1186">
        <v>1</v>
      </c>
      <c r="N205" s="1186">
        <v>2</v>
      </c>
      <c r="O205" s="1186">
        <v>1</v>
      </c>
      <c r="P205" s="1186">
        <v>3</v>
      </c>
      <c r="Q205" s="1186">
        <v>9</v>
      </c>
      <c r="R205" s="1186">
        <v>2</v>
      </c>
      <c r="S205" s="1186">
        <v>2</v>
      </c>
      <c r="T205" s="1186">
        <v>7</v>
      </c>
      <c r="U205" s="1186">
        <v>3</v>
      </c>
      <c r="V205" s="1186">
        <v>2</v>
      </c>
      <c r="W205" s="1186">
        <v>3</v>
      </c>
      <c r="X205" s="1186"/>
      <c r="Y205" s="1186"/>
      <c r="Z205" s="1186">
        <v>1</v>
      </c>
      <c r="AA205" s="1186"/>
      <c r="AB205" s="1186">
        <v>2</v>
      </c>
      <c r="AC205" s="1186">
        <v>1</v>
      </c>
      <c r="AD205" s="1186"/>
      <c r="AE205" s="1186">
        <v>1</v>
      </c>
      <c r="AF205" s="1186"/>
      <c r="AG205" s="1186"/>
    </row>
    <row r="206" spans="1:33" x14ac:dyDescent="0.2">
      <c r="A206" s="1186" t="s">
        <v>31</v>
      </c>
      <c r="B206" s="1186" t="s">
        <v>144</v>
      </c>
      <c r="C206" s="1186">
        <v>106</v>
      </c>
      <c r="D206" s="1186">
        <v>46</v>
      </c>
      <c r="E206" s="1186">
        <v>19</v>
      </c>
      <c r="F206" s="1186">
        <v>3</v>
      </c>
      <c r="G206" s="1186"/>
      <c r="H206" s="1186"/>
      <c r="I206" s="1186">
        <v>9</v>
      </c>
      <c r="J206" s="1186"/>
      <c r="K206" s="1186"/>
      <c r="L206" s="1186">
        <v>4</v>
      </c>
      <c r="M206" s="1186"/>
      <c r="N206" s="1186">
        <v>2</v>
      </c>
      <c r="O206" s="1186"/>
      <c r="P206" s="1186">
        <v>2</v>
      </c>
      <c r="Q206" s="1186">
        <v>8</v>
      </c>
      <c r="R206" s="1186"/>
      <c r="S206" s="1186"/>
      <c r="T206" s="1186">
        <v>1</v>
      </c>
      <c r="U206" s="1186">
        <v>4</v>
      </c>
      <c r="V206" s="1186"/>
      <c r="W206" s="1186">
        <v>3</v>
      </c>
      <c r="X206" s="1186"/>
      <c r="Y206" s="1186">
        <v>1</v>
      </c>
      <c r="Z206" s="1186"/>
      <c r="AA206" s="1186"/>
      <c r="AB206" s="1186">
        <v>4</v>
      </c>
      <c r="AC206" s="1186"/>
      <c r="AD206" s="1186"/>
      <c r="AE206" s="1186"/>
      <c r="AF206" s="1186"/>
      <c r="AG206" s="1186"/>
    </row>
    <row r="207" spans="1:33" x14ac:dyDescent="0.2">
      <c r="A207" s="1186" t="s">
        <v>32</v>
      </c>
      <c r="B207" s="1186" t="s">
        <v>144</v>
      </c>
      <c r="C207" s="1186">
        <v>120</v>
      </c>
      <c r="D207" s="1186">
        <v>51</v>
      </c>
      <c r="E207" s="1186">
        <v>26</v>
      </c>
      <c r="F207" s="1186">
        <v>3</v>
      </c>
      <c r="G207" s="1186"/>
      <c r="H207" s="1186"/>
      <c r="I207" s="1186">
        <v>4</v>
      </c>
      <c r="J207" s="1186"/>
      <c r="K207" s="1186">
        <v>1</v>
      </c>
      <c r="L207" s="1186">
        <v>2</v>
      </c>
      <c r="M207" s="1186">
        <v>3</v>
      </c>
      <c r="N207" s="1186">
        <v>4</v>
      </c>
      <c r="O207" s="1186">
        <v>1</v>
      </c>
      <c r="P207" s="1186">
        <v>2</v>
      </c>
      <c r="Q207" s="1186"/>
      <c r="R207" s="1186">
        <v>3</v>
      </c>
      <c r="S207" s="1186">
        <v>3</v>
      </c>
      <c r="T207" s="1186">
        <v>2</v>
      </c>
      <c r="U207" s="1186">
        <v>4</v>
      </c>
      <c r="V207" s="1186">
        <v>1</v>
      </c>
      <c r="W207" s="1186">
        <v>4</v>
      </c>
      <c r="X207" s="1186"/>
      <c r="Y207" s="1186">
        <v>1</v>
      </c>
      <c r="Z207" s="1186"/>
      <c r="AA207" s="1186"/>
      <c r="AB207" s="1186">
        <v>5</v>
      </c>
      <c r="AC207" s="1186"/>
      <c r="AD207" s="1186"/>
      <c r="AE207" s="1186"/>
      <c r="AF207" s="1186"/>
      <c r="AG207" s="1186"/>
    </row>
    <row r="208" spans="1:33" x14ac:dyDescent="0.2">
      <c r="A208" s="1186" t="s">
        <v>33</v>
      </c>
      <c r="B208" s="1186" t="s">
        <v>144</v>
      </c>
      <c r="C208" s="1186">
        <v>104</v>
      </c>
      <c r="D208" s="1186">
        <v>38</v>
      </c>
      <c r="E208" s="1186">
        <v>21</v>
      </c>
      <c r="F208" s="1186">
        <v>5</v>
      </c>
      <c r="G208" s="1186"/>
      <c r="H208" s="1186"/>
      <c r="I208" s="1186">
        <v>7</v>
      </c>
      <c r="J208" s="1186"/>
      <c r="K208" s="1186"/>
      <c r="L208" s="1186">
        <v>9</v>
      </c>
      <c r="M208" s="1186">
        <v>1</v>
      </c>
      <c r="N208" s="1186">
        <v>2</v>
      </c>
      <c r="O208" s="1186">
        <v>1</v>
      </c>
      <c r="P208" s="1186">
        <v>2</v>
      </c>
      <c r="Q208" s="1186">
        <v>2</v>
      </c>
      <c r="R208" s="1186"/>
      <c r="S208" s="1186">
        <v>1</v>
      </c>
      <c r="T208" s="1186"/>
      <c r="U208" s="1186">
        <v>5</v>
      </c>
      <c r="V208" s="1186">
        <v>1</v>
      </c>
      <c r="W208" s="1186">
        <v>4</v>
      </c>
      <c r="X208" s="1186">
        <v>2</v>
      </c>
      <c r="Y208" s="1186"/>
      <c r="Z208" s="1186"/>
      <c r="AA208" s="1186"/>
      <c r="AB208" s="1186">
        <v>1</v>
      </c>
      <c r="AC208" s="1186"/>
      <c r="AD208" s="1186"/>
      <c r="AE208" s="1186">
        <v>2</v>
      </c>
      <c r="AF208" s="1186"/>
      <c r="AG208" s="1186"/>
    </row>
    <row r="209" spans="1:33" x14ac:dyDescent="0.2">
      <c r="A209" s="1186" t="s">
        <v>34</v>
      </c>
      <c r="B209" s="1186" t="s">
        <v>144</v>
      </c>
      <c r="C209" s="1186">
        <v>205</v>
      </c>
      <c r="D209" s="1186">
        <v>70</v>
      </c>
      <c r="E209" s="1186">
        <v>50</v>
      </c>
      <c r="F209" s="1186">
        <v>4</v>
      </c>
      <c r="G209" s="1186">
        <v>1</v>
      </c>
      <c r="H209" s="1186"/>
      <c r="I209" s="1186">
        <v>9</v>
      </c>
      <c r="J209" s="1186"/>
      <c r="K209" s="1186"/>
      <c r="L209" s="1186">
        <v>4</v>
      </c>
      <c r="M209" s="1186">
        <v>7</v>
      </c>
      <c r="N209" s="1186">
        <v>6</v>
      </c>
      <c r="O209" s="1186">
        <v>2</v>
      </c>
      <c r="P209" s="1186">
        <v>1</v>
      </c>
      <c r="Q209" s="1186">
        <v>5</v>
      </c>
      <c r="R209" s="1186">
        <v>3</v>
      </c>
      <c r="S209" s="1186">
        <v>5</v>
      </c>
      <c r="T209" s="1186">
        <v>14</v>
      </c>
      <c r="U209" s="1186">
        <v>4</v>
      </c>
      <c r="V209" s="1186">
        <v>11</v>
      </c>
      <c r="W209" s="1186"/>
      <c r="X209" s="1186">
        <v>3</v>
      </c>
      <c r="Y209" s="1186"/>
      <c r="Z209" s="1186"/>
      <c r="AA209" s="1186">
        <v>1</v>
      </c>
      <c r="AB209" s="1186">
        <v>3</v>
      </c>
      <c r="AC209" s="1186"/>
      <c r="AD209" s="1186"/>
      <c r="AE209" s="1186">
        <v>2</v>
      </c>
      <c r="AF209" s="1186"/>
      <c r="AG209" s="1186"/>
    </row>
    <row r="210" spans="1:33" x14ac:dyDescent="0.2">
      <c r="A210" s="1186" t="s">
        <v>35</v>
      </c>
      <c r="B210" s="1186" t="s">
        <v>144</v>
      </c>
      <c r="C210" s="1186">
        <v>412</v>
      </c>
      <c r="D210" s="1186">
        <v>136</v>
      </c>
      <c r="E210" s="1186">
        <v>107</v>
      </c>
      <c r="F210" s="1186">
        <v>13</v>
      </c>
      <c r="G210" s="1186">
        <v>2</v>
      </c>
      <c r="H210" s="1186"/>
      <c r="I210" s="1186">
        <v>16</v>
      </c>
      <c r="J210" s="1186">
        <v>3</v>
      </c>
      <c r="K210" s="1186">
        <v>1</v>
      </c>
      <c r="L210" s="1186">
        <v>21</v>
      </c>
      <c r="M210" s="1186">
        <v>3</v>
      </c>
      <c r="N210" s="1186">
        <v>21</v>
      </c>
      <c r="O210" s="1186">
        <v>3</v>
      </c>
      <c r="P210" s="1186">
        <v>6</v>
      </c>
      <c r="Q210" s="1186">
        <v>4</v>
      </c>
      <c r="R210" s="1186">
        <v>7</v>
      </c>
      <c r="S210" s="1186">
        <v>9</v>
      </c>
      <c r="T210" s="1186">
        <v>18</v>
      </c>
      <c r="U210" s="1186">
        <v>7</v>
      </c>
      <c r="V210" s="1186">
        <v>8</v>
      </c>
      <c r="W210" s="1186">
        <v>8</v>
      </c>
      <c r="X210" s="1186">
        <v>4</v>
      </c>
      <c r="Y210" s="1186"/>
      <c r="Z210" s="1186"/>
      <c r="AA210" s="1186">
        <v>2</v>
      </c>
      <c r="AB210" s="1186">
        <v>7</v>
      </c>
      <c r="AC210" s="1186">
        <v>3</v>
      </c>
      <c r="AD210" s="1186">
        <v>2</v>
      </c>
      <c r="AE210" s="1186"/>
      <c r="AF210" s="1186"/>
      <c r="AG210" s="1186">
        <v>1</v>
      </c>
    </row>
    <row r="211" spans="1:33" x14ac:dyDescent="0.2">
      <c r="A211" s="1186" t="s">
        <v>36</v>
      </c>
      <c r="B211" s="1186" t="s">
        <v>144</v>
      </c>
      <c r="C211" s="1186">
        <v>1368</v>
      </c>
      <c r="D211" s="1186">
        <v>155</v>
      </c>
      <c r="E211" s="1186">
        <v>475</v>
      </c>
      <c r="F211" s="1186">
        <v>259</v>
      </c>
      <c r="G211" s="1186">
        <v>5</v>
      </c>
      <c r="H211" s="1186"/>
      <c r="I211" s="1186">
        <v>66</v>
      </c>
      <c r="J211" s="1186"/>
      <c r="K211" s="1186"/>
      <c r="L211" s="1186">
        <v>42</v>
      </c>
      <c r="M211" s="1186">
        <v>1</v>
      </c>
      <c r="N211" s="1186">
        <v>34</v>
      </c>
      <c r="O211" s="1186">
        <v>4</v>
      </c>
      <c r="P211" s="1186">
        <v>23</v>
      </c>
      <c r="Q211" s="1186">
        <v>5</v>
      </c>
      <c r="R211" s="1186">
        <v>18</v>
      </c>
      <c r="S211" s="1186">
        <v>20</v>
      </c>
      <c r="T211" s="1186">
        <v>38</v>
      </c>
      <c r="U211" s="1186">
        <v>28</v>
      </c>
      <c r="V211" s="1186">
        <v>37</v>
      </c>
      <c r="W211" s="1186">
        <v>40</v>
      </c>
      <c r="X211" s="1186">
        <v>11</v>
      </c>
      <c r="Y211" s="1186">
        <v>28</v>
      </c>
      <c r="Z211" s="1186">
        <v>1</v>
      </c>
      <c r="AA211" s="1186"/>
      <c r="AB211" s="1186">
        <v>42</v>
      </c>
      <c r="AC211" s="1186">
        <v>19</v>
      </c>
      <c r="AD211" s="1186">
        <v>6</v>
      </c>
      <c r="AE211" s="1186">
        <v>10</v>
      </c>
      <c r="AF211" s="1186">
        <v>1</v>
      </c>
      <c r="AG211" s="1186"/>
    </row>
    <row r="212" spans="1:33" x14ac:dyDescent="0.2">
      <c r="A212" s="1186" t="s">
        <v>37</v>
      </c>
      <c r="B212" s="1186" t="s">
        <v>144</v>
      </c>
      <c r="C212" s="1186">
        <v>231</v>
      </c>
      <c r="D212" s="1186">
        <v>92</v>
      </c>
      <c r="E212" s="1186">
        <v>26</v>
      </c>
      <c r="F212" s="1186"/>
      <c r="G212" s="1186">
        <v>1</v>
      </c>
      <c r="H212" s="1186"/>
      <c r="I212" s="1186">
        <v>5</v>
      </c>
      <c r="J212" s="1186">
        <v>3</v>
      </c>
      <c r="K212" s="1186">
        <v>2</v>
      </c>
      <c r="L212" s="1186">
        <v>12</v>
      </c>
      <c r="M212" s="1186">
        <v>11</v>
      </c>
      <c r="N212" s="1186">
        <v>9</v>
      </c>
      <c r="O212" s="1186">
        <v>3</v>
      </c>
      <c r="P212" s="1186">
        <v>1</v>
      </c>
      <c r="Q212" s="1186">
        <v>1</v>
      </c>
      <c r="R212" s="1186">
        <v>4</v>
      </c>
      <c r="S212" s="1186">
        <v>9</v>
      </c>
      <c r="T212" s="1186">
        <v>5</v>
      </c>
      <c r="U212" s="1186">
        <v>3</v>
      </c>
      <c r="V212" s="1186">
        <v>6</v>
      </c>
      <c r="W212" s="1186">
        <v>7</v>
      </c>
      <c r="X212" s="1186">
        <v>18</v>
      </c>
      <c r="Y212" s="1186"/>
      <c r="Z212" s="1186">
        <v>5</v>
      </c>
      <c r="AA212" s="1186"/>
      <c r="AB212" s="1186">
        <v>5</v>
      </c>
      <c r="AC212" s="1186"/>
      <c r="AD212" s="1186">
        <v>3</v>
      </c>
      <c r="AE212" s="1186"/>
      <c r="AF212" s="1186"/>
      <c r="AG212" s="1186"/>
    </row>
    <row r="213" spans="1:33" x14ac:dyDescent="0.2">
      <c r="A213" s="1186" t="s">
        <v>38</v>
      </c>
      <c r="B213" s="1186" t="s">
        <v>144</v>
      </c>
      <c r="C213" s="1186">
        <v>166</v>
      </c>
      <c r="D213" s="1186">
        <v>36</v>
      </c>
      <c r="E213" s="1186">
        <v>45</v>
      </c>
      <c r="F213" s="1186">
        <v>35</v>
      </c>
      <c r="G213" s="1186"/>
      <c r="H213" s="1186"/>
      <c r="I213" s="1186">
        <v>13</v>
      </c>
      <c r="J213" s="1186"/>
      <c r="K213" s="1186"/>
      <c r="L213" s="1186">
        <v>6</v>
      </c>
      <c r="M213" s="1186">
        <v>1</v>
      </c>
      <c r="N213" s="1186">
        <v>2</v>
      </c>
      <c r="O213" s="1186">
        <v>1</v>
      </c>
      <c r="P213" s="1186">
        <v>2</v>
      </c>
      <c r="Q213" s="1186">
        <v>1</v>
      </c>
      <c r="R213" s="1186">
        <v>2</v>
      </c>
      <c r="S213" s="1186">
        <v>1</v>
      </c>
      <c r="T213" s="1186">
        <v>3</v>
      </c>
      <c r="U213" s="1186">
        <v>2</v>
      </c>
      <c r="V213" s="1186">
        <v>4</v>
      </c>
      <c r="W213" s="1186">
        <v>7</v>
      </c>
      <c r="X213" s="1186"/>
      <c r="Y213" s="1186"/>
      <c r="Z213" s="1186"/>
      <c r="AA213" s="1186"/>
      <c r="AB213" s="1186">
        <v>5</v>
      </c>
      <c r="AC213" s="1186"/>
      <c r="AD213" s="1186"/>
      <c r="AE213" s="1186"/>
      <c r="AF213" s="1186"/>
      <c r="AG213" s="1186"/>
    </row>
    <row r="214" spans="1:33" x14ac:dyDescent="0.2">
      <c r="A214" s="1186" t="s">
        <v>39</v>
      </c>
      <c r="B214" s="1186" t="s">
        <v>144</v>
      </c>
      <c r="C214" s="1186">
        <v>101</v>
      </c>
      <c r="D214" s="1186">
        <v>43</v>
      </c>
      <c r="E214" s="1186">
        <v>12</v>
      </c>
      <c r="F214" s="1186">
        <v>2</v>
      </c>
      <c r="G214" s="1186"/>
      <c r="H214" s="1186"/>
      <c r="I214" s="1186">
        <v>10</v>
      </c>
      <c r="J214" s="1186"/>
      <c r="K214" s="1186">
        <v>2</v>
      </c>
      <c r="L214" s="1186">
        <v>6</v>
      </c>
      <c r="M214" s="1186">
        <v>3</v>
      </c>
      <c r="N214" s="1186">
        <v>1</v>
      </c>
      <c r="O214" s="1186">
        <v>2</v>
      </c>
      <c r="P214" s="1186">
        <v>1</v>
      </c>
      <c r="Q214" s="1186"/>
      <c r="R214" s="1186">
        <v>1</v>
      </c>
      <c r="S214" s="1186">
        <v>2</v>
      </c>
      <c r="T214" s="1186">
        <v>5</v>
      </c>
      <c r="U214" s="1186">
        <v>2</v>
      </c>
      <c r="V214" s="1186"/>
      <c r="W214" s="1186">
        <v>3</v>
      </c>
      <c r="X214" s="1186"/>
      <c r="Y214" s="1186">
        <v>4</v>
      </c>
      <c r="Z214" s="1186"/>
      <c r="AA214" s="1186"/>
      <c r="AB214" s="1186">
        <v>2</v>
      </c>
      <c r="AC214" s="1186"/>
      <c r="AD214" s="1186"/>
      <c r="AE214" s="1186"/>
      <c r="AF214" s="1186"/>
      <c r="AG214" s="1186"/>
    </row>
    <row r="215" spans="1:33" x14ac:dyDescent="0.2">
      <c r="A215" s="1186" t="s">
        <v>40</v>
      </c>
      <c r="B215" s="1186" t="s">
        <v>144</v>
      </c>
      <c r="C215" s="1186">
        <v>86</v>
      </c>
      <c r="D215" s="1186">
        <v>34</v>
      </c>
      <c r="E215" s="1186">
        <v>6</v>
      </c>
      <c r="F215" s="1186"/>
      <c r="G215" s="1186"/>
      <c r="H215" s="1186"/>
      <c r="I215" s="1186">
        <v>7</v>
      </c>
      <c r="J215" s="1186">
        <v>2</v>
      </c>
      <c r="K215" s="1186">
        <v>1</v>
      </c>
      <c r="L215" s="1186">
        <v>6</v>
      </c>
      <c r="M215" s="1186">
        <v>2</v>
      </c>
      <c r="N215" s="1186">
        <v>7</v>
      </c>
      <c r="O215" s="1186">
        <v>1</v>
      </c>
      <c r="P215" s="1186">
        <v>2</v>
      </c>
      <c r="Q215" s="1186">
        <v>1</v>
      </c>
      <c r="R215" s="1186">
        <v>2</v>
      </c>
      <c r="S215" s="1186">
        <v>3</v>
      </c>
      <c r="T215" s="1186">
        <v>1</v>
      </c>
      <c r="U215" s="1186">
        <v>1</v>
      </c>
      <c r="V215" s="1186">
        <v>3</v>
      </c>
      <c r="W215" s="1186"/>
      <c r="X215" s="1186"/>
      <c r="Y215" s="1186">
        <v>1</v>
      </c>
      <c r="Z215" s="1186"/>
      <c r="AA215" s="1186"/>
      <c r="AB215" s="1186">
        <v>4</v>
      </c>
      <c r="AC215" s="1186">
        <v>1</v>
      </c>
      <c r="AD215" s="1186">
        <v>1</v>
      </c>
      <c r="AE215" s="1186"/>
      <c r="AF215" s="1186"/>
      <c r="AG215" s="1186"/>
    </row>
    <row r="216" spans="1:33" x14ac:dyDescent="0.2">
      <c r="A216" s="1186" t="s">
        <v>295</v>
      </c>
      <c r="B216" s="1186" t="s">
        <v>144</v>
      </c>
      <c r="C216" s="1186">
        <v>27</v>
      </c>
      <c r="D216" s="1186">
        <v>18</v>
      </c>
      <c r="E216" s="1186">
        <v>1</v>
      </c>
      <c r="F216" s="1186"/>
      <c r="G216" s="1186"/>
      <c r="H216" s="1186"/>
      <c r="I216" s="1186">
        <v>1</v>
      </c>
      <c r="J216" s="1186"/>
      <c r="K216" s="1186"/>
      <c r="L216" s="1186"/>
      <c r="M216" s="1186"/>
      <c r="N216" s="1186">
        <v>1</v>
      </c>
      <c r="O216" s="1186"/>
      <c r="P216" s="1186">
        <v>1</v>
      </c>
      <c r="Q216" s="1186"/>
      <c r="R216" s="1186"/>
      <c r="S216" s="1186">
        <v>1</v>
      </c>
      <c r="T216" s="1186">
        <v>1</v>
      </c>
      <c r="U216" s="1186"/>
      <c r="V216" s="1186"/>
      <c r="W216" s="1186">
        <v>1</v>
      </c>
      <c r="X216" s="1186"/>
      <c r="Y216" s="1186"/>
      <c r="Z216" s="1186"/>
      <c r="AA216" s="1186"/>
      <c r="AB216" s="1186"/>
      <c r="AC216" s="1186">
        <v>1</v>
      </c>
      <c r="AD216" s="1186">
        <v>1</v>
      </c>
      <c r="AE216" s="1186"/>
      <c r="AF216" s="1186"/>
      <c r="AG216" s="1186"/>
    </row>
    <row r="217" spans="1:33" x14ac:dyDescent="0.2">
      <c r="A217" s="1186" t="s">
        <v>41</v>
      </c>
      <c r="B217" s="1186" t="s">
        <v>144</v>
      </c>
      <c r="C217" s="1186">
        <v>239</v>
      </c>
      <c r="D217" s="1186">
        <v>91</v>
      </c>
      <c r="E217" s="1186">
        <v>53</v>
      </c>
      <c r="F217" s="1186">
        <v>9</v>
      </c>
      <c r="G217" s="1186"/>
      <c r="H217" s="1186"/>
      <c r="I217" s="1186">
        <v>23</v>
      </c>
      <c r="J217" s="1186"/>
      <c r="K217" s="1186"/>
      <c r="L217" s="1186">
        <v>11</v>
      </c>
      <c r="M217" s="1186">
        <v>2</v>
      </c>
      <c r="N217" s="1186">
        <v>9</v>
      </c>
      <c r="O217" s="1186">
        <v>1</v>
      </c>
      <c r="P217" s="1186">
        <v>2</v>
      </c>
      <c r="Q217" s="1186"/>
      <c r="R217" s="1186">
        <v>4</v>
      </c>
      <c r="S217" s="1186">
        <v>2</v>
      </c>
      <c r="T217" s="1186">
        <v>10</v>
      </c>
      <c r="U217" s="1186">
        <v>7</v>
      </c>
      <c r="V217" s="1186">
        <v>1</v>
      </c>
      <c r="W217" s="1186">
        <v>5</v>
      </c>
      <c r="X217" s="1186"/>
      <c r="Y217" s="1186">
        <v>3</v>
      </c>
      <c r="Z217" s="1186"/>
      <c r="AA217" s="1186"/>
      <c r="AB217" s="1186">
        <v>2</v>
      </c>
      <c r="AC217" s="1186"/>
      <c r="AD217" s="1186"/>
      <c r="AE217" s="1186">
        <v>4</v>
      </c>
      <c r="AF217" s="1186"/>
      <c r="AG217" s="1186"/>
    </row>
    <row r="218" spans="1:33" x14ac:dyDescent="0.2">
      <c r="A218" s="1186" t="s">
        <v>42</v>
      </c>
      <c r="B218" s="1186" t="s">
        <v>144</v>
      </c>
      <c r="C218" s="1186">
        <v>476</v>
      </c>
      <c r="D218" s="1186">
        <v>136</v>
      </c>
      <c r="E218" s="1186">
        <v>166</v>
      </c>
      <c r="F218" s="1186">
        <v>15</v>
      </c>
      <c r="G218" s="1186"/>
      <c r="H218" s="1186"/>
      <c r="I218" s="1186">
        <v>19</v>
      </c>
      <c r="J218" s="1186"/>
      <c r="K218" s="1186"/>
      <c r="L218" s="1186">
        <v>28</v>
      </c>
      <c r="M218" s="1186">
        <v>3</v>
      </c>
      <c r="N218" s="1186">
        <v>17</v>
      </c>
      <c r="O218" s="1186">
        <v>3</v>
      </c>
      <c r="P218" s="1186">
        <v>7</v>
      </c>
      <c r="Q218" s="1186">
        <v>6</v>
      </c>
      <c r="R218" s="1186">
        <v>5</v>
      </c>
      <c r="S218" s="1186">
        <v>13</v>
      </c>
      <c r="T218" s="1186">
        <v>15</v>
      </c>
      <c r="U218" s="1186">
        <v>16</v>
      </c>
      <c r="V218" s="1186">
        <v>7</v>
      </c>
      <c r="W218" s="1186">
        <v>5</v>
      </c>
      <c r="X218" s="1186"/>
      <c r="Y218" s="1186">
        <v>2</v>
      </c>
      <c r="Z218" s="1186"/>
      <c r="AA218" s="1186">
        <v>1</v>
      </c>
      <c r="AB218" s="1186">
        <v>5</v>
      </c>
      <c r="AC218" s="1186">
        <v>1</v>
      </c>
      <c r="AD218" s="1186"/>
      <c r="AE218" s="1186">
        <v>6</v>
      </c>
      <c r="AF218" s="1186"/>
      <c r="AG218" s="1186"/>
    </row>
    <row r="219" spans="1:33" x14ac:dyDescent="0.2">
      <c r="A219" s="1186" t="s">
        <v>43</v>
      </c>
      <c r="B219" s="1186" t="s">
        <v>144</v>
      </c>
      <c r="C219" s="1186">
        <v>20</v>
      </c>
      <c r="D219" s="1186">
        <v>10</v>
      </c>
      <c r="E219" s="1186"/>
      <c r="F219" s="1186"/>
      <c r="G219" s="1186"/>
      <c r="H219" s="1186"/>
      <c r="I219" s="1186"/>
      <c r="J219" s="1186"/>
      <c r="K219" s="1186">
        <v>1</v>
      </c>
      <c r="L219" s="1186">
        <v>3</v>
      </c>
      <c r="M219" s="1186">
        <v>3</v>
      </c>
      <c r="N219" s="1186"/>
      <c r="O219" s="1186"/>
      <c r="P219" s="1186"/>
      <c r="Q219" s="1186"/>
      <c r="R219" s="1186"/>
      <c r="S219" s="1186"/>
      <c r="T219" s="1186">
        <v>1</v>
      </c>
      <c r="U219" s="1186"/>
      <c r="V219" s="1186"/>
      <c r="W219" s="1186">
        <v>1</v>
      </c>
      <c r="X219" s="1186"/>
      <c r="Y219" s="1186"/>
      <c r="Z219" s="1186"/>
      <c r="AA219" s="1186"/>
      <c r="AB219" s="1186">
        <v>1</v>
      </c>
      <c r="AC219" s="1186"/>
      <c r="AD219" s="1186"/>
      <c r="AE219" s="1186"/>
      <c r="AF219" s="1186"/>
      <c r="AG219" s="1186"/>
    </row>
    <row r="220" spans="1:33" x14ac:dyDescent="0.2">
      <c r="A220" s="1186" t="s">
        <v>44</v>
      </c>
      <c r="B220" s="1186" t="s">
        <v>144</v>
      </c>
      <c r="C220" s="1186">
        <v>196</v>
      </c>
      <c r="D220" s="1186">
        <v>50</v>
      </c>
      <c r="E220" s="1186">
        <v>28</v>
      </c>
      <c r="F220" s="1186">
        <v>11</v>
      </c>
      <c r="G220" s="1186">
        <v>1</v>
      </c>
      <c r="H220" s="1186"/>
      <c r="I220" s="1186">
        <v>28</v>
      </c>
      <c r="J220" s="1186">
        <v>2</v>
      </c>
      <c r="K220" s="1186">
        <v>2</v>
      </c>
      <c r="L220" s="1186">
        <v>8</v>
      </c>
      <c r="M220" s="1186">
        <v>3</v>
      </c>
      <c r="N220" s="1186">
        <v>16</v>
      </c>
      <c r="O220" s="1186"/>
      <c r="P220" s="1186">
        <v>1</v>
      </c>
      <c r="Q220" s="1186">
        <v>7</v>
      </c>
      <c r="R220" s="1186">
        <v>5</v>
      </c>
      <c r="S220" s="1186">
        <v>6</v>
      </c>
      <c r="T220" s="1186">
        <v>8</v>
      </c>
      <c r="U220" s="1186">
        <v>2</v>
      </c>
      <c r="V220" s="1186">
        <v>5</v>
      </c>
      <c r="W220" s="1186">
        <v>4</v>
      </c>
      <c r="X220" s="1186">
        <v>1</v>
      </c>
      <c r="Y220" s="1186">
        <v>1</v>
      </c>
      <c r="Z220" s="1186"/>
      <c r="AA220" s="1186"/>
      <c r="AB220" s="1186">
        <v>4</v>
      </c>
      <c r="AC220" s="1186">
        <v>2</v>
      </c>
      <c r="AD220" s="1186"/>
      <c r="AE220" s="1186">
        <v>1</v>
      </c>
      <c r="AF220" s="1186"/>
      <c r="AG220" s="1186"/>
    </row>
    <row r="221" spans="1:33" x14ac:dyDescent="0.2">
      <c r="A221" s="1186" t="s">
        <v>45</v>
      </c>
      <c r="B221" s="1186" t="s">
        <v>144</v>
      </c>
      <c r="C221" s="1186">
        <v>331</v>
      </c>
      <c r="D221" s="1186">
        <v>70</v>
      </c>
      <c r="E221" s="1186">
        <v>81</v>
      </c>
      <c r="F221" s="1186">
        <v>60</v>
      </c>
      <c r="G221" s="1186"/>
      <c r="H221" s="1186"/>
      <c r="I221" s="1186">
        <v>31</v>
      </c>
      <c r="J221" s="1186"/>
      <c r="K221" s="1186"/>
      <c r="L221" s="1186">
        <v>11</v>
      </c>
      <c r="M221" s="1186"/>
      <c r="N221" s="1186">
        <v>8</v>
      </c>
      <c r="O221" s="1186">
        <v>7</v>
      </c>
      <c r="P221" s="1186">
        <v>3</v>
      </c>
      <c r="Q221" s="1186">
        <v>2</v>
      </c>
      <c r="R221" s="1186"/>
      <c r="S221" s="1186">
        <v>6</v>
      </c>
      <c r="T221" s="1186">
        <v>14</v>
      </c>
      <c r="U221" s="1186">
        <v>8</v>
      </c>
      <c r="V221" s="1186">
        <v>9</v>
      </c>
      <c r="W221" s="1186">
        <v>7</v>
      </c>
      <c r="X221" s="1186">
        <v>2</v>
      </c>
      <c r="Y221" s="1186"/>
      <c r="Z221" s="1186"/>
      <c r="AA221" s="1186"/>
      <c r="AB221" s="1186">
        <v>9</v>
      </c>
      <c r="AC221" s="1186">
        <v>2</v>
      </c>
      <c r="AD221" s="1186"/>
      <c r="AE221" s="1186">
        <v>1</v>
      </c>
      <c r="AF221" s="1186"/>
      <c r="AG221" s="1186"/>
    </row>
    <row r="222" spans="1:33" x14ac:dyDescent="0.2">
      <c r="A222" s="1186" t="s">
        <v>46</v>
      </c>
      <c r="B222" s="1186" t="s">
        <v>144</v>
      </c>
      <c r="C222" s="1186">
        <v>157</v>
      </c>
      <c r="D222" s="1186">
        <v>61</v>
      </c>
      <c r="E222" s="1186">
        <v>22</v>
      </c>
      <c r="F222" s="1186">
        <v>5</v>
      </c>
      <c r="G222" s="1186">
        <v>1</v>
      </c>
      <c r="H222" s="1186"/>
      <c r="I222" s="1186">
        <v>14</v>
      </c>
      <c r="J222" s="1186">
        <v>2</v>
      </c>
      <c r="K222" s="1186">
        <v>4</v>
      </c>
      <c r="L222" s="1186">
        <v>3</v>
      </c>
      <c r="M222" s="1186">
        <v>7</v>
      </c>
      <c r="N222" s="1186">
        <v>6</v>
      </c>
      <c r="O222" s="1186"/>
      <c r="P222" s="1186">
        <v>2</v>
      </c>
      <c r="Q222" s="1186">
        <v>1</v>
      </c>
      <c r="R222" s="1186">
        <v>2</v>
      </c>
      <c r="S222" s="1186">
        <v>2</v>
      </c>
      <c r="T222" s="1186">
        <v>5</v>
      </c>
      <c r="U222" s="1186">
        <v>4</v>
      </c>
      <c r="V222" s="1186">
        <v>3</v>
      </c>
      <c r="W222" s="1186">
        <v>3</v>
      </c>
      <c r="X222" s="1186">
        <v>6</v>
      </c>
      <c r="Y222" s="1186"/>
      <c r="Z222" s="1186"/>
      <c r="AA222" s="1186">
        <v>1</v>
      </c>
      <c r="AB222" s="1186">
        <v>2</v>
      </c>
      <c r="AC222" s="1186"/>
      <c r="AD222" s="1186">
        <v>1</v>
      </c>
      <c r="AE222" s="1186"/>
      <c r="AF222" s="1186"/>
      <c r="AG222" s="1186"/>
    </row>
    <row r="223" spans="1:33" x14ac:dyDescent="0.2">
      <c r="A223" s="1186" t="s">
        <v>47</v>
      </c>
      <c r="B223" s="1186" t="s">
        <v>144</v>
      </c>
      <c r="C223" s="1186">
        <v>23</v>
      </c>
      <c r="D223" s="1186">
        <v>14</v>
      </c>
      <c r="E223" s="1186">
        <v>3</v>
      </c>
      <c r="F223" s="1186">
        <v>1</v>
      </c>
      <c r="G223" s="1186"/>
      <c r="H223" s="1186"/>
      <c r="I223" s="1186">
        <v>1</v>
      </c>
      <c r="J223" s="1186"/>
      <c r="K223" s="1186"/>
      <c r="L223" s="1186"/>
      <c r="M223" s="1186"/>
      <c r="N223" s="1186"/>
      <c r="O223" s="1186"/>
      <c r="P223" s="1186"/>
      <c r="Q223" s="1186"/>
      <c r="R223" s="1186"/>
      <c r="S223" s="1186">
        <v>1</v>
      </c>
      <c r="T223" s="1186">
        <v>1</v>
      </c>
      <c r="U223" s="1186"/>
      <c r="V223" s="1186"/>
      <c r="W223" s="1186"/>
      <c r="X223" s="1186">
        <v>1</v>
      </c>
      <c r="Y223" s="1186"/>
      <c r="Z223" s="1186"/>
      <c r="AA223" s="1186"/>
      <c r="AB223" s="1186"/>
      <c r="AC223" s="1186"/>
      <c r="AD223" s="1186"/>
      <c r="AE223" s="1186"/>
      <c r="AF223" s="1186">
        <v>1</v>
      </c>
      <c r="AG223" s="1186"/>
    </row>
    <row r="224" spans="1:33" x14ac:dyDescent="0.2">
      <c r="A224" s="1186" t="s">
        <v>48</v>
      </c>
      <c r="B224" s="1186" t="s">
        <v>144</v>
      </c>
      <c r="C224" s="1186">
        <v>155</v>
      </c>
      <c r="D224" s="1186">
        <v>48</v>
      </c>
      <c r="E224" s="1186">
        <v>49</v>
      </c>
      <c r="F224" s="1186">
        <v>1</v>
      </c>
      <c r="G224" s="1186"/>
      <c r="H224" s="1186"/>
      <c r="I224" s="1186">
        <v>3</v>
      </c>
      <c r="J224" s="1186"/>
      <c r="K224" s="1186"/>
      <c r="L224" s="1186">
        <v>12</v>
      </c>
      <c r="M224" s="1186">
        <v>1</v>
      </c>
      <c r="N224" s="1186">
        <v>6</v>
      </c>
      <c r="O224" s="1186"/>
      <c r="P224" s="1186">
        <v>1</v>
      </c>
      <c r="Q224" s="1186">
        <v>1</v>
      </c>
      <c r="R224" s="1186">
        <v>3</v>
      </c>
      <c r="S224" s="1186"/>
      <c r="T224" s="1186">
        <v>10</v>
      </c>
      <c r="U224" s="1186">
        <v>3</v>
      </c>
      <c r="V224" s="1186">
        <v>5</v>
      </c>
      <c r="W224" s="1186">
        <v>3</v>
      </c>
      <c r="X224" s="1186">
        <v>2</v>
      </c>
      <c r="Y224" s="1186">
        <v>2</v>
      </c>
      <c r="Z224" s="1186"/>
      <c r="AA224" s="1186"/>
      <c r="AB224" s="1186">
        <v>4</v>
      </c>
      <c r="AC224" s="1186"/>
      <c r="AD224" s="1186"/>
      <c r="AE224" s="1186">
        <v>1</v>
      </c>
      <c r="AF224" s="1186"/>
      <c r="AG224" s="1186"/>
    </row>
    <row r="225" spans="1:33" x14ac:dyDescent="0.2">
      <c r="A225" s="1186" t="s">
        <v>49</v>
      </c>
      <c r="B225" s="1186" t="s">
        <v>144</v>
      </c>
      <c r="C225" s="1186">
        <v>393</v>
      </c>
      <c r="D225" s="1186">
        <v>135</v>
      </c>
      <c r="E225" s="1186">
        <v>128</v>
      </c>
      <c r="F225" s="1186">
        <v>5</v>
      </c>
      <c r="G225" s="1186"/>
      <c r="H225" s="1186"/>
      <c r="I225" s="1186">
        <v>26</v>
      </c>
      <c r="J225" s="1186"/>
      <c r="K225" s="1186"/>
      <c r="L225" s="1186">
        <v>23</v>
      </c>
      <c r="M225" s="1186">
        <v>3</v>
      </c>
      <c r="N225" s="1186">
        <v>5</v>
      </c>
      <c r="O225" s="1186">
        <v>2</v>
      </c>
      <c r="P225" s="1186">
        <v>4</v>
      </c>
      <c r="Q225" s="1186">
        <v>2</v>
      </c>
      <c r="R225" s="1186">
        <v>8</v>
      </c>
      <c r="S225" s="1186">
        <v>3</v>
      </c>
      <c r="T225" s="1186">
        <v>14</v>
      </c>
      <c r="U225" s="1186">
        <v>4</v>
      </c>
      <c r="V225" s="1186">
        <v>1</v>
      </c>
      <c r="W225" s="1186">
        <v>8</v>
      </c>
      <c r="X225" s="1186">
        <v>4</v>
      </c>
      <c r="Y225" s="1186">
        <v>3</v>
      </c>
      <c r="Z225" s="1186"/>
      <c r="AA225" s="1186"/>
      <c r="AB225" s="1186">
        <v>15</v>
      </c>
      <c r="AC225" s="1186"/>
      <c r="AD225" s="1186"/>
      <c r="AE225" s="1186"/>
      <c r="AF225" s="1186"/>
      <c r="AG225" s="1186"/>
    </row>
    <row r="226" spans="1:33" x14ac:dyDescent="0.2">
      <c r="A226" s="1186" t="s">
        <v>50</v>
      </c>
      <c r="B226" s="1186" t="s">
        <v>144</v>
      </c>
      <c r="C226" s="1186">
        <v>180</v>
      </c>
      <c r="D226" s="1186">
        <v>39</v>
      </c>
      <c r="E226" s="1186">
        <v>36</v>
      </c>
      <c r="F226" s="1186">
        <v>6</v>
      </c>
      <c r="G226" s="1186">
        <v>3</v>
      </c>
      <c r="H226" s="1186">
        <v>1</v>
      </c>
      <c r="I226" s="1186">
        <v>22</v>
      </c>
      <c r="J226" s="1186"/>
      <c r="K226" s="1186">
        <v>1</v>
      </c>
      <c r="L226" s="1186">
        <v>2</v>
      </c>
      <c r="M226" s="1186">
        <v>2</v>
      </c>
      <c r="N226" s="1186">
        <v>4</v>
      </c>
      <c r="O226" s="1186"/>
      <c r="P226" s="1186">
        <v>2</v>
      </c>
      <c r="Q226" s="1186">
        <v>30</v>
      </c>
      <c r="R226" s="1186">
        <v>1</v>
      </c>
      <c r="S226" s="1186">
        <v>4</v>
      </c>
      <c r="T226" s="1186">
        <v>2</v>
      </c>
      <c r="U226" s="1186">
        <v>7</v>
      </c>
      <c r="V226" s="1186">
        <v>2</v>
      </c>
      <c r="W226" s="1186">
        <v>3</v>
      </c>
      <c r="X226" s="1186">
        <v>3</v>
      </c>
      <c r="Y226" s="1186"/>
      <c r="Z226" s="1186">
        <v>1</v>
      </c>
      <c r="AA226" s="1186"/>
      <c r="AB226" s="1186">
        <v>7</v>
      </c>
      <c r="AC226" s="1186">
        <v>1</v>
      </c>
      <c r="AD226" s="1186">
        <v>1</v>
      </c>
      <c r="AE226" s="1186"/>
      <c r="AF226" s="1186"/>
      <c r="AG226" s="1186"/>
    </row>
    <row r="227" spans="1:33" x14ac:dyDescent="0.2">
      <c r="A227" s="1186" t="s">
        <v>51</v>
      </c>
      <c r="B227" s="1186" t="s">
        <v>144</v>
      </c>
      <c r="C227" s="1186">
        <v>215</v>
      </c>
      <c r="D227" s="1186">
        <v>44</v>
      </c>
      <c r="E227" s="1186">
        <v>84</v>
      </c>
      <c r="F227" s="1186">
        <v>9</v>
      </c>
      <c r="G227" s="1186"/>
      <c r="H227" s="1186"/>
      <c r="I227" s="1186">
        <v>18</v>
      </c>
      <c r="J227" s="1186">
        <v>1</v>
      </c>
      <c r="K227" s="1186"/>
      <c r="L227" s="1186">
        <v>5</v>
      </c>
      <c r="M227" s="1186"/>
      <c r="N227" s="1186">
        <v>5</v>
      </c>
      <c r="O227" s="1186"/>
      <c r="P227" s="1186">
        <v>4</v>
      </c>
      <c r="Q227" s="1186">
        <v>2</v>
      </c>
      <c r="R227" s="1186">
        <v>4</v>
      </c>
      <c r="S227" s="1186">
        <v>2</v>
      </c>
      <c r="T227" s="1186">
        <v>4</v>
      </c>
      <c r="U227" s="1186">
        <v>1</v>
      </c>
      <c r="V227" s="1186">
        <v>4</v>
      </c>
      <c r="W227" s="1186">
        <v>4</v>
      </c>
      <c r="X227" s="1186">
        <v>3</v>
      </c>
      <c r="Y227" s="1186"/>
      <c r="Z227" s="1186"/>
      <c r="AA227" s="1186"/>
      <c r="AB227" s="1186">
        <v>13</v>
      </c>
      <c r="AC227" s="1186"/>
      <c r="AD227" s="1186">
        <v>1</v>
      </c>
      <c r="AE227" s="1186">
        <v>7</v>
      </c>
      <c r="AF227" s="1186"/>
      <c r="AG227" s="1186"/>
    </row>
    <row r="228" spans="1:33" x14ac:dyDescent="0.2">
      <c r="A228" s="1186" t="s">
        <v>52</v>
      </c>
      <c r="B228" s="1186" t="s">
        <v>144</v>
      </c>
      <c r="C228" s="1186">
        <v>238</v>
      </c>
      <c r="D228" s="1186">
        <v>97</v>
      </c>
      <c r="E228" s="1186">
        <v>40</v>
      </c>
      <c r="F228" s="1186"/>
      <c r="G228" s="1186">
        <v>2</v>
      </c>
      <c r="H228" s="1186"/>
      <c r="I228" s="1186">
        <v>10</v>
      </c>
      <c r="J228" s="1186"/>
      <c r="K228" s="1186">
        <v>1</v>
      </c>
      <c r="L228" s="1186">
        <v>12</v>
      </c>
      <c r="M228" s="1186">
        <v>4</v>
      </c>
      <c r="N228" s="1186">
        <v>19</v>
      </c>
      <c r="O228" s="1186">
        <v>4</v>
      </c>
      <c r="P228" s="1186">
        <v>9</v>
      </c>
      <c r="Q228" s="1186">
        <v>1</v>
      </c>
      <c r="R228" s="1186">
        <v>4</v>
      </c>
      <c r="S228" s="1186">
        <v>3</v>
      </c>
      <c r="T228" s="1186">
        <v>11</v>
      </c>
      <c r="U228" s="1186">
        <v>5</v>
      </c>
      <c r="V228" s="1186">
        <v>2</v>
      </c>
      <c r="W228" s="1186">
        <v>4</v>
      </c>
      <c r="X228" s="1186">
        <v>3</v>
      </c>
      <c r="Y228" s="1186">
        <v>1</v>
      </c>
      <c r="Z228" s="1186"/>
      <c r="AA228" s="1186"/>
      <c r="AB228" s="1186">
        <v>4</v>
      </c>
      <c r="AC228" s="1186"/>
      <c r="AD228" s="1186"/>
      <c r="AE228" s="1186"/>
      <c r="AF228" s="1186"/>
      <c r="AG228" s="1186">
        <v>2</v>
      </c>
    </row>
    <row r="229" spans="1:33" x14ac:dyDescent="0.2">
      <c r="A229" s="1186" t="s">
        <v>23</v>
      </c>
      <c r="B229" s="1186" t="s">
        <v>282</v>
      </c>
      <c r="C229" s="1186">
        <v>458</v>
      </c>
      <c r="D229" s="1186">
        <v>65</v>
      </c>
      <c r="E229" s="1186">
        <v>201</v>
      </c>
      <c r="F229" s="1186">
        <v>43</v>
      </c>
      <c r="G229" s="1186">
        <v>3</v>
      </c>
      <c r="H229" s="1186"/>
      <c r="I229" s="1186">
        <v>36</v>
      </c>
      <c r="J229" s="1186">
        <v>1</v>
      </c>
      <c r="K229" s="1186">
        <v>1</v>
      </c>
      <c r="L229" s="1186">
        <v>10</v>
      </c>
      <c r="M229" s="1186"/>
      <c r="N229" s="1186">
        <v>10</v>
      </c>
      <c r="O229" s="1186">
        <v>4</v>
      </c>
      <c r="P229" s="1186">
        <v>9</v>
      </c>
      <c r="Q229" s="1186">
        <v>1</v>
      </c>
      <c r="R229" s="1186">
        <v>5</v>
      </c>
      <c r="S229" s="1186">
        <v>6</v>
      </c>
      <c r="T229" s="1186">
        <v>11</v>
      </c>
      <c r="U229" s="1186">
        <v>7</v>
      </c>
      <c r="V229" s="1186">
        <v>11</v>
      </c>
      <c r="W229" s="1186">
        <v>3</v>
      </c>
      <c r="X229" s="1186">
        <v>2</v>
      </c>
      <c r="Y229" s="1186">
        <v>4</v>
      </c>
      <c r="Z229" s="1186"/>
      <c r="AA229" s="1186"/>
      <c r="AB229" s="1186">
        <v>8</v>
      </c>
      <c r="AC229" s="1186">
        <v>15</v>
      </c>
      <c r="AD229" s="1186"/>
      <c r="AE229" s="1186">
        <v>1</v>
      </c>
      <c r="AF229" s="1186"/>
      <c r="AG229" s="1186">
        <v>1</v>
      </c>
    </row>
    <row r="230" spans="1:33" x14ac:dyDescent="0.2">
      <c r="A230" s="1186" t="s">
        <v>24</v>
      </c>
      <c r="B230" s="1186" t="s">
        <v>282</v>
      </c>
      <c r="C230" s="1186">
        <v>272</v>
      </c>
      <c r="D230" s="1186">
        <v>100</v>
      </c>
      <c r="E230" s="1186">
        <v>23</v>
      </c>
      <c r="F230" s="1186">
        <v>6</v>
      </c>
      <c r="G230" s="1186"/>
      <c r="H230" s="1186"/>
      <c r="I230" s="1186">
        <v>50</v>
      </c>
      <c r="J230" s="1186">
        <v>4</v>
      </c>
      <c r="K230" s="1186">
        <v>1</v>
      </c>
      <c r="L230" s="1186">
        <v>11</v>
      </c>
      <c r="M230" s="1186">
        <v>5</v>
      </c>
      <c r="N230" s="1186">
        <v>10</v>
      </c>
      <c r="O230" s="1186">
        <v>4</v>
      </c>
      <c r="P230" s="1186">
        <v>2</v>
      </c>
      <c r="Q230" s="1186">
        <v>7</v>
      </c>
      <c r="R230" s="1186">
        <v>3</v>
      </c>
      <c r="S230" s="1186">
        <v>5</v>
      </c>
      <c r="T230" s="1186">
        <v>6</v>
      </c>
      <c r="U230" s="1186">
        <v>6</v>
      </c>
      <c r="V230" s="1186">
        <v>6</v>
      </c>
      <c r="W230" s="1186">
        <v>6</v>
      </c>
      <c r="X230" s="1186">
        <v>5</v>
      </c>
      <c r="Y230" s="1186">
        <v>1</v>
      </c>
      <c r="Z230" s="1186"/>
      <c r="AA230" s="1186">
        <v>1</v>
      </c>
      <c r="AB230" s="1186">
        <v>9</v>
      </c>
      <c r="AC230" s="1186"/>
      <c r="AD230" s="1186"/>
      <c r="AE230" s="1186">
        <v>1</v>
      </c>
      <c r="AF230" s="1186"/>
      <c r="AG230" s="1186"/>
    </row>
    <row r="231" spans="1:33" x14ac:dyDescent="0.2">
      <c r="A231" s="1186" t="s">
        <v>25</v>
      </c>
      <c r="B231" s="1186" t="s">
        <v>282</v>
      </c>
      <c r="C231" s="1186">
        <v>126</v>
      </c>
      <c r="D231" s="1186">
        <v>51</v>
      </c>
      <c r="E231" s="1186">
        <v>18</v>
      </c>
      <c r="F231" s="1186">
        <v>10</v>
      </c>
      <c r="G231" s="1186">
        <v>1</v>
      </c>
      <c r="H231" s="1186"/>
      <c r="I231" s="1186">
        <v>17</v>
      </c>
      <c r="J231" s="1186"/>
      <c r="K231" s="1186">
        <v>1</v>
      </c>
      <c r="L231" s="1186">
        <v>6</v>
      </c>
      <c r="M231" s="1186">
        <v>1</v>
      </c>
      <c r="N231" s="1186">
        <v>5</v>
      </c>
      <c r="O231" s="1186"/>
      <c r="P231" s="1186">
        <v>1</v>
      </c>
      <c r="Q231" s="1186">
        <v>2</v>
      </c>
      <c r="R231" s="1186">
        <v>1</v>
      </c>
      <c r="S231" s="1186">
        <v>1</v>
      </c>
      <c r="T231" s="1186">
        <v>2</v>
      </c>
      <c r="U231" s="1186">
        <v>2</v>
      </c>
      <c r="V231" s="1186">
        <v>3</v>
      </c>
      <c r="W231" s="1186"/>
      <c r="X231" s="1186">
        <v>3</v>
      </c>
      <c r="Y231" s="1186"/>
      <c r="Z231" s="1186"/>
      <c r="AA231" s="1186"/>
      <c r="AB231" s="1186"/>
      <c r="AC231" s="1186"/>
      <c r="AD231" s="1186"/>
      <c r="AE231" s="1186">
        <v>1</v>
      </c>
      <c r="AF231" s="1186"/>
      <c r="AG231" s="1186"/>
    </row>
    <row r="232" spans="1:33" x14ac:dyDescent="0.2">
      <c r="A232" s="1186" t="s">
        <v>26</v>
      </c>
      <c r="B232" s="1186" t="s">
        <v>282</v>
      </c>
      <c r="C232" s="1186">
        <v>111</v>
      </c>
      <c r="D232" s="1186">
        <v>41</v>
      </c>
      <c r="E232" s="1186">
        <v>30</v>
      </c>
      <c r="F232" s="1186">
        <v>5</v>
      </c>
      <c r="G232" s="1186"/>
      <c r="H232" s="1186"/>
      <c r="I232" s="1186">
        <v>3</v>
      </c>
      <c r="J232" s="1186">
        <v>1</v>
      </c>
      <c r="K232" s="1186"/>
      <c r="L232" s="1186">
        <v>5</v>
      </c>
      <c r="M232" s="1186"/>
      <c r="N232" s="1186">
        <v>3</v>
      </c>
      <c r="O232" s="1186"/>
      <c r="P232" s="1186">
        <v>2</v>
      </c>
      <c r="Q232" s="1186">
        <v>1</v>
      </c>
      <c r="R232" s="1186">
        <v>4</v>
      </c>
      <c r="S232" s="1186">
        <v>2</v>
      </c>
      <c r="T232" s="1186">
        <v>1</v>
      </c>
      <c r="U232" s="1186"/>
      <c r="V232" s="1186">
        <v>1</v>
      </c>
      <c r="W232" s="1186">
        <v>6</v>
      </c>
      <c r="X232" s="1186">
        <v>2</v>
      </c>
      <c r="Y232" s="1186"/>
      <c r="Z232" s="1186">
        <v>2</v>
      </c>
      <c r="AA232" s="1186">
        <v>1</v>
      </c>
      <c r="AB232" s="1186">
        <v>1</v>
      </c>
      <c r="AC232" s="1186"/>
      <c r="AD232" s="1186"/>
      <c r="AE232" s="1186"/>
      <c r="AF232" s="1186"/>
      <c r="AG232" s="1186"/>
    </row>
    <row r="233" spans="1:33" x14ac:dyDescent="0.2">
      <c r="A233" s="1186" t="s">
        <v>619</v>
      </c>
      <c r="B233" s="1186" t="s">
        <v>282</v>
      </c>
      <c r="C233" s="1186">
        <v>838</v>
      </c>
      <c r="D233" s="1186">
        <v>112</v>
      </c>
      <c r="E233" s="1186">
        <v>278</v>
      </c>
      <c r="F233" s="1186">
        <v>127</v>
      </c>
      <c r="G233" s="1186"/>
      <c r="H233" s="1186"/>
      <c r="I233" s="1186">
        <v>59</v>
      </c>
      <c r="J233" s="1186"/>
      <c r="K233" s="1186">
        <v>3</v>
      </c>
      <c r="L233" s="1186">
        <v>15</v>
      </c>
      <c r="M233" s="1186">
        <v>1</v>
      </c>
      <c r="N233" s="1186">
        <v>16</v>
      </c>
      <c r="O233" s="1186">
        <v>2</v>
      </c>
      <c r="P233" s="1186">
        <v>19</v>
      </c>
      <c r="Q233" s="1186">
        <v>9</v>
      </c>
      <c r="R233" s="1186">
        <v>12</v>
      </c>
      <c r="S233" s="1186">
        <v>34</v>
      </c>
      <c r="T233" s="1186">
        <v>28</v>
      </c>
      <c r="U233" s="1186">
        <v>19</v>
      </c>
      <c r="V233" s="1186">
        <v>17</v>
      </c>
      <c r="W233" s="1186">
        <v>26</v>
      </c>
      <c r="X233" s="1186">
        <v>13</v>
      </c>
      <c r="Y233" s="1186">
        <v>5</v>
      </c>
      <c r="Z233" s="1186">
        <v>1</v>
      </c>
      <c r="AA233" s="1186"/>
      <c r="AB233" s="1186">
        <v>11</v>
      </c>
      <c r="AC233" s="1186">
        <v>27</v>
      </c>
      <c r="AD233" s="1186">
        <v>2</v>
      </c>
      <c r="AE233" s="1186">
        <v>1</v>
      </c>
      <c r="AF233" s="1186">
        <v>1</v>
      </c>
      <c r="AG233" s="1186"/>
    </row>
    <row r="234" spans="1:33" x14ac:dyDescent="0.2">
      <c r="A234" s="1186" t="s">
        <v>27</v>
      </c>
      <c r="B234" s="1186" t="s">
        <v>282</v>
      </c>
      <c r="C234" s="1186">
        <v>92</v>
      </c>
      <c r="D234" s="1186">
        <v>35</v>
      </c>
      <c r="E234" s="1186">
        <v>26</v>
      </c>
      <c r="F234" s="1186"/>
      <c r="G234" s="1186"/>
      <c r="H234" s="1186"/>
      <c r="I234" s="1186">
        <v>10</v>
      </c>
      <c r="J234" s="1186">
        <v>1</v>
      </c>
      <c r="K234" s="1186"/>
      <c r="L234" s="1186"/>
      <c r="M234" s="1186">
        <v>2</v>
      </c>
      <c r="N234" s="1186">
        <v>7</v>
      </c>
      <c r="O234" s="1186"/>
      <c r="P234" s="1186">
        <v>1</v>
      </c>
      <c r="Q234" s="1186">
        <v>1</v>
      </c>
      <c r="R234" s="1186"/>
      <c r="S234" s="1186"/>
      <c r="T234" s="1186">
        <v>3</v>
      </c>
      <c r="U234" s="1186">
        <v>2</v>
      </c>
      <c r="V234" s="1186">
        <v>1</v>
      </c>
      <c r="W234" s="1186"/>
      <c r="X234" s="1186"/>
      <c r="Y234" s="1186">
        <v>1</v>
      </c>
      <c r="Z234" s="1186"/>
      <c r="AA234" s="1186"/>
      <c r="AB234" s="1186">
        <v>1</v>
      </c>
      <c r="AC234" s="1186"/>
      <c r="AD234" s="1186"/>
      <c r="AE234" s="1186">
        <v>1</v>
      </c>
      <c r="AF234" s="1186"/>
      <c r="AG234" s="1186"/>
    </row>
    <row r="235" spans="1:33" x14ac:dyDescent="0.2">
      <c r="A235" s="1186" t="s">
        <v>28</v>
      </c>
      <c r="B235" s="1186" t="s">
        <v>282</v>
      </c>
      <c r="C235" s="1186">
        <v>172</v>
      </c>
      <c r="D235" s="1186">
        <v>83</v>
      </c>
      <c r="E235" s="1186">
        <v>18</v>
      </c>
      <c r="F235" s="1186">
        <v>1</v>
      </c>
      <c r="G235" s="1186"/>
      <c r="H235" s="1186"/>
      <c r="I235" s="1186">
        <v>11</v>
      </c>
      <c r="J235" s="1186">
        <v>2</v>
      </c>
      <c r="K235" s="1186">
        <v>3</v>
      </c>
      <c r="L235" s="1186">
        <v>8</v>
      </c>
      <c r="M235" s="1186">
        <v>6</v>
      </c>
      <c r="N235" s="1186">
        <v>6</v>
      </c>
      <c r="O235" s="1186">
        <v>2</v>
      </c>
      <c r="P235" s="1186">
        <v>4</v>
      </c>
      <c r="Q235" s="1186">
        <v>3</v>
      </c>
      <c r="R235" s="1186">
        <v>2</v>
      </c>
      <c r="S235" s="1186">
        <v>4</v>
      </c>
      <c r="T235" s="1186">
        <v>4</v>
      </c>
      <c r="U235" s="1186">
        <v>3</v>
      </c>
      <c r="V235" s="1186">
        <v>2</v>
      </c>
      <c r="W235" s="1186">
        <v>1</v>
      </c>
      <c r="X235" s="1186">
        <v>5</v>
      </c>
      <c r="Y235" s="1186"/>
      <c r="Z235" s="1186">
        <v>1</v>
      </c>
      <c r="AA235" s="1186"/>
      <c r="AB235" s="1186">
        <v>2</v>
      </c>
      <c r="AC235" s="1186"/>
      <c r="AD235" s="1186"/>
      <c r="AE235" s="1186">
        <v>1</v>
      </c>
      <c r="AF235" s="1186"/>
      <c r="AG235" s="1186"/>
    </row>
    <row r="236" spans="1:33" x14ac:dyDescent="0.2">
      <c r="A236" s="1186" t="s">
        <v>29</v>
      </c>
      <c r="B236" s="1186" t="s">
        <v>282</v>
      </c>
      <c r="C236" s="1186">
        <v>324</v>
      </c>
      <c r="D236" s="1186">
        <v>47</v>
      </c>
      <c r="E236" s="1186">
        <v>98</v>
      </c>
      <c r="F236" s="1186">
        <v>73</v>
      </c>
      <c r="G236" s="1186">
        <v>6</v>
      </c>
      <c r="H236" s="1186"/>
      <c r="I236" s="1186">
        <v>33</v>
      </c>
      <c r="J236" s="1186"/>
      <c r="K236" s="1186"/>
      <c r="L236" s="1186">
        <v>12</v>
      </c>
      <c r="M236" s="1186"/>
      <c r="N236" s="1186">
        <v>12</v>
      </c>
      <c r="O236" s="1186">
        <v>3</v>
      </c>
      <c r="P236" s="1186">
        <v>2</v>
      </c>
      <c r="Q236" s="1186">
        <v>2</v>
      </c>
      <c r="R236" s="1186"/>
      <c r="S236" s="1186">
        <v>4</v>
      </c>
      <c r="T236" s="1186">
        <v>5</v>
      </c>
      <c r="U236" s="1186">
        <v>6</v>
      </c>
      <c r="V236" s="1186">
        <v>5</v>
      </c>
      <c r="W236" s="1186">
        <v>4</v>
      </c>
      <c r="X236" s="1186">
        <v>2</v>
      </c>
      <c r="Y236" s="1186">
        <v>4</v>
      </c>
      <c r="Z236" s="1186"/>
      <c r="AA236" s="1186"/>
      <c r="AB236" s="1186">
        <v>2</v>
      </c>
      <c r="AC236" s="1186">
        <v>3</v>
      </c>
      <c r="AD236" s="1186">
        <v>1</v>
      </c>
      <c r="AE236" s="1186"/>
      <c r="AF236" s="1186"/>
      <c r="AG236" s="1186"/>
    </row>
    <row r="237" spans="1:33" x14ac:dyDescent="0.2">
      <c r="A237" s="1186" t="s">
        <v>30</v>
      </c>
      <c r="B237" s="1186" t="s">
        <v>282</v>
      </c>
      <c r="C237" s="1186">
        <v>201</v>
      </c>
      <c r="D237" s="1186">
        <v>83</v>
      </c>
      <c r="E237" s="1186">
        <v>40</v>
      </c>
      <c r="F237" s="1186">
        <v>2</v>
      </c>
      <c r="G237" s="1186">
        <v>1</v>
      </c>
      <c r="H237" s="1186"/>
      <c r="I237" s="1186">
        <v>20</v>
      </c>
      <c r="J237" s="1186"/>
      <c r="K237" s="1186"/>
      <c r="L237" s="1186">
        <v>19</v>
      </c>
      <c r="M237" s="1186">
        <v>1</v>
      </c>
      <c r="N237" s="1186">
        <v>4</v>
      </c>
      <c r="O237" s="1186">
        <v>1</v>
      </c>
      <c r="P237" s="1186"/>
      <c r="Q237" s="1186">
        <v>5</v>
      </c>
      <c r="R237" s="1186">
        <v>5</v>
      </c>
      <c r="S237" s="1186"/>
      <c r="T237" s="1186">
        <v>6</v>
      </c>
      <c r="U237" s="1186">
        <v>2</v>
      </c>
      <c r="V237" s="1186">
        <v>2</v>
      </c>
      <c r="W237" s="1186">
        <v>3</v>
      </c>
      <c r="X237" s="1186"/>
      <c r="Y237" s="1186"/>
      <c r="Z237" s="1186"/>
      <c r="AA237" s="1186">
        <v>1</v>
      </c>
      <c r="AB237" s="1186">
        <v>5</v>
      </c>
      <c r="AC237" s="1186"/>
      <c r="AD237" s="1186">
        <v>1</v>
      </c>
      <c r="AE237" s="1186"/>
      <c r="AF237" s="1186"/>
      <c r="AG237" s="1186"/>
    </row>
    <row r="238" spans="1:33" x14ac:dyDescent="0.2">
      <c r="A238" s="1186" t="s">
        <v>31</v>
      </c>
      <c r="B238" s="1186" t="s">
        <v>282</v>
      </c>
      <c r="C238" s="1186">
        <v>118</v>
      </c>
      <c r="D238" s="1186">
        <v>49</v>
      </c>
      <c r="E238" s="1186">
        <v>20</v>
      </c>
      <c r="F238" s="1186">
        <v>3</v>
      </c>
      <c r="G238" s="1186"/>
      <c r="H238" s="1186"/>
      <c r="I238" s="1186">
        <v>10</v>
      </c>
      <c r="J238" s="1186"/>
      <c r="K238" s="1186"/>
      <c r="L238" s="1186">
        <v>9</v>
      </c>
      <c r="M238" s="1186"/>
      <c r="N238" s="1186">
        <v>2</v>
      </c>
      <c r="O238" s="1186"/>
      <c r="P238" s="1186">
        <v>1</v>
      </c>
      <c r="Q238" s="1186">
        <v>10</v>
      </c>
      <c r="R238" s="1186">
        <v>1</v>
      </c>
      <c r="S238" s="1186">
        <v>1</v>
      </c>
      <c r="T238" s="1186">
        <v>2</v>
      </c>
      <c r="U238" s="1186">
        <v>7</v>
      </c>
      <c r="V238" s="1186"/>
      <c r="W238" s="1186"/>
      <c r="X238" s="1186"/>
      <c r="Y238" s="1186"/>
      <c r="Z238" s="1186"/>
      <c r="AA238" s="1186"/>
      <c r="AB238" s="1186">
        <v>3</v>
      </c>
      <c r="AC238" s="1186"/>
      <c r="AD238" s="1186"/>
      <c r="AE238" s="1186"/>
      <c r="AF238" s="1186"/>
      <c r="AG238" s="1186"/>
    </row>
    <row r="239" spans="1:33" x14ac:dyDescent="0.2">
      <c r="A239" s="1186" t="s">
        <v>32</v>
      </c>
      <c r="B239" s="1186" t="s">
        <v>282</v>
      </c>
      <c r="C239" s="1186">
        <v>103</v>
      </c>
      <c r="D239" s="1186">
        <v>36</v>
      </c>
      <c r="E239" s="1186">
        <v>17</v>
      </c>
      <c r="F239" s="1186">
        <v>1</v>
      </c>
      <c r="G239" s="1186"/>
      <c r="H239" s="1186"/>
      <c r="I239" s="1186">
        <v>3</v>
      </c>
      <c r="J239" s="1186"/>
      <c r="K239" s="1186">
        <v>2</v>
      </c>
      <c r="L239" s="1186">
        <v>6</v>
      </c>
      <c r="M239" s="1186">
        <v>2</v>
      </c>
      <c r="N239" s="1186">
        <v>4</v>
      </c>
      <c r="O239" s="1186">
        <v>1</v>
      </c>
      <c r="P239" s="1186">
        <v>3</v>
      </c>
      <c r="Q239" s="1186">
        <v>1</v>
      </c>
      <c r="R239" s="1186">
        <v>6</v>
      </c>
      <c r="S239" s="1186">
        <v>4</v>
      </c>
      <c r="T239" s="1186"/>
      <c r="U239" s="1186">
        <v>3</v>
      </c>
      <c r="V239" s="1186">
        <v>3</v>
      </c>
      <c r="W239" s="1186">
        <v>3</v>
      </c>
      <c r="X239" s="1186"/>
      <c r="Y239" s="1186">
        <v>1</v>
      </c>
      <c r="Z239" s="1186"/>
      <c r="AA239" s="1186"/>
      <c r="AB239" s="1186">
        <v>5</v>
      </c>
      <c r="AC239" s="1186">
        <v>1</v>
      </c>
      <c r="AD239" s="1186"/>
      <c r="AE239" s="1186">
        <v>1</v>
      </c>
      <c r="AF239" s="1186"/>
      <c r="AG239" s="1186"/>
    </row>
    <row r="240" spans="1:33" x14ac:dyDescent="0.2">
      <c r="A240" s="1186" t="s">
        <v>33</v>
      </c>
      <c r="B240" s="1186" t="s">
        <v>282</v>
      </c>
      <c r="C240" s="1186">
        <v>82</v>
      </c>
      <c r="D240" s="1186">
        <v>34</v>
      </c>
      <c r="E240" s="1186">
        <v>17</v>
      </c>
      <c r="F240" s="1186">
        <v>3</v>
      </c>
      <c r="G240" s="1186"/>
      <c r="H240" s="1186"/>
      <c r="I240" s="1186">
        <v>10</v>
      </c>
      <c r="J240" s="1186"/>
      <c r="K240" s="1186"/>
      <c r="L240" s="1186">
        <v>6</v>
      </c>
      <c r="M240" s="1186"/>
      <c r="N240" s="1186">
        <v>2</v>
      </c>
      <c r="O240" s="1186"/>
      <c r="P240" s="1186">
        <v>1</v>
      </c>
      <c r="Q240" s="1186"/>
      <c r="R240" s="1186">
        <v>1</v>
      </c>
      <c r="S240" s="1186"/>
      <c r="T240" s="1186">
        <v>2</v>
      </c>
      <c r="U240" s="1186">
        <v>3</v>
      </c>
      <c r="V240" s="1186"/>
      <c r="W240" s="1186">
        <v>1</v>
      </c>
      <c r="X240" s="1186"/>
      <c r="Y240" s="1186"/>
      <c r="Z240" s="1186"/>
      <c r="AA240" s="1186"/>
      <c r="AB240" s="1186"/>
      <c r="AC240" s="1186"/>
      <c r="AD240" s="1186"/>
      <c r="AE240" s="1186">
        <v>2</v>
      </c>
      <c r="AF240" s="1186"/>
      <c r="AG240" s="1186"/>
    </row>
    <row r="241" spans="1:33" x14ac:dyDescent="0.2">
      <c r="A241" s="1186" t="s">
        <v>34</v>
      </c>
      <c r="B241" s="1186" t="s">
        <v>282</v>
      </c>
      <c r="C241" s="1186">
        <v>182</v>
      </c>
      <c r="D241" s="1186">
        <v>60</v>
      </c>
      <c r="E241" s="1186">
        <v>46</v>
      </c>
      <c r="F241" s="1186">
        <v>2</v>
      </c>
      <c r="G241" s="1186"/>
      <c r="H241" s="1186"/>
      <c r="I241" s="1186">
        <v>7</v>
      </c>
      <c r="J241" s="1186"/>
      <c r="K241" s="1186">
        <v>2</v>
      </c>
      <c r="L241" s="1186">
        <v>13</v>
      </c>
      <c r="M241" s="1186">
        <v>1</v>
      </c>
      <c r="N241" s="1186">
        <v>7</v>
      </c>
      <c r="O241" s="1186">
        <v>1</v>
      </c>
      <c r="P241" s="1186">
        <v>2</v>
      </c>
      <c r="Q241" s="1186">
        <v>6</v>
      </c>
      <c r="R241" s="1186">
        <v>1</v>
      </c>
      <c r="S241" s="1186">
        <v>8</v>
      </c>
      <c r="T241" s="1186">
        <v>3</v>
      </c>
      <c r="U241" s="1186">
        <v>6</v>
      </c>
      <c r="V241" s="1186">
        <v>7</v>
      </c>
      <c r="W241" s="1186">
        <v>2</v>
      </c>
      <c r="X241" s="1186">
        <v>1</v>
      </c>
      <c r="Y241" s="1186"/>
      <c r="Z241" s="1186"/>
      <c r="AA241" s="1186"/>
      <c r="AB241" s="1186">
        <v>4</v>
      </c>
      <c r="AC241" s="1186"/>
      <c r="AD241" s="1186"/>
      <c r="AE241" s="1186">
        <v>2</v>
      </c>
      <c r="AF241" s="1186">
        <v>1</v>
      </c>
      <c r="AG241" s="1186"/>
    </row>
    <row r="242" spans="1:33" x14ac:dyDescent="0.2">
      <c r="A242" s="1186" t="s">
        <v>35</v>
      </c>
      <c r="B242" s="1186" t="s">
        <v>282</v>
      </c>
      <c r="C242" s="1186">
        <v>417</v>
      </c>
      <c r="D242" s="1186">
        <v>156</v>
      </c>
      <c r="E242" s="1186">
        <v>83</v>
      </c>
      <c r="F242" s="1186">
        <v>11</v>
      </c>
      <c r="G242" s="1186">
        <v>5</v>
      </c>
      <c r="H242" s="1186"/>
      <c r="I242" s="1186">
        <v>14</v>
      </c>
      <c r="J242" s="1186">
        <v>2</v>
      </c>
      <c r="K242" s="1186">
        <v>1</v>
      </c>
      <c r="L242" s="1186">
        <v>20</v>
      </c>
      <c r="M242" s="1186">
        <v>6</v>
      </c>
      <c r="N242" s="1186">
        <v>26</v>
      </c>
      <c r="O242" s="1186">
        <v>4</v>
      </c>
      <c r="P242" s="1186">
        <v>4</v>
      </c>
      <c r="Q242" s="1186">
        <v>4</v>
      </c>
      <c r="R242" s="1186">
        <v>4</v>
      </c>
      <c r="S242" s="1186">
        <v>11</v>
      </c>
      <c r="T242" s="1186">
        <v>13</v>
      </c>
      <c r="U242" s="1186">
        <v>17</v>
      </c>
      <c r="V242" s="1186">
        <v>8</v>
      </c>
      <c r="W242" s="1186">
        <v>11</v>
      </c>
      <c r="X242" s="1186">
        <v>4</v>
      </c>
      <c r="Y242" s="1186"/>
      <c r="Z242" s="1186"/>
      <c r="AA242" s="1186"/>
      <c r="AB242" s="1186">
        <v>8</v>
      </c>
      <c r="AC242" s="1186">
        <v>2</v>
      </c>
      <c r="AD242" s="1186"/>
      <c r="AE242" s="1186">
        <v>1</v>
      </c>
      <c r="AF242" s="1186">
        <v>2</v>
      </c>
      <c r="AG242" s="1186"/>
    </row>
    <row r="243" spans="1:33" x14ac:dyDescent="0.2">
      <c r="A243" s="1186" t="s">
        <v>36</v>
      </c>
      <c r="B243" s="1186" t="s">
        <v>282</v>
      </c>
      <c r="C243" s="1186">
        <v>1324</v>
      </c>
      <c r="D243" s="1186">
        <v>147</v>
      </c>
      <c r="E243" s="1186">
        <v>462</v>
      </c>
      <c r="F243" s="1186">
        <v>257</v>
      </c>
      <c r="G243" s="1186">
        <v>5</v>
      </c>
      <c r="H243" s="1186"/>
      <c r="I243" s="1186">
        <v>56</v>
      </c>
      <c r="J243" s="1186">
        <v>2</v>
      </c>
      <c r="K243" s="1186"/>
      <c r="L243" s="1186">
        <v>28</v>
      </c>
      <c r="M243" s="1186">
        <v>1</v>
      </c>
      <c r="N243" s="1186">
        <v>29</v>
      </c>
      <c r="O243" s="1186">
        <v>7</v>
      </c>
      <c r="P243" s="1186">
        <v>41</v>
      </c>
      <c r="Q243" s="1186">
        <v>16</v>
      </c>
      <c r="R243" s="1186">
        <v>20</v>
      </c>
      <c r="S243" s="1186">
        <v>19</v>
      </c>
      <c r="T243" s="1186">
        <v>51</v>
      </c>
      <c r="U243" s="1186">
        <v>34</v>
      </c>
      <c r="V243" s="1186">
        <v>41</v>
      </c>
      <c r="W243" s="1186">
        <v>27</v>
      </c>
      <c r="X243" s="1186">
        <v>9</v>
      </c>
      <c r="Y243" s="1186">
        <v>20</v>
      </c>
      <c r="Z243" s="1186"/>
      <c r="AA243" s="1186"/>
      <c r="AB243" s="1186">
        <v>31</v>
      </c>
      <c r="AC243" s="1186">
        <v>16</v>
      </c>
      <c r="AD243" s="1186">
        <v>2</v>
      </c>
      <c r="AE243" s="1186">
        <v>3</v>
      </c>
      <c r="AF243" s="1186"/>
      <c r="AG243" s="1186"/>
    </row>
    <row r="244" spans="1:33" x14ac:dyDescent="0.2">
      <c r="A244" s="1186" t="s">
        <v>37</v>
      </c>
      <c r="B244" s="1186" t="s">
        <v>282</v>
      </c>
      <c r="C244" s="1186">
        <v>247</v>
      </c>
      <c r="D244" s="1186">
        <v>103</v>
      </c>
      <c r="E244" s="1186">
        <v>34</v>
      </c>
      <c r="F244" s="1186">
        <v>1</v>
      </c>
      <c r="G244" s="1186">
        <v>4</v>
      </c>
      <c r="H244" s="1186"/>
      <c r="I244" s="1186">
        <v>7</v>
      </c>
      <c r="J244" s="1186">
        <v>3</v>
      </c>
      <c r="K244" s="1186">
        <v>4</v>
      </c>
      <c r="L244" s="1186">
        <v>16</v>
      </c>
      <c r="M244" s="1186">
        <v>6</v>
      </c>
      <c r="N244" s="1186">
        <v>12</v>
      </c>
      <c r="O244" s="1186">
        <v>1</v>
      </c>
      <c r="P244" s="1186">
        <v>1</v>
      </c>
      <c r="Q244" s="1186"/>
      <c r="R244" s="1186">
        <v>2</v>
      </c>
      <c r="S244" s="1186">
        <v>13</v>
      </c>
      <c r="T244" s="1186">
        <v>9</v>
      </c>
      <c r="U244" s="1186">
        <v>1</v>
      </c>
      <c r="V244" s="1186">
        <v>5</v>
      </c>
      <c r="W244" s="1186">
        <v>5</v>
      </c>
      <c r="X244" s="1186">
        <v>10</v>
      </c>
      <c r="Y244" s="1186">
        <v>1</v>
      </c>
      <c r="Z244" s="1186"/>
      <c r="AA244" s="1186">
        <v>1</v>
      </c>
      <c r="AB244" s="1186">
        <v>2</v>
      </c>
      <c r="AC244" s="1186">
        <v>1</v>
      </c>
      <c r="AD244" s="1186">
        <v>2</v>
      </c>
      <c r="AE244" s="1186"/>
      <c r="AF244" s="1186">
        <v>1</v>
      </c>
      <c r="AG244" s="1186">
        <v>2</v>
      </c>
    </row>
    <row r="245" spans="1:33" x14ac:dyDescent="0.2">
      <c r="A245" s="1186" t="s">
        <v>38</v>
      </c>
      <c r="B245" s="1186" t="s">
        <v>282</v>
      </c>
      <c r="C245" s="1186">
        <v>163</v>
      </c>
      <c r="D245" s="1186">
        <v>31</v>
      </c>
      <c r="E245" s="1186">
        <v>36</v>
      </c>
      <c r="F245" s="1186">
        <v>50</v>
      </c>
      <c r="G245" s="1186">
        <v>1</v>
      </c>
      <c r="H245" s="1186"/>
      <c r="I245" s="1186">
        <v>13</v>
      </c>
      <c r="J245" s="1186"/>
      <c r="K245" s="1186"/>
      <c r="L245" s="1186">
        <v>4</v>
      </c>
      <c r="M245" s="1186"/>
      <c r="N245" s="1186">
        <v>3</v>
      </c>
      <c r="O245" s="1186">
        <v>1</v>
      </c>
      <c r="P245" s="1186"/>
      <c r="Q245" s="1186">
        <v>1</v>
      </c>
      <c r="R245" s="1186">
        <v>3</v>
      </c>
      <c r="S245" s="1186">
        <v>2</v>
      </c>
      <c r="T245" s="1186">
        <v>4</v>
      </c>
      <c r="U245" s="1186">
        <v>2</v>
      </c>
      <c r="V245" s="1186">
        <v>5</v>
      </c>
      <c r="W245" s="1186">
        <v>3</v>
      </c>
      <c r="X245" s="1186"/>
      <c r="Y245" s="1186"/>
      <c r="Z245" s="1186"/>
      <c r="AA245" s="1186"/>
      <c r="AB245" s="1186">
        <v>2</v>
      </c>
      <c r="AC245" s="1186"/>
      <c r="AD245" s="1186"/>
      <c r="AE245" s="1186">
        <v>2</v>
      </c>
      <c r="AF245" s="1186"/>
      <c r="AG245" s="1186"/>
    </row>
    <row r="246" spans="1:33" x14ac:dyDescent="0.2">
      <c r="A246" s="1186" t="s">
        <v>39</v>
      </c>
      <c r="B246" s="1186" t="s">
        <v>282</v>
      </c>
      <c r="C246" s="1186">
        <v>109</v>
      </c>
      <c r="D246" s="1186">
        <v>50</v>
      </c>
      <c r="E246" s="1186">
        <v>11</v>
      </c>
      <c r="F246" s="1186">
        <v>4</v>
      </c>
      <c r="G246" s="1186">
        <v>1</v>
      </c>
      <c r="H246" s="1186"/>
      <c r="I246" s="1186">
        <v>10</v>
      </c>
      <c r="J246" s="1186"/>
      <c r="K246" s="1186">
        <v>1</v>
      </c>
      <c r="L246" s="1186">
        <v>6</v>
      </c>
      <c r="M246" s="1186">
        <v>1</v>
      </c>
      <c r="N246" s="1186">
        <v>6</v>
      </c>
      <c r="O246" s="1186"/>
      <c r="P246" s="1186"/>
      <c r="Q246" s="1186"/>
      <c r="R246" s="1186">
        <v>2</v>
      </c>
      <c r="S246" s="1186">
        <v>4</v>
      </c>
      <c r="T246" s="1186"/>
      <c r="U246" s="1186">
        <v>2</v>
      </c>
      <c r="V246" s="1186">
        <v>1</v>
      </c>
      <c r="W246" s="1186">
        <v>3</v>
      </c>
      <c r="X246" s="1186">
        <v>1</v>
      </c>
      <c r="Y246" s="1186">
        <v>2</v>
      </c>
      <c r="Z246" s="1186"/>
      <c r="AA246" s="1186"/>
      <c r="AB246" s="1186">
        <v>4</v>
      </c>
      <c r="AC246" s="1186"/>
      <c r="AD246" s="1186"/>
      <c r="AE246" s="1186"/>
      <c r="AF246" s="1186"/>
      <c r="AG246" s="1186"/>
    </row>
    <row r="247" spans="1:33" x14ac:dyDescent="0.2">
      <c r="A247" s="1186" t="s">
        <v>40</v>
      </c>
      <c r="B247" s="1186" t="s">
        <v>282</v>
      </c>
      <c r="C247" s="1186">
        <v>84</v>
      </c>
      <c r="D247" s="1186">
        <v>33</v>
      </c>
      <c r="E247" s="1186">
        <v>12</v>
      </c>
      <c r="F247" s="1186"/>
      <c r="G247" s="1186"/>
      <c r="H247" s="1186"/>
      <c r="I247" s="1186">
        <v>8</v>
      </c>
      <c r="J247" s="1186">
        <v>1</v>
      </c>
      <c r="K247" s="1186">
        <v>1</v>
      </c>
      <c r="L247" s="1186">
        <v>3</v>
      </c>
      <c r="M247" s="1186">
        <v>1</v>
      </c>
      <c r="N247" s="1186">
        <v>5</v>
      </c>
      <c r="O247" s="1186"/>
      <c r="P247" s="1186">
        <v>2</v>
      </c>
      <c r="Q247" s="1186">
        <v>1</v>
      </c>
      <c r="R247" s="1186">
        <v>1</v>
      </c>
      <c r="S247" s="1186">
        <v>3</v>
      </c>
      <c r="T247" s="1186">
        <v>1</v>
      </c>
      <c r="U247" s="1186">
        <v>3</v>
      </c>
      <c r="V247" s="1186">
        <v>1</v>
      </c>
      <c r="W247" s="1186">
        <v>3</v>
      </c>
      <c r="X247" s="1186">
        <v>3</v>
      </c>
      <c r="Y247" s="1186"/>
      <c r="Z247" s="1186"/>
      <c r="AA247" s="1186">
        <v>1</v>
      </c>
      <c r="AB247" s="1186">
        <v>1</v>
      </c>
      <c r="AC247" s="1186"/>
      <c r="AD247" s="1186"/>
      <c r="AE247" s="1186"/>
      <c r="AF247" s="1186"/>
      <c r="AG247" s="1186"/>
    </row>
    <row r="248" spans="1:33" x14ac:dyDescent="0.2">
      <c r="A248" s="1186" t="s">
        <v>295</v>
      </c>
      <c r="B248" s="1186" t="s">
        <v>282</v>
      </c>
      <c r="C248" s="1186">
        <v>27</v>
      </c>
      <c r="D248" s="1186">
        <v>15</v>
      </c>
      <c r="E248" s="1186">
        <v>6</v>
      </c>
      <c r="F248" s="1186"/>
      <c r="G248" s="1186"/>
      <c r="H248" s="1186"/>
      <c r="I248" s="1186">
        <v>1</v>
      </c>
      <c r="J248" s="1186"/>
      <c r="K248" s="1186"/>
      <c r="L248" s="1186">
        <v>1</v>
      </c>
      <c r="M248" s="1186"/>
      <c r="N248" s="1186"/>
      <c r="O248" s="1186"/>
      <c r="P248" s="1186"/>
      <c r="Q248" s="1186"/>
      <c r="R248" s="1186"/>
      <c r="S248" s="1186"/>
      <c r="T248" s="1186">
        <v>2</v>
      </c>
      <c r="U248" s="1186"/>
      <c r="V248" s="1186"/>
      <c r="W248" s="1186"/>
      <c r="X248" s="1186"/>
      <c r="Y248" s="1186"/>
      <c r="Z248" s="1186"/>
      <c r="AA248" s="1186"/>
      <c r="AB248" s="1186"/>
      <c r="AC248" s="1186"/>
      <c r="AD248" s="1186">
        <v>2</v>
      </c>
      <c r="AE248" s="1186"/>
      <c r="AF248" s="1186"/>
      <c r="AG248" s="1186"/>
    </row>
    <row r="249" spans="1:33" x14ac:dyDescent="0.2">
      <c r="A249" s="1186" t="s">
        <v>41</v>
      </c>
      <c r="B249" s="1186" t="s">
        <v>282</v>
      </c>
      <c r="C249" s="1186">
        <v>210</v>
      </c>
      <c r="D249" s="1186">
        <v>93</v>
      </c>
      <c r="E249" s="1186">
        <v>43</v>
      </c>
      <c r="F249" s="1186">
        <v>8</v>
      </c>
      <c r="G249" s="1186">
        <v>1</v>
      </c>
      <c r="H249" s="1186"/>
      <c r="I249" s="1186">
        <v>22</v>
      </c>
      <c r="J249" s="1186"/>
      <c r="K249" s="1186"/>
      <c r="L249" s="1186">
        <v>7</v>
      </c>
      <c r="M249" s="1186">
        <v>1</v>
      </c>
      <c r="N249" s="1186">
        <v>6</v>
      </c>
      <c r="O249" s="1186">
        <v>1</v>
      </c>
      <c r="P249" s="1186">
        <v>2</v>
      </c>
      <c r="Q249" s="1186"/>
      <c r="R249" s="1186">
        <v>2</v>
      </c>
      <c r="S249" s="1186">
        <v>4</v>
      </c>
      <c r="T249" s="1186">
        <v>7</v>
      </c>
      <c r="U249" s="1186">
        <v>2</v>
      </c>
      <c r="V249" s="1186">
        <v>1</v>
      </c>
      <c r="W249" s="1186">
        <v>6</v>
      </c>
      <c r="X249" s="1186">
        <v>1</v>
      </c>
      <c r="Y249" s="1186"/>
      <c r="Z249" s="1186"/>
      <c r="AA249" s="1186">
        <v>1</v>
      </c>
      <c r="AB249" s="1186">
        <v>2</v>
      </c>
      <c r="AC249" s="1186"/>
      <c r="AD249" s="1186"/>
      <c r="AE249" s="1186"/>
      <c r="AF249" s="1186"/>
      <c r="AG249" s="1186"/>
    </row>
    <row r="250" spans="1:33" x14ac:dyDescent="0.2">
      <c r="A250" s="1186" t="s">
        <v>42</v>
      </c>
      <c r="B250" s="1186" t="s">
        <v>282</v>
      </c>
      <c r="C250" s="1186">
        <v>465</v>
      </c>
      <c r="D250" s="1186">
        <v>118</v>
      </c>
      <c r="E250" s="1186">
        <v>199</v>
      </c>
      <c r="F250" s="1186">
        <v>12</v>
      </c>
      <c r="G250" s="1186"/>
      <c r="H250" s="1186"/>
      <c r="I250" s="1186">
        <v>24</v>
      </c>
      <c r="J250" s="1186"/>
      <c r="K250" s="1186"/>
      <c r="L250" s="1186">
        <v>27</v>
      </c>
      <c r="M250" s="1186">
        <v>2</v>
      </c>
      <c r="N250" s="1186">
        <v>10</v>
      </c>
      <c r="O250" s="1186">
        <v>4</v>
      </c>
      <c r="P250" s="1186">
        <v>4</v>
      </c>
      <c r="Q250" s="1186">
        <v>5</v>
      </c>
      <c r="R250" s="1186">
        <v>9</v>
      </c>
      <c r="S250" s="1186">
        <v>8</v>
      </c>
      <c r="T250" s="1186">
        <v>11</v>
      </c>
      <c r="U250" s="1186">
        <v>8</v>
      </c>
      <c r="V250" s="1186">
        <v>5</v>
      </c>
      <c r="W250" s="1186">
        <v>7</v>
      </c>
      <c r="X250" s="1186">
        <v>2</v>
      </c>
      <c r="Y250" s="1186">
        <v>3</v>
      </c>
      <c r="Z250" s="1186"/>
      <c r="AA250" s="1186"/>
      <c r="AB250" s="1186">
        <v>6</v>
      </c>
      <c r="AC250" s="1186"/>
      <c r="AD250" s="1186"/>
      <c r="AE250" s="1186"/>
      <c r="AF250" s="1186"/>
      <c r="AG250" s="1186">
        <v>1</v>
      </c>
    </row>
    <row r="251" spans="1:33" x14ac:dyDescent="0.2">
      <c r="A251" s="1186" t="s">
        <v>43</v>
      </c>
      <c r="B251" s="1186" t="s">
        <v>282</v>
      </c>
      <c r="C251" s="1186">
        <v>12</v>
      </c>
      <c r="D251" s="1186">
        <v>7</v>
      </c>
      <c r="E251" s="1186"/>
      <c r="F251" s="1186"/>
      <c r="G251" s="1186"/>
      <c r="H251" s="1186"/>
      <c r="I251" s="1186"/>
      <c r="J251" s="1186"/>
      <c r="K251" s="1186"/>
      <c r="L251" s="1186">
        <v>1</v>
      </c>
      <c r="M251" s="1186">
        <v>2</v>
      </c>
      <c r="N251" s="1186"/>
      <c r="O251" s="1186"/>
      <c r="P251" s="1186"/>
      <c r="Q251" s="1186"/>
      <c r="R251" s="1186"/>
      <c r="S251" s="1186"/>
      <c r="T251" s="1186"/>
      <c r="U251" s="1186">
        <v>1</v>
      </c>
      <c r="V251" s="1186"/>
      <c r="W251" s="1186">
        <v>1</v>
      </c>
      <c r="X251" s="1186"/>
      <c r="Y251" s="1186"/>
      <c r="Z251" s="1186"/>
      <c r="AA251" s="1186"/>
      <c r="AB251" s="1186"/>
      <c r="AC251" s="1186"/>
      <c r="AD251" s="1186"/>
      <c r="AE251" s="1186"/>
      <c r="AF251" s="1186"/>
      <c r="AG251" s="1186"/>
    </row>
    <row r="252" spans="1:33" x14ac:dyDescent="0.2">
      <c r="A252" s="1186" t="s">
        <v>44</v>
      </c>
      <c r="B252" s="1186" t="s">
        <v>282</v>
      </c>
      <c r="C252" s="1186">
        <v>216</v>
      </c>
      <c r="D252" s="1186">
        <v>57</v>
      </c>
      <c r="E252" s="1186">
        <v>37</v>
      </c>
      <c r="F252" s="1186">
        <v>15</v>
      </c>
      <c r="G252" s="1186">
        <v>1</v>
      </c>
      <c r="H252" s="1186"/>
      <c r="I252" s="1186">
        <v>31</v>
      </c>
      <c r="J252" s="1186">
        <v>1</v>
      </c>
      <c r="K252" s="1186">
        <v>4</v>
      </c>
      <c r="L252" s="1186">
        <v>11</v>
      </c>
      <c r="M252" s="1186">
        <v>10</v>
      </c>
      <c r="N252" s="1186">
        <v>6</v>
      </c>
      <c r="O252" s="1186">
        <v>4</v>
      </c>
      <c r="P252" s="1186">
        <v>2</v>
      </c>
      <c r="Q252" s="1186">
        <v>6</v>
      </c>
      <c r="R252" s="1186">
        <v>1</v>
      </c>
      <c r="S252" s="1186">
        <v>9</v>
      </c>
      <c r="T252" s="1186">
        <v>4</v>
      </c>
      <c r="U252" s="1186">
        <v>2</v>
      </c>
      <c r="V252" s="1186"/>
      <c r="W252" s="1186">
        <v>1</v>
      </c>
      <c r="X252" s="1186">
        <v>10</v>
      </c>
      <c r="Y252" s="1186">
        <v>1</v>
      </c>
      <c r="Z252" s="1186"/>
      <c r="AA252" s="1186"/>
      <c r="AB252" s="1186">
        <v>3</v>
      </c>
      <c r="AC252" s="1186"/>
      <c r="AD252" s="1186"/>
      <c r="AE252" s="1186"/>
      <c r="AF252" s="1186"/>
      <c r="AG252" s="1186"/>
    </row>
    <row r="253" spans="1:33" x14ac:dyDescent="0.2">
      <c r="A253" s="1186" t="s">
        <v>45</v>
      </c>
      <c r="B253" s="1186" t="s">
        <v>282</v>
      </c>
      <c r="C253" s="1186">
        <v>283</v>
      </c>
      <c r="D253" s="1186">
        <v>69</v>
      </c>
      <c r="E253" s="1186">
        <v>71</v>
      </c>
      <c r="F253" s="1186">
        <v>38</v>
      </c>
      <c r="G253" s="1186"/>
      <c r="H253" s="1186"/>
      <c r="I253" s="1186">
        <v>27</v>
      </c>
      <c r="J253" s="1186"/>
      <c r="K253" s="1186"/>
      <c r="L253" s="1186">
        <v>10</v>
      </c>
      <c r="M253" s="1186">
        <v>1</v>
      </c>
      <c r="N253" s="1186">
        <v>8</v>
      </c>
      <c r="O253" s="1186">
        <v>3</v>
      </c>
      <c r="P253" s="1186">
        <v>6</v>
      </c>
      <c r="Q253" s="1186"/>
      <c r="R253" s="1186">
        <v>5</v>
      </c>
      <c r="S253" s="1186">
        <v>2</v>
      </c>
      <c r="T253" s="1186">
        <v>13</v>
      </c>
      <c r="U253" s="1186">
        <v>2</v>
      </c>
      <c r="V253" s="1186">
        <v>3</v>
      </c>
      <c r="W253" s="1186">
        <v>8</v>
      </c>
      <c r="X253" s="1186">
        <v>3</v>
      </c>
      <c r="Y253" s="1186">
        <v>3</v>
      </c>
      <c r="Z253" s="1186"/>
      <c r="AA253" s="1186"/>
      <c r="AB253" s="1186">
        <v>8</v>
      </c>
      <c r="AC253" s="1186"/>
      <c r="AD253" s="1186">
        <v>1</v>
      </c>
      <c r="AE253" s="1186">
        <v>2</v>
      </c>
      <c r="AF253" s="1186"/>
      <c r="AG253" s="1186"/>
    </row>
    <row r="254" spans="1:33" x14ac:dyDescent="0.2">
      <c r="A254" s="1186" t="s">
        <v>46</v>
      </c>
      <c r="B254" s="1186" t="s">
        <v>282</v>
      </c>
      <c r="C254" s="1186">
        <v>133</v>
      </c>
      <c r="D254" s="1186">
        <v>57</v>
      </c>
      <c r="E254" s="1186">
        <v>15</v>
      </c>
      <c r="F254" s="1186">
        <v>4</v>
      </c>
      <c r="G254" s="1186">
        <v>2</v>
      </c>
      <c r="H254" s="1186"/>
      <c r="I254" s="1186">
        <v>10</v>
      </c>
      <c r="J254" s="1186">
        <v>2</v>
      </c>
      <c r="K254" s="1186">
        <v>1</v>
      </c>
      <c r="L254" s="1186">
        <v>12</v>
      </c>
      <c r="M254" s="1186">
        <v>9</v>
      </c>
      <c r="N254" s="1186">
        <v>3</v>
      </c>
      <c r="O254" s="1186"/>
      <c r="P254" s="1186"/>
      <c r="Q254" s="1186"/>
      <c r="R254" s="1186"/>
      <c r="S254" s="1186">
        <v>2</v>
      </c>
      <c r="T254" s="1186">
        <v>4</v>
      </c>
      <c r="U254" s="1186">
        <v>5</v>
      </c>
      <c r="V254" s="1186">
        <v>2</v>
      </c>
      <c r="W254" s="1186">
        <v>3</v>
      </c>
      <c r="X254" s="1186"/>
      <c r="Y254" s="1186"/>
      <c r="Z254" s="1186"/>
      <c r="AA254" s="1186">
        <v>1</v>
      </c>
      <c r="AB254" s="1186">
        <v>1</v>
      </c>
      <c r="AC254" s="1186"/>
      <c r="AD254" s="1186"/>
      <c r="AE254" s="1186"/>
      <c r="AF254" s="1186"/>
      <c r="AG254" s="1186"/>
    </row>
    <row r="255" spans="1:33" x14ac:dyDescent="0.2">
      <c r="A255" s="1186" t="s">
        <v>47</v>
      </c>
      <c r="B255" s="1186" t="s">
        <v>282</v>
      </c>
      <c r="C255" s="1186">
        <v>17</v>
      </c>
      <c r="D255" s="1186">
        <v>5</v>
      </c>
      <c r="E255" s="1186">
        <v>2</v>
      </c>
      <c r="F255" s="1186">
        <v>1</v>
      </c>
      <c r="G255" s="1186"/>
      <c r="H255" s="1186"/>
      <c r="I255" s="1186"/>
      <c r="J255" s="1186">
        <v>1</v>
      </c>
      <c r="K255" s="1186"/>
      <c r="L255" s="1186">
        <v>1</v>
      </c>
      <c r="M255" s="1186"/>
      <c r="N255" s="1186">
        <v>2</v>
      </c>
      <c r="O255" s="1186"/>
      <c r="P255" s="1186"/>
      <c r="Q255" s="1186"/>
      <c r="R255" s="1186">
        <v>1</v>
      </c>
      <c r="S255" s="1186"/>
      <c r="T255" s="1186"/>
      <c r="U255" s="1186">
        <v>1</v>
      </c>
      <c r="V255" s="1186">
        <v>2</v>
      </c>
      <c r="W255" s="1186">
        <v>1</v>
      </c>
      <c r="X255" s="1186"/>
      <c r="Y255" s="1186"/>
      <c r="Z255" s="1186"/>
      <c r="AA255" s="1186"/>
      <c r="AB255" s="1186"/>
      <c r="AC255" s="1186"/>
      <c r="AD255" s="1186"/>
      <c r="AE255" s="1186"/>
      <c r="AF255" s="1186"/>
      <c r="AG255" s="1186"/>
    </row>
    <row r="256" spans="1:33" x14ac:dyDescent="0.2">
      <c r="A256" s="1186" t="s">
        <v>48</v>
      </c>
      <c r="B256" s="1186" t="s">
        <v>282</v>
      </c>
      <c r="C256" s="1186">
        <v>141</v>
      </c>
      <c r="D256" s="1186">
        <v>44</v>
      </c>
      <c r="E256" s="1186">
        <v>45</v>
      </c>
      <c r="F256" s="1186"/>
      <c r="G256" s="1186"/>
      <c r="H256" s="1186"/>
      <c r="I256" s="1186">
        <v>8</v>
      </c>
      <c r="J256" s="1186"/>
      <c r="K256" s="1186"/>
      <c r="L256" s="1186">
        <v>5</v>
      </c>
      <c r="M256" s="1186">
        <v>3</v>
      </c>
      <c r="N256" s="1186">
        <v>3</v>
      </c>
      <c r="O256" s="1186">
        <v>1</v>
      </c>
      <c r="P256" s="1186">
        <v>1</v>
      </c>
      <c r="Q256" s="1186">
        <v>1</v>
      </c>
      <c r="R256" s="1186">
        <v>3</v>
      </c>
      <c r="S256" s="1186">
        <v>4</v>
      </c>
      <c r="T256" s="1186">
        <v>6</v>
      </c>
      <c r="U256" s="1186">
        <v>3</v>
      </c>
      <c r="V256" s="1186">
        <v>1</v>
      </c>
      <c r="W256" s="1186">
        <v>3</v>
      </c>
      <c r="X256" s="1186">
        <v>2</v>
      </c>
      <c r="Y256" s="1186">
        <v>1</v>
      </c>
      <c r="Z256" s="1186"/>
      <c r="AA256" s="1186">
        <v>2</v>
      </c>
      <c r="AB256" s="1186">
        <v>5</v>
      </c>
      <c r="AC256" s="1186"/>
      <c r="AD256" s="1186"/>
      <c r="AE256" s="1186"/>
      <c r="AF256" s="1186"/>
      <c r="AG256" s="1186"/>
    </row>
    <row r="257" spans="1:33" x14ac:dyDescent="0.2">
      <c r="A257" s="1186" t="s">
        <v>49</v>
      </c>
      <c r="B257" s="1186" t="s">
        <v>282</v>
      </c>
      <c r="C257" s="1186">
        <v>361</v>
      </c>
      <c r="D257" s="1186">
        <v>106</v>
      </c>
      <c r="E257" s="1186">
        <v>113</v>
      </c>
      <c r="F257" s="1186">
        <v>10</v>
      </c>
      <c r="G257" s="1186">
        <v>1</v>
      </c>
      <c r="H257" s="1186"/>
      <c r="I257" s="1186">
        <v>20</v>
      </c>
      <c r="J257" s="1186"/>
      <c r="K257" s="1186"/>
      <c r="L257" s="1186">
        <v>27</v>
      </c>
      <c r="M257" s="1186">
        <v>6</v>
      </c>
      <c r="N257" s="1186">
        <v>12</v>
      </c>
      <c r="O257" s="1186">
        <v>4</v>
      </c>
      <c r="P257" s="1186">
        <v>6</v>
      </c>
      <c r="Q257" s="1186">
        <v>2</v>
      </c>
      <c r="R257" s="1186">
        <v>6</v>
      </c>
      <c r="S257" s="1186">
        <v>6</v>
      </c>
      <c r="T257" s="1186">
        <v>14</v>
      </c>
      <c r="U257" s="1186">
        <v>3</v>
      </c>
      <c r="V257" s="1186">
        <v>3</v>
      </c>
      <c r="W257" s="1186">
        <v>10</v>
      </c>
      <c r="X257" s="1186"/>
      <c r="Y257" s="1186">
        <v>3</v>
      </c>
      <c r="Z257" s="1186"/>
      <c r="AA257" s="1186"/>
      <c r="AB257" s="1186">
        <v>8</v>
      </c>
      <c r="AC257" s="1186"/>
      <c r="AD257" s="1186"/>
      <c r="AE257" s="1186"/>
      <c r="AF257" s="1186"/>
      <c r="AG257" s="1186">
        <v>1</v>
      </c>
    </row>
    <row r="258" spans="1:33" x14ac:dyDescent="0.2">
      <c r="A258" s="1186" t="s">
        <v>50</v>
      </c>
      <c r="B258" s="1186" t="s">
        <v>282</v>
      </c>
      <c r="C258" s="1186">
        <v>130</v>
      </c>
      <c r="D258" s="1186">
        <v>42</v>
      </c>
      <c r="E258" s="1186">
        <v>26</v>
      </c>
      <c r="F258" s="1186">
        <v>11</v>
      </c>
      <c r="G258" s="1186"/>
      <c r="H258" s="1186"/>
      <c r="I258" s="1186">
        <v>5</v>
      </c>
      <c r="J258" s="1186">
        <v>1</v>
      </c>
      <c r="K258" s="1186">
        <v>1</v>
      </c>
      <c r="L258" s="1186">
        <v>6</v>
      </c>
      <c r="M258" s="1186">
        <v>1</v>
      </c>
      <c r="N258" s="1186">
        <v>5</v>
      </c>
      <c r="O258" s="1186"/>
      <c r="P258" s="1186">
        <v>2</v>
      </c>
      <c r="Q258" s="1186">
        <v>10</v>
      </c>
      <c r="R258" s="1186">
        <v>1</v>
      </c>
      <c r="S258" s="1186">
        <v>4</v>
      </c>
      <c r="T258" s="1186">
        <v>2</v>
      </c>
      <c r="U258" s="1186">
        <v>2</v>
      </c>
      <c r="V258" s="1186">
        <v>1</v>
      </c>
      <c r="W258" s="1186">
        <v>2</v>
      </c>
      <c r="X258" s="1186">
        <v>2</v>
      </c>
      <c r="Y258" s="1186"/>
      <c r="Z258" s="1186"/>
      <c r="AA258" s="1186"/>
      <c r="AB258" s="1186"/>
      <c r="AC258" s="1186">
        <v>2</v>
      </c>
      <c r="AD258" s="1186"/>
      <c r="AE258" s="1186">
        <v>3</v>
      </c>
      <c r="AF258" s="1186">
        <v>1</v>
      </c>
      <c r="AG258" s="1186"/>
    </row>
    <row r="259" spans="1:33" x14ac:dyDescent="0.2">
      <c r="A259" s="1186" t="s">
        <v>51</v>
      </c>
      <c r="B259" s="1186" t="s">
        <v>282</v>
      </c>
      <c r="C259" s="1186">
        <v>187</v>
      </c>
      <c r="D259" s="1186">
        <v>30</v>
      </c>
      <c r="E259" s="1186">
        <v>84</v>
      </c>
      <c r="F259" s="1186">
        <v>15</v>
      </c>
      <c r="G259" s="1186"/>
      <c r="H259" s="1186"/>
      <c r="I259" s="1186">
        <v>14</v>
      </c>
      <c r="J259" s="1186"/>
      <c r="K259" s="1186"/>
      <c r="L259" s="1186">
        <v>4</v>
      </c>
      <c r="M259" s="1186"/>
      <c r="N259" s="1186">
        <v>2</v>
      </c>
      <c r="O259" s="1186">
        <v>1</v>
      </c>
      <c r="P259" s="1186">
        <v>2</v>
      </c>
      <c r="Q259" s="1186"/>
      <c r="R259" s="1186">
        <v>2</v>
      </c>
      <c r="S259" s="1186">
        <v>2</v>
      </c>
      <c r="T259" s="1186">
        <v>7</v>
      </c>
      <c r="U259" s="1186">
        <v>7</v>
      </c>
      <c r="V259" s="1186">
        <v>1</v>
      </c>
      <c r="W259" s="1186">
        <v>1</v>
      </c>
      <c r="X259" s="1186">
        <v>1</v>
      </c>
      <c r="Y259" s="1186">
        <v>1</v>
      </c>
      <c r="Z259" s="1186"/>
      <c r="AA259" s="1186">
        <v>1</v>
      </c>
      <c r="AB259" s="1186">
        <v>11</v>
      </c>
      <c r="AC259" s="1186"/>
      <c r="AD259" s="1186"/>
      <c r="AE259" s="1186">
        <v>1</v>
      </c>
      <c r="AF259" s="1186"/>
      <c r="AG259" s="1186"/>
    </row>
    <row r="260" spans="1:33" x14ac:dyDescent="0.2">
      <c r="A260" s="1186" t="s">
        <v>52</v>
      </c>
      <c r="B260" s="1186" t="s">
        <v>282</v>
      </c>
      <c r="C260" s="1186">
        <v>212</v>
      </c>
      <c r="D260" s="1186">
        <v>91</v>
      </c>
      <c r="E260" s="1186">
        <v>35</v>
      </c>
      <c r="F260" s="1186"/>
      <c r="G260" s="1186">
        <v>1</v>
      </c>
      <c r="H260" s="1186"/>
      <c r="I260" s="1186">
        <v>11</v>
      </c>
      <c r="J260" s="1186"/>
      <c r="K260" s="1186"/>
      <c r="L260" s="1186">
        <v>8</v>
      </c>
      <c r="M260" s="1186">
        <v>3</v>
      </c>
      <c r="N260" s="1186">
        <v>9</v>
      </c>
      <c r="O260" s="1186">
        <v>3</v>
      </c>
      <c r="P260" s="1186"/>
      <c r="Q260" s="1186">
        <v>5</v>
      </c>
      <c r="R260" s="1186">
        <v>3</v>
      </c>
      <c r="S260" s="1186">
        <v>9</v>
      </c>
      <c r="T260" s="1186">
        <v>4</v>
      </c>
      <c r="U260" s="1186">
        <v>4</v>
      </c>
      <c r="V260" s="1186">
        <v>7</v>
      </c>
      <c r="W260" s="1186">
        <v>5</v>
      </c>
      <c r="X260" s="1186">
        <v>3</v>
      </c>
      <c r="Y260" s="1186"/>
      <c r="Z260" s="1186"/>
      <c r="AA260" s="1186">
        <v>2</v>
      </c>
      <c r="AB260" s="1186">
        <v>8</v>
      </c>
      <c r="AC260" s="1186">
        <v>1</v>
      </c>
      <c r="AD260" s="1186"/>
      <c r="AE260" s="1186"/>
      <c r="AF260" s="1186"/>
      <c r="AG260" s="1186"/>
    </row>
    <row r="261" spans="1:33" x14ac:dyDescent="0.2">
      <c r="A261" s="1186" t="s">
        <v>23</v>
      </c>
      <c r="B261" s="1186" t="s">
        <v>311</v>
      </c>
      <c r="C261" s="1186">
        <v>375</v>
      </c>
      <c r="D261" s="1186">
        <v>49</v>
      </c>
      <c r="E261" s="1186">
        <v>161</v>
      </c>
      <c r="F261" s="1186">
        <v>34</v>
      </c>
      <c r="G261" s="1186">
        <v>5</v>
      </c>
      <c r="H261" s="1186">
        <v>1</v>
      </c>
      <c r="I261" s="1186">
        <v>27</v>
      </c>
      <c r="J261" s="1186"/>
      <c r="K261" s="1186"/>
      <c r="L261" s="1186">
        <v>10</v>
      </c>
      <c r="M261" s="1186"/>
      <c r="N261" s="1186">
        <v>6</v>
      </c>
      <c r="O261" s="1186">
        <v>3</v>
      </c>
      <c r="P261" s="1186">
        <v>9</v>
      </c>
      <c r="Q261" s="1186">
        <v>2</v>
      </c>
      <c r="R261" s="1186">
        <v>1</v>
      </c>
      <c r="S261" s="1186">
        <v>9</v>
      </c>
      <c r="T261" s="1186">
        <v>10</v>
      </c>
      <c r="U261" s="1186">
        <v>12</v>
      </c>
      <c r="V261" s="1186">
        <v>14</v>
      </c>
      <c r="W261" s="1186">
        <v>5</v>
      </c>
      <c r="X261" s="1186">
        <v>3</v>
      </c>
      <c r="Y261" s="1186">
        <v>2</v>
      </c>
      <c r="Z261" s="1186"/>
      <c r="AA261" s="1186"/>
      <c r="AB261" s="1186">
        <v>6</v>
      </c>
      <c r="AC261" s="1186">
        <v>5</v>
      </c>
      <c r="AD261" s="1186"/>
      <c r="AE261" s="1186">
        <v>1</v>
      </c>
      <c r="AF261" s="1186"/>
      <c r="AG261" s="1186"/>
    </row>
    <row r="262" spans="1:33" x14ac:dyDescent="0.2">
      <c r="A262" s="1186" t="s">
        <v>24</v>
      </c>
      <c r="B262" s="1186" t="s">
        <v>311</v>
      </c>
      <c r="C262" s="1186">
        <v>273</v>
      </c>
      <c r="D262" s="1186">
        <v>87</v>
      </c>
      <c r="E262" s="1186">
        <v>16</v>
      </c>
      <c r="F262" s="1186">
        <v>10</v>
      </c>
      <c r="G262" s="1186"/>
      <c r="H262" s="1186"/>
      <c r="I262" s="1186">
        <v>52</v>
      </c>
      <c r="J262" s="1186"/>
      <c r="K262" s="1186">
        <v>2</v>
      </c>
      <c r="L262" s="1186">
        <v>11</v>
      </c>
      <c r="M262" s="1186">
        <v>12</v>
      </c>
      <c r="N262" s="1186">
        <v>16</v>
      </c>
      <c r="O262" s="1186"/>
      <c r="P262" s="1186">
        <v>5</v>
      </c>
      <c r="Q262" s="1186">
        <v>18</v>
      </c>
      <c r="R262" s="1186">
        <v>4</v>
      </c>
      <c r="S262" s="1186">
        <v>4</v>
      </c>
      <c r="T262" s="1186">
        <v>6</v>
      </c>
      <c r="U262" s="1186">
        <v>9</v>
      </c>
      <c r="V262" s="1186">
        <v>3</v>
      </c>
      <c r="W262" s="1186">
        <v>7</v>
      </c>
      <c r="X262" s="1186">
        <v>1</v>
      </c>
      <c r="Y262" s="1186"/>
      <c r="Z262" s="1186">
        <v>1</v>
      </c>
      <c r="AA262" s="1186">
        <v>1</v>
      </c>
      <c r="AB262" s="1186">
        <v>7</v>
      </c>
      <c r="AC262" s="1186">
        <v>1</v>
      </c>
      <c r="AD262" s="1186"/>
      <c r="AE262" s="1186"/>
      <c r="AF262" s="1186"/>
      <c r="AG262" s="1186"/>
    </row>
    <row r="263" spans="1:33" x14ac:dyDescent="0.2">
      <c r="A263" s="1186" t="s">
        <v>25</v>
      </c>
      <c r="B263" s="1186" t="s">
        <v>311</v>
      </c>
      <c r="C263" s="1186">
        <v>113</v>
      </c>
      <c r="D263" s="1186">
        <v>38</v>
      </c>
      <c r="E263" s="1186">
        <v>18</v>
      </c>
      <c r="F263" s="1186">
        <v>7</v>
      </c>
      <c r="G263" s="1186"/>
      <c r="H263" s="1186"/>
      <c r="I263" s="1186">
        <v>16</v>
      </c>
      <c r="J263" s="1186"/>
      <c r="K263" s="1186"/>
      <c r="L263" s="1186">
        <v>8</v>
      </c>
      <c r="M263" s="1186">
        <v>4</v>
      </c>
      <c r="N263" s="1186">
        <v>4</v>
      </c>
      <c r="O263" s="1186"/>
      <c r="P263" s="1186"/>
      <c r="Q263" s="1186">
        <v>4</v>
      </c>
      <c r="R263" s="1186"/>
      <c r="S263" s="1186">
        <v>5</v>
      </c>
      <c r="T263" s="1186">
        <v>2</v>
      </c>
      <c r="U263" s="1186">
        <v>1</v>
      </c>
      <c r="V263" s="1186"/>
      <c r="W263" s="1186">
        <v>3</v>
      </c>
      <c r="X263" s="1186">
        <v>1</v>
      </c>
      <c r="Y263" s="1186"/>
      <c r="Z263" s="1186"/>
      <c r="AA263" s="1186"/>
      <c r="AB263" s="1186">
        <v>2</v>
      </c>
      <c r="AC263" s="1186"/>
      <c r="AD263" s="1186"/>
      <c r="AE263" s="1186"/>
      <c r="AF263" s="1186"/>
      <c r="AG263" s="1186"/>
    </row>
    <row r="264" spans="1:33" x14ac:dyDescent="0.2">
      <c r="A264" s="1186" t="s">
        <v>26</v>
      </c>
      <c r="B264" s="1186" t="s">
        <v>311</v>
      </c>
      <c r="C264" s="1186">
        <v>138</v>
      </c>
      <c r="D264" s="1186">
        <v>37</v>
      </c>
      <c r="E264" s="1186">
        <v>31</v>
      </c>
      <c r="F264" s="1186">
        <v>11</v>
      </c>
      <c r="G264" s="1186"/>
      <c r="H264" s="1186"/>
      <c r="I264" s="1186">
        <v>7</v>
      </c>
      <c r="J264" s="1186">
        <v>1</v>
      </c>
      <c r="K264" s="1186"/>
      <c r="L264" s="1186">
        <v>3</v>
      </c>
      <c r="M264" s="1186">
        <v>6</v>
      </c>
      <c r="N264" s="1186">
        <v>5</v>
      </c>
      <c r="O264" s="1186">
        <v>2</v>
      </c>
      <c r="P264" s="1186">
        <v>2</v>
      </c>
      <c r="Q264" s="1186"/>
      <c r="R264" s="1186">
        <v>1</v>
      </c>
      <c r="S264" s="1186">
        <v>2</v>
      </c>
      <c r="T264" s="1186">
        <v>3</v>
      </c>
      <c r="U264" s="1186">
        <v>4</v>
      </c>
      <c r="V264" s="1186">
        <v>1</v>
      </c>
      <c r="W264" s="1186">
        <v>6</v>
      </c>
      <c r="X264" s="1186">
        <v>6</v>
      </c>
      <c r="Y264" s="1186">
        <v>1</v>
      </c>
      <c r="Z264" s="1186">
        <v>4</v>
      </c>
      <c r="AA264" s="1186"/>
      <c r="AB264" s="1186">
        <v>2</v>
      </c>
      <c r="AC264" s="1186"/>
      <c r="AD264" s="1186">
        <v>2</v>
      </c>
      <c r="AE264" s="1186"/>
      <c r="AF264" s="1186">
        <v>1</v>
      </c>
      <c r="AG264" s="1186"/>
    </row>
    <row r="265" spans="1:33" x14ac:dyDescent="0.2">
      <c r="A265" s="1186" t="s">
        <v>619</v>
      </c>
      <c r="B265" s="1186" t="s">
        <v>311</v>
      </c>
      <c r="C265" s="1186">
        <v>766</v>
      </c>
      <c r="D265" s="1186">
        <v>96</v>
      </c>
      <c r="E265" s="1186">
        <v>256</v>
      </c>
      <c r="F265" s="1186">
        <v>123</v>
      </c>
      <c r="G265" s="1186">
        <v>5</v>
      </c>
      <c r="H265" s="1186"/>
      <c r="I265" s="1186">
        <v>42</v>
      </c>
      <c r="J265" s="1186">
        <v>2</v>
      </c>
      <c r="K265" s="1186">
        <v>2</v>
      </c>
      <c r="L265" s="1186">
        <v>18</v>
      </c>
      <c r="M265" s="1186"/>
      <c r="N265" s="1186">
        <v>6</v>
      </c>
      <c r="O265" s="1186"/>
      <c r="P265" s="1186">
        <v>17</v>
      </c>
      <c r="Q265" s="1186">
        <v>17</v>
      </c>
      <c r="R265" s="1186">
        <v>11</v>
      </c>
      <c r="S265" s="1186">
        <v>30</v>
      </c>
      <c r="T265" s="1186">
        <v>23</v>
      </c>
      <c r="U265" s="1186">
        <v>23</v>
      </c>
      <c r="V265" s="1186">
        <v>25</v>
      </c>
      <c r="W265" s="1186">
        <v>14</v>
      </c>
      <c r="X265" s="1186">
        <v>10</v>
      </c>
      <c r="Y265" s="1186">
        <v>7</v>
      </c>
      <c r="Z265" s="1186"/>
      <c r="AA265" s="1186">
        <v>1</v>
      </c>
      <c r="AB265" s="1186">
        <v>7</v>
      </c>
      <c r="AC265" s="1186">
        <v>23</v>
      </c>
      <c r="AD265" s="1186">
        <v>4</v>
      </c>
      <c r="AE265" s="1186">
        <v>3</v>
      </c>
      <c r="AF265" s="1186">
        <v>1</v>
      </c>
      <c r="AG265" s="1186"/>
    </row>
    <row r="266" spans="1:33" x14ac:dyDescent="0.2">
      <c r="A266" s="1186" t="s">
        <v>27</v>
      </c>
      <c r="B266" s="1186" t="s">
        <v>311</v>
      </c>
      <c r="C266" s="1186">
        <v>72</v>
      </c>
      <c r="D266" s="1186">
        <v>18</v>
      </c>
      <c r="E266" s="1186">
        <v>27</v>
      </c>
      <c r="F266" s="1186"/>
      <c r="G266" s="1186"/>
      <c r="H266" s="1186"/>
      <c r="I266" s="1186">
        <v>5</v>
      </c>
      <c r="J266" s="1186">
        <v>1</v>
      </c>
      <c r="K266" s="1186"/>
      <c r="L266" s="1186">
        <v>4</v>
      </c>
      <c r="M266" s="1186">
        <v>1</v>
      </c>
      <c r="N266" s="1186">
        <v>7</v>
      </c>
      <c r="O266" s="1186"/>
      <c r="P266" s="1186">
        <v>1</v>
      </c>
      <c r="Q266" s="1186">
        <v>1</v>
      </c>
      <c r="R266" s="1186"/>
      <c r="S266" s="1186"/>
      <c r="T266" s="1186"/>
      <c r="U266" s="1186">
        <v>2</v>
      </c>
      <c r="V266" s="1186"/>
      <c r="W266" s="1186">
        <v>2</v>
      </c>
      <c r="X266" s="1186"/>
      <c r="Y266" s="1186"/>
      <c r="Z266" s="1186"/>
      <c r="AA266" s="1186"/>
      <c r="AB266" s="1186">
        <v>3</v>
      </c>
      <c r="AC266" s="1186"/>
      <c r="AD266" s="1186"/>
      <c r="AE266" s="1186"/>
      <c r="AF266" s="1186"/>
      <c r="AG266" s="1186"/>
    </row>
    <row r="267" spans="1:33" x14ac:dyDescent="0.2">
      <c r="A267" s="1186" t="s">
        <v>28</v>
      </c>
      <c r="B267" s="1186" t="s">
        <v>311</v>
      </c>
      <c r="C267" s="1186">
        <v>152</v>
      </c>
      <c r="D267" s="1186">
        <v>74</v>
      </c>
      <c r="E267" s="1186">
        <v>16</v>
      </c>
      <c r="F267" s="1186">
        <v>3</v>
      </c>
      <c r="G267" s="1186">
        <v>1</v>
      </c>
      <c r="H267" s="1186"/>
      <c r="I267" s="1186">
        <v>5</v>
      </c>
      <c r="J267" s="1186">
        <v>4</v>
      </c>
      <c r="K267" s="1186"/>
      <c r="L267" s="1186">
        <v>9</v>
      </c>
      <c r="M267" s="1186">
        <v>5</v>
      </c>
      <c r="N267" s="1186">
        <v>6</v>
      </c>
      <c r="O267" s="1186">
        <v>1</v>
      </c>
      <c r="P267" s="1186"/>
      <c r="Q267" s="1186">
        <v>1</v>
      </c>
      <c r="R267" s="1186">
        <v>3</v>
      </c>
      <c r="S267" s="1186">
        <v>8</v>
      </c>
      <c r="T267" s="1186">
        <v>1</v>
      </c>
      <c r="U267" s="1186">
        <v>4</v>
      </c>
      <c r="V267" s="1186">
        <v>2</v>
      </c>
      <c r="W267" s="1186">
        <v>3</v>
      </c>
      <c r="X267" s="1186">
        <v>2</v>
      </c>
      <c r="Y267" s="1186"/>
      <c r="Z267" s="1186"/>
      <c r="AA267" s="1186">
        <v>1</v>
      </c>
      <c r="AB267" s="1186">
        <v>3</v>
      </c>
      <c r="AC267" s="1186"/>
      <c r="AD267" s="1186"/>
      <c r="AE267" s="1186"/>
      <c r="AF267" s="1186"/>
      <c r="AG267" s="1186"/>
    </row>
    <row r="268" spans="1:33" x14ac:dyDescent="0.2">
      <c r="A268" s="1186" t="s">
        <v>29</v>
      </c>
      <c r="B268" s="1186" t="s">
        <v>311</v>
      </c>
      <c r="C268" s="1186">
        <v>275</v>
      </c>
      <c r="D268" s="1186">
        <v>48</v>
      </c>
      <c r="E268" s="1186">
        <v>89</v>
      </c>
      <c r="F268" s="1186">
        <v>39</v>
      </c>
      <c r="G268" s="1186">
        <v>5</v>
      </c>
      <c r="H268" s="1186"/>
      <c r="I268" s="1186">
        <v>34</v>
      </c>
      <c r="J268" s="1186"/>
      <c r="K268" s="1186"/>
      <c r="L268" s="1186">
        <v>10</v>
      </c>
      <c r="M268" s="1186"/>
      <c r="N268" s="1186">
        <v>6</v>
      </c>
      <c r="O268" s="1186">
        <v>2</v>
      </c>
      <c r="P268" s="1186">
        <v>1</v>
      </c>
      <c r="Q268" s="1186">
        <v>4</v>
      </c>
      <c r="R268" s="1186">
        <v>3</v>
      </c>
      <c r="S268" s="1186">
        <v>3</v>
      </c>
      <c r="T268" s="1186">
        <v>5</v>
      </c>
      <c r="U268" s="1186">
        <v>6</v>
      </c>
      <c r="V268" s="1186"/>
      <c r="W268" s="1186">
        <v>3</v>
      </c>
      <c r="X268" s="1186">
        <v>4</v>
      </c>
      <c r="Y268" s="1186">
        <v>3</v>
      </c>
      <c r="Z268" s="1186"/>
      <c r="AA268" s="1186"/>
      <c r="AB268" s="1186">
        <v>6</v>
      </c>
      <c r="AC268" s="1186">
        <v>3</v>
      </c>
      <c r="AD268" s="1186">
        <v>1</v>
      </c>
      <c r="AE268" s="1186"/>
      <c r="AF268" s="1186"/>
      <c r="AG268" s="1186"/>
    </row>
    <row r="269" spans="1:33" x14ac:dyDescent="0.2">
      <c r="A269" s="1186" t="s">
        <v>30</v>
      </c>
      <c r="B269" s="1186" t="s">
        <v>311</v>
      </c>
      <c r="C269" s="1186">
        <v>120</v>
      </c>
      <c r="D269" s="1186">
        <v>51</v>
      </c>
      <c r="E269" s="1186">
        <v>27</v>
      </c>
      <c r="F269" s="1186">
        <v>4</v>
      </c>
      <c r="G269" s="1186"/>
      <c r="H269" s="1186"/>
      <c r="I269" s="1186">
        <v>4</v>
      </c>
      <c r="J269" s="1186">
        <v>1</v>
      </c>
      <c r="K269" s="1186"/>
      <c r="L269" s="1186">
        <v>9</v>
      </c>
      <c r="M269" s="1186">
        <v>1</v>
      </c>
      <c r="N269" s="1186">
        <v>3</v>
      </c>
      <c r="O269" s="1186">
        <v>1</v>
      </c>
      <c r="P269" s="1186"/>
      <c r="Q269" s="1186">
        <v>10</v>
      </c>
      <c r="R269" s="1186">
        <v>4</v>
      </c>
      <c r="S269" s="1186">
        <v>1</v>
      </c>
      <c r="T269" s="1186">
        <v>1</v>
      </c>
      <c r="U269" s="1186">
        <v>1</v>
      </c>
      <c r="V269" s="1186"/>
      <c r="W269" s="1186">
        <v>1</v>
      </c>
      <c r="X269" s="1186"/>
      <c r="Y269" s="1186"/>
      <c r="Z269" s="1186"/>
      <c r="AA269" s="1186"/>
      <c r="AB269" s="1186">
        <v>1</v>
      </c>
      <c r="AC269" s="1186"/>
      <c r="AD269" s="1186"/>
      <c r="AE269" s="1186"/>
      <c r="AF269" s="1186"/>
      <c r="AG269" s="1186"/>
    </row>
    <row r="270" spans="1:33" x14ac:dyDescent="0.2">
      <c r="A270" s="1186" t="s">
        <v>31</v>
      </c>
      <c r="B270" s="1186" t="s">
        <v>311</v>
      </c>
      <c r="C270" s="1186">
        <v>101</v>
      </c>
      <c r="D270" s="1186">
        <v>40</v>
      </c>
      <c r="E270" s="1186">
        <v>21</v>
      </c>
      <c r="F270" s="1186"/>
      <c r="G270" s="1186"/>
      <c r="H270" s="1186"/>
      <c r="I270" s="1186">
        <v>6</v>
      </c>
      <c r="J270" s="1186"/>
      <c r="K270" s="1186"/>
      <c r="L270" s="1186">
        <v>6</v>
      </c>
      <c r="M270" s="1186"/>
      <c r="N270" s="1186">
        <v>1</v>
      </c>
      <c r="O270" s="1186"/>
      <c r="P270" s="1186"/>
      <c r="Q270" s="1186">
        <v>5</v>
      </c>
      <c r="R270" s="1186">
        <v>3</v>
      </c>
      <c r="S270" s="1186">
        <v>1</v>
      </c>
      <c r="T270" s="1186">
        <v>5</v>
      </c>
      <c r="U270" s="1186">
        <v>3</v>
      </c>
      <c r="V270" s="1186">
        <v>1</v>
      </c>
      <c r="W270" s="1186">
        <v>3</v>
      </c>
      <c r="X270" s="1186"/>
      <c r="Y270" s="1186"/>
      <c r="Z270" s="1186"/>
      <c r="AA270" s="1186"/>
      <c r="AB270" s="1186">
        <v>4</v>
      </c>
      <c r="AC270" s="1186"/>
      <c r="AD270" s="1186"/>
      <c r="AE270" s="1186">
        <v>2</v>
      </c>
      <c r="AF270" s="1186"/>
      <c r="AG270" s="1186"/>
    </row>
    <row r="271" spans="1:33" x14ac:dyDescent="0.2">
      <c r="A271" s="1186" t="s">
        <v>32</v>
      </c>
      <c r="B271" s="1186" t="s">
        <v>311</v>
      </c>
      <c r="C271" s="1186">
        <v>114</v>
      </c>
      <c r="D271" s="1186">
        <v>49</v>
      </c>
      <c r="E271" s="1186">
        <v>7</v>
      </c>
      <c r="F271" s="1186">
        <v>5</v>
      </c>
      <c r="G271" s="1186"/>
      <c r="H271" s="1186"/>
      <c r="I271" s="1186">
        <v>13</v>
      </c>
      <c r="J271" s="1186">
        <v>2</v>
      </c>
      <c r="K271" s="1186"/>
      <c r="L271" s="1186">
        <v>7</v>
      </c>
      <c r="M271" s="1186">
        <v>3</v>
      </c>
      <c r="N271" s="1186">
        <v>5</v>
      </c>
      <c r="O271" s="1186"/>
      <c r="P271" s="1186">
        <v>2</v>
      </c>
      <c r="Q271" s="1186"/>
      <c r="R271" s="1186">
        <v>1</v>
      </c>
      <c r="S271" s="1186">
        <v>2</v>
      </c>
      <c r="T271" s="1186">
        <v>3</v>
      </c>
      <c r="U271" s="1186">
        <v>8</v>
      </c>
      <c r="V271" s="1186">
        <v>2</v>
      </c>
      <c r="W271" s="1186"/>
      <c r="X271" s="1186">
        <v>2</v>
      </c>
      <c r="Y271" s="1186"/>
      <c r="Z271" s="1186"/>
      <c r="AA271" s="1186"/>
      <c r="AB271" s="1186">
        <v>2</v>
      </c>
      <c r="AC271" s="1186"/>
      <c r="AD271" s="1186"/>
      <c r="AE271" s="1186"/>
      <c r="AF271" s="1186">
        <v>1</v>
      </c>
      <c r="AG271" s="1186"/>
    </row>
    <row r="272" spans="1:33" x14ac:dyDescent="0.2">
      <c r="A272" s="1186" t="s">
        <v>33</v>
      </c>
      <c r="B272" s="1186" t="s">
        <v>311</v>
      </c>
      <c r="C272" s="1186">
        <v>107</v>
      </c>
      <c r="D272" s="1186">
        <v>42</v>
      </c>
      <c r="E272" s="1186">
        <v>24</v>
      </c>
      <c r="F272" s="1186">
        <v>5</v>
      </c>
      <c r="G272" s="1186"/>
      <c r="H272" s="1186"/>
      <c r="I272" s="1186">
        <v>13</v>
      </c>
      <c r="J272" s="1186"/>
      <c r="K272" s="1186"/>
      <c r="L272" s="1186">
        <v>5</v>
      </c>
      <c r="M272" s="1186"/>
      <c r="N272" s="1186">
        <v>3</v>
      </c>
      <c r="O272" s="1186">
        <v>2</v>
      </c>
      <c r="P272" s="1186"/>
      <c r="Q272" s="1186"/>
      <c r="R272" s="1186">
        <v>2</v>
      </c>
      <c r="S272" s="1186">
        <v>2</v>
      </c>
      <c r="T272" s="1186">
        <v>3</v>
      </c>
      <c r="U272" s="1186">
        <v>3</v>
      </c>
      <c r="V272" s="1186">
        <v>1</v>
      </c>
      <c r="W272" s="1186"/>
      <c r="X272" s="1186"/>
      <c r="Y272" s="1186"/>
      <c r="Z272" s="1186"/>
      <c r="AA272" s="1186"/>
      <c r="AB272" s="1186">
        <v>2</v>
      </c>
      <c r="AC272" s="1186"/>
      <c r="AD272" s="1186"/>
      <c r="AE272" s="1186"/>
      <c r="AF272" s="1186"/>
      <c r="AG272" s="1186"/>
    </row>
    <row r="273" spans="1:33" x14ac:dyDescent="0.2">
      <c r="A273" s="1186" t="s">
        <v>34</v>
      </c>
      <c r="B273" s="1186" t="s">
        <v>311</v>
      </c>
      <c r="C273" s="1186">
        <v>218</v>
      </c>
      <c r="D273" s="1186">
        <v>56</v>
      </c>
      <c r="E273" s="1186">
        <v>46</v>
      </c>
      <c r="F273" s="1186">
        <v>7</v>
      </c>
      <c r="G273" s="1186"/>
      <c r="H273" s="1186"/>
      <c r="I273" s="1186">
        <v>6</v>
      </c>
      <c r="J273" s="1186">
        <v>3</v>
      </c>
      <c r="K273" s="1186">
        <v>4</v>
      </c>
      <c r="L273" s="1186">
        <v>15</v>
      </c>
      <c r="M273" s="1186">
        <v>3</v>
      </c>
      <c r="N273" s="1186">
        <v>13</v>
      </c>
      <c r="O273" s="1186"/>
      <c r="P273" s="1186">
        <v>1</v>
      </c>
      <c r="Q273" s="1186">
        <v>33</v>
      </c>
      <c r="R273" s="1186">
        <v>4</v>
      </c>
      <c r="S273" s="1186">
        <v>3</v>
      </c>
      <c r="T273" s="1186">
        <v>7</v>
      </c>
      <c r="U273" s="1186">
        <v>2</v>
      </c>
      <c r="V273" s="1186">
        <v>6</v>
      </c>
      <c r="W273" s="1186">
        <v>3</v>
      </c>
      <c r="X273" s="1186">
        <v>1</v>
      </c>
      <c r="Y273" s="1186"/>
      <c r="Z273" s="1186"/>
      <c r="AA273" s="1186"/>
      <c r="AB273" s="1186">
        <v>3</v>
      </c>
      <c r="AC273" s="1186"/>
      <c r="AD273" s="1186"/>
      <c r="AE273" s="1186">
        <v>2</v>
      </c>
      <c r="AF273" s="1186"/>
      <c r="AG273" s="1186"/>
    </row>
    <row r="274" spans="1:33" x14ac:dyDescent="0.2">
      <c r="A274" s="1186" t="s">
        <v>35</v>
      </c>
      <c r="B274" s="1186" t="s">
        <v>311</v>
      </c>
      <c r="C274" s="1186">
        <v>459</v>
      </c>
      <c r="D274" s="1186">
        <v>163</v>
      </c>
      <c r="E274" s="1186">
        <v>109</v>
      </c>
      <c r="F274" s="1186">
        <v>8</v>
      </c>
      <c r="G274" s="1186">
        <v>5</v>
      </c>
      <c r="H274" s="1186">
        <v>2</v>
      </c>
      <c r="I274" s="1186">
        <v>10</v>
      </c>
      <c r="J274" s="1186">
        <v>4</v>
      </c>
      <c r="K274" s="1186">
        <v>3</v>
      </c>
      <c r="L274" s="1186">
        <v>34</v>
      </c>
      <c r="M274" s="1186">
        <v>5</v>
      </c>
      <c r="N274" s="1186">
        <v>15</v>
      </c>
      <c r="O274" s="1186">
        <v>3</v>
      </c>
      <c r="P274" s="1186">
        <v>8</v>
      </c>
      <c r="Q274" s="1186">
        <v>1</v>
      </c>
      <c r="R274" s="1186">
        <v>8</v>
      </c>
      <c r="S274" s="1186">
        <v>8</v>
      </c>
      <c r="T274" s="1186">
        <v>9</v>
      </c>
      <c r="U274" s="1186">
        <v>17</v>
      </c>
      <c r="V274" s="1186">
        <v>8</v>
      </c>
      <c r="W274" s="1186">
        <v>16</v>
      </c>
      <c r="X274" s="1186">
        <v>4</v>
      </c>
      <c r="Y274" s="1186"/>
      <c r="Z274" s="1186"/>
      <c r="AA274" s="1186"/>
      <c r="AB274" s="1186">
        <v>12</v>
      </c>
      <c r="AC274" s="1186">
        <v>4</v>
      </c>
      <c r="AD274" s="1186"/>
      <c r="AE274" s="1186">
        <v>2</v>
      </c>
      <c r="AF274" s="1186">
        <v>1</v>
      </c>
      <c r="AG274" s="1186"/>
    </row>
    <row r="275" spans="1:33" x14ac:dyDescent="0.2">
      <c r="A275" s="1186" t="s">
        <v>36</v>
      </c>
      <c r="B275" s="1186" t="s">
        <v>311</v>
      </c>
      <c r="C275" s="1186">
        <v>1330</v>
      </c>
      <c r="D275" s="1186">
        <v>148</v>
      </c>
      <c r="E275" s="1186">
        <v>463</v>
      </c>
      <c r="F275" s="1186">
        <v>290</v>
      </c>
      <c r="G275" s="1186">
        <v>7</v>
      </c>
      <c r="H275" s="1186"/>
      <c r="I275" s="1186">
        <v>54</v>
      </c>
      <c r="J275" s="1186"/>
      <c r="K275" s="1186"/>
      <c r="L275" s="1186">
        <v>39</v>
      </c>
      <c r="M275" s="1186"/>
      <c r="N275" s="1186">
        <v>18</v>
      </c>
      <c r="O275" s="1186">
        <v>8</v>
      </c>
      <c r="P275" s="1186">
        <v>31</v>
      </c>
      <c r="Q275" s="1186">
        <v>18</v>
      </c>
      <c r="R275" s="1186">
        <v>17</v>
      </c>
      <c r="S275" s="1186">
        <v>20</v>
      </c>
      <c r="T275" s="1186">
        <v>40</v>
      </c>
      <c r="U275" s="1186">
        <v>28</v>
      </c>
      <c r="V275" s="1186">
        <v>28</v>
      </c>
      <c r="W275" s="1186">
        <v>42</v>
      </c>
      <c r="X275" s="1186">
        <v>3</v>
      </c>
      <c r="Y275" s="1186">
        <v>22</v>
      </c>
      <c r="Z275" s="1186"/>
      <c r="AA275" s="1186">
        <v>1</v>
      </c>
      <c r="AB275" s="1186">
        <v>31</v>
      </c>
      <c r="AC275" s="1186">
        <v>13</v>
      </c>
      <c r="AD275" s="1186">
        <v>4</v>
      </c>
      <c r="AE275" s="1186">
        <v>5</v>
      </c>
      <c r="AF275" s="1186"/>
      <c r="AG275" s="1186"/>
    </row>
    <row r="276" spans="1:33" x14ac:dyDescent="0.2">
      <c r="A276" s="1186" t="s">
        <v>37</v>
      </c>
      <c r="B276" s="1186" t="s">
        <v>311</v>
      </c>
      <c r="C276" s="1186">
        <v>238</v>
      </c>
      <c r="D276" s="1186">
        <v>108</v>
      </c>
      <c r="E276" s="1186">
        <v>28</v>
      </c>
      <c r="F276" s="1186"/>
      <c r="G276" s="1186">
        <v>1</v>
      </c>
      <c r="H276" s="1186"/>
      <c r="I276" s="1186">
        <v>5</v>
      </c>
      <c r="J276" s="1186">
        <v>3</v>
      </c>
      <c r="K276" s="1186">
        <v>5</v>
      </c>
      <c r="L276" s="1186">
        <v>17</v>
      </c>
      <c r="M276" s="1186">
        <v>1</v>
      </c>
      <c r="N276" s="1186">
        <v>9</v>
      </c>
      <c r="O276" s="1186">
        <v>1</v>
      </c>
      <c r="P276" s="1186">
        <v>2</v>
      </c>
      <c r="Q276" s="1186">
        <v>1</v>
      </c>
      <c r="R276" s="1186">
        <v>5</v>
      </c>
      <c r="S276" s="1186">
        <v>11</v>
      </c>
      <c r="T276" s="1186">
        <v>5</v>
      </c>
      <c r="U276" s="1186">
        <v>3</v>
      </c>
      <c r="V276" s="1186">
        <v>8</v>
      </c>
      <c r="W276" s="1186">
        <v>12</v>
      </c>
      <c r="X276" s="1186">
        <v>5</v>
      </c>
      <c r="Y276" s="1186">
        <v>1</v>
      </c>
      <c r="Z276" s="1186">
        <v>4</v>
      </c>
      <c r="AA276" s="1186"/>
      <c r="AB276" s="1186">
        <v>2</v>
      </c>
      <c r="AC276" s="1186"/>
      <c r="AD276" s="1186"/>
      <c r="AE276" s="1186"/>
      <c r="AF276" s="1186"/>
      <c r="AG276" s="1186">
        <v>1</v>
      </c>
    </row>
    <row r="277" spans="1:33" x14ac:dyDescent="0.2">
      <c r="A277" s="1186" t="s">
        <v>38</v>
      </c>
      <c r="B277" s="1186" t="s">
        <v>311</v>
      </c>
      <c r="C277" s="1186">
        <v>136</v>
      </c>
      <c r="D277" s="1186">
        <v>22</v>
      </c>
      <c r="E277" s="1186">
        <v>36</v>
      </c>
      <c r="F277" s="1186">
        <v>32</v>
      </c>
      <c r="G277" s="1186"/>
      <c r="H277" s="1186"/>
      <c r="I277" s="1186">
        <v>12</v>
      </c>
      <c r="J277" s="1186">
        <v>1</v>
      </c>
      <c r="K277" s="1186"/>
      <c r="L277" s="1186">
        <v>5</v>
      </c>
      <c r="M277" s="1186">
        <v>2</v>
      </c>
      <c r="N277" s="1186">
        <v>3</v>
      </c>
      <c r="O277" s="1186"/>
      <c r="P277" s="1186"/>
      <c r="Q277" s="1186">
        <v>1</v>
      </c>
      <c r="R277" s="1186">
        <v>4</v>
      </c>
      <c r="S277" s="1186">
        <v>3</v>
      </c>
      <c r="T277" s="1186">
        <v>6</v>
      </c>
      <c r="U277" s="1186">
        <v>1</v>
      </c>
      <c r="V277" s="1186">
        <v>1</v>
      </c>
      <c r="W277" s="1186">
        <v>4</v>
      </c>
      <c r="X277" s="1186">
        <v>1</v>
      </c>
      <c r="Y277" s="1186">
        <v>1</v>
      </c>
      <c r="Z277" s="1186"/>
      <c r="AA277" s="1186"/>
      <c r="AB277" s="1186">
        <v>1</v>
      </c>
      <c r="AC277" s="1186"/>
      <c r="AD277" s="1186"/>
      <c r="AE277" s="1186"/>
      <c r="AF277" s="1186"/>
      <c r="AG277" s="1186"/>
    </row>
    <row r="278" spans="1:33" x14ac:dyDescent="0.2">
      <c r="A278" s="1186" t="s">
        <v>39</v>
      </c>
      <c r="B278" s="1186" t="s">
        <v>311</v>
      </c>
      <c r="C278" s="1186">
        <v>107</v>
      </c>
      <c r="D278" s="1186">
        <v>42</v>
      </c>
      <c r="E278" s="1186">
        <v>16</v>
      </c>
      <c r="F278" s="1186">
        <v>5</v>
      </c>
      <c r="G278" s="1186"/>
      <c r="H278" s="1186"/>
      <c r="I278" s="1186">
        <v>6</v>
      </c>
      <c r="J278" s="1186"/>
      <c r="K278" s="1186">
        <v>1</v>
      </c>
      <c r="L278" s="1186">
        <v>6</v>
      </c>
      <c r="M278" s="1186">
        <v>2</v>
      </c>
      <c r="N278" s="1186">
        <v>1</v>
      </c>
      <c r="O278" s="1186"/>
      <c r="P278" s="1186">
        <v>1</v>
      </c>
      <c r="Q278" s="1186"/>
      <c r="R278" s="1186">
        <v>1</v>
      </c>
      <c r="S278" s="1186">
        <v>3</v>
      </c>
      <c r="T278" s="1186">
        <v>2</v>
      </c>
      <c r="U278" s="1186">
        <v>3</v>
      </c>
      <c r="V278" s="1186">
        <v>1</v>
      </c>
      <c r="W278" s="1186">
        <v>5</v>
      </c>
      <c r="X278" s="1186">
        <v>1</v>
      </c>
      <c r="Y278" s="1186">
        <v>4</v>
      </c>
      <c r="Z278" s="1186"/>
      <c r="AA278" s="1186"/>
      <c r="AB278" s="1186">
        <v>7</v>
      </c>
      <c r="AC278" s="1186"/>
      <c r="AD278" s="1186"/>
      <c r="AE278" s="1186"/>
      <c r="AF278" s="1186"/>
      <c r="AG278" s="1186"/>
    </row>
    <row r="279" spans="1:33" x14ac:dyDescent="0.2">
      <c r="A279" s="1186" t="s">
        <v>40</v>
      </c>
      <c r="B279" s="1186" t="s">
        <v>311</v>
      </c>
      <c r="C279" s="1186">
        <v>75</v>
      </c>
      <c r="D279" s="1186">
        <v>26</v>
      </c>
      <c r="E279" s="1186">
        <v>6</v>
      </c>
      <c r="F279" s="1186">
        <v>1</v>
      </c>
      <c r="G279" s="1186"/>
      <c r="H279" s="1186"/>
      <c r="I279" s="1186">
        <v>6</v>
      </c>
      <c r="J279" s="1186"/>
      <c r="K279" s="1186"/>
      <c r="L279" s="1186">
        <v>10</v>
      </c>
      <c r="M279" s="1186">
        <v>4</v>
      </c>
      <c r="N279" s="1186">
        <v>4</v>
      </c>
      <c r="O279" s="1186"/>
      <c r="P279" s="1186">
        <v>1</v>
      </c>
      <c r="Q279" s="1186"/>
      <c r="R279" s="1186">
        <v>1</v>
      </c>
      <c r="S279" s="1186">
        <v>6</v>
      </c>
      <c r="T279" s="1186">
        <v>3</v>
      </c>
      <c r="U279" s="1186">
        <v>1</v>
      </c>
      <c r="V279" s="1186">
        <v>1</v>
      </c>
      <c r="W279" s="1186">
        <v>4</v>
      </c>
      <c r="X279" s="1186"/>
      <c r="Y279" s="1186"/>
      <c r="Z279" s="1186"/>
      <c r="AA279" s="1186"/>
      <c r="AB279" s="1186"/>
      <c r="AC279" s="1186"/>
      <c r="AD279" s="1186"/>
      <c r="AE279" s="1186">
        <v>1</v>
      </c>
      <c r="AF279" s="1186"/>
      <c r="AG279" s="1186"/>
    </row>
    <row r="280" spans="1:33" x14ac:dyDescent="0.2">
      <c r="A280" s="1186" t="s">
        <v>295</v>
      </c>
      <c r="B280" s="1186" t="s">
        <v>311</v>
      </c>
      <c r="C280" s="1186">
        <v>23</v>
      </c>
      <c r="D280" s="1186">
        <v>12</v>
      </c>
      <c r="E280" s="1186">
        <v>3</v>
      </c>
      <c r="F280" s="1186"/>
      <c r="G280" s="1186"/>
      <c r="H280" s="1186"/>
      <c r="I280" s="1186"/>
      <c r="J280" s="1186"/>
      <c r="K280" s="1186"/>
      <c r="L280" s="1186"/>
      <c r="M280" s="1186"/>
      <c r="N280" s="1186">
        <v>3</v>
      </c>
      <c r="O280" s="1186"/>
      <c r="P280" s="1186"/>
      <c r="Q280" s="1186"/>
      <c r="R280" s="1186"/>
      <c r="S280" s="1186">
        <v>3</v>
      </c>
      <c r="T280" s="1186"/>
      <c r="U280" s="1186">
        <v>1</v>
      </c>
      <c r="V280" s="1186"/>
      <c r="W280" s="1186">
        <v>1</v>
      </c>
      <c r="X280" s="1186"/>
      <c r="Y280" s="1186"/>
      <c r="Z280" s="1186"/>
      <c r="AA280" s="1186"/>
      <c r="AB280" s="1186"/>
      <c r="AC280" s="1186"/>
      <c r="AD280" s="1186"/>
      <c r="AE280" s="1186"/>
      <c r="AF280" s="1186"/>
      <c r="AG280" s="1186"/>
    </row>
    <row r="281" spans="1:33" x14ac:dyDescent="0.2">
      <c r="A281" s="1186" t="s">
        <v>41</v>
      </c>
      <c r="B281" s="1186" t="s">
        <v>311</v>
      </c>
      <c r="C281" s="1186">
        <v>214</v>
      </c>
      <c r="D281" s="1186">
        <v>79</v>
      </c>
      <c r="E281" s="1186">
        <v>59</v>
      </c>
      <c r="F281" s="1186">
        <v>6</v>
      </c>
      <c r="G281" s="1186"/>
      <c r="H281" s="1186"/>
      <c r="I281" s="1186">
        <v>17</v>
      </c>
      <c r="J281" s="1186">
        <v>1</v>
      </c>
      <c r="K281" s="1186"/>
      <c r="L281" s="1186">
        <v>10</v>
      </c>
      <c r="M281" s="1186"/>
      <c r="N281" s="1186">
        <v>6</v>
      </c>
      <c r="O281" s="1186"/>
      <c r="P281" s="1186">
        <v>1</v>
      </c>
      <c r="Q281" s="1186"/>
      <c r="R281" s="1186">
        <v>2</v>
      </c>
      <c r="S281" s="1186">
        <v>1</v>
      </c>
      <c r="T281" s="1186">
        <v>5</v>
      </c>
      <c r="U281" s="1186">
        <v>4</v>
      </c>
      <c r="V281" s="1186">
        <v>2</v>
      </c>
      <c r="W281" s="1186">
        <v>2</v>
      </c>
      <c r="X281" s="1186">
        <v>2</v>
      </c>
      <c r="Y281" s="1186">
        <v>5</v>
      </c>
      <c r="Z281" s="1186"/>
      <c r="AA281" s="1186">
        <v>2</v>
      </c>
      <c r="AB281" s="1186">
        <v>6</v>
      </c>
      <c r="AC281" s="1186"/>
      <c r="AD281" s="1186"/>
      <c r="AE281" s="1186">
        <v>4</v>
      </c>
      <c r="AF281" s="1186"/>
      <c r="AG281" s="1186"/>
    </row>
    <row r="282" spans="1:33" x14ac:dyDescent="0.2">
      <c r="A282" s="1186" t="s">
        <v>42</v>
      </c>
      <c r="B282" s="1186" t="s">
        <v>311</v>
      </c>
      <c r="C282" s="1186">
        <v>434</v>
      </c>
      <c r="D282" s="1186">
        <v>112</v>
      </c>
      <c r="E282" s="1186">
        <v>165</v>
      </c>
      <c r="F282" s="1186">
        <v>12</v>
      </c>
      <c r="G282" s="1186"/>
      <c r="H282" s="1186"/>
      <c r="I282" s="1186">
        <v>16</v>
      </c>
      <c r="J282" s="1186">
        <v>2</v>
      </c>
      <c r="K282" s="1186"/>
      <c r="L282" s="1186">
        <v>33</v>
      </c>
      <c r="M282" s="1186">
        <v>2</v>
      </c>
      <c r="N282" s="1186">
        <v>20</v>
      </c>
      <c r="O282" s="1186">
        <v>4</v>
      </c>
      <c r="P282" s="1186">
        <v>10</v>
      </c>
      <c r="Q282" s="1186">
        <v>7</v>
      </c>
      <c r="R282" s="1186">
        <v>9</v>
      </c>
      <c r="S282" s="1186">
        <v>7</v>
      </c>
      <c r="T282" s="1186">
        <v>10</v>
      </c>
      <c r="U282" s="1186">
        <v>3</v>
      </c>
      <c r="V282" s="1186">
        <v>5</v>
      </c>
      <c r="W282" s="1186">
        <v>4</v>
      </c>
      <c r="X282" s="1186">
        <v>2</v>
      </c>
      <c r="Y282" s="1186">
        <v>6</v>
      </c>
      <c r="Z282" s="1186"/>
      <c r="AA282" s="1186"/>
      <c r="AB282" s="1186">
        <v>3</v>
      </c>
      <c r="AC282" s="1186"/>
      <c r="AD282" s="1186"/>
      <c r="AE282" s="1186"/>
      <c r="AF282" s="1186"/>
      <c r="AG282" s="1186">
        <v>2</v>
      </c>
    </row>
    <row r="283" spans="1:33" x14ac:dyDescent="0.2">
      <c r="A283" s="1186" t="s">
        <v>43</v>
      </c>
      <c r="B283" s="1186" t="s">
        <v>311</v>
      </c>
      <c r="C283" s="1186">
        <v>8</v>
      </c>
      <c r="D283" s="1186">
        <v>5</v>
      </c>
      <c r="E283" s="1186">
        <v>1</v>
      </c>
      <c r="F283" s="1186"/>
      <c r="G283" s="1186"/>
      <c r="H283" s="1186"/>
      <c r="I283" s="1186"/>
      <c r="J283" s="1186"/>
      <c r="K283" s="1186"/>
      <c r="L283" s="1186"/>
      <c r="M283" s="1186"/>
      <c r="N283" s="1186">
        <v>2</v>
      </c>
      <c r="O283" s="1186"/>
      <c r="P283" s="1186"/>
      <c r="Q283" s="1186"/>
      <c r="R283" s="1186"/>
      <c r="S283" s="1186"/>
      <c r="T283" s="1186"/>
      <c r="U283" s="1186"/>
      <c r="V283" s="1186"/>
      <c r="W283" s="1186"/>
      <c r="X283" s="1186"/>
      <c r="Y283" s="1186"/>
      <c r="Z283" s="1186"/>
      <c r="AA283" s="1186"/>
      <c r="AB283" s="1186"/>
      <c r="AC283" s="1186"/>
      <c r="AD283" s="1186"/>
      <c r="AE283" s="1186"/>
      <c r="AF283" s="1186"/>
      <c r="AG283" s="1186"/>
    </row>
    <row r="284" spans="1:33" x14ac:dyDescent="0.2">
      <c r="A284" s="1186" t="s">
        <v>44</v>
      </c>
      <c r="B284" s="1186" t="s">
        <v>311</v>
      </c>
      <c r="C284" s="1186">
        <v>173</v>
      </c>
      <c r="D284" s="1186">
        <v>60</v>
      </c>
      <c r="E284" s="1186">
        <v>24</v>
      </c>
      <c r="F284" s="1186">
        <v>12</v>
      </c>
      <c r="G284" s="1186">
        <v>1</v>
      </c>
      <c r="H284" s="1186"/>
      <c r="I284" s="1186">
        <v>16</v>
      </c>
      <c r="J284" s="1186">
        <v>2</v>
      </c>
      <c r="K284" s="1186">
        <v>1</v>
      </c>
      <c r="L284" s="1186">
        <v>5</v>
      </c>
      <c r="M284" s="1186">
        <v>7</v>
      </c>
      <c r="N284" s="1186">
        <v>5</v>
      </c>
      <c r="O284" s="1186">
        <v>2</v>
      </c>
      <c r="P284" s="1186">
        <v>1</v>
      </c>
      <c r="Q284" s="1186">
        <v>9</v>
      </c>
      <c r="R284" s="1186">
        <v>3</v>
      </c>
      <c r="S284" s="1186">
        <v>3</v>
      </c>
      <c r="T284" s="1186">
        <v>8</v>
      </c>
      <c r="U284" s="1186">
        <v>2</v>
      </c>
      <c r="V284" s="1186">
        <v>1</v>
      </c>
      <c r="W284" s="1186">
        <v>4</v>
      </c>
      <c r="X284" s="1186">
        <v>1</v>
      </c>
      <c r="Y284" s="1186">
        <v>1</v>
      </c>
      <c r="Z284" s="1186">
        <v>2</v>
      </c>
      <c r="AA284" s="1186"/>
      <c r="AB284" s="1186">
        <v>2</v>
      </c>
      <c r="AC284" s="1186"/>
      <c r="AD284" s="1186"/>
      <c r="AE284" s="1186">
        <v>1</v>
      </c>
      <c r="AF284" s="1186"/>
      <c r="AG284" s="1186"/>
    </row>
    <row r="285" spans="1:33" x14ac:dyDescent="0.2">
      <c r="A285" s="1186" t="s">
        <v>45</v>
      </c>
      <c r="B285" s="1186" t="s">
        <v>311</v>
      </c>
      <c r="C285" s="1186">
        <v>293</v>
      </c>
      <c r="D285" s="1186">
        <v>65</v>
      </c>
      <c r="E285" s="1186">
        <v>90</v>
      </c>
      <c r="F285" s="1186">
        <v>48</v>
      </c>
      <c r="G285" s="1186">
        <v>1</v>
      </c>
      <c r="H285" s="1186"/>
      <c r="I285" s="1186">
        <v>19</v>
      </c>
      <c r="J285" s="1186"/>
      <c r="K285" s="1186"/>
      <c r="L285" s="1186">
        <v>12</v>
      </c>
      <c r="M285" s="1186"/>
      <c r="N285" s="1186">
        <v>6</v>
      </c>
      <c r="O285" s="1186">
        <v>1</v>
      </c>
      <c r="P285" s="1186">
        <v>2</v>
      </c>
      <c r="Q285" s="1186">
        <v>1</v>
      </c>
      <c r="R285" s="1186">
        <v>7</v>
      </c>
      <c r="S285" s="1186">
        <v>3</v>
      </c>
      <c r="T285" s="1186">
        <v>6</v>
      </c>
      <c r="U285" s="1186">
        <v>9</v>
      </c>
      <c r="V285" s="1186">
        <v>9</v>
      </c>
      <c r="W285" s="1186">
        <v>3</v>
      </c>
      <c r="X285" s="1186">
        <v>2</v>
      </c>
      <c r="Y285" s="1186">
        <v>1</v>
      </c>
      <c r="Z285" s="1186"/>
      <c r="AA285" s="1186"/>
      <c r="AB285" s="1186">
        <v>5</v>
      </c>
      <c r="AC285" s="1186">
        <v>2</v>
      </c>
      <c r="AD285" s="1186"/>
      <c r="AE285" s="1186">
        <v>1</v>
      </c>
      <c r="AF285" s="1186"/>
      <c r="AG285" s="1186"/>
    </row>
    <row r="286" spans="1:33" x14ac:dyDescent="0.2">
      <c r="A286" s="1186" t="s">
        <v>46</v>
      </c>
      <c r="B286" s="1186" t="s">
        <v>311</v>
      </c>
      <c r="C286" s="1186">
        <v>135</v>
      </c>
      <c r="D286" s="1186">
        <v>58</v>
      </c>
      <c r="E286" s="1186">
        <v>25</v>
      </c>
      <c r="F286" s="1186">
        <v>3</v>
      </c>
      <c r="G286" s="1186">
        <v>1</v>
      </c>
      <c r="H286" s="1186"/>
      <c r="I286" s="1186">
        <v>11</v>
      </c>
      <c r="J286" s="1186">
        <v>2</v>
      </c>
      <c r="K286" s="1186"/>
      <c r="L286" s="1186">
        <v>4</v>
      </c>
      <c r="M286" s="1186">
        <v>4</v>
      </c>
      <c r="N286" s="1186">
        <v>6</v>
      </c>
      <c r="O286" s="1186"/>
      <c r="P286" s="1186">
        <v>1</v>
      </c>
      <c r="Q286" s="1186"/>
      <c r="R286" s="1186">
        <v>3</v>
      </c>
      <c r="S286" s="1186"/>
      <c r="T286" s="1186">
        <v>3</v>
      </c>
      <c r="U286" s="1186">
        <v>5</v>
      </c>
      <c r="V286" s="1186"/>
      <c r="W286" s="1186">
        <v>1</v>
      </c>
      <c r="X286" s="1186">
        <v>1</v>
      </c>
      <c r="Y286" s="1186"/>
      <c r="Z286" s="1186"/>
      <c r="AA286" s="1186"/>
      <c r="AB286" s="1186">
        <v>4</v>
      </c>
      <c r="AC286" s="1186"/>
      <c r="AD286" s="1186">
        <v>1</v>
      </c>
      <c r="AE286" s="1186">
        <v>2</v>
      </c>
      <c r="AF286" s="1186"/>
      <c r="AG286" s="1186"/>
    </row>
    <row r="287" spans="1:33" x14ac:dyDescent="0.2">
      <c r="A287" s="1186" t="s">
        <v>47</v>
      </c>
      <c r="B287" s="1186" t="s">
        <v>311</v>
      </c>
      <c r="C287" s="1186">
        <v>20</v>
      </c>
      <c r="D287" s="1186">
        <v>12</v>
      </c>
      <c r="E287" s="1186">
        <v>1</v>
      </c>
      <c r="F287" s="1186"/>
      <c r="G287" s="1186"/>
      <c r="H287" s="1186"/>
      <c r="I287" s="1186"/>
      <c r="J287" s="1186"/>
      <c r="K287" s="1186"/>
      <c r="L287" s="1186">
        <v>1</v>
      </c>
      <c r="M287" s="1186"/>
      <c r="N287" s="1186"/>
      <c r="O287" s="1186"/>
      <c r="P287" s="1186"/>
      <c r="Q287" s="1186">
        <v>1</v>
      </c>
      <c r="R287" s="1186">
        <v>1</v>
      </c>
      <c r="S287" s="1186">
        <v>1</v>
      </c>
      <c r="T287" s="1186"/>
      <c r="U287" s="1186">
        <v>2</v>
      </c>
      <c r="V287" s="1186"/>
      <c r="W287" s="1186"/>
      <c r="X287" s="1186"/>
      <c r="Y287" s="1186"/>
      <c r="Z287" s="1186"/>
      <c r="AA287" s="1186"/>
      <c r="AB287" s="1186"/>
      <c r="AC287" s="1186">
        <v>1</v>
      </c>
      <c r="AD287" s="1186"/>
      <c r="AE287" s="1186"/>
      <c r="AF287" s="1186"/>
      <c r="AG287" s="1186"/>
    </row>
    <row r="288" spans="1:33" x14ac:dyDescent="0.2">
      <c r="A288" s="1186" t="s">
        <v>48</v>
      </c>
      <c r="B288" s="1186" t="s">
        <v>311</v>
      </c>
      <c r="C288" s="1186">
        <v>150</v>
      </c>
      <c r="D288" s="1186">
        <v>50</v>
      </c>
      <c r="E288" s="1186">
        <v>44</v>
      </c>
      <c r="F288" s="1186">
        <v>5</v>
      </c>
      <c r="G288" s="1186"/>
      <c r="H288" s="1186"/>
      <c r="I288" s="1186">
        <v>6</v>
      </c>
      <c r="J288" s="1186">
        <v>1</v>
      </c>
      <c r="K288" s="1186"/>
      <c r="L288" s="1186">
        <v>11</v>
      </c>
      <c r="M288" s="1186"/>
      <c r="N288" s="1186">
        <v>7</v>
      </c>
      <c r="O288" s="1186">
        <v>2</v>
      </c>
      <c r="P288" s="1186">
        <v>2</v>
      </c>
      <c r="Q288" s="1186"/>
      <c r="R288" s="1186">
        <v>3</v>
      </c>
      <c r="S288" s="1186">
        <v>2</v>
      </c>
      <c r="T288" s="1186">
        <v>8</v>
      </c>
      <c r="U288" s="1186">
        <v>3</v>
      </c>
      <c r="V288" s="1186">
        <v>1</v>
      </c>
      <c r="W288" s="1186">
        <v>2</v>
      </c>
      <c r="X288" s="1186"/>
      <c r="Y288" s="1186"/>
      <c r="Z288" s="1186"/>
      <c r="AA288" s="1186"/>
      <c r="AB288" s="1186">
        <v>2</v>
      </c>
      <c r="AC288" s="1186"/>
      <c r="AD288" s="1186"/>
      <c r="AE288" s="1186">
        <v>1</v>
      </c>
      <c r="AF288" s="1186"/>
      <c r="AG288" s="1186"/>
    </row>
    <row r="289" spans="1:33" x14ac:dyDescent="0.2">
      <c r="A289" s="1186" t="s">
        <v>49</v>
      </c>
      <c r="B289" s="1186" t="s">
        <v>311</v>
      </c>
      <c r="C289" s="1186">
        <v>393</v>
      </c>
      <c r="D289" s="1186">
        <v>126</v>
      </c>
      <c r="E289" s="1186">
        <v>123</v>
      </c>
      <c r="F289" s="1186">
        <v>14</v>
      </c>
      <c r="G289" s="1186">
        <v>3</v>
      </c>
      <c r="H289" s="1186"/>
      <c r="I289" s="1186">
        <v>12</v>
      </c>
      <c r="J289" s="1186"/>
      <c r="K289" s="1186"/>
      <c r="L289" s="1186">
        <v>32</v>
      </c>
      <c r="M289" s="1186">
        <v>2</v>
      </c>
      <c r="N289" s="1186">
        <v>18</v>
      </c>
      <c r="O289" s="1186">
        <v>2</v>
      </c>
      <c r="P289" s="1186">
        <v>6</v>
      </c>
      <c r="Q289" s="1186"/>
      <c r="R289" s="1186">
        <v>2</v>
      </c>
      <c r="S289" s="1186">
        <v>1</v>
      </c>
      <c r="T289" s="1186">
        <v>18</v>
      </c>
      <c r="U289" s="1186">
        <v>6</v>
      </c>
      <c r="V289" s="1186">
        <v>2</v>
      </c>
      <c r="W289" s="1186">
        <v>14</v>
      </c>
      <c r="X289" s="1186"/>
      <c r="Y289" s="1186">
        <v>1</v>
      </c>
      <c r="Z289" s="1186"/>
      <c r="AA289" s="1186">
        <v>1</v>
      </c>
      <c r="AB289" s="1186">
        <v>9</v>
      </c>
      <c r="AC289" s="1186"/>
      <c r="AD289" s="1186"/>
      <c r="AE289" s="1186">
        <v>1</v>
      </c>
      <c r="AF289" s="1186"/>
      <c r="AG289" s="1186"/>
    </row>
    <row r="290" spans="1:33" x14ac:dyDescent="0.2">
      <c r="A290" s="1186" t="s">
        <v>50</v>
      </c>
      <c r="B290" s="1186" t="s">
        <v>311</v>
      </c>
      <c r="C290" s="1186">
        <v>137</v>
      </c>
      <c r="D290" s="1186">
        <v>49</v>
      </c>
      <c r="E290" s="1186">
        <v>32</v>
      </c>
      <c r="F290" s="1186">
        <v>6</v>
      </c>
      <c r="G290" s="1186"/>
      <c r="H290" s="1186"/>
      <c r="I290" s="1186">
        <v>2</v>
      </c>
      <c r="J290" s="1186"/>
      <c r="K290" s="1186"/>
      <c r="L290" s="1186">
        <v>7</v>
      </c>
      <c r="M290" s="1186">
        <v>2</v>
      </c>
      <c r="N290" s="1186">
        <v>3</v>
      </c>
      <c r="O290" s="1186"/>
      <c r="P290" s="1186"/>
      <c r="Q290" s="1186">
        <v>10</v>
      </c>
      <c r="R290" s="1186">
        <v>4</v>
      </c>
      <c r="S290" s="1186">
        <v>5</v>
      </c>
      <c r="T290" s="1186">
        <v>2</v>
      </c>
      <c r="U290" s="1186">
        <v>2</v>
      </c>
      <c r="V290" s="1186"/>
      <c r="W290" s="1186">
        <v>4</v>
      </c>
      <c r="X290" s="1186">
        <v>1</v>
      </c>
      <c r="Y290" s="1186"/>
      <c r="Z290" s="1186"/>
      <c r="AA290" s="1186"/>
      <c r="AB290" s="1186">
        <v>3</v>
      </c>
      <c r="AC290" s="1186">
        <v>2</v>
      </c>
      <c r="AD290" s="1186">
        <v>2</v>
      </c>
      <c r="AE290" s="1186">
        <v>1</v>
      </c>
      <c r="AF290" s="1186"/>
      <c r="AG290" s="1186"/>
    </row>
    <row r="291" spans="1:33" x14ac:dyDescent="0.2">
      <c r="A291" s="1186" t="s">
        <v>51</v>
      </c>
      <c r="B291" s="1186" t="s">
        <v>311</v>
      </c>
      <c r="C291" s="1186">
        <v>205</v>
      </c>
      <c r="D291" s="1186">
        <v>39</v>
      </c>
      <c r="E291" s="1186">
        <v>92</v>
      </c>
      <c r="F291" s="1186">
        <v>11</v>
      </c>
      <c r="G291" s="1186"/>
      <c r="H291" s="1186"/>
      <c r="I291" s="1186">
        <v>16</v>
      </c>
      <c r="J291" s="1186"/>
      <c r="K291" s="1186"/>
      <c r="L291" s="1186">
        <v>4</v>
      </c>
      <c r="M291" s="1186"/>
      <c r="N291" s="1186">
        <v>6</v>
      </c>
      <c r="O291" s="1186"/>
      <c r="P291" s="1186">
        <v>2</v>
      </c>
      <c r="Q291" s="1186">
        <v>1</v>
      </c>
      <c r="R291" s="1186">
        <v>3</v>
      </c>
      <c r="S291" s="1186">
        <v>6</v>
      </c>
      <c r="T291" s="1186">
        <v>5</v>
      </c>
      <c r="U291" s="1186">
        <v>2</v>
      </c>
      <c r="V291" s="1186"/>
      <c r="W291" s="1186">
        <v>2</v>
      </c>
      <c r="X291" s="1186">
        <v>1</v>
      </c>
      <c r="Y291" s="1186"/>
      <c r="Z291" s="1186"/>
      <c r="AA291" s="1186"/>
      <c r="AB291" s="1186">
        <v>7</v>
      </c>
      <c r="AC291" s="1186"/>
      <c r="AD291" s="1186"/>
      <c r="AE291" s="1186">
        <v>8</v>
      </c>
      <c r="AF291" s="1186"/>
      <c r="AG291" s="1186"/>
    </row>
    <row r="292" spans="1:33" x14ac:dyDescent="0.2">
      <c r="A292" s="1186" t="s">
        <v>52</v>
      </c>
      <c r="B292" s="1186" t="s">
        <v>311</v>
      </c>
      <c r="C292" s="1186">
        <v>244</v>
      </c>
      <c r="D292" s="1186">
        <v>110</v>
      </c>
      <c r="E292" s="1186">
        <v>43</v>
      </c>
      <c r="F292" s="1186"/>
      <c r="G292" s="1186"/>
      <c r="H292" s="1186"/>
      <c r="I292" s="1186">
        <v>15</v>
      </c>
      <c r="J292" s="1186">
        <v>1</v>
      </c>
      <c r="K292" s="1186"/>
      <c r="L292" s="1186">
        <v>10</v>
      </c>
      <c r="M292" s="1186">
        <v>2</v>
      </c>
      <c r="N292" s="1186">
        <v>15</v>
      </c>
      <c r="O292" s="1186">
        <v>1</v>
      </c>
      <c r="P292" s="1186">
        <v>1</v>
      </c>
      <c r="Q292" s="1186">
        <v>10</v>
      </c>
      <c r="R292" s="1186">
        <v>5</v>
      </c>
      <c r="S292" s="1186">
        <v>3</v>
      </c>
      <c r="T292" s="1186">
        <v>6</v>
      </c>
      <c r="U292" s="1186">
        <v>7</v>
      </c>
      <c r="V292" s="1186">
        <v>6</v>
      </c>
      <c r="W292" s="1186">
        <v>3</v>
      </c>
      <c r="X292" s="1186"/>
      <c r="Y292" s="1186"/>
      <c r="Z292" s="1186"/>
      <c r="AA292" s="1186"/>
      <c r="AB292" s="1186">
        <v>4</v>
      </c>
      <c r="AC292" s="1186">
        <v>1</v>
      </c>
      <c r="AD292" s="1186"/>
      <c r="AE292" s="1186">
        <v>1</v>
      </c>
      <c r="AF292" s="1186"/>
      <c r="AG292" s="1186"/>
    </row>
    <row r="293" spans="1:33" x14ac:dyDescent="0.2">
      <c r="A293" s="1186" t="s">
        <v>23</v>
      </c>
      <c r="B293" s="1186" t="s">
        <v>621</v>
      </c>
      <c r="C293" s="1186">
        <v>407</v>
      </c>
      <c r="D293" s="1186">
        <v>68</v>
      </c>
      <c r="E293" s="1186">
        <v>153</v>
      </c>
      <c r="F293" s="1186">
        <v>38</v>
      </c>
      <c r="G293" s="1186">
        <v>2</v>
      </c>
      <c r="H293" s="1186"/>
      <c r="I293" s="1186">
        <v>28</v>
      </c>
      <c r="J293" s="1186"/>
      <c r="K293" s="1186"/>
      <c r="L293" s="1186">
        <v>10</v>
      </c>
      <c r="M293" s="1186"/>
      <c r="N293" s="1186">
        <v>11</v>
      </c>
      <c r="O293" s="1186">
        <v>3</v>
      </c>
      <c r="P293" s="1186">
        <v>7</v>
      </c>
      <c r="Q293" s="1186"/>
      <c r="R293" s="1186">
        <v>6</v>
      </c>
      <c r="S293" s="1186">
        <v>9</v>
      </c>
      <c r="T293" s="1186">
        <v>11</v>
      </c>
      <c r="U293" s="1186">
        <v>9</v>
      </c>
      <c r="V293" s="1186">
        <v>15</v>
      </c>
      <c r="W293" s="1186">
        <v>3</v>
      </c>
      <c r="X293" s="1186">
        <v>3</v>
      </c>
      <c r="Y293" s="1186">
        <v>4</v>
      </c>
      <c r="Z293" s="1186"/>
      <c r="AA293" s="1186"/>
      <c r="AB293" s="1186">
        <v>11</v>
      </c>
      <c r="AC293" s="1186">
        <v>9</v>
      </c>
      <c r="AD293" s="1186">
        <v>3</v>
      </c>
      <c r="AE293" s="1186">
        <v>4</v>
      </c>
      <c r="AF293" s="1186"/>
      <c r="AG293" s="1186"/>
    </row>
    <row r="294" spans="1:33" x14ac:dyDescent="0.2">
      <c r="A294" s="1186" t="s">
        <v>24</v>
      </c>
      <c r="B294" s="1186" t="s">
        <v>621</v>
      </c>
      <c r="C294" s="1186">
        <v>276</v>
      </c>
      <c r="D294" s="1186">
        <v>86</v>
      </c>
      <c r="E294" s="1186">
        <v>17</v>
      </c>
      <c r="F294" s="1186">
        <v>3</v>
      </c>
      <c r="G294" s="1186"/>
      <c r="H294" s="1186"/>
      <c r="I294" s="1186">
        <v>58</v>
      </c>
      <c r="J294" s="1186"/>
      <c r="K294" s="1186">
        <v>6</v>
      </c>
      <c r="L294" s="1186">
        <v>19</v>
      </c>
      <c r="M294" s="1186">
        <v>15</v>
      </c>
      <c r="N294" s="1186">
        <v>13</v>
      </c>
      <c r="O294" s="1186">
        <v>1</v>
      </c>
      <c r="P294" s="1186">
        <v>2</v>
      </c>
      <c r="Q294" s="1186">
        <v>19</v>
      </c>
      <c r="R294" s="1186">
        <v>1</v>
      </c>
      <c r="S294" s="1186">
        <v>5</v>
      </c>
      <c r="T294" s="1186">
        <v>3</v>
      </c>
      <c r="U294" s="1186">
        <v>6</v>
      </c>
      <c r="V294" s="1186">
        <v>3</v>
      </c>
      <c r="W294" s="1186">
        <v>3</v>
      </c>
      <c r="X294" s="1186">
        <v>2</v>
      </c>
      <c r="Y294" s="1186"/>
      <c r="Z294" s="1186"/>
      <c r="AA294" s="1186"/>
      <c r="AB294" s="1186">
        <v>7</v>
      </c>
      <c r="AC294" s="1186"/>
      <c r="AD294" s="1186"/>
      <c r="AE294" s="1186">
        <v>6</v>
      </c>
      <c r="AF294" s="1186">
        <v>1</v>
      </c>
      <c r="AG294" s="1186"/>
    </row>
    <row r="295" spans="1:33" x14ac:dyDescent="0.2">
      <c r="A295" s="1186" t="s">
        <v>25</v>
      </c>
      <c r="B295" s="1186" t="s">
        <v>621</v>
      </c>
      <c r="C295" s="1186">
        <v>118</v>
      </c>
      <c r="D295" s="1186">
        <v>49</v>
      </c>
      <c r="E295" s="1186">
        <v>22</v>
      </c>
      <c r="F295" s="1186">
        <v>6</v>
      </c>
      <c r="G295" s="1186"/>
      <c r="H295" s="1186"/>
      <c r="I295" s="1186">
        <v>5</v>
      </c>
      <c r="J295" s="1186">
        <v>1</v>
      </c>
      <c r="K295" s="1186"/>
      <c r="L295" s="1186">
        <v>7</v>
      </c>
      <c r="M295" s="1186">
        <v>9</v>
      </c>
      <c r="N295" s="1186">
        <v>2</v>
      </c>
      <c r="O295" s="1186"/>
      <c r="P295" s="1186"/>
      <c r="Q295" s="1186">
        <v>1</v>
      </c>
      <c r="R295" s="1186"/>
      <c r="S295" s="1186">
        <v>3</v>
      </c>
      <c r="T295" s="1186">
        <v>3</v>
      </c>
      <c r="U295" s="1186">
        <v>2</v>
      </c>
      <c r="V295" s="1186">
        <v>2</v>
      </c>
      <c r="W295" s="1186">
        <v>2</v>
      </c>
      <c r="X295" s="1186"/>
      <c r="Y295" s="1186"/>
      <c r="Z295" s="1186">
        <v>1</v>
      </c>
      <c r="AA295" s="1186"/>
      <c r="AB295" s="1186">
        <v>1</v>
      </c>
      <c r="AC295" s="1186"/>
      <c r="AD295" s="1186"/>
      <c r="AE295" s="1186"/>
      <c r="AF295" s="1186"/>
      <c r="AG295" s="1186">
        <v>2</v>
      </c>
    </row>
    <row r="296" spans="1:33" x14ac:dyDescent="0.2">
      <c r="A296" s="1186" t="s">
        <v>26</v>
      </c>
      <c r="B296" s="1186" t="s">
        <v>621</v>
      </c>
      <c r="C296" s="1186">
        <v>131</v>
      </c>
      <c r="D296" s="1186">
        <v>42</v>
      </c>
      <c r="E296" s="1186">
        <v>34</v>
      </c>
      <c r="F296" s="1186">
        <v>7</v>
      </c>
      <c r="G296" s="1186"/>
      <c r="H296" s="1186"/>
      <c r="I296" s="1186">
        <v>8</v>
      </c>
      <c r="J296" s="1186"/>
      <c r="K296" s="1186"/>
      <c r="L296" s="1186">
        <v>5</v>
      </c>
      <c r="M296" s="1186">
        <v>1</v>
      </c>
      <c r="N296" s="1186">
        <v>10</v>
      </c>
      <c r="O296" s="1186">
        <v>1</v>
      </c>
      <c r="P296" s="1186">
        <v>1</v>
      </c>
      <c r="Q296" s="1186"/>
      <c r="R296" s="1186">
        <v>4</v>
      </c>
      <c r="S296" s="1186"/>
      <c r="T296" s="1186">
        <v>4</v>
      </c>
      <c r="U296" s="1186">
        <v>1</v>
      </c>
      <c r="V296" s="1186"/>
      <c r="W296" s="1186">
        <v>2</v>
      </c>
      <c r="X296" s="1186">
        <v>4</v>
      </c>
      <c r="Y296" s="1186">
        <v>1</v>
      </c>
      <c r="Z296" s="1186">
        <v>2</v>
      </c>
      <c r="AA296" s="1186">
        <v>2</v>
      </c>
      <c r="AB296" s="1186">
        <v>2</v>
      </c>
      <c r="AC296" s="1186"/>
      <c r="AD296" s="1186"/>
      <c r="AE296" s="1186"/>
      <c r="AF296" s="1186"/>
      <c r="AG296" s="1186"/>
    </row>
    <row r="297" spans="1:33" x14ac:dyDescent="0.2">
      <c r="A297" s="1186" t="s">
        <v>619</v>
      </c>
      <c r="B297" s="1186" t="s">
        <v>621</v>
      </c>
      <c r="C297" s="1186">
        <v>750</v>
      </c>
      <c r="D297" s="1186">
        <v>99</v>
      </c>
      <c r="E297" s="1186">
        <v>260</v>
      </c>
      <c r="F297" s="1186">
        <v>103</v>
      </c>
      <c r="G297" s="1186">
        <v>3</v>
      </c>
      <c r="H297" s="1186">
        <v>1</v>
      </c>
      <c r="I297" s="1186">
        <v>45</v>
      </c>
      <c r="J297" s="1186">
        <v>1</v>
      </c>
      <c r="K297" s="1186">
        <v>3</v>
      </c>
      <c r="L297" s="1186">
        <v>10</v>
      </c>
      <c r="M297" s="1186">
        <v>1</v>
      </c>
      <c r="N297" s="1186">
        <v>10</v>
      </c>
      <c r="O297" s="1186"/>
      <c r="P297" s="1186">
        <v>23</v>
      </c>
      <c r="Q297" s="1186">
        <v>11</v>
      </c>
      <c r="R297" s="1186">
        <v>11</v>
      </c>
      <c r="S297" s="1186">
        <v>42</v>
      </c>
      <c r="T297" s="1186">
        <v>22</v>
      </c>
      <c r="U297" s="1186">
        <v>13</v>
      </c>
      <c r="V297" s="1186">
        <v>19</v>
      </c>
      <c r="W297" s="1186">
        <v>16</v>
      </c>
      <c r="X297" s="1186">
        <v>13</v>
      </c>
      <c r="Y297" s="1186">
        <v>7</v>
      </c>
      <c r="Z297" s="1186">
        <v>1</v>
      </c>
      <c r="AA297" s="1186">
        <v>1</v>
      </c>
      <c r="AB297" s="1186">
        <v>7</v>
      </c>
      <c r="AC297" s="1186">
        <v>18</v>
      </c>
      <c r="AD297" s="1186"/>
      <c r="AE297" s="1186">
        <v>9</v>
      </c>
      <c r="AF297" s="1186">
        <v>1</v>
      </c>
      <c r="AG297" s="1186"/>
    </row>
    <row r="298" spans="1:33" x14ac:dyDescent="0.2">
      <c r="A298" s="1186" t="s">
        <v>27</v>
      </c>
      <c r="B298" s="1186" t="s">
        <v>621</v>
      </c>
      <c r="C298" s="1186">
        <v>63</v>
      </c>
      <c r="D298" s="1186">
        <v>25</v>
      </c>
      <c r="E298" s="1186">
        <v>14</v>
      </c>
      <c r="F298" s="1186">
        <v>3</v>
      </c>
      <c r="G298" s="1186"/>
      <c r="H298" s="1186"/>
      <c r="I298" s="1186">
        <v>3</v>
      </c>
      <c r="J298" s="1186">
        <v>1</v>
      </c>
      <c r="K298" s="1186"/>
      <c r="L298" s="1186">
        <v>2</v>
      </c>
      <c r="M298" s="1186">
        <v>1</v>
      </c>
      <c r="N298" s="1186">
        <v>3</v>
      </c>
      <c r="O298" s="1186"/>
      <c r="P298" s="1186"/>
      <c r="Q298" s="1186">
        <v>5</v>
      </c>
      <c r="R298" s="1186"/>
      <c r="S298" s="1186"/>
      <c r="T298" s="1186"/>
      <c r="U298" s="1186">
        <v>1</v>
      </c>
      <c r="V298" s="1186"/>
      <c r="W298" s="1186">
        <v>1</v>
      </c>
      <c r="X298" s="1186"/>
      <c r="Y298" s="1186">
        <v>1</v>
      </c>
      <c r="Z298" s="1186"/>
      <c r="AA298" s="1186"/>
      <c r="AB298" s="1186">
        <v>2</v>
      </c>
      <c r="AC298" s="1186"/>
      <c r="AD298" s="1186">
        <v>1</v>
      </c>
      <c r="AE298" s="1186"/>
      <c r="AF298" s="1186"/>
      <c r="AG298" s="1186"/>
    </row>
    <row r="299" spans="1:33" x14ac:dyDescent="0.2">
      <c r="A299" s="1186" t="s">
        <v>28</v>
      </c>
      <c r="B299" s="1186" t="s">
        <v>621</v>
      </c>
      <c r="C299" s="1186">
        <v>136</v>
      </c>
      <c r="D299" s="1186">
        <v>51</v>
      </c>
      <c r="E299" s="1186">
        <v>22</v>
      </c>
      <c r="F299" s="1186">
        <v>5</v>
      </c>
      <c r="G299" s="1186"/>
      <c r="H299" s="1186"/>
      <c r="I299" s="1186">
        <v>5</v>
      </c>
      <c r="J299" s="1186">
        <v>1</v>
      </c>
      <c r="K299" s="1186"/>
      <c r="L299" s="1186">
        <v>6</v>
      </c>
      <c r="M299" s="1186">
        <v>5</v>
      </c>
      <c r="N299" s="1186">
        <v>6</v>
      </c>
      <c r="O299" s="1186">
        <v>1</v>
      </c>
      <c r="P299" s="1186">
        <v>1</v>
      </c>
      <c r="Q299" s="1186"/>
      <c r="R299" s="1186">
        <v>2</v>
      </c>
      <c r="S299" s="1186">
        <v>3</v>
      </c>
      <c r="T299" s="1186">
        <v>7</v>
      </c>
      <c r="U299" s="1186">
        <v>7</v>
      </c>
      <c r="V299" s="1186"/>
      <c r="W299" s="1186">
        <v>4</v>
      </c>
      <c r="X299" s="1186">
        <v>4</v>
      </c>
      <c r="Y299" s="1186"/>
      <c r="Z299" s="1186"/>
      <c r="AA299" s="1186"/>
      <c r="AB299" s="1186">
        <v>4</v>
      </c>
      <c r="AC299" s="1186"/>
      <c r="AD299" s="1186"/>
      <c r="AE299" s="1186">
        <v>2</v>
      </c>
      <c r="AF299" s="1186"/>
      <c r="AG299" s="1186"/>
    </row>
    <row r="300" spans="1:33" x14ac:dyDescent="0.2">
      <c r="A300" s="1186" t="s">
        <v>29</v>
      </c>
      <c r="B300" s="1186" t="s">
        <v>621</v>
      </c>
      <c r="C300" s="1186">
        <v>270</v>
      </c>
      <c r="D300" s="1186">
        <v>47</v>
      </c>
      <c r="E300" s="1186">
        <v>92</v>
      </c>
      <c r="F300" s="1186">
        <v>42</v>
      </c>
      <c r="G300" s="1186">
        <v>1</v>
      </c>
      <c r="H300" s="1186"/>
      <c r="I300" s="1186">
        <v>21</v>
      </c>
      <c r="J300" s="1186"/>
      <c r="K300" s="1186"/>
      <c r="L300" s="1186">
        <v>6</v>
      </c>
      <c r="M300" s="1186"/>
      <c r="N300" s="1186">
        <v>10</v>
      </c>
      <c r="O300" s="1186"/>
      <c r="P300" s="1186">
        <v>5</v>
      </c>
      <c r="Q300" s="1186"/>
      <c r="R300" s="1186">
        <v>4</v>
      </c>
      <c r="S300" s="1186">
        <v>7</v>
      </c>
      <c r="T300" s="1186">
        <v>7</v>
      </c>
      <c r="U300" s="1186">
        <v>5</v>
      </c>
      <c r="V300" s="1186">
        <v>3</v>
      </c>
      <c r="W300" s="1186"/>
      <c r="X300" s="1186">
        <v>1</v>
      </c>
      <c r="Y300" s="1186">
        <v>5</v>
      </c>
      <c r="Z300" s="1186"/>
      <c r="AA300" s="1186"/>
      <c r="AB300" s="1186">
        <v>6</v>
      </c>
      <c r="AC300" s="1186">
        <v>6</v>
      </c>
      <c r="AD300" s="1186"/>
      <c r="AE300" s="1186">
        <v>2</v>
      </c>
      <c r="AF300" s="1186"/>
      <c r="AG300" s="1186"/>
    </row>
    <row r="301" spans="1:33" x14ac:dyDescent="0.2">
      <c r="A301" s="1186" t="s">
        <v>30</v>
      </c>
      <c r="B301" s="1186" t="s">
        <v>621</v>
      </c>
      <c r="C301" s="1186">
        <v>141</v>
      </c>
      <c r="D301" s="1186">
        <v>56</v>
      </c>
      <c r="E301" s="1186">
        <v>27</v>
      </c>
      <c r="F301" s="1186">
        <v>3</v>
      </c>
      <c r="G301" s="1186"/>
      <c r="H301" s="1186"/>
      <c r="I301" s="1186">
        <v>1</v>
      </c>
      <c r="J301" s="1186">
        <v>1</v>
      </c>
      <c r="K301" s="1186"/>
      <c r="L301" s="1186">
        <v>18</v>
      </c>
      <c r="M301" s="1186">
        <v>4</v>
      </c>
      <c r="N301" s="1186">
        <v>6</v>
      </c>
      <c r="O301" s="1186">
        <v>1</v>
      </c>
      <c r="P301" s="1186">
        <v>1</v>
      </c>
      <c r="Q301" s="1186">
        <v>3</v>
      </c>
      <c r="R301" s="1186">
        <v>1</v>
      </c>
      <c r="S301" s="1186">
        <v>6</v>
      </c>
      <c r="T301" s="1186">
        <v>7</v>
      </c>
      <c r="U301" s="1186">
        <v>1</v>
      </c>
      <c r="V301" s="1186">
        <v>1</v>
      </c>
      <c r="W301" s="1186"/>
      <c r="X301" s="1186"/>
      <c r="Y301" s="1186"/>
      <c r="Z301" s="1186"/>
      <c r="AA301" s="1186"/>
      <c r="AB301" s="1186">
        <v>4</v>
      </c>
      <c r="AC301" s="1186"/>
      <c r="AD301" s="1186"/>
      <c r="AE301" s="1186"/>
      <c r="AF301" s="1186"/>
      <c r="AG301" s="1186"/>
    </row>
    <row r="302" spans="1:33" x14ac:dyDescent="0.2">
      <c r="A302" s="1186" t="s">
        <v>31</v>
      </c>
      <c r="B302" s="1186" t="s">
        <v>621</v>
      </c>
      <c r="C302" s="1186">
        <v>113</v>
      </c>
      <c r="D302" s="1186">
        <v>40</v>
      </c>
      <c r="E302" s="1186">
        <v>15</v>
      </c>
      <c r="F302" s="1186">
        <v>5</v>
      </c>
      <c r="G302" s="1186"/>
      <c r="H302" s="1186"/>
      <c r="I302" s="1186">
        <v>10</v>
      </c>
      <c r="J302" s="1186"/>
      <c r="K302" s="1186"/>
      <c r="L302" s="1186">
        <v>7</v>
      </c>
      <c r="M302" s="1186"/>
      <c r="N302" s="1186"/>
      <c r="O302" s="1186"/>
      <c r="P302" s="1186"/>
      <c r="Q302" s="1186">
        <v>8</v>
      </c>
      <c r="R302" s="1186">
        <v>3</v>
      </c>
      <c r="S302" s="1186">
        <v>1</v>
      </c>
      <c r="T302" s="1186">
        <v>8</v>
      </c>
      <c r="U302" s="1186">
        <v>3</v>
      </c>
      <c r="V302" s="1186">
        <v>1</v>
      </c>
      <c r="W302" s="1186">
        <v>7</v>
      </c>
      <c r="X302" s="1186">
        <v>1</v>
      </c>
      <c r="Y302" s="1186">
        <v>1</v>
      </c>
      <c r="Z302" s="1186"/>
      <c r="AA302" s="1186"/>
      <c r="AB302" s="1186">
        <v>1</v>
      </c>
      <c r="AC302" s="1186"/>
      <c r="AD302" s="1186">
        <v>1</v>
      </c>
      <c r="AE302" s="1186">
        <v>1</v>
      </c>
      <c r="AF302" s="1186"/>
      <c r="AG302" s="1186"/>
    </row>
    <row r="303" spans="1:33" x14ac:dyDescent="0.2">
      <c r="A303" s="1186" t="s">
        <v>32</v>
      </c>
      <c r="B303" s="1186" t="s">
        <v>621</v>
      </c>
      <c r="C303" s="1186">
        <v>120</v>
      </c>
      <c r="D303" s="1186">
        <v>46</v>
      </c>
      <c r="E303" s="1186">
        <v>13</v>
      </c>
      <c r="F303" s="1186">
        <v>8</v>
      </c>
      <c r="G303" s="1186"/>
      <c r="H303" s="1186"/>
      <c r="I303" s="1186">
        <v>6</v>
      </c>
      <c r="J303" s="1186">
        <v>1</v>
      </c>
      <c r="K303" s="1186">
        <v>1</v>
      </c>
      <c r="L303" s="1186">
        <v>14</v>
      </c>
      <c r="M303" s="1186"/>
      <c r="N303" s="1186">
        <v>5</v>
      </c>
      <c r="O303" s="1186">
        <v>2</v>
      </c>
      <c r="P303" s="1186">
        <v>1</v>
      </c>
      <c r="Q303" s="1186"/>
      <c r="R303" s="1186">
        <v>4</v>
      </c>
      <c r="S303" s="1186">
        <v>4</v>
      </c>
      <c r="T303" s="1186">
        <v>2</v>
      </c>
      <c r="U303" s="1186">
        <v>3</v>
      </c>
      <c r="V303" s="1186">
        <v>2</v>
      </c>
      <c r="W303" s="1186">
        <v>1</v>
      </c>
      <c r="X303" s="1186">
        <v>2</v>
      </c>
      <c r="Y303" s="1186"/>
      <c r="Z303" s="1186"/>
      <c r="AA303" s="1186">
        <v>1</v>
      </c>
      <c r="AB303" s="1186">
        <v>3</v>
      </c>
      <c r="AC303" s="1186">
        <v>1</v>
      </c>
      <c r="AD303" s="1186"/>
      <c r="AE303" s="1186"/>
      <c r="AF303" s="1186"/>
      <c r="AG303" s="1186"/>
    </row>
    <row r="304" spans="1:33" x14ac:dyDescent="0.2">
      <c r="A304" s="1186" t="s">
        <v>33</v>
      </c>
      <c r="B304" s="1186" t="s">
        <v>621</v>
      </c>
      <c r="C304" s="1186">
        <v>83</v>
      </c>
      <c r="D304" s="1186">
        <v>40</v>
      </c>
      <c r="E304" s="1186">
        <v>10</v>
      </c>
      <c r="F304" s="1186">
        <v>3</v>
      </c>
      <c r="G304" s="1186"/>
      <c r="H304" s="1186"/>
      <c r="I304" s="1186">
        <v>7</v>
      </c>
      <c r="J304" s="1186"/>
      <c r="K304" s="1186"/>
      <c r="L304" s="1186">
        <v>6</v>
      </c>
      <c r="M304" s="1186"/>
      <c r="N304" s="1186">
        <v>2</v>
      </c>
      <c r="O304" s="1186"/>
      <c r="P304" s="1186">
        <v>1</v>
      </c>
      <c r="Q304" s="1186"/>
      <c r="R304" s="1186">
        <v>1</v>
      </c>
      <c r="S304" s="1186">
        <v>3</v>
      </c>
      <c r="T304" s="1186">
        <v>1</v>
      </c>
      <c r="U304" s="1186">
        <v>4</v>
      </c>
      <c r="V304" s="1186"/>
      <c r="W304" s="1186"/>
      <c r="X304" s="1186"/>
      <c r="Y304" s="1186"/>
      <c r="Z304" s="1186"/>
      <c r="AA304" s="1186"/>
      <c r="AB304" s="1186">
        <v>1</v>
      </c>
      <c r="AC304" s="1186"/>
      <c r="AD304" s="1186"/>
      <c r="AE304" s="1186">
        <v>4</v>
      </c>
      <c r="AF304" s="1186"/>
      <c r="AG304" s="1186"/>
    </row>
    <row r="305" spans="1:33" x14ac:dyDescent="0.2">
      <c r="A305" s="1186" t="s">
        <v>34</v>
      </c>
      <c r="B305" s="1186" t="s">
        <v>621</v>
      </c>
      <c r="C305" s="1186">
        <v>196</v>
      </c>
      <c r="D305" s="1186">
        <v>69</v>
      </c>
      <c r="E305" s="1186">
        <v>47</v>
      </c>
      <c r="F305" s="1186">
        <v>3</v>
      </c>
      <c r="G305" s="1186"/>
      <c r="H305" s="1186"/>
      <c r="I305" s="1186">
        <v>4</v>
      </c>
      <c r="J305" s="1186">
        <v>2</v>
      </c>
      <c r="K305" s="1186">
        <v>1</v>
      </c>
      <c r="L305" s="1186">
        <v>7</v>
      </c>
      <c r="M305" s="1186">
        <v>2</v>
      </c>
      <c r="N305" s="1186">
        <v>4</v>
      </c>
      <c r="O305" s="1186">
        <v>1</v>
      </c>
      <c r="P305" s="1186">
        <v>3</v>
      </c>
      <c r="Q305" s="1186">
        <v>27</v>
      </c>
      <c r="R305" s="1186">
        <v>2</v>
      </c>
      <c r="S305" s="1186">
        <v>3</v>
      </c>
      <c r="T305" s="1186">
        <v>3</v>
      </c>
      <c r="U305" s="1186">
        <v>4</v>
      </c>
      <c r="V305" s="1186">
        <v>5</v>
      </c>
      <c r="W305" s="1186">
        <v>3</v>
      </c>
      <c r="X305" s="1186">
        <v>1</v>
      </c>
      <c r="Y305" s="1186"/>
      <c r="Z305" s="1186"/>
      <c r="AA305" s="1186"/>
      <c r="AB305" s="1186">
        <v>5</v>
      </c>
      <c r="AC305" s="1186"/>
      <c r="AD305" s="1186"/>
      <c r="AE305" s="1186"/>
      <c r="AF305" s="1186"/>
      <c r="AG305" s="1186"/>
    </row>
    <row r="306" spans="1:33" x14ac:dyDescent="0.2">
      <c r="A306" s="1186" t="s">
        <v>35</v>
      </c>
      <c r="B306" s="1186" t="s">
        <v>621</v>
      </c>
      <c r="C306" s="1186">
        <v>390</v>
      </c>
      <c r="D306" s="1186">
        <v>138</v>
      </c>
      <c r="E306" s="1186">
        <v>95</v>
      </c>
      <c r="F306" s="1186">
        <v>18</v>
      </c>
      <c r="G306" s="1186">
        <v>2</v>
      </c>
      <c r="H306" s="1186"/>
      <c r="I306" s="1186">
        <v>11</v>
      </c>
      <c r="J306" s="1186">
        <v>2</v>
      </c>
      <c r="K306" s="1186">
        <v>1</v>
      </c>
      <c r="L306" s="1186">
        <v>31</v>
      </c>
      <c r="M306" s="1186">
        <v>4</v>
      </c>
      <c r="N306" s="1186">
        <v>11</v>
      </c>
      <c r="O306" s="1186">
        <v>4</v>
      </c>
      <c r="P306" s="1186">
        <v>2</v>
      </c>
      <c r="Q306" s="1186">
        <v>3</v>
      </c>
      <c r="R306" s="1186">
        <v>7</v>
      </c>
      <c r="S306" s="1186">
        <v>12</v>
      </c>
      <c r="T306" s="1186">
        <v>7</v>
      </c>
      <c r="U306" s="1186">
        <v>10</v>
      </c>
      <c r="V306" s="1186">
        <v>4</v>
      </c>
      <c r="W306" s="1186">
        <v>11</v>
      </c>
      <c r="X306" s="1186"/>
      <c r="Y306" s="1186"/>
      <c r="Z306" s="1186"/>
      <c r="AA306" s="1186"/>
      <c r="AB306" s="1186">
        <v>7</v>
      </c>
      <c r="AC306" s="1186">
        <v>7</v>
      </c>
      <c r="AD306" s="1186">
        <v>1</v>
      </c>
      <c r="AE306" s="1186">
        <v>1</v>
      </c>
      <c r="AF306" s="1186"/>
      <c r="AG306" s="1186">
        <v>1</v>
      </c>
    </row>
    <row r="307" spans="1:33" x14ac:dyDescent="0.2">
      <c r="A307" s="1186" t="s">
        <v>36</v>
      </c>
      <c r="B307" s="1186" t="s">
        <v>621</v>
      </c>
      <c r="C307" s="1186">
        <v>1257</v>
      </c>
      <c r="D307" s="1186">
        <v>145</v>
      </c>
      <c r="E307" s="1186">
        <v>433</v>
      </c>
      <c r="F307" s="1186">
        <v>268</v>
      </c>
      <c r="G307" s="1186">
        <v>6</v>
      </c>
      <c r="H307" s="1186"/>
      <c r="I307" s="1186">
        <v>42</v>
      </c>
      <c r="J307" s="1186"/>
      <c r="K307" s="1186">
        <v>1</v>
      </c>
      <c r="L307" s="1186">
        <v>32</v>
      </c>
      <c r="M307" s="1186"/>
      <c r="N307" s="1186">
        <v>22</v>
      </c>
      <c r="O307" s="1186">
        <v>6</v>
      </c>
      <c r="P307" s="1186">
        <v>19</v>
      </c>
      <c r="Q307" s="1186">
        <v>23</v>
      </c>
      <c r="R307" s="1186">
        <v>14</v>
      </c>
      <c r="S307" s="1186">
        <v>19</v>
      </c>
      <c r="T307" s="1186">
        <v>44</v>
      </c>
      <c r="U307" s="1186">
        <v>28</v>
      </c>
      <c r="V307" s="1186">
        <v>38</v>
      </c>
      <c r="W307" s="1186">
        <v>40</v>
      </c>
      <c r="X307" s="1186">
        <v>7</v>
      </c>
      <c r="Y307" s="1186">
        <v>21</v>
      </c>
      <c r="Z307" s="1186"/>
      <c r="AA307" s="1186">
        <v>1</v>
      </c>
      <c r="AB307" s="1186">
        <v>20</v>
      </c>
      <c r="AC307" s="1186">
        <v>22</v>
      </c>
      <c r="AD307" s="1186">
        <v>1</v>
      </c>
      <c r="AE307" s="1186">
        <v>5</v>
      </c>
      <c r="AF307" s="1186"/>
      <c r="AG307" s="1186"/>
    </row>
    <row r="308" spans="1:33" x14ac:dyDescent="0.2">
      <c r="A308" s="1186" t="s">
        <v>37</v>
      </c>
      <c r="B308" s="1186" t="s">
        <v>621</v>
      </c>
      <c r="C308" s="1186">
        <v>252</v>
      </c>
      <c r="D308" s="1186">
        <v>123</v>
      </c>
      <c r="E308" s="1186">
        <v>17</v>
      </c>
      <c r="F308" s="1186">
        <v>1</v>
      </c>
      <c r="G308" s="1186">
        <v>1</v>
      </c>
      <c r="H308" s="1186"/>
      <c r="I308" s="1186">
        <v>6</v>
      </c>
      <c r="J308" s="1186">
        <v>2</v>
      </c>
      <c r="K308" s="1186">
        <v>2</v>
      </c>
      <c r="L308" s="1186">
        <v>16</v>
      </c>
      <c r="M308" s="1186">
        <v>11</v>
      </c>
      <c r="N308" s="1186">
        <v>7</v>
      </c>
      <c r="O308" s="1186"/>
      <c r="P308" s="1186">
        <v>1</v>
      </c>
      <c r="Q308" s="1186">
        <v>5</v>
      </c>
      <c r="R308" s="1186">
        <v>2</v>
      </c>
      <c r="S308" s="1186">
        <v>11</v>
      </c>
      <c r="T308" s="1186">
        <v>8</v>
      </c>
      <c r="U308" s="1186">
        <v>7</v>
      </c>
      <c r="V308" s="1186">
        <v>6</v>
      </c>
      <c r="W308" s="1186">
        <v>3</v>
      </c>
      <c r="X308" s="1186">
        <v>13</v>
      </c>
      <c r="Y308" s="1186">
        <v>1</v>
      </c>
      <c r="Z308" s="1186">
        <v>1</v>
      </c>
      <c r="AA308" s="1186">
        <v>1</v>
      </c>
      <c r="AB308" s="1186">
        <v>3</v>
      </c>
      <c r="AC308" s="1186"/>
      <c r="AD308" s="1186">
        <v>3</v>
      </c>
      <c r="AE308" s="1186"/>
      <c r="AF308" s="1186">
        <v>1</v>
      </c>
      <c r="AG308" s="1186"/>
    </row>
    <row r="309" spans="1:33" x14ac:dyDescent="0.2">
      <c r="A309" s="1186" t="s">
        <v>38</v>
      </c>
      <c r="B309" s="1186" t="s">
        <v>621</v>
      </c>
      <c r="C309" s="1186">
        <v>115</v>
      </c>
      <c r="D309" s="1186">
        <v>16</v>
      </c>
      <c r="E309" s="1186">
        <v>36</v>
      </c>
      <c r="F309" s="1186">
        <v>35</v>
      </c>
      <c r="G309" s="1186"/>
      <c r="H309" s="1186"/>
      <c r="I309" s="1186">
        <v>5</v>
      </c>
      <c r="J309" s="1186"/>
      <c r="K309" s="1186"/>
      <c r="L309" s="1186">
        <v>2</v>
      </c>
      <c r="M309" s="1186"/>
      <c r="N309" s="1186">
        <v>2</v>
      </c>
      <c r="O309" s="1186">
        <v>1</v>
      </c>
      <c r="P309" s="1186">
        <v>1</v>
      </c>
      <c r="Q309" s="1186">
        <v>1</v>
      </c>
      <c r="R309" s="1186">
        <v>1</v>
      </c>
      <c r="S309" s="1186">
        <v>2</v>
      </c>
      <c r="T309" s="1186">
        <v>4</v>
      </c>
      <c r="U309" s="1186">
        <v>5</v>
      </c>
      <c r="V309" s="1186"/>
      <c r="W309" s="1186"/>
      <c r="X309" s="1186">
        <v>1</v>
      </c>
      <c r="Y309" s="1186"/>
      <c r="Z309" s="1186"/>
      <c r="AA309" s="1186">
        <v>1</v>
      </c>
      <c r="AB309" s="1186">
        <v>1</v>
      </c>
      <c r="AC309" s="1186"/>
      <c r="AD309" s="1186"/>
      <c r="AE309" s="1186">
        <v>1</v>
      </c>
      <c r="AF309" s="1186"/>
      <c r="AG309" s="1186"/>
    </row>
    <row r="310" spans="1:33" x14ac:dyDescent="0.2">
      <c r="A310" s="1186" t="s">
        <v>39</v>
      </c>
      <c r="B310" s="1186" t="s">
        <v>621</v>
      </c>
      <c r="C310" s="1186">
        <v>89</v>
      </c>
      <c r="D310" s="1186">
        <v>34</v>
      </c>
      <c r="E310" s="1186">
        <v>9</v>
      </c>
      <c r="F310" s="1186">
        <v>5</v>
      </c>
      <c r="G310" s="1186"/>
      <c r="H310" s="1186"/>
      <c r="I310" s="1186">
        <v>8</v>
      </c>
      <c r="J310" s="1186">
        <v>1</v>
      </c>
      <c r="K310" s="1186"/>
      <c r="L310" s="1186">
        <v>8</v>
      </c>
      <c r="M310" s="1186">
        <v>2</v>
      </c>
      <c r="N310" s="1186"/>
      <c r="O310" s="1186"/>
      <c r="P310" s="1186">
        <v>3</v>
      </c>
      <c r="Q310" s="1186">
        <v>1</v>
      </c>
      <c r="R310" s="1186">
        <v>2</v>
      </c>
      <c r="S310" s="1186">
        <v>2</v>
      </c>
      <c r="T310" s="1186">
        <v>2</v>
      </c>
      <c r="U310" s="1186"/>
      <c r="V310" s="1186"/>
      <c r="W310" s="1186">
        <v>3</v>
      </c>
      <c r="X310" s="1186">
        <v>1</v>
      </c>
      <c r="Y310" s="1186"/>
      <c r="Z310" s="1186"/>
      <c r="AA310" s="1186"/>
      <c r="AB310" s="1186">
        <v>3</v>
      </c>
      <c r="AC310" s="1186"/>
      <c r="AD310" s="1186">
        <v>1</v>
      </c>
      <c r="AE310" s="1186">
        <v>1</v>
      </c>
      <c r="AF310" s="1186">
        <v>3</v>
      </c>
      <c r="AG310" s="1186"/>
    </row>
    <row r="311" spans="1:33" x14ac:dyDescent="0.2">
      <c r="A311" s="1186" t="s">
        <v>40</v>
      </c>
      <c r="B311" s="1186" t="s">
        <v>621</v>
      </c>
      <c r="C311" s="1186">
        <v>99</v>
      </c>
      <c r="D311" s="1186">
        <v>38</v>
      </c>
      <c r="E311" s="1186">
        <v>11</v>
      </c>
      <c r="F311" s="1186"/>
      <c r="G311" s="1186"/>
      <c r="H311" s="1186"/>
      <c r="I311" s="1186">
        <v>9</v>
      </c>
      <c r="J311" s="1186"/>
      <c r="K311" s="1186"/>
      <c r="L311" s="1186">
        <v>9</v>
      </c>
      <c r="M311" s="1186">
        <v>3</v>
      </c>
      <c r="N311" s="1186">
        <v>4</v>
      </c>
      <c r="O311" s="1186"/>
      <c r="P311" s="1186"/>
      <c r="Q311" s="1186"/>
      <c r="R311" s="1186"/>
      <c r="S311" s="1186">
        <v>4</v>
      </c>
      <c r="T311" s="1186">
        <v>7</v>
      </c>
      <c r="U311" s="1186">
        <v>1</v>
      </c>
      <c r="V311" s="1186">
        <v>1</v>
      </c>
      <c r="W311" s="1186">
        <v>2</v>
      </c>
      <c r="X311" s="1186">
        <v>2</v>
      </c>
      <c r="Y311" s="1186"/>
      <c r="Z311" s="1186"/>
      <c r="AA311" s="1186"/>
      <c r="AB311" s="1186">
        <v>3</v>
      </c>
      <c r="AC311" s="1186">
        <v>1</v>
      </c>
      <c r="AD311" s="1186"/>
      <c r="AE311" s="1186">
        <v>1</v>
      </c>
      <c r="AF311" s="1186">
        <v>2</v>
      </c>
      <c r="AG311" s="1186">
        <v>1</v>
      </c>
    </row>
    <row r="312" spans="1:33" x14ac:dyDescent="0.2">
      <c r="A312" s="1186" t="s">
        <v>295</v>
      </c>
      <c r="B312" s="1186" t="s">
        <v>621</v>
      </c>
      <c r="C312" s="1186">
        <v>32</v>
      </c>
      <c r="D312" s="1186">
        <v>22</v>
      </c>
      <c r="E312" s="1186"/>
      <c r="F312" s="1186"/>
      <c r="G312" s="1186"/>
      <c r="H312" s="1186">
        <v>1</v>
      </c>
      <c r="I312" s="1186"/>
      <c r="J312" s="1186"/>
      <c r="K312" s="1186"/>
      <c r="L312" s="1186">
        <v>2</v>
      </c>
      <c r="M312" s="1186"/>
      <c r="N312" s="1186">
        <v>1</v>
      </c>
      <c r="O312" s="1186"/>
      <c r="P312" s="1186">
        <v>1</v>
      </c>
      <c r="Q312" s="1186"/>
      <c r="R312" s="1186"/>
      <c r="S312" s="1186"/>
      <c r="T312" s="1186"/>
      <c r="U312" s="1186">
        <v>2</v>
      </c>
      <c r="V312" s="1186"/>
      <c r="W312" s="1186"/>
      <c r="X312" s="1186"/>
      <c r="Y312" s="1186"/>
      <c r="Z312" s="1186"/>
      <c r="AA312" s="1186"/>
      <c r="AB312" s="1186">
        <v>2</v>
      </c>
      <c r="AC312" s="1186"/>
      <c r="AD312" s="1186"/>
      <c r="AE312" s="1186">
        <v>1</v>
      </c>
      <c r="AF312" s="1186"/>
      <c r="AG312" s="1186"/>
    </row>
    <row r="313" spans="1:33" x14ac:dyDescent="0.2">
      <c r="A313" s="1186" t="s">
        <v>41</v>
      </c>
      <c r="B313" s="1186" t="s">
        <v>621</v>
      </c>
      <c r="C313" s="1186">
        <v>244</v>
      </c>
      <c r="D313" s="1186">
        <v>91</v>
      </c>
      <c r="E313" s="1186">
        <v>58</v>
      </c>
      <c r="F313" s="1186">
        <v>14</v>
      </c>
      <c r="G313" s="1186"/>
      <c r="H313" s="1186"/>
      <c r="I313" s="1186">
        <v>17</v>
      </c>
      <c r="J313" s="1186"/>
      <c r="K313" s="1186"/>
      <c r="L313" s="1186">
        <v>14</v>
      </c>
      <c r="M313" s="1186">
        <v>1</v>
      </c>
      <c r="N313" s="1186">
        <v>8</v>
      </c>
      <c r="O313" s="1186">
        <v>1</v>
      </c>
      <c r="P313" s="1186">
        <v>4</v>
      </c>
      <c r="Q313" s="1186">
        <v>2</v>
      </c>
      <c r="R313" s="1186">
        <v>1</v>
      </c>
      <c r="S313" s="1186">
        <v>2</v>
      </c>
      <c r="T313" s="1186">
        <v>9</v>
      </c>
      <c r="U313" s="1186">
        <v>4</v>
      </c>
      <c r="V313" s="1186">
        <v>1</v>
      </c>
      <c r="W313" s="1186">
        <v>7</v>
      </c>
      <c r="X313" s="1186">
        <v>2</v>
      </c>
      <c r="Y313" s="1186">
        <v>2</v>
      </c>
      <c r="Z313" s="1186"/>
      <c r="AA313" s="1186"/>
      <c r="AB313" s="1186">
        <v>5</v>
      </c>
      <c r="AC313" s="1186"/>
      <c r="AD313" s="1186"/>
      <c r="AE313" s="1186">
        <v>1</v>
      </c>
      <c r="AF313" s="1186"/>
      <c r="AG313" s="1186"/>
    </row>
    <row r="314" spans="1:33" x14ac:dyDescent="0.2">
      <c r="A314" s="1186" t="s">
        <v>42</v>
      </c>
      <c r="B314" s="1186" t="s">
        <v>621</v>
      </c>
      <c r="C314" s="1186">
        <v>481</v>
      </c>
      <c r="D314" s="1186">
        <v>127</v>
      </c>
      <c r="E314" s="1186">
        <v>177</v>
      </c>
      <c r="F314" s="1186">
        <v>15</v>
      </c>
      <c r="G314" s="1186">
        <v>1</v>
      </c>
      <c r="H314" s="1186"/>
      <c r="I314" s="1186">
        <v>22</v>
      </c>
      <c r="J314" s="1186"/>
      <c r="K314" s="1186">
        <v>1</v>
      </c>
      <c r="L314" s="1186">
        <v>26</v>
      </c>
      <c r="M314" s="1186">
        <v>3</v>
      </c>
      <c r="N314" s="1186">
        <v>13</v>
      </c>
      <c r="O314" s="1186">
        <v>7</v>
      </c>
      <c r="P314" s="1186">
        <v>10</v>
      </c>
      <c r="Q314" s="1186">
        <v>13</v>
      </c>
      <c r="R314" s="1186">
        <v>9</v>
      </c>
      <c r="S314" s="1186">
        <v>7</v>
      </c>
      <c r="T314" s="1186">
        <v>12</v>
      </c>
      <c r="U314" s="1186">
        <v>5</v>
      </c>
      <c r="V314" s="1186">
        <v>7</v>
      </c>
      <c r="W314" s="1186">
        <v>11</v>
      </c>
      <c r="X314" s="1186">
        <v>1</v>
      </c>
      <c r="Y314" s="1186">
        <v>2</v>
      </c>
      <c r="Z314" s="1186"/>
      <c r="AA314" s="1186"/>
      <c r="AB314" s="1186">
        <v>6</v>
      </c>
      <c r="AC314" s="1186"/>
      <c r="AD314" s="1186">
        <v>4</v>
      </c>
      <c r="AE314" s="1186">
        <v>1</v>
      </c>
      <c r="AF314" s="1186"/>
      <c r="AG314" s="1186">
        <v>1</v>
      </c>
    </row>
    <row r="315" spans="1:33" x14ac:dyDescent="0.2">
      <c r="A315" s="1186" t="s">
        <v>43</v>
      </c>
      <c r="B315" s="1186" t="s">
        <v>621</v>
      </c>
      <c r="C315" s="1186">
        <v>12</v>
      </c>
      <c r="D315" s="1186">
        <v>5</v>
      </c>
      <c r="E315" s="1186">
        <v>1</v>
      </c>
      <c r="F315" s="1186"/>
      <c r="G315" s="1186"/>
      <c r="H315" s="1186"/>
      <c r="I315" s="1186"/>
      <c r="J315" s="1186"/>
      <c r="K315" s="1186">
        <v>1</v>
      </c>
      <c r="L315" s="1186">
        <v>2</v>
      </c>
      <c r="M315" s="1186">
        <v>1</v>
      </c>
      <c r="N315" s="1186"/>
      <c r="O315" s="1186"/>
      <c r="P315" s="1186"/>
      <c r="Q315" s="1186"/>
      <c r="R315" s="1186"/>
      <c r="S315" s="1186"/>
      <c r="T315" s="1186"/>
      <c r="U315" s="1186">
        <v>1</v>
      </c>
      <c r="V315" s="1186"/>
      <c r="W315" s="1186"/>
      <c r="X315" s="1186"/>
      <c r="Y315" s="1186"/>
      <c r="Z315" s="1186"/>
      <c r="AA315" s="1186"/>
      <c r="AB315" s="1186">
        <v>1</v>
      </c>
      <c r="AC315" s="1186"/>
      <c r="AD315" s="1186"/>
      <c r="AE315" s="1186"/>
      <c r="AF315" s="1186"/>
      <c r="AG315" s="1186"/>
    </row>
    <row r="316" spans="1:33" x14ac:dyDescent="0.2">
      <c r="A316" s="1186" t="s">
        <v>44</v>
      </c>
      <c r="B316" s="1186" t="s">
        <v>621</v>
      </c>
      <c r="C316" s="1186">
        <v>166</v>
      </c>
      <c r="D316" s="1186">
        <v>54</v>
      </c>
      <c r="E316" s="1186">
        <v>25</v>
      </c>
      <c r="F316" s="1186">
        <v>10</v>
      </c>
      <c r="G316" s="1186">
        <v>4</v>
      </c>
      <c r="H316" s="1186"/>
      <c r="I316" s="1186">
        <v>14</v>
      </c>
      <c r="J316" s="1186">
        <v>2</v>
      </c>
      <c r="K316" s="1186">
        <v>4</v>
      </c>
      <c r="L316" s="1186">
        <v>4</v>
      </c>
      <c r="M316" s="1186">
        <v>2</v>
      </c>
      <c r="N316" s="1186">
        <v>6</v>
      </c>
      <c r="O316" s="1186">
        <v>2</v>
      </c>
      <c r="P316" s="1186">
        <v>3</v>
      </c>
      <c r="Q316" s="1186">
        <v>13</v>
      </c>
      <c r="R316" s="1186"/>
      <c r="S316" s="1186">
        <v>2</v>
      </c>
      <c r="T316" s="1186">
        <v>4</v>
      </c>
      <c r="U316" s="1186">
        <v>3</v>
      </c>
      <c r="V316" s="1186">
        <v>2</v>
      </c>
      <c r="W316" s="1186">
        <v>1</v>
      </c>
      <c r="X316" s="1186">
        <v>6</v>
      </c>
      <c r="Y316" s="1186"/>
      <c r="Z316" s="1186"/>
      <c r="AA316" s="1186"/>
      <c r="AB316" s="1186">
        <v>3</v>
      </c>
      <c r="AC316" s="1186"/>
      <c r="AD316" s="1186"/>
      <c r="AE316" s="1186">
        <v>2</v>
      </c>
      <c r="AF316" s="1186"/>
      <c r="AG316" s="1186"/>
    </row>
    <row r="317" spans="1:33" x14ac:dyDescent="0.2">
      <c r="A317" s="1186" t="s">
        <v>45</v>
      </c>
      <c r="B317" s="1186" t="s">
        <v>621</v>
      </c>
      <c r="C317" s="1186">
        <v>292</v>
      </c>
      <c r="D317" s="1186">
        <v>77</v>
      </c>
      <c r="E317" s="1186">
        <v>71</v>
      </c>
      <c r="F317" s="1186">
        <v>50</v>
      </c>
      <c r="G317" s="1186"/>
      <c r="H317" s="1186"/>
      <c r="I317" s="1186">
        <v>22</v>
      </c>
      <c r="J317" s="1186"/>
      <c r="K317" s="1186"/>
      <c r="L317" s="1186">
        <v>9</v>
      </c>
      <c r="M317" s="1186">
        <v>2</v>
      </c>
      <c r="N317" s="1186">
        <v>8</v>
      </c>
      <c r="O317" s="1186">
        <v>3</v>
      </c>
      <c r="P317" s="1186">
        <v>6</v>
      </c>
      <c r="Q317" s="1186">
        <v>3</v>
      </c>
      <c r="R317" s="1186">
        <v>8</v>
      </c>
      <c r="S317" s="1186">
        <v>1</v>
      </c>
      <c r="T317" s="1186">
        <v>5</v>
      </c>
      <c r="U317" s="1186">
        <v>6</v>
      </c>
      <c r="V317" s="1186">
        <v>6</v>
      </c>
      <c r="W317" s="1186">
        <v>10</v>
      </c>
      <c r="X317" s="1186">
        <v>2</v>
      </c>
      <c r="Y317" s="1186">
        <v>2</v>
      </c>
      <c r="Z317" s="1186"/>
      <c r="AA317" s="1186"/>
      <c r="AB317" s="1186">
        <v>1</v>
      </c>
      <c r="AC317" s="1186"/>
      <c r="AD317" s="1186"/>
      <c r="AE317" s="1186"/>
      <c r="AF317" s="1186"/>
      <c r="AG317" s="1186"/>
    </row>
    <row r="318" spans="1:33" x14ac:dyDescent="0.2">
      <c r="A318" s="1186" t="s">
        <v>46</v>
      </c>
      <c r="B318" s="1186" t="s">
        <v>621</v>
      </c>
      <c r="C318" s="1186">
        <v>146</v>
      </c>
      <c r="D318" s="1186">
        <v>61</v>
      </c>
      <c r="E318" s="1186">
        <v>25</v>
      </c>
      <c r="F318" s="1186"/>
      <c r="G318" s="1186"/>
      <c r="H318" s="1186"/>
      <c r="I318" s="1186">
        <v>14</v>
      </c>
      <c r="J318" s="1186">
        <v>3</v>
      </c>
      <c r="K318" s="1186">
        <v>1</v>
      </c>
      <c r="L318" s="1186">
        <v>7</v>
      </c>
      <c r="M318" s="1186">
        <v>2</v>
      </c>
      <c r="N318" s="1186">
        <v>4</v>
      </c>
      <c r="O318" s="1186"/>
      <c r="P318" s="1186"/>
      <c r="Q318" s="1186">
        <v>1</v>
      </c>
      <c r="R318" s="1186"/>
      <c r="S318" s="1186">
        <v>2</v>
      </c>
      <c r="T318" s="1186">
        <v>4</v>
      </c>
      <c r="U318" s="1186">
        <v>8</v>
      </c>
      <c r="V318" s="1186">
        <v>2</v>
      </c>
      <c r="W318" s="1186">
        <v>4</v>
      </c>
      <c r="X318" s="1186"/>
      <c r="Y318" s="1186"/>
      <c r="Z318" s="1186"/>
      <c r="AA318" s="1186">
        <v>1</v>
      </c>
      <c r="AB318" s="1186">
        <v>3</v>
      </c>
      <c r="AC318" s="1186"/>
      <c r="AD318" s="1186"/>
      <c r="AE318" s="1186">
        <v>3</v>
      </c>
      <c r="AF318" s="1186">
        <v>1</v>
      </c>
      <c r="AG318" s="1186"/>
    </row>
    <row r="319" spans="1:33" x14ac:dyDescent="0.2">
      <c r="A319" s="1186" t="s">
        <v>47</v>
      </c>
      <c r="B319" s="1186" t="s">
        <v>621</v>
      </c>
      <c r="C319" s="1186">
        <v>11</v>
      </c>
      <c r="D319" s="1186">
        <v>3</v>
      </c>
      <c r="E319" s="1186"/>
      <c r="F319" s="1186"/>
      <c r="G319" s="1186"/>
      <c r="H319" s="1186"/>
      <c r="I319" s="1186">
        <v>1</v>
      </c>
      <c r="J319" s="1186"/>
      <c r="K319" s="1186"/>
      <c r="L319" s="1186"/>
      <c r="M319" s="1186"/>
      <c r="N319" s="1186"/>
      <c r="O319" s="1186"/>
      <c r="P319" s="1186"/>
      <c r="Q319" s="1186"/>
      <c r="R319" s="1186"/>
      <c r="S319" s="1186"/>
      <c r="T319" s="1186">
        <v>2</v>
      </c>
      <c r="U319" s="1186">
        <v>2</v>
      </c>
      <c r="V319" s="1186">
        <v>1</v>
      </c>
      <c r="W319" s="1186"/>
      <c r="X319" s="1186">
        <v>1</v>
      </c>
      <c r="Y319" s="1186"/>
      <c r="Z319" s="1186"/>
      <c r="AA319" s="1186"/>
      <c r="AB319" s="1186">
        <v>1</v>
      </c>
      <c r="AC319" s="1186"/>
      <c r="AD319" s="1186"/>
      <c r="AE319" s="1186"/>
      <c r="AF319" s="1186"/>
      <c r="AG319" s="1186"/>
    </row>
    <row r="320" spans="1:33" x14ac:dyDescent="0.2">
      <c r="A320" s="1186" t="s">
        <v>48</v>
      </c>
      <c r="B320" s="1186" t="s">
        <v>621</v>
      </c>
      <c r="C320" s="1186">
        <v>145</v>
      </c>
      <c r="D320" s="1186">
        <v>46</v>
      </c>
      <c r="E320" s="1186">
        <v>39</v>
      </c>
      <c r="F320" s="1186">
        <v>5</v>
      </c>
      <c r="G320" s="1186"/>
      <c r="H320" s="1186"/>
      <c r="I320" s="1186">
        <v>3</v>
      </c>
      <c r="J320" s="1186">
        <v>2</v>
      </c>
      <c r="K320" s="1186"/>
      <c r="L320" s="1186">
        <v>7</v>
      </c>
      <c r="M320" s="1186">
        <v>1</v>
      </c>
      <c r="N320" s="1186">
        <v>3</v>
      </c>
      <c r="O320" s="1186">
        <v>1</v>
      </c>
      <c r="P320" s="1186">
        <v>1</v>
      </c>
      <c r="Q320" s="1186"/>
      <c r="R320" s="1186">
        <v>4</v>
      </c>
      <c r="S320" s="1186">
        <v>2</v>
      </c>
      <c r="T320" s="1186">
        <v>4</v>
      </c>
      <c r="U320" s="1186">
        <v>6</v>
      </c>
      <c r="V320" s="1186">
        <v>3</v>
      </c>
      <c r="W320" s="1186">
        <v>6</v>
      </c>
      <c r="X320" s="1186">
        <v>3</v>
      </c>
      <c r="Y320" s="1186"/>
      <c r="Z320" s="1186">
        <v>1</v>
      </c>
      <c r="AA320" s="1186">
        <v>4</v>
      </c>
      <c r="AB320" s="1186">
        <v>3</v>
      </c>
      <c r="AC320" s="1186"/>
      <c r="AD320" s="1186">
        <v>1</v>
      </c>
      <c r="AE320" s="1186"/>
      <c r="AF320" s="1186"/>
      <c r="AG320" s="1186"/>
    </row>
    <row r="321" spans="1:33" x14ac:dyDescent="0.2">
      <c r="A321" s="1186" t="s">
        <v>49</v>
      </c>
      <c r="B321" s="1186" t="s">
        <v>621</v>
      </c>
      <c r="C321" s="1186">
        <v>348</v>
      </c>
      <c r="D321" s="1186">
        <v>122</v>
      </c>
      <c r="E321" s="1186">
        <v>112</v>
      </c>
      <c r="F321" s="1186">
        <v>8</v>
      </c>
      <c r="G321" s="1186">
        <v>2</v>
      </c>
      <c r="H321" s="1186"/>
      <c r="I321" s="1186">
        <v>13</v>
      </c>
      <c r="J321" s="1186">
        <v>1</v>
      </c>
      <c r="K321" s="1186">
        <v>1</v>
      </c>
      <c r="L321" s="1186">
        <v>23</v>
      </c>
      <c r="M321" s="1186">
        <v>5</v>
      </c>
      <c r="N321" s="1186">
        <v>13</v>
      </c>
      <c r="O321" s="1186"/>
      <c r="P321" s="1186">
        <v>6</v>
      </c>
      <c r="Q321" s="1186">
        <v>3</v>
      </c>
      <c r="R321" s="1186">
        <v>2</v>
      </c>
      <c r="S321" s="1186">
        <v>5</v>
      </c>
      <c r="T321" s="1186">
        <v>9</v>
      </c>
      <c r="U321" s="1186">
        <v>2</v>
      </c>
      <c r="V321" s="1186">
        <v>3</v>
      </c>
      <c r="W321" s="1186">
        <v>8</v>
      </c>
      <c r="X321" s="1186">
        <v>3</v>
      </c>
      <c r="Y321" s="1186">
        <v>1</v>
      </c>
      <c r="Z321" s="1186"/>
      <c r="AA321" s="1186"/>
      <c r="AB321" s="1186">
        <v>5</v>
      </c>
      <c r="AC321" s="1186">
        <v>1</v>
      </c>
      <c r="AD321" s="1186"/>
      <c r="AE321" s="1186"/>
      <c r="AF321" s="1186"/>
      <c r="AG321" s="1186"/>
    </row>
    <row r="322" spans="1:33" x14ac:dyDescent="0.2">
      <c r="A322" s="1186" t="s">
        <v>50</v>
      </c>
      <c r="B322" s="1186" t="s">
        <v>621</v>
      </c>
      <c r="C322" s="1186">
        <v>102</v>
      </c>
      <c r="D322" s="1186">
        <v>35</v>
      </c>
      <c r="E322" s="1186">
        <v>18</v>
      </c>
      <c r="F322" s="1186">
        <v>4</v>
      </c>
      <c r="G322" s="1186">
        <v>1</v>
      </c>
      <c r="H322" s="1186"/>
      <c r="I322" s="1186">
        <v>8</v>
      </c>
      <c r="J322" s="1186">
        <v>3</v>
      </c>
      <c r="K322" s="1186">
        <v>1</v>
      </c>
      <c r="L322" s="1186">
        <v>4</v>
      </c>
      <c r="M322" s="1186"/>
      <c r="N322" s="1186">
        <v>3</v>
      </c>
      <c r="O322" s="1186">
        <v>1</v>
      </c>
      <c r="P322" s="1186"/>
      <c r="Q322" s="1186">
        <v>5</v>
      </c>
      <c r="R322" s="1186">
        <v>1</v>
      </c>
      <c r="S322" s="1186">
        <v>1</v>
      </c>
      <c r="T322" s="1186">
        <v>2</v>
      </c>
      <c r="U322" s="1186">
        <v>1</v>
      </c>
      <c r="V322" s="1186"/>
      <c r="W322" s="1186">
        <v>5</v>
      </c>
      <c r="X322" s="1186">
        <v>1</v>
      </c>
      <c r="Y322" s="1186">
        <v>2</v>
      </c>
      <c r="Z322" s="1186"/>
      <c r="AA322" s="1186"/>
      <c r="AB322" s="1186"/>
      <c r="AC322" s="1186">
        <v>2</v>
      </c>
      <c r="AD322" s="1186">
        <v>2</v>
      </c>
      <c r="AE322" s="1186">
        <v>2</v>
      </c>
      <c r="AF322" s="1186"/>
      <c r="AG322" s="1186"/>
    </row>
    <row r="323" spans="1:33" x14ac:dyDescent="0.2">
      <c r="A323" s="1186" t="s">
        <v>51</v>
      </c>
      <c r="B323" s="1186" t="s">
        <v>621</v>
      </c>
      <c r="C323" s="1186">
        <v>180</v>
      </c>
      <c r="D323" s="1186">
        <v>48</v>
      </c>
      <c r="E323" s="1186">
        <v>74</v>
      </c>
      <c r="F323" s="1186">
        <v>10</v>
      </c>
      <c r="G323" s="1186">
        <v>1</v>
      </c>
      <c r="H323" s="1186"/>
      <c r="I323" s="1186">
        <v>11</v>
      </c>
      <c r="J323" s="1186">
        <v>2</v>
      </c>
      <c r="K323" s="1186"/>
      <c r="L323" s="1186">
        <v>7</v>
      </c>
      <c r="M323" s="1186">
        <v>2</v>
      </c>
      <c r="N323" s="1186">
        <v>4</v>
      </c>
      <c r="O323" s="1186">
        <v>1</v>
      </c>
      <c r="P323" s="1186">
        <v>1</v>
      </c>
      <c r="Q323" s="1186"/>
      <c r="R323" s="1186">
        <v>3</v>
      </c>
      <c r="S323" s="1186">
        <v>3</v>
      </c>
      <c r="T323" s="1186">
        <v>4</v>
      </c>
      <c r="U323" s="1186">
        <v>2</v>
      </c>
      <c r="V323" s="1186">
        <v>1</v>
      </c>
      <c r="W323" s="1186">
        <v>1</v>
      </c>
      <c r="X323" s="1186"/>
      <c r="Y323" s="1186"/>
      <c r="Z323" s="1186"/>
      <c r="AA323" s="1186"/>
      <c r="AB323" s="1186">
        <v>3</v>
      </c>
      <c r="AC323" s="1186"/>
      <c r="AD323" s="1186"/>
      <c r="AE323" s="1186">
        <v>2</v>
      </c>
      <c r="AF323" s="1186"/>
      <c r="AG323" s="1186"/>
    </row>
    <row r="324" spans="1:33" x14ac:dyDescent="0.2">
      <c r="A324" s="1186" t="s">
        <v>52</v>
      </c>
      <c r="B324" s="1186" t="s">
        <v>621</v>
      </c>
      <c r="C324" s="1186">
        <v>232</v>
      </c>
      <c r="D324" s="1186">
        <v>109</v>
      </c>
      <c r="E324" s="1186">
        <v>29</v>
      </c>
      <c r="F324" s="1186">
        <v>2</v>
      </c>
      <c r="G324" s="1186"/>
      <c r="H324" s="1186"/>
      <c r="I324" s="1186">
        <v>19</v>
      </c>
      <c r="J324" s="1186">
        <v>1</v>
      </c>
      <c r="K324" s="1186"/>
      <c r="L324" s="1186">
        <v>13</v>
      </c>
      <c r="M324" s="1186">
        <v>2</v>
      </c>
      <c r="N324" s="1186">
        <v>6</v>
      </c>
      <c r="O324" s="1186">
        <v>1</v>
      </c>
      <c r="P324" s="1186">
        <v>4</v>
      </c>
      <c r="Q324" s="1186">
        <v>13</v>
      </c>
      <c r="R324" s="1186">
        <v>2</v>
      </c>
      <c r="S324" s="1186">
        <v>4</v>
      </c>
      <c r="T324" s="1186">
        <v>5</v>
      </c>
      <c r="U324" s="1186">
        <v>3</v>
      </c>
      <c r="V324" s="1186">
        <v>6</v>
      </c>
      <c r="W324" s="1186">
        <v>5</v>
      </c>
      <c r="X324" s="1186">
        <v>3</v>
      </c>
      <c r="Y324" s="1186"/>
      <c r="Z324" s="1186"/>
      <c r="AA324" s="1186">
        <v>1</v>
      </c>
      <c r="AB324" s="1186">
        <v>1</v>
      </c>
      <c r="AC324" s="1186"/>
      <c r="AD324" s="1186"/>
      <c r="AE324" s="1186">
        <v>1</v>
      </c>
      <c r="AF324" s="1186">
        <v>2</v>
      </c>
      <c r="AG324" s="1186"/>
    </row>
    <row r="325" spans="1:33" x14ac:dyDescent="0.2">
      <c r="A325" s="1186" t="s">
        <v>23</v>
      </c>
      <c r="B325" s="1186" t="s">
        <v>1419</v>
      </c>
      <c r="C325" s="1186">
        <v>397</v>
      </c>
      <c r="D325" s="1186">
        <v>68</v>
      </c>
      <c r="E325" s="1186">
        <v>156</v>
      </c>
      <c r="F325" s="1186">
        <v>43</v>
      </c>
      <c r="G325" s="1186">
        <v>4</v>
      </c>
      <c r="H325" s="1186"/>
      <c r="I325" s="1186">
        <v>21</v>
      </c>
      <c r="J325" s="1186"/>
      <c r="K325" s="1186"/>
      <c r="L325" s="1186">
        <v>10</v>
      </c>
      <c r="M325" s="1186">
        <v>1</v>
      </c>
      <c r="N325" s="1186">
        <v>15</v>
      </c>
      <c r="O325" s="1186">
        <v>3</v>
      </c>
      <c r="P325" s="1186">
        <v>13</v>
      </c>
      <c r="Q325" s="1186">
        <v>1</v>
      </c>
      <c r="R325" s="1186">
        <v>7</v>
      </c>
      <c r="S325" s="1186">
        <v>9</v>
      </c>
      <c r="T325" s="1186">
        <v>6</v>
      </c>
      <c r="U325" s="1186">
        <v>9</v>
      </c>
      <c r="V325" s="1186">
        <v>6</v>
      </c>
      <c r="W325" s="1186">
        <v>4</v>
      </c>
      <c r="X325" s="1186">
        <v>2</v>
      </c>
      <c r="Y325" s="1186"/>
      <c r="Z325" s="1186"/>
      <c r="AA325" s="1186"/>
      <c r="AB325" s="1186">
        <v>2</v>
      </c>
      <c r="AC325" s="1186">
        <v>10</v>
      </c>
      <c r="AD325" s="1186"/>
      <c r="AE325" s="1186">
        <v>5</v>
      </c>
      <c r="AF325" s="1186">
        <v>2</v>
      </c>
      <c r="AG325" s="1186"/>
    </row>
    <row r="326" spans="1:33" x14ac:dyDescent="0.2">
      <c r="A326" s="1186" t="s">
        <v>24</v>
      </c>
      <c r="B326" s="1186" t="s">
        <v>1419</v>
      </c>
      <c r="C326" s="1186">
        <v>247</v>
      </c>
      <c r="D326" s="1186">
        <v>98</v>
      </c>
      <c r="E326" s="1186">
        <v>18</v>
      </c>
      <c r="F326" s="1186">
        <v>5</v>
      </c>
      <c r="G326" s="1186"/>
      <c r="H326" s="1186"/>
      <c r="I326" s="1186">
        <v>42</v>
      </c>
      <c r="J326" s="1186">
        <v>1</v>
      </c>
      <c r="K326" s="1186">
        <v>3</v>
      </c>
      <c r="L326" s="1186">
        <v>10</v>
      </c>
      <c r="M326" s="1186">
        <v>9</v>
      </c>
      <c r="N326" s="1186">
        <v>7</v>
      </c>
      <c r="O326" s="1186">
        <v>2</v>
      </c>
      <c r="P326" s="1186">
        <v>3</v>
      </c>
      <c r="Q326" s="1186">
        <v>11</v>
      </c>
      <c r="R326" s="1186">
        <v>2</v>
      </c>
      <c r="S326" s="1186">
        <v>3</v>
      </c>
      <c r="T326" s="1186">
        <v>7</v>
      </c>
      <c r="U326" s="1186">
        <v>5</v>
      </c>
      <c r="V326" s="1186"/>
      <c r="W326" s="1186">
        <v>5</v>
      </c>
      <c r="X326" s="1186">
        <v>5</v>
      </c>
      <c r="Y326" s="1186"/>
      <c r="Z326" s="1186">
        <v>1</v>
      </c>
      <c r="AA326" s="1186"/>
      <c r="AB326" s="1186">
        <v>7</v>
      </c>
      <c r="AC326" s="1186"/>
      <c r="AD326" s="1186">
        <v>1</v>
      </c>
      <c r="AE326" s="1186">
        <v>2</v>
      </c>
      <c r="AF326" s="1186"/>
      <c r="AG326" s="1186"/>
    </row>
    <row r="327" spans="1:33" x14ac:dyDescent="0.2">
      <c r="A327" s="1186" t="s">
        <v>25</v>
      </c>
      <c r="B327" s="1186" t="s">
        <v>1419</v>
      </c>
      <c r="C327" s="1186">
        <v>124</v>
      </c>
      <c r="D327" s="1186">
        <v>42</v>
      </c>
      <c r="E327" s="1186">
        <v>17</v>
      </c>
      <c r="F327" s="1186">
        <v>7</v>
      </c>
      <c r="G327" s="1186">
        <v>1</v>
      </c>
      <c r="H327" s="1186"/>
      <c r="I327" s="1186">
        <v>20</v>
      </c>
      <c r="J327" s="1186"/>
      <c r="K327" s="1186">
        <v>2</v>
      </c>
      <c r="L327" s="1186">
        <v>7</v>
      </c>
      <c r="M327" s="1186">
        <v>2</v>
      </c>
      <c r="N327" s="1186">
        <v>2</v>
      </c>
      <c r="O327" s="1186">
        <v>1</v>
      </c>
      <c r="P327" s="1186">
        <v>2</v>
      </c>
      <c r="Q327" s="1186">
        <v>2</v>
      </c>
      <c r="R327" s="1186">
        <v>2</v>
      </c>
      <c r="S327" s="1186">
        <v>3</v>
      </c>
      <c r="T327" s="1186">
        <v>2</v>
      </c>
      <c r="U327" s="1186">
        <v>3</v>
      </c>
      <c r="V327" s="1186">
        <v>3</v>
      </c>
      <c r="W327" s="1186">
        <v>1</v>
      </c>
      <c r="X327" s="1186"/>
      <c r="Y327" s="1186"/>
      <c r="Z327" s="1186">
        <v>2</v>
      </c>
      <c r="AA327" s="1186"/>
      <c r="AB327" s="1186">
        <v>1</v>
      </c>
      <c r="AC327" s="1186"/>
      <c r="AD327" s="1186"/>
      <c r="AE327" s="1186">
        <v>1</v>
      </c>
      <c r="AF327" s="1186"/>
      <c r="AG327" s="1186">
        <v>1</v>
      </c>
    </row>
    <row r="328" spans="1:33" x14ac:dyDescent="0.2">
      <c r="A328" s="1186" t="s">
        <v>26</v>
      </c>
      <c r="B328" s="1186" t="s">
        <v>1419</v>
      </c>
      <c r="C328" s="1186">
        <v>117</v>
      </c>
      <c r="D328" s="1186">
        <v>45</v>
      </c>
      <c r="E328" s="1186">
        <v>31</v>
      </c>
      <c r="F328" s="1186">
        <v>6</v>
      </c>
      <c r="G328" s="1186"/>
      <c r="H328" s="1186"/>
      <c r="I328" s="1186">
        <v>3</v>
      </c>
      <c r="J328" s="1186">
        <v>3</v>
      </c>
      <c r="K328" s="1186"/>
      <c r="L328" s="1186">
        <v>3</v>
      </c>
      <c r="M328" s="1186">
        <v>3</v>
      </c>
      <c r="N328" s="1186">
        <v>4</v>
      </c>
      <c r="O328" s="1186"/>
      <c r="P328" s="1186">
        <v>1</v>
      </c>
      <c r="Q328" s="1186"/>
      <c r="R328" s="1186">
        <v>1</v>
      </c>
      <c r="S328" s="1186">
        <v>1</v>
      </c>
      <c r="T328" s="1186">
        <v>2</v>
      </c>
      <c r="U328" s="1186">
        <v>3</v>
      </c>
      <c r="V328" s="1186">
        <v>1</v>
      </c>
      <c r="W328" s="1186">
        <v>4</v>
      </c>
      <c r="X328" s="1186">
        <v>2</v>
      </c>
      <c r="Y328" s="1186"/>
      <c r="Z328" s="1186"/>
      <c r="AA328" s="1186">
        <v>3</v>
      </c>
      <c r="AB328" s="1186"/>
      <c r="AC328" s="1186"/>
      <c r="AD328" s="1186"/>
      <c r="AE328" s="1186"/>
      <c r="AF328" s="1186"/>
      <c r="AG328" s="1186">
        <v>1</v>
      </c>
    </row>
    <row r="329" spans="1:33" x14ac:dyDescent="0.2">
      <c r="A329" s="1186" t="s">
        <v>619</v>
      </c>
      <c r="B329" s="1186" t="s">
        <v>1419</v>
      </c>
      <c r="C329" s="1186">
        <v>679</v>
      </c>
      <c r="D329" s="1186">
        <v>94</v>
      </c>
      <c r="E329" s="1186">
        <v>228</v>
      </c>
      <c r="F329" s="1186">
        <v>115</v>
      </c>
      <c r="G329" s="1186">
        <v>5</v>
      </c>
      <c r="H329" s="1186"/>
      <c r="I329" s="1186">
        <v>37</v>
      </c>
      <c r="J329" s="1186">
        <v>1</v>
      </c>
      <c r="K329" s="1186">
        <v>3</v>
      </c>
      <c r="L329" s="1186">
        <v>11</v>
      </c>
      <c r="M329" s="1186">
        <v>1</v>
      </c>
      <c r="N329" s="1186">
        <v>9</v>
      </c>
      <c r="O329" s="1186">
        <v>1</v>
      </c>
      <c r="P329" s="1186">
        <v>17</v>
      </c>
      <c r="Q329" s="1186">
        <v>10</v>
      </c>
      <c r="R329" s="1186">
        <v>14</v>
      </c>
      <c r="S329" s="1186">
        <v>21</v>
      </c>
      <c r="T329" s="1186">
        <v>22</v>
      </c>
      <c r="U329" s="1186">
        <v>14</v>
      </c>
      <c r="V329" s="1186">
        <v>15</v>
      </c>
      <c r="W329" s="1186">
        <v>8</v>
      </c>
      <c r="X329" s="1186">
        <v>9</v>
      </c>
      <c r="Y329" s="1186">
        <v>7</v>
      </c>
      <c r="Z329" s="1186">
        <v>1</v>
      </c>
      <c r="AA329" s="1186"/>
      <c r="AB329" s="1186">
        <v>7</v>
      </c>
      <c r="AC329" s="1186">
        <v>21</v>
      </c>
      <c r="AD329" s="1186">
        <v>6</v>
      </c>
      <c r="AE329" s="1186">
        <v>1</v>
      </c>
      <c r="AF329" s="1186"/>
      <c r="AG329" s="1186">
        <v>1</v>
      </c>
    </row>
    <row r="330" spans="1:33" x14ac:dyDescent="0.2">
      <c r="A330" s="1186" t="s">
        <v>27</v>
      </c>
      <c r="B330" s="1186" t="s">
        <v>1419</v>
      </c>
      <c r="C330" s="1186">
        <v>67</v>
      </c>
      <c r="D330" s="1186">
        <v>26</v>
      </c>
      <c r="E330" s="1186">
        <v>15</v>
      </c>
      <c r="F330" s="1186">
        <v>5</v>
      </c>
      <c r="G330" s="1186"/>
      <c r="H330" s="1186"/>
      <c r="I330" s="1186">
        <v>3</v>
      </c>
      <c r="J330" s="1186"/>
      <c r="K330" s="1186">
        <v>1</v>
      </c>
      <c r="L330" s="1186">
        <v>3</v>
      </c>
      <c r="M330" s="1186"/>
      <c r="N330" s="1186">
        <v>2</v>
      </c>
      <c r="O330" s="1186"/>
      <c r="P330" s="1186">
        <v>1</v>
      </c>
      <c r="Q330" s="1186">
        <v>5</v>
      </c>
      <c r="R330" s="1186"/>
      <c r="S330" s="1186">
        <v>1</v>
      </c>
      <c r="T330" s="1186">
        <v>1</v>
      </c>
      <c r="U330" s="1186">
        <v>1</v>
      </c>
      <c r="V330" s="1186"/>
      <c r="W330" s="1186">
        <v>1</v>
      </c>
      <c r="X330" s="1186"/>
      <c r="Y330" s="1186"/>
      <c r="Z330" s="1186"/>
      <c r="AA330" s="1186"/>
      <c r="AB330" s="1186">
        <v>2</v>
      </c>
      <c r="AC330" s="1186"/>
      <c r="AD330" s="1186"/>
      <c r="AE330" s="1186"/>
      <c r="AF330" s="1186"/>
      <c r="AG330" s="1186"/>
    </row>
    <row r="331" spans="1:33" x14ac:dyDescent="0.2">
      <c r="A331" s="1186" t="s">
        <v>28</v>
      </c>
      <c r="B331" s="1186" t="s">
        <v>1419</v>
      </c>
      <c r="C331" s="1186">
        <v>147</v>
      </c>
      <c r="D331" s="1186">
        <v>64</v>
      </c>
      <c r="E331" s="1186">
        <v>21</v>
      </c>
      <c r="F331" s="1186">
        <v>3</v>
      </c>
      <c r="G331" s="1186">
        <v>1</v>
      </c>
      <c r="H331" s="1186"/>
      <c r="I331" s="1186">
        <v>7</v>
      </c>
      <c r="J331" s="1186">
        <v>2</v>
      </c>
      <c r="K331" s="1186"/>
      <c r="L331" s="1186">
        <v>8</v>
      </c>
      <c r="M331" s="1186">
        <v>3</v>
      </c>
      <c r="N331" s="1186">
        <v>7</v>
      </c>
      <c r="O331" s="1186">
        <v>2</v>
      </c>
      <c r="P331" s="1186">
        <v>1</v>
      </c>
      <c r="Q331" s="1186">
        <v>2</v>
      </c>
      <c r="R331" s="1186">
        <v>2</v>
      </c>
      <c r="S331" s="1186">
        <v>9</v>
      </c>
      <c r="T331" s="1186">
        <v>4</v>
      </c>
      <c r="U331" s="1186">
        <v>5</v>
      </c>
      <c r="V331" s="1186"/>
      <c r="W331" s="1186">
        <v>1</v>
      </c>
      <c r="X331" s="1186">
        <v>2</v>
      </c>
      <c r="Y331" s="1186"/>
      <c r="Z331" s="1186"/>
      <c r="AA331" s="1186"/>
      <c r="AB331" s="1186">
        <v>3</v>
      </c>
      <c r="AC331" s="1186"/>
      <c r="AD331" s="1186"/>
      <c r="AE331" s="1186"/>
      <c r="AF331" s="1186"/>
      <c r="AG331" s="1186"/>
    </row>
    <row r="332" spans="1:33" x14ac:dyDescent="0.2">
      <c r="A332" s="1186" t="s">
        <v>29</v>
      </c>
      <c r="B332" s="1186" t="s">
        <v>1419</v>
      </c>
      <c r="C332" s="1186">
        <v>243</v>
      </c>
      <c r="D332" s="1186">
        <v>34</v>
      </c>
      <c r="E332" s="1186">
        <v>89</v>
      </c>
      <c r="F332" s="1186">
        <v>42</v>
      </c>
      <c r="G332" s="1186">
        <v>3</v>
      </c>
      <c r="H332" s="1186"/>
      <c r="I332" s="1186">
        <v>20</v>
      </c>
      <c r="J332" s="1186"/>
      <c r="K332" s="1186"/>
      <c r="L332" s="1186">
        <v>10</v>
      </c>
      <c r="M332" s="1186"/>
      <c r="N332" s="1186">
        <v>7</v>
      </c>
      <c r="O332" s="1186"/>
      <c r="P332" s="1186">
        <v>3</v>
      </c>
      <c r="Q332" s="1186">
        <v>1</v>
      </c>
      <c r="R332" s="1186">
        <v>3</v>
      </c>
      <c r="S332" s="1186">
        <v>5</v>
      </c>
      <c r="T332" s="1186">
        <v>6</v>
      </c>
      <c r="U332" s="1186">
        <v>2</v>
      </c>
      <c r="V332" s="1186">
        <v>6</v>
      </c>
      <c r="W332" s="1186"/>
      <c r="X332" s="1186">
        <v>1</v>
      </c>
      <c r="Y332" s="1186"/>
      <c r="Z332" s="1186"/>
      <c r="AA332" s="1186"/>
      <c r="AB332" s="1186">
        <v>1</v>
      </c>
      <c r="AC332" s="1186">
        <v>5</v>
      </c>
      <c r="AD332" s="1186"/>
      <c r="AE332" s="1186">
        <v>3</v>
      </c>
      <c r="AF332" s="1186">
        <v>1</v>
      </c>
      <c r="AG332" s="1186">
        <v>1</v>
      </c>
    </row>
    <row r="333" spans="1:33" x14ac:dyDescent="0.2">
      <c r="A333" s="1186" t="s">
        <v>30</v>
      </c>
      <c r="B333" s="1186" t="s">
        <v>1419</v>
      </c>
      <c r="C333" s="1186">
        <v>135</v>
      </c>
      <c r="D333" s="1186">
        <v>70</v>
      </c>
      <c r="E333" s="1186">
        <v>33</v>
      </c>
      <c r="F333" s="1186">
        <v>1</v>
      </c>
      <c r="G333" s="1186"/>
      <c r="H333" s="1186"/>
      <c r="I333" s="1186">
        <v>2</v>
      </c>
      <c r="J333" s="1186">
        <v>1</v>
      </c>
      <c r="K333" s="1186"/>
      <c r="L333" s="1186">
        <v>12</v>
      </c>
      <c r="M333" s="1186">
        <v>1</v>
      </c>
      <c r="N333" s="1186">
        <v>2</v>
      </c>
      <c r="O333" s="1186">
        <v>1</v>
      </c>
      <c r="P333" s="1186"/>
      <c r="Q333" s="1186">
        <v>1</v>
      </c>
      <c r="R333" s="1186">
        <v>1</v>
      </c>
      <c r="S333" s="1186"/>
      <c r="T333" s="1186"/>
      <c r="U333" s="1186"/>
      <c r="V333" s="1186">
        <v>5</v>
      </c>
      <c r="W333" s="1186">
        <v>3</v>
      </c>
      <c r="X333" s="1186"/>
      <c r="Y333" s="1186"/>
      <c r="Z333" s="1186"/>
      <c r="AA333" s="1186"/>
      <c r="AB333" s="1186">
        <v>2</v>
      </c>
      <c r="AC333" s="1186"/>
      <c r="AD333" s="1186"/>
      <c r="AE333" s="1186"/>
      <c r="AF333" s="1186"/>
      <c r="AG333" s="1186"/>
    </row>
    <row r="334" spans="1:33" x14ac:dyDescent="0.2">
      <c r="A334" s="1186" t="s">
        <v>31</v>
      </c>
      <c r="B334" s="1186" t="s">
        <v>1419</v>
      </c>
      <c r="C334" s="1186">
        <v>97</v>
      </c>
      <c r="D334" s="1186">
        <v>41</v>
      </c>
      <c r="E334" s="1186">
        <v>22</v>
      </c>
      <c r="F334" s="1186">
        <v>1</v>
      </c>
      <c r="G334" s="1186"/>
      <c r="H334" s="1186"/>
      <c r="I334" s="1186">
        <v>6</v>
      </c>
      <c r="J334" s="1186"/>
      <c r="K334" s="1186"/>
      <c r="L334" s="1186">
        <v>6</v>
      </c>
      <c r="M334" s="1186"/>
      <c r="N334" s="1186">
        <v>2</v>
      </c>
      <c r="O334" s="1186"/>
      <c r="P334" s="1186"/>
      <c r="Q334" s="1186">
        <v>4</v>
      </c>
      <c r="R334" s="1186">
        <v>1</v>
      </c>
      <c r="S334" s="1186">
        <v>2</v>
      </c>
      <c r="T334" s="1186">
        <v>1</v>
      </c>
      <c r="U334" s="1186">
        <v>2</v>
      </c>
      <c r="V334" s="1186"/>
      <c r="W334" s="1186">
        <v>2</v>
      </c>
      <c r="X334" s="1186"/>
      <c r="Y334" s="1186"/>
      <c r="Z334" s="1186"/>
      <c r="AA334" s="1186"/>
      <c r="AB334" s="1186">
        <v>5</v>
      </c>
      <c r="AC334" s="1186"/>
      <c r="AD334" s="1186"/>
      <c r="AE334" s="1186">
        <v>2</v>
      </c>
      <c r="AF334" s="1186"/>
      <c r="AG334" s="1186"/>
    </row>
    <row r="335" spans="1:33" x14ac:dyDescent="0.2">
      <c r="A335" s="1186" t="s">
        <v>32</v>
      </c>
      <c r="B335" s="1186" t="s">
        <v>1419</v>
      </c>
      <c r="C335" s="1186">
        <v>88</v>
      </c>
      <c r="D335" s="1186">
        <v>40</v>
      </c>
      <c r="E335" s="1186">
        <v>6</v>
      </c>
      <c r="F335" s="1186">
        <v>8</v>
      </c>
      <c r="G335" s="1186">
        <v>1</v>
      </c>
      <c r="H335" s="1186"/>
      <c r="I335" s="1186">
        <v>3</v>
      </c>
      <c r="J335" s="1186"/>
      <c r="K335" s="1186">
        <v>1</v>
      </c>
      <c r="L335" s="1186">
        <v>8</v>
      </c>
      <c r="M335" s="1186"/>
      <c r="N335" s="1186">
        <v>2</v>
      </c>
      <c r="O335" s="1186"/>
      <c r="P335" s="1186">
        <v>1</v>
      </c>
      <c r="Q335" s="1186">
        <v>1</v>
      </c>
      <c r="R335" s="1186">
        <v>3</v>
      </c>
      <c r="S335" s="1186">
        <v>4</v>
      </c>
      <c r="T335" s="1186">
        <v>2</v>
      </c>
      <c r="U335" s="1186">
        <v>4</v>
      </c>
      <c r="V335" s="1186"/>
      <c r="W335" s="1186"/>
      <c r="X335" s="1186">
        <v>2</v>
      </c>
      <c r="Y335" s="1186"/>
      <c r="Z335" s="1186"/>
      <c r="AA335" s="1186"/>
      <c r="AB335" s="1186">
        <v>1</v>
      </c>
      <c r="AC335" s="1186">
        <v>1</v>
      </c>
      <c r="AD335" s="1186"/>
      <c r="AE335" s="1186"/>
      <c r="AF335" s="1186"/>
      <c r="AG335" s="1186"/>
    </row>
    <row r="336" spans="1:33" x14ac:dyDescent="0.2">
      <c r="A336" s="1186" t="s">
        <v>33</v>
      </c>
      <c r="B336" s="1186" t="s">
        <v>1419</v>
      </c>
      <c r="C336" s="1186">
        <v>89</v>
      </c>
      <c r="D336" s="1186">
        <v>41</v>
      </c>
      <c r="E336" s="1186">
        <v>9</v>
      </c>
      <c r="F336" s="1186">
        <v>4</v>
      </c>
      <c r="G336" s="1186"/>
      <c r="H336" s="1186"/>
      <c r="I336" s="1186">
        <v>13</v>
      </c>
      <c r="J336" s="1186"/>
      <c r="K336" s="1186"/>
      <c r="L336" s="1186">
        <v>4</v>
      </c>
      <c r="M336" s="1186"/>
      <c r="N336" s="1186"/>
      <c r="O336" s="1186"/>
      <c r="P336" s="1186">
        <v>1</v>
      </c>
      <c r="Q336" s="1186">
        <v>1</v>
      </c>
      <c r="R336" s="1186">
        <v>2</v>
      </c>
      <c r="S336" s="1186"/>
      <c r="T336" s="1186">
        <v>3</v>
      </c>
      <c r="U336" s="1186">
        <v>5</v>
      </c>
      <c r="V336" s="1186"/>
      <c r="W336" s="1186">
        <v>4</v>
      </c>
      <c r="X336" s="1186">
        <v>1</v>
      </c>
      <c r="Y336" s="1186"/>
      <c r="Z336" s="1186"/>
      <c r="AA336" s="1186"/>
      <c r="AB336" s="1186"/>
      <c r="AC336" s="1186"/>
      <c r="AD336" s="1186"/>
      <c r="AE336" s="1186">
        <v>1</v>
      </c>
      <c r="AF336" s="1186"/>
      <c r="AG336" s="1186"/>
    </row>
    <row r="337" spans="1:33" x14ac:dyDescent="0.2">
      <c r="A337" s="1186" t="s">
        <v>34</v>
      </c>
      <c r="B337" s="1186" t="s">
        <v>1419</v>
      </c>
      <c r="C337" s="1186">
        <v>186</v>
      </c>
      <c r="D337" s="1186">
        <v>61</v>
      </c>
      <c r="E337" s="1186">
        <v>44</v>
      </c>
      <c r="F337" s="1186">
        <v>4</v>
      </c>
      <c r="G337" s="1186"/>
      <c r="H337" s="1186"/>
      <c r="I337" s="1186">
        <v>8</v>
      </c>
      <c r="J337" s="1186"/>
      <c r="K337" s="1186"/>
      <c r="L337" s="1186">
        <v>15</v>
      </c>
      <c r="M337" s="1186">
        <v>1</v>
      </c>
      <c r="N337" s="1186">
        <v>10</v>
      </c>
      <c r="O337" s="1186">
        <v>1</v>
      </c>
      <c r="P337" s="1186"/>
      <c r="Q337" s="1186">
        <v>10</v>
      </c>
      <c r="R337" s="1186">
        <v>3</v>
      </c>
      <c r="S337" s="1186">
        <v>6</v>
      </c>
      <c r="T337" s="1186">
        <v>4</v>
      </c>
      <c r="U337" s="1186">
        <v>4</v>
      </c>
      <c r="V337" s="1186">
        <v>6</v>
      </c>
      <c r="W337" s="1186">
        <v>3</v>
      </c>
      <c r="X337" s="1186">
        <v>1</v>
      </c>
      <c r="Y337" s="1186"/>
      <c r="Z337" s="1186"/>
      <c r="AA337" s="1186"/>
      <c r="AB337" s="1186">
        <v>4</v>
      </c>
      <c r="AC337" s="1186"/>
      <c r="AD337" s="1186"/>
      <c r="AE337" s="1186">
        <v>1</v>
      </c>
      <c r="AF337" s="1186"/>
      <c r="AG337" s="1186"/>
    </row>
    <row r="338" spans="1:33" x14ac:dyDescent="0.2">
      <c r="A338" s="1186" t="s">
        <v>35</v>
      </c>
      <c r="B338" s="1186" t="s">
        <v>1419</v>
      </c>
      <c r="C338" s="1186">
        <v>332</v>
      </c>
      <c r="D338" s="1186">
        <v>143</v>
      </c>
      <c r="E338" s="1186">
        <v>73</v>
      </c>
      <c r="F338" s="1186">
        <v>12</v>
      </c>
      <c r="G338" s="1186">
        <v>3</v>
      </c>
      <c r="H338" s="1186"/>
      <c r="I338" s="1186">
        <v>5</v>
      </c>
      <c r="J338" s="1186"/>
      <c r="K338" s="1186"/>
      <c r="L338" s="1186">
        <v>22</v>
      </c>
      <c r="M338" s="1186">
        <v>1</v>
      </c>
      <c r="N338" s="1186">
        <v>11</v>
      </c>
      <c r="O338" s="1186">
        <v>1</v>
      </c>
      <c r="P338" s="1186">
        <v>3</v>
      </c>
      <c r="Q338" s="1186">
        <v>2</v>
      </c>
      <c r="R338" s="1186">
        <v>4</v>
      </c>
      <c r="S338" s="1186">
        <v>6</v>
      </c>
      <c r="T338" s="1186">
        <v>11</v>
      </c>
      <c r="U338" s="1186">
        <v>7</v>
      </c>
      <c r="V338" s="1186">
        <v>2</v>
      </c>
      <c r="W338" s="1186">
        <v>9</v>
      </c>
      <c r="X338" s="1186">
        <v>1</v>
      </c>
      <c r="Y338" s="1186"/>
      <c r="Z338" s="1186">
        <v>2</v>
      </c>
      <c r="AA338" s="1186"/>
      <c r="AB338" s="1186">
        <v>8</v>
      </c>
      <c r="AC338" s="1186">
        <v>4</v>
      </c>
      <c r="AD338" s="1186"/>
      <c r="AE338" s="1186">
        <v>1</v>
      </c>
      <c r="AF338" s="1186">
        <v>1</v>
      </c>
      <c r="AG338" s="1186"/>
    </row>
    <row r="339" spans="1:33" x14ac:dyDescent="0.2">
      <c r="A339" s="1186" t="s">
        <v>36</v>
      </c>
      <c r="B339" s="1186" t="s">
        <v>1419</v>
      </c>
      <c r="C339" s="1186">
        <v>1235</v>
      </c>
      <c r="D339" s="1186">
        <v>154</v>
      </c>
      <c r="E339" s="1186">
        <v>461</v>
      </c>
      <c r="F339" s="1186">
        <v>252</v>
      </c>
      <c r="G339" s="1186">
        <v>2</v>
      </c>
      <c r="H339" s="1186"/>
      <c r="I339" s="1186">
        <v>31</v>
      </c>
      <c r="J339" s="1186">
        <v>3</v>
      </c>
      <c r="K339" s="1186"/>
      <c r="L339" s="1186">
        <v>24</v>
      </c>
      <c r="M339" s="1186">
        <v>2</v>
      </c>
      <c r="N339" s="1186">
        <v>13</v>
      </c>
      <c r="O339" s="1186">
        <v>6</v>
      </c>
      <c r="P339" s="1186">
        <v>25</v>
      </c>
      <c r="Q339" s="1186">
        <v>4</v>
      </c>
      <c r="R339" s="1186">
        <v>15</v>
      </c>
      <c r="S339" s="1186">
        <v>20</v>
      </c>
      <c r="T339" s="1186">
        <v>35</v>
      </c>
      <c r="U339" s="1186">
        <v>37</v>
      </c>
      <c r="V339" s="1186">
        <v>33</v>
      </c>
      <c r="W339" s="1186">
        <v>30</v>
      </c>
      <c r="X339" s="1186">
        <v>8</v>
      </c>
      <c r="Y339" s="1186">
        <v>17</v>
      </c>
      <c r="Z339" s="1186"/>
      <c r="AA339" s="1186"/>
      <c r="AB339" s="1186">
        <v>28</v>
      </c>
      <c r="AC339" s="1186">
        <v>26</v>
      </c>
      <c r="AD339" s="1186">
        <v>1</v>
      </c>
      <c r="AE339" s="1186">
        <v>8</v>
      </c>
      <c r="AF339" s="1186"/>
      <c r="AG339" s="1186"/>
    </row>
    <row r="340" spans="1:33" x14ac:dyDescent="0.2">
      <c r="A340" s="1186" t="s">
        <v>37</v>
      </c>
      <c r="B340" s="1186" t="s">
        <v>1419</v>
      </c>
      <c r="C340" s="1186">
        <v>198</v>
      </c>
      <c r="D340" s="1186">
        <v>95</v>
      </c>
      <c r="E340" s="1186">
        <v>20</v>
      </c>
      <c r="F340" s="1186">
        <v>5</v>
      </c>
      <c r="G340" s="1186"/>
      <c r="H340" s="1186"/>
      <c r="I340" s="1186"/>
      <c r="J340" s="1186">
        <v>1</v>
      </c>
      <c r="K340" s="1186"/>
      <c r="L340" s="1186">
        <v>7</v>
      </c>
      <c r="M340" s="1186">
        <v>2</v>
      </c>
      <c r="N340" s="1186">
        <v>10</v>
      </c>
      <c r="O340" s="1186">
        <v>1</v>
      </c>
      <c r="P340" s="1186">
        <v>2</v>
      </c>
      <c r="Q340" s="1186">
        <v>3</v>
      </c>
      <c r="R340" s="1186">
        <v>3</v>
      </c>
      <c r="S340" s="1186">
        <v>11</v>
      </c>
      <c r="T340" s="1186">
        <v>6</v>
      </c>
      <c r="U340" s="1186">
        <v>4</v>
      </c>
      <c r="V340" s="1186">
        <v>6</v>
      </c>
      <c r="W340" s="1186">
        <v>7</v>
      </c>
      <c r="X340" s="1186">
        <v>6</v>
      </c>
      <c r="Y340" s="1186"/>
      <c r="Z340" s="1186">
        <v>2</v>
      </c>
      <c r="AA340" s="1186">
        <v>1</v>
      </c>
      <c r="AB340" s="1186">
        <v>1</v>
      </c>
      <c r="AC340" s="1186">
        <v>1</v>
      </c>
      <c r="AD340" s="1186">
        <v>2</v>
      </c>
      <c r="AE340" s="1186">
        <v>1</v>
      </c>
      <c r="AF340" s="1186"/>
      <c r="AG340" s="1186">
        <v>1</v>
      </c>
    </row>
    <row r="341" spans="1:33" x14ac:dyDescent="0.2">
      <c r="A341" s="1186" t="s">
        <v>38</v>
      </c>
      <c r="B341" s="1186" t="s">
        <v>1419</v>
      </c>
      <c r="C341" s="1186">
        <v>117</v>
      </c>
      <c r="D341" s="1186">
        <v>20</v>
      </c>
      <c r="E341" s="1186">
        <v>31</v>
      </c>
      <c r="F341" s="1186">
        <v>29</v>
      </c>
      <c r="G341" s="1186"/>
      <c r="H341" s="1186"/>
      <c r="I341" s="1186">
        <v>9</v>
      </c>
      <c r="J341" s="1186"/>
      <c r="K341" s="1186"/>
      <c r="L341" s="1186">
        <v>7</v>
      </c>
      <c r="M341" s="1186"/>
      <c r="N341" s="1186">
        <v>1</v>
      </c>
      <c r="O341" s="1186"/>
      <c r="P341" s="1186">
        <v>2</v>
      </c>
      <c r="Q341" s="1186">
        <v>2</v>
      </c>
      <c r="R341" s="1186">
        <v>1</v>
      </c>
      <c r="S341" s="1186">
        <v>1</v>
      </c>
      <c r="T341" s="1186">
        <v>4</v>
      </c>
      <c r="U341" s="1186"/>
      <c r="V341" s="1186">
        <v>2</v>
      </c>
      <c r="W341" s="1186">
        <v>6</v>
      </c>
      <c r="X341" s="1186"/>
      <c r="Y341" s="1186"/>
      <c r="Z341" s="1186"/>
      <c r="AA341" s="1186"/>
      <c r="AB341" s="1186"/>
      <c r="AC341" s="1186"/>
      <c r="AD341" s="1186"/>
      <c r="AE341" s="1186">
        <v>1</v>
      </c>
      <c r="AF341" s="1186">
        <v>1</v>
      </c>
      <c r="AG341" s="1186"/>
    </row>
    <row r="342" spans="1:33" x14ac:dyDescent="0.2">
      <c r="A342" s="1186" t="s">
        <v>39</v>
      </c>
      <c r="B342" s="1186" t="s">
        <v>1419</v>
      </c>
      <c r="C342" s="1186">
        <v>104</v>
      </c>
      <c r="D342" s="1186">
        <v>38</v>
      </c>
      <c r="E342" s="1186">
        <v>18</v>
      </c>
      <c r="F342" s="1186">
        <v>4</v>
      </c>
      <c r="G342" s="1186">
        <v>3</v>
      </c>
      <c r="H342" s="1186"/>
      <c r="I342" s="1186">
        <v>9</v>
      </c>
      <c r="J342" s="1186">
        <v>1</v>
      </c>
      <c r="K342" s="1186">
        <v>1</v>
      </c>
      <c r="L342" s="1186">
        <v>8</v>
      </c>
      <c r="M342" s="1186">
        <v>2</v>
      </c>
      <c r="N342" s="1186">
        <v>1</v>
      </c>
      <c r="O342" s="1186"/>
      <c r="P342" s="1186">
        <v>1</v>
      </c>
      <c r="Q342" s="1186">
        <v>1</v>
      </c>
      <c r="R342" s="1186">
        <v>2</v>
      </c>
      <c r="S342" s="1186"/>
      <c r="T342" s="1186">
        <v>5</v>
      </c>
      <c r="U342" s="1186">
        <v>2</v>
      </c>
      <c r="V342" s="1186">
        <v>2</v>
      </c>
      <c r="W342" s="1186">
        <v>1</v>
      </c>
      <c r="X342" s="1186"/>
      <c r="Y342" s="1186"/>
      <c r="Z342" s="1186"/>
      <c r="AA342" s="1186"/>
      <c r="AB342" s="1186">
        <v>3</v>
      </c>
      <c r="AC342" s="1186"/>
      <c r="AD342" s="1186">
        <v>1</v>
      </c>
      <c r="AE342" s="1186">
        <v>1</v>
      </c>
      <c r="AF342" s="1186"/>
      <c r="AG342" s="1186"/>
    </row>
    <row r="343" spans="1:33" x14ac:dyDescent="0.2">
      <c r="A343" s="1186" t="s">
        <v>40</v>
      </c>
      <c r="B343" s="1186" t="s">
        <v>1419</v>
      </c>
      <c r="C343" s="1186">
        <v>105</v>
      </c>
      <c r="D343" s="1186">
        <v>61</v>
      </c>
      <c r="E343" s="1186">
        <v>11</v>
      </c>
      <c r="F343" s="1186">
        <v>1</v>
      </c>
      <c r="G343" s="1186"/>
      <c r="H343" s="1186"/>
      <c r="I343" s="1186">
        <v>9</v>
      </c>
      <c r="J343" s="1186"/>
      <c r="K343" s="1186"/>
      <c r="L343" s="1186">
        <v>6</v>
      </c>
      <c r="M343" s="1186"/>
      <c r="N343" s="1186">
        <v>1</v>
      </c>
      <c r="O343" s="1186"/>
      <c r="P343" s="1186">
        <v>1</v>
      </c>
      <c r="Q343" s="1186"/>
      <c r="R343" s="1186">
        <v>2</v>
      </c>
      <c r="S343" s="1186">
        <v>1</v>
      </c>
      <c r="T343" s="1186">
        <v>2</v>
      </c>
      <c r="U343" s="1186">
        <v>3</v>
      </c>
      <c r="V343" s="1186">
        <v>2</v>
      </c>
      <c r="W343" s="1186">
        <v>4</v>
      </c>
      <c r="X343" s="1186"/>
      <c r="Y343" s="1186"/>
      <c r="Z343" s="1186"/>
      <c r="AA343" s="1186"/>
      <c r="AB343" s="1186"/>
      <c r="AC343" s="1186"/>
      <c r="AD343" s="1186"/>
      <c r="AE343" s="1186">
        <v>1</v>
      </c>
      <c r="AF343" s="1186"/>
      <c r="AG343" s="1186"/>
    </row>
    <row r="344" spans="1:33" x14ac:dyDescent="0.2">
      <c r="A344" s="1186" t="s">
        <v>295</v>
      </c>
      <c r="B344" s="1186" t="s">
        <v>1419</v>
      </c>
      <c r="C344" s="1186">
        <v>25</v>
      </c>
      <c r="D344" s="1186">
        <v>19</v>
      </c>
      <c r="E344" s="1186">
        <v>1</v>
      </c>
      <c r="F344" s="1186"/>
      <c r="G344" s="1186"/>
      <c r="H344" s="1186"/>
      <c r="I344" s="1186"/>
      <c r="J344" s="1186"/>
      <c r="K344" s="1186"/>
      <c r="L344" s="1186"/>
      <c r="M344" s="1186"/>
      <c r="N344" s="1186">
        <v>1</v>
      </c>
      <c r="O344" s="1186"/>
      <c r="P344" s="1186">
        <v>1</v>
      </c>
      <c r="Q344" s="1186"/>
      <c r="R344" s="1186">
        <v>1</v>
      </c>
      <c r="S344" s="1186"/>
      <c r="T344" s="1186"/>
      <c r="U344" s="1186">
        <v>1</v>
      </c>
      <c r="V344" s="1186"/>
      <c r="W344" s="1186"/>
      <c r="X344" s="1186"/>
      <c r="Y344" s="1186"/>
      <c r="Z344" s="1186"/>
      <c r="AA344" s="1186"/>
      <c r="AB344" s="1186">
        <v>1</v>
      </c>
      <c r="AC344" s="1186"/>
      <c r="AD344" s="1186"/>
      <c r="AE344" s="1186"/>
      <c r="AF344" s="1186"/>
      <c r="AG344" s="1186"/>
    </row>
    <row r="345" spans="1:33" x14ac:dyDescent="0.2">
      <c r="A345" s="1186" t="s">
        <v>41</v>
      </c>
      <c r="B345" s="1186" t="s">
        <v>1419</v>
      </c>
      <c r="C345" s="1186">
        <v>228</v>
      </c>
      <c r="D345" s="1186">
        <v>86</v>
      </c>
      <c r="E345" s="1186">
        <v>57</v>
      </c>
      <c r="F345" s="1186">
        <v>9</v>
      </c>
      <c r="G345" s="1186">
        <v>1</v>
      </c>
      <c r="H345" s="1186"/>
      <c r="I345" s="1186">
        <v>15</v>
      </c>
      <c r="J345" s="1186"/>
      <c r="K345" s="1186"/>
      <c r="L345" s="1186">
        <v>11</v>
      </c>
      <c r="M345" s="1186"/>
      <c r="N345" s="1186">
        <v>5</v>
      </c>
      <c r="O345" s="1186">
        <v>1</v>
      </c>
      <c r="P345" s="1186">
        <v>7</v>
      </c>
      <c r="Q345" s="1186">
        <v>1</v>
      </c>
      <c r="R345" s="1186">
        <v>6</v>
      </c>
      <c r="S345" s="1186">
        <v>5</v>
      </c>
      <c r="T345" s="1186">
        <v>3</v>
      </c>
      <c r="U345" s="1186">
        <v>4</v>
      </c>
      <c r="V345" s="1186">
        <v>4</v>
      </c>
      <c r="W345" s="1186">
        <v>4</v>
      </c>
      <c r="X345" s="1186">
        <v>1</v>
      </c>
      <c r="Y345" s="1186">
        <v>1</v>
      </c>
      <c r="Z345" s="1186"/>
      <c r="AA345" s="1186">
        <v>2</v>
      </c>
      <c r="AB345" s="1186">
        <v>4</v>
      </c>
      <c r="AC345" s="1186"/>
      <c r="AD345" s="1186"/>
      <c r="AE345" s="1186">
        <v>1</v>
      </c>
      <c r="AF345" s="1186"/>
      <c r="AG345" s="1186"/>
    </row>
    <row r="346" spans="1:33" x14ac:dyDescent="0.2">
      <c r="A346" s="1186" t="s">
        <v>42</v>
      </c>
      <c r="B346" s="1186" t="s">
        <v>1419</v>
      </c>
      <c r="C346" s="1186">
        <v>377</v>
      </c>
      <c r="D346" s="1186">
        <v>104</v>
      </c>
      <c r="E346" s="1186">
        <v>126</v>
      </c>
      <c r="F346" s="1186">
        <v>21</v>
      </c>
      <c r="G346" s="1186">
        <v>4</v>
      </c>
      <c r="H346" s="1186"/>
      <c r="I346" s="1186">
        <v>20</v>
      </c>
      <c r="J346" s="1186">
        <v>1</v>
      </c>
      <c r="K346" s="1186"/>
      <c r="L346" s="1186">
        <v>21</v>
      </c>
      <c r="M346" s="1186">
        <v>4</v>
      </c>
      <c r="N346" s="1186">
        <v>12</v>
      </c>
      <c r="O346" s="1186">
        <v>3</v>
      </c>
      <c r="P346" s="1186">
        <v>6</v>
      </c>
      <c r="Q346" s="1186">
        <v>3</v>
      </c>
      <c r="R346" s="1186">
        <v>10</v>
      </c>
      <c r="S346" s="1186">
        <v>6</v>
      </c>
      <c r="T346" s="1186">
        <v>10</v>
      </c>
      <c r="U346" s="1186">
        <v>2</v>
      </c>
      <c r="V346" s="1186">
        <v>3</v>
      </c>
      <c r="W346" s="1186">
        <v>9</v>
      </c>
      <c r="X346" s="1186">
        <v>3</v>
      </c>
      <c r="Y346" s="1186">
        <v>2</v>
      </c>
      <c r="Z346" s="1186"/>
      <c r="AA346" s="1186"/>
      <c r="AB346" s="1186">
        <v>3</v>
      </c>
      <c r="AC346" s="1186"/>
      <c r="AD346" s="1186"/>
      <c r="AE346" s="1186">
        <v>4</v>
      </c>
      <c r="AF346" s="1186"/>
      <c r="AG346" s="1186"/>
    </row>
    <row r="347" spans="1:33" x14ac:dyDescent="0.2">
      <c r="A347" s="1186" t="s">
        <v>43</v>
      </c>
      <c r="B347" s="1186" t="s">
        <v>1419</v>
      </c>
      <c r="C347" s="1186">
        <v>17</v>
      </c>
      <c r="D347" s="1186">
        <v>11</v>
      </c>
      <c r="E347" s="1186"/>
      <c r="F347" s="1186"/>
      <c r="G347" s="1186"/>
      <c r="H347" s="1186"/>
      <c r="I347" s="1186"/>
      <c r="J347" s="1186"/>
      <c r="K347" s="1186"/>
      <c r="L347" s="1186">
        <v>1</v>
      </c>
      <c r="M347" s="1186">
        <v>2</v>
      </c>
      <c r="N347" s="1186">
        <v>1</v>
      </c>
      <c r="O347" s="1186"/>
      <c r="P347" s="1186"/>
      <c r="Q347" s="1186"/>
      <c r="R347" s="1186"/>
      <c r="S347" s="1186"/>
      <c r="T347" s="1186"/>
      <c r="U347" s="1186">
        <v>1</v>
      </c>
      <c r="V347" s="1186"/>
      <c r="W347" s="1186">
        <v>1</v>
      </c>
      <c r="X347" s="1186"/>
      <c r="Y347" s="1186"/>
      <c r="Z347" s="1186"/>
      <c r="AA347" s="1186"/>
      <c r="AB347" s="1186"/>
      <c r="AC347" s="1186"/>
      <c r="AD347" s="1186"/>
      <c r="AE347" s="1186"/>
      <c r="AF347" s="1186"/>
      <c r="AG347" s="1186"/>
    </row>
    <row r="348" spans="1:33" x14ac:dyDescent="0.2">
      <c r="A348" s="1186" t="s">
        <v>44</v>
      </c>
      <c r="B348" s="1186" t="s">
        <v>1419</v>
      </c>
      <c r="C348" s="1186">
        <v>174</v>
      </c>
      <c r="D348" s="1186">
        <v>54</v>
      </c>
      <c r="E348" s="1186">
        <v>23</v>
      </c>
      <c r="F348" s="1186">
        <v>18</v>
      </c>
      <c r="G348" s="1186"/>
      <c r="H348" s="1186"/>
      <c r="I348" s="1186">
        <v>13</v>
      </c>
      <c r="J348" s="1186">
        <v>1</v>
      </c>
      <c r="K348" s="1186">
        <v>2</v>
      </c>
      <c r="L348" s="1186">
        <v>9</v>
      </c>
      <c r="M348" s="1186">
        <v>5</v>
      </c>
      <c r="N348" s="1186">
        <v>6</v>
      </c>
      <c r="O348" s="1186"/>
      <c r="P348" s="1186">
        <v>5</v>
      </c>
      <c r="Q348" s="1186">
        <v>5</v>
      </c>
      <c r="R348" s="1186">
        <v>1</v>
      </c>
      <c r="S348" s="1186">
        <v>6</v>
      </c>
      <c r="T348" s="1186">
        <v>6</v>
      </c>
      <c r="U348" s="1186">
        <v>5</v>
      </c>
      <c r="V348" s="1186">
        <v>2</v>
      </c>
      <c r="W348" s="1186">
        <v>1</v>
      </c>
      <c r="X348" s="1186">
        <v>2</v>
      </c>
      <c r="Y348" s="1186">
        <v>2</v>
      </c>
      <c r="Z348" s="1186">
        <v>1</v>
      </c>
      <c r="AA348" s="1186"/>
      <c r="AB348" s="1186">
        <v>4</v>
      </c>
      <c r="AC348" s="1186"/>
      <c r="AD348" s="1186"/>
      <c r="AE348" s="1186">
        <v>3</v>
      </c>
      <c r="AF348" s="1186"/>
      <c r="AG348" s="1186"/>
    </row>
    <row r="349" spans="1:33" x14ac:dyDescent="0.2">
      <c r="A349" s="1186" t="s">
        <v>45</v>
      </c>
      <c r="B349" s="1186" t="s">
        <v>1419</v>
      </c>
      <c r="C349" s="1186">
        <v>243</v>
      </c>
      <c r="D349" s="1186">
        <v>45</v>
      </c>
      <c r="E349" s="1186">
        <v>56</v>
      </c>
      <c r="F349" s="1186">
        <v>51</v>
      </c>
      <c r="G349" s="1186"/>
      <c r="H349" s="1186">
        <v>1</v>
      </c>
      <c r="I349" s="1186">
        <v>11</v>
      </c>
      <c r="J349" s="1186"/>
      <c r="K349" s="1186"/>
      <c r="L349" s="1186">
        <v>14</v>
      </c>
      <c r="M349" s="1186">
        <v>1</v>
      </c>
      <c r="N349" s="1186">
        <v>9</v>
      </c>
      <c r="O349" s="1186">
        <v>3</v>
      </c>
      <c r="P349" s="1186">
        <v>2</v>
      </c>
      <c r="Q349" s="1186">
        <v>1</v>
      </c>
      <c r="R349" s="1186">
        <v>2</v>
      </c>
      <c r="S349" s="1186">
        <v>3</v>
      </c>
      <c r="T349" s="1186">
        <v>11</v>
      </c>
      <c r="U349" s="1186">
        <v>4</v>
      </c>
      <c r="V349" s="1186">
        <v>4</v>
      </c>
      <c r="W349" s="1186">
        <v>3</v>
      </c>
      <c r="X349" s="1186">
        <v>3</v>
      </c>
      <c r="Y349" s="1186"/>
      <c r="Z349" s="1186"/>
      <c r="AA349" s="1186"/>
      <c r="AB349" s="1186">
        <v>10</v>
      </c>
      <c r="AC349" s="1186"/>
      <c r="AD349" s="1186">
        <v>2</v>
      </c>
      <c r="AE349" s="1186">
        <v>6</v>
      </c>
      <c r="AF349" s="1186"/>
      <c r="AG349" s="1186">
        <v>1</v>
      </c>
    </row>
    <row r="350" spans="1:33" x14ac:dyDescent="0.2">
      <c r="A350" s="1186" t="s">
        <v>46</v>
      </c>
      <c r="B350" s="1186" t="s">
        <v>1419</v>
      </c>
      <c r="C350" s="1186">
        <v>144</v>
      </c>
      <c r="D350" s="1186">
        <v>57</v>
      </c>
      <c r="E350" s="1186">
        <v>25</v>
      </c>
      <c r="F350" s="1186">
        <v>3</v>
      </c>
      <c r="G350" s="1186">
        <v>1</v>
      </c>
      <c r="H350" s="1186"/>
      <c r="I350" s="1186">
        <v>14</v>
      </c>
      <c r="J350" s="1186">
        <v>1</v>
      </c>
      <c r="K350" s="1186">
        <v>1</v>
      </c>
      <c r="L350" s="1186">
        <v>2</v>
      </c>
      <c r="M350" s="1186">
        <v>10</v>
      </c>
      <c r="N350" s="1186">
        <v>4</v>
      </c>
      <c r="O350" s="1186">
        <v>1</v>
      </c>
      <c r="P350" s="1186"/>
      <c r="Q350" s="1186"/>
      <c r="R350" s="1186">
        <v>2</v>
      </c>
      <c r="S350" s="1186"/>
      <c r="T350" s="1186">
        <v>1</v>
      </c>
      <c r="U350" s="1186">
        <v>6</v>
      </c>
      <c r="V350" s="1186">
        <v>2</v>
      </c>
      <c r="W350" s="1186">
        <v>6</v>
      </c>
      <c r="X350" s="1186">
        <v>3</v>
      </c>
      <c r="Y350" s="1186"/>
      <c r="Z350" s="1186"/>
      <c r="AA350" s="1186"/>
      <c r="AB350" s="1186">
        <v>3</v>
      </c>
      <c r="AC350" s="1186"/>
      <c r="AD350" s="1186"/>
      <c r="AE350" s="1186">
        <v>2</v>
      </c>
      <c r="AF350" s="1186"/>
      <c r="AG350" s="1186"/>
    </row>
    <row r="351" spans="1:33" x14ac:dyDescent="0.2">
      <c r="A351" s="1186" t="s">
        <v>47</v>
      </c>
      <c r="B351" s="1186" t="s">
        <v>1419</v>
      </c>
      <c r="C351" s="1186">
        <v>19</v>
      </c>
      <c r="D351" s="1186">
        <v>10</v>
      </c>
      <c r="E351" s="1186"/>
      <c r="F351" s="1186">
        <v>1</v>
      </c>
      <c r="G351" s="1186">
        <v>1</v>
      </c>
      <c r="H351" s="1186"/>
      <c r="I351" s="1186"/>
      <c r="J351" s="1186"/>
      <c r="K351" s="1186"/>
      <c r="L351" s="1186">
        <v>1</v>
      </c>
      <c r="M351" s="1186"/>
      <c r="N351" s="1186"/>
      <c r="O351" s="1186">
        <v>1</v>
      </c>
      <c r="P351" s="1186">
        <v>1</v>
      </c>
      <c r="Q351" s="1186"/>
      <c r="R351" s="1186"/>
      <c r="S351" s="1186"/>
      <c r="T351" s="1186"/>
      <c r="U351" s="1186">
        <v>2</v>
      </c>
      <c r="V351" s="1186">
        <v>1</v>
      </c>
      <c r="W351" s="1186"/>
      <c r="X351" s="1186">
        <v>1</v>
      </c>
      <c r="Y351" s="1186"/>
      <c r="Z351" s="1186"/>
      <c r="AA351" s="1186"/>
      <c r="AB351" s="1186"/>
      <c r="AC351" s="1186"/>
      <c r="AD351" s="1186"/>
      <c r="AE351" s="1186"/>
      <c r="AF351" s="1186"/>
      <c r="AG351" s="1186"/>
    </row>
    <row r="352" spans="1:33" x14ac:dyDescent="0.2">
      <c r="A352" s="1186" t="s">
        <v>48</v>
      </c>
      <c r="B352" s="1186" t="s">
        <v>1419</v>
      </c>
      <c r="C352" s="1186">
        <v>142</v>
      </c>
      <c r="D352" s="1186">
        <v>42</v>
      </c>
      <c r="E352" s="1186">
        <v>45</v>
      </c>
      <c r="F352" s="1186">
        <v>2</v>
      </c>
      <c r="G352" s="1186"/>
      <c r="H352" s="1186"/>
      <c r="I352" s="1186">
        <v>8</v>
      </c>
      <c r="J352" s="1186">
        <v>1</v>
      </c>
      <c r="K352" s="1186"/>
      <c r="L352" s="1186">
        <v>11</v>
      </c>
      <c r="M352" s="1186">
        <v>2</v>
      </c>
      <c r="N352" s="1186">
        <v>6</v>
      </c>
      <c r="O352" s="1186"/>
      <c r="P352" s="1186">
        <v>2</v>
      </c>
      <c r="Q352" s="1186"/>
      <c r="R352" s="1186"/>
      <c r="S352" s="1186">
        <v>2</v>
      </c>
      <c r="T352" s="1186">
        <v>2</v>
      </c>
      <c r="U352" s="1186">
        <v>6</v>
      </c>
      <c r="V352" s="1186">
        <v>1</v>
      </c>
      <c r="W352" s="1186">
        <v>5</v>
      </c>
      <c r="X352" s="1186">
        <v>5</v>
      </c>
      <c r="Y352" s="1186">
        <v>2</v>
      </c>
      <c r="Z352" s="1186"/>
      <c r="AA352" s="1186"/>
      <c r="AB352" s="1186"/>
      <c r="AC352" s="1186"/>
      <c r="AD352" s="1186"/>
      <c r="AE352" s="1186"/>
      <c r="AF352" s="1186"/>
      <c r="AG352" s="1186"/>
    </row>
    <row r="353" spans="1:33" x14ac:dyDescent="0.2">
      <c r="A353" s="1186" t="s">
        <v>49</v>
      </c>
      <c r="B353" s="1186" t="s">
        <v>1419</v>
      </c>
      <c r="C353" s="1186">
        <v>334</v>
      </c>
      <c r="D353" s="1186">
        <v>116</v>
      </c>
      <c r="E353" s="1186">
        <v>106</v>
      </c>
      <c r="F353" s="1186">
        <v>14</v>
      </c>
      <c r="G353" s="1186"/>
      <c r="H353" s="1186"/>
      <c r="I353" s="1186">
        <v>13</v>
      </c>
      <c r="J353" s="1186"/>
      <c r="K353" s="1186"/>
      <c r="L353" s="1186">
        <v>21</v>
      </c>
      <c r="M353" s="1186">
        <v>1</v>
      </c>
      <c r="N353" s="1186">
        <v>8</v>
      </c>
      <c r="O353" s="1186"/>
      <c r="P353" s="1186">
        <v>4</v>
      </c>
      <c r="Q353" s="1186"/>
      <c r="R353" s="1186">
        <v>1</v>
      </c>
      <c r="S353" s="1186">
        <v>6</v>
      </c>
      <c r="T353" s="1186">
        <v>14</v>
      </c>
      <c r="U353" s="1186">
        <v>5</v>
      </c>
      <c r="V353" s="1186">
        <v>3</v>
      </c>
      <c r="W353" s="1186">
        <v>7</v>
      </c>
      <c r="X353" s="1186"/>
      <c r="Y353" s="1186">
        <v>2</v>
      </c>
      <c r="Z353" s="1186"/>
      <c r="AA353" s="1186">
        <v>1</v>
      </c>
      <c r="AB353" s="1186">
        <v>8</v>
      </c>
      <c r="AC353" s="1186"/>
      <c r="AD353" s="1186"/>
      <c r="AE353" s="1186">
        <v>3</v>
      </c>
      <c r="AF353" s="1186"/>
      <c r="AG353" s="1186">
        <v>1</v>
      </c>
    </row>
    <row r="354" spans="1:33" x14ac:dyDescent="0.2">
      <c r="A354" s="1186" t="s">
        <v>50</v>
      </c>
      <c r="B354" s="1186" t="s">
        <v>1419</v>
      </c>
      <c r="C354" s="1186">
        <v>101</v>
      </c>
      <c r="D354" s="1186">
        <v>25</v>
      </c>
      <c r="E354" s="1186">
        <v>21</v>
      </c>
      <c r="F354" s="1186">
        <v>3</v>
      </c>
      <c r="G354" s="1186">
        <v>1</v>
      </c>
      <c r="H354" s="1186"/>
      <c r="I354" s="1186">
        <v>1</v>
      </c>
      <c r="J354" s="1186"/>
      <c r="K354" s="1186">
        <v>1</v>
      </c>
      <c r="L354" s="1186">
        <v>9</v>
      </c>
      <c r="M354" s="1186"/>
      <c r="N354" s="1186">
        <v>1</v>
      </c>
      <c r="O354" s="1186">
        <v>1</v>
      </c>
      <c r="P354" s="1186">
        <v>3</v>
      </c>
      <c r="Q354" s="1186">
        <v>1</v>
      </c>
      <c r="R354" s="1186">
        <v>2</v>
      </c>
      <c r="S354" s="1186">
        <v>4</v>
      </c>
      <c r="T354" s="1186">
        <v>9</v>
      </c>
      <c r="U354" s="1186">
        <v>3</v>
      </c>
      <c r="V354" s="1186"/>
      <c r="W354" s="1186">
        <v>2</v>
      </c>
      <c r="X354" s="1186">
        <v>2</v>
      </c>
      <c r="Y354" s="1186">
        <v>3</v>
      </c>
      <c r="Z354" s="1186"/>
      <c r="AA354" s="1186"/>
      <c r="AB354" s="1186">
        <v>5</v>
      </c>
      <c r="AC354" s="1186">
        <v>2</v>
      </c>
      <c r="AD354" s="1186"/>
      <c r="AE354" s="1186">
        <v>2</v>
      </c>
      <c r="AF354" s="1186"/>
      <c r="AG354" s="1186"/>
    </row>
    <row r="355" spans="1:33" x14ac:dyDescent="0.2">
      <c r="A355" s="1186" t="s">
        <v>51</v>
      </c>
      <c r="B355" s="1186" t="s">
        <v>1419</v>
      </c>
      <c r="C355" s="1186">
        <v>152</v>
      </c>
      <c r="D355" s="1186">
        <v>27</v>
      </c>
      <c r="E355" s="1186">
        <v>64</v>
      </c>
      <c r="F355" s="1186">
        <v>16</v>
      </c>
      <c r="G355" s="1186"/>
      <c r="H355" s="1186"/>
      <c r="I355" s="1186">
        <v>8</v>
      </c>
      <c r="J355" s="1186"/>
      <c r="K355" s="1186"/>
      <c r="L355" s="1186">
        <v>7</v>
      </c>
      <c r="M355" s="1186"/>
      <c r="N355" s="1186">
        <v>5</v>
      </c>
      <c r="O355" s="1186"/>
      <c r="P355" s="1186">
        <v>2</v>
      </c>
      <c r="Q355" s="1186">
        <v>2</v>
      </c>
      <c r="R355" s="1186">
        <v>2</v>
      </c>
      <c r="S355" s="1186"/>
      <c r="T355" s="1186">
        <v>5</v>
      </c>
      <c r="U355" s="1186">
        <v>1</v>
      </c>
      <c r="V355" s="1186">
        <v>2</v>
      </c>
      <c r="W355" s="1186">
        <v>1</v>
      </c>
      <c r="X355" s="1186">
        <v>4</v>
      </c>
      <c r="Y355" s="1186"/>
      <c r="Z355" s="1186"/>
      <c r="AA355" s="1186"/>
      <c r="AB355" s="1186">
        <v>5</v>
      </c>
      <c r="AC355" s="1186"/>
      <c r="AD355" s="1186"/>
      <c r="AE355" s="1186">
        <v>1</v>
      </c>
      <c r="AF355" s="1186"/>
      <c r="AG355" s="1186"/>
    </row>
    <row r="356" spans="1:33" x14ac:dyDescent="0.2">
      <c r="A356" s="1186" t="s">
        <v>52</v>
      </c>
      <c r="B356" s="1186" t="s">
        <v>1419</v>
      </c>
      <c r="C356" s="1186">
        <v>206</v>
      </c>
      <c r="D356" s="1186">
        <v>98</v>
      </c>
      <c r="E356" s="1186">
        <v>20</v>
      </c>
      <c r="F356" s="1186">
        <v>3</v>
      </c>
      <c r="G356" s="1186">
        <v>1</v>
      </c>
      <c r="H356" s="1186"/>
      <c r="I356" s="1186">
        <v>7</v>
      </c>
      <c r="J356" s="1186"/>
      <c r="K356" s="1186">
        <v>2</v>
      </c>
      <c r="L356" s="1186">
        <v>7</v>
      </c>
      <c r="M356" s="1186">
        <v>1</v>
      </c>
      <c r="N356" s="1186">
        <v>7</v>
      </c>
      <c r="O356" s="1186">
        <v>1</v>
      </c>
      <c r="P356" s="1186">
        <v>2</v>
      </c>
      <c r="Q356" s="1186">
        <v>19</v>
      </c>
      <c r="R356" s="1186">
        <v>4</v>
      </c>
      <c r="S356" s="1186">
        <v>7</v>
      </c>
      <c r="T356" s="1186">
        <v>3</v>
      </c>
      <c r="U356" s="1186">
        <v>7</v>
      </c>
      <c r="V356" s="1186"/>
      <c r="W356" s="1186">
        <v>8</v>
      </c>
      <c r="X356" s="1186"/>
      <c r="Y356" s="1186"/>
      <c r="Z356" s="1186"/>
      <c r="AA356" s="1186">
        <v>1</v>
      </c>
      <c r="AB356" s="1186">
        <v>5</v>
      </c>
      <c r="AC356" s="1186"/>
      <c r="AD356" s="1186"/>
      <c r="AE356" s="1186">
        <v>1</v>
      </c>
      <c r="AF356" s="1186">
        <v>2</v>
      </c>
      <c r="AG356" s="1186"/>
    </row>
    <row r="357" spans="1:33" x14ac:dyDescent="0.2">
      <c r="A357" s="1186" t="s">
        <v>1521</v>
      </c>
      <c r="B357" s="1186" t="s">
        <v>1419</v>
      </c>
      <c r="C357" s="1186">
        <v>1</v>
      </c>
      <c r="D357" s="1186">
        <v>1</v>
      </c>
      <c r="E357" s="1186"/>
      <c r="F357" s="1186"/>
      <c r="G357" s="1186"/>
      <c r="H357" s="1186"/>
      <c r="I357" s="1186"/>
      <c r="J357" s="1186"/>
      <c r="K357" s="1186"/>
      <c r="L357" s="1186"/>
      <c r="M357" s="1186"/>
      <c r="N357" s="1186"/>
      <c r="O357" s="1186"/>
      <c r="P357" s="1186"/>
      <c r="Q357" s="1186"/>
      <c r="R357" s="1186"/>
      <c r="S357" s="1186"/>
      <c r="T357" s="1186"/>
      <c r="U357" s="1186"/>
      <c r="V357" s="1186"/>
      <c r="W357" s="1186"/>
      <c r="X357" s="1186"/>
      <c r="Y357" s="1186"/>
      <c r="Z357" s="1186"/>
      <c r="AA357" s="1186"/>
      <c r="AB357" s="1186"/>
      <c r="AC357" s="1186"/>
      <c r="AD357" s="1186"/>
      <c r="AE357" s="1186"/>
      <c r="AF357" s="1186"/>
      <c r="AG357" s="1186"/>
    </row>
    <row r="358" spans="1:33" x14ac:dyDescent="0.2">
      <c r="A358" s="1186" t="s">
        <v>23</v>
      </c>
      <c r="B358" s="1186" t="s">
        <v>1572</v>
      </c>
      <c r="C358" s="1186">
        <v>333</v>
      </c>
      <c r="D358" s="1186">
        <v>59</v>
      </c>
      <c r="E358" s="1186">
        <v>112</v>
      </c>
      <c r="F358" s="1186">
        <v>39</v>
      </c>
      <c r="G358" s="1186"/>
      <c r="H358" s="1186"/>
      <c r="I358" s="1186">
        <v>26</v>
      </c>
      <c r="J358" s="1186"/>
      <c r="K358" s="1186">
        <v>7</v>
      </c>
      <c r="L358" s="1186">
        <v>9</v>
      </c>
      <c r="M358" s="1186">
        <v>1</v>
      </c>
      <c r="N358" s="1186">
        <v>8</v>
      </c>
      <c r="O358" s="1186">
        <v>2</v>
      </c>
      <c r="P358" s="1186">
        <v>4</v>
      </c>
      <c r="Q358" s="1186">
        <v>2</v>
      </c>
      <c r="R358" s="1186">
        <v>3</v>
      </c>
      <c r="S358" s="1186">
        <v>9</v>
      </c>
      <c r="T358" s="1186">
        <v>7</v>
      </c>
      <c r="U358" s="1186">
        <v>5</v>
      </c>
      <c r="V358" s="1186">
        <v>13</v>
      </c>
      <c r="W358" s="1186">
        <v>5</v>
      </c>
      <c r="X358" s="1186"/>
      <c r="Y358" s="1186"/>
      <c r="Z358" s="1186"/>
      <c r="AA358" s="1186"/>
      <c r="AB358" s="1186">
        <v>6</v>
      </c>
      <c r="AC358" s="1186">
        <v>11</v>
      </c>
      <c r="AD358" s="1186"/>
      <c r="AE358" s="1186">
        <v>5</v>
      </c>
      <c r="AF358" s="1186"/>
      <c r="AG358" s="1186"/>
    </row>
    <row r="359" spans="1:33" x14ac:dyDescent="0.2">
      <c r="A359" s="1186" t="s">
        <v>24</v>
      </c>
      <c r="B359" s="1186" t="s">
        <v>1572</v>
      </c>
      <c r="C359" s="1186">
        <v>263</v>
      </c>
      <c r="D359" s="1186">
        <v>96</v>
      </c>
      <c r="E359" s="1186">
        <v>15</v>
      </c>
      <c r="F359" s="1186">
        <v>11</v>
      </c>
      <c r="G359" s="1186"/>
      <c r="H359" s="1186"/>
      <c r="I359" s="1186">
        <v>40</v>
      </c>
      <c r="J359" s="1186">
        <v>2</v>
      </c>
      <c r="K359" s="1186">
        <v>8</v>
      </c>
      <c r="L359" s="1186">
        <v>19</v>
      </c>
      <c r="M359" s="1186">
        <v>7</v>
      </c>
      <c r="N359" s="1186">
        <v>19</v>
      </c>
      <c r="O359" s="1186"/>
      <c r="P359" s="1186">
        <v>1</v>
      </c>
      <c r="Q359" s="1186">
        <v>8</v>
      </c>
      <c r="R359" s="1186">
        <v>4</v>
      </c>
      <c r="S359" s="1186">
        <v>4</v>
      </c>
      <c r="T359" s="1186">
        <v>1</v>
      </c>
      <c r="U359" s="1186">
        <v>2</v>
      </c>
      <c r="V359" s="1186">
        <v>2</v>
      </c>
      <c r="W359" s="1186">
        <v>8</v>
      </c>
      <c r="X359" s="1186">
        <v>4</v>
      </c>
      <c r="Y359" s="1186"/>
      <c r="Z359" s="1186"/>
      <c r="AA359" s="1186"/>
      <c r="AB359" s="1186">
        <v>7</v>
      </c>
      <c r="AC359" s="1186"/>
      <c r="AD359" s="1186"/>
      <c r="AE359" s="1186">
        <v>4</v>
      </c>
      <c r="AF359" s="1186">
        <v>1</v>
      </c>
      <c r="AG359" s="1186"/>
    </row>
    <row r="360" spans="1:33" x14ac:dyDescent="0.2">
      <c r="A360" s="1186" t="s">
        <v>25</v>
      </c>
      <c r="B360" s="1186" t="s">
        <v>1572</v>
      </c>
      <c r="C360" s="1186">
        <v>113</v>
      </c>
      <c r="D360" s="1186">
        <v>37</v>
      </c>
      <c r="E360" s="1186">
        <v>14</v>
      </c>
      <c r="F360" s="1186">
        <v>11</v>
      </c>
      <c r="G360" s="1186"/>
      <c r="H360" s="1186"/>
      <c r="I360" s="1186">
        <v>12</v>
      </c>
      <c r="J360" s="1186">
        <v>1</v>
      </c>
      <c r="K360" s="1186">
        <v>5</v>
      </c>
      <c r="L360" s="1186">
        <v>13</v>
      </c>
      <c r="M360" s="1186">
        <v>3</v>
      </c>
      <c r="N360" s="1186">
        <v>2</v>
      </c>
      <c r="O360" s="1186">
        <v>1</v>
      </c>
      <c r="P360" s="1186">
        <v>1</v>
      </c>
      <c r="Q360" s="1186">
        <v>6</v>
      </c>
      <c r="R360" s="1186">
        <v>1</v>
      </c>
      <c r="S360" s="1186"/>
      <c r="T360" s="1186">
        <v>1</v>
      </c>
      <c r="U360" s="1186"/>
      <c r="V360" s="1186">
        <v>1</v>
      </c>
      <c r="W360" s="1186">
        <v>1</v>
      </c>
      <c r="X360" s="1186"/>
      <c r="Y360" s="1186"/>
      <c r="Z360" s="1186">
        <v>1</v>
      </c>
      <c r="AA360" s="1186"/>
      <c r="AB360" s="1186">
        <v>1</v>
      </c>
      <c r="AC360" s="1186"/>
      <c r="AD360" s="1186"/>
      <c r="AE360" s="1186">
        <v>1</v>
      </c>
      <c r="AF360" s="1186"/>
      <c r="AG360" s="1186"/>
    </row>
    <row r="361" spans="1:33" x14ac:dyDescent="0.2">
      <c r="A361" s="1186" t="s">
        <v>26</v>
      </c>
      <c r="B361" s="1186" t="s">
        <v>1572</v>
      </c>
      <c r="C361" s="1186">
        <v>118</v>
      </c>
      <c r="D361" s="1186">
        <v>41</v>
      </c>
      <c r="E361" s="1186">
        <v>24</v>
      </c>
      <c r="F361" s="1186">
        <v>8</v>
      </c>
      <c r="G361" s="1186"/>
      <c r="H361" s="1186"/>
      <c r="I361" s="1186">
        <v>12</v>
      </c>
      <c r="J361" s="1186">
        <v>1</v>
      </c>
      <c r="K361" s="1186"/>
      <c r="L361" s="1186">
        <v>5</v>
      </c>
      <c r="M361" s="1186">
        <v>2</v>
      </c>
      <c r="N361" s="1186">
        <v>4</v>
      </c>
      <c r="O361" s="1186">
        <v>1</v>
      </c>
      <c r="P361" s="1186"/>
      <c r="Q361" s="1186"/>
      <c r="R361" s="1186"/>
      <c r="S361" s="1186">
        <v>2</v>
      </c>
      <c r="T361" s="1186">
        <v>1</v>
      </c>
      <c r="U361" s="1186">
        <v>1</v>
      </c>
      <c r="V361" s="1186">
        <v>3</v>
      </c>
      <c r="W361" s="1186">
        <v>3</v>
      </c>
      <c r="X361" s="1186">
        <v>2</v>
      </c>
      <c r="Y361" s="1186"/>
      <c r="Z361" s="1186">
        <v>1</v>
      </c>
      <c r="AA361" s="1186">
        <v>3</v>
      </c>
      <c r="AB361" s="1186">
        <v>2</v>
      </c>
      <c r="AC361" s="1186">
        <v>1</v>
      </c>
      <c r="AD361" s="1186">
        <v>1</v>
      </c>
      <c r="AE361" s="1186"/>
      <c r="AF361" s="1186"/>
      <c r="AG361" s="1186"/>
    </row>
    <row r="362" spans="1:33" x14ac:dyDescent="0.2">
      <c r="A362" s="1186" t="s">
        <v>619</v>
      </c>
      <c r="B362" s="1186" t="s">
        <v>1572</v>
      </c>
      <c r="C362" s="1186">
        <v>575</v>
      </c>
      <c r="D362" s="1186">
        <v>85</v>
      </c>
      <c r="E362" s="1186">
        <v>182</v>
      </c>
      <c r="F362" s="1186">
        <v>107</v>
      </c>
      <c r="G362" s="1186">
        <v>2</v>
      </c>
      <c r="H362" s="1186"/>
      <c r="I362" s="1186">
        <v>38</v>
      </c>
      <c r="J362" s="1186"/>
      <c r="K362" s="1186">
        <v>8</v>
      </c>
      <c r="L362" s="1186">
        <v>15</v>
      </c>
      <c r="M362" s="1186">
        <v>1</v>
      </c>
      <c r="N362" s="1186">
        <v>7</v>
      </c>
      <c r="O362" s="1186"/>
      <c r="P362" s="1186">
        <v>15</v>
      </c>
      <c r="Q362" s="1186">
        <v>6</v>
      </c>
      <c r="R362" s="1186">
        <v>8</v>
      </c>
      <c r="S362" s="1186">
        <v>14</v>
      </c>
      <c r="T362" s="1186">
        <v>11</v>
      </c>
      <c r="U362" s="1186">
        <v>7</v>
      </c>
      <c r="V362" s="1186">
        <v>16</v>
      </c>
      <c r="W362" s="1186">
        <v>10</v>
      </c>
      <c r="X362" s="1186">
        <v>6</v>
      </c>
      <c r="Y362" s="1186">
        <v>12</v>
      </c>
      <c r="Z362" s="1186"/>
      <c r="AA362" s="1186"/>
      <c r="AB362" s="1186">
        <v>3</v>
      </c>
      <c r="AC362" s="1186">
        <v>16</v>
      </c>
      <c r="AD362" s="1186">
        <v>2</v>
      </c>
      <c r="AE362" s="1186">
        <v>3</v>
      </c>
      <c r="AF362" s="1186">
        <v>1</v>
      </c>
      <c r="AG362" s="1186"/>
    </row>
    <row r="363" spans="1:33" x14ac:dyDescent="0.2">
      <c r="A363" s="1186" t="s">
        <v>27</v>
      </c>
      <c r="B363" s="1186" t="s">
        <v>1572</v>
      </c>
      <c r="C363" s="1186">
        <v>76</v>
      </c>
      <c r="D363" s="1186">
        <v>40</v>
      </c>
      <c r="E363" s="1186">
        <v>10</v>
      </c>
      <c r="F363" s="1186">
        <v>3</v>
      </c>
      <c r="G363" s="1186"/>
      <c r="H363" s="1186"/>
      <c r="I363" s="1186"/>
      <c r="J363" s="1186"/>
      <c r="K363" s="1186">
        <v>2</v>
      </c>
      <c r="L363" s="1186">
        <v>5</v>
      </c>
      <c r="M363" s="1186"/>
      <c r="N363" s="1186">
        <v>3</v>
      </c>
      <c r="O363" s="1186">
        <v>1</v>
      </c>
      <c r="P363" s="1186">
        <v>1</v>
      </c>
      <c r="Q363" s="1186">
        <v>5</v>
      </c>
      <c r="R363" s="1186">
        <v>1</v>
      </c>
      <c r="S363" s="1186">
        <v>1</v>
      </c>
      <c r="T363" s="1186"/>
      <c r="U363" s="1186">
        <v>3</v>
      </c>
      <c r="V363" s="1186"/>
      <c r="W363" s="1186"/>
      <c r="X363" s="1186"/>
      <c r="Y363" s="1186"/>
      <c r="Z363" s="1186"/>
      <c r="AA363" s="1186"/>
      <c r="AB363" s="1186">
        <v>1</v>
      </c>
      <c r="AC363" s="1186"/>
      <c r="AD363" s="1186"/>
      <c r="AE363" s="1186"/>
      <c r="AF363" s="1186"/>
      <c r="AG363" s="1186"/>
    </row>
    <row r="364" spans="1:33" x14ac:dyDescent="0.2">
      <c r="A364" s="1186" t="s">
        <v>28</v>
      </c>
      <c r="B364" s="1186" t="s">
        <v>1572</v>
      </c>
      <c r="C364" s="1186">
        <v>119</v>
      </c>
      <c r="D364" s="1186">
        <v>48</v>
      </c>
      <c r="E364" s="1186">
        <v>16</v>
      </c>
      <c r="F364" s="1186">
        <v>4</v>
      </c>
      <c r="G364" s="1186">
        <v>1</v>
      </c>
      <c r="H364" s="1186"/>
      <c r="I364" s="1186">
        <v>1</v>
      </c>
      <c r="J364" s="1186">
        <v>2</v>
      </c>
      <c r="K364" s="1186">
        <v>2</v>
      </c>
      <c r="L364" s="1186">
        <v>9</v>
      </c>
      <c r="M364" s="1186">
        <v>12</v>
      </c>
      <c r="N364" s="1186">
        <v>6</v>
      </c>
      <c r="O364" s="1186"/>
      <c r="P364" s="1186"/>
      <c r="Q364" s="1186"/>
      <c r="R364" s="1186"/>
      <c r="S364" s="1186">
        <v>2</v>
      </c>
      <c r="T364" s="1186">
        <v>5</v>
      </c>
      <c r="U364" s="1186">
        <v>1</v>
      </c>
      <c r="V364" s="1186">
        <v>1</v>
      </c>
      <c r="W364" s="1186">
        <v>3</v>
      </c>
      <c r="X364" s="1186">
        <v>2</v>
      </c>
      <c r="Y364" s="1186"/>
      <c r="Z364" s="1186">
        <v>1</v>
      </c>
      <c r="AA364" s="1186"/>
      <c r="AB364" s="1186">
        <v>3</v>
      </c>
      <c r="AC364" s="1186"/>
      <c r="AD364" s="1186"/>
      <c r="AE364" s="1186"/>
      <c r="AF364" s="1186"/>
      <c r="AG364" s="1186"/>
    </row>
    <row r="365" spans="1:33" x14ac:dyDescent="0.2">
      <c r="A365" s="1186" t="s">
        <v>29</v>
      </c>
      <c r="B365" s="1186" t="s">
        <v>1572</v>
      </c>
      <c r="C365" s="1186">
        <v>263</v>
      </c>
      <c r="D365" s="1186">
        <v>57</v>
      </c>
      <c r="E365" s="1186">
        <v>80</v>
      </c>
      <c r="F365" s="1186">
        <v>51</v>
      </c>
      <c r="G365" s="1186">
        <v>1</v>
      </c>
      <c r="H365" s="1186"/>
      <c r="I365" s="1186">
        <v>14</v>
      </c>
      <c r="J365" s="1186"/>
      <c r="K365" s="1186">
        <v>6</v>
      </c>
      <c r="L365" s="1186">
        <v>2</v>
      </c>
      <c r="M365" s="1186"/>
      <c r="N365" s="1186">
        <v>13</v>
      </c>
      <c r="O365" s="1186">
        <v>2</v>
      </c>
      <c r="P365" s="1186"/>
      <c r="Q365" s="1186"/>
      <c r="R365" s="1186">
        <v>2</v>
      </c>
      <c r="S365" s="1186">
        <v>5</v>
      </c>
      <c r="T365" s="1186">
        <v>3</v>
      </c>
      <c r="U365" s="1186">
        <v>6</v>
      </c>
      <c r="V365" s="1186">
        <v>4</v>
      </c>
      <c r="W365" s="1186">
        <v>3</v>
      </c>
      <c r="X365" s="1186">
        <v>1</v>
      </c>
      <c r="Y365" s="1186">
        <v>1</v>
      </c>
      <c r="Z365" s="1186"/>
      <c r="AA365" s="1186"/>
      <c r="AB365" s="1186">
        <v>5</v>
      </c>
      <c r="AC365" s="1186">
        <v>3</v>
      </c>
      <c r="AD365" s="1186">
        <v>1</v>
      </c>
      <c r="AE365" s="1186">
        <v>2</v>
      </c>
      <c r="AF365" s="1186">
        <v>1</v>
      </c>
      <c r="AG365" s="1186"/>
    </row>
    <row r="366" spans="1:33" x14ac:dyDescent="0.2">
      <c r="A366" s="1186" t="s">
        <v>30</v>
      </c>
      <c r="B366" s="1186" t="s">
        <v>1572</v>
      </c>
      <c r="C366" s="1186">
        <v>140</v>
      </c>
      <c r="D366" s="1186">
        <v>65</v>
      </c>
      <c r="E366" s="1186">
        <v>33</v>
      </c>
      <c r="F366" s="1186">
        <v>5</v>
      </c>
      <c r="G366" s="1186"/>
      <c r="H366" s="1186"/>
      <c r="I366" s="1186">
        <v>2</v>
      </c>
      <c r="J366" s="1186"/>
      <c r="K366" s="1186">
        <v>4</v>
      </c>
      <c r="L366" s="1186">
        <v>12</v>
      </c>
      <c r="M366" s="1186">
        <v>3</v>
      </c>
      <c r="N366" s="1186"/>
      <c r="O366" s="1186"/>
      <c r="P366" s="1186">
        <v>2</v>
      </c>
      <c r="Q366" s="1186">
        <v>1</v>
      </c>
      <c r="R366" s="1186">
        <v>2</v>
      </c>
      <c r="S366" s="1186">
        <v>4</v>
      </c>
      <c r="T366" s="1186">
        <v>2</v>
      </c>
      <c r="U366" s="1186"/>
      <c r="V366" s="1186">
        <v>1</v>
      </c>
      <c r="W366" s="1186">
        <v>1</v>
      </c>
      <c r="X366" s="1186"/>
      <c r="Y366" s="1186"/>
      <c r="Z366" s="1186"/>
      <c r="AA366" s="1186">
        <v>1</v>
      </c>
      <c r="AB366" s="1186">
        <v>2</v>
      </c>
      <c r="AC366" s="1186"/>
      <c r="AD366" s="1186"/>
      <c r="AE366" s="1186"/>
      <c r="AF366" s="1186"/>
      <c r="AG366" s="1186"/>
    </row>
    <row r="367" spans="1:33" x14ac:dyDescent="0.2">
      <c r="A367" s="1186" t="s">
        <v>31</v>
      </c>
      <c r="B367" s="1186" t="s">
        <v>1572</v>
      </c>
      <c r="C367" s="1186">
        <v>95</v>
      </c>
      <c r="D367" s="1186">
        <v>52</v>
      </c>
      <c r="E367" s="1186">
        <v>15</v>
      </c>
      <c r="F367" s="1186">
        <v>2</v>
      </c>
      <c r="G367" s="1186"/>
      <c r="H367" s="1186"/>
      <c r="I367" s="1186">
        <v>5</v>
      </c>
      <c r="J367" s="1186"/>
      <c r="K367" s="1186"/>
      <c r="L367" s="1186">
        <v>4</v>
      </c>
      <c r="M367" s="1186">
        <v>1</v>
      </c>
      <c r="N367" s="1186">
        <v>2</v>
      </c>
      <c r="O367" s="1186"/>
      <c r="P367" s="1186">
        <v>2</v>
      </c>
      <c r="Q367" s="1186">
        <v>1</v>
      </c>
      <c r="R367" s="1186"/>
      <c r="S367" s="1186">
        <v>1</v>
      </c>
      <c r="T367" s="1186">
        <v>3</v>
      </c>
      <c r="U367" s="1186">
        <v>2</v>
      </c>
      <c r="V367" s="1186"/>
      <c r="W367" s="1186"/>
      <c r="X367" s="1186"/>
      <c r="Y367" s="1186"/>
      <c r="Z367" s="1186"/>
      <c r="AA367" s="1186"/>
      <c r="AB367" s="1186"/>
      <c r="AC367" s="1186"/>
      <c r="AD367" s="1186"/>
      <c r="AE367" s="1186">
        <v>5</v>
      </c>
      <c r="AF367" s="1186"/>
      <c r="AG367" s="1186"/>
    </row>
    <row r="368" spans="1:33" x14ac:dyDescent="0.2">
      <c r="A368" s="1186" t="s">
        <v>32</v>
      </c>
      <c r="B368" s="1186" t="s">
        <v>1572</v>
      </c>
      <c r="C368" s="1186">
        <v>76</v>
      </c>
      <c r="D368" s="1186">
        <v>35</v>
      </c>
      <c r="E368" s="1186">
        <v>8</v>
      </c>
      <c r="F368" s="1186">
        <v>3</v>
      </c>
      <c r="G368" s="1186"/>
      <c r="H368" s="1186"/>
      <c r="I368" s="1186">
        <v>2</v>
      </c>
      <c r="J368" s="1186"/>
      <c r="K368" s="1186">
        <v>1</v>
      </c>
      <c r="L368" s="1186">
        <v>5</v>
      </c>
      <c r="M368" s="1186">
        <v>3</v>
      </c>
      <c r="N368" s="1186">
        <v>3</v>
      </c>
      <c r="O368" s="1186"/>
      <c r="P368" s="1186">
        <v>1</v>
      </c>
      <c r="Q368" s="1186">
        <v>1</v>
      </c>
      <c r="R368" s="1186">
        <v>2</v>
      </c>
      <c r="S368" s="1186">
        <v>2</v>
      </c>
      <c r="T368" s="1186">
        <v>1</v>
      </c>
      <c r="U368" s="1186">
        <v>2</v>
      </c>
      <c r="V368" s="1186"/>
      <c r="W368" s="1186"/>
      <c r="X368" s="1186"/>
      <c r="Y368" s="1186"/>
      <c r="Z368" s="1186"/>
      <c r="AA368" s="1186"/>
      <c r="AB368" s="1186">
        <v>4</v>
      </c>
      <c r="AC368" s="1186">
        <v>2</v>
      </c>
      <c r="AD368" s="1186"/>
      <c r="AE368" s="1186"/>
      <c r="AF368" s="1186">
        <v>1</v>
      </c>
      <c r="AG368" s="1186"/>
    </row>
    <row r="369" spans="1:33" x14ac:dyDescent="0.2">
      <c r="A369" s="1186" t="s">
        <v>33</v>
      </c>
      <c r="B369" s="1186" t="s">
        <v>1572</v>
      </c>
      <c r="C369" s="1186">
        <v>65</v>
      </c>
      <c r="D369" s="1186">
        <v>31</v>
      </c>
      <c r="E369" s="1186">
        <v>13</v>
      </c>
      <c r="F369" s="1186">
        <v>4</v>
      </c>
      <c r="G369" s="1186"/>
      <c r="H369" s="1186"/>
      <c r="I369" s="1186">
        <v>5</v>
      </c>
      <c r="J369" s="1186"/>
      <c r="K369" s="1186"/>
      <c r="L369" s="1186">
        <v>3</v>
      </c>
      <c r="M369" s="1186">
        <v>1</v>
      </c>
      <c r="N369" s="1186">
        <v>1</v>
      </c>
      <c r="O369" s="1186"/>
      <c r="P369" s="1186">
        <v>1</v>
      </c>
      <c r="Q369" s="1186"/>
      <c r="R369" s="1186"/>
      <c r="S369" s="1186">
        <v>2</v>
      </c>
      <c r="T369" s="1186">
        <v>1</v>
      </c>
      <c r="U369" s="1186">
        <v>1</v>
      </c>
      <c r="V369" s="1186"/>
      <c r="W369" s="1186"/>
      <c r="X369" s="1186"/>
      <c r="Y369" s="1186"/>
      <c r="Z369" s="1186"/>
      <c r="AA369" s="1186"/>
      <c r="AB369" s="1186">
        <v>1</v>
      </c>
      <c r="AC369" s="1186"/>
      <c r="AD369" s="1186"/>
      <c r="AE369" s="1186">
        <v>1</v>
      </c>
      <c r="AF369" s="1186"/>
      <c r="AG369" s="1186"/>
    </row>
    <row r="370" spans="1:33" x14ac:dyDescent="0.2">
      <c r="A370" s="1186" t="s">
        <v>34</v>
      </c>
      <c r="B370" s="1186" t="s">
        <v>1572</v>
      </c>
      <c r="C370" s="1186">
        <v>167</v>
      </c>
      <c r="D370" s="1186">
        <v>41</v>
      </c>
      <c r="E370" s="1186">
        <v>49</v>
      </c>
      <c r="F370" s="1186">
        <v>5</v>
      </c>
      <c r="G370" s="1186"/>
      <c r="H370" s="1186"/>
      <c r="I370" s="1186">
        <v>11</v>
      </c>
      <c r="J370" s="1186"/>
      <c r="K370" s="1186">
        <v>3</v>
      </c>
      <c r="L370" s="1186">
        <v>16</v>
      </c>
      <c r="M370" s="1186">
        <v>2</v>
      </c>
      <c r="N370" s="1186">
        <v>8</v>
      </c>
      <c r="O370" s="1186">
        <v>1</v>
      </c>
      <c r="P370" s="1186"/>
      <c r="Q370" s="1186">
        <v>10</v>
      </c>
      <c r="R370" s="1186">
        <v>1</v>
      </c>
      <c r="S370" s="1186">
        <v>3</v>
      </c>
      <c r="T370" s="1186">
        <v>5</v>
      </c>
      <c r="U370" s="1186">
        <v>2</v>
      </c>
      <c r="V370" s="1186">
        <v>1</v>
      </c>
      <c r="W370" s="1186">
        <v>3</v>
      </c>
      <c r="X370" s="1186"/>
      <c r="Y370" s="1186"/>
      <c r="Z370" s="1186"/>
      <c r="AA370" s="1186"/>
      <c r="AB370" s="1186">
        <v>5</v>
      </c>
      <c r="AC370" s="1186"/>
      <c r="AD370" s="1186"/>
      <c r="AE370" s="1186">
        <v>1</v>
      </c>
      <c r="AF370" s="1186"/>
      <c r="AG370" s="1186"/>
    </row>
    <row r="371" spans="1:33" x14ac:dyDescent="0.2">
      <c r="A371" s="1186" t="s">
        <v>35</v>
      </c>
      <c r="B371" s="1186" t="s">
        <v>1572</v>
      </c>
      <c r="C371" s="1186">
        <v>346</v>
      </c>
      <c r="D371" s="1186">
        <v>146</v>
      </c>
      <c r="E371" s="1186">
        <v>78</v>
      </c>
      <c r="F371" s="1186">
        <v>11</v>
      </c>
      <c r="G371" s="1186">
        <v>1</v>
      </c>
      <c r="H371" s="1186">
        <v>1</v>
      </c>
      <c r="I371" s="1186">
        <v>9</v>
      </c>
      <c r="J371" s="1186"/>
      <c r="K371" s="1186">
        <v>1</v>
      </c>
      <c r="L371" s="1186">
        <v>28</v>
      </c>
      <c r="M371" s="1186">
        <v>7</v>
      </c>
      <c r="N371" s="1186">
        <v>20</v>
      </c>
      <c r="O371" s="1186">
        <v>2</v>
      </c>
      <c r="P371" s="1186">
        <v>1</v>
      </c>
      <c r="Q371" s="1186">
        <v>2</v>
      </c>
      <c r="R371" s="1186">
        <v>9</v>
      </c>
      <c r="S371" s="1186">
        <v>2</v>
      </c>
      <c r="T371" s="1186">
        <v>7</v>
      </c>
      <c r="U371" s="1186">
        <v>4</v>
      </c>
      <c r="V371" s="1186">
        <v>1</v>
      </c>
      <c r="W371" s="1186">
        <v>10</v>
      </c>
      <c r="X371" s="1186"/>
      <c r="Y371" s="1186"/>
      <c r="Z371" s="1186"/>
      <c r="AA371" s="1186">
        <v>1</v>
      </c>
      <c r="AB371" s="1186">
        <v>1</v>
      </c>
      <c r="AC371" s="1186">
        <v>2</v>
      </c>
      <c r="AD371" s="1186"/>
      <c r="AE371" s="1186">
        <v>1</v>
      </c>
      <c r="AF371" s="1186"/>
      <c r="AG371" s="1186">
        <v>1</v>
      </c>
    </row>
    <row r="372" spans="1:33" x14ac:dyDescent="0.2">
      <c r="A372" s="1186" t="s">
        <v>36</v>
      </c>
      <c r="B372" s="1186" t="s">
        <v>1572</v>
      </c>
      <c r="C372" s="1186">
        <v>1030</v>
      </c>
      <c r="D372" s="1186">
        <v>143</v>
      </c>
      <c r="E372" s="1186">
        <v>382</v>
      </c>
      <c r="F372" s="1186">
        <v>247</v>
      </c>
      <c r="G372" s="1186">
        <v>2</v>
      </c>
      <c r="H372" s="1186">
        <v>2</v>
      </c>
      <c r="I372" s="1186">
        <v>17</v>
      </c>
      <c r="J372" s="1186">
        <v>1</v>
      </c>
      <c r="K372" s="1186">
        <v>1</v>
      </c>
      <c r="L372" s="1186">
        <v>18</v>
      </c>
      <c r="M372" s="1186">
        <v>1</v>
      </c>
      <c r="N372" s="1186">
        <v>13</v>
      </c>
      <c r="O372" s="1186">
        <v>4</v>
      </c>
      <c r="P372" s="1186">
        <v>16</v>
      </c>
      <c r="Q372" s="1186">
        <v>8</v>
      </c>
      <c r="R372" s="1186">
        <v>12</v>
      </c>
      <c r="S372" s="1186">
        <v>17</v>
      </c>
      <c r="T372" s="1186">
        <v>32</v>
      </c>
      <c r="U372" s="1186">
        <v>17</v>
      </c>
      <c r="V372" s="1186">
        <v>25</v>
      </c>
      <c r="W372" s="1186">
        <v>17</v>
      </c>
      <c r="X372" s="1186">
        <v>3</v>
      </c>
      <c r="Y372" s="1186">
        <v>10</v>
      </c>
      <c r="Z372" s="1186"/>
      <c r="AA372" s="1186"/>
      <c r="AB372" s="1186">
        <v>22</v>
      </c>
      <c r="AC372" s="1186">
        <v>7</v>
      </c>
      <c r="AD372" s="1186">
        <v>5</v>
      </c>
      <c r="AE372" s="1186">
        <v>6</v>
      </c>
      <c r="AF372" s="1186">
        <v>2</v>
      </c>
      <c r="AG372" s="1186"/>
    </row>
    <row r="373" spans="1:33" x14ac:dyDescent="0.2">
      <c r="A373" s="1186" t="s">
        <v>37</v>
      </c>
      <c r="B373" s="1186" t="s">
        <v>1572</v>
      </c>
      <c r="C373" s="1186">
        <v>238</v>
      </c>
      <c r="D373" s="1186">
        <v>96</v>
      </c>
      <c r="E373" s="1186">
        <v>21</v>
      </c>
      <c r="F373" s="1186"/>
      <c r="G373" s="1186">
        <v>3</v>
      </c>
      <c r="H373" s="1186">
        <v>1</v>
      </c>
      <c r="I373" s="1186">
        <v>8</v>
      </c>
      <c r="J373" s="1186"/>
      <c r="K373" s="1186">
        <v>3</v>
      </c>
      <c r="L373" s="1186">
        <v>21</v>
      </c>
      <c r="M373" s="1186">
        <v>6</v>
      </c>
      <c r="N373" s="1186">
        <v>16</v>
      </c>
      <c r="O373" s="1186">
        <v>2</v>
      </c>
      <c r="P373" s="1186">
        <v>4</v>
      </c>
      <c r="Q373" s="1186">
        <v>1</v>
      </c>
      <c r="R373" s="1186">
        <v>2</v>
      </c>
      <c r="S373" s="1186">
        <v>6</v>
      </c>
      <c r="T373" s="1186">
        <v>3</v>
      </c>
      <c r="U373" s="1186">
        <v>5</v>
      </c>
      <c r="V373" s="1186">
        <v>6</v>
      </c>
      <c r="W373" s="1186">
        <v>4</v>
      </c>
      <c r="X373" s="1186">
        <v>8</v>
      </c>
      <c r="Y373" s="1186"/>
      <c r="Z373" s="1186">
        <v>2</v>
      </c>
      <c r="AA373" s="1186"/>
      <c r="AB373" s="1186">
        <v>12</v>
      </c>
      <c r="AC373" s="1186"/>
      <c r="AD373" s="1186">
        <v>1</v>
      </c>
      <c r="AE373" s="1186">
        <v>2</v>
      </c>
      <c r="AF373" s="1186">
        <v>2</v>
      </c>
      <c r="AG373" s="1186">
        <v>3</v>
      </c>
    </row>
    <row r="374" spans="1:33" x14ac:dyDescent="0.2">
      <c r="A374" s="1186" t="s">
        <v>38</v>
      </c>
      <c r="B374" s="1186" t="s">
        <v>1572</v>
      </c>
      <c r="C374" s="1186">
        <v>130</v>
      </c>
      <c r="D374" s="1186">
        <v>40</v>
      </c>
      <c r="E374" s="1186">
        <v>33</v>
      </c>
      <c r="F374" s="1186">
        <v>33</v>
      </c>
      <c r="G374" s="1186"/>
      <c r="H374" s="1186"/>
      <c r="I374" s="1186">
        <v>4</v>
      </c>
      <c r="J374" s="1186"/>
      <c r="K374" s="1186"/>
      <c r="L374" s="1186">
        <v>5</v>
      </c>
      <c r="M374" s="1186">
        <v>1</v>
      </c>
      <c r="N374" s="1186">
        <v>1</v>
      </c>
      <c r="O374" s="1186"/>
      <c r="P374" s="1186"/>
      <c r="Q374" s="1186">
        <v>1</v>
      </c>
      <c r="R374" s="1186">
        <v>3</v>
      </c>
      <c r="S374" s="1186">
        <v>1</v>
      </c>
      <c r="T374" s="1186">
        <v>2</v>
      </c>
      <c r="U374" s="1186"/>
      <c r="V374" s="1186">
        <v>2</v>
      </c>
      <c r="W374" s="1186">
        <v>3</v>
      </c>
      <c r="X374" s="1186"/>
      <c r="Y374" s="1186"/>
      <c r="Z374" s="1186"/>
      <c r="AA374" s="1186"/>
      <c r="AB374" s="1186">
        <v>1</v>
      </c>
      <c r="AC374" s="1186"/>
      <c r="AD374" s="1186"/>
      <c r="AE374" s="1186"/>
      <c r="AF374" s="1186"/>
      <c r="AG374" s="1186"/>
    </row>
    <row r="375" spans="1:33" x14ac:dyDescent="0.2">
      <c r="A375" s="1186" t="s">
        <v>39</v>
      </c>
      <c r="B375" s="1186" t="s">
        <v>1572</v>
      </c>
      <c r="C375" s="1186">
        <v>94</v>
      </c>
      <c r="D375" s="1186">
        <v>37</v>
      </c>
      <c r="E375" s="1186">
        <v>6</v>
      </c>
      <c r="F375" s="1186">
        <v>5</v>
      </c>
      <c r="G375" s="1186"/>
      <c r="H375" s="1186"/>
      <c r="I375" s="1186">
        <v>11</v>
      </c>
      <c r="J375" s="1186"/>
      <c r="K375" s="1186"/>
      <c r="L375" s="1186">
        <v>6</v>
      </c>
      <c r="M375" s="1186">
        <v>1</v>
      </c>
      <c r="N375" s="1186">
        <v>3</v>
      </c>
      <c r="O375" s="1186">
        <v>1</v>
      </c>
      <c r="P375" s="1186"/>
      <c r="Q375" s="1186"/>
      <c r="R375" s="1186">
        <v>1</v>
      </c>
      <c r="S375" s="1186">
        <v>3</v>
      </c>
      <c r="T375" s="1186">
        <v>2</v>
      </c>
      <c r="U375" s="1186">
        <v>3</v>
      </c>
      <c r="V375" s="1186">
        <v>1</v>
      </c>
      <c r="W375" s="1186">
        <v>2</v>
      </c>
      <c r="X375" s="1186">
        <v>1</v>
      </c>
      <c r="Y375" s="1186">
        <v>1</v>
      </c>
      <c r="Z375" s="1186"/>
      <c r="AA375" s="1186"/>
      <c r="AB375" s="1186">
        <v>4</v>
      </c>
      <c r="AC375" s="1186"/>
      <c r="AD375" s="1186"/>
      <c r="AE375" s="1186">
        <v>2</v>
      </c>
      <c r="AF375" s="1186">
        <v>4</v>
      </c>
      <c r="AG375" s="1186"/>
    </row>
    <row r="376" spans="1:33" x14ac:dyDescent="0.2">
      <c r="A376" s="1186" t="s">
        <v>40</v>
      </c>
      <c r="B376" s="1186" t="s">
        <v>1572</v>
      </c>
      <c r="C376" s="1186">
        <v>78</v>
      </c>
      <c r="D376" s="1186">
        <v>33</v>
      </c>
      <c r="E376" s="1186">
        <v>9</v>
      </c>
      <c r="F376" s="1186"/>
      <c r="G376" s="1186">
        <v>1</v>
      </c>
      <c r="H376" s="1186"/>
      <c r="I376" s="1186">
        <v>8</v>
      </c>
      <c r="J376" s="1186"/>
      <c r="K376" s="1186"/>
      <c r="L376" s="1186">
        <v>8</v>
      </c>
      <c r="M376" s="1186">
        <v>2</v>
      </c>
      <c r="N376" s="1186">
        <v>6</v>
      </c>
      <c r="O376" s="1186">
        <v>1</v>
      </c>
      <c r="P376" s="1186"/>
      <c r="Q376" s="1186"/>
      <c r="R376" s="1186">
        <v>1</v>
      </c>
      <c r="S376" s="1186">
        <v>1</v>
      </c>
      <c r="T376" s="1186">
        <v>2</v>
      </c>
      <c r="U376" s="1186">
        <v>1</v>
      </c>
      <c r="V376" s="1186"/>
      <c r="W376" s="1186">
        <v>1</v>
      </c>
      <c r="X376" s="1186">
        <v>3</v>
      </c>
      <c r="Y376" s="1186"/>
      <c r="Z376" s="1186"/>
      <c r="AA376" s="1186"/>
      <c r="AB376" s="1186"/>
      <c r="AC376" s="1186"/>
      <c r="AD376" s="1186"/>
      <c r="AE376" s="1186">
        <v>1</v>
      </c>
      <c r="AF376" s="1186"/>
      <c r="AG376" s="1186"/>
    </row>
    <row r="377" spans="1:33" x14ac:dyDescent="0.2">
      <c r="A377" s="1186" t="s">
        <v>295</v>
      </c>
      <c r="B377" s="1186" t="s">
        <v>1572</v>
      </c>
      <c r="C377" s="1186">
        <v>28</v>
      </c>
      <c r="D377" s="1186">
        <v>18</v>
      </c>
      <c r="E377" s="1186">
        <v>2</v>
      </c>
      <c r="F377" s="1186">
        <v>1</v>
      </c>
      <c r="G377" s="1186"/>
      <c r="H377" s="1186"/>
      <c r="I377" s="1186"/>
      <c r="J377" s="1186"/>
      <c r="K377" s="1186">
        <v>1</v>
      </c>
      <c r="L377" s="1186">
        <v>2</v>
      </c>
      <c r="M377" s="1186"/>
      <c r="N377" s="1186">
        <v>1</v>
      </c>
      <c r="O377" s="1186"/>
      <c r="P377" s="1186"/>
      <c r="Q377" s="1186"/>
      <c r="R377" s="1186">
        <v>1</v>
      </c>
      <c r="S377" s="1186"/>
      <c r="T377" s="1186"/>
      <c r="U377" s="1186"/>
      <c r="V377" s="1186"/>
      <c r="W377" s="1186"/>
      <c r="X377" s="1186">
        <v>1</v>
      </c>
      <c r="Y377" s="1186"/>
      <c r="Z377" s="1186"/>
      <c r="AA377" s="1186"/>
      <c r="AB377" s="1186">
        <v>1</v>
      </c>
      <c r="AC377" s="1186"/>
      <c r="AD377" s="1186"/>
      <c r="AE377" s="1186"/>
      <c r="AF377" s="1186"/>
      <c r="AG377" s="1186"/>
    </row>
    <row r="378" spans="1:33" x14ac:dyDescent="0.2">
      <c r="A378" s="1186" t="s">
        <v>41</v>
      </c>
      <c r="B378" s="1186" t="s">
        <v>1572</v>
      </c>
      <c r="C378" s="1186">
        <v>188</v>
      </c>
      <c r="D378" s="1186">
        <v>83</v>
      </c>
      <c r="E378" s="1186">
        <v>49</v>
      </c>
      <c r="F378" s="1186">
        <v>8</v>
      </c>
      <c r="G378" s="1186"/>
      <c r="H378" s="1186"/>
      <c r="I378" s="1186">
        <v>12</v>
      </c>
      <c r="J378" s="1186">
        <v>1</v>
      </c>
      <c r="K378" s="1186"/>
      <c r="L378" s="1186">
        <v>8</v>
      </c>
      <c r="M378" s="1186">
        <v>2</v>
      </c>
      <c r="N378" s="1186">
        <v>7</v>
      </c>
      <c r="O378" s="1186"/>
      <c r="P378" s="1186"/>
      <c r="Q378" s="1186">
        <v>1</v>
      </c>
      <c r="R378" s="1186">
        <v>1</v>
      </c>
      <c r="S378" s="1186">
        <v>2</v>
      </c>
      <c r="T378" s="1186">
        <v>6</v>
      </c>
      <c r="U378" s="1186">
        <v>1</v>
      </c>
      <c r="V378" s="1186">
        <v>1</v>
      </c>
      <c r="W378" s="1186">
        <v>2</v>
      </c>
      <c r="X378" s="1186"/>
      <c r="Y378" s="1186"/>
      <c r="Z378" s="1186"/>
      <c r="AA378" s="1186">
        <v>1</v>
      </c>
      <c r="AB378" s="1186">
        <v>3</v>
      </c>
      <c r="AC378" s="1186"/>
      <c r="AD378" s="1186"/>
      <c r="AE378" s="1186"/>
      <c r="AF378" s="1186"/>
      <c r="AG378" s="1186"/>
    </row>
    <row r="379" spans="1:33" x14ac:dyDescent="0.2">
      <c r="A379" s="1186" t="s">
        <v>42</v>
      </c>
      <c r="B379" s="1186" t="s">
        <v>1572</v>
      </c>
      <c r="C379" s="1186">
        <v>424</v>
      </c>
      <c r="D379" s="1186">
        <v>134</v>
      </c>
      <c r="E379" s="1186">
        <v>150</v>
      </c>
      <c r="F379" s="1186">
        <v>13</v>
      </c>
      <c r="G379" s="1186">
        <v>1</v>
      </c>
      <c r="H379" s="1186"/>
      <c r="I379" s="1186">
        <v>20</v>
      </c>
      <c r="J379" s="1186"/>
      <c r="K379" s="1186"/>
      <c r="L379" s="1186">
        <v>25</v>
      </c>
      <c r="M379" s="1186">
        <v>1</v>
      </c>
      <c r="N379" s="1186">
        <v>15</v>
      </c>
      <c r="O379" s="1186">
        <v>4</v>
      </c>
      <c r="P379" s="1186">
        <v>3</v>
      </c>
      <c r="Q379" s="1186">
        <v>13</v>
      </c>
      <c r="R379" s="1186">
        <v>6</v>
      </c>
      <c r="S379" s="1186">
        <v>6</v>
      </c>
      <c r="T379" s="1186">
        <v>9</v>
      </c>
      <c r="U379" s="1186">
        <v>5</v>
      </c>
      <c r="V379" s="1186">
        <v>1</v>
      </c>
      <c r="W379" s="1186">
        <v>3</v>
      </c>
      <c r="X379" s="1186">
        <v>2</v>
      </c>
      <c r="Y379" s="1186">
        <v>4</v>
      </c>
      <c r="Z379" s="1186"/>
      <c r="AA379" s="1186"/>
      <c r="AB379" s="1186">
        <v>3</v>
      </c>
      <c r="AC379" s="1186"/>
      <c r="AD379" s="1186"/>
      <c r="AE379" s="1186">
        <v>5</v>
      </c>
      <c r="AF379" s="1186">
        <v>1</v>
      </c>
      <c r="AG379" s="1186"/>
    </row>
    <row r="380" spans="1:33" x14ac:dyDescent="0.2">
      <c r="A380" s="1186" t="s">
        <v>43</v>
      </c>
      <c r="B380" s="1186" t="s">
        <v>1572</v>
      </c>
      <c r="C380" s="1186">
        <v>6</v>
      </c>
      <c r="D380" s="1186">
        <v>3</v>
      </c>
      <c r="E380" s="1186"/>
      <c r="F380" s="1186"/>
      <c r="G380" s="1186"/>
      <c r="H380" s="1186"/>
      <c r="I380" s="1186"/>
      <c r="J380" s="1186"/>
      <c r="K380" s="1186">
        <v>1</v>
      </c>
      <c r="L380" s="1186">
        <v>1</v>
      </c>
      <c r="M380" s="1186"/>
      <c r="N380" s="1186"/>
      <c r="O380" s="1186"/>
      <c r="P380" s="1186"/>
      <c r="Q380" s="1186"/>
      <c r="R380" s="1186"/>
      <c r="S380" s="1186"/>
      <c r="T380" s="1186"/>
      <c r="U380" s="1186"/>
      <c r="V380" s="1186"/>
      <c r="W380" s="1186"/>
      <c r="X380" s="1186"/>
      <c r="Y380" s="1186">
        <v>1</v>
      </c>
      <c r="Z380" s="1186"/>
      <c r="AA380" s="1186"/>
      <c r="AB380" s="1186"/>
      <c r="AC380" s="1186"/>
      <c r="AD380" s="1186"/>
      <c r="AE380" s="1186"/>
      <c r="AF380" s="1186"/>
      <c r="AG380" s="1186"/>
    </row>
    <row r="381" spans="1:33" x14ac:dyDescent="0.2">
      <c r="A381" s="1186" t="s">
        <v>44</v>
      </c>
      <c r="B381" s="1186" t="s">
        <v>1572</v>
      </c>
      <c r="C381" s="1186">
        <v>148</v>
      </c>
      <c r="D381" s="1186">
        <v>43</v>
      </c>
      <c r="E381" s="1186">
        <v>21</v>
      </c>
      <c r="F381" s="1186">
        <v>14</v>
      </c>
      <c r="G381" s="1186"/>
      <c r="H381" s="1186"/>
      <c r="I381" s="1186">
        <v>19</v>
      </c>
      <c r="J381" s="1186"/>
      <c r="K381" s="1186">
        <v>7</v>
      </c>
      <c r="L381" s="1186">
        <v>9</v>
      </c>
      <c r="M381" s="1186">
        <v>5</v>
      </c>
      <c r="N381" s="1186">
        <v>2</v>
      </c>
      <c r="O381" s="1186"/>
      <c r="P381" s="1186">
        <v>1</v>
      </c>
      <c r="Q381" s="1186">
        <v>5</v>
      </c>
      <c r="R381" s="1186">
        <v>2</v>
      </c>
      <c r="S381" s="1186">
        <v>6</v>
      </c>
      <c r="T381" s="1186">
        <v>2</v>
      </c>
      <c r="U381" s="1186">
        <v>1</v>
      </c>
      <c r="V381" s="1186">
        <v>1</v>
      </c>
      <c r="W381" s="1186">
        <v>1</v>
      </c>
      <c r="X381" s="1186">
        <v>1</v>
      </c>
      <c r="Y381" s="1186"/>
      <c r="Z381" s="1186">
        <v>1</v>
      </c>
      <c r="AA381" s="1186"/>
      <c r="AB381" s="1186">
        <v>4</v>
      </c>
      <c r="AC381" s="1186"/>
      <c r="AD381" s="1186"/>
      <c r="AE381" s="1186">
        <v>3</v>
      </c>
      <c r="AF381" s="1186"/>
      <c r="AG381" s="1186"/>
    </row>
    <row r="382" spans="1:33" x14ac:dyDescent="0.2">
      <c r="A382" s="1186" t="s">
        <v>45</v>
      </c>
      <c r="B382" s="1186" t="s">
        <v>1572</v>
      </c>
      <c r="C382" s="1186">
        <v>247</v>
      </c>
      <c r="D382" s="1186">
        <v>60</v>
      </c>
      <c r="E382" s="1186">
        <v>63</v>
      </c>
      <c r="F382" s="1186">
        <v>46</v>
      </c>
      <c r="G382" s="1186">
        <v>1</v>
      </c>
      <c r="H382" s="1186"/>
      <c r="I382" s="1186">
        <v>14</v>
      </c>
      <c r="J382" s="1186"/>
      <c r="K382" s="1186">
        <v>1</v>
      </c>
      <c r="L382" s="1186">
        <v>11</v>
      </c>
      <c r="M382" s="1186"/>
      <c r="N382" s="1186">
        <v>5</v>
      </c>
      <c r="O382" s="1186">
        <v>1</v>
      </c>
      <c r="P382" s="1186">
        <v>3</v>
      </c>
      <c r="Q382" s="1186">
        <v>1</v>
      </c>
      <c r="R382" s="1186">
        <v>2</v>
      </c>
      <c r="S382" s="1186">
        <v>2</v>
      </c>
      <c r="T382" s="1186">
        <v>6</v>
      </c>
      <c r="U382" s="1186">
        <v>7</v>
      </c>
      <c r="V382" s="1186">
        <v>2</v>
      </c>
      <c r="W382" s="1186">
        <v>7</v>
      </c>
      <c r="X382" s="1186">
        <v>2</v>
      </c>
      <c r="Y382" s="1186"/>
      <c r="Z382" s="1186"/>
      <c r="AA382" s="1186"/>
      <c r="AB382" s="1186">
        <v>8</v>
      </c>
      <c r="AC382" s="1186">
        <v>3</v>
      </c>
      <c r="AD382" s="1186"/>
      <c r="AE382" s="1186">
        <v>1</v>
      </c>
      <c r="AF382" s="1186">
        <v>1</v>
      </c>
      <c r="AG382" s="1186"/>
    </row>
    <row r="383" spans="1:33" x14ac:dyDescent="0.2">
      <c r="A383" s="1186" t="s">
        <v>46</v>
      </c>
      <c r="B383" s="1186" t="s">
        <v>1572</v>
      </c>
      <c r="C383" s="1186">
        <v>126</v>
      </c>
      <c r="D383" s="1186">
        <v>44</v>
      </c>
      <c r="E383" s="1186">
        <v>29</v>
      </c>
      <c r="F383" s="1186">
        <v>2</v>
      </c>
      <c r="G383" s="1186"/>
      <c r="H383" s="1186"/>
      <c r="I383" s="1186">
        <v>8</v>
      </c>
      <c r="J383" s="1186"/>
      <c r="K383" s="1186">
        <v>2</v>
      </c>
      <c r="L383" s="1186">
        <v>1</v>
      </c>
      <c r="M383" s="1186">
        <v>6</v>
      </c>
      <c r="N383" s="1186">
        <v>10</v>
      </c>
      <c r="O383" s="1186">
        <v>1</v>
      </c>
      <c r="P383" s="1186">
        <v>1</v>
      </c>
      <c r="Q383" s="1186">
        <v>1</v>
      </c>
      <c r="R383" s="1186">
        <v>1</v>
      </c>
      <c r="S383" s="1186">
        <v>1</v>
      </c>
      <c r="T383" s="1186">
        <v>4</v>
      </c>
      <c r="U383" s="1186">
        <v>2</v>
      </c>
      <c r="V383" s="1186">
        <v>4</v>
      </c>
      <c r="W383" s="1186">
        <v>2</v>
      </c>
      <c r="X383" s="1186">
        <v>1</v>
      </c>
      <c r="Y383" s="1186"/>
      <c r="Z383" s="1186"/>
      <c r="AA383" s="1186"/>
      <c r="AB383" s="1186">
        <v>1</v>
      </c>
      <c r="AC383" s="1186"/>
      <c r="AD383" s="1186"/>
      <c r="AE383" s="1186">
        <v>3</v>
      </c>
      <c r="AF383" s="1186">
        <v>2</v>
      </c>
      <c r="AG383" s="1186"/>
    </row>
    <row r="384" spans="1:33" x14ac:dyDescent="0.2">
      <c r="A384" s="1186" t="s">
        <v>47</v>
      </c>
      <c r="B384" s="1186" t="s">
        <v>1572</v>
      </c>
      <c r="C384" s="1186">
        <v>34</v>
      </c>
      <c r="D384" s="1186">
        <v>18</v>
      </c>
      <c r="E384" s="1186">
        <v>2</v>
      </c>
      <c r="F384" s="1186">
        <v>1</v>
      </c>
      <c r="G384" s="1186"/>
      <c r="H384" s="1186"/>
      <c r="I384" s="1186"/>
      <c r="J384" s="1186">
        <v>2</v>
      </c>
      <c r="K384" s="1186">
        <v>2</v>
      </c>
      <c r="L384" s="1186">
        <v>2</v>
      </c>
      <c r="M384" s="1186"/>
      <c r="N384" s="1186">
        <v>2</v>
      </c>
      <c r="O384" s="1186"/>
      <c r="P384" s="1186"/>
      <c r="Q384" s="1186"/>
      <c r="R384" s="1186"/>
      <c r="S384" s="1186"/>
      <c r="T384" s="1186">
        <v>1</v>
      </c>
      <c r="U384" s="1186"/>
      <c r="V384" s="1186"/>
      <c r="W384" s="1186"/>
      <c r="X384" s="1186">
        <v>3</v>
      </c>
      <c r="Y384" s="1186"/>
      <c r="Z384" s="1186"/>
      <c r="AA384" s="1186"/>
      <c r="AB384" s="1186"/>
      <c r="AC384" s="1186"/>
      <c r="AD384" s="1186"/>
      <c r="AE384" s="1186"/>
      <c r="AF384" s="1186">
        <v>1</v>
      </c>
      <c r="AG384" s="1186"/>
    </row>
    <row r="385" spans="1:33" x14ac:dyDescent="0.2">
      <c r="A385" s="1186" t="s">
        <v>48</v>
      </c>
      <c r="B385" s="1186" t="s">
        <v>1572</v>
      </c>
      <c r="C385" s="1186">
        <v>119</v>
      </c>
      <c r="D385" s="1186">
        <v>44</v>
      </c>
      <c r="E385" s="1186">
        <v>39</v>
      </c>
      <c r="F385" s="1186">
        <v>3</v>
      </c>
      <c r="G385" s="1186"/>
      <c r="H385" s="1186"/>
      <c r="I385" s="1186">
        <v>4</v>
      </c>
      <c r="J385" s="1186"/>
      <c r="K385" s="1186"/>
      <c r="L385" s="1186">
        <v>8</v>
      </c>
      <c r="M385" s="1186">
        <v>1</v>
      </c>
      <c r="N385" s="1186">
        <v>2</v>
      </c>
      <c r="O385" s="1186"/>
      <c r="P385" s="1186">
        <v>1</v>
      </c>
      <c r="Q385" s="1186"/>
      <c r="R385" s="1186"/>
      <c r="S385" s="1186">
        <v>1</v>
      </c>
      <c r="T385" s="1186">
        <v>4</v>
      </c>
      <c r="U385" s="1186">
        <v>4</v>
      </c>
      <c r="V385" s="1186">
        <v>1</v>
      </c>
      <c r="W385" s="1186">
        <v>3</v>
      </c>
      <c r="X385" s="1186"/>
      <c r="Y385" s="1186">
        <v>1</v>
      </c>
      <c r="Z385" s="1186"/>
      <c r="AA385" s="1186"/>
      <c r="AB385" s="1186">
        <v>3</v>
      </c>
      <c r="AC385" s="1186"/>
      <c r="AD385" s="1186"/>
      <c r="AE385" s="1186"/>
      <c r="AF385" s="1186"/>
      <c r="AG385" s="1186"/>
    </row>
    <row r="386" spans="1:33" x14ac:dyDescent="0.2">
      <c r="A386" s="1186" t="s">
        <v>49</v>
      </c>
      <c r="B386" s="1186" t="s">
        <v>1572</v>
      </c>
      <c r="C386" s="1186">
        <v>326</v>
      </c>
      <c r="D386" s="1186">
        <v>106</v>
      </c>
      <c r="E386" s="1186">
        <v>123</v>
      </c>
      <c r="F386" s="1186">
        <v>4</v>
      </c>
      <c r="G386" s="1186"/>
      <c r="H386" s="1186"/>
      <c r="I386" s="1186">
        <v>16</v>
      </c>
      <c r="J386" s="1186">
        <v>2</v>
      </c>
      <c r="K386" s="1186">
        <v>4</v>
      </c>
      <c r="L386" s="1186">
        <v>25</v>
      </c>
      <c r="M386" s="1186">
        <v>1</v>
      </c>
      <c r="N386" s="1186">
        <v>8</v>
      </c>
      <c r="O386" s="1186">
        <v>3</v>
      </c>
      <c r="P386" s="1186">
        <v>2</v>
      </c>
      <c r="Q386" s="1186">
        <v>1</v>
      </c>
      <c r="R386" s="1186"/>
      <c r="S386" s="1186">
        <v>3</v>
      </c>
      <c r="T386" s="1186">
        <v>8</v>
      </c>
      <c r="U386" s="1186"/>
      <c r="V386" s="1186">
        <v>3</v>
      </c>
      <c r="W386" s="1186">
        <v>6</v>
      </c>
      <c r="X386" s="1186">
        <v>3</v>
      </c>
      <c r="Y386" s="1186">
        <v>1</v>
      </c>
      <c r="Z386" s="1186"/>
      <c r="AA386" s="1186"/>
      <c r="AB386" s="1186">
        <v>4</v>
      </c>
      <c r="AC386" s="1186"/>
      <c r="AD386" s="1186">
        <v>1</v>
      </c>
      <c r="AE386" s="1186">
        <v>2</v>
      </c>
      <c r="AF386" s="1186"/>
      <c r="AG386" s="1186"/>
    </row>
    <row r="387" spans="1:33" x14ac:dyDescent="0.2">
      <c r="A387" s="1186" t="s">
        <v>50</v>
      </c>
      <c r="B387" s="1186" t="s">
        <v>1572</v>
      </c>
      <c r="C387" s="1186">
        <v>97</v>
      </c>
      <c r="D387" s="1186">
        <v>28</v>
      </c>
      <c r="E387" s="1186">
        <v>25</v>
      </c>
      <c r="F387" s="1186">
        <v>3</v>
      </c>
      <c r="G387" s="1186"/>
      <c r="H387" s="1186"/>
      <c r="I387" s="1186">
        <v>1</v>
      </c>
      <c r="J387" s="1186"/>
      <c r="K387" s="1186">
        <v>2</v>
      </c>
      <c r="L387" s="1186">
        <v>4</v>
      </c>
      <c r="M387" s="1186">
        <v>3</v>
      </c>
      <c r="N387" s="1186">
        <v>3</v>
      </c>
      <c r="O387" s="1186">
        <v>1</v>
      </c>
      <c r="P387" s="1186">
        <v>2</v>
      </c>
      <c r="Q387" s="1186"/>
      <c r="R387" s="1186">
        <v>3</v>
      </c>
      <c r="S387" s="1186">
        <v>7</v>
      </c>
      <c r="T387" s="1186">
        <v>3</v>
      </c>
      <c r="U387" s="1186">
        <v>1</v>
      </c>
      <c r="V387" s="1186"/>
      <c r="W387" s="1186">
        <v>1</v>
      </c>
      <c r="X387" s="1186"/>
      <c r="Y387" s="1186">
        <v>1</v>
      </c>
      <c r="Z387" s="1186"/>
      <c r="AA387" s="1186"/>
      <c r="AB387" s="1186">
        <v>3</v>
      </c>
      <c r="AC387" s="1186">
        <v>3</v>
      </c>
      <c r="AD387" s="1186">
        <v>1</v>
      </c>
      <c r="AE387" s="1186">
        <v>1</v>
      </c>
      <c r="AF387" s="1186">
        <v>1</v>
      </c>
      <c r="AG387" s="1186"/>
    </row>
    <row r="388" spans="1:33" x14ac:dyDescent="0.2">
      <c r="A388" s="1186" t="s">
        <v>51</v>
      </c>
      <c r="B388" s="1186" t="s">
        <v>1572</v>
      </c>
      <c r="C388" s="1186">
        <v>143</v>
      </c>
      <c r="D388" s="1186">
        <v>33</v>
      </c>
      <c r="E388" s="1186">
        <v>67</v>
      </c>
      <c r="F388" s="1186">
        <v>14</v>
      </c>
      <c r="G388" s="1186"/>
      <c r="H388" s="1186"/>
      <c r="I388" s="1186">
        <v>3</v>
      </c>
      <c r="J388" s="1186"/>
      <c r="K388" s="1186"/>
      <c r="L388" s="1186">
        <v>5</v>
      </c>
      <c r="M388" s="1186"/>
      <c r="N388" s="1186">
        <v>2</v>
      </c>
      <c r="O388" s="1186"/>
      <c r="P388" s="1186">
        <v>1</v>
      </c>
      <c r="Q388" s="1186">
        <v>1</v>
      </c>
      <c r="R388" s="1186">
        <v>1</v>
      </c>
      <c r="S388" s="1186"/>
      <c r="T388" s="1186">
        <v>2</v>
      </c>
      <c r="U388" s="1186">
        <v>4</v>
      </c>
      <c r="V388" s="1186">
        <v>1</v>
      </c>
      <c r="W388" s="1186">
        <v>3</v>
      </c>
      <c r="X388" s="1186"/>
      <c r="Y388" s="1186"/>
      <c r="Z388" s="1186"/>
      <c r="AA388" s="1186"/>
      <c r="AB388" s="1186">
        <v>4</v>
      </c>
      <c r="AC388" s="1186"/>
      <c r="AD388" s="1186"/>
      <c r="AE388" s="1186">
        <v>2</v>
      </c>
      <c r="AF388" s="1186"/>
      <c r="AG388" s="1186"/>
    </row>
    <row r="389" spans="1:33" x14ac:dyDescent="0.2">
      <c r="A389" s="1186" t="s">
        <v>52</v>
      </c>
      <c r="B389" s="1186" t="s">
        <v>1572</v>
      </c>
      <c r="C389" s="1186">
        <v>174</v>
      </c>
      <c r="D389" s="1186">
        <v>68</v>
      </c>
      <c r="E389" s="1186">
        <v>31</v>
      </c>
      <c r="F389" s="1186">
        <v>4</v>
      </c>
      <c r="G389" s="1186">
        <v>1</v>
      </c>
      <c r="H389" s="1186"/>
      <c r="I389" s="1186">
        <v>9</v>
      </c>
      <c r="J389" s="1186">
        <v>1</v>
      </c>
      <c r="K389" s="1186">
        <v>1</v>
      </c>
      <c r="L389" s="1186">
        <v>12</v>
      </c>
      <c r="M389" s="1186"/>
      <c r="N389" s="1186">
        <v>5</v>
      </c>
      <c r="O389" s="1186">
        <v>3</v>
      </c>
      <c r="P389" s="1186">
        <v>2</v>
      </c>
      <c r="Q389" s="1186">
        <v>8</v>
      </c>
      <c r="R389" s="1186">
        <v>3</v>
      </c>
      <c r="S389" s="1186">
        <v>5</v>
      </c>
      <c r="T389" s="1186">
        <v>6</v>
      </c>
      <c r="U389" s="1186">
        <v>2</v>
      </c>
      <c r="V389" s="1186">
        <v>4</v>
      </c>
      <c r="W389" s="1186">
        <v>3</v>
      </c>
      <c r="X389" s="1186">
        <v>1</v>
      </c>
      <c r="Y389" s="1186"/>
      <c r="Z389" s="1186"/>
      <c r="AA389" s="1186"/>
      <c r="AB389" s="1186">
        <v>2</v>
      </c>
      <c r="AC389" s="1186"/>
      <c r="AD389" s="1186"/>
      <c r="AE389" s="1186">
        <v>3</v>
      </c>
      <c r="AF389" s="1186"/>
      <c r="AG389" s="1186"/>
    </row>
  </sheetData>
  <pageMargins left="0.7" right="0.7" top="0.75" bottom="0.75" header="0.3" footer="0.3"/>
  <pageSetup paperSize="9" fitToHeight="50" orientation="landscape"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pageSetUpPr fitToPage="1"/>
  </sheetPr>
  <dimension ref="A4:D722"/>
  <sheetViews>
    <sheetView zoomScale="85" zoomScaleNormal="85" workbookViewId="0">
      <pane ySplit="4" topLeftCell="A5" activePane="bottomLeft" state="frozen"/>
      <selection activeCell="A5" sqref="A5"/>
      <selection pane="bottomLeft" activeCell="A5" sqref="A5"/>
    </sheetView>
  </sheetViews>
  <sheetFormatPr defaultColWidth="8.7109375" defaultRowHeight="12.75" x14ac:dyDescent="0.2"/>
  <sheetData>
    <row r="4" spans="1:4" x14ac:dyDescent="0.2">
      <c r="A4" s="1223" t="s">
        <v>1486</v>
      </c>
      <c r="B4" s="1223" t="s">
        <v>4</v>
      </c>
      <c r="C4" s="1223" t="s">
        <v>2037</v>
      </c>
      <c r="D4" s="1223" t="s">
        <v>1729</v>
      </c>
    </row>
    <row r="5" spans="1:4" x14ac:dyDescent="0.2">
      <c r="A5" s="1186" t="s">
        <v>97</v>
      </c>
      <c r="B5" s="1186" t="s">
        <v>19</v>
      </c>
      <c r="C5" s="1186" t="s">
        <v>1487</v>
      </c>
      <c r="D5" s="1186">
        <v>18</v>
      </c>
    </row>
    <row r="6" spans="1:4" x14ac:dyDescent="0.2">
      <c r="A6" s="1186" t="s">
        <v>97</v>
      </c>
      <c r="B6" s="1186" t="s">
        <v>19</v>
      </c>
      <c r="C6" s="1186" t="s">
        <v>1488</v>
      </c>
      <c r="D6" s="1186">
        <v>28</v>
      </c>
    </row>
    <row r="7" spans="1:4" x14ac:dyDescent="0.2">
      <c r="A7" s="1186" t="s">
        <v>97</v>
      </c>
      <c r="B7" s="1186" t="s">
        <v>19</v>
      </c>
      <c r="C7" s="1186" t="s">
        <v>1489</v>
      </c>
      <c r="D7" s="1186">
        <v>4</v>
      </c>
    </row>
    <row r="8" spans="1:4" x14ac:dyDescent="0.2">
      <c r="A8" s="1186" t="s">
        <v>97</v>
      </c>
      <c r="B8" s="1186" t="s">
        <v>19</v>
      </c>
      <c r="C8" s="1186" t="s">
        <v>1490</v>
      </c>
      <c r="D8" s="1186"/>
    </row>
    <row r="9" spans="1:4" x14ac:dyDescent="0.2">
      <c r="A9" s="1186" t="s">
        <v>97</v>
      </c>
      <c r="B9" s="1186" t="s">
        <v>19</v>
      </c>
      <c r="C9" s="1186" t="s">
        <v>1491</v>
      </c>
      <c r="D9" s="1186"/>
    </row>
    <row r="10" spans="1:4" x14ac:dyDescent="0.2">
      <c r="A10" s="1186" t="s">
        <v>97</v>
      </c>
      <c r="B10" s="1186" t="s">
        <v>19</v>
      </c>
      <c r="C10" s="1186" t="s">
        <v>1492</v>
      </c>
      <c r="D10" s="1186"/>
    </row>
    <row r="11" spans="1:4" x14ac:dyDescent="0.2">
      <c r="A11" s="1186" t="s">
        <v>97</v>
      </c>
      <c r="B11" s="1186" t="s">
        <v>19</v>
      </c>
      <c r="C11" s="1186" t="s">
        <v>1493</v>
      </c>
      <c r="D11" s="1186">
        <v>3</v>
      </c>
    </row>
    <row r="12" spans="1:4" x14ac:dyDescent="0.2">
      <c r="A12" s="1186" t="s">
        <v>97</v>
      </c>
      <c r="B12" s="1186" t="s">
        <v>19</v>
      </c>
      <c r="C12" s="1186" t="s">
        <v>1494</v>
      </c>
      <c r="D12" s="1186"/>
    </row>
    <row r="13" spans="1:4" x14ac:dyDescent="0.2">
      <c r="A13" s="1186" t="s">
        <v>97</v>
      </c>
      <c r="B13" s="1186" t="s">
        <v>19</v>
      </c>
      <c r="C13" s="1186" t="s">
        <v>1495</v>
      </c>
      <c r="D13" s="1186"/>
    </row>
    <row r="14" spans="1:4" x14ac:dyDescent="0.2">
      <c r="A14" s="1186" t="s">
        <v>97</v>
      </c>
      <c r="B14" s="1186" t="s">
        <v>19</v>
      </c>
      <c r="C14" s="1186" t="s">
        <v>1496</v>
      </c>
      <c r="D14" s="1186">
        <v>1</v>
      </c>
    </row>
    <row r="15" spans="1:4" x14ac:dyDescent="0.2">
      <c r="A15" s="1186" t="s">
        <v>97</v>
      </c>
      <c r="B15" s="1186" t="s">
        <v>19</v>
      </c>
      <c r="C15" s="1186" t="s">
        <v>1497</v>
      </c>
      <c r="D15" s="1186"/>
    </row>
    <row r="16" spans="1:4" x14ac:dyDescent="0.2">
      <c r="A16" s="1186" t="s">
        <v>97</v>
      </c>
      <c r="B16" s="1186" t="s">
        <v>19</v>
      </c>
      <c r="C16" s="1186" t="s">
        <v>1498</v>
      </c>
      <c r="D16" s="1186"/>
    </row>
    <row r="17" spans="1:4" x14ac:dyDescent="0.2">
      <c r="A17" s="1186" t="s">
        <v>97</v>
      </c>
      <c r="B17" s="1186" t="s">
        <v>19</v>
      </c>
      <c r="C17" s="1186" t="s">
        <v>1499</v>
      </c>
      <c r="D17" s="1186"/>
    </row>
    <row r="18" spans="1:4" x14ac:dyDescent="0.2">
      <c r="A18" s="1186" t="s">
        <v>97</v>
      </c>
      <c r="B18" s="1186" t="s">
        <v>19</v>
      </c>
      <c r="C18" s="1186" t="s">
        <v>1500</v>
      </c>
      <c r="D18" s="1186"/>
    </row>
    <row r="19" spans="1:4" x14ac:dyDescent="0.2">
      <c r="A19" s="1186" t="s">
        <v>97</v>
      </c>
      <c r="B19" s="1186" t="s">
        <v>19</v>
      </c>
      <c r="C19" s="1186" t="s">
        <v>1501</v>
      </c>
      <c r="D19" s="1186"/>
    </row>
    <row r="20" spans="1:4" x14ac:dyDescent="0.2">
      <c r="A20" s="1186" t="s">
        <v>97</v>
      </c>
      <c r="B20" s="1186" t="s">
        <v>19</v>
      </c>
      <c r="C20" s="1186" t="s">
        <v>1502</v>
      </c>
      <c r="D20" s="1186">
        <v>1</v>
      </c>
    </row>
    <row r="21" spans="1:4" x14ac:dyDescent="0.2">
      <c r="A21" s="1186" t="s">
        <v>97</v>
      </c>
      <c r="B21" s="1186" t="s">
        <v>19</v>
      </c>
      <c r="C21" s="1186" t="s">
        <v>1503</v>
      </c>
      <c r="D21" s="1186"/>
    </row>
    <row r="22" spans="1:4" x14ac:dyDescent="0.2">
      <c r="A22" s="1186" t="s">
        <v>97</v>
      </c>
      <c r="B22" s="1186" t="s">
        <v>19</v>
      </c>
      <c r="C22" s="1186" t="s">
        <v>1504</v>
      </c>
      <c r="D22" s="1186"/>
    </row>
    <row r="23" spans="1:4" x14ac:dyDescent="0.2">
      <c r="A23" s="1186" t="s">
        <v>97</v>
      </c>
      <c r="B23" s="1186" t="s">
        <v>19</v>
      </c>
      <c r="C23" s="1186" t="s">
        <v>1505</v>
      </c>
      <c r="D23" s="1186"/>
    </row>
    <row r="24" spans="1:4" x14ac:dyDescent="0.2">
      <c r="A24" s="1186" t="s">
        <v>97</v>
      </c>
      <c r="B24" s="1186" t="s">
        <v>19</v>
      </c>
      <c r="C24" s="1186" t="s">
        <v>1506</v>
      </c>
      <c r="D24" s="1186"/>
    </row>
    <row r="25" spans="1:4" x14ac:dyDescent="0.2">
      <c r="A25" s="1186" t="s">
        <v>97</v>
      </c>
      <c r="B25" s="1186" t="s">
        <v>19</v>
      </c>
      <c r="C25" s="1186" t="s">
        <v>1507</v>
      </c>
      <c r="D25" s="1186"/>
    </row>
    <row r="26" spans="1:4" x14ac:dyDescent="0.2">
      <c r="A26" s="1186" t="s">
        <v>97</v>
      </c>
      <c r="B26" s="1186" t="s">
        <v>19</v>
      </c>
      <c r="C26" s="1186" t="s">
        <v>1508</v>
      </c>
      <c r="D26" s="1186"/>
    </row>
    <row r="27" spans="1:4" x14ac:dyDescent="0.2">
      <c r="A27" s="1186" t="s">
        <v>97</v>
      </c>
      <c r="B27" s="1186" t="s">
        <v>19</v>
      </c>
      <c r="C27" s="1186" t="s">
        <v>1509</v>
      </c>
      <c r="D27" s="1186"/>
    </row>
    <row r="28" spans="1:4" x14ac:dyDescent="0.2">
      <c r="A28" s="1186" t="s">
        <v>97</v>
      </c>
      <c r="B28" s="1186" t="s">
        <v>19</v>
      </c>
      <c r="C28" s="1186" t="s">
        <v>1510</v>
      </c>
      <c r="D28" s="1186">
        <v>2</v>
      </c>
    </row>
    <row r="29" spans="1:4" x14ac:dyDescent="0.2">
      <c r="A29" s="1186" t="s">
        <v>97</v>
      </c>
      <c r="B29" s="1186" t="s">
        <v>19</v>
      </c>
      <c r="C29" s="1186" t="s">
        <v>1511</v>
      </c>
      <c r="D29" s="1186"/>
    </row>
    <row r="30" spans="1:4" x14ac:dyDescent="0.2">
      <c r="A30" s="1186" t="s">
        <v>97</v>
      </c>
      <c r="B30" s="1186" t="s">
        <v>19</v>
      </c>
      <c r="C30" s="1186" t="s">
        <v>1512</v>
      </c>
      <c r="D30" s="1186"/>
    </row>
    <row r="31" spans="1:4" x14ac:dyDescent="0.2">
      <c r="A31" s="1186" t="s">
        <v>97</v>
      </c>
      <c r="B31" s="1186" t="s">
        <v>19</v>
      </c>
      <c r="C31" s="1186" t="s">
        <v>1513</v>
      </c>
      <c r="D31" s="1186"/>
    </row>
    <row r="32" spans="1:4" x14ac:dyDescent="0.2">
      <c r="A32" s="1186" t="s">
        <v>97</v>
      </c>
      <c r="B32" s="1186" t="s">
        <v>19</v>
      </c>
      <c r="C32" s="1186" t="s">
        <v>1514</v>
      </c>
      <c r="D32" s="1186"/>
    </row>
    <row r="33" spans="1:4" x14ac:dyDescent="0.2">
      <c r="A33" s="1186" t="s">
        <v>97</v>
      </c>
      <c r="B33" s="1186" t="s">
        <v>19</v>
      </c>
      <c r="C33" s="1186" t="s">
        <v>1515</v>
      </c>
      <c r="D33" s="1186"/>
    </row>
    <row r="34" spans="1:4" x14ac:dyDescent="0.2">
      <c r="A34" s="1186" t="s">
        <v>97</v>
      </c>
      <c r="B34" s="1186" t="s">
        <v>19</v>
      </c>
      <c r="C34" s="1186" t="s">
        <v>1516</v>
      </c>
      <c r="D34" s="1186"/>
    </row>
    <row r="35" spans="1:4" x14ac:dyDescent="0.2">
      <c r="A35" s="1186" t="s">
        <v>97</v>
      </c>
      <c r="B35" s="1186" t="s">
        <v>20</v>
      </c>
      <c r="C35" s="1186" t="s">
        <v>1487</v>
      </c>
      <c r="D35" s="1186">
        <v>17</v>
      </c>
    </row>
    <row r="36" spans="1:4" x14ac:dyDescent="0.2">
      <c r="A36" s="1186" t="s">
        <v>97</v>
      </c>
      <c r="B36" s="1186" t="s">
        <v>20</v>
      </c>
      <c r="C36" s="1186" t="s">
        <v>1488</v>
      </c>
      <c r="D36" s="1186">
        <v>21</v>
      </c>
    </row>
    <row r="37" spans="1:4" x14ac:dyDescent="0.2">
      <c r="A37" s="1186" t="s">
        <v>97</v>
      </c>
      <c r="B37" s="1186" t="s">
        <v>20</v>
      </c>
      <c r="C37" s="1186" t="s">
        <v>1489</v>
      </c>
      <c r="D37" s="1186">
        <v>4</v>
      </c>
    </row>
    <row r="38" spans="1:4" x14ac:dyDescent="0.2">
      <c r="A38" s="1186" t="s">
        <v>97</v>
      </c>
      <c r="B38" s="1186" t="s">
        <v>20</v>
      </c>
      <c r="C38" s="1186" t="s">
        <v>1490</v>
      </c>
      <c r="D38" s="1186">
        <v>1</v>
      </c>
    </row>
    <row r="39" spans="1:4" x14ac:dyDescent="0.2">
      <c r="A39" s="1186" t="s">
        <v>97</v>
      </c>
      <c r="B39" s="1186" t="s">
        <v>20</v>
      </c>
      <c r="C39" s="1186" t="s">
        <v>1491</v>
      </c>
      <c r="D39" s="1186"/>
    </row>
    <row r="40" spans="1:4" x14ac:dyDescent="0.2">
      <c r="A40" s="1186" t="s">
        <v>97</v>
      </c>
      <c r="B40" s="1186" t="s">
        <v>20</v>
      </c>
      <c r="C40" s="1186" t="s">
        <v>1492</v>
      </c>
      <c r="D40" s="1186">
        <v>1</v>
      </c>
    </row>
    <row r="41" spans="1:4" x14ac:dyDescent="0.2">
      <c r="A41" s="1186" t="s">
        <v>97</v>
      </c>
      <c r="B41" s="1186" t="s">
        <v>20</v>
      </c>
      <c r="C41" s="1186" t="s">
        <v>1493</v>
      </c>
      <c r="D41" s="1186">
        <v>1</v>
      </c>
    </row>
    <row r="42" spans="1:4" x14ac:dyDescent="0.2">
      <c r="A42" s="1186" t="s">
        <v>97</v>
      </c>
      <c r="B42" s="1186" t="s">
        <v>20</v>
      </c>
      <c r="C42" s="1186" t="s">
        <v>1494</v>
      </c>
      <c r="D42" s="1186"/>
    </row>
    <row r="43" spans="1:4" x14ac:dyDescent="0.2">
      <c r="A43" s="1186" t="s">
        <v>97</v>
      </c>
      <c r="B43" s="1186" t="s">
        <v>20</v>
      </c>
      <c r="C43" s="1186" t="s">
        <v>1495</v>
      </c>
      <c r="D43" s="1186">
        <v>1</v>
      </c>
    </row>
    <row r="44" spans="1:4" x14ac:dyDescent="0.2">
      <c r="A44" s="1186" t="s">
        <v>97</v>
      </c>
      <c r="B44" s="1186" t="s">
        <v>20</v>
      </c>
      <c r="C44" s="1186" t="s">
        <v>1496</v>
      </c>
      <c r="D44" s="1186"/>
    </row>
    <row r="45" spans="1:4" x14ac:dyDescent="0.2">
      <c r="A45" s="1186" t="s">
        <v>97</v>
      </c>
      <c r="B45" s="1186" t="s">
        <v>20</v>
      </c>
      <c r="C45" s="1186" t="s">
        <v>1497</v>
      </c>
      <c r="D45" s="1186"/>
    </row>
    <row r="46" spans="1:4" x14ac:dyDescent="0.2">
      <c r="A46" s="1186" t="s">
        <v>97</v>
      </c>
      <c r="B46" s="1186" t="s">
        <v>20</v>
      </c>
      <c r="C46" s="1186" t="s">
        <v>1498</v>
      </c>
      <c r="D46" s="1186"/>
    </row>
    <row r="47" spans="1:4" x14ac:dyDescent="0.2">
      <c r="A47" s="1186" t="s">
        <v>97</v>
      </c>
      <c r="B47" s="1186" t="s">
        <v>20</v>
      </c>
      <c r="C47" s="1186" t="s">
        <v>1499</v>
      </c>
      <c r="D47" s="1186"/>
    </row>
    <row r="48" spans="1:4" x14ac:dyDescent="0.2">
      <c r="A48" s="1186" t="s">
        <v>97</v>
      </c>
      <c r="B48" s="1186" t="s">
        <v>20</v>
      </c>
      <c r="C48" s="1186" t="s">
        <v>1500</v>
      </c>
      <c r="D48" s="1186"/>
    </row>
    <row r="49" spans="1:4" x14ac:dyDescent="0.2">
      <c r="A49" s="1186" t="s">
        <v>97</v>
      </c>
      <c r="B49" s="1186" t="s">
        <v>20</v>
      </c>
      <c r="C49" s="1186" t="s">
        <v>1501</v>
      </c>
      <c r="D49" s="1186"/>
    </row>
    <row r="50" spans="1:4" x14ac:dyDescent="0.2">
      <c r="A50" s="1186" t="s">
        <v>97</v>
      </c>
      <c r="B50" s="1186" t="s">
        <v>20</v>
      </c>
      <c r="C50" s="1186" t="s">
        <v>1502</v>
      </c>
      <c r="D50" s="1186"/>
    </row>
    <row r="51" spans="1:4" x14ac:dyDescent="0.2">
      <c r="A51" s="1186" t="s">
        <v>97</v>
      </c>
      <c r="B51" s="1186" t="s">
        <v>20</v>
      </c>
      <c r="C51" s="1186" t="s">
        <v>1503</v>
      </c>
      <c r="D51" s="1186"/>
    </row>
    <row r="52" spans="1:4" x14ac:dyDescent="0.2">
      <c r="A52" s="1186" t="s">
        <v>97</v>
      </c>
      <c r="B52" s="1186" t="s">
        <v>20</v>
      </c>
      <c r="C52" s="1186" t="s">
        <v>1504</v>
      </c>
      <c r="D52" s="1186"/>
    </row>
    <row r="53" spans="1:4" x14ac:dyDescent="0.2">
      <c r="A53" s="1186" t="s">
        <v>97</v>
      </c>
      <c r="B53" s="1186" t="s">
        <v>20</v>
      </c>
      <c r="C53" s="1186" t="s">
        <v>1505</v>
      </c>
      <c r="D53" s="1186"/>
    </row>
    <row r="54" spans="1:4" x14ac:dyDescent="0.2">
      <c r="A54" s="1186" t="s">
        <v>97</v>
      </c>
      <c r="B54" s="1186" t="s">
        <v>20</v>
      </c>
      <c r="C54" s="1186" t="s">
        <v>1506</v>
      </c>
      <c r="D54" s="1186"/>
    </row>
    <row r="55" spans="1:4" x14ac:dyDescent="0.2">
      <c r="A55" s="1186" t="s">
        <v>97</v>
      </c>
      <c r="B55" s="1186" t="s">
        <v>20</v>
      </c>
      <c r="C55" s="1186" t="s">
        <v>1507</v>
      </c>
      <c r="D55" s="1186"/>
    </row>
    <row r="56" spans="1:4" x14ac:dyDescent="0.2">
      <c r="A56" s="1186" t="s">
        <v>97</v>
      </c>
      <c r="B56" s="1186" t="s">
        <v>20</v>
      </c>
      <c r="C56" s="1186" t="s">
        <v>1508</v>
      </c>
      <c r="D56" s="1186"/>
    </row>
    <row r="57" spans="1:4" x14ac:dyDescent="0.2">
      <c r="A57" s="1186" t="s">
        <v>97</v>
      </c>
      <c r="B57" s="1186" t="s">
        <v>20</v>
      </c>
      <c r="C57" s="1186" t="s">
        <v>1509</v>
      </c>
      <c r="D57" s="1186"/>
    </row>
    <row r="58" spans="1:4" x14ac:dyDescent="0.2">
      <c r="A58" s="1186" t="s">
        <v>97</v>
      </c>
      <c r="B58" s="1186" t="s">
        <v>20</v>
      </c>
      <c r="C58" s="1186" t="s">
        <v>1510</v>
      </c>
      <c r="D58" s="1186"/>
    </row>
    <row r="59" spans="1:4" x14ac:dyDescent="0.2">
      <c r="A59" s="1186" t="s">
        <v>97</v>
      </c>
      <c r="B59" s="1186" t="s">
        <v>20</v>
      </c>
      <c r="C59" s="1186" t="s">
        <v>1511</v>
      </c>
      <c r="D59" s="1186">
        <v>1</v>
      </c>
    </row>
    <row r="60" spans="1:4" x14ac:dyDescent="0.2">
      <c r="A60" s="1186" t="s">
        <v>97</v>
      </c>
      <c r="B60" s="1186" t="s">
        <v>20</v>
      </c>
      <c r="C60" s="1186" t="s">
        <v>1512</v>
      </c>
      <c r="D60" s="1186"/>
    </row>
    <row r="61" spans="1:4" x14ac:dyDescent="0.2">
      <c r="A61" s="1186" t="s">
        <v>97</v>
      </c>
      <c r="B61" s="1186" t="s">
        <v>20</v>
      </c>
      <c r="C61" s="1186" t="s">
        <v>1513</v>
      </c>
      <c r="D61" s="1186"/>
    </row>
    <row r="62" spans="1:4" x14ac:dyDescent="0.2">
      <c r="A62" s="1186" t="s">
        <v>97</v>
      </c>
      <c r="B62" s="1186" t="s">
        <v>20</v>
      </c>
      <c r="C62" s="1186" t="s">
        <v>1514</v>
      </c>
      <c r="D62" s="1186">
        <v>1</v>
      </c>
    </row>
    <row r="63" spans="1:4" x14ac:dyDescent="0.2">
      <c r="A63" s="1186" t="s">
        <v>97</v>
      </c>
      <c r="B63" s="1186" t="s">
        <v>20</v>
      </c>
      <c r="C63" s="1186" t="s">
        <v>1515</v>
      </c>
      <c r="D63" s="1186"/>
    </row>
    <row r="64" spans="1:4" x14ac:dyDescent="0.2">
      <c r="A64" s="1186" t="s">
        <v>97</v>
      </c>
      <c r="B64" s="1186" t="s">
        <v>20</v>
      </c>
      <c r="C64" s="1186" t="s">
        <v>1516</v>
      </c>
      <c r="D64" s="1186"/>
    </row>
    <row r="65" spans="1:4" x14ac:dyDescent="0.2">
      <c r="A65" s="1186" t="s">
        <v>97</v>
      </c>
      <c r="B65" s="1186" t="s">
        <v>13</v>
      </c>
      <c r="C65" s="1186" t="s">
        <v>1487</v>
      </c>
      <c r="D65" s="1186">
        <v>21</v>
      </c>
    </row>
    <row r="66" spans="1:4" x14ac:dyDescent="0.2">
      <c r="A66" s="1186" t="s">
        <v>97</v>
      </c>
      <c r="B66" s="1186" t="s">
        <v>13</v>
      </c>
      <c r="C66" s="1186" t="s">
        <v>1488</v>
      </c>
      <c r="D66" s="1186">
        <v>25</v>
      </c>
    </row>
    <row r="67" spans="1:4" x14ac:dyDescent="0.2">
      <c r="A67" s="1186" t="s">
        <v>97</v>
      </c>
      <c r="B67" s="1186" t="s">
        <v>13</v>
      </c>
      <c r="C67" s="1186" t="s">
        <v>1489</v>
      </c>
      <c r="D67" s="1186">
        <v>3</v>
      </c>
    </row>
    <row r="68" spans="1:4" x14ac:dyDescent="0.2">
      <c r="A68" s="1186" t="s">
        <v>97</v>
      </c>
      <c r="B68" s="1186" t="s">
        <v>13</v>
      </c>
      <c r="C68" s="1186" t="s">
        <v>1490</v>
      </c>
      <c r="D68" s="1186"/>
    </row>
    <row r="69" spans="1:4" x14ac:dyDescent="0.2">
      <c r="A69" s="1186" t="s">
        <v>97</v>
      </c>
      <c r="B69" s="1186" t="s">
        <v>13</v>
      </c>
      <c r="C69" s="1186" t="s">
        <v>1491</v>
      </c>
      <c r="D69" s="1186"/>
    </row>
    <row r="70" spans="1:4" x14ac:dyDescent="0.2">
      <c r="A70" s="1186" t="s">
        <v>97</v>
      </c>
      <c r="B70" s="1186" t="s">
        <v>13</v>
      </c>
      <c r="C70" s="1186" t="s">
        <v>1492</v>
      </c>
      <c r="D70" s="1186">
        <v>1</v>
      </c>
    </row>
    <row r="71" spans="1:4" x14ac:dyDescent="0.2">
      <c r="A71" s="1186" t="s">
        <v>97</v>
      </c>
      <c r="B71" s="1186" t="s">
        <v>13</v>
      </c>
      <c r="C71" s="1186" t="s">
        <v>1493</v>
      </c>
      <c r="D71" s="1186">
        <v>1</v>
      </c>
    </row>
    <row r="72" spans="1:4" x14ac:dyDescent="0.2">
      <c r="A72" s="1186" t="s">
        <v>97</v>
      </c>
      <c r="B72" s="1186" t="s">
        <v>13</v>
      </c>
      <c r="C72" s="1186" t="s">
        <v>1494</v>
      </c>
      <c r="D72" s="1186"/>
    </row>
    <row r="73" spans="1:4" x14ac:dyDescent="0.2">
      <c r="A73" s="1186" t="s">
        <v>97</v>
      </c>
      <c r="B73" s="1186" t="s">
        <v>13</v>
      </c>
      <c r="C73" s="1186" t="s">
        <v>1495</v>
      </c>
      <c r="D73" s="1186">
        <v>1</v>
      </c>
    </row>
    <row r="74" spans="1:4" x14ac:dyDescent="0.2">
      <c r="A74" s="1186" t="s">
        <v>97</v>
      </c>
      <c r="B74" s="1186" t="s">
        <v>13</v>
      </c>
      <c r="C74" s="1186" t="s">
        <v>1496</v>
      </c>
      <c r="D74" s="1186"/>
    </row>
    <row r="75" spans="1:4" x14ac:dyDescent="0.2">
      <c r="A75" s="1186" t="s">
        <v>97</v>
      </c>
      <c r="B75" s="1186" t="s">
        <v>13</v>
      </c>
      <c r="C75" s="1186" t="s">
        <v>1497</v>
      </c>
      <c r="D75" s="1186">
        <v>1</v>
      </c>
    </row>
    <row r="76" spans="1:4" x14ac:dyDescent="0.2">
      <c r="A76" s="1186" t="s">
        <v>97</v>
      </c>
      <c r="B76" s="1186" t="s">
        <v>13</v>
      </c>
      <c r="C76" s="1186" t="s">
        <v>1498</v>
      </c>
      <c r="D76" s="1186"/>
    </row>
    <row r="77" spans="1:4" x14ac:dyDescent="0.2">
      <c r="A77" s="1186" t="s">
        <v>97</v>
      </c>
      <c r="B77" s="1186" t="s">
        <v>13</v>
      </c>
      <c r="C77" s="1186" t="s">
        <v>1499</v>
      </c>
      <c r="D77" s="1186"/>
    </row>
    <row r="78" spans="1:4" x14ac:dyDescent="0.2">
      <c r="A78" s="1186" t="s">
        <v>97</v>
      </c>
      <c r="B78" s="1186" t="s">
        <v>13</v>
      </c>
      <c r="C78" s="1186" t="s">
        <v>1500</v>
      </c>
      <c r="D78" s="1186"/>
    </row>
    <row r="79" spans="1:4" x14ac:dyDescent="0.2">
      <c r="A79" s="1186" t="s">
        <v>97</v>
      </c>
      <c r="B79" s="1186" t="s">
        <v>13</v>
      </c>
      <c r="C79" s="1186" t="s">
        <v>1501</v>
      </c>
      <c r="D79" s="1186"/>
    </row>
    <row r="80" spans="1:4" x14ac:dyDescent="0.2">
      <c r="A80" s="1186" t="s">
        <v>97</v>
      </c>
      <c r="B80" s="1186" t="s">
        <v>13</v>
      </c>
      <c r="C80" s="1186" t="s">
        <v>1502</v>
      </c>
      <c r="D80" s="1186"/>
    </row>
    <row r="81" spans="1:4" x14ac:dyDescent="0.2">
      <c r="A81" s="1186" t="s">
        <v>97</v>
      </c>
      <c r="B81" s="1186" t="s">
        <v>13</v>
      </c>
      <c r="C81" s="1186" t="s">
        <v>1503</v>
      </c>
      <c r="D81" s="1186">
        <v>1</v>
      </c>
    </row>
    <row r="82" spans="1:4" x14ac:dyDescent="0.2">
      <c r="A82" s="1186" t="s">
        <v>97</v>
      </c>
      <c r="B82" s="1186" t="s">
        <v>13</v>
      </c>
      <c r="C82" s="1186" t="s">
        <v>1504</v>
      </c>
      <c r="D82" s="1186"/>
    </row>
    <row r="83" spans="1:4" x14ac:dyDescent="0.2">
      <c r="A83" s="1186" t="s">
        <v>97</v>
      </c>
      <c r="B83" s="1186" t="s">
        <v>13</v>
      </c>
      <c r="C83" s="1186" t="s">
        <v>1505</v>
      </c>
      <c r="D83" s="1186"/>
    </row>
    <row r="84" spans="1:4" x14ac:dyDescent="0.2">
      <c r="A84" s="1186" t="s">
        <v>97</v>
      </c>
      <c r="B84" s="1186" t="s">
        <v>13</v>
      </c>
      <c r="C84" s="1186" t="s">
        <v>1506</v>
      </c>
      <c r="D84" s="1186">
        <v>1</v>
      </c>
    </row>
    <row r="85" spans="1:4" x14ac:dyDescent="0.2">
      <c r="A85" s="1186" t="s">
        <v>97</v>
      </c>
      <c r="B85" s="1186" t="s">
        <v>13</v>
      </c>
      <c r="C85" s="1186" t="s">
        <v>1507</v>
      </c>
      <c r="D85" s="1186"/>
    </row>
    <row r="86" spans="1:4" x14ac:dyDescent="0.2">
      <c r="A86" s="1186" t="s">
        <v>97</v>
      </c>
      <c r="B86" s="1186" t="s">
        <v>13</v>
      </c>
      <c r="C86" s="1186" t="s">
        <v>1508</v>
      </c>
      <c r="D86" s="1186"/>
    </row>
    <row r="87" spans="1:4" x14ac:dyDescent="0.2">
      <c r="A87" s="1186" t="s">
        <v>97</v>
      </c>
      <c r="B87" s="1186" t="s">
        <v>13</v>
      </c>
      <c r="C87" s="1186" t="s">
        <v>1509</v>
      </c>
      <c r="D87" s="1186"/>
    </row>
    <row r="88" spans="1:4" x14ac:dyDescent="0.2">
      <c r="A88" s="1186" t="s">
        <v>97</v>
      </c>
      <c r="B88" s="1186" t="s">
        <v>13</v>
      </c>
      <c r="C88" s="1186" t="s">
        <v>1510</v>
      </c>
      <c r="D88" s="1186"/>
    </row>
    <row r="89" spans="1:4" x14ac:dyDescent="0.2">
      <c r="A89" s="1186" t="s">
        <v>97</v>
      </c>
      <c r="B89" s="1186" t="s">
        <v>13</v>
      </c>
      <c r="C89" s="1186" t="s">
        <v>1511</v>
      </c>
      <c r="D89" s="1186"/>
    </row>
    <row r="90" spans="1:4" x14ac:dyDescent="0.2">
      <c r="A90" s="1186" t="s">
        <v>97</v>
      </c>
      <c r="B90" s="1186" t="s">
        <v>13</v>
      </c>
      <c r="C90" s="1186" t="s">
        <v>1512</v>
      </c>
      <c r="D90" s="1186"/>
    </row>
    <row r="91" spans="1:4" x14ac:dyDescent="0.2">
      <c r="A91" s="1186" t="s">
        <v>97</v>
      </c>
      <c r="B91" s="1186" t="s">
        <v>13</v>
      </c>
      <c r="C91" s="1186" t="s">
        <v>1513</v>
      </c>
      <c r="D91" s="1186"/>
    </row>
    <row r="92" spans="1:4" x14ac:dyDescent="0.2">
      <c r="A92" s="1186" t="s">
        <v>97</v>
      </c>
      <c r="B92" s="1186" t="s">
        <v>13</v>
      </c>
      <c r="C92" s="1186" t="s">
        <v>1514</v>
      </c>
      <c r="D92" s="1186"/>
    </row>
    <row r="93" spans="1:4" x14ac:dyDescent="0.2">
      <c r="A93" s="1186" t="s">
        <v>97</v>
      </c>
      <c r="B93" s="1186" t="s">
        <v>13</v>
      </c>
      <c r="C93" s="1186" t="s">
        <v>1515</v>
      </c>
      <c r="D93" s="1186"/>
    </row>
    <row r="94" spans="1:4" x14ac:dyDescent="0.2">
      <c r="A94" s="1186" t="s">
        <v>97</v>
      </c>
      <c r="B94" s="1186" t="s">
        <v>13</v>
      </c>
      <c r="C94" s="1186" t="s">
        <v>1516</v>
      </c>
      <c r="D94" s="1186"/>
    </row>
    <row r="95" spans="1:4" x14ac:dyDescent="0.2">
      <c r="A95" s="1186" t="s">
        <v>97</v>
      </c>
      <c r="B95" s="1186" t="s">
        <v>15</v>
      </c>
      <c r="C95" s="1186" t="s">
        <v>1487</v>
      </c>
      <c r="D95" s="1186">
        <v>19</v>
      </c>
    </row>
    <row r="96" spans="1:4" x14ac:dyDescent="0.2">
      <c r="A96" s="1186" t="s">
        <v>97</v>
      </c>
      <c r="B96" s="1186" t="s">
        <v>15</v>
      </c>
      <c r="C96" s="1186" t="s">
        <v>1488</v>
      </c>
      <c r="D96" s="1186">
        <v>14</v>
      </c>
    </row>
    <row r="97" spans="1:4" x14ac:dyDescent="0.2">
      <c r="A97" s="1186" t="s">
        <v>97</v>
      </c>
      <c r="B97" s="1186" t="s">
        <v>15</v>
      </c>
      <c r="C97" s="1186" t="s">
        <v>1489</v>
      </c>
      <c r="D97" s="1186">
        <v>6</v>
      </c>
    </row>
    <row r="98" spans="1:4" x14ac:dyDescent="0.2">
      <c r="A98" s="1186" t="s">
        <v>97</v>
      </c>
      <c r="B98" s="1186" t="s">
        <v>15</v>
      </c>
      <c r="C98" s="1186" t="s">
        <v>1490</v>
      </c>
      <c r="D98" s="1186"/>
    </row>
    <row r="99" spans="1:4" x14ac:dyDescent="0.2">
      <c r="A99" s="1186" t="s">
        <v>97</v>
      </c>
      <c r="B99" s="1186" t="s">
        <v>15</v>
      </c>
      <c r="C99" s="1186" t="s">
        <v>1491</v>
      </c>
      <c r="D99" s="1186"/>
    </row>
    <row r="100" spans="1:4" x14ac:dyDescent="0.2">
      <c r="A100" s="1186" t="s">
        <v>97</v>
      </c>
      <c r="B100" s="1186" t="s">
        <v>15</v>
      </c>
      <c r="C100" s="1186" t="s">
        <v>1492</v>
      </c>
      <c r="D100" s="1186">
        <v>1</v>
      </c>
    </row>
    <row r="101" spans="1:4" x14ac:dyDescent="0.2">
      <c r="A101" s="1186" t="s">
        <v>97</v>
      </c>
      <c r="B101" s="1186" t="s">
        <v>15</v>
      </c>
      <c r="C101" s="1186" t="s">
        <v>1493</v>
      </c>
      <c r="D101" s="1186"/>
    </row>
    <row r="102" spans="1:4" x14ac:dyDescent="0.2">
      <c r="A102" s="1186" t="s">
        <v>97</v>
      </c>
      <c r="B102" s="1186" t="s">
        <v>15</v>
      </c>
      <c r="C102" s="1186" t="s">
        <v>1494</v>
      </c>
      <c r="D102" s="1186"/>
    </row>
    <row r="103" spans="1:4" x14ac:dyDescent="0.2">
      <c r="A103" s="1186" t="s">
        <v>97</v>
      </c>
      <c r="B103" s="1186" t="s">
        <v>15</v>
      </c>
      <c r="C103" s="1186" t="s">
        <v>1495</v>
      </c>
      <c r="D103" s="1186"/>
    </row>
    <row r="104" spans="1:4" x14ac:dyDescent="0.2">
      <c r="A104" s="1186" t="s">
        <v>97</v>
      </c>
      <c r="B104" s="1186" t="s">
        <v>15</v>
      </c>
      <c r="C104" s="1186" t="s">
        <v>1496</v>
      </c>
      <c r="D104" s="1186"/>
    </row>
    <row r="105" spans="1:4" x14ac:dyDescent="0.2">
      <c r="A105" s="1186" t="s">
        <v>97</v>
      </c>
      <c r="B105" s="1186" t="s">
        <v>15</v>
      </c>
      <c r="C105" s="1186" t="s">
        <v>1497</v>
      </c>
      <c r="D105" s="1186"/>
    </row>
    <row r="106" spans="1:4" x14ac:dyDescent="0.2">
      <c r="A106" s="1186" t="s">
        <v>97</v>
      </c>
      <c r="B106" s="1186" t="s">
        <v>15</v>
      </c>
      <c r="C106" s="1186" t="s">
        <v>1498</v>
      </c>
      <c r="D106" s="1186"/>
    </row>
    <row r="107" spans="1:4" x14ac:dyDescent="0.2">
      <c r="A107" s="1186" t="s">
        <v>97</v>
      </c>
      <c r="B107" s="1186" t="s">
        <v>15</v>
      </c>
      <c r="C107" s="1186" t="s">
        <v>1499</v>
      </c>
      <c r="D107" s="1186"/>
    </row>
    <row r="108" spans="1:4" x14ac:dyDescent="0.2">
      <c r="A108" s="1186" t="s">
        <v>97</v>
      </c>
      <c r="B108" s="1186" t="s">
        <v>15</v>
      </c>
      <c r="C108" s="1186" t="s">
        <v>1500</v>
      </c>
      <c r="D108" s="1186"/>
    </row>
    <row r="109" spans="1:4" x14ac:dyDescent="0.2">
      <c r="A109" s="1186" t="s">
        <v>97</v>
      </c>
      <c r="B109" s="1186" t="s">
        <v>15</v>
      </c>
      <c r="C109" s="1186" t="s">
        <v>1501</v>
      </c>
      <c r="D109" s="1186"/>
    </row>
    <row r="110" spans="1:4" x14ac:dyDescent="0.2">
      <c r="A110" s="1186" t="s">
        <v>97</v>
      </c>
      <c r="B110" s="1186" t="s">
        <v>15</v>
      </c>
      <c r="C110" s="1186" t="s">
        <v>1502</v>
      </c>
      <c r="D110" s="1186"/>
    </row>
    <row r="111" spans="1:4" x14ac:dyDescent="0.2">
      <c r="A111" s="1186" t="s">
        <v>97</v>
      </c>
      <c r="B111" s="1186" t="s">
        <v>15</v>
      </c>
      <c r="C111" s="1186" t="s">
        <v>1503</v>
      </c>
      <c r="D111" s="1186"/>
    </row>
    <row r="112" spans="1:4" x14ac:dyDescent="0.2">
      <c r="A112" s="1186" t="s">
        <v>97</v>
      </c>
      <c r="B112" s="1186" t="s">
        <v>15</v>
      </c>
      <c r="C112" s="1186" t="s">
        <v>1504</v>
      </c>
      <c r="D112" s="1186"/>
    </row>
    <row r="113" spans="1:4" x14ac:dyDescent="0.2">
      <c r="A113" s="1186" t="s">
        <v>97</v>
      </c>
      <c r="B113" s="1186" t="s">
        <v>15</v>
      </c>
      <c r="C113" s="1186" t="s">
        <v>1505</v>
      </c>
      <c r="D113" s="1186"/>
    </row>
    <row r="114" spans="1:4" x14ac:dyDescent="0.2">
      <c r="A114" s="1186" t="s">
        <v>97</v>
      </c>
      <c r="B114" s="1186" t="s">
        <v>15</v>
      </c>
      <c r="C114" s="1186" t="s">
        <v>1506</v>
      </c>
      <c r="D114" s="1186"/>
    </row>
    <row r="115" spans="1:4" x14ac:dyDescent="0.2">
      <c r="A115" s="1186" t="s">
        <v>97</v>
      </c>
      <c r="B115" s="1186" t="s">
        <v>15</v>
      </c>
      <c r="C115" s="1186" t="s">
        <v>1507</v>
      </c>
      <c r="D115" s="1186"/>
    </row>
    <row r="116" spans="1:4" x14ac:dyDescent="0.2">
      <c r="A116" s="1186" t="s">
        <v>97</v>
      </c>
      <c r="B116" s="1186" t="s">
        <v>15</v>
      </c>
      <c r="C116" s="1186" t="s">
        <v>1508</v>
      </c>
      <c r="D116" s="1186"/>
    </row>
    <row r="117" spans="1:4" x14ac:dyDescent="0.2">
      <c r="A117" s="1186" t="s">
        <v>97</v>
      </c>
      <c r="B117" s="1186" t="s">
        <v>15</v>
      </c>
      <c r="C117" s="1186" t="s">
        <v>1509</v>
      </c>
      <c r="D117" s="1186"/>
    </row>
    <row r="118" spans="1:4" x14ac:dyDescent="0.2">
      <c r="A118" s="1186" t="s">
        <v>97</v>
      </c>
      <c r="B118" s="1186" t="s">
        <v>15</v>
      </c>
      <c r="C118" s="1186" t="s">
        <v>1510</v>
      </c>
      <c r="D118" s="1186"/>
    </row>
    <row r="119" spans="1:4" x14ac:dyDescent="0.2">
      <c r="A119" s="1186" t="s">
        <v>97</v>
      </c>
      <c r="B119" s="1186" t="s">
        <v>15</v>
      </c>
      <c r="C119" s="1186" t="s">
        <v>1511</v>
      </c>
      <c r="D119" s="1186">
        <v>1</v>
      </c>
    </row>
    <row r="120" spans="1:4" x14ac:dyDescent="0.2">
      <c r="A120" s="1186" t="s">
        <v>97</v>
      </c>
      <c r="B120" s="1186" t="s">
        <v>15</v>
      </c>
      <c r="C120" s="1186" t="s">
        <v>1512</v>
      </c>
      <c r="D120" s="1186"/>
    </row>
    <row r="121" spans="1:4" x14ac:dyDescent="0.2">
      <c r="A121" s="1186" t="s">
        <v>97</v>
      </c>
      <c r="B121" s="1186" t="s">
        <v>15</v>
      </c>
      <c r="C121" s="1186" t="s">
        <v>1513</v>
      </c>
      <c r="D121" s="1186"/>
    </row>
    <row r="122" spans="1:4" x14ac:dyDescent="0.2">
      <c r="A122" s="1186" t="s">
        <v>97</v>
      </c>
      <c r="B122" s="1186" t="s">
        <v>15</v>
      </c>
      <c r="C122" s="1186" t="s">
        <v>1514</v>
      </c>
      <c r="D122" s="1186">
        <v>1</v>
      </c>
    </row>
    <row r="123" spans="1:4" x14ac:dyDescent="0.2">
      <c r="A123" s="1186" t="s">
        <v>97</v>
      </c>
      <c r="B123" s="1186" t="s">
        <v>15</v>
      </c>
      <c r="C123" s="1186" t="s">
        <v>1515</v>
      </c>
      <c r="D123" s="1186"/>
    </row>
    <row r="124" spans="1:4" x14ac:dyDescent="0.2">
      <c r="A124" s="1186" t="s">
        <v>97</v>
      </c>
      <c r="B124" s="1186" t="s">
        <v>15</v>
      </c>
      <c r="C124" s="1186" t="s">
        <v>1516</v>
      </c>
      <c r="D124" s="1186"/>
    </row>
    <row r="125" spans="1:4" x14ac:dyDescent="0.2">
      <c r="A125" s="1186" t="s">
        <v>97</v>
      </c>
      <c r="B125" s="1186" t="s">
        <v>17</v>
      </c>
      <c r="C125" s="1186" t="s">
        <v>1487</v>
      </c>
      <c r="D125" s="1186">
        <v>14</v>
      </c>
    </row>
    <row r="126" spans="1:4" x14ac:dyDescent="0.2">
      <c r="A126" s="1186" t="s">
        <v>97</v>
      </c>
      <c r="B126" s="1186" t="s">
        <v>17</v>
      </c>
      <c r="C126" s="1186" t="s">
        <v>1488</v>
      </c>
      <c r="D126" s="1186">
        <v>11</v>
      </c>
    </row>
    <row r="127" spans="1:4" x14ac:dyDescent="0.2">
      <c r="A127" s="1186" t="s">
        <v>97</v>
      </c>
      <c r="B127" s="1186" t="s">
        <v>17</v>
      </c>
      <c r="C127" s="1186" t="s">
        <v>1489</v>
      </c>
      <c r="D127" s="1186">
        <v>2</v>
      </c>
    </row>
    <row r="128" spans="1:4" x14ac:dyDescent="0.2">
      <c r="A128" s="1186" t="s">
        <v>97</v>
      </c>
      <c r="B128" s="1186" t="s">
        <v>17</v>
      </c>
      <c r="C128" s="1186" t="s">
        <v>1490</v>
      </c>
      <c r="D128" s="1186"/>
    </row>
    <row r="129" spans="1:4" x14ac:dyDescent="0.2">
      <c r="A129" s="1186" t="s">
        <v>97</v>
      </c>
      <c r="B129" s="1186" t="s">
        <v>17</v>
      </c>
      <c r="C129" s="1186" t="s">
        <v>1491</v>
      </c>
      <c r="D129" s="1186"/>
    </row>
    <row r="130" spans="1:4" x14ac:dyDescent="0.2">
      <c r="A130" s="1186" t="s">
        <v>97</v>
      </c>
      <c r="B130" s="1186" t="s">
        <v>17</v>
      </c>
      <c r="C130" s="1186" t="s">
        <v>1492</v>
      </c>
      <c r="D130" s="1186">
        <v>2</v>
      </c>
    </row>
    <row r="131" spans="1:4" x14ac:dyDescent="0.2">
      <c r="A131" s="1186" t="s">
        <v>97</v>
      </c>
      <c r="B131" s="1186" t="s">
        <v>17</v>
      </c>
      <c r="C131" s="1186" t="s">
        <v>1493</v>
      </c>
      <c r="D131" s="1186"/>
    </row>
    <row r="132" spans="1:4" x14ac:dyDescent="0.2">
      <c r="A132" s="1186" t="s">
        <v>97</v>
      </c>
      <c r="B132" s="1186" t="s">
        <v>17</v>
      </c>
      <c r="C132" s="1186" t="s">
        <v>1494</v>
      </c>
      <c r="D132" s="1186"/>
    </row>
    <row r="133" spans="1:4" x14ac:dyDescent="0.2">
      <c r="A133" s="1186" t="s">
        <v>97</v>
      </c>
      <c r="B133" s="1186" t="s">
        <v>17</v>
      </c>
      <c r="C133" s="1186" t="s">
        <v>1495</v>
      </c>
      <c r="D133" s="1186"/>
    </row>
    <row r="134" spans="1:4" x14ac:dyDescent="0.2">
      <c r="A134" s="1186" t="s">
        <v>97</v>
      </c>
      <c r="B134" s="1186" t="s">
        <v>17</v>
      </c>
      <c r="C134" s="1186" t="s">
        <v>1496</v>
      </c>
      <c r="D134" s="1186"/>
    </row>
    <row r="135" spans="1:4" x14ac:dyDescent="0.2">
      <c r="A135" s="1186" t="s">
        <v>97</v>
      </c>
      <c r="B135" s="1186" t="s">
        <v>17</v>
      </c>
      <c r="C135" s="1186" t="s">
        <v>1497</v>
      </c>
      <c r="D135" s="1186"/>
    </row>
    <row r="136" spans="1:4" x14ac:dyDescent="0.2">
      <c r="A136" s="1186" t="s">
        <v>97</v>
      </c>
      <c r="B136" s="1186" t="s">
        <v>17</v>
      </c>
      <c r="C136" s="1186" t="s">
        <v>1498</v>
      </c>
      <c r="D136" s="1186"/>
    </row>
    <row r="137" spans="1:4" x14ac:dyDescent="0.2">
      <c r="A137" s="1186" t="s">
        <v>97</v>
      </c>
      <c r="B137" s="1186" t="s">
        <v>17</v>
      </c>
      <c r="C137" s="1186" t="s">
        <v>1499</v>
      </c>
      <c r="D137" s="1186"/>
    </row>
    <row r="138" spans="1:4" x14ac:dyDescent="0.2">
      <c r="A138" s="1186" t="s">
        <v>97</v>
      </c>
      <c r="B138" s="1186" t="s">
        <v>17</v>
      </c>
      <c r="C138" s="1186" t="s">
        <v>1500</v>
      </c>
      <c r="D138" s="1186"/>
    </row>
    <row r="139" spans="1:4" x14ac:dyDescent="0.2">
      <c r="A139" s="1186" t="s">
        <v>97</v>
      </c>
      <c r="B139" s="1186" t="s">
        <v>17</v>
      </c>
      <c r="C139" s="1186" t="s">
        <v>1501</v>
      </c>
      <c r="D139" s="1186"/>
    </row>
    <row r="140" spans="1:4" x14ac:dyDescent="0.2">
      <c r="A140" s="1186" t="s">
        <v>97</v>
      </c>
      <c r="B140" s="1186" t="s">
        <v>17</v>
      </c>
      <c r="C140" s="1186" t="s">
        <v>1502</v>
      </c>
      <c r="D140" s="1186"/>
    </row>
    <row r="141" spans="1:4" x14ac:dyDescent="0.2">
      <c r="A141" s="1186" t="s">
        <v>97</v>
      </c>
      <c r="B141" s="1186" t="s">
        <v>17</v>
      </c>
      <c r="C141" s="1186" t="s">
        <v>1503</v>
      </c>
      <c r="D141" s="1186">
        <v>1</v>
      </c>
    </row>
    <row r="142" spans="1:4" x14ac:dyDescent="0.2">
      <c r="A142" s="1186" t="s">
        <v>97</v>
      </c>
      <c r="B142" s="1186" t="s">
        <v>17</v>
      </c>
      <c r="C142" s="1186" t="s">
        <v>1504</v>
      </c>
      <c r="D142" s="1186"/>
    </row>
    <row r="143" spans="1:4" x14ac:dyDescent="0.2">
      <c r="A143" s="1186" t="s">
        <v>97</v>
      </c>
      <c r="B143" s="1186" t="s">
        <v>17</v>
      </c>
      <c r="C143" s="1186" t="s">
        <v>1505</v>
      </c>
      <c r="D143" s="1186"/>
    </row>
    <row r="144" spans="1:4" x14ac:dyDescent="0.2">
      <c r="A144" s="1186" t="s">
        <v>97</v>
      </c>
      <c r="B144" s="1186" t="s">
        <v>17</v>
      </c>
      <c r="C144" s="1186" t="s">
        <v>1506</v>
      </c>
      <c r="D144" s="1186"/>
    </row>
    <row r="145" spans="1:4" x14ac:dyDescent="0.2">
      <c r="A145" s="1186" t="s">
        <v>97</v>
      </c>
      <c r="B145" s="1186" t="s">
        <v>17</v>
      </c>
      <c r="C145" s="1186" t="s">
        <v>1507</v>
      </c>
      <c r="D145" s="1186"/>
    </row>
    <row r="146" spans="1:4" x14ac:dyDescent="0.2">
      <c r="A146" s="1186" t="s">
        <v>97</v>
      </c>
      <c r="B146" s="1186" t="s">
        <v>17</v>
      </c>
      <c r="C146" s="1186" t="s">
        <v>1508</v>
      </c>
      <c r="D146" s="1186"/>
    </row>
    <row r="147" spans="1:4" x14ac:dyDescent="0.2">
      <c r="A147" s="1186" t="s">
        <v>97</v>
      </c>
      <c r="B147" s="1186" t="s">
        <v>17</v>
      </c>
      <c r="C147" s="1186" t="s">
        <v>1509</v>
      </c>
      <c r="D147" s="1186"/>
    </row>
    <row r="148" spans="1:4" x14ac:dyDescent="0.2">
      <c r="A148" s="1186" t="s">
        <v>97</v>
      </c>
      <c r="B148" s="1186" t="s">
        <v>17</v>
      </c>
      <c r="C148" s="1186" t="s">
        <v>1510</v>
      </c>
      <c r="D148" s="1186"/>
    </row>
    <row r="149" spans="1:4" x14ac:dyDescent="0.2">
      <c r="A149" s="1186" t="s">
        <v>97</v>
      </c>
      <c r="B149" s="1186" t="s">
        <v>17</v>
      </c>
      <c r="C149" s="1186" t="s">
        <v>1511</v>
      </c>
      <c r="D149" s="1186"/>
    </row>
    <row r="150" spans="1:4" x14ac:dyDescent="0.2">
      <c r="A150" s="1186" t="s">
        <v>97</v>
      </c>
      <c r="B150" s="1186" t="s">
        <v>17</v>
      </c>
      <c r="C150" s="1186" t="s">
        <v>1512</v>
      </c>
      <c r="D150" s="1186"/>
    </row>
    <row r="151" spans="1:4" x14ac:dyDescent="0.2">
      <c r="A151" s="1186" t="s">
        <v>97</v>
      </c>
      <c r="B151" s="1186" t="s">
        <v>17</v>
      </c>
      <c r="C151" s="1186" t="s">
        <v>1513</v>
      </c>
      <c r="D151" s="1186"/>
    </row>
    <row r="152" spans="1:4" x14ac:dyDescent="0.2">
      <c r="A152" s="1186" t="s">
        <v>97</v>
      </c>
      <c r="B152" s="1186" t="s">
        <v>17</v>
      </c>
      <c r="C152" s="1186" t="s">
        <v>1514</v>
      </c>
      <c r="D152" s="1186"/>
    </row>
    <row r="153" spans="1:4" x14ac:dyDescent="0.2">
      <c r="A153" s="1186" t="s">
        <v>97</v>
      </c>
      <c r="B153" s="1186" t="s">
        <v>17</v>
      </c>
      <c r="C153" s="1186" t="s">
        <v>1515</v>
      </c>
      <c r="D153" s="1186"/>
    </row>
    <row r="154" spans="1:4" x14ac:dyDescent="0.2">
      <c r="A154" s="1186" t="s">
        <v>97</v>
      </c>
      <c r="B154" s="1186" t="s">
        <v>17</v>
      </c>
      <c r="C154" s="1186" t="s">
        <v>1516</v>
      </c>
      <c r="D154" s="1186"/>
    </row>
    <row r="155" spans="1:4" x14ac:dyDescent="0.2">
      <c r="A155" s="1186" t="s">
        <v>97</v>
      </c>
      <c r="B155" s="1186" t="s">
        <v>133</v>
      </c>
      <c r="C155" s="1186" t="s">
        <v>1487</v>
      </c>
      <c r="D155" s="1186">
        <v>16</v>
      </c>
    </row>
    <row r="156" spans="1:4" x14ac:dyDescent="0.2">
      <c r="A156" s="1186" t="s">
        <v>97</v>
      </c>
      <c r="B156" s="1186" t="s">
        <v>133</v>
      </c>
      <c r="C156" s="1186" t="s">
        <v>1488</v>
      </c>
      <c r="D156" s="1186">
        <v>11</v>
      </c>
    </row>
    <row r="157" spans="1:4" x14ac:dyDescent="0.2">
      <c r="A157" s="1186" t="s">
        <v>97</v>
      </c>
      <c r="B157" s="1186" t="s">
        <v>133</v>
      </c>
      <c r="C157" s="1186" t="s">
        <v>1489</v>
      </c>
      <c r="D157" s="1186"/>
    </row>
    <row r="158" spans="1:4" x14ac:dyDescent="0.2">
      <c r="A158" s="1186" t="s">
        <v>97</v>
      </c>
      <c r="B158" s="1186" t="s">
        <v>133</v>
      </c>
      <c r="C158" s="1186" t="s">
        <v>1490</v>
      </c>
      <c r="D158" s="1186"/>
    </row>
    <row r="159" spans="1:4" x14ac:dyDescent="0.2">
      <c r="A159" s="1186" t="s">
        <v>97</v>
      </c>
      <c r="B159" s="1186" t="s">
        <v>133</v>
      </c>
      <c r="C159" s="1186" t="s">
        <v>1491</v>
      </c>
      <c r="D159" s="1186"/>
    </row>
    <row r="160" spans="1:4" x14ac:dyDescent="0.2">
      <c r="A160" s="1186" t="s">
        <v>97</v>
      </c>
      <c r="B160" s="1186" t="s">
        <v>133</v>
      </c>
      <c r="C160" s="1186" t="s">
        <v>1492</v>
      </c>
      <c r="D160" s="1186">
        <v>2</v>
      </c>
    </row>
    <row r="161" spans="1:4" x14ac:dyDescent="0.2">
      <c r="A161" s="1186" t="s">
        <v>97</v>
      </c>
      <c r="B161" s="1186" t="s">
        <v>133</v>
      </c>
      <c r="C161" s="1186" t="s">
        <v>1493</v>
      </c>
      <c r="D161" s="1186">
        <v>1</v>
      </c>
    </row>
    <row r="162" spans="1:4" x14ac:dyDescent="0.2">
      <c r="A162" s="1186" t="s">
        <v>97</v>
      </c>
      <c r="B162" s="1186" t="s">
        <v>133</v>
      </c>
      <c r="C162" s="1186" t="s">
        <v>1494</v>
      </c>
      <c r="D162" s="1186">
        <v>1</v>
      </c>
    </row>
    <row r="163" spans="1:4" x14ac:dyDescent="0.2">
      <c r="A163" s="1186" t="s">
        <v>97</v>
      </c>
      <c r="B163" s="1186" t="s">
        <v>133</v>
      </c>
      <c r="C163" s="1186" t="s">
        <v>1495</v>
      </c>
      <c r="D163" s="1186"/>
    </row>
    <row r="164" spans="1:4" x14ac:dyDescent="0.2">
      <c r="A164" s="1186" t="s">
        <v>97</v>
      </c>
      <c r="B164" s="1186" t="s">
        <v>133</v>
      </c>
      <c r="C164" s="1186" t="s">
        <v>1496</v>
      </c>
      <c r="D164" s="1186"/>
    </row>
    <row r="165" spans="1:4" x14ac:dyDescent="0.2">
      <c r="A165" s="1186" t="s">
        <v>97</v>
      </c>
      <c r="B165" s="1186" t="s">
        <v>133</v>
      </c>
      <c r="C165" s="1186" t="s">
        <v>1497</v>
      </c>
      <c r="D165" s="1186"/>
    </row>
    <row r="166" spans="1:4" x14ac:dyDescent="0.2">
      <c r="A166" s="1186" t="s">
        <v>97</v>
      </c>
      <c r="B166" s="1186" t="s">
        <v>133</v>
      </c>
      <c r="C166" s="1186" t="s">
        <v>1498</v>
      </c>
      <c r="D166" s="1186"/>
    </row>
    <row r="167" spans="1:4" x14ac:dyDescent="0.2">
      <c r="A167" s="1186" t="s">
        <v>97</v>
      </c>
      <c r="B167" s="1186" t="s">
        <v>133</v>
      </c>
      <c r="C167" s="1186" t="s">
        <v>1499</v>
      </c>
      <c r="D167" s="1186"/>
    </row>
    <row r="168" spans="1:4" x14ac:dyDescent="0.2">
      <c r="A168" s="1186" t="s">
        <v>97</v>
      </c>
      <c r="B168" s="1186" t="s">
        <v>133</v>
      </c>
      <c r="C168" s="1186" t="s">
        <v>1500</v>
      </c>
      <c r="D168" s="1186">
        <v>1</v>
      </c>
    </row>
    <row r="169" spans="1:4" x14ac:dyDescent="0.2">
      <c r="A169" s="1186" t="s">
        <v>97</v>
      </c>
      <c r="B169" s="1186" t="s">
        <v>133</v>
      </c>
      <c r="C169" s="1186" t="s">
        <v>1501</v>
      </c>
      <c r="D169" s="1186"/>
    </row>
    <row r="170" spans="1:4" x14ac:dyDescent="0.2">
      <c r="A170" s="1186" t="s">
        <v>97</v>
      </c>
      <c r="B170" s="1186" t="s">
        <v>133</v>
      </c>
      <c r="C170" s="1186" t="s">
        <v>1502</v>
      </c>
      <c r="D170" s="1186">
        <v>1</v>
      </c>
    </row>
    <row r="171" spans="1:4" x14ac:dyDescent="0.2">
      <c r="A171" s="1186" t="s">
        <v>97</v>
      </c>
      <c r="B171" s="1186" t="s">
        <v>133</v>
      </c>
      <c r="C171" s="1186" t="s">
        <v>1503</v>
      </c>
      <c r="D171" s="1186"/>
    </row>
    <row r="172" spans="1:4" x14ac:dyDescent="0.2">
      <c r="A172" s="1186" t="s">
        <v>97</v>
      </c>
      <c r="B172" s="1186" t="s">
        <v>133</v>
      </c>
      <c r="C172" s="1186" t="s">
        <v>1504</v>
      </c>
      <c r="D172" s="1186"/>
    </row>
    <row r="173" spans="1:4" x14ac:dyDescent="0.2">
      <c r="A173" s="1186" t="s">
        <v>97</v>
      </c>
      <c r="B173" s="1186" t="s">
        <v>133</v>
      </c>
      <c r="C173" s="1186" t="s">
        <v>1505</v>
      </c>
      <c r="D173" s="1186"/>
    </row>
    <row r="174" spans="1:4" x14ac:dyDescent="0.2">
      <c r="A174" s="1186" t="s">
        <v>97</v>
      </c>
      <c r="B174" s="1186" t="s">
        <v>133</v>
      </c>
      <c r="C174" s="1186" t="s">
        <v>1506</v>
      </c>
      <c r="D174" s="1186"/>
    </row>
    <row r="175" spans="1:4" x14ac:dyDescent="0.2">
      <c r="A175" s="1186" t="s">
        <v>97</v>
      </c>
      <c r="B175" s="1186" t="s">
        <v>133</v>
      </c>
      <c r="C175" s="1186" t="s">
        <v>1507</v>
      </c>
      <c r="D175" s="1186"/>
    </row>
    <row r="176" spans="1:4" x14ac:dyDescent="0.2">
      <c r="A176" s="1186" t="s">
        <v>97</v>
      </c>
      <c r="B176" s="1186" t="s">
        <v>133</v>
      </c>
      <c r="C176" s="1186" t="s">
        <v>1508</v>
      </c>
      <c r="D176" s="1186"/>
    </row>
    <row r="177" spans="1:4" x14ac:dyDescent="0.2">
      <c r="A177" s="1186" t="s">
        <v>97</v>
      </c>
      <c r="B177" s="1186" t="s">
        <v>133</v>
      </c>
      <c r="C177" s="1186" t="s">
        <v>1509</v>
      </c>
      <c r="D177" s="1186"/>
    </row>
    <row r="178" spans="1:4" x14ac:dyDescent="0.2">
      <c r="A178" s="1186" t="s">
        <v>97</v>
      </c>
      <c r="B178" s="1186" t="s">
        <v>133</v>
      </c>
      <c r="C178" s="1186" t="s">
        <v>1510</v>
      </c>
      <c r="D178" s="1186"/>
    </row>
    <row r="179" spans="1:4" x14ac:dyDescent="0.2">
      <c r="A179" s="1186" t="s">
        <v>97</v>
      </c>
      <c r="B179" s="1186" t="s">
        <v>133</v>
      </c>
      <c r="C179" s="1186" t="s">
        <v>1511</v>
      </c>
      <c r="D179" s="1186">
        <v>1</v>
      </c>
    </row>
    <row r="180" spans="1:4" x14ac:dyDescent="0.2">
      <c r="A180" s="1186" t="s">
        <v>97</v>
      </c>
      <c r="B180" s="1186" t="s">
        <v>133</v>
      </c>
      <c r="C180" s="1186" t="s">
        <v>1512</v>
      </c>
      <c r="D180" s="1186"/>
    </row>
    <row r="181" spans="1:4" x14ac:dyDescent="0.2">
      <c r="A181" s="1186" t="s">
        <v>97</v>
      </c>
      <c r="B181" s="1186" t="s">
        <v>133</v>
      </c>
      <c r="C181" s="1186" t="s">
        <v>1513</v>
      </c>
      <c r="D181" s="1186"/>
    </row>
    <row r="182" spans="1:4" x14ac:dyDescent="0.2">
      <c r="A182" s="1186" t="s">
        <v>97</v>
      </c>
      <c r="B182" s="1186" t="s">
        <v>133</v>
      </c>
      <c r="C182" s="1186" t="s">
        <v>1514</v>
      </c>
      <c r="D182" s="1186"/>
    </row>
    <row r="183" spans="1:4" x14ac:dyDescent="0.2">
      <c r="A183" s="1186" t="s">
        <v>97</v>
      </c>
      <c r="B183" s="1186" t="s">
        <v>133</v>
      </c>
      <c r="C183" s="1186" t="s">
        <v>1515</v>
      </c>
      <c r="D183" s="1186"/>
    </row>
    <row r="184" spans="1:4" x14ac:dyDescent="0.2">
      <c r="A184" s="1186" t="s">
        <v>97</v>
      </c>
      <c r="B184" s="1186" t="s">
        <v>133</v>
      </c>
      <c r="C184" s="1186" t="s">
        <v>1516</v>
      </c>
      <c r="D184" s="1186"/>
    </row>
    <row r="185" spans="1:4" x14ac:dyDescent="0.2">
      <c r="A185" s="1186" t="s">
        <v>97</v>
      </c>
      <c r="B185" s="1186" t="s">
        <v>144</v>
      </c>
      <c r="C185" s="1186" t="s">
        <v>1487</v>
      </c>
      <c r="D185" s="1186">
        <v>21</v>
      </c>
    </row>
    <row r="186" spans="1:4" x14ac:dyDescent="0.2">
      <c r="A186" s="1186" t="s">
        <v>97</v>
      </c>
      <c r="B186" s="1186" t="s">
        <v>144</v>
      </c>
      <c r="C186" s="1186" t="s">
        <v>1488</v>
      </c>
      <c r="D186" s="1186">
        <v>12</v>
      </c>
    </row>
    <row r="187" spans="1:4" x14ac:dyDescent="0.2">
      <c r="A187" s="1186" t="s">
        <v>97</v>
      </c>
      <c r="B187" s="1186" t="s">
        <v>144</v>
      </c>
      <c r="C187" s="1186" t="s">
        <v>1489</v>
      </c>
      <c r="D187" s="1186">
        <v>6</v>
      </c>
    </row>
    <row r="188" spans="1:4" x14ac:dyDescent="0.2">
      <c r="A188" s="1186" t="s">
        <v>97</v>
      </c>
      <c r="B188" s="1186" t="s">
        <v>144</v>
      </c>
      <c r="C188" s="1186" t="s">
        <v>1490</v>
      </c>
      <c r="D188" s="1186"/>
    </row>
    <row r="189" spans="1:4" x14ac:dyDescent="0.2">
      <c r="A189" s="1186" t="s">
        <v>97</v>
      </c>
      <c r="B189" s="1186" t="s">
        <v>144</v>
      </c>
      <c r="C189" s="1186" t="s">
        <v>1491</v>
      </c>
      <c r="D189" s="1186"/>
    </row>
    <row r="190" spans="1:4" x14ac:dyDescent="0.2">
      <c r="A190" s="1186" t="s">
        <v>97</v>
      </c>
      <c r="B190" s="1186" t="s">
        <v>144</v>
      </c>
      <c r="C190" s="1186" t="s">
        <v>1492</v>
      </c>
      <c r="D190" s="1186"/>
    </row>
    <row r="191" spans="1:4" x14ac:dyDescent="0.2">
      <c r="A191" s="1186" t="s">
        <v>97</v>
      </c>
      <c r="B191" s="1186" t="s">
        <v>144</v>
      </c>
      <c r="C191" s="1186" t="s">
        <v>1493</v>
      </c>
      <c r="D191" s="1186"/>
    </row>
    <row r="192" spans="1:4" x14ac:dyDescent="0.2">
      <c r="A192" s="1186" t="s">
        <v>97</v>
      </c>
      <c r="B192" s="1186" t="s">
        <v>144</v>
      </c>
      <c r="C192" s="1186" t="s">
        <v>1494</v>
      </c>
      <c r="D192" s="1186"/>
    </row>
    <row r="193" spans="1:4" x14ac:dyDescent="0.2">
      <c r="A193" s="1186" t="s">
        <v>97</v>
      </c>
      <c r="B193" s="1186" t="s">
        <v>144</v>
      </c>
      <c r="C193" s="1186" t="s">
        <v>1495</v>
      </c>
      <c r="D193" s="1186"/>
    </row>
    <row r="194" spans="1:4" x14ac:dyDescent="0.2">
      <c r="A194" s="1186" t="s">
        <v>97</v>
      </c>
      <c r="B194" s="1186" t="s">
        <v>144</v>
      </c>
      <c r="C194" s="1186" t="s">
        <v>1496</v>
      </c>
      <c r="D194" s="1186"/>
    </row>
    <row r="195" spans="1:4" x14ac:dyDescent="0.2">
      <c r="A195" s="1186" t="s">
        <v>97</v>
      </c>
      <c r="B195" s="1186" t="s">
        <v>144</v>
      </c>
      <c r="C195" s="1186" t="s">
        <v>1497</v>
      </c>
      <c r="D195" s="1186"/>
    </row>
    <row r="196" spans="1:4" x14ac:dyDescent="0.2">
      <c r="A196" s="1186" t="s">
        <v>97</v>
      </c>
      <c r="B196" s="1186" t="s">
        <v>144</v>
      </c>
      <c r="C196" s="1186" t="s">
        <v>1498</v>
      </c>
      <c r="D196" s="1186"/>
    </row>
    <row r="197" spans="1:4" x14ac:dyDescent="0.2">
      <c r="A197" s="1186" t="s">
        <v>97</v>
      </c>
      <c r="B197" s="1186" t="s">
        <v>144</v>
      </c>
      <c r="C197" s="1186" t="s">
        <v>1499</v>
      </c>
      <c r="D197" s="1186"/>
    </row>
    <row r="198" spans="1:4" x14ac:dyDescent="0.2">
      <c r="A198" s="1186" t="s">
        <v>97</v>
      </c>
      <c r="B198" s="1186" t="s">
        <v>144</v>
      </c>
      <c r="C198" s="1186" t="s">
        <v>1500</v>
      </c>
      <c r="D198" s="1186"/>
    </row>
    <row r="199" spans="1:4" x14ac:dyDescent="0.2">
      <c r="A199" s="1186" t="s">
        <v>97</v>
      </c>
      <c r="B199" s="1186" t="s">
        <v>144</v>
      </c>
      <c r="C199" s="1186" t="s">
        <v>1501</v>
      </c>
      <c r="D199" s="1186"/>
    </row>
    <row r="200" spans="1:4" x14ac:dyDescent="0.2">
      <c r="A200" s="1186" t="s">
        <v>97</v>
      </c>
      <c r="B200" s="1186" t="s">
        <v>144</v>
      </c>
      <c r="C200" s="1186" t="s">
        <v>1502</v>
      </c>
      <c r="D200" s="1186"/>
    </row>
    <row r="201" spans="1:4" x14ac:dyDescent="0.2">
      <c r="A201" s="1186" t="s">
        <v>97</v>
      </c>
      <c r="B201" s="1186" t="s">
        <v>144</v>
      </c>
      <c r="C201" s="1186" t="s">
        <v>1503</v>
      </c>
      <c r="D201" s="1186"/>
    </row>
    <row r="202" spans="1:4" x14ac:dyDescent="0.2">
      <c r="A202" s="1186" t="s">
        <v>97</v>
      </c>
      <c r="B202" s="1186" t="s">
        <v>144</v>
      </c>
      <c r="C202" s="1186" t="s">
        <v>1504</v>
      </c>
      <c r="D202" s="1186"/>
    </row>
    <row r="203" spans="1:4" x14ac:dyDescent="0.2">
      <c r="A203" s="1186" t="s">
        <v>97</v>
      </c>
      <c r="B203" s="1186" t="s">
        <v>144</v>
      </c>
      <c r="C203" s="1186" t="s">
        <v>1505</v>
      </c>
      <c r="D203" s="1186"/>
    </row>
    <row r="204" spans="1:4" x14ac:dyDescent="0.2">
      <c r="A204" s="1186" t="s">
        <v>97</v>
      </c>
      <c r="B204" s="1186" t="s">
        <v>144</v>
      </c>
      <c r="C204" s="1186" t="s">
        <v>1506</v>
      </c>
      <c r="D204" s="1186">
        <v>1</v>
      </c>
    </row>
    <row r="205" spans="1:4" x14ac:dyDescent="0.2">
      <c r="A205" s="1186" t="s">
        <v>97</v>
      </c>
      <c r="B205" s="1186" t="s">
        <v>144</v>
      </c>
      <c r="C205" s="1186" t="s">
        <v>1507</v>
      </c>
      <c r="D205" s="1186">
        <v>1</v>
      </c>
    </row>
    <row r="206" spans="1:4" x14ac:dyDescent="0.2">
      <c r="A206" s="1186" t="s">
        <v>97</v>
      </c>
      <c r="B206" s="1186" t="s">
        <v>144</v>
      </c>
      <c r="C206" s="1186" t="s">
        <v>1508</v>
      </c>
      <c r="D206" s="1186"/>
    </row>
    <row r="207" spans="1:4" x14ac:dyDescent="0.2">
      <c r="A207" s="1186" t="s">
        <v>97</v>
      </c>
      <c r="B207" s="1186" t="s">
        <v>144</v>
      </c>
      <c r="C207" s="1186" t="s">
        <v>1509</v>
      </c>
      <c r="D207" s="1186">
        <v>1</v>
      </c>
    </row>
    <row r="208" spans="1:4" x14ac:dyDescent="0.2">
      <c r="A208" s="1186" t="s">
        <v>97</v>
      </c>
      <c r="B208" s="1186" t="s">
        <v>144</v>
      </c>
      <c r="C208" s="1186" t="s">
        <v>1510</v>
      </c>
      <c r="D208" s="1186"/>
    </row>
    <row r="209" spans="1:4" x14ac:dyDescent="0.2">
      <c r="A209" s="1186" t="s">
        <v>97</v>
      </c>
      <c r="B209" s="1186" t="s">
        <v>144</v>
      </c>
      <c r="C209" s="1186" t="s">
        <v>1511</v>
      </c>
      <c r="D209" s="1186"/>
    </row>
    <row r="210" spans="1:4" x14ac:dyDescent="0.2">
      <c r="A210" s="1186" t="s">
        <v>97</v>
      </c>
      <c r="B210" s="1186" t="s">
        <v>144</v>
      </c>
      <c r="C210" s="1186" t="s">
        <v>1512</v>
      </c>
      <c r="D210" s="1186"/>
    </row>
    <row r="211" spans="1:4" x14ac:dyDescent="0.2">
      <c r="A211" s="1186" t="s">
        <v>97</v>
      </c>
      <c r="B211" s="1186" t="s">
        <v>144</v>
      </c>
      <c r="C211" s="1186" t="s">
        <v>1513</v>
      </c>
      <c r="D211" s="1186"/>
    </row>
    <row r="212" spans="1:4" x14ac:dyDescent="0.2">
      <c r="A212" s="1186" t="s">
        <v>97</v>
      </c>
      <c r="B212" s="1186" t="s">
        <v>144</v>
      </c>
      <c r="C212" s="1186" t="s">
        <v>1514</v>
      </c>
      <c r="D212" s="1186"/>
    </row>
    <row r="213" spans="1:4" x14ac:dyDescent="0.2">
      <c r="A213" s="1186" t="s">
        <v>97</v>
      </c>
      <c r="B213" s="1186" t="s">
        <v>144</v>
      </c>
      <c r="C213" s="1186" t="s">
        <v>1515</v>
      </c>
      <c r="D213" s="1186"/>
    </row>
    <row r="214" spans="1:4" x14ac:dyDescent="0.2">
      <c r="A214" s="1186" t="s">
        <v>97</v>
      </c>
      <c r="B214" s="1186" t="s">
        <v>144</v>
      </c>
      <c r="C214" s="1186" t="s">
        <v>1516</v>
      </c>
      <c r="D214" s="1186"/>
    </row>
    <row r="215" spans="1:4" x14ac:dyDescent="0.2">
      <c r="A215" s="1186" t="s">
        <v>97</v>
      </c>
      <c r="B215" s="1186" t="s">
        <v>282</v>
      </c>
      <c r="C215" s="1186" t="s">
        <v>1487</v>
      </c>
      <c r="D215" s="1186">
        <v>18</v>
      </c>
    </row>
    <row r="216" spans="1:4" x14ac:dyDescent="0.2">
      <c r="A216" s="1186" t="s">
        <v>97</v>
      </c>
      <c r="B216" s="1186" t="s">
        <v>282</v>
      </c>
      <c r="C216" s="1186" t="s">
        <v>1488</v>
      </c>
      <c r="D216" s="1186">
        <v>11</v>
      </c>
    </row>
    <row r="217" spans="1:4" x14ac:dyDescent="0.2">
      <c r="A217" s="1186" t="s">
        <v>97</v>
      </c>
      <c r="B217" s="1186" t="s">
        <v>282</v>
      </c>
      <c r="C217" s="1186" t="s">
        <v>1489</v>
      </c>
      <c r="D217" s="1186">
        <v>4</v>
      </c>
    </row>
    <row r="218" spans="1:4" x14ac:dyDescent="0.2">
      <c r="A218" s="1186" t="s">
        <v>97</v>
      </c>
      <c r="B218" s="1186" t="s">
        <v>282</v>
      </c>
      <c r="C218" s="1186" t="s">
        <v>1490</v>
      </c>
      <c r="D218" s="1186"/>
    </row>
    <row r="219" spans="1:4" x14ac:dyDescent="0.2">
      <c r="A219" s="1186" t="s">
        <v>97</v>
      </c>
      <c r="B219" s="1186" t="s">
        <v>282</v>
      </c>
      <c r="C219" s="1186" t="s">
        <v>1492</v>
      </c>
      <c r="D219" s="1186">
        <v>2</v>
      </c>
    </row>
    <row r="220" spans="1:4" x14ac:dyDescent="0.2">
      <c r="A220" s="1186" t="s">
        <v>97</v>
      </c>
      <c r="B220" s="1186" t="s">
        <v>282</v>
      </c>
      <c r="C220" s="1186" t="s">
        <v>1493</v>
      </c>
      <c r="D220" s="1186">
        <v>1</v>
      </c>
    </row>
    <row r="221" spans="1:4" x14ac:dyDescent="0.2">
      <c r="A221" s="1186" t="s">
        <v>97</v>
      </c>
      <c r="B221" s="1186" t="s">
        <v>282</v>
      </c>
      <c r="C221" s="1186" t="s">
        <v>1494</v>
      </c>
      <c r="D221" s="1186"/>
    </row>
    <row r="222" spans="1:4" x14ac:dyDescent="0.2">
      <c r="A222" s="1186" t="s">
        <v>97</v>
      </c>
      <c r="B222" s="1186" t="s">
        <v>282</v>
      </c>
      <c r="C222" s="1186" t="s">
        <v>1495</v>
      </c>
      <c r="D222" s="1186"/>
    </row>
    <row r="223" spans="1:4" x14ac:dyDescent="0.2">
      <c r="A223" s="1186" t="s">
        <v>97</v>
      </c>
      <c r="B223" s="1186" t="s">
        <v>282</v>
      </c>
      <c r="C223" s="1186" t="s">
        <v>1496</v>
      </c>
      <c r="D223" s="1186"/>
    </row>
    <row r="224" spans="1:4" x14ac:dyDescent="0.2">
      <c r="A224" s="1186" t="s">
        <v>97</v>
      </c>
      <c r="B224" s="1186" t="s">
        <v>282</v>
      </c>
      <c r="C224" s="1186" t="s">
        <v>1497</v>
      </c>
      <c r="D224" s="1186"/>
    </row>
    <row r="225" spans="1:4" x14ac:dyDescent="0.2">
      <c r="A225" s="1186" t="s">
        <v>97</v>
      </c>
      <c r="B225" s="1186" t="s">
        <v>282</v>
      </c>
      <c r="C225" s="1186" t="s">
        <v>1498</v>
      </c>
      <c r="D225" s="1186"/>
    </row>
    <row r="226" spans="1:4" x14ac:dyDescent="0.2">
      <c r="A226" s="1186" t="s">
        <v>97</v>
      </c>
      <c r="B226" s="1186" t="s">
        <v>282</v>
      </c>
      <c r="C226" s="1186" t="s">
        <v>1499</v>
      </c>
      <c r="D226" s="1186"/>
    </row>
    <row r="227" spans="1:4" x14ac:dyDescent="0.2">
      <c r="A227" s="1186" t="s">
        <v>97</v>
      </c>
      <c r="B227" s="1186" t="s">
        <v>282</v>
      </c>
      <c r="C227" s="1186" t="s">
        <v>1500</v>
      </c>
      <c r="D227" s="1186"/>
    </row>
    <row r="228" spans="1:4" x14ac:dyDescent="0.2">
      <c r="A228" s="1186" t="s">
        <v>97</v>
      </c>
      <c r="B228" s="1186" t="s">
        <v>282</v>
      </c>
      <c r="C228" s="1186" t="s">
        <v>1501</v>
      </c>
      <c r="D228" s="1186"/>
    </row>
    <row r="229" spans="1:4" x14ac:dyDescent="0.2">
      <c r="A229" s="1186" t="s">
        <v>97</v>
      </c>
      <c r="B229" s="1186" t="s">
        <v>282</v>
      </c>
      <c r="C229" s="1186" t="s">
        <v>1502</v>
      </c>
      <c r="D229" s="1186"/>
    </row>
    <row r="230" spans="1:4" x14ac:dyDescent="0.2">
      <c r="A230" s="1186" t="s">
        <v>97</v>
      </c>
      <c r="B230" s="1186" t="s">
        <v>282</v>
      </c>
      <c r="C230" s="1186" t="s">
        <v>1503</v>
      </c>
      <c r="D230" s="1186"/>
    </row>
    <row r="231" spans="1:4" x14ac:dyDescent="0.2">
      <c r="A231" s="1186" t="s">
        <v>97</v>
      </c>
      <c r="B231" s="1186" t="s">
        <v>282</v>
      </c>
      <c r="C231" s="1186" t="s">
        <v>1504</v>
      </c>
      <c r="D231" s="1186"/>
    </row>
    <row r="232" spans="1:4" x14ac:dyDescent="0.2">
      <c r="A232" s="1186" t="s">
        <v>97</v>
      </c>
      <c r="B232" s="1186" t="s">
        <v>282</v>
      </c>
      <c r="C232" s="1186" t="s">
        <v>1505</v>
      </c>
      <c r="D232" s="1186"/>
    </row>
    <row r="233" spans="1:4" x14ac:dyDescent="0.2">
      <c r="A233" s="1186" t="s">
        <v>97</v>
      </c>
      <c r="B233" s="1186" t="s">
        <v>282</v>
      </c>
      <c r="C233" s="1186" t="s">
        <v>1506</v>
      </c>
      <c r="D233" s="1186"/>
    </row>
    <row r="234" spans="1:4" x14ac:dyDescent="0.2">
      <c r="A234" s="1186" t="s">
        <v>97</v>
      </c>
      <c r="B234" s="1186" t="s">
        <v>282</v>
      </c>
      <c r="C234" s="1186" t="s">
        <v>1507</v>
      </c>
      <c r="D234" s="1186"/>
    </row>
    <row r="235" spans="1:4" x14ac:dyDescent="0.2">
      <c r="A235" s="1186" t="s">
        <v>97</v>
      </c>
      <c r="B235" s="1186" t="s">
        <v>282</v>
      </c>
      <c r="C235" s="1186" t="s">
        <v>1508</v>
      </c>
      <c r="D235" s="1186"/>
    </row>
    <row r="236" spans="1:4" x14ac:dyDescent="0.2">
      <c r="A236" s="1186" t="s">
        <v>97</v>
      </c>
      <c r="B236" s="1186" t="s">
        <v>282</v>
      </c>
      <c r="C236" s="1186" t="s">
        <v>1509</v>
      </c>
      <c r="D236" s="1186"/>
    </row>
    <row r="237" spans="1:4" x14ac:dyDescent="0.2">
      <c r="A237" s="1186" t="s">
        <v>97</v>
      </c>
      <c r="B237" s="1186" t="s">
        <v>282</v>
      </c>
      <c r="C237" s="1186" t="s">
        <v>1510</v>
      </c>
      <c r="D237" s="1186">
        <v>1</v>
      </c>
    </row>
    <row r="238" spans="1:4" x14ac:dyDescent="0.2">
      <c r="A238" s="1186" t="s">
        <v>97</v>
      </c>
      <c r="B238" s="1186" t="s">
        <v>282</v>
      </c>
      <c r="C238" s="1186" t="s">
        <v>1511</v>
      </c>
      <c r="D238" s="1186">
        <v>2</v>
      </c>
    </row>
    <row r="239" spans="1:4" x14ac:dyDescent="0.2">
      <c r="A239" s="1186" t="s">
        <v>97</v>
      </c>
      <c r="B239" s="1186" t="s">
        <v>282</v>
      </c>
      <c r="C239" s="1186" t="s">
        <v>1512</v>
      </c>
      <c r="D239" s="1186"/>
    </row>
    <row r="240" spans="1:4" x14ac:dyDescent="0.2">
      <c r="A240" s="1186" t="s">
        <v>97</v>
      </c>
      <c r="B240" s="1186" t="s">
        <v>282</v>
      </c>
      <c r="C240" s="1186" t="s">
        <v>1513</v>
      </c>
      <c r="D240" s="1186"/>
    </row>
    <row r="241" spans="1:4" x14ac:dyDescent="0.2">
      <c r="A241" s="1186" t="s">
        <v>97</v>
      </c>
      <c r="B241" s="1186" t="s">
        <v>282</v>
      </c>
      <c r="C241" s="1186" t="s">
        <v>1514</v>
      </c>
      <c r="D241" s="1186"/>
    </row>
    <row r="242" spans="1:4" x14ac:dyDescent="0.2">
      <c r="A242" s="1186" t="s">
        <v>97</v>
      </c>
      <c r="B242" s="1186" t="s">
        <v>282</v>
      </c>
      <c r="C242" s="1186" t="s">
        <v>1515</v>
      </c>
      <c r="D242" s="1186"/>
    </row>
    <row r="243" spans="1:4" x14ac:dyDescent="0.2">
      <c r="A243" s="1186" t="s">
        <v>97</v>
      </c>
      <c r="B243" s="1186" t="s">
        <v>282</v>
      </c>
      <c r="C243" s="1186" t="s">
        <v>1516</v>
      </c>
      <c r="D243" s="1186"/>
    </row>
    <row r="244" spans="1:4" x14ac:dyDescent="0.2">
      <c r="A244" s="1186" t="s">
        <v>97</v>
      </c>
      <c r="B244" s="1186" t="s">
        <v>311</v>
      </c>
      <c r="C244" s="1186" t="s">
        <v>1487</v>
      </c>
      <c r="D244" s="1186">
        <v>19</v>
      </c>
    </row>
    <row r="245" spans="1:4" x14ac:dyDescent="0.2">
      <c r="A245" s="1186" t="s">
        <v>97</v>
      </c>
      <c r="B245" s="1186" t="s">
        <v>311</v>
      </c>
      <c r="C245" s="1186" t="s">
        <v>1488</v>
      </c>
      <c r="D245" s="1186">
        <v>11</v>
      </c>
    </row>
    <row r="246" spans="1:4" x14ac:dyDescent="0.2">
      <c r="A246" s="1186" t="s">
        <v>97</v>
      </c>
      <c r="B246" s="1186" t="s">
        <v>311</v>
      </c>
      <c r="C246" s="1186" t="s">
        <v>1489</v>
      </c>
      <c r="D246" s="1186">
        <v>4</v>
      </c>
    </row>
    <row r="247" spans="1:4" x14ac:dyDescent="0.2">
      <c r="A247" s="1186" t="s">
        <v>97</v>
      </c>
      <c r="B247" s="1186" t="s">
        <v>311</v>
      </c>
      <c r="C247" s="1186" t="s">
        <v>1490</v>
      </c>
      <c r="D247" s="1186"/>
    </row>
    <row r="248" spans="1:4" x14ac:dyDescent="0.2">
      <c r="A248" s="1186" t="s">
        <v>97</v>
      </c>
      <c r="B248" s="1186" t="s">
        <v>311</v>
      </c>
      <c r="C248" s="1186" t="s">
        <v>1491</v>
      </c>
      <c r="D248" s="1186"/>
    </row>
    <row r="249" spans="1:4" x14ac:dyDescent="0.2">
      <c r="A249" s="1186" t="s">
        <v>97</v>
      </c>
      <c r="B249" s="1186" t="s">
        <v>311</v>
      </c>
      <c r="C249" s="1186" t="s">
        <v>1492</v>
      </c>
      <c r="D249" s="1186">
        <v>2</v>
      </c>
    </row>
    <row r="250" spans="1:4" x14ac:dyDescent="0.2">
      <c r="A250" s="1186" t="s">
        <v>97</v>
      </c>
      <c r="B250" s="1186" t="s">
        <v>311</v>
      </c>
      <c r="C250" s="1186" t="s">
        <v>1493</v>
      </c>
      <c r="D250" s="1186"/>
    </row>
    <row r="251" spans="1:4" x14ac:dyDescent="0.2">
      <c r="A251" s="1186" t="s">
        <v>97</v>
      </c>
      <c r="B251" s="1186" t="s">
        <v>311</v>
      </c>
      <c r="C251" s="1186" t="s">
        <v>1494</v>
      </c>
      <c r="D251" s="1186">
        <v>1</v>
      </c>
    </row>
    <row r="252" spans="1:4" x14ac:dyDescent="0.2">
      <c r="A252" s="1186" t="s">
        <v>97</v>
      </c>
      <c r="B252" s="1186" t="s">
        <v>311</v>
      </c>
      <c r="C252" s="1186" t="s">
        <v>1495</v>
      </c>
      <c r="D252" s="1186"/>
    </row>
    <row r="253" spans="1:4" x14ac:dyDescent="0.2">
      <c r="A253" s="1186" t="s">
        <v>97</v>
      </c>
      <c r="B253" s="1186" t="s">
        <v>311</v>
      </c>
      <c r="C253" s="1186" t="s">
        <v>1496</v>
      </c>
      <c r="D253" s="1186"/>
    </row>
    <row r="254" spans="1:4" x14ac:dyDescent="0.2">
      <c r="A254" s="1186" t="s">
        <v>97</v>
      </c>
      <c r="B254" s="1186" t="s">
        <v>311</v>
      </c>
      <c r="C254" s="1186" t="s">
        <v>1497</v>
      </c>
      <c r="D254" s="1186"/>
    </row>
    <row r="255" spans="1:4" x14ac:dyDescent="0.2">
      <c r="A255" s="1186" t="s">
        <v>97</v>
      </c>
      <c r="B255" s="1186" t="s">
        <v>311</v>
      </c>
      <c r="C255" s="1186" t="s">
        <v>1498</v>
      </c>
      <c r="D255" s="1186"/>
    </row>
    <row r="256" spans="1:4" x14ac:dyDescent="0.2">
      <c r="A256" s="1186" t="s">
        <v>97</v>
      </c>
      <c r="B256" s="1186" t="s">
        <v>311</v>
      </c>
      <c r="C256" s="1186" t="s">
        <v>1499</v>
      </c>
      <c r="D256" s="1186"/>
    </row>
    <row r="257" spans="1:4" x14ac:dyDescent="0.2">
      <c r="A257" s="1186" t="s">
        <v>97</v>
      </c>
      <c r="B257" s="1186" t="s">
        <v>311</v>
      </c>
      <c r="C257" s="1186" t="s">
        <v>1500</v>
      </c>
      <c r="D257" s="1186"/>
    </row>
    <row r="258" spans="1:4" x14ac:dyDescent="0.2">
      <c r="A258" s="1186" t="s">
        <v>97</v>
      </c>
      <c r="B258" s="1186" t="s">
        <v>311</v>
      </c>
      <c r="C258" s="1186" t="s">
        <v>1501</v>
      </c>
      <c r="D258" s="1186"/>
    </row>
    <row r="259" spans="1:4" x14ac:dyDescent="0.2">
      <c r="A259" s="1186" t="s">
        <v>97</v>
      </c>
      <c r="B259" s="1186" t="s">
        <v>311</v>
      </c>
      <c r="C259" s="1186" t="s">
        <v>1502</v>
      </c>
      <c r="D259" s="1186"/>
    </row>
    <row r="260" spans="1:4" x14ac:dyDescent="0.2">
      <c r="A260" s="1186" t="s">
        <v>97</v>
      </c>
      <c r="B260" s="1186" t="s">
        <v>311</v>
      </c>
      <c r="C260" s="1186" t="s">
        <v>1503</v>
      </c>
      <c r="D260" s="1186"/>
    </row>
    <row r="261" spans="1:4" x14ac:dyDescent="0.2">
      <c r="A261" s="1186" t="s">
        <v>97</v>
      </c>
      <c r="B261" s="1186" t="s">
        <v>311</v>
      </c>
      <c r="C261" s="1186" t="s">
        <v>1504</v>
      </c>
      <c r="D261" s="1186"/>
    </row>
    <row r="262" spans="1:4" x14ac:dyDescent="0.2">
      <c r="A262" s="1186" t="s">
        <v>97</v>
      </c>
      <c r="B262" s="1186" t="s">
        <v>311</v>
      </c>
      <c r="C262" s="1186" t="s">
        <v>1505</v>
      </c>
      <c r="D262" s="1186"/>
    </row>
    <row r="263" spans="1:4" x14ac:dyDescent="0.2">
      <c r="A263" s="1186" t="s">
        <v>97</v>
      </c>
      <c r="B263" s="1186" t="s">
        <v>311</v>
      </c>
      <c r="C263" s="1186" t="s">
        <v>1506</v>
      </c>
      <c r="D263" s="1186"/>
    </row>
    <row r="264" spans="1:4" x14ac:dyDescent="0.2">
      <c r="A264" s="1186" t="s">
        <v>97</v>
      </c>
      <c r="B264" s="1186" t="s">
        <v>311</v>
      </c>
      <c r="C264" s="1186" t="s">
        <v>1507</v>
      </c>
      <c r="D264" s="1186">
        <v>2</v>
      </c>
    </row>
    <row r="265" spans="1:4" x14ac:dyDescent="0.2">
      <c r="A265" s="1186" t="s">
        <v>97</v>
      </c>
      <c r="B265" s="1186" t="s">
        <v>311</v>
      </c>
      <c r="C265" s="1186" t="s">
        <v>1508</v>
      </c>
      <c r="D265" s="1186"/>
    </row>
    <row r="266" spans="1:4" x14ac:dyDescent="0.2">
      <c r="A266" s="1186" t="s">
        <v>97</v>
      </c>
      <c r="B266" s="1186" t="s">
        <v>311</v>
      </c>
      <c r="C266" s="1186" t="s">
        <v>1509</v>
      </c>
      <c r="D266" s="1186"/>
    </row>
    <row r="267" spans="1:4" x14ac:dyDescent="0.2">
      <c r="A267" s="1186" t="s">
        <v>97</v>
      </c>
      <c r="B267" s="1186" t="s">
        <v>311</v>
      </c>
      <c r="C267" s="1186" t="s">
        <v>1510</v>
      </c>
      <c r="D267" s="1186"/>
    </row>
    <row r="268" spans="1:4" x14ac:dyDescent="0.2">
      <c r="A268" s="1186" t="s">
        <v>97</v>
      </c>
      <c r="B268" s="1186" t="s">
        <v>311</v>
      </c>
      <c r="C268" s="1186" t="s">
        <v>1511</v>
      </c>
      <c r="D268" s="1186"/>
    </row>
    <row r="269" spans="1:4" x14ac:dyDescent="0.2">
      <c r="A269" s="1186" t="s">
        <v>97</v>
      </c>
      <c r="B269" s="1186" t="s">
        <v>311</v>
      </c>
      <c r="C269" s="1186" t="s">
        <v>1512</v>
      </c>
      <c r="D269" s="1186"/>
    </row>
    <row r="270" spans="1:4" x14ac:dyDescent="0.2">
      <c r="A270" s="1186" t="s">
        <v>97</v>
      </c>
      <c r="B270" s="1186" t="s">
        <v>311</v>
      </c>
      <c r="C270" s="1186" t="s">
        <v>1513</v>
      </c>
      <c r="D270" s="1186"/>
    </row>
    <row r="271" spans="1:4" x14ac:dyDescent="0.2">
      <c r="A271" s="1186" t="s">
        <v>97</v>
      </c>
      <c r="B271" s="1186" t="s">
        <v>311</v>
      </c>
      <c r="C271" s="1186" t="s">
        <v>1514</v>
      </c>
      <c r="D271" s="1186"/>
    </row>
    <row r="272" spans="1:4" x14ac:dyDescent="0.2">
      <c r="A272" s="1186" t="s">
        <v>97</v>
      </c>
      <c r="B272" s="1186" t="s">
        <v>311</v>
      </c>
      <c r="C272" s="1186" t="s">
        <v>1515</v>
      </c>
      <c r="D272" s="1186"/>
    </row>
    <row r="273" spans="1:4" x14ac:dyDescent="0.2">
      <c r="A273" s="1186" t="s">
        <v>97</v>
      </c>
      <c r="B273" s="1186" t="s">
        <v>311</v>
      </c>
      <c r="C273" s="1186" t="s">
        <v>1516</v>
      </c>
      <c r="D273" s="1186">
        <v>1</v>
      </c>
    </row>
    <row r="274" spans="1:4" x14ac:dyDescent="0.2">
      <c r="A274" s="1186" t="s">
        <v>97</v>
      </c>
      <c r="B274" s="1186" t="s">
        <v>621</v>
      </c>
      <c r="C274" s="1186" t="s">
        <v>1487</v>
      </c>
      <c r="D274" s="1186">
        <v>24</v>
      </c>
    </row>
    <row r="275" spans="1:4" x14ac:dyDescent="0.2">
      <c r="A275" s="1186" t="s">
        <v>97</v>
      </c>
      <c r="B275" s="1186" t="s">
        <v>621</v>
      </c>
      <c r="C275" s="1186" t="s">
        <v>1488</v>
      </c>
      <c r="D275" s="1186">
        <v>11</v>
      </c>
    </row>
    <row r="276" spans="1:4" x14ac:dyDescent="0.2">
      <c r="A276" s="1186" t="s">
        <v>97</v>
      </c>
      <c r="B276" s="1186" t="s">
        <v>621</v>
      </c>
      <c r="C276" s="1186" t="s">
        <v>1489</v>
      </c>
      <c r="D276" s="1186"/>
    </row>
    <row r="277" spans="1:4" x14ac:dyDescent="0.2">
      <c r="A277" s="1186" t="s">
        <v>97</v>
      </c>
      <c r="B277" s="1186" t="s">
        <v>621</v>
      </c>
      <c r="C277" s="1186" t="s">
        <v>1490</v>
      </c>
      <c r="D277" s="1186"/>
    </row>
    <row r="278" spans="1:4" x14ac:dyDescent="0.2">
      <c r="A278" s="1186" t="s">
        <v>97</v>
      </c>
      <c r="B278" s="1186" t="s">
        <v>621</v>
      </c>
      <c r="C278" s="1186" t="s">
        <v>1491</v>
      </c>
      <c r="D278" s="1186"/>
    </row>
    <row r="279" spans="1:4" x14ac:dyDescent="0.2">
      <c r="A279" s="1186" t="s">
        <v>97</v>
      </c>
      <c r="B279" s="1186" t="s">
        <v>621</v>
      </c>
      <c r="C279" s="1186" t="s">
        <v>1492</v>
      </c>
      <c r="D279" s="1186"/>
    </row>
    <row r="280" spans="1:4" x14ac:dyDescent="0.2">
      <c r="A280" s="1186" t="s">
        <v>97</v>
      </c>
      <c r="B280" s="1186" t="s">
        <v>621</v>
      </c>
      <c r="C280" s="1186" t="s">
        <v>1493</v>
      </c>
      <c r="D280" s="1186">
        <v>5</v>
      </c>
    </row>
    <row r="281" spans="1:4" x14ac:dyDescent="0.2">
      <c r="A281" s="1186" t="s">
        <v>97</v>
      </c>
      <c r="B281" s="1186" t="s">
        <v>621</v>
      </c>
      <c r="C281" s="1186" t="s">
        <v>1494</v>
      </c>
      <c r="D281" s="1186"/>
    </row>
    <row r="282" spans="1:4" x14ac:dyDescent="0.2">
      <c r="A282" s="1186" t="s">
        <v>97</v>
      </c>
      <c r="B282" s="1186" t="s">
        <v>621</v>
      </c>
      <c r="C282" s="1186" t="s">
        <v>1495</v>
      </c>
      <c r="D282" s="1186"/>
    </row>
    <row r="283" spans="1:4" x14ac:dyDescent="0.2">
      <c r="A283" s="1186" t="s">
        <v>97</v>
      </c>
      <c r="B283" s="1186" t="s">
        <v>621</v>
      </c>
      <c r="C283" s="1186" t="s">
        <v>1496</v>
      </c>
      <c r="D283" s="1186"/>
    </row>
    <row r="284" spans="1:4" x14ac:dyDescent="0.2">
      <c r="A284" s="1186" t="s">
        <v>97</v>
      </c>
      <c r="B284" s="1186" t="s">
        <v>621</v>
      </c>
      <c r="C284" s="1186" t="s">
        <v>1497</v>
      </c>
      <c r="D284" s="1186"/>
    </row>
    <row r="285" spans="1:4" x14ac:dyDescent="0.2">
      <c r="A285" s="1186" t="s">
        <v>97</v>
      </c>
      <c r="B285" s="1186" t="s">
        <v>621</v>
      </c>
      <c r="C285" s="1186" t="s">
        <v>1498</v>
      </c>
      <c r="D285" s="1186"/>
    </row>
    <row r="286" spans="1:4" x14ac:dyDescent="0.2">
      <c r="A286" s="1186" t="s">
        <v>97</v>
      </c>
      <c r="B286" s="1186" t="s">
        <v>621</v>
      </c>
      <c r="C286" s="1186" t="s">
        <v>1499</v>
      </c>
      <c r="D286" s="1186"/>
    </row>
    <row r="287" spans="1:4" x14ac:dyDescent="0.2">
      <c r="A287" s="1186" t="s">
        <v>97</v>
      </c>
      <c r="B287" s="1186" t="s">
        <v>621</v>
      </c>
      <c r="C287" s="1186" t="s">
        <v>1500</v>
      </c>
      <c r="D287" s="1186"/>
    </row>
    <row r="288" spans="1:4" x14ac:dyDescent="0.2">
      <c r="A288" s="1186" t="s">
        <v>97</v>
      </c>
      <c r="B288" s="1186" t="s">
        <v>621</v>
      </c>
      <c r="C288" s="1186" t="s">
        <v>1501</v>
      </c>
      <c r="D288" s="1186"/>
    </row>
    <row r="289" spans="1:4" x14ac:dyDescent="0.2">
      <c r="A289" s="1186" t="s">
        <v>97</v>
      </c>
      <c r="B289" s="1186" t="s">
        <v>621</v>
      </c>
      <c r="C289" s="1186" t="s">
        <v>1502</v>
      </c>
      <c r="D289" s="1186"/>
    </row>
    <row r="290" spans="1:4" x14ac:dyDescent="0.2">
      <c r="A290" s="1186" t="s">
        <v>97</v>
      </c>
      <c r="B290" s="1186" t="s">
        <v>621</v>
      </c>
      <c r="C290" s="1186" t="s">
        <v>1503</v>
      </c>
      <c r="D290" s="1186"/>
    </row>
    <row r="291" spans="1:4" x14ac:dyDescent="0.2">
      <c r="A291" s="1186" t="s">
        <v>97</v>
      </c>
      <c r="B291" s="1186" t="s">
        <v>621</v>
      </c>
      <c r="C291" s="1186" t="s">
        <v>1504</v>
      </c>
      <c r="D291" s="1186"/>
    </row>
    <row r="292" spans="1:4" x14ac:dyDescent="0.2">
      <c r="A292" s="1186" t="s">
        <v>97</v>
      </c>
      <c r="B292" s="1186" t="s">
        <v>621</v>
      </c>
      <c r="C292" s="1186" t="s">
        <v>1505</v>
      </c>
      <c r="D292" s="1186"/>
    </row>
    <row r="293" spans="1:4" x14ac:dyDescent="0.2">
      <c r="A293" s="1186" t="s">
        <v>97</v>
      </c>
      <c r="B293" s="1186" t="s">
        <v>621</v>
      </c>
      <c r="C293" s="1186" t="s">
        <v>1506</v>
      </c>
      <c r="D293" s="1186"/>
    </row>
    <row r="294" spans="1:4" x14ac:dyDescent="0.2">
      <c r="A294" s="1186" t="s">
        <v>97</v>
      </c>
      <c r="B294" s="1186" t="s">
        <v>621</v>
      </c>
      <c r="C294" s="1186" t="s">
        <v>1507</v>
      </c>
      <c r="D294" s="1186"/>
    </row>
    <row r="295" spans="1:4" x14ac:dyDescent="0.2">
      <c r="A295" s="1186" t="s">
        <v>97</v>
      </c>
      <c r="B295" s="1186" t="s">
        <v>621</v>
      </c>
      <c r="C295" s="1186" t="s">
        <v>1508</v>
      </c>
      <c r="D295" s="1186"/>
    </row>
    <row r="296" spans="1:4" x14ac:dyDescent="0.2">
      <c r="A296" s="1186" t="s">
        <v>97</v>
      </c>
      <c r="B296" s="1186" t="s">
        <v>621</v>
      </c>
      <c r="C296" s="1186" t="s">
        <v>1509</v>
      </c>
      <c r="D296" s="1186"/>
    </row>
    <row r="297" spans="1:4" x14ac:dyDescent="0.2">
      <c r="A297" s="1186" t="s">
        <v>97</v>
      </c>
      <c r="B297" s="1186" t="s">
        <v>621</v>
      </c>
      <c r="C297" s="1186" t="s">
        <v>1510</v>
      </c>
      <c r="D297" s="1186">
        <v>1</v>
      </c>
    </row>
    <row r="298" spans="1:4" x14ac:dyDescent="0.2">
      <c r="A298" s="1186" t="s">
        <v>97</v>
      </c>
      <c r="B298" s="1186" t="s">
        <v>621</v>
      </c>
      <c r="C298" s="1186" t="s">
        <v>1511</v>
      </c>
      <c r="D298" s="1186"/>
    </row>
    <row r="299" spans="1:4" x14ac:dyDescent="0.2">
      <c r="A299" s="1186" t="s">
        <v>97</v>
      </c>
      <c r="B299" s="1186" t="s">
        <v>621</v>
      </c>
      <c r="C299" s="1186" t="s">
        <v>1512</v>
      </c>
      <c r="D299" s="1186"/>
    </row>
    <row r="300" spans="1:4" x14ac:dyDescent="0.2">
      <c r="A300" s="1186" t="s">
        <v>97</v>
      </c>
      <c r="B300" s="1186" t="s">
        <v>621</v>
      </c>
      <c r="C300" s="1186" t="s">
        <v>1513</v>
      </c>
      <c r="D300" s="1186"/>
    </row>
    <row r="301" spans="1:4" x14ac:dyDescent="0.2">
      <c r="A301" s="1186" t="s">
        <v>97</v>
      </c>
      <c r="B301" s="1186" t="s">
        <v>621</v>
      </c>
      <c r="C301" s="1186" t="s">
        <v>1514</v>
      </c>
      <c r="D301" s="1186"/>
    </row>
    <row r="302" spans="1:4" x14ac:dyDescent="0.2">
      <c r="A302" s="1186" t="s">
        <v>97</v>
      </c>
      <c r="B302" s="1186" t="s">
        <v>621</v>
      </c>
      <c r="C302" s="1186" t="s">
        <v>1515</v>
      </c>
      <c r="D302" s="1186"/>
    </row>
    <row r="303" spans="1:4" x14ac:dyDescent="0.2">
      <c r="A303" s="1186" t="s">
        <v>97</v>
      </c>
      <c r="B303" s="1186" t="s">
        <v>621</v>
      </c>
      <c r="C303" s="1186" t="s">
        <v>1516</v>
      </c>
      <c r="D303" s="1186"/>
    </row>
    <row r="304" spans="1:4" x14ac:dyDescent="0.2">
      <c r="A304" s="1186" t="s">
        <v>97</v>
      </c>
      <c r="B304" s="1186" t="s">
        <v>1419</v>
      </c>
      <c r="C304" s="1186" t="s">
        <v>1487</v>
      </c>
      <c r="D304" s="1186">
        <v>8</v>
      </c>
    </row>
    <row r="305" spans="1:4" x14ac:dyDescent="0.2">
      <c r="A305" s="1186" t="s">
        <v>97</v>
      </c>
      <c r="B305" s="1186" t="s">
        <v>1419</v>
      </c>
      <c r="C305" s="1186" t="s">
        <v>1488</v>
      </c>
      <c r="D305" s="1186">
        <v>6</v>
      </c>
    </row>
    <row r="306" spans="1:4" x14ac:dyDescent="0.2">
      <c r="A306" s="1186" t="s">
        <v>97</v>
      </c>
      <c r="B306" s="1186" t="s">
        <v>1419</v>
      </c>
      <c r="C306" s="1186" t="s">
        <v>1489</v>
      </c>
      <c r="D306" s="1186">
        <v>3</v>
      </c>
    </row>
    <row r="307" spans="1:4" x14ac:dyDescent="0.2">
      <c r="A307" s="1186" t="s">
        <v>97</v>
      </c>
      <c r="B307" s="1186" t="s">
        <v>1419</v>
      </c>
      <c r="C307" s="1186" t="s">
        <v>1490</v>
      </c>
      <c r="D307" s="1186"/>
    </row>
    <row r="308" spans="1:4" x14ac:dyDescent="0.2">
      <c r="A308" s="1186" t="s">
        <v>97</v>
      </c>
      <c r="B308" s="1186" t="s">
        <v>1419</v>
      </c>
      <c r="C308" s="1186" t="s">
        <v>1491</v>
      </c>
      <c r="D308" s="1186"/>
    </row>
    <row r="309" spans="1:4" x14ac:dyDescent="0.2">
      <c r="A309" s="1186" t="s">
        <v>97</v>
      </c>
      <c r="B309" s="1186" t="s">
        <v>1419</v>
      </c>
      <c r="C309" s="1186" t="s">
        <v>1492</v>
      </c>
      <c r="D309" s="1186">
        <v>4</v>
      </c>
    </row>
    <row r="310" spans="1:4" x14ac:dyDescent="0.2">
      <c r="A310" s="1186" t="s">
        <v>97</v>
      </c>
      <c r="B310" s="1186" t="s">
        <v>1419</v>
      </c>
      <c r="C310" s="1186" t="s">
        <v>1493</v>
      </c>
      <c r="D310" s="1186"/>
    </row>
    <row r="311" spans="1:4" x14ac:dyDescent="0.2">
      <c r="A311" s="1186" t="s">
        <v>97</v>
      </c>
      <c r="B311" s="1186" t="s">
        <v>1419</v>
      </c>
      <c r="C311" s="1186" t="s">
        <v>1494</v>
      </c>
      <c r="D311" s="1186"/>
    </row>
    <row r="312" spans="1:4" x14ac:dyDescent="0.2">
      <c r="A312" s="1186" t="s">
        <v>97</v>
      </c>
      <c r="B312" s="1186" t="s">
        <v>1419</v>
      </c>
      <c r="C312" s="1186" t="s">
        <v>1495</v>
      </c>
      <c r="D312" s="1186"/>
    </row>
    <row r="313" spans="1:4" x14ac:dyDescent="0.2">
      <c r="A313" s="1186" t="s">
        <v>97</v>
      </c>
      <c r="B313" s="1186" t="s">
        <v>1419</v>
      </c>
      <c r="C313" s="1186" t="s">
        <v>1496</v>
      </c>
      <c r="D313" s="1186"/>
    </row>
    <row r="314" spans="1:4" x14ac:dyDescent="0.2">
      <c r="A314" s="1186" t="s">
        <v>97</v>
      </c>
      <c r="B314" s="1186" t="s">
        <v>1419</v>
      </c>
      <c r="C314" s="1186" t="s">
        <v>1497</v>
      </c>
      <c r="D314" s="1186"/>
    </row>
    <row r="315" spans="1:4" x14ac:dyDescent="0.2">
      <c r="A315" s="1186" t="s">
        <v>97</v>
      </c>
      <c r="B315" s="1186" t="s">
        <v>1419</v>
      </c>
      <c r="C315" s="1186" t="s">
        <v>1498</v>
      </c>
      <c r="D315" s="1186"/>
    </row>
    <row r="316" spans="1:4" x14ac:dyDescent="0.2">
      <c r="A316" s="1186" t="s">
        <v>97</v>
      </c>
      <c r="B316" s="1186" t="s">
        <v>1419</v>
      </c>
      <c r="C316" s="1186" t="s">
        <v>1499</v>
      </c>
      <c r="D316" s="1186">
        <v>1</v>
      </c>
    </row>
    <row r="317" spans="1:4" x14ac:dyDescent="0.2">
      <c r="A317" s="1186" t="s">
        <v>97</v>
      </c>
      <c r="B317" s="1186" t="s">
        <v>1419</v>
      </c>
      <c r="C317" s="1186" t="s">
        <v>1500</v>
      </c>
      <c r="D317" s="1186"/>
    </row>
    <row r="318" spans="1:4" x14ac:dyDescent="0.2">
      <c r="A318" s="1186" t="s">
        <v>97</v>
      </c>
      <c r="B318" s="1186" t="s">
        <v>1419</v>
      </c>
      <c r="C318" s="1186" t="s">
        <v>1501</v>
      </c>
      <c r="D318" s="1186"/>
    </row>
    <row r="319" spans="1:4" x14ac:dyDescent="0.2">
      <c r="A319" s="1186" t="s">
        <v>97</v>
      </c>
      <c r="B319" s="1186" t="s">
        <v>1419</v>
      </c>
      <c r="C319" s="1186" t="s">
        <v>1502</v>
      </c>
      <c r="D319" s="1186"/>
    </row>
    <row r="320" spans="1:4" x14ac:dyDescent="0.2">
      <c r="A320" s="1186" t="s">
        <v>97</v>
      </c>
      <c r="B320" s="1186" t="s">
        <v>1419</v>
      </c>
      <c r="C320" s="1186" t="s">
        <v>1503</v>
      </c>
      <c r="D320" s="1186">
        <v>1</v>
      </c>
    </row>
    <row r="321" spans="1:4" x14ac:dyDescent="0.2">
      <c r="A321" s="1186" t="s">
        <v>97</v>
      </c>
      <c r="B321" s="1186" t="s">
        <v>1419</v>
      </c>
      <c r="C321" s="1186" t="s">
        <v>1504</v>
      </c>
      <c r="D321" s="1186"/>
    </row>
    <row r="322" spans="1:4" x14ac:dyDescent="0.2">
      <c r="A322" s="1186" t="s">
        <v>97</v>
      </c>
      <c r="B322" s="1186" t="s">
        <v>1419</v>
      </c>
      <c r="C322" s="1186" t="s">
        <v>1505</v>
      </c>
      <c r="D322" s="1186"/>
    </row>
    <row r="323" spans="1:4" x14ac:dyDescent="0.2">
      <c r="A323" s="1186" t="s">
        <v>97</v>
      </c>
      <c r="B323" s="1186" t="s">
        <v>1419</v>
      </c>
      <c r="C323" s="1186" t="s">
        <v>1506</v>
      </c>
      <c r="D323" s="1186"/>
    </row>
    <row r="324" spans="1:4" x14ac:dyDescent="0.2">
      <c r="A324" s="1186" t="s">
        <v>97</v>
      </c>
      <c r="B324" s="1186" t="s">
        <v>1419</v>
      </c>
      <c r="C324" s="1186" t="s">
        <v>1507</v>
      </c>
      <c r="D324" s="1186"/>
    </row>
    <row r="325" spans="1:4" x14ac:dyDescent="0.2">
      <c r="A325" s="1186" t="s">
        <v>97</v>
      </c>
      <c r="B325" s="1186" t="s">
        <v>1419</v>
      </c>
      <c r="C325" s="1186" t="s">
        <v>1508</v>
      </c>
      <c r="D325" s="1186"/>
    </row>
    <row r="326" spans="1:4" x14ac:dyDescent="0.2">
      <c r="A326" s="1186" t="s">
        <v>97</v>
      </c>
      <c r="B326" s="1186" t="s">
        <v>1419</v>
      </c>
      <c r="C326" s="1186" t="s">
        <v>1509</v>
      </c>
      <c r="D326" s="1186"/>
    </row>
    <row r="327" spans="1:4" x14ac:dyDescent="0.2">
      <c r="A327" s="1186" t="s">
        <v>97</v>
      </c>
      <c r="B327" s="1186" t="s">
        <v>1419</v>
      </c>
      <c r="C327" s="1186" t="s">
        <v>1510</v>
      </c>
      <c r="D327" s="1186"/>
    </row>
    <row r="328" spans="1:4" x14ac:dyDescent="0.2">
      <c r="A328" s="1186" t="s">
        <v>97</v>
      </c>
      <c r="B328" s="1186" t="s">
        <v>1419</v>
      </c>
      <c r="C328" s="1186" t="s">
        <v>1511</v>
      </c>
      <c r="D328" s="1186"/>
    </row>
    <row r="329" spans="1:4" x14ac:dyDescent="0.2">
      <c r="A329" s="1186" t="s">
        <v>97</v>
      </c>
      <c r="B329" s="1186" t="s">
        <v>1419</v>
      </c>
      <c r="C329" s="1186" t="s">
        <v>1512</v>
      </c>
      <c r="D329" s="1186"/>
    </row>
    <row r="330" spans="1:4" x14ac:dyDescent="0.2">
      <c r="A330" s="1186" t="s">
        <v>97</v>
      </c>
      <c r="B330" s="1186" t="s">
        <v>1419</v>
      </c>
      <c r="C330" s="1186" t="s">
        <v>1513</v>
      </c>
      <c r="D330" s="1186"/>
    </row>
    <row r="331" spans="1:4" x14ac:dyDescent="0.2">
      <c r="A331" s="1186" t="s">
        <v>97</v>
      </c>
      <c r="B331" s="1186" t="s">
        <v>1419</v>
      </c>
      <c r="C331" s="1186" t="s">
        <v>1514</v>
      </c>
      <c r="D331" s="1186">
        <v>1</v>
      </c>
    </row>
    <row r="332" spans="1:4" x14ac:dyDescent="0.2">
      <c r="A332" s="1186" t="s">
        <v>97</v>
      </c>
      <c r="B332" s="1186" t="s">
        <v>1419</v>
      </c>
      <c r="C332" s="1186" t="s">
        <v>1515</v>
      </c>
      <c r="D332" s="1186"/>
    </row>
    <row r="333" spans="1:4" x14ac:dyDescent="0.2">
      <c r="A333" s="1186" t="s">
        <v>97</v>
      </c>
      <c r="B333" s="1186" t="s">
        <v>1419</v>
      </c>
      <c r="C333" s="1186" t="s">
        <v>1516</v>
      </c>
      <c r="D333" s="1186"/>
    </row>
    <row r="334" spans="1:4" x14ac:dyDescent="0.2">
      <c r="A334" s="1186" t="s">
        <v>97</v>
      </c>
      <c r="B334" s="1186" t="s">
        <v>1572</v>
      </c>
      <c r="C334" s="1186" t="s">
        <v>1487</v>
      </c>
      <c r="D334" s="1186">
        <v>24</v>
      </c>
    </row>
    <row r="335" spans="1:4" x14ac:dyDescent="0.2">
      <c r="A335" s="1186" t="s">
        <v>97</v>
      </c>
      <c r="B335" s="1186" t="s">
        <v>1572</v>
      </c>
      <c r="C335" s="1186" t="s">
        <v>1488</v>
      </c>
      <c r="D335" s="1186">
        <v>14</v>
      </c>
    </row>
    <row r="336" spans="1:4" x14ac:dyDescent="0.2">
      <c r="A336" s="1186" t="s">
        <v>97</v>
      </c>
      <c r="B336" s="1186" t="s">
        <v>1572</v>
      </c>
      <c r="C336" s="1186" t="s">
        <v>1489</v>
      </c>
      <c r="D336" s="1186">
        <v>3</v>
      </c>
    </row>
    <row r="337" spans="1:4" x14ac:dyDescent="0.2">
      <c r="A337" s="1186" t="s">
        <v>97</v>
      </c>
      <c r="B337" s="1186" t="s">
        <v>1572</v>
      </c>
      <c r="C337" s="1186" t="s">
        <v>1490</v>
      </c>
      <c r="D337" s="1186"/>
    </row>
    <row r="338" spans="1:4" x14ac:dyDescent="0.2">
      <c r="A338" s="1186" t="s">
        <v>97</v>
      </c>
      <c r="B338" s="1186" t="s">
        <v>1572</v>
      </c>
      <c r="C338" s="1186" t="s">
        <v>1491</v>
      </c>
      <c r="D338" s="1186"/>
    </row>
    <row r="339" spans="1:4" x14ac:dyDescent="0.2">
      <c r="A339" s="1186" t="s">
        <v>97</v>
      </c>
      <c r="B339" s="1186" t="s">
        <v>1572</v>
      </c>
      <c r="C339" s="1186" t="s">
        <v>1492</v>
      </c>
      <c r="D339" s="1186">
        <v>2</v>
      </c>
    </row>
    <row r="340" spans="1:4" x14ac:dyDescent="0.2">
      <c r="A340" s="1186" t="s">
        <v>97</v>
      </c>
      <c r="B340" s="1186" t="s">
        <v>1572</v>
      </c>
      <c r="C340" s="1186" t="s">
        <v>1493</v>
      </c>
      <c r="D340" s="1186">
        <v>1</v>
      </c>
    </row>
    <row r="341" spans="1:4" x14ac:dyDescent="0.2">
      <c r="A341" s="1186" t="s">
        <v>97</v>
      </c>
      <c r="B341" s="1186" t="s">
        <v>1572</v>
      </c>
      <c r="C341" s="1186" t="s">
        <v>1494</v>
      </c>
      <c r="D341" s="1186"/>
    </row>
    <row r="342" spans="1:4" x14ac:dyDescent="0.2">
      <c r="A342" s="1186" t="s">
        <v>97</v>
      </c>
      <c r="B342" s="1186" t="s">
        <v>1572</v>
      </c>
      <c r="C342" s="1186" t="s">
        <v>1495</v>
      </c>
      <c r="D342" s="1186">
        <v>1</v>
      </c>
    </row>
    <row r="343" spans="1:4" x14ac:dyDescent="0.2">
      <c r="A343" s="1186" t="s">
        <v>97</v>
      </c>
      <c r="B343" s="1186" t="s">
        <v>1572</v>
      </c>
      <c r="C343" s="1186" t="s">
        <v>1496</v>
      </c>
      <c r="D343" s="1186"/>
    </row>
    <row r="344" spans="1:4" x14ac:dyDescent="0.2">
      <c r="A344" s="1186" t="s">
        <v>97</v>
      </c>
      <c r="B344" s="1186" t="s">
        <v>1572</v>
      </c>
      <c r="C344" s="1186" t="s">
        <v>1497</v>
      </c>
      <c r="D344" s="1186"/>
    </row>
    <row r="345" spans="1:4" x14ac:dyDescent="0.2">
      <c r="A345" s="1186" t="s">
        <v>97</v>
      </c>
      <c r="B345" s="1186" t="s">
        <v>1572</v>
      </c>
      <c r="C345" s="1186" t="s">
        <v>1498</v>
      </c>
      <c r="D345" s="1186"/>
    </row>
    <row r="346" spans="1:4" x14ac:dyDescent="0.2">
      <c r="A346" s="1186" t="s">
        <v>97</v>
      </c>
      <c r="B346" s="1186" t="s">
        <v>1572</v>
      </c>
      <c r="C346" s="1186" t="s">
        <v>1499</v>
      </c>
      <c r="D346" s="1186"/>
    </row>
    <row r="347" spans="1:4" x14ac:dyDescent="0.2">
      <c r="A347" s="1186" t="s">
        <v>97</v>
      </c>
      <c r="B347" s="1186" t="s">
        <v>1572</v>
      </c>
      <c r="C347" s="1186" t="s">
        <v>1500</v>
      </c>
      <c r="D347" s="1186"/>
    </row>
    <row r="348" spans="1:4" x14ac:dyDescent="0.2">
      <c r="A348" s="1186" t="s">
        <v>97</v>
      </c>
      <c r="B348" s="1186" t="s">
        <v>1572</v>
      </c>
      <c r="C348" s="1186" t="s">
        <v>1501</v>
      </c>
      <c r="D348" s="1186"/>
    </row>
    <row r="349" spans="1:4" x14ac:dyDescent="0.2">
      <c r="A349" s="1186" t="s">
        <v>97</v>
      </c>
      <c r="B349" s="1186" t="s">
        <v>1572</v>
      </c>
      <c r="C349" s="1186" t="s">
        <v>1502</v>
      </c>
      <c r="D349" s="1186"/>
    </row>
    <row r="350" spans="1:4" x14ac:dyDescent="0.2">
      <c r="A350" s="1186" t="s">
        <v>97</v>
      </c>
      <c r="B350" s="1186" t="s">
        <v>1572</v>
      </c>
      <c r="C350" s="1186" t="s">
        <v>1503</v>
      </c>
      <c r="D350" s="1186"/>
    </row>
    <row r="351" spans="1:4" x14ac:dyDescent="0.2">
      <c r="A351" s="1186" t="s">
        <v>97</v>
      </c>
      <c r="B351" s="1186" t="s">
        <v>1572</v>
      </c>
      <c r="C351" s="1186" t="s">
        <v>1504</v>
      </c>
      <c r="D351" s="1186"/>
    </row>
    <row r="352" spans="1:4" x14ac:dyDescent="0.2">
      <c r="A352" s="1186" t="s">
        <v>97</v>
      </c>
      <c r="B352" s="1186" t="s">
        <v>1572</v>
      </c>
      <c r="C352" s="1186" t="s">
        <v>1505</v>
      </c>
      <c r="D352" s="1186"/>
    </row>
    <row r="353" spans="1:4" x14ac:dyDescent="0.2">
      <c r="A353" s="1186" t="s">
        <v>97</v>
      </c>
      <c r="B353" s="1186" t="s">
        <v>1572</v>
      </c>
      <c r="C353" s="1186" t="s">
        <v>1506</v>
      </c>
      <c r="D353" s="1186"/>
    </row>
    <row r="354" spans="1:4" x14ac:dyDescent="0.2">
      <c r="A354" s="1186" t="s">
        <v>97</v>
      </c>
      <c r="B354" s="1186" t="s">
        <v>1572</v>
      </c>
      <c r="C354" s="1186" t="s">
        <v>1507</v>
      </c>
      <c r="D354" s="1186"/>
    </row>
    <row r="355" spans="1:4" x14ac:dyDescent="0.2">
      <c r="A355" s="1186" t="s">
        <v>97</v>
      </c>
      <c r="B355" s="1186" t="s">
        <v>1572</v>
      </c>
      <c r="C355" s="1186" t="s">
        <v>1508</v>
      </c>
      <c r="D355" s="1186"/>
    </row>
    <row r="356" spans="1:4" x14ac:dyDescent="0.2">
      <c r="A356" s="1186" t="s">
        <v>97</v>
      </c>
      <c r="B356" s="1186" t="s">
        <v>1572</v>
      </c>
      <c r="C356" s="1186" t="s">
        <v>1509</v>
      </c>
      <c r="D356" s="1186"/>
    </row>
    <row r="357" spans="1:4" x14ac:dyDescent="0.2">
      <c r="A357" s="1186" t="s">
        <v>97</v>
      </c>
      <c r="B357" s="1186" t="s">
        <v>1572</v>
      </c>
      <c r="C357" s="1186" t="s">
        <v>1510</v>
      </c>
      <c r="D357" s="1186"/>
    </row>
    <row r="358" spans="1:4" x14ac:dyDescent="0.2">
      <c r="A358" s="1186" t="s">
        <v>97</v>
      </c>
      <c r="B358" s="1186" t="s">
        <v>1572</v>
      </c>
      <c r="C358" s="1186" t="s">
        <v>1511</v>
      </c>
      <c r="D358" s="1186">
        <v>1</v>
      </c>
    </row>
    <row r="359" spans="1:4" x14ac:dyDescent="0.2">
      <c r="A359" s="1186" t="s">
        <v>97</v>
      </c>
      <c r="B359" s="1186" t="s">
        <v>1572</v>
      </c>
      <c r="C359" s="1186" t="s">
        <v>1512</v>
      </c>
      <c r="D359" s="1186"/>
    </row>
    <row r="360" spans="1:4" x14ac:dyDescent="0.2">
      <c r="A360" s="1186" t="s">
        <v>97</v>
      </c>
      <c r="B360" s="1186" t="s">
        <v>1572</v>
      </c>
      <c r="C360" s="1186" t="s">
        <v>1513</v>
      </c>
      <c r="D360" s="1186"/>
    </row>
    <row r="361" spans="1:4" x14ac:dyDescent="0.2">
      <c r="A361" s="1186" t="s">
        <v>97</v>
      </c>
      <c r="B361" s="1186" t="s">
        <v>1572</v>
      </c>
      <c r="C361" s="1186" t="s">
        <v>1514</v>
      </c>
      <c r="D361" s="1186"/>
    </row>
    <row r="362" spans="1:4" x14ac:dyDescent="0.2">
      <c r="A362" s="1186" t="s">
        <v>97</v>
      </c>
      <c r="B362" s="1186" t="s">
        <v>1572</v>
      </c>
      <c r="C362" s="1186" t="s">
        <v>1515</v>
      </c>
      <c r="D362" s="1186"/>
    </row>
    <row r="363" spans="1:4" x14ac:dyDescent="0.2">
      <c r="A363" s="1186" t="s">
        <v>97</v>
      </c>
      <c r="B363" s="1186" t="s">
        <v>1572</v>
      </c>
      <c r="C363" s="1186" t="s">
        <v>1516</v>
      </c>
      <c r="D363" s="1186"/>
    </row>
    <row r="364" spans="1:4" x14ac:dyDescent="0.2">
      <c r="A364" s="1186" t="s">
        <v>671</v>
      </c>
      <c r="B364" s="1186" t="s">
        <v>19</v>
      </c>
      <c r="C364" s="1186" t="s">
        <v>1487</v>
      </c>
      <c r="D364" s="1186">
        <v>302</v>
      </c>
    </row>
    <row r="365" spans="1:4" x14ac:dyDescent="0.2">
      <c r="A365" s="1186" t="s">
        <v>671</v>
      </c>
      <c r="B365" s="1186" t="s">
        <v>19</v>
      </c>
      <c r="C365" s="1186" t="s">
        <v>1488</v>
      </c>
      <c r="D365" s="1186">
        <v>542</v>
      </c>
    </row>
    <row r="366" spans="1:4" x14ac:dyDescent="0.2">
      <c r="A366" s="1186" t="s">
        <v>671</v>
      </c>
      <c r="B366" s="1186" t="s">
        <v>19</v>
      </c>
      <c r="C366" s="1186" t="s">
        <v>1489</v>
      </c>
      <c r="D366" s="1186">
        <v>123</v>
      </c>
    </row>
    <row r="367" spans="1:4" x14ac:dyDescent="0.2">
      <c r="A367" s="1186" t="s">
        <v>671</v>
      </c>
      <c r="B367" s="1186" t="s">
        <v>19</v>
      </c>
      <c r="C367" s="1186" t="s">
        <v>1490</v>
      </c>
      <c r="D367" s="1186">
        <v>2</v>
      </c>
    </row>
    <row r="368" spans="1:4" x14ac:dyDescent="0.2">
      <c r="A368" s="1186" t="s">
        <v>671</v>
      </c>
      <c r="B368" s="1186" t="s">
        <v>19</v>
      </c>
      <c r="C368" s="1186" t="s">
        <v>1491</v>
      </c>
      <c r="D368" s="1186"/>
    </row>
    <row r="369" spans="1:4" x14ac:dyDescent="0.2">
      <c r="A369" s="1186" t="s">
        <v>671</v>
      </c>
      <c r="B369" s="1186" t="s">
        <v>19</v>
      </c>
      <c r="C369" s="1186" t="s">
        <v>1492</v>
      </c>
      <c r="D369" s="1186">
        <v>48</v>
      </c>
    </row>
    <row r="370" spans="1:4" x14ac:dyDescent="0.2">
      <c r="A370" s="1186" t="s">
        <v>671</v>
      </c>
      <c r="B370" s="1186" t="s">
        <v>19</v>
      </c>
      <c r="C370" s="1186" t="s">
        <v>1493</v>
      </c>
      <c r="D370" s="1186">
        <v>5</v>
      </c>
    </row>
    <row r="371" spans="1:4" x14ac:dyDescent="0.2">
      <c r="A371" s="1186" t="s">
        <v>671</v>
      </c>
      <c r="B371" s="1186" t="s">
        <v>19</v>
      </c>
      <c r="C371" s="1186" t="s">
        <v>1494</v>
      </c>
      <c r="D371" s="1186">
        <v>10</v>
      </c>
    </row>
    <row r="372" spans="1:4" x14ac:dyDescent="0.2">
      <c r="A372" s="1186" t="s">
        <v>671</v>
      </c>
      <c r="B372" s="1186" t="s">
        <v>19</v>
      </c>
      <c r="C372" s="1186" t="s">
        <v>1495</v>
      </c>
      <c r="D372" s="1186">
        <v>13</v>
      </c>
    </row>
    <row r="373" spans="1:4" x14ac:dyDescent="0.2">
      <c r="A373" s="1186" t="s">
        <v>671</v>
      </c>
      <c r="B373" s="1186" t="s">
        <v>19</v>
      </c>
      <c r="C373" s="1186" t="s">
        <v>1496</v>
      </c>
      <c r="D373" s="1186">
        <v>1</v>
      </c>
    </row>
    <row r="374" spans="1:4" x14ac:dyDescent="0.2">
      <c r="A374" s="1186" t="s">
        <v>671</v>
      </c>
      <c r="B374" s="1186" t="s">
        <v>19</v>
      </c>
      <c r="C374" s="1186" t="s">
        <v>1497</v>
      </c>
      <c r="D374" s="1186">
        <v>12</v>
      </c>
    </row>
    <row r="375" spans="1:4" x14ac:dyDescent="0.2">
      <c r="A375" s="1186" t="s">
        <v>671</v>
      </c>
      <c r="B375" s="1186" t="s">
        <v>19</v>
      </c>
      <c r="C375" s="1186" t="s">
        <v>1498</v>
      </c>
      <c r="D375" s="1186">
        <v>1</v>
      </c>
    </row>
    <row r="376" spans="1:4" x14ac:dyDescent="0.2">
      <c r="A376" s="1186" t="s">
        <v>671</v>
      </c>
      <c r="B376" s="1186" t="s">
        <v>19</v>
      </c>
      <c r="C376" s="1186" t="s">
        <v>1499</v>
      </c>
      <c r="D376" s="1186">
        <v>1</v>
      </c>
    </row>
    <row r="377" spans="1:4" x14ac:dyDescent="0.2">
      <c r="A377" s="1186" t="s">
        <v>671</v>
      </c>
      <c r="B377" s="1186" t="s">
        <v>19</v>
      </c>
      <c r="C377" s="1186" t="s">
        <v>1500</v>
      </c>
      <c r="D377" s="1186">
        <v>6</v>
      </c>
    </row>
    <row r="378" spans="1:4" x14ac:dyDescent="0.2">
      <c r="A378" s="1186" t="s">
        <v>671</v>
      </c>
      <c r="B378" s="1186" t="s">
        <v>19</v>
      </c>
      <c r="C378" s="1186" t="s">
        <v>1501</v>
      </c>
      <c r="D378" s="1186">
        <v>2</v>
      </c>
    </row>
    <row r="379" spans="1:4" x14ac:dyDescent="0.2">
      <c r="A379" s="1186" t="s">
        <v>671</v>
      </c>
      <c r="B379" s="1186" t="s">
        <v>19</v>
      </c>
      <c r="C379" s="1186" t="s">
        <v>1502</v>
      </c>
      <c r="D379" s="1186">
        <v>16</v>
      </c>
    </row>
    <row r="380" spans="1:4" x14ac:dyDescent="0.2">
      <c r="A380" s="1186" t="s">
        <v>671</v>
      </c>
      <c r="B380" s="1186" t="s">
        <v>19</v>
      </c>
      <c r="C380" s="1186" t="s">
        <v>1503</v>
      </c>
      <c r="D380" s="1186">
        <v>11</v>
      </c>
    </row>
    <row r="381" spans="1:4" x14ac:dyDescent="0.2">
      <c r="A381" s="1186" t="s">
        <v>671</v>
      </c>
      <c r="B381" s="1186" t="s">
        <v>19</v>
      </c>
      <c r="C381" s="1186" t="s">
        <v>1504</v>
      </c>
      <c r="D381" s="1186"/>
    </row>
    <row r="382" spans="1:4" x14ac:dyDescent="0.2">
      <c r="A382" s="1186" t="s">
        <v>671</v>
      </c>
      <c r="B382" s="1186" t="s">
        <v>19</v>
      </c>
      <c r="C382" s="1186" t="s">
        <v>1505</v>
      </c>
      <c r="D382" s="1186">
        <v>1</v>
      </c>
    </row>
    <row r="383" spans="1:4" x14ac:dyDescent="0.2">
      <c r="A383" s="1186" t="s">
        <v>671</v>
      </c>
      <c r="B383" s="1186" t="s">
        <v>19</v>
      </c>
      <c r="C383" s="1186" t="s">
        <v>1506</v>
      </c>
      <c r="D383" s="1186">
        <v>2</v>
      </c>
    </row>
    <row r="384" spans="1:4" x14ac:dyDescent="0.2">
      <c r="A384" s="1186" t="s">
        <v>671</v>
      </c>
      <c r="B384" s="1186" t="s">
        <v>19</v>
      </c>
      <c r="C384" s="1186" t="s">
        <v>1507</v>
      </c>
      <c r="D384" s="1186">
        <v>3</v>
      </c>
    </row>
    <row r="385" spans="1:4" x14ac:dyDescent="0.2">
      <c r="A385" s="1186" t="s">
        <v>671</v>
      </c>
      <c r="B385" s="1186" t="s">
        <v>19</v>
      </c>
      <c r="C385" s="1186" t="s">
        <v>1508</v>
      </c>
      <c r="D385" s="1186">
        <v>2</v>
      </c>
    </row>
    <row r="386" spans="1:4" x14ac:dyDescent="0.2">
      <c r="A386" s="1186" t="s">
        <v>671</v>
      </c>
      <c r="B386" s="1186" t="s">
        <v>19</v>
      </c>
      <c r="C386" s="1186" t="s">
        <v>1509</v>
      </c>
      <c r="D386" s="1186">
        <v>2</v>
      </c>
    </row>
    <row r="387" spans="1:4" x14ac:dyDescent="0.2">
      <c r="A387" s="1186" t="s">
        <v>671</v>
      </c>
      <c r="B387" s="1186" t="s">
        <v>19</v>
      </c>
      <c r="C387" s="1186" t="s">
        <v>1510</v>
      </c>
      <c r="D387" s="1186">
        <v>2</v>
      </c>
    </row>
    <row r="388" spans="1:4" x14ac:dyDescent="0.2">
      <c r="A388" s="1186" t="s">
        <v>671</v>
      </c>
      <c r="B388" s="1186" t="s">
        <v>19</v>
      </c>
      <c r="C388" s="1186" t="s">
        <v>1511</v>
      </c>
      <c r="D388" s="1186">
        <v>13</v>
      </c>
    </row>
    <row r="389" spans="1:4" x14ac:dyDescent="0.2">
      <c r="A389" s="1186" t="s">
        <v>671</v>
      </c>
      <c r="B389" s="1186" t="s">
        <v>19</v>
      </c>
      <c r="C389" s="1186" t="s">
        <v>1512</v>
      </c>
      <c r="D389" s="1186">
        <v>1</v>
      </c>
    </row>
    <row r="390" spans="1:4" x14ac:dyDescent="0.2">
      <c r="A390" s="1186" t="s">
        <v>671</v>
      </c>
      <c r="B390" s="1186" t="s">
        <v>19</v>
      </c>
      <c r="C390" s="1186" t="s">
        <v>1513</v>
      </c>
      <c r="D390" s="1186">
        <v>2</v>
      </c>
    </row>
    <row r="391" spans="1:4" x14ac:dyDescent="0.2">
      <c r="A391" s="1186" t="s">
        <v>671</v>
      </c>
      <c r="B391" s="1186" t="s">
        <v>19</v>
      </c>
      <c r="C391" s="1186" t="s">
        <v>1514</v>
      </c>
      <c r="D391" s="1186">
        <v>3</v>
      </c>
    </row>
    <row r="392" spans="1:4" x14ac:dyDescent="0.2">
      <c r="A392" s="1186" t="s">
        <v>671</v>
      </c>
      <c r="B392" s="1186" t="s">
        <v>19</v>
      </c>
      <c r="C392" s="1186" t="s">
        <v>1515</v>
      </c>
      <c r="D392" s="1186">
        <v>1</v>
      </c>
    </row>
    <row r="393" spans="1:4" x14ac:dyDescent="0.2">
      <c r="A393" s="1186" t="s">
        <v>671</v>
      </c>
      <c r="B393" s="1186" t="s">
        <v>19</v>
      </c>
      <c r="C393" s="1186" t="s">
        <v>1516</v>
      </c>
      <c r="D393" s="1186"/>
    </row>
    <row r="394" spans="1:4" x14ac:dyDescent="0.2">
      <c r="A394" s="1186" t="s">
        <v>671</v>
      </c>
      <c r="B394" s="1186" t="s">
        <v>20</v>
      </c>
      <c r="C394" s="1186" t="s">
        <v>1487</v>
      </c>
      <c r="D394" s="1186">
        <v>340</v>
      </c>
    </row>
    <row r="395" spans="1:4" x14ac:dyDescent="0.2">
      <c r="A395" s="1186" t="s">
        <v>671</v>
      </c>
      <c r="B395" s="1186" t="s">
        <v>20</v>
      </c>
      <c r="C395" s="1186" t="s">
        <v>1488</v>
      </c>
      <c r="D395" s="1186">
        <v>555</v>
      </c>
    </row>
    <row r="396" spans="1:4" x14ac:dyDescent="0.2">
      <c r="A396" s="1186" t="s">
        <v>671</v>
      </c>
      <c r="B396" s="1186" t="s">
        <v>20</v>
      </c>
      <c r="C396" s="1186" t="s">
        <v>1489</v>
      </c>
      <c r="D396" s="1186">
        <v>168</v>
      </c>
    </row>
    <row r="397" spans="1:4" x14ac:dyDescent="0.2">
      <c r="A397" s="1186" t="s">
        <v>671</v>
      </c>
      <c r="B397" s="1186" t="s">
        <v>20</v>
      </c>
      <c r="C397" s="1186" t="s">
        <v>1490</v>
      </c>
      <c r="D397" s="1186">
        <v>3</v>
      </c>
    </row>
    <row r="398" spans="1:4" x14ac:dyDescent="0.2">
      <c r="A398" s="1186" t="s">
        <v>671</v>
      </c>
      <c r="B398" s="1186" t="s">
        <v>20</v>
      </c>
      <c r="C398" s="1186" t="s">
        <v>1491</v>
      </c>
      <c r="D398" s="1186">
        <v>1</v>
      </c>
    </row>
    <row r="399" spans="1:4" x14ac:dyDescent="0.2">
      <c r="A399" s="1186" t="s">
        <v>671</v>
      </c>
      <c r="B399" s="1186" t="s">
        <v>20</v>
      </c>
      <c r="C399" s="1186" t="s">
        <v>1492</v>
      </c>
      <c r="D399" s="1186">
        <v>63</v>
      </c>
    </row>
    <row r="400" spans="1:4" x14ac:dyDescent="0.2">
      <c r="A400" s="1186" t="s">
        <v>671</v>
      </c>
      <c r="B400" s="1186" t="s">
        <v>20</v>
      </c>
      <c r="C400" s="1186" t="s">
        <v>1493</v>
      </c>
      <c r="D400" s="1186">
        <v>7</v>
      </c>
    </row>
    <row r="401" spans="1:4" x14ac:dyDescent="0.2">
      <c r="A401" s="1186" t="s">
        <v>671</v>
      </c>
      <c r="B401" s="1186" t="s">
        <v>20</v>
      </c>
      <c r="C401" s="1186" t="s">
        <v>1494</v>
      </c>
      <c r="D401" s="1186">
        <v>5</v>
      </c>
    </row>
    <row r="402" spans="1:4" x14ac:dyDescent="0.2">
      <c r="A402" s="1186" t="s">
        <v>671</v>
      </c>
      <c r="B402" s="1186" t="s">
        <v>20</v>
      </c>
      <c r="C402" s="1186" t="s">
        <v>1495</v>
      </c>
      <c r="D402" s="1186">
        <v>7</v>
      </c>
    </row>
    <row r="403" spans="1:4" x14ac:dyDescent="0.2">
      <c r="A403" s="1186" t="s">
        <v>671</v>
      </c>
      <c r="B403" s="1186" t="s">
        <v>20</v>
      </c>
      <c r="C403" s="1186" t="s">
        <v>1496</v>
      </c>
      <c r="D403" s="1186">
        <v>4</v>
      </c>
    </row>
    <row r="404" spans="1:4" x14ac:dyDescent="0.2">
      <c r="A404" s="1186" t="s">
        <v>671</v>
      </c>
      <c r="B404" s="1186" t="s">
        <v>20</v>
      </c>
      <c r="C404" s="1186" t="s">
        <v>1497</v>
      </c>
      <c r="D404" s="1186">
        <v>22</v>
      </c>
    </row>
    <row r="405" spans="1:4" x14ac:dyDescent="0.2">
      <c r="A405" s="1186" t="s">
        <v>671</v>
      </c>
      <c r="B405" s="1186" t="s">
        <v>20</v>
      </c>
      <c r="C405" s="1186" t="s">
        <v>1498</v>
      </c>
      <c r="D405" s="1186"/>
    </row>
    <row r="406" spans="1:4" x14ac:dyDescent="0.2">
      <c r="A406" s="1186" t="s">
        <v>671</v>
      </c>
      <c r="B406" s="1186" t="s">
        <v>20</v>
      </c>
      <c r="C406" s="1186" t="s">
        <v>1499</v>
      </c>
      <c r="D406" s="1186">
        <v>5</v>
      </c>
    </row>
    <row r="407" spans="1:4" x14ac:dyDescent="0.2">
      <c r="A407" s="1186" t="s">
        <v>671</v>
      </c>
      <c r="B407" s="1186" t="s">
        <v>20</v>
      </c>
      <c r="C407" s="1186" t="s">
        <v>1500</v>
      </c>
      <c r="D407" s="1186">
        <v>9</v>
      </c>
    </row>
    <row r="408" spans="1:4" x14ac:dyDescent="0.2">
      <c r="A408" s="1186" t="s">
        <v>671</v>
      </c>
      <c r="B408" s="1186" t="s">
        <v>20</v>
      </c>
      <c r="C408" s="1186" t="s">
        <v>1501</v>
      </c>
      <c r="D408" s="1186">
        <v>1</v>
      </c>
    </row>
    <row r="409" spans="1:4" x14ac:dyDescent="0.2">
      <c r="A409" s="1186" t="s">
        <v>671</v>
      </c>
      <c r="B409" s="1186" t="s">
        <v>20</v>
      </c>
      <c r="C409" s="1186" t="s">
        <v>1502</v>
      </c>
      <c r="D409" s="1186">
        <v>7</v>
      </c>
    </row>
    <row r="410" spans="1:4" x14ac:dyDescent="0.2">
      <c r="A410" s="1186" t="s">
        <v>671</v>
      </c>
      <c r="B410" s="1186" t="s">
        <v>20</v>
      </c>
      <c r="C410" s="1186" t="s">
        <v>1503</v>
      </c>
      <c r="D410" s="1186">
        <v>3</v>
      </c>
    </row>
    <row r="411" spans="1:4" x14ac:dyDescent="0.2">
      <c r="A411" s="1186" t="s">
        <v>671</v>
      </c>
      <c r="B411" s="1186" t="s">
        <v>20</v>
      </c>
      <c r="C411" s="1186" t="s">
        <v>1504</v>
      </c>
      <c r="D411" s="1186">
        <v>3</v>
      </c>
    </row>
    <row r="412" spans="1:4" x14ac:dyDescent="0.2">
      <c r="A412" s="1186" t="s">
        <v>671</v>
      </c>
      <c r="B412" s="1186" t="s">
        <v>20</v>
      </c>
      <c r="C412" s="1186" t="s">
        <v>1505</v>
      </c>
      <c r="D412" s="1186">
        <v>9</v>
      </c>
    </row>
    <row r="413" spans="1:4" x14ac:dyDescent="0.2">
      <c r="A413" s="1186" t="s">
        <v>671</v>
      </c>
      <c r="B413" s="1186" t="s">
        <v>20</v>
      </c>
      <c r="C413" s="1186" t="s">
        <v>1506</v>
      </c>
      <c r="D413" s="1186">
        <v>4</v>
      </c>
    </row>
    <row r="414" spans="1:4" x14ac:dyDescent="0.2">
      <c r="A414" s="1186" t="s">
        <v>671</v>
      </c>
      <c r="B414" s="1186" t="s">
        <v>20</v>
      </c>
      <c r="C414" s="1186" t="s">
        <v>1507</v>
      </c>
      <c r="D414" s="1186">
        <v>2</v>
      </c>
    </row>
    <row r="415" spans="1:4" x14ac:dyDescent="0.2">
      <c r="A415" s="1186" t="s">
        <v>671</v>
      </c>
      <c r="B415" s="1186" t="s">
        <v>20</v>
      </c>
      <c r="C415" s="1186" t="s">
        <v>1508</v>
      </c>
      <c r="D415" s="1186">
        <v>8</v>
      </c>
    </row>
    <row r="416" spans="1:4" x14ac:dyDescent="0.2">
      <c r="A416" s="1186" t="s">
        <v>671</v>
      </c>
      <c r="B416" s="1186" t="s">
        <v>20</v>
      </c>
      <c r="C416" s="1186" t="s">
        <v>1509</v>
      </c>
      <c r="D416" s="1186">
        <v>1</v>
      </c>
    </row>
    <row r="417" spans="1:4" x14ac:dyDescent="0.2">
      <c r="A417" s="1186" t="s">
        <v>671</v>
      </c>
      <c r="B417" s="1186" t="s">
        <v>20</v>
      </c>
      <c r="C417" s="1186" t="s">
        <v>1510</v>
      </c>
      <c r="D417" s="1186">
        <v>1</v>
      </c>
    </row>
    <row r="418" spans="1:4" x14ac:dyDescent="0.2">
      <c r="A418" s="1186" t="s">
        <v>671</v>
      </c>
      <c r="B418" s="1186" t="s">
        <v>20</v>
      </c>
      <c r="C418" s="1186" t="s">
        <v>1511</v>
      </c>
      <c r="D418" s="1186">
        <v>6</v>
      </c>
    </row>
    <row r="419" spans="1:4" x14ac:dyDescent="0.2">
      <c r="A419" s="1186" t="s">
        <v>671</v>
      </c>
      <c r="B419" s="1186" t="s">
        <v>20</v>
      </c>
      <c r="C419" s="1186" t="s">
        <v>1512</v>
      </c>
      <c r="D419" s="1186">
        <v>2</v>
      </c>
    </row>
    <row r="420" spans="1:4" x14ac:dyDescent="0.2">
      <c r="A420" s="1186" t="s">
        <v>671</v>
      </c>
      <c r="B420" s="1186" t="s">
        <v>20</v>
      </c>
      <c r="C420" s="1186" t="s">
        <v>1513</v>
      </c>
      <c r="D420" s="1186">
        <v>3</v>
      </c>
    </row>
    <row r="421" spans="1:4" x14ac:dyDescent="0.2">
      <c r="A421" s="1186" t="s">
        <v>671</v>
      </c>
      <c r="B421" s="1186" t="s">
        <v>20</v>
      </c>
      <c r="C421" s="1186" t="s">
        <v>1514</v>
      </c>
      <c r="D421" s="1186">
        <v>7</v>
      </c>
    </row>
    <row r="422" spans="1:4" x14ac:dyDescent="0.2">
      <c r="A422" s="1186" t="s">
        <v>671</v>
      </c>
      <c r="B422" s="1186" t="s">
        <v>20</v>
      </c>
      <c r="C422" s="1186" t="s">
        <v>1515</v>
      </c>
      <c r="D422" s="1186">
        <v>5</v>
      </c>
    </row>
    <row r="423" spans="1:4" x14ac:dyDescent="0.2">
      <c r="A423" s="1186" t="s">
        <v>671</v>
      </c>
      <c r="B423" s="1186" t="s">
        <v>20</v>
      </c>
      <c r="C423" s="1186" t="s">
        <v>1516</v>
      </c>
      <c r="D423" s="1186"/>
    </row>
    <row r="424" spans="1:4" x14ac:dyDescent="0.2">
      <c r="A424" s="1186" t="s">
        <v>671</v>
      </c>
      <c r="B424" s="1186" t="s">
        <v>13</v>
      </c>
      <c r="C424" s="1186" t="s">
        <v>1487</v>
      </c>
      <c r="D424" s="1186">
        <v>354</v>
      </c>
    </row>
    <row r="425" spans="1:4" x14ac:dyDescent="0.2">
      <c r="A425" s="1186" t="s">
        <v>671</v>
      </c>
      <c r="B425" s="1186" t="s">
        <v>13</v>
      </c>
      <c r="C425" s="1186" t="s">
        <v>1488</v>
      </c>
      <c r="D425" s="1186">
        <v>588</v>
      </c>
    </row>
    <row r="426" spans="1:4" x14ac:dyDescent="0.2">
      <c r="A426" s="1186" t="s">
        <v>671</v>
      </c>
      <c r="B426" s="1186" t="s">
        <v>13</v>
      </c>
      <c r="C426" s="1186" t="s">
        <v>1489</v>
      </c>
      <c r="D426" s="1186">
        <v>183</v>
      </c>
    </row>
    <row r="427" spans="1:4" x14ac:dyDescent="0.2">
      <c r="A427" s="1186" t="s">
        <v>671</v>
      </c>
      <c r="B427" s="1186" t="s">
        <v>13</v>
      </c>
      <c r="C427" s="1186" t="s">
        <v>1490</v>
      </c>
      <c r="D427" s="1186">
        <v>2</v>
      </c>
    </row>
    <row r="428" spans="1:4" x14ac:dyDescent="0.2">
      <c r="A428" s="1186" t="s">
        <v>671</v>
      </c>
      <c r="B428" s="1186" t="s">
        <v>13</v>
      </c>
      <c r="C428" s="1186" t="s">
        <v>1491</v>
      </c>
      <c r="D428" s="1186">
        <v>4</v>
      </c>
    </row>
    <row r="429" spans="1:4" x14ac:dyDescent="0.2">
      <c r="A429" s="1186" t="s">
        <v>671</v>
      </c>
      <c r="B429" s="1186" t="s">
        <v>13</v>
      </c>
      <c r="C429" s="1186" t="s">
        <v>1492</v>
      </c>
      <c r="D429" s="1186">
        <v>80</v>
      </c>
    </row>
    <row r="430" spans="1:4" x14ac:dyDescent="0.2">
      <c r="A430" s="1186" t="s">
        <v>671</v>
      </c>
      <c r="B430" s="1186" t="s">
        <v>13</v>
      </c>
      <c r="C430" s="1186" t="s">
        <v>1493</v>
      </c>
      <c r="D430" s="1186">
        <v>3</v>
      </c>
    </row>
    <row r="431" spans="1:4" x14ac:dyDescent="0.2">
      <c r="A431" s="1186" t="s">
        <v>671</v>
      </c>
      <c r="B431" s="1186" t="s">
        <v>13</v>
      </c>
      <c r="C431" s="1186" t="s">
        <v>1494</v>
      </c>
      <c r="D431" s="1186">
        <v>5</v>
      </c>
    </row>
    <row r="432" spans="1:4" x14ac:dyDescent="0.2">
      <c r="A432" s="1186" t="s">
        <v>671</v>
      </c>
      <c r="B432" s="1186" t="s">
        <v>13</v>
      </c>
      <c r="C432" s="1186" t="s">
        <v>1495</v>
      </c>
      <c r="D432" s="1186">
        <v>4</v>
      </c>
    </row>
    <row r="433" spans="1:4" x14ac:dyDescent="0.2">
      <c r="A433" s="1186" t="s">
        <v>671</v>
      </c>
      <c r="B433" s="1186" t="s">
        <v>13</v>
      </c>
      <c r="C433" s="1186" t="s">
        <v>1496</v>
      </c>
      <c r="D433" s="1186">
        <v>1</v>
      </c>
    </row>
    <row r="434" spans="1:4" x14ac:dyDescent="0.2">
      <c r="A434" s="1186" t="s">
        <v>671</v>
      </c>
      <c r="B434" s="1186" t="s">
        <v>13</v>
      </c>
      <c r="C434" s="1186" t="s">
        <v>1497</v>
      </c>
      <c r="D434" s="1186">
        <v>32</v>
      </c>
    </row>
    <row r="435" spans="1:4" x14ac:dyDescent="0.2">
      <c r="A435" s="1186" t="s">
        <v>671</v>
      </c>
      <c r="B435" s="1186" t="s">
        <v>13</v>
      </c>
      <c r="C435" s="1186" t="s">
        <v>1498</v>
      </c>
      <c r="D435" s="1186"/>
    </row>
    <row r="436" spans="1:4" x14ac:dyDescent="0.2">
      <c r="A436" s="1186" t="s">
        <v>671</v>
      </c>
      <c r="B436" s="1186" t="s">
        <v>13</v>
      </c>
      <c r="C436" s="1186" t="s">
        <v>1499</v>
      </c>
      <c r="D436" s="1186"/>
    </row>
    <row r="437" spans="1:4" x14ac:dyDescent="0.2">
      <c r="A437" s="1186" t="s">
        <v>671</v>
      </c>
      <c r="B437" s="1186" t="s">
        <v>13</v>
      </c>
      <c r="C437" s="1186" t="s">
        <v>1500</v>
      </c>
      <c r="D437" s="1186">
        <v>8</v>
      </c>
    </row>
    <row r="438" spans="1:4" x14ac:dyDescent="0.2">
      <c r="A438" s="1186" t="s">
        <v>671</v>
      </c>
      <c r="B438" s="1186" t="s">
        <v>13</v>
      </c>
      <c r="C438" s="1186" t="s">
        <v>1501</v>
      </c>
      <c r="D438" s="1186">
        <v>2</v>
      </c>
    </row>
    <row r="439" spans="1:4" x14ac:dyDescent="0.2">
      <c r="A439" s="1186" t="s">
        <v>671</v>
      </c>
      <c r="B439" s="1186" t="s">
        <v>13</v>
      </c>
      <c r="C439" s="1186" t="s">
        <v>1502</v>
      </c>
      <c r="D439" s="1186">
        <v>6</v>
      </c>
    </row>
    <row r="440" spans="1:4" x14ac:dyDescent="0.2">
      <c r="A440" s="1186" t="s">
        <v>671</v>
      </c>
      <c r="B440" s="1186" t="s">
        <v>13</v>
      </c>
      <c r="C440" s="1186" t="s">
        <v>1503</v>
      </c>
      <c r="D440" s="1186">
        <v>4</v>
      </c>
    </row>
    <row r="441" spans="1:4" x14ac:dyDescent="0.2">
      <c r="A441" s="1186" t="s">
        <v>671</v>
      </c>
      <c r="B441" s="1186" t="s">
        <v>13</v>
      </c>
      <c r="C441" s="1186" t="s">
        <v>1504</v>
      </c>
      <c r="D441" s="1186">
        <v>1</v>
      </c>
    </row>
    <row r="442" spans="1:4" x14ac:dyDescent="0.2">
      <c r="A442" s="1186" t="s">
        <v>671</v>
      </c>
      <c r="B442" s="1186" t="s">
        <v>13</v>
      </c>
      <c r="C442" s="1186" t="s">
        <v>1505</v>
      </c>
      <c r="D442" s="1186">
        <v>6</v>
      </c>
    </row>
    <row r="443" spans="1:4" x14ac:dyDescent="0.2">
      <c r="A443" s="1186" t="s">
        <v>671</v>
      </c>
      <c r="B443" s="1186" t="s">
        <v>13</v>
      </c>
      <c r="C443" s="1186" t="s">
        <v>1506</v>
      </c>
      <c r="D443" s="1186">
        <v>9</v>
      </c>
    </row>
    <row r="444" spans="1:4" x14ac:dyDescent="0.2">
      <c r="A444" s="1186" t="s">
        <v>671</v>
      </c>
      <c r="B444" s="1186" t="s">
        <v>13</v>
      </c>
      <c r="C444" s="1186" t="s">
        <v>1507</v>
      </c>
      <c r="D444" s="1186">
        <v>7</v>
      </c>
    </row>
    <row r="445" spans="1:4" x14ac:dyDescent="0.2">
      <c r="A445" s="1186" t="s">
        <v>671</v>
      </c>
      <c r="B445" s="1186" t="s">
        <v>13</v>
      </c>
      <c r="C445" s="1186" t="s">
        <v>1508</v>
      </c>
      <c r="D445" s="1186">
        <v>1</v>
      </c>
    </row>
    <row r="446" spans="1:4" x14ac:dyDescent="0.2">
      <c r="A446" s="1186" t="s">
        <v>671</v>
      </c>
      <c r="B446" s="1186" t="s">
        <v>13</v>
      </c>
      <c r="C446" s="1186" t="s">
        <v>1509</v>
      </c>
      <c r="D446" s="1186"/>
    </row>
    <row r="447" spans="1:4" x14ac:dyDescent="0.2">
      <c r="A447" s="1186" t="s">
        <v>671</v>
      </c>
      <c r="B447" s="1186" t="s">
        <v>13</v>
      </c>
      <c r="C447" s="1186" t="s">
        <v>1510</v>
      </c>
      <c r="D447" s="1186"/>
    </row>
    <row r="448" spans="1:4" x14ac:dyDescent="0.2">
      <c r="A448" s="1186" t="s">
        <v>671</v>
      </c>
      <c r="B448" s="1186" t="s">
        <v>13</v>
      </c>
      <c r="C448" s="1186" t="s">
        <v>1511</v>
      </c>
      <c r="D448" s="1186">
        <v>1</v>
      </c>
    </row>
    <row r="449" spans="1:4" x14ac:dyDescent="0.2">
      <c r="A449" s="1186" t="s">
        <v>671</v>
      </c>
      <c r="B449" s="1186" t="s">
        <v>13</v>
      </c>
      <c r="C449" s="1186" t="s">
        <v>1512</v>
      </c>
      <c r="D449" s="1186">
        <v>3</v>
      </c>
    </row>
    <row r="450" spans="1:4" x14ac:dyDescent="0.2">
      <c r="A450" s="1186" t="s">
        <v>671</v>
      </c>
      <c r="B450" s="1186" t="s">
        <v>13</v>
      </c>
      <c r="C450" s="1186" t="s">
        <v>1513</v>
      </c>
      <c r="D450" s="1186">
        <v>2</v>
      </c>
    </row>
    <row r="451" spans="1:4" x14ac:dyDescent="0.2">
      <c r="A451" s="1186" t="s">
        <v>671</v>
      </c>
      <c r="B451" s="1186" t="s">
        <v>13</v>
      </c>
      <c r="C451" s="1186" t="s">
        <v>1514</v>
      </c>
      <c r="D451" s="1186">
        <v>10</v>
      </c>
    </row>
    <row r="452" spans="1:4" x14ac:dyDescent="0.2">
      <c r="A452" s="1186" t="s">
        <v>671</v>
      </c>
      <c r="B452" s="1186" t="s">
        <v>13</v>
      </c>
      <c r="C452" s="1186" t="s">
        <v>1515</v>
      </c>
      <c r="D452" s="1186">
        <v>2</v>
      </c>
    </row>
    <row r="453" spans="1:4" x14ac:dyDescent="0.2">
      <c r="A453" s="1186" t="s">
        <v>671</v>
      </c>
      <c r="B453" s="1186" t="s">
        <v>13</v>
      </c>
      <c r="C453" s="1186" t="s">
        <v>1516</v>
      </c>
      <c r="D453" s="1186"/>
    </row>
    <row r="454" spans="1:4" x14ac:dyDescent="0.2">
      <c r="A454" s="1186" t="s">
        <v>671</v>
      </c>
      <c r="B454" s="1186" t="s">
        <v>15</v>
      </c>
      <c r="C454" s="1186" t="s">
        <v>1487</v>
      </c>
      <c r="D454" s="1186">
        <v>391</v>
      </c>
    </row>
    <row r="455" spans="1:4" x14ac:dyDescent="0.2">
      <c r="A455" s="1186" t="s">
        <v>671</v>
      </c>
      <c r="B455" s="1186" t="s">
        <v>15</v>
      </c>
      <c r="C455" s="1186" t="s">
        <v>1488</v>
      </c>
      <c r="D455" s="1186">
        <v>518</v>
      </c>
    </row>
    <row r="456" spans="1:4" x14ac:dyDescent="0.2">
      <c r="A456" s="1186" t="s">
        <v>671</v>
      </c>
      <c r="B456" s="1186" t="s">
        <v>15</v>
      </c>
      <c r="C456" s="1186" t="s">
        <v>1489</v>
      </c>
      <c r="D456" s="1186">
        <v>171</v>
      </c>
    </row>
    <row r="457" spans="1:4" x14ac:dyDescent="0.2">
      <c r="A457" s="1186" t="s">
        <v>671</v>
      </c>
      <c r="B457" s="1186" t="s">
        <v>15</v>
      </c>
      <c r="C457" s="1186" t="s">
        <v>1490</v>
      </c>
      <c r="D457" s="1186">
        <v>5</v>
      </c>
    </row>
    <row r="458" spans="1:4" x14ac:dyDescent="0.2">
      <c r="A458" s="1186" t="s">
        <v>671</v>
      </c>
      <c r="B458" s="1186" t="s">
        <v>15</v>
      </c>
      <c r="C458" s="1186" t="s">
        <v>1491</v>
      </c>
      <c r="D458" s="1186">
        <v>1</v>
      </c>
    </row>
    <row r="459" spans="1:4" x14ac:dyDescent="0.2">
      <c r="A459" s="1186" t="s">
        <v>671</v>
      </c>
      <c r="B459" s="1186" t="s">
        <v>15</v>
      </c>
      <c r="C459" s="1186" t="s">
        <v>1492</v>
      </c>
      <c r="D459" s="1186">
        <v>71</v>
      </c>
    </row>
    <row r="460" spans="1:4" x14ac:dyDescent="0.2">
      <c r="A460" s="1186" t="s">
        <v>671</v>
      </c>
      <c r="B460" s="1186" t="s">
        <v>15</v>
      </c>
      <c r="C460" s="1186" t="s">
        <v>1493</v>
      </c>
      <c r="D460" s="1186">
        <v>3</v>
      </c>
    </row>
    <row r="461" spans="1:4" x14ac:dyDescent="0.2">
      <c r="A461" s="1186" t="s">
        <v>671</v>
      </c>
      <c r="B461" s="1186" t="s">
        <v>15</v>
      </c>
      <c r="C461" s="1186" t="s">
        <v>1494</v>
      </c>
      <c r="D461" s="1186">
        <v>6</v>
      </c>
    </row>
    <row r="462" spans="1:4" x14ac:dyDescent="0.2">
      <c r="A462" s="1186" t="s">
        <v>671</v>
      </c>
      <c r="B462" s="1186" t="s">
        <v>15</v>
      </c>
      <c r="C462" s="1186" t="s">
        <v>1495</v>
      </c>
      <c r="D462" s="1186">
        <v>10</v>
      </c>
    </row>
    <row r="463" spans="1:4" x14ac:dyDescent="0.2">
      <c r="A463" s="1186" t="s">
        <v>671</v>
      </c>
      <c r="B463" s="1186" t="s">
        <v>15</v>
      </c>
      <c r="C463" s="1186" t="s">
        <v>1496</v>
      </c>
      <c r="D463" s="1186">
        <v>4</v>
      </c>
    </row>
    <row r="464" spans="1:4" x14ac:dyDescent="0.2">
      <c r="A464" s="1186" t="s">
        <v>671</v>
      </c>
      <c r="B464" s="1186" t="s">
        <v>15</v>
      </c>
      <c r="C464" s="1186" t="s">
        <v>1497</v>
      </c>
      <c r="D464" s="1186">
        <v>2</v>
      </c>
    </row>
    <row r="465" spans="1:4" x14ac:dyDescent="0.2">
      <c r="A465" s="1186" t="s">
        <v>671</v>
      </c>
      <c r="B465" s="1186" t="s">
        <v>15</v>
      </c>
      <c r="C465" s="1186" t="s">
        <v>1498</v>
      </c>
      <c r="D465" s="1186"/>
    </row>
    <row r="466" spans="1:4" x14ac:dyDescent="0.2">
      <c r="A466" s="1186" t="s">
        <v>671</v>
      </c>
      <c r="B466" s="1186" t="s">
        <v>15</v>
      </c>
      <c r="C466" s="1186" t="s">
        <v>1499</v>
      </c>
      <c r="D466" s="1186"/>
    </row>
    <row r="467" spans="1:4" x14ac:dyDescent="0.2">
      <c r="A467" s="1186" t="s">
        <v>671</v>
      </c>
      <c r="B467" s="1186" t="s">
        <v>15</v>
      </c>
      <c r="C467" s="1186" t="s">
        <v>1500</v>
      </c>
      <c r="D467" s="1186">
        <v>8</v>
      </c>
    </row>
    <row r="468" spans="1:4" x14ac:dyDescent="0.2">
      <c r="A468" s="1186" t="s">
        <v>671</v>
      </c>
      <c r="B468" s="1186" t="s">
        <v>15</v>
      </c>
      <c r="C468" s="1186" t="s">
        <v>1501</v>
      </c>
      <c r="D468" s="1186">
        <v>2</v>
      </c>
    </row>
    <row r="469" spans="1:4" x14ac:dyDescent="0.2">
      <c r="A469" s="1186" t="s">
        <v>671</v>
      </c>
      <c r="B469" s="1186" t="s">
        <v>15</v>
      </c>
      <c r="C469" s="1186" t="s">
        <v>1502</v>
      </c>
      <c r="D469" s="1186">
        <v>5</v>
      </c>
    </row>
    <row r="470" spans="1:4" x14ac:dyDescent="0.2">
      <c r="A470" s="1186" t="s">
        <v>671</v>
      </c>
      <c r="B470" s="1186" t="s">
        <v>15</v>
      </c>
      <c r="C470" s="1186" t="s">
        <v>1503</v>
      </c>
      <c r="D470" s="1186">
        <v>14</v>
      </c>
    </row>
    <row r="471" spans="1:4" x14ac:dyDescent="0.2">
      <c r="A471" s="1186" t="s">
        <v>671</v>
      </c>
      <c r="B471" s="1186" t="s">
        <v>15</v>
      </c>
      <c r="C471" s="1186" t="s">
        <v>1504</v>
      </c>
      <c r="D471" s="1186">
        <v>8</v>
      </c>
    </row>
    <row r="472" spans="1:4" x14ac:dyDescent="0.2">
      <c r="A472" s="1186" t="s">
        <v>671</v>
      </c>
      <c r="B472" s="1186" t="s">
        <v>15</v>
      </c>
      <c r="C472" s="1186" t="s">
        <v>1505</v>
      </c>
      <c r="D472" s="1186">
        <v>4</v>
      </c>
    </row>
    <row r="473" spans="1:4" x14ac:dyDescent="0.2">
      <c r="A473" s="1186" t="s">
        <v>671</v>
      </c>
      <c r="B473" s="1186" t="s">
        <v>15</v>
      </c>
      <c r="C473" s="1186" t="s">
        <v>1506</v>
      </c>
      <c r="D473" s="1186">
        <v>3</v>
      </c>
    </row>
    <row r="474" spans="1:4" x14ac:dyDescent="0.2">
      <c r="A474" s="1186" t="s">
        <v>671</v>
      </c>
      <c r="B474" s="1186" t="s">
        <v>15</v>
      </c>
      <c r="C474" s="1186" t="s">
        <v>1507</v>
      </c>
      <c r="D474" s="1186">
        <v>2</v>
      </c>
    </row>
    <row r="475" spans="1:4" x14ac:dyDescent="0.2">
      <c r="A475" s="1186" t="s">
        <v>671</v>
      </c>
      <c r="B475" s="1186" t="s">
        <v>15</v>
      </c>
      <c r="C475" s="1186" t="s">
        <v>1508</v>
      </c>
      <c r="D475" s="1186">
        <v>2</v>
      </c>
    </row>
    <row r="476" spans="1:4" x14ac:dyDescent="0.2">
      <c r="A476" s="1186" t="s">
        <v>671</v>
      </c>
      <c r="B476" s="1186" t="s">
        <v>15</v>
      </c>
      <c r="C476" s="1186" t="s">
        <v>1509</v>
      </c>
      <c r="D476" s="1186">
        <v>2</v>
      </c>
    </row>
    <row r="477" spans="1:4" x14ac:dyDescent="0.2">
      <c r="A477" s="1186" t="s">
        <v>671</v>
      </c>
      <c r="B477" s="1186" t="s">
        <v>15</v>
      </c>
      <c r="C477" s="1186" t="s">
        <v>1510</v>
      </c>
      <c r="D477" s="1186"/>
    </row>
    <row r="478" spans="1:4" x14ac:dyDescent="0.2">
      <c r="A478" s="1186" t="s">
        <v>671</v>
      </c>
      <c r="B478" s="1186" t="s">
        <v>15</v>
      </c>
      <c r="C478" s="1186" t="s">
        <v>1511</v>
      </c>
      <c r="D478" s="1186">
        <v>9</v>
      </c>
    </row>
    <row r="479" spans="1:4" x14ac:dyDescent="0.2">
      <c r="A479" s="1186" t="s">
        <v>671</v>
      </c>
      <c r="B479" s="1186" t="s">
        <v>15</v>
      </c>
      <c r="C479" s="1186" t="s">
        <v>1512</v>
      </c>
      <c r="D479" s="1186">
        <v>4</v>
      </c>
    </row>
    <row r="480" spans="1:4" x14ac:dyDescent="0.2">
      <c r="A480" s="1186" t="s">
        <v>671</v>
      </c>
      <c r="B480" s="1186" t="s">
        <v>15</v>
      </c>
      <c r="C480" s="1186" t="s">
        <v>1513</v>
      </c>
      <c r="D480" s="1186">
        <v>5</v>
      </c>
    </row>
    <row r="481" spans="1:4" x14ac:dyDescent="0.2">
      <c r="A481" s="1186" t="s">
        <v>671</v>
      </c>
      <c r="B481" s="1186" t="s">
        <v>15</v>
      </c>
      <c r="C481" s="1186" t="s">
        <v>1514</v>
      </c>
      <c r="D481" s="1186">
        <v>5</v>
      </c>
    </row>
    <row r="482" spans="1:4" x14ac:dyDescent="0.2">
      <c r="A482" s="1186" t="s">
        <v>671</v>
      </c>
      <c r="B482" s="1186" t="s">
        <v>15</v>
      </c>
      <c r="C482" s="1186" t="s">
        <v>1515</v>
      </c>
      <c r="D482" s="1186">
        <v>2</v>
      </c>
    </row>
    <row r="483" spans="1:4" x14ac:dyDescent="0.2">
      <c r="A483" s="1186" t="s">
        <v>671</v>
      </c>
      <c r="B483" s="1186" t="s">
        <v>15</v>
      </c>
      <c r="C483" s="1186" t="s">
        <v>1516</v>
      </c>
      <c r="D483" s="1186">
        <v>1</v>
      </c>
    </row>
    <row r="484" spans="1:4" x14ac:dyDescent="0.2">
      <c r="A484" s="1186" t="s">
        <v>671</v>
      </c>
      <c r="B484" s="1186" t="s">
        <v>17</v>
      </c>
      <c r="C484" s="1186" t="s">
        <v>1487</v>
      </c>
      <c r="D484" s="1186">
        <v>373</v>
      </c>
    </row>
    <row r="485" spans="1:4" x14ac:dyDescent="0.2">
      <c r="A485" s="1186" t="s">
        <v>671</v>
      </c>
      <c r="B485" s="1186" t="s">
        <v>17</v>
      </c>
      <c r="C485" s="1186" t="s">
        <v>1488</v>
      </c>
      <c r="D485" s="1186">
        <v>494</v>
      </c>
    </row>
    <row r="486" spans="1:4" x14ac:dyDescent="0.2">
      <c r="A486" s="1186" t="s">
        <v>671</v>
      </c>
      <c r="B486" s="1186" t="s">
        <v>17</v>
      </c>
      <c r="C486" s="1186" t="s">
        <v>1489</v>
      </c>
      <c r="D486" s="1186">
        <v>191</v>
      </c>
    </row>
    <row r="487" spans="1:4" x14ac:dyDescent="0.2">
      <c r="A487" s="1186" t="s">
        <v>671</v>
      </c>
      <c r="B487" s="1186" t="s">
        <v>17</v>
      </c>
      <c r="C487" s="1186" t="s">
        <v>1490</v>
      </c>
      <c r="D487" s="1186">
        <v>3</v>
      </c>
    </row>
    <row r="488" spans="1:4" x14ac:dyDescent="0.2">
      <c r="A488" s="1186" t="s">
        <v>671</v>
      </c>
      <c r="B488" s="1186" t="s">
        <v>17</v>
      </c>
      <c r="C488" s="1186" t="s">
        <v>1491</v>
      </c>
      <c r="D488" s="1186"/>
    </row>
    <row r="489" spans="1:4" x14ac:dyDescent="0.2">
      <c r="A489" s="1186" t="s">
        <v>671</v>
      </c>
      <c r="B489" s="1186" t="s">
        <v>17</v>
      </c>
      <c r="C489" s="1186" t="s">
        <v>1492</v>
      </c>
      <c r="D489" s="1186">
        <v>66</v>
      </c>
    </row>
    <row r="490" spans="1:4" x14ac:dyDescent="0.2">
      <c r="A490" s="1186" t="s">
        <v>671</v>
      </c>
      <c r="B490" s="1186" t="s">
        <v>17</v>
      </c>
      <c r="C490" s="1186" t="s">
        <v>1493</v>
      </c>
      <c r="D490" s="1186">
        <v>6</v>
      </c>
    </row>
    <row r="491" spans="1:4" x14ac:dyDescent="0.2">
      <c r="A491" s="1186" t="s">
        <v>671</v>
      </c>
      <c r="B491" s="1186" t="s">
        <v>17</v>
      </c>
      <c r="C491" s="1186" t="s">
        <v>1494</v>
      </c>
      <c r="D491" s="1186">
        <v>7</v>
      </c>
    </row>
    <row r="492" spans="1:4" x14ac:dyDescent="0.2">
      <c r="A492" s="1186" t="s">
        <v>671</v>
      </c>
      <c r="B492" s="1186" t="s">
        <v>17</v>
      </c>
      <c r="C492" s="1186" t="s">
        <v>1495</v>
      </c>
      <c r="D492" s="1186">
        <v>10</v>
      </c>
    </row>
    <row r="493" spans="1:4" x14ac:dyDescent="0.2">
      <c r="A493" s="1186" t="s">
        <v>671</v>
      </c>
      <c r="B493" s="1186" t="s">
        <v>17</v>
      </c>
      <c r="C493" s="1186" t="s">
        <v>1496</v>
      </c>
      <c r="D493" s="1186">
        <v>3</v>
      </c>
    </row>
    <row r="494" spans="1:4" x14ac:dyDescent="0.2">
      <c r="A494" s="1186" t="s">
        <v>671</v>
      </c>
      <c r="B494" s="1186" t="s">
        <v>17</v>
      </c>
      <c r="C494" s="1186" t="s">
        <v>1497</v>
      </c>
      <c r="D494" s="1186">
        <v>7</v>
      </c>
    </row>
    <row r="495" spans="1:4" x14ac:dyDescent="0.2">
      <c r="A495" s="1186" t="s">
        <v>671</v>
      </c>
      <c r="B495" s="1186" t="s">
        <v>17</v>
      </c>
      <c r="C495" s="1186" t="s">
        <v>1498</v>
      </c>
      <c r="D495" s="1186">
        <v>3</v>
      </c>
    </row>
    <row r="496" spans="1:4" x14ac:dyDescent="0.2">
      <c r="A496" s="1186" t="s">
        <v>671</v>
      </c>
      <c r="B496" s="1186" t="s">
        <v>17</v>
      </c>
      <c r="C496" s="1186" t="s">
        <v>1499</v>
      </c>
      <c r="D496" s="1186">
        <v>2</v>
      </c>
    </row>
    <row r="497" spans="1:4" x14ac:dyDescent="0.2">
      <c r="A497" s="1186" t="s">
        <v>671</v>
      </c>
      <c r="B497" s="1186" t="s">
        <v>17</v>
      </c>
      <c r="C497" s="1186" t="s">
        <v>1500</v>
      </c>
      <c r="D497" s="1186">
        <v>8</v>
      </c>
    </row>
    <row r="498" spans="1:4" x14ac:dyDescent="0.2">
      <c r="A498" s="1186" t="s">
        <v>671</v>
      </c>
      <c r="B498" s="1186" t="s">
        <v>17</v>
      </c>
      <c r="C498" s="1186" t="s">
        <v>1501</v>
      </c>
      <c r="D498" s="1186">
        <v>1</v>
      </c>
    </row>
    <row r="499" spans="1:4" x14ac:dyDescent="0.2">
      <c r="A499" s="1186" t="s">
        <v>671</v>
      </c>
      <c r="B499" s="1186" t="s">
        <v>17</v>
      </c>
      <c r="C499" s="1186" t="s">
        <v>1502</v>
      </c>
      <c r="D499" s="1186">
        <v>7</v>
      </c>
    </row>
    <row r="500" spans="1:4" x14ac:dyDescent="0.2">
      <c r="A500" s="1186" t="s">
        <v>671</v>
      </c>
      <c r="B500" s="1186" t="s">
        <v>17</v>
      </c>
      <c r="C500" s="1186" t="s">
        <v>1503</v>
      </c>
      <c r="D500" s="1186">
        <v>4</v>
      </c>
    </row>
    <row r="501" spans="1:4" x14ac:dyDescent="0.2">
      <c r="A501" s="1186" t="s">
        <v>671</v>
      </c>
      <c r="B501" s="1186" t="s">
        <v>17</v>
      </c>
      <c r="C501" s="1186" t="s">
        <v>1504</v>
      </c>
      <c r="D501" s="1186"/>
    </row>
    <row r="502" spans="1:4" x14ac:dyDescent="0.2">
      <c r="A502" s="1186" t="s">
        <v>671</v>
      </c>
      <c r="B502" s="1186" t="s">
        <v>17</v>
      </c>
      <c r="C502" s="1186" t="s">
        <v>1505</v>
      </c>
      <c r="D502" s="1186">
        <v>6</v>
      </c>
    </row>
    <row r="503" spans="1:4" x14ac:dyDescent="0.2">
      <c r="A503" s="1186" t="s">
        <v>671</v>
      </c>
      <c r="B503" s="1186" t="s">
        <v>17</v>
      </c>
      <c r="C503" s="1186" t="s">
        <v>1506</v>
      </c>
      <c r="D503" s="1186">
        <v>5</v>
      </c>
    </row>
    <row r="504" spans="1:4" x14ac:dyDescent="0.2">
      <c r="A504" s="1186" t="s">
        <v>671</v>
      </c>
      <c r="B504" s="1186" t="s">
        <v>17</v>
      </c>
      <c r="C504" s="1186" t="s">
        <v>1507</v>
      </c>
      <c r="D504" s="1186">
        <v>4</v>
      </c>
    </row>
    <row r="505" spans="1:4" x14ac:dyDescent="0.2">
      <c r="A505" s="1186" t="s">
        <v>671</v>
      </c>
      <c r="B505" s="1186" t="s">
        <v>17</v>
      </c>
      <c r="C505" s="1186" t="s">
        <v>1508</v>
      </c>
      <c r="D505" s="1186">
        <v>4</v>
      </c>
    </row>
    <row r="506" spans="1:4" x14ac:dyDescent="0.2">
      <c r="A506" s="1186" t="s">
        <v>671</v>
      </c>
      <c r="B506" s="1186" t="s">
        <v>17</v>
      </c>
      <c r="C506" s="1186" t="s">
        <v>1509</v>
      </c>
      <c r="D506" s="1186">
        <v>4</v>
      </c>
    </row>
    <row r="507" spans="1:4" x14ac:dyDescent="0.2">
      <c r="A507" s="1186" t="s">
        <v>671</v>
      </c>
      <c r="B507" s="1186" t="s">
        <v>17</v>
      </c>
      <c r="C507" s="1186" t="s">
        <v>1510</v>
      </c>
      <c r="D507" s="1186">
        <v>1</v>
      </c>
    </row>
    <row r="508" spans="1:4" x14ac:dyDescent="0.2">
      <c r="A508" s="1186" t="s">
        <v>671</v>
      </c>
      <c r="B508" s="1186" t="s">
        <v>17</v>
      </c>
      <c r="C508" s="1186" t="s">
        <v>1511</v>
      </c>
      <c r="D508" s="1186">
        <v>3</v>
      </c>
    </row>
    <row r="509" spans="1:4" x14ac:dyDescent="0.2">
      <c r="A509" s="1186" t="s">
        <v>671</v>
      </c>
      <c r="B509" s="1186" t="s">
        <v>17</v>
      </c>
      <c r="C509" s="1186" t="s">
        <v>1512</v>
      </c>
      <c r="D509" s="1186">
        <v>5</v>
      </c>
    </row>
    <row r="510" spans="1:4" x14ac:dyDescent="0.2">
      <c r="A510" s="1186" t="s">
        <v>671</v>
      </c>
      <c r="B510" s="1186" t="s">
        <v>17</v>
      </c>
      <c r="C510" s="1186" t="s">
        <v>1513</v>
      </c>
      <c r="D510" s="1186">
        <v>3</v>
      </c>
    </row>
    <row r="511" spans="1:4" x14ac:dyDescent="0.2">
      <c r="A511" s="1186" t="s">
        <v>671</v>
      </c>
      <c r="B511" s="1186" t="s">
        <v>17</v>
      </c>
      <c r="C511" s="1186" t="s">
        <v>1514</v>
      </c>
      <c r="D511" s="1186">
        <v>5</v>
      </c>
    </row>
    <row r="512" spans="1:4" x14ac:dyDescent="0.2">
      <c r="A512" s="1186" t="s">
        <v>671</v>
      </c>
      <c r="B512" s="1186" t="s">
        <v>17</v>
      </c>
      <c r="C512" s="1186" t="s">
        <v>1515</v>
      </c>
      <c r="D512" s="1186"/>
    </row>
    <row r="513" spans="1:4" x14ac:dyDescent="0.2">
      <c r="A513" s="1186" t="s">
        <v>671</v>
      </c>
      <c r="B513" s="1186" t="s">
        <v>17</v>
      </c>
      <c r="C513" s="1186" t="s">
        <v>1516</v>
      </c>
      <c r="D513" s="1186">
        <v>1</v>
      </c>
    </row>
    <row r="514" spans="1:4" x14ac:dyDescent="0.2">
      <c r="A514" s="1186" t="s">
        <v>671</v>
      </c>
      <c r="B514" s="1186" t="s">
        <v>133</v>
      </c>
      <c r="C514" s="1186" t="s">
        <v>1487</v>
      </c>
      <c r="D514" s="1186">
        <v>324</v>
      </c>
    </row>
    <row r="515" spans="1:4" x14ac:dyDescent="0.2">
      <c r="A515" s="1186" t="s">
        <v>671</v>
      </c>
      <c r="B515" s="1186" t="s">
        <v>133</v>
      </c>
      <c r="C515" s="1186" t="s">
        <v>1488</v>
      </c>
      <c r="D515" s="1186">
        <v>416</v>
      </c>
    </row>
    <row r="516" spans="1:4" x14ac:dyDescent="0.2">
      <c r="A516" s="1186" t="s">
        <v>671</v>
      </c>
      <c r="B516" s="1186" t="s">
        <v>133</v>
      </c>
      <c r="C516" s="1186" t="s">
        <v>1489</v>
      </c>
      <c r="D516" s="1186">
        <v>125</v>
      </c>
    </row>
    <row r="517" spans="1:4" x14ac:dyDescent="0.2">
      <c r="A517" s="1186" t="s">
        <v>671</v>
      </c>
      <c r="B517" s="1186" t="s">
        <v>133</v>
      </c>
      <c r="C517" s="1186" t="s">
        <v>1490</v>
      </c>
      <c r="D517" s="1186">
        <v>9</v>
      </c>
    </row>
    <row r="518" spans="1:4" x14ac:dyDescent="0.2">
      <c r="A518" s="1186" t="s">
        <v>671</v>
      </c>
      <c r="B518" s="1186" t="s">
        <v>133</v>
      </c>
      <c r="C518" s="1186" t="s">
        <v>1491</v>
      </c>
      <c r="D518" s="1186"/>
    </row>
    <row r="519" spans="1:4" x14ac:dyDescent="0.2">
      <c r="A519" s="1186" t="s">
        <v>671</v>
      </c>
      <c r="B519" s="1186" t="s">
        <v>133</v>
      </c>
      <c r="C519" s="1186" t="s">
        <v>1492</v>
      </c>
      <c r="D519" s="1186">
        <v>67</v>
      </c>
    </row>
    <row r="520" spans="1:4" x14ac:dyDescent="0.2">
      <c r="A520" s="1186" t="s">
        <v>671</v>
      </c>
      <c r="B520" s="1186" t="s">
        <v>133</v>
      </c>
      <c r="C520" s="1186" t="s">
        <v>1493</v>
      </c>
      <c r="D520" s="1186">
        <v>2</v>
      </c>
    </row>
    <row r="521" spans="1:4" x14ac:dyDescent="0.2">
      <c r="A521" s="1186" t="s">
        <v>671</v>
      </c>
      <c r="B521" s="1186" t="s">
        <v>133</v>
      </c>
      <c r="C521" s="1186" t="s">
        <v>1494</v>
      </c>
      <c r="D521" s="1186">
        <v>4</v>
      </c>
    </row>
    <row r="522" spans="1:4" x14ac:dyDescent="0.2">
      <c r="A522" s="1186" t="s">
        <v>671</v>
      </c>
      <c r="B522" s="1186" t="s">
        <v>133</v>
      </c>
      <c r="C522" s="1186" t="s">
        <v>1495</v>
      </c>
      <c r="D522" s="1186">
        <v>9</v>
      </c>
    </row>
    <row r="523" spans="1:4" x14ac:dyDescent="0.2">
      <c r="A523" s="1186" t="s">
        <v>671</v>
      </c>
      <c r="B523" s="1186" t="s">
        <v>133</v>
      </c>
      <c r="C523" s="1186" t="s">
        <v>1496</v>
      </c>
      <c r="D523" s="1186">
        <v>7</v>
      </c>
    </row>
    <row r="524" spans="1:4" x14ac:dyDescent="0.2">
      <c r="A524" s="1186" t="s">
        <v>671</v>
      </c>
      <c r="B524" s="1186" t="s">
        <v>133</v>
      </c>
      <c r="C524" s="1186" t="s">
        <v>1497</v>
      </c>
      <c r="D524" s="1186">
        <v>13</v>
      </c>
    </row>
    <row r="525" spans="1:4" x14ac:dyDescent="0.2">
      <c r="A525" s="1186" t="s">
        <v>671</v>
      </c>
      <c r="B525" s="1186" t="s">
        <v>133</v>
      </c>
      <c r="C525" s="1186" t="s">
        <v>1498</v>
      </c>
      <c r="D525" s="1186"/>
    </row>
    <row r="526" spans="1:4" x14ac:dyDescent="0.2">
      <c r="A526" s="1186" t="s">
        <v>671</v>
      </c>
      <c r="B526" s="1186" t="s">
        <v>133</v>
      </c>
      <c r="C526" s="1186" t="s">
        <v>1499</v>
      </c>
      <c r="D526" s="1186">
        <v>1</v>
      </c>
    </row>
    <row r="527" spans="1:4" x14ac:dyDescent="0.2">
      <c r="A527" s="1186" t="s">
        <v>671</v>
      </c>
      <c r="B527" s="1186" t="s">
        <v>133</v>
      </c>
      <c r="C527" s="1186" t="s">
        <v>1500</v>
      </c>
      <c r="D527" s="1186">
        <v>9</v>
      </c>
    </row>
    <row r="528" spans="1:4" x14ac:dyDescent="0.2">
      <c r="A528" s="1186" t="s">
        <v>671</v>
      </c>
      <c r="B528" s="1186" t="s">
        <v>133</v>
      </c>
      <c r="C528" s="1186" t="s">
        <v>1501</v>
      </c>
      <c r="D528" s="1186">
        <v>3</v>
      </c>
    </row>
    <row r="529" spans="1:4" x14ac:dyDescent="0.2">
      <c r="A529" s="1186" t="s">
        <v>671</v>
      </c>
      <c r="B529" s="1186" t="s">
        <v>133</v>
      </c>
      <c r="C529" s="1186" t="s">
        <v>1502</v>
      </c>
      <c r="D529" s="1186">
        <v>3</v>
      </c>
    </row>
    <row r="530" spans="1:4" x14ac:dyDescent="0.2">
      <c r="A530" s="1186" t="s">
        <v>671</v>
      </c>
      <c r="B530" s="1186" t="s">
        <v>133</v>
      </c>
      <c r="C530" s="1186" t="s">
        <v>1503</v>
      </c>
      <c r="D530" s="1186">
        <v>6</v>
      </c>
    </row>
    <row r="531" spans="1:4" x14ac:dyDescent="0.2">
      <c r="A531" s="1186" t="s">
        <v>671</v>
      </c>
      <c r="B531" s="1186" t="s">
        <v>133</v>
      </c>
      <c r="C531" s="1186" t="s">
        <v>1504</v>
      </c>
      <c r="D531" s="1186"/>
    </row>
    <row r="532" spans="1:4" x14ac:dyDescent="0.2">
      <c r="A532" s="1186" t="s">
        <v>671</v>
      </c>
      <c r="B532" s="1186" t="s">
        <v>133</v>
      </c>
      <c r="C532" s="1186" t="s">
        <v>1505</v>
      </c>
      <c r="D532" s="1186">
        <v>7</v>
      </c>
    </row>
    <row r="533" spans="1:4" x14ac:dyDescent="0.2">
      <c r="A533" s="1186" t="s">
        <v>671</v>
      </c>
      <c r="B533" s="1186" t="s">
        <v>133</v>
      </c>
      <c r="C533" s="1186" t="s">
        <v>1506</v>
      </c>
      <c r="D533" s="1186">
        <v>5</v>
      </c>
    </row>
    <row r="534" spans="1:4" x14ac:dyDescent="0.2">
      <c r="A534" s="1186" t="s">
        <v>671</v>
      </c>
      <c r="B534" s="1186" t="s">
        <v>133</v>
      </c>
      <c r="C534" s="1186" t="s">
        <v>1507</v>
      </c>
      <c r="D534" s="1186">
        <v>3</v>
      </c>
    </row>
    <row r="535" spans="1:4" x14ac:dyDescent="0.2">
      <c r="A535" s="1186" t="s">
        <v>671</v>
      </c>
      <c r="B535" s="1186" t="s">
        <v>133</v>
      </c>
      <c r="C535" s="1186" t="s">
        <v>1508</v>
      </c>
      <c r="D535" s="1186">
        <v>9</v>
      </c>
    </row>
    <row r="536" spans="1:4" x14ac:dyDescent="0.2">
      <c r="A536" s="1186" t="s">
        <v>671</v>
      </c>
      <c r="B536" s="1186" t="s">
        <v>133</v>
      </c>
      <c r="C536" s="1186" t="s">
        <v>1509</v>
      </c>
      <c r="D536" s="1186">
        <v>1</v>
      </c>
    </row>
    <row r="537" spans="1:4" x14ac:dyDescent="0.2">
      <c r="A537" s="1186" t="s">
        <v>671</v>
      </c>
      <c r="B537" s="1186" t="s">
        <v>133</v>
      </c>
      <c r="C537" s="1186" t="s">
        <v>1510</v>
      </c>
      <c r="D537" s="1186"/>
    </row>
    <row r="538" spans="1:4" x14ac:dyDescent="0.2">
      <c r="A538" s="1186" t="s">
        <v>671</v>
      </c>
      <c r="B538" s="1186" t="s">
        <v>133</v>
      </c>
      <c r="C538" s="1186" t="s">
        <v>1511</v>
      </c>
      <c r="D538" s="1186">
        <v>6</v>
      </c>
    </row>
    <row r="539" spans="1:4" x14ac:dyDescent="0.2">
      <c r="A539" s="1186" t="s">
        <v>671</v>
      </c>
      <c r="B539" s="1186" t="s">
        <v>133</v>
      </c>
      <c r="C539" s="1186" t="s">
        <v>1512</v>
      </c>
      <c r="D539" s="1186">
        <v>2</v>
      </c>
    </row>
    <row r="540" spans="1:4" x14ac:dyDescent="0.2">
      <c r="A540" s="1186" t="s">
        <v>671</v>
      </c>
      <c r="B540" s="1186" t="s">
        <v>133</v>
      </c>
      <c r="C540" s="1186" t="s">
        <v>1513</v>
      </c>
      <c r="D540" s="1186">
        <v>1</v>
      </c>
    </row>
    <row r="541" spans="1:4" x14ac:dyDescent="0.2">
      <c r="A541" s="1186" t="s">
        <v>671</v>
      </c>
      <c r="B541" s="1186" t="s">
        <v>133</v>
      </c>
      <c r="C541" s="1186" t="s">
        <v>1514</v>
      </c>
      <c r="D541" s="1186">
        <v>3</v>
      </c>
    </row>
    <row r="542" spans="1:4" x14ac:dyDescent="0.2">
      <c r="A542" s="1186" t="s">
        <v>671</v>
      </c>
      <c r="B542" s="1186" t="s">
        <v>133</v>
      </c>
      <c r="C542" s="1186" t="s">
        <v>1515</v>
      </c>
      <c r="D542" s="1186">
        <v>3</v>
      </c>
    </row>
    <row r="543" spans="1:4" x14ac:dyDescent="0.2">
      <c r="A543" s="1186" t="s">
        <v>671</v>
      </c>
      <c r="B543" s="1186" t="s">
        <v>133</v>
      </c>
      <c r="C543" s="1186" t="s">
        <v>1516</v>
      </c>
      <c r="D543" s="1186"/>
    </row>
    <row r="544" spans="1:4" x14ac:dyDescent="0.2">
      <c r="A544" s="1186" t="s">
        <v>671</v>
      </c>
      <c r="B544" s="1186" t="s">
        <v>144</v>
      </c>
      <c r="C544" s="1186" t="s">
        <v>1487</v>
      </c>
      <c r="D544" s="1186">
        <v>352</v>
      </c>
    </row>
    <row r="545" spans="1:4" x14ac:dyDescent="0.2">
      <c r="A545" s="1186" t="s">
        <v>671</v>
      </c>
      <c r="B545" s="1186" t="s">
        <v>144</v>
      </c>
      <c r="C545" s="1186" t="s">
        <v>1488</v>
      </c>
      <c r="D545" s="1186">
        <v>456</v>
      </c>
    </row>
    <row r="546" spans="1:4" x14ac:dyDescent="0.2">
      <c r="A546" s="1186" t="s">
        <v>671</v>
      </c>
      <c r="B546" s="1186" t="s">
        <v>144</v>
      </c>
      <c r="C546" s="1186" t="s">
        <v>1489</v>
      </c>
      <c r="D546" s="1186">
        <v>186</v>
      </c>
    </row>
    <row r="547" spans="1:4" x14ac:dyDescent="0.2">
      <c r="A547" s="1186" t="s">
        <v>671</v>
      </c>
      <c r="B547" s="1186" t="s">
        <v>144</v>
      </c>
      <c r="C547" s="1186" t="s">
        <v>1490</v>
      </c>
      <c r="D547" s="1186">
        <v>2</v>
      </c>
    </row>
    <row r="548" spans="1:4" x14ac:dyDescent="0.2">
      <c r="A548" s="1186" t="s">
        <v>671</v>
      </c>
      <c r="B548" s="1186" t="s">
        <v>144</v>
      </c>
      <c r="C548" s="1186" t="s">
        <v>1491</v>
      </c>
      <c r="D548" s="1186"/>
    </row>
    <row r="549" spans="1:4" x14ac:dyDescent="0.2">
      <c r="A549" s="1186" t="s">
        <v>671</v>
      </c>
      <c r="B549" s="1186" t="s">
        <v>144</v>
      </c>
      <c r="C549" s="1186" t="s">
        <v>1492</v>
      </c>
      <c r="D549" s="1186">
        <v>62</v>
      </c>
    </row>
    <row r="550" spans="1:4" x14ac:dyDescent="0.2">
      <c r="A550" s="1186" t="s">
        <v>671</v>
      </c>
      <c r="B550" s="1186" t="s">
        <v>144</v>
      </c>
      <c r="C550" s="1186" t="s">
        <v>1493</v>
      </c>
      <c r="D550" s="1186">
        <v>2</v>
      </c>
    </row>
    <row r="551" spans="1:4" x14ac:dyDescent="0.2">
      <c r="A551" s="1186" t="s">
        <v>671</v>
      </c>
      <c r="B551" s="1186" t="s">
        <v>144</v>
      </c>
      <c r="C551" s="1186" t="s">
        <v>1494</v>
      </c>
      <c r="D551" s="1186">
        <v>3</v>
      </c>
    </row>
    <row r="552" spans="1:4" x14ac:dyDescent="0.2">
      <c r="A552" s="1186" t="s">
        <v>671</v>
      </c>
      <c r="B552" s="1186" t="s">
        <v>144</v>
      </c>
      <c r="C552" s="1186" t="s">
        <v>1495</v>
      </c>
      <c r="D552" s="1186">
        <v>11</v>
      </c>
    </row>
    <row r="553" spans="1:4" x14ac:dyDescent="0.2">
      <c r="A553" s="1186" t="s">
        <v>671</v>
      </c>
      <c r="B553" s="1186" t="s">
        <v>144</v>
      </c>
      <c r="C553" s="1186" t="s">
        <v>1496</v>
      </c>
      <c r="D553" s="1186">
        <v>9</v>
      </c>
    </row>
    <row r="554" spans="1:4" x14ac:dyDescent="0.2">
      <c r="A554" s="1186" t="s">
        <v>671</v>
      </c>
      <c r="B554" s="1186" t="s">
        <v>144</v>
      </c>
      <c r="C554" s="1186" t="s">
        <v>1497</v>
      </c>
      <c r="D554" s="1186">
        <v>9</v>
      </c>
    </row>
    <row r="555" spans="1:4" x14ac:dyDescent="0.2">
      <c r="A555" s="1186" t="s">
        <v>671</v>
      </c>
      <c r="B555" s="1186" t="s">
        <v>144</v>
      </c>
      <c r="C555" s="1186" t="s">
        <v>1498</v>
      </c>
      <c r="D555" s="1186"/>
    </row>
    <row r="556" spans="1:4" x14ac:dyDescent="0.2">
      <c r="A556" s="1186" t="s">
        <v>671</v>
      </c>
      <c r="B556" s="1186" t="s">
        <v>144</v>
      </c>
      <c r="C556" s="1186" t="s">
        <v>1499</v>
      </c>
      <c r="D556" s="1186">
        <v>2</v>
      </c>
    </row>
    <row r="557" spans="1:4" x14ac:dyDescent="0.2">
      <c r="A557" s="1186" t="s">
        <v>671</v>
      </c>
      <c r="B557" s="1186" t="s">
        <v>144</v>
      </c>
      <c r="C557" s="1186" t="s">
        <v>1500</v>
      </c>
      <c r="D557" s="1186">
        <v>15</v>
      </c>
    </row>
    <row r="558" spans="1:4" x14ac:dyDescent="0.2">
      <c r="A558" s="1186" t="s">
        <v>671</v>
      </c>
      <c r="B558" s="1186" t="s">
        <v>144</v>
      </c>
      <c r="C558" s="1186" t="s">
        <v>1501</v>
      </c>
      <c r="D558" s="1186">
        <v>2</v>
      </c>
    </row>
    <row r="559" spans="1:4" x14ac:dyDescent="0.2">
      <c r="A559" s="1186" t="s">
        <v>671</v>
      </c>
      <c r="B559" s="1186" t="s">
        <v>144</v>
      </c>
      <c r="C559" s="1186" t="s">
        <v>1502</v>
      </c>
      <c r="D559" s="1186">
        <v>11</v>
      </c>
    </row>
    <row r="560" spans="1:4" x14ac:dyDescent="0.2">
      <c r="A560" s="1186" t="s">
        <v>671</v>
      </c>
      <c r="B560" s="1186" t="s">
        <v>144</v>
      </c>
      <c r="C560" s="1186" t="s">
        <v>1503</v>
      </c>
      <c r="D560" s="1186">
        <v>5</v>
      </c>
    </row>
    <row r="561" spans="1:4" x14ac:dyDescent="0.2">
      <c r="A561" s="1186" t="s">
        <v>671</v>
      </c>
      <c r="B561" s="1186" t="s">
        <v>144</v>
      </c>
      <c r="C561" s="1186" t="s">
        <v>1504</v>
      </c>
      <c r="D561" s="1186">
        <v>3</v>
      </c>
    </row>
    <row r="562" spans="1:4" x14ac:dyDescent="0.2">
      <c r="A562" s="1186" t="s">
        <v>671</v>
      </c>
      <c r="B562" s="1186" t="s">
        <v>144</v>
      </c>
      <c r="C562" s="1186" t="s">
        <v>1505</v>
      </c>
      <c r="D562" s="1186">
        <v>3</v>
      </c>
    </row>
    <row r="563" spans="1:4" x14ac:dyDescent="0.2">
      <c r="A563" s="1186" t="s">
        <v>671</v>
      </c>
      <c r="B563" s="1186" t="s">
        <v>144</v>
      </c>
      <c r="C563" s="1186" t="s">
        <v>1506</v>
      </c>
      <c r="D563" s="1186">
        <v>6</v>
      </c>
    </row>
    <row r="564" spans="1:4" x14ac:dyDescent="0.2">
      <c r="A564" s="1186" t="s">
        <v>671</v>
      </c>
      <c r="B564" s="1186" t="s">
        <v>144</v>
      </c>
      <c r="C564" s="1186" t="s">
        <v>1507</v>
      </c>
      <c r="D564" s="1186">
        <v>7</v>
      </c>
    </row>
    <row r="565" spans="1:4" x14ac:dyDescent="0.2">
      <c r="A565" s="1186" t="s">
        <v>671</v>
      </c>
      <c r="B565" s="1186" t="s">
        <v>144</v>
      </c>
      <c r="C565" s="1186" t="s">
        <v>1508</v>
      </c>
      <c r="D565" s="1186">
        <v>8</v>
      </c>
    </row>
    <row r="566" spans="1:4" x14ac:dyDescent="0.2">
      <c r="A566" s="1186" t="s">
        <v>671</v>
      </c>
      <c r="B566" s="1186" t="s">
        <v>144</v>
      </c>
      <c r="C566" s="1186" t="s">
        <v>1509</v>
      </c>
      <c r="D566" s="1186">
        <v>2</v>
      </c>
    </row>
    <row r="567" spans="1:4" x14ac:dyDescent="0.2">
      <c r="A567" s="1186" t="s">
        <v>671</v>
      </c>
      <c r="B567" s="1186" t="s">
        <v>144</v>
      </c>
      <c r="C567" s="1186" t="s">
        <v>1510</v>
      </c>
      <c r="D567" s="1186"/>
    </row>
    <row r="568" spans="1:4" x14ac:dyDescent="0.2">
      <c r="A568" s="1186" t="s">
        <v>671</v>
      </c>
      <c r="B568" s="1186" t="s">
        <v>144</v>
      </c>
      <c r="C568" s="1186" t="s">
        <v>1511</v>
      </c>
      <c r="D568" s="1186">
        <v>15</v>
      </c>
    </row>
    <row r="569" spans="1:4" x14ac:dyDescent="0.2">
      <c r="A569" s="1186" t="s">
        <v>671</v>
      </c>
      <c r="B569" s="1186" t="s">
        <v>144</v>
      </c>
      <c r="C569" s="1186" t="s">
        <v>1512</v>
      </c>
      <c r="D569" s="1186">
        <v>3</v>
      </c>
    </row>
    <row r="570" spans="1:4" x14ac:dyDescent="0.2">
      <c r="A570" s="1186" t="s">
        <v>671</v>
      </c>
      <c r="B570" s="1186" t="s">
        <v>144</v>
      </c>
      <c r="C570" s="1186" t="s">
        <v>1513</v>
      </c>
      <c r="D570" s="1186">
        <v>1</v>
      </c>
    </row>
    <row r="571" spans="1:4" x14ac:dyDescent="0.2">
      <c r="A571" s="1186" t="s">
        <v>671</v>
      </c>
      <c r="B571" s="1186" t="s">
        <v>144</v>
      </c>
      <c r="C571" s="1186" t="s">
        <v>1514</v>
      </c>
      <c r="D571" s="1186">
        <v>5</v>
      </c>
    </row>
    <row r="572" spans="1:4" x14ac:dyDescent="0.2">
      <c r="A572" s="1186" t="s">
        <v>671</v>
      </c>
      <c r="B572" s="1186" t="s">
        <v>144</v>
      </c>
      <c r="C572" s="1186" t="s">
        <v>1515</v>
      </c>
      <c r="D572" s="1186"/>
    </row>
    <row r="573" spans="1:4" x14ac:dyDescent="0.2">
      <c r="A573" s="1186" t="s">
        <v>671</v>
      </c>
      <c r="B573" s="1186" t="s">
        <v>144</v>
      </c>
      <c r="C573" s="1186" t="s">
        <v>1516</v>
      </c>
      <c r="D573" s="1186"/>
    </row>
    <row r="574" spans="1:4" x14ac:dyDescent="0.2">
      <c r="A574" s="1186" t="s">
        <v>671</v>
      </c>
      <c r="B574" s="1186" t="s">
        <v>282</v>
      </c>
      <c r="C574" s="1186" t="s">
        <v>1487</v>
      </c>
      <c r="D574" s="1186">
        <v>356</v>
      </c>
    </row>
    <row r="575" spans="1:4" x14ac:dyDescent="0.2">
      <c r="A575" s="1186" t="s">
        <v>671</v>
      </c>
      <c r="B575" s="1186" t="s">
        <v>282</v>
      </c>
      <c r="C575" s="1186" t="s">
        <v>1488</v>
      </c>
      <c r="D575" s="1186">
        <v>508</v>
      </c>
    </row>
    <row r="576" spans="1:4" x14ac:dyDescent="0.2">
      <c r="A576" s="1186" t="s">
        <v>671</v>
      </c>
      <c r="B576" s="1186" t="s">
        <v>282</v>
      </c>
      <c r="C576" s="1186" t="s">
        <v>1489</v>
      </c>
      <c r="D576" s="1186">
        <v>179</v>
      </c>
    </row>
    <row r="577" spans="1:4" x14ac:dyDescent="0.2">
      <c r="A577" s="1186" t="s">
        <v>671</v>
      </c>
      <c r="B577" s="1186" t="s">
        <v>282</v>
      </c>
      <c r="C577" s="1186" t="s">
        <v>1490</v>
      </c>
      <c r="D577" s="1186">
        <v>9</v>
      </c>
    </row>
    <row r="578" spans="1:4" x14ac:dyDescent="0.2">
      <c r="A578" s="1186" t="s">
        <v>671</v>
      </c>
      <c r="B578" s="1186" t="s">
        <v>282</v>
      </c>
      <c r="C578" s="1186" t="s">
        <v>1492</v>
      </c>
      <c r="D578" s="1186">
        <v>61</v>
      </c>
    </row>
    <row r="579" spans="1:4" x14ac:dyDescent="0.2">
      <c r="A579" s="1186" t="s">
        <v>671</v>
      </c>
      <c r="B579" s="1186" t="s">
        <v>282</v>
      </c>
      <c r="C579" s="1186" t="s">
        <v>1493</v>
      </c>
      <c r="D579" s="1186">
        <v>2</v>
      </c>
    </row>
    <row r="580" spans="1:4" x14ac:dyDescent="0.2">
      <c r="A580" s="1186" t="s">
        <v>671</v>
      </c>
      <c r="B580" s="1186" t="s">
        <v>282</v>
      </c>
      <c r="C580" s="1186" t="s">
        <v>1494</v>
      </c>
      <c r="D580" s="1186"/>
    </row>
    <row r="581" spans="1:4" x14ac:dyDescent="0.2">
      <c r="A581" s="1186" t="s">
        <v>671</v>
      </c>
      <c r="B581" s="1186" t="s">
        <v>282</v>
      </c>
      <c r="C581" s="1186" t="s">
        <v>1495</v>
      </c>
      <c r="D581" s="1186">
        <v>3</v>
      </c>
    </row>
    <row r="582" spans="1:4" x14ac:dyDescent="0.2">
      <c r="A582" s="1186" t="s">
        <v>671</v>
      </c>
      <c r="B582" s="1186" t="s">
        <v>282</v>
      </c>
      <c r="C582" s="1186" t="s">
        <v>1496</v>
      </c>
      <c r="D582" s="1186">
        <v>5</v>
      </c>
    </row>
    <row r="583" spans="1:4" x14ac:dyDescent="0.2">
      <c r="A583" s="1186" t="s">
        <v>671</v>
      </c>
      <c r="B583" s="1186" t="s">
        <v>282</v>
      </c>
      <c r="C583" s="1186" t="s">
        <v>1497</v>
      </c>
      <c r="D583" s="1186">
        <v>13</v>
      </c>
    </row>
    <row r="584" spans="1:4" x14ac:dyDescent="0.2">
      <c r="A584" s="1186" t="s">
        <v>671</v>
      </c>
      <c r="B584" s="1186" t="s">
        <v>282</v>
      </c>
      <c r="C584" s="1186" t="s">
        <v>1498</v>
      </c>
      <c r="D584" s="1186"/>
    </row>
    <row r="585" spans="1:4" x14ac:dyDescent="0.2">
      <c r="A585" s="1186" t="s">
        <v>671</v>
      </c>
      <c r="B585" s="1186" t="s">
        <v>282</v>
      </c>
      <c r="C585" s="1186" t="s">
        <v>1499</v>
      </c>
      <c r="D585" s="1186"/>
    </row>
    <row r="586" spans="1:4" x14ac:dyDescent="0.2">
      <c r="A586" s="1186" t="s">
        <v>671</v>
      </c>
      <c r="B586" s="1186" t="s">
        <v>282</v>
      </c>
      <c r="C586" s="1186" t="s">
        <v>1500</v>
      </c>
      <c r="D586" s="1186">
        <v>8</v>
      </c>
    </row>
    <row r="587" spans="1:4" x14ac:dyDescent="0.2">
      <c r="A587" s="1186" t="s">
        <v>671</v>
      </c>
      <c r="B587" s="1186" t="s">
        <v>282</v>
      </c>
      <c r="C587" s="1186" t="s">
        <v>1501</v>
      </c>
      <c r="D587" s="1186">
        <v>2</v>
      </c>
    </row>
    <row r="588" spans="1:4" x14ac:dyDescent="0.2">
      <c r="A588" s="1186" t="s">
        <v>671</v>
      </c>
      <c r="B588" s="1186" t="s">
        <v>282</v>
      </c>
      <c r="C588" s="1186" t="s">
        <v>1502</v>
      </c>
      <c r="D588" s="1186">
        <v>6</v>
      </c>
    </row>
    <row r="589" spans="1:4" x14ac:dyDescent="0.2">
      <c r="A589" s="1186" t="s">
        <v>671</v>
      </c>
      <c r="B589" s="1186" t="s">
        <v>282</v>
      </c>
      <c r="C589" s="1186" t="s">
        <v>1503</v>
      </c>
      <c r="D589" s="1186">
        <v>2</v>
      </c>
    </row>
    <row r="590" spans="1:4" x14ac:dyDescent="0.2">
      <c r="A590" s="1186" t="s">
        <v>671</v>
      </c>
      <c r="B590" s="1186" t="s">
        <v>282</v>
      </c>
      <c r="C590" s="1186" t="s">
        <v>1504</v>
      </c>
      <c r="D590" s="1186">
        <v>3</v>
      </c>
    </row>
    <row r="591" spans="1:4" x14ac:dyDescent="0.2">
      <c r="A591" s="1186" t="s">
        <v>671</v>
      </c>
      <c r="B591" s="1186" t="s">
        <v>282</v>
      </c>
      <c r="C591" s="1186" t="s">
        <v>1505</v>
      </c>
      <c r="D591" s="1186">
        <v>4</v>
      </c>
    </row>
    <row r="592" spans="1:4" x14ac:dyDescent="0.2">
      <c r="A592" s="1186" t="s">
        <v>671</v>
      </c>
      <c r="B592" s="1186" t="s">
        <v>282</v>
      </c>
      <c r="C592" s="1186" t="s">
        <v>1506</v>
      </c>
      <c r="D592" s="1186">
        <v>2</v>
      </c>
    </row>
    <row r="593" spans="1:4" x14ac:dyDescent="0.2">
      <c r="A593" s="1186" t="s">
        <v>671</v>
      </c>
      <c r="B593" s="1186" t="s">
        <v>282</v>
      </c>
      <c r="C593" s="1186" t="s">
        <v>1507</v>
      </c>
      <c r="D593" s="1186">
        <v>2</v>
      </c>
    </row>
    <row r="594" spans="1:4" x14ac:dyDescent="0.2">
      <c r="A594" s="1186" t="s">
        <v>671</v>
      </c>
      <c r="B594" s="1186" t="s">
        <v>282</v>
      </c>
      <c r="C594" s="1186" t="s">
        <v>1508</v>
      </c>
      <c r="D594" s="1186">
        <v>6</v>
      </c>
    </row>
    <row r="595" spans="1:4" x14ac:dyDescent="0.2">
      <c r="A595" s="1186" t="s">
        <v>671</v>
      </c>
      <c r="B595" s="1186" t="s">
        <v>282</v>
      </c>
      <c r="C595" s="1186" t="s">
        <v>1509</v>
      </c>
      <c r="D595" s="1186"/>
    </row>
    <row r="596" spans="1:4" x14ac:dyDescent="0.2">
      <c r="A596" s="1186" t="s">
        <v>671</v>
      </c>
      <c r="B596" s="1186" t="s">
        <v>282</v>
      </c>
      <c r="C596" s="1186" t="s">
        <v>1510</v>
      </c>
      <c r="D596" s="1186">
        <v>1</v>
      </c>
    </row>
    <row r="597" spans="1:4" x14ac:dyDescent="0.2">
      <c r="A597" s="1186" t="s">
        <v>671</v>
      </c>
      <c r="B597" s="1186" t="s">
        <v>282</v>
      </c>
      <c r="C597" s="1186" t="s">
        <v>1511</v>
      </c>
      <c r="D597" s="1186">
        <v>9</v>
      </c>
    </row>
    <row r="598" spans="1:4" x14ac:dyDescent="0.2">
      <c r="A598" s="1186" t="s">
        <v>671</v>
      </c>
      <c r="B598" s="1186" t="s">
        <v>282</v>
      </c>
      <c r="C598" s="1186" t="s">
        <v>1512</v>
      </c>
      <c r="D598" s="1186">
        <v>2</v>
      </c>
    </row>
    <row r="599" spans="1:4" x14ac:dyDescent="0.2">
      <c r="A599" s="1186" t="s">
        <v>671</v>
      </c>
      <c r="B599" s="1186" t="s">
        <v>282</v>
      </c>
      <c r="C599" s="1186" t="s">
        <v>1513</v>
      </c>
      <c r="D599" s="1186"/>
    </row>
    <row r="600" spans="1:4" x14ac:dyDescent="0.2">
      <c r="A600" s="1186" t="s">
        <v>671</v>
      </c>
      <c r="B600" s="1186" t="s">
        <v>282</v>
      </c>
      <c r="C600" s="1186" t="s">
        <v>1514</v>
      </c>
      <c r="D600" s="1186">
        <v>3</v>
      </c>
    </row>
    <row r="601" spans="1:4" x14ac:dyDescent="0.2">
      <c r="A601" s="1186" t="s">
        <v>671</v>
      </c>
      <c r="B601" s="1186" t="s">
        <v>282</v>
      </c>
      <c r="C601" s="1186" t="s">
        <v>1515</v>
      </c>
      <c r="D601" s="1186">
        <v>1</v>
      </c>
    </row>
    <row r="602" spans="1:4" x14ac:dyDescent="0.2">
      <c r="A602" s="1186" t="s">
        <v>671</v>
      </c>
      <c r="B602" s="1186" t="s">
        <v>282</v>
      </c>
      <c r="C602" s="1186" t="s">
        <v>1516</v>
      </c>
      <c r="D602" s="1186"/>
    </row>
    <row r="603" spans="1:4" x14ac:dyDescent="0.2">
      <c r="A603" s="1186" t="s">
        <v>671</v>
      </c>
      <c r="B603" s="1186" t="s">
        <v>311</v>
      </c>
      <c r="C603" s="1186" t="s">
        <v>1487</v>
      </c>
      <c r="D603" s="1186">
        <v>330</v>
      </c>
    </row>
    <row r="604" spans="1:4" x14ac:dyDescent="0.2">
      <c r="A604" s="1186" t="s">
        <v>671</v>
      </c>
      <c r="B604" s="1186" t="s">
        <v>311</v>
      </c>
      <c r="C604" s="1186" t="s">
        <v>1488</v>
      </c>
      <c r="D604" s="1186">
        <v>412</v>
      </c>
    </row>
    <row r="605" spans="1:4" x14ac:dyDescent="0.2">
      <c r="A605" s="1186" t="s">
        <v>671</v>
      </c>
      <c r="B605" s="1186" t="s">
        <v>311</v>
      </c>
      <c r="C605" s="1186" t="s">
        <v>1489</v>
      </c>
      <c r="D605" s="1186">
        <v>128</v>
      </c>
    </row>
    <row r="606" spans="1:4" x14ac:dyDescent="0.2">
      <c r="A606" s="1186" t="s">
        <v>671</v>
      </c>
      <c r="B606" s="1186" t="s">
        <v>311</v>
      </c>
      <c r="C606" s="1186" t="s">
        <v>1490</v>
      </c>
      <c r="D606" s="1186">
        <v>5</v>
      </c>
    </row>
    <row r="607" spans="1:4" x14ac:dyDescent="0.2">
      <c r="A607" s="1186" t="s">
        <v>671</v>
      </c>
      <c r="B607" s="1186" t="s">
        <v>311</v>
      </c>
      <c r="C607" s="1186" t="s">
        <v>1491</v>
      </c>
      <c r="D607" s="1186"/>
    </row>
    <row r="608" spans="1:4" x14ac:dyDescent="0.2">
      <c r="A608" s="1186" t="s">
        <v>671</v>
      </c>
      <c r="B608" s="1186" t="s">
        <v>311</v>
      </c>
      <c r="C608" s="1186" t="s">
        <v>1492</v>
      </c>
      <c r="D608" s="1186">
        <v>42</v>
      </c>
    </row>
    <row r="609" spans="1:4" x14ac:dyDescent="0.2">
      <c r="A609" s="1186" t="s">
        <v>671</v>
      </c>
      <c r="B609" s="1186" t="s">
        <v>311</v>
      </c>
      <c r="C609" s="1186" t="s">
        <v>1493</v>
      </c>
      <c r="D609" s="1186">
        <v>4</v>
      </c>
    </row>
    <row r="610" spans="1:4" x14ac:dyDescent="0.2">
      <c r="A610" s="1186" t="s">
        <v>671</v>
      </c>
      <c r="B610" s="1186" t="s">
        <v>311</v>
      </c>
      <c r="C610" s="1186" t="s">
        <v>1494</v>
      </c>
      <c r="D610" s="1186"/>
    </row>
    <row r="611" spans="1:4" x14ac:dyDescent="0.2">
      <c r="A611" s="1186" t="s">
        <v>671</v>
      </c>
      <c r="B611" s="1186" t="s">
        <v>311</v>
      </c>
      <c r="C611" s="1186" t="s">
        <v>1495</v>
      </c>
      <c r="D611" s="1186">
        <v>21</v>
      </c>
    </row>
    <row r="612" spans="1:4" x14ac:dyDescent="0.2">
      <c r="A612" s="1186" t="s">
        <v>671</v>
      </c>
      <c r="B612" s="1186" t="s">
        <v>311</v>
      </c>
      <c r="C612" s="1186" t="s">
        <v>1496</v>
      </c>
      <c r="D612" s="1186">
        <v>4</v>
      </c>
    </row>
    <row r="613" spans="1:4" x14ac:dyDescent="0.2">
      <c r="A613" s="1186" t="s">
        <v>671</v>
      </c>
      <c r="B613" s="1186" t="s">
        <v>311</v>
      </c>
      <c r="C613" s="1186" t="s">
        <v>1497</v>
      </c>
      <c r="D613" s="1186">
        <v>16</v>
      </c>
    </row>
    <row r="614" spans="1:4" x14ac:dyDescent="0.2">
      <c r="A614" s="1186" t="s">
        <v>671</v>
      </c>
      <c r="B614" s="1186" t="s">
        <v>311</v>
      </c>
      <c r="C614" s="1186" t="s">
        <v>1498</v>
      </c>
      <c r="D614" s="1186">
        <v>2</v>
      </c>
    </row>
    <row r="615" spans="1:4" x14ac:dyDescent="0.2">
      <c r="A615" s="1186" t="s">
        <v>671</v>
      </c>
      <c r="B615" s="1186" t="s">
        <v>311</v>
      </c>
      <c r="C615" s="1186" t="s">
        <v>1499</v>
      </c>
      <c r="D615" s="1186">
        <v>5</v>
      </c>
    </row>
    <row r="616" spans="1:4" x14ac:dyDescent="0.2">
      <c r="A616" s="1186" t="s">
        <v>671</v>
      </c>
      <c r="B616" s="1186" t="s">
        <v>311</v>
      </c>
      <c r="C616" s="1186" t="s">
        <v>1500</v>
      </c>
      <c r="D616" s="1186">
        <v>21</v>
      </c>
    </row>
    <row r="617" spans="1:4" x14ac:dyDescent="0.2">
      <c r="A617" s="1186" t="s">
        <v>671</v>
      </c>
      <c r="B617" s="1186" t="s">
        <v>311</v>
      </c>
      <c r="C617" s="1186" t="s">
        <v>1501</v>
      </c>
      <c r="D617" s="1186">
        <v>2</v>
      </c>
    </row>
    <row r="618" spans="1:4" x14ac:dyDescent="0.2">
      <c r="A618" s="1186" t="s">
        <v>671</v>
      </c>
      <c r="B618" s="1186" t="s">
        <v>311</v>
      </c>
      <c r="C618" s="1186" t="s">
        <v>1502</v>
      </c>
      <c r="D618" s="1186">
        <v>3</v>
      </c>
    </row>
    <row r="619" spans="1:4" x14ac:dyDescent="0.2">
      <c r="A619" s="1186" t="s">
        <v>671</v>
      </c>
      <c r="B619" s="1186" t="s">
        <v>311</v>
      </c>
      <c r="C619" s="1186" t="s">
        <v>1503</v>
      </c>
      <c r="D619" s="1186">
        <v>11</v>
      </c>
    </row>
    <row r="620" spans="1:4" x14ac:dyDescent="0.2">
      <c r="A620" s="1186" t="s">
        <v>671</v>
      </c>
      <c r="B620" s="1186" t="s">
        <v>311</v>
      </c>
      <c r="C620" s="1186" t="s">
        <v>1504</v>
      </c>
      <c r="D620" s="1186">
        <v>2</v>
      </c>
    </row>
    <row r="621" spans="1:4" x14ac:dyDescent="0.2">
      <c r="A621" s="1186" t="s">
        <v>671</v>
      </c>
      <c r="B621" s="1186" t="s">
        <v>311</v>
      </c>
      <c r="C621" s="1186" t="s">
        <v>1505</v>
      </c>
      <c r="D621" s="1186">
        <v>3</v>
      </c>
    </row>
    <row r="622" spans="1:4" x14ac:dyDescent="0.2">
      <c r="A622" s="1186" t="s">
        <v>671</v>
      </c>
      <c r="B622" s="1186" t="s">
        <v>311</v>
      </c>
      <c r="C622" s="1186" t="s">
        <v>1506</v>
      </c>
      <c r="D622" s="1186">
        <v>3</v>
      </c>
    </row>
    <row r="623" spans="1:4" x14ac:dyDescent="0.2">
      <c r="A623" s="1186" t="s">
        <v>671</v>
      </c>
      <c r="B623" s="1186" t="s">
        <v>311</v>
      </c>
      <c r="C623" s="1186" t="s">
        <v>1507</v>
      </c>
      <c r="D623" s="1186">
        <v>3</v>
      </c>
    </row>
    <row r="624" spans="1:4" x14ac:dyDescent="0.2">
      <c r="A624" s="1186" t="s">
        <v>671</v>
      </c>
      <c r="B624" s="1186" t="s">
        <v>311</v>
      </c>
      <c r="C624" s="1186" t="s">
        <v>1508</v>
      </c>
      <c r="D624" s="1186">
        <v>10</v>
      </c>
    </row>
    <row r="625" spans="1:4" x14ac:dyDescent="0.2">
      <c r="A625" s="1186" t="s">
        <v>671</v>
      </c>
      <c r="B625" s="1186" t="s">
        <v>311</v>
      </c>
      <c r="C625" s="1186" t="s">
        <v>1509</v>
      </c>
      <c r="D625" s="1186">
        <v>1</v>
      </c>
    </row>
    <row r="626" spans="1:4" x14ac:dyDescent="0.2">
      <c r="A626" s="1186" t="s">
        <v>671</v>
      </c>
      <c r="B626" s="1186" t="s">
        <v>311</v>
      </c>
      <c r="C626" s="1186" t="s">
        <v>1510</v>
      </c>
      <c r="D626" s="1186"/>
    </row>
    <row r="627" spans="1:4" x14ac:dyDescent="0.2">
      <c r="A627" s="1186" t="s">
        <v>671</v>
      </c>
      <c r="B627" s="1186" t="s">
        <v>311</v>
      </c>
      <c r="C627" s="1186" t="s">
        <v>1511</v>
      </c>
      <c r="D627" s="1186">
        <v>3</v>
      </c>
    </row>
    <row r="628" spans="1:4" x14ac:dyDescent="0.2">
      <c r="A628" s="1186" t="s">
        <v>671</v>
      </c>
      <c r="B628" s="1186" t="s">
        <v>311</v>
      </c>
      <c r="C628" s="1186" t="s">
        <v>1512</v>
      </c>
      <c r="D628" s="1186">
        <v>6</v>
      </c>
    </row>
    <row r="629" spans="1:4" x14ac:dyDescent="0.2">
      <c r="A629" s="1186" t="s">
        <v>671</v>
      </c>
      <c r="B629" s="1186" t="s">
        <v>311</v>
      </c>
      <c r="C629" s="1186" t="s">
        <v>1513</v>
      </c>
      <c r="D629" s="1186"/>
    </row>
    <row r="630" spans="1:4" x14ac:dyDescent="0.2">
      <c r="A630" s="1186" t="s">
        <v>671</v>
      </c>
      <c r="B630" s="1186" t="s">
        <v>311</v>
      </c>
      <c r="C630" s="1186" t="s">
        <v>1514</v>
      </c>
      <c r="D630" s="1186">
        <v>1</v>
      </c>
    </row>
    <row r="631" spans="1:4" x14ac:dyDescent="0.2">
      <c r="A631" s="1186" t="s">
        <v>671</v>
      </c>
      <c r="B631" s="1186" t="s">
        <v>311</v>
      </c>
      <c r="C631" s="1186" t="s">
        <v>1515</v>
      </c>
      <c r="D631" s="1186">
        <v>1</v>
      </c>
    </row>
    <row r="632" spans="1:4" x14ac:dyDescent="0.2">
      <c r="A632" s="1186" t="s">
        <v>671</v>
      </c>
      <c r="B632" s="1186" t="s">
        <v>311</v>
      </c>
      <c r="C632" s="1186" t="s">
        <v>1516</v>
      </c>
      <c r="D632" s="1186">
        <v>1</v>
      </c>
    </row>
    <row r="633" spans="1:4" x14ac:dyDescent="0.2">
      <c r="A633" s="1186" t="s">
        <v>671</v>
      </c>
      <c r="B633" s="1186" t="s">
        <v>621</v>
      </c>
      <c r="C633" s="1186" t="s">
        <v>1487</v>
      </c>
      <c r="D633" s="1186">
        <v>316</v>
      </c>
    </row>
    <row r="634" spans="1:4" x14ac:dyDescent="0.2">
      <c r="A634" s="1186" t="s">
        <v>671</v>
      </c>
      <c r="B634" s="1186" t="s">
        <v>621</v>
      </c>
      <c r="C634" s="1186" t="s">
        <v>1488</v>
      </c>
      <c r="D634" s="1186">
        <v>454</v>
      </c>
    </row>
    <row r="635" spans="1:4" x14ac:dyDescent="0.2">
      <c r="A635" s="1186" t="s">
        <v>671</v>
      </c>
      <c r="B635" s="1186" t="s">
        <v>621</v>
      </c>
      <c r="C635" s="1186" t="s">
        <v>1489</v>
      </c>
      <c r="D635" s="1186">
        <v>174</v>
      </c>
    </row>
    <row r="636" spans="1:4" x14ac:dyDescent="0.2">
      <c r="A636" s="1186" t="s">
        <v>671</v>
      </c>
      <c r="B636" s="1186" t="s">
        <v>621</v>
      </c>
      <c r="C636" s="1186" t="s">
        <v>1490</v>
      </c>
      <c r="D636" s="1186">
        <v>2</v>
      </c>
    </row>
    <row r="637" spans="1:4" x14ac:dyDescent="0.2">
      <c r="A637" s="1186" t="s">
        <v>671</v>
      </c>
      <c r="B637" s="1186" t="s">
        <v>621</v>
      </c>
      <c r="C637" s="1186" t="s">
        <v>1491</v>
      </c>
      <c r="D637" s="1186">
        <v>1</v>
      </c>
    </row>
    <row r="638" spans="1:4" x14ac:dyDescent="0.2">
      <c r="A638" s="1186" t="s">
        <v>671</v>
      </c>
      <c r="B638" s="1186" t="s">
        <v>621</v>
      </c>
      <c r="C638" s="1186" t="s">
        <v>1492</v>
      </c>
      <c r="D638" s="1186">
        <v>67</v>
      </c>
    </row>
    <row r="639" spans="1:4" x14ac:dyDescent="0.2">
      <c r="A639" s="1186" t="s">
        <v>671</v>
      </c>
      <c r="B639" s="1186" t="s">
        <v>621</v>
      </c>
      <c r="C639" s="1186" t="s">
        <v>1493</v>
      </c>
      <c r="D639" s="1186">
        <v>1</v>
      </c>
    </row>
    <row r="640" spans="1:4" x14ac:dyDescent="0.2">
      <c r="A640" s="1186" t="s">
        <v>671</v>
      </c>
      <c r="B640" s="1186" t="s">
        <v>621</v>
      </c>
      <c r="C640" s="1186" t="s">
        <v>1494</v>
      </c>
      <c r="D640" s="1186">
        <v>1</v>
      </c>
    </row>
    <row r="641" spans="1:4" x14ac:dyDescent="0.2">
      <c r="A641" s="1186" t="s">
        <v>671</v>
      </c>
      <c r="B641" s="1186" t="s">
        <v>621</v>
      </c>
      <c r="C641" s="1186" t="s">
        <v>1495</v>
      </c>
      <c r="D641" s="1186">
        <v>10</v>
      </c>
    </row>
    <row r="642" spans="1:4" x14ac:dyDescent="0.2">
      <c r="A642" s="1186" t="s">
        <v>671</v>
      </c>
      <c r="B642" s="1186" t="s">
        <v>621</v>
      </c>
      <c r="C642" s="1186" t="s">
        <v>1496</v>
      </c>
      <c r="D642" s="1186">
        <v>8</v>
      </c>
    </row>
    <row r="643" spans="1:4" x14ac:dyDescent="0.2">
      <c r="A643" s="1186" t="s">
        <v>671</v>
      </c>
      <c r="B643" s="1186" t="s">
        <v>621</v>
      </c>
      <c r="C643" s="1186" t="s">
        <v>1497</v>
      </c>
      <c r="D643" s="1186">
        <v>15</v>
      </c>
    </row>
    <row r="644" spans="1:4" x14ac:dyDescent="0.2">
      <c r="A644" s="1186" t="s">
        <v>671</v>
      </c>
      <c r="B644" s="1186" t="s">
        <v>621</v>
      </c>
      <c r="C644" s="1186" t="s">
        <v>1498</v>
      </c>
      <c r="D644" s="1186"/>
    </row>
    <row r="645" spans="1:4" x14ac:dyDescent="0.2">
      <c r="A645" s="1186" t="s">
        <v>671</v>
      </c>
      <c r="B645" s="1186" t="s">
        <v>621</v>
      </c>
      <c r="C645" s="1186" t="s">
        <v>1499</v>
      </c>
      <c r="D645" s="1186">
        <v>1</v>
      </c>
    </row>
    <row r="646" spans="1:4" x14ac:dyDescent="0.2">
      <c r="A646" s="1186" t="s">
        <v>671</v>
      </c>
      <c r="B646" s="1186" t="s">
        <v>621</v>
      </c>
      <c r="C646" s="1186" t="s">
        <v>1500</v>
      </c>
      <c r="D646" s="1186">
        <v>19</v>
      </c>
    </row>
    <row r="647" spans="1:4" x14ac:dyDescent="0.2">
      <c r="A647" s="1186" t="s">
        <v>671</v>
      </c>
      <c r="B647" s="1186" t="s">
        <v>621</v>
      </c>
      <c r="C647" s="1186" t="s">
        <v>1501</v>
      </c>
      <c r="D647" s="1186">
        <v>4</v>
      </c>
    </row>
    <row r="648" spans="1:4" x14ac:dyDescent="0.2">
      <c r="A648" s="1186" t="s">
        <v>671</v>
      </c>
      <c r="B648" s="1186" t="s">
        <v>621</v>
      </c>
      <c r="C648" s="1186" t="s">
        <v>1502</v>
      </c>
      <c r="D648" s="1186">
        <v>6</v>
      </c>
    </row>
    <row r="649" spans="1:4" x14ac:dyDescent="0.2">
      <c r="A649" s="1186" t="s">
        <v>671</v>
      </c>
      <c r="B649" s="1186" t="s">
        <v>621</v>
      </c>
      <c r="C649" s="1186" t="s">
        <v>1503</v>
      </c>
      <c r="D649" s="1186">
        <v>1</v>
      </c>
    </row>
    <row r="650" spans="1:4" x14ac:dyDescent="0.2">
      <c r="A650" s="1186" t="s">
        <v>671</v>
      </c>
      <c r="B650" s="1186" t="s">
        <v>621</v>
      </c>
      <c r="C650" s="1186" t="s">
        <v>1504</v>
      </c>
      <c r="D650" s="1186">
        <v>2</v>
      </c>
    </row>
    <row r="651" spans="1:4" x14ac:dyDescent="0.2">
      <c r="A651" s="1186" t="s">
        <v>671</v>
      </c>
      <c r="B651" s="1186" t="s">
        <v>621</v>
      </c>
      <c r="C651" s="1186" t="s">
        <v>1505</v>
      </c>
      <c r="D651" s="1186">
        <v>4</v>
      </c>
    </row>
    <row r="652" spans="1:4" x14ac:dyDescent="0.2">
      <c r="A652" s="1186" t="s">
        <v>671</v>
      </c>
      <c r="B652" s="1186" t="s">
        <v>621</v>
      </c>
      <c r="C652" s="1186" t="s">
        <v>1506</v>
      </c>
      <c r="D652" s="1186">
        <v>6</v>
      </c>
    </row>
    <row r="653" spans="1:4" x14ac:dyDescent="0.2">
      <c r="A653" s="1186" t="s">
        <v>671</v>
      </c>
      <c r="B653" s="1186" t="s">
        <v>621</v>
      </c>
      <c r="C653" s="1186" t="s">
        <v>1507</v>
      </c>
      <c r="D653" s="1186">
        <v>4</v>
      </c>
    </row>
    <row r="654" spans="1:4" x14ac:dyDescent="0.2">
      <c r="A654" s="1186" t="s">
        <v>671</v>
      </c>
      <c r="B654" s="1186" t="s">
        <v>621</v>
      </c>
      <c r="C654" s="1186" t="s">
        <v>1508</v>
      </c>
      <c r="D654" s="1186">
        <v>7</v>
      </c>
    </row>
    <row r="655" spans="1:4" x14ac:dyDescent="0.2">
      <c r="A655" s="1186" t="s">
        <v>671</v>
      </c>
      <c r="B655" s="1186" t="s">
        <v>621</v>
      </c>
      <c r="C655" s="1186" t="s">
        <v>1509</v>
      </c>
      <c r="D655" s="1186">
        <v>2</v>
      </c>
    </row>
    <row r="656" spans="1:4" x14ac:dyDescent="0.2">
      <c r="A656" s="1186" t="s">
        <v>671</v>
      </c>
      <c r="B656" s="1186" t="s">
        <v>621</v>
      </c>
      <c r="C656" s="1186" t="s">
        <v>1510</v>
      </c>
      <c r="D656" s="1186"/>
    </row>
    <row r="657" spans="1:4" x14ac:dyDescent="0.2">
      <c r="A657" s="1186" t="s">
        <v>671</v>
      </c>
      <c r="B657" s="1186" t="s">
        <v>621</v>
      </c>
      <c r="C657" s="1186" t="s">
        <v>1511</v>
      </c>
      <c r="D657" s="1186">
        <v>10</v>
      </c>
    </row>
    <row r="658" spans="1:4" x14ac:dyDescent="0.2">
      <c r="A658" s="1186" t="s">
        <v>671</v>
      </c>
      <c r="B658" s="1186" t="s">
        <v>621</v>
      </c>
      <c r="C658" s="1186" t="s">
        <v>1512</v>
      </c>
      <c r="D658" s="1186">
        <v>1</v>
      </c>
    </row>
    <row r="659" spans="1:4" x14ac:dyDescent="0.2">
      <c r="A659" s="1186" t="s">
        <v>671</v>
      </c>
      <c r="B659" s="1186" t="s">
        <v>621</v>
      </c>
      <c r="C659" s="1186" t="s">
        <v>1513</v>
      </c>
      <c r="D659" s="1186">
        <v>1</v>
      </c>
    </row>
    <row r="660" spans="1:4" x14ac:dyDescent="0.2">
      <c r="A660" s="1186" t="s">
        <v>671</v>
      </c>
      <c r="B660" s="1186" t="s">
        <v>621</v>
      </c>
      <c r="C660" s="1186" t="s">
        <v>1514</v>
      </c>
      <c r="D660" s="1186">
        <v>6</v>
      </c>
    </row>
    <row r="661" spans="1:4" x14ac:dyDescent="0.2">
      <c r="A661" s="1186" t="s">
        <v>671</v>
      </c>
      <c r="B661" s="1186" t="s">
        <v>621</v>
      </c>
      <c r="C661" s="1186" t="s">
        <v>1515</v>
      </c>
      <c r="D661" s="1186">
        <v>2</v>
      </c>
    </row>
    <row r="662" spans="1:4" x14ac:dyDescent="0.2">
      <c r="A662" s="1186" t="s">
        <v>671</v>
      </c>
      <c r="B662" s="1186" t="s">
        <v>621</v>
      </c>
      <c r="C662" s="1186" t="s">
        <v>1516</v>
      </c>
      <c r="D662" s="1186"/>
    </row>
    <row r="663" spans="1:4" x14ac:dyDescent="0.2">
      <c r="A663" s="1186" t="s">
        <v>671</v>
      </c>
      <c r="B663" s="1186" t="s">
        <v>1419</v>
      </c>
      <c r="C663" s="1186" t="s">
        <v>1487</v>
      </c>
      <c r="D663" s="1186">
        <v>299</v>
      </c>
    </row>
    <row r="664" spans="1:4" x14ac:dyDescent="0.2">
      <c r="A664" s="1186" t="s">
        <v>671</v>
      </c>
      <c r="B664" s="1186" t="s">
        <v>1419</v>
      </c>
      <c r="C664" s="1186" t="s">
        <v>1488</v>
      </c>
      <c r="D664" s="1186">
        <v>386</v>
      </c>
    </row>
    <row r="665" spans="1:4" x14ac:dyDescent="0.2">
      <c r="A665" s="1186" t="s">
        <v>671</v>
      </c>
      <c r="B665" s="1186" t="s">
        <v>1419</v>
      </c>
      <c r="C665" s="1186" t="s">
        <v>1489</v>
      </c>
      <c r="D665" s="1186">
        <v>150</v>
      </c>
    </row>
    <row r="666" spans="1:4" x14ac:dyDescent="0.2">
      <c r="A666" s="1186" t="s">
        <v>671</v>
      </c>
      <c r="B666" s="1186" t="s">
        <v>1419</v>
      </c>
      <c r="C666" s="1186" t="s">
        <v>1490</v>
      </c>
      <c r="D666" s="1186">
        <v>2</v>
      </c>
    </row>
    <row r="667" spans="1:4" x14ac:dyDescent="0.2">
      <c r="A667" s="1186" t="s">
        <v>671</v>
      </c>
      <c r="B667" s="1186" t="s">
        <v>1419</v>
      </c>
      <c r="C667" s="1186" t="s">
        <v>1491</v>
      </c>
      <c r="D667" s="1186"/>
    </row>
    <row r="668" spans="1:4" x14ac:dyDescent="0.2">
      <c r="A668" s="1186" t="s">
        <v>671</v>
      </c>
      <c r="B668" s="1186" t="s">
        <v>1419</v>
      </c>
      <c r="C668" s="1186" t="s">
        <v>1492</v>
      </c>
      <c r="D668" s="1186">
        <v>39</v>
      </c>
    </row>
    <row r="669" spans="1:4" x14ac:dyDescent="0.2">
      <c r="A669" s="1186" t="s">
        <v>671</v>
      </c>
      <c r="B669" s="1186" t="s">
        <v>1419</v>
      </c>
      <c r="C669" s="1186" t="s">
        <v>1493</v>
      </c>
      <c r="D669" s="1186"/>
    </row>
    <row r="670" spans="1:4" x14ac:dyDescent="0.2">
      <c r="A670" s="1186" t="s">
        <v>671</v>
      </c>
      <c r="B670" s="1186" t="s">
        <v>1419</v>
      </c>
      <c r="C670" s="1186" t="s">
        <v>1494</v>
      </c>
      <c r="D670" s="1186">
        <v>1</v>
      </c>
    </row>
    <row r="671" spans="1:4" x14ac:dyDescent="0.2">
      <c r="A671" s="1186" t="s">
        <v>671</v>
      </c>
      <c r="B671" s="1186" t="s">
        <v>1419</v>
      </c>
      <c r="C671" s="1186" t="s">
        <v>1495</v>
      </c>
      <c r="D671" s="1186">
        <v>17</v>
      </c>
    </row>
    <row r="672" spans="1:4" x14ac:dyDescent="0.2">
      <c r="A672" s="1186" t="s">
        <v>671</v>
      </c>
      <c r="B672" s="1186" t="s">
        <v>1419</v>
      </c>
      <c r="C672" s="1186" t="s">
        <v>1496</v>
      </c>
      <c r="D672" s="1186">
        <v>1</v>
      </c>
    </row>
    <row r="673" spans="1:4" x14ac:dyDescent="0.2">
      <c r="A673" s="1186" t="s">
        <v>671</v>
      </c>
      <c r="B673" s="1186" t="s">
        <v>1419</v>
      </c>
      <c r="C673" s="1186" t="s">
        <v>1497</v>
      </c>
      <c r="D673" s="1186">
        <v>9</v>
      </c>
    </row>
    <row r="674" spans="1:4" x14ac:dyDescent="0.2">
      <c r="A674" s="1186" t="s">
        <v>671</v>
      </c>
      <c r="B674" s="1186" t="s">
        <v>1419</v>
      </c>
      <c r="C674" s="1186" t="s">
        <v>1498</v>
      </c>
      <c r="D674" s="1186">
        <v>1</v>
      </c>
    </row>
    <row r="675" spans="1:4" x14ac:dyDescent="0.2">
      <c r="A675" s="1186" t="s">
        <v>671</v>
      </c>
      <c r="B675" s="1186" t="s">
        <v>1419</v>
      </c>
      <c r="C675" s="1186" t="s">
        <v>1499</v>
      </c>
      <c r="D675" s="1186">
        <v>1</v>
      </c>
    </row>
    <row r="676" spans="1:4" x14ac:dyDescent="0.2">
      <c r="A676" s="1186" t="s">
        <v>671</v>
      </c>
      <c r="B676" s="1186" t="s">
        <v>1419</v>
      </c>
      <c r="C676" s="1186" t="s">
        <v>1500</v>
      </c>
      <c r="D676" s="1186">
        <v>12</v>
      </c>
    </row>
    <row r="677" spans="1:4" x14ac:dyDescent="0.2">
      <c r="A677" s="1186" t="s">
        <v>671</v>
      </c>
      <c r="B677" s="1186" t="s">
        <v>1419</v>
      </c>
      <c r="C677" s="1186" t="s">
        <v>1501</v>
      </c>
      <c r="D677" s="1186">
        <v>2</v>
      </c>
    </row>
    <row r="678" spans="1:4" x14ac:dyDescent="0.2">
      <c r="A678" s="1186" t="s">
        <v>671</v>
      </c>
      <c r="B678" s="1186" t="s">
        <v>1419</v>
      </c>
      <c r="C678" s="1186" t="s">
        <v>1502</v>
      </c>
      <c r="D678" s="1186">
        <v>8</v>
      </c>
    </row>
    <row r="679" spans="1:4" x14ac:dyDescent="0.2">
      <c r="A679" s="1186" t="s">
        <v>671</v>
      </c>
      <c r="B679" s="1186" t="s">
        <v>1419</v>
      </c>
      <c r="C679" s="1186" t="s">
        <v>1503</v>
      </c>
      <c r="D679" s="1186">
        <v>4</v>
      </c>
    </row>
    <row r="680" spans="1:4" x14ac:dyDescent="0.2">
      <c r="A680" s="1186" t="s">
        <v>671</v>
      </c>
      <c r="B680" s="1186" t="s">
        <v>1419</v>
      </c>
      <c r="C680" s="1186" t="s">
        <v>1504</v>
      </c>
      <c r="D680" s="1186">
        <v>4</v>
      </c>
    </row>
    <row r="681" spans="1:4" x14ac:dyDescent="0.2">
      <c r="A681" s="1186" t="s">
        <v>671</v>
      </c>
      <c r="B681" s="1186" t="s">
        <v>1419</v>
      </c>
      <c r="C681" s="1186" t="s">
        <v>1505</v>
      </c>
      <c r="D681" s="1186">
        <v>1</v>
      </c>
    </row>
    <row r="682" spans="1:4" x14ac:dyDescent="0.2">
      <c r="A682" s="1186" t="s">
        <v>671</v>
      </c>
      <c r="B682" s="1186" t="s">
        <v>1419</v>
      </c>
      <c r="C682" s="1186" t="s">
        <v>1506</v>
      </c>
      <c r="D682" s="1186">
        <v>6</v>
      </c>
    </row>
    <row r="683" spans="1:4" x14ac:dyDescent="0.2">
      <c r="A683" s="1186" t="s">
        <v>671</v>
      </c>
      <c r="B683" s="1186" t="s">
        <v>1419</v>
      </c>
      <c r="C683" s="1186" t="s">
        <v>1507</v>
      </c>
      <c r="D683" s="1186">
        <v>4</v>
      </c>
    </row>
    <row r="684" spans="1:4" x14ac:dyDescent="0.2">
      <c r="A684" s="1186" t="s">
        <v>671</v>
      </c>
      <c r="B684" s="1186" t="s">
        <v>1419</v>
      </c>
      <c r="C684" s="1186" t="s">
        <v>1508</v>
      </c>
      <c r="D684" s="1186">
        <v>3</v>
      </c>
    </row>
    <row r="685" spans="1:4" x14ac:dyDescent="0.2">
      <c r="A685" s="1186" t="s">
        <v>671</v>
      </c>
      <c r="B685" s="1186" t="s">
        <v>1419</v>
      </c>
      <c r="C685" s="1186" t="s">
        <v>1509</v>
      </c>
      <c r="D685" s="1186"/>
    </row>
    <row r="686" spans="1:4" x14ac:dyDescent="0.2">
      <c r="A686" s="1186" t="s">
        <v>671</v>
      </c>
      <c r="B686" s="1186" t="s">
        <v>1419</v>
      </c>
      <c r="C686" s="1186" t="s">
        <v>1510</v>
      </c>
      <c r="D686" s="1186"/>
    </row>
    <row r="687" spans="1:4" x14ac:dyDescent="0.2">
      <c r="A687" s="1186" t="s">
        <v>671</v>
      </c>
      <c r="B687" s="1186" t="s">
        <v>1419</v>
      </c>
      <c r="C687" s="1186" t="s">
        <v>1511</v>
      </c>
      <c r="D687" s="1186">
        <v>6</v>
      </c>
    </row>
    <row r="688" spans="1:4" x14ac:dyDescent="0.2">
      <c r="A688" s="1186" t="s">
        <v>671</v>
      </c>
      <c r="B688" s="1186" t="s">
        <v>1419</v>
      </c>
      <c r="C688" s="1186" t="s">
        <v>1512</v>
      </c>
      <c r="D688" s="1186">
        <v>3</v>
      </c>
    </row>
    <row r="689" spans="1:4" x14ac:dyDescent="0.2">
      <c r="A689" s="1186" t="s">
        <v>671</v>
      </c>
      <c r="B689" s="1186" t="s">
        <v>1419</v>
      </c>
      <c r="C689" s="1186" t="s">
        <v>1513</v>
      </c>
      <c r="D689" s="1186"/>
    </row>
    <row r="690" spans="1:4" x14ac:dyDescent="0.2">
      <c r="A690" s="1186" t="s">
        <v>671</v>
      </c>
      <c r="B690" s="1186" t="s">
        <v>1419</v>
      </c>
      <c r="C690" s="1186" t="s">
        <v>1514</v>
      </c>
      <c r="D690" s="1186">
        <v>9</v>
      </c>
    </row>
    <row r="691" spans="1:4" x14ac:dyDescent="0.2">
      <c r="A691" s="1186" t="s">
        <v>671</v>
      </c>
      <c r="B691" s="1186" t="s">
        <v>1419</v>
      </c>
      <c r="C691" s="1186" t="s">
        <v>1515</v>
      </c>
      <c r="D691" s="1186"/>
    </row>
    <row r="692" spans="1:4" x14ac:dyDescent="0.2">
      <c r="A692" s="1186" t="s">
        <v>671</v>
      </c>
      <c r="B692" s="1186" t="s">
        <v>1419</v>
      </c>
      <c r="C692" s="1186" t="s">
        <v>1516</v>
      </c>
      <c r="D692" s="1186"/>
    </row>
    <row r="693" spans="1:4" x14ac:dyDescent="0.2">
      <c r="A693" s="1186" t="s">
        <v>671</v>
      </c>
      <c r="B693" s="1186" t="s">
        <v>1572</v>
      </c>
      <c r="C693" s="1186" t="s">
        <v>1487</v>
      </c>
      <c r="D693" s="1186">
        <v>305</v>
      </c>
    </row>
    <row r="694" spans="1:4" x14ac:dyDescent="0.2">
      <c r="A694" s="1186" t="s">
        <v>671</v>
      </c>
      <c r="B694" s="1186" t="s">
        <v>1572</v>
      </c>
      <c r="C694" s="1186" t="s">
        <v>1488</v>
      </c>
      <c r="D694" s="1186">
        <v>352</v>
      </c>
    </row>
    <row r="695" spans="1:4" x14ac:dyDescent="0.2">
      <c r="A695" s="1186" t="s">
        <v>671</v>
      </c>
      <c r="B695" s="1186" t="s">
        <v>1572</v>
      </c>
      <c r="C695" s="1186" t="s">
        <v>1489</v>
      </c>
      <c r="D695" s="1186">
        <v>168</v>
      </c>
    </row>
    <row r="696" spans="1:4" x14ac:dyDescent="0.2">
      <c r="A696" s="1186" t="s">
        <v>671</v>
      </c>
      <c r="B696" s="1186" t="s">
        <v>1572</v>
      </c>
      <c r="C696" s="1186" t="s">
        <v>1490</v>
      </c>
      <c r="D696" s="1186">
        <v>1</v>
      </c>
    </row>
    <row r="697" spans="1:4" x14ac:dyDescent="0.2">
      <c r="A697" s="1186" t="s">
        <v>671</v>
      </c>
      <c r="B697" s="1186" t="s">
        <v>1572</v>
      </c>
      <c r="C697" s="1186" t="s">
        <v>1491</v>
      </c>
      <c r="D697" s="1186">
        <v>1</v>
      </c>
    </row>
    <row r="698" spans="1:4" x14ac:dyDescent="0.2">
      <c r="A698" s="1186" t="s">
        <v>671</v>
      </c>
      <c r="B698" s="1186" t="s">
        <v>1572</v>
      </c>
      <c r="C698" s="1186" t="s">
        <v>1492</v>
      </c>
      <c r="D698" s="1186">
        <v>33</v>
      </c>
    </row>
    <row r="699" spans="1:4" x14ac:dyDescent="0.2">
      <c r="A699" s="1186" t="s">
        <v>671</v>
      </c>
      <c r="B699" s="1186" t="s">
        <v>1572</v>
      </c>
      <c r="C699" s="1186" t="s">
        <v>1493</v>
      </c>
      <c r="D699" s="1186">
        <v>6</v>
      </c>
    </row>
    <row r="700" spans="1:4" x14ac:dyDescent="0.2">
      <c r="A700" s="1186" t="s">
        <v>671</v>
      </c>
      <c r="B700" s="1186" t="s">
        <v>1572</v>
      </c>
      <c r="C700" s="1186" t="s">
        <v>1494</v>
      </c>
      <c r="D700" s="1186">
        <v>10</v>
      </c>
    </row>
    <row r="701" spans="1:4" x14ac:dyDescent="0.2">
      <c r="A701" s="1186" t="s">
        <v>671</v>
      </c>
      <c r="B701" s="1186" t="s">
        <v>1572</v>
      </c>
      <c r="C701" s="1186" t="s">
        <v>1495</v>
      </c>
      <c r="D701" s="1186">
        <v>12</v>
      </c>
    </row>
    <row r="702" spans="1:4" x14ac:dyDescent="0.2">
      <c r="A702" s="1186" t="s">
        <v>671</v>
      </c>
      <c r="B702" s="1186" t="s">
        <v>1572</v>
      </c>
      <c r="C702" s="1186" t="s">
        <v>1496</v>
      </c>
      <c r="D702" s="1186"/>
    </row>
    <row r="703" spans="1:4" x14ac:dyDescent="0.2">
      <c r="A703" s="1186" t="s">
        <v>671</v>
      </c>
      <c r="B703" s="1186" t="s">
        <v>1572</v>
      </c>
      <c r="C703" s="1186" t="s">
        <v>1497</v>
      </c>
      <c r="D703" s="1186">
        <v>6</v>
      </c>
    </row>
    <row r="704" spans="1:4" x14ac:dyDescent="0.2">
      <c r="A704" s="1186" t="s">
        <v>671</v>
      </c>
      <c r="B704" s="1186" t="s">
        <v>1572</v>
      </c>
      <c r="C704" s="1186" t="s">
        <v>1498</v>
      </c>
      <c r="D704" s="1186">
        <v>1</v>
      </c>
    </row>
    <row r="705" spans="1:4" x14ac:dyDescent="0.2">
      <c r="A705" s="1186" t="s">
        <v>671</v>
      </c>
      <c r="B705" s="1186" t="s">
        <v>1572</v>
      </c>
      <c r="C705" s="1186" t="s">
        <v>1499</v>
      </c>
      <c r="D705" s="1186"/>
    </row>
    <row r="706" spans="1:4" x14ac:dyDescent="0.2">
      <c r="A706" s="1186" t="s">
        <v>671</v>
      </c>
      <c r="B706" s="1186" t="s">
        <v>1572</v>
      </c>
      <c r="C706" s="1186" t="s">
        <v>1500</v>
      </c>
      <c r="D706" s="1186">
        <v>9</v>
      </c>
    </row>
    <row r="707" spans="1:4" x14ac:dyDescent="0.2">
      <c r="A707" s="1186" t="s">
        <v>671</v>
      </c>
      <c r="B707" s="1186" t="s">
        <v>1572</v>
      </c>
      <c r="C707" s="1186" t="s">
        <v>1501</v>
      </c>
      <c r="D707" s="1186">
        <v>2</v>
      </c>
    </row>
    <row r="708" spans="1:4" x14ac:dyDescent="0.2">
      <c r="A708" s="1186" t="s">
        <v>671</v>
      </c>
      <c r="B708" s="1186" t="s">
        <v>1572</v>
      </c>
      <c r="C708" s="1186" t="s">
        <v>1502</v>
      </c>
      <c r="D708" s="1186">
        <v>7</v>
      </c>
    </row>
    <row r="709" spans="1:4" x14ac:dyDescent="0.2">
      <c r="A709" s="1186" t="s">
        <v>671</v>
      </c>
      <c r="B709" s="1186" t="s">
        <v>1572</v>
      </c>
      <c r="C709" s="1186" t="s">
        <v>1503</v>
      </c>
      <c r="D709" s="1186">
        <v>11</v>
      </c>
    </row>
    <row r="710" spans="1:4" x14ac:dyDescent="0.2">
      <c r="A710" s="1186" t="s">
        <v>671</v>
      </c>
      <c r="B710" s="1186" t="s">
        <v>1572</v>
      </c>
      <c r="C710" s="1186" t="s">
        <v>1504</v>
      </c>
      <c r="D710" s="1186"/>
    </row>
    <row r="711" spans="1:4" x14ac:dyDescent="0.2">
      <c r="A711" s="1186" t="s">
        <v>671</v>
      </c>
      <c r="B711" s="1186" t="s">
        <v>1572</v>
      </c>
      <c r="C711" s="1186" t="s">
        <v>1505</v>
      </c>
      <c r="D711" s="1186">
        <v>4</v>
      </c>
    </row>
    <row r="712" spans="1:4" x14ac:dyDescent="0.2">
      <c r="A712" s="1186" t="s">
        <v>671</v>
      </c>
      <c r="B712" s="1186" t="s">
        <v>1572</v>
      </c>
      <c r="C712" s="1186" t="s">
        <v>1506</v>
      </c>
      <c r="D712" s="1186">
        <v>3</v>
      </c>
    </row>
    <row r="713" spans="1:4" x14ac:dyDescent="0.2">
      <c r="A713" s="1186" t="s">
        <v>671</v>
      </c>
      <c r="B713" s="1186" t="s">
        <v>1572</v>
      </c>
      <c r="C713" s="1186" t="s">
        <v>1507</v>
      </c>
      <c r="D713" s="1186">
        <v>2</v>
      </c>
    </row>
    <row r="714" spans="1:4" x14ac:dyDescent="0.2">
      <c r="A714" s="1186" t="s">
        <v>671</v>
      </c>
      <c r="B714" s="1186" t="s">
        <v>1572</v>
      </c>
      <c r="C714" s="1186" t="s">
        <v>1508</v>
      </c>
      <c r="D714" s="1186">
        <v>3</v>
      </c>
    </row>
    <row r="715" spans="1:4" x14ac:dyDescent="0.2">
      <c r="A715" s="1186" t="s">
        <v>671</v>
      </c>
      <c r="B715" s="1186" t="s">
        <v>1572</v>
      </c>
      <c r="C715" s="1186" t="s">
        <v>1509</v>
      </c>
      <c r="D715" s="1186"/>
    </row>
    <row r="716" spans="1:4" x14ac:dyDescent="0.2">
      <c r="A716" s="1186" t="s">
        <v>671</v>
      </c>
      <c r="B716" s="1186" t="s">
        <v>1572</v>
      </c>
      <c r="C716" s="1186" t="s">
        <v>1510</v>
      </c>
      <c r="D716" s="1186"/>
    </row>
    <row r="717" spans="1:4" x14ac:dyDescent="0.2">
      <c r="A717" s="1186" t="s">
        <v>671</v>
      </c>
      <c r="B717" s="1186" t="s">
        <v>1572</v>
      </c>
      <c r="C717" s="1186" t="s">
        <v>1511</v>
      </c>
      <c r="D717" s="1186">
        <v>3</v>
      </c>
    </row>
    <row r="718" spans="1:4" x14ac:dyDescent="0.2">
      <c r="A718" s="1186" t="s">
        <v>671</v>
      </c>
      <c r="B718" s="1186" t="s">
        <v>1572</v>
      </c>
      <c r="C718" s="1186" t="s">
        <v>1512</v>
      </c>
      <c r="D718" s="1186">
        <v>5</v>
      </c>
    </row>
    <row r="719" spans="1:4" x14ac:dyDescent="0.2">
      <c r="A719" s="1186" t="s">
        <v>671</v>
      </c>
      <c r="B719" s="1186" t="s">
        <v>1572</v>
      </c>
      <c r="C719" s="1186" t="s">
        <v>1513</v>
      </c>
      <c r="D719" s="1186">
        <v>1</v>
      </c>
    </row>
    <row r="720" spans="1:4" x14ac:dyDescent="0.2">
      <c r="A720" s="1186" t="s">
        <v>671</v>
      </c>
      <c r="B720" s="1186" t="s">
        <v>1572</v>
      </c>
      <c r="C720" s="1186" t="s">
        <v>1514</v>
      </c>
      <c r="D720" s="1186">
        <v>4</v>
      </c>
    </row>
    <row r="721" spans="1:4" x14ac:dyDescent="0.2">
      <c r="A721" s="1186" t="s">
        <v>671</v>
      </c>
      <c r="B721" s="1186" t="s">
        <v>1572</v>
      </c>
      <c r="C721" s="1186" t="s">
        <v>1515</v>
      </c>
      <c r="D721" s="1186">
        <v>1</v>
      </c>
    </row>
    <row r="722" spans="1:4" x14ac:dyDescent="0.2">
      <c r="A722" s="1186" t="s">
        <v>671</v>
      </c>
      <c r="B722" s="1186" t="s">
        <v>1572</v>
      </c>
      <c r="C722" s="1186" t="s">
        <v>1516</v>
      </c>
      <c r="D722" s="1186"/>
    </row>
  </sheetData>
  <pageMargins left="0.7" right="0.7" top="0.75" bottom="0.75" header="0.3" footer="0.3"/>
  <pageSetup paperSize="9" fitToHeight="5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F37"/>
  <sheetViews>
    <sheetView workbookViewId="0">
      <selection activeCell="G23" sqref="G23"/>
    </sheetView>
  </sheetViews>
  <sheetFormatPr defaultRowHeight="12.75" x14ac:dyDescent="0.2"/>
  <cols>
    <col min="1" max="1" width="19.5703125" bestFit="1" customWidth="1"/>
    <col min="2" max="2" width="11.85546875" bestFit="1" customWidth="1"/>
    <col min="3" max="3" width="27.42578125" bestFit="1" customWidth="1"/>
    <col min="4" max="4" width="32.85546875" bestFit="1" customWidth="1"/>
    <col min="5" max="5" width="28.85546875" bestFit="1" customWidth="1"/>
    <col min="6" max="6" width="10.7109375" bestFit="1" customWidth="1"/>
    <col min="7" max="7" width="22.5703125" customWidth="1"/>
    <col min="8" max="8" width="12" customWidth="1"/>
    <col min="9" max="9" width="12.7109375" customWidth="1"/>
    <col min="10" max="10" width="19.42578125" customWidth="1"/>
    <col min="11" max="11" width="12.140625" customWidth="1"/>
    <col min="12" max="12" width="17.5703125" customWidth="1"/>
    <col min="13" max="13" width="17.42578125" customWidth="1"/>
    <col min="14" max="14" width="7.140625" customWidth="1"/>
    <col min="15" max="15" width="5" customWidth="1"/>
    <col min="16" max="16" width="12.85546875" customWidth="1"/>
    <col min="17" max="17" width="9.140625" customWidth="1"/>
    <col min="18" max="18" width="10.42578125" customWidth="1"/>
    <col min="19" max="19" width="10.5703125" customWidth="1"/>
    <col min="20" max="20" width="6.5703125" customWidth="1"/>
    <col min="21" max="21" width="18.28515625" customWidth="1"/>
    <col min="22" max="22" width="14" customWidth="1"/>
    <col min="23" max="23" width="17.42578125" customWidth="1"/>
    <col min="24" max="24" width="14.42578125" customWidth="1"/>
    <col min="25" max="25" width="17.28515625" customWidth="1"/>
    <col min="26" max="26" width="13.140625" customWidth="1"/>
    <col min="27" max="27" width="15.85546875" customWidth="1"/>
    <col min="28" max="28" width="16.140625" customWidth="1"/>
    <col min="29" max="29" width="14.42578125" customWidth="1"/>
    <col min="30" max="30" width="17.85546875" customWidth="1"/>
    <col min="31" max="31" width="7.5703125" customWidth="1"/>
    <col min="32" max="32" width="20.140625" customWidth="1"/>
    <col min="33" max="34" width="12.85546875" customWidth="1"/>
    <col min="35" max="35" width="11.7109375" customWidth="1"/>
    <col min="36" max="132" width="35.28515625" bestFit="1" customWidth="1"/>
    <col min="133" max="133" width="18" bestFit="1" customWidth="1"/>
    <col min="134" max="134" width="35" bestFit="1" customWidth="1"/>
    <col min="135" max="135" width="40.5703125" bestFit="1" customWidth="1"/>
    <col min="136" max="136" width="36.28515625" bestFit="1" customWidth="1"/>
  </cols>
  <sheetData>
    <row r="2" spans="1:6" x14ac:dyDescent="0.2">
      <c r="A2" s="234" t="s">
        <v>4</v>
      </c>
      <c r="B2" t="s">
        <v>1572</v>
      </c>
    </row>
    <row r="4" spans="1:6" x14ac:dyDescent="0.2">
      <c r="A4" s="234" t="s">
        <v>326</v>
      </c>
      <c r="B4" t="s">
        <v>344</v>
      </c>
      <c r="C4" t="s">
        <v>351</v>
      </c>
      <c r="D4" t="s">
        <v>352</v>
      </c>
      <c r="E4" t="s">
        <v>350</v>
      </c>
      <c r="F4" t="s">
        <v>335</v>
      </c>
    </row>
    <row r="5" spans="1:6" x14ac:dyDescent="0.2">
      <c r="A5" s="235" t="s">
        <v>23</v>
      </c>
      <c r="B5">
        <v>2115</v>
      </c>
      <c r="C5">
        <v>86</v>
      </c>
      <c r="D5">
        <v>1717</v>
      </c>
      <c r="E5">
        <v>312</v>
      </c>
      <c r="F5">
        <v>229060</v>
      </c>
    </row>
    <row r="6" spans="1:6" x14ac:dyDescent="0.2">
      <c r="A6" s="235" t="s">
        <v>24</v>
      </c>
      <c r="B6">
        <v>1143</v>
      </c>
      <c r="C6">
        <v>36</v>
      </c>
      <c r="D6">
        <v>822</v>
      </c>
      <c r="E6">
        <v>285</v>
      </c>
      <c r="F6">
        <v>260780</v>
      </c>
    </row>
    <row r="7" spans="1:6" x14ac:dyDescent="0.2">
      <c r="A7" s="235" t="s">
        <v>25</v>
      </c>
      <c r="B7">
        <v>796</v>
      </c>
      <c r="C7">
        <v>21</v>
      </c>
      <c r="D7">
        <v>636</v>
      </c>
      <c r="E7">
        <v>139</v>
      </c>
      <c r="F7">
        <v>115820</v>
      </c>
    </row>
    <row r="8" spans="1:6" x14ac:dyDescent="0.2">
      <c r="A8" s="235" t="s">
        <v>26</v>
      </c>
      <c r="B8">
        <v>993</v>
      </c>
      <c r="C8">
        <v>7</v>
      </c>
      <c r="D8">
        <v>855</v>
      </c>
      <c r="E8">
        <v>131</v>
      </c>
      <c r="F8">
        <v>85430</v>
      </c>
    </row>
    <row r="9" spans="1:6" x14ac:dyDescent="0.2">
      <c r="A9" s="235" t="s">
        <v>619</v>
      </c>
      <c r="B9">
        <v>5401</v>
      </c>
      <c r="C9">
        <v>218</v>
      </c>
      <c r="D9">
        <v>4235</v>
      </c>
      <c r="E9">
        <v>948</v>
      </c>
      <c r="F9">
        <v>527620</v>
      </c>
    </row>
    <row r="10" spans="1:6" x14ac:dyDescent="0.2">
      <c r="A10" s="235" t="s">
        <v>27</v>
      </c>
      <c r="B10">
        <v>416</v>
      </c>
      <c r="C10">
        <v>11</v>
      </c>
      <c r="D10">
        <v>286</v>
      </c>
      <c r="E10">
        <v>119</v>
      </c>
      <c r="F10">
        <v>51290</v>
      </c>
    </row>
    <row r="11" spans="1:6" x14ac:dyDescent="0.2">
      <c r="A11" s="235" t="s">
        <v>28</v>
      </c>
      <c r="B11">
        <v>877</v>
      </c>
      <c r="C11">
        <v>24</v>
      </c>
      <c r="D11">
        <v>655</v>
      </c>
      <c r="E11">
        <v>198</v>
      </c>
      <c r="F11">
        <v>148290</v>
      </c>
    </row>
    <row r="12" spans="1:6" x14ac:dyDescent="0.2">
      <c r="A12" s="235" t="s">
        <v>29</v>
      </c>
      <c r="B12">
        <v>1826</v>
      </c>
      <c r="C12">
        <v>79</v>
      </c>
      <c r="D12">
        <v>1516</v>
      </c>
      <c r="E12">
        <v>231</v>
      </c>
      <c r="F12">
        <v>148820</v>
      </c>
    </row>
    <row r="13" spans="1:6" x14ac:dyDescent="0.2">
      <c r="A13" s="235" t="s">
        <v>30</v>
      </c>
      <c r="B13">
        <v>1161</v>
      </c>
      <c r="C13">
        <v>29</v>
      </c>
      <c r="D13">
        <v>813</v>
      </c>
      <c r="E13">
        <v>319</v>
      </c>
      <c r="F13">
        <v>121600</v>
      </c>
    </row>
    <row r="14" spans="1:6" x14ac:dyDescent="0.2">
      <c r="A14" s="235" t="s">
        <v>31</v>
      </c>
      <c r="B14">
        <v>571</v>
      </c>
      <c r="C14">
        <v>18</v>
      </c>
      <c r="D14">
        <v>389</v>
      </c>
      <c r="E14">
        <v>164</v>
      </c>
      <c r="F14">
        <v>108750</v>
      </c>
    </row>
    <row r="15" spans="1:6" x14ac:dyDescent="0.2">
      <c r="A15" s="235" t="s">
        <v>32</v>
      </c>
      <c r="B15">
        <v>826</v>
      </c>
      <c r="C15">
        <v>38</v>
      </c>
      <c r="D15">
        <v>615</v>
      </c>
      <c r="E15">
        <v>173</v>
      </c>
      <c r="F15">
        <v>107900</v>
      </c>
    </row>
    <row r="16" spans="1:6" x14ac:dyDescent="0.2">
      <c r="A16" s="235" t="s">
        <v>33</v>
      </c>
      <c r="B16">
        <v>610</v>
      </c>
      <c r="C16">
        <v>7</v>
      </c>
      <c r="D16">
        <v>459</v>
      </c>
      <c r="E16">
        <v>144</v>
      </c>
      <c r="F16">
        <v>96060</v>
      </c>
    </row>
    <row r="17" spans="1:6" x14ac:dyDescent="0.2">
      <c r="A17" s="235" t="s">
        <v>34</v>
      </c>
      <c r="B17">
        <v>1121</v>
      </c>
      <c r="C17">
        <v>34</v>
      </c>
      <c r="D17">
        <v>705</v>
      </c>
      <c r="E17">
        <v>382</v>
      </c>
      <c r="F17">
        <v>160560</v>
      </c>
    </row>
    <row r="18" spans="1:6" x14ac:dyDescent="0.2">
      <c r="A18" s="235" t="s">
        <v>35</v>
      </c>
      <c r="B18">
        <v>2783</v>
      </c>
      <c r="C18">
        <v>93</v>
      </c>
      <c r="D18">
        <v>2132</v>
      </c>
      <c r="E18">
        <v>558</v>
      </c>
      <c r="F18">
        <v>374130</v>
      </c>
    </row>
    <row r="19" spans="1:6" x14ac:dyDescent="0.2">
      <c r="A19" s="235" t="s">
        <v>36</v>
      </c>
      <c r="B19">
        <v>7294</v>
      </c>
      <c r="C19">
        <v>190</v>
      </c>
      <c r="D19">
        <v>5878</v>
      </c>
      <c r="E19">
        <v>1226</v>
      </c>
      <c r="F19">
        <v>635640</v>
      </c>
    </row>
    <row r="20" spans="1:6" x14ac:dyDescent="0.2">
      <c r="A20" s="235" t="s">
        <v>37</v>
      </c>
      <c r="B20">
        <v>2046</v>
      </c>
      <c r="C20">
        <v>73</v>
      </c>
      <c r="D20">
        <v>1531</v>
      </c>
      <c r="E20">
        <v>442</v>
      </c>
      <c r="F20">
        <v>235430</v>
      </c>
    </row>
    <row r="21" spans="1:6" x14ac:dyDescent="0.2">
      <c r="A21" s="235" t="s">
        <v>38</v>
      </c>
      <c r="B21">
        <v>700</v>
      </c>
      <c r="C21">
        <v>20</v>
      </c>
      <c r="D21">
        <v>490</v>
      </c>
      <c r="E21">
        <v>190</v>
      </c>
      <c r="F21">
        <v>77060</v>
      </c>
    </row>
    <row r="22" spans="1:6" x14ac:dyDescent="0.2">
      <c r="A22" s="235" t="s">
        <v>39</v>
      </c>
      <c r="B22">
        <v>632</v>
      </c>
      <c r="C22">
        <v>24</v>
      </c>
      <c r="D22">
        <v>454</v>
      </c>
      <c r="E22">
        <v>154</v>
      </c>
      <c r="F22">
        <v>93150</v>
      </c>
    </row>
    <row r="23" spans="1:6" x14ac:dyDescent="0.2">
      <c r="A23" s="235" t="s">
        <v>40</v>
      </c>
      <c r="B23">
        <v>591</v>
      </c>
      <c r="C23">
        <v>13</v>
      </c>
      <c r="D23">
        <v>472</v>
      </c>
      <c r="E23">
        <v>106</v>
      </c>
      <c r="F23">
        <v>95710</v>
      </c>
    </row>
    <row r="24" spans="1:6" x14ac:dyDescent="0.2">
      <c r="A24" s="235" t="s">
        <v>295</v>
      </c>
      <c r="B24">
        <v>221</v>
      </c>
      <c r="C24">
        <v>1</v>
      </c>
      <c r="D24">
        <v>148</v>
      </c>
      <c r="E24">
        <v>72</v>
      </c>
      <c r="F24">
        <v>26500</v>
      </c>
    </row>
    <row r="25" spans="1:6" x14ac:dyDescent="0.2">
      <c r="A25" s="235" t="s">
        <v>41</v>
      </c>
      <c r="B25">
        <v>1516</v>
      </c>
      <c r="C25">
        <v>30</v>
      </c>
      <c r="D25">
        <v>1137</v>
      </c>
      <c r="E25">
        <v>349</v>
      </c>
      <c r="F25">
        <v>134250</v>
      </c>
    </row>
    <row r="26" spans="1:6" x14ac:dyDescent="0.2">
      <c r="A26" s="235" t="s">
        <v>42</v>
      </c>
      <c r="B26">
        <v>2531</v>
      </c>
      <c r="C26">
        <v>74</v>
      </c>
      <c r="D26">
        <v>1849</v>
      </c>
      <c r="E26">
        <v>608</v>
      </c>
      <c r="F26">
        <v>341140</v>
      </c>
    </row>
    <row r="27" spans="1:6" x14ac:dyDescent="0.2">
      <c r="A27" s="235" t="s">
        <v>43</v>
      </c>
      <c r="B27">
        <v>63</v>
      </c>
      <c r="D27">
        <v>44</v>
      </c>
      <c r="E27">
        <v>19</v>
      </c>
      <c r="F27">
        <v>22400</v>
      </c>
    </row>
    <row r="28" spans="1:6" x14ac:dyDescent="0.2">
      <c r="A28" s="235" t="s">
        <v>44</v>
      </c>
      <c r="B28">
        <v>1158</v>
      </c>
      <c r="C28">
        <v>37</v>
      </c>
      <c r="D28">
        <v>892</v>
      </c>
      <c r="E28">
        <v>229</v>
      </c>
      <c r="F28">
        <v>151910</v>
      </c>
    </row>
    <row r="29" spans="1:6" x14ac:dyDescent="0.2">
      <c r="A29" s="235" t="s">
        <v>45</v>
      </c>
      <c r="B29">
        <v>1532</v>
      </c>
      <c r="C29">
        <v>70</v>
      </c>
      <c r="D29">
        <v>1143</v>
      </c>
      <c r="E29">
        <v>319</v>
      </c>
      <c r="F29">
        <v>179390</v>
      </c>
    </row>
    <row r="30" spans="1:6" x14ac:dyDescent="0.2">
      <c r="A30" s="235" t="s">
        <v>46</v>
      </c>
      <c r="B30">
        <v>835</v>
      </c>
      <c r="C30">
        <v>33</v>
      </c>
      <c r="D30">
        <v>600</v>
      </c>
      <c r="E30">
        <v>202</v>
      </c>
      <c r="F30">
        <v>115240</v>
      </c>
    </row>
    <row r="31" spans="1:6" x14ac:dyDescent="0.2">
      <c r="A31" s="235" t="s">
        <v>47</v>
      </c>
      <c r="B31">
        <v>132</v>
      </c>
      <c r="C31">
        <v>2</v>
      </c>
      <c r="D31">
        <v>100</v>
      </c>
      <c r="E31">
        <v>30</v>
      </c>
      <c r="F31">
        <v>22870</v>
      </c>
    </row>
    <row r="32" spans="1:6" x14ac:dyDescent="0.2">
      <c r="A32" s="235" t="s">
        <v>48</v>
      </c>
      <c r="B32">
        <v>1106</v>
      </c>
      <c r="C32">
        <v>34</v>
      </c>
      <c r="D32">
        <v>914</v>
      </c>
      <c r="E32">
        <v>158</v>
      </c>
      <c r="F32">
        <v>112140</v>
      </c>
    </row>
    <row r="33" spans="1:6" x14ac:dyDescent="0.2">
      <c r="A33" s="235" t="s">
        <v>49</v>
      </c>
      <c r="B33">
        <v>2645</v>
      </c>
      <c r="C33">
        <v>80</v>
      </c>
      <c r="D33">
        <v>2034</v>
      </c>
      <c r="E33">
        <v>531</v>
      </c>
      <c r="F33">
        <v>320820</v>
      </c>
    </row>
    <row r="34" spans="1:6" x14ac:dyDescent="0.2">
      <c r="A34" s="235" t="s">
        <v>50</v>
      </c>
      <c r="B34">
        <v>846</v>
      </c>
      <c r="C34">
        <v>11</v>
      </c>
      <c r="D34">
        <v>649</v>
      </c>
      <c r="E34">
        <v>186</v>
      </c>
      <c r="F34">
        <v>94080</v>
      </c>
    </row>
    <row r="35" spans="1:6" x14ac:dyDescent="0.2">
      <c r="A35" s="235" t="s">
        <v>51</v>
      </c>
      <c r="B35">
        <v>609</v>
      </c>
      <c r="C35">
        <v>45</v>
      </c>
      <c r="D35">
        <v>394</v>
      </c>
      <c r="E35">
        <v>170</v>
      </c>
      <c r="F35">
        <v>88340</v>
      </c>
    </row>
    <row r="36" spans="1:6" x14ac:dyDescent="0.2">
      <c r="A36" s="235" t="s">
        <v>52</v>
      </c>
      <c r="B36">
        <v>1723</v>
      </c>
      <c r="C36">
        <v>56</v>
      </c>
      <c r="D36">
        <v>1244</v>
      </c>
      <c r="E36">
        <v>423</v>
      </c>
      <c r="F36">
        <v>183820</v>
      </c>
    </row>
    <row r="37" spans="1:6" x14ac:dyDescent="0.2">
      <c r="A37" s="235" t="s">
        <v>1521</v>
      </c>
      <c r="B37">
        <v>1</v>
      </c>
      <c r="D37">
        <v>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D37"/>
  <sheetViews>
    <sheetView workbookViewId="0">
      <selection activeCell="G23" sqref="G23"/>
    </sheetView>
  </sheetViews>
  <sheetFormatPr defaultRowHeight="12.75" x14ac:dyDescent="0.2"/>
  <cols>
    <col min="1" max="1" width="19.5703125" bestFit="1" customWidth="1"/>
    <col min="2" max="2" width="30.85546875" bestFit="1" customWidth="1"/>
    <col min="3" max="3" width="27.42578125" bestFit="1" customWidth="1"/>
    <col min="4" max="4" width="28.85546875" bestFit="1" customWidth="1"/>
  </cols>
  <sheetData>
    <row r="2" spans="1:4" x14ac:dyDescent="0.2">
      <c r="A2" s="234" t="s">
        <v>4</v>
      </c>
      <c r="B2" t="s">
        <v>1572</v>
      </c>
    </row>
    <row r="4" spans="1:4" x14ac:dyDescent="0.2">
      <c r="A4" s="234" t="s">
        <v>326</v>
      </c>
      <c r="B4" t="s">
        <v>507</v>
      </c>
      <c r="C4" t="s">
        <v>351</v>
      </c>
      <c r="D4" t="s">
        <v>350</v>
      </c>
    </row>
    <row r="5" spans="1:4" x14ac:dyDescent="0.2">
      <c r="A5" s="235" t="s">
        <v>23</v>
      </c>
      <c r="B5">
        <v>29</v>
      </c>
      <c r="C5">
        <v>2</v>
      </c>
      <c r="D5">
        <v>27</v>
      </c>
    </row>
    <row r="6" spans="1:4" x14ac:dyDescent="0.2">
      <c r="A6" s="235" t="s">
        <v>24</v>
      </c>
      <c r="B6">
        <v>21</v>
      </c>
      <c r="C6">
        <v>1</v>
      </c>
      <c r="D6">
        <v>20</v>
      </c>
    </row>
    <row r="7" spans="1:4" x14ac:dyDescent="0.2">
      <c r="A7" s="235" t="s">
        <v>25</v>
      </c>
      <c r="B7">
        <v>6</v>
      </c>
      <c r="C7">
        <v>0</v>
      </c>
      <c r="D7">
        <v>6</v>
      </c>
    </row>
    <row r="8" spans="1:4" x14ac:dyDescent="0.2">
      <c r="A8" s="235" t="s">
        <v>26</v>
      </c>
      <c r="B8">
        <v>13</v>
      </c>
      <c r="C8">
        <v>0</v>
      </c>
      <c r="D8">
        <v>13</v>
      </c>
    </row>
    <row r="9" spans="1:4" x14ac:dyDescent="0.2">
      <c r="A9" s="235" t="s">
        <v>619</v>
      </c>
      <c r="B9">
        <v>141</v>
      </c>
      <c r="C9">
        <v>5</v>
      </c>
      <c r="D9">
        <v>136</v>
      </c>
    </row>
    <row r="10" spans="1:4" x14ac:dyDescent="0.2">
      <c r="A10" s="235" t="s">
        <v>27</v>
      </c>
      <c r="B10">
        <v>6</v>
      </c>
      <c r="C10">
        <v>0</v>
      </c>
      <c r="D10">
        <v>6</v>
      </c>
    </row>
    <row r="11" spans="1:4" x14ac:dyDescent="0.2">
      <c r="A11" s="235" t="s">
        <v>28</v>
      </c>
      <c r="B11">
        <v>14</v>
      </c>
      <c r="C11">
        <v>0</v>
      </c>
      <c r="D11">
        <v>14</v>
      </c>
    </row>
    <row r="12" spans="1:4" x14ac:dyDescent="0.2">
      <c r="A12" s="235" t="s">
        <v>29</v>
      </c>
      <c r="B12">
        <v>28</v>
      </c>
      <c r="C12">
        <v>1</v>
      </c>
      <c r="D12">
        <v>27</v>
      </c>
    </row>
    <row r="13" spans="1:4" x14ac:dyDescent="0.2">
      <c r="A13" s="235" t="s">
        <v>30</v>
      </c>
      <c r="B13">
        <v>16</v>
      </c>
      <c r="C13">
        <v>2</v>
      </c>
      <c r="D13">
        <v>14</v>
      </c>
    </row>
    <row r="14" spans="1:4" x14ac:dyDescent="0.2">
      <c r="A14" s="235" t="s">
        <v>31</v>
      </c>
      <c r="B14">
        <v>8</v>
      </c>
      <c r="C14">
        <v>0</v>
      </c>
      <c r="D14">
        <v>8</v>
      </c>
    </row>
    <row r="15" spans="1:4" x14ac:dyDescent="0.2">
      <c r="A15" s="235" t="s">
        <v>32</v>
      </c>
      <c r="B15">
        <v>9</v>
      </c>
      <c r="C15">
        <v>2</v>
      </c>
      <c r="D15">
        <v>7</v>
      </c>
    </row>
    <row r="16" spans="1:4" x14ac:dyDescent="0.2">
      <c r="A16" s="235" t="s">
        <v>33</v>
      </c>
      <c r="B16">
        <v>5</v>
      </c>
      <c r="C16">
        <v>0</v>
      </c>
      <c r="D16">
        <v>5</v>
      </c>
    </row>
    <row r="17" spans="1:4" x14ac:dyDescent="0.2">
      <c r="A17" s="235" t="s">
        <v>34</v>
      </c>
      <c r="B17">
        <v>24</v>
      </c>
      <c r="C17">
        <v>0</v>
      </c>
      <c r="D17">
        <v>24</v>
      </c>
    </row>
    <row r="18" spans="1:4" x14ac:dyDescent="0.2">
      <c r="A18" s="235" t="s">
        <v>35</v>
      </c>
      <c r="B18">
        <v>40</v>
      </c>
      <c r="C18">
        <v>1</v>
      </c>
      <c r="D18">
        <v>39</v>
      </c>
    </row>
    <row r="19" spans="1:4" x14ac:dyDescent="0.2">
      <c r="A19" s="235" t="s">
        <v>36</v>
      </c>
      <c r="B19">
        <v>147</v>
      </c>
      <c r="C19">
        <v>6</v>
      </c>
      <c r="D19">
        <v>141</v>
      </c>
    </row>
    <row r="20" spans="1:4" x14ac:dyDescent="0.2">
      <c r="A20" s="235" t="s">
        <v>37</v>
      </c>
      <c r="B20">
        <v>42</v>
      </c>
      <c r="C20">
        <v>3</v>
      </c>
      <c r="D20">
        <v>39</v>
      </c>
    </row>
    <row r="21" spans="1:4" x14ac:dyDescent="0.2">
      <c r="A21" s="235" t="s">
        <v>38</v>
      </c>
      <c r="B21">
        <v>19</v>
      </c>
      <c r="C21">
        <v>1</v>
      </c>
      <c r="D21">
        <v>18</v>
      </c>
    </row>
    <row r="22" spans="1:4" x14ac:dyDescent="0.2">
      <c r="A22" s="235" t="s">
        <v>39</v>
      </c>
      <c r="B22">
        <v>15</v>
      </c>
      <c r="C22">
        <v>0</v>
      </c>
      <c r="D22">
        <v>15</v>
      </c>
    </row>
    <row r="23" spans="1:4" x14ac:dyDescent="0.2">
      <c r="A23" s="235" t="s">
        <v>40</v>
      </c>
      <c r="B23">
        <v>9</v>
      </c>
      <c r="C23">
        <v>0</v>
      </c>
      <c r="D23">
        <v>9</v>
      </c>
    </row>
    <row r="24" spans="1:4" x14ac:dyDescent="0.2">
      <c r="A24" s="235" t="s">
        <v>295</v>
      </c>
      <c r="B24">
        <v>2</v>
      </c>
      <c r="C24">
        <v>0</v>
      </c>
      <c r="D24">
        <v>2</v>
      </c>
    </row>
    <row r="25" spans="1:4" x14ac:dyDescent="0.2">
      <c r="A25" s="235" t="s">
        <v>41</v>
      </c>
      <c r="B25">
        <v>57</v>
      </c>
      <c r="C25">
        <v>1</v>
      </c>
      <c r="D25">
        <v>56</v>
      </c>
    </row>
    <row r="26" spans="1:4" x14ac:dyDescent="0.2">
      <c r="A26" s="235" t="s">
        <v>42</v>
      </c>
      <c r="B26">
        <v>49</v>
      </c>
      <c r="C26">
        <v>1</v>
      </c>
      <c r="D26">
        <v>48</v>
      </c>
    </row>
    <row r="27" spans="1:4" x14ac:dyDescent="0.2">
      <c r="A27" s="235" t="s">
        <v>43</v>
      </c>
      <c r="B27">
        <v>10</v>
      </c>
      <c r="C27">
        <v>0</v>
      </c>
      <c r="D27">
        <v>10</v>
      </c>
    </row>
    <row r="28" spans="1:4" x14ac:dyDescent="0.2">
      <c r="A28" s="235" t="s">
        <v>44</v>
      </c>
      <c r="B28">
        <v>13</v>
      </c>
      <c r="C28">
        <v>1</v>
      </c>
      <c r="D28">
        <v>12</v>
      </c>
    </row>
    <row r="29" spans="1:4" x14ac:dyDescent="0.2">
      <c r="A29" s="235" t="s">
        <v>45</v>
      </c>
      <c r="B29">
        <v>46</v>
      </c>
      <c r="C29">
        <v>1</v>
      </c>
      <c r="D29">
        <v>45</v>
      </c>
    </row>
    <row r="30" spans="1:4" x14ac:dyDescent="0.2">
      <c r="A30" s="235" t="s">
        <v>46</v>
      </c>
      <c r="B30">
        <v>16</v>
      </c>
      <c r="C30">
        <v>0</v>
      </c>
      <c r="D30">
        <v>16</v>
      </c>
    </row>
    <row r="31" spans="1:4" x14ac:dyDescent="0.2">
      <c r="A31" s="235" t="s">
        <v>47</v>
      </c>
      <c r="B31">
        <v>3</v>
      </c>
      <c r="C31">
        <v>0</v>
      </c>
      <c r="D31">
        <v>3</v>
      </c>
    </row>
    <row r="32" spans="1:4" x14ac:dyDescent="0.2">
      <c r="A32" s="235" t="s">
        <v>48</v>
      </c>
      <c r="B32">
        <v>14</v>
      </c>
      <c r="C32">
        <v>1</v>
      </c>
      <c r="D32">
        <v>13</v>
      </c>
    </row>
    <row r="33" spans="1:4" x14ac:dyDescent="0.2">
      <c r="A33" s="235" t="s">
        <v>49</v>
      </c>
      <c r="B33">
        <v>62</v>
      </c>
      <c r="C33">
        <v>2</v>
      </c>
      <c r="D33">
        <v>60</v>
      </c>
    </row>
    <row r="34" spans="1:4" x14ac:dyDescent="0.2">
      <c r="A34" s="235" t="s">
        <v>50</v>
      </c>
      <c r="B34">
        <v>14</v>
      </c>
      <c r="C34">
        <v>0</v>
      </c>
      <c r="D34">
        <v>14</v>
      </c>
    </row>
    <row r="35" spans="1:4" x14ac:dyDescent="0.2">
      <c r="A35" s="235" t="s">
        <v>51</v>
      </c>
      <c r="B35">
        <v>25</v>
      </c>
      <c r="C35">
        <v>0</v>
      </c>
      <c r="D35">
        <v>25</v>
      </c>
    </row>
    <row r="36" spans="1:4" x14ac:dyDescent="0.2">
      <c r="A36" s="235" t="s">
        <v>52</v>
      </c>
      <c r="B36">
        <v>19</v>
      </c>
      <c r="C36">
        <v>0</v>
      </c>
      <c r="D36">
        <v>19</v>
      </c>
    </row>
    <row r="37" spans="1:4" x14ac:dyDescent="0.2">
      <c r="A37" s="235" t="s">
        <v>333</v>
      </c>
      <c r="B37">
        <v>922</v>
      </c>
      <c r="C37">
        <v>31</v>
      </c>
      <c r="D37">
        <v>891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V42"/>
  <sheetViews>
    <sheetView workbookViewId="0">
      <selection activeCell="G23" sqref="G23"/>
    </sheetView>
  </sheetViews>
  <sheetFormatPr defaultRowHeight="12.75" x14ac:dyDescent="0.2"/>
  <cols>
    <col min="1" max="1" width="19.5703125" bestFit="1" customWidth="1"/>
    <col min="2" max="2" width="13.85546875" bestFit="1" customWidth="1"/>
    <col min="3" max="3" width="31.85546875" bestFit="1" customWidth="1"/>
    <col min="4" max="4" width="17.7109375" bestFit="1" customWidth="1"/>
    <col min="5" max="5" width="39.140625" bestFit="1" customWidth="1"/>
    <col min="6" max="6" width="38.5703125" bestFit="1" customWidth="1"/>
    <col min="7" max="7" width="27.42578125" bestFit="1" customWidth="1"/>
    <col min="8" max="8" width="20.42578125" bestFit="1" customWidth="1"/>
    <col min="9" max="9" width="52.28515625" bestFit="1" customWidth="1"/>
    <col min="10" max="10" width="24.7109375" bestFit="1" customWidth="1"/>
    <col min="11" max="11" width="35.5703125" bestFit="1" customWidth="1"/>
    <col min="12" max="12" width="33.5703125" bestFit="1" customWidth="1"/>
    <col min="13" max="13" width="26.85546875" bestFit="1" customWidth="1"/>
    <col min="14" max="14" width="34.42578125" bestFit="1" customWidth="1"/>
    <col min="15" max="15" width="26.85546875" bestFit="1" customWidth="1"/>
    <col min="16" max="16" width="30" bestFit="1" customWidth="1"/>
    <col min="17" max="17" width="33.42578125" bestFit="1" customWidth="1"/>
    <col min="18" max="18" width="24" bestFit="1" customWidth="1"/>
    <col min="19" max="19" width="18.140625" bestFit="1" customWidth="1"/>
    <col min="20" max="20" width="29" bestFit="1" customWidth="1"/>
    <col min="21" max="21" width="20.5703125" bestFit="1" customWidth="1"/>
    <col min="22" max="22" width="11.42578125" customWidth="1"/>
  </cols>
  <sheetData>
    <row r="2" spans="1:21" x14ac:dyDescent="0.2">
      <c r="A2" s="234" t="s">
        <v>4</v>
      </c>
      <c r="B2" t="s">
        <v>1572</v>
      </c>
    </row>
    <row r="4" spans="1:21" x14ac:dyDescent="0.2">
      <c r="A4" s="234" t="s">
        <v>326</v>
      </c>
      <c r="B4" t="s">
        <v>353</v>
      </c>
      <c r="C4" t="s">
        <v>354</v>
      </c>
      <c r="D4" t="s">
        <v>355</v>
      </c>
      <c r="E4" t="s">
        <v>356</v>
      </c>
      <c r="F4" t="s">
        <v>357</v>
      </c>
      <c r="G4" t="s">
        <v>358</v>
      </c>
      <c r="H4" t="s">
        <v>359</v>
      </c>
      <c r="I4" t="s">
        <v>360</v>
      </c>
      <c r="J4" t="s">
        <v>361</v>
      </c>
      <c r="K4" t="s">
        <v>362</v>
      </c>
      <c r="L4" t="s">
        <v>363</v>
      </c>
      <c r="M4" t="s">
        <v>364</v>
      </c>
      <c r="N4" t="s">
        <v>365</v>
      </c>
      <c r="O4" t="s">
        <v>366</v>
      </c>
      <c r="P4" t="s">
        <v>367</v>
      </c>
      <c r="Q4" t="s">
        <v>368</v>
      </c>
      <c r="R4" t="s">
        <v>369</v>
      </c>
      <c r="S4" t="s">
        <v>370</v>
      </c>
      <c r="T4" t="s">
        <v>371</v>
      </c>
      <c r="U4" t="s">
        <v>372</v>
      </c>
    </row>
    <row r="5" spans="1:21" x14ac:dyDescent="0.2">
      <c r="A5" s="235" t="s">
        <v>23</v>
      </c>
      <c r="B5">
        <v>58</v>
      </c>
      <c r="C5">
        <v>11</v>
      </c>
      <c r="D5">
        <v>78</v>
      </c>
      <c r="E5">
        <v>6</v>
      </c>
      <c r="F5">
        <v>38</v>
      </c>
      <c r="G5">
        <v>5</v>
      </c>
      <c r="H5">
        <v>97</v>
      </c>
      <c r="I5">
        <v>7</v>
      </c>
      <c r="J5">
        <v>9</v>
      </c>
      <c r="K5">
        <v>12</v>
      </c>
      <c r="L5">
        <v>4</v>
      </c>
      <c r="M5">
        <v>10</v>
      </c>
      <c r="N5">
        <v>20</v>
      </c>
      <c r="O5">
        <v>135</v>
      </c>
      <c r="P5">
        <v>20</v>
      </c>
      <c r="Q5">
        <v>31</v>
      </c>
      <c r="R5">
        <v>0</v>
      </c>
      <c r="S5">
        <v>0</v>
      </c>
      <c r="T5">
        <v>20</v>
      </c>
      <c r="U5">
        <v>9</v>
      </c>
    </row>
    <row r="6" spans="1:21" x14ac:dyDescent="0.2">
      <c r="A6" s="235" t="s">
        <v>24</v>
      </c>
      <c r="B6">
        <v>149</v>
      </c>
      <c r="C6">
        <v>5</v>
      </c>
      <c r="D6">
        <v>44</v>
      </c>
      <c r="E6">
        <v>7</v>
      </c>
      <c r="F6">
        <v>16</v>
      </c>
      <c r="G6">
        <v>3</v>
      </c>
      <c r="H6">
        <v>5</v>
      </c>
      <c r="I6">
        <v>8</v>
      </c>
      <c r="J6">
        <v>8</v>
      </c>
      <c r="K6">
        <v>6</v>
      </c>
      <c r="L6">
        <v>1</v>
      </c>
      <c r="M6">
        <v>5</v>
      </c>
      <c r="N6">
        <v>37</v>
      </c>
      <c r="O6">
        <v>90</v>
      </c>
      <c r="P6">
        <v>7</v>
      </c>
      <c r="Q6">
        <v>14</v>
      </c>
      <c r="R6">
        <v>2</v>
      </c>
      <c r="S6">
        <v>1</v>
      </c>
      <c r="T6">
        <v>43</v>
      </c>
      <c r="U6">
        <v>6</v>
      </c>
    </row>
    <row r="7" spans="1:21" x14ac:dyDescent="0.2">
      <c r="A7" s="235" t="s">
        <v>25</v>
      </c>
      <c r="B7">
        <v>49</v>
      </c>
      <c r="C7">
        <v>1</v>
      </c>
      <c r="D7">
        <v>20</v>
      </c>
      <c r="E7">
        <v>7</v>
      </c>
      <c r="F7">
        <v>20</v>
      </c>
      <c r="G7">
        <v>0</v>
      </c>
      <c r="H7">
        <v>11</v>
      </c>
      <c r="I7">
        <v>5</v>
      </c>
      <c r="J7">
        <v>5</v>
      </c>
      <c r="K7">
        <v>0</v>
      </c>
      <c r="L7">
        <v>4</v>
      </c>
      <c r="M7">
        <v>1</v>
      </c>
      <c r="N7">
        <v>14</v>
      </c>
      <c r="O7">
        <v>110</v>
      </c>
      <c r="P7">
        <v>9</v>
      </c>
      <c r="Q7">
        <v>10</v>
      </c>
      <c r="R7">
        <v>0</v>
      </c>
      <c r="S7">
        <v>0</v>
      </c>
      <c r="T7">
        <v>21</v>
      </c>
      <c r="U7">
        <v>4</v>
      </c>
    </row>
    <row r="8" spans="1:21" x14ac:dyDescent="0.2">
      <c r="A8" s="235" t="s">
        <v>26</v>
      </c>
      <c r="B8">
        <v>28</v>
      </c>
      <c r="C8">
        <v>4</v>
      </c>
      <c r="D8">
        <v>17</v>
      </c>
      <c r="E8">
        <v>2</v>
      </c>
      <c r="F8">
        <v>8</v>
      </c>
      <c r="G8">
        <v>1</v>
      </c>
      <c r="H8">
        <v>4</v>
      </c>
      <c r="I8">
        <v>12</v>
      </c>
      <c r="J8">
        <v>1</v>
      </c>
      <c r="K8">
        <v>1</v>
      </c>
      <c r="L8">
        <v>3</v>
      </c>
      <c r="M8">
        <v>6</v>
      </c>
      <c r="N8">
        <v>4</v>
      </c>
      <c r="O8">
        <v>37</v>
      </c>
      <c r="P8">
        <v>7</v>
      </c>
      <c r="Q8">
        <v>20</v>
      </c>
      <c r="R8">
        <v>0</v>
      </c>
      <c r="S8">
        <v>0</v>
      </c>
      <c r="T8">
        <v>58</v>
      </c>
      <c r="U8">
        <v>2</v>
      </c>
    </row>
    <row r="9" spans="1:21" x14ac:dyDescent="0.2">
      <c r="A9" s="235" t="s">
        <v>619</v>
      </c>
      <c r="B9">
        <v>81</v>
      </c>
      <c r="C9">
        <v>6</v>
      </c>
      <c r="D9">
        <v>190</v>
      </c>
      <c r="E9">
        <v>12</v>
      </c>
      <c r="F9">
        <v>62</v>
      </c>
      <c r="G9">
        <v>10</v>
      </c>
      <c r="H9">
        <v>56</v>
      </c>
      <c r="I9">
        <v>21</v>
      </c>
      <c r="J9">
        <v>25</v>
      </c>
      <c r="K9">
        <v>24</v>
      </c>
      <c r="L9">
        <v>7</v>
      </c>
      <c r="M9">
        <v>24</v>
      </c>
      <c r="N9">
        <v>38</v>
      </c>
      <c r="O9">
        <v>469</v>
      </c>
      <c r="P9">
        <v>43</v>
      </c>
      <c r="Q9">
        <v>53</v>
      </c>
      <c r="R9">
        <v>0</v>
      </c>
      <c r="S9">
        <v>0</v>
      </c>
      <c r="T9">
        <v>55</v>
      </c>
      <c r="U9">
        <v>19</v>
      </c>
    </row>
    <row r="10" spans="1:21" x14ac:dyDescent="0.2">
      <c r="A10" s="235" t="s">
        <v>27</v>
      </c>
      <c r="B10">
        <v>11</v>
      </c>
      <c r="C10">
        <v>0</v>
      </c>
      <c r="D10">
        <v>15</v>
      </c>
      <c r="E10">
        <v>0</v>
      </c>
      <c r="F10">
        <v>8</v>
      </c>
      <c r="G10">
        <v>0</v>
      </c>
      <c r="H10">
        <v>0</v>
      </c>
      <c r="I10">
        <v>2</v>
      </c>
      <c r="J10">
        <v>0</v>
      </c>
      <c r="K10">
        <v>1</v>
      </c>
      <c r="L10">
        <v>2</v>
      </c>
      <c r="M10">
        <v>6</v>
      </c>
      <c r="N10">
        <v>7</v>
      </c>
      <c r="O10">
        <v>45</v>
      </c>
      <c r="P10">
        <v>3</v>
      </c>
      <c r="Q10">
        <v>5</v>
      </c>
      <c r="R10">
        <v>0</v>
      </c>
      <c r="S10">
        <v>0</v>
      </c>
      <c r="T10">
        <v>8</v>
      </c>
      <c r="U10">
        <v>0</v>
      </c>
    </row>
    <row r="11" spans="1:21" x14ac:dyDescent="0.2">
      <c r="A11" s="235" t="s">
        <v>28</v>
      </c>
      <c r="B11">
        <v>51</v>
      </c>
      <c r="C11">
        <v>3</v>
      </c>
      <c r="D11">
        <v>14</v>
      </c>
      <c r="E11">
        <v>12</v>
      </c>
      <c r="F11">
        <v>17</v>
      </c>
      <c r="G11">
        <v>1</v>
      </c>
      <c r="H11">
        <v>13</v>
      </c>
      <c r="I11">
        <v>18</v>
      </c>
      <c r="J11">
        <v>9</v>
      </c>
      <c r="K11">
        <v>12</v>
      </c>
      <c r="L11">
        <v>2</v>
      </c>
      <c r="M11">
        <v>4</v>
      </c>
      <c r="N11">
        <v>14</v>
      </c>
      <c r="O11">
        <v>67</v>
      </c>
      <c r="P11">
        <v>7</v>
      </c>
      <c r="Q11">
        <v>4</v>
      </c>
      <c r="R11">
        <v>0</v>
      </c>
      <c r="S11">
        <v>1</v>
      </c>
      <c r="T11">
        <v>34</v>
      </c>
      <c r="U11">
        <v>8</v>
      </c>
    </row>
    <row r="12" spans="1:21" x14ac:dyDescent="0.2">
      <c r="A12" s="235" t="s">
        <v>29</v>
      </c>
      <c r="B12">
        <v>31</v>
      </c>
      <c r="C12">
        <v>2</v>
      </c>
      <c r="D12">
        <v>55</v>
      </c>
      <c r="E12">
        <v>2</v>
      </c>
      <c r="F12">
        <v>30</v>
      </c>
      <c r="G12">
        <v>4</v>
      </c>
      <c r="H12">
        <v>22</v>
      </c>
      <c r="I12">
        <v>8</v>
      </c>
      <c r="J12">
        <v>10</v>
      </c>
      <c r="K12">
        <v>5</v>
      </c>
      <c r="L12">
        <v>3</v>
      </c>
      <c r="M12">
        <v>12</v>
      </c>
      <c r="N12">
        <v>18</v>
      </c>
      <c r="O12">
        <v>146</v>
      </c>
      <c r="P12">
        <v>51</v>
      </c>
      <c r="Q12">
        <v>16</v>
      </c>
      <c r="R12">
        <v>0</v>
      </c>
      <c r="S12">
        <v>0</v>
      </c>
      <c r="T12">
        <v>35</v>
      </c>
      <c r="U12">
        <v>9</v>
      </c>
    </row>
    <row r="13" spans="1:21" x14ac:dyDescent="0.2">
      <c r="A13" s="235" t="s">
        <v>30</v>
      </c>
      <c r="B13">
        <v>44</v>
      </c>
      <c r="C13">
        <v>0</v>
      </c>
      <c r="D13">
        <v>29</v>
      </c>
      <c r="E13">
        <v>6</v>
      </c>
      <c r="F13">
        <v>15</v>
      </c>
      <c r="G13">
        <v>5</v>
      </c>
      <c r="H13">
        <v>2</v>
      </c>
      <c r="I13">
        <v>8</v>
      </c>
      <c r="J13">
        <v>3</v>
      </c>
      <c r="K13">
        <v>0</v>
      </c>
      <c r="L13">
        <v>1</v>
      </c>
      <c r="M13">
        <v>8</v>
      </c>
      <c r="N13">
        <v>5</v>
      </c>
      <c r="O13">
        <v>56</v>
      </c>
      <c r="P13">
        <v>5</v>
      </c>
      <c r="Q13">
        <v>27</v>
      </c>
      <c r="R13">
        <v>0</v>
      </c>
      <c r="S13">
        <v>1</v>
      </c>
      <c r="T13">
        <v>24</v>
      </c>
      <c r="U13">
        <v>4</v>
      </c>
    </row>
    <row r="14" spans="1:21" x14ac:dyDescent="0.2">
      <c r="A14" s="235" t="s">
        <v>31</v>
      </c>
      <c r="B14">
        <v>13</v>
      </c>
      <c r="C14">
        <v>3</v>
      </c>
      <c r="D14">
        <v>13</v>
      </c>
      <c r="E14">
        <v>2</v>
      </c>
      <c r="F14">
        <v>11</v>
      </c>
      <c r="G14">
        <v>1</v>
      </c>
      <c r="H14">
        <v>1</v>
      </c>
      <c r="I14">
        <v>6</v>
      </c>
      <c r="J14">
        <v>2</v>
      </c>
      <c r="K14">
        <v>2</v>
      </c>
      <c r="L14">
        <v>1</v>
      </c>
      <c r="M14">
        <v>22</v>
      </c>
      <c r="N14">
        <v>4</v>
      </c>
      <c r="O14">
        <v>41</v>
      </c>
      <c r="P14">
        <v>2</v>
      </c>
      <c r="Q14">
        <v>13</v>
      </c>
      <c r="R14">
        <v>0</v>
      </c>
      <c r="S14">
        <v>1</v>
      </c>
      <c r="T14">
        <v>18</v>
      </c>
      <c r="U14">
        <v>4</v>
      </c>
    </row>
    <row r="15" spans="1:21" x14ac:dyDescent="0.2">
      <c r="A15" s="235" t="s">
        <v>32</v>
      </c>
      <c r="B15">
        <v>25</v>
      </c>
      <c r="C15">
        <v>1</v>
      </c>
      <c r="D15">
        <v>15</v>
      </c>
      <c r="E15">
        <v>3</v>
      </c>
      <c r="F15">
        <v>15</v>
      </c>
      <c r="G15">
        <v>0</v>
      </c>
      <c r="H15">
        <v>1</v>
      </c>
      <c r="I15">
        <v>9</v>
      </c>
      <c r="J15">
        <v>5</v>
      </c>
      <c r="K15">
        <v>2</v>
      </c>
      <c r="L15">
        <v>2</v>
      </c>
      <c r="M15">
        <v>12</v>
      </c>
      <c r="N15">
        <v>5</v>
      </c>
      <c r="O15">
        <v>59</v>
      </c>
      <c r="P15">
        <v>4</v>
      </c>
      <c r="Q15">
        <v>10</v>
      </c>
      <c r="R15">
        <v>0</v>
      </c>
      <c r="S15">
        <v>1</v>
      </c>
      <c r="T15">
        <v>17</v>
      </c>
      <c r="U15">
        <v>0</v>
      </c>
    </row>
    <row r="16" spans="1:21" x14ac:dyDescent="0.2">
      <c r="A16" s="235" t="s">
        <v>33</v>
      </c>
      <c r="B16">
        <v>11</v>
      </c>
      <c r="C16">
        <v>1</v>
      </c>
      <c r="D16">
        <v>13</v>
      </c>
      <c r="E16">
        <v>0</v>
      </c>
      <c r="F16">
        <v>3</v>
      </c>
      <c r="G16">
        <v>2</v>
      </c>
      <c r="H16">
        <v>5</v>
      </c>
      <c r="I16">
        <v>2</v>
      </c>
      <c r="J16">
        <v>1</v>
      </c>
      <c r="K16">
        <v>0</v>
      </c>
      <c r="L16">
        <v>0</v>
      </c>
      <c r="M16">
        <v>5</v>
      </c>
      <c r="N16">
        <v>11</v>
      </c>
      <c r="O16">
        <v>32</v>
      </c>
      <c r="P16">
        <v>2</v>
      </c>
      <c r="Q16">
        <v>14</v>
      </c>
      <c r="R16">
        <v>0</v>
      </c>
      <c r="S16">
        <v>0</v>
      </c>
      <c r="T16">
        <v>11</v>
      </c>
      <c r="U16">
        <v>1</v>
      </c>
    </row>
    <row r="17" spans="1:21" x14ac:dyDescent="0.2">
      <c r="A17" s="235" t="s">
        <v>34</v>
      </c>
      <c r="B17">
        <v>53</v>
      </c>
      <c r="C17">
        <v>1</v>
      </c>
      <c r="D17">
        <v>43</v>
      </c>
      <c r="E17">
        <v>13</v>
      </c>
      <c r="F17">
        <v>16</v>
      </c>
      <c r="G17">
        <v>6</v>
      </c>
      <c r="H17">
        <v>7</v>
      </c>
      <c r="I17">
        <v>9</v>
      </c>
      <c r="J17">
        <v>2</v>
      </c>
      <c r="K17">
        <v>9</v>
      </c>
      <c r="L17">
        <v>2</v>
      </c>
      <c r="M17">
        <v>10</v>
      </c>
      <c r="N17">
        <v>18</v>
      </c>
      <c r="O17">
        <v>100</v>
      </c>
      <c r="P17">
        <v>6</v>
      </c>
      <c r="Q17">
        <v>17</v>
      </c>
      <c r="R17">
        <v>0</v>
      </c>
      <c r="S17">
        <v>0</v>
      </c>
      <c r="T17">
        <v>32</v>
      </c>
      <c r="U17">
        <v>1</v>
      </c>
    </row>
    <row r="18" spans="1:21" x14ac:dyDescent="0.2">
      <c r="A18" s="235" t="s">
        <v>35</v>
      </c>
      <c r="B18">
        <v>100</v>
      </c>
      <c r="C18">
        <v>0</v>
      </c>
      <c r="D18">
        <v>145</v>
      </c>
      <c r="E18">
        <v>11</v>
      </c>
      <c r="F18">
        <v>56</v>
      </c>
      <c r="G18">
        <v>3</v>
      </c>
      <c r="H18">
        <v>16</v>
      </c>
      <c r="I18">
        <v>23</v>
      </c>
      <c r="J18">
        <v>16</v>
      </c>
      <c r="K18">
        <v>12</v>
      </c>
      <c r="L18">
        <v>7</v>
      </c>
      <c r="M18">
        <v>28</v>
      </c>
      <c r="N18">
        <v>34</v>
      </c>
      <c r="O18">
        <v>298</v>
      </c>
      <c r="P18">
        <v>14</v>
      </c>
      <c r="Q18">
        <v>32</v>
      </c>
      <c r="R18">
        <v>0</v>
      </c>
      <c r="S18">
        <v>2</v>
      </c>
      <c r="T18">
        <v>45</v>
      </c>
      <c r="U18">
        <v>7</v>
      </c>
    </row>
    <row r="19" spans="1:21" x14ac:dyDescent="0.2">
      <c r="A19" s="235" t="s">
        <v>36</v>
      </c>
      <c r="B19">
        <v>151</v>
      </c>
      <c r="C19">
        <v>12</v>
      </c>
      <c r="D19">
        <v>329</v>
      </c>
      <c r="E19">
        <v>34</v>
      </c>
      <c r="F19">
        <v>64</v>
      </c>
      <c r="G19">
        <v>16</v>
      </c>
      <c r="H19">
        <v>86</v>
      </c>
      <c r="I19">
        <v>56</v>
      </c>
      <c r="J19">
        <v>36</v>
      </c>
      <c r="K19">
        <v>18</v>
      </c>
      <c r="L19">
        <v>8</v>
      </c>
      <c r="M19">
        <v>67</v>
      </c>
      <c r="N19">
        <v>53</v>
      </c>
      <c r="O19">
        <v>634</v>
      </c>
      <c r="P19">
        <v>20</v>
      </c>
      <c r="Q19">
        <v>249</v>
      </c>
      <c r="R19">
        <v>1</v>
      </c>
      <c r="S19">
        <v>1</v>
      </c>
      <c r="T19">
        <v>207</v>
      </c>
      <c r="U19">
        <v>41</v>
      </c>
    </row>
    <row r="20" spans="1:21" x14ac:dyDescent="0.2">
      <c r="A20" s="235" t="s">
        <v>37</v>
      </c>
      <c r="B20">
        <v>140</v>
      </c>
      <c r="C20">
        <v>3</v>
      </c>
      <c r="D20">
        <v>41</v>
      </c>
      <c r="E20">
        <v>17</v>
      </c>
      <c r="F20">
        <v>31</v>
      </c>
      <c r="G20">
        <v>6</v>
      </c>
      <c r="H20">
        <v>4</v>
      </c>
      <c r="I20">
        <v>10</v>
      </c>
      <c r="J20">
        <v>6</v>
      </c>
      <c r="K20">
        <v>6</v>
      </c>
      <c r="L20">
        <v>2</v>
      </c>
      <c r="M20">
        <v>6</v>
      </c>
      <c r="N20">
        <v>23</v>
      </c>
      <c r="O20">
        <v>112</v>
      </c>
      <c r="P20">
        <v>13</v>
      </c>
      <c r="Q20">
        <v>12</v>
      </c>
      <c r="R20">
        <v>0</v>
      </c>
      <c r="S20">
        <v>1</v>
      </c>
      <c r="T20">
        <v>81</v>
      </c>
      <c r="U20">
        <v>3</v>
      </c>
    </row>
    <row r="21" spans="1:21" x14ac:dyDescent="0.2">
      <c r="A21" s="235" t="s">
        <v>38</v>
      </c>
      <c r="B21">
        <v>26</v>
      </c>
      <c r="C21">
        <v>1</v>
      </c>
      <c r="D21">
        <v>23</v>
      </c>
      <c r="E21">
        <v>2</v>
      </c>
      <c r="F21">
        <v>10</v>
      </c>
      <c r="G21">
        <v>4</v>
      </c>
      <c r="H21">
        <v>5</v>
      </c>
      <c r="I21">
        <v>6</v>
      </c>
      <c r="J21">
        <v>2</v>
      </c>
      <c r="K21">
        <v>6</v>
      </c>
      <c r="L21">
        <v>0</v>
      </c>
      <c r="M21">
        <v>5</v>
      </c>
      <c r="N21">
        <v>6</v>
      </c>
      <c r="O21">
        <v>72</v>
      </c>
      <c r="P21">
        <v>4</v>
      </c>
      <c r="Q21">
        <v>25</v>
      </c>
      <c r="R21">
        <v>0</v>
      </c>
      <c r="S21">
        <v>2</v>
      </c>
      <c r="T21">
        <v>16</v>
      </c>
      <c r="U21">
        <v>1</v>
      </c>
    </row>
    <row r="22" spans="1:21" x14ac:dyDescent="0.2">
      <c r="A22" s="235" t="s">
        <v>39</v>
      </c>
      <c r="B22">
        <v>21</v>
      </c>
      <c r="C22">
        <v>0</v>
      </c>
      <c r="D22">
        <v>20</v>
      </c>
      <c r="E22">
        <v>6</v>
      </c>
      <c r="F22">
        <v>5</v>
      </c>
      <c r="G22">
        <v>0</v>
      </c>
      <c r="H22">
        <v>1</v>
      </c>
      <c r="I22">
        <v>7</v>
      </c>
      <c r="J22">
        <v>4</v>
      </c>
      <c r="K22">
        <v>2</v>
      </c>
      <c r="L22">
        <v>0</v>
      </c>
      <c r="M22">
        <v>10</v>
      </c>
      <c r="N22">
        <v>6</v>
      </c>
      <c r="O22">
        <v>45</v>
      </c>
      <c r="P22">
        <v>3</v>
      </c>
      <c r="Q22">
        <v>5</v>
      </c>
      <c r="R22">
        <v>0</v>
      </c>
      <c r="S22">
        <v>0</v>
      </c>
      <c r="T22">
        <v>18</v>
      </c>
      <c r="U22">
        <v>1</v>
      </c>
    </row>
    <row r="23" spans="1:21" x14ac:dyDescent="0.2">
      <c r="A23" s="235" t="s">
        <v>40</v>
      </c>
      <c r="B23">
        <v>29</v>
      </c>
      <c r="C23">
        <v>1</v>
      </c>
      <c r="D23">
        <v>9</v>
      </c>
      <c r="E23">
        <v>5</v>
      </c>
      <c r="F23">
        <v>5</v>
      </c>
      <c r="G23">
        <v>0</v>
      </c>
      <c r="H23">
        <v>2</v>
      </c>
      <c r="I23">
        <v>1</v>
      </c>
      <c r="J23">
        <v>0</v>
      </c>
      <c r="K23">
        <v>4</v>
      </c>
      <c r="L23">
        <v>1</v>
      </c>
      <c r="M23">
        <v>2</v>
      </c>
      <c r="N23">
        <v>8</v>
      </c>
      <c r="O23">
        <v>46</v>
      </c>
      <c r="P23">
        <v>0</v>
      </c>
      <c r="Q23">
        <v>4</v>
      </c>
      <c r="R23">
        <v>0</v>
      </c>
      <c r="S23">
        <v>0</v>
      </c>
      <c r="T23">
        <v>32</v>
      </c>
      <c r="U23">
        <v>2</v>
      </c>
    </row>
    <row r="24" spans="1:21" x14ac:dyDescent="0.2">
      <c r="A24" s="235" t="s">
        <v>295</v>
      </c>
      <c r="B24">
        <v>16</v>
      </c>
      <c r="C24">
        <v>1</v>
      </c>
      <c r="D24">
        <v>6</v>
      </c>
      <c r="E24">
        <v>0</v>
      </c>
      <c r="F24">
        <v>3</v>
      </c>
      <c r="G24">
        <v>1</v>
      </c>
      <c r="H24">
        <v>0</v>
      </c>
      <c r="I24">
        <v>0</v>
      </c>
      <c r="J24">
        <v>2</v>
      </c>
      <c r="K24">
        <v>0</v>
      </c>
      <c r="L24">
        <v>0</v>
      </c>
      <c r="M24">
        <v>0</v>
      </c>
      <c r="N24">
        <v>4</v>
      </c>
      <c r="O24">
        <v>4</v>
      </c>
      <c r="P24">
        <v>6</v>
      </c>
      <c r="Q24">
        <v>0</v>
      </c>
      <c r="R24">
        <v>0</v>
      </c>
      <c r="S24">
        <v>0</v>
      </c>
      <c r="T24">
        <v>5</v>
      </c>
      <c r="U24">
        <v>0</v>
      </c>
    </row>
    <row r="25" spans="1:21" x14ac:dyDescent="0.2">
      <c r="A25" s="235" t="s">
        <v>41</v>
      </c>
      <c r="B25">
        <v>35</v>
      </c>
      <c r="C25">
        <v>4</v>
      </c>
      <c r="D25">
        <v>56</v>
      </c>
      <c r="E25">
        <v>4</v>
      </c>
      <c r="F25">
        <v>22</v>
      </c>
      <c r="G25">
        <v>4</v>
      </c>
      <c r="H25">
        <v>8</v>
      </c>
      <c r="I25">
        <v>8</v>
      </c>
      <c r="J25">
        <v>3</v>
      </c>
      <c r="K25">
        <v>3</v>
      </c>
      <c r="L25">
        <v>3</v>
      </c>
      <c r="M25">
        <v>13</v>
      </c>
      <c r="N25">
        <v>10</v>
      </c>
      <c r="O25">
        <v>140</v>
      </c>
      <c r="P25">
        <v>14</v>
      </c>
      <c r="Q25">
        <v>39</v>
      </c>
      <c r="R25">
        <v>0</v>
      </c>
      <c r="S25">
        <v>1</v>
      </c>
      <c r="T25">
        <v>49</v>
      </c>
      <c r="U25">
        <v>7</v>
      </c>
    </row>
    <row r="26" spans="1:21" x14ac:dyDescent="0.2">
      <c r="A26" s="235" t="s">
        <v>42</v>
      </c>
      <c r="B26">
        <v>73</v>
      </c>
      <c r="C26">
        <v>6</v>
      </c>
      <c r="D26">
        <v>56</v>
      </c>
      <c r="E26">
        <v>12</v>
      </c>
      <c r="F26">
        <v>37</v>
      </c>
      <c r="G26">
        <v>6</v>
      </c>
      <c r="H26">
        <v>16</v>
      </c>
      <c r="I26">
        <v>27</v>
      </c>
      <c r="J26">
        <v>10</v>
      </c>
      <c r="K26">
        <v>7</v>
      </c>
      <c r="L26">
        <v>6</v>
      </c>
      <c r="M26">
        <v>23</v>
      </c>
      <c r="N26">
        <v>28</v>
      </c>
      <c r="O26">
        <v>193</v>
      </c>
      <c r="P26">
        <v>10</v>
      </c>
      <c r="Q26">
        <v>65</v>
      </c>
      <c r="R26">
        <v>0</v>
      </c>
      <c r="S26">
        <v>0</v>
      </c>
      <c r="T26">
        <v>74</v>
      </c>
      <c r="U26">
        <v>16</v>
      </c>
    </row>
    <row r="27" spans="1:21" x14ac:dyDescent="0.2">
      <c r="A27" s="235" t="s">
        <v>43</v>
      </c>
      <c r="B27">
        <v>12</v>
      </c>
      <c r="C27">
        <v>0</v>
      </c>
      <c r="D27">
        <v>2</v>
      </c>
      <c r="E27">
        <v>0</v>
      </c>
      <c r="F27">
        <v>1</v>
      </c>
      <c r="G27">
        <v>0</v>
      </c>
      <c r="H27">
        <v>0</v>
      </c>
      <c r="I27">
        <v>3</v>
      </c>
      <c r="J27">
        <v>0</v>
      </c>
      <c r="K27">
        <v>0</v>
      </c>
      <c r="L27">
        <v>1</v>
      </c>
      <c r="M27">
        <v>1</v>
      </c>
      <c r="N27">
        <v>3</v>
      </c>
      <c r="O27">
        <v>4</v>
      </c>
      <c r="P27">
        <v>0</v>
      </c>
      <c r="Q27">
        <v>1</v>
      </c>
      <c r="R27">
        <v>0</v>
      </c>
      <c r="S27">
        <v>0</v>
      </c>
      <c r="T27">
        <v>8</v>
      </c>
      <c r="U27">
        <v>1</v>
      </c>
    </row>
    <row r="28" spans="1:21" x14ac:dyDescent="0.2">
      <c r="A28" s="235" t="s">
        <v>44</v>
      </c>
      <c r="B28">
        <v>59</v>
      </c>
      <c r="C28">
        <v>3</v>
      </c>
      <c r="D28">
        <v>88</v>
      </c>
      <c r="E28">
        <v>19</v>
      </c>
      <c r="F28">
        <v>13</v>
      </c>
      <c r="G28">
        <v>4</v>
      </c>
      <c r="H28">
        <v>17</v>
      </c>
      <c r="I28">
        <v>5</v>
      </c>
      <c r="J28">
        <v>9</v>
      </c>
      <c r="K28">
        <v>3</v>
      </c>
      <c r="L28">
        <v>1</v>
      </c>
      <c r="M28">
        <v>6</v>
      </c>
      <c r="N28">
        <v>12</v>
      </c>
      <c r="O28">
        <v>65</v>
      </c>
      <c r="P28">
        <v>26</v>
      </c>
      <c r="Q28">
        <v>11</v>
      </c>
      <c r="R28">
        <v>0</v>
      </c>
      <c r="S28">
        <v>1</v>
      </c>
      <c r="T28">
        <v>28</v>
      </c>
      <c r="U28">
        <v>2</v>
      </c>
    </row>
    <row r="29" spans="1:21" x14ac:dyDescent="0.2">
      <c r="A29" s="235" t="s">
        <v>45</v>
      </c>
      <c r="B29">
        <v>49</v>
      </c>
      <c r="C29">
        <v>3</v>
      </c>
      <c r="D29">
        <v>67</v>
      </c>
      <c r="E29">
        <v>6</v>
      </c>
      <c r="F29">
        <v>22</v>
      </c>
      <c r="G29">
        <v>3</v>
      </c>
      <c r="H29">
        <v>9</v>
      </c>
      <c r="I29">
        <v>12</v>
      </c>
      <c r="J29">
        <v>7</v>
      </c>
      <c r="K29">
        <v>6</v>
      </c>
      <c r="L29">
        <v>5</v>
      </c>
      <c r="M29">
        <v>19</v>
      </c>
      <c r="N29">
        <v>13</v>
      </c>
      <c r="O29">
        <v>116</v>
      </c>
      <c r="P29">
        <v>7</v>
      </c>
      <c r="Q29">
        <v>68</v>
      </c>
      <c r="R29">
        <v>0</v>
      </c>
      <c r="S29">
        <v>2</v>
      </c>
      <c r="T29">
        <v>36</v>
      </c>
      <c r="U29">
        <v>8</v>
      </c>
    </row>
    <row r="30" spans="1:21" x14ac:dyDescent="0.2">
      <c r="A30" s="235" t="s">
        <v>46</v>
      </c>
      <c r="B30">
        <v>52</v>
      </c>
      <c r="C30">
        <v>2</v>
      </c>
      <c r="D30">
        <v>29</v>
      </c>
      <c r="E30">
        <v>6</v>
      </c>
      <c r="F30">
        <v>18</v>
      </c>
      <c r="G30">
        <v>3</v>
      </c>
      <c r="H30">
        <v>5</v>
      </c>
      <c r="I30">
        <v>16</v>
      </c>
      <c r="J30">
        <v>4</v>
      </c>
      <c r="K30">
        <v>2</v>
      </c>
      <c r="L30">
        <v>2</v>
      </c>
      <c r="M30">
        <v>7</v>
      </c>
      <c r="N30">
        <v>14</v>
      </c>
      <c r="O30">
        <v>75</v>
      </c>
      <c r="P30">
        <v>10</v>
      </c>
      <c r="Q30">
        <v>15</v>
      </c>
      <c r="R30">
        <v>0</v>
      </c>
      <c r="S30">
        <v>2</v>
      </c>
      <c r="T30">
        <v>27</v>
      </c>
      <c r="U30">
        <v>1</v>
      </c>
    </row>
    <row r="31" spans="1:21" x14ac:dyDescent="0.2">
      <c r="A31" s="235" t="s">
        <v>47</v>
      </c>
      <c r="B31">
        <v>4</v>
      </c>
      <c r="C31">
        <v>4</v>
      </c>
      <c r="D31">
        <v>3</v>
      </c>
      <c r="E31">
        <v>0</v>
      </c>
      <c r="F31">
        <v>1</v>
      </c>
      <c r="G31">
        <v>1</v>
      </c>
      <c r="H31">
        <v>1</v>
      </c>
      <c r="I31">
        <v>1</v>
      </c>
      <c r="J31">
        <v>4</v>
      </c>
      <c r="K31">
        <v>0</v>
      </c>
      <c r="L31">
        <v>0</v>
      </c>
      <c r="M31">
        <v>0</v>
      </c>
      <c r="N31">
        <v>2</v>
      </c>
      <c r="O31">
        <v>4</v>
      </c>
      <c r="P31">
        <v>0</v>
      </c>
      <c r="Q31">
        <v>0</v>
      </c>
      <c r="R31">
        <v>0</v>
      </c>
      <c r="S31">
        <v>1</v>
      </c>
      <c r="T31">
        <v>2</v>
      </c>
      <c r="U31">
        <v>0</v>
      </c>
    </row>
    <row r="32" spans="1:21" x14ac:dyDescent="0.2">
      <c r="A32" s="235" t="s">
        <v>48</v>
      </c>
      <c r="B32">
        <v>23</v>
      </c>
      <c r="C32">
        <v>0</v>
      </c>
      <c r="D32">
        <v>17</v>
      </c>
      <c r="E32">
        <v>7</v>
      </c>
      <c r="F32">
        <v>15</v>
      </c>
      <c r="G32">
        <v>5</v>
      </c>
      <c r="H32">
        <v>4</v>
      </c>
      <c r="I32">
        <v>7</v>
      </c>
      <c r="J32">
        <v>6</v>
      </c>
      <c r="K32">
        <v>1</v>
      </c>
      <c r="L32">
        <v>2</v>
      </c>
      <c r="M32">
        <v>2</v>
      </c>
      <c r="N32">
        <v>8</v>
      </c>
      <c r="O32">
        <v>82</v>
      </c>
      <c r="P32">
        <v>5</v>
      </c>
      <c r="Q32">
        <v>33</v>
      </c>
      <c r="R32">
        <v>0</v>
      </c>
      <c r="S32">
        <v>0</v>
      </c>
      <c r="T32">
        <v>26</v>
      </c>
      <c r="U32">
        <v>8</v>
      </c>
    </row>
    <row r="33" spans="1:22" x14ac:dyDescent="0.2">
      <c r="A33" s="235" t="s">
        <v>49</v>
      </c>
      <c r="B33">
        <v>77</v>
      </c>
      <c r="C33">
        <v>6</v>
      </c>
      <c r="D33">
        <v>78</v>
      </c>
      <c r="E33">
        <v>7</v>
      </c>
      <c r="F33">
        <v>31</v>
      </c>
      <c r="G33">
        <v>6</v>
      </c>
      <c r="H33">
        <v>5</v>
      </c>
      <c r="I33">
        <v>22</v>
      </c>
      <c r="J33">
        <v>7</v>
      </c>
      <c r="K33">
        <v>2</v>
      </c>
      <c r="L33">
        <v>6</v>
      </c>
      <c r="M33">
        <v>30</v>
      </c>
      <c r="N33">
        <v>22</v>
      </c>
      <c r="O33">
        <v>192</v>
      </c>
      <c r="P33">
        <v>13</v>
      </c>
      <c r="Q33">
        <v>73</v>
      </c>
      <c r="R33">
        <v>0</v>
      </c>
      <c r="S33">
        <v>0</v>
      </c>
      <c r="T33">
        <v>60</v>
      </c>
      <c r="U33">
        <v>14</v>
      </c>
    </row>
    <row r="34" spans="1:22" x14ac:dyDescent="0.2">
      <c r="A34" s="235" t="s">
        <v>50</v>
      </c>
      <c r="B34">
        <v>44</v>
      </c>
      <c r="C34">
        <v>0</v>
      </c>
      <c r="D34">
        <v>22</v>
      </c>
      <c r="E34">
        <v>15</v>
      </c>
      <c r="F34">
        <v>7</v>
      </c>
      <c r="G34">
        <v>0</v>
      </c>
      <c r="H34">
        <v>3</v>
      </c>
      <c r="I34">
        <v>8</v>
      </c>
      <c r="J34">
        <v>3</v>
      </c>
      <c r="K34">
        <v>1</v>
      </c>
      <c r="L34">
        <v>2</v>
      </c>
      <c r="M34">
        <v>10</v>
      </c>
      <c r="N34">
        <v>11</v>
      </c>
      <c r="O34">
        <v>41</v>
      </c>
      <c r="P34">
        <v>3</v>
      </c>
      <c r="Q34">
        <v>4</v>
      </c>
      <c r="R34">
        <v>0</v>
      </c>
      <c r="S34">
        <v>0</v>
      </c>
      <c r="T34">
        <v>18</v>
      </c>
      <c r="U34">
        <v>4</v>
      </c>
    </row>
    <row r="35" spans="1:22" x14ac:dyDescent="0.2">
      <c r="A35" s="235" t="s">
        <v>51</v>
      </c>
      <c r="B35">
        <v>18</v>
      </c>
      <c r="C35">
        <v>1</v>
      </c>
      <c r="D35">
        <v>32</v>
      </c>
      <c r="E35">
        <v>3</v>
      </c>
      <c r="F35">
        <v>6</v>
      </c>
      <c r="G35">
        <v>6</v>
      </c>
      <c r="H35">
        <v>7</v>
      </c>
      <c r="I35">
        <v>8</v>
      </c>
      <c r="J35">
        <v>1</v>
      </c>
      <c r="K35">
        <v>2</v>
      </c>
      <c r="L35">
        <v>1</v>
      </c>
      <c r="M35">
        <v>14</v>
      </c>
      <c r="N35">
        <v>6</v>
      </c>
      <c r="O35">
        <v>60</v>
      </c>
      <c r="P35">
        <v>7</v>
      </c>
      <c r="Q35">
        <v>30</v>
      </c>
      <c r="R35">
        <v>0</v>
      </c>
      <c r="S35">
        <v>0</v>
      </c>
      <c r="T35">
        <v>22</v>
      </c>
      <c r="U35">
        <v>3</v>
      </c>
    </row>
    <row r="36" spans="1:22" x14ac:dyDescent="0.2">
      <c r="A36" s="235" t="s">
        <v>52</v>
      </c>
      <c r="B36">
        <v>63</v>
      </c>
      <c r="C36">
        <v>1</v>
      </c>
      <c r="D36">
        <v>48</v>
      </c>
      <c r="E36">
        <v>4</v>
      </c>
      <c r="F36">
        <v>25</v>
      </c>
      <c r="G36">
        <v>3</v>
      </c>
      <c r="H36">
        <v>2</v>
      </c>
      <c r="I36">
        <v>7</v>
      </c>
      <c r="J36">
        <v>10</v>
      </c>
      <c r="K36">
        <v>9</v>
      </c>
      <c r="L36">
        <v>2</v>
      </c>
      <c r="M36">
        <v>24</v>
      </c>
      <c r="N36">
        <v>12</v>
      </c>
      <c r="O36">
        <v>165</v>
      </c>
      <c r="P36">
        <v>5</v>
      </c>
      <c r="Q36">
        <v>23</v>
      </c>
      <c r="R36">
        <v>0</v>
      </c>
      <c r="S36">
        <v>0</v>
      </c>
      <c r="T36">
        <v>31</v>
      </c>
      <c r="U36">
        <v>4</v>
      </c>
    </row>
    <row r="37" spans="1:22" x14ac:dyDescent="0.2">
      <c r="A37" s="235" t="s">
        <v>333</v>
      </c>
      <c r="B37">
        <v>1596</v>
      </c>
      <c r="C37">
        <v>86</v>
      </c>
      <c r="D37">
        <v>1617</v>
      </c>
      <c r="E37">
        <v>230</v>
      </c>
      <c r="F37">
        <v>631</v>
      </c>
      <c r="G37">
        <v>109</v>
      </c>
      <c r="H37">
        <v>415</v>
      </c>
      <c r="I37">
        <v>342</v>
      </c>
      <c r="J37">
        <v>210</v>
      </c>
      <c r="K37">
        <v>158</v>
      </c>
      <c r="L37">
        <v>81</v>
      </c>
      <c r="M37">
        <v>392</v>
      </c>
      <c r="N37">
        <v>470</v>
      </c>
      <c r="O37">
        <v>3735</v>
      </c>
      <c r="P37">
        <v>326</v>
      </c>
      <c r="Q37">
        <v>923</v>
      </c>
      <c r="R37">
        <v>3</v>
      </c>
      <c r="S37">
        <v>18</v>
      </c>
      <c r="T37">
        <v>1161</v>
      </c>
      <c r="U37">
        <v>190</v>
      </c>
    </row>
    <row r="42" spans="1:22" x14ac:dyDescent="0.2">
      <c r="V42" s="23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V37"/>
  <sheetViews>
    <sheetView workbookViewId="0">
      <selection activeCell="G23" sqref="G23"/>
    </sheetView>
  </sheetViews>
  <sheetFormatPr defaultRowHeight="12.75" x14ac:dyDescent="0.2"/>
  <cols>
    <col min="1" max="1" width="19.5703125" bestFit="1" customWidth="1"/>
    <col min="2" max="2" width="10.7109375" bestFit="1" customWidth="1"/>
    <col min="3" max="3" width="13.85546875" bestFit="1" customWidth="1"/>
    <col min="4" max="4" width="17.7109375" bestFit="1" customWidth="1"/>
    <col min="5" max="5" width="26.85546875" bestFit="1" customWidth="1"/>
    <col min="6" max="6" width="31.85546875" bestFit="1" customWidth="1"/>
    <col min="7" max="7" width="39.140625" bestFit="1" customWidth="1"/>
    <col min="8" max="8" width="38.5703125" bestFit="1" customWidth="1"/>
    <col min="9" max="9" width="20.42578125" bestFit="1" customWidth="1"/>
    <col min="10" max="10" width="52.28515625" bestFit="1" customWidth="1"/>
    <col min="11" max="11" width="24.7109375" bestFit="1" customWidth="1"/>
    <col min="12" max="12" width="27.42578125" bestFit="1" customWidth="1"/>
    <col min="13" max="13" width="33.5703125" bestFit="1" customWidth="1"/>
    <col min="14" max="14" width="26.85546875" bestFit="1" customWidth="1"/>
    <col min="15" max="15" width="34.42578125" bestFit="1" customWidth="1"/>
    <col min="16" max="16" width="30" bestFit="1" customWidth="1"/>
    <col min="17" max="17" width="33.42578125" bestFit="1" customWidth="1"/>
    <col min="18" max="18" width="24" bestFit="1" customWidth="1"/>
    <col min="19" max="19" width="18.140625" bestFit="1" customWidth="1"/>
    <col min="20" max="20" width="29" bestFit="1" customWidth="1"/>
    <col min="21" max="21" width="20.5703125" bestFit="1" customWidth="1"/>
    <col min="22" max="22" width="35.5703125" bestFit="1" customWidth="1"/>
  </cols>
  <sheetData>
    <row r="2" spans="1:22" x14ac:dyDescent="0.2">
      <c r="A2" s="234" t="s">
        <v>4</v>
      </c>
      <c r="B2" t="s">
        <v>1572</v>
      </c>
    </row>
    <row r="4" spans="1:22" x14ac:dyDescent="0.2">
      <c r="A4" s="234" t="s">
        <v>326</v>
      </c>
      <c r="B4" t="s">
        <v>335</v>
      </c>
      <c r="C4" t="s">
        <v>353</v>
      </c>
      <c r="D4" t="s">
        <v>355</v>
      </c>
      <c r="E4" t="s">
        <v>366</v>
      </c>
      <c r="F4" t="s">
        <v>354</v>
      </c>
      <c r="G4" t="s">
        <v>356</v>
      </c>
      <c r="H4" t="s">
        <v>357</v>
      </c>
      <c r="I4" t="s">
        <v>359</v>
      </c>
      <c r="J4" t="s">
        <v>360</v>
      </c>
      <c r="K4" t="s">
        <v>361</v>
      </c>
      <c r="L4" t="s">
        <v>358</v>
      </c>
      <c r="M4" t="s">
        <v>363</v>
      </c>
      <c r="N4" t="s">
        <v>364</v>
      </c>
      <c r="O4" t="s">
        <v>365</v>
      </c>
      <c r="P4" t="s">
        <v>367</v>
      </c>
      <c r="Q4" t="s">
        <v>368</v>
      </c>
      <c r="R4" t="s">
        <v>369</v>
      </c>
      <c r="S4" t="s">
        <v>370</v>
      </c>
      <c r="T4" t="s">
        <v>371</v>
      </c>
      <c r="U4" t="s">
        <v>372</v>
      </c>
      <c r="V4" t="s">
        <v>362</v>
      </c>
    </row>
    <row r="5" spans="1:22" x14ac:dyDescent="0.2">
      <c r="A5" s="235" t="s">
        <v>23</v>
      </c>
      <c r="B5">
        <v>229060</v>
      </c>
      <c r="C5">
        <v>58</v>
      </c>
      <c r="D5">
        <v>78</v>
      </c>
      <c r="E5">
        <v>135</v>
      </c>
      <c r="F5">
        <v>11</v>
      </c>
      <c r="G5">
        <v>6</v>
      </c>
      <c r="H5">
        <v>38</v>
      </c>
      <c r="I5">
        <v>97</v>
      </c>
      <c r="J5">
        <v>7</v>
      </c>
      <c r="K5">
        <v>9</v>
      </c>
      <c r="L5">
        <v>5</v>
      </c>
      <c r="M5">
        <v>4</v>
      </c>
      <c r="N5">
        <v>10</v>
      </c>
      <c r="O5">
        <v>20</v>
      </c>
      <c r="P5">
        <v>20</v>
      </c>
      <c r="Q5">
        <v>31</v>
      </c>
      <c r="R5">
        <v>0</v>
      </c>
      <c r="S5">
        <v>0</v>
      </c>
      <c r="T5">
        <v>20</v>
      </c>
      <c r="U5">
        <v>9</v>
      </c>
      <c r="V5">
        <v>12</v>
      </c>
    </row>
    <row r="6" spans="1:22" x14ac:dyDescent="0.2">
      <c r="A6" s="235" t="s">
        <v>24</v>
      </c>
      <c r="B6">
        <v>260780</v>
      </c>
      <c r="C6">
        <v>149</v>
      </c>
      <c r="D6">
        <v>44</v>
      </c>
      <c r="E6">
        <v>90</v>
      </c>
      <c r="F6">
        <v>5</v>
      </c>
      <c r="G6">
        <v>7</v>
      </c>
      <c r="H6">
        <v>16</v>
      </c>
      <c r="I6">
        <v>5</v>
      </c>
      <c r="J6">
        <v>8</v>
      </c>
      <c r="K6">
        <v>8</v>
      </c>
      <c r="L6">
        <v>3</v>
      </c>
      <c r="M6">
        <v>1</v>
      </c>
      <c r="N6">
        <v>5</v>
      </c>
      <c r="O6">
        <v>37</v>
      </c>
      <c r="P6">
        <v>7</v>
      </c>
      <c r="Q6">
        <v>14</v>
      </c>
      <c r="R6">
        <v>2</v>
      </c>
      <c r="S6">
        <v>1</v>
      </c>
      <c r="T6">
        <v>43</v>
      </c>
      <c r="U6">
        <v>6</v>
      </c>
      <c r="V6">
        <v>6</v>
      </c>
    </row>
    <row r="7" spans="1:22" x14ac:dyDescent="0.2">
      <c r="A7" s="235" t="s">
        <v>25</v>
      </c>
      <c r="B7">
        <v>115820</v>
      </c>
      <c r="C7">
        <v>49</v>
      </c>
      <c r="D7">
        <v>20</v>
      </c>
      <c r="E7">
        <v>110</v>
      </c>
      <c r="F7">
        <v>1</v>
      </c>
      <c r="G7">
        <v>7</v>
      </c>
      <c r="H7">
        <v>20</v>
      </c>
      <c r="I7">
        <v>11</v>
      </c>
      <c r="J7">
        <v>5</v>
      </c>
      <c r="K7">
        <v>5</v>
      </c>
      <c r="L7">
        <v>0</v>
      </c>
      <c r="M7">
        <v>4</v>
      </c>
      <c r="N7">
        <v>1</v>
      </c>
      <c r="O7">
        <v>14</v>
      </c>
      <c r="P7">
        <v>9</v>
      </c>
      <c r="Q7">
        <v>10</v>
      </c>
      <c r="R7">
        <v>0</v>
      </c>
      <c r="S7">
        <v>0</v>
      </c>
      <c r="T7">
        <v>21</v>
      </c>
      <c r="U7">
        <v>4</v>
      </c>
      <c r="V7">
        <v>0</v>
      </c>
    </row>
    <row r="8" spans="1:22" x14ac:dyDescent="0.2">
      <c r="A8" s="235" t="s">
        <v>26</v>
      </c>
      <c r="B8">
        <v>85430</v>
      </c>
      <c r="C8">
        <v>28</v>
      </c>
      <c r="D8">
        <v>17</v>
      </c>
      <c r="E8">
        <v>37</v>
      </c>
      <c r="F8">
        <v>4</v>
      </c>
      <c r="G8">
        <v>2</v>
      </c>
      <c r="H8">
        <v>8</v>
      </c>
      <c r="I8">
        <v>4</v>
      </c>
      <c r="J8">
        <v>12</v>
      </c>
      <c r="K8">
        <v>1</v>
      </c>
      <c r="L8">
        <v>1</v>
      </c>
      <c r="M8">
        <v>3</v>
      </c>
      <c r="N8">
        <v>6</v>
      </c>
      <c r="O8">
        <v>4</v>
      </c>
      <c r="P8">
        <v>7</v>
      </c>
      <c r="Q8">
        <v>20</v>
      </c>
      <c r="R8">
        <v>0</v>
      </c>
      <c r="S8">
        <v>0</v>
      </c>
      <c r="T8">
        <v>58</v>
      </c>
      <c r="U8">
        <v>2</v>
      </c>
      <c r="V8">
        <v>1</v>
      </c>
    </row>
    <row r="9" spans="1:22" x14ac:dyDescent="0.2">
      <c r="A9" s="235" t="s">
        <v>619</v>
      </c>
      <c r="B9">
        <v>527620</v>
      </c>
      <c r="C9">
        <v>81</v>
      </c>
      <c r="D9">
        <v>190</v>
      </c>
      <c r="E9">
        <v>469</v>
      </c>
      <c r="F9">
        <v>6</v>
      </c>
      <c r="G9">
        <v>12</v>
      </c>
      <c r="H9">
        <v>62</v>
      </c>
      <c r="I9">
        <v>56</v>
      </c>
      <c r="J9">
        <v>21</v>
      </c>
      <c r="K9">
        <v>25</v>
      </c>
      <c r="L9">
        <v>10</v>
      </c>
      <c r="M9">
        <v>7</v>
      </c>
      <c r="N9">
        <v>24</v>
      </c>
      <c r="O9">
        <v>38</v>
      </c>
      <c r="P9">
        <v>43</v>
      </c>
      <c r="Q9">
        <v>53</v>
      </c>
      <c r="R9">
        <v>0</v>
      </c>
      <c r="S9">
        <v>0</v>
      </c>
      <c r="T9">
        <v>55</v>
      </c>
      <c r="U9">
        <v>19</v>
      </c>
      <c r="V9">
        <v>24</v>
      </c>
    </row>
    <row r="10" spans="1:22" x14ac:dyDescent="0.2">
      <c r="A10" s="235" t="s">
        <v>27</v>
      </c>
      <c r="B10">
        <v>51290</v>
      </c>
      <c r="C10">
        <v>11</v>
      </c>
      <c r="D10">
        <v>15</v>
      </c>
      <c r="E10">
        <v>45</v>
      </c>
      <c r="F10">
        <v>0</v>
      </c>
      <c r="G10">
        <v>0</v>
      </c>
      <c r="H10">
        <v>8</v>
      </c>
      <c r="I10">
        <v>0</v>
      </c>
      <c r="J10">
        <v>2</v>
      </c>
      <c r="K10">
        <v>0</v>
      </c>
      <c r="L10">
        <v>0</v>
      </c>
      <c r="M10">
        <v>2</v>
      </c>
      <c r="N10">
        <v>6</v>
      </c>
      <c r="O10">
        <v>7</v>
      </c>
      <c r="P10">
        <v>3</v>
      </c>
      <c r="Q10">
        <v>5</v>
      </c>
      <c r="R10">
        <v>0</v>
      </c>
      <c r="S10">
        <v>0</v>
      </c>
      <c r="T10">
        <v>8</v>
      </c>
      <c r="U10">
        <v>0</v>
      </c>
      <c r="V10">
        <v>1</v>
      </c>
    </row>
    <row r="11" spans="1:22" x14ac:dyDescent="0.2">
      <c r="A11" s="235" t="s">
        <v>28</v>
      </c>
      <c r="B11">
        <v>148290</v>
      </c>
      <c r="C11">
        <v>51</v>
      </c>
      <c r="D11">
        <v>14</v>
      </c>
      <c r="E11">
        <v>67</v>
      </c>
      <c r="F11">
        <v>3</v>
      </c>
      <c r="G11">
        <v>12</v>
      </c>
      <c r="H11">
        <v>17</v>
      </c>
      <c r="I11">
        <v>13</v>
      </c>
      <c r="J11">
        <v>18</v>
      </c>
      <c r="K11">
        <v>9</v>
      </c>
      <c r="L11">
        <v>1</v>
      </c>
      <c r="M11">
        <v>2</v>
      </c>
      <c r="N11">
        <v>4</v>
      </c>
      <c r="O11">
        <v>14</v>
      </c>
      <c r="P11">
        <v>7</v>
      </c>
      <c r="Q11">
        <v>4</v>
      </c>
      <c r="R11">
        <v>0</v>
      </c>
      <c r="S11">
        <v>1</v>
      </c>
      <c r="T11">
        <v>34</v>
      </c>
      <c r="U11">
        <v>8</v>
      </c>
      <c r="V11">
        <v>12</v>
      </c>
    </row>
    <row r="12" spans="1:22" x14ac:dyDescent="0.2">
      <c r="A12" s="235" t="s">
        <v>29</v>
      </c>
      <c r="B12">
        <v>148820</v>
      </c>
      <c r="C12">
        <v>31</v>
      </c>
      <c r="D12">
        <v>55</v>
      </c>
      <c r="E12">
        <v>146</v>
      </c>
      <c r="F12">
        <v>2</v>
      </c>
      <c r="G12">
        <v>2</v>
      </c>
      <c r="H12">
        <v>30</v>
      </c>
      <c r="I12">
        <v>22</v>
      </c>
      <c r="J12">
        <v>8</v>
      </c>
      <c r="K12">
        <v>10</v>
      </c>
      <c r="L12">
        <v>4</v>
      </c>
      <c r="M12">
        <v>3</v>
      </c>
      <c r="N12">
        <v>12</v>
      </c>
      <c r="O12">
        <v>18</v>
      </c>
      <c r="P12">
        <v>51</v>
      </c>
      <c r="Q12">
        <v>16</v>
      </c>
      <c r="R12">
        <v>0</v>
      </c>
      <c r="S12">
        <v>0</v>
      </c>
      <c r="T12">
        <v>35</v>
      </c>
      <c r="U12">
        <v>9</v>
      </c>
      <c r="V12">
        <v>5</v>
      </c>
    </row>
    <row r="13" spans="1:22" x14ac:dyDescent="0.2">
      <c r="A13" s="235" t="s">
        <v>30</v>
      </c>
      <c r="B13">
        <v>121600</v>
      </c>
      <c r="C13">
        <v>44</v>
      </c>
      <c r="D13">
        <v>29</v>
      </c>
      <c r="E13">
        <v>56</v>
      </c>
      <c r="F13">
        <v>0</v>
      </c>
      <c r="G13">
        <v>6</v>
      </c>
      <c r="H13">
        <v>15</v>
      </c>
      <c r="I13">
        <v>2</v>
      </c>
      <c r="J13">
        <v>8</v>
      </c>
      <c r="K13">
        <v>3</v>
      </c>
      <c r="L13">
        <v>5</v>
      </c>
      <c r="M13">
        <v>1</v>
      </c>
      <c r="N13">
        <v>8</v>
      </c>
      <c r="O13">
        <v>5</v>
      </c>
      <c r="P13">
        <v>5</v>
      </c>
      <c r="Q13">
        <v>27</v>
      </c>
      <c r="R13">
        <v>0</v>
      </c>
      <c r="S13">
        <v>1</v>
      </c>
      <c r="T13">
        <v>24</v>
      </c>
      <c r="U13">
        <v>4</v>
      </c>
      <c r="V13">
        <v>0</v>
      </c>
    </row>
    <row r="14" spans="1:22" x14ac:dyDescent="0.2">
      <c r="A14" s="235" t="s">
        <v>31</v>
      </c>
      <c r="B14">
        <v>108750</v>
      </c>
      <c r="C14">
        <v>13</v>
      </c>
      <c r="D14">
        <v>13</v>
      </c>
      <c r="E14">
        <v>41</v>
      </c>
      <c r="F14">
        <v>3</v>
      </c>
      <c r="G14">
        <v>2</v>
      </c>
      <c r="H14">
        <v>11</v>
      </c>
      <c r="I14">
        <v>1</v>
      </c>
      <c r="J14">
        <v>6</v>
      </c>
      <c r="K14">
        <v>2</v>
      </c>
      <c r="L14">
        <v>1</v>
      </c>
      <c r="M14">
        <v>1</v>
      </c>
      <c r="N14">
        <v>22</v>
      </c>
      <c r="O14">
        <v>4</v>
      </c>
      <c r="P14">
        <v>2</v>
      </c>
      <c r="Q14">
        <v>13</v>
      </c>
      <c r="R14">
        <v>0</v>
      </c>
      <c r="S14">
        <v>1</v>
      </c>
      <c r="T14">
        <v>18</v>
      </c>
      <c r="U14">
        <v>4</v>
      </c>
      <c r="V14">
        <v>2</v>
      </c>
    </row>
    <row r="15" spans="1:22" x14ac:dyDescent="0.2">
      <c r="A15" s="235" t="s">
        <v>32</v>
      </c>
      <c r="B15">
        <v>107900</v>
      </c>
      <c r="C15">
        <v>25</v>
      </c>
      <c r="D15">
        <v>15</v>
      </c>
      <c r="E15">
        <v>59</v>
      </c>
      <c r="F15">
        <v>1</v>
      </c>
      <c r="G15">
        <v>3</v>
      </c>
      <c r="H15">
        <v>15</v>
      </c>
      <c r="I15">
        <v>1</v>
      </c>
      <c r="J15">
        <v>9</v>
      </c>
      <c r="K15">
        <v>5</v>
      </c>
      <c r="L15">
        <v>0</v>
      </c>
      <c r="M15">
        <v>2</v>
      </c>
      <c r="N15">
        <v>12</v>
      </c>
      <c r="O15">
        <v>5</v>
      </c>
      <c r="P15">
        <v>4</v>
      </c>
      <c r="Q15">
        <v>10</v>
      </c>
      <c r="R15">
        <v>0</v>
      </c>
      <c r="S15">
        <v>1</v>
      </c>
      <c r="T15">
        <v>17</v>
      </c>
      <c r="U15">
        <v>0</v>
      </c>
      <c r="V15">
        <v>2</v>
      </c>
    </row>
    <row r="16" spans="1:22" x14ac:dyDescent="0.2">
      <c r="A16" s="235" t="s">
        <v>33</v>
      </c>
      <c r="B16">
        <v>96060</v>
      </c>
      <c r="C16">
        <v>11</v>
      </c>
      <c r="D16">
        <v>13</v>
      </c>
      <c r="E16">
        <v>32</v>
      </c>
      <c r="F16">
        <v>1</v>
      </c>
      <c r="G16">
        <v>0</v>
      </c>
      <c r="H16">
        <v>3</v>
      </c>
      <c r="I16">
        <v>5</v>
      </c>
      <c r="J16">
        <v>2</v>
      </c>
      <c r="K16">
        <v>1</v>
      </c>
      <c r="L16">
        <v>2</v>
      </c>
      <c r="M16">
        <v>0</v>
      </c>
      <c r="N16">
        <v>5</v>
      </c>
      <c r="O16">
        <v>11</v>
      </c>
      <c r="P16">
        <v>2</v>
      </c>
      <c r="Q16">
        <v>14</v>
      </c>
      <c r="R16">
        <v>0</v>
      </c>
      <c r="S16">
        <v>0</v>
      </c>
      <c r="T16">
        <v>11</v>
      </c>
      <c r="U16">
        <v>1</v>
      </c>
      <c r="V16">
        <v>0</v>
      </c>
    </row>
    <row r="17" spans="1:22" x14ac:dyDescent="0.2">
      <c r="A17" s="235" t="s">
        <v>34</v>
      </c>
      <c r="B17">
        <v>160560</v>
      </c>
      <c r="C17">
        <v>53</v>
      </c>
      <c r="D17">
        <v>43</v>
      </c>
      <c r="E17">
        <v>100</v>
      </c>
      <c r="F17">
        <v>1</v>
      </c>
      <c r="G17">
        <v>13</v>
      </c>
      <c r="H17">
        <v>16</v>
      </c>
      <c r="I17">
        <v>7</v>
      </c>
      <c r="J17">
        <v>9</v>
      </c>
      <c r="K17">
        <v>2</v>
      </c>
      <c r="L17">
        <v>6</v>
      </c>
      <c r="M17">
        <v>2</v>
      </c>
      <c r="N17">
        <v>10</v>
      </c>
      <c r="O17">
        <v>18</v>
      </c>
      <c r="P17">
        <v>6</v>
      </c>
      <c r="Q17">
        <v>17</v>
      </c>
      <c r="R17">
        <v>0</v>
      </c>
      <c r="S17">
        <v>0</v>
      </c>
      <c r="T17">
        <v>32</v>
      </c>
      <c r="U17">
        <v>1</v>
      </c>
      <c r="V17">
        <v>9</v>
      </c>
    </row>
    <row r="18" spans="1:22" x14ac:dyDescent="0.2">
      <c r="A18" s="235" t="s">
        <v>35</v>
      </c>
      <c r="B18">
        <v>374130</v>
      </c>
      <c r="C18">
        <v>100</v>
      </c>
      <c r="D18">
        <v>145</v>
      </c>
      <c r="E18">
        <v>298</v>
      </c>
      <c r="F18">
        <v>0</v>
      </c>
      <c r="G18">
        <v>11</v>
      </c>
      <c r="H18">
        <v>56</v>
      </c>
      <c r="I18">
        <v>16</v>
      </c>
      <c r="J18">
        <v>23</v>
      </c>
      <c r="K18">
        <v>16</v>
      </c>
      <c r="L18">
        <v>3</v>
      </c>
      <c r="M18">
        <v>7</v>
      </c>
      <c r="N18">
        <v>28</v>
      </c>
      <c r="O18">
        <v>34</v>
      </c>
      <c r="P18">
        <v>14</v>
      </c>
      <c r="Q18">
        <v>32</v>
      </c>
      <c r="R18">
        <v>0</v>
      </c>
      <c r="S18">
        <v>2</v>
      </c>
      <c r="T18">
        <v>45</v>
      </c>
      <c r="U18">
        <v>7</v>
      </c>
      <c r="V18">
        <v>12</v>
      </c>
    </row>
    <row r="19" spans="1:22" x14ac:dyDescent="0.2">
      <c r="A19" s="235" t="s">
        <v>36</v>
      </c>
      <c r="B19">
        <v>635640</v>
      </c>
      <c r="C19">
        <v>151</v>
      </c>
      <c r="D19">
        <v>329</v>
      </c>
      <c r="E19">
        <v>634</v>
      </c>
      <c r="F19">
        <v>12</v>
      </c>
      <c r="G19">
        <v>34</v>
      </c>
      <c r="H19">
        <v>64</v>
      </c>
      <c r="I19">
        <v>86</v>
      </c>
      <c r="J19">
        <v>56</v>
      </c>
      <c r="K19">
        <v>36</v>
      </c>
      <c r="L19">
        <v>16</v>
      </c>
      <c r="M19">
        <v>8</v>
      </c>
      <c r="N19">
        <v>67</v>
      </c>
      <c r="O19">
        <v>53</v>
      </c>
      <c r="P19">
        <v>20</v>
      </c>
      <c r="Q19">
        <v>249</v>
      </c>
      <c r="R19">
        <v>1</v>
      </c>
      <c r="S19">
        <v>1</v>
      </c>
      <c r="T19">
        <v>207</v>
      </c>
      <c r="U19">
        <v>41</v>
      </c>
      <c r="V19">
        <v>18</v>
      </c>
    </row>
    <row r="20" spans="1:22" x14ac:dyDescent="0.2">
      <c r="A20" s="235" t="s">
        <v>37</v>
      </c>
      <c r="B20">
        <v>235430</v>
      </c>
      <c r="C20">
        <v>140</v>
      </c>
      <c r="D20">
        <v>41</v>
      </c>
      <c r="E20">
        <v>112</v>
      </c>
      <c r="F20">
        <v>3</v>
      </c>
      <c r="G20">
        <v>17</v>
      </c>
      <c r="H20">
        <v>31</v>
      </c>
      <c r="I20">
        <v>4</v>
      </c>
      <c r="J20">
        <v>10</v>
      </c>
      <c r="K20">
        <v>6</v>
      </c>
      <c r="L20">
        <v>6</v>
      </c>
      <c r="M20">
        <v>2</v>
      </c>
      <c r="N20">
        <v>6</v>
      </c>
      <c r="O20">
        <v>23</v>
      </c>
      <c r="P20">
        <v>13</v>
      </c>
      <c r="Q20">
        <v>12</v>
      </c>
      <c r="R20">
        <v>0</v>
      </c>
      <c r="S20">
        <v>1</v>
      </c>
      <c r="T20">
        <v>81</v>
      </c>
      <c r="U20">
        <v>3</v>
      </c>
      <c r="V20">
        <v>6</v>
      </c>
    </row>
    <row r="21" spans="1:22" x14ac:dyDescent="0.2">
      <c r="A21" s="235" t="s">
        <v>38</v>
      </c>
      <c r="B21">
        <v>77060</v>
      </c>
      <c r="C21">
        <v>26</v>
      </c>
      <c r="D21">
        <v>23</v>
      </c>
      <c r="E21">
        <v>72</v>
      </c>
      <c r="F21">
        <v>1</v>
      </c>
      <c r="G21">
        <v>2</v>
      </c>
      <c r="H21">
        <v>10</v>
      </c>
      <c r="I21">
        <v>5</v>
      </c>
      <c r="J21">
        <v>6</v>
      </c>
      <c r="K21">
        <v>2</v>
      </c>
      <c r="L21">
        <v>4</v>
      </c>
      <c r="M21">
        <v>0</v>
      </c>
      <c r="N21">
        <v>5</v>
      </c>
      <c r="O21">
        <v>6</v>
      </c>
      <c r="P21">
        <v>4</v>
      </c>
      <c r="Q21">
        <v>25</v>
      </c>
      <c r="R21">
        <v>0</v>
      </c>
      <c r="S21">
        <v>2</v>
      </c>
      <c r="T21">
        <v>16</v>
      </c>
      <c r="U21">
        <v>1</v>
      </c>
      <c r="V21">
        <v>6</v>
      </c>
    </row>
    <row r="22" spans="1:22" x14ac:dyDescent="0.2">
      <c r="A22" s="235" t="s">
        <v>39</v>
      </c>
      <c r="B22">
        <v>93150</v>
      </c>
      <c r="C22">
        <v>21</v>
      </c>
      <c r="D22">
        <v>20</v>
      </c>
      <c r="E22">
        <v>45</v>
      </c>
      <c r="F22">
        <v>0</v>
      </c>
      <c r="G22">
        <v>6</v>
      </c>
      <c r="H22">
        <v>5</v>
      </c>
      <c r="I22">
        <v>1</v>
      </c>
      <c r="J22">
        <v>7</v>
      </c>
      <c r="K22">
        <v>4</v>
      </c>
      <c r="L22">
        <v>0</v>
      </c>
      <c r="M22">
        <v>0</v>
      </c>
      <c r="N22">
        <v>10</v>
      </c>
      <c r="O22">
        <v>6</v>
      </c>
      <c r="P22">
        <v>3</v>
      </c>
      <c r="Q22">
        <v>5</v>
      </c>
      <c r="R22">
        <v>0</v>
      </c>
      <c r="S22">
        <v>0</v>
      </c>
      <c r="T22">
        <v>18</v>
      </c>
      <c r="U22">
        <v>1</v>
      </c>
      <c r="V22">
        <v>2</v>
      </c>
    </row>
    <row r="23" spans="1:22" x14ac:dyDescent="0.2">
      <c r="A23" s="235" t="s">
        <v>40</v>
      </c>
      <c r="B23">
        <v>95710</v>
      </c>
      <c r="C23">
        <v>29</v>
      </c>
      <c r="D23">
        <v>9</v>
      </c>
      <c r="E23">
        <v>46</v>
      </c>
      <c r="F23">
        <v>1</v>
      </c>
      <c r="G23">
        <v>5</v>
      </c>
      <c r="H23">
        <v>5</v>
      </c>
      <c r="I23">
        <v>2</v>
      </c>
      <c r="J23">
        <v>1</v>
      </c>
      <c r="K23">
        <v>0</v>
      </c>
      <c r="L23">
        <v>0</v>
      </c>
      <c r="M23">
        <v>1</v>
      </c>
      <c r="N23">
        <v>2</v>
      </c>
      <c r="O23">
        <v>8</v>
      </c>
      <c r="P23">
        <v>0</v>
      </c>
      <c r="Q23">
        <v>4</v>
      </c>
      <c r="R23">
        <v>0</v>
      </c>
      <c r="S23">
        <v>0</v>
      </c>
      <c r="T23">
        <v>32</v>
      </c>
      <c r="U23">
        <v>2</v>
      </c>
      <c r="V23">
        <v>4</v>
      </c>
    </row>
    <row r="24" spans="1:22" x14ac:dyDescent="0.2">
      <c r="A24" s="235" t="s">
        <v>295</v>
      </c>
      <c r="B24">
        <v>26500</v>
      </c>
      <c r="C24">
        <v>16</v>
      </c>
      <c r="D24">
        <v>6</v>
      </c>
      <c r="E24">
        <v>4</v>
      </c>
      <c r="F24">
        <v>1</v>
      </c>
      <c r="G24">
        <v>0</v>
      </c>
      <c r="H24">
        <v>3</v>
      </c>
      <c r="I24">
        <v>0</v>
      </c>
      <c r="J24">
        <v>0</v>
      </c>
      <c r="K24">
        <v>2</v>
      </c>
      <c r="L24">
        <v>1</v>
      </c>
      <c r="M24">
        <v>0</v>
      </c>
      <c r="N24">
        <v>0</v>
      </c>
      <c r="O24">
        <v>4</v>
      </c>
      <c r="P24">
        <v>6</v>
      </c>
      <c r="Q24">
        <v>0</v>
      </c>
      <c r="R24">
        <v>0</v>
      </c>
      <c r="S24">
        <v>0</v>
      </c>
      <c r="T24">
        <v>5</v>
      </c>
      <c r="U24">
        <v>0</v>
      </c>
      <c r="V24">
        <v>0</v>
      </c>
    </row>
    <row r="25" spans="1:22" x14ac:dyDescent="0.2">
      <c r="A25" s="235" t="s">
        <v>41</v>
      </c>
      <c r="B25">
        <v>134250</v>
      </c>
      <c r="C25">
        <v>35</v>
      </c>
      <c r="D25">
        <v>56</v>
      </c>
      <c r="E25">
        <v>140</v>
      </c>
      <c r="F25">
        <v>4</v>
      </c>
      <c r="G25">
        <v>4</v>
      </c>
      <c r="H25">
        <v>22</v>
      </c>
      <c r="I25">
        <v>8</v>
      </c>
      <c r="J25">
        <v>8</v>
      </c>
      <c r="K25">
        <v>3</v>
      </c>
      <c r="L25">
        <v>4</v>
      </c>
      <c r="M25">
        <v>3</v>
      </c>
      <c r="N25">
        <v>13</v>
      </c>
      <c r="O25">
        <v>10</v>
      </c>
      <c r="P25">
        <v>14</v>
      </c>
      <c r="Q25">
        <v>39</v>
      </c>
      <c r="R25">
        <v>0</v>
      </c>
      <c r="S25">
        <v>1</v>
      </c>
      <c r="T25">
        <v>49</v>
      </c>
      <c r="U25">
        <v>7</v>
      </c>
      <c r="V25">
        <v>3</v>
      </c>
    </row>
    <row r="26" spans="1:22" x14ac:dyDescent="0.2">
      <c r="A26" s="235" t="s">
        <v>42</v>
      </c>
      <c r="B26">
        <v>341140</v>
      </c>
      <c r="C26">
        <v>73</v>
      </c>
      <c r="D26">
        <v>56</v>
      </c>
      <c r="E26">
        <v>193</v>
      </c>
      <c r="F26">
        <v>6</v>
      </c>
      <c r="G26">
        <v>12</v>
      </c>
      <c r="H26">
        <v>37</v>
      </c>
      <c r="I26">
        <v>16</v>
      </c>
      <c r="J26">
        <v>27</v>
      </c>
      <c r="K26">
        <v>10</v>
      </c>
      <c r="L26">
        <v>6</v>
      </c>
      <c r="M26">
        <v>6</v>
      </c>
      <c r="N26">
        <v>23</v>
      </c>
      <c r="O26">
        <v>28</v>
      </c>
      <c r="P26">
        <v>10</v>
      </c>
      <c r="Q26">
        <v>65</v>
      </c>
      <c r="R26">
        <v>0</v>
      </c>
      <c r="S26">
        <v>0</v>
      </c>
      <c r="T26">
        <v>74</v>
      </c>
      <c r="U26">
        <v>16</v>
      </c>
      <c r="V26">
        <v>7</v>
      </c>
    </row>
    <row r="27" spans="1:22" x14ac:dyDescent="0.2">
      <c r="A27" s="235" t="s">
        <v>43</v>
      </c>
      <c r="B27">
        <v>22400</v>
      </c>
      <c r="C27">
        <v>12</v>
      </c>
      <c r="D27">
        <v>2</v>
      </c>
      <c r="E27">
        <v>4</v>
      </c>
      <c r="F27">
        <v>0</v>
      </c>
      <c r="G27">
        <v>0</v>
      </c>
      <c r="H27">
        <v>1</v>
      </c>
      <c r="I27">
        <v>0</v>
      </c>
      <c r="J27">
        <v>3</v>
      </c>
      <c r="K27">
        <v>0</v>
      </c>
      <c r="L27">
        <v>0</v>
      </c>
      <c r="M27">
        <v>1</v>
      </c>
      <c r="N27">
        <v>1</v>
      </c>
      <c r="O27">
        <v>3</v>
      </c>
      <c r="P27">
        <v>0</v>
      </c>
      <c r="Q27">
        <v>1</v>
      </c>
      <c r="R27">
        <v>0</v>
      </c>
      <c r="S27">
        <v>0</v>
      </c>
      <c r="T27">
        <v>8</v>
      </c>
      <c r="U27">
        <v>1</v>
      </c>
      <c r="V27">
        <v>0</v>
      </c>
    </row>
    <row r="28" spans="1:22" x14ac:dyDescent="0.2">
      <c r="A28" s="235" t="s">
        <v>44</v>
      </c>
      <c r="B28">
        <v>151910</v>
      </c>
      <c r="C28">
        <v>59</v>
      </c>
      <c r="D28">
        <v>88</v>
      </c>
      <c r="E28">
        <v>65</v>
      </c>
      <c r="F28">
        <v>3</v>
      </c>
      <c r="G28">
        <v>19</v>
      </c>
      <c r="H28">
        <v>13</v>
      </c>
      <c r="I28">
        <v>17</v>
      </c>
      <c r="J28">
        <v>5</v>
      </c>
      <c r="K28">
        <v>9</v>
      </c>
      <c r="L28">
        <v>4</v>
      </c>
      <c r="M28">
        <v>1</v>
      </c>
      <c r="N28">
        <v>6</v>
      </c>
      <c r="O28">
        <v>12</v>
      </c>
      <c r="P28">
        <v>26</v>
      </c>
      <c r="Q28">
        <v>11</v>
      </c>
      <c r="R28">
        <v>0</v>
      </c>
      <c r="S28">
        <v>1</v>
      </c>
      <c r="T28">
        <v>28</v>
      </c>
      <c r="U28">
        <v>2</v>
      </c>
      <c r="V28">
        <v>3</v>
      </c>
    </row>
    <row r="29" spans="1:22" x14ac:dyDescent="0.2">
      <c r="A29" s="235" t="s">
        <v>45</v>
      </c>
      <c r="B29">
        <v>179390</v>
      </c>
      <c r="C29">
        <v>49</v>
      </c>
      <c r="D29">
        <v>67</v>
      </c>
      <c r="E29">
        <v>116</v>
      </c>
      <c r="F29">
        <v>3</v>
      </c>
      <c r="G29">
        <v>6</v>
      </c>
      <c r="H29">
        <v>22</v>
      </c>
      <c r="I29">
        <v>9</v>
      </c>
      <c r="J29">
        <v>12</v>
      </c>
      <c r="K29">
        <v>7</v>
      </c>
      <c r="L29">
        <v>3</v>
      </c>
      <c r="M29">
        <v>5</v>
      </c>
      <c r="N29">
        <v>19</v>
      </c>
      <c r="O29">
        <v>13</v>
      </c>
      <c r="P29">
        <v>7</v>
      </c>
      <c r="Q29">
        <v>68</v>
      </c>
      <c r="R29">
        <v>0</v>
      </c>
      <c r="S29">
        <v>2</v>
      </c>
      <c r="T29">
        <v>36</v>
      </c>
      <c r="U29">
        <v>8</v>
      </c>
      <c r="V29">
        <v>6</v>
      </c>
    </row>
    <row r="30" spans="1:22" x14ac:dyDescent="0.2">
      <c r="A30" s="235" t="s">
        <v>46</v>
      </c>
      <c r="B30">
        <v>115240</v>
      </c>
      <c r="C30">
        <v>52</v>
      </c>
      <c r="D30">
        <v>29</v>
      </c>
      <c r="E30">
        <v>75</v>
      </c>
      <c r="F30">
        <v>2</v>
      </c>
      <c r="G30">
        <v>6</v>
      </c>
      <c r="H30">
        <v>18</v>
      </c>
      <c r="I30">
        <v>5</v>
      </c>
      <c r="J30">
        <v>16</v>
      </c>
      <c r="K30">
        <v>4</v>
      </c>
      <c r="L30">
        <v>3</v>
      </c>
      <c r="M30">
        <v>2</v>
      </c>
      <c r="N30">
        <v>7</v>
      </c>
      <c r="O30">
        <v>14</v>
      </c>
      <c r="P30">
        <v>10</v>
      </c>
      <c r="Q30">
        <v>15</v>
      </c>
      <c r="R30">
        <v>0</v>
      </c>
      <c r="S30">
        <v>2</v>
      </c>
      <c r="T30">
        <v>27</v>
      </c>
      <c r="U30">
        <v>1</v>
      </c>
      <c r="V30">
        <v>2</v>
      </c>
    </row>
    <row r="31" spans="1:22" x14ac:dyDescent="0.2">
      <c r="A31" s="235" t="s">
        <v>47</v>
      </c>
      <c r="B31">
        <v>22870</v>
      </c>
      <c r="C31">
        <v>4</v>
      </c>
      <c r="D31">
        <v>3</v>
      </c>
      <c r="E31">
        <v>4</v>
      </c>
      <c r="F31">
        <v>4</v>
      </c>
      <c r="G31">
        <v>0</v>
      </c>
      <c r="H31">
        <v>1</v>
      </c>
      <c r="I31">
        <v>1</v>
      </c>
      <c r="J31">
        <v>1</v>
      </c>
      <c r="K31">
        <v>4</v>
      </c>
      <c r="L31">
        <v>1</v>
      </c>
      <c r="M31">
        <v>0</v>
      </c>
      <c r="N31">
        <v>0</v>
      </c>
      <c r="O31">
        <v>2</v>
      </c>
      <c r="P31">
        <v>0</v>
      </c>
      <c r="Q31">
        <v>0</v>
      </c>
      <c r="R31">
        <v>0</v>
      </c>
      <c r="S31">
        <v>1</v>
      </c>
      <c r="T31">
        <v>2</v>
      </c>
      <c r="U31">
        <v>0</v>
      </c>
      <c r="V31">
        <v>0</v>
      </c>
    </row>
    <row r="32" spans="1:22" x14ac:dyDescent="0.2">
      <c r="A32" s="235" t="s">
        <v>48</v>
      </c>
      <c r="B32">
        <v>112140</v>
      </c>
      <c r="C32">
        <v>23</v>
      </c>
      <c r="D32">
        <v>17</v>
      </c>
      <c r="E32">
        <v>82</v>
      </c>
      <c r="F32">
        <v>0</v>
      </c>
      <c r="G32">
        <v>7</v>
      </c>
      <c r="H32">
        <v>15</v>
      </c>
      <c r="I32">
        <v>4</v>
      </c>
      <c r="J32">
        <v>7</v>
      </c>
      <c r="K32">
        <v>6</v>
      </c>
      <c r="L32">
        <v>5</v>
      </c>
      <c r="M32">
        <v>2</v>
      </c>
      <c r="N32">
        <v>2</v>
      </c>
      <c r="O32">
        <v>8</v>
      </c>
      <c r="P32">
        <v>5</v>
      </c>
      <c r="Q32">
        <v>33</v>
      </c>
      <c r="R32">
        <v>0</v>
      </c>
      <c r="S32">
        <v>0</v>
      </c>
      <c r="T32">
        <v>26</v>
      </c>
      <c r="U32">
        <v>8</v>
      </c>
      <c r="V32">
        <v>1</v>
      </c>
    </row>
    <row r="33" spans="1:22" x14ac:dyDescent="0.2">
      <c r="A33" s="235" t="s">
        <v>49</v>
      </c>
      <c r="B33">
        <v>320820</v>
      </c>
      <c r="C33">
        <v>77</v>
      </c>
      <c r="D33">
        <v>78</v>
      </c>
      <c r="E33">
        <v>192</v>
      </c>
      <c r="F33">
        <v>6</v>
      </c>
      <c r="G33">
        <v>7</v>
      </c>
      <c r="H33">
        <v>31</v>
      </c>
      <c r="I33">
        <v>5</v>
      </c>
      <c r="J33">
        <v>22</v>
      </c>
      <c r="K33">
        <v>7</v>
      </c>
      <c r="L33">
        <v>6</v>
      </c>
      <c r="M33">
        <v>6</v>
      </c>
      <c r="N33">
        <v>30</v>
      </c>
      <c r="O33">
        <v>22</v>
      </c>
      <c r="P33">
        <v>13</v>
      </c>
      <c r="Q33">
        <v>73</v>
      </c>
      <c r="R33">
        <v>0</v>
      </c>
      <c r="S33">
        <v>0</v>
      </c>
      <c r="T33">
        <v>60</v>
      </c>
      <c r="U33">
        <v>14</v>
      </c>
      <c r="V33">
        <v>2</v>
      </c>
    </row>
    <row r="34" spans="1:22" x14ac:dyDescent="0.2">
      <c r="A34" s="235" t="s">
        <v>50</v>
      </c>
      <c r="B34">
        <v>94080</v>
      </c>
      <c r="C34">
        <v>44</v>
      </c>
      <c r="D34">
        <v>22</v>
      </c>
      <c r="E34">
        <v>41</v>
      </c>
      <c r="F34">
        <v>0</v>
      </c>
      <c r="G34">
        <v>15</v>
      </c>
      <c r="H34">
        <v>7</v>
      </c>
      <c r="I34">
        <v>3</v>
      </c>
      <c r="J34">
        <v>8</v>
      </c>
      <c r="K34">
        <v>3</v>
      </c>
      <c r="L34">
        <v>0</v>
      </c>
      <c r="M34">
        <v>2</v>
      </c>
      <c r="N34">
        <v>10</v>
      </c>
      <c r="O34">
        <v>11</v>
      </c>
      <c r="P34">
        <v>3</v>
      </c>
      <c r="Q34">
        <v>4</v>
      </c>
      <c r="R34">
        <v>0</v>
      </c>
      <c r="S34">
        <v>0</v>
      </c>
      <c r="T34">
        <v>18</v>
      </c>
      <c r="U34">
        <v>4</v>
      </c>
      <c r="V34">
        <v>1</v>
      </c>
    </row>
    <row r="35" spans="1:22" x14ac:dyDescent="0.2">
      <c r="A35" s="235" t="s">
        <v>51</v>
      </c>
      <c r="B35">
        <v>88340</v>
      </c>
      <c r="C35">
        <v>18</v>
      </c>
      <c r="D35">
        <v>32</v>
      </c>
      <c r="E35">
        <v>60</v>
      </c>
      <c r="F35">
        <v>1</v>
      </c>
      <c r="G35">
        <v>3</v>
      </c>
      <c r="H35">
        <v>6</v>
      </c>
      <c r="I35">
        <v>7</v>
      </c>
      <c r="J35">
        <v>8</v>
      </c>
      <c r="K35">
        <v>1</v>
      </c>
      <c r="L35">
        <v>6</v>
      </c>
      <c r="M35">
        <v>1</v>
      </c>
      <c r="N35">
        <v>14</v>
      </c>
      <c r="O35">
        <v>6</v>
      </c>
      <c r="P35">
        <v>7</v>
      </c>
      <c r="Q35">
        <v>30</v>
      </c>
      <c r="R35">
        <v>0</v>
      </c>
      <c r="S35">
        <v>0</v>
      </c>
      <c r="T35">
        <v>22</v>
      </c>
      <c r="U35">
        <v>3</v>
      </c>
      <c r="V35">
        <v>2</v>
      </c>
    </row>
    <row r="36" spans="1:22" x14ac:dyDescent="0.2">
      <c r="A36" s="235" t="s">
        <v>52</v>
      </c>
      <c r="B36">
        <v>183820</v>
      </c>
      <c r="C36">
        <v>63</v>
      </c>
      <c r="D36">
        <v>48</v>
      </c>
      <c r="E36">
        <v>165</v>
      </c>
      <c r="F36">
        <v>1</v>
      </c>
      <c r="G36">
        <v>4</v>
      </c>
      <c r="H36">
        <v>25</v>
      </c>
      <c r="I36">
        <v>2</v>
      </c>
      <c r="J36">
        <v>7</v>
      </c>
      <c r="K36">
        <v>10</v>
      </c>
      <c r="L36">
        <v>3</v>
      </c>
      <c r="M36">
        <v>2</v>
      </c>
      <c r="N36">
        <v>24</v>
      </c>
      <c r="O36">
        <v>12</v>
      </c>
      <c r="P36">
        <v>5</v>
      </c>
      <c r="Q36">
        <v>23</v>
      </c>
      <c r="R36">
        <v>0</v>
      </c>
      <c r="S36">
        <v>0</v>
      </c>
      <c r="T36">
        <v>31</v>
      </c>
      <c r="U36">
        <v>4</v>
      </c>
      <c r="V36">
        <v>9</v>
      </c>
    </row>
    <row r="37" spans="1:22" x14ac:dyDescent="0.2">
      <c r="A37" s="235" t="s">
        <v>333</v>
      </c>
      <c r="B37">
        <v>5466000</v>
      </c>
      <c r="C37">
        <v>1596</v>
      </c>
      <c r="D37">
        <v>1617</v>
      </c>
      <c r="E37">
        <v>3735</v>
      </c>
      <c r="F37">
        <v>86</v>
      </c>
      <c r="G37">
        <v>230</v>
      </c>
      <c r="H37">
        <v>631</v>
      </c>
      <c r="I37">
        <v>415</v>
      </c>
      <c r="J37">
        <v>342</v>
      </c>
      <c r="K37">
        <v>210</v>
      </c>
      <c r="L37">
        <v>109</v>
      </c>
      <c r="M37">
        <v>81</v>
      </c>
      <c r="N37">
        <v>392</v>
      </c>
      <c r="O37">
        <v>470</v>
      </c>
      <c r="P37">
        <v>326</v>
      </c>
      <c r="Q37">
        <v>923</v>
      </c>
      <c r="R37">
        <v>3</v>
      </c>
      <c r="S37">
        <v>18</v>
      </c>
      <c r="T37">
        <v>1161</v>
      </c>
      <c r="U37">
        <v>190</v>
      </c>
      <c r="V37">
        <v>158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4"/>
    <pageSetUpPr fitToPage="1"/>
  </sheetPr>
  <dimension ref="A1:Z100"/>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7.7109375" style="50" customWidth="1"/>
    <col min="2" max="2" width="11.28515625" style="1" customWidth="1"/>
    <col min="3" max="3" width="11.140625" style="1" customWidth="1"/>
    <col min="4" max="5" width="10.5703125" style="1" customWidth="1"/>
    <col min="6" max="6" width="11.7109375" style="1" customWidth="1"/>
    <col min="7" max="7" width="13.28515625" style="1" customWidth="1"/>
    <col min="8" max="8" width="11.28515625" style="1" customWidth="1"/>
    <col min="9" max="9" width="12.7109375" style="1" customWidth="1"/>
    <col min="10" max="10" width="17.42578125" style="1" customWidth="1"/>
    <col min="11" max="11" width="11.5703125" style="1" customWidth="1"/>
    <col min="12" max="12" width="11" style="1" customWidth="1"/>
    <col min="13" max="13" width="9.42578125" style="1" customWidth="1"/>
    <col min="14" max="14" width="12.42578125" style="1" customWidth="1"/>
    <col min="15" max="15" width="12" style="1" customWidth="1"/>
    <col min="16" max="16" width="16.28515625" style="1" customWidth="1"/>
    <col min="17" max="17" width="15.5703125" style="1" customWidth="1"/>
    <col min="18" max="18" width="9.140625" style="1"/>
    <col min="19" max="19" width="13" style="1" customWidth="1"/>
    <col min="20" max="251" width="9.140625" style="1"/>
    <col min="252" max="252" width="11.42578125" style="1" customWidth="1"/>
    <col min="253" max="254" width="12.85546875" style="1" customWidth="1"/>
    <col min="255" max="255" width="12.140625" style="1" customWidth="1"/>
    <col min="256" max="256" width="12.85546875" style="1" customWidth="1"/>
    <col min="257" max="257" width="15.42578125" style="1" customWidth="1"/>
    <col min="258" max="259" width="12.85546875" style="1" customWidth="1"/>
    <col min="260" max="260" width="3.28515625" style="1" customWidth="1"/>
    <col min="261" max="262" width="11.5703125" style="1" customWidth="1"/>
    <col min="263" max="263" width="3.28515625" style="1" customWidth="1"/>
    <col min="264" max="267" width="14.28515625" style="1" customWidth="1"/>
    <col min="268" max="268" width="5.7109375" style="1" customWidth="1"/>
    <col min="269" max="269" width="17.42578125" style="1" customWidth="1"/>
    <col min="270" max="270" width="6" style="1" customWidth="1"/>
    <col min="271" max="271" width="17.28515625" style="1" customWidth="1"/>
    <col min="272" max="272" width="5.7109375" style="1" customWidth="1"/>
    <col min="273" max="273" width="17.28515625" style="1" customWidth="1"/>
    <col min="274" max="507" width="9.140625" style="1"/>
    <col min="508" max="508" width="11.42578125" style="1" customWidth="1"/>
    <col min="509" max="510" width="12.85546875" style="1" customWidth="1"/>
    <col min="511" max="511" width="12.140625" style="1" customWidth="1"/>
    <col min="512" max="512" width="12.85546875" style="1" customWidth="1"/>
    <col min="513" max="513" width="15.42578125" style="1" customWidth="1"/>
    <col min="514" max="515" width="12.85546875" style="1" customWidth="1"/>
    <col min="516" max="516" width="3.28515625" style="1" customWidth="1"/>
    <col min="517" max="518" width="11.5703125" style="1" customWidth="1"/>
    <col min="519" max="519" width="3.28515625" style="1" customWidth="1"/>
    <col min="520" max="523" width="14.28515625" style="1" customWidth="1"/>
    <col min="524" max="524" width="5.7109375" style="1" customWidth="1"/>
    <col min="525" max="525" width="17.42578125" style="1" customWidth="1"/>
    <col min="526" max="526" width="6" style="1" customWidth="1"/>
    <col min="527" max="527" width="17.28515625" style="1" customWidth="1"/>
    <col min="528" max="528" width="5.7109375" style="1" customWidth="1"/>
    <col min="529" max="529" width="17.28515625" style="1" customWidth="1"/>
    <col min="530" max="763" width="9.140625" style="1"/>
    <col min="764" max="764" width="11.42578125" style="1" customWidth="1"/>
    <col min="765" max="766" width="12.85546875" style="1" customWidth="1"/>
    <col min="767" max="767" width="12.140625" style="1" customWidth="1"/>
    <col min="768" max="768" width="12.85546875" style="1" customWidth="1"/>
    <col min="769" max="769" width="15.42578125" style="1" customWidth="1"/>
    <col min="770" max="771" width="12.85546875" style="1" customWidth="1"/>
    <col min="772" max="772" width="3.28515625" style="1" customWidth="1"/>
    <col min="773" max="774" width="11.5703125" style="1" customWidth="1"/>
    <col min="775" max="775" width="3.28515625" style="1" customWidth="1"/>
    <col min="776" max="779" width="14.28515625" style="1" customWidth="1"/>
    <col min="780" max="780" width="5.7109375" style="1" customWidth="1"/>
    <col min="781" max="781" width="17.42578125" style="1" customWidth="1"/>
    <col min="782" max="782" width="6" style="1" customWidth="1"/>
    <col min="783" max="783" width="17.28515625" style="1" customWidth="1"/>
    <col min="784" max="784" width="5.7109375" style="1" customWidth="1"/>
    <col min="785" max="785" width="17.28515625" style="1" customWidth="1"/>
    <col min="786" max="1019" width="9.140625" style="1"/>
    <col min="1020" max="1020" width="11.42578125" style="1" customWidth="1"/>
    <col min="1021" max="1022" width="12.85546875" style="1" customWidth="1"/>
    <col min="1023" max="1023" width="12.140625" style="1" customWidth="1"/>
    <col min="1024" max="1024" width="12.85546875" style="1" customWidth="1"/>
    <col min="1025" max="1025" width="15.42578125" style="1" customWidth="1"/>
    <col min="1026" max="1027" width="12.85546875" style="1" customWidth="1"/>
    <col min="1028" max="1028" width="3.28515625" style="1" customWidth="1"/>
    <col min="1029" max="1030" width="11.5703125" style="1" customWidth="1"/>
    <col min="1031" max="1031" width="3.28515625" style="1" customWidth="1"/>
    <col min="1032" max="1035" width="14.28515625" style="1" customWidth="1"/>
    <col min="1036" max="1036" width="5.7109375" style="1" customWidth="1"/>
    <col min="1037" max="1037" width="17.42578125" style="1" customWidth="1"/>
    <col min="1038" max="1038" width="6" style="1" customWidth="1"/>
    <col min="1039" max="1039" width="17.28515625" style="1" customWidth="1"/>
    <col min="1040" max="1040" width="5.7109375" style="1" customWidth="1"/>
    <col min="1041" max="1041" width="17.28515625" style="1" customWidth="1"/>
    <col min="1042" max="1275" width="9.140625" style="1"/>
    <col min="1276" max="1276" width="11.42578125" style="1" customWidth="1"/>
    <col min="1277" max="1278" width="12.85546875" style="1" customWidth="1"/>
    <col min="1279" max="1279" width="12.140625" style="1" customWidth="1"/>
    <col min="1280" max="1280" width="12.85546875" style="1" customWidth="1"/>
    <col min="1281" max="1281" width="15.42578125" style="1" customWidth="1"/>
    <col min="1282" max="1283" width="12.85546875" style="1" customWidth="1"/>
    <col min="1284" max="1284" width="3.28515625" style="1" customWidth="1"/>
    <col min="1285" max="1286" width="11.5703125" style="1" customWidth="1"/>
    <col min="1287" max="1287" width="3.28515625" style="1" customWidth="1"/>
    <col min="1288" max="1291" width="14.28515625" style="1" customWidth="1"/>
    <col min="1292" max="1292" width="5.7109375" style="1" customWidth="1"/>
    <col min="1293" max="1293" width="17.42578125" style="1" customWidth="1"/>
    <col min="1294" max="1294" width="6" style="1" customWidth="1"/>
    <col min="1295" max="1295" width="17.28515625" style="1" customWidth="1"/>
    <col min="1296" max="1296" width="5.7109375" style="1" customWidth="1"/>
    <col min="1297" max="1297" width="17.28515625" style="1" customWidth="1"/>
    <col min="1298" max="1531" width="9.140625" style="1"/>
    <col min="1532" max="1532" width="11.42578125" style="1" customWidth="1"/>
    <col min="1533" max="1534" width="12.85546875" style="1" customWidth="1"/>
    <col min="1535" max="1535" width="12.140625" style="1" customWidth="1"/>
    <col min="1536" max="1536" width="12.85546875" style="1" customWidth="1"/>
    <col min="1537" max="1537" width="15.42578125" style="1" customWidth="1"/>
    <col min="1538" max="1539" width="12.85546875" style="1" customWidth="1"/>
    <col min="1540" max="1540" width="3.28515625" style="1" customWidth="1"/>
    <col min="1541" max="1542" width="11.5703125" style="1" customWidth="1"/>
    <col min="1543" max="1543" width="3.28515625" style="1" customWidth="1"/>
    <col min="1544" max="1547" width="14.28515625" style="1" customWidth="1"/>
    <col min="1548" max="1548" width="5.7109375" style="1" customWidth="1"/>
    <col min="1549" max="1549" width="17.42578125" style="1" customWidth="1"/>
    <col min="1550" max="1550" width="6" style="1" customWidth="1"/>
    <col min="1551" max="1551" width="17.28515625" style="1" customWidth="1"/>
    <col min="1552" max="1552" width="5.7109375" style="1" customWidth="1"/>
    <col min="1553" max="1553" width="17.28515625" style="1" customWidth="1"/>
    <col min="1554" max="1787" width="9.140625" style="1"/>
    <col min="1788" max="1788" width="11.42578125" style="1" customWidth="1"/>
    <col min="1789" max="1790" width="12.85546875" style="1" customWidth="1"/>
    <col min="1791" max="1791" width="12.140625" style="1" customWidth="1"/>
    <col min="1792" max="1792" width="12.85546875" style="1" customWidth="1"/>
    <col min="1793" max="1793" width="15.42578125" style="1" customWidth="1"/>
    <col min="1794" max="1795" width="12.85546875" style="1" customWidth="1"/>
    <col min="1796" max="1796" width="3.28515625" style="1" customWidth="1"/>
    <col min="1797" max="1798" width="11.5703125" style="1" customWidth="1"/>
    <col min="1799" max="1799" width="3.28515625" style="1" customWidth="1"/>
    <col min="1800" max="1803" width="14.28515625" style="1" customWidth="1"/>
    <col min="1804" max="1804" width="5.7109375" style="1" customWidth="1"/>
    <col min="1805" max="1805" width="17.42578125" style="1" customWidth="1"/>
    <col min="1806" max="1806" width="6" style="1" customWidth="1"/>
    <col min="1807" max="1807" width="17.28515625" style="1" customWidth="1"/>
    <col min="1808" max="1808" width="5.7109375" style="1" customWidth="1"/>
    <col min="1809" max="1809" width="17.28515625" style="1" customWidth="1"/>
    <col min="1810" max="2043" width="9.140625" style="1"/>
    <col min="2044" max="2044" width="11.42578125" style="1" customWidth="1"/>
    <col min="2045" max="2046" width="12.85546875" style="1" customWidth="1"/>
    <col min="2047" max="2047" width="12.140625" style="1" customWidth="1"/>
    <col min="2048" max="2048" width="12.85546875" style="1" customWidth="1"/>
    <col min="2049" max="2049" width="15.42578125" style="1" customWidth="1"/>
    <col min="2050" max="2051" width="12.85546875" style="1" customWidth="1"/>
    <col min="2052" max="2052" width="3.28515625" style="1" customWidth="1"/>
    <col min="2053" max="2054" width="11.5703125" style="1" customWidth="1"/>
    <col min="2055" max="2055" width="3.28515625" style="1" customWidth="1"/>
    <col min="2056" max="2059" width="14.28515625" style="1" customWidth="1"/>
    <col min="2060" max="2060" width="5.7109375" style="1" customWidth="1"/>
    <col min="2061" max="2061" width="17.42578125" style="1" customWidth="1"/>
    <col min="2062" max="2062" width="6" style="1" customWidth="1"/>
    <col min="2063" max="2063" width="17.28515625" style="1" customWidth="1"/>
    <col min="2064" max="2064" width="5.7109375" style="1" customWidth="1"/>
    <col min="2065" max="2065" width="17.28515625" style="1" customWidth="1"/>
    <col min="2066" max="2299" width="9.140625" style="1"/>
    <col min="2300" max="2300" width="11.42578125" style="1" customWidth="1"/>
    <col min="2301" max="2302" width="12.85546875" style="1" customWidth="1"/>
    <col min="2303" max="2303" width="12.140625" style="1" customWidth="1"/>
    <col min="2304" max="2304" width="12.85546875" style="1" customWidth="1"/>
    <col min="2305" max="2305" width="15.42578125" style="1" customWidth="1"/>
    <col min="2306" max="2307" width="12.85546875" style="1" customWidth="1"/>
    <col min="2308" max="2308" width="3.28515625" style="1" customWidth="1"/>
    <col min="2309" max="2310" width="11.5703125" style="1" customWidth="1"/>
    <col min="2311" max="2311" width="3.28515625" style="1" customWidth="1"/>
    <col min="2312" max="2315" width="14.28515625" style="1" customWidth="1"/>
    <col min="2316" max="2316" width="5.7109375" style="1" customWidth="1"/>
    <col min="2317" max="2317" width="17.42578125" style="1" customWidth="1"/>
    <col min="2318" max="2318" width="6" style="1" customWidth="1"/>
    <col min="2319" max="2319" width="17.28515625" style="1" customWidth="1"/>
    <col min="2320" max="2320" width="5.7109375" style="1" customWidth="1"/>
    <col min="2321" max="2321" width="17.28515625" style="1" customWidth="1"/>
    <col min="2322" max="2555" width="9.140625" style="1"/>
    <col min="2556" max="2556" width="11.42578125" style="1" customWidth="1"/>
    <col min="2557" max="2558" width="12.85546875" style="1" customWidth="1"/>
    <col min="2559" max="2559" width="12.140625" style="1" customWidth="1"/>
    <col min="2560" max="2560" width="12.85546875" style="1" customWidth="1"/>
    <col min="2561" max="2561" width="15.42578125" style="1" customWidth="1"/>
    <col min="2562" max="2563" width="12.85546875" style="1" customWidth="1"/>
    <col min="2564" max="2564" width="3.28515625" style="1" customWidth="1"/>
    <col min="2565" max="2566" width="11.5703125" style="1" customWidth="1"/>
    <col min="2567" max="2567" width="3.28515625" style="1" customWidth="1"/>
    <col min="2568" max="2571" width="14.28515625" style="1" customWidth="1"/>
    <col min="2572" max="2572" width="5.7109375" style="1" customWidth="1"/>
    <col min="2573" max="2573" width="17.42578125" style="1" customWidth="1"/>
    <col min="2574" max="2574" width="6" style="1" customWidth="1"/>
    <col min="2575" max="2575" width="17.28515625" style="1" customWidth="1"/>
    <col min="2576" max="2576" width="5.7109375" style="1" customWidth="1"/>
    <col min="2577" max="2577" width="17.28515625" style="1" customWidth="1"/>
    <col min="2578" max="2811" width="9.140625" style="1"/>
    <col min="2812" max="2812" width="11.42578125" style="1" customWidth="1"/>
    <col min="2813" max="2814" width="12.85546875" style="1" customWidth="1"/>
    <col min="2815" max="2815" width="12.140625" style="1" customWidth="1"/>
    <col min="2816" max="2816" width="12.85546875" style="1" customWidth="1"/>
    <col min="2817" max="2817" width="15.42578125" style="1" customWidth="1"/>
    <col min="2818" max="2819" width="12.85546875" style="1" customWidth="1"/>
    <col min="2820" max="2820" width="3.28515625" style="1" customWidth="1"/>
    <col min="2821" max="2822" width="11.5703125" style="1" customWidth="1"/>
    <col min="2823" max="2823" width="3.28515625" style="1" customWidth="1"/>
    <col min="2824" max="2827" width="14.28515625" style="1" customWidth="1"/>
    <col min="2828" max="2828" width="5.7109375" style="1" customWidth="1"/>
    <col min="2829" max="2829" width="17.42578125" style="1" customWidth="1"/>
    <col min="2830" max="2830" width="6" style="1" customWidth="1"/>
    <col min="2831" max="2831" width="17.28515625" style="1" customWidth="1"/>
    <col min="2832" max="2832" width="5.7109375" style="1" customWidth="1"/>
    <col min="2833" max="2833" width="17.28515625" style="1" customWidth="1"/>
    <col min="2834" max="3067" width="9.140625" style="1"/>
    <col min="3068" max="3068" width="11.42578125" style="1" customWidth="1"/>
    <col min="3069" max="3070" width="12.85546875" style="1" customWidth="1"/>
    <col min="3071" max="3071" width="12.140625" style="1" customWidth="1"/>
    <col min="3072" max="3072" width="12.85546875" style="1" customWidth="1"/>
    <col min="3073" max="3073" width="15.42578125" style="1" customWidth="1"/>
    <col min="3074" max="3075" width="12.85546875" style="1" customWidth="1"/>
    <col min="3076" max="3076" width="3.28515625" style="1" customWidth="1"/>
    <col min="3077" max="3078" width="11.5703125" style="1" customWidth="1"/>
    <col min="3079" max="3079" width="3.28515625" style="1" customWidth="1"/>
    <col min="3080" max="3083" width="14.28515625" style="1" customWidth="1"/>
    <col min="3084" max="3084" width="5.7109375" style="1" customWidth="1"/>
    <col min="3085" max="3085" width="17.42578125" style="1" customWidth="1"/>
    <col min="3086" max="3086" width="6" style="1" customWidth="1"/>
    <col min="3087" max="3087" width="17.28515625" style="1" customWidth="1"/>
    <col min="3088" max="3088" width="5.7109375" style="1" customWidth="1"/>
    <col min="3089" max="3089" width="17.28515625" style="1" customWidth="1"/>
    <col min="3090" max="3323" width="9.140625" style="1"/>
    <col min="3324" max="3324" width="11.42578125" style="1" customWidth="1"/>
    <col min="3325" max="3326" width="12.85546875" style="1" customWidth="1"/>
    <col min="3327" max="3327" width="12.140625" style="1" customWidth="1"/>
    <col min="3328" max="3328" width="12.85546875" style="1" customWidth="1"/>
    <col min="3329" max="3329" width="15.42578125" style="1" customWidth="1"/>
    <col min="3330" max="3331" width="12.85546875" style="1" customWidth="1"/>
    <col min="3332" max="3332" width="3.28515625" style="1" customWidth="1"/>
    <col min="3333" max="3334" width="11.5703125" style="1" customWidth="1"/>
    <col min="3335" max="3335" width="3.28515625" style="1" customWidth="1"/>
    <col min="3336" max="3339" width="14.28515625" style="1" customWidth="1"/>
    <col min="3340" max="3340" width="5.7109375" style="1" customWidth="1"/>
    <col min="3341" max="3341" width="17.42578125" style="1" customWidth="1"/>
    <col min="3342" max="3342" width="6" style="1" customWidth="1"/>
    <col min="3343" max="3343" width="17.28515625" style="1" customWidth="1"/>
    <col min="3344" max="3344" width="5.7109375" style="1" customWidth="1"/>
    <col min="3345" max="3345" width="17.28515625" style="1" customWidth="1"/>
    <col min="3346" max="3579" width="9.140625" style="1"/>
    <col min="3580" max="3580" width="11.42578125" style="1" customWidth="1"/>
    <col min="3581" max="3582" width="12.85546875" style="1" customWidth="1"/>
    <col min="3583" max="3583" width="12.140625" style="1" customWidth="1"/>
    <col min="3584" max="3584" width="12.85546875" style="1" customWidth="1"/>
    <col min="3585" max="3585" width="15.42578125" style="1" customWidth="1"/>
    <col min="3586" max="3587" width="12.85546875" style="1" customWidth="1"/>
    <col min="3588" max="3588" width="3.28515625" style="1" customWidth="1"/>
    <col min="3589" max="3590" width="11.5703125" style="1" customWidth="1"/>
    <col min="3591" max="3591" width="3.28515625" style="1" customWidth="1"/>
    <col min="3592" max="3595" width="14.28515625" style="1" customWidth="1"/>
    <col min="3596" max="3596" width="5.7109375" style="1" customWidth="1"/>
    <col min="3597" max="3597" width="17.42578125" style="1" customWidth="1"/>
    <col min="3598" max="3598" width="6" style="1" customWidth="1"/>
    <col min="3599" max="3599" width="17.28515625" style="1" customWidth="1"/>
    <col min="3600" max="3600" width="5.7109375" style="1" customWidth="1"/>
    <col min="3601" max="3601" width="17.28515625" style="1" customWidth="1"/>
    <col min="3602" max="3835" width="9.140625" style="1"/>
    <col min="3836" max="3836" width="11.42578125" style="1" customWidth="1"/>
    <col min="3837" max="3838" width="12.85546875" style="1" customWidth="1"/>
    <col min="3839" max="3839" width="12.140625" style="1" customWidth="1"/>
    <col min="3840" max="3840" width="12.85546875" style="1" customWidth="1"/>
    <col min="3841" max="3841" width="15.42578125" style="1" customWidth="1"/>
    <col min="3842" max="3843" width="12.85546875" style="1" customWidth="1"/>
    <col min="3844" max="3844" width="3.28515625" style="1" customWidth="1"/>
    <col min="3845" max="3846" width="11.5703125" style="1" customWidth="1"/>
    <col min="3847" max="3847" width="3.28515625" style="1" customWidth="1"/>
    <col min="3848" max="3851" width="14.28515625" style="1" customWidth="1"/>
    <col min="3852" max="3852" width="5.7109375" style="1" customWidth="1"/>
    <col min="3853" max="3853" width="17.42578125" style="1" customWidth="1"/>
    <col min="3854" max="3854" width="6" style="1" customWidth="1"/>
    <col min="3855" max="3855" width="17.28515625" style="1" customWidth="1"/>
    <col min="3856" max="3856" width="5.7109375" style="1" customWidth="1"/>
    <col min="3857" max="3857" width="17.28515625" style="1" customWidth="1"/>
    <col min="3858" max="4091" width="9.140625" style="1"/>
    <col min="4092" max="4092" width="11.42578125" style="1" customWidth="1"/>
    <col min="4093" max="4094" width="12.85546875" style="1" customWidth="1"/>
    <col min="4095" max="4095" width="12.140625" style="1" customWidth="1"/>
    <col min="4096" max="4096" width="12.85546875" style="1" customWidth="1"/>
    <col min="4097" max="4097" width="15.42578125" style="1" customWidth="1"/>
    <col min="4098" max="4099" width="12.85546875" style="1" customWidth="1"/>
    <col min="4100" max="4100" width="3.28515625" style="1" customWidth="1"/>
    <col min="4101" max="4102" width="11.5703125" style="1" customWidth="1"/>
    <col min="4103" max="4103" width="3.28515625" style="1" customWidth="1"/>
    <col min="4104" max="4107" width="14.28515625" style="1" customWidth="1"/>
    <col min="4108" max="4108" width="5.7109375" style="1" customWidth="1"/>
    <col min="4109" max="4109" width="17.42578125" style="1" customWidth="1"/>
    <col min="4110" max="4110" width="6" style="1" customWidth="1"/>
    <col min="4111" max="4111" width="17.28515625" style="1" customWidth="1"/>
    <col min="4112" max="4112" width="5.7109375" style="1" customWidth="1"/>
    <col min="4113" max="4113" width="17.28515625" style="1" customWidth="1"/>
    <col min="4114" max="4347" width="9.140625" style="1"/>
    <col min="4348" max="4348" width="11.42578125" style="1" customWidth="1"/>
    <col min="4349" max="4350" width="12.85546875" style="1" customWidth="1"/>
    <col min="4351" max="4351" width="12.140625" style="1" customWidth="1"/>
    <col min="4352" max="4352" width="12.85546875" style="1" customWidth="1"/>
    <col min="4353" max="4353" width="15.42578125" style="1" customWidth="1"/>
    <col min="4354" max="4355" width="12.85546875" style="1" customWidth="1"/>
    <col min="4356" max="4356" width="3.28515625" style="1" customWidth="1"/>
    <col min="4357" max="4358" width="11.5703125" style="1" customWidth="1"/>
    <col min="4359" max="4359" width="3.28515625" style="1" customWidth="1"/>
    <col min="4360" max="4363" width="14.28515625" style="1" customWidth="1"/>
    <col min="4364" max="4364" width="5.7109375" style="1" customWidth="1"/>
    <col min="4365" max="4365" width="17.42578125" style="1" customWidth="1"/>
    <col min="4366" max="4366" width="6" style="1" customWidth="1"/>
    <col min="4367" max="4367" width="17.28515625" style="1" customWidth="1"/>
    <col min="4368" max="4368" width="5.7109375" style="1" customWidth="1"/>
    <col min="4369" max="4369" width="17.28515625" style="1" customWidth="1"/>
    <col min="4370" max="4603" width="9.140625" style="1"/>
    <col min="4604" max="4604" width="11.42578125" style="1" customWidth="1"/>
    <col min="4605" max="4606" width="12.85546875" style="1" customWidth="1"/>
    <col min="4607" max="4607" width="12.140625" style="1" customWidth="1"/>
    <col min="4608" max="4608" width="12.85546875" style="1" customWidth="1"/>
    <col min="4609" max="4609" width="15.42578125" style="1" customWidth="1"/>
    <col min="4610" max="4611" width="12.85546875" style="1" customWidth="1"/>
    <col min="4612" max="4612" width="3.28515625" style="1" customWidth="1"/>
    <col min="4613" max="4614" width="11.5703125" style="1" customWidth="1"/>
    <col min="4615" max="4615" width="3.28515625" style="1" customWidth="1"/>
    <col min="4616" max="4619" width="14.28515625" style="1" customWidth="1"/>
    <col min="4620" max="4620" width="5.7109375" style="1" customWidth="1"/>
    <col min="4621" max="4621" width="17.42578125" style="1" customWidth="1"/>
    <col min="4622" max="4622" width="6" style="1" customWidth="1"/>
    <col min="4623" max="4623" width="17.28515625" style="1" customWidth="1"/>
    <col min="4624" max="4624" width="5.7109375" style="1" customWidth="1"/>
    <col min="4625" max="4625" width="17.28515625" style="1" customWidth="1"/>
    <col min="4626" max="4859" width="9.140625" style="1"/>
    <col min="4860" max="4860" width="11.42578125" style="1" customWidth="1"/>
    <col min="4861" max="4862" width="12.85546875" style="1" customWidth="1"/>
    <col min="4863" max="4863" width="12.140625" style="1" customWidth="1"/>
    <col min="4864" max="4864" width="12.85546875" style="1" customWidth="1"/>
    <col min="4865" max="4865" width="15.42578125" style="1" customWidth="1"/>
    <col min="4866" max="4867" width="12.85546875" style="1" customWidth="1"/>
    <col min="4868" max="4868" width="3.28515625" style="1" customWidth="1"/>
    <col min="4869" max="4870" width="11.5703125" style="1" customWidth="1"/>
    <col min="4871" max="4871" width="3.28515625" style="1" customWidth="1"/>
    <col min="4872" max="4875" width="14.28515625" style="1" customWidth="1"/>
    <col min="4876" max="4876" width="5.7109375" style="1" customWidth="1"/>
    <col min="4877" max="4877" width="17.42578125" style="1" customWidth="1"/>
    <col min="4878" max="4878" width="6" style="1" customWidth="1"/>
    <col min="4879" max="4879" width="17.28515625" style="1" customWidth="1"/>
    <col min="4880" max="4880" width="5.7109375" style="1" customWidth="1"/>
    <col min="4881" max="4881" width="17.28515625" style="1" customWidth="1"/>
    <col min="4882" max="5115" width="9.140625" style="1"/>
    <col min="5116" max="5116" width="11.42578125" style="1" customWidth="1"/>
    <col min="5117" max="5118" width="12.85546875" style="1" customWidth="1"/>
    <col min="5119" max="5119" width="12.140625" style="1" customWidth="1"/>
    <col min="5120" max="5120" width="12.85546875" style="1" customWidth="1"/>
    <col min="5121" max="5121" width="15.42578125" style="1" customWidth="1"/>
    <col min="5122" max="5123" width="12.85546875" style="1" customWidth="1"/>
    <col min="5124" max="5124" width="3.28515625" style="1" customWidth="1"/>
    <col min="5125" max="5126" width="11.5703125" style="1" customWidth="1"/>
    <col min="5127" max="5127" width="3.28515625" style="1" customWidth="1"/>
    <col min="5128" max="5131" width="14.28515625" style="1" customWidth="1"/>
    <col min="5132" max="5132" width="5.7109375" style="1" customWidth="1"/>
    <col min="5133" max="5133" width="17.42578125" style="1" customWidth="1"/>
    <col min="5134" max="5134" width="6" style="1" customWidth="1"/>
    <col min="5135" max="5135" width="17.28515625" style="1" customWidth="1"/>
    <col min="5136" max="5136" width="5.7109375" style="1" customWidth="1"/>
    <col min="5137" max="5137" width="17.28515625" style="1" customWidth="1"/>
    <col min="5138" max="5371" width="9.140625" style="1"/>
    <col min="5372" max="5372" width="11.42578125" style="1" customWidth="1"/>
    <col min="5373" max="5374" width="12.85546875" style="1" customWidth="1"/>
    <col min="5375" max="5375" width="12.140625" style="1" customWidth="1"/>
    <col min="5376" max="5376" width="12.85546875" style="1" customWidth="1"/>
    <col min="5377" max="5377" width="15.42578125" style="1" customWidth="1"/>
    <col min="5378" max="5379" width="12.85546875" style="1" customWidth="1"/>
    <col min="5380" max="5380" width="3.28515625" style="1" customWidth="1"/>
    <col min="5381" max="5382" width="11.5703125" style="1" customWidth="1"/>
    <col min="5383" max="5383" width="3.28515625" style="1" customWidth="1"/>
    <col min="5384" max="5387" width="14.28515625" style="1" customWidth="1"/>
    <col min="5388" max="5388" width="5.7109375" style="1" customWidth="1"/>
    <col min="5389" max="5389" width="17.42578125" style="1" customWidth="1"/>
    <col min="5390" max="5390" width="6" style="1" customWidth="1"/>
    <col min="5391" max="5391" width="17.28515625" style="1" customWidth="1"/>
    <col min="5392" max="5392" width="5.7109375" style="1" customWidth="1"/>
    <col min="5393" max="5393" width="17.28515625" style="1" customWidth="1"/>
    <col min="5394" max="5627" width="9.140625" style="1"/>
    <col min="5628" max="5628" width="11.42578125" style="1" customWidth="1"/>
    <col min="5629" max="5630" width="12.85546875" style="1" customWidth="1"/>
    <col min="5631" max="5631" width="12.140625" style="1" customWidth="1"/>
    <col min="5632" max="5632" width="12.85546875" style="1" customWidth="1"/>
    <col min="5633" max="5633" width="15.42578125" style="1" customWidth="1"/>
    <col min="5634" max="5635" width="12.85546875" style="1" customWidth="1"/>
    <col min="5636" max="5636" width="3.28515625" style="1" customWidth="1"/>
    <col min="5637" max="5638" width="11.5703125" style="1" customWidth="1"/>
    <col min="5639" max="5639" width="3.28515625" style="1" customWidth="1"/>
    <col min="5640" max="5643" width="14.28515625" style="1" customWidth="1"/>
    <col min="5644" max="5644" width="5.7109375" style="1" customWidth="1"/>
    <col min="5645" max="5645" width="17.42578125" style="1" customWidth="1"/>
    <col min="5646" max="5646" width="6" style="1" customWidth="1"/>
    <col min="5647" max="5647" width="17.28515625" style="1" customWidth="1"/>
    <col min="5648" max="5648" width="5.7109375" style="1" customWidth="1"/>
    <col min="5649" max="5649" width="17.28515625" style="1" customWidth="1"/>
    <col min="5650" max="5883" width="9.140625" style="1"/>
    <col min="5884" max="5884" width="11.42578125" style="1" customWidth="1"/>
    <col min="5885" max="5886" width="12.85546875" style="1" customWidth="1"/>
    <col min="5887" max="5887" width="12.140625" style="1" customWidth="1"/>
    <col min="5888" max="5888" width="12.85546875" style="1" customWidth="1"/>
    <col min="5889" max="5889" width="15.42578125" style="1" customWidth="1"/>
    <col min="5890" max="5891" width="12.85546875" style="1" customWidth="1"/>
    <col min="5892" max="5892" width="3.28515625" style="1" customWidth="1"/>
    <col min="5893" max="5894" width="11.5703125" style="1" customWidth="1"/>
    <col min="5895" max="5895" width="3.28515625" style="1" customWidth="1"/>
    <col min="5896" max="5899" width="14.28515625" style="1" customWidth="1"/>
    <col min="5900" max="5900" width="5.7109375" style="1" customWidth="1"/>
    <col min="5901" max="5901" width="17.42578125" style="1" customWidth="1"/>
    <col min="5902" max="5902" width="6" style="1" customWidth="1"/>
    <col min="5903" max="5903" width="17.28515625" style="1" customWidth="1"/>
    <col min="5904" max="5904" width="5.7109375" style="1" customWidth="1"/>
    <col min="5905" max="5905" width="17.28515625" style="1" customWidth="1"/>
    <col min="5906" max="6139" width="9.140625" style="1"/>
    <col min="6140" max="6140" width="11.42578125" style="1" customWidth="1"/>
    <col min="6141" max="6142" width="12.85546875" style="1" customWidth="1"/>
    <col min="6143" max="6143" width="12.140625" style="1" customWidth="1"/>
    <col min="6144" max="6144" width="12.85546875" style="1" customWidth="1"/>
    <col min="6145" max="6145" width="15.42578125" style="1" customWidth="1"/>
    <col min="6146" max="6147" width="12.85546875" style="1" customWidth="1"/>
    <col min="6148" max="6148" width="3.28515625" style="1" customWidth="1"/>
    <col min="6149" max="6150" width="11.5703125" style="1" customWidth="1"/>
    <col min="6151" max="6151" width="3.28515625" style="1" customWidth="1"/>
    <col min="6152" max="6155" width="14.28515625" style="1" customWidth="1"/>
    <col min="6156" max="6156" width="5.7109375" style="1" customWidth="1"/>
    <col min="6157" max="6157" width="17.42578125" style="1" customWidth="1"/>
    <col min="6158" max="6158" width="6" style="1" customWidth="1"/>
    <col min="6159" max="6159" width="17.28515625" style="1" customWidth="1"/>
    <col min="6160" max="6160" width="5.7109375" style="1" customWidth="1"/>
    <col min="6161" max="6161" width="17.28515625" style="1" customWidth="1"/>
    <col min="6162" max="6395" width="9.140625" style="1"/>
    <col min="6396" max="6396" width="11.42578125" style="1" customWidth="1"/>
    <col min="6397" max="6398" width="12.85546875" style="1" customWidth="1"/>
    <col min="6399" max="6399" width="12.140625" style="1" customWidth="1"/>
    <col min="6400" max="6400" width="12.85546875" style="1" customWidth="1"/>
    <col min="6401" max="6401" width="15.42578125" style="1" customWidth="1"/>
    <col min="6402" max="6403" width="12.85546875" style="1" customWidth="1"/>
    <col min="6404" max="6404" width="3.28515625" style="1" customWidth="1"/>
    <col min="6405" max="6406" width="11.5703125" style="1" customWidth="1"/>
    <col min="6407" max="6407" width="3.28515625" style="1" customWidth="1"/>
    <col min="6408" max="6411" width="14.28515625" style="1" customWidth="1"/>
    <col min="6412" max="6412" width="5.7109375" style="1" customWidth="1"/>
    <col min="6413" max="6413" width="17.42578125" style="1" customWidth="1"/>
    <col min="6414" max="6414" width="6" style="1" customWidth="1"/>
    <col min="6415" max="6415" width="17.28515625" style="1" customWidth="1"/>
    <col min="6416" max="6416" width="5.7109375" style="1" customWidth="1"/>
    <col min="6417" max="6417" width="17.28515625" style="1" customWidth="1"/>
    <col min="6418" max="6651" width="9.140625" style="1"/>
    <col min="6652" max="6652" width="11.42578125" style="1" customWidth="1"/>
    <col min="6653" max="6654" width="12.85546875" style="1" customWidth="1"/>
    <col min="6655" max="6655" width="12.140625" style="1" customWidth="1"/>
    <col min="6656" max="6656" width="12.85546875" style="1" customWidth="1"/>
    <col min="6657" max="6657" width="15.42578125" style="1" customWidth="1"/>
    <col min="6658" max="6659" width="12.85546875" style="1" customWidth="1"/>
    <col min="6660" max="6660" width="3.28515625" style="1" customWidth="1"/>
    <col min="6661" max="6662" width="11.5703125" style="1" customWidth="1"/>
    <col min="6663" max="6663" width="3.28515625" style="1" customWidth="1"/>
    <col min="6664" max="6667" width="14.28515625" style="1" customWidth="1"/>
    <col min="6668" max="6668" width="5.7109375" style="1" customWidth="1"/>
    <col min="6669" max="6669" width="17.42578125" style="1" customWidth="1"/>
    <col min="6670" max="6670" width="6" style="1" customWidth="1"/>
    <col min="6671" max="6671" width="17.28515625" style="1" customWidth="1"/>
    <col min="6672" max="6672" width="5.7109375" style="1" customWidth="1"/>
    <col min="6673" max="6673" width="17.28515625" style="1" customWidth="1"/>
    <col min="6674" max="6907" width="9.140625" style="1"/>
    <col min="6908" max="6908" width="11.42578125" style="1" customWidth="1"/>
    <col min="6909" max="6910" width="12.85546875" style="1" customWidth="1"/>
    <col min="6911" max="6911" width="12.140625" style="1" customWidth="1"/>
    <col min="6912" max="6912" width="12.85546875" style="1" customWidth="1"/>
    <col min="6913" max="6913" width="15.42578125" style="1" customWidth="1"/>
    <col min="6914" max="6915" width="12.85546875" style="1" customWidth="1"/>
    <col min="6916" max="6916" width="3.28515625" style="1" customWidth="1"/>
    <col min="6917" max="6918" width="11.5703125" style="1" customWidth="1"/>
    <col min="6919" max="6919" width="3.28515625" style="1" customWidth="1"/>
    <col min="6920" max="6923" width="14.28515625" style="1" customWidth="1"/>
    <col min="6924" max="6924" width="5.7109375" style="1" customWidth="1"/>
    <col min="6925" max="6925" width="17.42578125" style="1" customWidth="1"/>
    <col min="6926" max="6926" width="6" style="1" customWidth="1"/>
    <col min="6927" max="6927" width="17.28515625" style="1" customWidth="1"/>
    <col min="6928" max="6928" width="5.7109375" style="1" customWidth="1"/>
    <col min="6929" max="6929" width="17.28515625" style="1" customWidth="1"/>
    <col min="6930" max="7163" width="9.140625" style="1"/>
    <col min="7164" max="7164" width="11.42578125" style="1" customWidth="1"/>
    <col min="7165" max="7166" width="12.85546875" style="1" customWidth="1"/>
    <col min="7167" max="7167" width="12.140625" style="1" customWidth="1"/>
    <col min="7168" max="7168" width="12.85546875" style="1" customWidth="1"/>
    <col min="7169" max="7169" width="15.42578125" style="1" customWidth="1"/>
    <col min="7170" max="7171" width="12.85546875" style="1" customWidth="1"/>
    <col min="7172" max="7172" width="3.28515625" style="1" customWidth="1"/>
    <col min="7173" max="7174" width="11.5703125" style="1" customWidth="1"/>
    <col min="7175" max="7175" width="3.28515625" style="1" customWidth="1"/>
    <col min="7176" max="7179" width="14.28515625" style="1" customWidth="1"/>
    <col min="7180" max="7180" width="5.7109375" style="1" customWidth="1"/>
    <col min="7181" max="7181" width="17.42578125" style="1" customWidth="1"/>
    <col min="7182" max="7182" width="6" style="1" customWidth="1"/>
    <col min="7183" max="7183" width="17.28515625" style="1" customWidth="1"/>
    <col min="7184" max="7184" width="5.7109375" style="1" customWidth="1"/>
    <col min="7185" max="7185" width="17.28515625" style="1" customWidth="1"/>
    <col min="7186" max="7419" width="9.140625" style="1"/>
    <col min="7420" max="7420" width="11.42578125" style="1" customWidth="1"/>
    <col min="7421" max="7422" width="12.85546875" style="1" customWidth="1"/>
    <col min="7423" max="7423" width="12.140625" style="1" customWidth="1"/>
    <col min="7424" max="7424" width="12.85546875" style="1" customWidth="1"/>
    <col min="7425" max="7425" width="15.42578125" style="1" customWidth="1"/>
    <col min="7426" max="7427" width="12.85546875" style="1" customWidth="1"/>
    <col min="7428" max="7428" width="3.28515625" style="1" customWidth="1"/>
    <col min="7429" max="7430" width="11.5703125" style="1" customWidth="1"/>
    <col min="7431" max="7431" width="3.28515625" style="1" customWidth="1"/>
    <col min="7432" max="7435" width="14.28515625" style="1" customWidth="1"/>
    <col min="7436" max="7436" width="5.7109375" style="1" customWidth="1"/>
    <col min="7437" max="7437" width="17.42578125" style="1" customWidth="1"/>
    <col min="7438" max="7438" width="6" style="1" customWidth="1"/>
    <col min="7439" max="7439" width="17.28515625" style="1" customWidth="1"/>
    <col min="7440" max="7440" width="5.7109375" style="1" customWidth="1"/>
    <col min="7441" max="7441" width="17.28515625" style="1" customWidth="1"/>
    <col min="7442" max="7675" width="9.140625" style="1"/>
    <col min="7676" max="7676" width="11.42578125" style="1" customWidth="1"/>
    <col min="7677" max="7678" width="12.85546875" style="1" customWidth="1"/>
    <col min="7679" max="7679" width="12.140625" style="1" customWidth="1"/>
    <col min="7680" max="7680" width="12.85546875" style="1" customWidth="1"/>
    <col min="7681" max="7681" width="15.42578125" style="1" customWidth="1"/>
    <col min="7682" max="7683" width="12.85546875" style="1" customWidth="1"/>
    <col min="7684" max="7684" width="3.28515625" style="1" customWidth="1"/>
    <col min="7685" max="7686" width="11.5703125" style="1" customWidth="1"/>
    <col min="7687" max="7687" width="3.28515625" style="1" customWidth="1"/>
    <col min="7688" max="7691" width="14.28515625" style="1" customWidth="1"/>
    <col min="7692" max="7692" width="5.7109375" style="1" customWidth="1"/>
    <col min="7693" max="7693" width="17.42578125" style="1" customWidth="1"/>
    <col min="7694" max="7694" width="6" style="1" customWidth="1"/>
    <col min="7695" max="7695" width="17.28515625" style="1" customWidth="1"/>
    <col min="7696" max="7696" width="5.7109375" style="1" customWidth="1"/>
    <col min="7697" max="7697" width="17.28515625" style="1" customWidth="1"/>
    <col min="7698" max="7931" width="9.140625" style="1"/>
    <col min="7932" max="7932" width="11.42578125" style="1" customWidth="1"/>
    <col min="7933" max="7934" width="12.85546875" style="1" customWidth="1"/>
    <col min="7935" max="7935" width="12.140625" style="1" customWidth="1"/>
    <col min="7936" max="7936" width="12.85546875" style="1" customWidth="1"/>
    <col min="7937" max="7937" width="15.42578125" style="1" customWidth="1"/>
    <col min="7938" max="7939" width="12.85546875" style="1" customWidth="1"/>
    <col min="7940" max="7940" width="3.28515625" style="1" customWidth="1"/>
    <col min="7941" max="7942" width="11.5703125" style="1" customWidth="1"/>
    <col min="7943" max="7943" width="3.28515625" style="1" customWidth="1"/>
    <col min="7944" max="7947" width="14.28515625" style="1" customWidth="1"/>
    <col min="7948" max="7948" width="5.7109375" style="1" customWidth="1"/>
    <col min="7949" max="7949" width="17.42578125" style="1" customWidth="1"/>
    <col min="7950" max="7950" width="6" style="1" customWidth="1"/>
    <col min="7951" max="7951" width="17.28515625" style="1" customWidth="1"/>
    <col min="7952" max="7952" width="5.7109375" style="1" customWidth="1"/>
    <col min="7953" max="7953" width="17.28515625" style="1" customWidth="1"/>
    <col min="7954" max="8187" width="9.140625" style="1"/>
    <col min="8188" max="8188" width="11.42578125" style="1" customWidth="1"/>
    <col min="8189" max="8190" width="12.85546875" style="1" customWidth="1"/>
    <col min="8191" max="8191" width="12.140625" style="1" customWidth="1"/>
    <col min="8192" max="8192" width="12.85546875" style="1" customWidth="1"/>
    <col min="8193" max="8193" width="15.42578125" style="1" customWidth="1"/>
    <col min="8194" max="8195" width="12.85546875" style="1" customWidth="1"/>
    <col min="8196" max="8196" width="3.28515625" style="1" customWidth="1"/>
    <col min="8197" max="8198" width="11.5703125" style="1" customWidth="1"/>
    <col min="8199" max="8199" width="3.28515625" style="1" customWidth="1"/>
    <col min="8200" max="8203" width="14.28515625" style="1" customWidth="1"/>
    <col min="8204" max="8204" width="5.7109375" style="1" customWidth="1"/>
    <col min="8205" max="8205" width="17.42578125" style="1" customWidth="1"/>
    <col min="8206" max="8206" width="6" style="1" customWidth="1"/>
    <col min="8207" max="8207" width="17.28515625" style="1" customWidth="1"/>
    <col min="8208" max="8208" width="5.7109375" style="1" customWidth="1"/>
    <col min="8209" max="8209" width="17.28515625" style="1" customWidth="1"/>
    <col min="8210" max="8443" width="9.140625" style="1"/>
    <col min="8444" max="8444" width="11.42578125" style="1" customWidth="1"/>
    <col min="8445" max="8446" width="12.85546875" style="1" customWidth="1"/>
    <col min="8447" max="8447" width="12.140625" style="1" customWidth="1"/>
    <col min="8448" max="8448" width="12.85546875" style="1" customWidth="1"/>
    <col min="8449" max="8449" width="15.42578125" style="1" customWidth="1"/>
    <col min="8450" max="8451" width="12.85546875" style="1" customWidth="1"/>
    <col min="8452" max="8452" width="3.28515625" style="1" customWidth="1"/>
    <col min="8453" max="8454" width="11.5703125" style="1" customWidth="1"/>
    <col min="8455" max="8455" width="3.28515625" style="1" customWidth="1"/>
    <col min="8456" max="8459" width="14.28515625" style="1" customWidth="1"/>
    <col min="8460" max="8460" width="5.7109375" style="1" customWidth="1"/>
    <col min="8461" max="8461" width="17.42578125" style="1" customWidth="1"/>
    <col min="8462" max="8462" width="6" style="1" customWidth="1"/>
    <col min="8463" max="8463" width="17.28515625" style="1" customWidth="1"/>
    <col min="8464" max="8464" width="5.7109375" style="1" customWidth="1"/>
    <col min="8465" max="8465" width="17.28515625" style="1" customWidth="1"/>
    <col min="8466" max="8699" width="9.140625" style="1"/>
    <col min="8700" max="8700" width="11.42578125" style="1" customWidth="1"/>
    <col min="8701" max="8702" width="12.85546875" style="1" customWidth="1"/>
    <col min="8703" max="8703" width="12.140625" style="1" customWidth="1"/>
    <col min="8704" max="8704" width="12.85546875" style="1" customWidth="1"/>
    <col min="8705" max="8705" width="15.42578125" style="1" customWidth="1"/>
    <col min="8706" max="8707" width="12.85546875" style="1" customWidth="1"/>
    <col min="8708" max="8708" width="3.28515625" style="1" customWidth="1"/>
    <col min="8709" max="8710" width="11.5703125" style="1" customWidth="1"/>
    <col min="8711" max="8711" width="3.28515625" style="1" customWidth="1"/>
    <col min="8712" max="8715" width="14.28515625" style="1" customWidth="1"/>
    <col min="8716" max="8716" width="5.7109375" style="1" customWidth="1"/>
    <col min="8717" max="8717" width="17.42578125" style="1" customWidth="1"/>
    <col min="8718" max="8718" width="6" style="1" customWidth="1"/>
    <col min="8719" max="8719" width="17.28515625" style="1" customWidth="1"/>
    <col min="8720" max="8720" width="5.7109375" style="1" customWidth="1"/>
    <col min="8721" max="8721" width="17.28515625" style="1" customWidth="1"/>
    <col min="8722" max="8955" width="9.140625" style="1"/>
    <col min="8956" max="8956" width="11.42578125" style="1" customWidth="1"/>
    <col min="8957" max="8958" width="12.85546875" style="1" customWidth="1"/>
    <col min="8959" max="8959" width="12.140625" style="1" customWidth="1"/>
    <col min="8960" max="8960" width="12.85546875" style="1" customWidth="1"/>
    <col min="8961" max="8961" width="15.42578125" style="1" customWidth="1"/>
    <col min="8962" max="8963" width="12.85546875" style="1" customWidth="1"/>
    <col min="8964" max="8964" width="3.28515625" style="1" customWidth="1"/>
    <col min="8965" max="8966" width="11.5703125" style="1" customWidth="1"/>
    <col min="8967" max="8967" width="3.28515625" style="1" customWidth="1"/>
    <col min="8968" max="8971" width="14.28515625" style="1" customWidth="1"/>
    <col min="8972" max="8972" width="5.7109375" style="1" customWidth="1"/>
    <col min="8973" max="8973" width="17.42578125" style="1" customWidth="1"/>
    <col min="8974" max="8974" width="6" style="1" customWidth="1"/>
    <col min="8975" max="8975" width="17.28515625" style="1" customWidth="1"/>
    <col min="8976" max="8976" width="5.7109375" style="1" customWidth="1"/>
    <col min="8977" max="8977" width="17.28515625" style="1" customWidth="1"/>
    <col min="8978" max="9211" width="9.140625" style="1"/>
    <col min="9212" max="9212" width="11.42578125" style="1" customWidth="1"/>
    <col min="9213" max="9214" width="12.85546875" style="1" customWidth="1"/>
    <col min="9215" max="9215" width="12.140625" style="1" customWidth="1"/>
    <col min="9216" max="9216" width="12.85546875" style="1" customWidth="1"/>
    <col min="9217" max="9217" width="15.42578125" style="1" customWidth="1"/>
    <col min="9218" max="9219" width="12.85546875" style="1" customWidth="1"/>
    <col min="9220" max="9220" width="3.28515625" style="1" customWidth="1"/>
    <col min="9221" max="9222" width="11.5703125" style="1" customWidth="1"/>
    <col min="9223" max="9223" width="3.28515625" style="1" customWidth="1"/>
    <col min="9224" max="9227" width="14.28515625" style="1" customWidth="1"/>
    <col min="9228" max="9228" width="5.7109375" style="1" customWidth="1"/>
    <col min="9229" max="9229" width="17.42578125" style="1" customWidth="1"/>
    <col min="9230" max="9230" width="6" style="1" customWidth="1"/>
    <col min="9231" max="9231" width="17.28515625" style="1" customWidth="1"/>
    <col min="9232" max="9232" width="5.7109375" style="1" customWidth="1"/>
    <col min="9233" max="9233" width="17.28515625" style="1" customWidth="1"/>
    <col min="9234" max="9467" width="9.140625" style="1"/>
    <col min="9468" max="9468" width="11.42578125" style="1" customWidth="1"/>
    <col min="9469" max="9470" width="12.85546875" style="1" customWidth="1"/>
    <col min="9471" max="9471" width="12.140625" style="1" customWidth="1"/>
    <col min="9472" max="9472" width="12.85546875" style="1" customWidth="1"/>
    <col min="9473" max="9473" width="15.42578125" style="1" customWidth="1"/>
    <col min="9474" max="9475" width="12.85546875" style="1" customWidth="1"/>
    <col min="9476" max="9476" width="3.28515625" style="1" customWidth="1"/>
    <col min="9477" max="9478" width="11.5703125" style="1" customWidth="1"/>
    <col min="9479" max="9479" width="3.28515625" style="1" customWidth="1"/>
    <col min="9480" max="9483" width="14.28515625" style="1" customWidth="1"/>
    <col min="9484" max="9484" width="5.7109375" style="1" customWidth="1"/>
    <col min="9485" max="9485" width="17.42578125" style="1" customWidth="1"/>
    <col min="9486" max="9486" width="6" style="1" customWidth="1"/>
    <col min="9487" max="9487" width="17.28515625" style="1" customWidth="1"/>
    <col min="9488" max="9488" width="5.7109375" style="1" customWidth="1"/>
    <col min="9489" max="9489" width="17.28515625" style="1" customWidth="1"/>
    <col min="9490" max="9723" width="9.140625" style="1"/>
    <col min="9724" max="9724" width="11.42578125" style="1" customWidth="1"/>
    <col min="9725" max="9726" width="12.85546875" style="1" customWidth="1"/>
    <col min="9727" max="9727" width="12.140625" style="1" customWidth="1"/>
    <col min="9728" max="9728" width="12.85546875" style="1" customWidth="1"/>
    <col min="9729" max="9729" width="15.42578125" style="1" customWidth="1"/>
    <col min="9730" max="9731" width="12.85546875" style="1" customWidth="1"/>
    <col min="9732" max="9732" width="3.28515625" style="1" customWidth="1"/>
    <col min="9733" max="9734" width="11.5703125" style="1" customWidth="1"/>
    <col min="9735" max="9735" width="3.28515625" style="1" customWidth="1"/>
    <col min="9736" max="9739" width="14.28515625" style="1" customWidth="1"/>
    <col min="9740" max="9740" width="5.7109375" style="1" customWidth="1"/>
    <col min="9741" max="9741" width="17.42578125" style="1" customWidth="1"/>
    <col min="9742" max="9742" width="6" style="1" customWidth="1"/>
    <col min="9743" max="9743" width="17.28515625" style="1" customWidth="1"/>
    <col min="9744" max="9744" width="5.7109375" style="1" customWidth="1"/>
    <col min="9745" max="9745" width="17.28515625" style="1" customWidth="1"/>
    <col min="9746" max="9979" width="9.140625" style="1"/>
    <col min="9980" max="9980" width="11.42578125" style="1" customWidth="1"/>
    <col min="9981" max="9982" width="12.85546875" style="1" customWidth="1"/>
    <col min="9983" max="9983" width="12.140625" style="1" customWidth="1"/>
    <col min="9984" max="9984" width="12.85546875" style="1" customWidth="1"/>
    <col min="9985" max="9985" width="15.42578125" style="1" customWidth="1"/>
    <col min="9986" max="9987" width="12.85546875" style="1" customWidth="1"/>
    <col min="9988" max="9988" width="3.28515625" style="1" customWidth="1"/>
    <col min="9989" max="9990" width="11.5703125" style="1" customWidth="1"/>
    <col min="9991" max="9991" width="3.28515625" style="1" customWidth="1"/>
    <col min="9992" max="9995" width="14.28515625" style="1" customWidth="1"/>
    <col min="9996" max="9996" width="5.7109375" style="1" customWidth="1"/>
    <col min="9997" max="9997" width="17.42578125" style="1" customWidth="1"/>
    <col min="9998" max="9998" width="6" style="1" customWidth="1"/>
    <col min="9999" max="9999" width="17.28515625" style="1" customWidth="1"/>
    <col min="10000" max="10000" width="5.7109375" style="1" customWidth="1"/>
    <col min="10001" max="10001" width="17.28515625" style="1" customWidth="1"/>
    <col min="10002" max="10235" width="9.140625" style="1"/>
    <col min="10236" max="10236" width="11.42578125" style="1" customWidth="1"/>
    <col min="10237" max="10238" width="12.85546875" style="1" customWidth="1"/>
    <col min="10239" max="10239" width="12.140625" style="1" customWidth="1"/>
    <col min="10240" max="10240" width="12.85546875" style="1" customWidth="1"/>
    <col min="10241" max="10241" width="15.42578125" style="1" customWidth="1"/>
    <col min="10242" max="10243" width="12.85546875" style="1" customWidth="1"/>
    <col min="10244" max="10244" width="3.28515625" style="1" customWidth="1"/>
    <col min="10245" max="10246" width="11.5703125" style="1" customWidth="1"/>
    <col min="10247" max="10247" width="3.28515625" style="1" customWidth="1"/>
    <col min="10248" max="10251" width="14.28515625" style="1" customWidth="1"/>
    <col min="10252" max="10252" width="5.7109375" style="1" customWidth="1"/>
    <col min="10253" max="10253" width="17.42578125" style="1" customWidth="1"/>
    <col min="10254" max="10254" width="6" style="1" customWidth="1"/>
    <col min="10255" max="10255" width="17.28515625" style="1" customWidth="1"/>
    <col min="10256" max="10256" width="5.7109375" style="1" customWidth="1"/>
    <col min="10257" max="10257" width="17.28515625" style="1" customWidth="1"/>
    <col min="10258" max="10491" width="9.140625" style="1"/>
    <col min="10492" max="10492" width="11.42578125" style="1" customWidth="1"/>
    <col min="10493" max="10494" width="12.85546875" style="1" customWidth="1"/>
    <col min="10495" max="10495" width="12.140625" style="1" customWidth="1"/>
    <col min="10496" max="10496" width="12.85546875" style="1" customWidth="1"/>
    <col min="10497" max="10497" width="15.42578125" style="1" customWidth="1"/>
    <col min="10498" max="10499" width="12.85546875" style="1" customWidth="1"/>
    <col min="10500" max="10500" width="3.28515625" style="1" customWidth="1"/>
    <col min="10501" max="10502" width="11.5703125" style="1" customWidth="1"/>
    <col min="10503" max="10503" width="3.28515625" style="1" customWidth="1"/>
    <col min="10504" max="10507" width="14.28515625" style="1" customWidth="1"/>
    <col min="10508" max="10508" width="5.7109375" style="1" customWidth="1"/>
    <col min="10509" max="10509" width="17.42578125" style="1" customWidth="1"/>
    <col min="10510" max="10510" width="6" style="1" customWidth="1"/>
    <col min="10511" max="10511" width="17.28515625" style="1" customWidth="1"/>
    <col min="10512" max="10512" width="5.7109375" style="1" customWidth="1"/>
    <col min="10513" max="10513" width="17.28515625" style="1" customWidth="1"/>
    <col min="10514" max="10747" width="9.140625" style="1"/>
    <col min="10748" max="10748" width="11.42578125" style="1" customWidth="1"/>
    <col min="10749" max="10750" width="12.85546875" style="1" customWidth="1"/>
    <col min="10751" max="10751" width="12.140625" style="1" customWidth="1"/>
    <col min="10752" max="10752" width="12.85546875" style="1" customWidth="1"/>
    <col min="10753" max="10753" width="15.42578125" style="1" customWidth="1"/>
    <col min="10754" max="10755" width="12.85546875" style="1" customWidth="1"/>
    <col min="10756" max="10756" width="3.28515625" style="1" customWidth="1"/>
    <col min="10757" max="10758" width="11.5703125" style="1" customWidth="1"/>
    <col min="10759" max="10759" width="3.28515625" style="1" customWidth="1"/>
    <col min="10760" max="10763" width="14.28515625" style="1" customWidth="1"/>
    <col min="10764" max="10764" width="5.7109375" style="1" customWidth="1"/>
    <col min="10765" max="10765" width="17.42578125" style="1" customWidth="1"/>
    <col min="10766" max="10766" width="6" style="1" customWidth="1"/>
    <col min="10767" max="10767" width="17.28515625" style="1" customWidth="1"/>
    <col min="10768" max="10768" width="5.7109375" style="1" customWidth="1"/>
    <col min="10769" max="10769" width="17.28515625" style="1" customWidth="1"/>
    <col min="10770" max="11003" width="9.140625" style="1"/>
    <col min="11004" max="11004" width="11.42578125" style="1" customWidth="1"/>
    <col min="11005" max="11006" width="12.85546875" style="1" customWidth="1"/>
    <col min="11007" max="11007" width="12.140625" style="1" customWidth="1"/>
    <col min="11008" max="11008" width="12.85546875" style="1" customWidth="1"/>
    <col min="11009" max="11009" width="15.42578125" style="1" customWidth="1"/>
    <col min="11010" max="11011" width="12.85546875" style="1" customWidth="1"/>
    <col min="11012" max="11012" width="3.28515625" style="1" customWidth="1"/>
    <col min="11013" max="11014" width="11.5703125" style="1" customWidth="1"/>
    <col min="11015" max="11015" width="3.28515625" style="1" customWidth="1"/>
    <col min="11016" max="11019" width="14.28515625" style="1" customWidth="1"/>
    <col min="11020" max="11020" width="5.7109375" style="1" customWidth="1"/>
    <col min="11021" max="11021" width="17.42578125" style="1" customWidth="1"/>
    <col min="11022" max="11022" width="6" style="1" customWidth="1"/>
    <col min="11023" max="11023" width="17.28515625" style="1" customWidth="1"/>
    <col min="11024" max="11024" width="5.7109375" style="1" customWidth="1"/>
    <col min="11025" max="11025" width="17.28515625" style="1" customWidth="1"/>
    <col min="11026" max="11259" width="9.140625" style="1"/>
    <col min="11260" max="11260" width="11.42578125" style="1" customWidth="1"/>
    <col min="11261" max="11262" width="12.85546875" style="1" customWidth="1"/>
    <col min="11263" max="11263" width="12.140625" style="1" customWidth="1"/>
    <col min="11264" max="11264" width="12.85546875" style="1" customWidth="1"/>
    <col min="11265" max="11265" width="15.42578125" style="1" customWidth="1"/>
    <col min="11266" max="11267" width="12.85546875" style="1" customWidth="1"/>
    <col min="11268" max="11268" width="3.28515625" style="1" customWidth="1"/>
    <col min="11269" max="11270" width="11.5703125" style="1" customWidth="1"/>
    <col min="11271" max="11271" width="3.28515625" style="1" customWidth="1"/>
    <col min="11272" max="11275" width="14.28515625" style="1" customWidth="1"/>
    <col min="11276" max="11276" width="5.7109375" style="1" customWidth="1"/>
    <col min="11277" max="11277" width="17.42578125" style="1" customWidth="1"/>
    <col min="11278" max="11278" width="6" style="1" customWidth="1"/>
    <col min="11279" max="11279" width="17.28515625" style="1" customWidth="1"/>
    <col min="11280" max="11280" width="5.7109375" style="1" customWidth="1"/>
    <col min="11281" max="11281" width="17.28515625" style="1" customWidth="1"/>
    <col min="11282" max="11515" width="9.140625" style="1"/>
    <col min="11516" max="11516" width="11.42578125" style="1" customWidth="1"/>
    <col min="11517" max="11518" width="12.85546875" style="1" customWidth="1"/>
    <col min="11519" max="11519" width="12.140625" style="1" customWidth="1"/>
    <col min="11520" max="11520" width="12.85546875" style="1" customWidth="1"/>
    <col min="11521" max="11521" width="15.42578125" style="1" customWidth="1"/>
    <col min="11522" max="11523" width="12.85546875" style="1" customWidth="1"/>
    <col min="11524" max="11524" width="3.28515625" style="1" customWidth="1"/>
    <col min="11525" max="11526" width="11.5703125" style="1" customWidth="1"/>
    <col min="11527" max="11527" width="3.28515625" style="1" customWidth="1"/>
    <col min="11528" max="11531" width="14.28515625" style="1" customWidth="1"/>
    <col min="11532" max="11532" width="5.7109375" style="1" customWidth="1"/>
    <col min="11533" max="11533" width="17.42578125" style="1" customWidth="1"/>
    <col min="11534" max="11534" width="6" style="1" customWidth="1"/>
    <col min="11535" max="11535" width="17.28515625" style="1" customWidth="1"/>
    <col min="11536" max="11536" width="5.7109375" style="1" customWidth="1"/>
    <col min="11537" max="11537" width="17.28515625" style="1" customWidth="1"/>
    <col min="11538" max="11771" width="9.140625" style="1"/>
    <col min="11772" max="11772" width="11.42578125" style="1" customWidth="1"/>
    <col min="11773" max="11774" width="12.85546875" style="1" customWidth="1"/>
    <col min="11775" max="11775" width="12.140625" style="1" customWidth="1"/>
    <col min="11776" max="11776" width="12.85546875" style="1" customWidth="1"/>
    <col min="11777" max="11777" width="15.42578125" style="1" customWidth="1"/>
    <col min="11778" max="11779" width="12.85546875" style="1" customWidth="1"/>
    <col min="11780" max="11780" width="3.28515625" style="1" customWidth="1"/>
    <col min="11781" max="11782" width="11.5703125" style="1" customWidth="1"/>
    <col min="11783" max="11783" width="3.28515625" style="1" customWidth="1"/>
    <col min="11784" max="11787" width="14.28515625" style="1" customWidth="1"/>
    <col min="11788" max="11788" width="5.7109375" style="1" customWidth="1"/>
    <col min="11789" max="11789" width="17.42578125" style="1" customWidth="1"/>
    <col min="11790" max="11790" width="6" style="1" customWidth="1"/>
    <col min="11791" max="11791" width="17.28515625" style="1" customWidth="1"/>
    <col min="11792" max="11792" width="5.7109375" style="1" customWidth="1"/>
    <col min="11793" max="11793" width="17.28515625" style="1" customWidth="1"/>
    <col min="11794" max="12027" width="9.140625" style="1"/>
    <col min="12028" max="12028" width="11.42578125" style="1" customWidth="1"/>
    <col min="12029" max="12030" width="12.85546875" style="1" customWidth="1"/>
    <col min="12031" max="12031" width="12.140625" style="1" customWidth="1"/>
    <col min="12032" max="12032" width="12.85546875" style="1" customWidth="1"/>
    <col min="12033" max="12033" width="15.42578125" style="1" customWidth="1"/>
    <col min="12034" max="12035" width="12.85546875" style="1" customWidth="1"/>
    <col min="12036" max="12036" width="3.28515625" style="1" customWidth="1"/>
    <col min="12037" max="12038" width="11.5703125" style="1" customWidth="1"/>
    <col min="12039" max="12039" width="3.28515625" style="1" customWidth="1"/>
    <col min="12040" max="12043" width="14.28515625" style="1" customWidth="1"/>
    <col min="12044" max="12044" width="5.7109375" style="1" customWidth="1"/>
    <col min="12045" max="12045" width="17.42578125" style="1" customWidth="1"/>
    <col min="12046" max="12046" width="6" style="1" customWidth="1"/>
    <col min="12047" max="12047" width="17.28515625" style="1" customWidth="1"/>
    <col min="12048" max="12048" width="5.7109375" style="1" customWidth="1"/>
    <col min="12049" max="12049" width="17.28515625" style="1" customWidth="1"/>
    <col min="12050" max="12283" width="9.140625" style="1"/>
    <col min="12284" max="12284" width="11.42578125" style="1" customWidth="1"/>
    <col min="12285" max="12286" width="12.85546875" style="1" customWidth="1"/>
    <col min="12287" max="12287" width="12.140625" style="1" customWidth="1"/>
    <col min="12288" max="12288" width="12.85546875" style="1" customWidth="1"/>
    <col min="12289" max="12289" width="15.42578125" style="1" customWidth="1"/>
    <col min="12290" max="12291" width="12.85546875" style="1" customWidth="1"/>
    <col min="12292" max="12292" width="3.28515625" style="1" customWidth="1"/>
    <col min="12293" max="12294" width="11.5703125" style="1" customWidth="1"/>
    <col min="12295" max="12295" width="3.28515625" style="1" customWidth="1"/>
    <col min="12296" max="12299" width="14.28515625" style="1" customWidth="1"/>
    <col min="12300" max="12300" width="5.7109375" style="1" customWidth="1"/>
    <col min="12301" max="12301" width="17.42578125" style="1" customWidth="1"/>
    <col min="12302" max="12302" width="6" style="1" customWidth="1"/>
    <col min="12303" max="12303" width="17.28515625" style="1" customWidth="1"/>
    <col min="12304" max="12304" width="5.7109375" style="1" customWidth="1"/>
    <col min="12305" max="12305" width="17.28515625" style="1" customWidth="1"/>
    <col min="12306" max="12539" width="9.140625" style="1"/>
    <col min="12540" max="12540" width="11.42578125" style="1" customWidth="1"/>
    <col min="12541" max="12542" width="12.85546875" style="1" customWidth="1"/>
    <col min="12543" max="12543" width="12.140625" style="1" customWidth="1"/>
    <col min="12544" max="12544" width="12.85546875" style="1" customWidth="1"/>
    <col min="12545" max="12545" width="15.42578125" style="1" customWidth="1"/>
    <col min="12546" max="12547" width="12.85546875" style="1" customWidth="1"/>
    <col min="12548" max="12548" width="3.28515625" style="1" customWidth="1"/>
    <col min="12549" max="12550" width="11.5703125" style="1" customWidth="1"/>
    <col min="12551" max="12551" width="3.28515625" style="1" customWidth="1"/>
    <col min="12552" max="12555" width="14.28515625" style="1" customWidth="1"/>
    <col min="12556" max="12556" width="5.7109375" style="1" customWidth="1"/>
    <col min="12557" max="12557" width="17.42578125" style="1" customWidth="1"/>
    <col min="12558" max="12558" width="6" style="1" customWidth="1"/>
    <col min="12559" max="12559" width="17.28515625" style="1" customWidth="1"/>
    <col min="12560" max="12560" width="5.7109375" style="1" customWidth="1"/>
    <col min="12561" max="12561" width="17.28515625" style="1" customWidth="1"/>
    <col min="12562" max="12795" width="9.140625" style="1"/>
    <col min="12796" max="12796" width="11.42578125" style="1" customWidth="1"/>
    <col min="12797" max="12798" width="12.85546875" style="1" customWidth="1"/>
    <col min="12799" max="12799" width="12.140625" style="1" customWidth="1"/>
    <col min="12800" max="12800" width="12.85546875" style="1" customWidth="1"/>
    <col min="12801" max="12801" width="15.42578125" style="1" customWidth="1"/>
    <col min="12802" max="12803" width="12.85546875" style="1" customWidth="1"/>
    <col min="12804" max="12804" width="3.28515625" style="1" customWidth="1"/>
    <col min="12805" max="12806" width="11.5703125" style="1" customWidth="1"/>
    <col min="12807" max="12807" width="3.28515625" style="1" customWidth="1"/>
    <col min="12808" max="12811" width="14.28515625" style="1" customWidth="1"/>
    <col min="12812" max="12812" width="5.7109375" style="1" customWidth="1"/>
    <col min="12813" max="12813" width="17.42578125" style="1" customWidth="1"/>
    <col min="12814" max="12814" width="6" style="1" customWidth="1"/>
    <col min="12815" max="12815" width="17.28515625" style="1" customWidth="1"/>
    <col min="12816" max="12816" width="5.7109375" style="1" customWidth="1"/>
    <col min="12817" max="12817" width="17.28515625" style="1" customWidth="1"/>
    <col min="12818" max="13051" width="9.140625" style="1"/>
    <col min="13052" max="13052" width="11.42578125" style="1" customWidth="1"/>
    <col min="13053" max="13054" width="12.85546875" style="1" customWidth="1"/>
    <col min="13055" max="13055" width="12.140625" style="1" customWidth="1"/>
    <col min="13056" max="13056" width="12.85546875" style="1" customWidth="1"/>
    <col min="13057" max="13057" width="15.42578125" style="1" customWidth="1"/>
    <col min="13058" max="13059" width="12.85546875" style="1" customWidth="1"/>
    <col min="13060" max="13060" width="3.28515625" style="1" customWidth="1"/>
    <col min="13061" max="13062" width="11.5703125" style="1" customWidth="1"/>
    <col min="13063" max="13063" width="3.28515625" style="1" customWidth="1"/>
    <col min="13064" max="13067" width="14.28515625" style="1" customWidth="1"/>
    <col min="13068" max="13068" width="5.7109375" style="1" customWidth="1"/>
    <col min="13069" max="13069" width="17.42578125" style="1" customWidth="1"/>
    <col min="13070" max="13070" width="6" style="1" customWidth="1"/>
    <col min="13071" max="13071" width="17.28515625" style="1" customWidth="1"/>
    <col min="13072" max="13072" width="5.7109375" style="1" customWidth="1"/>
    <col min="13073" max="13073" width="17.28515625" style="1" customWidth="1"/>
    <col min="13074" max="13307" width="9.140625" style="1"/>
    <col min="13308" max="13308" width="11.42578125" style="1" customWidth="1"/>
    <col min="13309" max="13310" width="12.85546875" style="1" customWidth="1"/>
    <col min="13311" max="13311" width="12.140625" style="1" customWidth="1"/>
    <col min="13312" max="13312" width="12.85546875" style="1" customWidth="1"/>
    <col min="13313" max="13313" width="15.42578125" style="1" customWidth="1"/>
    <col min="13314" max="13315" width="12.85546875" style="1" customWidth="1"/>
    <col min="13316" max="13316" width="3.28515625" style="1" customWidth="1"/>
    <col min="13317" max="13318" width="11.5703125" style="1" customWidth="1"/>
    <col min="13319" max="13319" width="3.28515625" style="1" customWidth="1"/>
    <col min="13320" max="13323" width="14.28515625" style="1" customWidth="1"/>
    <col min="13324" max="13324" width="5.7109375" style="1" customWidth="1"/>
    <col min="13325" max="13325" width="17.42578125" style="1" customWidth="1"/>
    <col min="13326" max="13326" width="6" style="1" customWidth="1"/>
    <col min="13327" max="13327" width="17.28515625" style="1" customWidth="1"/>
    <col min="13328" max="13328" width="5.7109375" style="1" customWidth="1"/>
    <col min="13329" max="13329" width="17.28515625" style="1" customWidth="1"/>
    <col min="13330" max="13563" width="9.140625" style="1"/>
    <col min="13564" max="13564" width="11.42578125" style="1" customWidth="1"/>
    <col min="13565" max="13566" width="12.85546875" style="1" customWidth="1"/>
    <col min="13567" max="13567" width="12.140625" style="1" customWidth="1"/>
    <col min="13568" max="13568" width="12.85546875" style="1" customWidth="1"/>
    <col min="13569" max="13569" width="15.42578125" style="1" customWidth="1"/>
    <col min="13570" max="13571" width="12.85546875" style="1" customWidth="1"/>
    <col min="13572" max="13572" width="3.28515625" style="1" customWidth="1"/>
    <col min="13573" max="13574" width="11.5703125" style="1" customWidth="1"/>
    <col min="13575" max="13575" width="3.28515625" style="1" customWidth="1"/>
    <col min="13576" max="13579" width="14.28515625" style="1" customWidth="1"/>
    <col min="13580" max="13580" width="5.7109375" style="1" customWidth="1"/>
    <col min="13581" max="13581" width="17.42578125" style="1" customWidth="1"/>
    <col min="13582" max="13582" width="6" style="1" customWidth="1"/>
    <col min="13583" max="13583" width="17.28515625" style="1" customWidth="1"/>
    <col min="13584" max="13584" width="5.7109375" style="1" customWidth="1"/>
    <col min="13585" max="13585" width="17.28515625" style="1" customWidth="1"/>
    <col min="13586" max="13819" width="9.140625" style="1"/>
    <col min="13820" max="13820" width="11.42578125" style="1" customWidth="1"/>
    <col min="13821" max="13822" width="12.85546875" style="1" customWidth="1"/>
    <col min="13823" max="13823" width="12.140625" style="1" customWidth="1"/>
    <col min="13824" max="13824" width="12.85546875" style="1" customWidth="1"/>
    <col min="13825" max="13825" width="15.42578125" style="1" customWidth="1"/>
    <col min="13826" max="13827" width="12.85546875" style="1" customWidth="1"/>
    <col min="13828" max="13828" width="3.28515625" style="1" customWidth="1"/>
    <col min="13829" max="13830" width="11.5703125" style="1" customWidth="1"/>
    <col min="13831" max="13831" width="3.28515625" style="1" customWidth="1"/>
    <col min="13832" max="13835" width="14.28515625" style="1" customWidth="1"/>
    <col min="13836" max="13836" width="5.7109375" style="1" customWidth="1"/>
    <col min="13837" max="13837" width="17.42578125" style="1" customWidth="1"/>
    <col min="13838" max="13838" width="6" style="1" customWidth="1"/>
    <col min="13839" max="13839" width="17.28515625" style="1" customWidth="1"/>
    <col min="13840" max="13840" width="5.7109375" style="1" customWidth="1"/>
    <col min="13841" max="13841" width="17.28515625" style="1" customWidth="1"/>
    <col min="13842" max="14075" width="9.140625" style="1"/>
    <col min="14076" max="14076" width="11.42578125" style="1" customWidth="1"/>
    <col min="14077" max="14078" width="12.85546875" style="1" customWidth="1"/>
    <col min="14079" max="14079" width="12.140625" style="1" customWidth="1"/>
    <col min="14080" max="14080" width="12.85546875" style="1" customWidth="1"/>
    <col min="14081" max="14081" width="15.42578125" style="1" customWidth="1"/>
    <col min="14082" max="14083" width="12.85546875" style="1" customWidth="1"/>
    <col min="14084" max="14084" width="3.28515625" style="1" customWidth="1"/>
    <col min="14085" max="14086" width="11.5703125" style="1" customWidth="1"/>
    <col min="14087" max="14087" width="3.28515625" style="1" customWidth="1"/>
    <col min="14088" max="14091" width="14.28515625" style="1" customWidth="1"/>
    <col min="14092" max="14092" width="5.7109375" style="1" customWidth="1"/>
    <col min="14093" max="14093" width="17.42578125" style="1" customWidth="1"/>
    <col min="14094" max="14094" width="6" style="1" customWidth="1"/>
    <col min="14095" max="14095" width="17.28515625" style="1" customWidth="1"/>
    <col min="14096" max="14096" width="5.7109375" style="1" customWidth="1"/>
    <col min="14097" max="14097" width="17.28515625" style="1" customWidth="1"/>
    <col min="14098" max="14331" width="9.140625" style="1"/>
    <col min="14332" max="14332" width="11.42578125" style="1" customWidth="1"/>
    <col min="14333" max="14334" width="12.85546875" style="1" customWidth="1"/>
    <col min="14335" max="14335" width="12.140625" style="1" customWidth="1"/>
    <col min="14336" max="14336" width="12.85546875" style="1" customWidth="1"/>
    <col min="14337" max="14337" width="15.42578125" style="1" customWidth="1"/>
    <col min="14338" max="14339" width="12.85546875" style="1" customWidth="1"/>
    <col min="14340" max="14340" width="3.28515625" style="1" customWidth="1"/>
    <col min="14341" max="14342" width="11.5703125" style="1" customWidth="1"/>
    <col min="14343" max="14343" width="3.28515625" style="1" customWidth="1"/>
    <col min="14344" max="14347" width="14.28515625" style="1" customWidth="1"/>
    <col min="14348" max="14348" width="5.7109375" style="1" customWidth="1"/>
    <col min="14349" max="14349" width="17.42578125" style="1" customWidth="1"/>
    <col min="14350" max="14350" width="6" style="1" customWidth="1"/>
    <col min="14351" max="14351" width="17.28515625" style="1" customWidth="1"/>
    <col min="14352" max="14352" width="5.7109375" style="1" customWidth="1"/>
    <col min="14353" max="14353" width="17.28515625" style="1" customWidth="1"/>
    <col min="14354" max="14587" width="9.140625" style="1"/>
    <col min="14588" max="14588" width="11.42578125" style="1" customWidth="1"/>
    <col min="14589" max="14590" width="12.85546875" style="1" customWidth="1"/>
    <col min="14591" max="14591" width="12.140625" style="1" customWidth="1"/>
    <col min="14592" max="14592" width="12.85546875" style="1" customWidth="1"/>
    <col min="14593" max="14593" width="15.42578125" style="1" customWidth="1"/>
    <col min="14594" max="14595" width="12.85546875" style="1" customWidth="1"/>
    <col min="14596" max="14596" width="3.28515625" style="1" customWidth="1"/>
    <col min="14597" max="14598" width="11.5703125" style="1" customWidth="1"/>
    <col min="14599" max="14599" width="3.28515625" style="1" customWidth="1"/>
    <col min="14600" max="14603" width="14.28515625" style="1" customWidth="1"/>
    <col min="14604" max="14604" width="5.7109375" style="1" customWidth="1"/>
    <col min="14605" max="14605" width="17.42578125" style="1" customWidth="1"/>
    <col min="14606" max="14606" width="6" style="1" customWidth="1"/>
    <col min="14607" max="14607" width="17.28515625" style="1" customWidth="1"/>
    <col min="14608" max="14608" width="5.7109375" style="1" customWidth="1"/>
    <col min="14609" max="14609" width="17.28515625" style="1" customWidth="1"/>
    <col min="14610" max="14843" width="9.140625" style="1"/>
    <col min="14844" max="14844" width="11.42578125" style="1" customWidth="1"/>
    <col min="14845" max="14846" width="12.85546875" style="1" customWidth="1"/>
    <col min="14847" max="14847" width="12.140625" style="1" customWidth="1"/>
    <col min="14848" max="14848" width="12.85546875" style="1" customWidth="1"/>
    <col min="14849" max="14849" width="15.42578125" style="1" customWidth="1"/>
    <col min="14850" max="14851" width="12.85546875" style="1" customWidth="1"/>
    <col min="14852" max="14852" width="3.28515625" style="1" customWidth="1"/>
    <col min="14853" max="14854" width="11.5703125" style="1" customWidth="1"/>
    <col min="14855" max="14855" width="3.28515625" style="1" customWidth="1"/>
    <col min="14856" max="14859" width="14.28515625" style="1" customWidth="1"/>
    <col min="14860" max="14860" width="5.7109375" style="1" customWidth="1"/>
    <col min="14861" max="14861" width="17.42578125" style="1" customWidth="1"/>
    <col min="14862" max="14862" width="6" style="1" customWidth="1"/>
    <col min="14863" max="14863" width="17.28515625" style="1" customWidth="1"/>
    <col min="14864" max="14864" width="5.7109375" style="1" customWidth="1"/>
    <col min="14865" max="14865" width="17.28515625" style="1" customWidth="1"/>
    <col min="14866" max="15099" width="9.140625" style="1"/>
    <col min="15100" max="15100" width="11.42578125" style="1" customWidth="1"/>
    <col min="15101" max="15102" width="12.85546875" style="1" customWidth="1"/>
    <col min="15103" max="15103" width="12.140625" style="1" customWidth="1"/>
    <col min="15104" max="15104" width="12.85546875" style="1" customWidth="1"/>
    <col min="15105" max="15105" width="15.42578125" style="1" customWidth="1"/>
    <col min="15106" max="15107" width="12.85546875" style="1" customWidth="1"/>
    <col min="15108" max="15108" width="3.28515625" style="1" customWidth="1"/>
    <col min="15109" max="15110" width="11.5703125" style="1" customWidth="1"/>
    <col min="15111" max="15111" width="3.28515625" style="1" customWidth="1"/>
    <col min="15112" max="15115" width="14.28515625" style="1" customWidth="1"/>
    <col min="15116" max="15116" width="5.7109375" style="1" customWidth="1"/>
    <col min="15117" max="15117" width="17.42578125" style="1" customWidth="1"/>
    <col min="15118" max="15118" width="6" style="1" customWidth="1"/>
    <col min="15119" max="15119" width="17.28515625" style="1" customWidth="1"/>
    <col min="15120" max="15120" width="5.7109375" style="1" customWidth="1"/>
    <col min="15121" max="15121" width="17.28515625" style="1" customWidth="1"/>
    <col min="15122" max="15355" width="9.140625" style="1"/>
    <col min="15356" max="15356" width="11.42578125" style="1" customWidth="1"/>
    <col min="15357" max="15358" width="12.85546875" style="1" customWidth="1"/>
    <col min="15359" max="15359" width="12.140625" style="1" customWidth="1"/>
    <col min="15360" max="15360" width="12.85546875" style="1" customWidth="1"/>
    <col min="15361" max="15361" width="15.42578125" style="1" customWidth="1"/>
    <col min="15362" max="15363" width="12.85546875" style="1" customWidth="1"/>
    <col min="15364" max="15364" width="3.28515625" style="1" customWidth="1"/>
    <col min="15365" max="15366" width="11.5703125" style="1" customWidth="1"/>
    <col min="15367" max="15367" width="3.28515625" style="1" customWidth="1"/>
    <col min="15368" max="15371" width="14.28515625" style="1" customWidth="1"/>
    <col min="15372" max="15372" width="5.7109375" style="1" customWidth="1"/>
    <col min="15373" max="15373" width="17.42578125" style="1" customWidth="1"/>
    <col min="15374" max="15374" width="6" style="1" customWidth="1"/>
    <col min="15375" max="15375" width="17.28515625" style="1" customWidth="1"/>
    <col min="15376" max="15376" width="5.7109375" style="1" customWidth="1"/>
    <col min="15377" max="15377" width="17.28515625" style="1" customWidth="1"/>
    <col min="15378" max="15611" width="9.140625" style="1"/>
    <col min="15612" max="15612" width="11.42578125" style="1" customWidth="1"/>
    <col min="15613" max="15614" width="12.85546875" style="1" customWidth="1"/>
    <col min="15615" max="15615" width="12.140625" style="1" customWidth="1"/>
    <col min="15616" max="15616" width="12.85546875" style="1" customWidth="1"/>
    <col min="15617" max="15617" width="15.42578125" style="1" customWidth="1"/>
    <col min="15618" max="15619" width="12.85546875" style="1" customWidth="1"/>
    <col min="15620" max="15620" width="3.28515625" style="1" customWidth="1"/>
    <col min="15621" max="15622" width="11.5703125" style="1" customWidth="1"/>
    <col min="15623" max="15623" width="3.28515625" style="1" customWidth="1"/>
    <col min="15624" max="15627" width="14.28515625" style="1" customWidth="1"/>
    <col min="15628" max="15628" width="5.7109375" style="1" customWidth="1"/>
    <col min="15629" max="15629" width="17.42578125" style="1" customWidth="1"/>
    <col min="15630" max="15630" width="6" style="1" customWidth="1"/>
    <col min="15631" max="15631" width="17.28515625" style="1" customWidth="1"/>
    <col min="15632" max="15632" width="5.7109375" style="1" customWidth="1"/>
    <col min="15633" max="15633" width="17.28515625" style="1" customWidth="1"/>
    <col min="15634" max="15867" width="9.140625" style="1"/>
    <col min="15868" max="15868" width="11.42578125" style="1" customWidth="1"/>
    <col min="15869" max="15870" width="12.85546875" style="1" customWidth="1"/>
    <col min="15871" max="15871" width="12.140625" style="1" customWidth="1"/>
    <col min="15872" max="15872" width="12.85546875" style="1" customWidth="1"/>
    <col min="15873" max="15873" width="15.42578125" style="1" customWidth="1"/>
    <col min="15874" max="15875" width="12.85546875" style="1" customWidth="1"/>
    <col min="15876" max="15876" width="3.28515625" style="1" customWidth="1"/>
    <col min="15877" max="15878" width="11.5703125" style="1" customWidth="1"/>
    <col min="15879" max="15879" width="3.28515625" style="1" customWidth="1"/>
    <col min="15880" max="15883" width="14.28515625" style="1" customWidth="1"/>
    <col min="15884" max="15884" width="5.7109375" style="1" customWidth="1"/>
    <col min="15885" max="15885" width="17.42578125" style="1" customWidth="1"/>
    <col min="15886" max="15886" width="6" style="1" customWidth="1"/>
    <col min="15887" max="15887" width="17.28515625" style="1" customWidth="1"/>
    <col min="15888" max="15888" width="5.7109375" style="1" customWidth="1"/>
    <col min="15889" max="15889" width="17.28515625" style="1" customWidth="1"/>
    <col min="15890" max="16123" width="9.140625" style="1"/>
    <col min="16124" max="16124" width="11.42578125" style="1" customWidth="1"/>
    <col min="16125" max="16126" width="12.85546875" style="1" customWidth="1"/>
    <col min="16127" max="16127" width="12.140625" style="1" customWidth="1"/>
    <col min="16128" max="16128" width="12.85546875" style="1" customWidth="1"/>
    <col min="16129" max="16129" width="15.42578125" style="1" customWidth="1"/>
    <col min="16130" max="16131" width="12.85546875" style="1" customWidth="1"/>
    <col min="16132" max="16132" width="3.28515625" style="1" customWidth="1"/>
    <col min="16133" max="16134" width="11.5703125" style="1" customWidth="1"/>
    <col min="16135" max="16135" width="3.28515625" style="1" customWidth="1"/>
    <col min="16136" max="16139" width="14.28515625" style="1" customWidth="1"/>
    <col min="16140" max="16140" width="5.7109375" style="1" customWidth="1"/>
    <col min="16141" max="16141" width="17.42578125" style="1" customWidth="1"/>
    <col min="16142" max="16142" width="6" style="1" customWidth="1"/>
    <col min="16143" max="16143" width="17.28515625" style="1" customWidth="1"/>
    <col min="16144" max="16144" width="5.7109375" style="1" customWidth="1"/>
    <col min="16145" max="16145" width="17.28515625" style="1" customWidth="1"/>
    <col min="16146" max="16384" width="9.140625" style="1"/>
  </cols>
  <sheetData>
    <row r="1" spans="1:20" ht="15.75" customHeight="1" x14ac:dyDescent="0.2">
      <c r="A1" s="298" t="s">
        <v>577</v>
      </c>
      <c r="B1" s="298"/>
      <c r="C1" s="298"/>
      <c r="D1" s="298"/>
      <c r="E1" s="298"/>
      <c r="F1" s="298"/>
      <c r="G1" s="298"/>
      <c r="H1" s="298"/>
      <c r="I1" s="298"/>
    </row>
    <row r="2" spans="1:20" ht="15.75" customHeight="1" x14ac:dyDescent="0.2">
      <c r="A2" s="106" t="s">
        <v>578</v>
      </c>
    </row>
    <row r="3" spans="1:20" customFormat="1" ht="37.5" customHeight="1" x14ac:dyDescent="0.2">
      <c r="A3" s="237" t="s">
        <v>575</v>
      </c>
      <c r="B3" s="237"/>
      <c r="C3" s="237"/>
      <c r="D3" s="237"/>
      <c r="E3" s="237"/>
      <c r="F3" s="237"/>
      <c r="G3" s="237"/>
      <c r="H3" s="237"/>
      <c r="I3" s="237"/>
      <c r="J3" s="237"/>
      <c r="K3" s="237"/>
      <c r="L3" s="237"/>
    </row>
    <row r="4" spans="1:20" customFormat="1" ht="15" customHeight="1" x14ac:dyDescent="0.25">
      <c r="A4" s="295" t="s">
        <v>579</v>
      </c>
      <c r="B4" s="1043" t="s">
        <v>1293</v>
      </c>
      <c r="C4" s="237"/>
      <c r="D4" s="237"/>
      <c r="E4" s="237"/>
      <c r="F4" s="237"/>
      <c r="G4" s="237"/>
      <c r="H4" s="237"/>
      <c r="I4" s="237"/>
      <c r="J4" s="237"/>
      <c r="K4" s="237"/>
      <c r="L4" s="237"/>
    </row>
    <row r="5" spans="1:20" customFormat="1" ht="15" customHeight="1" x14ac:dyDescent="0.25">
      <c r="A5" s="295" t="s">
        <v>580</v>
      </c>
      <c r="B5" s="295" t="s">
        <v>581</v>
      </c>
      <c r="C5" s="237"/>
      <c r="D5" s="237"/>
      <c r="E5" s="237"/>
      <c r="F5" s="237"/>
      <c r="G5" s="237"/>
      <c r="H5" s="237"/>
      <c r="I5" s="237"/>
      <c r="J5" s="237"/>
      <c r="K5" s="237"/>
      <c r="L5" s="237"/>
    </row>
    <row r="6" spans="1:20" customFormat="1" ht="15" customHeight="1" x14ac:dyDescent="0.25">
      <c r="A6" s="295" t="s">
        <v>582</v>
      </c>
      <c r="B6" s="295" t="s">
        <v>583</v>
      </c>
      <c r="C6" s="237"/>
      <c r="D6" s="237"/>
      <c r="E6" s="237"/>
      <c r="F6" s="237"/>
      <c r="G6" s="237"/>
      <c r="H6" s="237"/>
      <c r="I6" s="1007"/>
      <c r="J6" s="237"/>
      <c r="K6" s="237"/>
      <c r="L6" s="237"/>
    </row>
    <row r="7" spans="1:20" customFormat="1" ht="15" customHeight="1" x14ac:dyDescent="0.2">
      <c r="A7" s="237"/>
      <c r="B7" s="237"/>
      <c r="C7" s="237"/>
      <c r="D7" s="237"/>
      <c r="E7" s="237"/>
      <c r="F7" s="237"/>
      <c r="G7" s="237"/>
      <c r="H7" s="237"/>
      <c r="I7" s="1007"/>
      <c r="J7" s="237"/>
      <c r="K7" s="237"/>
      <c r="L7" s="237"/>
    </row>
    <row r="8" spans="1:20" ht="13.5" customHeight="1" x14ac:dyDescent="0.2">
      <c r="B8" s="1239" t="s">
        <v>103</v>
      </c>
      <c r="C8" s="1240"/>
      <c r="D8" s="1240"/>
      <c r="E8" s="1240"/>
      <c r="F8" s="1240"/>
      <c r="G8" s="1240"/>
      <c r="H8" s="1240"/>
      <c r="I8" s="1241"/>
      <c r="J8" s="1245" t="s">
        <v>277</v>
      </c>
      <c r="K8" s="1246"/>
      <c r="L8" s="1246"/>
      <c r="M8" s="1246"/>
      <c r="N8" s="1246"/>
      <c r="O8" s="1247"/>
      <c r="P8" s="1248" t="s">
        <v>297</v>
      </c>
      <c r="Q8" s="1242" t="s">
        <v>312</v>
      </c>
      <c r="S8"/>
      <c r="T8"/>
    </row>
    <row r="9" spans="1:20" s="39" customFormat="1" ht="27.75" customHeight="1" x14ac:dyDescent="0.2">
      <c r="B9" s="1239" t="s">
        <v>21</v>
      </c>
      <c r="C9" s="1240"/>
      <c r="D9" s="1240"/>
      <c r="E9" s="1240"/>
      <c r="F9" s="1249"/>
      <c r="G9" s="1251" t="s">
        <v>113</v>
      </c>
      <c r="H9" s="1251" t="s">
        <v>142</v>
      </c>
      <c r="I9" s="1250" t="s">
        <v>185</v>
      </c>
      <c r="J9" s="1239" t="s">
        <v>114</v>
      </c>
      <c r="K9" s="1240"/>
      <c r="L9" s="1240"/>
      <c r="M9" s="1249"/>
      <c r="N9" s="1254" t="s">
        <v>296</v>
      </c>
      <c r="O9" s="1237" t="s">
        <v>148</v>
      </c>
      <c r="P9" s="1248"/>
      <c r="Q9" s="1243"/>
      <c r="S9"/>
      <c r="T9"/>
    </row>
    <row r="10" spans="1:20" ht="44.25" customHeight="1" x14ac:dyDescent="0.2">
      <c r="A10" s="283" t="s">
        <v>4</v>
      </c>
      <c r="B10" s="205" t="s">
        <v>5</v>
      </c>
      <c r="C10" s="319" t="s">
        <v>6</v>
      </c>
      <c r="D10" s="319" t="s">
        <v>7</v>
      </c>
      <c r="E10" s="319" t="s">
        <v>8</v>
      </c>
      <c r="F10" s="342" t="s">
        <v>584</v>
      </c>
      <c r="G10" s="1252"/>
      <c r="H10" s="1253"/>
      <c r="I10" s="1250"/>
      <c r="J10" s="325" t="s">
        <v>137</v>
      </c>
      <c r="K10" s="319" t="s">
        <v>138</v>
      </c>
      <c r="L10" s="319" t="s">
        <v>139</v>
      </c>
      <c r="M10" s="319" t="s">
        <v>11</v>
      </c>
      <c r="N10" s="1255"/>
      <c r="O10" s="1238"/>
      <c r="P10" s="1248"/>
      <c r="Q10" s="1244"/>
      <c r="S10"/>
      <c r="T10"/>
    </row>
    <row r="11" spans="1:20" ht="18.75" customHeight="1" x14ac:dyDescent="0.2">
      <c r="A11" s="326">
        <v>1990</v>
      </c>
      <c r="B11" s="328">
        <v>9811</v>
      </c>
      <c r="C11" s="299">
        <v>4404</v>
      </c>
      <c r="D11" s="299">
        <v>4030</v>
      </c>
      <c r="E11" s="299">
        <v>1299</v>
      </c>
      <c r="F11" s="343">
        <f>SUM(B11:E11)</f>
        <v>19544</v>
      </c>
      <c r="G11" s="344">
        <v>23023</v>
      </c>
      <c r="H11" s="310">
        <v>7400</v>
      </c>
      <c r="I11" s="313">
        <f>SUM(F11:H11)</f>
        <v>49967</v>
      </c>
      <c r="J11" s="206"/>
      <c r="K11" s="312"/>
      <c r="L11" s="312"/>
      <c r="M11" s="313">
        <v>40600</v>
      </c>
      <c r="N11" s="108"/>
      <c r="O11" s="109"/>
      <c r="P11" s="206"/>
      <c r="Q11" s="206"/>
      <c r="S11"/>
      <c r="T11"/>
    </row>
    <row r="12" spans="1:20" ht="13.5" customHeight="1" x14ac:dyDescent="0.2">
      <c r="A12" s="309">
        <v>1991</v>
      </c>
      <c r="B12" s="300">
        <v>9799</v>
      </c>
      <c r="C12" s="300">
        <v>4461</v>
      </c>
      <c r="D12" s="300">
        <v>5338</v>
      </c>
      <c r="E12" s="300">
        <v>1310</v>
      </c>
      <c r="F12" s="306">
        <f t="shared" ref="F12:F29" si="0">SUM(B12:E12)</f>
        <v>20908</v>
      </c>
      <c r="G12" s="214">
        <v>27517</v>
      </c>
      <c r="H12" s="214">
        <v>8700</v>
      </c>
      <c r="I12" s="313">
        <f t="shared" ref="I12:I29" si="1">SUM(F12:H12)</f>
        <v>57125</v>
      </c>
      <c r="J12" s="207"/>
      <c r="K12" s="208"/>
      <c r="L12" s="208"/>
      <c r="M12" s="314">
        <v>47000</v>
      </c>
      <c r="N12" s="321"/>
      <c r="O12" s="315"/>
      <c r="P12" s="322"/>
      <c r="Q12" s="322"/>
      <c r="S12"/>
      <c r="T12"/>
    </row>
    <row r="13" spans="1:20" ht="13.5" customHeight="1" x14ac:dyDescent="0.2">
      <c r="A13" s="309">
        <v>1992</v>
      </c>
      <c r="B13" s="300">
        <v>9612</v>
      </c>
      <c r="C13" s="300">
        <v>4313</v>
      </c>
      <c r="D13" s="300">
        <v>5766</v>
      </c>
      <c r="E13" s="300">
        <v>1232</v>
      </c>
      <c r="F13" s="306">
        <f t="shared" si="0"/>
        <v>20923</v>
      </c>
      <c r="G13" s="214">
        <v>23444</v>
      </c>
      <c r="H13" s="214">
        <v>7800</v>
      </c>
      <c r="I13" s="313">
        <f t="shared" si="1"/>
        <v>52167</v>
      </c>
      <c r="J13" s="207"/>
      <c r="K13" s="208"/>
      <c r="L13" s="208"/>
      <c r="M13" s="314">
        <v>52800</v>
      </c>
      <c r="N13" s="321"/>
      <c r="O13" s="315"/>
      <c r="P13" s="322"/>
      <c r="Q13" s="322"/>
      <c r="S13"/>
      <c r="T13"/>
    </row>
    <row r="14" spans="1:20" ht="13.5" customHeight="1" x14ac:dyDescent="0.2">
      <c r="A14" s="309">
        <v>1993</v>
      </c>
      <c r="B14" s="300">
        <v>9786</v>
      </c>
      <c r="C14" s="300">
        <v>4270</v>
      </c>
      <c r="D14" s="300">
        <v>5280</v>
      </c>
      <c r="E14" s="300">
        <v>1202</v>
      </c>
      <c r="F14" s="306">
        <f t="shared" si="0"/>
        <v>20538</v>
      </c>
      <c r="G14" s="214">
        <v>27707</v>
      </c>
      <c r="H14" s="214">
        <v>7900</v>
      </c>
      <c r="I14" s="313">
        <f t="shared" si="1"/>
        <v>56145</v>
      </c>
      <c r="J14" s="207"/>
      <c r="K14" s="208"/>
      <c r="L14" s="208"/>
      <c r="M14" s="314">
        <v>52220</v>
      </c>
      <c r="N14" s="321"/>
      <c r="O14" s="315"/>
      <c r="P14" s="322"/>
      <c r="Q14" s="322"/>
      <c r="S14"/>
      <c r="T14"/>
    </row>
    <row r="15" spans="1:20" ht="13.5" customHeight="1" x14ac:dyDescent="0.2">
      <c r="A15" s="316" t="s">
        <v>313</v>
      </c>
      <c r="B15" s="300">
        <v>9139</v>
      </c>
      <c r="C15" s="300">
        <v>4098</v>
      </c>
      <c r="D15" s="300">
        <v>4496</v>
      </c>
      <c r="E15" s="300">
        <v>1088</v>
      </c>
      <c r="F15" s="306">
        <f t="shared" si="0"/>
        <v>18821</v>
      </c>
      <c r="G15" s="317"/>
      <c r="H15" s="317"/>
      <c r="I15" s="318"/>
      <c r="J15" s="320"/>
      <c r="K15" s="318"/>
      <c r="L15" s="318"/>
      <c r="M15" s="318"/>
      <c r="N15" s="321"/>
      <c r="O15" s="315"/>
      <c r="P15" s="322"/>
      <c r="Q15" s="322"/>
      <c r="S15"/>
      <c r="T15"/>
    </row>
    <row r="16" spans="1:20" ht="13.5" customHeight="1" x14ac:dyDescent="0.2">
      <c r="A16" s="305" t="s">
        <v>117</v>
      </c>
      <c r="B16" s="300">
        <v>9313</v>
      </c>
      <c r="C16" s="300">
        <v>4377</v>
      </c>
      <c r="D16" s="300">
        <v>4858</v>
      </c>
      <c r="E16" s="300">
        <v>1303</v>
      </c>
      <c r="F16" s="306">
        <f t="shared" si="0"/>
        <v>19851</v>
      </c>
      <c r="G16" s="304">
        <v>39933</v>
      </c>
      <c r="H16" s="304">
        <v>6057</v>
      </c>
      <c r="I16" s="314">
        <f t="shared" si="1"/>
        <v>65841</v>
      </c>
      <c r="J16" s="303">
        <v>9613</v>
      </c>
      <c r="K16" s="304">
        <v>14742</v>
      </c>
      <c r="L16" s="304">
        <v>26587</v>
      </c>
      <c r="M16" s="308">
        <f>SUM(J16:L16)</f>
        <v>50942</v>
      </c>
      <c r="N16" s="321"/>
      <c r="O16" s="315"/>
      <c r="P16" s="322"/>
      <c r="Q16" s="322"/>
      <c r="S16"/>
      <c r="T16"/>
    </row>
    <row r="17" spans="1:26" ht="13.5" customHeight="1" x14ac:dyDescent="0.2">
      <c r="A17" s="305" t="s">
        <v>118</v>
      </c>
      <c r="B17" s="300">
        <v>9461</v>
      </c>
      <c r="C17" s="300">
        <v>4193</v>
      </c>
      <c r="D17" s="300">
        <v>4691</v>
      </c>
      <c r="E17" s="300">
        <v>1044</v>
      </c>
      <c r="F17" s="306">
        <f t="shared" si="0"/>
        <v>19389</v>
      </c>
      <c r="G17" s="214">
        <v>32303</v>
      </c>
      <c r="H17" s="214">
        <v>5416</v>
      </c>
      <c r="I17" s="314">
        <f t="shared" si="1"/>
        <v>57108</v>
      </c>
      <c r="J17" s="301">
        <v>9092</v>
      </c>
      <c r="K17" s="214">
        <v>23407</v>
      </c>
      <c r="L17" s="214">
        <v>16763</v>
      </c>
      <c r="M17" s="308">
        <f t="shared" ref="M17:M35" si="2">SUM(J17:L17)</f>
        <v>49262</v>
      </c>
      <c r="N17" s="321"/>
      <c r="O17" s="315"/>
      <c r="P17" s="322"/>
      <c r="Q17" s="322"/>
      <c r="S17"/>
      <c r="T17"/>
    </row>
    <row r="18" spans="1:26" ht="13.5" customHeight="1" x14ac:dyDescent="0.2">
      <c r="A18" s="305" t="s">
        <v>119</v>
      </c>
      <c r="B18" s="300">
        <v>9282</v>
      </c>
      <c r="C18" s="300">
        <v>3908</v>
      </c>
      <c r="D18" s="300">
        <v>4625</v>
      </c>
      <c r="E18" s="300">
        <v>970</v>
      </c>
      <c r="F18" s="306">
        <f t="shared" si="0"/>
        <v>18785</v>
      </c>
      <c r="G18" s="214">
        <v>27347</v>
      </c>
      <c r="H18" s="214">
        <v>4279</v>
      </c>
      <c r="I18" s="314">
        <f t="shared" si="1"/>
        <v>50411</v>
      </c>
      <c r="J18" s="301">
        <v>8106</v>
      </c>
      <c r="K18" s="214">
        <v>25048</v>
      </c>
      <c r="L18" s="214">
        <v>15496</v>
      </c>
      <c r="M18" s="308">
        <f t="shared" si="2"/>
        <v>48650</v>
      </c>
      <c r="N18" s="321"/>
      <c r="O18" s="315"/>
      <c r="P18" s="322"/>
      <c r="Q18" s="322"/>
      <c r="S18"/>
      <c r="T18"/>
    </row>
    <row r="19" spans="1:26" ht="13.5" customHeight="1" x14ac:dyDescent="0.2">
      <c r="A19" s="305" t="s">
        <v>120</v>
      </c>
      <c r="B19" s="300">
        <v>9222</v>
      </c>
      <c r="C19" s="300">
        <v>3946</v>
      </c>
      <c r="D19" s="300">
        <v>5352</v>
      </c>
      <c r="E19" s="300">
        <v>819</v>
      </c>
      <c r="F19" s="306">
        <f t="shared" si="0"/>
        <v>19339</v>
      </c>
      <c r="G19" s="214">
        <v>23329</v>
      </c>
      <c r="H19" s="214">
        <v>3863</v>
      </c>
      <c r="I19" s="314">
        <f t="shared" si="1"/>
        <v>46531</v>
      </c>
      <c r="J19" s="301">
        <v>7601</v>
      </c>
      <c r="K19" s="214">
        <v>27283</v>
      </c>
      <c r="L19" s="214">
        <v>13299</v>
      </c>
      <c r="M19" s="308">
        <f t="shared" si="2"/>
        <v>48183</v>
      </c>
      <c r="N19" s="321"/>
      <c r="O19" s="315"/>
      <c r="P19" s="322"/>
      <c r="Q19" s="322"/>
      <c r="S19"/>
      <c r="T19"/>
    </row>
    <row r="20" spans="1:26" ht="13.5" customHeight="1" x14ac:dyDescent="0.2">
      <c r="A20" s="305" t="s">
        <v>121</v>
      </c>
      <c r="B20" s="300">
        <v>9316</v>
      </c>
      <c r="C20" s="300">
        <v>4122</v>
      </c>
      <c r="D20" s="300">
        <v>6078</v>
      </c>
      <c r="E20" s="300">
        <v>1161</v>
      </c>
      <c r="F20" s="306">
        <f t="shared" si="0"/>
        <v>20677</v>
      </c>
      <c r="G20" s="214">
        <v>29414</v>
      </c>
      <c r="H20" s="214">
        <v>3249</v>
      </c>
      <c r="I20" s="314">
        <f t="shared" si="1"/>
        <v>53340</v>
      </c>
      <c r="J20" s="301">
        <v>8022</v>
      </c>
      <c r="K20" s="214">
        <v>30160</v>
      </c>
      <c r="L20" s="214">
        <v>13643</v>
      </c>
      <c r="M20" s="308">
        <f t="shared" si="2"/>
        <v>51825</v>
      </c>
      <c r="N20" s="321"/>
      <c r="O20" s="315"/>
      <c r="P20" s="322"/>
      <c r="Q20" s="322"/>
      <c r="S20"/>
      <c r="T20"/>
    </row>
    <row r="21" spans="1:26" ht="13.5" customHeight="1" x14ac:dyDescent="0.2">
      <c r="A21" s="305" t="s">
        <v>122</v>
      </c>
      <c r="B21" s="300">
        <v>9257</v>
      </c>
      <c r="C21" s="300">
        <v>3835</v>
      </c>
      <c r="D21" s="300">
        <v>5983</v>
      </c>
      <c r="E21" s="300">
        <v>895</v>
      </c>
      <c r="F21" s="306">
        <f t="shared" si="0"/>
        <v>19970</v>
      </c>
      <c r="G21" s="214">
        <v>32615</v>
      </c>
      <c r="H21" s="214">
        <v>3485</v>
      </c>
      <c r="I21" s="314">
        <f t="shared" si="1"/>
        <v>56070</v>
      </c>
      <c r="J21" s="301">
        <v>7965</v>
      </c>
      <c r="K21" s="214">
        <v>30132</v>
      </c>
      <c r="L21" s="214">
        <v>14043</v>
      </c>
      <c r="M21" s="308">
        <f t="shared" si="2"/>
        <v>52140</v>
      </c>
      <c r="N21" s="321"/>
      <c r="O21" s="315"/>
      <c r="P21" s="322"/>
      <c r="Q21" s="322"/>
      <c r="S21"/>
      <c r="T21"/>
    </row>
    <row r="22" spans="1:26" ht="13.5" customHeight="1" x14ac:dyDescent="0.2">
      <c r="A22" s="305" t="s">
        <v>123</v>
      </c>
      <c r="B22" s="300">
        <v>8895</v>
      </c>
      <c r="C22" s="300">
        <v>3893</v>
      </c>
      <c r="D22" s="300">
        <v>5651</v>
      </c>
      <c r="E22" s="300">
        <v>1260</v>
      </c>
      <c r="F22" s="306">
        <f t="shared" si="0"/>
        <v>19699</v>
      </c>
      <c r="G22" s="214">
        <v>35459</v>
      </c>
      <c r="H22" s="214">
        <v>2761</v>
      </c>
      <c r="I22" s="314">
        <f t="shared" si="1"/>
        <v>57919</v>
      </c>
      <c r="J22" s="301">
        <v>8153</v>
      </c>
      <c r="K22" s="214">
        <v>30972</v>
      </c>
      <c r="L22" s="214">
        <v>14681</v>
      </c>
      <c r="M22" s="308">
        <f t="shared" si="2"/>
        <v>53806</v>
      </c>
      <c r="N22" s="321"/>
      <c r="O22" s="315"/>
      <c r="P22" s="322"/>
      <c r="Q22" s="322"/>
      <c r="S22"/>
      <c r="T22"/>
    </row>
    <row r="23" spans="1:26" ht="13.5" customHeight="1" x14ac:dyDescent="0.2">
      <c r="A23" s="305" t="s">
        <v>314</v>
      </c>
      <c r="B23" s="300">
        <v>7875</v>
      </c>
      <c r="C23" s="300">
        <v>3669</v>
      </c>
      <c r="D23" s="300">
        <v>5401</v>
      </c>
      <c r="E23" s="300">
        <v>1262</v>
      </c>
      <c r="F23" s="306">
        <f t="shared" si="0"/>
        <v>18207</v>
      </c>
      <c r="G23" s="214">
        <v>34723</v>
      </c>
      <c r="H23" s="214">
        <v>2396</v>
      </c>
      <c r="I23" s="314">
        <f t="shared" si="1"/>
        <v>55326</v>
      </c>
      <c r="J23" s="301">
        <v>7407</v>
      </c>
      <c r="K23" s="214">
        <v>29807</v>
      </c>
      <c r="L23" s="214">
        <v>14889</v>
      </c>
      <c r="M23" s="308">
        <f t="shared" si="2"/>
        <v>52103</v>
      </c>
      <c r="N23" s="321"/>
      <c r="O23" s="315"/>
      <c r="P23" s="322"/>
      <c r="Q23" s="322"/>
      <c r="S23"/>
      <c r="T23"/>
    </row>
    <row r="24" spans="1:26" ht="13.5" customHeight="1" x14ac:dyDescent="0.2">
      <c r="A24" s="305" t="s">
        <v>112</v>
      </c>
      <c r="B24" s="300">
        <v>8131</v>
      </c>
      <c r="C24" s="300">
        <v>3445</v>
      </c>
      <c r="D24" s="300">
        <v>4921</v>
      </c>
      <c r="E24" s="300">
        <v>1191</v>
      </c>
      <c r="F24" s="306">
        <f t="shared" si="0"/>
        <v>17688</v>
      </c>
      <c r="G24" s="214">
        <v>42181</v>
      </c>
      <c r="H24" s="214">
        <v>1893</v>
      </c>
      <c r="I24" s="314">
        <f t="shared" si="1"/>
        <v>61762</v>
      </c>
      <c r="J24" s="301">
        <v>6877</v>
      </c>
      <c r="K24" s="214">
        <v>30886</v>
      </c>
      <c r="L24" s="214">
        <v>15193</v>
      </c>
      <c r="M24" s="308">
        <f t="shared" si="2"/>
        <v>52956</v>
      </c>
      <c r="N24" s="321"/>
      <c r="O24" s="315"/>
      <c r="P24" s="322"/>
      <c r="Q24" s="322"/>
      <c r="S24"/>
      <c r="T24"/>
    </row>
    <row r="25" spans="1:26" ht="13.5" customHeight="1" x14ac:dyDescent="0.2">
      <c r="A25" s="305" t="s">
        <v>9</v>
      </c>
      <c r="B25" s="300">
        <v>7048</v>
      </c>
      <c r="C25" s="300">
        <v>3134</v>
      </c>
      <c r="D25" s="300">
        <v>4002</v>
      </c>
      <c r="E25" s="300">
        <v>966</v>
      </c>
      <c r="F25" s="306">
        <f t="shared" si="0"/>
        <v>15150</v>
      </c>
      <c r="G25" s="214">
        <v>27547</v>
      </c>
      <c r="H25" s="214">
        <v>1474</v>
      </c>
      <c r="I25" s="314">
        <f t="shared" si="1"/>
        <v>44171</v>
      </c>
      <c r="J25" s="301">
        <v>6050</v>
      </c>
      <c r="K25" s="214">
        <v>33471</v>
      </c>
      <c r="L25" s="214">
        <v>14321</v>
      </c>
      <c r="M25" s="308">
        <f t="shared" si="2"/>
        <v>53842</v>
      </c>
      <c r="N25" s="321"/>
      <c r="O25" s="315"/>
      <c r="P25" s="322"/>
      <c r="Q25" s="322"/>
      <c r="S25"/>
      <c r="T25"/>
    </row>
    <row r="26" spans="1:26" ht="13.5" customHeight="1" x14ac:dyDescent="0.2">
      <c r="A26" s="305" t="s">
        <v>12</v>
      </c>
      <c r="B26" s="300">
        <v>7061</v>
      </c>
      <c r="C26" s="300">
        <v>3258</v>
      </c>
      <c r="D26" s="300">
        <v>3868</v>
      </c>
      <c r="E26" s="300">
        <v>938</v>
      </c>
      <c r="F26" s="306">
        <f t="shared" si="0"/>
        <v>15125</v>
      </c>
      <c r="G26" s="214">
        <v>31554</v>
      </c>
      <c r="H26" s="214">
        <v>1696</v>
      </c>
      <c r="I26" s="314">
        <f t="shared" si="1"/>
        <v>48375</v>
      </c>
      <c r="J26" s="301">
        <v>5629</v>
      </c>
      <c r="K26" s="214">
        <v>32678</v>
      </c>
      <c r="L26" s="214">
        <v>14900</v>
      </c>
      <c r="M26" s="308">
        <f t="shared" si="2"/>
        <v>53207</v>
      </c>
      <c r="N26" s="321"/>
      <c r="O26" s="315"/>
      <c r="P26" s="322"/>
      <c r="Q26" s="322"/>
      <c r="S26"/>
      <c r="T26"/>
      <c r="U26"/>
      <c r="V26"/>
      <c r="W26"/>
      <c r="X26"/>
      <c r="Y26"/>
      <c r="Z26"/>
    </row>
    <row r="27" spans="1:26" ht="13.5" customHeight="1" x14ac:dyDescent="0.2">
      <c r="A27" s="305" t="s">
        <v>14</v>
      </c>
      <c r="B27" s="300">
        <v>6963</v>
      </c>
      <c r="C27" s="300">
        <v>2887</v>
      </c>
      <c r="D27" s="300">
        <v>3856</v>
      </c>
      <c r="E27" s="300">
        <v>1052</v>
      </c>
      <c r="F27" s="306">
        <f t="shared" si="0"/>
        <v>14758</v>
      </c>
      <c r="G27" s="214">
        <v>32397</v>
      </c>
      <c r="H27" s="214">
        <v>1430</v>
      </c>
      <c r="I27" s="314">
        <f t="shared" si="1"/>
        <v>48585</v>
      </c>
      <c r="J27" s="301">
        <v>5255</v>
      </c>
      <c r="K27" s="214">
        <v>33858</v>
      </c>
      <c r="L27" s="214">
        <v>15168</v>
      </c>
      <c r="M27" s="308">
        <f t="shared" si="2"/>
        <v>54281</v>
      </c>
      <c r="N27" s="321"/>
      <c r="O27" s="315"/>
      <c r="P27" s="322"/>
      <c r="Q27" s="322"/>
      <c r="S27"/>
      <c r="T27"/>
      <c r="U27"/>
      <c r="V27"/>
      <c r="W27"/>
      <c r="X27"/>
      <c r="Y27"/>
      <c r="Z27"/>
    </row>
    <row r="28" spans="1:26" ht="13.5" customHeight="1" x14ac:dyDescent="0.2">
      <c r="A28" s="305" t="s">
        <v>16</v>
      </c>
      <c r="B28" s="300">
        <v>6666</v>
      </c>
      <c r="C28" s="300">
        <v>2922</v>
      </c>
      <c r="D28" s="300">
        <v>3064</v>
      </c>
      <c r="E28" s="300">
        <v>966</v>
      </c>
      <c r="F28" s="306">
        <f t="shared" si="0"/>
        <v>13618</v>
      </c>
      <c r="G28" s="214">
        <v>30385</v>
      </c>
      <c r="H28" s="214">
        <v>1633</v>
      </c>
      <c r="I28" s="314">
        <f t="shared" si="1"/>
        <v>45636</v>
      </c>
      <c r="J28" s="301">
        <v>4783</v>
      </c>
      <c r="K28" s="214">
        <v>35056</v>
      </c>
      <c r="L28" s="214">
        <v>14594</v>
      </c>
      <c r="M28" s="308">
        <f t="shared" si="2"/>
        <v>54433</v>
      </c>
      <c r="N28" s="321"/>
      <c r="O28" s="315"/>
      <c r="P28" s="322"/>
      <c r="Q28" s="322"/>
      <c r="S28"/>
      <c r="T28"/>
      <c r="U28"/>
      <c r="V28"/>
      <c r="W28"/>
      <c r="X28"/>
      <c r="Y28"/>
      <c r="Z28"/>
    </row>
    <row r="29" spans="1:26" ht="13.5" customHeight="1" x14ac:dyDescent="0.2">
      <c r="A29" s="305" t="s">
        <v>18</v>
      </c>
      <c r="B29" s="300">
        <v>6705</v>
      </c>
      <c r="C29" s="300">
        <v>2630</v>
      </c>
      <c r="D29" s="300">
        <v>2931</v>
      </c>
      <c r="E29" s="300">
        <v>908</v>
      </c>
      <c r="F29" s="306">
        <f t="shared" si="0"/>
        <v>13174</v>
      </c>
      <c r="G29" s="214">
        <v>25651</v>
      </c>
      <c r="H29" s="214">
        <v>1745</v>
      </c>
      <c r="I29" s="314">
        <f t="shared" si="1"/>
        <v>40570</v>
      </c>
      <c r="J29" s="301">
        <v>3895</v>
      </c>
      <c r="K29" s="214">
        <v>37063</v>
      </c>
      <c r="L29" s="214">
        <v>12277</v>
      </c>
      <c r="M29" s="308">
        <f t="shared" si="2"/>
        <v>53235</v>
      </c>
      <c r="N29" s="321"/>
      <c r="O29" s="315"/>
      <c r="P29" s="322"/>
      <c r="Q29" s="323"/>
      <c r="S29"/>
      <c r="T29"/>
      <c r="U29"/>
      <c r="V29"/>
      <c r="W29"/>
      <c r="X29"/>
      <c r="Y29"/>
      <c r="Z29"/>
    </row>
    <row r="30" spans="1:26" ht="13.5" customHeight="1" x14ac:dyDescent="0.2">
      <c r="A30" s="305" t="str">
        <f>Fires!A10</f>
        <v>2009-10</v>
      </c>
      <c r="B30" s="300">
        <f>Fires!B10</f>
        <v>6560</v>
      </c>
      <c r="C30" s="300">
        <f>Fires!C10</f>
        <v>3004</v>
      </c>
      <c r="D30" s="300">
        <f>Fires!D10</f>
        <v>2985</v>
      </c>
      <c r="E30" s="300">
        <f>Fires!E10</f>
        <v>1443</v>
      </c>
      <c r="F30" s="306">
        <f>Fires!F10</f>
        <v>13992</v>
      </c>
      <c r="G30" s="214">
        <f>Fires!G10</f>
        <v>23005</v>
      </c>
      <c r="H30" s="214">
        <f>Fires!H10</f>
        <v>1740</v>
      </c>
      <c r="I30" s="314">
        <f>Fires!I10</f>
        <v>38737</v>
      </c>
      <c r="J30" s="301">
        <f>'Fire False Alarms'!D10</f>
        <v>2937</v>
      </c>
      <c r="K30" s="214">
        <f>'Fire False Alarms'!E10</f>
        <v>36311</v>
      </c>
      <c r="L30" s="214">
        <f>'Fire False Alarms'!F10</f>
        <v>12827</v>
      </c>
      <c r="M30" s="308">
        <f t="shared" si="2"/>
        <v>52075</v>
      </c>
      <c r="N30" s="302">
        <f>'Non-fire False Alarms'!B9</f>
        <v>1502</v>
      </c>
      <c r="O30" s="314">
        <f>N30+M30</f>
        <v>53577</v>
      </c>
      <c r="P30" s="302">
        <f>'Non-fire'!V9</f>
        <v>11503</v>
      </c>
      <c r="Q30" s="324">
        <f>P30+O30+I30</f>
        <v>103817</v>
      </c>
      <c r="S30"/>
      <c r="T30"/>
      <c r="U30"/>
      <c r="V30"/>
      <c r="W30"/>
      <c r="X30"/>
      <c r="Y30"/>
      <c r="Z30"/>
    </row>
    <row r="31" spans="1:26" ht="13.5" customHeight="1" x14ac:dyDescent="0.2">
      <c r="A31" s="305" t="str">
        <f>Fires!A11</f>
        <v>2010-11</v>
      </c>
      <c r="B31" s="300">
        <f>Fires!B11</f>
        <v>6293</v>
      </c>
      <c r="C31" s="300">
        <f>Fires!C11</f>
        <v>2795</v>
      </c>
      <c r="D31" s="300">
        <f>Fires!D11</f>
        <v>2684</v>
      </c>
      <c r="E31" s="300">
        <f>Fires!E11</f>
        <v>1372</v>
      </c>
      <c r="F31" s="306">
        <f>Fires!F11</f>
        <v>13144</v>
      </c>
      <c r="G31" s="214">
        <f>Fires!G11</f>
        <v>24217</v>
      </c>
      <c r="H31" s="214">
        <f>Fires!H11</f>
        <v>1574</v>
      </c>
      <c r="I31" s="314">
        <f>Fires!I11</f>
        <v>38935</v>
      </c>
      <c r="J31" s="301">
        <f>'Fire False Alarms'!D11</f>
        <v>2753</v>
      </c>
      <c r="K31" s="214">
        <f>'Fire False Alarms'!E11</f>
        <v>35291</v>
      </c>
      <c r="L31" s="214">
        <f>'Fire False Alarms'!F11</f>
        <v>11807</v>
      </c>
      <c r="M31" s="308">
        <f t="shared" si="2"/>
        <v>49851</v>
      </c>
      <c r="N31" s="301">
        <f>'Non-fire False Alarms'!B10</f>
        <v>1312</v>
      </c>
      <c r="O31" s="307">
        <f t="shared" ref="O31:O35" si="3">N31+M31</f>
        <v>51163</v>
      </c>
      <c r="P31" s="302">
        <f>'Non-fire'!V10</f>
        <v>11335</v>
      </c>
      <c r="Q31" s="324">
        <f t="shared" ref="Q31:Q35" si="4">P31+O31+I31</f>
        <v>101433</v>
      </c>
      <c r="R31" s="4"/>
      <c r="S31"/>
      <c r="T31"/>
      <c r="U31"/>
      <c r="V31"/>
      <c r="W31"/>
      <c r="X31"/>
      <c r="Y31"/>
      <c r="Z31"/>
    </row>
    <row r="32" spans="1:26" ht="13.5" customHeight="1" x14ac:dyDescent="0.2">
      <c r="A32" s="305" t="str">
        <f>Fires!A12</f>
        <v>2011-12</v>
      </c>
      <c r="B32" s="300">
        <f>Fires!B12</f>
        <v>6157</v>
      </c>
      <c r="C32" s="300">
        <f>Fires!C12</f>
        <v>2717</v>
      </c>
      <c r="D32" s="300">
        <f>Fires!D12</f>
        <v>2362</v>
      </c>
      <c r="E32" s="300">
        <f>Fires!E12</f>
        <v>1175</v>
      </c>
      <c r="F32" s="306">
        <f>Fires!F12</f>
        <v>12411</v>
      </c>
      <c r="G32" s="214">
        <f>Fires!G12</f>
        <v>18683</v>
      </c>
      <c r="H32" s="214">
        <f>Fires!H12</f>
        <v>1245</v>
      </c>
      <c r="I32" s="314">
        <f>Fires!I12</f>
        <v>32339</v>
      </c>
      <c r="J32" s="301">
        <f>'Fire False Alarms'!D12</f>
        <v>2622</v>
      </c>
      <c r="K32" s="214">
        <f>'Fire False Alarms'!E12</f>
        <v>34954</v>
      </c>
      <c r="L32" s="214">
        <f>'Fire False Alarms'!F12</f>
        <v>10346</v>
      </c>
      <c r="M32" s="308">
        <f t="shared" si="2"/>
        <v>47922</v>
      </c>
      <c r="N32" s="301">
        <f>'Non-fire False Alarms'!B11</f>
        <v>1186</v>
      </c>
      <c r="O32" s="307">
        <f t="shared" si="3"/>
        <v>49108</v>
      </c>
      <c r="P32" s="302">
        <f>'Non-fire'!V11</f>
        <v>10119</v>
      </c>
      <c r="Q32" s="324">
        <f t="shared" si="4"/>
        <v>91566</v>
      </c>
      <c r="R32" s="4"/>
      <c r="S32"/>
      <c r="T32"/>
      <c r="U32"/>
      <c r="V32"/>
      <c r="W32"/>
      <c r="X32"/>
      <c r="Y32"/>
      <c r="Z32"/>
    </row>
    <row r="33" spans="1:26" ht="13.5" customHeight="1" x14ac:dyDescent="0.2">
      <c r="A33" s="305" t="str">
        <f>Fires!A13</f>
        <v>2012-13</v>
      </c>
      <c r="B33" s="300">
        <f>Fires!B13</f>
        <v>5829</v>
      </c>
      <c r="C33" s="300">
        <f>Fires!C13</f>
        <v>2408</v>
      </c>
      <c r="D33" s="300">
        <f>Fires!D13</f>
        <v>2034</v>
      </c>
      <c r="E33" s="300">
        <f>Fires!E13</f>
        <v>815</v>
      </c>
      <c r="F33" s="306">
        <f>Fires!F13</f>
        <v>11086</v>
      </c>
      <c r="G33" s="214">
        <f>Fires!G13</f>
        <v>14273</v>
      </c>
      <c r="H33" s="214">
        <f>Fires!H13</f>
        <v>1381</v>
      </c>
      <c r="I33" s="314">
        <f>Fires!I13</f>
        <v>26740</v>
      </c>
      <c r="J33" s="301">
        <f>'Fire False Alarms'!D13</f>
        <v>2307</v>
      </c>
      <c r="K33" s="214">
        <f>'Fire False Alarms'!E13</f>
        <v>35110</v>
      </c>
      <c r="L33" s="214">
        <f>'Fire False Alarms'!F13</f>
        <v>9871</v>
      </c>
      <c r="M33" s="308">
        <f t="shared" si="2"/>
        <v>47288</v>
      </c>
      <c r="N33" s="301">
        <f>'Non-fire False Alarms'!B12</f>
        <v>638</v>
      </c>
      <c r="O33" s="307">
        <f t="shared" si="3"/>
        <v>47926</v>
      </c>
      <c r="P33" s="302">
        <f>'Non-fire'!V12</f>
        <v>9166</v>
      </c>
      <c r="Q33" s="324">
        <f t="shared" si="4"/>
        <v>83832</v>
      </c>
      <c r="R33" s="4"/>
      <c r="S33"/>
      <c r="T33"/>
      <c r="U33"/>
      <c r="V33"/>
      <c r="W33"/>
      <c r="X33"/>
      <c r="Y33"/>
      <c r="Z33"/>
    </row>
    <row r="34" spans="1:26" ht="13.5" customHeight="1" x14ac:dyDescent="0.2">
      <c r="A34" s="305" t="str">
        <f>Fires!A14</f>
        <v>2013-14</v>
      </c>
      <c r="B34" s="300">
        <f>Fires!B14</f>
        <v>5323</v>
      </c>
      <c r="C34" s="300">
        <f>Fires!C14</f>
        <v>2346</v>
      </c>
      <c r="D34" s="300">
        <f>Fires!D14</f>
        <v>1938</v>
      </c>
      <c r="E34" s="300">
        <f>Fires!E14</f>
        <v>914</v>
      </c>
      <c r="F34" s="306">
        <f>Fires!F14</f>
        <v>10521</v>
      </c>
      <c r="G34" s="214">
        <f>Fires!G14</f>
        <v>16361</v>
      </c>
      <c r="H34" s="214">
        <f>Fires!H14</f>
        <v>1107</v>
      </c>
      <c r="I34" s="314">
        <f>Fires!I14</f>
        <v>27989</v>
      </c>
      <c r="J34" s="301">
        <f>'Fire False Alarms'!D14</f>
        <v>2365</v>
      </c>
      <c r="K34" s="214">
        <f>'Fire False Alarms'!E14</f>
        <v>35213</v>
      </c>
      <c r="L34" s="214">
        <f>'Fire False Alarms'!F14</f>
        <v>9617</v>
      </c>
      <c r="M34" s="308">
        <f t="shared" si="2"/>
        <v>47195</v>
      </c>
      <c r="N34" s="301">
        <f>'Non-fire False Alarms'!B13</f>
        <v>532</v>
      </c>
      <c r="O34" s="307">
        <f t="shared" si="3"/>
        <v>47727</v>
      </c>
      <c r="P34" s="302">
        <f>'Non-fire'!V13</f>
        <v>9166</v>
      </c>
      <c r="Q34" s="324">
        <f t="shared" si="4"/>
        <v>84882</v>
      </c>
      <c r="R34" s="4"/>
      <c r="S34"/>
      <c r="T34"/>
      <c r="U34"/>
      <c r="V34"/>
      <c r="W34"/>
      <c r="X34"/>
      <c r="Y34"/>
      <c r="Z34"/>
    </row>
    <row r="35" spans="1:26" ht="13.5" customHeight="1" x14ac:dyDescent="0.2">
      <c r="A35" s="305" t="str">
        <f>Fires!A15</f>
        <v>2014-15</v>
      </c>
      <c r="B35" s="300">
        <f>Fires!B15</f>
        <v>5574</v>
      </c>
      <c r="C35" s="300">
        <f>Fires!C15</f>
        <v>2324</v>
      </c>
      <c r="D35" s="300">
        <f>Fires!D15</f>
        <v>1897</v>
      </c>
      <c r="E35" s="300">
        <f>Fires!E15</f>
        <v>838</v>
      </c>
      <c r="F35" s="306">
        <f>Fires!F15</f>
        <v>10633</v>
      </c>
      <c r="G35" s="214">
        <f>Fires!G15</f>
        <v>13406</v>
      </c>
      <c r="H35" s="214">
        <f>Fires!H15</f>
        <v>985</v>
      </c>
      <c r="I35" s="314">
        <f>Fires!I15</f>
        <v>25024</v>
      </c>
      <c r="J35" s="301">
        <f>'Fire False Alarms'!D15</f>
        <v>2056</v>
      </c>
      <c r="K35" s="214">
        <f>'Fire False Alarms'!E15</f>
        <v>37337</v>
      </c>
      <c r="L35" s="214">
        <f>'Fire False Alarms'!F15</f>
        <v>9256</v>
      </c>
      <c r="M35" s="308">
        <f t="shared" si="2"/>
        <v>48649</v>
      </c>
      <c r="N35" s="301">
        <f>'Non-fire False Alarms'!B14</f>
        <v>635</v>
      </c>
      <c r="O35" s="307">
        <f t="shared" si="3"/>
        <v>49284</v>
      </c>
      <c r="P35" s="302">
        <f>'Non-fire'!V14</f>
        <v>10743</v>
      </c>
      <c r="Q35" s="324">
        <f t="shared" si="4"/>
        <v>85051</v>
      </c>
      <c r="R35" s="4"/>
      <c r="S35"/>
      <c r="T35"/>
      <c r="U35"/>
      <c r="V35"/>
      <c r="W35"/>
      <c r="X35"/>
      <c r="Y35"/>
      <c r="Z35"/>
    </row>
    <row r="36" spans="1:26" ht="13.5" customHeight="1" x14ac:dyDescent="0.2">
      <c r="A36" s="305" t="str">
        <f>Fires!A16</f>
        <v>2015-16</v>
      </c>
      <c r="B36" s="300">
        <f>Fires!B16</f>
        <v>5673</v>
      </c>
      <c r="C36" s="300">
        <f>Fires!C16</f>
        <v>2494</v>
      </c>
      <c r="D36" s="300">
        <f>Fires!D16</f>
        <v>1965</v>
      </c>
      <c r="E36" s="300">
        <f>Fires!E16</f>
        <v>874</v>
      </c>
      <c r="F36" s="306">
        <f>Fires!F16</f>
        <v>11006</v>
      </c>
      <c r="G36" s="214">
        <f>Fires!G16</f>
        <v>14732</v>
      </c>
      <c r="H36" s="214">
        <f>Fires!H16</f>
        <v>890</v>
      </c>
      <c r="I36" s="314">
        <f>Fires!I16</f>
        <v>26628</v>
      </c>
      <c r="J36" s="301">
        <f>'Fire False Alarms'!D16</f>
        <v>2375</v>
      </c>
      <c r="K36" s="214">
        <f>'Fire False Alarms'!E16</f>
        <v>37621</v>
      </c>
      <c r="L36" s="214">
        <f>'Fire False Alarms'!F16</f>
        <v>8850</v>
      </c>
      <c r="M36" s="308">
        <f t="shared" ref="M36:M40" si="5">SUM(J36:L36)</f>
        <v>48846</v>
      </c>
      <c r="N36" s="301">
        <f>'Non-fire False Alarms'!B15</f>
        <v>556</v>
      </c>
      <c r="O36" s="307">
        <f t="shared" ref="O36:O40" si="6">N36+M36</f>
        <v>49402</v>
      </c>
      <c r="P36" s="302">
        <f>'Non-fire'!V15</f>
        <v>12839</v>
      </c>
      <c r="Q36" s="324">
        <f t="shared" ref="Q36:Q41" si="7">P36+O36+I36</f>
        <v>88869</v>
      </c>
      <c r="R36" s="4"/>
      <c r="S36"/>
      <c r="T36"/>
      <c r="U36"/>
      <c r="V36"/>
      <c r="W36"/>
      <c r="X36"/>
      <c r="Y36"/>
      <c r="Z36"/>
    </row>
    <row r="37" spans="1:26" ht="13.5" customHeight="1" x14ac:dyDescent="0.2">
      <c r="A37" s="305" t="str">
        <f>Fires!A17</f>
        <v>2016-17</v>
      </c>
      <c r="B37" s="300">
        <f>Fires!B17</f>
        <v>5540</v>
      </c>
      <c r="C37" s="300">
        <f>Fires!C17</f>
        <v>2277</v>
      </c>
      <c r="D37" s="300">
        <f>Fires!D17</f>
        <v>2120</v>
      </c>
      <c r="E37" s="300">
        <f>Fires!E17</f>
        <v>957</v>
      </c>
      <c r="F37" s="306">
        <f>Fires!F17</f>
        <v>10894</v>
      </c>
      <c r="G37" s="214">
        <f>Fires!G17</f>
        <v>15660</v>
      </c>
      <c r="H37" s="214">
        <f>Fires!H17</f>
        <v>750</v>
      </c>
      <c r="I37" s="314">
        <f>Fires!I17</f>
        <v>27304</v>
      </c>
      <c r="J37" s="301">
        <f>'Fire False Alarms'!D17</f>
        <v>2281</v>
      </c>
      <c r="K37" s="214">
        <f>'Fire False Alarms'!E17</f>
        <v>39630</v>
      </c>
      <c r="L37" s="214">
        <f>'Fire False Alarms'!F17</f>
        <v>8957</v>
      </c>
      <c r="M37" s="308">
        <f t="shared" si="5"/>
        <v>50868</v>
      </c>
      <c r="N37" s="301">
        <f>'Non-fire False Alarms'!B16</f>
        <v>717</v>
      </c>
      <c r="O37" s="307">
        <f t="shared" si="6"/>
        <v>51585</v>
      </c>
      <c r="P37" s="302">
        <f>'Non-fire'!V16</f>
        <v>12371</v>
      </c>
      <c r="Q37" s="324">
        <f t="shared" si="7"/>
        <v>91260</v>
      </c>
      <c r="R37" s="4"/>
      <c r="S37"/>
      <c r="T37"/>
      <c r="U37"/>
      <c r="V37"/>
      <c r="W37"/>
      <c r="X37"/>
      <c r="Y37"/>
      <c r="Z37"/>
    </row>
    <row r="38" spans="1:26" ht="13.5" customHeight="1" x14ac:dyDescent="0.2">
      <c r="A38" s="305" t="str">
        <f>Fires!A18</f>
        <v>2017-18</v>
      </c>
      <c r="B38" s="300">
        <f>Fires!B18</f>
        <v>5311</v>
      </c>
      <c r="C38" s="300">
        <f>Fires!C18</f>
        <v>2287</v>
      </c>
      <c r="D38" s="300">
        <f>Fires!D18</f>
        <v>2016</v>
      </c>
      <c r="E38" s="300">
        <f>Fires!E18</f>
        <v>1058</v>
      </c>
      <c r="F38" s="306">
        <f>Fires!F18</f>
        <v>10672</v>
      </c>
      <c r="G38" s="214">
        <f>Fires!G18</f>
        <v>14728</v>
      </c>
      <c r="H38" s="214">
        <f>Fires!H18</f>
        <v>774</v>
      </c>
      <c r="I38" s="314">
        <f>Fires!I18</f>
        <v>26174</v>
      </c>
      <c r="J38" s="301">
        <f>'Fire False Alarms'!D18</f>
        <v>2337</v>
      </c>
      <c r="K38" s="214">
        <f>'Fire False Alarms'!E18</f>
        <v>40436</v>
      </c>
      <c r="L38" s="214">
        <f>'Fire False Alarms'!F18</f>
        <v>9111</v>
      </c>
      <c r="M38" s="308">
        <f t="shared" si="5"/>
        <v>51884</v>
      </c>
      <c r="N38" s="301">
        <f>'Non-fire False Alarms'!B17</f>
        <v>668</v>
      </c>
      <c r="O38" s="307">
        <f t="shared" si="6"/>
        <v>52552</v>
      </c>
      <c r="P38" s="302">
        <f>'Non-fire'!V17</f>
        <v>13175</v>
      </c>
      <c r="Q38" s="324">
        <f t="shared" si="7"/>
        <v>91901</v>
      </c>
      <c r="R38" s="4"/>
      <c r="S38"/>
      <c r="T38"/>
      <c r="U38"/>
      <c r="V38"/>
      <c r="W38"/>
      <c r="X38"/>
      <c r="Y38"/>
      <c r="Z38"/>
    </row>
    <row r="39" spans="1:26" ht="13.5" customHeight="1" x14ac:dyDescent="0.2">
      <c r="A39" s="305" t="str">
        <f>Fires!A19</f>
        <v>2018-19</v>
      </c>
      <c r="B39" s="300">
        <f>Fires!B19</f>
        <v>5145</v>
      </c>
      <c r="C39" s="300">
        <f>Fires!C19</f>
        <v>2252</v>
      </c>
      <c r="D39" s="300">
        <f>Fires!D19</f>
        <v>1952</v>
      </c>
      <c r="E39" s="300">
        <f>Fires!E19</f>
        <v>1124</v>
      </c>
      <c r="F39" s="306">
        <f>Fires!F19</f>
        <v>10473</v>
      </c>
      <c r="G39" s="214">
        <f>Fires!G19</f>
        <v>15697</v>
      </c>
      <c r="H39" s="214">
        <f>Fires!H19</f>
        <v>644</v>
      </c>
      <c r="I39" s="314">
        <f>Fires!I19</f>
        <v>26814</v>
      </c>
      <c r="J39" s="301">
        <f>'Fire False Alarms'!D19</f>
        <v>2279</v>
      </c>
      <c r="K39" s="214">
        <f>'Fire False Alarms'!E19</f>
        <v>40641</v>
      </c>
      <c r="L39" s="214">
        <f>'Fire False Alarms'!F19</f>
        <v>9238</v>
      </c>
      <c r="M39" s="308">
        <f t="shared" si="5"/>
        <v>52158</v>
      </c>
      <c r="N39" s="301">
        <f>'Non-fire False Alarms'!B18</f>
        <v>782</v>
      </c>
      <c r="O39" s="307">
        <f t="shared" si="6"/>
        <v>52940</v>
      </c>
      <c r="P39" s="301">
        <f>'Non-fire'!V18</f>
        <v>12996</v>
      </c>
      <c r="Q39" s="324">
        <f t="shared" si="7"/>
        <v>92750</v>
      </c>
      <c r="R39" s="4"/>
      <c r="S39"/>
      <c r="T39"/>
      <c r="U39"/>
      <c r="V39"/>
      <c r="W39"/>
      <c r="X39"/>
      <c r="Y39"/>
      <c r="Z39"/>
    </row>
    <row r="40" spans="1:26" s="292" customFormat="1" ht="13.5" customHeight="1" x14ac:dyDescent="0.25">
      <c r="A40" s="305" t="str">
        <f>Fires!A20</f>
        <v>2019-20</v>
      </c>
      <c r="B40" s="300">
        <f>Fires!B20</f>
        <v>4890</v>
      </c>
      <c r="C40" s="300">
        <f>Fires!C20</f>
        <v>1980</v>
      </c>
      <c r="D40" s="300">
        <f>Fires!D20</f>
        <v>2099</v>
      </c>
      <c r="E40" s="300">
        <f>Fires!E20</f>
        <v>883</v>
      </c>
      <c r="F40" s="306">
        <f>Fires!F20</f>
        <v>9852</v>
      </c>
      <c r="G40" s="214">
        <f>Fires!G20</f>
        <v>14090</v>
      </c>
      <c r="H40" s="214">
        <f>Fires!H20</f>
        <v>556</v>
      </c>
      <c r="I40" s="314">
        <f>Fires!I20</f>
        <v>24498</v>
      </c>
      <c r="J40" s="301">
        <f>'Fire False Alarms'!D20</f>
        <v>2198</v>
      </c>
      <c r="K40" s="214">
        <f>'Fire False Alarms'!E20</f>
        <v>41467</v>
      </c>
      <c r="L40" s="214">
        <f>'Fire False Alarms'!F20</f>
        <v>8637</v>
      </c>
      <c r="M40" s="308">
        <f t="shared" si="5"/>
        <v>52302</v>
      </c>
      <c r="N40" s="301">
        <f>'Non-fire False Alarms'!B19</f>
        <v>875</v>
      </c>
      <c r="O40" s="307">
        <f t="shared" si="6"/>
        <v>53177</v>
      </c>
      <c r="P40" s="301">
        <f>'Non-fire'!V19</f>
        <v>14397</v>
      </c>
      <c r="Q40" s="324">
        <f t="shared" si="7"/>
        <v>92072</v>
      </c>
      <c r="R40" s="295"/>
      <c r="S40"/>
      <c r="T40"/>
      <c r="U40" s="295"/>
      <c r="V40" s="295"/>
      <c r="W40" s="295"/>
      <c r="X40" s="295"/>
      <c r="Y40" s="295"/>
      <c r="Z40" s="295"/>
    </row>
    <row r="41" spans="1:26" s="292" customFormat="1" ht="13.5" customHeight="1" thickBot="1" x14ac:dyDescent="0.3">
      <c r="A41" s="327" t="str">
        <f>Fires!A21</f>
        <v>2020-21</v>
      </c>
      <c r="B41" s="329">
        <f>Fires!B21</f>
        <v>4661</v>
      </c>
      <c r="C41" s="329">
        <f>Fires!C21</f>
        <v>1718</v>
      </c>
      <c r="D41" s="329">
        <f>Fires!D21</f>
        <v>1816</v>
      </c>
      <c r="E41" s="329">
        <f>Fires!E21</f>
        <v>1221</v>
      </c>
      <c r="F41" s="330">
        <f>Fires!F21</f>
        <v>9416</v>
      </c>
      <c r="G41" s="332">
        <f>Fires!G21</f>
        <v>15130</v>
      </c>
      <c r="H41" s="332">
        <f>Fires!H21</f>
        <v>601</v>
      </c>
      <c r="I41" s="1125">
        <f>Fires!I21</f>
        <v>25147</v>
      </c>
      <c r="J41" s="332">
        <f>'Fire False Alarms'!D21</f>
        <v>1494</v>
      </c>
      <c r="K41" s="332">
        <f>'Fire False Alarms'!E21</f>
        <v>35809</v>
      </c>
      <c r="L41" s="332">
        <f>'Fire False Alarms'!F21</f>
        <v>9517</v>
      </c>
      <c r="M41" s="334">
        <f t="shared" ref="M41" si="8">SUM(J41:L41)</f>
        <v>46820</v>
      </c>
      <c r="N41" s="331">
        <f>'Non-fire False Alarms'!B20</f>
        <v>922</v>
      </c>
      <c r="O41" s="333">
        <f t="shared" ref="O41" si="9">N41+M41</f>
        <v>47742</v>
      </c>
      <c r="P41" s="331">
        <f>'Non-fire'!V20</f>
        <v>12693</v>
      </c>
      <c r="Q41" s="335">
        <f t="shared" si="7"/>
        <v>85582</v>
      </c>
      <c r="R41" s="295"/>
      <c r="S41"/>
      <c r="T41"/>
      <c r="U41" s="295"/>
      <c r="V41" s="295"/>
      <c r="W41" s="295"/>
      <c r="X41" s="295"/>
      <c r="Y41" s="295"/>
      <c r="Z41" s="295"/>
    </row>
    <row r="42" spans="1:26" s="292" customFormat="1" ht="13.5" customHeight="1" x14ac:dyDescent="0.25">
      <c r="A42" s="293"/>
      <c r="B42" s="601"/>
      <c r="C42" s="601"/>
      <c r="D42" s="601"/>
      <c r="E42" s="601"/>
      <c r="F42" s="601"/>
      <c r="G42" s="601"/>
      <c r="H42" s="601"/>
      <c r="I42" s="601"/>
      <c r="J42" s="601"/>
      <c r="K42" s="601"/>
      <c r="L42" s="601"/>
      <c r="M42" s="601"/>
      <c r="N42" s="601"/>
      <c r="O42" s="601"/>
      <c r="P42" s="601"/>
      <c r="Q42" s="601"/>
      <c r="R42" s="295"/>
      <c r="S42"/>
      <c r="T42"/>
      <c r="U42" s="295"/>
      <c r="V42" s="295"/>
      <c r="W42" s="295"/>
      <c r="X42" s="295"/>
      <c r="Y42" s="295"/>
      <c r="Z42" s="295"/>
    </row>
    <row r="43" spans="1:26" s="292" customFormat="1" ht="15" x14ac:dyDescent="0.25">
      <c r="A43" s="296" t="s">
        <v>146</v>
      </c>
      <c r="B43" s="287"/>
      <c r="C43" s="287"/>
      <c r="F43" s="601"/>
      <c r="G43" s="601"/>
      <c r="I43" s="1008"/>
      <c r="J43" s="295"/>
      <c r="K43" s="295"/>
      <c r="L43" s="295"/>
      <c r="M43" s="295"/>
      <c r="N43" s="295"/>
      <c r="O43" s="295"/>
      <c r="P43" s="295"/>
      <c r="Q43" s="295"/>
      <c r="R43" s="295"/>
      <c r="S43" s="295"/>
      <c r="T43" s="295"/>
      <c r="U43" s="295"/>
      <c r="V43" s="295"/>
      <c r="W43" s="295"/>
      <c r="X43" s="295"/>
      <c r="Y43" s="295"/>
      <c r="Z43" s="295"/>
    </row>
    <row r="44" spans="1:26" s="292" customFormat="1" ht="15" x14ac:dyDescent="0.25">
      <c r="A44" s="290"/>
      <c r="B44" s="291" t="s">
        <v>278</v>
      </c>
      <c r="C44" s="287"/>
      <c r="F44" s="611"/>
      <c r="G44" s="611"/>
      <c r="H44" s="611"/>
      <c r="I44" s="1009"/>
      <c r="J44" s="612"/>
      <c r="K44" s="612"/>
      <c r="L44" s="612"/>
      <c r="M44" s="611"/>
      <c r="N44" s="612"/>
      <c r="O44" s="612"/>
      <c r="P44" s="612"/>
      <c r="Q44" s="295"/>
      <c r="R44" s="295"/>
      <c r="S44" s="295"/>
      <c r="T44" s="295"/>
      <c r="U44" s="295"/>
      <c r="V44" s="295"/>
      <c r="W44" s="295"/>
      <c r="X44" s="295"/>
      <c r="Y44" s="295"/>
      <c r="Z44" s="295"/>
    </row>
    <row r="45" spans="1:26" s="292" customFormat="1" ht="15" x14ac:dyDescent="0.25">
      <c r="A45" s="291" t="s">
        <v>1224</v>
      </c>
      <c r="B45" s="291"/>
      <c r="C45" s="287"/>
      <c r="I45" s="1010"/>
      <c r="J45" s="295"/>
      <c r="K45" s="295"/>
      <c r="L45" s="295"/>
      <c r="M45" s="295"/>
      <c r="N45" s="295"/>
      <c r="O45" s="295"/>
      <c r="P45" s="295"/>
      <c r="Q45" s="295"/>
      <c r="R45" s="295"/>
      <c r="S45" s="295"/>
      <c r="T45" s="295"/>
      <c r="U45" s="295"/>
      <c r="V45" s="295"/>
      <c r="W45" s="295"/>
      <c r="X45" s="295"/>
      <c r="Y45" s="295"/>
      <c r="Z45" s="295"/>
    </row>
    <row r="46" spans="1:26" s="292" customFormat="1" ht="15" x14ac:dyDescent="0.25">
      <c r="A46" s="293" t="s">
        <v>576</v>
      </c>
      <c r="B46" s="287"/>
      <c r="C46" s="287"/>
      <c r="I46" s="1010"/>
      <c r="J46" s="295"/>
      <c r="K46" s="295"/>
      <c r="L46" s="295"/>
      <c r="M46" s="295"/>
      <c r="N46" s="295"/>
      <c r="O46" s="295"/>
      <c r="P46" s="295"/>
      <c r="Q46" s="295"/>
      <c r="R46" s="295"/>
      <c r="S46" s="295"/>
      <c r="T46" s="295"/>
      <c r="U46" s="295"/>
      <c r="V46" s="295"/>
      <c r="W46" s="295"/>
      <c r="X46" s="295"/>
      <c r="Y46" s="295"/>
      <c r="Z46" s="295"/>
    </row>
    <row r="47" spans="1:26" s="292" customFormat="1" ht="15" x14ac:dyDescent="0.25">
      <c r="A47" s="293" t="s">
        <v>512</v>
      </c>
      <c r="B47" s="287"/>
      <c r="C47" s="287"/>
      <c r="I47" s="1010"/>
      <c r="J47" s="295"/>
      <c r="K47" s="295"/>
      <c r="L47" s="295"/>
      <c r="M47" s="295"/>
      <c r="N47" s="295"/>
      <c r="O47" s="295"/>
      <c r="P47" s="295"/>
      <c r="Q47" s="295"/>
      <c r="R47" s="295"/>
      <c r="S47" s="295"/>
      <c r="T47" s="295"/>
      <c r="U47" s="295"/>
      <c r="V47" s="295"/>
      <c r="W47" s="295"/>
      <c r="X47" s="295"/>
      <c r="Y47" s="295"/>
      <c r="Z47" s="295"/>
    </row>
    <row r="48" spans="1:26" s="292" customFormat="1" ht="15" x14ac:dyDescent="0.25">
      <c r="A48" s="293" t="s">
        <v>497</v>
      </c>
      <c r="B48" s="287"/>
      <c r="C48" s="287"/>
      <c r="I48" s="1010"/>
      <c r="J48" s="295"/>
      <c r="K48" s="295"/>
      <c r="L48" s="295"/>
      <c r="M48" s="295"/>
      <c r="N48" s="295"/>
      <c r="O48" s="295"/>
      <c r="P48" s="295"/>
      <c r="Q48" s="295"/>
      <c r="R48" s="295"/>
      <c r="S48" s="295"/>
      <c r="T48" s="295"/>
      <c r="U48" s="295"/>
      <c r="V48" s="295"/>
      <c r="W48" s="295"/>
      <c r="X48" s="295"/>
      <c r="Y48" s="295"/>
      <c r="Z48" s="295"/>
    </row>
    <row r="49" spans="1:26" s="292" customFormat="1" ht="15" x14ac:dyDescent="0.25">
      <c r="A49" s="293"/>
      <c r="B49" s="287"/>
      <c r="C49" s="287"/>
      <c r="I49" s="1010"/>
      <c r="J49" s="295"/>
      <c r="K49" s="295"/>
      <c r="L49" s="295"/>
      <c r="M49" s="295"/>
      <c r="N49" s="295"/>
      <c r="O49" s="295"/>
      <c r="P49" s="295"/>
      <c r="Q49" s="295"/>
      <c r="R49" s="295"/>
      <c r="S49" s="295"/>
      <c r="T49" s="295"/>
      <c r="U49" s="295"/>
      <c r="V49" s="295"/>
      <c r="W49" s="295"/>
      <c r="X49" s="295"/>
      <c r="Y49" s="295"/>
      <c r="Z49" s="295"/>
    </row>
    <row r="50" spans="1:26" s="292" customFormat="1" ht="15" x14ac:dyDescent="0.25">
      <c r="A50" s="106"/>
      <c r="B50" s="287"/>
      <c r="C50" s="287"/>
      <c r="I50" s="1010"/>
      <c r="J50" s="295"/>
      <c r="K50" s="295"/>
      <c r="L50" s="295"/>
      <c r="M50" s="295"/>
      <c r="N50" s="295"/>
      <c r="O50" s="295"/>
      <c r="P50" s="295"/>
    </row>
    <row r="51" spans="1:26" ht="15" x14ac:dyDescent="0.2">
      <c r="A51" s="288"/>
      <c r="B51" s="25"/>
      <c r="C51" s="25"/>
      <c r="I51" s="12"/>
    </row>
    <row r="52" spans="1:26" x14ac:dyDescent="0.2">
      <c r="A52" s="289"/>
      <c r="I52" s="12"/>
    </row>
    <row r="53" spans="1:26" x14ac:dyDescent="0.2">
      <c r="A53" s="294"/>
      <c r="I53" s="12"/>
    </row>
    <row r="54" spans="1:26" x14ac:dyDescent="0.2">
      <c r="I54" s="12"/>
    </row>
    <row r="55" spans="1:26" x14ac:dyDescent="0.2">
      <c r="I55" s="12"/>
    </row>
    <row r="56" spans="1:26" x14ac:dyDescent="0.2">
      <c r="I56" s="12"/>
    </row>
    <row r="57" spans="1:26" x14ac:dyDescent="0.2">
      <c r="I57" s="12"/>
    </row>
    <row r="58" spans="1:26" x14ac:dyDescent="0.2">
      <c r="I58" s="12"/>
    </row>
    <row r="59" spans="1:26" x14ac:dyDescent="0.2">
      <c r="I59" s="12"/>
    </row>
    <row r="60" spans="1:26" x14ac:dyDescent="0.2">
      <c r="I60" s="12"/>
    </row>
    <row r="61" spans="1:26" x14ac:dyDescent="0.2">
      <c r="I61" s="12"/>
    </row>
    <row r="62" spans="1:26" x14ac:dyDescent="0.2">
      <c r="I62" s="12"/>
    </row>
    <row r="63" spans="1:26" x14ac:dyDescent="0.2">
      <c r="I63" s="12"/>
    </row>
    <row r="64" spans="1:26" x14ac:dyDescent="0.2">
      <c r="I64" s="12"/>
    </row>
    <row r="65" spans="9:9" x14ac:dyDescent="0.2">
      <c r="I65" s="12"/>
    </row>
    <row r="66" spans="9:9" x14ac:dyDescent="0.2">
      <c r="I66" s="12"/>
    </row>
    <row r="67" spans="9:9" x14ac:dyDescent="0.2">
      <c r="I67" s="12"/>
    </row>
    <row r="68" spans="9:9" x14ac:dyDescent="0.2">
      <c r="I68" s="12"/>
    </row>
    <row r="69" spans="9:9" x14ac:dyDescent="0.2">
      <c r="I69" s="12"/>
    </row>
    <row r="70" spans="9:9" x14ac:dyDescent="0.2">
      <c r="I70" s="12"/>
    </row>
    <row r="71" spans="9:9" x14ac:dyDescent="0.2">
      <c r="I71" s="12"/>
    </row>
    <row r="72" spans="9:9" x14ac:dyDescent="0.2">
      <c r="I72" s="12"/>
    </row>
    <row r="73" spans="9:9" x14ac:dyDescent="0.2">
      <c r="I73" s="12"/>
    </row>
    <row r="74" spans="9:9" x14ac:dyDescent="0.2">
      <c r="I74" s="12"/>
    </row>
    <row r="75" spans="9:9" x14ac:dyDescent="0.2">
      <c r="I75" s="12"/>
    </row>
    <row r="76" spans="9:9" x14ac:dyDescent="0.2">
      <c r="I76" s="12"/>
    </row>
    <row r="77" spans="9:9" x14ac:dyDescent="0.2">
      <c r="I77" s="12"/>
    </row>
    <row r="78" spans="9:9" x14ac:dyDescent="0.2">
      <c r="I78" s="12"/>
    </row>
    <row r="79" spans="9:9" x14ac:dyDescent="0.2">
      <c r="I79" s="12"/>
    </row>
    <row r="80" spans="9:9" x14ac:dyDescent="0.2">
      <c r="I80" s="12"/>
    </row>
    <row r="81" spans="9:9" x14ac:dyDescent="0.2">
      <c r="I81" s="12"/>
    </row>
    <row r="82" spans="9:9" x14ac:dyDescent="0.2">
      <c r="I82" s="12"/>
    </row>
    <row r="83" spans="9:9" x14ac:dyDescent="0.2">
      <c r="I83" s="12"/>
    </row>
    <row r="84" spans="9:9" x14ac:dyDescent="0.2">
      <c r="I84" s="12"/>
    </row>
    <row r="85" spans="9:9" x14ac:dyDescent="0.2">
      <c r="I85" s="12"/>
    </row>
    <row r="86" spans="9:9" x14ac:dyDescent="0.2">
      <c r="I86" s="12"/>
    </row>
    <row r="87" spans="9:9" x14ac:dyDescent="0.2">
      <c r="I87" s="12"/>
    </row>
    <row r="88" spans="9:9" x14ac:dyDescent="0.2">
      <c r="I88" s="12"/>
    </row>
    <row r="89" spans="9:9" x14ac:dyDescent="0.2">
      <c r="I89" s="12"/>
    </row>
    <row r="90" spans="9:9" x14ac:dyDescent="0.2">
      <c r="I90" s="12"/>
    </row>
    <row r="91" spans="9:9" x14ac:dyDescent="0.2">
      <c r="I91" s="12"/>
    </row>
    <row r="92" spans="9:9" x14ac:dyDescent="0.2">
      <c r="I92" s="12"/>
    </row>
    <row r="93" spans="9:9" x14ac:dyDescent="0.2">
      <c r="I93" s="12"/>
    </row>
    <row r="94" spans="9:9" x14ac:dyDescent="0.2">
      <c r="I94" s="12"/>
    </row>
    <row r="95" spans="9:9" x14ac:dyDescent="0.2">
      <c r="I95" s="12"/>
    </row>
    <row r="96" spans="9:9" x14ac:dyDescent="0.2">
      <c r="I96" s="12"/>
    </row>
    <row r="97" spans="9:9" x14ac:dyDescent="0.2">
      <c r="I97" s="12"/>
    </row>
    <row r="98" spans="9:9" x14ac:dyDescent="0.2">
      <c r="I98" s="12"/>
    </row>
    <row r="99" spans="9:9" x14ac:dyDescent="0.2">
      <c r="I99" s="12"/>
    </row>
    <row r="100" spans="9:9" x14ac:dyDescent="0.2">
      <c r="I100" s="12"/>
    </row>
  </sheetData>
  <sheetProtection algorithmName="SHA-512" hashValue="v/dFT3g+ao15muFzOtyeNF2Lx9tO5yEfd+Z1C5yGavgowBL1jqk7Qsq906C7ybc0YUEkd8J2wQgD0C7cSYAeGQ==" saltValue="aoWopBm/v26P/2X5k0woeg==" spinCount="100000" sheet="1" scenarios="1" formatCells="0" formatColumns="0" formatRows="0" sort="0" autoFilter="0" pivotTables="0"/>
  <mergeCells count="11">
    <mergeCell ref="O9:O10"/>
    <mergeCell ref="B8:I8"/>
    <mergeCell ref="Q8:Q10"/>
    <mergeCell ref="J8:O8"/>
    <mergeCell ref="P8:P10"/>
    <mergeCell ref="B9:F9"/>
    <mergeCell ref="J9:M9"/>
    <mergeCell ref="I9:I10"/>
    <mergeCell ref="G9:G10"/>
    <mergeCell ref="H9:H10"/>
    <mergeCell ref="N9:N10"/>
  </mergeCells>
  <hyperlinks>
    <hyperlink ref="A2" location="'Table of Contents'!A1" display="Back to Table of Contents" xr:uid="{00000000-0004-0000-0200-000000000000}"/>
  </hyperlinks>
  <pageMargins left="0.70866141732283472" right="0.70866141732283472" top="0.74803149606299213" bottom="0.74803149606299213" header="0.31496062992125984" footer="0.31496062992125984"/>
  <pageSetup paperSize="9" scale="60" orientation="landscape" r:id="rId1"/>
  <headerFooter>
    <oddFooter>&amp;L&amp;P&amp;C&amp;A</oddFooter>
  </headerFooter>
  <ignoredErrors>
    <ignoredError sqref="F11:F14"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M37"/>
  <sheetViews>
    <sheetView workbookViewId="0">
      <selection activeCell="G23" sqref="G23"/>
    </sheetView>
  </sheetViews>
  <sheetFormatPr defaultRowHeight="12.75" x14ac:dyDescent="0.2"/>
  <cols>
    <col min="1" max="1" width="19.5703125" bestFit="1" customWidth="1"/>
    <col min="2" max="2" width="10.7109375" bestFit="1" customWidth="1"/>
    <col min="3" max="3" width="27.140625" bestFit="1" customWidth="1"/>
    <col min="4" max="4" width="40.5703125" bestFit="1" customWidth="1"/>
    <col min="5" max="5" width="28.42578125" bestFit="1" customWidth="1"/>
    <col min="6" max="6" width="18.85546875" bestFit="1" customWidth="1"/>
    <col min="7" max="7" width="31.28515625" bestFit="1" customWidth="1"/>
    <col min="8" max="8" width="37.85546875" bestFit="1" customWidth="1"/>
    <col min="9" max="9" width="13.140625" bestFit="1" customWidth="1"/>
    <col min="10" max="10" width="23.5703125" bestFit="1" customWidth="1"/>
    <col min="11" max="11" width="27.140625" bestFit="1" customWidth="1"/>
    <col min="12" max="12" width="37.5703125" bestFit="1" customWidth="1"/>
    <col min="13" max="13" width="33.42578125" bestFit="1" customWidth="1"/>
  </cols>
  <sheetData>
    <row r="2" spans="1:13" x14ac:dyDescent="0.2">
      <c r="A2" s="234" t="s">
        <v>4</v>
      </c>
      <c r="B2" t="s">
        <v>1572</v>
      </c>
    </row>
    <row r="4" spans="1:13" x14ac:dyDescent="0.2">
      <c r="A4" s="234" t="s">
        <v>326</v>
      </c>
      <c r="B4" t="s">
        <v>335</v>
      </c>
      <c r="C4" t="s">
        <v>375</v>
      </c>
      <c r="D4" t="s">
        <v>376</v>
      </c>
      <c r="E4" t="s">
        <v>377</v>
      </c>
      <c r="F4" t="s">
        <v>378</v>
      </c>
      <c r="G4" t="s">
        <v>379</v>
      </c>
      <c r="H4" t="s">
        <v>380</v>
      </c>
      <c r="I4" t="s">
        <v>381</v>
      </c>
      <c r="J4" t="s">
        <v>382</v>
      </c>
      <c r="K4" t="s">
        <v>383</v>
      </c>
      <c r="L4" t="s">
        <v>384</v>
      </c>
      <c r="M4" t="s">
        <v>385</v>
      </c>
    </row>
    <row r="5" spans="1:13" x14ac:dyDescent="0.2">
      <c r="A5" s="235" t="s">
        <v>23</v>
      </c>
      <c r="B5">
        <v>229060</v>
      </c>
      <c r="C5">
        <v>10</v>
      </c>
      <c r="D5">
        <v>5</v>
      </c>
      <c r="F5">
        <v>41</v>
      </c>
      <c r="G5">
        <v>1</v>
      </c>
      <c r="I5">
        <v>15</v>
      </c>
      <c r="J5">
        <v>7</v>
      </c>
      <c r="K5">
        <v>9</v>
      </c>
      <c r="L5">
        <v>6</v>
      </c>
      <c r="M5">
        <v>94</v>
      </c>
    </row>
    <row r="6" spans="1:13" x14ac:dyDescent="0.2">
      <c r="A6" s="235" t="s">
        <v>24</v>
      </c>
      <c r="B6">
        <v>260780</v>
      </c>
      <c r="C6">
        <v>11</v>
      </c>
      <c r="D6">
        <v>11</v>
      </c>
      <c r="E6">
        <v>20</v>
      </c>
      <c r="F6">
        <v>24</v>
      </c>
      <c r="G6">
        <v>3</v>
      </c>
      <c r="H6">
        <v>2</v>
      </c>
      <c r="I6">
        <v>25</v>
      </c>
      <c r="J6">
        <v>4</v>
      </c>
      <c r="K6">
        <v>38</v>
      </c>
      <c r="L6">
        <v>5</v>
      </c>
      <c r="M6">
        <v>143</v>
      </c>
    </row>
    <row r="7" spans="1:13" x14ac:dyDescent="0.2">
      <c r="A7" s="235" t="s">
        <v>25</v>
      </c>
      <c r="B7">
        <v>115820</v>
      </c>
      <c r="C7">
        <v>9</v>
      </c>
      <c r="D7">
        <v>4</v>
      </c>
      <c r="E7">
        <v>7</v>
      </c>
      <c r="F7">
        <v>13</v>
      </c>
      <c r="I7">
        <v>7</v>
      </c>
      <c r="J7">
        <v>6</v>
      </c>
      <c r="K7">
        <v>12</v>
      </c>
      <c r="L7">
        <v>1</v>
      </c>
      <c r="M7">
        <v>59</v>
      </c>
    </row>
    <row r="8" spans="1:13" x14ac:dyDescent="0.2">
      <c r="A8" s="235" t="s">
        <v>26</v>
      </c>
      <c r="B8">
        <v>85430</v>
      </c>
      <c r="C8">
        <v>7</v>
      </c>
      <c r="D8">
        <v>5</v>
      </c>
      <c r="F8">
        <v>7</v>
      </c>
      <c r="G8">
        <v>1</v>
      </c>
      <c r="I8">
        <v>8</v>
      </c>
      <c r="J8">
        <v>2</v>
      </c>
      <c r="K8">
        <v>10</v>
      </c>
      <c r="M8">
        <v>40</v>
      </c>
    </row>
    <row r="9" spans="1:13" x14ac:dyDescent="0.2">
      <c r="A9" s="235" t="s">
        <v>619</v>
      </c>
      <c r="B9">
        <v>527620</v>
      </c>
      <c r="C9">
        <v>39</v>
      </c>
      <c r="D9">
        <v>5</v>
      </c>
      <c r="E9">
        <v>8</v>
      </c>
      <c r="F9">
        <v>52</v>
      </c>
      <c r="G9">
        <v>1</v>
      </c>
      <c r="H9">
        <v>1</v>
      </c>
      <c r="I9">
        <v>65</v>
      </c>
      <c r="J9">
        <v>13</v>
      </c>
      <c r="K9">
        <v>36</v>
      </c>
      <c r="L9">
        <v>21</v>
      </c>
      <c r="M9">
        <v>241</v>
      </c>
    </row>
    <row r="10" spans="1:13" x14ac:dyDescent="0.2">
      <c r="A10" s="235" t="s">
        <v>27</v>
      </c>
      <c r="B10">
        <v>51290</v>
      </c>
      <c r="C10">
        <v>1</v>
      </c>
      <c r="D10">
        <v>3</v>
      </c>
      <c r="F10">
        <v>4</v>
      </c>
      <c r="I10">
        <v>2</v>
      </c>
      <c r="J10">
        <v>1</v>
      </c>
      <c r="M10">
        <v>11</v>
      </c>
    </row>
    <row r="11" spans="1:13" x14ac:dyDescent="0.2">
      <c r="A11" s="235" t="s">
        <v>28</v>
      </c>
      <c r="B11">
        <v>148290</v>
      </c>
      <c r="C11">
        <v>11</v>
      </c>
      <c r="D11">
        <v>4</v>
      </c>
      <c r="E11">
        <v>4</v>
      </c>
      <c r="F11">
        <v>10</v>
      </c>
      <c r="G11">
        <v>1</v>
      </c>
      <c r="I11">
        <v>15</v>
      </c>
      <c r="J11">
        <v>2</v>
      </c>
      <c r="K11">
        <v>26</v>
      </c>
      <c r="L11">
        <v>1</v>
      </c>
      <c r="M11">
        <v>74</v>
      </c>
    </row>
    <row r="12" spans="1:13" x14ac:dyDescent="0.2">
      <c r="A12" s="235" t="s">
        <v>29</v>
      </c>
      <c r="B12">
        <v>148820</v>
      </c>
      <c r="C12">
        <v>16</v>
      </c>
      <c r="D12">
        <v>2</v>
      </c>
      <c r="E12">
        <v>2</v>
      </c>
      <c r="F12">
        <v>17</v>
      </c>
      <c r="H12">
        <v>1</v>
      </c>
      <c r="I12">
        <v>12</v>
      </c>
      <c r="J12">
        <v>11</v>
      </c>
      <c r="K12">
        <v>7</v>
      </c>
      <c r="L12">
        <v>2</v>
      </c>
      <c r="M12">
        <v>70</v>
      </c>
    </row>
    <row r="13" spans="1:13" x14ac:dyDescent="0.2">
      <c r="A13" s="235" t="s">
        <v>30</v>
      </c>
      <c r="B13">
        <v>121600</v>
      </c>
      <c r="C13">
        <v>15</v>
      </c>
      <c r="D13">
        <v>2</v>
      </c>
      <c r="E13">
        <v>1</v>
      </c>
      <c r="F13">
        <v>16</v>
      </c>
      <c r="I13">
        <v>28</v>
      </c>
      <c r="J13">
        <v>6</v>
      </c>
      <c r="K13">
        <v>11</v>
      </c>
      <c r="L13">
        <v>1</v>
      </c>
      <c r="M13">
        <v>80</v>
      </c>
    </row>
    <row r="14" spans="1:13" x14ac:dyDescent="0.2">
      <c r="A14" s="235" t="s">
        <v>31</v>
      </c>
      <c r="B14">
        <v>108750</v>
      </c>
      <c r="C14">
        <v>5</v>
      </c>
      <c r="E14">
        <v>1</v>
      </c>
      <c r="F14">
        <v>2</v>
      </c>
      <c r="I14">
        <v>16</v>
      </c>
      <c r="J14">
        <v>4</v>
      </c>
      <c r="K14">
        <v>7</v>
      </c>
      <c r="M14">
        <v>35</v>
      </c>
    </row>
    <row r="15" spans="1:13" x14ac:dyDescent="0.2">
      <c r="A15" s="235" t="s">
        <v>32</v>
      </c>
      <c r="B15">
        <v>107900</v>
      </c>
      <c r="C15">
        <v>9</v>
      </c>
      <c r="E15">
        <v>2</v>
      </c>
      <c r="F15">
        <v>15</v>
      </c>
      <c r="H15">
        <v>1</v>
      </c>
      <c r="I15">
        <v>22</v>
      </c>
      <c r="J15">
        <v>3</v>
      </c>
      <c r="K15">
        <v>9</v>
      </c>
      <c r="L15">
        <v>2</v>
      </c>
      <c r="M15">
        <v>63</v>
      </c>
    </row>
    <row r="16" spans="1:13" x14ac:dyDescent="0.2">
      <c r="A16" s="235" t="s">
        <v>33</v>
      </c>
      <c r="B16">
        <v>96060</v>
      </c>
      <c r="C16">
        <v>5</v>
      </c>
      <c r="D16">
        <v>1</v>
      </c>
      <c r="E16">
        <v>1</v>
      </c>
      <c r="F16">
        <v>1</v>
      </c>
      <c r="H16">
        <v>1</v>
      </c>
      <c r="I16">
        <v>15</v>
      </c>
      <c r="J16">
        <v>3</v>
      </c>
      <c r="K16">
        <v>6</v>
      </c>
      <c r="M16">
        <v>33</v>
      </c>
    </row>
    <row r="17" spans="1:13" x14ac:dyDescent="0.2">
      <c r="A17" s="235" t="s">
        <v>34</v>
      </c>
      <c r="B17">
        <v>160560</v>
      </c>
      <c r="C17">
        <v>19</v>
      </c>
      <c r="D17">
        <v>4</v>
      </c>
      <c r="E17">
        <v>5</v>
      </c>
      <c r="F17">
        <v>38</v>
      </c>
      <c r="G17">
        <v>1</v>
      </c>
      <c r="I17">
        <v>30</v>
      </c>
      <c r="J17">
        <v>3</v>
      </c>
      <c r="K17">
        <v>17</v>
      </c>
      <c r="M17">
        <v>117</v>
      </c>
    </row>
    <row r="18" spans="1:13" x14ac:dyDescent="0.2">
      <c r="A18" s="235" t="s">
        <v>35</v>
      </c>
      <c r="B18">
        <v>374130</v>
      </c>
      <c r="C18">
        <v>30</v>
      </c>
      <c r="D18">
        <v>11</v>
      </c>
      <c r="E18">
        <v>8</v>
      </c>
      <c r="F18">
        <v>78</v>
      </c>
      <c r="G18">
        <v>2</v>
      </c>
      <c r="I18">
        <v>57</v>
      </c>
      <c r="J18">
        <v>8</v>
      </c>
      <c r="K18">
        <v>37</v>
      </c>
      <c r="L18">
        <v>7</v>
      </c>
      <c r="M18">
        <v>238</v>
      </c>
    </row>
    <row r="19" spans="1:13" x14ac:dyDescent="0.2">
      <c r="A19" s="235" t="s">
        <v>36</v>
      </c>
      <c r="B19">
        <v>635640</v>
      </c>
      <c r="C19">
        <v>52</v>
      </c>
      <c r="D19">
        <v>7</v>
      </c>
      <c r="E19">
        <v>5</v>
      </c>
      <c r="F19">
        <v>12</v>
      </c>
      <c r="G19">
        <v>3</v>
      </c>
      <c r="H19">
        <v>3</v>
      </c>
      <c r="I19">
        <v>188</v>
      </c>
      <c r="J19">
        <v>23</v>
      </c>
      <c r="K19">
        <v>71</v>
      </c>
      <c r="L19">
        <v>16</v>
      </c>
      <c r="M19">
        <v>380</v>
      </c>
    </row>
    <row r="20" spans="1:13" x14ac:dyDescent="0.2">
      <c r="A20" s="235" t="s">
        <v>37</v>
      </c>
      <c r="B20">
        <v>235430</v>
      </c>
      <c r="C20">
        <v>15</v>
      </c>
      <c r="D20">
        <v>11</v>
      </c>
      <c r="E20">
        <v>15</v>
      </c>
      <c r="F20">
        <v>38</v>
      </c>
      <c r="G20">
        <v>1</v>
      </c>
      <c r="H20">
        <v>1</v>
      </c>
      <c r="I20">
        <v>25</v>
      </c>
      <c r="J20">
        <v>4</v>
      </c>
      <c r="K20">
        <v>31</v>
      </c>
      <c r="L20">
        <v>1</v>
      </c>
      <c r="M20">
        <v>142</v>
      </c>
    </row>
    <row r="21" spans="1:13" x14ac:dyDescent="0.2">
      <c r="A21" s="235" t="s">
        <v>38</v>
      </c>
      <c r="B21">
        <v>77060</v>
      </c>
      <c r="C21">
        <v>6</v>
      </c>
      <c r="G21">
        <v>1</v>
      </c>
      <c r="I21">
        <v>17</v>
      </c>
      <c r="J21">
        <v>5</v>
      </c>
      <c r="K21">
        <v>7</v>
      </c>
      <c r="M21">
        <v>36</v>
      </c>
    </row>
    <row r="22" spans="1:13" x14ac:dyDescent="0.2">
      <c r="A22" s="235" t="s">
        <v>39</v>
      </c>
      <c r="B22">
        <v>93150</v>
      </c>
      <c r="C22">
        <v>12</v>
      </c>
      <c r="D22">
        <v>9</v>
      </c>
      <c r="E22">
        <v>3</v>
      </c>
      <c r="F22">
        <v>20</v>
      </c>
      <c r="H22">
        <v>1</v>
      </c>
      <c r="I22">
        <v>8</v>
      </c>
      <c r="K22">
        <v>6</v>
      </c>
      <c r="L22">
        <v>5</v>
      </c>
      <c r="M22">
        <v>64</v>
      </c>
    </row>
    <row r="23" spans="1:13" x14ac:dyDescent="0.2">
      <c r="A23" s="235" t="s">
        <v>40</v>
      </c>
      <c r="B23">
        <v>95710</v>
      </c>
      <c r="C23">
        <v>10</v>
      </c>
      <c r="D23">
        <v>1</v>
      </c>
      <c r="E23">
        <v>7</v>
      </c>
      <c r="F23">
        <v>24</v>
      </c>
      <c r="I23">
        <v>18</v>
      </c>
      <c r="K23">
        <v>5</v>
      </c>
      <c r="M23">
        <v>65</v>
      </c>
    </row>
    <row r="24" spans="1:13" x14ac:dyDescent="0.2">
      <c r="A24" s="235" t="s">
        <v>295</v>
      </c>
      <c r="B24">
        <v>26500</v>
      </c>
      <c r="C24">
        <v>1</v>
      </c>
      <c r="D24">
        <v>1</v>
      </c>
      <c r="E24">
        <v>3</v>
      </c>
      <c r="I24">
        <v>4</v>
      </c>
      <c r="J24">
        <v>1</v>
      </c>
      <c r="K24">
        <v>3</v>
      </c>
      <c r="M24">
        <v>13</v>
      </c>
    </row>
    <row r="25" spans="1:13" x14ac:dyDescent="0.2">
      <c r="A25" s="235" t="s">
        <v>41</v>
      </c>
      <c r="B25">
        <v>134250</v>
      </c>
      <c r="C25">
        <v>10</v>
      </c>
      <c r="D25">
        <v>1</v>
      </c>
      <c r="E25">
        <v>2</v>
      </c>
      <c r="F25">
        <v>2</v>
      </c>
      <c r="G25">
        <v>1</v>
      </c>
      <c r="I25">
        <v>24</v>
      </c>
      <c r="K25">
        <v>10</v>
      </c>
      <c r="L25">
        <v>1</v>
      </c>
      <c r="M25">
        <v>51</v>
      </c>
    </row>
    <row r="26" spans="1:13" x14ac:dyDescent="0.2">
      <c r="A26" s="235" t="s">
        <v>42</v>
      </c>
      <c r="B26">
        <v>341140</v>
      </c>
      <c r="C26">
        <v>17</v>
      </c>
      <c r="D26">
        <v>7</v>
      </c>
      <c r="E26">
        <v>8</v>
      </c>
      <c r="F26">
        <v>8</v>
      </c>
      <c r="G26">
        <v>1</v>
      </c>
      <c r="H26">
        <v>1</v>
      </c>
      <c r="I26">
        <v>131</v>
      </c>
      <c r="J26">
        <v>25</v>
      </c>
      <c r="K26">
        <v>58</v>
      </c>
      <c r="L26">
        <v>3</v>
      </c>
      <c r="M26">
        <v>259</v>
      </c>
    </row>
    <row r="27" spans="1:13" x14ac:dyDescent="0.2">
      <c r="A27" s="235" t="s">
        <v>43</v>
      </c>
      <c r="B27">
        <v>22400</v>
      </c>
      <c r="C27">
        <v>2</v>
      </c>
      <c r="D27">
        <v>1</v>
      </c>
      <c r="G27">
        <v>1</v>
      </c>
      <c r="I27">
        <v>4</v>
      </c>
      <c r="K27">
        <v>3</v>
      </c>
      <c r="M27">
        <v>11</v>
      </c>
    </row>
    <row r="28" spans="1:13" x14ac:dyDescent="0.2">
      <c r="A28" s="235" t="s">
        <v>44</v>
      </c>
      <c r="B28">
        <v>151910</v>
      </c>
      <c r="C28">
        <v>5</v>
      </c>
      <c r="D28">
        <v>2</v>
      </c>
      <c r="E28">
        <v>8</v>
      </c>
      <c r="F28">
        <v>11</v>
      </c>
      <c r="H28">
        <v>1</v>
      </c>
      <c r="I28">
        <v>24</v>
      </c>
      <c r="J28">
        <v>3</v>
      </c>
      <c r="K28">
        <v>23</v>
      </c>
      <c r="L28">
        <v>2</v>
      </c>
      <c r="M28">
        <v>79</v>
      </c>
    </row>
    <row r="29" spans="1:13" x14ac:dyDescent="0.2">
      <c r="A29" s="235" t="s">
        <v>45</v>
      </c>
      <c r="B29">
        <v>179390</v>
      </c>
      <c r="C29">
        <v>12</v>
      </c>
      <c r="D29">
        <v>3</v>
      </c>
      <c r="E29">
        <v>1</v>
      </c>
      <c r="F29">
        <v>14</v>
      </c>
      <c r="I29">
        <v>31</v>
      </c>
      <c r="J29">
        <v>8</v>
      </c>
      <c r="K29">
        <v>15</v>
      </c>
      <c r="L29">
        <v>1</v>
      </c>
      <c r="M29">
        <v>85</v>
      </c>
    </row>
    <row r="30" spans="1:13" x14ac:dyDescent="0.2">
      <c r="A30" s="235" t="s">
        <v>46</v>
      </c>
      <c r="B30">
        <v>115240</v>
      </c>
      <c r="C30">
        <v>5</v>
      </c>
      <c r="D30">
        <v>5</v>
      </c>
      <c r="E30">
        <v>6</v>
      </c>
      <c r="F30">
        <v>12</v>
      </c>
      <c r="I30">
        <v>17</v>
      </c>
      <c r="J30">
        <v>2</v>
      </c>
      <c r="K30">
        <v>12</v>
      </c>
      <c r="L30">
        <v>2</v>
      </c>
      <c r="M30">
        <v>61</v>
      </c>
    </row>
    <row r="31" spans="1:13" x14ac:dyDescent="0.2">
      <c r="A31" s="235" t="s">
        <v>47</v>
      </c>
      <c r="B31">
        <v>22870</v>
      </c>
      <c r="C31">
        <v>5</v>
      </c>
      <c r="G31">
        <v>1</v>
      </c>
      <c r="I31">
        <v>8</v>
      </c>
      <c r="K31">
        <v>5</v>
      </c>
      <c r="M31">
        <v>19</v>
      </c>
    </row>
    <row r="32" spans="1:13" x14ac:dyDescent="0.2">
      <c r="A32" s="235" t="s">
        <v>48</v>
      </c>
      <c r="B32">
        <v>112140</v>
      </c>
      <c r="C32">
        <v>5</v>
      </c>
      <c r="E32">
        <v>2</v>
      </c>
      <c r="F32">
        <v>7</v>
      </c>
      <c r="I32">
        <v>13</v>
      </c>
      <c r="J32">
        <v>1</v>
      </c>
      <c r="K32">
        <v>12</v>
      </c>
      <c r="M32">
        <v>40</v>
      </c>
    </row>
    <row r="33" spans="1:13" x14ac:dyDescent="0.2">
      <c r="A33" s="235" t="s">
        <v>49</v>
      </c>
      <c r="B33">
        <v>320820</v>
      </c>
      <c r="C33">
        <v>13</v>
      </c>
      <c r="D33">
        <v>5</v>
      </c>
      <c r="E33">
        <v>4</v>
      </c>
      <c r="F33">
        <v>14</v>
      </c>
      <c r="G33">
        <v>1</v>
      </c>
      <c r="H33">
        <v>1</v>
      </c>
      <c r="I33">
        <v>90</v>
      </c>
      <c r="J33">
        <v>20</v>
      </c>
      <c r="K33">
        <v>34</v>
      </c>
      <c r="L33">
        <v>8</v>
      </c>
      <c r="M33">
        <v>190</v>
      </c>
    </row>
    <row r="34" spans="1:13" x14ac:dyDescent="0.2">
      <c r="A34" s="235" t="s">
        <v>50</v>
      </c>
      <c r="B34">
        <v>94080</v>
      </c>
      <c r="C34">
        <v>10</v>
      </c>
      <c r="D34">
        <v>4</v>
      </c>
      <c r="E34">
        <v>3</v>
      </c>
      <c r="F34">
        <v>16</v>
      </c>
      <c r="I34">
        <v>17</v>
      </c>
      <c r="J34">
        <v>3</v>
      </c>
      <c r="K34">
        <v>12</v>
      </c>
      <c r="L34">
        <v>1</v>
      </c>
      <c r="M34">
        <v>66</v>
      </c>
    </row>
    <row r="35" spans="1:13" x14ac:dyDescent="0.2">
      <c r="A35" s="235" t="s">
        <v>51</v>
      </c>
      <c r="B35">
        <v>88340</v>
      </c>
      <c r="C35">
        <v>12</v>
      </c>
      <c r="D35">
        <v>3</v>
      </c>
      <c r="E35">
        <v>2</v>
      </c>
      <c r="F35">
        <v>6</v>
      </c>
      <c r="G35">
        <v>2</v>
      </c>
      <c r="I35">
        <v>23</v>
      </c>
      <c r="K35">
        <v>9</v>
      </c>
      <c r="M35">
        <v>57</v>
      </c>
    </row>
    <row r="36" spans="1:13" x14ac:dyDescent="0.2">
      <c r="A36" s="235" t="s">
        <v>52</v>
      </c>
      <c r="B36">
        <v>183820</v>
      </c>
      <c r="C36">
        <v>14</v>
      </c>
      <c r="D36">
        <v>9</v>
      </c>
      <c r="E36">
        <v>8</v>
      </c>
      <c r="F36">
        <v>28</v>
      </c>
      <c r="I36">
        <v>30</v>
      </c>
      <c r="J36">
        <v>8</v>
      </c>
      <c r="K36">
        <v>17</v>
      </c>
      <c r="L36">
        <v>7</v>
      </c>
      <c r="M36">
        <v>121</v>
      </c>
    </row>
    <row r="37" spans="1:13" x14ac:dyDescent="0.2">
      <c r="A37" s="235" t="s">
        <v>333</v>
      </c>
      <c r="B37">
        <v>5466000</v>
      </c>
      <c r="C37">
        <v>393</v>
      </c>
      <c r="D37">
        <v>126</v>
      </c>
      <c r="E37">
        <v>136</v>
      </c>
      <c r="F37">
        <v>530</v>
      </c>
      <c r="G37">
        <v>22</v>
      </c>
      <c r="H37">
        <v>14</v>
      </c>
      <c r="I37">
        <v>989</v>
      </c>
      <c r="J37">
        <v>176</v>
      </c>
      <c r="K37">
        <v>558</v>
      </c>
      <c r="L37">
        <v>93</v>
      </c>
      <c r="M37">
        <v>3037</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L37"/>
  <sheetViews>
    <sheetView workbookViewId="0">
      <selection activeCell="G23" sqref="G23"/>
    </sheetView>
  </sheetViews>
  <sheetFormatPr defaultRowHeight="12.75" x14ac:dyDescent="0.2"/>
  <cols>
    <col min="1" max="1" width="19.5703125" bestFit="1" customWidth="1"/>
    <col min="2" max="2" width="10.7109375" bestFit="1" customWidth="1"/>
    <col min="3" max="3" width="24.42578125" bestFit="1" customWidth="1"/>
    <col min="4" max="4" width="19.140625" bestFit="1" customWidth="1"/>
    <col min="5" max="5" width="34.140625" bestFit="1" customWidth="1"/>
    <col min="6" max="6" width="27.140625" bestFit="1" customWidth="1"/>
    <col min="7" max="7" width="23.5703125" bestFit="1" customWidth="1"/>
    <col min="8" max="8" width="37.85546875" bestFit="1" customWidth="1"/>
    <col min="9" max="9" width="38.5703125" bestFit="1" customWidth="1"/>
    <col min="10" max="10" width="38.42578125" bestFit="1" customWidth="1"/>
    <col min="11" max="11" width="32.7109375" bestFit="1" customWidth="1"/>
    <col min="12" max="12" width="36" bestFit="1" customWidth="1"/>
  </cols>
  <sheetData>
    <row r="2" spans="1:12" x14ac:dyDescent="0.2">
      <c r="A2" s="234" t="s">
        <v>4</v>
      </c>
      <c r="B2" t="s">
        <v>1572</v>
      </c>
    </row>
    <row r="4" spans="1:12" x14ac:dyDescent="0.2">
      <c r="A4" s="234" t="s">
        <v>326</v>
      </c>
      <c r="B4" t="s">
        <v>335</v>
      </c>
      <c r="C4" t="s">
        <v>386</v>
      </c>
      <c r="D4" t="s">
        <v>387</v>
      </c>
      <c r="E4" t="s">
        <v>388</v>
      </c>
      <c r="F4" t="s">
        <v>389</v>
      </c>
      <c r="G4" t="s">
        <v>390</v>
      </c>
      <c r="H4" t="s">
        <v>380</v>
      </c>
      <c r="I4" t="s">
        <v>391</v>
      </c>
      <c r="J4" t="s">
        <v>392</v>
      </c>
      <c r="K4" t="s">
        <v>393</v>
      </c>
      <c r="L4" t="s">
        <v>394</v>
      </c>
    </row>
    <row r="5" spans="1:12" x14ac:dyDescent="0.2">
      <c r="A5" s="235" t="s">
        <v>23</v>
      </c>
      <c r="B5">
        <v>229060</v>
      </c>
      <c r="C5">
        <v>4</v>
      </c>
      <c r="D5">
        <v>116</v>
      </c>
      <c r="F5">
        <v>15</v>
      </c>
      <c r="H5">
        <v>32</v>
      </c>
      <c r="I5">
        <v>91</v>
      </c>
      <c r="J5">
        <v>19</v>
      </c>
      <c r="K5">
        <v>51</v>
      </c>
      <c r="L5">
        <v>328</v>
      </c>
    </row>
    <row r="6" spans="1:12" x14ac:dyDescent="0.2">
      <c r="A6" s="235" t="s">
        <v>24</v>
      </c>
      <c r="B6">
        <v>260780</v>
      </c>
      <c r="C6">
        <v>6</v>
      </c>
      <c r="D6">
        <v>151</v>
      </c>
      <c r="E6">
        <v>9</v>
      </c>
      <c r="F6">
        <v>18</v>
      </c>
      <c r="H6">
        <v>40</v>
      </c>
      <c r="I6">
        <v>18</v>
      </c>
      <c r="J6">
        <v>2</v>
      </c>
      <c r="K6">
        <v>51</v>
      </c>
      <c r="L6">
        <v>295</v>
      </c>
    </row>
    <row r="7" spans="1:12" x14ac:dyDescent="0.2">
      <c r="A7" s="235" t="s">
        <v>25</v>
      </c>
      <c r="B7">
        <v>115820</v>
      </c>
      <c r="C7">
        <v>8</v>
      </c>
      <c r="D7">
        <v>91</v>
      </c>
      <c r="E7">
        <v>3</v>
      </c>
      <c r="F7">
        <v>7</v>
      </c>
      <c r="H7">
        <v>27</v>
      </c>
      <c r="I7">
        <v>40</v>
      </c>
      <c r="K7">
        <v>28</v>
      </c>
      <c r="L7">
        <v>204</v>
      </c>
    </row>
    <row r="8" spans="1:12" x14ac:dyDescent="0.2">
      <c r="A8" s="235" t="s">
        <v>26</v>
      </c>
      <c r="B8">
        <v>85430</v>
      </c>
      <c r="C8">
        <v>3</v>
      </c>
      <c r="D8">
        <v>62</v>
      </c>
      <c r="F8">
        <v>5</v>
      </c>
      <c r="G8">
        <v>1</v>
      </c>
      <c r="H8">
        <v>27</v>
      </c>
      <c r="I8">
        <v>16</v>
      </c>
      <c r="J8">
        <v>3</v>
      </c>
      <c r="K8">
        <v>16</v>
      </c>
      <c r="L8">
        <v>133</v>
      </c>
    </row>
    <row r="9" spans="1:12" x14ac:dyDescent="0.2">
      <c r="A9" s="235" t="s">
        <v>619</v>
      </c>
      <c r="B9">
        <v>527620</v>
      </c>
      <c r="C9">
        <v>5</v>
      </c>
      <c r="D9">
        <v>377</v>
      </c>
      <c r="E9">
        <v>4</v>
      </c>
      <c r="F9">
        <v>33</v>
      </c>
      <c r="G9">
        <v>1</v>
      </c>
      <c r="H9">
        <v>212</v>
      </c>
      <c r="I9">
        <v>478</v>
      </c>
      <c r="J9">
        <v>111</v>
      </c>
      <c r="K9">
        <v>245</v>
      </c>
      <c r="L9">
        <v>1466</v>
      </c>
    </row>
    <row r="10" spans="1:12" x14ac:dyDescent="0.2">
      <c r="A10" s="235" t="s">
        <v>27</v>
      </c>
      <c r="B10">
        <v>51290</v>
      </c>
      <c r="C10">
        <v>5</v>
      </c>
      <c r="D10">
        <v>34</v>
      </c>
      <c r="E10">
        <v>4</v>
      </c>
      <c r="F10">
        <v>9</v>
      </c>
      <c r="G10">
        <v>4</v>
      </c>
      <c r="H10">
        <v>8</v>
      </c>
      <c r="I10">
        <v>16</v>
      </c>
      <c r="J10">
        <v>1</v>
      </c>
      <c r="K10">
        <v>31</v>
      </c>
      <c r="L10">
        <v>112</v>
      </c>
    </row>
    <row r="11" spans="1:12" x14ac:dyDescent="0.2">
      <c r="A11" s="235" t="s">
        <v>28</v>
      </c>
      <c r="B11">
        <v>148290</v>
      </c>
      <c r="C11">
        <v>4</v>
      </c>
      <c r="D11">
        <v>98</v>
      </c>
      <c r="E11">
        <v>1</v>
      </c>
      <c r="F11">
        <v>10</v>
      </c>
      <c r="G11">
        <v>6</v>
      </c>
      <c r="H11">
        <v>6</v>
      </c>
      <c r="I11">
        <v>26</v>
      </c>
      <c r="J11">
        <v>5</v>
      </c>
      <c r="K11">
        <v>49</v>
      </c>
      <c r="L11">
        <v>205</v>
      </c>
    </row>
    <row r="12" spans="1:12" x14ac:dyDescent="0.2">
      <c r="A12" s="235" t="s">
        <v>29</v>
      </c>
      <c r="B12">
        <v>148820</v>
      </c>
      <c r="C12">
        <v>7</v>
      </c>
      <c r="D12">
        <v>232</v>
      </c>
      <c r="E12">
        <v>3</v>
      </c>
      <c r="F12">
        <v>19</v>
      </c>
      <c r="G12">
        <v>2</v>
      </c>
      <c r="H12">
        <v>110</v>
      </c>
      <c r="I12">
        <v>229</v>
      </c>
      <c r="J12">
        <v>30</v>
      </c>
      <c r="K12">
        <v>66</v>
      </c>
      <c r="L12">
        <v>698</v>
      </c>
    </row>
    <row r="13" spans="1:12" x14ac:dyDescent="0.2">
      <c r="A13" s="235" t="s">
        <v>30</v>
      </c>
      <c r="B13">
        <v>121600</v>
      </c>
      <c r="C13">
        <v>5</v>
      </c>
      <c r="D13">
        <v>172</v>
      </c>
      <c r="E13">
        <v>2</v>
      </c>
      <c r="F13">
        <v>7</v>
      </c>
      <c r="G13">
        <v>4</v>
      </c>
      <c r="H13">
        <v>92</v>
      </c>
      <c r="I13">
        <v>128</v>
      </c>
      <c r="J13">
        <v>5</v>
      </c>
      <c r="K13">
        <v>169</v>
      </c>
      <c r="L13">
        <v>584</v>
      </c>
    </row>
    <row r="14" spans="1:12" x14ac:dyDescent="0.2">
      <c r="A14" s="235" t="s">
        <v>31</v>
      </c>
      <c r="B14">
        <v>108750</v>
      </c>
      <c r="C14">
        <v>2</v>
      </c>
      <c r="D14">
        <v>105</v>
      </c>
      <c r="E14">
        <v>3</v>
      </c>
      <c r="F14">
        <v>2</v>
      </c>
      <c r="G14">
        <v>1</v>
      </c>
      <c r="H14">
        <v>40</v>
      </c>
      <c r="I14">
        <v>42</v>
      </c>
      <c r="J14">
        <v>5</v>
      </c>
      <c r="K14">
        <v>41</v>
      </c>
      <c r="L14">
        <v>241</v>
      </c>
    </row>
    <row r="15" spans="1:12" x14ac:dyDescent="0.2">
      <c r="A15" s="235" t="s">
        <v>32</v>
      </c>
      <c r="B15">
        <v>107900</v>
      </c>
      <c r="C15">
        <v>1</v>
      </c>
      <c r="D15">
        <v>67</v>
      </c>
      <c r="F15">
        <v>5</v>
      </c>
      <c r="H15">
        <v>37</v>
      </c>
      <c r="I15">
        <v>30</v>
      </c>
      <c r="J15">
        <v>4</v>
      </c>
      <c r="K15">
        <v>51</v>
      </c>
      <c r="L15">
        <v>195</v>
      </c>
    </row>
    <row r="16" spans="1:12" x14ac:dyDescent="0.2">
      <c r="A16" s="235" t="s">
        <v>33</v>
      </c>
      <c r="B16">
        <v>96060</v>
      </c>
      <c r="C16">
        <v>6</v>
      </c>
      <c r="D16">
        <v>68</v>
      </c>
      <c r="E16">
        <v>3</v>
      </c>
      <c r="F16">
        <v>5</v>
      </c>
      <c r="G16">
        <v>1</v>
      </c>
      <c r="H16">
        <v>35</v>
      </c>
      <c r="I16">
        <v>34</v>
      </c>
      <c r="J16">
        <v>3</v>
      </c>
      <c r="K16">
        <v>27</v>
      </c>
      <c r="L16">
        <v>182</v>
      </c>
    </row>
    <row r="17" spans="1:12" x14ac:dyDescent="0.2">
      <c r="A17" s="235" t="s">
        <v>34</v>
      </c>
      <c r="B17">
        <v>160560</v>
      </c>
      <c r="C17">
        <v>5</v>
      </c>
      <c r="D17">
        <v>206</v>
      </c>
      <c r="E17">
        <v>1</v>
      </c>
      <c r="F17">
        <v>11</v>
      </c>
      <c r="G17">
        <v>1</v>
      </c>
      <c r="H17">
        <v>70</v>
      </c>
      <c r="I17">
        <v>59</v>
      </c>
      <c r="J17">
        <v>15</v>
      </c>
      <c r="K17">
        <v>55</v>
      </c>
      <c r="L17">
        <v>423</v>
      </c>
    </row>
    <row r="18" spans="1:12" x14ac:dyDescent="0.2">
      <c r="A18" s="235" t="s">
        <v>35</v>
      </c>
      <c r="B18">
        <v>374130</v>
      </c>
      <c r="C18">
        <v>25</v>
      </c>
      <c r="D18">
        <v>311</v>
      </c>
      <c r="E18">
        <v>6</v>
      </c>
      <c r="F18">
        <v>42</v>
      </c>
      <c r="G18">
        <v>5</v>
      </c>
      <c r="H18">
        <v>136</v>
      </c>
      <c r="I18">
        <v>211</v>
      </c>
      <c r="J18">
        <v>31</v>
      </c>
      <c r="K18">
        <v>252</v>
      </c>
      <c r="L18">
        <v>1019</v>
      </c>
    </row>
    <row r="19" spans="1:12" x14ac:dyDescent="0.2">
      <c r="A19" s="235" t="s">
        <v>36</v>
      </c>
      <c r="B19">
        <v>635640</v>
      </c>
      <c r="C19">
        <v>18</v>
      </c>
      <c r="D19">
        <v>423</v>
      </c>
      <c r="E19">
        <v>6</v>
      </c>
      <c r="F19">
        <v>37</v>
      </c>
      <c r="G19">
        <v>18</v>
      </c>
      <c r="H19">
        <v>284</v>
      </c>
      <c r="I19">
        <v>777</v>
      </c>
      <c r="J19">
        <v>61</v>
      </c>
      <c r="K19">
        <v>816</v>
      </c>
      <c r="L19">
        <v>2440</v>
      </c>
    </row>
    <row r="20" spans="1:12" x14ac:dyDescent="0.2">
      <c r="A20" s="235" t="s">
        <v>37</v>
      </c>
      <c r="B20">
        <v>235430</v>
      </c>
      <c r="C20">
        <v>6</v>
      </c>
      <c r="D20">
        <v>252</v>
      </c>
      <c r="E20">
        <v>7</v>
      </c>
      <c r="F20">
        <v>8</v>
      </c>
      <c r="G20">
        <v>3</v>
      </c>
      <c r="H20">
        <v>45</v>
      </c>
      <c r="I20">
        <v>20</v>
      </c>
      <c r="J20">
        <v>6</v>
      </c>
      <c r="K20">
        <v>49</v>
      </c>
      <c r="L20">
        <v>396</v>
      </c>
    </row>
    <row r="21" spans="1:12" x14ac:dyDescent="0.2">
      <c r="A21" s="235" t="s">
        <v>38</v>
      </c>
      <c r="B21">
        <v>77060</v>
      </c>
      <c r="C21">
        <v>8</v>
      </c>
      <c r="D21">
        <v>204</v>
      </c>
      <c r="F21">
        <v>3</v>
      </c>
      <c r="G21">
        <v>3</v>
      </c>
      <c r="H21">
        <v>37</v>
      </c>
      <c r="I21">
        <v>80</v>
      </c>
      <c r="J21">
        <v>6</v>
      </c>
      <c r="K21">
        <v>76</v>
      </c>
      <c r="L21">
        <v>417</v>
      </c>
    </row>
    <row r="22" spans="1:12" x14ac:dyDescent="0.2">
      <c r="A22" s="235" t="s">
        <v>39</v>
      </c>
      <c r="B22">
        <v>93150</v>
      </c>
      <c r="C22">
        <v>2</v>
      </c>
      <c r="D22">
        <v>86</v>
      </c>
      <c r="E22">
        <v>4</v>
      </c>
      <c r="F22">
        <v>7</v>
      </c>
      <c r="H22">
        <v>24</v>
      </c>
      <c r="I22">
        <v>33</v>
      </c>
      <c r="J22">
        <v>6</v>
      </c>
      <c r="K22">
        <v>41</v>
      </c>
      <c r="L22">
        <v>203</v>
      </c>
    </row>
    <row r="23" spans="1:12" x14ac:dyDescent="0.2">
      <c r="A23" s="235" t="s">
        <v>40</v>
      </c>
      <c r="B23">
        <v>95710</v>
      </c>
      <c r="C23">
        <v>1</v>
      </c>
      <c r="D23">
        <v>69</v>
      </c>
      <c r="E23">
        <v>2</v>
      </c>
      <c r="F23">
        <v>6</v>
      </c>
      <c r="H23">
        <v>13</v>
      </c>
      <c r="I23">
        <v>17</v>
      </c>
      <c r="J23">
        <v>1</v>
      </c>
      <c r="K23">
        <v>19</v>
      </c>
      <c r="L23">
        <v>128</v>
      </c>
    </row>
    <row r="24" spans="1:12" x14ac:dyDescent="0.2">
      <c r="A24" s="235" t="s">
        <v>295</v>
      </c>
      <c r="B24">
        <v>26500</v>
      </c>
      <c r="C24">
        <v>3</v>
      </c>
      <c r="D24">
        <v>70</v>
      </c>
      <c r="F24">
        <v>1</v>
      </c>
      <c r="H24">
        <v>1</v>
      </c>
      <c r="K24">
        <v>1</v>
      </c>
      <c r="L24">
        <v>76</v>
      </c>
    </row>
    <row r="25" spans="1:12" x14ac:dyDescent="0.2">
      <c r="A25" s="235" t="s">
        <v>41</v>
      </c>
      <c r="B25">
        <v>134250</v>
      </c>
      <c r="C25">
        <v>9</v>
      </c>
      <c r="D25">
        <v>156</v>
      </c>
      <c r="E25">
        <v>5</v>
      </c>
      <c r="F25">
        <v>9</v>
      </c>
      <c r="G25">
        <v>12</v>
      </c>
      <c r="H25">
        <v>91</v>
      </c>
      <c r="I25">
        <v>101</v>
      </c>
      <c r="J25">
        <v>11</v>
      </c>
      <c r="K25">
        <v>97</v>
      </c>
      <c r="L25">
        <v>491</v>
      </c>
    </row>
    <row r="26" spans="1:12" x14ac:dyDescent="0.2">
      <c r="A26" s="235" t="s">
        <v>42</v>
      </c>
      <c r="B26">
        <v>341140</v>
      </c>
      <c r="C26">
        <v>14</v>
      </c>
      <c r="D26">
        <v>460</v>
      </c>
      <c r="E26">
        <v>8</v>
      </c>
      <c r="F26">
        <v>29</v>
      </c>
      <c r="G26">
        <v>18</v>
      </c>
      <c r="H26">
        <v>164</v>
      </c>
      <c r="I26">
        <v>179</v>
      </c>
      <c r="J26">
        <v>29</v>
      </c>
      <c r="K26">
        <v>574</v>
      </c>
      <c r="L26">
        <v>1475</v>
      </c>
    </row>
    <row r="27" spans="1:12" x14ac:dyDescent="0.2">
      <c r="A27" s="235" t="s">
        <v>43</v>
      </c>
      <c r="B27">
        <v>22400</v>
      </c>
      <c r="D27">
        <v>6</v>
      </c>
      <c r="E27">
        <v>1</v>
      </c>
      <c r="F27">
        <v>1</v>
      </c>
      <c r="H27">
        <v>3</v>
      </c>
      <c r="I27">
        <v>1</v>
      </c>
      <c r="K27">
        <v>2</v>
      </c>
      <c r="L27">
        <v>14</v>
      </c>
    </row>
    <row r="28" spans="1:12" x14ac:dyDescent="0.2">
      <c r="A28" s="235" t="s">
        <v>44</v>
      </c>
      <c r="B28">
        <v>151910</v>
      </c>
      <c r="C28">
        <v>2</v>
      </c>
      <c r="D28">
        <v>62</v>
      </c>
      <c r="E28">
        <v>4</v>
      </c>
      <c r="F28">
        <v>5</v>
      </c>
      <c r="G28">
        <v>5</v>
      </c>
      <c r="H28">
        <v>11</v>
      </c>
      <c r="I28">
        <v>34</v>
      </c>
      <c r="J28">
        <v>5</v>
      </c>
      <c r="K28">
        <v>17</v>
      </c>
      <c r="L28">
        <v>145</v>
      </c>
    </row>
    <row r="29" spans="1:12" x14ac:dyDescent="0.2">
      <c r="A29" s="235" t="s">
        <v>45</v>
      </c>
      <c r="B29">
        <v>179390</v>
      </c>
      <c r="C29">
        <v>3</v>
      </c>
      <c r="D29">
        <v>137</v>
      </c>
      <c r="E29">
        <v>1</v>
      </c>
      <c r="F29">
        <v>11</v>
      </c>
      <c r="G29">
        <v>3</v>
      </c>
      <c r="H29">
        <v>63</v>
      </c>
      <c r="I29">
        <v>122</v>
      </c>
      <c r="J29">
        <v>17</v>
      </c>
      <c r="K29">
        <v>146</v>
      </c>
      <c r="L29">
        <v>503</v>
      </c>
    </row>
    <row r="30" spans="1:12" x14ac:dyDescent="0.2">
      <c r="A30" s="235" t="s">
        <v>46</v>
      </c>
      <c r="B30">
        <v>115240</v>
      </c>
      <c r="C30">
        <v>1</v>
      </c>
      <c r="D30">
        <v>64</v>
      </c>
      <c r="E30">
        <v>2</v>
      </c>
      <c r="F30">
        <v>4</v>
      </c>
      <c r="G30">
        <v>1</v>
      </c>
      <c r="H30">
        <v>12</v>
      </c>
      <c r="I30">
        <v>23</v>
      </c>
      <c r="J30">
        <v>4</v>
      </c>
      <c r="K30">
        <v>13</v>
      </c>
      <c r="L30">
        <v>124</v>
      </c>
    </row>
    <row r="31" spans="1:12" x14ac:dyDescent="0.2">
      <c r="A31" s="235" t="s">
        <v>47</v>
      </c>
      <c r="B31">
        <v>22870</v>
      </c>
      <c r="D31">
        <v>6</v>
      </c>
      <c r="F31">
        <v>2</v>
      </c>
      <c r="H31">
        <v>3</v>
      </c>
      <c r="I31">
        <v>1</v>
      </c>
      <c r="K31">
        <v>3</v>
      </c>
      <c r="L31">
        <v>15</v>
      </c>
    </row>
    <row r="32" spans="1:12" x14ac:dyDescent="0.2">
      <c r="A32" s="235" t="s">
        <v>48</v>
      </c>
      <c r="B32">
        <v>112140</v>
      </c>
      <c r="C32">
        <v>2</v>
      </c>
      <c r="D32">
        <v>102</v>
      </c>
      <c r="E32">
        <v>2</v>
      </c>
      <c r="F32">
        <v>4</v>
      </c>
      <c r="G32">
        <v>1</v>
      </c>
      <c r="H32">
        <v>66</v>
      </c>
      <c r="I32">
        <v>74</v>
      </c>
      <c r="J32">
        <v>2</v>
      </c>
      <c r="K32">
        <v>51</v>
      </c>
      <c r="L32">
        <v>304</v>
      </c>
    </row>
    <row r="33" spans="1:12" x14ac:dyDescent="0.2">
      <c r="A33" s="235" t="s">
        <v>49</v>
      </c>
      <c r="B33">
        <v>320820</v>
      </c>
      <c r="C33">
        <v>5</v>
      </c>
      <c r="D33">
        <v>349</v>
      </c>
      <c r="E33">
        <v>8</v>
      </c>
      <c r="F33">
        <v>7</v>
      </c>
      <c r="G33">
        <v>4</v>
      </c>
      <c r="H33">
        <v>97</v>
      </c>
      <c r="I33">
        <v>171</v>
      </c>
      <c r="J33">
        <v>26</v>
      </c>
      <c r="K33">
        <v>351</v>
      </c>
      <c r="L33">
        <v>1018</v>
      </c>
    </row>
    <row r="34" spans="1:12" x14ac:dyDescent="0.2">
      <c r="A34" s="235" t="s">
        <v>50</v>
      </c>
      <c r="B34">
        <v>94080</v>
      </c>
      <c r="C34">
        <v>2</v>
      </c>
      <c r="D34">
        <v>89</v>
      </c>
      <c r="F34">
        <v>8</v>
      </c>
      <c r="G34">
        <v>1</v>
      </c>
      <c r="H34">
        <v>19</v>
      </c>
      <c r="I34">
        <v>46</v>
      </c>
      <c r="J34">
        <v>4</v>
      </c>
      <c r="K34">
        <v>27</v>
      </c>
      <c r="L34">
        <v>196</v>
      </c>
    </row>
    <row r="35" spans="1:12" x14ac:dyDescent="0.2">
      <c r="A35" s="235" t="s">
        <v>51</v>
      </c>
      <c r="B35">
        <v>88340</v>
      </c>
      <c r="C35">
        <v>12</v>
      </c>
      <c r="D35">
        <v>119</v>
      </c>
      <c r="E35">
        <v>3</v>
      </c>
      <c r="F35">
        <v>6</v>
      </c>
      <c r="H35">
        <v>54</v>
      </c>
      <c r="I35">
        <v>121</v>
      </c>
      <c r="J35">
        <v>7</v>
      </c>
      <c r="K35">
        <v>86</v>
      </c>
      <c r="L35">
        <v>408</v>
      </c>
    </row>
    <row r="36" spans="1:12" x14ac:dyDescent="0.2">
      <c r="A36" s="235" t="s">
        <v>52</v>
      </c>
      <c r="B36">
        <v>183820</v>
      </c>
      <c r="C36">
        <v>11</v>
      </c>
      <c r="D36">
        <v>283</v>
      </c>
      <c r="E36">
        <v>3</v>
      </c>
      <c r="F36">
        <v>15</v>
      </c>
      <c r="G36">
        <v>6</v>
      </c>
      <c r="H36">
        <v>82</v>
      </c>
      <c r="I36">
        <v>164</v>
      </c>
      <c r="J36">
        <v>22</v>
      </c>
      <c r="K36">
        <v>106</v>
      </c>
      <c r="L36">
        <v>692</v>
      </c>
    </row>
    <row r="37" spans="1:12" x14ac:dyDescent="0.2">
      <c r="A37" s="235" t="s">
        <v>333</v>
      </c>
      <c r="B37">
        <v>5466000</v>
      </c>
      <c r="C37">
        <v>185</v>
      </c>
      <c r="D37">
        <v>5027</v>
      </c>
      <c r="E37">
        <v>95</v>
      </c>
      <c r="F37">
        <v>351</v>
      </c>
      <c r="G37">
        <v>101</v>
      </c>
      <c r="H37">
        <v>1941</v>
      </c>
      <c r="I37">
        <v>3382</v>
      </c>
      <c r="J37">
        <v>441</v>
      </c>
      <c r="K37">
        <v>3607</v>
      </c>
      <c r="L37">
        <v>15130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sheetPr>
  <dimension ref="A1:P16"/>
  <sheetViews>
    <sheetView workbookViewId="0">
      <selection activeCell="G23" sqref="G23"/>
    </sheetView>
  </sheetViews>
  <sheetFormatPr defaultRowHeight="12.75" x14ac:dyDescent="0.2"/>
  <cols>
    <col min="1" max="1" width="15.5703125" bestFit="1" customWidth="1"/>
    <col min="2" max="2" width="15.85546875" bestFit="1" customWidth="1"/>
    <col min="3" max="3" width="16.42578125" bestFit="1" customWidth="1"/>
    <col min="4" max="4" width="22.85546875" bestFit="1" customWidth="1"/>
    <col min="5" max="5" width="20.42578125" bestFit="1" customWidth="1"/>
    <col min="6" max="6" width="15.140625" bestFit="1" customWidth="1"/>
    <col min="7" max="7" width="10" bestFit="1" customWidth="1"/>
    <col min="8" max="8" width="14.7109375" bestFit="1" customWidth="1"/>
    <col min="9" max="9" width="11.140625" bestFit="1" customWidth="1"/>
    <col min="10" max="10" width="16.42578125" bestFit="1" customWidth="1"/>
    <col min="11" max="11" width="22.85546875" bestFit="1" customWidth="1"/>
    <col min="12" max="12" width="20.42578125" bestFit="1" customWidth="1"/>
    <col min="13" max="13" width="15.140625" bestFit="1" customWidth="1"/>
    <col min="14" max="14" width="10" bestFit="1" customWidth="1"/>
    <col min="15" max="15" width="14.42578125" bestFit="1" customWidth="1"/>
    <col min="16" max="16" width="11.140625" bestFit="1" customWidth="1"/>
    <col min="17" max="17" width="12.7109375" customWidth="1"/>
    <col min="18" max="18" width="10.42578125" customWidth="1"/>
    <col min="19" max="19" width="16" customWidth="1"/>
    <col min="20" max="20" width="11.7109375" customWidth="1"/>
    <col min="21" max="23" width="3" customWidth="1"/>
    <col min="24" max="24" width="4" customWidth="1"/>
    <col min="25" max="27" width="3" customWidth="1"/>
    <col min="28" max="30" width="4" customWidth="1"/>
    <col min="31" max="35" width="3" customWidth="1"/>
    <col min="36" max="37" width="4" customWidth="1"/>
    <col min="38" max="42" width="3" customWidth="1"/>
    <col min="43" max="43" width="4" customWidth="1"/>
    <col min="44" max="46" width="3" customWidth="1"/>
    <col min="47" max="50" width="4" customWidth="1"/>
    <col min="51" max="51" width="3" customWidth="1"/>
    <col min="52" max="52" width="4" customWidth="1"/>
    <col min="53" max="55" width="3" customWidth="1"/>
    <col min="56" max="57" width="4" customWidth="1"/>
    <col min="58" max="60" width="3" customWidth="1"/>
    <col min="61" max="61" width="4" customWidth="1"/>
    <col min="62" max="70" width="3" customWidth="1"/>
    <col min="71" max="92" width="4" customWidth="1"/>
    <col min="93" max="93" width="14.28515625" bestFit="1" customWidth="1"/>
    <col min="94" max="94" width="20" bestFit="1" customWidth="1"/>
    <col min="95" max="99" width="3" customWidth="1"/>
    <col min="100" max="100" width="4" customWidth="1"/>
    <col min="101" max="101" width="3" customWidth="1"/>
    <col min="102" max="106" width="4" customWidth="1"/>
    <col min="107" max="107" width="3" customWidth="1"/>
    <col min="108" max="110" width="4" customWidth="1"/>
    <col min="111" max="112" width="3" customWidth="1"/>
    <col min="113" max="113" width="4" customWidth="1"/>
    <col min="114" max="114" width="3" customWidth="1"/>
    <col min="115" max="115" width="4" customWidth="1"/>
    <col min="116" max="123" width="3" customWidth="1"/>
    <col min="124" max="127" width="4" customWidth="1"/>
    <col min="128" max="132" width="3" customWidth="1"/>
    <col min="133" max="133" width="4" customWidth="1"/>
    <col min="134" max="134" width="3" customWidth="1"/>
    <col min="135" max="135" width="4" customWidth="1"/>
    <col min="136" max="136" width="3" customWidth="1"/>
    <col min="137" max="137" width="4" customWidth="1"/>
    <col min="138" max="139" width="3" customWidth="1"/>
    <col min="140" max="146" width="4" customWidth="1"/>
    <col min="147" max="148" width="3" customWidth="1"/>
    <col min="149" max="159" width="4" customWidth="1"/>
    <col min="160" max="160" width="3" customWidth="1"/>
    <col min="161" max="161" width="4" customWidth="1"/>
    <col min="162" max="162" width="3" customWidth="1"/>
    <col min="163" max="172" width="4" customWidth="1"/>
    <col min="173" max="173" width="3" customWidth="1"/>
    <col min="174" max="177" width="4" customWidth="1"/>
    <col min="178" max="178" width="3" customWidth="1"/>
    <col min="179" max="181" width="4" customWidth="1"/>
    <col min="182" max="182" width="3" customWidth="1"/>
    <col min="183" max="184" width="4" customWidth="1"/>
    <col min="185" max="186" width="3" customWidth="1"/>
    <col min="187" max="310" width="4" customWidth="1"/>
    <col min="311" max="311" width="5" customWidth="1"/>
    <col min="312" max="312" width="23.28515625" bestFit="1" customWidth="1"/>
    <col min="313" max="313" width="26.140625" bestFit="1" customWidth="1"/>
    <col min="314" max="319" width="3" customWidth="1"/>
    <col min="320" max="356" width="4" customWidth="1"/>
    <col min="357" max="357" width="3" customWidth="1"/>
    <col min="358" max="359" width="4" customWidth="1"/>
    <col min="360" max="361" width="3" customWidth="1"/>
    <col min="362" max="371" width="4" customWidth="1"/>
    <col min="372" max="372" width="3" customWidth="1"/>
    <col min="373" max="374" width="4" customWidth="1"/>
    <col min="375" max="375" width="3" customWidth="1"/>
    <col min="376" max="379" width="4" customWidth="1"/>
    <col min="380" max="380" width="3" customWidth="1"/>
    <col min="381" max="381" width="4" customWidth="1"/>
    <col min="382" max="383" width="3" customWidth="1"/>
    <col min="384" max="388" width="4" customWidth="1"/>
    <col min="389" max="389" width="3" customWidth="1"/>
    <col min="390" max="396" width="4" customWidth="1"/>
    <col min="397" max="398" width="3" customWidth="1"/>
    <col min="399" max="402" width="4" customWidth="1"/>
    <col min="403" max="403" width="3" customWidth="1"/>
    <col min="404" max="440" width="4" customWidth="1"/>
    <col min="441" max="441" width="29.42578125" bestFit="1" customWidth="1"/>
    <col min="442" max="442" width="24.28515625" bestFit="1" customWidth="1"/>
    <col min="443" max="443" width="2" customWidth="1"/>
    <col min="444" max="447" width="3" customWidth="1"/>
    <col min="448" max="452" width="4" customWidth="1"/>
    <col min="453" max="453" width="3" customWidth="1"/>
    <col min="454" max="472" width="4" customWidth="1"/>
    <col min="473" max="473" width="3" customWidth="1"/>
    <col min="474" max="477" width="4" customWidth="1"/>
    <col min="478" max="479" width="3" customWidth="1"/>
    <col min="480" max="484" width="4" customWidth="1"/>
    <col min="485" max="485" width="3" customWidth="1"/>
    <col min="486" max="488" width="4" customWidth="1"/>
    <col min="489" max="490" width="3" customWidth="1"/>
    <col min="491" max="493" width="4" customWidth="1"/>
    <col min="494" max="496" width="3" customWidth="1"/>
    <col min="497" max="500" width="4" customWidth="1"/>
    <col min="501" max="501" width="3" customWidth="1"/>
    <col min="502" max="509" width="4" customWidth="1"/>
    <col min="510" max="510" width="3" customWidth="1"/>
    <col min="511" max="516" width="4" customWidth="1"/>
    <col min="517" max="517" width="3" customWidth="1"/>
    <col min="518" max="519" width="4" customWidth="1"/>
    <col min="520" max="520" width="3" customWidth="1"/>
    <col min="521" max="521" width="4" customWidth="1"/>
    <col min="522" max="522" width="3" customWidth="1"/>
    <col min="523" max="523" width="4" customWidth="1"/>
    <col min="524" max="525" width="3" customWidth="1"/>
    <col min="526" max="527" width="4" customWidth="1"/>
    <col min="528" max="528" width="3" customWidth="1"/>
    <col min="529" max="559" width="4" customWidth="1"/>
    <col min="560" max="560" width="27.5703125" bestFit="1" customWidth="1"/>
    <col min="561" max="561" width="17.7109375" bestFit="1" customWidth="1"/>
    <col min="562" max="563" width="3" customWidth="1"/>
    <col min="564" max="585" width="4" customWidth="1"/>
    <col min="586" max="586" width="3" customWidth="1"/>
    <col min="587" max="591" width="4" customWidth="1"/>
    <col min="592" max="592" width="3" customWidth="1"/>
    <col min="593" max="593" width="4" customWidth="1"/>
    <col min="594" max="594" width="3" customWidth="1"/>
    <col min="595" max="598" width="4" customWidth="1"/>
    <col min="599" max="603" width="3" customWidth="1"/>
    <col min="604" max="604" width="4" customWidth="1"/>
    <col min="605" max="608" width="3" customWidth="1"/>
    <col min="609" max="609" width="4" customWidth="1"/>
    <col min="610" max="610" width="3" customWidth="1"/>
    <col min="611" max="613" width="4" customWidth="1"/>
    <col min="614" max="615" width="3" customWidth="1"/>
    <col min="616" max="616" width="4" customWidth="1"/>
    <col min="617" max="617" width="3" customWidth="1"/>
    <col min="618" max="618" width="4" customWidth="1"/>
    <col min="619" max="619" width="3" customWidth="1"/>
    <col min="620" max="622" width="4" customWidth="1"/>
    <col min="623" max="626" width="3" customWidth="1"/>
    <col min="627" max="629" width="4" customWidth="1"/>
    <col min="630" max="630" width="3" customWidth="1"/>
    <col min="631" max="635" width="4" customWidth="1"/>
    <col min="636" max="636" width="21" bestFit="1" customWidth="1"/>
    <col min="637" max="637" width="12.7109375" bestFit="1" customWidth="1"/>
    <col min="638" max="648" width="3" customWidth="1"/>
    <col min="649" max="649" width="4" customWidth="1"/>
    <col min="650" max="662" width="3" customWidth="1"/>
    <col min="663" max="667" width="4" customWidth="1"/>
    <col min="668" max="668" width="3" customWidth="1"/>
    <col min="669" max="670" width="4" customWidth="1"/>
    <col min="671" max="671" width="3" customWidth="1"/>
    <col min="672" max="678" width="4" customWidth="1"/>
    <col min="679" max="679" width="3" customWidth="1"/>
    <col min="680" max="686" width="4" customWidth="1"/>
    <col min="687" max="687" width="3" customWidth="1"/>
    <col min="688" max="688" width="4" customWidth="1"/>
    <col min="689" max="689" width="3" customWidth="1"/>
    <col min="690" max="696" width="4" customWidth="1"/>
    <col min="697" max="697" width="3" customWidth="1"/>
    <col min="698" max="699" width="4" customWidth="1"/>
    <col min="700" max="700" width="3" customWidth="1"/>
    <col min="701" max="704" width="4" customWidth="1"/>
    <col min="705" max="706" width="3" customWidth="1"/>
    <col min="707" max="714" width="4" customWidth="1"/>
    <col min="715" max="715" width="3" customWidth="1"/>
    <col min="716" max="719" width="4" customWidth="1"/>
    <col min="720" max="720" width="3" customWidth="1"/>
    <col min="721" max="728" width="4" customWidth="1"/>
    <col min="729" max="729" width="3" customWidth="1"/>
    <col min="730" max="730" width="4" customWidth="1"/>
    <col min="731" max="731" width="3" customWidth="1"/>
    <col min="732" max="841" width="4" customWidth="1"/>
    <col min="842" max="842" width="5" customWidth="1"/>
    <col min="843" max="875" width="4" customWidth="1"/>
    <col min="876" max="876" width="5" customWidth="1"/>
    <col min="877" max="893" width="4" customWidth="1"/>
    <col min="894" max="894" width="5" customWidth="1"/>
    <col min="895" max="899" width="4" customWidth="1"/>
    <col min="900" max="900" width="5" customWidth="1"/>
    <col min="901" max="922" width="4" customWidth="1"/>
    <col min="923" max="923" width="5" customWidth="1"/>
    <col min="924" max="939" width="4" customWidth="1"/>
    <col min="940" max="974" width="5" customWidth="1"/>
    <col min="975" max="975" width="16" bestFit="1" customWidth="1"/>
    <col min="976" max="976" width="11.7109375" bestFit="1" customWidth="1"/>
  </cols>
  <sheetData>
    <row r="1" spans="1:16" x14ac:dyDescent="0.2">
      <c r="A1" s="234" t="s">
        <v>827</v>
      </c>
      <c r="B1" s="234" t="s">
        <v>336</v>
      </c>
    </row>
    <row r="2" spans="1:16" x14ac:dyDescent="0.2">
      <c r="B2" t="s">
        <v>61</v>
      </c>
      <c r="H2" t="s">
        <v>821</v>
      </c>
      <c r="I2" t="s">
        <v>116</v>
      </c>
      <c r="O2" t="s">
        <v>822</v>
      </c>
      <c r="P2" t="s">
        <v>333</v>
      </c>
    </row>
    <row r="3" spans="1:16" x14ac:dyDescent="0.2">
      <c r="A3" s="234" t="s">
        <v>326</v>
      </c>
      <c r="B3" t="s">
        <v>309</v>
      </c>
      <c r="C3" t="s">
        <v>823</v>
      </c>
      <c r="D3" t="s">
        <v>824</v>
      </c>
      <c r="E3" t="s">
        <v>825</v>
      </c>
      <c r="F3" t="s">
        <v>826</v>
      </c>
      <c r="G3" t="s">
        <v>308</v>
      </c>
      <c r="I3" t="s">
        <v>309</v>
      </c>
      <c r="J3" t="s">
        <v>823</v>
      </c>
      <c r="K3" t="s">
        <v>824</v>
      </c>
      <c r="L3" t="s">
        <v>825</v>
      </c>
      <c r="M3" t="s">
        <v>826</v>
      </c>
      <c r="N3" t="s">
        <v>308</v>
      </c>
    </row>
    <row r="4" spans="1:16" x14ac:dyDescent="0.2">
      <c r="A4" s="235" t="s">
        <v>19</v>
      </c>
      <c r="B4">
        <v>1739</v>
      </c>
      <c r="C4">
        <v>5367</v>
      </c>
      <c r="D4">
        <v>2031</v>
      </c>
      <c r="E4">
        <v>1507</v>
      </c>
      <c r="F4">
        <v>472</v>
      </c>
      <c r="G4">
        <v>4718</v>
      </c>
      <c r="H4">
        <v>15834</v>
      </c>
      <c r="I4">
        <v>1</v>
      </c>
      <c r="J4">
        <v>1193</v>
      </c>
      <c r="K4">
        <v>973</v>
      </c>
      <c r="L4">
        <v>1478</v>
      </c>
      <c r="M4">
        <v>971</v>
      </c>
      <c r="N4">
        <v>18287</v>
      </c>
      <c r="O4">
        <v>22903</v>
      </c>
      <c r="P4">
        <v>38737</v>
      </c>
    </row>
    <row r="5" spans="1:16" x14ac:dyDescent="0.2">
      <c r="A5" s="235" t="s">
        <v>20</v>
      </c>
      <c r="B5">
        <v>1570</v>
      </c>
      <c r="C5">
        <v>5209</v>
      </c>
      <c r="D5">
        <v>1980</v>
      </c>
      <c r="E5">
        <v>1433</v>
      </c>
      <c r="F5">
        <v>438</v>
      </c>
      <c r="G5">
        <v>2615</v>
      </c>
      <c r="H5">
        <v>13245</v>
      </c>
      <c r="I5">
        <v>4</v>
      </c>
      <c r="J5">
        <v>1084</v>
      </c>
      <c r="K5">
        <v>815</v>
      </c>
      <c r="L5">
        <v>1251</v>
      </c>
      <c r="M5">
        <v>934</v>
      </c>
      <c r="N5">
        <v>21602</v>
      </c>
      <c r="O5">
        <v>25690</v>
      </c>
      <c r="P5">
        <v>38935</v>
      </c>
    </row>
    <row r="6" spans="1:16" x14ac:dyDescent="0.2">
      <c r="A6" s="235" t="s">
        <v>13</v>
      </c>
      <c r="B6">
        <v>1243</v>
      </c>
      <c r="C6">
        <v>5117</v>
      </c>
      <c r="D6">
        <v>1854</v>
      </c>
      <c r="E6">
        <v>1247</v>
      </c>
      <c r="F6">
        <v>413</v>
      </c>
      <c r="G6">
        <v>2485</v>
      </c>
      <c r="H6">
        <v>12359</v>
      </c>
      <c r="I6">
        <v>2</v>
      </c>
      <c r="J6">
        <v>1040</v>
      </c>
      <c r="K6">
        <v>863</v>
      </c>
      <c r="L6">
        <v>1115</v>
      </c>
      <c r="M6">
        <v>762</v>
      </c>
      <c r="N6">
        <v>16198</v>
      </c>
      <c r="O6">
        <v>19980</v>
      </c>
      <c r="P6">
        <v>32339</v>
      </c>
    </row>
    <row r="7" spans="1:16" x14ac:dyDescent="0.2">
      <c r="A7" s="235" t="s">
        <v>15</v>
      </c>
      <c r="B7">
        <v>1381</v>
      </c>
      <c r="C7">
        <v>4997</v>
      </c>
      <c r="D7">
        <v>1719</v>
      </c>
      <c r="E7">
        <v>1220</v>
      </c>
      <c r="F7">
        <v>317</v>
      </c>
      <c r="G7">
        <v>2021</v>
      </c>
      <c r="H7">
        <v>11655</v>
      </c>
      <c r="J7">
        <v>832</v>
      </c>
      <c r="K7">
        <v>689</v>
      </c>
      <c r="L7">
        <v>814</v>
      </c>
      <c r="M7">
        <v>498</v>
      </c>
      <c r="N7">
        <v>12252</v>
      </c>
      <c r="O7">
        <v>15085</v>
      </c>
      <c r="P7">
        <v>26740</v>
      </c>
    </row>
    <row r="8" spans="1:16" x14ac:dyDescent="0.2">
      <c r="A8" s="235" t="s">
        <v>17</v>
      </c>
      <c r="B8">
        <v>1105</v>
      </c>
      <c r="C8">
        <v>4673</v>
      </c>
      <c r="D8">
        <v>1711</v>
      </c>
      <c r="E8">
        <v>1169</v>
      </c>
      <c r="F8">
        <v>388</v>
      </c>
      <c r="G8">
        <v>2914</v>
      </c>
      <c r="H8">
        <v>11960</v>
      </c>
      <c r="I8">
        <v>2</v>
      </c>
      <c r="J8">
        <v>650</v>
      </c>
      <c r="K8">
        <v>635</v>
      </c>
      <c r="L8">
        <v>769</v>
      </c>
      <c r="M8">
        <v>526</v>
      </c>
      <c r="N8">
        <v>13447</v>
      </c>
      <c r="O8">
        <v>16029</v>
      </c>
      <c r="P8">
        <v>27989</v>
      </c>
    </row>
    <row r="9" spans="1:16" x14ac:dyDescent="0.2">
      <c r="A9" s="235" t="s">
        <v>133</v>
      </c>
      <c r="B9">
        <v>983</v>
      </c>
      <c r="C9">
        <v>4953</v>
      </c>
      <c r="D9">
        <v>1759</v>
      </c>
      <c r="E9">
        <v>1148</v>
      </c>
      <c r="F9">
        <v>360</v>
      </c>
      <c r="G9">
        <v>2239</v>
      </c>
      <c r="H9">
        <v>11442</v>
      </c>
      <c r="I9">
        <v>2</v>
      </c>
      <c r="J9">
        <v>621</v>
      </c>
      <c r="K9">
        <v>565</v>
      </c>
      <c r="L9">
        <v>749</v>
      </c>
      <c r="M9">
        <v>478</v>
      </c>
      <c r="N9">
        <v>11167</v>
      </c>
      <c r="O9">
        <v>13582</v>
      </c>
      <c r="P9">
        <v>25024</v>
      </c>
    </row>
    <row r="10" spans="1:16" x14ac:dyDescent="0.2">
      <c r="A10" s="235" t="s">
        <v>144</v>
      </c>
      <c r="B10">
        <v>885</v>
      </c>
      <c r="C10">
        <v>5068</v>
      </c>
      <c r="D10">
        <v>1850</v>
      </c>
      <c r="E10">
        <v>1165</v>
      </c>
      <c r="F10">
        <v>336</v>
      </c>
      <c r="G10">
        <v>2454</v>
      </c>
      <c r="H10">
        <v>11758</v>
      </c>
      <c r="I10">
        <v>5</v>
      </c>
      <c r="J10">
        <v>605</v>
      </c>
      <c r="K10">
        <v>644</v>
      </c>
      <c r="L10">
        <v>800</v>
      </c>
      <c r="M10">
        <v>538</v>
      </c>
      <c r="N10">
        <v>12278</v>
      </c>
      <c r="O10">
        <v>14870</v>
      </c>
      <c r="P10">
        <v>26628</v>
      </c>
    </row>
    <row r="11" spans="1:16" x14ac:dyDescent="0.2">
      <c r="A11" s="235" t="s">
        <v>282</v>
      </c>
      <c r="B11">
        <v>747</v>
      </c>
      <c r="C11">
        <v>4922</v>
      </c>
      <c r="D11">
        <v>1720</v>
      </c>
      <c r="E11">
        <v>1211</v>
      </c>
      <c r="F11">
        <v>346</v>
      </c>
      <c r="G11">
        <v>2467</v>
      </c>
      <c r="H11">
        <v>11413</v>
      </c>
      <c r="I11">
        <v>3</v>
      </c>
      <c r="J11">
        <v>618</v>
      </c>
      <c r="K11">
        <v>557</v>
      </c>
      <c r="L11">
        <v>909</v>
      </c>
      <c r="M11">
        <v>611</v>
      </c>
      <c r="N11">
        <v>13193</v>
      </c>
      <c r="O11">
        <v>15891</v>
      </c>
      <c r="P11">
        <v>27304</v>
      </c>
    </row>
    <row r="12" spans="1:16" x14ac:dyDescent="0.2">
      <c r="A12" s="235" t="s">
        <v>311</v>
      </c>
      <c r="B12">
        <v>771</v>
      </c>
      <c r="C12">
        <v>4751</v>
      </c>
      <c r="D12">
        <v>1639</v>
      </c>
      <c r="E12">
        <v>1153</v>
      </c>
      <c r="F12">
        <v>398</v>
      </c>
      <c r="G12">
        <v>2612</v>
      </c>
      <c r="H12">
        <v>11324</v>
      </c>
      <c r="I12">
        <v>3</v>
      </c>
      <c r="J12">
        <v>560</v>
      </c>
      <c r="K12">
        <v>648</v>
      </c>
      <c r="L12">
        <v>863</v>
      </c>
      <c r="M12">
        <v>660</v>
      </c>
      <c r="N12">
        <v>12116</v>
      </c>
      <c r="O12">
        <v>14850</v>
      </c>
      <c r="P12">
        <v>26174</v>
      </c>
    </row>
    <row r="13" spans="1:16" x14ac:dyDescent="0.2">
      <c r="A13" s="235" t="s">
        <v>621</v>
      </c>
      <c r="B13">
        <v>642</v>
      </c>
      <c r="C13">
        <v>4635</v>
      </c>
      <c r="D13">
        <v>1703</v>
      </c>
      <c r="E13">
        <v>1165</v>
      </c>
      <c r="F13">
        <v>466</v>
      </c>
      <c r="G13">
        <v>3212</v>
      </c>
      <c r="H13">
        <v>11823</v>
      </c>
      <c r="I13">
        <v>2</v>
      </c>
      <c r="J13">
        <v>510</v>
      </c>
      <c r="K13">
        <v>549</v>
      </c>
      <c r="L13">
        <v>787</v>
      </c>
      <c r="M13">
        <v>658</v>
      </c>
      <c r="N13">
        <v>12485</v>
      </c>
      <c r="O13">
        <v>14991</v>
      </c>
      <c r="P13">
        <v>26814</v>
      </c>
    </row>
    <row r="14" spans="1:16" x14ac:dyDescent="0.2">
      <c r="A14" s="235" t="s">
        <v>1419</v>
      </c>
      <c r="B14">
        <v>554</v>
      </c>
      <c r="C14">
        <v>4365</v>
      </c>
      <c r="D14">
        <v>1506</v>
      </c>
      <c r="E14">
        <v>1207</v>
      </c>
      <c r="F14">
        <v>331</v>
      </c>
      <c r="G14">
        <v>2438</v>
      </c>
      <c r="H14">
        <v>10401</v>
      </c>
      <c r="I14">
        <v>2</v>
      </c>
      <c r="J14">
        <v>525</v>
      </c>
      <c r="K14">
        <v>474</v>
      </c>
      <c r="L14">
        <v>892</v>
      </c>
      <c r="M14">
        <v>552</v>
      </c>
      <c r="N14">
        <v>11652</v>
      </c>
      <c r="O14">
        <v>14097</v>
      </c>
      <c r="P14">
        <v>24498</v>
      </c>
    </row>
    <row r="15" spans="1:16" x14ac:dyDescent="0.2">
      <c r="A15" s="235" t="s">
        <v>1572</v>
      </c>
      <c r="B15">
        <v>600</v>
      </c>
      <c r="C15">
        <v>4141</v>
      </c>
      <c r="D15">
        <v>1335</v>
      </c>
      <c r="E15">
        <v>1055</v>
      </c>
      <c r="F15">
        <v>480</v>
      </c>
      <c r="G15">
        <v>3073</v>
      </c>
      <c r="H15">
        <v>10684</v>
      </c>
      <c r="I15">
        <v>1</v>
      </c>
      <c r="J15">
        <v>520</v>
      </c>
      <c r="K15">
        <v>383</v>
      </c>
      <c r="L15">
        <v>761</v>
      </c>
      <c r="M15">
        <v>741</v>
      </c>
      <c r="N15">
        <v>12057</v>
      </c>
      <c r="O15">
        <v>14463</v>
      </c>
      <c r="P15">
        <v>25147</v>
      </c>
    </row>
    <row r="16" spans="1:16" x14ac:dyDescent="0.2">
      <c r="A16" s="235" t="s">
        <v>333</v>
      </c>
      <c r="B16">
        <v>12220</v>
      </c>
      <c r="C16">
        <v>58198</v>
      </c>
      <c r="D16">
        <v>20807</v>
      </c>
      <c r="E16">
        <v>14680</v>
      </c>
      <c r="F16">
        <v>4745</v>
      </c>
      <c r="G16">
        <v>33248</v>
      </c>
      <c r="H16">
        <v>143898</v>
      </c>
      <c r="I16">
        <v>27</v>
      </c>
      <c r="J16">
        <v>8758</v>
      </c>
      <c r="K16">
        <v>7795</v>
      </c>
      <c r="L16">
        <v>11188</v>
      </c>
      <c r="M16">
        <v>7929</v>
      </c>
      <c r="N16">
        <v>166734</v>
      </c>
      <c r="O16">
        <v>202431</v>
      </c>
      <c r="P16">
        <v>346329</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P79"/>
  <sheetViews>
    <sheetView workbookViewId="0">
      <selection activeCell="G23" sqref="G23"/>
    </sheetView>
  </sheetViews>
  <sheetFormatPr defaultRowHeight="12.75" x14ac:dyDescent="0.2"/>
  <cols>
    <col min="1" max="1" width="19.5703125" bestFit="1" customWidth="1"/>
    <col min="2" max="2" width="15.85546875" bestFit="1" customWidth="1"/>
    <col min="3" max="3" width="16.42578125" bestFit="1" customWidth="1"/>
    <col min="4" max="4" width="22.85546875" bestFit="1" customWidth="1"/>
    <col min="5" max="5" width="20.42578125" bestFit="1" customWidth="1"/>
    <col min="6" max="6" width="15.140625" bestFit="1" customWidth="1"/>
    <col min="7" max="7" width="10" bestFit="1" customWidth="1"/>
    <col min="8" max="8" width="14.7109375" bestFit="1" customWidth="1"/>
    <col min="9" max="9" width="11.140625" bestFit="1" customWidth="1"/>
    <col min="10" max="10" width="16.42578125" bestFit="1" customWidth="1"/>
    <col min="11" max="11" width="22.85546875" bestFit="1" customWidth="1"/>
    <col min="12" max="12" width="20.42578125" bestFit="1" customWidth="1"/>
    <col min="13" max="13" width="15.140625" bestFit="1" customWidth="1"/>
    <col min="14" max="14" width="10" bestFit="1" customWidth="1"/>
    <col min="15" max="15" width="14.42578125" bestFit="1" customWidth="1"/>
    <col min="16" max="16" width="11.140625" bestFit="1" customWidth="1"/>
    <col min="17" max="17" width="15" bestFit="1" customWidth="1"/>
    <col min="18" max="18" width="18" bestFit="1" customWidth="1"/>
    <col min="19" max="19" width="15" bestFit="1" customWidth="1"/>
    <col min="20" max="20" width="24.140625" bestFit="1" customWidth="1"/>
    <col min="21" max="21" width="15" bestFit="1" customWidth="1"/>
    <col min="22" max="22" width="22.28515625" bestFit="1" customWidth="1"/>
    <col min="23" max="23" width="15" bestFit="1" customWidth="1"/>
    <col min="24" max="24" width="16.28515625" bestFit="1" customWidth="1"/>
    <col min="25" max="25" width="15" bestFit="1" customWidth="1"/>
    <col min="26" max="26" width="16.28515625" bestFit="1" customWidth="1"/>
    <col min="27" max="27" width="15" bestFit="1" customWidth="1"/>
    <col min="28" max="28" width="26.7109375" bestFit="1" customWidth="1"/>
    <col min="29" max="29" width="25.28515625" bestFit="1" customWidth="1"/>
    <col min="30" max="30" width="21.7109375" bestFit="1" customWidth="1"/>
    <col min="31" max="31" width="20.28515625" bestFit="1" customWidth="1"/>
    <col min="32" max="32" width="7" bestFit="1" customWidth="1"/>
    <col min="33" max="33" width="14.28515625" bestFit="1" customWidth="1"/>
    <col min="34" max="34" width="20" bestFit="1" customWidth="1"/>
    <col min="35" max="44" width="6" bestFit="1" customWidth="1"/>
    <col min="45" max="65" width="7" bestFit="1" customWidth="1"/>
    <col min="66" max="66" width="23.28515625" bestFit="1" customWidth="1"/>
    <col min="67" max="67" width="26.140625" bestFit="1" customWidth="1"/>
    <col min="68" max="77" width="6" bestFit="1" customWidth="1"/>
    <col min="78" max="98" width="7" bestFit="1" customWidth="1"/>
    <col min="99" max="99" width="29.42578125" bestFit="1" customWidth="1"/>
    <col min="100" max="100" width="24.28515625" bestFit="1" customWidth="1"/>
    <col min="101" max="110" width="6" bestFit="1" customWidth="1"/>
    <col min="111" max="131" width="7" bestFit="1" customWidth="1"/>
    <col min="132" max="132" width="27.5703125" bestFit="1" customWidth="1"/>
    <col min="133" max="133" width="17.7109375" bestFit="1" customWidth="1"/>
    <col min="134" max="143" width="6" bestFit="1" customWidth="1"/>
    <col min="144" max="164" width="7" bestFit="1" customWidth="1"/>
    <col min="165" max="165" width="21" bestFit="1" customWidth="1"/>
    <col min="166" max="166" width="12.7109375" bestFit="1" customWidth="1"/>
    <col min="167" max="176" width="6" bestFit="1" customWidth="1"/>
    <col min="177" max="197" width="7" bestFit="1" customWidth="1"/>
    <col min="198" max="198" width="16" bestFit="1" customWidth="1"/>
    <col min="199" max="199" width="15.85546875" bestFit="1" customWidth="1"/>
    <col min="200" max="200" width="12.42578125" bestFit="1" customWidth="1"/>
    <col min="201" max="201" width="7" bestFit="1" customWidth="1"/>
    <col min="202" max="202" width="14.28515625" bestFit="1" customWidth="1"/>
    <col min="203" max="203" width="20" bestFit="1" customWidth="1"/>
    <col min="204" max="210" width="6" bestFit="1" customWidth="1"/>
    <col min="211" max="231" width="7" bestFit="1" customWidth="1"/>
    <col min="232" max="232" width="23.28515625" bestFit="1" customWidth="1"/>
    <col min="233" max="233" width="26.140625" bestFit="1" customWidth="1"/>
    <col min="234" max="241" width="6" bestFit="1" customWidth="1"/>
    <col min="242" max="262" width="7" bestFit="1" customWidth="1"/>
    <col min="263" max="263" width="29.42578125" bestFit="1" customWidth="1"/>
    <col min="264" max="264" width="24.28515625" bestFit="1" customWidth="1"/>
    <col min="265" max="272" width="6" bestFit="1" customWidth="1"/>
    <col min="273" max="293" width="7" bestFit="1" customWidth="1"/>
    <col min="294" max="294" width="27.5703125" bestFit="1" customWidth="1"/>
    <col min="295" max="295" width="17.7109375" bestFit="1" customWidth="1"/>
    <col min="296" max="302" width="6" bestFit="1" customWidth="1"/>
    <col min="303" max="323" width="7" bestFit="1" customWidth="1"/>
    <col min="324" max="324" width="21" bestFit="1" customWidth="1"/>
    <col min="325" max="325" width="12.7109375" bestFit="1" customWidth="1"/>
    <col min="326" max="335" width="6" bestFit="1" customWidth="1"/>
    <col min="336" max="356" width="7" bestFit="1" customWidth="1"/>
    <col min="357" max="357" width="16" bestFit="1" customWidth="1"/>
    <col min="358" max="358" width="15.7109375" bestFit="1" customWidth="1"/>
    <col min="359" max="359" width="11.7109375" bestFit="1" customWidth="1"/>
  </cols>
  <sheetData>
    <row r="1" spans="1:16" x14ac:dyDescent="0.2">
      <c r="A1" s="234" t="s">
        <v>4</v>
      </c>
      <c r="B1" t="s">
        <v>1572</v>
      </c>
    </row>
    <row r="3" spans="1:16" x14ac:dyDescent="0.2">
      <c r="A3" s="234" t="s">
        <v>827</v>
      </c>
      <c r="B3" s="234" t="s">
        <v>336</v>
      </c>
    </row>
    <row r="4" spans="1:16" x14ac:dyDescent="0.2">
      <c r="B4" t="s">
        <v>61</v>
      </c>
      <c r="H4" t="s">
        <v>821</v>
      </c>
      <c r="I4" t="s">
        <v>116</v>
      </c>
      <c r="O4" t="s">
        <v>822</v>
      </c>
      <c r="P4" t="s">
        <v>333</v>
      </c>
    </row>
    <row r="5" spans="1:16" x14ac:dyDescent="0.2">
      <c r="A5" s="234" t="s">
        <v>326</v>
      </c>
      <c r="B5" t="s">
        <v>309</v>
      </c>
      <c r="C5" t="s">
        <v>823</v>
      </c>
      <c r="D5" t="s">
        <v>824</v>
      </c>
      <c r="E5" t="s">
        <v>825</v>
      </c>
      <c r="F5" t="s">
        <v>826</v>
      </c>
      <c r="G5" t="s">
        <v>308</v>
      </c>
      <c r="I5" t="s">
        <v>309</v>
      </c>
      <c r="J5" t="s">
        <v>823</v>
      </c>
      <c r="K5" t="s">
        <v>824</v>
      </c>
      <c r="L5" t="s">
        <v>825</v>
      </c>
      <c r="M5" t="s">
        <v>826</v>
      </c>
      <c r="N5" t="s">
        <v>308</v>
      </c>
    </row>
    <row r="6" spans="1:16" x14ac:dyDescent="0.2">
      <c r="A6" s="235" t="s">
        <v>23</v>
      </c>
      <c r="B6">
        <v>2</v>
      </c>
      <c r="C6">
        <v>222</v>
      </c>
      <c r="D6">
        <v>74</v>
      </c>
      <c r="E6">
        <v>19</v>
      </c>
      <c r="F6">
        <v>15</v>
      </c>
      <c r="G6">
        <v>82</v>
      </c>
      <c r="H6">
        <v>414</v>
      </c>
      <c r="J6">
        <v>21</v>
      </c>
      <c r="K6">
        <v>16</v>
      </c>
      <c r="L6">
        <v>18</v>
      </c>
      <c r="M6">
        <v>42</v>
      </c>
      <c r="N6">
        <v>246</v>
      </c>
      <c r="O6">
        <v>343</v>
      </c>
      <c r="P6">
        <v>757</v>
      </c>
    </row>
    <row r="7" spans="1:16" x14ac:dyDescent="0.2">
      <c r="A7" s="235" t="s">
        <v>24</v>
      </c>
      <c r="B7">
        <v>45</v>
      </c>
      <c r="C7">
        <v>164</v>
      </c>
      <c r="D7">
        <v>71</v>
      </c>
      <c r="E7">
        <v>60</v>
      </c>
      <c r="F7">
        <v>35</v>
      </c>
      <c r="G7">
        <v>138</v>
      </c>
      <c r="H7">
        <v>513</v>
      </c>
      <c r="J7">
        <v>8</v>
      </c>
      <c r="K7">
        <v>20</v>
      </c>
      <c r="L7">
        <v>12</v>
      </c>
      <c r="M7">
        <v>36</v>
      </c>
      <c r="N7">
        <v>157</v>
      </c>
      <c r="O7">
        <v>233</v>
      </c>
      <c r="P7">
        <v>746</v>
      </c>
    </row>
    <row r="8" spans="1:16" x14ac:dyDescent="0.2">
      <c r="A8" s="235" t="s">
        <v>25</v>
      </c>
      <c r="B8">
        <v>21</v>
      </c>
      <c r="C8">
        <v>74</v>
      </c>
      <c r="D8">
        <v>21</v>
      </c>
      <c r="E8">
        <v>21</v>
      </c>
      <c r="F8">
        <v>14</v>
      </c>
      <c r="G8">
        <v>70</v>
      </c>
      <c r="H8">
        <v>221</v>
      </c>
      <c r="J8">
        <v>6</v>
      </c>
      <c r="K8">
        <v>12</v>
      </c>
      <c r="L8">
        <v>5</v>
      </c>
      <c r="M8">
        <v>19</v>
      </c>
      <c r="N8">
        <v>134</v>
      </c>
      <c r="O8">
        <v>176</v>
      </c>
      <c r="P8">
        <v>397</v>
      </c>
    </row>
    <row r="9" spans="1:16" x14ac:dyDescent="0.2">
      <c r="A9" s="235" t="s">
        <v>26</v>
      </c>
      <c r="B9">
        <v>44</v>
      </c>
      <c r="C9">
        <v>84</v>
      </c>
      <c r="D9">
        <v>30</v>
      </c>
      <c r="E9">
        <v>17</v>
      </c>
      <c r="F9">
        <v>14</v>
      </c>
      <c r="G9">
        <v>68</v>
      </c>
      <c r="H9">
        <v>257</v>
      </c>
      <c r="J9">
        <v>2</v>
      </c>
      <c r="K9">
        <v>2</v>
      </c>
      <c r="L9">
        <v>3</v>
      </c>
      <c r="M9">
        <v>6</v>
      </c>
      <c r="N9">
        <v>65</v>
      </c>
      <c r="O9">
        <v>78</v>
      </c>
      <c r="P9">
        <v>335</v>
      </c>
    </row>
    <row r="10" spans="1:16" x14ac:dyDescent="0.2">
      <c r="A10" s="235" t="s">
        <v>619</v>
      </c>
      <c r="B10">
        <v>13</v>
      </c>
      <c r="C10">
        <v>369</v>
      </c>
      <c r="D10">
        <v>125</v>
      </c>
      <c r="E10">
        <v>63</v>
      </c>
      <c r="F10">
        <v>22</v>
      </c>
      <c r="G10">
        <v>432</v>
      </c>
      <c r="H10">
        <v>1024</v>
      </c>
      <c r="J10">
        <v>53</v>
      </c>
      <c r="K10">
        <v>28</v>
      </c>
      <c r="L10">
        <v>72</v>
      </c>
      <c r="M10">
        <v>84</v>
      </c>
      <c r="N10">
        <v>1034</v>
      </c>
      <c r="O10">
        <v>1271</v>
      </c>
      <c r="P10">
        <v>2295</v>
      </c>
    </row>
    <row r="11" spans="1:16" x14ac:dyDescent="0.2">
      <c r="A11" s="235" t="s">
        <v>27</v>
      </c>
      <c r="B11">
        <v>3</v>
      </c>
      <c r="C11">
        <v>54</v>
      </c>
      <c r="D11">
        <v>15</v>
      </c>
      <c r="E11">
        <v>1</v>
      </c>
      <c r="F11">
        <v>3</v>
      </c>
      <c r="G11">
        <v>38</v>
      </c>
      <c r="H11">
        <v>114</v>
      </c>
      <c r="J11">
        <v>1</v>
      </c>
      <c r="K11">
        <v>6</v>
      </c>
      <c r="L11">
        <v>2</v>
      </c>
      <c r="M11">
        <v>5</v>
      </c>
      <c r="N11">
        <v>74</v>
      </c>
      <c r="O11">
        <v>88</v>
      </c>
      <c r="P11">
        <v>202</v>
      </c>
    </row>
    <row r="12" spans="1:16" x14ac:dyDescent="0.2">
      <c r="A12" s="235" t="s">
        <v>28</v>
      </c>
      <c r="B12">
        <v>46</v>
      </c>
      <c r="C12">
        <v>69</v>
      </c>
      <c r="D12">
        <v>34</v>
      </c>
      <c r="E12">
        <v>39</v>
      </c>
      <c r="F12">
        <v>22</v>
      </c>
      <c r="G12">
        <v>85</v>
      </c>
      <c r="H12">
        <v>295</v>
      </c>
      <c r="J12">
        <v>5</v>
      </c>
      <c r="K12">
        <v>11</v>
      </c>
      <c r="L12">
        <v>5</v>
      </c>
      <c r="M12">
        <v>8</v>
      </c>
      <c r="N12">
        <v>120</v>
      </c>
      <c r="O12">
        <v>149</v>
      </c>
      <c r="P12">
        <v>444</v>
      </c>
    </row>
    <row r="13" spans="1:16" x14ac:dyDescent="0.2">
      <c r="A13" s="235" t="s">
        <v>29</v>
      </c>
      <c r="B13">
        <v>4</v>
      </c>
      <c r="C13">
        <v>186</v>
      </c>
      <c r="D13">
        <v>42</v>
      </c>
      <c r="E13">
        <v>19</v>
      </c>
      <c r="F13">
        <v>14</v>
      </c>
      <c r="G13">
        <v>119</v>
      </c>
      <c r="H13">
        <v>384</v>
      </c>
      <c r="J13">
        <v>23</v>
      </c>
      <c r="K13">
        <v>12</v>
      </c>
      <c r="L13">
        <v>13</v>
      </c>
      <c r="M13">
        <v>24</v>
      </c>
      <c r="N13">
        <v>579</v>
      </c>
      <c r="O13">
        <v>651</v>
      </c>
      <c r="P13">
        <v>1035</v>
      </c>
    </row>
    <row r="14" spans="1:16" x14ac:dyDescent="0.2">
      <c r="A14" s="235" t="s">
        <v>30</v>
      </c>
      <c r="B14">
        <v>5</v>
      </c>
      <c r="C14">
        <v>95</v>
      </c>
      <c r="D14">
        <v>21</v>
      </c>
      <c r="E14">
        <v>28</v>
      </c>
      <c r="F14">
        <v>11</v>
      </c>
      <c r="G14">
        <v>56</v>
      </c>
      <c r="H14">
        <v>216</v>
      </c>
      <c r="J14">
        <v>14</v>
      </c>
      <c r="K14">
        <v>10</v>
      </c>
      <c r="L14">
        <v>18</v>
      </c>
      <c r="M14">
        <v>23</v>
      </c>
      <c r="N14">
        <v>528</v>
      </c>
      <c r="O14">
        <v>593</v>
      </c>
      <c r="P14">
        <v>809</v>
      </c>
    </row>
    <row r="15" spans="1:16" x14ac:dyDescent="0.2">
      <c r="A15" s="235" t="s">
        <v>31</v>
      </c>
      <c r="B15">
        <v>5</v>
      </c>
      <c r="C15">
        <v>65</v>
      </c>
      <c r="D15">
        <v>20</v>
      </c>
      <c r="E15">
        <v>10</v>
      </c>
      <c r="F15">
        <v>1</v>
      </c>
      <c r="G15">
        <v>36</v>
      </c>
      <c r="H15">
        <v>137</v>
      </c>
      <c r="J15">
        <v>9</v>
      </c>
      <c r="K15">
        <v>1</v>
      </c>
      <c r="L15">
        <v>17</v>
      </c>
      <c r="M15">
        <v>7</v>
      </c>
      <c r="N15">
        <v>205</v>
      </c>
      <c r="O15">
        <v>239</v>
      </c>
      <c r="P15">
        <v>376</v>
      </c>
    </row>
    <row r="16" spans="1:16" x14ac:dyDescent="0.2">
      <c r="A16" s="235" t="s">
        <v>32</v>
      </c>
      <c r="B16">
        <v>10</v>
      </c>
      <c r="C16">
        <v>46</v>
      </c>
      <c r="D16">
        <v>22</v>
      </c>
      <c r="E16">
        <v>28</v>
      </c>
      <c r="F16">
        <v>12</v>
      </c>
      <c r="G16">
        <v>43</v>
      </c>
      <c r="H16">
        <v>161</v>
      </c>
      <c r="J16">
        <v>3</v>
      </c>
      <c r="K16">
        <v>5</v>
      </c>
      <c r="L16">
        <v>8</v>
      </c>
      <c r="M16">
        <v>15</v>
      </c>
      <c r="N16">
        <v>152</v>
      </c>
      <c r="O16">
        <v>183</v>
      </c>
      <c r="P16">
        <v>344</v>
      </c>
    </row>
    <row r="17" spans="1:16" x14ac:dyDescent="0.2">
      <c r="A17" s="235" t="s">
        <v>33</v>
      </c>
      <c r="B17">
        <v>6</v>
      </c>
      <c r="C17">
        <v>49</v>
      </c>
      <c r="D17">
        <v>6</v>
      </c>
      <c r="E17">
        <v>9</v>
      </c>
      <c r="F17">
        <v>1</v>
      </c>
      <c r="G17">
        <v>32</v>
      </c>
      <c r="H17">
        <v>103</v>
      </c>
      <c r="J17">
        <v>4</v>
      </c>
      <c r="K17">
        <v>6</v>
      </c>
      <c r="L17">
        <v>15</v>
      </c>
      <c r="M17">
        <v>8</v>
      </c>
      <c r="N17">
        <v>150</v>
      </c>
      <c r="O17">
        <v>183</v>
      </c>
      <c r="P17">
        <v>286</v>
      </c>
    </row>
    <row r="18" spans="1:16" x14ac:dyDescent="0.2">
      <c r="A18" s="235" t="s">
        <v>34</v>
      </c>
      <c r="B18">
        <v>4</v>
      </c>
      <c r="C18">
        <v>99</v>
      </c>
      <c r="D18">
        <v>42</v>
      </c>
      <c r="E18">
        <v>40</v>
      </c>
      <c r="F18">
        <v>22</v>
      </c>
      <c r="G18">
        <v>110</v>
      </c>
      <c r="H18">
        <v>317</v>
      </c>
      <c r="J18">
        <v>10</v>
      </c>
      <c r="K18">
        <v>16</v>
      </c>
      <c r="L18">
        <v>10</v>
      </c>
      <c r="M18">
        <v>45</v>
      </c>
      <c r="N18">
        <v>313</v>
      </c>
      <c r="O18">
        <v>394</v>
      </c>
      <c r="P18">
        <v>711</v>
      </c>
    </row>
    <row r="19" spans="1:16" x14ac:dyDescent="0.2">
      <c r="A19" s="235" t="s">
        <v>35</v>
      </c>
      <c r="B19">
        <v>25</v>
      </c>
      <c r="C19">
        <v>227</v>
      </c>
      <c r="D19">
        <v>76</v>
      </c>
      <c r="E19">
        <v>81</v>
      </c>
      <c r="F19">
        <v>35</v>
      </c>
      <c r="G19">
        <v>193</v>
      </c>
      <c r="H19">
        <v>637</v>
      </c>
      <c r="J19">
        <v>20</v>
      </c>
      <c r="K19">
        <v>23</v>
      </c>
      <c r="L19">
        <v>28</v>
      </c>
      <c r="M19">
        <v>94</v>
      </c>
      <c r="N19">
        <v>826</v>
      </c>
      <c r="O19">
        <v>991</v>
      </c>
      <c r="P19">
        <v>1628</v>
      </c>
    </row>
    <row r="20" spans="1:16" x14ac:dyDescent="0.2">
      <c r="A20" s="235" t="s">
        <v>36</v>
      </c>
      <c r="B20">
        <v>2</v>
      </c>
      <c r="C20">
        <v>685</v>
      </c>
      <c r="D20">
        <v>169</v>
      </c>
      <c r="E20">
        <v>106</v>
      </c>
      <c r="F20">
        <v>31</v>
      </c>
      <c r="G20">
        <v>312</v>
      </c>
      <c r="H20">
        <v>1305</v>
      </c>
      <c r="J20">
        <v>110</v>
      </c>
      <c r="K20">
        <v>66</v>
      </c>
      <c r="L20">
        <v>192</v>
      </c>
      <c r="M20">
        <v>51</v>
      </c>
      <c r="N20">
        <v>2128</v>
      </c>
      <c r="O20">
        <v>2547</v>
      </c>
      <c r="P20">
        <v>3852</v>
      </c>
    </row>
    <row r="21" spans="1:16" x14ac:dyDescent="0.2">
      <c r="A21" s="235" t="s">
        <v>37</v>
      </c>
      <c r="B21">
        <v>138</v>
      </c>
      <c r="C21">
        <v>126</v>
      </c>
      <c r="D21">
        <v>101</v>
      </c>
      <c r="E21">
        <v>57</v>
      </c>
      <c r="F21">
        <v>53</v>
      </c>
      <c r="G21">
        <v>234</v>
      </c>
      <c r="H21">
        <v>709</v>
      </c>
      <c r="J21">
        <v>6</v>
      </c>
      <c r="K21">
        <v>5</v>
      </c>
      <c r="L21">
        <v>4</v>
      </c>
      <c r="M21">
        <v>28</v>
      </c>
      <c r="N21">
        <v>162</v>
      </c>
      <c r="O21">
        <v>205</v>
      </c>
      <c r="P21">
        <v>914</v>
      </c>
    </row>
    <row r="22" spans="1:16" x14ac:dyDescent="0.2">
      <c r="A22" s="235" t="s">
        <v>38</v>
      </c>
      <c r="B22">
        <v>3</v>
      </c>
      <c r="C22">
        <v>88</v>
      </c>
      <c r="D22">
        <v>14</v>
      </c>
      <c r="E22">
        <v>7</v>
      </c>
      <c r="F22">
        <v>2</v>
      </c>
      <c r="G22">
        <v>26</v>
      </c>
      <c r="H22">
        <v>140</v>
      </c>
      <c r="J22">
        <v>22</v>
      </c>
      <c r="K22">
        <v>6</v>
      </c>
      <c r="L22">
        <v>22</v>
      </c>
      <c r="M22">
        <v>5</v>
      </c>
      <c r="N22">
        <v>391</v>
      </c>
      <c r="O22">
        <v>446</v>
      </c>
      <c r="P22">
        <v>586</v>
      </c>
    </row>
    <row r="23" spans="1:16" x14ac:dyDescent="0.2">
      <c r="A23" s="235" t="s">
        <v>39</v>
      </c>
      <c r="B23">
        <v>6</v>
      </c>
      <c r="C23">
        <v>57</v>
      </c>
      <c r="D23">
        <v>33</v>
      </c>
      <c r="E23">
        <v>12</v>
      </c>
      <c r="F23">
        <v>16</v>
      </c>
      <c r="G23">
        <v>45</v>
      </c>
      <c r="H23">
        <v>169</v>
      </c>
      <c r="J23">
        <v>2</v>
      </c>
      <c r="K23">
        <v>2</v>
      </c>
      <c r="L23">
        <v>7</v>
      </c>
      <c r="M23">
        <v>29</v>
      </c>
      <c r="N23">
        <v>158</v>
      </c>
      <c r="O23">
        <v>198</v>
      </c>
      <c r="P23">
        <v>367</v>
      </c>
    </row>
    <row r="24" spans="1:16" x14ac:dyDescent="0.2">
      <c r="A24" s="235" t="s">
        <v>40</v>
      </c>
      <c r="B24">
        <v>20</v>
      </c>
      <c r="C24">
        <v>50</v>
      </c>
      <c r="D24">
        <v>21</v>
      </c>
      <c r="E24">
        <v>19</v>
      </c>
      <c r="F24">
        <v>23</v>
      </c>
      <c r="G24">
        <v>65</v>
      </c>
      <c r="H24">
        <v>198</v>
      </c>
      <c r="J24">
        <v>1</v>
      </c>
      <c r="K24">
        <v>6</v>
      </c>
      <c r="L24">
        <v>4</v>
      </c>
      <c r="M24">
        <v>19</v>
      </c>
      <c r="N24">
        <v>63</v>
      </c>
      <c r="O24">
        <v>93</v>
      </c>
      <c r="P24">
        <v>291</v>
      </c>
    </row>
    <row r="25" spans="1:16" x14ac:dyDescent="0.2">
      <c r="A25" s="235" t="s">
        <v>295</v>
      </c>
      <c r="B25">
        <v>36</v>
      </c>
      <c r="C25">
        <v>21</v>
      </c>
      <c r="D25">
        <v>6</v>
      </c>
      <c r="E25">
        <v>7</v>
      </c>
      <c r="F25">
        <v>5</v>
      </c>
      <c r="G25">
        <v>58</v>
      </c>
      <c r="H25">
        <v>133</v>
      </c>
      <c r="J25">
        <v>1</v>
      </c>
      <c r="L25">
        <v>1</v>
      </c>
      <c r="N25">
        <v>18</v>
      </c>
      <c r="O25">
        <v>20</v>
      </c>
      <c r="P25">
        <v>153</v>
      </c>
    </row>
    <row r="26" spans="1:16" x14ac:dyDescent="0.2">
      <c r="A26" s="235" t="s">
        <v>41</v>
      </c>
      <c r="B26">
        <v>12</v>
      </c>
      <c r="C26">
        <v>136</v>
      </c>
      <c r="D26">
        <v>28</v>
      </c>
      <c r="E26">
        <v>25</v>
      </c>
      <c r="F26">
        <v>4</v>
      </c>
      <c r="G26">
        <v>54</v>
      </c>
      <c r="H26">
        <v>259</v>
      </c>
      <c r="J26">
        <v>17</v>
      </c>
      <c r="K26">
        <v>7</v>
      </c>
      <c r="L26">
        <v>10</v>
      </c>
      <c r="M26">
        <v>12</v>
      </c>
      <c r="N26">
        <v>437</v>
      </c>
      <c r="O26">
        <v>483</v>
      </c>
      <c r="P26">
        <v>742</v>
      </c>
    </row>
    <row r="27" spans="1:16" x14ac:dyDescent="0.2">
      <c r="A27" s="235" t="s">
        <v>42</v>
      </c>
      <c r="B27">
        <v>6</v>
      </c>
      <c r="C27">
        <v>279</v>
      </c>
      <c r="D27">
        <v>75</v>
      </c>
      <c r="E27">
        <v>102</v>
      </c>
      <c r="F27">
        <v>16</v>
      </c>
      <c r="G27">
        <v>162</v>
      </c>
      <c r="H27">
        <v>640</v>
      </c>
      <c r="J27">
        <v>39</v>
      </c>
      <c r="K27">
        <v>31</v>
      </c>
      <c r="L27">
        <v>115</v>
      </c>
      <c r="M27">
        <v>26</v>
      </c>
      <c r="N27">
        <v>1313</v>
      </c>
      <c r="O27">
        <v>1524</v>
      </c>
      <c r="P27">
        <v>2164</v>
      </c>
    </row>
    <row r="28" spans="1:16" x14ac:dyDescent="0.2">
      <c r="A28" s="235" t="s">
        <v>43</v>
      </c>
      <c r="B28">
        <v>5</v>
      </c>
      <c r="C28">
        <v>4</v>
      </c>
      <c r="D28">
        <v>2</v>
      </c>
      <c r="E28">
        <v>7</v>
      </c>
      <c r="F28">
        <v>4</v>
      </c>
      <c r="G28">
        <v>8</v>
      </c>
      <c r="H28">
        <v>30</v>
      </c>
      <c r="N28">
        <v>6</v>
      </c>
      <c r="O28">
        <v>6</v>
      </c>
      <c r="P28">
        <v>36</v>
      </c>
    </row>
    <row r="29" spans="1:16" x14ac:dyDescent="0.2">
      <c r="A29" s="235" t="s">
        <v>44</v>
      </c>
      <c r="B29">
        <v>41</v>
      </c>
      <c r="C29">
        <v>97</v>
      </c>
      <c r="D29">
        <v>43</v>
      </c>
      <c r="E29">
        <v>45</v>
      </c>
      <c r="F29">
        <v>16</v>
      </c>
      <c r="G29">
        <v>81</v>
      </c>
      <c r="H29">
        <v>323</v>
      </c>
      <c r="J29">
        <v>7</v>
      </c>
      <c r="K29">
        <v>1</v>
      </c>
      <c r="L29">
        <v>7</v>
      </c>
      <c r="M29">
        <v>11</v>
      </c>
      <c r="N29">
        <v>64</v>
      </c>
      <c r="O29">
        <v>90</v>
      </c>
      <c r="P29">
        <v>413</v>
      </c>
    </row>
    <row r="30" spans="1:16" x14ac:dyDescent="0.2">
      <c r="A30" s="235" t="s">
        <v>45</v>
      </c>
      <c r="B30">
        <v>3</v>
      </c>
      <c r="C30">
        <v>151</v>
      </c>
      <c r="D30">
        <v>39</v>
      </c>
      <c r="E30">
        <v>19</v>
      </c>
      <c r="F30">
        <v>8</v>
      </c>
      <c r="G30">
        <v>73</v>
      </c>
      <c r="H30">
        <v>293</v>
      </c>
      <c r="J30">
        <v>34</v>
      </c>
      <c r="K30">
        <v>23</v>
      </c>
      <c r="L30">
        <v>36</v>
      </c>
      <c r="M30">
        <v>22</v>
      </c>
      <c r="N30">
        <v>430</v>
      </c>
      <c r="O30">
        <v>545</v>
      </c>
      <c r="P30">
        <v>838</v>
      </c>
    </row>
    <row r="31" spans="1:16" x14ac:dyDescent="0.2">
      <c r="A31" s="235" t="s">
        <v>46</v>
      </c>
      <c r="B31">
        <v>43</v>
      </c>
      <c r="C31">
        <v>77</v>
      </c>
      <c r="D31">
        <v>36</v>
      </c>
      <c r="E31">
        <v>28</v>
      </c>
      <c r="F31">
        <v>14</v>
      </c>
      <c r="G31">
        <v>30</v>
      </c>
      <c r="H31">
        <v>228</v>
      </c>
      <c r="I31">
        <v>1</v>
      </c>
      <c r="J31">
        <v>8</v>
      </c>
      <c r="K31">
        <v>5</v>
      </c>
      <c r="L31">
        <v>5</v>
      </c>
      <c r="M31">
        <v>14</v>
      </c>
      <c r="N31">
        <v>94</v>
      </c>
      <c r="O31">
        <v>127</v>
      </c>
      <c r="P31">
        <v>355</v>
      </c>
    </row>
    <row r="32" spans="1:16" x14ac:dyDescent="0.2">
      <c r="A32" s="235" t="s">
        <v>47</v>
      </c>
      <c r="B32">
        <v>14</v>
      </c>
      <c r="C32">
        <v>24</v>
      </c>
      <c r="D32">
        <v>9</v>
      </c>
      <c r="E32">
        <v>13</v>
      </c>
      <c r="F32">
        <v>5</v>
      </c>
      <c r="G32">
        <v>9</v>
      </c>
      <c r="H32">
        <v>74</v>
      </c>
      <c r="J32">
        <v>1</v>
      </c>
      <c r="M32">
        <v>1</v>
      </c>
      <c r="N32">
        <v>6</v>
      </c>
      <c r="O32">
        <v>8</v>
      </c>
      <c r="P32">
        <v>82</v>
      </c>
    </row>
    <row r="33" spans="1:16" x14ac:dyDescent="0.2">
      <c r="A33" s="235" t="s">
        <v>48</v>
      </c>
      <c r="B33">
        <v>9</v>
      </c>
      <c r="C33">
        <v>73</v>
      </c>
      <c r="D33">
        <v>22</v>
      </c>
      <c r="E33">
        <v>21</v>
      </c>
      <c r="F33">
        <v>12</v>
      </c>
      <c r="G33">
        <v>64</v>
      </c>
      <c r="H33">
        <v>201</v>
      </c>
      <c r="J33">
        <v>17</v>
      </c>
      <c r="K33">
        <v>7</v>
      </c>
      <c r="L33">
        <v>5</v>
      </c>
      <c r="M33">
        <v>2</v>
      </c>
      <c r="N33">
        <v>240</v>
      </c>
      <c r="O33">
        <v>271</v>
      </c>
      <c r="P33">
        <v>472</v>
      </c>
    </row>
    <row r="34" spans="1:16" x14ac:dyDescent="0.2">
      <c r="A34" s="235" t="s">
        <v>49</v>
      </c>
      <c r="B34">
        <v>9</v>
      </c>
      <c r="C34">
        <v>221</v>
      </c>
      <c r="D34">
        <v>54</v>
      </c>
      <c r="E34">
        <v>77</v>
      </c>
      <c r="F34">
        <v>16</v>
      </c>
      <c r="G34">
        <v>126</v>
      </c>
      <c r="H34">
        <v>503</v>
      </c>
      <c r="J34">
        <v>34</v>
      </c>
      <c r="K34">
        <v>17</v>
      </c>
      <c r="L34">
        <v>75</v>
      </c>
      <c r="M34">
        <v>22</v>
      </c>
      <c r="N34">
        <v>892</v>
      </c>
      <c r="O34">
        <v>1040</v>
      </c>
      <c r="P34">
        <v>1543</v>
      </c>
    </row>
    <row r="35" spans="1:16" x14ac:dyDescent="0.2">
      <c r="A35" s="235" t="s">
        <v>50</v>
      </c>
      <c r="B35">
        <v>13</v>
      </c>
      <c r="C35">
        <v>48</v>
      </c>
      <c r="D35">
        <v>30</v>
      </c>
      <c r="E35">
        <v>25</v>
      </c>
      <c r="F35">
        <v>14</v>
      </c>
      <c r="G35">
        <v>72</v>
      </c>
      <c r="H35">
        <v>202</v>
      </c>
      <c r="J35">
        <v>11</v>
      </c>
      <c r="K35">
        <v>8</v>
      </c>
      <c r="L35">
        <v>8</v>
      </c>
      <c r="M35">
        <v>19</v>
      </c>
      <c r="N35">
        <v>124</v>
      </c>
      <c r="O35">
        <v>170</v>
      </c>
      <c r="P35">
        <v>372</v>
      </c>
    </row>
    <row r="36" spans="1:16" x14ac:dyDescent="0.2">
      <c r="A36" s="235" t="s">
        <v>51</v>
      </c>
      <c r="B36">
        <v>3</v>
      </c>
      <c r="C36">
        <v>102</v>
      </c>
      <c r="D36">
        <v>19</v>
      </c>
      <c r="E36">
        <v>13</v>
      </c>
      <c r="F36">
        <v>4</v>
      </c>
      <c r="G36">
        <v>22</v>
      </c>
      <c r="H36">
        <v>163</v>
      </c>
      <c r="J36">
        <v>15</v>
      </c>
      <c r="K36">
        <v>7</v>
      </c>
      <c r="L36">
        <v>19</v>
      </c>
      <c r="M36">
        <v>21</v>
      </c>
      <c r="N36">
        <v>386</v>
      </c>
      <c r="O36">
        <v>448</v>
      </c>
      <c r="P36">
        <v>611</v>
      </c>
    </row>
    <row r="37" spans="1:16" x14ac:dyDescent="0.2">
      <c r="A37" s="235" t="s">
        <v>52</v>
      </c>
      <c r="B37">
        <v>4</v>
      </c>
      <c r="C37">
        <v>99</v>
      </c>
      <c r="D37">
        <v>35</v>
      </c>
      <c r="E37">
        <v>37</v>
      </c>
      <c r="F37">
        <v>16</v>
      </c>
      <c r="G37">
        <v>130</v>
      </c>
      <c r="H37">
        <v>321</v>
      </c>
      <c r="J37">
        <v>16</v>
      </c>
      <c r="K37">
        <v>24</v>
      </c>
      <c r="L37">
        <v>25</v>
      </c>
      <c r="M37">
        <v>43</v>
      </c>
      <c r="N37">
        <v>562</v>
      </c>
      <c r="O37">
        <v>670</v>
      </c>
      <c r="P37">
        <v>991</v>
      </c>
    </row>
    <row r="38" spans="1:16" x14ac:dyDescent="0.2">
      <c r="A38" s="235" t="s">
        <v>333</v>
      </c>
      <c r="B38">
        <v>600</v>
      </c>
      <c r="C38">
        <v>4141</v>
      </c>
      <c r="D38">
        <v>1335</v>
      </c>
      <c r="E38">
        <v>1055</v>
      </c>
      <c r="F38">
        <v>480</v>
      </c>
      <c r="G38">
        <v>3073</v>
      </c>
      <c r="H38">
        <v>10684</v>
      </c>
      <c r="I38">
        <v>1</v>
      </c>
      <c r="J38">
        <v>520</v>
      </c>
      <c r="K38">
        <v>383</v>
      </c>
      <c r="L38">
        <v>761</v>
      </c>
      <c r="M38">
        <v>741</v>
      </c>
      <c r="N38">
        <v>12057</v>
      </c>
      <c r="O38">
        <v>14463</v>
      </c>
      <c r="P38">
        <v>25147</v>
      </c>
    </row>
    <row r="47" spans="1:16" x14ac:dyDescent="0.2">
      <c r="A47" s="235"/>
    </row>
    <row r="48" spans="1:16" x14ac:dyDescent="0.2">
      <c r="A48" s="235"/>
    </row>
    <row r="49" spans="1:1" x14ac:dyDescent="0.2">
      <c r="A49" s="235"/>
    </row>
    <row r="50" spans="1:1" x14ac:dyDescent="0.2">
      <c r="A50" s="235"/>
    </row>
    <row r="51" spans="1:1" x14ac:dyDescent="0.2">
      <c r="A51" s="235"/>
    </row>
    <row r="52" spans="1:1" x14ac:dyDescent="0.2">
      <c r="A52" s="235"/>
    </row>
    <row r="53" spans="1:1" x14ac:dyDescent="0.2">
      <c r="A53" s="235"/>
    </row>
    <row r="54" spans="1:1" x14ac:dyDescent="0.2">
      <c r="A54" s="235"/>
    </row>
    <row r="55" spans="1:1" x14ac:dyDescent="0.2">
      <c r="A55" s="235"/>
    </row>
    <row r="56" spans="1:1" x14ac:dyDescent="0.2">
      <c r="A56" s="235"/>
    </row>
    <row r="57" spans="1:1" x14ac:dyDescent="0.2">
      <c r="A57" s="235"/>
    </row>
    <row r="58" spans="1:1" x14ac:dyDescent="0.2">
      <c r="A58" s="235"/>
    </row>
    <row r="59" spans="1:1" x14ac:dyDescent="0.2">
      <c r="A59" s="235"/>
    </row>
    <row r="60" spans="1:1" x14ac:dyDescent="0.2">
      <c r="A60" s="235"/>
    </row>
    <row r="61" spans="1:1" x14ac:dyDescent="0.2">
      <c r="A61" s="235"/>
    </row>
    <row r="62" spans="1:1" x14ac:dyDescent="0.2">
      <c r="A62" s="235"/>
    </row>
    <row r="63" spans="1:1" x14ac:dyDescent="0.2">
      <c r="A63" s="235"/>
    </row>
    <row r="64" spans="1:1" x14ac:dyDescent="0.2">
      <c r="A64" s="235"/>
    </row>
    <row r="65" spans="1:1" x14ac:dyDescent="0.2">
      <c r="A65" s="235"/>
    </row>
    <row r="66" spans="1:1" x14ac:dyDescent="0.2">
      <c r="A66" s="235"/>
    </row>
    <row r="67" spans="1:1" x14ac:dyDescent="0.2">
      <c r="A67" s="235"/>
    </row>
    <row r="68" spans="1:1" x14ac:dyDescent="0.2">
      <c r="A68" s="235"/>
    </row>
    <row r="69" spans="1:1" x14ac:dyDescent="0.2">
      <c r="A69" s="235"/>
    </row>
    <row r="70" spans="1:1" x14ac:dyDescent="0.2">
      <c r="A70" s="235"/>
    </row>
    <row r="71" spans="1:1" x14ac:dyDescent="0.2">
      <c r="A71" s="235"/>
    </row>
    <row r="72" spans="1:1" x14ac:dyDescent="0.2">
      <c r="A72" s="235"/>
    </row>
    <row r="73" spans="1:1" x14ac:dyDescent="0.2">
      <c r="A73" s="235"/>
    </row>
    <row r="74" spans="1:1" x14ac:dyDescent="0.2">
      <c r="A74" s="235"/>
    </row>
    <row r="75" spans="1:1" x14ac:dyDescent="0.2">
      <c r="A75" s="235"/>
    </row>
    <row r="76" spans="1:1" x14ac:dyDescent="0.2">
      <c r="A76" s="235"/>
    </row>
    <row r="77" spans="1:1" x14ac:dyDescent="0.2">
      <c r="A77" s="235"/>
    </row>
    <row r="78" spans="1:1" x14ac:dyDescent="0.2">
      <c r="A78" s="235"/>
    </row>
    <row r="79" spans="1:1" x14ac:dyDescent="0.2">
      <c r="A79" s="235"/>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E37"/>
  <sheetViews>
    <sheetView workbookViewId="0">
      <selection activeCell="G23" sqref="G23"/>
    </sheetView>
  </sheetViews>
  <sheetFormatPr defaultRowHeight="12.75" x14ac:dyDescent="0.2"/>
  <cols>
    <col min="1" max="1" width="19.5703125" bestFit="1" customWidth="1"/>
    <col min="2" max="3" width="16.42578125" bestFit="1" customWidth="1"/>
    <col min="4" max="4" width="11.140625" bestFit="1" customWidth="1"/>
    <col min="5" max="5" width="15.7109375" bestFit="1" customWidth="1"/>
  </cols>
  <sheetData>
    <row r="2" spans="1:5" x14ac:dyDescent="0.2">
      <c r="A2" s="234" t="s">
        <v>4</v>
      </c>
      <c r="B2" t="s">
        <v>1572</v>
      </c>
    </row>
    <row r="4" spans="1:5" x14ac:dyDescent="0.2">
      <c r="A4" s="234" t="s">
        <v>326</v>
      </c>
      <c r="B4" t="s">
        <v>328</v>
      </c>
      <c r="C4" t="s">
        <v>345</v>
      </c>
      <c r="D4" t="s">
        <v>349</v>
      </c>
      <c r="E4" t="s">
        <v>348</v>
      </c>
    </row>
    <row r="5" spans="1:5" x14ac:dyDescent="0.2">
      <c r="A5" s="235" t="s">
        <v>23</v>
      </c>
      <c r="B5">
        <v>243</v>
      </c>
      <c r="C5">
        <v>222</v>
      </c>
      <c r="D5">
        <v>21</v>
      </c>
      <c r="E5">
        <v>120980</v>
      </c>
    </row>
    <row r="6" spans="1:5" x14ac:dyDescent="0.2">
      <c r="A6" s="235" t="s">
        <v>24</v>
      </c>
      <c r="B6">
        <v>172</v>
      </c>
      <c r="C6">
        <v>164</v>
      </c>
      <c r="D6">
        <v>8</v>
      </c>
      <c r="E6">
        <v>119854</v>
      </c>
    </row>
    <row r="7" spans="1:5" x14ac:dyDescent="0.2">
      <c r="A7" s="235" t="s">
        <v>25</v>
      </c>
      <c r="B7">
        <v>80</v>
      </c>
      <c r="C7">
        <v>74</v>
      </c>
      <c r="D7">
        <v>6</v>
      </c>
      <c r="E7">
        <v>57206</v>
      </c>
    </row>
    <row r="8" spans="1:5" x14ac:dyDescent="0.2">
      <c r="A8" s="235" t="s">
        <v>26</v>
      </c>
      <c r="B8">
        <v>86</v>
      </c>
      <c r="C8">
        <v>84</v>
      </c>
      <c r="D8">
        <v>2</v>
      </c>
      <c r="E8">
        <v>48199</v>
      </c>
    </row>
    <row r="9" spans="1:5" x14ac:dyDescent="0.2">
      <c r="A9" s="235" t="s">
        <v>619</v>
      </c>
      <c r="B9">
        <v>422</v>
      </c>
      <c r="C9">
        <v>369</v>
      </c>
      <c r="D9">
        <v>53</v>
      </c>
      <c r="E9">
        <v>254929</v>
      </c>
    </row>
    <row r="10" spans="1:5" x14ac:dyDescent="0.2">
      <c r="A10" s="235" t="s">
        <v>27</v>
      </c>
      <c r="B10">
        <v>55</v>
      </c>
      <c r="C10">
        <v>54</v>
      </c>
      <c r="D10">
        <v>1</v>
      </c>
      <c r="E10">
        <v>24838</v>
      </c>
    </row>
    <row r="11" spans="1:5" x14ac:dyDescent="0.2">
      <c r="A11" s="235" t="s">
        <v>28</v>
      </c>
      <c r="B11">
        <v>74</v>
      </c>
      <c r="C11">
        <v>69</v>
      </c>
      <c r="D11">
        <v>5</v>
      </c>
      <c r="E11">
        <v>75298</v>
      </c>
    </row>
    <row r="12" spans="1:5" x14ac:dyDescent="0.2">
      <c r="A12" s="235" t="s">
        <v>29</v>
      </c>
      <c r="B12">
        <v>209</v>
      </c>
      <c r="C12">
        <v>186</v>
      </c>
      <c r="D12">
        <v>23</v>
      </c>
      <c r="E12">
        <v>75027</v>
      </c>
    </row>
    <row r="13" spans="1:5" x14ac:dyDescent="0.2">
      <c r="A13" s="235" t="s">
        <v>30</v>
      </c>
      <c r="B13">
        <v>109</v>
      </c>
      <c r="C13">
        <v>95</v>
      </c>
      <c r="D13">
        <v>14</v>
      </c>
      <c r="E13">
        <v>58821</v>
      </c>
    </row>
    <row r="14" spans="1:5" x14ac:dyDescent="0.2">
      <c r="A14" s="235" t="s">
        <v>31</v>
      </c>
      <c r="B14">
        <v>74</v>
      </c>
      <c r="C14">
        <v>65</v>
      </c>
      <c r="D14">
        <v>9</v>
      </c>
      <c r="E14">
        <v>47251</v>
      </c>
    </row>
    <row r="15" spans="1:5" x14ac:dyDescent="0.2">
      <c r="A15" s="235" t="s">
        <v>32</v>
      </c>
      <c r="B15">
        <v>49</v>
      </c>
      <c r="C15">
        <v>46</v>
      </c>
      <c r="D15">
        <v>3</v>
      </c>
      <c r="E15">
        <v>49642</v>
      </c>
    </row>
    <row r="16" spans="1:5" x14ac:dyDescent="0.2">
      <c r="A16" s="235" t="s">
        <v>33</v>
      </c>
      <c r="B16">
        <v>53</v>
      </c>
      <c r="C16">
        <v>49</v>
      </c>
      <c r="D16">
        <v>4</v>
      </c>
      <c r="E16">
        <v>39453</v>
      </c>
    </row>
    <row r="17" spans="1:5" x14ac:dyDescent="0.2">
      <c r="A17" s="235" t="s">
        <v>34</v>
      </c>
      <c r="B17">
        <v>109</v>
      </c>
      <c r="C17">
        <v>99</v>
      </c>
      <c r="D17">
        <v>10</v>
      </c>
      <c r="E17">
        <v>75595</v>
      </c>
    </row>
    <row r="18" spans="1:5" x14ac:dyDescent="0.2">
      <c r="A18" s="235" t="s">
        <v>35</v>
      </c>
      <c r="B18">
        <v>247</v>
      </c>
      <c r="C18">
        <v>227</v>
      </c>
      <c r="D18">
        <v>20</v>
      </c>
      <c r="E18">
        <v>179232</v>
      </c>
    </row>
    <row r="19" spans="1:5" x14ac:dyDescent="0.2">
      <c r="A19" s="235" t="s">
        <v>36</v>
      </c>
      <c r="B19">
        <v>795</v>
      </c>
      <c r="C19">
        <v>685</v>
      </c>
      <c r="D19">
        <v>110</v>
      </c>
      <c r="E19">
        <v>317193</v>
      </c>
    </row>
    <row r="20" spans="1:5" x14ac:dyDescent="0.2">
      <c r="A20" s="235" t="s">
        <v>37</v>
      </c>
      <c r="B20">
        <v>132</v>
      </c>
      <c r="C20">
        <v>126</v>
      </c>
      <c r="D20">
        <v>6</v>
      </c>
      <c r="E20">
        <v>119918</v>
      </c>
    </row>
    <row r="21" spans="1:5" x14ac:dyDescent="0.2">
      <c r="A21" s="235" t="s">
        <v>38</v>
      </c>
      <c r="B21">
        <v>110</v>
      </c>
      <c r="C21">
        <v>88</v>
      </c>
      <c r="D21">
        <v>22</v>
      </c>
      <c r="E21">
        <v>39107</v>
      </c>
    </row>
    <row r="22" spans="1:5" x14ac:dyDescent="0.2">
      <c r="A22" s="235" t="s">
        <v>39</v>
      </c>
      <c r="B22">
        <v>59</v>
      </c>
      <c r="C22">
        <v>57</v>
      </c>
      <c r="D22">
        <v>2</v>
      </c>
      <c r="E22">
        <v>41657</v>
      </c>
    </row>
    <row r="23" spans="1:5" x14ac:dyDescent="0.2">
      <c r="A23" s="235" t="s">
        <v>40</v>
      </c>
      <c r="B23">
        <v>51</v>
      </c>
      <c r="C23">
        <v>50</v>
      </c>
      <c r="D23">
        <v>1</v>
      </c>
      <c r="E23">
        <v>45838</v>
      </c>
    </row>
    <row r="24" spans="1:5" x14ac:dyDescent="0.2">
      <c r="A24" s="235" t="s">
        <v>295</v>
      </c>
      <c r="B24">
        <v>22</v>
      </c>
      <c r="C24">
        <v>21</v>
      </c>
      <c r="D24">
        <v>1</v>
      </c>
      <c r="E24">
        <v>14764</v>
      </c>
    </row>
    <row r="25" spans="1:5" x14ac:dyDescent="0.2">
      <c r="A25" s="235" t="s">
        <v>41</v>
      </c>
      <c r="B25">
        <v>153</v>
      </c>
      <c r="C25">
        <v>136</v>
      </c>
      <c r="D25">
        <v>17</v>
      </c>
      <c r="E25">
        <v>68843</v>
      </c>
    </row>
    <row r="26" spans="1:5" x14ac:dyDescent="0.2">
      <c r="A26" s="235" t="s">
        <v>42</v>
      </c>
      <c r="B26">
        <v>318</v>
      </c>
      <c r="C26">
        <v>279</v>
      </c>
      <c r="D26">
        <v>39</v>
      </c>
      <c r="E26">
        <v>157625</v>
      </c>
    </row>
    <row r="27" spans="1:5" x14ac:dyDescent="0.2">
      <c r="A27" s="235" t="s">
        <v>43</v>
      </c>
      <c r="B27">
        <v>4</v>
      </c>
      <c r="C27">
        <v>4</v>
      </c>
      <c r="D27">
        <v>0</v>
      </c>
      <c r="E27">
        <v>11391</v>
      </c>
    </row>
    <row r="28" spans="1:5" x14ac:dyDescent="0.2">
      <c r="A28" s="235" t="s">
        <v>44</v>
      </c>
      <c r="B28">
        <v>104</v>
      </c>
      <c r="C28">
        <v>97</v>
      </c>
      <c r="D28">
        <v>7</v>
      </c>
      <c r="E28">
        <v>73775</v>
      </c>
    </row>
    <row r="29" spans="1:5" x14ac:dyDescent="0.2">
      <c r="A29" s="235" t="s">
        <v>45</v>
      </c>
      <c r="B29">
        <v>185</v>
      </c>
      <c r="C29">
        <v>151</v>
      </c>
      <c r="D29">
        <v>34</v>
      </c>
      <c r="E29">
        <v>88624</v>
      </c>
    </row>
    <row r="30" spans="1:5" x14ac:dyDescent="0.2">
      <c r="A30" s="235" t="s">
        <v>46</v>
      </c>
      <c r="B30">
        <v>85</v>
      </c>
      <c r="C30">
        <v>77</v>
      </c>
      <c r="D30">
        <v>8</v>
      </c>
      <c r="E30">
        <v>58814</v>
      </c>
    </row>
    <row r="31" spans="1:5" x14ac:dyDescent="0.2">
      <c r="A31" s="235" t="s">
        <v>47</v>
      </c>
      <c r="B31">
        <v>25</v>
      </c>
      <c r="C31">
        <v>24</v>
      </c>
      <c r="D31">
        <v>1</v>
      </c>
      <c r="E31">
        <v>11374</v>
      </c>
    </row>
    <row r="32" spans="1:5" x14ac:dyDescent="0.2">
      <c r="A32" s="235" t="s">
        <v>48</v>
      </c>
      <c r="B32">
        <v>90</v>
      </c>
      <c r="C32">
        <v>73</v>
      </c>
      <c r="D32">
        <v>17</v>
      </c>
      <c r="E32">
        <v>55793</v>
      </c>
    </row>
    <row r="33" spans="1:5" x14ac:dyDescent="0.2">
      <c r="A33" s="235" t="s">
        <v>49</v>
      </c>
      <c r="B33">
        <v>255</v>
      </c>
      <c r="C33">
        <v>221</v>
      </c>
      <c r="D33">
        <v>34</v>
      </c>
      <c r="E33">
        <v>153863</v>
      </c>
    </row>
    <row r="34" spans="1:5" x14ac:dyDescent="0.2">
      <c r="A34" s="235" t="s">
        <v>50</v>
      </c>
      <c r="B34">
        <v>59</v>
      </c>
      <c r="C34">
        <v>48</v>
      </c>
      <c r="D34">
        <v>11</v>
      </c>
      <c r="E34">
        <v>41950</v>
      </c>
    </row>
    <row r="35" spans="1:5" x14ac:dyDescent="0.2">
      <c r="A35" s="235" t="s">
        <v>51</v>
      </c>
      <c r="B35">
        <v>117</v>
      </c>
      <c r="C35">
        <v>102</v>
      </c>
      <c r="D35">
        <v>15</v>
      </c>
      <c r="E35">
        <v>45148</v>
      </c>
    </row>
    <row r="36" spans="1:5" x14ac:dyDescent="0.2">
      <c r="A36" s="235" t="s">
        <v>52</v>
      </c>
      <c r="B36">
        <v>115</v>
      </c>
      <c r="C36">
        <v>99</v>
      </c>
      <c r="D36">
        <v>16</v>
      </c>
      <c r="E36">
        <v>81723</v>
      </c>
    </row>
    <row r="37" spans="1:5" x14ac:dyDescent="0.2">
      <c r="A37" s="235" t="s">
        <v>333</v>
      </c>
      <c r="B37">
        <v>4661</v>
      </c>
      <c r="C37">
        <v>4141</v>
      </c>
      <c r="D37">
        <v>520</v>
      </c>
      <c r="E37">
        <v>2653725</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J39"/>
  <sheetViews>
    <sheetView workbookViewId="0">
      <selection activeCell="E31" sqref="E31"/>
    </sheetView>
  </sheetViews>
  <sheetFormatPr defaultRowHeight="12.75" x14ac:dyDescent="0.2"/>
  <cols>
    <col min="1" max="1" width="19.5703125" bestFit="1" customWidth="1"/>
    <col min="2" max="2" width="15.85546875" bestFit="1" customWidth="1"/>
    <col min="3" max="3" width="12.85546875" bestFit="1" customWidth="1"/>
    <col min="4" max="4" width="16.140625" bestFit="1" customWidth="1"/>
    <col min="5" max="5" width="13" bestFit="1" customWidth="1"/>
    <col min="6" max="6" width="12.85546875" bestFit="1" customWidth="1"/>
    <col min="7" max="7" width="16.140625" bestFit="1" customWidth="1"/>
    <col min="8" max="8" width="18" bestFit="1" customWidth="1"/>
    <col min="9" max="9" width="17.85546875" bestFit="1" customWidth="1"/>
    <col min="10" max="10" width="21.28515625" bestFit="1" customWidth="1"/>
  </cols>
  <sheetData>
    <row r="2" spans="1:10" x14ac:dyDescent="0.2">
      <c r="A2" s="234" t="s">
        <v>4</v>
      </c>
      <c r="B2" t="s">
        <v>1572</v>
      </c>
    </row>
    <row r="4" spans="1:10" x14ac:dyDescent="0.2">
      <c r="B4" s="234" t="s">
        <v>336</v>
      </c>
    </row>
    <row r="5" spans="1:10" x14ac:dyDescent="0.2">
      <c r="B5" t="s">
        <v>61</v>
      </c>
      <c r="E5" t="s">
        <v>116</v>
      </c>
      <c r="H5" t="s">
        <v>401</v>
      </c>
      <c r="I5" t="s">
        <v>402</v>
      </c>
      <c r="J5" t="s">
        <v>403</v>
      </c>
    </row>
    <row r="6" spans="1:10" x14ac:dyDescent="0.2">
      <c r="A6" s="234" t="s">
        <v>326</v>
      </c>
      <c r="B6" t="s">
        <v>398</v>
      </c>
      <c r="C6" t="s">
        <v>399</v>
      </c>
      <c r="D6" t="s">
        <v>400</v>
      </c>
      <c r="E6" t="s">
        <v>398</v>
      </c>
      <c r="F6" t="s">
        <v>399</v>
      </c>
      <c r="G6" t="s">
        <v>400</v>
      </c>
    </row>
    <row r="7" spans="1:10" x14ac:dyDescent="0.2">
      <c r="A7" s="235" t="s">
        <v>23</v>
      </c>
      <c r="B7">
        <v>330</v>
      </c>
      <c r="C7">
        <v>3</v>
      </c>
      <c r="D7">
        <v>26</v>
      </c>
      <c r="E7">
        <v>97</v>
      </c>
      <c r="G7">
        <v>10</v>
      </c>
      <c r="H7">
        <v>427</v>
      </c>
      <c r="I7">
        <v>3</v>
      </c>
      <c r="J7">
        <v>36</v>
      </c>
    </row>
    <row r="8" spans="1:10" x14ac:dyDescent="0.2">
      <c r="A8" s="235" t="s">
        <v>24</v>
      </c>
      <c r="B8">
        <v>330</v>
      </c>
      <c r="C8">
        <v>1</v>
      </c>
      <c r="D8">
        <v>23</v>
      </c>
      <c r="E8">
        <v>76</v>
      </c>
      <c r="G8">
        <v>3</v>
      </c>
      <c r="H8">
        <v>406</v>
      </c>
      <c r="I8">
        <v>1</v>
      </c>
      <c r="J8">
        <v>26</v>
      </c>
    </row>
    <row r="9" spans="1:10" x14ac:dyDescent="0.2">
      <c r="A9" s="235" t="s">
        <v>25</v>
      </c>
      <c r="B9">
        <v>130</v>
      </c>
      <c r="D9">
        <v>20</v>
      </c>
      <c r="E9">
        <v>42</v>
      </c>
      <c r="H9">
        <v>172</v>
      </c>
      <c r="J9">
        <v>20</v>
      </c>
    </row>
    <row r="10" spans="1:10" x14ac:dyDescent="0.2">
      <c r="A10" s="235" t="s">
        <v>26</v>
      </c>
      <c r="B10">
        <v>145</v>
      </c>
      <c r="C10">
        <v>1</v>
      </c>
      <c r="D10">
        <v>10</v>
      </c>
      <c r="E10">
        <v>13</v>
      </c>
      <c r="H10">
        <v>158</v>
      </c>
      <c r="I10">
        <v>1</v>
      </c>
      <c r="J10">
        <v>10</v>
      </c>
    </row>
    <row r="11" spans="1:10" x14ac:dyDescent="0.2">
      <c r="A11" s="235" t="s">
        <v>619</v>
      </c>
      <c r="B11">
        <v>579</v>
      </c>
      <c r="C11">
        <v>2</v>
      </c>
      <c r="D11">
        <v>60</v>
      </c>
      <c r="E11">
        <v>237</v>
      </c>
      <c r="G11">
        <v>11</v>
      </c>
      <c r="H11">
        <v>816</v>
      </c>
      <c r="I11">
        <v>2</v>
      </c>
      <c r="J11">
        <v>71</v>
      </c>
    </row>
    <row r="12" spans="1:10" x14ac:dyDescent="0.2">
      <c r="A12" s="235" t="s">
        <v>27</v>
      </c>
      <c r="B12">
        <v>73</v>
      </c>
      <c r="C12">
        <v>2</v>
      </c>
      <c r="D12">
        <v>19</v>
      </c>
      <c r="E12">
        <v>14</v>
      </c>
      <c r="G12">
        <v>2</v>
      </c>
      <c r="H12">
        <v>87</v>
      </c>
      <c r="I12">
        <v>2</v>
      </c>
      <c r="J12">
        <v>21</v>
      </c>
    </row>
    <row r="13" spans="1:10" x14ac:dyDescent="0.2">
      <c r="A13" s="235" t="s">
        <v>28</v>
      </c>
      <c r="B13">
        <v>164</v>
      </c>
      <c r="C13">
        <v>1</v>
      </c>
      <c r="D13">
        <v>5</v>
      </c>
      <c r="E13">
        <v>29</v>
      </c>
      <c r="F13">
        <v>1</v>
      </c>
      <c r="H13">
        <v>193</v>
      </c>
      <c r="I13">
        <v>2</v>
      </c>
      <c r="J13">
        <v>5</v>
      </c>
    </row>
    <row r="14" spans="1:10" x14ac:dyDescent="0.2">
      <c r="A14" s="235" t="s">
        <v>29</v>
      </c>
      <c r="B14">
        <v>261</v>
      </c>
      <c r="C14">
        <v>3</v>
      </c>
      <c r="D14">
        <v>32</v>
      </c>
      <c r="E14">
        <v>72</v>
      </c>
      <c r="G14">
        <v>1</v>
      </c>
      <c r="H14">
        <v>333</v>
      </c>
      <c r="I14">
        <v>3</v>
      </c>
      <c r="J14">
        <v>33</v>
      </c>
    </row>
    <row r="15" spans="1:10" x14ac:dyDescent="0.2">
      <c r="A15" s="235" t="s">
        <v>30</v>
      </c>
      <c r="B15">
        <v>155</v>
      </c>
      <c r="C15">
        <v>2</v>
      </c>
      <c r="D15">
        <v>22</v>
      </c>
      <c r="E15">
        <v>65</v>
      </c>
      <c r="G15">
        <v>3</v>
      </c>
      <c r="H15">
        <v>220</v>
      </c>
      <c r="I15">
        <v>2</v>
      </c>
      <c r="J15">
        <v>25</v>
      </c>
    </row>
    <row r="16" spans="1:10" x14ac:dyDescent="0.2">
      <c r="A16" s="235" t="s">
        <v>31</v>
      </c>
      <c r="B16">
        <v>96</v>
      </c>
      <c r="C16">
        <v>1</v>
      </c>
      <c r="D16">
        <v>7</v>
      </c>
      <c r="E16">
        <v>34</v>
      </c>
      <c r="G16">
        <v>2</v>
      </c>
      <c r="H16">
        <v>130</v>
      </c>
      <c r="I16">
        <v>1</v>
      </c>
      <c r="J16">
        <v>9</v>
      </c>
    </row>
    <row r="17" spans="1:10" x14ac:dyDescent="0.2">
      <c r="A17" s="235" t="s">
        <v>32</v>
      </c>
      <c r="B17">
        <v>108</v>
      </c>
      <c r="C17">
        <v>1</v>
      </c>
      <c r="D17">
        <v>7</v>
      </c>
      <c r="E17">
        <v>31</v>
      </c>
      <c r="H17">
        <v>139</v>
      </c>
      <c r="I17">
        <v>1</v>
      </c>
      <c r="J17">
        <v>7</v>
      </c>
    </row>
    <row r="18" spans="1:10" x14ac:dyDescent="0.2">
      <c r="A18" s="235" t="s">
        <v>33</v>
      </c>
      <c r="B18">
        <v>65</v>
      </c>
      <c r="D18">
        <v>5</v>
      </c>
      <c r="E18">
        <v>33</v>
      </c>
      <c r="F18">
        <v>1</v>
      </c>
      <c r="G18">
        <v>1</v>
      </c>
      <c r="H18">
        <v>98</v>
      </c>
      <c r="I18">
        <v>1</v>
      </c>
      <c r="J18">
        <v>6</v>
      </c>
    </row>
    <row r="19" spans="1:10" x14ac:dyDescent="0.2">
      <c r="A19" s="235" t="s">
        <v>34</v>
      </c>
      <c r="B19">
        <v>203</v>
      </c>
      <c r="D19">
        <v>34</v>
      </c>
      <c r="E19">
        <v>81</v>
      </c>
      <c r="G19">
        <v>1</v>
      </c>
      <c r="H19">
        <v>284</v>
      </c>
      <c r="J19">
        <v>35</v>
      </c>
    </row>
    <row r="20" spans="1:10" x14ac:dyDescent="0.2">
      <c r="A20" s="235" t="s">
        <v>35</v>
      </c>
      <c r="B20">
        <v>419</v>
      </c>
      <c r="C20">
        <v>2</v>
      </c>
      <c r="D20">
        <v>47</v>
      </c>
      <c r="E20">
        <v>165</v>
      </c>
      <c r="G20">
        <v>2</v>
      </c>
      <c r="H20">
        <v>584</v>
      </c>
      <c r="I20">
        <v>2</v>
      </c>
      <c r="J20">
        <v>49</v>
      </c>
    </row>
    <row r="21" spans="1:10" x14ac:dyDescent="0.2">
      <c r="A21" s="235" t="s">
        <v>36</v>
      </c>
      <c r="B21">
        <v>991</v>
      </c>
      <c r="C21">
        <v>9</v>
      </c>
      <c r="D21">
        <v>157</v>
      </c>
      <c r="E21">
        <v>419</v>
      </c>
      <c r="F21">
        <v>1</v>
      </c>
      <c r="G21">
        <v>37</v>
      </c>
      <c r="H21">
        <v>1410</v>
      </c>
      <c r="I21">
        <v>10</v>
      </c>
      <c r="J21">
        <v>194</v>
      </c>
    </row>
    <row r="22" spans="1:10" x14ac:dyDescent="0.2">
      <c r="A22" s="235" t="s">
        <v>37</v>
      </c>
      <c r="B22">
        <v>337</v>
      </c>
      <c r="C22">
        <v>1</v>
      </c>
      <c r="D22">
        <v>24</v>
      </c>
      <c r="E22">
        <v>43</v>
      </c>
      <c r="G22">
        <v>2</v>
      </c>
      <c r="H22">
        <v>380</v>
      </c>
      <c r="I22">
        <v>1</v>
      </c>
      <c r="J22">
        <v>26</v>
      </c>
    </row>
    <row r="23" spans="1:10" x14ac:dyDescent="0.2">
      <c r="A23" s="235" t="s">
        <v>38</v>
      </c>
      <c r="B23">
        <v>111</v>
      </c>
      <c r="C23">
        <v>1</v>
      </c>
      <c r="D23">
        <v>24</v>
      </c>
      <c r="E23">
        <v>55</v>
      </c>
      <c r="F23">
        <v>1</v>
      </c>
      <c r="G23">
        <v>10</v>
      </c>
      <c r="H23">
        <v>166</v>
      </c>
      <c r="I23">
        <v>2</v>
      </c>
      <c r="J23">
        <v>34</v>
      </c>
    </row>
    <row r="24" spans="1:10" x14ac:dyDescent="0.2">
      <c r="A24" s="235" t="s">
        <v>39</v>
      </c>
      <c r="B24">
        <v>118</v>
      </c>
      <c r="C24">
        <v>2</v>
      </c>
      <c r="D24">
        <v>11</v>
      </c>
      <c r="E24">
        <v>40</v>
      </c>
      <c r="G24">
        <v>3</v>
      </c>
      <c r="H24">
        <v>158</v>
      </c>
      <c r="I24">
        <v>2</v>
      </c>
      <c r="J24">
        <v>14</v>
      </c>
    </row>
    <row r="25" spans="1:10" x14ac:dyDescent="0.2">
      <c r="A25" s="235" t="s">
        <v>40</v>
      </c>
      <c r="B25">
        <v>113</v>
      </c>
      <c r="C25">
        <v>1</v>
      </c>
      <c r="D25">
        <v>10</v>
      </c>
      <c r="E25">
        <v>30</v>
      </c>
      <c r="G25">
        <v>1</v>
      </c>
      <c r="H25">
        <v>143</v>
      </c>
      <c r="I25">
        <v>1</v>
      </c>
      <c r="J25">
        <v>11</v>
      </c>
    </row>
    <row r="26" spans="1:10" x14ac:dyDescent="0.2">
      <c r="A26" s="235" t="s">
        <v>295</v>
      </c>
      <c r="B26">
        <v>39</v>
      </c>
      <c r="D26">
        <v>4</v>
      </c>
      <c r="E26">
        <v>2</v>
      </c>
      <c r="H26">
        <v>41</v>
      </c>
      <c r="J26">
        <v>4</v>
      </c>
    </row>
    <row r="27" spans="1:10" x14ac:dyDescent="0.2">
      <c r="A27" s="235" t="s">
        <v>41</v>
      </c>
      <c r="B27">
        <v>193</v>
      </c>
      <c r="D27">
        <v>34</v>
      </c>
      <c r="E27">
        <v>46</v>
      </c>
      <c r="F27">
        <v>1</v>
      </c>
      <c r="G27">
        <v>7</v>
      </c>
      <c r="H27">
        <v>239</v>
      </c>
      <c r="I27">
        <v>1</v>
      </c>
      <c r="J27">
        <v>41</v>
      </c>
    </row>
    <row r="28" spans="1:10" x14ac:dyDescent="0.2">
      <c r="A28" s="235" t="s">
        <v>42</v>
      </c>
      <c r="B28">
        <v>472</v>
      </c>
      <c r="C28">
        <v>1</v>
      </c>
      <c r="D28">
        <v>70</v>
      </c>
      <c r="E28">
        <v>211</v>
      </c>
      <c r="F28">
        <v>1</v>
      </c>
      <c r="G28">
        <v>20</v>
      </c>
      <c r="H28">
        <v>683</v>
      </c>
      <c r="I28">
        <v>2</v>
      </c>
      <c r="J28">
        <v>90</v>
      </c>
    </row>
    <row r="29" spans="1:10" x14ac:dyDescent="0.2">
      <c r="A29" s="235" t="s">
        <v>43</v>
      </c>
      <c r="B29">
        <v>17</v>
      </c>
      <c r="D29">
        <v>1</v>
      </c>
      <c r="H29">
        <v>17</v>
      </c>
      <c r="J29">
        <v>1</v>
      </c>
    </row>
    <row r="30" spans="1:10" x14ac:dyDescent="0.2">
      <c r="A30" s="235" t="s">
        <v>44</v>
      </c>
      <c r="B30">
        <v>201</v>
      </c>
      <c r="D30">
        <v>27</v>
      </c>
      <c r="E30">
        <v>26</v>
      </c>
      <c r="G30">
        <v>3</v>
      </c>
      <c r="H30">
        <v>227</v>
      </c>
      <c r="J30">
        <v>30</v>
      </c>
    </row>
    <row r="31" spans="1:10" x14ac:dyDescent="0.2">
      <c r="A31" s="235" t="s">
        <v>45</v>
      </c>
      <c r="B31">
        <v>217</v>
      </c>
      <c r="D31">
        <v>37</v>
      </c>
      <c r="E31">
        <v>115</v>
      </c>
      <c r="F31">
        <v>3</v>
      </c>
      <c r="G31">
        <v>7</v>
      </c>
      <c r="H31">
        <v>332</v>
      </c>
      <c r="I31">
        <v>3</v>
      </c>
      <c r="J31">
        <v>44</v>
      </c>
    </row>
    <row r="32" spans="1:10" x14ac:dyDescent="0.2">
      <c r="A32" s="235" t="s">
        <v>46</v>
      </c>
      <c r="B32">
        <v>155</v>
      </c>
      <c r="C32">
        <v>2</v>
      </c>
      <c r="D32">
        <v>15</v>
      </c>
      <c r="E32">
        <v>32</v>
      </c>
      <c r="H32">
        <v>187</v>
      </c>
      <c r="I32">
        <v>2</v>
      </c>
      <c r="J32">
        <v>15</v>
      </c>
    </row>
    <row r="33" spans="1:10" x14ac:dyDescent="0.2">
      <c r="A33" s="235" t="s">
        <v>47</v>
      </c>
      <c r="B33">
        <v>51</v>
      </c>
      <c r="C33">
        <v>1</v>
      </c>
      <c r="D33">
        <v>3</v>
      </c>
      <c r="E33">
        <v>2</v>
      </c>
      <c r="H33">
        <v>53</v>
      </c>
      <c r="I33">
        <v>1</v>
      </c>
      <c r="J33">
        <v>3</v>
      </c>
    </row>
    <row r="34" spans="1:10" x14ac:dyDescent="0.2">
      <c r="A34" s="235" t="s">
        <v>48</v>
      </c>
      <c r="B34">
        <v>128</v>
      </c>
      <c r="C34">
        <v>1</v>
      </c>
      <c r="D34">
        <v>20</v>
      </c>
      <c r="E34">
        <v>31</v>
      </c>
      <c r="G34">
        <v>4</v>
      </c>
      <c r="H34">
        <v>159</v>
      </c>
      <c r="I34">
        <v>1</v>
      </c>
      <c r="J34">
        <v>24</v>
      </c>
    </row>
    <row r="35" spans="1:10" x14ac:dyDescent="0.2">
      <c r="A35" s="235" t="s">
        <v>49</v>
      </c>
      <c r="B35">
        <v>368</v>
      </c>
      <c r="C35">
        <v>2</v>
      </c>
      <c r="D35">
        <v>54</v>
      </c>
      <c r="E35">
        <v>148</v>
      </c>
      <c r="G35">
        <v>14</v>
      </c>
      <c r="H35">
        <v>516</v>
      </c>
      <c r="I35">
        <v>2</v>
      </c>
      <c r="J35">
        <v>68</v>
      </c>
    </row>
    <row r="36" spans="1:10" x14ac:dyDescent="0.2">
      <c r="A36" s="235" t="s">
        <v>50</v>
      </c>
      <c r="B36">
        <v>117</v>
      </c>
      <c r="D36">
        <v>8</v>
      </c>
      <c r="E36">
        <v>46</v>
      </c>
      <c r="G36">
        <v>3</v>
      </c>
      <c r="H36">
        <v>163</v>
      </c>
      <c r="J36">
        <v>11</v>
      </c>
    </row>
    <row r="37" spans="1:10" x14ac:dyDescent="0.2">
      <c r="A37" s="235" t="s">
        <v>51</v>
      </c>
      <c r="B37">
        <v>138</v>
      </c>
      <c r="C37">
        <v>1</v>
      </c>
      <c r="D37">
        <v>20</v>
      </c>
      <c r="E37">
        <v>62</v>
      </c>
      <c r="F37">
        <v>1</v>
      </c>
      <c r="G37">
        <v>3</v>
      </c>
      <c r="H37">
        <v>200</v>
      </c>
      <c r="I37">
        <v>2</v>
      </c>
      <c r="J37">
        <v>23</v>
      </c>
    </row>
    <row r="38" spans="1:10" x14ac:dyDescent="0.2">
      <c r="A38" s="235" t="s">
        <v>52</v>
      </c>
      <c r="B38">
        <v>187</v>
      </c>
      <c r="C38">
        <v>2</v>
      </c>
      <c r="D38">
        <v>25</v>
      </c>
      <c r="E38">
        <v>108</v>
      </c>
      <c r="G38">
        <v>6</v>
      </c>
      <c r="H38">
        <v>295</v>
      </c>
      <c r="I38">
        <v>2</v>
      </c>
      <c r="J38">
        <v>31</v>
      </c>
    </row>
    <row r="39" spans="1:10" x14ac:dyDescent="0.2">
      <c r="A39" s="235" t="s">
        <v>333</v>
      </c>
      <c r="B39">
        <v>7011</v>
      </c>
      <c r="C39">
        <v>43</v>
      </c>
      <c r="D39">
        <v>861</v>
      </c>
      <c r="E39">
        <v>2405</v>
      </c>
      <c r="F39">
        <v>10</v>
      </c>
      <c r="G39">
        <v>156</v>
      </c>
      <c r="H39">
        <v>9416</v>
      </c>
      <c r="I39">
        <v>53</v>
      </c>
      <c r="J39">
        <v>1017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58"/>
  <sheetViews>
    <sheetView workbookViewId="0">
      <selection activeCell="C33" sqref="C33"/>
    </sheetView>
  </sheetViews>
  <sheetFormatPr defaultRowHeight="12.75" x14ac:dyDescent="0.2"/>
  <cols>
    <col min="1" max="1" width="13" bestFit="1" customWidth="1"/>
    <col min="2" max="2" width="16.42578125" bestFit="1" customWidth="1"/>
    <col min="3" max="3" width="22.85546875" bestFit="1" customWidth="1"/>
    <col min="4" max="4" width="20.42578125" bestFit="1" customWidth="1"/>
    <col min="5" max="5" width="15.140625" bestFit="1" customWidth="1"/>
    <col min="6" max="6" width="27.28515625" bestFit="1" customWidth="1"/>
    <col min="7" max="7" width="16.42578125" bestFit="1" customWidth="1"/>
    <col min="8" max="8" width="22.85546875" bestFit="1" customWidth="1"/>
    <col min="9" max="9" width="20.42578125" bestFit="1" customWidth="1"/>
    <col min="10" max="10" width="15.140625" bestFit="1" customWidth="1"/>
    <col min="11" max="11" width="27.28515625" bestFit="1" customWidth="1"/>
    <col min="12" max="12" width="21.42578125" bestFit="1" customWidth="1"/>
    <col min="13" max="13" width="27.85546875" bestFit="1" customWidth="1"/>
    <col min="14" max="14" width="25.5703125" bestFit="1" customWidth="1"/>
    <col min="15" max="15" width="20.140625" bestFit="1" customWidth="1"/>
    <col min="16" max="16" width="32.28515625" bestFit="1" customWidth="1"/>
    <col min="17" max="21" width="4" customWidth="1"/>
    <col min="22" max="22" width="15.7109375" bestFit="1" customWidth="1"/>
    <col min="23" max="23" width="11.7109375" bestFit="1" customWidth="1"/>
  </cols>
  <sheetData>
    <row r="1" spans="1:16" x14ac:dyDescent="0.2">
      <c r="B1" s="234" t="s">
        <v>336</v>
      </c>
    </row>
    <row r="2" spans="1:16" x14ac:dyDescent="0.2">
      <c r="B2" t="s">
        <v>61</v>
      </c>
      <c r="G2" t="s">
        <v>116</v>
      </c>
      <c r="L2" t="s">
        <v>337</v>
      </c>
      <c r="M2" t="s">
        <v>338</v>
      </c>
      <c r="N2" t="s">
        <v>339</v>
      </c>
      <c r="O2" t="s">
        <v>340</v>
      </c>
      <c r="P2" t="s">
        <v>653</v>
      </c>
    </row>
    <row r="3" spans="1:16" x14ac:dyDescent="0.2">
      <c r="A3" s="234" t="s">
        <v>326</v>
      </c>
      <c r="B3" t="s">
        <v>328</v>
      </c>
      <c r="C3" t="s">
        <v>329</v>
      </c>
      <c r="D3" t="s">
        <v>330</v>
      </c>
      <c r="E3" t="s">
        <v>331</v>
      </c>
      <c r="F3" t="s">
        <v>652</v>
      </c>
      <c r="G3" t="s">
        <v>328</v>
      </c>
      <c r="H3" t="s">
        <v>329</v>
      </c>
      <c r="I3" t="s">
        <v>330</v>
      </c>
      <c r="J3" t="s">
        <v>331</v>
      </c>
      <c r="K3" t="s">
        <v>652</v>
      </c>
    </row>
    <row r="4" spans="1:16" x14ac:dyDescent="0.2">
      <c r="A4" s="235" t="s">
        <v>19</v>
      </c>
      <c r="B4">
        <v>5367</v>
      </c>
      <c r="C4">
        <v>2031</v>
      </c>
      <c r="D4">
        <v>1507</v>
      </c>
      <c r="E4">
        <v>472</v>
      </c>
      <c r="F4">
        <v>9377</v>
      </c>
      <c r="G4">
        <v>1193</v>
      </c>
      <c r="H4">
        <v>973</v>
      </c>
      <c r="I4">
        <v>1478</v>
      </c>
      <c r="J4">
        <v>971</v>
      </c>
      <c r="K4">
        <v>4615</v>
      </c>
      <c r="L4">
        <v>6560</v>
      </c>
      <c r="M4">
        <v>3004</v>
      </c>
      <c r="N4">
        <v>2985</v>
      </c>
      <c r="O4">
        <v>1443</v>
      </c>
      <c r="P4">
        <v>13992</v>
      </c>
    </row>
    <row r="5" spans="1:16" x14ac:dyDescent="0.2">
      <c r="A5" s="235" t="s">
        <v>20</v>
      </c>
      <c r="B5">
        <v>5209</v>
      </c>
      <c r="C5">
        <v>1980</v>
      </c>
      <c r="D5">
        <v>1433</v>
      </c>
      <c r="E5">
        <v>438</v>
      </c>
      <c r="F5">
        <v>9060</v>
      </c>
      <c r="G5">
        <v>1084</v>
      </c>
      <c r="H5">
        <v>815</v>
      </c>
      <c r="I5">
        <v>1251</v>
      </c>
      <c r="J5">
        <v>934</v>
      </c>
      <c r="K5">
        <v>4084</v>
      </c>
      <c r="L5">
        <v>6293</v>
      </c>
      <c r="M5">
        <v>2795</v>
      </c>
      <c r="N5">
        <v>2684</v>
      </c>
      <c r="O5">
        <v>1372</v>
      </c>
      <c r="P5">
        <v>13144</v>
      </c>
    </row>
    <row r="6" spans="1:16" x14ac:dyDescent="0.2">
      <c r="A6" s="235" t="s">
        <v>13</v>
      </c>
      <c r="B6">
        <v>5117</v>
      </c>
      <c r="C6">
        <v>1854</v>
      </c>
      <c r="D6">
        <v>1247</v>
      </c>
      <c r="E6">
        <v>413</v>
      </c>
      <c r="F6">
        <v>8631</v>
      </c>
      <c r="G6">
        <v>1040</v>
      </c>
      <c r="H6">
        <v>863</v>
      </c>
      <c r="I6">
        <v>1115</v>
      </c>
      <c r="J6">
        <v>762</v>
      </c>
      <c r="K6">
        <v>3780</v>
      </c>
      <c r="L6">
        <v>6157</v>
      </c>
      <c r="M6">
        <v>2717</v>
      </c>
      <c r="N6">
        <v>2362</v>
      </c>
      <c r="O6">
        <v>1175</v>
      </c>
      <c r="P6">
        <v>12411</v>
      </c>
    </row>
    <row r="7" spans="1:16" x14ac:dyDescent="0.2">
      <c r="A7" s="235" t="s">
        <v>15</v>
      </c>
      <c r="B7">
        <v>4997</v>
      </c>
      <c r="C7">
        <v>1719</v>
      </c>
      <c r="D7">
        <v>1220</v>
      </c>
      <c r="E7">
        <v>317</v>
      </c>
      <c r="F7">
        <v>8253</v>
      </c>
      <c r="G7">
        <v>832</v>
      </c>
      <c r="H7">
        <v>689</v>
      </c>
      <c r="I7">
        <v>814</v>
      </c>
      <c r="J7">
        <v>498</v>
      </c>
      <c r="K7">
        <v>2833</v>
      </c>
      <c r="L7">
        <v>5829</v>
      </c>
      <c r="M7">
        <v>2408</v>
      </c>
      <c r="N7">
        <v>2034</v>
      </c>
      <c r="O7">
        <v>815</v>
      </c>
      <c r="P7">
        <v>11086</v>
      </c>
    </row>
    <row r="8" spans="1:16" x14ac:dyDescent="0.2">
      <c r="A8" s="235" t="s">
        <v>17</v>
      </c>
      <c r="B8">
        <v>4673</v>
      </c>
      <c r="C8">
        <v>1711</v>
      </c>
      <c r="D8">
        <v>1169</v>
      </c>
      <c r="E8">
        <v>388</v>
      </c>
      <c r="F8">
        <v>7941</v>
      </c>
      <c r="G8">
        <v>650</v>
      </c>
      <c r="H8">
        <v>635</v>
      </c>
      <c r="I8">
        <v>769</v>
      </c>
      <c r="J8">
        <v>526</v>
      </c>
      <c r="K8">
        <v>2580</v>
      </c>
      <c r="L8">
        <v>5323</v>
      </c>
      <c r="M8">
        <v>2346</v>
      </c>
      <c r="N8">
        <v>1938</v>
      </c>
      <c r="O8">
        <v>914</v>
      </c>
      <c r="P8">
        <v>10521</v>
      </c>
    </row>
    <row r="9" spans="1:16" x14ac:dyDescent="0.2">
      <c r="A9" s="235" t="s">
        <v>133</v>
      </c>
      <c r="B9">
        <v>4953</v>
      </c>
      <c r="C9">
        <v>1759</v>
      </c>
      <c r="D9">
        <v>1148</v>
      </c>
      <c r="E9">
        <v>360</v>
      </c>
      <c r="F9">
        <v>8220</v>
      </c>
      <c r="G9">
        <v>621</v>
      </c>
      <c r="H9">
        <v>565</v>
      </c>
      <c r="I9">
        <v>749</v>
      </c>
      <c r="J9">
        <v>478</v>
      </c>
      <c r="K9">
        <v>2413</v>
      </c>
      <c r="L9">
        <v>5574</v>
      </c>
      <c r="M9">
        <v>2324</v>
      </c>
      <c r="N9">
        <v>1897</v>
      </c>
      <c r="O9">
        <v>838</v>
      </c>
      <c r="P9">
        <v>10633</v>
      </c>
    </row>
    <row r="10" spans="1:16" x14ac:dyDescent="0.2">
      <c r="A10" s="235" t="s">
        <v>144</v>
      </c>
      <c r="B10">
        <v>5068</v>
      </c>
      <c r="C10">
        <v>1850</v>
      </c>
      <c r="D10">
        <v>1165</v>
      </c>
      <c r="E10">
        <v>336</v>
      </c>
      <c r="F10">
        <v>8419</v>
      </c>
      <c r="G10">
        <v>605</v>
      </c>
      <c r="H10">
        <v>644</v>
      </c>
      <c r="I10">
        <v>800</v>
      </c>
      <c r="J10">
        <v>538</v>
      </c>
      <c r="K10">
        <v>2587</v>
      </c>
      <c r="L10">
        <v>5673</v>
      </c>
      <c r="M10">
        <v>2494</v>
      </c>
      <c r="N10">
        <v>1965</v>
      </c>
      <c r="O10">
        <v>874</v>
      </c>
      <c r="P10">
        <v>11006</v>
      </c>
    </row>
    <row r="11" spans="1:16" x14ac:dyDescent="0.2">
      <c r="A11" s="235" t="s">
        <v>282</v>
      </c>
      <c r="B11">
        <v>4922</v>
      </c>
      <c r="C11">
        <v>1720</v>
      </c>
      <c r="D11">
        <v>1211</v>
      </c>
      <c r="E11">
        <v>346</v>
      </c>
      <c r="F11">
        <v>8199</v>
      </c>
      <c r="G11">
        <v>618</v>
      </c>
      <c r="H11">
        <v>557</v>
      </c>
      <c r="I11">
        <v>909</v>
      </c>
      <c r="J11">
        <v>611</v>
      </c>
      <c r="K11">
        <v>2695</v>
      </c>
      <c r="L11">
        <v>5540</v>
      </c>
      <c r="M11">
        <v>2277</v>
      </c>
      <c r="N11">
        <v>2120</v>
      </c>
      <c r="O11">
        <v>957</v>
      </c>
      <c r="P11">
        <v>10894</v>
      </c>
    </row>
    <row r="12" spans="1:16" x14ac:dyDescent="0.2">
      <c r="A12" s="235" t="s">
        <v>311</v>
      </c>
      <c r="B12">
        <v>4751</v>
      </c>
      <c r="C12">
        <v>1639</v>
      </c>
      <c r="D12">
        <v>1153</v>
      </c>
      <c r="E12">
        <v>398</v>
      </c>
      <c r="F12">
        <v>7941</v>
      </c>
      <c r="G12">
        <v>560</v>
      </c>
      <c r="H12">
        <v>648</v>
      </c>
      <c r="I12">
        <v>863</v>
      </c>
      <c r="J12">
        <v>660</v>
      </c>
      <c r="K12">
        <v>2731</v>
      </c>
      <c r="L12">
        <v>5311</v>
      </c>
      <c r="M12">
        <v>2287</v>
      </c>
      <c r="N12">
        <v>2016</v>
      </c>
      <c r="O12">
        <v>1058</v>
      </c>
      <c r="P12">
        <v>10672</v>
      </c>
    </row>
    <row r="13" spans="1:16" x14ac:dyDescent="0.2">
      <c r="A13" s="235" t="s">
        <v>621</v>
      </c>
      <c r="B13">
        <v>4635</v>
      </c>
      <c r="C13">
        <v>1703</v>
      </c>
      <c r="D13">
        <v>1165</v>
      </c>
      <c r="E13">
        <v>466</v>
      </c>
      <c r="F13">
        <v>7969</v>
      </c>
      <c r="G13">
        <v>510</v>
      </c>
      <c r="H13">
        <v>549</v>
      </c>
      <c r="I13">
        <v>787</v>
      </c>
      <c r="J13">
        <v>658</v>
      </c>
      <c r="K13">
        <v>2504</v>
      </c>
      <c r="L13">
        <v>5145</v>
      </c>
      <c r="M13">
        <v>2252</v>
      </c>
      <c r="N13">
        <v>1952</v>
      </c>
      <c r="O13">
        <v>1124</v>
      </c>
      <c r="P13">
        <v>10473</v>
      </c>
    </row>
    <row r="14" spans="1:16" x14ac:dyDescent="0.2">
      <c r="A14" s="235" t="s">
        <v>1419</v>
      </c>
      <c r="B14">
        <v>4365</v>
      </c>
      <c r="C14">
        <v>1506</v>
      </c>
      <c r="D14">
        <v>1207</v>
      </c>
      <c r="E14">
        <v>331</v>
      </c>
      <c r="F14">
        <v>7409</v>
      </c>
      <c r="G14">
        <v>525</v>
      </c>
      <c r="H14">
        <v>474</v>
      </c>
      <c r="I14">
        <v>892</v>
      </c>
      <c r="J14">
        <v>552</v>
      </c>
      <c r="K14">
        <v>2443</v>
      </c>
      <c r="L14">
        <v>4890</v>
      </c>
      <c r="M14">
        <v>1980</v>
      </c>
      <c r="N14">
        <v>2099</v>
      </c>
      <c r="O14">
        <v>883</v>
      </c>
      <c r="P14">
        <v>9852</v>
      </c>
    </row>
    <row r="15" spans="1:16" x14ac:dyDescent="0.2">
      <c r="A15" s="235" t="s">
        <v>1572</v>
      </c>
      <c r="B15">
        <v>4141</v>
      </c>
      <c r="C15">
        <v>1335</v>
      </c>
      <c r="D15">
        <v>1055</v>
      </c>
      <c r="E15">
        <v>480</v>
      </c>
      <c r="F15">
        <v>7011</v>
      </c>
      <c r="G15">
        <v>520</v>
      </c>
      <c r="H15">
        <v>383</v>
      </c>
      <c r="I15">
        <v>761</v>
      </c>
      <c r="J15">
        <v>741</v>
      </c>
      <c r="K15">
        <v>2405</v>
      </c>
      <c r="L15">
        <v>4661</v>
      </c>
      <c r="M15">
        <v>1718</v>
      </c>
      <c r="N15">
        <v>1816</v>
      </c>
      <c r="O15">
        <v>1221</v>
      </c>
      <c r="P15">
        <v>9416</v>
      </c>
    </row>
    <row r="16" spans="1:16" x14ac:dyDescent="0.2">
      <c r="A16" s="235" t="s">
        <v>333</v>
      </c>
      <c r="B16">
        <v>58198</v>
      </c>
      <c r="C16">
        <v>20807</v>
      </c>
      <c r="D16">
        <v>14680</v>
      </c>
      <c r="E16">
        <v>4745</v>
      </c>
      <c r="F16">
        <v>98430</v>
      </c>
      <c r="G16">
        <v>8758</v>
      </c>
      <c r="H16">
        <v>7795</v>
      </c>
      <c r="I16">
        <v>11188</v>
      </c>
      <c r="J16">
        <v>7929</v>
      </c>
      <c r="K16">
        <v>35670</v>
      </c>
      <c r="L16">
        <v>66956</v>
      </c>
      <c r="M16">
        <v>28602</v>
      </c>
      <c r="N16">
        <v>25868</v>
      </c>
      <c r="O16">
        <v>12674</v>
      </c>
      <c r="P16">
        <v>134100</v>
      </c>
    </row>
    <row r="22" spans="1:16" x14ac:dyDescent="0.2">
      <c r="B22" s="234" t="s">
        <v>336</v>
      </c>
    </row>
    <row r="23" spans="1:16" x14ac:dyDescent="0.2">
      <c r="B23" t="s">
        <v>61</v>
      </c>
      <c r="G23" t="s">
        <v>116</v>
      </c>
      <c r="L23" t="s">
        <v>337</v>
      </c>
      <c r="M23" t="s">
        <v>338</v>
      </c>
      <c r="N23" t="s">
        <v>339</v>
      </c>
      <c r="O23" t="s">
        <v>340</v>
      </c>
      <c r="P23" t="s">
        <v>654</v>
      </c>
    </row>
    <row r="24" spans="1:16" x14ac:dyDescent="0.2">
      <c r="A24" s="234" t="s">
        <v>326</v>
      </c>
      <c r="B24" t="s">
        <v>328</v>
      </c>
      <c r="C24" t="s">
        <v>329</v>
      </c>
      <c r="D24" t="s">
        <v>330</v>
      </c>
      <c r="E24" t="s">
        <v>331</v>
      </c>
      <c r="F24" t="s">
        <v>655</v>
      </c>
      <c r="G24" t="s">
        <v>328</v>
      </c>
      <c r="H24" t="s">
        <v>329</v>
      </c>
      <c r="I24" t="s">
        <v>330</v>
      </c>
      <c r="J24" t="s">
        <v>331</v>
      </c>
      <c r="K24" t="s">
        <v>655</v>
      </c>
    </row>
    <row r="25" spans="1:16" x14ac:dyDescent="0.2">
      <c r="A25" s="235" t="s">
        <v>19</v>
      </c>
      <c r="B25">
        <v>48</v>
      </c>
      <c r="C25">
        <v>4</v>
      </c>
      <c r="D25">
        <v>2</v>
      </c>
      <c r="E25">
        <v>1</v>
      </c>
      <c r="F25">
        <v>55</v>
      </c>
      <c r="G25">
        <v>5</v>
      </c>
      <c r="I25">
        <v>2</v>
      </c>
      <c r="K25">
        <v>7</v>
      </c>
      <c r="L25">
        <v>53</v>
      </c>
      <c r="M25">
        <v>4</v>
      </c>
      <c r="N25">
        <v>4</v>
      </c>
      <c r="O25">
        <v>1</v>
      </c>
      <c r="P25">
        <v>62</v>
      </c>
    </row>
    <row r="26" spans="1:16" x14ac:dyDescent="0.2">
      <c r="A26" s="235" t="s">
        <v>20</v>
      </c>
      <c r="B26">
        <v>43</v>
      </c>
      <c r="C26">
        <v>2</v>
      </c>
      <c r="D26">
        <v>2</v>
      </c>
      <c r="E26">
        <v>1</v>
      </c>
      <c r="F26">
        <v>48</v>
      </c>
      <c r="G26">
        <v>2</v>
      </c>
      <c r="H26">
        <v>1</v>
      </c>
      <c r="I26">
        <v>1</v>
      </c>
      <c r="K26">
        <v>4</v>
      </c>
      <c r="L26">
        <v>45</v>
      </c>
      <c r="M26">
        <v>3</v>
      </c>
      <c r="N26">
        <v>3</v>
      </c>
      <c r="O26">
        <v>1</v>
      </c>
      <c r="P26">
        <v>52</v>
      </c>
    </row>
    <row r="27" spans="1:16" x14ac:dyDescent="0.2">
      <c r="A27" s="235" t="s">
        <v>13</v>
      </c>
      <c r="B27">
        <v>44</v>
      </c>
      <c r="C27">
        <v>4</v>
      </c>
      <c r="D27">
        <v>2</v>
      </c>
      <c r="E27">
        <v>1</v>
      </c>
      <c r="F27">
        <v>51</v>
      </c>
      <c r="G27">
        <v>7</v>
      </c>
      <c r="I27">
        <v>1</v>
      </c>
      <c r="K27">
        <v>8</v>
      </c>
      <c r="L27">
        <v>51</v>
      </c>
      <c r="M27">
        <v>4</v>
      </c>
      <c r="N27">
        <v>3</v>
      </c>
      <c r="O27">
        <v>1</v>
      </c>
      <c r="P27">
        <v>59</v>
      </c>
    </row>
    <row r="28" spans="1:16" x14ac:dyDescent="0.2">
      <c r="A28" s="235" t="s">
        <v>15</v>
      </c>
      <c r="B28">
        <v>36</v>
      </c>
      <c r="C28">
        <v>2</v>
      </c>
      <c r="E28">
        <v>1</v>
      </c>
      <c r="F28">
        <v>39</v>
      </c>
      <c r="G28">
        <v>4</v>
      </c>
      <c r="I28">
        <v>2</v>
      </c>
      <c r="J28">
        <v>1</v>
      </c>
      <c r="K28">
        <v>7</v>
      </c>
      <c r="L28">
        <v>40</v>
      </c>
      <c r="M28">
        <v>2</v>
      </c>
      <c r="N28">
        <v>2</v>
      </c>
      <c r="O28">
        <v>2</v>
      </c>
      <c r="P28">
        <v>46</v>
      </c>
    </row>
    <row r="29" spans="1:16" x14ac:dyDescent="0.2">
      <c r="A29" s="235" t="s">
        <v>17</v>
      </c>
      <c r="B29">
        <v>25</v>
      </c>
      <c r="D29">
        <v>1</v>
      </c>
      <c r="F29">
        <v>26</v>
      </c>
      <c r="G29">
        <v>4</v>
      </c>
      <c r="H29">
        <v>1</v>
      </c>
      <c r="K29">
        <v>5</v>
      </c>
      <c r="L29">
        <v>29</v>
      </c>
      <c r="M29">
        <v>1</v>
      </c>
      <c r="N29">
        <v>1</v>
      </c>
      <c r="P29">
        <v>31</v>
      </c>
    </row>
    <row r="30" spans="1:16" x14ac:dyDescent="0.2">
      <c r="A30" s="235" t="s">
        <v>133</v>
      </c>
      <c r="B30">
        <v>27</v>
      </c>
      <c r="C30">
        <v>2</v>
      </c>
      <c r="E30">
        <v>3</v>
      </c>
      <c r="F30">
        <v>32</v>
      </c>
      <c r="G30">
        <v>4</v>
      </c>
      <c r="H30">
        <v>1</v>
      </c>
      <c r="I30">
        <v>1</v>
      </c>
      <c r="J30">
        <v>2</v>
      </c>
      <c r="K30">
        <v>8</v>
      </c>
      <c r="L30">
        <v>31</v>
      </c>
      <c r="M30">
        <v>3</v>
      </c>
      <c r="N30">
        <v>1</v>
      </c>
      <c r="O30">
        <v>5</v>
      </c>
      <c r="P30">
        <v>40</v>
      </c>
    </row>
    <row r="31" spans="1:16" x14ac:dyDescent="0.2">
      <c r="A31" s="235" t="s">
        <v>144</v>
      </c>
      <c r="B31">
        <v>33</v>
      </c>
      <c r="C31">
        <v>2</v>
      </c>
      <c r="D31">
        <v>2</v>
      </c>
      <c r="F31">
        <v>37</v>
      </c>
      <c r="G31">
        <v>6</v>
      </c>
      <c r="H31">
        <v>1</v>
      </c>
      <c r="I31">
        <v>1</v>
      </c>
      <c r="K31">
        <v>8</v>
      </c>
      <c r="L31">
        <v>39</v>
      </c>
      <c r="M31">
        <v>3</v>
      </c>
      <c r="N31">
        <v>3</v>
      </c>
      <c r="P31">
        <v>45</v>
      </c>
    </row>
    <row r="32" spans="1:16" x14ac:dyDescent="0.2">
      <c r="A32" s="235" t="s">
        <v>282</v>
      </c>
      <c r="B32">
        <v>31</v>
      </c>
      <c r="C32">
        <v>3</v>
      </c>
      <c r="D32">
        <v>1</v>
      </c>
      <c r="F32">
        <v>35</v>
      </c>
      <c r="G32">
        <v>5</v>
      </c>
      <c r="I32">
        <v>4</v>
      </c>
      <c r="K32">
        <v>9</v>
      </c>
      <c r="L32">
        <v>36</v>
      </c>
      <c r="M32">
        <v>3</v>
      </c>
      <c r="N32">
        <v>5</v>
      </c>
      <c r="P32">
        <v>44</v>
      </c>
    </row>
    <row r="33" spans="1:16" x14ac:dyDescent="0.2">
      <c r="A33" s="235" t="s">
        <v>311</v>
      </c>
      <c r="B33">
        <v>34</v>
      </c>
      <c r="C33">
        <v>3</v>
      </c>
      <c r="D33">
        <v>3</v>
      </c>
      <c r="E33">
        <v>1</v>
      </c>
      <c r="F33">
        <v>41</v>
      </c>
      <c r="G33">
        <v>3</v>
      </c>
      <c r="K33">
        <v>3</v>
      </c>
      <c r="L33">
        <v>37</v>
      </c>
      <c r="M33">
        <v>3</v>
      </c>
      <c r="N33">
        <v>3</v>
      </c>
      <c r="O33">
        <v>1</v>
      </c>
      <c r="P33">
        <v>44</v>
      </c>
    </row>
    <row r="34" spans="1:16" x14ac:dyDescent="0.2">
      <c r="A34" s="235" t="s">
        <v>621</v>
      </c>
      <c r="B34">
        <v>36</v>
      </c>
      <c r="C34">
        <v>1</v>
      </c>
      <c r="E34">
        <v>1</v>
      </c>
      <c r="F34">
        <v>38</v>
      </c>
      <c r="G34">
        <v>4</v>
      </c>
      <c r="I34">
        <v>1</v>
      </c>
      <c r="J34">
        <v>1</v>
      </c>
      <c r="K34">
        <v>6</v>
      </c>
      <c r="L34">
        <v>40</v>
      </c>
      <c r="M34">
        <v>1</v>
      </c>
      <c r="N34">
        <v>1</v>
      </c>
      <c r="O34">
        <v>2</v>
      </c>
      <c r="P34">
        <v>44</v>
      </c>
    </row>
    <row r="35" spans="1:16" x14ac:dyDescent="0.2">
      <c r="A35" s="235" t="s">
        <v>1419</v>
      </c>
      <c r="B35">
        <v>21</v>
      </c>
      <c r="C35">
        <v>2</v>
      </c>
      <c r="D35">
        <v>2</v>
      </c>
      <c r="F35">
        <v>25</v>
      </c>
      <c r="H35">
        <v>1</v>
      </c>
      <c r="I35">
        <v>1</v>
      </c>
      <c r="K35">
        <v>2</v>
      </c>
      <c r="L35">
        <v>21</v>
      </c>
      <c r="M35">
        <v>3</v>
      </c>
      <c r="N35">
        <v>3</v>
      </c>
      <c r="P35">
        <v>27</v>
      </c>
    </row>
    <row r="36" spans="1:16" x14ac:dyDescent="0.2">
      <c r="A36" s="235" t="s">
        <v>1572</v>
      </c>
      <c r="B36">
        <v>36</v>
      </c>
      <c r="C36">
        <v>2</v>
      </c>
      <c r="D36">
        <v>4</v>
      </c>
      <c r="E36">
        <v>1</v>
      </c>
      <c r="F36">
        <v>43</v>
      </c>
      <c r="G36">
        <v>8</v>
      </c>
      <c r="I36">
        <v>1</v>
      </c>
      <c r="J36">
        <v>1</v>
      </c>
      <c r="K36">
        <v>10</v>
      </c>
      <c r="L36">
        <v>44</v>
      </c>
      <c r="M36">
        <v>2</v>
      </c>
      <c r="N36">
        <v>5</v>
      </c>
      <c r="O36">
        <v>2</v>
      </c>
      <c r="P36">
        <v>53</v>
      </c>
    </row>
    <row r="37" spans="1:16" x14ac:dyDescent="0.2">
      <c r="A37" s="235" t="s">
        <v>333</v>
      </c>
      <c r="B37">
        <v>414</v>
      </c>
      <c r="C37">
        <v>27</v>
      </c>
      <c r="D37">
        <v>19</v>
      </c>
      <c r="E37">
        <v>10</v>
      </c>
      <c r="F37">
        <v>470</v>
      </c>
      <c r="G37">
        <v>52</v>
      </c>
      <c r="H37">
        <v>5</v>
      </c>
      <c r="I37">
        <v>15</v>
      </c>
      <c r="J37">
        <v>5</v>
      </c>
      <c r="K37">
        <v>77</v>
      </c>
      <c r="L37">
        <v>466</v>
      </c>
      <c r="M37">
        <v>32</v>
      </c>
      <c r="N37">
        <v>34</v>
      </c>
      <c r="O37">
        <v>15</v>
      </c>
      <c r="P37">
        <v>547</v>
      </c>
    </row>
    <row r="43" spans="1:16" x14ac:dyDescent="0.2">
      <c r="B43" s="234" t="s">
        <v>336</v>
      </c>
    </row>
    <row r="44" spans="1:16" x14ac:dyDescent="0.2">
      <c r="B44" t="s">
        <v>61</v>
      </c>
      <c r="G44" t="s">
        <v>116</v>
      </c>
      <c r="L44" t="s">
        <v>337</v>
      </c>
      <c r="M44" t="s">
        <v>338</v>
      </c>
      <c r="N44" t="s">
        <v>339</v>
      </c>
      <c r="O44" t="s">
        <v>340</v>
      </c>
      <c r="P44" t="s">
        <v>657</v>
      </c>
    </row>
    <row r="45" spans="1:16" x14ac:dyDescent="0.2">
      <c r="A45" s="234" t="s">
        <v>326</v>
      </c>
      <c r="B45" t="s">
        <v>328</v>
      </c>
      <c r="C45" t="s">
        <v>329</v>
      </c>
      <c r="D45" t="s">
        <v>330</v>
      </c>
      <c r="E45" t="s">
        <v>331</v>
      </c>
      <c r="F45" t="s">
        <v>656</v>
      </c>
      <c r="G45" t="s">
        <v>328</v>
      </c>
      <c r="H45" t="s">
        <v>329</v>
      </c>
      <c r="I45" t="s">
        <v>330</v>
      </c>
      <c r="J45" t="s">
        <v>331</v>
      </c>
      <c r="K45" t="s">
        <v>656</v>
      </c>
    </row>
    <row r="46" spans="1:16" x14ac:dyDescent="0.2">
      <c r="A46" s="235" t="s">
        <v>19</v>
      </c>
      <c r="B46">
        <v>892</v>
      </c>
      <c r="C46">
        <v>74</v>
      </c>
      <c r="D46">
        <v>57</v>
      </c>
      <c r="E46">
        <v>19</v>
      </c>
      <c r="F46">
        <v>1042</v>
      </c>
      <c r="G46">
        <v>140</v>
      </c>
      <c r="H46">
        <v>21</v>
      </c>
      <c r="I46">
        <v>9</v>
      </c>
      <c r="J46">
        <v>11</v>
      </c>
      <c r="K46">
        <v>181</v>
      </c>
      <c r="L46">
        <v>1032</v>
      </c>
      <c r="M46">
        <v>95</v>
      </c>
      <c r="N46">
        <v>66</v>
      </c>
      <c r="O46">
        <v>30</v>
      </c>
      <c r="P46">
        <v>1223</v>
      </c>
    </row>
    <row r="47" spans="1:16" x14ac:dyDescent="0.2">
      <c r="A47" s="235" t="s">
        <v>20</v>
      </c>
      <c r="B47">
        <v>975</v>
      </c>
      <c r="C47">
        <v>70</v>
      </c>
      <c r="D47">
        <v>38</v>
      </c>
      <c r="E47">
        <v>18</v>
      </c>
      <c r="F47">
        <v>1101</v>
      </c>
      <c r="G47">
        <v>167</v>
      </c>
      <c r="H47">
        <v>39</v>
      </c>
      <c r="I47">
        <v>5</v>
      </c>
      <c r="J47">
        <v>20</v>
      </c>
      <c r="K47">
        <v>231</v>
      </c>
      <c r="L47">
        <v>1142</v>
      </c>
      <c r="M47">
        <v>109</v>
      </c>
      <c r="N47">
        <v>43</v>
      </c>
      <c r="O47">
        <v>38</v>
      </c>
      <c r="P47">
        <v>1332</v>
      </c>
    </row>
    <row r="48" spans="1:16" x14ac:dyDescent="0.2">
      <c r="A48" s="235" t="s">
        <v>13</v>
      </c>
      <c r="B48">
        <v>982</v>
      </c>
      <c r="C48">
        <v>82</v>
      </c>
      <c r="D48">
        <v>53</v>
      </c>
      <c r="E48">
        <v>16</v>
      </c>
      <c r="F48">
        <v>1133</v>
      </c>
      <c r="G48">
        <v>237</v>
      </c>
      <c r="H48">
        <v>17</v>
      </c>
      <c r="I48">
        <v>5</v>
      </c>
      <c r="J48">
        <v>22</v>
      </c>
      <c r="K48">
        <v>281</v>
      </c>
      <c r="L48">
        <v>1219</v>
      </c>
      <c r="M48">
        <v>99</v>
      </c>
      <c r="N48">
        <v>58</v>
      </c>
      <c r="O48">
        <v>38</v>
      </c>
      <c r="P48">
        <v>1414</v>
      </c>
    </row>
    <row r="49" spans="1:16" x14ac:dyDescent="0.2">
      <c r="A49" s="235" t="s">
        <v>15</v>
      </c>
      <c r="B49">
        <v>1014</v>
      </c>
      <c r="C49">
        <v>62</v>
      </c>
      <c r="D49">
        <v>34</v>
      </c>
      <c r="E49">
        <v>15</v>
      </c>
      <c r="F49">
        <v>1125</v>
      </c>
      <c r="G49">
        <v>152</v>
      </c>
      <c r="H49">
        <v>30</v>
      </c>
      <c r="I49">
        <v>1</v>
      </c>
      <c r="J49">
        <v>11</v>
      </c>
      <c r="K49">
        <v>194</v>
      </c>
      <c r="L49">
        <v>1166</v>
      </c>
      <c r="M49">
        <v>92</v>
      </c>
      <c r="N49">
        <v>35</v>
      </c>
      <c r="O49">
        <v>26</v>
      </c>
      <c r="P49">
        <v>1319</v>
      </c>
    </row>
    <row r="50" spans="1:16" x14ac:dyDescent="0.2">
      <c r="A50" s="235" t="s">
        <v>17</v>
      </c>
      <c r="B50">
        <v>986</v>
      </c>
      <c r="C50">
        <v>62</v>
      </c>
      <c r="D50">
        <v>48</v>
      </c>
      <c r="E50">
        <v>22</v>
      </c>
      <c r="F50">
        <v>1118</v>
      </c>
      <c r="G50">
        <v>154</v>
      </c>
      <c r="H50">
        <v>24</v>
      </c>
      <c r="I50">
        <v>2</v>
      </c>
      <c r="J50">
        <v>12</v>
      </c>
      <c r="K50">
        <v>192</v>
      </c>
      <c r="L50">
        <v>1140</v>
      </c>
      <c r="M50">
        <v>86</v>
      </c>
      <c r="N50">
        <v>50</v>
      </c>
      <c r="O50">
        <v>34</v>
      </c>
      <c r="P50">
        <v>1310</v>
      </c>
    </row>
    <row r="51" spans="1:16" x14ac:dyDescent="0.2">
      <c r="A51" s="235" t="s">
        <v>133</v>
      </c>
      <c r="B51">
        <v>826</v>
      </c>
      <c r="C51">
        <v>66</v>
      </c>
      <c r="D51">
        <v>35</v>
      </c>
      <c r="E51">
        <v>13</v>
      </c>
      <c r="F51">
        <v>940</v>
      </c>
      <c r="G51">
        <v>121</v>
      </c>
      <c r="H51">
        <v>25</v>
      </c>
      <c r="I51">
        <v>5</v>
      </c>
      <c r="J51">
        <v>8</v>
      </c>
      <c r="K51">
        <v>159</v>
      </c>
      <c r="L51">
        <v>947</v>
      </c>
      <c r="M51">
        <v>91</v>
      </c>
      <c r="N51">
        <v>40</v>
      </c>
      <c r="O51">
        <v>21</v>
      </c>
      <c r="P51">
        <v>1099</v>
      </c>
    </row>
    <row r="52" spans="1:16" x14ac:dyDescent="0.2">
      <c r="A52" s="235" t="s">
        <v>144</v>
      </c>
      <c r="B52">
        <v>925</v>
      </c>
      <c r="C52">
        <v>94</v>
      </c>
      <c r="D52">
        <v>57</v>
      </c>
      <c r="E52">
        <v>17</v>
      </c>
      <c r="F52">
        <v>1093</v>
      </c>
      <c r="G52">
        <v>138</v>
      </c>
      <c r="H52">
        <v>23</v>
      </c>
      <c r="I52">
        <v>4</v>
      </c>
      <c r="J52">
        <v>18</v>
      </c>
      <c r="K52">
        <v>183</v>
      </c>
      <c r="L52">
        <v>1063</v>
      </c>
      <c r="M52">
        <v>117</v>
      </c>
      <c r="N52">
        <v>61</v>
      </c>
      <c r="O52">
        <v>35</v>
      </c>
      <c r="P52">
        <v>1276</v>
      </c>
    </row>
    <row r="53" spans="1:16" x14ac:dyDescent="0.2">
      <c r="A53" s="235" t="s">
        <v>282</v>
      </c>
      <c r="B53">
        <v>940</v>
      </c>
      <c r="C53">
        <v>55</v>
      </c>
      <c r="D53">
        <v>38</v>
      </c>
      <c r="E53">
        <v>20</v>
      </c>
      <c r="F53">
        <v>1053</v>
      </c>
      <c r="G53">
        <v>175</v>
      </c>
      <c r="H53">
        <v>17</v>
      </c>
      <c r="I53">
        <v>10</v>
      </c>
      <c r="J53">
        <v>11</v>
      </c>
      <c r="K53">
        <v>213</v>
      </c>
      <c r="L53">
        <v>1115</v>
      </c>
      <c r="M53">
        <v>72</v>
      </c>
      <c r="N53">
        <v>48</v>
      </c>
      <c r="O53">
        <v>31</v>
      </c>
      <c r="P53">
        <v>1266</v>
      </c>
    </row>
    <row r="54" spans="1:16" x14ac:dyDescent="0.2">
      <c r="A54" s="235" t="s">
        <v>311</v>
      </c>
      <c r="B54">
        <v>797</v>
      </c>
      <c r="C54">
        <v>74</v>
      </c>
      <c r="D54">
        <v>48</v>
      </c>
      <c r="E54">
        <v>16</v>
      </c>
      <c r="F54">
        <v>935</v>
      </c>
      <c r="G54">
        <v>124</v>
      </c>
      <c r="H54">
        <v>45</v>
      </c>
      <c r="I54">
        <v>3</v>
      </c>
      <c r="J54">
        <v>9</v>
      </c>
      <c r="K54">
        <v>181</v>
      </c>
      <c r="L54">
        <v>921</v>
      </c>
      <c r="M54">
        <v>119</v>
      </c>
      <c r="N54">
        <v>51</v>
      </c>
      <c r="O54">
        <v>25</v>
      </c>
      <c r="P54">
        <v>1116</v>
      </c>
    </row>
    <row r="55" spans="1:16" x14ac:dyDescent="0.2">
      <c r="A55" s="235" t="s">
        <v>621</v>
      </c>
      <c r="B55">
        <v>886</v>
      </c>
      <c r="C55">
        <v>75</v>
      </c>
      <c r="D55">
        <v>26</v>
      </c>
      <c r="E55">
        <v>21</v>
      </c>
      <c r="F55">
        <v>1008</v>
      </c>
      <c r="G55">
        <v>130</v>
      </c>
      <c r="H55">
        <v>34</v>
      </c>
      <c r="I55">
        <v>8</v>
      </c>
      <c r="J55">
        <v>17</v>
      </c>
      <c r="K55">
        <v>189</v>
      </c>
      <c r="L55">
        <v>1016</v>
      </c>
      <c r="M55">
        <v>109</v>
      </c>
      <c r="N55">
        <v>34</v>
      </c>
      <c r="O55">
        <v>38</v>
      </c>
      <c r="P55">
        <v>1197</v>
      </c>
    </row>
    <row r="56" spans="1:16" x14ac:dyDescent="0.2">
      <c r="A56" s="235" t="s">
        <v>1419</v>
      </c>
      <c r="B56">
        <v>743</v>
      </c>
      <c r="C56">
        <v>71</v>
      </c>
      <c r="D56">
        <v>27</v>
      </c>
      <c r="E56">
        <v>19</v>
      </c>
      <c r="F56">
        <v>860</v>
      </c>
      <c r="G56">
        <v>134</v>
      </c>
      <c r="H56">
        <v>20</v>
      </c>
      <c r="I56">
        <v>2</v>
      </c>
      <c r="J56">
        <v>11</v>
      </c>
      <c r="K56">
        <v>167</v>
      </c>
      <c r="L56">
        <v>877</v>
      </c>
      <c r="M56">
        <v>91</v>
      </c>
      <c r="N56">
        <v>29</v>
      </c>
      <c r="O56">
        <v>30</v>
      </c>
      <c r="P56">
        <v>1027</v>
      </c>
    </row>
    <row r="57" spans="1:16" x14ac:dyDescent="0.2">
      <c r="A57" s="235" t="s">
        <v>1572</v>
      </c>
      <c r="B57">
        <v>751</v>
      </c>
      <c r="C57">
        <v>61</v>
      </c>
      <c r="D57">
        <v>18</v>
      </c>
      <c r="E57">
        <v>31</v>
      </c>
      <c r="F57">
        <v>861</v>
      </c>
      <c r="G57">
        <v>125</v>
      </c>
      <c r="H57">
        <v>13</v>
      </c>
      <c r="I57">
        <v>4</v>
      </c>
      <c r="J57">
        <v>14</v>
      </c>
      <c r="K57">
        <v>156</v>
      </c>
      <c r="L57">
        <v>876</v>
      </c>
      <c r="M57">
        <v>74</v>
      </c>
      <c r="N57">
        <v>22</v>
      </c>
      <c r="O57">
        <v>45</v>
      </c>
      <c r="P57">
        <v>1017</v>
      </c>
    </row>
    <row r="58" spans="1:16" x14ac:dyDescent="0.2">
      <c r="A58" s="235" t="s">
        <v>333</v>
      </c>
      <c r="B58">
        <v>10717</v>
      </c>
      <c r="C58">
        <v>846</v>
      </c>
      <c r="D58">
        <v>479</v>
      </c>
      <c r="E58">
        <v>227</v>
      </c>
      <c r="F58">
        <v>12269</v>
      </c>
      <c r="G58">
        <v>1797</v>
      </c>
      <c r="H58">
        <v>308</v>
      </c>
      <c r="I58">
        <v>58</v>
      </c>
      <c r="J58">
        <v>164</v>
      </c>
      <c r="K58">
        <v>2327</v>
      </c>
      <c r="L58">
        <v>12514</v>
      </c>
      <c r="M58">
        <v>1154</v>
      </c>
      <c r="N58">
        <v>537</v>
      </c>
      <c r="O58">
        <v>391</v>
      </c>
      <c r="P58">
        <v>14596</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D37"/>
  <sheetViews>
    <sheetView workbookViewId="0">
      <selection activeCell="E30" sqref="E30"/>
    </sheetView>
  </sheetViews>
  <sheetFormatPr defaultRowHeight="12.75" x14ac:dyDescent="0.2"/>
  <cols>
    <col min="1" max="1" width="19.5703125" bestFit="1" customWidth="1"/>
    <col min="2" max="2" width="10.7109375" bestFit="1" customWidth="1"/>
    <col min="3" max="3" width="16.42578125" bestFit="1" customWidth="1"/>
    <col min="4" max="4" width="16.140625" bestFit="1" customWidth="1"/>
  </cols>
  <sheetData>
    <row r="2" spans="1:4" x14ac:dyDescent="0.2">
      <c r="A2" s="234" t="s">
        <v>4</v>
      </c>
      <c r="B2" t="s">
        <v>1572</v>
      </c>
    </row>
    <row r="4" spans="1:4" x14ac:dyDescent="0.2">
      <c r="A4" s="234" t="s">
        <v>326</v>
      </c>
      <c r="B4" t="s">
        <v>335</v>
      </c>
      <c r="C4" t="s">
        <v>395</v>
      </c>
      <c r="D4" t="s">
        <v>396</v>
      </c>
    </row>
    <row r="5" spans="1:4" x14ac:dyDescent="0.2">
      <c r="A5" s="235" t="s">
        <v>23</v>
      </c>
      <c r="B5">
        <v>229060</v>
      </c>
      <c r="C5">
        <v>330</v>
      </c>
      <c r="D5">
        <v>97</v>
      </c>
    </row>
    <row r="6" spans="1:4" x14ac:dyDescent="0.2">
      <c r="A6" s="235" t="s">
        <v>24</v>
      </c>
      <c r="B6">
        <v>260780</v>
      </c>
      <c r="C6">
        <v>330</v>
      </c>
      <c r="D6">
        <v>76</v>
      </c>
    </row>
    <row r="7" spans="1:4" x14ac:dyDescent="0.2">
      <c r="A7" s="235" t="s">
        <v>25</v>
      </c>
      <c r="B7">
        <v>115820</v>
      </c>
      <c r="C7">
        <v>130</v>
      </c>
      <c r="D7">
        <v>42</v>
      </c>
    </row>
    <row r="8" spans="1:4" x14ac:dyDescent="0.2">
      <c r="A8" s="235" t="s">
        <v>26</v>
      </c>
      <c r="B8">
        <v>85430</v>
      </c>
      <c r="C8">
        <v>145</v>
      </c>
      <c r="D8">
        <v>13</v>
      </c>
    </row>
    <row r="9" spans="1:4" x14ac:dyDescent="0.2">
      <c r="A9" s="235" t="s">
        <v>619</v>
      </c>
      <c r="B9">
        <v>527620</v>
      </c>
      <c r="C9">
        <v>579</v>
      </c>
      <c r="D9">
        <v>237</v>
      </c>
    </row>
    <row r="10" spans="1:4" x14ac:dyDescent="0.2">
      <c r="A10" s="235" t="s">
        <v>27</v>
      </c>
      <c r="B10">
        <v>51290</v>
      </c>
      <c r="C10">
        <v>73</v>
      </c>
      <c r="D10">
        <v>14</v>
      </c>
    </row>
    <row r="11" spans="1:4" x14ac:dyDescent="0.2">
      <c r="A11" s="235" t="s">
        <v>28</v>
      </c>
      <c r="B11">
        <v>148290</v>
      </c>
      <c r="C11">
        <v>164</v>
      </c>
      <c r="D11">
        <v>29</v>
      </c>
    </row>
    <row r="12" spans="1:4" x14ac:dyDescent="0.2">
      <c r="A12" s="235" t="s">
        <v>29</v>
      </c>
      <c r="B12">
        <v>148820</v>
      </c>
      <c r="C12">
        <v>261</v>
      </c>
      <c r="D12">
        <v>72</v>
      </c>
    </row>
    <row r="13" spans="1:4" x14ac:dyDescent="0.2">
      <c r="A13" s="235" t="s">
        <v>30</v>
      </c>
      <c r="B13">
        <v>121600</v>
      </c>
      <c r="C13">
        <v>155</v>
      </c>
      <c r="D13">
        <v>65</v>
      </c>
    </row>
    <row r="14" spans="1:4" x14ac:dyDescent="0.2">
      <c r="A14" s="235" t="s">
        <v>31</v>
      </c>
      <c r="B14">
        <v>108750</v>
      </c>
      <c r="C14">
        <v>96</v>
      </c>
      <c r="D14">
        <v>34</v>
      </c>
    </row>
    <row r="15" spans="1:4" x14ac:dyDescent="0.2">
      <c r="A15" s="235" t="s">
        <v>32</v>
      </c>
      <c r="B15">
        <v>107900</v>
      </c>
      <c r="C15">
        <v>108</v>
      </c>
      <c r="D15">
        <v>31</v>
      </c>
    </row>
    <row r="16" spans="1:4" x14ac:dyDescent="0.2">
      <c r="A16" s="235" t="s">
        <v>33</v>
      </c>
      <c r="B16">
        <v>96060</v>
      </c>
      <c r="C16">
        <v>65</v>
      </c>
      <c r="D16">
        <v>33</v>
      </c>
    </row>
    <row r="17" spans="1:4" x14ac:dyDescent="0.2">
      <c r="A17" s="235" t="s">
        <v>34</v>
      </c>
      <c r="B17">
        <v>160560</v>
      </c>
      <c r="C17">
        <v>203</v>
      </c>
      <c r="D17">
        <v>81</v>
      </c>
    </row>
    <row r="18" spans="1:4" x14ac:dyDescent="0.2">
      <c r="A18" s="235" t="s">
        <v>35</v>
      </c>
      <c r="B18">
        <v>374130</v>
      </c>
      <c r="C18">
        <v>419</v>
      </c>
      <c r="D18">
        <v>165</v>
      </c>
    </row>
    <row r="19" spans="1:4" x14ac:dyDescent="0.2">
      <c r="A19" s="235" t="s">
        <v>36</v>
      </c>
      <c r="B19">
        <v>635640</v>
      </c>
      <c r="C19">
        <v>991</v>
      </c>
      <c r="D19">
        <v>419</v>
      </c>
    </row>
    <row r="20" spans="1:4" x14ac:dyDescent="0.2">
      <c r="A20" s="235" t="s">
        <v>37</v>
      </c>
      <c r="B20">
        <v>235430</v>
      </c>
      <c r="C20">
        <v>337</v>
      </c>
      <c r="D20">
        <v>43</v>
      </c>
    </row>
    <row r="21" spans="1:4" x14ac:dyDescent="0.2">
      <c r="A21" s="235" t="s">
        <v>38</v>
      </c>
      <c r="B21">
        <v>77060</v>
      </c>
      <c r="C21">
        <v>111</v>
      </c>
      <c r="D21">
        <v>55</v>
      </c>
    </row>
    <row r="22" spans="1:4" x14ac:dyDescent="0.2">
      <c r="A22" s="235" t="s">
        <v>39</v>
      </c>
      <c r="B22">
        <v>93150</v>
      </c>
      <c r="C22">
        <v>118</v>
      </c>
      <c r="D22">
        <v>40</v>
      </c>
    </row>
    <row r="23" spans="1:4" x14ac:dyDescent="0.2">
      <c r="A23" s="235" t="s">
        <v>40</v>
      </c>
      <c r="B23">
        <v>95710</v>
      </c>
      <c r="C23">
        <v>113</v>
      </c>
      <c r="D23">
        <v>30</v>
      </c>
    </row>
    <row r="24" spans="1:4" x14ac:dyDescent="0.2">
      <c r="A24" s="235" t="s">
        <v>295</v>
      </c>
      <c r="B24">
        <v>26500</v>
      </c>
      <c r="C24">
        <v>39</v>
      </c>
      <c r="D24">
        <v>2</v>
      </c>
    </row>
    <row r="25" spans="1:4" x14ac:dyDescent="0.2">
      <c r="A25" s="235" t="s">
        <v>41</v>
      </c>
      <c r="B25">
        <v>134250</v>
      </c>
      <c r="C25">
        <v>193</v>
      </c>
      <c r="D25">
        <v>46</v>
      </c>
    </row>
    <row r="26" spans="1:4" x14ac:dyDescent="0.2">
      <c r="A26" s="235" t="s">
        <v>42</v>
      </c>
      <c r="B26">
        <v>341140</v>
      </c>
      <c r="C26">
        <v>472</v>
      </c>
      <c r="D26">
        <v>211</v>
      </c>
    </row>
    <row r="27" spans="1:4" x14ac:dyDescent="0.2">
      <c r="A27" s="235" t="s">
        <v>43</v>
      </c>
      <c r="B27">
        <v>22400</v>
      </c>
      <c r="C27">
        <v>17</v>
      </c>
    </row>
    <row r="28" spans="1:4" x14ac:dyDescent="0.2">
      <c r="A28" s="235" t="s">
        <v>44</v>
      </c>
      <c r="B28">
        <v>151910</v>
      </c>
      <c r="C28">
        <v>201</v>
      </c>
      <c r="D28">
        <v>26</v>
      </c>
    </row>
    <row r="29" spans="1:4" x14ac:dyDescent="0.2">
      <c r="A29" s="235" t="s">
        <v>45</v>
      </c>
      <c r="B29">
        <v>179390</v>
      </c>
      <c r="C29">
        <v>217</v>
      </c>
      <c r="D29">
        <v>115</v>
      </c>
    </row>
    <row r="30" spans="1:4" x14ac:dyDescent="0.2">
      <c r="A30" s="235" t="s">
        <v>46</v>
      </c>
      <c r="B30">
        <v>115240</v>
      </c>
      <c r="C30">
        <v>155</v>
      </c>
      <c r="D30">
        <v>32</v>
      </c>
    </row>
    <row r="31" spans="1:4" x14ac:dyDescent="0.2">
      <c r="A31" s="235" t="s">
        <v>47</v>
      </c>
      <c r="B31">
        <v>22870</v>
      </c>
      <c r="C31">
        <v>51</v>
      </c>
      <c r="D31">
        <v>2</v>
      </c>
    </row>
    <row r="32" spans="1:4" x14ac:dyDescent="0.2">
      <c r="A32" s="235" t="s">
        <v>48</v>
      </c>
      <c r="B32">
        <v>112140</v>
      </c>
      <c r="C32">
        <v>128</v>
      </c>
      <c r="D32">
        <v>31</v>
      </c>
    </row>
    <row r="33" spans="1:4" x14ac:dyDescent="0.2">
      <c r="A33" s="235" t="s">
        <v>49</v>
      </c>
      <c r="B33">
        <v>320820</v>
      </c>
      <c r="C33">
        <v>368</v>
      </c>
      <c r="D33">
        <v>148</v>
      </c>
    </row>
    <row r="34" spans="1:4" x14ac:dyDescent="0.2">
      <c r="A34" s="235" t="s">
        <v>50</v>
      </c>
      <c r="B34">
        <v>94080</v>
      </c>
      <c r="C34">
        <v>117</v>
      </c>
      <c r="D34">
        <v>46</v>
      </c>
    </row>
    <row r="35" spans="1:4" x14ac:dyDescent="0.2">
      <c r="A35" s="235" t="s">
        <v>51</v>
      </c>
      <c r="B35">
        <v>88340</v>
      </c>
      <c r="C35">
        <v>138</v>
      </c>
      <c r="D35">
        <v>62</v>
      </c>
    </row>
    <row r="36" spans="1:4" x14ac:dyDescent="0.2">
      <c r="A36" s="235" t="s">
        <v>52</v>
      </c>
      <c r="B36">
        <v>183820</v>
      </c>
      <c r="C36">
        <v>187</v>
      </c>
      <c r="D36">
        <v>108</v>
      </c>
    </row>
    <row r="37" spans="1:4" x14ac:dyDescent="0.2">
      <c r="A37" s="235" t="s">
        <v>333</v>
      </c>
      <c r="B37">
        <v>5466000</v>
      </c>
      <c r="C37">
        <v>7011</v>
      </c>
      <c r="D37">
        <v>2405</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E16"/>
  <sheetViews>
    <sheetView workbookViewId="0">
      <selection activeCell="E30" sqref="E30"/>
    </sheetView>
  </sheetViews>
  <sheetFormatPr defaultRowHeight="12.75" x14ac:dyDescent="0.2"/>
  <cols>
    <col min="1" max="1" width="13" bestFit="1" customWidth="1"/>
    <col min="2" max="2" width="24.42578125" bestFit="1" customWidth="1"/>
    <col min="3" max="3" width="19.140625" bestFit="1" customWidth="1"/>
    <col min="4" max="4" width="34.140625" bestFit="1" customWidth="1"/>
    <col min="5" max="5" width="27.140625" bestFit="1" customWidth="1"/>
    <col min="6" max="6" width="23.5703125" bestFit="1" customWidth="1"/>
    <col min="7" max="7" width="37.85546875" bestFit="1" customWidth="1"/>
    <col min="8" max="8" width="38.5703125" bestFit="1" customWidth="1"/>
    <col min="9" max="9" width="38.42578125" bestFit="1" customWidth="1"/>
    <col min="10" max="10" width="32.7109375" bestFit="1" customWidth="1"/>
    <col min="11" max="11" width="27.5703125" bestFit="1" customWidth="1"/>
    <col min="12" max="12" width="24.42578125" bestFit="1" customWidth="1"/>
    <col min="13" max="13" width="19.140625" bestFit="1" customWidth="1"/>
    <col min="14" max="14" width="34.140625" bestFit="1" customWidth="1"/>
    <col min="15" max="15" width="27.140625" bestFit="1" customWidth="1"/>
    <col min="16" max="16" width="23.5703125" bestFit="1" customWidth="1"/>
    <col min="17" max="17" width="37.85546875" bestFit="1" customWidth="1"/>
    <col min="18" max="18" width="38.5703125" bestFit="1" customWidth="1"/>
    <col min="19" max="19" width="38.42578125" bestFit="1" customWidth="1"/>
    <col min="20" max="20" width="32.7109375" bestFit="1" customWidth="1"/>
    <col min="21" max="21" width="27.5703125" bestFit="1" customWidth="1"/>
    <col min="22" max="22" width="29.5703125" bestFit="1" customWidth="1"/>
    <col min="23" max="23" width="24.140625" bestFit="1" customWidth="1"/>
    <col min="24" max="24" width="39.140625" bestFit="1" customWidth="1"/>
    <col min="25" max="25" width="32.140625" bestFit="1" customWidth="1"/>
    <col min="26" max="26" width="28.5703125" bestFit="1" customWidth="1"/>
    <col min="27" max="27" width="42.85546875" bestFit="1" customWidth="1"/>
    <col min="28" max="28" width="43.5703125" bestFit="1" customWidth="1"/>
    <col min="29" max="29" width="43.42578125" bestFit="1" customWidth="1"/>
    <col min="30" max="30" width="37.85546875" bestFit="1" customWidth="1"/>
    <col min="31" max="31" width="32.5703125" bestFit="1" customWidth="1"/>
  </cols>
  <sheetData>
    <row r="1" spans="1:31" x14ac:dyDescent="0.2">
      <c r="B1" s="234" t="s">
        <v>336</v>
      </c>
    </row>
    <row r="2" spans="1:31" x14ac:dyDescent="0.2">
      <c r="B2" t="s">
        <v>61</v>
      </c>
      <c r="L2" t="s">
        <v>116</v>
      </c>
      <c r="V2" t="s">
        <v>404</v>
      </c>
      <c r="W2" t="s">
        <v>405</v>
      </c>
      <c r="X2" t="s">
        <v>406</v>
      </c>
      <c r="Y2" t="s">
        <v>407</v>
      </c>
      <c r="Z2" t="s">
        <v>408</v>
      </c>
      <c r="AA2" t="s">
        <v>409</v>
      </c>
      <c r="AB2" t="s">
        <v>410</v>
      </c>
      <c r="AC2" t="s">
        <v>411</v>
      </c>
      <c r="AD2" t="s">
        <v>412</v>
      </c>
      <c r="AE2" t="s">
        <v>658</v>
      </c>
    </row>
    <row r="3" spans="1:31" x14ac:dyDescent="0.2">
      <c r="A3" s="234" t="s">
        <v>326</v>
      </c>
      <c r="B3" t="s">
        <v>386</v>
      </c>
      <c r="C3" t="s">
        <v>387</v>
      </c>
      <c r="D3" t="s">
        <v>388</v>
      </c>
      <c r="E3" t="s">
        <v>389</v>
      </c>
      <c r="F3" t="s">
        <v>390</v>
      </c>
      <c r="G3" t="s">
        <v>380</v>
      </c>
      <c r="H3" t="s">
        <v>391</v>
      </c>
      <c r="I3" t="s">
        <v>392</v>
      </c>
      <c r="J3" t="s">
        <v>393</v>
      </c>
      <c r="K3" t="s">
        <v>659</v>
      </c>
      <c r="L3" t="s">
        <v>386</v>
      </c>
      <c r="M3" t="s">
        <v>387</v>
      </c>
      <c r="N3" t="s">
        <v>388</v>
      </c>
      <c r="O3" t="s">
        <v>389</v>
      </c>
      <c r="P3" t="s">
        <v>390</v>
      </c>
      <c r="Q3" t="s">
        <v>380</v>
      </c>
      <c r="R3" t="s">
        <v>391</v>
      </c>
      <c r="S3" t="s">
        <v>392</v>
      </c>
      <c r="T3" t="s">
        <v>393</v>
      </c>
      <c r="U3" t="s">
        <v>659</v>
      </c>
    </row>
    <row r="4" spans="1:31" x14ac:dyDescent="0.2">
      <c r="A4" s="235" t="s">
        <v>19</v>
      </c>
      <c r="B4">
        <v>109</v>
      </c>
      <c r="C4">
        <v>1754</v>
      </c>
      <c r="D4">
        <v>49</v>
      </c>
      <c r="E4">
        <v>163</v>
      </c>
      <c r="F4">
        <v>72</v>
      </c>
      <c r="G4">
        <v>464</v>
      </c>
      <c r="H4">
        <v>932</v>
      </c>
      <c r="I4">
        <v>197</v>
      </c>
      <c r="J4">
        <v>978</v>
      </c>
      <c r="K4">
        <v>4718</v>
      </c>
      <c r="L4">
        <v>602</v>
      </c>
      <c r="M4">
        <v>5225</v>
      </c>
      <c r="N4">
        <v>149</v>
      </c>
      <c r="O4">
        <v>205</v>
      </c>
      <c r="P4">
        <v>113</v>
      </c>
      <c r="Q4">
        <v>2271</v>
      </c>
      <c r="R4">
        <v>3470</v>
      </c>
      <c r="S4">
        <v>678</v>
      </c>
      <c r="T4">
        <v>5574</v>
      </c>
      <c r="U4">
        <v>18287</v>
      </c>
      <c r="V4">
        <v>711</v>
      </c>
      <c r="W4">
        <v>6979</v>
      </c>
      <c r="X4">
        <v>198</v>
      </c>
      <c r="Y4">
        <v>368</v>
      </c>
      <c r="Z4">
        <v>185</v>
      </c>
      <c r="AA4">
        <v>2735</v>
      </c>
      <c r="AB4">
        <v>4402</v>
      </c>
      <c r="AC4">
        <v>875</v>
      </c>
      <c r="AD4">
        <v>6552</v>
      </c>
      <c r="AE4">
        <v>23005</v>
      </c>
    </row>
    <row r="5" spans="1:31" x14ac:dyDescent="0.2">
      <c r="A5" s="235" t="s">
        <v>20</v>
      </c>
      <c r="B5">
        <v>53</v>
      </c>
      <c r="C5">
        <v>1230</v>
      </c>
      <c r="D5">
        <v>26</v>
      </c>
      <c r="E5">
        <v>166</v>
      </c>
      <c r="F5">
        <v>40</v>
      </c>
      <c r="G5">
        <v>194</v>
      </c>
      <c r="H5">
        <v>523</v>
      </c>
      <c r="I5">
        <v>91</v>
      </c>
      <c r="J5">
        <v>292</v>
      </c>
      <c r="K5">
        <v>2615</v>
      </c>
      <c r="L5">
        <v>693</v>
      </c>
      <c r="M5">
        <v>7398</v>
      </c>
      <c r="N5">
        <v>101</v>
      </c>
      <c r="O5">
        <v>265</v>
      </c>
      <c r="P5">
        <v>119</v>
      </c>
      <c r="Q5">
        <v>2861</v>
      </c>
      <c r="R5">
        <v>4137</v>
      </c>
      <c r="S5">
        <v>788</v>
      </c>
      <c r="T5">
        <v>5240</v>
      </c>
      <c r="U5">
        <v>21602</v>
      </c>
      <c r="V5">
        <v>746</v>
      </c>
      <c r="W5">
        <v>8628</v>
      </c>
      <c r="X5">
        <v>127</v>
      </c>
      <c r="Y5">
        <v>431</v>
      </c>
      <c r="Z5">
        <v>159</v>
      </c>
      <c r="AA5">
        <v>3055</v>
      </c>
      <c r="AB5">
        <v>4660</v>
      </c>
      <c r="AC5">
        <v>879</v>
      </c>
      <c r="AD5">
        <v>5532</v>
      </c>
      <c r="AE5">
        <v>24217</v>
      </c>
    </row>
    <row r="6" spans="1:31" x14ac:dyDescent="0.2">
      <c r="A6" s="235" t="s">
        <v>13</v>
      </c>
      <c r="B6">
        <v>55</v>
      </c>
      <c r="C6">
        <v>1071</v>
      </c>
      <c r="D6">
        <v>34</v>
      </c>
      <c r="E6">
        <v>161</v>
      </c>
      <c r="F6">
        <v>24</v>
      </c>
      <c r="G6">
        <v>184</v>
      </c>
      <c r="H6">
        <v>579</v>
      </c>
      <c r="I6">
        <v>80</v>
      </c>
      <c r="J6">
        <v>297</v>
      </c>
      <c r="K6">
        <v>2485</v>
      </c>
      <c r="L6">
        <v>587</v>
      </c>
      <c r="M6">
        <v>4147</v>
      </c>
      <c r="N6">
        <v>86</v>
      </c>
      <c r="O6">
        <v>231</v>
      </c>
      <c r="P6">
        <v>77</v>
      </c>
      <c r="Q6">
        <v>2099</v>
      </c>
      <c r="R6">
        <v>3894</v>
      </c>
      <c r="S6">
        <v>625</v>
      </c>
      <c r="T6">
        <v>4452</v>
      </c>
      <c r="U6">
        <v>16198</v>
      </c>
      <c r="V6">
        <v>642</v>
      </c>
      <c r="W6">
        <v>5218</v>
      </c>
      <c r="X6">
        <v>120</v>
      </c>
      <c r="Y6">
        <v>392</v>
      </c>
      <c r="Z6">
        <v>101</v>
      </c>
      <c r="AA6">
        <v>2283</v>
      </c>
      <c r="AB6">
        <v>4473</v>
      </c>
      <c r="AC6">
        <v>705</v>
      </c>
      <c r="AD6">
        <v>4749</v>
      </c>
      <c r="AE6">
        <v>18683</v>
      </c>
    </row>
    <row r="7" spans="1:31" x14ac:dyDescent="0.2">
      <c r="A7" s="235" t="s">
        <v>15</v>
      </c>
      <c r="B7">
        <v>44</v>
      </c>
      <c r="C7">
        <v>808</v>
      </c>
      <c r="D7">
        <v>14</v>
      </c>
      <c r="E7">
        <v>145</v>
      </c>
      <c r="F7">
        <v>14</v>
      </c>
      <c r="G7">
        <v>143</v>
      </c>
      <c r="H7">
        <v>528</v>
      </c>
      <c r="I7">
        <v>77</v>
      </c>
      <c r="J7">
        <v>248</v>
      </c>
      <c r="K7">
        <v>2021</v>
      </c>
      <c r="L7">
        <v>438</v>
      </c>
      <c r="M7">
        <v>2666</v>
      </c>
      <c r="N7">
        <v>47</v>
      </c>
      <c r="O7">
        <v>191</v>
      </c>
      <c r="P7">
        <v>55</v>
      </c>
      <c r="Q7">
        <v>1762</v>
      </c>
      <c r="R7">
        <v>3194</v>
      </c>
      <c r="S7">
        <v>548</v>
      </c>
      <c r="T7">
        <v>3351</v>
      </c>
      <c r="U7">
        <v>12252</v>
      </c>
      <c r="V7">
        <v>482</v>
      </c>
      <c r="W7">
        <v>3474</v>
      </c>
      <c r="X7">
        <v>61</v>
      </c>
      <c r="Y7">
        <v>336</v>
      </c>
      <c r="Z7">
        <v>69</v>
      </c>
      <c r="AA7">
        <v>1905</v>
      </c>
      <c r="AB7">
        <v>3722</v>
      </c>
      <c r="AC7">
        <v>625</v>
      </c>
      <c r="AD7">
        <v>3599</v>
      </c>
      <c r="AE7">
        <v>14273</v>
      </c>
    </row>
    <row r="8" spans="1:31" x14ac:dyDescent="0.2">
      <c r="A8" s="235" t="s">
        <v>17</v>
      </c>
      <c r="B8">
        <v>29</v>
      </c>
      <c r="C8">
        <v>1390</v>
      </c>
      <c r="D8">
        <v>30</v>
      </c>
      <c r="E8">
        <v>186</v>
      </c>
      <c r="F8">
        <v>23</v>
      </c>
      <c r="G8">
        <v>191</v>
      </c>
      <c r="H8">
        <v>631</v>
      </c>
      <c r="I8">
        <v>126</v>
      </c>
      <c r="J8">
        <v>308</v>
      </c>
      <c r="K8">
        <v>2914</v>
      </c>
      <c r="L8">
        <v>350</v>
      </c>
      <c r="M8">
        <v>4697</v>
      </c>
      <c r="N8">
        <v>38</v>
      </c>
      <c r="O8">
        <v>189</v>
      </c>
      <c r="P8">
        <v>58</v>
      </c>
      <c r="Q8">
        <v>1625</v>
      </c>
      <c r="R8">
        <v>2831</v>
      </c>
      <c r="S8">
        <v>522</v>
      </c>
      <c r="T8">
        <v>3137</v>
      </c>
      <c r="U8">
        <v>13447</v>
      </c>
      <c r="V8">
        <v>379</v>
      </c>
      <c r="W8">
        <v>6087</v>
      </c>
      <c r="X8">
        <v>68</v>
      </c>
      <c r="Y8">
        <v>375</v>
      </c>
      <c r="Z8">
        <v>81</v>
      </c>
      <c r="AA8">
        <v>1816</v>
      </c>
      <c r="AB8">
        <v>3462</v>
      </c>
      <c r="AC8">
        <v>648</v>
      </c>
      <c r="AD8">
        <v>3445</v>
      </c>
      <c r="AE8">
        <v>16361</v>
      </c>
    </row>
    <row r="9" spans="1:31" x14ac:dyDescent="0.2">
      <c r="A9" s="235" t="s">
        <v>133</v>
      </c>
      <c r="B9">
        <v>37</v>
      </c>
      <c r="C9">
        <v>733</v>
      </c>
      <c r="D9">
        <v>34</v>
      </c>
      <c r="E9">
        <v>143</v>
      </c>
      <c r="F9">
        <v>16</v>
      </c>
      <c r="G9">
        <v>182</v>
      </c>
      <c r="H9">
        <v>713</v>
      </c>
      <c r="I9">
        <v>105</v>
      </c>
      <c r="J9">
        <v>276</v>
      </c>
      <c r="K9">
        <v>2239</v>
      </c>
      <c r="L9">
        <v>306</v>
      </c>
      <c r="M9">
        <v>3030</v>
      </c>
      <c r="N9">
        <v>44</v>
      </c>
      <c r="O9">
        <v>178</v>
      </c>
      <c r="P9">
        <v>40</v>
      </c>
      <c r="Q9">
        <v>1521</v>
      </c>
      <c r="R9">
        <v>2712</v>
      </c>
      <c r="S9">
        <v>411</v>
      </c>
      <c r="T9">
        <v>2925</v>
      </c>
      <c r="U9">
        <v>11167</v>
      </c>
      <c r="V9">
        <v>343</v>
      </c>
      <c r="W9">
        <v>3763</v>
      </c>
      <c r="X9">
        <v>78</v>
      </c>
      <c r="Y9">
        <v>321</v>
      </c>
      <c r="Z9">
        <v>56</v>
      </c>
      <c r="AA9">
        <v>1703</v>
      </c>
      <c r="AB9">
        <v>3425</v>
      </c>
      <c r="AC9">
        <v>516</v>
      </c>
      <c r="AD9">
        <v>3201</v>
      </c>
      <c r="AE9">
        <v>13406</v>
      </c>
    </row>
    <row r="10" spans="1:31" x14ac:dyDescent="0.2">
      <c r="A10" s="235" t="s">
        <v>144</v>
      </c>
      <c r="B10">
        <v>42</v>
      </c>
      <c r="C10">
        <v>864</v>
      </c>
      <c r="D10">
        <v>21</v>
      </c>
      <c r="E10">
        <v>144</v>
      </c>
      <c r="F10">
        <v>14</v>
      </c>
      <c r="G10">
        <v>169</v>
      </c>
      <c r="H10">
        <v>806</v>
      </c>
      <c r="I10">
        <v>135</v>
      </c>
      <c r="J10">
        <v>259</v>
      </c>
      <c r="K10">
        <v>2454</v>
      </c>
      <c r="L10">
        <v>326</v>
      </c>
      <c r="M10">
        <v>3702</v>
      </c>
      <c r="N10">
        <v>50</v>
      </c>
      <c r="O10">
        <v>190</v>
      </c>
      <c r="P10">
        <v>51</v>
      </c>
      <c r="Q10">
        <v>1725</v>
      </c>
      <c r="R10">
        <v>2865</v>
      </c>
      <c r="S10">
        <v>453</v>
      </c>
      <c r="T10">
        <v>2916</v>
      </c>
      <c r="U10">
        <v>12278</v>
      </c>
      <c r="V10">
        <v>368</v>
      </c>
      <c r="W10">
        <v>4566</v>
      </c>
      <c r="X10">
        <v>71</v>
      </c>
      <c r="Y10">
        <v>334</v>
      </c>
      <c r="Z10">
        <v>65</v>
      </c>
      <c r="AA10">
        <v>1894</v>
      </c>
      <c r="AB10">
        <v>3671</v>
      </c>
      <c r="AC10">
        <v>588</v>
      </c>
      <c r="AD10">
        <v>3175</v>
      </c>
      <c r="AE10">
        <v>14732</v>
      </c>
    </row>
    <row r="11" spans="1:31" x14ac:dyDescent="0.2">
      <c r="A11" s="235" t="s">
        <v>282</v>
      </c>
      <c r="B11">
        <v>42</v>
      </c>
      <c r="C11">
        <v>935</v>
      </c>
      <c r="D11">
        <v>15</v>
      </c>
      <c r="E11">
        <v>133</v>
      </c>
      <c r="F11">
        <v>15</v>
      </c>
      <c r="G11">
        <v>188</v>
      </c>
      <c r="H11">
        <v>781</v>
      </c>
      <c r="I11">
        <v>130</v>
      </c>
      <c r="J11">
        <v>228</v>
      </c>
      <c r="K11">
        <v>2467</v>
      </c>
      <c r="L11">
        <v>262</v>
      </c>
      <c r="M11">
        <v>3991</v>
      </c>
      <c r="N11">
        <v>45</v>
      </c>
      <c r="O11">
        <v>220</v>
      </c>
      <c r="P11">
        <v>47</v>
      </c>
      <c r="Q11">
        <v>1833</v>
      </c>
      <c r="R11">
        <v>3122</v>
      </c>
      <c r="S11">
        <v>426</v>
      </c>
      <c r="T11">
        <v>3247</v>
      </c>
      <c r="U11">
        <v>13193</v>
      </c>
      <c r="V11">
        <v>304</v>
      </c>
      <c r="W11">
        <v>4926</v>
      </c>
      <c r="X11">
        <v>60</v>
      </c>
      <c r="Y11">
        <v>353</v>
      </c>
      <c r="Z11">
        <v>62</v>
      </c>
      <c r="AA11">
        <v>2021</v>
      </c>
      <c r="AB11">
        <v>3903</v>
      </c>
      <c r="AC11">
        <v>556</v>
      </c>
      <c r="AD11">
        <v>3475</v>
      </c>
      <c r="AE11">
        <v>15660</v>
      </c>
    </row>
    <row r="12" spans="1:31" x14ac:dyDescent="0.2">
      <c r="A12" s="235" t="s">
        <v>311</v>
      </c>
      <c r="B12">
        <v>41</v>
      </c>
      <c r="C12">
        <v>1133</v>
      </c>
      <c r="D12">
        <v>17</v>
      </c>
      <c r="E12">
        <v>154</v>
      </c>
      <c r="F12">
        <v>16</v>
      </c>
      <c r="G12">
        <v>202</v>
      </c>
      <c r="H12">
        <v>721</v>
      </c>
      <c r="I12">
        <v>118</v>
      </c>
      <c r="J12">
        <v>210</v>
      </c>
      <c r="K12">
        <v>2612</v>
      </c>
      <c r="L12">
        <v>266</v>
      </c>
      <c r="M12">
        <v>3937</v>
      </c>
      <c r="N12">
        <v>52</v>
      </c>
      <c r="O12">
        <v>242</v>
      </c>
      <c r="P12">
        <v>44</v>
      </c>
      <c r="Q12">
        <v>1721</v>
      </c>
      <c r="R12">
        <v>2724</v>
      </c>
      <c r="S12">
        <v>387</v>
      </c>
      <c r="T12">
        <v>2743</v>
      </c>
      <c r="U12">
        <v>12116</v>
      </c>
      <c r="V12">
        <v>307</v>
      </c>
      <c r="W12">
        <v>5070</v>
      </c>
      <c r="X12">
        <v>69</v>
      </c>
      <c r="Y12">
        <v>396</v>
      </c>
      <c r="Z12">
        <v>60</v>
      </c>
      <c r="AA12">
        <v>1923</v>
      </c>
      <c r="AB12">
        <v>3445</v>
      </c>
      <c r="AC12">
        <v>505</v>
      </c>
      <c r="AD12">
        <v>2953</v>
      </c>
      <c r="AE12">
        <v>14728</v>
      </c>
    </row>
    <row r="13" spans="1:31" x14ac:dyDescent="0.2">
      <c r="A13" s="235" t="s">
        <v>621</v>
      </c>
      <c r="B13">
        <v>29</v>
      </c>
      <c r="C13">
        <v>1612</v>
      </c>
      <c r="D13">
        <v>24</v>
      </c>
      <c r="E13">
        <v>161</v>
      </c>
      <c r="F13">
        <v>25</v>
      </c>
      <c r="G13">
        <v>159</v>
      </c>
      <c r="H13">
        <v>832</v>
      </c>
      <c r="I13">
        <v>124</v>
      </c>
      <c r="J13">
        <v>246</v>
      </c>
      <c r="K13">
        <v>3212</v>
      </c>
      <c r="L13">
        <v>193</v>
      </c>
      <c r="M13">
        <v>4585</v>
      </c>
      <c r="N13">
        <v>53</v>
      </c>
      <c r="O13">
        <v>186</v>
      </c>
      <c r="P13">
        <v>42</v>
      </c>
      <c r="Q13">
        <v>1262</v>
      </c>
      <c r="R13">
        <v>2735</v>
      </c>
      <c r="S13">
        <v>328</v>
      </c>
      <c r="T13">
        <v>3101</v>
      </c>
      <c r="U13">
        <v>12485</v>
      </c>
      <c r="V13">
        <v>222</v>
      </c>
      <c r="W13">
        <v>6197</v>
      </c>
      <c r="X13">
        <v>77</v>
      </c>
      <c r="Y13">
        <v>347</v>
      </c>
      <c r="Z13">
        <v>67</v>
      </c>
      <c r="AA13">
        <v>1421</v>
      </c>
      <c r="AB13">
        <v>3567</v>
      </c>
      <c r="AC13">
        <v>452</v>
      </c>
      <c r="AD13">
        <v>3347</v>
      </c>
      <c r="AE13">
        <v>15697</v>
      </c>
    </row>
    <row r="14" spans="1:31" x14ac:dyDescent="0.2">
      <c r="A14" s="235" t="s">
        <v>1419</v>
      </c>
      <c r="B14">
        <v>35</v>
      </c>
      <c r="C14">
        <v>947</v>
      </c>
      <c r="D14">
        <v>21</v>
      </c>
      <c r="E14">
        <v>173</v>
      </c>
      <c r="F14">
        <v>13</v>
      </c>
      <c r="G14">
        <v>90</v>
      </c>
      <c r="H14">
        <v>787</v>
      </c>
      <c r="I14">
        <v>118</v>
      </c>
      <c r="J14">
        <v>254</v>
      </c>
      <c r="K14">
        <v>2438</v>
      </c>
      <c r="L14">
        <v>230</v>
      </c>
      <c r="M14">
        <v>3440</v>
      </c>
      <c r="N14">
        <v>56</v>
      </c>
      <c r="O14">
        <v>196</v>
      </c>
      <c r="P14">
        <v>46</v>
      </c>
      <c r="Q14">
        <v>891</v>
      </c>
      <c r="R14">
        <v>2976</v>
      </c>
      <c r="S14">
        <v>329</v>
      </c>
      <c r="T14">
        <v>3488</v>
      </c>
      <c r="U14">
        <v>11652</v>
      </c>
      <c r="V14">
        <v>265</v>
      </c>
      <c r="W14">
        <v>4387</v>
      </c>
      <c r="X14">
        <v>77</v>
      </c>
      <c r="Y14">
        <v>369</v>
      </c>
      <c r="Z14">
        <v>59</v>
      </c>
      <c r="AA14">
        <v>981</v>
      </c>
      <c r="AB14">
        <v>3763</v>
      </c>
      <c r="AC14">
        <v>447</v>
      </c>
      <c r="AD14">
        <v>3742</v>
      </c>
      <c r="AE14">
        <v>14090</v>
      </c>
    </row>
    <row r="15" spans="1:31" x14ac:dyDescent="0.2">
      <c r="A15" s="235" t="s">
        <v>1572</v>
      </c>
      <c r="B15">
        <v>34</v>
      </c>
      <c r="C15">
        <v>1302</v>
      </c>
      <c r="D15">
        <v>26</v>
      </c>
      <c r="E15">
        <v>188</v>
      </c>
      <c r="F15">
        <v>29</v>
      </c>
      <c r="G15">
        <v>284</v>
      </c>
      <c r="H15">
        <v>740</v>
      </c>
      <c r="I15">
        <v>150</v>
      </c>
      <c r="J15">
        <v>320</v>
      </c>
      <c r="K15">
        <v>3073</v>
      </c>
      <c r="L15">
        <v>151</v>
      </c>
      <c r="M15">
        <v>3725</v>
      </c>
      <c r="N15">
        <v>69</v>
      </c>
      <c r="O15">
        <v>163</v>
      </c>
      <c r="P15">
        <v>72</v>
      </c>
      <c r="Q15">
        <v>1657</v>
      </c>
      <c r="R15">
        <v>2642</v>
      </c>
      <c r="S15">
        <v>291</v>
      </c>
      <c r="T15">
        <v>3287</v>
      </c>
      <c r="U15">
        <v>12057</v>
      </c>
      <c r="V15">
        <v>185</v>
      </c>
      <c r="W15">
        <v>5027</v>
      </c>
      <c r="X15">
        <v>95</v>
      </c>
      <c r="Y15">
        <v>351</v>
      </c>
      <c r="Z15">
        <v>101</v>
      </c>
      <c r="AA15">
        <v>1941</v>
      </c>
      <c r="AB15">
        <v>3382</v>
      </c>
      <c r="AC15">
        <v>441</v>
      </c>
      <c r="AD15">
        <v>3607</v>
      </c>
      <c r="AE15">
        <v>15130</v>
      </c>
    </row>
    <row r="16" spans="1:31" x14ac:dyDescent="0.2">
      <c r="A16" s="235" t="s">
        <v>333</v>
      </c>
      <c r="B16">
        <v>550</v>
      </c>
      <c r="C16">
        <v>13779</v>
      </c>
      <c r="D16">
        <v>311</v>
      </c>
      <c r="E16">
        <v>1917</v>
      </c>
      <c r="F16">
        <v>301</v>
      </c>
      <c r="G16">
        <v>2450</v>
      </c>
      <c r="H16">
        <v>8573</v>
      </c>
      <c r="I16">
        <v>1451</v>
      </c>
      <c r="J16">
        <v>3916</v>
      </c>
      <c r="K16">
        <v>33248</v>
      </c>
      <c r="L16">
        <v>4404</v>
      </c>
      <c r="M16">
        <v>50543</v>
      </c>
      <c r="N16">
        <v>790</v>
      </c>
      <c r="O16">
        <v>2456</v>
      </c>
      <c r="P16">
        <v>764</v>
      </c>
      <c r="Q16">
        <v>21228</v>
      </c>
      <c r="R16">
        <v>37302</v>
      </c>
      <c r="S16">
        <v>5786</v>
      </c>
      <c r="T16">
        <v>43461</v>
      </c>
      <c r="U16">
        <v>166734</v>
      </c>
      <c r="V16">
        <v>4954</v>
      </c>
      <c r="W16">
        <v>64322</v>
      </c>
      <c r="X16">
        <v>1101</v>
      </c>
      <c r="Y16">
        <v>4373</v>
      </c>
      <c r="Z16">
        <v>1065</v>
      </c>
      <c r="AA16">
        <v>23678</v>
      </c>
      <c r="AB16">
        <v>45875</v>
      </c>
      <c r="AC16">
        <v>7237</v>
      </c>
      <c r="AD16">
        <v>47377</v>
      </c>
      <c r="AE16">
        <v>199982</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B39"/>
  <sheetViews>
    <sheetView workbookViewId="0">
      <selection activeCell="E30" sqref="E30"/>
    </sheetView>
  </sheetViews>
  <sheetFormatPr defaultRowHeight="12.75" x14ac:dyDescent="0.2"/>
  <cols>
    <col min="1" max="1" width="19.5703125" bestFit="1" customWidth="1"/>
    <col min="2" max="2" width="24.42578125" bestFit="1" customWidth="1"/>
    <col min="3" max="3" width="19.140625" bestFit="1" customWidth="1"/>
    <col min="4" max="4" width="34.140625" bestFit="1" customWidth="1"/>
    <col min="5" max="5" width="27.140625" bestFit="1" customWidth="1"/>
    <col min="6" max="6" width="23.5703125" bestFit="1" customWidth="1"/>
    <col min="7" max="7" width="37.85546875" bestFit="1" customWidth="1"/>
    <col min="8" max="8" width="38.5703125" bestFit="1" customWidth="1"/>
    <col min="9" max="9" width="38.42578125" bestFit="1" customWidth="1"/>
    <col min="10" max="10" width="32.7109375" bestFit="1" customWidth="1"/>
    <col min="11" max="11" width="24.42578125" bestFit="1" customWidth="1"/>
    <col min="12" max="12" width="19.140625" bestFit="1" customWidth="1"/>
    <col min="13" max="13" width="34.140625" bestFit="1" customWidth="1"/>
    <col min="14" max="14" width="27.140625" bestFit="1" customWidth="1"/>
    <col min="15" max="15" width="23.5703125" bestFit="1" customWidth="1"/>
    <col min="16" max="16" width="37.85546875" bestFit="1" customWidth="1"/>
    <col min="17" max="17" width="38.5703125" bestFit="1" customWidth="1"/>
    <col min="18" max="18" width="38.42578125" bestFit="1" customWidth="1"/>
    <col min="19" max="19" width="32.7109375" bestFit="1" customWidth="1"/>
    <col min="20" max="20" width="29.5703125" bestFit="1" customWidth="1"/>
    <col min="21" max="21" width="24.140625" bestFit="1" customWidth="1"/>
    <col min="22" max="22" width="39.140625" bestFit="1" customWidth="1"/>
    <col min="23" max="23" width="32.140625" bestFit="1" customWidth="1"/>
    <col min="24" max="24" width="28.5703125" bestFit="1" customWidth="1"/>
    <col min="25" max="25" width="42.85546875" bestFit="1" customWidth="1"/>
    <col min="26" max="26" width="43.5703125" bestFit="1" customWidth="1"/>
    <col min="27" max="27" width="43.42578125" bestFit="1" customWidth="1"/>
    <col min="28" max="28" width="37.85546875" bestFit="1" customWidth="1"/>
  </cols>
  <sheetData>
    <row r="2" spans="1:28" x14ac:dyDescent="0.2">
      <c r="A2" s="234" t="s">
        <v>4</v>
      </c>
      <c r="B2" t="s">
        <v>1572</v>
      </c>
    </row>
    <row r="4" spans="1:28" x14ac:dyDescent="0.2">
      <c r="B4" s="234" t="s">
        <v>336</v>
      </c>
    </row>
    <row r="5" spans="1:28" x14ac:dyDescent="0.2">
      <c r="B5" t="s">
        <v>61</v>
      </c>
      <c r="K5" t="s">
        <v>116</v>
      </c>
      <c r="T5" t="s">
        <v>404</v>
      </c>
      <c r="U5" t="s">
        <v>405</v>
      </c>
      <c r="V5" t="s">
        <v>406</v>
      </c>
      <c r="W5" t="s">
        <v>407</v>
      </c>
      <c r="X5" t="s">
        <v>408</v>
      </c>
      <c r="Y5" t="s">
        <v>409</v>
      </c>
      <c r="Z5" t="s">
        <v>410</v>
      </c>
      <c r="AA5" t="s">
        <v>411</v>
      </c>
      <c r="AB5" t="s">
        <v>412</v>
      </c>
    </row>
    <row r="6" spans="1:28" x14ac:dyDescent="0.2">
      <c r="A6" s="234" t="s">
        <v>326</v>
      </c>
      <c r="B6" t="s">
        <v>386</v>
      </c>
      <c r="C6" t="s">
        <v>387</v>
      </c>
      <c r="D6" t="s">
        <v>388</v>
      </c>
      <c r="E6" t="s">
        <v>389</v>
      </c>
      <c r="F6" t="s">
        <v>390</v>
      </c>
      <c r="G6" t="s">
        <v>380</v>
      </c>
      <c r="H6" t="s">
        <v>391</v>
      </c>
      <c r="I6" t="s">
        <v>392</v>
      </c>
      <c r="J6" t="s">
        <v>393</v>
      </c>
      <c r="K6" t="s">
        <v>386</v>
      </c>
      <c r="L6" t="s">
        <v>387</v>
      </c>
      <c r="M6" t="s">
        <v>388</v>
      </c>
      <c r="N6" t="s">
        <v>389</v>
      </c>
      <c r="O6" t="s">
        <v>390</v>
      </c>
      <c r="P6" t="s">
        <v>380</v>
      </c>
      <c r="Q6" t="s">
        <v>391</v>
      </c>
      <c r="R6" t="s">
        <v>392</v>
      </c>
      <c r="S6" t="s">
        <v>393</v>
      </c>
    </row>
    <row r="7" spans="1:28" x14ac:dyDescent="0.2">
      <c r="A7" s="235" t="s">
        <v>23</v>
      </c>
      <c r="B7">
        <v>1</v>
      </c>
      <c r="C7">
        <v>27</v>
      </c>
      <c r="E7">
        <v>8</v>
      </c>
      <c r="G7">
        <v>6</v>
      </c>
      <c r="H7">
        <v>29</v>
      </c>
      <c r="I7">
        <v>6</v>
      </c>
      <c r="J7">
        <v>5</v>
      </c>
      <c r="K7">
        <v>3</v>
      </c>
      <c r="L7">
        <v>89</v>
      </c>
      <c r="N7">
        <v>7</v>
      </c>
      <c r="P7">
        <v>26</v>
      </c>
      <c r="Q7">
        <v>62</v>
      </c>
      <c r="R7">
        <v>13</v>
      </c>
      <c r="S7">
        <v>46</v>
      </c>
      <c r="T7">
        <v>4</v>
      </c>
      <c r="U7">
        <v>116</v>
      </c>
      <c r="W7">
        <v>15</v>
      </c>
      <c r="Y7">
        <v>32</v>
      </c>
      <c r="Z7">
        <v>91</v>
      </c>
      <c r="AA7">
        <v>19</v>
      </c>
      <c r="AB7">
        <v>51</v>
      </c>
    </row>
    <row r="8" spans="1:28" x14ac:dyDescent="0.2">
      <c r="A8" s="235" t="s">
        <v>24</v>
      </c>
      <c r="B8">
        <v>1</v>
      </c>
      <c r="C8">
        <v>86</v>
      </c>
      <c r="D8">
        <v>2</v>
      </c>
      <c r="E8">
        <v>9</v>
      </c>
      <c r="G8">
        <v>16</v>
      </c>
      <c r="H8">
        <v>10</v>
      </c>
      <c r="I8">
        <v>2</v>
      </c>
      <c r="J8">
        <v>12</v>
      </c>
      <c r="K8">
        <v>5</v>
      </c>
      <c r="L8">
        <v>65</v>
      </c>
      <c r="M8">
        <v>7</v>
      </c>
      <c r="N8">
        <v>9</v>
      </c>
      <c r="P8">
        <v>24</v>
      </c>
      <c r="Q8">
        <v>8</v>
      </c>
      <c r="S8">
        <v>39</v>
      </c>
      <c r="T8">
        <v>6</v>
      </c>
      <c r="U8">
        <v>151</v>
      </c>
      <c r="V8">
        <v>9</v>
      </c>
      <c r="W8">
        <v>18</v>
      </c>
      <c r="Y8">
        <v>40</v>
      </c>
      <c r="Z8">
        <v>18</v>
      </c>
      <c r="AA8">
        <v>2</v>
      </c>
      <c r="AB8">
        <v>51</v>
      </c>
    </row>
    <row r="9" spans="1:28" x14ac:dyDescent="0.2">
      <c r="A9" s="235" t="s">
        <v>25</v>
      </c>
      <c r="B9">
        <v>2</v>
      </c>
      <c r="C9">
        <v>26</v>
      </c>
      <c r="D9">
        <v>2</v>
      </c>
      <c r="E9">
        <v>5</v>
      </c>
      <c r="G9">
        <v>10</v>
      </c>
      <c r="H9">
        <v>19</v>
      </c>
      <c r="J9">
        <v>6</v>
      </c>
      <c r="K9">
        <v>6</v>
      </c>
      <c r="L9">
        <v>65</v>
      </c>
      <c r="M9">
        <v>1</v>
      </c>
      <c r="N9">
        <v>2</v>
      </c>
      <c r="P9">
        <v>17</v>
      </c>
      <c r="Q9">
        <v>21</v>
      </c>
      <c r="S9">
        <v>22</v>
      </c>
      <c r="T9">
        <v>8</v>
      </c>
      <c r="U9">
        <v>91</v>
      </c>
      <c r="V9">
        <v>3</v>
      </c>
      <c r="W9">
        <v>7</v>
      </c>
      <c r="Y9">
        <v>27</v>
      </c>
      <c r="Z9">
        <v>40</v>
      </c>
      <c r="AB9">
        <v>28</v>
      </c>
    </row>
    <row r="10" spans="1:28" x14ac:dyDescent="0.2">
      <c r="A10" s="235" t="s">
        <v>26</v>
      </c>
      <c r="B10">
        <v>3</v>
      </c>
      <c r="C10">
        <v>31</v>
      </c>
      <c r="E10">
        <v>5</v>
      </c>
      <c r="G10">
        <v>12</v>
      </c>
      <c r="H10">
        <v>8</v>
      </c>
      <c r="I10">
        <v>2</v>
      </c>
      <c r="J10">
        <v>7</v>
      </c>
      <c r="L10">
        <v>31</v>
      </c>
      <c r="O10">
        <v>1</v>
      </c>
      <c r="P10">
        <v>15</v>
      </c>
      <c r="Q10">
        <v>8</v>
      </c>
      <c r="R10">
        <v>1</v>
      </c>
      <c r="S10">
        <v>9</v>
      </c>
      <c r="T10">
        <v>3</v>
      </c>
      <c r="U10">
        <v>62</v>
      </c>
      <c r="W10">
        <v>5</v>
      </c>
      <c r="X10">
        <v>1</v>
      </c>
      <c r="Y10">
        <v>27</v>
      </c>
      <c r="Z10">
        <v>16</v>
      </c>
      <c r="AA10">
        <v>3</v>
      </c>
      <c r="AB10">
        <v>16</v>
      </c>
    </row>
    <row r="11" spans="1:28" x14ac:dyDescent="0.2">
      <c r="A11" s="235" t="s">
        <v>619</v>
      </c>
      <c r="B11">
        <v>1</v>
      </c>
      <c r="C11">
        <v>76</v>
      </c>
      <c r="D11">
        <v>2</v>
      </c>
      <c r="E11">
        <v>11</v>
      </c>
      <c r="G11">
        <v>30</v>
      </c>
      <c r="H11">
        <v>218</v>
      </c>
      <c r="I11">
        <v>59</v>
      </c>
      <c r="J11">
        <v>35</v>
      </c>
      <c r="K11">
        <v>4</v>
      </c>
      <c r="L11">
        <v>301</v>
      </c>
      <c r="M11">
        <v>2</v>
      </c>
      <c r="N11">
        <v>22</v>
      </c>
      <c r="O11">
        <v>1</v>
      </c>
      <c r="P11">
        <v>182</v>
      </c>
      <c r="Q11">
        <v>260</v>
      </c>
      <c r="R11">
        <v>52</v>
      </c>
      <c r="S11">
        <v>210</v>
      </c>
      <c r="T11">
        <v>5</v>
      </c>
      <c r="U11">
        <v>377</v>
      </c>
      <c r="V11">
        <v>4</v>
      </c>
      <c r="W11">
        <v>33</v>
      </c>
      <c r="X11">
        <v>1</v>
      </c>
      <c r="Y11">
        <v>212</v>
      </c>
      <c r="Z11">
        <v>478</v>
      </c>
      <c r="AA11">
        <v>111</v>
      </c>
      <c r="AB11">
        <v>245</v>
      </c>
    </row>
    <row r="12" spans="1:28" x14ac:dyDescent="0.2">
      <c r="A12" s="235" t="s">
        <v>27</v>
      </c>
      <c r="B12">
        <v>1</v>
      </c>
      <c r="C12">
        <v>15</v>
      </c>
      <c r="D12">
        <v>4</v>
      </c>
      <c r="E12">
        <v>8</v>
      </c>
      <c r="F12">
        <v>1</v>
      </c>
      <c r="G12">
        <v>2</v>
      </c>
      <c r="H12">
        <v>3</v>
      </c>
      <c r="J12">
        <v>4</v>
      </c>
      <c r="K12">
        <v>4</v>
      </c>
      <c r="L12">
        <v>19</v>
      </c>
      <c r="N12">
        <v>1</v>
      </c>
      <c r="O12">
        <v>3</v>
      </c>
      <c r="P12">
        <v>6</v>
      </c>
      <c r="Q12">
        <v>13</v>
      </c>
      <c r="R12">
        <v>1</v>
      </c>
      <c r="S12">
        <v>27</v>
      </c>
      <c r="T12">
        <v>5</v>
      </c>
      <c r="U12">
        <v>34</v>
      </c>
      <c r="V12">
        <v>4</v>
      </c>
      <c r="W12">
        <v>9</v>
      </c>
      <c r="X12">
        <v>4</v>
      </c>
      <c r="Y12">
        <v>8</v>
      </c>
      <c r="Z12">
        <v>16</v>
      </c>
      <c r="AA12">
        <v>1</v>
      </c>
      <c r="AB12">
        <v>31</v>
      </c>
    </row>
    <row r="13" spans="1:28" x14ac:dyDescent="0.2">
      <c r="A13" s="235" t="s">
        <v>28</v>
      </c>
      <c r="B13">
        <v>2</v>
      </c>
      <c r="C13">
        <v>45</v>
      </c>
      <c r="E13">
        <v>8</v>
      </c>
      <c r="F13">
        <v>2</v>
      </c>
      <c r="G13">
        <v>2</v>
      </c>
      <c r="H13">
        <v>13</v>
      </c>
      <c r="I13">
        <v>3</v>
      </c>
      <c r="J13">
        <v>10</v>
      </c>
      <c r="K13">
        <v>2</v>
      </c>
      <c r="L13">
        <v>53</v>
      </c>
      <c r="M13">
        <v>1</v>
      </c>
      <c r="N13">
        <v>2</v>
      </c>
      <c r="O13">
        <v>4</v>
      </c>
      <c r="P13">
        <v>4</v>
      </c>
      <c r="Q13">
        <v>13</v>
      </c>
      <c r="R13">
        <v>2</v>
      </c>
      <c r="S13">
        <v>39</v>
      </c>
      <c r="T13">
        <v>4</v>
      </c>
      <c r="U13">
        <v>98</v>
      </c>
      <c r="V13">
        <v>1</v>
      </c>
      <c r="W13">
        <v>10</v>
      </c>
      <c r="X13">
        <v>6</v>
      </c>
      <c r="Y13">
        <v>6</v>
      </c>
      <c r="Z13">
        <v>26</v>
      </c>
      <c r="AA13">
        <v>5</v>
      </c>
      <c r="AB13">
        <v>49</v>
      </c>
    </row>
    <row r="14" spans="1:28" x14ac:dyDescent="0.2">
      <c r="A14" s="235" t="s">
        <v>29</v>
      </c>
      <c r="B14">
        <v>2</v>
      </c>
      <c r="C14">
        <v>40</v>
      </c>
      <c r="E14">
        <v>8</v>
      </c>
      <c r="F14">
        <v>1</v>
      </c>
      <c r="G14">
        <v>15</v>
      </c>
      <c r="H14">
        <v>31</v>
      </c>
      <c r="I14">
        <v>13</v>
      </c>
      <c r="J14">
        <v>9</v>
      </c>
      <c r="K14">
        <v>5</v>
      </c>
      <c r="L14">
        <v>192</v>
      </c>
      <c r="M14">
        <v>3</v>
      </c>
      <c r="N14">
        <v>11</v>
      </c>
      <c r="O14">
        <v>1</v>
      </c>
      <c r="P14">
        <v>95</v>
      </c>
      <c r="Q14">
        <v>198</v>
      </c>
      <c r="R14">
        <v>17</v>
      </c>
      <c r="S14">
        <v>57</v>
      </c>
      <c r="T14">
        <v>7</v>
      </c>
      <c r="U14">
        <v>232</v>
      </c>
      <c r="V14">
        <v>3</v>
      </c>
      <c r="W14">
        <v>19</v>
      </c>
      <c r="X14">
        <v>2</v>
      </c>
      <c r="Y14">
        <v>110</v>
      </c>
      <c r="Z14">
        <v>229</v>
      </c>
      <c r="AA14">
        <v>30</v>
      </c>
      <c r="AB14">
        <v>66</v>
      </c>
    </row>
    <row r="15" spans="1:28" x14ac:dyDescent="0.2">
      <c r="A15" s="235" t="s">
        <v>30</v>
      </c>
      <c r="B15">
        <v>1</v>
      </c>
      <c r="C15">
        <v>26</v>
      </c>
      <c r="D15">
        <v>1</v>
      </c>
      <c r="E15">
        <v>3</v>
      </c>
      <c r="F15">
        <v>1</v>
      </c>
      <c r="G15">
        <v>3</v>
      </c>
      <c r="H15">
        <v>17</v>
      </c>
      <c r="I15">
        <v>1</v>
      </c>
      <c r="J15">
        <v>3</v>
      </c>
      <c r="K15">
        <v>4</v>
      </c>
      <c r="L15">
        <v>146</v>
      </c>
      <c r="M15">
        <v>1</v>
      </c>
      <c r="N15">
        <v>4</v>
      </c>
      <c r="O15">
        <v>3</v>
      </c>
      <c r="P15">
        <v>89</v>
      </c>
      <c r="Q15">
        <v>111</v>
      </c>
      <c r="R15">
        <v>4</v>
      </c>
      <c r="S15">
        <v>166</v>
      </c>
      <c r="T15">
        <v>5</v>
      </c>
      <c r="U15">
        <v>172</v>
      </c>
      <c r="V15">
        <v>2</v>
      </c>
      <c r="W15">
        <v>7</v>
      </c>
      <c r="X15">
        <v>4</v>
      </c>
      <c r="Y15">
        <v>92</v>
      </c>
      <c r="Z15">
        <v>128</v>
      </c>
      <c r="AA15">
        <v>5</v>
      </c>
      <c r="AB15">
        <v>169</v>
      </c>
    </row>
    <row r="16" spans="1:28" x14ac:dyDescent="0.2">
      <c r="A16" s="235" t="s">
        <v>31</v>
      </c>
      <c r="C16">
        <v>20</v>
      </c>
      <c r="E16">
        <v>2</v>
      </c>
      <c r="F16">
        <v>1</v>
      </c>
      <c r="G16">
        <v>2</v>
      </c>
      <c r="H16">
        <v>5</v>
      </c>
      <c r="I16">
        <v>1</v>
      </c>
      <c r="J16">
        <v>5</v>
      </c>
      <c r="K16">
        <v>2</v>
      </c>
      <c r="L16">
        <v>85</v>
      </c>
      <c r="M16">
        <v>3</v>
      </c>
      <c r="P16">
        <v>38</v>
      </c>
      <c r="Q16">
        <v>37</v>
      </c>
      <c r="R16">
        <v>4</v>
      </c>
      <c r="S16">
        <v>36</v>
      </c>
      <c r="T16">
        <v>2</v>
      </c>
      <c r="U16">
        <v>105</v>
      </c>
      <c r="V16">
        <v>3</v>
      </c>
      <c r="W16">
        <v>2</v>
      </c>
      <c r="X16">
        <v>1</v>
      </c>
      <c r="Y16">
        <v>40</v>
      </c>
      <c r="Z16">
        <v>42</v>
      </c>
      <c r="AA16">
        <v>5</v>
      </c>
      <c r="AB16">
        <v>41</v>
      </c>
    </row>
    <row r="17" spans="1:28" x14ac:dyDescent="0.2">
      <c r="A17" s="235" t="s">
        <v>32</v>
      </c>
      <c r="C17">
        <v>21</v>
      </c>
      <c r="E17">
        <v>2</v>
      </c>
      <c r="G17">
        <v>4</v>
      </c>
      <c r="H17">
        <v>10</v>
      </c>
      <c r="I17">
        <v>1</v>
      </c>
      <c r="J17">
        <v>5</v>
      </c>
      <c r="K17">
        <v>1</v>
      </c>
      <c r="L17">
        <v>46</v>
      </c>
      <c r="N17">
        <v>3</v>
      </c>
      <c r="P17">
        <v>33</v>
      </c>
      <c r="Q17">
        <v>20</v>
      </c>
      <c r="R17">
        <v>3</v>
      </c>
      <c r="S17">
        <v>46</v>
      </c>
      <c r="T17">
        <v>1</v>
      </c>
      <c r="U17">
        <v>67</v>
      </c>
      <c r="W17">
        <v>5</v>
      </c>
      <c r="Y17">
        <v>37</v>
      </c>
      <c r="Z17">
        <v>30</v>
      </c>
      <c r="AA17">
        <v>4</v>
      </c>
      <c r="AB17">
        <v>51</v>
      </c>
    </row>
    <row r="18" spans="1:28" x14ac:dyDescent="0.2">
      <c r="A18" s="235" t="s">
        <v>33</v>
      </c>
      <c r="C18">
        <v>10</v>
      </c>
      <c r="D18">
        <v>1</v>
      </c>
      <c r="E18">
        <v>2</v>
      </c>
      <c r="G18">
        <v>3</v>
      </c>
      <c r="H18">
        <v>14</v>
      </c>
      <c r="I18">
        <v>1</v>
      </c>
      <c r="J18">
        <v>1</v>
      </c>
      <c r="K18">
        <v>6</v>
      </c>
      <c r="L18">
        <v>58</v>
      </c>
      <c r="M18">
        <v>2</v>
      </c>
      <c r="N18">
        <v>3</v>
      </c>
      <c r="O18">
        <v>1</v>
      </c>
      <c r="P18">
        <v>32</v>
      </c>
      <c r="Q18">
        <v>20</v>
      </c>
      <c r="R18">
        <v>2</v>
      </c>
      <c r="S18">
        <v>26</v>
      </c>
      <c r="T18">
        <v>6</v>
      </c>
      <c r="U18">
        <v>68</v>
      </c>
      <c r="V18">
        <v>3</v>
      </c>
      <c r="W18">
        <v>5</v>
      </c>
      <c r="X18">
        <v>1</v>
      </c>
      <c r="Y18">
        <v>35</v>
      </c>
      <c r="Z18">
        <v>34</v>
      </c>
      <c r="AA18">
        <v>3</v>
      </c>
      <c r="AB18">
        <v>27</v>
      </c>
    </row>
    <row r="19" spans="1:28" x14ac:dyDescent="0.2">
      <c r="A19" s="235" t="s">
        <v>34</v>
      </c>
      <c r="B19">
        <v>2</v>
      </c>
      <c r="C19">
        <v>67</v>
      </c>
      <c r="E19">
        <v>9</v>
      </c>
      <c r="G19">
        <v>8</v>
      </c>
      <c r="H19">
        <v>13</v>
      </c>
      <c r="I19">
        <v>5</v>
      </c>
      <c r="J19">
        <v>6</v>
      </c>
      <c r="K19">
        <v>3</v>
      </c>
      <c r="L19">
        <v>139</v>
      </c>
      <c r="M19">
        <v>1</v>
      </c>
      <c r="N19">
        <v>2</v>
      </c>
      <c r="O19">
        <v>1</v>
      </c>
      <c r="P19">
        <v>62</v>
      </c>
      <c r="Q19">
        <v>46</v>
      </c>
      <c r="R19">
        <v>10</v>
      </c>
      <c r="S19">
        <v>49</v>
      </c>
      <c r="T19">
        <v>5</v>
      </c>
      <c r="U19">
        <v>206</v>
      </c>
      <c r="V19">
        <v>1</v>
      </c>
      <c r="W19">
        <v>11</v>
      </c>
      <c r="X19">
        <v>1</v>
      </c>
      <c r="Y19">
        <v>70</v>
      </c>
      <c r="Z19">
        <v>59</v>
      </c>
      <c r="AA19">
        <v>15</v>
      </c>
      <c r="AB19">
        <v>55</v>
      </c>
    </row>
    <row r="20" spans="1:28" x14ac:dyDescent="0.2">
      <c r="A20" s="235" t="s">
        <v>35</v>
      </c>
      <c r="B20">
        <v>3</v>
      </c>
      <c r="C20">
        <v>80</v>
      </c>
      <c r="E20">
        <v>18</v>
      </c>
      <c r="F20">
        <v>1</v>
      </c>
      <c r="G20">
        <v>21</v>
      </c>
      <c r="H20">
        <v>39</v>
      </c>
      <c r="I20">
        <v>7</v>
      </c>
      <c r="J20">
        <v>24</v>
      </c>
      <c r="K20">
        <v>22</v>
      </c>
      <c r="L20">
        <v>231</v>
      </c>
      <c r="M20">
        <v>6</v>
      </c>
      <c r="N20">
        <v>24</v>
      </c>
      <c r="O20">
        <v>4</v>
      </c>
      <c r="P20">
        <v>115</v>
      </c>
      <c r="Q20">
        <v>172</v>
      </c>
      <c r="R20">
        <v>24</v>
      </c>
      <c r="S20">
        <v>228</v>
      </c>
      <c r="T20">
        <v>25</v>
      </c>
      <c r="U20">
        <v>311</v>
      </c>
      <c r="V20">
        <v>6</v>
      </c>
      <c r="W20">
        <v>42</v>
      </c>
      <c r="X20">
        <v>5</v>
      </c>
      <c r="Y20">
        <v>136</v>
      </c>
      <c r="Z20">
        <v>211</v>
      </c>
      <c r="AA20">
        <v>31</v>
      </c>
      <c r="AB20">
        <v>252</v>
      </c>
    </row>
    <row r="21" spans="1:28" x14ac:dyDescent="0.2">
      <c r="A21" s="235" t="s">
        <v>36</v>
      </c>
      <c r="B21">
        <v>2</v>
      </c>
      <c r="C21">
        <v>52</v>
      </c>
      <c r="E21">
        <v>17</v>
      </c>
      <c r="F21">
        <v>5</v>
      </c>
      <c r="G21">
        <v>39</v>
      </c>
      <c r="H21">
        <v>120</v>
      </c>
      <c r="I21">
        <v>15</v>
      </c>
      <c r="J21">
        <v>62</v>
      </c>
      <c r="K21">
        <v>16</v>
      </c>
      <c r="L21">
        <v>371</v>
      </c>
      <c r="M21">
        <v>6</v>
      </c>
      <c r="N21">
        <v>20</v>
      </c>
      <c r="O21">
        <v>13</v>
      </c>
      <c r="P21">
        <v>245</v>
      </c>
      <c r="Q21">
        <v>657</v>
      </c>
      <c r="R21">
        <v>46</v>
      </c>
      <c r="S21">
        <v>754</v>
      </c>
      <c r="T21">
        <v>18</v>
      </c>
      <c r="U21">
        <v>423</v>
      </c>
      <c r="V21">
        <v>6</v>
      </c>
      <c r="W21">
        <v>37</v>
      </c>
      <c r="X21">
        <v>18</v>
      </c>
      <c r="Y21">
        <v>284</v>
      </c>
      <c r="Z21">
        <v>777</v>
      </c>
      <c r="AA21">
        <v>61</v>
      </c>
      <c r="AB21">
        <v>816</v>
      </c>
    </row>
    <row r="22" spans="1:28" x14ac:dyDescent="0.2">
      <c r="A22" s="235" t="s">
        <v>37</v>
      </c>
      <c r="B22">
        <v>2</v>
      </c>
      <c r="C22">
        <v>170</v>
      </c>
      <c r="D22">
        <v>3</v>
      </c>
      <c r="E22">
        <v>5</v>
      </c>
      <c r="F22">
        <v>3</v>
      </c>
      <c r="G22">
        <v>16</v>
      </c>
      <c r="H22">
        <v>14</v>
      </c>
      <c r="I22">
        <v>6</v>
      </c>
      <c r="J22">
        <v>15</v>
      </c>
      <c r="K22">
        <v>4</v>
      </c>
      <c r="L22">
        <v>82</v>
      </c>
      <c r="M22">
        <v>4</v>
      </c>
      <c r="N22">
        <v>3</v>
      </c>
      <c r="P22">
        <v>29</v>
      </c>
      <c r="Q22">
        <v>6</v>
      </c>
      <c r="S22">
        <v>34</v>
      </c>
      <c r="T22">
        <v>6</v>
      </c>
      <c r="U22">
        <v>252</v>
      </c>
      <c r="V22">
        <v>7</v>
      </c>
      <c r="W22">
        <v>8</v>
      </c>
      <c r="X22">
        <v>3</v>
      </c>
      <c r="Y22">
        <v>45</v>
      </c>
      <c r="Z22">
        <v>20</v>
      </c>
      <c r="AA22">
        <v>6</v>
      </c>
      <c r="AB22">
        <v>49</v>
      </c>
    </row>
    <row r="23" spans="1:28" x14ac:dyDescent="0.2">
      <c r="A23" s="235" t="s">
        <v>38</v>
      </c>
      <c r="C23">
        <v>14</v>
      </c>
      <c r="E23">
        <v>1</v>
      </c>
      <c r="F23">
        <v>1</v>
      </c>
      <c r="G23">
        <v>5</v>
      </c>
      <c r="H23">
        <v>4</v>
      </c>
      <c r="J23">
        <v>1</v>
      </c>
      <c r="K23">
        <v>8</v>
      </c>
      <c r="L23">
        <v>190</v>
      </c>
      <c r="N23">
        <v>2</v>
      </c>
      <c r="O23">
        <v>2</v>
      </c>
      <c r="P23">
        <v>32</v>
      </c>
      <c r="Q23">
        <v>76</v>
      </c>
      <c r="R23">
        <v>6</v>
      </c>
      <c r="S23">
        <v>75</v>
      </c>
      <c r="T23">
        <v>8</v>
      </c>
      <c r="U23">
        <v>204</v>
      </c>
      <c r="W23">
        <v>3</v>
      </c>
      <c r="X23">
        <v>3</v>
      </c>
      <c r="Y23">
        <v>37</v>
      </c>
      <c r="Z23">
        <v>80</v>
      </c>
      <c r="AA23">
        <v>6</v>
      </c>
      <c r="AB23">
        <v>76</v>
      </c>
    </row>
    <row r="24" spans="1:28" x14ac:dyDescent="0.2">
      <c r="A24" s="235" t="s">
        <v>39</v>
      </c>
      <c r="B24">
        <v>2</v>
      </c>
      <c r="C24">
        <v>15</v>
      </c>
      <c r="D24">
        <v>1</v>
      </c>
      <c r="E24">
        <v>5</v>
      </c>
      <c r="G24">
        <v>5</v>
      </c>
      <c r="H24">
        <v>8</v>
      </c>
      <c r="I24">
        <v>2</v>
      </c>
      <c r="J24">
        <v>7</v>
      </c>
      <c r="L24">
        <v>71</v>
      </c>
      <c r="M24">
        <v>3</v>
      </c>
      <c r="N24">
        <v>2</v>
      </c>
      <c r="P24">
        <v>19</v>
      </c>
      <c r="Q24">
        <v>25</v>
      </c>
      <c r="R24">
        <v>4</v>
      </c>
      <c r="S24">
        <v>34</v>
      </c>
      <c r="T24">
        <v>2</v>
      </c>
      <c r="U24">
        <v>86</v>
      </c>
      <c r="V24">
        <v>4</v>
      </c>
      <c r="W24">
        <v>7</v>
      </c>
      <c r="Y24">
        <v>24</v>
      </c>
      <c r="Z24">
        <v>33</v>
      </c>
      <c r="AA24">
        <v>6</v>
      </c>
      <c r="AB24">
        <v>41</v>
      </c>
    </row>
    <row r="25" spans="1:28" x14ac:dyDescent="0.2">
      <c r="A25" s="235" t="s">
        <v>40</v>
      </c>
      <c r="C25">
        <v>38</v>
      </c>
      <c r="D25">
        <v>1</v>
      </c>
      <c r="E25">
        <v>5</v>
      </c>
      <c r="G25">
        <v>6</v>
      </c>
      <c r="H25">
        <v>9</v>
      </c>
      <c r="I25">
        <v>1</v>
      </c>
      <c r="J25">
        <v>5</v>
      </c>
      <c r="K25">
        <v>1</v>
      </c>
      <c r="L25">
        <v>31</v>
      </c>
      <c r="M25">
        <v>1</v>
      </c>
      <c r="N25">
        <v>1</v>
      </c>
      <c r="P25">
        <v>7</v>
      </c>
      <c r="Q25">
        <v>8</v>
      </c>
      <c r="S25">
        <v>14</v>
      </c>
      <c r="T25">
        <v>1</v>
      </c>
      <c r="U25">
        <v>69</v>
      </c>
      <c r="V25">
        <v>2</v>
      </c>
      <c r="W25">
        <v>6</v>
      </c>
      <c r="Y25">
        <v>13</v>
      </c>
      <c r="Z25">
        <v>17</v>
      </c>
      <c r="AA25">
        <v>1</v>
      </c>
      <c r="AB25">
        <v>19</v>
      </c>
    </row>
    <row r="26" spans="1:28" x14ac:dyDescent="0.2">
      <c r="A26" s="235" t="s">
        <v>295</v>
      </c>
      <c r="B26">
        <v>3</v>
      </c>
      <c r="C26">
        <v>52</v>
      </c>
      <c r="E26">
        <v>1</v>
      </c>
      <c r="G26">
        <v>1</v>
      </c>
      <c r="J26">
        <v>1</v>
      </c>
      <c r="L26">
        <v>18</v>
      </c>
      <c r="T26">
        <v>3</v>
      </c>
      <c r="U26">
        <v>70</v>
      </c>
      <c r="W26">
        <v>1</v>
      </c>
      <c r="Y26">
        <v>1</v>
      </c>
      <c r="AB26">
        <v>1</v>
      </c>
    </row>
    <row r="27" spans="1:28" x14ac:dyDescent="0.2">
      <c r="A27" s="235" t="s">
        <v>41</v>
      </c>
      <c r="C27">
        <v>27</v>
      </c>
      <c r="E27">
        <v>5</v>
      </c>
      <c r="F27">
        <v>2</v>
      </c>
      <c r="G27">
        <v>7</v>
      </c>
      <c r="H27">
        <v>7</v>
      </c>
      <c r="J27">
        <v>6</v>
      </c>
      <c r="K27">
        <v>9</v>
      </c>
      <c r="L27">
        <v>129</v>
      </c>
      <c r="M27">
        <v>5</v>
      </c>
      <c r="N27">
        <v>4</v>
      </c>
      <c r="O27">
        <v>10</v>
      </c>
      <c r="P27">
        <v>84</v>
      </c>
      <c r="Q27">
        <v>94</v>
      </c>
      <c r="R27">
        <v>11</v>
      </c>
      <c r="S27">
        <v>91</v>
      </c>
      <c r="T27">
        <v>9</v>
      </c>
      <c r="U27">
        <v>156</v>
      </c>
      <c r="V27">
        <v>5</v>
      </c>
      <c r="W27">
        <v>9</v>
      </c>
      <c r="X27">
        <v>12</v>
      </c>
      <c r="Y27">
        <v>91</v>
      </c>
      <c r="Z27">
        <v>101</v>
      </c>
      <c r="AA27">
        <v>11</v>
      </c>
      <c r="AB27">
        <v>97</v>
      </c>
    </row>
    <row r="28" spans="1:28" x14ac:dyDescent="0.2">
      <c r="A28" s="235" t="s">
        <v>42</v>
      </c>
      <c r="B28">
        <v>2</v>
      </c>
      <c r="C28">
        <v>67</v>
      </c>
      <c r="D28">
        <v>3</v>
      </c>
      <c r="E28">
        <v>15</v>
      </c>
      <c r="F28">
        <v>3</v>
      </c>
      <c r="G28">
        <v>20</v>
      </c>
      <c r="H28">
        <v>18</v>
      </c>
      <c r="I28">
        <v>5</v>
      </c>
      <c r="J28">
        <v>29</v>
      </c>
      <c r="K28">
        <v>12</v>
      </c>
      <c r="L28">
        <v>393</v>
      </c>
      <c r="M28">
        <v>5</v>
      </c>
      <c r="N28">
        <v>14</v>
      </c>
      <c r="O28">
        <v>15</v>
      </c>
      <c r="P28">
        <v>144</v>
      </c>
      <c r="Q28">
        <v>161</v>
      </c>
      <c r="R28">
        <v>24</v>
      </c>
      <c r="S28">
        <v>545</v>
      </c>
      <c r="T28">
        <v>14</v>
      </c>
      <c r="U28">
        <v>460</v>
      </c>
      <c r="V28">
        <v>8</v>
      </c>
      <c r="W28">
        <v>29</v>
      </c>
      <c r="X28">
        <v>18</v>
      </c>
      <c r="Y28">
        <v>164</v>
      </c>
      <c r="Z28">
        <v>179</v>
      </c>
      <c r="AA28">
        <v>29</v>
      </c>
      <c r="AB28">
        <v>574</v>
      </c>
    </row>
    <row r="29" spans="1:28" x14ac:dyDescent="0.2">
      <c r="A29" s="235" t="s">
        <v>43</v>
      </c>
      <c r="C29">
        <v>4</v>
      </c>
      <c r="D29">
        <v>1</v>
      </c>
      <c r="E29">
        <v>1</v>
      </c>
      <c r="G29">
        <v>1</v>
      </c>
      <c r="H29">
        <v>1</v>
      </c>
      <c r="L29">
        <v>2</v>
      </c>
      <c r="P29">
        <v>2</v>
      </c>
      <c r="S29">
        <v>2</v>
      </c>
      <c r="U29">
        <v>6</v>
      </c>
      <c r="V29">
        <v>1</v>
      </c>
      <c r="W29">
        <v>1</v>
      </c>
      <c r="Y29">
        <v>3</v>
      </c>
      <c r="Z29">
        <v>1</v>
      </c>
      <c r="AB29">
        <v>2</v>
      </c>
    </row>
    <row r="30" spans="1:28" x14ac:dyDescent="0.2">
      <c r="A30" s="235" t="s">
        <v>44</v>
      </c>
      <c r="B30">
        <v>2</v>
      </c>
      <c r="C30">
        <v>42</v>
      </c>
      <c r="D30">
        <v>1</v>
      </c>
      <c r="E30">
        <v>4</v>
      </c>
      <c r="F30">
        <v>2</v>
      </c>
      <c r="G30">
        <v>5</v>
      </c>
      <c r="H30">
        <v>18</v>
      </c>
      <c r="I30">
        <v>3</v>
      </c>
      <c r="J30">
        <v>4</v>
      </c>
      <c r="L30">
        <v>20</v>
      </c>
      <c r="M30">
        <v>3</v>
      </c>
      <c r="N30">
        <v>1</v>
      </c>
      <c r="O30">
        <v>3</v>
      </c>
      <c r="P30">
        <v>6</v>
      </c>
      <c r="Q30">
        <v>16</v>
      </c>
      <c r="R30">
        <v>2</v>
      </c>
      <c r="S30">
        <v>13</v>
      </c>
      <c r="T30">
        <v>2</v>
      </c>
      <c r="U30">
        <v>62</v>
      </c>
      <c r="V30">
        <v>4</v>
      </c>
      <c r="W30">
        <v>5</v>
      </c>
      <c r="X30">
        <v>5</v>
      </c>
      <c r="Y30">
        <v>11</v>
      </c>
      <c r="Z30">
        <v>34</v>
      </c>
      <c r="AA30">
        <v>5</v>
      </c>
      <c r="AB30">
        <v>17</v>
      </c>
    </row>
    <row r="31" spans="1:28" x14ac:dyDescent="0.2">
      <c r="A31" s="235" t="s">
        <v>45</v>
      </c>
      <c r="C31">
        <v>24</v>
      </c>
      <c r="E31">
        <v>4</v>
      </c>
      <c r="F31">
        <v>1</v>
      </c>
      <c r="G31">
        <v>5</v>
      </c>
      <c r="H31">
        <v>17</v>
      </c>
      <c r="I31">
        <v>3</v>
      </c>
      <c r="J31">
        <v>19</v>
      </c>
      <c r="K31">
        <v>3</v>
      </c>
      <c r="L31">
        <v>113</v>
      </c>
      <c r="M31">
        <v>1</v>
      </c>
      <c r="N31">
        <v>7</v>
      </c>
      <c r="O31">
        <v>2</v>
      </c>
      <c r="P31">
        <v>58</v>
      </c>
      <c r="Q31">
        <v>105</v>
      </c>
      <c r="R31">
        <v>14</v>
      </c>
      <c r="S31">
        <v>127</v>
      </c>
      <c r="T31">
        <v>3</v>
      </c>
      <c r="U31">
        <v>137</v>
      </c>
      <c r="V31">
        <v>1</v>
      </c>
      <c r="W31">
        <v>11</v>
      </c>
      <c r="X31">
        <v>3</v>
      </c>
      <c r="Y31">
        <v>63</v>
      </c>
      <c r="Z31">
        <v>122</v>
      </c>
      <c r="AA31">
        <v>17</v>
      </c>
      <c r="AB31">
        <v>146</v>
      </c>
    </row>
    <row r="32" spans="1:28" x14ac:dyDescent="0.2">
      <c r="A32" s="235" t="s">
        <v>46</v>
      </c>
      <c r="C32">
        <v>12</v>
      </c>
      <c r="D32">
        <v>1</v>
      </c>
      <c r="E32">
        <v>3</v>
      </c>
      <c r="G32">
        <v>2</v>
      </c>
      <c r="H32">
        <v>7</v>
      </c>
      <c r="I32">
        <v>3</v>
      </c>
      <c r="J32">
        <v>2</v>
      </c>
      <c r="K32">
        <v>1</v>
      </c>
      <c r="L32">
        <v>52</v>
      </c>
      <c r="M32">
        <v>1</v>
      </c>
      <c r="N32">
        <v>1</v>
      </c>
      <c r="O32">
        <v>1</v>
      </c>
      <c r="P32">
        <v>10</v>
      </c>
      <c r="Q32">
        <v>16</v>
      </c>
      <c r="R32">
        <v>1</v>
      </c>
      <c r="S32">
        <v>11</v>
      </c>
      <c r="T32">
        <v>1</v>
      </c>
      <c r="U32">
        <v>64</v>
      </c>
      <c r="V32">
        <v>2</v>
      </c>
      <c r="W32">
        <v>4</v>
      </c>
      <c r="X32">
        <v>1</v>
      </c>
      <c r="Y32">
        <v>12</v>
      </c>
      <c r="Z32">
        <v>23</v>
      </c>
      <c r="AA32">
        <v>4</v>
      </c>
      <c r="AB32">
        <v>13</v>
      </c>
    </row>
    <row r="33" spans="1:28" x14ac:dyDescent="0.2">
      <c r="A33" s="235" t="s">
        <v>47</v>
      </c>
      <c r="C33">
        <v>6</v>
      </c>
      <c r="E33">
        <v>2</v>
      </c>
      <c r="J33">
        <v>1</v>
      </c>
      <c r="P33">
        <v>3</v>
      </c>
      <c r="Q33">
        <v>1</v>
      </c>
      <c r="S33">
        <v>2</v>
      </c>
      <c r="U33">
        <v>6</v>
      </c>
      <c r="W33">
        <v>2</v>
      </c>
      <c r="Y33">
        <v>3</v>
      </c>
      <c r="Z33">
        <v>1</v>
      </c>
      <c r="AB33">
        <v>3</v>
      </c>
    </row>
    <row r="34" spans="1:28" x14ac:dyDescent="0.2">
      <c r="A34" s="235" t="s">
        <v>48</v>
      </c>
      <c r="B34">
        <v>1</v>
      </c>
      <c r="C34">
        <v>30</v>
      </c>
      <c r="D34">
        <v>1</v>
      </c>
      <c r="E34">
        <v>3</v>
      </c>
      <c r="F34">
        <v>1</v>
      </c>
      <c r="G34">
        <v>3</v>
      </c>
      <c r="H34">
        <v>20</v>
      </c>
      <c r="I34">
        <v>1</v>
      </c>
      <c r="J34">
        <v>4</v>
      </c>
      <c r="K34">
        <v>1</v>
      </c>
      <c r="L34">
        <v>72</v>
      </c>
      <c r="M34">
        <v>1</v>
      </c>
      <c r="N34">
        <v>1</v>
      </c>
      <c r="P34">
        <v>63</v>
      </c>
      <c r="Q34">
        <v>54</v>
      </c>
      <c r="R34">
        <v>1</v>
      </c>
      <c r="S34">
        <v>47</v>
      </c>
      <c r="T34">
        <v>2</v>
      </c>
      <c r="U34">
        <v>102</v>
      </c>
      <c r="V34">
        <v>2</v>
      </c>
      <c r="W34">
        <v>4</v>
      </c>
      <c r="X34">
        <v>1</v>
      </c>
      <c r="Y34">
        <v>66</v>
      </c>
      <c r="Z34">
        <v>74</v>
      </c>
      <c r="AA34">
        <v>2</v>
      </c>
      <c r="AB34">
        <v>51</v>
      </c>
    </row>
    <row r="35" spans="1:28" x14ac:dyDescent="0.2">
      <c r="A35" s="235" t="s">
        <v>49</v>
      </c>
      <c r="B35">
        <v>1</v>
      </c>
      <c r="C35">
        <v>66</v>
      </c>
      <c r="D35">
        <v>2</v>
      </c>
      <c r="E35">
        <v>4</v>
      </c>
      <c r="G35">
        <v>11</v>
      </c>
      <c r="H35">
        <v>17</v>
      </c>
      <c r="I35">
        <v>4</v>
      </c>
      <c r="J35">
        <v>21</v>
      </c>
      <c r="K35">
        <v>4</v>
      </c>
      <c r="L35">
        <v>283</v>
      </c>
      <c r="M35">
        <v>6</v>
      </c>
      <c r="N35">
        <v>3</v>
      </c>
      <c r="O35">
        <v>4</v>
      </c>
      <c r="P35">
        <v>86</v>
      </c>
      <c r="Q35">
        <v>154</v>
      </c>
      <c r="R35">
        <v>22</v>
      </c>
      <c r="S35">
        <v>330</v>
      </c>
      <c r="T35">
        <v>5</v>
      </c>
      <c r="U35">
        <v>349</v>
      </c>
      <c r="V35">
        <v>8</v>
      </c>
      <c r="W35">
        <v>7</v>
      </c>
      <c r="X35">
        <v>4</v>
      </c>
      <c r="Y35">
        <v>97</v>
      </c>
      <c r="Z35">
        <v>171</v>
      </c>
      <c r="AA35">
        <v>26</v>
      </c>
      <c r="AB35">
        <v>351</v>
      </c>
    </row>
    <row r="36" spans="1:28" x14ac:dyDescent="0.2">
      <c r="A36" s="235" t="s">
        <v>50</v>
      </c>
      <c r="C36">
        <v>39</v>
      </c>
      <c r="E36">
        <v>3</v>
      </c>
      <c r="F36">
        <v>1</v>
      </c>
      <c r="G36">
        <v>6</v>
      </c>
      <c r="H36">
        <v>16</v>
      </c>
      <c r="I36">
        <v>1</v>
      </c>
      <c r="J36">
        <v>6</v>
      </c>
      <c r="K36">
        <v>2</v>
      </c>
      <c r="L36">
        <v>50</v>
      </c>
      <c r="N36">
        <v>5</v>
      </c>
      <c r="P36">
        <v>13</v>
      </c>
      <c r="Q36">
        <v>30</v>
      </c>
      <c r="R36">
        <v>3</v>
      </c>
      <c r="S36">
        <v>21</v>
      </c>
      <c r="T36">
        <v>2</v>
      </c>
      <c r="U36">
        <v>89</v>
      </c>
      <c r="W36">
        <v>8</v>
      </c>
      <c r="X36">
        <v>1</v>
      </c>
      <c r="Y36">
        <v>19</v>
      </c>
      <c r="Z36">
        <v>46</v>
      </c>
      <c r="AA36">
        <v>4</v>
      </c>
      <c r="AB36">
        <v>27</v>
      </c>
    </row>
    <row r="37" spans="1:28" x14ac:dyDescent="0.2">
      <c r="A37" s="235" t="s">
        <v>51</v>
      </c>
      <c r="C37">
        <v>8</v>
      </c>
      <c r="E37">
        <v>2</v>
      </c>
      <c r="G37">
        <v>2</v>
      </c>
      <c r="H37">
        <v>8</v>
      </c>
      <c r="I37">
        <v>1</v>
      </c>
      <c r="J37">
        <v>1</v>
      </c>
      <c r="K37">
        <v>12</v>
      </c>
      <c r="L37">
        <v>111</v>
      </c>
      <c r="M37">
        <v>3</v>
      </c>
      <c r="N37">
        <v>4</v>
      </c>
      <c r="P37">
        <v>52</v>
      </c>
      <c r="Q37">
        <v>113</v>
      </c>
      <c r="R37">
        <v>6</v>
      </c>
      <c r="S37">
        <v>85</v>
      </c>
      <c r="T37">
        <v>12</v>
      </c>
      <c r="U37">
        <v>119</v>
      </c>
      <c r="V37">
        <v>3</v>
      </c>
      <c r="W37">
        <v>6</v>
      </c>
      <c r="Y37">
        <v>54</v>
      </c>
      <c r="Z37">
        <v>121</v>
      </c>
      <c r="AA37">
        <v>7</v>
      </c>
      <c r="AB37">
        <v>86</v>
      </c>
    </row>
    <row r="38" spans="1:28" x14ac:dyDescent="0.2">
      <c r="A38" s="235" t="s">
        <v>52</v>
      </c>
      <c r="C38">
        <v>66</v>
      </c>
      <c r="E38">
        <v>10</v>
      </c>
      <c r="F38">
        <v>3</v>
      </c>
      <c r="G38">
        <v>16</v>
      </c>
      <c r="H38">
        <v>27</v>
      </c>
      <c r="I38">
        <v>4</v>
      </c>
      <c r="J38">
        <v>4</v>
      </c>
      <c r="K38">
        <v>11</v>
      </c>
      <c r="L38">
        <v>217</v>
      </c>
      <c r="M38">
        <v>3</v>
      </c>
      <c r="N38">
        <v>5</v>
      </c>
      <c r="O38">
        <v>3</v>
      </c>
      <c r="P38">
        <v>66</v>
      </c>
      <c r="Q38">
        <v>137</v>
      </c>
      <c r="R38">
        <v>18</v>
      </c>
      <c r="S38">
        <v>102</v>
      </c>
      <c r="T38">
        <v>11</v>
      </c>
      <c r="U38">
        <v>283</v>
      </c>
      <c r="V38">
        <v>3</v>
      </c>
      <c r="W38">
        <v>15</v>
      </c>
      <c r="X38">
        <v>6</v>
      </c>
      <c r="Y38">
        <v>82</v>
      </c>
      <c r="Z38">
        <v>164</v>
      </c>
      <c r="AA38">
        <v>22</v>
      </c>
      <c r="AB38">
        <v>106</v>
      </c>
    </row>
    <row r="39" spans="1:28" x14ac:dyDescent="0.2">
      <c r="A39" s="235" t="s">
        <v>333</v>
      </c>
      <c r="B39">
        <v>34</v>
      </c>
      <c r="C39">
        <v>1302</v>
      </c>
      <c r="D39">
        <v>26</v>
      </c>
      <c r="E39">
        <v>188</v>
      </c>
      <c r="F39">
        <v>29</v>
      </c>
      <c r="G39">
        <v>284</v>
      </c>
      <c r="H39">
        <v>740</v>
      </c>
      <c r="I39">
        <v>150</v>
      </c>
      <c r="J39">
        <v>320</v>
      </c>
      <c r="K39">
        <v>151</v>
      </c>
      <c r="L39">
        <v>3725</v>
      </c>
      <c r="M39">
        <v>69</v>
      </c>
      <c r="N39">
        <v>163</v>
      </c>
      <c r="O39">
        <v>72</v>
      </c>
      <c r="P39">
        <v>1657</v>
      </c>
      <c r="Q39">
        <v>2642</v>
      </c>
      <c r="R39">
        <v>291</v>
      </c>
      <c r="S39">
        <v>3287</v>
      </c>
      <c r="T39">
        <v>185</v>
      </c>
      <c r="U39">
        <v>5027</v>
      </c>
      <c r="V39">
        <v>95</v>
      </c>
      <c r="W39">
        <v>351</v>
      </c>
      <c r="X39">
        <v>101</v>
      </c>
      <c r="Y39">
        <v>1941</v>
      </c>
      <c r="Z39">
        <v>3382</v>
      </c>
      <c r="AA39">
        <v>441</v>
      </c>
      <c r="AB39">
        <v>3607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S51"/>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8.7109375" style="50" customWidth="1"/>
    <col min="2" max="2" width="11.140625" style="50" customWidth="1"/>
    <col min="3" max="12" width="11.140625" style="1" customWidth="1"/>
    <col min="13" max="13" width="13" style="1" customWidth="1"/>
    <col min="14" max="14" width="12.85546875" style="1" customWidth="1"/>
    <col min="15" max="15" width="12.140625" style="1" customWidth="1"/>
    <col min="16" max="17" width="11.140625" style="1" customWidth="1"/>
    <col min="18" max="18" width="15" customWidth="1"/>
    <col min="19" max="19" width="14.42578125" customWidth="1"/>
    <col min="20" max="240" width="9.140625" style="1"/>
    <col min="241" max="241" width="11.42578125" style="1" customWidth="1"/>
    <col min="242" max="243" width="12.85546875" style="1" customWidth="1"/>
    <col min="244" max="244" width="12.140625" style="1" customWidth="1"/>
    <col min="245" max="245" width="12.85546875" style="1" customWidth="1"/>
    <col min="246" max="246" width="15.42578125" style="1" customWidth="1"/>
    <col min="247" max="248" width="12.85546875" style="1" customWidth="1"/>
    <col min="249" max="249" width="3.28515625" style="1" customWidth="1"/>
    <col min="250" max="251" width="11.5703125" style="1" customWidth="1"/>
    <col min="252" max="252" width="3.28515625" style="1" customWidth="1"/>
    <col min="253" max="256" width="14.28515625" style="1" customWidth="1"/>
    <col min="257" max="257" width="5.7109375" style="1" customWidth="1"/>
    <col min="258" max="258" width="17.42578125" style="1" customWidth="1"/>
    <col min="259" max="259" width="6" style="1" customWidth="1"/>
    <col min="260" max="260" width="17.28515625" style="1" customWidth="1"/>
    <col min="261" max="261" width="5.7109375" style="1" customWidth="1"/>
    <col min="262" max="262" width="17.28515625" style="1" customWidth="1"/>
    <col min="263" max="496" width="9.140625" style="1"/>
    <col min="497" max="497" width="11.42578125" style="1" customWidth="1"/>
    <col min="498" max="499" width="12.85546875" style="1" customWidth="1"/>
    <col min="500" max="500" width="12.140625" style="1" customWidth="1"/>
    <col min="501" max="501" width="12.85546875" style="1" customWidth="1"/>
    <col min="502" max="502" width="15.42578125" style="1" customWidth="1"/>
    <col min="503" max="504" width="12.85546875" style="1" customWidth="1"/>
    <col min="505" max="505" width="3.28515625" style="1" customWidth="1"/>
    <col min="506" max="507" width="11.5703125" style="1" customWidth="1"/>
    <col min="508" max="508" width="3.28515625" style="1" customWidth="1"/>
    <col min="509" max="512" width="14.28515625" style="1" customWidth="1"/>
    <col min="513" max="513" width="5.7109375" style="1" customWidth="1"/>
    <col min="514" max="514" width="17.42578125" style="1" customWidth="1"/>
    <col min="515" max="515" width="6" style="1" customWidth="1"/>
    <col min="516" max="516" width="17.28515625" style="1" customWidth="1"/>
    <col min="517" max="517" width="5.7109375" style="1" customWidth="1"/>
    <col min="518" max="518" width="17.28515625" style="1" customWidth="1"/>
    <col min="519" max="752" width="9.140625" style="1"/>
    <col min="753" max="753" width="11.42578125" style="1" customWidth="1"/>
    <col min="754" max="755" width="12.85546875" style="1" customWidth="1"/>
    <col min="756" max="756" width="12.140625" style="1" customWidth="1"/>
    <col min="757" max="757" width="12.85546875" style="1" customWidth="1"/>
    <col min="758" max="758" width="15.42578125" style="1" customWidth="1"/>
    <col min="759" max="760" width="12.85546875" style="1" customWidth="1"/>
    <col min="761" max="761" width="3.28515625" style="1" customWidth="1"/>
    <col min="762" max="763" width="11.5703125" style="1" customWidth="1"/>
    <col min="764" max="764" width="3.28515625" style="1" customWidth="1"/>
    <col min="765" max="768" width="14.28515625" style="1" customWidth="1"/>
    <col min="769" max="769" width="5.7109375" style="1" customWidth="1"/>
    <col min="770" max="770" width="17.42578125" style="1" customWidth="1"/>
    <col min="771" max="771" width="6" style="1" customWidth="1"/>
    <col min="772" max="772" width="17.28515625" style="1" customWidth="1"/>
    <col min="773" max="773" width="5.7109375" style="1" customWidth="1"/>
    <col min="774" max="774" width="17.28515625" style="1" customWidth="1"/>
    <col min="775" max="1008" width="9.140625" style="1"/>
    <col min="1009" max="1009" width="11.42578125" style="1" customWidth="1"/>
    <col min="1010" max="1011" width="12.85546875" style="1" customWidth="1"/>
    <col min="1012" max="1012" width="12.140625" style="1" customWidth="1"/>
    <col min="1013" max="1013" width="12.85546875" style="1" customWidth="1"/>
    <col min="1014" max="1014" width="15.42578125" style="1" customWidth="1"/>
    <col min="1015" max="1016" width="12.85546875" style="1" customWidth="1"/>
    <col min="1017" max="1017" width="3.28515625" style="1" customWidth="1"/>
    <col min="1018" max="1019" width="11.5703125" style="1" customWidth="1"/>
    <col min="1020" max="1020" width="3.28515625" style="1" customWidth="1"/>
    <col min="1021" max="1024" width="14.28515625" style="1" customWidth="1"/>
    <col min="1025" max="1025" width="5.7109375" style="1" customWidth="1"/>
    <col min="1026" max="1026" width="17.42578125" style="1" customWidth="1"/>
    <col min="1027" max="1027" width="6" style="1" customWidth="1"/>
    <col min="1028" max="1028" width="17.28515625" style="1" customWidth="1"/>
    <col min="1029" max="1029" width="5.7109375" style="1" customWidth="1"/>
    <col min="1030" max="1030" width="17.28515625" style="1" customWidth="1"/>
    <col min="1031" max="1264" width="9.140625" style="1"/>
    <col min="1265" max="1265" width="11.42578125" style="1" customWidth="1"/>
    <col min="1266" max="1267" width="12.85546875" style="1" customWidth="1"/>
    <col min="1268" max="1268" width="12.140625" style="1" customWidth="1"/>
    <col min="1269" max="1269" width="12.85546875" style="1" customWidth="1"/>
    <col min="1270" max="1270" width="15.42578125" style="1" customWidth="1"/>
    <col min="1271" max="1272" width="12.85546875" style="1" customWidth="1"/>
    <col min="1273" max="1273" width="3.28515625" style="1" customWidth="1"/>
    <col min="1274" max="1275" width="11.5703125" style="1" customWidth="1"/>
    <col min="1276" max="1276" width="3.28515625" style="1" customWidth="1"/>
    <col min="1277" max="1280" width="14.28515625" style="1" customWidth="1"/>
    <col min="1281" max="1281" width="5.7109375" style="1" customWidth="1"/>
    <col min="1282" max="1282" width="17.42578125" style="1" customWidth="1"/>
    <col min="1283" max="1283" width="6" style="1" customWidth="1"/>
    <col min="1284" max="1284" width="17.28515625" style="1" customWidth="1"/>
    <col min="1285" max="1285" width="5.7109375" style="1" customWidth="1"/>
    <col min="1286" max="1286" width="17.28515625" style="1" customWidth="1"/>
    <col min="1287" max="1520" width="9.140625" style="1"/>
    <col min="1521" max="1521" width="11.42578125" style="1" customWidth="1"/>
    <col min="1522" max="1523" width="12.85546875" style="1" customWidth="1"/>
    <col min="1524" max="1524" width="12.140625" style="1" customWidth="1"/>
    <col min="1525" max="1525" width="12.85546875" style="1" customWidth="1"/>
    <col min="1526" max="1526" width="15.42578125" style="1" customWidth="1"/>
    <col min="1527" max="1528" width="12.85546875" style="1" customWidth="1"/>
    <col min="1529" max="1529" width="3.28515625" style="1" customWidth="1"/>
    <col min="1530" max="1531" width="11.5703125" style="1" customWidth="1"/>
    <col min="1532" max="1532" width="3.28515625" style="1" customWidth="1"/>
    <col min="1533" max="1536" width="14.28515625" style="1" customWidth="1"/>
    <col min="1537" max="1537" width="5.7109375" style="1" customWidth="1"/>
    <col min="1538" max="1538" width="17.42578125" style="1" customWidth="1"/>
    <col min="1539" max="1539" width="6" style="1" customWidth="1"/>
    <col min="1540" max="1540" width="17.28515625" style="1" customWidth="1"/>
    <col min="1541" max="1541" width="5.7109375" style="1" customWidth="1"/>
    <col min="1542" max="1542" width="17.28515625" style="1" customWidth="1"/>
    <col min="1543" max="1776" width="9.140625" style="1"/>
    <col min="1777" max="1777" width="11.42578125" style="1" customWidth="1"/>
    <col min="1778" max="1779" width="12.85546875" style="1" customWidth="1"/>
    <col min="1780" max="1780" width="12.140625" style="1" customWidth="1"/>
    <col min="1781" max="1781" width="12.85546875" style="1" customWidth="1"/>
    <col min="1782" max="1782" width="15.42578125" style="1" customWidth="1"/>
    <col min="1783" max="1784" width="12.85546875" style="1" customWidth="1"/>
    <col min="1785" max="1785" width="3.28515625" style="1" customWidth="1"/>
    <col min="1786" max="1787" width="11.5703125" style="1" customWidth="1"/>
    <col min="1788" max="1788" width="3.28515625" style="1" customWidth="1"/>
    <col min="1789" max="1792" width="14.28515625" style="1" customWidth="1"/>
    <col min="1793" max="1793" width="5.7109375" style="1" customWidth="1"/>
    <col min="1794" max="1794" width="17.42578125" style="1" customWidth="1"/>
    <col min="1795" max="1795" width="6" style="1" customWidth="1"/>
    <col min="1796" max="1796" width="17.28515625" style="1" customWidth="1"/>
    <col min="1797" max="1797" width="5.7109375" style="1" customWidth="1"/>
    <col min="1798" max="1798" width="17.28515625" style="1" customWidth="1"/>
    <col min="1799" max="2032" width="9.140625" style="1"/>
    <col min="2033" max="2033" width="11.42578125" style="1" customWidth="1"/>
    <col min="2034" max="2035" width="12.85546875" style="1" customWidth="1"/>
    <col min="2036" max="2036" width="12.140625" style="1" customWidth="1"/>
    <col min="2037" max="2037" width="12.85546875" style="1" customWidth="1"/>
    <col min="2038" max="2038" width="15.42578125" style="1" customWidth="1"/>
    <col min="2039" max="2040" width="12.85546875" style="1" customWidth="1"/>
    <col min="2041" max="2041" width="3.28515625" style="1" customWidth="1"/>
    <col min="2042" max="2043" width="11.5703125" style="1" customWidth="1"/>
    <col min="2044" max="2044" width="3.28515625" style="1" customWidth="1"/>
    <col min="2045" max="2048" width="14.28515625" style="1" customWidth="1"/>
    <col min="2049" max="2049" width="5.7109375" style="1" customWidth="1"/>
    <col min="2050" max="2050" width="17.42578125" style="1" customWidth="1"/>
    <col min="2051" max="2051" width="6" style="1" customWidth="1"/>
    <col min="2052" max="2052" width="17.28515625" style="1" customWidth="1"/>
    <col min="2053" max="2053" width="5.7109375" style="1" customWidth="1"/>
    <col min="2054" max="2054" width="17.28515625" style="1" customWidth="1"/>
    <col min="2055" max="2288" width="9.140625" style="1"/>
    <col min="2289" max="2289" width="11.42578125" style="1" customWidth="1"/>
    <col min="2290" max="2291" width="12.85546875" style="1" customWidth="1"/>
    <col min="2292" max="2292" width="12.140625" style="1" customWidth="1"/>
    <col min="2293" max="2293" width="12.85546875" style="1" customWidth="1"/>
    <col min="2294" max="2294" width="15.42578125" style="1" customWidth="1"/>
    <col min="2295" max="2296" width="12.85546875" style="1" customWidth="1"/>
    <col min="2297" max="2297" width="3.28515625" style="1" customWidth="1"/>
    <col min="2298" max="2299" width="11.5703125" style="1" customWidth="1"/>
    <col min="2300" max="2300" width="3.28515625" style="1" customWidth="1"/>
    <col min="2301" max="2304" width="14.28515625" style="1" customWidth="1"/>
    <col min="2305" max="2305" width="5.7109375" style="1" customWidth="1"/>
    <col min="2306" max="2306" width="17.42578125" style="1" customWidth="1"/>
    <col min="2307" max="2307" width="6" style="1" customWidth="1"/>
    <col min="2308" max="2308" width="17.28515625" style="1" customWidth="1"/>
    <col min="2309" max="2309" width="5.7109375" style="1" customWidth="1"/>
    <col min="2310" max="2310" width="17.28515625" style="1" customWidth="1"/>
    <col min="2311" max="2544" width="9.140625" style="1"/>
    <col min="2545" max="2545" width="11.42578125" style="1" customWidth="1"/>
    <col min="2546" max="2547" width="12.85546875" style="1" customWidth="1"/>
    <col min="2548" max="2548" width="12.140625" style="1" customWidth="1"/>
    <col min="2549" max="2549" width="12.85546875" style="1" customWidth="1"/>
    <col min="2550" max="2550" width="15.42578125" style="1" customWidth="1"/>
    <col min="2551" max="2552" width="12.85546875" style="1" customWidth="1"/>
    <col min="2553" max="2553" width="3.28515625" style="1" customWidth="1"/>
    <col min="2554" max="2555" width="11.5703125" style="1" customWidth="1"/>
    <col min="2556" max="2556" width="3.28515625" style="1" customWidth="1"/>
    <col min="2557" max="2560" width="14.28515625" style="1" customWidth="1"/>
    <col min="2561" max="2561" width="5.7109375" style="1" customWidth="1"/>
    <col min="2562" max="2562" width="17.42578125" style="1" customWidth="1"/>
    <col min="2563" max="2563" width="6" style="1" customWidth="1"/>
    <col min="2564" max="2564" width="17.28515625" style="1" customWidth="1"/>
    <col min="2565" max="2565" width="5.7109375" style="1" customWidth="1"/>
    <col min="2566" max="2566" width="17.28515625" style="1" customWidth="1"/>
    <col min="2567" max="2800" width="9.140625" style="1"/>
    <col min="2801" max="2801" width="11.42578125" style="1" customWidth="1"/>
    <col min="2802" max="2803" width="12.85546875" style="1" customWidth="1"/>
    <col min="2804" max="2804" width="12.140625" style="1" customWidth="1"/>
    <col min="2805" max="2805" width="12.85546875" style="1" customWidth="1"/>
    <col min="2806" max="2806" width="15.42578125" style="1" customWidth="1"/>
    <col min="2807" max="2808" width="12.85546875" style="1" customWidth="1"/>
    <col min="2809" max="2809" width="3.28515625" style="1" customWidth="1"/>
    <col min="2810" max="2811" width="11.5703125" style="1" customWidth="1"/>
    <col min="2812" max="2812" width="3.28515625" style="1" customWidth="1"/>
    <col min="2813" max="2816" width="14.28515625" style="1" customWidth="1"/>
    <col min="2817" max="2817" width="5.7109375" style="1" customWidth="1"/>
    <col min="2818" max="2818" width="17.42578125" style="1" customWidth="1"/>
    <col min="2819" max="2819" width="6" style="1" customWidth="1"/>
    <col min="2820" max="2820" width="17.28515625" style="1" customWidth="1"/>
    <col min="2821" max="2821" width="5.7109375" style="1" customWidth="1"/>
    <col min="2822" max="2822" width="17.28515625" style="1" customWidth="1"/>
    <col min="2823" max="3056" width="9.140625" style="1"/>
    <col min="3057" max="3057" width="11.42578125" style="1" customWidth="1"/>
    <col min="3058" max="3059" width="12.85546875" style="1" customWidth="1"/>
    <col min="3060" max="3060" width="12.140625" style="1" customWidth="1"/>
    <col min="3061" max="3061" width="12.85546875" style="1" customWidth="1"/>
    <col min="3062" max="3062" width="15.42578125" style="1" customWidth="1"/>
    <col min="3063" max="3064" width="12.85546875" style="1" customWidth="1"/>
    <col min="3065" max="3065" width="3.28515625" style="1" customWidth="1"/>
    <col min="3066" max="3067" width="11.5703125" style="1" customWidth="1"/>
    <col min="3068" max="3068" width="3.28515625" style="1" customWidth="1"/>
    <col min="3069" max="3072" width="14.28515625" style="1" customWidth="1"/>
    <col min="3073" max="3073" width="5.7109375" style="1" customWidth="1"/>
    <col min="3074" max="3074" width="17.42578125" style="1" customWidth="1"/>
    <col min="3075" max="3075" width="6" style="1" customWidth="1"/>
    <col min="3076" max="3076" width="17.28515625" style="1" customWidth="1"/>
    <col min="3077" max="3077" width="5.7109375" style="1" customWidth="1"/>
    <col min="3078" max="3078" width="17.28515625" style="1" customWidth="1"/>
    <col min="3079" max="3312" width="9.140625" style="1"/>
    <col min="3313" max="3313" width="11.42578125" style="1" customWidth="1"/>
    <col min="3314" max="3315" width="12.85546875" style="1" customWidth="1"/>
    <col min="3316" max="3316" width="12.140625" style="1" customWidth="1"/>
    <col min="3317" max="3317" width="12.85546875" style="1" customWidth="1"/>
    <col min="3318" max="3318" width="15.42578125" style="1" customWidth="1"/>
    <col min="3319" max="3320" width="12.85546875" style="1" customWidth="1"/>
    <col min="3321" max="3321" width="3.28515625" style="1" customWidth="1"/>
    <col min="3322" max="3323" width="11.5703125" style="1" customWidth="1"/>
    <col min="3324" max="3324" width="3.28515625" style="1" customWidth="1"/>
    <col min="3325" max="3328" width="14.28515625" style="1" customWidth="1"/>
    <col min="3329" max="3329" width="5.7109375" style="1" customWidth="1"/>
    <col min="3330" max="3330" width="17.42578125" style="1" customWidth="1"/>
    <col min="3331" max="3331" width="6" style="1" customWidth="1"/>
    <col min="3332" max="3332" width="17.28515625" style="1" customWidth="1"/>
    <col min="3333" max="3333" width="5.7109375" style="1" customWidth="1"/>
    <col min="3334" max="3334" width="17.28515625" style="1" customWidth="1"/>
    <col min="3335" max="3568" width="9.140625" style="1"/>
    <col min="3569" max="3569" width="11.42578125" style="1" customWidth="1"/>
    <col min="3570" max="3571" width="12.85546875" style="1" customWidth="1"/>
    <col min="3572" max="3572" width="12.140625" style="1" customWidth="1"/>
    <col min="3573" max="3573" width="12.85546875" style="1" customWidth="1"/>
    <col min="3574" max="3574" width="15.42578125" style="1" customWidth="1"/>
    <col min="3575" max="3576" width="12.85546875" style="1" customWidth="1"/>
    <col min="3577" max="3577" width="3.28515625" style="1" customWidth="1"/>
    <col min="3578" max="3579" width="11.5703125" style="1" customWidth="1"/>
    <col min="3580" max="3580" width="3.28515625" style="1" customWidth="1"/>
    <col min="3581" max="3584" width="14.28515625" style="1" customWidth="1"/>
    <col min="3585" max="3585" width="5.7109375" style="1" customWidth="1"/>
    <col min="3586" max="3586" width="17.42578125" style="1" customWidth="1"/>
    <col min="3587" max="3587" width="6" style="1" customWidth="1"/>
    <col min="3588" max="3588" width="17.28515625" style="1" customWidth="1"/>
    <col min="3589" max="3589" width="5.7109375" style="1" customWidth="1"/>
    <col min="3590" max="3590" width="17.28515625" style="1" customWidth="1"/>
    <col min="3591" max="3824" width="9.140625" style="1"/>
    <col min="3825" max="3825" width="11.42578125" style="1" customWidth="1"/>
    <col min="3826" max="3827" width="12.85546875" style="1" customWidth="1"/>
    <col min="3828" max="3828" width="12.140625" style="1" customWidth="1"/>
    <col min="3829" max="3829" width="12.85546875" style="1" customWidth="1"/>
    <col min="3830" max="3830" width="15.42578125" style="1" customWidth="1"/>
    <col min="3831" max="3832" width="12.85546875" style="1" customWidth="1"/>
    <col min="3833" max="3833" width="3.28515625" style="1" customWidth="1"/>
    <col min="3834" max="3835" width="11.5703125" style="1" customWidth="1"/>
    <col min="3836" max="3836" width="3.28515625" style="1" customWidth="1"/>
    <col min="3837" max="3840" width="14.28515625" style="1" customWidth="1"/>
    <col min="3841" max="3841" width="5.7109375" style="1" customWidth="1"/>
    <col min="3842" max="3842" width="17.42578125" style="1" customWidth="1"/>
    <col min="3843" max="3843" width="6" style="1" customWidth="1"/>
    <col min="3844" max="3844" width="17.28515625" style="1" customWidth="1"/>
    <col min="3845" max="3845" width="5.7109375" style="1" customWidth="1"/>
    <col min="3846" max="3846" width="17.28515625" style="1" customWidth="1"/>
    <col min="3847" max="4080" width="9.140625" style="1"/>
    <col min="4081" max="4081" width="11.42578125" style="1" customWidth="1"/>
    <col min="4082" max="4083" width="12.85546875" style="1" customWidth="1"/>
    <col min="4084" max="4084" width="12.140625" style="1" customWidth="1"/>
    <col min="4085" max="4085" width="12.85546875" style="1" customWidth="1"/>
    <col min="4086" max="4086" width="15.42578125" style="1" customWidth="1"/>
    <col min="4087" max="4088" width="12.85546875" style="1" customWidth="1"/>
    <col min="4089" max="4089" width="3.28515625" style="1" customWidth="1"/>
    <col min="4090" max="4091" width="11.5703125" style="1" customWidth="1"/>
    <col min="4092" max="4092" width="3.28515625" style="1" customWidth="1"/>
    <col min="4093" max="4096" width="14.28515625" style="1" customWidth="1"/>
    <col min="4097" max="4097" width="5.7109375" style="1" customWidth="1"/>
    <col min="4098" max="4098" width="17.42578125" style="1" customWidth="1"/>
    <col min="4099" max="4099" width="6" style="1" customWidth="1"/>
    <col min="4100" max="4100" width="17.28515625" style="1" customWidth="1"/>
    <col min="4101" max="4101" width="5.7109375" style="1" customWidth="1"/>
    <col min="4102" max="4102" width="17.28515625" style="1" customWidth="1"/>
    <col min="4103" max="4336" width="9.140625" style="1"/>
    <col min="4337" max="4337" width="11.42578125" style="1" customWidth="1"/>
    <col min="4338" max="4339" width="12.85546875" style="1" customWidth="1"/>
    <col min="4340" max="4340" width="12.140625" style="1" customWidth="1"/>
    <col min="4341" max="4341" width="12.85546875" style="1" customWidth="1"/>
    <col min="4342" max="4342" width="15.42578125" style="1" customWidth="1"/>
    <col min="4343" max="4344" width="12.85546875" style="1" customWidth="1"/>
    <col min="4345" max="4345" width="3.28515625" style="1" customWidth="1"/>
    <col min="4346" max="4347" width="11.5703125" style="1" customWidth="1"/>
    <col min="4348" max="4348" width="3.28515625" style="1" customWidth="1"/>
    <col min="4349" max="4352" width="14.28515625" style="1" customWidth="1"/>
    <col min="4353" max="4353" width="5.7109375" style="1" customWidth="1"/>
    <col min="4354" max="4354" width="17.42578125" style="1" customWidth="1"/>
    <col min="4355" max="4355" width="6" style="1" customWidth="1"/>
    <col min="4356" max="4356" width="17.28515625" style="1" customWidth="1"/>
    <col min="4357" max="4357" width="5.7109375" style="1" customWidth="1"/>
    <col min="4358" max="4358" width="17.28515625" style="1" customWidth="1"/>
    <col min="4359" max="4592" width="9.140625" style="1"/>
    <col min="4593" max="4593" width="11.42578125" style="1" customWidth="1"/>
    <col min="4594" max="4595" width="12.85546875" style="1" customWidth="1"/>
    <col min="4596" max="4596" width="12.140625" style="1" customWidth="1"/>
    <col min="4597" max="4597" width="12.85546875" style="1" customWidth="1"/>
    <col min="4598" max="4598" width="15.42578125" style="1" customWidth="1"/>
    <col min="4599" max="4600" width="12.85546875" style="1" customWidth="1"/>
    <col min="4601" max="4601" width="3.28515625" style="1" customWidth="1"/>
    <col min="4602" max="4603" width="11.5703125" style="1" customWidth="1"/>
    <col min="4604" max="4604" width="3.28515625" style="1" customWidth="1"/>
    <col min="4605" max="4608" width="14.28515625" style="1" customWidth="1"/>
    <col min="4609" max="4609" width="5.7109375" style="1" customWidth="1"/>
    <col min="4610" max="4610" width="17.42578125" style="1" customWidth="1"/>
    <col min="4611" max="4611" width="6" style="1" customWidth="1"/>
    <col min="4612" max="4612" width="17.28515625" style="1" customWidth="1"/>
    <col min="4613" max="4613" width="5.7109375" style="1" customWidth="1"/>
    <col min="4614" max="4614" width="17.28515625" style="1" customWidth="1"/>
    <col min="4615" max="4848" width="9.140625" style="1"/>
    <col min="4849" max="4849" width="11.42578125" style="1" customWidth="1"/>
    <col min="4850" max="4851" width="12.85546875" style="1" customWidth="1"/>
    <col min="4852" max="4852" width="12.140625" style="1" customWidth="1"/>
    <col min="4853" max="4853" width="12.85546875" style="1" customWidth="1"/>
    <col min="4854" max="4854" width="15.42578125" style="1" customWidth="1"/>
    <col min="4855" max="4856" width="12.85546875" style="1" customWidth="1"/>
    <col min="4857" max="4857" width="3.28515625" style="1" customWidth="1"/>
    <col min="4858" max="4859" width="11.5703125" style="1" customWidth="1"/>
    <col min="4860" max="4860" width="3.28515625" style="1" customWidth="1"/>
    <col min="4861" max="4864" width="14.28515625" style="1" customWidth="1"/>
    <col min="4865" max="4865" width="5.7109375" style="1" customWidth="1"/>
    <col min="4866" max="4866" width="17.42578125" style="1" customWidth="1"/>
    <col min="4867" max="4867" width="6" style="1" customWidth="1"/>
    <col min="4868" max="4868" width="17.28515625" style="1" customWidth="1"/>
    <col min="4869" max="4869" width="5.7109375" style="1" customWidth="1"/>
    <col min="4870" max="4870" width="17.28515625" style="1" customWidth="1"/>
    <col min="4871" max="5104" width="9.140625" style="1"/>
    <col min="5105" max="5105" width="11.42578125" style="1" customWidth="1"/>
    <col min="5106" max="5107" width="12.85546875" style="1" customWidth="1"/>
    <col min="5108" max="5108" width="12.140625" style="1" customWidth="1"/>
    <col min="5109" max="5109" width="12.85546875" style="1" customWidth="1"/>
    <col min="5110" max="5110" width="15.42578125" style="1" customWidth="1"/>
    <col min="5111" max="5112" width="12.85546875" style="1" customWidth="1"/>
    <col min="5113" max="5113" width="3.28515625" style="1" customWidth="1"/>
    <col min="5114" max="5115" width="11.5703125" style="1" customWidth="1"/>
    <col min="5116" max="5116" width="3.28515625" style="1" customWidth="1"/>
    <col min="5117" max="5120" width="14.28515625" style="1" customWidth="1"/>
    <col min="5121" max="5121" width="5.7109375" style="1" customWidth="1"/>
    <col min="5122" max="5122" width="17.42578125" style="1" customWidth="1"/>
    <col min="5123" max="5123" width="6" style="1" customWidth="1"/>
    <col min="5124" max="5124" width="17.28515625" style="1" customWidth="1"/>
    <col min="5125" max="5125" width="5.7109375" style="1" customWidth="1"/>
    <col min="5126" max="5126" width="17.28515625" style="1" customWidth="1"/>
    <col min="5127" max="5360" width="9.140625" style="1"/>
    <col min="5361" max="5361" width="11.42578125" style="1" customWidth="1"/>
    <col min="5362" max="5363" width="12.85546875" style="1" customWidth="1"/>
    <col min="5364" max="5364" width="12.140625" style="1" customWidth="1"/>
    <col min="5365" max="5365" width="12.85546875" style="1" customWidth="1"/>
    <col min="5366" max="5366" width="15.42578125" style="1" customWidth="1"/>
    <col min="5367" max="5368" width="12.85546875" style="1" customWidth="1"/>
    <col min="5369" max="5369" width="3.28515625" style="1" customWidth="1"/>
    <col min="5370" max="5371" width="11.5703125" style="1" customWidth="1"/>
    <col min="5372" max="5372" width="3.28515625" style="1" customWidth="1"/>
    <col min="5373" max="5376" width="14.28515625" style="1" customWidth="1"/>
    <col min="5377" max="5377" width="5.7109375" style="1" customWidth="1"/>
    <col min="5378" max="5378" width="17.42578125" style="1" customWidth="1"/>
    <col min="5379" max="5379" width="6" style="1" customWidth="1"/>
    <col min="5380" max="5380" width="17.28515625" style="1" customWidth="1"/>
    <col min="5381" max="5381" width="5.7109375" style="1" customWidth="1"/>
    <col min="5382" max="5382" width="17.28515625" style="1" customWidth="1"/>
    <col min="5383" max="5616" width="9.140625" style="1"/>
    <col min="5617" max="5617" width="11.42578125" style="1" customWidth="1"/>
    <col min="5618" max="5619" width="12.85546875" style="1" customWidth="1"/>
    <col min="5620" max="5620" width="12.140625" style="1" customWidth="1"/>
    <col min="5621" max="5621" width="12.85546875" style="1" customWidth="1"/>
    <col min="5622" max="5622" width="15.42578125" style="1" customWidth="1"/>
    <col min="5623" max="5624" width="12.85546875" style="1" customWidth="1"/>
    <col min="5625" max="5625" width="3.28515625" style="1" customWidth="1"/>
    <col min="5626" max="5627" width="11.5703125" style="1" customWidth="1"/>
    <col min="5628" max="5628" width="3.28515625" style="1" customWidth="1"/>
    <col min="5629" max="5632" width="14.28515625" style="1" customWidth="1"/>
    <col min="5633" max="5633" width="5.7109375" style="1" customWidth="1"/>
    <col min="5634" max="5634" width="17.42578125" style="1" customWidth="1"/>
    <col min="5635" max="5635" width="6" style="1" customWidth="1"/>
    <col min="5636" max="5636" width="17.28515625" style="1" customWidth="1"/>
    <col min="5637" max="5637" width="5.7109375" style="1" customWidth="1"/>
    <col min="5638" max="5638" width="17.28515625" style="1" customWidth="1"/>
    <col min="5639" max="5872" width="9.140625" style="1"/>
    <col min="5873" max="5873" width="11.42578125" style="1" customWidth="1"/>
    <col min="5874" max="5875" width="12.85546875" style="1" customWidth="1"/>
    <col min="5876" max="5876" width="12.140625" style="1" customWidth="1"/>
    <col min="5877" max="5877" width="12.85546875" style="1" customWidth="1"/>
    <col min="5878" max="5878" width="15.42578125" style="1" customWidth="1"/>
    <col min="5879" max="5880" width="12.85546875" style="1" customWidth="1"/>
    <col min="5881" max="5881" width="3.28515625" style="1" customWidth="1"/>
    <col min="5882" max="5883" width="11.5703125" style="1" customWidth="1"/>
    <col min="5884" max="5884" width="3.28515625" style="1" customWidth="1"/>
    <col min="5885" max="5888" width="14.28515625" style="1" customWidth="1"/>
    <col min="5889" max="5889" width="5.7109375" style="1" customWidth="1"/>
    <col min="5890" max="5890" width="17.42578125" style="1" customWidth="1"/>
    <col min="5891" max="5891" width="6" style="1" customWidth="1"/>
    <col min="5892" max="5892" width="17.28515625" style="1" customWidth="1"/>
    <col min="5893" max="5893" width="5.7109375" style="1" customWidth="1"/>
    <col min="5894" max="5894" width="17.28515625" style="1" customWidth="1"/>
    <col min="5895" max="6128" width="9.140625" style="1"/>
    <col min="6129" max="6129" width="11.42578125" style="1" customWidth="1"/>
    <col min="6130" max="6131" width="12.85546875" style="1" customWidth="1"/>
    <col min="6132" max="6132" width="12.140625" style="1" customWidth="1"/>
    <col min="6133" max="6133" width="12.85546875" style="1" customWidth="1"/>
    <col min="6134" max="6134" width="15.42578125" style="1" customWidth="1"/>
    <col min="6135" max="6136" width="12.85546875" style="1" customWidth="1"/>
    <col min="6137" max="6137" width="3.28515625" style="1" customWidth="1"/>
    <col min="6138" max="6139" width="11.5703125" style="1" customWidth="1"/>
    <col min="6140" max="6140" width="3.28515625" style="1" customWidth="1"/>
    <col min="6141" max="6144" width="14.28515625" style="1" customWidth="1"/>
    <col min="6145" max="6145" width="5.7109375" style="1" customWidth="1"/>
    <col min="6146" max="6146" width="17.42578125" style="1" customWidth="1"/>
    <col min="6147" max="6147" width="6" style="1" customWidth="1"/>
    <col min="6148" max="6148" width="17.28515625" style="1" customWidth="1"/>
    <col min="6149" max="6149" width="5.7109375" style="1" customWidth="1"/>
    <col min="6150" max="6150" width="17.28515625" style="1" customWidth="1"/>
    <col min="6151" max="6384" width="9.140625" style="1"/>
    <col min="6385" max="6385" width="11.42578125" style="1" customWidth="1"/>
    <col min="6386" max="6387" width="12.85546875" style="1" customWidth="1"/>
    <col min="6388" max="6388" width="12.140625" style="1" customWidth="1"/>
    <col min="6389" max="6389" width="12.85546875" style="1" customWidth="1"/>
    <col min="6390" max="6390" width="15.42578125" style="1" customWidth="1"/>
    <col min="6391" max="6392" width="12.85546875" style="1" customWidth="1"/>
    <col min="6393" max="6393" width="3.28515625" style="1" customWidth="1"/>
    <col min="6394" max="6395" width="11.5703125" style="1" customWidth="1"/>
    <col min="6396" max="6396" width="3.28515625" style="1" customWidth="1"/>
    <col min="6397" max="6400" width="14.28515625" style="1" customWidth="1"/>
    <col min="6401" max="6401" width="5.7109375" style="1" customWidth="1"/>
    <col min="6402" max="6402" width="17.42578125" style="1" customWidth="1"/>
    <col min="6403" max="6403" width="6" style="1" customWidth="1"/>
    <col min="6404" max="6404" width="17.28515625" style="1" customWidth="1"/>
    <col min="6405" max="6405" width="5.7109375" style="1" customWidth="1"/>
    <col min="6406" max="6406" width="17.28515625" style="1" customWidth="1"/>
    <col min="6407" max="6640" width="9.140625" style="1"/>
    <col min="6641" max="6641" width="11.42578125" style="1" customWidth="1"/>
    <col min="6642" max="6643" width="12.85546875" style="1" customWidth="1"/>
    <col min="6644" max="6644" width="12.140625" style="1" customWidth="1"/>
    <col min="6645" max="6645" width="12.85546875" style="1" customWidth="1"/>
    <col min="6646" max="6646" width="15.42578125" style="1" customWidth="1"/>
    <col min="6647" max="6648" width="12.85546875" style="1" customWidth="1"/>
    <col min="6649" max="6649" width="3.28515625" style="1" customWidth="1"/>
    <col min="6650" max="6651" width="11.5703125" style="1" customWidth="1"/>
    <col min="6652" max="6652" width="3.28515625" style="1" customWidth="1"/>
    <col min="6653" max="6656" width="14.28515625" style="1" customWidth="1"/>
    <col min="6657" max="6657" width="5.7109375" style="1" customWidth="1"/>
    <col min="6658" max="6658" width="17.42578125" style="1" customWidth="1"/>
    <col min="6659" max="6659" width="6" style="1" customWidth="1"/>
    <col min="6660" max="6660" width="17.28515625" style="1" customWidth="1"/>
    <col min="6661" max="6661" width="5.7109375" style="1" customWidth="1"/>
    <col min="6662" max="6662" width="17.28515625" style="1" customWidth="1"/>
    <col min="6663" max="6896" width="9.140625" style="1"/>
    <col min="6897" max="6897" width="11.42578125" style="1" customWidth="1"/>
    <col min="6898" max="6899" width="12.85546875" style="1" customWidth="1"/>
    <col min="6900" max="6900" width="12.140625" style="1" customWidth="1"/>
    <col min="6901" max="6901" width="12.85546875" style="1" customWidth="1"/>
    <col min="6902" max="6902" width="15.42578125" style="1" customWidth="1"/>
    <col min="6903" max="6904" width="12.85546875" style="1" customWidth="1"/>
    <col min="6905" max="6905" width="3.28515625" style="1" customWidth="1"/>
    <col min="6906" max="6907" width="11.5703125" style="1" customWidth="1"/>
    <col min="6908" max="6908" width="3.28515625" style="1" customWidth="1"/>
    <col min="6909" max="6912" width="14.28515625" style="1" customWidth="1"/>
    <col min="6913" max="6913" width="5.7109375" style="1" customWidth="1"/>
    <col min="6914" max="6914" width="17.42578125" style="1" customWidth="1"/>
    <col min="6915" max="6915" width="6" style="1" customWidth="1"/>
    <col min="6916" max="6916" width="17.28515625" style="1" customWidth="1"/>
    <col min="6917" max="6917" width="5.7109375" style="1" customWidth="1"/>
    <col min="6918" max="6918" width="17.28515625" style="1" customWidth="1"/>
    <col min="6919" max="7152" width="9.140625" style="1"/>
    <col min="7153" max="7153" width="11.42578125" style="1" customWidth="1"/>
    <col min="7154" max="7155" width="12.85546875" style="1" customWidth="1"/>
    <col min="7156" max="7156" width="12.140625" style="1" customWidth="1"/>
    <col min="7157" max="7157" width="12.85546875" style="1" customWidth="1"/>
    <col min="7158" max="7158" width="15.42578125" style="1" customWidth="1"/>
    <col min="7159" max="7160" width="12.85546875" style="1" customWidth="1"/>
    <col min="7161" max="7161" width="3.28515625" style="1" customWidth="1"/>
    <col min="7162" max="7163" width="11.5703125" style="1" customWidth="1"/>
    <col min="7164" max="7164" width="3.28515625" style="1" customWidth="1"/>
    <col min="7165" max="7168" width="14.28515625" style="1" customWidth="1"/>
    <col min="7169" max="7169" width="5.7109375" style="1" customWidth="1"/>
    <col min="7170" max="7170" width="17.42578125" style="1" customWidth="1"/>
    <col min="7171" max="7171" width="6" style="1" customWidth="1"/>
    <col min="7172" max="7172" width="17.28515625" style="1" customWidth="1"/>
    <col min="7173" max="7173" width="5.7109375" style="1" customWidth="1"/>
    <col min="7174" max="7174" width="17.28515625" style="1" customWidth="1"/>
    <col min="7175" max="7408" width="9.140625" style="1"/>
    <col min="7409" max="7409" width="11.42578125" style="1" customWidth="1"/>
    <col min="7410" max="7411" width="12.85546875" style="1" customWidth="1"/>
    <col min="7412" max="7412" width="12.140625" style="1" customWidth="1"/>
    <col min="7413" max="7413" width="12.85546875" style="1" customWidth="1"/>
    <col min="7414" max="7414" width="15.42578125" style="1" customWidth="1"/>
    <col min="7415" max="7416" width="12.85546875" style="1" customWidth="1"/>
    <col min="7417" max="7417" width="3.28515625" style="1" customWidth="1"/>
    <col min="7418" max="7419" width="11.5703125" style="1" customWidth="1"/>
    <col min="7420" max="7420" width="3.28515625" style="1" customWidth="1"/>
    <col min="7421" max="7424" width="14.28515625" style="1" customWidth="1"/>
    <col min="7425" max="7425" width="5.7109375" style="1" customWidth="1"/>
    <col min="7426" max="7426" width="17.42578125" style="1" customWidth="1"/>
    <col min="7427" max="7427" width="6" style="1" customWidth="1"/>
    <col min="7428" max="7428" width="17.28515625" style="1" customWidth="1"/>
    <col min="7429" max="7429" width="5.7109375" style="1" customWidth="1"/>
    <col min="7430" max="7430" width="17.28515625" style="1" customWidth="1"/>
    <col min="7431" max="7664" width="9.140625" style="1"/>
    <col min="7665" max="7665" width="11.42578125" style="1" customWidth="1"/>
    <col min="7666" max="7667" width="12.85546875" style="1" customWidth="1"/>
    <col min="7668" max="7668" width="12.140625" style="1" customWidth="1"/>
    <col min="7669" max="7669" width="12.85546875" style="1" customWidth="1"/>
    <col min="7670" max="7670" width="15.42578125" style="1" customWidth="1"/>
    <col min="7671" max="7672" width="12.85546875" style="1" customWidth="1"/>
    <col min="7673" max="7673" width="3.28515625" style="1" customWidth="1"/>
    <col min="7674" max="7675" width="11.5703125" style="1" customWidth="1"/>
    <col min="7676" max="7676" width="3.28515625" style="1" customWidth="1"/>
    <col min="7677" max="7680" width="14.28515625" style="1" customWidth="1"/>
    <col min="7681" max="7681" width="5.7109375" style="1" customWidth="1"/>
    <col min="7682" max="7682" width="17.42578125" style="1" customWidth="1"/>
    <col min="7683" max="7683" width="6" style="1" customWidth="1"/>
    <col min="7684" max="7684" width="17.28515625" style="1" customWidth="1"/>
    <col min="7685" max="7685" width="5.7109375" style="1" customWidth="1"/>
    <col min="7686" max="7686" width="17.28515625" style="1" customWidth="1"/>
    <col min="7687" max="7920" width="9.140625" style="1"/>
    <col min="7921" max="7921" width="11.42578125" style="1" customWidth="1"/>
    <col min="7922" max="7923" width="12.85546875" style="1" customWidth="1"/>
    <col min="7924" max="7924" width="12.140625" style="1" customWidth="1"/>
    <col min="7925" max="7925" width="12.85546875" style="1" customWidth="1"/>
    <col min="7926" max="7926" width="15.42578125" style="1" customWidth="1"/>
    <col min="7927" max="7928" width="12.85546875" style="1" customWidth="1"/>
    <col min="7929" max="7929" width="3.28515625" style="1" customWidth="1"/>
    <col min="7930" max="7931" width="11.5703125" style="1" customWidth="1"/>
    <col min="7932" max="7932" width="3.28515625" style="1" customWidth="1"/>
    <col min="7933" max="7936" width="14.28515625" style="1" customWidth="1"/>
    <col min="7937" max="7937" width="5.7109375" style="1" customWidth="1"/>
    <col min="7938" max="7938" width="17.42578125" style="1" customWidth="1"/>
    <col min="7939" max="7939" width="6" style="1" customWidth="1"/>
    <col min="7940" max="7940" width="17.28515625" style="1" customWidth="1"/>
    <col min="7941" max="7941" width="5.7109375" style="1" customWidth="1"/>
    <col min="7942" max="7942" width="17.28515625" style="1" customWidth="1"/>
    <col min="7943" max="8176" width="9.140625" style="1"/>
    <col min="8177" max="8177" width="11.42578125" style="1" customWidth="1"/>
    <col min="8178" max="8179" width="12.85546875" style="1" customWidth="1"/>
    <col min="8180" max="8180" width="12.140625" style="1" customWidth="1"/>
    <col min="8181" max="8181" width="12.85546875" style="1" customWidth="1"/>
    <col min="8182" max="8182" width="15.42578125" style="1" customWidth="1"/>
    <col min="8183" max="8184" width="12.85546875" style="1" customWidth="1"/>
    <col min="8185" max="8185" width="3.28515625" style="1" customWidth="1"/>
    <col min="8186" max="8187" width="11.5703125" style="1" customWidth="1"/>
    <col min="8188" max="8188" width="3.28515625" style="1" customWidth="1"/>
    <col min="8189" max="8192" width="14.28515625" style="1" customWidth="1"/>
    <col min="8193" max="8193" width="5.7109375" style="1" customWidth="1"/>
    <col min="8194" max="8194" width="17.42578125" style="1" customWidth="1"/>
    <col min="8195" max="8195" width="6" style="1" customWidth="1"/>
    <col min="8196" max="8196" width="17.28515625" style="1" customWidth="1"/>
    <col min="8197" max="8197" width="5.7109375" style="1" customWidth="1"/>
    <col min="8198" max="8198" width="17.28515625" style="1" customWidth="1"/>
    <col min="8199" max="8432" width="9.140625" style="1"/>
    <col min="8433" max="8433" width="11.42578125" style="1" customWidth="1"/>
    <col min="8434" max="8435" width="12.85546875" style="1" customWidth="1"/>
    <col min="8436" max="8436" width="12.140625" style="1" customWidth="1"/>
    <col min="8437" max="8437" width="12.85546875" style="1" customWidth="1"/>
    <col min="8438" max="8438" width="15.42578125" style="1" customWidth="1"/>
    <col min="8439" max="8440" width="12.85546875" style="1" customWidth="1"/>
    <col min="8441" max="8441" width="3.28515625" style="1" customWidth="1"/>
    <col min="8442" max="8443" width="11.5703125" style="1" customWidth="1"/>
    <col min="8444" max="8444" width="3.28515625" style="1" customWidth="1"/>
    <col min="8445" max="8448" width="14.28515625" style="1" customWidth="1"/>
    <col min="8449" max="8449" width="5.7109375" style="1" customWidth="1"/>
    <col min="8450" max="8450" width="17.42578125" style="1" customWidth="1"/>
    <col min="8451" max="8451" width="6" style="1" customWidth="1"/>
    <col min="8452" max="8452" width="17.28515625" style="1" customWidth="1"/>
    <col min="8453" max="8453" width="5.7109375" style="1" customWidth="1"/>
    <col min="8454" max="8454" width="17.28515625" style="1" customWidth="1"/>
    <col min="8455" max="8688" width="9.140625" style="1"/>
    <col min="8689" max="8689" width="11.42578125" style="1" customWidth="1"/>
    <col min="8690" max="8691" width="12.85546875" style="1" customWidth="1"/>
    <col min="8692" max="8692" width="12.140625" style="1" customWidth="1"/>
    <col min="8693" max="8693" width="12.85546875" style="1" customWidth="1"/>
    <col min="8694" max="8694" width="15.42578125" style="1" customWidth="1"/>
    <col min="8695" max="8696" width="12.85546875" style="1" customWidth="1"/>
    <col min="8697" max="8697" width="3.28515625" style="1" customWidth="1"/>
    <col min="8698" max="8699" width="11.5703125" style="1" customWidth="1"/>
    <col min="8700" max="8700" width="3.28515625" style="1" customWidth="1"/>
    <col min="8701" max="8704" width="14.28515625" style="1" customWidth="1"/>
    <col min="8705" max="8705" width="5.7109375" style="1" customWidth="1"/>
    <col min="8706" max="8706" width="17.42578125" style="1" customWidth="1"/>
    <col min="8707" max="8707" width="6" style="1" customWidth="1"/>
    <col min="8708" max="8708" width="17.28515625" style="1" customWidth="1"/>
    <col min="8709" max="8709" width="5.7109375" style="1" customWidth="1"/>
    <col min="8710" max="8710" width="17.28515625" style="1" customWidth="1"/>
    <col min="8711" max="8944" width="9.140625" style="1"/>
    <col min="8945" max="8945" width="11.42578125" style="1" customWidth="1"/>
    <col min="8946" max="8947" width="12.85546875" style="1" customWidth="1"/>
    <col min="8948" max="8948" width="12.140625" style="1" customWidth="1"/>
    <col min="8949" max="8949" width="12.85546875" style="1" customWidth="1"/>
    <col min="8950" max="8950" width="15.42578125" style="1" customWidth="1"/>
    <col min="8951" max="8952" width="12.85546875" style="1" customWidth="1"/>
    <col min="8953" max="8953" width="3.28515625" style="1" customWidth="1"/>
    <col min="8954" max="8955" width="11.5703125" style="1" customWidth="1"/>
    <col min="8956" max="8956" width="3.28515625" style="1" customWidth="1"/>
    <col min="8957" max="8960" width="14.28515625" style="1" customWidth="1"/>
    <col min="8961" max="8961" width="5.7109375" style="1" customWidth="1"/>
    <col min="8962" max="8962" width="17.42578125" style="1" customWidth="1"/>
    <col min="8963" max="8963" width="6" style="1" customWidth="1"/>
    <col min="8964" max="8964" width="17.28515625" style="1" customWidth="1"/>
    <col min="8965" max="8965" width="5.7109375" style="1" customWidth="1"/>
    <col min="8966" max="8966" width="17.28515625" style="1" customWidth="1"/>
    <col min="8967" max="9200" width="9.140625" style="1"/>
    <col min="9201" max="9201" width="11.42578125" style="1" customWidth="1"/>
    <col min="9202" max="9203" width="12.85546875" style="1" customWidth="1"/>
    <col min="9204" max="9204" width="12.140625" style="1" customWidth="1"/>
    <col min="9205" max="9205" width="12.85546875" style="1" customWidth="1"/>
    <col min="9206" max="9206" width="15.42578125" style="1" customWidth="1"/>
    <col min="9207" max="9208" width="12.85546875" style="1" customWidth="1"/>
    <col min="9209" max="9209" width="3.28515625" style="1" customWidth="1"/>
    <col min="9210" max="9211" width="11.5703125" style="1" customWidth="1"/>
    <col min="9212" max="9212" width="3.28515625" style="1" customWidth="1"/>
    <col min="9213" max="9216" width="14.28515625" style="1" customWidth="1"/>
    <col min="9217" max="9217" width="5.7109375" style="1" customWidth="1"/>
    <col min="9218" max="9218" width="17.42578125" style="1" customWidth="1"/>
    <col min="9219" max="9219" width="6" style="1" customWidth="1"/>
    <col min="9220" max="9220" width="17.28515625" style="1" customWidth="1"/>
    <col min="9221" max="9221" width="5.7109375" style="1" customWidth="1"/>
    <col min="9222" max="9222" width="17.28515625" style="1" customWidth="1"/>
    <col min="9223" max="9456" width="9.140625" style="1"/>
    <col min="9457" max="9457" width="11.42578125" style="1" customWidth="1"/>
    <col min="9458" max="9459" width="12.85546875" style="1" customWidth="1"/>
    <col min="9460" max="9460" width="12.140625" style="1" customWidth="1"/>
    <col min="9461" max="9461" width="12.85546875" style="1" customWidth="1"/>
    <col min="9462" max="9462" width="15.42578125" style="1" customWidth="1"/>
    <col min="9463" max="9464" width="12.85546875" style="1" customWidth="1"/>
    <col min="9465" max="9465" width="3.28515625" style="1" customWidth="1"/>
    <col min="9466" max="9467" width="11.5703125" style="1" customWidth="1"/>
    <col min="9468" max="9468" width="3.28515625" style="1" customWidth="1"/>
    <col min="9469" max="9472" width="14.28515625" style="1" customWidth="1"/>
    <col min="9473" max="9473" width="5.7109375" style="1" customWidth="1"/>
    <col min="9474" max="9474" width="17.42578125" style="1" customWidth="1"/>
    <col min="9475" max="9475" width="6" style="1" customWidth="1"/>
    <col min="9476" max="9476" width="17.28515625" style="1" customWidth="1"/>
    <col min="9477" max="9477" width="5.7109375" style="1" customWidth="1"/>
    <col min="9478" max="9478" width="17.28515625" style="1" customWidth="1"/>
    <col min="9479" max="9712" width="9.140625" style="1"/>
    <col min="9713" max="9713" width="11.42578125" style="1" customWidth="1"/>
    <col min="9714" max="9715" width="12.85546875" style="1" customWidth="1"/>
    <col min="9716" max="9716" width="12.140625" style="1" customWidth="1"/>
    <col min="9717" max="9717" width="12.85546875" style="1" customWidth="1"/>
    <col min="9718" max="9718" width="15.42578125" style="1" customWidth="1"/>
    <col min="9719" max="9720" width="12.85546875" style="1" customWidth="1"/>
    <col min="9721" max="9721" width="3.28515625" style="1" customWidth="1"/>
    <col min="9722" max="9723" width="11.5703125" style="1" customWidth="1"/>
    <col min="9724" max="9724" width="3.28515625" style="1" customWidth="1"/>
    <col min="9725" max="9728" width="14.28515625" style="1" customWidth="1"/>
    <col min="9729" max="9729" width="5.7109375" style="1" customWidth="1"/>
    <col min="9730" max="9730" width="17.42578125" style="1" customWidth="1"/>
    <col min="9731" max="9731" width="6" style="1" customWidth="1"/>
    <col min="9732" max="9732" width="17.28515625" style="1" customWidth="1"/>
    <col min="9733" max="9733" width="5.7109375" style="1" customWidth="1"/>
    <col min="9734" max="9734" width="17.28515625" style="1" customWidth="1"/>
    <col min="9735" max="9968" width="9.140625" style="1"/>
    <col min="9969" max="9969" width="11.42578125" style="1" customWidth="1"/>
    <col min="9970" max="9971" width="12.85546875" style="1" customWidth="1"/>
    <col min="9972" max="9972" width="12.140625" style="1" customWidth="1"/>
    <col min="9973" max="9973" width="12.85546875" style="1" customWidth="1"/>
    <col min="9974" max="9974" width="15.42578125" style="1" customWidth="1"/>
    <col min="9975" max="9976" width="12.85546875" style="1" customWidth="1"/>
    <col min="9977" max="9977" width="3.28515625" style="1" customWidth="1"/>
    <col min="9978" max="9979" width="11.5703125" style="1" customWidth="1"/>
    <col min="9980" max="9980" width="3.28515625" style="1" customWidth="1"/>
    <col min="9981" max="9984" width="14.28515625" style="1" customWidth="1"/>
    <col min="9985" max="9985" width="5.7109375" style="1" customWidth="1"/>
    <col min="9986" max="9986" width="17.42578125" style="1" customWidth="1"/>
    <col min="9987" max="9987" width="6" style="1" customWidth="1"/>
    <col min="9988" max="9988" width="17.28515625" style="1" customWidth="1"/>
    <col min="9989" max="9989" width="5.7109375" style="1" customWidth="1"/>
    <col min="9990" max="9990" width="17.28515625" style="1" customWidth="1"/>
    <col min="9991" max="10224" width="9.140625" style="1"/>
    <col min="10225" max="10225" width="11.42578125" style="1" customWidth="1"/>
    <col min="10226" max="10227" width="12.85546875" style="1" customWidth="1"/>
    <col min="10228" max="10228" width="12.140625" style="1" customWidth="1"/>
    <col min="10229" max="10229" width="12.85546875" style="1" customWidth="1"/>
    <col min="10230" max="10230" width="15.42578125" style="1" customWidth="1"/>
    <col min="10231" max="10232" width="12.85546875" style="1" customWidth="1"/>
    <col min="10233" max="10233" width="3.28515625" style="1" customWidth="1"/>
    <col min="10234" max="10235" width="11.5703125" style="1" customWidth="1"/>
    <col min="10236" max="10236" width="3.28515625" style="1" customWidth="1"/>
    <col min="10237" max="10240" width="14.28515625" style="1" customWidth="1"/>
    <col min="10241" max="10241" width="5.7109375" style="1" customWidth="1"/>
    <col min="10242" max="10242" width="17.42578125" style="1" customWidth="1"/>
    <col min="10243" max="10243" width="6" style="1" customWidth="1"/>
    <col min="10244" max="10244" width="17.28515625" style="1" customWidth="1"/>
    <col min="10245" max="10245" width="5.7109375" style="1" customWidth="1"/>
    <col min="10246" max="10246" width="17.28515625" style="1" customWidth="1"/>
    <col min="10247" max="10480" width="9.140625" style="1"/>
    <col min="10481" max="10481" width="11.42578125" style="1" customWidth="1"/>
    <col min="10482" max="10483" width="12.85546875" style="1" customWidth="1"/>
    <col min="10484" max="10484" width="12.140625" style="1" customWidth="1"/>
    <col min="10485" max="10485" width="12.85546875" style="1" customWidth="1"/>
    <col min="10486" max="10486" width="15.42578125" style="1" customWidth="1"/>
    <col min="10487" max="10488" width="12.85546875" style="1" customWidth="1"/>
    <col min="10489" max="10489" width="3.28515625" style="1" customWidth="1"/>
    <col min="10490" max="10491" width="11.5703125" style="1" customWidth="1"/>
    <col min="10492" max="10492" width="3.28515625" style="1" customWidth="1"/>
    <col min="10493" max="10496" width="14.28515625" style="1" customWidth="1"/>
    <col min="10497" max="10497" width="5.7109375" style="1" customWidth="1"/>
    <col min="10498" max="10498" width="17.42578125" style="1" customWidth="1"/>
    <col min="10499" max="10499" width="6" style="1" customWidth="1"/>
    <col min="10500" max="10500" width="17.28515625" style="1" customWidth="1"/>
    <col min="10501" max="10501" width="5.7109375" style="1" customWidth="1"/>
    <col min="10502" max="10502" width="17.28515625" style="1" customWidth="1"/>
    <col min="10503" max="10736" width="9.140625" style="1"/>
    <col min="10737" max="10737" width="11.42578125" style="1" customWidth="1"/>
    <col min="10738" max="10739" width="12.85546875" style="1" customWidth="1"/>
    <col min="10740" max="10740" width="12.140625" style="1" customWidth="1"/>
    <col min="10741" max="10741" width="12.85546875" style="1" customWidth="1"/>
    <col min="10742" max="10742" width="15.42578125" style="1" customWidth="1"/>
    <col min="10743" max="10744" width="12.85546875" style="1" customWidth="1"/>
    <col min="10745" max="10745" width="3.28515625" style="1" customWidth="1"/>
    <col min="10746" max="10747" width="11.5703125" style="1" customWidth="1"/>
    <col min="10748" max="10748" width="3.28515625" style="1" customWidth="1"/>
    <col min="10749" max="10752" width="14.28515625" style="1" customWidth="1"/>
    <col min="10753" max="10753" width="5.7109375" style="1" customWidth="1"/>
    <col min="10754" max="10754" width="17.42578125" style="1" customWidth="1"/>
    <col min="10755" max="10755" width="6" style="1" customWidth="1"/>
    <col min="10756" max="10756" width="17.28515625" style="1" customWidth="1"/>
    <col min="10757" max="10757" width="5.7109375" style="1" customWidth="1"/>
    <col min="10758" max="10758" width="17.28515625" style="1" customWidth="1"/>
    <col min="10759" max="10992" width="9.140625" style="1"/>
    <col min="10993" max="10993" width="11.42578125" style="1" customWidth="1"/>
    <col min="10994" max="10995" width="12.85546875" style="1" customWidth="1"/>
    <col min="10996" max="10996" width="12.140625" style="1" customWidth="1"/>
    <col min="10997" max="10997" width="12.85546875" style="1" customWidth="1"/>
    <col min="10998" max="10998" width="15.42578125" style="1" customWidth="1"/>
    <col min="10999" max="11000" width="12.85546875" style="1" customWidth="1"/>
    <col min="11001" max="11001" width="3.28515625" style="1" customWidth="1"/>
    <col min="11002" max="11003" width="11.5703125" style="1" customWidth="1"/>
    <col min="11004" max="11004" width="3.28515625" style="1" customWidth="1"/>
    <col min="11005" max="11008" width="14.28515625" style="1" customWidth="1"/>
    <col min="11009" max="11009" width="5.7109375" style="1" customWidth="1"/>
    <col min="11010" max="11010" width="17.42578125" style="1" customWidth="1"/>
    <col min="11011" max="11011" width="6" style="1" customWidth="1"/>
    <col min="11012" max="11012" width="17.28515625" style="1" customWidth="1"/>
    <col min="11013" max="11013" width="5.7109375" style="1" customWidth="1"/>
    <col min="11014" max="11014" width="17.28515625" style="1" customWidth="1"/>
    <col min="11015" max="11248" width="9.140625" style="1"/>
    <col min="11249" max="11249" width="11.42578125" style="1" customWidth="1"/>
    <col min="11250" max="11251" width="12.85546875" style="1" customWidth="1"/>
    <col min="11252" max="11252" width="12.140625" style="1" customWidth="1"/>
    <col min="11253" max="11253" width="12.85546875" style="1" customWidth="1"/>
    <col min="11254" max="11254" width="15.42578125" style="1" customWidth="1"/>
    <col min="11255" max="11256" width="12.85546875" style="1" customWidth="1"/>
    <col min="11257" max="11257" width="3.28515625" style="1" customWidth="1"/>
    <col min="11258" max="11259" width="11.5703125" style="1" customWidth="1"/>
    <col min="11260" max="11260" width="3.28515625" style="1" customWidth="1"/>
    <col min="11261" max="11264" width="14.28515625" style="1" customWidth="1"/>
    <col min="11265" max="11265" width="5.7109375" style="1" customWidth="1"/>
    <col min="11266" max="11266" width="17.42578125" style="1" customWidth="1"/>
    <col min="11267" max="11267" width="6" style="1" customWidth="1"/>
    <col min="11268" max="11268" width="17.28515625" style="1" customWidth="1"/>
    <col min="11269" max="11269" width="5.7109375" style="1" customWidth="1"/>
    <col min="11270" max="11270" width="17.28515625" style="1" customWidth="1"/>
    <col min="11271" max="11504" width="9.140625" style="1"/>
    <col min="11505" max="11505" width="11.42578125" style="1" customWidth="1"/>
    <col min="11506" max="11507" width="12.85546875" style="1" customWidth="1"/>
    <col min="11508" max="11508" width="12.140625" style="1" customWidth="1"/>
    <col min="11509" max="11509" width="12.85546875" style="1" customWidth="1"/>
    <col min="11510" max="11510" width="15.42578125" style="1" customWidth="1"/>
    <col min="11511" max="11512" width="12.85546875" style="1" customWidth="1"/>
    <col min="11513" max="11513" width="3.28515625" style="1" customWidth="1"/>
    <col min="11514" max="11515" width="11.5703125" style="1" customWidth="1"/>
    <col min="11516" max="11516" width="3.28515625" style="1" customWidth="1"/>
    <col min="11517" max="11520" width="14.28515625" style="1" customWidth="1"/>
    <col min="11521" max="11521" width="5.7109375" style="1" customWidth="1"/>
    <col min="11522" max="11522" width="17.42578125" style="1" customWidth="1"/>
    <col min="11523" max="11523" width="6" style="1" customWidth="1"/>
    <col min="11524" max="11524" width="17.28515625" style="1" customWidth="1"/>
    <col min="11525" max="11525" width="5.7109375" style="1" customWidth="1"/>
    <col min="11526" max="11526" width="17.28515625" style="1" customWidth="1"/>
    <col min="11527" max="11760" width="9.140625" style="1"/>
    <col min="11761" max="11761" width="11.42578125" style="1" customWidth="1"/>
    <col min="11762" max="11763" width="12.85546875" style="1" customWidth="1"/>
    <col min="11764" max="11764" width="12.140625" style="1" customWidth="1"/>
    <col min="11765" max="11765" width="12.85546875" style="1" customWidth="1"/>
    <col min="11766" max="11766" width="15.42578125" style="1" customWidth="1"/>
    <col min="11767" max="11768" width="12.85546875" style="1" customWidth="1"/>
    <col min="11769" max="11769" width="3.28515625" style="1" customWidth="1"/>
    <col min="11770" max="11771" width="11.5703125" style="1" customWidth="1"/>
    <col min="11772" max="11772" width="3.28515625" style="1" customWidth="1"/>
    <col min="11773" max="11776" width="14.28515625" style="1" customWidth="1"/>
    <col min="11777" max="11777" width="5.7109375" style="1" customWidth="1"/>
    <col min="11778" max="11778" width="17.42578125" style="1" customWidth="1"/>
    <col min="11779" max="11779" width="6" style="1" customWidth="1"/>
    <col min="11780" max="11780" width="17.28515625" style="1" customWidth="1"/>
    <col min="11781" max="11781" width="5.7109375" style="1" customWidth="1"/>
    <col min="11782" max="11782" width="17.28515625" style="1" customWidth="1"/>
    <col min="11783" max="12016" width="9.140625" style="1"/>
    <col min="12017" max="12017" width="11.42578125" style="1" customWidth="1"/>
    <col min="12018" max="12019" width="12.85546875" style="1" customWidth="1"/>
    <col min="12020" max="12020" width="12.140625" style="1" customWidth="1"/>
    <col min="12021" max="12021" width="12.85546875" style="1" customWidth="1"/>
    <col min="12022" max="12022" width="15.42578125" style="1" customWidth="1"/>
    <col min="12023" max="12024" width="12.85546875" style="1" customWidth="1"/>
    <col min="12025" max="12025" width="3.28515625" style="1" customWidth="1"/>
    <col min="12026" max="12027" width="11.5703125" style="1" customWidth="1"/>
    <col min="12028" max="12028" width="3.28515625" style="1" customWidth="1"/>
    <col min="12029" max="12032" width="14.28515625" style="1" customWidth="1"/>
    <col min="12033" max="12033" width="5.7109375" style="1" customWidth="1"/>
    <col min="12034" max="12034" width="17.42578125" style="1" customWidth="1"/>
    <col min="12035" max="12035" width="6" style="1" customWidth="1"/>
    <col min="12036" max="12036" width="17.28515625" style="1" customWidth="1"/>
    <col min="12037" max="12037" width="5.7109375" style="1" customWidth="1"/>
    <col min="12038" max="12038" width="17.28515625" style="1" customWidth="1"/>
    <col min="12039" max="12272" width="9.140625" style="1"/>
    <col min="12273" max="12273" width="11.42578125" style="1" customWidth="1"/>
    <col min="12274" max="12275" width="12.85546875" style="1" customWidth="1"/>
    <col min="12276" max="12276" width="12.140625" style="1" customWidth="1"/>
    <col min="12277" max="12277" width="12.85546875" style="1" customWidth="1"/>
    <col min="12278" max="12278" width="15.42578125" style="1" customWidth="1"/>
    <col min="12279" max="12280" width="12.85546875" style="1" customWidth="1"/>
    <col min="12281" max="12281" width="3.28515625" style="1" customWidth="1"/>
    <col min="12282" max="12283" width="11.5703125" style="1" customWidth="1"/>
    <col min="12284" max="12284" width="3.28515625" style="1" customWidth="1"/>
    <col min="12285" max="12288" width="14.28515625" style="1" customWidth="1"/>
    <col min="12289" max="12289" width="5.7109375" style="1" customWidth="1"/>
    <col min="12290" max="12290" width="17.42578125" style="1" customWidth="1"/>
    <col min="12291" max="12291" width="6" style="1" customWidth="1"/>
    <col min="12292" max="12292" width="17.28515625" style="1" customWidth="1"/>
    <col min="12293" max="12293" width="5.7109375" style="1" customWidth="1"/>
    <col min="12294" max="12294" width="17.28515625" style="1" customWidth="1"/>
    <col min="12295" max="12528" width="9.140625" style="1"/>
    <col min="12529" max="12529" width="11.42578125" style="1" customWidth="1"/>
    <col min="12530" max="12531" width="12.85546875" style="1" customWidth="1"/>
    <col min="12532" max="12532" width="12.140625" style="1" customWidth="1"/>
    <col min="12533" max="12533" width="12.85546875" style="1" customWidth="1"/>
    <col min="12534" max="12534" width="15.42578125" style="1" customWidth="1"/>
    <col min="12535" max="12536" width="12.85546875" style="1" customWidth="1"/>
    <col min="12537" max="12537" width="3.28515625" style="1" customWidth="1"/>
    <col min="12538" max="12539" width="11.5703125" style="1" customWidth="1"/>
    <col min="12540" max="12540" width="3.28515625" style="1" customWidth="1"/>
    <col min="12541" max="12544" width="14.28515625" style="1" customWidth="1"/>
    <col min="12545" max="12545" width="5.7109375" style="1" customWidth="1"/>
    <col min="12546" max="12546" width="17.42578125" style="1" customWidth="1"/>
    <col min="12547" max="12547" width="6" style="1" customWidth="1"/>
    <col min="12548" max="12548" width="17.28515625" style="1" customWidth="1"/>
    <col min="12549" max="12549" width="5.7109375" style="1" customWidth="1"/>
    <col min="12550" max="12550" width="17.28515625" style="1" customWidth="1"/>
    <col min="12551" max="12784" width="9.140625" style="1"/>
    <col min="12785" max="12785" width="11.42578125" style="1" customWidth="1"/>
    <col min="12786" max="12787" width="12.85546875" style="1" customWidth="1"/>
    <col min="12788" max="12788" width="12.140625" style="1" customWidth="1"/>
    <col min="12789" max="12789" width="12.85546875" style="1" customWidth="1"/>
    <col min="12790" max="12790" width="15.42578125" style="1" customWidth="1"/>
    <col min="12791" max="12792" width="12.85546875" style="1" customWidth="1"/>
    <col min="12793" max="12793" width="3.28515625" style="1" customWidth="1"/>
    <col min="12794" max="12795" width="11.5703125" style="1" customWidth="1"/>
    <col min="12796" max="12796" width="3.28515625" style="1" customWidth="1"/>
    <col min="12797" max="12800" width="14.28515625" style="1" customWidth="1"/>
    <col min="12801" max="12801" width="5.7109375" style="1" customWidth="1"/>
    <col min="12802" max="12802" width="17.42578125" style="1" customWidth="1"/>
    <col min="12803" max="12803" width="6" style="1" customWidth="1"/>
    <col min="12804" max="12804" width="17.28515625" style="1" customWidth="1"/>
    <col min="12805" max="12805" width="5.7109375" style="1" customWidth="1"/>
    <col min="12806" max="12806" width="17.28515625" style="1" customWidth="1"/>
    <col min="12807" max="13040" width="9.140625" style="1"/>
    <col min="13041" max="13041" width="11.42578125" style="1" customWidth="1"/>
    <col min="13042" max="13043" width="12.85546875" style="1" customWidth="1"/>
    <col min="13044" max="13044" width="12.140625" style="1" customWidth="1"/>
    <col min="13045" max="13045" width="12.85546875" style="1" customWidth="1"/>
    <col min="13046" max="13046" width="15.42578125" style="1" customWidth="1"/>
    <col min="13047" max="13048" width="12.85546875" style="1" customWidth="1"/>
    <col min="13049" max="13049" width="3.28515625" style="1" customWidth="1"/>
    <col min="13050" max="13051" width="11.5703125" style="1" customWidth="1"/>
    <col min="13052" max="13052" width="3.28515625" style="1" customWidth="1"/>
    <col min="13053" max="13056" width="14.28515625" style="1" customWidth="1"/>
    <col min="13057" max="13057" width="5.7109375" style="1" customWidth="1"/>
    <col min="13058" max="13058" width="17.42578125" style="1" customWidth="1"/>
    <col min="13059" max="13059" width="6" style="1" customWidth="1"/>
    <col min="13060" max="13060" width="17.28515625" style="1" customWidth="1"/>
    <col min="13061" max="13061" width="5.7109375" style="1" customWidth="1"/>
    <col min="13062" max="13062" width="17.28515625" style="1" customWidth="1"/>
    <col min="13063" max="13296" width="9.140625" style="1"/>
    <col min="13297" max="13297" width="11.42578125" style="1" customWidth="1"/>
    <col min="13298" max="13299" width="12.85546875" style="1" customWidth="1"/>
    <col min="13300" max="13300" width="12.140625" style="1" customWidth="1"/>
    <col min="13301" max="13301" width="12.85546875" style="1" customWidth="1"/>
    <col min="13302" max="13302" width="15.42578125" style="1" customWidth="1"/>
    <col min="13303" max="13304" width="12.85546875" style="1" customWidth="1"/>
    <col min="13305" max="13305" width="3.28515625" style="1" customWidth="1"/>
    <col min="13306" max="13307" width="11.5703125" style="1" customWidth="1"/>
    <col min="13308" max="13308" width="3.28515625" style="1" customWidth="1"/>
    <col min="13309" max="13312" width="14.28515625" style="1" customWidth="1"/>
    <col min="13313" max="13313" width="5.7109375" style="1" customWidth="1"/>
    <col min="13314" max="13314" width="17.42578125" style="1" customWidth="1"/>
    <col min="13315" max="13315" width="6" style="1" customWidth="1"/>
    <col min="13316" max="13316" width="17.28515625" style="1" customWidth="1"/>
    <col min="13317" max="13317" width="5.7109375" style="1" customWidth="1"/>
    <col min="13318" max="13318" width="17.28515625" style="1" customWidth="1"/>
    <col min="13319" max="13552" width="9.140625" style="1"/>
    <col min="13553" max="13553" width="11.42578125" style="1" customWidth="1"/>
    <col min="13554" max="13555" width="12.85546875" style="1" customWidth="1"/>
    <col min="13556" max="13556" width="12.140625" style="1" customWidth="1"/>
    <col min="13557" max="13557" width="12.85546875" style="1" customWidth="1"/>
    <col min="13558" max="13558" width="15.42578125" style="1" customWidth="1"/>
    <col min="13559" max="13560" width="12.85546875" style="1" customWidth="1"/>
    <col min="13561" max="13561" width="3.28515625" style="1" customWidth="1"/>
    <col min="13562" max="13563" width="11.5703125" style="1" customWidth="1"/>
    <col min="13564" max="13564" width="3.28515625" style="1" customWidth="1"/>
    <col min="13565" max="13568" width="14.28515625" style="1" customWidth="1"/>
    <col min="13569" max="13569" width="5.7109375" style="1" customWidth="1"/>
    <col min="13570" max="13570" width="17.42578125" style="1" customWidth="1"/>
    <col min="13571" max="13571" width="6" style="1" customWidth="1"/>
    <col min="13572" max="13572" width="17.28515625" style="1" customWidth="1"/>
    <col min="13573" max="13573" width="5.7109375" style="1" customWidth="1"/>
    <col min="13574" max="13574" width="17.28515625" style="1" customWidth="1"/>
    <col min="13575" max="13808" width="9.140625" style="1"/>
    <col min="13809" max="13809" width="11.42578125" style="1" customWidth="1"/>
    <col min="13810" max="13811" width="12.85546875" style="1" customWidth="1"/>
    <col min="13812" max="13812" width="12.140625" style="1" customWidth="1"/>
    <col min="13813" max="13813" width="12.85546875" style="1" customWidth="1"/>
    <col min="13814" max="13814" width="15.42578125" style="1" customWidth="1"/>
    <col min="13815" max="13816" width="12.85546875" style="1" customWidth="1"/>
    <col min="13817" max="13817" width="3.28515625" style="1" customWidth="1"/>
    <col min="13818" max="13819" width="11.5703125" style="1" customWidth="1"/>
    <col min="13820" max="13820" width="3.28515625" style="1" customWidth="1"/>
    <col min="13821" max="13824" width="14.28515625" style="1" customWidth="1"/>
    <col min="13825" max="13825" width="5.7109375" style="1" customWidth="1"/>
    <col min="13826" max="13826" width="17.42578125" style="1" customWidth="1"/>
    <col min="13827" max="13827" width="6" style="1" customWidth="1"/>
    <col min="13828" max="13828" width="17.28515625" style="1" customWidth="1"/>
    <col min="13829" max="13829" width="5.7109375" style="1" customWidth="1"/>
    <col min="13830" max="13830" width="17.28515625" style="1" customWidth="1"/>
    <col min="13831" max="14064" width="9.140625" style="1"/>
    <col min="14065" max="14065" width="11.42578125" style="1" customWidth="1"/>
    <col min="14066" max="14067" width="12.85546875" style="1" customWidth="1"/>
    <col min="14068" max="14068" width="12.140625" style="1" customWidth="1"/>
    <col min="14069" max="14069" width="12.85546875" style="1" customWidth="1"/>
    <col min="14070" max="14070" width="15.42578125" style="1" customWidth="1"/>
    <col min="14071" max="14072" width="12.85546875" style="1" customWidth="1"/>
    <col min="14073" max="14073" width="3.28515625" style="1" customWidth="1"/>
    <col min="14074" max="14075" width="11.5703125" style="1" customWidth="1"/>
    <col min="14076" max="14076" width="3.28515625" style="1" customWidth="1"/>
    <col min="14077" max="14080" width="14.28515625" style="1" customWidth="1"/>
    <col min="14081" max="14081" width="5.7109375" style="1" customWidth="1"/>
    <col min="14082" max="14082" width="17.42578125" style="1" customWidth="1"/>
    <col min="14083" max="14083" width="6" style="1" customWidth="1"/>
    <col min="14084" max="14084" width="17.28515625" style="1" customWidth="1"/>
    <col min="14085" max="14085" width="5.7109375" style="1" customWidth="1"/>
    <col min="14086" max="14086" width="17.28515625" style="1" customWidth="1"/>
    <col min="14087" max="14320" width="9.140625" style="1"/>
    <col min="14321" max="14321" width="11.42578125" style="1" customWidth="1"/>
    <col min="14322" max="14323" width="12.85546875" style="1" customWidth="1"/>
    <col min="14324" max="14324" width="12.140625" style="1" customWidth="1"/>
    <col min="14325" max="14325" width="12.85546875" style="1" customWidth="1"/>
    <col min="14326" max="14326" width="15.42578125" style="1" customWidth="1"/>
    <col min="14327" max="14328" width="12.85546875" style="1" customWidth="1"/>
    <col min="14329" max="14329" width="3.28515625" style="1" customWidth="1"/>
    <col min="14330" max="14331" width="11.5703125" style="1" customWidth="1"/>
    <col min="14332" max="14332" width="3.28515625" style="1" customWidth="1"/>
    <col min="14333" max="14336" width="14.28515625" style="1" customWidth="1"/>
    <col min="14337" max="14337" width="5.7109375" style="1" customWidth="1"/>
    <col min="14338" max="14338" width="17.42578125" style="1" customWidth="1"/>
    <col min="14339" max="14339" width="6" style="1" customWidth="1"/>
    <col min="14340" max="14340" width="17.28515625" style="1" customWidth="1"/>
    <col min="14341" max="14341" width="5.7109375" style="1" customWidth="1"/>
    <col min="14342" max="14342" width="17.28515625" style="1" customWidth="1"/>
    <col min="14343" max="14576" width="9.140625" style="1"/>
    <col min="14577" max="14577" width="11.42578125" style="1" customWidth="1"/>
    <col min="14578" max="14579" width="12.85546875" style="1" customWidth="1"/>
    <col min="14580" max="14580" width="12.140625" style="1" customWidth="1"/>
    <col min="14581" max="14581" width="12.85546875" style="1" customWidth="1"/>
    <col min="14582" max="14582" width="15.42578125" style="1" customWidth="1"/>
    <col min="14583" max="14584" width="12.85546875" style="1" customWidth="1"/>
    <col min="14585" max="14585" width="3.28515625" style="1" customWidth="1"/>
    <col min="14586" max="14587" width="11.5703125" style="1" customWidth="1"/>
    <col min="14588" max="14588" width="3.28515625" style="1" customWidth="1"/>
    <col min="14589" max="14592" width="14.28515625" style="1" customWidth="1"/>
    <col min="14593" max="14593" width="5.7109375" style="1" customWidth="1"/>
    <col min="14594" max="14594" width="17.42578125" style="1" customWidth="1"/>
    <col min="14595" max="14595" width="6" style="1" customWidth="1"/>
    <col min="14596" max="14596" width="17.28515625" style="1" customWidth="1"/>
    <col min="14597" max="14597" width="5.7109375" style="1" customWidth="1"/>
    <col min="14598" max="14598" width="17.28515625" style="1" customWidth="1"/>
    <col min="14599" max="14832" width="9.140625" style="1"/>
    <col min="14833" max="14833" width="11.42578125" style="1" customWidth="1"/>
    <col min="14834" max="14835" width="12.85546875" style="1" customWidth="1"/>
    <col min="14836" max="14836" width="12.140625" style="1" customWidth="1"/>
    <col min="14837" max="14837" width="12.85546875" style="1" customWidth="1"/>
    <col min="14838" max="14838" width="15.42578125" style="1" customWidth="1"/>
    <col min="14839" max="14840" width="12.85546875" style="1" customWidth="1"/>
    <col min="14841" max="14841" width="3.28515625" style="1" customWidth="1"/>
    <col min="14842" max="14843" width="11.5703125" style="1" customWidth="1"/>
    <col min="14844" max="14844" width="3.28515625" style="1" customWidth="1"/>
    <col min="14845" max="14848" width="14.28515625" style="1" customWidth="1"/>
    <col min="14849" max="14849" width="5.7109375" style="1" customWidth="1"/>
    <col min="14850" max="14850" width="17.42578125" style="1" customWidth="1"/>
    <col min="14851" max="14851" width="6" style="1" customWidth="1"/>
    <col min="14852" max="14852" width="17.28515625" style="1" customWidth="1"/>
    <col min="14853" max="14853" width="5.7109375" style="1" customWidth="1"/>
    <col min="14854" max="14854" width="17.28515625" style="1" customWidth="1"/>
    <col min="14855" max="15088" width="9.140625" style="1"/>
    <col min="15089" max="15089" width="11.42578125" style="1" customWidth="1"/>
    <col min="15090" max="15091" width="12.85546875" style="1" customWidth="1"/>
    <col min="15092" max="15092" width="12.140625" style="1" customWidth="1"/>
    <col min="15093" max="15093" width="12.85546875" style="1" customWidth="1"/>
    <col min="15094" max="15094" width="15.42578125" style="1" customWidth="1"/>
    <col min="15095" max="15096" width="12.85546875" style="1" customWidth="1"/>
    <col min="15097" max="15097" width="3.28515625" style="1" customWidth="1"/>
    <col min="15098" max="15099" width="11.5703125" style="1" customWidth="1"/>
    <col min="15100" max="15100" width="3.28515625" style="1" customWidth="1"/>
    <col min="15101" max="15104" width="14.28515625" style="1" customWidth="1"/>
    <col min="15105" max="15105" width="5.7109375" style="1" customWidth="1"/>
    <col min="15106" max="15106" width="17.42578125" style="1" customWidth="1"/>
    <col min="15107" max="15107" width="6" style="1" customWidth="1"/>
    <col min="15108" max="15108" width="17.28515625" style="1" customWidth="1"/>
    <col min="15109" max="15109" width="5.7109375" style="1" customWidth="1"/>
    <col min="15110" max="15110" width="17.28515625" style="1" customWidth="1"/>
    <col min="15111" max="15344" width="9.140625" style="1"/>
    <col min="15345" max="15345" width="11.42578125" style="1" customWidth="1"/>
    <col min="15346" max="15347" width="12.85546875" style="1" customWidth="1"/>
    <col min="15348" max="15348" width="12.140625" style="1" customWidth="1"/>
    <col min="15349" max="15349" width="12.85546875" style="1" customWidth="1"/>
    <col min="15350" max="15350" width="15.42578125" style="1" customWidth="1"/>
    <col min="15351" max="15352" width="12.85546875" style="1" customWidth="1"/>
    <col min="15353" max="15353" width="3.28515625" style="1" customWidth="1"/>
    <col min="15354" max="15355" width="11.5703125" style="1" customWidth="1"/>
    <col min="15356" max="15356" width="3.28515625" style="1" customWidth="1"/>
    <col min="15357" max="15360" width="14.28515625" style="1" customWidth="1"/>
    <col min="15361" max="15361" width="5.7109375" style="1" customWidth="1"/>
    <col min="15362" max="15362" width="17.42578125" style="1" customWidth="1"/>
    <col min="15363" max="15363" width="6" style="1" customWidth="1"/>
    <col min="15364" max="15364" width="17.28515625" style="1" customWidth="1"/>
    <col min="15365" max="15365" width="5.7109375" style="1" customWidth="1"/>
    <col min="15366" max="15366" width="17.28515625" style="1" customWidth="1"/>
    <col min="15367" max="15600" width="9.140625" style="1"/>
    <col min="15601" max="15601" width="11.42578125" style="1" customWidth="1"/>
    <col min="15602" max="15603" width="12.85546875" style="1" customWidth="1"/>
    <col min="15604" max="15604" width="12.140625" style="1" customWidth="1"/>
    <col min="15605" max="15605" width="12.85546875" style="1" customWidth="1"/>
    <col min="15606" max="15606" width="15.42578125" style="1" customWidth="1"/>
    <col min="15607" max="15608" width="12.85546875" style="1" customWidth="1"/>
    <col min="15609" max="15609" width="3.28515625" style="1" customWidth="1"/>
    <col min="15610" max="15611" width="11.5703125" style="1" customWidth="1"/>
    <col min="15612" max="15612" width="3.28515625" style="1" customWidth="1"/>
    <col min="15613" max="15616" width="14.28515625" style="1" customWidth="1"/>
    <col min="15617" max="15617" width="5.7109375" style="1" customWidth="1"/>
    <col min="15618" max="15618" width="17.42578125" style="1" customWidth="1"/>
    <col min="15619" max="15619" width="6" style="1" customWidth="1"/>
    <col min="15620" max="15620" width="17.28515625" style="1" customWidth="1"/>
    <col min="15621" max="15621" width="5.7109375" style="1" customWidth="1"/>
    <col min="15622" max="15622" width="17.28515625" style="1" customWidth="1"/>
    <col min="15623" max="15856" width="9.140625" style="1"/>
    <col min="15857" max="15857" width="11.42578125" style="1" customWidth="1"/>
    <col min="15858" max="15859" width="12.85546875" style="1" customWidth="1"/>
    <col min="15860" max="15860" width="12.140625" style="1" customWidth="1"/>
    <col min="15861" max="15861" width="12.85546875" style="1" customWidth="1"/>
    <col min="15862" max="15862" width="15.42578125" style="1" customWidth="1"/>
    <col min="15863" max="15864" width="12.85546875" style="1" customWidth="1"/>
    <col min="15865" max="15865" width="3.28515625" style="1" customWidth="1"/>
    <col min="15866" max="15867" width="11.5703125" style="1" customWidth="1"/>
    <col min="15868" max="15868" width="3.28515625" style="1" customWidth="1"/>
    <col min="15869" max="15872" width="14.28515625" style="1" customWidth="1"/>
    <col min="15873" max="15873" width="5.7109375" style="1" customWidth="1"/>
    <col min="15874" max="15874" width="17.42578125" style="1" customWidth="1"/>
    <col min="15875" max="15875" width="6" style="1" customWidth="1"/>
    <col min="15876" max="15876" width="17.28515625" style="1" customWidth="1"/>
    <col min="15877" max="15877" width="5.7109375" style="1" customWidth="1"/>
    <col min="15878" max="15878" width="17.28515625" style="1" customWidth="1"/>
    <col min="15879" max="16112" width="9.140625" style="1"/>
    <col min="16113" max="16113" width="11.42578125" style="1" customWidth="1"/>
    <col min="16114" max="16115" width="12.85546875" style="1" customWidth="1"/>
    <col min="16116" max="16116" width="12.140625" style="1" customWidth="1"/>
    <col min="16117" max="16117" width="12.85546875" style="1" customWidth="1"/>
    <col min="16118" max="16118" width="15.42578125" style="1" customWidth="1"/>
    <col min="16119" max="16120" width="12.85546875" style="1" customWidth="1"/>
    <col min="16121" max="16121" width="3.28515625" style="1" customWidth="1"/>
    <col min="16122" max="16123" width="11.5703125" style="1" customWidth="1"/>
    <col min="16124" max="16124" width="3.28515625" style="1" customWidth="1"/>
    <col min="16125" max="16128" width="14.28515625" style="1" customWidth="1"/>
    <col min="16129" max="16129" width="5.7109375" style="1" customWidth="1"/>
    <col min="16130" max="16130" width="17.42578125" style="1" customWidth="1"/>
    <col min="16131" max="16131" width="6" style="1" customWidth="1"/>
    <col min="16132" max="16132" width="17.28515625" style="1" customWidth="1"/>
    <col min="16133" max="16133" width="5.7109375" style="1" customWidth="1"/>
    <col min="16134" max="16134" width="17.28515625" style="1" customWidth="1"/>
    <col min="16135" max="16384" width="9.140625" style="1"/>
  </cols>
  <sheetData>
    <row r="1" spans="1:19" ht="15" customHeight="1" x14ac:dyDescent="0.2">
      <c r="A1" s="298" t="s">
        <v>577</v>
      </c>
      <c r="B1" s="298"/>
    </row>
    <row r="2" spans="1:19" ht="15" customHeight="1" x14ac:dyDescent="0.2">
      <c r="A2" s="106" t="s">
        <v>578</v>
      </c>
      <c r="B2" s="106"/>
    </row>
    <row r="3" spans="1:19" customFormat="1" ht="37.5" customHeight="1" x14ac:dyDescent="0.2">
      <c r="A3" s="237" t="s">
        <v>1139</v>
      </c>
      <c r="B3" s="237"/>
      <c r="C3" s="237"/>
      <c r="D3" s="237"/>
      <c r="E3" s="237"/>
    </row>
    <row r="4" spans="1:19" customFormat="1" ht="15" customHeight="1" x14ac:dyDescent="0.25">
      <c r="A4" s="295" t="s">
        <v>579</v>
      </c>
      <c r="B4" s="1043" t="s">
        <v>1294</v>
      </c>
      <c r="C4" s="237"/>
      <c r="D4" s="237"/>
      <c r="E4" s="237"/>
    </row>
    <row r="5" spans="1:19" customFormat="1" ht="15" customHeight="1" x14ac:dyDescent="0.25">
      <c r="A5" s="295" t="s">
        <v>580</v>
      </c>
      <c r="B5" s="295" t="s">
        <v>581</v>
      </c>
      <c r="C5" s="237"/>
      <c r="D5" s="237"/>
      <c r="E5" s="237"/>
    </row>
    <row r="6" spans="1:19" customFormat="1" ht="15" customHeight="1" x14ac:dyDescent="0.25">
      <c r="A6" s="295" t="s">
        <v>582</v>
      </c>
      <c r="B6" s="295" t="s">
        <v>583</v>
      </c>
      <c r="C6" s="237"/>
      <c r="D6" s="237"/>
      <c r="E6" s="237"/>
    </row>
    <row r="7" spans="1:19" ht="13.5" customHeight="1" x14ac:dyDescent="0.2">
      <c r="B7" s="1263" t="s">
        <v>135</v>
      </c>
      <c r="C7" s="1264"/>
      <c r="D7" s="1264"/>
      <c r="E7" s="1264"/>
      <c r="F7" s="1264"/>
      <c r="G7" s="1264"/>
      <c r="H7" s="1264"/>
      <c r="I7" s="1264"/>
      <c r="J7" s="1265"/>
      <c r="K7" s="1260" t="s">
        <v>988</v>
      </c>
      <c r="L7" s="1261"/>
      <c r="M7" s="1261"/>
      <c r="N7" s="1261"/>
      <c r="O7" s="1261"/>
      <c r="P7" s="1261"/>
      <c r="Q7" s="1262"/>
    </row>
    <row r="8" spans="1:19" s="39" customFormat="1" ht="27.75" customHeight="1" x14ac:dyDescent="0.2">
      <c r="B8" s="1268" t="s">
        <v>136</v>
      </c>
      <c r="C8" s="1269"/>
      <c r="D8" s="1269"/>
      <c r="E8" s="1269"/>
      <c r="F8" s="1269"/>
      <c r="G8" s="1270"/>
      <c r="H8" s="1268" t="s">
        <v>97</v>
      </c>
      <c r="I8" s="1269"/>
      <c r="J8" s="1270"/>
      <c r="K8" s="980" t="s">
        <v>671</v>
      </c>
      <c r="L8" s="1266" t="s">
        <v>97</v>
      </c>
      <c r="M8" s="1266"/>
      <c r="N8" s="1266"/>
      <c r="O8" s="1266"/>
      <c r="P8" s="1266"/>
      <c r="Q8" s="1267"/>
      <c r="R8" s="1256" t="s">
        <v>987</v>
      </c>
      <c r="S8" s="1258" t="s">
        <v>989</v>
      </c>
    </row>
    <row r="9" spans="1:19" ht="75" customHeight="1" x14ac:dyDescent="0.2">
      <c r="A9" s="2" t="s">
        <v>4</v>
      </c>
      <c r="B9" s="1033" t="s">
        <v>986</v>
      </c>
      <c r="C9" s="1034" t="s">
        <v>166</v>
      </c>
      <c r="D9" s="1034" t="s">
        <v>167</v>
      </c>
      <c r="E9" s="1035" t="s">
        <v>173</v>
      </c>
      <c r="F9" s="1035" t="s">
        <v>174</v>
      </c>
      <c r="G9" s="1036" t="s">
        <v>11</v>
      </c>
      <c r="H9" s="1037" t="s">
        <v>1013</v>
      </c>
      <c r="I9" s="1037" t="s">
        <v>1014</v>
      </c>
      <c r="J9" s="1038" t="s">
        <v>1012</v>
      </c>
      <c r="K9" s="1039" t="s">
        <v>11</v>
      </c>
      <c r="L9" s="1040" t="s">
        <v>71</v>
      </c>
      <c r="M9" s="1035" t="s">
        <v>519</v>
      </c>
      <c r="N9" s="1035" t="s">
        <v>529</v>
      </c>
      <c r="O9" s="1035" t="s">
        <v>516</v>
      </c>
      <c r="P9" s="1041" t="s">
        <v>72</v>
      </c>
      <c r="Q9" s="1042" t="s">
        <v>11</v>
      </c>
      <c r="R9" s="1257"/>
      <c r="S9" s="1259"/>
    </row>
    <row r="10" spans="1:19" ht="18.75" customHeight="1" x14ac:dyDescent="0.2">
      <c r="A10" s="982">
        <v>1990</v>
      </c>
      <c r="B10" s="983"/>
      <c r="C10" s="984"/>
      <c r="D10" s="985"/>
      <c r="E10" s="985"/>
      <c r="F10" s="985"/>
      <c r="G10" s="986">
        <v>1831</v>
      </c>
      <c r="H10" s="986">
        <v>115</v>
      </c>
      <c r="I10" s="986"/>
      <c r="J10" s="993"/>
      <c r="K10" s="985"/>
      <c r="L10" s="985"/>
      <c r="M10" s="985"/>
      <c r="N10" s="985"/>
      <c r="O10" s="985"/>
      <c r="P10" s="985"/>
      <c r="Q10" s="997"/>
      <c r="R10" s="987"/>
      <c r="S10" s="985"/>
    </row>
    <row r="11" spans="1:19" ht="13.5" customHeight="1" x14ac:dyDescent="0.2">
      <c r="A11" s="309">
        <v>1991</v>
      </c>
      <c r="B11" s="596"/>
      <c r="C11" s="974"/>
      <c r="D11" s="975"/>
      <c r="E11" s="975"/>
      <c r="F11" s="975"/>
      <c r="G11" s="214">
        <v>1942</v>
      </c>
      <c r="H11" s="214">
        <v>137</v>
      </c>
      <c r="I11" s="214"/>
      <c r="J11" s="994"/>
      <c r="K11" s="975"/>
      <c r="L11" s="975"/>
      <c r="M11" s="975"/>
      <c r="N11" s="975"/>
      <c r="O11" s="975"/>
      <c r="P11" s="975"/>
      <c r="Q11" s="998"/>
      <c r="S11" s="975"/>
    </row>
    <row r="12" spans="1:19" ht="13.5" customHeight="1" x14ac:dyDescent="0.2">
      <c r="A12" s="309">
        <v>1992</v>
      </c>
      <c r="B12" s="596"/>
      <c r="C12" s="974"/>
      <c r="D12" s="975"/>
      <c r="E12" s="975"/>
      <c r="F12" s="975"/>
      <c r="G12" s="214">
        <v>1881</v>
      </c>
      <c r="H12" s="214">
        <v>102</v>
      </c>
      <c r="I12" s="214"/>
      <c r="J12" s="994"/>
      <c r="K12" s="975"/>
      <c r="L12" s="975"/>
      <c r="M12" s="975"/>
      <c r="N12" s="975"/>
      <c r="O12" s="975"/>
      <c r="P12" s="975"/>
      <c r="Q12" s="998"/>
      <c r="S12" s="975"/>
    </row>
    <row r="13" spans="1:19" ht="13.5" customHeight="1" x14ac:dyDescent="0.2">
      <c r="A13" s="309">
        <v>1993</v>
      </c>
      <c r="B13" s="596"/>
      <c r="C13" s="974"/>
      <c r="D13" s="975"/>
      <c r="E13" s="975"/>
      <c r="F13" s="975"/>
      <c r="G13" s="214">
        <v>1908</v>
      </c>
      <c r="H13" s="214">
        <v>127</v>
      </c>
      <c r="I13" s="214"/>
      <c r="J13" s="994"/>
      <c r="K13" s="975"/>
      <c r="L13" s="975"/>
      <c r="M13" s="975"/>
      <c r="N13" s="975"/>
      <c r="O13" s="975"/>
      <c r="P13" s="975"/>
      <c r="Q13" s="998"/>
      <c r="S13" s="975"/>
    </row>
    <row r="14" spans="1:19" ht="13.5" customHeight="1" x14ac:dyDescent="0.2">
      <c r="A14" s="316" t="s">
        <v>313</v>
      </c>
      <c r="B14" s="597"/>
      <c r="C14" s="974"/>
      <c r="D14" s="975"/>
      <c r="E14" s="975"/>
      <c r="F14" s="975"/>
      <c r="G14" s="214">
        <v>1895</v>
      </c>
      <c r="H14" s="214">
        <v>84</v>
      </c>
      <c r="I14" s="214"/>
      <c r="J14" s="994"/>
      <c r="K14" s="975"/>
      <c r="L14" s="975"/>
      <c r="M14" s="975"/>
      <c r="N14" s="975"/>
      <c r="O14" s="975"/>
      <c r="P14" s="975"/>
      <c r="Q14" s="998"/>
      <c r="S14" s="975"/>
    </row>
    <row r="15" spans="1:19" ht="13.5" customHeight="1" x14ac:dyDescent="0.2">
      <c r="A15" s="305" t="s">
        <v>117</v>
      </c>
      <c r="B15" s="598"/>
      <c r="C15" s="974"/>
      <c r="D15" s="975"/>
      <c r="E15" s="975"/>
      <c r="F15" s="975"/>
      <c r="G15" s="214">
        <v>1880</v>
      </c>
      <c r="H15" s="214">
        <v>90</v>
      </c>
      <c r="I15" s="214"/>
      <c r="J15" s="994"/>
      <c r="K15" s="975"/>
      <c r="L15" s="975"/>
      <c r="M15" s="975"/>
      <c r="N15" s="975"/>
      <c r="O15" s="975"/>
      <c r="P15" s="975"/>
      <c r="Q15" s="998"/>
      <c r="S15" s="975"/>
    </row>
    <row r="16" spans="1:19" ht="13.5" customHeight="1" x14ac:dyDescent="0.2">
      <c r="A16" s="305" t="s">
        <v>118</v>
      </c>
      <c r="B16" s="598"/>
      <c r="C16" s="974"/>
      <c r="D16" s="975"/>
      <c r="E16" s="975"/>
      <c r="F16" s="975"/>
      <c r="G16" s="214">
        <v>2097</v>
      </c>
      <c r="H16" s="214">
        <v>101</v>
      </c>
      <c r="I16" s="214"/>
      <c r="J16" s="994"/>
      <c r="K16" s="975"/>
      <c r="L16" s="975"/>
      <c r="M16" s="975"/>
      <c r="N16" s="975"/>
      <c r="O16" s="975"/>
      <c r="P16" s="975"/>
      <c r="Q16" s="998"/>
      <c r="S16" s="975"/>
    </row>
    <row r="17" spans="1:19" ht="13.5" customHeight="1" x14ac:dyDescent="0.2">
      <c r="A17" s="305" t="s">
        <v>119</v>
      </c>
      <c r="B17" s="598"/>
      <c r="C17" s="974"/>
      <c r="D17" s="975"/>
      <c r="E17" s="975"/>
      <c r="F17" s="975"/>
      <c r="G17" s="214">
        <v>2118</v>
      </c>
      <c r="H17" s="214">
        <v>89</v>
      </c>
      <c r="I17" s="214"/>
      <c r="J17" s="994"/>
      <c r="K17" s="975"/>
      <c r="L17" s="975"/>
      <c r="M17" s="975"/>
      <c r="N17" s="975"/>
      <c r="O17" s="975"/>
      <c r="P17" s="975"/>
      <c r="Q17" s="998"/>
      <c r="S17" s="975"/>
    </row>
    <row r="18" spans="1:19" ht="13.5" customHeight="1" x14ac:dyDescent="0.2">
      <c r="A18" s="305" t="s">
        <v>120</v>
      </c>
      <c r="B18" s="598"/>
      <c r="C18" s="974"/>
      <c r="D18" s="975"/>
      <c r="E18" s="975"/>
      <c r="F18" s="975"/>
      <c r="G18" s="214">
        <v>2171</v>
      </c>
      <c r="H18" s="214">
        <v>98</v>
      </c>
      <c r="I18" s="214"/>
      <c r="J18" s="994"/>
      <c r="K18" s="975"/>
      <c r="L18" s="975"/>
      <c r="M18" s="975"/>
      <c r="N18" s="975"/>
      <c r="O18" s="975"/>
      <c r="P18" s="975"/>
      <c r="Q18" s="998"/>
      <c r="S18" s="975"/>
    </row>
    <row r="19" spans="1:19" ht="13.5" customHeight="1" x14ac:dyDescent="0.2">
      <c r="A19" s="305" t="s">
        <v>121</v>
      </c>
      <c r="B19" s="598"/>
      <c r="C19" s="974"/>
      <c r="D19" s="975"/>
      <c r="E19" s="975"/>
      <c r="F19" s="975"/>
      <c r="G19" s="214">
        <v>2366</v>
      </c>
      <c r="H19" s="214">
        <v>111</v>
      </c>
      <c r="I19" s="214"/>
      <c r="J19" s="994"/>
      <c r="K19" s="975"/>
      <c r="L19" s="975"/>
      <c r="M19" s="975"/>
      <c r="N19" s="975"/>
      <c r="O19" s="975"/>
      <c r="P19" s="975"/>
      <c r="Q19" s="998"/>
      <c r="S19" s="975"/>
    </row>
    <row r="20" spans="1:19" ht="13.5" customHeight="1" x14ac:dyDescent="0.2">
      <c r="A20" s="305" t="s">
        <v>122</v>
      </c>
      <c r="B20" s="598"/>
      <c r="C20" s="974"/>
      <c r="D20" s="975"/>
      <c r="E20" s="975"/>
      <c r="F20" s="975"/>
      <c r="G20" s="214">
        <v>2245</v>
      </c>
      <c r="H20" s="214">
        <v>74</v>
      </c>
      <c r="I20" s="214"/>
      <c r="J20" s="994"/>
      <c r="K20" s="975"/>
      <c r="L20" s="975"/>
      <c r="M20" s="975"/>
      <c r="N20" s="975"/>
      <c r="O20" s="975"/>
      <c r="P20" s="975"/>
      <c r="Q20" s="998"/>
      <c r="S20" s="975"/>
    </row>
    <row r="21" spans="1:19" ht="13.5" customHeight="1" x14ac:dyDescent="0.2">
      <c r="A21" s="305" t="s">
        <v>123</v>
      </c>
      <c r="B21" s="598"/>
      <c r="C21" s="974"/>
      <c r="D21" s="975"/>
      <c r="E21" s="975"/>
      <c r="F21" s="975"/>
      <c r="G21" s="214">
        <v>2026</v>
      </c>
      <c r="H21" s="214">
        <v>87</v>
      </c>
      <c r="I21" s="214"/>
      <c r="J21" s="994"/>
      <c r="K21" s="975"/>
      <c r="L21" s="975"/>
      <c r="M21" s="975"/>
      <c r="N21" s="975"/>
      <c r="O21" s="975"/>
      <c r="P21" s="975"/>
      <c r="Q21" s="998"/>
      <c r="S21" s="975"/>
    </row>
    <row r="22" spans="1:19" ht="13.5" customHeight="1" x14ac:dyDescent="0.2">
      <c r="A22" s="305" t="s">
        <v>314</v>
      </c>
      <c r="B22" s="598"/>
      <c r="C22" s="974"/>
      <c r="D22" s="975"/>
      <c r="E22" s="975"/>
      <c r="F22" s="975"/>
      <c r="G22" s="214">
        <v>1876</v>
      </c>
      <c r="H22" s="214">
        <v>80</v>
      </c>
      <c r="I22" s="214"/>
      <c r="J22" s="994"/>
      <c r="K22" s="975"/>
      <c r="L22" s="975"/>
      <c r="M22" s="975"/>
      <c r="N22" s="975"/>
      <c r="O22" s="975"/>
      <c r="P22" s="975"/>
      <c r="Q22" s="998"/>
      <c r="S22" s="975"/>
    </row>
    <row r="23" spans="1:19" ht="13.5" customHeight="1" x14ac:dyDescent="0.2">
      <c r="A23" s="305" t="s">
        <v>112</v>
      </c>
      <c r="B23" s="598"/>
      <c r="C23" s="974"/>
      <c r="D23" s="975"/>
      <c r="E23" s="975"/>
      <c r="F23" s="975"/>
      <c r="G23" s="214">
        <v>1951</v>
      </c>
      <c r="H23" s="214">
        <v>89</v>
      </c>
      <c r="I23" s="214"/>
      <c r="J23" s="994"/>
      <c r="K23" s="975"/>
      <c r="L23" s="975"/>
      <c r="M23" s="975"/>
      <c r="N23" s="975"/>
      <c r="O23" s="975"/>
      <c r="P23" s="975"/>
      <c r="Q23" s="998"/>
      <c r="S23" s="975"/>
    </row>
    <row r="24" spans="1:19" ht="13.5" customHeight="1" x14ac:dyDescent="0.2">
      <c r="A24" s="305" t="s">
        <v>9</v>
      </c>
      <c r="B24" s="598"/>
      <c r="C24" s="974"/>
      <c r="D24" s="975"/>
      <c r="E24" s="975"/>
      <c r="F24" s="975"/>
      <c r="G24" s="214">
        <v>1730</v>
      </c>
      <c r="H24" s="214">
        <v>85</v>
      </c>
      <c r="I24" s="214"/>
      <c r="J24" s="994"/>
      <c r="K24" s="975"/>
      <c r="L24" s="975"/>
      <c r="M24" s="975"/>
      <c r="N24" s="975"/>
      <c r="O24" s="975"/>
      <c r="P24" s="975"/>
      <c r="Q24" s="998"/>
      <c r="S24" s="975"/>
    </row>
    <row r="25" spans="1:19" ht="13.5" customHeight="1" x14ac:dyDescent="0.2">
      <c r="A25" s="305" t="s">
        <v>12</v>
      </c>
      <c r="B25" s="598"/>
      <c r="C25" s="974"/>
      <c r="D25" s="975"/>
      <c r="E25" s="975"/>
      <c r="F25" s="975"/>
      <c r="G25" s="214">
        <v>1692</v>
      </c>
      <c r="H25" s="214">
        <v>60</v>
      </c>
      <c r="I25" s="214"/>
      <c r="J25" s="994"/>
      <c r="K25" s="975"/>
      <c r="L25" s="975"/>
      <c r="M25" s="975"/>
      <c r="N25" s="975"/>
      <c r="O25" s="975"/>
      <c r="P25" s="975"/>
      <c r="Q25" s="998"/>
      <c r="S25" s="975"/>
    </row>
    <row r="26" spans="1:19" ht="13.5" customHeight="1" x14ac:dyDescent="0.2">
      <c r="A26" s="305" t="s">
        <v>14</v>
      </c>
      <c r="B26" s="598"/>
      <c r="C26" s="974"/>
      <c r="D26" s="975"/>
      <c r="E26" s="975"/>
      <c r="F26" s="975"/>
      <c r="G26" s="214">
        <v>1673</v>
      </c>
      <c r="H26" s="214">
        <v>46</v>
      </c>
      <c r="I26" s="214"/>
      <c r="J26" s="994"/>
      <c r="K26" s="975"/>
      <c r="L26" s="975"/>
      <c r="M26" s="975"/>
      <c r="N26" s="975"/>
      <c r="O26" s="975"/>
      <c r="P26" s="975"/>
      <c r="Q26" s="998"/>
      <c r="S26" s="975"/>
    </row>
    <row r="27" spans="1:19" ht="13.5" customHeight="1" x14ac:dyDescent="0.2">
      <c r="A27" s="305" t="s">
        <v>16</v>
      </c>
      <c r="B27" s="598"/>
      <c r="C27" s="974"/>
      <c r="D27" s="975"/>
      <c r="E27" s="975"/>
      <c r="F27" s="975"/>
      <c r="G27" s="214">
        <v>1719</v>
      </c>
      <c r="H27" s="214">
        <v>72</v>
      </c>
      <c r="I27" s="214"/>
      <c r="J27" s="994"/>
      <c r="K27" s="975"/>
      <c r="L27" s="975"/>
      <c r="M27" s="975"/>
      <c r="N27" s="975"/>
      <c r="O27" s="975"/>
      <c r="P27" s="975"/>
      <c r="Q27" s="998"/>
      <c r="S27" s="975"/>
    </row>
    <row r="28" spans="1:19" ht="13.5" customHeight="1" x14ac:dyDescent="0.2">
      <c r="A28" s="305" t="s">
        <v>18</v>
      </c>
      <c r="B28" s="598"/>
      <c r="C28" s="974"/>
      <c r="D28" s="975"/>
      <c r="E28" s="975"/>
      <c r="F28" s="975"/>
      <c r="G28" s="214">
        <v>1648</v>
      </c>
      <c r="H28" s="214">
        <v>64</v>
      </c>
      <c r="I28"/>
      <c r="J28" s="995"/>
      <c r="K28" s="975"/>
      <c r="L28" s="975"/>
      <c r="M28" s="975"/>
      <c r="N28" s="975"/>
      <c r="O28" s="975"/>
      <c r="P28" s="975"/>
      <c r="Q28" s="998"/>
      <c r="S28" s="975"/>
    </row>
    <row r="29" spans="1:19" ht="13.5" customHeight="1" x14ac:dyDescent="0.25">
      <c r="A29" s="305" t="s">
        <v>19</v>
      </c>
      <c r="B29" s="595">
        <f>T_18!D3</f>
        <v>533</v>
      </c>
      <c r="C29" s="976">
        <f>Treatment!B10</f>
        <v>267</v>
      </c>
      <c r="D29" s="976">
        <f>Treatment!C10</f>
        <v>414</v>
      </c>
      <c r="E29" s="976">
        <f>Treatment!D10</f>
        <v>449</v>
      </c>
      <c r="F29" s="976">
        <f>Treatment!E10</f>
        <v>93</v>
      </c>
      <c r="G29" s="976">
        <f>Treatment!F10</f>
        <v>1223</v>
      </c>
      <c r="H29" s="214">
        <f>'Casualties Fire'!F10</f>
        <v>62</v>
      </c>
      <c r="I29" s="977">
        <f>'T02'!C61</f>
        <v>2</v>
      </c>
      <c r="J29" s="996">
        <f>I29+H29</f>
        <v>64</v>
      </c>
      <c r="K29" s="1181">
        <f>'Casualties Non-fire'!B57</f>
        <v>2958</v>
      </c>
      <c r="L29">
        <f>'Casualties Non-fire'!$B$10</f>
        <v>117</v>
      </c>
      <c r="M29">
        <f>'Casualties Non-fire'!$B$13</f>
        <v>21</v>
      </c>
      <c r="N29">
        <f>'Casualties Non-fire'!$B$17</f>
        <v>15</v>
      </c>
      <c r="O29">
        <f>'Casualties Non-fire'!$B$23</f>
        <v>10</v>
      </c>
      <c r="P29" s="1">
        <f>Q29-SUM(L29:O29)</f>
        <v>81</v>
      </c>
      <c r="Q29" s="995">
        <f>'Casualties Non-fire'!$B$31</f>
        <v>244</v>
      </c>
      <c r="R29" s="191">
        <f>Q29+H29+I29</f>
        <v>308</v>
      </c>
      <c r="S29" s="191">
        <f>K29+G29</f>
        <v>4181</v>
      </c>
    </row>
    <row r="30" spans="1:19" ht="13.5" customHeight="1" x14ac:dyDescent="0.25">
      <c r="A30" s="305" t="s">
        <v>20</v>
      </c>
      <c r="B30" s="595">
        <f>T_18!D4</f>
        <v>470</v>
      </c>
      <c r="C30" s="976">
        <f>Treatment!B11</f>
        <v>238</v>
      </c>
      <c r="D30" s="976">
        <f>Treatment!C11</f>
        <v>448</v>
      </c>
      <c r="E30" s="976">
        <f>Treatment!D11</f>
        <v>543</v>
      </c>
      <c r="F30" s="976">
        <f>Treatment!E11</f>
        <v>103</v>
      </c>
      <c r="G30" s="976">
        <f>Treatment!F11</f>
        <v>1332</v>
      </c>
      <c r="H30" s="214">
        <f>'Casualties Fire'!F11</f>
        <v>52</v>
      </c>
      <c r="I30" s="977">
        <f>'T02'!C62</f>
        <v>1</v>
      </c>
      <c r="J30" s="996">
        <f t="shared" ref="J30:J36" si="0">I30+H30</f>
        <v>53</v>
      </c>
      <c r="K30" s="1181">
        <f>'Casualties Non-fire'!$C$57</f>
        <v>2588</v>
      </c>
      <c r="L30">
        <f>'Casualties Non-fire'!$C$10</f>
        <v>123</v>
      </c>
      <c r="M30">
        <f>'Casualties Non-fire'!$C$13</f>
        <v>16</v>
      </c>
      <c r="N30">
        <f>'Casualties Non-fire'!$C$17</f>
        <v>15</v>
      </c>
      <c r="O30">
        <f>'Casualties Non-fire'!$C$23</f>
        <v>6</v>
      </c>
      <c r="P30" s="1">
        <f t="shared" ref="P30:P36" si="1">Q30-SUM(L30:O30)</f>
        <v>80</v>
      </c>
      <c r="Q30" s="995">
        <f>'Casualties Non-fire'!$C$31</f>
        <v>240</v>
      </c>
      <c r="R30" s="191">
        <f t="shared" ref="R30:R35" si="2">Q30+H30+I30</f>
        <v>293</v>
      </c>
      <c r="S30" s="191">
        <f t="shared" ref="S30:S36" si="3">K30+G30</f>
        <v>3920</v>
      </c>
    </row>
    <row r="31" spans="1:19" ht="13.5" customHeight="1" x14ac:dyDescent="0.25">
      <c r="A31" s="305" t="s">
        <v>13</v>
      </c>
      <c r="B31" s="595">
        <f>T_18!D5</f>
        <v>412</v>
      </c>
      <c r="C31" s="976">
        <f>Treatment!B12</f>
        <v>297</v>
      </c>
      <c r="D31" s="976">
        <f>Treatment!C12</f>
        <v>522</v>
      </c>
      <c r="E31" s="976">
        <f>Treatment!D12</f>
        <v>513</v>
      </c>
      <c r="F31" s="976">
        <f>Treatment!E12</f>
        <v>82</v>
      </c>
      <c r="G31" s="976">
        <f>Treatment!F12</f>
        <v>1414</v>
      </c>
      <c r="H31" s="214">
        <f>'Casualties Fire'!F12</f>
        <v>59</v>
      </c>
      <c r="I31" s="977">
        <f>'T02'!C63</f>
        <v>11</v>
      </c>
      <c r="J31" s="996">
        <f t="shared" si="0"/>
        <v>70</v>
      </c>
      <c r="K31" s="1181">
        <f>'Casualties Non-fire'!$D$57</f>
        <v>2470</v>
      </c>
      <c r="L31">
        <f>'Casualties Non-fire'!$D$10</f>
        <v>98</v>
      </c>
      <c r="M31">
        <f>'Casualties Non-fire'!$D$13</f>
        <v>17</v>
      </c>
      <c r="N31">
        <f>'Casualties Non-fire'!$D$17</f>
        <v>15</v>
      </c>
      <c r="O31">
        <f>'Casualties Non-fire'!$D$23</f>
        <v>5</v>
      </c>
      <c r="P31" s="1">
        <f t="shared" si="1"/>
        <v>80</v>
      </c>
      <c r="Q31" s="995">
        <f>'Casualties Non-fire'!$D$31</f>
        <v>215</v>
      </c>
      <c r="R31" s="191">
        <f t="shared" si="2"/>
        <v>285</v>
      </c>
      <c r="S31" s="191">
        <f t="shared" si="3"/>
        <v>3884</v>
      </c>
    </row>
    <row r="32" spans="1:19" ht="13.5" customHeight="1" x14ac:dyDescent="0.25">
      <c r="A32" s="305" t="s">
        <v>15</v>
      </c>
      <c r="B32" s="595">
        <f>T_18!D6</f>
        <v>415</v>
      </c>
      <c r="C32" s="976">
        <f>Treatment!B13</f>
        <v>262</v>
      </c>
      <c r="D32" s="976">
        <f>Treatment!C13</f>
        <v>558</v>
      </c>
      <c r="E32" s="976">
        <f>Treatment!D13</f>
        <v>442</v>
      </c>
      <c r="F32" s="976">
        <f>Treatment!E13</f>
        <v>57</v>
      </c>
      <c r="G32" s="976">
        <f>Treatment!F13</f>
        <v>1319</v>
      </c>
      <c r="H32" s="214">
        <f>'Casualties Fire'!F13</f>
        <v>46</v>
      </c>
      <c r="I32" s="977">
        <f>'T02'!C64</f>
        <v>6</v>
      </c>
      <c r="J32" s="996">
        <f t="shared" si="0"/>
        <v>52</v>
      </c>
      <c r="K32" s="1181">
        <f>'Casualties Non-fire'!$E$57</f>
        <v>2466</v>
      </c>
      <c r="L32">
        <f>'Casualties Non-fire'!$E$10</f>
        <v>90</v>
      </c>
      <c r="M32">
        <f>'Casualties Non-fire'!$E$13</f>
        <v>23</v>
      </c>
      <c r="N32">
        <f>'Casualties Non-fire'!$E$17</f>
        <v>7</v>
      </c>
      <c r="O32">
        <f>'Casualties Non-fire'!$E$23</f>
        <v>5</v>
      </c>
      <c r="P32" s="1">
        <f t="shared" si="1"/>
        <v>69</v>
      </c>
      <c r="Q32" s="995">
        <f>'Casualties Non-fire'!$E$31</f>
        <v>194</v>
      </c>
      <c r="R32" s="191">
        <f t="shared" si="2"/>
        <v>246</v>
      </c>
      <c r="S32" s="191">
        <f t="shared" si="3"/>
        <v>3785</v>
      </c>
    </row>
    <row r="33" spans="1:19" ht="13.5" customHeight="1" x14ac:dyDescent="0.25">
      <c r="A33" s="305" t="s">
        <v>17</v>
      </c>
      <c r="B33" s="595">
        <f>T_18!D7</f>
        <v>274</v>
      </c>
      <c r="C33" s="976">
        <f>Treatment!B14</f>
        <v>221</v>
      </c>
      <c r="D33" s="976">
        <f>Treatment!C14</f>
        <v>570</v>
      </c>
      <c r="E33" s="976">
        <f>Treatment!D14</f>
        <v>443</v>
      </c>
      <c r="F33" s="976">
        <f>Treatment!E14</f>
        <v>76</v>
      </c>
      <c r="G33" s="976">
        <f>Treatment!F14</f>
        <v>1310</v>
      </c>
      <c r="H33" s="214">
        <f>'Casualties Fire'!F14</f>
        <v>31</v>
      </c>
      <c r="I33" s="977">
        <f>'T02'!C65</f>
        <v>13</v>
      </c>
      <c r="J33" s="996">
        <f t="shared" si="0"/>
        <v>44</v>
      </c>
      <c r="K33" s="1181">
        <f>'Casualties Non-fire'!$F$57</f>
        <v>2668</v>
      </c>
      <c r="L33">
        <f>'Casualties Non-fire'!$F$10</f>
        <v>110</v>
      </c>
      <c r="M33">
        <f>'Casualties Non-fire'!$F$13</f>
        <v>18</v>
      </c>
      <c r="N33">
        <f>'Casualties Non-fire'!$F$17</f>
        <v>7</v>
      </c>
      <c r="O33">
        <f>'Casualties Non-fire'!$F$23</f>
        <v>18</v>
      </c>
      <c r="P33" s="1">
        <f t="shared" si="1"/>
        <v>73</v>
      </c>
      <c r="Q33" s="995">
        <f>'Casualties Non-fire'!$F$31</f>
        <v>226</v>
      </c>
      <c r="R33" s="191">
        <f t="shared" si="2"/>
        <v>270</v>
      </c>
      <c r="S33" s="191">
        <f t="shared" si="3"/>
        <v>3978</v>
      </c>
    </row>
    <row r="34" spans="1:19" ht="13.5" customHeight="1" x14ac:dyDescent="0.25">
      <c r="A34" s="305" t="s">
        <v>133</v>
      </c>
      <c r="B34" s="595">
        <f>T_18!D8</f>
        <v>264</v>
      </c>
      <c r="C34" s="976">
        <f>Treatment!B15</f>
        <v>213</v>
      </c>
      <c r="D34" s="976">
        <f>Treatment!C15</f>
        <v>441</v>
      </c>
      <c r="E34" s="976">
        <f>Treatment!D15</f>
        <v>383</v>
      </c>
      <c r="F34" s="976">
        <f>Treatment!E15</f>
        <v>62</v>
      </c>
      <c r="G34" s="976">
        <f>Treatment!F15</f>
        <v>1099</v>
      </c>
      <c r="H34" s="214">
        <f>'Casualties Fire'!F15</f>
        <v>40</v>
      </c>
      <c r="I34" s="977">
        <f>'T02'!C66</f>
        <v>5</v>
      </c>
      <c r="J34" s="996">
        <f t="shared" si="0"/>
        <v>45</v>
      </c>
      <c r="K34" s="1181">
        <f>'Casualties Non-fire'!$G$57</f>
        <v>2808</v>
      </c>
      <c r="L34">
        <f>'Casualties Non-fire'!$G$10</f>
        <v>105</v>
      </c>
      <c r="M34">
        <f>'Casualties Non-fire'!$G$13</f>
        <v>14</v>
      </c>
      <c r="N34">
        <f>'Casualties Non-fire'!$G$17</f>
        <v>20</v>
      </c>
      <c r="O34">
        <f>'Casualties Non-fire'!$G$23</f>
        <v>33</v>
      </c>
      <c r="P34" s="1">
        <f t="shared" si="1"/>
        <v>104</v>
      </c>
      <c r="Q34" s="995">
        <f>'Casualties Non-fire'!$G$31</f>
        <v>276</v>
      </c>
      <c r="R34" s="191">
        <f t="shared" si="2"/>
        <v>321</v>
      </c>
      <c r="S34" s="191">
        <f t="shared" si="3"/>
        <v>3907</v>
      </c>
    </row>
    <row r="35" spans="1:19" ht="13.5" customHeight="1" x14ac:dyDescent="0.25">
      <c r="A35" s="305" t="str">
        <f>Fires!A16</f>
        <v>2015-16</v>
      </c>
      <c r="B35" s="595">
        <f>T_18!D9</f>
        <v>272</v>
      </c>
      <c r="C35" s="976">
        <f>Treatment!B16</f>
        <v>259</v>
      </c>
      <c r="D35" s="976">
        <f>Treatment!C16</f>
        <v>516</v>
      </c>
      <c r="E35" s="976">
        <f>Treatment!D16</f>
        <v>431</v>
      </c>
      <c r="F35" s="976">
        <f>Treatment!E16</f>
        <v>70</v>
      </c>
      <c r="G35" s="976">
        <f>Treatment!F16</f>
        <v>1276</v>
      </c>
      <c r="H35" s="214">
        <f>'Casualties Fire'!F16</f>
        <v>45</v>
      </c>
      <c r="I35" s="977">
        <f>'T02'!C67</f>
        <v>8</v>
      </c>
      <c r="J35" s="996">
        <f t="shared" si="0"/>
        <v>53</v>
      </c>
      <c r="K35" s="1181">
        <f>'Casualties Non-fire'!$H$57</f>
        <v>3373</v>
      </c>
      <c r="L35">
        <f>'Casualties Non-fire'!$H$10</f>
        <v>105</v>
      </c>
      <c r="M35">
        <f>'Casualties Non-fire'!$H$13</f>
        <v>14</v>
      </c>
      <c r="N35">
        <f>'Casualties Non-fire'!$H$17</f>
        <v>79</v>
      </c>
      <c r="O35">
        <f>'Casualties Non-fire'!$H$23</f>
        <v>76</v>
      </c>
      <c r="P35" s="1">
        <f t="shared" si="1"/>
        <v>137</v>
      </c>
      <c r="Q35" s="995">
        <f>'Casualties Non-fire'!$H$31</f>
        <v>411</v>
      </c>
      <c r="R35" s="191">
        <f t="shared" si="2"/>
        <v>464</v>
      </c>
      <c r="S35" s="191">
        <f t="shared" si="3"/>
        <v>4649</v>
      </c>
    </row>
    <row r="36" spans="1:19" ht="13.5" customHeight="1" x14ac:dyDescent="0.25">
      <c r="A36" s="305" t="str">
        <f>Fires!A17</f>
        <v>2016-17</v>
      </c>
      <c r="B36" s="595">
        <f>T_18!D10</f>
        <v>189</v>
      </c>
      <c r="C36" s="976">
        <f>Treatment!B17</f>
        <v>330</v>
      </c>
      <c r="D36" s="976">
        <f>Treatment!C17</f>
        <v>487</v>
      </c>
      <c r="E36" s="976">
        <f>Treatment!D17</f>
        <v>384</v>
      </c>
      <c r="F36" s="976">
        <f>Treatment!E17</f>
        <v>65</v>
      </c>
      <c r="G36" s="976">
        <f>Treatment!F17</f>
        <v>1266</v>
      </c>
      <c r="H36" s="214">
        <f>'Casualties Fire'!F17</f>
        <v>44</v>
      </c>
      <c r="I36" s="977">
        <f>'T02'!C68</f>
        <v>5</v>
      </c>
      <c r="J36" s="996">
        <f t="shared" si="0"/>
        <v>49</v>
      </c>
      <c r="K36" s="1181">
        <f>'Casualties Non-fire'!$I$57</f>
        <v>3593</v>
      </c>
      <c r="L36">
        <f>'Casualties Non-fire'!$I$10</f>
        <v>96</v>
      </c>
      <c r="M36">
        <f>'Casualties Non-fire'!$I$13</f>
        <v>24</v>
      </c>
      <c r="N36">
        <f>'Casualties Non-fire'!$I$17</f>
        <v>130</v>
      </c>
      <c r="O36">
        <f>'Casualties Non-fire'!$I$23</f>
        <v>115</v>
      </c>
      <c r="P36" s="1">
        <f t="shared" si="1"/>
        <v>140</v>
      </c>
      <c r="Q36" s="995">
        <f>'Casualties Non-fire'!$I$31</f>
        <v>505</v>
      </c>
      <c r="R36" s="191">
        <f>Q36+H36+I36</f>
        <v>554</v>
      </c>
      <c r="S36" s="191">
        <f t="shared" si="3"/>
        <v>4859</v>
      </c>
    </row>
    <row r="37" spans="1:19" ht="13.5" customHeight="1" x14ac:dyDescent="0.25">
      <c r="A37" s="305" t="str">
        <f>Fires!A18</f>
        <v>2017-18</v>
      </c>
      <c r="B37" s="595">
        <f>T_18!D11</f>
        <v>257</v>
      </c>
      <c r="C37" s="976">
        <f>Treatment!B18</f>
        <v>235</v>
      </c>
      <c r="D37" s="976">
        <f>Treatment!C18</f>
        <v>462</v>
      </c>
      <c r="E37" s="976">
        <f>Treatment!D18</f>
        <v>356</v>
      </c>
      <c r="F37" s="976">
        <f>Treatment!E18</f>
        <v>63</v>
      </c>
      <c r="G37" s="976">
        <f>Treatment!F18</f>
        <v>1116</v>
      </c>
      <c r="H37" s="214">
        <f>'Casualties Fire'!F18</f>
        <v>44</v>
      </c>
      <c r="I37" s="977">
        <f>'T02'!C69</f>
        <v>4</v>
      </c>
      <c r="J37" s="996">
        <f t="shared" ref="J37:J40" si="4">I37+H37</f>
        <v>48</v>
      </c>
      <c r="K37" s="1181">
        <f>'Casualties Non-fire'!$J$57</f>
        <v>3778</v>
      </c>
      <c r="L37">
        <f>'Casualties Non-fire'!$J$10</f>
        <v>81</v>
      </c>
      <c r="M37">
        <f>'Casualties Non-fire'!$J$13</f>
        <v>24</v>
      </c>
      <c r="N37">
        <f>'Casualties Non-fire'!$J$17</f>
        <v>59</v>
      </c>
      <c r="O37">
        <f>'Casualties Non-fire'!$J$23</f>
        <v>128</v>
      </c>
      <c r="P37" s="1">
        <f>Q37-SUM(L37:O37)</f>
        <v>121</v>
      </c>
      <c r="Q37" s="995">
        <f>'Casualties Non-fire'!$J$31</f>
        <v>413</v>
      </c>
      <c r="R37" s="191">
        <f t="shared" ref="R37:R39" si="5">Q37+H37+I37</f>
        <v>461</v>
      </c>
      <c r="S37" s="191">
        <f t="shared" ref="S37:S39" si="6">K37+G37</f>
        <v>4894</v>
      </c>
    </row>
    <row r="38" spans="1:19" ht="13.5" customHeight="1" x14ac:dyDescent="0.25">
      <c r="A38" s="305" t="str">
        <f>Fires!A19</f>
        <v>2018-19</v>
      </c>
      <c r="B38" s="595">
        <f>T_18!D12</f>
        <v>220</v>
      </c>
      <c r="C38" s="976">
        <f>Treatment!B19</f>
        <v>248</v>
      </c>
      <c r="D38" s="976">
        <f>Treatment!C19</f>
        <v>523</v>
      </c>
      <c r="E38" s="976">
        <f>Treatment!D19</f>
        <v>373</v>
      </c>
      <c r="F38" s="976">
        <f>Treatment!E19</f>
        <v>53</v>
      </c>
      <c r="G38" s="976">
        <f>Treatment!F19</f>
        <v>1197</v>
      </c>
      <c r="H38" s="214">
        <f>'Casualties Fire'!F19</f>
        <v>44</v>
      </c>
      <c r="I38" s="977">
        <f>'T02'!C70</f>
        <v>6</v>
      </c>
      <c r="J38" s="996">
        <f t="shared" si="4"/>
        <v>50</v>
      </c>
      <c r="K38" s="1181">
        <f>'Casualties Non-fire'!$K$57</f>
        <v>3484</v>
      </c>
      <c r="L38">
        <f>'Casualties Non-fire'!$K$10</f>
        <v>83</v>
      </c>
      <c r="M38">
        <f>'Casualties Non-fire'!$K$13</f>
        <v>36</v>
      </c>
      <c r="N38">
        <f>'Casualties Non-fire'!$K$17</f>
        <v>23</v>
      </c>
      <c r="O38">
        <f>'Casualties Non-fire'!$K$23</f>
        <v>133</v>
      </c>
      <c r="P38" s="1">
        <f>Q38-SUM(L38:O38)</f>
        <v>116</v>
      </c>
      <c r="Q38" s="995">
        <f>'Casualties Non-fire'!$K$31</f>
        <v>391</v>
      </c>
      <c r="R38" s="191">
        <f t="shared" si="5"/>
        <v>441</v>
      </c>
      <c r="S38" s="191">
        <f t="shared" si="6"/>
        <v>4681</v>
      </c>
    </row>
    <row r="39" spans="1:19" s="292" customFormat="1" ht="13.5" customHeight="1" x14ac:dyDescent="0.25">
      <c r="A39" s="305" t="str">
        <f>Fires!A20</f>
        <v>2019-20</v>
      </c>
      <c r="B39" s="595">
        <f>T_18!D13</f>
        <v>199</v>
      </c>
      <c r="C39" s="976">
        <f>Treatment!B20</f>
        <v>219</v>
      </c>
      <c r="D39" s="976">
        <f>Treatment!C20</f>
        <v>441</v>
      </c>
      <c r="E39" s="976">
        <f>Treatment!D20</f>
        <v>314</v>
      </c>
      <c r="F39" s="976">
        <f>Treatment!E20</f>
        <v>53</v>
      </c>
      <c r="G39" s="976">
        <f>Treatment!F20</f>
        <v>1027</v>
      </c>
      <c r="H39" s="214">
        <f>'Casualties Fire'!F20</f>
        <v>27</v>
      </c>
      <c r="I39" s="977">
        <f>'T02'!C71</f>
        <v>4</v>
      </c>
      <c r="J39" s="1142">
        <f t="shared" si="4"/>
        <v>31</v>
      </c>
      <c r="K39" s="1181">
        <f>'Casualties Non-fire'!$L$57</f>
        <v>3211</v>
      </c>
      <c r="L39">
        <f>'Casualties Non-fire'!$L$10</f>
        <v>82</v>
      </c>
      <c r="M39">
        <f>'Casualties Non-fire'!$L$13</f>
        <v>31</v>
      </c>
      <c r="N39">
        <f>'Casualties Non-fire'!$L$17</f>
        <v>28</v>
      </c>
      <c r="O39">
        <f>'Casualties Non-fire'!$L$23</f>
        <v>150</v>
      </c>
      <c r="P39" s="1">
        <f>Q39-SUM(L39:O39)</f>
        <v>147</v>
      </c>
      <c r="Q39" s="356">
        <f>'Casualties Non-fire'!$L$31</f>
        <v>438</v>
      </c>
      <c r="R39" s="191">
        <f t="shared" si="5"/>
        <v>469</v>
      </c>
      <c r="S39" s="191">
        <f t="shared" si="6"/>
        <v>4238</v>
      </c>
    </row>
    <row r="40" spans="1:19" s="292" customFormat="1" ht="13.5" customHeight="1" thickBot="1" x14ac:dyDescent="0.3">
      <c r="A40" s="988" t="str">
        <f>Fires!A21</f>
        <v>2020-21</v>
      </c>
      <c r="B40" s="989">
        <f>T_18!D14</f>
        <v>214</v>
      </c>
      <c r="C40" s="1138">
        <f>Treatment!B21</f>
        <v>324</v>
      </c>
      <c r="D40" s="1138">
        <f>Treatment!C21</f>
        <v>343</v>
      </c>
      <c r="E40" s="1138">
        <f>Treatment!D21</f>
        <v>299</v>
      </c>
      <c r="F40" s="1138">
        <f>Treatment!E21</f>
        <v>51</v>
      </c>
      <c r="G40" s="1138">
        <f>Treatment!F21</f>
        <v>1017</v>
      </c>
      <c r="H40" s="332">
        <f>'Casualties Fire'!F21</f>
        <v>53</v>
      </c>
      <c r="I40" s="1139">
        <f>'T02'!C72</f>
        <v>6</v>
      </c>
      <c r="J40" s="1140">
        <f t="shared" si="4"/>
        <v>59</v>
      </c>
      <c r="K40" s="1182">
        <f>'Casualties Non-fire'!$M$57</f>
        <v>1864</v>
      </c>
      <c r="L40" s="991">
        <f>'Casualties Non-fire'!$M$10</f>
        <v>60</v>
      </c>
      <c r="M40" s="991">
        <f>'Casualties Non-fire'!$M$13</f>
        <v>30</v>
      </c>
      <c r="N40" s="991">
        <f>'Casualties Non-fire'!$M$17</f>
        <v>15</v>
      </c>
      <c r="O40" s="991">
        <f>'Casualties Non-fire'!$M$23</f>
        <v>125</v>
      </c>
      <c r="P40" s="990">
        <f>Q40-SUM(L40:O40)</f>
        <v>93</v>
      </c>
      <c r="Q40" s="999">
        <f>'Casualties Non-fire'!$M$31</f>
        <v>323</v>
      </c>
      <c r="R40" s="992">
        <f>Q40+H40+I40</f>
        <v>382</v>
      </c>
      <c r="S40" s="992">
        <f>K40+G40</f>
        <v>2881</v>
      </c>
    </row>
    <row r="41" spans="1:19" s="292" customFormat="1" ht="13.5" customHeight="1" x14ac:dyDescent="0.25">
      <c r="A41" s="305"/>
      <c r="B41" s="595"/>
      <c r="C41" s="976"/>
      <c r="D41" s="601"/>
      <c r="E41" s="601"/>
      <c r="F41" s="601"/>
      <c r="G41" s="601"/>
      <c r="H41" s="1230"/>
      <c r="K41"/>
      <c r="L41"/>
      <c r="M41"/>
      <c r="N41"/>
      <c r="O41"/>
      <c r="P41"/>
      <c r="Q41"/>
      <c r="R41" s="604"/>
      <c r="S41" s="604"/>
    </row>
    <row r="42" spans="1:19" s="292" customFormat="1" ht="15" x14ac:dyDescent="0.25">
      <c r="A42" s="296" t="s">
        <v>146</v>
      </c>
      <c r="B42" s="296"/>
      <c r="D42" s="599"/>
      <c r="E42" s="295"/>
      <c r="F42" s="599"/>
      <c r="G42" s="295"/>
      <c r="H42" s="599"/>
      <c r="I42" s="295"/>
      <c r="J42" s="295"/>
      <c r="K42"/>
      <c r="L42"/>
      <c r="M42"/>
      <c r="N42"/>
      <c r="O42"/>
      <c r="P42"/>
      <c r="Q42"/>
      <c r="R42" s="604"/>
      <c r="S42" s="604"/>
    </row>
    <row r="43" spans="1:19" s="292" customFormat="1" ht="15" x14ac:dyDescent="0.25">
      <c r="A43" s="290"/>
      <c r="B43" s="290"/>
      <c r="C43" s="291" t="s">
        <v>278</v>
      </c>
      <c r="D43" s="599"/>
      <c r="E43" s="295"/>
      <c r="F43" s="599"/>
      <c r="G43" s="295"/>
      <c r="H43" s="295"/>
      <c r="I43" s="295"/>
      <c r="J43" s="295"/>
      <c r="K43" s="295"/>
      <c r="L43" s="295"/>
      <c r="M43" s="295"/>
      <c r="N43" s="295"/>
      <c r="O43" s="295"/>
      <c r="P43" s="295"/>
      <c r="R43" s="295"/>
      <c r="S43" s="295"/>
    </row>
    <row r="44" spans="1:19" s="292" customFormat="1" ht="15" x14ac:dyDescent="0.25">
      <c r="A44" s="293" t="s">
        <v>576</v>
      </c>
      <c r="B44" s="293"/>
      <c r="D44" s="295"/>
      <c r="E44" s="295"/>
      <c r="F44" s="295"/>
      <c r="G44" s="295"/>
      <c r="H44" s="295"/>
      <c r="I44" s="295"/>
      <c r="J44" s="295"/>
      <c r="K44" s="295"/>
      <c r="L44" s="295"/>
      <c r="M44" s="295"/>
      <c r="N44" s="295"/>
      <c r="O44" s="295"/>
      <c r="P44" s="295"/>
      <c r="S44" s="295"/>
    </row>
    <row r="45" spans="1:19" s="292" customFormat="1" ht="15" x14ac:dyDescent="0.25">
      <c r="A45" s="293" t="s">
        <v>512</v>
      </c>
      <c r="B45" s="293"/>
      <c r="D45" s="295"/>
      <c r="E45" s="295"/>
      <c r="F45" s="295"/>
      <c r="G45" s="295"/>
      <c r="H45" s="295"/>
      <c r="I45" s="295"/>
      <c r="J45" s="295"/>
      <c r="K45" s="295"/>
      <c r="L45" s="295"/>
      <c r="M45" s="295"/>
      <c r="N45" s="295"/>
      <c r="O45" s="295"/>
      <c r="P45" s="295"/>
      <c r="R45" s="295"/>
      <c r="S45" s="295"/>
    </row>
    <row r="46" spans="1:19" s="292" customFormat="1" ht="15" x14ac:dyDescent="0.25">
      <c r="A46" s="293"/>
      <c r="B46" s="293"/>
      <c r="D46" s="295"/>
      <c r="E46" s="295"/>
      <c r="F46" s="295"/>
      <c r="G46" s="295"/>
      <c r="H46" s="295"/>
      <c r="I46" s="295"/>
      <c r="J46" s="295"/>
      <c r="K46" s="295"/>
      <c r="L46" s="295"/>
      <c r="M46" s="295"/>
      <c r="N46" s="295"/>
      <c r="O46" s="295"/>
      <c r="P46" s="295"/>
      <c r="R46" s="295"/>
      <c r="S46" s="295"/>
    </row>
    <row r="47" spans="1:19" s="292" customFormat="1" ht="15" x14ac:dyDescent="0.25">
      <c r="A47" s="293"/>
      <c r="B47" s="293"/>
      <c r="D47" s="295"/>
      <c r="E47" s="295"/>
      <c r="F47" s="295"/>
      <c r="G47" s="295"/>
      <c r="H47" s="295"/>
      <c r="I47" s="295"/>
      <c r="J47" s="295"/>
      <c r="K47" s="295"/>
      <c r="L47" s="295"/>
      <c r="M47" s="295"/>
      <c r="N47" s="295"/>
      <c r="O47" s="295"/>
      <c r="P47" s="295"/>
      <c r="R47" s="295"/>
      <c r="S47" s="295"/>
    </row>
    <row r="48" spans="1:19" s="292" customFormat="1" ht="15" x14ac:dyDescent="0.25">
      <c r="A48" s="297"/>
      <c r="B48" s="297"/>
      <c r="E48" s="295"/>
      <c r="K48" s="295"/>
      <c r="L48" s="295"/>
      <c r="M48" s="295"/>
      <c r="N48" s="295"/>
      <c r="O48" s="295"/>
      <c r="P48" s="295"/>
      <c r="R48" s="295"/>
      <c r="S48" s="295"/>
    </row>
    <row r="49" spans="1:19" ht="15" x14ac:dyDescent="0.25">
      <c r="A49" s="288"/>
      <c r="B49" s="288"/>
      <c r="K49" s="292"/>
      <c r="L49" s="292"/>
      <c r="M49" s="292"/>
      <c r="N49" s="292"/>
      <c r="O49" s="292"/>
      <c r="P49" s="292"/>
      <c r="Q49" s="292"/>
      <c r="R49" s="295"/>
      <c r="S49" s="295"/>
    </row>
    <row r="50" spans="1:19" x14ac:dyDescent="0.2">
      <c r="A50" s="289"/>
      <c r="B50" s="289"/>
    </row>
    <row r="51" spans="1:19" x14ac:dyDescent="0.2">
      <c r="A51" s="294"/>
      <c r="B51" s="294"/>
    </row>
  </sheetData>
  <sheetProtection algorithmName="SHA-512" hashValue="6XP/5o1gs240N95MgsUfRlKQodVT8WcNdSFNCmphB4UMWLDgBmWc4Dnzsz6I2uAv68x7b7j3D0ws/wnp0Vpzbg==" saltValue="GdGq8jb4W/u5klTasB6gxA==" spinCount="100000" sheet="1" scenarios="1" formatCells="0" formatColumns="0" formatRows="0" sort="0" autoFilter="0" pivotTables="0"/>
  <mergeCells count="7">
    <mergeCell ref="R8:R9"/>
    <mergeCell ref="S8:S9"/>
    <mergeCell ref="K7:Q7"/>
    <mergeCell ref="B7:J7"/>
    <mergeCell ref="L8:Q8"/>
    <mergeCell ref="B8:G8"/>
    <mergeCell ref="H8:J8"/>
  </mergeCells>
  <hyperlinks>
    <hyperlink ref="A2" location="'Table of Contents'!A1" display="Back to Table of Contents" xr:uid="{00000000-0004-0000-03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E39"/>
  <sheetViews>
    <sheetView workbookViewId="0">
      <selection activeCell="E30" sqref="E30"/>
    </sheetView>
  </sheetViews>
  <sheetFormatPr defaultRowHeight="12.75" x14ac:dyDescent="0.2"/>
  <cols>
    <col min="1" max="1" width="19.5703125" bestFit="1" customWidth="1"/>
    <col min="2" max="2" width="15.85546875" bestFit="1" customWidth="1"/>
    <col min="3" max="3" width="11.85546875" bestFit="1" customWidth="1"/>
    <col min="4" max="4" width="10.7109375" bestFit="1" customWidth="1"/>
    <col min="5" max="5" width="11.85546875" bestFit="1" customWidth="1"/>
    <col min="6" max="6" width="16.7109375" bestFit="1" customWidth="1"/>
    <col min="7" max="7" width="18" bestFit="1" customWidth="1"/>
    <col min="8" max="12" width="6" bestFit="1" customWidth="1"/>
    <col min="13" max="33" width="7" bestFit="1" customWidth="1"/>
    <col min="34" max="34" width="15.85546875" bestFit="1" customWidth="1"/>
    <col min="35" max="35" width="12.42578125" bestFit="1" customWidth="1"/>
    <col min="36" max="36" width="2" bestFit="1" customWidth="1"/>
    <col min="37" max="37" width="3" bestFit="1" customWidth="1"/>
    <col min="38" max="38" width="4" bestFit="1" customWidth="1"/>
    <col min="39" max="41" width="3" bestFit="1" customWidth="1"/>
    <col min="42" max="54" width="4" bestFit="1" customWidth="1"/>
    <col min="55" max="55" width="5" bestFit="1" customWidth="1"/>
    <col min="56" max="60" width="4" bestFit="1" customWidth="1"/>
    <col min="61" max="63" width="5" bestFit="1" customWidth="1"/>
    <col min="64" max="64" width="15.7109375" bestFit="1" customWidth="1"/>
    <col min="65" max="65" width="11.7109375" bestFit="1" customWidth="1"/>
  </cols>
  <sheetData>
    <row r="2" spans="1:5" x14ac:dyDescent="0.2">
      <c r="A2" s="234" t="s">
        <v>4</v>
      </c>
      <c r="B2" t="s">
        <v>1572</v>
      </c>
    </row>
    <row r="4" spans="1:5" x14ac:dyDescent="0.2">
      <c r="B4" s="234" t="s">
        <v>336</v>
      </c>
    </row>
    <row r="5" spans="1:5" x14ac:dyDescent="0.2">
      <c r="B5" t="s">
        <v>61</v>
      </c>
      <c r="D5" t="s">
        <v>116</v>
      </c>
    </row>
    <row r="6" spans="1:5" x14ac:dyDescent="0.2">
      <c r="A6" s="234" t="s">
        <v>326</v>
      </c>
      <c r="B6" t="s">
        <v>335</v>
      </c>
      <c r="C6" t="s">
        <v>344</v>
      </c>
      <c r="D6" t="s">
        <v>335</v>
      </c>
      <c r="E6" t="s">
        <v>344</v>
      </c>
    </row>
    <row r="7" spans="1:5" x14ac:dyDescent="0.2">
      <c r="A7" s="235" t="s">
        <v>23</v>
      </c>
      <c r="B7">
        <v>229060</v>
      </c>
      <c r="C7">
        <v>82</v>
      </c>
      <c r="D7">
        <v>229060</v>
      </c>
      <c r="E7">
        <v>246</v>
      </c>
    </row>
    <row r="8" spans="1:5" x14ac:dyDescent="0.2">
      <c r="A8" s="235" t="s">
        <v>24</v>
      </c>
      <c r="B8">
        <v>260780</v>
      </c>
      <c r="C8">
        <v>138</v>
      </c>
      <c r="D8">
        <v>260780</v>
      </c>
      <c r="E8">
        <v>157</v>
      </c>
    </row>
    <row r="9" spans="1:5" x14ac:dyDescent="0.2">
      <c r="A9" s="235" t="s">
        <v>25</v>
      </c>
      <c r="B9">
        <v>115820</v>
      </c>
      <c r="C9">
        <v>70</v>
      </c>
      <c r="D9">
        <v>115820</v>
      </c>
      <c r="E9">
        <v>134</v>
      </c>
    </row>
    <row r="10" spans="1:5" x14ac:dyDescent="0.2">
      <c r="A10" s="235" t="s">
        <v>26</v>
      </c>
      <c r="B10">
        <v>85430</v>
      </c>
      <c r="C10">
        <v>68</v>
      </c>
      <c r="D10">
        <v>85430</v>
      </c>
      <c r="E10">
        <v>65</v>
      </c>
    </row>
    <row r="11" spans="1:5" x14ac:dyDescent="0.2">
      <c r="A11" s="235" t="s">
        <v>619</v>
      </c>
      <c r="B11">
        <v>527620</v>
      </c>
      <c r="C11">
        <v>432</v>
      </c>
      <c r="D11">
        <v>527620</v>
      </c>
      <c r="E11">
        <v>1034</v>
      </c>
    </row>
    <row r="12" spans="1:5" x14ac:dyDescent="0.2">
      <c r="A12" s="235" t="s">
        <v>27</v>
      </c>
      <c r="B12">
        <v>51290</v>
      </c>
      <c r="C12">
        <v>38</v>
      </c>
      <c r="D12">
        <v>51290</v>
      </c>
      <c r="E12">
        <v>74</v>
      </c>
    </row>
    <row r="13" spans="1:5" x14ac:dyDescent="0.2">
      <c r="A13" s="235" t="s">
        <v>28</v>
      </c>
      <c r="B13">
        <v>148290</v>
      </c>
      <c r="C13">
        <v>85</v>
      </c>
      <c r="D13">
        <v>148290</v>
      </c>
      <c r="E13">
        <v>120</v>
      </c>
    </row>
    <row r="14" spans="1:5" x14ac:dyDescent="0.2">
      <c r="A14" s="235" t="s">
        <v>29</v>
      </c>
      <c r="B14">
        <v>148820</v>
      </c>
      <c r="C14">
        <v>119</v>
      </c>
      <c r="D14">
        <v>148820</v>
      </c>
      <c r="E14">
        <v>579</v>
      </c>
    </row>
    <row r="15" spans="1:5" x14ac:dyDescent="0.2">
      <c r="A15" s="235" t="s">
        <v>30</v>
      </c>
      <c r="B15">
        <v>121600</v>
      </c>
      <c r="C15">
        <v>56</v>
      </c>
      <c r="D15">
        <v>121600</v>
      </c>
      <c r="E15">
        <v>528</v>
      </c>
    </row>
    <row r="16" spans="1:5" x14ac:dyDescent="0.2">
      <c r="A16" s="235" t="s">
        <v>31</v>
      </c>
      <c r="B16">
        <v>108750</v>
      </c>
      <c r="C16">
        <v>36</v>
      </c>
      <c r="D16">
        <v>108750</v>
      </c>
      <c r="E16">
        <v>205</v>
      </c>
    </row>
    <row r="17" spans="1:5" x14ac:dyDescent="0.2">
      <c r="A17" s="235" t="s">
        <v>32</v>
      </c>
      <c r="B17">
        <v>107900</v>
      </c>
      <c r="C17">
        <v>43</v>
      </c>
      <c r="D17">
        <v>107900</v>
      </c>
      <c r="E17">
        <v>152</v>
      </c>
    </row>
    <row r="18" spans="1:5" x14ac:dyDescent="0.2">
      <c r="A18" s="235" t="s">
        <v>33</v>
      </c>
      <c r="B18">
        <v>96060</v>
      </c>
      <c r="C18">
        <v>32</v>
      </c>
      <c r="D18">
        <v>96060</v>
      </c>
      <c r="E18">
        <v>150</v>
      </c>
    </row>
    <row r="19" spans="1:5" x14ac:dyDescent="0.2">
      <c r="A19" s="235" t="s">
        <v>34</v>
      </c>
      <c r="B19">
        <v>160560</v>
      </c>
      <c r="C19">
        <v>110</v>
      </c>
      <c r="D19">
        <v>160560</v>
      </c>
      <c r="E19">
        <v>313</v>
      </c>
    </row>
    <row r="20" spans="1:5" x14ac:dyDescent="0.2">
      <c r="A20" s="235" t="s">
        <v>35</v>
      </c>
      <c r="B20">
        <v>374130</v>
      </c>
      <c r="C20">
        <v>193</v>
      </c>
      <c r="D20">
        <v>374130</v>
      </c>
      <c r="E20">
        <v>826</v>
      </c>
    </row>
    <row r="21" spans="1:5" x14ac:dyDescent="0.2">
      <c r="A21" s="235" t="s">
        <v>36</v>
      </c>
      <c r="B21">
        <v>635640</v>
      </c>
      <c r="C21">
        <v>312</v>
      </c>
      <c r="D21">
        <v>635640</v>
      </c>
      <c r="E21">
        <v>2128</v>
      </c>
    </row>
    <row r="22" spans="1:5" x14ac:dyDescent="0.2">
      <c r="A22" s="235" t="s">
        <v>37</v>
      </c>
      <c r="B22">
        <v>235430</v>
      </c>
      <c r="C22">
        <v>234</v>
      </c>
      <c r="D22">
        <v>235430</v>
      </c>
      <c r="E22">
        <v>162</v>
      </c>
    </row>
    <row r="23" spans="1:5" x14ac:dyDescent="0.2">
      <c r="A23" s="235" t="s">
        <v>38</v>
      </c>
      <c r="B23">
        <v>77060</v>
      </c>
      <c r="C23">
        <v>26</v>
      </c>
      <c r="D23">
        <v>77060</v>
      </c>
      <c r="E23">
        <v>391</v>
      </c>
    </row>
    <row r="24" spans="1:5" x14ac:dyDescent="0.2">
      <c r="A24" s="235" t="s">
        <v>39</v>
      </c>
      <c r="B24">
        <v>93150</v>
      </c>
      <c r="C24">
        <v>45</v>
      </c>
      <c r="D24">
        <v>93150</v>
      </c>
      <c r="E24">
        <v>158</v>
      </c>
    </row>
    <row r="25" spans="1:5" x14ac:dyDescent="0.2">
      <c r="A25" s="235" t="s">
        <v>40</v>
      </c>
      <c r="B25">
        <v>95710</v>
      </c>
      <c r="C25">
        <v>65</v>
      </c>
      <c r="D25">
        <v>95710</v>
      </c>
      <c r="E25">
        <v>63</v>
      </c>
    </row>
    <row r="26" spans="1:5" x14ac:dyDescent="0.2">
      <c r="A26" s="235" t="s">
        <v>295</v>
      </c>
      <c r="B26">
        <v>26500</v>
      </c>
      <c r="C26">
        <v>58</v>
      </c>
      <c r="D26">
        <v>26500</v>
      </c>
      <c r="E26">
        <v>18</v>
      </c>
    </row>
    <row r="27" spans="1:5" x14ac:dyDescent="0.2">
      <c r="A27" s="235" t="s">
        <v>41</v>
      </c>
      <c r="B27">
        <v>134250</v>
      </c>
      <c r="C27">
        <v>54</v>
      </c>
      <c r="D27">
        <v>134250</v>
      </c>
      <c r="E27">
        <v>437</v>
      </c>
    </row>
    <row r="28" spans="1:5" x14ac:dyDescent="0.2">
      <c r="A28" s="235" t="s">
        <v>42</v>
      </c>
      <c r="B28">
        <v>341140</v>
      </c>
      <c r="C28">
        <v>162</v>
      </c>
      <c r="D28">
        <v>341140</v>
      </c>
      <c r="E28">
        <v>1313</v>
      </c>
    </row>
    <row r="29" spans="1:5" x14ac:dyDescent="0.2">
      <c r="A29" s="235" t="s">
        <v>43</v>
      </c>
      <c r="B29">
        <v>22400</v>
      </c>
      <c r="C29">
        <v>8</v>
      </c>
      <c r="D29">
        <v>22400</v>
      </c>
      <c r="E29">
        <v>6</v>
      </c>
    </row>
    <row r="30" spans="1:5" x14ac:dyDescent="0.2">
      <c r="A30" s="235" t="s">
        <v>44</v>
      </c>
      <c r="B30">
        <v>151910</v>
      </c>
      <c r="C30">
        <v>81</v>
      </c>
      <c r="D30">
        <v>151910</v>
      </c>
      <c r="E30">
        <v>64</v>
      </c>
    </row>
    <row r="31" spans="1:5" x14ac:dyDescent="0.2">
      <c r="A31" s="235" t="s">
        <v>45</v>
      </c>
      <c r="B31">
        <v>179390</v>
      </c>
      <c r="C31">
        <v>73</v>
      </c>
      <c r="D31">
        <v>179390</v>
      </c>
      <c r="E31">
        <v>430</v>
      </c>
    </row>
    <row r="32" spans="1:5" x14ac:dyDescent="0.2">
      <c r="A32" s="235" t="s">
        <v>46</v>
      </c>
      <c r="B32">
        <v>115240</v>
      </c>
      <c r="C32">
        <v>30</v>
      </c>
      <c r="D32">
        <v>115240</v>
      </c>
      <c r="E32">
        <v>94</v>
      </c>
    </row>
    <row r="33" spans="1:5" x14ac:dyDescent="0.2">
      <c r="A33" s="235" t="s">
        <v>47</v>
      </c>
      <c r="B33">
        <v>22870</v>
      </c>
      <c r="C33">
        <v>9</v>
      </c>
      <c r="D33">
        <v>22870</v>
      </c>
      <c r="E33">
        <v>6</v>
      </c>
    </row>
    <row r="34" spans="1:5" x14ac:dyDescent="0.2">
      <c r="A34" s="235" t="s">
        <v>48</v>
      </c>
      <c r="B34">
        <v>112140</v>
      </c>
      <c r="C34">
        <v>64</v>
      </c>
      <c r="D34">
        <v>112140</v>
      </c>
      <c r="E34">
        <v>240</v>
      </c>
    </row>
    <row r="35" spans="1:5" x14ac:dyDescent="0.2">
      <c r="A35" s="235" t="s">
        <v>49</v>
      </c>
      <c r="B35">
        <v>320820</v>
      </c>
      <c r="C35">
        <v>126</v>
      </c>
      <c r="D35">
        <v>320820</v>
      </c>
      <c r="E35">
        <v>892</v>
      </c>
    </row>
    <row r="36" spans="1:5" x14ac:dyDescent="0.2">
      <c r="A36" s="235" t="s">
        <v>50</v>
      </c>
      <c r="B36">
        <v>94080</v>
      </c>
      <c r="C36">
        <v>72</v>
      </c>
      <c r="D36">
        <v>94080</v>
      </c>
      <c r="E36">
        <v>124</v>
      </c>
    </row>
    <row r="37" spans="1:5" x14ac:dyDescent="0.2">
      <c r="A37" s="235" t="s">
        <v>51</v>
      </c>
      <c r="B37">
        <v>88340</v>
      </c>
      <c r="C37">
        <v>22</v>
      </c>
      <c r="D37">
        <v>88340</v>
      </c>
      <c r="E37">
        <v>386</v>
      </c>
    </row>
    <row r="38" spans="1:5" x14ac:dyDescent="0.2">
      <c r="A38" s="235" t="s">
        <v>52</v>
      </c>
      <c r="B38">
        <v>183820</v>
      </c>
      <c r="C38">
        <v>130</v>
      </c>
      <c r="D38">
        <v>183820</v>
      </c>
      <c r="E38">
        <v>562</v>
      </c>
    </row>
    <row r="39" spans="1:5" x14ac:dyDescent="0.2">
      <c r="A39" s="235" t="s">
        <v>333</v>
      </c>
      <c r="B39">
        <v>5466000</v>
      </c>
      <c r="C39">
        <v>3073</v>
      </c>
      <c r="D39">
        <v>5466000</v>
      </c>
      <c r="E39">
        <v>12057</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5"/>
  <sheetViews>
    <sheetView workbookViewId="0">
      <selection activeCell="D4" sqref="D4"/>
    </sheetView>
  </sheetViews>
  <sheetFormatPr defaultRowHeight="12.75" x14ac:dyDescent="0.2"/>
  <cols>
    <col min="1" max="1" width="13" bestFit="1" customWidth="1"/>
    <col min="2" max="2" width="15.85546875" bestFit="1" customWidth="1"/>
    <col min="3" max="3" width="11.42578125" bestFit="1" customWidth="1"/>
    <col min="4" max="4" width="17.140625" bestFit="1" customWidth="1"/>
    <col min="5" max="5" width="17.5703125" bestFit="1" customWidth="1"/>
    <col min="6" max="6" width="11.42578125" bestFit="1" customWidth="1"/>
    <col min="7" max="7" width="17.140625" bestFit="1" customWidth="1"/>
    <col min="8" max="8" width="18.5703125" bestFit="1" customWidth="1"/>
    <col min="9" max="9" width="16.42578125" bestFit="1" customWidth="1"/>
    <col min="10" max="10" width="22.140625" bestFit="1" customWidth="1"/>
    <col min="11" max="11" width="20.140625" bestFit="1" customWidth="1"/>
    <col min="12" max="12" width="18.5703125" bestFit="1" customWidth="1"/>
    <col min="13" max="13" width="16.42578125" bestFit="1" customWidth="1"/>
    <col min="14" max="14" width="21.85546875" bestFit="1" customWidth="1"/>
    <col min="15" max="15" width="23.85546875" bestFit="1" customWidth="1"/>
    <col min="16" max="16" width="25.28515625" bestFit="1" customWidth="1"/>
  </cols>
  <sheetData>
    <row r="1" spans="1:10" x14ac:dyDescent="0.2">
      <c r="B1" s="234" t="s">
        <v>336</v>
      </c>
    </row>
    <row r="2" spans="1:10" x14ac:dyDescent="0.2">
      <c r="B2" t="s">
        <v>421</v>
      </c>
      <c r="E2" t="s">
        <v>414</v>
      </c>
      <c r="H2" t="s">
        <v>663</v>
      </c>
      <c r="I2" t="s">
        <v>662</v>
      </c>
      <c r="J2" t="s">
        <v>661</v>
      </c>
    </row>
    <row r="3" spans="1:10" x14ac:dyDescent="0.2">
      <c r="A3" s="234" t="s">
        <v>326</v>
      </c>
      <c r="B3" t="s">
        <v>415</v>
      </c>
      <c r="C3" t="s">
        <v>416</v>
      </c>
      <c r="D3" t="s">
        <v>419</v>
      </c>
      <c r="E3" t="s">
        <v>415</v>
      </c>
      <c r="F3" t="s">
        <v>416</v>
      </c>
      <c r="G3" t="s">
        <v>419</v>
      </c>
    </row>
    <row r="4" spans="1:10" x14ac:dyDescent="0.2">
      <c r="A4" s="235" t="s">
        <v>19</v>
      </c>
      <c r="C4">
        <v>1</v>
      </c>
      <c r="D4">
        <v>1</v>
      </c>
      <c r="E4">
        <v>24</v>
      </c>
      <c r="F4">
        <v>37</v>
      </c>
      <c r="G4">
        <v>61</v>
      </c>
      <c r="H4">
        <v>24</v>
      </c>
      <c r="I4">
        <v>38</v>
      </c>
      <c r="J4">
        <v>62</v>
      </c>
    </row>
    <row r="5" spans="1:10" x14ac:dyDescent="0.2">
      <c r="A5" s="235" t="s">
        <v>20</v>
      </c>
      <c r="E5">
        <v>17</v>
      </c>
      <c r="F5">
        <v>35</v>
      </c>
      <c r="G5">
        <v>52</v>
      </c>
      <c r="H5">
        <v>17</v>
      </c>
      <c r="I5">
        <v>35</v>
      </c>
      <c r="J5">
        <v>52</v>
      </c>
    </row>
    <row r="6" spans="1:10" x14ac:dyDescent="0.2">
      <c r="A6" s="235" t="s">
        <v>13</v>
      </c>
      <c r="E6">
        <v>21</v>
      </c>
      <c r="F6">
        <v>38</v>
      </c>
      <c r="G6">
        <v>59</v>
      </c>
      <c r="H6">
        <v>21</v>
      </c>
      <c r="I6">
        <v>38</v>
      </c>
      <c r="J6">
        <v>59</v>
      </c>
    </row>
    <row r="7" spans="1:10" x14ac:dyDescent="0.2">
      <c r="A7" s="235" t="s">
        <v>15</v>
      </c>
      <c r="E7">
        <v>23</v>
      </c>
      <c r="F7">
        <v>23</v>
      </c>
      <c r="G7">
        <v>46</v>
      </c>
      <c r="H7">
        <v>23</v>
      </c>
      <c r="I7">
        <v>23</v>
      </c>
      <c r="J7">
        <v>46</v>
      </c>
    </row>
    <row r="8" spans="1:10" x14ac:dyDescent="0.2">
      <c r="A8" s="235" t="s">
        <v>17</v>
      </c>
      <c r="E8">
        <v>18</v>
      </c>
      <c r="F8">
        <v>13</v>
      </c>
      <c r="G8">
        <v>31</v>
      </c>
      <c r="H8">
        <v>18</v>
      </c>
      <c r="I8">
        <v>13</v>
      </c>
      <c r="J8">
        <v>31</v>
      </c>
    </row>
    <row r="9" spans="1:10" x14ac:dyDescent="0.2">
      <c r="A9" s="235" t="s">
        <v>133</v>
      </c>
      <c r="E9">
        <v>16</v>
      </c>
      <c r="F9">
        <v>24</v>
      </c>
      <c r="G9">
        <v>40</v>
      </c>
      <c r="H9">
        <v>16</v>
      </c>
      <c r="I9">
        <v>24</v>
      </c>
      <c r="J9">
        <v>40</v>
      </c>
    </row>
    <row r="10" spans="1:10" x14ac:dyDescent="0.2">
      <c r="A10" s="235" t="s">
        <v>144</v>
      </c>
      <c r="E10">
        <v>20</v>
      </c>
      <c r="F10">
        <v>25</v>
      </c>
      <c r="G10">
        <v>45</v>
      </c>
      <c r="H10">
        <v>20</v>
      </c>
      <c r="I10">
        <v>25</v>
      </c>
      <c r="J10">
        <v>45</v>
      </c>
    </row>
    <row r="11" spans="1:10" x14ac:dyDescent="0.2">
      <c r="A11" s="235" t="s">
        <v>282</v>
      </c>
      <c r="E11">
        <v>16</v>
      </c>
      <c r="F11">
        <v>28</v>
      </c>
      <c r="G11">
        <v>44</v>
      </c>
      <c r="H11">
        <v>16</v>
      </c>
      <c r="I11">
        <v>28</v>
      </c>
      <c r="J11">
        <v>44</v>
      </c>
    </row>
    <row r="12" spans="1:10" x14ac:dyDescent="0.2">
      <c r="A12" s="235" t="s">
        <v>311</v>
      </c>
      <c r="E12">
        <v>18</v>
      </c>
      <c r="F12">
        <v>26</v>
      </c>
      <c r="G12">
        <v>44</v>
      </c>
      <c r="H12">
        <v>18</v>
      </c>
      <c r="I12">
        <v>26</v>
      </c>
      <c r="J12">
        <v>44</v>
      </c>
    </row>
    <row r="13" spans="1:10" x14ac:dyDescent="0.2">
      <c r="A13" s="235" t="s">
        <v>621</v>
      </c>
      <c r="E13">
        <v>15</v>
      </c>
      <c r="F13">
        <v>29</v>
      </c>
      <c r="G13">
        <v>44</v>
      </c>
      <c r="H13">
        <v>15</v>
      </c>
      <c r="I13">
        <v>29</v>
      </c>
      <c r="J13">
        <v>44</v>
      </c>
    </row>
    <row r="14" spans="1:10" x14ac:dyDescent="0.2">
      <c r="A14" s="235" t="s">
        <v>1419</v>
      </c>
      <c r="E14">
        <v>7</v>
      </c>
      <c r="F14">
        <v>20</v>
      </c>
      <c r="G14">
        <v>27</v>
      </c>
      <c r="H14">
        <v>7</v>
      </c>
      <c r="I14">
        <v>20</v>
      </c>
      <c r="J14">
        <v>27</v>
      </c>
    </row>
    <row r="15" spans="1:10" x14ac:dyDescent="0.2">
      <c r="A15" s="235" t="s">
        <v>1572</v>
      </c>
      <c r="E15">
        <v>13</v>
      </c>
      <c r="F15">
        <v>40</v>
      </c>
      <c r="G15">
        <v>53</v>
      </c>
      <c r="H15">
        <v>13</v>
      </c>
      <c r="I15">
        <v>40</v>
      </c>
      <c r="J15">
        <v>53</v>
      </c>
    </row>
    <row r="16" spans="1:10" x14ac:dyDescent="0.2">
      <c r="A16" s="235" t="s">
        <v>333</v>
      </c>
      <c r="C16">
        <v>1</v>
      </c>
      <c r="D16">
        <v>1</v>
      </c>
      <c r="E16">
        <v>208</v>
      </c>
      <c r="F16">
        <v>338</v>
      </c>
      <c r="G16">
        <v>546</v>
      </c>
      <c r="H16">
        <v>208</v>
      </c>
      <c r="I16">
        <v>339</v>
      </c>
      <c r="J16">
        <v>547</v>
      </c>
    </row>
    <row r="20" spans="1:16" x14ac:dyDescent="0.2">
      <c r="B20" s="234" t="s">
        <v>336</v>
      </c>
    </row>
    <row r="21" spans="1:16" x14ac:dyDescent="0.2">
      <c r="B21" t="s">
        <v>421</v>
      </c>
      <c r="G21" t="s">
        <v>414</v>
      </c>
      <c r="L21" t="s">
        <v>663</v>
      </c>
      <c r="M21" t="s">
        <v>662</v>
      </c>
      <c r="N21" t="s">
        <v>664</v>
      </c>
      <c r="O21" t="s">
        <v>666</v>
      </c>
      <c r="P21" t="s">
        <v>665</v>
      </c>
    </row>
    <row r="22" spans="1:16" x14ac:dyDescent="0.2">
      <c r="A22" s="234" t="s">
        <v>326</v>
      </c>
      <c r="B22" t="s">
        <v>415</v>
      </c>
      <c r="C22" t="s">
        <v>416</v>
      </c>
      <c r="D22" t="s">
        <v>420</v>
      </c>
      <c r="E22" t="s">
        <v>422</v>
      </c>
      <c r="F22" t="s">
        <v>423</v>
      </c>
      <c r="G22" t="s">
        <v>415</v>
      </c>
      <c r="H22" t="s">
        <v>416</v>
      </c>
      <c r="I22" t="s">
        <v>420</v>
      </c>
      <c r="J22" t="s">
        <v>422</v>
      </c>
      <c r="K22" t="s">
        <v>423</v>
      </c>
    </row>
    <row r="23" spans="1:16" x14ac:dyDescent="0.2">
      <c r="A23" s="235" t="s">
        <v>19</v>
      </c>
      <c r="C23">
        <v>18</v>
      </c>
      <c r="F23">
        <v>18</v>
      </c>
      <c r="G23">
        <v>523</v>
      </c>
      <c r="H23">
        <v>672</v>
      </c>
      <c r="I23">
        <v>7</v>
      </c>
      <c r="J23">
        <v>3</v>
      </c>
      <c r="K23">
        <v>1205</v>
      </c>
      <c r="L23">
        <v>523</v>
      </c>
      <c r="M23">
        <v>690</v>
      </c>
      <c r="N23">
        <v>7</v>
      </c>
      <c r="O23">
        <v>3</v>
      </c>
      <c r="P23">
        <v>1223</v>
      </c>
    </row>
    <row r="24" spans="1:16" x14ac:dyDescent="0.2">
      <c r="A24" s="235" t="s">
        <v>20</v>
      </c>
      <c r="C24">
        <v>28</v>
      </c>
      <c r="F24">
        <v>28</v>
      </c>
      <c r="G24">
        <v>570</v>
      </c>
      <c r="H24">
        <v>729</v>
      </c>
      <c r="I24">
        <v>4</v>
      </c>
      <c r="J24">
        <v>1</v>
      </c>
      <c r="K24">
        <v>1304</v>
      </c>
      <c r="L24">
        <v>570</v>
      </c>
      <c r="M24">
        <v>757</v>
      </c>
      <c r="N24">
        <v>4</v>
      </c>
      <c r="O24">
        <v>1</v>
      </c>
      <c r="P24">
        <v>1332</v>
      </c>
    </row>
    <row r="25" spans="1:16" x14ac:dyDescent="0.2">
      <c r="A25" s="235" t="s">
        <v>13</v>
      </c>
      <c r="C25">
        <v>28</v>
      </c>
      <c r="F25">
        <v>28</v>
      </c>
      <c r="G25">
        <v>649</v>
      </c>
      <c r="H25">
        <v>714</v>
      </c>
      <c r="I25">
        <v>21</v>
      </c>
      <c r="J25">
        <v>2</v>
      </c>
      <c r="K25">
        <v>1386</v>
      </c>
      <c r="L25">
        <v>649</v>
      </c>
      <c r="M25">
        <v>742</v>
      </c>
      <c r="N25">
        <v>21</v>
      </c>
      <c r="O25">
        <v>2</v>
      </c>
      <c r="P25">
        <v>1414</v>
      </c>
    </row>
    <row r="26" spans="1:16" x14ac:dyDescent="0.2">
      <c r="A26" s="235" t="s">
        <v>15</v>
      </c>
      <c r="C26">
        <v>18</v>
      </c>
      <c r="F26">
        <v>18</v>
      </c>
      <c r="G26">
        <v>597</v>
      </c>
      <c r="H26">
        <v>697</v>
      </c>
      <c r="I26">
        <v>7</v>
      </c>
      <c r="K26">
        <v>1301</v>
      </c>
      <c r="L26">
        <v>597</v>
      </c>
      <c r="M26">
        <v>715</v>
      </c>
      <c r="N26">
        <v>7</v>
      </c>
      <c r="P26">
        <v>1319</v>
      </c>
    </row>
    <row r="27" spans="1:16" x14ac:dyDescent="0.2">
      <c r="A27" s="235" t="s">
        <v>17</v>
      </c>
      <c r="B27">
        <v>1</v>
      </c>
      <c r="C27">
        <v>14</v>
      </c>
      <c r="F27">
        <v>15</v>
      </c>
      <c r="G27">
        <v>574</v>
      </c>
      <c r="H27">
        <v>706</v>
      </c>
      <c r="I27">
        <v>8</v>
      </c>
      <c r="J27">
        <v>7</v>
      </c>
      <c r="K27">
        <v>1295</v>
      </c>
      <c r="L27">
        <v>575</v>
      </c>
      <c r="M27">
        <v>720</v>
      </c>
      <c r="N27">
        <v>8</v>
      </c>
      <c r="O27">
        <v>7</v>
      </c>
      <c r="P27">
        <v>1310</v>
      </c>
    </row>
    <row r="28" spans="1:16" x14ac:dyDescent="0.2">
      <c r="A28" s="235" t="s">
        <v>133</v>
      </c>
      <c r="C28">
        <v>12</v>
      </c>
      <c r="F28">
        <v>12</v>
      </c>
      <c r="G28">
        <v>463</v>
      </c>
      <c r="H28">
        <v>617</v>
      </c>
      <c r="I28">
        <v>6</v>
      </c>
      <c r="J28">
        <v>1</v>
      </c>
      <c r="K28">
        <v>1087</v>
      </c>
      <c r="L28">
        <v>463</v>
      </c>
      <c r="M28">
        <v>629</v>
      </c>
      <c r="N28">
        <v>6</v>
      </c>
      <c r="O28">
        <v>1</v>
      </c>
      <c r="P28">
        <v>1099</v>
      </c>
    </row>
    <row r="29" spans="1:16" x14ac:dyDescent="0.2">
      <c r="A29" s="235" t="s">
        <v>144</v>
      </c>
      <c r="B29">
        <v>2</v>
      </c>
      <c r="C29">
        <v>8</v>
      </c>
      <c r="F29">
        <v>10</v>
      </c>
      <c r="G29">
        <v>551</v>
      </c>
      <c r="H29">
        <v>710</v>
      </c>
      <c r="I29">
        <v>4</v>
      </c>
      <c r="J29">
        <v>1</v>
      </c>
      <c r="K29">
        <v>1266</v>
      </c>
      <c r="L29">
        <v>553</v>
      </c>
      <c r="M29">
        <v>718</v>
      </c>
      <c r="N29">
        <v>4</v>
      </c>
      <c r="O29">
        <v>1</v>
      </c>
      <c r="P29">
        <v>1276</v>
      </c>
    </row>
    <row r="30" spans="1:16" x14ac:dyDescent="0.2">
      <c r="A30" s="235" t="s">
        <v>282</v>
      </c>
      <c r="C30">
        <v>17</v>
      </c>
      <c r="D30">
        <v>1</v>
      </c>
      <c r="F30">
        <v>18</v>
      </c>
      <c r="G30">
        <v>548</v>
      </c>
      <c r="H30">
        <v>695</v>
      </c>
      <c r="I30">
        <v>5</v>
      </c>
      <c r="K30">
        <v>1248</v>
      </c>
      <c r="L30">
        <v>548</v>
      </c>
      <c r="M30">
        <v>712</v>
      </c>
      <c r="N30">
        <v>6</v>
      </c>
      <c r="P30">
        <v>1266</v>
      </c>
    </row>
    <row r="31" spans="1:16" x14ac:dyDescent="0.2">
      <c r="A31" s="235" t="s">
        <v>311</v>
      </c>
      <c r="B31">
        <v>1</v>
      </c>
      <c r="C31">
        <v>23</v>
      </c>
      <c r="D31">
        <v>3</v>
      </c>
      <c r="E31">
        <v>1</v>
      </c>
      <c r="F31">
        <v>28</v>
      </c>
      <c r="G31">
        <v>478</v>
      </c>
      <c r="H31">
        <v>599</v>
      </c>
      <c r="I31">
        <v>10</v>
      </c>
      <c r="J31">
        <v>1</v>
      </c>
      <c r="K31">
        <v>1088</v>
      </c>
      <c r="L31">
        <v>479</v>
      </c>
      <c r="M31">
        <v>622</v>
      </c>
      <c r="N31">
        <v>13</v>
      </c>
      <c r="O31">
        <v>2</v>
      </c>
      <c r="P31">
        <v>1116</v>
      </c>
    </row>
    <row r="32" spans="1:16" x14ac:dyDescent="0.2">
      <c r="A32" s="235" t="s">
        <v>621</v>
      </c>
      <c r="C32">
        <v>20</v>
      </c>
      <c r="E32">
        <v>1</v>
      </c>
      <c r="F32">
        <v>21</v>
      </c>
      <c r="G32">
        <v>512</v>
      </c>
      <c r="H32">
        <v>647</v>
      </c>
      <c r="I32">
        <v>16</v>
      </c>
      <c r="J32">
        <v>1</v>
      </c>
      <c r="K32">
        <v>1176</v>
      </c>
      <c r="L32">
        <v>512</v>
      </c>
      <c r="M32">
        <v>667</v>
      </c>
      <c r="N32">
        <v>16</v>
      </c>
      <c r="O32">
        <v>2</v>
      </c>
      <c r="P32">
        <v>1197</v>
      </c>
    </row>
    <row r="33" spans="1:16" x14ac:dyDescent="0.2">
      <c r="A33" s="235" t="s">
        <v>1419</v>
      </c>
      <c r="C33">
        <v>12</v>
      </c>
      <c r="E33">
        <v>1</v>
      </c>
      <c r="F33">
        <v>13</v>
      </c>
      <c r="G33">
        <v>437</v>
      </c>
      <c r="H33">
        <v>555</v>
      </c>
      <c r="I33">
        <v>16</v>
      </c>
      <c r="J33">
        <v>6</v>
      </c>
      <c r="K33">
        <v>1014</v>
      </c>
      <c r="L33">
        <v>437</v>
      </c>
      <c r="M33">
        <v>567</v>
      </c>
      <c r="N33">
        <v>16</v>
      </c>
      <c r="O33">
        <v>7</v>
      </c>
      <c r="P33">
        <v>1027</v>
      </c>
    </row>
    <row r="34" spans="1:16" x14ac:dyDescent="0.2">
      <c r="A34" s="235" t="s">
        <v>1572</v>
      </c>
      <c r="C34">
        <v>5</v>
      </c>
      <c r="D34">
        <v>3</v>
      </c>
      <c r="F34">
        <v>8</v>
      </c>
      <c r="G34">
        <v>422</v>
      </c>
      <c r="H34">
        <v>554</v>
      </c>
      <c r="I34">
        <v>33</v>
      </c>
      <c r="K34">
        <v>1009</v>
      </c>
      <c r="L34">
        <v>422</v>
      </c>
      <c r="M34">
        <v>559</v>
      </c>
      <c r="N34">
        <v>36</v>
      </c>
      <c r="P34">
        <v>1017</v>
      </c>
    </row>
    <row r="35" spans="1:16" x14ac:dyDescent="0.2">
      <c r="A35" s="235" t="s">
        <v>333</v>
      </c>
      <c r="B35">
        <v>4</v>
      </c>
      <c r="C35">
        <v>203</v>
      </c>
      <c r="D35">
        <v>7</v>
      </c>
      <c r="E35">
        <v>3</v>
      </c>
      <c r="F35">
        <v>217</v>
      </c>
      <c r="G35">
        <v>6324</v>
      </c>
      <c r="H35">
        <v>7895</v>
      </c>
      <c r="I35">
        <v>137</v>
      </c>
      <c r="J35">
        <v>23</v>
      </c>
      <c r="K35">
        <v>14379</v>
      </c>
      <c r="L35">
        <v>6328</v>
      </c>
      <c r="M35">
        <v>8098</v>
      </c>
      <c r="N35">
        <v>144</v>
      </c>
      <c r="O35">
        <v>26</v>
      </c>
      <c r="P35">
        <v>14596</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K45"/>
  <sheetViews>
    <sheetView zoomScale="80" zoomScaleNormal="80" workbookViewId="0">
      <selection activeCell="A43" sqref="A43:XFD43"/>
    </sheetView>
  </sheetViews>
  <sheetFormatPr defaultRowHeight="12.75" x14ac:dyDescent="0.2"/>
  <cols>
    <col min="1" max="1" width="42.85546875" bestFit="1" customWidth="1"/>
    <col min="2" max="2" width="17" bestFit="1" customWidth="1"/>
    <col min="3" max="3" width="11.5703125" bestFit="1" customWidth="1"/>
    <col min="4" max="4" width="17.140625" bestFit="1" customWidth="1"/>
    <col min="5" max="5" width="19.140625" bestFit="1" customWidth="1"/>
    <col min="6" max="6" width="20.42578125" bestFit="1" customWidth="1"/>
    <col min="7" max="7" width="18.28515625" bestFit="1" customWidth="1"/>
    <col min="8" max="8" width="11.5703125" bestFit="1" customWidth="1"/>
    <col min="9" max="9" width="17.140625" bestFit="1" customWidth="1"/>
    <col min="10" max="10" width="19.140625" bestFit="1" customWidth="1"/>
    <col min="11" max="11" width="20.42578125" bestFit="1" customWidth="1"/>
    <col min="12" max="12" width="20.28515625" bestFit="1" customWidth="1"/>
    <col min="13" max="13" width="17.85546875" bestFit="1" customWidth="1"/>
    <col min="14" max="14" width="23.140625" bestFit="1" customWidth="1"/>
    <col min="15" max="15" width="25.28515625" bestFit="1" customWidth="1"/>
    <col min="16" max="16" width="26.85546875" bestFit="1" customWidth="1"/>
  </cols>
  <sheetData>
    <row r="2" spans="1:4" x14ac:dyDescent="0.2">
      <c r="A2" s="234" t="s">
        <v>4</v>
      </c>
      <c r="B2" t="s">
        <v>1572</v>
      </c>
    </row>
    <row r="4" spans="1:4" x14ac:dyDescent="0.2">
      <c r="B4" s="234" t="s">
        <v>336</v>
      </c>
    </row>
    <row r="5" spans="1:4" x14ac:dyDescent="0.2">
      <c r="B5" t="s">
        <v>414</v>
      </c>
    </row>
    <row r="6" spans="1:4" x14ac:dyDescent="0.2">
      <c r="A6" s="234" t="s">
        <v>326</v>
      </c>
      <c r="B6" t="s">
        <v>415</v>
      </c>
      <c r="C6" t="s">
        <v>416</v>
      </c>
      <c r="D6" t="s">
        <v>419</v>
      </c>
    </row>
    <row r="7" spans="1:4" x14ac:dyDescent="0.2">
      <c r="A7" s="235" t="s">
        <v>162</v>
      </c>
      <c r="B7">
        <v>2</v>
      </c>
      <c r="C7">
        <v>15</v>
      </c>
      <c r="D7">
        <v>17</v>
      </c>
    </row>
    <row r="8" spans="1:4" x14ac:dyDescent="0.2">
      <c r="A8" s="235" t="s">
        <v>417</v>
      </c>
      <c r="B8">
        <v>3</v>
      </c>
      <c r="C8">
        <v>5</v>
      </c>
      <c r="D8">
        <v>8</v>
      </c>
    </row>
    <row r="9" spans="1:4" x14ac:dyDescent="0.2">
      <c r="A9" s="235" t="s">
        <v>418</v>
      </c>
      <c r="B9">
        <v>7</v>
      </c>
      <c r="C9">
        <v>13</v>
      </c>
      <c r="D9">
        <v>20</v>
      </c>
    </row>
    <row r="10" spans="1:4" x14ac:dyDescent="0.2">
      <c r="A10" s="235" t="s">
        <v>201</v>
      </c>
      <c r="B10">
        <v>1</v>
      </c>
      <c r="C10">
        <v>7</v>
      </c>
      <c r="D10">
        <v>8</v>
      </c>
    </row>
    <row r="11" spans="1:4" x14ac:dyDescent="0.2">
      <c r="A11" s="235" t="s">
        <v>333</v>
      </c>
      <c r="B11">
        <v>13</v>
      </c>
      <c r="C11">
        <v>40</v>
      </c>
      <c r="D11">
        <v>53</v>
      </c>
    </row>
    <row r="20" spans="1:11" x14ac:dyDescent="0.2">
      <c r="A20" s="234" t="s">
        <v>4</v>
      </c>
      <c r="B20" t="s">
        <v>1572</v>
      </c>
    </row>
    <row r="22" spans="1:11" x14ac:dyDescent="0.2">
      <c r="B22" s="234" t="s">
        <v>336</v>
      </c>
    </row>
    <row r="23" spans="1:11" x14ac:dyDescent="0.2">
      <c r="B23" t="s">
        <v>421</v>
      </c>
      <c r="G23" t="s">
        <v>414</v>
      </c>
    </row>
    <row r="24" spans="1:11" x14ac:dyDescent="0.2">
      <c r="A24" s="234" t="s">
        <v>326</v>
      </c>
      <c r="B24" t="s">
        <v>415</v>
      </c>
      <c r="C24" t="s">
        <v>416</v>
      </c>
      <c r="D24" t="s">
        <v>420</v>
      </c>
      <c r="E24" t="s">
        <v>422</v>
      </c>
      <c r="F24" t="s">
        <v>423</v>
      </c>
      <c r="G24" t="s">
        <v>415</v>
      </c>
      <c r="H24" t="s">
        <v>416</v>
      </c>
      <c r="I24" t="s">
        <v>420</v>
      </c>
      <c r="J24" t="s">
        <v>422</v>
      </c>
      <c r="K24" t="s">
        <v>423</v>
      </c>
    </row>
    <row r="25" spans="1:11" x14ac:dyDescent="0.2">
      <c r="A25" s="235" t="s">
        <v>424</v>
      </c>
      <c r="D25">
        <v>1</v>
      </c>
      <c r="F25">
        <v>1</v>
      </c>
      <c r="G25">
        <v>44</v>
      </c>
      <c r="H25">
        <v>93</v>
      </c>
      <c r="I25">
        <v>4</v>
      </c>
      <c r="K25">
        <v>141</v>
      </c>
    </row>
    <row r="26" spans="1:11" x14ac:dyDescent="0.2">
      <c r="A26" s="235" t="s">
        <v>425</v>
      </c>
      <c r="G26">
        <v>8</v>
      </c>
      <c r="H26">
        <v>12</v>
      </c>
      <c r="K26">
        <v>20</v>
      </c>
    </row>
    <row r="27" spans="1:11" x14ac:dyDescent="0.2">
      <c r="A27" s="235" t="s">
        <v>426</v>
      </c>
      <c r="G27">
        <v>217</v>
      </c>
      <c r="H27">
        <v>267</v>
      </c>
      <c r="I27">
        <v>26</v>
      </c>
      <c r="K27">
        <v>510</v>
      </c>
    </row>
    <row r="28" spans="1:11" x14ac:dyDescent="0.2">
      <c r="A28" s="235" t="s">
        <v>427</v>
      </c>
      <c r="C28">
        <v>3</v>
      </c>
      <c r="D28">
        <v>1</v>
      </c>
      <c r="F28">
        <v>4</v>
      </c>
      <c r="G28">
        <v>10</v>
      </c>
      <c r="H28">
        <v>23</v>
      </c>
      <c r="K28">
        <v>33</v>
      </c>
    </row>
    <row r="29" spans="1:11" x14ac:dyDescent="0.2">
      <c r="A29" s="235" t="s">
        <v>428</v>
      </c>
      <c r="G29">
        <v>11</v>
      </c>
      <c r="H29">
        <v>3</v>
      </c>
      <c r="K29">
        <v>14</v>
      </c>
    </row>
    <row r="30" spans="1:11" x14ac:dyDescent="0.2">
      <c r="A30" s="235" t="s">
        <v>429</v>
      </c>
      <c r="C30">
        <v>2</v>
      </c>
      <c r="D30">
        <v>1</v>
      </c>
      <c r="F30">
        <v>3</v>
      </c>
      <c r="G30">
        <v>71</v>
      </c>
      <c r="H30">
        <v>81</v>
      </c>
      <c r="I30">
        <v>1</v>
      </c>
      <c r="K30">
        <v>153</v>
      </c>
    </row>
    <row r="31" spans="1:11" x14ac:dyDescent="0.2">
      <c r="A31" s="235" t="s">
        <v>430</v>
      </c>
      <c r="G31">
        <v>61</v>
      </c>
      <c r="H31">
        <v>75</v>
      </c>
      <c r="I31">
        <v>2</v>
      </c>
      <c r="K31">
        <v>138</v>
      </c>
    </row>
    <row r="32" spans="1:11" x14ac:dyDescent="0.2">
      <c r="A32" s="235" t="s">
        <v>333</v>
      </c>
      <c r="C32">
        <v>5</v>
      </c>
      <c r="D32">
        <v>3</v>
      </c>
      <c r="F32">
        <v>8</v>
      </c>
      <c r="G32">
        <v>422</v>
      </c>
      <c r="H32">
        <v>554</v>
      </c>
      <c r="I32">
        <v>33</v>
      </c>
      <c r="K32">
        <v>1009</v>
      </c>
    </row>
    <row r="38" spans="1:9" x14ac:dyDescent="0.2">
      <c r="A38" s="234" t="s">
        <v>4</v>
      </c>
      <c r="B38" t="s">
        <v>1572</v>
      </c>
    </row>
    <row r="40" spans="1:9" x14ac:dyDescent="0.2">
      <c r="A40" s="234" t="s">
        <v>326</v>
      </c>
      <c r="B40" t="s">
        <v>440</v>
      </c>
      <c r="C40" t="s">
        <v>441</v>
      </c>
      <c r="D40" t="s">
        <v>442</v>
      </c>
      <c r="E40" t="s">
        <v>443</v>
      </c>
      <c r="F40" t="s">
        <v>436</v>
      </c>
      <c r="G40" t="s">
        <v>437</v>
      </c>
      <c r="H40" t="s">
        <v>438</v>
      </c>
      <c r="I40" t="s">
        <v>439</v>
      </c>
    </row>
    <row r="41" spans="1:9" x14ac:dyDescent="0.2">
      <c r="A41" s="235" t="s">
        <v>432</v>
      </c>
      <c r="B41">
        <v>135</v>
      </c>
      <c r="C41">
        <v>169</v>
      </c>
      <c r="D41">
        <v>18</v>
      </c>
      <c r="H41">
        <v>2</v>
      </c>
    </row>
    <row r="42" spans="1:9" x14ac:dyDescent="0.2">
      <c r="A42" s="235" t="s">
        <v>433</v>
      </c>
      <c r="B42">
        <v>165</v>
      </c>
      <c r="C42">
        <v>166</v>
      </c>
      <c r="D42">
        <v>12</v>
      </c>
    </row>
    <row r="43" spans="1:9" x14ac:dyDescent="0.2">
      <c r="A43" s="235" t="s">
        <v>434</v>
      </c>
      <c r="B43">
        <v>106</v>
      </c>
      <c r="C43">
        <v>184</v>
      </c>
      <c r="D43">
        <v>3</v>
      </c>
      <c r="G43">
        <v>5</v>
      </c>
      <c r="H43">
        <v>1</v>
      </c>
    </row>
    <row r="44" spans="1:9" x14ac:dyDescent="0.2">
      <c r="A44" s="235" t="s">
        <v>435</v>
      </c>
      <c r="B44">
        <v>16</v>
      </c>
      <c r="C44">
        <v>35</v>
      </c>
    </row>
    <row r="45" spans="1:9" x14ac:dyDescent="0.2">
      <c r="A45" s="235" t="s">
        <v>333</v>
      </c>
      <c r="B45">
        <v>422</v>
      </c>
      <c r="C45">
        <v>554</v>
      </c>
      <c r="D45">
        <v>33</v>
      </c>
      <c r="G45">
        <v>5</v>
      </c>
      <c r="H45">
        <v>3</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45"/>
  <sheetViews>
    <sheetView topLeftCell="A4" workbookViewId="0">
      <selection activeCell="E30" sqref="E30"/>
    </sheetView>
  </sheetViews>
  <sheetFormatPr defaultColWidth="9.140625" defaultRowHeight="12.75" x14ac:dyDescent="0.2"/>
  <cols>
    <col min="1" max="1" width="42.85546875" bestFit="1" customWidth="1"/>
    <col min="2" max="2" width="18.5703125" bestFit="1" customWidth="1"/>
    <col min="3" max="3" width="11.42578125" bestFit="1" customWidth="1"/>
    <col min="4" max="4" width="14.5703125" bestFit="1" customWidth="1"/>
    <col min="5" max="5" width="12.42578125" bestFit="1" customWidth="1"/>
    <col min="6" max="6" width="20.140625" bestFit="1" customWidth="1"/>
    <col min="7" max="7" width="35.85546875" bestFit="1" customWidth="1"/>
    <col min="8" max="11" width="3" bestFit="1" customWidth="1"/>
    <col min="12" max="12" width="12" bestFit="1" customWidth="1"/>
    <col min="13" max="18" width="3" bestFit="1" customWidth="1"/>
    <col min="19" max="21" width="4" bestFit="1" customWidth="1"/>
    <col min="22" max="22" width="7.140625" bestFit="1" customWidth="1"/>
    <col min="23" max="23" width="11.7109375" bestFit="1" customWidth="1"/>
  </cols>
  <sheetData>
    <row r="1" spans="1:6" x14ac:dyDescent="0.2">
      <c r="A1" s="234" t="s">
        <v>444</v>
      </c>
      <c r="B1" t="s">
        <v>373</v>
      </c>
    </row>
    <row r="2" spans="1:6" x14ac:dyDescent="0.2">
      <c r="A2" s="234" t="s">
        <v>4</v>
      </c>
      <c r="B2" t="s">
        <v>1572</v>
      </c>
    </row>
    <row r="4" spans="1:6" x14ac:dyDescent="0.2">
      <c r="A4" s="234" t="s">
        <v>326</v>
      </c>
      <c r="B4" t="s">
        <v>415</v>
      </c>
      <c r="C4" t="s">
        <v>416</v>
      </c>
      <c r="D4" t="s">
        <v>561</v>
      </c>
      <c r="E4" t="s">
        <v>562</v>
      </c>
      <c r="F4" t="s">
        <v>419</v>
      </c>
    </row>
    <row r="5" spans="1:6" x14ac:dyDescent="0.2">
      <c r="A5" s="235" t="s">
        <v>162</v>
      </c>
      <c r="B5">
        <v>2</v>
      </c>
      <c r="C5">
        <v>15</v>
      </c>
      <c r="D5">
        <v>2800788</v>
      </c>
      <c r="E5">
        <v>2665212</v>
      </c>
      <c r="F5">
        <v>17</v>
      </c>
    </row>
    <row r="6" spans="1:6" x14ac:dyDescent="0.2">
      <c r="A6" s="235" t="s">
        <v>417</v>
      </c>
      <c r="B6">
        <v>3</v>
      </c>
      <c r="C6">
        <v>5</v>
      </c>
      <c r="D6">
        <v>2800788</v>
      </c>
      <c r="E6">
        <v>2665212</v>
      </c>
      <c r="F6">
        <v>8</v>
      </c>
    </row>
    <row r="7" spans="1:6" x14ac:dyDescent="0.2">
      <c r="A7" s="235" t="s">
        <v>418</v>
      </c>
      <c r="B7">
        <v>7</v>
      </c>
      <c r="C7">
        <v>13</v>
      </c>
      <c r="D7">
        <v>2800788</v>
      </c>
      <c r="E7">
        <v>2665212</v>
      </c>
      <c r="F7">
        <v>20</v>
      </c>
    </row>
    <row r="8" spans="1:6" x14ac:dyDescent="0.2">
      <c r="A8" s="235" t="s">
        <v>201</v>
      </c>
      <c r="B8">
        <v>1</v>
      </c>
      <c r="C8">
        <v>7</v>
      </c>
      <c r="D8">
        <v>2800788</v>
      </c>
      <c r="E8">
        <v>2665212</v>
      </c>
      <c r="F8">
        <v>8</v>
      </c>
    </row>
    <row r="9" spans="1:6" x14ac:dyDescent="0.2">
      <c r="A9" s="235" t="s">
        <v>333</v>
      </c>
      <c r="B9">
        <v>13</v>
      </c>
      <c r="C9">
        <v>40</v>
      </c>
      <c r="D9">
        <v>11203152</v>
      </c>
      <c r="E9">
        <v>10660848</v>
      </c>
      <c r="F9">
        <v>53</v>
      </c>
    </row>
    <row r="17" spans="1:6" x14ac:dyDescent="0.2">
      <c r="A17" s="234" t="s">
        <v>4</v>
      </c>
      <c r="B17" t="s">
        <v>1572</v>
      </c>
    </row>
    <row r="18" spans="1:6" x14ac:dyDescent="0.2">
      <c r="A18" s="234" t="s">
        <v>563</v>
      </c>
      <c r="B18" t="s">
        <v>414</v>
      </c>
    </row>
    <row r="20" spans="1:6" x14ac:dyDescent="0.2">
      <c r="A20" s="234" t="s">
        <v>326</v>
      </c>
      <c r="B20" t="s">
        <v>415</v>
      </c>
      <c r="C20" t="s">
        <v>416</v>
      </c>
      <c r="D20" t="s">
        <v>561</v>
      </c>
      <c r="E20" t="s">
        <v>562</v>
      </c>
      <c r="F20" t="s">
        <v>423</v>
      </c>
    </row>
    <row r="21" spans="1:6" x14ac:dyDescent="0.2">
      <c r="A21" s="235" t="s">
        <v>424</v>
      </c>
      <c r="B21">
        <v>44</v>
      </c>
      <c r="C21">
        <v>93</v>
      </c>
      <c r="D21" s="92">
        <v>2800788</v>
      </c>
      <c r="E21" s="92">
        <v>2665212</v>
      </c>
      <c r="F21">
        <v>141</v>
      </c>
    </row>
    <row r="22" spans="1:6" x14ac:dyDescent="0.2">
      <c r="A22" s="235" t="s">
        <v>425</v>
      </c>
      <c r="B22">
        <v>8</v>
      </c>
      <c r="C22">
        <v>12</v>
      </c>
      <c r="D22" s="92">
        <v>2800788</v>
      </c>
      <c r="E22" s="92">
        <v>2665212</v>
      </c>
      <c r="F22">
        <v>20</v>
      </c>
    </row>
    <row r="23" spans="1:6" x14ac:dyDescent="0.2">
      <c r="A23" s="235" t="s">
        <v>426</v>
      </c>
      <c r="B23">
        <v>217</v>
      </c>
      <c r="C23">
        <v>267</v>
      </c>
      <c r="D23" s="92">
        <v>2800788</v>
      </c>
      <c r="E23" s="92">
        <v>2665212</v>
      </c>
      <c r="F23">
        <v>510</v>
      </c>
    </row>
    <row r="24" spans="1:6" x14ac:dyDescent="0.2">
      <c r="A24" s="235" t="s">
        <v>427</v>
      </c>
      <c r="B24">
        <v>10</v>
      </c>
      <c r="C24">
        <v>23</v>
      </c>
      <c r="D24" s="92">
        <v>2800788</v>
      </c>
      <c r="E24" s="92">
        <v>2665212</v>
      </c>
      <c r="F24">
        <v>33</v>
      </c>
    </row>
    <row r="25" spans="1:6" x14ac:dyDescent="0.2">
      <c r="A25" s="235" t="s">
        <v>428</v>
      </c>
      <c r="B25">
        <v>11</v>
      </c>
      <c r="C25">
        <v>3</v>
      </c>
      <c r="D25" s="92">
        <v>2800788</v>
      </c>
      <c r="E25" s="92">
        <v>2665212</v>
      </c>
      <c r="F25">
        <v>14</v>
      </c>
    </row>
    <row r="26" spans="1:6" x14ac:dyDescent="0.2">
      <c r="A26" s="235" t="s">
        <v>429</v>
      </c>
      <c r="B26">
        <v>71</v>
      </c>
      <c r="C26">
        <v>81</v>
      </c>
      <c r="D26" s="92">
        <v>2800788</v>
      </c>
      <c r="E26" s="92">
        <v>2665212</v>
      </c>
      <c r="F26">
        <v>153</v>
      </c>
    </row>
    <row r="27" spans="1:6" x14ac:dyDescent="0.2">
      <c r="A27" s="235" t="s">
        <v>430</v>
      </c>
      <c r="B27">
        <v>61</v>
      </c>
      <c r="C27">
        <v>75</v>
      </c>
      <c r="D27" s="92">
        <v>2800788</v>
      </c>
      <c r="E27" s="92">
        <v>2665212</v>
      </c>
      <c r="F27">
        <v>138</v>
      </c>
    </row>
    <row r="28" spans="1:6" x14ac:dyDescent="0.2">
      <c r="A28" s="235" t="s">
        <v>333</v>
      </c>
      <c r="B28">
        <v>422</v>
      </c>
      <c r="C28">
        <v>554</v>
      </c>
      <c r="D28">
        <v>19605516</v>
      </c>
      <c r="E28">
        <v>18656484</v>
      </c>
      <c r="F28">
        <v>1009</v>
      </c>
    </row>
    <row r="29" spans="1:6" x14ac:dyDescent="0.2">
      <c r="A29" s="235"/>
    </row>
    <row r="38" spans="1:7" x14ac:dyDescent="0.2">
      <c r="A38" s="234" t="s">
        <v>4</v>
      </c>
      <c r="B38" t="s">
        <v>1572</v>
      </c>
    </row>
    <row r="40" spans="1:7" x14ac:dyDescent="0.2">
      <c r="A40" s="234" t="s">
        <v>326</v>
      </c>
      <c r="B40" t="s">
        <v>440</v>
      </c>
      <c r="C40" t="s">
        <v>441</v>
      </c>
      <c r="D40" t="s">
        <v>561</v>
      </c>
      <c r="E40" t="s">
        <v>562</v>
      </c>
      <c r="F40" t="s">
        <v>442</v>
      </c>
      <c r="G40" t="s">
        <v>443</v>
      </c>
    </row>
    <row r="41" spans="1:7" x14ac:dyDescent="0.2">
      <c r="A41" s="235" t="s">
        <v>432</v>
      </c>
      <c r="B41">
        <v>135</v>
      </c>
      <c r="C41">
        <v>169</v>
      </c>
      <c r="D41">
        <v>2800788</v>
      </c>
      <c r="E41">
        <v>2665212</v>
      </c>
      <c r="F41">
        <v>18</v>
      </c>
    </row>
    <row r="42" spans="1:7" x14ac:dyDescent="0.2">
      <c r="A42" s="235" t="s">
        <v>433</v>
      </c>
      <c r="B42">
        <v>165</v>
      </c>
      <c r="C42">
        <v>166</v>
      </c>
      <c r="D42">
        <v>2800788</v>
      </c>
      <c r="E42">
        <v>2665212</v>
      </c>
      <c r="F42">
        <v>12</v>
      </c>
    </row>
    <row r="43" spans="1:7" x14ac:dyDescent="0.2">
      <c r="A43" s="235" t="s">
        <v>434</v>
      </c>
      <c r="B43">
        <v>106</v>
      </c>
      <c r="C43">
        <v>184</v>
      </c>
      <c r="D43">
        <v>2800788</v>
      </c>
      <c r="E43">
        <v>2665212</v>
      </c>
      <c r="F43">
        <v>3</v>
      </c>
    </row>
    <row r="44" spans="1:7" x14ac:dyDescent="0.2">
      <c r="A44" s="235" t="s">
        <v>435</v>
      </c>
      <c r="B44">
        <v>16</v>
      </c>
      <c r="C44">
        <v>35</v>
      </c>
      <c r="D44">
        <v>2800788</v>
      </c>
      <c r="E44">
        <v>2665212</v>
      </c>
    </row>
    <row r="45" spans="1:7" x14ac:dyDescent="0.2">
      <c r="A45" s="235" t="s">
        <v>333</v>
      </c>
      <c r="B45">
        <v>422</v>
      </c>
      <c r="C45">
        <v>554</v>
      </c>
      <c r="D45">
        <v>11203152</v>
      </c>
      <c r="E45">
        <v>10660848</v>
      </c>
      <c r="F45">
        <v>33</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pageSetUpPr fitToPage="1"/>
  </sheetPr>
  <dimension ref="A1:Q40"/>
  <sheetViews>
    <sheetView showGridLines="0" zoomScaleNormal="100" workbookViewId="0">
      <pane ySplit="2" topLeftCell="A6" activePane="bottomLeft" state="frozen"/>
      <selection activeCell="E30" sqref="E30"/>
      <selection pane="bottomLeft" activeCell="N39" sqref="N39"/>
    </sheetView>
  </sheetViews>
  <sheetFormatPr defaultColWidth="9.140625" defaultRowHeight="12.75" x14ac:dyDescent="0.2"/>
  <cols>
    <col min="1" max="1" width="12" customWidth="1"/>
    <col min="6" max="6" width="11.42578125" customWidth="1"/>
    <col min="8" max="8" width="3.7109375" customWidth="1"/>
    <col min="9" max="9" width="16.140625" customWidth="1"/>
    <col min="10" max="10" width="3" customWidth="1"/>
    <col min="11" max="11" width="14.85546875" customWidth="1"/>
    <col min="12" max="12" width="12.7109375" customWidth="1"/>
    <col min="13" max="13" width="13" bestFit="1" customWidth="1"/>
    <col min="14" max="14" width="20.140625" bestFit="1" customWidth="1"/>
    <col min="15" max="15" width="11.7109375" customWidth="1"/>
    <col min="16" max="16" width="10.85546875" customWidth="1"/>
    <col min="24" max="24" width="10.140625" customWidth="1"/>
    <col min="26" max="26" width="17.42578125" customWidth="1"/>
  </cols>
  <sheetData>
    <row r="1" spans="1:17" ht="15.75" x14ac:dyDescent="0.2">
      <c r="A1" s="298" t="s">
        <v>577</v>
      </c>
    </row>
    <row r="2" spans="1:17" x14ac:dyDescent="0.2">
      <c r="A2" s="106" t="s">
        <v>578</v>
      </c>
    </row>
    <row r="3" spans="1:17" ht="38.25" customHeight="1" x14ac:dyDescent="0.2">
      <c r="A3" s="237" t="s">
        <v>1094</v>
      </c>
      <c r="B3" s="237"/>
      <c r="C3" s="237"/>
      <c r="D3" s="237"/>
      <c r="E3" s="237"/>
      <c r="F3" s="237"/>
      <c r="G3" s="237"/>
      <c r="H3" s="237"/>
      <c r="I3" s="237"/>
      <c r="J3" s="237"/>
      <c r="K3" s="237"/>
      <c r="L3" s="237"/>
      <c r="M3" s="237"/>
      <c r="N3" s="237"/>
      <c r="O3" s="237"/>
      <c r="P3" s="237"/>
      <c r="Q3" s="120"/>
    </row>
    <row r="4" spans="1:17" ht="16.5" customHeight="1" x14ac:dyDescent="0.25">
      <c r="A4" s="717" t="s">
        <v>579</v>
      </c>
      <c r="B4" s="718"/>
      <c r="C4" s="237" t="s">
        <v>1095</v>
      </c>
      <c r="D4" s="120" t="s">
        <v>1096</v>
      </c>
      <c r="E4" s="373"/>
      <c r="F4" s="373"/>
      <c r="G4" s="373"/>
      <c r="H4" s="373"/>
      <c r="I4" s="373"/>
      <c r="J4" s="373"/>
      <c r="K4" s="373"/>
      <c r="L4" s="373"/>
      <c r="M4" s="373"/>
      <c r="N4" s="373"/>
      <c r="O4" s="373"/>
      <c r="P4" s="373"/>
      <c r="Q4" s="120"/>
    </row>
    <row r="5" spans="1:17" ht="16.5" customHeight="1" x14ac:dyDescent="0.25">
      <c r="A5" s="717" t="s">
        <v>580</v>
      </c>
      <c r="B5" s="717" t="s">
        <v>581</v>
      </c>
      <c r="C5" s="373"/>
      <c r="D5" s="373"/>
      <c r="E5" s="373"/>
      <c r="F5" s="373"/>
      <c r="G5" s="373"/>
      <c r="H5" s="373"/>
      <c r="I5" s="373"/>
      <c r="J5" s="373"/>
      <c r="K5" s="373"/>
      <c r="L5" s="373"/>
      <c r="M5" s="373"/>
      <c r="N5" s="373"/>
      <c r="O5" s="373"/>
      <c r="P5" s="373"/>
      <c r="Q5" s="120"/>
    </row>
    <row r="6" spans="1:17" ht="16.5" customHeight="1" x14ac:dyDescent="0.25">
      <c r="A6" s="717" t="s">
        <v>582</v>
      </c>
      <c r="B6" s="717" t="s">
        <v>585</v>
      </c>
      <c r="C6" s="373"/>
      <c r="D6" s="373"/>
      <c r="E6" s="373"/>
      <c r="F6" s="373"/>
      <c r="G6" s="373"/>
      <c r="H6" s="373"/>
      <c r="I6" s="373"/>
      <c r="J6" s="373"/>
      <c r="K6" s="373"/>
      <c r="L6" s="373"/>
      <c r="M6" s="373"/>
      <c r="N6" s="373"/>
      <c r="O6" s="373"/>
      <c r="P6" s="373"/>
      <c r="Q6" s="120"/>
    </row>
    <row r="7" spans="1:17" ht="16.5" customHeight="1" x14ac:dyDescent="0.25">
      <c r="A7" s="717"/>
      <c r="B7" s="1312" t="s">
        <v>59</v>
      </c>
      <c r="C7" s="1312"/>
      <c r="D7" s="1312"/>
      <c r="E7" s="1312"/>
      <c r="F7" s="1312"/>
      <c r="G7" s="1312"/>
      <c r="H7" s="1312"/>
      <c r="I7" s="1312"/>
      <c r="J7" s="373"/>
      <c r="K7" s="373"/>
      <c r="L7" s="373"/>
      <c r="O7" s="373"/>
      <c r="P7" s="373"/>
      <c r="Q7" s="120"/>
    </row>
    <row r="8" spans="1:17" ht="15" x14ac:dyDescent="0.25">
      <c r="A8" s="31"/>
      <c r="B8" s="31"/>
      <c r="C8" s="31"/>
      <c r="D8" s="31"/>
      <c r="E8" s="31"/>
      <c r="F8" s="31"/>
      <c r="G8" s="31"/>
      <c r="H8" s="31"/>
      <c r="I8" s="31"/>
      <c r="J8" s="31"/>
      <c r="K8" s="83" t="s">
        <v>0</v>
      </c>
      <c r="L8" s="31"/>
      <c r="M8" s="31"/>
      <c r="N8" s="31"/>
      <c r="O8" s="31"/>
      <c r="Q8" s="1"/>
    </row>
    <row r="9" spans="1:17" ht="13.5" customHeight="1" x14ac:dyDescent="0.2">
      <c r="A9" s="1313" t="s">
        <v>4</v>
      </c>
      <c r="B9" s="1311" t="s">
        <v>164</v>
      </c>
      <c r="C9" s="1289"/>
      <c r="D9" s="1289"/>
      <c r="E9" s="1289"/>
      <c r="F9" s="1289"/>
      <c r="G9" s="1290"/>
      <c r="H9" s="194"/>
      <c r="I9" s="141" t="s">
        <v>163</v>
      </c>
      <c r="J9" s="100"/>
      <c r="K9" s="1277" t="s">
        <v>54</v>
      </c>
      <c r="L9" s="2"/>
      <c r="Q9" s="1"/>
    </row>
    <row r="10" spans="1:17" ht="25.5" x14ac:dyDescent="0.2">
      <c r="A10" s="1314"/>
      <c r="B10" s="215" t="s">
        <v>175</v>
      </c>
      <c r="C10" s="215" t="s">
        <v>176</v>
      </c>
      <c r="D10" s="215" t="s">
        <v>177</v>
      </c>
      <c r="E10" s="215" t="s">
        <v>178</v>
      </c>
      <c r="F10" s="215" t="s">
        <v>169</v>
      </c>
      <c r="G10" s="215" t="s">
        <v>11</v>
      </c>
      <c r="H10" s="64"/>
      <c r="I10" s="215" t="s">
        <v>11</v>
      </c>
      <c r="J10" s="64"/>
      <c r="K10" s="1291"/>
      <c r="L10" s="1"/>
    </row>
    <row r="11" spans="1:17" ht="18.75" customHeight="1" x14ac:dyDescent="0.2">
      <c r="A11" s="2" t="s">
        <v>16</v>
      </c>
      <c r="B11" s="155">
        <v>0</v>
      </c>
      <c r="C11" s="70">
        <v>8</v>
      </c>
      <c r="D11" s="70">
        <v>33</v>
      </c>
      <c r="E11" s="70">
        <v>30</v>
      </c>
      <c r="F11" s="70">
        <v>0</v>
      </c>
      <c r="G11" s="377">
        <f>SUM(B11:F11)</f>
        <v>71</v>
      </c>
      <c r="H11" s="31"/>
      <c r="I11" s="579">
        <v>0</v>
      </c>
      <c r="J11" s="31"/>
      <c r="K11" s="377">
        <f>I11+G11</f>
        <v>71</v>
      </c>
      <c r="L11" s="1"/>
    </row>
    <row r="12" spans="1:17" ht="13.5" customHeight="1" x14ac:dyDescent="0.2">
      <c r="A12" s="2" t="s">
        <v>18</v>
      </c>
      <c r="B12" s="70">
        <v>2</v>
      </c>
      <c r="C12" s="70">
        <v>5</v>
      </c>
      <c r="D12" s="70">
        <v>28</v>
      </c>
      <c r="E12" s="70">
        <v>29</v>
      </c>
      <c r="F12" s="155">
        <v>0</v>
      </c>
      <c r="G12" s="377">
        <f>SUM(B12:F12)</f>
        <v>64</v>
      </c>
      <c r="H12" s="31"/>
      <c r="I12" s="579">
        <v>0</v>
      </c>
      <c r="J12" s="31"/>
      <c r="K12" s="377">
        <f t="shared" ref="K12:K22" si="0">I12+G12</f>
        <v>64</v>
      </c>
      <c r="L12" s="1"/>
    </row>
    <row r="13" spans="1:17" ht="13.5" customHeight="1" x14ac:dyDescent="0.2">
      <c r="A13" s="29" t="str">
        <f>[2]T16!B6</f>
        <v>2009-10</v>
      </c>
      <c r="B13" s="155">
        <f>[2]T16!D6</f>
        <v>2</v>
      </c>
      <c r="C13" s="155">
        <f>[2]T16!E6</f>
        <v>4</v>
      </c>
      <c r="D13" s="155">
        <f>[2]T16!F6</f>
        <v>27</v>
      </c>
      <c r="E13" s="155">
        <f>[2]T16!G6</f>
        <v>28</v>
      </c>
      <c r="F13" s="155" t="e">
        <f>[2]T16!H6</f>
        <v>#REF!</v>
      </c>
      <c r="G13" s="377" t="e">
        <f t="shared" ref="G13:G22" si="1">SUM(B13:F13)</f>
        <v>#REF!</v>
      </c>
      <c r="H13" s="31"/>
      <c r="I13" s="146">
        <f>[2]T16!$C$5</f>
        <v>1</v>
      </c>
      <c r="J13" s="31"/>
      <c r="K13" s="377" t="e">
        <f t="shared" si="0"/>
        <v>#REF!</v>
      </c>
      <c r="L13" s="1"/>
    </row>
    <row r="14" spans="1:17" ht="13.5" customHeight="1" x14ac:dyDescent="0.2">
      <c r="A14" s="29" t="str">
        <f>[2]T16!B7</f>
        <v>2010-11</v>
      </c>
      <c r="B14" s="155">
        <f>[2]T16!D7</f>
        <v>0</v>
      </c>
      <c r="C14" s="155">
        <f>[2]T16!E7</f>
        <v>6</v>
      </c>
      <c r="D14" s="155">
        <f>[2]T16!F7</f>
        <v>23</v>
      </c>
      <c r="E14" s="155">
        <f>[2]T16!G7</f>
        <v>23</v>
      </c>
      <c r="F14" s="155" t="e">
        <f>[2]T16!H7</f>
        <v>#REF!</v>
      </c>
      <c r="G14" s="377" t="e">
        <f t="shared" si="1"/>
        <v>#REF!</v>
      </c>
      <c r="H14" s="31"/>
      <c r="I14" s="579">
        <v>0</v>
      </c>
      <c r="J14" s="31"/>
      <c r="K14" s="377" t="e">
        <f t="shared" si="0"/>
        <v>#REF!</v>
      </c>
      <c r="L14" s="1"/>
    </row>
    <row r="15" spans="1:17" ht="13.5" customHeight="1" x14ac:dyDescent="0.2">
      <c r="A15" s="29" t="str">
        <f>[2]T16!B8</f>
        <v>2011-12</v>
      </c>
      <c r="B15" s="155">
        <f>[2]T16!D8</f>
        <v>3</v>
      </c>
      <c r="C15" s="155">
        <f>[2]T16!E8</f>
        <v>3</v>
      </c>
      <c r="D15" s="155">
        <f>[2]T16!F8</f>
        <v>23</v>
      </c>
      <c r="E15" s="155">
        <f>[2]T16!G8</f>
        <v>30</v>
      </c>
      <c r="F15" s="155" t="e">
        <f>[2]T16!H8</f>
        <v>#REF!</v>
      </c>
      <c r="G15" s="377" t="e">
        <f t="shared" si="1"/>
        <v>#REF!</v>
      </c>
      <c r="H15" s="31"/>
      <c r="I15" s="579">
        <v>0</v>
      </c>
      <c r="J15" s="31"/>
      <c r="K15" s="377" t="e">
        <f t="shared" si="0"/>
        <v>#REF!</v>
      </c>
      <c r="L15" s="1"/>
    </row>
    <row r="16" spans="1:17" ht="13.5" customHeight="1" x14ac:dyDescent="0.2">
      <c r="A16" s="29" t="str">
        <f>[2]T16!B9</f>
        <v>2012-13</v>
      </c>
      <c r="B16" s="155">
        <f>[2]T16!D9</f>
        <v>0</v>
      </c>
      <c r="C16" s="155">
        <f>[2]T16!E9</f>
        <v>1</v>
      </c>
      <c r="D16" s="155">
        <f>[2]T16!F9</f>
        <v>19</v>
      </c>
      <c r="E16" s="155">
        <f>[2]T16!G9</f>
        <v>26</v>
      </c>
      <c r="F16" s="155" t="e">
        <f>[2]T16!H9</f>
        <v>#REF!</v>
      </c>
      <c r="G16" s="377" t="e">
        <f t="shared" si="1"/>
        <v>#REF!</v>
      </c>
      <c r="H16" s="31"/>
      <c r="I16" s="146">
        <v>0</v>
      </c>
      <c r="J16" s="31"/>
      <c r="K16" s="377" t="e">
        <f t="shared" si="0"/>
        <v>#REF!</v>
      </c>
      <c r="L16" s="1"/>
    </row>
    <row r="17" spans="1:17" ht="13.5" customHeight="1" x14ac:dyDescent="0.2">
      <c r="A17" s="29" t="str">
        <f>[2]T16!B10</f>
        <v>2013-14</v>
      </c>
      <c r="B17" s="155">
        <f>[2]T16!D10</f>
        <v>0</v>
      </c>
      <c r="C17" s="155">
        <f>[2]T16!E10</f>
        <v>0</v>
      </c>
      <c r="D17" s="155">
        <f>[2]T16!F10</f>
        <v>15</v>
      </c>
      <c r="E17" s="155">
        <f>[2]T16!G10</f>
        <v>16</v>
      </c>
      <c r="F17" s="155" t="e">
        <f>[2]T16!H10</f>
        <v>#REF!</v>
      </c>
      <c r="G17" s="377" t="e">
        <f t="shared" si="1"/>
        <v>#REF!</v>
      </c>
      <c r="H17" s="31"/>
      <c r="I17" s="146">
        <v>0</v>
      </c>
      <c r="J17" s="31"/>
      <c r="K17" s="377" t="e">
        <f t="shared" si="0"/>
        <v>#REF!</v>
      </c>
      <c r="L17" s="1"/>
    </row>
    <row r="18" spans="1:17" ht="13.5" customHeight="1" x14ac:dyDescent="0.2">
      <c r="A18" s="29" t="str">
        <f>[2]T16!B11</f>
        <v>2014-15</v>
      </c>
      <c r="B18" s="155">
        <f>[2]T16!D11</f>
        <v>1</v>
      </c>
      <c r="C18" s="155">
        <f>[2]T16!E11</f>
        <v>2</v>
      </c>
      <c r="D18" s="155">
        <f>[2]T16!F11</f>
        <v>14</v>
      </c>
      <c r="E18" s="155">
        <f>[2]T16!G11</f>
        <v>23</v>
      </c>
      <c r="F18" s="155" t="e">
        <f>[2]T16!H11</f>
        <v>#REF!</v>
      </c>
      <c r="G18" s="377" t="e">
        <f t="shared" si="1"/>
        <v>#REF!</v>
      </c>
      <c r="H18" s="31"/>
      <c r="I18" s="579">
        <v>0</v>
      </c>
      <c r="J18" s="31"/>
      <c r="K18" s="377" t="e">
        <f t="shared" si="0"/>
        <v>#REF!</v>
      </c>
      <c r="L18" s="1"/>
    </row>
    <row r="19" spans="1:17" x14ac:dyDescent="0.2">
      <c r="A19" s="29" t="str">
        <f>[2]T16!B12</f>
        <v>2015-16</v>
      </c>
      <c r="B19" s="155">
        <f>[2]T16!D12</f>
        <v>0</v>
      </c>
      <c r="C19" s="155">
        <f>[2]T16!E12</f>
        <v>3</v>
      </c>
      <c r="D19" s="155">
        <f>[2]T16!F12</f>
        <v>19</v>
      </c>
      <c r="E19" s="155">
        <f>[2]T16!G12</f>
        <v>23</v>
      </c>
      <c r="F19" s="155" t="e">
        <f>[2]T16!H12</f>
        <v>#REF!</v>
      </c>
      <c r="G19" s="377" t="e">
        <f t="shared" si="1"/>
        <v>#REF!</v>
      </c>
      <c r="H19" s="31"/>
      <c r="I19" s="579">
        <v>0</v>
      </c>
      <c r="J19" s="31"/>
      <c r="K19" s="377" t="e">
        <f t="shared" si="0"/>
        <v>#REF!</v>
      </c>
      <c r="L19" s="1"/>
    </row>
    <row r="20" spans="1:17" x14ac:dyDescent="0.2">
      <c r="A20" s="29" t="str">
        <f>[2]T16!B13</f>
        <v>2016-17</v>
      </c>
      <c r="B20" s="155">
        <f>[2]T16!D13</f>
        <v>0</v>
      </c>
      <c r="C20" s="155">
        <f>[2]T16!E13</f>
        <v>4</v>
      </c>
      <c r="D20" s="155">
        <f>[2]T16!F13</f>
        <v>22</v>
      </c>
      <c r="E20" s="155">
        <f>[2]T16!G13</f>
        <v>18</v>
      </c>
      <c r="F20" s="155" t="e">
        <f>[2]T16!H13</f>
        <v>#REF!</v>
      </c>
      <c r="G20" s="377" t="e">
        <f t="shared" si="1"/>
        <v>#REF!</v>
      </c>
      <c r="H20" s="31"/>
      <c r="I20" s="579">
        <v>0</v>
      </c>
      <c r="J20" s="31"/>
      <c r="K20" s="377" t="e">
        <f t="shared" si="0"/>
        <v>#REF!</v>
      </c>
      <c r="L20" s="1"/>
    </row>
    <row r="21" spans="1:17" x14ac:dyDescent="0.2">
      <c r="A21" s="29" t="str">
        <f>[2]T16!B14</f>
        <v>2017-18</v>
      </c>
      <c r="B21" s="155">
        <f>[2]T16!D14</f>
        <v>0</v>
      </c>
      <c r="C21" s="155">
        <f>[2]T16!E14</f>
        <v>3</v>
      </c>
      <c r="D21" s="155">
        <f>[2]T16!F14</f>
        <v>18</v>
      </c>
      <c r="E21" s="155">
        <f>[2]T16!G14</f>
        <v>23</v>
      </c>
      <c r="F21" s="155" t="e">
        <f>[2]T16!H14</f>
        <v>#REF!</v>
      </c>
      <c r="G21" s="377" t="e">
        <f t="shared" si="1"/>
        <v>#REF!</v>
      </c>
      <c r="H21" s="31"/>
      <c r="I21" s="579">
        <v>0</v>
      </c>
      <c r="J21" s="31"/>
      <c r="K21" s="377" t="e">
        <f t="shared" si="0"/>
        <v>#REF!</v>
      </c>
      <c r="L21" s="1"/>
    </row>
    <row r="22" spans="1:17" x14ac:dyDescent="0.2">
      <c r="A22" s="29" t="str">
        <f>[2]T16!B15</f>
        <v>2018-19</v>
      </c>
      <c r="B22" s="155">
        <f>[2]T16!D15</f>
        <v>1</v>
      </c>
      <c r="C22" s="155">
        <f>[2]T16!E15</f>
        <v>3</v>
      </c>
      <c r="D22" s="155">
        <f>[2]T16!F15</f>
        <v>16</v>
      </c>
      <c r="E22" s="155">
        <f>[2]T16!G15</f>
        <v>25</v>
      </c>
      <c r="F22" s="155" t="e">
        <f>[2]T16!H15</f>
        <v>#REF!</v>
      </c>
      <c r="G22" s="377" t="e">
        <f t="shared" si="1"/>
        <v>#REF!</v>
      </c>
      <c r="H22" s="1"/>
      <c r="I22" s="579">
        <v>0</v>
      </c>
      <c r="J22" s="1"/>
      <c r="K22" s="377" t="e">
        <f t="shared" si="0"/>
        <v>#REF!</v>
      </c>
      <c r="L22" s="1"/>
      <c r="Q22" s="1"/>
    </row>
    <row r="23" spans="1:17" x14ac:dyDescent="0.2">
      <c r="A23" s="1"/>
      <c r="B23" s="1"/>
      <c r="C23" s="1"/>
      <c r="D23" s="1"/>
      <c r="E23" s="1"/>
      <c r="F23" s="1"/>
      <c r="G23" s="1"/>
      <c r="H23" s="1"/>
      <c r="I23" s="1"/>
      <c r="J23" s="1"/>
      <c r="K23" s="1"/>
      <c r="L23" s="1"/>
      <c r="Q23" s="1"/>
    </row>
    <row r="24" spans="1:17" ht="15" x14ac:dyDescent="0.25">
      <c r="A24" s="1"/>
      <c r="B24" s="1315" t="s">
        <v>73</v>
      </c>
      <c r="C24" s="1315"/>
      <c r="D24" s="1315"/>
      <c r="E24" s="1315"/>
      <c r="F24" s="1315"/>
      <c r="G24" s="1315"/>
      <c r="H24" s="1315"/>
      <c r="I24" s="1315"/>
      <c r="J24" s="5"/>
      <c r="K24" s="5"/>
      <c r="L24" s="5"/>
      <c r="Q24" s="1"/>
    </row>
    <row r="25" spans="1:17" ht="15" x14ac:dyDescent="0.25">
      <c r="A25" s="1"/>
      <c r="B25" s="1"/>
      <c r="C25" s="1"/>
      <c r="D25" s="1"/>
      <c r="E25" s="1"/>
      <c r="F25" s="1"/>
      <c r="G25" s="1"/>
      <c r="H25" s="1"/>
      <c r="I25" s="1"/>
      <c r="J25" s="1"/>
      <c r="K25" s="80" t="s">
        <v>0</v>
      </c>
      <c r="L25" s="1"/>
      <c r="M25" s="234" t="s">
        <v>563</v>
      </c>
      <c r="N25" t="s">
        <v>421</v>
      </c>
      <c r="Q25" s="1"/>
    </row>
    <row r="26" spans="1:17" x14ac:dyDescent="0.2">
      <c r="A26" s="1309" t="s">
        <v>4</v>
      </c>
      <c r="B26" s="1311" t="s">
        <v>164</v>
      </c>
      <c r="C26" s="1289"/>
      <c r="D26" s="1289"/>
      <c r="E26" s="1289"/>
      <c r="F26" s="1289"/>
      <c r="G26" s="1290"/>
      <c r="H26" s="194"/>
      <c r="I26" s="141" t="s">
        <v>163</v>
      </c>
      <c r="K26" s="1277" t="s">
        <v>55</v>
      </c>
      <c r="Q26" s="1"/>
    </row>
    <row r="27" spans="1:17" ht="25.5" x14ac:dyDescent="0.2">
      <c r="A27" s="1310"/>
      <c r="B27" s="215" t="s">
        <v>175</v>
      </c>
      <c r="C27" s="215" t="s">
        <v>176</v>
      </c>
      <c r="D27" s="215" t="s">
        <v>177</v>
      </c>
      <c r="E27" s="215" t="s">
        <v>178</v>
      </c>
      <c r="F27" s="215" t="s">
        <v>169</v>
      </c>
      <c r="G27" s="215" t="s">
        <v>11</v>
      </c>
      <c r="H27" s="39"/>
      <c r="I27" s="215" t="s">
        <v>11</v>
      </c>
      <c r="K27" s="1291"/>
      <c r="M27" s="234" t="s">
        <v>326</v>
      </c>
      <c r="N27" t="s">
        <v>423</v>
      </c>
      <c r="Q27" s="1"/>
    </row>
    <row r="28" spans="1:17" ht="18.75" customHeight="1" x14ac:dyDescent="0.2">
      <c r="A28" s="2" t="str">
        <f>[2]T16a!B15</f>
        <v>2019-20</v>
      </c>
      <c r="B28" s="193">
        <f>[2]T16a!D15</f>
        <v>0</v>
      </c>
      <c r="C28" s="193">
        <f>[2]T16a!E15</f>
        <v>2</v>
      </c>
      <c r="D28" s="193">
        <f>[2]T16a!F15</f>
        <v>7</v>
      </c>
      <c r="E28" s="193">
        <f>[2]T16a!G15</f>
        <v>1</v>
      </c>
      <c r="F28" s="193">
        <f>[2]T16a!H15</f>
        <v>3</v>
      </c>
      <c r="G28" s="353">
        <f>SUM(B28:F28)</f>
        <v>13</v>
      </c>
      <c r="H28" s="191"/>
      <c r="I28" s="579">
        <f>[2]T16a!C5</f>
        <v>18</v>
      </c>
      <c r="K28" s="353">
        <f>I28+G28</f>
        <v>31</v>
      </c>
      <c r="M28" s="235" t="s">
        <v>19</v>
      </c>
      <c r="N28">
        <v>18</v>
      </c>
      <c r="Q28" s="1"/>
    </row>
    <row r="29" spans="1:17" ht="13.5" customHeight="1" x14ac:dyDescent="0.2">
      <c r="A29" s="2" t="str">
        <f>[2]T16a!B16</f>
        <v>2009-10</v>
      </c>
      <c r="B29" s="193">
        <f>[2]T16a!D16</f>
        <v>106</v>
      </c>
      <c r="C29" s="193">
        <f>[2]T16a!E16</f>
        <v>238</v>
      </c>
      <c r="D29" s="193">
        <f>[2]T16a!F16</f>
        <v>552</v>
      </c>
      <c r="E29" s="193">
        <f>[2]T16a!G16</f>
        <v>308</v>
      </c>
      <c r="F29" s="193">
        <f>[2]T16a!H16</f>
        <v>1</v>
      </c>
      <c r="G29" s="353">
        <f t="shared" ref="G29:G37" si="2">SUM(B29:F29)</f>
        <v>1205</v>
      </c>
      <c r="H29" s="191"/>
      <c r="I29" s="579">
        <f>[2]T16a!C6</f>
        <v>28</v>
      </c>
      <c r="K29" s="353">
        <f t="shared" ref="K29:K36" si="3">I29+G29</f>
        <v>1233</v>
      </c>
      <c r="M29" s="235" t="s">
        <v>20</v>
      </c>
      <c r="N29">
        <v>28</v>
      </c>
      <c r="Q29" s="1"/>
    </row>
    <row r="30" spans="1:17" ht="13.5" customHeight="1" x14ac:dyDescent="0.2">
      <c r="A30" s="2" t="str">
        <f>[2]T16a!B17</f>
        <v>2010-11</v>
      </c>
      <c r="B30" s="193">
        <f>[2]T16a!D17</f>
        <v>113</v>
      </c>
      <c r="C30" s="193">
        <f>[2]T16a!E17</f>
        <v>283</v>
      </c>
      <c r="D30" s="193">
        <f>[2]T16a!F17</f>
        <v>583</v>
      </c>
      <c r="E30" s="193">
        <f>[2]T16a!G17</f>
        <v>323</v>
      </c>
      <c r="F30" s="193">
        <f>[2]T16a!H17</f>
        <v>2</v>
      </c>
      <c r="G30" s="353">
        <f t="shared" si="2"/>
        <v>1304</v>
      </c>
      <c r="H30" s="191"/>
      <c r="I30" s="579">
        <f>[2]T16a!C7</f>
        <v>28</v>
      </c>
      <c r="K30" s="353">
        <f t="shared" si="3"/>
        <v>1332</v>
      </c>
      <c r="M30" s="235" t="s">
        <v>13</v>
      </c>
      <c r="N30">
        <v>28</v>
      </c>
      <c r="Q30" s="1"/>
    </row>
    <row r="31" spans="1:17" ht="13.5" customHeight="1" x14ac:dyDescent="0.2">
      <c r="A31" s="2" t="str">
        <f>[2]T16a!B18</f>
        <v>2011-12</v>
      </c>
      <c r="B31" s="193">
        <f>[2]T16a!D18</f>
        <v>119</v>
      </c>
      <c r="C31" s="193">
        <f>[2]T16a!E18</f>
        <v>268</v>
      </c>
      <c r="D31" s="193">
        <f>[2]T16a!F18</f>
        <v>644</v>
      </c>
      <c r="E31" s="193">
        <f>[2]T16a!G18</f>
        <v>350</v>
      </c>
      <c r="F31" s="193">
        <f>[2]T16a!H18</f>
        <v>5</v>
      </c>
      <c r="G31" s="353">
        <f t="shared" si="2"/>
        <v>1386</v>
      </c>
      <c r="H31" s="191"/>
      <c r="I31" s="579">
        <f>[2]T16a!C8</f>
        <v>18</v>
      </c>
      <c r="K31" s="353">
        <f t="shared" si="3"/>
        <v>1404</v>
      </c>
      <c r="M31" s="235" t="s">
        <v>15</v>
      </c>
      <c r="N31">
        <v>18</v>
      </c>
      <c r="Q31" s="1"/>
    </row>
    <row r="32" spans="1:17" ht="13.5" customHeight="1" x14ac:dyDescent="0.2">
      <c r="A32" s="2" t="str">
        <f>[2]T16a!B19</f>
        <v>2012-13</v>
      </c>
      <c r="B32" s="193">
        <f>[2]T16a!D19</f>
        <v>89</v>
      </c>
      <c r="C32" s="193">
        <f>[2]T16a!E19</f>
        <v>252</v>
      </c>
      <c r="D32" s="193">
        <f>[2]T16a!F19</f>
        <v>514</v>
      </c>
      <c r="E32" s="193">
        <f>[2]T16a!G19</f>
        <v>389</v>
      </c>
      <c r="F32" s="193">
        <f>[2]T16a!H19</f>
        <v>57</v>
      </c>
      <c r="G32" s="353">
        <f t="shared" si="2"/>
        <v>1301</v>
      </c>
      <c r="H32" s="191"/>
      <c r="I32" s="579">
        <f>[2]T16a!C9</f>
        <v>15</v>
      </c>
      <c r="K32" s="353">
        <f t="shared" si="3"/>
        <v>1316</v>
      </c>
      <c r="M32" s="235" t="s">
        <v>17</v>
      </c>
      <c r="N32">
        <v>15</v>
      </c>
      <c r="Q32" s="1"/>
    </row>
    <row r="33" spans="1:17" ht="13.5" customHeight="1" x14ac:dyDescent="0.2">
      <c r="A33" s="2" t="str">
        <f>[2]T16a!B20</f>
        <v>2013-14</v>
      </c>
      <c r="B33" s="193">
        <f>[2]T16a!D20</f>
        <v>90</v>
      </c>
      <c r="C33" s="193">
        <f>[2]T16a!E20</f>
        <v>227</v>
      </c>
      <c r="D33" s="193">
        <f>[2]T16a!F20</f>
        <v>572</v>
      </c>
      <c r="E33" s="193">
        <f>[2]T16a!G20</f>
        <v>339</v>
      </c>
      <c r="F33" s="193">
        <f>[2]T16a!H20</f>
        <v>67</v>
      </c>
      <c r="G33" s="353">
        <f t="shared" si="2"/>
        <v>1295</v>
      </c>
      <c r="H33" s="191"/>
      <c r="I33" s="579">
        <f>[2]T16a!C10</f>
        <v>12</v>
      </c>
      <c r="K33" s="353">
        <f t="shared" si="3"/>
        <v>1307</v>
      </c>
      <c r="M33" s="235" t="s">
        <v>133</v>
      </c>
      <c r="N33">
        <v>12</v>
      </c>
      <c r="Q33" s="1"/>
    </row>
    <row r="34" spans="1:17" ht="13.5" customHeight="1" x14ac:dyDescent="0.2">
      <c r="A34" s="2" t="str">
        <f>[2]T16a!B21</f>
        <v>2014-15</v>
      </c>
      <c r="B34" s="193">
        <f>[2]T16a!D21</f>
        <v>88</v>
      </c>
      <c r="C34" s="193">
        <f>[2]T16a!E21</f>
        <v>186</v>
      </c>
      <c r="D34" s="193">
        <f>[2]T16a!F21</f>
        <v>432</v>
      </c>
      <c r="E34" s="193">
        <f>[2]T16a!G21</f>
        <v>314</v>
      </c>
      <c r="F34" s="193">
        <f>[2]T16a!H21</f>
        <v>69</v>
      </c>
      <c r="G34" s="353">
        <f t="shared" si="2"/>
        <v>1089</v>
      </c>
      <c r="H34" s="191"/>
      <c r="I34" s="579">
        <f>[2]T16a!C11</f>
        <v>10</v>
      </c>
      <c r="K34" s="353">
        <f t="shared" si="3"/>
        <v>1099</v>
      </c>
      <c r="M34" s="235" t="s">
        <v>144</v>
      </c>
      <c r="N34">
        <v>10</v>
      </c>
      <c r="Q34" s="1"/>
    </row>
    <row r="35" spans="1:17" ht="13.5" customHeight="1" x14ac:dyDescent="0.2">
      <c r="A35" s="2" t="str">
        <f>[2]T16a!B22</f>
        <v>2015-16</v>
      </c>
      <c r="B35" s="193">
        <f>[2]T16a!D22</f>
        <v>77</v>
      </c>
      <c r="C35" s="193">
        <f>[2]T16a!E22</f>
        <v>204</v>
      </c>
      <c r="D35" s="193">
        <f>[2]T16a!F22</f>
        <v>542</v>
      </c>
      <c r="E35" s="193">
        <f>[2]T16a!G22</f>
        <v>381</v>
      </c>
      <c r="F35" s="193">
        <f>[2]T16a!H22</f>
        <v>62</v>
      </c>
      <c r="G35" s="353">
        <f t="shared" si="2"/>
        <v>1266</v>
      </c>
      <c r="H35" s="191"/>
      <c r="I35" s="579">
        <f>[2]T16a!C12</f>
        <v>18</v>
      </c>
      <c r="K35" s="353">
        <f t="shared" si="3"/>
        <v>1284</v>
      </c>
      <c r="M35" s="235" t="s">
        <v>282</v>
      </c>
      <c r="N35">
        <v>18</v>
      </c>
      <c r="Q35" s="1"/>
    </row>
    <row r="36" spans="1:17" ht="13.5" customHeight="1" x14ac:dyDescent="0.2">
      <c r="A36" s="2" t="str">
        <f>[2]T16a!B23</f>
        <v>2016-17</v>
      </c>
      <c r="B36" s="193">
        <f>[2]T16a!D23</f>
        <v>78</v>
      </c>
      <c r="C36" s="193">
        <f>[2]T16a!E23</f>
        <v>201</v>
      </c>
      <c r="D36" s="193">
        <f>[2]T16a!F23</f>
        <v>574</v>
      </c>
      <c r="E36" s="193">
        <f>[2]T16a!G23</f>
        <v>334</v>
      </c>
      <c r="F36" s="193">
        <f>[2]T16a!H23</f>
        <v>61</v>
      </c>
      <c r="G36" s="353">
        <f t="shared" si="2"/>
        <v>1248</v>
      </c>
      <c r="H36" s="191"/>
      <c r="I36" s="579">
        <f>[2]T16a!C13</f>
        <v>28</v>
      </c>
      <c r="K36" s="353">
        <f t="shared" si="3"/>
        <v>1276</v>
      </c>
      <c r="M36" s="235" t="s">
        <v>311</v>
      </c>
      <c r="N36">
        <v>28</v>
      </c>
      <c r="Q36" s="1"/>
    </row>
    <row r="37" spans="1:17" ht="13.5" customHeight="1" x14ac:dyDescent="0.2">
      <c r="A37" s="2" t="str">
        <f>[2]T16a!B24</f>
        <v>2017-18</v>
      </c>
      <c r="B37" s="193">
        <f>[2]T16a!D24</f>
        <v>87</v>
      </c>
      <c r="C37" s="193">
        <f>[2]T16a!E24</f>
        <v>183</v>
      </c>
      <c r="D37" s="193">
        <f>[2]T16a!F24</f>
        <v>476</v>
      </c>
      <c r="E37" s="193">
        <f>[2]T16a!G24</f>
        <v>270</v>
      </c>
      <c r="F37" s="193">
        <f>[2]T16a!H24</f>
        <v>73</v>
      </c>
      <c r="G37" s="353">
        <f t="shared" si="2"/>
        <v>1089</v>
      </c>
      <c r="H37" s="191"/>
      <c r="I37" s="579">
        <f>[2]T16a!C14</f>
        <v>21</v>
      </c>
      <c r="K37" s="353">
        <f>I37+G37</f>
        <v>1110</v>
      </c>
      <c r="M37" s="235" t="s">
        <v>621</v>
      </c>
      <c r="N37">
        <v>21</v>
      </c>
      <c r="Q37" s="1"/>
    </row>
    <row r="38" spans="1:17" ht="13.5" customHeight="1" x14ac:dyDescent="0.2">
      <c r="A38" s="2"/>
      <c r="B38" s="193"/>
      <c r="C38" s="193"/>
      <c r="D38" s="193"/>
      <c r="E38" s="193"/>
      <c r="F38" s="543"/>
      <c r="G38" s="353"/>
      <c r="H38" s="191"/>
      <c r="I38" s="579"/>
      <c r="K38" s="353"/>
      <c r="M38" s="235" t="s">
        <v>1419</v>
      </c>
      <c r="N38">
        <v>13</v>
      </c>
      <c r="Q38" s="1"/>
    </row>
    <row r="39" spans="1:17" x14ac:dyDescent="0.2">
      <c r="M39" s="235" t="s">
        <v>1572</v>
      </c>
      <c r="N39">
        <v>8</v>
      </c>
    </row>
    <row r="40" spans="1:17" x14ac:dyDescent="0.2">
      <c r="M40" s="235" t="s">
        <v>333</v>
      </c>
      <c r="N40">
        <v>217</v>
      </c>
    </row>
  </sheetData>
  <mergeCells count="8">
    <mergeCell ref="A26:A27"/>
    <mergeCell ref="B26:G26"/>
    <mergeCell ref="K26:K27"/>
    <mergeCell ref="B7:I7"/>
    <mergeCell ref="A9:A10"/>
    <mergeCell ref="B9:G9"/>
    <mergeCell ref="K9:K10"/>
    <mergeCell ref="B24:I24"/>
  </mergeCells>
  <hyperlinks>
    <hyperlink ref="A2" location="'Table of Contents'!A1" display="Back to Table of Contents" xr:uid="{00000000-0004-0000-2B00-000000000000}"/>
  </hyperlinks>
  <pageMargins left="0.7" right="0.7" top="0.75" bottom="0.75" header="0.3" footer="0.3"/>
  <pageSetup paperSize="9" scale="72" orientation="landscape" r:id="rId2"/>
  <colBreaks count="1" manualBreakCount="1">
    <brk id="16"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45"/>
  <sheetViews>
    <sheetView zoomScale="90" zoomScaleNormal="90" workbookViewId="0">
      <selection activeCell="E7" sqref="E7"/>
    </sheetView>
  </sheetViews>
  <sheetFormatPr defaultRowHeight="12.75" x14ac:dyDescent="0.2"/>
  <cols>
    <col min="1" max="1" width="44.7109375" bestFit="1" customWidth="1"/>
    <col min="2" max="2" width="28.85546875" bestFit="1" customWidth="1"/>
    <col min="3" max="4" width="29.85546875" bestFit="1" customWidth="1"/>
    <col min="5" max="5" width="28.28515625" bestFit="1" customWidth="1"/>
    <col min="6" max="6" width="33.5703125" bestFit="1" customWidth="1"/>
    <col min="7" max="7" width="14.85546875" bestFit="1" customWidth="1"/>
    <col min="8" max="9" width="15.85546875" bestFit="1" customWidth="1"/>
    <col min="10" max="10" width="15.5703125" bestFit="1" customWidth="1"/>
    <col min="11" max="11" width="14.42578125" bestFit="1" customWidth="1"/>
    <col min="12" max="12" width="15.85546875" bestFit="1" customWidth="1"/>
    <col min="13" max="13" width="4.140625" customWidth="1"/>
    <col min="14" max="14" width="3.140625" customWidth="1"/>
    <col min="15" max="18" width="4.140625" customWidth="1"/>
    <col min="19" max="20" width="3.140625" customWidth="1"/>
    <col min="21" max="23" width="4.140625" customWidth="1"/>
    <col min="24" max="24" width="7.5703125" customWidth="1"/>
    <col min="25" max="25" width="11.7109375" customWidth="1"/>
    <col min="26" max="26" width="3.140625" customWidth="1"/>
    <col min="27" max="27" width="8.140625" customWidth="1"/>
    <col min="28" max="28" width="5" customWidth="1"/>
    <col min="29" max="29" width="3.140625" customWidth="1"/>
    <col min="30" max="30" width="8.140625" customWidth="1"/>
    <col min="31" max="31" width="5" customWidth="1"/>
    <col min="32" max="32" width="3.140625" customWidth="1"/>
    <col min="33" max="33" width="8.140625" customWidth="1"/>
    <col min="34" max="34" width="5" customWidth="1"/>
    <col min="35" max="35" width="8.140625" customWidth="1"/>
    <col min="36" max="36" width="5" customWidth="1"/>
    <col min="37" max="37" width="4.140625" customWidth="1"/>
    <col min="38" max="38" width="8.140625" customWidth="1"/>
    <col min="39" max="39" width="5" customWidth="1"/>
    <col min="40" max="42" width="3.140625" customWidth="1"/>
    <col min="43" max="43" width="8.140625" customWidth="1"/>
    <col min="44" max="44" width="5" customWidth="1"/>
    <col min="45" max="46" width="3.140625" customWidth="1"/>
    <col min="47" max="47" width="8.140625" customWidth="1"/>
    <col min="48" max="48" width="5" customWidth="1"/>
    <col min="49" max="49" width="4.140625" customWidth="1"/>
    <col min="50" max="50" width="8.140625" customWidth="1"/>
    <col min="51" max="51" width="5" customWidth="1"/>
    <col min="52" max="52" width="8.140625" customWidth="1"/>
    <col min="53" max="53" width="5" customWidth="1"/>
    <col min="54" max="54" width="8.140625" customWidth="1"/>
    <col min="55" max="55" width="5" customWidth="1"/>
    <col min="56" max="56" width="3.140625" customWidth="1"/>
    <col min="57" max="57" width="8.140625" customWidth="1"/>
    <col min="58" max="58" width="5" customWidth="1"/>
    <col min="59" max="59" width="8.140625" customWidth="1"/>
    <col min="60" max="60" width="5" customWidth="1"/>
    <col min="61" max="61" width="8.140625" customWidth="1"/>
    <col min="62" max="62" width="9.42578125" bestFit="1" customWidth="1"/>
    <col min="63" max="63" width="3.140625" customWidth="1"/>
    <col min="64" max="64" width="12.5703125" bestFit="1" customWidth="1"/>
    <col min="65" max="65" width="11.7109375" bestFit="1" customWidth="1"/>
  </cols>
  <sheetData>
    <row r="1" spans="1:11" x14ac:dyDescent="0.2">
      <c r="A1" s="234" t="s">
        <v>444</v>
      </c>
      <c r="B1" t="s">
        <v>414</v>
      </c>
    </row>
    <row r="2" spans="1:11" x14ac:dyDescent="0.2">
      <c r="A2" s="234" t="s">
        <v>464</v>
      </c>
      <c r="B2" t="s">
        <v>1572</v>
      </c>
    </row>
    <row r="4" spans="1:11" x14ac:dyDescent="0.2">
      <c r="A4" s="234" t="s">
        <v>326</v>
      </c>
      <c r="B4" t="s">
        <v>839</v>
      </c>
      <c r="C4" t="s">
        <v>840</v>
      </c>
      <c r="D4" t="s">
        <v>841</v>
      </c>
      <c r="E4" t="s">
        <v>842</v>
      </c>
      <c r="F4" t="s">
        <v>419</v>
      </c>
      <c r="G4" t="s">
        <v>843</v>
      </c>
      <c r="H4" t="s">
        <v>844</v>
      </c>
      <c r="I4" t="s">
        <v>845</v>
      </c>
      <c r="J4" t="s">
        <v>846</v>
      </c>
      <c r="K4" t="s">
        <v>847</v>
      </c>
    </row>
    <row r="5" spans="1:11" x14ac:dyDescent="0.2">
      <c r="A5" s="235" t="s">
        <v>162</v>
      </c>
      <c r="C5">
        <v>2</v>
      </c>
      <c r="D5">
        <v>8</v>
      </c>
      <c r="E5">
        <v>7</v>
      </c>
      <c r="F5">
        <v>17</v>
      </c>
      <c r="G5">
        <v>5466000</v>
      </c>
      <c r="H5">
        <v>972673</v>
      </c>
      <c r="I5">
        <v>888196</v>
      </c>
      <c r="J5">
        <v>2196482</v>
      </c>
      <c r="K5">
        <v>1408649</v>
      </c>
    </row>
    <row r="6" spans="1:11" x14ac:dyDescent="0.2">
      <c r="A6" s="235" t="s">
        <v>417</v>
      </c>
      <c r="D6">
        <v>4</v>
      </c>
      <c r="E6">
        <v>4</v>
      </c>
      <c r="F6">
        <v>8</v>
      </c>
      <c r="G6">
        <v>5466000</v>
      </c>
      <c r="H6">
        <v>972673</v>
      </c>
      <c r="I6">
        <v>888196</v>
      </c>
      <c r="J6">
        <v>2196482</v>
      </c>
      <c r="K6">
        <v>1408649</v>
      </c>
    </row>
    <row r="7" spans="1:11" x14ac:dyDescent="0.2">
      <c r="A7" s="235" t="s">
        <v>418</v>
      </c>
      <c r="B7">
        <v>3</v>
      </c>
      <c r="D7">
        <v>5</v>
      </c>
      <c r="E7">
        <v>12</v>
      </c>
      <c r="F7">
        <v>20</v>
      </c>
      <c r="G7">
        <v>5466000</v>
      </c>
      <c r="H7">
        <v>972673</v>
      </c>
      <c r="I7">
        <v>888196</v>
      </c>
      <c r="J7">
        <v>2196482</v>
      </c>
      <c r="K7">
        <v>1408649</v>
      </c>
    </row>
    <row r="8" spans="1:11" x14ac:dyDescent="0.2">
      <c r="A8" s="235" t="s">
        <v>201</v>
      </c>
      <c r="D8">
        <v>3</v>
      </c>
      <c r="E8">
        <v>5</v>
      </c>
      <c r="F8">
        <v>8</v>
      </c>
      <c r="G8">
        <v>5466000</v>
      </c>
      <c r="H8">
        <v>972673</v>
      </c>
      <c r="I8">
        <v>888196</v>
      </c>
      <c r="J8">
        <v>2196482</v>
      </c>
      <c r="K8">
        <v>1408649</v>
      </c>
    </row>
    <row r="9" spans="1:11" x14ac:dyDescent="0.2">
      <c r="A9" s="235" t="s">
        <v>333</v>
      </c>
      <c r="B9">
        <v>3</v>
      </c>
      <c r="C9">
        <v>2</v>
      </c>
      <c r="D9">
        <v>20</v>
      </c>
      <c r="E9">
        <v>28</v>
      </c>
      <c r="F9">
        <v>53</v>
      </c>
      <c r="G9">
        <v>5466000</v>
      </c>
      <c r="H9">
        <v>972673</v>
      </c>
      <c r="I9">
        <v>888196</v>
      </c>
      <c r="J9">
        <v>2196482</v>
      </c>
      <c r="K9">
        <v>1408649</v>
      </c>
    </row>
    <row r="17" spans="1:12" x14ac:dyDescent="0.2">
      <c r="A17" s="234" t="s">
        <v>464</v>
      </c>
      <c r="B17" t="s">
        <v>1572</v>
      </c>
    </row>
    <row r="18" spans="1:12" x14ac:dyDescent="0.2">
      <c r="A18" s="234" t="s">
        <v>563</v>
      </c>
      <c r="B18" t="s">
        <v>414</v>
      </c>
    </row>
    <row r="20" spans="1:12" x14ac:dyDescent="0.2">
      <c r="A20" s="234" t="s">
        <v>326</v>
      </c>
      <c r="B20" t="s">
        <v>839</v>
      </c>
      <c r="C20" t="s">
        <v>840</v>
      </c>
      <c r="D20" t="s">
        <v>841</v>
      </c>
      <c r="E20" t="s">
        <v>842</v>
      </c>
      <c r="F20" t="s">
        <v>452</v>
      </c>
      <c r="G20" t="s">
        <v>423</v>
      </c>
      <c r="H20" t="s">
        <v>843</v>
      </c>
      <c r="I20" t="s">
        <v>844</v>
      </c>
      <c r="J20" t="s">
        <v>845</v>
      </c>
      <c r="K20" t="s">
        <v>846</v>
      </c>
      <c r="L20" t="s">
        <v>847</v>
      </c>
    </row>
    <row r="21" spans="1:12" x14ac:dyDescent="0.2">
      <c r="A21" s="235" t="s">
        <v>424</v>
      </c>
      <c r="B21">
        <v>9</v>
      </c>
      <c r="C21">
        <v>22</v>
      </c>
      <c r="D21">
        <v>61</v>
      </c>
      <c r="E21">
        <v>42</v>
      </c>
      <c r="F21">
        <v>7</v>
      </c>
      <c r="G21">
        <v>141</v>
      </c>
      <c r="H21">
        <v>5466000</v>
      </c>
      <c r="I21">
        <v>972673</v>
      </c>
      <c r="J21">
        <v>888196</v>
      </c>
      <c r="K21">
        <v>2196482</v>
      </c>
      <c r="L21">
        <v>1408649</v>
      </c>
    </row>
    <row r="22" spans="1:12" x14ac:dyDescent="0.2">
      <c r="A22" s="235" t="s">
        <v>425</v>
      </c>
      <c r="B22">
        <v>2</v>
      </c>
      <c r="C22">
        <v>1</v>
      </c>
      <c r="D22">
        <v>11</v>
      </c>
      <c r="E22">
        <v>4</v>
      </c>
      <c r="F22">
        <v>2</v>
      </c>
      <c r="G22">
        <v>20</v>
      </c>
      <c r="H22">
        <v>5466000</v>
      </c>
      <c r="I22">
        <v>972673</v>
      </c>
      <c r="J22">
        <v>888196</v>
      </c>
      <c r="K22">
        <v>2196482</v>
      </c>
      <c r="L22">
        <v>1408649</v>
      </c>
    </row>
    <row r="23" spans="1:12" x14ac:dyDescent="0.2">
      <c r="A23" s="235" t="s">
        <v>426</v>
      </c>
      <c r="B23">
        <v>61</v>
      </c>
      <c r="C23">
        <v>62</v>
      </c>
      <c r="D23">
        <v>235</v>
      </c>
      <c r="E23">
        <v>111</v>
      </c>
      <c r="F23">
        <v>41</v>
      </c>
      <c r="G23">
        <v>510</v>
      </c>
      <c r="H23">
        <v>5466000</v>
      </c>
      <c r="I23">
        <v>972673</v>
      </c>
      <c r="J23">
        <v>888196</v>
      </c>
      <c r="K23">
        <v>2196482</v>
      </c>
      <c r="L23">
        <v>1408649</v>
      </c>
    </row>
    <row r="24" spans="1:12" x14ac:dyDescent="0.2">
      <c r="A24" s="235" t="s">
        <v>427</v>
      </c>
      <c r="B24">
        <v>4</v>
      </c>
      <c r="C24">
        <v>4</v>
      </c>
      <c r="D24">
        <v>12</v>
      </c>
      <c r="E24">
        <v>12</v>
      </c>
      <c r="F24">
        <v>1</v>
      </c>
      <c r="G24">
        <v>33</v>
      </c>
      <c r="H24">
        <v>5466000</v>
      </c>
      <c r="I24">
        <v>972673</v>
      </c>
      <c r="J24">
        <v>888196</v>
      </c>
      <c r="K24">
        <v>2196482</v>
      </c>
      <c r="L24">
        <v>1408649</v>
      </c>
    </row>
    <row r="25" spans="1:12" x14ac:dyDescent="0.2">
      <c r="A25" s="235" t="s">
        <v>428</v>
      </c>
      <c r="C25">
        <v>3</v>
      </c>
      <c r="D25">
        <v>5</v>
      </c>
      <c r="E25">
        <v>5</v>
      </c>
      <c r="F25">
        <v>1</v>
      </c>
      <c r="G25">
        <v>14</v>
      </c>
      <c r="H25">
        <v>5466000</v>
      </c>
      <c r="I25">
        <v>972673</v>
      </c>
      <c r="J25">
        <v>888196</v>
      </c>
      <c r="K25">
        <v>2196482</v>
      </c>
      <c r="L25">
        <v>1408649</v>
      </c>
    </row>
    <row r="26" spans="1:12" x14ac:dyDescent="0.2">
      <c r="A26" s="235" t="s">
        <v>429</v>
      </c>
      <c r="B26">
        <v>13</v>
      </c>
      <c r="C26">
        <v>16</v>
      </c>
      <c r="D26">
        <v>68</v>
      </c>
      <c r="E26">
        <v>52</v>
      </c>
      <c r="F26">
        <v>4</v>
      </c>
      <c r="G26">
        <v>153</v>
      </c>
      <c r="H26">
        <v>5466000</v>
      </c>
      <c r="I26">
        <v>972673</v>
      </c>
      <c r="J26">
        <v>888196</v>
      </c>
      <c r="K26">
        <v>2196482</v>
      </c>
      <c r="L26">
        <v>1408649</v>
      </c>
    </row>
    <row r="27" spans="1:12" x14ac:dyDescent="0.2">
      <c r="A27" s="235" t="s">
        <v>430</v>
      </c>
      <c r="B27">
        <v>27</v>
      </c>
      <c r="C27">
        <v>18</v>
      </c>
      <c r="D27">
        <v>60</v>
      </c>
      <c r="E27">
        <v>24</v>
      </c>
      <c r="F27">
        <v>9</v>
      </c>
      <c r="G27">
        <v>138</v>
      </c>
      <c r="H27">
        <v>5466000</v>
      </c>
      <c r="I27">
        <v>972673</v>
      </c>
      <c r="J27">
        <v>888196</v>
      </c>
      <c r="K27">
        <v>2196482</v>
      </c>
      <c r="L27">
        <v>1408649</v>
      </c>
    </row>
    <row r="28" spans="1:12" x14ac:dyDescent="0.2">
      <c r="A28" s="235" t="s">
        <v>333</v>
      </c>
      <c r="B28">
        <v>116</v>
      </c>
      <c r="C28">
        <v>126</v>
      </c>
      <c r="D28">
        <v>452</v>
      </c>
      <c r="E28">
        <v>250</v>
      </c>
      <c r="F28">
        <v>65</v>
      </c>
      <c r="G28">
        <v>1009</v>
      </c>
      <c r="H28">
        <v>5466000</v>
      </c>
      <c r="I28">
        <v>972673</v>
      </c>
      <c r="J28">
        <v>888196</v>
      </c>
      <c r="K28">
        <v>2196482</v>
      </c>
      <c r="L28">
        <v>1408649</v>
      </c>
    </row>
    <row r="38" spans="1:11" x14ac:dyDescent="0.2">
      <c r="A38" s="234" t="s">
        <v>464</v>
      </c>
      <c r="B38" t="s">
        <v>1572</v>
      </c>
    </row>
    <row r="40" spans="1:11" x14ac:dyDescent="0.2">
      <c r="A40" s="234" t="s">
        <v>326</v>
      </c>
      <c r="B40" t="s">
        <v>454</v>
      </c>
      <c r="C40" t="s">
        <v>455</v>
      </c>
      <c r="D40" t="s">
        <v>456</v>
      </c>
      <c r="E40" t="s">
        <v>457</v>
      </c>
      <c r="F40" t="s">
        <v>458</v>
      </c>
      <c r="G40" t="s">
        <v>1114</v>
      </c>
      <c r="H40" t="s">
        <v>1113</v>
      </c>
      <c r="I40" t="s">
        <v>1115</v>
      </c>
      <c r="J40" t="s">
        <v>843</v>
      </c>
      <c r="K40" t="s">
        <v>1600</v>
      </c>
    </row>
    <row r="41" spans="1:11" x14ac:dyDescent="0.2">
      <c r="A41" s="235" t="s">
        <v>432</v>
      </c>
      <c r="B41">
        <v>57</v>
      </c>
      <c r="C41">
        <v>39</v>
      </c>
      <c r="D41">
        <v>140</v>
      </c>
      <c r="E41">
        <v>64</v>
      </c>
      <c r="F41">
        <v>22</v>
      </c>
      <c r="G41">
        <v>972673</v>
      </c>
      <c r="H41">
        <v>888196</v>
      </c>
      <c r="I41">
        <v>2196482</v>
      </c>
      <c r="J41">
        <v>5466000</v>
      </c>
      <c r="K41">
        <v>1408649</v>
      </c>
    </row>
    <row r="42" spans="1:11" x14ac:dyDescent="0.2">
      <c r="A42" s="235" t="s">
        <v>433</v>
      </c>
      <c r="B42">
        <v>30</v>
      </c>
      <c r="C42">
        <v>37</v>
      </c>
      <c r="D42">
        <v>153</v>
      </c>
      <c r="E42">
        <v>96</v>
      </c>
      <c r="F42">
        <v>27</v>
      </c>
      <c r="G42">
        <v>972673</v>
      </c>
      <c r="H42">
        <v>888196</v>
      </c>
      <c r="I42">
        <v>2196482</v>
      </c>
      <c r="J42">
        <v>5466000</v>
      </c>
      <c r="K42">
        <v>1408649</v>
      </c>
    </row>
    <row r="43" spans="1:11" x14ac:dyDescent="0.2">
      <c r="A43" s="235" t="s">
        <v>434</v>
      </c>
      <c r="B43">
        <v>28</v>
      </c>
      <c r="C43">
        <v>44</v>
      </c>
      <c r="D43">
        <v>134</v>
      </c>
      <c r="E43">
        <v>76</v>
      </c>
      <c r="F43">
        <v>11</v>
      </c>
      <c r="G43">
        <v>972673</v>
      </c>
      <c r="H43">
        <v>888196</v>
      </c>
      <c r="I43">
        <v>2196482</v>
      </c>
      <c r="J43">
        <v>5466000</v>
      </c>
      <c r="K43">
        <v>1408649</v>
      </c>
    </row>
    <row r="44" spans="1:11" x14ac:dyDescent="0.2">
      <c r="A44" s="235" t="s">
        <v>435</v>
      </c>
      <c r="B44">
        <v>1</v>
      </c>
      <c r="C44">
        <v>6</v>
      </c>
      <c r="D44">
        <v>25</v>
      </c>
      <c r="E44">
        <v>14</v>
      </c>
      <c r="F44">
        <v>5</v>
      </c>
      <c r="G44">
        <v>972673</v>
      </c>
      <c r="H44">
        <v>888196</v>
      </c>
      <c r="I44">
        <v>2196482</v>
      </c>
      <c r="J44">
        <v>5466000</v>
      </c>
      <c r="K44">
        <v>1408649</v>
      </c>
    </row>
    <row r="45" spans="1:11" x14ac:dyDescent="0.2">
      <c r="A45" s="235" t="s">
        <v>333</v>
      </c>
      <c r="B45">
        <v>116</v>
      </c>
      <c r="C45">
        <v>126</v>
      </c>
      <c r="D45">
        <v>452</v>
      </c>
      <c r="E45">
        <v>250</v>
      </c>
      <c r="F45">
        <v>65</v>
      </c>
      <c r="G45">
        <v>972673</v>
      </c>
      <c r="H45">
        <v>888196</v>
      </c>
      <c r="I45">
        <v>2196482</v>
      </c>
      <c r="J45">
        <v>5466000</v>
      </c>
      <c r="K45">
        <v>1408649</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sheetPr>
  <dimension ref="A1:E15"/>
  <sheetViews>
    <sheetView workbookViewId="0">
      <selection activeCell="C8" sqref="C8"/>
    </sheetView>
  </sheetViews>
  <sheetFormatPr defaultRowHeight="12.75" x14ac:dyDescent="0.2"/>
  <cols>
    <col min="1" max="1" width="13" bestFit="1" customWidth="1"/>
    <col min="2" max="2" width="15.85546875" bestFit="1" customWidth="1"/>
    <col min="3" max="3" width="28.28515625" bestFit="1" customWidth="1"/>
    <col min="4" max="4" width="28.5703125" bestFit="1" customWidth="1"/>
    <col min="5" max="5" width="11.140625" bestFit="1" customWidth="1"/>
    <col min="6" max="6" width="7.140625" customWidth="1"/>
    <col min="7" max="7" width="11.7109375" bestFit="1" customWidth="1"/>
  </cols>
  <sheetData>
    <row r="1" spans="1:5" x14ac:dyDescent="0.2">
      <c r="A1" s="234" t="s">
        <v>344</v>
      </c>
      <c r="B1" s="234" t="s">
        <v>336</v>
      </c>
    </row>
    <row r="2" spans="1:5" x14ac:dyDescent="0.2">
      <c r="A2" s="234" t="s">
        <v>326</v>
      </c>
      <c r="B2" t="s">
        <v>342</v>
      </c>
      <c r="C2" t="s">
        <v>343</v>
      </c>
      <c r="D2" t="s">
        <v>817</v>
      </c>
      <c r="E2" t="s">
        <v>333</v>
      </c>
    </row>
    <row r="3" spans="1:5" x14ac:dyDescent="0.2">
      <c r="A3" s="235" t="s">
        <v>19</v>
      </c>
      <c r="B3">
        <v>28</v>
      </c>
      <c r="C3">
        <v>414</v>
      </c>
      <c r="D3">
        <v>533</v>
      </c>
      <c r="E3">
        <v>975</v>
      </c>
    </row>
    <row r="4" spans="1:5" x14ac:dyDescent="0.2">
      <c r="A4" s="235" t="s">
        <v>20</v>
      </c>
      <c r="B4">
        <v>22</v>
      </c>
      <c r="C4">
        <v>462</v>
      </c>
      <c r="D4">
        <v>470</v>
      </c>
      <c r="E4">
        <v>954</v>
      </c>
    </row>
    <row r="5" spans="1:5" x14ac:dyDescent="0.2">
      <c r="A5" s="235" t="s">
        <v>13</v>
      </c>
      <c r="B5">
        <v>26</v>
      </c>
      <c r="C5">
        <v>434</v>
      </c>
      <c r="D5">
        <v>412</v>
      </c>
      <c r="E5">
        <v>872</v>
      </c>
    </row>
    <row r="6" spans="1:5" x14ac:dyDescent="0.2">
      <c r="A6" s="235" t="s">
        <v>15</v>
      </c>
      <c r="B6">
        <v>22</v>
      </c>
      <c r="C6">
        <v>390</v>
      </c>
      <c r="D6">
        <v>415</v>
      </c>
      <c r="E6">
        <v>827</v>
      </c>
    </row>
    <row r="7" spans="1:5" x14ac:dyDescent="0.2">
      <c r="A7" s="235" t="s">
        <v>17</v>
      </c>
      <c r="B7">
        <v>13</v>
      </c>
      <c r="C7">
        <v>439</v>
      </c>
      <c r="D7">
        <v>274</v>
      </c>
      <c r="E7">
        <v>726</v>
      </c>
    </row>
    <row r="8" spans="1:5" x14ac:dyDescent="0.2">
      <c r="A8" s="235" t="s">
        <v>133</v>
      </c>
      <c r="B8">
        <v>13</v>
      </c>
      <c r="C8">
        <v>355</v>
      </c>
      <c r="D8">
        <v>264</v>
      </c>
      <c r="E8">
        <v>632</v>
      </c>
    </row>
    <row r="9" spans="1:5" x14ac:dyDescent="0.2">
      <c r="A9" s="235" t="s">
        <v>144</v>
      </c>
      <c r="B9">
        <v>28</v>
      </c>
      <c r="C9">
        <v>403</v>
      </c>
      <c r="D9">
        <v>272</v>
      </c>
      <c r="E9">
        <v>703</v>
      </c>
    </row>
    <row r="10" spans="1:5" x14ac:dyDescent="0.2">
      <c r="A10" s="235" t="s">
        <v>282</v>
      </c>
      <c r="B10">
        <v>19</v>
      </c>
      <c r="C10">
        <v>447</v>
      </c>
      <c r="D10">
        <v>189</v>
      </c>
      <c r="E10">
        <v>655</v>
      </c>
    </row>
    <row r="11" spans="1:5" x14ac:dyDescent="0.2">
      <c r="A11" s="235" t="s">
        <v>311</v>
      </c>
      <c r="B11">
        <v>22</v>
      </c>
      <c r="C11">
        <v>416</v>
      </c>
      <c r="D11">
        <v>257</v>
      </c>
      <c r="E11">
        <v>695</v>
      </c>
    </row>
    <row r="12" spans="1:5" x14ac:dyDescent="0.2">
      <c r="A12" s="235" t="s">
        <v>621</v>
      </c>
      <c r="B12">
        <v>14</v>
      </c>
      <c r="C12">
        <v>373</v>
      </c>
      <c r="D12">
        <v>220</v>
      </c>
      <c r="E12">
        <v>607</v>
      </c>
    </row>
    <row r="13" spans="1:5" x14ac:dyDescent="0.2">
      <c r="A13" s="235" t="s">
        <v>1419</v>
      </c>
      <c r="B13">
        <v>12</v>
      </c>
      <c r="C13">
        <v>344</v>
      </c>
      <c r="D13">
        <v>199</v>
      </c>
      <c r="E13">
        <v>555</v>
      </c>
    </row>
    <row r="14" spans="1:5" x14ac:dyDescent="0.2">
      <c r="A14" s="235" t="s">
        <v>1572</v>
      </c>
      <c r="B14">
        <v>22</v>
      </c>
      <c r="C14">
        <v>288</v>
      </c>
      <c r="D14">
        <v>214</v>
      </c>
      <c r="E14">
        <v>524</v>
      </c>
    </row>
    <row r="15" spans="1:5" x14ac:dyDescent="0.2">
      <c r="A15" s="235" t="s">
        <v>333</v>
      </c>
      <c r="B15">
        <v>241</v>
      </c>
      <c r="C15">
        <v>4765</v>
      </c>
      <c r="D15">
        <v>3719</v>
      </c>
      <c r="E15">
        <v>8725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sheetPr>
  <dimension ref="A1:Y16"/>
  <sheetViews>
    <sheetView workbookViewId="0">
      <selection activeCell="C8" sqref="C8"/>
    </sheetView>
  </sheetViews>
  <sheetFormatPr defaultRowHeight="12.75" x14ac:dyDescent="0.2"/>
  <cols>
    <col min="1" max="1" width="13" bestFit="1" customWidth="1"/>
    <col min="2" max="2" width="42.5703125" bestFit="1" customWidth="1"/>
    <col min="3" max="3" width="47.85546875" bestFit="1" customWidth="1"/>
    <col min="4" max="4" width="32.5703125" bestFit="1" customWidth="1"/>
    <col min="5" max="5" width="26.28515625" bestFit="1" customWidth="1"/>
    <col min="6" max="6" width="42.85546875" bestFit="1" customWidth="1"/>
    <col min="7" max="7" width="11.85546875" bestFit="1" customWidth="1"/>
    <col min="8" max="8" width="42.5703125" bestFit="1" customWidth="1"/>
    <col min="9" max="9" width="47.85546875" bestFit="1" customWidth="1"/>
    <col min="10" max="10" width="32.5703125" bestFit="1" customWidth="1"/>
    <col min="11" max="11" width="26.28515625" bestFit="1" customWidth="1"/>
    <col min="12" max="12" width="42.85546875" bestFit="1" customWidth="1"/>
    <col min="13" max="13" width="11.85546875" bestFit="1" customWidth="1"/>
    <col min="14" max="14" width="42.5703125" bestFit="1" customWidth="1"/>
    <col min="15" max="15" width="47.85546875" bestFit="1" customWidth="1"/>
    <col min="16" max="16" width="32.5703125" bestFit="1" customWidth="1"/>
    <col min="17" max="17" width="26.28515625" bestFit="1" customWidth="1"/>
    <col min="18" max="18" width="42.85546875" bestFit="1" customWidth="1"/>
    <col min="19" max="19" width="11.85546875" bestFit="1" customWidth="1"/>
    <col min="20" max="20" width="47.5703125" bestFit="1" customWidth="1"/>
    <col min="21" max="21" width="52.85546875" bestFit="1" customWidth="1"/>
    <col min="22" max="22" width="37.5703125" bestFit="1" customWidth="1"/>
    <col min="23" max="23" width="31.28515625" bestFit="1" customWidth="1"/>
    <col min="24" max="24" width="47.85546875" bestFit="1" customWidth="1"/>
    <col min="25" max="25" width="16.85546875" bestFit="1" customWidth="1"/>
  </cols>
  <sheetData>
    <row r="1" spans="1:25" x14ac:dyDescent="0.2">
      <c r="B1" s="234" t="s">
        <v>336</v>
      </c>
    </row>
    <row r="2" spans="1:25" x14ac:dyDescent="0.2">
      <c r="B2" t="s">
        <v>672</v>
      </c>
      <c r="H2" t="s">
        <v>673</v>
      </c>
      <c r="N2" t="s">
        <v>674</v>
      </c>
      <c r="T2" t="s">
        <v>676</v>
      </c>
      <c r="U2" t="s">
        <v>677</v>
      </c>
      <c r="V2" t="s">
        <v>679</v>
      </c>
      <c r="W2" t="s">
        <v>681</v>
      </c>
      <c r="X2" t="s">
        <v>683</v>
      </c>
      <c r="Y2" t="s">
        <v>685</v>
      </c>
    </row>
    <row r="3" spans="1:25" x14ac:dyDescent="0.2">
      <c r="A3" s="234" t="s">
        <v>326</v>
      </c>
      <c r="B3" t="s">
        <v>675</v>
      </c>
      <c r="C3" t="s">
        <v>678</v>
      </c>
      <c r="D3" t="s">
        <v>680</v>
      </c>
      <c r="E3" t="s">
        <v>682</v>
      </c>
      <c r="F3" t="s">
        <v>684</v>
      </c>
      <c r="G3" t="s">
        <v>344</v>
      </c>
      <c r="H3" t="s">
        <v>675</v>
      </c>
      <c r="I3" t="s">
        <v>678</v>
      </c>
      <c r="J3" t="s">
        <v>680</v>
      </c>
      <c r="K3" t="s">
        <v>682</v>
      </c>
      <c r="L3" t="s">
        <v>684</v>
      </c>
      <c r="M3" t="s">
        <v>344</v>
      </c>
      <c r="N3" t="s">
        <v>675</v>
      </c>
      <c r="O3" t="s">
        <v>678</v>
      </c>
      <c r="P3" t="s">
        <v>680</v>
      </c>
      <c r="Q3" t="s">
        <v>682</v>
      </c>
      <c r="R3" t="s">
        <v>684</v>
      </c>
      <c r="S3" t="s">
        <v>344</v>
      </c>
    </row>
    <row r="4" spans="1:25" x14ac:dyDescent="0.2">
      <c r="A4" s="235" t="s">
        <v>19</v>
      </c>
      <c r="B4">
        <v>10</v>
      </c>
      <c r="C4">
        <v>9</v>
      </c>
      <c r="D4">
        <v>10</v>
      </c>
      <c r="E4">
        <v>18</v>
      </c>
      <c r="F4">
        <v>6</v>
      </c>
      <c r="G4">
        <v>53</v>
      </c>
      <c r="H4">
        <v>417</v>
      </c>
      <c r="I4">
        <v>123</v>
      </c>
      <c r="J4">
        <v>155</v>
      </c>
      <c r="K4">
        <v>304</v>
      </c>
      <c r="L4">
        <v>33</v>
      </c>
      <c r="M4">
        <v>1032</v>
      </c>
      <c r="N4">
        <v>2519</v>
      </c>
      <c r="O4">
        <v>482</v>
      </c>
      <c r="P4">
        <v>847</v>
      </c>
      <c r="Q4">
        <v>2472</v>
      </c>
      <c r="R4">
        <v>240</v>
      </c>
      <c r="S4">
        <v>6560</v>
      </c>
      <c r="T4">
        <v>2946</v>
      </c>
      <c r="U4">
        <v>614</v>
      </c>
      <c r="V4">
        <v>1012</v>
      </c>
      <c r="W4">
        <v>2794</v>
      </c>
      <c r="X4">
        <v>279</v>
      </c>
      <c r="Y4">
        <v>7645</v>
      </c>
    </row>
    <row r="5" spans="1:25" x14ac:dyDescent="0.2">
      <c r="A5" s="235" t="s">
        <v>20</v>
      </c>
      <c r="B5">
        <v>15</v>
      </c>
      <c r="C5">
        <v>4</v>
      </c>
      <c r="D5">
        <v>8</v>
      </c>
      <c r="E5">
        <v>8</v>
      </c>
      <c r="F5">
        <v>10</v>
      </c>
      <c r="G5">
        <v>45</v>
      </c>
      <c r="H5">
        <v>493</v>
      </c>
      <c r="I5">
        <v>106</v>
      </c>
      <c r="J5">
        <v>155</v>
      </c>
      <c r="K5">
        <v>363</v>
      </c>
      <c r="L5">
        <v>25</v>
      </c>
      <c r="M5">
        <v>1142</v>
      </c>
      <c r="N5">
        <v>2576</v>
      </c>
      <c r="O5">
        <v>495</v>
      </c>
      <c r="P5">
        <v>823</v>
      </c>
      <c r="Q5">
        <v>2257</v>
      </c>
      <c r="R5">
        <v>142</v>
      </c>
      <c r="S5">
        <v>6293</v>
      </c>
      <c r="T5">
        <v>3084</v>
      </c>
      <c r="U5">
        <v>605</v>
      </c>
      <c r="V5">
        <v>986</v>
      </c>
      <c r="W5">
        <v>2628</v>
      </c>
      <c r="X5">
        <v>177</v>
      </c>
      <c r="Y5">
        <v>7480</v>
      </c>
    </row>
    <row r="6" spans="1:25" x14ac:dyDescent="0.2">
      <c r="A6" s="235" t="s">
        <v>13</v>
      </c>
      <c r="B6">
        <v>13</v>
      </c>
      <c r="C6">
        <v>11</v>
      </c>
      <c r="D6">
        <v>12</v>
      </c>
      <c r="E6">
        <v>10</v>
      </c>
      <c r="F6">
        <v>5</v>
      </c>
      <c r="G6">
        <v>51</v>
      </c>
      <c r="H6">
        <v>519</v>
      </c>
      <c r="I6">
        <v>143</v>
      </c>
      <c r="J6">
        <v>144</v>
      </c>
      <c r="K6">
        <v>380</v>
      </c>
      <c r="L6">
        <v>33</v>
      </c>
      <c r="M6">
        <v>1219</v>
      </c>
      <c r="N6">
        <v>2661</v>
      </c>
      <c r="O6">
        <v>492</v>
      </c>
      <c r="P6">
        <v>800</v>
      </c>
      <c r="Q6">
        <v>2079</v>
      </c>
      <c r="R6">
        <v>125</v>
      </c>
      <c r="S6">
        <v>6157</v>
      </c>
      <c r="T6">
        <v>3193</v>
      </c>
      <c r="U6">
        <v>646</v>
      </c>
      <c r="V6">
        <v>956</v>
      </c>
      <c r="W6">
        <v>2469</v>
      </c>
      <c r="X6">
        <v>163</v>
      </c>
      <c r="Y6">
        <v>7427</v>
      </c>
    </row>
    <row r="7" spans="1:25" x14ac:dyDescent="0.2">
      <c r="A7" s="235" t="s">
        <v>15</v>
      </c>
      <c r="B7">
        <v>11</v>
      </c>
      <c r="C7">
        <v>7</v>
      </c>
      <c r="D7">
        <v>7</v>
      </c>
      <c r="E7">
        <v>13</v>
      </c>
      <c r="F7">
        <v>2</v>
      </c>
      <c r="G7">
        <v>40</v>
      </c>
      <c r="H7">
        <v>540</v>
      </c>
      <c r="I7">
        <v>138</v>
      </c>
      <c r="J7">
        <v>145</v>
      </c>
      <c r="K7">
        <v>305</v>
      </c>
      <c r="L7">
        <v>38</v>
      </c>
      <c r="M7">
        <v>1166</v>
      </c>
      <c r="N7">
        <v>2641</v>
      </c>
      <c r="O7">
        <v>483</v>
      </c>
      <c r="P7">
        <v>806</v>
      </c>
      <c r="Q7">
        <v>1802</v>
      </c>
      <c r="R7">
        <v>97</v>
      </c>
      <c r="S7">
        <v>5829</v>
      </c>
      <c r="T7">
        <v>3192</v>
      </c>
      <c r="U7">
        <v>628</v>
      </c>
      <c r="V7">
        <v>958</v>
      </c>
      <c r="W7">
        <v>2120</v>
      </c>
      <c r="X7">
        <v>137</v>
      </c>
      <c r="Y7">
        <v>7035</v>
      </c>
    </row>
    <row r="8" spans="1:25" x14ac:dyDescent="0.2">
      <c r="A8" s="235" t="s">
        <v>17</v>
      </c>
      <c r="B8">
        <v>9</v>
      </c>
      <c r="C8">
        <v>7</v>
      </c>
      <c r="D8">
        <v>9</v>
      </c>
      <c r="E8">
        <v>4</v>
      </c>
      <c r="G8">
        <v>29</v>
      </c>
      <c r="H8">
        <v>532</v>
      </c>
      <c r="I8">
        <v>129</v>
      </c>
      <c r="J8">
        <v>125</v>
      </c>
      <c r="K8">
        <v>329</v>
      </c>
      <c r="L8">
        <v>25</v>
      </c>
      <c r="M8">
        <v>1140</v>
      </c>
      <c r="N8">
        <v>2481</v>
      </c>
      <c r="O8">
        <v>467</v>
      </c>
      <c r="P8">
        <v>773</v>
      </c>
      <c r="Q8">
        <v>1521</v>
      </c>
      <c r="R8">
        <v>81</v>
      </c>
      <c r="S8">
        <v>5323</v>
      </c>
      <c r="T8">
        <v>3022</v>
      </c>
      <c r="U8">
        <v>603</v>
      </c>
      <c r="V8">
        <v>907</v>
      </c>
      <c r="W8">
        <v>1854</v>
      </c>
      <c r="X8">
        <v>106</v>
      </c>
      <c r="Y8">
        <v>6492</v>
      </c>
    </row>
    <row r="9" spans="1:25" x14ac:dyDescent="0.2">
      <c r="A9" s="235" t="s">
        <v>133</v>
      </c>
      <c r="B9">
        <v>12</v>
      </c>
      <c r="C9">
        <v>6</v>
      </c>
      <c r="D9">
        <v>6</v>
      </c>
      <c r="E9">
        <v>3</v>
      </c>
      <c r="F9">
        <v>4</v>
      </c>
      <c r="G9">
        <v>31</v>
      </c>
      <c r="H9">
        <v>489</v>
      </c>
      <c r="I9">
        <v>110</v>
      </c>
      <c r="J9">
        <v>110</v>
      </c>
      <c r="K9">
        <v>222</v>
      </c>
      <c r="L9">
        <v>16</v>
      </c>
      <c r="M9">
        <v>947</v>
      </c>
      <c r="N9">
        <v>2791</v>
      </c>
      <c r="O9">
        <v>485</v>
      </c>
      <c r="P9">
        <v>799</v>
      </c>
      <c r="Q9">
        <v>1414</v>
      </c>
      <c r="R9">
        <v>85</v>
      </c>
      <c r="S9">
        <v>5574</v>
      </c>
      <c r="T9">
        <v>3292</v>
      </c>
      <c r="U9">
        <v>601</v>
      </c>
      <c r="V9">
        <v>915</v>
      </c>
      <c r="W9">
        <v>1639</v>
      </c>
      <c r="X9">
        <v>105</v>
      </c>
      <c r="Y9">
        <v>6552</v>
      </c>
    </row>
    <row r="10" spans="1:25" x14ac:dyDescent="0.2">
      <c r="A10" s="235" t="s">
        <v>144</v>
      </c>
      <c r="B10">
        <v>6</v>
      </c>
      <c r="C10">
        <v>10</v>
      </c>
      <c r="D10">
        <v>5</v>
      </c>
      <c r="E10">
        <v>14</v>
      </c>
      <c r="F10">
        <v>4</v>
      </c>
      <c r="G10">
        <v>39</v>
      </c>
      <c r="H10">
        <v>491</v>
      </c>
      <c r="I10">
        <v>131</v>
      </c>
      <c r="J10">
        <v>124</v>
      </c>
      <c r="K10">
        <v>274</v>
      </c>
      <c r="L10">
        <v>43</v>
      </c>
      <c r="M10">
        <v>1063</v>
      </c>
      <c r="N10">
        <v>2859</v>
      </c>
      <c r="O10">
        <v>531</v>
      </c>
      <c r="P10">
        <v>779</v>
      </c>
      <c r="Q10">
        <v>1422</v>
      </c>
      <c r="R10">
        <v>82</v>
      </c>
      <c r="S10">
        <v>5673</v>
      </c>
      <c r="T10">
        <v>3356</v>
      </c>
      <c r="U10">
        <v>672</v>
      </c>
      <c r="V10">
        <v>908</v>
      </c>
      <c r="W10">
        <v>1710</v>
      </c>
      <c r="X10">
        <v>129</v>
      </c>
      <c r="Y10">
        <v>6775</v>
      </c>
    </row>
    <row r="11" spans="1:25" x14ac:dyDescent="0.2">
      <c r="A11" s="235" t="s">
        <v>282</v>
      </c>
      <c r="B11">
        <v>8</v>
      </c>
      <c r="C11">
        <v>7</v>
      </c>
      <c r="D11">
        <v>8</v>
      </c>
      <c r="E11">
        <v>6</v>
      </c>
      <c r="F11">
        <v>7</v>
      </c>
      <c r="G11">
        <v>36</v>
      </c>
      <c r="H11">
        <v>581</v>
      </c>
      <c r="I11">
        <v>149</v>
      </c>
      <c r="J11">
        <v>114</v>
      </c>
      <c r="K11">
        <v>262</v>
      </c>
      <c r="L11">
        <v>9</v>
      </c>
      <c r="M11">
        <v>1115</v>
      </c>
      <c r="N11">
        <v>2953</v>
      </c>
      <c r="O11">
        <v>446</v>
      </c>
      <c r="P11">
        <v>672</v>
      </c>
      <c r="Q11">
        <v>1392</v>
      </c>
      <c r="R11">
        <v>77</v>
      </c>
      <c r="S11">
        <v>5540</v>
      </c>
      <c r="T11">
        <v>3542</v>
      </c>
      <c r="U11">
        <v>602</v>
      </c>
      <c r="V11">
        <v>794</v>
      </c>
      <c r="W11">
        <v>1660</v>
      </c>
      <c r="X11">
        <v>93</v>
      </c>
      <c r="Y11">
        <v>6691</v>
      </c>
    </row>
    <row r="12" spans="1:25" x14ac:dyDescent="0.2">
      <c r="A12" s="235" t="s">
        <v>311</v>
      </c>
      <c r="B12">
        <v>12</v>
      </c>
      <c r="C12">
        <v>8</v>
      </c>
      <c r="D12">
        <v>8</v>
      </c>
      <c r="E12">
        <v>6</v>
      </c>
      <c r="F12">
        <v>3</v>
      </c>
      <c r="G12">
        <v>37</v>
      </c>
      <c r="H12">
        <v>502</v>
      </c>
      <c r="I12">
        <v>111</v>
      </c>
      <c r="J12">
        <v>76</v>
      </c>
      <c r="K12">
        <v>211</v>
      </c>
      <c r="L12">
        <v>21</v>
      </c>
      <c r="M12">
        <v>921</v>
      </c>
      <c r="N12">
        <v>2762</v>
      </c>
      <c r="O12">
        <v>441</v>
      </c>
      <c r="P12">
        <v>694</v>
      </c>
      <c r="Q12">
        <v>1316</v>
      </c>
      <c r="R12">
        <v>98</v>
      </c>
      <c r="S12">
        <v>5311</v>
      </c>
      <c r="T12">
        <v>3276</v>
      </c>
      <c r="U12">
        <v>560</v>
      </c>
      <c r="V12">
        <v>778</v>
      </c>
      <c r="W12">
        <v>1533</v>
      </c>
      <c r="X12">
        <v>122</v>
      </c>
      <c r="Y12">
        <v>6269</v>
      </c>
    </row>
    <row r="13" spans="1:25" x14ac:dyDescent="0.2">
      <c r="A13" s="235" t="s">
        <v>621</v>
      </c>
      <c r="B13">
        <v>12</v>
      </c>
      <c r="C13">
        <v>7</v>
      </c>
      <c r="D13">
        <v>4</v>
      </c>
      <c r="E13">
        <v>10</v>
      </c>
      <c r="F13">
        <v>7</v>
      </c>
      <c r="G13">
        <v>40</v>
      </c>
      <c r="H13">
        <v>588</v>
      </c>
      <c r="I13">
        <v>88</v>
      </c>
      <c r="J13">
        <v>92</v>
      </c>
      <c r="K13">
        <v>217</v>
      </c>
      <c r="L13">
        <v>31</v>
      </c>
      <c r="M13">
        <v>1016</v>
      </c>
      <c r="N13">
        <v>2740</v>
      </c>
      <c r="O13">
        <v>405</v>
      </c>
      <c r="P13">
        <v>601</v>
      </c>
      <c r="Q13">
        <v>1307</v>
      </c>
      <c r="R13">
        <v>92</v>
      </c>
      <c r="S13">
        <v>5145</v>
      </c>
      <c r="T13">
        <v>3340</v>
      </c>
      <c r="U13">
        <v>500</v>
      </c>
      <c r="V13">
        <v>697</v>
      </c>
      <c r="W13">
        <v>1534</v>
      </c>
      <c r="X13">
        <v>130</v>
      </c>
      <c r="Y13">
        <v>6201</v>
      </c>
    </row>
    <row r="14" spans="1:25" x14ac:dyDescent="0.2">
      <c r="A14" s="235" t="s">
        <v>1419</v>
      </c>
      <c r="B14">
        <v>8</v>
      </c>
      <c r="C14">
        <v>3</v>
      </c>
      <c r="D14">
        <v>3</v>
      </c>
      <c r="E14">
        <v>5</v>
      </c>
      <c r="F14">
        <v>2</v>
      </c>
      <c r="G14">
        <v>21</v>
      </c>
      <c r="H14">
        <v>443</v>
      </c>
      <c r="I14">
        <v>119</v>
      </c>
      <c r="J14">
        <v>55</v>
      </c>
      <c r="K14">
        <v>232</v>
      </c>
      <c r="L14">
        <v>28</v>
      </c>
      <c r="M14">
        <v>877</v>
      </c>
      <c r="N14">
        <v>2540</v>
      </c>
      <c r="O14">
        <v>420</v>
      </c>
      <c r="P14">
        <v>525</v>
      </c>
      <c r="Q14">
        <v>1290</v>
      </c>
      <c r="R14">
        <v>115</v>
      </c>
      <c r="S14">
        <v>4890</v>
      </c>
      <c r="T14">
        <v>2991</v>
      </c>
      <c r="U14">
        <v>542</v>
      </c>
      <c r="V14">
        <v>583</v>
      </c>
      <c r="W14">
        <v>1527</v>
      </c>
      <c r="X14">
        <v>145</v>
      </c>
      <c r="Y14">
        <v>5788</v>
      </c>
    </row>
    <row r="15" spans="1:25" x14ac:dyDescent="0.2">
      <c r="A15" s="235" t="s">
        <v>1572</v>
      </c>
      <c r="B15">
        <v>23</v>
      </c>
      <c r="C15">
        <v>5</v>
      </c>
      <c r="D15">
        <v>3</v>
      </c>
      <c r="E15">
        <v>4</v>
      </c>
      <c r="F15">
        <v>9</v>
      </c>
      <c r="G15">
        <v>44</v>
      </c>
      <c r="H15">
        <v>484</v>
      </c>
      <c r="I15">
        <v>111</v>
      </c>
      <c r="J15">
        <v>59</v>
      </c>
      <c r="K15">
        <v>181</v>
      </c>
      <c r="L15">
        <v>41</v>
      </c>
      <c r="M15">
        <v>876</v>
      </c>
      <c r="N15">
        <v>2431</v>
      </c>
      <c r="O15">
        <v>404</v>
      </c>
      <c r="P15">
        <v>541</v>
      </c>
      <c r="Q15">
        <v>1163</v>
      </c>
      <c r="R15">
        <v>122</v>
      </c>
      <c r="S15">
        <v>4661</v>
      </c>
      <c r="T15">
        <v>2938</v>
      </c>
      <c r="U15">
        <v>520</v>
      </c>
      <c r="V15">
        <v>603</v>
      </c>
      <c r="W15">
        <v>1348</v>
      </c>
      <c r="X15">
        <v>172</v>
      </c>
      <c r="Y15">
        <v>5581</v>
      </c>
    </row>
    <row r="16" spans="1:25" x14ac:dyDescent="0.2">
      <c r="A16" s="235" t="s">
        <v>333</v>
      </c>
      <c r="B16">
        <v>139</v>
      </c>
      <c r="C16">
        <v>84</v>
      </c>
      <c r="D16">
        <v>83</v>
      </c>
      <c r="E16">
        <v>101</v>
      </c>
      <c r="F16">
        <v>59</v>
      </c>
      <c r="G16">
        <v>466</v>
      </c>
      <c r="H16">
        <v>6079</v>
      </c>
      <c r="I16">
        <v>1458</v>
      </c>
      <c r="J16">
        <v>1354</v>
      </c>
      <c r="K16">
        <v>3280</v>
      </c>
      <c r="L16">
        <v>343</v>
      </c>
      <c r="M16">
        <v>12514</v>
      </c>
      <c r="N16">
        <v>31954</v>
      </c>
      <c r="O16">
        <v>5551</v>
      </c>
      <c r="P16">
        <v>8660</v>
      </c>
      <c r="Q16">
        <v>19435</v>
      </c>
      <c r="R16">
        <v>1356</v>
      </c>
      <c r="S16">
        <v>66956</v>
      </c>
      <c r="T16">
        <v>38172</v>
      </c>
      <c r="U16">
        <v>7093</v>
      </c>
      <c r="V16">
        <v>10097</v>
      </c>
      <c r="W16">
        <v>22816</v>
      </c>
      <c r="X16">
        <v>1758</v>
      </c>
      <c r="Y16">
        <v>79936</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P37"/>
  <sheetViews>
    <sheetView workbookViewId="0">
      <selection activeCell="C8" sqref="C8"/>
    </sheetView>
  </sheetViews>
  <sheetFormatPr defaultRowHeight="12.75" x14ac:dyDescent="0.2"/>
  <cols>
    <col min="1" max="1" width="19.5703125" bestFit="1" customWidth="1"/>
    <col min="2" max="2" width="44.140625" bestFit="1" customWidth="1"/>
    <col min="3" max="3" width="49.42578125" bestFit="1" customWidth="1"/>
    <col min="4" max="4" width="34.140625" bestFit="1" customWidth="1"/>
    <col min="5" max="5" width="27.85546875" bestFit="1" customWidth="1"/>
    <col min="6" max="6" width="44.42578125" bestFit="1" customWidth="1"/>
    <col min="7" max="7" width="43.85546875" bestFit="1" customWidth="1"/>
    <col min="8" max="8" width="49" bestFit="1" customWidth="1"/>
    <col min="9" max="9" width="33.85546875" bestFit="1" customWidth="1"/>
    <col min="10" max="10" width="27.42578125" bestFit="1" customWidth="1"/>
    <col min="11" max="11" width="44.140625" bestFit="1" customWidth="1"/>
    <col min="12" max="12" width="44.28515625" bestFit="1" customWidth="1"/>
    <col min="13" max="13" width="49.42578125" bestFit="1" customWidth="1"/>
    <col min="14" max="14" width="34.28515625" bestFit="1" customWidth="1"/>
    <col min="15" max="15" width="27.85546875" bestFit="1" customWidth="1"/>
    <col min="16" max="16" width="44.5703125" bestFit="1" customWidth="1"/>
  </cols>
  <sheetData>
    <row r="2" spans="1:16" x14ac:dyDescent="0.2">
      <c r="A2" s="234" t="s">
        <v>464</v>
      </c>
      <c r="B2" t="s">
        <v>1572</v>
      </c>
    </row>
    <row r="4" spans="1:16" x14ac:dyDescent="0.2">
      <c r="A4" s="234" t="s">
        <v>326</v>
      </c>
      <c r="B4" t="s">
        <v>465</v>
      </c>
      <c r="C4" t="s">
        <v>466</v>
      </c>
      <c r="D4" t="s">
        <v>467</v>
      </c>
      <c r="E4" t="s">
        <v>468</v>
      </c>
      <c r="F4" t="s">
        <v>469</v>
      </c>
      <c r="G4" t="s">
        <v>470</v>
      </c>
      <c r="H4" t="s">
        <v>471</v>
      </c>
      <c r="I4" t="s">
        <v>472</v>
      </c>
      <c r="J4" t="s">
        <v>473</v>
      </c>
      <c r="K4" t="s">
        <v>474</v>
      </c>
      <c r="L4" t="s">
        <v>475</v>
      </c>
      <c r="M4" t="s">
        <v>476</v>
      </c>
      <c r="N4" t="s">
        <v>477</v>
      </c>
      <c r="O4" t="s">
        <v>478</v>
      </c>
      <c r="P4" t="s">
        <v>479</v>
      </c>
    </row>
    <row r="5" spans="1:16" x14ac:dyDescent="0.2">
      <c r="A5" s="235" t="s">
        <v>23</v>
      </c>
      <c r="B5">
        <v>141</v>
      </c>
      <c r="C5">
        <v>24</v>
      </c>
      <c r="D5">
        <v>22</v>
      </c>
      <c r="E5">
        <v>52</v>
      </c>
      <c r="F5">
        <v>4</v>
      </c>
      <c r="G5">
        <v>3</v>
      </c>
      <c r="L5">
        <v>24</v>
      </c>
      <c r="M5">
        <v>7</v>
      </c>
      <c r="N5">
        <v>2</v>
      </c>
      <c r="O5">
        <v>2</v>
      </c>
    </row>
    <row r="6" spans="1:16" x14ac:dyDescent="0.2">
      <c r="A6" s="235" t="s">
        <v>24</v>
      </c>
      <c r="B6">
        <v>78</v>
      </c>
      <c r="C6">
        <v>11</v>
      </c>
      <c r="D6">
        <v>14</v>
      </c>
      <c r="E6">
        <v>62</v>
      </c>
      <c r="F6">
        <v>7</v>
      </c>
      <c r="K6">
        <v>1</v>
      </c>
      <c r="L6">
        <v>5</v>
      </c>
      <c r="M6">
        <v>1</v>
      </c>
      <c r="N6">
        <v>2</v>
      </c>
      <c r="O6">
        <v>7</v>
      </c>
      <c r="P6">
        <v>1</v>
      </c>
    </row>
    <row r="7" spans="1:16" x14ac:dyDescent="0.2">
      <c r="A7" s="235" t="s">
        <v>25</v>
      </c>
      <c r="B7">
        <v>45</v>
      </c>
      <c r="C7">
        <v>6</v>
      </c>
      <c r="D7">
        <v>3</v>
      </c>
      <c r="E7">
        <v>24</v>
      </c>
      <c r="F7">
        <v>2</v>
      </c>
      <c r="L7">
        <v>15</v>
      </c>
      <c r="M7">
        <v>2</v>
      </c>
      <c r="N7">
        <v>1</v>
      </c>
      <c r="O7">
        <v>1</v>
      </c>
    </row>
    <row r="8" spans="1:16" x14ac:dyDescent="0.2">
      <c r="A8" s="235" t="s">
        <v>26</v>
      </c>
      <c r="B8">
        <v>51</v>
      </c>
      <c r="C8">
        <v>5</v>
      </c>
      <c r="D8">
        <v>13</v>
      </c>
      <c r="E8">
        <v>9</v>
      </c>
      <c r="F8">
        <v>8</v>
      </c>
      <c r="K8">
        <v>1</v>
      </c>
      <c r="L8">
        <v>5</v>
      </c>
      <c r="P8">
        <v>2</v>
      </c>
    </row>
    <row r="9" spans="1:16" x14ac:dyDescent="0.2">
      <c r="A9" s="235" t="s">
        <v>619</v>
      </c>
      <c r="B9">
        <v>162</v>
      </c>
      <c r="C9">
        <v>34</v>
      </c>
      <c r="D9">
        <v>55</v>
      </c>
      <c r="E9">
        <v>164</v>
      </c>
      <c r="F9">
        <v>7</v>
      </c>
      <c r="G9">
        <v>1</v>
      </c>
      <c r="K9">
        <v>1</v>
      </c>
      <c r="L9">
        <v>25</v>
      </c>
      <c r="M9">
        <v>10</v>
      </c>
      <c r="N9">
        <v>3</v>
      </c>
      <c r="O9">
        <v>18</v>
      </c>
      <c r="P9">
        <v>5</v>
      </c>
    </row>
    <row r="10" spans="1:16" x14ac:dyDescent="0.2">
      <c r="A10" s="235" t="s">
        <v>27</v>
      </c>
      <c r="B10">
        <v>32</v>
      </c>
      <c r="C10">
        <v>6</v>
      </c>
      <c r="D10">
        <v>4</v>
      </c>
      <c r="E10">
        <v>13</v>
      </c>
      <c r="G10">
        <v>1</v>
      </c>
      <c r="J10">
        <v>1</v>
      </c>
      <c r="L10">
        <v>8</v>
      </c>
      <c r="M10">
        <v>5</v>
      </c>
      <c r="O10">
        <v>7</v>
      </c>
    </row>
    <row r="11" spans="1:16" x14ac:dyDescent="0.2">
      <c r="A11" s="235" t="s">
        <v>28</v>
      </c>
      <c r="B11">
        <v>47</v>
      </c>
      <c r="C11">
        <v>5</v>
      </c>
      <c r="D11">
        <v>5</v>
      </c>
      <c r="E11">
        <v>16</v>
      </c>
      <c r="F11">
        <v>1</v>
      </c>
      <c r="G11">
        <v>1</v>
      </c>
      <c r="K11">
        <v>1</v>
      </c>
      <c r="L11">
        <v>2</v>
      </c>
      <c r="M11">
        <v>1</v>
      </c>
      <c r="O11">
        <v>1</v>
      </c>
    </row>
    <row r="12" spans="1:16" x14ac:dyDescent="0.2">
      <c r="A12" s="235" t="s">
        <v>29</v>
      </c>
      <c r="B12">
        <v>99</v>
      </c>
      <c r="C12">
        <v>18</v>
      </c>
      <c r="D12">
        <v>27</v>
      </c>
      <c r="E12">
        <v>61</v>
      </c>
      <c r="F12">
        <v>4</v>
      </c>
      <c r="G12">
        <v>2</v>
      </c>
      <c r="K12">
        <v>1</v>
      </c>
      <c r="L12">
        <v>20</v>
      </c>
      <c r="M12">
        <v>5</v>
      </c>
      <c r="N12">
        <v>3</v>
      </c>
      <c r="O12">
        <v>4</v>
      </c>
    </row>
    <row r="13" spans="1:16" x14ac:dyDescent="0.2">
      <c r="A13" s="235" t="s">
        <v>30</v>
      </c>
      <c r="B13">
        <v>67</v>
      </c>
      <c r="C13">
        <v>10</v>
      </c>
      <c r="D13">
        <v>15</v>
      </c>
      <c r="E13">
        <v>14</v>
      </c>
      <c r="F13">
        <v>3</v>
      </c>
      <c r="G13">
        <v>1</v>
      </c>
      <c r="L13">
        <v>11</v>
      </c>
      <c r="M13">
        <v>4</v>
      </c>
      <c r="N13">
        <v>2</v>
      </c>
      <c r="O13">
        <v>2</v>
      </c>
      <c r="P13">
        <v>1</v>
      </c>
    </row>
    <row r="14" spans="1:16" x14ac:dyDescent="0.2">
      <c r="A14" s="235" t="s">
        <v>31</v>
      </c>
      <c r="B14">
        <v>41</v>
      </c>
      <c r="C14">
        <v>5</v>
      </c>
      <c r="D14">
        <v>13</v>
      </c>
      <c r="E14">
        <v>12</v>
      </c>
      <c r="F14">
        <v>3</v>
      </c>
      <c r="G14">
        <v>1</v>
      </c>
      <c r="L14">
        <v>3</v>
      </c>
      <c r="M14">
        <v>3</v>
      </c>
      <c r="N14">
        <v>1</v>
      </c>
      <c r="O14">
        <v>2</v>
      </c>
    </row>
    <row r="15" spans="1:16" x14ac:dyDescent="0.2">
      <c r="A15" s="235" t="s">
        <v>32</v>
      </c>
      <c r="B15">
        <v>27</v>
      </c>
      <c r="C15">
        <v>3</v>
      </c>
      <c r="D15">
        <v>8</v>
      </c>
      <c r="E15">
        <v>10</v>
      </c>
      <c r="F15">
        <v>1</v>
      </c>
      <c r="G15">
        <v>1</v>
      </c>
      <c r="L15">
        <v>3</v>
      </c>
      <c r="N15">
        <v>1</v>
      </c>
    </row>
    <row r="16" spans="1:16" x14ac:dyDescent="0.2">
      <c r="A16" s="235" t="s">
        <v>33</v>
      </c>
      <c r="B16">
        <v>33</v>
      </c>
      <c r="C16">
        <v>6</v>
      </c>
      <c r="D16">
        <v>6</v>
      </c>
      <c r="E16">
        <v>7</v>
      </c>
      <c r="F16">
        <v>1</v>
      </c>
      <c r="G16">
        <v>1</v>
      </c>
      <c r="L16">
        <v>3</v>
      </c>
      <c r="M16">
        <v>2</v>
      </c>
      <c r="O16">
        <v>1</v>
      </c>
    </row>
    <row r="17" spans="1:16" x14ac:dyDescent="0.2">
      <c r="A17" s="235" t="s">
        <v>34</v>
      </c>
      <c r="B17">
        <v>49</v>
      </c>
      <c r="C17">
        <v>10</v>
      </c>
      <c r="D17">
        <v>20</v>
      </c>
      <c r="E17">
        <v>28</v>
      </c>
      <c r="F17">
        <v>2</v>
      </c>
      <c r="L17">
        <v>12</v>
      </c>
      <c r="M17">
        <v>6</v>
      </c>
      <c r="N17">
        <v>4</v>
      </c>
      <c r="O17">
        <v>8</v>
      </c>
    </row>
    <row r="18" spans="1:16" x14ac:dyDescent="0.2">
      <c r="A18" s="235" t="s">
        <v>35</v>
      </c>
      <c r="B18">
        <v>93</v>
      </c>
      <c r="C18">
        <v>27</v>
      </c>
      <c r="D18">
        <v>33</v>
      </c>
      <c r="E18">
        <v>90</v>
      </c>
      <c r="F18">
        <v>4</v>
      </c>
      <c r="G18">
        <v>1</v>
      </c>
      <c r="I18">
        <v>1</v>
      </c>
      <c r="L18">
        <v>24</v>
      </c>
      <c r="M18">
        <v>2</v>
      </c>
      <c r="N18">
        <v>2</v>
      </c>
      <c r="O18">
        <v>15</v>
      </c>
      <c r="P18">
        <v>2</v>
      </c>
    </row>
    <row r="19" spans="1:16" x14ac:dyDescent="0.2">
      <c r="A19" s="235" t="s">
        <v>36</v>
      </c>
      <c r="B19">
        <v>446</v>
      </c>
      <c r="C19">
        <v>56</v>
      </c>
      <c r="D19">
        <v>92</v>
      </c>
      <c r="E19">
        <v>170</v>
      </c>
      <c r="F19">
        <v>31</v>
      </c>
      <c r="G19">
        <v>4</v>
      </c>
      <c r="I19">
        <v>1</v>
      </c>
      <c r="J19">
        <v>1</v>
      </c>
      <c r="K19">
        <v>1</v>
      </c>
      <c r="L19">
        <v>99</v>
      </c>
      <c r="M19">
        <v>13</v>
      </c>
      <c r="N19">
        <v>14</v>
      </c>
      <c r="O19">
        <v>27</v>
      </c>
      <c r="P19">
        <v>13</v>
      </c>
    </row>
    <row r="20" spans="1:16" x14ac:dyDescent="0.2">
      <c r="A20" s="235" t="s">
        <v>37</v>
      </c>
      <c r="B20">
        <v>62</v>
      </c>
      <c r="C20">
        <v>13</v>
      </c>
      <c r="D20">
        <v>10</v>
      </c>
      <c r="E20">
        <v>43</v>
      </c>
      <c r="F20">
        <v>4</v>
      </c>
      <c r="L20">
        <v>9</v>
      </c>
      <c r="M20">
        <v>2</v>
      </c>
      <c r="N20">
        <v>1</v>
      </c>
      <c r="O20">
        <v>4</v>
      </c>
      <c r="P20">
        <v>2</v>
      </c>
    </row>
    <row r="21" spans="1:16" x14ac:dyDescent="0.2">
      <c r="A21" s="235" t="s">
        <v>38</v>
      </c>
      <c r="B21">
        <v>56</v>
      </c>
      <c r="C21">
        <v>14</v>
      </c>
      <c r="D21">
        <v>12</v>
      </c>
      <c r="E21">
        <v>25</v>
      </c>
      <c r="F21">
        <v>3</v>
      </c>
      <c r="G21">
        <v>1</v>
      </c>
      <c r="H21">
        <v>1</v>
      </c>
      <c r="L21">
        <v>19</v>
      </c>
      <c r="M21">
        <v>5</v>
      </c>
      <c r="N21">
        <v>2</v>
      </c>
      <c r="O21">
        <v>6</v>
      </c>
      <c r="P21">
        <v>1</v>
      </c>
    </row>
    <row r="22" spans="1:16" x14ac:dyDescent="0.2">
      <c r="A22" s="235" t="s">
        <v>39</v>
      </c>
      <c r="B22">
        <v>37</v>
      </c>
      <c r="C22">
        <v>2</v>
      </c>
      <c r="D22">
        <v>8</v>
      </c>
      <c r="E22">
        <v>12</v>
      </c>
      <c r="G22">
        <v>1</v>
      </c>
      <c r="L22">
        <v>5</v>
      </c>
      <c r="M22">
        <v>3</v>
      </c>
      <c r="N22">
        <v>2</v>
      </c>
      <c r="O22">
        <v>3</v>
      </c>
    </row>
    <row r="23" spans="1:16" x14ac:dyDescent="0.2">
      <c r="A23" s="235" t="s">
        <v>40</v>
      </c>
      <c r="B23">
        <v>22</v>
      </c>
      <c r="C23">
        <v>5</v>
      </c>
      <c r="D23">
        <v>9</v>
      </c>
      <c r="E23">
        <v>13</v>
      </c>
      <c r="F23">
        <v>2</v>
      </c>
      <c r="K23">
        <v>1</v>
      </c>
      <c r="L23">
        <v>2</v>
      </c>
      <c r="M23">
        <v>1</v>
      </c>
      <c r="N23">
        <v>2</v>
      </c>
      <c r="O23">
        <v>2</v>
      </c>
    </row>
    <row r="24" spans="1:16" x14ac:dyDescent="0.2">
      <c r="A24" s="235" t="s">
        <v>295</v>
      </c>
      <c r="B24">
        <v>12</v>
      </c>
      <c r="C24">
        <v>1</v>
      </c>
      <c r="D24">
        <v>1</v>
      </c>
      <c r="E24">
        <v>7</v>
      </c>
      <c r="F24">
        <v>1</v>
      </c>
      <c r="L24">
        <v>4</v>
      </c>
    </row>
    <row r="25" spans="1:16" x14ac:dyDescent="0.2">
      <c r="A25" s="235" t="s">
        <v>41</v>
      </c>
      <c r="B25">
        <v>90</v>
      </c>
      <c r="C25">
        <v>12</v>
      </c>
      <c r="D25">
        <v>18</v>
      </c>
      <c r="E25">
        <v>30</v>
      </c>
      <c r="F25">
        <v>3</v>
      </c>
      <c r="L25">
        <v>22</v>
      </c>
      <c r="M25">
        <v>7</v>
      </c>
      <c r="O25">
        <v>10</v>
      </c>
    </row>
    <row r="26" spans="1:16" x14ac:dyDescent="0.2">
      <c r="A26" s="235" t="s">
        <v>42</v>
      </c>
      <c r="B26">
        <v>177</v>
      </c>
      <c r="C26">
        <v>34</v>
      </c>
      <c r="D26">
        <v>45</v>
      </c>
      <c r="E26">
        <v>54</v>
      </c>
      <c r="F26">
        <v>8</v>
      </c>
      <c r="H26">
        <v>1</v>
      </c>
      <c r="K26">
        <v>1</v>
      </c>
      <c r="L26">
        <v>38</v>
      </c>
      <c r="M26">
        <v>14</v>
      </c>
      <c r="N26">
        <v>6</v>
      </c>
      <c r="O26">
        <v>15</v>
      </c>
      <c r="P26">
        <v>2</v>
      </c>
    </row>
    <row r="27" spans="1:16" x14ac:dyDescent="0.2">
      <c r="A27" s="235" t="s">
        <v>43</v>
      </c>
      <c r="B27">
        <v>1</v>
      </c>
      <c r="E27">
        <v>2</v>
      </c>
      <c r="F27">
        <v>1</v>
      </c>
      <c r="P27">
        <v>1</v>
      </c>
    </row>
    <row r="28" spans="1:16" x14ac:dyDescent="0.2">
      <c r="A28" s="235" t="s">
        <v>44</v>
      </c>
      <c r="B28">
        <v>54</v>
      </c>
      <c r="C28">
        <v>11</v>
      </c>
      <c r="D28">
        <v>7</v>
      </c>
      <c r="E28">
        <v>30</v>
      </c>
      <c r="F28">
        <v>2</v>
      </c>
      <c r="L28">
        <v>11</v>
      </c>
      <c r="M28">
        <v>2</v>
      </c>
      <c r="N28">
        <v>2</v>
      </c>
      <c r="O28">
        <v>10</v>
      </c>
    </row>
    <row r="29" spans="1:16" x14ac:dyDescent="0.2">
      <c r="A29" s="235" t="s">
        <v>45</v>
      </c>
      <c r="B29">
        <v>104</v>
      </c>
      <c r="C29">
        <v>14</v>
      </c>
      <c r="D29">
        <v>22</v>
      </c>
      <c r="E29">
        <v>41</v>
      </c>
      <c r="F29">
        <v>4</v>
      </c>
      <c r="G29">
        <v>3</v>
      </c>
      <c r="L29">
        <v>29</v>
      </c>
      <c r="M29">
        <v>1</v>
      </c>
      <c r="N29">
        <v>1</v>
      </c>
      <c r="O29">
        <v>3</v>
      </c>
      <c r="P29">
        <v>3</v>
      </c>
    </row>
    <row r="30" spans="1:16" x14ac:dyDescent="0.2">
      <c r="A30" s="235" t="s">
        <v>46</v>
      </c>
      <c r="B30">
        <v>40</v>
      </c>
      <c r="C30">
        <v>4</v>
      </c>
      <c r="D30">
        <v>12</v>
      </c>
      <c r="E30">
        <v>27</v>
      </c>
      <c r="F30">
        <v>2</v>
      </c>
      <c r="J30">
        <v>1</v>
      </c>
      <c r="L30">
        <v>6</v>
      </c>
      <c r="N30">
        <v>3</v>
      </c>
      <c r="O30">
        <v>2</v>
      </c>
      <c r="P30">
        <v>1</v>
      </c>
    </row>
    <row r="31" spans="1:16" x14ac:dyDescent="0.2">
      <c r="A31" s="235" t="s">
        <v>47</v>
      </c>
      <c r="B31">
        <v>12</v>
      </c>
      <c r="D31">
        <v>1</v>
      </c>
      <c r="E31">
        <v>12</v>
      </c>
      <c r="L31">
        <v>2</v>
      </c>
    </row>
    <row r="32" spans="1:16" x14ac:dyDescent="0.2">
      <c r="A32" s="235" t="s">
        <v>48</v>
      </c>
      <c r="B32">
        <v>50</v>
      </c>
      <c r="C32">
        <v>11</v>
      </c>
      <c r="D32">
        <v>10</v>
      </c>
      <c r="E32">
        <v>18</v>
      </c>
      <c r="F32">
        <v>1</v>
      </c>
      <c r="H32">
        <v>1</v>
      </c>
      <c r="L32">
        <v>14</v>
      </c>
      <c r="M32">
        <v>3</v>
      </c>
      <c r="O32">
        <v>3</v>
      </c>
    </row>
    <row r="33" spans="1:16" x14ac:dyDescent="0.2">
      <c r="A33" s="235" t="s">
        <v>49</v>
      </c>
      <c r="B33">
        <v>130</v>
      </c>
      <c r="C33">
        <v>33</v>
      </c>
      <c r="D33">
        <v>33</v>
      </c>
      <c r="E33">
        <v>52</v>
      </c>
      <c r="F33">
        <v>7</v>
      </c>
      <c r="H33">
        <v>1</v>
      </c>
      <c r="K33">
        <v>1</v>
      </c>
      <c r="L33">
        <v>26</v>
      </c>
      <c r="M33">
        <v>9</v>
      </c>
      <c r="N33">
        <v>3</v>
      </c>
      <c r="O33">
        <v>20</v>
      </c>
      <c r="P33">
        <v>1</v>
      </c>
    </row>
    <row r="34" spans="1:16" x14ac:dyDescent="0.2">
      <c r="A34" s="235" t="s">
        <v>50</v>
      </c>
      <c r="B34">
        <v>29</v>
      </c>
      <c r="C34">
        <v>7</v>
      </c>
      <c r="D34">
        <v>4</v>
      </c>
      <c r="E34">
        <v>19</v>
      </c>
      <c r="L34">
        <v>6</v>
      </c>
      <c r="N34">
        <v>1</v>
      </c>
      <c r="O34">
        <v>2</v>
      </c>
    </row>
    <row r="35" spans="1:16" x14ac:dyDescent="0.2">
      <c r="A35" s="235" t="s">
        <v>51</v>
      </c>
      <c r="B35">
        <v>77</v>
      </c>
      <c r="C35">
        <v>13</v>
      </c>
      <c r="D35">
        <v>11</v>
      </c>
      <c r="E35">
        <v>15</v>
      </c>
      <c r="F35">
        <v>1</v>
      </c>
      <c r="G35">
        <v>1</v>
      </c>
      <c r="I35">
        <v>1</v>
      </c>
      <c r="L35">
        <v>17</v>
      </c>
      <c r="M35">
        <v>1</v>
      </c>
      <c r="N35">
        <v>1</v>
      </c>
      <c r="O35">
        <v>1</v>
      </c>
      <c r="P35">
        <v>1</v>
      </c>
    </row>
    <row r="36" spans="1:16" x14ac:dyDescent="0.2">
      <c r="A36" s="235" t="s">
        <v>52</v>
      </c>
      <c r="B36">
        <v>67</v>
      </c>
      <c r="C36">
        <v>4</v>
      </c>
      <c r="D36">
        <v>8</v>
      </c>
      <c r="E36">
        <v>31</v>
      </c>
      <c r="F36">
        <v>5</v>
      </c>
      <c r="H36">
        <v>1</v>
      </c>
      <c r="J36">
        <v>1</v>
      </c>
      <c r="L36">
        <v>15</v>
      </c>
      <c r="M36">
        <v>2</v>
      </c>
      <c r="O36">
        <v>5</v>
      </c>
      <c r="P36">
        <v>5</v>
      </c>
    </row>
    <row r="37" spans="1:16" x14ac:dyDescent="0.2">
      <c r="A37" s="235" t="s">
        <v>333</v>
      </c>
      <c r="B37">
        <v>2431</v>
      </c>
      <c r="C37">
        <v>404</v>
      </c>
      <c r="D37">
        <v>541</v>
      </c>
      <c r="E37">
        <v>1163</v>
      </c>
      <c r="F37">
        <v>122</v>
      </c>
      <c r="G37">
        <v>23</v>
      </c>
      <c r="H37">
        <v>5</v>
      </c>
      <c r="I37">
        <v>3</v>
      </c>
      <c r="J37">
        <v>4</v>
      </c>
      <c r="K37">
        <v>9</v>
      </c>
      <c r="L37">
        <v>484</v>
      </c>
      <c r="M37">
        <v>111</v>
      </c>
      <c r="N37">
        <v>59</v>
      </c>
      <c r="O37">
        <v>181</v>
      </c>
      <c r="P37">
        <v>41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D37"/>
  <sheetViews>
    <sheetView workbookViewId="0">
      <selection activeCell="C8" sqref="C8"/>
    </sheetView>
  </sheetViews>
  <sheetFormatPr defaultRowHeight="12.75" x14ac:dyDescent="0.2"/>
  <cols>
    <col min="1" max="1" width="19.5703125" bestFit="1" customWidth="1"/>
    <col min="2" max="2" width="12.28515625" bestFit="1" customWidth="1"/>
    <col min="3" max="3" width="11.42578125" bestFit="1" customWidth="1"/>
    <col min="4" max="4" width="18.7109375" bestFit="1" customWidth="1"/>
  </cols>
  <sheetData>
    <row r="2" spans="1:4" x14ac:dyDescent="0.2">
      <c r="A2" s="234" t="s">
        <v>4</v>
      </c>
      <c r="B2" t="s">
        <v>1572</v>
      </c>
    </row>
    <row r="4" spans="1:4" x14ac:dyDescent="0.2">
      <c r="A4" s="234" t="s">
        <v>326</v>
      </c>
      <c r="B4" t="s">
        <v>480</v>
      </c>
      <c r="C4" t="s">
        <v>481</v>
      </c>
      <c r="D4" t="s">
        <v>482</v>
      </c>
    </row>
    <row r="5" spans="1:4" x14ac:dyDescent="0.2">
      <c r="A5" s="235" t="s">
        <v>23</v>
      </c>
      <c r="B5">
        <v>37</v>
      </c>
      <c r="C5">
        <v>148</v>
      </c>
      <c r="D5">
        <v>37</v>
      </c>
    </row>
    <row r="6" spans="1:4" x14ac:dyDescent="0.2">
      <c r="A6" s="235" t="s">
        <v>24</v>
      </c>
      <c r="B6">
        <v>20</v>
      </c>
      <c r="C6">
        <v>135</v>
      </c>
      <c r="D6">
        <v>9</v>
      </c>
    </row>
    <row r="7" spans="1:4" x14ac:dyDescent="0.2">
      <c r="A7" s="235" t="s">
        <v>25</v>
      </c>
      <c r="B7">
        <v>18</v>
      </c>
      <c r="C7">
        <v>44</v>
      </c>
      <c r="D7">
        <v>12</v>
      </c>
    </row>
    <row r="8" spans="1:4" x14ac:dyDescent="0.2">
      <c r="A8" s="235" t="s">
        <v>26</v>
      </c>
      <c r="B8">
        <v>6</v>
      </c>
      <c r="C8">
        <v>72</v>
      </c>
      <c r="D8">
        <v>6</v>
      </c>
    </row>
    <row r="9" spans="1:4" x14ac:dyDescent="0.2">
      <c r="A9" s="235" t="s">
        <v>619</v>
      </c>
      <c r="B9">
        <v>47</v>
      </c>
      <c r="C9">
        <v>256</v>
      </c>
      <c r="D9">
        <v>66</v>
      </c>
    </row>
    <row r="10" spans="1:4" x14ac:dyDescent="0.2">
      <c r="A10" s="235" t="s">
        <v>27</v>
      </c>
      <c r="B10">
        <v>14</v>
      </c>
      <c r="C10">
        <v>37</v>
      </c>
      <c r="D10">
        <v>3</v>
      </c>
    </row>
    <row r="11" spans="1:4" x14ac:dyDescent="0.2">
      <c r="A11" s="235" t="s">
        <v>28</v>
      </c>
      <c r="B11">
        <v>12</v>
      </c>
      <c r="C11">
        <v>53</v>
      </c>
      <c r="D11">
        <v>4</v>
      </c>
    </row>
    <row r="12" spans="1:4" x14ac:dyDescent="0.2">
      <c r="A12" s="235" t="s">
        <v>29</v>
      </c>
      <c r="B12">
        <v>30</v>
      </c>
      <c r="C12">
        <v>120</v>
      </c>
      <c r="D12">
        <v>36</v>
      </c>
    </row>
    <row r="13" spans="1:4" x14ac:dyDescent="0.2">
      <c r="A13" s="235" t="s">
        <v>30</v>
      </c>
      <c r="B13">
        <v>17</v>
      </c>
      <c r="C13">
        <v>63</v>
      </c>
      <c r="D13">
        <v>15</v>
      </c>
    </row>
    <row r="14" spans="1:4" x14ac:dyDescent="0.2">
      <c r="A14" s="235" t="s">
        <v>31</v>
      </c>
      <c r="B14">
        <v>5</v>
      </c>
      <c r="C14">
        <v>53</v>
      </c>
      <c r="D14">
        <v>7</v>
      </c>
    </row>
    <row r="15" spans="1:4" x14ac:dyDescent="0.2">
      <c r="A15" s="235" t="s">
        <v>32</v>
      </c>
      <c r="B15">
        <v>8</v>
      </c>
      <c r="C15">
        <v>29</v>
      </c>
      <c r="D15">
        <v>9</v>
      </c>
    </row>
    <row r="16" spans="1:4" x14ac:dyDescent="0.2">
      <c r="A16" s="235" t="s">
        <v>33</v>
      </c>
      <c r="B16">
        <v>7</v>
      </c>
      <c r="C16">
        <v>37</v>
      </c>
      <c r="D16">
        <v>5</v>
      </c>
    </row>
    <row r="17" spans="1:4" x14ac:dyDescent="0.2">
      <c r="A17" s="235" t="s">
        <v>34</v>
      </c>
      <c r="B17">
        <v>14</v>
      </c>
      <c r="C17">
        <v>72</v>
      </c>
      <c r="D17">
        <v>13</v>
      </c>
    </row>
    <row r="18" spans="1:4" x14ac:dyDescent="0.2">
      <c r="A18" s="235" t="s">
        <v>35</v>
      </c>
      <c r="B18">
        <v>29</v>
      </c>
      <c r="C18">
        <v>155</v>
      </c>
      <c r="D18">
        <v>43</v>
      </c>
    </row>
    <row r="19" spans="1:4" x14ac:dyDescent="0.2">
      <c r="A19" s="235" t="s">
        <v>36</v>
      </c>
      <c r="B19">
        <v>119</v>
      </c>
      <c r="C19">
        <v>452</v>
      </c>
      <c r="D19">
        <v>114</v>
      </c>
    </row>
    <row r="20" spans="1:4" x14ac:dyDescent="0.2">
      <c r="A20" s="235" t="s">
        <v>37</v>
      </c>
      <c r="B20">
        <v>15</v>
      </c>
      <c r="C20">
        <v>95</v>
      </c>
      <c r="D20">
        <v>16</v>
      </c>
    </row>
    <row r="21" spans="1:4" x14ac:dyDescent="0.2">
      <c r="A21" s="235" t="s">
        <v>38</v>
      </c>
      <c r="B21">
        <v>15</v>
      </c>
      <c r="C21">
        <v>66</v>
      </c>
      <c r="D21">
        <v>7</v>
      </c>
    </row>
    <row r="22" spans="1:4" x14ac:dyDescent="0.2">
      <c r="A22" s="235" t="s">
        <v>39</v>
      </c>
      <c r="B22">
        <v>9</v>
      </c>
      <c r="C22">
        <v>43</v>
      </c>
      <c r="D22">
        <v>5</v>
      </c>
    </row>
    <row r="23" spans="1:4" x14ac:dyDescent="0.2">
      <c r="A23" s="235" t="s">
        <v>40</v>
      </c>
      <c r="B23">
        <v>7</v>
      </c>
      <c r="C23">
        <v>33</v>
      </c>
      <c r="D23">
        <v>10</v>
      </c>
    </row>
    <row r="24" spans="1:4" x14ac:dyDescent="0.2">
      <c r="A24" s="235" t="s">
        <v>295</v>
      </c>
      <c r="B24">
        <v>3</v>
      </c>
      <c r="C24">
        <v>16</v>
      </c>
      <c r="D24">
        <v>2</v>
      </c>
    </row>
    <row r="25" spans="1:4" x14ac:dyDescent="0.2">
      <c r="A25" s="235" t="s">
        <v>41</v>
      </c>
      <c r="B25">
        <v>19</v>
      </c>
      <c r="C25">
        <v>101</v>
      </c>
      <c r="D25">
        <v>16</v>
      </c>
    </row>
    <row r="26" spans="1:4" x14ac:dyDescent="0.2">
      <c r="A26" s="235" t="s">
        <v>42</v>
      </c>
      <c r="B26">
        <v>56</v>
      </c>
      <c r="C26">
        <v>188</v>
      </c>
      <c r="D26">
        <v>35</v>
      </c>
    </row>
    <row r="27" spans="1:4" x14ac:dyDescent="0.2">
      <c r="A27" s="235" t="s">
        <v>43</v>
      </c>
      <c r="B27">
        <v>1</v>
      </c>
      <c r="C27">
        <v>3</v>
      </c>
    </row>
    <row r="28" spans="1:4" x14ac:dyDescent="0.2">
      <c r="A28" s="235" t="s">
        <v>44</v>
      </c>
      <c r="B28">
        <v>9</v>
      </c>
      <c r="C28">
        <v>72</v>
      </c>
      <c r="D28">
        <v>16</v>
      </c>
    </row>
    <row r="29" spans="1:4" x14ac:dyDescent="0.2">
      <c r="A29" s="235" t="s">
        <v>45</v>
      </c>
      <c r="B29">
        <v>25</v>
      </c>
      <c r="C29">
        <v>111</v>
      </c>
      <c r="D29">
        <v>15</v>
      </c>
    </row>
    <row r="30" spans="1:4" x14ac:dyDescent="0.2">
      <c r="A30" s="235" t="s">
        <v>46</v>
      </c>
      <c r="B30">
        <v>11</v>
      </c>
      <c r="C30">
        <v>56</v>
      </c>
      <c r="D30">
        <v>10</v>
      </c>
    </row>
    <row r="31" spans="1:4" x14ac:dyDescent="0.2">
      <c r="A31" s="235" t="s">
        <v>47</v>
      </c>
      <c r="B31">
        <v>3</v>
      </c>
      <c r="C31">
        <v>20</v>
      </c>
      <c r="D31">
        <v>1</v>
      </c>
    </row>
    <row r="32" spans="1:4" x14ac:dyDescent="0.2">
      <c r="A32" s="235" t="s">
        <v>48</v>
      </c>
      <c r="B32">
        <v>6</v>
      </c>
      <c r="C32">
        <v>55</v>
      </c>
      <c r="D32">
        <v>12</v>
      </c>
    </row>
    <row r="33" spans="1:4" x14ac:dyDescent="0.2">
      <c r="A33" s="235" t="s">
        <v>49</v>
      </c>
      <c r="B33">
        <v>48</v>
      </c>
      <c r="C33">
        <v>144</v>
      </c>
      <c r="D33">
        <v>29</v>
      </c>
    </row>
    <row r="34" spans="1:4" x14ac:dyDescent="0.2">
      <c r="A34" s="235" t="s">
        <v>50</v>
      </c>
      <c r="B34">
        <v>9</v>
      </c>
      <c r="C34">
        <v>33</v>
      </c>
      <c r="D34">
        <v>6</v>
      </c>
    </row>
    <row r="35" spans="1:4" x14ac:dyDescent="0.2">
      <c r="A35" s="235" t="s">
        <v>51</v>
      </c>
      <c r="B35">
        <v>28</v>
      </c>
      <c r="C35">
        <v>67</v>
      </c>
      <c r="D35">
        <v>7</v>
      </c>
    </row>
    <row r="36" spans="1:4" x14ac:dyDescent="0.2">
      <c r="A36" s="235" t="s">
        <v>52</v>
      </c>
      <c r="B36">
        <v>18</v>
      </c>
      <c r="C36">
        <v>69</v>
      </c>
      <c r="D36">
        <v>12</v>
      </c>
    </row>
    <row r="37" spans="1:4" x14ac:dyDescent="0.2">
      <c r="A37" s="235" t="s">
        <v>333</v>
      </c>
      <c r="B37">
        <v>665</v>
      </c>
      <c r="C37">
        <v>2898</v>
      </c>
      <c r="D37">
        <v>578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O49"/>
  <sheetViews>
    <sheetView showGridLines="0" zoomScaleNormal="100" workbookViewId="0">
      <selection sqref="A1:C1"/>
    </sheetView>
  </sheetViews>
  <sheetFormatPr defaultColWidth="9.140625" defaultRowHeight="12.75" x14ac:dyDescent="0.2"/>
  <sheetData>
    <row r="1" spans="1:15" ht="21" customHeight="1" x14ac:dyDescent="0.35">
      <c r="A1" s="1271" t="s">
        <v>1247</v>
      </c>
      <c r="B1" s="1271"/>
      <c r="C1" s="1271"/>
      <c r="O1" s="230"/>
    </row>
    <row r="2" spans="1:15" ht="17.25" customHeight="1" x14ac:dyDescent="0.2">
      <c r="A2" s="106" t="s">
        <v>578</v>
      </c>
      <c r="B2" s="1031"/>
      <c r="C2" s="1031"/>
    </row>
    <row r="3" spans="1:15" ht="28.5" customHeight="1" x14ac:dyDescent="0.2">
      <c r="A3" s="1272" t="s">
        <v>1259</v>
      </c>
      <c r="B3" s="1272"/>
      <c r="C3" s="1272"/>
      <c r="D3" s="1272"/>
      <c r="E3" s="1272"/>
      <c r="F3" s="1272"/>
      <c r="G3" s="1272"/>
      <c r="H3" s="1272"/>
    </row>
    <row r="4" spans="1:15" ht="15" x14ac:dyDescent="0.25">
      <c r="A4" s="1032" t="s">
        <v>1246</v>
      </c>
    </row>
    <row r="5" spans="1:15" ht="15" x14ac:dyDescent="0.25">
      <c r="A5" s="1043" t="s">
        <v>1295</v>
      </c>
    </row>
    <row r="46" spans="8:9" x14ac:dyDescent="0.2">
      <c r="H46">
        <v>2</v>
      </c>
      <c r="I46">
        <v>4</v>
      </c>
    </row>
    <row r="47" spans="8:9" x14ac:dyDescent="0.2">
      <c r="H47">
        <v>0</v>
      </c>
      <c r="I47">
        <v>2</v>
      </c>
    </row>
    <row r="48" spans="8:9" x14ac:dyDescent="0.2">
      <c r="H48">
        <v>2</v>
      </c>
      <c r="I48">
        <v>4</v>
      </c>
    </row>
    <row r="49" spans="8:9" x14ac:dyDescent="0.2">
      <c r="H49">
        <v>0</v>
      </c>
      <c r="I49">
        <v>2</v>
      </c>
    </row>
  </sheetData>
  <sheetProtection algorithmName="SHA-512" hashValue="9HBIPLTFfxV8kcRuryye0rh0qzKnzZ9EA/BZq/O8pGQ3uCkKhBUf7X8X/L+y/VJi8uQcycEnrsFloc0B/Q8Iuw==" saltValue="aMofixEz4GImFnrb5H8mSw=="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400-000000000000}"/>
  </hyperlinks>
  <pageMargins left="0.7" right="0.7" top="0.75" bottom="0.75" header="0.3" footer="0.3"/>
  <pageSetup paperSize="9" scale="73" fitToHeight="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sheetPr>
  <dimension ref="A1:M16"/>
  <sheetViews>
    <sheetView workbookViewId="0">
      <selection activeCell="C8" sqref="C8"/>
    </sheetView>
  </sheetViews>
  <sheetFormatPr defaultRowHeight="12.75" x14ac:dyDescent="0.2"/>
  <cols>
    <col min="1" max="1" width="13" bestFit="1" customWidth="1"/>
    <col min="2" max="2" width="15.85546875" bestFit="1" customWidth="1"/>
    <col min="3" max="3" width="11.42578125" bestFit="1" customWidth="1"/>
    <col min="4" max="4" width="18.7109375" bestFit="1" customWidth="1"/>
    <col min="5" max="5" width="11.85546875" bestFit="1" customWidth="1"/>
    <col min="6" max="6" width="12.28515625" bestFit="1" customWidth="1"/>
    <col min="7" max="7" width="11.42578125" bestFit="1" customWidth="1"/>
    <col min="8" max="8" width="18.7109375" bestFit="1" customWidth="1"/>
    <col min="9" max="9" width="11.85546875" bestFit="1" customWidth="1"/>
    <col min="10" max="10" width="17.42578125" bestFit="1" customWidth="1"/>
    <col min="11" max="11" width="16.42578125" bestFit="1" customWidth="1"/>
    <col min="12" max="12" width="23.7109375" bestFit="1" customWidth="1"/>
    <col min="13" max="13" width="16.85546875" bestFit="1" customWidth="1"/>
  </cols>
  <sheetData>
    <row r="1" spans="1:13" x14ac:dyDescent="0.2">
      <c r="B1" s="234" t="s">
        <v>336</v>
      </c>
    </row>
    <row r="2" spans="1:13" x14ac:dyDescent="0.2">
      <c r="B2" t="s">
        <v>97</v>
      </c>
      <c r="F2" t="s">
        <v>671</v>
      </c>
      <c r="J2" t="s">
        <v>740</v>
      </c>
      <c r="K2" t="s">
        <v>741</v>
      </c>
      <c r="L2" t="s">
        <v>742</v>
      </c>
      <c r="M2" t="s">
        <v>685</v>
      </c>
    </row>
    <row r="3" spans="1:13" x14ac:dyDescent="0.2">
      <c r="A3" s="234" t="s">
        <v>326</v>
      </c>
      <c r="B3" t="s">
        <v>480</v>
      </c>
      <c r="C3" t="s">
        <v>481</v>
      </c>
      <c r="D3" t="s">
        <v>482</v>
      </c>
      <c r="E3" t="s">
        <v>344</v>
      </c>
      <c r="F3" t="s">
        <v>480</v>
      </c>
      <c r="G3" t="s">
        <v>481</v>
      </c>
      <c r="H3" t="s">
        <v>482</v>
      </c>
      <c r="I3" t="s">
        <v>344</v>
      </c>
    </row>
    <row r="4" spans="1:13" x14ac:dyDescent="0.2">
      <c r="A4" s="235" t="s">
        <v>19</v>
      </c>
      <c r="B4">
        <v>19</v>
      </c>
      <c r="C4">
        <v>4</v>
      </c>
      <c r="D4">
        <v>25</v>
      </c>
      <c r="E4">
        <v>48</v>
      </c>
      <c r="F4">
        <v>310</v>
      </c>
      <c r="G4">
        <v>446</v>
      </c>
      <c r="H4">
        <v>136</v>
      </c>
      <c r="I4">
        <v>892</v>
      </c>
      <c r="J4">
        <v>329</v>
      </c>
      <c r="K4">
        <v>450</v>
      </c>
      <c r="L4">
        <v>161</v>
      </c>
      <c r="M4">
        <v>940</v>
      </c>
    </row>
    <row r="5" spans="1:13" x14ac:dyDescent="0.2">
      <c r="A5" s="235" t="s">
        <v>20</v>
      </c>
      <c r="B5">
        <v>11</v>
      </c>
      <c r="C5">
        <v>12</v>
      </c>
      <c r="D5">
        <v>20</v>
      </c>
      <c r="E5">
        <v>43</v>
      </c>
      <c r="F5">
        <v>265</v>
      </c>
      <c r="G5">
        <v>538</v>
      </c>
      <c r="H5">
        <v>172</v>
      </c>
      <c r="I5">
        <v>975</v>
      </c>
      <c r="J5">
        <v>276</v>
      </c>
      <c r="K5">
        <v>550</v>
      </c>
      <c r="L5">
        <v>192</v>
      </c>
      <c r="M5">
        <v>1018</v>
      </c>
    </row>
    <row r="6" spans="1:13" x14ac:dyDescent="0.2">
      <c r="A6" s="235" t="s">
        <v>13</v>
      </c>
      <c r="B6">
        <v>14</v>
      </c>
      <c r="C6">
        <v>13</v>
      </c>
      <c r="D6">
        <v>17</v>
      </c>
      <c r="E6">
        <v>44</v>
      </c>
      <c r="F6">
        <v>300</v>
      </c>
      <c r="G6">
        <v>513</v>
      </c>
      <c r="H6">
        <v>169</v>
      </c>
      <c r="I6">
        <v>982</v>
      </c>
      <c r="J6">
        <v>314</v>
      </c>
      <c r="K6">
        <v>526</v>
      </c>
      <c r="L6">
        <v>186</v>
      </c>
      <c r="M6">
        <v>1026</v>
      </c>
    </row>
    <row r="7" spans="1:13" x14ac:dyDescent="0.2">
      <c r="A7" s="235" t="s">
        <v>15</v>
      </c>
      <c r="B7">
        <v>12</v>
      </c>
      <c r="C7">
        <v>10</v>
      </c>
      <c r="D7">
        <v>14</v>
      </c>
      <c r="E7">
        <v>36</v>
      </c>
      <c r="F7">
        <v>277</v>
      </c>
      <c r="G7">
        <v>608</v>
      </c>
      <c r="H7">
        <v>129</v>
      </c>
      <c r="I7">
        <v>1014</v>
      </c>
      <c r="J7">
        <v>289</v>
      </c>
      <c r="K7">
        <v>618</v>
      </c>
      <c r="L7">
        <v>143</v>
      </c>
      <c r="M7">
        <v>1050</v>
      </c>
    </row>
    <row r="8" spans="1:13" x14ac:dyDescent="0.2">
      <c r="A8" s="235" t="s">
        <v>17</v>
      </c>
      <c r="B8">
        <v>6</v>
      </c>
      <c r="C8">
        <v>6</v>
      </c>
      <c r="D8">
        <v>13</v>
      </c>
      <c r="E8">
        <v>25</v>
      </c>
      <c r="F8">
        <v>341</v>
      </c>
      <c r="G8">
        <v>510</v>
      </c>
      <c r="H8">
        <v>135</v>
      </c>
      <c r="I8">
        <v>986</v>
      </c>
      <c r="J8">
        <v>347</v>
      </c>
      <c r="K8">
        <v>516</v>
      </c>
      <c r="L8">
        <v>148</v>
      </c>
      <c r="M8">
        <v>1011</v>
      </c>
    </row>
    <row r="9" spans="1:13" x14ac:dyDescent="0.2">
      <c r="A9" s="235" t="s">
        <v>133</v>
      </c>
      <c r="B9">
        <v>4</v>
      </c>
      <c r="C9">
        <v>11</v>
      </c>
      <c r="D9">
        <v>12</v>
      </c>
      <c r="E9">
        <v>27</v>
      </c>
      <c r="F9">
        <v>219</v>
      </c>
      <c r="G9">
        <v>460</v>
      </c>
      <c r="H9">
        <v>147</v>
      </c>
      <c r="I9">
        <v>826</v>
      </c>
      <c r="J9">
        <v>223</v>
      </c>
      <c r="K9">
        <v>471</v>
      </c>
      <c r="L9">
        <v>159</v>
      </c>
      <c r="M9">
        <v>853</v>
      </c>
    </row>
    <row r="10" spans="1:13" x14ac:dyDescent="0.2">
      <c r="A10" s="235" t="s">
        <v>144</v>
      </c>
      <c r="B10">
        <v>12</v>
      </c>
      <c r="C10">
        <v>9</v>
      </c>
      <c r="D10">
        <v>12</v>
      </c>
      <c r="E10">
        <v>33</v>
      </c>
      <c r="F10">
        <v>280</v>
      </c>
      <c r="G10">
        <v>509</v>
      </c>
      <c r="H10">
        <v>136</v>
      </c>
      <c r="I10">
        <v>925</v>
      </c>
      <c r="J10">
        <v>292</v>
      </c>
      <c r="K10">
        <v>518</v>
      </c>
      <c r="L10">
        <v>148</v>
      </c>
      <c r="M10">
        <v>958</v>
      </c>
    </row>
    <row r="11" spans="1:13" x14ac:dyDescent="0.2">
      <c r="A11" s="235" t="s">
        <v>282</v>
      </c>
      <c r="B11">
        <v>9</v>
      </c>
      <c r="C11">
        <v>4</v>
      </c>
      <c r="D11">
        <v>18</v>
      </c>
      <c r="E11">
        <v>31</v>
      </c>
      <c r="F11">
        <v>271</v>
      </c>
      <c r="G11">
        <v>518</v>
      </c>
      <c r="H11">
        <v>151</v>
      </c>
      <c r="I11">
        <v>940</v>
      </c>
      <c r="J11">
        <v>280</v>
      </c>
      <c r="K11">
        <v>522</v>
      </c>
      <c r="L11">
        <v>169</v>
      </c>
      <c r="M11">
        <v>971</v>
      </c>
    </row>
    <row r="12" spans="1:13" x14ac:dyDescent="0.2">
      <c r="A12" s="235" t="s">
        <v>311</v>
      </c>
      <c r="B12">
        <v>10</v>
      </c>
      <c r="C12">
        <v>9</v>
      </c>
      <c r="D12">
        <v>15</v>
      </c>
      <c r="E12">
        <v>34</v>
      </c>
      <c r="F12">
        <v>255</v>
      </c>
      <c r="G12">
        <v>417</v>
      </c>
      <c r="H12">
        <v>125</v>
      </c>
      <c r="I12">
        <v>797</v>
      </c>
      <c r="J12">
        <v>265</v>
      </c>
      <c r="K12">
        <v>426</v>
      </c>
      <c r="L12">
        <v>140</v>
      </c>
      <c r="M12">
        <v>831</v>
      </c>
    </row>
    <row r="13" spans="1:13" x14ac:dyDescent="0.2">
      <c r="A13" s="235" t="s">
        <v>621</v>
      </c>
      <c r="B13">
        <v>8</v>
      </c>
      <c r="C13">
        <v>11</v>
      </c>
      <c r="D13">
        <v>17</v>
      </c>
      <c r="E13">
        <v>36</v>
      </c>
      <c r="F13">
        <v>244</v>
      </c>
      <c r="G13">
        <v>472</v>
      </c>
      <c r="H13">
        <v>170</v>
      </c>
      <c r="I13">
        <v>886</v>
      </c>
      <c r="J13">
        <v>252</v>
      </c>
      <c r="K13">
        <v>483</v>
      </c>
      <c r="L13">
        <v>187</v>
      </c>
      <c r="M13">
        <v>922</v>
      </c>
    </row>
    <row r="14" spans="1:13" x14ac:dyDescent="0.2">
      <c r="A14" s="235" t="s">
        <v>1419</v>
      </c>
      <c r="B14">
        <v>6</v>
      </c>
      <c r="C14">
        <v>5</v>
      </c>
      <c r="D14">
        <v>10</v>
      </c>
      <c r="E14">
        <v>21</v>
      </c>
      <c r="F14">
        <v>254</v>
      </c>
      <c r="G14">
        <v>375</v>
      </c>
      <c r="H14">
        <v>114</v>
      </c>
      <c r="I14">
        <v>743</v>
      </c>
      <c r="J14">
        <v>260</v>
      </c>
      <c r="K14">
        <v>380</v>
      </c>
      <c r="L14">
        <v>124</v>
      </c>
      <c r="M14">
        <v>764</v>
      </c>
    </row>
    <row r="15" spans="1:13" x14ac:dyDescent="0.2">
      <c r="A15" s="235" t="s">
        <v>1572</v>
      </c>
      <c r="B15">
        <v>8</v>
      </c>
      <c r="C15">
        <v>12</v>
      </c>
      <c r="D15">
        <v>16</v>
      </c>
      <c r="E15">
        <v>36</v>
      </c>
      <c r="F15">
        <v>216</v>
      </c>
      <c r="G15">
        <v>392</v>
      </c>
      <c r="H15">
        <v>143</v>
      </c>
      <c r="I15">
        <v>751</v>
      </c>
      <c r="J15">
        <v>224</v>
      </c>
      <c r="K15">
        <v>404</v>
      </c>
      <c r="L15">
        <v>159</v>
      </c>
      <c r="M15">
        <v>787</v>
      </c>
    </row>
    <row r="16" spans="1:13" x14ac:dyDescent="0.2">
      <c r="A16" s="235" t="s">
        <v>333</v>
      </c>
      <c r="B16">
        <v>119</v>
      </c>
      <c r="C16">
        <v>106</v>
      </c>
      <c r="D16">
        <v>189</v>
      </c>
      <c r="E16">
        <v>414</v>
      </c>
      <c r="F16">
        <v>3232</v>
      </c>
      <c r="G16">
        <v>5758</v>
      </c>
      <c r="H16">
        <v>1727</v>
      </c>
      <c r="I16">
        <v>10717</v>
      </c>
      <c r="J16">
        <v>3351</v>
      </c>
      <c r="K16">
        <v>5864</v>
      </c>
      <c r="L16">
        <v>1916</v>
      </c>
      <c r="M16">
        <v>11131</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sheetPr>
  <dimension ref="A1:S16"/>
  <sheetViews>
    <sheetView workbookViewId="0">
      <selection activeCell="C8" sqref="C8"/>
    </sheetView>
  </sheetViews>
  <sheetFormatPr defaultRowHeight="12.75" x14ac:dyDescent="0.2"/>
  <cols>
    <col min="1" max="1" width="13" bestFit="1" customWidth="1"/>
    <col min="2" max="2" width="26.28515625" bestFit="1" customWidth="1"/>
    <col min="3" max="3" width="36.5703125" bestFit="1" customWidth="1"/>
    <col min="4" max="4" width="27.140625" bestFit="1" customWidth="1"/>
    <col min="5" max="5" width="21.42578125" bestFit="1" customWidth="1"/>
    <col min="6" max="6" width="20.85546875" bestFit="1" customWidth="1"/>
    <col min="7" max="7" width="36.85546875" bestFit="1" customWidth="1"/>
    <col min="8" max="8" width="26.28515625" bestFit="1" customWidth="1"/>
    <col min="9" max="9" width="36.5703125" bestFit="1" customWidth="1"/>
    <col min="10" max="10" width="27.140625" bestFit="1" customWidth="1"/>
    <col min="11" max="11" width="21.42578125" bestFit="1" customWidth="1"/>
    <col min="12" max="12" width="20.85546875" bestFit="1" customWidth="1"/>
    <col min="13" max="13" width="36.85546875" bestFit="1" customWidth="1"/>
    <col min="14" max="14" width="31.28515625" bestFit="1" customWidth="1"/>
    <col min="15" max="15" width="41.5703125" bestFit="1" customWidth="1"/>
    <col min="16" max="16" width="32.140625" bestFit="1" customWidth="1"/>
    <col min="17" max="17" width="26.42578125" bestFit="1" customWidth="1"/>
    <col min="18" max="18" width="25.85546875" bestFit="1" customWidth="1"/>
    <col min="19" max="19" width="41.85546875" bestFit="1" customWidth="1"/>
  </cols>
  <sheetData>
    <row r="1" spans="1:19" x14ac:dyDescent="0.2">
      <c r="B1" s="234" t="s">
        <v>336</v>
      </c>
    </row>
    <row r="2" spans="1:19" x14ac:dyDescent="0.2">
      <c r="B2" t="s">
        <v>752</v>
      </c>
      <c r="H2" t="s">
        <v>6</v>
      </c>
      <c r="N2" t="s">
        <v>754</v>
      </c>
      <c r="O2" t="s">
        <v>755</v>
      </c>
      <c r="P2" t="s">
        <v>757</v>
      </c>
      <c r="Q2" t="s">
        <v>1585</v>
      </c>
      <c r="R2" t="s">
        <v>759</v>
      </c>
      <c r="S2" t="s">
        <v>761</v>
      </c>
    </row>
    <row r="3" spans="1:19" x14ac:dyDescent="0.2">
      <c r="A3" s="234" t="s">
        <v>326</v>
      </c>
      <c r="B3" t="s">
        <v>753</v>
      </c>
      <c r="C3" t="s">
        <v>756</v>
      </c>
      <c r="D3" t="s">
        <v>758</v>
      </c>
      <c r="E3" t="s">
        <v>1584</v>
      </c>
      <c r="F3" t="s">
        <v>760</v>
      </c>
      <c r="G3" t="s">
        <v>762</v>
      </c>
      <c r="H3" t="s">
        <v>753</v>
      </c>
      <c r="I3" t="s">
        <v>756</v>
      </c>
      <c r="J3" t="s">
        <v>758</v>
      </c>
      <c r="K3" t="s">
        <v>1584</v>
      </c>
      <c r="L3" t="s">
        <v>760</v>
      </c>
      <c r="M3" t="s">
        <v>762</v>
      </c>
    </row>
    <row r="4" spans="1:19" x14ac:dyDescent="0.2">
      <c r="A4" s="235" t="s">
        <v>19</v>
      </c>
      <c r="B4">
        <v>1387</v>
      </c>
      <c r="C4">
        <v>1249</v>
      </c>
      <c r="D4">
        <v>607</v>
      </c>
      <c r="E4">
        <v>85</v>
      </c>
      <c r="F4">
        <v>268</v>
      </c>
      <c r="G4">
        <v>2964</v>
      </c>
      <c r="H4">
        <v>695</v>
      </c>
      <c r="I4">
        <v>601</v>
      </c>
      <c r="J4">
        <v>205</v>
      </c>
      <c r="K4">
        <v>316</v>
      </c>
      <c r="L4">
        <v>624</v>
      </c>
      <c r="M4">
        <v>563</v>
      </c>
      <c r="N4">
        <v>2082</v>
      </c>
      <c r="O4">
        <v>1850</v>
      </c>
      <c r="P4">
        <v>812</v>
      </c>
      <c r="Q4">
        <v>401</v>
      </c>
      <c r="R4">
        <v>892</v>
      </c>
      <c r="S4">
        <v>3527</v>
      </c>
    </row>
    <row r="5" spans="1:19" x14ac:dyDescent="0.2">
      <c r="A5" s="235" t="s">
        <v>20</v>
      </c>
      <c r="B5">
        <v>1511</v>
      </c>
      <c r="C5">
        <v>1254</v>
      </c>
      <c r="D5">
        <v>595</v>
      </c>
      <c r="E5">
        <v>113</v>
      </c>
      <c r="F5">
        <v>265</v>
      </c>
      <c r="G5">
        <v>2555</v>
      </c>
      <c r="H5">
        <v>740</v>
      </c>
      <c r="I5">
        <v>482</v>
      </c>
      <c r="J5">
        <v>194</v>
      </c>
      <c r="K5">
        <v>331</v>
      </c>
      <c r="L5">
        <v>230</v>
      </c>
      <c r="M5">
        <v>818</v>
      </c>
      <c r="N5">
        <v>2251</v>
      </c>
      <c r="O5">
        <v>1736</v>
      </c>
      <c r="P5">
        <v>789</v>
      </c>
      <c r="Q5">
        <v>444</v>
      </c>
      <c r="R5">
        <v>495</v>
      </c>
      <c r="S5">
        <v>3373</v>
      </c>
    </row>
    <row r="6" spans="1:19" x14ac:dyDescent="0.2">
      <c r="A6" s="235" t="s">
        <v>13</v>
      </c>
      <c r="B6">
        <v>1610</v>
      </c>
      <c r="C6">
        <v>1222</v>
      </c>
      <c r="D6">
        <v>496</v>
      </c>
      <c r="E6">
        <v>59</v>
      </c>
      <c r="F6">
        <v>218</v>
      </c>
      <c r="G6">
        <v>2552</v>
      </c>
      <c r="H6">
        <v>752</v>
      </c>
      <c r="I6">
        <v>478</v>
      </c>
      <c r="J6">
        <v>159</v>
      </c>
      <c r="K6">
        <v>332</v>
      </c>
      <c r="L6">
        <v>109</v>
      </c>
      <c r="M6">
        <v>887</v>
      </c>
      <c r="N6">
        <v>2362</v>
      </c>
      <c r="O6">
        <v>1700</v>
      </c>
      <c r="P6">
        <v>655</v>
      </c>
      <c r="Q6">
        <v>391</v>
      </c>
      <c r="R6">
        <v>327</v>
      </c>
      <c r="S6">
        <v>3439</v>
      </c>
    </row>
    <row r="7" spans="1:19" x14ac:dyDescent="0.2">
      <c r="A7" s="235" t="s">
        <v>15</v>
      </c>
      <c r="B7">
        <v>1499</v>
      </c>
      <c r="C7">
        <v>1100</v>
      </c>
      <c r="D7">
        <v>461</v>
      </c>
      <c r="E7">
        <v>81</v>
      </c>
      <c r="F7">
        <v>151</v>
      </c>
      <c r="G7">
        <v>2537</v>
      </c>
      <c r="H7">
        <v>638</v>
      </c>
      <c r="I7">
        <v>443</v>
      </c>
      <c r="J7">
        <v>152</v>
      </c>
      <c r="K7">
        <v>277</v>
      </c>
      <c r="L7">
        <v>55</v>
      </c>
      <c r="M7">
        <v>843</v>
      </c>
      <c r="N7">
        <v>2137</v>
      </c>
      <c r="O7">
        <v>1543</v>
      </c>
      <c r="P7">
        <v>613</v>
      </c>
      <c r="Q7">
        <v>358</v>
      </c>
      <c r="R7">
        <v>206</v>
      </c>
      <c r="S7">
        <v>3380</v>
      </c>
    </row>
    <row r="8" spans="1:19" x14ac:dyDescent="0.2">
      <c r="A8" s="235" t="s">
        <v>17</v>
      </c>
      <c r="B8">
        <v>1326</v>
      </c>
      <c r="C8">
        <v>1000</v>
      </c>
      <c r="D8">
        <v>414</v>
      </c>
      <c r="E8">
        <v>61</v>
      </c>
      <c r="F8">
        <v>72</v>
      </c>
      <c r="G8">
        <v>2450</v>
      </c>
      <c r="H8">
        <v>638</v>
      </c>
      <c r="I8">
        <v>450</v>
      </c>
      <c r="J8">
        <v>144</v>
      </c>
      <c r="K8">
        <v>255</v>
      </c>
      <c r="L8">
        <v>37</v>
      </c>
      <c r="M8">
        <v>822</v>
      </c>
      <c r="N8">
        <v>1964</v>
      </c>
      <c r="O8">
        <v>1450</v>
      </c>
      <c r="P8">
        <v>558</v>
      </c>
      <c r="Q8">
        <v>316</v>
      </c>
      <c r="R8">
        <v>109</v>
      </c>
      <c r="S8">
        <v>3272</v>
      </c>
    </row>
    <row r="9" spans="1:19" x14ac:dyDescent="0.2">
      <c r="A9" s="235" t="s">
        <v>133</v>
      </c>
      <c r="B9">
        <v>1580</v>
      </c>
      <c r="C9">
        <v>925</v>
      </c>
      <c r="D9">
        <v>367</v>
      </c>
      <c r="E9">
        <v>57</v>
      </c>
      <c r="F9">
        <v>95</v>
      </c>
      <c r="G9">
        <v>2550</v>
      </c>
      <c r="H9">
        <v>639</v>
      </c>
      <c r="I9">
        <v>406</v>
      </c>
      <c r="J9">
        <v>147</v>
      </c>
      <c r="K9">
        <v>291</v>
      </c>
      <c r="L9">
        <v>29</v>
      </c>
      <c r="M9">
        <v>812</v>
      </c>
      <c r="N9">
        <v>2219</v>
      </c>
      <c r="O9">
        <v>1331</v>
      </c>
      <c r="P9">
        <v>514</v>
      </c>
      <c r="Q9">
        <v>348</v>
      </c>
      <c r="R9">
        <v>124</v>
      </c>
      <c r="S9">
        <v>3362</v>
      </c>
    </row>
    <row r="10" spans="1:19" x14ac:dyDescent="0.2">
      <c r="A10" s="235" t="s">
        <v>144</v>
      </c>
      <c r="B10">
        <v>1550</v>
      </c>
      <c r="C10">
        <v>980</v>
      </c>
      <c r="D10">
        <v>380</v>
      </c>
      <c r="E10">
        <v>67</v>
      </c>
      <c r="F10">
        <v>65</v>
      </c>
      <c r="G10">
        <v>2631</v>
      </c>
      <c r="H10">
        <v>696</v>
      </c>
      <c r="I10">
        <v>446</v>
      </c>
      <c r="J10">
        <v>160</v>
      </c>
      <c r="K10">
        <v>262</v>
      </c>
      <c r="L10">
        <v>19</v>
      </c>
      <c r="M10">
        <v>911</v>
      </c>
      <c r="N10">
        <v>2246</v>
      </c>
      <c r="O10">
        <v>1426</v>
      </c>
      <c r="P10">
        <v>540</v>
      </c>
      <c r="Q10">
        <v>329</v>
      </c>
      <c r="R10">
        <v>84</v>
      </c>
      <c r="S10">
        <v>3542</v>
      </c>
    </row>
    <row r="11" spans="1:19" x14ac:dyDescent="0.2">
      <c r="A11" s="235" t="s">
        <v>282</v>
      </c>
      <c r="B11">
        <v>1531</v>
      </c>
      <c r="C11">
        <v>866</v>
      </c>
      <c r="D11">
        <v>396</v>
      </c>
      <c r="E11">
        <v>80</v>
      </c>
      <c r="F11">
        <v>39</v>
      </c>
      <c r="G11">
        <v>2628</v>
      </c>
      <c r="H11">
        <v>650</v>
      </c>
      <c r="I11">
        <v>388</v>
      </c>
      <c r="J11">
        <v>138</v>
      </c>
      <c r="K11">
        <v>272</v>
      </c>
      <c r="L11">
        <v>21</v>
      </c>
      <c r="M11">
        <v>808</v>
      </c>
      <c r="N11">
        <v>2181</v>
      </c>
      <c r="O11">
        <v>1254</v>
      </c>
      <c r="P11">
        <v>534</v>
      </c>
      <c r="Q11">
        <v>352</v>
      </c>
      <c r="R11">
        <v>60</v>
      </c>
      <c r="S11">
        <v>3436</v>
      </c>
    </row>
    <row r="12" spans="1:19" x14ac:dyDescent="0.2">
      <c r="A12" s="235" t="s">
        <v>311</v>
      </c>
      <c r="B12">
        <v>1464</v>
      </c>
      <c r="C12">
        <v>845</v>
      </c>
      <c r="D12">
        <v>416</v>
      </c>
      <c r="E12">
        <v>64</v>
      </c>
      <c r="F12">
        <v>41</v>
      </c>
      <c r="G12">
        <v>2481</v>
      </c>
      <c r="H12">
        <v>651</v>
      </c>
      <c r="I12">
        <v>423</v>
      </c>
      <c r="J12">
        <v>152</v>
      </c>
      <c r="K12">
        <v>302</v>
      </c>
      <c r="L12">
        <v>18</v>
      </c>
      <c r="M12">
        <v>741</v>
      </c>
      <c r="N12">
        <v>2115</v>
      </c>
      <c r="O12">
        <v>1268</v>
      </c>
      <c r="P12">
        <v>568</v>
      </c>
      <c r="Q12">
        <v>366</v>
      </c>
      <c r="R12">
        <v>59</v>
      </c>
      <c r="S12">
        <v>3222</v>
      </c>
    </row>
    <row r="13" spans="1:19" x14ac:dyDescent="0.2">
      <c r="A13" s="235" t="s">
        <v>621</v>
      </c>
      <c r="B13">
        <v>1327</v>
      </c>
      <c r="C13">
        <v>811</v>
      </c>
      <c r="D13">
        <v>403</v>
      </c>
      <c r="E13">
        <v>85</v>
      </c>
      <c r="F13">
        <v>76</v>
      </c>
      <c r="G13">
        <v>2443</v>
      </c>
      <c r="H13">
        <v>648</v>
      </c>
      <c r="I13">
        <v>373</v>
      </c>
      <c r="J13">
        <v>129</v>
      </c>
      <c r="K13">
        <v>286</v>
      </c>
      <c r="L13">
        <v>37</v>
      </c>
      <c r="M13">
        <v>779</v>
      </c>
      <c r="N13">
        <v>1975</v>
      </c>
      <c r="O13">
        <v>1184</v>
      </c>
      <c r="P13">
        <v>532</v>
      </c>
      <c r="Q13">
        <v>371</v>
      </c>
      <c r="R13">
        <v>113</v>
      </c>
      <c r="S13">
        <v>3222</v>
      </c>
    </row>
    <row r="14" spans="1:19" x14ac:dyDescent="0.2">
      <c r="A14" s="235" t="s">
        <v>1419</v>
      </c>
      <c r="B14">
        <v>1193</v>
      </c>
      <c r="C14">
        <v>751</v>
      </c>
      <c r="D14">
        <v>380</v>
      </c>
      <c r="E14">
        <v>74</v>
      </c>
      <c r="F14">
        <v>179</v>
      </c>
      <c r="G14">
        <v>2313</v>
      </c>
      <c r="H14">
        <v>529</v>
      </c>
      <c r="I14">
        <v>323</v>
      </c>
      <c r="J14">
        <v>117</v>
      </c>
      <c r="K14">
        <v>231</v>
      </c>
      <c r="L14">
        <v>63</v>
      </c>
      <c r="M14">
        <v>717</v>
      </c>
      <c r="N14">
        <v>1722</v>
      </c>
      <c r="O14">
        <v>1074</v>
      </c>
      <c r="P14">
        <v>497</v>
      </c>
      <c r="Q14">
        <v>305</v>
      </c>
      <c r="R14">
        <v>242</v>
      </c>
      <c r="S14">
        <v>3030</v>
      </c>
    </row>
    <row r="15" spans="1:19" x14ac:dyDescent="0.2">
      <c r="A15" s="235" t="s">
        <v>1572</v>
      </c>
      <c r="B15">
        <v>1242</v>
      </c>
      <c r="C15">
        <v>745</v>
      </c>
      <c r="D15">
        <v>328</v>
      </c>
      <c r="E15">
        <v>66</v>
      </c>
      <c r="F15">
        <v>179</v>
      </c>
      <c r="G15">
        <v>2101</v>
      </c>
      <c r="H15">
        <v>510</v>
      </c>
      <c r="I15">
        <v>280</v>
      </c>
      <c r="J15">
        <v>104</v>
      </c>
      <c r="K15">
        <v>243</v>
      </c>
      <c r="L15">
        <v>47</v>
      </c>
      <c r="M15">
        <v>534</v>
      </c>
      <c r="N15">
        <v>1752</v>
      </c>
      <c r="O15">
        <v>1025</v>
      </c>
      <c r="P15">
        <v>432</v>
      </c>
      <c r="Q15">
        <v>309</v>
      </c>
      <c r="R15">
        <v>226</v>
      </c>
      <c r="S15">
        <v>2635</v>
      </c>
    </row>
    <row r="16" spans="1:19" x14ac:dyDescent="0.2">
      <c r="A16" s="235" t="s">
        <v>333</v>
      </c>
      <c r="B16">
        <v>17220</v>
      </c>
      <c r="C16">
        <v>11748</v>
      </c>
      <c r="D16">
        <v>5243</v>
      </c>
      <c r="E16">
        <v>892</v>
      </c>
      <c r="F16">
        <v>1648</v>
      </c>
      <c r="G16">
        <v>30205</v>
      </c>
      <c r="H16">
        <v>7786</v>
      </c>
      <c r="I16">
        <v>5093</v>
      </c>
      <c r="J16">
        <v>1801</v>
      </c>
      <c r="K16">
        <v>3398</v>
      </c>
      <c r="L16">
        <v>1289</v>
      </c>
      <c r="M16">
        <v>9235</v>
      </c>
      <c r="N16">
        <v>25006</v>
      </c>
      <c r="O16">
        <v>16841</v>
      </c>
      <c r="P16">
        <v>7044</v>
      </c>
      <c r="Q16">
        <v>4290</v>
      </c>
      <c r="R16">
        <v>2937</v>
      </c>
      <c r="S16">
        <v>39440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4"/>
  </sheetPr>
  <dimension ref="A1:V16"/>
  <sheetViews>
    <sheetView workbookViewId="0">
      <selection activeCell="E8" sqref="E8"/>
    </sheetView>
  </sheetViews>
  <sheetFormatPr defaultRowHeight="12.75" x14ac:dyDescent="0.2"/>
  <cols>
    <col min="1" max="1" width="13" bestFit="1" customWidth="1"/>
    <col min="2" max="2" width="15.85546875" bestFit="1" customWidth="1"/>
    <col min="3" max="3" width="9.42578125" bestFit="1" customWidth="1"/>
    <col min="4" max="6" width="12.140625" bestFit="1" customWidth="1"/>
    <col min="7" max="7" width="10.5703125" bestFit="1" customWidth="1"/>
    <col min="8" max="8" width="15.5703125" bestFit="1" customWidth="1"/>
    <col min="9" max="10" width="9.42578125" bestFit="1" customWidth="1"/>
    <col min="11" max="13" width="12.140625" bestFit="1" customWidth="1"/>
    <col min="14" max="14" width="10.5703125" bestFit="1" customWidth="1"/>
    <col min="15" max="15" width="15.5703125" bestFit="1" customWidth="1"/>
    <col min="16" max="17" width="14.42578125" bestFit="1" customWidth="1"/>
    <col min="18" max="20" width="17.140625" bestFit="1" customWidth="1"/>
    <col min="21" max="21" width="15.5703125" bestFit="1" customWidth="1"/>
    <col min="22" max="22" width="20.5703125" bestFit="1" customWidth="1"/>
  </cols>
  <sheetData>
    <row r="1" spans="1:22" x14ac:dyDescent="0.2">
      <c r="B1" s="234" t="s">
        <v>336</v>
      </c>
    </row>
    <row r="2" spans="1:22" x14ac:dyDescent="0.2">
      <c r="B2" t="s">
        <v>495</v>
      </c>
      <c r="I2" t="s">
        <v>496</v>
      </c>
      <c r="P2" t="s">
        <v>489</v>
      </c>
      <c r="Q2" t="s">
        <v>490</v>
      </c>
      <c r="R2" t="s">
        <v>491</v>
      </c>
      <c r="S2" t="s">
        <v>492</v>
      </c>
      <c r="T2" t="s">
        <v>493</v>
      </c>
      <c r="U2" t="s">
        <v>494</v>
      </c>
      <c r="V2" t="s">
        <v>451</v>
      </c>
    </row>
    <row r="3" spans="1:22" x14ac:dyDescent="0.2">
      <c r="A3" s="234" t="s">
        <v>326</v>
      </c>
      <c r="B3" t="s">
        <v>483</v>
      </c>
      <c r="C3" t="s">
        <v>484</v>
      </c>
      <c r="D3" t="s">
        <v>485</v>
      </c>
      <c r="E3" t="s">
        <v>486</v>
      </c>
      <c r="F3" t="s">
        <v>487</v>
      </c>
      <c r="G3" t="s">
        <v>488</v>
      </c>
      <c r="H3" t="s">
        <v>452</v>
      </c>
      <c r="I3" t="s">
        <v>483</v>
      </c>
      <c r="J3" t="s">
        <v>484</v>
      </c>
      <c r="K3" t="s">
        <v>485</v>
      </c>
      <c r="L3" t="s">
        <v>486</v>
      </c>
      <c r="M3" t="s">
        <v>487</v>
      </c>
      <c r="N3" t="s">
        <v>488</v>
      </c>
      <c r="O3" t="s">
        <v>452</v>
      </c>
    </row>
    <row r="4" spans="1:22" x14ac:dyDescent="0.2">
      <c r="A4" s="235" t="s">
        <v>19</v>
      </c>
      <c r="B4">
        <v>19656</v>
      </c>
      <c r="C4">
        <v>2792</v>
      </c>
      <c r="D4">
        <v>494</v>
      </c>
      <c r="E4">
        <v>1</v>
      </c>
      <c r="F4">
        <v>1</v>
      </c>
      <c r="H4">
        <v>45</v>
      </c>
      <c r="I4">
        <v>4864</v>
      </c>
      <c r="J4">
        <v>6021</v>
      </c>
      <c r="K4">
        <v>2828</v>
      </c>
      <c r="L4">
        <v>106</v>
      </c>
      <c r="M4">
        <v>32</v>
      </c>
      <c r="N4">
        <v>22</v>
      </c>
      <c r="O4">
        <v>4</v>
      </c>
      <c r="P4">
        <v>24520</v>
      </c>
      <c r="Q4">
        <v>8813</v>
      </c>
      <c r="R4">
        <v>3322</v>
      </c>
      <c r="S4">
        <v>107</v>
      </c>
      <c r="T4">
        <v>33</v>
      </c>
      <c r="U4">
        <v>22</v>
      </c>
      <c r="V4">
        <v>49</v>
      </c>
    </row>
    <row r="5" spans="1:22" x14ac:dyDescent="0.2">
      <c r="A5" s="235" t="s">
        <v>20</v>
      </c>
      <c r="B5">
        <v>20475</v>
      </c>
      <c r="C5">
        <v>3194</v>
      </c>
      <c r="D5">
        <v>491</v>
      </c>
      <c r="E5">
        <v>4</v>
      </c>
      <c r="H5">
        <v>25</v>
      </c>
      <c r="I5">
        <v>4514</v>
      </c>
      <c r="J5">
        <v>5893</v>
      </c>
      <c r="K5">
        <v>2404</v>
      </c>
      <c r="L5">
        <v>155</v>
      </c>
      <c r="M5">
        <v>29</v>
      </c>
      <c r="N5">
        <v>27</v>
      </c>
      <c r="O5">
        <v>3</v>
      </c>
      <c r="P5">
        <v>24989</v>
      </c>
      <c r="Q5">
        <v>9087</v>
      </c>
      <c r="R5">
        <v>2895</v>
      </c>
      <c r="S5">
        <v>159</v>
      </c>
      <c r="T5">
        <v>29</v>
      </c>
      <c r="U5">
        <v>27</v>
      </c>
      <c r="V5">
        <v>28</v>
      </c>
    </row>
    <row r="6" spans="1:22" x14ac:dyDescent="0.2">
      <c r="A6" s="235" t="s">
        <v>13</v>
      </c>
      <c r="B6">
        <v>15625</v>
      </c>
      <c r="C6">
        <v>2576</v>
      </c>
      <c r="D6">
        <v>423</v>
      </c>
      <c r="E6">
        <v>9</v>
      </c>
      <c r="H6">
        <v>21</v>
      </c>
      <c r="I6">
        <v>3983</v>
      </c>
      <c r="J6">
        <v>5443</v>
      </c>
      <c r="K6">
        <v>2686</v>
      </c>
      <c r="L6">
        <v>131</v>
      </c>
      <c r="M6">
        <v>28</v>
      </c>
      <c r="N6">
        <v>17</v>
      </c>
      <c r="O6">
        <v>7</v>
      </c>
      <c r="P6">
        <v>19608</v>
      </c>
      <c r="Q6">
        <v>8019</v>
      </c>
      <c r="R6">
        <v>3109</v>
      </c>
      <c r="S6">
        <v>140</v>
      </c>
      <c r="T6">
        <v>28</v>
      </c>
      <c r="U6">
        <v>17</v>
      </c>
      <c r="V6">
        <v>28</v>
      </c>
    </row>
    <row r="7" spans="1:22" x14ac:dyDescent="0.2">
      <c r="A7" s="235" t="s">
        <v>15</v>
      </c>
      <c r="B7">
        <v>12007</v>
      </c>
      <c r="C7">
        <v>1895</v>
      </c>
      <c r="D7">
        <v>345</v>
      </c>
      <c r="E7">
        <v>1</v>
      </c>
      <c r="H7">
        <v>14</v>
      </c>
      <c r="I7">
        <v>3353</v>
      </c>
      <c r="J7">
        <v>5125</v>
      </c>
      <c r="K7">
        <v>2355</v>
      </c>
      <c r="L7">
        <v>101</v>
      </c>
      <c r="M7">
        <v>27</v>
      </c>
      <c r="N7">
        <v>21</v>
      </c>
      <c r="O7">
        <v>4</v>
      </c>
      <c r="P7">
        <v>15360</v>
      </c>
      <c r="Q7">
        <v>7020</v>
      </c>
      <c r="R7">
        <v>2700</v>
      </c>
      <c r="S7">
        <v>102</v>
      </c>
      <c r="T7">
        <v>27</v>
      </c>
      <c r="U7">
        <v>21</v>
      </c>
      <c r="V7">
        <v>18</v>
      </c>
    </row>
    <row r="8" spans="1:22" x14ac:dyDescent="0.2">
      <c r="A8" s="235" t="s">
        <v>17</v>
      </c>
      <c r="B8">
        <v>14092</v>
      </c>
      <c r="C8">
        <v>1895</v>
      </c>
      <c r="D8">
        <v>334</v>
      </c>
      <c r="E8">
        <v>5</v>
      </c>
      <c r="F8">
        <v>1</v>
      </c>
      <c r="H8">
        <v>24</v>
      </c>
      <c r="I8">
        <v>3352</v>
      </c>
      <c r="J8">
        <v>4733</v>
      </c>
      <c r="K8">
        <v>2164</v>
      </c>
      <c r="L8">
        <v>125</v>
      </c>
      <c r="M8">
        <v>18</v>
      </c>
      <c r="N8">
        <v>17</v>
      </c>
      <c r="O8">
        <v>3</v>
      </c>
      <c r="P8">
        <v>17444</v>
      </c>
      <c r="Q8">
        <v>6628</v>
      </c>
      <c r="R8">
        <v>2498</v>
      </c>
      <c r="S8">
        <v>130</v>
      </c>
      <c r="T8">
        <v>19</v>
      </c>
      <c r="U8">
        <v>17</v>
      </c>
      <c r="V8">
        <v>27</v>
      </c>
    </row>
    <row r="9" spans="1:22" x14ac:dyDescent="0.2">
      <c r="A9" s="235" t="s">
        <v>133</v>
      </c>
      <c r="B9">
        <v>11495</v>
      </c>
      <c r="C9">
        <v>1595</v>
      </c>
      <c r="D9">
        <v>287</v>
      </c>
      <c r="H9">
        <v>13</v>
      </c>
      <c r="I9">
        <v>3241</v>
      </c>
      <c r="J9">
        <v>4840</v>
      </c>
      <c r="K9">
        <v>2271</v>
      </c>
      <c r="L9">
        <v>114</v>
      </c>
      <c r="M9">
        <v>22</v>
      </c>
      <c r="N9">
        <v>19</v>
      </c>
      <c r="O9">
        <v>5</v>
      </c>
      <c r="P9">
        <v>14736</v>
      </c>
      <c r="Q9">
        <v>6435</v>
      </c>
      <c r="R9">
        <v>2558</v>
      </c>
      <c r="S9">
        <v>114</v>
      </c>
      <c r="T9">
        <v>22</v>
      </c>
      <c r="U9">
        <v>19</v>
      </c>
      <c r="V9">
        <v>18</v>
      </c>
    </row>
    <row r="10" spans="1:22" x14ac:dyDescent="0.2">
      <c r="A10" s="235" t="s">
        <v>144</v>
      </c>
      <c r="B10">
        <v>12744</v>
      </c>
      <c r="C10">
        <v>1522</v>
      </c>
      <c r="D10">
        <v>276</v>
      </c>
      <c r="E10">
        <v>3</v>
      </c>
      <c r="H10">
        <v>159</v>
      </c>
      <c r="I10">
        <v>3351</v>
      </c>
      <c r="J10">
        <v>4894</v>
      </c>
      <c r="K10">
        <v>2352</v>
      </c>
      <c r="L10">
        <v>111</v>
      </c>
      <c r="M10">
        <v>21</v>
      </c>
      <c r="N10">
        <v>17</v>
      </c>
      <c r="O10">
        <v>155</v>
      </c>
      <c r="P10">
        <v>16095</v>
      </c>
      <c r="Q10">
        <v>6416</v>
      </c>
      <c r="R10">
        <v>2628</v>
      </c>
      <c r="S10">
        <v>114</v>
      </c>
      <c r="T10">
        <v>21</v>
      </c>
      <c r="U10">
        <v>17</v>
      </c>
      <c r="V10">
        <v>314</v>
      </c>
    </row>
    <row r="11" spans="1:22" x14ac:dyDescent="0.2">
      <c r="A11" s="235" t="s">
        <v>282</v>
      </c>
      <c r="B11">
        <v>13945</v>
      </c>
      <c r="C11">
        <v>1367</v>
      </c>
      <c r="D11">
        <v>313</v>
      </c>
      <c r="E11">
        <v>3</v>
      </c>
      <c r="H11">
        <v>12</v>
      </c>
      <c r="I11">
        <v>3565</v>
      </c>
      <c r="J11">
        <v>4814</v>
      </c>
      <c r="K11">
        <v>2257</v>
      </c>
      <c r="L11">
        <v>125</v>
      </c>
      <c r="M11">
        <v>16</v>
      </c>
      <c r="N11">
        <v>17</v>
      </c>
      <c r="O11">
        <v>1</v>
      </c>
      <c r="P11">
        <v>17510</v>
      </c>
      <c r="Q11">
        <v>6181</v>
      </c>
      <c r="R11">
        <v>2570</v>
      </c>
      <c r="S11">
        <v>128</v>
      </c>
      <c r="T11">
        <v>16</v>
      </c>
      <c r="U11">
        <v>17</v>
      </c>
      <c r="V11">
        <v>13</v>
      </c>
    </row>
    <row r="12" spans="1:22" x14ac:dyDescent="0.2">
      <c r="A12" s="235" t="s">
        <v>311</v>
      </c>
      <c r="B12">
        <v>12927</v>
      </c>
      <c r="C12">
        <v>1425</v>
      </c>
      <c r="D12">
        <v>340</v>
      </c>
      <c r="H12">
        <v>11</v>
      </c>
      <c r="I12">
        <v>3574</v>
      </c>
      <c r="J12">
        <v>4612</v>
      </c>
      <c r="K12">
        <v>2218</v>
      </c>
      <c r="L12">
        <v>125</v>
      </c>
      <c r="M12">
        <v>29</v>
      </c>
      <c r="N12">
        <v>22</v>
      </c>
      <c r="O12">
        <v>1</v>
      </c>
      <c r="P12">
        <v>16501</v>
      </c>
      <c r="Q12">
        <v>6037</v>
      </c>
      <c r="R12">
        <v>2558</v>
      </c>
      <c r="S12">
        <v>125</v>
      </c>
      <c r="T12">
        <v>29</v>
      </c>
      <c r="U12">
        <v>22</v>
      </c>
      <c r="V12">
        <v>12</v>
      </c>
    </row>
    <row r="13" spans="1:22" x14ac:dyDescent="0.2">
      <c r="A13" s="235" t="s">
        <v>621</v>
      </c>
      <c r="B13">
        <v>13889</v>
      </c>
      <c r="C13">
        <v>1394</v>
      </c>
      <c r="D13">
        <v>369</v>
      </c>
      <c r="E13">
        <v>3</v>
      </c>
      <c r="H13">
        <v>17</v>
      </c>
      <c r="I13">
        <v>3432</v>
      </c>
      <c r="J13">
        <v>4569</v>
      </c>
      <c r="K13">
        <v>2149</v>
      </c>
      <c r="L13">
        <v>157</v>
      </c>
      <c r="M13">
        <v>38</v>
      </c>
      <c r="N13">
        <v>37</v>
      </c>
      <c r="O13">
        <v>7</v>
      </c>
      <c r="P13">
        <v>17321</v>
      </c>
      <c r="Q13">
        <v>5963</v>
      </c>
      <c r="R13">
        <v>2518</v>
      </c>
      <c r="S13">
        <v>160</v>
      </c>
      <c r="T13">
        <v>38</v>
      </c>
      <c r="U13">
        <v>37</v>
      </c>
      <c r="V13">
        <v>24</v>
      </c>
    </row>
    <row r="14" spans="1:22" x14ac:dyDescent="0.2">
      <c r="A14" s="235" t="s">
        <v>1419</v>
      </c>
      <c r="B14">
        <v>12599</v>
      </c>
      <c r="C14">
        <v>1148</v>
      </c>
      <c r="D14">
        <v>300</v>
      </c>
      <c r="E14">
        <v>2</v>
      </c>
      <c r="H14">
        <v>13</v>
      </c>
      <c r="I14">
        <v>3357</v>
      </c>
      <c r="J14">
        <v>4206</v>
      </c>
      <c r="K14">
        <v>2053</v>
      </c>
      <c r="L14">
        <v>120</v>
      </c>
      <c r="M14">
        <v>25</v>
      </c>
      <c r="N14">
        <v>22</v>
      </c>
      <c r="O14">
        <v>3</v>
      </c>
      <c r="P14">
        <v>15956</v>
      </c>
      <c r="Q14">
        <v>5354</v>
      </c>
      <c r="R14">
        <v>2353</v>
      </c>
      <c r="S14">
        <v>122</v>
      </c>
      <c r="T14">
        <v>25</v>
      </c>
      <c r="U14">
        <v>22</v>
      </c>
      <c r="V14">
        <v>16</v>
      </c>
    </row>
    <row r="15" spans="1:22" x14ac:dyDescent="0.2">
      <c r="A15" s="235" t="s">
        <v>1572</v>
      </c>
      <c r="B15">
        <v>13564</v>
      </c>
      <c r="C15">
        <v>1261</v>
      </c>
      <c r="D15">
        <v>236</v>
      </c>
      <c r="E15">
        <v>1</v>
      </c>
      <c r="G15">
        <v>1</v>
      </c>
      <c r="H15">
        <v>50</v>
      </c>
      <c r="I15">
        <v>3336</v>
      </c>
      <c r="J15">
        <v>4098</v>
      </c>
      <c r="K15">
        <v>1719</v>
      </c>
      <c r="L15">
        <v>144</v>
      </c>
      <c r="M15">
        <v>32</v>
      </c>
      <c r="N15">
        <v>26</v>
      </c>
      <c r="O15">
        <v>12</v>
      </c>
      <c r="P15">
        <v>16900</v>
      </c>
      <c r="Q15">
        <v>5359</v>
      </c>
      <c r="R15">
        <v>1955</v>
      </c>
      <c r="S15">
        <v>145</v>
      </c>
      <c r="T15">
        <v>32</v>
      </c>
      <c r="U15">
        <v>27</v>
      </c>
      <c r="V15">
        <v>62</v>
      </c>
    </row>
    <row r="16" spans="1:22" x14ac:dyDescent="0.2">
      <c r="A16" s="235" t="s">
        <v>333</v>
      </c>
      <c r="B16">
        <v>173018</v>
      </c>
      <c r="C16">
        <v>22064</v>
      </c>
      <c r="D16">
        <v>4208</v>
      </c>
      <c r="E16">
        <v>32</v>
      </c>
      <c r="F16">
        <v>2</v>
      </c>
      <c r="G16">
        <v>1</v>
      </c>
      <c r="H16">
        <v>404</v>
      </c>
      <c r="I16">
        <v>43922</v>
      </c>
      <c r="J16">
        <v>59248</v>
      </c>
      <c r="K16">
        <v>27456</v>
      </c>
      <c r="L16">
        <v>1514</v>
      </c>
      <c r="M16">
        <v>317</v>
      </c>
      <c r="N16">
        <v>264</v>
      </c>
      <c r="O16">
        <v>205</v>
      </c>
      <c r="P16">
        <v>216940</v>
      </c>
      <c r="Q16">
        <v>81312</v>
      </c>
      <c r="R16">
        <v>31664</v>
      </c>
      <c r="S16">
        <v>1546</v>
      </c>
      <c r="T16">
        <v>319</v>
      </c>
      <c r="U16">
        <v>265</v>
      </c>
      <c r="V16">
        <v>609</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V39"/>
  <sheetViews>
    <sheetView workbookViewId="0">
      <selection activeCell="C8" sqref="C8"/>
    </sheetView>
  </sheetViews>
  <sheetFormatPr defaultRowHeight="12.75" x14ac:dyDescent="0.2"/>
  <cols>
    <col min="1" max="1" width="19.5703125" bestFit="1" customWidth="1"/>
    <col min="2" max="2" width="15.85546875" bestFit="1" customWidth="1"/>
    <col min="3" max="3" width="9.42578125" bestFit="1" customWidth="1"/>
    <col min="4" max="6" width="12.140625" bestFit="1" customWidth="1"/>
    <col min="7" max="7" width="10.5703125" bestFit="1" customWidth="1"/>
    <col min="8" max="8" width="15.5703125" bestFit="1" customWidth="1"/>
    <col min="9" max="10" width="9.42578125" bestFit="1" customWidth="1"/>
    <col min="11" max="13" width="12.140625" bestFit="1" customWidth="1"/>
    <col min="14" max="14" width="10.5703125" bestFit="1" customWidth="1"/>
    <col min="15" max="15" width="15.5703125" bestFit="1" customWidth="1"/>
    <col min="16" max="17" width="14.42578125" bestFit="1" customWidth="1"/>
    <col min="18" max="20" width="17.140625" bestFit="1" customWidth="1"/>
    <col min="21" max="21" width="15.5703125" bestFit="1" customWidth="1"/>
    <col min="22" max="22" width="20.5703125" bestFit="1" customWidth="1"/>
  </cols>
  <sheetData>
    <row r="2" spans="1:22" x14ac:dyDescent="0.2">
      <c r="A2" s="234" t="s">
        <v>4</v>
      </c>
      <c r="B2" t="s">
        <v>1572</v>
      </c>
    </row>
    <row r="4" spans="1:22" x14ac:dyDescent="0.2">
      <c r="B4" s="234" t="s">
        <v>336</v>
      </c>
    </row>
    <row r="5" spans="1:22" x14ac:dyDescent="0.2">
      <c r="B5" t="s">
        <v>495</v>
      </c>
      <c r="I5" t="s">
        <v>496</v>
      </c>
      <c r="P5" t="s">
        <v>489</v>
      </c>
      <c r="Q5" t="s">
        <v>490</v>
      </c>
      <c r="R5" t="s">
        <v>491</v>
      </c>
      <c r="S5" t="s">
        <v>492</v>
      </c>
      <c r="T5" t="s">
        <v>493</v>
      </c>
      <c r="U5" t="s">
        <v>494</v>
      </c>
      <c r="V5" t="s">
        <v>451</v>
      </c>
    </row>
    <row r="6" spans="1:22" x14ac:dyDescent="0.2">
      <c r="A6" s="234" t="s">
        <v>326</v>
      </c>
      <c r="B6" t="s">
        <v>483</v>
      </c>
      <c r="C6" t="s">
        <v>484</v>
      </c>
      <c r="D6" t="s">
        <v>485</v>
      </c>
      <c r="E6" t="s">
        <v>486</v>
      </c>
      <c r="F6" t="s">
        <v>487</v>
      </c>
      <c r="G6" t="s">
        <v>488</v>
      </c>
      <c r="H6" t="s">
        <v>452</v>
      </c>
      <c r="I6" t="s">
        <v>483</v>
      </c>
      <c r="J6" t="s">
        <v>484</v>
      </c>
      <c r="K6" t="s">
        <v>485</v>
      </c>
      <c r="L6" t="s">
        <v>486</v>
      </c>
      <c r="M6" t="s">
        <v>487</v>
      </c>
      <c r="N6" t="s">
        <v>488</v>
      </c>
      <c r="O6" t="s">
        <v>452</v>
      </c>
    </row>
    <row r="7" spans="1:22" x14ac:dyDescent="0.2">
      <c r="A7" s="235" t="s">
        <v>23</v>
      </c>
      <c r="B7">
        <v>307</v>
      </c>
      <c r="C7">
        <v>16</v>
      </c>
      <c r="D7">
        <v>5</v>
      </c>
      <c r="I7">
        <v>106</v>
      </c>
      <c r="J7">
        <v>226</v>
      </c>
      <c r="K7">
        <v>89</v>
      </c>
      <c r="L7">
        <v>3</v>
      </c>
      <c r="M7">
        <v>1</v>
      </c>
      <c r="N7">
        <v>1</v>
      </c>
      <c r="P7">
        <v>413</v>
      </c>
      <c r="Q7">
        <v>242</v>
      </c>
      <c r="R7">
        <v>94</v>
      </c>
      <c r="S7">
        <v>3</v>
      </c>
      <c r="T7">
        <v>1</v>
      </c>
      <c r="U7">
        <v>1</v>
      </c>
    </row>
    <row r="8" spans="1:22" x14ac:dyDescent="0.2">
      <c r="A8" s="235" t="s">
        <v>24</v>
      </c>
      <c r="B8">
        <v>241</v>
      </c>
      <c r="C8">
        <v>31</v>
      </c>
      <c r="D8">
        <v>18</v>
      </c>
      <c r="H8">
        <v>1</v>
      </c>
      <c r="I8">
        <v>134</v>
      </c>
      <c r="J8">
        <v>212</v>
      </c>
      <c r="K8">
        <v>43</v>
      </c>
      <c r="L8">
        <v>9</v>
      </c>
      <c r="M8">
        <v>1</v>
      </c>
      <c r="N8">
        <v>1</v>
      </c>
      <c r="P8">
        <v>375</v>
      </c>
      <c r="Q8">
        <v>243</v>
      </c>
      <c r="R8">
        <v>61</v>
      </c>
      <c r="S8">
        <v>9</v>
      </c>
      <c r="T8">
        <v>1</v>
      </c>
      <c r="U8">
        <v>1</v>
      </c>
      <c r="V8">
        <v>1</v>
      </c>
    </row>
    <row r="9" spans="1:22" x14ac:dyDescent="0.2">
      <c r="A9" s="235" t="s">
        <v>25</v>
      </c>
      <c r="B9">
        <v>175</v>
      </c>
      <c r="C9">
        <v>19</v>
      </c>
      <c r="D9">
        <v>8</v>
      </c>
      <c r="I9">
        <v>55</v>
      </c>
      <c r="J9">
        <v>87</v>
      </c>
      <c r="K9">
        <v>19</v>
      </c>
      <c r="L9">
        <v>4</v>
      </c>
      <c r="M9">
        <v>3</v>
      </c>
      <c r="P9">
        <v>230</v>
      </c>
      <c r="Q9">
        <v>106</v>
      </c>
      <c r="R9">
        <v>27</v>
      </c>
      <c r="S9">
        <v>4</v>
      </c>
      <c r="T9">
        <v>3</v>
      </c>
    </row>
    <row r="10" spans="1:22" x14ac:dyDescent="0.2">
      <c r="A10" s="235" t="s">
        <v>26</v>
      </c>
      <c r="B10">
        <v>109</v>
      </c>
      <c r="C10">
        <v>19</v>
      </c>
      <c r="D10">
        <v>4</v>
      </c>
      <c r="E10">
        <v>1</v>
      </c>
      <c r="I10">
        <v>58</v>
      </c>
      <c r="J10">
        <v>85</v>
      </c>
      <c r="K10">
        <v>10</v>
      </c>
      <c r="L10">
        <v>4</v>
      </c>
      <c r="P10">
        <v>167</v>
      </c>
      <c r="Q10">
        <v>104</v>
      </c>
      <c r="R10">
        <v>14</v>
      </c>
      <c r="S10">
        <v>5</v>
      </c>
    </row>
    <row r="11" spans="1:22" x14ac:dyDescent="0.2">
      <c r="A11" s="235" t="s">
        <v>619</v>
      </c>
      <c r="B11">
        <v>1382</v>
      </c>
      <c r="C11">
        <v>67</v>
      </c>
      <c r="D11">
        <v>16</v>
      </c>
      <c r="I11">
        <v>266</v>
      </c>
      <c r="J11">
        <v>242</v>
      </c>
      <c r="K11">
        <v>294</v>
      </c>
      <c r="L11">
        <v>5</v>
      </c>
      <c r="M11">
        <v>1</v>
      </c>
      <c r="P11">
        <v>1648</v>
      </c>
      <c r="Q11">
        <v>309</v>
      </c>
      <c r="R11">
        <v>310</v>
      </c>
      <c r="S11">
        <v>5</v>
      </c>
      <c r="T11">
        <v>1</v>
      </c>
    </row>
    <row r="12" spans="1:22" x14ac:dyDescent="0.2">
      <c r="A12" s="235" t="s">
        <v>27</v>
      </c>
      <c r="B12">
        <v>100</v>
      </c>
      <c r="C12">
        <v>9</v>
      </c>
      <c r="D12">
        <v>3</v>
      </c>
      <c r="I12">
        <v>27</v>
      </c>
      <c r="J12">
        <v>37</v>
      </c>
      <c r="K12">
        <v>22</v>
      </c>
      <c r="P12">
        <v>127</v>
      </c>
      <c r="Q12">
        <v>46</v>
      </c>
      <c r="R12">
        <v>25</v>
      </c>
    </row>
    <row r="13" spans="1:22" x14ac:dyDescent="0.2">
      <c r="A13" s="235" t="s">
        <v>28</v>
      </c>
      <c r="B13">
        <v>154</v>
      </c>
      <c r="C13">
        <v>25</v>
      </c>
      <c r="D13">
        <v>5</v>
      </c>
      <c r="H13">
        <v>21</v>
      </c>
      <c r="I13">
        <v>66</v>
      </c>
      <c r="J13">
        <v>83</v>
      </c>
      <c r="K13">
        <v>27</v>
      </c>
      <c r="L13">
        <v>3</v>
      </c>
      <c r="M13">
        <v>1</v>
      </c>
      <c r="N13">
        <v>2</v>
      </c>
      <c r="O13">
        <v>9</v>
      </c>
      <c r="P13">
        <v>220</v>
      </c>
      <c r="Q13">
        <v>108</v>
      </c>
      <c r="R13">
        <v>32</v>
      </c>
      <c r="S13">
        <v>3</v>
      </c>
      <c r="T13">
        <v>1</v>
      </c>
      <c r="U13">
        <v>2</v>
      </c>
      <c r="V13">
        <v>30</v>
      </c>
    </row>
    <row r="14" spans="1:22" x14ac:dyDescent="0.2">
      <c r="A14" s="235" t="s">
        <v>29</v>
      </c>
      <c r="B14">
        <v>660</v>
      </c>
      <c r="C14">
        <v>33</v>
      </c>
      <c r="D14">
        <v>1</v>
      </c>
      <c r="I14">
        <v>76</v>
      </c>
      <c r="J14">
        <v>182</v>
      </c>
      <c r="K14">
        <v>64</v>
      </c>
      <c r="L14">
        <v>3</v>
      </c>
      <c r="M14">
        <v>1</v>
      </c>
      <c r="N14">
        <v>1</v>
      </c>
      <c r="P14">
        <v>736</v>
      </c>
      <c r="Q14">
        <v>215</v>
      </c>
      <c r="R14">
        <v>65</v>
      </c>
      <c r="S14">
        <v>3</v>
      </c>
      <c r="T14">
        <v>1</v>
      </c>
      <c r="U14">
        <v>1</v>
      </c>
    </row>
    <row r="15" spans="1:22" x14ac:dyDescent="0.2">
      <c r="A15" s="235" t="s">
        <v>30</v>
      </c>
      <c r="B15">
        <v>528</v>
      </c>
      <c r="C15">
        <v>45</v>
      </c>
      <c r="D15">
        <v>4</v>
      </c>
      <c r="H15">
        <v>7</v>
      </c>
      <c r="I15">
        <v>94</v>
      </c>
      <c r="J15">
        <v>97</v>
      </c>
      <c r="K15">
        <v>24</v>
      </c>
      <c r="L15">
        <v>3</v>
      </c>
      <c r="M15">
        <v>2</v>
      </c>
      <c r="P15">
        <v>622</v>
      </c>
      <c r="Q15">
        <v>142</v>
      </c>
      <c r="R15">
        <v>28</v>
      </c>
      <c r="S15">
        <v>3</v>
      </c>
      <c r="T15">
        <v>2</v>
      </c>
      <c r="V15">
        <v>7</v>
      </c>
    </row>
    <row r="16" spans="1:22" x14ac:dyDescent="0.2">
      <c r="A16" s="235" t="s">
        <v>31</v>
      </c>
      <c r="B16">
        <v>223</v>
      </c>
      <c r="C16">
        <v>16</v>
      </c>
      <c r="D16">
        <v>1</v>
      </c>
      <c r="H16">
        <v>1</v>
      </c>
      <c r="I16">
        <v>61</v>
      </c>
      <c r="J16">
        <v>55</v>
      </c>
      <c r="K16">
        <v>11</v>
      </c>
      <c r="L16">
        <v>1</v>
      </c>
      <c r="N16">
        <v>2</v>
      </c>
      <c r="P16">
        <v>284</v>
      </c>
      <c r="Q16">
        <v>71</v>
      </c>
      <c r="R16">
        <v>12</v>
      </c>
      <c r="S16">
        <v>1</v>
      </c>
      <c r="U16">
        <v>2</v>
      </c>
      <c r="V16">
        <v>1</v>
      </c>
    </row>
    <row r="17" spans="1:22" x14ac:dyDescent="0.2">
      <c r="A17" s="235" t="s">
        <v>32</v>
      </c>
      <c r="B17">
        <v>181</v>
      </c>
      <c r="C17">
        <v>13</v>
      </c>
      <c r="D17">
        <v>1</v>
      </c>
      <c r="I17">
        <v>59</v>
      </c>
      <c r="J17">
        <v>59</v>
      </c>
      <c r="K17">
        <v>17</v>
      </c>
      <c r="L17">
        <v>3</v>
      </c>
      <c r="N17">
        <v>1</v>
      </c>
      <c r="P17">
        <v>240</v>
      </c>
      <c r="Q17">
        <v>72</v>
      </c>
      <c r="R17">
        <v>18</v>
      </c>
      <c r="S17">
        <v>3</v>
      </c>
      <c r="U17">
        <v>1</v>
      </c>
    </row>
    <row r="18" spans="1:22" x14ac:dyDescent="0.2">
      <c r="A18" s="235" t="s">
        <v>33</v>
      </c>
      <c r="B18">
        <v>156</v>
      </c>
      <c r="C18">
        <v>23</v>
      </c>
      <c r="D18">
        <v>3</v>
      </c>
      <c r="I18">
        <v>45</v>
      </c>
      <c r="J18">
        <v>39</v>
      </c>
      <c r="K18">
        <v>10</v>
      </c>
      <c r="L18">
        <v>3</v>
      </c>
      <c r="N18">
        <v>1</v>
      </c>
      <c r="P18">
        <v>201</v>
      </c>
      <c r="Q18">
        <v>62</v>
      </c>
      <c r="R18">
        <v>13</v>
      </c>
      <c r="S18">
        <v>3</v>
      </c>
      <c r="U18">
        <v>1</v>
      </c>
    </row>
    <row r="19" spans="1:22" x14ac:dyDescent="0.2">
      <c r="A19" s="235" t="s">
        <v>34</v>
      </c>
      <c r="B19">
        <v>392</v>
      </c>
      <c r="C19">
        <v>28</v>
      </c>
      <c r="D19">
        <v>3</v>
      </c>
      <c r="I19">
        <v>113</v>
      </c>
      <c r="J19">
        <v>121</v>
      </c>
      <c r="K19">
        <v>46</v>
      </c>
      <c r="L19">
        <v>3</v>
      </c>
      <c r="N19">
        <v>1</v>
      </c>
      <c r="P19">
        <v>505</v>
      </c>
      <c r="Q19">
        <v>149</v>
      </c>
      <c r="R19">
        <v>49</v>
      </c>
      <c r="S19">
        <v>3</v>
      </c>
      <c r="U19">
        <v>1</v>
      </c>
    </row>
    <row r="20" spans="1:22" x14ac:dyDescent="0.2">
      <c r="A20" s="235" t="s">
        <v>35</v>
      </c>
      <c r="B20">
        <v>888</v>
      </c>
      <c r="C20">
        <v>117</v>
      </c>
      <c r="D20">
        <v>11</v>
      </c>
      <c r="H20">
        <v>1</v>
      </c>
      <c r="I20">
        <v>239</v>
      </c>
      <c r="J20">
        <v>256</v>
      </c>
      <c r="K20">
        <v>76</v>
      </c>
      <c r="L20">
        <v>5</v>
      </c>
      <c r="M20">
        <v>3</v>
      </c>
      <c r="N20">
        <v>2</v>
      </c>
      <c r="P20">
        <v>1127</v>
      </c>
      <c r="Q20">
        <v>373</v>
      </c>
      <c r="R20">
        <v>87</v>
      </c>
      <c r="S20">
        <v>5</v>
      </c>
      <c r="T20">
        <v>3</v>
      </c>
      <c r="U20">
        <v>2</v>
      </c>
      <c r="V20">
        <v>1</v>
      </c>
    </row>
    <row r="21" spans="1:22" x14ac:dyDescent="0.2">
      <c r="A21" s="235" t="s">
        <v>36</v>
      </c>
      <c r="B21">
        <v>2202</v>
      </c>
      <c r="C21">
        <v>191</v>
      </c>
      <c r="D21">
        <v>42</v>
      </c>
      <c r="H21">
        <v>5</v>
      </c>
      <c r="I21">
        <v>406</v>
      </c>
      <c r="J21">
        <v>590</v>
      </c>
      <c r="K21">
        <v>379</v>
      </c>
      <c r="L21">
        <v>26</v>
      </c>
      <c r="M21">
        <v>5</v>
      </c>
      <c r="N21">
        <v>2</v>
      </c>
      <c r="O21">
        <v>1</v>
      </c>
      <c r="P21">
        <v>2608</v>
      </c>
      <c r="Q21">
        <v>781</v>
      </c>
      <c r="R21">
        <v>421</v>
      </c>
      <c r="S21">
        <v>26</v>
      </c>
      <c r="T21">
        <v>5</v>
      </c>
      <c r="U21">
        <v>2</v>
      </c>
      <c r="V21">
        <v>6</v>
      </c>
    </row>
    <row r="22" spans="1:22" x14ac:dyDescent="0.2">
      <c r="A22" s="235" t="s">
        <v>37</v>
      </c>
      <c r="B22">
        <v>319</v>
      </c>
      <c r="C22">
        <v>54</v>
      </c>
      <c r="D22">
        <v>22</v>
      </c>
      <c r="H22">
        <v>1</v>
      </c>
      <c r="I22">
        <v>145</v>
      </c>
      <c r="J22">
        <v>172</v>
      </c>
      <c r="K22">
        <v>49</v>
      </c>
      <c r="L22">
        <v>7</v>
      </c>
      <c r="M22">
        <v>1</v>
      </c>
      <c r="N22">
        <v>2</v>
      </c>
      <c r="O22">
        <v>1</v>
      </c>
      <c r="P22">
        <v>464</v>
      </c>
      <c r="Q22">
        <v>226</v>
      </c>
      <c r="R22">
        <v>71</v>
      </c>
      <c r="S22">
        <v>7</v>
      </c>
      <c r="T22">
        <v>1</v>
      </c>
      <c r="U22">
        <v>2</v>
      </c>
      <c r="V22">
        <v>2</v>
      </c>
    </row>
    <row r="23" spans="1:22" x14ac:dyDescent="0.2">
      <c r="A23" s="235" t="s">
        <v>38</v>
      </c>
      <c r="B23">
        <v>365</v>
      </c>
      <c r="C23">
        <v>42</v>
      </c>
      <c r="D23">
        <v>10</v>
      </c>
      <c r="I23">
        <v>49</v>
      </c>
      <c r="J23">
        <v>70</v>
      </c>
      <c r="K23">
        <v>44</v>
      </c>
      <c r="L23">
        <v>2</v>
      </c>
      <c r="M23">
        <v>1</v>
      </c>
      <c r="P23">
        <v>414</v>
      </c>
      <c r="Q23">
        <v>112</v>
      </c>
      <c r="R23">
        <v>54</v>
      </c>
      <c r="S23">
        <v>2</v>
      </c>
      <c r="T23">
        <v>1</v>
      </c>
    </row>
    <row r="24" spans="1:22" x14ac:dyDescent="0.2">
      <c r="A24" s="235" t="s">
        <v>39</v>
      </c>
      <c r="B24">
        <v>186</v>
      </c>
      <c r="C24">
        <v>14</v>
      </c>
      <c r="D24">
        <v>1</v>
      </c>
      <c r="I24">
        <v>90</v>
      </c>
      <c r="J24">
        <v>51</v>
      </c>
      <c r="K24">
        <v>12</v>
      </c>
      <c r="L24">
        <v>3</v>
      </c>
      <c r="M24">
        <v>1</v>
      </c>
      <c r="P24">
        <v>276</v>
      </c>
      <c r="Q24">
        <v>65</v>
      </c>
      <c r="R24">
        <v>13</v>
      </c>
      <c r="S24">
        <v>3</v>
      </c>
      <c r="T24">
        <v>1</v>
      </c>
    </row>
    <row r="25" spans="1:22" x14ac:dyDescent="0.2">
      <c r="A25" s="235" t="s">
        <v>40</v>
      </c>
      <c r="B25">
        <v>113</v>
      </c>
      <c r="C25">
        <v>8</v>
      </c>
      <c r="D25">
        <v>6</v>
      </c>
      <c r="H25">
        <v>1</v>
      </c>
      <c r="I25">
        <v>71</v>
      </c>
      <c r="J25">
        <v>52</v>
      </c>
      <c r="K25">
        <v>12</v>
      </c>
      <c r="L25">
        <v>4</v>
      </c>
      <c r="M25">
        <v>3</v>
      </c>
      <c r="P25">
        <v>184</v>
      </c>
      <c r="Q25">
        <v>60</v>
      </c>
      <c r="R25">
        <v>18</v>
      </c>
      <c r="S25">
        <v>4</v>
      </c>
      <c r="T25">
        <v>3</v>
      </c>
      <c r="V25">
        <v>1</v>
      </c>
    </row>
    <row r="26" spans="1:22" x14ac:dyDescent="0.2">
      <c r="A26" s="235" t="s">
        <v>295</v>
      </c>
      <c r="B26">
        <v>53</v>
      </c>
      <c r="C26">
        <v>16</v>
      </c>
      <c r="D26">
        <v>6</v>
      </c>
      <c r="I26">
        <v>18</v>
      </c>
      <c r="J26">
        <v>14</v>
      </c>
      <c r="K26">
        <v>8</v>
      </c>
      <c r="L26">
        <v>1</v>
      </c>
      <c r="P26">
        <v>71</v>
      </c>
      <c r="Q26">
        <v>30</v>
      </c>
      <c r="R26">
        <v>14</v>
      </c>
      <c r="S26">
        <v>1</v>
      </c>
    </row>
    <row r="27" spans="1:22" x14ac:dyDescent="0.2">
      <c r="A27" s="235" t="s">
        <v>41</v>
      </c>
      <c r="B27">
        <v>448</v>
      </c>
      <c r="C27">
        <v>36</v>
      </c>
      <c r="D27">
        <v>7</v>
      </c>
      <c r="I27">
        <v>87</v>
      </c>
      <c r="J27">
        <v>110</v>
      </c>
      <c r="K27">
        <v>39</v>
      </c>
      <c r="L27">
        <v>3</v>
      </c>
      <c r="P27">
        <v>535</v>
      </c>
      <c r="Q27">
        <v>146</v>
      </c>
      <c r="R27">
        <v>46</v>
      </c>
      <c r="S27">
        <v>3</v>
      </c>
    </row>
    <row r="28" spans="1:22" x14ac:dyDescent="0.2">
      <c r="A28" s="235" t="s">
        <v>42</v>
      </c>
      <c r="B28">
        <v>1315</v>
      </c>
      <c r="C28">
        <v>139</v>
      </c>
      <c r="D28">
        <v>17</v>
      </c>
      <c r="H28">
        <v>4</v>
      </c>
      <c r="I28">
        <v>278</v>
      </c>
      <c r="J28">
        <v>292</v>
      </c>
      <c r="K28">
        <v>93</v>
      </c>
      <c r="L28">
        <v>13</v>
      </c>
      <c r="M28">
        <v>3</v>
      </c>
      <c r="N28">
        <v>3</v>
      </c>
      <c r="P28">
        <v>1593</v>
      </c>
      <c r="Q28">
        <v>431</v>
      </c>
      <c r="R28">
        <v>110</v>
      </c>
      <c r="S28">
        <v>13</v>
      </c>
      <c r="T28">
        <v>3</v>
      </c>
      <c r="U28">
        <v>3</v>
      </c>
      <c r="V28">
        <v>4</v>
      </c>
    </row>
    <row r="29" spans="1:22" x14ac:dyDescent="0.2">
      <c r="A29" s="235" t="s">
        <v>43</v>
      </c>
      <c r="B29">
        <v>12</v>
      </c>
      <c r="C29">
        <v>2</v>
      </c>
      <c r="I29">
        <v>11</v>
      </c>
      <c r="J29">
        <v>4</v>
      </c>
      <c r="K29">
        <v>2</v>
      </c>
      <c r="P29">
        <v>23</v>
      </c>
      <c r="Q29">
        <v>6</v>
      </c>
      <c r="R29">
        <v>2</v>
      </c>
    </row>
    <row r="30" spans="1:22" x14ac:dyDescent="0.2">
      <c r="A30" s="235" t="s">
        <v>44</v>
      </c>
      <c r="B30">
        <v>127</v>
      </c>
      <c r="C30">
        <v>14</v>
      </c>
      <c r="D30">
        <v>4</v>
      </c>
      <c r="I30">
        <v>63</v>
      </c>
      <c r="J30">
        <v>114</v>
      </c>
      <c r="K30">
        <v>44</v>
      </c>
      <c r="L30">
        <v>6</v>
      </c>
      <c r="P30">
        <v>190</v>
      </c>
      <c r="Q30">
        <v>128</v>
      </c>
      <c r="R30">
        <v>48</v>
      </c>
      <c r="S30">
        <v>6</v>
      </c>
    </row>
    <row r="31" spans="1:22" x14ac:dyDescent="0.2">
      <c r="A31" s="235" t="s">
        <v>45</v>
      </c>
      <c r="B31">
        <v>442</v>
      </c>
      <c r="C31">
        <v>54</v>
      </c>
      <c r="D31">
        <v>4</v>
      </c>
      <c r="H31">
        <v>3</v>
      </c>
      <c r="I31">
        <v>113</v>
      </c>
      <c r="J31">
        <v>141</v>
      </c>
      <c r="K31">
        <v>70</v>
      </c>
      <c r="L31">
        <v>5</v>
      </c>
      <c r="M31">
        <v>1</v>
      </c>
      <c r="P31">
        <v>555</v>
      </c>
      <c r="Q31">
        <v>195</v>
      </c>
      <c r="R31">
        <v>74</v>
      </c>
      <c r="S31">
        <v>5</v>
      </c>
      <c r="T31">
        <v>1</v>
      </c>
      <c r="V31">
        <v>3</v>
      </c>
    </row>
    <row r="32" spans="1:22" x14ac:dyDescent="0.2">
      <c r="A32" s="235" t="s">
        <v>46</v>
      </c>
      <c r="B32">
        <v>110</v>
      </c>
      <c r="C32">
        <v>13</v>
      </c>
      <c r="D32">
        <v>1</v>
      </c>
      <c r="I32">
        <v>77</v>
      </c>
      <c r="J32">
        <v>81</v>
      </c>
      <c r="K32">
        <v>21</v>
      </c>
      <c r="L32">
        <v>4</v>
      </c>
      <c r="N32">
        <v>1</v>
      </c>
      <c r="P32">
        <v>187</v>
      </c>
      <c r="Q32">
        <v>94</v>
      </c>
      <c r="R32">
        <v>22</v>
      </c>
      <c r="S32">
        <v>4</v>
      </c>
      <c r="U32">
        <v>1</v>
      </c>
    </row>
    <row r="33" spans="1:22" x14ac:dyDescent="0.2">
      <c r="A33" s="235" t="s">
        <v>47</v>
      </c>
      <c r="B33">
        <v>12</v>
      </c>
      <c r="C33">
        <v>3</v>
      </c>
      <c r="I33">
        <v>19</v>
      </c>
      <c r="J33">
        <v>25</v>
      </c>
      <c r="K33">
        <v>8</v>
      </c>
      <c r="N33">
        <v>1</v>
      </c>
      <c r="P33">
        <v>31</v>
      </c>
      <c r="Q33">
        <v>28</v>
      </c>
      <c r="R33">
        <v>8</v>
      </c>
      <c r="U33">
        <v>1</v>
      </c>
    </row>
    <row r="34" spans="1:22" x14ac:dyDescent="0.2">
      <c r="A34" s="235" t="s">
        <v>48</v>
      </c>
      <c r="B34">
        <v>276</v>
      </c>
      <c r="C34">
        <v>27</v>
      </c>
      <c r="D34">
        <v>1</v>
      </c>
      <c r="I34">
        <v>47</v>
      </c>
      <c r="J34">
        <v>86</v>
      </c>
      <c r="K34">
        <v>24</v>
      </c>
      <c r="L34">
        <v>1</v>
      </c>
      <c r="M34">
        <v>1</v>
      </c>
      <c r="P34">
        <v>323</v>
      </c>
      <c r="Q34">
        <v>113</v>
      </c>
      <c r="R34">
        <v>25</v>
      </c>
      <c r="S34">
        <v>1</v>
      </c>
      <c r="T34">
        <v>1</v>
      </c>
    </row>
    <row r="35" spans="1:22" x14ac:dyDescent="0.2">
      <c r="A35" s="235" t="s">
        <v>49</v>
      </c>
      <c r="B35">
        <v>911</v>
      </c>
      <c r="C35">
        <v>88</v>
      </c>
      <c r="D35">
        <v>16</v>
      </c>
      <c r="G35">
        <v>1</v>
      </c>
      <c r="H35">
        <v>2</v>
      </c>
      <c r="I35">
        <v>202</v>
      </c>
      <c r="J35">
        <v>248</v>
      </c>
      <c r="K35">
        <v>54</v>
      </c>
      <c r="L35">
        <v>8</v>
      </c>
      <c r="M35">
        <v>2</v>
      </c>
      <c r="N35">
        <v>1</v>
      </c>
      <c r="P35">
        <v>1113</v>
      </c>
      <c r="Q35">
        <v>336</v>
      </c>
      <c r="R35">
        <v>70</v>
      </c>
      <c r="S35">
        <v>8</v>
      </c>
      <c r="T35">
        <v>2</v>
      </c>
      <c r="U35">
        <v>2</v>
      </c>
      <c r="V35">
        <v>2</v>
      </c>
    </row>
    <row r="36" spans="1:22" x14ac:dyDescent="0.2">
      <c r="A36" s="235" t="s">
        <v>50</v>
      </c>
      <c r="B36">
        <v>168</v>
      </c>
      <c r="C36">
        <v>21</v>
      </c>
      <c r="D36">
        <v>6</v>
      </c>
      <c r="I36">
        <v>50</v>
      </c>
      <c r="J36">
        <v>76</v>
      </c>
      <c r="K36">
        <v>34</v>
      </c>
      <c r="L36">
        <v>2</v>
      </c>
      <c r="P36">
        <v>218</v>
      </c>
      <c r="Q36">
        <v>97</v>
      </c>
      <c r="R36">
        <v>40</v>
      </c>
      <c r="S36">
        <v>2</v>
      </c>
    </row>
    <row r="37" spans="1:22" x14ac:dyDescent="0.2">
      <c r="A37" s="235" t="s">
        <v>51</v>
      </c>
      <c r="B37">
        <v>366</v>
      </c>
      <c r="C37">
        <v>39</v>
      </c>
      <c r="D37">
        <v>2</v>
      </c>
      <c r="H37">
        <v>1</v>
      </c>
      <c r="I37">
        <v>78</v>
      </c>
      <c r="J37">
        <v>79</v>
      </c>
      <c r="K37">
        <v>34</v>
      </c>
      <c r="L37">
        <v>6</v>
      </c>
      <c r="N37">
        <v>2</v>
      </c>
      <c r="O37">
        <v>1</v>
      </c>
      <c r="P37">
        <v>444</v>
      </c>
      <c r="Q37">
        <v>118</v>
      </c>
      <c r="R37">
        <v>36</v>
      </c>
      <c r="S37">
        <v>6</v>
      </c>
      <c r="U37">
        <v>2</v>
      </c>
      <c r="V37">
        <v>2</v>
      </c>
    </row>
    <row r="38" spans="1:22" x14ac:dyDescent="0.2">
      <c r="A38" s="235" t="s">
        <v>52</v>
      </c>
      <c r="B38">
        <v>643</v>
      </c>
      <c r="C38">
        <v>39</v>
      </c>
      <c r="D38">
        <v>8</v>
      </c>
      <c r="H38">
        <v>2</v>
      </c>
      <c r="I38">
        <v>133</v>
      </c>
      <c r="J38">
        <v>112</v>
      </c>
      <c r="K38">
        <v>40</v>
      </c>
      <c r="L38">
        <v>4</v>
      </c>
      <c r="M38">
        <v>1</v>
      </c>
      <c r="N38">
        <v>2</v>
      </c>
      <c r="P38">
        <v>776</v>
      </c>
      <c r="Q38">
        <v>151</v>
      </c>
      <c r="R38">
        <v>48</v>
      </c>
      <c r="S38">
        <v>4</v>
      </c>
      <c r="T38">
        <v>1</v>
      </c>
      <c r="U38">
        <v>2</v>
      </c>
      <c r="V38">
        <v>2</v>
      </c>
    </row>
    <row r="39" spans="1:22" x14ac:dyDescent="0.2">
      <c r="A39" s="235" t="s">
        <v>333</v>
      </c>
      <c r="B39">
        <v>13564</v>
      </c>
      <c r="C39">
        <v>1261</v>
      </c>
      <c r="D39">
        <v>236</v>
      </c>
      <c r="E39">
        <v>1</v>
      </c>
      <c r="G39">
        <v>1</v>
      </c>
      <c r="H39">
        <v>50</v>
      </c>
      <c r="I39">
        <v>3336</v>
      </c>
      <c r="J39">
        <v>4098</v>
      </c>
      <c r="K39">
        <v>1719</v>
      </c>
      <c r="L39">
        <v>144</v>
      </c>
      <c r="M39">
        <v>32</v>
      </c>
      <c r="N39">
        <v>26</v>
      </c>
      <c r="O39">
        <v>12</v>
      </c>
      <c r="P39">
        <v>16900</v>
      </c>
      <c r="Q39">
        <v>5359</v>
      </c>
      <c r="R39">
        <v>1955</v>
      </c>
      <c r="S39">
        <v>145</v>
      </c>
      <c r="T39">
        <v>32</v>
      </c>
      <c r="U39">
        <v>27</v>
      </c>
      <c r="V39">
        <v>62</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4"/>
  </sheetPr>
  <dimension ref="A1:CW16"/>
  <sheetViews>
    <sheetView workbookViewId="0">
      <selection activeCell="C8" sqref="C8"/>
    </sheetView>
  </sheetViews>
  <sheetFormatPr defaultRowHeight="12.75" x14ac:dyDescent="0.2"/>
  <cols>
    <col min="1" max="1" width="13" bestFit="1" customWidth="1"/>
    <col min="2" max="2" width="15.85546875" bestFit="1" customWidth="1"/>
    <col min="3" max="11" width="8.42578125" bestFit="1" customWidth="1"/>
    <col min="12" max="25" width="9.42578125" bestFit="1" customWidth="1"/>
    <col min="26" max="26" width="11.85546875" bestFit="1" customWidth="1"/>
    <col min="27" max="27" width="14.42578125" bestFit="1" customWidth="1"/>
    <col min="28" max="36" width="8.42578125" bestFit="1" customWidth="1"/>
    <col min="37" max="50" width="9.42578125" bestFit="1" customWidth="1"/>
    <col min="51" max="51" width="11.85546875" bestFit="1" customWidth="1"/>
    <col min="52" max="61" width="8.42578125" bestFit="1" customWidth="1"/>
    <col min="62" max="75" width="9.42578125" bestFit="1" customWidth="1"/>
    <col min="76" max="76" width="11.85546875" bestFit="1" customWidth="1"/>
    <col min="77" max="86" width="13.42578125" bestFit="1" customWidth="1"/>
    <col min="87" max="100" width="14.42578125" bestFit="1" customWidth="1"/>
    <col min="101" max="101" width="16.85546875" bestFit="1" customWidth="1"/>
  </cols>
  <sheetData>
    <row r="1" spans="1:101" x14ac:dyDescent="0.2">
      <c r="B1" s="234" t="s">
        <v>336</v>
      </c>
    </row>
    <row r="2" spans="1:101" x14ac:dyDescent="0.2">
      <c r="B2" t="s">
        <v>752</v>
      </c>
      <c r="AA2" t="s">
        <v>6</v>
      </c>
      <c r="AZ2" t="s">
        <v>763</v>
      </c>
      <c r="BY2" t="s">
        <v>765</v>
      </c>
      <c r="BZ2" t="s">
        <v>766</v>
      </c>
      <c r="CA2" t="s">
        <v>768</v>
      </c>
      <c r="CB2" t="s">
        <v>770</v>
      </c>
      <c r="CC2" t="s">
        <v>772</v>
      </c>
      <c r="CD2" t="s">
        <v>774</v>
      </c>
      <c r="CE2" t="s">
        <v>776</v>
      </c>
      <c r="CF2" t="s">
        <v>778</v>
      </c>
      <c r="CG2" t="s">
        <v>780</v>
      </c>
      <c r="CH2" t="s">
        <v>782</v>
      </c>
      <c r="CI2" t="s">
        <v>784</v>
      </c>
      <c r="CJ2" t="s">
        <v>786</v>
      </c>
      <c r="CK2" t="s">
        <v>788</v>
      </c>
      <c r="CL2" t="s">
        <v>790</v>
      </c>
      <c r="CM2" t="s">
        <v>792</v>
      </c>
      <c r="CN2" t="s">
        <v>794</v>
      </c>
      <c r="CO2" t="s">
        <v>796</v>
      </c>
      <c r="CP2" t="s">
        <v>798</v>
      </c>
      <c r="CQ2" t="s">
        <v>800</v>
      </c>
      <c r="CR2" t="s">
        <v>802</v>
      </c>
      <c r="CS2" t="s">
        <v>804</v>
      </c>
      <c r="CT2" t="s">
        <v>806</v>
      </c>
      <c r="CU2" t="s">
        <v>808</v>
      </c>
      <c r="CV2" t="s">
        <v>810</v>
      </c>
      <c r="CW2" t="s">
        <v>685</v>
      </c>
    </row>
    <row r="3" spans="1:101" x14ac:dyDescent="0.2">
      <c r="A3" s="234" t="s">
        <v>326</v>
      </c>
      <c r="B3" t="s">
        <v>764</v>
      </c>
      <c r="C3" t="s">
        <v>767</v>
      </c>
      <c r="D3" t="s">
        <v>769</v>
      </c>
      <c r="E3" t="s">
        <v>771</v>
      </c>
      <c r="F3" t="s">
        <v>773</v>
      </c>
      <c r="G3" t="s">
        <v>775</v>
      </c>
      <c r="H3" t="s">
        <v>777</v>
      </c>
      <c r="I3" t="s">
        <v>779</v>
      </c>
      <c r="J3" t="s">
        <v>781</v>
      </c>
      <c r="K3" t="s">
        <v>783</v>
      </c>
      <c r="L3" t="s">
        <v>785</v>
      </c>
      <c r="M3" t="s">
        <v>787</v>
      </c>
      <c r="N3" t="s">
        <v>789</v>
      </c>
      <c r="O3" t="s">
        <v>791</v>
      </c>
      <c r="P3" t="s">
        <v>793</v>
      </c>
      <c r="Q3" t="s">
        <v>795</v>
      </c>
      <c r="R3" t="s">
        <v>797</v>
      </c>
      <c r="S3" t="s">
        <v>799</v>
      </c>
      <c r="T3" t="s">
        <v>801</v>
      </c>
      <c r="U3" t="s">
        <v>803</v>
      </c>
      <c r="V3" t="s">
        <v>805</v>
      </c>
      <c r="W3" t="s">
        <v>807</v>
      </c>
      <c r="X3" t="s">
        <v>809</v>
      </c>
      <c r="Y3" t="s">
        <v>811</v>
      </c>
      <c r="Z3" t="s">
        <v>344</v>
      </c>
      <c r="AA3" t="s">
        <v>764</v>
      </c>
      <c r="AB3" t="s">
        <v>767</v>
      </c>
      <c r="AC3" t="s">
        <v>769</v>
      </c>
      <c r="AD3" t="s">
        <v>771</v>
      </c>
      <c r="AE3" t="s">
        <v>773</v>
      </c>
      <c r="AF3" t="s">
        <v>775</v>
      </c>
      <c r="AG3" t="s">
        <v>777</v>
      </c>
      <c r="AH3" t="s">
        <v>779</v>
      </c>
      <c r="AI3" t="s">
        <v>781</v>
      </c>
      <c r="AJ3" t="s">
        <v>783</v>
      </c>
      <c r="AK3" t="s">
        <v>785</v>
      </c>
      <c r="AL3" t="s">
        <v>787</v>
      </c>
      <c r="AM3" t="s">
        <v>789</v>
      </c>
      <c r="AN3" t="s">
        <v>791</v>
      </c>
      <c r="AO3" t="s">
        <v>793</v>
      </c>
      <c r="AP3" t="s">
        <v>795</v>
      </c>
      <c r="AQ3" t="s">
        <v>797</v>
      </c>
      <c r="AR3" t="s">
        <v>799</v>
      </c>
      <c r="AS3" t="s">
        <v>801</v>
      </c>
      <c r="AT3" t="s">
        <v>803</v>
      </c>
      <c r="AU3" t="s">
        <v>805</v>
      </c>
      <c r="AV3" t="s">
        <v>807</v>
      </c>
      <c r="AW3" t="s">
        <v>809</v>
      </c>
      <c r="AX3" t="s">
        <v>811</v>
      </c>
      <c r="AY3" t="s">
        <v>344</v>
      </c>
      <c r="AZ3" t="s">
        <v>764</v>
      </c>
      <c r="BA3" t="s">
        <v>767</v>
      </c>
      <c r="BB3" t="s">
        <v>769</v>
      </c>
      <c r="BC3" t="s">
        <v>771</v>
      </c>
      <c r="BD3" t="s">
        <v>773</v>
      </c>
      <c r="BE3" t="s">
        <v>775</v>
      </c>
      <c r="BF3" t="s">
        <v>777</v>
      </c>
      <c r="BG3" t="s">
        <v>779</v>
      </c>
      <c r="BH3" t="s">
        <v>781</v>
      </c>
      <c r="BI3" t="s">
        <v>783</v>
      </c>
      <c r="BJ3" t="s">
        <v>785</v>
      </c>
      <c r="BK3" t="s">
        <v>787</v>
      </c>
      <c r="BL3" t="s">
        <v>789</v>
      </c>
      <c r="BM3" t="s">
        <v>791</v>
      </c>
      <c r="BN3" t="s">
        <v>793</v>
      </c>
      <c r="BO3" t="s">
        <v>795</v>
      </c>
      <c r="BP3" t="s">
        <v>797</v>
      </c>
      <c r="BQ3" t="s">
        <v>799</v>
      </c>
      <c r="BR3" t="s">
        <v>801</v>
      </c>
      <c r="BS3" t="s">
        <v>803</v>
      </c>
      <c r="BT3" t="s">
        <v>805</v>
      </c>
      <c r="BU3" t="s">
        <v>807</v>
      </c>
      <c r="BV3" t="s">
        <v>809</v>
      </c>
      <c r="BW3" t="s">
        <v>811</v>
      </c>
      <c r="BX3" t="s">
        <v>344</v>
      </c>
    </row>
    <row r="4" spans="1:101" x14ac:dyDescent="0.2">
      <c r="A4" s="235" t="s">
        <v>19</v>
      </c>
      <c r="B4">
        <v>242</v>
      </c>
      <c r="C4">
        <v>212</v>
      </c>
      <c r="D4">
        <v>203</v>
      </c>
      <c r="E4">
        <v>175</v>
      </c>
      <c r="F4">
        <v>134</v>
      </c>
      <c r="G4">
        <v>91</v>
      </c>
      <c r="H4">
        <v>84</v>
      </c>
      <c r="I4">
        <v>105</v>
      </c>
      <c r="J4">
        <v>108</v>
      </c>
      <c r="K4">
        <v>150</v>
      </c>
      <c r="L4">
        <v>171</v>
      </c>
      <c r="M4">
        <v>252</v>
      </c>
      <c r="N4">
        <v>298</v>
      </c>
      <c r="O4">
        <v>320</v>
      </c>
      <c r="P4">
        <v>311</v>
      </c>
      <c r="Q4">
        <v>328</v>
      </c>
      <c r="R4">
        <v>418</v>
      </c>
      <c r="S4">
        <v>495</v>
      </c>
      <c r="T4">
        <v>529</v>
      </c>
      <c r="U4">
        <v>470</v>
      </c>
      <c r="V4">
        <v>417</v>
      </c>
      <c r="W4">
        <v>389</v>
      </c>
      <c r="X4">
        <v>369</v>
      </c>
      <c r="Y4">
        <v>289</v>
      </c>
      <c r="Z4">
        <v>6560</v>
      </c>
      <c r="AA4">
        <v>92</v>
      </c>
      <c r="AB4">
        <v>104</v>
      </c>
      <c r="AC4">
        <v>83</v>
      </c>
      <c r="AD4">
        <v>80</v>
      </c>
      <c r="AE4">
        <v>62</v>
      </c>
      <c r="AF4">
        <v>56</v>
      </c>
      <c r="AG4">
        <v>51</v>
      </c>
      <c r="AH4">
        <v>85</v>
      </c>
      <c r="AI4">
        <v>105</v>
      </c>
      <c r="AJ4">
        <v>111</v>
      </c>
      <c r="AK4">
        <v>125</v>
      </c>
      <c r="AL4">
        <v>132</v>
      </c>
      <c r="AM4">
        <v>149</v>
      </c>
      <c r="AN4">
        <v>165</v>
      </c>
      <c r="AO4">
        <v>152</v>
      </c>
      <c r="AP4">
        <v>155</v>
      </c>
      <c r="AQ4">
        <v>153</v>
      </c>
      <c r="AR4">
        <v>168</v>
      </c>
      <c r="AS4">
        <v>183</v>
      </c>
      <c r="AT4">
        <v>181</v>
      </c>
      <c r="AU4">
        <v>191</v>
      </c>
      <c r="AV4">
        <v>180</v>
      </c>
      <c r="AW4">
        <v>125</v>
      </c>
      <c r="AX4">
        <v>116</v>
      </c>
      <c r="AY4">
        <v>3004</v>
      </c>
      <c r="AZ4">
        <v>270</v>
      </c>
      <c r="BA4">
        <v>219</v>
      </c>
      <c r="BB4">
        <v>236</v>
      </c>
      <c r="BC4">
        <v>172</v>
      </c>
      <c r="BD4">
        <v>168</v>
      </c>
      <c r="BE4">
        <v>96</v>
      </c>
      <c r="BF4">
        <v>73</v>
      </c>
      <c r="BG4">
        <v>86</v>
      </c>
      <c r="BH4">
        <v>80</v>
      </c>
      <c r="BI4">
        <v>88</v>
      </c>
      <c r="BJ4">
        <v>95</v>
      </c>
      <c r="BK4">
        <v>115</v>
      </c>
      <c r="BL4">
        <v>131</v>
      </c>
      <c r="BM4">
        <v>165</v>
      </c>
      <c r="BN4">
        <v>179</v>
      </c>
      <c r="BO4">
        <v>185</v>
      </c>
      <c r="BP4">
        <v>172</v>
      </c>
      <c r="BQ4">
        <v>186</v>
      </c>
      <c r="BR4">
        <v>229</v>
      </c>
      <c r="BS4">
        <v>287</v>
      </c>
      <c r="BT4">
        <v>297</v>
      </c>
      <c r="BU4">
        <v>325</v>
      </c>
      <c r="BV4">
        <v>295</v>
      </c>
      <c r="BW4">
        <v>279</v>
      </c>
      <c r="BX4">
        <v>4428</v>
      </c>
      <c r="BY4">
        <v>604</v>
      </c>
      <c r="BZ4">
        <v>535</v>
      </c>
      <c r="CA4">
        <v>522</v>
      </c>
      <c r="CB4">
        <v>427</v>
      </c>
      <c r="CC4">
        <v>364</v>
      </c>
      <c r="CD4">
        <v>243</v>
      </c>
      <c r="CE4">
        <v>208</v>
      </c>
      <c r="CF4">
        <v>276</v>
      </c>
      <c r="CG4">
        <v>293</v>
      </c>
      <c r="CH4">
        <v>349</v>
      </c>
      <c r="CI4">
        <v>391</v>
      </c>
      <c r="CJ4">
        <v>499</v>
      </c>
      <c r="CK4">
        <v>578</v>
      </c>
      <c r="CL4">
        <v>650</v>
      </c>
      <c r="CM4">
        <v>642</v>
      </c>
      <c r="CN4">
        <v>668</v>
      </c>
      <c r="CO4">
        <v>743</v>
      </c>
      <c r="CP4">
        <v>849</v>
      </c>
      <c r="CQ4">
        <v>941</v>
      </c>
      <c r="CR4">
        <v>938</v>
      </c>
      <c r="CS4">
        <v>905</v>
      </c>
      <c r="CT4">
        <v>894</v>
      </c>
      <c r="CU4">
        <v>789</v>
      </c>
      <c r="CV4">
        <v>684</v>
      </c>
      <c r="CW4">
        <v>13992</v>
      </c>
    </row>
    <row r="5" spans="1:101" x14ac:dyDescent="0.2">
      <c r="A5" s="235" t="s">
        <v>20</v>
      </c>
      <c r="B5">
        <v>230</v>
      </c>
      <c r="C5">
        <v>251</v>
      </c>
      <c r="D5">
        <v>181</v>
      </c>
      <c r="E5">
        <v>158</v>
      </c>
      <c r="F5">
        <v>117</v>
      </c>
      <c r="G5">
        <v>126</v>
      </c>
      <c r="H5">
        <v>81</v>
      </c>
      <c r="I5">
        <v>101</v>
      </c>
      <c r="J5">
        <v>108</v>
      </c>
      <c r="K5">
        <v>154</v>
      </c>
      <c r="L5">
        <v>185</v>
      </c>
      <c r="M5">
        <v>228</v>
      </c>
      <c r="N5">
        <v>291</v>
      </c>
      <c r="O5">
        <v>283</v>
      </c>
      <c r="P5">
        <v>323</v>
      </c>
      <c r="Q5">
        <v>309</v>
      </c>
      <c r="R5">
        <v>425</v>
      </c>
      <c r="S5">
        <v>488</v>
      </c>
      <c r="T5">
        <v>473</v>
      </c>
      <c r="U5">
        <v>448</v>
      </c>
      <c r="V5">
        <v>389</v>
      </c>
      <c r="W5">
        <v>349</v>
      </c>
      <c r="X5">
        <v>318</v>
      </c>
      <c r="Y5">
        <v>277</v>
      </c>
      <c r="Z5">
        <v>6293</v>
      </c>
      <c r="AA5">
        <v>97</v>
      </c>
      <c r="AB5">
        <v>88</v>
      </c>
      <c r="AC5">
        <v>78</v>
      </c>
      <c r="AD5">
        <v>56</v>
      </c>
      <c r="AE5">
        <v>71</v>
      </c>
      <c r="AF5">
        <v>49</v>
      </c>
      <c r="AG5">
        <v>50</v>
      </c>
      <c r="AH5">
        <v>59</v>
      </c>
      <c r="AI5">
        <v>91</v>
      </c>
      <c r="AJ5">
        <v>121</v>
      </c>
      <c r="AK5">
        <v>143</v>
      </c>
      <c r="AL5">
        <v>159</v>
      </c>
      <c r="AM5">
        <v>137</v>
      </c>
      <c r="AN5">
        <v>138</v>
      </c>
      <c r="AO5">
        <v>138</v>
      </c>
      <c r="AP5">
        <v>126</v>
      </c>
      <c r="AQ5">
        <v>132</v>
      </c>
      <c r="AR5">
        <v>168</v>
      </c>
      <c r="AS5">
        <v>167</v>
      </c>
      <c r="AT5">
        <v>166</v>
      </c>
      <c r="AU5">
        <v>192</v>
      </c>
      <c r="AV5">
        <v>144</v>
      </c>
      <c r="AW5">
        <v>111</v>
      </c>
      <c r="AX5">
        <v>114</v>
      </c>
      <c r="AY5">
        <v>2795</v>
      </c>
      <c r="AZ5">
        <v>249</v>
      </c>
      <c r="BA5">
        <v>198</v>
      </c>
      <c r="BB5">
        <v>197</v>
      </c>
      <c r="BC5">
        <v>177</v>
      </c>
      <c r="BD5">
        <v>124</v>
      </c>
      <c r="BE5">
        <v>107</v>
      </c>
      <c r="BF5">
        <v>67</v>
      </c>
      <c r="BG5">
        <v>87</v>
      </c>
      <c r="BH5">
        <v>85</v>
      </c>
      <c r="BI5">
        <v>94</v>
      </c>
      <c r="BJ5">
        <v>92</v>
      </c>
      <c r="BK5">
        <v>117</v>
      </c>
      <c r="BL5">
        <v>121</v>
      </c>
      <c r="BM5">
        <v>132</v>
      </c>
      <c r="BN5">
        <v>153</v>
      </c>
      <c r="BO5">
        <v>148</v>
      </c>
      <c r="BP5">
        <v>183</v>
      </c>
      <c r="BQ5">
        <v>227</v>
      </c>
      <c r="BR5">
        <v>214</v>
      </c>
      <c r="BS5">
        <v>220</v>
      </c>
      <c r="BT5">
        <v>289</v>
      </c>
      <c r="BU5">
        <v>285</v>
      </c>
      <c r="BV5">
        <v>255</v>
      </c>
      <c r="BW5">
        <v>235</v>
      </c>
      <c r="BX5">
        <v>4056</v>
      </c>
      <c r="BY5">
        <v>576</v>
      </c>
      <c r="BZ5">
        <v>537</v>
      </c>
      <c r="CA5">
        <v>456</v>
      </c>
      <c r="CB5">
        <v>391</v>
      </c>
      <c r="CC5">
        <v>312</v>
      </c>
      <c r="CD5">
        <v>282</v>
      </c>
      <c r="CE5">
        <v>198</v>
      </c>
      <c r="CF5">
        <v>247</v>
      </c>
      <c r="CG5">
        <v>284</v>
      </c>
      <c r="CH5">
        <v>369</v>
      </c>
      <c r="CI5">
        <v>420</v>
      </c>
      <c r="CJ5">
        <v>504</v>
      </c>
      <c r="CK5">
        <v>549</v>
      </c>
      <c r="CL5">
        <v>553</v>
      </c>
      <c r="CM5">
        <v>614</v>
      </c>
      <c r="CN5">
        <v>583</v>
      </c>
      <c r="CO5">
        <v>740</v>
      </c>
      <c r="CP5">
        <v>883</v>
      </c>
      <c r="CQ5">
        <v>854</v>
      </c>
      <c r="CR5">
        <v>834</v>
      </c>
      <c r="CS5">
        <v>870</v>
      </c>
      <c r="CT5">
        <v>778</v>
      </c>
      <c r="CU5">
        <v>684</v>
      </c>
      <c r="CV5">
        <v>626</v>
      </c>
      <c r="CW5">
        <v>13144</v>
      </c>
    </row>
    <row r="6" spans="1:101" x14ac:dyDescent="0.2">
      <c r="A6" s="235" t="s">
        <v>13</v>
      </c>
      <c r="B6">
        <v>246</v>
      </c>
      <c r="C6">
        <v>203</v>
      </c>
      <c r="D6">
        <v>178</v>
      </c>
      <c r="E6">
        <v>154</v>
      </c>
      <c r="F6">
        <v>137</v>
      </c>
      <c r="G6">
        <v>101</v>
      </c>
      <c r="H6">
        <v>86</v>
      </c>
      <c r="I6">
        <v>93</v>
      </c>
      <c r="J6">
        <v>127</v>
      </c>
      <c r="K6">
        <v>151</v>
      </c>
      <c r="L6">
        <v>199</v>
      </c>
      <c r="M6">
        <v>237</v>
      </c>
      <c r="N6">
        <v>253</v>
      </c>
      <c r="O6">
        <v>292</v>
      </c>
      <c r="P6">
        <v>269</v>
      </c>
      <c r="Q6">
        <v>329</v>
      </c>
      <c r="R6">
        <v>419</v>
      </c>
      <c r="S6">
        <v>479</v>
      </c>
      <c r="T6">
        <v>448</v>
      </c>
      <c r="U6">
        <v>453</v>
      </c>
      <c r="V6">
        <v>423</v>
      </c>
      <c r="W6">
        <v>342</v>
      </c>
      <c r="X6">
        <v>280</v>
      </c>
      <c r="Y6">
        <v>258</v>
      </c>
      <c r="Z6">
        <v>6157</v>
      </c>
      <c r="AA6">
        <v>100</v>
      </c>
      <c r="AB6">
        <v>73</v>
      </c>
      <c r="AC6">
        <v>66</v>
      </c>
      <c r="AD6">
        <v>81</v>
      </c>
      <c r="AE6">
        <v>60</v>
      </c>
      <c r="AF6">
        <v>46</v>
      </c>
      <c r="AG6">
        <v>48</v>
      </c>
      <c r="AH6">
        <v>68</v>
      </c>
      <c r="AI6">
        <v>94</v>
      </c>
      <c r="AJ6">
        <v>117</v>
      </c>
      <c r="AK6">
        <v>117</v>
      </c>
      <c r="AL6">
        <v>119</v>
      </c>
      <c r="AM6">
        <v>132</v>
      </c>
      <c r="AN6">
        <v>143</v>
      </c>
      <c r="AO6">
        <v>149</v>
      </c>
      <c r="AP6">
        <v>125</v>
      </c>
      <c r="AQ6">
        <v>154</v>
      </c>
      <c r="AR6">
        <v>161</v>
      </c>
      <c r="AS6">
        <v>163</v>
      </c>
      <c r="AT6">
        <v>183</v>
      </c>
      <c r="AU6">
        <v>130</v>
      </c>
      <c r="AV6">
        <v>149</v>
      </c>
      <c r="AW6">
        <v>121</v>
      </c>
      <c r="AX6">
        <v>118</v>
      </c>
      <c r="AY6">
        <v>2717</v>
      </c>
      <c r="AZ6">
        <v>206</v>
      </c>
      <c r="BA6">
        <v>212</v>
      </c>
      <c r="BB6">
        <v>172</v>
      </c>
      <c r="BC6">
        <v>143</v>
      </c>
      <c r="BD6">
        <v>101</v>
      </c>
      <c r="BE6">
        <v>78</v>
      </c>
      <c r="BF6">
        <v>86</v>
      </c>
      <c r="BG6">
        <v>75</v>
      </c>
      <c r="BH6">
        <v>85</v>
      </c>
      <c r="BI6">
        <v>63</v>
      </c>
      <c r="BJ6">
        <v>73</v>
      </c>
      <c r="BK6">
        <v>100</v>
      </c>
      <c r="BL6">
        <v>121</v>
      </c>
      <c r="BM6">
        <v>132</v>
      </c>
      <c r="BN6">
        <v>127</v>
      </c>
      <c r="BO6">
        <v>150</v>
      </c>
      <c r="BP6">
        <v>146</v>
      </c>
      <c r="BQ6">
        <v>180</v>
      </c>
      <c r="BR6">
        <v>193</v>
      </c>
      <c r="BS6">
        <v>205</v>
      </c>
      <c r="BT6">
        <v>220</v>
      </c>
      <c r="BU6">
        <v>245</v>
      </c>
      <c r="BV6">
        <v>208</v>
      </c>
      <c r="BW6">
        <v>216</v>
      </c>
      <c r="BX6">
        <v>3537</v>
      </c>
      <c r="BY6">
        <v>552</v>
      </c>
      <c r="BZ6">
        <v>488</v>
      </c>
      <c r="CA6">
        <v>416</v>
      </c>
      <c r="CB6">
        <v>378</v>
      </c>
      <c r="CC6">
        <v>298</v>
      </c>
      <c r="CD6">
        <v>225</v>
      </c>
      <c r="CE6">
        <v>220</v>
      </c>
      <c r="CF6">
        <v>236</v>
      </c>
      <c r="CG6">
        <v>306</v>
      </c>
      <c r="CH6">
        <v>331</v>
      </c>
      <c r="CI6">
        <v>389</v>
      </c>
      <c r="CJ6">
        <v>456</v>
      </c>
      <c r="CK6">
        <v>506</v>
      </c>
      <c r="CL6">
        <v>567</v>
      </c>
      <c r="CM6">
        <v>545</v>
      </c>
      <c r="CN6">
        <v>604</v>
      </c>
      <c r="CO6">
        <v>719</v>
      </c>
      <c r="CP6">
        <v>820</v>
      </c>
      <c r="CQ6">
        <v>804</v>
      </c>
      <c r="CR6">
        <v>841</v>
      </c>
      <c r="CS6">
        <v>773</v>
      </c>
      <c r="CT6">
        <v>736</v>
      </c>
      <c r="CU6">
        <v>609</v>
      </c>
      <c r="CV6">
        <v>592</v>
      </c>
      <c r="CW6">
        <v>12411</v>
      </c>
    </row>
    <row r="7" spans="1:101" x14ac:dyDescent="0.2">
      <c r="A7" s="235" t="s">
        <v>15</v>
      </c>
      <c r="B7">
        <v>218</v>
      </c>
      <c r="C7">
        <v>183</v>
      </c>
      <c r="D7">
        <v>160</v>
      </c>
      <c r="E7">
        <v>124</v>
      </c>
      <c r="F7">
        <v>97</v>
      </c>
      <c r="G7">
        <v>104</v>
      </c>
      <c r="H7">
        <v>78</v>
      </c>
      <c r="I7">
        <v>102</v>
      </c>
      <c r="J7">
        <v>125</v>
      </c>
      <c r="K7">
        <v>165</v>
      </c>
      <c r="L7">
        <v>182</v>
      </c>
      <c r="M7">
        <v>204</v>
      </c>
      <c r="N7">
        <v>223</v>
      </c>
      <c r="O7">
        <v>266</v>
      </c>
      <c r="P7">
        <v>280</v>
      </c>
      <c r="Q7">
        <v>325</v>
      </c>
      <c r="R7">
        <v>382</v>
      </c>
      <c r="S7">
        <v>487</v>
      </c>
      <c r="T7">
        <v>472</v>
      </c>
      <c r="U7">
        <v>410</v>
      </c>
      <c r="V7">
        <v>391</v>
      </c>
      <c r="W7">
        <v>311</v>
      </c>
      <c r="X7">
        <v>290</v>
      </c>
      <c r="Y7">
        <v>250</v>
      </c>
      <c r="Z7">
        <v>5829</v>
      </c>
      <c r="AA7">
        <v>73</v>
      </c>
      <c r="AB7">
        <v>63</v>
      </c>
      <c r="AC7">
        <v>71</v>
      </c>
      <c r="AD7">
        <v>66</v>
      </c>
      <c r="AE7">
        <v>56</v>
      </c>
      <c r="AF7">
        <v>42</v>
      </c>
      <c r="AG7">
        <v>49</v>
      </c>
      <c r="AH7">
        <v>53</v>
      </c>
      <c r="AI7">
        <v>102</v>
      </c>
      <c r="AJ7">
        <v>91</v>
      </c>
      <c r="AK7">
        <v>94</v>
      </c>
      <c r="AL7">
        <v>113</v>
      </c>
      <c r="AM7">
        <v>137</v>
      </c>
      <c r="AN7">
        <v>140</v>
      </c>
      <c r="AO7">
        <v>131</v>
      </c>
      <c r="AP7">
        <v>133</v>
      </c>
      <c r="AQ7">
        <v>139</v>
      </c>
      <c r="AR7">
        <v>124</v>
      </c>
      <c r="AS7">
        <v>121</v>
      </c>
      <c r="AT7">
        <v>146</v>
      </c>
      <c r="AU7">
        <v>142</v>
      </c>
      <c r="AV7">
        <v>125</v>
      </c>
      <c r="AW7">
        <v>100</v>
      </c>
      <c r="AX7">
        <v>97</v>
      </c>
      <c r="AY7">
        <v>2408</v>
      </c>
      <c r="AZ7">
        <v>152</v>
      </c>
      <c r="BA7">
        <v>147</v>
      </c>
      <c r="BB7">
        <v>104</v>
      </c>
      <c r="BC7">
        <v>93</v>
      </c>
      <c r="BD7">
        <v>84</v>
      </c>
      <c r="BE7">
        <v>67</v>
      </c>
      <c r="BF7">
        <v>60</v>
      </c>
      <c r="BG7">
        <v>70</v>
      </c>
      <c r="BH7">
        <v>85</v>
      </c>
      <c r="BI7">
        <v>84</v>
      </c>
      <c r="BJ7">
        <v>77</v>
      </c>
      <c r="BK7">
        <v>85</v>
      </c>
      <c r="BL7">
        <v>106</v>
      </c>
      <c r="BM7">
        <v>125</v>
      </c>
      <c r="BN7">
        <v>122</v>
      </c>
      <c r="BO7">
        <v>145</v>
      </c>
      <c r="BP7">
        <v>143</v>
      </c>
      <c r="BQ7">
        <v>133</v>
      </c>
      <c r="BR7">
        <v>141</v>
      </c>
      <c r="BS7">
        <v>169</v>
      </c>
      <c r="BT7">
        <v>168</v>
      </c>
      <c r="BU7">
        <v>164</v>
      </c>
      <c r="BV7">
        <v>163</v>
      </c>
      <c r="BW7">
        <v>162</v>
      </c>
      <c r="BX7">
        <v>2849</v>
      </c>
      <c r="BY7">
        <v>443</v>
      </c>
      <c r="BZ7">
        <v>393</v>
      </c>
      <c r="CA7">
        <v>335</v>
      </c>
      <c r="CB7">
        <v>283</v>
      </c>
      <c r="CC7">
        <v>237</v>
      </c>
      <c r="CD7">
        <v>213</v>
      </c>
      <c r="CE7">
        <v>187</v>
      </c>
      <c r="CF7">
        <v>225</v>
      </c>
      <c r="CG7">
        <v>312</v>
      </c>
      <c r="CH7">
        <v>340</v>
      </c>
      <c r="CI7">
        <v>353</v>
      </c>
      <c r="CJ7">
        <v>402</v>
      </c>
      <c r="CK7">
        <v>466</v>
      </c>
      <c r="CL7">
        <v>531</v>
      </c>
      <c r="CM7">
        <v>533</v>
      </c>
      <c r="CN7">
        <v>603</v>
      </c>
      <c r="CO7">
        <v>664</v>
      </c>
      <c r="CP7">
        <v>744</v>
      </c>
      <c r="CQ7">
        <v>734</v>
      </c>
      <c r="CR7">
        <v>725</v>
      </c>
      <c r="CS7">
        <v>701</v>
      </c>
      <c r="CT7">
        <v>600</v>
      </c>
      <c r="CU7">
        <v>553</v>
      </c>
      <c r="CV7">
        <v>509</v>
      </c>
      <c r="CW7">
        <v>11086</v>
      </c>
    </row>
    <row r="8" spans="1:101" x14ac:dyDescent="0.2">
      <c r="A8" s="235" t="s">
        <v>17</v>
      </c>
      <c r="B8">
        <v>164</v>
      </c>
      <c r="C8">
        <v>149</v>
      </c>
      <c r="D8">
        <v>135</v>
      </c>
      <c r="E8">
        <v>117</v>
      </c>
      <c r="F8">
        <v>107</v>
      </c>
      <c r="G8">
        <v>79</v>
      </c>
      <c r="H8">
        <v>82</v>
      </c>
      <c r="I8">
        <v>103</v>
      </c>
      <c r="J8">
        <v>102</v>
      </c>
      <c r="K8">
        <v>139</v>
      </c>
      <c r="L8">
        <v>171</v>
      </c>
      <c r="M8">
        <v>199</v>
      </c>
      <c r="N8">
        <v>252</v>
      </c>
      <c r="O8">
        <v>267</v>
      </c>
      <c r="P8">
        <v>263</v>
      </c>
      <c r="Q8">
        <v>298</v>
      </c>
      <c r="R8">
        <v>339</v>
      </c>
      <c r="S8">
        <v>454</v>
      </c>
      <c r="T8">
        <v>423</v>
      </c>
      <c r="U8">
        <v>365</v>
      </c>
      <c r="V8">
        <v>351</v>
      </c>
      <c r="W8">
        <v>288</v>
      </c>
      <c r="X8">
        <v>273</v>
      </c>
      <c r="Y8">
        <v>203</v>
      </c>
      <c r="Z8">
        <v>5323</v>
      </c>
      <c r="AA8">
        <v>77</v>
      </c>
      <c r="AB8">
        <v>71</v>
      </c>
      <c r="AC8">
        <v>61</v>
      </c>
      <c r="AD8">
        <v>57</v>
      </c>
      <c r="AE8">
        <v>44</v>
      </c>
      <c r="AF8">
        <v>39</v>
      </c>
      <c r="AG8">
        <v>43</v>
      </c>
      <c r="AH8">
        <v>54</v>
      </c>
      <c r="AI8">
        <v>91</v>
      </c>
      <c r="AJ8">
        <v>112</v>
      </c>
      <c r="AK8">
        <v>115</v>
      </c>
      <c r="AL8">
        <v>111</v>
      </c>
      <c r="AM8">
        <v>133</v>
      </c>
      <c r="AN8">
        <v>136</v>
      </c>
      <c r="AO8">
        <v>116</v>
      </c>
      <c r="AP8">
        <v>129</v>
      </c>
      <c r="AQ8">
        <v>117</v>
      </c>
      <c r="AR8">
        <v>121</v>
      </c>
      <c r="AS8">
        <v>131</v>
      </c>
      <c r="AT8">
        <v>137</v>
      </c>
      <c r="AU8">
        <v>156</v>
      </c>
      <c r="AV8">
        <v>115</v>
      </c>
      <c r="AW8">
        <v>102</v>
      </c>
      <c r="AX8">
        <v>78</v>
      </c>
      <c r="AY8">
        <v>2346</v>
      </c>
      <c r="AZ8">
        <v>133</v>
      </c>
      <c r="BA8">
        <v>125</v>
      </c>
      <c r="BB8">
        <v>115</v>
      </c>
      <c r="BC8">
        <v>90</v>
      </c>
      <c r="BD8">
        <v>59</v>
      </c>
      <c r="BE8">
        <v>65</v>
      </c>
      <c r="BF8">
        <v>56</v>
      </c>
      <c r="BG8">
        <v>67</v>
      </c>
      <c r="BH8">
        <v>81</v>
      </c>
      <c r="BI8">
        <v>81</v>
      </c>
      <c r="BJ8">
        <v>83</v>
      </c>
      <c r="BK8">
        <v>82</v>
      </c>
      <c r="BL8">
        <v>106</v>
      </c>
      <c r="BM8">
        <v>108</v>
      </c>
      <c r="BN8">
        <v>130</v>
      </c>
      <c r="BO8">
        <v>155</v>
      </c>
      <c r="BP8">
        <v>161</v>
      </c>
      <c r="BQ8">
        <v>201</v>
      </c>
      <c r="BR8">
        <v>154</v>
      </c>
      <c r="BS8">
        <v>177</v>
      </c>
      <c r="BT8">
        <v>189</v>
      </c>
      <c r="BU8">
        <v>160</v>
      </c>
      <c r="BV8">
        <v>140</v>
      </c>
      <c r="BW8">
        <v>134</v>
      </c>
      <c r="BX8">
        <v>2852</v>
      </c>
      <c r="BY8">
        <v>374</v>
      </c>
      <c r="BZ8">
        <v>345</v>
      </c>
      <c r="CA8">
        <v>311</v>
      </c>
      <c r="CB8">
        <v>264</v>
      </c>
      <c r="CC8">
        <v>210</v>
      </c>
      <c r="CD8">
        <v>183</v>
      </c>
      <c r="CE8">
        <v>181</v>
      </c>
      <c r="CF8">
        <v>224</v>
      </c>
      <c r="CG8">
        <v>274</v>
      </c>
      <c r="CH8">
        <v>332</v>
      </c>
      <c r="CI8">
        <v>369</v>
      </c>
      <c r="CJ8">
        <v>392</v>
      </c>
      <c r="CK8">
        <v>491</v>
      </c>
      <c r="CL8">
        <v>511</v>
      </c>
      <c r="CM8">
        <v>509</v>
      </c>
      <c r="CN8">
        <v>582</v>
      </c>
      <c r="CO8">
        <v>617</v>
      </c>
      <c r="CP8">
        <v>776</v>
      </c>
      <c r="CQ8">
        <v>708</v>
      </c>
      <c r="CR8">
        <v>679</v>
      </c>
      <c r="CS8">
        <v>696</v>
      </c>
      <c r="CT8">
        <v>563</v>
      </c>
      <c r="CU8">
        <v>515</v>
      </c>
      <c r="CV8">
        <v>415</v>
      </c>
      <c r="CW8">
        <v>10521</v>
      </c>
    </row>
    <row r="9" spans="1:101" x14ac:dyDescent="0.2">
      <c r="A9" s="235" t="s">
        <v>133</v>
      </c>
      <c r="B9">
        <v>199</v>
      </c>
      <c r="C9">
        <v>159</v>
      </c>
      <c r="D9">
        <v>122</v>
      </c>
      <c r="E9">
        <v>112</v>
      </c>
      <c r="F9">
        <v>113</v>
      </c>
      <c r="G9">
        <v>86</v>
      </c>
      <c r="H9">
        <v>87</v>
      </c>
      <c r="I9">
        <v>92</v>
      </c>
      <c r="J9">
        <v>124</v>
      </c>
      <c r="K9">
        <v>153</v>
      </c>
      <c r="L9">
        <v>204</v>
      </c>
      <c r="M9">
        <v>221</v>
      </c>
      <c r="N9">
        <v>277</v>
      </c>
      <c r="O9">
        <v>303</v>
      </c>
      <c r="P9">
        <v>296</v>
      </c>
      <c r="Q9">
        <v>320</v>
      </c>
      <c r="R9">
        <v>357</v>
      </c>
      <c r="S9">
        <v>434</v>
      </c>
      <c r="T9">
        <v>427</v>
      </c>
      <c r="U9">
        <v>415</v>
      </c>
      <c r="V9">
        <v>326</v>
      </c>
      <c r="W9">
        <v>295</v>
      </c>
      <c r="X9">
        <v>238</v>
      </c>
      <c r="Y9">
        <v>214</v>
      </c>
      <c r="Z9">
        <v>5574</v>
      </c>
      <c r="AA9">
        <v>102</v>
      </c>
      <c r="AB9">
        <v>72</v>
      </c>
      <c r="AC9">
        <v>85</v>
      </c>
      <c r="AD9">
        <v>67</v>
      </c>
      <c r="AE9">
        <v>48</v>
      </c>
      <c r="AF9">
        <v>43</v>
      </c>
      <c r="AG9">
        <v>47</v>
      </c>
      <c r="AH9">
        <v>58</v>
      </c>
      <c r="AI9">
        <v>76</v>
      </c>
      <c r="AJ9">
        <v>118</v>
      </c>
      <c r="AK9">
        <v>112</v>
      </c>
      <c r="AL9">
        <v>116</v>
      </c>
      <c r="AM9">
        <v>114</v>
      </c>
      <c r="AN9">
        <v>113</v>
      </c>
      <c r="AO9">
        <v>111</v>
      </c>
      <c r="AP9">
        <v>118</v>
      </c>
      <c r="AQ9">
        <v>117</v>
      </c>
      <c r="AR9">
        <v>126</v>
      </c>
      <c r="AS9">
        <v>125</v>
      </c>
      <c r="AT9">
        <v>110</v>
      </c>
      <c r="AU9">
        <v>148</v>
      </c>
      <c r="AV9">
        <v>135</v>
      </c>
      <c r="AW9">
        <v>88</v>
      </c>
      <c r="AX9">
        <v>75</v>
      </c>
      <c r="AY9">
        <v>2324</v>
      </c>
      <c r="AZ9">
        <v>142</v>
      </c>
      <c r="BA9">
        <v>151</v>
      </c>
      <c r="BB9">
        <v>117</v>
      </c>
      <c r="BC9">
        <v>92</v>
      </c>
      <c r="BD9">
        <v>79</v>
      </c>
      <c r="BE9">
        <v>46</v>
      </c>
      <c r="BF9">
        <v>55</v>
      </c>
      <c r="BG9">
        <v>63</v>
      </c>
      <c r="BH9">
        <v>82</v>
      </c>
      <c r="BI9">
        <v>52</v>
      </c>
      <c r="BJ9">
        <v>80</v>
      </c>
      <c r="BK9">
        <v>103</v>
      </c>
      <c r="BL9">
        <v>91</v>
      </c>
      <c r="BM9">
        <v>111</v>
      </c>
      <c r="BN9">
        <v>110</v>
      </c>
      <c r="BO9">
        <v>146</v>
      </c>
      <c r="BP9">
        <v>127</v>
      </c>
      <c r="BQ9">
        <v>156</v>
      </c>
      <c r="BR9">
        <v>171</v>
      </c>
      <c r="BS9">
        <v>168</v>
      </c>
      <c r="BT9">
        <v>141</v>
      </c>
      <c r="BU9">
        <v>168</v>
      </c>
      <c r="BV9">
        <v>132</v>
      </c>
      <c r="BW9">
        <v>152</v>
      </c>
      <c r="BX9">
        <v>2735</v>
      </c>
      <c r="BY9">
        <v>443</v>
      </c>
      <c r="BZ9">
        <v>382</v>
      </c>
      <c r="CA9">
        <v>324</v>
      </c>
      <c r="CB9">
        <v>271</v>
      </c>
      <c r="CC9">
        <v>240</v>
      </c>
      <c r="CD9">
        <v>175</v>
      </c>
      <c r="CE9">
        <v>189</v>
      </c>
      <c r="CF9">
        <v>213</v>
      </c>
      <c r="CG9">
        <v>282</v>
      </c>
      <c r="CH9">
        <v>323</v>
      </c>
      <c r="CI9">
        <v>396</v>
      </c>
      <c r="CJ9">
        <v>440</v>
      </c>
      <c r="CK9">
        <v>482</v>
      </c>
      <c r="CL9">
        <v>527</v>
      </c>
      <c r="CM9">
        <v>517</v>
      </c>
      <c r="CN9">
        <v>584</v>
      </c>
      <c r="CO9">
        <v>601</v>
      </c>
      <c r="CP9">
        <v>716</v>
      </c>
      <c r="CQ9">
        <v>723</v>
      </c>
      <c r="CR9">
        <v>693</v>
      </c>
      <c r="CS9">
        <v>615</v>
      </c>
      <c r="CT9">
        <v>598</v>
      </c>
      <c r="CU9">
        <v>458</v>
      </c>
      <c r="CV9">
        <v>441</v>
      </c>
      <c r="CW9">
        <v>10633</v>
      </c>
    </row>
    <row r="10" spans="1:101" x14ac:dyDescent="0.2">
      <c r="A10" s="235" t="s">
        <v>144</v>
      </c>
      <c r="B10">
        <v>170</v>
      </c>
      <c r="C10">
        <v>175</v>
      </c>
      <c r="D10">
        <v>127</v>
      </c>
      <c r="E10">
        <v>110</v>
      </c>
      <c r="F10">
        <v>94</v>
      </c>
      <c r="G10">
        <v>78</v>
      </c>
      <c r="H10">
        <v>76</v>
      </c>
      <c r="I10">
        <v>91</v>
      </c>
      <c r="J10">
        <v>124</v>
      </c>
      <c r="K10">
        <v>154</v>
      </c>
      <c r="L10">
        <v>194</v>
      </c>
      <c r="M10">
        <v>244</v>
      </c>
      <c r="N10">
        <v>232</v>
      </c>
      <c r="O10">
        <v>321</v>
      </c>
      <c r="P10">
        <v>314</v>
      </c>
      <c r="Q10">
        <v>321</v>
      </c>
      <c r="R10">
        <v>401</v>
      </c>
      <c r="S10">
        <v>487</v>
      </c>
      <c r="T10">
        <v>429</v>
      </c>
      <c r="U10">
        <v>373</v>
      </c>
      <c r="V10">
        <v>329</v>
      </c>
      <c r="W10">
        <v>332</v>
      </c>
      <c r="X10">
        <v>262</v>
      </c>
      <c r="Y10">
        <v>235</v>
      </c>
      <c r="Z10">
        <v>5673</v>
      </c>
      <c r="AA10">
        <v>85</v>
      </c>
      <c r="AB10">
        <v>79</v>
      </c>
      <c r="AC10">
        <v>62</v>
      </c>
      <c r="AD10">
        <v>53</v>
      </c>
      <c r="AE10">
        <v>41</v>
      </c>
      <c r="AF10">
        <v>43</v>
      </c>
      <c r="AG10">
        <v>50</v>
      </c>
      <c r="AH10">
        <v>70</v>
      </c>
      <c r="AI10">
        <v>106</v>
      </c>
      <c r="AJ10">
        <v>117</v>
      </c>
      <c r="AK10">
        <v>115</v>
      </c>
      <c r="AL10">
        <v>138</v>
      </c>
      <c r="AM10">
        <v>144</v>
      </c>
      <c r="AN10">
        <v>132</v>
      </c>
      <c r="AO10">
        <v>123</v>
      </c>
      <c r="AP10">
        <v>146</v>
      </c>
      <c r="AQ10">
        <v>150</v>
      </c>
      <c r="AR10">
        <v>142</v>
      </c>
      <c r="AS10">
        <v>114</v>
      </c>
      <c r="AT10">
        <v>134</v>
      </c>
      <c r="AU10">
        <v>127</v>
      </c>
      <c r="AV10">
        <v>134</v>
      </c>
      <c r="AW10">
        <v>104</v>
      </c>
      <c r="AX10">
        <v>85</v>
      </c>
      <c r="AY10">
        <v>2494</v>
      </c>
      <c r="AZ10">
        <v>141</v>
      </c>
      <c r="BA10">
        <v>119</v>
      </c>
      <c r="BB10">
        <v>117</v>
      </c>
      <c r="BC10">
        <v>69</v>
      </c>
      <c r="BD10">
        <v>77</v>
      </c>
      <c r="BE10">
        <v>67</v>
      </c>
      <c r="BF10">
        <v>46</v>
      </c>
      <c r="BG10">
        <v>54</v>
      </c>
      <c r="BH10">
        <v>67</v>
      </c>
      <c r="BI10">
        <v>76</v>
      </c>
      <c r="BJ10">
        <v>77</v>
      </c>
      <c r="BK10">
        <v>82</v>
      </c>
      <c r="BL10">
        <v>108</v>
      </c>
      <c r="BM10">
        <v>124</v>
      </c>
      <c r="BN10">
        <v>120</v>
      </c>
      <c r="BO10">
        <v>145</v>
      </c>
      <c r="BP10">
        <v>152</v>
      </c>
      <c r="BQ10">
        <v>156</v>
      </c>
      <c r="BR10">
        <v>172</v>
      </c>
      <c r="BS10">
        <v>187</v>
      </c>
      <c r="BT10">
        <v>181</v>
      </c>
      <c r="BU10">
        <v>184</v>
      </c>
      <c r="BV10">
        <v>177</v>
      </c>
      <c r="BW10">
        <v>141</v>
      </c>
      <c r="BX10">
        <v>2839</v>
      </c>
      <c r="BY10">
        <v>396</v>
      </c>
      <c r="BZ10">
        <v>373</v>
      </c>
      <c r="CA10">
        <v>306</v>
      </c>
      <c r="CB10">
        <v>232</v>
      </c>
      <c r="CC10">
        <v>212</v>
      </c>
      <c r="CD10">
        <v>188</v>
      </c>
      <c r="CE10">
        <v>172</v>
      </c>
      <c r="CF10">
        <v>215</v>
      </c>
      <c r="CG10">
        <v>297</v>
      </c>
      <c r="CH10">
        <v>347</v>
      </c>
      <c r="CI10">
        <v>386</v>
      </c>
      <c r="CJ10">
        <v>464</v>
      </c>
      <c r="CK10">
        <v>484</v>
      </c>
      <c r="CL10">
        <v>577</v>
      </c>
      <c r="CM10">
        <v>557</v>
      </c>
      <c r="CN10">
        <v>612</v>
      </c>
      <c r="CO10">
        <v>703</v>
      </c>
      <c r="CP10">
        <v>785</v>
      </c>
      <c r="CQ10">
        <v>715</v>
      </c>
      <c r="CR10">
        <v>694</v>
      </c>
      <c r="CS10">
        <v>637</v>
      </c>
      <c r="CT10">
        <v>650</v>
      </c>
      <c r="CU10">
        <v>543</v>
      </c>
      <c r="CV10">
        <v>461</v>
      </c>
      <c r="CW10">
        <v>11006</v>
      </c>
    </row>
    <row r="11" spans="1:101" x14ac:dyDescent="0.2">
      <c r="A11" s="235" t="s">
        <v>282</v>
      </c>
      <c r="B11">
        <v>201</v>
      </c>
      <c r="C11">
        <v>167</v>
      </c>
      <c r="D11">
        <v>133</v>
      </c>
      <c r="E11">
        <v>104</v>
      </c>
      <c r="F11">
        <v>79</v>
      </c>
      <c r="G11">
        <v>77</v>
      </c>
      <c r="H11">
        <v>82</v>
      </c>
      <c r="I11">
        <v>109</v>
      </c>
      <c r="J11">
        <v>135</v>
      </c>
      <c r="K11">
        <v>156</v>
      </c>
      <c r="L11">
        <v>194</v>
      </c>
      <c r="M11">
        <v>241</v>
      </c>
      <c r="N11">
        <v>243</v>
      </c>
      <c r="O11">
        <v>257</v>
      </c>
      <c r="P11">
        <v>284</v>
      </c>
      <c r="Q11">
        <v>254</v>
      </c>
      <c r="R11">
        <v>380</v>
      </c>
      <c r="S11">
        <v>471</v>
      </c>
      <c r="T11">
        <v>430</v>
      </c>
      <c r="U11">
        <v>408</v>
      </c>
      <c r="V11">
        <v>332</v>
      </c>
      <c r="W11">
        <v>304</v>
      </c>
      <c r="X11">
        <v>265</v>
      </c>
      <c r="Y11">
        <v>234</v>
      </c>
      <c r="Z11">
        <v>5540</v>
      </c>
      <c r="AA11">
        <v>64</v>
      </c>
      <c r="AB11">
        <v>56</v>
      </c>
      <c r="AC11">
        <v>60</v>
      </c>
      <c r="AD11">
        <v>39</v>
      </c>
      <c r="AE11">
        <v>45</v>
      </c>
      <c r="AF11">
        <v>50</v>
      </c>
      <c r="AG11">
        <v>31</v>
      </c>
      <c r="AH11">
        <v>64</v>
      </c>
      <c r="AI11">
        <v>94</v>
      </c>
      <c r="AJ11">
        <v>95</v>
      </c>
      <c r="AK11">
        <v>113</v>
      </c>
      <c r="AL11">
        <v>114</v>
      </c>
      <c r="AM11">
        <v>127</v>
      </c>
      <c r="AN11">
        <v>129</v>
      </c>
      <c r="AO11">
        <v>126</v>
      </c>
      <c r="AP11">
        <v>128</v>
      </c>
      <c r="AQ11">
        <v>144</v>
      </c>
      <c r="AR11">
        <v>118</v>
      </c>
      <c r="AS11">
        <v>148</v>
      </c>
      <c r="AT11">
        <v>131</v>
      </c>
      <c r="AU11">
        <v>138</v>
      </c>
      <c r="AV11">
        <v>86</v>
      </c>
      <c r="AW11">
        <v>79</v>
      </c>
      <c r="AX11">
        <v>98</v>
      </c>
      <c r="AY11">
        <v>2277</v>
      </c>
      <c r="AZ11">
        <v>135</v>
      </c>
      <c r="BA11">
        <v>130</v>
      </c>
      <c r="BB11">
        <v>121</v>
      </c>
      <c r="BC11">
        <v>113</v>
      </c>
      <c r="BD11">
        <v>90</v>
      </c>
      <c r="BE11">
        <v>63</v>
      </c>
      <c r="BF11">
        <v>58</v>
      </c>
      <c r="BG11">
        <v>63</v>
      </c>
      <c r="BH11">
        <v>87</v>
      </c>
      <c r="BI11">
        <v>56</v>
      </c>
      <c r="BJ11">
        <v>91</v>
      </c>
      <c r="BK11">
        <v>109</v>
      </c>
      <c r="BL11">
        <v>109</v>
      </c>
      <c r="BM11">
        <v>108</v>
      </c>
      <c r="BN11">
        <v>136</v>
      </c>
      <c r="BO11">
        <v>149</v>
      </c>
      <c r="BP11">
        <v>166</v>
      </c>
      <c r="BQ11">
        <v>156</v>
      </c>
      <c r="BR11">
        <v>209</v>
      </c>
      <c r="BS11">
        <v>192</v>
      </c>
      <c r="BT11">
        <v>207</v>
      </c>
      <c r="BU11">
        <v>184</v>
      </c>
      <c r="BV11">
        <v>166</v>
      </c>
      <c r="BW11">
        <v>179</v>
      </c>
      <c r="BX11">
        <v>3077</v>
      </c>
      <c r="BY11">
        <v>400</v>
      </c>
      <c r="BZ11">
        <v>353</v>
      </c>
      <c r="CA11">
        <v>314</v>
      </c>
      <c r="CB11">
        <v>256</v>
      </c>
      <c r="CC11">
        <v>214</v>
      </c>
      <c r="CD11">
        <v>190</v>
      </c>
      <c r="CE11">
        <v>171</v>
      </c>
      <c r="CF11">
        <v>236</v>
      </c>
      <c r="CG11">
        <v>316</v>
      </c>
      <c r="CH11">
        <v>307</v>
      </c>
      <c r="CI11">
        <v>398</v>
      </c>
      <c r="CJ11">
        <v>464</v>
      </c>
      <c r="CK11">
        <v>479</v>
      </c>
      <c r="CL11">
        <v>494</v>
      </c>
      <c r="CM11">
        <v>546</v>
      </c>
      <c r="CN11">
        <v>531</v>
      </c>
      <c r="CO11">
        <v>690</v>
      </c>
      <c r="CP11">
        <v>745</v>
      </c>
      <c r="CQ11">
        <v>787</v>
      </c>
      <c r="CR11">
        <v>731</v>
      </c>
      <c r="CS11">
        <v>677</v>
      </c>
      <c r="CT11">
        <v>574</v>
      </c>
      <c r="CU11">
        <v>510</v>
      </c>
      <c r="CV11">
        <v>511</v>
      </c>
      <c r="CW11">
        <v>10894</v>
      </c>
    </row>
    <row r="12" spans="1:101" x14ac:dyDescent="0.2">
      <c r="A12" s="235" t="s">
        <v>311</v>
      </c>
      <c r="B12">
        <v>188</v>
      </c>
      <c r="C12">
        <v>144</v>
      </c>
      <c r="D12">
        <v>132</v>
      </c>
      <c r="E12">
        <v>98</v>
      </c>
      <c r="F12">
        <v>99</v>
      </c>
      <c r="G12">
        <v>68</v>
      </c>
      <c r="H12">
        <v>64</v>
      </c>
      <c r="I12">
        <v>99</v>
      </c>
      <c r="J12">
        <v>136</v>
      </c>
      <c r="K12">
        <v>144</v>
      </c>
      <c r="L12">
        <v>176</v>
      </c>
      <c r="M12">
        <v>209</v>
      </c>
      <c r="N12">
        <v>241</v>
      </c>
      <c r="O12">
        <v>258</v>
      </c>
      <c r="P12">
        <v>282</v>
      </c>
      <c r="Q12">
        <v>305</v>
      </c>
      <c r="R12">
        <v>348</v>
      </c>
      <c r="S12">
        <v>460</v>
      </c>
      <c r="T12">
        <v>403</v>
      </c>
      <c r="U12">
        <v>348</v>
      </c>
      <c r="V12">
        <v>351</v>
      </c>
      <c r="W12">
        <v>306</v>
      </c>
      <c r="X12">
        <v>248</v>
      </c>
      <c r="Y12">
        <v>204</v>
      </c>
      <c r="Z12">
        <v>5311</v>
      </c>
      <c r="AA12">
        <v>64</v>
      </c>
      <c r="AB12">
        <v>71</v>
      </c>
      <c r="AC12">
        <v>52</v>
      </c>
      <c r="AD12">
        <v>63</v>
      </c>
      <c r="AE12">
        <v>33</v>
      </c>
      <c r="AF12">
        <v>44</v>
      </c>
      <c r="AG12">
        <v>46</v>
      </c>
      <c r="AH12">
        <v>68</v>
      </c>
      <c r="AI12">
        <v>79</v>
      </c>
      <c r="AJ12">
        <v>127</v>
      </c>
      <c r="AK12">
        <v>98</v>
      </c>
      <c r="AL12">
        <v>113</v>
      </c>
      <c r="AM12">
        <v>119</v>
      </c>
      <c r="AN12">
        <v>124</v>
      </c>
      <c r="AO12">
        <v>123</v>
      </c>
      <c r="AP12">
        <v>136</v>
      </c>
      <c r="AQ12">
        <v>113</v>
      </c>
      <c r="AR12">
        <v>126</v>
      </c>
      <c r="AS12">
        <v>135</v>
      </c>
      <c r="AT12">
        <v>137</v>
      </c>
      <c r="AU12">
        <v>126</v>
      </c>
      <c r="AV12">
        <v>113</v>
      </c>
      <c r="AW12">
        <v>96</v>
      </c>
      <c r="AX12">
        <v>81</v>
      </c>
      <c r="AY12">
        <v>2287</v>
      </c>
      <c r="AZ12">
        <v>143</v>
      </c>
      <c r="BA12">
        <v>159</v>
      </c>
      <c r="BB12">
        <v>116</v>
      </c>
      <c r="BC12">
        <v>80</v>
      </c>
      <c r="BD12">
        <v>70</v>
      </c>
      <c r="BE12">
        <v>66</v>
      </c>
      <c r="BF12">
        <v>55</v>
      </c>
      <c r="BG12">
        <v>69</v>
      </c>
      <c r="BH12">
        <v>78</v>
      </c>
      <c r="BI12">
        <v>73</v>
      </c>
      <c r="BJ12">
        <v>82</v>
      </c>
      <c r="BK12">
        <v>111</v>
      </c>
      <c r="BL12">
        <v>100</v>
      </c>
      <c r="BM12">
        <v>106</v>
      </c>
      <c r="BN12">
        <v>153</v>
      </c>
      <c r="BO12">
        <v>129</v>
      </c>
      <c r="BP12">
        <v>159</v>
      </c>
      <c r="BQ12">
        <v>175</v>
      </c>
      <c r="BR12">
        <v>194</v>
      </c>
      <c r="BS12">
        <v>222</v>
      </c>
      <c r="BT12">
        <v>210</v>
      </c>
      <c r="BU12">
        <v>176</v>
      </c>
      <c r="BV12">
        <v>176</v>
      </c>
      <c r="BW12">
        <v>172</v>
      </c>
      <c r="BX12">
        <v>3074</v>
      </c>
      <c r="BY12">
        <v>395</v>
      </c>
      <c r="BZ12">
        <v>374</v>
      </c>
      <c r="CA12">
        <v>300</v>
      </c>
      <c r="CB12">
        <v>241</v>
      </c>
      <c r="CC12">
        <v>202</v>
      </c>
      <c r="CD12">
        <v>178</v>
      </c>
      <c r="CE12">
        <v>165</v>
      </c>
      <c r="CF12">
        <v>236</v>
      </c>
      <c r="CG12">
        <v>293</v>
      </c>
      <c r="CH12">
        <v>344</v>
      </c>
      <c r="CI12">
        <v>356</v>
      </c>
      <c r="CJ12">
        <v>433</v>
      </c>
      <c r="CK12">
        <v>460</v>
      </c>
      <c r="CL12">
        <v>488</v>
      </c>
      <c r="CM12">
        <v>558</v>
      </c>
      <c r="CN12">
        <v>570</v>
      </c>
      <c r="CO12">
        <v>620</v>
      </c>
      <c r="CP12">
        <v>761</v>
      </c>
      <c r="CQ12">
        <v>732</v>
      </c>
      <c r="CR12">
        <v>707</v>
      </c>
      <c r="CS12">
        <v>687</v>
      </c>
      <c r="CT12">
        <v>595</v>
      </c>
      <c r="CU12">
        <v>520</v>
      </c>
      <c r="CV12">
        <v>457</v>
      </c>
      <c r="CW12">
        <v>10672</v>
      </c>
    </row>
    <row r="13" spans="1:101" x14ac:dyDescent="0.2">
      <c r="A13" s="235" t="s">
        <v>621</v>
      </c>
      <c r="B13">
        <v>173</v>
      </c>
      <c r="C13">
        <v>157</v>
      </c>
      <c r="D13">
        <v>116</v>
      </c>
      <c r="E13">
        <v>119</v>
      </c>
      <c r="F13">
        <v>84</v>
      </c>
      <c r="G13">
        <v>86</v>
      </c>
      <c r="H13">
        <v>63</v>
      </c>
      <c r="I13">
        <v>104</v>
      </c>
      <c r="J13">
        <v>95</v>
      </c>
      <c r="K13">
        <v>156</v>
      </c>
      <c r="L13">
        <v>145</v>
      </c>
      <c r="M13">
        <v>207</v>
      </c>
      <c r="N13">
        <v>250</v>
      </c>
      <c r="O13">
        <v>265</v>
      </c>
      <c r="P13">
        <v>241</v>
      </c>
      <c r="Q13">
        <v>295</v>
      </c>
      <c r="R13">
        <v>344</v>
      </c>
      <c r="S13">
        <v>427</v>
      </c>
      <c r="T13">
        <v>399</v>
      </c>
      <c r="U13">
        <v>360</v>
      </c>
      <c r="V13">
        <v>325</v>
      </c>
      <c r="W13">
        <v>292</v>
      </c>
      <c r="X13">
        <v>215</v>
      </c>
      <c r="Y13">
        <v>227</v>
      </c>
      <c r="Z13">
        <v>5145</v>
      </c>
      <c r="AA13">
        <v>64</v>
      </c>
      <c r="AB13">
        <v>59</v>
      </c>
      <c r="AC13">
        <v>48</v>
      </c>
      <c r="AD13">
        <v>62</v>
      </c>
      <c r="AE13">
        <v>42</v>
      </c>
      <c r="AF13">
        <v>39</v>
      </c>
      <c r="AG13">
        <v>57</v>
      </c>
      <c r="AH13">
        <v>45</v>
      </c>
      <c r="AI13">
        <v>90</v>
      </c>
      <c r="AJ13">
        <v>107</v>
      </c>
      <c r="AK13">
        <v>123</v>
      </c>
      <c r="AL13">
        <v>121</v>
      </c>
      <c r="AM13">
        <v>129</v>
      </c>
      <c r="AN13">
        <v>117</v>
      </c>
      <c r="AO13">
        <v>106</v>
      </c>
      <c r="AP13">
        <v>118</v>
      </c>
      <c r="AQ13">
        <v>117</v>
      </c>
      <c r="AR13">
        <v>139</v>
      </c>
      <c r="AS13">
        <v>124</v>
      </c>
      <c r="AT13">
        <v>137</v>
      </c>
      <c r="AU13">
        <v>123</v>
      </c>
      <c r="AV13">
        <v>101</v>
      </c>
      <c r="AW13">
        <v>88</v>
      </c>
      <c r="AX13">
        <v>96</v>
      </c>
      <c r="AY13">
        <v>2252</v>
      </c>
      <c r="AZ13">
        <v>168</v>
      </c>
      <c r="BA13">
        <v>160</v>
      </c>
      <c r="BB13">
        <v>100</v>
      </c>
      <c r="BC13">
        <v>83</v>
      </c>
      <c r="BD13">
        <v>65</v>
      </c>
      <c r="BE13">
        <v>55</v>
      </c>
      <c r="BF13">
        <v>45</v>
      </c>
      <c r="BG13">
        <v>60</v>
      </c>
      <c r="BH13">
        <v>72</v>
      </c>
      <c r="BI13">
        <v>86</v>
      </c>
      <c r="BJ13">
        <v>98</v>
      </c>
      <c r="BK13">
        <v>110</v>
      </c>
      <c r="BL13">
        <v>120</v>
      </c>
      <c r="BM13">
        <v>130</v>
      </c>
      <c r="BN13">
        <v>142</v>
      </c>
      <c r="BO13">
        <v>147</v>
      </c>
      <c r="BP13">
        <v>181</v>
      </c>
      <c r="BQ13">
        <v>170</v>
      </c>
      <c r="BR13">
        <v>194</v>
      </c>
      <c r="BS13">
        <v>184</v>
      </c>
      <c r="BT13">
        <v>201</v>
      </c>
      <c r="BU13">
        <v>186</v>
      </c>
      <c r="BV13">
        <v>166</v>
      </c>
      <c r="BW13">
        <v>153</v>
      </c>
      <c r="BX13">
        <v>3076</v>
      </c>
      <c r="BY13">
        <v>405</v>
      </c>
      <c r="BZ13">
        <v>376</v>
      </c>
      <c r="CA13">
        <v>264</v>
      </c>
      <c r="CB13">
        <v>264</v>
      </c>
      <c r="CC13">
        <v>191</v>
      </c>
      <c r="CD13">
        <v>180</v>
      </c>
      <c r="CE13">
        <v>165</v>
      </c>
      <c r="CF13">
        <v>209</v>
      </c>
      <c r="CG13">
        <v>257</v>
      </c>
      <c r="CH13">
        <v>349</v>
      </c>
      <c r="CI13">
        <v>366</v>
      </c>
      <c r="CJ13">
        <v>438</v>
      </c>
      <c r="CK13">
        <v>499</v>
      </c>
      <c r="CL13">
        <v>512</v>
      </c>
      <c r="CM13">
        <v>489</v>
      </c>
      <c r="CN13">
        <v>560</v>
      </c>
      <c r="CO13">
        <v>642</v>
      </c>
      <c r="CP13">
        <v>736</v>
      </c>
      <c r="CQ13">
        <v>717</v>
      </c>
      <c r="CR13">
        <v>681</v>
      </c>
      <c r="CS13">
        <v>649</v>
      </c>
      <c r="CT13">
        <v>579</v>
      </c>
      <c r="CU13">
        <v>469</v>
      </c>
      <c r="CV13">
        <v>476</v>
      </c>
      <c r="CW13">
        <v>10473</v>
      </c>
    </row>
    <row r="14" spans="1:101" x14ac:dyDescent="0.2">
      <c r="A14" s="235" t="s">
        <v>1419</v>
      </c>
      <c r="B14">
        <v>157</v>
      </c>
      <c r="C14">
        <v>152</v>
      </c>
      <c r="D14">
        <v>112</v>
      </c>
      <c r="E14">
        <v>107</v>
      </c>
      <c r="F14">
        <v>91</v>
      </c>
      <c r="G14">
        <v>52</v>
      </c>
      <c r="H14">
        <v>74</v>
      </c>
      <c r="I14">
        <v>88</v>
      </c>
      <c r="J14">
        <v>108</v>
      </c>
      <c r="K14">
        <v>140</v>
      </c>
      <c r="L14">
        <v>166</v>
      </c>
      <c r="M14">
        <v>181</v>
      </c>
      <c r="N14">
        <v>220</v>
      </c>
      <c r="O14">
        <v>231</v>
      </c>
      <c r="P14">
        <v>270</v>
      </c>
      <c r="Q14">
        <v>267</v>
      </c>
      <c r="R14">
        <v>330</v>
      </c>
      <c r="S14">
        <v>344</v>
      </c>
      <c r="T14">
        <v>423</v>
      </c>
      <c r="U14">
        <v>315</v>
      </c>
      <c r="V14">
        <v>358</v>
      </c>
      <c r="W14">
        <v>250</v>
      </c>
      <c r="X14">
        <v>257</v>
      </c>
      <c r="Y14">
        <v>197</v>
      </c>
      <c r="Z14">
        <v>4890</v>
      </c>
      <c r="AA14">
        <v>60</v>
      </c>
      <c r="AB14">
        <v>72</v>
      </c>
      <c r="AC14">
        <v>39</v>
      </c>
      <c r="AD14">
        <v>33</v>
      </c>
      <c r="AE14">
        <v>38</v>
      </c>
      <c r="AF14">
        <v>36</v>
      </c>
      <c r="AG14">
        <v>44</v>
      </c>
      <c r="AH14">
        <v>46</v>
      </c>
      <c r="AI14">
        <v>79</v>
      </c>
      <c r="AJ14">
        <v>84</v>
      </c>
      <c r="AK14">
        <v>85</v>
      </c>
      <c r="AL14">
        <v>127</v>
      </c>
      <c r="AM14">
        <v>103</v>
      </c>
      <c r="AN14">
        <v>105</v>
      </c>
      <c r="AO14">
        <v>123</v>
      </c>
      <c r="AP14">
        <v>97</v>
      </c>
      <c r="AQ14">
        <v>106</v>
      </c>
      <c r="AR14">
        <v>134</v>
      </c>
      <c r="AS14">
        <v>122</v>
      </c>
      <c r="AT14">
        <v>109</v>
      </c>
      <c r="AU14">
        <v>101</v>
      </c>
      <c r="AV14">
        <v>95</v>
      </c>
      <c r="AW14">
        <v>74</v>
      </c>
      <c r="AX14">
        <v>68</v>
      </c>
      <c r="AY14">
        <v>1980</v>
      </c>
      <c r="AZ14">
        <v>174</v>
      </c>
      <c r="BA14">
        <v>166</v>
      </c>
      <c r="BB14">
        <v>135</v>
      </c>
      <c r="BC14">
        <v>85</v>
      </c>
      <c r="BD14">
        <v>66</v>
      </c>
      <c r="BE14">
        <v>62</v>
      </c>
      <c r="BF14">
        <v>36</v>
      </c>
      <c r="BG14">
        <v>49</v>
      </c>
      <c r="BH14">
        <v>70</v>
      </c>
      <c r="BI14">
        <v>73</v>
      </c>
      <c r="BJ14">
        <v>96</v>
      </c>
      <c r="BK14">
        <v>90</v>
      </c>
      <c r="BL14">
        <v>91</v>
      </c>
      <c r="BM14">
        <v>118</v>
      </c>
      <c r="BN14">
        <v>109</v>
      </c>
      <c r="BO14">
        <v>150</v>
      </c>
      <c r="BP14">
        <v>166</v>
      </c>
      <c r="BQ14">
        <v>175</v>
      </c>
      <c r="BR14">
        <v>154</v>
      </c>
      <c r="BS14">
        <v>176</v>
      </c>
      <c r="BT14">
        <v>177</v>
      </c>
      <c r="BU14">
        <v>187</v>
      </c>
      <c r="BV14">
        <v>190</v>
      </c>
      <c r="BW14">
        <v>187</v>
      </c>
      <c r="BX14">
        <v>2982</v>
      </c>
      <c r="BY14">
        <v>391</v>
      </c>
      <c r="BZ14">
        <v>390</v>
      </c>
      <c r="CA14">
        <v>286</v>
      </c>
      <c r="CB14">
        <v>225</v>
      </c>
      <c r="CC14">
        <v>195</v>
      </c>
      <c r="CD14">
        <v>150</v>
      </c>
      <c r="CE14">
        <v>154</v>
      </c>
      <c r="CF14">
        <v>183</v>
      </c>
      <c r="CG14">
        <v>257</v>
      </c>
      <c r="CH14">
        <v>297</v>
      </c>
      <c r="CI14">
        <v>347</v>
      </c>
      <c r="CJ14">
        <v>398</v>
      </c>
      <c r="CK14">
        <v>414</v>
      </c>
      <c r="CL14">
        <v>454</v>
      </c>
      <c r="CM14">
        <v>502</v>
      </c>
      <c r="CN14">
        <v>514</v>
      </c>
      <c r="CO14">
        <v>602</v>
      </c>
      <c r="CP14">
        <v>653</v>
      </c>
      <c r="CQ14">
        <v>699</v>
      </c>
      <c r="CR14">
        <v>600</v>
      </c>
      <c r="CS14">
        <v>636</v>
      </c>
      <c r="CT14">
        <v>532</v>
      </c>
      <c r="CU14">
        <v>521</v>
      </c>
      <c r="CV14">
        <v>452</v>
      </c>
      <c r="CW14">
        <v>9852</v>
      </c>
    </row>
    <row r="15" spans="1:101" x14ac:dyDescent="0.2">
      <c r="A15" s="235" t="s">
        <v>1572</v>
      </c>
      <c r="B15">
        <v>157</v>
      </c>
      <c r="C15">
        <v>133</v>
      </c>
      <c r="D15">
        <v>108</v>
      </c>
      <c r="E15">
        <v>102</v>
      </c>
      <c r="F15">
        <v>87</v>
      </c>
      <c r="G15">
        <v>56</v>
      </c>
      <c r="H15">
        <v>58</v>
      </c>
      <c r="I15">
        <v>62</v>
      </c>
      <c r="J15">
        <v>96</v>
      </c>
      <c r="K15">
        <v>124</v>
      </c>
      <c r="L15">
        <v>153</v>
      </c>
      <c r="M15">
        <v>194</v>
      </c>
      <c r="N15">
        <v>234</v>
      </c>
      <c r="O15">
        <v>240</v>
      </c>
      <c r="P15">
        <v>221</v>
      </c>
      <c r="Q15">
        <v>262</v>
      </c>
      <c r="R15">
        <v>340</v>
      </c>
      <c r="S15">
        <v>348</v>
      </c>
      <c r="T15">
        <v>389</v>
      </c>
      <c r="U15">
        <v>329</v>
      </c>
      <c r="V15">
        <v>287</v>
      </c>
      <c r="W15">
        <v>271</v>
      </c>
      <c r="X15">
        <v>215</v>
      </c>
      <c r="Y15">
        <v>195</v>
      </c>
      <c r="Z15">
        <v>4661</v>
      </c>
      <c r="AA15">
        <v>54</v>
      </c>
      <c r="AB15">
        <v>50</v>
      </c>
      <c r="AC15">
        <v>26</v>
      </c>
      <c r="AD15">
        <v>26</v>
      </c>
      <c r="AE15">
        <v>35</v>
      </c>
      <c r="AF15">
        <v>23</v>
      </c>
      <c r="AG15">
        <v>47</v>
      </c>
      <c r="AH15">
        <v>56</v>
      </c>
      <c r="AI15">
        <v>66</v>
      </c>
      <c r="AJ15">
        <v>72</v>
      </c>
      <c r="AK15">
        <v>75</v>
      </c>
      <c r="AL15">
        <v>86</v>
      </c>
      <c r="AM15">
        <v>83</v>
      </c>
      <c r="AN15">
        <v>90</v>
      </c>
      <c r="AO15">
        <v>95</v>
      </c>
      <c r="AP15">
        <v>100</v>
      </c>
      <c r="AQ15">
        <v>125</v>
      </c>
      <c r="AR15">
        <v>86</v>
      </c>
      <c r="AS15">
        <v>128</v>
      </c>
      <c r="AT15">
        <v>80</v>
      </c>
      <c r="AU15">
        <v>99</v>
      </c>
      <c r="AV15">
        <v>77</v>
      </c>
      <c r="AW15">
        <v>70</v>
      </c>
      <c r="AX15">
        <v>69</v>
      </c>
      <c r="AY15">
        <v>1718</v>
      </c>
      <c r="AZ15">
        <v>179</v>
      </c>
      <c r="BA15">
        <v>159</v>
      </c>
      <c r="BB15">
        <v>117</v>
      </c>
      <c r="BC15">
        <v>86</v>
      </c>
      <c r="BD15">
        <v>61</v>
      </c>
      <c r="BE15">
        <v>52</v>
      </c>
      <c r="BF15">
        <v>41</v>
      </c>
      <c r="BG15">
        <v>42</v>
      </c>
      <c r="BH15">
        <v>68</v>
      </c>
      <c r="BI15">
        <v>68</v>
      </c>
      <c r="BJ15">
        <v>78</v>
      </c>
      <c r="BK15">
        <v>92</v>
      </c>
      <c r="BL15">
        <v>96</v>
      </c>
      <c r="BM15">
        <v>122</v>
      </c>
      <c r="BN15">
        <v>117</v>
      </c>
      <c r="BO15">
        <v>137</v>
      </c>
      <c r="BP15">
        <v>185</v>
      </c>
      <c r="BQ15">
        <v>171</v>
      </c>
      <c r="BR15">
        <v>197</v>
      </c>
      <c r="BS15">
        <v>224</v>
      </c>
      <c r="BT15">
        <v>194</v>
      </c>
      <c r="BU15">
        <v>195</v>
      </c>
      <c r="BV15">
        <v>181</v>
      </c>
      <c r="BW15">
        <v>175</v>
      </c>
      <c r="BX15">
        <v>3037</v>
      </c>
      <c r="BY15">
        <v>390</v>
      </c>
      <c r="BZ15">
        <v>342</v>
      </c>
      <c r="CA15">
        <v>251</v>
      </c>
      <c r="CB15">
        <v>214</v>
      </c>
      <c r="CC15">
        <v>183</v>
      </c>
      <c r="CD15">
        <v>131</v>
      </c>
      <c r="CE15">
        <v>146</v>
      </c>
      <c r="CF15">
        <v>160</v>
      </c>
      <c r="CG15">
        <v>230</v>
      </c>
      <c r="CH15">
        <v>264</v>
      </c>
      <c r="CI15">
        <v>306</v>
      </c>
      <c r="CJ15">
        <v>372</v>
      </c>
      <c r="CK15">
        <v>413</v>
      </c>
      <c r="CL15">
        <v>452</v>
      </c>
      <c r="CM15">
        <v>433</v>
      </c>
      <c r="CN15">
        <v>499</v>
      </c>
      <c r="CO15">
        <v>650</v>
      </c>
      <c r="CP15">
        <v>605</v>
      </c>
      <c r="CQ15">
        <v>714</v>
      </c>
      <c r="CR15">
        <v>633</v>
      </c>
      <c r="CS15">
        <v>580</v>
      </c>
      <c r="CT15">
        <v>543</v>
      </c>
      <c r="CU15">
        <v>466</v>
      </c>
      <c r="CV15">
        <v>439</v>
      </c>
      <c r="CW15">
        <v>9416</v>
      </c>
    </row>
    <row r="16" spans="1:101" x14ac:dyDescent="0.2">
      <c r="A16" s="235" t="s">
        <v>333</v>
      </c>
      <c r="B16">
        <v>2345</v>
      </c>
      <c r="C16">
        <v>2085</v>
      </c>
      <c r="D16">
        <v>1707</v>
      </c>
      <c r="E16">
        <v>1480</v>
      </c>
      <c r="F16">
        <v>1239</v>
      </c>
      <c r="G16">
        <v>1004</v>
      </c>
      <c r="H16">
        <v>915</v>
      </c>
      <c r="I16">
        <v>1149</v>
      </c>
      <c r="J16">
        <v>1388</v>
      </c>
      <c r="K16">
        <v>1786</v>
      </c>
      <c r="L16">
        <v>2140</v>
      </c>
      <c r="M16">
        <v>2617</v>
      </c>
      <c r="N16">
        <v>3014</v>
      </c>
      <c r="O16">
        <v>3303</v>
      </c>
      <c r="P16">
        <v>3354</v>
      </c>
      <c r="Q16">
        <v>3613</v>
      </c>
      <c r="R16">
        <v>4483</v>
      </c>
      <c r="S16">
        <v>5374</v>
      </c>
      <c r="T16">
        <v>5245</v>
      </c>
      <c r="U16">
        <v>4694</v>
      </c>
      <c r="V16">
        <v>4279</v>
      </c>
      <c r="W16">
        <v>3729</v>
      </c>
      <c r="X16">
        <v>3230</v>
      </c>
      <c r="Y16">
        <v>2783</v>
      </c>
      <c r="Z16">
        <v>66956</v>
      </c>
      <c r="AA16">
        <v>932</v>
      </c>
      <c r="AB16">
        <v>858</v>
      </c>
      <c r="AC16">
        <v>731</v>
      </c>
      <c r="AD16">
        <v>683</v>
      </c>
      <c r="AE16">
        <v>575</v>
      </c>
      <c r="AF16">
        <v>510</v>
      </c>
      <c r="AG16">
        <v>563</v>
      </c>
      <c r="AH16">
        <v>726</v>
      </c>
      <c r="AI16">
        <v>1073</v>
      </c>
      <c r="AJ16">
        <v>1272</v>
      </c>
      <c r="AK16">
        <v>1315</v>
      </c>
      <c r="AL16">
        <v>1449</v>
      </c>
      <c r="AM16">
        <v>1507</v>
      </c>
      <c r="AN16">
        <v>1532</v>
      </c>
      <c r="AO16">
        <v>1493</v>
      </c>
      <c r="AP16">
        <v>1511</v>
      </c>
      <c r="AQ16">
        <v>1567</v>
      </c>
      <c r="AR16">
        <v>1613</v>
      </c>
      <c r="AS16">
        <v>1661</v>
      </c>
      <c r="AT16">
        <v>1651</v>
      </c>
      <c r="AU16">
        <v>1673</v>
      </c>
      <c r="AV16">
        <v>1454</v>
      </c>
      <c r="AW16">
        <v>1158</v>
      </c>
      <c r="AX16">
        <v>1095</v>
      </c>
      <c r="AY16">
        <v>28602</v>
      </c>
      <c r="AZ16">
        <v>2092</v>
      </c>
      <c r="BA16">
        <v>1945</v>
      </c>
      <c r="BB16">
        <v>1647</v>
      </c>
      <c r="BC16">
        <v>1283</v>
      </c>
      <c r="BD16">
        <v>1044</v>
      </c>
      <c r="BE16">
        <v>824</v>
      </c>
      <c r="BF16">
        <v>678</v>
      </c>
      <c r="BG16">
        <v>785</v>
      </c>
      <c r="BH16">
        <v>940</v>
      </c>
      <c r="BI16">
        <v>894</v>
      </c>
      <c r="BJ16">
        <v>1022</v>
      </c>
      <c r="BK16">
        <v>1196</v>
      </c>
      <c r="BL16">
        <v>1300</v>
      </c>
      <c r="BM16">
        <v>1481</v>
      </c>
      <c r="BN16">
        <v>1598</v>
      </c>
      <c r="BO16">
        <v>1786</v>
      </c>
      <c r="BP16">
        <v>1941</v>
      </c>
      <c r="BQ16">
        <v>2086</v>
      </c>
      <c r="BR16">
        <v>2222</v>
      </c>
      <c r="BS16">
        <v>2411</v>
      </c>
      <c r="BT16">
        <v>2474</v>
      </c>
      <c r="BU16">
        <v>2459</v>
      </c>
      <c r="BV16">
        <v>2249</v>
      </c>
      <c r="BW16">
        <v>2185</v>
      </c>
      <c r="BX16">
        <v>38542</v>
      </c>
      <c r="BY16">
        <v>5369</v>
      </c>
      <c r="BZ16">
        <v>4888</v>
      </c>
      <c r="CA16">
        <v>4085</v>
      </c>
      <c r="CB16">
        <v>3446</v>
      </c>
      <c r="CC16">
        <v>2858</v>
      </c>
      <c r="CD16">
        <v>2338</v>
      </c>
      <c r="CE16">
        <v>2156</v>
      </c>
      <c r="CF16">
        <v>2660</v>
      </c>
      <c r="CG16">
        <v>3401</v>
      </c>
      <c r="CH16">
        <v>3952</v>
      </c>
      <c r="CI16">
        <v>4477</v>
      </c>
      <c r="CJ16">
        <v>5262</v>
      </c>
      <c r="CK16">
        <v>5821</v>
      </c>
      <c r="CL16">
        <v>6316</v>
      </c>
      <c r="CM16">
        <v>6445</v>
      </c>
      <c r="CN16">
        <v>6910</v>
      </c>
      <c r="CO16">
        <v>7991</v>
      </c>
      <c r="CP16">
        <v>9073</v>
      </c>
      <c r="CQ16">
        <v>9128</v>
      </c>
      <c r="CR16">
        <v>8756</v>
      </c>
      <c r="CS16">
        <v>8426</v>
      </c>
      <c r="CT16">
        <v>7642</v>
      </c>
      <c r="CU16">
        <v>6637</v>
      </c>
      <c r="CV16">
        <v>6063</v>
      </c>
      <c r="CW16">
        <v>134100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U16"/>
  <sheetViews>
    <sheetView workbookViewId="0">
      <selection activeCell="G13" sqref="G13"/>
    </sheetView>
  </sheetViews>
  <sheetFormatPr defaultRowHeight="12.75" x14ac:dyDescent="0.2"/>
  <cols>
    <col min="1" max="1" width="13" bestFit="1" customWidth="1"/>
    <col min="2" max="2" width="15.85546875" bestFit="1" customWidth="1"/>
    <col min="3" max="11" width="8.42578125" bestFit="1" customWidth="1"/>
    <col min="12" max="25" width="9.42578125" bestFit="1" customWidth="1"/>
    <col min="26" max="26" width="8.5703125" bestFit="1" customWidth="1"/>
    <col min="27" max="35" width="8.42578125" bestFit="1" customWidth="1"/>
    <col min="36" max="49" width="9.42578125" bestFit="1" customWidth="1"/>
    <col min="50" max="59" width="13.42578125" bestFit="1" customWidth="1"/>
    <col min="60" max="73" width="14.42578125" bestFit="1" customWidth="1"/>
  </cols>
  <sheetData>
    <row r="1" spans="1:73" x14ac:dyDescent="0.2">
      <c r="B1" s="234" t="s">
        <v>336</v>
      </c>
    </row>
    <row r="2" spans="1:73" x14ac:dyDescent="0.2">
      <c r="B2" t="s">
        <v>97</v>
      </c>
      <c r="Z2" t="s">
        <v>671</v>
      </c>
      <c r="AX2" t="s">
        <v>765</v>
      </c>
      <c r="AY2" t="s">
        <v>766</v>
      </c>
      <c r="AZ2" t="s">
        <v>768</v>
      </c>
      <c r="BA2" t="s">
        <v>770</v>
      </c>
      <c r="BB2" t="s">
        <v>772</v>
      </c>
      <c r="BC2" t="s">
        <v>774</v>
      </c>
      <c r="BD2" t="s">
        <v>776</v>
      </c>
      <c r="BE2" t="s">
        <v>778</v>
      </c>
      <c r="BF2" t="s">
        <v>780</v>
      </c>
      <c r="BG2" t="s">
        <v>782</v>
      </c>
      <c r="BH2" t="s">
        <v>784</v>
      </c>
      <c r="BI2" t="s">
        <v>786</v>
      </c>
      <c r="BJ2" t="s">
        <v>788</v>
      </c>
      <c r="BK2" t="s">
        <v>790</v>
      </c>
      <c r="BL2" t="s">
        <v>792</v>
      </c>
      <c r="BM2" t="s">
        <v>794</v>
      </c>
      <c r="BN2" t="s">
        <v>796</v>
      </c>
      <c r="BO2" t="s">
        <v>798</v>
      </c>
      <c r="BP2" t="s">
        <v>800</v>
      </c>
      <c r="BQ2" t="s">
        <v>802</v>
      </c>
      <c r="BR2" t="s">
        <v>804</v>
      </c>
      <c r="BS2" t="s">
        <v>806</v>
      </c>
      <c r="BT2" t="s">
        <v>808</v>
      </c>
      <c r="BU2" t="s">
        <v>810</v>
      </c>
    </row>
    <row r="3" spans="1:73" x14ac:dyDescent="0.2">
      <c r="A3" s="234" t="s">
        <v>326</v>
      </c>
      <c r="B3" t="s">
        <v>764</v>
      </c>
      <c r="C3" t="s">
        <v>767</v>
      </c>
      <c r="D3" t="s">
        <v>769</v>
      </c>
      <c r="E3" t="s">
        <v>771</v>
      </c>
      <c r="F3" t="s">
        <v>773</v>
      </c>
      <c r="G3" t="s">
        <v>775</v>
      </c>
      <c r="H3" t="s">
        <v>777</v>
      </c>
      <c r="I3" t="s">
        <v>779</v>
      </c>
      <c r="J3" t="s">
        <v>781</v>
      </c>
      <c r="K3" t="s">
        <v>783</v>
      </c>
      <c r="L3" t="s">
        <v>785</v>
      </c>
      <c r="M3" t="s">
        <v>787</v>
      </c>
      <c r="N3" t="s">
        <v>789</v>
      </c>
      <c r="O3" t="s">
        <v>791</v>
      </c>
      <c r="P3" t="s">
        <v>793</v>
      </c>
      <c r="Q3" t="s">
        <v>795</v>
      </c>
      <c r="R3" t="s">
        <v>797</v>
      </c>
      <c r="S3" t="s">
        <v>799</v>
      </c>
      <c r="T3" t="s">
        <v>801</v>
      </c>
      <c r="U3" t="s">
        <v>803</v>
      </c>
      <c r="V3" t="s">
        <v>805</v>
      </c>
      <c r="W3" t="s">
        <v>807</v>
      </c>
      <c r="X3" t="s">
        <v>809</v>
      </c>
      <c r="Y3" t="s">
        <v>811</v>
      </c>
      <c r="Z3" t="s">
        <v>764</v>
      </c>
      <c r="AA3" t="s">
        <v>767</v>
      </c>
      <c r="AB3" t="s">
        <v>769</v>
      </c>
      <c r="AC3" t="s">
        <v>771</v>
      </c>
      <c r="AD3" t="s">
        <v>773</v>
      </c>
      <c r="AE3" t="s">
        <v>775</v>
      </c>
      <c r="AF3" t="s">
        <v>777</v>
      </c>
      <c r="AG3" t="s">
        <v>779</v>
      </c>
      <c r="AH3" t="s">
        <v>781</v>
      </c>
      <c r="AI3" t="s">
        <v>783</v>
      </c>
      <c r="AJ3" t="s">
        <v>785</v>
      </c>
      <c r="AK3" t="s">
        <v>787</v>
      </c>
      <c r="AL3" t="s">
        <v>789</v>
      </c>
      <c r="AM3" t="s">
        <v>791</v>
      </c>
      <c r="AN3" t="s">
        <v>793</v>
      </c>
      <c r="AO3" t="s">
        <v>795</v>
      </c>
      <c r="AP3" t="s">
        <v>797</v>
      </c>
      <c r="AQ3" t="s">
        <v>799</v>
      </c>
      <c r="AR3" t="s">
        <v>801</v>
      </c>
      <c r="AS3" t="s">
        <v>803</v>
      </c>
      <c r="AT3" t="s">
        <v>805</v>
      </c>
      <c r="AU3" t="s">
        <v>807</v>
      </c>
      <c r="AV3" t="s">
        <v>809</v>
      </c>
      <c r="AW3" t="s">
        <v>811</v>
      </c>
    </row>
    <row r="4" spans="1:73" x14ac:dyDescent="0.2">
      <c r="A4" s="235" t="s">
        <v>19</v>
      </c>
      <c r="B4">
        <v>4</v>
      </c>
      <c r="C4">
        <v>4</v>
      </c>
      <c r="D4">
        <v>7</v>
      </c>
      <c r="E4">
        <v>3</v>
      </c>
      <c r="F4">
        <v>3</v>
      </c>
      <c r="G4">
        <v>1</v>
      </c>
      <c r="H4">
        <v>1</v>
      </c>
      <c r="J4">
        <v>2</v>
      </c>
      <c r="M4">
        <v>3</v>
      </c>
      <c r="O4">
        <v>2</v>
      </c>
      <c r="R4">
        <v>4</v>
      </c>
      <c r="S4">
        <v>2</v>
      </c>
      <c r="T4">
        <v>8</v>
      </c>
      <c r="U4">
        <v>3</v>
      </c>
      <c r="X4">
        <v>5</v>
      </c>
      <c r="Y4">
        <v>1</v>
      </c>
      <c r="Z4">
        <v>47</v>
      </c>
      <c r="AA4">
        <v>28</v>
      </c>
      <c r="AB4">
        <v>43</v>
      </c>
      <c r="AC4">
        <v>43</v>
      </c>
      <c r="AD4">
        <v>24</v>
      </c>
      <c r="AE4">
        <v>26</v>
      </c>
      <c r="AF4">
        <v>24</v>
      </c>
      <c r="AG4">
        <v>19</v>
      </c>
      <c r="AH4">
        <v>24</v>
      </c>
      <c r="AI4">
        <v>32</v>
      </c>
      <c r="AJ4">
        <v>23</v>
      </c>
      <c r="AK4">
        <v>25</v>
      </c>
      <c r="AL4">
        <v>39</v>
      </c>
      <c r="AM4">
        <v>26</v>
      </c>
      <c r="AN4">
        <v>34</v>
      </c>
      <c r="AO4">
        <v>34</v>
      </c>
      <c r="AP4">
        <v>55</v>
      </c>
      <c r="AQ4">
        <v>75</v>
      </c>
      <c r="AR4">
        <v>80</v>
      </c>
      <c r="AS4">
        <v>71</v>
      </c>
      <c r="AT4">
        <v>64</v>
      </c>
      <c r="AU4">
        <v>71</v>
      </c>
      <c r="AV4">
        <v>58</v>
      </c>
      <c r="AW4">
        <v>67</v>
      </c>
      <c r="AX4">
        <v>51</v>
      </c>
      <c r="AY4">
        <v>32</v>
      </c>
      <c r="AZ4">
        <v>50</v>
      </c>
      <c r="BA4">
        <v>46</v>
      </c>
      <c r="BB4">
        <v>27</v>
      </c>
      <c r="BC4">
        <v>27</v>
      </c>
      <c r="BD4">
        <v>25</v>
      </c>
      <c r="BE4">
        <v>19</v>
      </c>
      <c r="BF4">
        <v>26</v>
      </c>
      <c r="BG4">
        <v>32</v>
      </c>
      <c r="BH4">
        <v>23</v>
      </c>
      <c r="BI4">
        <v>28</v>
      </c>
      <c r="BJ4">
        <v>39</v>
      </c>
      <c r="BK4">
        <v>28</v>
      </c>
      <c r="BL4">
        <v>34</v>
      </c>
      <c r="BM4">
        <v>34</v>
      </c>
      <c r="BN4">
        <v>59</v>
      </c>
      <c r="BO4">
        <v>77</v>
      </c>
      <c r="BP4">
        <v>88</v>
      </c>
      <c r="BQ4">
        <v>74</v>
      </c>
      <c r="BR4">
        <v>64</v>
      </c>
      <c r="BS4">
        <v>71</v>
      </c>
      <c r="BT4">
        <v>63</v>
      </c>
      <c r="BU4">
        <v>68</v>
      </c>
    </row>
    <row r="5" spans="1:73" x14ac:dyDescent="0.2">
      <c r="A5" s="235" t="s">
        <v>20</v>
      </c>
      <c r="B5">
        <v>1</v>
      </c>
      <c r="C5">
        <v>5</v>
      </c>
      <c r="D5">
        <v>2</v>
      </c>
      <c r="E5">
        <v>5</v>
      </c>
      <c r="F5">
        <v>2</v>
      </c>
      <c r="G5">
        <v>3</v>
      </c>
      <c r="H5">
        <v>3</v>
      </c>
      <c r="I5">
        <v>2</v>
      </c>
      <c r="J5">
        <v>1</v>
      </c>
      <c r="L5">
        <v>2</v>
      </c>
      <c r="M5">
        <v>1</v>
      </c>
      <c r="N5">
        <v>1</v>
      </c>
      <c r="O5">
        <v>2</v>
      </c>
      <c r="P5">
        <v>2</v>
      </c>
      <c r="Q5">
        <v>1</v>
      </c>
      <c r="R5">
        <v>1</v>
      </c>
      <c r="S5">
        <v>3</v>
      </c>
      <c r="V5">
        <v>1</v>
      </c>
      <c r="W5">
        <v>1</v>
      </c>
      <c r="X5">
        <v>1</v>
      </c>
      <c r="Y5">
        <v>5</v>
      </c>
      <c r="Z5">
        <v>62</v>
      </c>
      <c r="AA5">
        <v>62</v>
      </c>
      <c r="AB5">
        <v>52</v>
      </c>
      <c r="AC5">
        <v>29</v>
      </c>
      <c r="AD5">
        <v>32</v>
      </c>
      <c r="AE5">
        <v>28</v>
      </c>
      <c r="AF5">
        <v>23</v>
      </c>
      <c r="AG5">
        <v>27</v>
      </c>
      <c r="AH5">
        <v>19</v>
      </c>
      <c r="AI5">
        <v>27</v>
      </c>
      <c r="AJ5">
        <v>30</v>
      </c>
      <c r="AK5">
        <v>40</v>
      </c>
      <c r="AL5">
        <v>48</v>
      </c>
      <c r="AM5">
        <v>29</v>
      </c>
      <c r="AN5">
        <v>35</v>
      </c>
      <c r="AO5">
        <v>30</v>
      </c>
      <c r="AP5">
        <v>55</v>
      </c>
      <c r="AQ5">
        <v>67</v>
      </c>
      <c r="AR5">
        <v>90</v>
      </c>
      <c r="AS5">
        <v>93</v>
      </c>
      <c r="AT5">
        <v>63</v>
      </c>
      <c r="AU5">
        <v>78</v>
      </c>
      <c r="AV5">
        <v>55</v>
      </c>
      <c r="AW5">
        <v>68</v>
      </c>
      <c r="AX5">
        <v>63</v>
      </c>
      <c r="AY5">
        <v>67</v>
      </c>
      <c r="AZ5">
        <v>54</v>
      </c>
      <c r="BA5">
        <v>34</v>
      </c>
      <c r="BB5">
        <v>34</v>
      </c>
      <c r="BC5">
        <v>31</v>
      </c>
      <c r="BD5">
        <v>26</v>
      </c>
      <c r="BE5">
        <v>29</v>
      </c>
      <c r="BF5">
        <v>20</v>
      </c>
      <c r="BG5">
        <v>27</v>
      </c>
      <c r="BH5">
        <v>32</v>
      </c>
      <c r="BI5">
        <v>41</v>
      </c>
      <c r="BJ5">
        <v>49</v>
      </c>
      <c r="BK5">
        <v>31</v>
      </c>
      <c r="BL5">
        <v>37</v>
      </c>
      <c r="BM5">
        <v>31</v>
      </c>
      <c r="BN5">
        <v>56</v>
      </c>
      <c r="BO5">
        <v>70</v>
      </c>
      <c r="BP5">
        <v>90</v>
      </c>
      <c r="BQ5">
        <v>93</v>
      </c>
      <c r="BR5">
        <v>64</v>
      </c>
      <c r="BS5">
        <v>79</v>
      </c>
      <c r="BT5">
        <v>56</v>
      </c>
      <c r="BU5">
        <v>73</v>
      </c>
    </row>
    <row r="6" spans="1:73" x14ac:dyDescent="0.2">
      <c r="A6" s="235" t="s">
        <v>13</v>
      </c>
      <c r="B6">
        <v>1</v>
      </c>
      <c r="C6">
        <v>2</v>
      </c>
      <c r="D6">
        <v>4</v>
      </c>
      <c r="E6">
        <v>3</v>
      </c>
      <c r="F6">
        <v>2</v>
      </c>
      <c r="G6">
        <v>3</v>
      </c>
      <c r="H6">
        <v>1</v>
      </c>
      <c r="I6">
        <v>2</v>
      </c>
      <c r="J6">
        <v>2</v>
      </c>
      <c r="L6">
        <v>3</v>
      </c>
      <c r="M6">
        <v>3</v>
      </c>
      <c r="N6">
        <v>4</v>
      </c>
      <c r="O6">
        <v>1</v>
      </c>
      <c r="P6">
        <v>1</v>
      </c>
      <c r="Q6">
        <v>2</v>
      </c>
      <c r="R6">
        <v>4</v>
      </c>
      <c r="S6">
        <v>2</v>
      </c>
      <c r="U6">
        <v>1</v>
      </c>
      <c r="V6">
        <v>1</v>
      </c>
      <c r="W6">
        <v>3</v>
      </c>
      <c r="X6">
        <v>5</v>
      </c>
      <c r="Y6">
        <v>1</v>
      </c>
      <c r="Z6">
        <v>59</v>
      </c>
      <c r="AA6">
        <v>40</v>
      </c>
      <c r="AB6">
        <v>68</v>
      </c>
      <c r="AC6">
        <v>40</v>
      </c>
      <c r="AD6">
        <v>66</v>
      </c>
      <c r="AE6">
        <v>28</v>
      </c>
      <c r="AF6">
        <v>15</v>
      </c>
      <c r="AG6">
        <v>27</v>
      </c>
      <c r="AH6">
        <v>16</v>
      </c>
      <c r="AI6">
        <v>28</v>
      </c>
      <c r="AJ6">
        <v>15</v>
      </c>
      <c r="AK6">
        <v>22</v>
      </c>
      <c r="AL6">
        <v>34</v>
      </c>
      <c r="AM6">
        <v>39</v>
      </c>
      <c r="AN6">
        <v>29</v>
      </c>
      <c r="AO6">
        <v>45</v>
      </c>
      <c r="AP6">
        <v>72</v>
      </c>
      <c r="AQ6">
        <v>66</v>
      </c>
      <c r="AR6">
        <v>106</v>
      </c>
      <c r="AS6">
        <v>81</v>
      </c>
      <c r="AT6">
        <v>94</v>
      </c>
      <c r="AU6">
        <v>86</v>
      </c>
      <c r="AV6">
        <v>74</v>
      </c>
      <c r="AW6">
        <v>69</v>
      </c>
      <c r="AX6">
        <v>60</v>
      </c>
      <c r="AY6">
        <v>42</v>
      </c>
      <c r="AZ6">
        <v>72</v>
      </c>
      <c r="BA6">
        <v>43</v>
      </c>
      <c r="BB6">
        <v>68</v>
      </c>
      <c r="BC6">
        <v>31</v>
      </c>
      <c r="BD6">
        <v>16</v>
      </c>
      <c r="BE6">
        <v>29</v>
      </c>
      <c r="BF6">
        <v>18</v>
      </c>
      <c r="BG6">
        <v>28</v>
      </c>
      <c r="BH6">
        <v>18</v>
      </c>
      <c r="BI6">
        <v>25</v>
      </c>
      <c r="BJ6">
        <v>38</v>
      </c>
      <c r="BK6">
        <v>40</v>
      </c>
      <c r="BL6">
        <v>30</v>
      </c>
      <c r="BM6">
        <v>47</v>
      </c>
      <c r="BN6">
        <v>76</v>
      </c>
      <c r="BO6">
        <v>68</v>
      </c>
      <c r="BP6">
        <v>106</v>
      </c>
      <c r="BQ6">
        <v>82</v>
      </c>
      <c r="BR6">
        <v>95</v>
      </c>
      <c r="BS6">
        <v>89</v>
      </c>
      <c r="BT6">
        <v>79</v>
      </c>
      <c r="BU6">
        <v>70</v>
      </c>
    </row>
    <row r="7" spans="1:73" x14ac:dyDescent="0.2">
      <c r="A7" s="235" t="s">
        <v>15</v>
      </c>
      <c r="B7">
        <v>1</v>
      </c>
      <c r="C7">
        <v>1</v>
      </c>
      <c r="D7">
        <v>3</v>
      </c>
      <c r="E7">
        <v>2</v>
      </c>
      <c r="F7">
        <v>1</v>
      </c>
      <c r="G7">
        <v>5</v>
      </c>
      <c r="H7">
        <v>1</v>
      </c>
      <c r="I7">
        <v>3</v>
      </c>
      <c r="J7">
        <v>2</v>
      </c>
      <c r="K7">
        <v>2</v>
      </c>
      <c r="L7">
        <v>4</v>
      </c>
      <c r="M7">
        <v>1</v>
      </c>
      <c r="N7">
        <v>1</v>
      </c>
      <c r="P7">
        <v>1</v>
      </c>
      <c r="Q7">
        <v>3</v>
      </c>
      <c r="R7">
        <v>1</v>
      </c>
      <c r="T7">
        <v>2</v>
      </c>
      <c r="W7">
        <v>2</v>
      </c>
      <c r="X7">
        <v>2</v>
      </c>
      <c r="Y7">
        <v>2</v>
      </c>
      <c r="Z7">
        <v>65</v>
      </c>
      <c r="AA7">
        <v>52</v>
      </c>
      <c r="AB7">
        <v>30</v>
      </c>
      <c r="AC7">
        <v>45</v>
      </c>
      <c r="AD7">
        <v>22</v>
      </c>
      <c r="AE7">
        <v>34</v>
      </c>
      <c r="AF7">
        <v>11</v>
      </c>
      <c r="AG7">
        <v>25</v>
      </c>
      <c r="AH7">
        <v>22</v>
      </c>
      <c r="AI7">
        <v>33</v>
      </c>
      <c r="AJ7">
        <v>31</v>
      </c>
      <c r="AK7">
        <v>24</v>
      </c>
      <c r="AL7">
        <v>30</v>
      </c>
      <c r="AM7">
        <v>42</v>
      </c>
      <c r="AN7">
        <v>46</v>
      </c>
      <c r="AO7">
        <v>51</v>
      </c>
      <c r="AP7">
        <v>59</v>
      </c>
      <c r="AQ7">
        <v>91</v>
      </c>
      <c r="AR7">
        <v>88</v>
      </c>
      <c r="AS7">
        <v>79</v>
      </c>
      <c r="AT7">
        <v>94</v>
      </c>
      <c r="AU7">
        <v>62</v>
      </c>
      <c r="AV7">
        <v>70</v>
      </c>
      <c r="AW7">
        <v>60</v>
      </c>
      <c r="AX7">
        <v>66</v>
      </c>
      <c r="AY7">
        <v>53</v>
      </c>
      <c r="AZ7">
        <v>33</v>
      </c>
      <c r="BA7">
        <v>47</v>
      </c>
      <c r="BB7">
        <v>23</v>
      </c>
      <c r="BC7">
        <v>39</v>
      </c>
      <c r="BD7">
        <v>12</v>
      </c>
      <c r="BE7">
        <v>28</v>
      </c>
      <c r="BF7">
        <v>24</v>
      </c>
      <c r="BG7">
        <v>35</v>
      </c>
      <c r="BH7">
        <v>35</v>
      </c>
      <c r="BI7">
        <v>25</v>
      </c>
      <c r="BJ7">
        <v>31</v>
      </c>
      <c r="BK7">
        <v>42</v>
      </c>
      <c r="BL7">
        <v>47</v>
      </c>
      <c r="BM7">
        <v>54</v>
      </c>
      <c r="BN7">
        <v>60</v>
      </c>
      <c r="BO7">
        <v>91</v>
      </c>
      <c r="BP7">
        <v>90</v>
      </c>
      <c r="BQ7">
        <v>79</v>
      </c>
      <c r="BR7">
        <v>94</v>
      </c>
      <c r="BS7">
        <v>64</v>
      </c>
      <c r="BT7">
        <v>72</v>
      </c>
      <c r="BU7">
        <v>62</v>
      </c>
    </row>
    <row r="8" spans="1:73" x14ac:dyDescent="0.2">
      <c r="A8" s="235" t="s">
        <v>17</v>
      </c>
      <c r="B8">
        <v>1</v>
      </c>
      <c r="D8">
        <v>1</v>
      </c>
      <c r="E8">
        <v>2</v>
      </c>
      <c r="F8">
        <v>1</v>
      </c>
      <c r="G8">
        <v>2</v>
      </c>
      <c r="H8">
        <v>1</v>
      </c>
      <c r="I8">
        <v>2</v>
      </c>
      <c r="J8">
        <v>2</v>
      </c>
      <c r="K8">
        <v>1</v>
      </c>
      <c r="N8">
        <v>1</v>
      </c>
      <c r="O8">
        <v>2</v>
      </c>
      <c r="P8">
        <v>1</v>
      </c>
      <c r="R8">
        <v>1</v>
      </c>
      <c r="S8">
        <v>1</v>
      </c>
      <c r="T8">
        <v>1</v>
      </c>
      <c r="U8">
        <v>1</v>
      </c>
      <c r="V8">
        <v>5</v>
      </c>
      <c r="W8">
        <v>2</v>
      </c>
      <c r="Y8">
        <v>1</v>
      </c>
      <c r="Z8">
        <v>50</v>
      </c>
      <c r="AA8">
        <v>54</v>
      </c>
      <c r="AB8">
        <v>57</v>
      </c>
      <c r="AC8">
        <v>60</v>
      </c>
      <c r="AD8">
        <v>39</v>
      </c>
      <c r="AE8">
        <v>19</v>
      </c>
      <c r="AF8">
        <v>20</v>
      </c>
      <c r="AG8">
        <v>16</v>
      </c>
      <c r="AH8">
        <v>19</v>
      </c>
      <c r="AI8">
        <v>19</v>
      </c>
      <c r="AJ8">
        <v>33</v>
      </c>
      <c r="AK8">
        <v>39</v>
      </c>
      <c r="AL8">
        <v>42</v>
      </c>
      <c r="AM8">
        <v>36</v>
      </c>
      <c r="AN8">
        <v>40</v>
      </c>
      <c r="AO8">
        <v>40</v>
      </c>
      <c r="AP8">
        <v>57</v>
      </c>
      <c r="AQ8">
        <v>85</v>
      </c>
      <c r="AR8">
        <v>81</v>
      </c>
      <c r="AS8">
        <v>84</v>
      </c>
      <c r="AT8">
        <v>70</v>
      </c>
      <c r="AU8">
        <v>79</v>
      </c>
      <c r="AV8">
        <v>70</v>
      </c>
      <c r="AW8">
        <v>31</v>
      </c>
      <c r="AX8">
        <v>51</v>
      </c>
      <c r="AY8">
        <v>54</v>
      </c>
      <c r="AZ8">
        <v>58</v>
      </c>
      <c r="BA8">
        <v>62</v>
      </c>
      <c r="BB8">
        <v>40</v>
      </c>
      <c r="BC8">
        <v>21</v>
      </c>
      <c r="BD8">
        <v>21</v>
      </c>
      <c r="BE8">
        <v>18</v>
      </c>
      <c r="BF8">
        <v>21</v>
      </c>
      <c r="BG8">
        <v>20</v>
      </c>
      <c r="BH8">
        <v>33</v>
      </c>
      <c r="BI8">
        <v>39</v>
      </c>
      <c r="BJ8">
        <v>43</v>
      </c>
      <c r="BK8">
        <v>38</v>
      </c>
      <c r="BL8">
        <v>41</v>
      </c>
      <c r="BM8">
        <v>40</v>
      </c>
      <c r="BN8">
        <v>58</v>
      </c>
      <c r="BO8">
        <v>86</v>
      </c>
      <c r="BP8">
        <v>82</v>
      </c>
      <c r="BQ8">
        <v>85</v>
      </c>
      <c r="BR8">
        <v>75</v>
      </c>
      <c r="BS8">
        <v>81</v>
      </c>
      <c r="BT8">
        <v>70</v>
      </c>
      <c r="BU8">
        <v>32</v>
      </c>
    </row>
    <row r="9" spans="1:73" x14ac:dyDescent="0.2">
      <c r="A9" s="235" t="s">
        <v>133</v>
      </c>
      <c r="B9">
        <v>2</v>
      </c>
      <c r="E9">
        <v>1</v>
      </c>
      <c r="F9">
        <v>1</v>
      </c>
      <c r="I9">
        <v>2</v>
      </c>
      <c r="J9">
        <v>1</v>
      </c>
      <c r="K9">
        <v>2</v>
      </c>
      <c r="L9">
        <v>2</v>
      </c>
      <c r="M9">
        <v>1</v>
      </c>
      <c r="N9">
        <v>1</v>
      </c>
      <c r="O9">
        <v>2</v>
      </c>
      <c r="Q9">
        <v>4</v>
      </c>
      <c r="R9">
        <v>1</v>
      </c>
      <c r="T9">
        <v>4</v>
      </c>
      <c r="U9">
        <v>4</v>
      </c>
      <c r="W9">
        <v>2</v>
      </c>
      <c r="X9">
        <v>1</v>
      </c>
      <c r="Z9">
        <v>40</v>
      </c>
      <c r="AA9">
        <v>29</v>
      </c>
      <c r="AB9">
        <v>38</v>
      </c>
      <c r="AC9">
        <v>30</v>
      </c>
      <c r="AD9">
        <v>20</v>
      </c>
      <c r="AE9">
        <v>30</v>
      </c>
      <c r="AF9">
        <v>18</v>
      </c>
      <c r="AG9">
        <v>10</v>
      </c>
      <c r="AH9">
        <v>26</v>
      </c>
      <c r="AI9">
        <v>24</v>
      </c>
      <c r="AJ9">
        <v>31</v>
      </c>
      <c r="AK9">
        <v>29</v>
      </c>
      <c r="AL9">
        <v>18</v>
      </c>
      <c r="AM9">
        <v>28</v>
      </c>
      <c r="AN9">
        <v>40</v>
      </c>
      <c r="AO9">
        <v>33</v>
      </c>
      <c r="AP9">
        <v>40</v>
      </c>
      <c r="AQ9">
        <v>75</v>
      </c>
      <c r="AR9">
        <v>60</v>
      </c>
      <c r="AS9">
        <v>84</v>
      </c>
      <c r="AT9">
        <v>73</v>
      </c>
      <c r="AU9">
        <v>68</v>
      </c>
      <c r="AV9">
        <v>50</v>
      </c>
      <c r="AW9">
        <v>53</v>
      </c>
      <c r="AX9">
        <v>42</v>
      </c>
      <c r="AY9">
        <v>29</v>
      </c>
      <c r="AZ9">
        <v>38</v>
      </c>
      <c r="BA9">
        <v>31</v>
      </c>
      <c r="BB9">
        <v>21</v>
      </c>
      <c r="BC9">
        <v>30</v>
      </c>
      <c r="BD9">
        <v>18</v>
      </c>
      <c r="BE9">
        <v>12</v>
      </c>
      <c r="BF9">
        <v>27</v>
      </c>
      <c r="BG9">
        <v>26</v>
      </c>
      <c r="BH9">
        <v>33</v>
      </c>
      <c r="BI9">
        <v>30</v>
      </c>
      <c r="BJ9">
        <v>19</v>
      </c>
      <c r="BK9">
        <v>30</v>
      </c>
      <c r="BL9">
        <v>40</v>
      </c>
      <c r="BM9">
        <v>37</v>
      </c>
      <c r="BN9">
        <v>41</v>
      </c>
      <c r="BO9">
        <v>75</v>
      </c>
      <c r="BP9">
        <v>64</v>
      </c>
      <c r="BQ9">
        <v>88</v>
      </c>
      <c r="BR9">
        <v>73</v>
      </c>
      <c r="BS9">
        <v>70</v>
      </c>
      <c r="BT9">
        <v>51</v>
      </c>
      <c r="BU9">
        <v>53</v>
      </c>
    </row>
    <row r="10" spans="1:73" x14ac:dyDescent="0.2">
      <c r="A10" s="235" t="s">
        <v>144</v>
      </c>
      <c r="B10">
        <v>1</v>
      </c>
      <c r="C10">
        <v>2</v>
      </c>
      <c r="D10">
        <v>1</v>
      </c>
      <c r="E10">
        <v>1</v>
      </c>
      <c r="F10">
        <v>1</v>
      </c>
      <c r="G10">
        <v>1</v>
      </c>
      <c r="H10">
        <v>3</v>
      </c>
      <c r="I10">
        <v>1</v>
      </c>
      <c r="J10">
        <v>1</v>
      </c>
      <c r="L10">
        <v>1</v>
      </c>
      <c r="M10">
        <v>4</v>
      </c>
      <c r="O10">
        <v>1</v>
      </c>
      <c r="P10">
        <v>4</v>
      </c>
      <c r="Q10">
        <v>3</v>
      </c>
      <c r="R10">
        <v>3</v>
      </c>
      <c r="S10">
        <v>1</v>
      </c>
      <c r="T10">
        <v>5</v>
      </c>
      <c r="U10">
        <v>2</v>
      </c>
      <c r="V10">
        <v>1</v>
      </c>
      <c r="W10">
        <v>1</v>
      </c>
      <c r="Y10">
        <v>1</v>
      </c>
      <c r="Z10">
        <v>34</v>
      </c>
      <c r="AA10">
        <v>38</v>
      </c>
      <c r="AB10">
        <v>42</v>
      </c>
      <c r="AC10">
        <v>43</v>
      </c>
      <c r="AD10">
        <v>27</v>
      </c>
      <c r="AE10">
        <v>18</v>
      </c>
      <c r="AF10">
        <v>25</v>
      </c>
      <c r="AG10">
        <v>15</v>
      </c>
      <c r="AH10">
        <v>32</v>
      </c>
      <c r="AI10">
        <v>19</v>
      </c>
      <c r="AJ10">
        <v>22</v>
      </c>
      <c r="AK10">
        <v>28</v>
      </c>
      <c r="AL10">
        <v>28</v>
      </c>
      <c r="AM10">
        <v>39</v>
      </c>
      <c r="AN10">
        <v>54</v>
      </c>
      <c r="AO10">
        <v>55</v>
      </c>
      <c r="AP10">
        <v>63</v>
      </c>
      <c r="AQ10">
        <v>75</v>
      </c>
      <c r="AR10">
        <v>79</v>
      </c>
      <c r="AS10">
        <v>71</v>
      </c>
      <c r="AT10">
        <v>70</v>
      </c>
      <c r="AU10">
        <v>68</v>
      </c>
      <c r="AV10">
        <v>51</v>
      </c>
      <c r="AW10">
        <v>67</v>
      </c>
      <c r="AX10">
        <v>35</v>
      </c>
      <c r="AY10">
        <v>40</v>
      </c>
      <c r="AZ10">
        <v>43</v>
      </c>
      <c r="BA10">
        <v>44</v>
      </c>
      <c r="BB10">
        <v>28</v>
      </c>
      <c r="BC10">
        <v>19</v>
      </c>
      <c r="BD10">
        <v>28</v>
      </c>
      <c r="BE10">
        <v>16</v>
      </c>
      <c r="BF10">
        <v>33</v>
      </c>
      <c r="BG10">
        <v>19</v>
      </c>
      <c r="BH10">
        <v>23</v>
      </c>
      <c r="BI10">
        <v>32</v>
      </c>
      <c r="BJ10">
        <v>28</v>
      </c>
      <c r="BK10">
        <v>40</v>
      </c>
      <c r="BL10">
        <v>58</v>
      </c>
      <c r="BM10">
        <v>58</v>
      </c>
      <c r="BN10">
        <v>66</v>
      </c>
      <c r="BO10">
        <v>76</v>
      </c>
      <c r="BP10">
        <v>84</v>
      </c>
      <c r="BQ10">
        <v>73</v>
      </c>
      <c r="BR10">
        <v>71</v>
      </c>
      <c r="BS10">
        <v>69</v>
      </c>
      <c r="BT10">
        <v>51</v>
      </c>
      <c r="BU10">
        <v>68</v>
      </c>
    </row>
    <row r="11" spans="1:73" x14ac:dyDescent="0.2">
      <c r="A11" s="235" t="s">
        <v>282</v>
      </c>
      <c r="C11">
        <v>3</v>
      </c>
      <c r="D11">
        <v>2</v>
      </c>
      <c r="E11">
        <v>1</v>
      </c>
      <c r="G11">
        <v>3</v>
      </c>
      <c r="H11">
        <v>2</v>
      </c>
      <c r="I11">
        <v>5</v>
      </c>
      <c r="K11">
        <v>3</v>
      </c>
      <c r="L11">
        <v>2</v>
      </c>
      <c r="M11">
        <v>1</v>
      </c>
      <c r="N11">
        <v>1</v>
      </c>
      <c r="O11">
        <v>1</v>
      </c>
      <c r="R11">
        <v>3</v>
      </c>
      <c r="S11">
        <v>2</v>
      </c>
      <c r="T11">
        <v>1</v>
      </c>
      <c r="U11">
        <v>3</v>
      </c>
      <c r="V11">
        <v>1</v>
      </c>
      <c r="Y11">
        <v>2</v>
      </c>
      <c r="Z11">
        <v>52</v>
      </c>
      <c r="AA11">
        <v>61</v>
      </c>
      <c r="AB11">
        <v>45</v>
      </c>
      <c r="AC11">
        <v>37</v>
      </c>
      <c r="AD11">
        <v>42</v>
      </c>
      <c r="AE11">
        <v>24</v>
      </c>
      <c r="AF11">
        <v>32</v>
      </c>
      <c r="AG11">
        <v>26</v>
      </c>
      <c r="AH11">
        <v>30</v>
      </c>
      <c r="AI11">
        <v>30</v>
      </c>
      <c r="AJ11">
        <v>27</v>
      </c>
      <c r="AK11">
        <v>50</v>
      </c>
      <c r="AL11">
        <v>22</v>
      </c>
      <c r="AM11">
        <v>35</v>
      </c>
      <c r="AN11">
        <v>43</v>
      </c>
      <c r="AO11">
        <v>37</v>
      </c>
      <c r="AP11">
        <v>73</v>
      </c>
      <c r="AQ11">
        <v>72</v>
      </c>
      <c r="AR11">
        <v>53</v>
      </c>
      <c r="AS11">
        <v>78</v>
      </c>
      <c r="AT11">
        <v>61</v>
      </c>
      <c r="AU11">
        <v>60</v>
      </c>
      <c r="AV11">
        <v>65</v>
      </c>
      <c r="AW11">
        <v>60</v>
      </c>
      <c r="AX11">
        <v>52</v>
      </c>
      <c r="AY11">
        <v>64</v>
      </c>
      <c r="AZ11">
        <v>47</v>
      </c>
      <c r="BA11">
        <v>38</v>
      </c>
      <c r="BB11">
        <v>42</v>
      </c>
      <c r="BC11">
        <v>27</v>
      </c>
      <c r="BD11">
        <v>34</v>
      </c>
      <c r="BE11">
        <v>31</v>
      </c>
      <c r="BF11">
        <v>30</v>
      </c>
      <c r="BG11">
        <v>33</v>
      </c>
      <c r="BH11">
        <v>29</v>
      </c>
      <c r="BI11">
        <v>51</v>
      </c>
      <c r="BJ11">
        <v>23</v>
      </c>
      <c r="BK11">
        <v>36</v>
      </c>
      <c r="BL11">
        <v>43</v>
      </c>
      <c r="BM11">
        <v>37</v>
      </c>
      <c r="BN11">
        <v>76</v>
      </c>
      <c r="BO11">
        <v>74</v>
      </c>
      <c r="BP11">
        <v>54</v>
      </c>
      <c r="BQ11">
        <v>81</v>
      </c>
      <c r="BR11">
        <v>62</v>
      </c>
      <c r="BS11">
        <v>60</v>
      </c>
      <c r="BT11">
        <v>65</v>
      </c>
      <c r="BU11">
        <v>62</v>
      </c>
    </row>
    <row r="12" spans="1:73" x14ac:dyDescent="0.2">
      <c r="A12" s="235" t="s">
        <v>311</v>
      </c>
      <c r="B12">
        <v>4</v>
      </c>
      <c r="C12">
        <v>1</v>
      </c>
      <c r="D12">
        <v>3</v>
      </c>
      <c r="E12">
        <v>1</v>
      </c>
      <c r="I12">
        <v>1</v>
      </c>
      <c r="J12">
        <v>4</v>
      </c>
      <c r="K12">
        <v>1</v>
      </c>
      <c r="N12">
        <v>3</v>
      </c>
      <c r="O12">
        <v>2</v>
      </c>
      <c r="P12">
        <v>2</v>
      </c>
      <c r="R12">
        <v>3</v>
      </c>
      <c r="S12">
        <v>3</v>
      </c>
      <c r="U12">
        <v>4</v>
      </c>
      <c r="V12">
        <v>1</v>
      </c>
      <c r="W12">
        <v>2</v>
      </c>
      <c r="X12">
        <v>1</v>
      </c>
      <c r="Y12">
        <v>1</v>
      </c>
      <c r="Z12">
        <v>51</v>
      </c>
      <c r="AA12">
        <v>31</v>
      </c>
      <c r="AB12">
        <v>30</v>
      </c>
      <c r="AC12">
        <v>30</v>
      </c>
      <c r="AD12">
        <v>26</v>
      </c>
      <c r="AE12">
        <v>25</v>
      </c>
      <c r="AF12">
        <v>14</v>
      </c>
      <c r="AG12">
        <v>16</v>
      </c>
      <c r="AH12">
        <v>28</v>
      </c>
      <c r="AI12">
        <v>16</v>
      </c>
      <c r="AJ12">
        <v>26</v>
      </c>
      <c r="AK12">
        <v>33</v>
      </c>
      <c r="AL12">
        <v>27</v>
      </c>
      <c r="AM12">
        <v>37</v>
      </c>
      <c r="AN12">
        <v>37</v>
      </c>
      <c r="AO12">
        <v>43</v>
      </c>
      <c r="AP12">
        <v>55</v>
      </c>
      <c r="AQ12">
        <v>78</v>
      </c>
      <c r="AR12">
        <v>64</v>
      </c>
      <c r="AS12">
        <v>48</v>
      </c>
      <c r="AT12">
        <v>57</v>
      </c>
      <c r="AU12">
        <v>52</v>
      </c>
      <c r="AV12">
        <v>52</v>
      </c>
      <c r="AW12">
        <v>45</v>
      </c>
      <c r="AX12">
        <v>55</v>
      </c>
      <c r="AY12">
        <v>32</v>
      </c>
      <c r="AZ12">
        <v>33</v>
      </c>
      <c r="BA12">
        <v>31</v>
      </c>
      <c r="BB12">
        <v>26</v>
      </c>
      <c r="BC12">
        <v>25</v>
      </c>
      <c r="BD12">
        <v>14</v>
      </c>
      <c r="BE12">
        <v>17</v>
      </c>
      <c r="BF12">
        <v>32</v>
      </c>
      <c r="BG12">
        <v>17</v>
      </c>
      <c r="BH12">
        <v>26</v>
      </c>
      <c r="BI12">
        <v>33</v>
      </c>
      <c r="BJ12">
        <v>30</v>
      </c>
      <c r="BK12">
        <v>39</v>
      </c>
      <c r="BL12">
        <v>39</v>
      </c>
      <c r="BM12">
        <v>43</v>
      </c>
      <c r="BN12">
        <v>58</v>
      </c>
      <c r="BO12">
        <v>81</v>
      </c>
      <c r="BP12">
        <v>64</v>
      </c>
      <c r="BQ12">
        <v>52</v>
      </c>
      <c r="BR12">
        <v>58</v>
      </c>
      <c r="BS12">
        <v>54</v>
      </c>
      <c r="BT12">
        <v>53</v>
      </c>
      <c r="BU12">
        <v>46</v>
      </c>
    </row>
    <row r="13" spans="1:73" x14ac:dyDescent="0.2">
      <c r="A13" s="235" t="s">
        <v>621</v>
      </c>
      <c r="D13">
        <v>3</v>
      </c>
      <c r="E13">
        <v>2</v>
      </c>
      <c r="F13">
        <v>3</v>
      </c>
      <c r="G13">
        <v>3</v>
      </c>
      <c r="H13">
        <v>1</v>
      </c>
      <c r="I13">
        <v>4</v>
      </c>
      <c r="N13">
        <v>3</v>
      </c>
      <c r="O13">
        <v>2</v>
      </c>
      <c r="Q13">
        <v>4</v>
      </c>
      <c r="R13">
        <v>3</v>
      </c>
      <c r="T13">
        <v>1</v>
      </c>
      <c r="U13">
        <v>1</v>
      </c>
      <c r="V13">
        <v>2</v>
      </c>
      <c r="W13">
        <v>3</v>
      </c>
      <c r="X13">
        <v>3</v>
      </c>
      <c r="Y13">
        <v>2</v>
      </c>
      <c r="Z13">
        <v>47</v>
      </c>
      <c r="AA13">
        <v>60</v>
      </c>
      <c r="AB13">
        <v>36</v>
      </c>
      <c r="AC13">
        <v>52</v>
      </c>
      <c r="AD13">
        <v>26</v>
      </c>
      <c r="AE13">
        <v>20</v>
      </c>
      <c r="AF13">
        <v>19</v>
      </c>
      <c r="AG13">
        <v>24</v>
      </c>
      <c r="AH13">
        <v>20</v>
      </c>
      <c r="AI13">
        <v>27</v>
      </c>
      <c r="AJ13">
        <v>15</v>
      </c>
      <c r="AK13">
        <v>24</v>
      </c>
      <c r="AL13">
        <v>34</v>
      </c>
      <c r="AM13">
        <v>37</v>
      </c>
      <c r="AN13">
        <v>32</v>
      </c>
      <c r="AO13">
        <v>40</v>
      </c>
      <c r="AP13">
        <v>77</v>
      </c>
      <c r="AQ13">
        <v>63</v>
      </c>
      <c r="AR13">
        <v>77</v>
      </c>
      <c r="AS13">
        <v>70</v>
      </c>
      <c r="AT13">
        <v>57</v>
      </c>
      <c r="AU13">
        <v>50</v>
      </c>
      <c r="AV13">
        <v>50</v>
      </c>
      <c r="AW13">
        <v>59</v>
      </c>
      <c r="AX13">
        <v>47</v>
      </c>
      <c r="AY13">
        <v>60</v>
      </c>
      <c r="AZ13">
        <v>39</v>
      </c>
      <c r="BA13">
        <v>54</v>
      </c>
      <c r="BB13">
        <v>29</v>
      </c>
      <c r="BC13">
        <v>23</v>
      </c>
      <c r="BD13">
        <v>20</v>
      </c>
      <c r="BE13">
        <v>28</v>
      </c>
      <c r="BF13">
        <v>20</v>
      </c>
      <c r="BG13">
        <v>27</v>
      </c>
      <c r="BH13">
        <v>15</v>
      </c>
      <c r="BI13">
        <v>24</v>
      </c>
      <c r="BJ13">
        <v>37</v>
      </c>
      <c r="BK13">
        <v>39</v>
      </c>
      <c r="BL13">
        <v>32</v>
      </c>
      <c r="BM13">
        <v>44</v>
      </c>
      <c r="BN13">
        <v>80</v>
      </c>
      <c r="BO13">
        <v>63</v>
      </c>
      <c r="BP13">
        <v>78</v>
      </c>
      <c r="BQ13">
        <v>71</v>
      </c>
      <c r="BR13">
        <v>59</v>
      </c>
      <c r="BS13">
        <v>53</v>
      </c>
      <c r="BT13">
        <v>53</v>
      </c>
      <c r="BU13">
        <v>61</v>
      </c>
    </row>
    <row r="14" spans="1:73" x14ac:dyDescent="0.2">
      <c r="A14" s="235" t="s">
        <v>1419</v>
      </c>
      <c r="B14">
        <v>1</v>
      </c>
      <c r="C14">
        <v>3</v>
      </c>
      <c r="D14">
        <v>1</v>
      </c>
      <c r="F14">
        <v>1</v>
      </c>
      <c r="G14">
        <v>1</v>
      </c>
      <c r="J14">
        <v>1</v>
      </c>
      <c r="K14">
        <v>2</v>
      </c>
      <c r="N14">
        <v>1</v>
      </c>
      <c r="O14">
        <v>1</v>
      </c>
      <c r="P14">
        <v>2</v>
      </c>
      <c r="R14">
        <v>2</v>
      </c>
      <c r="T14">
        <v>2</v>
      </c>
      <c r="U14">
        <v>1</v>
      </c>
      <c r="X14">
        <v>1</v>
      </c>
      <c r="Y14">
        <v>1</v>
      </c>
      <c r="Z14">
        <v>36</v>
      </c>
      <c r="AA14">
        <v>44</v>
      </c>
      <c r="AB14">
        <v>39</v>
      </c>
      <c r="AC14">
        <v>26</v>
      </c>
      <c r="AD14">
        <v>31</v>
      </c>
      <c r="AE14">
        <v>11</v>
      </c>
      <c r="AF14">
        <v>24</v>
      </c>
      <c r="AG14">
        <v>16</v>
      </c>
      <c r="AH14">
        <v>24</v>
      </c>
      <c r="AI14">
        <v>37</v>
      </c>
      <c r="AJ14">
        <v>22</v>
      </c>
      <c r="AK14">
        <v>22</v>
      </c>
      <c r="AL14">
        <v>22</v>
      </c>
      <c r="AM14">
        <v>19</v>
      </c>
      <c r="AN14">
        <v>35</v>
      </c>
      <c r="AO14">
        <v>29</v>
      </c>
      <c r="AP14">
        <v>55</v>
      </c>
      <c r="AQ14">
        <v>55</v>
      </c>
      <c r="AR14">
        <v>71</v>
      </c>
      <c r="AS14">
        <v>55</v>
      </c>
      <c r="AT14">
        <v>57</v>
      </c>
      <c r="AU14">
        <v>45</v>
      </c>
      <c r="AV14">
        <v>58</v>
      </c>
      <c r="AW14">
        <v>44</v>
      </c>
      <c r="AX14">
        <v>37</v>
      </c>
      <c r="AY14">
        <v>47</v>
      </c>
      <c r="AZ14">
        <v>40</v>
      </c>
      <c r="BA14">
        <v>26</v>
      </c>
      <c r="BB14">
        <v>32</v>
      </c>
      <c r="BC14">
        <v>12</v>
      </c>
      <c r="BD14">
        <v>24</v>
      </c>
      <c r="BE14">
        <v>16</v>
      </c>
      <c r="BF14">
        <v>25</v>
      </c>
      <c r="BG14">
        <v>39</v>
      </c>
      <c r="BH14">
        <v>22</v>
      </c>
      <c r="BI14">
        <v>22</v>
      </c>
      <c r="BJ14">
        <v>23</v>
      </c>
      <c r="BK14">
        <v>20</v>
      </c>
      <c r="BL14">
        <v>37</v>
      </c>
      <c r="BM14">
        <v>29</v>
      </c>
      <c r="BN14">
        <v>57</v>
      </c>
      <c r="BO14">
        <v>55</v>
      </c>
      <c r="BP14">
        <v>73</v>
      </c>
      <c r="BQ14">
        <v>56</v>
      </c>
      <c r="BR14">
        <v>57</v>
      </c>
      <c r="BS14">
        <v>45</v>
      </c>
      <c r="BT14">
        <v>59</v>
      </c>
      <c r="BU14">
        <v>45</v>
      </c>
    </row>
    <row r="15" spans="1:73" x14ac:dyDescent="0.2">
      <c r="A15" s="235" t="s">
        <v>1572</v>
      </c>
      <c r="B15">
        <v>4</v>
      </c>
      <c r="D15">
        <v>1</v>
      </c>
      <c r="E15">
        <v>4</v>
      </c>
      <c r="F15">
        <v>1</v>
      </c>
      <c r="G15">
        <v>1</v>
      </c>
      <c r="H15">
        <v>1</v>
      </c>
      <c r="I15">
        <v>1</v>
      </c>
      <c r="J15">
        <v>1</v>
      </c>
      <c r="L15">
        <v>1</v>
      </c>
      <c r="M15">
        <v>2</v>
      </c>
      <c r="N15">
        <v>3</v>
      </c>
      <c r="O15">
        <v>2</v>
      </c>
      <c r="P15">
        <v>1</v>
      </c>
      <c r="Q15">
        <v>3</v>
      </c>
      <c r="R15">
        <v>1</v>
      </c>
      <c r="S15">
        <v>2</v>
      </c>
      <c r="T15">
        <v>2</v>
      </c>
      <c r="V15">
        <v>3</v>
      </c>
      <c r="W15">
        <v>5</v>
      </c>
      <c r="X15">
        <v>2</v>
      </c>
      <c r="Y15">
        <v>3</v>
      </c>
      <c r="Z15">
        <v>24</v>
      </c>
      <c r="AA15">
        <v>25</v>
      </c>
      <c r="AB15">
        <v>32</v>
      </c>
      <c r="AC15">
        <v>31</v>
      </c>
      <c r="AD15">
        <v>27</v>
      </c>
      <c r="AE15">
        <v>11</v>
      </c>
      <c r="AF15">
        <v>15</v>
      </c>
      <c r="AG15">
        <v>13</v>
      </c>
      <c r="AH15">
        <v>9</v>
      </c>
      <c r="AI15">
        <v>22</v>
      </c>
      <c r="AJ15">
        <v>20</v>
      </c>
      <c r="AK15">
        <v>36</v>
      </c>
      <c r="AL15">
        <v>40</v>
      </c>
      <c r="AM15">
        <v>44</v>
      </c>
      <c r="AN15">
        <v>37</v>
      </c>
      <c r="AO15">
        <v>38</v>
      </c>
      <c r="AP15">
        <v>50</v>
      </c>
      <c r="AQ15">
        <v>72</v>
      </c>
      <c r="AR15">
        <v>50</v>
      </c>
      <c r="AS15">
        <v>54</v>
      </c>
      <c r="AT15">
        <v>69</v>
      </c>
      <c r="AU15">
        <v>57</v>
      </c>
      <c r="AV15">
        <v>47</v>
      </c>
      <c r="AW15">
        <v>53</v>
      </c>
      <c r="AX15">
        <v>28</v>
      </c>
      <c r="AY15">
        <v>25</v>
      </c>
      <c r="AZ15">
        <v>33</v>
      </c>
      <c r="BA15">
        <v>35</v>
      </c>
      <c r="BB15">
        <v>28</v>
      </c>
      <c r="BC15">
        <v>12</v>
      </c>
      <c r="BD15">
        <v>16</v>
      </c>
      <c r="BE15">
        <v>14</v>
      </c>
      <c r="BF15">
        <v>10</v>
      </c>
      <c r="BG15">
        <v>22</v>
      </c>
      <c r="BH15">
        <v>21</v>
      </c>
      <c r="BI15">
        <v>38</v>
      </c>
      <c r="BJ15">
        <v>43</v>
      </c>
      <c r="BK15">
        <v>46</v>
      </c>
      <c r="BL15">
        <v>38</v>
      </c>
      <c r="BM15">
        <v>41</v>
      </c>
      <c r="BN15">
        <v>51</v>
      </c>
      <c r="BO15">
        <v>74</v>
      </c>
      <c r="BP15">
        <v>52</v>
      </c>
      <c r="BQ15">
        <v>54</v>
      </c>
      <c r="BR15">
        <v>72</v>
      </c>
      <c r="BS15">
        <v>62</v>
      </c>
      <c r="BT15">
        <v>49</v>
      </c>
      <c r="BU15">
        <v>56</v>
      </c>
    </row>
    <row r="16" spans="1:73" x14ac:dyDescent="0.2">
      <c r="A16" s="235" t="s">
        <v>333</v>
      </c>
      <c r="B16">
        <v>20</v>
      </c>
      <c r="C16">
        <v>21</v>
      </c>
      <c r="D16">
        <v>28</v>
      </c>
      <c r="E16">
        <v>25</v>
      </c>
      <c r="F16">
        <v>16</v>
      </c>
      <c r="G16">
        <v>23</v>
      </c>
      <c r="H16">
        <v>14</v>
      </c>
      <c r="I16">
        <v>23</v>
      </c>
      <c r="J16">
        <v>17</v>
      </c>
      <c r="K16">
        <v>11</v>
      </c>
      <c r="L16">
        <v>15</v>
      </c>
      <c r="M16">
        <v>16</v>
      </c>
      <c r="N16">
        <v>19</v>
      </c>
      <c r="O16">
        <v>18</v>
      </c>
      <c r="P16">
        <v>14</v>
      </c>
      <c r="Q16">
        <v>20</v>
      </c>
      <c r="R16">
        <v>27</v>
      </c>
      <c r="S16">
        <v>16</v>
      </c>
      <c r="T16">
        <v>26</v>
      </c>
      <c r="U16">
        <v>20</v>
      </c>
      <c r="V16">
        <v>15</v>
      </c>
      <c r="W16">
        <v>21</v>
      </c>
      <c r="X16">
        <v>21</v>
      </c>
      <c r="Y16">
        <v>20</v>
      </c>
      <c r="Z16">
        <v>567</v>
      </c>
      <c r="AA16">
        <v>524</v>
      </c>
      <c r="AB16">
        <v>512</v>
      </c>
      <c r="AC16">
        <v>466</v>
      </c>
      <c r="AD16">
        <v>382</v>
      </c>
      <c r="AE16">
        <v>274</v>
      </c>
      <c r="AF16">
        <v>240</v>
      </c>
      <c r="AG16">
        <v>234</v>
      </c>
      <c r="AH16">
        <v>269</v>
      </c>
      <c r="AI16">
        <v>314</v>
      </c>
      <c r="AJ16">
        <v>295</v>
      </c>
      <c r="AK16">
        <v>372</v>
      </c>
      <c r="AL16">
        <v>384</v>
      </c>
      <c r="AM16">
        <v>411</v>
      </c>
      <c r="AN16">
        <v>462</v>
      </c>
      <c r="AO16">
        <v>475</v>
      </c>
      <c r="AP16">
        <v>711</v>
      </c>
      <c r="AQ16">
        <v>874</v>
      </c>
      <c r="AR16">
        <v>899</v>
      </c>
      <c r="AS16">
        <v>868</v>
      </c>
      <c r="AT16">
        <v>829</v>
      </c>
      <c r="AU16">
        <v>776</v>
      </c>
      <c r="AV16">
        <v>700</v>
      </c>
      <c r="AW16">
        <v>676</v>
      </c>
      <c r="AX16">
        <v>587</v>
      </c>
      <c r="AY16">
        <v>545</v>
      </c>
      <c r="AZ16">
        <v>540</v>
      </c>
      <c r="BA16">
        <v>491</v>
      </c>
      <c r="BB16">
        <v>398</v>
      </c>
      <c r="BC16">
        <v>297</v>
      </c>
      <c r="BD16">
        <v>254</v>
      </c>
      <c r="BE16">
        <v>257</v>
      </c>
      <c r="BF16">
        <v>286</v>
      </c>
      <c r="BG16">
        <v>325</v>
      </c>
      <c r="BH16">
        <v>310</v>
      </c>
      <c r="BI16">
        <v>388</v>
      </c>
      <c r="BJ16">
        <v>403</v>
      </c>
      <c r="BK16">
        <v>429</v>
      </c>
      <c r="BL16">
        <v>476</v>
      </c>
      <c r="BM16">
        <v>495</v>
      </c>
      <c r="BN16">
        <v>738</v>
      </c>
      <c r="BO16">
        <v>890</v>
      </c>
      <c r="BP16">
        <v>925</v>
      </c>
      <c r="BQ16">
        <v>888</v>
      </c>
      <c r="BR16">
        <v>844</v>
      </c>
      <c r="BS16">
        <v>797</v>
      </c>
      <c r="BT16">
        <v>721</v>
      </c>
      <c r="BU16">
        <v>696</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tabColor rgb="FFFFAFF0"/>
    <pageSetUpPr fitToPage="1"/>
  </sheetPr>
  <dimension ref="A1:P37"/>
  <sheetViews>
    <sheetView showGridLines="0" zoomScaleNormal="100" workbookViewId="0">
      <pane ySplit="2" topLeftCell="A3" activePane="bottomLeft" state="frozen"/>
      <selection activeCellId="1" sqref="A1 A1"/>
      <selection pane="bottomLeft"/>
    </sheetView>
  </sheetViews>
  <sheetFormatPr defaultRowHeight="13.5" customHeight="1" x14ac:dyDescent="0.2"/>
  <cols>
    <col min="1" max="1" width="18.140625" customWidth="1"/>
    <col min="2" max="2" width="12.28515625" customWidth="1"/>
    <col min="3" max="3" width="17.5703125" customWidth="1"/>
    <col min="4" max="4" width="11" customWidth="1"/>
    <col min="5" max="5" width="11.42578125" customWidth="1"/>
    <col min="6" max="6" width="11.5703125" customWidth="1"/>
    <col min="7" max="7" width="17.7109375" customWidth="1"/>
    <col min="8" max="8" width="10.140625" customWidth="1"/>
    <col min="9" max="9" width="11" customWidth="1"/>
    <col min="10" max="10" width="11.7109375" customWidth="1"/>
    <col min="11" max="11" width="17" customWidth="1"/>
    <col min="12" max="12" width="13.5703125" customWidth="1"/>
    <col min="13" max="13" width="10.140625" customWidth="1"/>
    <col min="14" max="14" width="11.5703125" customWidth="1"/>
    <col min="15" max="15" width="18.5703125" customWidth="1"/>
    <col min="16" max="16" width="2.42578125" customWidth="1"/>
  </cols>
  <sheetData>
    <row r="1" spans="1:16" ht="15.75" customHeight="1" x14ac:dyDescent="0.2">
      <c r="A1" s="298" t="s">
        <v>1129</v>
      </c>
    </row>
    <row r="2" spans="1:16" ht="15.75" customHeight="1" x14ac:dyDescent="0.2">
      <c r="A2" s="106" t="s">
        <v>578</v>
      </c>
    </row>
    <row r="3" spans="1:16" ht="38.25" customHeight="1" x14ac:dyDescent="0.2">
      <c r="A3" s="120" t="s">
        <v>1078</v>
      </c>
      <c r="B3" s="120"/>
      <c r="C3" s="120"/>
      <c r="D3" s="120"/>
      <c r="E3" s="120"/>
      <c r="F3" s="120"/>
      <c r="G3" s="120"/>
      <c r="H3" s="120"/>
      <c r="I3" s="120"/>
      <c r="J3" s="120"/>
      <c r="K3" s="120"/>
      <c r="L3" s="120"/>
      <c r="M3" s="120"/>
      <c r="N3" s="120"/>
      <c r="O3" s="120"/>
      <c r="P3" s="120"/>
    </row>
    <row r="4" spans="1:16" ht="15" customHeight="1" x14ac:dyDescent="0.25">
      <c r="A4" s="351" t="s">
        <v>579</v>
      </c>
      <c r="B4" s="1187" t="s">
        <v>1306</v>
      </c>
      <c r="D4" s="129"/>
      <c r="E4" s="129"/>
      <c r="F4" s="129"/>
      <c r="G4" s="129"/>
      <c r="H4" s="129"/>
      <c r="I4" s="129"/>
      <c r="J4" s="129"/>
      <c r="K4" s="129"/>
      <c r="L4" s="129"/>
      <c r="M4" s="129"/>
      <c r="N4" s="129"/>
      <c r="O4" s="129"/>
      <c r="P4" s="129"/>
    </row>
    <row r="5" spans="1:16" ht="15" customHeight="1" x14ac:dyDescent="0.25">
      <c r="A5" s="351" t="s">
        <v>580</v>
      </c>
      <c r="B5" s="351" t="s">
        <v>581</v>
      </c>
      <c r="C5" s="129"/>
      <c r="D5" s="129"/>
      <c r="E5" s="129"/>
      <c r="F5" s="129"/>
      <c r="G5" s="129"/>
      <c r="H5" s="129"/>
      <c r="I5" s="129"/>
      <c r="J5" s="129"/>
      <c r="K5" s="129"/>
      <c r="L5" s="129"/>
      <c r="M5" s="129"/>
      <c r="N5" s="129"/>
      <c r="O5" s="129"/>
      <c r="P5" s="129"/>
    </row>
    <row r="6" spans="1:16" ht="15" customHeight="1" x14ac:dyDescent="0.25">
      <c r="A6" s="351" t="s">
        <v>582</v>
      </c>
      <c r="B6" s="351" t="s">
        <v>585</v>
      </c>
      <c r="C6" s="129"/>
      <c r="D6" s="129"/>
      <c r="E6" s="129"/>
      <c r="F6" s="129"/>
      <c r="G6" s="129"/>
      <c r="H6" s="129"/>
      <c r="I6" s="129"/>
      <c r="J6" s="129"/>
      <c r="K6" s="129"/>
      <c r="L6" s="129"/>
      <c r="M6" s="129"/>
      <c r="N6" s="129"/>
      <c r="O6" s="129"/>
      <c r="P6" s="129"/>
    </row>
    <row r="7" spans="1:16" ht="13.5" customHeight="1" x14ac:dyDescent="0.25">
      <c r="A7" s="1"/>
      <c r="B7" s="1"/>
      <c r="C7" s="1"/>
      <c r="D7" s="1"/>
      <c r="E7" s="1"/>
      <c r="F7" s="1"/>
      <c r="G7" s="1"/>
      <c r="H7" s="83" t="s">
        <v>0</v>
      </c>
      <c r="I7" s="1"/>
      <c r="J7" s="1"/>
      <c r="K7" s="1"/>
      <c r="L7" s="1"/>
      <c r="M7" s="1"/>
      <c r="N7" s="1"/>
      <c r="O7" s="60" t="s">
        <v>62</v>
      </c>
      <c r="P7" s="157"/>
    </row>
    <row r="8" spans="1:16" ht="13.5" customHeight="1" x14ac:dyDescent="0.2">
      <c r="A8" s="1317" t="s">
        <v>4</v>
      </c>
      <c r="B8" s="1316" t="s">
        <v>213</v>
      </c>
      <c r="C8" s="1316"/>
      <c r="D8" s="1316"/>
      <c r="E8" s="1316"/>
      <c r="F8" s="1316"/>
      <c r="G8" s="1316"/>
      <c r="H8" s="1073"/>
      <c r="I8" s="1"/>
      <c r="J8" s="1316" t="s">
        <v>213</v>
      </c>
      <c r="K8" s="1316"/>
      <c r="L8" s="1316"/>
      <c r="M8" s="1316"/>
      <c r="N8" s="1316"/>
      <c r="O8" s="1316"/>
      <c r="P8" s="157"/>
    </row>
    <row r="9" spans="1:16" ht="41.25" customHeight="1" x14ac:dyDescent="0.2">
      <c r="A9" s="1317"/>
      <c r="B9" s="145" t="s">
        <v>214</v>
      </c>
      <c r="C9" s="145" t="s">
        <v>215</v>
      </c>
      <c r="D9" s="145" t="s">
        <v>216</v>
      </c>
      <c r="E9" s="145" t="s">
        <v>1574</v>
      </c>
      <c r="F9" s="145" t="s">
        <v>201</v>
      </c>
      <c r="G9" s="145" t="s">
        <v>321</v>
      </c>
      <c r="H9" s="145" t="s">
        <v>268</v>
      </c>
      <c r="I9" s="191"/>
      <c r="J9" s="145" t="s">
        <v>214</v>
      </c>
      <c r="K9" s="145" t="s">
        <v>215</v>
      </c>
      <c r="L9" s="145" t="s">
        <v>216</v>
      </c>
      <c r="M9" s="145" t="s">
        <v>1574</v>
      </c>
      <c r="N9" s="145" t="s">
        <v>201</v>
      </c>
      <c r="O9" s="145" t="s">
        <v>321</v>
      </c>
      <c r="P9" s="158"/>
    </row>
    <row r="10" spans="1:16" ht="13.5" customHeight="1" x14ac:dyDescent="0.2">
      <c r="A10" s="446" t="str">
        <f>Sheet1!A4</f>
        <v>2009-10</v>
      </c>
      <c r="B10" s="789">
        <f>Sheet1!B4</f>
        <v>1387</v>
      </c>
      <c r="C10" s="789">
        <f>Sheet1!C4</f>
        <v>1249</v>
      </c>
      <c r="D10" s="789">
        <f>Sheet1!D4</f>
        <v>607</v>
      </c>
      <c r="E10" s="789">
        <f>Sheet1!E4</f>
        <v>85</v>
      </c>
      <c r="F10" s="789">
        <f>Sheet1!F4</f>
        <v>268</v>
      </c>
      <c r="G10" s="789">
        <f>Sheet1!G4</f>
        <v>2964</v>
      </c>
      <c r="H10" s="413">
        <f>SUM(B10:G10)</f>
        <v>6560</v>
      </c>
      <c r="I10" s="191"/>
      <c r="J10" s="781">
        <f>B10/H10*100</f>
        <v>21.143292682926827</v>
      </c>
      <c r="K10" s="781">
        <f>C10/H10*100</f>
        <v>19.039634146341463</v>
      </c>
      <c r="L10" s="781">
        <f>D10/H10*100</f>
        <v>9.2530487804878057</v>
      </c>
      <c r="M10" s="781">
        <f>E10/H10*100</f>
        <v>1.2957317073170731</v>
      </c>
      <c r="N10" s="781">
        <f>F10/H10*100</f>
        <v>4.0853658536585371</v>
      </c>
      <c r="O10" s="781">
        <f>G10/H10*100</f>
        <v>45.182926829268297</v>
      </c>
      <c r="P10" s="159"/>
    </row>
    <row r="11" spans="1:16" ht="13.5" customHeight="1" x14ac:dyDescent="0.2">
      <c r="A11" s="2" t="str">
        <f>Sheet1!A5</f>
        <v>2010-11</v>
      </c>
      <c r="B11" s="15">
        <f>Sheet1!B5</f>
        <v>1511</v>
      </c>
      <c r="C11" s="15">
        <f>Sheet1!C5</f>
        <v>1254</v>
      </c>
      <c r="D11" s="15">
        <f>Sheet1!D5</f>
        <v>595</v>
      </c>
      <c r="E11" s="15">
        <f>Sheet1!E5</f>
        <v>113</v>
      </c>
      <c r="F11" s="15">
        <f>Sheet1!F5</f>
        <v>265</v>
      </c>
      <c r="G11" s="15">
        <f>Sheet1!G5</f>
        <v>2555</v>
      </c>
      <c r="H11" s="21">
        <f t="shared" ref="H11:H16" si="0">SUM(B11:G11)</f>
        <v>6293</v>
      </c>
      <c r="I11" s="191"/>
      <c r="J11" s="46">
        <f t="shared" ref="J11:J16" si="1">B11/H11*100</f>
        <v>24.010805657079295</v>
      </c>
      <c r="K11" s="46">
        <f>C11/H11*100</f>
        <v>19.926902907993007</v>
      </c>
      <c r="L11" s="46">
        <f t="shared" ref="L11:L16" si="2">D11/H11*100</f>
        <v>9.4549499443826477</v>
      </c>
      <c r="M11" s="46">
        <f t="shared" ref="M11:M16" si="3">E11/H11*100</f>
        <v>1.7956459558239313</v>
      </c>
      <c r="N11" s="46">
        <f t="shared" ref="N11:N16" si="4">F11/H11*100</f>
        <v>4.2110281264897509</v>
      </c>
      <c r="O11" s="46">
        <f t="shared" ref="O11:O16" si="5">G11/H11*100</f>
        <v>40.600667408231367</v>
      </c>
      <c r="P11" s="159"/>
    </row>
    <row r="12" spans="1:16" ht="13.5" customHeight="1" x14ac:dyDescent="0.2">
      <c r="A12" s="2" t="str">
        <f>Sheet1!A6</f>
        <v>2011-12</v>
      </c>
      <c r="B12" s="15">
        <f>Sheet1!B6</f>
        <v>1610</v>
      </c>
      <c r="C12" s="15">
        <f>Sheet1!C6</f>
        <v>1222</v>
      </c>
      <c r="D12" s="15">
        <f>Sheet1!D6</f>
        <v>496</v>
      </c>
      <c r="E12" s="15">
        <f>Sheet1!E6</f>
        <v>59</v>
      </c>
      <c r="F12" s="15">
        <f>Sheet1!F6</f>
        <v>218</v>
      </c>
      <c r="G12" s="15">
        <f>Sheet1!G6</f>
        <v>2552</v>
      </c>
      <c r="H12" s="21">
        <f t="shared" si="0"/>
        <v>6157</v>
      </c>
      <c r="I12" s="191"/>
      <c r="J12" s="46">
        <f t="shared" si="1"/>
        <v>26.149098586974173</v>
      </c>
      <c r="K12" s="46">
        <f t="shared" ref="K12:K16" si="6">C12/H12*100</f>
        <v>19.847328244274809</v>
      </c>
      <c r="L12" s="46">
        <f t="shared" si="2"/>
        <v>8.055871365924963</v>
      </c>
      <c r="M12" s="46">
        <f t="shared" si="3"/>
        <v>0.95825889231768713</v>
      </c>
      <c r="N12" s="46">
        <f t="shared" si="4"/>
        <v>3.540685398733149</v>
      </c>
      <c r="O12" s="46">
        <f t="shared" si="5"/>
        <v>41.448757511775213</v>
      </c>
      <c r="P12" s="159"/>
    </row>
    <row r="13" spans="1:16" ht="13.5" customHeight="1" x14ac:dyDescent="0.2">
      <c r="A13" s="2" t="str">
        <f>Sheet1!A7</f>
        <v>2012-13</v>
      </c>
      <c r="B13" s="15">
        <f>Sheet1!B7</f>
        <v>1499</v>
      </c>
      <c r="C13" s="15">
        <f>Sheet1!C7</f>
        <v>1100</v>
      </c>
      <c r="D13" s="15">
        <f>Sheet1!D7</f>
        <v>461</v>
      </c>
      <c r="E13" s="15">
        <f>Sheet1!E7</f>
        <v>81</v>
      </c>
      <c r="F13" s="15">
        <f>Sheet1!F7</f>
        <v>151</v>
      </c>
      <c r="G13" s="15">
        <f>Sheet1!G7</f>
        <v>2537</v>
      </c>
      <c r="H13" s="21">
        <f t="shared" si="0"/>
        <v>5829</v>
      </c>
      <c r="I13" s="191"/>
      <c r="J13" s="46">
        <f t="shared" si="1"/>
        <v>25.716246354434723</v>
      </c>
      <c r="K13" s="46">
        <f t="shared" si="6"/>
        <v>18.871161434208268</v>
      </c>
      <c r="L13" s="46">
        <f t="shared" si="2"/>
        <v>7.908732201063648</v>
      </c>
      <c r="M13" s="46">
        <f t="shared" si="3"/>
        <v>1.3896037056098816</v>
      </c>
      <c r="N13" s="46">
        <f t="shared" si="4"/>
        <v>2.5904957968776805</v>
      </c>
      <c r="O13" s="46">
        <f t="shared" si="5"/>
        <v>43.523760507805797</v>
      </c>
      <c r="P13" s="159"/>
    </row>
    <row r="14" spans="1:16" ht="13.5" customHeight="1" x14ac:dyDescent="0.2">
      <c r="A14" s="2" t="str">
        <f>Sheet1!A8</f>
        <v>2013-14</v>
      </c>
      <c r="B14" s="15">
        <f>Sheet1!B8</f>
        <v>1326</v>
      </c>
      <c r="C14" s="15">
        <f>Sheet1!C8</f>
        <v>1000</v>
      </c>
      <c r="D14" s="15">
        <f>Sheet1!D8</f>
        <v>414</v>
      </c>
      <c r="E14" s="15">
        <f>Sheet1!E8</f>
        <v>61</v>
      </c>
      <c r="F14" s="15">
        <f>Sheet1!F8</f>
        <v>72</v>
      </c>
      <c r="G14" s="15">
        <f>Sheet1!G8</f>
        <v>2450</v>
      </c>
      <c r="H14" s="21">
        <f t="shared" si="0"/>
        <v>5323</v>
      </c>
      <c r="I14" s="191"/>
      <c r="J14" s="46">
        <f t="shared" si="1"/>
        <v>24.910764606424948</v>
      </c>
      <c r="K14" s="46">
        <f t="shared" si="6"/>
        <v>18.786398647379301</v>
      </c>
      <c r="L14" s="46">
        <f t="shared" si="2"/>
        <v>7.7775690400150292</v>
      </c>
      <c r="M14" s="46">
        <f t="shared" si="3"/>
        <v>1.145970317490137</v>
      </c>
      <c r="N14" s="46">
        <f t="shared" si="4"/>
        <v>1.3526207026113095</v>
      </c>
      <c r="O14" s="46">
        <f t="shared" si="5"/>
        <v>46.026676686079277</v>
      </c>
      <c r="P14" s="159"/>
    </row>
    <row r="15" spans="1:16" ht="13.5" customHeight="1" x14ac:dyDescent="0.2">
      <c r="A15" s="2" t="str">
        <f>Sheet1!A9</f>
        <v>2014-15</v>
      </c>
      <c r="B15" s="15">
        <f>Sheet1!B9</f>
        <v>1580</v>
      </c>
      <c r="C15" s="15">
        <f>Sheet1!C9</f>
        <v>925</v>
      </c>
      <c r="D15" s="15">
        <f>Sheet1!D9</f>
        <v>367</v>
      </c>
      <c r="E15" s="15">
        <f>Sheet1!E9</f>
        <v>57</v>
      </c>
      <c r="F15" s="15">
        <f>Sheet1!F9</f>
        <v>95</v>
      </c>
      <c r="G15" s="15">
        <f>Sheet1!G9</f>
        <v>2550</v>
      </c>
      <c r="H15" s="21">
        <f t="shared" si="0"/>
        <v>5574</v>
      </c>
      <c r="I15" s="191"/>
      <c r="J15" s="46">
        <f t="shared" si="1"/>
        <v>28.345891639756012</v>
      </c>
      <c r="K15" s="46">
        <f t="shared" si="6"/>
        <v>16.59490491567994</v>
      </c>
      <c r="L15" s="46">
        <f t="shared" si="2"/>
        <v>6.584140653031934</v>
      </c>
      <c r="M15" s="46">
        <f t="shared" si="3"/>
        <v>1.022604951560818</v>
      </c>
      <c r="N15" s="46">
        <f t="shared" si="4"/>
        <v>1.7043415859346969</v>
      </c>
      <c r="O15" s="46">
        <f t="shared" si="5"/>
        <v>45.748116254036596</v>
      </c>
      <c r="P15" s="159"/>
    </row>
    <row r="16" spans="1:16" ht="13.5" customHeight="1" x14ac:dyDescent="0.2">
      <c r="A16" s="2" t="str">
        <f>Sheet1!A10</f>
        <v>2015-16</v>
      </c>
      <c r="B16" s="15">
        <f>Sheet1!B10</f>
        <v>1550</v>
      </c>
      <c r="C16" s="15">
        <f>Sheet1!C10</f>
        <v>980</v>
      </c>
      <c r="D16" s="15">
        <f>Sheet1!D10</f>
        <v>380</v>
      </c>
      <c r="E16" s="15">
        <f>Sheet1!E10</f>
        <v>67</v>
      </c>
      <c r="F16" s="15">
        <f>Sheet1!F10</f>
        <v>65</v>
      </c>
      <c r="G16" s="15">
        <f>Sheet1!G10</f>
        <v>2631</v>
      </c>
      <c r="H16" s="21">
        <f t="shared" si="0"/>
        <v>5673</v>
      </c>
      <c r="I16" s="191"/>
      <c r="J16" s="46">
        <f t="shared" si="1"/>
        <v>27.322404371584703</v>
      </c>
      <c r="K16" s="46">
        <f t="shared" si="6"/>
        <v>17.274810505905165</v>
      </c>
      <c r="L16" s="46">
        <f t="shared" si="2"/>
        <v>6.6983959104530229</v>
      </c>
      <c r="M16" s="46">
        <f t="shared" si="3"/>
        <v>1.1810329631588226</v>
      </c>
      <c r="N16" s="46">
        <f t="shared" si="4"/>
        <v>1.1457782478406489</v>
      </c>
      <c r="O16" s="46">
        <f t="shared" si="5"/>
        <v>46.377578001057643</v>
      </c>
      <c r="P16" s="159"/>
    </row>
    <row r="17" spans="1:16" ht="13.5" customHeight="1" x14ac:dyDescent="0.2">
      <c r="A17" s="2" t="str">
        <f>Sheet1!A11</f>
        <v>2016-17</v>
      </c>
      <c r="B17" s="15">
        <f>Sheet1!B11</f>
        <v>1531</v>
      </c>
      <c r="C17" s="15">
        <f>Sheet1!C11</f>
        <v>866</v>
      </c>
      <c r="D17" s="15">
        <f>Sheet1!D11</f>
        <v>396</v>
      </c>
      <c r="E17" s="15">
        <f>Sheet1!E11</f>
        <v>80</v>
      </c>
      <c r="F17" s="15">
        <f>Sheet1!F11</f>
        <v>39</v>
      </c>
      <c r="G17" s="15">
        <f>Sheet1!G11</f>
        <v>2628</v>
      </c>
      <c r="H17" s="21">
        <f t="shared" ref="H17:H21" si="7">SUM(B17:G17)</f>
        <v>5540</v>
      </c>
      <c r="I17" s="191"/>
      <c r="J17" s="46">
        <f t="shared" ref="J17:J20" si="8">B17/H17*100</f>
        <v>27.63537906137184</v>
      </c>
      <c r="K17" s="46">
        <f t="shared" ref="K17:K20" si="9">C17/H17*100</f>
        <v>15.631768953068592</v>
      </c>
      <c r="L17" s="46">
        <f t="shared" ref="L17:L20" si="10">D17/H17*100</f>
        <v>7.1480144404332133</v>
      </c>
      <c r="M17" s="46">
        <f t="shared" ref="M17:M20" si="11">E17/H17*100</f>
        <v>1.4440433212996391</v>
      </c>
      <c r="N17" s="46">
        <f t="shared" ref="N17:N20" si="12">F17/H17*100</f>
        <v>0.70397111913357402</v>
      </c>
      <c r="O17" s="46">
        <f t="shared" ref="O17:O20" si="13">G17/H17*100</f>
        <v>47.43682310469314</v>
      </c>
      <c r="P17" s="159"/>
    </row>
    <row r="18" spans="1:16" ht="13.5" customHeight="1" x14ac:dyDescent="0.2">
      <c r="A18" s="2" t="str">
        <f>Sheet1!A12</f>
        <v>2017-18</v>
      </c>
      <c r="B18" s="15">
        <f>Sheet1!B12</f>
        <v>1464</v>
      </c>
      <c r="C18" s="15">
        <f>Sheet1!C12</f>
        <v>845</v>
      </c>
      <c r="D18" s="15">
        <f>Sheet1!D12</f>
        <v>416</v>
      </c>
      <c r="E18" s="15">
        <f>Sheet1!E12</f>
        <v>64</v>
      </c>
      <c r="F18" s="15">
        <f>Sheet1!F12</f>
        <v>41</v>
      </c>
      <c r="G18" s="15">
        <f>Sheet1!G12</f>
        <v>2481</v>
      </c>
      <c r="H18" s="21">
        <f t="shared" si="7"/>
        <v>5311</v>
      </c>
      <c r="I18" s="191"/>
      <c r="J18" s="46">
        <f t="shared" si="8"/>
        <v>27.565430239126343</v>
      </c>
      <c r="K18" s="46">
        <f t="shared" si="9"/>
        <v>15.910374694031256</v>
      </c>
      <c r="L18" s="46">
        <f t="shared" si="10"/>
        <v>7.8327998493692332</v>
      </c>
      <c r="M18" s="46">
        <f t="shared" si="11"/>
        <v>1.2050461306721898</v>
      </c>
      <c r="N18" s="46">
        <f t="shared" si="12"/>
        <v>0.77198267746187155</v>
      </c>
      <c r="O18" s="46">
        <f t="shared" si="13"/>
        <v>46.714366409339107</v>
      </c>
      <c r="P18" s="36"/>
    </row>
    <row r="19" spans="1:16" ht="13.5" customHeight="1" x14ac:dyDescent="0.2">
      <c r="A19" s="2" t="str">
        <f>Sheet1!A13</f>
        <v>2018-19</v>
      </c>
      <c r="B19" s="15">
        <f>Sheet1!B13</f>
        <v>1327</v>
      </c>
      <c r="C19" s="15">
        <f>Sheet1!C13</f>
        <v>811</v>
      </c>
      <c r="D19" s="15">
        <f>Sheet1!D13</f>
        <v>403</v>
      </c>
      <c r="E19" s="15">
        <f>Sheet1!E13</f>
        <v>85</v>
      </c>
      <c r="F19" s="15">
        <f>Sheet1!F13</f>
        <v>76</v>
      </c>
      <c r="G19" s="15">
        <f>Sheet1!G13</f>
        <v>2443</v>
      </c>
      <c r="H19" s="21">
        <f t="shared" si="7"/>
        <v>5145</v>
      </c>
      <c r="I19" s="191"/>
      <c r="J19" s="46">
        <f t="shared" si="8"/>
        <v>25.792031098153544</v>
      </c>
      <c r="K19" s="46">
        <f t="shared" si="9"/>
        <v>15.762876579203111</v>
      </c>
      <c r="L19" s="46">
        <f t="shared" si="10"/>
        <v>7.83284742468416</v>
      </c>
      <c r="M19" s="46">
        <f t="shared" si="11"/>
        <v>1.6520894071914478</v>
      </c>
      <c r="N19" s="46">
        <f t="shared" si="12"/>
        <v>1.4771622934888242</v>
      </c>
      <c r="O19" s="46">
        <f t="shared" si="13"/>
        <v>47.482993197278908</v>
      </c>
      <c r="P19" s="36"/>
    </row>
    <row r="20" spans="1:16" ht="13.5" customHeight="1" x14ac:dyDescent="0.2">
      <c r="A20" s="2" t="str">
        <f>Sheet1!A14</f>
        <v>2019-20</v>
      </c>
      <c r="B20" s="15">
        <f>Sheet1!B14</f>
        <v>1193</v>
      </c>
      <c r="C20" s="15">
        <f>Sheet1!C14</f>
        <v>751</v>
      </c>
      <c r="D20" s="15">
        <f>Sheet1!D14</f>
        <v>380</v>
      </c>
      <c r="E20" s="15">
        <f>Sheet1!E14</f>
        <v>74</v>
      </c>
      <c r="F20" s="15">
        <f>Sheet1!F14</f>
        <v>179</v>
      </c>
      <c r="G20" s="15">
        <f>Sheet1!G14</f>
        <v>2313</v>
      </c>
      <c r="H20" s="21">
        <f t="shared" si="7"/>
        <v>4890</v>
      </c>
      <c r="I20" s="191"/>
      <c r="J20" s="46">
        <f t="shared" si="8"/>
        <v>24.396728016359916</v>
      </c>
      <c r="K20" s="46">
        <f t="shared" si="9"/>
        <v>15.357873210633946</v>
      </c>
      <c r="L20" s="46">
        <f t="shared" si="10"/>
        <v>7.7709611451942742</v>
      </c>
      <c r="M20" s="46">
        <f t="shared" si="11"/>
        <v>1.5132924335378324</v>
      </c>
      <c r="N20" s="46">
        <f t="shared" si="12"/>
        <v>3.6605316973415132</v>
      </c>
      <c r="O20" s="46">
        <f t="shared" si="13"/>
        <v>47.300613496932513</v>
      </c>
      <c r="P20" s="36"/>
    </row>
    <row r="21" spans="1:16" ht="13.5" customHeight="1" thickBot="1" x14ac:dyDescent="0.25">
      <c r="A21" s="447" t="str">
        <f>Sheet1!A15</f>
        <v>2020-21</v>
      </c>
      <c r="B21" s="790">
        <f>Sheet1!B15</f>
        <v>1242</v>
      </c>
      <c r="C21" s="790">
        <f>Sheet1!C15</f>
        <v>745</v>
      </c>
      <c r="D21" s="790">
        <f>Sheet1!D15</f>
        <v>328</v>
      </c>
      <c r="E21" s="790">
        <f>Sheet1!E15</f>
        <v>66</v>
      </c>
      <c r="F21" s="790">
        <f>Sheet1!F15</f>
        <v>179</v>
      </c>
      <c r="G21" s="790">
        <f>Sheet1!G15</f>
        <v>2101</v>
      </c>
      <c r="H21" s="415">
        <f t="shared" si="7"/>
        <v>4661</v>
      </c>
      <c r="J21" s="782">
        <f t="shared" ref="J21" si="14">B21/H21*100</f>
        <v>26.646642351426731</v>
      </c>
      <c r="K21" s="782">
        <f t="shared" ref="K21" si="15">C21/H21*100</f>
        <v>15.983694486161767</v>
      </c>
      <c r="L21" s="782">
        <f t="shared" ref="L21" si="16">D21/H21*100</f>
        <v>7.0371164986054486</v>
      </c>
      <c r="M21" s="782">
        <f t="shared" ref="M21" si="17">E21/H21*100</f>
        <v>1.4160051491096333</v>
      </c>
      <c r="N21" s="782">
        <f t="shared" ref="N21" si="18">F21/H21*100</f>
        <v>3.8403776013730964</v>
      </c>
      <c r="O21" s="782">
        <f t="shared" ref="O21" si="19">G21/H21*100</f>
        <v>45.07616391332332</v>
      </c>
    </row>
    <row r="22" spans="1:16" ht="13.5" customHeight="1" x14ac:dyDescent="0.2">
      <c r="A22" s="1"/>
      <c r="B22" s="1"/>
      <c r="C22" s="1"/>
      <c r="D22" s="1"/>
      <c r="E22" s="1"/>
      <c r="F22" s="1"/>
      <c r="G22" s="1"/>
      <c r="H22" s="1"/>
      <c r="J22" s="92"/>
      <c r="K22" s="92"/>
      <c r="L22" s="92"/>
    </row>
    <row r="23" spans="1:16" ht="13.5" customHeight="1" x14ac:dyDescent="0.25">
      <c r="A23" s="1"/>
      <c r="B23" s="1"/>
      <c r="C23" s="1"/>
      <c r="D23" s="1"/>
      <c r="E23" s="1"/>
      <c r="F23" s="1"/>
      <c r="G23" s="1"/>
      <c r="H23" s="83" t="s">
        <v>0</v>
      </c>
      <c r="I23" s="1"/>
      <c r="J23" s="1"/>
      <c r="K23" s="1"/>
      <c r="L23" s="1"/>
      <c r="M23" s="1"/>
      <c r="N23" s="151"/>
      <c r="O23" s="60" t="s">
        <v>62</v>
      </c>
      <c r="P23" s="159"/>
    </row>
    <row r="24" spans="1:16" ht="13.5" customHeight="1" x14ac:dyDescent="0.2">
      <c r="A24" s="1317" t="s">
        <v>4</v>
      </c>
      <c r="B24" s="1316" t="s">
        <v>217</v>
      </c>
      <c r="C24" s="1316"/>
      <c r="D24" s="1316"/>
      <c r="E24" s="1316"/>
      <c r="F24" s="1316"/>
      <c r="G24" s="1316"/>
      <c r="H24" s="196"/>
      <c r="I24" s="1"/>
      <c r="J24" s="1316" t="s">
        <v>217</v>
      </c>
      <c r="K24" s="1316"/>
      <c r="L24" s="1316"/>
      <c r="M24" s="1316"/>
      <c r="N24" s="1316"/>
      <c r="O24" s="1316"/>
      <c r="P24" s="159"/>
    </row>
    <row r="25" spans="1:16" ht="52.5" customHeight="1" x14ac:dyDescent="0.2">
      <c r="A25" s="1317"/>
      <c r="B25" s="145" t="s">
        <v>214</v>
      </c>
      <c r="C25" s="145" t="s">
        <v>215</v>
      </c>
      <c r="D25" s="145" t="s">
        <v>216</v>
      </c>
      <c r="E25" s="145" t="s">
        <v>1574</v>
      </c>
      <c r="F25" s="145" t="s">
        <v>201</v>
      </c>
      <c r="G25" s="145" t="s">
        <v>321</v>
      </c>
      <c r="H25" s="338" t="s">
        <v>267</v>
      </c>
      <c r="I25" s="39"/>
      <c r="J25" s="145" t="s">
        <v>214</v>
      </c>
      <c r="K25" s="145" t="s">
        <v>215</v>
      </c>
      <c r="L25" s="145" t="s">
        <v>216</v>
      </c>
      <c r="M25" s="145" t="s">
        <v>1574</v>
      </c>
      <c r="N25" s="145" t="s">
        <v>201</v>
      </c>
      <c r="O25" s="145" t="s">
        <v>321</v>
      </c>
      <c r="P25" s="159"/>
    </row>
    <row r="26" spans="1:16" ht="13.5" customHeight="1" x14ac:dyDescent="0.2">
      <c r="A26" s="446" t="str">
        <f>Sheet1!A4</f>
        <v>2009-10</v>
      </c>
      <c r="B26" s="789">
        <f>Sheet1!H4</f>
        <v>695</v>
      </c>
      <c r="C26" s="789">
        <f>Sheet1!I4</f>
        <v>601</v>
      </c>
      <c r="D26" s="789">
        <f>Sheet1!J4</f>
        <v>205</v>
      </c>
      <c r="E26" s="789">
        <f>Sheet1!K4</f>
        <v>316</v>
      </c>
      <c r="F26" s="789">
        <f>Sheet1!L4</f>
        <v>624</v>
      </c>
      <c r="G26" s="789">
        <f>Sheet1!M4</f>
        <v>563</v>
      </c>
      <c r="H26" s="413">
        <f>SUM(B26:G26)</f>
        <v>3004</v>
      </c>
      <c r="I26" s="12"/>
      <c r="J26" s="781">
        <f>B26/H26*100</f>
        <v>23.135818908122506</v>
      </c>
      <c r="K26" s="781">
        <f>C26/H26*100</f>
        <v>20.00665778961385</v>
      </c>
      <c r="L26" s="781">
        <f>D26/H26*100</f>
        <v>6.8242343541944068</v>
      </c>
      <c r="M26" s="781">
        <f>E26/H26*100</f>
        <v>10.51930758988016</v>
      </c>
      <c r="N26" s="781">
        <f>F26/H26*100</f>
        <v>20.772303595206392</v>
      </c>
      <c r="O26" s="781">
        <f>G26/H26*100</f>
        <v>18.74167776298269</v>
      </c>
      <c r="P26" s="159"/>
    </row>
    <row r="27" spans="1:16" ht="13.5" customHeight="1" x14ac:dyDescent="0.2">
      <c r="A27" s="2" t="str">
        <f>Sheet1!A5</f>
        <v>2010-11</v>
      </c>
      <c r="B27" s="15">
        <f>Sheet1!H5</f>
        <v>740</v>
      </c>
      <c r="C27" s="15">
        <f>Sheet1!I5</f>
        <v>482</v>
      </c>
      <c r="D27" s="15">
        <f>Sheet1!J5</f>
        <v>194</v>
      </c>
      <c r="E27" s="15">
        <f>Sheet1!K5</f>
        <v>331</v>
      </c>
      <c r="F27" s="15">
        <f>Sheet1!L5</f>
        <v>230</v>
      </c>
      <c r="G27" s="15">
        <f>Sheet1!M5</f>
        <v>818</v>
      </c>
      <c r="H27" s="21">
        <f t="shared" ref="H27:H32" si="20">SUM(B27:G27)</f>
        <v>2795</v>
      </c>
      <c r="I27" s="12"/>
      <c r="J27" s="46">
        <f t="shared" ref="J27:J32" si="21">B27/H27*100</f>
        <v>26.475849731663686</v>
      </c>
      <c r="K27" s="46">
        <f t="shared" ref="K27:K32" si="22">C27/H27*100</f>
        <v>17.245080500894456</v>
      </c>
      <c r="L27" s="46">
        <f t="shared" ref="L27:L32" si="23">D27/H27*100</f>
        <v>6.9409660107334528</v>
      </c>
      <c r="M27" s="46">
        <f t="shared" ref="M27:M32" si="24">E27/H27*100</f>
        <v>11.84257602862254</v>
      </c>
      <c r="N27" s="46">
        <f t="shared" ref="N27:N32" si="25">F27/H27*100</f>
        <v>8.2289803220035775</v>
      </c>
      <c r="O27" s="46">
        <f t="shared" ref="O27:O32" si="26">G27/H27*100</f>
        <v>29.266547406082289</v>
      </c>
      <c r="P27" s="159"/>
    </row>
    <row r="28" spans="1:16" ht="13.5" customHeight="1" x14ac:dyDescent="0.2">
      <c r="A28" s="2" t="str">
        <f>Sheet1!A6</f>
        <v>2011-12</v>
      </c>
      <c r="B28" s="15">
        <f>Sheet1!H6</f>
        <v>752</v>
      </c>
      <c r="C28" s="15">
        <f>Sheet1!I6</f>
        <v>478</v>
      </c>
      <c r="D28" s="15">
        <f>Sheet1!J6</f>
        <v>159</v>
      </c>
      <c r="E28" s="15">
        <f>Sheet1!K6</f>
        <v>332</v>
      </c>
      <c r="F28" s="15">
        <f>Sheet1!L6</f>
        <v>109</v>
      </c>
      <c r="G28" s="15">
        <f>Sheet1!M6</f>
        <v>887</v>
      </c>
      <c r="H28" s="21">
        <f t="shared" si="20"/>
        <v>2717</v>
      </c>
      <c r="I28" s="12"/>
      <c r="J28" s="46">
        <f t="shared" si="21"/>
        <v>27.677585572322418</v>
      </c>
      <c r="K28" s="46">
        <f t="shared" si="22"/>
        <v>17.592933382407068</v>
      </c>
      <c r="L28" s="46">
        <f t="shared" si="23"/>
        <v>5.8520426941479577</v>
      </c>
      <c r="M28" s="46">
        <f t="shared" si="24"/>
        <v>12.219359587780639</v>
      </c>
      <c r="N28" s="46">
        <f t="shared" si="25"/>
        <v>4.0117776959882221</v>
      </c>
      <c r="O28" s="46">
        <f t="shared" si="26"/>
        <v>32.646301067353697</v>
      </c>
      <c r="P28" s="159"/>
    </row>
    <row r="29" spans="1:16" ht="13.5" customHeight="1" x14ac:dyDescent="0.2">
      <c r="A29" s="2" t="str">
        <f>Sheet1!A7</f>
        <v>2012-13</v>
      </c>
      <c r="B29" s="15">
        <f>Sheet1!H7</f>
        <v>638</v>
      </c>
      <c r="C29" s="15">
        <f>Sheet1!I7</f>
        <v>443</v>
      </c>
      <c r="D29" s="15">
        <f>Sheet1!J7</f>
        <v>152</v>
      </c>
      <c r="E29" s="15">
        <f>Sheet1!K7</f>
        <v>277</v>
      </c>
      <c r="F29" s="15">
        <f>Sheet1!L7</f>
        <v>55</v>
      </c>
      <c r="G29" s="15">
        <f>Sheet1!M7</f>
        <v>843</v>
      </c>
      <c r="H29" s="21">
        <f t="shared" si="20"/>
        <v>2408</v>
      </c>
      <c r="I29" s="12"/>
      <c r="J29" s="46">
        <f t="shared" si="21"/>
        <v>26.495016611295679</v>
      </c>
      <c r="K29" s="46">
        <f t="shared" si="22"/>
        <v>18.397009966777407</v>
      </c>
      <c r="L29" s="46">
        <f t="shared" si="23"/>
        <v>6.3122923588039868</v>
      </c>
      <c r="M29" s="46">
        <f t="shared" si="24"/>
        <v>11.503322259136214</v>
      </c>
      <c r="N29" s="46">
        <f t="shared" si="25"/>
        <v>2.2840531561461797</v>
      </c>
      <c r="O29" s="46">
        <f t="shared" si="26"/>
        <v>35.00830564784053</v>
      </c>
      <c r="P29" s="159"/>
    </row>
    <row r="30" spans="1:16" ht="13.5" customHeight="1" x14ac:dyDescent="0.2">
      <c r="A30" s="2" t="str">
        <f>Sheet1!A8</f>
        <v>2013-14</v>
      </c>
      <c r="B30" s="15">
        <f>Sheet1!H8</f>
        <v>638</v>
      </c>
      <c r="C30" s="15">
        <f>Sheet1!I8</f>
        <v>450</v>
      </c>
      <c r="D30" s="15">
        <f>Sheet1!J8</f>
        <v>144</v>
      </c>
      <c r="E30" s="15">
        <f>Sheet1!K8</f>
        <v>255</v>
      </c>
      <c r="F30" s="15">
        <f>Sheet1!L8</f>
        <v>37</v>
      </c>
      <c r="G30" s="15">
        <f>Sheet1!M8</f>
        <v>822</v>
      </c>
      <c r="H30" s="21">
        <f t="shared" si="20"/>
        <v>2346</v>
      </c>
      <c r="I30" s="12"/>
      <c r="J30" s="46">
        <f t="shared" si="21"/>
        <v>27.195225916453538</v>
      </c>
      <c r="K30" s="46">
        <f t="shared" si="22"/>
        <v>19.181585677749361</v>
      </c>
      <c r="L30" s="46">
        <f t="shared" si="23"/>
        <v>6.1381074168797953</v>
      </c>
      <c r="M30" s="46">
        <f t="shared" si="24"/>
        <v>10.869565217391305</v>
      </c>
      <c r="N30" s="46">
        <f t="shared" si="25"/>
        <v>1.577152600170503</v>
      </c>
      <c r="O30" s="46">
        <f t="shared" si="26"/>
        <v>35.038363171355499</v>
      </c>
      <c r="P30" s="159"/>
    </row>
    <row r="31" spans="1:16" ht="13.5" customHeight="1" x14ac:dyDescent="0.25">
      <c r="A31" s="2" t="str">
        <f>Sheet1!A9</f>
        <v>2014-15</v>
      </c>
      <c r="B31" s="182">
        <f>Sheet1!H9</f>
        <v>639</v>
      </c>
      <c r="C31" s="182">
        <f>Sheet1!I9</f>
        <v>406</v>
      </c>
      <c r="D31" s="182">
        <f>Sheet1!J9</f>
        <v>147</v>
      </c>
      <c r="E31" s="182">
        <f>Sheet1!K9</f>
        <v>291</v>
      </c>
      <c r="F31" s="182">
        <f>Sheet1!L9</f>
        <v>29</v>
      </c>
      <c r="G31" s="15">
        <f>Sheet1!M9</f>
        <v>812</v>
      </c>
      <c r="H31" s="21">
        <f t="shared" si="20"/>
        <v>2324</v>
      </c>
      <c r="I31" s="12"/>
      <c r="J31" s="46">
        <f t="shared" si="21"/>
        <v>27.495697074010327</v>
      </c>
      <c r="K31" s="46">
        <f t="shared" si="22"/>
        <v>17.46987951807229</v>
      </c>
      <c r="L31" s="46">
        <f t="shared" si="23"/>
        <v>6.3253012048192767</v>
      </c>
      <c r="M31" s="46">
        <f t="shared" si="24"/>
        <v>12.521514629948365</v>
      </c>
      <c r="N31" s="46">
        <f t="shared" si="25"/>
        <v>1.2478485370051635</v>
      </c>
      <c r="O31" s="46">
        <f t="shared" si="26"/>
        <v>34.939759036144579</v>
      </c>
      <c r="P31" s="159"/>
    </row>
    <row r="32" spans="1:16" ht="13.5" customHeight="1" x14ac:dyDescent="0.25">
      <c r="A32" s="2" t="str">
        <f>Sheet1!A10</f>
        <v>2015-16</v>
      </c>
      <c r="B32" s="182">
        <f>Sheet1!H10</f>
        <v>696</v>
      </c>
      <c r="C32" s="182">
        <f>Sheet1!I10</f>
        <v>446</v>
      </c>
      <c r="D32" s="182">
        <f>Sheet1!J10</f>
        <v>160</v>
      </c>
      <c r="E32" s="182">
        <f>Sheet1!K10</f>
        <v>262</v>
      </c>
      <c r="F32" s="182">
        <f>Sheet1!L10</f>
        <v>19</v>
      </c>
      <c r="G32" s="15">
        <f>Sheet1!M10</f>
        <v>911</v>
      </c>
      <c r="H32" s="21">
        <f t="shared" si="20"/>
        <v>2494</v>
      </c>
      <c r="I32" s="12"/>
      <c r="J32" s="46">
        <f t="shared" si="21"/>
        <v>27.906976744186046</v>
      </c>
      <c r="K32" s="46">
        <f t="shared" si="22"/>
        <v>17.882919005613473</v>
      </c>
      <c r="L32" s="46">
        <f t="shared" si="23"/>
        <v>6.4153969526864474</v>
      </c>
      <c r="M32" s="46">
        <f t="shared" si="24"/>
        <v>10.505212510024057</v>
      </c>
      <c r="N32" s="46">
        <f t="shared" si="25"/>
        <v>0.76182838813151565</v>
      </c>
      <c r="O32" s="46">
        <f t="shared" si="26"/>
        <v>36.527666399358459</v>
      </c>
      <c r="P32" s="159"/>
    </row>
    <row r="33" spans="1:16" ht="13.5" customHeight="1" x14ac:dyDescent="0.25">
      <c r="A33" s="2" t="str">
        <f>Sheet1!A11</f>
        <v>2016-17</v>
      </c>
      <c r="B33" s="182">
        <f>Sheet1!H11</f>
        <v>650</v>
      </c>
      <c r="C33" s="182">
        <f>Sheet1!I11</f>
        <v>388</v>
      </c>
      <c r="D33" s="182">
        <f>Sheet1!J11</f>
        <v>138</v>
      </c>
      <c r="E33" s="182">
        <f>Sheet1!K11</f>
        <v>272</v>
      </c>
      <c r="F33" s="182">
        <f>Sheet1!L11</f>
        <v>21</v>
      </c>
      <c r="G33" s="15">
        <f>Sheet1!M11</f>
        <v>808</v>
      </c>
      <c r="H33" s="21">
        <f t="shared" ref="H33:H35" si="27">SUM(B33:G33)</f>
        <v>2277</v>
      </c>
      <c r="I33" s="12"/>
      <c r="J33" s="46">
        <f t="shared" ref="J33:J36" si="28">B33/H33*100</f>
        <v>28.546332894158983</v>
      </c>
      <c r="K33" s="46">
        <f t="shared" ref="K33:K36" si="29">C33/H33*100</f>
        <v>17.039964866051825</v>
      </c>
      <c r="L33" s="46">
        <f t="shared" ref="L33:L36" si="30">D33/H33*100</f>
        <v>6.0606060606060606</v>
      </c>
      <c r="M33" s="46">
        <f t="shared" ref="M33:M36" si="31">E33/H33*100</f>
        <v>11.945542380324989</v>
      </c>
      <c r="N33" s="46">
        <f t="shared" ref="N33:N36" si="32">F33/H33*100</f>
        <v>0.92226613965744397</v>
      </c>
      <c r="O33" s="46">
        <f t="shared" ref="O33:O36" si="33">G33/H33*100</f>
        <v>35.485287659200701</v>
      </c>
      <c r="P33" s="159"/>
    </row>
    <row r="34" spans="1:16" ht="13.5" customHeight="1" x14ac:dyDescent="0.25">
      <c r="A34" s="2" t="str">
        <f>Sheet1!A12</f>
        <v>2017-18</v>
      </c>
      <c r="B34" s="182">
        <f>Sheet1!H12</f>
        <v>651</v>
      </c>
      <c r="C34" s="182">
        <f>Sheet1!I12</f>
        <v>423</v>
      </c>
      <c r="D34" s="182">
        <f>Sheet1!J12</f>
        <v>152</v>
      </c>
      <c r="E34" s="182">
        <f>Sheet1!K12</f>
        <v>302</v>
      </c>
      <c r="F34" s="182">
        <f>Sheet1!L12</f>
        <v>18</v>
      </c>
      <c r="G34" s="15">
        <f>Sheet1!M12</f>
        <v>741</v>
      </c>
      <c r="H34" s="21">
        <f t="shared" si="27"/>
        <v>2287</v>
      </c>
      <c r="I34" s="239"/>
      <c r="J34" s="46">
        <f t="shared" si="28"/>
        <v>28.465238303454303</v>
      </c>
      <c r="K34" s="46">
        <f t="shared" si="29"/>
        <v>18.4958460865763</v>
      </c>
      <c r="L34" s="46">
        <f t="shared" si="30"/>
        <v>6.6462614779186708</v>
      </c>
      <c r="M34" s="46">
        <f t="shared" si="31"/>
        <v>13.20507214691736</v>
      </c>
      <c r="N34" s="46">
        <f t="shared" si="32"/>
        <v>0.78705728027984256</v>
      </c>
      <c r="O34" s="46">
        <f t="shared" si="33"/>
        <v>32.400524704853517</v>
      </c>
      <c r="P34" s="36"/>
    </row>
    <row r="35" spans="1:16" ht="13.5" customHeight="1" x14ac:dyDescent="0.25">
      <c r="A35" s="2" t="str">
        <f>Sheet1!A13</f>
        <v>2018-19</v>
      </c>
      <c r="B35" s="182">
        <f>Sheet1!H13</f>
        <v>648</v>
      </c>
      <c r="C35" s="182">
        <f>Sheet1!I13</f>
        <v>373</v>
      </c>
      <c r="D35" s="182">
        <f>Sheet1!J13</f>
        <v>129</v>
      </c>
      <c r="E35" s="182">
        <f>Sheet1!K13</f>
        <v>286</v>
      </c>
      <c r="F35" s="182">
        <f>Sheet1!L13</f>
        <v>37</v>
      </c>
      <c r="G35" s="15">
        <f>Sheet1!M13</f>
        <v>779</v>
      </c>
      <c r="H35" s="21">
        <f t="shared" si="27"/>
        <v>2252</v>
      </c>
      <c r="I35" s="239"/>
      <c r="J35" s="46">
        <f t="shared" si="28"/>
        <v>28.774422735346363</v>
      </c>
      <c r="K35" s="46">
        <f t="shared" si="29"/>
        <v>16.563055062166963</v>
      </c>
      <c r="L35" s="46">
        <f t="shared" si="30"/>
        <v>5.7282415630550618</v>
      </c>
      <c r="M35" s="46">
        <f t="shared" si="31"/>
        <v>12.699822380106571</v>
      </c>
      <c r="N35" s="46">
        <f t="shared" si="32"/>
        <v>1.6429840142095915</v>
      </c>
      <c r="O35" s="46">
        <f t="shared" si="33"/>
        <v>34.591474245115457</v>
      </c>
      <c r="P35" s="36"/>
    </row>
    <row r="36" spans="1:16" ht="13.5" customHeight="1" x14ac:dyDescent="0.25">
      <c r="A36" s="2" t="str">
        <f>Sheet1!A14</f>
        <v>2019-20</v>
      </c>
      <c r="B36" s="182">
        <f>Sheet1!H14</f>
        <v>529</v>
      </c>
      <c r="C36" s="182">
        <f>Sheet1!I14</f>
        <v>323</v>
      </c>
      <c r="D36" s="182">
        <f>Sheet1!J14</f>
        <v>117</v>
      </c>
      <c r="E36" s="182">
        <f>Sheet1!K14</f>
        <v>231</v>
      </c>
      <c r="F36" s="182">
        <f>Sheet1!L14</f>
        <v>63</v>
      </c>
      <c r="G36" s="15">
        <f>Sheet1!M14</f>
        <v>717</v>
      </c>
      <c r="H36" s="21">
        <f>SUM(B36:G36)</f>
        <v>1980</v>
      </c>
      <c r="I36" s="239"/>
      <c r="J36" s="46">
        <f t="shared" si="28"/>
        <v>26.717171717171716</v>
      </c>
      <c r="K36" s="46">
        <f t="shared" si="29"/>
        <v>16.313131313131311</v>
      </c>
      <c r="L36" s="46">
        <f t="shared" si="30"/>
        <v>5.9090909090909092</v>
      </c>
      <c r="M36" s="46">
        <f t="shared" si="31"/>
        <v>11.666666666666666</v>
      </c>
      <c r="N36" s="46">
        <f t="shared" si="32"/>
        <v>3.1818181818181817</v>
      </c>
      <c r="O36" s="46">
        <f t="shared" si="33"/>
        <v>36.212121212121211</v>
      </c>
      <c r="P36" s="36"/>
    </row>
    <row r="37" spans="1:16" ht="13.5" customHeight="1" thickBot="1" x14ac:dyDescent="0.3">
      <c r="A37" s="447" t="str">
        <f>Sheet1!A15</f>
        <v>2020-21</v>
      </c>
      <c r="B37" s="791">
        <f>Sheet1!H15</f>
        <v>510</v>
      </c>
      <c r="C37" s="791">
        <f>Sheet1!I15</f>
        <v>280</v>
      </c>
      <c r="D37" s="791">
        <f>Sheet1!J15</f>
        <v>104</v>
      </c>
      <c r="E37" s="791">
        <f>Sheet1!K15</f>
        <v>243</v>
      </c>
      <c r="F37" s="791">
        <f>Sheet1!L15</f>
        <v>47</v>
      </c>
      <c r="G37" s="790">
        <f>Sheet1!M15</f>
        <v>534</v>
      </c>
      <c r="H37" s="415">
        <f>SUM(B37:G37)</f>
        <v>1718</v>
      </c>
      <c r="I37" s="1"/>
      <c r="J37" s="782">
        <f t="shared" ref="J37" si="34">B37/H37*100</f>
        <v>29.685681024447032</v>
      </c>
      <c r="K37" s="782">
        <f t="shared" ref="K37" si="35">C37/H37*100</f>
        <v>16.298020954598368</v>
      </c>
      <c r="L37" s="782">
        <f t="shared" ref="L37" si="36">D37/H37*100</f>
        <v>6.0535506402793944</v>
      </c>
      <c r="M37" s="782">
        <f t="shared" ref="M37" si="37">E37/H37*100</f>
        <v>14.144353899883585</v>
      </c>
      <c r="N37" s="782">
        <f t="shared" ref="N37" si="38">F37/H37*100</f>
        <v>2.7357392316647267</v>
      </c>
      <c r="O37" s="782">
        <f t="shared" ref="O37" si="39">G37/H37*100</f>
        <v>31.08265424912689</v>
      </c>
      <c r="P37" s="157"/>
    </row>
  </sheetData>
  <sheetProtection algorithmName="SHA-512" hashValue="rz0XwyUNCFLXtaJADdBXk5mh9r+qFToBjs0Csba3uhbSBp1VbVTaFzc562ET+VrUmaTnVOYJIlz85wzzJbD0cQ==" saltValue="yRH6KROazF91PyImlzFrnQ==" spinCount="100000" sheet="1" scenarios="1" formatCells="0" formatColumns="0" formatRows="0" sort="0" autoFilter="0" pivotTables="0"/>
  <mergeCells count="6">
    <mergeCell ref="J8:O8"/>
    <mergeCell ref="J24:O24"/>
    <mergeCell ref="B8:G8"/>
    <mergeCell ref="B24:G24"/>
    <mergeCell ref="A8:A9"/>
    <mergeCell ref="A24:A25"/>
  </mergeCells>
  <hyperlinks>
    <hyperlink ref="A2" location="'Table of Contents'!A1" display="Back to Table of Contents" xr:uid="{00000000-0004-0000-3700-000000000000}"/>
  </hyperlinks>
  <pageMargins left="0.7" right="0.7" top="0.75" bottom="0.75" header="0.3" footer="0.3"/>
  <pageSetup paperSize="9" scale="68"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4"/>
  </sheetPr>
  <dimension ref="A1:P16"/>
  <sheetViews>
    <sheetView workbookViewId="0">
      <selection activeCell="B7" sqref="B7"/>
    </sheetView>
  </sheetViews>
  <sheetFormatPr defaultRowHeight="12.75" x14ac:dyDescent="0.2"/>
  <cols>
    <col min="1" max="1" width="13" bestFit="1" customWidth="1"/>
    <col min="2" max="2" width="15.85546875" bestFit="1" customWidth="1"/>
    <col min="3" max="3" width="13.7109375" bestFit="1" customWidth="1"/>
    <col min="4" max="4" width="13.42578125" bestFit="1" customWidth="1"/>
    <col min="5" max="5" width="13.5703125" bestFit="1" customWidth="1"/>
    <col min="6" max="6" width="14.28515625" bestFit="1" customWidth="1"/>
    <col min="7" max="7" width="14.42578125" bestFit="1" customWidth="1"/>
    <col min="8" max="8" width="13.7109375" bestFit="1" customWidth="1"/>
    <col min="9" max="9" width="13.42578125" bestFit="1" customWidth="1"/>
    <col min="10" max="10" width="13.5703125" bestFit="1" customWidth="1"/>
    <col min="11" max="11" width="14.28515625" bestFit="1" customWidth="1"/>
    <col min="12" max="12" width="17" bestFit="1" customWidth="1"/>
    <col min="13" max="13" width="18.7109375" bestFit="1" customWidth="1"/>
    <col min="14" max="14" width="18.42578125" bestFit="1" customWidth="1"/>
    <col min="15" max="15" width="18.5703125" bestFit="1" customWidth="1"/>
    <col min="16" max="16" width="19.28515625" bestFit="1" customWidth="1"/>
  </cols>
  <sheetData>
    <row r="1" spans="1:16" x14ac:dyDescent="0.2">
      <c r="B1" s="234" t="s">
        <v>336</v>
      </c>
    </row>
    <row r="2" spans="1:16" x14ac:dyDescent="0.2">
      <c r="B2" t="s">
        <v>752</v>
      </c>
      <c r="G2" t="s">
        <v>6</v>
      </c>
      <c r="L2" t="s">
        <v>995</v>
      </c>
      <c r="M2" t="s">
        <v>996</v>
      </c>
      <c r="N2" t="s">
        <v>1420</v>
      </c>
      <c r="O2" t="s">
        <v>1422</v>
      </c>
      <c r="P2" t="s">
        <v>998</v>
      </c>
    </row>
    <row r="3" spans="1:16" x14ac:dyDescent="0.2">
      <c r="A3" s="234" t="s">
        <v>326</v>
      </c>
      <c r="B3" t="s">
        <v>994</v>
      </c>
      <c r="C3" t="s">
        <v>997</v>
      </c>
      <c r="D3" t="s">
        <v>1421</v>
      </c>
      <c r="E3" t="s">
        <v>1423</v>
      </c>
      <c r="F3" t="s">
        <v>999</v>
      </c>
      <c r="G3" t="s">
        <v>994</v>
      </c>
      <c r="H3" t="s">
        <v>997</v>
      </c>
      <c r="I3" t="s">
        <v>1421</v>
      </c>
      <c r="J3" t="s">
        <v>1423</v>
      </c>
      <c r="K3" t="s">
        <v>999</v>
      </c>
    </row>
    <row r="4" spans="1:16" x14ac:dyDescent="0.2">
      <c r="A4" s="235" t="s">
        <v>19</v>
      </c>
      <c r="B4">
        <v>849</v>
      </c>
      <c r="C4">
        <v>1953</v>
      </c>
      <c r="D4">
        <v>302</v>
      </c>
      <c r="E4">
        <v>218</v>
      </c>
      <c r="F4">
        <v>274</v>
      </c>
      <c r="G4">
        <v>521</v>
      </c>
      <c r="H4">
        <v>1175</v>
      </c>
      <c r="I4">
        <v>272</v>
      </c>
      <c r="J4">
        <v>178</v>
      </c>
      <c r="K4">
        <v>295</v>
      </c>
      <c r="L4">
        <v>1370</v>
      </c>
      <c r="M4">
        <v>3128</v>
      </c>
      <c r="N4">
        <v>574</v>
      </c>
      <c r="O4">
        <v>396</v>
      </c>
      <c r="P4">
        <v>569</v>
      </c>
    </row>
    <row r="5" spans="1:16" x14ac:dyDescent="0.2">
      <c r="A5" s="235" t="s">
        <v>20</v>
      </c>
      <c r="B5">
        <v>954</v>
      </c>
      <c r="C5">
        <v>1904</v>
      </c>
      <c r="D5">
        <v>333</v>
      </c>
      <c r="E5">
        <v>217</v>
      </c>
      <c r="F5">
        <v>330</v>
      </c>
      <c r="G5">
        <v>442</v>
      </c>
      <c r="H5">
        <v>902</v>
      </c>
      <c r="I5">
        <v>208</v>
      </c>
      <c r="J5">
        <v>143</v>
      </c>
      <c r="K5">
        <v>282</v>
      </c>
      <c r="L5">
        <v>1396</v>
      </c>
      <c r="M5">
        <v>2806</v>
      </c>
      <c r="N5">
        <v>541</v>
      </c>
      <c r="O5">
        <v>360</v>
      </c>
      <c r="P5">
        <v>612</v>
      </c>
    </row>
    <row r="6" spans="1:16" x14ac:dyDescent="0.2">
      <c r="A6" s="235" t="s">
        <v>13</v>
      </c>
      <c r="B6">
        <v>900</v>
      </c>
      <c r="C6">
        <v>1953</v>
      </c>
      <c r="D6">
        <v>299</v>
      </c>
      <c r="E6">
        <v>212</v>
      </c>
      <c r="F6">
        <v>241</v>
      </c>
      <c r="G6">
        <v>330</v>
      </c>
      <c r="H6">
        <v>861</v>
      </c>
      <c r="I6">
        <v>214</v>
      </c>
      <c r="J6">
        <v>158</v>
      </c>
      <c r="K6">
        <v>267</v>
      </c>
      <c r="L6">
        <v>1230</v>
      </c>
      <c r="M6">
        <v>2814</v>
      </c>
      <c r="N6">
        <v>513</v>
      </c>
      <c r="O6">
        <v>370</v>
      </c>
      <c r="P6">
        <v>508</v>
      </c>
    </row>
    <row r="7" spans="1:16" x14ac:dyDescent="0.2">
      <c r="A7" s="235" t="s">
        <v>15</v>
      </c>
      <c r="B7">
        <v>821</v>
      </c>
      <c r="C7">
        <v>1740</v>
      </c>
      <c r="D7">
        <v>295</v>
      </c>
      <c r="E7">
        <v>200</v>
      </c>
      <c r="F7">
        <v>236</v>
      </c>
      <c r="G7">
        <v>304</v>
      </c>
      <c r="H7">
        <v>709</v>
      </c>
      <c r="I7">
        <v>201</v>
      </c>
      <c r="J7">
        <v>124</v>
      </c>
      <c r="K7">
        <v>227</v>
      </c>
      <c r="L7">
        <v>1125</v>
      </c>
      <c r="M7">
        <v>2449</v>
      </c>
      <c r="N7">
        <v>496</v>
      </c>
      <c r="O7">
        <v>324</v>
      </c>
      <c r="P7">
        <v>463</v>
      </c>
    </row>
    <row r="8" spans="1:16" x14ac:dyDescent="0.2">
      <c r="A8" s="235" t="s">
        <v>17</v>
      </c>
      <c r="B8">
        <v>652</v>
      </c>
      <c r="C8">
        <v>1550</v>
      </c>
      <c r="D8">
        <v>278</v>
      </c>
      <c r="E8">
        <v>188</v>
      </c>
      <c r="F8">
        <v>205</v>
      </c>
      <c r="G8">
        <v>269</v>
      </c>
      <c r="H8">
        <v>688</v>
      </c>
      <c r="I8">
        <v>186</v>
      </c>
      <c r="J8">
        <v>162</v>
      </c>
      <c r="K8">
        <v>219</v>
      </c>
      <c r="L8">
        <v>921</v>
      </c>
      <c r="M8">
        <v>2238</v>
      </c>
      <c r="N8">
        <v>464</v>
      </c>
      <c r="O8">
        <v>350</v>
      </c>
      <c r="P8">
        <v>424</v>
      </c>
    </row>
    <row r="9" spans="1:16" x14ac:dyDescent="0.2">
      <c r="A9" s="235" t="s">
        <v>133</v>
      </c>
      <c r="B9">
        <v>799</v>
      </c>
      <c r="C9">
        <v>1585</v>
      </c>
      <c r="D9">
        <v>278</v>
      </c>
      <c r="E9">
        <v>151</v>
      </c>
      <c r="F9">
        <v>211</v>
      </c>
      <c r="G9">
        <v>281</v>
      </c>
      <c r="H9">
        <v>666</v>
      </c>
      <c r="I9">
        <v>193</v>
      </c>
      <c r="J9">
        <v>145</v>
      </c>
      <c r="K9">
        <v>227</v>
      </c>
      <c r="L9">
        <v>1080</v>
      </c>
      <c r="M9">
        <v>2251</v>
      </c>
      <c r="N9">
        <v>471</v>
      </c>
      <c r="O9">
        <v>296</v>
      </c>
      <c r="P9">
        <v>438</v>
      </c>
    </row>
    <row r="10" spans="1:16" x14ac:dyDescent="0.2">
      <c r="A10" s="235" t="s">
        <v>144</v>
      </c>
      <c r="B10">
        <v>821</v>
      </c>
      <c r="C10">
        <v>1546</v>
      </c>
      <c r="D10">
        <v>293</v>
      </c>
      <c r="E10">
        <v>192</v>
      </c>
      <c r="F10">
        <v>190</v>
      </c>
      <c r="G10">
        <v>279</v>
      </c>
      <c r="H10">
        <v>729</v>
      </c>
      <c r="I10">
        <v>197</v>
      </c>
      <c r="J10">
        <v>155</v>
      </c>
      <c r="K10">
        <v>223</v>
      </c>
      <c r="L10">
        <v>1100</v>
      </c>
      <c r="M10">
        <v>2275</v>
      </c>
      <c r="N10">
        <v>490</v>
      </c>
      <c r="O10">
        <v>347</v>
      </c>
      <c r="P10">
        <v>413</v>
      </c>
    </row>
    <row r="11" spans="1:16" x14ac:dyDescent="0.2">
      <c r="A11" s="235" t="s">
        <v>282</v>
      </c>
      <c r="B11">
        <v>816</v>
      </c>
      <c r="C11">
        <v>1442</v>
      </c>
      <c r="D11">
        <v>269</v>
      </c>
      <c r="E11">
        <v>159</v>
      </c>
      <c r="F11">
        <v>226</v>
      </c>
      <c r="G11">
        <v>264</v>
      </c>
      <c r="H11">
        <v>659</v>
      </c>
      <c r="I11">
        <v>202</v>
      </c>
      <c r="J11">
        <v>127</v>
      </c>
      <c r="K11">
        <v>217</v>
      </c>
      <c r="L11">
        <v>1080</v>
      </c>
      <c r="M11">
        <v>2101</v>
      </c>
      <c r="N11">
        <v>471</v>
      </c>
      <c r="O11">
        <v>286</v>
      </c>
      <c r="P11">
        <v>443</v>
      </c>
    </row>
    <row r="12" spans="1:16" x14ac:dyDescent="0.2">
      <c r="A12" s="235" t="s">
        <v>311</v>
      </c>
      <c r="B12">
        <v>802</v>
      </c>
      <c r="C12">
        <v>1386</v>
      </c>
      <c r="D12">
        <v>258</v>
      </c>
      <c r="E12">
        <v>172</v>
      </c>
      <c r="F12">
        <v>212</v>
      </c>
      <c r="G12">
        <v>255</v>
      </c>
      <c r="H12">
        <v>679</v>
      </c>
      <c r="I12">
        <v>227</v>
      </c>
      <c r="J12">
        <v>145</v>
      </c>
      <c r="K12">
        <v>240</v>
      </c>
      <c r="L12">
        <v>1057</v>
      </c>
      <c r="M12">
        <v>2065</v>
      </c>
      <c r="N12">
        <v>485</v>
      </c>
      <c r="O12">
        <v>317</v>
      </c>
      <c r="P12">
        <v>452</v>
      </c>
    </row>
    <row r="13" spans="1:16" x14ac:dyDescent="0.2">
      <c r="A13" s="235" t="s">
        <v>621</v>
      </c>
      <c r="B13">
        <v>789</v>
      </c>
      <c r="C13">
        <v>1255</v>
      </c>
      <c r="D13">
        <v>260</v>
      </c>
      <c r="E13">
        <v>182</v>
      </c>
      <c r="F13">
        <v>216</v>
      </c>
      <c r="G13">
        <v>280</v>
      </c>
      <c r="H13">
        <v>643</v>
      </c>
      <c r="I13">
        <v>191</v>
      </c>
      <c r="J13">
        <v>138</v>
      </c>
      <c r="K13">
        <v>221</v>
      </c>
      <c r="L13">
        <v>1069</v>
      </c>
      <c r="M13">
        <v>1898</v>
      </c>
      <c r="N13">
        <v>451</v>
      </c>
      <c r="O13">
        <v>320</v>
      </c>
      <c r="P13">
        <v>437</v>
      </c>
    </row>
    <row r="14" spans="1:16" x14ac:dyDescent="0.2">
      <c r="A14" s="235" t="s">
        <v>1419</v>
      </c>
      <c r="B14">
        <v>835</v>
      </c>
      <c r="C14">
        <v>1119</v>
      </c>
      <c r="D14">
        <v>229</v>
      </c>
      <c r="E14">
        <v>176</v>
      </c>
      <c r="F14">
        <v>218</v>
      </c>
      <c r="G14">
        <v>292</v>
      </c>
      <c r="H14">
        <v>503</v>
      </c>
      <c r="I14">
        <v>163</v>
      </c>
      <c r="J14">
        <v>119</v>
      </c>
      <c r="K14">
        <v>186</v>
      </c>
      <c r="L14">
        <v>1127</v>
      </c>
      <c r="M14">
        <v>1622</v>
      </c>
      <c r="N14">
        <v>392</v>
      </c>
      <c r="O14">
        <v>295</v>
      </c>
      <c r="P14">
        <v>404</v>
      </c>
    </row>
    <row r="15" spans="1:16" x14ac:dyDescent="0.2">
      <c r="A15" s="235" t="s">
        <v>1572</v>
      </c>
      <c r="B15">
        <v>823</v>
      </c>
      <c r="C15">
        <v>1157</v>
      </c>
      <c r="D15">
        <v>243</v>
      </c>
      <c r="E15">
        <v>150</v>
      </c>
      <c r="F15">
        <v>187</v>
      </c>
      <c r="G15">
        <v>258</v>
      </c>
      <c r="H15">
        <v>461</v>
      </c>
      <c r="I15">
        <v>170</v>
      </c>
      <c r="J15">
        <v>107</v>
      </c>
      <c r="K15">
        <v>188</v>
      </c>
      <c r="L15">
        <v>1081</v>
      </c>
      <c r="M15">
        <v>1618</v>
      </c>
      <c r="N15">
        <v>413</v>
      </c>
      <c r="O15">
        <v>257</v>
      </c>
      <c r="P15">
        <v>375</v>
      </c>
    </row>
    <row r="16" spans="1:16" x14ac:dyDescent="0.2">
      <c r="A16" s="235" t="s">
        <v>333</v>
      </c>
      <c r="B16">
        <v>9861</v>
      </c>
      <c r="C16">
        <v>18590</v>
      </c>
      <c r="D16">
        <v>3337</v>
      </c>
      <c r="E16">
        <v>2217</v>
      </c>
      <c r="F16">
        <v>2746</v>
      </c>
      <c r="G16">
        <v>3775</v>
      </c>
      <c r="H16">
        <v>8675</v>
      </c>
      <c r="I16">
        <v>2424</v>
      </c>
      <c r="J16">
        <v>1701</v>
      </c>
      <c r="K16">
        <v>2792</v>
      </c>
      <c r="L16">
        <v>13636</v>
      </c>
      <c r="M16">
        <v>27265</v>
      </c>
      <c r="N16">
        <v>5761</v>
      </c>
      <c r="O16">
        <v>3918</v>
      </c>
      <c r="P16">
        <v>5538</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AFF0"/>
  </sheetPr>
  <dimension ref="A1:O37"/>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8.140625" customWidth="1"/>
    <col min="2" max="2" width="12.28515625" customWidth="1"/>
    <col min="3" max="3" width="17.5703125" customWidth="1"/>
    <col min="4" max="4" width="11" customWidth="1"/>
    <col min="5" max="5" width="11.42578125" customWidth="1"/>
    <col min="6" max="6" width="11.5703125" customWidth="1"/>
    <col min="7" max="7" width="20.42578125" customWidth="1"/>
    <col min="8" max="8" width="16.28515625" customWidth="1"/>
    <col min="9" max="9" width="11" customWidth="1"/>
    <col min="10" max="10" width="11.7109375" customWidth="1"/>
    <col min="11" max="11" width="17" customWidth="1"/>
    <col min="12" max="12" width="13.5703125" customWidth="1"/>
    <col min="13" max="13" width="10.140625" customWidth="1"/>
    <col min="14" max="14" width="18.5703125" customWidth="1"/>
    <col min="15" max="15" width="2.42578125" customWidth="1"/>
  </cols>
  <sheetData>
    <row r="1" spans="1:15" ht="15.75" customHeight="1" x14ac:dyDescent="0.2">
      <c r="A1" s="298" t="s">
        <v>1129</v>
      </c>
    </row>
    <row r="2" spans="1:15" ht="15.75" customHeight="1" x14ac:dyDescent="0.2">
      <c r="A2" s="106" t="s">
        <v>578</v>
      </c>
    </row>
    <row r="3" spans="1:15" ht="38.25" customHeight="1" x14ac:dyDescent="0.2">
      <c r="A3" s="120" t="s">
        <v>1079</v>
      </c>
      <c r="B3" s="120"/>
      <c r="C3" s="120"/>
      <c r="D3" s="120"/>
      <c r="E3" s="120"/>
      <c r="F3" s="120"/>
      <c r="G3" s="120"/>
      <c r="H3" s="120"/>
      <c r="I3" s="120"/>
      <c r="J3" s="120"/>
      <c r="K3" s="120"/>
      <c r="L3" s="120"/>
      <c r="M3" s="120"/>
      <c r="N3" s="120"/>
      <c r="O3" s="120"/>
    </row>
    <row r="4" spans="1:15" ht="15" customHeight="1" x14ac:dyDescent="0.25">
      <c r="A4" s="351" t="s">
        <v>579</v>
      </c>
      <c r="B4" s="1043" t="s">
        <v>1307</v>
      </c>
      <c r="C4" s="120"/>
      <c r="D4" s="129"/>
      <c r="E4" s="129"/>
      <c r="F4" s="129"/>
      <c r="G4" s="129"/>
      <c r="H4" s="129"/>
      <c r="I4" s="129"/>
      <c r="J4" s="129"/>
      <c r="K4" s="129"/>
      <c r="L4" s="129"/>
      <c r="M4" s="129"/>
      <c r="N4" s="129"/>
      <c r="O4" s="129"/>
    </row>
    <row r="5" spans="1:15" ht="15" customHeight="1" x14ac:dyDescent="0.25">
      <c r="A5" s="351" t="s">
        <v>580</v>
      </c>
      <c r="B5" s="351" t="s">
        <v>581</v>
      </c>
      <c r="C5" s="129"/>
      <c r="D5" s="129"/>
      <c r="E5" s="129"/>
      <c r="F5" s="129"/>
      <c r="G5" s="129"/>
      <c r="H5" s="129"/>
      <c r="I5" s="129"/>
      <c r="J5" s="129"/>
      <c r="K5" s="129"/>
      <c r="L5" s="129"/>
      <c r="M5" s="129"/>
      <c r="N5" s="129"/>
      <c r="O5" s="129"/>
    </row>
    <row r="6" spans="1:15" ht="15" customHeight="1" x14ac:dyDescent="0.25">
      <c r="A6" s="351" t="s">
        <v>582</v>
      </c>
      <c r="B6" s="351" t="s">
        <v>585</v>
      </c>
      <c r="C6" s="129"/>
      <c r="D6" s="129"/>
      <c r="E6" s="129"/>
      <c r="F6" s="129"/>
      <c r="G6" s="129"/>
      <c r="H6" s="129"/>
      <c r="I6" s="129"/>
      <c r="J6" s="129"/>
      <c r="K6" s="129"/>
      <c r="L6" s="129"/>
      <c r="M6" s="129"/>
      <c r="N6" s="129"/>
      <c r="O6" s="129"/>
    </row>
    <row r="7" spans="1:15" ht="13.5" customHeight="1" x14ac:dyDescent="0.25">
      <c r="A7" s="1"/>
      <c r="B7" s="1"/>
      <c r="C7" s="1"/>
      <c r="D7" s="1"/>
      <c r="E7" s="1"/>
      <c r="F7" s="1"/>
      <c r="G7" s="1"/>
      <c r="H7" s="83" t="s">
        <v>0</v>
      </c>
      <c r="I7" s="1"/>
      <c r="J7" s="1"/>
      <c r="K7" s="1"/>
      <c r="L7" s="1"/>
      <c r="M7" s="1"/>
      <c r="N7" s="60" t="s">
        <v>62</v>
      </c>
      <c r="O7" s="157"/>
    </row>
    <row r="8" spans="1:15" ht="13.5" customHeight="1" x14ac:dyDescent="0.2">
      <c r="A8" s="1318" t="s">
        <v>4</v>
      </c>
      <c r="B8" s="1319" t="s">
        <v>213</v>
      </c>
      <c r="C8" s="1319"/>
      <c r="D8" s="1319"/>
      <c r="E8" s="1319"/>
      <c r="F8" s="1319"/>
      <c r="G8" s="794"/>
      <c r="H8" s="1320" t="s">
        <v>268</v>
      </c>
      <c r="J8" s="1319" t="s">
        <v>1104</v>
      </c>
      <c r="K8" s="1319"/>
      <c r="L8" s="1319"/>
      <c r="M8" s="1319"/>
      <c r="N8" s="1319"/>
      <c r="O8" s="157"/>
    </row>
    <row r="9" spans="1:15" ht="39" customHeight="1" x14ac:dyDescent="0.2">
      <c r="A9" s="1318"/>
      <c r="B9" s="799" t="s">
        <v>1000</v>
      </c>
      <c r="C9" s="799" t="s">
        <v>1103</v>
      </c>
      <c r="D9" s="800" t="s">
        <v>1001</v>
      </c>
      <c r="E9" s="800" t="s">
        <v>1002</v>
      </c>
      <c r="F9" s="799" t="s">
        <v>1003</v>
      </c>
      <c r="G9" s="755" t="str">
        <f>'Building Fires Spread'!G9</f>
        <v>Smoke and/or heat damage only 
(no fire)</v>
      </c>
      <c r="H9" s="1320"/>
      <c r="I9" s="105"/>
      <c r="J9" s="799" t="s">
        <v>1000</v>
      </c>
      <c r="K9" s="799" t="s">
        <v>1103</v>
      </c>
      <c r="L9" s="800" t="s">
        <v>1001</v>
      </c>
      <c r="M9" s="800" t="s">
        <v>1002</v>
      </c>
      <c r="N9" s="799" t="s">
        <v>1003</v>
      </c>
      <c r="O9" s="158"/>
    </row>
    <row r="10" spans="1:15" ht="13.5" customHeight="1" x14ac:dyDescent="0.2">
      <c r="A10" s="442" t="str">
        <f>Sheet1!A4</f>
        <v>2009-10</v>
      </c>
      <c r="B10" s="508">
        <f>Sheet16!B4</f>
        <v>849</v>
      </c>
      <c r="C10" s="508">
        <f>Sheet16!C4</f>
        <v>1953</v>
      </c>
      <c r="D10" s="508">
        <f>Sheet16!D4</f>
        <v>302</v>
      </c>
      <c r="E10" s="508">
        <f>Sheet16!E4</f>
        <v>218</v>
      </c>
      <c r="F10" s="508">
        <f>Sheet16!F4</f>
        <v>274</v>
      </c>
      <c r="G10" s="344">
        <f>'Building Fires Spread'!G10</f>
        <v>2964</v>
      </c>
      <c r="H10" s="504">
        <f t="shared" ref="H10:H16" si="0">SUM(B10:G10)</f>
        <v>6560</v>
      </c>
      <c r="I10" s="191"/>
      <c r="J10" s="797">
        <f t="shared" ref="J10:J16" si="1">B10/H10*100</f>
        <v>12.942073170731708</v>
      </c>
      <c r="K10" s="797">
        <f t="shared" ref="K10:K16" si="2">C10/H10*100</f>
        <v>29.771341463414636</v>
      </c>
      <c r="L10" s="797">
        <f t="shared" ref="L10:L16" si="3">D10/H10*100</f>
        <v>4.6036585365853657</v>
      </c>
      <c r="M10" s="797">
        <f t="shared" ref="M10:M16" si="4">E10/H10*100</f>
        <v>3.3231707317073171</v>
      </c>
      <c r="N10" s="797">
        <f t="shared" ref="N10:N16" si="5">F10/H10*100</f>
        <v>4.1768292682926829</v>
      </c>
      <c r="O10" s="159"/>
    </row>
    <row r="11" spans="1:15" ht="13.5" customHeight="1" x14ac:dyDescent="0.2">
      <c r="A11" s="438" t="str">
        <f>Sheet1!A5</f>
        <v>2010-11</v>
      </c>
      <c r="B11" s="495">
        <f>Sheet16!B5</f>
        <v>954</v>
      </c>
      <c r="C11" s="495">
        <f>Sheet16!C5</f>
        <v>1904</v>
      </c>
      <c r="D11" s="495">
        <f>Sheet16!D5</f>
        <v>333</v>
      </c>
      <c r="E11" s="495">
        <f>Sheet16!E5</f>
        <v>217</v>
      </c>
      <c r="F11" s="495">
        <f>Sheet16!F5</f>
        <v>330</v>
      </c>
      <c r="G11" s="310">
        <f>'Building Fires Spread'!G11</f>
        <v>2555</v>
      </c>
      <c r="H11" s="313">
        <f t="shared" si="0"/>
        <v>6293</v>
      </c>
      <c r="I11" s="191"/>
      <c r="J11" s="792">
        <f t="shared" si="1"/>
        <v>15.1597012553631</v>
      </c>
      <c r="K11" s="792">
        <f t="shared" si="2"/>
        <v>30.255839822024473</v>
      </c>
      <c r="L11" s="792">
        <f t="shared" si="3"/>
        <v>5.2915938344191966</v>
      </c>
      <c r="M11" s="792">
        <f t="shared" si="4"/>
        <v>3.4482758620689653</v>
      </c>
      <c r="N11" s="792">
        <f t="shared" si="5"/>
        <v>5.2439218178928968</v>
      </c>
      <c r="O11" s="159"/>
    </row>
    <row r="12" spans="1:15" ht="13.5" customHeight="1" x14ac:dyDescent="0.2">
      <c r="A12" s="438" t="str">
        <f>Sheet1!A6</f>
        <v>2011-12</v>
      </c>
      <c r="B12" s="495">
        <f>Sheet16!B6</f>
        <v>900</v>
      </c>
      <c r="C12" s="495">
        <f>Sheet16!C6</f>
        <v>1953</v>
      </c>
      <c r="D12" s="495">
        <f>Sheet16!D6</f>
        <v>299</v>
      </c>
      <c r="E12" s="495">
        <f>Sheet16!E6</f>
        <v>212</v>
      </c>
      <c r="F12" s="495">
        <f>Sheet16!F6</f>
        <v>241</v>
      </c>
      <c r="G12" s="310">
        <f>'Building Fires Spread'!G12</f>
        <v>2552</v>
      </c>
      <c r="H12" s="313">
        <f t="shared" si="0"/>
        <v>6157</v>
      </c>
      <c r="I12" s="191"/>
      <c r="J12" s="792">
        <f t="shared" si="1"/>
        <v>14.617508526879973</v>
      </c>
      <c r="K12" s="792">
        <f t="shared" si="2"/>
        <v>31.71999350332954</v>
      </c>
      <c r="L12" s="792">
        <f t="shared" si="3"/>
        <v>4.8562611661523469</v>
      </c>
      <c r="M12" s="792">
        <f t="shared" si="4"/>
        <v>3.443235341887283</v>
      </c>
      <c r="N12" s="792">
        <f t="shared" si="5"/>
        <v>3.9142439499756376</v>
      </c>
      <c r="O12" s="159"/>
    </row>
    <row r="13" spans="1:15" ht="13.5" customHeight="1" x14ac:dyDescent="0.2">
      <c r="A13" s="438" t="str">
        <f>Sheet1!A7</f>
        <v>2012-13</v>
      </c>
      <c r="B13" s="495">
        <f>Sheet16!B7</f>
        <v>821</v>
      </c>
      <c r="C13" s="495">
        <f>Sheet16!C7</f>
        <v>1740</v>
      </c>
      <c r="D13" s="495">
        <f>Sheet16!D7</f>
        <v>295</v>
      </c>
      <c r="E13" s="495">
        <f>Sheet16!E7</f>
        <v>200</v>
      </c>
      <c r="F13" s="495">
        <f>Sheet16!F7</f>
        <v>236</v>
      </c>
      <c r="G13" s="310">
        <f>'Building Fires Spread'!G13</f>
        <v>2537</v>
      </c>
      <c r="H13" s="313">
        <f t="shared" si="0"/>
        <v>5829</v>
      </c>
      <c r="I13" s="191"/>
      <c r="J13" s="792">
        <f t="shared" si="1"/>
        <v>14.0847486704409</v>
      </c>
      <c r="K13" s="792">
        <f t="shared" si="2"/>
        <v>29.850746268656714</v>
      </c>
      <c r="L13" s="792">
        <f t="shared" si="3"/>
        <v>5.0609023846285819</v>
      </c>
      <c r="M13" s="792">
        <f t="shared" si="4"/>
        <v>3.4311202607651401</v>
      </c>
      <c r="N13" s="792">
        <f t="shared" si="5"/>
        <v>4.0487219077028653</v>
      </c>
      <c r="O13" s="159"/>
    </row>
    <row r="14" spans="1:15" ht="13.5" customHeight="1" x14ac:dyDescent="0.2">
      <c r="A14" s="438" t="str">
        <f>Sheet1!A8</f>
        <v>2013-14</v>
      </c>
      <c r="B14" s="495">
        <f>Sheet16!B8</f>
        <v>652</v>
      </c>
      <c r="C14" s="495">
        <f>Sheet16!C8</f>
        <v>1550</v>
      </c>
      <c r="D14" s="495">
        <f>Sheet16!D8</f>
        <v>278</v>
      </c>
      <c r="E14" s="495">
        <f>Sheet16!E8</f>
        <v>188</v>
      </c>
      <c r="F14" s="495">
        <f>Sheet16!F8</f>
        <v>205</v>
      </c>
      <c r="G14" s="310">
        <f>'Building Fires Spread'!G14</f>
        <v>2450</v>
      </c>
      <c r="H14" s="313">
        <f t="shared" si="0"/>
        <v>5323</v>
      </c>
      <c r="I14" s="191"/>
      <c r="J14" s="792">
        <f t="shared" si="1"/>
        <v>12.248731918091302</v>
      </c>
      <c r="K14" s="792">
        <f t="shared" si="2"/>
        <v>29.118917903437914</v>
      </c>
      <c r="L14" s="792">
        <f t="shared" si="3"/>
        <v>5.2226188239714446</v>
      </c>
      <c r="M14" s="792">
        <f t="shared" si="4"/>
        <v>3.5318429457073077</v>
      </c>
      <c r="N14" s="792">
        <f t="shared" si="5"/>
        <v>3.851211722712756</v>
      </c>
      <c r="O14" s="159"/>
    </row>
    <row r="15" spans="1:15" ht="13.5" customHeight="1" x14ac:dyDescent="0.2">
      <c r="A15" s="438" t="str">
        <f>Sheet1!A9</f>
        <v>2014-15</v>
      </c>
      <c r="B15" s="495">
        <f>Sheet16!B9</f>
        <v>799</v>
      </c>
      <c r="C15" s="495">
        <f>Sheet16!C9</f>
        <v>1585</v>
      </c>
      <c r="D15" s="495">
        <f>Sheet16!D9</f>
        <v>278</v>
      </c>
      <c r="E15" s="495">
        <f>Sheet16!E9</f>
        <v>151</v>
      </c>
      <c r="F15" s="495">
        <f>Sheet16!F9</f>
        <v>211</v>
      </c>
      <c r="G15" s="310">
        <f>'Building Fires Spread'!G15</f>
        <v>2550</v>
      </c>
      <c r="H15" s="313">
        <f t="shared" si="0"/>
        <v>5574</v>
      </c>
      <c r="I15" s="191"/>
      <c r="J15" s="792">
        <f t="shared" si="1"/>
        <v>14.334409759598135</v>
      </c>
      <c r="K15" s="792">
        <f t="shared" si="2"/>
        <v>28.435593828489413</v>
      </c>
      <c r="L15" s="792">
        <f t="shared" si="3"/>
        <v>4.9874416935773231</v>
      </c>
      <c r="M15" s="792">
        <f t="shared" si="4"/>
        <v>2.7090060997488337</v>
      </c>
      <c r="N15" s="792">
        <f t="shared" si="5"/>
        <v>3.785432364549695</v>
      </c>
      <c r="O15" s="159"/>
    </row>
    <row r="16" spans="1:15" ht="13.5" customHeight="1" x14ac:dyDescent="0.2">
      <c r="A16" s="438" t="str">
        <f>Sheet1!A10</f>
        <v>2015-16</v>
      </c>
      <c r="B16" s="495">
        <f>Sheet16!B10</f>
        <v>821</v>
      </c>
      <c r="C16" s="495">
        <f>Sheet16!C10</f>
        <v>1546</v>
      </c>
      <c r="D16" s="495">
        <f>Sheet16!D10</f>
        <v>293</v>
      </c>
      <c r="E16" s="495">
        <f>Sheet16!E10</f>
        <v>192</v>
      </c>
      <c r="F16" s="495">
        <f>Sheet16!F10</f>
        <v>190</v>
      </c>
      <c r="G16" s="310">
        <f>'Building Fires Spread'!G16</f>
        <v>2631</v>
      </c>
      <c r="H16" s="313">
        <f t="shared" si="0"/>
        <v>5673</v>
      </c>
      <c r="I16" s="191"/>
      <c r="J16" s="792">
        <f t="shared" si="1"/>
        <v>14.472060638110348</v>
      </c>
      <c r="K16" s="792">
        <f t="shared" si="2"/>
        <v>27.25189494094835</v>
      </c>
      <c r="L16" s="792">
        <f t="shared" si="3"/>
        <v>5.1648157941124619</v>
      </c>
      <c r="M16" s="792">
        <f t="shared" si="4"/>
        <v>3.3844526705446851</v>
      </c>
      <c r="N16" s="792">
        <f t="shared" si="5"/>
        <v>3.3491979552265114</v>
      </c>
      <c r="O16" s="159"/>
    </row>
    <row r="17" spans="1:15" ht="13.5" customHeight="1" x14ac:dyDescent="0.2">
      <c r="A17" s="438" t="str">
        <f>Sheet1!A11</f>
        <v>2016-17</v>
      </c>
      <c r="B17" s="495">
        <f>Sheet16!B11</f>
        <v>816</v>
      </c>
      <c r="C17" s="495">
        <f>Sheet16!C11</f>
        <v>1442</v>
      </c>
      <c r="D17" s="495">
        <f>Sheet16!D11</f>
        <v>269</v>
      </c>
      <c r="E17" s="495">
        <f>Sheet16!E11</f>
        <v>159</v>
      </c>
      <c r="F17" s="495">
        <f>Sheet16!F11</f>
        <v>226</v>
      </c>
      <c r="G17" s="310">
        <f>'Building Fires Spread'!G17</f>
        <v>2628</v>
      </c>
      <c r="H17" s="313">
        <f t="shared" ref="H17:H21" si="6">SUM(B17:G17)</f>
        <v>5540</v>
      </c>
      <c r="I17" s="191"/>
      <c r="J17" s="792">
        <f t="shared" ref="J17:J20" si="7">B17/H17*100</f>
        <v>14.729241877256319</v>
      </c>
      <c r="K17" s="792">
        <f t="shared" ref="K17:K19" si="8">C17/H17*100</f>
        <v>26.02888086642599</v>
      </c>
      <c r="L17" s="792">
        <f t="shared" ref="L17:L20" si="9">D17/H17*100</f>
        <v>4.8555956678700367</v>
      </c>
      <c r="M17" s="792">
        <f t="shared" ref="M17:M19" si="10">E17/H17*100</f>
        <v>2.8700361010830324</v>
      </c>
      <c r="N17" s="792">
        <f t="shared" ref="N17:N19" si="11">F17/H17*100</f>
        <v>4.0794223826714795</v>
      </c>
      <c r="O17" s="159"/>
    </row>
    <row r="18" spans="1:15" ht="13.5" customHeight="1" x14ac:dyDescent="0.2">
      <c r="A18" s="438" t="str">
        <f>Sheet1!A12</f>
        <v>2017-18</v>
      </c>
      <c r="B18" s="495">
        <f>Sheet16!B12</f>
        <v>802</v>
      </c>
      <c r="C18" s="495">
        <f>Sheet16!C12</f>
        <v>1386</v>
      </c>
      <c r="D18" s="495">
        <f>Sheet16!D12</f>
        <v>258</v>
      </c>
      <c r="E18" s="495">
        <f>Sheet16!E12</f>
        <v>172</v>
      </c>
      <c r="F18" s="495">
        <f>Sheet16!F12</f>
        <v>212</v>
      </c>
      <c r="G18" s="310">
        <f>'Building Fires Spread'!G18</f>
        <v>2481</v>
      </c>
      <c r="H18" s="313">
        <f t="shared" si="6"/>
        <v>5311</v>
      </c>
      <c r="I18" s="191"/>
      <c r="J18" s="792">
        <f t="shared" si="7"/>
        <v>15.100734324985879</v>
      </c>
      <c r="K18" s="792">
        <f t="shared" si="8"/>
        <v>26.096780267369613</v>
      </c>
      <c r="L18" s="792">
        <f t="shared" si="9"/>
        <v>4.8578422142722646</v>
      </c>
      <c r="M18" s="792">
        <f t="shared" si="10"/>
        <v>3.2385614761815105</v>
      </c>
      <c r="N18" s="792">
        <f t="shared" si="11"/>
        <v>3.9917153078516288</v>
      </c>
      <c r="O18" s="36"/>
    </row>
    <row r="19" spans="1:15" ht="13.5" customHeight="1" x14ac:dyDescent="0.2">
      <c r="A19" s="438" t="str">
        <f>Sheet1!A13</f>
        <v>2018-19</v>
      </c>
      <c r="B19" s="495">
        <f>Sheet16!B13</f>
        <v>789</v>
      </c>
      <c r="C19" s="495">
        <f>Sheet16!C13</f>
        <v>1255</v>
      </c>
      <c r="D19" s="495">
        <f>Sheet16!D13</f>
        <v>260</v>
      </c>
      <c r="E19" s="495">
        <f>Sheet16!E13</f>
        <v>182</v>
      </c>
      <c r="F19" s="495">
        <f>Sheet16!F13</f>
        <v>216</v>
      </c>
      <c r="G19" s="310">
        <f>'Building Fires Spread'!G19</f>
        <v>2443</v>
      </c>
      <c r="H19" s="313">
        <f>SUM(B19:G19)</f>
        <v>5145</v>
      </c>
      <c r="I19" s="191"/>
      <c r="J19" s="792">
        <f t="shared" si="7"/>
        <v>15.335276967930028</v>
      </c>
      <c r="K19" s="792">
        <f t="shared" si="8"/>
        <v>24.392614188532555</v>
      </c>
      <c r="L19" s="792">
        <f t="shared" si="9"/>
        <v>5.0534499514091351</v>
      </c>
      <c r="M19" s="792">
        <f t="shared" si="10"/>
        <v>3.5374149659863949</v>
      </c>
      <c r="N19" s="792">
        <f t="shared" si="11"/>
        <v>4.1982507288629742</v>
      </c>
      <c r="O19" s="36"/>
    </row>
    <row r="20" spans="1:15" ht="13.5" customHeight="1" x14ac:dyDescent="0.2">
      <c r="A20" s="438" t="str">
        <f>Sheet1!A14</f>
        <v>2019-20</v>
      </c>
      <c r="B20" s="495">
        <f>Sheet16!B14</f>
        <v>835</v>
      </c>
      <c r="C20" s="495">
        <f>Sheet16!C14</f>
        <v>1119</v>
      </c>
      <c r="D20" s="495">
        <f>Sheet16!D14</f>
        <v>229</v>
      </c>
      <c r="E20" s="495">
        <f>Sheet16!E14</f>
        <v>176</v>
      </c>
      <c r="F20" s="495">
        <f>Sheet16!F14</f>
        <v>218</v>
      </c>
      <c r="G20" s="310">
        <f>'Building Fires Spread'!G20</f>
        <v>2313</v>
      </c>
      <c r="H20" s="313">
        <f t="shared" si="6"/>
        <v>4890</v>
      </c>
      <c r="I20" s="191"/>
      <c r="J20" s="792">
        <f t="shared" si="7"/>
        <v>17.075664621676893</v>
      </c>
      <c r="K20" s="792">
        <f>C20/H20*100</f>
        <v>22.883435582822088</v>
      </c>
      <c r="L20" s="792">
        <f t="shared" si="9"/>
        <v>4.6830265848670756</v>
      </c>
      <c r="M20" s="792">
        <f>E20/H20*100</f>
        <v>3.5991820040899798</v>
      </c>
      <c r="N20" s="792">
        <f>F20/H20*100</f>
        <v>4.4580777096114517</v>
      </c>
      <c r="O20" s="36"/>
    </row>
    <row r="21" spans="1:15" ht="13.5" customHeight="1" thickBot="1" x14ac:dyDescent="0.25">
      <c r="A21" s="795" t="str">
        <f>Sheet1!A15</f>
        <v>2020-21</v>
      </c>
      <c r="B21" s="796">
        <f>Sheet16!B15</f>
        <v>823</v>
      </c>
      <c r="C21" s="796">
        <f>Sheet16!C15</f>
        <v>1157</v>
      </c>
      <c r="D21" s="796">
        <f>Sheet16!D15</f>
        <v>243</v>
      </c>
      <c r="E21" s="796">
        <f>Sheet16!E15</f>
        <v>150</v>
      </c>
      <c r="F21" s="796">
        <f>Sheet16!F15</f>
        <v>187</v>
      </c>
      <c r="G21" s="730">
        <f>'Building Fires Spread'!G21</f>
        <v>2101</v>
      </c>
      <c r="H21" s="507">
        <f t="shared" si="6"/>
        <v>4661</v>
      </c>
      <c r="I21" s="191"/>
      <c r="J21" s="798">
        <f t="shared" ref="J21" si="12">B21/H21*100</f>
        <v>17.657155116927697</v>
      </c>
      <c r="K21" s="798">
        <f>C21/H21*100</f>
        <v>24.822999356361297</v>
      </c>
      <c r="L21" s="798">
        <f t="shared" ref="L21" si="13">D21/H21*100</f>
        <v>5.2134735035400128</v>
      </c>
      <c r="M21" s="798">
        <f>E21/H21*100</f>
        <v>3.218193520703712</v>
      </c>
      <c r="N21" s="798">
        <f>F21/H21*100</f>
        <v>4.0120145891439609</v>
      </c>
    </row>
    <row r="22" spans="1:15" ht="13.5" customHeight="1" x14ac:dyDescent="0.2">
      <c r="A22" s="438"/>
      <c r="B22" s="495"/>
      <c r="C22" s="495"/>
      <c r="D22" s="495"/>
      <c r="E22" s="495"/>
      <c r="F22" s="495"/>
      <c r="G22" s="310"/>
      <c r="H22" s="313"/>
      <c r="I22" s="191"/>
    </row>
    <row r="23" spans="1:15" ht="13.5" customHeight="1" x14ac:dyDescent="0.25">
      <c r="H23" s="793" t="s">
        <v>0</v>
      </c>
      <c r="N23" s="757" t="s">
        <v>62</v>
      </c>
      <c r="O23" s="159"/>
    </row>
    <row r="24" spans="1:15" ht="13.5" customHeight="1" x14ac:dyDescent="0.2">
      <c r="A24" s="1318" t="s">
        <v>4</v>
      </c>
      <c r="B24" s="1319" t="s">
        <v>217</v>
      </c>
      <c r="C24" s="1319"/>
      <c r="D24" s="1319"/>
      <c r="E24" s="1319"/>
      <c r="F24" s="1319"/>
      <c r="G24" s="794"/>
      <c r="H24" s="1320" t="s">
        <v>267</v>
      </c>
      <c r="J24" s="1319" t="s">
        <v>1105</v>
      </c>
      <c r="K24" s="1319"/>
      <c r="L24" s="1319"/>
      <c r="M24" s="1319"/>
      <c r="N24" s="1319"/>
      <c r="O24" s="159"/>
    </row>
    <row r="25" spans="1:15" ht="39.75" customHeight="1" x14ac:dyDescent="0.2">
      <c r="A25" s="1318"/>
      <c r="B25" s="799" t="s">
        <v>1000</v>
      </c>
      <c r="C25" s="799" t="s">
        <v>1103</v>
      </c>
      <c r="D25" s="800" t="s">
        <v>1001</v>
      </c>
      <c r="E25" s="800" t="s">
        <v>1002</v>
      </c>
      <c r="F25" s="799" t="s">
        <v>1003</v>
      </c>
      <c r="G25" s="755" t="str">
        <f>'Building Fires Spread'!G25</f>
        <v>Smoke and/or heat damage only 
(no fire)</v>
      </c>
      <c r="H25" s="1320"/>
      <c r="I25" s="105"/>
      <c r="J25" s="799" t="s">
        <v>1000</v>
      </c>
      <c r="K25" s="799" t="s">
        <v>1103</v>
      </c>
      <c r="L25" s="800" t="s">
        <v>1001</v>
      </c>
      <c r="M25" s="800" t="s">
        <v>1002</v>
      </c>
      <c r="N25" s="799" t="s">
        <v>1003</v>
      </c>
      <c r="O25" s="159"/>
    </row>
    <row r="26" spans="1:15" ht="13.5" customHeight="1" x14ac:dyDescent="0.2">
      <c r="A26" s="442" t="str">
        <f>Sheet1!A4</f>
        <v>2009-10</v>
      </c>
      <c r="B26" s="508">
        <f>Sheet16!G4</f>
        <v>521</v>
      </c>
      <c r="C26" s="508">
        <f>Sheet16!H4</f>
        <v>1175</v>
      </c>
      <c r="D26" s="508">
        <f>Sheet16!I4</f>
        <v>272</v>
      </c>
      <c r="E26" s="508">
        <f>Sheet16!J4</f>
        <v>178</v>
      </c>
      <c r="F26" s="508">
        <f>Sheet16!K4</f>
        <v>295</v>
      </c>
      <c r="G26" s="344">
        <f>'Building Fires Spread'!G26</f>
        <v>563</v>
      </c>
      <c r="H26" s="504">
        <f>SUM(B26:G26)</f>
        <v>3004</v>
      </c>
      <c r="I26" s="486"/>
      <c r="J26" s="797">
        <f>B26/($H26-$G26)*100</f>
        <v>21.343711593609179</v>
      </c>
      <c r="K26" s="797">
        <f>C26/($H26-$G26)*100</f>
        <v>48.136009832036052</v>
      </c>
      <c r="L26" s="797">
        <f>D26/($H26-$G26)*100</f>
        <v>11.142974190905367</v>
      </c>
      <c r="M26" s="797">
        <f>E26/($H26-$G26)*100</f>
        <v>7.2920934043424825</v>
      </c>
      <c r="N26" s="797">
        <f>F26/($H26-$G26)*100</f>
        <v>12.085210979106924</v>
      </c>
      <c r="O26" s="159"/>
    </row>
    <row r="27" spans="1:15" ht="13.5" customHeight="1" x14ac:dyDescent="0.2">
      <c r="A27" s="438" t="str">
        <f>Sheet1!A5</f>
        <v>2010-11</v>
      </c>
      <c r="B27" s="495">
        <f>Sheet16!G5</f>
        <v>442</v>
      </c>
      <c r="C27" s="495">
        <f>Sheet16!H5</f>
        <v>902</v>
      </c>
      <c r="D27" s="495">
        <f>Sheet16!I5</f>
        <v>208</v>
      </c>
      <c r="E27" s="495">
        <f>Sheet16!J5</f>
        <v>143</v>
      </c>
      <c r="F27" s="495">
        <f>Sheet16!K5</f>
        <v>282</v>
      </c>
      <c r="G27" s="310">
        <f>'Building Fires Spread'!G27</f>
        <v>818</v>
      </c>
      <c r="H27" s="313">
        <f t="shared" ref="H27:H32" si="14">SUM(B27:G27)</f>
        <v>2795</v>
      </c>
      <c r="I27" s="486"/>
      <c r="J27" s="792">
        <f t="shared" ref="J27:J32" si="15">B27/($H27-$G27)*100</f>
        <v>22.357106727364695</v>
      </c>
      <c r="K27" s="792">
        <f t="shared" ref="K27:K32" si="16">C27/($H27-$G27)*100</f>
        <v>45.624683864441074</v>
      </c>
      <c r="L27" s="792">
        <f t="shared" ref="L27:L32" si="17">D27/($H27-$G27)*100</f>
        <v>10.520991401112797</v>
      </c>
      <c r="M27" s="792">
        <f t="shared" ref="M27:M32" si="18">E27/($H27-$G27)*100</f>
        <v>7.2331815882650474</v>
      </c>
      <c r="N27" s="792">
        <f t="shared" ref="N27:N32" si="19">F27/($H27-$G27)*100</f>
        <v>14.264036418816389</v>
      </c>
      <c r="O27" s="159"/>
    </row>
    <row r="28" spans="1:15" ht="13.5" customHeight="1" x14ac:dyDescent="0.2">
      <c r="A28" s="438" t="str">
        <f>Sheet1!A6</f>
        <v>2011-12</v>
      </c>
      <c r="B28" s="495">
        <f>Sheet16!G6</f>
        <v>330</v>
      </c>
      <c r="C28" s="495">
        <f>Sheet16!H6</f>
        <v>861</v>
      </c>
      <c r="D28" s="495">
        <f>Sheet16!I6</f>
        <v>214</v>
      </c>
      <c r="E28" s="495">
        <f>Sheet16!J6</f>
        <v>158</v>
      </c>
      <c r="F28" s="495">
        <f>Sheet16!K6</f>
        <v>267</v>
      </c>
      <c r="G28" s="310">
        <f>'Building Fires Spread'!G28</f>
        <v>887</v>
      </c>
      <c r="H28" s="313">
        <f t="shared" si="14"/>
        <v>2717</v>
      </c>
      <c r="I28" s="486"/>
      <c r="J28" s="792">
        <f t="shared" si="15"/>
        <v>18.032786885245901</v>
      </c>
      <c r="K28" s="792">
        <f t="shared" si="16"/>
        <v>47.049180327868854</v>
      </c>
      <c r="L28" s="792">
        <f t="shared" si="17"/>
        <v>11.693989071038251</v>
      </c>
      <c r="M28" s="792">
        <f t="shared" si="18"/>
        <v>8.6338797814207648</v>
      </c>
      <c r="N28" s="792">
        <f t="shared" si="19"/>
        <v>14.590163934426229</v>
      </c>
      <c r="O28" s="159"/>
    </row>
    <row r="29" spans="1:15" ht="13.5" customHeight="1" x14ac:dyDescent="0.2">
      <c r="A29" s="438" t="str">
        <f>Sheet1!A7</f>
        <v>2012-13</v>
      </c>
      <c r="B29" s="495">
        <f>Sheet16!G7</f>
        <v>304</v>
      </c>
      <c r="C29" s="495">
        <f>Sheet16!H7</f>
        <v>709</v>
      </c>
      <c r="D29" s="495">
        <f>Sheet16!I7</f>
        <v>201</v>
      </c>
      <c r="E29" s="495">
        <f>Sheet16!J7</f>
        <v>124</v>
      </c>
      <c r="F29" s="495">
        <f>Sheet16!K7</f>
        <v>227</v>
      </c>
      <c r="G29" s="310">
        <f>'Building Fires Spread'!G29</f>
        <v>843</v>
      </c>
      <c r="H29" s="313">
        <f t="shared" si="14"/>
        <v>2408</v>
      </c>
      <c r="I29" s="486"/>
      <c r="J29" s="792">
        <f t="shared" si="15"/>
        <v>19.424920127795527</v>
      </c>
      <c r="K29" s="792">
        <f t="shared" si="16"/>
        <v>45.303514376996809</v>
      </c>
      <c r="L29" s="792">
        <f t="shared" si="17"/>
        <v>12.843450479233226</v>
      </c>
      <c r="M29" s="792">
        <f t="shared" si="18"/>
        <v>7.9233226837060702</v>
      </c>
      <c r="N29" s="792">
        <f t="shared" si="19"/>
        <v>14.504792332268371</v>
      </c>
      <c r="O29" s="159"/>
    </row>
    <row r="30" spans="1:15" ht="13.5" customHeight="1" x14ac:dyDescent="0.2">
      <c r="A30" s="438" t="str">
        <f>Sheet1!A8</f>
        <v>2013-14</v>
      </c>
      <c r="B30" s="495">
        <f>Sheet16!G8</f>
        <v>269</v>
      </c>
      <c r="C30" s="495">
        <f>Sheet16!H8</f>
        <v>688</v>
      </c>
      <c r="D30" s="495">
        <f>Sheet16!I8</f>
        <v>186</v>
      </c>
      <c r="E30" s="495">
        <f>Sheet16!J8</f>
        <v>162</v>
      </c>
      <c r="F30" s="495">
        <f>Sheet16!K8</f>
        <v>219</v>
      </c>
      <c r="G30" s="310">
        <f>'Building Fires Spread'!G30</f>
        <v>822</v>
      </c>
      <c r="H30" s="313">
        <f t="shared" si="14"/>
        <v>2346</v>
      </c>
      <c r="I30" s="486"/>
      <c r="J30" s="792">
        <f t="shared" si="15"/>
        <v>17.650918635170605</v>
      </c>
      <c r="K30" s="792">
        <f t="shared" si="16"/>
        <v>45.14435695538058</v>
      </c>
      <c r="L30" s="792">
        <f t="shared" si="17"/>
        <v>12.204724409448819</v>
      </c>
      <c r="M30" s="792">
        <f t="shared" si="18"/>
        <v>10.62992125984252</v>
      </c>
      <c r="N30" s="792">
        <f t="shared" si="19"/>
        <v>14.37007874015748</v>
      </c>
      <c r="O30" s="159"/>
    </row>
    <row r="31" spans="1:15" ht="13.5" customHeight="1" x14ac:dyDescent="0.2">
      <c r="A31" s="438" t="str">
        <f>Sheet1!A9</f>
        <v>2014-15</v>
      </c>
      <c r="B31" s="495">
        <f>Sheet16!G9</f>
        <v>281</v>
      </c>
      <c r="C31" s="495">
        <f>Sheet16!H9</f>
        <v>666</v>
      </c>
      <c r="D31" s="495">
        <f>Sheet16!I9</f>
        <v>193</v>
      </c>
      <c r="E31" s="495">
        <f>Sheet16!J9</f>
        <v>145</v>
      </c>
      <c r="F31" s="495">
        <f>Sheet16!K9</f>
        <v>227</v>
      </c>
      <c r="G31" s="310">
        <f>'Building Fires Spread'!G31</f>
        <v>812</v>
      </c>
      <c r="H31" s="313">
        <f t="shared" si="14"/>
        <v>2324</v>
      </c>
      <c r="I31" s="486"/>
      <c r="J31" s="792">
        <f t="shared" si="15"/>
        <v>18.584656084656086</v>
      </c>
      <c r="K31" s="792">
        <f t="shared" si="16"/>
        <v>44.047619047619044</v>
      </c>
      <c r="L31" s="792">
        <f t="shared" si="17"/>
        <v>12.764550264550264</v>
      </c>
      <c r="M31" s="792">
        <f t="shared" si="18"/>
        <v>9.5899470899470902</v>
      </c>
      <c r="N31" s="792">
        <f t="shared" si="19"/>
        <v>15.013227513227514</v>
      </c>
      <c r="O31" s="159"/>
    </row>
    <row r="32" spans="1:15" ht="13.5" customHeight="1" x14ac:dyDescent="0.2">
      <c r="A32" s="438" t="str">
        <f>Sheet1!A10</f>
        <v>2015-16</v>
      </c>
      <c r="B32" s="495">
        <f>Sheet16!G10</f>
        <v>279</v>
      </c>
      <c r="C32" s="495">
        <f>Sheet16!H10</f>
        <v>729</v>
      </c>
      <c r="D32" s="495">
        <f>Sheet16!I10</f>
        <v>197</v>
      </c>
      <c r="E32" s="495">
        <f>Sheet16!J10</f>
        <v>155</v>
      </c>
      <c r="F32" s="495">
        <f>Sheet16!K10</f>
        <v>223</v>
      </c>
      <c r="G32" s="310">
        <f>'Building Fires Spread'!G32</f>
        <v>911</v>
      </c>
      <c r="H32" s="313">
        <f t="shared" si="14"/>
        <v>2494</v>
      </c>
      <c r="I32" s="486"/>
      <c r="J32" s="792">
        <f t="shared" si="15"/>
        <v>17.624763108022741</v>
      </c>
      <c r="K32" s="792">
        <f t="shared" si="16"/>
        <v>46.051800379027164</v>
      </c>
      <c r="L32" s="792">
        <f t="shared" si="17"/>
        <v>12.44472520530638</v>
      </c>
      <c r="M32" s="792">
        <f t="shared" si="18"/>
        <v>9.7915350600126327</v>
      </c>
      <c r="N32" s="792">
        <f t="shared" si="19"/>
        <v>14.087176247631081</v>
      </c>
      <c r="O32" s="159"/>
    </row>
    <row r="33" spans="1:15" ht="13.5" customHeight="1" x14ac:dyDescent="0.2">
      <c r="A33" s="438" t="str">
        <f>Sheet1!A11</f>
        <v>2016-17</v>
      </c>
      <c r="B33" s="495">
        <f>Sheet16!G11</f>
        <v>264</v>
      </c>
      <c r="C33" s="495">
        <f>Sheet16!H11</f>
        <v>659</v>
      </c>
      <c r="D33" s="495">
        <f>Sheet16!I11</f>
        <v>202</v>
      </c>
      <c r="E33" s="495">
        <f>Sheet16!J11</f>
        <v>127</v>
      </c>
      <c r="F33" s="495">
        <f>Sheet16!K11</f>
        <v>217</v>
      </c>
      <c r="G33" s="310">
        <f>'Building Fires Spread'!G33</f>
        <v>808</v>
      </c>
      <c r="H33" s="313">
        <f t="shared" ref="H33:H35" si="20">SUM(B33:G33)</f>
        <v>2277</v>
      </c>
      <c r="I33" s="486"/>
      <c r="J33" s="792">
        <f t="shared" ref="J33:J36" si="21">B33/($H33-$G33)*100</f>
        <v>17.9714091218516</v>
      </c>
      <c r="K33" s="792">
        <f t="shared" ref="K33:K36" si="22">C33/($H33-$G33)*100</f>
        <v>44.86044928522805</v>
      </c>
      <c r="L33" s="792">
        <f t="shared" ref="L33:L36" si="23">D33/($H33-$G33)*100</f>
        <v>13.750850918992514</v>
      </c>
      <c r="M33" s="792">
        <f t="shared" ref="M33:M36" si="24">E33/($H33-$G33)*100</f>
        <v>8.6453369639210358</v>
      </c>
      <c r="N33" s="792">
        <f t="shared" ref="N33:N35" si="25">F33/($H33-$G33)*100</f>
        <v>14.771953710006807</v>
      </c>
      <c r="O33" s="159"/>
    </row>
    <row r="34" spans="1:15" ht="13.5" customHeight="1" x14ac:dyDescent="0.2">
      <c r="A34" s="438" t="str">
        <f>Sheet1!A12</f>
        <v>2017-18</v>
      </c>
      <c r="B34" s="495">
        <f>Sheet16!G12</f>
        <v>255</v>
      </c>
      <c r="C34" s="495">
        <f>Sheet16!H12</f>
        <v>679</v>
      </c>
      <c r="D34" s="495">
        <f>Sheet16!I12</f>
        <v>227</v>
      </c>
      <c r="E34" s="495">
        <f>Sheet16!J12</f>
        <v>145</v>
      </c>
      <c r="F34" s="495">
        <f>Sheet16!K12</f>
        <v>240</v>
      </c>
      <c r="G34" s="310">
        <f>'Building Fires Spread'!G34</f>
        <v>741</v>
      </c>
      <c r="H34" s="313">
        <f t="shared" si="20"/>
        <v>2287</v>
      </c>
      <c r="I34" s="235"/>
      <c r="J34" s="792">
        <f t="shared" si="21"/>
        <v>16.494178525226392</v>
      </c>
      <c r="K34" s="792">
        <f t="shared" si="22"/>
        <v>43.919793014230272</v>
      </c>
      <c r="L34" s="792">
        <f t="shared" si="23"/>
        <v>14.683053040103495</v>
      </c>
      <c r="M34" s="792">
        <f t="shared" si="24"/>
        <v>9.3790426908150071</v>
      </c>
      <c r="N34" s="792">
        <f t="shared" si="25"/>
        <v>15.523932729624837</v>
      </c>
      <c r="O34" s="36"/>
    </row>
    <row r="35" spans="1:15" ht="13.5" customHeight="1" x14ac:dyDescent="0.2">
      <c r="A35" s="438" t="str">
        <f>Sheet1!A13</f>
        <v>2018-19</v>
      </c>
      <c r="B35" s="495">
        <f>Sheet16!G13</f>
        <v>280</v>
      </c>
      <c r="C35" s="495">
        <f>Sheet16!H13</f>
        <v>643</v>
      </c>
      <c r="D35" s="495">
        <f>Sheet16!I13</f>
        <v>191</v>
      </c>
      <c r="E35" s="495">
        <f>Sheet16!J13</f>
        <v>138</v>
      </c>
      <c r="F35" s="495">
        <f>Sheet16!K13</f>
        <v>221</v>
      </c>
      <c r="G35" s="310">
        <f>'Building Fires Spread'!G35</f>
        <v>779</v>
      </c>
      <c r="H35" s="313">
        <f t="shared" si="20"/>
        <v>2252</v>
      </c>
      <c r="I35" s="235"/>
      <c r="J35" s="792">
        <f t="shared" si="21"/>
        <v>19.008825526137134</v>
      </c>
      <c r="K35" s="792">
        <f t="shared" si="22"/>
        <v>43.652410047522061</v>
      </c>
      <c r="L35" s="792">
        <f t="shared" si="23"/>
        <v>12.966734555329259</v>
      </c>
      <c r="M35" s="792">
        <f t="shared" si="24"/>
        <v>9.3686354378818741</v>
      </c>
      <c r="N35" s="792">
        <f t="shared" si="25"/>
        <v>15.003394433129669</v>
      </c>
      <c r="O35" s="36"/>
    </row>
    <row r="36" spans="1:15" ht="13.5" customHeight="1" x14ac:dyDescent="0.2">
      <c r="A36" s="438" t="str">
        <f>Sheet1!A14</f>
        <v>2019-20</v>
      </c>
      <c r="B36" s="495">
        <f>Sheet16!G14</f>
        <v>292</v>
      </c>
      <c r="C36" s="495">
        <f>Sheet16!H14</f>
        <v>503</v>
      </c>
      <c r="D36" s="495">
        <f>Sheet16!I14</f>
        <v>163</v>
      </c>
      <c r="E36" s="495">
        <f>Sheet16!J14</f>
        <v>119</v>
      </c>
      <c r="F36" s="495">
        <f>Sheet16!K14</f>
        <v>186</v>
      </c>
      <c r="G36" s="310">
        <f>'Building Fires Spread'!G36</f>
        <v>717</v>
      </c>
      <c r="H36" s="313">
        <f>SUM(B36:G36)</f>
        <v>1980</v>
      </c>
      <c r="I36" s="235"/>
      <c r="J36" s="792">
        <f t="shared" si="21"/>
        <v>23.119556611243073</v>
      </c>
      <c r="K36" s="792">
        <f t="shared" si="22"/>
        <v>39.825811559778309</v>
      </c>
      <c r="L36" s="792">
        <f t="shared" si="23"/>
        <v>12.905779889152811</v>
      </c>
      <c r="M36" s="792">
        <f t="shared" si="24"/>
        <v>9.4220110847189229</v>
      </c>
      <c r="N36" s="792">
        <f>F36/($H36-$G36)*100</f>
        <v>14.726840855106888</v>
      </c>
      <c r="O36" s="36"/>
    </row>
    <row r="37" spans="1:15" ht="13.5" customHeight="1" thickBot="1" x14ac:dyDescent="0.25">
      <c r="A37" s="795" t="str">
        <f>Sheet1!A15</f>
        <v>2020-21</v>
      </c>
      <c r="B37" s="796">
        <f>Sheet16!G15</f>
        <v>258</v>
      </c>
      <c r="C37" s="796">
        <f>Sheet16!H15</f>
        <v>461</v>
      </c>
      <c r="D37" s="796">
        <f>Sheet16!I15</f>
        <v>170</v>
      </c>
      <c r="E37" s="796">
        <f>Sheet16!J15</f>
        <v>107</v>
      </c>
      <c r="F37" s="796">
        <f>Sheet16!K15</f>
        <v>188</v>
      </c>
      <c r="G37" s="730">
        <f>'Building Fires Spread'!G37</f>
        <v>534</v>
      </c>
      <c r="H37" s="507">
        <f>SUM(B37:G37)</f>
        <v>1718</v>
      </c>
      <c r="J37" s="798">
        <f t="shared" ref="J37" si="26">B37/($H37-$G37)*100</f>
        <v>21.79054054054054</v>
      </c>
      <c r="K37" s="798">
        <f t="shared" ref="K37" si="27">C37/($H37-$G37)*100</f>
        <v>38.935810810810814</v>
      </c>
      <c r="L37" s="798">
        <f t="shared" ref="L37" si="28">D37/($H37-$G37)*100</f>
        <v>14.358108108108109</v>
      </c>
      <c r="M37" s="798">
        <f t="shared" ref="M37" si="29">E37/($H37-$G37)*100</f>
        <v>9.0371621621621632</v>
      </c>
      <c r="N37" s="798">
        <f>F37/($H37-$G37)*100</f>
        <v>15.878378378378377</v>
      </c>
      <c r="O37" s="157"/>
    </row>
  </sheetData>
  <sheetProtection algorithmName="SHA-512" hashValue="LUqn5IzJ0myUDQYu/H39Hr6xoeP2a+CVBehov6fC//csHWhNcrKVH/F3N7JWpQLv1uMh2HB3mjyvMpJZvOOBrA==" saltValue="cMjqh3a0vfI26OaFqSsYjw==" spinCount="100000" sheet="1" scenarios="1" formatCells="0" formatColumns="0" formatRows="0" sort="0" autoFilter="0" pivotTables="0"/>
  <mergeCells count="8">
    <mergeCell ref="A8:A9"/>
    <mergeCell ref="B8:F8"/>
    <mergeCell ref="H8:H9"/>
    <mergeCell ref="J8:N8"/>
    <mergeCell ref="A24:A25"/>
    <mergeCell ref="B24:F24"/>
    <mergeCell ref="H24:H25"/>
    <mergeCell ref="J24:N24"/>
  </mergeCells>
  <hyperlinks>
    <hyperlink ref="A2" location="'Table of Contents'!A1" display="Back to Table of Contents" xr:uid="{00000000-0004-0000-3900-000000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8">
    <tabColor rgb="FFFFAFF0"/>
    <pageSetUpPr fitToPage="1"/>
  </sheetPr>
  <dimension ref="A1:S48"/>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22.28515625" style="1" customWidth="1"/>
    <col min="2" max="2" width="24.28515625" style="1" customWidth="1"/>
    <col min="3" max="3" width="11.85546875" style="1" customWidth="1"/>
    <col min="4" max="4" width="12.140625" style="1" customWidth="1"/>
    <col min="5" max="5" width="11.28515625" style="1" customWidth="1"/>
    <col min="6" max="6" width="3.140625" style="1" customWidth="1"/>
    <col min="7" max="7" width="11" style="1" customWidth="1"/>
    <col min="8" max="8" width="11.42578125" style="1" customWidth="1"/>
    <col min="9" max="9" width="12.140625" style="1" customWidth="1"/>
    <col min="10" max="10" width="4" style="1" customWidth="1"/>
    <col min="11" max="11" width="20.140625" style="1" bestFit="1" customWidth="1"/>
    <col min="12" max="16384" width="9.140625" style="1"/>
  </cols>
  <sheetData>
    <row r="1" spans="1:19" ht="16.5" customHeight="1" x14ac:dyDescent="0.2">
      <c r="A1" s="298" t="s">
        <v>1129</v>
      </c>
    </row>
    <row r="2" spans="1:19" ht="16.5" customHeight="1" x14ac:dyDescent="0.2">
      <c r="A2" s="106" t="s">
        <v>578</v>
      </c>
    </row>
    <row r="3" spans="1:19" ht="38.25" customHeight="1" x14ac:dyDescent="0.2">
      <c r="A3" s="129" t="s">
        <v>1037</v>
      </c>
      <c r="B3" s="129"/>
      <c r="C3" s="129"/>
      <c r="D3" s="129"/>
      <c r="F3"/>
      <c r="G3" s="120"/>
      <c r="H3" s="120"/>
      <c r="I3" s="120"/>
      <c r="J3" s="120"/>
    </row>
    <row r="4" spans="1:19" ht="15" customHeight="1" x14ac:dyDescent="0.25">
      <c r="A4" s="351" t="s">
        <v>579</v>
      </c>
      <c r="B4" s="1043" t="s">
        <v>1308</v>
      </c>
      <c r="D4" s="129"/>
      <c r="E4" s="129"/>
      <c r="F4" s="120"/>
      <c r="G4" s="120"/>
      <c r="H4" s="120"/>
      <c r="I4" s="120"/>
      <c r="J4" s="120"/>
    </row>
    <row r="5" spans="1:19" ht="15" customHeight="1" x14ac:dyDescent="0.25">
      <c r="A5" s="351" t="s">
        <v>580</v>
      </c>
      <c r="B5" s="351" t="s">
        <v>581</v>
      </c>
      <c r="C5" s="129"/>
      <c r="D5" s="129"/>
      <c r="E5" s="129"/>
      <c r="F5" s="120"/>
      <c r="G5" s="120"/>
      <c r="H5" s="120"/>
      <c r="I5" s="120"/>
      <c r="J5" s="120"/>
    </row>
    <row r="6" spans="1:19" ht="15" customHeight="1" x14ac:dyDescent="0.25">
      <c r="A6" s="351" t="s">
        <v>582</v>
      </c>
      <c r="B6" s="351" t="s">
        <v>585</v>
      </c>
      <c r="C6" s="129"/>
      <c r="D6" s="129"/>
      <c r="E6" s="129"/>
      <c r="F6" s="120"/>
      <c r="G6" s="120"/>
      <c r="H6" s="120"/>
      <c r="I6" s="120"/>
      <c r="J6" s="120"/>
    </row>
    <row r="7" spans="1:19" x14ac:dyDescent="0.2">
      <c r="C7" s="432"/>
      <c r="D7" s="432"/>
      <c r="E7" s="433" t="s">
        <v>0</v>
      </c>
      <c r="H7" s="363"/>
      <c r="I7" s="66" t="s">
        <v>624</v>
      </c>
      <c r="L7"/>
      <c r="M7"/>
      <c r="N7"/>
      <c r="O7"/>
      <c r="P7"/>
      <c r="Q7"/>
      <c r="R7"/>
      <c r="S7"/>
    </row>
    <row r="8" spans="1:19" s="40" customFormat="1" ht="39.75" customHeight="1" x14ac:dyDescent="0.2">
      <c r="A8" s="363" t="s">
        <v>586</v>
      </c>
      <c r="B8" s="2" t="s">
        <v>22</v>
      </c>
      <c r="C8" s="255" t="s">
        <v>61</v>
      </c>
      <c r="D8" s="338" t="s">
        <v>116</v>
      </c>
      <c r="E8" s="337" t="s">
        <v>11</v>
      </c>
      <c r="F8" s="430"/>
      <c r="G8" s="255" t="s">
        <v>61</v>
      </c>
      <c r="H8" s="338" t="s">
        <v>116</v>
      </c>
      <c r="I8" s="341" t="s">
        <v>11</v>
      </c>
      <c r="K8" s="431" t="s">
        <v>279</v>
      </c>
      <c r="O8"/>
      <c r="P8"/>
      <c r="Q8"/>
      <c r="R8"/>
      <c r="S8"/>
    </row>
    <row r="9" spans="1:19" ht="18.75" customHeight="1" x14ac:dyDescent="0.2">
      <c r="A9" s="1" t="s">
        <v>587</v>
      </c>
      <c r="B9" s="400" t="s">
        <v>23</v>
      </c>
      <c r="C9" s="420">
        <f>T_03b!C5</f>
        <v>222</v>
      </c>
      <c r="D9" s="65">
        <f>T_03b!D5</f>
        <v>21</v>
      </c>
      <c r="E9" s="65">
        <f>T_03b!B5</f>
        <v>243</v>
      </c>
      <c r="G9" s="419">
        <f t="shared" ref="G9:G40" si="0">C9/K9*100000</f>
        <v>183.50140519094066</v>
      </c>
      <c r="H9" s="419">
        <f t="shared" ref="H9:H40" si="1">D9/K9*100000</f>
        <v>17.358241031575467</v>
      </c>
      <c r="I9" s="419">
        <f t="shared" ref="I9:I40" si="2">E9/K9*100000</f>
        <v>200.85964622251609</v>
      </c>
      <c r="J9"/>
      <c r="K9" s="429">
        <f>T_03b!E5</f>
        <v>120980</v>
      </c>
      <c r="O9"/>
      <c r="P9"/>
      <c r="Q9"/>
      <c r="R9"/>
      <c r="S9"/>
    </row>
    <row r="10" spans="1:19" ht="13.5" customHeight="1" x14ac:dyDescent="0.2">
      <c r="A10" s="1" t="s">
        <v>588</v>
      </c>
      <c r="B10" s="117" t="s">
        <v>24</v>
      </c>
      <c r="C10" s="420">
        <f>T_03b!C6</f>
        <v>164</v>
      </c>
      <c r="D10" s="65">
        <f>T_03b!D6</f>
        <v>8</v>
      </c>
      <c r="E10" s="65">
        <f>T_03b!B6</f>
        <v>172</v>
      </c>
      <c r="G10" s="419">
        <f t="shared" si="0"/>
        <v>136.83314699551121</v>
      </c>
      <c r="H10" s="419">
        <f t="shared" si="1"/>
        <v>6.6747876583176193</v>
      </c>
      <c r="I10" s="419">
        <f t="shared" si="2"/>
        <v>143.50793465382881</v>
      </c>
      <c r="J10"/>
      <c r="K10" s="428">
        <f>T_03b!E6</f>
        <v>119854</v>
      </c>
      <c r="O10"/>
      <c r="P10"/>
      <c r="Q10"/>
      <c r="R10"/>
      <c r="S10"/>
    </row>
    <row r="11" spans="1:19" ht="13.5" customHeight="1" x14ac:dyDescent="0.2">
      <c r="A11" s="1" t="s">
        <v>589</v>
      </c>
      <c r="B11" s="117" t="s">
        <v>25</v>
      </c>
      <c r="C11" s="420">
        <f>T_03b!C7</f>
        <v>74</v>
      </c>
      <c r="D11" s="65">
        <f>T_03b!D7</f>
        <v>6</v>
      </c>
      <c r="E11" s="65">
        <f>T_03b!B7</f>
        <v>80</v>
      </c>
      <c r="G11" s="419">
        <f t="shared" si="0"/>
        <v>129.35706044820472</v>
      </c>
      <c r="H11" s="419">
        <f t="shared" si="1"/>
        <v>10.488410306611193</v>
      </c>
      <c r="I11" s="419">
        <f t="shared" si="2"/>
        <v>139.84547075481592</v>
      </c>
      <c r="J11"/>
      <c r="K11" s="428">
        <f>T_03b!E7</f>
        <v>57206</v>
      </c>
      <c r="O11"/>
      <c r="P11"/>
      <c r="Q11"/>
      <c r="R11"/>
      <c r="S11"/>
    </row>
    <row r="12" spans="1:19" ht="13.5" customHeight="1" x14ac:dyDescent="0.2">
      <c r="A12" s="1" t="s">
        <v>590</v>
      </c>
      <c r="B12" s="117" t="s">
        <v>26</v>
      </c>
      <c r="C12" s="420">
        <f>T_03b!C8</f>
        <v>84</v>
      </c>
      <c r="D12" s="65">
        <f>T_03b!D8</f>
        <v>2</v>
      </c>
      <c r="E12" s="65">
        <f>T_03b!B8</f>
        <v>86</v>
      </c>
      <c r="G12" s="419">
        <f t="shared" si="0"/>
        <v>174.27747463640324</v>
      </c>
      <c r="H12" s="419">
        <f t="shared" si="1"/>
        <v>4.1494636818191255</v>
      </c>
      <c r="I12" s="419">
        <f t="shared" si="2"/>
        <v>178.42693831822237</v>
      </c>
      <c r="J12"/>
      <c r="K12" s="428">
        <f>T_03b!E8</f>
        <v>48199</v>
      </c>
      <c r="O12"/>
      <c r="P12"/>
      <c r="Q12"/>
      <c r="R12"/>
      <c r="S12"/>
    </row>
    <row r="13" spans="1:19" ht="13.5" customHeight="1" x14ac:dyDescent="0.2">
      <c r="A13" s="1" t="s">
        <v>591</v>
      </c>
      <c r="B13" s="117" t="s">
        <v>619</v>
      </c>
      <c r="C13" s="420">
        <f>T_03b!C9</f>
        <v>369</v>
      </c>
      <c r="D13" s="65">
        <f>T_03b!D9</f>
        <v>53</v>
      </c>
      <c r="E13" s="65">
        <f>T_03b!B9</f>
        <v>422</v>
      </c>
      <c r="G13" s="419">
        <f t="shared" si="0"/>
        <v>144.74618423168803</v>
      </c>
      <c r="H13" s="419">
        <f t="shared" si="1"/>
        <v>20.790102342220774</v>
      </c>
      <c r="I13" s="419">
        <f t="shared" si="2"/>
        <v>165.53628657390882</v>
      </c>
      <c r="J13"/>
      <c r="K13" s="428">
        <f>T_03b!E9</f>
        <v>254929</v>
      </c>
      <c r="O13"/>
      <c r="P13"/>
      <c r="Q13"/>
      <c r="R13"/>
      <c r="S13"/>
    </row>
    <row r="14" spans="1:19" ht="13.5" customHeight="1" x14ac:dyDescent="0.2">
      <c r="A14" s="1" t="s">
        <v>592</v>
      </c>
      <c r="B14" s="117" t="s">
        <v>27</v>
      </c>
      <c r="C14" s="420">
        <f>T_03b!C10</f>
        <v>54</v>
      </c>
      <c r="D14" s="65">
        <f>T_03b!D10</f>
        <v>1</v>
      </c>
      <c r="E14" s="65">
        <f>T_03b!B10</f>
        <v>55</v>
      </c>
      <c r="G14" s="419">
        <f t="shared" si="0"/>
        <v>217.40880908285692</v>
      </c>
      <c r="H14" s="419">
        <f t="shared" si="1"/>
        <v>4.0260890570899424</v>
      </c>
      <c r="I14" s="419">
        <f t="shared" si="2"/>
        <v>221.43489813994688</v>
      </c>
      <c r="J14"/>
      <c r="K14" s="428">
        <f>T_03b!E10</f>
        <v>24838</v>
      </c>
      <c r="O14"/>
      <c r="P14"/>
      <c r="Q14"/>
      <c r="R14"/>
      <c r="S14"/>
    </row>
    <row r="15" spans="1:19" ht="13.5" customHeight="1" x14ac:dyDescent="0.2">
      <c r="A15" s="1" t="s">
        <v>593</v>
      </c>
      <c r="B15" s="117" t="s">
        <v>28</v>
      </c>
      <c r="C15" s="420">
        <f>T_03b!C11</f>
        <v>69</v>
      </c>
      <c r="D15" s="65">
        <f>T_03b!D11</f>
        <v>5</v>
      </c>
      <c r="E15" s="65">
        <f>T_03b!B11</f>
        <v>74</v>
      </c>
      <c r="G15" s="419">
        <f t="shared" si="0"/>
        <v>91.635900023905009</v>
      </c>
      <c r="H15" s="419">
        <f t="shared" si="1"/>
        <v>6.6402826104278994</v>
      </c>
      <c r="I15" s="419">
        <f t="shared" si="2"/>
        <v>98.276182634332926</v>
      </c>
      <c r="J15"/>
      <c r="K15" s="428">
        <f>T_03b!E11</f>
        <v>75298</v>
      </c>
      <c r="O15"/>
      <c r="P15"/>
      <c r="Q15"/>
      <c r="R15"/>
      <c r="S15"/>
    </row>
    <row r="16" spans="1:19" ht="13.5" customHeight="1" x14ac:dyDescent="0.2">
      <c r="A16" s="1" t="s">
        <v>594</v>
      </c>
      <c r="B16" s="117" t="s">
        <v>29</v>
      </c>
      <c r="C16" s="420">
        <f>T_03b!C12</f>
        <v>186</v>
      </c>
      <c r="D16" s="65">
        <f>T_03b!D12</f>
        <v>23</v>
      </c>
      <c r="E16" s="65">
        <f>T_03b!B12</f>
        <v>209</v>
      </c>
      <c r="G16" s="419">
        <f t="shared" si="0"/>
        <v>247.91075212923349</v>
      </c>
      <c r="H16" s="419">
        <f t="shared" si="1"/>
        <v>30.655630639636399</v>
      </c>
      <c r="I16" s="419">
        <f t="shared" si="2"/>
        <v>278.56638276886986</v>
      </c>
      <c r="J16"/>
      <c r="K16" s="428">
        <f>T_03b!E12</f>
        <v>75027</v>
      </c>
      <c r="O16"/>
      <c r="P16"/>
      <c r="Q16"/>
      <c r="R16"/>
      <c r="S16"/>
    </row>
    <row r="17" spans="1:19" ht="13.5" customHeight="1" x14ac:dyDescent="0.2">
      <c r="A17" s="1" t="s">
        <v>595</v>
      </c>
      <c r="B17" s="117" t="s">
        <v>30</v>
      </c>
      <c r="C17" s="420">
        <f>T_03b!C13</f>
        <v>95</v>
      </c>
      <c r="D17" s="65">
        <f>T_03b!D13</f>
        <v>14</v>
      </c>
      <c r="E17" s="65">
        <f>T_03b!B13</f>
        <v>109</v>
      </c>
      <c r="G17" s="419">
        <f t="shared" si="0"/>
        <v>161.50694479862634</v>
      </c>
      <c r="H17" s="419">
        <f t="shared" si="1"/>
        <v>23.801023444008095</v>
      </c>
      <c r="I17" s="419">
        <f t="shared" si="2"/>
        <v>185.30796824263442</v>
      </c>
      <c r="J17"/>
      <c r="K17" s="428">
        <f>T_03b!E13</f>
        <v>58821</v>
      </c>
      <c r="O17"/>
      <c r="P17"/>
      <c r="Q17"/>
      <c r="R17"/>
      <c r="S17"/>
    </row>
    <row r="18" spans="1:19" ht="13.5" customHeight="1" x14ac:dyDescent="0.2">
      <c r="A18" s="1" t="s">
        <v>596</v>
      </c>
      <c r="B18" s="117" t="s">
        <v>31</v>
      </c>
      <c r="C18" s="420">
        <f>T_03b!C14</f>
        <v>65</v>
      </c>
      <c r="D18" s="65">
        <f>T_03b!D14</f>
        <v>9</v>
      </c>
      <c r="E18" s="65">
        <f>T_03b!B14</f>
        <v>74</v>
      </c>
      <c r="G18" s="419">
        <f t="shared" si="0"/>
        <v>137.56322617510742</v>
      </c>
      <c r="H18" s="419">
        <f t="shared" si="1"/>
        <v>19.047215931937949</v>
      </c>
      <c r="I18" s="419">
        <f t="shared" si="2"/>
        <v>156.61044210704534</v>
      </c>
      <c r="J18"/>
      <c r="K18" s="428">
        <f>T_03b!E14</f>
        <v>47251</v>
      </c>
      <c r="O18"/>
      <c r="P18"/>
      <c r="Q18"/>
      <c r="R18"/>
      <c r="S18"/>
    </row>
    <row r="19" spans="1:19" ht="13.5" customHeight="1" x14ac:dyDescent="0.2">
      <c r="A19" s="1" t="s">
        <v>597</v>
      </c>
      <c r="B19" s="117" t="s">
        <v>32</v>
      </c>
      <c r="C19" s="420">
        <f>T_03b!C15</f>
        <v>46</v>
      </c>
      <c r="D19" s="65">
        <f>T_03b!D15</f>
        <v>3</v>
      </c>
      <c r="E19" s="65">
        <f>T_03b!B15</f>
        <v>49</v>
      </c>
      <c r="G19" s="419">
        <f t="shared" si="0"/>
        <v>92.663470448410621</v>
      </c>
      <c r="H19" s="419">
        <f t="shared" si="1"/>
        <v>6.0432698118528663</v>
      </c>
      <c r="I19" s="419">
        <f t="shared" si="2"/>
        <v>98.706740260263487</v>
      </c>
      <c r="J19"/>
      <c r="K19" s="428">
        <f>T_03b!E15</f>
        <v>49642</v>
      </c>
      <c r="O19"/>
      <c r="P19"/>
      <c r="Q19"/>
      <c r="R19"/>
      <c r="S19"/>
    </row>
    <row r="20" spans="1:19" ht="13.5" customHeight="1" x14ac:dyDescent="0.2">
      <c r="A20" s="1" t="s">
        <v>598</v>
      </c>
      <c r="B20" s="117" t="s">
        <v>33</v>
      </c>
      <c r="C20" s="420">
        <f>T_03b!C16</f>
        <v>49</v>
      </c>
      <c r="D20" s="65">
        <f>T_03b!D16</f>
        <v>4</v>
      </c>
      <c r="E20" s="65">
        <f>T_03b!B16</f>
        <v>53</v>
      </c>
      <c r="G20" s="419">
        <f t="shared" si="0"/>
        <v>124.19841330190353</v>
      </c>
      <c r="H20" s="419">
        <f t="shared" si="1"/>
        <v>10.138645983828861</v>
      </c>
      <c r="I20" s="419">
        <f t="shared" si="2"/>
        <v>134.33705928573241</v>
      </c>
      <c r="J20"/>
      <c r="K20" s="428">
        <f>T_03b!E16</f>
        <v>39453</v>
      </c>
      <c r="O20"/>
      <c r="P20"/>
      <c r="Q20"/>
      <c r="R20"/>
      <c r="S20"/>
    </row>
    <row r="21" spans="1:19" ht="13.5" customHeight="1" x14ac:dyDescent="0.2">
      <c r="A21" s="1" t="s">
        <v>599</v>
      </c>
      <c r="B21" s="117" t="s">
        <v>34</v>
      </c>
      <c r="C21" s="420">
        <f>T_03b!C17</f>
        <v>99</v>
      </c>
      <c r="D21" s="65">
        <f>T_03b!D17</f>
        <v>10</v>
      </c>
      <c r="E21" s="65">
        <f>T_03b!B17</f>
        <v>109</v>
      </c>
      <c r="G21" s="419">
        <f t="shared" si="0"/>
        <v>130.96104239698391</v>
      </c>
      <c r="H21" s="419">
        <f t="shared" si="1"/>
        <v>13.228388120907468</v>
      </c>
      <c r="I21" s="419">
        <f t="shared" si="2"/>
        <v>144.1894305178914</v>
      </c>
      <c r="J21"/>
      <c r="K21" s="428">
        <f>T_03b!E17</f>
        <v>75595</v>
      </c>
      <c r="O21"/>
      <c r="P21"/>
      <c r="Q21"/>
      <c r="R21"/>
      <c r="S21"/>
    </row>
    <row r="22" spans="1:19" ht="13.5" customHeight="1" x14ac:dyDescent="0.2">
      <c r="A22" s="1" t="s">
        <v>600</v>
      </c>
      <c r="B22" s="117" t="s">
        <v>35</v>
      </c>
      <c r="C22" s="420">
        <f>T_03b!C18</f>
        <v>227</v>
      </c>
      <c r="D22" s="65">
        <f>T_03b!D18</f>
        <v>20</v>
      </c>
      <c r="E22" s="65">
        <f>T_03b!B18</f>
        <v>247</v>
      </c>
      <c r="G22" s="419">
        <f t="shared" si="0"/>
        <v>126.65149080521336</v>
      </c>
      <c r="H22" s="419">
        <f t="shared" si="1"/>
        <v>11.158721656846993</v>
      </c>
      <c r="I22" s="419">
        <f t="shared" si="2"/>
        <v>137.81021246206035</v>
      </c>
      <c r="J22"/>
      <c r="K22" s="428">
        <f>T_03b!E18</f>
        <v>179232</v>
      </c>
      <c r="O22"/>
      <c r="P22"/>
      <c r="Q22"/>
      <c r="R22"/>
      <c r="S22"/>
    </row>
    <row r="23" spans="1:19" ht="13.5" customHeight="1" x14ac:dyDescent="0.2">
      <c r="A23" s="1" t="s">
        <v>601</v>
      </c>
      <c r="B23" s="117" t="s">
        <v>36</v>
      </c>
      <c r="C23" s="420">
        <f>T_03b!C19</f>
        <v>685</v>
      </c>
      <c r="D23" s="65">
        <f>T_03b!D19</f>
        <v>110</v>
      </c>
      <c r="E23" s="65">
        <f>T_03b!B19</f>
        <v>795</v>
      </c>
      <c r="G23" s="419">
        <f t="shared" si="0"/>
        <v>215.95684646256382</v>
      </c>
      <c r="H23" s="419">
        <f t="shared" si="1"/>
        <v>34.679201621725575</v>
      </c>
      <c r="I23" s="419">
        <f t="shared" si="2"/>
        <v>250.63604808428937</v>
      </c>
      <c r="J23"/>
      <c r="K23" s="428">
        <f>T_03b!E19</f>
        <v>317193</v>
      </c>
      <c r="O23"/>
      <c r="P23"/>
      <c r="Q23"/>
      <c r="R23"/>
      <c r="S23"/>
    </row>
    <row r="24" spans="1:19" ht="13.5" customHeight="1" x14ac:dyDescent="0.2">
      <c r="A24" s="1" t="s">
        <v>602</v>
      </c>
      <c r="B24" s="117" t="s">
        <v>37</v>
      </c>
      <c r="C24" s="420">
        <f>T_03b!C20</f>
        <v>126</v>
      </c>
      <c r="D24" s="65">
        <f>T_03b!D20</f>
        <v>6</v>
      </c>
      <c r="E24" s="65">
        <f>T_03b!B20</f>
        <v>132</v>
      </c>
      <c r="G24" s="419">
        <f t="shared" si="0"/>
        <v>105.07179906269285</v>
      </c>
      <c r="H24" s="419">
        <f t="shared" si="1"/>
        <v>5.0034190029853729</v>
      </c>
      <c r="I24" s="419">
        <f t="shared" si="2"/>
        <v>110.0752180656782</v>
      </c>
      <c r="J24"/>
      <c r="K24" s="428">
        <f>T_03b!E20</f>
        <v>119918</v>
      </c>
      <c r="O24"/>
      <c r="P24"/>
      <c r="Q24"/>
      <c r="R24"/>
      <c r="S24"/>
    </row>
    <row r="25" spans="1:19" ht="13.5" customHeight="1" x14ac:dyDescent="0.2">
      <c r="A25" s="1" t="s">
        <v>603</v>
      </c>
      <c r="B25" s="117" t="s">
        <v>38</v>
      </c>
      <c r="C25" s="420">
        <f>T_03b!C21</f>
        <v>88</v>
      </c>
      <c r="D25" s="65">
        <f>T_03b!D21</f>
        <v>22</v>
      </c>
      <c r="E25" s="65">
        <f>T_03b!B21</f>
        <v>110</v>
      </c>
      <c r="G25" s="419">
        <f t="shared" si="0"/>
        <v>225.02365305444036</v>
      </c>
      <c r="H25" s="419">
        <f t="shared" si="1"/>
        <v>56.25591326361009</v>
      </c>
      <c r="I25" s="419">
        <f t="shared" si="2"/>
        <v>281.27956631805046</v>
      </c>
      <c r="J25"/>
      <c r="K25" s="428">
        <f>T_03b!E21</f>
        <v>39107</v>
      </c>
      <c r="O25"/>
      <c r="P25"/>
      <c r="Q25"/>
      <c r="R25"/>
      <c r="S25"/>
    </row>
    <row r="26" spans="1:19" ht="13.5" customHeight="1" x14ac:dyDescent="0.2">
      <c r="A26" s="1" t="s">
        <v>604</v>
      </c>
      <c r="B26" s="117" t="s">
        <v>39</v>
      </c>
      <c r="C26" s="420">
        <f>T_03b!C22</f>
        <v>57</v>
      </c>
      <c r="D26" s="65">
        <f>T_03b!D22</f>
        <v>2</v>
      </c>
      <c r="E26" s="65">
        <f>T_03b!B22</f>
        <v>59</v>
      </c>
      <c r="G26" s="419">
        <f t="shared" si="0"/>
        <v>136.83174496483184</v>
      </c>
      <c r="H26" s="419">
        <f t="shared" si="1"/>
        <v>4.8011138584151523</v>
      </c>
      <c r="I26" s="419">
        <f t="shared" si="2"/>
        <v>141.63285882324701</v>
      </c>
      <c r="J26"/>
      <c r="K26" s="428">
        <f>T_03b!E22</f>
        <v>41657</v>
      </c>
      <c r="O26"/>
      <c r="P26"/>
      <c r="Q26"/>
      <c r="R26"/>
      <c r="S26"/>
    </row>
    <row r="27" spans="1:19" ht="13.5" customHeight="1" x14ac:dyDescent="0.2">
      <c r="A27" s="1" t="s">
        <v>605</v>
      </c>
      <c r="B27" s="117" t="s">
        <v>40</v>
      </c>
      <c r="C27" s="420">
        <f>T_03b!C23</f>
        <v>50</v>
      </c>
      <c r="D27" s="65">
        <f>T_03b!D23</f>
        <v>1</v>
      </c>
      <c r="E27" s="65">
        <f>T_03b!B23</f>
        <v>51</v>
      </c>
      <c r="G27" s="419">
        <f t="shared" si="0"/>
        <v>109.07980278371657</v>
      </c>
      <c r="H27" s="419">
        <f t="shared" si="1"/>
        <v>2.1815960556743312</v>
      </c>
      <c r="I27" s="419">
        <f t="shared" si="2"/>
        <v>111.26139883939089</v>
      </c>
      <c r="J27"/>
      <c r="K27" s="428">
        <f>T_03b!E23</f>
        <v>45838</v>
      </c>
      <c r="O27"/>
      <c r="P27"/>
      <c r="Q27"/>
      <c r="R27"/>
      <c r="S27"/>
    </row>
    <row r="28" spans="1:19" ht="13.5" customHeight="1" x14ac:dyDescent="0.2">
      <c r="A28" s="1" t="s">
        <v>606</v>
      </c>
      <c r="B28" s="117" t="s">
        <v>295</v>
      </c>
      <c r="C28" s="420">
        <f>T_03b!C24</f>
        <v>21</v>
      </c>
      <c r="D28" s="65">
        <f>T_03b!D24</f>
        <v>1</v>
      </c>
      <c r="E28" s="65">
        <f>T_03b!B24</f>
        <v>22</v>
      </c>
      <c r="G28" s="419">
        <f t="shared" si="0"/>
        <v>142.23787591438634</v>
      </c>
      <c r="H28" s="419">
        <f t="shared" si="1"/>
        <v>6.7732321863993503</v>
      </c>
      <c r="I28" s="419">
        <f t="shared" si="2"/>
        <v>149.01110810078569</v>
      </c>
      <c r="J28"/>
      <c r="K28" s="428">
        <f>T_03b!E24</f>
        <v>14764</v>
      </c>
      <c r="O28"/>
      <c r="P28"/>
      <c r="Q28"/>
      <c r="R28"/>
      <c r="S28"/>
    </row>
    <row r="29" spans="1:19" ht="13.5" customHeight="1" x14ac:dyDescent="0.2">
      <c r="A29" s="1" t="s">
        <v>607</v>
      </c>
      <c r="B29" s="117" t="s">
        <v>41</v>
      </c>
      <c r="C29" s="420">
        <f>T_03b!C25</f>
        <v>136</v>
      </c>
      <c r="D29" s="65">
        <f>T_03b!D25</f>
        <v>17</v>
      </c>
      <c r="E29" s="65">
        <f>T_03b!B25</f>
        <v>153</v>
      </c>
      <c r="G29" s="419">
        <f t="shared" si="0"/>
        <v>197.5509492613628</v>
      </c>
      <c r="H29" s="419">
        <f t="shared" si="1"/>
        <v>24.69386865767035</v>
      </c>
      <c r="I29" s="419">
        <f t="shared" si="2"/>
        <v>222.24481791903315</v>
      </c>
      <c r="J29"/>
      <c r="K29" s="428">
        <f>T_03b!E25</f>
        <v>68843</v>
      </c>
      <c r="O29"/>
      <c r="P29"/>
      <c r="Q29"/>
      <c r="R29"/>
      <c r="S29"/>
    </row>
    <row r="30" spans="1:19" ht="13.5" customHeight="1" x14ac:dyDescent="0.2">
      <c r="A30" s="1" t="s">
        <v>608</v>
      </c>
      <c r="B30" s="117" t="s">
        <v>42</v>
      </c>
      <c r="C30" s="420">
        <f>T_03b!C26</f>
        <v>279</v>
      </c>
      <c r="D30" s="65">
        <f>T_03b!D26</f>
        <v>39</v>
      </c>
      <c r="E30" s="65">
        <f>T_03b!B26</f>
        <v>318</v>
      </c>
      <c r="G30" s="419">
        <f t="shared" si="0"/>
        <v>177.00237906423473</v>
      </c>
      <c r="H30" s="419">
        <f t="shared" si="1"/>
        <v>24.742268041237114</v>
      </c>
      <c r="I30" s="419">
        <f t="shared" si="2"/>
        <v>201.74464710547187</v>
      </c>
      <c r="J30"/>
      <c r="K30" s="428">
        <f>T_03b!E26</f>
        <v>157625</v>
      </c>
      <c r="O30"/>
      <c r="P30"/>
      <c r="Q30"/>
      <c r="R30"/>
      <c r="S30"/>
    </row>
    <row r="31" spans="1:19" ht="13.5" customHeight="1" x14ac:dyDescent="0.2">
      <c r="A31" s="1" t="s">
        <v>609</v>
      </c>
      <c r="B31" s="117" t="s">
        <v>43</v>
      </c>
      <c r="C31" s="420">
        <f>T_03b!C27</f>
        <v>4</v>
      </c>
      <c r="D31" s="65">
        <f>T_03b!D27</f>
        <v>0</v>
      </c>
      <c r="E31" s="65">
        <f>T_03b!B27</f>
        <v>4</v>
      </c>
      <c r="G31" s="419">
        <f t="shared" si="0"/>
        <v>35.115442015626371</v>
      </c>
      <c r="H31" s="419">
        <f t="shared" si="1"/>
        <v>0</v>
      </c>
      <c r="I31" s="419">
        <f t="shared" si="2"/>
        <v>35.115442015626371</v>
      </c>
      <c r="J31"/>
      <c r="K31" s="428">
        <f>T_03b!E27</f>
        <v>11391</v>
      </c>
      <c r="O31"/>
      <c r="P31"/>
      <c r="Q31"/>
      <c r="R31"/>
      <c r="S31"/>
    </row>
    <row r="32" spans="1:19" ht="13.5" customHeight="1" x14ac:dyDescent="0.2">
      <c r="A32" s="1" t="s">
        <v>610</v>
      </c>
      <c r="B32" s="117" t="s">
        <v>44</v>
      </c>
      <c r="C32" s="420">
        <f>T_03b!C28</f>
        <v>97</v>
      </c>
      <c r="D32" s="65">
        <f>T_03b!D28</f>
        <v>7</v>
      </c>
      <c r="E32" s="65">
        <f>T_03b!B28</f>
        <v>104</v>
      </c>
      <c r="G32" s="419">
        <f t="shared" si="0"/>
        <v>131.4808539478143</v>
      </c>
      <c r="H32" s="419">
        <f t="shared" si="1"/>
        <v>9.4883090477804135</v>
      </c>
      <c r="I32" s="419">
        <f t="shared" si="2"/>
        <v>140.96916299559473</v>
      </c>
      <c r="J32"/>
      <c r="K32" s="428">
        <f>T_03b!E28</f>
        <v>73775</v>
      </c>
      <c r="O32"/>
      <c r="P32"/>
      <c r="Q32"/>
      <c r="R32"/>
      <c r="S32"/>
    </row>
    <row r="33" spans="1:19" ht="13.5" customHeight="1" x14ac:dyDescent="0.2">
      <c r="A33" s="1" t="s">
        <v>611</v>
      </c>
      <c r="B33" s="117" t="s">
        <v>45</v>
      </c>
      <c r="C33" s="420">
        <f>T_03b!C29</f>
        <v>151</v>
      </c>
      <c r="D33" s="65">
        <f>T_03b!D29</f>
        <v>34</v>
      </c>
      <c r="E33" s="65">
        <f>T_03b!B29</f>
        <v>185</v>
      </c>
      <c r="G33" s="419">
        <f t="shared" si="0"/>
        <v>170.38274056688931</v>
      </c>
      <c r="H33" s="419">
        <f t="shared" si="1"/>
        <v>38.364325690557862</v>
      </c>
      <c r="I33" s="419">
        <f t="shared" si="2"/>
        <v>208.74706625744719</v>
      </c>
      <c r="J33"/>
      <c r="K33" s="428">
        <f>T_03b!E29</f>
        <v>88624</v>
      </c>
      <c r="O33"/>
      <c r="P33"/>
      <c r="Q33"/>
      <c r="R33"/>
      <c r="S33"/>
    </row>
    <row r="34" spans="1:19" ht="13.5" customHeight="1" x14ac:dyDescent="0.2">
      <c r="A34" s="1" t="s">
        <v>612</v>
      </c>
      <c r="B34" s="117" t="s">
        <v>46</v>
      </c>
      <c r="C34" s="420">
        <f>T_03b!C30</f>
        <v>77</v>
      </c>
      <c r="D34" s="65">
        <f>T_03b!D30</f>
        <v>8</v>
      </c>
      <c r="E34" s="65">
        <f>T_03b!B30</f>
        <v>85</v>
      </c>
      <c r="G34" s="419">
        <f t="shared" si="0"/>
        <v>130.92120923589621</v>
      </c>
      <c r="H34" s="419">
        <f t="shared" si="1"/>
        <v>13.60220355697623</v>
      </c>
      <c r="I34" s="419">
        <f t="shared" si="2"/>
        <v>144.52341279287245</v>
      </c>
      <c r="J34"/>
      <c r="K34" s="428">
        <f>T_03b!E30</f>
        <v>58814</v>
      </c>
      <c r="O34"/>
      <c r="P34"/>
      <c r="Q34"/>
      <c r="R34"/>
      <c r="S34"/>
    </row>
    <row r="35" spans="1:19" ht="13.5" customHeight="1" x14ac:dyDescent="0.2">
      <c r="A35" s="1" t="s">
        <v>613</v>
      </c>
      <c r="B35" s="117" t="s">
        <v>47</v>
      </c>
      <c r="C35" s="420">
        <f>T_03b!C31</f>
        <v>24</v>
      </c>
      <c r="D35" s="65">
        <f>T_03b!D31</f>
        <v>1</v>
      </c>
      <c r="E35" s="65">
        <f>T_03b!B31</f>
        <v>25</v>
      </c>
      <c r="G35" s="419">
        <f t="shared" si="0"/>
        <v>211.0075611042729</v>
      </c>
      <c r="H35" s="419">
        <f t="shared" si="1"/>
        <v>8.7919817126780373</v>
      </c>
      <c r="I35" s="419">
        <f t="shared" si="2"/>
        <v>219.79954281695092</v>
      </c>
      <c r="J35"/>
      <c r="K35" s="428">
        <f>T_03b!E31</f>
        <v>11374</v>
      </c>
      <c r="O35"/>
      <c r="P35"/>
      <c r="Q35"/>
      <c r="R35"/>
      <c r="S35"/>
    </row>
    <row r="36" spans="1:19" ht="13.5" customHeight="1" x14ac:dyDescent="0.2">
      <c r="A36" s="1" t="s">
        <v>614</v>
      </c>
      <c r="B36" s="117" t="s">
        <v>48</v>
      </c>
      <c r="C36" s="420">
        <f>T_03b!C32</f>
        <v>73</v>
      </c>
      <c r="D36" s="65">
        <f>T_03b!D32</f>
        <v>17</v>
      </c>
      <c r="E36" s="65">
        <f>T_03b!B32</f>
        <v>90</v>
      </c>
      <c r="G36" s="419">
        <f t="shared" si="0"/>
        <v>130.8407864785905</v>
      </c>
      <c r="H36" s="419">
        <f t="shared" si="1"/>
        <v>30.469772193644367</v>
      </c>
      <c r="I36" s="419">
        <f t="shared" si="2"/>
        <v>161.31055867223486</v>
      </c>
      <c r="J36"/>
      <c r="K36" s="428">
        <f>T_03b!E32</f>
        <v>55793</v>
      </c>
      <c r="O36"/>
      <c r="P36"/>
      <c r="Q36"/>
      <c r="R36"/>
      <c r="S36"/>
    </row>
    <row r="37" spans="1:19" ht="13.5" customHeight="1" x14ac:dyDescent="0.2">
      <c r="A37" s="1" t="s">
        <v>615</v>
      </c>
      <c r="B37" s="117" t="s">
        <v>49</v>
      </c>
      <c r="C37" s="420">
        <f>T_03b!C33</f>
        <v>221</v>
      </c>
      <c r="D37" s="65">
        <f>T_03b!D33</f>
        <v>34</v>
      </c>
      <c r="E37" s="65">
        <f>T_03b!B33</f>
        <v>255</v>
      </c>
      <c r="G37" s="419">
        <f t="shared" si="0"/>
        <v>143.63427204721083</v>
      </c>
      <c r="H37" s="419">
        <f t="shared" si="1"/>
        <v>22.097580314955511</v>
      </c>
      <c r="I37" s="419">
        <f t="shared" si="2"/>
        <v>165.73185236216634</v>
      </c>
      <c r="J37"/>
      <c r="K37" s="428">
        <f>T_03b!E33</f>
        <v>153863</v>
      </c>
      <c r="O37"/>
      <c r="P37"/>
      <c r="Q37"/>
      <c r="R37"/>
      <c r="S37"/>
    </row>
    <row r="38" spans="1:19" ht="13.5" customHeight="1" x14ac:dyDescent="0.2">
      <c r="A38" s="1" t="s">
        <v>616</v>
      </c>
      <c r="B38" s="117" t="s">
        <v>50</v>
      </c>
      <c r="C38" s="420">
        <f>T_03b!C34</f>
        <v>48</v>
      </c>
      <c r="D38" s="65">
        <f>T_03b!D34</f>
        <v>11</v>
      </c>
      <c r="E38" s="65">
        <f>T_03b!B34</f>
        <v>59</v>
      </c>
      <c r="G38" s="419">
        <f t="shared" si="0"/>
        <v>114.42193087008343</v>
      </c>
      <c r="H38" s="419">
        <f t="shared" si="1"/>
        <v>26.221692491060786</v>
      </c>
      <c r="I38" s="419">
        <f t="shared" si="2"/>
        <v>140.64362336114422</v>
      </c>
      <c r="J38"/>
      <c r="K38" s="428">
        <f>T_03b!E34</f>
        <v>41950</v>
      </c>
      <c r="O38"/>
      <c r="P38"/>
      <c r="Q38"/>
      <c r="R38"/>
      <c r="S38"/>
    </row>
    <row r="39" spans="1:19" ht="13.5" customHeight="1" x14ac:dyDescent="0.2">
      <c r="A39" s="1" t="s">
        <v>617</v>
      </c>
      <c r="B39" s="117" t="s">
        <v>51</v>
      </c>
      <c r="C39" s="420">
        <f>T_03b!C35</f>
        <v>102</v>
      </c>
      <c r="D39" s="65">
        <f>T_03b!D35</f>
        <v>15</v>
      </c>
      <c r="E39" s="65">
        <f>T_03b!B35</f>
        <v>117</v>
      </c>
      <c r="G39" s="419">
        <f t="shared" si="0"/>
        <v>225.9236289536635</v>
      </c>
      <c r="H39" s="419">
        <f t="shared" si="1"/>
        <v>33.224063081421107</v>
      </c>
      <c r="I39" s="419">
        <f t="shared" si="2"/>
        <v>259.14769203508462</v>
      </c>
      <c r="J39"/>
      <c r="K39" s="428">
        <f>T_03b!E35</f>
        <v>45148</v>
      </c>
      <c r="O39"/>
      <c r="P39"/>
      <c r="Q39"/>
      <c r="R39"/>
      <c r="S39"/>
    </row>
    <row r="40" spans="1:19" ht="13.5" customHeight="1" x14ac:dyDescent="0.2">
      <c r="A40" s="1" t="s">
        <v>618</v>
      </c>
      <c r="B40" s="117" t="s">
        <v>52</v>
      </c>
      <c r="C40" s="420">
        <f>T_03b!C36</f>
        <v>99</v>
      </c>
      <c r="D40" s="65">
        <f>T_03b!D36</f>
        <v>16</v>
      </c>
      <c r="E40" s="65">
        <f>T_03b!B36</f>
        <v>115</v>
      </c>
      <c r="G40" s="419">
        <f t="shared" si="0"/>
        <v>121.14092727873425</v>
      </c>
      <c r="H40" s="419">
        <f t="shared" si="1"/>
        <v>19.578331681411598</v>
      </c>
      <c r="I40" s="419">
        <f t="shared" si="2"/>
        <v>140.71925896014585</v>
      </c>
      <c r="J40"/>
      <c r="K40" s="428">
        <f>T_03b!E36</f>
        <v>81723</v>
      </c>
      <c r="O40"/>
      <c r="P40"/>
      <c r="Q40"/>
      <c r="R40"/>
      <c r="S40"/>
    </row>
    <row r="41" spans="1:19" x14ac:dyDescent="0.2">
      <c r="B41" s="117"/>
      <c r="C41" s="65"/>
      <c r="D41" s="65"/>
      <c r="E41" s="65"/>
      <c r="F41" s="65"/>
      <c r="G41" s="65"/>
      <c r="H41" s="65"/>
      <c r="I41" s="419"/>
      <c r="J41"/>
      <c r="K41" s="196"/>
      <c r="L41"/>
      <c r="M41"/>
      <c r="N41"/>
      <c r="O41"/>
      <c r="P41"/>
      <c r="Q41"/>
      <c r="R41"/>
      <c r="S41"/>
    </row>
    <row r="42" spans="1:19" s="39" customFormat="1" ht="30" customHeight="1" thickBot="1" x14ac:dyDescent="0.25">
      <c r="A42" s="359" t="s">
        <v>620</v>
      </c>
      <c r="B42" s="360" t="s">
        <v>143</v>
      </c>
      <c r="C42" s="423">
        <f>GETPIVOTDATA("Sum of Total_ADF",T_03b!$A$4)</f>
        <v>4141</v>
      </c>
      <c r="D42" s="423">
        <f>GETPIVOTDATA("Sum of DDF",T_03b!$A$4)</f>
        <v>520</v>
      </c>
      <c r="E42" s="423">
        <f>SUM(E9:E41)</f>
        <v>4661</v>
      </c>
      <c r="F42" s="423"/>
      <c r="G42" s="609">
        <f>C42/K42*100000</f>
        <v>156.04480494399382</v>
      </c>
      <c r="H42" s="609">
        <f>D42/K42*100000</f>
        <v>19.595097457347691</v>
      </c>
      <c r="I42" s="609">
        <f>E42/K42*100000</f>
        <v>175.63990240134152</v>
      </c>
      <c r="J42" s="72"/>
      <c r="K42" s="434">
        <f>SUM(K9:K40)</f>
        <v>2653725</v>
      </c>
      <c r="L42"/>
      <c r="M42"/>
      <c r="N42"/>
      <c r="O42"/>
      <c r="P42"/>
      <c r="Q42"/>
      <c r="R42"/>
      <c r="S42"/>
    </row>
    <row r="43" spans="1:19" ht="12.75" customHeight="1" x14ac:dyDescent="0.2">
      <c r="L43"/>
      <c r="M43"/>
      <c r="N43"/>
      <c r="O43"/>
      <c r="P43"/>
      <c r="Q43"/>
      <c r="R43"/>
      <c r="S43"/>
    </row>
    <row r="44" spans="1:19" ht="12.75" customHeight="1" x14ac:dyDescent="0.25">
      <c r="A44" s="427" t="s">
        <v>146</v>
      </c>
      <c r="L44"/>
      <c r="M44"/>
      <c r="N44"/>
      <c r="O44"/>
      <c r="P44"/>
      <c r="Q44"/>
      <c r="R44"/>
      <c r="S44"/>
    </row>
    <row r="45" spans="1:19" ht="12.75" customHeight="1" x14ac:dyDescent="0.25">
      <c r="A45" s="1000" t="s">
        <v>1227</v>
      </c>
    </row>
    <row r="46" spans="1:19" ht="12.75" customHeight="1" x14ac:dyDescent="0.2">
      <c r="A46" s="629" t="s">
        <v>1092</v>
      </c>
      <c r="C46" s="139"/>
      <c r="D46" s="139"/>
      <c r="E46" s="139"/>
      <c r="F46" s="139"/>
      <c r="G46" s="139"/>
      <c r="H46" s="139"/>
      <c r="I46" s="139"/>
    </row>
    <row r="47" spans="1:19" ht="12.75" customHeight="1" x14ac:dyDescent="0.25">
      <c r="A47" s="1011"/>
      <c r="B47" s="97"/>
      <c r="C47" s="97"/>
      <c r="D47" s="97"/>
      <c r="E47" s="97"/>
      <c r="F47" s="97"/>
      <c r="G47" s="97"/>
      <c r="H47" s="97"/>
      <c r="I47" s="97"/>
    </row>
    <row r="48" spans="1:19" ht="12.75" customHeight="1" x14ac:dyDescent="0.2">
      <c r="B48" s="18"/>
    </row>
  </sheetData>
  <sheetProtection algorithmName="SHA-512" hashValue="ZnZuEDM1nI7ftS3lS/kcqV5ipELNvdzypzwiy0+GLOOFsIvsQDYywNWnS0MSvya6fhGRa2vd7KdtV+nPBmEUSQ==" saltValue="ehmJTVzs3+bMTITD+FpcZA==" spinCount="100000" sheet="1" scenarios="1" formatCells="0" formatColumns="0" formatRows="0" sort="0" autoFilter="0" pivotTables="0"/>
  <hyperlinks>
    <hyperlink ref="A46" r:id="rId1" xr:uid="{00000000-0004-0000-3A00-000000000000}"/>
    <hyperlink ref="A2" location="'Table of Contents'!A1" display="Back to Table of Contents" xr:uid="{00000000-0004-0000-3A00-000001000000}"/>
  </hyperlinks>
  <pageMargins left="0.70866141732283472" right="0.70866141732283472" top="0.74803149606299213" bottom="0.74803149606299213" header="0.31496062992125984" footer="0.31496062992125984"/>
  <pageSetup paperSize="9" scale="62"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O49"/>
  <sheetViews>
    <sheetView showGridLines="0" workbookViewId="0">
      <selection sqref="A1:C1"/>
    </sheetView>
  </sheetViews>
  <sheetFormatPr defaultColWidth="9.140625" defaultRowHeight="12.75" x14ac:dyDescent="0.2"/>
  <sheetData>
    <row r="1" spans="1:15" ht="15.75" customHeight="1" x14ac:dyDescent="0.35">
      <c r="A1" s="1271" t="s">
        <v>1247</v>
      </c>
      <c r="B1" s="1271"/>
      <c r="C1" s="1271"/>
      <c r="O1" s="230"/>
    </row>
    <row r="2" spans="1:15" ht="15.75" customHeight="1" x14ac:dyDescent="0.2">
      <c r="A2" s="106" t="s">
        <v>578</v>
      </c>
      <c r="B2" s="1031"/>
      <c r="C2" s="1031"/>
    </row>
    <row r="3" spans="1:15" ht="27.75" customHeight="1" x14ac:dyDescent="0.2">
      <c r="A3" s="1272" t="s">
        <v>1260</v>
      </c>
      <c r="B3" s="1272"/>
      <c r="C3" s="1272"/>
      <c r="D3" s="1272"/>
      <c r="E3" s="1272"/>
      <c r="F3" s="1272"/>
      <c r="G3" s="1272"/>
      <c r="H3" s="1272"/>
    </row>
    <row r="4" spans="1:15" ht="15" x14ac:dyDescent="0.25">
      <c r="A4" s="1032" t="s">
        <v>1246</v>
      </c>
    </row>
    <row r="5" spans="1:15" ht="15" x14ac:dyDescent="0.25">
      <c r="A5" s="1043" t="s">
        <v>1412</v>
      </c>
    </row>
    <row r="46" spans="8:9" x14ac:dyDescent="0.2">
      <c r="H46">
        <v>2</v>
      </c>
      <c r="I46">
        <v>4</v>
      </c>
    </row>
    <row r="47" spans="8:9" x14ac:dyDescent="0.2">
      <c r="H47">
        <v>0</v>
      </c>
      <c r="I47">
        <v>2</v>
      </c>
    </row>
    <row r="48" spans="8:9" x14ac:dyDescent="0.2">
      <c r="H48">
        <v>2</v>
      </c>
      <c r="I48">
        <v>4</v>
      </c>
    </row>
    <row r="49" spans="8:9" x14ac:dyDescent="0.2">
      <c r="H49">
        <v>0</v>
      </c>
      <c r="I49">
        <v>2</v>
      </c>
    </row>
  </sheetData>
  <sheetProtection algorithmName="SHA-512" hashValue="kmvUDNsYb0glN/p1Lub278EE5ZHOJU/EkYGBGGlsiiPuK5aAUtRx7fmvRrRzjX+fGCAlb+SawJNrIHnuOmE75g==" saltValue="To+qrRj1m1wHqJxU+u+Xag=="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500-000000000000}"/>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8">
    <tabColor rgb="FFFFAFF0"/>
    <pageSetUpPr fitToPage="1"/>
  </sheetPr>
  <dimension ref="A1:O53"/>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7.42578125" customWidth="1"/>
    <col min="2" max="2" width="12.85546875" customWidth="1"/>
    <col min="3" max="3" width="15.7109375" customWidth="1"/>
    <col min="4" max="4" width="11.28515625" customWidth="1"/>
    <col min="5" max="5" width="11.7109375" customWidth="1"/>
    <col min="6" max="6" width="15.42578125" customWidth="1"/>
    <col min="7" max="7" width="11.28515625" customWidth="1"/>
    <col min="8" max="8" width="6" customWidth="1"/>
    <col min="9" max="9" width="10.140625" customWidth="1"/>
    <col min="10" max="10" width="12.7109375" customWidth="1"/>
    <col min="11" max="11" width="15.28515625" customWidth="1"/>
    <col min="12" max="12" width="11.28515625" customWidth="1"/>
    <col min="13" max="13" width="11" customWidth="1"/>
    <col min="14" max="14" width="13.7109375" customWidth="1"/>
    <col min="15" max="15" width="2.85546875" customWidth="1"/>
    <col min="17" max="17" width="13" customWidth="1"/>
  </cols>
  <sheetData>
    <row r="1" spans="1:15" ht="16.5" customHeight="1" x14ac:dyDescent="0.2">
      <c r="A1" s="298" t="s">
        <v>1129</v>
      </c>
    </row>
    <row r="2" spans="1:15" ht="16.5" customHeight="1" x14ac:dyDescent="0.2">
      <c r="A2" s="106" t="s">
        <v>578</v>
      </c>
    </row>
    <row r="3" spans="1:15" ht="38.25" customHeight="1" x14ac:dyDescent="0.2">
      <c r="A3" s="120" t="s">
        <v>1071</v>
      </c>
      <c r="B3" s="120"/>
      <c r="C3" s="120"/>
      <c r="D3" s="120"/>
      <c r="E3" s="120"/>
      <c r="F3" s="120"/>
      <c r="G3" s="120"/>
      <c r="H3" s="120"/>
      <c r="I3" s="120"/>
      <c r="J3" s="120"/>
      <c r="K3" s="120"/>
      <c r="L3" s="120"/>
      <c r="M3" s="120"/>
      <c r="N3" s="120"/>
      <c r="O3" s="120"/>
    </row>
    <row r="4" spans="1:15" ht="15.75" customHeight="1" x14ac:dyDescent="0.25">
      <c r="A4" s="351" t="s">
        <v>579</v>
      </c>
      <c r="B4" s="1043" t="s">
        <v>1309</v>
      </c>
      <c r="D4" s="197"/>
      <c r="E4" s="197"/>
      <c r="F4" s="197"/>
      <c r="G4" s="197"/>
      <c r="H4" s="197"/>
      <c r="I4" s="120"/>
      <c r="J4" s="120"/>
      <c r="K4" s="120"/>
      <c r="L4" s="120"/>
      <c r="M4" s="120"/>
      <c r="N4" s="120"/>
      <c r="O4" s="120"/>
    </row>
    <row r="5" spans="1:15" ht="15.75" customHeight="1" x14ac:dyDescent="0.25">
      <c r="A5" s="351" t="s">
        <v>580</v>
      </c>
      <c r="B5" s="351" t="s">
        <v>581</v>
      </c>
      <c r="C5" s="197"/>
      <c r="D5" s="197"/>
      <c r="E5" s="197"/>
      <c r="F5" s="197"/>
      <c r="G5" s="197"/>
      <c r="H5" s="197"/>
      <c r="I5" s="120"/>
      <c r="J5" s="120"/>
      <c r="K5" s="120"/>
      <c r="L5" s="120"/>
      <c r="M5" s="120"/>
      <c r="N5" s="120"/>
      <c r="O5" s="120"/>
    </row>
    <row r="6" spans="1:15" ht="15.75" customHeight="1" x14ac:dyDescent="0.25">
      <c r="A6" s="351" t="s">
        <v>582</v>
      </c>
      <c r="B6" s="351" t="s">
        <v>585</v>
      </c>
      <c r="C6" s="197"/>
      <c r="D6" s="197"/>
      <c r="E6" s="197"/>
      <c r="F6" s="197"/>
      <c r="G6" s="197"/>
      <c r="H6" s="197"/>
      <c r="I6" s="120"/>
      <c r="J6" s="120"/>
      <c r="K6" s="120"/>
      <c r="L6" s="120"/>
      <c r="M6" s="120"/>
      <c r="N6" s="120"/>
      <c r="O6" s="120"/>
    </row>
    <row r="7" spans="1:15" ht="15" x14ac:dyDescent="0.25">
      <c r="A7" s="1"/>
      <c r="B7" s="1"/>
      <c r="C7" s="1"/>
      <c r="D7" s="1"/>
      <c r="E7" s="1"/>
      <c r="F7" s="1"/>
      <c r="G7" s="80" t="s">
        <v>0</v>
      </c>
      <c r="H7" s="1"/>
      <c r="I7" s="1"/>
      <c r="J7" s="1"/>
      <c r="K7" s="1"/>
      <c r="L7" s="1"/>
      <c r="M7" s="1"/>
      <c r="N7" s="60" t="s">
        <v>62</v>
      </c>
      <c r="O7" s="151"/>
    </row>
    <row r="8" spans="1:15" ht="12.75" customHeight="1" x14ac:dyDescent="0.2">
      <c r="A8" s="1321" t="s">
        <v>4</v>
      </c>
      <c r="B8" s="1298" t="s">
        <v>651</v>
      </c>
      <c r="C8" s="1298"/>
      <c r="D8" s="1298"/>
      <c r="E8" s="1298"/>
      <c r="F8" s="1298"/>
      <c r="G8" s="1277" t="s">
        <v>185</v>
      </c>
      <c r="H8" s="39"/>
      <c r="I8" s="1321" t="s">
        <v>4</v>
      </c>
      <c r="J8" s="1298" t="s">
        <v>651</v>
      </c>
      <c r="K8" s="1298"/>
      <c r="L8" s="1298"/>
      <c r="M8" s="1298"/>
      <c r="N8" s="1298"/>
    </row>
    <row r="9" spans="1:15" ht="41.25" customHeight="1" x14ac:dyDescent="0.2">
      <c r="A9" s="1321"/>
      <c r="B9" s="255" t="s">
        <v>187</v>
      </c>
      <c r="C9" s="256" t="s">
        <v>188</v>
      </c>
      <c r="D9" s="256" t="s">
        <v>189</v>
      </c>
      <c r="E9" s="256" t="s">
        <v>184</v>
      </c>
      <c r="F9" s="256" t="s">
        <v>319</v>
      </c>
      <c r="G9" s="1293"/>
      <c r="H9" s="39"/>
      <c r="I9" s="1321"/>
      <c r="J9" s="255" t="s">
        <v>187</v>
      </c>
      <c r="K9" s="256" t="s">
        <v>188</v>
      </c>
      <c r="L9" s="256" t="s">
        <v>189</v>
      </c>
      <c r="M9" s="256" t="s">
        <v>184</v>
      </c>
      <c r="N9" s="257" t="s">
        <v>319</v>
      </c>
    </row>
    <row r="10" spans="1:15" ht="13.5" customHeight="1" x14ac:dyDescent="0.2">
      <c r="A10" s="378" t="str">
        <f>T_1_19!A4</f>
        <v>2009-10</v>
      </c>
      <c r="B10" s="742">
        <f>T_1_19!N4</f>
        <v>2519</v>
      </c>
      <c r="C10" s="742">
        <f>T_1_19!O4</f>
        <v>482</v>
      </c>
      <c r="D10" s="742">
        <f>T_1_19!P4</f>
        <v>847</v>
      </c>
      <c r="E10" s="742">
        <f>T_1_19!Q4</f>
        <v>2472</v>
      </c>
      <c r="F10" s="742">
        <f>T_1_19!R4</f>
        <v>240</v>
      </c>
      <c r="G10" s="347">
        <f>SUM(B10:F10)</f>
        <v>6560</v>
      </c>
      <c r="H10" s="191"/>
      <c r="I10" s="378" t="str">
        <f>A10</f>
        <v>2009-10</v>
      </c>
      <c r="J10" s="744">
        <f>B10/G10*100</f>
        <v>38.399390243902438</v>
      </c>
      <c r="K10" s="744">
        <f>C10/G10*100</f>
        <v>7.3475609756097553</v>
      </c>
      <c r="L10" s="744">
        <f>D10/G10*100</f>
        <v>12.911585365853659</v>
      </c>
      <c r="M10" s="744">
        <f>E10/G10*100</f>
        <v>37.68292682926829</v>
      </c>
      <c r="N10" s="744">
        <f>F10/G10*100</f>
        <v>3.6585365853658534</v>
      </c>
    </row>
    <row r="11" spans="1:15" ht="13.5" customHeight="1" x14ac:dyDescent="0.2">
      <c r="A11" s="29" t="str">
        <f>T_1_19!A5</f>
        <v>2010-11</v>
      </c>
      <c r="B11" s="228">
        <f>T_1_19!N5</f>
        <v>2576</v>
      </c>
      <c r="C11" s="228">
        <f>T_1_19!O5</f>
        <v>495</v>
      </c>
      <c r="D11" s="228">
        <f>T_1_19!P5</f>
        <v>823</v>
      </c>
      <c r="E11" s="228">
        <f>T_1_19!Q5</f>
        <v>2257</v>
      </c>
      <c r="F11" s="228">
        <f>T_1_19!R5</f>
        <v>142</v>
      </c>
      <c r="G11" s="13">
        <f t="shared" ref="G11:G16" si="0">SUM(B11:F11)</f>
        <v>6293</v>
      </c>
      <c r="H11" s="191"/>
      <c r="I11" s="29" t="str">
        <f t="shared" ref="I11:I16" si="1">A11</f>
        <v>2010-11</v>
      </c>
      <c r="J11" s="581">
        <f t="shared" ref="J11:J16" si="2">B11/G11*100</f>
        <v>40.934371523915466</v>
      </c>
      <c r="K11" s="581">
        <f t="shared" ref="K11:K16" si="3">C11/G11*100</f>
        <v>7.8658827268393443</v>
      </c>
      <c r="L11" s="581">
        <f t="shared" ref="L11:L16" si="4">D11/G11*100</f>
        <v>13.078023200381375</v>
      </c>
      <c r="M11" s="581">
        <f t="shared" ref="M11:M16" si="5">E11/G11*100</f>
        <v>35.865247099952327</v>
      </c>
      <c r="N11" s="581">
        <f t="shared" ref="N11:N16" si="6">F11/G11*100</f>
        <v>2.2564754489114889</v>
      </c>
    </row>
    <row r="12" spans="1:15" ht="13.5" customHeight="1" x14ac:dyDescent="0.2">
      <c r="A12" s="29" t="str">
        <f>T_1_19!A6</f>
        <v>2011-12</v>
      </c>
      <c r="B12" s="228">
        <f>T_1_19!N6</f>
        <v>2661</v>
      </c>
      <c r="C12" s="228">
        <f>T_1_19!O6</f>
        <v>492</v>
      </c>
      <c r="D12" s="228">
        <f>T_1_19!P6</f>
        <v>800</v>
      </c>
      <c r="E12" s="228">
        <f>T_1_19!Q6</f>
        <v>2079</v>
      </c>
      <c r="F12" s="228">
        <f>T_1_19!R6</f>
        <v>125</v>
      </c>
      <c r="G12" s="13">
        <f t="shared" si="0"/>
        <v>6157</v>
      </c>
      <c r="H12" s="191"/>
      <c r="I12" s="29" t="str">
        <f t="shared" si="1"/>
        <v>2011-12</v>
      </c>
      <c r="J12" s="581">
        <f t="shared" si="2"/>
        <v>43.219100211141793</v>
      </c>
      <c r="K12" s="581">
        <f t="shared" si="3"/>
        <v>7.9909046613610517</v>
      </c>
      <c r="L12" s="581">
        <f t="shared" si="4"/>
        <v>12.9933409127822</v>
      </c>
      <c r="M12" s="581">
        <f t="shared" si="5"/>
        <v>33.766444697092737</v>
      </c>
      <c r="N12" s="581">
        <f t="shared" si="6"/>
        <v>2.0302095176222186</v>
      </c>
    </row>
    <row r="13" spans="1:15" ht="13.5" customHeight="1" x14ac:dyDescent="0.2">
      <c r="A13" s="29" t="str">
        <f>T_1_19!A7</f>
        <v>2012-13</v>
      </c>
      <c r="B13" s="228">
        <f>T_1_19!N7</f>
        <v>2641</v>
      </c>
      <c r="C13" s="228">
        <f>T_1_19!O7</f>
        <v>483</v>
      </c>
      <c r="D13" s="228">
        <f>T_1_19!P7</f>
        <v>806</v>
      </c>
      <c r="E13" s="228">
        <f>T_1_19!Q7</f>
        <v>1802</v>
      </c>
      <c r="F13" s="228">
        <f>T_1_19!R7</f>
        <v>97</v>
      </c>
      <c r="G13" s="13">
        <f t="shared" si="0"/>
        <v>5829</v>
      </c>
      <c r="H13" s="191"/>
      <c r="I13" s="29" t="str">
        <f t="shared" si="1"/>
        <v>2012-13</v>
      </c>
      <c r="J13" s="581">
        <f t="shared" si="2"/>
        <v>45.307943043403668</v>
      </c>
      <c r="K13" s="581">
        <f t="shared" si="3"/>
        <v>8.2861554297478133</v>
      </c>
      <c r="L13" s="581">
        <f t="shared" si="4"/>
        <v>13.827414650883513</v>
      </c>
      <c r="M13" s="581">
        <f t="shared" si="5"/>
        <v>30.914393549493909</v>
      </c>
      <c r="N13" s="581">
        <f t="shared" si="6"/>
        <v>1.6640933264710926</v>
      </c>
    </row>
    <row r="14" spans="1:15" ht="13.5" customHeight="1" x14ac:dyDescent="0.2">
      <c r="A14" s="29" t="str">
        <f>T_1_19!A8</f>
        <v>2013-14</v>
      </c>
      <c r="B14" s="228">
        <f>T_1_19!N8</f>
        <v>2481</v>
      </c>
      <c r="C14" s="228">
        <f>T_1_19!O8</f>
        <v>467</v>
      </c>
      <c r="D14" s="228">
        <f>T_1_19!P8</f>
        <v>773</v>
      </c>
      <c r="E14" s="228">
        <f>T_1_19!Q8</f>
        <v>1521</v>
      </c>
      <c r="F14" s="228">
        <f>T_1_19!R8</f>
        <v>81</v>
      </c>
      <c r="G14" s="13">
        <f t="shared" si="0"/>
        <v>5323</v>
      </c>
      <c r="H14" s="191"/>
      <c r="I14" s="29" t="str">
        <f t="shared" si="1"/>
        <v>2013-14</v>
      </c>
      <c r="J14" s="581">
        <f t="shared" si="2"/>
        <v>46.609055044148036</v>
      </c>
      <c r="K14" s="581">
        <f t="shared" si="3"/>
        <v>8.7732481683261323</v>
      </c>
      <c r="L14" s="581">
        <f t="shared" si="4"/>
        <v>14.521886154424196</v>
      </c>
      <c r="M14" s="581">
        <f t="shared" si="5"/>
        <v>28.574112342663909</v>
      </c>
      <c r="N14" s="581">
        <f t="shared" si="6"/>
        <v>1.5216982904377232</v>
      </c>
    </row>
    <row r="15" spans="1:15" ht="13.5" customHeight="1" x14ac:dyDescent="0.2">
      <c r="A15" s="29" t="str">
        <f>T_1_19!A9</f>
        <v>2014-15</v>
      </c>
      <c r="B15" s="228">
        <f>T_1_19!N9</f>
        <v>2791</v>
      </c>
      <c r="C15" s="228">
        <f>T_1_19!O9</f>
        <v>485</v>
      </c>
      <c r="D15" s="228">
        <f>T_1_19!P9</f>
        <v>799</v>
      </c>
      <c r="E15" s="228">
        <f>T_1_19!Q9</f>
        <v>1414</v>
      </c>
      <c r="F15" s="228">
        <f>T_1_19!R9</f>
        <v>85</v>
      </c>
      <c r="G15" s="13">
        <f t="shared" si="0"/>
        <v>5574</v>
      </c>
      <c r="H15" s="191"/>
      <c r="I15" s="29" t="str">
        <f t="shared" si="1"/>
        <v>2014-15</v>
      </c>
      <c r="J15" s="581">
        <f t="shared" si="2"/>
        <v>50.071761750986724</v>
      </c>
      <c r="K15" s="581">
        <f t="shared" si="3"/>
        <v>8.7011123071402956</v>
      </c>
      <c r="L15" s="581">
        <f t="shared" si="4"/>
        <v>14.334409759598135</v>
      </c>
      <c r="M15" s="581">
        <f t="shared" si="5"/>
        <v>25.36777897380696</v>
      </c>
      <c r="N15" s="581">
        <f t="shared" si="6"/>
        <v>1.5249372084678867</v>
      </c>
    </row>
    <row r="16" spans="1:15" x14ac:dyDescent="0.2">
      <c r="A16" s="29" t="str">
        <f>T_1_19!A10</f>
        <v>2015-16</v>
      </c>
      <c r="B16" s="228">
        <f>T_1_19!N10</f>
        <v>2859</v>
      </c>
      <c r="C16" s="228">
        <f>T_1_19!O10</f>
        <v>531</v>
      </c>
      <c r="D16" s="228">
        <f>T_1_19!P10</f>
        <v>779</v>
      </c>
      <c r="E16" s="228">
        <f>T_1_19!Q10</f>
        <v>1422</v>
      </c>
      <c r="F16" s="228">
        <f>T_1_19!R10</f>
        <v>82</v>
      </c>
      <c r="G16" s="13">
        <f t="shared" si="0"/>
        <v>5673</v>
      </c>
      <c r="H16" s="191"/>
      <c r="I16" s="29" t="str">
        <f t="shared" si="1"/>
        <v>2015-16</v>
      </c>
      <c r="J16" s="581">
        <f t="shared" si="2"/>
        <v>50.396615547329461</v>
      </c>
      <c r="K16" s="581">
        <f t="shared" si="3"/>
        <v>9.3601269169751458</v>
      </c>
      <c r="L16" s="581">
        <f t="shared" si="4"/>
        <v>13.731711616428695</v>
      </c>
      <c r="M16" s="581">
        <f t="shared" si="5"/>
        <v>25.066102591221579</v>
      </c>
      <c r="N16" s="581">
        <f t="shared" si="6"/>
        <v>1.445443328045126</v>
      </c>
    </row>
    <row r="17" spans="1:15" x14ac:dyDescent="0.2">
      <c r="A17" s="29" t="str">
        <f>T_1_19!A11</f>
        <v>2016-17</v>
      </c>
      <c r="B17" s="228">
        <f>T_1_19!N11</f>
        <v>2953</v>
      </c>
      <c r="C17" s="228">
        <f>T_1_19!O11</f>
        <v>446</v>
      </c>
      <c r="D17" s="228">
        <f>T_1_19!P11</f>
        <v>672</v>
      </c>
      <c r="E17" s="228">
        <f>T_1_19!Q11</f>
        <v>1392</v>
      </c>
      <c r="F17" s="228">
        <f>T_1_19!R11</f>
        <v>77</v>
      </c>
      <c r="G17" s="13">
        <f t="shared" ref="G17:G20" si="7">SUM(B17:F17)</f>
        <v>5540</v>
      </c>
      <c r="H17" s="191"/>
      <c r="I17" s="29" t="str">
        <f t="shared" ref="I17:I21" si="8">A17</f>
        <v>2016-17</v>
      </c>
      <c r="J17" s="581">
        <f t="shared" ref="J17:J19" si="9">B17/G17*100</f>
        <v>53.303249097472928</v>
      </c>
      <c r="K17" s="581">
        <f t="shared" ref="K17:K20" si="10">C17/G17*100</f>
        <v>8.0505415162454881</v>
      </c>
      <c r="L17" s="581">
        <f t="shared" ref="L17:L20" si="11">D17/G17*100</f>
        <v>12.129963898916968</v>
      </c>
      <c r="M17" s="581">
        <f t="shared" ref="M17:M20" si="12">E17/G17*100</f>
        <v>25.12635379061372</v>
      </c>
      <c r="N17" s="581">
        <f t="shared" ref="N17:N20" si="13">F17/G17*100</f>
        <v>1.3898916967509025</v>
      </c>
    </row>
    <row r="18" spans="1:15" x14ac:dyDescent="0.2">
      <c r="A18" s="29" t="str">
        <f>T_1_19!A12</f>
        <v>2017-18</v>
      </c>
      <c r="B18" s="228">
        <f>T_1_19!N12</f>
        <v>2762</v>
      </c>
      <c r="C18" s="228">
        <f>T_1_19!O12</f>
        <v>441</v>
      </c>
      <c r="D18" s="228">
        <f>T_1_19!P12</f>
        <v>694</v>
      </c>
      <c r="E18" s="228">
        <f>T_1_19!Q12</f>
        <v>1316</v>
      </c>
      <c r="F18" s="228">
        <f>T_1_19!R12</f>
        <v>98</v>
      </c>
      <c r="G18" s="13">
        <f t="shared" si="7"/>
        <v>5311</v>
      </c>
      <c r="H18" s="191"/>
      <c r="I18" s="29" t="str">
        <f t="shared" si="8"/>
        <v>2017-18</v>
      </c>
      <c r="J18" s="581">
        <f t="shared" si="9"/>
        <v>52.005272076821697</v>
      </c>
      <c r="K18" s="581">
        <f t="shared" si="10"/>
        <v>8.3035209941630583</v>
      </c>
      <c r="L18" s="581">
        <f t="shared" si="11"/>
        <v>13.067218979476557</v>
      </c>
      <c r="M18" s="581">
        <f t="shared" si="12"/>
        <v>24.778761061946902</v>
      </c>
      <c r="N18" s="581">
        <f t="shared" si="13"/>
        <v>1.8452268875917905</v>
      </c>
    </row>
    <row r="19" spans="1:15" x14ac:dyDescent="0.2">
      <c r="A19" s="29" t="str">
        <f>T_1_19!A13</f>
        <v>2018-19</v>
      </c>
      <c r="B19" s="228">
        <f>T_1_19!N13</f>
        <v>2740</v>
      </c>
      <c r="C19" s="228">
        <f>T_1_19!O13</f>
        <v>405</v>
      </c>
      <c r="D19" s="228">
        <f>T_1_19!P13</f>
        <v>601</v>
      </c>
      <c r="E19" s="228">
        <f>T_1_19!Q13</f>
        <v>1307</v>
      </c>
      <c r="F19" s="228">
        <f>T_1_19!R13</f>
        <v>92</v>
      </c>
      <c r="G19" s="13">
        <f t="shared" si="7"/>
        <v>5145</v>
      </c>
      <c r="H19" s="191"/>
      <c r="I19" s="29" t="str">
        <f t="shared" si="8"/>
        <v>2018-19</v>
      </c>
      <c r="J19" s="581">
        <f t="shared" si="9"/>
        <v>53.2555879494655</v>
      </c>
      <c r="K19" s="581">
        <f t="shared" si="10"/>
        <v>7.8717201166180768</v>
      </c>
      <c r="L19" s="581">
        <f t="shared" si="11"/>
        <v>11.681243926141885</v>
      </c>
      <c r="M19" s="581">
        <f t="shared" si="12"/>
        <v>25.403304178814384</v>
      </c>
      <c r="N19" s="581">
        <f t="shared" si="13"/>
        <v>1.7881438289601554</v>
      </c>
    </row>
    <row r="20" spans="1:15" x14ac:dyDescent="0.2">
      <c r="A20" s="29" t="str">
        <f>T_1_19!A14</f>
        <v>2019-20</v>
      </c>
      <c r="B20" s="228">
        <f>T_1_19!N14</f>
        <v>2540</v>
      </c>
      <c r="C20" s="228">
        <f>T_1_19!O14</f>
        <v>420</v>
      </c>
      <c r="D20" s="228">
        <f>T_1_19!P14</f>
        <v>525</v>
      </c>
      <c r="E20" s="228">
        <f>T_1_19!Q14</f>
        <v>1290</v>
      </c>
      <c r="F20" s="228">
        <f>T_1_19!R14</f>
        <v>115</v>
      </c>
      <c r="G20" s="13">
        <f t="shared" si="7"/>
        <v>4890</v>
      </c>
      <c r="H20" s="191"/>
      <c r="I20" s="29" t="str">
        <f t="shared" si="8"/>
        <v>2019-20</v>
      </c>
      <c r="J20" s="581">
        <f>B20/G20*100</f>
        <v>51.942740286298573</v>
      </c>
      <c r="K20" s="581">
        <f t="shared" si="10"/>
        <v>8.5889570552147241</v>
      </c>
      <c r="L20" s="581">
        <f t="shared" si="11"/>
        <v>10.736196319018406</v>
      </c>
      <c r="M20" s="581">
        <f t="shared" si="12"/>
        <v>26.380368098159508</v>
      </c>
      <c r="N20" s="581">
        <f t="shared" si="13"/>
        <v>2.3517382413087935</v>
      </c>
    </row>
    <row r="21" spans="1:15" ht="13.5" thickBot="1" x14ac:dyDescent="0.25">
      <c r="A21" s="380" t="str">
        <f>T_1_19!A15</f>
        <v>2020-21</v>
      </c>
      <c r="B21" s="743">
        <f>T_1_19!N15</f>
        <v>2431</v>
      </c>
      <c r="C21" s="743">
        <f>T_1_19!O15</f>
        <v>404</v>
      </c>
      <c r="D21" s="743">
        <f>T_1_19!P15</f>
        <v>541</v>
      </c>
      <c r="E21" s="743">
        <f>T_1_19!Q15</f>
        <v>1163</v>
      </c>
      <c r="F21" s="743">
        <f>T_1_19!R15</f>
        <v>122</v>
      </c>
      <c r="G21" s="350">
        <f t="shared" ref="G21" si="14">SUM(B21:F21)</f>
        <v>4661</v>
      </c>
      <c r="H21" s="1"/>
      <c r="I21" s="380" t="str">
        <f t="shared" si="8"/>
        <v>2020-21</v>
      </c>
      <c r="J21" s="745">
        <f t="shared" ref="J21" si="15">B21/G21*100</f>
        <v>52.15618965887149</v>
      </c>
      <c r="K21" s="745">
        <f t="shared" ref="K21" si="16">C21/G21*100</f>
        <v>8.6676678824286633</v>
      </c>
      <c r="L21" s="745">
        <f t="shared" ref="L21" si="17">D21/G21*100</f>
        <v>11.60695129800472</v>
      </c>
      <c r="M21" s="745">
        <f t="shared" ref="M21" si="18">E21/G21*100</f>
        <v>24.951727097189444</v>
      </c>
      <c r="N21" s="745">
        <f t="shared" ref="N21" si="19">F21/G21*100</f>
        <v>2.6174640635056852</v>
      </c>
      <c r="O21" s="33"/>
    </row>
    <row r="22" spans="1:15" x14ac:dyDescent="0.2">
      <c r="A22" s="1"/>
      <c r="B22" s="1"/>
      <c r="C22" s="1"/>
      <c r="D22" s="1"/>
      <c r="F22" s="1"/>
      <c r="G22" s="1"/>
      <c r="H22" s="1"/>
      <c r="I22" s="1"/>
      <c r="J22" s="1"/>
      <c r="K22" s="1"/>
      <c r="L22" s="1"/>
      <c r="M22" s="1"/>
      <c r="N22" s="1"/>
      <c r="O22" s="33"/>
    </row>
    <row r="23" spans="1:15" ht="15" x14ac:dyDescent="0.25">
      <c r="A23" s="1"/>
      <c r="B23" s="1"/>
      <c r="C23" s="1"/>
      <c r="D23" s="1"/>
      <c r="E23" s="1"/>
      <c r="F23" s="1"/>
      <c r="G23" s="80" t="s">
        <v>0</v>
      </c>
      <c r="H23" s="1"/>
      <c r="I23" s="1"/>
      <c r="J23" s="1"/>
      <c r="K23" s="1"/>
      <c r="L23" s="1"/>
      <c r="M23" s="1"/>
      <c r="N23" s="60" t="s">
        <v>62</v>
      </c>
      <c r="O23" s="33"/>
    </row>
    <row r="24" spans="1:15" x14ac:dyDescent="0.2">
      <c r="A24" s="1321" t="s">
        <v>4</v>
      </c>
      <c r="B24" s="1298" t="s">
        <v>256</v>
      </c>
      <c r="C24" s="1298"/>
      <c r="D24" s="1298"/>
      <c r="E24" s="1298"/>
      <c r="F24" s="1298"/>
      <c r="G24" s="1277" t="s">
        <v>186</v>
      </c>
      <c r="H24" s="39"/>
      <c r="I24" s="1321" t="s">
        <v>4</v>
      </c>
      <c r="J24" s="1298" t="s">
        <v>256</v>
      </c>
      <c r="K24" s="1298"/>
      <c r="L24" s="1298"/>
      <c r="M24" s="1298"/>
      <c r="N24" s="1298"/>
      <c r="O24" s="33"/>
    </row>
    <row r="25" spans="1:15" ht="41.25" customHeight="1" x14ac:dyDescent="0.2">
      <c r="A25" s="1321"/>
      <c r="B25" s="255" t="s">
        <v>187</v>
      </c>
      <c r="C25" s="256" t="s">
        <v>188</v>
      </c>
      <c r="D25" s="256" t="s">
        <v>189</v>
      </c>
      <c r="E25" s="256" t="s">
        <v>184</v>
      </c>
      <c r="F25" s="256" t="s">
        <v>319</v>
      </c>
      <c r="G25" s="1293"/>
      <c r="H25" s="39"/>
      <c r="I25" s="1321"/>
      <c r="J25" s="255" t="s">
        <v>187</v>
      </c>
      <c r="K25" s="256" t="s">
        <v>188</v>
      </c>
      <c r="L25" s="256" t="s">
        <v>189</v>
      </c>
      <c r="M25" s="256" t="s">
        <v>184</v>
      </c>
      <c r="N25" s="257" t="s">
        <v>319</v>
      </c>
      <c r="O25" s="33"/>
    </row>
    <row r="26" spans="1:15" ht="13.5" customHeight="1" x14ac:dyDescent="0.2">
      <c r="A26" s="378" t="str">
        <f t="shared" ref="A26:A37" si="20">A10</f>
        <v>2009-10</v>
      </c>
      <c r="B26" s="742">
        <f>T_1_19!B4</f>
        <v>10</v>
      </c>
      <c r="C26" s="742">
        <f>T_1_19!C4</f>
        <v>9</v>
      </c>
      <c r="D26" s="742">
        <f>T_1_19!D4</f>
        <v>10</v>
      </c>
      <c r="E26" s="742">
        <f>T_1_19!E4</f>
        <v>18</v>
      </c>
      <c r="F26" s="742">
        <f>T_1_19!F4</f>
        <v>6</v>
      </c>
      <c r="G26" s="379">
        <f>SUM(B26:F26)</f>
        <v>53</v>
      </c>
      <c r="H26" s="193"/>
      <c r="I26" s="378" t="str">
        <f>A26</f>
        <v>2009-10</v>
      </c>
      <c r="J26" s="746">
        <f>B26/G26*100</f>
        <v>18.867924528301888</v>
      </c>
      <c r="K26" s="746">
        <f>C26/G26*100</f>
        <v>16.981132075471699</v>
      </c>
      <c r="L26" s="746">
        <f>D26/G26*100</f>
        <v>18.867924528301888</v>
      </c>
      <c r="M26" s="746">
        <f>E26/G26*100</f>
        <v>33.962264150943398</v>
      </c>
      <c r="N26" s="747">
        <f>F26/G26*100</f>
        <v>11.320754716981133</v>
      </c>
      <c r="O26" s="33"/>
    </row>
    <row r="27" spans="1:15" ht="13.5" customHeight="1" x14ac:dyDescent="0.2">
      <c r="A27" s="29" t="str">
        <f t="shared" si="20"/>
        <v>2010-11</v>
      </c>
      <c r="B27" s="228">
        <f>T_1_19!B5</f>
        <v>15</v>
      </c>
      <c r="C27" s="228">
        <f>T_1_19!C5</f>
        <v>4</v>
      </c>
      <c r="D27" s="228">
        <f>T_1_19!D5</f>
        <v>8</v>
      </c>
      <c r="E27" s="228">
        <f>T_1_19!E5</f>
        <v>8</v>
      </c>
      <c r="F27" s="228">
        <f>T_1_19!F5</f>
        <v>10</v>
      </c>
      <c r="G27" s="377">
        <f t="shared" ref="G27:G32" si="21">SUM(B27:F27)</f>
        <v>45</v>
      </c>
      <c r="H27" s="193"/>
      <c r="I27" s="29" t="str">
        <f t="shared" ref="I27:I32" si="22">A27</f>
        <v>2010-11</v>
      </c>
      <c r="J27" s="244">
        <f t="shared" ref="J27:J32" si="23">B27/G27*100</f>
        <v>33.333333333333329</v>
      </c>
      <c r="K27" s="244">
        <f t="shared" ref="K27:K32" si="24">C27/G27*100</f>
        <v>8.8888888888888893</v>
      </c>
      <c r="L27" s="244">
        <f t="shared" ref="L27:L32" si="25">D27/G27*100</f>
        <v>17.777777777777779</v>
      </c>
      <c r="M27" s="244">
        <f t="shared" ref="M27:M32" si="26">E27/G27*100</f>
        <v>17.777777777777779</v>
      </c>
      <c r="N27" s="582">
        <f t="shared" ref="N27:N32" si="27">F27/G27*100</f>
        <v>22.222222222222221</v>
      </c>
      <c r="O27" s="33"/>
    </row>
    <row r="28" spans="1:15" ht="13.5" customHeight="1" x14ac:dyDescent="0.2">
      <c r="A28" s="29" t="str">
        <f t="shared" si="20"/>
        <v>2011-12</v>
      </c>
      <c r="B28" s="228">
        <f>T_1_19!B6</f>
        <v>13</v>
      </c>
      <c r="C28" s="228">
        <f>T_1_19!C6</f>
        <v>11</v>
      </c>
      <c r="D28" s="228">
        <f>T_1_19!D6</f>
        <v>12</v>
      </c>
      <c r="E28" s="228">
        <f>T_1_19!E6</f>
        <v>10</v>
      </c>
      <c r="F28" s="228">
        <f>T_1_19!F6</f>
        <v>5</v>
      </c>
      <c r="G28" s="377">
        <f t="shared" si="21"/>
        <v>51</v>
      </c>
      <c r="H28" s="193"/>
      <c r="I28" s="29" t="str">
        <f t="shared" si="22"/>
        <v>2011-12</v>
      </c>
      <c r="J28" s="244">
        <f t="shared" si="23"/>
        <v>25.490196078431371</v>
      </c>
      <c r="K28" s="244">
        <f t="shared" si="24"/>
        <v>21.568627450980394</v>
      </c>
      <c r="L28" s="244">
        <f t="shared" si="25"/>
        <v>23.52941176470588</v>
      </c>
      <c r="M28" s="244">
        <f t="shared" si="26"/>
        <v>19.607843137254903</v>
      </c>
      <c r="N28" s="582">
        <f t="shared" si="27"/>
        <v>9.8039215686274517</v>
      </c>
      <c r="O28" s="33"/>
    </row>
    <row r="29" spans="1:15" ht="13.5" customHeight="1" x14ac:dyDescent="0.2">
      <c r="A29" s="29" t="str">
        <f t="shared" si="20"/>
        <v>2012-13</v>
      </c>
      <c r="B29" s="228">
        <f>T_1_19!B7</f>
        <v>11</v>
      </c>
      <c r="C29" s="228">
        <f>T_1_19!C7</f>
        <v>7</v>
      </c>
      <c r="D29" s="228">
        <f>T_1_19!D7</f>
        <v>7</v>
      </c>
      <c r="E29" s="228">
        <f>T_1_19!E7</f>
        <v>13</v>
      </c>
      <c r="F29" s="228">
        <f>T_1_19!F7</f>
        <v>2</v>
      </c>
      <c r="G29" s="377">
        <f t="shared" si="21"/>
        <v>40</v>
      </c>
      <c r="H29" s="193"/>
      <c r="I29" s="29" t="str">
        <f t="shared" si="22"/>
        <v>2012-13</v>
      </c>
      <c r="J29" s="244">
        <f t="shared" si="23"/>
        <v>27.500000000000004</v>
      </c>
      <c r="K29" s="244">
        <f t="shared" si="24"/>
        <v>17.5</v>
      </c>
      <c r="L29" s="244">
        <f t="shared" si="25"/>
        <v>17.5</v>
      </c>
      <c r="M29" s="244">
        <f t="shared" si="26"/>
        <v>32.5</v>
      </c>
      <c r="N29" s="582">
        <f t="shared" si="27"/>
        <v>5</v>
      </c>
      <c r="O29" s="33"/>
    </row>
    <row r="30" spans="1:15" ht="13.5" customHeight="1" x14ac:dyDescent="0.2">
      <c r="A30" s="29" t="str">
        <f t="shared" si="20"/>
        <v>2013-14</v>
      </c>
      <c r="B30" s="228">
        <f>T_1_19!B8</f>
        <v>9</v>
      </c>
      <c r="C30" s="228">
        <f>T_1_19!C8</f>
        <v>7</v>
      </c>
      <c r="D30" s="228">
        <f>T_1_19!D8</f>
        <v>9</v>
      </c>
      <c r="E30" s="228">
        <f>T_1_19!E8</f>
        <v>4</v>
      </c>
      <c r="F30" s="228">
        <f>T_1_19!F8</f>
        <v>0</v>
      </c>
      <c r="G30" s="377">
        <f t="shared" si="21"/>
        <v>29</v>
      </c>
      <c r="H30" s="193"/>
      <c r="I30" s="29" t="str">
        <f t="shared" si="22"/>
        <v>2013-14</v>
      </c>
      <c r="J30" s="244">
        <f t="shared" si="23"/>
        <v>31.03448275862069</v>
      </c>
      <c r="K30" s="244">
        <f t="shared" si="24"/>
        <v>24.137931034482758</v>
      </c>
      <c r="L30" s="244">
        <f t="shared" si="25"/>
        <v>31.03448275862069</v>
      </c>
      <c r="M30" s="244">
        <f t="shared" si="26"/>
        <v>13.793103448275861</v>
      </c>
      <c r="N30" s="582">
        <f t="shared" si="27"/>
        <v>0</v>
      </c>
      <c r="O30" s="33"/>
    </row>
    <row r="31" spans="1:15" s="1" customFormat="1" ht="13.5" customHeight="1" x14ac:dyDescent="0.2">
      <c r="A31" s="29" t="str">
        <f t="shared" si="20"/>
        <v>2014-15</v>
      </c>
      <c r="B31" s="228">
        <f>T_1_19!B9</f>
        <v>12</v>
      </c>
      <c r="C31" s="228">
        <f>T_1_19!C9</f>
        <v>6</v>
      </c>
      <c r="D31" s="228">
        <f>T_1_19!D9</f>
        <v>6</v>
      </c>
      <c r="E31" s="228">
        <f>T_1_19!E9</f>
        <v>3</v>
      </c>
      <c r="F31" s="228">
        <f>T_1_19!F9</f>
        <v>4</v>
      </c>
      <c r="G31" s="377">
        <f t="shared" si="21"/>
        <v>31</v>
      </c>
      <c r="H31" s="68"/>
      <c r="I31" s="29" t="str">
        <f t="shared" si="22"/>
        <v>2014-15</v>
      </c>
      <c r="J31" s="244">
        <f t="shared" si="23"/>
        <v>38.70967741935484</v>
      </c>
      <c r="K31" s="244">
        <f t="shared" si="24"/>
        <v>19.35483870967742</v>
      </c>
      <c r="L31" s="244">
        <f t="shared" si="25"/>
        <v>19.35483870967742</v>
      </c>
      <c r="M31" s="244">
        <f t="shared" si="26"/>
        <v>9.67741935483871</v>
      </c>
      <c r="N31" s="582">
        <f t="shared" si="27"/>
        <v>12.903225806451612</v>
      </c>
      <c r="O31" s="33"/>
    </row>
    <row r="32" spans="1:15" ht="13.5" customHeight="1" x14ac:dyDescent="0.2">
      <c r="A32" s="29" t="str">
        <f t="shared" si="20"/>
        <v>2015-16</v>
      </c>
      <c r="B32" s="228">
        <f>T_1_19!B10</f>
        <v>6</v>
      </c>
      <c r="C32" s="228">
        <f>T_1_19!C10</f>
        <v>10</v>
      </c>
      <c r="D32" s="228">
        <f>T_1_19!D10</f>
        <v>5</v>
      </c>
      <c r="E32" s="228">
        <f>T_1_19!E10</f>
        <v>14</v>
      </c>
      <c r="F32" s="228">
        <f>T_1_19!F10</f>
        <v>4</v>
      </c>
      <c r="G32" s="377">
        <f t="shared" si="21"/>
        <v>39</v>
      </c>
      <c r="H32" s="193"/>
      <c r="I32" s="29" t="str">
        <f t="shared" si="22"/>
        <v>2015-16</v>
      </c>
      <c r="J32" s="244">
        <f t="shared" si="23"/>
        <v>15.384615384615385</v>
      </c>
      <c r="K32" s="244">
        <f t="shared" si="24"/>
        <v>25.641025641025639</v>
      </c>
      <c r="L32" s="244">
        <f t="shared" si="25"/>
        <v>12.820512820512819</v>
      </c>
      <c r="M32" s="244">
        <f t="shared" si="26"/>
        <v>35.897435897435898</v>
      </c>
      <c r="N32" s="582">
        <f t="shared" si="27"/>
        <v>10.256410256410255</v>
      </c>
      <c r="O32" s="33"/>
    </row>
    <row r="33" spans="1:15" ht="13.5" customHeight="1" x14ac:dyDescent="0.2">
      <c r="A33" s="29" t="str">
        <f t="shared" si="20"/>
        <v>2016-17</v>
      </c>
      <c r="B33" s="228">
        <f>T_1_19!B11</f>
        <v>8</v>
      </c>
      <c r="C33" s="228">
        <f>T_1_19!C11</f>
        <v>7</v>
      </c>
      <c r="D33" s="228">
        <f>T_1_19!D11</f>
        <v>8</v>
      </c>
      <c r="E33" s="228">
        <f>T_1_19!E11</f>
        <v>6</v>
      </c>
      <c r="F33" s="228">
        <f>T_1_19!F11</f>
        <v>7</v>
      </c>
      <c r="G33" s="377">
        <f t="shared" ref="G33:G37" si="28">SUM(B33:F33)</f>
        <v>36</v>
      </c>
      <c r="H33" s="193"/>
      <c r="I33" s="29" t="str">
        <f t="shared" ref="I33:I37" si="29">A33</f>
        <v>2016-17</v>
      </c>
      <c r="J33" s="244">
        <f t="shared" ref="J33:J36" si="30">B33/G33*100</f>
        <v>22.222222222222221</v>
      </c>
      <c r="K33" s="244">
        <f t="shared" ref="K33:K36" si="31">C33/G33*100</f>
        <v>19.444444444444446</v>
      </c>
      <c r="L33" s="244">
        <f t="shared" ref="L33:L36" si="32">D33/G33*100</f>
        <v>22.222222222222221</v>
      </c>
      <c r="M33" s="244">
        <f t="shared" ref="M33:M36" si="33">E33/G33*100</f>
        <v>16.666666666666664</v>
      </c>
      <c r="N33" s="582">
        <f t="shared" ref="N33:N36" si="34">F33/G33*100</f>
        <v>19.444444444444446</v>
      </c>
      <c r="O33" s="33"/>
    </row>
    <row r="34" spans="1:15" ht="13.5" customHeight="1" x14ac:dyDescent="0.2">
      <c r="A34" s="29" t="str">
        <f t="shared" si="20"/>
        <v>2017-18</v>
      </c>
      <c r="B34" s="228">
        <f>T_1_19!B12</f>
        <v>12</v>
      </c>
      <c r="C34" s="228">
        <f>T_1_19!C12</f>
        <v>8</v>
      </c>
      <c r="D34" s="228">
        <f>T_1_19!D12</f>
        <v>8</v>
      </c>
      <c r="E34" s="228">
        <f>T_1_19!E12</f>
        <v>6</v>
      </c>
      <c r="F34" s="228">
        <f>T_1_19!F12</f>
        <v>3</v>
      </c>
      <c r="G34" s="377">
        <f t="shared" si="28"/>
        <v>37</v>
      </c>
      <c r="H34" s="193"/>
      <c r="I34" s="29" t="str">
        <f t="shared" si="29"/>
        <v>2017-18</v>
      </c>
      <c r="J34" s="244">
        <f t="shared" si="30"/>
        <v>32.432432432432435</v>
      </c>
      <c r="K34" s="244">
        <f t="shared" si="31"/>
        <v>21.621621621621621</v>
      </c>
      <c r="L34" s="244">
        <f t="shared" si="32"/>
        <v>21.621621621621621</v>
      </c>
      <c r="M34" s="244">
        <f t="shared" si="33"/>
        <v>16.216216216216218</v>
      </c>
      <c r="N34" s="582">
        <f t="shared" si="34"/>
        <v>8.1081081081081088</v>
      </c>
      <c r="O34" s="33"/>
    </row>
    <row r="35" spans="1:15" ht="13.5" customHeight="1" x14ac:dyDescent="0.2">
      <c r="A35" s="29" t="str">
        <f t="shared" si="20"/>
        <v>2018-19</v>
      </c>
      <c r="B35" s="228">
        <f>T_1_19!B13</f>
        <v>12</v>
      </c>
      <c r="C35" s="228">
        <f>T_1_19!C13</f>
        <v>7</v>
      </c>
      <c r="D35" s="228">
        <f>T_1_19!D13</f>
        <v>4</v>
      </c>
      <c r="E35" s="228">
        <f>T_1_19!E13</f>
        <v>10</v>
      </c>
      <c r="F35" s="228">
        <f>T_1_19!F13</f>
        <v>7</v>
      </c>
      <c r="G35" s="377">
        <f t="shared" si="28"/>
        <v>40</v>
      </c>
      <c r="H35" s="193"/>
      <c r="I35" s="29" t="str">
        <f t="shared" si="29"/>
        <v>2018-19</v>
      </c>
      <c r="J35" s="244">
        <f t="shared" si="30"/>
        <v>30</v>
      </c>
      <c r="K35" s="244">
        <f t="shared" si="31"/>
        <v>17.5</v>
      </c>
      <c r="L35" s="244">
        <f t="shared" si="32"/>
        <v>10</v>
      </c>
      <c r="M35" s="244">
        <f t="shared" si="33"/>
        <v>25</v>
      </c>
      <c r="N35" s="582">
        <f t="shared" si="34"/>
        <v>17.5</v>
      </c>
      <c r="O35" s="33"/>
    </row>
    <row r="36" spans="1:15" ht="13.5" customHeight="1" x14ac:dyDescent="0.2">
      <c r="A36" s="29" t="str">
        <f t="shared" si="20"/>
        <v>2019-20</v>
      </c>
      <c r="B36" s="228">
        <f>T_1_19!B14</f>
        <v>8</v>
      </c>
      <c r="C36" s="228">
        <f>T_1_19!C14</f>
        <v>3</v>
      </c>
      <c r="D36" s="228">
        <f>T_1_19!D14</f>
        <v>3</v>
      </c>
      <c r="E36" s="228">
        <f>T_1_19!E14</f>
        <v>5</v>
      </c>
      <c r="F36" s="228">
        <f>T_1_19!F14</f>
        <v>2</v>
      </c>
      <c r="G36" s="377">
        <f t="shared" si="28"/>
        <v>21</v>
      </c>
      <c r="H36" s="193"/>
      <c r="I36" s="29" t="str">
        <f t="shared" si="29"/>
        <v>2019-20</v>
      </c>
      <c r="J36" s="244">
        <f t="shared" si="30"/>
        <v>38.095238095238095</v>
      </c>
      <c r="K36" s="244">
        <f t="shared" si="31"/>
        <v>14.285714285714285</v>
      </c>
      <c r="L36" s="244">
        <f t="shared" si="32"/>
        <v>14.285714285714285</v>
      </c>
      <c r="M36" s="244">
        <f t="shared" si="33"/>
        <v>23.809523809523807</v>
      </c>
      <c r="N36" s="582">
        <f t="shared" si="34"/>
        <v>9.5238095238095237</v>
      </c>
      <c r="O36" s="33"/>
    </row>
    <row r="37" spans="1:15" ht="13.5" thickBot="1" x14ac:dyDescent="0.25">
      <c r="A37" s="380" t="str">
        <f t="shared" si="20"/>
        <v>2020-21</v>
      </c>
      <c r="B37" s="743">
        <f>T_1_19!B15</f>
        <v>23</v>
      </c>
      <c r="C37" s="743">
        <f>T_1_19!C15</f>
        <v>5</v>
      </c>
      <c r="D37" s="743">
        <f>T_1_19!D15</f>
        <v>3</v>
      </c>
      <c r="E37" s="743">
        <f>T_1_19!E15</f>
        <v>4</v>
      </c>
      <c r="F37" s="743">
        <f>T_1_19!F15</f>
        <v>9</v>
      </c>
      <c r="G37" s="382">
        <f t="shared" si="28"/>
        <v>44</v>
      </c>
      <c r="H37" s="1"/>
      <c r="I37" s="380" t="str">
        <f t="shared" si="29"/>
        <v>2020-21</v>
      </c>
      <c r="J37" s="748">
        <f t="shared" ref="J37" si="35">B37/G37*100</f>
        <v>52.272727272727273</v>
      </c>
      <c r="K37" s="748">
        <f t="shared" ref="K37" si="36">C37/G37*100</f>
        <v>11.363636363636363</v>
      </c>
      <c r="L37" s="748">
        <f t="shared" ref="L37" si="37">D37/G37*100</f>
        <v>6.8181818181818175</v>
      </c>
      <c r="M37" s="748">
        <f t="shared" ref="M37" si="38">E37/G37*100</f>
        <v>9.0909090909090917</v>
      </c>
      <c r="N37" s="749">
        <f t="shared" ref="N37" si="39">F37/G37*100</f>
        <v>20.454545454545457</v>
      </c>
      <c r="O37" s="33"/>
    </row>
    <row r="38" spans="1:15" x14ac:dyDescent="0.2">
      <c r="A38" s="1"/>
      <c r="B38" s="14"/>
      <c r="C38" s="1"/>
      <c r="D38" s="1"/>
      <c r="E38" s="1"/>
      <c r="F38" s="1"/>
      <c r="G38" s="1"/>
      <c r="H38" s="1"/>
      <c r="I38" s="1"/>
      <c r="J38" s="1"/>
      <c r="K38" s="1"/>
      <c r="L38" s="1"/>
      <c r="M38" s="1"/>
      <c r="N38" s="1"/>
      <c r="O38" s="33"/>
    </row>
    <row r="39" spans="1:15" ht="15" x14ac:dyDescent="0.25">
      <c r="A39" s="1"/>
      <c r="B39" s="1"/>
      <c r="C39" s="1"/>
      <c r="D39" s="1"/>
      <c r="E39" s="1"/>
      <c r="F39" s="1"/>
      <c r="G39" s="80" t="s">
        <v>0</v>
      </c>
      <c r="H39" s="1"/>
      <c r="I39" s="1"/>
      <c r="J39" s="1"/>
      <c r="K39" s="1"/>
      <c r="L39" s="1"/>
      <c r="M39" s="1"/>
      <c r="N39" s="60" t="s">
        <v>62</v>
      </c>
      <c r="O39" s="33"/>
    </row>
    <row r="40" spans="1:15" ht="15" customHeight="1" x14ac:dyDescent="0.2">
      <c r="A40" s="1321" t="s">
        <v>4</v>
      </c>
      <c r="B40" s="1298" t="s">
        <v>1424</v>
      </c>
      <c r="C40" s="1298"/>
      <c r="D40" s="1298"/>
      <c r="E40" s="1298"/>
      <c r="F40" s="1298"/>
      <c r="G40" s="1277" t="s">
        <v>172</v>
      </c>
      <c r="H40" s="39"/>
      <c r="I40" s="1321" t="s">
        <v>4</v>
      </c>
      <c r="J40" s="1298" t="s">
        <v>1424</v>
      </c>
      <c r="K40" s="1298"/>
      <c r="L40" s="1298"/>
      <c r="M40" s="1298"/>
      <c r="N40" s="1298"/>
      <c r="O40" s="33"/>
    </row>
    <row r="41" spans="1:15" ht="41.25" customHeight="1" x14ac:dyDescent="0.2">
      <c r="A41" s="1321"/>
      <c r="B41" s="255" t="s">
        <v>187</v>
      </c>
      <c r="C41" s="256" t="s">
        <v>188</v>
      </c>
      <c r="D41" s="256" t="s">
        <v>189</v>
      </c>
      <c r="E41" s="256" t="s">
        <v>184</v>
      </c>
      <c r="F41" s="256" t="s">
        <v>319</v>
      </c>
      <c r="G41" s="1293"/>
      <c r="H41" s="39"/>
      <c r="I41" s="1321"/>
      <c r="J41" s="255" t="s">
        <v>187</v>
      </c>
      <c r="K41" s="256" t="s">
        <v>188</v>
      </c>
      <c r="L41" s="256" t="s">
        <v>189</v>
      </c>
      <c r="M41" s="256" t="s">
        <v>184</v>
      </c>
      <c r="N41" s="257" t="s">
        <v>319</v>
      </c>
      <c r="O41" s="33"/>
    </row>
    <row r="42" spans="1:15" ht="13.5" customHeight="1" x14ac:dyDescent="0.2">
      <c r="A42" s="378" t="str">
        <f t="shared" ref="A42:A53" si="40">A10</f>
        <v>2009-10</v>
      </c>
      <c r="B42" s="750">
        <f>T_1_19!H4</f>
        <v>417</v>
      </c>
      <c r="C42" s="750">
        <f>T_1_19!I4</f>
        <v>123</v>
      </c>
      <c r="D42" s="750">
        <f>T_1_19!J4</f>
        <v>155</v>
      </c>
      <c r="E42" s="750">
        <f>T_1_19!K4</f>
        <v>304</v>
      </c>
      <c r="F42" s="750">
        <f>T_1_19!L4</f>
        <v>33</v>
      </c>
      <c r="G42" s="709">
        <f>SUM(B42:F42)</f>
        <v>1032</v>
      </c>
      <c r="H42" s="191"/>
      <c r="I42" s="378" t="str">
        <f>A42</f>
        <v>2009-10</v>
      </c>
      <c r="J42" s="746">
        <f>B42/G42*100</f>
        <v>40.406976744186046</v>
      </c>
      <c r="K42" s="746">
        <f>C42/G42*100</f>
        <v>11.918604651162791</v>
      </c>
      <c r="L42" s="746">
        <f>D42/G42*100</f>
        <v>15.019379844961239</v>
      </c>
      <c r="M42" s="746">
        <f>E42/G42*100</f>
        <v>29.457364341085274</v>
      </c>
      <c r="N42" s="746">
        <f>F42/G42*100</f>
        <v>3.1976744186046515</v>
      </c>
      <c r="O42" s="33"/>
    </row>
    <row r="43" spans="1:15" ht="13.5" customHeight="1" x14ac:dyDescent="0.2">
      <c r="A43" s="29" t="str">
        <f t="shared" si="40"/>
        <v>2010-11</v>
      </c>
      <c r="B43" s="229">
        <f>T_1_19!H5</f>
        <v>493</v>
      </c>
      <c r="C43" s="229">
        <f>T_1_19!I5</f>
        <v>106</v>
      </c>
      <c r="D43" s="229">
        <f>T_1_19!J5</f>
        <v>155</v>
      </c>
      <c r="E43" s="229">
        <f>T_1_19!K5</f>
        <v>363</v>
      </c>
      <c r="F43" s="229">
        <f>T_1_19!L5</f>
        <v>25</v>
      </c>
      <c r="G43" s="13">
        <f t="shared" ref="G43:G48" si="41">SUM(B43:F43)</f>
        <v>1142</v>
      </c>
      <c r="H43" s="191"/>
      <c r="I43" s="29" t="str">
        <f t="shared" ref="I43:I48" si="42">A43</f>
        <v>2010-11</v>
      </c>
      <c r="J43" s="244">
        <f t="shared" ref="J43:J48" si="43">B43/G43*100</f>
        <v>43.169877408056038</v>
      </c>
      <c r="K43" s="244">
        <f t="shared" ref="K43:K48" si="44">C43/G43*100</f>
        <v>9.281961471103326</v>
      </c>
      <c r="L43" s="244">
        <f t="shared" ref="L43:L48" si="45">D43/G43*100</f>
        <v>13.572679509632223</v>
      </c>
      <c r="M43" s="244">
        <f t="shared" ref="M43:M48" si="46">E43/G43*100</f>
        <v>31.786339754816112</v>
      </c>
      <c r="N43" s="244">
        <f t="shared" ref="N43:N48" si="47">F43/G43*100</f>
        <v>2.1891418563922942</v>
      </c>
      <c r="O43" s="33"/>
    </row>
    <row r="44" spans="1:15" ht="13.5" customHeight="1" x14ac:dyDescent="0.2">
      <c r="A44" s="29" t="str">
        <f t="shared" si="40"/>
        <v>2011-12</v>
      </c>
      <c r="B44" s="229">
        <f>T_1_19!H6</f>
        <v>519</v>
      </c>
      <c r="C44" s="229">
        <f>T_1_19!I6</f>
        <v>143</v>
      </c>
      <c r="D44" s="229">
        <f>T_1_19!J6</f>
        <v>144</v>
      </c>
      <c r="E44" s="229">
        <f>T_1_19!K6</f>
        <v>380</v>
      </c>
      <c r="F44" s="229">
        <f>T_1_19!L6</f>
        <v>33</v>
      </c>
      <c r="G44" s="13">
        <f t="shared" si="41"/>
        <v>1219</v>
      </c>
      <c r="H44" s="191"/>
      <c r="I44" s="29" t="str">
        <f t="shared" si="42"/>
        <v>2011-12</v>
      </c>
      <c r="J44" s="244">
        <f t="shared" si="43"/>
        <v>42.575881870385565</v>
      </c>
      <c r="K44" s="244">
        <f t="shared" si="44"/>
        <v>11.73092698933552</v>
      </c>
      <c r="L44" s="244">
        <f t="shared" si="45"/>
        <v>11.812961443806397</v>
      </c>
      <c r="M44" s="244">
        <f t="shared" si="46"/>
        <v>31.173092698933552</v>
      </c>
      <c r="N44" s="244">
        <f t="shared" si="47"/>
        <v>2.7071369975389663</v>
      </c>
      <c r="O44" s="33"/>
    </row>
    <row r="45" spans="1:15" ht="13.5" customHeight="1" x14ac:dyDescent="0.2">
      <c r="A45" s="29" t="str">
        <f t="shared" si="40"/>
        <v>2012-13</v>
      </c>
      <c r="B45" s="229">
        <f>T_1_19!H7</f>
        <v>540</v>
      </c>
      <c r="C45" s="229">
        <f>T_1_19!I7</f>
        <v>138</v>
      </c>
      <c r="D45" s="229">
        <f>T_1_19!J7</f>
        <v>145</v>
      </c>
      <c r="E45" s="229">
        <f>T_1_19!K7</f>
        <v>305</v>
      </c>
      <c r="F45" s="229">
        <f>T_1_19!L7</f>
        <v>38</v>
      </c>
      <c r="G45" s="13">
        <f t="shared" si="41"/>
        <v>1166</v>
      </c>
      <c r="H45" s="191"/>
      <c r="I45" s="29" t="str">
        <f t="shared" si="42"/>
        <v>2012-13</v>
      </c>
      <c r="J45" s="244">
        <f t="shared" si="43"/>
        <v>46.312178387650086</v>
      </c>
      <c r="K45" s="244">
        <f t="shared" si="44"/>
        <v>11.83533447684391</v>
      </c>
      <c r="L45" s="244">
        <f t="shared" si="45"/>
        <v>12.435677530017152</v>
      </c>
      <c r="M45" s="244">
        <f t="shared" si="46"/>
        <v>26.157804459691253</v>
      </c>
      <c r="N45" s="244">
        <f t="shared" si="47"/>
        <v>3.2590051457975986</v>
      </c>
      <c r="O45" s="33"/>
    </row>
    <row r="46" spans="1:15" ht="13.5" customHeight="1" x14ac:dyDescent="0.2">
      <c r="A46" s="29" t="str">
        <f t="shared" si="40"/>
        <v>2013-14</v>
      </c>
      <c r="B46" s="229">
        <f>T_1_19!H8</f>
        <v>532</v>
      </c>
      <c r="C46" s="229">
        <f>T_1_19!I8</f>
        <v>129</v>
      </c>
      <c r="D46" s="229">
        <f>T_1_19!J8</f>
        <v>125</v>
      </c>
      <c r="E46" s="229">
        <f>T_1_19!K8</f>
        <v>329</v>
      </c>
      <c r="F46" s="229">
        <f>T_1_19!L8</f>
        <v>25</v>
      </c>
      <c r="G46" s="13">
        <f t="shared" si="41"/>
        <v>1140</v>
      </c>
      <c r="H46" s="191"/>
      <c r="I46" s="29" t="str">
        <f t="shared" si="42"/>
        <v>2013-14</v>
      </c>
      <c r="J46" s="244">
        <f t="shared" si="43"/>
        <v>46.666666666666664</v>
      </c>
      <c r="K46" s="244">
        <f t="shared" si="44"/>
        <v>11.315789473684211</v>
      </c>
      <c r="L46" s="244">
        <f t="shared" si="45"/>
        <v>10.964912280701753</v>
      </c>
      <c r="M46" s="244">
        <f t="shared" si="46"/>
        <v>28.859649122807017</v>
      </c>
      <c r="N46" s="244">
        <f t="shared" si="47"/>
        <v>2.1929824561403506</v>
      </c>
      <c r="O46" s="33"/>
    </row>
    <row r="47" spans="1:15" ht="13.5" customHeight="1" x14ac:dyDescent="0.2">
      <c r="A47" s="29" t="str">
        <f t="shared" si="40"/>
        <v>2014-15</v>
      </c>
      <c r="B47" s="229">
        <f>T_1_19!H9</f>
        <v>489</v>
      </c>
      <c r="C47" s="229">
        <f>T_1_19!I9</f>
        <v>110</v>
      </c>
      <c r="D47" s="229">
        <f>T_1_19!J9</f>
        <v>110</v>
      </c>
      <c r="E47" s="229">
        <f>T_1_19!K9</f>
        <v>222</v>
      </c>
      <c r="F47" s="229">
        <f>T_1_19!L9</f>
        <v>16</v>
      </c>
      <c r="G47" s="13">
        <f t="shared" si="41"/>
        <v>947</v>
      </c>
      <c r="H47" s="191"/>
      <c r="I47" s="29" t="str">
        <f t="shared" si="42"/>
        <v>2014-15</v>
      </c>
      <c r="J47" s="244">
        <f t="shared" si="43"/>
        <v>51.63674762407603</v>
      </c>
      <c r="K47" s="244">
        <f t="shared" si="44"/>
        <v>11.615628299894404</v>
      </c>
      <c r="L47" s="244">
        <f t="shared" si="45"/>
        <v>11.615628299894404</v>
      </c>
      <c r="M47" s="244">
        <f t="shared" si="46"/>
        <v>23.442449841605068</v>
      </c>
      <c r="N47" s="244">
        <f t="shared" si="47"/>
        <v>1.6895459345300949</v>
      </c>
      <c r="O47" s="33"/>
    </row>
    <row r="48" spans="1:15" ht="13.5" customHeight="1" x14ac:dyDescent="0.2">
      <c r="A48" s="29" t="str">
        <f t="shared" si="40"/>
        <v>2015-16</v>
      </c>
      <c r="B48" s="229">
        <f>T_1_19!H10</f>
        <v>491</v>
      </c>
      <c r="C48" s="229">
        <f>T_1_19!I10</f>
        <v>131</v>
      </c>
      <c r="D48" s="229">
        <f>T_1_19!J10</f>
        <v>124</v>
      </c>
      <c r="E48" s="229">
        <f>T_1_19!K10</f>
        <v>274</v>
      </c>
      <c r="F48" s="229">
        <f>T_1_19!L10</f>
        <v>43</v>
      </c>
      <c r="G48" s="13">
        <f t="shared" si="41"/>
        <v>1063</v>
      </c>
      <c r="H48" s="191"/>
      <c r="I48" s="29" t="str">
        <f t="shared" si="42"/>
        <v>2015-16</v>
      </c>
      <c r="J48" s="244">
        <f t="shared" si="43"/>
        <v>46.190028222013169</v>
      </c>
      <c r="K48" s="244">
        <f t="shared" si="44"/>
        <v>12.323612417685794</v>
      </c>
      <c r="L48" s="244">
        <f t="shared" si="45"/>
        <v>11.665098777046095</v>
      </c>
      <c r="M48" s="244">
        <f t="shared" si="46"/>
        <v>25.776105362182498</v>
      </c>
      <c r="N48" s="244">
        <f t="shared" si="47"/>
        <v>4.0451552210724362</v>
      </c>
      <c r="O48" s="33"/>
    </row>
    <row r="49" spans="1:15" ht="13.5" customHeight="1" x14ac:dyDescent="0.2">
      <c r="A49" s="29" t="str">
        <f t="shared" si="40"/>
        <v>2016-17</v>
      </c>
      <c r="B49" s="229">
        <f>T_1_19!H11</f>
        <v>581</v>
      </c>
      <c r="C49" s="229">
        <f>T_1_19!I11</f>
        <v>149</v>
      </c>
      <c r="D49" s="229">
        <f>T_1_19!J11</f>
        <v>114</v>
      </c>
      <c r="E49" s="229">
        <f>T_1_19!K11</f>
        <v>262</v>
      </c>
      <c r="F49" s="229">
        <f>T_1_19!L11</f>
        <v>9</v>
      </c>
      <c r="G49" s="13">
        <f t="shared" ref="G49:G52" si="48">SUM(B49:F49)</f>
        <v>1115</v>
      </c>
      <c r="H49" s="191"/>
      <c r="I49" s="29" t="str">
        <f t="shared" ref="I49:I53" si="49">A49</f>
        <v>2016-17</v>
      </c>
      <c r="J49" s="244">
        <f t="shared" ref="J49:J52" si="50">B49/G49*100</f>
        <v>52.107623318385656</v>
      </c>
      <c r="K49" s="244">
        <f t="shared" ref="K49:K52" si="51">C49/G49*100</f>
        <v>13.363228699551568</v>
      </c>
      <c r="L49" s="244">
        <f t="shared" ref="L49:L52" si="52">D49/G49*100</f>
        <v>10.224215246636771</v>
      </c>
      <c r="M49" s="244">
        <f t="shared" ref="M49:M52" si="53">E49/G49*100</f>
        <v>23.497757847533631</v>
      </c>
      <c r="N49" s="244">
        <f t="shared" ref="N49:N52" si="54">F49/G49*100</f>
        <v>0.80717488789237668</v>
      </c>
      <c r="O49" s="33"/>
    </row>
    <row r="50" spans="1:15" ht="14.25" customHeight="1" x14ac:dyDescent="0.2">
      <c r="A50" s="29" t="str">
        <f t="shared" si="40"/>
        <v>2017-18</v>
      </c>
      <c r="B50" s="229">
        <f>T_1_19!H12</f>
        <v>502</v>
      </c>
      <c r="C50" s="229">
        <f>T_1_19!I12</f>
        <v>111</v>
      </c>
      <c r="D50" s="229">
        <f>T_1_19!J12</f>
        <v>76</v>
      </c>
      <c r="E50" s="229">
        <f>T_1_19!K12</f>
        <v>211</v>
      </c>
      <c r="F50" s="229">
        <f>T_1_19!L12</f>
        <v>21</v>
      </c>
      <c r="G50" s="13">
        <f t="shared" si="48"/>
        <v>921</v>
      </c>
      <c r="H50" s="191"/>
      <c r="I50" s="29" t="str">
        <f t="shared" si="49"/>
        <v>2017-18</v>
      </c>
      <c r="J50" s="244">
        <f t="shared" si="50"/>
        <v>54.505971769815417</v>
      </c>
      <c r="K50" s="244">
        <f t="shared" si="51"/>
        <v>12.052117263843648</v>
      </c>
      <c r="L50" s="244">
        <f t="shared" si="52"/>
        <v>8.2519001085776331</v>
      </c>
      <c r="M50" s="244">
        <f t="shared" si="53"/>
        <v>22.909880564603689</v>
      </c>
      <c r="N50" s="244">
        <f t="shared" si="54"/>
        <v>2.2801302931596092</v>
      </c>
      <c r="O50" s="33"/>
    </row>
    <row r="51" spans="1:15" ht="14.25" customHeight="1" x14ac:dyDescent="0.2">
      <c r="A51" s="29" t="str">
        <f t="shared" si="40"/>
        <v>2018-19</v>
      </c>
      <c r="B51" s="229">
        <f>T_1_19!H13</f>
        <v>588</v>
      </c>
      <c r="C51" s="229">
        <f>T_1_19!I13</f>
        <v>88</v>
      </c>
      <c r="D51" s="229">
        <f>T_1_19!J13</f>
        <v>92</v>
      </c>
      <c r="E51" s="229">
        <f>T_1_19!K13</f>
        <v>217</v>
      </c>
      <c r="F51" s="229">
        <f>T_1_19!L13</f>
        <v>31</v>
      </c>
      <c r="G51" s="13">
        <f t="shared" si="48"/>
        <v>1016</v>
      </c>
      <c r="H51" s="191"/>
      <c r="I51" s="29" t="str">
        <f t="shared" si="49"/>
        <v>2018-19</v>
      </c>
      <c r="J51" s="244">
        <f t="shared" si="50"/>
        <v>57.874015748031496</v>
      </c>
      <c r="K51" s="244">
        <f t="shared" si="51"/>
        <v>8.6614173228346463</v>
      </c>
      <c r="L51" s="244">
        <f t="shared" si="52"/>
        <v>9.0551181102362204</v>
      </c>
      <c r="M51" s="244">
        <f t="shared" si="53"/>
        <v>21.358267716535433</v>
      </c>
      <c r="N51" s="244">
        <f t="shared" si="54"/>
        <v>3.0511811023622046</v>
      </c>
      <c r="O51" s="33"/>
    </row>
    <row r="52" spans="1:15" ht="13.5" customHeight="1" x14ac:dyDescent="0.2">
      <c r="A52" s="29" t="str">
        <f t="shared" si="40"/>
        <v>2019-20</v>
      </c>
      <c r="B52" s="228">
        <f>T_1_19!H14</f>
        <v>443</v>
      </c>
      <c r="C52" s="228">
        <f>T_1_19!I14</f>
        <v>119</v>
      </c>
      <c r="D52" s="228">
        <f>T_1_19!J14</f>
        <v>55</v>
      </c>
      <c r="E52" s="228">
        <f>T_1_19!K14</f>
        <v>232</v>
      </c>
      <c r="F52" s="228">
        <f>T_1_19!L14</f>
        <v>28</v>
      </c>
      <c r="G52" s="13">
        <f t="shared" si="48"/>
        <v>877</v>
      </c>
      <c r="H52" s="191"/>
      <c r="I52" s="29" t="str">
        <f t="shared" si="49"/>
        <v>2019-20</v>
      </c>
      <c r="J52" s="244">
        <f t="shared" si="50"/>
        <v>50.513112884834669</v>
      </c>
      <c r="K52" s="244">
        <f t="shared" si="51"/>
        <v>13.568985176738883</v>
      </c>
      <c r="L52" s="244">
        <f t="shared" si="52"/>
        <v>6.2713797035347785</v>
      </c>
      <c r="M52" s="244">
        <f t="shared" si="53"/>
        <v>26.453819840364879</v>
      </c>
      <c r="N52" s="244">
        <f t="shared" si="54"/>
        <v>3.1927023945267958</v>
      </c>
      <c r="O52" s="33"/>
    </row>
    <row r="53" spans="1:15" ht="13.5" thickBot="1" x14ac:dyDescent="0.25">
      <c r="A53" s="380" t="str">
        <f t="shared" si="40"/>
        <v>2020-21</v>
      </c>
      <c r="B53" s="743">
        <f>T_1_19!H15</f>
        <v>484</v>
      </c>
      <c r="C53" s="743">
        <f>T_1_19!I15</f>
        <v>111</v>
      </c>
      <c r="D53" s="743">
        <f>T_1_19!J15</f>
        <v>59</v>
      </c>
      <c r="E53" s="743">
        <f>T_1_19!K15</f>
        <v>181</v>
      </c>
      <c r="F53" s="743">
        <f>T_1_19!L15</f>
        <v>41</v>
      </c>
      <c r="G53" s="350">
        <f t="shared" ref="G53" si="55">SUM(B53:F53)</f>
        <v>876</v>
      </c>
      <c r="H53" s="1"/>
      <c r="I53" s="380" t="str">
        <f t="shared" si="49"/>
        <v>2020-21</v>
      </c>
      <c r="J53" s="748">
        <f t="shared" ref="J53" si="56">B53/G53*100</f>
        <v>55.25114155251142</v>
      </c>
      <c r="K53" s="748">
        <f t="shared" ref="K53" si="57">C53/G53*100</f>
        <v>12.671232876712329</v>
      </c>
      <c r="L53" s="748">
        <f t="shared" ref="L53" si="58">D53/G53*100</f>
        <v>6.7351598173515974</v>
      </c>
      <c r="M53" s="748">
        <f t="shared" ref="M53" si="59">E53/G53*100</f>
        <v>20.662100456621005</v>
      </c>
      <c r="N53" s="748">
        <f t="shared" ref="N53" si="60">F53/G53*100</f>
        <v>4.6803652968036529</v>
      </c>
      <c r="O53" s="152"/>
    </row>
  </sheetData>
  <sheetProtection algorithmName="SHA-512" hashValue="xzLxdESj/mPaqnNSda5XtyUs5HB9t9sQ44NbH/zKw807BV24jGV8/fkJHxi3WI7pQ9Phw4mjMtyL7COJi9a/mQ==" saltValue="Xso+lPHgD4ZR7jLsJbPzJw==" spinCount="100000" sheet="1" scenarios="1" formatCells="0" formatColumns="0" formatRows="0" sort="0" autoFilter="0" pivotTables="0"/>
  <mergeCells count="15">
    <mergeCell ref="J8:N8"/>
    <mergeCell ref="B24:F24"/>
    <mergeCell ref="J24:N24"/>
    <mergeCell ref="B40:F40"/>
    <mergeCell ref="J40:N40"/>
    <mergeCell ref="G40:G41"/>
    <mergeCell ref="G8:G9"/>
    <mergeCell ref="G24:G25"/>
    <mergeCell ref="I8:I9"/>
    <mergeCell ref="I24:I25"/>
    <mergeCell ref="A40:A41"/>
    <mergeCell ref="I40:I41"/>
    <mergeCell ref="B8:F8"/>
    <mergeCell ref="A8:A9"/>
    <mergeCell ref="A24:A25"/>
  </mergeCells>
  <hyperlinks>
    <hyperlink ref="A2" location="'Table of Contents'!A1" display="Back to Table of Contents" xr:uid="{00000000-0004-0000-3B00-000000000000}"/>
  </hyperlinks>
  <pageMargins left="0.7" right="0.7" top="0.75" bottom="0.75" header="0.3" footer="0.3"/>
  <pageSetup paperSize="9" scale="83" fitToWidth="0" orientation="portrait" r:id="rId1"/>
  <colBreaks count="1" manualBreakCount="1">
    <brk id="8"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9">
    <tabColor rgb="FFFFAFF0"/>
  </sheetPr>
  <dimension ref="A1:P126"/>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7" customWidth="1"/>
    <col min="2" max="2" width="23" customWidth="1"/>
    <col min="3" max="3" width="12.28515625" customWidth="1"/>
    <col min="4" max="4" width="14.7109375" customWidth="1"/>
    <col min="5" max="5" width="11.42578125" customWidth="1"/>
    <col min="6" max="6" width="10.42578125" customWidth="1"/>
    <col min="7" max="7" width="13" customWidth="1"/>
    <col min="8" max="8" width="10" customWidth="1"/>
    <col min="9" max="9" width="4.42578125" customWidth="1"/>
    <col min="10" max="10" width="13.140625" customWidth="1"/>
    <col min="11" max="11" width="14.7109375" customWidth="1"/>
    <col min="12" max="12" width="11.42578125" customWidth="1"/>
    <col min="13" max="13" width="10.7109375" customWidth="1"/>
    <col min="14" max="14" width="12.85546875" customWidth="1"/>
    <col min="15" max="15" width="6.140625" customWidth="1"/>
    <col min="16" max="16" width="7.42578125" customWidth="1"/>
    <col min="17" max="17" width="8.28515625" customWidth="1"/>
    <col min="18" max="18" width="5.140625" customWidth="1"/>
    <col min="19" max="19" width="8.85546875" customWidth="1"/>
    <col min="20" max="21" width="7.85546875" customWidth="1"/>
    <col min="22" max="22" width="12.85546875" customWidth="1"/>
    <col min="23" max="23" width="8.7109375" customWidth="1"/>
  </cols>
  <sheetData>
    <row r="1" spans="1:16" ht="18" customHeight="1" x14ac:dyDescent="0.2">
      <c r="A1" s="298" t="s">
        <v>1129</v>
      </c>
    </row>
    <row r="2" spans="1:16" ht="18" customHeight="1" x14ac:dyDescent="0.2">
      <c r="A2" s="106" t="s">
        <v>578</v>
      </c>
    </row>
    <row r="3" spans="1:16" ht="38.25" customHeight="1" x14ac:dyDescent="0.2">
      <c r="A3" s="120" t="s">
        <v>1072</v>
      </c>
      <c r="B3" s="120"/>
      <c r="D3" s="120"/>
      <c r="E3" s="120"/>
      <c r="F3" s="120"/>
      <c r="G3" s="120"/>
      <c r="H3" s="120"/>
      <c r="I3" s="120"/>
      <c r="J3" s="120"/>
      <c r="K3" s="120"/>
      <c r="L3" s="120"/>
      <c r="M3" s="1"/>
      <c r="N3" s="1"/>
    </row>
    <row r="4" spans="1:16" ht="15" customHeight="1" x14ac:dyDescent="0.25">
      <c r="A4" s="351" t="s">
        <v>579</v>
      </c>
      <c r="B4" s="1043" t="s">
        <v>1310</v>
      </c>
      <c r="D4" s="129"/>
      <c r="E4" s="129"/>
      <c r="F4" s="129"/>
      <c r="G4" s="129"/>
      <c r="H4" s="129"/>
      <c r="I4" s="129"/>
      <c r="J4" s="129"/>
      <c r="K4" s="129"/>
      <c r="L4" s="129"/>
      <c r="M4" s="1"/>
      <c r="N4" s="1"/>
    </row>
    <row r="5" spans="1:16" ht="15" customHeight="1" x14ac:dyDescent="0.25">
      <c r="A5" s="351" t="s">
        <v>580</v>
      </c>
      <c r="B5" s="351" t="s">
        <v>581</v>
      </c>
      <c r="D5" s="129"/>
      <c r="E5" s="129"/>
      <c r="F5" s="129"/>
      <c r="G5" s="129"/>
      <c r="H5" s="129"/>
      <c r="I5" s="129"/>
      <c r="J5" s="129"/>
      <c r="K5" s="129"/>
      <c r="L5" s="129"/>
      <c r="M5" s="1"/>
      <c r="N5" s="1"/>
    </row>
    <row r="6" spans="1:16" ht="15" customHeight="1" x14ac:dyDescent="0.25">
      <c r="A6" s="351" t="s">
        <v>582</v>
      </c>
      <c r="B6" s="351" t="s">
        <v>585</v>
      </c>
      <c r="D6" s="129"/>
      <c r="E6" s="129"/>
      <c r="F6" s="129"/>
      <c r="G6" s="129"/>
      <c r="H6" s="129"/>
      <c r="I6" s="129"/>
      <c r="J6" s="129"/>
      <c r="K6" s="129"/>
      <c r="L6" s="129"/>
      <c r="M6" s="1"/>
      <c r="N6" s="1"/>
    </row>
    <row r="7" spans="1:16" ht="15" x14ac:dyDescent="0.25">
      <c r="B7" s="438"/>
      <c r="H7" s="753" t="s">
        <v>0</v>
      </c>
      <c r="N7" s="754" t="s">
        <v>62</v>
      </c>
    </row>
    <row r="8" spans="1:16" ht="14.25" customHeight="1" x14ac:dyDescent="0.2">
      <c r="C8" s="1324" t="s">
        <v>651</v>
      </c>
      <c r="D8" s="1324"/>
      <c r="E8" s="1324"/>
      <c r="F8" s="1324"/>
      <c r="G8" s="1324"/>
      <c r="H8" s="1322" t="s">
        <v>185</v>
      </c>
      <c r="I8" s="105"/>
      <c r="J8" s="1324" t="s">
        <v>651</v>
      </c>
      <c r="K8" s="1324"/>
      <c r="L8" s="1324"/>
      <c r="M8" s="1324"/>
      <c r="N8" s="1324"/>
    </row>
    <row r="9" spans="1:16" ht="41.25" customHeight="1" x14ac:dyDescent="0.2">
      <c r="A9" s="438" t="s">
        <v>586</v>
      </c>
      <c r="B9" s="438" t="s">
        <v>22</v>
      </c>
      <c r="C9" s="773" t="s">
        <v>187</v>
      </c>
      <c r="D9" s="774" t="s">
        <v>188</v>
      </c>
      <c r="E9" s="774" t="s">
        <v>189</v>
      </c>
      <c r="F9" s="774" t="s">
        <v>184</v>
      </c>
      <c r="G9" s="774" t="s">
        <v>319</v>
      </c>
      <c r="H9" s="1323"/>
      <c r="I9" s="105"/>
      <c r="J9" s="773" t="s">
        <v>187</v>
      </c>
      <c r="K9" s="774" t="s">
        <v>188</v>
      </c>
      <c r="L9" s="774" t="s">
        <v>189</v>
      </c>
      <c r="M9" s="774" t="s">
        <v>184</v>
      </c>
      <c r="N9" s="775" t="s">
        <v>319</v>
      </c>
    </row>
    <row r="10" spans="1:16" ht="18.75" customHeight="1" x14ac:dyDescent="0.2">
      <c r="A10" s="404" t="s">
        <v>587</v>
      </c>
      <c r="B10" s="400" t="s">
        <v>23</v>
      </c>
      <c r="C10" s="758">
        <f>T_19!B5</f>
        <v>141</v>
      </c>
      <c r="D10" s="758">
        <f>T_19!C5</f>
        <v>24</v>
      </c>
      <c r="E10" s="758">
        <f>T_19!D5</f>
        <v>22</v>
      </c>
      <c r="F10" s="758">
        <f>T_19!E5</f>
        <v>52</v>
      </c>
      <c r="G10" s="758">
        <f>T_19!F5</f>
        <v>4</v>
      </c>
      <c r="H10" s="769">
        <f>SUM(C10:G10)</f>
        <v>243</v>
      </c>
      <c r="I10" s="765"/>
      <c r="J10" s="461">
        <f>C10/H10*100</f>
        <v>58.024691358024697</v>
      </c>
      <c r="K10" s="461">
        <f>D10/H10*100</f>
        <v>9.8765432098765427</v>
      </c>
      <c r="L10" s="461">
        <f>E10/H10*100</f>
        <v>9.0534979423868318</v>
      </c>
      <c r="M10" s="461">
        <f>F10/H10*100</f>
        <v>21.399176954732511</v>
      </c>
      <c r="N10" s="461">
        <f>G10/H10*100</f>
        <v>1.6460905349794239</v>
      </c>
      <c r="P10" s="193"/>
    </row>
    <row r="11" spans="1:16" ht="13.5" customHeight="1" x14ac:dyDescent="0.2">
      <c r="A11" t="s">
        <v>588</v>
      </c>
      <c r="B11" s="117" t="s">
        <v>24</v>
      </c>
      <c r="C11" s="154">
        <f>T_19!B6</f>
        <v>78</v>
      </c>
      <c r="D11" s="154">
        <f>T_19!C6</f>
        <v>11</v>
      </c>
      <c r="E11" s="154">
        <f>T_19!D6</f>
        <v>14</v>
      </c>
      <c r="F11" s="154">
        <f>T_19!E6</f>
        <v>62</v>
      </c>
      <c r="G11" s="154">
        <f>T_19!F6</f>
        <v>7</v>
      </c>
      <c r="H11" s="565">
        <f t="shared" ref="H11:H41" si="0">SUM(C11:G11)</f>
        <v>172</v>
      </c>
      <c r="I11" s="183"/>
      <c r="J11" s="245">
        <f t="shared" ref="J11:J41" si="1">C11/H11*100</f>
        <v>45.348837209302324</v>
      </c>
      <c r="K11" s="245">
        <f t="shared" ref="K11:K41" si="2">D11/H11*100</f>
        <v>6.395348837209303</v>
      </c>
      <c r="L11" s="245">
        <f t="shared" ref="L11:L41" si="3">E11/H11*100</f>
        <v>8.1395348837209305</v>
      </c>
      <c r="M11" s="245">
        <f t="shared" ref="M11:M41" si="4">F11/H11*100</f>
        <v>36.046511627906973</v>
      </c>
      <c r="N11" s="245">
        <f t="shared" ref="N11:N41" si="5">G11/H11*100</f>
        <v>4.0697674418604652</v>
      </c>
      <c r="P11" s="193"/>
    </row>
    <row r="12" spans="1:16" ht="13.5" customHeight="1" x14ac:dyDescent="0.2">
      <c r="A12" t="s">
        <v>589</v>
      </c>
      <c r="B12" s="117" t="s">
        <v>25</v>
      </c>
      <c r="C12" s="154">
        <f>T_19!B7</f>
        <v>45</v>
      </c>
      <c r="D12" s="154">
        <f>T_19!C7</f>
        <v>6</v>
      </c>
      <c r="E12" s="154">
        <f>T_19!D7</f>
        <v>3</v>
      </c>
      <c r="F12" s="154">
        <f>T_19!E7</f>
        <v>24</v>
      </c>
      <c r="G12" s="154">
        <f>T_19!F7</f>
        <v>2</v>
      </c>
      <c r="H12" s="565">
        <f t="shared" si="0"/>
        <v>80</v>
      </c>
      <c r="I12" s="183"/>
      <c r="J12" s="245">
        <f t="shared" si="1"/>
        <v>56.25</v>
      </c>
      <c r="K12" s="245">
        <f t="shared" si="2"/>
        <v>7.5</v>
      </c>
      <c r="L12" s="245">
        <f t="shared" si="3"/>
        <v>3.75</v>
      </c>
      <c r="M12" s="245">
        <f t="shared" si="4"/>
        <v>30</v>
      </c>
      <c r="N12" s="245">
        <f t="shared" si="5"/>
        <v>2.5</v>
      </c>
      <c r="P12" s="193"/>
    </row>
    <row r="13" spans="1:16" ht="13.5" customHeight="1" x14ac:dyDescent="0.2">
      <c r="A13" t="s">
        <v>590</v>
      </c>
      <c r="B13" s="117" t="s">
        <v>26</v>
      </c>
      <c r="C13" s="154">
        <f>T_19!B8</f>
        <v>51</v>
      </c>
      <c r="D13" s="154">
        <f>T_19!C8</f>
        <v>5</v>
      </c>
      <c r="E13" s="154">
        <f>T_19!D8</f>
        <v>13</v>
      </c>
      <c r="F13" s="154">
        <f>T_19!E8</f>
        <v>9</v>
      </c>
      <c r="G13" s="154">
        <f>T_19!F8</f>
        <v>8</v>
      </c>
      <c r="H13" s="565">
        <f t="shared" si="0"/>
        <v>86</v>
      </c>
      <c r="I13" s="183"/>
      <c r="J13" s="245">
        <f t="shared" si="1"/>
        <v>59.302325581395351</v>
      </c>
      <c r="K13" s="245">
        <f t="shared" si="2"/>
        <v>5.8139534883720927</v>
      </c>
      <c r="L13" s="245">
        <f t="shared" si="3"/>
        <v>15.11627906976744</v>
      </c>
      <c r="M13" s="245">
        <f t="shared" si="4"/>
        <v>10.465116279069768</v>
      </c>
      <c r="N13" s="245">
        <f t="shared" si="5"/>
        <v>9.3023255813953494</v>
      </c>
      <c r="P13" s="193"/>
    </row>
    <row r="14" spans="1:16" ht="13.5" customHeight="1" x14ac:dyDescent="0.2">
      <c r="A14" t="s">
        <v>591</v>
      </c>
      <c r="B14" s="117" t="s">
        <v>619</v>
      </c>
      <c r="C14" s="154">
        <f>T_19!B9</f>
        <v>162</v>
      </c>
      <c r="D14" s="154">
        <f>T_19!C9</f>
        <v>34</v>
      </c>
      <c r="E14" s="154">
        <f>T_19!D9</f>
        <v>55</v>
      </c>
      <c r="F14" s="154">
        <f>T_19!E9</f>
        <v>164</v>
      </c>
      <c r="G14" s="154">
        <f>T_19!F9</f>
        <v>7</v>
      </c>
      <c r="H14" s="565">
        <f t="shared" si="0"/>
        <v>422</v>
      </c>
      <c r="I14" s="183"/>
      <c r="J14" s="245">
        <f t="shared" si="1"/>
        <v>38.388625592417064</v>
      </c>
      <c r="K14" s="245">
        <f t="shared" si="2"/>
        <v>8.0568720379146921</v>
      </c>
      <c r="L14" s="245">
        <f t="shared" si="3"/>
        <v>13.033175355450238</v>
      </c>
      <c r="M14" s="245">
        <f t="shared" si="4"/>
        <v>38.862559241706165</v>
      </c>
      <c r="N14" s="245">
        <f t="shared" si="5"/>
        <v>1.6587677725118484</v>
      </c>
      <c r="P14" s="193"/>
    </row>
    <row r="15" spans="1:16" ht="13.5" customHeight="1" x14ac:dyDescent="0.2">
      <c r="A15" t="s">
        <v>592</v>
      </c>
      <c r="B15" s="117" t="s">
        <v>27</v>
      </c>
      <c r="C15" s="154">
        <f>T_19!B10</f>
        <v>32</v>
      </c>
      <c r="D15" s="154">
        <f>T_19!C10</f>
        <v>6</v>
      </c>
      <c r="E15" s="154">
        <f>T_19!D10</f>
        <v>4</v>
      </c>
      <c r="F15" s="154">
        <f>T_19!E10</f>
        <v>13</v>
      </c>
      <c r="G15" s="154">
        <f>T_19!F10</f>
        <v>0</v>
      </c>
      <c r="H15" s="565">
        <f t="shared" si="0"/>
        <v>55</v>
      </c>
      <c r="I15" s="183"/>
      <c r="J15" s="245">
        <f t="shared" si="1"/>
        <v>58.18181818181818</v>
      </c>
      <c r="K15" s="245">
        <f t="shared" si="2"/>
        <v>10.909090909090908</v>
      </c>
      <c r="L15" s="245">
        <f t="shared" si="3"/>
        <v>7.2727272727272725</v>
      </c>
      <c r="M15" s="245">
        <f t="shared" si="4"/>
        <v>23.636363636363637</v>
      </c>
      <c r="N15" s="245">
        <f t="shared" si="5"/>
        <v>0</v>
      </c>
      <c r="P15" s="193"/>
    </row>
    <row r="16" spans="1:16" ht="13.5" customHeight="1" x14ac:dyDescent="0.2">
      <c r="A16" t="s">
        <v>593</v>
      </c>
      <c r="B16" s="117" t="s">
        <v>28</v>
      </c>
      <c r="C16" s="154">
        <f>T_19!B11</f>
        <v>47</v>
      </c>
      <c r="D16" s="154">
        <f>T_19!C11</f>
        <v>5</v>
      </c>
      <c r="E16" s="154">
        <f>T_19!D11</f>
        <v>5</v>
      </c>
      <c r="F16" s="154">
        <f>T_19!E11</f>
        <v>16</v>
      </c>
      <c r="G16" s="154">
        <f>T_19!F11</f>
        <v>1</v>
      </c>
      <c r="H16" s="565">
        <f t="shared" si="0"/>
        <v>74</v>
      </c>
      <c r="I16" s="183"/>
      <c r="J16" s="245">
        <f t="shared" si="1"/>
        <v>63.513513513513509</v>
      </c>
      <c r="K16" s="245">
        <f t="shared" si="2"/>
        <v>6.756756756756757</v>
      </c>
      <c r="L16" s="245">
        <f t="shared" si="3"/>
        <v>6.756756756756757</v>
      </c>
      <c r="M16" s="245">
        <f t="shared" si="4"/>
        <v>21.621621621621621</v>
      </c>
      <c r="N16" s="245">
        <f t="shared" si="5"/>
        <v>1.3513513513513513</v>
      </c>
      <c r="P16" s="193"/>
    </row>
    <row r="17" spans="1:16" ht="13.5" customHeight="1" x14ac:dyDescent="0.2">
      <c r="A17" t="s">
        <v>594</v>
      </c>
      <c r="B17" s="117" t="s">
        <v>29</v>
      </c>
      <c r="C17" s="154">
        <f>T_19!B12</f>
        <v>99</v>
      </c>
      <c r="D17" s="154">
        <f>T_19!C12</f>
        <v>18</v>
      </c>
      <c r="E17" s="154">
        <f>T_19!D12</f>
        <v>27</v>
      </c>
      <c r="F17" s="154">
        <f>T_19!E12</f>
        <v>61</v>
      </c>
      <c r="G17" s="154">
        <f>T_19!F12</f>
        <v>4</v>
      </c>
      <c r="H17" s="565">
        <f t="shared" si="0"/>
        <v>209</v>
      </c>
      <c r="I17" s="183"/>
      <c r="J17" s="245">
        <f t="shared" si="1"/>
        <v>47.368421052631575</v>
      </c>
      <c r="K17" s="245">
        <f t="shared" si="2"/>
        <v>8.6124401913875595</v>
      </c>
      <c r="L17" s="245">
        <f t="shared" si="3"/>
        <v>12.918660287081341</v>
      </c>
      <c r="M17" s="245">
        <f t="shared" si="4"/>
        <v>29.186602870813399</v>
      </c>
      <c r="N17" s="245">
        <f t="shared" si="5"/>
        <v>1.9138755980861244</v>
      </c>
      <c r="P17" s="193"/>
    </row>
    <row r="18" spans="1:16" ht="13.5" customHeight="1" x14ac:dyDescent="0.2">
      <c r="A18" t="s">
        <v>595</v>
      </c>
      <c r="B18" s="117" t="s">
        <v>30</v>
      </c>
      <c r="C18" s="154">
        <f>T_19!B13</f>
        <v>67</v>
      </c>
      <c r="D18" s="154">
        <f>T_19!C13</f>
        <v>10</v>
      </c>
      <c r="E18" s="154">
        <f>T_19!D13</f>
        <v>15</v>
      </c>
      <c r="F18" s="154">
        <f>T_19!E13</f>
        <v>14</v>
      </c>
      <c r="G18" s="154">
        <f>T_19!F13</f>
        <v>3</v>
      </c>
      <c r="H18" s="565">
        <f t="shared" si="0"/>
        <v>109</v>
      </c>
      <c r="I18" s="183"/>
      <c r="J18" s="245">
        <f t="shared" si="1"/>
        <v>61.467889908256879</v>
      </c>
      <c r="K18" s="245">
        <f t="shared" si="2"/>
        <v>9.1743119266055047</v>
      </c>
      <c r="L18" s="245">
        <f t="shared" si="3"/>
        <v>13.761467889908257</v>
      </c>
      <c r="M18" s="245">
        <f t="shared" si="4"/>
        <v>12.844036697247708</v>
      </c>
      <c r="N18" s="245">
        <f t="shared" si="5"/>
        <v>2.7522935779816518</v>
      </c>
      <c r="P18" s="193"/>
    </row>
    <row r="19" spans="1:16" ht="13.5" customHeight="1" x14ac:dyDescent="0.2">
      <c r="A19" t="s">
        <v>596</v>
      </c>
      <c r="B19" s="117" t="s">
        <v>31</v>
      </c>
      <c r="C19" s="154">
        <f>T_19!B14</f>
        <v>41</v>
      </c>
      <c r="D19" s="154">
        <f>T_19!C14</f>
        <v>5</v>
      </c>
      <c r="E19" s="154">
        <f>T_19!D14</f>
        <v>13</v>
      </c>
      <c r="F19" s="154">
        <f>T_19!E14</f>
        <v>12</v>
      </c>
      <c r="G19" s="154">
        <f>T_19!F14</f>
        <v>3</v>
      </c>
      <c r="H19" s="565">
        <f t="shared" si="0"/>
        <v>74</v>
      </c>
      <c r="I19" s="183"/>
      <c r="J19" s="245">
        <f t="shared" si="1"/>
        <v>55.405405405405403</v>
      </c>
      <c r="K19" s="245">
        <f t="shared" si="2"/>
        <v>6.756756756756757</v>
      </c>
      <c r="L19" s="245">
        <f t="shared" si="3"/>
        <v>17.567567567567568</v>
      </c>
      <c r="M19" s="245">
        <f t="shared" si="4"/>
        <v>16.216216216216218</v>
      </c>
      <c r="N19" s="245">
        <f t="shared" si="5"/>
        <v>4.0540540540540544</v>
      </c>
      <c r="P19" s="193"/>
    </row>
    <row r="20" spans="1:16" ht="13.5" customHeight="1" x14ac:dyDescent="0.2">
      <c r="A20" t="s">
        <v>597</v>
      </c>
      <c r="B20" s="117" t="s">
        <v>32</v>
      </c>
      <c r="C20" s="154">
        <f>T_19!B15</f>
        <v>27</v>
      </c>
      <c r="D20" s="154">
        <f>T_19!C15</f>
        <v>3</v>
      </c>
      <c r="E20" s="154">
        <f>T_19!D15</f>
        <v>8</v>
      </c>
      <c r="F20" s="154">
        <f>T_19!E15</f>
        <v>10</v>
      </c>
      <c r="G20" s="154">
        <f>T_19!F15</f>
        <v>1</v>
      </c>
      <c r="H20" s="565">
        <f t="shared" si="0"/>
        <v>49</v>
      </c>
      <c r="I20" s="183"/>
      <c r="J20" s="245">
        <f t="shared" si="1"/>
        <v>55.102040816326522</v>
      </c>
      <c r="K20" s="245">
        <f t="shared" si="2"/>
        <v>6.1224489795918364</v>
      </c>
      <c r="L20" s="245">
        <f t="shared" si="3"/>
        <v>16.326530612244898</v>
      </c>
      <c r="M20" s="245">
        <f t="shared" si="4"/>
        <v>20.408163265306122</v>
      </c>
      <c r="N20" s="245">
        <f t="shared" si="5"/>
        <v>2.0408163265306123</v>
      </c>
      <c r="P20" s="193"/>
    </row>
    <row r="21" spans="1:16" ht="13.5" customHeight="1" x14ac:dyDescent="0.2">
      <c r="A21" t="s">
        <v>598</v>
      </c>
      <c r="B21" s="117" t="s">
        <v>33</v>
      </c>
      <c r="C21" s="154">
        <f>T_19!B16</f>
        <v>33</v>
      </c>
      <c r="D21" s="154">
        <f>T_19!C16</f>
        <v>6</v>
      </c>
      <c r="E21" s="154">
        <f>T_19!D16</f>
        <v>6</v>
      </c>
      <c r="F21" s="154">
        <f>T_19!E16</f>
        <v>7</v>
      </c>
      <c r="G21" s="154">
        <f>T_19!F16</f>
        <v>1</v>
      </c>
      <c r="H21" s="565">
        <f t="shared" si="0"/>
        <v>53</v>
      </c>
      <c r="I21" s="183"/>
      <c r="J21" s="245">
        <f t="shared" si="1"/>
        <v>62.264150943396224</v>
      </c>
      <c r="K21" s="245">
        <f t="shared" si="2"/>
        <v>11.320754716981133</v>
      </c>
      <c r="L21" s="245">
        <f t="shared" si="3"/>
        <v>11.320754716981133</v>
      </c>
      <c r="M21" s="245">
        <f t="shared" si="4"/>
        <v>13.20754716981132</v>
      </c>
      <c r="N21" s="245">
        <f t="shared" si="5"/>
        <v>1.8867924528301887</v>
      </c>
      <c r="P21" s="193"/>
    </row>
    <row r="22" spans="1:16" ht="13.5" customHeight="1" x14ac:dyDescent="0.2">
      <c r="A22" t="s">
        <v>599</v>
      </c>
      <c r="B22" s="117" t="s">
        <v>34</v>
      </c>
      <c r="C22" s="154">
        <f>T_19!B17</f>
        <v>49</v>
      </c>
      <c r="D22" s="154">
        <f>T_19!C17</f>
        <v>10</v>
      </c>
      <c r="E22" s="154">
        <f>T_19!D17</f>
        <v>20</v>
      </c>
      <c r="F22" s="154">
        <f>T_19!E17</f>
        <v>28</v>
      </c>
      <c r="G22" s="154">
        <f>T_19!F17</f>
        <v>2</v>
      </c>
      <c r="H22" s="565">
        <f t="shared" si="0"/>
        <v>109</v>
      </c>
      <c r="I22" s="183"/>
      <c r="J22" s="245">
        <f t="shared" si="1"/>
        <v>44.954128440366972</v>
      </c>
      <c r="K22" s="245">
        <f t="shared" si="2"/>
        <v>9.1743119266055047</v>
      </c>
      <c r="L22" s="245">
        <f t="shared" si="3"/>
        <v>18.348623853211009</v>
      </c>
      <c r="M22" s="245">
        <f t="shared" si="4"/>
        <v>25.688073394495415</v>
      </c>
      <c r="N22" s="245">
        <f t="shared" si="5"/>
        <v>1.834862385321101</v>
      </c>
      <c r="P22" s="193"/>
    </row>
    <row r="23" spans="1:16" ht="13.5" customHeight="1" x14ac:dyDescent="0.2">
      <c r="A23" t="s">
        <v>600</v>
      </c>
      <c r="B23" s="117" t="s">
        <v>35</v>
      </c>
      <c r="C23" s="154">
        <f>T_19!B18</f>
        <v>93</v>
      </c>
      <c r="D23" s="154">
        <f>T_19!C18</f>
        <v>27</v>
      </c>
      <c r="E23" s="154">
        <f>T_19!D18</f>
        <v>33</v>
      </c>
      <c r="F23" s="154">
        <f>T_19!E18</f>
        <v>90</v>
      </c>
      <c r="G23" s="154">
        <f>T_19!F18</f>
        <v>4</v>
      </c>
      <c r="H23" s="565">
        <f t="shared" si="0"/>
        <v>247</v>
      </c>
      <c r="I23" s="183"/>
      <c r="J23" s="245">
        <f t="shared" si="1"/>
        <v>37.651821862348179</v>
      </c>
      <c r="K23" s="245">
        <f t="shared" si="2"/>
        <v>10.931174089068826</v>
      </c>
      <c r="L23" s="245">
        <f t="shared" si="3"/>
        <v>13.360323886639677</v>
      </c>
      <c r="M23" s="245">
        <f t="shared" si="4"/>
        <v>36.43724696356275</v>
      </c>
      <c r="N23" s="245">
        <f t="shared" si="5"/>
        <v>1.6194331983805668</v>
      </c>
      <c r="P23" s="193"/>
    </row>
    <row r="24" spans="1:16" ht="13.5" customHeight="1" x14ac:dyDescent="0.2">
      <c r="A24" t="s">
        <v>601</v>
      </c>
      <c r="B24" s="117" t="s">
        <v>36</v>
      </c>
      <c r="C24" s="154">
        <f>T_19!B19</f>
        <v>446</v>
      </c>
      <c r="D24" s="154">
        <f>T_19!C19</f>
        <v>56</v>
      </c>
      <c r="E24" s="154">
        <f>T_19!D19</f>
        <v>92</v>
      </c>
      <c r="F24" s="154">
        <f>T_19!E19</f>
        <v>170</v>
      </c>
      <c r="G24" s="154">
        <f>T_19!F19</f>
        <v>31</v>
      </c>
      <c r="H24" s="565">
        <f t="shared" si="0"/>
        <v>795</v>
      </c>
      <c r="I24" s="183"/>
      <c r="J24" s="245">
        <f t="shared" si="1"/>
        <v>56.100628930817606</v>
      </c>
      <c r="K24" s="245">
        <f t="shared" si="2"/>
        <v>7.0440251572327046</v>
      </c>
      <c r="L24" s="245">
        <f t="shared" si="3"/>
        <v>11.572327044025158</v>
      </c>
      <c r="M24" s="245">
        <f t="shared" si="4"/>
        <v>21.383647798742139</v>
      </c>
      <c r="N24" s="245">
        <f t="shared" si="5"/>
        <v>3.89937106918239</v>
      </c>
      <c r="P24" s="193"/>
    </row>
    <row r="25" spans="1:16" ht="13.5" customHeight="1" x14ac:dyDescent="0.2">
      <c r="A25" t="s">
        <v>602</v>
      </c>
      <c r="B25" s="117" t="s">
        <v>37</v>
      </c>
      <c r="C25" s="154">
        <f>T_19!B20</f>
        <v>62</v>
      </c>
      <c r="D25" s="154">
        <f>T_19!C20</f>
        <v>13</v>
      </c>
      <c r="E25" s="154">
        <f>T_19!D20</f>
        <v>10</v>
      </c>
      <c r="F25" s="154">
        <f>T_19!E20</f>
        <v>43</v>
      </c>
      <c r="G25" s="154">
        <f>T_19!F20</f>
        <v>4</v>
      </c>
      <c r="H25" s="565">
        <f t="shared" si="0"/>
        <v>132</v>
      </c>
      <c r="I25" s="183"/>
      <c r="J25" s="245">
        <f t="shared" si="1"/>
        <v>46.969696969696969</v>
      </c>
      <c r="K25" s="245">
        <f t="shared" si="2"/>
        <v>9.8484848484848477</v>
      </c>
      <c r="L25" s="245">
        <f t="shared" si="3"/>
        <v>7.5757575757575761</v>
      </c>
      <c r="M25" s="245">
        <f t="shared" si="4"/>
        <v>32.575757575757578</v>
      </c>
      <c r="N25" s="245">
        <f t="shared" si="5"/>
        <v>3.0303030303030303</v>
      </c>
      <c r="P25" s="193"/>
    </row>
    <row r="26" spans="1:16" ht="13.5" customHeight="1" x14ac:dyDescent="0.2">
      <c r="A26" t="s">
        <v>603</v>
      </c>
      <c r="B26" s="117" t="s">
        <v>38</v>
      </c>
      <c r="C26" s="154">
        <f>T_19!B21</f>
        <v>56</v>
      </c>
      <c r="D26" s="154">
        <f>T_19!C21</f>
        <v>14</v>
      </c>
      <c r="E26" s="154">
        <f>T_19!D21</f>
        <v>12</v>
      </c>
      <c r="F26" s="154">
        <f>T_19!E21</f>
        <v>25</v>
      </c>
      <c r="G26" s="154">
        <f>T_19!F21</f>
        <v>3</v>
      </c>
      <c r="H26" s="565">
        <f t="shared" si="0"/>
        <v>110</v>
      </c>
      <c r="I26" s="183"/>
      <c r="J26" s="245">
        <f t="shared" si="1"/>
        <v>50.909090909090907</v>
      </c>
      <c r="K26" s="245">
        <f t="shared" si="2"/>
        <v>12.727272727272727</v>
      </c>
      <c r="L26" s="245">
        <f t="shared" si="3"/>
        <v>10.909090909090908</v>
      </c>
      <c r="M26" s="245">
        <f t="shared" si="4"/>
        <v>22.727272727272727</v>
      </c>
      <c r="N26" s="245">
        <f t="shared" si="5"/>
        <v>2.7272727272727271</v>
      </c>
      <c r="P26" s="193"/>
    </row>
    <row r="27" spans="1:16" ht="13.5" customHeight="1" x14ac:dyDescent="0.2">
      <c r="A27" t="s">
        <v>604</v>
      </c>
      <c r="B27" s="117" t="s">
        <v>39</v>
      </c>
      <c r="C27" s="154">
        <f>T_19!B22</f>
        <v>37</v>
      </c>
      <c r="D27" s="154">
        <f>T_19!C22</f>
        <v>2</v>
      </c>
      <c r="E27" s="154">
        <f>T_19!D22</f>
        <v>8</v>
      </c>
      <c r="F27" s="154">
        <f>T_19!E22</f>
        <v>12</v>
      </c>
      <c r="G27" s="154">
        <f>T_19!F22</f>
        <v>0</v>
      </c>
      <c r="H27" s="565">
        <f t="shared" si="0"/>
        <v>59</v>
      </c>
      <c r="I27" s="183"/>
      <c r="J27" s="245">
        <f t="shared" si="1"/>
        <v>62.711864406779661</v>
      </c>
      <c r="K27" s="245">
        <f t="shared" si="2"/>
        <v>3.3898305084745761</v>
      </c>
      <c r="L27" s="245">
        <f t="shared" si="3"/>
        <v>13.559322033898304</v>
      </c>
      <c r="M27" s="245">
        <f t="shared" si="4"/>
        <v>20.33898305084746</v>
      </c>
      <c r="N27" s="245">
        <f t="shared" si="5"/>
        <v>0</v>
      </c>
      <c r="P27" s="193"/>
    </row>
    <row r="28" spans="1:16" ht="13.5" customHeight="1" x14ac:dyDescent="0.2">
      <c r="A28" t="s">
        <v>605</v>
      </c>
      <c r="B28" s="117" t="s">
        <v>40</v>
      </c>
      <c r="C28" s="154">
        <f>T_19!B23</f>
        <v>22</v>
      </c>
      <c r="D28" s="154">
        <f>T_19!C23</f>
        <v>5</v>
      </c>
      <c r="E28" s="154">
        <f>T_19!D23</f>
        <v>9</v>
      </c>
      <c r="F28" s="154">
        <f>T_19!E23</f>
        <v>13</v>
      </c>
      <c r="G28" s="154">
        <f>T_19!F23</f>
        <v>2</v>
      </c>
      <c r="H28" s="565">
        <f t="shared" si="0"/>
        <v>51</v>
      </c>
      <c r="I28" s="183"/>
      <c r="J28" s="245">
        <f t="shared" si="1"/>
        <v>43.137254901960787</v>
      </c>
      <c r="K28" s="245">
        <f t="shared" si="2"/>
        <v>9.8039215686274517</v>
      </c>
      <c r="L28" s="245">
        <f t="shared" si="3"/>
        <v>17.647058823529413</v>
      </c>
      <c r="M28" s="245">
        <f t="shared" si="4"/>
        <v>25.490196078431371</v>
      </c>
      <c r="N28" s="245">
        <f t="shared" si="5"/>
        <v>3.9215686274509802</v>
      </c>
      <c r="P28" s="193"/>
    </row>
    <row r="29" spans="1:16" ht="13.5" customHeight="1" x14ac:dyDescent="0.2">
      <c r="A29" t="s">
        <v>606</v>
      </c>
      <c r="B29" s="117" t="s">
        <v>295</v>
      </c>
      <c r="C29" s="154">
        <f>T_19!B24</f>
        <v>12</v>
      </c>
      <c r="D29" s="154">
        <f>T_19!C24</f>
        <v>1</v>
      </c>
      <c r="E29" s="154">
        <f>T_19!D24</f>
        <v>1</v>
      </c>
      <c r="F29" s="154">
        <f>T_19!E24</f>
        <v>7</v>
      </c>
      <c r="G29" s="154">
        <f>T_19!F24</f>
        <v>1</v>
      </c>
      <c r="H29" s="565">
        <f t="shared" si="0"/>
        <v>22</v>
      </c>
      <c r="I29" s="183"/>
      <c r="J29" s="245">
        <f t="shared" si="1"/>
        <v>54.54545454545454</v>
      </c>
      <c r="K29" s="245">
        <f t="shared" si="2"/>
        <v>4.5454545454545459</v>
      </c>
      <c r="L29" s="245">
        <f t="shared" si="3"/>
        <v>4.5454545454545459</v>
      </c>
      <c r="M29" s="245">
        <f t="shared" si="4"/>
        <v>31.818181818181817</v>
      </c>
      <c r="N29" s="245">
        <f t="shared" si="5"/>
        <v>4.5454545454545459</v>
      </c>
      <c r="P29" s="193"/>
    </row>
    <row r="30" spans="1:16" ht="13.5" customHeight="1" x14ac:dyDescent="0.2">
      <c r="A30" t="s">
        <v>607</v>
      </c>
      <c r="B30" s="117" t="s">
        <v>41</v>
      </c>
      <c r="C30" s="154">
        <f>T_19!B25</f>
        <v>90</v>
      </c>
      <c r="D30" s="154">
        <f>T_19!C25</f>
        <v>12</v>
      </c>
      <c r="E30" s="154">
        <f>T_19!D25</f>
        <v>18</v>
      </c>
      <c r="F30" s="154">
        <f>T_19!E25</f>
        <v>30</v>
      </c>
      <c r="G30" s="154">
        <f>T_19!F25</f>
        <v>3</v>
      </c>
      <c r="H30" s="565">
        <f t="shared" si="0"/>
        <v>153</v>
      </c>
      <c r="I30" s="183"/>
      <c r="J30" s="245">
        <f t="shared" si="1"/>
        <v>58.82352941176471</v>
      </c>
      <c r="K30" s="245">
        <f t="shared" si="2"/>
        <v>7.8431372549019605</v>
      </c>
      <c r="L30" s="245">
        <f t="shared" si="3"/>
        <v>11.76470588235294</v>
      </c>
      <c r="M30" s="245">
        <f t="shared" si="4"/>
        <v>19.607843137254903</v>
      </c>
      <c r="N30" s="245">
        <f t="shared" si="5"/>
        <v>1.9607843137254901</v>
      </c>
      <c r="P30" s="193"/>
    </row>
    <row r="31" spans="1:16" ht="13.5" customHeight="1" x14ac:dyDescent="0.2">
      <c r="A31" t="s">
        <v>608</v>
      </c>
      <c r="B31" s="117" t="s">
        <v>42</v>
      </c>
      <c r="C31" s="154">
        <f>T_19!B26</f>
        <v>177</v>
      </c>
      <c r="D31" s="154">
        <f>T_19!C26</f>
        <v>34</v>
      </c>
      <c r="E31" s="154">
        <f>T_19!D26</f>
        <v>45</v>
      </c>
      <c r="F31" s="154">
        <f>T_19!E26</f>
        <v>54</v>
      </c>
      <c r="G31" s="154">
        <f>T_19!F26</f>
        <v>8</v>
      </c>
      <c r="H31" s="565">
        <f t="shared" si="0"/>
        <v>318</v>
      </c>
      <c r="I31" s="183"/>
      <c r="J31" s="245">
        <f t="shared" si="1"/>
        <v>55.660377358490564</v>
      </c>
      <c r="K31" s="245">
        <f t="shared" si="2"/>
        <v>10.691823899371069</v>
      </c>
      <c r="L31" s="245">
        <f t="shared" si="3"/>
        <v>14.150943396226415</v>
      </c>
      <c r="M31" s="245">
        <f t="shared" si="4"/>
        <v>16.981132075471699</v>
      </c>
      <c r="N31" s="245">
        <f t="shared" si="5"/>
        <v>2.5157232704402519</v>
      </c>
      <c r="P31" s="193"/>
    </row>
    <row r="32" spans="1:16" ht="13.5" customHeight="1" x14ac:dyDescent="0.2">
      <c r="A32" t="s">
        <v>609</v>
      </c>
      <c r="B32" s="117" t="s">
        <v>43</v>
      </c>
      <c r="C32" s="154">
        <f>T_19!B27</f>
        <v>1</v>
      </c>
      <c r="D32" s="154">
        <f>T_19!C27</f>
        <v>0</v>
      </c>
      <c r="E32" s="154">
        <f>T_19!D27</f>
        <v>0</v>
      </c>
      <c r="F32" s="154">
        <f>T_19!E27</f>
        <v>2</v>
      </c>
      <c r="G32" s="154">
        <f>T_19!F27</f>
        <v>1</v>
      </c>
      <c r="H32" s="565">
        <f t="shared" si="0"/>
        <v>4</v>
      </c>
      <c r="I32" s="183"/>
      <c r="J32" s="245">
        <f t="shared" si="1"/>
        <v>25</v>
      </c>
      <c r="K32" s="245">
        <f t="shared" si="2"/>
        <v>0</v>
      </c>
      <c r="L32" s="245">
        <f t="shared" si="3"/>
        <v>0</v>
      </c>
      <c r="M32" s="245">
        <f t="shared" si="4"/>
        <v>50</v>
      </c>
      <c r="N32" s="245">
        <f t="shared" si="5"/>
        <v>25</v>
      </c>
      <c r="P32" s="193"/>
    </row>
    <row r="33" spans="1:16" ht="13.5" customHeight="1" x14ac:dyDescent="0.2">
      <c r="A33" t="s">
        <v>610</v>
      </c>
      <c r="B33" s="117" t="s">
        <v>44</v>
      </c>
      <c r="C33" s="154">
        <f>T_19!B28</f>
        <v>54</v>
      </c>
      <c r="D33" s="154">
        <f>T_19!C28</f>
        <v>11</v>
      </c>
      <c r="E33" s="154">
        <f>T_19!D28</f>
        <v>7</v>
      </c>
      <c r="F33" s="154">
        <f>T_19!E28</f>
        <v>30</v>
      </c>
      <c r="G33" s="154">
        <f>T_19!F28</f>
        <v>2</v>
      </c>
      <c r="H33" s="565">
        <f t="shared" si="0"/>
        <v>104</v>
      </c>
      <c r="I33" s="183"/>
      <c r="J33" s="245">
        <f t="shared" si="1"/>
        <v>51.923076923076927</v>
      </c>
      <c r="K33" s="245">
        <f t="shared" si="2"/>
        <v>10.576923076923077</v>
      </c>
      <c r="L33" s="245">
        <f t="shared" si="3"/>
        <v>6.7307692307692308</v>
      </c>
      <c r="M33" s="245">
        <f t="shared" si="4"/>
        <v>28.846153846153843</v>
      </c>
      <c r="N33" s="245">
        <f t="shared" si="5"/>
        <v>1.9230769230769231</v>
      </c>
      <c r="P33" s="193"/>
    </row>
    <row r="34" spans="1:16" ht="13.5" customHeight="1" x14ac:dyDescent="0.2">
      <c r="A34" t="s">
        <v>611</v>
      </c>
      <c r="B34" s="117" t="s">
        <v>45</v>
      </c>
      <c r="C34" s="154">
        <f>T_19!B29</f>
        <v>104</v>
      </c>
      <c r="D34" s="154">
        <f>T_19!C29</f>
        <v>14</v>
      </c>
      <c r="E34" s="154">
        <f>T_19!D29</f>
        <v>22</v>
      </c>
      <c r="F34" s="154">
        <f>T_19!E29</f>
        <v>41</v>
      </c>
      <c r="G34" s="154">
        <f>T_19!F29</f>
        <v>4</v>
      </c>
      <c r="H34" s="565">
        <f t="shared" si="0"/>
        <v>185</v>
      </c>
      <c r="I34" s="183"/>
      <c r="J34" s="245">
        <f t="shared" si="1"/>
        <v>56.216216216216218</v>
      </c>
      <c r="K34" s="245">
        <f t="shared" si="2"/>
        <v>7.5675675675675684</v>
      </c>
      <c r="L34" s="245">
        <f t="shared" si="3"/>
        <v>11.891891891891893</v>
      </c>
      <c r="M34" s="245">
        <f t="shared" si="4"/>
        <v>22.162162162162165</v>
      </c>
      <c r="N34" s="245">
        <f t="shared" si="5"/>
        <v>2.1621621621621623</v>
      </c>
      <c r="P34" s="193"/>
    </row>
    <row r="35" spans="1:16" ht="13.5" customHeight="1" x14ac:dyDescent="0.2">
      <c r="A35" t="s">
        <v>612</v>
      </c>
      <c r="B35" s="117" t="s">
        <v>46</v>
      </c>
      <c r="C35" s="154">
        <f>T_19!B30</f>
        <v>40</v>
      </c>
      <c r="D35" s="154">
        <f>T_19!C30</f>
        <v>4</v>
      </c>
      <c r="E35" s="154">
        <f>T_19!D30</f>
        <v>12</v>
      </c>
      <c r="F35" s="154">
        <f>T_19!E30</f>
        <v>27</v>
      </c>
      <c r="G35" s="154">
        <f>T_19!F30</f>
        <v>2</v>
      </c>
      <c r="H35" s="565">
        <f t="shared" si="0"/>
        <v>85</v>
      </c>
      <c r="I35" s="183"/>
      <c r="J35" s="245">
        <f t="shared" si="1"/>
        <v>47.058823529411761</v>
      </c>
      <c r="K35" s="245">
        <f t="shared" si="2"/>
        <v>4.7058823529411766</v>
      </c>
      <c r="L35" s="245">
        <f t="shared" si="3"/>
        <v>14.117647058823529</v>
      </c>
      <c r="M35" s="245">
        <f t="shared" si="4"/>
        <v>31.764705882352938</v>
      </c>
      <c r="N35" s="245">
        <f t="shared" si="5"/>
        <v>2.3529411764705883</v>
      </c>
      <c r="P35" s="193"/>
    </row>
    <row r="36" spans="1:16" ht="13.5" customHeight="1" x14ac:dyDescent="0.2">
      <c r="A36" t="s">
        <v>613</v>
      </c>
      <c r="B36" s="117" t="s">
        <v>47</v>
      </c>
      <c r="C36" s="154">
        <f>T_19!B31</f>
        <v>12</v>
      </c>
      <c r="D36" s="154">
        <f>T_19!C31</f>
        <v>0</v>
      </c>
      <c r="E36" s="154">
        <f>T_19!D31</f>
        <v>1</v>
      </c>
      <c r="F36" s="154">
        <f>T_19!E31</f>
        <v>12</v>
      </c>
      <c r="G36" s="154">
        <f>T_19!F31</f>
        <v>0</v>
      </c>
      <c r="H36" s="565">
        <f t="shared" si="0"/>
        <v>25</v>
      </c>
      <c r="I36" s="183"/>
      <c r="J36" s="245">
        <f t="shared" si="1"/>
        <v>48</v>
      </c>
      <c r="K36" s="245">
        <f t="shared" si="2"/>
        <v>0</v>
      </c>
      <c r="L36" s="245">
        <f t="shared" si="3"/>
        <v>4</v>
      </c>
      <c r="M36" s="245">
        <f t="shared" si="4"/>
        <v>48</v>
      </c>
      <c r="N36" s="245">
        <f t="shared" si="5"/>
        <v>0</v>
      </c>
      <c r="P36" s="193"/>
    </row>
    <row r="37" spans="1:16" ht="13.5" customHeight="1" x14ac:dyDescent="0.2">
      <c r="A37" t="s">
        <v>614</v>
      </c>
      <c r="B37" s="117" t="s">
        <v>48</v>
      </c>
      <c r="C37" s="154">
        <f>T_19!B32</f>
        <v>50</v>
      </c>
      <c r="D37" s="154">
        <f>T_19!C32</f>
        <v>11</v>
      </c>
      <c r="E37" s="154">
        <f>T_19!D32</f>
        <v>10</v>
      </c>
      <c r="F37" s="154">
        <f>T_19!E32</f>
        <v>18</v>
      </c>
      <c r="G37" s="154">
        <f>T_19!F32</f>
        <v>1</v>
      </c>
      <c r="H37" s="565">
        <f t="shared" si="0"/>
        <v>90</v>
      </c>
      <c r="I37" s="183"/>
      <c r="J37" s="245">
        <f t="shared" si="1"/>
        <v>55.555555555555557</v>
      </c>
      <c r="K37" s="245">
        <f t="shared" si="2"/>
        <v>12.222222222222221</v>
      </c>
      <c r="L37" s="245">
        <f t="shared" si="3"/>
        <v>11.111111111111111</v>
      </c>
      <c r="M37" s="245">
        <f t="shared" si="4"/>
        <v>20</v>
      </c>
      <c r="N37" s="245">
        <f t="shared" si="5"/>
        <v>1.1111111111111112</v>
      </c>
      <c r="P37" s="193"/>
    </row>
    <row r="38" spans="1:16" ht="13.5" customHeight="1" x14ac:dyDescent="0.2">
      <c r="A38" t="s">
        <v>615</v>
      </c>
      <c r="B38" s="117" t="s">
        <v>49</v>
      </c>
      <c r="C38" s="154">
        <f>T_19!B33</f>
        <v>130</v>
      </c>
      <c r="D38" s="154">
        <f>T_19!C33</f>
        <v>33</v>
      </c>
      <c r="E38" s="154">
        <f>T_19!D33</f>
        <v>33</v>
      </c>
      <c r="F38" s="154">
        <f>T_19!E33</f>
        <v>52</v>
      </c>
      <c r="G38" s="154">
        <f>T_19!F33</f>
        <v>7</v>
      </c>
      <c r="H38" s="565">
        <f t="shared" si="0"/>
        <v>255</v>
      </c>
      <c r="I38" s="183"/>
      <c r="J38" s="245">
        <f t="shared" si="1"/>
        <v>50.980392156862742</v>
      </c>
      <c r="K38" s="245">
        <f t="shared" si="2"/>
        <v>12.941176470588237</v>
      </c>
      <c r="L38" s="245">
        <f t="shared" si="3"/>
        <v>12.941176470588237</v>
      </c>
      <c r="M38" s="245">
        <f t="shared" si="4"/>
        <v>20.392156862745097</v>
      </c>
      <c r="N38" s="245">
        <f t="shared" si="5"/>
        <v>2.7450980392156863</v>
      </c>
      <c r="P38" s="193"/>
    </row>
    <row r="39" spans="1:16" ht="13.5" customHeight="1" x14ac:dyDescent="0.2">
      <c r="A39" t="s">
        <v>616</v>
      </c>
      <c r="B39" s="117" t="s">
        <v>50</v>
      </c>
      <c r="C39" s="154">
        <f>T_19!B34</f>
        <v>29</v>
      </c>
      <c r="D39" s="154">
        <f>T_19!C34</f>
        <v>7</v>
      </c>
      <c r="E39" s="154">
        <f>T_19!D34</f>
        <v>4</v>
      </c>
      <c r="F39" s="154">
        <f>T_19!E34</f>
        <v>19</v>
      </c>
      <c r="G39" s="154">
        <f>T_19!F34</f>
        <v>0</v>
      </c>
      <c r="H39" s="565">
        <f t="shared" si="0"/>
        <v>59</v>
      </c>
      <c r="I39" s="183"/>
      <c r="J39" s="245">
        <f t="shared" si="1"/>
        <v>49.152542372881356</v>
      </c>
      <c r="K39" s="245">
        <f t="shared" si="2"/>
        <v>11.864406779661017</v>
      </c>
      <c r="L39" s="245">
        <f t="shared" si="3"/>
        <v>6.7796610169491522</v>
      </c>
      <c r="M39" s="245">
        <f t="shared" si="4"/>
        <v>32.20338983050847</v>
      </c>
      <c r="N39" s="245">
        <f t="shared" si="5"/>
        <v>0</v>
      </c>
      <c r="P39" s="193"/>
    </row>
    <row r="40" spans="1:16" ht="13.5" customHeight="1" x14ac:dyDescent="0.2">
      <c r="A40" t="s">
        <v>617</v>
      </c>
      <c r="B40" s="117" t="s">
        <v>51</v>
      </c>
      <c r="C40" s="154">
        <f>T_19!B35</f>
        <v>77</v>
      </c>
      <c r="D40" s="154">
        <f>T_19!C35</f>
        <v>13</v>
      </c>
      <c r="E40" s="154">
        <f>T_19!D35</f>
        <v>11</v>
      </c>
      <c r="F40" s="154">
        <f>T_19!E35</f>
        <v>15</v>
      </c>
      <c r="G40" s="154">
        <f>T_19!F35</f>
        <v>1</v>
      </c>
      <c r="H40" s="565">
        <f t="shared" si="0"/>
        <v>117</v>
      </c>
      <c r="I40" s="183"/>
      <c r="J40" s="245">
        <f t="shared" si="1"/>
        <v>65.811965811965806</v>
      </c>
      <c r="K40" s="245">
        <f t="shared" si="2"/>
        <v>11.111111111111111</v>
      </c>
      <c r="L40" s="245">
        <f t="shared" si="3"/>
        <v>9.4017094017094021</v>
      </c>
      <c r="M40" s="245">
        <f t="shared" si="4"/>
        <v>12.820512820512819</v>
      </c>
      <c r="N40" s="245">
        <f t="shared" si="5"/>
        <v>0.85470085470085477</v>
      </c>
      <c r="P40" s="193"/>
    </row>
    <row r="41" spans="1:16" ht="13.5" customHeight="1" x14ac:dyDescent="0.2">
      <c r="A41" t="s">
        <v>618</v>
      </c>
      <c r="B41" s="117" t="s">
        <v>52</v>
      </c>
      <c r="C41" s="154">
        <f>T_19!B36</f>
        <v>67</v>
      </c>
      <c r="D41" s="154">
        <f>T_19!C36</f>
        <v>4</v>
      </c>
      <c r="E41" s="154">
        <f>T_19!D36</f>
        <v>8</v>
      </c>
      <c r="F41" s="154">
        <f>T_19!E36</f>
        <v>31</v>
      </c>
      <c r="G41" s="154">
        <f>T_19!F36</f>
        <v>5</v>
      </c>
      <c r="H41" s="565">
        <f t="shared" si="0"/>
        <v>115</v>
      </c>
      <c r="I41" s="183"/>
      <c r="J41" s="245">
        <f t="shared" si="1"/>
        <v>58.260869565217391</v>
      </c>
      <c r="K41" s="245">
        <f t="shared" si="2"/>
        <v>3.4782608695652173</v>
      </c>
      <c r="L41" s="245">
        <f t="shared" si="3"/>
        <v>6.9565217391304346</v>
      </c>
      <c r="M41" s="245">
        <f t="shared" si="4"/>
        <v>26.956521739130434</v>
      </c>
      <c r="N41" s="245">
        <f t="shared" si="5"/>
        <v>4.3478260869565215</v>
      </c>
      <c r="P41" s="193"/>
    </row>
    <row r="42" spans="1:16" x14ac:dyDescent="0.2">
      <c r="B42" s="117" t="str">
        <f>IF(T_09b!$A$37 = "Z_Not Known", "Not Known","")</f>
        <v/>
      </c>
      <c r="C42" s="544"/>
      <c r="D42" s="544"/>
      <c r="E42" s="544"/>
      <c r="F42" s="544"/>
      <c r="G42" s="544"/>
      <c r="H42" s="535"/>
      <c r="I42" s="193"/>
      <c r="J42" s="564"/>
      <c r="K42" s="564"/>
      <c r="L42" s="564"/>
      <c r="M42" s="564"/>
      <c r="N42" s="564"/>
      <c r="P42" s="193"/>
    </row>
    <row r="43" spans="1:16" ht="30" customHeight="1" thickBot="1" x14ac:dyDescent="0.25">
      <c r="A43" s="751" t="s">
        <v>620</v>
      </c>
      <c r="B43" s="752" t="s">
        <v>143</v>
      </c>
      <c r="C43" s="770">
        <f t="shared" ref="C43:H43" si="6">SUM(C10:C41)</f>
        <v>2431</v>
      </c>
      <c r="D43" s="770">
        <f t="shared" si="6"/>
        <v>404</v>
      </c>
      <c r="E43" s="770">
        <f t="shared" si="6"/>
        <v>541</v>
      </c>
      <c r="F43" s="770">
        <f t="shared" si="6"/>
        <v>1163</v>
      </c>
      <c r="G43" s="770">
        <f t="shared" si="6"/>
        <v>122</v>
      </c>
      <c r="H43" s="770">
        <f t="shared" si="6"/>
        <v>4661</v>
      </c>
      <c r="I43" s="771"/>
      <c r="J43" s="772">
        <f>C43/H43*100</f>
        <v>52.15618965887149</v>
      </c>
      <c r="K43" s="772">
        <f>D43/H43*100</f>
        <v>8.6676678824286633</v>
      </c>
      <c r="L43" s="772">
        <f>E43/H43*100</f>
        <v>11.60695129800472</v>
      </c>
      <c r="M43" s="772">
        <f>F43/H43*100</f>
        <v>24.951727097189444</v>
      </c>
      <c r="N43" s="772">
        <f>G43/H43*100</f>
        <v>2.6174640635056852</v>
      </c>
      <c r="P43" s="193"/>
    </row>
    <row r="44" spans="1:16" x14ac:dyDescent="0.2">
      <c r="P44" s="193"/>
    </row>
    <row r="45" spans="1:16" x14ac:dyDescent="0.2">
      <c r="P45" s="193"/>
    </row>
    <row r="46" spans="1:16" ht="15" x14ac:dyDescent="0.25">
      <c r="H46" s="753" t="s">
        <v>0</v>
      </c>
      <c r="M46" s="756"/>
      <c r="N46" s="757" t="s">
        <v>62</v>
      </c>
      <c r="P46" s="193"/>
    </row>
    <row r="47" spans="1:16" ht="14.25" customHeight="1" x14ac:dyDescent="0.2">
      <c r="C47" s="1324" t="s">
        <v>256</v>
      </c>
      <c r="D47" s="1324"/>
      <c r="E47" s="1324"/>
      <c r="F47" s="1324"/>
      <c r="G47" s="1324"/>
      <c r="H47" s="1322" t="s">
        <v>186</v>
      </c>
      <c r="I47" s="105"/>
      <c r="J47" s="1324" t="s">
        <v>256</v>
      </c>
      <c r="K47" s="1324"/>
      <c r="L47" s="1324"/>
      <c r="M47" s="1324"/>
      <c r="N47" s="1324"/>
      <c r="P47" s="193"/>
    </row>
    <row r="48" spans="1:16" ht="41.25" customHeight="1" x14ac:dyDescent="0.2">
      <c r="A48" s="438" t="s">
        <v>586</v>
      </c>
      <c r="B48" s="438" t="s">
        <v>22</v>
      </c>
      <c r="C48" s="773" t="s">
        <v>187</v>
      </c>
      <c r="D48" s="774" t="s">
        <v>188</v>
      </c>
      <c r="E48" s="774" t="s">
        <v>189</v>
      </c>
      <c r="F48" s="774" t="s">
        <v>184</v>
      </c>
      <c r="G48" s="774" t="s">
        <v>319</v>
      </c>
      <c r="H48" s="1323"/>
      <c r="I48" s="105"/>
      <c r="J48" s="773" t="s">
        <v>187</v>
      </c>
      <c r="K48" s="774" t="s">
        <v>188</v>
      </c>
      <c r="L48" s="774" t="s">
        <v>189</v>
      </c>
      <c r="M48" s="774" t="s">
        <v>184</v>
      </c>
      <c r="N48" s="775" t="s">
        <v>319</v>
      </c>
      <c r="P48" s="193"/>
    </row>
    <row r="49" spans="1:16" ht="18.75" customHeight="1" x14ac:dyDescent="0.2">
      <c r="A49" s="404" t="s">
        <v>587</v>
      </c>
      <c r="B49" s="400" t="s">
        <v>23</v>
      </c>
      <c r="C49" s="765">
        <f>T_19!G5</f>
        <v>3</v>
      </c>
      <c r="D49" s="765">
        <f>T_19!H5</f>
        <v>0</v>
      </c>
      <c r="E49" s="765">
        <f>T_19!I5</f>
        <v>0</v>
      </c>
      <c r="F49" s="765">
        <f>T_19!J5</f>
        <v>0</v>
      </c>
      <c r="G49" s="765">
        <f>T_19!K5</f>
        <v>0</v>
      </c>
      <c r="H49" s="759">
        <f>SUM(C49:G49)</f>
        <v>3</v>
      </c>
      <c r="I49" s="404"/>
      <c r="J49" s="461">
        <f>IFERROR(C49/H49*100,0)</f>
        <v>100</v>
      </c>
      <c r="K49" s="461">
        <f>IFERROR(D49/H49*100,0)</f>
        <v>0</v>
      </c>
      <c r="L49" s="461">
        <f>IFERROR(E49/H49*100,0)</f>
        <v>0</v>
      </c>
      <c r="M49" s="461">
        <f>IFERROR(F49/H49*100,0)</f>
        <v>0</v>
      </c>
      <c r="N49" s="461">
        <f>IFERROR(G49/H49*100,0)</f>
        <v>0</v>
      </c>
      <c r="P49" s="193"/>
    </row>
    <row r="50" spans="1:16" ht="13.5" customHeight="1" x14ac:dyDescent="0.2">
      <c r="A50" t="s">
        <v>588</v>
      </c>
      <c r="B50" s="117" t="s">
        <v>24</v>
      </c>
      <c r="C50" s="183">
        <f>T_19!G6</f>
        <v>0</v>
      </c>
      <c r="D50" s="183">
        <f>T_19!H6</f>
        <v>0</v>
      </c>
      <c r="E50" s="183">
        <f>T_19!I6</f>
        <v>0</v>
      </c>
      <c r="F50" s="183">
        <f>T_19!J6</f>
        <v>0</v>
      </c>
      <c r="G50" s="183">
        <f>T_19!K6</f>
        <v>1</v>
      </c>
      <c r="H50" s="455">
        <f t="shared" ref="H50:H80" si="7">SUM(C50:G50)</f>
        <v>1</v>
      </c>
      <c r="J50" s="245">
        <f t="shared" ref="J50:J80" si="8">IFERROR(C50/H50*100,0)</f>
        <v>0</v>
      </c>
      <c r="K50" s="245">
        <f t="shared" ref="K50:K80" si="9">IFERROR(D50/H50*100,0)</f>
        <v>0</v>
      </c>
      <c r="L50" s="245">
        <f t="shared" ref="L50:L80" si="10">IFERROR(E50/H50*100,0)</f>
        <v>0</v>
      </c>
      <c r="M50" s="245">
        <f t="shared" ref="M50:M80" si="11">IFERROR(F50/H50*100,0)</f>
        <v>0</v>
      </c>
      <c r="N50" s="245">
        <f t="shared" ref="N50:N80" si="12">IFERROR(G50/H50*100,0)</f>
        <v>100</v>
      </c>
      <c r="P50" s="193"/>
    </row>
    <row r="51" spans="1:16" ht="13.5" customHeight="1" x14ac:dyDescent="0.2">
      <c r="A51" t="s">
        <v>589</v>
      </c>
      <c r="B51" s="117" t="s">
        <v>25</v>
      </c>
      <c r="C51" s="183">
        <f>T_19!G7</f>
        <v>0</v>
      </c>
      <c r="D51" s="183">
        <f>T_19!H7</f>
        <v>0</v>
      </c>
      <c r="E51" s="183">
        <f>T_19!I7</f>
        <v>0</v>
      </c>
      <c r="F51" s="183">
        <f>T_19!J7</f>
        <v>0</v>
      </c>
      <c r="G51" s="183">
        <f>T_19!K7</f>
        <v>0</v>
      </c>
      <c r="H51" s="455">
        <f t="shared" si="7"/>
        <v>0</v>
      </c>
      <c r="J51" s="245">
        <f t="shared" si="8"/>
        <v>0</v>
      </c>
      <c r="K51" s="245">
        <f t="shared" si="9"/>
        <v>0</v>
      </c>
      <c r="L51" s="245">
        <f t="shared" si="10"/>
        <v>0</v>
      </c>
      <c r="M51" s="245">
        <f t="shared" si="11"/>
        <v>0</v>
      </c>
      <c r="N51" s="245">
        <f t="shared" si="12"/>
        <v>0</v>
      </c>
      <c r="P51" s="193"/>
    </row>
    <row r="52" spans="1:16" ht="13.5" customHeight="1" x14ac:dyDescent="0.2">
      <c r="A52" t="s">
        <v>590</v>
      </c>
      <c r="B52" s="117" t="s">
        <v>26</v>
      </c>
      <c r="C52" s="183">
        <f>T_19!G8</f>
        <v>0</v>
      </c>
      <c r="D52" s="183">
        <f>T_19!H8</f>
        <v>0</v>
      </c>
      <c r="E52" s="183">
        <f>T_19!I8</f>
        <v>0</v>
      </c>
      <c r="F52" s="183">
        <f>T_19!J8</f>
        <v>0</v>
      </c>
      <c r="G52" s="183">
        <f>T_19!K8</f>
        <v>1</v>
      </c>
      <c r="H52" s="455">
        <f t="shared" si="7"/>
        <v>1</v>
      </c>
      <c r="J52" s="245">
        <f t="shared" si="8"/>
        <v>0</v>
      </c>
      <c r="K52" s="245">
        <f t="shared" si="9"/>
        <v>0</v>
      </c>
      <c r="L52" s="245">
        <f t="shared" si="10"/>
        <v>0</v>
      </c>
      <c r="M52" s="245">
        <f t="shared" si="11"/>
        <v>0</v>
      </c>
      <c r="N52" s="245">
        <f t="shared" si="12"/>
        <v>100</v>
      </c>
      <c r="P52" s="193"/>
    </row>
    <row r="53" spans="1:16" ht="13.5" customHeight="1" x14ac:dyDescent="0.2">
      <c r="A53" t="s">
        <v>591</v>
      </c>
      <c r="B53" s="117" t="s">
        <v>619</v>
      </c>
      <c r="C53" s="183">
        <f>T_19!G9</f>
        <v>1</v>
      </c>
      <c r="D53" s="183">
        <f>T_19!H9</f>
        <v>0</v>
      </c>
      <c r="E53" s="183">
        <f>T_19!I9</f>
        <v>0</v>
      </c>
      <c r="F53" s="183">
        <f>T_19!J9</f>
        <v>0</v>
      </c>
      <c r="G53" s="183">
        <f>T_19!K9</f>
        <v>1</v>
      </c>
      <c r="H53" s="455">
        <f t="shared" si="7"/>
        <v>2</v>
      </c>
      <c r="J53" s="245">
        <f t="shared" si="8"/>
        <v>50</v>
      </c>
      <c r="K53" s="245">
        <f t="shared" si="9"/>
        <v>0</v>
      </c>
      <c r="L53" s="245">
        <f t="shared" si="10"/>
        <v>0</v>
      </c>
      <c r="M53" s="245">
        <f t="shared" si="11"/>
        <v>0</v>
      </c>
      <c r="N53" s="245">
        <f t="shared" si="12"/>
        <v>50</v>
      </c>
      <c r="P53" s="193"/>
    </row>
    <row r="54" spans="1:16" ht="13.5" customHeight="1" x14ac:dyDescent="0.2">
      <c r="A54" t="s">
        <v>592</v>
      </c>
      <c r="B54" s="117" t="s">
        <v>27</v>
      </c>
      <c r="C54" s="183">
        <f>T_19!G10</f>
        <v>1</v>
      </c>
      <c r="D54" s="183">
        <f>T_19!H10</f>
        <v>0</v>
      </c>
      <c r="E54" s="183">
        <f>T_19!I10</f>
        <v>0</v>
      </c>
      <c r="F54" s="183">
        <f>T_19!J10</f>
        <v>1</v>
      </c>
      <c r="G54" s="183">
        <f>T_19!K10</f>
        <v>0</v>
      </c>
      <c r="H54" s="455">
        <f t="shared" si="7"/>
        <v>2</v>
      </c>
      <c r="J54" s="245">
        <f t="shared" si="8"/>
        <v>50</v>
      </c>
      <c r="K54" s="245">
        <f t="shared" si="9"/>
        <v>0</v>
      </c>
      <c r="L54" s="245">
        <f t="shared" si="10"/>
        <v>0</v>
      </c>
      <c r="M54" s="245">
        <f t="shared" si="11"/>
        <v>50</v>
      </c>
      <c r="N54" s="245">
        <f t="shared" si="12"/>
        <v>0</v>
      </c>
      <c r="P54" s="193"/>
    </row>
    <row r="55" spans="1:16" ht="13.5" customHeight="1" x14ac:dyDescent="0.2">
      <c r="A55" t="s">
        <v>593</v>
      </c>
      <c r="B55" s="117" t="s">
        <v>28</v>
      </c>
      <c r="C55" s="183">
        <f>T_19!G11</f>
        <v>1</v>
      </c>
      <c r="D55" s="183">
        <f>T_19!H11</f>
        <v>0</v>
      </c>
      <c r="E55" s="183">
        <f>T_19!I11</f>
        <v>0</v>
      </c>
      <c r="F55" s="183">
        <f>T_19!J11</f>
        <v>0</v>
      </c>
      <c r="G55" s="183">
        <f>T_19!K11</f>
        <v>1</v>
      </c>
      <c r="H55" s="455">
        <f t="shared" si="7"/>
        <v>2</v>
      </c>
      <c r="J55" s="245">
        <f t="shared" si="8"/>
        <v>50</v>
      </c>
      <c r="K55" s="245">
        <f t="shared" si="9"/>
        <v>0</v>
      </c>
      <c r="L55" s="245">
        <f t="shared" si="10"/>
        <v>0</v>
      </c>
      <c r="M55" s="245">
        <f t="shared" si="11"/>
        <v>0</v>
      </c>
      <c r="N55" s="245">
        <f t="shared" si="12"/>
        <v>50</v>
      </c>
      <c r="P55" s="193"/>
    </row>
    <row r="56" spans="1:16" ht="13.5" customHeight="1" x14ac:dyDescent="0.2">
      <c r="A56" t="s">
        <v>594</v>
      </c>
      <c r="B56" s="117" t="s">
        <v>29</v>
      </c>
      <c r="C56" s="183">
        <f>T_19!G12</f>
        <v>2</v>
      </c>
      <c r="D56" s="183">
        <f>T_19!H12</f>
        <v>0</v>
      </c>
      <c r="E56" s="183">
        <f>T_19!I12</f>
        <v>0</v>
      </c>
      <c r="F56" s="183">
        <f>T_19!J12</f>
        <v>0</v>
      </c>
      <c r="G56" s="183">
        <f>T_19!K12</f>
        <v>1</v>
      </c>
      <c r="H56" s="455">
        <f t="shared" si="7"/>
        <v>3</v>
      </c>
      <c r="J56" s="245">
        <f t="shared" si="8"/>
        <v>66.666666666666657</v>
      </c>
      <c r="K56" s="245">
        <f t="shared" si="9"/>
        <v>0</v>
      </c>
      <c r="L56" s="245">
        <f t="shared" si="10"/>
        <v>0</v>
      </c>
      <c r="M56" s="245">
        <f t="shared" si="11"/>
        <v>0</v>
      </c>
      <c r="N56" s="245">
        <f t="shared" si="12"/>
        <v>33.333333333333329</v>
      </c>
      <c r="P56" s="193"/>
    </row>
    <row r="57" spans="1:16" ht="13.5" customHeight="1" x14ac:dyDescent="0.2">
      <c r="A57" t="s">
        <v>595</v>
      </c>
      <c r="B57" s="117" t="s">
        <v>30</v>
      </c>
      <c r="C57" s="183">
        <f>T_19!G13</f>
        <v>1</v>
      </c>
      <c r="D57" s="183">
        <f>T_19!H13</f>
        <v>0</v>
      </c>
      <c r="E57" s="183">
        <f>T_19!I13</f>
        <v>0</v>
      </c>
      <c r="F57" s="183">
        <f>T_19!J13</f>
        <v>0</v>
      </c>
      <c r="G57" s="183">
        <f>T_19!K13</f>
        <v>0</v>
      </c>
      <c r="H57" s="455">
        <f t="shared" si="7"/>
        <v>1</v>
      </c>
      <c r="J57" s="245">
        <f t="shared" si="8"/>
        <v>100</v>
      </c>
      <c r="K57" s="245">
        <f t="shared" si="9"/>
        <v>0</v>
      </c>
      <c r="L57" s="245">
        <f t="shared" si="10"/>
        <v>0</v>
      </c>
      <c r="M57" s="245">
        <f t="shared" si="11"/>
        <v>0</v>
      </c>
      <c r="N57" s="245">
        <f t="shared" si="12"/>
        <v>0</v>
      </c>
      <c r="P57" s="193"/>
    </row>
    <row r="58" spans="1:16" ht="13.5" customHeight="1" x14ac:dyDescent="0.2">
      <c r="A58" t="s">
        <v>596</v>
      </c>
      <c r="B58" s="117" t="s">
        <v>31</v>
      </c>
      <c r="C58" s="183">
        <f>T_19!G14</f>
        <v>1</v>
      </c>
      <c r="D58" s="183">
        <f>T_19!H14</f>
        <v>0</v>
      </c>
      <c r="E58" s="183">
        <f>T_19!I14</f>
        <v>0</v>
      </c>
      <c r="F58" s="183">
        <f>T_19!J14</f>
        <v>0</v>
      </c>
      <c r="G58" s="183">
        <f>T_19!K14</f>
        <v>0</v>
      </c>
      <c r="H58" s="455">
        <f t="shared" si="7"/>
        <v>1</v>
      </c>
      <c r="J58" s="245">
        <f t="shared" si="8"/>
        <v>100</v>
      </c>
      <c r="K58" s="245">
        <f t="shared" si="9"/>
        <v>0</v>
      </c>
      <c r="L58" s="245">
        <f t="shared" si="10"/>
        <v>0</v>
      </c>
      <c r="M58" s="245">
        <f t="shared" si="11"/>
        <v>0</v>
      </c>
      <c r="N58" s="245">
        <f t="shared" si="12"/>
        <v>0</v>
      </c>
      <c r="P58" s="193"/>
    </row>
    <row r="59" spans="1:16" ht="13.5" customHeight="1" x14ac:dyDescent="0.2">
      <c r="A59" t="s">
        <v>597</v>
      </c>
      <c r="B59" s="117" t="s">
        <v>32</v>
      </c>
      <c r="C59" s="183">
        <f>T_19!G15</f>
        <v>1</v>
      </c>
      <c r="D59" s="183">
        <f>T_19!H15</f>
        <v>0</v>
      </c>
      <c r="E59" s="183">
        <f>T_19!I15</f>
        <v>0</v>
      </c>
      <c r="F59" s="183">
        <f>T_19!J15</f>
        <v>0</v>
      </c>
      <c r="G59" s="183">
        <f>T_19!K15</f>
        <v>0</v>
      </c>
      <c r="H59" s="455">
        <f t="shared" si="7"/>
        <v>1</v>
      </c>
      <c r="J59" s="245">
        <f t="shared" si="8"/>
        <v>100</v>
      </c>
      <c r="K59" s="245">
        <f t="shared" si="9"/>
        <v>0</v>
      </c>
      <c r="L59" s="245">
        <f t="shared" si="10"/>
        <v>0</v>
      </c>
      <c r="M59" s="245">
        <f t="shared" si="11"/>
        <v>0</v>
      </c>
      <c r="N59" s="245">
        <f t="shared" si="12"/>
        <v>0</v>
      </c>
      <c r="P59" s="193"/>
    </row>
    <row r="60" spans="1:16" ht="13.5" customHeight="1" x14ac:dyDescent="0.2">
      <c r="A60" t="s">
        <v>598</v>
      </c>
      <c r="B60" s="117" t="s">
        <v>33</v>
      </c>
      <c r="C60" s="183">
        <f>T_19!G16</f>
        <v>1</v>
      </c>
      <c r="D60" s="183">
        <f>T_19!H16</f>
        <v>0</v>
      </c>
      <c r="E60" s="183">
        <f>T_19!I16</f>
        <v>0</v>
      </c>
      <c r="F60" s="183">
        <f>T_19!J16</f>
        <v>0</v>
      </c>
      <c r="G60" s="183">
        <f>T_19!K16</f>
        <v>0</v>
      </c>
      <c r="H60" s="455">
        <f t="shared" si="7"/>
        <v>1</v>
      </c>
      <c r="J60" s="245">
        <f t="shared" si="8"/>
        <v>100</v>
      </c>
      <c r="K60" s="245">
        <f t="shared" si="9"/>
        <v>0</v>
      </c>
      <c r="L60" s="245">
        <f t="shared" si="10"/>
        <v>0</v>
      </c>
      <c r="M60" s="245">
        <f t="shared" si="11"/>
        <v>0</v>
      </c>
      <c r="N60" s="245">
        <f t="shared" si="12"/>
        <v>0</v>
      </c>
      <c r="P60" s="193"/>
    </row>
    <row r="61" spans="1:16" ht="13.5" customHeight="1" x14ac:dyDescent="0.2">
      <c r="A61" t="s">
        <v>599</v>
      </c>
      <c r="B61" s="117" t="s">
        <v>34</v>
      </c>
      <c r="C61" s="183">
        <f>T_19!G17</f>
        <v>0</v>
      </c>
      <c r="D61" s="183">
        <f>T_19!H17</f>
        <v>0</v>
      </c>
      <c r="E61" s="183">
        <f>T_19!I17</f>
        <v>0</v>
      </c>
      <c r="F61" s="183">
        <f>T_19!J17</f>
        <v>0</v>
      </c>
      <c r="G61" s="183">
        <f>T_19!K17</f>
        <v>0</v>
      </c>
      <c r="H61" s="455">
        <f t="shared" si="7"/>
        <v>0</v>
      </c>
      <c r="J61" s="245">
        <f t="shared" si="8"/>
        <v>0</v>
      </c>
      <c r="K61" s="245">
        <f t="shared" si="9"/>
        <v>0</v>
      </c>
      <c r="L61" s="245">
        <f t="shared" si="10"/>
        <v>0</v>
      </c>
      <c r="M61" s="245">
        <f t="shared" si="11"/>
        <v>0</v>
      </c>
      <c r="N61" s="245">
        <f t="shared" si="12"/>
        <v>0</v>
      </c>
      <c r="P61" s="193"/>
    </row>
    <row r="62" spans="1:16" ht="13.5" customHeight="1" x14ac:dyDescent="0.2">
      <c r="A62" t="s">
        <v>600</v>
      </c>
      <c r="B62" s="117" t="s">
        <v>35</v>
      </c>
      <c r="C62" s="183">
        <f>T_19!G18</f>
        <v>1</v>
      </c>
      <c r="D62" s="183">
        <f>T_19!H18</f>
        <v>0</v>
      </c>
      <c r="E62" s="183">
        <f>T_19!I18</f>
        <v>1</v>
      </c>
      <c r="F62" s="183">
        <f>T_19!J18</f>
        <v>0</v>
      </c>
      <c r="G62" s="183">
        <f>T_19!K18</f>
        <v>0</v>
      </c>
      <c r="H62" s="455">
        <f t="shared" si="7"/>
        <v>2</v>
      </c>
      <c r="J62" s="245">
        <f t="shared" si="8"/>
        <v>50</v>
      </c>
      <c r="K62" s="245">
        <f t="shared" si="9"/>
        <v>0</v>
      </c>
      <c r="L62" s="245">
        <f t="shared" si="10"/>
        <v>50</v>
      </c>
      <c r="M62" s="245">
        <f t="shared" si="11"/>
        <v>0</v>
      </c>
      <c r="N62" s="245">
        <f t="shared" si="12"/>
        <v>0</v>
      </c>
      <c r="P62" s="193"/>
    </row>
    <row r="63" spans="1:16" ht="13.5" customHeight="1" x14ac:dyDescent="0.2">
      <c r="A63" t="s">
        <v>601</v>
      </c>
      <c r="B63" s="117" t="s">
        <v>36</v>
      </c>
      <c r="C63" s="183">
        <f>T_19!G19</f>
        <v>4</v>
      </c>
      <c r="D63" s="183">
        <f>T_19!H19</f>
        <v>0</v>
      </c>
      <c r="E63" s="183">
        <f>T_19!I19</f>
        <v>1</v>
      </c>
      <c r="F63" s="183">
        <f>T_19!J19</f>
        <v>1</v>
      </c>
      <c r="G63" s="183">
        <f>T_19!K19</f>
        <v>1</v>
      </c>
      <c r="H63" s="455">
        <f t="shared" si="7"/>
        <v>7</v>
      </c>
      <c r="J63" s="245">
        <f t="shared" si="8"/>
        <v>57.142857142857139</v>
      </c>
      <c r="K63" s="245">
        <f t="shared" si="9"/>
        <v>0</v>
      </c>
      <c r="L63" s="245">
        <f t="shared" si="10"/>
        <v>14.285714285714285</v>
      </c>
      <c r="M63" s="245">
        <f t="shared" si="11"/>
        <v>14.285714285714285</v>
      </c>
      <c r="N63" s="245">
        <f t="shared" si="12"/>
        <v>14.285714285714285</v>
      </c>
      <c r="P63" s="193"/>
    </row>
    <row r="64" spans="1:16" ht="13.5" customHeight="1" x14ac:dyDescent="0.2">
      <c r="A64" t="s">
        <v>602</v>
      </c>
      <c r="B64" s="117" t="s">
        <v>37</v>
      </c>
      <c r="C64" s="183">
        <f>T_19!G20</f>
        <v>0</v>
      </c>
      <c r="D64" s="183">
        <f>T_19!H20</f>
        <v>0</v>
      </c>
      <c r="E64" s="183">
        <f>T_19!I20</f>
        <v>0</v>
      </c>
      <c r="F64" s="183">
        <f>T_19!J20</f>
        <v>0</v>
      </c>
      <c r="G64" s="183">
        <f>T_19!K20</f>
        <v>0</v>
      </c>
      <c r="H64" s="455">
        <f t="shared" si="7"/>
        <v>0</v>
      </c>
      <c r="J64" s="245">
        <f t="shared" si="8"/>
        <v>0</v>
      </c>
      <c r="K64" s="245">
        <f t="shared" si="9"/>
        <v>0</v>
      </c>
      <c r="L64" s="245">
        <f t="shared" si="10"/>
        <v>0</v>
      </c>
      <c r="M64" s="245">
        <f t="shared" si="11"/>
        <v>0</v>
      </c>
      <c r="N64" s="245">
        <f t="shared" si="12"/>
        <v>0</v>
      </c>
      <c r="P64" s="193"/>
    </row>
    <row r="65" spans="1:16" ht="13.5" customHeight="1" x14ac:dyDescent="0.2">
      <c r="A65" t="s">
        <v>603</v>
      </c>
      <c r="B65" s="117" t="s">
        <v>38</v>
      </c>
      <c r="C65" s="183">
        <f>T_19!G21</f>
        <v>1</v>
      </c>
      <c r="D65" s="183">
        <f>T_19!H21</f>
        <v>1</v>
      </c>
      <c r="E65" s="183">
        <f>T_19!I21</f>
        <v>0</v>
      </c>
      <c r="F65" s="183">
        <f>T_19!J21</f>
        <v>0</v>
      </c>
      <c r="G65" s="183">
        <f>T_19!K21</f>
        <v>0</v>
      </c>
      <c r="H65" s="455">
        <f t="shared" si="7"/>
        <v>2</v>
      </c>
      <c r="J65" s="245">
        <f t="shared" si="8"/>
        <v>50</v>
      </c>
      <c r="K65" s="245">
        <f t="shared" si="9"/>
        <v>50</v>
      </c>
      <c r="L65" s="245">
        <f t="shared" si="10"/>
        <v>0</v>
      </c>
      <c r="M65" s="245">
        <f t="shared" si="11"/>
        <v>0</v>
      </c>
      <c r="N65" s="245">
        <f t="shared" si="12"/>
        <v>0</v>
      </c>
      <c r="P65" s="193"/>
    </row>
    <row r="66" spans="1:16" ht="13.5" customHeight="1" x14ac:dyDescent="0.2">
      <c r="A66" t="s">
        <v>604</v>
      </c>
      <c r="B66" s="117" t="s">
        <v>39</v>
      </c>
      <c r="C66" s="183">
        <f>T_19!G22</f>
        <v>1</v>
      </c>
      <c r="D66" s="183">
        <f>T_19!H22</f>
        <v>0</v>
      </c>
      <c r="E66" s="183">
        <f>T_19!I22</f>
        <v>0</v>
      </c>
      <c r="F66" s="183">
        <f>T_19!J22</f>
        <v>0</v>
      </c>
      <c r="G66" s="183">
        <f>T_19!K22</f>
        <v>0</v>
      </c>
      <c r="H66" s="455">
        <f t="shared" si="7"/>
        <v>1</v>
      </c>
      <c r="J66" s="245">
        <f t="shared" si="8"/>
        <v>100</v>
      </c>
      <c r="K66" s="245">
        <f t="shared" si="9"/>
        <v>0</v>
      </c>
      <c r="L66" s="245">
        <f t="shared" si="10"/>
        <v>0</v>
      </c>
      <c r="M66" s="245">
        <f t="shared" si="11"/>
        <v>0</v>
      </c>
      <c r="N66" s="245">
        <f t="shared" si="12"/>
        <v>0</v>
      </c>
      <c r="P66" s="193"/>
    </row>
    <row r="67" spans="1:16" ht="13.5" customHeight="1" x14ac:dyDescent="0.2">
      <c r="A67" t="s">
        <v>605</v>
      </c>
      <c r="B67" s="117" t="s">
        <v>40</v>
      </c>
      <c r="C67" s="183">
        <f>T_19!G23</f>
        <v>0</v>
      </c>
      <c r="D67" s="183">
        <f>T_19!H23</f>
        <v>0</v>
      </c>
      <c r="E67" s="183">
        <f>T_19!I23</f>
        <v>0</v>
      </c>
      <c r="F67" s="183">
        <f>T_19!J23</f>
        <v>0</v>
      </c>
      <c r="G67" s="183">
        <f>T_19!K23</f>
        <v>1</v>
      </c>
      <c r="H67" s="455">
        <f t="shared" si="7"/>
        <v>1</v>
      </c>
      <c r="J67" s="245">
        <f t="shared" si="8"/>
        <v>0</v>
      </c>
      <c r="K67" s="245">
        <f t="shared" si="9"/>
        <v>0</v>
      </c>
      <c r="L67" s="245">
        <f t="shared" si="10"/>
        <v>0</v>
      </c>
      <c r="M67" s="245">
        <f t="shared" si="11"/>
        <v>0</v>
      </c>
      <c r="N67" s="245">
        <f t="shared" si="12"/>
        <v>100</v>
      </c>
      <c r="P67" s="193"/>
    </row>
    <row r="68" spans="1:16" ht="13.5" customHeight="1" x14ac:dyDescent="0.2">
      <c r="A68" t="s">
        <v>606</v>
      </c>
      <c r="B68" s="117" t="s">
        <v>295</v>
      </c>
      <c r="C68" s="183">
        <f>T_19!G24</f>
        <v>0</v>
      </c>
      <c r="D68" s="183">
        <f>T_19!H24</f>
        <v>0</v>
      </c>
      <c r="E68" s="183">
        <f>T_19!I24</f>
        <v>0</v>
      </c>
      <c r="F68" s="183">
        <f>T_19!J24</f>
        <v>0</v>
      </c>
      <c r="G68" s="183">
        <f>T_19!K24</f>
        <v>0</v>
      </c>
      <c r="H68" s="455">
        <f t="shared" si="7"/>
        <v>0</v>
      </c>
      <c r="J68" s="245">
        <f t="shared" si="8"/>
        <v>0</v>
      </c>
      <c r="K68" s="245">
        <f t="shared" si="9"/>
        <v>0</v>
      </c>
      <c r="L68" s="245">
        <f t="shared" si="10"/>
        <v>0</v>
      </c>
      <c r="M68" s="245">
        <f t="shared" si="11"/>
        <v>0</v>
      </c>
      <c r="N68" s="245">
        <f t="shared" si="12"/>
        <v>0</v>
      </c>
      <c r="P68" s="193"/>
    </row>
    <row r="69" spans="1:16" ht="13.5" customHeight="1" x14ac:dyDescent="0.2">
      <c r="A69" t="s">
        <v>607</v>
      </c>
      <c r="B69" s="117" t="s">
        <v>41</v>
      </c>
      <c r="C69" s="183">
        <f>T_19!G25</f>
        <v>0</v>
      </c>
      <c r="D69" s="183">
        <f>T_19!H25</f>
        <v>0</v>
      </c>
      <c r="E69" s="183">
        <f>T_19!I25</f>
        <v>0</v>
      </c>
      <c r="F69" s="183">
        <f>T_19!J25</f>
        <v>0</v>
      </c>
      <c r="G69" s="183">
        <f>T_19!K25</f>
        <v>0</v>
      </c>
      <c r="H69" s="455">
        <f t="shared" si="7"/>
        <v>0</v>
      </c>
      <c r="J69" s="245">
        <f t="shared" si="8"/>
        <v>0</v>
      </c>
      <c r="K69" s="245">
        <f t="shared" si="9"/>
        <v>0</v>
      </c>
      <c r="L69" s="245">
        <f t="shared" si="10"/>
        <v>0</v>
      </c>
      <c r="M69" s="245">
        <f t="shared" si="11"/>
        <v>0</v>
      </c>
      <c r="N69" s="245">
        <f t="shared" si="12"/>
        <v>0</v>
      </c>
      <c r="P69" s="193"/>
    </row>
    <row r="70" spans="1:16" ht="13.5" customHeight="1" x14ac:dyDescent="0.2">
      <c r="A70" t="s">
        <v>608</v>
      </c>
      <c r="B70" s="117" t="s">
        <v>42</v>
      </c>
      <c r="C70" s="183">
        <f>T_19!G26</f>
        <v>0</v>
      </c>
      <c r="D70" s="183">
        <f>T_19!H26</f>
        <v>1</v>
      </c>
      <c r="E70" s="183">
        <f>T_19!I26</f>
        <v>0</v>
      </c>
      <c r="F70" s="183">
        <f>T_19!J26</f>
        <v>0</v>
      </c>
      <c r="G70" s="183">
        <f>T_19!K26</f>
        <v>1</v>
      </c>
      <c r="H70" s="455">
        <f t="shared" si="7"/>
        <v>2</v>
      </c>
      <c r="J70" s="245">
        <f t="shared" si="8"/>
        <v>0</v>
      </c>
      <c r="K70" s="245">
        <f t="shared" si="9"/>
        <v>50</v>
      </c>
      <c r="L70" s="245">
        <f t="shared" si="10"/>
        <v>0</v>
      </c>
      <c r="M70" s="245">
        <f t="shared" si="11"/>
        <v>0</v>
      </c>
      <c r="N70" s="245">
        <f t="shared" si="12"/>
        <v>50</v>
      </c>
      <c r="P70" s="193"/>
    </row>
    <row r="71" spans="1:16" ht="13.5" customHeight="1" x14ac:dyDescent="0.2">
      <c r="A71" t="s">
        <v>609</v>
      </c>
      <c r="B71" s="117" t="s">
        <v>43</v>
      </c>
      <c r="C71" s="183">
        <f>T_19!G27</f>
        <v>0</v>
      </c>
      <c r="D71" s="183">
        <f>T_19!H27</f>
        <v>0</v>
      </c>
      <c r="E71" s="183">
        <f>T_19!I27</f>
        <v>0</v>
      </c>
      <c r="F71" s="183">
        <f>T_19!J27</f>
        <v>0</v>
      </c>
      <c r="G71" s="183">
        <f>T_19!K27</f>
        <v>0</v>
      </c>
      <c r="H71" s="455">
        <f t="shared" si="7"/>
        <v>0</v>
      </c>
      <c r="J71" s="245">
        <f t="shared" si="8"/>
        <v>0</v>
      </c>
      <c r="K71" s="245">
        <f t="shared" si="9"/>
        <v>0</v>
      </c>
      <c r="L71" s="245">
        <f t="shared" si="10"/>
        <v>0</v>
      </c>
      <c r="M71" s="245">
        <f t="shared" si="11"/>
        <v>0</v>
      </c>
      <c r="N71" s="245">
        <f t="shared" si="12"/>
        <v>0</v>
      </c>
      <c r="P71" s="193"/>
    </row>
    <row r="72" spans="1:16" ht="13.5" customHeight="1" x14ac:dyDescent="0.2">
      <c r="A72" t="s">
        <v>610</v>
      </c>
      <c r="B72" s="117" t="s">
        <v>44</v>
      </c>
      <c r="C72" s="183">
        <f>T_19!G28</f>
        <v>0</v>
      </c>
      <c r="D72" s="183">
        <f>T_19!H28</f>
        <v>0</v>
      </c>
      <c r="E72" s="183">
        <f>T_19!I28</f>
        <v>0</v>
      </c>
      <c r="F72" s="183">
        <f>T_19!J28</f>
        <v>0</v>
      </c>
      <c r="G72" s="183">
        <f>T_19!K28</f>
        <v>0</v>
      </c>
      <c r="H72" s="455">
        <f t="shared" si="7"/>
        <v>0</v>
      </c>
      <c r="J72" s="245">
        <f t="shared" si="8"/>
        <v>0</v>
      </c>
      <c r="K72" s="245">
        <f t="shared" si="9"/>
        <v>0</v>
      </c>
      <c r="L72" s="245">
        <f t="shared" si="10"/>
        <v>0</v>
      </c>
      <c r="M72" s="245">
        <f t="shared" si="11"/>
        <v>0</v>
      </c>
      <c r="N72" s="245">
        <f t="shared" si="12"/>
        <v>0</v>
      </c>
      <c r="P72" s="193"/>
    </row>
    <row r="73" spans="1:16" ht="13.5" customHeight="1" x14ac:dyDescent="0.2">
      <c r="A73" t="s">
        <v>611</v>
      </c>
      <c r="B73" s="117" t="s">
        <v>45</v>
      </c>
      <c r="C73" s="183">
        <f>T_19!G29</f>
        <v>3</v>
      </c>
      <c r="D73" s="183">
        <f>T_19!H29</f>
        <v>0</v>
      </c>
      <c r="E73" s="183">
        <f>T_19!I29</f>
        <v>0</v>
      </c>
      <c r="F73" s="183">
        <f>T_19!J29</f>
        <v>0</v>
      </c>
      <c r="G73" s="183">
        <f>T_19!K29</f>
        <v>0</v>
      </c>
      <c r="H73" s="455">
        <f t="shared" si="7"/>
        <v>3</v>
      </c>
      <c r="J73" s="245">
        <f t="shared" si="8"/>
        <v>100</v>
      </c>
      <c r="K73" s="245">
        <f t="shared" si="9"/>
        <v>0</v>
      </c>
      <c r="L73" s="245">
        <f t="shared" si="10"/>
        <v>0</v>
      </c>
      <c r="M73" s="245">
        <f t="shared" si="11"/>
        <v>0</v>
      </c>
      <c r="N73" s="245">
        <f t="shared" si="12"/>
        <v>0</v>
      </c>
      <c r="P73" s="193"/>
    </row>
    <row r="74" spans="1:16" ht="13.5" customHeight="1" x14ac:dyDescent="0.2">
      <c r="A74" t="s">
        <v>612</v>
      </c>
      <c r="B74" s="117" t="s">
        <v>46</v>
      </c>
      <c r="C74" s="183">
        <f>T_19!G30</f>
        <v>0</v>
      </c>
      <c r="D74" s="183">
        <f>T_19!H30</f>
        <v>0</v>
      </c>
      <c r="E74" s="183">
        <f>T_19!I30</f>
        <v>0</v>
      </c>
      <c r="F74" s="183">
        <f>T_19!J30</f>
        <v>1</v>
      </c>
      <c r="G74" s="183">
        <f>T_19!K30</f>
        <v>0</v>
      </c>
      <c r="H74" s="455">
        <f t="shared" si="7"/>
        <v>1</v>
      </c>
      <c r="J74" s="245">
        <f t="shared" si="8"/>
        <v>0</v>
      </c>
      <c r="K74" s="245">
        <f t="shared" si="9"/>
        <v>0</v>
      </c>
      <c r="L74" s="245">
        <f t="shared" si="10"/>
        <v>0</v>
      </c>
      <c r="M74" s="245">
        <f t="shared" si="11"/>
        <v>100</v>
      </c>
      <c r="N74" s="245">
        <f t="shared" si="12"/>
        <v>0</v>
      </c>
      <c r="P74" s="193"/>
    </row>
    <row r="75" spans="1:16" ht="13.5" customHeight="1" x14ac:dyDescent="0.2">
      <c r="A75" t="s">
        <v>613</v>
      </c>
      <c r="B75" s="117" t="s">
        <v>47</v>
      </c>
      <c r="C75" s="183">
        <f>T_19!G31</f>
        <v>0</v>
      </c>
      <c r="D75" s="183">
        <f>T_19!H31</f>
        <v>0</v>
      </c>
      <c r="E75" s="183">
        <f>T_19!I31</f>
        <v>0</v>
      </c>
      <c r="F75" s="183">
        <f>T_19!J31</f>
        <v>0</v>
      </c>
      <c r="G75" s="183">
        <f>T_19!K31</f>
        <v>0</v>
      </c>
      <c r="H75" s="455">
        <f t="shared" si="7"/>
        <v>0</v>
      </c>
      <c r="J75" s="245">
        <f t="shared" si="8"/>
        <v>0</v>
      </c>
      <c r="K75" s="245">
        <f t="shared" si="9"/>
        <v>0</v>
      </c>
      <c r="L75" s="245">
        <f t="shared" si="10"/>
        <v>0</v>
      </c>
      <c r="M75" s="245">
        <f t="shared" si="11"/>
        <v>0</v>
      </c>
      <c r="N75" s="245">
        <f t="shared" si="12"/>
        <v>0</v>
      </c>
      <c r="P75" s="193"/>
    </row>
    <row r="76" spans="1:16" ht="13.5" customHeight="1" x14ac:dyDescent="0.2">
      <c r="A76" t="s">
        <v>614</v>
      </c>
      <c r="B76" s="117" t="s">
        <v>48</v>
      </c>
      <c r="C76" s="183">
        <f>T_19!G32</f>
        <v>0</v>
      </c>
      <c r="D76" s="183">
        <f>T_19!H32</f>
        <v>1</v>
      </c>
      <c r="E76" s="183">
        <f>T_19!I32</f>
        <v>0</v>
      </c>
      <c r="F76" s="183">
        <f>T_19!J32</f>
        <v>0</v>
      </c>
      <c r="G76" s="183">
        <f>T_19!K32</f>
        <v>0</v>
      </c>
      <c r="H76" s="455">
        <f t="shared" si="7"/>
        <v>1</v>
      </c>
      <c r="J76" s="245">
        <f t="shared" si="8"/>
        <v>0</v>
      </c>
      <c r="K76" s="245">
        <f t="shared" si="9"/>
        <v>100</v>
      </c>
      <c r="L76" s="245">
        <f t="shared" si="10"/>
        <v>0</v>
      </c>
      <c r="M76" s="245">
        <f t="shared" si="11"/>
        <v>0</v>
      </c>
      <c r="N76" s="245">
        <f t="shared" si="12"/>
        <v>0</v>
      </c>
      <c r="P76" s="193"/>
    </row>
    <row r="77" spans="1:16" ht="13.5" customHeight="1" x14ac:dyDescent="0.2">
      <c r="A77" t="s">
        <v>615</v>
      </c>
      <c r="B77" s="117" t="s">
        <v>49</v>
      </c>
      <c r="C77" s="183">
        <f>T_19!G33</f>
        <v>0</v>
      </c>
      <c r="D77" s="183">
        <f>T_19!H33</f>
        <v>1</v>
      </c>
      <c r="E77" s="183">
        <f>T_19!I33</f>
        <v>0</v>
      </c>
      <c r="F77" s="183">
        <f>T_19!J33</f>
        <v>0</v>
      </c>
      <c r="G77" s="183">
        <f>T_19!K33</f>
        <v>1</v>
      </c>
      <c r="H77" s="455">
        <f t="shared" si="7"/>
        <v>2</v>
      </c>
      <c r="J77" s="245">
        <f t="shared" si="8"/>
        <v>0</v>
      </c>
      <c r="K77" s="245">
        <f t="shared" si="9"/>
        <v>50</v>
      </c>
      <c r="L77" s="245">
        <f t="shared" si="10"/>
        <v>0</v>
      </c>
      <c r="M77" s="245">
        <f t="shared" si="11"/>
        <v>0</v>
      </c>
      <c r="N77" s="245">
        <f t="shared" si="12"/>
        <v>50</v>
      </c>
      <c r="P77" s="193"/>
    </row>
    <row r="78" spans="1:16" ht="13.5" customHeight="1" x14ac:dyDescent="0.2">
      <c r="A78" t="s">
        <v>616</v>
      </c>
      <c r="B78" s="117" t="s">
        <v>50</v>
      </c>
      <c r="C78" s="183">
        <f>T_19!G34</f>
        <v>0</v>
      </c>
      <c r="D78" s="183">
        <f>T_19!H34</f>
        <v>0</v>
      </c>
      <c r="E78" s="183">
        <f>T_19!I34</f>
        <v>0</v>
      </c>
      <c r="F78" s="183">
        <f>T_19!J34</f>
        <v>0</v>
      </c>
      <c r="G78" s="183">
        <f>T_19!K34</f>
        <v>0</v>
      </c>
      <c r="H78" s="455">
        <f t="shared" si="7"/>
        <v>0</v>
      </c>
      <c r="J78" s="245">
        <f t="shared" si="8"/>
        <v>0</v>
      </c>
      <c r="K78" s="245">
        <f t="shared" si="9"/>
        <v>0</v>
      </c>
      <c r="L78" s="245">
        <f t="shared" si="10"/>
        <v>0</v>
      </c>
      <c r="M78" s="245">
        <f t="shared" si="11"/>
        <v>0</v>
      </c>
      <c r="N78" s="245">
        <f t="shared" si="12"/>
        <v>0</v>
      </c>
      <c r="P78" s="193"/>
    </row>
    <row r="79" spans="1:16" ht="13.5" customHeight="1" x14ac:dyDescent="0.2">
      <c r="A79" t="s">
        <v>617</v>
      </c>
      <c r="B79" s="117" t="s">
        <v>51</v>
      </c>
      <c r="C79" s="183">
        <f>T_19!G35</f>
        <v>1</v>
      </c>
      <c r="D79" s="183">
        <f>T_19!H35</f>
        <v>0</v>
      </c>
      <c r="E79" s="183">
        <f>T_19!I35</f>
        <v>1</v>
      </c>
      <c r="F79" s="183">
        <f>T_19!J35</f>
        <v>0</v>
      </c>
      <c r="G79" s="183">
        <f>T_19!K35</f>
        <v>0</v>
      </c>
      <c r="H79" s="455">
        <f t="shared" si="7"/>
        <v>2</v>
      </c>
      <c r="J79" s="245">
        <f t="shared" si="8"/>
        <v>50</v>
      </c>
      <c r="K79" s="245">
        <f t="shared" si="9"/>
        <v>0</v>
      </c>
      <c r="L79" s="245">
        <f t="shared" si="10"/>
        <v>50</v>
      </c>
      <c r="M79" s="245">
        <f t="shared" si="11"/>
        <v>0</v>
      </c>
      <c r="N79" s="245">
        <f t="shared" si="12"/>
        <v>0</v>
      </c>
      <c r="P79" s="193"/>
    </row>
    <row r="80" spans="1:16" ht="13.5" customHeight="1" x14ac:dyDescent="0.2">
      <c r="A80" t="s">
        <v>618</v>
      </c>
      <c r="B80" s="117" t="s">
        <v>52</v>
      </c>
      <c r="C80" s="183">
        <f>T_19!G36</f>
        <v>0</v>
      </c>
      <c r="D80" s="183">
        <f>T_19!H36</f>
        <v>1</v>
      </c>
      <c r="E80" s="183">
        <f>T_19!I36</f>
        <v>0</v>
      </c>
      <c r="F80" s="183">
        <f>T_19!J36</f>
        <v>1</v>
      </c>
      <c r="G80" s="183">
        <f>T_19!K36</f>
        <v>0</v>
      </c>
      <c r="H80" s="455">
        <f t="shared" si="7"/>
        <v>2</v>
      </c>
      <c r="J80" s="245">
        <f t="shared" si="8"/>
        <v>0</v>
      </c>
      <c r="K80" s="245">
        <f t="shared" si="9"/>
        <v>50</v>
      </c>
      <c r="L80" s="245">
        <f t="shared" si="10"/>
        <v>0</v>
      </c>
      <c r="M80" s="245">
        <f t="shared" si="11"/>
        <v>50</v>
      </c>
      <c r="N80" s="245">
        <f t="shared" si="12"/>
        <v>0</v>
      </c>
      <c r="P80" s="193"/>
    </row>
    <row r="81" spans="1:16" ht="13.5" customHeight="1" x14ac:dyDescent="0.2">
      <c r="B81" s="117" t="str">
        <f>IF(T_09b!$A$37 = "Z_Not Known", "Not Known","")</f>
        <v/>
      </c>
      <c r="C81" s="164"/>
      <c r="D81" s="164"/>
      <c r="E81" s="164"/>
      <c r="F81" s="164"/>
      <c r="G81" s="164"/>
      <c r="H81" s="455"/>
      <c r="I81" s="486"/>
      <c r="J81" s="245"/>
      <c r="K81" s="245"/>
      <c r="L81" s="245"/>
      <c r="M81" s="245"/>
      <c r="N81" s="245"/>
      <c r="P81" s="193"/>
    </row>
    <row r="82" spans="1:16" ht="30" customHeight="1" thickBot="1" x14ac:dyDescent="0.25">
      <c r="A82" s="751" t="s">
        <v>620</v>
      </c>
      <c r="B82" s="752" t="s">
        <v>143</v>
      </c>
      <c r="C82" s="766">
        <f>SUM(C49:C81)</f>
        <v>23</v>
      </c>
      <c r="D82" s="766">
        <f>SUM(D49:D81)</f>
        <v>5</v>
      </c>
      <c r="E82" s="766">
        <f>SUM(E49:E81)</f>
        <v>3</v>
      </c>
      <c r="F82" s="766">
        <f>SUM(F49:F81)</f>
        <v>4</v>
      </c>
      <c r="G82" s="766">
        <f>SUM(G49:G81)</f>
        <v>9</v>
      </c>
      <c r="H82" s="766">
        <f>SUM(H49:H80)</f>
        <v>44</v>
      </c>
      <c r="I82" s="767"/>
      <c r="J82" s="768">
        <f>IFERROR(C82/H82*100,0)</f>
        <v>52.272727272727273</v>
      </c>
      <c r="K82" s="768">
        <f>IFERROR(D82/H82*100,0)</f>
        <v>11.363636363636363</v>
      </c>
      <c r="L82" s="768">
        <f>IFERROR(E82/H82*100,0)</f>
        <v>6.8181818181818175</v>
      </c>
      <c r="M82" s="768">
        <f>IFERROR(F82/H82*100,0)</f>
        <v>9.0909090909090917</v>
      </c>
      <c r="N82" s="768">
        <f>IFERROR(G82/H82*100,0)</f>
        <v>20.454545454545457</v>
      </c>
      <c r="P82" s="193"/>
    </row>
    <row r="85" spans="1:16" ht="15" x14ac:dyDescent="0.25">
      <c r="H85" s="753" t="s">
        <v>0</v>
      </c>
      <c r="M85" s="756"/>
      <c r="N85" s="754" t="s">
        <v>62</v>
      </c>
    </row>
    <row r="86" spans="1:16" x14ac:dyDescent="0.2">
      <c r="C86" s="1324" t="s">
        <v>1424</v>
      </c>
      <c r="D86" s="1324"/>
      <c r="E86" s="1324"/>
      <c r="F86" s="1324"/>
      <c r="G86" s="1324"/>
      <c r="H86" s="1322" t="s">
        <v>172</v>
      </c>
      <c r="I86" s="105"/>
      <c r="J86" s="1324" t="s">
        <v>1424</v>
      </c>
      <c r="K86" s="1324"/>
      <c r="L86" s="1324"/>
      <c r="M86" s="1324"/>
      <c r="N86" s="1324"/>
    </row>
    <row r="87" spans="1:16" ht="41.25" customHeight="1" x14ac:dyDescent="0.2">
      <c r="A87" s="438" t="s">
        <v>586</v>
      </c>
      <c r="B87" s="438" t="s">
        <v>22</v>
      </c>
      <c r="C87" s="773" t="s">
        <v>187</v>
      </c>
      <c r="D87" s="774" t="s">
        <v>188</v>
      </c>
      <c r="E87" s="774" t="s">
        <v>189</v>
      </c>
      <c r="F87" s="774" t="s">
        <v>184</v>
      </c>
      <c r="G87" s="774" t="s">
        <v>319</v>
      </c>
      <c r="H87" s="1323"/>
      <c r="I87" s="105"/>
      <c r="J87" s="773" t="s">
        <v>187</v>
      </c>
      <c r="K87" s="774" t="s">
        <v>188</v>
      </c>
      <c r="L87" s="774" t="s">
        <v>189</v>
      </c>
      <c r="M87" s="774" t="s">
        <v>184</v>
      </c>
      <c r="N87" s="775" t="s">
        <v>319</v>
      </c>
    </row>
    <row r="88" spans="1:16" ht="18.75" customHeight="1" x14ac:dyDescent="0.2">
      <c r="A88" s="404" t="s">
        <v>587</v>
      </c>
      <c r="B88" s="400" t="s">
        <v>23</v>
      </c>
      <c r="C88" s="758">
        <f>T_19!L5</f>
        <v>24</v>
      </c>
      <c r="D88" s="758">
        <f>T_19!M5</f>
        <v>7</v>
      </c>
      <c r="E88" s="758">
        <f>T_19!N5</f>
        <v>2</v>
      </c>
      <c r="F88" s="758">
        <f>T_19!O5</f>
        <v>2</v>
      </c>
      <c r="G88" s="758">
        <f>T_19!P5</f>
        <v>0</v>
      </c>
      <c r="H88" s="759">
        <f>SUM(C88:G88)</f>
        <v>35</v>
      </c>
      <c r="I88" s="403"/>
      <c r="J88" s="461">
        <f>IFERROR(SUM((C88/H88)*100),0)</f>
        <v>68.571428571428569</v>
      </c>
      <c r="K88" s="461">
        <f>IFERROR(SUM((D88/H88)*100),0)</f>
        <v>20</v>
      </c>
      <c r="L88" s="461">
        <f>IFERROR(SUM((E88/H88)*100),0)</f>
        <v>5.7142857142857144</v>
      </c>
      <c r="M88" s="461">
        <f>IFERROR(SUM((F88/H88)*100),0)</f>
        <v>5.7142857142857144</v>
      </c>
      <c r="N88" s="461">
        <f>IFERROR(SUM((G88/H88)*100),0)</f>
        <v>0</v>
      </c>
      <c r="P88" s="193"/>
    </row>
    <row r="89" spans="1:16" x14ac:dyDescent="0.2">
      <c r="A89" t="s">
        <v>588</v>
      </c>
      <c r="B89" s="117" t="s">
        <v>24</v>
      </c>
      <c r="C89" s="154">
        <f>T_19!L6</f>
        <v>5</v>
      </c>
      <c r="D89" s="154">
        <f>T_19!M6</f>
        <v>1</v>
      </c>
      <c r="E89" s="154">
        <f>T_19!N6</f>
        <v>2</v>
      </c>
      <c r="F89" s="154">
        <f>T_19!O6</f>
        <v>7</v>
      </c>
      <c r="G89" s="154">
        <f>T_19!P6</f>
        <v>1</v>
      </c>
      <c r="H89" s="455">
        <f t="shared" ref="H89:H119" si="13">SUM(C89:G89)</f>
        <v>16</v>
      </c>
      <c r="I89" s="65"/>
      <c r="J89" s="245">
        <f t="shared" ref="J89:J119" si="14">IFERROR(SUM((C89/H89)*100),0)</f>
        <v>31.25</v>
      </c>
      <c r="K89" s="245">
        <f t="shared" ref="K89:K119" si="15">IFERROR(SUM((D89/H89)*100),0)</f>
        <v>6.25</v>
      </c>
      <c r="L89" s="245">
        <f t="shared" ref="L89:L119" si="16">IFERROR(SUM((E89/H89)*100),0)</f>
        <v>12.5</v>
      </c>
      <c r="M89" s="245">
        <f t="shared" ref="M89:M119" si="17">IFERROR(SUM((F89/H89)*100),0)</f>
        <v>43.75</v>
      </c>
      <c r="N89" s="245">
        <f t="shared" ref="N89:N119" si="18">IFERROR(SUM((G89/H89)*100),0)</f>
        <v>6.25</v>
      </c>
      <c r="P89" s="193"/>
    </row>
    <row r="90" spans="1:16" x14ac:dyDescent="0.2">
      <c r="A90" t="s">
        <v>589</v>
      </c>
      <c r="B90" s="117" t="s">
        <v>25</v>
      </c>
      <c r="C90" s="154">
        <f>T_19!L7</f>
        <v>15</v>
      </c>
      <c r="D90" s="154">
        <f>T_19!M7</f>
        <v>2</v>
      </c>
      <c r="E90" s="154">
        <f>T_19!N7</f>
        <v>1</v>
      </c>
      <c r="F90" s="154">
        <f>T_19!O7</f>
        <v>1</v>
      </c>
      <c r="G90" s="154">
        <f>T_19!P7</f>
        <v>0</v>
      </c>
      <c r="H90" s="455">
        <f t="shared" si="13"/>
        <v>19</v>
      </c>
      <c r="I90" s="65"/>
      <c r="J90" s="245">
        <f t="shared" si="14"/>
        <v>78.94736842105263</v>
      </c>
      <c r="K90" s="245">
        <f t="shared" si="15"/>
        <v>10.526315789473683</v>
      </c>
      <c r="L90" s="245">
        <f t="shared" si="16"/>
        <v>5.2631578947368416</v>
      </c>
      <c r="M90" s="245">
        <f t="shared" si="17"/>
        <v>5.2631578947368416</v>
      </c>
      <c r="N90" s="245">
        <f t="shared" si="18"/>
        <v>0</v>
      </c>
      <c r="P90" s="193"/>
    </row>
    <row r="91" spans="1:16" x14ac:dyDescent="0.2">
      <c r="A91" t="s">
        <v>590</v>
      </c>
      <c r="B91" s="117" t="s">
        <v>26</v>
      </c>
      <c r="C91" s="154">
        <f>T_19!L8</f>
        <v>5</v>
      </c>
      <c r="D91" s="154">
        <f>T_19!M8</f>
        <v>0</v>
      </c>
      <c r="E91" s="154">
        <f>T_19!N8</f>
        <v>0</v>
      </c>
      <c r="F91" s="154">
        <f>T_19!O8</f>
        <v>0</v>
      </c>
      <c r="G91" s="154">
        <f>T_19!P8</f>
        <v>2</v>
      </c>
      <c r="H91" s="455">
        <f t="shared" si="13"/>
        <v>7</v>
      </c>
      <c r="I91" s="65"/>
      <c r="J91" s="245">
        <f t="shared" si="14"/>
        <v>71.428571428571431</v>
      </c>
      <c r="K91" s="245">
        <f t="shared" si="15"/>
        <v>0</v>
      </c>
      <c r="L91" s="245">
        <f t="shared" si="16"/>
        <v>0</v>
      </c>
      <c r="M91" s="245">
        <f t="shared" si="17"/>
        <v>0</v>
      </c>
      <c r="N91" s="245">
        <f t="shared" si="18"/>
        <v>28.571428571428569</v>
      </c>
      <c r="P91" s="193"/>
    </row>
    <row r="92" spans="1:16" x14ac:dyDescent="0.2">
      <c r="A92" t="s">
        <v>591</v>
      </c>
      <c r="B92" s="117" t="s">
        <v>619</v>
      </c>
      <c r="C92" s="154">
        <f>T_19!L9</f>
        <v>25</v>
      </c>
      <c r="D92" s="154">
        <f>T_19!M9</f>
        <v>10</v>
      </c>
      <c r="E92" s="154">
        <f>T_19!N9</f>
        <v>3</v>
      </c>
      <c r="F92" s="154">
        <f>T_19!O9</f>
        <v>18</v>
      </c>
      <c r="G92" s="154">
        <f>T_19!P9</f>
        <v>5</v>
      </c>
      <c r="H92" s="455">
        <f t="shared" si="13"/>
        <v>61</v>
      </c>
      <c r="I92" s="65"/>
      <c r="J92" s="245">
        <f t="shared" si="14"/>
        <v>40.983606557377051</v>
      </c>
      <c r="K92" s="245">
        <f t="shared" si="15"/>
        <v>16.393442622950818</v>
      </c>
      <c r="L92" s="245">
        <f t="shared" si="16"/>
        <v>4.918032786885246</v>
      </c>
      <c r="M92" s="245">
        <f t="shared" si="17"/>
        <v>29.508196721311474</v>
      </c>
      <c r="N92" s="245">
        <f t="shared" si="18"/>
        <v>8.1967213114754092</v>
      </c>
      <c r="P92" s="193"/>
    </row>
    <row r="93" spans="1:16" x14ac:dyDescent="0.2">
      <c r="A93" t="s">
        <v>592</v>
      </c>
      <c r="B93" s="117" t="s">
        <v>27</v>
      </c>
      <c r="C93" s="154">
        <f>T_19!L10</f>
        <v>8</v>
      </c>
      <c r="D93" s="154">
        <f>T_19!M10</f>
        <v>5</v>
      </c>
      <c r="E93" s="154">
        <f>T_19!N10</f>
        <v>0</v>
      </c>
      <c r="F93" s="154">
        <f>T_19!O10</f>
        <v>7</v>
      </c>
      <c r="G93" s="154">
        <f>T_19!P10</f>
        <v>0</v>
      </c>
      <c r="H93" s="455">
        <f t="shared" si="13"/>
        <v>20</v>
      </c>
      <c r="I93" s="65"/>
      <c r="J93" s="245">
        <f t="shared" si="14"/>
        <v>40</v>
      </c>
      <c r="K93" s="245">
        <f t="shared" si="15"/>
        <v>25</v>
      </c>
      <c r="L93" s="245">
        <f t="shared" si="16"/>
        <v>0</v>
      </c>
      <c r="M93" s="245">
        <f t="shared" si="17"/>
        <v>35</v>
      </c>
      <c r="N93" s="245">
        <f t="shared" si="18"/>
        <v>0</v>
      </c>
      <c r="P93" s="193"/>
    </row>
    <row r="94" spans="1:16" x14ac:dyDescent="0.2">
      <c r="A94" t="s">
        <v>593</v>
      </c>
      <c r="B94" s="117" t="s">
        <v>28</v>
      </c>
      <c r="C94" s="154">
        <f>T_19!L11</f>
        <v>2</v>
      </c>
      <c r="D94" s="154">
        <f>T_19!M11</f>
        <v>1</v>
      </c>
      <c r="E94" s="154">
        <f>T_19!N11</f>
        <v>0</v>
      </c>
      <c r="F94" s="154">
        <f>T_19!O11</f>
        <v>1</v>
      </c>
      <c r="G94" s="154">
        <f>T_19!P11</f>
        <v>0</v>
      </c>
      <c r="H94" s="455">
        <f t="shared" si="13"/>
        <v>4</v>
      </c>
      <c r="I94" s="65"/>
      <c r="J94" s="245">
        <f t="shared" si="14"/>
        <v>50</v>
      </c>
      <c r="K94" s="245">
        <f t="shared" si="15"/>
        <v>25</v>
      </c>
      <c r="L94" s="245">
        <f t="shared" si="16"/>
        <v>0</v>
      </c>
      <c r="M94" s="245">
        <f t="shared" si="17"/>
        <v>25</v>
      </c>
      <c r="N94" s="245">
        <f t="shared" si="18"/>
        <v>0</v>
      </c>
      <c r="P94" s="193"/>
    </row>
    <row r="95" spans="1:16" x14ac:dyDescent="0.2">
      <c r="A95" t="s">
        <v>594</v>
      </c>
      <c r="B95" s="117" t="s">
        <v>29</v>
      </c>
      <c r="C95" s="154">
        <f>T_19!L12</f>
        <v>20</v>
      </c>
      <c r="D95" s="154">
        <f>T_19!M12</f>
        <v>5</v>
      </c>
      <c r="E95" s="154">
        <f>T_19!N12</f>
        <v>3</v>
      </c>
      <c r="F95" s="154">
        <f>T_19!O12</f>
        <v>4</v>
      </c>
      <c r="G95" s="154">
        <f>T_19!P12</f>
        <v>0</v>
      </c>
      <c r="H95" s="455">
        <f t="shared" si="13"/>
        <v>32</v>
      </c>
      <c r="I95" s="65"/>
      <c r="J95" s="245">
        <f t="shared" si="14"/>
        <v>62.5</v>
      </c>
      <c r="K95" s="245">
        <f t="shared" si="15"/>
        <v>15.625</v>
      </c>
      <c r="L95" s="245">
        <f t="shared" si="16"/>
        <v>9.375</v>
      </c>
      <c r="M95" s="245">
        <f t="shared" si="17"/>
        <v>12.5</v>
      </c>
      <c r="N95" s="245">
        <f t="shared" si="18"/>
        <v>0</v>
      </c>
      <c r="P95" s="193"/>
    </row>
    <row r="96" spans="1:16" x14ac:dyDescent="0.2">
      <c r="A96" t="s">
        <v>595</v>
      </c>
      <c r="B96" s="117" t="s">
        <v>30</v>
      </c>
      <c r="C96" s="154">
        <f>T_19!L13</f>
        <v>11</v>
      </c>
      <c r="D96" s="154">
        <f>T_19!M13</f>
        <v>4</v>
      </c>
      <c r="E96" s="154">
        <f>T_19!N13</f>
        <v>2</v>
      </c>
      <c r="F96" s="154">
        <f>T_19!O13</f>
        <v>2</v>
      </c>
      <c r="G96" s="154">
        <f>T_19!P13</f>
        <v>1</v>
      </c>
      <c r="H96" s="455">
        <f t="shared" si="13"/>
        <v>20</v>
      </c>
      <c r="I96" s="65"/>
      <c r="J96" s="245">
        <f t="shared" si="14"/>
        <v>55.000000000000007</v>
      </c>
      <c r="K96" s="245">
        <f t="shared" si="15"/>
        <v>20</v>
      </c>
      <c r="L96" s="245">
        <f t="shared" si="16"/>
        <v>10</v>
      </c>
      <c r="M96" s="245">
        <f t="shared" si="17"/>
        <v>10</v>
      </c>
      <c r="N96" s="245">
        <f t="shared" si="18"/>
        <v>5</v>
      </c>
      <c r="P96" s="193"/>
    </row>
    <row r="97" spans="1:16" x14ac:dyDescent="0.2">
      <c r="A97" t="s">
        <v>596</v>
      </c>
      <c r="B97" s="117" t="s">
        <v>31</v>
      </c>
      <c r="C97" s="154">
        <f>T_19!L14</f>
        <v>3</v>
      </c>
      <c r="D97" s="154">
        <f>T_19!M14</f>
        <v>3</v>
      </c>
      <c r="E97" s="154">
        <f>T_19!N14</f>
        <v>1</v>
      </c>
      <c r="F97" s="154">
        <f>T_19!O14</f>
        <v>2</v>
      </c>
      <c r="G97" s="154">
        <f>T_19!P14</f>
        <v>0</v>
      </c>
      <c r="H97" s="455">
        <f t="shared" si="13"/>
        <v>9</v>
      </c>
      <c r="I97" s="65"/>
      <c r="J97" s="245">
        <f t="shared" si="14"/>
        <v>33.333333333333329</v>
      </c>
      <c r="K97" s="245">
        <f t="shared" si="15"/>
        <v>33.333333333333329</v>
      </c>
      <c r="L97" s="245">
        <f t="shared" si="16"/>
        <v>11.111111111111111</v>
      </c>
      <c r="M97" s="245">
        <f t="shared" si="17"/>
        <v>22.222222222222221</v>
      </c>
      <c r="N97" s="245">
        <f t="shared" si="18"/>
        <v>0</v>
      </c>
      <c r="P97" s="193"/>
    </row>
    <row r="98" spans="1:16" x14ac:dyDescent="0.2">
      <c r="A98" t="s">
        <v>597</v>
      </c>
      <c r="B98" s="117" t="s">
        <v>32</v>
      </c>
      <c r="C98" s="154">
        <f>T_19!L15</f>
        <v>3</v>
      </c>
      <c r="D98" s="154">
        <f>T_19!M15</f>
        <v>0</v>
      </c>
      <c r="E98" s="154">
        <f>T_19!N15</f>
        <v>1</v>
      </c>
      <c r="F98" s="154">
        <f>T_19!O15</f>
        <v>0</v>
      </c>
      <c r="G98" s="154">
        <f>T_19!P15</f>
        <v>0</v>
      </c>
      <c r="H98" s="455">
        <f t="shared" si="13"/>
        <v>4</v>
      </c>
      <c r="I98" s="65"/>
      <c r="J98" s="245">
        <f t="shared" si="14"/>
        <v>75</v>
      </c>
      <c r="K98" s="245">
        <f t="shared" si="15"/>
        <v>0</v>
      </c>
      <c r="L98" s="245">
        <f t="shared" si="16"/>
        <v>25</v>
      </c>
      <c r="M98" s="245">
        <f t="shared" si="17"/>
        <v>0</v>
      </c>
      <c r="N98" s="245">
        <f t="shared" si="18"/>
        <v>0</v>
      </c>
      <c r="P98" s="193"/>
    </row>
    <row r="99" spans="1:16" x14ac:dyDescent="0.2">
      <c r="A99" t="s">
        <v>598</v>
      </c>
      <c r="B99" s="117" t="s">
        <v>33</v>
      </c>
      <c r="C99" s="154">
        <f>T_19!L16</f>
        <v>3</v>
      </c>
      <c r="D99" s="154">
        <f>T_19!M16</f>
        <v>2</v>
      </c>
      <c r="E99" s="154">
        <f>T_19!N16</f>
        <v>0</v>
      </c>
      <c r="F99" s="154">
        <f>T_19!O16</f>
        <v>1</v>
      </c>
      <c r="G99" s="154">
        <f>T_19!P16</f>
        <v>0</v>
      </c>
      <c r="H99" s="455">
        <f t="shared" si="13"/>
        <v>6</v>
      </c>
      <c r="I99" s="65"/>
      <c r="J99" s="245">
        <f t="shared" si="14"/>
        <v>50</v>
      </c>
      <c r="K99" s="245">
        <f t="shared" si="15"/>
        <v>33.333333333333329</v>
      </c>
      <c r="L99" s="245">
        <f t="shared" si="16"/>
        <v>0</v>
      </c>
      <c r="M99" s="245">
        <f t="shared" si="17"/>
        <v>16.666666666666664</v>
      </c>
      <c r="N99" s="245">
        <f t="shared" si="18"/>
        <v>0</v>
      </c>
      <c r="P99" s="193"/>
    </row>
    <row r="100" spans="1:16" x14ac:dyDescent="0.2">
      <c r="A100" t="s">
        <v>599</v>
      </c>
      <c r="B100" s="117" t="s">
        <v>34</v>
      </c>
      <c r="C100" s="154">
        <f>T_19!L17</f>
        <v>12</v>
      </c>
      <c r="D100" s="154">
        <f>T_19!M17</f>
        <v>6</v>
      </c>
      <c r="E100" s="154">
        <f>T_19!N17</f>
        <v>4</v>
      </c>
      <c r="F100" s="154">
        <f>T_19!O17</f>
        <v>8</v>
      </c>
      <c r="G100" s="154">
        <f>T_19!P17</f>
        <v>0</v>
      </c>
      <c r="H100" s="455">
        <f t="shared" si="13"/>
        <v>30</v>
      </c>
      <c r="I100" s="65"/>
      <c r="J100" s="245">
        <f t="shared" si="14"/>
        <v>40</v>
      </c>
      <c r="K100" s="245">
        <f t="shared" si="15"/>
        <v>20</v>
      </c>
      <c r="L100" s="245">
        <f t="shared" si="16"/>
        <v>13.333333333333334</v>
      </c>
      <c r="M100" s="245">
        <f t="shared" si="17"/>
        <v>26.666666666666668</v>
      </c>
      <c r="N100" s="245">
        <f t="shared" si="18"/>
        <v>0</v>
      </c>
      <c r="P100" s="193"/>
    </row>
    <row r="101" spans="1:16" x14ac:dyDescent="0.2">
      <c r="A101" t="s">
        <v>600</v>
      </c>
      <c r="B101" s="117" t="s">
        <v>35</v>
      </c>
      <c r="C101" s="154">
        <f>T_19!L18</f>
        <v>24</v>
      </c>
      <c r="D101" s="154">
        <f>T_19!M18</f>
        <v>2</v>
      </c>
      <c r="E101" s="154">
        <f>T_19!N18</f>
        <v>2</v>
      </c>
      <c r="F101" s="154">
        <f>T_19!O18</f>
        <v>15</v>
      </c>
      <c r="G101" s="154">
        <f>T_19!P18</f>
        <v>2</v>
      </c>
      <c r="H101" s="455">
        <f t="shared" si="13"/>
        <v>45</v>
      </c>
      <c r="I101" s="65"/>
      <c r="J101" s="245">
        <f t="shared" si="14"/>
        <v>53.333333333333336</v>
      </c>
      <c r="K101" s="245">
        <f t="shared" si="15"/>
        <v>4.4444444444444446</v>
      </c>
      <c r="L101" s="245">
        <f t="shared" si="16"/>
        <v>4.4444444444444446</v>
      </c>
      <c r="M101" s="245">
        <f t="shared" si="17"/>
        <v>33.333333333333329</v>
      </c>
      <c r="N101" s="245">
        <f t="shared" si="18"/>
        <v>4.4444444444444446</v>
      </c>
      <c r="P101" s="193"/>
    </row>
    <row r="102" spans="1:16" x14ac:dyDescent="0.2">
      <c r="A102" t="s">
        <v>601</v>
      </c>
      <c r="B102" s="117" t="s">
        <v>36</v>
      </c>
      <c r="C102" s="154">
        <f>T_19!L19</f>
        <v>99</v>
      </c>
      <c r="D102" s="154">
        <f>T_19!M19</f>
        <v>13</v>
      </c>
      <c r="E102" s="154">
        <f>T_19!N19</f>
        <v>14</v>
      </c>
      <c r="F102" s="154">
        <f>T_19!O19</f>
        <v>27</v>
      </c>
      <c r="G102" s="154">
        <f>T_19!P19</f>
        <v>13</v>
      </c>
      <c r="H102" s="455">
        <f t="shared" si="13"/>
        <v>166</v>
      </c>
      <c r="I102" s="65"/>
      <c r="J102" s="245">
        <f t="shared" si="14"/>
        <v>59.638554216867469</v>
      </c>
      <c r="K102" s="245">
        <f t="shared" si="15"/>
        <v>7.8313253012048198</v>
      </c>
      <c r="L102" s="245">
        <f t="shared" si="16"/>
        <v>8.4337349397590362</v>
      </c>
      <c r="M102" s="245">
        <f t="shared" si="17"/>
        <v>16.265060240963855</v>
      </c>
      <c r="N102" s="245">
        <f t="shared" si="18"/>
        <v>7.8313253012048198</v>
      </c>
      <c r="P102" s="193"/>
    </row>
    <row r="103" spans="1:16" x14ac:dyDescent="0.2">
      <c r="A103" t="s">
        <v>602</v>
      </c>
      <c r="B103" s="117" t="s">
        <v>37</v>
      </c>
      <c r="C103" s="154">
        <f>T_19!L20</f>
        <v>9</v>
      </c>
      <c r="D103" s="154">
        <f>T_19!M20</f>
        <v>2</v>
      </c>
      <c r="E103" s="154">
        <f>T_19!N20</f>
        <v>1</v>
      </c>
      <c r="F103" s="154">
        <f>T_19!O20</f>
        <v>4</v>
      </c>
      <c r="G103" s="154">
        <f>T_19!P20</f>
        <v>2</v>
      </c>
      <c r="H103" s="455">
        <f t="shared" si="13"/>
        <v>18</v>
      </c>
      <c r="I103" s="65"/>
      <c r="J103" s="245">
        <f t="shared" si="14"/>
        <v>50</v>
      </c>
      <c r="K103" s="245">
        <f t="shared" si="15"/>
        <v>11.111111111111111</v>
      </c>
      <c r="L103" s="245">
        <f t="shared" si="16"/>
        <v>5.5555555555555554</v>
      </c>
      <c r="M103" s="245">
        <f t="shared" si="17"/>
        <v>22.222222222222221</v>
      </c>
      <c r="N103" s="245">
        <f t="shared" si="18"/>
        <v>11.111111111111111</v>
      </c>
      <c r="P103" s="193"/>
    </row>
    <row r="104" spans="1:16" x14ac:dyDescent="0.2">
      <c r="A104" t="s">
        <v>603</v>
      </c>
      <c r="B104" s="117" t="s">
        <v>38</v>
      </c>
      <c r="C104" s="154">
        <f>T_19!L21</f>
        <v>19</v>
      </c>
      <c r="D104" s="154">
        <f>T_19!M21</f>
        <v>5</v>
      </c>
      <c r="E104" s="154">
        <f>T_19!N21</f>
        <v>2</v>
      </c>
      <c r="F104" s="154">
        <f>T_19!O21</f>
        <v>6</v>
      </c>
      <c r="G104" s="154">
        <f>T_19!P21</f>
        <v>1</v>
      </c>
      <c r="H104" s="455">
        <f t="shared" si="13"/>
        <v>33</v>
      </c>
      <c r="I104" s="65"/>
      <c r="J104" s="245">
        <f t="shared" si="14"/>
        <v>57.575757575757578</v>
      </c>
      <c r="K104" s="245">
        <f t="shared" si="15"/>
        <v>15.151515151515152</v>
      </c>
      <c r="L104" s="245">
        <f t="shared" si="16"/>
        <v>6.0606060606060606</v>
      </c>
      <c r="M104" s="245">
        <f t="shared" si="17"/>
        <v>18.181818181818183</v>
      </c>
      <c r="N104" s="245">
        <f t="shared" si="18"/>
        <v>3.0303030303030303</v>
      </c>
      <c r="P104" s="193"/>
    </row>
    <row r="105" spans="1:16" x14ac:dyDescent="0.2">
      <c r="A105" t="s">
        <v>604</v>
      </c>
      <c r="B105" s="117" t="s">
        <v>39</v>
      </c>
      <c r="C105" s="154">
        <f>T_19!L22</f>
        <v>5</v>
      </c>
      <c r="D105" s="154">
        <f>T_19!M22</f>
        <v>3</v>
      </c>
      <c r="E105" s="154">
        <f>T_19!N22</f>
        <v>2</v>
      </c>
      <c r="F105" s="154">
        <f>T_19!O22</f>
        <v>3</v>
      </c>
      <c r="G105" s="154">
        <f>T_19!P22</f>
        <v>0</v>
      </c>
      <c r="H105" s="455">
        <f t="shared" si="13"/>
        <v>13</v>
      </c>
      <c r="I105" s="65"/>
      <c r="J105" s="245">
        <f t="shared" si="14"/>
        <v>38.461538461538467</v>
      </c>
      <c r="K105" s="245">
        <f t="shared" si="15"/>
        <v>23.076923076923077</v>
      </c>
      <c r="L105" s="245">
        <f t="shared" si="16"/>
        <v>15.384615384615385</v>
      </c>
      <c r="M105" s="245">
        <f t="shared" si="17"/>
        <v>23.076923076923077</v>
      </c>
      <c r="N105" s="245">
        <f t="shared" si="18"/>
        <v>0</v>
      </c>
      <c r="P105" s="193"/>
    </row>
    <row r="106" spans="1:16" x14ac:dyDescent="0.2">
      <c r="A106" t="s">
        <v>605</v>
      </c>
      <c r="B106" s="117" t="s">
        <v>40</v>
      </c>
      <c r="C106" s="154">
        <f>T_19!L23</f>
        <v>2</v>
      </c>
      <c r="D106" s="154">
        <f>T_19!M23</f>
        <v>1</v>
      </c>
      <c r="E106" s="154">
        <f>T_19!N23</f>
        <v>2</v>
      </c>
      <c r="F106" s="154">
        <f>T_19!O23</f>
        <v>2</v>
      </c>
      <c r="G106" s="154">
        <f>T_19!P23</f>
        <v>0</v>
      </c>
      <c r="H106" s="455">
        <f t="shared" si="13"/>
        <v>7</v>
      </c>
      <c r="I106" s="65"/>
      <c r="J106" s="245">
        <f t="shared" si="14"/>
        <v>28.571428571428569</v>
      </c>
      <c r="K106" s="245">
        <f t="shared" si="15"/>
        <v>14.285714285714285</v>
      </c>
      <c r="L106" s="245">
        <f t="shared" si="16"/>
        <v>28.571428571428569</v>
      </c>
      <c r="M106" s="245">
        <f t="shared" si="17"/>
        <v>28.571428571428569</v>
      </c>
      <c r="N106" s="245">
        <f t="shared" si="18"/>
        <v>0</v>
      </c>
      <c r="P106" s="193"/>
    </row>
    <row r="107" spans="1:16" x14ac:dyDescent="0.2">
      <c r="A107" t="s">
        <v>606</v>
      </c>
      <c r="B107" s="117" t="s">
        <v>295</v>
      </c>
      <c r="C107" s="154">
        <f>T_19!L24</f>
        <v>4</v>
      </c>
      <c r="D107" s="154">
        <f>T_19!M24</f>
        <v>0</v>
      </c>
      <c r="E107" s="154">
        <f>T_19!N24</f>
        <v>0</v>
      </c>
      <c r="F107" s="154">
        <f>T_19!O24</f>
        <v>0</v>
      </c>
      <c r="G107" s="154">
        <f>T_19!P24</f>
        <v>0</v>
      </c>
      <c r="H107" s="455">
        <f t="shared" si="13"/>
        <v>4</v>
      </c>
      <c r="I107" s="65"/>
      <c r="J107" s="245">
        <f t="shared" si="14"/>
        <v>100</v>
      </c>
      <c r="K107" s="245">
        <f t="shared" si="15"/>
        <v>0</v>
      </c>
      <c r="L107" s="245">
        <f t="shared" si="16"/>
        <v>0</v>
      </c>
      <c r="M107" s="245">
        <f t="shared" si="17"/>
        <v>0</v>
      </c>
      <c r="N107" s="245">
        <f t="shared" si="18"/>
        <v>0</v>
      </c>
      <c r="P107" s="193"/>
    </row>
    <row r="108" spans="1:16" x14ac:dyDescent="0.2">
      <c r="A108" t="s">
        <v>607</v>
      </c>
      <c r="B108" s="117" t="s">
        <v>41</v>
      </c>
      <c r="C108" s="154">
        <f>T_19!L25</f>
        <v>22</v>
      </c>
      <c r="D108" s="154">
        <f>T_19!M25</f>
        <v>7</v>
      </c>
      <c r="E108" s="154">
        <f>T_19!N25</f>
        <v>0</v>
      </c>
      <c r="F108" s="154">
        <f>T_19!O25</f>
        <v>10</v>
      </c>
      <c r="G108" s="154">
        <f>T_19!P25</f>
        <v>0</v>
      </c>
      <c r="H108" s="455">
        <f t="shared" si="13"/>
        <v>39</v>
      </c>
      <c r="I108" s="65"/>
      <c r="J108" s="245">
        <f t="shared" si="14"/>
        <v>56.410256410256409</v>
      </c>
      <c r="K108" s="245">
        <f t="shared" si="15"/>
        <v>17.948717948717949</v>
      </c>
      <c r="L108" s="245">
        <f t="shared" si="16"/>
        <v>0</v>
      </c>
      <c r="M108" s="245">
        <f t="shared" si="17"/>
        <v>25.641025641025639</v>
      </c>
      <c r="N108" s="245">
        <f t="shared" si="18"/>
        <v>0</v>
      </c>
      <c r="P108" s="193"/>
    </row>
    <row r="109" spans="1:16" x14ac:dyDescent="0.2">
      <c r="A109" t="s">
        <v>608</v>
      </c>
      <c r="B109" s="117" t="s">
        <v>42</v>
      </c>
      <c r="C109" s="154">
        <f>T_19!L26</f>
        <v>38</v>
      </c>
      <c r="D109" s="154">
        <f>T_19!M26</f>
        <v>14</v>
      </c>
      <c r="E109" s="154">
        <f>T_19!N26</f>
        <v>6</v>
      </c>
      <c r="F109" s="154">
        <f>T_19!O26</f>
        <v>15</v>
      </c>
      <c r="G109" s="154">
        <f>T_19!P26</f>
        <v>2</v>
      </c>
      <c r="H109" s="455">
        <f t="shared" si="13"/>
        <v>75</v>
      </c>
      <c r="I109" s="65"/>
      <c r="J109" s="245">
        <f t="shared" si="14"/>
        <v>50.666666666666671</v>
      </c>
      <c r="K109" s="245">
        <f t="shared" si="15"/>
        <v>18.666666666666668</v>
      </c>
      <c r="L109" s="245">
        <f t="shared" si="16"/>
        <v>8</v>
      </c>
      <c r="M109" s="245">
        <f t="shared" si="17"/>
        <v>20</v>
      </c>
      <c r="N109" s="245">
        <f t="shared" si="18"/>
        <v>2.666666666666667</v>
      </c>
      <c r="P109" s="193"/>
    </row>
    <row r="110" spans="1:16" x14ac:dyDescent="0.2">
      <c r="A110" t="s">
        <v>609</v>
      </c>
      <c r="B110" s="117" t="s">
        <v>43</v>
      </c>
      <c r="C110" s="154">
        <f>T_19!L27</f>
        <v>0</v>
      </c>
      <c r="D110" s="154">
        <f>T_19!M27</f>
        <v>0</v>
      </c>
      <c r="E110" s="154">
        <f>T_19!N27</f>
        <v>0</v>
      </c>
      <c r="F110" s="154">
        <f>T_19!O27</f>
        <v>0</v>
      </c>
      <c r="G110" s="154">
        <f>T_19!P27</f>
        <v>1</v>
      </c>
      <c r="H110" s="455">
        <f t="shared" si="13"/>
        <v>1</v>
      </c>
      <c r="I110" s="65"/>
      <c r="J110" s="245">
        <f t="shared" si="14"/>
        <v>0</v>
      </c>
      <c r="K110" s="245">
        <f t="shared" si="15"/>
        <v>0</v>
      </c>
      <c r="L110" s="245">
        <f t="shared" si="16"/>
        <v>0</v>
      </c>
      <c r="M110" s="245">
        <f t="shared" si="17"/>
        <v>0</v>
      </c>
      <c r="N110" s="245">
        <f t="shared" si="18"/>
        <v>100</v>
      </c>
      <c r="P110" s="193"/>
    </row>
    <row r="111" spans="1:16" x14ac:dyDescent="0.2">
      <c r="A111" t="s">
        <v>610</v>
      </c>
      <c r="B111" s="117" t="s">
        <v>44</v>
      </c>
      <c r="C111" s="154">
        <f>T_19!L28</f>
        <v>11</v>
      </c>
      <c r="D111" s="154">
        <f>T_19!M28</f>
        <v>2</v>
      </c>
      <c r="E111" s="154">
        <f>T_19!N28</f>
        <v>2</v>
      </c>
      <c r="F111" s="154">
        <f>T_19!O28</f>
        <v>10</v>
      </c>
      <c r="G111" s="154">
        <f>T_19!P28</f>
        <v>0</v>
      </c>
      <c r="H111" s="455">
        <f t="shared" si="13"/>
        <v>25</v>
      </c>
      <c r="I111" s="65"/>
      <c r="J111" s="245">
        <f t="shared" si="14"/>
        <v>44</v>
      </c>
      <c r="K111" s="245">
        <f t="shared" si="15"/>
        <v>8</v>
      </c>
      <c r="L111" s="245">
        <f t="shared" si="16"/>
        <v>8</v>
      </c>
      <c r="M111" s="245">
        <f t="shared" si="17"/>
        <v>40</v>
      </c>
      <c r="N111" s="245">
        <f t="shared" si="18"/>
        <v>0</v>
      </c>
      <c r="P111" s="193"/>
    </row>
    <row r="112" spans="1:16" x14ac:dyDescent="0.2">
      <c r="A112" t="s">
        <v>611</v>
      </c>
      <c r="B112" s="117" t="s">
        <v>45</v>
      </c>
      <c r="C112" s="154">
        <f>T_19!L29</f>
        <v>29</v>
      </c>
      <c r="D112" s="154">
        <f>T_19!M29</f>
        <v>1</v>
      </c>
      <c r="E112" s="154">
        <f>T_19!N29</f>
        <v>1</v>
      </c>
      <c r="F112" s="154">
        <f>T_19!O29</f>
        <v>3</v>
      </c>
      <c r="G112" s="154">
        <f>T_19!P29</f>
        <v>3</v>
      </c>
      <c r="H112" s="455">
        <f t="shared" si="13"/>
        <v>37</v>
      </c>
      <c r="I112" s="65"/>
      <c r="J112" s="245">
        <f t="shared" si="14"/>
        <v>78.378378378378372</v>
      </c>
      <c r="K112" s="245">
        <f t="shared" si="15"/>
        <v>2.7027027027027026</v>
      </c>
      <c r="L112" s="245">
        <f t="shared" si="16"/>
        <v>2.7027027027027026</v>
      </c>
      <c r="M112" s="245">
        <f t="shared" si="17"/>
        <v>8.1081081081081088</v>
      </c>
      <c r="N112" s="245">
        <f t="shared" si="18"/>
        <v>8.1081081081081088</v>
      </c>
      <c r="P112" s="193"/>
    </row>
    <row r="113" spans="1:16" x14ac:dyDescent="0.2">
      <c r="A113" t="s">
        <v>612</v>
      </c>
      <c r="B113" s="117" t="s">
        <v>46</v>
      </c>
      <c r="C113" s="154">
        <f>T_19!L30</f>
        <v>6</v>
      </c>
      <c r="D113" s="154">
        <f>T_19!M30</f>
        <v>0</v>
      </c>
      <c r="E113" s="154">
        <f>T_19!N30</f>
        <v>3</v>
      </c>
      <c r="F113" s="154">
        <f>T_19!O30</f>
        <v>2</v>
      </c>
      <c r="G113" s="154">
        <f>T_19!P30</f>
        <v>1</v>
      </c>
      <c r="H113" s="455">
        <f t="shared" si="13"/>
        <v>12</v>
      </c>
      <c r="I113" s="65"/>
      <c r="J113" s="245">
        <f t="shared" si="14"/>
        <v>50</v>
      </c>
      <c r="K113" s="245">
        <f t="shared" si="15"/>
        <v>0</v>
      </c>
      <c r="L113" s="245">
        <f t="shared" si="16"/>
        <v>25</v>
      </c>
      <c r="M113" s="245">
        <f t="shared" si="17"/>
        <v>16.666666666666664</v>
      </c>
      <c r="N113" s="245">
        <f t="shared" si="18"/>
        <v>8.3333333333333321</v>
      </c>
      <c r="P113" s="193"/>
    </row>
    <row r="114" spans="1:16" x14ac:dyDescent="0.2">
      <c r="A114" t="s">
        <v>613</v>
      </c>
      <c r="B114" s="117" t="s">
        <v>47</v>
      </c>
      <c r="C114" s="154">
        <f>T_19!L31</f>
        <v>2</v>
      </c>
      <c r="D114" s="154">
        <f>T_19!M31</f>
        <v>0</v>
      </c>
      <c r="E114" s="154">
        <f>T_19!N31</f>
        <v>0</v>
      </c>
      <c r="F114" s="154">
        <f>T_19!O31</f>
        <v>0</v>
      </c>
      <c r="G114" s="154">
        <f>T_19!P31</f>
        <v>0</v>
      </c>
      <c r="H114" s="455">
        <f t="shared" si="13"/>
        <v>2</v>
      </c>
      <c r="I114" s="65"/>
      <c r="J114" s="245">
        <f t="shared" si="14"/>
        <v>100</v>
      </c>
      <c r="K114" s="245">
        <f t="shared" si="15"/>
        <v>0</v>
      </c>
      <c r="L114" s="245">
        <f t="shared" si="16"/>
        <v>0</v>
      </c>
      <c r="M114" s="245">
        <f t="shared" si="17"/>
        <v>0</v>
      </c>
      <c r="N114" s="245">
        <f t="shared" si="18"/>
        <v>0</v>
      </c>
      <c r="P114" s="193"/>
    </row>
    <row r="115" spans="1:16" x14ac:dyDescent="0.2">
      <c r="A115" t="s">
        <v>614</v>
      </c>
      <c r="B115" s="117" t="s">
        <v>48</v>
      </c>
      <c r="C115" s="154">
        <f>T_19!L32</f>
        <v>14</v>
      </c>
      <c r="D115" s="154">
        <f>T_19!M32</f>
        <v>3</v>
      </c>
      <c r="E115" s="154">
        <f>T_19!N32</f>
        <v>0</v>
      </c>
      <c r="F115" s="154">
        <f>T_19!O32</f>
        <v>3</v>
      </c>
      <c r="G115" s="154">
        <f>T_19!P32</f>
        <v>0</v>
      </c>
      <c r="H115" s="455">
        <f t="shared" si="13"/>
        <v>20</v>
      </c>
      <c r="I115" s="65"/>
      <c r="J115" s="245">
        <f t="shared" si="14"/>
        <v>70</v>
      </c>
      <c r="K115" s="245">
        <f t="shared" si="15"/>
        <v>15</v>
      </c>
      <c r="L115" s="245">
        <f t="shared" si="16"/>
        <v>0</v>
      </c>
      <c r="M115" s="245">
        <f t="shared" si="17"/>
        <v>15</v>
      </c>
      <c r="N115" s="245">
        <f t="shared" si="18"/>
        <v>0</v>
      </c>
      <c r="P115" s="193"/>
    </row>
    <row r="116" spans="1:16" x14ac:dyDescent="0.2">
      <c r="A116" t="s">
        <v>615</v>
      </c>
      <c r="B116" s="117" t="s">
        <v>49</v>
      </c>
      <c r="C116" s="154">
        <f>T_19!L33</f>
        <v>26</v>
      </c>
      <c r="D116" s="154">
        <f>T_19!M33</f>
        <v>9</v>
      </c>
      <c r="E116" s="154">
        <f>T_19!N33</f>
        <v>3</v>
      </c>
      <c r="F116" s="154">
        <f>T_19!O33</f>
        <v>20</v>
      </c>
      <c r="G116" s="154">
        <f>T_19!P33</f>
        <v>1</v>
      </c>
      <c r="H116" s="455">
        <f t="shared" si="13"/>
        <v>59</v>
      </c>
      <c r="I116" s="65"/>
      <c r="J116" s="245">
        <f t="shared" si="14"/>
        <v>44.067796610169488</v>
      </c>
      <c r="K116" s="245">
        <f t="shared" si="15"/>
        <v>15.254237288135593</v>
      </c>
      <c r="L116" s="245">
        <f t="shared" si="16"/>
        <v>5.0847457627118651</v>
      </c>
      <c r="M116" s="245">
        <f t="shared" si="17"/>
        <v>33.898305084745758</v>
      </c>
      <c r="N116" s="245">
        <f t="shared" si="18"/>
        <v>1.6949152542372881</v>
      </c>
      <c r="P116" s="193"/>
    </row>
    <row r="117" spans="1:16" x14ac:dyDescent="0.2">
      <c r="A117" t="s">
        <v>616</v>
      </c>
      <c r="B117" s="117" t="s">
        <v>50</v>
      </c>
      <c r="C117" s="154">
        <f>T_19!L34</f>
        <v>6</v>
      </c>
      <c r="D117" s="154">
        <f>T_19!M34</f>
        <v>0</v>
      </c>
      <c r="E117" s="154">
        <f>T_19!N34</f>
        <v>1</v>
      </c>
      <c r="F117" s="154">
        <f>T_19!O34</f>
        <v>2</v>
      </c>
      <c r="G117" s="154">
        <f>T_19!P34</f>
        <v>0</v>
      </c>
      <c r="H117" s="455">
        <f t="shared" si="13"/>
        <v>9</v>
      </c>
      <c r="I117" s="65"/>
      <c r="J117" s="245">
        <f t="shared" si="14"/>
        <v>66.666666666666657</v>
      </c>
      <c r="K117" s="245">
        <f t="shared" si="15"/>
        <v>0</v>
      </c>
      <c r="L117" s="245">
        <f t="shared" si="16"/>
        <v>11.111111111111111</v>
      </c>
      <c r="M117" s="245">
        <f t="shared" si="17"/>
        <v>22.222222222222221</v>
      </c>
      <c r="N117" s="245">
        <f t="shared" si="18"/>
        <v>0</v>
      </c>
      <c r="P117" s="193"/>
    </row>
    <row r="118" spans="1:16" x14ac:dyDescent="0.2">
      <c r="A118" t="s">
        <v>617</v>
      </c>
      <c r="B118" s="117" t="s">
        <v>51</v>
      </c>
      <c r="C118" s="154">
        <f>T_19!L35</f>
        <v>17</v>
      </c>
      <c r="D118" s="154">
        <f>T_19!M35</f>
        <v>1</v>
      </c>
      <c r="E118" s="154">
        <f>T_19!N35</f>
        <v>1</v>
      </c>
      <c r="F118" s="154">
        <f>T_19!O35</f>
        <v>1</v>
      </c>
      <c r="G118" s="154">
        <f>T_19!P35</f>
        <v>1</v>
      </c>
      <c r="H118" s="455">
        <f t="shared" si="13"/>
        <v>21</v>
      </c>
      <c r="I118" s="65"/>
      <c r="J118" s="245">
        <f t="shared" si="14"/>
        <v>80.952380952380949</v>
      </c>
      <c r="K118" s="245">
        <f t="shared" si="15"/>
        <v>4.7619047619047619</v>
      </c>
      <c r="L118" s="245">
        <f t="shared" si="16"/>
        <v>4.7619047619047619</v>
      </c>
      <c r="M118" s="245">
        <f t="shared" si="17"/>
        <v>4.7619047619047619</v>
      </c>
      <c r="N118" s="245">
        <f t="shared" si="18"/>
        <v>4.7619047619047619</v>
      </c>
      <c r="P118" s="193"/>
    </row>
    <row r="119" spans="1:16" x14ac:dyDescent="0.2">
      <c r="A119" t="s">
        <v>618</v>
      </c>
      <c r="B119" s="117" t="s">
        <v>52</v>
      </c>
      <c r="C119" s="154">
        <f>T_19!L36</f>
        <v>15</v>
      </c>
      <c r="D119" s="154">
        <f>T_19!M36</f>
        <v>2</v>
      </c>
      <c r="E119" s="154">
        <f>T_19!N36</f>
        <v>0</v>
      </c>
      <c r="F119" s="154">
        <f>T_19!O36</f>
        <v>5</v>
      </c>
      <c r="G119" s="154">
        <f>T_19!P36</f>
        <v>5</v>
      </c>
      <c r="H119" s="455">
        <f t="shared" si="13"/>
        <v>27</v>
      </c>
      <c r="I119" s="65"/>
      <c r="J119" s="245">
        <f t="shared" si="14"/>
        <v>55.555555555555557</v>
      </c>
      <c r="K119" s="245">
        <f t="shared" si="15"/>
        <v>7.4074074074074066</v>
      </c>
      <c r="L119" s="245">
        <f t="shared" si="16"/>
        <v>0</v>
      </c>
      <c r="M119" s="245">
        <f t="shared" si="17"/>
        <v>18.518518518518519</v>
      </c>
      <c r="N119" s="245">
        <f t="shared" si="18"/>
        <v>18.518518518518519</v>
      </c>
      <c r="P119" s="193"/>
    </row>
    <row r="120" spans="1:16" x14ac:dyDescent="0.2">
      <c r="B120" s="117" t="str">
        <f>IF(T_09b!$A$37 = "Z_Not Known", "Not Known","")</f>
        <v/>
      </c>
      <c r="C120" s="544"/>
      <c r="D120" s="544"/>
      <c r="E120" s="544"/>
      <c r="F120" s="544"/>
      <c r="G120" s="164"/>
      <c r="H120" s="455"/>
      <c r="I120" s="65"/>
      <c r="J120" s="245"/>
      <c r="K120" s="245"/>
      <c r="L120" s="245"/>
      <c r="M120" s="245"/>
      <c r="N120" s="245"/>
      <c r="P120" s="193"/>
    </row>
    <row r="121" spans="1:16" ht="30" customHeight="1" thickBot="1" x14ac:dyDescent="0.25">
      <c r="A121" s="760" t="s">
        <v>620</v>
      </c>
      <c r="B121" s="761" t="s">
        <v>143</v>
      </c>
      <c r="C121" s="762">
        <f t="shared" ref="C121:H121" si="19">SUM(C88:C119)</f>
        <v>484</v>
      </c>
      <c r="D121" s="762">
        <f t="shared" si="19"/>
        <v>111</v>
      </c>
      <c r="E121" s="762">
        <f t="shared" si="19"/>
        <v>59</v>
      </c>
      <c r="F121" s="762">
        <f t="shared" si="19"/>
        <v>181</v>
      </c>
      <c r="G121" s="762">
        <f t="shared" si="19"/>
        <v>41</v>
      </c>
      <c r="H121" s="762">
        <f t="shared" si="19"/>
        <v>876</v>
      </c>
      <c r="I121" s="763"/>
      <c r="J121" s="764">
        <f>SUM((C121/H121)*100)</f>
        <v>55.25114155251142</v>
      </c>
      <c r="K121" s="764">
        <f>SUM((D121/H121)*100)</f>
        <v>12.671232876712329</v>
      </c>
      <c r="L121" s="764">
        <f>SUM((E121/H121)*100)</f>
        <v>6.7351598173515974</v>
      </c>
      <c r="M121" s="764">
        <f>SUM((F121/H121)*100)</f>
        <v>20.662100456621005</v>
      </c>
      <c r="N121" s="764">
        <f>SUM((G121/H121)*100)</f>
        <v>4.6803652968036529</v>
      </c>
      <c r="P121" s="193"/>
    </row>
    <row r="123" spans="1:16" x14ac:dyDescent="0.2">
      <c r="B123" s="438"/>
    </row>
    <row r="124" spans="1:16" x14ac:dyDescent="0.2">
      <c r="B124" s="1325"/>
      <c r="C124" s="1325"/>
      <c r="D124" s="1325"/>
      <c r="E124" s="1325"/>
      <c r="F124" s="1325"/>
      <c r="G124" s="1325"/>
      <c r="H124" s="1325"/>
      <c r="I124" s="1325"/>
      <c r="J124" s="1325"/>
      <c r="K124" s="1325"/>
      <c r="L124" s="1325"/>
    </row>
    <row r="126" spans="1:16" x14ac:dyDescent="0.2">
      <c r="B126" s="106"/>
    </row>
  </sheetData>
  <sheetProtection algorithmName="SHA-512" hashValue="fN06zqiwPf1dWFjjiG3oMV/cAOHQqiOuX5P9BOvEB2fXg12DVmAOkD9nxPQCXDThhUkdc2egsEEBzQmo9pQ7GQ==" saltValue="74k2VFfLqwWCSe+x8zdWjA==" spinCount="100000" sheet="1" scenarios="1" formatCells="0" formatColumns="0" formatRows="0" sort="0" autoFilter="0" pivotTables="0"/>
  <mergeCells count="10">
    <mergeCell ref="H86:H87"/>
    <mergeCell ref="J86:N86"/>
    <mergeCell ref="C86:G86"/>
    <mergeCell ref="B124:L124"/>
    <mergeCell ref="J8:N8"/>
    <mergeCell ref="H47:H48"/>
    <mergeCell ref="J47:N47"/>
    <mergeCell ref="C8:G8"/>
    <mergeCell ref="C47:G47"/>
    <mergeCell ref="H8:H9"/>
  </mergeCells>
  <hyperlinks>
    <hyperlink ref="A2" location="'Table of Contents'!A1" display="Back to Table of Contents" xr:uid="{00000000-0004-0000-3C00-000000000000}"/>
  </hyperlinks>
  <pageMargins left="0.70866141732283472" right="0.70866141732283472" top="0.74803149606299213" bottom="0.74803149606299213" header="0.31496062992125984" footer="0.31496062992125984"/>
  <pageSetup paperSize="9" scale="82" orientation="landscape" r:id="rId1"/>
  <rowBreaks count="1" manualBreakCount="1">
    <brk id="84" max="16383" man="1"/>
  </rowBreaks>
  <drawing r:id="rId2"/>
  <extLst>
    <ext xmlns:x14="http://schemas.microsoft.com/office/spreadsheetml/2009/9/main" uri="{A8765BA9-456A-4dab-B4F3-ACF838C121DE}">
      <x14:slicerList>
        <x14:slicer r:id="rId3"/>
      </x14:slicerList>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0">
    <tabColor rgb="FFFFAFF0"/>
    <pageSetUpPr fitToPage="1"/>
  </sheetPr>
  <dimension ref="A1:M42"/>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32.28515625" customWidth="1"/>
    <col min="2" max="12" width="11.140625" customWidth="1"/>
    <col min="13" max="13" width="10.28515625" customWidth="1"/>
  </cols>
  <sheetData>
    <row r="1" spans="1:13" ht="16.5" customHeight="1" x14ac:dyDescent="0.2">
      <c r="A1" s="298" t="s">
        <v>1129</v>
      </c>
    </row>
    <row r="2" spans="1:13" ht="16.5" customHeight="1" x14ac:dyDescent="0.2">
      <c r="A2" s="106" t="s">
        <v>578</v>
      </c>
    </row>
    <row r="3" spans="1:13" ht="38.25" customHeight="1" x14ac:dyDescent="0.2">
      <c r="A3" s="541" t="s">
        <v>1073</v>
      </c>
      <c r="B3" s="541"/>
      <c r="C3" s="541"/>
      <c r="D3" s="541"/>
      <c r="E3" s="541"/>
      <c r="F3" s="541"/>
      <c r="G3" s="541"/>
      <c r="H3" s="541"/>
      <c r="I3" s="1"/>
    </row>
    <row r="4" spans="1:13" ht="15.75" customHeight="1" x14ac:dyDescent="0.25">
      <c r="A4" s="351" t="s">
        <v>579</v>
      </c>
      <c r="B4" s="1043" t="s">
        <v>1311</v>
      </c>
      <c r="D4" s="374"/>
      <c r="E4" s="374"/>
      <c r="F4" s="374"/>
      <c r="G4" s="374"/>
      <c r="H4" s="374"/>
      <c r="I4" s="1"/>
    </row>
    <row r="5" spans="1:13" ht="15.75" customHeight="1" x14ac:dyDescent="0.25">
      <c r="A5" s="351" t="s">
        <v>580</v>
      </c>
      <c r="B5" s="351" t="s">
        <v>581</v>
      </c>
      <c r="C5" s="374"/>
      <c r="D5" s="374"/>
      <c r="E5" s="374"/>
      <c r="F5" s="374"/>
      <c r="G5" s="374"/>
      <c r="H5" s="374"/>
      <c r="I5" s="1"/>
    </row>
    <row r="6" spans="1:13" ht="15.75" customHeight="1" x14ac:dyDescent="0.25">
      <c r="A6" s="351" t="s">
        <v>582</v>
      </c>
      <c r="B6" s="351" t="s">
        <v>585</v>
      </c>
      <c r="C6" s="374"/>
      <c r="D6" s="374"/>
      <c r="E6" s="374"/>
      <c r="F6" s="374"/>
      <c r="G6" s="374"/>
      <c r="H6" s="374"/>
      <c r="I6" s="1"/>
    </row>
    <row r="7" spans="1:13" ht="15" x14ac:dyDescent="0.25">
      <c r="B7" s="1"/>
      <c r="C7" s="5"/>
      <c r="D7" s="1"/>
      <c r="E7" s="1"/>
      <c r="F7" s="80"/>
      <c r="H7" s="1"/>
      <c r="I7" s="1"/>
      <c r="L7" s="80"/>
      <c r="M7" s="80" t="s">
        <v>0</v>
      </c>
    </row>
    <row r="8" spans="1:13" ht="14.25" x14ac:dyDescent="0.2">
      <c r="B8" s="58"/>
      <c r="C8" s="58"/>
      <c r="D8" s="58"/>
      <c r="E8" s="58"/>
      <c r="F8" s="238"/>
      <c r="G8" s="238"/>
      <c r="H8" s="1"/>
      <c r="I8" s="1"/>
    </row>
    <row r="9" spans="1:13" ht="15" customHeight="1" thickBot="1" x14ac:dyDescent="0.25">
      <c r="A9" s="380" t="s">
        <v>190</v>
      </c>
      <c r="B9" s="1132" t="str">
        <f>T19b!B4</f>
        <v>2009-10</v>
      </c>
      <c r="C9" s="1132" t="str">
        <f>T19b!C4</f>
        <v>2010-11</v>
      </c>
      <c r="D9" s="1132" t="str">
        <f>T19b!D4</f>
        <v>2011-12</v>
      </c>
      <c r="E9" s="1132" t="str">
        <f>T19b!E4</f>
        <v>2012-13</v>
      </c>
      <c r="F9" s="1132" t="str">
        <f>T19b!F4</f>
        <v>2013-14</v>
      </c>
      <c r="G9" s="1132" t="str">
        <f>T19b!G4</f>
        <v>2014-15</v>
      </c>
      <c r="H9" s="1132" t="str">
        <f>T19b!H4</f>
        <v>2015-16</v>
      </c>
      <c r="I9" s="1132" t="str">
        <f>T19b!I4</f>
        <v>2016-17</v>
      </c>
      <c r="J9" s="1132" t="str">
        <f>T19b!J4</f>
        <v>2017-18</v>
      </c>
      <c r="K9" s="1132" t="str">
        <f>T19b!K4</f>
        <v>2018-19</v>
      </c>
      <c r="L9" s="1132" t="str">
        <f>T19b!L4</f>
        <v>2019-20</v>
      </c>
      <c r="M9" s="1132" t="str">
        <f>T19b!M4</f>
        <v>2020-21</v>
      </c>
    </row>
    <row r="10" spans="1:13" ht="18.75" customHeight="1" x14ac:dyDescent="0.2">
      <c r="A10" s="567" t="s">
        <v>191</v>
      </c>
      <c r="B10" s="12">
        <f>T19b!B5</f>
        <v>341</v>
      </c>
      <c r="C10" s="12">
        <f>T19b!C5</f>
        <v>352</v>
      </c>
      <c r="D10" s="12">
        <f>T19b!D5</f>
        <v>350</v>
      </c>
      <c r="E10" s="12">
        <f>T19b!E5</f>
        <v>360</v>
      </c>
      <c r="F10" s="12">
        <f>T19b!F5</f>
        <v>374</v>
      </c>
      <c r="G10" s="12">
        <f>T19b!G5</f>
        <v>377</v>
      </c>
      <c r="H10" s="12">
        <f>T19b!H5</f>
        <v>364</v>
      </c>
      <c r="I10" s="12">
        <f>T19b!I5</f>
        <v>353</v>
      </c>
      <c r="J10" s="12">
        <f>T19b!J5</f>
        <v>395</v>
      </c>
      <c r="K10" s="12">
        <f>T19b!K5</f>
        <v>315</v>
      </c>
      <c r="L10" s="12">
        <f>T19b!L5</f>
        <v>275</v>
      </c>
      <c r="M10" s="12">
        <f>T19b!M5</f>
        <v>307</v>
      </c>
    </row>
    <row r="11" spans="1:13" ht="13.5" customHeight="1" x14ac:dyDescent="0.2">
      <c r="A11" s="567" t="s">
        <v>192</v>
      </c>
      <c r="B11" s="12">
        <f>T19b!B6</f>
        <v>60</v>
      </c>
      <c r="C11" s="12">
        <f>T19b!C6</f>
        <v>57</v>
      </c>
      <c r="D11" s="12">
        <f>T19b!D6</f>
        <v>58</v>
      </c>
      <c r="E11" s="12">
        <f>T19b!E6</f>
        <v>77</v>
      </c>
      <c r="F11" s="12">
        <f>T19b!F6</f>
        <v>70</v>
      </c>
      <c r="G11" s="12">
        <f>T19b!G6</f>
        <v>69</v>
      </c>
      <c r="H11" s="12">
        <f>T19b!H6</f>
        <v>61</v>
      </c>
      <c r="I11" s="12">
        <f>T19b!I6</f>
        <v>56</v>
      </c>
      <c r="J11" s="12">
        <f>T19b!J6</f>
        <v>54</v>
      </c>
      <c r="K11" s="12">
        <f>T19b!K6</f>
        <v>51</v>
      </c>
      <c r="L11" s="12">
        <f>T19b!L6</f>
        <v>42</v>
      </c>
      <c r="M11" s="12">
        <f>T19b!M6</f>
        <v>47</v>
      </c>
    </row>
    <row r="12" spans="1:13" ht="13.5" customHeight="1" x14ac:dyDescent="0.2">
      <c r="A12" s="567" t="s">
        <v>193</v>
      </c>
      <c r="B12" s="12">
        <f>T19b!B7</f>
        <v>67</v>
      </c>
      <c r="C12" s="12">
        <f>T19b!C7</f>
        <v>68</v>
      </c>
      <c r="D12" s="12">
        <f>T19b!D7</f>
        <v>62</v>
      </c>
      <c r="E12" s="12">
        <f>T19b!E7</f>
        <v>68</v>
      </c>
      <c r="F12" s="12">
        <f>T19b!F7</f>
        <v>64</v>
      </c>
      <c r="G12" s="12">
        <f>T19b!G7</f>
        <v>50</v>
      </c>
      <c r="H12" s="12">
        <f>T19b!H7</f>
        <v>50</v>
      </c>
      <c r="I12" s="12">
        <f>T19b!I7</f>
        <v>30</v>
      </c>
      <c r="J12" s="12">
        <f>T19b!J7</f>
        <v>27</v>
      </c>
      <c r="K12" s="12">
        <f>T19b!K7</f>
        <v>26</v>
      </c>
      <c r="L12" s="12">
        <f>T19b!L7</f>
        <v>19</v>
      </c>
      <c r="M12" s="12">
        <f>T19b!M7</f>
        <v>18</v>
      </c>
    </row>
    <row r="13" spans="1:13" ht="13.5" customHeight="1" x14ac:dyDescent="0.2">
      <c r="A13" s="567" t="s">
        <v>194</v>
      </c>
      <c r="B13" s="12">
        <f>T19b!B8</f>
        <v>49</v>
      </c>
      <c r="C13" s="12">
        <f>T19b!C8</f>
        <v>53</v>
      </c>
      <c r="D13" s="12">
        <f>T19b!D8</f>
        <v>60</v>
      </c>
      <c r="E13" s="12">
        <f>T19b!E8</f>
        <v>68</v>
      </c>
      <c r="F13" s="12">
        <f>T19b!F8</f>
        <v>58</v>
      </c>
      <c r="G13" s="12">
        <f>T19b!G8</f>
        <v>88</v>
      </c>
      <c r="H13" s="12">
        <f>T19b!H8</f>
        <v>87</v>
      </c>
      <c r="I13" s="12">
        <f>T19b!I8</f>
        <v>59</v>
      </c>
      <c r="J13" s="12">
        <f>T19b!J8</f>
        <v>63</v>
      </c>
      <c r="K13" s="12">
        <f>T19b!K8</f>
        <v>68</v>
      </c>
      <c r="L13" s="12">
        <f>T19b!L8</f>
        <v>71</v>
      </c>
      <c r="M13" s="12">
        <f>T19b!M8</f>
        <v>62</v>
      </c>
    </row>
    <row r="14" spans="1:13" ht="13.5" customHeight="1" x14ac:dyDescent="0.2">
      <c r="A14" s="567" t="s">
        <v>195</v>
      </c>
      <c r="B14" s="12">
        <f>T19b!B9</f>
        <v>124</v>
      </c>
      <c r="C14" s="12">
        <f>T19b!C9</f>
        <v>90</v>
      </c>
      <c r="D14" s="12">
        <f>T19b!D9</f>
        <v>70</v>
      </c>
      <c r="E14" s="12">
        <f>T19b!E9</f>
        <v>74</v>
      </c>
      <c r="F14" s="12">
        <f>T19b!F9</f>
        <v>54</v>
      </c>
      <c r="G14" s="12">
        <f>T19b!G9</f>
        <v>60</v>
      </c>
      <c r="H14" s="12">
        <f>T19b!H9</f>
        <v>51</v>
      </c>
      <c r="I14" s="12">
        <f>T19b!I9</f>
        <v>33</v>
      </c>
      <c r="J14" s="12">
        <f>T19b!J9</f>
        <v>25</v>
      </c>
      <c r="K14" s="12">
        <f>T19b!K9</f>
        <v>21</v>
      </c>
      <c r="L14" s="12">
        <f>T19b!L9</f>
        <v>8</v>
      </c>
      <c r="M14" s="12">
        <f>T19b!M9</f>
        <v>9</v>
      </c>
    </row>
    <row r="15" spans="1:13" ht="13.5" customHeight="1" x14ac:dyDescent="0.2">
      <c r="A15" s="567" t="s">
        <v>196</v>
      </c>
      <c r="B15" s="12">
        <f>T19b!B10</f>
        <v>41</v>
      </c>
      <c r="C15" s="12">
        <f>T19b!C10</f>
        <v>46</v>
      </c>
      <c r="D15" s="12">
        <f>T19b!D10</f>
        <v>52</v>
      </c>
      <c r="E15" s="12">
        <f>T19b!E10</f>
        <v>40</v>
      </c>
      <c r="F15" s="12">
        <f>T19b!F10</f>
        <v>49</v>
      </c>
      <c r="G15" s="12">
        <f>T19b!G10</f>
        <v>39</v>
      </c>
      <c r="H15" s="12">
        <f>T19b!H10</f>
        <v>42</v>
      </c>
      <c r="I15" s="12">
        <f>T19b!I10</f>
        <v>24</v>
      </c>
      <c r="J15" s="12">
        <f>T19b!J10</f>
        <v>27</v>
      </c>
      <c r="K15" s="12">
        <f>T19b!K10</f>
        <v>29</v>
      </c>
      <c r="L15" s="12">
        <f>T19b!L10</f>
        <v>25</v>
      </c>
      <c r="M15" s="12">
        <f>T19b!M10</f>
        <v>17</v>
      </c>
    </row>
    <row r="16" spans="1:13" ht="13.5" customHeight="1" x14ac:dyDescent="0.2">
      <c r="A16" s="567" t="s">
        <v>72</v>
      </c>
      <c r="B16" s="12">
        <f>T19b!B11</f>
        <v>60</v>
      </c>
      <c r="C16" s="12">
        <f>T19b!C11</f>
        <v>63</v>
      </c>
      <c r="D16" s="12">
        <f>T19b!D11</f>
        <v>65</v>
      </c>
      <c r="E16" s="12">
        <f>T19b!E11</f>
        <v>47</v>
      </c>
      <c r="F16" s="12">
        <f>T19b!F11</f>
        <v>47</v>
      </c>
      <c r="G16" s="12">
        <f>T19b!G11</f>
        <v>48</v>
      </c>
      <c r="H16" s="12">
        <f>T19b!H11</f>
        <v>54</v>
      </c>
      <c r="I16" s="12">
        <f>T19b!I11</f>
        <v>49</v>
      </c>
      <c r="J16" s="12">
        <f>T19b!J11</f>
        <v>50</v>
      </c>
      <c r="K16" s="12">
        <f>T19b!K11</f>
        <v>35</v>
      </c>
      <c r="L16" s="12">
        <f>T19b!L11</f>
        <v>36</v>
      </c>
      <c r="M16" s="12">
        <f>T19b!M11</f>
        <v>44</v>
      </c>
    </row>
    <row r="17" spans="1:13" ht="13.5" customHeight="1" x14ac:dyDescent="0.2">
      <c r="A17" s="567" t="s">
        <v>197</v>
      </c>
      <c r="B17" s="12">
        <f>T19b!B12</f>
        <v>42</v>
      </c>
      <c r="C17" s="12">
        <f>T19b!C12</f>
        <v>50</v>
      </c>
      <c r="D17" s="12">
        <f>T19b!D12</f>
        <v>40</v>
      </c>
      <c r="E17" s="12">
        <f>T19b!E12</f>
        <v>38</v>
      </c>
      <c r="F17" s="12">
        <f>T19b!F12</f>
        <v>30</v>
      </c>
      <c r="G17" s="12">
        <f>T19b!G12</f>
        <v>35</v>
      </c>
      <c r="H17" s="12">
        <f>T19b!H12</f>
        <v>33</v>
      </c>
      <c r="I17" s="12">
        <f>T19b!I12</f>
        <v>27</v>
      </c>
      <c r="J17" s="12">
        <f>T19b!J12</f>
        <v>24</v>
      </c>
      <c r="K17" s="12">
        <f>T19b!K12</f>
        <v>35</v>
      </c>
      <c r="L17" s="12">
        <f>T19b!L12</f>
        <v>21</v>
      </c>
      <c r="M17" s="12">
        <f>T19b!M12</f>
        <v>15</v>
      </c>
    </row>
    <row r="18" spans="1:13" ht="13.5" customHeight="1" x14ac:dyDescent="0.2">
      <c r="A18" s="138" t="s">
        <v>183</v>
      </c>
      <c r="B18" s="12">
        <f>T19b!B13</f>
        <v>31</v>
      </c>
      <c r="C18" s="12">
        <f>T19b!C13</f>
        <v>24</v>
      </c>
      <c r="D18" s="12">
        <f>T19b!D13</f>
        <v>17</v>
      </c>
      <c r="E18" s="12">
        <f>T19b!E13</f>
        <v>17</v>
      </c>
      <c r="F18" s="12">
        <f>T19b!F13</f>
        <v>10</v>
      </c>
      <c r="G18" s="12">
        <f>T19b!G13</f>
        <v>16</v>
      </c>
      <c r="H18" s="12">
        <f>T19b!H13</f>
        <v>8</v>
      </c>
      <c r="I18" s="12">
        <f>T19b!I13</f>
        <v>15</v>
      </c>
      <c r="J18" s="12">
        <f>T19b!J13</f>
        <v>15</v>
      </c>
      <c r="K18" s="12">
        <f>T19b!K13</f>
        <v>7</v>
      </c>
      <c r="L18" s="12">
        <f>T19b!L13</f>
        <v>14</v>
      </c>
      <c r="M18" s="12">
        <f>T19b!M13</f>
        <v>14</v>
      </c>
    </row>
    <row r="19" spans="1:13" ht="13.5" customHeight="1" x14ac:dyDescent="0.2">
      <c r="A19" s="138" t="s">
        <v>198</v>
      </c>
      <c r="B19" s="12">
        <f>T19b!B14</f>
        <v>10</v>
      </c>
      <c r="C19" s="12">
        <f>T19b!C14</f>
        <v>3</v>
      </c>
      <c r="D19" s="12">
        <f>T19b!D14</f>
        <v>11</v>
      </c>
      <c r="E19" s="12">
        <f>T19b!E14</f>
        <v>4</v>
      </c>
      <c r="F19" s="12">
        <f>T19b!F14</f>
        <v>7</v>
      </c>
      <c r="G19" s="12">
        <f>T19b!G14</f>
        <v>7</v>
      </c>
      <c r="H19" s="12">
        <f>T19b!H14</f>
        <v>10</v>
      </c>
      <c r="I19" s="12">
        <f>T19b!I14</f>
        <v>13</v>
      </c>
      <c r="J19" s="12">
        <f>T19b!J14</f>
        <v>6</v>
      </c>
      <c r="K19" s="12">
        <f>T19b!K14</f>
        <v>6</v>
      </c>
      <c r="L19" s="12">
        <f>T19b!L14</f>
        <v>7</v>
      </c>
      <c r="M19" s="12">
        <f>T19b!M14</f>
        <v>5</v>
      </c>
    </row>
    <row r="20" spans="1:13" ht="13.5" customHeight="1" x14ac:dyDescent="0.2">
      <c r="A20" s="2" t="s">
        <v>199</v>
      </c>
      <c r="B20" s="12">
        <f>T19b!B15</f>
        <v>12</v>
      </c>
      <c r="C20" s="12">
        <f>T19b!C15</f>
        <v>10</v>
      </c>
      <c r="D20" s="12">
        <f>T19b!D15</f>
        <v>7</v>
      </c>
      <c r="E20" s="12">
        <f>T19b!E15</f>
        <v>11</v>
      </c>
      <c r="F20" s="12">
        <f>T19b!F15</f>
        <v>4</v>
      </c>
      <c r="G20" s="12">
        <f>T19b!G15</f>
        <v>5</v>
      </c>
      <c r="H20" s="12">
        <f>T19b!H15</f>
        <v>10</v>
      </c>
      <c r="I20" s="12">
        <f>T19b!I15</f>
        <v>7</v>
      </c>
      <c r="J20" s="12">
        <f>T19b!J15</f>
        <v>5</v>
      </c>
      <c r="K20" s="12">
        <f>T19b!K15</f>
        <v>5</v>
      </c>
      <c r="L20" s="12">
        <f>T19b!L15</f>
        <v>2</v>
      </c>
      <c r="M20" s="12">
        <f>T19b!M15</f>
        <v>2</v>
      </c>
    </row>
    <row r="21" spans="1:13" ht="13.5" customHeight="1" x14ac:dyDescent="0.2">
      <c r="A21" s="2" t="s">
        <v>200</v>
      </c>
      <c r="B21" s="12">
        <f>T19b!B16</f>
        <v>10</v>
      </c>
      <c r="C21" s="12">
        <f>T19b!C16</f>
        <v>7</v>
      </c>
      <c r="D21" s="12">
        <f>T19b!D16</f>
        <v>8</v>
      </c>
      <c r="E21" s="12">
        <f>T19b!E16</f>
        <v>2</v>
      </c>
      <c r="F21" s="12">
        <f>T19b!F16</f>
        <v>6</v>
      </c>
      <c r="G21" s="12">
        <f>T19b!G16</f>
        <v>5</v>
      </c>
      <c r="H21" s="12">
        <f>T19b!H16</f>
        <v>9</v>
      </c>
      <c r="I21" s="12">
        <f>T19b!I16</f>
        <v>6</v>
      </c>
      <c r="J21" s="12">
        <f>T19b!J16</f>
        <v>3</v>
      </c>
      <c r="K21" s="12">
        <f>T19b!K16</f>
        <v>3</v>
      </c>
      <c r="L21" s="12">
        <f>T19b!L16</f>
        <v>5</v>
      </c>
      <c r="M21" s="12">
        <f>T19b!M16</f>
        <v>1</v>
      </c>
    </row>
    <row r="22" spans="1:13" x14ac:dyDescent="0.2">
      <c r="A22" s="2"/>
      <c r="B22" s="243"/>
      <c r="C22" s="243"/>
      <c r="D22" s="1"/>
      <c r="E22" s="1"/>
      <c r="F22" s="1"/>
      <c r="G22" s="1"/>
    </row>
    <row r="23" spans="1:13" ht="30" customHeight="1" thickBot="1" x14ac:dyDescent="0.25">
      <c r="A23" s="479" t="s">
        <v>143</v>
      </c>
      <c r="B23" s="673">
        <f>SUM(B10:B21)</f>
        <v>847</v>
      </c>
      <c r="C23" s="673">
        <f t="shared" ref="C23:M23" si="0">SUM(C10:C21)</f>
        <v>823</v>
      </c>
      <c r="D23" s="673">
        <f t="shared" si="0"/>
        <v>800</v>
      </c>
      <c r="E23" s="673">
        <f t="shared" si="0"/>
        <v>806</v>
      </c>
      <c r="F23" s="673">
        <f t="shared" si="0"/>
        <v>773</v>
      </c>
      <c r="G23" s="673">
        <f t="shared" si="0"/>
        <v>799</v>
      </c>
      <c r="H23" s="673">
        <f t="shared" si="0"/>
        <v>779</v>
      </c>
      <c r="I23" s="673">
        <f t="shared" si="0"/>
        <v>672</v>
      </c>
      <c r="J23" s="673">
        <f t="shared" si="0"/>
        <v>694</v>
      </c>
      <c r="K23" s="673">
        <f t="shared" si="0"/>
        <v>601</v>
      </c>
      <c r="L23" s="673">
        <f t="shared" si="0"/>
        <v>525</v>
      </c>
      <c r="M23" s="673">
        <f t="shared" si="0"/>
        <v>541</v>
      </c>
    </row>
    <row r="24" spans="1:13" x14ac:dyDescent="0.2">
      <c r="A24" s="1"/>
      <c r="B24" s="1"/>
      <c r="C24" s="1"/>
      <c r="D24" s="1"/>
      <c r="E24" s="1"/>
      <c r="F24" s="1"/>
      <c r="G24" s="1"/>
      <c r="H24" s="1"/>
      <c r="I24" s="1"/>
    </row>
    <row r="25" spans="1:13" ht="14.25" x14ac:dyDescent="0.2">
      <c r="A25" s="1"/>
      <c r="B25" s="1"/>
      <c r="C25" s="5"/>
      <c r="D25" s="1"/>
      <c r="E25" s="1"/>
      <c r="F25" s="156"/>
      <c r="H25" s="1"/>
      <c r="I25" s="1"/>
      <c r="L25" s="156"/>
      <c r="M25" s="156" t="s">
        <v>62</v>
      </c>
    </row>
    <row r="26" spans="1:13" ht="14.25" x14ac:dyDescent="0.2">
      <c r="A26" s="1"/>
      <c r="B26" s="58"/>
      <c r="C26" s="58"/>
      <c r="D26" s="58"/>
      <c r="E26" s="58"/>
      <c r="F26" s="238"/>
      <c r="G26" s="238"/>
      <c r="H26" s="1"/>
      <c r="I26" s="1"/>
    </row>
    <row r="27" spans="1:13" x14ac:dyDescent="0.2">
      <c r="A27" s="29" t="s">
        <v>190</v>
      </c>
      <c r="B27" s="566" t="str">
        <f>B9</f>
        <v>2009-10</v>
      </c>
      <c r="C27" s="566" t="str">
        <f t="shared" ref="C27:K27" si="1">C9</f>
        <v>2010-11</v>
      </c>
      <c r="D27" s="566" t="str">
        <f t="shared" si="1"/>
        <v>2011-12</v>
      </c>
      <c r="E27" s="566" t="str">
        <f t="shared" si="1"/>
        <v>2012-13</v>
      </c>
      <c r="F27" s="566" t="str">
        <f t="shared" si="1"/>
        <v>2013-14</v>
      </c>
      <c r="G27" s="566" t="str">
        <f t="shared" si="1"/>
        <v>2014-15</v>
      </c>
      <c r="H27" s="566" t="str">
        <f t="shared" si="1"/>
        <v>2015-16</v>
      </c>
      <c r="I27" s="566" t="str">
        <f t="shared" si="1"/>
        <v>2016-17</v>
      </c>
      <c r="J27" s="566" t="str">
        <f t="shared" si="1"/>
        <v>2017-18</v>
      </c>
      <c r="K27" s="566" t="str">
        <f t="shared" si="1"/>
        <v>2018-19</v>
      </c>
      <c r="L27" s="566" t="str">
        <f t="shared" ref="L27:M27" si="2">L9</f>
        <v>2019-20</v>
      </c>
      <c r="M27" s="566" t="str">
        <f t="shared" si="2"/>
        <v>2020-21</v>
      </c>
    </row>
    <row r="28" spans="1:13" ht="18.75" customHeight="1" x14ac:dyDescent="0.2">
      <c r="A28" s="690" t="s">
        <v>191</v>
      </c>
      <c r="B28" s="776">
        <f t="shared" ref="B28:B39" si="3">B10/B$23*100</f>
        <v>40.259740259740262</v>
      </c>
      <c r="C28" s="776">
        <f t="shared" ref="C28:K28" si="4">C10/C$23*100</f>
        <v>42.770352369380319</v>
      </c>
      <c r="D28" s="776">
        <f>D10/D$23*100</f>
        <v>43.75</v>
      </c>
      <c r="E28" s="776">
        <f t="shared" si="4"/>
        <v>44.665012406947888</v>
      </c>
      <c r="F28" s="776">
        <f t="shared" si="4"/>
        <v>48.382923673997411</v>
      </c>
      <c r="G28" s="776">
        <f t="shared" si="4"/>
        <v>47.183979974968707</v>
      </c>
      <c r="H28" s="776">
        <f t="shared" si="4"/>
        <v>46.726572528883182</v>
      </c>
      <c r="I28" s="776">
        <f t="shared" si="4"/>
        <v>52.529761904761905</v>
      </c>
      <c r="J28" s="776">
        <f t="shared" si="4"/>
        <v>56.9164265129683</v>
      </c>
      <c r="K28" s="776">
        <f t="shared" si="4"/>
        <v>52.412645590682196</v>
      </c>
      <c r="L28" s="776">
        <f t="shared" ref="L28:M28" si="5">L10/L$23*100</f>
        <v>52.380952380952387</v>
      </c>
      <c r="M28" s="776">
        <f t="shared" si="5"/>
        <v>56.746765249537887</v>
      </c>
    </row>
    <row r="29" spans="1:13" ht="13.5" customHeight="1" x14ac:dyDescent="0.2">
      <c r="A29" s="567" t="s">
        <v>192</v>
      </c>
      <c r="B29" s="242">
        <f t="shared" si="3"/>
        <v>7.0838252656434477</v>
      </c>
      <c r="C29" s="242">
        <f t="shared" ref="C29:K29" si="6">C11/C$23*100</f>
        <v>6.9258809234507908</v>
      </c>
      <c r="D29" s="242">
        <f t="shared" si="6"/>
        <v>7.2499999999999991</v>
      </c>
      <c r="E29" s="242">
        <f t="shared" si="6"/>
        <v>9.5533498759305218</v>
      </c>
      <c r="F29" s="242">
        <f t="shared" si="6"/>
        <v>9.0556274256144889</v>
      </c>
      <c r="G29" s="242">
        <f t="shared" si="6"/>
        <v>8.6357947434292868</v>
      </c>
      <c r="H29" s="242">
        <f t="shared" si="6"/>
        <v>7.8305519897304237</v>
      </c>
      <c r="I29" s="242">
        <f t="shared" si="6"/>
        <v>8.3333333333333321</v>
      </c>
      <c r="J29" s="242">
        <f t="shared" si="6"/>
        <v>7.7809798270893378</v>
      </c>
      <c r="K29" s="242">
        <f t="shared" si="6"/>
        <v>8.4858569051580695</v>
      </c>
      <c r="L29" s="242">
        <f t="shared" ref="L29:M29" si="7">L11/L$23*100</f>
        <v>8</v>
      </c>
      <c r="M29" s="242">
        <f t="shared" si="7"/>
        <v>8.6876155268022188</v>
      </c>
    </row>
    <row r="30" spans="1:13" ht="13.5" customHeight="1" x14ac:dyDescent="0.2">
      <c r="A30" s="567" t="s">
        <v>193</v>
      </c>
      <c r="B30" s="242">
        <f t="shared" si="3"/>
        <v>7.9102715466351832</v>
      </c>
      <c r="C30" s="242">
        <f t="shared" ref="C30:K30" si="8">C12/C$23*100</f>
        <v>8.2624544349939253</v>
      </c>
      <c r="D30" s="242">
        <f t="shared" si="8"/>
        <v>7.75</v>
      </c>
      <c r="E30" s="242">
        <f t="shared" si="8"/>
        <v>8.4367245657568244</v>
      </c>
      <c r="F30" s="242">
        <f t="shared" si="8"/>
        <v>8.2794307891332473</v>
      </c>
      <c r="G30" s="242">
        <f t="shared" si="8"/>
        <v>6.2578222778473096</v>
      </c>
      <c r="H30" s="242">
        <f t="shared" si="8"/>
        <v>6.4184852374839538</v>
      </c>
      <c r="I30" s="242">
        <f t="shared" si="8"/>
        <v>4.4642857142857144</v>
      </c>
      <c r="J30" s="242">
        <f t="shared" si="8"/>
        <v>3.8904899135446689</v>
      </c>
      <c r="K30" s="242">
        <f t="shared" si="8"/>
        <v>4.3261231281198009</v>
      </c>
      <c r="L30" s="242">
        <f t="shared" ref="L30:M30" si="9">L12/L$23*100</f>
        <v>3.6190476190476191</v>
      </c>
      <c r="M30" s="242">
        <f t="shared" si="9"/>
        <v>3.3271719038817005</v>
      </c>
    </row>
    <row r="31" spans="1:13" ht="13.5" customHeight="1" x14ac:dyDescent="0.2">
      <c r="A31" s="567" t="s">
        <v>194</v>
      </c>
      <c r="B31" s="242">
        <f t="shared" si="3"/>
        <v>5.785123966942149</v>
      </c>
      <c r="C31" s="242">
        <f t="shared" ref="C31:K31" si="10">C13/C$23*100</f>
        <v>6.4398541919805581</v>
      </c>
      <c r="D31" s="242">
        <f t="shared" si="10"/>
        <v>7.5</v>
      </c>
      <c r="E31" s="242">
        <f t="shared" si="10"/>
        <v>8.4367245657568244</v>
      </c>
      <c r="F31" s="242">
        <f t="shared" si="10"/>
        <v>7.5032341526520057</v>
      </c>
      <c r="G31" s="242">
        <f t="shared" si="10"/>
        <v>11.013767209011265</v>
      </c>
      <c r="H31" s="242">
        <f t="shared" si="10"/>
        <v>11.16816431322208</v>
      </c>
      <c r="I31" s="242">
        <f t="shared" si="10"/>
        <v>8.7797619047619033</v>
      </c>
      <c r="J31" s="242">
        <f t="shared" si="10"/>
        <v>9.0778097982708932</v>
      </c>
      <c r="K31" s="242">
        <f t="shared" si="10"/>
        <v>11.314475873544092</v>
      </c>
      <c r="L31" s="242">
        <f t="shared" ref="L31:M31" si="11">L13/L$23*100</f>
        <v>13.523809523809524</v>
      </c>
      <c r="M31" s="242">
        <f t="shared" si="11"/>
        <v>11.460258780036968</v>
      </c>
    </row>
    <row r="32" spans="1:13" ht="13.5" customHeight="1" x14ac:dyDescent="0.2">
      <c r="A32" s="567" t="s">
        <v>195</v>
      </c>
      <c r="B32" s="242">
        <f t="shared" si="3"/>
        <v>14.639905548996456</v>
      </c>
      <c r="C32" s="242">
        <f t="shared" ref="C32:K32" si="12">C14/C$23*100</f>
        <v>10.935601458080194</v>
      </c>
      <c r="D32" s="242">
        <f t="shared" si="12"/>
        <v>8.75</v>
      </c>
      <c r="E32" s="242">
        <f t="shared" si="12"/>
        <v>9.1811414392059554</v>
      </c>
      <c r="F32" s="242">
        <f t="shared" si="12"/>
        <v>6.985769728331177</v>
      </c>
      <c r="G32" s="242">
        <f t="shared" si="12"/>
        <v>7.5093867334167719</v>
      </c>
      <c r="H32" s="242">
        <f t="shared" si="12"/>
        <v>6.5468549422336331</v>
      </c>
      <c r="I32" s="242">
        <f t="shared" si="12"/>
        <v>4.9107142857142856</v>
      </c>
      <c r="J32" s="242">
        <f t="shared" si="12"/>
        <v>3.6023054755043229</v>
      </c>
      <c r="K32" s="242">
        <f t="shared" si="12"/>
        <v>3.494176372712146</v>
      </c>
      <c r="L32" s="242">
        <f t="shared" ref="L32:M32" si="13">L14/L$23*100</f>
        <v>1.5238095238095237</v>
      </c>
      <c r="M32" s="242">
        <f t="shared" si="13"/>
        <v>1.6635859519408502</v>
      </c>
    </row>
    <row r="33" spans="1:13" ht="13.5" customHeight="1" x14ac:dyDescent="0.2">
      <c r="A33" s="567" t="s">
        <v>196</v>
      </c>
      <c r="B33" s="242">
        <f t="shared" si="3"/>
        <v>4.8406139315230226</v>
      </c>
      <c r="C33" s="242">
        <f t="shared" ref="C33:K33" si="14">C15/C$23*100</f>
        <v>5.5893074119076545</v>
      </c>
      <c r="D33" s="242">
        <f t="shared" si="14"/>
        <v>6.5</v>
      </c>
      <c r="E33" s="242">
        <f t="shared" si="14"/>
        <v>4.9627791563275441</v>
      </c>
      <c r="F33" s="242">
        <f t="shared" si="14"/>
        <v>6.3389391979301424</v>
      </c>
      <c r="G33" s="242">
        <f t="shared" si="14"/>
        <v>4.8811013767209008</v>
      </c>
      <c r="H33" s="242">
        <f t="shared" si="14"/>
        <v>5.3915275994865208</v>
      </c>
      <c r="I33" s="242">
        <f t="shared" si="14"/>
        <v>3.5714285714285712</v>
      </c>
      <c r="J33" s="242">
        <f t="shared" si="14"/>
        <v>3.8904899135446689</v>
      </c>
      <c r="K33" s="242">
        <f t="shared" si="14"/>
        <v>4.8252911813643928</v>
      </c>
      <c r="L33" s="242">
        <f t="shared" ref="L33:M33" si="15">L15/L$23*100</f>
        <v>4.7619047619047619</v>
      </c>
      <c r="M33" s="242">
        <f t="shared" si="15"/>
        <v>3.1423290203327174</v>
      </c>
    </row>
    <row r="34" spans="1:13" ht="13.5" customHeight="1" x14ac:dyDescent="0.2">
      <c r="A34" s="567" t="s">
        <v>72</v>
      </c>
      <c r="B34" s="242">
        <f t="shared" si="3"/>
        <v>7.0838252656434477</v>
      </c>
      <c r="C34" s="242">
        <f t="shared" ref="C34:K34" si="16">C16/C$23*100</f>
        <v>7.6549210206561362</v>
      </c>
      <c r="D34" s="242">
        <f t="shared" si="16"/>
        <v>8.125</v>
      </c>
      <c r="E34" s="242">
        <f t="shared" si="16"/>
        <v>5.8312655086848642</v>
      </c>
      <c r="F34" s="242">
        <f t="shared" si="16"/>
        <v>6.0802069857697285</v>
      </c>
      <c r="G34" s="242">
        <f t="shared" si="16"/>
        <v>6.0075093867334166</v>
      </c>
      <c r="H34" s="242">
        <f t="shared" si="16"/>
        <v>6.9319640564826699</v>
      </c>
      <c r="I34" s="242">
        <f t="shared" si="16"/>
        <v>7.291666666666667</v>
      </c>
      <c r="J34" s="242">
        <f t="shared" si="16"/>
        <v>7.2046109510086458</v>
      </c>
      <c r="K34" s="242">
        <f t="shared" si="16"/>
        <v>5.8236272878535766</v>
      </c>
      <c r="L34" s="242">
        <f t="shared" ref="L34:M34" si="17">L16/L$23*100</f>
        <v>6.8571428571428577</v>
      </c>
      <c r="M34" s="242">
        <f t="shared" si="17"/>
        <v>8.1330868761552679</v>
      </c>
    </row>
    <row r="35" spans="1:13" ht="13.5" customHeight="1" x14ac:dyDescent="0.2">
      <c r="A35" s="567" t="s">
        <v>197</v>
      </c>
      <c r="B35" s="242">
        <f t="shared" si="3"/>
        <v>4.9586776859504136</v>
      </c>
      <c r="C35" s="242">
        <f t="shared" ref="C35:K35" si="18">C17/C$23*100</f>
        <v>6.0753341433778854</v>
      </c>
      <c r="D35" s="242">
        <f t="shared" si="18"/>
        <v>5</v>
      </c>
      <c r="E35" s="242">
        <f t="shared" si="18"/>
        <v>4.7146401985111659</v>
      </c>
      <c r="F35" s="242">
        <f t="shared" si="18"/>
        <v>3.8809831824062093</v>
      </c>
      <c r="G35" s="242">
        <f t="shared" si="18"/>
        <v>4.3804755944931166</v>
      </c>
      <c r="H35" s="242">
        <f t="shared" si="18"/>
        <v>4.2362002567394095</v>
      </c>
      <c r="I35" s="242">
        <f t="shared" si="18"/>
        <v>4.0178571428571432</v>
      </c>
      <c r="J35" s="242">
        <f t="shared" si="18"/>
        <v>3.4582132564841501</v>
      </c>
      <c r="K35" s="242">
        <f t="shared" si="18"/>
        <v>5.8236272878535766</v>
      </c>
      <c r="L35" s="242">
        <f t="shared" ref="L35:M35" si="19">L17/L$23*100</f>
        <v>4</v>
      </c>
      <c r="M35" s="242">
        <f t="shared" si="19"/>
        <v>2.7726432532347505</v>
      </c>
    </row>
    <row r="36" spans="1:13" ht="13.5" customHeight="1" x14ac:dyDescent="0.2">
      <c r="A36" s="138" t="s">
        <v>183</v>
      </c>
      <c r="B36" s="242">
        <f t="shared" si="3"/>
        <v>3.659976387249114</v>
      </c>
      <c r="C36" s="242">
        <f t="shared" ref="C36:K36" si="20">C18/C$23*100</f>
        <v>2.916160388821385</v>
      </c>
      <c r="D36" s="242">
        <f t="shared" si="20"/>
        <v>2.125</v>
      </c>
      <c r="E36" s="242">
        <f t="shared" si="20"/>
        <v>2.1091811414392061</v>
      </c>
      <c r="F36" s="242">
        <f t="shared" si="20"/>
        <v>1.29366106080207</v>
      </c>
      <c r="G36" s="242">
        <f t="shared" si="20"/>
        <v>2.002503128911139</v>
      </c>
      <c r="H36" s="242">
        <f t="shared" si="20"/>
        <v>1.0269576379974326</v>
      </c>
      <c r="I36" s="242">
        <f t="shared" si="20"/>
        <v>2.2321428571428572</v>
      </c>
      <c r="J36" s="242">
        <f t="shared" si="20"/>
        <v>2.1613832853025938</v>
      </c>
      <c r="K36" s="242">
        <f t="shared" si="20"/>
        <v>1.1647254575707155</v>
      </c>
      <c r="L36" s="242">
        <f t="shared" ref="L36:M36" si="21">L18/L$23*100</f>
        <v>2.666666666666667</v>
      </c>
      <c r="M36" s="242">
        <f t="shared" si="21"/>
        <v>2.5878003696857674</v>
      </c>
    </row>
    <row r="37" spans="1:13" ht="13.5" customHeight="1" x14ac:dyDescent="0.2">
      <c r="A37" s="138" t="s">
        <v>198</v>
      </c>
      <c r="B37" s="242">
        <f t="shared" si="3"/>
        <v>1.1806375442739079</v>
      </c>
      <c r="C37" s="242">
        <f t="shared" ref="C37:K37" si="22">C19/C$23*100</f>
        <v>0.36452004860267312</v>
      </c>
      <c r="D37" s="242">
        <f t="shared" si="22"/>
        <v>1.375</v>
      </c>
      <c r="E37" s="242">
        <f t="shared" si="22"/>
        <v>0.49627791563275436</v>
      </c>
      <c r="F37" s="242">
        <f t="shared" si="22"/>
        <v>0.90556274256144886</v>
      </c>
      <c r="G37" s="242">
        <f t="shared" si="22"/>
        <v>0.87609511889862324</v>
      </c>
      <c r="H37" s="242">
        <f t="shared" si="22"/>
        <v>1.2836970474967908</v>
      </c>
      <c r="I37" s="242">
        <f t="shared" si="22"/>
        <v>1.9345238095238095</v>
      </c>
      <c r="J37" s="242">
        <f t="shared" si="22"/>
        <v>0.86455331412103753</v>
      </c>
      <c r="K37" s="242">
        <f t="shared" si="22"/>
        <v>0.99833610648918469</v>
      </c>
      <c r="L37" s="242">
        <f t="shared" ref="L37:M37" si="23">L19/L$23*100</f>
        <v>1.3333333333333335</v>
      </c>
      <c r="M37" s="242">
        <f t="shared" si="23"/>
        <v>0.92421441774491686</v>
      </c>
    </row>
    <row r="38" spans="1:13" ht="13.5" customHeight="1" x14ac:dyDescent="0.2">
      <c r="A38" s="2" t="s">
        <v>199</v>
      </c>
      <c r="B38" s="242">
        <f t="shared" si="3"/>
        <v>1.4167650531286895</v>
      </c>
      <c r="C38" s="242">
        <f t="shared" ref="C38:K38" si="24">C20/C$23*100</f>
        <v>1.2150668286755772</v>
      </c>
      <c r="D38" s="242">
        <f t="shared" si="24"/>
        <v>0.87500000000000011</v>
      </c>
      <c r="E38" s="242">
        <f t="shared" si="24"/>
        <v>1.3647642679900744</v>
      </c>
      <c r="F38" s="242">
        <f t="shared" si="24"/>
        <v>0.51746442432082795</v>
      </c>
      <c r="G38" s="242">
        <f t="shared" si="24"/>
        <v>0.62578222778473092</v>
      </c>
      <c r="H38" s="242">
        <f t="shared" si="24"/>
        <v>1.2836970474967908</v>
      </c>
      <c r="I38" s="242">
        <f t="shared" si="24"/>
        <v>1.0416666666666665</v>
      </c>
      <c r="J38" s="242">
        <f t="shared" si="24"/>
        <v>0.72046109510086453</v>
      </c>
      <c r="K38" s="242">
        <f t="shared" si="24"/>
        <v>0.83194675540765384</v>
      </c>
      <c r="L38" s="242">
        <f t="shared" ref="L38:M38" si="25">L20/L$23*100</f>
        <v>0.38095238095238093</v>
      </c>
      <c r="M38" s="242">
        <f t="shared" si="25"/>
        <v>0.36968576709796674</v>
      </c>
    </row>
    <row r="39" spans="1:13" ht="13.5" customHeight="1" x14ac:dyDescent="0.2">
      <c r="A39" s="2" t="s">
        <v>200</v>
      </c>
      <c r="B39" s="242">
        <f t="shared" si="3"/>
        <v>1.1806375442739079</v>
      </c>
      <c r="C39" s="242">
        <f t="shared" ref="C39:K39" si="26">C21/C$23*100</f>
        <v>0.85054678007290396</v>
      </c>
      <c r="D39" s="242">
        <f t="shared" si="26"/>
        <v>1</v>
      </c>
      <c r="E39" s="242">
        <f t="shared" si="26"/>
        <v>0.24813895781637718</v>
      </c>
      <c r="F39" s="242">
        <f t="shared" si="26"/>
        <v>0.77619663648124193</v>
      </c>
      <c r="G39" s="242">
        <f t="shared" si="26"/>
        <v>0.62578222778473092</v>
      </c>
      <c r="H39" s="242">
        <f t="shared" si="26"/>
        <v>1.1553273427471118</v>
      </c>
      <c r="I39" s="242">
        <f t="shared" si="26"/>
        <v>0.89285714285714279</v>
      </c>
      <c r="J39" s="242">
        <f t="shared" si="26"/>
        <v>0.43227665706051877</v>
      </c>
      <c r="K39" s="242">
        <f t="shared" si="26"/>
        <v>0.49916805324459235</v>
      </c>
      <c r="L39" s="242">
        <f t="shared" ref="L39:M39" si="27">L21/L$23*100</f>
        <v>0.95238095238095244</v>
      </c>
      <c r="M39" s="242">
        <f t="shared" si="27"/>
        <v>0.18484288354898337</v>
      </c>
    </row>
    <row r="40" spans="1:13" x14ac:dyDescent="0.2">
      <c r="A40" s="2"/>
      <c r="B40" s="243"/>
      <c r="C40" s="243"/>
      <c r="D40" s="243"/>
      <c r="E40" s="243"/>
      <c r="F40" s="243"/>
      <c r="G40" s="243"/>
      <c r="H40" s="243"/>
      <c r="I40" s="243"/>
      <c r="J40" s="243"/>
      <c r="K40" s="243"/>
      <c r="L40" s="243"/>
      <c r="M40" s="243"/>
    </row>
    <row r="41" spans="1:13" ht="30" customHeight="1" thickBot="1" x14ac:dyDescent="0.25">
      <c r="A41" s="479" t="s">
        <v>143</v>
      </c>
      <c r="B41" s="777">
        <f>SUM(B28:B39)</f>
        <v>100.00000000000001</v>
      </c>
      <c r="C41" s="777">
        <f t="shared" ref="C41:K41" si="28">SUM(C28:C39)</f>
        <v>100</v>
      </c>
      <c r="D41" s="777">
        <f t="shared" si="28"/>
        <v>100</v>
      </c>
      <c r="E41" s="777">
        <f t="shared" si="28"/>
        <v>100</v>
      </c>
      <c r="F41" s="777">
        <f t="shared" si="28"/>
        <v>100.00000000000001</v>
      </c>
      <c r="G41" s="777">
        <f t="shared" si="28"/>
        <v>100</v>
      </c>
      <c r="H41" s="777">
        <f t="shared" si="28"/>
        <v>100</v>
      </c>
      <c r="I41" s="777">
        <f t="shared" si="28"/>
        <v>100</v>
      </c>
      <c r="J41" s="777">
        <f t="shared" si="28"/>
        <v>99.999999999999986</v>
      </c>
      <c r="K41" s="777">
        <f t="shared" si="28"/>
        <v>100.00000000000001</v>
      </c>
      <c r="L41" s="777">
        <f t="shared" ref="L41:M41" si="29">SUM(L28:L39)</f>
        <v>99.999999999999986</v>
      </c>
      <c r="M41" s="777">
        <f t="shared" si="29"/>
        <v>99.999999999999986</v>
      </c>
    </row>
    <row r="42" spans="1:13" x14ac:dyDescent="0.2">
      <c r="A42" s="1"/>
      <c r="B42" s="1"/>
      <c r="C42" s="1"/>
      <c r="D42" s="1"/>
      <c r="E42" s="1"/>
      <c r="F42" s="1"/>
      <c r="G42" s="1"/>
    </row>
  </sheetData>
  <sheetProtection algorithmName="SHA-512" hashValue="nMl436XouMuFBhBNkcf8jBxTcxri8Dmo1sudEvE0Z4Y4qtnzuLc+FEcQUiladCb1c5iCCaZZQK7j9bXXZn8+tw==" saltValue="b6yj/t2dReF8WoG39q3ZrQ==" spinCount="100000" sheet="1" scenarios="1" formatCells="0" formatColumns="0" formatRows="0" sort="0" autoFilter="0" pivotTables="0"/>
  <hyperlinks>
    <hyperlink ref="A2" location="'Table of Contents'!A1" display="Back to Table of Contents" xr:uid="{00000000-0004-0000-3D00-000000000000}"/>
  </hyperlinks>
  <pageMargins left="0.7" right="0.7" top="0.75" bottom="0.75" header="0.3" footer="0.3"/>
  <pageSetup paperSize="9" scale="85" orientation="portrait" r:id="rId1"/>
  <colBreaks count="1" manualBreakCount="1">
    <brk id="8"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1">
    <tabColor rgb="FFFFAFF0"/>
    <pageSetUpPr fitToPage="1"/>
  </sheetPr>
  <dimension ref="A1:Y100"/>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30.140625" customWidth="1"/>
    <col min="2" max="2" width="41" customWidth="1"/>
    <col min="3" max="3" width="10.5703125" customWidth="1"/>
    <col min="4" max="15" width="9.85546875" customWidth="1"/>
    <col min="16" max="16" width="5.42578125" customWidth="1"/>
    <col min="17" max="17" width="15.42578125" customWidth="1"/>
    <col min="19" max="19" width="27.28515625" style="92" bestFit="1" customWidth="1"/>
    <col min="20" max="20" width="9.140625" style="92"/>
  </cols>
  <sheetData>
    <row r="1" spans="1:19" ht="15.75" customHeight="1" x14ac:dyDescent="0.2">
      <c r="A1" s="298" t="s">
        <v>1129</v>
      </c>
      <c r="B1" s="298"/>
    </row>
    <row r="2" spans="1:19" ht="15.75" customHeight="1" x14ac:dyDescent="0.2">
      <c r="A2" s="106" t="s">
        <v>578</v>
      </c>
      <c r="B2" s="106"/>
    </row>
    <row r="3" spans="1:19" ht="38.25" customHeight="1" x14ac:dyDescent="0.2">
      <c r="A3" s="120" t="s">
        <v>303</v>
      </c>
      <c r="B3" s="120"/>
      <c r="C3" s="120"/>
      <c r="D3" s="120"/>
      <c r="E3" s="120"/>
      <c r="F3" s="120"/>
      <c r="G3" s="120"/>
      <c r="H3" s="120"/>
      <c r="I3" s="120"/>
      <c r="J3" s="120"/>
    </row>
    <row r="4" spans="1:19" ht="15.75" customHeight="1" x14ac:dyDescent="0.25">
      <c r="A4" s="351" t="s">
        <v>579</v>
      </c>
      <c r="B4" s="1043" t="s">
        <v>1312</v>
      </c>
      <c r="E4" s="129"/>
      <c r="F4" s="129"/>
      <c r="G4" s="129"/>
      <c r="H4" s="129"/>
      <c r="I4" s="129"/>
      <c r="J4" s="129"/>
    </row>
    <row r="5" spans="1:19" ht="15.75" customHeight="1" x14ac:dyDescent="0.25">
      <c r="A5" s="351" t="s">
        <v>580</v>
      </c>
      <c r="B5" s="351" t="s">
        <v>581</v>
      </c>
      <c r="D5" s="129"/>
      <c r="E5" s="129"/>
      <c r="F5" s="129"/>
      <c r="G5" s="129"/>
      <c r="H5" s="129"/>
      <c r="I5" s="129"/>
      <c r="J5" s="129"/>
    </row>
    <row r="6" spans="1:19" ht="15.75" customHeight="1" x14ac:dyDescent="0.25">
      <c r="A6" s="351" t="s">
        <v>582</v>
      </c>
      <c r="B6" s="351" t="s">
        <v>585</v>
      </c>
      <c r="D6" s="129"/>
      <c r="E6" s="129"/>
      <c r="F6" s="129"/>
      <c r="G6" s="129"/>
      <c r="H6" s="129"/>
      <c r="I6" s="129"/>
      <c r="J6" s="129"/>
    </row>
    <row r="7" spans="1:19" ht="15.75" customHeight="1" x14ac:dyDescent="0.25">
      <c r="A7" s="351"/>
      <c r="B7" s="351"/>
      <c r="C7" s="351"/>
      <c r="D7" s="129"/>
      <c r="E7" s="129"/>
      <c r="F7" s="129"/>
      <c r="G7" s="129"/>
      <c r="H7" s="129"/>
      <c r="I7" s="129"/>
      <c r="J7" s="129"/>
    </row>
    <row r="8" spans="1:19" ht="15.75" customHeight="1" x14ac:dyDescent="0.25">
      <c r="A8" s="871" t="s">
        <v>1101</v>
      </c>
      <c r="B8" s="351"/>
      <c r="C8" s="351"/>
      <c r="D8" s="129"/>
      <c r="E8" s="129"/>
      <c r="F8" s="129"/>
      <c r="G8" s="129"/>
      <c r="H8" s="129"/>
      <c r="I8" s="129"/>
      <c r="J8" s="129"/>
    </row>
    <row r="9" spans="1:19" ht="15.75" customHeight="1" x14ac:dyDescent="0.25">
      <c r="A9" s="351"/>
      <c r="B9" s="351"/>
      <c r="C9" s="129"/>
      <c r="D9" s="129"/>
      <c r="E9" s="129"/>
      <c r="F9" s="129"/>
      <c r="G9" s="129"/>
      <c r="H9" s="129"/>
      <c r="I9" s="129"/>
      <c r="L9" s="117"/>
      <c r="M9" s="117" t="s">
        <v>0</v>
      </c>
      <c r="N9" s="117"/>
      <c r="O9" s="117" t="s">
        <v>62</v>
      </c>
      <c r="P9" s="117"/>
      <c r="Q9" s="117" t="s">
        <v>0</v>
      </c>
      <c r="R9" s="600" t="s">
        <v>62</v>
      </c>
      <c r="S9"/>
    </row>
    <row r="10" spans="1:19" ht="14.25" customHeight="1" x14ac:dyDescent="0.2">
      <c r="A10" s="2" t="s">
        <v>299</v>
      </c>
      <c r="B10" s="566" t="str">
        <f>C35</f>
        <v>2009-10</v>
      </c>
      <c r="C10" s="566" t="str">
        <f t="shared" ref="C10:K10" si="0">D35</f>
        <v>2010-11</v>
      </c>
      <c r="D10" s="566" t="str">
        <f t="shared" si="0"/>
        <v>2011-12</v>
      </c>
      <c r="E10" s="566" t="str">
        <f t="shared" si="0"/>
        <v>2012-13</v>
      </c>
      <c r="F10" s="566" t="str">
        <f t="shared" si="0"/>
        <v>2013-14</v>
      </c>
      <c r="G10" s="566" t="str">
        <f t="shared" si="0"/>
        <v>2014-15</v>
      </c>
      <c r="H10" s="566" t="str">
        <f t="shared" si="0"/>
        <v>2015-16</v>
      </c>
      <c r="I10" s="566" t="str">
        <f t="shared" si="0"/>
        <v>2016-17</v>
      </c>
      <c r="J10" s="566" t="str">
        <f t="shared" si="0"/>
        <v>2017-18</v>
      </c>
      <c r="K10" s="566" t="str">
        <f t="shared" si="0"/>
        <v>2018-19</v>
      </c>
      <c r="L10" s="566" t="str">
        <f>M35</f>
        <v>2019-20</v>
      </c>
      <c r="M10" s="566" t="str">
        <f>N35</f>
        <v>2020-21</v>
      </c>
      <c r="N10" s="566"/>
      <c r="O10" s="358" t="str">
        <f>M10</f>
        <v>2020-21</v>
      </c>
      <c r="Q10" s="117" t="s">
        <v>829</v>
      </c>
      <c r="R10" s="92"/>
      <c r="S10"/>
    </row>
    <row r="11" spans="1:19" ht="14.25" customHeight="1" x14ac:dyDescent="0.2">
      <c r="A11" s="778" t="s">
        <v>309</v>
      </c>
      <c r="B11" s="240">
        <f t="shared" ref="B11:K11" si="1">C36</f>
        <v>49</v>
      </c>
      <c r="C11" s="240">
        <f t="shared" si="1"/>
        <v>26</v>
      </c>
      <c r="D11" s="240">
        <f t="shared" si="1"/>
        <v>33</v>
      </c>
      <c r="E11" s="240">
        <f t="shared" si="1"/>
        <v>49</v>
      </c>
      <c r="F11" s="240">
        <f t="shared" si="1"/>
        <v>34</v>
      </c>
      <c r="G11" s="240">
        <f t="shared" si="1"/>
        <v>40</v>
      </c>
      <c r="H11" s="240">
        <f t="shared" si="1"/>
        <v>33</v>
      </c>
      <c r="I11" s="240">
        <f t="shared" si="1"/>
        <v>25</v>
      </c>
      <c r="J11" s="240">
        <f t="shared" si="1"/>
        <v>23</v>
      </c>
      <c r="K11" s="240">
        <f t="shared" si="1"/>
        <v>28</v>
      </c>
      <c r="L11" s="240">
        <f>M36</f>
        <v>21</v>
      </c>
      <c r="M11" s="240">
        <f>N36</f>
        <v>29</v>
      </c>
      <c r="N11" s="240"/>
      <c r="O11" s="1172">
        <f>M11/$M$30</f>
        <v>7.0031393383240765E-3</v>
      </c>
      <c r="P11" s="404"/>
      <c r="Q11" s="240">
        <f>AVERAGE(D11:M11)</f>
        <v>31.5</v>
      </c>
      <c r="R11" s="1171">
        <f>Q11/$Q$30</f>
        <v>6.6145898954264835E-3</v>
      </c>
      <c r="S11"/>
    </row>
    <row r="12" spans="1:19" ht="14.25" customHeight="1" x14ac:dyDescent="0.2">
      <c r="A12" s="542" t="s">
        <v>687</v>
      </c>
      <c r="B12" s="193">
        <f t="shared" ref="B12:K12" si="2">SUM(C37:C43)</f>
        <v>3230</v>
      </c>
      <c r="C12" s="193">
        <f t="shared" si="2"/>
        <v>3115</v>
      </c>
      <c r="D12" s="193">
        <f t="shared" si="2"/>
        <v>3143</v>
      </c>
      <c r="E12" s="193">
        <f t="shared" si="2"/>
        <v>3039</v>
      </c>
      <c r="F12" s="193">
        <f t="shared" si="2"/>
        <v>2838</v>
      </c>
      <c r="G12" s="193">
        <f t="shared" si="2"/>
        <v>3059</v>
      </c>
      <c r="H12" s="193">
        <f t="shared" si="2"/>
        <v>3213</v>
      </c>
      <c r="I12" s="193">
        <f t="shared" si="2"/>
        <v>3133</v>
      </c>
      <c r="J12" s="193">
        <f t="shared" si="2"/>
        <v>2954</v>
      </c>
      <c r="K12" s="193">
        <f t="shared" si="2"/>
        <v>2899</v>
      </c>
      <c r="L12" s="193">
        <f>SUM(M37:M43)</f>
        <v>2668</v>
      </c>
      <c r="M12" s="193">
        <f>SUM(N37:N43)</f>
        <v>2521</v>
      </c>
      <c r="N12" s="193"/>
      <c r="O12" s="1172">
        <f>M12/$M$30</f>
        <v>0.60879014730741365</v>
      </c>
      <c r="Q12" s="193">
        <f t="shared" ref="Q12:Q30" si="3">AVERAGE(D12:M12)</f>
        <v>2946.7</v>
      </c>
      <c r="R12" s="1172">
        <f>Q12/$Q$30</f>
        <v>0.6187686363445466</v>
      </c>
      <c r="S12"/>
    </row>
    <row r="13" spans="1:19" ht="14.25" customHeight="1" x14ac:dyDescent="0.2">
      <c r="A13" s="542" t="s">
        <v>696</v>
      </c>
      <c r="B13" s="193">
        <f t="shared" ref="B13:K13" si="4">SUM(C44:C45)</f>
        <v>405</v>
      </c>
      <c r="C13" s="193">
        <f t="shared" si="4"/>
        <v>404</v>
      </c>
      <c r="D13" s="193">
        <f t="shared" si="4"/>
        <v>399</v>
      </c>
      <c r="E13" s="193">
        <f t="shared" si="4"/>
        <v>378</v>
      </c>
      <c r="F13" s="193">
        <f t="shared" si="4"/>
        <v>349</v>
      </c>
      <c r="G13" s="193">
        <f t="shared" si="4"/>
        <v>362</v>
      </c>
      <c r="H13" s="193">
        <f t="shared" si="4"/>
        <v>329</v>
      </c>
      <c r="I13" s="193">
        <f t="shared" si="4"/>
        <v>345</v>
      </c>
      <c r="J13" s="193">
        <f t="shared" si="4"/>
        <v>358</v>
      </c>
      <c r="K13" s="193">
        <f t="shared" si="4"/>
        <v>312</v>
      </c>
      <c r="L13" s="193">
        <f>SUM(M44:M45)</f>
        <v>304</v>
      </c>
      <c r="M13" s="193">
        <f>SUM(N44:N45)</f>
        <v>265</v>
      </c>
      <c r="N13" s="193"/>
      <c r="O13" s="1172">
        <f t="shared" ref="O13:O30" si="5">M13/$M$30</f>
        <v>6.399420429847863E-2</v>
      </c>
      <c r="Q13" s="193">
        <f t="shared" si="3"/>
        <v>340.1</v>
      </c>
      <c r="R13" s="1172">
        <f>Q13/$Q$30</f>
        <v>7.1416572172525311E-2</v>
      </c>
      <c r="S13"/>
    </row>
    <row r="14" spans="1:19" ht="14.25" customHeight="1" x14ac:dyDescent="0.2">
      <c r="A14" s="542" t="s">
        <v>202</v>
      </c>
      <c r="B14" s="193">
        <f t="shared" ref="B14:K14" si="6">C46</f>
        <v>52</v>
      </c>
      <c r="C14" s="193">
        <f t="shared" si="6"/>
        <v>37</v>
      </c>
      <c r="D14" s="193">
        <f t="shared" si="6"/>
        <v>42</v>
      </c>
      <c r="E14" s="193">
        <f t="shared" si="6"/>
        <v>32</v>
      </c>
      <c r="F14" s="193">
        <f t="shared" si="6"/>
        <v>27</v>
      </c>
      <c r="G14" s="193">
        <f t="shared" si="6"/>
        <v>27</v>
      </c>
      <c r="H14" s="193">
        <f t="shared" si="6"/>
        <v>37</v>
      </c>
      <c r="I14" s="193">
        <f t="shared" si="6"/>
        <v>20</v>
      </c>
      <c r="J14" s="193">
        <f t="shared" si="6"/>
        <v>33</v>
      </c>
      <c r="K14" s="193">
        <f t="shared" si="6"/>
        <v>23</v>
      </c>
      <c r="L14" s="193">
        <f t="shared" ref="L14:M17" si="7">M46</f>
        <v>24</v>
      </c>
      <c r="M14" s="193">
        <f t="shared" si="7"/>
        <v>22</v>
      </c>
      <c r="N14" s="193"/>
      <c r="O14" s="1172">
        <f t="shared" si="5"/>
        <v>5.312726394590679E-3</v>
      </c>
      <c r="Q14" s="193">
        <f t="shared" si="3"/>
        <v>28.7</v>
      </c>
      <c r="R14" s="1172">
        <f t="shared" ref="R14:R28" si="8">Q14/$Q$30</f>
        <v>6.0266263491663514E-3</v>
      </c>
      <c r="S14"/>
    </row>
    <row r="15" spans="1:19" ht="14.25" customHeight="1" x14ac:dyDescent="0.2">
      <c r="A15" s="542" t="s">
        <v>203</v>
      </c>
      <c r="B15" s="193">
        <f t="shared" ref="B15:K15" si="9">C47</f>
        <v>112</v>
      </c>
      <c r="C15" s="193">
        <f t="shared" si="9"/>
        <v>128</v>
      </c>
      <c r="D15" s="193">
        <f t="shared" si="9"/>
        <v>108</v>
      </c>
      <c r="E15" s="193">
        <f t="shared" si="9"/>
        <v>108</v>
      </c>
      <c r="F15" s="193">
        <f t="shared" si="9"/>
        <v>99</v>
      </c>
      <c r="G15" s="193">
        <f t="shared" si="9"/>
        <v>125</v>
      </c>
      <c r="H15" s="193">
        <f t="shared" si="9"/>
        <v>109</v>
      </c>
      <c r="I15" s="193">
        <f t="shared" si="9"/>
        <v>104</v>
      </c>
      <c r="J15" s="193">
        <f t="shared" si="9"/>
        <v>84</v>
      </c>
      <c r="K15" s="193">
        <f t="shared" si="9"/>
        <v>97</v>
      </c>
      <c r="L15" s="193">
        <f t="shared" si="7"/>
        <v>95</v>
      </c>
      <c r="M15" s="193">
        <f t="shared" si="7"/>
        <v>92</v>
      </c>
      <c r="N15" s="193"/>
      <c r="O15" s="1172">
        <f t="shared" si="5"/>
        <v>2.2216855831924655E-2</v>
      </c>
      <c r="Q15" s="193">
        <f t="shared" si="3"/>
        <v>102.1</v>
      </c>
      <c r="R15" s="1172">
        <f t="shared" si="8"/>
        <v>2.1439670740414096E-2</v>
      </c>
      <c r="S15"/>
    </row>
    <row r="16" spans="1:19" ht="14.25" customHeight="1" x14ac:dyDescent="0.2">
      <c r="A16" s="542" t="s">
        <v>204</v>
      </c>
      <c r="B16" s="193">
        <f t="shared" ref="B16:K16" si="10">C48</f>
        <v>10</v>
      </c>
      <c r="C16" s="193">
        <f t="shared" si="10"/>
        <v>9</v>
      </c>
      <c r="D16" s="193">
        <f t="shared" si="10"/>
        <v>10</v>
      </c>
      <c r="E16" s="193">
        <f t="shared" si="10"/>
        <v>13</v>
      </c>
      <c r="F16" s="193">
        <f t="shared" si="10"/>
        <v>11</v>
      </c>
      <c r="G16" s="193">
        <f t="shared" si="10"/>
        <v>8</v>
      </c>
      <c r="H16" s="193">
        <f t="shared" si="10"/>
        <v>14</v>
      </c>
      <c r="I16" s="193">
        <f t="shared" si="10"/>
        <v>5</v>
      </c>
      <c r="J16" s="193">
        <f t="shared" si="10"/>
        <v>11</v>
      </c>
      <c r="K16" s="193">
        <f t="shared" si="10"/>
        <v>11</v>
      </c>
      <c r="L16" s="193">
        <f t="shared" si="7"/>
        <v>17</v>
      </c>
      <c r="M16" s="193">
        <f t="shared" si="7"/>
        <v>9</v>
      </c>
      <c r="N16" s="193"/>
      <c r="O16" s="1172">
        <f t="shared" si="5"/>
        <v>2.1733880705143687E-3</v>
      </c>
      <c r="Q16" s="193">
        <f t="shared" si="3"/>
        <v>10.9</v>
      </c>
      <c r="R16" s="1172">
        <f t="shared" si="8"/>
        <v>2.2888580907983705E-3</v>
      </c>
      <c r="S16"/>
    </row>
    <row r="17" spans="1:25" ht="14.25" customHeight="1" x14ac:dyDescent="0.2">
      <c r="A17" s="542" t="s">
        <v>697</v>
      </c>
      <c r="B17" s="193">
        <f t="shared" ref="B17:K17" si="11">C49</f>
        <v>84</v>
      </c>
      <c r="C17" s="193">
        <f t="shared" si="11"/>
        <v>48</v>
      </c>
      <c r="D17" s="193">
        <f t="shared" si="11"/>
        <v>46</v>
      </c>
      <c r="E17" s="193">
        <f t="shared" si="11"/>
        <v>40</v>
      </c>
      <c r="F17" s="193">
        <f t="shared" si="11"/>
        <v>46</v>
      </c>
      <c r="G17" s="193">
        <f t="shared" si="11"/>
        <v>42</v>
      </c>
      <c r="H17" s="193">
        <f t="shared" si="11"/>
        <v>59</v>
      </c>
      <c r="I17" s="193">
        <f t="shared" si="11"/>
        <v>55</v>
      </c>
      <c r="J17" s="193">
        <f t="shared" si="11"/>
        <v>46</v>
      </c>
      <c r="K17" s="193">
        <f t="shared" si="11"/>
        <v>40</v>
      </c>
      <c r="L17" s="193">
        <f t="shared" si="7"/>
        <v>37</v>
      </c>
      <c r="M17" s="193">
        <f t="shared" si="7"/>
        <v>50</v>
      </c>
      <c r="N17" s="193"/>
      <c r="O17" s="1172">
        <f t="shared" si="5"/>
        <v>1.207437816952427E-2</v>
      </c>
      <c r="Q17" s="193">
        <f t="shared" si="3"/>
        <v>46.1</v>
      </c>
      <c r="R17" s="1172">
        <f t="shared" si="8"/>
        <v>9.6803998152114584E-3</v>
      </c>
      <c r="S17"/>
    </row>
    <row r="18" spans="1:25" ht="14.25" customHeight="1" x14ac:dyDescent="0.2">
      <c r="A18" s="542" t="s">
        <v>699</v>
      </c>
      <c r="B18" s="193">
        <f t="shared" ref="B18:K18" si="12">SUM(C50:C54)</f>
        <v>79</v>
      </c>
      <c r="C18" s="193">
        <f t="shared" si="12"/>
        <v>100</v>
      </c>
      <c r="D18" s="193">
        <f t="shared" si="12"/>
        <v>96</v>
      </c>
      <c r="E18" s="193">
        <f t="shared" si="12"/>
        <v>83</v>
      </c>
      <c r="F18" s="193">
        <f t="shared" si="12"/>
        <v>81</v>
      </c>
      <c r="G18" s="193">
        <f t="shared" si="12"/>
        <v>85</v>
      </c>
      <c r="H18" s="193">
        <f t="shared" si="12"/>
        <v>93</v>
      </c>
      <c r="I18" s="193">
        <f t="shared" si="12"/>
        <v>74</v>
      </c>
      <c r="J18" s="193">
        <f t="shared" si="12"/>
        <v>78</v>
      </c>
      <c r="K18" s="193">
        <f t="shared" si="12"/>
        <v>53</v>
      </c>
      <c r="L18" s="193">
        <f>SUM(M50:M54)</f>
        <v>53</v>
      </c>
      <c r="M18" s="193">
        <f>SUM(N50:N54)</f>
        <v>43</v>
      </c>
      <c r="N18" s="193"/>
      <c r="O18" s="1172">
        <f t="shared" si="5"/>
        <v>1.0383965225790872E-2</v>
      </c>
      <c r="Q18" s="193">
        <f t="shared" si="3"/>
        <v>73.900000000000006</v>
      </c>
      <c r="R18" s="1172">
        <f t="shared" si="8"/>
        <v>1.5518037881651339E-2</v>
      </c>
      <c r="S18"/>
    </row>
    <row r="19" spans="1:25" ht="14.25" customHeight="1" x14ac:dyDescent="0.2">
      <c r="A19" s="542" t="s">
        <v>706</v>
      </c>
      <c r="B19" s="193">
        <f t="shared" ref="B19:K19" si="13">SUM(C55:C56)</f>
        <v>410</v>
      </c>
      <c r="C19" s="193">
        <f t="shared" si="13"/>
        <v>407</v>
      </c>
      <c r="D19" s="193">
        <f t="shared" si="13"/>
        <v>379</v>
      </c>
      <c r="E19" s="193">
        <f t="shared" si="13"/>
        <v>407</v>
      </c>
      <c r="F19" s="193">
        <f t="shared" si="13"/>
        <v>427</v>
      </c>
      <c r="G19" s="193">
        <f t="shared" si="13"/>
        <v>389</v>
      </c>
      <c r="H19" s="193">
        <f t="shared" si="13"/>
        <v>403</v>
      </c>
      <c r="I19" s="193">
        <f t="shared" si="13"/>
        <v>365</v>
      </c>
      <c r="J19" s="193">
        <f t="shared" si="13"/>
        <v>341</v>
      </c>
      <c r="K19" s="193">
        <f t="shared" si="13"/>
        <v>327</v>
      </c>
      <c r="L19" s="193">
        <f>SUM(M55:M56)</f>
        <v>330</v>
      </c>
      <c r="M19" s="193">
        <f>SUM(N55:N56)</f>
        <v>309</v>
      </c>
      <c r="N19" s="193"/>
      <c r="O19" s="1172">
        <f t="shared" si="5"/>
        <v>7.4619657087659982E-2</v>
      </c>
      <c r="Q19" s="193">
        <f t="shared" si="3"/>
        <v>367.7</v>
      </c>
      <c r="R19" s="1172">
        <f t="shared" si="8"/>
        <v>7.7212212842803746E-2</v>
      </c>
      <c r="S19"/>
    </row>
    <row r="20" spans="1:25" ht="14.25" customHeight="1" x14ac:dyDescent="0.2">
      <c r="A20" s="542" t="s">
        <v>708</v>
      </c>
      <c r="B20" s="193">
        <f t="shared" ref="B20:K20" si="14">SUM(C57:C59)</f>
        <v>39</v>
      </c>
      <c r="C20" s="193">
        <f t="shared" si="14"/>
        <v>37</v>
      </c>
      <c r="D20" s="193">
        <f t="shared" si="14"/>
        <v>19</v>
      </c>
      <c r="E20" s="193">
        <f t="shared" si="14"/>
        <v>36</v>
      </c>
      <c r="F20" s="193">
        <f t="shared" si="14"/>
        <v>30</v>
      </c>
      <c r="G20" s="193">
        <f t="shared" si="14"/>
        <v>23</v>
      </c>
      <c r="H20" s="193">
        <f t="shared" si="14"/>
        <v>26</v>
      </c>
      <c r="I20" s="193">
        <f t="shared" si="14"/>
        <v>37</v>
      </c>
      <c r="J20" s="193">
        <f t="shared" si="14"/>
        <v>30</v>
      </c>
      <c r="K20" s="193">
        <f t="shared" si="14"/>
        <v>33</v>
      </c>
      <c r="L20" s="193">
        <f>SUM(M57:M59)</f>
        <v>24</v>
      </c>
      <c r="M20" s="193">
        <f>SUM(N57:N59)</f>
        <v>46</v>
      </c>
      <c r="N20" s="193"/>
      <c r="O20" s="1172">
        <f t="shared" si="5"/>
        <v>1.1108427915962327E-2</v>
      </c>
      <c r="Q20" s="193">
        <f t="shared" si="3"/>
        <v>30.4</v>
      </c>
      <c r="R20" s="1172">
        <f t="shared" si="8"/>
        <v>6.3836042165385746E-3</v>
      </c>
      <c r="S20"/>
    </row>
    <row r="21" spans="1:25" ht="14.25" customHeight="1" x14ac:dyDescent="0.2">
      <c r="A21" s="542" t="s">
        <v>712</v>
      </c>
      <c r="B21" s="193">
        <f t="shared" ref="B21:K21" si="15">SUM(C60:C64)</f>
        <v>254</v>
      </c>
      <c r="C21" s="193">
        <f t="shared" si="15"/>
        <v>262</v>
      </c>
      <c r="D21" s="193">
        <f t="shared" si="15"/>
        <v>246</v>
      </c>
      <c r="E21" s="193">
        <f t="shared" si="15"/>
        <v>249</v>
      </c>
      <c r="F21" s="193">
        <f t="shared" si="15"/>
        <v>182</v>
      </c>
      <c r="G21" s="193">
        <f t="shared" si="15"/>
        <v>200</v>
      </c>
      <c r="H21" s="193">
        <f t="shared" si="15"/>
        <v>189</v>
      </c>
      <c r="I21" s="193">
        <f t="shared" si="15"/>
        <v>192</v>
      </c>
      <c r="J21" s="193">
        <f t="shared" si="15"/>
        <v>196</v>
      </c>
      <c r="K21" s="193">
        <f t="shared" si="15"/>
        <v>167</v>
      </c>
      <c r="L21" s="193">
        <f>SUM(M60:M64)</f>
        <v>155</v>
      </c>
      <c r="M21" s="193">
        <f>SUM(N60:N64)</f>
        <v>141</v>
      </c>
      <c r="N21" s="193"/>
      <c r="O21" s="1172">
        <f t="shared" si="5"/>
        <v>3.4049746438058442E-2</v>
      </c>
      <c r="Q21" s="193">
        <f t="shared" si="3"/>
        <v>191.7</v>
      </c>
      <c r="R21" s="1172">
        <f t="shared" si="8"/>
        <v>4.0254504220738313E-2</v>
      </c>
      <c r="S21"/>
    </row>
    <row r="22" spans="1:25" ht="14.1" customHeight="1" x14ac:dyDescent="0.2">
      <c r="A22" s="542" t="s">
        <v>717</v>
      </c>
      <c r="B22" s="193">
        <f t="shared" ref="B22:K22" si="16">SUM(C65:C85)</f>
        <v>360</v>
      </c>
      <c r="C22" s="193">
        <f t="shared" si="16"/>
        <v>380</v>
      </c>
      <c r="D22" s="193">
        <f t="shared" si="16"/>
        <v>390</v>
      </c>
      <c r="E22" s="193">
        <f t="shared" si="16"/>
        <v>353</v>
      </c>
      <c r="F22" s="193">
        <f t="shared" si="16"/>
        <v>334</v>
      </c>
      <c r="G22" s="193">
        <f t="shared" si="16"/>
        <v>360</v>
      </c>
      <c r="H22" s="193">
        <f t="shared" si="16"/>
        <v>336</v>
      </c>
      <c r="I22" s="193">
        <f t="shared" si="16"/>
        <v>323</v>
      </c>
      <c r="J22" s="193">
        <f t="shared" si="16"/>
        <v>352</v>
      </c>
      <c r="K22" s="193">
        <f t="shared" si="16"/>
        <v>334</v>
      </c>
      <c r="L22" s="193">
        <f>SUM(M65:M85)</f>
        <v>338</v>
      </c>
      <c r="M22" s="193">
        <f>SUM(N65:N85)</f>
        <v>292</v>
      </c>
      <c r="N22" s="193"/>
      <c r="O22" s="1172">
        <f t="shared" si="5"/>
        <v>7.0514368510021727E-2</v>
      </c>
      <c r="Q22" s="193">
        <f t="shared" si="3"/>
        <v>341.2</v>
      </c>
      <c r="R22" s="1172">
        <f t="shared" si="8"/>
        <v>7.1647557851413218E-2</v>
      </c>
      <c r="S22"/>
    </row>
    <row r="23" spans="1:25" ht="14.25" customHeight="1" x14ac:dyDescent="0.2">
      <c r="A23" s="542" t="s">
        <v>205</v>
      </c>
      <c r="B23" s="193">
        <f t="shared" ref="B23:K23" si="17">C86</f>
        <v>15</v>
      </c>
      <c r="C23" s="193">
        <f t="shared" si="17"/>
        <v>14</v>
      </c>
      <c r="D23" s="193">
        <f t="shared" si="17"/>
        <v>19</v>
      </c>
      <c r="E23" s="193">
        <f t="shared" si="17"/>
        <v>5</v>
      </c>
      <c r="F23" s="193">
        <f t="shared" si="17"/>
        <v>9</v>
      </c>
      <c r="G23" s="193">
        <f t="shared" si="17"/>
        <v>7</v>
      </c>
      <c r="H23" s="193">
        <f t="shared" si="17"/>
        <v>6</v>
      </c>
      <c r="I23" s="193">
        <f t="shared" si="17"/>
        <v>4</v>
      </c>
      <c r="J23" s="193">
        <f t="shared" si="17"/>
        <v>10</v>
      </c>
      <c r="K23" s="193">
        <f t="shared" si="17"/>
        <v>11</v>
      </c>
      <c r="L23" s="193">
        <f>M86</f>
        <v>8</v>
      </c>
      <c r="M23" s="193">
        <f>N86</f>
        <v>8</v>
      </c>
      <c r="N23" s="193"/>
      <c r="O23" s="1172">
        <f t="shared" si="5"/>
        <v>1.9319005071238831E-3</v>
      </c>
      <c r="Q23" s="193">
        <f t="shared" si="3"/>
        <v>8.6999999999999993</v>
      </c>
      <c r="R23" s="1172">
        <f t="shared" si="8"/>
        <v>1.8268867330225526E-3</v>
      </c>
      <c r="S23"/>
    </row>
    <row r="24" spans="1:25" ht="14.25" customHeight="1" x14ac:dyDescent="0.2">
      <c r="A24" s="542" t="s">
        <v>206</v>
      </c>
      <c r="B24" s="193">
        <f t="shared" ref="B24:K24" si="18">C87</f>
        <v>1</v>
      </c>
      <c r="C24" s="193">
        <f t="shared" si="18"/>
        <v>0</v>
      </c>
      <c r="D24" s="193">
        <f t="shared" si="18"/>
        <v>3</v>
      </c>
      <c r="E24" s="193">
        <f t="shared" si="18"/>
        <v>0</v>
      </c>
      <c r="F24" s="193">
        <f t="shared" si="18"/>
        <v>2</v>
      </c>
      <c r="G24" s="193">
        <f t="shared" si="18"/>
        <v>4</v>
      </c>
      <c r="H24" s="193">
        <f t="shared" si="18"/>
        <v>2</v>
      </c>
      <c r="I24" s="193">
        <f t="shared" si="18"/>
        <v>1</v>
      </c>
      <c r="J24" s="193">
        <f t="shared" si="18"/>
        <v>1</v>
      </c>
      <c r="K24" s="193">
        <f t="shared" si="18"/>
        <v>0</v>
      </c>
      <c r="L24" s="193">
        <f>M87</f>
        <v>2</v>
      </c>
      <c r="M24" s="193">
        <f>N87</f>
        <v>3</v>
      </c>
      <c r="N24" s="193"/>
      <c r="O24" s="1172">
        <f t="shared" si="5"/>
        <v>7.2446269017145616E-4</v>
      </c>
      <c r="Q24" s="193">
        <f t="shared" si="3"/>
        <v>1.8</v>
      </c>
      <c r="R24" s="1172">
        <f t="shared" si="8"/>
        <v>3.7797656545294193E-4</v>
      </c>
      <c r="S24"/>
    </row>
    <row r="25" spans="1:25" ht="14.25" customHeight="1" x14ac:dyDescent="0.2">
      <c r="A25" s="542" t="s">
        <v>738</v>
      </c>
      <c r="B25" s="193">
        <f t="shared" ref="B25:K25" si="19">C88+C89</f>
        <v>16</v>
      </c>
      <c r="C25" s="193">
        <f t="shared" si="19"/>
        <v>26</v>
      </c>
      <c r="D25" s="193">
        <f t="shared" si="19"/>
        <v>19</v>
      </c>
      <c r="E25" s="193">
        <f t="shared" si="19"/>
        <v>21</v>
      </c>
      <c r="F25" s="193">
        <f t="shared" si="19"/>
        <v>14</v>
      </c>
      <c r="G25" s="193">
        <f t="shared" si="19"/>
        <v>25</v>
      </c>
      <c r="H25" s="193">
        <f t="shared" si="19"/>
        <v>23</v>
      </c>
      <c r="I25" s="193">
        <f t="shared" si="19"/>
        <v>18</v>
      </c>
      <c r="J25" s="193">
        <f t="shared" si="19"/>
        <v>11</v>
      </c>
      <c r="K25" s="193">
        <f t="shared" si="19"/>
        <v>26</v>
      </c>
      <c r="L25" s="193">
        <f>M88+M89</f>
        <v>12</v>
      </c>
      <c r="M25" s="193">
        <f>N88+N89</f>
        <v>17</v>
      </c>
      <c r="N25" s="193"/>
      <c r="O25" s="1172">
        <f t="shared" si="5"/>
        <v>4.1052885776382518E-3</v>
      </c>
      <c r="Q25" s="193">
        <f t="shared" si="3"/>
        <v>18.600000000000001</v>
      </c>
      <c r="R25" s="1172">
        <f t="shared" si="8"/>
        <v>3.9057578430137336E-3</v>
      </c>
      <c r="S25"/>
    </row>
    <row r="26" spans="1:25" ht="14.25" customHeight="1" x14ac:dyDescent="0.2">
      <c r="A26" s="542" t="s">
        <v>207</v>
      </c>
      <c r="B26" s="193">
        <f t="shared" ref="B26:K26" si="20">C90</f>
        <v>3</v>
      </c>
      <c r="C26" s="193">
        <f t="shared" si="20"/>
        <v>2</v>
      </c>
      <c r="D26" s="193">
        <f t="shared" si="20"/>
        <v>4</v>
      </c>
      <c r="E26" s="193">
        <f t="shared" si="20"/>
        <v>0</v>
      </c>
      <c r="F26" s="193">
        <f t="shared" si="20"/>
        <v>3</v>
      </c>
      <c r="G26" s="193">
        <f t="shared" si="20"/>
        <v>3</v>
      </c>
      <c r="H26" s="193">
        <f t="shared" si="20"/>
        <v>1</v>
      </c>
      <c r="I26" s="193">
        <f t="shared" si="20"/>
        <v>5</v>
      </c>
      <c r="J26" s="193">
        <f t="shared" si="20"/>
        <v>2</v>
      </c>
      <c r="K26" s="193">
        <f t="shared" si="20"/>
        <v>1</v>
      </c>
      <c r="L26" s="193">
        <f t="shared" ref="L26:M28" si="21">M90</f>
        <v>1</v>
      </c>
      <c r="M26" s="193">
        <f t="shared" si="21"/>
        <v>5</v>
      </c>
      <c r="N26" s="193"/>
      <c r="O26" s="1172">
        <f t="shared" si="5"/>
        <v>1.2074378169524269E-3</v>
      </c>
      <c r="Q26" s="193">
        <f t="shared" si="3"/>
        <v>2.5</v>
      </c>
      <c r="R26" s="1172">
        <f t="shared" si="8"/>
        <v>5.2496745201797491E-4</v>
      </c>
      <c r="S26"/>
    </row>
    <row r="27" spans="1:25" ht="14.25" customHeight="1" x14ac:dyDescent="0.2">
      <c r="A27" s="542" t="s">
        <v>737</v>
      </c>
      <c r="B27" s="193">
        <f t="shared" ref="B27:K27" si="22">C91</f>
        <v>15</v>
      </c>
      <c r="C27" s="193">
        <f t="shared" si="22"/>
        <v>16</v>
      </c>
      <c r="D27" s="193">
        <f t="shared" si="22"/>
        <v>7</v>
      </c>
      <c r="E27" s="193">
        <f t="shared" si="22"/>
        <v>9</v>
      </c>
      <c r="F27" s="193">
        <f t="shared" si="22"/>
        <v>18</v>
      </c>
      <c r="G27" s="193">
        <f t="shared" si="22"/>
        <v>14</v>
      </c>
      <c r="H27" s="193">
        <f t="shared" si="22"/>
        <v>18</v>
      </c>
      <c r="I27" s="193">
        <f t="shared" si="22"/>
        <v>17</v>
      </c>
      <c r="J27" s="193">
        <f t="shared" si="22"/>
        <v>10</v>
      </c>
      <c r="K27" s="193">
        <f t="shared" si="22"/>
        <v>7</v>
      </c>
      <c r="L27" s="193">
        <f t="shared" si="21"/>
        <v>17</v>
      </c>
      <c r="M27" s="193">
        <f t="shared" si="21"/>
        <v>14</v>
      </c>
      <c r="N27" s="193"/>
      <c r="O27" s="1172">
        <f t="shared" si="5"/>
        <v>3.3808258874667954E-3</v>
      </c>
      <c r="Q27" s="193">
        <f t="shared" si="3"/>
        <v>13.1</v>
      </c>
      <c r="R27" s="1172">
        <f t="shared" si="8"/>
        <v>2.7508294485741884E-3</v>
      </c>
      <c r="S27"/>
    </row>
    <row r="28" spans="1:25" ht="14.25" customHeight="1" x14ac:dyDescent="0.2">
      <c r="A28" s="542" t="s">
        <v>208</v>
      </c>
      <c r="B28" s="193">
        <f t="shared" ref="B28:K28" si="23">C92</f>
        <v>233</v>
      </c>
      <c r="C28" s="193">
        <f t="shared" si="23"/>
        <v>198</v>
      </c>
      <c r="D28" s="193">
        <f t="shared" si="23"/>
        <v>154</v>
      </c>
      <c r="E28" s="193">
        <f t="shared" si="23"/>
        <v>175</v>
      </c>
      <c r="F28" s="193">
        <f t="shared" si="23"/>
        <v>169</v>
      </c>
      <c r="G28" s="193">
        <f t="shared" si="23"/>
        <v>180</v>
      </c>
      <c r="H28" s="193">
        <f t="shared" si="23"/>
        <v>177</v>
      </c>
      <c r="I28" s="193">
        <f t="shared" si="23"/>
        <v>199</v>
      </c>
      <c r="J28" s="193">
        <f t="shared" si="23"/>
        <v>211</v>
      </c>
      <c r="K28" s="193">
        <f t="shared" si="23"/>
        <v>266</v>
      </c>
      <c r="L28" s="193">
        <f t="shared" si="21"/>
        <v>259</v>
      </c>
      <c r="M28" s="193">
        <f t="shared" si="21"/>
        <v>275</v>
      </c>
      <c r="N28" s="193"/>
      <c r="O28" s="1172">
        <f t="shared" si="5"/>
        <v>6.6409079932383486E-2</v>
      </c>
      <c r="Q28" s="193">
        <f t="shared" si="3"/>
        <v>206.5</v>
      </c>
      <c r="R28" s="1172">
        <f t="shared" si="8"/>
        <v>4.3362311536684725E-2</v>
      </c>
      <c r="S28"/>
    </row>
    <row r="29" spans="1:25" ht="14.25" customHeight="1" x14ac:dyDescent="0.2">
      <c r="A29" s="542"/>
      <c r="B29" s="193"/>
      <c r="C29" s="193"/>
      <c r="D29" s="193"/>
      <c r="E29" s="193"/>
      <c r="F29" s="193"/>
      <c r="G29" s="193"/>
      <c r="H29" s="193"/>
      <c r="I29" s="193"/>
      <c r="J29" s="193"/>
      <c r="K29" s="193"/>
      <c r="L29" s="193"/>
      <c r="M29" s="193"/>
      <c r="N29" s="193"/>
      <c r="O29" s="1172"/>
      <c r="Q29" s="193"/>
      <c r="R29" s="1172"/>
      <c r="S29"/>
    </row>
    <row r="30" spans="1:25" ht="14.25" customHeight="1" thickBot="1" x14ac:dyDescent="0.25">
      <c r="A30" s="779" t="s">
        <v>11</v>
      </c>
      <c r="B30" s="1177">
        <f>SUM(B11:B28)</f>
        <v>5367</v>
      </c>
      <c r="C30" s="1177">
        <f t="shared" ref="C30:K30" si="24">SUM(C11:C28)</f>
        <v>5209</v>
      </c>
      <c r="D30" s="1177">
        <f t="shared" si="24"/>
        <v>5117</v>
      </c>
      <c r="E30" s="1177">
        <f t="shared" si="24"/>
        <v>4997</v>
      </c>
      <c r="F30" s="1177">
        <f t="shared" si="24"/>
        <v>4673</v>
      </c>
      <c r="G30" s="1177">
        <f t="shared" si="24"/>
        <v>4953</v>
      </c>
      <c r="H30" s="1177">
        <f t="shared" si="24"/>
        <v>5068</v>
      </c>
      <c r="I30" s="1177">
        <f t="shared" si="24"/>
        <v>4922</v>
      </c>
      <c r="J30" s="1177">
        <f t="shared" si="24"/>
        <v>4751</v>
      </c>
      <c r="K30" s="1177">
        <f t="shared" si="24"/>
        <v>4635</v>
      </c>
      <c r="L30" s="1177">
        <f t="shared" ref="L30:M30" si="25">SUM(L11:L28)</f>
        <v>4365</v>
      </c>
      <c r="M30" s="1177">
        <f t="shared" si="25"/>
        <v>4141</v>
      </c>
      <c r="N30" s="1177"/>
      <c r="O30" s="1173">
        <f t="shared" si="5"/>
        <v>1</v>
      </c>
      <c r="P30" s="842"/>
      <c r="Q30" s="1177">
        <f t="shared" si="3"/>
        <v>4762.2</v>
      </c>
      <c r="R30" s="1173">
        <f>Q30/$Q$30</f>
        <v>1</v>
      </c>
      <c r="S30"/>
    </row>
    <row r="31" spans="1:25" ht="15.75" customHeight="1" x14ac:dyDescent="0.25">
      <c r="A31" s="351"/>
      <c r="B31" s="351"/>
      <c r="C31" s="351"/>
      <c r="D31" s="129"/>
      <c r="E31" s="129"/>
      <c r="F31" s="129"/>
      <c r="G31" s="129"/>
      <c r="H31" s="129"/>
      <c r="I31" s="129"/>
      <c r="J31" s="129"/>
    </row>
    <row r="32" spans="1:25" ht="15.75" customHeight="1" x14ac:dyDescent="0.25">
      <c r="A32" s="351"/>
      <c r="B32" s="351"/>
      <c r="C32" s="351"/>
      <c r="D32" s="129"/>
      <c r="E32" s="129"/>
      <c r="F32" s="129"/>
      <c r="G32" s="129"/>
      <c r="H32" s="129"/>
      <c r="I32" s="129"/>
      <c r="J32" s="129"/>
      <c r="Y32" s="542"/>
    </row>
    <row r="33" spans="1:25" ht="15" x14ac:dyDescent="0.25">
      <c r="A33" s="871" t="s">
        <v>1102</v>
      </c>
      <c r="B33" s="1"/>
      <c r="C33" s="1"/>
      <c r="D33" s="1"/>
      <c r="E33" s="1"/>
      <c r="F33" s="1"/>
      <c r="H33" s="1"/>
      <c r="I33" s="1"/>
      <c r="J33" s="83" t="s">
        <v>0</v>
      </c>
      <c r="S33"/>
      <c r="T33"/>
      <c r="Y33" s="542"/>
    </row>
    <row r="34" spans="1:25" ht="14.25" x14ac:dyDescent="0.2">
      <c r="A34" s="1"/>
      <c r="B34" s="1"/>
      <c r="C34" s="1"/>
      <c r="D34" s="1"/>
      <c r="E34" s="1"/>
      <c r="F34" s="1"/>
      <c r="H34" s="1"/>
      <c r="I34" s="58"/>
      <c r="J34" s="583"/>
      <c r="S34"/>
      <c r="T34"/>
      <c r="Y34" s="542"/>
    </row>
    <row r="35" spans="1:25" x14ac:dyDescent="0.2">
      <c r="A35" s="2" t="s">
        <v>299</v>
      </c>
      <c r="B35" s="2"/>
      <c r="C35" s="566" t="str">
        <f>'T20'!C4</f>
        <v>2009-10</v>
      </c>
      <c r="D35" s="566" t="str">
        <f>'T20'!D4</f>
        <v>2010-11</v>
      </c>
      <c r="E35" s="566" t="str">
        <f>'T20'!E4</f>
        <v>2011-12</v>
      </c>
      <c r="F35" s="566" t="str">
        <f>'T20'!F4</f>
        <v>2012-13</v>
      </c>
      <c r="G35" s="566" t="str">
        <f>'T20'!G4</f>
        <v>2013-14</v>
      </c>
      <c r="H35" s="566" t="str">
        <f>'T20'!H4</f>
        <v>2014-15</v>
      </c>
      <c r="I35" s="566" t="str">
        <f>'T20'!I4</f>
        <v>2015-16</v>
      </c>
      <c r="J35" s="566" t="str">
        <f>'T20'!J4</f>
        <v>2016-17</v>
      </c>
      <c r="K35" s="566" t="str">
        <f>'T20'!K4</f>
        <v>2017-18</v>
      </c>
      <c r="L35" s="566" t="str">
        <f>'T20'!L4</f>
        <v>2018-19</v>
      </c>
      <c r="M35" s="566" t="str">
        <f>'T20'!M4</f>
        <v>2019-20</v>
      </c>
      <c r="N35" s="566" t="str">
        <f>'T20'!N4</f>
        <v>2020-21</v>
      </c>
      <c r="S35"/>
      <c r="T35"/>
      <c r="X35" s="542"/>
    </row>
    <row r="36" spans="1:25" ht="14.25" customHeight="1" x14ac:dyDescent="0.2">
      <c r="A36" s="778" t="s">
        <v>309</v>
      </c>
      <c r="B36" s="778"/>
      <c r="C36" s="765">
        <f>'T20'!C5</f>
        <v>49</v>
      </c>
      <c r="D36" s="765">
        <f>'T20'!D5</f>
        <v>26</v>
      </c>
      <c r="E36" s="765">
        <f>'T20'!E5</f>
        <v>33</v>
      </c>
      <c r="F36" s="765">
        <f>'T20'!F5</f>
        <v>49</v>
      </c>
      <c r="G36" s="765">
        <f>'T20'!G5</f>
        <v>34</v>
      </c>
      <c r="H36" s="765">
        <f>'T20'!H5</f>
        <v>40</v>
      </c>
      <c r="I36" s="765">
        <f>'T20'!I5</f>
        <v>33</v>
      </c>
      <c r="J36" s="765">
        <f>'T20'!J5</f>
        <v>25</v>
      </c>
      <c r="K36" s="765">
        <f>'T20'!K5</f>
        <v>23</v>
      </c>
      <c r="L36" s="765">
        <f>'T20'!L5</f>
        <v>28</v>
      </c>
      <c r="M36" s="765">
        <f>'T20'!M5</f>
        <v>21</v>
      </c>
      <c r="N36" s="765">
        <f>'T20'!N5</f>
        <v>29</v>
      </c>
      <c r="S36"/>
      <c r="T36"/>
      <c r="X36" s="542"/>
    </row>
    <row r="37" spans="1:25" ht="14.25" customHeight="1" x14ac:dyDescent="0.2">
      <c r="A37" s="542" t="s">
        <v>687</v>
      </c>
      <c r="B37" s="542" t="s">
        <v>686</v>
      </c>
      <c r="C37" s="183">
        <f>'T20'!C6</f>
        <v>13</v>
      </c>
      <c r="D37" s="183">
        <f>'T20'!D6</f>
        <v>12</v>
      </c>
      <c r="E37" s="183">
        <f>'T20'!E6</f>
        <v>9</v>
      </c>
      <c r="F37" s="183">
        <f>'T20'!F6</f>
        <v>6</v>
      </c>
      <c r="G37" s="183">
        <f>'T20'!G6</f>
        <v>13</v>
      </c>
      <c r="H37" s="183">
        <f>'T20'!H6</f>
        <v>9</v>
      </c>
      <c r="I37" s="183">
        <f>'T20'!I6</f>
        <v>12</v>
      </c>
      <c r="J37" s="183">
        <f>'T20'!J6</f>
        <v>9</v>
      </c>
      <c r="K37" s="183">
        <f>'T20'!K6</f>
        <v>12</v>
      </c>
      <c r="L37" s="183">
        <f>'T20'!L6</f>
        <v>8</v>
      </c>
      <c r="M37" s="183">
        <f>'T20'!M6</f>
        <v>13</v>
      </c>
      <c r="N37" s="183">
        <f>'T20'!N6</f>
        <v>20</v>
      </c>
      <c r="S37"/>
      <c r="T37"/>
      <c r="X37" s="542"/>
    </row>
    <row r="38" spans="1:25" ht="14.25" customHeight="1" x14ac:dyDescent="0.2">
      <c r="A38" s="542"/>
      <c r="B38" s="542" t="s">
        <v>688</v>
      </c>
      <c r="C38" s="183">
        <f>'T20'!C7</f>
        <v>2051</v>
      </c>
      <c r="D38" s="183">
        <f>'T20'!D7</f>
        <v>1876</v>
      </c>
      <c r="E38" s="183">
        <f>'T20'!E7</f>
        <v>1897</v>
      </c>
      <c r="F38" s="183">
        <f>'T20'!F7</f>
        <v>1913</v>
      </c>
      <c r="G38" s="183">
        <f>'T20'!G7</f>
        <v>1837</v>
      </c>
      <c r="H38" s="183">
        <f>'T20'!H7</f>
        <v>2002</v>
      </c>
      <c r="I38" s="183">
        <f>'T20'!I7</f>
        <v>1983</v>
      </c>
      <c r="J38" s="183">
        <f>'T20'!J7</f>
        <v>1951</v>
      </c>
      <c r="K38" s="183">
        <f>'T20'!K7</f>
        <v>1920</v>
      </c>
      <c r="L38" s="183">
        <f>'T20'!L7</f>
        <v>1963</v>
      </c>
      <c r="M38" s="183">
        <f>'T20'!M7</f>
        <v>1778</v>
      </c>
      <c r="N38" s="183">
        <f>'T20'!N7</f>
        <v>1644</v>
      </c>
      <c r="S38"/>
      <c r="T38"/>
      <c r="X38" s="542"/>
    </row>
    <row r="39" spans="1:25" ht="14.25" customHeight="1" x14ac:dyDescent="0.2">
      <c r="A39" s="542"/>
      <c r="B39" s="542" t="s">
        <v>689</v>
      </c>
      <c r="C39" s="183">
        <f>'T20'!C8</f>
        <v>29</v>
      </c>
      <c r="D39" s="183">
        <f>'T20'!D8</f>
        <v>20</v>
      </c>
      <c r="E39" s="183">
        <f>'T20'!E8</f>
        <v>24</v>
      </c>
      <c r="F39" s="183">
        <f>'T20'!F8</f>
        <v>15</v>
      </c>
      <c r="G39" s="183">
        <f>'T20'!G8</f>
        <v>9</v>
      </c>
      <c r="H39" s="183">
        <f>'T20'!H8</f>
        <v>21</v>
      </c>
      <c r="I39" s="183">
        <f>'T20'!I8</f>
        <v>24</v>
      </c>
      <c r="J39" s="183">
        <f>'T20'!J8</f>
        <v>13</v>
      </c>
      <c r="K39" s="183">
        <f>'T20'!K8</f>
        <v>19</v>
      </c>
      <c r="L39" s="183">
        <f>'T20'!L8</f>
        <v>19</v>
      </c>
      <c r="M39" s="183">
        <f>'T20'!M8</f>
        <v>9</v>
      </c>
      <c r="N39" s="183">
        <f>'T20'!N8</f>
        <v>16</v>
      </c>
      <c r="S39"/>
      <c r="T39"/>
      <c r="X39" s="542"/>
    </row>
    <row r="40" spans="1:25" ht="14.25" customHeight="1" x14ac:dyDescent="0.2">
      <c r="A40" s="542"/>
      <c r="B40" s="542" t="s">
        <v>690</v>
      </c>
      <c r="C40" s="183">
        <f>'T20'!C9</f>
        <v>546</v>
      </c>
      <c r="D40" s="183">
        <f>'T20'!D9</f>
        <v>549</v>
      </c>
      <c r="E40" s="183">
        <f>'T20'!E9</f>
        <v>536</v>
      </c>
      <c r="F40" s="183">
        <f>'T20'!F9</f>
        <v>490</v>
      </c>
      <c r="G40" s="183">
        <f>'T20'!G9</f>
        <v>444</v>
      </c>
      <c r="H40" s="183">
        <f>'T20'!H9</f>
        <v>457</v>
      </c>
      <c r="I40" s="183">
        <f>'T20'!I9</f>
        <v>520</v>
      </c>
      <c r="J40" s="183">
        <f>'T20'!J9</f>
        <v>510</v>
      </c>
      <c r="K40" s="183">
        <f>'T20'!K9</f>
        <v>400</v>
      </c>
      <c r="L40" s="183">
        <f>'T20'!L9</f>
        <v>338</v>
      </c>
      <c r="M40" s="183">
        <f>'T20'!M9</f>
        <v>322</v>
      </c>
      <c r="N40" s="183">
        <f>'T20'!N9</f>
        <v>284</v>
      </c>
      <c r="S40"/>
      <c r="T40"/>
    </row>
    <row r="41" spans="1:25" ht="14.25" customHeight="1" x14ac:dyDescent="0.2">
      <c r="A41" s="542"/>
      <c r="B41" s="542" t="s">
        <v>691</v>
      </c>
      <c r="C41" s="183">
        <f>'T20'!C10</f>
        <v>161</v>
      </c>
      <c r="D41" s="183">
        <f>'T20'!D10</f>
        <v>177</v>
      </c>
      <c r="E41" s="183">
        <f>'T20'!E10</f>
        <v>201</v>
      </c>
      <c r="F41" s="183">
        <f>'T20'!F10</f>
        <v>187</v>
      </c>
      <c r="G41" s="183">
        <f>'T20'!G10</f>
        <v>204</v>
      </c>
      <c r="H41" s="183">
        <f>'T20'!H10</f>
        <v>207</v>
      </c>
      <c r="I41" s="183">
        <f>'T20'!I10</f>
        <v>243</v>
      </c>
      <c r="J41" s="183">
        <f>'T20'!J10</f>
        <v>238</v>
      </c>
      <c r="K41" s="183">
        <f>'T20'!K10</f>
        <v>238</v>
      </c>
      <c r="L41" s="183">
        <f>'T20'!L10</f>
        <v>218</v>
      </c>
      <c r="M41" s="183">
        <f>'T20'!M10</f>
        <v>212</v>
      </c>
      <c r="N41" s="183">
        <f>'T20'!N10</f>
        <v>223</v>
      </c>
      <c r="S41"/>
      <c r="T41"/>
    </row>
    <row r="42" spans="1:25" ht="14.25" customHeight="1" x14ac:dyDescent="0.2">
      <c r="A42" s="542"/>
      <c r="B42" s="542" t="s">
        <v>692</v>
      </c>
      <c r="C42" s="183">
        <f>'T20'!C11</f>
        <v>384</v>
      </c>
      <c r="D42" s="183">
        <f>'T20'!D11</f>
        <v>431</v>
      </c>
      <c r="E42" s="183">
        <f>'T20'!E11</f>
        <v>425</v>
      </c>
      <c r="F42" s="183">
        <f>'T20'!F11</f>
        <v>405</v>
      </c>
      <c r="G42" s="183">
        <f>'T20'!G11</f>
        <v>306</v>
      </c>
      <c r="H42" s="183">
        <f>'T20'!H11</f>
        <v>337</v>
      </c>
      <c r="I42" s="183">
        <f>'T20'!I11</f>
        <v>408</v>
      </c>
      <c r="J42" s="183">
        <f>'T20'!J11</f>
        <v>390</v>
      </c>
      <c r="K42" s="183">
        <f>'T20'!K11</f>
        <v>350</v>
      </c>
      <c r="L42" s="183">
        <f>'T20'!L11</f>
        <v>325</v>
      </c>
      <c r="M42" s="183">
        <f>'T20'!M11</f>
        <v>305</v>
      </c>
      <c r="N42" s="183">
        <f>'T20'!N11</f>
        <v>305</v>
      </c>
      <c r="S42"/>
      <c r="T42"/>
    </row>
    <row r="43" spans="1:25" ht="14.25" customHeight="1" x14ac:dyDescent="0.2">
      <c r="A43" s="542"/>
      <c r="B43" s="542" t="s">
        <v>693</v>
      </c>
      <c r="C43" s="183">
        <f>'T20'!C12</f>
        <v>46</v>
      </c>
      <c r="D43" s="183">
        <f>'T20'!D12</f>
        <v>50</v>
      </c>
      <c r="E43" s="183">
        <f>'T20'!E12</f>
        <v>51</v>
      </c>
      <c r="F43" s="183">
        <f>'T20'!F12</f>
        <v>23</v>
      </c>
      <c r="G43" s="183">
        <f>'T20'!G12</f>
        <v>25</v>
      </c>
      <c r="H43" s="183">
        <f>'T20'!H12</f>
        <v>26</v>
      </c>
      <c r="I43" s="183">
        <f>'T20'!I12</f>
        <v>23</v>
      </c>
      <c r="J43" s="183">
        <f>'T20'!J12</f>
        <v>22</v>
      </c>
      <c r="K43" s="183">
        <f>'T20'!K12</f>
        <v>15</v>
      </c>
      <c r="L43" s="183">
        <f>'T20'!L12</f>
        <v>28</v>
      </c>
      <c r="M43" s="183">
        <f>'T20'!M12</f>
        <v>29</v>
      </c>
      <c r="N43" s="183">
        <f>'T20'!N12</f>
        <v>29</v>
      </c>
      <c r="S43"/>
      <c r="T43"/>
    </row>
    <row r="44" spans="1:25" ht="14.25" customHeight="1" x14ac:dyDescent="0.2">
      <c r="A44" s="542" t="s">
        <v>696</v>
      </c>
      <c r="B44" s="542" t="s">
        <v>694</v>
      </c>
      <c r="C44" s="183">
        <f>'T20'!C13</f>
        <v>24</v>
      </c>
      <c r="D44" s="183">
        <f>'T20'!D13</f>
        <v>27</v>
      </c>
      <c r="E44" s="183">
        <f>'T20'!E13</f>
        <v>17</v>
      </c>
      <c r="F44" s="183">
        <f>'T20'!F13</f>
        <v>23</v>
      </c>
      <c r="G44" s="183">
        <f>'T20'!G13</f>
        <v>21</v>
      </c>
      <c r="H44" s="183">
        <f>'T20'!H13</f>
        <v>22</v>
      </c>
      <c r="I44" s="183">
        <f>'T20'!I13</f>
        <v>29</v>
      </c>
      <c r="J44" s="183">
        <f>'T20'!J13</f>
        <v>19</v>
      </c>
      <c r="K44" s="183">
        <f>'T20'!K13</f>
        <v>26</v>
      </c>
      <c r="L44" s="183">
        <f>'T20'!L13</f>
        <v>20</v>
      </c>
      <c r="M44" s="183">
        <f>'T20'!M13</f>
        <v>12</v>
      </c>
      <c r="N44" s="183">
        <f>'T20'!N13</f>
        <v>19</v>
      </c>
      <c r="S44"/>
      <c r="T44"/>
    </row>
    <row r="45" spans="1:25" ht="14.25" customHeight="1" x14ac:dyDescent="0.2">
      <c r="A45" s="542"/>
      <c r="B45" s="542" t="s">
        <v>695</v>
      </c>
      <c r="C45" s="183">
        <f>'T20'!C14</f>
        <v>381</v>
      </c>
      <c r="D45" s="183">
        <f>'T20'!D14</f>
        <v>377</v>
      </c>
      <c r="E45" s="183">
        <f>'T20'!E14</f>
        <v>382</v>
      </c>
      <c r="F45" s="183">
        <f>'T20'!F14</f>
        <v>355</v>
      </c>
      <c r="G45" s="183">
        <f>'T20'!G14</f>
        <v>328</v>
      </c>
      <c r="H45" s="183">
        <f>'T20'!H14</f>
        <v>340</v>
      </c>
      <c r="I45" s="183">
        <f>'T20'!I14</f>
        <v>300</v>
      </c>
      <c r="J45" s="183">
        <f>'T20'!J14</f>
        <v>326</v>
      </c>
      <c r="K45" s="183">
        <f>'T20'!K14</f>
        <v>332</v>
      </c>
      <c r="L45" s="183">
        <f>'T20'!L14</f>
        <v>292</v>
      </c>
      <c r="M45" s="183">
        <f>'T20'!M14</f>
        <v>292</v>
      </c>
      <c r="N45" s="183">
        <f>'T20'!N14</f>
        <v>246</v>
      </c>
      <c r="S45"/>
      <c r="T45"/>
    </row>
    <row r="46" spans="1:25" ht="14.25" customHeight="1" x14ac:dyDescent="0.2">
      <c r="A46" s="542" t="s">
        <v>202</v>
      </c>
      <c r="B46" s="542"/>
      <c r="C46" s="183">
        <f>'T20'!C15</f>
        <v>52</v>
      </c>
      <c r="D46" s="183">
        <f>'T20'!D15</f>
        <v>37</v>
      </c>
      <c r="E46" s="183">
        <f>'T20'!E15</f>
        <v>42</v>
      </c>
      <c r="F46" s="183">
        <f>'T20'!F15</f>
        <v>32</v>
      </c>
      <c r="G46" s="183">
        <f>'T20'!G15</f>
        <v>27</v>
      </c>
      <c r="H46" s="183">
        <f>'T20'!H15</f>
        <v>27</v>
      </c>
      <c r="I46" s="183">
        <f>'T20'!I15</f>
        <v>37</v>
      </c>
      <c r="J46" s="183">
        <f>'T20'!J15</f>
        <v>20</v>
      </c>
      <c r="K46" s="183">
        <f>'T20'!K15</f>
        <v>33</v>
      </c>
      <c r="L46" s="183">
        <f>'T20'!L15</f>
        <v>23</v>
      </c>
      <c r="M46" s="183">
        <f>'T20'!M15</f>
        <v>24</v>
      </c>
      <c r="N46" s="183">
        <f>'T20'!N15</f>
        <v>22</v>
      </c>
      <c r="S46"/>
      <c r="T46"/>
    </row>
    <row r="47" spans="1:25" ht="14.25" customHeight="1" x14ac:dyDescent="0.2">
      <c r="A47" s="542" t="s">
        <v>203</v>
      </c>
      <c r="B47" s="542"/>
      <c r="C47" s="183">
        <f>'T20'!C16</f>
        <v>112</v>
      </c>
      <c r="D47" s="183">
        <f>'T20'!D16</f>
        <v>128</v>
      </c>
      <c r="E47" s="183">
        <f>'T20'!E16</f>
        <v>108</v>
      </c>
      <c r="F47" s="183">
        <f>'T20'!F16</f>
        <v>108</v>
      </c>
      <c r="G47" s="183">
        <f>'T20'!G16</f>
        <v>99</v>
      </c>
      <c r="H47" s="183">
        <f>'T20'!H16</f>
        <v>125</v>
      </c>
      <c r="I47" s="183">
        <f>'T20'!I16</f>
        <v>109</v>
      </c>
      <c r="J47" s="183">
        <f>'T20'!J16</f>
        <v>104</v>
      </c>
      <c r="K47" s="183">
        <f>'T20'!K16</f>
        <v>84</v>
      </c>
      <c r="L47" s="183">
        <f>'T20'!L16</f>
        <v>97</v>
      </c>
      <c r="M47" s="183">
        <f>'T20'!M16</f>
        <v>95</v>
      </c>
      <c r="N47" s="183">
        <f>'T20'!N16</f>
        <v>92</v>
      </c>
      <c r="S47"/>
      <c r="T47"/>
    </row>
    <row r="48" spans="1:25" ht="14.25" customHeight="1" x14ac:dyDescent="0.2">
      <c r="A48" s="542" t="s">
        <v>204</v>
      </c>
      <c r="B48" s="542"/>
      <c r="C48" s="183">
        <f>'T20'!C17</f>
        <v>10</v>
      </c>
      <c r="D48" s="183">
        <f>'T20'!D17</f>
        <v>9</v>
      </c>
      <c r="E48" s="183">
        <f>'T20'!E17</f>
        <v>10</v>
      </c>
      <c r="F48" s="183">
        <f>'T20'!F17</f>
        <v>13</v>
      </c>
      <c r="G48" s="183">
        <f>'T20'!G17</f>
        <v>11</v>
      </c>
      <c r="H48" s="183">
        <f>'T20'!H17</f>
        <v>8</v>
      </c>
      <c r="I48" s="183">
        <f>'T20'!I17</f>
        <v>14</v>
      </c>
      <c r="J48" s="183">
        <f>'T20'!J17</f>
        <v>5</v>
      </c>
      <c r="K48" s="183">
        <f>'T20'!K17</f>
        <v>11</v>
      </c>
      <c r="L48" s="183">
        <f>'T20'!L17</f>
        <v>11</v>
      </c>
      <c r="M48" s="183">
        <f>'T20'!M17</f>
        <v>17</v>
      </c>
      <c r="N48" s="183">
        <f>'T20'!N17</f>
        <v>9</v>
      </c>
      <c r="S48"/>
      <c r="T48"/>
    </row>
    <row r="49" spans="1:20" ht="14.25" customHeight="1" x14ac:dyDescent="0.2">
      <c r="A49" s="542" t="s">
        <v>697</v>
      </c>
      <c r="B49" s="542" t="s">
        <v>698</v>
      </c>
      <c r="C49" s="183">
        <f>'T20'!C18</f>
        <v>84</v>
      </c>
      <c r="D49" s="183">
        <f>'T20'!D18</f>
        <v>48</v>
      </c>
      <c r="E49" s="183">
        <f>'T20'!E18</f>
        <v>46</v>
      </c>
      <c r="F49" s="183">
        <f>'T20'!F18</f>
        <v>40</v>
      </c>
      <c r="G49" s="183">
        <f>'T20'!G18</f>
        <v>46</v>
      </c>
      <c r="H49" s="183">
        <f>'T20'!H18</f>
        <v>42</v>
      </c>
      <c r="I49" s="183">
        <f>'T20'!I18</f>
        <v>59</v>
      </c>
      <c r="J49" s="183">
        <f>'T20'!J18</f>
        <v>55</v>
      </c>
      <c r="K49" s="183">
        <f>'T20'!K18</f>
        <v>46</v>
      </c>
      <c r="L49" s="183">
        <f>'T20'!L18</f>
        <v>40</v>
      </c>
      <c r="M49" s="183">
        <f>'T20'!M18</f>
        <v>37</v>
      </c>
      <c r="N49" s="183">
        <f>'T20'!N18</f>
        <v>50</v>
      </c>
      <c r="S49"/>
      <c r="T49"/>
    </row>
    <row r="50" spans="1:20" ht="14.25" customHeight="1" x14ac:dyDescent="0.2">
      <c r="A50" s="542" t="s">
        <v>699</v>
      </c>
      <c r="B50" s="542" t="s">
        <v>700</v>
      </c>
      <c r="C50" s="183">
        <f>'T20'!C19</f>
        <v>2</v>
      </c>
      <c r="D50" s="183">
        <f>'T20'!D19</f>
        <v>1</v>
      </c>
      <c r="E50" s="183">
        <f>'T20'!E19</f>
        <v>2</v>
      </c>
      <c r="F50" s="183">
        <f>'T20'!F19</f>
        <v>4</v>
      </c>
      <c r="G50" s="183">
        <f>'T20'!G19</f>
        <v>3</v>
      </c>
      <c r="H50" s="183">
        <f>'T20'!H19</f>
        <v>5</v>
      </c>
      <c r="I50" s="183">
        <f>'T20'!I19</f>
        <v>1</v>
      </c>
      <c r="J50" s="183">
        <f>'T20'!J19</f>
        <v>1</v>
      </c>
      <c r="K50" s="183">
        <f>'T20'!K19</f>
        <v>2</v>
      </c>
      <c r="L50" s="183">
        <f>'T20'!L19</f>
        <v>1</v>
      </c>
      <c r="M50" s="183">
        <f>'T20'!M19</f>
        <v>2</v>
      </c>
      <c r="N50" s="183">
        <f>'T20'!N19</f>
        <v>2</v>
      </c>
      <c r="S50"/>
      <c r="T50"/>
    </row>
    <row r="51" spans="1:20" ht="14.25" customHeight="1" x14ac:dyDescent="0.2">
      <c r="A51" s="542"/>
      <c r="B51" s="542" t="s">
        <v>701</v>
      </c>
      <c r="C51" s="183">
        <f>'T20'!C20</f>
        <v>8</v>
      </c>
      <c r="D51" s="183">
        <f>'T20'!D20</f>
        <v>8</v>
      </c>
      <c r="E51" s="183">
        <f>'T20'!E20</f>
        <v>7</v>
      </c>
      <c r="F51" s="183">
        <f>'T20'!F20</f>
        <v>11</v>
      </c>
      <c r="G51" s="183">
        <f>'T20'!G20</f>
        <v>8</v>
      </c>
      <c r="H51" s="183">
        <f>'T20'!H20</f>
        <v>12</v>
      </c>
      <c r="I51" s="183">
        <f>'T20'!I20</f>
        <v>21</v>
      </c>
      <c r="J51" s="183">
        <f>'T20'!J20</f>
        <v>11</v>
      </c>
      <c r="K51" s="183">
        <f>'T20'!K20</f>
        <v>9</v>
      </c>
      <c r="L51" s="183">
        <f>'T20'!L20</f>
        <v>14</v>
      </c>
      <c r="M51" s="183">
        <f>'T20'!M20</f>
        <v>8</v>
      </c>
      <c r="N51" s="183">
        <f>'T20'!N20</f>
        <v>4</v>
      </c>
      <c r="S51"/>
      <c r="T51"/>
    </row>
    <row r="52" spans="1:20" ht="14.25" customHeight="1" x14ac:dyDescent="0.2">
      <c r="A52" s="542"/>
      <c r="B52" s="542" t="s">
        <v>702</v>
      </c>
      <c r="C52" s="183">
        <f>'T20'!C21</f>
        <v>22</v>
      </c>
      <c r="D52" s="183">
        <f>'T20'!D21</f>
        <v>17</v>
      </c>
      <c r="E52" s="183">
        <f>'T20'!E21</f>
        <v>15</v>
      </c>
      <c r="F52" s="183">
        <f>'T20'!F21</f>
        <v>21</v>
      </c>
      <c r="G52" s="183">
        <f>'T20'!G21</f>
        <v>20</v>
      </c>
      <c r="H52" s="183">
        <f>'T20'!H21</f>
        <v>23</v>
      </c>
      <c r="I52" s="183">
        <f>'T20'!I21</f>
        <v>28</v>
      </c>
      <c r="J52" s="183">
        <f>'T20'!J21</f>
        <v>25</v>
      </c>
      <c r="K52" s="183">
        <f>'T20'!K21</f>
        <v>24</v>
      </c>
      <c r="L52" s="183">
        <f>'T20'!L21</f>
        <v>10</v>
      </c>
      <c r="M52" s="183">
        <f>'T20'!M21</f>
        <v>9</v>
      </c>
      <c r="N52" s="183">
        <f>'T20'!N21</f>
        <v>8</v>
      </c>
      <c r="S52"/>
      <c r="T52"/>
    </row>
    <row r="53" spans="1:20" ht="14.25" customHeight="1" x14ac:dyDescent="0.2">
      <c r="A53" s="542"/>
      <c r="B53" s="542" t="s">
        <v>703</v>
      </c>
      <c r="C53" s="183">
        <f>'T20'!C22</f>
        <v>22</v>
      </c>
      <c r="D53" s="183">
        <f>'T20'!D22</f>
        <v>29</v>
      </c>
      <c r="E53" s="183">
        <f>'T20'!E22</f>
        <v>32</v>
      </c>
      <c r="F53" s="183">
        <f>'T20'!F22</f>
        <v>28</v>
      </c>
      <c r="G53" s="183">
        <f>'T20'!G22</f>
        <v>32</v>
      </c>
      <c r="H53" s="183">
        <f>'T20'!H22</f>
        <v>32</v>
      </c>
      <c r="I53" s="183">
        <f>'T20'!I22</f>
        <v>29</v>
      </c>
      <c r="J53" s="183">
        <f>'T20'!J22</f>
        <v>24</v>
      </c>
      <c r="K53" s="183">
        <f>'T20'!K22</f>
        <v>30</v>
      </c>
      <c r="L53" s="183">
        <f>'T20'!L22</f>
        <v>22</v>
      </c>
      <c r="M53" s="183">
        <f>'T20'!M22</f>
        <v>22</v>
      </c>
      <c r="N53" s="183">
        <f>'T20'!N22</f>
        <v>21</v>
      </c>
      <c r="S53"/>
      <c r="T53"/>
    </row>
    <row r="54" spans="1:20" ht="14.25" customHeight="1" x14ac:dyDescent="0.2">
      <c r="A54" s="542"/>
      <c r="B54" s="542" t="s">
        <v>704</v>
      </c>
      <c r="C54" s="183">
        <f>'T20'!C23</f>
        <v>25</v>
      </c>
      <c r="D54" s="183">
        <f>'T20'!D23</f>
        <v>45</v>
      </c>
      <c r="E54" s="183">
        <f>'T20'!E23</f>
        <v>40</v>
      </c>
      <c r="F54" s="183">
        <f>'T20'!F23</f>
        <v>19</v>
      </c>
      <c r="G54" s="183">
        <f>'T20'!G23</f>
        <v>18</v>
      </c>
      <c r="H54" s="183">
        <f>'T20'!H23</f>
        <v>13</v>
      </c>
      <c r="I54" s="183">
        <f>'T20'!I23</f>
        <v>14</v>
      </c>
      <c r="J54" s="183">
        <f>'T20'!J23</f>
        <v>13</v>
      </c>
      <c r="K54" s="183">
        <f>'T20'!K23</f>
        <v>13</v>
      </c>
      <c r="L54" s="183">
        <f>'T20'!L23</f>
        <v>6</v>
      </c>
      <c r="M54" s="183">
        <f>'T20'!M23</f>
        <v>12</v>
      </c>
      <c r="N54" s="183">
        <f>'T20'!N23</f>
        <v>8</v>
      </c>
      <c r="S54"/>
      <c r="T54"/>
    </row>
    <row r="55" spans="1:20" ht="14.25" customHeight="1" x14ac:dyDescent="0.2">
      <c r="A55" s="542" t="s">
        <v>706</v>
      </c>
      <c r="B55" s="542" t="s">
        <v>705</v>
      </c>
      <c r="C55" s="183">
        <f>'T20'!C24</f>
        <v>56</v>
      </c>
      <c r="D55" s="183">
        <f>'T20'!D24</f>
        <v>45</v>
      </c>
      <c r="E55" s="183">
        <f>'T20'!E24</f>
        <v>43</v>
      </c>
      <c r="F55" s="183">
        <f>'T20'!F24</f>
        <v>32</v>
      </c>
      <c r="G55" s="183">
        <f>'T20'!G24</f>
        <v>49</v>
      </c>
      <c r="H55" s="183">
        <f>'T20'!H24</f>
        <v>52</v>
      </c>
      <c r="I55" s="183">
        <f>'T20'!I24</f>
        <v>45</v>
      </c>
      <c r="J55" s="183">
        <f>'T20'!J24</f>
        <v>60</v>
      </c>
      <c r="K55" s="183">
        <f>'T20'!K24</f>
        <v>33</v>
      </c>
      <c r="L55" s="183">
        <f>'T20'!L24</f>
        <v>33</v>
      </c>
      <c r="M55" s="183">
        <f>'T20'!M24</f>
        <v>37</v>
      </c>
      <c r="N55" s="183">
        <f>'T20'!N24</f>
        <v>33</v>
      </c>
      <c r="S55"/>
      <c r="T55"/>
    </row>
    <row r="56" spans="1:20" ht="14.25" customHeight="1" x14ac:dyDescent="0.2">
      <c r="A56" s="542"/>
      <c r="B56" s="542" t="s">
        <v>707</v>
      </c>
      <c r="C56" s="183">
        <f>'T20'!C25</f>
        <v>354</v>
      </c>
      <c r="D56" s="183">
        <f>'T20'!D25</f>
        <v>362</v>
      </c>
      <c r="E56" s="183">
        <f>'T20'!E25</f>
        <v>336</v>
      </c>
      <c r="F56" s="183">
        <f>'T20'!F25</f>
        <v>375</v>
      </c>
      <c r="G56" s="183">
        <f>'T20'!G25</f>
        <v>378</v>
      </c>
      <c r="H56" s="183">
        <f>'T20'!H25</f>
        <v>337</v>
      </c>
      <c r="I56" s="183">
        <f>'T20'!I25</f>
        <v>358</v>
      </c>
      <c r="J56" s="183">
        <f>'T20'!J25</f>
        <v>305</v>
      </c>
      <c r="K56" s="183">
        <f>'T20'!K25</f>
        <v>308</v>
      </c>
      <c r="L56" s="183">
        <f>'T20'!L25</f>
        <v>294</v>
      </c>
      <c r="M56" s="183">
        <f>'T20'!M25</f>
        <v>293</v>
      </c>
      <c r="N56" s="183">
        <f>'T20'!N25</f>
        <v>276</v>
      </c>
      <c r="S56"/>
      <c r="T56"/>
    </row>
    <row r="57" spans="1:20" ht="14.25" customHeight="1" x14ac:dyDescent="0.2">
      <c r="A57" s="542" t="s">
        <v>708</v>
      </c>
      <c r="B57" s="542" t="s">
        <v>709</v>
      </c>
      <c r="C57" s="183">
        <f>'T20'!C26</f>
        <v>11</v>
      </c>
      <c r="D57" s="183">
        <f>'T20'!D26</f>
        <v>10</v>
      </c>
      <c r="E57" s="183">
        <f>'T20'!E26</f>
        <v>3</v>
      </c>
      <c r="F57" s="183">
        <f>'T20'!F26</f>
        <v>7</v>
      </c>
      <c r="G57" s="183">
        <f>'T20'!G26</f>
        <v>10</v>
      </c>
      <c r="H57" s="183">
        <f>'T20'!H26</f>
        <v>7</v>
      </c>
      <c r="I57" s="183">
        <f>'T20'!I26</f>
        <v>7</v>
      </c>
      <c r="J57" s="183">
        <f>'T20'!J26</f>
        <v>4</v>
      </c>
      <c r="K57" s="183">
        <f>'T20'!K26</f>
        <v>4</v>
      </c>
      <c r="L57" s="183">
        <f>'T20'!L26</f>
        <v>9</v>
      </c>
      <c r="M57" s="183">
        <f>'T20'!M26</f>
        <v>9</v>
      </c>
      <c r="N57" s="183">
        <f>'T20'!N26</f>
        <v>11</v>
      </c>
      <c r="S57"/>
      <c r="T57"/>
    </row>
    <row r="58" spans="1:20" ht="14.25" customHeight="1" x14ac:dyDescent="0.2">
      <c r="A58" s="542"/>
      <c r="B58" s="542" t="s">
        <v>710</v>
      </c>
      <c r="C58" s="183">
        <f>'T20'!C27</f>
        <v>9</v>
      </c>
      <c r="D58" s="183">
        <f>'T20'!D27</f>
        <v>5</v>
      </c>
      <c r="E58" s="183">
        <f>'T20'!E27</f>
        <v>5</v>
      </c>
      <c r="F58" s="183">
        <f>'T20'!F27</f>
        <v>9</v>
      </c>
      <c r="G58" s="183">
        <f>'T20'!G27</f>
        <v>4</v>
      </c>
      <c r="H58" s="183">
        <f>'T20'!H27</f>
        <v>1</v>
      </c>
      <c r="I58" s="183">
        <f>'T20'!I27</f>
        <v>5</v>
      </c>
      <c r="J58" s="183">
        <f>'T20'!J27</f>
        <v>8</v>
      </c>
      <c r="K58" s="183">
        <f>'T20'!K27</f>
        <v>3</v>
      </c>
      <c r="L58" s="183">
        <f>'T20'!L27</f>
        <v>6</v>
      </c>
      <c r="M58" s="183">
        <f>'T20'!M27</f>
        <v>5</v>
      </c>
      <c r="N58" s="183">
        <f>'T20'!N27</f>
        <v>5</v>
      </c>
      <c r="S58"/>
      <c r="T58"/>
    </row>
    <row r="59" spans="1:20" ht="14.25" customHeight="1" x14ac:dyDescent="0.2">
      <c r="A59" s="542"/>
      <c r="B59" s="542" t="s">
        <v>711</v>
      </c>
      <c r="C59" s="183">
        <f>'T20'!C28</f>
        <v>19</v>
      </c>
      <c r="D59" s="183">
        <f>'T20'!D28</f>
        <v>22</v>
      </c>
      <c r="E59" s="183">
        <f>'T20'!E28</f>
        <v>11</v>
      </c>
      <c r="F59" s="183">
        <f>'T20'!F28</f>
        <v>20</v>
      </c>
      <c r="G59" s="183">
        <f>'T20'!G28</f>
        <v>16</v>
      </c>
      <c r="H59" s="183">
        <f>'T20'!H28</f>
        <v>15</v>
      </c>
      <c r="I59" s="183">
        <f>'T20'!I28</f>
        <v>14</v>
      </c>
      <c r="J59" s="183">
        <f>'T20'!J28</f>
        <v>25</v>
      </c>
      <c r="K59" s="183">
        <f>'T20'!K28</f>
        <v>23</v>
      </c>
      <c r="L59" s="183">
        <f>'T20'!L28</f>
        <v>18</v>
      </c>
      <c r="M59" s="183">
        <f>'T20'!M28</f>
        <v>10</v>
      </c>
      <c r="N59" s="183">
        <f>'T20'!N28</f>
        <v>30</v>
      </c>
      <c r="S59"/>
      <c r="T59"/>
    </row>
    <row r="60" spans="1:20" ht="14.25" customHeight="1" x14ac:dyDescent="0.2">
      <c r="A60" s="542" t="s">
        <v>712</v>
      </c>
      <c r="B60" s="542" t="s">
        <v>713</v>
      </c>
      <c r="C60" s="183">
        <f>'T20'!C29</f>
        <v>59</v>
      </c>
      <c r="D60" s="183">
        <f>'T20'!D29</f>
        <v>49</v>
      </c>
      <c r="E60" s="183">
        <f>'T20'!E29</f>
        <v>40</v>
      </c>
      <c r="F60" s="183">
        <f>'T20'!F29</f>
        <v>41</v>
      </c>
      <c r="G60" s="183">
        <f>'T20'!G29</f>
        <v>35</v>
      </c>
      <c r="H60" s="183">
        <f>'T20'!H29</f>
        <v>43</v>
      </c>
      <c r="I60" s="183">
        <f>'T20'!I29</f>
        <v>32</v>
      </c>
      <c r="J60" s="183">
        <f>'T20'!J29</f>
        <v>35</v>
      </c>
      <c r="K60" s="183">
        <f>'T20'!K29</f>
        <v>43</v>
      </c>
      <c r="L60" s="183">
        <f>'T20'!L29</f>
        <v>39</v>
      </c>
      <c r="M60" s="183">
        <f>'T20'!M29</f>
        <v>32</v>
      </c>
      <c r="N60" s="183">
        <f>'T20'!N29</f>
        <v>28</v>
      </c>
      <c r="S60"/>
      <c r="T60"/>
    </row>
    <row r="61" spans="1:20" ht="14.25" customHeight="1" x14ac:dyDescent="0.2">
      <c r="A61" s="542"/>
      <c r="B61" s="542" t="s">
        <v>714</v>
      </c>
      <c r="C61" s="183">
        <f>'T20'!C30</f>
        <v>139</v>
      </c>
      <c r="D61" s="183">
        <f>'T20'!D30</f>
        <v>147</v>
      </c>
      <c r="E61" s="183">
        <f>'T20'!E30</f>
        <v>138</v>
      </c>
      <c r="F61" s="183">
        <f>'T20'!F30</f>
        <v>176</v>
      </c>
      <c r="G61" s="183">
        <f>'T20'!G30</f>
        <v>115</v>
      </c>
      <c r="H61" s="183">
        <f>'T20'!H30</f>
        <v>119</v>
      </c>
      <c r="I61" s="183">
        <f>'T20'!I30</f>
        <v>132</v>
      </c>
      <c r="J61" s="183">
        <f>'T20'!J30</f>
        <v>126</v>
      </c>
      <c r="K61" s="183">
        <f>'T20'!K30</f>
        <v>129</v>
      </c>
      <c r="L61" s="183">
        <f>'T20'!L30</f>
        <v>105</v>
      </c>
      <c r="M61" s="183">
        <f>'T20'!M30</f>
        <v>102</v>
      </c>
      <c r="N61" s="183">
        <f>'T20'!N30</f>
        <v>85</v>
      </c>
      <c r="S61"/>
      <c r="T61"/>
    </row>
    <row r="62" spans="1:20" ht="14.25" customHeight="1" x14ac:dyDescent="0.2">
      <c r="A62" s="542"/>
      <c r="B62" s="542" t="s">
        <v>715</v>
      </c>
      <c r="C62" s="183">
        <f>'T20'!C31</f>
        <v>9</v>
      </c>
      <c r="D62" s="183">
        <f>'T20'!D31</f>
        <v>13</v>
      </c>
      <c r="E62" s="183">
        <f>'T20'!E31</f>
        <v>11</v>
      </c>
      <c r="F62" s="183">
        <f>'T20'!F31</f>
        <v>10</v>
      </c>
      <c r="G62" s="183">
        <f>'T20'!G31</f>
        <v>10</v>
      </c>
      <c r="H62" s="183">
        <f>'T20'!H31</f>
        <v>8</v>
      </c>
      <c r="I62" s="183">
        <f>'T20'!I31</f>
        <v>9</v>
      </c>
      <c r="J62" s="183">
        <f>'T20'!J31</f>
        <v>17</v>
      </c>
      <c r="K62" s="183">
        <f>'T20'!K31</f>
        <v>9</v>
      </c>
      <c r="L62" s="183">
        <f>'T20'!L31</f>
        <v>6</v>
      </c>
      <c r="M62" s="183">
        <f>'T20'!M31</f>
        <v>5</v>
      </c>
      <c r="N62" s="183">
        <f>'T20'!N31</f>
        <v>8</v>
      </c>
      <c r="S62"/>
      <c r="T62"/>
    </row>
    <row r="63" spans="1:20" ht="14.25" customHeight="1" x14ac:dyDescent="0.2">
      <c r="A63" s="542"/>
      <c r="B63" s="542" t="s">
        <v>716</v>
      </c>
      <c r="C63" s="183">
        <f>'T20'!C32</f>
        <v>5</v>
      </c>
      <c r="D63" s="183">
        <f>'T20'!D32</f>
        <v>6</v>
      </c>
      <c r="E63" s="183">
        <f>'T20'!E32</f>
        <v>9</v>
      </c>
      <c r="F63" s="183">
        <f>'T20'!F32</f>
        <v>3</v>
      </c>
      <c r="G63" s="183">
        <f>'T20'!G32</f>
        <v>5</v>
      </c>
      <c r="H63" s="183">
        <f>'T20'!H32</f>
        <v>11</v>
      </c>
      <c r="I63" s="183">
        <f>'T20'!I32</f>
        <v>6</v>
      </c>
      <c r="J63" s="183">
        <f>'T20'!J32</f>
        <v>5</v>
      </c>
      <c r="K63" s="183">
        <f>'T20'!K32</f>
        <v>4</v>
      </c>
      <c r="L63" s="183">
        <f>'T20'!L32</f>
        <v>6</v>
      </c>
      <c r="M63" s="183">
        <f>'T20'!M32</f>
        <v>4</v>
      </c>
      <c r="N63" s="183">
        <f>'T20'!N32</f>
        <v>8</v>
      </c>
      <c r="S63"/>
      <c r="T63"/>
    </row>
    <row r="64" spans="1:20" ht="14.25" customHeight="1" x14ac:dyDescent="0.2">
      <c r="A64" s="542"/>
      <c r="B64" s="542" t="s">
        <v>72</v>
      </c>
      <c r="C64" s="183">
        <f>'T20'!C33</f>
        <v>42</v>
      </c>
      <c r="D64" s="183">
        <f>'T20'!D33</f>
        <v>47</v>
      </c>
      <c r="E64" s="183">
        <f>'T20'!E33</f>
        <v>48</v>
      </c>
      <c r="F64" s="183">
        <f>'T20'!F33</f>
        <v>19</v>
      </c>
      <c r="G64" s="183">
        <f>'T20'!G33</f>
        <v>17</v>
      </c>
      <c r="H64" s="183">
        <f>'T20'!H33</f>
        <v>19</v>
      </c>
      <c r="I64" s="183">
        <f>'T20'!I33</f>
        <v>10</v>
      </c>
      <c r="J64" s="183">
        <f>'T20'!J33</f>
        <v>9</v>
      </c>
      <c r="K64" s="183">
        <f>'T20'!K33</f>
        <v>11</v>
      </c>
      <c r="L64" s="183">
        <f>'T20'!L33</f>
        <v>11</v>
      </c>
      <c r="M64" s="183">
        <f>'T20'!M33</f>
        <v>12</v>
      </c>
      <c r="N64" s="183">
        <f>'T20'!N33</f>
        <v>12</v>
      </c>
      <c r="S64"/>
      <c r="T64"/>
    </row>
    <row r="65" spans="1:20" ht="14.25" customHeight="1" x14ac:dyDescent="0.2">
      <c r="A65" s="542" t="s">
        <v>717</v>
      </c>
      <c r="B65" s="542" t="s">
        <v>718</v>
      </c>
      <c r="C65" s="183">
        <f>'T20'!C34</f>
        <v>2</v>
      </c>
      <c r="D65" s="183">
        <f>'T20'!D34</f>
        <v>2</v>
      </c>
      <c r="E65" s="183">
        <f>'T20'!E34</f>
        <v>2</v>
      </c>
      <c r="F65" s="183">
        <f>'T20'!F34</f>
        <v>1</v>
      </c>
      <c r="G65" s="183">
        <f>'T20'!G34</f>
        <v>1</v>
      </c>
      <c r="H65" s="183">
        <f>'T20'!H34</f>
        <v>3</v>
      </c>
      <c r="I65" s="183">
        <f>'T20'!I34</f>
        <v>4</v>
      </c>
      <c r="J65" s="183">
        <f>'T20'!J34</f>
        <v>3</v>
      </c>
      <c r="K65" s="183">
        <f>'T20'!K34</f>
        <v>1</v>
      </c>
      <c r="L65" s="183">
        <f>'T20'!L34</f>
        <v>4</v>
      </c>
      <c r="M65" s="183">
        <f>'T20'!M34</f>
        <v>5</v>
      </c>
      <c r="N65" s="183">
        <f>'T20'!N34</f>
        <v>2</v>
      </c>
      <c r="S65"/>
      <c r="T65"/>
    </row>
    <row r="66" spans="1:20" ht="14.25" customHeight="1" x14ac:dyDescent="0.2">
      <c r="A66" s="542"/>
      <c r="B66" s="542" t="s">
        <v>719</v>
      </c>
      <c r="C66" s="183">
        <f>'T20'!C35</f>
        <v>4</v>
      </c>
      <c r="D66" s="183">
        <f>'T20'!D35</f>
        <v>4</v>
      </c>
      <c r="E66" s="183">
        <f>'T20'!E35</f>
        <v>2</v>
      </c>
      <c r="F66" s="183">
        <f>'T20'!F35</f>
        <v>4</v>
      </c>
      <c r="G66" s="183">
        <f>'T20'!G35</f>
        <v>7</v>
      </c>
      <c r="H66" s="183">
        <f>'T20'!H35</f>
        <v>8</v>
      </c>
      <c r="I66" s="183">
        <f>'T20'!I35</f>
        <v>8</v>
      </c>
      <c r="J66" s="183">
        <f>'T20'!J35</f>
        <v>7</v>
      </c>
      <c r="K66" s="183">
        <f>'T20'!K35</f>
        <v>8</v>
      </c>
      <c r="L66" s="183">
        <f>'T20'!L35</f>
        <v>11</v>
      </c>
      <c r="M66" s="183">
        <f>'T20'!M35</f>
        <v>10</v>
      </c>
      <c r="N66" s="183">
        <f>'T20'!N35</f>
        <v>10</v>
      </c>
      <c r="S66"/>
      <c r="T66"/>
    </row>
    <row r="67" spans="1:20" ht="14.25" customHeight="1" x14ac:dyDescent="0.2">
      <c r="A67" s="542"/>
      <c r="B67" s="542" t="s">
        <v>720</v>
      </c>
      <c r="C67" s="183">
        <f>'T20'!C36</f>
        <v>12</v>
      </c>
      <c r="D67" s="183">
        <f>'T20'!D36</f>
        <v>19</v>
      </c>
      <c r="E67" s="183">
        <f>'T20'!E36</f>
        <v>9</v>
      </c>
      <c r="F67" s="183">
        <f>'T20'!F36</f>
        <v>14</v>
      </c>
      <c r="G67" s="183">
        <f>'T20'!G36</f>
        <v>16</v>
      </c>
      <c r="H67" s="183">
        <f>'T20'!H36</f>
        <v>9</v>
      </c>
      <c r="I67" s="183">
        <f>'T20'!I36</f>
        <v>17</v>
      </c>
      <c r="J67" s="183">
        <f>'T20'!J36</f>
        <v>6</v>
      </c>
      <c r="K67" s="183">
        <f>'T20'!K36</f>
        <v>2</v>
      </c>
      <c r="L67" s="183">
        <f>'T20'!L36</f>
        <v>3</v>
      </c>
      <c r="M67" s="183">
        <f>'T20'!M36</f>
        <v>4</v>
      </c>
      <c r="N67" s="183">
        <f>'T20'!N36</f>
        <v>4</v>
      </c>
      <c r="S67"/>
      <c r="T67"/>
    </row>
    <row r="68" spans="1:20" ht="14.25" customHeight="1" x14ac:dyDescent="0.2">
      <c r="A68" s="542"/>
      <c r="B68" s="542" t="s">
        <v>721</v>
      </c>
      <c r="C68" s="183">
        <f>'T20'!C37</f>
        <v>30</v>
      </c>
      <c r="D68" s="183">
        <f>'T20'!D37</f>
        <v>43</v>
      </c>
      <c r="E68" s="183">
        <f>'T20'!E37</f>
        <v>42</v>
      </c>
      <c r="F68" s="183">
        <f>'T20'!F37</f>
        <v>46</v>
      </c>
      <c r="G68" s="183">
        <f>'T20'!G37</f>
        <v>40</v>
      </c>
      <c r="H68" s="183">
        <f>'T20'!H37</f>
        <v>44</v>
      </c>
      <c r="I68" s="183">
        <f>'T20'!I37</f>
        <v>31</v>
      </c>
      <c r="J68" s="183">
        <f>'T20'!J37</f>
        <v>38</v>
      </c>
      <c r="K68" s="183">
        <f>'T20'!K37</f>
        <v>39</v>
      </c>
      <c r="L68" s="183">
        <f>'T20'!L37</f>
        <v>32</v>
      </c>
      <c r="M68" s="183">
        <f>'T20'!M37</f>
        <v>25</v>
      </c>
      <c r="N68" s="183">
        <f>'T20'!N37</f>
        <v>20</v>
      </c>
      <c r="S68"/>
      <c r="T68"/>
    </row>
    <row r="69" spans="1:20" ht="14.25" customHeight="1" x14ac:dyDescent="0.2">
      <c r="A69" s="542"/>
      <c r="B69" s="542" t="s">
        <v>722</v>
      </c>
      <c r="C69" s="183">
        <f>'T20'!C38</f>
        <v>16</v>
      </c>
      <c r="D69" s="183">
        <f>'T20'!D38</f>
        <v>20</v>
      </c>
      <c r="E69" s="183">
        <f>'T20'!E38</f>
        <v>18</v>
      </c>
      <c r="F69" s="183">
        <f>'T20'!F38</f>
        <v>18</v>
      </c>
      <c r="G69" s="183">
        <f>'T20'!G38</f>
        <v>17</v>
      </c>
      <c r="H69" s="183">
        <f>'T20'!H38</f>
        <v>7</v>
      </c>
      <c r="I69" s="183">
        <f>'T20'!I38</f>
        <v>9</v>
      </c>
      <c r="J69" s="183">
        <f>'T20'!J38</f>
        <v>10</v>
      </c>
      <c r="K69" s="183">
        <f>'T20'!K38</f>
        <v>3</v>
      </c>
      <c r="L69" s="183">
        <f>'T20'!L38</f>
        <v>12</v>
      </c>
      <c r="M69" s="183">
        <f>'T20'!M38</f>
        <v>2</v>
      </c>
      <c r="N69" s="183">
        <f>'T20'!N38</f>
        <v>9</v>
      </c>
      <c r="S69"/>
      <c r="T69"/>
    </row>
    <row r="70" spans="1:20" ht="14.25" customHeight="1" x14ac:dyDescent="0.2">
      <c r="A70" s="542"/>
      <c r="B70" s="542" t="s">
        <v>723</v>
      </c>
      <c r="C70" s="183">
        <f>'T20'!C39</f>
        <v>0</v>
      </c>
      <c r="D70" s="183">
        <f>'T20'!D39</f>
        <v>2</v>
      </c>
      <c r="E70" s="183">
        <f>'T20'!E39</f>
        <v>1</v>
      </c>
      <c r="F70" s="183">
        <f>'T20'!F39</f>
        <v>5</v>
      </c>
      <c r="G70" s="183">
        <f>'T20'!G39</f>
        <v>4</v>
      </c>
      <c r="H70" s="183">
        <f>'T20'!H39</f>
        <v>5</v>
      </c>
      <c r="I70" s="183">
        <f>'T20'!I39</f>
        <v>3</v>
      </c>
      <c r="J70" s="183">
        <f>'T20'!J39</f>
        <v>4</v>
      </c>
      <c r="K70" s="183">
        <f>'T20'!K39</f>
        <v>4</v>
      </c>
      <c r="L70" s="183">
        <f>'T20'!L39</f>
        <v>5</v>
      </c>
      <c r="M70" s="183">
        <f>'T20'!M39</f>
        <v>3</v>
      </c>
      <c r="N70" s="183">
        <f>'T20'!N39</f>
        <v>3</v>
      </c>
      <c r="S70"/>
      <c r="T70"/>
    </row>
    <row r="71" spans="1:20" ht="14.25" customHeight="1" x14ac:dyDescent="0.2">
      <c r="A71" s="542"/>
      <c r="B71" s="542" t="s">
        <v>724</v>
      </c>
      <c r="C71" s="183">
        <f>'T20'!C40</f>
        <v>9</v>
      </c>
      <c r="D71" s="183">
        <f>'T20'!D40</f>
        <v>13</v>
      </c>
      <c r="E71" s="183">
        <f>'T20'!E40</f>
        <v>25</v>
      </c>
      <c r="F71" s="183">
        <f>'T20'!F40</f>
        <v>26</v>
      </c>
      <c r="G71" s="183">
        <f>'T20'!G40</f>
        <v>14</v>
      </c>
      <c r="H71" s="183">
        <f>'T20'!H40</f>
        <v>22</v>
      </c>
      <c r="I71" s="183">
        <f>'T20'!I40</f>
        <v>26</v>
      </c>
      <c r="J71" s="183">
        <f>'T20'!J40</f>
        <v>18</v>
      </c>
      <c r="K71" s="183">
        <f>'T20'!K40</f>
        <v>16</v>
      </c>
      <c r="L71" s="183">
        <f>'T20'!L40</f>
        <v>27</v>
      </c>
      <c r="M71" s="183">
        <f>'T20'!M40</f>
        <v>22</v>
      </c>
      <c r="N71" s="183">
        <f>'T20'!N40</f>
        <v>21</v>
      </c>
      <c r="S71"/>
      <c r="T71"/>
    </row>
    <row r="72" spans="1:20" ht="14.25" customHeight="1" x14ac:dyDescent="0.2">
      <c r="A72" s="542"/>
      <c r="B72" s="542" t="s">
        <v>725</v>
      </c>
      <c r="C72" s="183">
        <f>'T20'!C41</f>
        <v>26</v>
      </c>
      <c r="D72" s="183">
        <f>'T20'!D41</f>
        <v>26</v>
      </c>
      <c r="E72" s="183">
        <f>'T20'!E41</f>
        <v>43</v>
      </c>
      <c r="F72" s="183">
        <f>'T20'!F41</f>
        <v>19</v>
      </c>
      <c r="G72" s="183">
        <f>'T20'!G41</f>
        <v>28</v>
      </c>
      <c r="H72" s="183">
        <f>'T20'!H41</f>
        <v>31</v>
      </c>
      <c r="I72" s="183">
        <f>'T20'!I41</f>
        <v>20</v>
      </c>
      <c r="J72" s="183">
        <f>'T20'!J41</f>
        <v>21</v>
      </c>
      <c r="K72" s="183">
        <f>'T20'!K41</f>
        <v>24</v>
      </c>
      <c r="L72" s="183">
        <f>'T20'!L41</f>
        <v>26</v>
      </c>
      <c r="M72" s="183">
        <f>'T20'!M41</f>
        <v>28</v>
      </c>
      <c r="N72" s="183">
        <f>'T20'!N41</f>
        <v>22</v>
      </c>
      <c r="S72"/>
      <c r="T72"/>
    </row>
    <row r="73" spans="1:20" ht="14.25" customHeight="1" x14ac:dyDescent="0.2">
      <c r="A73" s="542"/>
      <c r="B73" s="542" t="s">
        <v>726</v>
      </c>
      <c r="C73" s="183">
        <f>'T20'!C42</f>
        <v>4</v>
      </c>
      <c r="D73" s="183">
        <f>'T20'!D42</f>
        <v>4</v>
      </c>
      <c r="E73" s="183">
        <f>'T20'!E42</f>
        <v>7</v>
      </c>
      <c r="F73" s="183">
        <f>'T20'!F42</f>
        <v>3</v>
      </c>
      <c r="G73" s="183">
        <f>'T20'!G42</f>
        <v>6</v>
      </c>
      <c r="H73" s="183">
        <f>'T20'!H42</f>
        <v>5</v>
      </c>
      <c r="I73" s="183">
        <f>'T20'!I42</f>
        <v>5</v>
      </c>
      <c r="J73" s="183">
        <f>'T20'!J42</f>
        <v>4</v>
      </c>
      <c r="K73" s="183">
        <f>'T20'!K42</f>
        <v>5</v>
      </c>
      <c r="L73" s="183">
        <f>'T20'!L42</f>
        <v>2</v>
      </c>
      <c r="M73" s="183">
        <f>'T20'!M42</f>
        <v>9</v>
      </c>
      <c r="N73" s="183">
        <f>'T20'!N42</f>
        <v>3</v>
      </c>
      <c r="S73"/>
      <c r="T73"/>
    </row>
    <row r="74" spans="1:20" ht="14.25" customHeight="1" x14ac:dyDescent="0.2">
      <c r="A74" s="542"/>
      <c r="B74" s="542" t="s">
        <v>727</v>
      </c>
      <c r="C74" s="183">
        <f>'T20'!C43</f>
        <v>8</v>
      </c>
      <c r="D74" s="183">
        <f>'T20'!D43</f>
        <v>6</v>
      </c>
      <c r="E74" s="183">
        <f>'T20'!E43</f>
        <v>4</v>
      </c>
      <c r="F74" s="183">
        <f>'T20'!F43</f>
        <v>5</v>
      </c>
      <c r="G74" s="183">
        <f>'T20'!G43</f>
        <v>5</v>
      </c>
      <c r="H74" s="183">
        <f>'T20'!H43</f>
        <v>7</v>
      </c>
      <c r="I74" s="183">
        <f>'T20'!I43</f>
        <v>1</v>
      </c>
      <c r="J74" s="183">
        <f>'T20'!J43</f>
        <v>6</v>
      </c>
      <c r="K74" s="183">
        <f>'T20'!K43</f>
        <v>1</v>
      </c>
      <c r="L74" s="183">
        <f>'T20'!L43</f>
        <v>6</v>
      </c>
      <c r="M74" s="183">
        <f>'T20'!M43</f>
        <v>5</v>
      </c>
      <c r="N74" s="183">
        <f>'T20'!N43</f>
        <v>4</v>
      </c>
      <c r="S74"/>
      <c r="T74"/>
    </row>
    <row r="75" spans="1:20" ht="14.25" customHeight="1" x14ac:dyDescent="0.2">
      <c r="A75" s="542"/>
      <c r="B75" s="542" t="s">
        <v>717</v>
      </c>
      <c r="C75" s="183">
        <f>'T20'!C44</f>
        <v>41</v>
      </c>
      <c r="D75" s="183">
        <f>'T20'!D44</f>
        <v>21</v>
      </c>
      <c r="E75" s="183">
        <f>'T20'!E44</f>
        <v>37</v>
      </c>
      <c r="F75" s="183">
        <f>'T20'!F44</f>
        <v>14</v>
      </c>
      <c r="G75" s="183">
        <f>'T20'!G44</f>
        <v>8</v>
      </c>
      <c r="H75" s="183">
        <f>'T20'!H44</f>
        <v>13</v>
      </c>
      <c r="I75" s="183">
        <f>'T20'!I44</f>
        <v>9</v>
      </c>
      <c r="J75" s="183">
        <f>'T20'!J44</f>
        <v>9</v>
      </c>
      <c r="K75" s="183">
        <f>'T20'!K44</f>
        <v>12</v>
      </c>
      <c r="L75" s="183">
        <f>'T20'!L44</f>
        <v>2</v>
      </c>
      <c r="M75" s="183">
        <f>'T20'!M44</f>
        <v>3</v>
      </c>
      <c r="N75" s="183">
        <f>'T20'!N44</f>
        <v>13</v>
      </c>
      <c r="S75"/>
      <c r="T75"/>
    </row>
    <row r="76" spans="1:20" ht="14.25" customHeight="1" x14ac:dyDescent="0.2">
      <c r="A76" s="542"/>
      <c r="B76" s="542" t="s">
        <v>728</v>
      </c>
      <c r="C76" s="183">
        <f>'T20'!C45</f>
        <v>2</v>
      </c>
      <c r="D76" s="183">
        <f>'T20'!D45</f>
        <v>5</v>
      </c>
      <c r="E76" s="183">
        <f>'T20'!E45</f>
        <v>8</v>
      </c>
      <c r="F76" s="183">
        <f>'T20'!F45</f>
        <v>3</v>
      </c>
      <c r="G76" s="183">
        <f>'T20'!G45</f>
        <v>6</v>
      </c>
      <c r="H76" s="183">
        <f>'T20'!H45</f>
        <v>7</v>
      </c>
      <c r="I76" s="183">
        <f>'T20'!I45</f>
        <v>5</v>
      </c>
      <c r="J76" s="183">
        <f>'T20'!J45</f>
        <v>4</v>
      </c>
      <c r="K76" s="183">
        <f>'T20'!K45</f>
        <v>7</v>
      </c>
      <c r="L76" s="183">
        <f>'T20'!L45</f>
        <v>9</v>
      </c>
      <c r="M76" s="183">
        <f>'T20'!M45</f>
        <v>3</v>
      </c>
      <c r="N76" s="183">
        <f>'T20'!N45</f>
        <v>8</v>
      </c>
      <c r="S76"/>
      <c r="T76"/>
    </row>
    <row r="77" spans="1:20" ht="14.25" customHeight="1" x14ac:dyDescent="0.2">
      <c r="A77" s="542"/>
      <c r="B77" s="542" t="s">
        <v>729</v>
      </c>
      <c r="C77" s="183">
        <f>'T20'!C46</f>
        <v>7</v>
      </c>
      <c r="D77" s="183">
        <f>'T20'!D46</f>
        <v>8</v>
      </c>
      <c r="E77" s="183">
        <f>'T20'!E46</f>
        <v>5</v>
      </c>
      <c r="F77" s="183">
        <f>'T20'!F46</f>
        <v>5</v>
      </c>
      <c r="G77" s="183">
        <f>'T20'!G46</f>
        <v>5</v>
      </c>
      <c r="H77" s="183">
        <f>'T20'!H46</f>
        <v>4</v>
      </c>
      <c r="I77" s="183">
        <f>'T20'!I46</f>
        <v>0</v>
      </c>
      <c r="J77" s="183">
        <f>'T20'!J46</f>
        <v>1</v>
      </c>
      <c r="K77" s="183">
        <f>'T20'!K46</f>
        <v>3</v>
      </c>
      <c r="L77" s="183">
        <f>'T20'!L46</f>
        <v>0</v>
      </c>
      <c r="M77" s="183">
        <f>'T20'!M46</f>
        <v>5</v>
      </c>
      <c r="N77" s="183">
        <f>'T20'!N46</f>
        <v>2</v>
      </c>
      <c r="S77"/>
      <c r="T77"/>
    </row>
    <row r="78" spans="1:20" ht="14.25" customHeight="1" x14ac:dyDescent="0.2">
      <c r="A78" s="542"/>
      <c r="B78" s="542" t="s">
        <v>730</v>
      </c>
      <c r="C78" s="183">
        <f>'T20'!C47</f>
        <v>0</v>
      </c>
      <c r="D78" s="183">
        <f>'T20'!D47</f>
        <v>0</v>
      </c>
      <c r="E78" s="183">
        <f>'T20'!E47</f>
        <v>1</v>
      </c>
      <c r="F78" s="183">
        <f>'T20'!F47</f>
        <v>0</v>
      </c>
      <c r="G78" s="183">
        <f>'T20'!G47</f>
        <v>0</v>
      </c>
      <c r="H78" s="183">
        <f>'T20'!H47</f>
        <v>0</v>
      </c>
      <c r="I78" s="183">
        <f>'T20'!I47</f>
        <v>1</v>
      </c>
      <c r="J78" s="183">
        <f>'T20'!J47</f>
        <v>1</v>
      </c>
      <c r="K78" s="183">
        <f>'T20'!K47</f>
        <v>0</v>
      </c>
      <c r="L78" s="183">
        <f>'T20'!L47</f>
        <v>0</v>
      </c>
      <c r="M78" s="183">
        <f>'T20'!M47</f>
        <v>0</v>
      </c>
      <c r="N78" s="183">
        <f>'T20'!N47</f>
        <v>0</v>
      </c>
      <c r="S78"/>
      <c r="T78"/>
    </row>
    <row r="79" spans="1:20" ht="14.25" customHeight="1" x14ac:dyDescent="0.2">
      <c r="A79" s="542"/>
      <c r="B79" s="542" t="s">
        <v>731</v>
      </c>
      <c r="C79" s="183">
        <f>'T20'!C48</f>
        <v>65</v>
      </c>
      <c r="D79" s="183">
        <f>'T20'!D48</f>
        <v>72</v>
      </c>
      <c r="E79" s="183">
        <f>'T20'!E48</f>
        <v>68</v>
      </c>
      <c r="F79" s="183">
        <f>'T20'!F48</f>
        <v>83</v>
      </c>
      <c r="G79" s="183">
        <f>'T20'!G48</f>
        <v>66</v>
      </c>
      <c r="H79" s="183">
        <f>'T20'!H48</f>
        <v>74</v>
      </c>
      <c r="I79" s="183">
        <f>'T20'!I48</f>
        <v>80</v>
      </c>
      <c r="J79" s="183">
        <f>'T20'!J48</f>
        <v>76</v>
      </c>
      <c r="K79" s="183">
        <f>'T20'!K48</f>
        <v>82</v>
      </c>
      <c r="L79" s="183">
        <f>'T20'!L48</f>
        <v>87</v>
      </c>
      <c r="M79" s="183">
        <f>'T20'!M48</f>
        <v>92</v>
      </c>
      <c r="N79" s="183">
        <f>'T20'!N48</f>
        <v>53</v>
      </c>
      <c r="S79"/>
      <c r="T79"/>
    </row>
    <row r="80" spans="1:20" ht="14.25" customHeight="1" x14ac:dyDescent="0.2">
      <c r="A80" s="542"/>
      <c r="B80" s="542" t="s">
        <v>732</v>
      </c>
      <c r="C80" s="183">
        <f>'T20'!C49</f>
        <v>23</v>
      </c>
      <c r="D80" s="183">
        <f>'T20'!D49</f>
        <v>27</v>
      </c>
      <c r="E80" s="183">
        <f>'T20'!E49</f>
        <v>13</v>
      </c>
      <c r="F80" s="183">
        <f>'T20'!F49</f>
        <v>14</v>
      </c>
      <c r="G80" s="183">
        <f>'T20'!G49</f>
        <v>13</v>
      </c>
      <c r="H80" s="183">
        <f>'T20'!H49</f>
        <v>15</v>
      </c>
      <c r="I80" s="183">
        <f>'T20'!I49</f>
        <v>11</v>
      </c>
      <c r="J80" s="183">
        <f>'T20'!J49</f>
        <v>5</v>
      </c>
      <c r="K80" s="183">
        <f>'T20'!K49</f>
        <v>11</v>
      </c>
      <c r="L80" s="183">
        <f>'T20'!L49</f>
        <v>8</v>
      </c>
      <c r="M80" s="183">
        <f>'T20'!M49</f>
        <v>5</v>
      </c>
      <c r="N80" s="183">
        <f>'T20'!N49</f>
        <v>3</v>
      </c>
      <c r="S80"/>
      <c r="T80"/>
    </row>
    <row r="81" spans="1:20" ht="14.25" customHeight="1" x14ac:dyDescent="0.2">
      <c r="A81" s="542"/>
      <c r="B81" s="542" t="s">
        <v>733</v>
      </c>
      <c r="C81" s="183">
        <f>'T20'!C50</f>
        <v>1</v>
      </c>
      <c r="D81" s="183">
        <f>'T20'!D50</f>
        <v>5</v>
      </c>
      <c r="E81" s="183">
        <f>'T20'!E50</f>
        <v>2</v>
      </c>
      <c r="F81" s="183">
        <f>'T20'!F50</f>
        <v>2</v>
      </c>
      <c r="G81" s="183">
        <f>'T20'!G50</f>
        <v>3</v>
      </c>
      <c r="H81" s="183">
        <f>'T20'!H50</f>
        <v>5</v>
      </c>
      <c r="I81" s="183">
        <f>'T20'!I50</f>
        <v>3</v>
      </c>
      <c r="J81" s="183">
        <f>'T20'!J50</f>
        <v>4</v>
      </c>
      <c r="K81" s="183">
        <f>'T20'!K50</f>
        <v>7</v>
      </c>
      <c r="L81" s="183">
        <f>'T20'!L50</f>
        <v>1</v>
      </c>
      <c r="M81" s="183">
        <f>'T20'!M50</f>
        <v>4</v>
      </c>
      <c r="N81" s="183">
        <f>'T20'!N50</f>
        <v>2</v>
      </c>
      <c r="S81"/>
      <c r="T81"/>
    </row>
    <row r="82" spans="1:20" ht="14.25" customHeight="1" x14ac:dyDescent="0.2">
      <c r="A82" s="542"/>
      <c r="B82" s="542" t="s">
        <v>734</v>
      </c>
      <c r="C82" s="183">
        <f>'T20'!C51</f>
        <v>2</v>
      </c>
      <c r="D82" s="183">
        <f>'T20'!D51</f>
        <v>3</v>
      </c>
      <c r="E82" s="183">
        <f>'T20'!E51</f>
        <v>0</v>
      </c>
      <c r="F82" s="183">
        <f>'T20'!F51</f>
        <v>1</v>
      </c>
      <c r="G82" s="183">
        <f>'T20'!G51</f>
        <v>1</v>
      </c>
      <c r="H82" s="183">
        <f>'T20'!H51</f>
        <v>1</v>
      </c>
      <c r="I82" s="183">
        <f>'T20'!I51</f>
        <v>1</v>
      </c>
      <c r="J82" s="183">
        <f>'T20'!J51</f>
        <v>1</v>
      </c>
      <c r="K82" s="183">
        <f>'T20'!K51</f>
        <v>0</v>
      </c>
      <c r="L82" s="183">
        <f>'T20'!L51</f>
        <v>0</v>
      </c>
      <c r="M82" s="183">
        <f>'T20'!M51</f>
        <v>0</v>
      </c>
      <c r="N82" s="183">
        <f>'T20'!N51</f>
        <v>0</v>
      </c>
      <c r="S82"/>
      <c r="T82"/>
    </row>
    <row r="83" spans="1:20" ht="14.25" customHeight="1" x14ac:dyDescent="0.2">
      <c r="A83" s="542"/>
      <c r="B83" s="542" t="s">
        <v>735</v>
      </c>
      <c r="C83" s="183">
        <f>'T20'!C52</f>
        <v>13</v>
      </c>
      <c r="D83" s="183">
        <f>'T20'!D52</f>
        <v>12</v>
      </c>
      <c r="E83" s="183">
        <f>'T20'!E52</f>
        <v>8</v>
      </c>
      <c r="F83" s="183">
        <f>'T20'!F52</f>
        <v>11</v>
      </c>
      <c r="G83" s="183">
        <f>'T20'!G52</f>
        <v>8</v>
      </c>
      <c r="H83" s="183">
        <f>'T20'!H52</f>
        <v>11</v>
      </c>
      <c r="I83" s="183">
        <f>'T20'!I52</f>
        <v>13</v>
      </c>
      <c r="J83" s="183">
        <f>'T20'!J52</f>
        <v>3</v>
      </c>
      <c r="K83" s="183">
        <f>'T20'!K52</f>
        <v>9</v>
      </c>
      <c r="L83" s="183">
        <f>'T20'!L52</f>
        <v>4</v>
      </c>
      <c r="M83" s="183">
        <f>'T20'!M52</f>
        <v>6</v>
      </c>
      <c r="N83" s="183">
        <f>'T20'!N52</f>
        <v>11</v>
      </c>
      <c r="S83"/>
      <c r="T83"/>
    </row>
    <row r="84" spans="1:20" ht="14.25" customHeight="1" x14ac:dyDescent="0.2">
      <c r="A84" s="542"/>
      <c r="B84" s="542" t="s">
        <v>736</v>
      </c>
      <c r="C84" s="183">
        <f>'T20'!C53</f>
        <v>91</v>
      </c>
      <c r="D84" s="183">
        <f>'T20'!D53</f>
        <v>86</v>
      </c>
      <c r="E84" s="183">
        <f>'T20'!E53</f>
        <v>94</v>
      </c>
      <c r="F84" s="183">
        <f>'T20'!F53</f>
        <v>78</v>
      </c>
      <c r="G84" s="183">
        <f>'T20'!G53</f>
        <v>82</v>
      </c>
      <c r="H84" s="183">
        <f>'T20'!H53</f>
        <v>82</v>
      </c>
      <c r="I84" s="183">
        <f>'T20'!I53</f>
        <v>89</v>
      </c>
      <c r="J84" s="183">
        <f>'T20'!J53</f>
        <v>95</v>
      </c>
      <c r="K84" s="183">
        <f>'T20'!K53</f>
        <v>117</v>
      </c>
      <c r="L84" s="183">
        <f>'T20'!L53</f>
        <v>90</v>
      </c>
      <c r="M84" s="183">
        <f>'T20'!M53</f>
        <v>103</v>
      </c>
      <c r="N84" s="183">
        <f>'T20'!N53</f>
        <v>90</v>
      </c>
      <c r="S84"/>
      <c r="T84"/>
    </row>
    <row r="85" spans="1:20" ht="14.25" customHeight="1" x14ac:dyDescent="0.2">
      <c r="A85" s="542"/>
      <c r="B85" s="542" t="s">
        <v>72</v>
      </c>
      <c r="C85" s="183">
        <f>'T20'!C54</f>
        <v>4</v>
      </c>
      <c r="D85" s="183">
        <f>'T20'!D54</f>
        <v>2</v>
      </c>
      <c r="E85" s="183">
        <f>'T20'!E54</f>
        <v>1</v>
      </c>
      <c r="F85" s="183">
        <f>'T20'!F54</f>
        <v>1</v>
      </c>
      <c r="G85" s="183">
        <f>'T20'!G54</f>
        <v>4</v>
      </c>
      <c r="H85" s="183">
        <f>'T20'!H54</f>
        <v>7</v>
      </c>
      <c r="I85" s="183">
        <f>'T20'!I54</f>
        <v>0</v>
      </c>
      <c r="J85" s="183">
        <f>'T20'!J54</f>
        <v>7</v>
      </c>
      <c r="K85" s="183">
        <f>'T20'!K54</f>
        <v>1</v>
      </c>
      <c r="L85" s="183">
        <f>'T20'!L54</f>
        <v>5</v>
      </c>
      <c r="M85" s="183">
        <f>'T20'!M54</f>
        <v>4</v>
      </c>
      <c r="N85" s="183">
        <f>'T20'!N54</f>
        <v>12</v>
      </c>
      <c r="S85"/>
      <c r="T85"/>
    </row>
    <row r="86" spans="1:20" ht="14.25" customHeight="1" x14ac:dyDescent="0.2">
      <c r="A86" s="542" t="s">
        <v>205</v>
      </c>
      <c r="B86" s="542"/>
      <c r="C86" s="183">
        <f>'T20'!C55</f>
        <v>15</v>
      </c>
      <c r="D86" s="183">
        <f>'T20'!D55</f>
        <v>14</v>
      </c>
      <c r="E86" s="183">
        <f>'T20'!E55</f>
        <v>19</v>
      </c>
      <c r="F86" s="183">
        <f>'T20'!F55</f>
        <v>5</v>
      </c>
      <c r="G86" s="183">
        <f>'T20'!G55</f>
        <v>9</v>
      </c>
      <c r="H86" s="183">
        <f>'T20'!H55</f>
        <v>7</v>
      </c>
      <c r="I86" s="183">
        <f>'T20'!I55</f>
        <v>6</v>
      </c>
      <c r="J86" s="183">
        <f>'T20'!J55</f>
        <v>4</v>
      </c>
      <c r="K86" s="183">
        <f>'T20'!K55</f>
        <v>10</v>
      </c>
      <c r="L86" s="183">
        <f>'T20'!L55</f>
        <v>11</v>
      </c>
      <c r="M86" s="183">
        <f>'T20'!M55</f>
        <v>8</v>
      </c>
      <c r="N86" s="183">
        <f>'T20'!N55</f>
        <v>8</v>
      </c>
      <c r="S86"/>
      <c r="T86"/>
    </row>
    <row r="87" spans="1:20" ht="14.25" customHeight="1" x14ac:dyDescent="0.2">
      <c r="A87" s="542" t="s">
        <v>206</v>
      </c>
      <c r="B87" s="542"/>
      <c r="C87" s="183">
        <f>'T20'!C56</f>
        <v>1</v>
      </c>
      <c r="D87" s="183">
        <f>'T20'!D56</f>
        <v>0</v>
      </c>
      <c r="E87" s="183">
        <f>'T20'!E56</f>
        <v>3</v>
      </c>
      <c r="F87" s="183">
        <f>'T20'!F56</f>
        <v>0</v>
      </c>
      <c r="G87" s="183">
        <f>'T20'!G56</f>
        <v>2</v>
      </c>
      <c r="H87" s="183">
        <f>'T20'!H56</f>
        <v>4</v>
      </c>
      <c r="I87" s="183">
        <f>'T20'!I56</f>
        <v>2</v>
      </c>
      <c r="J87" s="183">
        <f>'T20'!J56</f>
        <v>1</v>
      </c>
      <c r="K87" s="183">
        <f>'T20'!K56</f>
        <v>1</v>
      </c>
      <c r="L87" s="183">
        <f>'T20'!L56</f>
        <v>0</v>
      </c>
      <c r="M87" s="183">
        <f>'T20'!M56</f>
        <v>2</v>
      </c>
      <c r="N87" s="183">
        <f>'T20'!N56</f>
        <v>3</v>
      </c>
      <c r="S87"/>
      <c r="T87"/>
    </row>
    <row r="88" spans="1:20" ht="14.25" customHeight="1" x14ac:dyDescent="0.2">
      <c r="A88" s="542" t="s">
        <v>738</v>
      </c>
      <c r="B88" s="542" t="s">
        <v>739</v>
      </c>
      <c r="C88" s="183">
        <f>'T20'!C57</f>
        <v>5</v>
      </c>
      <c r="D88" s="183">
        <f>'T20'!D57</f>
        <v>16</v>
      </c>
      <c r="E88" s="183">
        <f>'T20'!E57</f>
        <v>7</v>
      </c>
      <c r="F88" s="183">
        <f>'T20'!F57</f>
        <v>2</v>
      </c>
      <c r="G88" s="183">
        <f>'T20'!G57</f>
        <v>6</v>
      </c>
      <c r="H88" s="183">
        <f>'T20'!H57</f>
        <v>8</v>
      </c>
      <c r="I88" s="183">
        <f>'T20'!I57</f>
        <v>2</v>
      </c>
      <c r="J88" s="183">
        <f>'T20'!J57</f>
        <v>3</v>
      </c>
      <c r="K88" s="183">
        <f>'T20'!K57</f>
        <v>1</v>
      </c>
      <c r="L88" s="183">
        <f>'T20'!L57</f>
        <v>4</v>
      </c>
      <c r="M88" s="183">
        <f>'T20'!M57</f>
        <v>0</v>
      </c>
      <c r="N88" s="183">
        <f>'T20'!N57</f>
        <v>3</v>
      </c>
      <c r="S88"/>
      <c r="T88"/>
    </row>
    <row r="89" spans="1:20" ht="14.25" customHeight="1" x14ac:dyDescent="0.2">
      <c r="A89" s="542"/>
      <c r="B89" s="542" t="s">
        <v>72</v>
      </c>
      <c r="C89" s="183">
        <f>'T20'!C58</f>
        <v>11</v>
      </c>
      <c r="D89" s="183">
        <f>'T20'!D58</f>
        <v>10</v>
      </c>
      <c r="E89" s="183">
        <f>'T20'!E58</f>
        <v>12</v>
      </c>
      <c r="F89" s="183">
        <f>'T20'!F58</f>
        <v>19</v>
      </c>
      <c r="G89" s="183">
        <f>'T20'!G58</f>
        <v>8</v>
      </c>
      <c r="H89" s="183">
        <f>'T20'!H58</f>
        <v>17</v>
      </c>
      <c r="I89" s="183">
        <f>'T20'!I58</f>
        <v>21</v>
      </c>
      <c r="J89" s="183">
        <f>'T20'!J58</f>
        <v>15</v>
      </c>
      <c r="K89" s="183">
        <f>'T20'!K58</f>
        <v>10</v>
      </c>
      <c r="L89" s="183">
        <f>'T20'!L58</f>
        <v>22</v>
      </c>
      <c r="M89" s="183">
        <f>'T20'!M58</f>
        <v>12</v>
      </c>
      <c r="N89" s="183">
        <f>'T20'!N58</f>
        <v>14</v>
      </c>
      <c r="S89"/>
      <c r="T89"/>
    </row>
    <row r="90" spans="1:20" ht="14.25" customHeight="1" x14ac:dyDescent="0.2">
      <c r="A90" s="542" t="s">
        <v>207</v>
      </c>
      <c r="B90" s="542"/>
      <c r="C90" s="183">
        <f>'T20'!C59</f>
        <v>3</v>
      </c>
      <c r="D90" s="183">
        <f>'T20'!D59</f>
        <v>2</v>
      </c>
      <c r="E90" s="183">
        <f>'T20'!E59</f>
        <v>4</v>
      </c>
      <c r="F90" s="183">
        <f>'T20'!F59</f>
        <v>0</v>
      </c>
      <c r="G90" s="183">
        <f>'T20'!G59</f>
        <v>3</v>
      </c>
      <c r="H90" s="183">
        <f>'T20'!H59</f>
        <v>3</v>
      </c>
      <c r="I90" s="183">
        <f>'T20'!I59</f>
        <v>1</v>
      </c>
      <c r="J90" s="183">
        <f>'T20'!J59</f>
        <v>5</v>
      </c>
      <c r="K90" s="183">
        <f>'T20'!K59</f>
        <v>2</v>
      </c>
      <c r="L90" s="183">
        <f>'T20'!L59</f>
        <v>1</v>
      </c>
      <c r="M90" s="183">
        <f>'T20'!M59</f>
        <v>1</v>
      </c>
      <c r="N90" s="183">
        <f>'T20'!N59</f>
        <v>5</v>
      </c>
      <c r="S90"/>
      <c r="T90"/>
    </row>
    <row r="91" spans="1:20" ht="14.25" customHeight="1" x14ac:dyDescent="0.2">
      <c r="A91" s="542" t="s">
        <v>737</v>
      </c>
      <c r="B91" s="542"/>
      <c r="C91" s="183">
        <f>'T20'!C60</f>
        <v>15</v>
      </c>
      <c r="D91" s="183">
        <f>'T20'!D60</f>
        <v>16</v>
      </c>
      <c r="E91" s="183">
        <f>'T20'!E60</f>
        <v>7</v>
      </c>
      <c r="F91" s="183">
        <f>'T20'!F60</f>
        <v>9</v>
      </c>
      <c r="G91" s="183">
        <f>'T20'!G60</f>
        <v>18</v>
      </c>
      <c r="H91" s="183">
        <f>'T20'!H60</f>
        <v>14</v>
      </c>
      <c r="I91" s="183">
        <f>'T20'!I60</f>
        <v>18</v>
      </c>
      <c r="J91" s="183">
        <f>'T20'!J60</f>
        <v>17</v>
      </c>
      <c r="K91" s="183">
        <f>'T20'!K60</f>
        <v>10</v>
      </c>
      <c r="L91" s="183">
        <f>'T20'!L60</f>
        <v>7</v>
      </c>
      <c r="M91" s="183">
        <f>'T20'!M60</f>
        <v>17</v>
      </c>
      <c r="N91" s="183">
        <f>'T20'!N60</f>
        <v>14</v>
      </c>
      <c r="S91"/>
      <c r="T91"/>
    </row>
    <row r="92" spans="1:20" ht="14.25" customHeight="1" x14ac:dyDescent="0.2">
      <c r="A92" s="542" t="s">
        <v>208</v>
      </c>
      <c r="B92" s="542"/>
      <c r="C92" s="183">
        <f>'T20'!C61</f>
        <v>233</v>
      </c>
      <c r="D92" s="183">
        <f>'T20'!D61</f>
        <v>198</v>
      </c>
      <c r="E92" s="183">
        <f>'T20'!E61</f>
        <v>154</v>
      </c>
      <c r="F92" s="183">
        <f>'T20'!F61</f>
        <v>175</v>
      </c>
      <c r="G92" s="183">
        <f>'T20'!G61</f>
        <v>169</v>
      </c>
      <c r="H92" s="183">
        <f>'T20'!H61</f>
        <v>180</v>
      </c>
      <c r="I92" s="183">
        <f>'T20'!I61</f>
        <v>177</v>
      </c>
      <c r="J92" s="183">
        <f>'T20'!J61</f>
        <v>199</v>
      </c>
      <c r="K92" s="183">
        <f>'T20'!K61</f>
        <v>211</v>
      </c>
      <c r="L92" s="183">
        <f>'T20'!L61</f>
        <v>266</v>
      </c>
      <c r="M92" s="183">
        <f>'T20'!M61</f>
        <v>259</v>
      </c>
      <c r="N92" s="183">
        <f>'T20'!N61</f>
        <v>275</v>
      </c>
      <c r="S92"/>
      <c r="T92"/>
    </row>
    <row r="93" spans="1:20" ht="14.25" customHeight="1" x14ac:dyDescent="0.2">
      <c r="C93" s="183"/>
      <c r="D93" s="183"/>
      <c r="E93" s="183"/>
      <c r="F93" s="183"/>
      <c r="G93" s="183"/>
      <c r="H93" s="183"/>
      <c r="I93" s="183"/>
      <c r="J93" s="183"/>
      <c r="K93" s="183"/>
      <c r="L93" s="183"/>
      <c r="M93" s="183"/>
      <c r="S93"/>
      <c r="T93"/>
    </row>
    <row r="94" spans="1:20" ht="30" customHeight="1" thickBot="1" x14ac:dyDescent="0.25">
      <c r="A94" s="780" t="s">
        <v>143</v>
      </c>
      <c r="B94" s="780"/>
      <c r="C94" s="471">
        <f>SUM(C36:C92)</f>
        <v>5367</v>
      </c>
      <c r="D94" s="471">
        <f t="shared" ref="D94:L94" si="26">SUM(D36:D92)</f>
        <v>5209</v>
      </c>
      <c r="E94" s="471">
        <f t="shared" si="26"/>
        <v>5117</v>
      </c>
      <c r="F94" s="471">
        <f t="shared" si="26"/>
        <v>4997</v>
      </c>
      <c r="G94" s="471">
        <f t="shared" si="26"/>
        <v>4673</v>
      </c>
      <c r="H94" s="471">
        <f t="shared" si="26"/>
        <v>4953</v>
      </c>
      <c r="I94" s="471">
        <f t="shared" si="26"/>
        <v>5068</v>
      </c>
      <c r="J94" s="471">
        <f t="shared" si="26"/>
        <v>4922</v>
      </c>
      <c r="K94" s="471">
        <f t="shared" si="26"/>
        <v>4751</v>
      </c>
      <c r="L94" s="471">
        <f t="shared" si="26"/>
        <v>4635</v>
      </c>
      <c r="M94" s="471">
        <f t="shared" ref="M94:N94" si="27">SUM(M36:M92)</f>
        <v>4365</v>
      </c>
      <c r="N94" s="471">
        <f t="shared" si="27"/>
        <v>4141</v>
      </c>
      <c r="S94"/>
      <c r="T94"/>
    </row>
    <row r="95" spans="1:20" x14ac:dyDescent="0.2">
      <c r="A95" s="1"/>
      <c r="B95" s="1"/>
      <c r="C95" s="1"/>
      <c r="D95" s="1"/>
      <c r="E95" s="1"/>
      <c r="F95" s="1"/>
      <c r="G95" s="1"/>
      <c r="H95" s="1"/>
      <c r="I95" s="1"/>
      <c r="S95"/>
      <c r="T95"/>
    </row>
    <row r="96" spans="1:20" x14ac:dyDescent="0.2">
      <c r="S96"/>
      <c r="T96"/>
    </row>
    <row r="97" spans="19:20" x14ac:dyDescent="0.2">
      <c r="S97"/>
      <c r="T97"/>
    </row>
    <row r="98" spans="19:20" x14ac:dyDescent="0.2">
      <c r="S98"/>
      <c r="T98"/>
    </row>
    <row r="99" spans="19:20" x14ac:dyDescent="0.2">
      <c r="S99"/>
      <c r="T99"/>
    </row>
    <row r="100" spans="19:20" x14ac:dyDescent="0.2">
      <c r="S100"/>
      <c r="T100"/>
    </row>
  </sheetData>
  <sheetProtection algorithmName="SHA-512" hashValue="xASf54q8KJS7hSv8bzrldkaE11hoJCyBfUIP8gM5/oONxB5pjiMQHRNKKoeq2mpNjKCiqXrg2FoQrJmvqz5IdQ==" saltValue="LIt3MLOdlH7t7XBxldu9kQ==" spinCount="100000" sheet="1" scenarios="1" formatCells="0" formatColumns="0" formatRows="0" sort="0" autoFilter="0" pivotTables="0"/>
  <hyperlinks>
    <hyperlink ref="A2" location="'Table of Contents'!A1" display="Back to Table of Contents" xr:uid="{00000000-0004-0000-3E00-000000000000}"/>
  </hyperlinks>
  <pageMargins left="0.7" right="0.7" top="0.75" bottom="0.75" header="0.3" footer="0.3"/>
  <pageSetup paperSize="9" scale="6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2">
    <tabColor rgb="FFFFAFF0"/>
    <pageSetUpPr fitToPage="1"/>
  </sheetPr>
  <dimension ref="A1:J24"/>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23.42578125" customWidth="1"/>
    <col min="2" max="2" width="12.5703125" customWidth="1"/>
    <col min="3" max="3" width="13.42578125" customWidth="1"/>
    <col min="4" max="4" width="11.85546875" customWidth="1"/>
    <col min="5" max="5" width="15.140625" customWidth="1"/>
    <col min="7" max="7" width="12.85546875" customWidth="1"/>
    <col min="8" max="8" width="11.85546875" customWidth="1"/>
    <col min="9" max="9" width="14.85546875" customWidth="1"/>
    <col min="10" max="10" width="4.5703125" customWidth="1"/>
    <col min="11" max="11" width="11.140625" customWidth="1"/>
    <col min="14" max="14" width="16.140625" customWidth="1"/>
  </cols>
  <sheetData>
    <row r="1" spans="1:10" ht="16.5" customHeight="1" x14ac:dyDescent="0.2">
      <c r="A1" s="298" t="s">
        <v>1129</v>
      </c>
    </row>
    <row r="2" spans="1:10" ht="16.5" customHeight="1" x14ac:dyDescent="0.2">
      <c r="A2" s="106" t="s">
        <v>578</v>
      </c>
    </row>
    <row r="3" spans="1:10" ht="38.25" customHeight="1" x14ac:dyDescent="0.2">
      <c r="A3" s="120" t="s">
        <v>1074</v>
      </c>
      <c r="B3" s="120"/>
      <c r="C3" s="120"/>
      <c r="D3" s="120"/>
      <c r="E3" s="120"/>
      <c r="F3" s="120"/>
      <c r="G3" s="120"/>
      <c r="H3" s="120"/>
      <c r="I3" s="120"/>
      <c r="J3" s="1"/>
    </row>
    <row r="4" spans="1:10" ht="15.75" customHeight="1" x14ac:dyDescent="0.25">
      <c r="A4" s="351" t="s">
        <v>579</v>
      </c>
      <c r="B4" s="1043" t="s">
        <v>1313</v>
      </c>
      <c r="D4" s="197"/>
      <c r="E4" s="197"/>
      <c r="F4" s="197"/>
      <c r="G4" s="197"/>
      <c r="H4" s="197"/>
      <c r="I4" s="197"/>
      <c r="J4" s="1"/>
    </row>
    <row r="5" spans="1:10" ht="15.75" customHeight="1" x14ac:dyDescent="0.25">
      <c r="A5" s="351" t="s">
        <v>580</v>
      </c>
      <c r="B5" s="351" t="s">
        <v>581</v>
      </c>
      <c r="C5" s="197"/>
      <c r="D5" s="197"/>
      <c r="E5" s="197"/>
      <c r="F5" s="197"/>
      <c r="G5" s="197"/>
      <c r="H5" s="197"/>
      <c r="I5" s="197"/>
      <c r="J5" s="1"/>
    </row>
    <row r="6" spans="1:10" ht="15.75" customHeight="1" x14ac:dyDescent="0.25">
      <c r="A6" s="351" t="s">
        <v>582</v>
      </c>
      <c r="B6" s="351" t="s">
        <v>585</v>
      </c>
      <c r="C6" s="197"/>
      <c r="D6" s="197"/>
      <c r="E6" s="197"/>
      <c r="F6" s="197"/>
      <c r="G6" s="197"/>
      <c r="H6" s="197"/>
      <c r="I6" s="197"/>
      <c r="J6" s="1"/>
    </row>
    <row r="7" spans="1:10" ht="15" x14ac:dyDescent="0.25">
      <c r="A7" s="1"/>
      <c r="B7" s="1"/>
      <c r="C7" s="1"/>
      <c r="D7" s="1"/>
      <c r="E7" s="83" t="s">
        <v>0</v>
      </c>
      <c r="F7" s="1"/>
      <c r="G7" s="1"/>
      <c r="H7" s="1"/>
      <c r="I7" s="60" t="s">
        <v>62</v>
      </c>
      <c r="J7" s="1"/>
    </row>
    <row r="8" spans="1:10" ht="12.75" customHeight="1" x14ac:dyDescent="0.2">
      <c r="A8" s="1321" t="s">
        <v>4</v>
      </c>
      <c r="B8" s="1326" t="s">
        <v>320</v>
      </c>
      <c r="C8" s="1326"/>
      <c r="D8" s="1326"/>
      <c r="E8" s="1326"/>
      <c r="F8" s="1"/>
      <c r="G8" s="1326" t="s">
        <v>320</v>
      </c>
      <c r="H8" s="1326"/>
      <c r="I8" s="1326"/>
      <c r="J8" s="1"/>
    </row>
    <row r="9" spans="1:10" ht="42" customHeight="1" x14ac:dyDescent="0.2">
      <c r="A9" s="1327"/>
      <c r="B9" s="338" t="s">
        <v>209</v>
      </c>
      <c r="C9" s="338" t="s">
        <v>210</v>
      </c>
      <c r="D9" s="338" t="s">
        <v>183</v>
      </c>
      <c r="E9" s="338" t="s">
        <v>211</v>
      </c>
      <c r="F9" s="1087"/>
      <c r="G9" s="338" t="s">
        <v>209</v>
      </c>
      <c r="H9" s="338" t="s">
        <v>210</v>
      </c>
      <c r="I9" s="338" t="s">
        <v>183</v>
      </c>
      <c r="J9" s="1"/>
    </row>
    <row r="10" spans="1:10" ht="18.75" customHeight="1" x14ac:dyDescent="0.2">
      <c r="A10" s="2" t="str">
        <f>'T21'!B5</f>
        <v>2009-10</v>
      </c>
      <c r="B10" s="4">
        <f>'T21'!D5</f>
        <v>894</v>
      </c>
      <c r="C10" s="4">
        <f>'T21'!E5</f>
        <v>3690</v>
      </c>
      <c r="D10" s="4">
        <f>'T21'!F5</f>
        <v>783</v>
      </c>
      <c r="E10" s="13">
        <f>SUM(B10:D10)</f>
        <v>5367</v>
      </c>
      <c r="F10" s="4"/>
      <c r="G10" s="46">
        <f>B10/E10*100</f>
        <v>16.657350475125767</v>
      </c>
      <c r="H10" s="46">
        <f>C10/E10*100</f>
        <v>68.753493571827846</v>
      </c>
      <c r="I10" s="46">
        <f>D10/E10*100</f>
        <v>14.589155953046395</v>
      </c>
      <c r="J10" s="1"/>
    </row>
    <row r="11" spans="1:10" ht="13.5" customHeight="1" x14ac:dyDescent="0.2">
      <c r="A11" s="2" t="str">
        <f>'T21'!B6</f>
        <v>2010-11</v>
      </c>
      <c r="B11" s="4">
        <f>'T21'!D6</f>
        <v>837</v>
      </c>
      <c r="C11" s="4">
        <f>'T21'!E6</f>
        <v>3691</v>
      </c>
      <c r="D11" s="4">
        <f>'T21'!F6</f>
        <v>681</v>
      </c>
      <c r="E11" s="13">
        <f t="shared" ref="E11:E16" si="0">SUM(B11:D11)</f>
        <v>5209</v>
      </c>
      <c r="F11" s="4"/>
      <c r="G11" s="46">
        <f>B11/E11*100</f>
        <v>16.068343252063734</v>
      </c>
      <c r="H11" s="46">
        <f t="shared" ref="H11:H16" si="1">C11/E11*100</f>
        <v>70.858130159339609</v>
      </c>
      <c r="I11" s="46">
        <f t="shared" ref="I11:I16" si="2">D11/E11*100</f>
        <v>13.073526588596659</v>
      </c>
      <c r="J11" s="1"/>
    </row>
    <row r="12" spans="1:10" ht="13.5" customHeight="1" x14ac:dyDescent="0.2">
      <c r="A12" s="2" t="str">
        <f>'T21'!B7</f>
        <v>2011-12</v>
      </c>
      <c r="B12" s="4">
        <f>'T21'!D7</f>
        <v>867</v>
      </c>
      <c r="C12" s="4">
        <f>'T21'!E7</f>
        <v>3553</v>
      </c>
      <c r="D12" s="4">
        <f>'T21'!F7</f>
        <v>697</v>
      </c>
      <c r="E12" s="13">
        <f t="shared" si="0"/>
        <v>5117</v>
      </c>
      <c r="F12" s="4"/>
      <c r="G12" s="46">
        <f t="shared" ref="G12:G16" si="3">B12/E12*100</f>
        <v>16.943521594684384</v>
      </c>
      <c r="H12" s="46">
        <f t="shared" si="1"/>
        <v>69.435215946843854</v>
      </c>
      <c r="I12" s="46">
        <f t="shared" si="2"/>
        <v>13.621262458471762</v>
      </c>
      <c r="J12" s="1"/>
    </row>
    <row r="13" spans="1:10" ht="13.5" customHeight="1" x14ac:dyDescent="0.2">
      <c r="A13" s="2" t="str">
        <f>'T21'!B8</f>
        <v>2012-13</v>
      </c>
      <c r="B13" s="4">
        <f>'T21'!D8</f>
        <v>777</v>
      </c>
      <c r="C13" s="4">
        <f>'T21'!E8</f>
        <v>3579</v>
      </c>
      <c r="D13" s="4">
        <f>'T21'!F8</f>
        <v>641</v>
      </c>
      <c r="E13" s="13">
        <f t="shared" si="0"/>
        <v>4997</v>
      </c>
      <c r="F13" s="4"/>
      <c r="G13" s="46">
        <f t="shared" si="3"/>
        <v>15.549329597758653</v>
      </c>
      <c r="H13" s="46">
        <f t="shared" si="1"/>
        <v>71.622973784270556</v>
      </c>
      <c r="I13" s="46">
        <f t="shared" si="2"/>
        <v>12.827696617970782</v>
      </c>
      <c r="J13" s="1"/>
    </row>
    <row r="14" spans="1:10" ht="13.5" customHeight="1" x14ac:dyDescent="0.2">
      <c r="A14" s="2" t="str">
        <f>'T21'!B9</f>
        <v>2013-14</v>
      </c>
      <c r="B14" s="4">
        <f>'T21'!D9</f>
        <v>717</v>
      </c>
      <c r="C14" s="4">
        <f>'T21'!E9</f>
        <v>3362</v>
      </c>
      <c r="D14" s="4">
        <f>'T21'!F9</f>
        <v>594</v>
      </c>
      <c r="E14" s="13">
        <f t="shared" si="0"/>
        <v>4673</v>
      </c>
      <c r="F14" s="4"/>
      <c r="G14" s="46">
        <f t="shared" si="3"/>
        <v>15.343462443826237</v>
      </c>
      <c r="H14" s="46">
        <f t="shared" si="1"/>
        <v>71.945217205221496</v>
      </c>
      <c r="I14" s="46">
        <f t="shared" si="2"/>
        <v>12.711320350952279</v>
      </c>
      <c r="J14" s="1"/>
    </row>
    <row r="15" spans="1:10" ht="13.5" customHeight="1" x14ac:dyDescent="0.2">
      <c r="A15" s="2" t="str">
        <f>'T21'!B10</f>
        <v>2014-15</v>
      </c>
      <c r="B15" s="4">
        <f>'T21'!D10</f>
        <v>705</v>
      </c>
      <c r="C15" s="4">
        <f>'T21'!E10</f>
        <v>3635</v>
      </c>
      <c r="D15" s="4">
        <f>'T21'!F10</f>
        <v>613</v>
      </c>
      <c r="E15" s="13">
        <f t="shared" si="0"/>
        <v>4953</v>
      </c>
      <c r="F15" s="4"/>
      <c r="G15" s="46">
        <f t="shared" si="3"/>
        <v>14.233797698364627</v>
      </c>
      <c r="H15" s="46">
        <f t="shared" si="1"/>
        <v>73.389864728447407</v>
      </c>
      <c r="I15" s="46">
        <f t="shared" si="2"/>
        <v>12.376337573187966</v>
      </c>
      <c r="J15" s="1"/>
    </row>
    <row r="16" spans="1:10" ht="13.5" customHeight="1" x14ac:dyDescent="0.2">
      <c r="A16" s="2" t="str">
        <f>'T21'!B11</f>
        <v>2015-16</v>
      </c>
      <c r="B16" s="4">
        <f>'T21'!D11</f>
        <v>725</v>
      </c>
      <c r="C16" s="4">
        <f>'T21'!E11</f>
        <v>3753</v>
      </c>
      <c r="D16" s="4">
        <f>'T21'!F11</f>
        <v>590</v>
      </c>
      <c r="E16" s="13">
        <f t="shared" si="0"/>
        <v>5068</v>
      </c>
      <c r="F16" s="4"/>
      <c r="G16" s="46">
        <f t="shared" si="3"/>
        <v>14.30544593528019</v>
      </c>
      <c r="H16" s="46">
        <f t="shared" si="1"/>
        <v>74.05288082083662</v>
      </c>
      <c r="I16" s="46">
        <f t="shared" si="2"/>
        <v>11.641673243883188</v>
      </c>
      <c r="J16" s="1"/>
    </row>
    <row r="17" spans="1:10" ht="13.5" customHeight="1" x14ac:dyDescent="0.2">
      <c r="A17" s="2" t="str">
        <f>'T21'!B12</f>
        <v>2016-17</v>
      </c>
      <c r="B17" s="4">
        <f>'T21'!D12</f>
        <v>704</v>
      </c>
      <c r="C17" s="4">
        <f>'T21'!E12</f>
        <v>3620</v>
      </c>
      <c r="D17" s="4">
        <f>'T21'!F12</f>
        <v>598</v>
      </c>
      <c r="E17" s="13">
        <f t="shared" ref="E17:E21" si="4">SUM(B17:D17)</f>
        <v>4922</v>
      </c>
      <c r="F17" s="4"/>
      <c r="G17" s="46">
        <f t="shared" ref="G17:G20" si="5">B17/E17*100</f>
        <v>14.303128809427063</v>
      </c>
      <c r="H17" s="46">
        <f t="shared" ref="H17:H20" si="6">C17/E17*100</f>
        <v>73.547338480292566</v>
      </c>
      <c r="I17" s="46">
        <f t="shared" ref="I17:I20" si="7">D17/E17*100</f>
        <v>12.149532710280374</v>
      </c>
      <c r="J17" s="1"/>
    </row>
    <row r="18" spans="1:10" ht="13.5" customHeight="1" x14ac:dyDescent="0.2">
      <c r="A18" s="2" t="str">
        <f>'T21'!B13</f>
        <v>2017-18</v>
      </c>
      <c r="B18" s="4">
        <f>'T21'!D13</f>
        <v>715</v>
      </c>
      <c r="C18" s="4">
        <f>'T21'!E13</f>
        <v>3421</v>
      </c>
      <c r="D18" s="4">
        <f>'T21'!F13</f>
        <v>615</v>
      </c>
      <c r="E18" s="13">
        <f t="shared" si="4"/>
        <v>4751</v>
      </c>
      <c r="F18" s="4"/>
      <c r="G18" s="46">
        <f t="shared" si="5"/>
        <v>15.049463270890339</v>
      </c>
      <c r="H18" s="46">
        <f t="shared" si="6"/>
        <v>72.005893496106083</v>
      </c>
      <c r="I18" s="46">
        <f t="shared" si="7"/>
        <v>12.944643233003578</v>
      </c>
      <c r="J18" s="1"/>
    </row>
    <row r="19" spans="1:10" x14ac:dyDescent="0.2">
      <c r="A19" s="2" t="str">
        <f>'T21'!B14</f>
        <v>2018-19</v>
      </c>
      <c r="B19" s="4">
        <f>'T21'!D14</f>
        <v>696</v>
      </c>
      <c r="C19" s="4">
        <f>'T21'!E14</f>
        <v>3304</v>
      </c>
      <c r="D19" s="4">
        <f>'T21'!F14</f>
        <v>635</v>
      </c>
      <c r="E19" s="13">
        <f t="shared" si="4"/>
        <v>4635</v>
      </c>
      <c r="F19" s="1"/>
      <c r="G19" s="46">
        <f t="shared" si="5"/>
        <v>15.016181229773462</v>
      </c>
      <c r="H19" s="46">
        <f t="shared" si="6"/>
        <v>71.283710895361381</v>
      </c>
      <c r="I19" s="46">
        <f t="shared" si="7"/>
        <v>13.700107874865155</v>
      </c>
      <c r="J19" s="1"/>
    </row>
    <row r="20" spans="1:10" x14ac:dyDescent="0.2">
      <c r="A20" s="2" t="str">
        <f>'T21'!B15</f>
        <v>2019-20</v>
      </c>
      <c r="B20" s="4">
        <f>'T21'!D15</f>
        <v>688</v>
      </c>
      <c r="C20" s="4">
        <f>'T21'!E15</f>
        <v>3094</v>
      </c>
      <c r="D20" s="4">
        <f>'T21'!F15</f>
        <v>583</v>
      </c>
      <c r="E20" s="13">
        <f t="shared" si="4"/>
        <v>4365</v>
      </c>
      <c r="G20" s="46">
        <f t="shared" si="5"/>
        <v>15.761741122565864</v>
      </c>
      <c r="H20" s="46">
        <f t="shared" si="6"/>
        <v>70.882016036655216</v>
      </c>
      <c r="I20" s="46">
        <f t="shared" si="7"/>
        <v>13.356242840778924</v>
      </c>
    </row>
    <row r="21" spans="1:10" ht="13.5" thickBot="1" x14ac:dyDescent="0.25">
      <c r="A21" s="447" t="str">
        <f>'T21'!B16</f>
        <v>2020-21</v>
      </c>
      <c r="B21" s="349">
        <f>'T21'!D16</f>
        <v>665</v>
      </c>
      <c r="C21" s="349">
        <f>'T21'!E16</f>
        <v>2898</v>
      </c>
      <c r="D21" s="349">
        <f>'T21'!F16</f>
        <v>578</v>
      </c>
      <c r="E21" s="350">
        <f t="shared" si="4"/>
        <v>4141</v>
      </c>
      <c r="F21" s="510"/>
      <c r="G21" s="782">
        <f t="shared" ref="G21" si="8">B21/E21*100</f>
        <v>16.058922965467278</v>
      </c>
      <c r="H21" s="782">
        <f t="shared" ref="H21" si="9">C21/E21*100</f>
        <v>69.983095870562664</v>
      </c>
      <c r="I21" s="782">
        <f t="shared" ref="I21" si="10">D21/E21*100</f>
        <v>13.957981163970057</v>
      </c>
    </row>
    <row r="22" spans="1:10" x14ac:dyDescent="0.2">
      <c r="A22" s="117" t="s">
        <v>146</v>
      </c>
      <c r="G22" s="46"/>
    </row>
    <row r="23" spans="1:10" ht="15" x14ac:dyDescent="0.25">
      <c r="A23" s="957" t="s">
        <v>1228</v>
      </c>
    </row>
    <row r="24" spans="1:10" ht="15" x14ac:dyDescent="0.25">
      <c r="A24" s="741" t="s">
        <v>1229</v>
      </c>
      <c r="B24" s="957"/>
    </row>
  </sheetData>
  <sheetProtection algorithmName="SHA-512" hashValue="CQOy2znqz87hjVlQZ3c+4CH8x6rm9uBD20gbRMD5OhBN1xpGhuPkufKsHOp0vslQqer+cXWKHAcxM4UrNdcMAQ==" saltValue="cFf6WVc2YWjWP05kXuvTiA==" spinCount="100000" sheet="1" scenarios="1" formatCells="0" formatColumns="0" formatRows="0" sort="0" autoFilter="0" pivotTables="0"/>
  <mergeCells count="3">
    <mergeCell ref="B8:E8"/>
    <mergeCell ref="G8:I8"/>
    <mergeCell ref="A8:A9"/>
  </mergeCells>
  <hyperlinks>
    <hyperlink ref="A2" location="'Table of Contents'!A1" display="Back to Table of Contents" xr:uid="{00000000-0004-0000-3F00-000000000000}"/>
    <hyperlink ref="A24" location="'ADF Casualty AlcoholDrugs'!A3" display="Casualties in Fires &gt; Accidental Dwelling Fires &gt; Impairment by Alcohol/Drugs" xr:uid="{00000000-0004-0000-3F00-000001000000}"/>
  </hyperlinks>
  <pageMargins left="0.7" right="0.7" top="0.75" bottom="0.75" header="0.3" footer="0.3"/>
  <pageSetup paperSize="9" scale="6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AFF0"/>
  </sheetPr>
  <dimension ref="A1:L48"/>
  <sheetViews>
    <sheetView showGridLines="0" workbookViewId="0">
      <pane ySplit="2" topLeftCell="A3" activePane="bottomLeft" state="frozen"/>
      <selection activeCellId="1" sqref="A1 A1"/>
      <selection pane="bottomLeft"/>
    </sheetView>
  </sheetViews>
  <sheetFormatPr defaultColWidth="9.140625" defaultRowHeight="12.75" x14ac:dyDescent="0.2"/>
  <cols>
    <col min="1" max="1" width="17.5703125" customWidth="1"/>
    <col min="2" max="2" width="23.42578125" customWidth="1"/>
    <col min="3" max="3" width="12.5703125" customWidth="1"/>
    <col min="4" max="4" width="13.42578125" customWidth="1"/>
    <col min="5" max="5" width="11.85546875" customWidth="1"/>
    <col min="6" max="6" width="15.140625" customWidth="1"/>
    <col min="8" max="8" width="12.85546875" customWidth="1"/>
    <col min="9" max="9" width="11.85546875" customWidth="1"/>
    <col min="10" max="10" width="14.85546875" customWidth="1"/>
    <col min="11" max="11" width="4.5703125" customWidth="1"/>
    <col min="12" max="12" width="11.140625" customWidth="1"/>
    <col min="15" max="15" width="16.140625" customWidth="1"/>
  </cols>
  <sheetData>
    <row r="1" spans="1:11" ht="18" customHeight="1" x14ac:dyDescent="0.2">
      <c r="A1" s="298" t="s">
        <v>577</v>
      </c>
    </row>
    <row r="2" spans="1:11" ht="18" customHeight="1" x14ac:dyDescent="0.2">
      <c r="A2" s="106" t="s">
        <v>578</v>
      </c>
    </row>
    <row r="3" spans="1:11" ht="38.25" customHeight="1" x14ac:dyDescent="0.2">
      <c r="A3" s="120" t="s">
        <v>1075</v>
      </c>
      <c r="B3" s="120"/>
      <c r="E3" s="120"/>
      <c r="F3" s="120"/>
      <c r="G3" s="120"/>
      <c r="H3" s="120"/>
      <c r="I3" s="120"/>
      <c r="J3" s="75"/>
      <c r="K3" s="75"/>
    </row>
    <row r="4" spans="1:11" ht="15.75" customHeight="1" x14ac:dyDescent="0.25">
      <c r="A4" s="351" t="s">
        <v>579</v>
      </c>
      <c r="B4" s="1043" t="s">
        <v>1314</v>
      </c>
      <c r="E4" s="197"/>
      <c r="F4" s="197"/>
      <c r="G4" s="197"/>
      <c r="H4" s="197"/>
      <c r="I4" s="197"/>
      <c r="J4" s="75"/>
      <c r="K4" s="75"/>
    </row>
    <row r="5" spans="1:11" ht="15.75" customHeight="1" x14ac:dyDescent="0.25">
      <c r="A5" s="351" t="s">
        <v>580</v>
      </c>
      <c r="B5" s="351" t="s">
        <v>581</v>
      </c>
      <c r="E5" s="197"/>
      <c r="F5" s="197"/>
      <c r="G5" s="197"/>
      <c r="H5" s="197"/>
      <c r="I5" s="197"/>
      <c r="J5" s="75"/>
      <c r="K5" s="75"/>
    </row>
    <row r="6" spans="1:11" ht="15.75" customHeight="1" x14ac:dyDescent="0.25">
      <c r="A6" s="351" t="s">
        <v>582</v>
      </c>
      <c r="B6" s="351" t="s">
        <v>585</v>
      </c>
      <c r="E6" s="197"/>
      <c r="F6" s="197"/>
      <c r="G6" s="197"/>
      <c r="H6" s="197"/>
      <c r="I6" s="197"/>
      <c r="J6" s="75"/>
      <c r="K6" s="75"/>
    </row>
    <row r="7" spans="1:11" ht="16.5" customHeight="1" x14ac:dyDescent="0.25">
      <c r="B7" s="1"/>
      <c r="C7" s="1326"/>
      <c r="D7" s="1326"/>
      <c r="E7" s="1"/>
      <c r="F7" s="83" t="s">
        <v>0</v>
      </c>
      <c r="G7" s="1"/>
      <c r="H7" s="1"/>
      <c r="I7" s="1"/>
      <c r="J7" s="60" t="s">
        <v>62</v>
      </c>
      <c r="K7" s="1"/>
    </row>
    <row r="8" spans="1:11" x14ac:dyDescent="0.2">
      <c r="C8" s="1326" t="s">
        <v>320</v>
      </c>
      <c r="D8" s="1329"/>
      <c r="E8" s="1329"/>
      <c r="F8" s="1329"/>
      <c r="G8" s="1"/>
      <c r="H8" s="1326" t="s">
        <v>320</v>
      </c>
      <c r="I8" s="1326"/>
      <c r="J8" s="1326"/>
      <c r="K8" s="1"/>
    </row>
    <row r="9" spans="1:11" ht="41.25" customHeight="1" x14ac:dyDescent="0.2">
      <c r="A9" s="2" t="s">
        <v>586</v>
      </c>
      <c r="B9" s="2" t="s">
        <v>22</v>
      </c>
      <c r="C9" s="145" t="s">
        <v>209</v>
      </c>
      <c r="D9" s="145" t="s">
        <v>210</v>
      </c>
      <c r="E9" s="145" t="s">
        <v>183</v>
      </c>
      <c r="F9" s="145" t="s">
        <v>211</v>
      </c>
      <c r="G9" s="39"/>
      <c r="H9" s="145" t="s">
        <v>209</v>
      </c>
      <c r="I9" s="145" t="s">
        <v>210</v>
      </c>
      <c r="J9" s="145" t="s">
        <v>183</v>
      </c>
      <c r="K9" s="1"/>
    </row>
    <row r="10" spans="1:11" ht="18.75" customHeight="1" x14ac:dyDescent="0.2">
      <c r="A10" s="414" t="s">
        <v>587</v>
      </c>
      <c r="B10" s="400" t="s">
        <v>23</v>
      </c>
      <c r="C10" s="765">
        <f>T_21!B5</f>
        <v>37</v>
      </c>
      <c r="D10" s="765">
        <f>T_21!C5</f>
        <v>148</v>
      </c>
      <c r="E10" s="765">
        <f>T_21!D5</f>
        <v>37</v>
      </c>
      <c r="F10" s="759">
        <f>SUM(C10:E10)</f>
        <v>222</v>
      </c>
      <c r="G10" s="240"/>
      <c r="H10" s="783">
        <f>C10/F10*100</f>
        <v>16.666666666666664</v>
      </c>
      <c r="I10" s="783">
        <f>D10/F10*100</f>
        <v>66.666666666666657</v>
      </c>
      <c r="J10" s="783">
        <f>E10/F10*100</f>
        <v>16.666666666666664</v>
      </c>
    </row>
    <row r="11" spans="1:11" ht="13.5" customHeight="1" x14ac:dyDescent="0.2">
      <c r="A11" s="1" t="s">
        <v>588</v>
      </c>
      <c r="B11" s="117" t="s">
        <v>24</v>
      </c>
      <c r="C11" s="183">
        <f>T_21!B6</f>
        <v>20</v>
      </c>
      <c r="D11" s="183">
        <f>T_21!C6</f>
        <v>135</v>
      </c>
      <c r="E11" s="183">
        <f>T_21!D6</f>
        <v>9</v>
      </c>
      <c r="F11" s="455">
        <f t="shared" ref="F11:F41" si="0">SUM(C11:E11)</f>
        <v>164</v>
      </c>
      <c r="G11" s="193"/>
      <c r="H11" s="569">
        <f t="shared" ref="H11:H41" si="1">C11/F11*100</f>
        <v>12.195121951219512</v>
      </c>
      <c r="I11" s="569">
        <f t="shared" ref="I11:I41" si="2">D11/F11*100</f>
        <v>82.317073170731703</v>
      </c>
      <c r="J11" s="569">
        <f t="shared" ref="J11:J41" si="3">E11/F11*100</f>
        <v>5.4878048780487809</v>
      </c>
    </row>
    <row r="12" spans="1:11" ht="13.5" customHeight="1" x14ac:dyDescent="0.2">
      <c r="A12" s="1" t="s">
        <v>589</v>
      </c>
      <c r="B12" s="117" t="s">
        <v>25</v>
      </c>
      <c r="C12" s="183">
        <f>T_21!B7</f>
        <v>18</v>
      </c>
      <c r="D12" s="183">
        <f>T_21!C7</f>
        <v>44</v>
      </c>
      <c r="E12" s="183">
        <f>T_21!D7</f>
        <v>12</v>
      </c>
      <c r="F12" s="455">
        <f t="shared" si="0"/>
        <v>74</v>
      </c>
      <c r="G12" s="193"/>
      <c r="H12" s="569">
        <f t="shared" si="1"/>
        <v>24.324324324324326</v>
      </c>
      <c r="I12" s="569">
        <f t="shared" si="2"/>
        <v>59.45945945945946</v>
      </c>
      <c r="J12" s="569">
        <f t="shared" si="3"/>
        <v>16.216216216216218</v>
      </c>
    </row>
    <row r="13" spans="1:11" ht="13.5" customHeight="1" x14ac:dyDescent="0.2">
      <c r="A13" s="1" t="s">
        <v>590</v>
      </c>
      <c r="B13" s="117" t="s">
        <v>26</v>
      </c>
      <c r="C13" s="183">
        <f>T_21!B8</f>
        <v>6</v>
      </c>
      <c r="D13" s="183">
        <f>T_21!C8</f>
        <v>72</v>
      </c>
      <c r="E13" s="183">
        <f>T_21!D8</f>
        <v>6</v>
      </c>
      <c r="F13" s="455">
        <f t="shared" si="0"/>
        <v>84</v>
      </c>
      <c r="G13" s="193"/>
      <c r="H13" s="569">
        <f t="shared" si="1"/>
        <v>7.1428571428571423</v>
      </c>
      <c r="I13" s="569">
        <f t="shared" si="2"/>
        <v>85.714285714285708</v>
      </c>
      <c r="J13" s="569">
        <f t="shared" si="3"/>
        <v>7.1428571428571423</v>
      </c>
    </row>
    <row r="14" spans="1:11" ht="13.5" customHeight="1" x14ac:dyDescent="0.2">
      <c r="A14" s="1" t="s">
        <v>591</v>
      </c>
      <c r="B14" s="117" t="s">
        <v>619</v>
      </c>
      <c r="C14" s="183">
        <f>T_21!B9</f>
        <v>47</v>
      </c>
      <c r="D14" s="183">
        <f>T_21!C9</f>
        <v>256</v>
      </c>
      <c r="E14" s="183">
        <f>T_21!D9</f>
        <v>66</v>
      </c>
      <c r="F14" s="455">
        <f t="shared" si="0"/>
        <v>369</v>
      </c>
      <c r="G14" s="193"/>
      <c r="H14" s="569">
        <f t="shared" si="1"/>
        <v>12.737127371273713</v>
      </c>
      <c r="I14" s="569">
        <f t="shared" si="2"/>
        <v>69.376693766937663</v>
      </c>
      <c r="J14" s="569">
        <f t="shared" si="3"/>
        <v>17.886178861788618</v>
      </c>
    </row>
    <row r="15" spans="1:11" ht="13.5" customHeight="1" x14ac:dyDescent="0.2">
      <c r="A15" s="1" t="s">
        <v>592</v>
      </c>
      <c r="B15" s="117" t="s">
        <v>27</v>
      </c>
      <c r="C15" s="183">
        <f>T_21!B10</f>
        <v>14</v>
      </c>
      <c r="D15" s="183">
        <f>T_21!C10</f>
        <v>37</v>
      </c>
      <c r="E15" s="183">
        <f>T_21!D10</f>
        <v>3</v>
      </c>
      <c r="F15" s="455">
        <f t="shared" si="0"/>
        <v>54</v>
      </c>
      <c r="G15" s="193"/>
      <c r="H15" s="569">
        <f t="shared" si="1"/>
        <v>25.925925925925924</v>
      </c>
      <c r="I15" s="569">
        <f t="shared" si="2"/>
        <v>68.518518518518519</v>
      </c>
      <c r="J15" s="569">
        <f t="shared" si="3"/>
        <v>5.5555555555555554</v>
      </c>
    </row>
    <row r="16" spans="1:11" ht="13.5" customHeight="1" x14ac:dyDescent="0.2">
      <c r="A16" s="1" t="s">
        <v>593</v>
      </c>
      <c r="B16" s="117" t="s">
        <v>28</v>
      </c>
      <c r="C16" s="183">
        <f>T_21!B11</f>
        <v>12</v>
      </c>
      <c r="D16" s="183">
        <f>T_21!C11</f>
        <v>53</v>
      </c>
      <c r="E16" s="183">
        <f>T_21!D11</f>
        <v>4</v>
      </c>
      <c r="F16" s="455">
        <f t="shared" si="0"/>
        <v>69</v>
      </c>
      <c r="G16" s="193"/>
      <c r="H16" s="569">
        <f t="shared" si="1"/>
        <v>17.391304347826086</v>
      </c>
      <c r="I16" s="569">
        <f t="shared" si="2"/>
        <v>76.811594202898547</v>
      </c>
      <c r="J16" s="569">
        <f t="shared" si="3"/>
        <v>5.7971014492753623</v>
      </c>
    </row>
    <row r="17" spans="1:10" ht="13.5" customHeight="1" x14ac:dyDescent="0.2">
      <c r="A17" s="1" t="s">
        <v>594</v>
      </c>
      <c r="B17" s="117" t="s">
        <v>29</v>
      </c>
      <c r="C17" s="183">
        <f>T_21!B12</f>
        <v>30</v>
      </c>
      <c r="D17" s="183">
        <f>T_21!C12</f>
        <v>120</v>
      </c>
      <c r="E17" s="183">
        <f>T_21!D12</f>
        <v>36</v>
      </c>
      <c r="F17" s="455">
        <f t="shared" si="0"/>
        <v>186</v>
      </c>
      <c r="G17" s="193"/>
      <c r="H17" s="569">
        <f t="shared" si="1"/>
        <v>16.129032258064516</v>
      </c>
      <c r="I17" s="569">
        <f t="shared" si="2"/>
        <v>64.516129032258064</v>
      </c>
      <c r="J17" s="569">
        <f t="shared" si="3"/>
        <v>19.35483870967742</v>
      </c>
    </row>
    <row r="18" spans="1:10" ht="13.5" customHeight="1" x14ac:dyDescent="0.2">
      <c r="A18" s="1" t="s">
        <v>595</v>
      </c>
      <c r="B18" s="117" t="s">
        <v>30</v>
      </c>
      <c r="C18" s="183">
        <f>T_21!B13</f>
        <v>17</v>
      </c>
      <c r="D18" s="183">
        <f>T_21!C13</f>
        <v>63</v>
      </c>
      <c r="E18" s="183">
        <f>T_21!D13</f>
        <v>15</v>
      </c>
      <c r="F18" s="455">
        <f t="shared" si="0"/>
        <v>95</v>
      </c>
      <c r="G18" s="193"/>
      <c r="H18" s="569">
        <f t="shared" si="1"/>
        <v>17.894736842105264</v>
      </c>
      <c r="I18" s="569">
        <f t="shared" si="2"/>
        <v>66.315789473684205</v>
      </c>
      <c r="J18" s="569">
        <f t="shared" si="3"/>
        <v>15.789473684210526</v>
      </c>
    </row>
    <row r="19" spans="1:10" ht="13.5" customHeight="1" x14ac:dyDescent="0.2">
      <c r="A19" s="1" t="s">
        <v>596</v>
      </c>
      <c r="B19" s="117" t="s">
        <v>31</v>
      </c>
      <c r="C19" s="183">
        <f>T_21!B14</f>
        <v>5</v>
      </c>
      <c r="D19" s="183">
        <f>T_21!C14</f>
        <v>53</v>
      </c>
      <c r="E19" s="183">
        <f>T_21!D14</f>
        <v>7</v>
      </c>
      <c r="F19" s="455">
        <f t="shared" si="0"/>
        <v>65</v>
      </c>
      <c r="G19" s="193"/>
      <c r="H19" s="569">
        <f t="shared" si="1"/>
        <v>7.6923076923076925</v>
      </c>
      <c r="I19" s="569">
        <f t="shared" si="2"/>
        <v>81.538461538461533</v>
      </c>
      <c r="J19" s="569">
        <f t="shared" si="3"/>
        <v>10.76923076923077</v>
      </c>
    </row>
    <row r="20" spans="1:10" ht="13.5" customHeight="1" x14ac:dyDescent="0.2">
      <c r="A20" s="1" t="s">
        <v>597</v>
      </c>
      <c r="B20" s="117" t="s">
        <v>32</v>
      </c>
      <c r="C20" s="183">
        <f>T_21!B15</f>
        <v>8</v>
      </c>
      <c r="D20" s="183">
        <f>T_21!C15</f>
        <v>29</v>
      </c>
      <c r="E20" s="183">
        <f>T_21!D15</f>
        <v>9</v>
      </c>
      <c r="F20" s="455">
        <f t="shared" si="0"/>
        <v>46</v>
      </c>
      <c r="G20" s="193"/>
      <c r="H20" s="569">
        <f t="shared" si="1"/>
        <v>17.391304347826086</v>
      </c>
      <c r="I20" s="569">
        <f t="shared" si="2"/>
        <v>63.04347826086957</v>
      </c>
      <c r="J20" s="569">
        <f t="shared" si="3"/>
        <v>19.565217391304348</v>
      </c>
    </row>
    <row r="21" spans="1:10" ht="13.5" customHeight="1" x14ac:dyDescent="0.2">
      <c r="A21" s="1" t="s">
        <v>598</v>
      </c>
      <c r="B21" s="117" t="s">
        <v>33</v>
      </c>
      <c r="C21" s="183">
        <f>T_21!B16</f>
        <v>7</v>
      </c>
      <c r="D21" s="183">
        <f>T_21!C16</f>
        <v>37</v>
      </c>
      <c r="E21" s="183">
        <f>T_21!D16</f>
        <v>5</v>
      </c>
      <c r="F21" s="455">
        <f t="shared" si="0"/>
        <v>49</v>
      </c>
      <c r="G21" s="193"/>
      <c r="H21" s="569">
        <f t="shared" si="1"/>
        <v>14.285714285714285</v>
      </c>
      <c r="I21" s="569">
        <f t="shared" si="2"/>
        <v>75.510204081632651</v>
      </c>
      <c r="J21" s="569">
        <f t="shared" si="3"/>
        <v>10.204081632653061</v>
      </c>
    </row>
    <row r="22" spans="1:10" ht="13.5" customHeight="1" x14ac:dyDescent="0.2">
      <c r="A22" s="1" t="s">
        <v>599</v>
      </c>
      <c r="B22" s="117" t="s">
        <v>34</v>
      </c>
      <c r="C22" s="183">
        <f>T_21!B17</f>
        <v>14</v>
      </c>
      <c r="D22" s="183">
        <f>T_21!C17</f>
        <v>72</v>
      </c>
      <c r="E22" s="183">
        <f>T_21!D17</f>
        <v>13</v>
      </c>
      <c r="F22" s="455">
        <f t="shared" si="0"/>
        <v>99</v>
      </c>
      <c r="G22" s="193"/>
      <c r="H22" s="569">
        <f t="shared" si="1"/>
        <v>14.14141414141414</v>
      </c>
      <c r="I22" s="569">
        <f t="shared" si="2"/>
        <v>72.727272727272734</v>
      </c>
      <c r="J22" s="569">
        <f t="shared" si="3"/>
        <v>13.131313131313133</v>
      </c>
    </row>
    <row r="23" spans="1:10" ht="13.5" customHeight="1" x14ac:dyDescent="0.2">
      <c r="A23" s="1" t="s">
        <v>600</v>
      </c>
      <c r="B23" s="117" t="s">
        <v>35</v>
      </c>
      <c r="C23" s="183">
        <f>T_21!B18</f>
        <v>29</v>
      </c>
      <c r="D23" s="183">
        <f>T_21!C18</f>
        <v>155</v>
      </c>
      <c r="E23" s="183">
        <f>T_21!D18</f>
        <v>43</v>
      </c>
      <c r="F23" s="455">
        <f t="shared" si="0"/>
        <v>227</v>
      </c>
      <c r="G23" s="193"/>
      <c r="H23" s="569">
        <f t="shared" si="1"/>
        <v>12.77533039647577</v>
      </c>
      <c r="I23" s="569">
        <f t="shared" si="2"/>
        <v>68.281938325991192</v>
      </c>
      <c r="J23" s="569">
        <f t="shared" si="3"/>
        <v>18.942731277533039</v>
      </c>
    </row>
    <row r="24" spans="1:10" ht="13.5" customHeight="1" x14ac:dyDescent="0.2">
      <c r="A24" s="1" t="s">
        <v>601</v>
      </c>
      <c r="B24" s="117" t="s">
        <v>36</v>
      </c>
      <c r="C24" s="183">
        <f>T_21!B19</f>
        <v>119</v>
      </c>
      <c r="D24" s="183">
        <f>T_21!C19</f>
        <v>452</v>
      </c>
      <c r="E24" s="183">
        <f>T_21!D19</f>
        <v>114</v>
      </c>
      <c r="F24" s="455">
        <f t="shared" si="0"/>
        <v>685</v>
      </c>
      <c r="G24" s="193"/>
      <c r="H24" s="569">
        <f t="shared" si="1"/>
        <v>17.372262773722628</v>
      </c>
      <c r="I24" s="569">
        <f t="shared" si="2"/>
        <v>65.985401459854003</v>
      </c>
      <c r="J24" s="569">
        <f t="shared" si="3"/>
        <v>16.642335766423358</v>
      </c>
    </row>
    <row r="25" spans="1:10" ht="13.5" customHeight="1" x14ac:dyDescent="0.2">
      <c r="A25" s="1" t="s">
        <v>602</v>
      </c>
      <c r="B25" s="117" t="s">
        <v>37</v>
      </c>
      <c r="C25" s="183">
        <f>T_21!B20</f>
        <v>15</v>
      </c>
      <c r="D25" s="183">
        <f>T_21!C20</f>
        <v>95</v>
      </c>
      <c r="E25" s="183">
        <f>T_21!D20</f>
        <v>16</v>
      </c>
      <c r="F25" s="455">
        <f t="shared" si="0"/>
        <v>126</v>
      </c>
      <c r="G25" s="193"/>
      <c r="H25" s="569">
        <f t="shared" si="1"/>
        <v>11.904761904761903</v>
      </c>
      <c r="I25" s="569">
        <f t="shared" si="2"/>
        <v>75.396825396825392</v>
      </c>
      <c r="J25" s="569">
        <f t="shared" si="3"/>
        <v>12.698412698412698</v>
      </c>
    </row>
    <row r="26" spans="1:10" ht="13.5" customHeight="1" x14ac:dyDescent="0.2">
      <c r="A26" s="1" t="s">
        <v>603</v>
      </c>
      <c r="B26" s="117" t="s">
        <v>38</v>
      </c>
      <c r="C26" s="183">
        <f>T_21!B21</f>
        <v>15</v>
      </c>
      <c r="D26" s="183">
        <f>T_21!C21</f>
        <v>66</v>
      </c>
      <c r="E26" s="183">
        <f>T_21!D21</f>
        <v>7</v>
      </c>
      <c r="F26" s="455">
        <f t="shared" si="0"/>
        <v>88</v>
      </c>
      <c r="G26" s="193"/>
      <c r="H26" s="569">
        <f t="shared" si="1"/>
        <v>17.045454545454543</v>
      </c>
      <c r="I26" s="569">
        <f t="shared" si="2"/>
        <v>75</v>
      </c>
      <c r="J26" s="569">
        <f t="shared" si="3"/>
        <v>7.9545454545454541</v>
      </c>
    </row>
    <row r="27" spans="1:10" ht="13.5" customHeight="1" x14ac:dyDescent="0.2">
      <c r="A27" s="1" t="s">
        <v>604</v>
      </c>
      <c r="B27" s="117" t="s">
        <v>39</v>
      </c>
      <c r="C27" s="183">
        <f>T_21!B22</f>
        <v>9</v>
      </c>
      <c r="D27" s="183">
        <f>T_21!C22</f>
        <v>43</v>
      </c>
      <c r="E27" s="183">
        <f>T_21!D22</f>
        <v>5</v>
      </c>
      <c r="F27" s="455">
        <f t="shared" si="0"/>
        <v>57</v>
      </c>
      <c r="G27" s="193"/>
      <c r="H27" s="569">
        <f t="shared" si="1"/>
        <v>15.789473684210526</v>
      </c>
      <c r="I27" s="569">
        <f t="shared" si="2"/>
        <v>75.438596491228068</v>
      </c>
      <c r="J27" s="569">
        <f t="shared" si="3"/>
        <v>8.7719298245614024</v>
      </c>
    </row>
    <row r="28" spans="1:10" ht="13.5" customHeight="1" x14ac:dyDescent="0.2">
      <c r="A28" s="1" t="s">
        <v>605</v>
      </c>
      <c r="B28" s="117" t="s">
        <v>40</v>
      </c>
      <c r="C28" s="183">
        <f>T_21!B23</f>
        <v>7</v>
      </c>
      <c r="D28" s="183">
        <f>T_21!C23</f>
        <v>33</v>
      </c>
      <c r="E28" s="183">
        <f>T_21!D23</f>
        <v>10</v>
      </c>
      <c r="F28" s="455">
        <f t="shared" si="0"/>
        <v>50</v>
      </c>
      <c r="G28" s="193"/>
      <c r="H28" s="569">
        <f t="shared" si="1"/>
        <v>14.000000000000002</v>
      </c>
      <c r="I28" s="569">
        <f t="shared" si="2"/>
        <v>66</v>
      </c>
      <c r="J28" s="569">
        <f t="shared" si="3"/>
        <v>20</v>
      </c>
    </row>
    <row r="29" spans="1:10" ht="13.5" customHeight="1" x14ac:dyDescent="0.2">
      <c r="A29" s="1" t="s">
        <v>606</v>
      </c>
      <c r="B29" s="117" t="s">
        <v>295</v>
      </c>
      <c r="C29" s="183">
        <f>T_21!B24</f>
        <v>3</v>
      </c>
      <c r="D29" s="183">
        <f>T_21!C24</f>
        <v>16</v>
      </c>
      <c r="E29" s="183">
        <f>T_21!D24</f>
        <v>2</v>
      </c>
      <c r="F29" s="455">
        <f t="shared" si="0"/>
        <v>21</v>
      </c>
      <c r="G29" s="193"/>
      <c r="H29" s="569">
        <f t="shared" si="1"/>
        <v>14.285714285714285</v>
      </c>
      <c r="I29" s="569">
        <f t="shared" si="2"/>
        <v>76.19047619047619</v>
      </c>
      <c r="J29" s="569">
        <f t="shared" si="3"/>
        <v>9.5238095238095237</v>
      </c>
    </row>
    <row r="30" spans="1:10" ht="13.5" customHeight="1" x14ac:dyDescent="0.2">
      <c r="A30" s="1" t="s">
        <v>607</v>
      </c>
      <c r="B30" s="117" t="s">
        <v>41</v>
      </c>
      <c r="C30" s="183">
        <f>T_21!B25</f>
        <v>19</v>
      </c>
      <c r="D30" s="183">
        <f>T_21!C25</f>
        <v>101</v>
      </c>
      <c r="E30" s="183">
        <f>T_21!D25</f>
        <v>16</v>
      </c>
      <c r="F30" s="455">
        <f t="shared" si="0"/>
        <v>136</v>
      </c>
      <c r="G30" s="193"/>
      <c r="H30" s="569">
        <f t="shared" si="1"/>
        <v>13.970588235294118</v>
      </c>
      <c r="I30" s="569">
        <f t="shared" si="2"/>
        <v>74.264705882352942</v>
      </c>
      <c r="J30" s="569">
        <f t="shared" si="3"/>
        <v>11.76470588235294</v>
      </c>
    </row>
    <row r="31" spans="1:10" ht="13.5" customHeight="1" x14ac:dyDescent="0.2">
      <c r="A31" s="1" t="s">
        <v>608</v>
      </c>
      <c r="B31" s="117" t="s">
        <v>42</v>
      </c>
      <c r="C31" s="183">
        <f>T_21!B26</f>
        <v>56</v>
      </c>
      <c r="D31" s="183">
        <f>T_21!C26</f>
        <v>188</v>
      </c>
      <c r="E31" s="183">
        <f>T_21!D26</f>
        <v>35</v>
      </c>
      <c r="F31" s="455">
        <f t="shared" si="0"/>
        <v>279</v>
      </c>
      <c r="G31" s="193"/>
      <c r="H31" s="569">
        <f t="shared" si="1"/>
        <v>20.071684587813621</v>
      </c>
      <c r="I31" s="569">
        <f t="shared" si="2"/>
        <v>67.383512544802869</v>
      </c>
      <c r="J31" s="569">
        <f t="shared" si="3"/>
        <v>12.544802867383511</v>
      </c>
    </row>
    <row r="32" spans="1:10" ht="13.5" customHeight="1" x14ac:dyDescent="0.2">
      <c r="A32" s="1" t="s">
        <v>609</v>
      </c>
      <c r="B32" s="117" t="s">
        <v>43</v>
      </c>
      <c r="C32" s="183">
        <f>T_21!B27</f>
        <v>1</v>
      </c>
      <c r="D32" s="183">
        <f>T_21!C27</f>
        <v>3</v>
      </c>
      <c r="E32" s="183">
        <f>T_21!D27</f>
        <v>0</v>
      </c>
      <c r="F32" s="455">
        <f t="shared" si="0"/>
        <v>4</v>
      </c>
      <c r="G32" s="193"/>
      <c r="H32" s="569">
        <f t="shared" si="1"/>
        <v>25</v>
      </c>
      <c r="I32" s="569">
        <f t="shared" si="2"/>
        <v>75</v>
      </c>
      <c r="J32" s="569">
        <f t="shared" si="3"/>
        <v>0</v>
      </c>
    </row>
    <row r="33" spans="1:12" ht="13.5" customHeight="1" x14ac:dyDescent="0.2">
      <c r="A33" s="1" t="s">
        <v>610</v>
      </c>
      <c r="B33" s="117" t="s">
        <v>44</v>
      </c>
      <c r="C33" s="183">
        <f>T_21!B28</f>
        <v>9</v>
      </c>
      <c r="D33" s="183">
        <f>T_21!C28</f>
        <v>72</v>
      </c>
      <c r="E33" s="183">
        <f>T_21!D28</f>
        <v>16</v>
      </c>
      <c r="F33" s="455">
        <f t="shared" si="0"/>
        <v>97</v>
      </c>
      <c r="G33" s="193"/>
      <c r="H33" s="569">
        <f t="shared" si="1"/>
        <v>9.2783505154639183</v>
      </c>
      <c r="I33" s="569">
        <f t="shared" si="2"/>
        <v>74.226804123711347</v>
      </c>
      <c r="J33" s="569">
        <f t="shared" si="3"/>
        <v>16.494845360824741</v>
      </c>
    </row>
    <row r="34" spans="1:12" ht="13.5" customHeight="1" x14ac:dyDescent="0.2">
      <c r="A34" s="1" t="s">
        <v>611</v>
      </c>
      <c r="B34" s="117" t="s">
        <v>45</v>
      </c>
      <c r="C34" s="183">
        <f>T_21!B29</f>
        <v>25</v>
      </c>
      <c r="D34" s="183">
        <f>T_21!C29</f>
        <v>111</v>
      </c>
      <c r="E34" s="183">
        <f>T_21!D29</f>
        <v>15</v>
      </c>
      <c r="F34" s="455">
        <f t="shared" si="0"/>
        <v>151</v>
      </c>
      <c r="G34" s="193"/>
      <c r="H34" s="569">
        <f t="shared" si="1"/>
        <v>16.556291390728479</v>
      </c>
      <c r="I34" s="569">
        <f t="shared" si="2"/>
        <v>73.509933774834437</v>
      </c>
      <c r="J34" s="569">
        <f t="shared" si="3"/>
        <v>9.9337748344370862</v>
      </c>
    </row>
    <row r="35" spans="1:12" ht="13.5" customHeight="1" x14ac:dyDescent="0.2">
      <c r="A35" s="1" t="s">
        <v>612</v>
      </c>
      <c r="B35" s="117" t="s">
        <v>46</v>
      </c>
      <c r="C35" s="183">
        <f>T_21!B30</f>
        <v>11</v>
      </c>
      <c r="D35" s="183">
        <f>T_21!C30</f>
        <v>56</v>
      </c>
      <c r="E35" s="183">
        <f>T_21!D30</f>
        <v>10</v>
      </c>
      <c r="F35" s="455">
        <f t="shared" si="0"/>
        <v>77</v>
      </c>
      <c r="G35" s="193"/>
      <c r="H35" s="569">
        <f t="shared" si="1"/>
        <v>14.285714285714285</v>
      </c>
      <c r="I35" s="569">
        <f t="shared" si="2"/>
        <v>72.727272727272734</v>
      </c>
      <c r="J35" s="569">
        <f t="shared" si="3"/>
        <v>12.987012987012985</v>
      </c>
    </row>
    <row r="36" spans="1:12" ht="13.5" customHeight="1" x14ac:dyDescent="0.2">
      <c r="A36" s="1" t="s">
        <v>613</v>
      </c>
      <c r="B36" s="117" t="s">
        <v>47</v>
      </c>
      <c r="C36" s="183">
        <f>T_21!B31</f>
        <v>3</v>
      </c>
      <c r="D36" s="183">
        <f>T_21!C31</f>
        <v>20</v>
      </c>
      <c r="E36" s="183">
        <f>T_21!D31</f>
        <v>1</v>
      </c>
      <c r="F36" s="455">
        <f t="shared" si="0"/>
        <v>24</v>
      </c>
      <c r="G36" s="193"/>
      <c r="H36" s="569">
        <f t="shared" si="1"/>
        <v>12.5</v>
      </c>
      <c r="I36" s="569">
        <f t="shared" si="2"/>
        <v>83.333333333333343</v>
      </c>
      <c r="J36" s="569">
        <f t="shared" si="3"/>
        <v>4.1666666666666661</v>
      </c>
    </row>
    <row r="37" spans="1:12" ht="13.5" customHeight="1" x14ac:dyDescent="0.2">
      <c r="A37" s="1" t="s">
        <v>614</v>
      </c>
      <c r="B37" s="117" t="s">
        <v>48</v>
      </c>
      <c r="C37" s="183">
        <f>T_21!B32</f>
        <v>6</v>
      </c>
      <c r="D37" s="183">
        <f>T_21!C32</f>
        <v>55</v>
      </c>
      <c r="E37" s="183">
        <f>T_21!D32</f>
        <v>12</v>
      </c>
      <c r="F37" s="455">
        <f t="shared" si="0"/>
        <v>73</v>
      </c>
      <c r="G37" s="193"/>
      <c r="H37" s="569">
        <f t="shared" si="1"/>
        <v>8.2191780821917799</v>
      </c>
      <c r="I37" s="569">
        <f t="shared" si="2"/>
        <v>75.342465753424662</v>
      </c>
      <c r="J37" s="569">
        <f t="shared" si="3"/>
        <v>16.43835616438356</v>
      </c>
    </row>
    <row r="38" spans="1:12" ht="13.5" customHeight="1" x14ac:dyDescent="0.2">
      <c r="A38" s="1" t="s">
        <v>615</v>
      </c>
      <c r="B38" s="117" t="s">
        <v>49</v>
      </c>
      <c r="C38" s="183">
        <f>T_21!B33</f>
        <v>48</v>
      </c>
      <c r="D38" s="183">
        <f>T_21!C33</f>
        <v>144</v>
      </c>
      <c r="E38" s="183">
        <f>T_21!D33</f>
        <v>29</v>
      </c>
      <c r="F38" s="455">
        <f t="shared" si="0"/>
        <v>221</v>
      </c>
      <c r="G38" s="193"/>
      <c r="H38" s="569">
        <f t="shared" si="1"/>
        <v>21.719457013574662</v>
      </c>
      <c r="I38" s="569">
        <f t="shared" si="2"/>
        <v>65.158371040723978</v>
      </c>
      <c r="J38" s="569">
        <f t="shared" si="3"/>
        <v>13.122171945701359</v>
      </c>
    </row>
    <row r="39" spans="1:12" ht="13.5" customHeight="1" x14ac:dyDescent="0.2">
      <c r="A39" s="1" t="s">
        <v>616</v>
      </c>
      <c r="B39" s="117" t="s">
        <v>50</v>
      </c>
      <c r="C39" s="183">
        <f>T_21!B34</f>
        <v>9</v>
      </c>
      <c r="D39" s="183">
        <f>T_21!C34</f>
        <v>33</v>
      </c>
      <c r="E39" s="183">
        <f>T_21!D34</f>
        <v>6</v>
      </c>
      <c r="F39" s="455">
        <f t="shared" si="0"/>
        <v>48</v>
      </c>
      <c r="G39" s="193"/>
      <c r="H39" s="569">
        <f t="shared" si="1"/>
        <v>18.75</v>
      </c>
      <c r="I39" s="569">
        <f t="shared" si="2"/>
        <v>68.75</v>
      </c>
      <c r="J39" s="569">
        <f t="shared" si="3"/>
        <v>12.5</v>
      </c>
    </row>
    <row r="40" spans="1:12" ht="13.5" customHeight="1" x14ac:dyDescent="0.2">
      <c r="A40" s="1" t="s">
        <v>617</v>
      </c>
      <c r="B40" s="117" t="s">
        <v>51</v>
      </c>
      <c r="C40" s="183">
        <f>T_21!B35</f>
        <v>28</v>
      </c>
      <c r="D40" s="183">
        <f>T_21!C35</f>
        <v>67</v>
      </c>
      <c r="E40" s="183">
        <f>T_21!D35</f>
        <v>7</v>
      </c>
      <c r="F40" s="455">
        <f t="shared" si="0"/>
        <v>102</v>
      </c>
      <c r="G40" s="193"/>
      <c r="H40" s="569">
        <f t="shared" si="1"/>
        <v>27.450980392156865</v>
      </c>
      <c r="I40" s="569">
        <f t="shared" si="2"/>
        <v>65.686274509803923</v>
      </c>
      <c r="J40" s="569">
        <f t="shared" si="3"/>
        <v>6.8627450980392162</v>
      </c>
    </row>
    <row r="41" spans="1:12" ht="13.5" customHeight="1" x14ac:dyDescent="0.2">
      <c r="A41" s="1" t="s">
        <v>618</v>
      </c>
      <c r="B41" s="117" t="s">
        <v>52</v>
      </c>
      <c r="C41" s="183">
        <f>T_21!B36</f>
        <v>18</v>
      </c>
      <c r="D41" s="183">
        <f>T_21!C36</f>
        <v>69</v>
      </c>
      <c r="E41" s="183">
        <f>T_21!D36</f>
        <v>12</v>
      </c>
      <c r="F41" s="455">
        <f t="shared" si="0"/>
        <v>99</v>
      </c>
      <c r="G41" s="193"/>
      <c r="H41" s="569">
        <f t="shared" si="1"/>
        <v>18.181818181818183</v>
      </c>
      <c r="I41" s="569">
        <f t="shared" si="2"/>
        <v>69.696969696969703</v>
      </c>
      <c r="J41" s="569">
        <f t="shared" si="3"/>
        <v>12.121212121212121</v>
      </c>
    </row>
    <row r="42" spans="1:12" ht="13.5" customHeight="1" x14ac:dyDescent="0.2">
      <c r="A42" s="1"/>
      <c r="B42" s="117" t="str">
        <f>IF(T_09b!$A$37 = "Z_Not Known", "Not Known","")</f>
        <v/>
      </c>
      <c r="C42" s="193"/>
      <c r="D42" s="193"/>
      <c r="E42" s="193"/>
      <c r="F42" s="455"/>
      <c r="G42" s="193"/>
      <c r="H42" s="569"/>
      <c r="I42" s="569"/>
      <c r="J42" s="569"/>
    </row>
    <row r="43" spans="1:12" ht="26.25" customHeight="1" thickBot="1" x14ac:dyDescent="0.25">
      <c r="A43" s="359" t="s">
        <v>620</v>
      </c>
      <c r="B43" s="360" t="s">
        <v>143</v>
      </c>
      <c r="C43" s="480">
        <f>SUM(C10:C41)</f>
        <v>665</v>
      </c>
      <c r="D43" s="480">
        <f>SUM(D10:D41)</f>
        <v>2898</v>
      </c>
      <c r="E43" s="480">
        <f>SUM(E10:E41)</f>
        <v>578</v>
      </c>
      <c r="F43" s="480">
        <f>SUM(F10:F41)</f>
        <v>4141</v>
      </c>
      <c r="G43" s="784"/>
      <c r="H43" s="785">
        <f>C43/F43*100</f>
        <v>16.058922965467278</v>
      </c>
      <c r="I43" s="785">
        <f>D43/F43*100</f>
        <v>69.983095870562664</v>
      </c>
      <c r="J43" s="785">
        <f>E43/F43*100</f>
        <v>13.957981163970057</v>
      </c>
      <c r="K43" s="1"/>
    </row>
    <row r="44" spans="1:12" x14ac:dyDescent="0.2">
      <c r="B44" s="1"/>
      <c r="C44" s="1"/>
      <c r="D44" s="1"/>
      <c r="E44" s="1"/>
      <c r="F44" s="1"/>
      <c r="G44" s="1"/>
      <c r="H44" s="1"/>
      <c r="I44" s="1"/>
      <c r="J44" s="1"/>
      <c r="K44" s="1"/>
    </row>
    <row r="45" spans="1:12" x14ac:dyDescent="0.2">
      <c r="B45" s="2"/>
      <c r="C45" s="1"/>
      <c r="D45" s="1"/>
      <c r="E45" s="1"/>
      <c r="F45" s="1"/>
      <c r="G45" s="1"/>
      <c r="H45" s="1"/>
      <c r="I45" s="1"/>
      <c r="J45" s="1"/>
      <c r="K45" s="1"/>
    </row>
    <row r="46" spans="1:12" x14ac:dyDescent="0.2">
      <c r="A46" s="117" t="s">
        <v>146</v>
      </c>
      <c r="B46" s="1328"/>
      <c r="C46" s="1328"/>
      <c r="D46" s="1328"/>
      <c r="E46" s="1328"/>
      <c r="F46" s="1328"/>
      <c r="G46" s="1328"/>
      <c r="H46" s="1328"/>
      <c r="I46" s="1328"/>
      <c r="J46" s="1328"/>
      <c r="K46" s="1328"/>
      <c r="L46" s="1328"/>
    </row>
    <row r="47" spans="1:12" ht="15" x14ac:dyDescent="0.25">
      <c r="A47" s="1043" t="s">
        <v>1228</v>
      </c>
      <c r="I47" s="1"/>
      <c r="J47" s="1"/>
      <c r="K47" s="1"/>
    </row>
    <row r="48" spans="1:12" x14ac:dyDescent="0.2">
      <c r="A48" s="741" t="s">
        <v>1229</v>
      </c>
      <c r="B48" s="106"/>
    </row>
  </sheetData>
  <sheetProtection algorithmName="SHA-512" hashValue="DLA1pC136Hgsm7IAg1EZaVDQI7HU5B1JEaaqNQkhf8iUcpQypcHTawdm1chxu0JIyvKoNN1gutgnqrhepVWBDA==" saltValue="HezxVLj07N1G6DGXTKg+vQ==" spinCount="100000" sheet="1" scenarios="1" formatCells="0" formatColumns="0" formatRows="0" sort="0" autoFilter="0" pivotTables="0"/>
  <mergeCells count="4">
    <mergeCell ref="B46:L46"/>
    <mergeCell ref="C7:D7"/>
    <mergeCell ref="C8:F8"/>
    <mergeCell ref="H8:J8"/>
  </mergeCells>
  <hyperlinks>
    <hyperlink ref="A48" location="'ADF Casualty AlcoholDrugs'!A3" display="Casualties in Fires &gt; Accidental Dwelling Fires &gt; Impairment by Alcohol/Drugs &gt; Local Authority" xr:uid="{00000000-0004-0000-4000-000000000000}"/>
    <hyperlink ref="A2" location="'Table of Contents'!A1" display="Back to Table of Contents" xr:uid="{00000000-0004-0000-4000-000001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7">
    <tabColor rgb="FFFFAFF0"/>
    <pageSetUpPr fitToPage="1"/>
  </sheetPr>
  <dimension ref="A1:AA46"/>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7.42578125" style="1" customWidth="1"/>
    <col min="2" max="2" width="10.42578125" style="1" customWidth="1"/>
    <col min="3" max="3" width="10.85546875" style="1" customWidth="1"/>
    <col min="4" max="4" width="11.7109375" style="1" customWidth="1"/>
    <col min="5" max="5" width="10.42578125" style="1" customWidth="1"/>
    <col min="6" max="6" width="9.7109375" style="1" customWidth="1"/>
    <col min="7" max="7" width="11.42578125" style="1" bestFit="1" customWidth="1"/>
    <col min="8" max="10" width="13.5703125" style="1" customWidth="1"/>
    <col min="11" max="11" width="12" style="1" customWidth="1"/>
    <col min="12" max="13" width="12.140625" style="1" customWidth="1"/>
    <col min="14" max="14" width="5.5703125" style="1" bestFit="1" customWidth="1"/>
    <col min="15" max="26" width="9.140625" style="1"/>
    <col min="27" max="27" width="19.140625" style="1" customWidth="1"/>
    <col min="28" max="227" width="9.140625" style="1"/>
    <col min="228" max="228" width="10.42578125" style="1" customWidth="1"/>
    <col min="229" max="229" width="10.85546875" style="1" customWidth="1"/>
    <col min="230" max="230" width="11.7109375" style="1" customWidth="1"/>
    <col min="231" max="231" width="10.42578125" style="1" customWidth="1"/>
    <col min="232" max="232" width="9.7109375" style="1" customWidth="1"/>
    <col min="233" max="233" width="11.42578125" style="1" bestFit="1" customWidth="1"/>
    <col min="234" max="236" width="13.5703125" style="1" customWidth="1"/>
    <col min="237" max="237" width="12" style="1" customWidth="1"/>
    <col min="238" max="238" width="11.140625" style="1" customWidth="1"/>
    <col min="239" max="239" width="9.140625" style="1"/>
    <col min="240" max="240" width="4.7109375" style="1" customWidth="1"/>
    <col min="241" max="483" width="9.140625" style="1"/>
    <col min="484" max="484" width="10.42578125" style="1" customWidth="1"/>
    <col min="485" max="485" width="10.85546875" style="1" customWidth="1"/>
    <col min="486" max="486" width="11.7109375" style="1" customWidth="1"/>
    <col min="487" max="487" width="10.42578125" style="1" customWidth="1"/>
    <col min="488" max="488" width="9.7109375" style="1" customWidth="1"/>
    <col min="489" max="489" width="11.42578125" style="1" bestFit="1" customWidth="1"/>
    <col min="490" max="492" width="13.5703125" style="1" customWidth="1"/>
    <col min="493" max="493" width="12" style="1" customWidth="1"/>
    <col min="494" max="494" width="11.140625" style="1" customWidth="1"/>
    <col min="495" max="495" width="9.140625" style="1"/>
    <col min="496" max="496" width="4.7109375" style="1" customWidth="1"/>
    <col min="497" max="739" width="9.140625" style="1"/>
    <col min="740" max="740" width="10.42578125" style="1" customWidth="1"/>
    <col min="741" max="741" width="10.85546875" style="1" customWidth="1"/>
    <col min="742" max="742" width="11.7109375" style="1" customWidth="1"/>
    <col min="743" max="743" width="10.42578125" style="1" customWidth="1"/>
    <col min="744" max="744" width="9.7109375" style="1" customWidth="1"/>
    <col min="745" max="745" width="11.42578125" style="1" bestFit="1" customWidth="1"/>
    <col min="746" max="748" width="13.5703125" style="1" customWidth="1"/>
    <col min="749" max="749" width="12" style="1" customWidth="1"/>
    <col min="750" max="750" width="11.140625" style="1" customWidth="1"/>
    <col min="751" max="751" width="9.140625" style="1"/>
    <col min="752" max="752" width="4.7109375" style="1" customWidth="1"/>
    <col min="753" max="995" width="9.140625" style="1"/>
    <col min="996" max="996" width="10.42578125" style="1" customWidth="1"/>
    <col min="997" max="997" width="10.85546875" style="1" customWidth="1"/>
    <col min="998" max="998" width="11.7109375" style="1" customWidth="1"/>
    <col min="999" max="999" width="10.42578125" style="1" customWidth="1"/>
    <col min="1000" max="1000" width="9.7109375" style="1" customWidth="1"/>
    <col min="1001" max="1001" width="11.42578125" style="1" bestFit="1" customWidth="1"/>
    <col min="1002" max="1004" width="13.5703125" style="1" customWidth="1"/>
    <col min="1005" max="1005" width="12" style="1" customWidth="1"/>
    <col min="1006" max="1006" width="11.140625" style="1" customWidth="1"/>
    <col min="1007" max="1007" width="9.140625" style="1"/>
    <col min="1008" max="1008" width="4.7109375" style="1" customWidth="1"/>
    <col min="1009" max="1251" width="9.140625" style="1"/>
    <col min="1252" max="1252" width="10.42578125" style="1" customWidth="1"/>
    <col min="1253" max="1253" width="10.85546875" style="1" customWidth="1"/>
    <col min="1254" max="1254" width="11.7109375" style="1" customWidth="1"/>
    <col min="1255" max="1255" width="10.42578125" style="1" customWidth="1"/>
    <col min="1256" max="1256" width="9.7109375" style="1" customWidth="1"/>
    <col min="1257" max="1257" width="11.42578125" style="1" bestFit="1" customWidth="1"/>
    <col min="1258" max="1260" width="13.5703125" style="1" customWidth="1"/>
    <col min="1261" max="1261" width="12" style="1" customWidth="1"/>
    <col min="1262" max="1262" width="11.140625" style="1" customWidth="1"/>
    <col min="1263" max="1263" width="9.140625" style="1"/>
    <col min="1264" max="1264" width="4.7109375" style="1" customWidth="1"/>
    <col min="1265" max="1507" width="9.140625" style="1"/>
    <col min="1508" max="1508" width="10.42578125" style="1" customWidth="1"/>
    <col min="1509" max="1509" width="10.85546875" style="1" customWidth="1"/>
    <col min="1510" max="1510" width="11.7109375" style="1" customWidth="1"/>
    <col min="1511" max="1511" width="10.42578125" style="1" customWidth="1"/>
    <col min="1512" max="1512" width="9.7109375" style="1" customWidth="1"/>
    <col min="1513" max="1513" width="11.42578125" style="1" bestFit="1" customWidth="1"/>
    <col min="1514" max="1516" width="13.5703125" style="1" customWidth="1"/>
    <col min="1517" max="1517" width="12" style="1" customWidth="1"/>
    <col min="1518" max="1518" width="11.140625" style="1" customWidth="1"/>
    <col min="1519" max="1519" width="9.140625" style="1"/>
    <col min="1520" max="1520" width="4.7109375" style="1" customWidth="1"/>
    <col min="1521" max="1763" width="9.140625" style="1"/>
    <col min="1764" max="1764" width="10.42578125" style="1" customWidth="1"/>
    <col min="1765" max="1765" width="10.85546875" style="1" customWidth="1"/>
    <col min="1766" max="1766" width="11.7109375" style="1" customWidth="1"/>
    <col min="1767" max="1767" width="10.42578125" style="1" customWidth="1"/>
    <col min="1768" max="1768" width="9.7109375" style="1" customWidth="1"/>
    <col min="1769" max="1769" width="11.42578125" style="1" bestFit="1" customWidth="1"/>
    <col min="1770" max="1772" width="13.5703125" style="1" customWidth="1"/>
    <col min="1773" max="1773" width="12" style="1" customWidth="1"/>
    <col min="1774" max="1774" width="11.140625" style="1" customWidth="1"/>
    <col min="1775" max="1775" width="9.140625" style="1"/>
    <col min="1776" max="1776" width="4.7109375" style="1" customWidth="1"/>
    <col min="1777" max="2019" width="9.140625" style="1"/>
    <col min="2020" max="2020" width="10.42578125" style="1" customWidth="1"/>
    <col min="2021" max="2021" width="10.85546875" style="1" customWidth="1"/>
    <col min="2022" max="2022" width="11.7109375" style="1" customWidth="1"/>
    <col min="2023" max="2023" width="10.42578125" style="1" customWidth="1"/>
    <col min="2024" max="2024" width="9.7109375" style="1" customWidth="1"/>
    <col min="2025" max="2025" width="11.42578125" style="1" bestFit="1" customWidth="1"/>
    <col min="2026" max="2028" width="13.5703125" style="1" customWidth="1"/>
    <col min="2029" max="2029" width="12" style="1" customWidth="1"/>
    <col min="2030" max="2030" width="11.140625" style="1" customWidth="1"/>
    <col min="2031" max="2031" width="9.140625" style="1"/>
    <col min="2032" max="2032" width="4.7109375" style="1" customWidth="1"/>
    <col min="2033" max="2275" width="9.140625" style="1"/>
    <col min="2276" max="2276" width="10.42578125" style="1" customWidth="1"/>
    <col min="2277" max="2277" width="10.85546875" style="1" customWidth="1"/>
    <col min="2278" max="2278" width="11.7109375" style="1" customWidth="1"/>
    <col min="2279" max="2279" width="10.42578125" style="1" customWidth="1"/>
    <col min="2280" max="2280" width="9.7109375" style="1" customWidth="1"/>
    <col min="2281" max="2281" width="11.42578125" style="1" bestFit="1" customWidth="1"/>
    <col min="2282" max="2284" width="13.5703125" style="1" customWidth="1"/>
    <col min="2285" max="2285" width="12" style="1" customWidth="1"/>
    <col min="2286" max="2286" width="11.140625" style="1" customWidth="1"/>
    <col min="2287" max="2287" width="9.140625" style="1"/>
    <col min="2288" max="2288" width="4.7109375" style="1" customWidth="1"/>
    <col min="2289" max="2531" width="9.140625" style="1"/>
    <col min="2532" max="2532" width="10.42578125" style="1" customWidth="1"/>
    <col min="2533" max="2533" width="10.85546875" style="1" customWidth="1"/>
    <col min="2534" max="2534" width="11.7109375" style="1" customWidth="1"/>
    <col min="2535" max="2535" width="10.42578125" style="1" customWidth="1"/>
    <col min="2536" max="2536" width="9.7109375" style="1" customWidth="1"/>
    <col min="2537" max="2537" width="11.42578125" style="1" bestFit="1" customWidth="1"/>
    <col min="2538" max="2540" width="13.5703125" style="1" customWidth="1"/>
    <col min="2541" max="2541" width="12" style="1" customWidth="1"/>
    <col min="2542" max="2542" width="11.140625" style="1" customWidth="1"/>
    <col min="2543" max="2543" width="9.140625" style="1"/>
    <col min="2544" max="2544" width="4.7109375" style="1" customWidth="1"/>
    <col min="2545" max="2787" width="9.140625" style="1"/>
    <col min="2788" max="2788" width="10.42578125" style="1" customWidth="1"/>
    <col min="2789" max="2789" width="10.85546875" style="1" customWidth="1"/>
    <col min="2790" max="2790" width="11.7109375" style="1" customWidth="1"/>
    <col min="2791" max="2791" width="10.42578125" style="1" customWidth="1"/>
    <col min="2792" max="2792" width="9.7109375" style="1" customWidth="1"/>
    <col min="2793" max="2793" width="11.42578125" style="1" bestFit="1" customWidth="1"/>
    <col min="2794" max="2796" width="13.5703125" style="1" customWidth="1"/>
    <col min="2797" max="2797" width="12" style="1" customWidth="1"/>
    <col min="2798" max="2798" width="11.140625" style="1" customWidth="1"/>
    <col min="2799" max="2799" width="9.140625" style="1"/>
    <col min="2800" max="2800" width="4.7109375" style="1" customWidth="1"/>
    <col min="2801" max="3043" width="9.140625" style="1"/>
    <col min="3044" max="3044" width="10.42578125" style="1" customWidth="1"/>
    <col min="3045" max="3045" width="10.85546875" style="1" customWidth="1"/>
    <col min="3046" max="3046" width="11.7109375" style="1" customWidth="1"/>
    <col min="3047" max="3047" width="10.42578125" style="1" customWidth="1"/>
    <col min="3048" max="3048" width="9.7109375" style="1" customWidth="1"/>
    <col min="3049" max="3049" width="11.42578125" style="1" bestFit="1" customWidth="1"/>
    <col min="3050" max="3052" width="13.5703125" style="1" customWidth="1"/>
    <col min="3053" max="3053" width="12" style="1" customWidth="1"/>
    <col min="3054" max="3054" width="11.140625" style="1" customWidth="1"/>
    <col min="3055" max="3055" width="9.140625" style="1"/>
    <col min="3056" max="3056" width="4.7109375" style="1" customWidth="1"/>
    <col min="3057" max="3299" width="9.140625" style="1"/>
    <col min="3300" max="3300" width="10.42578125" style="1" customWidth="1"/>
    <col min="3301" max="3301" width="10.85546875" style="1" customWidth="1"/>
    <col min="3302" max="3302" width="11.7109375" style="1" customWidth="1"/>
    <col min="3303" max="3303" width="10.42578125" style="1" customWidth="1"/>
    <col min="3304" max="3304" width="9.7109375" style="1" customWidth="1"/>
    <col min="3305" max="3305" width="11.42578125" style="1" bestFit="1" customWidth="1"/>
    <col min="3306" max="3308" width="13.5703125" style="1" customWidth="1"/>
    <col min="3309" max="3309" width="12" style="1" customWidth="1"/>
    <col min="3310" max="3310" width="11.140625" style="1" customWidth="1"/>
    <col min="3311" max="3311" width="9.140625" style="1"/>
    <col min="3312" max="3312" width="4.7109375" style="1" customWidth="1"/>
    <col min="3313" max="3555" width="9.140625" style="1"/>
    <col min="3556" max="3556" width="10.42578125" style="1" customWidth="1"/>
    <col min="3557" max="3557" width="10.85546875" style="1" customWidth="1"/>
    <col min="3558" max="3558" width="11.7109375" style="1" customWidth="1"/>
    <col min="3559" max="3559" width="10.42578125" style="1" customWidth="1"/>
    <col min="3560" max="3560" width="9.7109375" style="1" customWidth="1"/>
    <col min="3561" max="3561" width="11.42578125" style="1" bestFit="1" customWidth="1"/>
    <col min="3562" max="3564" width="13.5703125" style="1" customWidth="1"/>
    <col min="3565" max="3565" width="12" style="1" customWidth="1"/>
    <col min="3566" max="3566" width="11.140625" style="1" customWidth="1"/>
    <col min="3567" max="3567" width="9.140625" style="1"/>
    <col min="3568" max="3568" width="4.7109375" style="1" customWidth="1"/>
    <col min="3569" max="3811" width="9.140625" style="1"/>
    <col min="3812" max="3812" width="10.42578125" style="1" customWidth="1"/>
    <col min="3813" max="3813" width="10.85546875" style="1" customWidth="1"/>
    <col min="3814" max="3814" width="11.7109375" style="1" customWidth="1"/>
    <col min="3815" max="3815" width="10.42578125" style="1" customWidth="1"/>
    <col min="3816" max="3816" width="9.7109375" style="1" customWidth="1"/>
    <col min="3817" max="3817" width="11.42578125" style="1" bestFit="1" customWidth="1"/>
    <col min="3818" max="3820" width="13.5703125" style="1" customWidth="1"/>
    <col min="3821" max="3821" width="12" style="1" customWidth="1"/>
    <col min="3822" max="3822" width="11.140625" style="1" customWidth="1"/>
    <col min="3823" max="3823" width="9.140625" style="1"/>
    <col min="3824" max="3824" width="4.7109375" style="1" customWidth="1"/>
    <col min="3825" max="4067" width="9.140625" style="1"/>
    <col min="4068" max="4068" width="10.42578125" style="1" customWidth="1"/>
    <col min="4069" max="4069" width="10.85546875" style="1" customWidth="1"/>
    <col min="4070" max="4070" width="11.7109375" style="1" customWidth="1"/>
    <col min="4071" max="4071" width="10.42578125" style="1" customWidth="1"/>
    <col min="4072" max="4072" width="9.7109375" style="1" customWidth="1"/>
    <col min="4073" max="4073" width="11.42578125" style="1" bestFit="1" customWidth="1"/>
    <col min="4074" max="4076" width="13.5703125" style="1" customWidth="1"/>
    <col min="4077" max="4077" width="12" style="1" customWidth="1"/>
    <col min="4078" max="4078" width="11.140625" style="1" customWidth="1"/>
    <col min="4079" max="4079" width="9.140625" style="1"/>
    <col min="4080" max="4080" width="4.7109375" style="1" customWidth="1"/>
    <col min="4081" max="4323" width="9.140625" style="1"/>
    <col min="4324" max="4324" width="10.42578125" style="1" customWidth="1"/>
    <col min="4325" max="4325" width="10.85546875" style="1" customWidth="1"/>
    <col min="4326" max="4326" width="11.7109375" style="1" customWidth="1"/>
    <col min="4327" max="4327" width="10.42578125" style="1" customWidth="1"/>
    <col min="4328" max="4328" width="9.7109375" style="1" customWidth="1"/>
    <col min="4329" max="4329" width="11.42578125" style="1" bestFit="1" customWidth="1"/>
    <col min="4330" max="4332" width="13.5703125" style="1" customWidth="1"/>
    <col min="4333" max="4333" width="12" style="1" customWidth="1"/>
    <col min="4334" max="4334" width="11.140625" style="1" customWidth="1"/>
    <col min="4335" max="4335" width="9.140625" style="1"/>
    <col min="4336" max="4336" width="4.7109375" style="1" customWidth="1"/>
    <col min="4337" max="4579" width="9.140625" style="1"/>
    <col min="4580" max="4580" width="10.42578125" style="1" customWidth="1"/>
    <col min="4581" max="4581" width="10.85546875" style="1" customWidth="1"/>
    <col min="4582" max="4582" width="11.7109375" style="1" customWidth="1"/>
    <col min="4583" max="4583" width="10.42578125" style="1" customWidth="1"/>
    <col min="4584" max="4584" width="9.7109375" style="1" customWidth="1"/>
    <col min="4585" max="4585" width="11.42578125" style="1" bestFit="1" customWidth="1"/>
    <col min="4586" max="4588" width="13.5703125" style="1" customWidth="1"/>
    <col min="4589" max="4589" width="12" style="1" customWidth="1"/>
    <col min="4590" max="4590" width="11.140625" style="1" customWidth="1"/>
    <col min="4591" max="4591" width="9.140625" style="1"/>
    <col min="4592" max="4592" width="4.7109375" style="1" customWidth="1"/>
    <col min="4593" max="4835" width="9.140625" style="1"/>
    <col min="4836" max="4836" width="10.42578125" style="1" customWidth="1"/>
    <col min="4837" max="4837" width="10.85546875" style="1" customWidth="1"/>
    <col min="4838" max="4838" width="11.7109375" style="1" customWidth="1"/>
    <col min="4839" max="4839" width="10.42578125" style="1" customWidth="1"/>
    <col min="4840" max="4840" width="9.7109375" style="1" customWidth="1"/>
    <col min="4841" max="4841" width="11.42578125" style="1" bestFit="1" customWidth="1"/>
    <col min="4842" max="4844" width="13.5703125" style="1" customWidth="1"/>
    <col min="4845" max="4845" width="12" style="1" customWidth="1"/>
    <col min="4846" max="4846" width="11.140625" style="1" customWidth="1"/>
    <col min="4847" max="4847" width="9.140625" style="1"/>
    <col min="4848" max="4848" width="4.7109375" style="1" customWidth="1"/>
    <col min="4849" max="5091" width="9.140625" style="1"/>
    <col min="5092" max="5092" width="10.42578125" style="1" customWidth="1"/>
    <col min="5093" max="5093" width="10.85546875" style="1" customWidth="1"/>
    <col min="5094" max="5094" width="11.7109375" style="1" customWidth="1"/>
    <col min="5095" max="5095" width="10.42578125" style="1" customWidth="1"/>
    <col min="5096" max="5096" width="9.7109375" style="1" customWidth="1"/>
    <col min="5097" max="5097" width="11.42578125" style="1" bestFit="1" customWidth="1"/>
    <col min="5098" max="5100" width="13.5703125" style="1" customWidth="1"/>
    <col min="5101" max="5101" width="12" style="1" customWidth="1"/>
    <col min="5102" max="5102" width="11.140625" style="1" customWidth="1"/>
    <col min="5103" max="5103" width="9.140625" style="1"/>
    <col min="5104" max="5104" width="4.7109375" style="1" customWidth="1"/>
    <col min="5105" max="5347" width="9.140625" style="1"/>
    <col min="5348" max="5348" width="10.42578125" style="1" customWidth="1"/>
    <col min="5349" max="5349" width="10.85546875" style="1" customWidth="1"/>
    <col min="5350" max="5350" width="11.7109375" style="1" customWidth="1"/>
    <col min="5351" max="5351" width="10.42578125" style="1" customWidth="1"/>
    <col min="5352" max="5352" width="9.7109375" style="1" customWidth="1"/>
    <col min="5353" max="5353" width="11.42578125" style="1" bestFit="1" customWidth="1"/>
    <col min="5354" max="5356" width="13.5703125" style="1" customWidth="1"/>
    <col min="5357" max="5357" width="12" style="1" customWidth="1"/>
    <col min="5358" max="5358" width="11.140625" style="1" customWidth="1"/>
    <col min="5359" max="5359" width="9.140625" style="1"/>
    <col min="5360" max="5360" width="4.7109375" style="1" customWidth="1"/>
    <col min="5361" max="5603" width="9.140625" style="1"/>
    <col min="5604" max="5604" width="10.42578125" style="1" customWidth="1"/>
    <col min="5605" max="5605" width="10.85546875" style="1" customWidth="1"/>
    <col min="5606" max="5606" width="11.7109375" style="1" customWidth="1"/>
    <col min="5607" max="5607" width="10.42578125" style="1" customWidth="1"/>
    <col min="5608" max="5608" width="9.7109375" style="1" customWidth="1"/>
    <col min="5609" max="5609" width="11.42578125" style="1" bestFit="1" customWidth="1"/>
    <col min="5610" max="5612" width="13.5703125" style="1" customWidth="1"/>
    <col min="5613" max="5613" width="12" style="1" customWidth="1"/>
    <col min="5614" max="5614" width="11.140625" style="1" customWidth="1"/>
    <col min="5615" max="5615" width="9.140625" style="1"/>
    <col min="5616" max="5616" width="4.7109375" style="1" customWidth="1"/>
    <col min="5617" max="5859" width="9.140625" style="1"/>
    <col min="5860" max="5860" width="10.42578125" style="1" customWidth="1"/>
    <col min="5861" max="5861" width="10.85546875" style="1" customWidth="1"/>
    <col min="5862" max="5862" width="11.7109375" style="1" customWidth="1"/>
    <col min="5863" max="5863" width="10.42578125" style="1" customWidth="1"/>
    <col min="5864" max="5864" width="9.7109375" style="1" customWidth="1"/>
    <col min="5865" max="5865" width="11.42578125" style="1" bestFit="1" customWidth="1"/>
    <col min="5866" max="5868" width="13.5703125" style="1" customWidth="1"/>
    <col min="5869" max="5869" width="12" style="1" customWidth="1"/>
    <col min="5870" max="5870" width="11.140625" style="1" customWidth="1"/>
    <col min="5871" max="5871" width="9.140625" style="1"/>
    <col min="5872" max="5872" width="4.7109375" style="1" customWidth="1"/>
    <col min="5873" max="6115" width="9.140625" style="1"/>
    <col min="6116" max="6116" width="10.42578125" style="1" customWidth="1"/>
    <col min="6117" max="6117" width="10.85546875" style="1" customWidth="1"/>
    <col min="6118" max="6118" width="11.7109375" style="1" customWidth="1"/>
    <col min="6119" max="6119" width="10.42578125" style="1" customWidth="1"/>
    <col min="6120" max="6120" width="9.7109375" style="1" customWidth="1"/>
    <col min="6121" max="6121" width="11.42578125" style="1" bestFit="1" customWidth="1"/>
    <col min="6122" max="6124" width="13.5703125" style="1" customWidth="1"/>
    <col min="6125" max="6125" width="12" style="1" customWidth="1"/>
    <col min="6126" max="6126" width="11.140625" style="1" customWidth="1"/>
    <col min="6127" max="6127" width="9.140625" style="1"/>
    <col min="6128" max="6128" width="4.7109375" style="1" customWidth="1"/>
    <col min="6129" max="6371" width="9.140625" style="1"/>
    <col min="6372" max="6372" width="10.42578125" style="1" customWidth="1"/>
    <col min="6373" max="6373" width="10.85546875" style="1" customWidth="1"/>
    <col min="6374" max="6374" width="11.7109375" style="1" customWidth="1"/>
    <col min="6375" max="6375" width="10.42578125" style="1" customWidth="1"/>
    <col min="6376" max="6376" width="9.7109375" style="1" customWidth="1"/>
    <col min="6377" max="6377" width="11.42578125" style="1" bestFit="1" customWidth="1"/>
    <col min="6378" max="6380" width="13.5703125" style="1" customWidth="1"/>
    <col min="6381" max="6381" width="12" style="1" customWidth="1"/>
    <col min="6382" max="6382" width="11.140625" style="1" customWidth="1"/>
    <col min="6383" max="6383" width="9.140625" style="1"/>
    <col min="6384" max="6384" width="4.7109375" style="1" customWidth="1"/>
    <col min="6385" max="6627" width="9.140625" style="1"/>
    <col min="6628" max="6628" width="10.42578125" style="1" customWidth="1"/>
    <col min="6629" max="6629" width="10.85546875" style="1" customWidth="1"/>
    <col min="6630" max="6630" width="11.7109375" style="1" customWidth="1"/>
    <col min="6631" max="6631" width="10.42578125" style="1" customWidth="1"/>
    <col min="6632" max="6632" width="9.7109375" style="1" customWidth="1"/>
    <col min="6633" max="6633" width="11.42578125" style="1" bestFit="1" customWidth="1"/>
    <col min="6634" max="6636" width="13.5703125" style="1" customWidth="1"/>
    <col min="6637" max="6637" width="12" style="1" customWidth="1"/>
    <col min="6638" max="6638" width="11.140625" style="1" customWidth="1"/>
    <col min="6639" max="6639" width="9.140625" style="1"/>
    <col min="6640" max="6640" width="4.7109375" style="1" customWidth="1"/>
    <col min="6641" max="6883" width="9.140625" style="1"/>
    <col min="6884" max="6884" width="10.42578125" style="1" customWidth="1"/>
    <col min="6885" max="6885" width="10.85546875" style="1" customWidth="1"/>
    <col min="6886" max="6886" width="11.7109375" style="1" customWidth="1"/>
    <col min="6887" max="6887" width="10.42578125" style="1" customWidth="1"/>
    <col min="6888" max="6888" width="9.7109375" style="1" customWidth="1"/>
    <col min="6889" max="6889" width="11.42578125" style="1" bestFit="1" customWidth="1"/>
    <col min="6890" max="6892" width="13.5703125" style="1" customWidth="1"/>
    <col min="6893" max="6893" width="12" style="1" customWidth="1"/>
    <col min="6894" max="6894" width="11.140625" style="1" customWidth="1"/>
    <col min="6895" max="6895" width="9.140625" style="1"/>
    <col min="6896" max="6896" width="4.7109375" style="1" customWidth="1"/>
    <col min="6897" max="7139" width="9.140625" style="1"/>
    <col min="7140" max="7140" width="10.42578125" style="1" customWidth="1"/>
    <col min="7141" max="7141" width="10.85546875" style="1" customWidth="1"/>
    <col min="7142" max="7142" width="11.7109375" style="1" customWidth="1"/>
    <col min="7143" max="7143" width="10.42578125" style="1" customWidth="1"/>
    <col min="7144" max="7144" width="9.7109375" style="1" customWidth="1"/>
    <col min="7145" max="7145" width="11.42578125" style="1" bestFit="1" customWidth="1"/>
    <col min="7146" max="7148" width="13.5703125" style="1" customWidth="1"/>
    <col min="7149" max="7149" width="12" style="1" customWidth="1"/>
    <col min="7150" max="7150" width="11.140625" style="1" customWidth="1"/>
    <col min="7151" max="7151" width="9.140625" style="1"/>
    <col min="7152" max="7152" width="4.7109375" style="1" customWidth="1"/>
    <col min="7153" max="7395" width="9.140625" style="1"/>
    <col min="7396" max="7396" width="10.42578125" style="1" customWidth="1"/>
    <col min="7397" max="7397" width="10.85546875" style="1" customWidth="1"/>
    <col min="7398" max="7398" width="11.7109375" style="1" customWidth="1"/>
    <col min="7399" max="7399" width="10.42578125" style="1" customWidth="1"/>
    <col min="7400" max="7400" width="9.7109375" style="1" customWidth="1"/>
    <col min="7401" max="7401" width="11.42578125" style="1" bestFit="1" customWidth="1"/>
    <col min="7402" max="7404" width="13.5703125" style="1" customWidth="1"/>
    <col min="7405" max="7405" width="12" style="1" customWidth="1"/>
    <col min="7406" max="7406" width="11.140625" style="1" customWidth="1"/>
    <col min="7407" max="7407" width="9.140625" style="1"/>
    <col min="7408" max="7408" width="4.7109375" style="1" customWidth="1"/>
    <col min="7409" max="7651" width="9.140625" style="1"/>
    <col min="7652" max="7652" width="10.42578125" style="1" customWidth="1"/>
    <col min="7653" max="7653" width="10.85546875" style="1" customWidth="1"/>
    <col min="7654" max="7654" width="11.7109375" style="1" customWidth="1"/>
    <col min="7655" max="7655" width="10.42578125" style="1" customWidth="1"/>
    <col min="7656" max="7656" width="9.7109375" style="1" customWidth="1"/>
    <col min="7657" max="7657" width="11.42578125" style="1" bestFit="1" customWidth="1"/>
    <col min="7658" max="7660" width="13.5703125" style="1" customWidth="1"/>
    <col min="7661" max="7661" width="12" style="1" customWidth="1"/>
    <col min="7662" max="7662" width="11.140625" style="1" customWidth="1"/>
    <col min="7663" max="7663" width="9.140625" style="1"/>
    <col min="7664" max="7664" width="4.7109375" style="1" customWidth="1"/>
    <col min="7665" max="7907" width="9.140625" style="1"/>
    <col min="7908" max="7908" width="10.42578125" style="1" customWidth="1"/>
    <col min="7909" max="7909" width="10.85546875" style="1" customWidth="1"/>
    <col min="7910" max="7910" width="11.7109375" style="1" customWidth="1"/>
    <col min="7911" max="7911" width="10.42578125" style="1" customWidth="1"/>
    <col min="7912" max="7912" width="9.7109375" style="1" customWidth="1"/>
    <col min="7913" max="7913" width="11.42578125" style="1" bestFit="1" customWidth="1"/>
    <col min="7914" max="7916" width="13.5703125" style="1" customWidth="1"/>
    <col min="7917" max="7917" width="12" style="1" customWidth="1"/>
    <col min="7918" max="7918" width="11.140625" style="1" customWidth="1"/>
    <col min="7919" max="7919" width="9.140625" style="1"/>
    <col min="7920" max="7920" width="4.7109375" style="1" customWidth="1"/>
    <col min="7921" max="8163" width="9.140625" style="1"/>
    <col min="8164" max="8164" width="10.42578125" style="1" customWidth="1"/>
    <col min="8165" max="8165" width="10.85546875" style="1" customWidth="1"/>
    <col min="8166" max="8166" width="11.7109375" style="1" customWidth="1"/>
    <col min="8167" max="8167" width="10.42578125" style="1" customWidth="1"/>
    <col min="8168" max="8168" width="9.7109375" style="1" customWidth="1"/>
    <col min="8169" max="8169" width="11.42578125" style="1" bestFit="1" customWidth="1"/>
    <col min="8170" max="8172" width="13.5703125" style="1" customWidth="1"/>
    <col min="8173" max="8173" width="12" style="1" customWidth="1"/>
    <col min="8174" max="8174" width="11.140625" style="1" customWidth="1"/>
    <col min="8175" max="8175" width="9.140625" style="1"/>
    <col min="8176" max="8176" width="4.7109375" style="1" customWidth="1"/>
    <col min="8177" max="8419" width="9.140625" style="1"/>
    <col min="8420" max="8420" width="10.42578125" style="1" customWidth="1"/>
    <col min="8421" max="8421" width="10.85546875" style="1" customWidth="1"/>
    <col min="8422" max="8422" width="11.7109375" style="1" customWidth="1"/>
    <col min="8423" max="8423" width="10.42578125" style="1" customWidth="1"/>
    <col min="8424" max="8424" width="9.7109375" style="1" customWidth="1"/>
    <col min="8425" max="8425" width="11.42578125" style="1" bestFit="1" customWidth="1"/>
    <col min="8426" max="8428" width="13.5703125" style="1" customWidth="1"/>
    <col min="8429" max="8429" width="12" style="1" customWidth="1"/>
    <col min="8430" max="8430" width="11.140625" style="1" customWidth="1"/>
    <col min="8431" max="8431" width="9.140625" style="1"/>
    <col min="8432" max="8432" width="4.7109375" style="1" customWidth="1"/>
    <col min="8433" max="8675" width="9.140625" style="1"/>
    <col min="8676" max="8676" width="10.42578125" style="1" customWidth="1"/>
    <col min="8677" max="8677" width="10.85546875" style="1" customWidth="1"/>
    <col min="8678" max="8678" width="11.7109375" style="1" customWidth="1"/>
    <col min="8679" max="8679" width="10.42578125" style="1" customWidth="1"/>
    <col min="8680" max="8680" width="9.7109375" style="1" customWidth="1"/>
    <col min="8681" max="8681" width="11.42578125" style="1" bestFit="1" customWidth="1"/>
    <col min="8682" max="8684" width="13.5703125" style="1" customWidth="1"/>
    <col min="8685" max="8685" width="12" style="1" customWidth="1"/>
    <col min="8686" max="8686" width="11.140625" style="1" customWidth="1"/>
    <col min="8687" max="8687" width="9.140625" style="1"/>
    <col min="8688" max="8688" width="4.7109375" style="1" customWidth="1"/>
    <col min="8689" max="8931" width="9.140625" style="1"/>
    <col min="8932" max="8932" width="10.42578125" style="1" customWidth="1"/>
    <col min="8933" max="8933" width="10.85546875" style="1" customWidth="1"/>
    <col min="8934" max="8934" width="11.7109375" style="1" customWidth="1"/>
    <col min="8935" max="8935" width="10.42578125" style="1" customWidth="1"/>
    <col min="8936" max="8936" width="9.7109375" style="1" customWidth="1"/>
    <col min="8937" max="8937" width="11.42578125" style="1" bestFit="1" customWidth="1"/>
    <col min="8938" max="8940" width="13.5703125" style="1" customWidth="1"/>
    <col min="8941" max="8941" width="12" style="1" customWidth="1"/>
    <col min="8942" max="8942" width="11.140625" style="1" customWidth="1"/>
    <col min="8943" max="8943" width="9.140625" style="1"/>
    <col min="8944" max="8944" width="4.7109375" style="1" customWidth="1"/>
    <col min="8945" max="9187" width="9.140625" style="1"/>
    <col min="9188" max="9188" width="10.42578125" style="1" customWidth="1"/>
    <col min="9189" max="9189" width="10.85546875" style="1" customWidth="1"/>
    <col min="9190" max="9190" width="11.7109375" style="1" customWidth="1"/>
    <col min="9191" max="9191" width="10.42578125" style="1" customWidth="1"/>
    <col min="9192" max="9192" width="9.7109375" style="1" customWidth="1"/>
    <col min="9193" max="9193" width="11.42578125" style="1" bestFit="1" customWidth="1"/>
    <col min="9194" max="9196" width="13.5703125" style="1" customWidth="1"/>
    <col min="9197" max="9197" width="12" style="1" customWidth="1"/>
    <col min="9198" max="9198" width="11.140625" style="1" customWidth="1"/>
    <col min="9199" max="9199" width="9.140625" style="1"/>
    <col min="9200" max="9200" width="4.7109375" style="1" customWidth="1"/>
    <col min="9201" max="9443" width="9.140625" style="1"/>
    <col min="9444" max="9444" width="10.42578125" style="1" customWidth="1"/>
    <col min="9445" max="9445" width="10.85546875" style="1" customWidth="1"/>
    <col min="9446" max="9446" width="11.7109375" style="1" customWidth="1"/>
    <col min="9447" max="9447" width="10.42578125" style="1" customWidth="1"/>
    <col min="9448" max="9448" width="9.7109375" style="1" customWidth="1"/>
    <col min="9449" max="9449" width="11.42578125" style="1" bestFit="1" customWidth="1"/>
    <col min="9450" max="9452" width="13.5703125" style="1" customWidth="1"/>
    <col min="9453" max="9453" width="12" style="1" customWidth="1"/>
    <col min="9454" max="9454" width="11.140625" style="1" customWidth="1"/>
    <col min="9455" max="9455" width="9.140625" style="1"/>
    <col min="9456" max="9456" width="4.7109375" style="1" customWidth="1"/>
    <col min="9457" max="9699" width="9.140625" style="1"/>
    <col min="9700" max="9700" width="10.42578125" style="1" customWidth="1"/>
    <col min="9701" max="9701" width="10.85546875" style="1" customWidth="1"/>
    <col min="9702" max="9702" width="11.7109375" style="1" customWidth="1"/>
    <col min="9703" max="9703" width="10.42578125" style="1" customWidth="1"/>
    <col min="9704" max="9704" width="9.7109375" style="1" customWidth="1"/>
    <col min="9705" max="9705" width="11.42578125" style="1" bestFit="1" customWidth="1"/>
    <col min="9706" max="9708" width="13.5703125" style="1" customWidth="1"/>
    <col min="9709" max="9709" width="12" style="1" customWidth="1"/>
    <col min="9710" max="9710" width="11.140625" style="1" customWidth="1"/>
    <col min="9711" max="9711" width="9.140625" style="1"/>
    <col min="9712" max="9712" width="4.7109375" style="1" customWidth="1"/>
    <col min="9713" max="9955" width="9.140625" style="1"/>
    <col min="9956" max="9956" width="10.42578125" style="1" customWidth="1"/>
    <col min="9957" max="9957" width="10.85546875" style="1" customWidth="1"/>
    <col min="9958" max="9958" width="11.7109375" style="1" customWidth="1"/>
    <col min="9959" max="9959" width="10.42578125" style="1" customWidth="1"/>
    <col min="9960" max="9960" width="9.7109375" style="1" customWidth="1"/>
    <col min="9961" max="9961" width="11.42578125" style="1" bestFit="1" customWidth="1"/>
    <col min="9962" max="9964" width="13.5703125" style="1" customWidth="1"/>
    <col min="9965" max="9965" width="12" style="1" customWidth="1"/>
    <col min="9966" max="9966" width="11.140625" style="1" customWidth="1"/>
    <col min="9967" max="9967" width="9.140625" style="1"/>
    <col min="9968" max="9968" width="4.7109375" style="1" customWidth="1"/>
    <col min="9969" max="10211" width="9.140625" style="1"/>
    <col min="10212" max="10212" width="10.42578125" style="1" customWidth="1"/>
    <col min="10213" max="10213" width="10.85546875" style="1" customWidth="1"/>
    <col min="10214" max="10214" width="11.7109375" style="1" customWidth="1"/>
    <col min="10215" max="10215" width="10.42578125" style="1" customWidth="1"/>
    <col min="10216" max="10216" width="9.7109375" style="1" customWidth="1"/>
    <col min="10217" max="10217" width="11.42578125" style="1" bestFit="1" customWidth="1"/>
    <col min="10218" max="10220" width="13.5703125" style="1" customWidth="1"/>
    <col min="10221" max="10221" width="12" style="1" customWidth="1"/>
    <col min="10222" max="10222" width="11.140625" style="1" customWidth="1"/>
    <col min="10223" max="10223" width="9.140625" style="1"/>
    <col min="10224" max="10224" width="4.7109375" style="1" customWidth="1"/>
    <col min="10225" max="10467" width="9.140625" style="1"/>
    <col min="10468" max="10468" width="10.42578125" style="1" customWidth="1"/>
    <col min="10469" max="10469" width="10.85546875" style="1" customWidth="1"/>
    <col min="10470" max="10470" width="11.7109375" style="1" customWidth="1"/>
    <col min="10471" max="10471" width="10.42578125" style="1" customWidth="1"/>
    <col min="10472" max="10472" width="9.7109375" style="1" customWidth="1"/>
    <col min="10473" max="10473" width="11.42578125" style="1" bestFit="1" customWidth="1"/>
    <col min="10474" max="10476" width="13.5703125" style="1" customWidth="1"/>
    <col min="10477" max="10477" width="12" style="1" customWidth="1"/>
    <col min="10478" max="10478" width="11.140625" style="1" customWidth="1"/>
    <col min="10479" max="10479" width="9.140625" style="1"/>
    <col min="10480" max="10480" width="4.7109375" style="1" customWidth="1"/>
    <col min="10481" max="10723" width="9.140625" style="1"/>
    <col min="10724" max="10724" width="10.42578125" style="1" customWidth="1"/>
    <col min="10725" max="10725" width="10.85546875" style="1" customWidth="1"/>
    <col min="10726" max="10726" width="11.7109375" style="1" customWidth="1"/>
    <col min="10727" max="10727" width="10.42578125" style="1" customWidth="1"/>
    <col min="10728" max="10728" width="9.7109375" style="1" customWidth="1"/>
    <col min="10729" max="10729" width="11.42578125" style="1" bestFit="1" customWidth="1"/>
    <col min="10730" max="10732" width="13.5703125" style="1" customWidth="1"/>
    <col min="10733" max="10733" width="12" style="1" customWidth="1"/>
    <col min="10734" max="10734" width="11.140625" style="1" customWidth="1"/>
    <col min="10735" max="10735" width="9.140625" style="1"/>
    <col min="10736" max="10736" width="4.7109375" style="1" customWidth="1"/>
    <col min="10737" max="10979" width="9.140625" style="1"/>
    <col min="10980" max="10980" width="10.42578125" style="1" customWidth="1"/>
    <col min="10981" max="10981" width="10.85546875" style="1" customWidth="1"/>
    <col min="10982" max="10982" width="11.7109375" style="1" customWidth="1"/>
    <col min="10983" max="10983" width="10.42578125" style="1" customWidth="1"/>
    <col min="10984" max="10984" width="9.7109375" style="1" customWidth="1"/>
    <col min="10985" max="10985" width="11.42578125" style="1" bestFit="1" customWidth="1"/>
    <col min="10986" max="10988" width="13.5703125" style="1" customWidth="1"/>
    <col min="10989" max="10989" width="12" style="1" customWidth="1"/>
    <col min="10990" max="10990" width="11.140625" style="1" customWidth="1"/>
    <col min="10991" max="10991" width="9.140625" style="1"/>
    <col min="10992" max="10992" width="4.7109375" style="1" customWidth="1"/>
    <col min="10993" max="11235" width="9.140625" style="1"/>
    <col min="11236" max="11236" width="10.42578125" style="1" customWidth="1"/>
    <col min="11237" max="11237" width="10.85546875" style="1" customWidth="1"/>
    <col min="11238" max="11238" width="11.7109375" style="1" customWidth="1"/>
    <col min="11239" max="11239" width="10.42578125" style="1" customWidth="1"/>
    <col min="11240" max="11240" width="9.7109375" style="1" customWidth="1"/>
    <col min="11241" max="11241" width="11.42578125" style="1" bestFit="1" customWidth="1"/>
    <col min="11242" max="11244" width="13.5703125" style="1" customWidth="1"/>
    <col min="11245" max="11245" width="12" style="1" customWidth="1"/>
    <col min="11246" max="11246" width="11.140625" style="1" customWidth="1"/>
    <col min="11247" max="11247" width="9.140625" style="1"/>
    <col min="11248" max="11248" width="4.7109375" style="1" customWidth="1"/>
    <col min="11249" max="11491" width="9.140625" style="1"/>
    <col min="11492" max="11492" width="10.42578125" style="1" customWidth="1"/>
    <col min="11493" max="11493" width="10.85546875" style="1" customWidth="1"/>
    <col min="11494" max="11494" width="11.7109375" style="1" customWidth="1"/>
    <col min="11495" max="11495" width="10.42578125" style="1" customWidth="1"/>
    <col min="11496" max="11496" width="9.7109375" style="1" customWidth="1"/>
    <col min="11497" max="11497" width="11.42578125" style="1" bestFit="1" customWidth="1"/>
    <col min="11498" max="11500" width="13.5703125" style="1" customWidth="1"/>
    <col min="11501" max="11501" width="12" style="1" customWidth="1"/>
    <col min="11502" max="11502" width="11.140625" style="1" customWidth="1"/>
    <col min="11503" max="11503" width="9.140625" style="1"/>
    <col min="11504" max="11504" width="4.7109375" style="1" customWidth="1"/>
    <col min="11505" max="11747" width="9.140625" style="1"/>
    <col min="11748" max="11748" width="10.42578125" style="1" customWidth="1"/>
    <col min="11749" max="11749" width="10.85546875" style="1" customWidth="1"/>
    <col min="11750" max="11750" width="11.7109375" style="1" customWidth="1"/>
    <col min="11751" max="11751" width="10.42578125" style="1" customWidth="1"/>
    <col min="11752" max="11752" width="9.7109375" style="1" customWidth="1"/>
    <col min="11753" max="11753" width="11.42578125" style="1" bestFit="1" customWidth="1"/>
    <col min="11754" max="11756" width="13.5703125" style="1" customWidth="1"/>
    <col min="11757" max="11757" width="12" style="1" customWidth="1"/>
    <col min="11758" max="11758" width="11.140625" style="1" customWidth="1"/>
    <col min="11759" max="11759" width="9.140625" style="1"/>
    <col min="11760" max="11760" width="4.7109375" style="1" customWidth="1"/>
    <col min="11761" max="12003" width="9.140625" style="1"/>
    <col min="12004" max="12004" width="10.42578125" style="1" customWidth="1"/>
    <col min="12005" max="12005" width="10.85546875" style="1" customWidth="1"/>
    <col min="12006" max="12006" width="11.7109375" style="1" customWidth="1"/>
    <col min="12007" max="12007" width="10.42578125" style="1" customWidth="1"/>
    <col min="12008" max="12008" width="9.7109375" style="1" customWidth="1"/>
    <col min="12009" max="12009" width="11.42578125" style="1" bestFit="1" customWidth="1"/>
    <col min="12010" max="12012" width="13.5703125" style="1" customWidth="1"/>
    <col min="12013" max="12013" width="12" style="1" customWidth="1"/>
    <col min="12014" max="12014" width="11.140625" style="1" customWidth="1"/>
    <col min="12015" max="12015" width="9.140625" style="1"/>
    <col min="12016" max="12016" width="4.7109375" style="1" customWidth="1"/>
    <col min="12017" max="12259" width="9.140625" style="1"/>
    <col min="12260" max="12260" width="10.42578125" style="1" customWidth="1"/>
    <col min="12261" max="12261" width="10.85546875" style="1" customWidth="1"/>
    <col min="12262" max="12262" width="11.7109375" style="1" customWidth="1"/>
    <col min="12263" max="12263" width="10.42578125" style="1" customWidth="1"/>
    <col min="12264" max="12264" width="9.7109375" style="1" customWidth="1"/>
    <col min="12265" max="12265" width="11.42578125" style="1" bestFit="1" customWidth="1"/>
    <col min="12266" max="12268" width="13.5703125" style="1" customWidth="1"/>
    <col min="12269" max="12269" width="12" style="1" customWidth="1"/>
    <col min="12270" max="12270" width="11.140625" style="1" customWidth="1"/>
    <col min="12271" max="12271" width="9.140625" style="1"/>
    <col min="12272" max="12272" width="4.7109375" style="1" customWidth="1"/>
    <col min="12273" max="12515" width="9.140625" style="1"/>
    <col min="12516" max="12516" width="10.42578125" style="1" customWidth="1"/>
    <col min="12517" max="12517" width="10.85546875" style="1" customWidth="1"/>
    <col min="12518" max="12518" width="11.7109375" style="1" customWidth="1"/>
    <col min="12519" max="12519" width="10.42578125" style="1" customWidth="1"/>
    <col min="12520" max="12520" width="9.7109375" style="1" customWidth="1"/>
    <col min="12521" max="12521" width="11.42578125" style="1" bestFit="1" customWidth="1"/>
    <col min="12522" max="12524" width="13.5703125" style="1" customWidth="1"/>
    <col min="12525" max="12525" width="12" style="1" customWidth="1"/>
    <col min="12526" max="12526" width="11.140625" style="1" customWidth="1"/>
    <col min="12527" max="12527" width="9.140625" style="1"/>
    <col min="12528" max="12528" width="4.7109375" style="1" customWidth="1"/>
    <col min="12529" max="12771" width="9.140625" style="1"/>
    <col min="12772" max="12772" width="10.42578125" style="1" customWidth="1"/>
    <col min="12773" max="12773" width="10.85546875" style="1" customWidth="1"/>
    <col min="12774" max="12774" width="11.7109375" style="1" customWidth="1"/>
    <col min="12775" max="12775" width="10.42578125" style="1" customWidth="1"/>
    <col min="12776" max="12776" width="9.7109375" style="1" customWidth="1"/>
    <col min="12777" max="12777" width="11.42578125" style="1" bestFit="1" customWidth="1"/>
    <col min="12778" max="12780" width="13.5703125" style="1" customWidth="1"/>
    <col min="12781" max="12781" width="12" style="1" customWidth="1"/>
    <col min="12782" max="12782" width="11.140625" style="1" customWidth="1"/>
    <col min="12783" max="12783" width="9.140625" style="1"/>
    <col min="12784" max="12784" width="4.7109375" style="1" customWidth="1"/>
    <col min="12785" max="13027" width="9.140625" style="1"/>
    <col min="13028" max="13028" width="10.42578125" style="1" customWidth="1"/>
    <col min="13029" max="13029" width="10.85546875" style="1" customWidth="1"/>
    <col min="13030" max="13030" width="11.7109375" style="1" customWidth="1"/>
    <col min="13031" max="13031" width="10.42578125" style="1" customWidth="1"/>
    <col min="13032" max="13032" width="9.7109375" style="1" customWidth="1"/>
    <col min="13033" max="13033" width="11.42578125" style="1" bestFit="1" customWidth="1"/>
    <col min="13034" max="13036" width="13.5703125" style="1" customWidth="1"/>
    <col min="13037" max="13037" width="12" style="1" customWidth="1"/>
    <col min="13038" max="13038" width="11.140625" style="1" customWidth="1"/>
    <col min="13039" max="13039" width="9.140625" style="1"/>
    <col min="13040" max="13040" width="4.7109375" style="1" customWidth="1"/>
    <col min="13041" max="13283" width="9.140625" style="1"/>
    <col min="13284" max="13284" width="10.42578125" style="1" customWidth="1"/>
    <col min="13285" max="13285" width="10.85546875" style="1" customWidth="1"/>
    <col min="13286" max="13286" width="11.7109375" style="1" customWidth="1"/>
    <col min="13287" max="13287" width="10.42578125" style="1" customWidth="1"/>
    <col min="13288" max="13288" width="9.7109375" style="1" customWidth="1"/>
    <col min="13289" max="13289" width="11.42578125" style="1" bestFit="1" customWidth="1"/>
    <col min="13290" max="13292" width="13.5703125" style="1" customWidth="1"/>
    <col min="13293" max="13293" width="12" style="1" customWidth="1"/>
    <col min="13294" max="13294" width="11.140625" style="1" customWidth="1"/>
    <col min="13295" max="13295" width="9.140625" style="1"/>
    <col min="13296" max="13296" width="4.7109375" style="1" customWidth="1"/>
    <col min="13297" max="13539" width="9.140625" style="1"/>
    <col min="13540" max="13540" width="10.42578125" style="1" customWidth="1"/>
    <col min="13541" max="13541" width="10.85546875" style="1" customWidth="1"/>
    <col min="13542" max="13542" width="11.7109375" style="1" customWidth="1"/>
    <col min="13543" max="13543" width="10.42578125" style="1" customWidth="1"/>
    <col min="13544" max="13544" width="9.7109375" style="1" customWidth="1"/>
    <col min="13545" max="13545" width="11.42578125" style="1" bestFit="1" customWidth="1"/>
    <col min="13546" max="13548" width="13.5703125" style="1" customWidth="1"/>
    <col min="13549" max="13549" width="12" style="1" customWidth="1"/>
    <col min="13550" max="13550" width="11.140625" style="1" customWidth="1"/>
    <col min="13551" max="13551" width="9.140625" style="1"/>
    <col min="13552" max="13552" width="4.7109375" style="1" customWidth="1"/>
    <col min="13553" max="13795" width="9.140625" style="1"/>
    <col min="13796" max="13796" width="10.42578125" style="1" customWidth="1"/>
    <col min="13797" max="13797" width="10.85546875" style="1" customWidth="1"/>
    <col min="13798" max="13798" width="11.7109375" style="1" customWidth="1"/>
    <col min="13799" max="13799" width="10.42578125" style="1" customWidth="1"/>
    <col min="13800" max="13800" width="9.7109375" style="1" customWidth="1"/>
    <col min="13801" max="13801" width="11.42578125" style="1" bestFit="1" customWidth="1"/>
    <col min="13802" max="13804" width="13.5703125" style="1" customWidth="1"/>
    <col min="13805" max="13805" width="12" style="1" customWidth="1"/>
    <col min="13806" max="13806" width="11.140625" style="1" customWidth="1"/>
    <col min="13807" max="13807" width="9.140625" style="1"/>
    <col min="13808" max="13808" width="4.7109375" style="1" customWidth="1"/>
    <col min="13809" max="14051" width="9.140625" style="1"/>
    <col min="14052" max="14052" width="10.42578125" style="1" customWidth="1"/>
    <col min="14053" max="14053" width="10.85546875" style="1" customWidth="1"/>
    <col min="14054" max="14054" width="11.7109375" style="1" customWidth="1"/>
    <col min="14055" max="14055" width="10.42578125" style="1" customWidth="1"/>
    <col min="14056" max="14056" width="9.7109375" style="1" customWidth="1"/>
    <col min="14057" max="14057" width="11.42578125" style="1" bestFit="1" customWidth="1"/>
    <col min="14058" max="14060" width="13.5703125" style="1" customWidth="1"/>
    <col min="14061" max="14061" width="12" style="1" customWidth="1"/>
    <col min="14062" max="14062" width="11.140625" style="1" customWidth="1"/>
    <col min="14063" max="14063" width="9.140625" style="1"/>
    <col min="14064" max="14064" width="4.7109375" style="1" customWidth="1"/>
    <col min="14065" max="14307" width="9.140625" style="1"/>
    <col min="14308" max="14308" width="10.42578125" style="1" customWidth="1"/>
    <col min="14309" max="14309" width="10.85546875" style="1" customWidth="1"/>
    <col min="14310" max="14310" width="11.7109375" style="1" customWidth="1"/>
    <col min="14311" max="14311" width="10.42578125" style="1" customWidth="1"/>
    <col min="14312" max="14312" width="9.7109375" style="1" customWidth="1"/>
    <col min="14313" max="14313" width="11.42578125" style="1" bestFit="1" customWidth="1"/>
    <col min="14314" max="14316" width="13.5703125" style="1" customWidth="1"/>
    <col min="14317" max="14317" width="12" style="1" customWidth="1"/>
    <col min="14318" max="14318" width="11.140625" style="1" customWidth="1"/>
    <col min="14319" max="14319" width="9.140625" style="1"/>
    <col min="14320" max="14320" width="4.7109375" style="1" customWidth="1"/>
    <col min="14321" max="14563" width="9.140625" style="1"/>
    <col min="14564" max="14564" width="10.42578125" style="1" customWidth="1"/>
    <col min="14565" max="14565" width="10.85546875" style="1" customWidth="1"/>
    <col min="14566" max="14566" width="11.7109375" style="1" customWidth="1"/>
    <col min="14567" max="14567" width="10.42578125" style="1" customWidth="1"/>
    <col min="14568" max="14568" width="9.7109375" style="1" customWidth="1"/>
    <col min="14569" max="14569" width="11.42578125" style="1" bestFit="1" customWidth="1"/>
    <col min="14570" max="14572" width="13.5703125" style="1" customWidth="1"/>
    <col min="14573" max="14573" width="12" style="1" customWidth="1"/>
    <col min="14574" max="14574" width="11.140625" style="1" customWidth="1"/>
    <col min="14575" max="14575" width="9.140625" style="1"/>
    <col min="14576" max="14576" width="4.7109375" style="1" customWidth="1"/>
    <col min="14577" max="14819" width="9.140625" style="1"/>
    <col min="14820" max="14820" width="10.42578125" style="1" customWidth="1"/>
    <col min="14821" max="14821" width="10.85546875" style="1" customWidth="1"/>
    <col min="14822" max="14822" width="11.7109375" style="1" customWidth="1"/>
    <col min="14823" max="14823" width="10.42578125" style="1" customWidth="1"/>
    <col min="14824" max="14824" width="9.7109375" style="1" customWidth="1"/>
    <col min="14825" max="14825" width="11.42578125" style="1" bestFit="1" customWidth="1"/>
    <col min="14826" max="14828" width="13.5703125" style="1" customWidth="1"/>
    <col min="14829" max="14829" width="12" style="1" customWidth="1"/>
    <col min="14830" max="14830" width="11.140625" style="1" customWidth="1"/>
    <col min="14831" max="14831" width="9.140625" style="1"/>
    <col min="14832" max="14832" width="4.7109375" style="1" customWidth="1"/>
    <col min="14833" max="15075" width="9.140625" style="1"/>
    <col min="15076" max="15076" width="10.42578125" style="1" customWidth="1"/>
    <col min="15077" max="15077" width="10.85546875" style="1" customWidth="1"/>
    <col min="15078" max="15078" width="11.7109375" style="1" customWidth="1"/>
    <col min="15079" max="15079" width="10.42578125" style="1" customWidth="1"/>
    <col min="15080" max="15080" width="9.7109375" style="1" customWidth="1"/>
    <col min="15081" max="15081" width="11.42578125" style="1" bestFit="1" customWidth="1"/>
    <col min="15082" max="15084" width="13.5703125" style="1" customWidth="1"/>
    <col min="15085" max="15085" width="12" style="1" customWidth="1"/>
    <col min="15086" max="15086" width="11.140625" style="1" customWidth="1"/>
    <col min="15087" max="15087" width="9.140625" style="1"/>
    <col min="15088" max="15088" width="4.7109375" style="1" customWidth="1"/>
    <col min="15089" max="15331" width="9.140625" style="1"/>
    <col min="15332" max="15332" width="10.42578125" style="1" customWidth="1"/>
    <col min="15333" max="15333" width="10.85546875" style="1" customWidth="1"/>
    <col min="15334" max="15334" width="11.7109375" style="1" customWidth="1"/>
    <col min="15335" max="15335" width="10.42578125" style="1" customWidth="1"/>
    <col min="15336" max="15336" width="9.7109375" style="1" customWidth="1"/>
    <col min="15337" max="15337" width="11.42578125" style="1" bestFit="1" customWidth="1"/>
    <col min="15338" max="15340" width="13.5703125" style="1" customWidth="1"/>
    <col min="15341" max="15341" width="12" style="1" customWidth="1"/>
    <col min="15342" max="15342" width="11.140625" style="1" customWidth="1"/>
    <col min="15343" max="15343" width="9.140625" style="1"/>
    <col min="15344" max="15344" width="4.7109375" style="1" customWidth="1"/>
    <col min="15345" max="15587" width="9.140625" style="1"/>
    <col min="15588" max="15588" width="10.42578125" style="1" customWidth="1"/>
    <col min="15589" max="15589" width="10.85546875" style="1" customWidth="1"/>
    <col min="15590" max="15590" width="11.7109375" style="1" customWidth="1"/>
    <col min="15591" max="15591" width="10.42578125" style="1" customWidth="1"/>
    <col min="15592" max="15592" width="9.7109375" style="1" customWidth="1"/>
    <col min="15593" max="15593" width="11.42578125" style="1" bestFit="1" customWidth="1"/>
    <col min="15594" max="15596" width="13.5703125" style="1" customWidth="1"/>
    <col min="15597" max="15597" width="12" style="1" customWidth="1"/>
    <col min="15598" max="15598" width="11.140625" style="1" customWidth="1"/>
    <col min="15599" max="15599" width="9.140625" style="1"/>
    <col min="15600" max="15600" width="4.7109375" style="1" customWidth="1"/>
    <col min="15601" max="15843" width="9.140625" style="1"/>
    <col min="15844" max="15844" width="10.42578125" style="1" customWidth="1"/>
    <col min="15845" max="15845" width="10.85546875" style="1" customWidth="1"/>
    <col min="15846" max="15846" width="11.7109375" style="1" customWidth="1"/>
    <col min="15847" max="15847" width="10.42578125" style="1" customWidth="1"/>
    <col min="15848" max="15848" width="9.7109375" style="1" customWidth="1"/>
    <col min="15849" max="15849" width="11.42578125" style="1" bestFit="1" customWidth="1"/>
    <col min="15850" max="15852" width="13.5703125" style="1" customWidth="1"/>
    <col min="15853" max="15853" width="12" style="1" customWidth="1"/>
    <col min="15854" max="15854" width="11.140625" style="1" customWidth="1"/>
    <col min="15855" max="15855" width="9.140625" style="1"/>
    <col min="15856" max="15856" width="4.7109375" style="1" customWidth="1"/>
    <col min="15857" max="16099" width="9.140625" style="1"/>
    <col min="16100" max="16100" width="10.42578125" style="1" customWidth="1"/>
    <col min="16101" max="16101" width="10.85546875" style="1" customWidth="1"/>
    <col min="16102" max="16102" width="11.7109375" style="1" customWidth="1"/>
    <col min="16103" max="16103" width="10.42578125" style="1" customWidth="1"/>
    <col min="16104" max="16104" width="9.7109375" style="1" customWidth="1"/>
    <col min="16105" max="16105" width="11.42578125" style="1" bestFit="1" customWidth="1"/>
    <col min="16106" max="16108" width="13.5703125" style="1" customWidth="1"/>
    <col min="16109" max="16109" width="12" style="1" customWidth="1"/>
    <col min="16110" max="16110" width="11.140625" style="1" customWidth="1"/>
    <col min="16111" max="16111" width="9.140625" style="1"/>
    <col min="16112" max="16112" width="4.7109375" style="1" customWidth="1"/>
    <col min="16113" max="16384" width="9.140625" style="1"/>
  </cols>
  <sheetData>
    <row r="1" spans="1:27" ht="17.25" customHeight="1" x14ac:dyDescent="0.2">
      <c r="A1" s="298" t="s">
        <v>1129</v>
      </c>
    </row>
    <row r="2" spans="1:27" ht="17.25" customHeight="1" x14ac:dyDescent="0.2">
      <c r="A2" s="106" t="s">
        <v>578</v>
      </c>
    </row>
    <row r="3" spans="1:27" ht="38.25" customHeight="1" x14ac:dyDescent="0.2">
      <c r="A3" s="120" t="s">
        <v>302</v>
      </c>
      <c r="B3" s="120"/>
      <c r="C3" s="120"/>
      <c r="D3" s="120"/>
      <c r="E3" s="120"/>
      <c r="F3" s="120"/>
      <c r="G3" s="120"/>
      <c r="H3" s="120"/>
      <c r="I3" s="120"/>
      <c r="J3" s="120"/>
      <c r="K3" s="120"/>
      <c r="L3" s="120"/>
    </row>
    <row r="4" spans="1:27" ht="15.75" customHeight="1" x14ac:dyDescent="0.25">
      <c r="A4" s="351" t="s">
        <v>579</v>
      </c>
      <c r="B4" s="1043" t="s">
        <v>1315</v>
      </c>
      <c r="D4" s="129"/>
      <c r="E4" s="129"/>
      <c r="F4" s="129"/>
      <c r="G4" s="129"/>
      <c r="H4" s="129"/>
      <c r="I4" s="129"/>
      <c r="J4" s="129"/>
      <c r="K4" s="129"/>
      <c r="L4" s="129"/>
    </row>
    <row r="5" spans="1:27" ht="15.75" customHeight="1" x14ac:dyDescent="0.25">
      <c r="A5" s="351" t="s">
        <v>580</v>
      </c>
      <c r="B5" s="351" t="s">
        <v>581</v>
      </c>
      <c r="C5" s="129"/>
      <c r="D5" s="129"/>
      <c r="E5" s="129"/>
      <c r="F5" s="129"/>
      <c r="G5" s="129"/>
      <c r="H5" s="129"/>
      <c r="I5" s="129"/>
      <c r="J5" s="129"/>
      <c r="K5" s="129"/>
      <c r="L5" s="129"/>
    </row>
    <row r="6" spans="1:27" ht="15.75" customHeight="1" x14ac:dyDescent="0.25">
      <c r="A6" s="351" t="s">
        <v>582</v>
      </c>
      <c r="B6" s="351" t="s">
        <v>585</v>
      </c>
      <c r="C6" s="129"/>
      <c r="D6" s="129"/>
      <c r="E6" s="129"/>
      <c r="F6" s="129"/>
      <c r="G6" s="129"/>
      <c r="H6" s="129"/>
      <c r="I6" s="129"/>
      <c r="J6" s="129"/>
      <c r="K6" s="129"/>
      <c r="L6" s="129"/>
    </row>
    <row r="7" spans="1:27" ht="15" x14ac:dyDescent="0.25">
      <c r="M7" s="83" t="s">
        <v>0</v>
      </c>
    </row>
    <row r="8" spans="1:27" x14ac:dyDescent="0.2">
      <c r="A8" s="1294" t="s">
        <v>4</v>
      </c>
      <c r="B8" s="1288" t="s">
        <v>264</v>
      </c>
      <c r="C8" s="1289"/>
      <c r="D8" s="1289"/>
      <c r="E8" s="1289"/>
      <c r="F8" s="1289"/>
      <c r="G8" s="1289"/>
      <c r="H8" s="1276"/>
      <c r="I8" s="1276"/>
      <c r="J8" s="1276"/>
      <c r="K8" s="1276"/>
      <c r="L8" s="1334"/>
      <c r="M8" s="1330" t="s">
        <v>88</v>
      </c>
    </row>
    <row r="9" spans="1:27" ht="13.5" customHeight="1" x14ac:dyDescent="0.2">
      <c r="A9" s="1295"/>
      <c r="B9" s="1288" t="s">
        <v>8</v>
      </c>
      <c r="C9" s="1289"/>
      <c r="D9" s="1289"/>
      <c r="E9" s="1289"/>
      <c r="F9" s="1289"/>
      <c r="G9" s="1290"/>
      <c r="H9" s="1288" t="s">
        <v>7</v>
      </c>
      <c r="I9" s="1289"/>
      <c r="J9" s="1289"/>
      <c r="K9" s="1289"/>
      <c r="L9" s="1290"/>
      <c r="M9" s="1331"/>
      <c r="N9" s="3"/>
    </row>
    <row r="10" spans="1:27" ht="51" x14ac:dyDescent="0.2">
      <c r="A10" s="1303"/>
      <c r="B10" s="1133" t="s">
        <v>536</v>
      </c>
      <c r="C10" s="1134" t="s">
        <v>537</v>
      </c>
      <c r="D10" s="1134" t="s">
        <v>538</v>
      </c>
      <c r="E10" s="1134" t="s">
        <v>82</v>
      </c>
      <c r="F10" s="1134" t="s">
        <v>539</v>
      </c>
      <c r="G10" s="1134" t="s">
        <v>91</v>
      </c>
      <c r="H10" s="1134" t="s">
        <v>83</v>
      </c>
      <c r="I10" s="1134" t="s">
        <v>84</v>
      </c>
      <c r="J10" s="1134" t="s">
        <v>85</v>
      </c>
      <c r="K10" s="1134" t="s">
        <v>86</v>
      </c>
      <c r="L10" s="498" t="s">
        <v>87</v>
      </c>
      <c r="M10" s="1331"/>
      <c r="N10"/>
      <c r="O10"/>
      <c r="P10"/>
      <c r="Q10"/>
      <c r="R10"/>
      <c r="S10"/>
      <c r="T10"/>
      <c r="U10"/>
      <c r="V10"/>
      <c r="W10"/>
      <c r="X10"/>
      <c r="Y10"/>
      <c r="Z10"/>
      <c r="AA10"/>
    </row>
    <row r="11" spans="1:27" ht="18.75" customHeight="1" x14ac:dyDescent="0.2">
      <c r="A11" s="274" t="str">
        <f>'T09'!A5</f>
        <v>2009-10</v>
      </c>
      <c r="B11" s="495">
        <f>'T09'!D5</f>
        <v>715</v>
      </c>
      <c r="C11" s="495">
        <f>'T09'!E5</f>
        <v>207</v>
      </c>
      <c r="D11" s="495">
        <f>'T09'!F5</f>
        <v>143</v>
      </c>
      <c r="E11" s="495">
        <f>'T09'!G5</f>
        <v>335</v>
      </c>
      <c r="F11" s="495">
        <f>'T09'!H5</f>
        <v>28</v>
      </c>
      <c r="G11" s="495">
        <f>'T09'!I5</f>
        <v>15</v>
      </c>
      <c r="H11" s="495">
        <f>'T09'!J5</f>
        <v>1587</v>
      </c>
      <c r="I11" s="495">
        <f>'T09'!K5</f>
        <v>399</v>
      </c>
      <c r="J11" s="495">
        <f>'T09'!L5</f>
        <v>841</v>
      </c>
      <c r="K11" s="495">
        <f>'T09'!M5</f>
        <v>158</v>
      </c>
      <c r="L11" s="503">
        <f>SUM(H11:K11)</f>
        <v>2985</v>
      </c>
      <c r="M11" s="509">
        <f t="shared" ref="M11:M17" si="0">SUM(B11:K11)</f>
        <v>4428</v>
      </c>
      <c r="N11" s="311"/>
      <c r="O11" s="189"/>
      <c r="P11"/>
      <c r="Q11"/>
      <c r="R11"/>
      <c r="S11"/>
      <c r="T11"/>
      <c r="U11"/>
      <c r="V11"/>
      <c r="W11"/>
      <c r="X11"/>
      <c r="Y11"/>
      <c r="Z11"/>
      <c r="AA11"/>
    </row>
    <row r="12" spans="1:27" ht="13.5" customHeight="1" x14ac:dyDescent="0.2">
      <c r="A12" s="274" t="str">
        <f>'T09'!A6</f>
        <v>2010-11</v>
      </c>
      <c r="B12" s="495">
        <f>'T09'!D6</f>
        <v>678</v>
      </c>
      <c r="C12" s="495">
        <f>'T09'!E6</f>
        <v>180</v>
      </c>
      <c r="D12" s="495">
        <f>'T09'!F6</f>
        <v>141</v>
      </c>
      <c r="E12" s="495">
        <f>'T09'!G6</f>
        <v>316</v>
      </c>
      <c r="F12" s="495">
        <f>'T09'!H6</f>
        <v>39</v>
      </c>
      <c r="G12" s="495">
        <f>'T09'!I6</f>
        <v>18</v>
      </c>
      <c r="H12" s="495">
        <f>'T09'!J6</f>
        <v>1431</v>
      </c>
      <c r="I12" s="495">
        <f>'T09'!K6</f>
        <v>338</v>
      </c>
      <c r="J12" s="495">
        <f>'T09'!L6</f>
        <v>776</v>
      </c>
      <c r="K12" s="495">
        <f>'T09'!M6</f>
        <v>139</v>
      </c>
      <c r="L12" s="499">
        <f t="shared" ref="L12:L17" si="1">SUM(H12:K12)</f>
        <v>2684</v>
      </c>
      <c r="M12" s="311">
        <f t="shared" si="0"/>
        <v>4056</v>
      </c>
      <c r="N12" s="311"/>
      <c r="O12" s="189"/>
      <c r="P12"/>
      <c r="Q12"/>
      <c r="R12"/>
      <c r="S12"/>
      <c r="T12"/>
      <c r="U12"/>
      <c r="V12"/>
      <c r="W12"/>
      <c r="X12"/>
      <c r="Y12"/>
      <c r="Z12"/>
      <c r="AA12"/>
    </row>
    <row r="13" spans="1:27" ht="13.5" customHeight="1" x14ac:dyDescent="0.2">
      <c r="A13" s="274" t="str">
        <f>'T09'!A7</f>
        <v>2011-12</v>
      </c>
      <c r="B13" s="495">
        <f>'T09'!D7</f>
        <v>578</v>
      </c>
      <c r="C13" s="495">
        <f>'T09'!E7</f>
        <v>173</v>
      </c>
      <c r="D13" s="495">
        <f>'T09'!F7</f>
        <v>157</v>
      </c>
      <c r="E13" s="495">
        <f>'T09'!G7</f>
        <v>219</v>
      </c>
      <c r="F13" s="495">
        <f>'T09'!H7</f>
        <v>26</v>
      </c>
      <c r="G13" s="495">
        <f>'T09'!I7</f>
        <v>22</v>
      </c>
      <c r="H13" s="495">
        <f>'T09'!J7</f>
        <v>1243</v>
      </c>
      <c r="I13" s="495">
        <f>'T09'!K7</f>
        <v>281</v>
      </c>
      <c r="J13" s="495">
        <f>'T09'!L7</f>
        <v>724</v>
      </c>
      <c r="K13" s="495">
        <f>'T09'!M7</f>
        <v>114</v>
      </c>
      <c r="L13" s="499">
        <f t="shared" si="1"/>
        <v>2362</v>
      </c>
      <c r="M13" s="311">
        <f t="shared" si="0"/>
        <v>3537</v>
      </c>
      <c r="N13" s="311"/>
      <c r="O13" s="189"/>
    </row>
    <row r="14" spans="1:27" ht="13.5" customHeight="1" x14ac:dyDescent="0.2">
      <c r="A14" s="274" t="str">
        <f>'T09'!A8</f>
        <v>2012-13</v>
      </c>
      <c r="B14" s="495">
        <f>'T09'!D8</f>
        <v>403</v>
      </c>
      <c r="C14" s="495">
        <f>'T09'!E8</f>
        <v>157</v>
      </c>
      <c r="D14" s="495">
        <f>'T09'!F8</f>
        <v>78</v>
      </c>
      <c r="E14" s="495">
        <f>'T09'!G8</f>
        <v>129</v>
      </c>
      <c r="F14" s="495">
        <f>'T09'!H8</f>
        <v>34</v>
      </c>
      <c r="G14" s="495">
        <f>'T09'!I8</f>
        <v>14</v>
      </c>
      <c r="H14" s="495">
        <f>'T09'!J8</f>
        <v>1150</v>
      </c>
      <c r="I14" s="495">
        <f>'T09'!K8</f>
        <v>177</v>
      </c>
      <c r="J14" s="495">
        <f>'T09'!L8</f>
        <v>613</v>
      </c>
      <c r="K14" s="495">
        <f>'T09'!M8</f>
        <v>94</v>
      </c>
      <c r="L14" s="499">
        <f t="shared" si="1"/>
        <v>2034</v>
      </c>
      <c r="M14" s="311">
        <f t="shared" si="0"/>
        <v>2849</v>
      </c>
      <c r="N14" s="311"/>
      <c r="O14" s="189"/>
    </row>
    <row r="15" spans="1:27" ht="13.5" customHeight="1" x14ac:dyDescent="0.2">
      <c r="A15" s="274" t="str">
        <f>'T09'!A9</f>
        <v>2013-14</v>
      </c>
      <c r="B15" s="495">
        <f>'T09'!D9</f>
        <v>370</v>
      </c>
      <c r="C15" s="495">
        <f>'T09'!E9</f>
        <v>164</v>
      </c>
      <c r="D15" s="495">
        <f>'T09'!F9</f>
        <v>104</v>
      </c>
      <c r="E15" s="495">
        <f>'T09'!G9</f>
        <v>236</v>
      </c>
      <c r="F15" s="495">
        <f>'T09'!H9</f>
        <v>31</v>
      </c>
      <c r="G15" s="495">
        <f>'T09'!I9</f>
        <v>9</v>
      </c>
      <c r="H15" s="495">
        <f>'T09'!J9</f>
        <v>980</v>
      </c>
      <c r="I15" s="495">
        <f>'T09'!K9</f>
        <v>173</v>
      </c>
      <c r="J15" s="495">
        <f>'T09'!L9</f>
        <v>646</v>
      </c>
      <c r="K15" s="495">
        <f>'T09'!M9</f>
        <v>139</v>
      </c>
      <c r="L15" s="499">
        <f t="shared" si="1"/>
        <v>1938</v>
      </c>
      <c r="M15" s="311">
        <f t="shared" si="0"/>
        <v>2852</v>
      </c>
      <c r="N15" s="311"/>
      <c r="O15" s="189"/>
    </row>
    <row r="16" spans="1:27" ht="13.5" customHeight="1" x14ac:dyDescent="0.2">
      <c r="A16" s="274" t="str">
        <f>'T09'!A10</f>
        <v>2014-15</v>
      </c>
      <c r="B16" s="495">
        <f>'T09'!D10</f>
        <v>342</v>
      </c>
      <c r="C16" s="495">
        <f>'T09'!E10</f>
        <v>182</v>
      </c>
      <c r="D16" s="495">
        <f>'T09'!F10</f>
        <v>108</v>
      </c>
      <c r="E16" s="495">
        <f>'T09'!G10</f>
        <v>175</v>
      </c>
      <c r="F16" s="495">
        <f>'T09'!H10</f>
        <v>19</v>
      </c>
      <c r="G16" s="495">
        <f>'T09'!I10</f>
        <v>12</v>
      </c>
      <c r="H16" s="495">
        <f>'T09'!J10</f>
        <v>954</v>
      </c>
      <c r="I16" s="495">
        <f>'T09'!K10</f>
        <v>207</v>
      </c>
      <c r="J16" s="495">
        <f>'T09'!L10</f>
        <v>587</v>
      </c>
      <c r="K16" s="495">
        <f>'T09'!M10</f>
        <v>149</v>
      </c>
      <c r="L16" s="499">
        <f t="shared" si="1"/>
        <v>1897</v>
      </c>
      <c r="M16" s="311">
        <f t="shared" si="0"/>
        <v>2735</v>
      </c>
      <c r="N16" s="311"/>
      <c r="O16" s="189"/>
    </row>
    <row r="17" spans="1:16" ht="13.5" customHeight="1" x14ac:dyDescent="0.2">
      <c r="A17" s="274" t="str">
        <f>'T09'!A11</f>
        <v>2015-16</v>
      </c>
      <c r="B17" s="495">
        <f>'T09'!D11</f>
        <v>329</v>
      </c>
      <c r="C17" s="495">
        <f>'T09'!E11</f>
        <v>155</v>
      </c>
      <c r="D17" s="495">
        <f>'T09'!F11</f>
        <v>118</v>
      </c>
      <c r="E17" s="495">
        <f>'T09'!G11</f>
        <v>227</v>
      </c>
      <c r="F17" s="495">
        <f>'T09'!H11</f>
        <v>31</v>
      </c>
      <c r="G17" s="495">
        <f>'T09'!I11</f>
        <v>14</v>
      </c>
      <c r="H17" s="495">
        <f>'T09'!J11</f>
        <v>1009</v>
      </c>
      <c r="I17" s="495">
        <f>'T09'!K11</f>
        <v>217</v>
      </c>
      <c r="J17" s="495">
        <f>'T09'!L11</f>
        <v>619</v>
      </c>
      <c r="K17" s="495">
        <f>'T09'!M11</f>
        <v>120</v>
      </c>
      <c r="L17" s="499">
        <f t="shared" si="1"/>
        <v>1965</v>
      </c>
      <c r="M17" s="311">
        <f t="shared" si="0"/>
        <v>2839</v>
      </c>
      <c r="N17" s="311"/>
      <c r="O17" s="189"/>
    </row>
    <row r="18" spans="1:16" ht="13.5" customHeight="1" x14ac:dyDescent="0.2">
      <c r="A18" s="274" t="str">
        <f>'T09'!A12</f>
        <v>2016-17</v>
      </c>
      <c r="B18" s="495">
        <f>'T09'!D12</f>
        <v>365</v>
      </c>
      <c r="C18" s="495">
        <f>'T09'!E12</f>
        <v>159</v>
      </c>
      <c r="D18" s="495">
        <f>'T09'!F12</f>
        <v>115</v>
      </c>
      <c r="E18" s="495">
        <f>'T09'!G12</f>
        <v>278</v>
      </c>
      <c r="F18" s="495">
        <f>'T09'!H12</f>
        <v>28</v>
      </c>
      <c r="G18" s="495">
        <f>'T09'!I12</f>
        <v>12</v>
      </c>
      <c r="H18" s="495">
        <f>'T09'!J12</f>
        <v>1065</v>
      </c>
      <c r="I18" s="495">
        <f>'T09'!K12</f>
        <v>318</v>
      </c>
      <c r="J18" s="495">
        <f>'T09'!L12</f>
        <v>600</v>
      </c>
      <c r="K18" s="495">
        <f>'T09'!M12</f>
        <v>137</v>
      </c>
      <c r="L18" s="499">
        <f t="shared" ref="L18:L22" si="2">SUM(H18:K18)</f>
        <v>2120</v>
      </c>
      <c r="M18" s="311">
        <f t="shared" ref="M18:M21" si="3">SUM(B18:K18)</f>
        <v>3077</v>
      </c>
      <c r="N18" s="311"/>
      <c r="O18" s="189"/>
    </row>
    <row r="19" spans="1:16" ht="13.5" customHeight="1" x14ac:dyDescent="0.2">
      <c r="A19" s="274" t="str">
        <f>'T09'!A13</f>
        <v>2017-18</v>
      </c>
      <c r="B19" s="495">
        <f>'T09'!D13</f>
        <v>334</v>
      </c>
      <c r="C19" s="495">
        <f>'T09'!E13</f>
        <v>165</v>
      </c>
      <c r="D19" s="495">
        <f>'T09'!F13</f>
        <v>102</v>
      </c>
      <c r="E19" s="495">
        <f>'T09'!G13</f>
        <v>421</v>
      </c>
      <c r="F19" s="495">
        <f>'T09'!H13</f>
        <v>28</v>
      </c>
      <c r="G19" s="495">
        <f>'T09'!I13</f>
        <v>8</v>
      </c>
      <c r="H19" s="495">
        <f>'T09'!J13</f>
        <v>1070</v>
      </c>
      <c r="I19" s="495">
        <f>'T09'!K13</f>
        <v>252</v>
      </c>
      <c r="J19" s="495">
        <f>'T09'!L13</f>
        <v>576</v>
      </c>
      <c r="K19" s="495">
        <f>'T09'!M13</f>
        <v>118</v>
      </c>
      <c r="L19" s="499">
        <f t="shared" si="2"/>
        <v>2016</v>
      </c>
      <c r="M19" s="311">
        <f>SUM(B19:K19)</f>
        <v>3074</v>
      </c>
      <c r="N19" s="311"/>
      <c r="O19" s="189"/>
    </row>
    <row r="20" spans="1:16" ht="13.5" customHeight="1" x14ac:dyDescent="0.2">
      <c r="A20" s="274" t="str">
        <f>'T09'!A14</f>
        <v>2018-19</v>
      </c>
      <c r="B20" s="495">
        <f>'T09'!D14</f>
        <v>318</v>
      </c>
      <c r="C20" s="495">
        <f>'T09'!E14</f>
        <v>156</v>
      </c>
      <c r="D20" s="495">
        <f>'T09'!F14</f>
        <v>163</v>
      </c>
      <c r="E20" s="495">
        <f>'T09'!G14</f>
        <v>440</v>
      </c>
      <c r="F20" s="495">
        <f>'T09'!H14</f>
        <v>31</v>
      </c>
      <c r="G20" s="495">
        <f>'T09'!I14</f>
        <v>16</v>
      </c>
      <c r="H20" s="495">
        <f>'T09'!J14</f>
        <v>981</v>
      </c>
      <c r="I20" s="495">
        <f>'T09'!K14</f>
        <v>237</v>
      </c>
      <c r="J20" s="495">
        <f>'T09'!L14</f>
        <v>621</v>
      </c>
      <c r="K20" s="495">
        <f>'T09'!M14</f>
        <v>113</v>
      </c>
      <c r="L20" s="499">
        <f t="shared" si="2"/>
        <v>1952</v>
      </c>
      <c r="M20" s="311">
        <f t="shared" si="3"/>
        <v>3076</v>
      </c>
      <c r="N20"/>
      <c r="O20" s="189"/>
    </row>
    <row r="21" spans="1:16" ht="13.5" customHeight="1" x14ac:dyDescent="0.2">
      <c r="A21" s="274" t="str">
        <f>'T09'!A15</f>
        <v>2019-20</v>
      </c>
      <c r="B21" s="495">
        <f>'T09'!D15</f>
        <v>267</v>
      </c>
      <c r="C21" s="495">
        <f>'T09'!E15</f>
        <v>118</v>
      </c>
      <c r="D21" s="495">
        <f>'T09'!F15</f>
        <v>140</v>
      </c>
      <c r="E21" s="495">
        <f>'T09'!G15</f>
        <v>324</v>
      </c>
      <c r="F21" s="495">
        <f>'T09'!H15</f>
        <v>27</v>
      </c>
      <c r="G21" s="495">
        <f>'T09'!I15</f>
        <v>7</v>
      </c>
      <c r="H21" s="495">
        <f>'T09'!J15</f>
        <v>1108</v>
      </c>
      <c r="I21" s="495">
        <f>'T09'!K15</f>
        <v>219</v>
      </c>
      <c r="J21" s="495">
        <f>'T09'!L15</f>
        <v>643</v>
      </c>
      <c r="K21" s="495">
        <f>'T09'!M15</f>
        <v>129</v>
      </c>
      <c r="L21" s="499">
        <f t="shared" si="2"/>
        <v>2099</v>
      </c>
      <c r="M21" s="311">
        <f t="shared" si="3"/>
        <v>2982</v>
      </c>
      <c r="N21" s="191"/>
      <c r="O21" s="189"/>
    </row>
    <row r="22" spans="1:16" ht="13.5" customHeight="1" thickBot="1" x14ac:dyDescent="0.25">
      <c r="A22" s="491" t="str">
        <f>'T09'!A16</f>
        <v>2020-21</v>
      </c>
      <c r="B22" s="796">
        <f>'T09'!D16</f>
        <v>393</v>
      </c>
      <c r="C22" s="796">
        <f>'T09'!E16</f>
        <v>126</v>
      </c>
      <c r="D22" s="796">
        <f>'T09'!F16</f>
        <v>136</v>
      </c>
      <c r="E22" s="796">
        <f>'T09'!G16</f>
        <v>530</v>
      </c>
      <c r="F22" s="796">
        <f>'T09'!H16</f>
        <v>22</v>
      </c>
      <c r="G22" s="796">
        <f>'T09'!I16</f>
        <v>14</v>
      </c>
      <c r="H22" s="796">
        <f>'T09'!J16</f>
        <v>989</v>
      </c>
      <c r="I22" s="796">
        <f>'T09'!K16</f>
        <v>176</v>
      </c>
      <c r="J22" s="796">
        <f>'T09'!L16</f>
        <v>558</v>
      </c>
      <c r="K22" s="796">
        <f>'T09'!M16</f>
        <v>93</v>
      </c>
      <c r="L22" s="506">
        <f t="shared" si="2"/>
        <v>1816</v>
      </c>
      <c r="M22" s="511">
        <f>SUM(B22:K22)</f>
        <v>3037</v>
      </c>
      <c r="N22"/>
      <c r="O22" s="189"/>
    </row>
    <row r="23" spans="1:16" x14ac:dyDescent="0.2">
      <c r="A23" s="274"/>
      <c r="B23"/>
      <c r="C23"/>
      <c r="D23"/>
      <c r="E23"/>
      <c r="F23"/>
      <c r="G23"/>
      <c r="H23"/>
      <c r="I23"/>
      <c r="J23"/>
      <c r="K23"/>
      <c r="L23"/>
      <c r="M23"/>
      <c r="N23"/>
    </row>
    <row r="24" spans="1:16" ht="15" x14ac:dyDescent="0.25">
      <c r="H24" s="4"/>
      <c r="L24" s="83" t="s">
        <v>0</v>
      </c>
    </row>
    <row r="25" spans="1:16" x14ac:dyDescent="0.2">
      <c r="A25" s="1294" t="s">
        <v>4</v>
      </c>
      <c r="B25" s="1288" t="s">
        <v>265</v>
      </c>
      <c r="C25" s="1289"/>
      <c r="D25" s="1289"/>
      <c r="E25" s="1289"/>
      <c r="F25" s="1289"/>
      <c r="G25" s="1289"/>
      <c r="H25" s="1289"/>
      <c r="I25" s="1289"/>
      <c r="J25" s="1289"/>
      <c r="K25" s="1290"/>
      <c r="L25" s="1330" t="s">
        <v>92</v>
      </c>
    </row>
    <row r="26" spans="1:16" ht="16.5" customHeight="1" x14ac:dyDescent="0.2">
      <c r="A26" s="1295"/>
      <c r="B26" s="1288" t="s">
        <v>8</v>
      </c>
      <c r="C26" s="1289"/>
      <c r="D26" s="1289"/>
      <c r="E26" s="1289"/>
      <c r="F26" s="1289"/>
      <c r="G26" s="1290"/>
      <c r="H26" s="1288" t="s">
        <v>115</v>
      </c>
      <c r="I26" s="1289"/>
      <c r="J26" s="1289"/>
      <c r="K26" s="1290"/>
      <c r="L26" s="1331"/>
    </row>
    <row r="27" spans="1:16" ht="63" customHeight="1" x14ac:dyDescent="0.2">
      <c r="A27" s="1295"/>
      <c r="B27" s="1133" t="s">
        <v>540</v>
      </c>
      <c r="C27" s="1134" t="s">
        <v>89</v>
      </c>
      <c r="D27" s="1134" t="s">
        <v>541</v>
      </c>
      <c r="E27" s="1134" t="s">
        <v>90</v>
      </c>
      <c r="F27" s="1134" t="s">
        <v>95</v>
      </c>
      <c r="G27" s="1134" t="s">
        <v>91</v>
      </c>
      <c r="H27" s="1134" t="s">
        <v>542</v>
      </c>
      <c r="I27" s="1134" t="s">
        <v>543</v>
      </c>
      <c r="J27" s="1134" t="s">
        <v>544</v>
      </c>
      <c r="K27" s="498" t="s">
        <v>149</v>
      </c>
      <c r="L27" s="1331"/>
    </row>
    <row r="28" spans="1:16" ht="18.75" customHeight="1" x14ac:dyDescent="0.2">
      <c r="A28" s="488" t="str">
        <f>T09_2!A5</f>
        <v>2009-10</v>
      </c>
      <c r="B28" s="78">
        <f>T09_2!C5</f>
        <v>711</v>
      </c>
      <c r="C28" s="78">
        <f>T09_2!D5</f>
        <v>6979</v>
      </c>
      <c r="D28" s="78">
        <f>T09_2!E5</f>
        <v>198</v>
      </c>
      <c r="E28" s="78">
        <f>T09_2!F5</f>
        <v>368</v>
      </c>
      <c r="F28" s="78">
        <f>T09_2!G5</f>
        <v>185</v>
      </c>
      <c r="G28" s="78">
        <f>T09_2!H5</f>
        <v>2735</v>
      </c>
      <c r="H28" s="78">
        <f>T09_2!I5</f>
        <v>4402</v>
      </c>
      <c r="I28" s="78">
        <f>T09_2!J5</f>
        <v>875</v>
      </c>
      <c r="J28" s="78">
        <f>T09_2!K5</f>
        <v>6552</v>
      </c>
      <c r="K28" s="503">
        <f t="shared" ref="K28:K34" si="4">SUM(H28:J28)</f>
        <v>11829</v>
      </c>
      <c r="L28" s="504">
        <f t="shared" ref="L28:L34" si="5">SUM(B28:J28)</f>
        <v>23005</v>
      </c>
      <c r="M28" s="189"/>
      <c r="N28"/>
      <c r="O28"/>
      <c r="P28"/>
    </row>
    <row r="29" spans="1:16" ht="13.5" customHeight="1" x14ac:dyDescent="0.2">
      <c r="A29" s="274" t="str">
        <f>T09_2!A6</f>
        <v>2010-11</v>
      </c>
      <c r="B29" s="78">
        <f>T09_2!C6</f>
        <v>746</v>
      </c>
      <c r="C29" s="78">
        <f>T09_2!D6</f>
        <v>8628</v>
      </c>
      <c r="D29" s="78">
        <f>T09_2!E6</f>
        <v>127</v>
      </c>
      <c r="E29" s="78">
        <f>T09_2!F6</f>
        <v>431</v>
      </c>
      <c r="F29" s="78">
        <f>T09_2!G6</f>
        <v>159</v>
      </c>
      <c r="G29" s="78">
        <f>T09_2!H6</f>
        <v>3055</v>
      </c>
      <c r="H29" s="78">
        <f>T09_2!I6</f>
        <v>4660</v>
      </c>
      <c r="I29" s="78">
        <f>T09_2!J6</f>
        <v>879</v>
      </c>
      <c r="J29" s="78">
        <f>T09_2!K6</f>
        <v>5532</v>
      </c>
      <c r="K29" s="499">
        <f t="shared" si="4"/>
        <v>11071</v>
      </c>
      <c r="L29" s="313">
        <f t="shared" si="5"/>
        <v>24217</v>
      </c>
      <c r="M29" s="189"/>
      <c r="N29"/>
      <c r="O29"/>
      <c r="P29"/>
    </row>
    <row r="30" spans="1:16" ht="13.5" customHeight="1" x14ac:dyDescent="0.2">
      <c r="A30" s="274" t="str">
        <f>T09_2!A7</f>
        <v>2011-12</v>
      </c>
      <c r="B30" s="78">
        <f>T09_2!C7</f>
        <v>642</v>
      </c>
      <c r="C30" s="78">
        <f>T09_2!D7</f>
        <v>5218</v>
      </c>
      <c r="D30" s="78">
        <f>T09_2!E7</f>
        <v>120</v>
      </c>
      <c r="E30" s="78">
        <f>T09_2!F7</f>
        <v>392</v>
      </c>
      <c r="F30" s="78">
        <f>T09_2!G7</f>
        <v>101</v>
      </c>
      <c r="G30" s="78">
        <f>T09_2!H7</f>
        <v>2283</v>
      </c>
      <c r="H30" s="78">
        <f>T09_2!I7</f>
        <v>4473</v>
      </c>
      <c r="I30" s="78">
        <f>T09_2!J7</f>
        <v>705</v>
      </c>
      <c r="J30" s="78">
        <f>T09_2!K7</f>
        <v>4749</v>
      </c>
      <c r="K30" s="499">
        <f t="shared" si="4"/>
        <v>9927</v>
      </c>
      <c r="L30" s="313">
        <f t="shared" si="5"/>
        <v>18683</v>
      </c>
      <c r="M30" s="189"/>
      <c r="N30"/>
      <c r="O30"/>
      <c r="P30"/>
    </row>
    <row r="31" spans="1:16" ht="13.5" customHeight="1" x14ac:dyDescent="0.2">
      <c r="A31" s="274" t="str">
        <f>T09_2!A8</f>
        <v>2012-13</v>
      </c>
      <c r="B31" s="78">
        <f>T09_2!C8</f>
        <v>482</v>
      </c>
      <c r="C31" s="78">
        <f>T09_2!D8</f>
        <v>3474</v>
      </c>
      <c r="D31" s="78">
        <f>T09_2!E8</f>
        <v>61</v>
      </c>
      <c r="E31" s="78">
        <f>T09_2!F8</f>
        <v>336</v>
      </c>
      <c r="F31" s="78">
        <f>T09_2!G8</f>
        <v>69</v>
      </c>
      <c r="G31" s="78">
        <f>T09_2!H8</f>
        <v>1905</v>
      </c>
      <c r="H31" s="78">
        <f>T09_2!I8</f>
        <v>3722</v>
      </c>
      <c r="I31" s="78">
        <f>T09_2!J8</f>
        <v>625</v>
      </c>
      <c r="J31" s="78">
        <f>T09_2!K8</f>
        <v>3599</v>
      </c>
      <c r="K31" s="499">
        <f t="shared" si="4"/>
        <v>7946</v>
      </c>
      <c r="L31" s="313">
        <f t="shared" si="5"/>
        <v>14273</v>
      </c>
      <c r="M31" s="189"/>
      <c r="N31"/>
      <c r="O31"/>
      <c r="P31"/>
    </row>
    <row r="32" spans="1:16" ht="13.5" customHeight="1" x14ac:dyDescent="0.2">
      <c r="A32" s="274" t="str">
        <f>T09_2!A9</f>
        <v>2013-14</v>
      </c>
      <c r="B32" s="78">
        <f>T09_2!C9</f>
        <v>379</v>
      </c>
      <c r="C32" s="78">
        <f>T09_2!D9</f>
        <v>6087</v>
      </c>
      <c r="D32" s="78">
        <f>T09_2!E9</f>
        <v>68</v>
      </c>
      <c r="E32" s="78">
        <f>T09_2!F9</f>
        <v>375</v>
      </c>
      <c r="F32" s="78">
        <f>T09_2!G9</f>
        <v>81</v>
      </c>
      <c r="G32" s="78">
        <f>T09_2!H9</f>
        <v>1816</v>
      </c>
      <c r="H32" s="78">
        <f>T09_2!I9</f>
        <v>3462</v>
      </c>
      <c r="I32" s="78">
        <f>T09_2!J9</f>
        <v>648</v>
      </c>
      <c r="J32" s="78">
        <f>T09_2!K9</f>
        <v>3445</v>
      </c>
      <c r="K32" s="499">
        <f t="shared" si="4"/>
        <v>7555</v>
      </c>
      <c r="L32" s="313">
        <f t="shared" si="5"/>
        <v>16361</v>
      </c>
      <c r="M32" s="189"/>
      <c r="N32"/>
      <c r="O32"/>
      <c r="P32"/>
    </row>
    <row r="33" spans="1:16" ht="13.5" customHeight="1" x14ac:dyDescent="0.2">
      <c r="A33" s="274" t="str">
        <f>T09_2!A10</f>
        <v>2014-15</v>
      </c>
      <c r="B33" s="78">
        <f>T09_2!C10</f>
        <v>343</v>
      </c>
      <c r="C33" s="78">
        <f>T09_2!D10</f>
        <v>3763</v>
      </c>
      <c r="D33" s="78">
        <f>T09_2!E10</f>
        <v>78</v>
      </c>
      <c r="E33" s="78">
        <f>T09_2!F10</f>
        <v>321</v>
      </c>
      <c r="F33" s="78">
        <f>T09_2!G10</f>
        <v>56</v>
      </c>
      <c r="G33" s="78">
        <f>T09_2!H10</f>
        <v>1703</v>
      </c>
      <c r="H33" s="78">
        <f>T09_2!I10</f>
        <v>3425</v>
      </c>
      <c r="I33" s="78">
        <f>T09_2!J10</f>
        <v>516</v>
      </c>
      <c r="J33" s="78">
        <f>T09_2!K10</f>
        <v>3201</v>
      </c>
      <c r="K33" s="499">
        <f t="shared" si="4"/>
        <v>7142</v>
      </c>
      <c r="L33" s="313">
        <f t="shared" si="5"/>
        <v>13406</v>
      </c>
      <c r="M33" s="189"/>
      <c r="N33"/>
      <c r="O33"/>
      <c r="P33"/>
    </row>
    <row r="34" spans="1:16" ht="13.5" customHeight="1" x14ac:dyDescent="0.2">
      <c r="A34" s="274" t="str">
        <f>T09_2!A11</f>
        <v>2015-16</v>
      </c>
      <c r="B34" s="78">
        <f>T09_2!C11</f>
        <v>368</v>
      </c>
      <c r="C34" s="78">
        <f>T09_2!D11</f>
        <v>4566</v>
      </c>
      <c r="D34" s="78">
        <f>T09_2!E11</f>
        <v>71</v>
      </c>
      <c r="E34" s="78">
        <f>T09_2!F11</f>
        <v>334</v>
      </c>
      <c r="F34" s="78">
        <f>T09_2!G11</f>
        <v>65</v>
      </c>
      <c r="G34" s="78">
        <f>T09_2!H11</f>
        <v>1894</v>
      </c>
      <c r="H34" s="78">
        <f>T09_2!I11</f>
        <v>3671</v>
      </c>
      <c r="I34" s="78">
        <f>T09_2!J11</f>
        <v>588</v>
      </c>
      <c r="J34" s="78">
        <f>T09_2!K11</f>
        <v>3175</v>
      </c>
      <c r="K34" s="499">
        <f t="shared" si="4"/>
        <v>7434</v>
      </c>
      <c r="L34" s="313">
        <f t="shared" si="5"/>
        <v>14732</v>
      </c>
      <c r="M34" s="189"/>
      <c r="N34" s="501"/>
      <c r="O34"/>
      <c r="P34"/>
    </row>
    <row r="35" spans="1:16" ht="13.5" customHeight="1" x14ac:dyDescent="0.2">
      <c r="A35" s="274" t="str">
        <f>T09_2!A12</f>
        <v>2016-17</v>
      </c>
      <c r="B35" s="78">
        <f>T09_2!C12</f>
        <v>304</v>
      </c>
      <c r="C35" s="78">
        <f>T09_2!D12</f>
        <v>4926</v>
      </c>
      <c r="D35" s="78">
        <f>T09_2!E12</f>
        <v>60</v>
      </c>
      <c r="E35" s="78">
        <f>T09_2!F12</f>
        <v>353</v>
      </c>
      <c r="F35" s="78">
        <f>T09_2!G12</f>
        <v>62</v>
      </c>
      <c r="G35" s="78">
        <f>T09_2!H12</f>
        <v>2021</v>
      </c>
      <c r="H35" s="78">
        <f>T09_2!I12</f>
        <v>3903</v>
      </c>
      <c r="I35" s="78">
        <f>T09_2!J12</f>
        <v>556</v>
      </c>
      <c r="J35" s="78">
        <f>T09_2!K12</f>
        <v>3475</v>
      </c>
      <c r="K35" s="499">
        <f t="shared" ref="K35:K39" si="6">SUM(H35:J35)</f>
        <v>7934</v>
      </c>
      <c r="L35" s="313">
        <f t="shared" ref="L35:L39" si="7">SUM(B35:J35)</f>
        <v>15660</v>
      </c>
      <c r="M35" s="189"/>
      <c r="N35" s="501"/>
      <c r="O35"/>
      <c r="P35"/>
    </row>
    <row r="36" spans="1:16" ht="13.5" customHeight="1" x14ac:dyDescent="0.2">
      <c r="A36" s="274" t="str">
        <f>T09_2!A13</f>
        <v>2017-18</v>
      </c>
      <c r="B36" s="78">
        <f>T09_2!C13</f>
        <v>307</v>
      </c>
      <c r="C36" s="78">
        <f>T09_2!D13</f>
        <v>5070</v>
      </c>
      <c r="D36" s="78">
        <f>T09_2!E13</f>
        <v>69</v>
      </c>
      <c r="E36" s="78">
        <f>T09_2!F13</f>
        <v>396</v>
      </c>
      <c r="F36" s="78">
        <f>T09_2!G13</f>
        <v>60</v>
      </c>
      <c r="G36" s="78">
        <f>T09_2!H13</f>
        <v>1923</v>
      </c>
      <c r="H36" s="78">
        <f>T09_2!I13</f>
        <v>3445</v>
      </c>
      <c r="I36" s="78">
        <f>T09_2!J13</f>
        <v>505</v>
      </c>
      <c r="J36" s="78">
        <f>T09_2!K13</f>
        <v>2953</v>
      </c>
      <c r="K36" s="499">
        <f t="shared" si="6"/>
        <v>6903</v>
      </c>
      <c r="L36" s="313">
        <f t="shared" si="7"/>
        <v>14728</v>
      </c>
      <c r="M36" s="189"/>
      <c r="N36"/>
      <c r="O36"/>
      <c r="P36"/>
    </row>
    <row r="37" spans="1:16" ht="13.5" customHeight="1" x14ac:dyDescent="0.2">
      <c r="A37" s="274" t="str">
        <f>T09_2!A14</f>
        <v>2018-19</v>
      </c>
      <c r="B37" s="78">
        <f>T09_2!C14</f>
        <v>222</v>
      </c>
      <c r="C37" s="78">
        <f>T09_2!D14</f>
        <v>6197</v>
      </c>
      <c r="D37" s="78">
        <f>T09_2!E14</f>
        <v>77</v>
      </c>
      <c r="E37" s="78">
        <f>T09_2!F14</f>
        <v>347</v>
      </c>
      <c r="F37" s="78">
        <f>T09_2!G14</f>
        <v>67</v>
      </c>
      <c r="G37" s="78">
        <f>T09_2!H14</f>
        <v>1421</v>
      </c>
      <c r="H37" s="78">
        <f>T09_2!I14</f>
        <v>3567</v>
      </c>
      <c r="I37" s="78">
        <f>T09_2!J14</f>
        <v>452</v>
      </c>
      <c r="J37" s="78">
        <f>T09_2!K14</f>
        <v>3347</v>
      </c>
      <c r="K37" s="499">
        <f t="shared" si="6"/>
        <v>7366</v>
      </c>
      <c r="L37" s="313">
        <f t="shared" si="7"/>
        <v>15697</v>
      </c>
      <c r="M37" s="189"/>
      <c r="N37"/>
      <c r="O37"/>
      <c r="P37"/>
    </row>
    <row r="38" spans="1:16" ht="13.5" customHeight="1" x14ac:dyDescent="0.2">
      <c r="A38" s="274" t="str">
        <f>T09_2!A15</f>
        <v>2019-20</v>
      </c>
      <c r="B38" s="78">
        <f>T09_2!C15</f>
        <v>265</v>
      </c>
      <c r="C38" s="78">
        <f>T09_2!D15</f>
        <v>4387</v>
      </c>
      <c r="D38" s="78">
        <f>T09_2!E15</f>
        <v>77</v>
      </c>
      <c r="E38" s="78">
        <f>T09_2!F15</f>
        <v>369</v>
      </c>
      <c r="F38" s="78">
        <f>T09_2!G15</f>
        <v>59</v>
      </c>
      <c r="G38" s="78">
        <f>T09_2!H15</f>
        <v>981</v>
      </c>
      <c r="H38" s="78">
        <f>T09_2!I15</f>
        <v>3763</v>
      </c>
      <c r="I38" s="78">
        <f>T09_2!J15</f>
        <v>447</v>
      </c>
      <c r="J38" s="78">
        <f>T09_2!K15</f>
        <v>3742</v>
      </c>
      <c r="K38" s="499">
        <f t="shared" si="6"/>
        <v>7952</v>
      </c>
      <c r="L38" s="313">
        <f t="shared" si="7"/>
        <v>14090</v>
      </c>
      <c r="M38" s="189"/>
      <c r="N38"/>
      <c r="O38"/>
      <c r="P38"/>
    </row>
    <row r="39" spans="1:16" ht="13.5" thickBot="1" x14ac:dyDescent="0.25">
      <c r="A39" s="491" t="str">
        <f>T09_2!A16</f>
        <v>2020-21</v>
      </c>
      <c r="B39" s="505">
        <f>T09_2!C16</f>
        <v>185</v>
      </c>
      <c r="C39" s="505">
        <f>T09_2!D16</f>
        <v>5027</v>
      </c>
      <c r="D39" s="505">
        <f>T09_2!E16</f>
        <v>95</v>
      </c>
      <c r="E39" s="505">
        <f>T09_2!F16</f>
        <v>351</v>
      </c>
      <c r="F39" s="505">
        <f>T09_2!G16</f>
        <v>101</v>
      </c>
      <c r="G39" s="505">
        <f>T09_2!H16</f>
        <v>1941</v>
      </c>
      <c r="H39" s="505">
        <f>T09_2!I16</f>
        <v>3382</v>
      </c>
      <c r="I39" s="505">
        <f>T09_2!J16</f>
        <v>441</v>
      </c>
      <c r="J39" s="505">
        <f>T09_2!K16</f>
        <v>3607</v>
      </c>
      <c r="K39" s="506">
        <f t="shared" si="6"/>
        <v>7430</v>
      </c>
      <c r="L39" s="507">
        <f t="shared" si="7"/>
        <v>15130</v>
      </c>
      <c r="M39"/>
      <c r="N39"/>
      <c r="O39"/>
      <c r="P39"/>
    </row>
    <row r="40" spans="1:16" x14ac:dyDescent="0.2">
      <c r="A40" s="117"/>
      <c r="B40" s="191"/>
      <c r="C40" s="191"/>
      <c r="D40" s="191"/>
      <c r="E40" s="191"/>
      <c r="F40" s="191"/>
      <c r="G40" s="191"/>
      <c r="H40" s="191"/>
      <c r="I40" s="191"/>
      <c r="J40" s="191"/>
      <c r="K40" s="191"/>
      <c r="L40" s="191"/>
      <c r="M40"/>
      <c r="N40"/>
      <c r="O40"/>
      <c r="P40"/>
    </row>
    <row r="41" spans="1:16" x14ac:dyDescent="0.2">
      <c r="A41" s="1222"/>
      <c r="B41" s="56"/>
      <c r="C41" s="56"/>
      <c r="D41" s="56"/>
      <c r="E41" s="56"/>
      <c r="F41" s="56"/>
      <c r="G41"/>
      <c r="H41"/>
      <c r="I41"/>
      <c r="J41"/>
      <c r="K41"/>
      <c r="L41" s="502"/>
      <c r="M41"/>
      <c r="N41"/>
      <c r="O41"/>
      <c r="P41"/>
    </row>
    <row r="42" spans="1:16" x14ac:dyDescent="0.2">
      <c r="A42" s="31"/>
      <c r="B42" s="31"/>
      <c r="C42" s="31"/>
      <c r="D42" s="31"/>
      <c r="E42" s="31"/>
      <c r="F42" s="31"/>
      <c r="K42" s="4"/>
      <c r="L42" s="104"/>
    </row>
    <row r="43" spans="1:16" ht="25.5" customHeight="1" x14ac:dyDescent="0.2">
      <c r="A43" s="1333"/>
      <c r="B43" s="1333"/>
      <c r="C43" s="1333"/>
      <c r="D43" s="1333"/>
      <c r="E43" s="1333"/>
      <c r="F43" s="1333"/>
      <c r="G43" s="1333"/>
      <c r="H43" s="1333"/>
      <c r="I43" s="1333"/>
      <c r="J43" s="1333"/>
      <c r="K43" s="1333"/>
      <c r="L43" s="1333"/>
      <c r="M43" s="1333"/>
      <c r="N43" s="1333"/>
      <c r="O43" s="1333"/>
      <c r="P43" s="1333"/>
    </row>
    <row r="44" spans="1:16" x14ac:dyDescent="0.2">
      <c r="A44" s="1332"/>
      <c r="B44" s="1332"/>
      <c r="C44" s="1332"/>
      <c r="D44" s="1332"/>
      <c r="E44" s="1332"/>
      <c r="F44" s="1332"/>
      <c r="G44" s="1332"/>
      <c r="H44" s="1332"/>
      <c r="I44" s="1332"/>
      <c r="J44" s="1332"/>
    </row>
    <row r="45" spans="1:16" x14ac:dyDescent="0.2">
      <c r="A45"/>
      <c r="B45"/>
    </row>
    <row r="46" spans="1:16" x14ac:dyDescent="0.2">
      <c r="A46" s="18"/>
    </row>
  </sheetData>
  <sheetProtection algorithmName="SHA-512" hashValue="hli9oawwFSE+/vI5TT5a6JdIVmzfnYFQ8CdaINMBTRK9Lb9B/0dht0234HJhqe2JdOHerhBD2zyHBMDr6TdsZQ==" saltValue="IvLTT7Wo8I3LNOCrmXbmOQ==" spinCount="100000" sheet="1" scenarios="1" formatCells="0" formatColumns="0" formatRows="0" sort="0" autoFilter="0" pivotTables="0"/>
  <mergeCells count="12">
    <mergeCell ref="M8:M10"/>
    <mergeCell ref="L25:L27"/>
    <mergeCell ref="A44:J44"/>
    <mergeCell ref="H26:K26"/>
    <mergeCell ref="B26:G26"/>
    <mergeCell ref="A8:A10"/>
    <mergeCell ref="A25:A27"/>
    <mergeCell ref="A43:P43"/>
    <mergeCell ref="B8:L8"/>
    <mergeCell ref="B9:G9"/>
    <mergeCell ref="H9:L9"/>
    <mergeCell ref="B25:K25"/>
  </mergeCells>
  <hyperlinks>
    <hyperlink ref="A2" location="'Table of Contents'!A1" display="Back to Table of Contents" xr:uid="{00000000-0004-0000-4100-000000000000}"/>
  </hyperlinks>
  <pageMargins left="0.70866141732283472" right="0.70866141732283472" top="0.74803149606299213" bottom="0.74803149606299213" header="0.31496062992125984" footer="0.31496062992125984"/>
  <pageSetup paperSize="9" scale="75" orientation="landscape" r:id="rId1"/>
  <headerFooter>
    <oddFooter>&amp;L&amp;P&amp;C&amp;A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8">
    <tabColor rgb="FFFFAFF0"/>
    <pageSetUpPr fitToPage="1"/>
  </sheetPr>
  <dimension ref="A1:Q51"/>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8.5703125" style="1" customWidth="1"/>
    <col min="2" max="2" width="24.28515625" style="1" customWidth="1"/>
    <col min="3" max="3" width="10.140625" style="1" customWidth="1"/>
    <col min="4" max="4" width="11" style="1" customWidth="1"/>
    <col min="5" max="5" width="10.7109375" style="1" customWidth="1"/>
    <col min="6" max="6" width="11.140625" style="1" customWidth="1"/>
    <col min="7" max="7" width="10.42578125" style="1" customWidth="1"/>
    <col min="8" max="8" width="11" style="1" customWidth="1"/>
    <col min="9" max="9" width="9.85546875" style="1" customWidth="1"/>
    <col min="10" max="10" width="11.28515625" style="1" customWidth="1"/>
    <col min="11" max="11" width="10.42578125" style="1" customWidth="1"/>
    <col min="12" max="12" width="11.42578125" style="1" customWidth="1"/>
    <col min="13" max="13" width="13" style="1" customWidth="1"/>
    <col min="14" max="14" width="12.140625" style="1" customWidth="1"/>
    <col min="15" max="15" width="6.7109375" style="1" customWidth="1"/>
    <col min="16" max="16" width="13.5703125" style="1" customWidth="1"/>
    <col min="17" max="17" width="7" style="1" customWidth="1"/>
    <col min="18" max="18" width="11.28515625" style="1" customWidth="1"/>
    <col min="19" max="235" width="9.140625" style="1"/>
    <col min="236" max="236" width="19.7109375" style="1" customWidth="1"/>
    <col min="237" max="237" width="10.140625" style="1" customWidth="1"/>
    <col min="238" max="238" width="11" style="1" customWidth="1"/>
    <col min="239" max="239" width="10.7109375" style="1" customWidth="1"/>
    <col min="240" max="240" width="10.140625" style="1" customWidth="1"/>
    <col min="241" max="241" width="9.28515625" style="1" customWidth="1"/>
    <col min="242" max="242" width="11.7109375" style="1" customWidth="1"/>
    <col min="243" max="243" width="12.42578125" style="1" customWidth="1"/>
    <col min="244" max="244" width="12.85546875" style="1" customWidth="1"/>
    <col min="245" max="245" width="10.42578125" style="1" customWidth="1"/>
    <col min="246" max="246" width="11.42578125" style="1" customWidth="1"/>
    <col min="247" max="247" width="10.85546875" style="1" customWidth="1"/>
    <col min="248" max="248" width="12.140625" style="1" customWidth="1"/>
    <col min="249" max="491" width="9.140625" style="1"/>
    <col min="492" max="492" width="19.7109375" style="1" customWidth="1"/>
    <col min="493" max="493" width="10.140625" style="1" customWidth="1"/>
    <col min="494" max="494" width="11" style="1" customWidth="1"/>
    <col min="495" max="495" width="10.7109375" style="1" customWidth="1"/>
    <col min="496" max="496" width="10.140625" style="1" customWidth="1"/>
    <col min="497" max="497" width="9.28515625" style="1" customWidth="1"/>
    <col min="498" max="498" width="11.7109375" style="1" customWidth="1"/>
    <col min="499" max="499" width="12.42578125" style="1" customWidth="1"/>
    <col min="500" max="500" width="12.85546875" style="1" customWidth="1"/>
    <col min="501" max="501" width="10.42578125" style="1" customWidth="1"/>
    <col min="502" max="502" width="11.42578125" style="1" customWidth="1"/>
    <col min="503" max="503" width="10.85546875" style="1" customWidth="1"/>
    <col min="504" max="504" width="12.140625" style="1" customWidth="1"/>
    <col min="505" max="747" width="9.140625" style="1"/>
    <col min="748" max="748" width="19.7109375" style="1" customWidth="1"/>
    <col min="749" max="749" width="10.140625" style="1" customWidth="1"/>
    <col min="750" max="750" width="11" style="1" customWidth="1"/>
    <col min="751" max="751" width="10.7109375" style="1" customWidth="1"/>
    <col min="752" max="752" width="10.140625" style="1" customWidth="1"/>
    <col min="753" max="753" width="9.28515625" style="1" customWidth="1"/>
    <col min="754" max="754" width="11.7109375" style="1" customWidth="1"/>
    <col min="755" max="755" width="12.42578125" style="1" customWidth="1"/>
    <col min="756" max="756" width="12.85546875" style="1" customWidth="1"/>
    <col min="757" max="757" width="10.42578125" style="1" customWidth="1"/>
    <col min="758" max="758" width="11.42578125" style="1" customWidth="1"/>
    <col min="759" max="759" width="10.85546875" style="1" customWidth="1"/>
    <col min="760" max="760" width="12.140625" style="1" customWidth="1"/>
    <col min="761" max="1003" width="9.140625" style="1"/>
    <col min="1004" max="1004" width="19.7109375" style="1" customWidth="1"/>
    <col min="1005" max="1005" width="10.140625" style="1" customWidth="1"/>
    <col min="1006" max="1006" width="11" style="1" customWidth="1"/>
    <col min="1007" max="1007" width="10.7109375" style="1" customWidth="1"/>
    <col min="1008" max="1008" width="10.140625" style="1" customWidth="1"/>
    <col min="1009" max="1009" width="9.28515625" style="1" customWidth="1"/>
    <col min="1010" max="1010" width="11.7109375" style="1" customWidth="1"/>
    <col min="1011" max="1011" width="12.42578125" style="1" customWidth="1"/>
    <col min="1012" max="1012" width="12.85546875" style="1" customWidth="1"/>
    <col min="1013" max="1013" width="10.42578125" style="1" customWidth="1"/>
    <col min="1014" max="1014" width="11.42578125" style="1" customWidth="1"/>
    <col min="1015" max="1015" width="10.85546875" style="1" customWidth="1"/>
    <col min="1016" max="1016" width="12.140625" style="1" customWidth="1"/>
    <col min="1017" max="1259" width="9.140625" style="1"/>
    <col min="1260" max="1260" width="19.7109375" style="1" customWidth="1"/>
    <col min="1261" max="1261" width="10.140625" style="1" customWidth="1"/>
    <col min="1262" max="1262" width="11" style="1" customWidth="1"/>
    <col min="1263" max="1263" width="10.7109375" style="1" customWidth="1"/>
    <col min="1264" max="1264" width="10.140625" style="1" customWidth="1"/>
    <col min="1265" max="1265" width="9.28515625" style="1" customWidth="1"/>
    <col min="1266" max="1266" width="11.7109375" style="1" customWidth="1"/>
    <col min="1267" max="1267" width="12.42578125" style="1" customWidth="1"/>
    <col min="1268" max="1268" width="12.85546875" style="1" customWidth="1"/>
    <col min="1269" max="1269" width="10.42578125" style="1" customWidth="1"/>
    <col min="1270" max="1270" width="11.42578125" style="1" customWidth="1"/>
    <col min="1271" max="1271" width="10.85546875" style="1" customWidth="1"/>
    <col min="1272" max="1272" width="12.140625" style="1" customWidth="1"/>
    <col min="1273" max="1515" width="9.140625" style="1"/>
    <col min="1516" max="1516" width="19.7109375" style="1" customWidth="1"/>
    <col min="1517" max="1517" width="10.140625" style="1" customWidth="1"/>
    <col min="1518" max="1518" width="11" style="1" customWidth="1"/>
    <col min="1519" max="1519" width="10.7109375" style="1" customWidth="1"/>
    <col min="1520" max="1520" width="10.140625" style="1" customWidth="1"/>
    <col min="1521" max="1521" width="9.28515625" style="1" customWidth="1"/>
    <col min="1522" max="1522" width="11.7109375" style="1" customWidth="1"/>
    <col min="1523" max="1523" width="12.42578125" style="1" customWidth="1"/>
    <col min="1524" max="1524" width="12.85546875" style="1" customWidth="1"/>
    <col min="1525" max="1525" width="10.42578125" style="1" customWidth="1"/>
    <col min="1526" max="1526" width="11.42578125" style="1" customWidth="1"/>
    <col min="1527" max="1527" width="10.85546875" style="1" customWidth="1"/>
    <col min="1528" max="1528" width="12.140625" style="1" customWidth="1"/>
    <col min="1529" max="1771" width="9.140625" style="1"/>
    <col min="1772" max="1772" width="19.7109375" style="1" customWidth="1"/>
    <col min="1773" max="1773" width="10.140625" style="1" customWidth="1"/>
    <col min="1774" max="1774" width="11" style="1" customWidth="1"/>
    <col min="1775" max="1775" width="10.7109375" style="1" customWidth="1"/>
    <col min="1776" max="1776" width="10.140625" style="1" customWidth="1"/>
    <col min="1777" max="1777" width="9.28515625" style="1" customWidth="1"/>
    <col min="1778" max="1778" width="11.7109375" style="1" customWidth="1"/>
    <col min="1779" max="1779" width="12.42578125" style="1" customWidth="1"/>
    <col min="1780" max="1780" width="12.85546875" style="1" customWidth="1"/>
    <col min="1781" max="1781" width="10.42578125" style="1" customWidth="1"/>
    <col min="1782" max="1782" width="11.42578125" style="1" customWidth="1"/>
    <col min="1783" max="1783" width="10.85546875" style="1" customWidth="1"/>
    <col min="1784" max="1784" width="12.140625" style="1" customWidth="1"/>
    <col min="1785" max="2027" width="9.140625" style="1"/>
    <col min="2028" max="2028" width="19.7109375" style="1" customWidth="1"/>
    <col min="2029" max="2029" width="10.140625" style="1" customWidth="1"/>
    <col min="2030" max="2030" width="11" style="1" customWidth="1"/>
    <col min="2031" max="2031" width="10.7109375" style="1" customWidth="1"/>
    <col min="2032" max="2032" width="10.140625" style="1" customWidth="1"/>
    <col min="2033" max="2033" width="9.28515625" style="1" customWidth="1"/>
    <col min="2034" max="2034" width="11.7109375" style="1" customWidth="1"/>
    <col min="2035" max="2035" width="12.42578125" style="1" customWidth="1"/>
    <col min="2036" max="2036" width="12.85546875" style="1" customWidth="1"/>
    <col min="2037" max="2037" width="10.42578125" style="1" customWidth="1"/>
    <col min="2038" max="2038" width="11.42578125" style="1" customWidth="1"/>
    <col min="2039" max="2039" width="10.85546875" style="1" customWidth="1"/>
    <col min="2040" max="2040" width="12.140625" style="1" customWidth="1"/>
    <col min="2041" max="2283" width="9.140625" style="1"/>
    <col min="2284" max="2284" width="19.7109375" style="1" customWidth="1"/>
    <col min="2285" max="2285" width="10.140625" style="1" customWidth="1"/>
    <col min="2286" max="2286" width="11" style="1" customWidth="1"/>
    <col min="2287" max="2287" width="10.7109375" style="1" customWidth="1"/>
    <col min="2288" max="2288" width="10.140625" style="1" customWidth="1"/>
    <col min="2289" max="2289" width="9.28515625" style="1" customWidth="1"/>
    <col min="2290" max="2290" width="11.7109375" style="1" customWidth="1"/>
    <col min="2291" max="2291" width="12.42578125" style="1" customWidth="1"/>
    <col min="2292" max="2292" width="12.85546875" style="1" customWidth="1"/>
    <col min="2293" max="2293" width="10.42578125" style="1" customWidth="1"/>
    <col min="2294" max="2294" width="11.42578125" style="1" customWidth="1"/>
    <col min="2295" max="2295" width="10.85546875" style="1" customWidth="1"/>
    <col min="2296" max="2296" width="12.140625" style="1" customWidth="1"/>
    <col min="2297" max="2539" width="9.140625" style="1"/>
    <col min="2540" max="2540" width="19.7109375" style="1" customWidth="1"/>
    <col min="2541" max="2541" width="10.140625" style="1" customWidth="1"/>
    <col min="2542" max="2542" width="11" style="1" customWidth="1"/>
    <col min="2543" max="2543" width="10.7109375" style="1" customWidth="1"/>
    <col min="2544" max="2544" width="10.140625" style="1" customWidth="1"/>
    <col min="2545" max="2545" width="9.28515625" style="1" customWidth="1"/>
    <col min="2546" max="2546" width="11.7109375" style="1" customWidth="1"/>
    <col min="2547" max="2547" width="12.42578125" style="1" customWidth="1"/>
    <col min="2548" max="2548" width="12.85546875" style="1" customWidth="1"/>
    <col min="2549" max="2549" width="10.42578125" style="1" customWidth="1"/>
    <col min="2550" max="2550" width="11.42578125" style="1" customWidth="1"/>
    <col min="2551" max="2551" width="10.85546875" style="1" customWidth="1"/>
    <col min="2552" max="2552" width="12.140625" style="1" customWidth="1"/>
    <col min="2553" max="2795" width="9.140625" style="1"/>
    <col min="2796" max="2796" width="19.7109375" style="1" customWidth="1"/>
    <col min="2797" max="2797" width="10.140625" style="1" customWidth="1"/>
    <col min="2798" max="2798" width="11" style="1" customWidth="1"/>
    <col min="2799" max="2799" width="10.7109375" style="1" customWidth="1"/>
    <col min="2800" max="2800" width="10.140625" style="1" customWidth="1"/>
    <col min="2801" max="2801" width="9.28515625" style="1" customWidth="1"/>
    <col min="2802" max="2802" width="11.7109375" style="1" customWidth="1"/>
    <col min="2803" max="2803" width="12.42578125" style="1" customWidth="1"/>
    <col min="2804" max="2804" width="12.85546875" style="1" customWidth="1"/>
    <col min="2805" max="2805" width="10.42578125" style="1" customWidth="1"/>
    <col min="2806" max="2806" width="11.42578125" style="1" customWidth="1"/>
    <col min="2807" max="2807" width="10.85546875" style="1" customWidth="1"/>
    <col min="2808" max="2808" width="12.140625" style="1" customWidth="1"/>
    <col min="2809" max="3051" width="9.140625" style="1"/>
    <col min="3052" max="3052" width="19.7109375" style="1" customWidth="1"/>
    <col min="3053" max="3053" width="10.140625" style="1" customWidth="1"/>
    <col min="3054" max="3054" width="11" style="1" customWidth="1"/>
    <col min="3055" max="3055" width="10.7109375" style="1" customWidth="1"/>
    <col min="3056" max="3056" width="10.140625" style="1" customWidth="1"/>
    <col min="3057" max="3057" width="9.28515625" style="1" customWidth="1"/>
    <col min="3058" max="3058" width="11.7109375" style="1" customWidth="1"/>
    <col min="3059" max="3059" width="12.42578125" style="1" customWidth="1"/>
    <col min="3060" max="3060" width="12.85546875" style="1" customWidth="1"/>
    <col min="3061" max="3061" width="10.42578125" style="1" customWidth="1"/>
    <col min="3062" max="3062" width="11.42578125" style="1" customWidth="1"/>
    <col min="3063" max="3063" width="10.85546875" style="1" customWidth="1"/>
    <col min="3064" max="3064" width="12.140625" style="1" customWidth="1"/>
    <col min="3065" max="3307" width="9.140625" style="1"/>
    <col min="3308" max="3308" width="19.7109375" style="1" customWidth="1"/>
    <col min="3309" max="3309" width="10.140625" style="1" customWidth="1"/>
    <col min="3310" max="3310" width="11" style="1" customWidth="1"/>
    <col min="3311" max="3311" width="10.7109375" style="1" customWidth="1"/>
    <col min="3312" max="3312" width="10.140625" style="1" customWidth="1"/>
    <col min="3313" max="3313" width="9.28515625" style="1" customWidth="1"/>
    <col min="3314" max="3314" width="11.7109375" style="1" customWidth="1"/>
    <col min="3315" max="3315" width="12.42578125" style="1" customWidth="1"/>
    <col min="3316" max="3316" width="12.85546875" style="1" customWidth="1"/>
    <col min="3317" max="3317" width="10.42578125" style="1" customWidth="1"/>
    <col min="3318" max="3318" width="11.42578125" style="1" customWidth="1"/>
    <col min="3319" max="3319" width="10.85546875" style="1" customWidth="1"/>
    <col min="3320" max="3320" width="12.140625" style="1" customWidth="1"/>
    <col min="3321" max="3563" width="9.140625" style="1"/>
    <col min="3564" max="3564" width="19.7109375" style="1" customWidth="1"/>
    <col min="3565" max="3565" width="10.140625" style="1" customWidth="1"/>
    <col min="3566" max="3566" width="11" style="1" customWidth="1"/>
    <col min="3567" max="3567" width="10.7109375" style="1" customWidth="1"/>
    <col min="3568" max="3568" width="10.140625" style="1" customWidth="1"/>
    <col min="3569" max="3569" width="9.28515625" style="1" customWidth="1"/>
    <col min="3570" max="3570" width="11.7109375" style="1" customWidth="1"/>
    <col min="3571" max="3571" width="12.42578125" style="1" customWidth="1"/>
    <col min="3572" max="3572" width="12.85546875" style="1" customWidth="1"/>
    <col min="3573" max="3573" width="10.42578125" style="1" customWidth="1"/>
    <col min="3574" max="3574" width="11.42578125" style="1" customWidth="1"/>
    <col min="3575" max="3575" width="10.85546875" style="1" customWidth="1"/>
    <col min="3576" max="3576" width="12.140625" style="1" customWidth="1"/>
    <col min="3577" max="3819" width="9.140625" style="1"/>
    <col min="3820" max="3820" width="19.7109375" style="1" customWidth="1"/>
    <col min="3821" max="3821" width="10.140625" style="1" customWidth="1"/>
    <col min="3822" max="3822" width="11" style="1" customWidth="1"/>
    <col min="3823" max="3823" width="10.7109375" style="1" customWidth="1"/>
    <col min="3824" max="3824" width="10.140625" style="1" customWidth="1"/>
    <col min="3825" max="3825" width="9.28515625" style="1" customWidth="1"/>
    <col min="3826" max="3826" width="11.7109375" style="1" customWidth="1"/>
    <col min="3827" max="3827" width="12.42578125" style="1" customWidth="1"/>
    <col min="3828" max="3828" width="12.85546875" style="1" customWidth="1"/>
    <col min="3829" max="3829" width="10.42578125" style="1" customWidth="1"/>
    <col min="3830" max="3830" width="11.42578125" style="1" customWidth="1"/>
    <col min="3831" max="3831" width="10.85546875" style="1" customWidth="1"/>
    <col min="3832" max="3832" width="12.140625" style="1" customWidth="1"/>
    <col min="3833" max="4075" width="9.140625" style="1"/>
    <col min="4076" max="4076" width="19.7109375" style="1" customWidth="1"/>
    <col min="4077" max="4077" width="10.140625" style="1" customWidth="1"/>
    <col min="4078" max="4078" width="11" style="1" customWidth="1"/>
    <col min="4079" max="4079" width="10.7109375" style="1" customWidth="1"/>
    <col min="4080" max="4080" width="10.140625" style="1" customWidth="1"/>
    <col min="4081" max="4081" width="9.28515625" style="1" customWidth="1"/>
    <col min="4082" max="4082" width="11.7109375" style="1" customWidth="1"/>
    <col min="4083" max="4083" width="12.42578125" style="1" customWidth="1"/>
    <col min="4084" max="4084" width="12.85546875" style="1" customWidth="1"/>
    <col min="4085" max="4085" width="10.42578125" style="1" customWidth="1"/>
    <col min="4086" max="4086" width="11.42578125" style="1" customWidth="1"/>
    <col min="4087" max="4087" width="10.85546875" style="1" customWidth="1"/>
    <col min="4088" max="4088" width="12.140625" style="1" customWidth="1"/>
    <col min="4089" max="4331" width="9.140625" style="1"/>
    <col min="4332" max="4332" width="19.7109375" style="1" customWidth="1"/>
    <col min="4333" max="4333" width="10.140625" style="1" customWidth="1"/>
    <col min="4334" max="4334" width="11" style="1" customWidth="1"/>
    <col min="4335" max="4335" width="10.7109375" style="1" customWidth="1"/>
    <col min="4336" max="4336" width="10.140625" style="1" customWidth="1"/>
    <col min="4337" max="4337" width="9.28515625" style="1" customWidth="1"/>
    <col min="4338" max="4338" width="11.7109375" style="1" customWidth="1"/>
    <col min="4339" max="4339" width="12.42578125" style="1" customWidth="1"/>
    <col min="4340" max="4340" width="12.85546875" style="1" customWidth="1"/>
    <col min="4341" max="4341" width="10.42578125" style="1" customWidth="1"/>
    <col min="4342" max="4342" width="11.42578125" style="1" customWidth="1"/>
    <col min="4343" max="4343" width="10.85546875" style="1" customWidth="1"/>
    <col min="4344" max="4344" width="12.140625" style="1" customWidth="1"/>
    <col min="4345" max="4587" width="9.140625" style="1"/>
    <col min="4588" max="4588" width="19.7109375" style="1" customWidth="1"/>
    <col min="4589" max="4589" width="10.140625" style="1" customWidth="1"/>
    <col min="4590" max="4590" width="11" style="1" customWidth="1"/>
    <col min="4591" max="4591" width="10.7109375" style="1" customWidth="1"/>
    <col min="4592" max="4592" width="10.140625" style="1" customWidth="1"/>
    <col min="4593" max="4593" width="9.28515625" style="1" customWidth="1"/>
    <col min="4594" max="4594" width="11.7109375" style="1" customWidth="1"/>
    <col min="4595" max="4595" width="12.42578125" style="1" customWidth="1"/>
    <col min="4596" max="4596" width="12.85546875" style="1" customWidth="1"/>
    <col min="4597" max="4597" width="10.42578125" style="1" customWidth="1"/>
    <col min="4598" max="4598" width="11.42578125" style="1" customWidth="1"/>
    <col min="4599" max="4599" width="10.85546875" style="1" customWidth="1"/>
    <col min="4600" max="4600" width="12.140625" style="1" customWidth="1"/>
    <col min="4601" max="4843" width="9.140625" style="1"/>
    <col min="4844" max="4844" width="19.7109375" style="1" customWidth="1"/>
    <col min="4845" max="4845" width="10.140625" style="1" customWidth="1"/>
    <col min="4846" max="4846" width="11" style="1" customWidth="1"/>
    <col min="4847" max="4847" width="10.7109375" style="1" customWidth="1"/>
    <col min="4848" max="4848" width="10.140625" style="1" customWidth="1"/>
    <col min="4849" max="4849" width="9.28515625" style="1" customWidth="1"/>
    <col min="4850" max="4850" width="11.7109375" style="1" customWidth="1"/>
    <col min="4851" max="4851" width="12.42578125" style="1" customWidth="1"/>
    <col min="4852" max="4852" width="12.85546875" style="1" customWidth="1"/>
    <col min="4853" max="4853" width="10.42578125" style="1" customWidth="1"/>
    <col min="4854" max="4854" width="11.42578125" style="1" customWidth="1"/>
    <col min="4855" max="4855" width="10.85546875" style="1" customWidth="1"/>
    <col min="4856" max="4856" width="12.140625" style="1" customWidth="1"/>
    <col min="4857" max="5099" width="9.140625" style="1"/>
    <col min="5100" max="5100" width="19.7109375" style="1" customWidth="1"/>
    <col min="5101" max="5101" width="10.140625" style="1" customWidth="1"/>
    <col min="5102" max="5102" width="11" style="1" customWidth="1"/>
    <col min="5103" max="5103" width="10.7109375" style="1" customWidth="1"/>
    <col min="5104" max="5104" width="10.140625" style="1" customWidth="1"/>
    <col min="5105" max="5105" width="9.28515625" style="1" customWidth="1"/>
    <col min="5106" max="5106" width="11.7109375" style="1" customWidth="1"/>
    <col min="5107" max="5107" width="12.42578125" style="1" customWidth="1"/>
    <col min="5108" max="5108" width="12.85546875" style="1" customWidth="1"/>
    <col min="5109" max="5109" width="10.42578125" style="1" customWidth="1"/>
    <col min="5110" max="5110" width="11.42578125" style="1" customWidth="1"/>
    <col min="5111" max="5111" width="10.85546875" style="1" customWidth="1"/>
    <col min="5112" max="5112" width="12.140625" style="1" customWidth="1"/>
    <col min="5113" max="5355" width="9.140625" style="1"/>
    <col min="5356" max="5356" width="19.7109375" style="1" customWidth="1"/>
    <col min="5357" max="5357" width="10.140625" style="1" customWidth="1"/>
    <col min="5358" max="5358" width="11" style="1" customWidth="1"/>
    <col min="5359" max="5359" width="10.7109375" style="1" customWidth="1"/>
    <col min="5360" max="5360" width="10.140625" style="1" customWidth="1"/>
    <col min="5361" max="5361" width="9.28515625" style="1" customWidth="1"/>
    <col min="5362" max="5362" width="11.7109375" style="1" customWidth="1"/>
    <col min="5363" max="5363" width="12.42578125" style="1" customWidth="1"/>
    <col min="5364" max="5364" width="12.85546875" style="1" customWidth="1"/>
    <col min="5365" max="5365" width="10.42578125" style="1" customWidth="1"/>
    <col min="5366" max="5366" width="11.42578125" style="1" customWidth="1"/>
    <col min="5367" max="5367" width="10.85546875" style="1" customWidth="1"/>
    <col min="5368" max="5368" width="12.140625" style="1" customWidth="1"/>
    <col min="5369" max="5611" width="9.140625" style="1"/>
    <col min="5612" max="5612" width="19.7109375" style="1" customWidth="1"/>
    <col min="5613" max="5613" width="10.140625" style="1" customWidth="1"/>
    <col min="5614" max="5614" width="11" style="1" customWidth="1"/>
    <col min="5615" max="5615" width="10.7109375" style="1" customWidth="1"/>
    <col min="5616" max="5616" width="10.140625" style="1" customWidth="1"/>
    <col min="5617" max="5617" width="9.28515625" style="1" customWidth="1"/>
    <col min="5618" max="5618" width="11.7109375" style="1" customWidth="1"/>
    <col min="5619" max="5619" width="12.42578125" style="1" customWidth="1"/>
    <col min="5620" max="5620" width="12.85546875" style="1" customWidth="1"/>
    <col min="5621" max="5621" width="10.42578125" style="1" customWidth="1"/>
    <col min="5622" max="5622" width="11.42578125" style="1" customWidth="1"/>
    <col min="5623" max="5623" width="10.85546875" style="1" customWidth="1"/>
    <col min="5624" max="5624" width="12.140625" style="1" customWidth="1"/>
    <col min="5625" max="5867" width="9.140625" style="1"/>
    <col min="5868" max="5868" width="19.7109375" style="1" customWidth="1"/>
    <col min="5869" max="5869" width="10.140625" style="1" customWidth="1"/>
    <col min="5870" max="5870" width="11" style="1" customWidth="1"/>
    <col min="5871" max="5871" width="10.7109375" style="1" customWidth="1"/>
    <col min="5872" max="5872" width="10.140625" style="1" customWidth="1"/>
    <col min="5873" max="5873" width="9.28515625" style="1" customWidth="1"/>
    <col min="5874" max="5874" width="11.7109375" style="1" customWidth="1"/>
    <col min="5875" max="5875" width="12.42578125" style="1" customWidth="1"/>
    <col min="5876" max="5876" width="12.85546875" style="1" customWidth="1"/>
    <col min="5877" max="5877" width="10.42578125" style="1" customWidth="1"/>
    <col min="5878" max="5878" width="11.42578125" style="1" customWidth="1"/>
    <col min="5879" max="5879" width="10.85546875" style="1" customWidth="1"/>
    <col min="5880" max="5880" width="12.140625" style="1" customWidth="1"/>
    <col min="5881" max="6123" width="9.140625" style="1"/>
    <col min="6124" max="6124" width="19.7109375" style="1" customWidth="1"/>
    <col min="6125" max="6125" width="10.140625" style="1" customWidth="1"/>
    <col min="6126" max="6126" width="11" style="1" customWidth="1"/>
    <col min="6127" max="6127" width="10.7109375" style="1" customWidth="1"/>
    <col min="6128" max="6128" width="10.140625" style="1" customWidth="1"/>
    <col min="6129" max="6129" width="9.28515625" style="1" customWidth="1"/>
    <col min="6130" max="6130" width="11.7109375" style="1" customWidth="1"/>
    <col min="6131" max="6131" width="12.42578125" style="1" customWidth="1"/>
    <col min="6132" max="6132" width="12.85546875" style="1" customWidth="1"/>
    <col min="6133" max="6133" width="10.42578125" style="1" customWidth="1"/>
    <col min="6134" max="6134" width="11.42578125" style="1" customWidth="1"/>
    <col min="6135" max="6135" width="10.85546875" style="1" customWidth="1"/>
    <col min="6136" max="6136" width="12.140625" style="1" customWidth="1"/>
    <col min="6137" max="6379" width="9.140625" style="1"/>
    <col min="6380" max="6380" width="19.7109375" style="1" customWidth="1"/>
    <col min="6381" max="6381" width="10.140625" style="1" customWidth="1"/>
    <col min="6382" max="6382" width="11" style="1" customWidth="1"/>
    <col min="6383" max="6383" width="10.7109375" style="1" customWidth="1"/>
    <col min="6384" max="6384" width="10.140625" style="1" customWidth="1"/>
    <col min="6385" max="6385" width="9.28515625" style="1" customWidth="1"/>
    <col min="6386" max="6386" width="11.7109375" style="1" customWidth="1"/>
    <col min="6387" max="6387" width="12.42578125" style="1" customWidth="1"/>
    <col min="6388" max="6388" width="12.85546875" style="1" customWidth="1"/>
    <col min="6389" max="6389" width="10.42578125" style="1" customWidth="1"/>
    <col min="6390" max="6390" width="11.42578125" style="1" customWidth="1"/>
    <col min="6391" max="6391" width="10.85546875" style="1" customWidth="1"/>
    <col min="6392" max="6392" width="12.140625" style="1" customWidth="1"/>
    <col min="6393" max="6635" width="9.140625" style="1"/>
    <col min="6636" max="6636" width="19.7109375" style="1" customWidth="1"/>
    <col min="6637" max="6637" width="10.140625" style="1" customWidth="1"/>
    <col min="6638" max="6638" width="11" style="1" customWidth="1"/>
    <col min="6639" max="6639" width="10.7109375" style="1" customWidth="1"/>
    <col min="6640" max="6640" width="10.140625" style="1" customWidth="1"/>
    <col min="6641" max="6641" width="9.28515625" style="1" customWidth="1"/>
    <col min="6642" max="6642" width="11.7109375" style="1" customWidth="1"/>
    <col min="6643" max="6643" width="12.42578125" style="1" customWidth="1"/>
    <col min="6644" max="6644" width="12.85546875" style="1" customWidth="1"/>
    <col min="6645" max="6645" width="10.42578125" style="1" customWidth="1"/>
    <col min="6646" max="6646" width="11.42578125" style="1" customWidth="1"/>
    <col min="6647" max="6647" width="10.85546875" style="1" customWidth="1"/>
    <col min="6648" max="6648" width="12.140625" style="1" customWidth="1"/>
    <col min="6649" max="6891" width="9.140625" style="1"/>
    <col min="6892" max="6892" width="19.7109375" style="1" customWidth="1"/>
    <col min="6893" max="6893" width="10.140625" style="1" customWidth="1"/>
    <col min="6894" max="6894" width="11" style="1" customWidth="1"/>
    <col min="6895" max="6895" width="10.7109375" style="1" customWidth="1"/>
    <col min="6896" max="6896" width="10.140625" style="1" customWidth="1"/>
    <col min="6897" max="6897" width="9.28515625" style="1" customWidth="1"/>
    <col min="6898" max="6898" width="11.7109375" style="1" customWidth="1"/>
    <col min="6899" max="6899" width="12.42578125" style="1" customWidth="1"/>
    <col min="6900" max="6900" width="12.85546875" style="1" customWidth="1"/>
    <col min="6901" max="6901" width="10.42578125" style="1" customWidth="1"/>
    <col min="6902" max="6902" width="11.42578125" style="1" customWidth="1"/>
    <col min="6903" max="6903" width="10.85546875" style="1" customWidth="1"/>
    <col min="6904" max="6904" width="12.140625" style="1" customWidth="1"/>
    <col min="6905" max="7147" width="9.140625" style="1"/>
    <col min="7148" max="7148" width="19.7109375" style="1" customWidth="1"/>
    <col min="7149" max="7149" width="10.140625" style="1" customWidth="1"/>
    <col min="7150" max="7150" width="11" style="1" customWidth="1"/>
    <col min="7151" max="7151" width="10.7109375" style="1" customWidth="1"/>
    <col min="7152" max="7152" width="10.140625" style="1" customWidth="1"/>
    <col min="7153" max="7153" width="9.28515625" style="1" customWidth="1"/>
    <col min="7154" max="7154" width="11.7109375" style="1" customWidth="1"/>
    <col min="7155" max="7155" width="12.42578125" style="1" customWidth="1"/>
    <col min="7156" max="7156" width="12.85546875" style="1" customWidth="1"/>
    <col min="7157" max="7157" width="10.42578125" style="1" customWidth="1"/>
    <col min="7158" max="7158" width="11.42578125" style="1" customWidth="1"/>
    <col min="7159" max="7159" width="10.85546875" style="1" customWidth="1"/>
    <col min="7160" max="7160" width="12.140625" style="1" customWidth="1"/>
    <col min="7161" max="7403" width="9.140625" style="1"/>
    <col min="7404" max="7404" width="19.7109375" style="1" customWidth="1"/>
    <col min="7405" max="7405" width="10.140625" style="1" customWidth="1"/>
    <col min="7406" max="7406" width="11" style="1" customWidth="1"/>
    <col min="7407" max="7407" width="10.7109375" style="1" customWidth="1"/>
    <col min="7408" max="7408" width="10.140625" style="1" customWidth="1"/>
    <col min="7409" max="7409" width="9.28515625" style="1" customWidth="1"/>
    <col min="7410" max="7410" width="11.7109375" style="1" customWidth="1"/>
    <col min="7411" max="7411" width="12.42578125" style="1" customWidth="1"/>
    <col min="7412" max="7412" width="12.85546875" style="1" customWidth="1"/>
    <col min="7413" max="7413" width="10.42578125" style="1" customWidth="1"/>
    <col min="7414" max="7414" width="11.42578125" style="1" customWidth="1"/>
    <col min="7415" max="7415" width="10.85546875" style="1" customWidth="1"/>
    <col min="7416" max="7416" width="12.140625" style="1" customWidth="1"/>
    <col min="7417" max="7659" width="9.140625" style="1"/>
    <col min="7660" max="7660" width="19.7109375" style="1" customWidth="1"/>
    <col min="7661" max="7661" width="10.140625" style="1" customWidth="1"/>
    <col min="7662" max="7662" width="11" style="1" customWidth="1"/>
    <col min="7663" max="7663" width="10.7109375" style="1" customWidth="1"/>
    <col min="7664" max="7664" width="10.140625" style="1" customWidth="1"/>
    <col min="7665" max="7665" width="9.28515625" style="1" customWidth="1"/>
    <col min="7666" max="7666" width="11.7109375" style="1" customWidth="1"/>
    <col min="7667" max="7667" width="12.42578125" style="1" customWidth="1"/>
    <col min="7668" max="7668" width="12.85546875" style="1" customWidth="1"/>
    <col min="7669" max="7669" width="10.42578125" style="1" customWidth="1"/>
    <col min="7670" max="7670" width="11.42578125" style="1" customWidth="1"/>
    <col min="7671" max="7671" width="10.85546875" style="1" customWidth="1"/>
    <col min="7672" max="7672" width="12.140625" style="1" customWidth="1"/>
    <col min="7673" max="7915" width="9.140625" style="1"/>
    <col min="7916" max="7916" width="19.7109375" style="1" customWidth="1"/>
    <col min="7917" max="7917" width="10.140625" style="1" customWidth="1"/>
    <col min="7918" max="7918" width="11" style="1" customWidth="1"/>
    <col min="7919" max="7919" width="10.7109375" style="1" customWidth="1"/>
    <col min="7920" max="7920" width="10.140625" style="1" customWidth="1"/>
    <col min="7921" max="7921" width="9.28515625" style="1" customWidth="1"/>
    <col min="7922" max="7922" width="11.7109375" style="1" customWidth="1"/>
    <col min="7923" max="7923" width="12.42578125" style="1" customWidth="1"/>
    <col min="7924" max="7924" width="12.85546875" style="1" customWidth="1"/>
    <col min="7925" max="7925" width="10.42578125" style="1" customWidth="1"/>
    <col min="7926" max="7926" width="11.42578125" style="1" customWidth="1"/>
    <col min="7927" max="7927" width="10.85546875" style="1" customWidth="1"/>
    <col min="7928" max="7928" width="12.140625" style="1" customWidth="1"/>
    <col min="7929" max="8171" width="9.140625" style="1"/>
    <col min="8172" max="8172" width="19.7109375" style="1" customWidth="1"/>
    <col min="8173" max="8173" width="10.140625" style="1" customWidth="1"/>
    <col min="8174" max="8174" width="11" style="1" customWidth="1"/>
    <col min="8175" max="8175" width="10.7109375" style="1" customWidth="1"/>
    <col min="8176" max="8176" width="10.140625" style="1" customWidth="1"/>
    <col min="8177" max="8177" width="9.28515625" style="1" customWidth="1"/>
    <col min="8178" max="8178" width="11.7109375" style="1" customWidth="1"/>
    <col min="8179" max="8179" width="12.42578125" style="1" customWidth="1"/>
    <col min="8180" max="8180" width="12.85546875" style="1" customWidth="1"/>
    <col min="8181" max="8181" width="10.42578125" style="1" customWidth="1"/>
    <col min="8182" max="8182" width="11.42578125" style="1" customWidth="1"/>
    <col min="8183" max="8183" width="10.85546875" style="1" customWidth="1"/>
    <col min="8184" max="8184" width="12.140625" style="1" customWidth="1"/>
    <col min="8185" max="8427" width="9.140625" style="1"/>
    <col min="8428" max="8428" width="19.7109375" style="1" customWidth="1"/>
    <col min="8429" max="8429" width="10.140625" style="1" customWidth="1"/>
    <col min="8430" max="8430" width="11" style="1" customWidth="1"/>
    <col min="8431" max="8431" width="10.7109375" style="1" customWidth="1"/>
    <col min="8432" max="8432" width="10.140625" style="1" customWidth="1"/>
    <col min="8433" max="8433" width="9.28515625" style="1" customWidth="1"/>
    <col min="8434" max="8434" width="11.7109375" style="1" customWidth="1"/>
    <col min="8435" max="8435" width="12.42578125" style="1" customWidth="1"/>
    <col min="8436" max="8436" width="12.85546875" style="1" customWidth="1"/>
    <col min="8437" max="8437" width="10.42578125" style="1" customWidth="1"/>
    <col min="8438" max="8438" width="11.42578125" style="1" customWidth="1"/>
    <col min="8439" max="8439" width="10.85546875" style="1" customWidth="1"/>
    <col min="8440" max="8440" width="12.140625" style="1" customWidth="1"/>
    <col min="8441" max="8683" width="9.140625" style="1"/>
    <col min="8684" max="8684" width="19.7109375" style="1" customWidth="1"/>
    <col min="8685" max="8685" width="10.140625" style="1" customWidth="1"/>
    <col min="8686" max="8686" width="11" style="1" customWidth="1"/>
    <col min="8687" max="8687" width="10.7109375" style="1" customWidth="1"/>
    <col min="8688" max="8688" width="10.140625" style="1" customWidth="1"/>
    <col min="8689" max="8689" width="9.28515625" style="1" customWidth="1"/>
    <col min="8690" max="8690" width="11.7109375" style="1" customWidth="1"/>
    <col min="8691" max="8691" width="12.42578125" style="1" customWidth="1"/>
    <col min="8692" max="8692" width="12.85546875" style="1" customWidth="1"/>
    <col min="8693" max="8693" width="10.42578125" style="1" customWidth="1"/>
    <col min="8694" max="8694" width="11.42578125" style="1" customWidth="1"/>
    <col min="8695" max="8695" width="10.85546875" style="1" customWidth="1"/>
    <col min="8696" max="8696" width="12.140625" style="1" customWidth="1"/>
    <col min="8697" max="8939" width="9.140625" style="1"/>
    <col min="8940" max="8940" width="19.7109375" style="1" customWidth="1"/>
    <col min="8941" max="8941" width="10.140625" style="1" customWidth="1"/>
    <col min="8942" max="8942" width="11" style="1" customWidth="1"/>
    <col min="8943" max="8943" width="10.7109375" style="1" customWidth="1"/>
    <col min="8944" max="8944" width="10.140625" style="1" customWidth="1"/>
    <col min="8945" max="8945" width="9.28515625" style="1" customWidth="1"/>
    <col min="8946" max="8946" width="11.7109375" style="1" customWidth="1"/>
    <col min="8947" max="8947" width="12.42578125" style="1" customWidth="1"/>
    <col min="8948" max="8948" width="12.85546875" style="1" customWidth="1"/>
    <col min="8949" max="8949" width="10.42578125" style="1" customWidth="1"/>
    <col min="8950" max="8950" width="11.42578125" style="1" customWidth="1"/>
    <col min="8951" max="8951" width="10.85546875" style="1" customWidth="1"/>
    <col min="8952" max="8952" width="12.140625" style="1" customWidth="1"/>
    <col min="8953" max="9195" width="9.140625" style="1"/>
    <col min="9196" max="9196" width="19.7109375" style="1" customWidth="1"/>
    <col min="9197" max="9197" width="10.140625" style="1" customWidth="1"/>
    <col min="9198" max="9198" width="11" style="1" customWidth="1"/>
    <col min="9199" max="9199" width="10.7109375" style="1" customWidth="1"/>
    <col min="9200" max="9200" width="10.140625" style="1" customWidth="1"/>
    <col min="9201" max="9201" width="9.28515625" style="1" customWidth="1"/>
    <col min="9202" max="9202" width="11.7109375" style="1" customWidth="1"/>
    <col min="9203" max="9203" width="12.42578125" style="1" customWidth="1"/>
    <col min="9204" max="9204" width="12.85546875" style="1" customWidth="1"/>
    <col min="9205" max="9205" width="10.42578125" style="1" customWidth="1"/>
    <col min="9206" max="9206" width="11.42578125" style="1" customWidth="1"/>
    <col min="9207" max="9207" width="10.85546875" style="1" customWidth="1"/>
    <col min="9208" max="9208" width="12.140625" style="1" customWidth="1"/>
    <col min="9209" max="9451" width="9.140625" style="1"/>
    <col min="9452" max="9452" width="19.7109375" style="1" customWidth="1"/>
    <col min="9453" max="9453" width="10.140625" style="1" customWidth="1"/>
    <col min="9454" max="9454" width="11" style="1" customWidth="1"/>
    <col min="9455" max="9455" width="10.7109375" style="1" customWidth="1"/>
    <col min="9456" max="9456" width="10.140625" style="1" customWidth="1"/>
    <col min="9457" max="9457" width="9.28515625" style="1" customWidth="1"/>
    <col min="9458" max="9458" width="11.7109375" style="1" customWidth="1"/>
    <col min="9459" max="9459" width="12.42578125" style="1" customWidth="1"/>
    <col min="9460" max="9460" width="12.85546875" style="1" customWidth="1"/>
    <col min="9461" max="9461" width="10.42578125" style="1" customWidth="1"/>
    <col min="9462" max="9462" width="11.42578125" style="1" customWidth="1"/>
    <col min="9463" max="9463" width="10.85546875" style="1" customWidth="1"/>
    <col min="9464" max="9464" width="12.140625" style="1" customWidth="1"/>
    <col min="9465" max="9707" width="9.140625" style="1"/>
    <col min="9708" max="9708" width="19.7109375" style="1" customWidth="1"/>
    <col min="9709" max="9709" width="10.140625" style="1" customWidth="1"/>
    <col min="9710" max="9710" width="11" style="1" customWidth="1"/>
    <col min="9711" max="9711" width="10.7109375" style="1" customWidth="1"/>
    <col min="9712" max="9712" width="10.140625" style="1" customWidth="1"/>
    <col min="9713" max="9713" width="9.28515625" style="1" customWidth="1"/>
    <col min="9714" max="9714" width="11.7109375" style="1" customWidth="1"/>
    <col min="9715" max="9715" width="12.42578125" style="1" customWidth="1"/>
    <col min="9716" max="9716" width="12.85546875" style="1" customWidth="1"/>
    <col min="9717" max="9717" width="10.42578125" style="1" customWidth="1"/>
    <col min="9718" max="9718" width="11.42578125" style="1" customWidth="1"/>
    <col min="9719" max="9719" width="10.85546875" style="1" customWidth="1"/>
    <col min="9720" max="9720" width="12.140625" style="1" customWidth="1"/>
    <col min="9721" max="9963" width="9.140625" style="1"/>
    <col min="9964" max="9964" width="19.7109375" style="1" customWidth="1"/>
    <col min="9965" max="9965" width="10.140625" style="1" customWidth="1"/>
    <col min="9966" max="9966" width="11" style="1" customWidth="1"/>
    <col min="9967" max="9967" width="10.7109375" style="1" customWidth="1"/>
    <col min="9968" max="9968" width="10.140625" style="1" customWidth="1"/>
    <col min="9969" max="9969" width="9.28515625" style="1" customWidth="1"/>
    <col min="9970" max="9970" width="11.7109375" style="1" customWidth="1"/>
    <col min="9971" max="9971" width="12.42578125" style="1" customWidth="1"/>
    <col min="9972" max="9972" width="12.85546875" style="1" customWidth="1"/>
    <col min="9973" max="9973" width="10.42578125" style="1" customWidth="1"/>
    <col min="9974" max="9974" width="11.42578125" style="1" customWidth="1"/>
    <col min="9975" max="9975" width="10.85546875" style="1" customWidth="1"/>
    <col min="9976" max="9976" width="12.140625" style="1" customWidth="1"/>
    <col min="9977" max="10219" width="9.140625" style="1"/>
    <col min="10220" max="10220" width="19.7109375" style="1" customWidth="1"/>
    <col min="10221" max="10221" width="10.140625" style="1" customWidth="1"/>
    <col min="10222" max="10222" width="11" style="1" customWidth="1"/>
    <col min="10223" max="10223" width="10.7109375" style="1" customWidth="1"/>
    <col min="10224" max="10224" width="10.140625" style="1" customWidth="1"/>
    <col min="10225" max="10225" width="9.28515625" style="1" customWidth="1"/>
    <col min="10226" max="10226" width="11.7109375" style="1" customWidth="1"/>
    <col min="10227" max="10227" width="12.42578125" style="1" customWidth="1"/>
    <col min="10228" max="10228" width="12.85546875" style="1" customWidth="1"/>
    <col min="10229" max="10229" width="10.42578125" style="1" customWidth="1"/>
    <col min="10230" max="10230" width="11.42578125" style="1" customWidth="1"/>
    <col min="10231" max="10231" width="10.85546875" style="1" customWidth="1"/>
    <col min="10232" max="10232" width="12.140625" style="1" customWidth="1"/>
    <col min="10233" max="10475" width="9.140625" style="1"/>
    <col min="10476" max="10476" width="19.7109375" style="1" customWidth="1"/>
    <col min="10477" max="10477" width="10.140625" style="1" customWidth="1"/>
    <col min="10478" max="10478" width="11" style="1" customWidth="1"/>
    <col min="10479" max="10479" width="10.7109375" style="1" customWidth="1"/>
    <col min="10480" max="10480" width="10.140625" style="1" customWidth="1"/>
    <col min="10481" max="10481" width="9.28515625" style="1" customWidth="1"/>
    <col min="10482" max="10482" width="11.7109375" style="1" customWidth="1"/>
    <col min="10483" max="10483" width="12.42578125" style="1" customWidth="1"/>
    <col min="10484" max="10484" width="12.85546875" style="1" customWidth="1"/>
    <col min="10485" max="10485" width="10.42578125" style="1" customWidth="1"/>
    <col min="10486" max="10486" width="11.42578125" style="1" customWidth="1"/>
    <col min="10487" max="10487" width="10.85546875" style="1" customWidth="1"/>
    <col min="10488" max="10488" width="12.140625" style="1" customWidth="1"/>
    <col min="10489" max="10731" width="9.140625" style="1"/>
    <col min="10732" max="10732" width="19.7109375" style="1" customWidth="1"/>
    <col min="10733" max="10733" width="10.140625" style="1" customWidth="1"/>
    <col min="10734" max="10734" width="11" style="1" customWidth="1"/>
    <col min="10735" max="10735" width="10.7109375" style="1" customWidth="1"/>
    <col min="10736" max="10736" width="10.140625" style="1" customWidth="1"/>
    <col min="10737" max="10737" width="9.28515625" style="1" customWidth="1"/>
    <col min="10738" max="10738" width="11.7109375" style="1" customWidth="1"/>
    <col min="10739" max="10739" width="12.42578125" style="1" customWidth="1"/>
    <col min="10740" max="10740" width="12.85546875" style="1" customWidth="1"/>
    <col min="10741" max="10741" width="10.42578125" style="1" customWidth="1"/>
    <col min="10742" max="10742" width="11.42578125" style="1" customWidth="1"/>
    <col min="10743" max="10743" width="10.85546875" style="1" customWidth="1"/>
    <col min="10744" max="10744" width="12.140625" style="1" customWidth="1"/>
    <col min="10745" max="10987" width="9.140625" style="1"/>
    <col min="10988" max="10988" width="19.7109375" style="1" customWidth="1"/>
    <col min="10989" max="10989" width="10.140625" style="1" customWidth="1"/>
    <col min="10990" max="10990" width="11" style="1" customWidth="1"/>
    <col min="10991" max="10991" width="10.7109375" style="1" customWidth="1"/>
    <col min="10992" max="10992" width="10.140625" style="1" customWidth="1"/>
    <col min="10993" max="10993" width="9.28515625" style="1" customWidth="1"/>
    <col min="10994" max="10994" width="11.7109375" style="1" customWidth="1"/>
    <col min="10995" max="10995" width="12.42578125" style="1" customWidth="1"/>
    <col min="10996" max="10996" width="12.85546875" style="1" customWidth="1"/>
    <col min="10997" max="10997" width="10.42578125" style="1" customWidth="1"/>
    <col min="10998" max="10998" width="11.42578125" style="1" customWidth="1"/>
    <col min="10999" max="10999" width="10.85546875" style="1" customWidth="1"/>
    <col min="11000" max="11000" width="12.140625" style="1" customWidth="1"/>
    <col min="11001" max="11243" width="9.140625" style="1"/>
    <col min="11244" max="11244" width="19.7109375" style="1" customWidth="1"/>
    <col min="11245" max="11245" width="10.140625" style="1" customWidth="1"/>
    <col min="11246" max="11246" width="11" style="1" customWidth="1"/>
    <col min="11247" max="11247" width="10.7109375" style="1" customWidth="1"/>
    <col min="11248" max="11248" width="10.140625" style="1" customWidth="1"/>
    <col min="11249" max="11249" width="9.28515625" style="1" customWidth="1"/>
    <col min="11250" max="11250" width="11.7109375" style="1" customWidth="1"/>
    <col min="11251" max="11251" width="12.42578125" style="1" customWidth="1"/>
    <col min="11252" max="11252" width="12.85546875" style="1" customWidth="1"/>
    <col min="11253" max="11253" width="10.42578125" style="1" customWidth="1"/>
    <col min="11254" max="11254" width="11.42578125" style="1" customWidth="1"/>
    <col min="11255" max="11255" width="10.85546875" style="1" customWidth="1"/>
    <col min="11256" max="11256" width="12.140625" style="1" customWidth="1"/>
    <col min="11257" max="11499" width="9.140625" style="1"/>
    <col min="11500" max="11500" width="19.7109375" style="1" customWidth="1"/>
    <col min="11501" max="11501" width="10.140625" style="1" customWidth="1"/>
    <col min="11502" max="11502" width="11" style="1" customWidth="1"/>
    <col min="11503" max="11503" width="10.7109375" style="1" customWidth="1"/>
    <col min="11504" max="11504" width="10.140625" style="1" customWidth="1"/>
    <col min="11505" max="11505" width="9.28515625" style="1" customWidth="1"/>
    <col min="11506" max="11506" width="11.7109375" style="1" customWidth="1"/>
    <col min="11507" max="11507" width="12.42578125" style="1" customWidth="1"/>
    <col min="11508" max="11508" width="12.85546875" style="1" customWidth="1"/>
    <col min="11509" max="11509" width="10.42578125" style="1" customWidth="1"/>
    <col min="11510" max="11510" width="11.42578125" style="1" customWidth="1"/>
    <col min="11511" max="11511" width="10.85546875" style="1" customWidth="1"/>
    <col min="11512" max="11512" width="12.140625" style="1" customWidth="1"/>
    <col min="11513" max="11755" width="9.140625" style="1"/>
    <col min="11756" max="11756" width="19.7109375" style="1" customWidth="1"/>
    <col min="11757" max="11757" width="10.140625" style="1" customWidth="1"/>
    <col min="11758" max="11758" width="11" style="1" customWidth="1"/>
    <col min="11759" max="11759" width="10.7109375" style="1" customWidth="1"/>
    <col min="11760" max="11760" width="10.140625" style="1" customWidth="1"/>
    <col min="11761" max="11761" width="9.28515625" style="1" customWidth="1"/>
    <col min="11762" max="11762" width="11.7109375" style="1" customWidth="1"/>
    <col min="11763" max="11763" width="12.42578125" style="1" customWidth="1"/>
    <col min="11764" max="11764" width="12.85546875" style="1" customWidth="1"/>
    <col min="11765" max="11765" width="10.42578125" style="1" customWidth="1"/>
    <col min="11766" max="11766" width="11.42578125" style="1" customWidth="1"/>
    <col min="11767" max="11767" width="10.85546875" style="1" customWidth="1"/>
    <col min="11768" max="11768" width="12.140625" style="1" customWidth="1"/>
    <col min="11769" max="12011" width="9.140625" style="1"/>
    <col min="12012" max="12012" width="19.7109375" style="1" customWidth="1"/>
    <col min="12013" max="12013" width="10.140625" style="1" customWidth="1"/>
    <col min="12014" max="12014" width="11" style="1" customWidth="1"/>
    <col min="12015" max="12015" width="10.7109375" style="1" customWidth="1"/>
    <col min="12016" max="12016" width="10.140625" style="1" customWidth="1"/>
    <col min="12017" max="12017" width="9.28515625" style="1" customWidth="1"/>
    <col min="12018" max="12018" width="11.7109375" style="1" customWidth="1"/>
    <col min="12019" max="12019" width="12.42578125" style="1" customWidth="1"/>
    <col min="12020" max="12020" width="12.85546875" style="1" customWidth="1"/>
    <col min="12021" max="12021" width="10.42578125" style="1" customWidth="1"/>
    <col min="12022" max="12022" width="11.42578125" style="1" customWidth="1"/>
    <col min="12023" max="12023" width="10.85546875" style="1" customWidth="1"/>
    <col min="12024" max="12024" width="12.140625" style="1" customWidth="1"/>
    <col min="12025" max="12267" width="9.140625" style="1"/>
    <col min="12268" max="12268" width="19.7109375" style="1" customWidth="1"/>
    <col min="12269" max="12269" width="10.140625" style="1" customWidth="1"/>
    <col min="12270" max="12270" width="11" style="1" customWidth="1"/>
    <col min="12271" max="12271" width="10.7109375" style="1" customWidth="1"/>
    <col min="12272" max="12272" width="10.140625" style="1" customWidth="1"/>
    <col min="12273" max="12273" width="9.28515625" style="1" customWidth="1"/>
    <col min="12274" max="12274" width="11.7109375" style="1" customWidth="1"/>
    <col min="12275" max="12275" width="12.42578125" style="1" customWidth="1"/>
    <col min="12276" max="12276" width="12.85546875" style="1" customWidth="1"/>
    <col min="12277" max="12277" width="10.42578125" style="1" customWidth="1"/>
    <col min="12278" max="12278" width="11.42578125" style="1" customWidth="1"/>
    <col min="12279" max="12279" width="10.85546875" style="1" customWidth="1"/>
    <col min="12280" max="12280" width="12.140625" style="1" customWidth="1"/>
    <col min="12281" max="12523" width="9.140625" style="1"/>
    <col min="12524" max="12524" width="19.7109375" style="1" customWidth="1"/>
    <col min="12525" max="12525" width="10.140625" style="1" customWidth="1"/>
    <col min="12526" max="12526" width="11" style="1" customWidth="1"/>
    <col min="12527" max="12527" width="10.7109375" style="1" customWidth="1"/>
    <col min="12528" max="12528" width="10.140625" style="1" customWidth="1"/>
    <col min="12529" max="12529" width="9.28515625" style="1" customWidth="1"/>
    <col min="12530" max="12530" width="11.7109375" style="1" customWidth="1"/>
    <col min="12531" max="12531" width="12.42578125" style="1" customWidth="1"/>
    <col min="12532" max="12532" width="12.85546875" style="1" customWidth="1"/>
    <col min="12533" max="12533" width="10.42578125" style="1" customWidth="1"/>
    <col min="12534" max="12534" width="11.42578125" style="1" customWidth="1"/>
    <col min="12535" max="12535" width="10.85546875" style="1" customWidth="1"/>
    <col min="12536" max="12536" width="12.140625" style="1" customWidth="1"/>
    <col min="12537" max="12779" width="9.140625" style="1"/>
    <col min="12780" max="12780" width="19.7109375" style="1" customWidth="1"/>
    <col min="12781" max="12781" width="10.140625" style="1" customWidth="1"/>
    <col min="12782" max="12782" width="11" style="1" customWidth="1"/>
    <col min="12783" max="12783" width="10.7109375" style="1" customWidth="1"/>
    <col min="12784" max="12784" width="10.140625" style="1" customWidth="1"/>
    <col min="12785" max="12785" width="9.28515625" style="1" customWidth="1"/>
    <col min="12786" max="12786" width="11.7109375" style="1" customWidth="1"/>
    <col min="12787" max="12787" width="12.42578125" style="1" customWidth="1"/>
    <col min="12788" max="12788" width="12.85546875" style="1" customWidth="1"/>
    <col min="12789" max="12789" width="10.42578125" style="1" customWidth="1"/>
    <col min="12790" max="12790" width="11.42578125" style="1" customWidth="1"/>
    <col min="12791" max="12791" width="10.85546875" style="1" customWidth="1"/>
    <col min="12792" max="12792" width="12.140625" style="1" customWidth="1"/>
    <col min="12793" max="13035" width="9.140625" style="1"/>
    <col min="13036" max="13036" width="19.7109375" style="1" customWidth="1"/>
    <col min="13037" max="13037" width="10.140625" style="1" customWidth="1"/>
    <col min="13038" max="13038" width="11" style="1" customWidth="1"/>
    <col min="13039" max="13039" width="10.7109375" style="1" customWidth="1"/>
    <col min="13040" max="13040" width="10.140625" style="1" customWidth="1"/>
    <col min="13041" max="13041" width="9.28515625" style="1" customWidth="1"/>
    <col min="13042" max="13042" width="11.7109375" style="1" customWidth="1"/>
    <col min="13043" max="13043" width="12.42578125" style="1" customWidth="1"/>
    <col min="13044" max="13044" width="12.85546875" style="1" customWidth="1"/>
    <col min="13045" max="13045" width="10.42578125" style="1" customWidth="1"/>
    <col min="13046" max="13046" width="11.42578125" style="1" customWidth="1"/>
    <col min="13047" max="13047" width="10.85546875" style="1" customWidth="1"/>
    <col min="13048" max="13048" width="12.140625" style="1" customWidth="1"/>
    <col min="13049" max="13291" width="9.140625" style="1"/>
    <col min="13292" max="13292" width="19.7109375" style="1" customWidth="1"/>
    <col min="13293" max="13293" width="10.140625" style="1" customWidth="1"/>
    <col min="13294" max="13294" width="11" style="1" customWidth="1"/>
    <col min="13295" max="13295" width="10.7109375" style="1" customWidth="1"/>
    <col min="13296" max="13296" width="10.140625" style="1" customWidth="1"/>
    <col min="13297" max="13297" width="9.28515625" style="1" customWidth="1"/>
    <col min="13298" max="13298" width="11.7109375" style="1" customWidth="1"/>
    <col min="13299" max="13299" width="12.42578125" style="1" customWidth="1"/>
    <col min="13300" max="13300" width="12.85546875" style="1" customWidth="1"/>
    <col min="13301" max="13301" width="10.42578125" style="1" customWidth="1"/>
    <col min="13302" max="13302" width="11.42578125" style="1" customWidth="1"/>
    <col min="13303" max="13303" width="10.85546875" style="1" customWidth="1"/>
    <col min="13304" max="13304" width="12.140625" style="1" customWidth="1"/>
    <col min="13305" max="13547" width="9.140625" style="1"/>
    <col min="13548" max="13548" width="19.7109375" style="1" customWidth="1"/>
    <col min="13549" max="13549" width="10.140625" style="1" customWidth="1"/>
    <col min="13550" max="13550" width="11" style="1" customWidth="1"/>
    <col min="13551" max="13551" width="10.7109375" style="1" customWidth="1"/>
    <col min="13552" max="13552" width="10.140625" style="1" customWidth="1"/>
    <col min="13553" max="13553" width="9.28515625" style="1" customWidth="1"/>
    <col min="13554" max="13554" width="11.7109375" style="1" customWidth="1"/>
    <col min="13555" max="13555" width="12.42578125" style="1" customWidth="1"/>
    <col min="13556" max="13556" width="12.85546875" style="1" customWidth="1"/>
    <col min="13557" max="13557" width="10.42578125" style="1" customWidth="1"/>
    <col min="13558" max="13558" width="11.42578125" style="1" customWidth="1"/>
    <col min="13559" max="13559" width="10.85546875" style="1" customWidth="1"/>
    <col min="13560" max="13560" width="12.140625" style="1" customWidth="1"/>
    <col min="13561" max="13803" width="9.140625" style="1"/>
    <col min="13804" max="13804" width="19.7109375" style="1" customWidth="1"/>
    <col min="13805" max="13805" width="10.140625" style="1" customWidth="1"/>
    <col min="13806" max="13806" width="11" style="1" customWidth="1"/>
    <col min="13807" max="13807" width="10.7109375" style="1" customWidth="1"/>
    <col min="13808" max="13808" width="10.140625" style="1" customWidth="1"/>
    <col min="13809" max="13809" width="9.28515625" style="1" customWidth="1"/>
    <col min="13810" max="13810" width="11.7109375" style="1" customWidth="1"/>
    <col min="13811" max="13811" width="12.42578125" style="1" customWidth="1"/>
    <col min="13812" max="13812" width="12.85546875" style="1" customWidth="1"/>
    <col min="13813" max="13813" width="10.42578125" style="1" customWidth="1"/>
    <col min="13814" max="13814" width="11.42578125" style="1" customWidth="1"/>
    <col min="13815" max="13815" width="10.85546875" style="1" customWidth="1"/>
    <col min="13816" max="13816" width="12.140625" style="1" customWidth="1"/>
    <col min="13817" max="14059" width="9.140625" style="1"/>
    <col min="14060" max="14060" width="19.7109375" style="1" customWidth="1"/>
    <col min="14061" max="14061" width="10.140625" style="1" customWidth="1"/>
    <col min="14062" max="14062" width="11" style="1" customWidth="1"/>
    <col min="14063" max="14063" width="10.7109375" style="1" customWidth="1"/>
    <col min="14064" max="14064" width="10.140625" style="1" customWidth="1"/>
    <col min="14065" max="14065" width="9.28515625" style="1" customWidth="1"/>
    <col min="14066" max="14066" width="11.7109375" style="1" customWidth="1"/>
    <col min="14067" max="14067" width="12.42578125" style="1" customWidth="1"/>
    <col min="14068" max="14068" width="12.85546875" style="1" customWidth="1"/>
    <col min="14069" max="14069" width="10.42578125" style="1" customWidth="1"/>
    <col min="14070" max="14070" width="11.42578125" style="1" customWidth="1"/>
    <col min="14071" max="14071" width="10.85546875" style="1" customWidth="1"/>
    <col min="14072" max="14072" width="12.140625" style="1" customWidth="1"/>
    <col min="14073" max="14315" width="9.140625" style="1"/>
    <col min="14316" max="14316" width="19.7109375" style="1" customWidth="1"/>
    <col min="14317" max="14317" width="10.140625" style="1" customWidth="1"/>
    <col min="14318" max="14318" width="11" style="1" customWidth="1"/>
    <col min="14319" max="14319" width="10.7109375" style="1" customWidth="1"/>
    <col min="14320" max="14320" width="10.140625" style="1" customWidth="1"/>
    <col min="14321" max="14321" width="9.28515625" style="1" customWidth="1"/>
    <col min="14322" max="14322" width="11.7109375" style="1" customWidth="1"/>
    <col min="14323" max="14323" width="12.42578125" style="1" customWidth="1"/>
    <col min="14324" max="14324" width="12.85546875" style="1" customWidth="1"/>
    <col min="14325" max="14325" width="10.42578125" style="1" customWidth="1"/>
    <col min="14326" max="14326" width="11.42578125" style="1" customWidth="1"/>
    <col min="14327" max="14327" width="10.85546875" style="1" customWidth="1"/>
    <col min="14328" max="14328" width="12.140625" style="1" customWidth="1"/>
    <col min="14329" max="14571" width="9.140625" style="1"/>
    <col min="14572" max="14572" width="19.7109375" style="1" customWidth="1"/>
    <col min="14573" max="14573" width="10.140625" style="1" customWidth="1"/>
    <col min="14574" max="14574" width="11" style="1" customWidth="1"/>
    <col min="14575" max="14575" width="10.7109375" style="1" customWidth="1"/>
    <col min="14576" max="14576" width="10.140625" style="1" customWidth="1"/>
    <col min="14577" max="14577" width="9.28515625" style="1" customWidth="1"/>
    <col min="14578" max="14578" width="11.7109375" style="1" customWidth="1"/>
    <col min="14579" max="14579" width="12.42578125" style="1" customWidth="1"/>
    <col min="14580" max="14580" width="12.85546875" style="1" customWidth="1"/>
    <col min="14581" max="14581" width="10.42578125" style="1" customWidth="1"/>
    <col min="14582" max="14582" width="11.42578125" style="1" customWidth="1"/>
    <col min="14583" max="14583" width="10.85546875" style="1" customWidth="1"/>
    <col min="14584" max="14584" width="12.140625" style="1" customWidth="1"/>
    <col min="14585" max="14827" width="9.140625" style="1"/>
    <col min="14828" max="14828" width="19.7109375" style="1" customWidth="1"/>
    <col min="14829" max="14829" width="10.140625" style="1" customWidth="1"/>
    <col min="14830" max="14830" width="11" style="1" customWidth="1"/>
    <col min="14831" max="14831" width="10.7109375" style="1" customWidth="1"/>
    <col min="14832" max="14832" width="10.140625" style="1" customWidth="1"/>
    <col min="14833" max="14833" width="9.28515625" style="1" customWidth="1"/>
    <col min="14834" max="14834" width="11.7109375" style="1" customWidth="1"/>
    <col min="14835" max="14835" width="12.42578125" style="1" customWidth="1"/>
    <col min="14836" max="14836" width="12.85546875" style="1" customWidth="1"/>
    <col min="14837" max="14837" width="10.42578125" style="1" customWidth="1"/>
    <col min="14838" max="14838" width="11.42578125" style="1" customWidth="1"/>
    <col min="14839" max="14839" width="10.85546875" style="1" customWidth="1"/>
    <col min="14840" max="14840" width="12.140625" style="1" customWidth="1"/>
    <col min="14841" max="15083" width="9.140625" style="1"/>
    <col min="15084" max="15084" width="19.7109375" style="1" customWidth="1"/>
    <col min="15085" max="15085" width="10.140625" style="1" customWidth="1"/>
    <col min="15086" max="15086" width="11" style="1" customWidth="1"/>
    <col min="15087" max="15087" width="10.7109375" style="1" customWidth="1"/>
    <col min="15088" max="15088" width="10.140625" style="1" customWidth="1"/>
    <col min="15089" max="15089" width="9.28515625" style="1" customWidth="1"/>
    <col min="15090" max="15090" width="11.7109375" style="1" customWidth="1"/>
    <col min="15091" max="15091" width="12.42578125" style="1" customWidth="1"/>
    <col min="15092" max="15092" width="12.85546875" style="1" customWidth="1"/>
    <col min="15093" max="15093" width="10.42578125" style="1" customWidth="1"/>
    <col min="15094" max="15094" width="11.42578125" style="1" customWidth="1"/>
    <col min="15095" max="15095" width="10.85546875" style="1" customWidth="1"/>
    <col min="15096" max="15096" width="12.140625" style="1" customWidth="1"/>
    <col min="15097" max="15339" width="9.140625" style="1"/>
    <col min="15340" max="15340" width="19.7109375" style="1" customWidth="1"/>
    <col min="15341" max="15341" width="10.140625" style="1" customWidth="1"/>
    <col min="15342" max="15342" width="11" style="1" customWidth="1"/>
    <col min="15343" max="15343" width="10.7109375" style="1" customWidth="1"/>
    <col min="15344" max="15344" width="10.140625" style="1" customWidth="1"/>
    <col min="15345" max="15345" width="9.28515625" style="1" customWidth="1"/>
    <col min="15346" max="15346" width="11.7109375" style="1" customWidth="1"/>
    <col min="15347" max="15347" width="12.42578125" style="1" customWidth="1"/>
    <col min="15348" max="15348" width="12.85546875" style="1" customWidth="1"/>
    <col min="15349" max="15349" width="10.42578125" style="1" customWidth="1"/>
    <col min="15350" max="15350" width="11.42578125" style="1" customWidth="1"/>
    <col min="15351" max="15351" width="10.85546875" style="1" customWidth="1"/>
    <col min="15352" max="15352" width="12.140625" style="1" customWidth="1"/>
    <col min="15353" max="15595" width="9.140625" style="1"/>
    <col min="15596" max="15596" width="19.7109375" style="1" customWidth="1"/>
    <col min="15597" max="15597" width="10.140625" style="1" customWidth="1"/>
    <col min="15598" max="15598" width="11" style="1" customWidth="1"/>
    <col min="15599" max="15599" width="10.7109375" style="1" customWidth="1"/>
    <col min="15600" max="15600" width="10.140625" style="1" customWidth="1"/>
    <col min="15601" max="15601" width="9.28515625" style="1" customWidth="1"/>
    <col min="15602" max="15602" width="11.7109375" style="1" customWidth="1"/>
    <col min="15603" max="15603" width="12.42578125" style="1" customWidth="1"/>
    <col min="15604" max="15604" width="12.85546875" style="1" customWidth="1"/>
    <col min="15605" max="15605" width="10.42578125" style="1" customWidth="1"/>
    <col min="15606" max="15606" width="11.42578125" style="1" customWidth="1"/>
    <col min="15607" max="15607" width="10.85546875" style="1" customWidth="1"/>
    <col min="15608" max="15608" width="12.140625" style="1" customWidth="1"/>
    <col min="15609" max="15851" width="9.140625" style="1"/>
    <col min="15852" max="15852" width="19.7109375" style="1" customWidth="1"/>
    <col min="15853" max="15853" width="10.140625" style="1" customWidth="1"/>
    <col min="15854" max="15854" width="11" style="1" customWidth="1"/>
    <col min="15855" max="15855" width="10.7109375" style="1" customWidth="1"/>
    <col min="15856" max="15856" width="10.140625" style="1" customWidth="1"/>
    <col min="15857" max="15857" width="9.28515625" style="1" customWidth="1"/>
    <col min="15858" max="15858" width="11.7109375" style="1" customWidth="1"/>
    <col min="15859" max="15859" width="12.42578125" style="1" customWidth="1"/>
    <col min="15860" max="15860" width="12.85546875" style="1" customWidth="1"/>
    <col min="15861" max="15861" width="10.42578125" style="1" customWidth="1"/>
    <col min="15862" max="15862" width="11.42578125" style="1" customWidth="1"/>
    <col min="15863" max="15863" width="10.85546875" style="1" customWidth="1"/>
    <col min="15864" max="15864" width="12.140625" style="1" customWidth="1"/>
    <col min="15865" max="16107" width="9.140625" style="1"/>
    <col min="16108" max="16108" width="19.7109375" style="1" customWidth="1"/>
    <col min="16109" max="16109" width="10.140625" style="1" customWidth="1"/>
    <col min="16110" max="16110" width="11" style="1" customWidth="1"/>
    <col min="16111" max="16111" width="10.7109375" style="1" customWidth="1"/>
    <col min="16112" max="16112" width="10.140625" style="1" customWidth="1"/>
    <col min="16113" max="16113" width="9.28515625" style="1" customWidth="1"/>
    <col min="16114" max="16114" width="11.7109375" style="1" customWidth="1"/>
    <col min="16115" max="16115" width="12.42578125" style="1" customWidth="1"/>
    <col min="16116" max="16116" width="12.85546875" style="1" customWidth="1"/>
    <col min="16117" max="16117" width="10.42578125" style="1" customWidth="1"/>
    <col min="16118" max="16118" width="11.42578125" style="1" customWidth="1"/>
    <col min="16119" max="16119" width="10.85546875" style="1" customWidth="1"/>
    <col min="16120" max="16120" width="12.140625" style="1" customWidth="1"/>
    <col min="16121" max="16384" width="9.140625" style="1"/>
  </cols>
  <sheetData>
    <row r="1" spans="1:17" ht="18" customHeight="1" x14ac:dyDescent="0.2">
      <c r="A1" s="298" t="s">
        <v>1129</v>
      </c>
    </row>
    <row r="2" spans="1:17" ht="18" customHeight="1" x14ac:dyDescent="0.2">
      <c r="A2" s="106" t="s">
        <v>578</v>
      </c>
    </row>
    <row r="3" spans="1:17" ht="38.25" customHeight="1" x14ac:dyDescent="0.2">
      <c r="A3" s="120" t="s">
        <v>1031</v>
      </c>
      <c r="C3" s="120"/>
      <c r="D3" s="120"/>
      <c r="E3" s="120"/>
      <c r="F3" s="120"/>
      <c r="G3" s="120"/>
      <c r="H3" s="120"/>
      <c r="I3" s="120"/>
      <c r="J3" s="120"/>
      <c r="K3" s="120"/>
      <c r="L3" s="120"/>
      <c r="M3" s="120"/>
      <c r="N3" s="120"/>
      <c r="O3" s="120"/>
      <c r="P3" s="120"/>
    </row>
    <row r="4" spans="1:17" ht="15.75" customHeight="1" x14ac:dyDescent="0.25">
      <c r="A4" s="351" t="s">
        <v>579</v>
      </c>
      <c r="B4" s="1043" t="s">
        <v>1316</v>
      </c>
      <c r="D4" s="129"/>
      <c r="E4" s="129"/>
      <c r="F4" s="129"/>
      <c r="G4" s="129"/>
      <c r="H4" s="129"/>
      <c r="I4" s="129"/>
      <c r="J4" s="129"/>
      <c r="K4" s="129"/>
      <c r="L4" s="129"/>
      <c r="M4" s="129"/>
      <c r="N4" s="129"/>
      <c r="O4" s="129"/>
      <c r="P4" s="129"/>
    </row>
    <row r="5" spans="1:17" ht="15.75" customHeight="1" x14ac:dyDescent="0.25">
      <c r="A5" s="351" t="s">
        <v>580</v>
      </c>
      <c r="B5" s="351" t="s">
        <v>581</v>
      </c>
      <c r="C5" s="129"/>
      <c r="D5" s="129"/>
      <c r="E5" s="129"/>
      <c r="F5" s="129"/>
      <c r="G5" s="129"/>
      <c r="H5" s="129"/>
      <c r="I5" s="129"/>
      <c r="J5" s="129"/>
      <c r="K5" s="129"/>
      <c r="L5" s="129"/>
      <c r="M5" s="129"/>
      <c r="N5" s="129"/>
      <c r="O5" s="129"/>
      <c r="P5" s="129"/>
    </row>
    <row r="6" spans="1:17" ht="15.75" customHeight="1" x14ac:dyDescent="0.25">
      <c r="A6" s="351" t="s">
        <v>582</v>
      </c>
      <c r="B6" s="351" t="s">
        <v>585</v>
      </c>
      <c r="C6" s="129"/>
      <c r="D6" s="129"/>
      <c r="E6" s="129"/>
      <c r="F6" s="129"/>
      <c r="G6" s="129"/>
      <c r="H6" s="129"/>
      <c r="I6" s="129"/>
      <c r="J6" s="129"/>
      <c r="K6" s="129"/>
      <c r="L6" s="129"/>
      <c r="M6" s="129"/>
      <c r="N6" s="129"/>
      <c r="O6" s="129"/>
      <c r="P6" s="129"/>
    </row>
    <row r="7" spans="1:17" ht="15.75" customHeight="1" x14ac:dyDescent="0.2">
      <c r="B7" s="129"/>
      <c r="C7" s="129"/>
      <c r="D7" s="129"/>
      <c r="E7" s="129"/>
      <c r="F7" s="129"/>
      <c r="G7" s="129"/>
      <c r="H7" s="129"/>
      <c r="I7" s="129"/>
      <c r="J7" s="129"/>
      <c r="K7" s="129"/>
      <c r="L7" s="129"/>
      <c r="M7" s="129"/>
      <c r="N7" s="129"/>
      <c r="O7" s="129"/>
      <c r="P7" s="129"/>
    </row>
    <row r="8" spans="1:17" ht="15" x14ac:dyDescent="0.25">
      <c r="B8" s="2"/>
      <c r="N8" s="83" t="s">
        <v>0</v>
      </c>
      <c r="P8" s="61" t="s">
        <v>57</v>
      </c>
    </row>
    <row r="9" spans="1:17" x14ac:dyDescent="0.2">
      <c r="B9"/>
      <c r="C9" s="1288" t="s">
        <v>264</v>
      </c>
      <c r="D9" s="1289"/>
      <c r="E9" s="1289"/>
      <c r="F9" s="1289"/>
      <c r="G9" s="1289"/>
      <c r="H9" s="1289"/>
      <c r="I9" s="1289"/>
      <c r="J9" s="1289"/>
      <c r="K9" s="1289"/>
      <c r="L9" s="1289"/>
      <c r="M9" s="1290"/>
      <c r="N9" s="1330" t="s">
        <v>88</v>
      </c>
      <c r="O9" s="100"/>
      <c r="P9" s="1330" t="s">
        <v>126</v>
      </c>
    </row>
    <row r="10" spans="1:17" x14ac:dyDescent="0.2">
      <c r="B10"/>
      <c r="C10" s="1288" t="s">
        <v>8</v>
      </c>
      <c r="D10" s="1289"/>
      <c r="E10" s="1289"/>
      <c r="F10" s="1289"/>
      <c r="G10" s="1289"/>
      <c r="H10" s="1290"/>
      <c r="I10" s="1288" t="s">
        <v>10</v>
      </c>
      <c r="J10" s="1289"/>
      <c r="K10" s="1289"/>
      <c r="L10" s="1289"/>
      <c r="M10" s="1290"/>
      <c r="N10" s="1331"/>
      <c r="O10" s="100"/>
      <c r="P10" s="1331"/>
    </row>
    <row r="11" spans="1:17" ht="52.5" customHeight="1" x14ac:dyDescent="0.2">
      <c r="A11" s="2" t="s">
        <v>586</v>
      </c>
      <c r="B11" s="2" t="s">
        <v>22</v>
      </c>
      <c r="C11" s="496" t="s">
        <v>536</v>
      </c>
      <c r="D11" s="497" t="s">
        <v>537</v>
      </c>
      <c r="E11" s="497" t="s">
        <v>538</v>
      </c>
      <c r="F11" s="497" t="s">
        <v>82</v>
      </c>
      <c r="G11" s="497" t="s">
        <v>539</v>
      </c>
      <c r="H11" s="497" t="s">
        <v>91</v>
      </c>
      <c r="I11" s="497" t="s">
        <v>83</v>
      </c>
      <c r="J11" s="497" t="s">
        <v>84</v>
      </c>
      <c r="K11" s="497" t="s">
        <v>85</v>
      </c>
      <c r="L11" s="497" t="s">
        <v>86</v>
      </c>
      <c r="M11" s="498" t="s">
        <v>87</v>
      </c>
      <c r="N11" s="1331"/>
      <c r="O11" s="39"/>
      <c r="P11" s="1335"/>
    </row>
    <row r="12" spans="1:17" ht="18.75" customHeight="1" x14ac:dyDescent="0.2">
      <c r="A12" s="414" t="s">
        <v>587</v>
      </c>
      <c r="B12" s="400" t="s">
        <v>23</v>
      </c>
      <c r="C12" s="483">
        <f>T_09!C5</f>
        <v>10</v>
      </c>
      <c r="D12" s="483">
        <f>T_09!D5</f>
        <v>5</v>
      </c>
      <c r="E12" s="483">
        <f>T_09!E5</f>
        <v>0</v>
      </c>
      <c r="F12" s="483">
        <f>T_09!F5</f>
        <v>41</v>
      </c>
      <c r="G12" s="483">
        <f>T_09!G5</f>
        <v>1</v>
      </c>
      <c r="H12" s="483">
        <f>T_09!H5</f>
        <v>0</v>
      </c>
      <c r="I12" s="483">
        <f>T_09!I5</f>
        <v>15</v>
      </c>
      <c r="J12" s="483">
        <f>T_09!J5</f>
        <v>7</v>
      </c>
      <c r="K12" s="483">
        <f>T_09!K5</f>
        <v>9</v>
      </c>
      <c r="L12" s="483">
        <f>T_09!L5</f>
        <v>6</v>
      </c>
      <c r="M12" s="520">
        <f>SUM(I12:L12)</f>
        <v>37</v>
      </c>
      <c r="N12" s="521">
        <f>SUM(C12:L12)</f>
        <v>94</v>
      </c>
      <c r="O12" s="512"/>
      <c r="P12" s="513">
        <f>N12/T_09!B5*100000</f>
        <v>41.037282807997904</v>
      </c>
      <c r="Q12"/>
    </row>
    <row r="13" spans="1:17" ht="13.5" customHeight="1" x14ac:dyDescent="0.2">
      <c r="A13" s="1" t="s">
        <v>588</v>
      </c>
      <c r="B13" s="117" t="s">
        <v>24</v>
      </c>
      <c r="C13" s="236">
        <f>T_09!C6</f>
        <v>11</v>
      </c>
      <c r="D13" s="236">
        <f>T_09!D6</f>
        <v>11</v>
      </c>
      <c r="E13" s="236">
        <f>T_09!E6</f>
        <v>20</v>
      </c>
      <c r="F13" s="236">
        <f>T_09!F6</f>
        <v>24</v>
      </c>
      <c r="G13" s="236">
        <f>T_09!G6</f>
        <v>3</v>
      </c>
      <c r="H13" s="236">
        <f>T_09!H6</f>
        <v>2</v>
      </c>
      <c r="I13" s="236">
        <f>T_09!I6</f>
        <v>25</v>
      </c>
      <c r="J13" s="236">
        <f>T_09!J6</f>
        <v>4</v>
      </c>
      <c r="K13" s="236">
        <f>T_09!K6</f>
        <v>38</v>
      </c>
      <c r="L13" s="236">
        <f>T_09!L6</f>
        <v>5</v>
      </c>
      <c r="M13" s="519">
        <f t="shared" ref="M13:M43" si="0">SUM(I13:L13)</f>
        <v>72</v>
      </c>
      <c r="N13" s="518">
        <f t="shared" ref="N13:N42" si="1">SUM(C13:L13)</f>
        <v>143</v>
      </c>
      <c r="O13" s="512"/>
      <c r="P13" s="513">
        <f>N13/T_09!B6*100000</f>
        <v>54.83549351944167</v>
      </c>
      <c r="Q13"/>
    </row>
    <row r="14" spans="1:17" ht="13.5" customHeight="1" x14ac:dyDescent="0.2">
      <c r="A14" s="1" t="s">
        <v>589</v>
      </c>
      <c r="B14" s="117" t="s">
        <v>25</v>
      </c>
      <c r="C14" s="111">
        <f>T_09!C7</f>
        <v>9</v>
      </c>
      <c r="D14" s="111">
        <f>T_09!D7</f>
        <v>4</v>
      </c>
      <c r="E14" s="111">
        <f>T_09!E7</f>
        <v>7</v>
      </c>
      <c r="F14" s="111">
        <f>T_09!F7</f>
        <v>13</v>
      </c>
      <c r="G14" s="111">
        <f>T_09!G7</f>
        <v>0</v>
      </c>
      <c r="H14" s="111">
        <f>T_09!H7</f>
        <v>0</v>
      </c>
      <c r="I14" s="111">
        <f>T_09!I7</f>
        <v>7</v>
      </c>
      <c r="J14" s="111">
        <f>T_09!J7</f>
        <v>6</v>
      </c>
      <c r="K14" s="111">
        <f>T_09!K7</f>
        <v>12</v>
      </c>
      <c r="L14" s="111">
        <f>T_09!L7</f>
        <v>1</v>
      </c>
      <c r="M14" s="517">
        <f t="shared" si="0"/>
        <v>26</v>
      </c>
      <c r="N14" s="518">
        <f t="shared" si="1"/>
        <v>59</v>
      </c>
      <c r="O14" s="512"/>
      <c r="P14" s="513">
        <f>N14/T_09!B7*100000</f>
        <v>50.941115524089106</v>
      </c>
      <c r="Q14"/>
    </row>
    <row r="15" spans="1:17" ht="13.5" customHeight="1" x14ac:dyDescent="0.2">
      <c r="A15" s="1" t="s">
        <v>590</v>
      </c>
      <c r="B15" s="117" t="s">
        <v>26</v>
      </c>
      <c r="C15" s="236">
        <f>T_09!C8</f>
        <v>7</v>
      </c>
      <c r="D15" s="236">
        <f>T_09!D8</f>
        <v>5</v>
      </c>
      <c r="E15" s="236">
        <f>T_09!E8</f>
        <v>0</v>
      </c>
      <c r="F15" s="236">
        <f>T_09!F8</f>
        <v>7</v>
      </c>
      <c r="G15" s="236">
        <f>T_09!G8</f>
        <v>1</v>
      </c>
      <c r="H15" s="236">
        <f>T_09!H8</f>
        <v>0</v>
      </c>
      <c r="I15" s="236">
        <f>T_09!I8</f>
        <v>8</v>
      </c>
      <c r="J15" s="236">
        <f>T_09!J8</f>
        <v>2</v>
      </c>
      <c r="K15" s="236">
        <f>T_09!K8</f>
        <v>10</v>
      </c>
      <c r="L15" s="236">
        <f>T_09!L8</f>
        <v>0</v>
      </c>
      <c r="M15" s="519">
        <f t="shared" si="0"/>
        <v>20</v>
      </c>
      <c r="N15" s="518">
        <f t="shared" si="1"/>
        <v>40</v>
      </c>
      <c r="O15" s="512"/>
      <c r="P15" s="513">
        <f>N15/T_09!B8*100000</f>
        <v>46.821959499005033</v>
      </c>
      <c r="Q15"/>
    </row>
    <row r="16" spans="1:17" ht="13.5" customHeight="1" x14ac:dyDescent="0.2">
      <c r="A16" s="1" t="s">
        <v>591</v>
      </c>
      <c r="B16" s="117" t="s">
        <v>619</v>
      </c>
      <c r="C16" s="111">
        <f>T_09!C9</f>
        <v>39</v>
      </c>
      <c r="D16" s="111">
        <f>T_09!D9</f>
        <v>5</v>
      </c>
      <c r="E16" s="111">
        <f>T_09!E9</f>
        <v>8</v>
      </c>
      <c r="F16" s="111">
        <f>T_09!F9</f>
        <v>52</v>
      </c>
      <c r="G16" s="111">
        <f>T_09!G9</f>
        <v>1</v>
      </c>
      <c r="H16" s="111">
        <f>T_09!H9</f>
        <v>1</v>
      </c>
      <c r="I16" s="111">
        <f>T_09!I9</f>
        <v>65</v>
      </c>
      <c r="J16" s="111">
        <f>T_09!J9</f>
        <v>13</v>
      </c>
      <c r="K16" s="111">
        <f>T_09!K9</f>
        <v>36</v>
      </c>
      <c r="L16" s="111">
        <f>T_09!L9</f>
        <v>21</v>
      </c>
      <c r="M16" s="517">
        <f t="shared" si="0"/>
        <v>135</v>
      </c>
      <c r="N16" s="518">
        <f t="shared" si="1"/>
        <v>241</v>
      </c>
      <c r="O16" s="512"/>
      <c r="P16" s="513">
        <f>N16/T_09!B9*100000</f>
        <v>45.676812857738526</v>
      </c>
      <c r="Q16"/>
    </row>
    <row r="17" spans="1:17" ht="13.5" customHeight="1" x14ac:dyDescent="0.2">
      <c r="A17" s="1" t="s">
        <v>592</v>
      </c>
      <c r="B17" s="117" t="s">
        <v>27</v>
      </c>
      <c r="C17" s="236">
        <f>T_09!C10</f>
        <v>1</v>
      </c>
      <c r="D17" s="236">
        <f>T_09!D10</f>
        <v>3</v>
      </c>
      <c r="E17" s="236">
        <f>T_09!E10</f>
        <v>0</v>
      </c>
      <c r="F17" s="236">
        <f>T_09!F10</f>
        <v>4</v>
      </c>
      <c r="G17" s="236">
        <f>T_09!G10</f>
        <v>0</v>
      </c>
      <c r="H17" s="236">
        <f>T_09!H10</f>
        <v>0</v>
      </c>
      <c r="I17" s="236">
        <f>T_09!I10</f>
        <v>2</v>
      </c>
      <c r="J17" s="236">
        <f>T_09!J10</f>
        <v>1</v>
      </c>
      <c r="K17" s="236">
        <f>T_09!K10</f>
        <v>0</v>
      </c>
      <c r="L17" s="236">
        <f>T_09!L10</f>
        <v>0</v>
      </c>
      <c r="M17" s="517">
        <f t="shared" si="0"/>
        <v>3</v>
      </c>
      <c r="N17" s="518">
        <f t="shared" si="1"/>
        <v>11</v>
      </c>
      <c r="O17" s="512"/>
      <c r="P17" s="513">
        <f>N17/T_09!B10*100000</f>
        <v>21.446675765256387</v>
      </c>
      <c r="Q17"/>
    </row>
    <row r="18" spans="1:17" ht="13.5" customHeight="1" x14ac:dyDescent="0.2">
      <c r="A18" s="1" t="s">
        <v>593</v>
      </c>
      <c r="B18" s="117" t="s">
        <v>28</v>
      </c>
      <c r="C18" s="111">
        <f>T_09!C11</f>
        <v>11</v>
      </c>
      <c r="D18" s="111">
        <f>T_09!D11</f>
        <v>4</v>
      </c>
      <c r="E18" s="111">
        <f>T_09!E11</f>
        <v>4</v>
      </c>
      <c r="F18" s="111">
        <f>T_09!F11</f>
        <v>10</v>
      </c>
      <c r="G18" s="111">
        <f>T_09!G11</f>
        <v>1</v>
      </c>
      <c r="H18" s="111">
        <f>T_09!H11</f>
        <v>0</v>
      </c>
      <c r="I18" s="111">
        <f>T_09!I11</f>
        <v>15</v>
      </c>
      <c r="J18" s="111">
        <f>T_09!J11</f>
        <v>2</v>
      </c>
      <c r="K18" s="111">
        <f>T_09!K11</f>
        <v>26</v>
      </c>
      <c r="L18" s="111">
        <f>T_09!L11</f>
        <v>1</v>
      </c>
      <c r="M18" s="517">
        <f t="shared" si="0"/>
        <v>44</v>
      </c>
      <c r="N18" s="518">
        <f t="shared" si="1"/>
        <v>74</v>
      </c>
      <c r="O18" s="512"/>
      <c r="P18" s="513">
        <f>N18/T_09!B11*100000</f>
        <v>49.902218625665931</v>
      </c>
      <c r="Q18"/>
    </row>
    <row r="19" spans="1:17" ht="13.5" customHeight="1" x14ac:dyDescent="0.2">
      <c r="A19" s="1" t="s">
        <v>594</v>
      </c>
      <c r="B19" s="117" t="s">
        <v>29</v>
      </c>
      <c r="C19" s="236">
        <f>T_09!C12</f>
        <v>16</v>
      </c>
      <c r="D19" s="236">
        <f>T_09!D12</f>
        <v>2</v>
      </c>
      <c r="E19" s="236">
        <f>T_09!E12</f>
        <v>2</v>
      </c>
      <c r="F19" s="236">
        <f>T_09!F12</f>
        <v>17</v>
      </c>
      <c r="G19" s="236">
        <f>T_09!G12</f>
        <v>0</v>
      </c>
      <c r="H19" s="236">
        <f>T_09!H12</f>
        <v>1</v>
      </c>
      <c r="I19" s="236">
        <f>T_09!I12</f>
        <v>12</v>
      </c>
      <c r="J19" s="236">
        <f>T_09!J12</f>
        <v>11</v>
      </c>
      <c r="K19" s="236">
        <f>T_09!K12</f>
        <v>7</v>
      </c>
      <c r="L19" s="236">
        <f>T_09!L12</f>
        <v>2</v>
      </c>
      <c r="M19" s="517">
        <f t="shared" si="0"/>
        <v>32</v>
      </c>
      <c r="N19" s="518">
        <f t="shared" si="1"/>
        <v>70</v>
      </c>
      <c r="O19" s="512"/>
      <c r="P19" s="513">
        <f>N19/T_09!B12*100000</f>
        <v>47.036688617121357</v>
      </c>
      <c r="Q19"/>
    </row>
    <row r="20" spans="1:17" ht="13.5" customHeight="1" x14ac:dyDescent="0.2">
      <c r="A20" s="1" t="s">
        <v>595</v>
      </c>
      <c r="B20" s="117" t="s">
        <v>30</v>
      </c>
      <c r="C20" s="111">
        <f>T_09!C13</f>
        <v>15</v>
      </c>
      <c r="D20" s="111">
        <f>T_09!D13</f>
        <v>2</v>
      </c>
      <c r="E20" s="111">
        <f>T_09!E13</f>
        <v>1</v>
      </c>
      <c r="F20" s="111">
        <f>T_09!F13</f>
        <v>16</v>
      </c>
      <c r="G20" s="111">
        <f>T_09!G13</f>
        <v>0</v>
      </c>
      <c r="H20" s="111">
        <f>T_09!H13</f>
        <v>0</v>
      </c>
      <c r="I20" s="111">
        <f>T_09!I13</f>
        <v>28</v>
      </c>
      <c r="J20" s="111">
        <f>T_09!J13</f>
        <v>6</v>
      </c>
      <c r="K20" s="111">
        <f>T_09!K13</f>
        <v>11</v>
      </c>
      <c r="L20" s="111">
        <f>T_09!L13</f>
        <v>1</v>
      </c>
      <c r="M20" s="517">
        <f t="shared" si="0"/>
        <v>46</v>
      </c>
      <c r="N20" s="518">
        <f t="shared" si="1"/>
        <v>80</v>
      </c>
      <c r="O20" s="512"/>
      <c r="P20" s="513">
        <f>N20/T_09!B13*100000</f>
        <v>65.78947368421052</v>
      </c>
      <c r="Q20"/>
    </row>
    <row r="21" spans="1:17" ht="13.5" customHeight="1" x14ac:dyDescent="0.2">
      <c r="A21" s="1" t="s">
        <v>596</v>
      </c>
      <c r="B21" s="117" t="s">
        <v>31</v>
      </c>
      <c r="C21" s="236">
        <f>T_09!C14</f>
        <v>5</v>
      </c>
      <c r="D21" s="236">
        <f>T_09!D14</f>
        <v>0</v>
      </c>
      <c r="E21" s="236">
        <f>T_09!E14</f>
        <v>1</v>
      </c>
      <c r="F21" s="236">
        <f>T_09!F14</f>
        <v>2</v>
      </c>
      <c r="G21" s="236">
        <f>T_09!G14</f>
        <v>0</v>
      </c>
      <c r="H21" s="236">
        <f>T_09!H14</f>
        <v>0</v>
      </c>
      <c r="I21" s="236">
        <f>T_09!I14</f>
        <v>16</v>
      </c>
      <c r="J21" s="236">
        <f>T_09!J14</f>
        <v>4</v>
      </c>
      <c r="K21" s="236">
        <f>T_09!K14</f>
        <v>7</v>
      </c>
      <c r="L21" s="236">
        <f>T_09!L14</f>
        <v>0</v>
      </c>
      <c r="M21" s="517">
        <f t="shared" si="0"/>
        <v>27</v>
      </c>
      <c r="N21" s="518">
        <f t="shared" si="1"/>
        <v>35</v>
      </c>
      <c r="O21" s="512"/>
      <c r="P21" s="513">
        <f>N21/T_09!B14*100000</f>
        <v>32.183908045977013</v>
      </c>
      <c r="Q21"/>
    </row>
    <row r="22" spans="1:17" ht="13.5" customHeight="1" x14ac:dyDescent="0.2">
      <c r="A22" s="1" t="s">
        <v>597</v>
      </c>
      <c r="B22" s="117" t="s">
        <v>32</v>
      </c>
      <c r="C22" s="111">
        <f>T_09!C15</f>
        <v>9</v>
      </c>
      <c r="D22" s="111">
        <f>T_09!D15</f>
        <v>0</v>
      </c>
      <c r="E22" s="111">
        <f>T_09!E15</f>
        <v>2</v>
      </c>
      <c r="F22" s="111">
        <f>T_09!F15</f>
        <v>15</v>
      </c>
      <c r="G22" s="111">
        <f>T_09!G15</f>
        <v>0</v>
      </c>
      <c r="H22" s="111">
        <f>T_09!H15</f>
        <v>1</v>
      </c>
      <c r="I22" s="111">
        <f>T_09!I15</f>
        <v>22</v>
      </c>
      <c r="J22" s="111">
        <f>T_09!J15</f>
        <v>3</v>
      </c>
      <c r="K22" s="111">
        <f>T_09!K15</f>
        <v>9</v>
      </c>
      <c r="L22" s="111">
        <f>T_09!L15</f>
        <v>2</v>
      </c>
      <c r="M22" s="517">
        <f t="shared" si="0"/>
        <v>36</v>
      </c>
      <c r="N22" s="518">
        <f t="shared" si="1"/>
        <v>63</v>
      </c>
      <c r="O22" s="512"/>
      <c r="P22" s="513">
        <f>N22/T_09!B15*100000</f>
        <v>58.387395736793323</v>
      </c>
      <c r="Q22"/>
    </row>
    <row r="23" spans="1:17" ht="13.5" customHeight="1" x14ac:dyDescent="0.2">
      <c r="A23" s="1" t="s">
        <v>598</v>
      </c>
      <c r="B23" s="117" t="s">
        <v>33</v>
      </c>
      <c r="C23" s="236">
        <f>T_09!C16</f>
        <v>5</v>
      </c>
      <c r="D23" s="236">
        <f>T_09!D16</f>
        <v>1</v>
      </c>
      <c r="E23" s="236">
        <f>T_09!E16</f>
        <v>1</v>
      </c>
      <c r="F23" s="236">
        <f>T_09!F16</f>
        <v>1</v>
      </c>
      <c r="G23" s="236">
        <f>T_09!G16</f>
        <v>0</v>
      </c>
      <c r="H23" s="236">
        <f>T_09!H16</f>
        <v>1</v>
      </c>
      <c r="I23" s="236">
        <f>T_09!I16</f>
        <v>15</v>
      </c>
      <c r="J23" s="236">
        <f>T_09!J16</f>
        <v>3</v>
      </c>
      <c r="K23" s="236">
        <f>T_09!K16</f>
        <v>6</v>
      </c>
      <c r="L23" s="236">
        <f>T_09!L16</f>
        <v>0</v>
      </c>
      <c r="M23" s="517">
        <f t="shared" si="0"/>
        <v>24</v>
      </c>
      <c r="N23" s="518">
        <f t="shared" si="1"/>
        <v>33</v>
      </c>
      <c r="O23" s="512"/>
      <c r="P23" s="513">
        <f>N23/T_09!B16*100000</f>
        <v>34.353529044347283</v>
      </c>
      <c r="Q23"/>
    </row>
    <row r="24" spans="1:17" ht="13.5" customHeight="1" x14ac:dyDescent="0.2">
      <c r="A24" s="1" t="s">
        <v>599</v>
      </c>
      <c r="B24" s="117" t="s">
        <v>34</v>
      </c>
      <c r="C24" s="111">
        <f>T_09!C17</f>
        <v>19</v>
      </c>
      <c r="D24" s="111">
        <f>T_09!D17</f>
        <v>4</v>
      </c>
      <c r="E24" s="111">
        <f>T_09!E17</f>
        <v>5</v>
      </c>
      <c r="F24" s="111">
        <f>T_09!F17</f>
        <v>38</v>
      </c>
      <c r="G24" s="111">
        <f>T_09!G17</f>
        <v>1</v>
      </c>
      <c r="H24" s="111">
        <f>T_09!H17</f>
        <v>0</v>
      </c>
      <c r="I24" s="111">
        <f>T_09!I17</f>
        <v>30</v>
      </c>
      <c r="J24" s="111">
        <f>T_09!J17</f>
        <v>3</v>
      </c>
      <c r="K24" s="111">
        <f>T_09!K17</f>
        <v>17</v>
      </c>
      <c r="L24" s="111">
        <f>T_09!L17</f>
        <v>0</v>
      </c>
      <c r="M24" s="517">
        <f t="shared" si="0"/>
        <v>50</v>
      </c>
      <c r="N24" s="518">
        <f t="shared" si="1"/>
        <v>117</v>
      </c>
      <c r="O24" s="512"/>
      <c r="P24" s="513">
        <f>N24/T_09!B17*100000</f>
        <v>72.869955156950667</v>
      </c>
      <c r="Q24"/>
    </row>
    <row r="25" spans="1:17" ht="13.5" customHeight="1" x14ac:dyDescent="0.2">
      <c r="A25" s="1" t="s">
        <v>600</v>
      </c>
      <c r="B25" s="117" t="s">
        <v>35</v>
      </c>
      <c r="C25" s="236">
        <f>T_09!C18</f>
        <v>30</v>
      </c>
      <c r="D25" s="236">
        <f>T_09!D18</f>
        <v>11</v>
      </c>
      <c r="E25" s="236">
        <f>T_09!E18</f>
        <v>8</v>
      </c>
      <c r="F25" s="236">
        <f>T_09!F18</f>
        <v>78</v>
      </c>
      <c r="G25" s="236">
        <f>T_09!G18</f>
        <v>2</v>
      </c>
      <c r="H25" s="236">
        <f>T_09!H18</f>
        <v>0</v>
      </c>
      <c r="I25" s="236">
        <f>T_09!I18</f>
        <v>57</v>
      </c>
      <c r="J25" s="236">
        <f>T_09!J18</f>
        <v>8</v>
      </c>
      <c r="K25" s="236">
        <f>T_09!K18</f>
        <v>37</v>
      </c>
      <c r="L25" s="236">
        <f>T_09!L18</f>
        <v>7</v>
      </c>
      <c r="M25" s="517">
        <f t="shared" si="0"/>
        <v>109</v>
      </c>
      <c r="N25" s="518">
        <f t="shared" si="1"/>
        <v>238</v>
      </c>
      <c r="O25" s="512"/>
      <c r="P25" s="513">
        <f>N25/T_09!B18*100000</f>
        <v>63.61425173068185</v>
      </c>
      <c r="Q25"/>
    </row>
    <row r="26" spans="1:17" ht="13.5" customHeight="1" x14ac:dyDescent="0.2">
      <c r="A26" s="1" t="s">
        <v>601</v>
      </c>
      <c r="B26" s="117" t="s">
        <v>36</v>
      </c>
      <c r="C26" s="111">
        <f>T_09!C19</f>
        <v>52</v>
      </c>
      <c r="D26" s="111">
        <f>T_09!D19</f>
        <v>7</v>
      </c>
      <c r="E26" s="111">
        <f>T_09!E19</f>
        <v>5</v>
      </c>
      <c r="F26" s="111">
        <f>T_09!F19</f>
        <v>12</v>
      </c>
      <c r="G26" s="111">
        <f>T_09!G19</f>
        <v>3</v>
      </c>
      <c r="H26" s="111">
        <f>T_09!H19</f>
        <v>3</v>
      </c>
      <c r="I26" s="111">
        <f>T_09!I19</f>
        <v>188</v>
      </c>
      <c r="J26" s="111">
        <f>T_09!J19</f>
        <v>23</v>
      </c>
      <c r="K26" s="111">
        <f>T_09!K19</f>
        <v>71</v>
      </c>
      <c r="L26" s="111">
        <f>T_09!L19</f>
        <v>16</v>
      </c>
      <c r="M26" s="517">
        <f t="shared" si="0"/>
        <v>298</v>
      </c>
      <c r="N26" s="518">
        <f t="shared" si="1"/>
        <v>380</v>
      </c>
      <c r="O26" s="512"/>
      <c r="P26" s="513">
        <f>N26/T_09!B19*100000</f>
        <v>59.782266691838146</v>
      </c>
      <c r="Q26"/>
    </row>
    <row r="27" spans="1:17" ht="13.5" customHeight="1" x14ac:dyDescent="0.2">
      <c r="A27" s="1" t="s">
        <v>602</v>
      </c>
      <c r="B27" s="117" t="s">
        <v>37</v>
      </c>
      <c r="C27" s="236">
        <f>T_09!C20</f>
        <v>15</v>
      </c>
      <c r="D27" s="236">
        <f>T_09!D20</f>
        <v>11</v>
      </c>
      <c r="E27" s="236">
        <f>T_09!E20</f>
        <v>15</v>
      </c>
      <c r="F27" s="236">
        <f>T_09!F20</f>
        <v>38</v>
      </c>
      <c r="G27" s="236">
        <f>T_09!G20</f>
        <v>1</v>
      </c>
      <c r="H27" s="236">
        <f>T_09!H20</f>
        <v>1</v>
      </c>
      <c r="I27" s="236">
        <f>T_09!I20</f>
        <v>25</v>
      </c>
      <c r="J27" s="236">
        <f>T_09!J20</f>
        <v>4</v>
      </c>
      <c r="K27" s="236">
        <f>T_09!K20</f>
        <v>31</v>
      </c>
      <c r="L27" s="236">
        <f>T_09!L20</f>
        <v>1</v>
      </c>
      <c r="M27" s="517">
        <f t="shared" si="0"/>
        <v>61</v>
      </c>
      <c r="N27" s="518">
        <f t="shared" si="1"/>
        <v>142</v>
      </c>
      <c r="O27" s="512"/>
      <c r="P27" s="513">
        <f>N27/T_09!B20*100000</f>
        <v>60.315167990485499</v>
      </c>
      <c r="Q27"/>
    </row>
    <row r="28" spans="1:17" ht="13.5" customHeight="1" x14ac:dyDescent="0.2">
      <c r="A28" s="1" t="s">
        <v>603</v>
      </c>
      <c r="B28" s="117" t="s">
        <v>38</v>
      </c>
      <c r="C28" s="111">
        <f>T_09!C21</f>
        <v>6</v>
      </c>
      <c r="D28" s="111">
        <f>T_09!D21</f>
        <v>0</v>
      </c>
      <c r="E28" s="111">
        <f>T_09!E21</f>
        <v>0</v>
      </c>
      <c r="F28" s="111">
        <f>T_09!F21</f>
        <v>0</v>
      </c>
      <c r="G28" s="111">
        <f>T_09!G21</f>
        <v>1</v>
      </c>
      <c r="H28" s="111">
        <f>T_09!H21</f>
        <v>0</v>
      </c>
      <c r="I28" s="111">
        <f>T_09!I21</f>
        <v>17</v>
      </c>
      <c r="J28" s="111">
        <f>T_09!J21</f>
        <v>5</v>
      </c>
      <c r="K28" s="111">
        <f>T_09!K21</f>
        <v>7</v>
      </c>
      <c r="L28" s="111">
        <f>T_09!L21</f>
        <v>0</v>
      </c>
      <c r="M28" s="517">
        <f t="shared" si="0"/>
        <v>29</v>
      </c>
      <c r="N28" s="518">
        <f t="shared" si="1"/>
        <v>36</v>
      </c>
      <c r="O28" s="512"/>
      <c r="P28" s="513">
        <f>N28/T_09!B21*100000</f>
        <v>46.71684401764859</v>
      </c>
      <c r="Q28"/>
    </row>
    <row r="29" spans="1:17" ht="13.5" customHeight="1" x14ac:dyDescent="0.2">
      <c r="A29" s="1" t="s">
        <v>604</v>
      </c>
      <c r="B29" s="117" t="s">
        <v>39</v>
      </c>
      <c r="C29" s="236">
        <f>T_09!C22</f>
        <v>12</v>
      </c>
      <c r="D29" s="236">
        <f>T_09!D22</f>
        <v>9</v>
      </c>
      <c r="E29" s="236">
        <f>T_09!E22</f>
        <v>3</v>
      </c>
      <c r="F29" s="236">
        <f>T_09!F22</f>
        <v>20</v>
      </c>
      <c r="G29" s="236">
        <f>T_09!G22</f>
        <v>0</v>
      </c>
      <c r="H29" s="236">
        <f>T_09!H22</f>
        <v>1</v>
      </c>
      <c r="I29" s="236">
        <f>T_09!I22</f>
        <v>8</v>
      </c>
      <c r="J29" s="236">
        <f>T_09!J22</f>
        <v>0</v>
      </c>
      <c r="K29" s="236">
        <f>T_09!K22</f>
        <v>6</v>
      </c>
      <c r="L29" s="236">
        <f>T_09!L22</f>
        <v>5</v>
      </c>
      <c r="M29" s="517">
        <f t="shared" si="0"/>
        <v>19</v>
      </c>
      <c r="N29" s="518">
        <f t="shared" si="1"/>
        <v>64</v>
      </c>
      <c r="O29" s="512"/>
      <c r="P29" s="513">
        <f>N29/T_09!B22*100000</f>
        <v>68.706387546967264</v>
      </c>
      <c r="Q29"/>
    </row>
    <row r="30" spans="1:17" ht="13.5" customHeight="1" x14ac:dyDescent="0.2">
      <c r="A30" s="1" t="s">
        <v>605</v>
      </c>
      <c r="B30" s="117" t="s">
        <v>40</v>
      </c>
      <c r="C30" s="111">
        <f>T_09!C23</f>
        <v>10</v>
      </c>
      <c r="D30" s="111">
        <f>T_09!D23</f>
        <v>1</v>
      </c>
      <c r="E30" s="111">
        <f>T_09!E23</f>
        <v>7</v>
      </c>
      <c r="F30" s="111">
        <f>T_09!F23</f>
        <v>24</v>
      </c>
      <c r="G30" s="111">
        <f>T_09!G23</f>
        <v>0</v>
      </c>
      <c r="H30" s="111">
        <f>T_09!H23</f>
        <v>0</v>
      </c>
      <c r="I30" s="111">
        <f>T_09!I23</f>
        <v>18</v>
      </c>
      <c r="J30" s="111">
        <f>T_09!J23</f>
        <v>0</v>
      </c>
      <c r="K30" s="111">
        <f>T_09!K23</f>
        <v>5</v>
      </c>
      <c r="L30" s="111">
        <f>T_09!L23</f>
        <v>0</v>
      </c>
      <c r="M30" s="517">
        <f t="shared" si="0"/>
        <v>23</v>
      </c>
      <c r="N30" s="518">
        <f t="shared" si="1"/>
        <v>65</v>
      </c>
      <c r="O30" s="512"/>
      <c r="P30" s="513">
        <f>N30/T_09!B23*100000</f>
        <v>67.913488663671501</v>
      </c>
      <c r="Q30"/>
    </row>
    <row r="31" spans="1:17" ht="13.5" customHeight="1" x14ac:dyDescent="0.2">
      <c r="A31" s="1" t="s">
        <v>606</v>
      </c>
      <c r="B31" s="117" t="s">
        <v>295</v>
      </c>
      <c r="C31" s="236">
        <f>T_09!C24</f>
        <v>1</v>
      </c>
      <c r="D31" s="236">
        <f>T_09!D24</f>
        <v>1</v>
      </c>
      <c r="E31" s="236">
        <f>T_09!E24</f>
        <v>3</v>
      </c>
      <c r="F31" s="236">
        <f>T_09!F24</f>
        <v>0</v>
      </c>
      <c r="G31" s="236">
        <f>T_09!G24</f>
        <v>0</v>
      </c>
      <c r="H31" s="236">
        <f>T_09!H24</f>
        <v>0</v>
      </c>
      <c r="I31" s="236">
        <f>T_09!I24</f>
        <v>4</v>
      </c>
      <c r="J31" s="236">
        <f>T_09!J24</f>
        <v>1</v>
      </c>
      <c r="K31" s="236">
        <f>T_09!K24</f>
        <v>3</v>
      </c>
      <c r="L31" s="236">
        <f>T_09!L24</f>
        <v>0</v>
      </c>
      <c r="M31" s="519">
        <f t="shared" si="0"/>
        <v>8</v>
      </c>
      <c r="N31" s="518">
        <f t="shared" si="1"/>
        <v>13</v>
      </c>
      <c r="O31" s="512"/>
      <c r="P31" s="513">
        <f>N31/T_09!B24*100000</f>
        <v>49.056603773584904</v>
      </c>
      <c r="Q31"/>
    </row>
    <row r="32" spans="1:17" ht="13.5" customHeight="1" x14ac:dyDescent="0.2">
      <c r="A32" s="1" t="s">
        <v>607</v>
      </c>
      <c r="B32" s="117" t="s">
        <v>41</v>
      </c>
      <c r="C32" s="111">
        <f>T_09!C25</f>
        <v>10</v>
      </c>
      <c r="D32" s="111">
        <f>T_09!D25</f>
        <v>1</v>
      </c>
      <c r="E32" s="111">
        <f>T_09!E25</f>
        <v>2</v>
      </c>
      <c r="F32" s="111">
        <f>T_09!F25</f>
        <v>2</v>
      </c>
      <c r="G32" s="111">
        <f>T_09!G25</f>
        <v>1</v>
      </c>
      <c r="H32" s="111">
        <f>T_09!H25</f>
        <v>0</v>
      </c>
      <c r="I32" s="111">
        <f>T_09!I25</f>
        <v>24</v>
      </c>
      <c r="J32" s="111">
        <f>T_09!J25</f>
        <v>0</v>
      </c>
      <c r="K32" s="111">
        <f>T_09!K25</f>
        <v>10</v>
      </c>
      <c r="L32" s="111">
        <f>T_09!L25</f>
        <v>1</v>
      </c>
      <c r="M32" s="517">
        <f t="shared" si="0"/>
        <v>35</v>
      </c>
      <c r="N32" s="518">
        <f t="shared" si="1"/>
        <v>51</v>
      </c>
      <c r="O32" s="512"/>
      <c r="P32" s="513">
        <f>N32/T_09!B25*100000</f>
        <v>37.988826815642454</v>
      </c>
      <c r="Q32"/>
    </row>
    <row r="33" spans="1:17" ht="13.5" customHeight="1" x14ac:dyDescent="0.2">
      <c r="A33" s="1" t="s">
        <v>608</v>
      </c>
      <c r="B33" s="117" t="s">
        <v>42</v>
      </c>
      <c r="C33" s="236">
        <f>T_09!C26</f>
        <v>17</v>
      </c>
      <c r="D33" s="236">
        <f>T_09!D26</f>
        <v>7</v>
      </c>
      <c r="E33" s="236">
        <f>T_09!E26</f>
        <v>8</v>
      </c>
      <c r="F33" s="236">
        <f>T_09!F26</f>
        <v>8</v>
      </c>
      <c r="G33" s="236">
        <f>T_09!G26</f>
        <v>1</v>
      </c>
      <c r="H33" s="236">
        <f>T_09!H26</f>
        <v>1</v>
      </c>
      <c r="I33" s="236">
        <f>T_09!I26</f>
        <v>131</v>
      </c>
      <c r="J33" s="236">
        <f>T_09!J26</f>
        <v>25</v>
      </c>
      <c r="K33" s="236">
        <f>T_09!K26</f>
        <v>58</v>
      </c>
      <c r="L33" s="236">
        <f>T_09!L26</f>
        <v>3</v>
      </c>
      <c r="M33" s="519">
        <f t="shared" si="0"/>
        <v>217</v>
      </c>
      <c r="N33" s="518">
        <f t="shared" si="1"/>
        <v>259</v>
      </c>
      <c r="O33" s="512"/>
      <c r="P33" s="513">
        <f>N33/T_09!B26*100000</f>
        <v>75.921908893709329</v>
      </c>
      <c r="Q33"/>
    </row>
    <row r="34" spans="1:17" ht="13.5" customHeight="1" x14ac:dyDescent="0.2">
      <c r="A34" s="1" t="s">
        <v>609</v>
      </c>
      <c r="B34" s="117" t="s">
        <v>43</v>
      </c>
      <c r="C34" s="111">
        <f>T_09!C27</f>
        <v>2</v>
      </c>
      <c r="D34" s="111">
        <f>T_09!D27</f>
        <v>1</v>
      </c>
      <c r="E34" s="111">
        <f>T_09!E27</f>
        <v>0</v>
      </c>
      <c r="F34" s="111">
        <f>T_09!F27</f>
        <v>0</v>
      </c>
      <c r="G34" s="111">
        <f>T_09!G27</f>
        <v>1</v>
      </c>
      <c r="H34" s="111">
        <f>T_09!H27</f>
        <v>0</v>
      </c>
      <c r="I34" s="111">
        <f>T_09!I27</f>
        <v>4</v>
      </c>
      <c r="J34" s="111">
        <f>T_09!J27</f>
        <v>0</v>
      </c>
      <c r="K34" s="111">
        <f>T_09!K27</f>
        <v>3</v>
      </c>
      <c r="L34" s="111">
        <f>T_09!L27</f>
        <v>0</v>
      </c>
      <c r="M34" s="517">
        <f t="shared" si="0"/>
        <v>7</v>
      </c>
      <c r="N34" s="518">
        <f t="shared" si="1"/>
        <v>11</v>
      </c>
      <c r="O34" s="512"/>
      <c r="P34" s="513">
        <f>N34/T_09!B27*100000</f>
        <v>49.107142857142861</v>
      </c>
      <c r="Q34"/>
    </row>
    <row r="35" spans="1:17" ht="13.5" customHeight="1" x14ac:dyDescent="0.2">
      <c r="A35" s="1" t="s">
        <v>610</v>
      </c>
      <c r="B35" s="117" t="s">
        <v>44</v>
      </c>
      <c r="C35" s="236">
        <f>T_09!C28</f>
        <v>5</v>
      </c>
      <c r="D35" s="236">
        <f>T_09!D28</f>
        <v>2</v>
      </c>
      <c r="E35" s="236">
        <f>T_09!E28</f>
        <v>8</v>
      </c>
      <c r="F35" s="236">
        <f>T_09!F28</f>
        <v>11</v>
      </c>
      <c r="G35" s="236">
        <f>T_09!G28</f>
        <v>0</v>
      </c>
      <c r="H35" s="236">
        <f>T_09!H28</f>
        <v>1</v>
      </c>
      <c r="I35" s="236">
        <f>T_09!I28</f>
        <v>24</v>
      </c>
      <c r="J35" s="236">
        <f>T_09!J28</f>
        <v>3</v>
      </c>
      <c r="K35" s="236">
        <f>T_09!K28</f>
        <v>23</v>
      </c>
      <c r="L35" s="236">
        <f>T_09!L28</f>
        <v>2</v>
      </c>
      <c r="M35" s="519">
        <f t="shared" si="0"/>
        <v>52</v>
      </c>
      <c r="N35" s="518">
        <f t="shared" si="1"/>
        <v>79</v>
      </c>
      <c r="O35" s="512"/>
      <c r="P35" s="513">
        <f>N35/T_09!B28*100000</f>
        <v>52.004476334671843</v>
      </c>
      <c r="Q35"/>
    </row>
    <row r="36" spans="1:17" ht="13.5" customHeight="1" x14ac:dyDescent="0.2">
      <c r="A36" s="1" t="s">
        <v>611</v>
      </c>
      <c r="B36" s="117" t="s">
        <v>45</v>
      </c>
      <c r="C36" s="111">
        <f>T_09!C29</f>
        <v>12</v>
      </c>
      <c r="D36" s="111">
        <f>T_09!D29</f>
        <v>3</v>
      </c>
      <c r="E36" s="111">
        <f>T_09!E29</f>
        <v>1</v>
      </c>
      <c r="F36" s="111">
        <f>T_09!F29</f>
        <v>14</v>
      </c>
      <c r="G36" s="111">
        <f>T_09!G29</f>
        <v>0</v>
      </c>
      <c r="H36" s="111">
        <f>T_09!H29</f>
        <v>0</v>
      </c>
      <c r="I36" s="111">
        <f>T_09!I29</f>
        <v>31</v>
      </c>
      <c r="J36" s="111">
        <f>T_09!J29</f>
        <v>8</v>
      </c>
      <c r="K36" s="111">
        <f>T_09!K29</f>
        <v>15</v>
      </c>
      <c r="L36" s="111">
        <f>T_09!L29</f>
        <v>1</v>
      </c>
      <c r="M36" s="517">
        <f t="shared" si="0"/>
        <v>55</v>
      </c>
      <c r="N36" s="518">
        <f t="shared" si="1"/>
        <v>85</v>
      </c>
      <c r="O36" s="512"/>
      <c r="P36" s="513">
        <f>N36/T_09!B29*100000</f>
        <v>47.382797257372204</v>
      </c>
      <c r="Q36"/>
    </row>
    <row r="37" spans="1:17" ht="13.5" customHeight="1" x14ac:dyDescent="0.2">
      <c r="A37" s="1" t="s">
        <v>612</v>
      </c>
      <c r="B37" s="117" t="s">
        <v>46</v>
      </c>
      <c r="C37" s="236">
        <f>T_09!C30</f>
        <v>5</v>
      </c>
      <c r="D37" s="236">
        <f>T_09!D30</f>
        <v>5</v>
      </c>
      <c r="E37" s="236">
        <f>T_09!E30</f>
        <v>6</v>
      </c>
      <c r="F37" s="236">
        <f>T_09!F30</f>
        <v>12</v>
      </c>
      <c r="G37" s="236">
        <f>T_09!G30</f>
        <v>0</v>
      </c>
      <c r="H37" s="236">
        <f>T_09!H30</f>
        <v>0</v>
      </c>
      <c r="I37" s="236">
        <f>T_09!I30</f>
        <v>17</v>
      </c>
      <c r="J37" s="236">
        <f>T_09!J30</f>
        <v>2</v>
      </c>
      <c r="K37" s="236">
        <f>T_09!K30</f>
        <v>12</v>
      </c>
      <c r="L37" s="236">
        <f>T_09!L30</f>
        <v>2</v>
      </c>
      <c r="M37" s="519">
        <f>SUM(I37:L37)</f>
        <v>33</v>
      </c>
      <c r="N37" s="518">
        <f t="shared" si="1"/>
        <v>61</v>
      </c>
      <c r="O37" s="512"/>
      <c r="P37" s="513">
        <f>N37/T_09!B30*100000</f>
        <v>52.933009371745918</v>
      </c>
      <c r="Q37"/>
    </row>
    <row r="38" spans="1:17" ht="13.5" customHeight="1" x14ac:dyDescent="0.2">
      <c r="A38" s="1" t="s">
        <v>613</v>
      </c>
      <c r="B38" s="117" t="s">
        <v>47</v>
      </c>
      <c r="C38" s="111">
        <f>T_09!C31</f>
        <v>5</v>
      </c>
      <c r="D38" s="111">
        <f>T_09!D31</f>
        <v>0</v>
      </c>
      <c r="E38" s="111">
        <f>T_09!E31</f>
        <v>0</v>
      </c>
      <c r="F38" s="111">
        <f>T_09!F31</f>
        <v>0</v>
      </c>
      <c r="G38" s="111">
        <f>T_09!G31</f>
        <v>1</v>
      </c>
      <c r="H38" s="111">
        <f>T_09!H31</f>
        <v>0</v>
      </c>
      <c r="I38" s="111">
        <f>T_09!I31</f>
        <v>8</v>
      </c>
      <c r="J38" s="111">
        <f>T_09!J31</f>
        <v>0</v>
      </c>
      <c r="K38" s="111">
        <f>T_09!K31</f>
        <v>5</v>
      </c>
      <c r="L38" s="111">
        <f>T_09!L31</f>
        <v>0</v>
      </c>
      <c r="M38" s="517">
        <f t="shared" si="0"/>
        <v>13</v>
      </c>
      <c r="N38" s="518">
        <f t="shared" si="1"/>
        <v>19</v>
      </c>
      <c r="O38" s="512"/>
      <c r="P38" s="513">
        <f>N38/T_09!B31*100000</f>
        <v>83.078268473983385</v>
      </c>
      <c r="Q38"/>
    </row>
    <row r="39" spans="1:17" ht="13.5" customHeight="1" x14ac:dyDescent="0.2">
      <c r="A39" s="1" t="s">
        <v>614</v>
      </c>
      <c r="B39" s="117" t="s">
        <v>48</v>
      </c>
      <c r="C39" s="236">
        <f>T_09!C32</f>
        <v>5</v>
      </c>
      <c r="D39" s="236">
        <f>T_09!D32</f>
        <v>0</v>
      </c>
      <c r="E39" s="236">
        <f>T_09!E32</f>
        <v>2</v>
      </c>
      <c r="F39" s="236">
        <f>T_09!F32</f>
        <v>7</v>
      </c>
      <c r="G39" s="236">
        <f>T_09!G32</f>
        <v>0</v>
      </c>
      <c r="H39" s="236">
        <f>T_09!H32</f>
        <v>0</v>
      </c>
      <c r="I39" s="236">
        <f>T_09!I32</f>
        <v>13</v>
      </c>
      <c r="J39" s="236">
        <f>T_09!J32</f>
        <v>1</v>
      </c>
      <c r="K39" s="236">
        <f>T_09!K32</f>
        <v>12</v>
      </c>
      <c r="L39" s="236">
        <f>T_09!L32</f>
        <v>0</v>
      </c>
      <c r="M39" s="519">
        <f t="shared" si="0"/>
        <v>26</v>
      </c>
      <c r="N39" s="518">
        <f t="shared" si="1"/>
        <v>40</v>
      </c>
      <c r="O39" s="512"/>
      <c r="P39" s="513">
        <f>N39/T_09!B32*100000</f>
        <v>35.669698591046902</v>
      </c>
      <c r="Q39"/>
    </row>
    <row r="40" spans="1:17" ht="13.5" customHeight="1" x14ac:dyDescent="0.2">
      <c r="A40" s="1" t="s">
        <v>615</v>
      </c>
      <c r="B40" s="117" t="s">
        <v>49</v>
      </c>
      <c r="C40" s="111">
        <f>T_09!C33</f>
        <v>13</v>
      </c>
      <c r="D40" s="111">
        <f>T_09!D33</f>
        <v>5</v>
      </c>
      <c r="E40" s="111">
        <f>T_09!E33</f>
        <v>4</v>
      </c>
      <c r="F40" s="111">
        <f>T_09!F33</f>
        <v>14</v>
      </c>
      <c r="G40" s="111">
        <f>T_09!G33</f>
        <v>1</v>
      </c>
      <c r="H40" s="111">
        <f>T_09!H33</f>
        <v>1</v>
      </c>
      <c r="I40" s="111">
        <f>T_09!I33</f>
        <v>90</v>
      </c>
      <c r="J40" s="111">
        <f>T_09!J33</f>
        <v>20</v>
      </c>
      <c r="K40" s="111">
        <f>T_09!K33</f>
        <v>34</v>
      </c>
      <c r="L40" s="111">
        <f>T_09!L33</f>
        <v>8</v>
      </c>
      <c r="M40" s="517">
        <f t="shared" si="0"/>
        <v>152</v>
      </c>
      <c r="N40" s="518">
        <f t="shared" si="1"/>
        <v>190</v>
      </c>
      <c r="O40" s="512"/>
      <c r="P40" s="513">
        <f>N40/T_09!B33*100000</f>
        <v>59.223240446356208</v>
      </c>
      <c r="Q40"/>
    </row>
    <row r="41" spans="1:17" ht="13.5" customHeight="1" x14ac:dyDescent="0.2">
      <c r="A41" s="1" t="s">
        <v>616</v>
      </c>
      <c r="B41" s="117" t="s">
        <v>50</v>
      </c>
      <c r="C41" s="236">
        <f>T_09!C34</f>
        <v>10</v>
      </c>
      <c r="D41" s="236">
        <f>T_09!D34</f>
        <v>4</v>
      </c>
      <c r="E41" s="236">
        <f>T_09!E34</f>
        <v>3</v>
      </c>
      <c r="F41" s="236">
        <f>T_09!F34</f>
        <v>16</v>
      </c>
      <c r="G41" s="236">
        <f>T_09!G34</f>
        <v>0</v>
      </c>
      <c r="H41" s="236">
        <f>T_09!H34</f>
        <v>0</v>
      </c>
      <c r="I41" s="236">
        <f>T_09!I34</f>
        <v>17</v>
      </c>
      <c r="J41" s="236">
        <f>T_09!J34</f>
        <v>3</v>
      </c>
      <c r="K41" s="236">
        <f>T_09!K34</f>
        <v>12</v>
      </c>
      <c r="L41" s="236">
        <f>T_09!L34</f>
        <v>1</v>
      </c>
      <c r="M41" s="517">
        <f t="shared" si="0"/>
        <v>33</v>
      </c>
      <c r="N41" s="518">
        <f t="shared" si="1"/>
        <v>66</v>
      </c>
      <c r="O41" s="512"/>
      <c r="P41" s="513">
        <f>N41/T_09!B34*100000</f>
        <v>70.15306122448979</v>
      </c>
      <c r="Q41"/>
    </row>
    <row r="42" spans="1:17" ht="13.5" customHeight="1" x14ac:dyDescent="0.2">
      <c r="A42" s="1" t="s">
        <v>617</v>
      </c>
      <c r="B42" s="117" t="s">
        <v>51</v>
      </c>
      <c r="C42" s="111">
        <f>T_09!C35</f>
        <v>12</v>
      </c>
      <c r="D42" s="111">
        <f>T_09!D35</f>
        <v>3</v>
      </c>
      <c r="E42" s="111">
        <f>T_09!E35</f>
        <v>2</v>
      </c>
      <c r="F42" s="111">
        <f>T_09!F35</f>
        <v>6</v>
      </c>
      <c r="G42" s="111">
        <f>T_09!G35</f>
        <v>2</v>
      </c>
      <c r="H42" s="111">
        <f>T_09!H35</f>
        <v>0</v>
      </c>
      <c r="I42" s="111">
        <f>T_09!I35</f>
        <v>23</v>
      </c>
      <c r="J42" s="111">
        <f>T_09!J35</f>
        <v>0</v>
      </c>
      <c r="K42" s="111">
        <f>T_09!K35</f>
        <v>9</v>
      </c>
      <c r="L42" s="111">
        <f>T_09!L35</f>
        <v>0</v>
      </c>
      <c r="M42" s="517">
        <f t="shared" si="0"/>
        <v>32</v>
      </c>
      <c r="N42" s="518">
        <f t="shared" si="1"/>
        <v>57</v>
      </c>
      <c r="O42" s="512"/>
      <c r="P42" s="513">
        <f>N42/T_09!B35*100000</f>
        <v>64.523432193796694</v>
      </c>
      <c r="Q42"/>
    </row>
    <row r="43" spans="1:17" ht="13.5" customHeight="1" x14ac:dyDescent="0.2">
      <c r="A43" s="1" t="s">
        <v>618</v>
      </c>
      <c r="B43" s="117" t="s">
        <v>52</v>
      </c>
      <c r="C43" s="236">
        <f>T_09!C36</f>
        <v>14</v>
      </c>
      <c r="D43" s="236">
        <f>T_09!D36</f>
        <v>9</v>
      </c>
      <c r="E43" s="236">
        <f>T_09!E36</f>
        <v>8</v>
      </c>
      <c r="F43" s="236">
        <f>T_09!F36</f>
        <v>28</v>
      </c>
      <c r="G43" s="236">
        <f>T_09!G36</f>
        <v>0</v>
      </c>
      <c r="H43" s="236">
        <f>T_09!H36</f>
        <v>0</v>
      </c>
      <c r="I43" s="236">
        <f>T_09!I36</f>
        <v>30</v>
      </c>
      <c r="J43" s="236">
        <f>T_09!J36</f>
        <v>8</v>
      </c>
      <c r="K43" s="236">
        <f>T_09!K36</f>
        <v>17</v>
      </c>
      <c r="L43" s="236">
        <f>T_09!L36</f>
        <v>7</v>
      </c>
      <c r="M43" s="517">
        <f t="shared" si="0"/>
        <v>62</v>
      </c>
      <c r="N43" s="518">
        <f>SUM(C43:L43)</f>
        <v>121</v>
      </c>
      <c r="O43" s="512"/>
      <c r="P43" s="513">
        <f>N43/T_09!B36*100000</f>
        <v>65.82526384506582</v>
      </c>
      <c r="Q43"/>
    </row>
    <row r="44" spans="1:17" ht="13.5" customHeight="1" x14ac:dyDescent="0.2">
      <c r="A44" s="63"/>
      <c r="B44" s="358" t="str">
        <f>IF(T_09!$A$37 = "Z_Not Known", "Not Known","")</f>
        <v/>
      </c>
      <c r="C44" s="526" t="str">
        <f>IF($B$44="Not Known",T_09!C37,"")</f>
        <v/>
      </c>
      <c r="D44" s="526" t="str">
        <f>IF($B$44="Not Known",T_09!D37,"")</f>
        <v/>
      </c>
      <c r="E44" s="526" t="str">
        <f>IF($B$44="Not Known",T_09!E37,"")</f>
        <v/>
      </c>
      <c r="F44" s="526" t="str">
        <f>IF($B$44="Not Known",T_09!F37,"")</f>
        <v/>
      </c>
      <c r="G44" s="526" t="str">
        <f>IF($B$44="Not Known",T_09!G37,"")</f>
        <v/>
      </c>
      <c r="H44" s="526" t="str">
        <f>IF($B$44="Not Known",T_09!H37,"")</f>
        <v/>
      </c>
      <c r="I44" s="526" t="str">
        <f>IF($B$44="Not Known",T_09!I37,"")</f>
        <v/>
      </c>
      <c r="J44" s="526" t="str">
        <f>IF($B$44="Not Known",T_09!J37,"")</f>
        <v/>
      </c>
      <c r="K44" s="526" t="str">
        <f>IF($B$44="Not Known",T_09!K37,"")</f>
        <v/>
      </c>
      <c r="L44" s="526" t="str">
        <f>IF($B$44="Not Known",T_09!L37,"")</f>
        <v/>
      </c>
      <c r="M44" s="526" t="str">
        <f>IF($B$44="Not Known",T_09!M37,"")</f>
        <v/>
      </c>
      <c r="N44" s="527" t="str">
        <f>IF($B$44="Not Known",SUM(C44:L44),"")</f>
        <v/>
      </c>
      <c r="O44" s="512"/>
      <c r="P44" s="513"/>
      <c r="Q44"/>
    </row>
    <row r="45" spans="1:17" s="39" customFormat="1" ht="30" customHeight="1" thickBot="1" x14ac:dyDescent="0.25">
      <c r="A45" s="522" t="s">
        <v>620</v>
      </c>
      <c r="B45" s="405" t="s">
        <v>143</v>
      </c>
      <c r="C45" s="523">
        <f>SUM(C12:C44)</f>
        <v>393</v>
      </c>
      <c r="D45" s="523">
        <f t="shared" ref="D45:N45" si="2">SUM(D12:D44)</f>
        <v>126</v>
      </c>
      <c r="E45" s="523">
        <f t="shared" si="2"/>
        <v>136</v>
      </c>
      <c r="F45" s="523">
        <f t="shared" si="2"/>
        <v>530</v>
      </c>
      <c r="G45" s="523">
        <f t="shared" si="2"/>
        <v>22</v>
      </c>
      <c r="H45" s="523">
        <f t="shared" si="2"/>
        <v>14</v>
      </c>
      <c r="I45" s="523">
        <f t="shared" si="2"/>
        <v>989</v>
      </c>
      <c r="J45" s="523">
        <f t="shared" si="2"/>
        <v>176</v>
      </c>
      <c r="K45" s="523">
        <f t="shared" si="2"/>
        <v>558</v>
      </c>
      <c r="L45" s="523">
        <f t="shared" si="2"/>
        <v>93</v>
      </c>
      <c r="M45" s="523">
        <f t="shared" si="2"/>
        <v>1816</v>
      </c>
      <c r="N45" s="523">
        <f t="shared" si="2"/>
        <v>3037</v>
      </c>
      <c r="O45" s="190"/>
      <c r="P45" s="1074">
        <f>N45/GETPIVOTDATA("Sum of pop",T_09!$A$4)*100000</f>
        <v>55.561653860226855</v>
      </c>
    </row>
    <row r="46" spans="1:17" x14ac:dyDescent="0.2">
      <c r="B46" s="2"/>
      <c r="C46" s="13"/>
      <c r="D46" s="13"/>
      <c r="E46" s="13"/>
      <c r="F46" s="13"/>
      <c r="G46" s="13"/>
      <c r="H46" s="13"/>
      <c r="I46" s="13"/>
      <c r="J46" s="42"/>
      <c r="K46" s="13"/>
      <c r="L46" s="13"/>
      <c r="M46" s="13"/>
      <c r="O46" s="13"/>
    </row>
    <row r="47" spans="1:17" x14ac:dyDescent="0.2">
      <c r="B47" s="29"/>
    </row>
    <row r="48" spans="1:17" x14ac:dyDescent="0.2">
      <c r="A48" s="5" t="s">
        <v>1231</v>
      </c>
      <c r="B48" s="1328"/>
      <c r="C48" s="1328"/>
      <c r="D48" s="1328"/>
      <c r="E48" s="1328"/>
      <c r="F48" s="1328"/>
      <c r="G48" s="1328"/>
      <c r="H48" s="1328"/>
      <c r="I48" s="1328"/>
      <c r="J48" s="1328"/>
      <c r="K48" s="1328"/>
    </row>
    <row r="49" spans="1:2" x14ac:dyDescent="0.2">
      <c r="A49" s="1" t="s">
        <v>660</v>
      </c>
      <c r="B49" s="96"/>
    </row>
    <row r="50" spans="1:2" x14ac:dyDescent="0.2">
      <c r="A50" s="18" t="s">
        <v>1093</v>
      </c>
      <c r="B50" s="18"/>
    </row>
    <row r="51" spans="1:2" x14ac:dyDescent="0.2">
      <c r="A51" s="1" t="s">
        <v>1230</v>
      </c>
    </row>
  </sheetData>
  <sheetProtection algorithmName="SHA-512" hashValue="hoU9MIPaQifk50o5/X7O/HKVSsmjhIx0z7xkbUbcOeIJ2i1hXFZPX99tn5nTXYVysrh5+tKqNnLOf5ncVZl/HA==" saltValue="zIFTihBmE4vXwPeQq1wJNg==" spinCount="100000" sheet="1" scenarios="1" formatCells="0" formatColumns="0" formatRows="0" sort="0" autoFilter="0" pivotTables="0"/>
  <mergeCells count="6">
    <mergeCell ref="P9:P11"/>
    <mergeCell ref="C9:M9"/>
    <mergeCell ref="C10:H10"/>
    <mergeCell ref="I10:M10"/>
    <mergeCell ref="B48:K48"/>
    <mergeCell ref="N9:N11"/>
  </mergeCells>
  <hyperlinks>
    <hyperlink ref="A2" location="'Table of Contents'!A1" display="Back to Table of Contents" xr:uid="{00000000-0004-0000-4200-000000000000}"/>
    <hyperlink ref="A50" r:id="rId1" xr:uid="{00000000-0004-0000-4200-000001000000}"/>
  </hyperlinks>
  <pageMargins left="0.70866141732283472" right="0.70866141732283472" top="0.74803149606299213" bottom="0.74803149606299213" header="0.31496062992125984" footer="0.31496062992125984"/>
  <pageSetup paperSize="9" scale="73" fitToHeight="2" orientation="landscape"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9">
    <tabColor rgb="FFFFAFF0"/>
    <pageSetUpPr fitToPage="1"/>
  </sheetPr>
  <dimension ref="A1:Q50"/>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9.140625" style="1" customWidth="1"/>
    <col min="2" max="2" width="25.5703125" style="1" customWidth="1"/>
    <col min="3" max="3" width="12.140625" style="1" customWidth="1"/>
    <col min="4" max="4" width="13" style="1" customWidth="1"/>
    <col min="5" max="5" width="12.42578125" style="1" customWidth="1"/>
    <col min="6" max="6" width="12.140625" style="1" customWidth="1"/>
    <col min="7" max="7" width="13.140625" style="1" customWidth="1"/>
    <col min="8" max="8" width="14.5703125" style="1" customWidth="1"/>
    <col min="9" max="9" width="15.42578125" style="1" customWidth="1"/>
    <col min="10" max="10" width="16" style="1" customWidth="1"/>
    <col min="11" max="11" width="11.7109375" style="1" customWidth="1"/>
    <col min="12" max="13" width="12.140625" style="1" customWidth="1"/>
    <col min="14" max="14" width="7.28515625" style="1" customWidth="1"/>
    <col min="15" max="15" width="16.5703125" style="1" customWidth="1"/>
    <col min="16" max="16" width="8" style="1" customWidth="1"/>
    <col min="17" max="17" width="11.5703125" style="1" customWidth="1"/>
    <col min="18" max="16384" width="9.140625" style="1"/>
  </cols>
  <sheetData>
    <row r="1" spans="1:16" ht="18" customHeight="1" x14ac:dyDescent="0.2">
      <c r="A1" s="298" t="s">
        <v>1129</v>
      </c>
    </row>
    <row r="2" spans="1:16" ht="18" customHeight="1" x14ac:dyDescent="0.2">
      <c r="A2" s="106" t="s">
        <v>578</v>
      </c>
    </row>
    <row r="3" spans="1:16" ht="38.25" customHeight="1" x14ac:dyDescent="0.2">
      <c r="A3" s="120" t="s">
        <v>1032</v>
      </c>
      <c r="C3" s="120"/>
      <c r="D3" s="120"/>
      <c r="E3" s="120"/>
      <c r="F3" s="120"/>
      <c r="G3" s="120"/>
      <c r="H3" s="120"/>
      <c r="I3" s="120"/>
      <c r="J3" s="120"/>
      <c r="K3" s="120"/>
      <c r="L3" s="120"/>
      <c r="M3" s="120"/>
      <c r="N3" s="120"/>
      <c r="O3" s="120"/>
    </row>
    <row r="4" spans="1:16" ht="16.5" customHeight="1" x14ac:dyDescent="0.25">
      <c r="A4" s="351" t="s">
        <v>579</v>
      </c>
      <c r="B4" s="1043" t="s">
        <v>1317</v>
      </c>
      <c r="D4" s="129"/>
      <c r="E4" s="129"/>
      <c r="F4" s="129"/>
      <c r="G4" s="120"/>
      <c r="H4" s="120"/>
      <c r="I4" s="120"/>
      <c r="J4" s="120"/>
      <c r="K4" s="120"/>
      <c r="L4" s="120"/>
      <c r="M4" s="120"/>
      <c r="N4" s="120"/>
      <c r="O4" s="120"/>
    </row>
    <row r="5" spans="1:16" ht="16.5" customHeight="1" x14ac:dyDescent="0.25">
      <c r="A5" s="351" t="s">
        <v>580</v>
      </c>
      <c r="B5" s="351" t="s">
        <v>581</v>
      </c>
      <c r="C5" s="129"/>
      <c r="D5" s="129"/>
      <c r="E5" s="129"/>
      <c r="F5" s="129"/>
      <c r="G5" s="120"/>
      <c r="H5" s="120"/>
      <c r="I5" s="120"/>
      <c r="J5" s="120"/>
      <c r="K5" s="120"/>
      <c r="L5" s="120"/>
      <c r="M5" s="120"/>
      <c r="N5" s="120"/>
      <c r="O5" s="120"/>
    </row>
    <row r="6" spans="1:16" ht="16.5" customHeight="1" x14ac:dyDescent="0.25">
      <c r="A6" s="351" t="s">
        <v>582</v>
      </c>
      <c r="B6" s="351" t="s">
        <v>585</v>
      </c>
      <c r="C6" s="129"/>
      <c r="D6" s="129"/>
      <c r="E6" s="129"/>
      <c r="F6" s="129"/>
      <c r="G6" s="120"/>
      <c r="H6" s="120"/>
      <c r="I6" s="120"/>
      <c r="J6" s="120"/>
      <c r="K6" s="120"/>
      <c r="L6" s="120"/>
      <c r="M6" s="120"/>
      <c r="N6" s="120"/>
      <c r="O6" s="120"/>
    </row>
    <row r="7" spans="1:16" ht="15" x14ac:dyDescent="0.25">
      <c r="B7" s="2"/>
      <c r="C7" s="13"/>
      <c r="D7" s="13"/>
      <c r="E7" s="13"/>
      <c r="F7" s="13"/>
      <c r="G7" s="13"/>
      <c r="H7" s="13"/>
      <c r="I7" s="13"/>
      <c r="J7" s="42"/>
      <c r="K7" s="13"/>
      <c r="L7" s="13"/>
      <c r="M7" s="83" t="s">
        <v>0</v>
      </c>
      <c r="N7" s="4"/>
      <c r="O7" s="76" t="s">
        <v>57</v>
      </c>
    </row>
    <row r="8" spans="1:16" x14ac:dyDescent="0.2">
      <c r="B8"/>
      <c r="C8" s="1304" t="s">
        <v>265</v>
      </c>
      <c r="D8" s="1305"/>
      <c r="E8" s="1305"/>
      <c r="F8" s="1305"/>
      <c r="G8" s="1305"/>
      <c r="H8" s="1305"/>
      <c r="I8" s="1305"/>
      <c r="J8" s="1305"/>
      <c r="K8" s="1305"/>
      <c r="L8" s="1306"/>
      <c r="M8" s="1330" t="s">
        <v>92</v>
      </c>
      <c r="N8" s="4"/>
      <c r="O8" s="1336" t="s">
        <v>127</v>
      </c>
    </row>
    <row r="9" spans="1:16" x14ac:dyDescent="0.2">
      <c r="B9"/>
      <c r="C9" s="1338" t="s">
        <v>8</v>
      </c>
      <c r="D9" s="1339"/>
      <c r="E9" s="1339"/>
      <c r="F9" s="1339"/>
      <c r="G9" s="1339"/>
      <c r="H9" s="1340"/>
      <c r="I9" s="1341" t="s">
        <v>115</v>
      </c>
      <c r="J9" s="1326"/>
      <c r="K9" s="1326"/>
      <c r="L9" s="1342"/>
      <c r="M9" s="1331"/>
      <c r="O9" s="1337"/>
    </row>
    <row r="10" spans="1:16" ht="51.75" customHeight="1" x14ac:dyDescent="0.2">
      <c r="A10" s="2" t="s">
        <v>586</v>
      </c>
      <c r="B10" s="2" t="s">
        <v>22</v>
      </c>
      <c r="C10" s="496" t="s">
        <v>540</v>
      </c>
      <c r="D10" s="497" t="s">
        <v>89</v>
      </c>
      <c r="E10" s="497" t="s">
        <v>541</v>
      </c>
      <c r="F10" s="497" t="s">
        <v>90</v>
      </c>
      <c r="G10" s="497" t="s">
        <v>95</v>
      </c>
      <c r="H10" s="497" t="s">
        <v>91</v>
      </c>
      <c r="I10" s="497" t="s">
        <v>542</v>
      </c>
      <c r="J10" s="497" t="s">
        <v>543</v>
      </c>
      <c r="K10" s="497" t="s">
        <v>544</v>
      </c>
      <c r="L10" s="498" t="s">
        <v>149</v>
      </c>
      <c r="M10" s="1331"/>
      <c r="N10" s="44"/>
      <c r="O10" s="1337"/>
    </row>
    <row r="11" spans="1:16" ht="18.75" customHeight="1" x14ac:dyDescent="0.2">
      <c r="A11" s="414" t="s">
        <v>587</v>
      </c>
      <c r="B11" s="400" t="s">
        <v>23</v>
      </c>
      <c r="C11" s="483">
        <f>T_09b!C5</f>
        <v>4</v>
      </c>
      <c r="D11" s="483">
        <f>T_09b!D5</f>
        <v>116</v>
      </c>
      <c r="E11" s="483">
        <f>T_09b!E5</f>
        <v>0</v>
      </c>
      <c r="F11" s="483">
        <f>T_09b!F5</f>
        <v>15</v>
      </c>
      <c r="G11" s="483">
        <f>T_09b!G5</f>
        <v>0</v>
      </c>
      <c r="H11" s="483">
        <f>T_09b!H5</f>
        <v>32</v>
      </c>
      <c r="I11" s="483">
        <f>T_09b!I5</f>
        <v>91</v>
      </c>
      <c r="J11" s="483">
        <f>T_09b!J5</f>
        <v>19</v>
      </c>
      <c r="K11" s="483">
        <f>T_09b!K5</f>
        <v>51</v>
      </c>
      <c r="L11" s="524">
        <f>SUM(I11:K11)</f>
        <v>161</v>
      </c>
      <c r="M11" s="525">
        <f>SUM(C11:K11)</f>
        <v>328</v>
      </c>
      <c r="N11" s="311"/>
      <c r="O11" s="514">
        <f>M11/T_09b!B5*100000</f>
        <v>143.19392298960972</v>
      </c>
      <c r="P11" s="112"/>
    </row>
    <row r="12" spans="1:16" ht="13.5" customHeight="1" x14ac:dyDescent="0.2">
      <c r="A12" s="1" t="s">
        <v>588</v>
      </c>
      <c r="B12" s="117" t="s">
        <v>24</v>
      </c>
      <c r="C12" s="236">
        <f>T_09b!C6</f>
        <v>6</v>
      </c>
      <c r="D12" s="236">
        <f>T_09b!D6</f>
        <v>151</v>
      </c>
      <c r="E12" s="236">
        <f>T_09b!E6</f>
        <v>9</v>
      </c>
      <c r="F12" s="236">
        <f>T_09b!F6</f>
        <v>18</v>
      </c>
      <c r="G12" s="236">
        <f>T_09b!G6</f>
        <v>0</v>
      </c>
      <c r="H12" s="236">
        <f>T_09b!H6</f>
        <v>40</v>
      </c>
      <c r="I12" s="236">
        <f>T_09b!I6</f>
        <v>18</v>
      </c>
      <c r="J12" s="236">
        <f>T_09b!J6</f>
        <v>2</v>
      </c>
      <c r="K12" s="236">
        <f>T_09b!K6</f>
        <v>51</v>
      </c>
      <c r="L12" s="515">
        <f t="shared" ref="L12:L42" si="0">SUM(I12:K12)</f>
        <v>71</v>
      </c>
      <c r="M12" s="516">
        <f t="shared" ref="M12:M42" si="1">SUM(C12:K12)</f>
        <v>295</v>
      </c>
      <c r="N12" s="311"/>
      <c r="O12" s="513">
        <f>M12/T_09b!B6*100000</f>
        <v>113.12217194570137</v>
      </c>
      <c r="P12" s="112"/>
    </row>
    <row r="13" spans="1:16" ht="13.5" customHeight="1" x14ac:dyDescent="0.2">
      <c r="A13" s="1" t="s">
        <v>589</v>
      </c>
      <c r="B13" s="117" t="s">
        <v>25</v>
      </c>
      <c r="C13" s="111">
        <f>T_09b!C7</f>
        <v>8</v>
      </c>
      <c r="D13" s="111">
        <f>T_09b!D7</f>
        <v>91</v>
      </c>
      <c r="E13" s="111">
        <f>T_09b!E7</f>
        <v>3</v>
      </c>
      <c r="F13" s="111">
        <f>T_09b!F7</f>
        <v>7</v>
      </c>
      <c r="G13" s="111">
        <f>T_09b!G7</f>
        <v>0</v>
      </c>
      <c r="H13" s="111">
        <f>T_09b!H7</f>
        <v>27</v>
      </c>
      <c r="I13" s="111">
        <f>T_09b!I7</f>
        <v>40</v>
      </c>
      <c r="J13" s="111">
        <f>T_09b!J7</f>
        <v>0</v>
      </c>
      <c r="K13" s="111">
        <f>T_09b!K7</f>
        <v>28</v>
      </c>
      <c r="L13" s="515">
        <f t="shared" si="0"/>
        <v>68</v>
      </c>
      <c r="M13" s="516">
        <f t="shared" si="1"/>
        <v>204</v>
      </c>
      <c r="N13" s="311"/>
      <c r="O13" s="513">
        <f>M13/T_09b!B7*100000</f>
        <v>176.13538249007081</v>
      </c>
      <c r="P13" s="112"/>
    </row>
    <row r="14" spans="1:16" ht="13.5" customHeight="1" x14ac:dyDescent="0.2">
      <c r="A14" s="1" t="s">
        <v>590</v>
      </c>
      <c r="B14" s="117" t="s">
        <v>26</v>
      </c>
      <c r="C14" s="236">
        <f>T_09b!C8</f>
        <v>3</v>
      </c>
      <c r="D14" s="236">
        <f>T_09b!D8</f>
        <v>62</v>
      </c>
      <c r="E14" s="236">
        <f>T_09b!E8</f>
        <v>0</v>
      </c>
      <c r="F14" s="236">
        <f>T_09b!F8</f>
        <v>5</v>
      </c>
      <c r="G14" s="236">
        <f>T_09b!G8</f>
        <v>1</v>
      </c>
      <c r="H14" s="236">
        <f>T_09b!H8</f>
        <v>27</v>
      </c>
      <c r="I14" s="236">
        <f>T_09b!I8</f>
        <v>16</v>
      </c>
      <c r="J14" s="236">
        <f>T_09b!J8</f>
        <v>3</v>
      </c>
      <c r="K14" s="236">
        <f>T_09b!K8</f>
        <v>16</v>
      </c>
      <c r="L14" s="515">
        <f t="shared" si="0"/>
        <v>35</v>
      </c>
      <c r="M14" s="516">
        <f t="shared" si="1"/>
        <v>133</v>
      </c>
      <c r="N14" s="311"/>
      <c r="O14" s="513">
        <f>M14/T_09b!B8*100000</f>
        <v>155.68301533419174</v>
      </c>
      <c r="P14" s="112"/>
    </row>
    <row r="15" spans="1:16" ht="13.5" customHeight="1" x14ac:dyDescent="0.2">
      <c r="A15" s="1" t="s">
        <v>591</v>
      </c>
      <c r="B15" s="117" t="s">
        <v>619</v>
      </c>
      <c r="C15" s="111">
        <f>T_09b!C9</f>
        <v>5</v>
      </c>
      <c r="D15" s="111">
        <f>T_09b!D9</f>
        <v>377</v>
      </c>
      <c r="E15" s="111">
        <f>T_09b!E9</f>
        <v>4</v>
      </c>
      <c r="F15" s="111">
        <f>T_09b!F9</f>
        <v>33</v>
      </c>
      <c r="G15" s="111">
        <f>T_09b!G9</f>
        <v>1</v>
      </c>
      <c r="H15" s="111">
        <f>T_09b!H9</f>
        <v>212</v>
      </c>
      <c r="I15" s="111">
        <f>T_09b!I9</f>
        <v>478</v>
      </c>
      <c r="J15" s="111">
        <f>T_09b!J9</f>
        <v>111</v>
      </c>
      <c r="K15" s="111">
        <f>T_09b!K9</f>
        <v>245</v>
      </c>
      <c r="L15" s="515">
        <f t="shared" si="0"/>
        <v>834</v>
      </c>
      <c r="M15" s="516">
        <f t="shared" si="1"/>
        <v>1466</v>
      </c>
      <c r="N15" s="311"/>
      <c r="O15" s="513">
        <f>M15/T_09b!B9*100000</f>
        <v>277.85148402259205</v>
      </c>
      <c r="P15" s="112"/>
    </row>
    <row r="16" spans="1:16" ht="13.5" customHeight="1" x14ac:dyDescent="0.2">
      <c r="A16" s="1" t="s">
        <v>592</v>
      </c>
      <c r="B16" s="117" t="s">
        <v>27</v>
      </c>
      <c r="C16" s="236">
        <f>T_09b!C10</f>
        <v>5</v>
      </c>
      <c r="D16" s="236">
        <f>T_09b!D10</f>
        <v>34</v>
      </c>
      <c r="E16" s="236">
        <f>T_09b!E10</f>
        <v>4</v>
      </c>
      <c r="F16" s="236">
        <f>T_09b!F10</f>
        <v>9</v>
      </c>
      <c r="G16" s="236">
        <f>T_09b!G10</f>
        <v>4</v>
      </c>
      <c r="H16" s="236">
        <f>T_09b!H10</f>
        <v>8</v>
      </c>
      <c r="I16" s="236">
        <f>T_09b!I10</f>
        <v>16</v>
      </c>
      <c r="J16" s="236">
        <f>T_09b!J10</f>
        <v>1</v>
      </c>
      <c r="K16" s="236">
        <f>T_09b!K10</f>
        <v>31</v>
      </c>
      <c r="L16" s="515">
        <f t="shared" si="0"/>
        <v>48</v>
      </c>
      <c r="M16" s="516">
        <f t="shared" si="1"/>
        <v>112</v>
      </c>
      <c r="N16" s="311"/>
      <c r="O16" s="513">
        <f>M16/T_09b!B10*100000</f>
        <v>218.36615324624682</v>
      </c>
      <c r="P16" s="112"/>
    </row>
    <row r="17" spans="1:17" ht="13.5" customHeight="1" x14ac:dyDescent="0.2">
      <c r="A17" s="1" t="s">
        <v>593</v>
      </c>
      <c r="B17" s="117" t="s">
        <v>28</v>
      </c>
      <c r="C17" s="111">
        <f>T_09b!C11</f>
        <v>4</v>
      </c>
      <c r="D17" s="111">
        <f>T_09b!D11</f>
        <v>98</v>
      </c>
      <c r="E17" s="111">
        <f>T_09b!E11</f>
        <v>1</v>
      </c>
      <c r="F17" s="111">
        <f>T_09b!F11</f>
        <v>10</v>
      </c>
      <c r="G17" s="111">
        <f>T_09b!G11</f>
        <v>6</v>
      </c>
      <c r="H17" s="111">
        <f>T_09b!H11</f>
        <v>6</v>
      </c>
      <c r="I17" s="111">
        <f>T_09b!I11</f>
        <v>26</v>
      </c>
      <c r="J17" s="111">
        <f>T_09b!J11</f>
        <v>5</v>
      </c>
      <c r="K17" s="111">
        <f>T_09b!K11</f>
        <v>49</v>
      </c>
      <c r="L17" s="515">
        <f t="shared" si="0"/>
        <v>80</v>
      </c>
      <c r="M17" s="516">
        <f t="shared" si="1"/>
        <v>205</v>
      </c>
      <c r="N17" s="311"/>
      <c r="O17" s="513">
        <f>M17/T_09b!B11*100000</f>
        <v>138.24263267920966</v>
      </c>
      <c r="P17" s="112"/>
    </row>
    <row r="18" spans="1:17" ht="13.5" customHeight="1" x14ac:dyDescent="0.2">
      <c r="A18" s="1" t="s">
        <v>594</v>
      </c>
      <c r="B18" s="117" t="s">
        <v>29</v>
      </c>
      <c r="C18" s="236">
        <f>T_09b!C12</f>
        <v>7</v>
      </c>
      <c r="D18" s="236">
        <f>T_09b!D12</f>
        <v>232</v>
      </c>
      <c r="E18" s="236">
        <f>T_09b!E12</f>
        <v>3</v>
      </c>
      <c r="F18" s="236">
        <f>T_09b!F12</f>
        <v>19</v>
      </c>
      <c r="G18" s="236">
        <f>T_09b!G12</f>
        <v>2</v>
      </c>
      <c r="H18" s="236">
        <f>T_09b!H12</f>
        <v>110</v>
      </c>
      <c r="I18" s="236">
        <f>T_09b!I12</f>
        <v>229</v>
      </c>
      <c r="J18" s="236">
        <f>T_09b!J12</f>
        <v>30</v>
      </c>
      <c r="K18" s="236">
        <f>T_09b!K12</f>
        <v>66</v>
      </c>
      <c r="L18" s="515">
        <f t="shared" si="0"/>
        <v>325</v>
      </c>
      <c r="M18" s="516">
        <f t="shared" si="1"/>
        <v>698</v>
      </c>
      <c r="N18" s="311"/>
      <c r="O18" s="513">
        <f>M18/T_09b!B12*100000</f>
        <v>469.0229807821529</v>
      </c>
      <c r="P18" s="112"/>
    </row>
    <row r="19" spans="1:17" ht="13.5" customHeight="1" x14ac:dyDescent="0.2">
      <c r="A19" s="1" t="s">
        <v>595</v>
      </c>
      <c r="B19" s="117" t="s">
        <v>30</v>
      </c>
      <c r="C19" s="111">
        <f>T_09b!C13</f>
        <v>5</v>
      </c>
      <c r="D19" s="111">
        <f>T_09b!D13</f>
        <v>172</v>
      </c>
      <c r="E19" s="111">
        <f>T_09b!E13</f>
        <v>2</v>
      </c>
      <c r="F19" s="111">
        <f>T_09b!F13</f>
        <v>7</v>
      </c>
      <c r="G19" s="111">
        <f>T_09b!G13</f>
        <v>4</v>
      </c>
      <c r="H19" s="111">
        <f>T_09b!H13</f>
        <v>92</v>
      </c>
      <c r="I19" s="111">
        <f>T_09b!I13</f>
        <v>128</v>
      </c>
      <c r="J19" s="111">
        <f>T_09b!J13</f>
        <v>5</v>
      </c>
      <c r="K19" s="111">
        <f>T_09b!K13</f>
        <v>169</v>
      </c>
      <c r="L19" s="515">
        <f t="shared" si="0"/>
        <v>302</v>
      </c>
      <c r="M19" s="516">
        <f t="shared" si="1"/>
        <v>584</v>
      </c>
      <c r="N19" s="311"/>
      <c r="O19" s="513">
        <f>M19/T_09b!B13*100000</f>
        <v>480.26315789473682</v>
      </c>
      <c r="P19" s="112"/>
    </row>
    <row r="20" spans="1:17" ht="13.5" customHeight="1" x14ac:dyDescent="0.2">
      <c r="A20" s="1" t="s">
        <v>596</v>
      </c>
      <c r="B20" s="117" t="s">
        <v>31</v>
      </c>
      <c r="C20" s="236">
        <f>T_09b!C14</f>
        <v>2</v>
      </c>
      <c r="D20" s="236">
        <f>T_09b!D14</f>
        <v>105</v>
      </c>
      <c r="E20" s="236">
        <f>T_09b!E14</f>
        <v>3</v>
      </c>
      <c r="F20" s="236">
        <f>T_09b!F14</f>
        <v>2</v>
      </c>
      <c r="G20" s="236">
        <f>T_09b!G14</f>
        <v>1</v>
      </c>
      <c r="H20" s="236">
        <f>T_09b!H14</f>
        <v>40</v>
      </c>
      <c r="I20" s="236">
        <f>T_09b!I14</f>
        <v>42</v>
      </c>
      <c r="J20" s="236">
        <f>T_09b!J14</f>
        <v>5</v>
      </c>
      <c r="K20" s="236">
        <f>T_09b!K14</f>
        <v>41</v>
      </c>
      <c r="L20" s="515">
        <f t="shared" si="0"/>
        <v>88</v>
      </c>
      <c r="M20" s="516">
        <f t="shared" si="1"/>
        <v>241</v>
      </c>
      <c r="N20" s="311"/>
      <c r="O20" s="513">
        <f>M20/T_09b!B14*100000</f>
        <v>221.60919540229887</v>
      </c>
      <c r="P20" s="112"/>
    </row>
    <row r="21" spans="1:17" ht="13.5" customHeight="1" x14ac:dyDescent="0.2">
      <c r="A21" s="1" t="s">
        <v>597</v>
      </c>
      <c r="B21" s="117" t="s">
        <v>32</v>
      </c>
      <c r="C21" s="111">
        <f>T_09b!C15</f>
        <v>1</v>
      </c>
      <c r="D21" s="111">
        <f>T_09b!D15</f>
        <v>67</v>
      </c>
      <c r="E21" s="111">
        <f>T_09b!E15</f>
        <v>0</v>
      </c>
      <c r="F21" s="111">
        <f>T_09b!F15</f>
        <v>5</v>
      </c>
      <c r="G21" s="111">
        <f>T_09b!G15</f>
        <v>0</v>
      </c>
      <c r="H21" s="111">
        <f>T_09b!H15</f>
        <v>37</v>
      </c>
      <c r="I21" s="111">
        <f>T_09b!I15</f>
        <v>30</v>
      </c>
      <c r="J21" s="111">
        <f>T_09b!J15</f>
        <v>4</v>
      </c>
      <c r="K21" s="111">
        <f>T_09b!K15</f>
        <v>51</v>
      </c>
      <c r="L21" s="515">
        <f t="shared" si="0"/>
        <v>85</v>
      </c>
      <c r="M21" s="516">
        <f t="shared" si="1"/>
        <v>195</v>
      </c>
      <c r="N21" s="311"/>
      <c r="O21" s="513">
        <f>M21/T_09b!B15*100000</f>
        <v>180.72289156626508</v>
      </c>
      <c r="P21" s="112"/>
    </row>
    <row r="22" spans="1:17" ht="13.5" customHeight="1" x14ac:dyDescent="0.2">
      <c r="A22" s="1" t="s">
        <v>598</v>
      </c>
      <c r="B22" s="117" t="s">
        <v>33</v>
      </c>
      <c r="C22" s="236">
        <f>T_09b!C16</f>
        <v>6</v>
      </c>
      <c r="D22" s="236">
        <f>T_09b!D16</f>
        <v>68</v>
      </c>
      <c r="E22" s="236">
        <f>T_09b!E16</f>
        <v>3</v>
      </c>
      <c r="F22" s="236">
        <f>T_09b!F16</f>
        <v>5</v>
      </c>
      <c r="G22" s="236">
        <f>T_09b!G16</f>
        <v>1</v>
      </c>
      <c r="H22" s="236">
        <f>T_09b!H16</f>
        <v>35</v>
      </c>
      <c r="I22" s="236">
        <f>T_09b!I16</f>
        <v>34</v>
      </c>
      <c r="J22" s="236">
        <f>T_09b!J16</f>
        <v>3</v>
      </c>
      <c r="K22" s="236">
        <f>T_09b!K16</f>
        <v>27</v>
      </c>
      <c r="L22" s="515">
        <f t="shared" si="0"/>
        <v>64</v>
      </c>
      <c r="M22" s="516">
        <f t="shared" si="1"/>
        <v>182</v>
      </c>
      <c r="N22" s="311"/>
      <c r="O22" s="513">
        <f>M22/T_09b!B16*100000</f>
        <v>189.46491775973351</v>
      </c>
      <c r="P22" s="112"/>
    </row>
    <row r="23" spans="1:17" ht="13.5" customHeight="1" x14ac:dyDescent="0.2">
      <c r="A23" s="1" t="s">
        <v>599</v>
      </c>
      <c r="B23" s="117" t="s">
        <v>34</v>
      </c>
      <c r="C23" s="111">
        <f>T_09b!C17</f>
        <v>5</v>
      </c>
      <c r="D23" s="111">
        <f>T_09b!D17</f>
        <v>206</v>
      </c>
      <c r="E23" s="111">
        <f>T_09b!E17</f>
        <v>1</v>
      </c>
      <c r="F23" s="111">
        <f>T_09b!F17</f>
        <v>11</v>
      </c>
      <c r="G23" s="111">
        <f>T_09b!G17</f>
        <v>1</v>
      </c>
      <c r="H23" s="111">
        <f>T_09b!H17</f>
        <v>70</v>
      </c>
      <c r="I23" s="111">
        <f>T_09b!I17</f>
        <v>59</v>
      </c>
      <c r="J23" s="111">
        <f>T_09b!J17</f>
        <v>15</v>
      </c>
      <c r="K23" s="111">
        <f>T_09b!K17</f>
        <v>55</v>
      </c>
      <c r="L23" s="515">
        <f t="shared" si="0"/>
        <v>129</v>
      </c>
      <c r="M23" s="516">
        <f t="shared" si="1"/>
        <v>423</v>
      </c>
      <c r="N23" s="311"/>
      <c r="O23" s="513">
        <f>M23/T_09b!B17*100000</f>
        <v>263.45291479820628</v>
      </c>
      <c r="P23" s="112"/>
    </row>
    <row r="24" spans="1:17" ht="13.5" customHeight="1" x14ac:dyDescent="0.2">
      <c r="A24" s="1" t="s">
        <v>600</v>
      </c>
      <c r="B24" s="117" t="s">
        <v>35</v>
      </c>
      <c r="C24" s="236">
        <f>T_09b!C18</f>
        <v>25</v>
      </c>
      <c r="D24" s="236">
        <f>T_09b!D18</f>
        <v>311</v>
      </c>
      <c r="E24" s="236">
        <f>T_09b!E18</f>
        <v>6</v>
      </c>
      <c r="F24" s="236">
        <f>T_09b!F18</f>
        <v>42</v>
      </c>
      <c r="G24" s="236">
        <f>T_09b!G18</f>
        <v>5</v>
      </c>
      <c r="H24" s="236">
        <f>T_09b!H18</f>
        <v>136</v>
      </c>
      <c r="I24" s="236">
        <f>T_09b!I18</f>
        <v>211</v>
      </c>
      <c r="J24" s="236">
        <f>T_09b!J18</f>
        <v>31</v>
      </c>
      <c r="K24" s="236">
        <f>T_09b!K18</f>
        <v>252</v>
      </c>
      <c r="L24" s="515">
        <f t="shared" si="0"/>
        <v>494</v>
      </c>
      <c r="M24" s="516">
        <f t="shared" si="1"/>
        <v>1019</v>
      </c>
      <c r="N24" s="311"/>
      <c r="O24" s="513">
        <f>M24/T_09b!B18*100000</f>
        <v>272.36522064523029</v>
      </c>
      <c r="P24" s="112"/>
    </row>
    <row r="25" spans="1:17" ht="13.5" customHeight="1" x14ac:dyDescent="0.2">
      <c r="A25" s="1" t="s">
        <v>601</v>
      </c>
      <c r="B25" s="117" t="s">
        <v>36</v>
      </c>
      <c r="C25" s="111">
        <f>T_09b!C19</f>
        <v>18</v>
      </c>
      <c r="D25" s="111">
        <f>T_09b!D19</f>
        <v>423</v>
      </c>
      <c r="E25" s="111">
        <f>T_09b!E19</f>
        <v>6</v>
      </c>
      <c r="F25" s="111">
        <f>T_09b!F19</f>
        <v>37</v>
      </c>
      <c r="G25" s="111">
        <f>T_09b!G19</f>
        <v>18</v>
      </c>
      <c r="H25" s="111">
        <f>T_09b!H19</f>
        <v>284</v>
      </c>
      <c r="I25" s="111">
        <f>T_09b!I19</f>
        <v>777</v>
      </c>
      <c r="J25" s="111">
        <f>T_09b!J19</f>
        <v>61</v>
      </c>
      <c r="K25" s="111">
        <f>T_09b!K19</f>
        <v>816</v>
      </c>
      <c r="L25" s="515">
        <f>SUM(I25:K25)</f>
        <v>1654</v>
      </c>
      <c r="M25" s="516">
        <f>SUM(C25:K25)</f>
        <v>2440</v>
      </c>
      <c r="N25" s="311"/>
      <c r="O25" s="513">
        <f>M25/T_09b!B19*100000</f>
        <v>383.86508086338176</v>
      </c>
      <c r="P25" s="112"/>
      <c r="Q25"/>
    </row>
    <row r="26" spans="1:17" ht="13.5" customHeight="1" x14ac:dyDescent="0.2">
      <c r="A26" s="1" t="s">
        <v>602</v>
      </c>
      <c r="B26" s="117" t="s">
        <v>37</v>
      </c>
      <c r="C26" s="236">
        <f>T_09b!C20</f>
        <v>6</v>
      </c>
      <c r="D26" s="236">
        <f>T_09b!D20</f>
        <v>252</v>
      </c>
      <c r="E26" s="236">
        <f>T_09b!E20</f>
        <v>7</v>
      </c>
      <c r="F26" s="236">
        <f>T_09b!F20</f>
        <v>8</v>
      </c>
      <c r="G26" s="236">
        <f>T_09b!G20</f>
        <v>3</v>
      </c>
      <c r="H26" s="236">
        <f>T_09b!H20</f>
        <v>45</v>
      </c>
      <c r="I26" s="236">
        <f>T_09b!I20</f>
        <v>20</v>
      </c>
      <c r="J26" s="236">
        <f>T_09b!J20</f>
        <v>6</v>
      </c>
      <c r="K26" s="236">
        <f>T_09b!K20</f>
        <v>49</v>
      </c>
      <c r="L26" s="515">
        <f t="shared" si="0"/>
        <v>75</v>
      </c>
      <c r="M26" s="516">
        <f t="shared" si="1"/>
        <v>396</v>
      </c>
      <c r="N26" s="311"/>
      <c r="O26" s="513">
        <f>M26/T_09b!B20*100000</f>
        <v>168.20286284670601</v>
      </c>
      <c r="P26" s="112"/>
    </row>
    <row r="27" spans="1:17" ht="13.5" customHeight="1" x14ac:dyDescent="0.2">
      <c r="A27" s="1" t="s">
        <v>603</v>
      </c>
      <c r="B27" s="117" t="s">
        <v>38</v>
      </c>
      <c r="C27" s="111">
        <f>T_09b!C21</f>
        <v>8</v>
      </c>
      <c r="D27" s="111">
        <f>T_09b!D21</f>
        <v>204</v>
      </c>
      <c r="E27" s="111">
        <f>T_09b!E21</f>
        <v>0</v>
      </c>
      <c r="F27" s="111">
        <f>T_09b!F21</f>
        <v>3</v>
      </c>
      <c r="G27" s="111">
        <f>T_09b!G21</f>
        <v>3</v>
      </c>
      <c r="H27" s="111">
        <f>T_09b!H21</f>
        <v>37</v>
      </c>
      <c r="I27" s="111">
        <f>T_09b!I21</f>
        <v>80</v>
      </c>
      <c r="J27" s="111">
        <f>T_09b!J21</f>
        <v>6</v>
      </c>
      <c r="K27" s="111">
        <f>T_09b!K21</f>
        <v>76</v>
      </c>
      <c r="L27" s="515">
        <f t="shared" si="0"/>
        <v>162</v>
      </c>
      <c r="M27" s="516">
        <f t="shared" si="1"/>
        <v>417</v>
      </c>
      <c r="N27" s="311"/>
      <c r="O27" s="513">
        <f>M27/T_09b!B21*100000</f>
        <v>541.13677653776278</v>
      </c>
      <c r="P27" s="112"/>
    </row>
    <row r="28" spans="1:17" ht="13.5" customHeight="1" x14ac:dyDescent="0.2">
      <c r="A28" s="1" t="s">
        <v>604</v>
      </c>
      <c r="B28" s="117" t="s">
        <v>39</v>
      </c>
      <c r="C28" s="236">
        <f>T_09b!C22</f>
        <v>2</v>
      </c>
      <c r="D28" s="236">
        <f>T_09b!D22</f>
        <v>86</v>
      </c>
      <c r="E28" s="236">
        <f>T_09b!E22</f>
        <v>4</v>
      </c>
      <c r="F28" s="236">
        <f>T_09b!F22</f>
        <v>7</v>
      </c>
      <c r="G28" s="236">
        <f>T_09b!G22</f>
        <v>0</v>
      </c>
      <c r="H28" s="236">
        <f>T_09b!H22</f>
        <v>24</v>
      </c>
      <c r="I28" s="236">
        <f>T_09b!I22</f>
        <v>33</v>
      </c>
      <c r="J28" s="236">
        <f>T_09b!J22</f>
        <v>6</v>
      </c>
      <c r="K28" s="236">
        <f>T_09b!K22</f>
        <v>41</v>
      </c>
      <c r="L28" s="515">
        <f t="shared" si="0"/>
        <v>80</v>
      </c>
      <c r="M28" s="516">
        <f t="shared" si="1"/>
        <v>203</v>
      </c>
      <c r="N28" s="311"/>
      <c r="O28" s="513">
        <f>M28/T_09b!B22*100000</f>
        <v>217.92807300053678</v>
      </c>
      <c r="P28" s="112"/>
    </row>
    <row r="29" spans="1:17" ht="13.5" customHeight="1" x14ac:dyDescent="0.2">
      <c r="A29" s="1" t="s">
        <v>605</v>
      </c>
      <c r="B29" s="117" t="s">
        <v>40</v>
      </c>
      <c r="C29" s="111">
        <f>T_09b!C23</f>
        <v>1</v>
      </c>
      <c r="D29" s="111">
        <f>T_09b!D23</f>
        <v>69</v>
      </c>
      <c r="E29" s="111">
        <f>T_09b!E23</f>
        <v>2</v>
      </c>
      <c r="F29" s="111">
        <f>T_09b!F23</f>
        <v>6</v>
      </c>
      <c r="G29" s="111">
        <f>T_09b!G23</f>
        <v>0</v>
      </c>
      <c r="H29" s="111">
        <f>T_09b!H23</f>
        <v>13</v>
      </c>
      <c r="I29" s="111">
        <f>T_09b!I23</f>
        <v>17</v>
      </c>
      <c r="J29" s="111">
        <f>T_09b!J23</f>
        <v>1</v>
      </c>
      <c r="K29" s="111">
        <f>T_09b!K23</f>
        <v>19</v>
      </c>
      <c r="L29" s="515">
        <f t="shared" si="0"/>
        <v>37</v>
      </c>
      <c r="M29" s="516">
        <f t="shared" si="1"/>
        <v>128</v>
      </c>
      <c r="N29" s="311"/>
      <c r="O29" s="513">
        <f>M29/T_09b!B23*100000</f>
        <v>133.73733152230696</v>
      </c>
      <c r="P29" s="112"/>
    </row>
    <row r="30" spans="1:17" ht="13.5" customHeight="1" x14ac:dyDescent="0.2">
      <c r="A30" s="1" t="s">
        <v>606</v>
      </c>
      <c r="B30" s="117" t="s">
        <v>295</v>
      </c>
      <c r="C30" s="236">
        <f>T_09b!C24</f>
        <v>3</v>
      </c>
      <c r="D30" s="236">
        <f>T_09b!D24</f>
        <v>70</v>
      </c>
      <c r="E30" s="236">
        <f>T_09b!E24</f>
        <v>0</v>
      </c>
      <c r="F30" s="236">
        <f>T_09b!F24</f>
        <v>1</v>
      </c>
      <c r="G30" s="236">
        <f>T_09b!G24</f>
        <v>0</v>
      </c>
      <c r="H30" s="236">
        <f>T_09b!H24</f>
        <v>1</v>
      </c>
      <c r="I30" s="236">
        <f>T_09b!I24</f>
        <v>0</v>
      </c>
      <c r="J30" s="236">
        <f>T_09b!J24</f>
        <v>0</v>
      </c>
      <c r="K30" s="236">
        <f>T_09b!K24</f>
        <v>1</v>
      </c>
      <c r="L30" s="515">
        <f t="shared" si="0"/>
        <v>1</v>
      </c>
      <c r="M30" s="516">
        <f t="shared" si="1"/>
        <v>76</v>
      </c>
      <c r="N30" s="311"/>
      <c r="O30" s="513">
        <f>M30/T_09b!B24*100000</f>
        <v>286.79245283018867</v>
      </c>
      <c r="P30" s="112"/>
    </row>
    <row r="31" spans="1:17" ht="13.5" customHeight="1" x14ac:dyDescent="0.2">
      <c r="A31" s="1" t="s">
        <v>607</v>
      </c>
      <c r="B31" s="117" t="s">
        <v>41</v>
      </c>
      <c r="C31" s="111">
        <f>T_09b!C25</f>
        <v>9</v>
      </c>
      <c r="D31" s="111">
        <f>T_09b!D25</f>
        <v>156</v>
      </c>
      <c r="E31" s="111">
        <f>T_09b!E25</f>
        <v>5</v>
      </c>
      <c r="F31" s="111">
        <f>T_09b!F25</f>
        <v>9</v>
      </c>
      <c r="G31" s="111">
        <f>T_09b!G25</f>
        <v>12</v>
      </c>
      <c r="H31" s="111">
        <f>T_09b!H25</f>
        <v>91</v>
      </c>
      <c r="I31" s="111">
        <f>T_09b!I25</f>
        <v>101</v>
      </c>
      <c r="J31" s="111">
        <f>T_09b!J25</f>
        <v>11</v>
      </c>
      <c r="K31" s="111">
        <f>T_09b!K25</f>
        <v>97</v>
      </c>
      <c r="L31" s="515">
        <f t="shared" si="0"/>
        <v>209</v>
      </c>
      <c r="M31" s="516">
        <f t="shared" si="1"/>
        <v>491</v>
      </c>
      <c r="N31" s="311"/>
      <c r="O31" s="513">
        <f>M31/T_09b!B25*100000</f>
        <v>365.73556797020484</v>
      </c>
      <c r="P31" s="112"/>
    </row>
    <row r="32" spans="1:17" ht="13.5" customHeight="1" x14ac:dyDescent="0.2">
      <c r="A32" s="1" t="s">
        <v>608</v>
      </c>
      <c r="B32" s="117" t="s">
        <v>42</v>
      </c>
      <c r="C32" s="236">
        <f>T_09b!C26</f>
        <v>14</v>
      </c>
      <c r="D32" s="236">
        <f>T_09b!D26</f>
        <v>460</v>
      </c>
      <c r="E32" s="236">
        <f>T_09b!E26</f>
        <v>8</v>
      </c>
      <c r="F32" s="236">
        <f>T_09b!F26</f>
        <v>29</v>
      </c>
      <c r="G32" s="236">
        <f>T_09b!G26</f>
        <v>18</v>
      </c>
      <c r="H32" s="236">
        <f>T_09b!H26</f>
        <v>164</v>
      </c>
      <c r="I32" s="236">
        <f>T_09b!I26</f>
        <v>179</v>
      </c>
      <c r="J32" s="236">
        <f>T_09b!J26</f>
        <v>29</v>
      </c>
      <c r="K32" s="236">
        <f>T_09b!K26</f>
        <v>574</v>
      </c>
      <c r="L32" s="515">
        <f t="shared" si="0"/>
        <v>782</v>
      </c>
      <c r="M32" s="516">
        <f t="shared" si="1"/>
        <v>1475</v>
      </c>
      <c r="N32" s="311"/>
      <c r="O32" s="513">
        <f>M32/T_09b!B26*100000</f>
        <v>432.37380547575776</v>
      </c>
      <c r="P32" s="112"/>
    </row>
    <row r="33" spans="1:16" ht="13.5" customHeight="1" x14ac:dyDescent="0.2">
      <c r="A33" s="1" t="s">
        <v>609</v>
      </c>
      <c r="B33" s="117" t="s">
        <v>43</v>
      </c>
      <c r="C33" s="111">
        <f>T_09b!C27</f>
        <v>0</v>
      </c>
      <c r="D33" s="111">
        <f>T_09b!D27</f>
        <v>6</v>
      </c>
      <c r="E33" s="111">
        <f>T_09b!E27</f>
        <v>1</v>
      </c>
      <c r="F33" s="111">
        <f>T_09b!F27</f>
        <v>1</v>
      </c>
      <c r="G33" s="111">
        <f>T_09b!G27</f>
        <v>0</v>
      </c>
      <c r="H33" s="111">
        <f>T_09b!H27</f>
        <v>3</v>
      </c>
      <c r="I33" s="111">
        <f>T_09b!I27</f>
        <v>1</v>
      </c>
      <c r="J33" s="111">
        <f>T_09b!J27</f>
        <v>0</v>
      </c>
      <c r="K33" s="111">
        <f>T_09b!K27</f>
        <v>2</v>
      </c>
      <c r="L33" s="515">
        <f t="shared" si="0"/>
        <v>3</v>
      </c>
      <c r="M33" s="516">
        <f t="shared" si="1"/>
        <v>14</v>
      </c>
      <c r="N33" s="311"/>
      <c r="O33" s="513">
        <f>M33/T_09b!B27*100000</f>
        <v>62.5</v>
      </c>
      <c r="P33" s="112"/>
    </row>
    <row r="34" spans="1:16" ht="13.5" customHeight="1" x14ac:dyDescent="0.2">
      <c r="A34" s="1" t="s">
        <v>610</v>
      </c>
      <c r="B34" s="117" t="s">
        <v>44</v>
      </c>
      <c r="C34" s="236">
        <f>T_09b!C28</f>
        <v>2</v>
      </c>
      <c r="D34" s="236">
        <f>T_09b!D28</f>
        <v>62</v>
      </c>
      <c r="E34" s="236">
        <f>T_09b!E28</f>
        <v>4</v>
      </c>
      <c r="F34" s="236">
        <f>T_09b!F28</f>
        <v>5</v>
      </c>
      <c r="G34" s="236">
        <f>T_09b!G28</f>
        <v>5</v>
      </c>
      <c r="H34" s="236">
        <f>T_09b!H28</f>
        <v>11</v>
      </c>
      <c r="I34" s="236">
        <f>T_09b!I28</f>
        <v>34</v>
      </c>
      <c r="J34" s="236">
        <f>T_09b!J28</f>
        <v>5</v>
      </c>
      <c r="K34" s="236">
        <f>T_09b!K28</f>
        <v>17</v>
      </c>
      <c r="L34" s="515">
        <f t="shared" si="0"/>
        <v>56</v>
      </c>
      <c r="M34" s="516">
        <f t="shared" si="1"/>
        <v>145</v>
      </c>
      <c r="N34" s="311"/>
      <c r="O34" s="513">
        <f>M34/T_09b!B28*100000</f>
        <v>95.451254031992633</v>
      </c>
      <c r="P34" s="112"/>
    </row>
    <row r="35" spans="1:16" ht="13.5" customHeight="1" x14ac:dyDescent="0.2">
      <c r="A35" s="1" t="s">
        <v>611</v>
      </c>
      <c r="B35" s="117" t="s">
        <v>45</v>
      </c>
      <c r="C35" s="111">
        <f>T_09b!C29</f>
        <v>3</v>
      </c>
      <c r="D35" s="111">
        <f>T_09b!D29</f>
        <v>137</v>
      </c>
      <c r="E35" s="111">
        <f>T_09b!E29</f>
        <v>1</v>
      </c>
      <c r="F35" s="111">
        <f>T_09b!F29</f>
        <v>11</v>
      </c>
      <c r="G35" s="111">
        <f>T_09b!G29</f>
        <v>3</v>
      </c>
      <c r="H35" s="111">
        <f>T_09b!H29</f>
        <v>63</v>
      </c>
      <c r="I35" s="111">
        <f>T_09b!I29</f>
        <v>122</v>
      </c>
      <c r="J35" s="111">
        <f>T_09b!J29</f>
        <v>17</v>
      </c>
      <c r="K35" s="111">
        <f>T_09b!K29</f>
        <v>146</v>
      </c>
      <c r="L35" s="515">
        <f t="shared" si="0"/>
        <v>285</v>
      </c>
      <c r="M35" s="516">
        <f t="shared" si="1"/>
        <v>503</v>
      </c>
      <c r="N35" s="311"/>
      <c r="O35" s="513">
        <f>M35/T_09b!B29*100000</f>
        <v>280.39467082892025</v>
      </c>
      <c r="P35" s="112"/>
    </row>
    <row r="36" spans="1:16" ht="13.5" customHeight="1" x14ac:dyDescent="0.2">
      <c r="A36" s="1" t="s">
        <v>612</v>
      </c>
      <c r="B36" s="117" t="s">
        <v>46</v>
      </c>
      <c r="C36" s="236">
        <f>T_09b!C30</f>
        <v>1</v>
      </c>
      <c r="D36" s="236">
        <f>T_09b!D30</f>
        <v>64</v>
      </c>
      <c r="E36" s="236">
        <f>T_09b!E30</f>
        <v>2</v>
      </c>
      <c r="F36" s="236">
        <f>T_09b!F30</f>
        <v>4</v>
      </c>
      <c r="G36" s="236">
        <f>T_09b!G30</f>
        <v>1</v>
      </c>
      <c r="H36" s="236">
        <f>T_09b!H30</f>
        <v>12</v>
      </c>
      <c r="I36" s="236">
        <f>T_09b!I30</f>
        <v>23</v>
      </c>
      <c r="J36" s="236">
        <f>T_09b!J30</f>
        <v>4</v>
      </c>
      <c r="K36" s="236">
        <f>T_09b!K30</f>
        <v>13</v>
      </c>
      <c r="L36" s="515">
        <f t="shared" si="0"/>
        <v>40</v>
      </c>
      <c r="M36" s="516">
        <f t="shared" si="1"/>
        <v>124</v>
      </c>
      <c r="N36" s="311"/>
      <c r="O36" s="513">
        <f>M36/T_09b!B30*100000</f>
        <v>107.6015272474835</v>
      </c>
      <c r="P36" s="112"/>
    </row>
    <row r="37" spans="1:16" ht="13.5" customHeight="1" x14ac:dyDescent="0.2">
      <c r="A37" s="1" t="s">
        <v>613</v>
      </c>
      <c r="B37" s="117" t="s">
        <v>47</v>
      </c>
      <c r="C37" s="111">
        <f>T_09b!C31</f>
        <v>0</v>
      </c>
      <c r="D37" s="111">
        <f>T_09b!D31</f>
        <v>6</v>
      </c>
      <c r="E37" s="111">
        <f>T_09b!E31</f>
        <v>0</v>
      </c>
      <c r="F37" s="111">
        <f>T_09b!F31</f>
        <v>2</v>
      </c>
      <c r="G37" s="111">
        <f>T_09b!G31</f>
        <v>0</v>
      </c>
      <c r="H37" s="111">
        <f>T_09b!H31</f>
        <v>3</v>
      </c>
      <c r="I37" s="111">
        <f>T_09b!I31</f>
        <v>1</v>
      </c>
      <c r="J37" s="111">
        <f>T_09b!J31</f>
        <v>0</v>
      </c>
      <c r="K37" s="111">
        <f>T_09b!K31</f>
        <v>3</v>
      </c>
      <c r="L37" s="515">
        <f t="shared" si="0"/>
        <v>4</v>
      </c>
      <c r="M37" s="516">
        <f t="shared" si="1"/>
        <v>15</v>
      </c>
      <c r="N37" s="311"/>
      <c r="O37" s="513">
        <f>M37/T_09b!B31*100000</f>
        <v>65.588106689986887</v>
      </c>
      <c r="P37" s="112"/>
    </row>
    <row r="38" spans="1:16" ht="13.5" customHeight="1" x14ac:dyDescent="0.2">
      <c r="A38" s="1" t="s">
        <v>614</v>
      </c>
      <c r="B38" s="117" t="s">
        <v>48</v>
      </c>
      <c r="C38" s="236">
        <f>T_09b!C32</f>
        <v>2</v>
      </c>
      <c r="D38" s="236">
        <f>T_09b!D32</f>
        <v>102</v>
      </c>
      <c r="E38" s="236">
        <f>T_09b!E32</f>
        <v>2</v>
      </c>
      <c r="F38" s="236">
        <f>T_09b!F32</f>
        <v>4</v>
      </c>
      <c r="G38" s="236">
        <f>T_09b!G32</f>
        <v>1</v>
      </c>
      <c r="H38" s="236">
        <f>T_09b!H32</f>
        <v>66</v>
      </c>
      <c r="I38" s="236">
        <f>T_09b!I32</f>
        <v>74</v>
      </c>
      <c r="J38" s="236">
        <f>T_09b!J32</f>
        <v>2</v>
      </c>
      <c r="K38" s="236">
        <f>T_09b!K32</f>
        <v>51</v>
      </c>
      <c r="L38" s="515">
        <f t="shared" si="0"/>
        <v>127</v>
      </c>
      <c r="M38" s="516">
        <f t="shared" si="1"/>
        <v>304</v>
      </c>
      <c r="N38" s="311"/>
      <c r="O38" s="513">
        <f>M38/T_09b!B32*100000</f>
        <v>271.08970929195647</v>
      </c>
      <c r="P38" s="112"/>
    </row>
    <row r="39" spans="1:16" ht="13.5" customHeight="1" x14ac:dyDescent="0.2">
      <c r="A39" s="1" t="s">
        <v>615</v>
      </c>
      <c r="B39" s="117" t="s">
        <v>49</v>
      </c>
      <c r="C39" s="111">
        <f>T_09b!C33</f>
        <v>5</v>
      </c>
      <c r="D39" s="111">
        <f>T_09b!D33</f>
        <v>349</v>
      </c>
      <c r="E39" s="111">
        <f>T_09b!E33</f>
        <v>8</v>
      </c>
      <c r="F39" s="111">
        <f>T_09b!F33</f>
        <v>7</v>
      </c>
      <c r="G39" s="111">
        <f>T_09b!G33</f>
        <v>4</v>
      </c>
      <c r="H39" s="111">
        <f>T_09b!H33</f>
        <v>97</v>
      </c>
      <c r="I39" s="111">
        <f>T_09b!I33</f>
        <v>171</v>
      </c>
      <c r="J39" s="111">
        <f>T_09b!J33</f>
        <v>26</v>
      </c>
      <c r="K39" s="111">
        <f>T_09b!K33</f>
        <v>351</v>
      </c>
      <c r="L39" s="515">
        <f t="shared" si="0"/>
        <v>548</v>
      </c>
      <c r="M39" s="516">
        <f t="shared" si="1"/>
        <v>1018</v>
      </c>
      <c r="N39" s="311"/>
      <c r="O39" s="513">
        <f>M39/T_09b!B33*100000</f>
        <v>317.31188828626642</v>
      </c>
      <c r="P39" s="112"/>
    </row>
    <row r="40" spans="1:16" ht="13.5" customHeight="1" x14ac:dyDescent="0.2">
      <c r="A40" s="1" t="s">
        <v>616</v>
      </c>
      <c r="B40" s="117" t="s">
        <v>50</v>
      </c>
      <c r="C40" s="236">
        <f>T_09b!C34</f>
        <v>2</v>
      </c>
      <c r="D40" s="236">
        <f>T_09b!D34</f>
        <v>89</v>
      </c>
      <c r="E40" s="236">
        <f>T_09b!E34</f>
        <v>0</v>
      </c>
      <c r="F40" s="236">
        <f>T_09b!F34</f>
        <v>8</v>
      </c>
      <c r="G40" s="236">
        <f>T_09b!G34</f>
        <v>1</v>
      </c>
      <c r="H40" s="236">
        <f>T_09b!H34</f>
        <v>19</v>
      </c>
      <c r="I40" s="236">
        <f>T_09b!I34</f>
        <v>46</v>
      </c>
      <c r="J40" s="236">
        <f>T_09b!J34</f>
        <v>4</v>
      </c>
      <c r="K40" s="236">
        <f>T_09b!K34</f>
        <v>27</v>
      </c>
      <c r="L40" s="515">
        <f t="shared" si="0"/>
        <v>77</v>
      </c>
      <c r="M40" s="516">
        <f t="shared" si="1"/>
        <v>196</v>
      </c>
      <c r="N40" s="311"/>
      <c r="O40" s="513">
        <f>M40/T_09b!B34*100000</f>
        <v>208.33333333333334</v>
      </c>
      <c r="P40" s="112"/>
    </row>
    <row r="41" spans="1:16" ht="13.5" customHeight="1" x14ac:dyDescent="0.2">
      <c r="A41" s="1" t="s">
        <v>617</v>
      </c>
      <c r="B41" s="117" t="s">
        <v>51</v>
      </c>
      <c r="C41" s="111">
        <f>T_09b!C35</f>
        <v>12</v>
      </c>
      <c r="D41" s="111">
        <f>T_09b!D35</f>
        <v>119</v>
      </c>
      <c r="E41" s="111">
        <f>T_09b!E35</f>
        <v>3</v>
      </c>
      <c r="F41" s="111">
        <f>T_09b!F35</f>
        <v>6</v>
      </c>
      <c r="G41" s="111">
        <f>T_09b!G35</f>
        <v>0</v>
      </c>
      <c r="H41" s="111">
        <f>T_09b!H35</f>
        <v>54</v>
      </c>
      <c r="I41" s="111">
        <f>T_09b!I35</f>
        <v>121</v>
      </c>
      <c r="J41" s="111">
        <f>T_09b!J35</f>
        <v>7</v>
      </c>
      <c r="K41" s="111">
        <f>T_09b!K35</f>
        <v>86</v>
      </c>
      <c r="L41" s="515">
        <f t="shared" si="0"/>
        <v>214</v>
      </c>
      <c r="M41" s="516">
        <f t="shared" si="1"/>
        <v>408</v>
      </c>
      <c r="N41" s="311"/>
      <c r="O41" s="513">
        <f>M41/T_09b!B35*100000</f>
        <v>461.85193570296582</v>
      </c>
      <c r="P41" s="112"/>
    </row>
    <row r="42" spans="1:16" ht="13.5" customHeight="1" x14ac:dyDescent="0.2">
      <c r="A42" s="1" t="s">
        <v>618</v>
      </c>
      <c r="B42" s="117" t="s">
        <v>52</v>
      </c>
      <c r="C42" s="236">
        <f>T_09b!C36</f>
        <v>11</v>
      </c>
      <c r="D42" s="236">
        <f>T_09b!D36</f>
        <v>283</v>
      </c>
      <c r="E42" s="236">
        <f>T_09b!E36</f>
        <v>3</v>
      </c>
      <c r="F42" s="236">
        <f>T_09b!F36</f>
        <v>15</v>
      </c>
      <c r="G42" s="236">
        <f>T_09b!G36</f>
        <v>6</v>
      </c>
      <c r="H42" s="236">
        <f>T_09b!H36</f>
        <v>82</v>
      </c>
      <c r="I42" s="236">
        <f>T_09b!I36</f>
        <v>164</v>
      </c>
      <c r="J42" s="236">
        <f>T_09b!J36</f>
        <v>22</v>
      </c>
      <c r="K42" s="236">
        <f>T_09b!K36</f>
        <v>106</v>
      </c>
      <c r="L42" s="515">
        <f t="shared" si="0"/>
        <v>292</v>
      </c>
      <c r="M42" s="516">
        <f t="shared" si="1"/>
        <v>692</v>
      </c>
      <c r="N42" s="311"/>
      <c r="O42" s="513">
        <f>M42/T_09b!B36*100000</f>
        <v>376.45522794037646</v>
      </c>
      <c r="P42" s="112"/>
    </row>
    <row r="43" spans="1:16" ht="13.5" customHeight="1" x14ac:dyDescent="0.2">
      <c r="A43" s="63"/>
      <c r="B43" s="358" t="str">
        <f>IF(T_09b!$A$37 = "Z_Not Known", "Not Known","")</f>
        <v/>
      </c>
      <c r="C43" s="526" t="str">
        <f>IF($B$43="Not Known",T_09b!C37,"")</f>
        <v/>
      </c>
      <c r="D43" s="526" t="str">
        <f>IF($B$43="Not Known",T_09b!D37,"")</f>
        <v/>
      </c>
      <c r="E43" s="526" t="str">
        <f>IF($B$43="Not Known",T_09b!E37,"")</f>
        <v/>
      </c>
      <c r="F43" s="526" t="str">
        <f>IF($B$43="Not Known",T_09b!F37,"")</f>
        <v/>
      </c>
      <c r="G43" s="526" t="str">
        <f>IF($B$43="Not Known",T_09b!G37,"")</f>
        <v/>
      </c>
      <c r="H43" s="526" t="str">
        <f>IF($B$43="Not Known",T_09b!H37,"")</f>
        <v/>
      </c>
      <c r="I43" s="526" t="str">
        <f>IF($B$43="Not Known",T_09b!I37,"")</f>
        <v/>
      </c>
      <c r="J43" s="526" t="str">
        <f>IF($B$43="Not Known",T_09b!J37,"")</f>
        <v/>
      </c>
      <c r="K43" s="526" t="str">
        <f>IF($B$43="Not Known",T_09b!K37,"")</f>
        <v/>
      </c>
      <c r="L43" s="526" t="str">
        <f>IF($B$43="Not Known",T_09b!L37,"")</f>
        <v/>
      </c>
      <c r="M43" s="528" t="str">
        <f>IF(SUM(C43:K43)=0,"",SUM(C43:K43))</f>
        <v/>
      </c>
      <c r="N43" s="311"/>
      <c r="O43" s="513"/>
      <c r="P43" s="112"/>
    </row>
    <row r="44" spans="1:16" ht="30" customHeight="1" thickBot="1" x14ac:dyDescent="0.25">
      <c r="A44" s="522" t="s">
        <v>620</v>
      </c>
      <c r="B44" s="405" t="s">
        <v>143</v>
      </c>
      <c r="C44" s="523">
        <f>SUM(C11:C43)</f>
        <v>185</v>
      </c>
      <c r="D44" s="523">
        <f t="shared" ref="D44:L44" si="2">SUM(D11:D43)</f>
        <v>5027</v>
      </c>
      <c r="E44" s="523">
        <f t="shared" si="2"/>
        <v>95</v>
      </c>
      <c r="F44" s="523">
        <f t="shared" si="2"/>
        <v>351</v>
      </c>
      <c r="G44" s="523">
        <f t="shared" si="2"/>
        <v>101</v>
      </c>
      <c r="H44" s="523">
        <f t="shared" si="2"/>
        <v>1941</v>
      </c>
      <c r="I44" s="523">
        <f t="shared" si="2"/>
        <v>3382</v>
      </c>
      <c r="J44" s="523">
        <f t="shared" si="2"/>
        <v>441</v>
      </c>
      <c r="K44" s="523">
        <f t="shared" si="2"/>
        <v>3607</v>
      </c>
      <c r="L44" s="523">
        <f t="shared" si="2"/>
        <v>7430</v>
      </c>
      <c r="M44" s="523">
        <f>SUM(M11:M43)</f>
        <v>15130</v>
      </c>
      <c r="N44" s="13"/>
      <c r="O44" s="1074">
        <f>M44/GETPIVOTDATA("Sum of pop",T_09b!$A$4)*100000</f>
        <v>276.80204903036957</v>
      </c>
      <c r="P44" s="112"/>
    </row>
    <row r="45" spans="1:16" x14ac:dyDescent="0.2">
      <c r="B45" s="2"/>
      <c r="C45" s="13"/>
      <c r="D45" s="13"/>
      <c r="E45" s="13"/>
      <c r="F45" s="13"/>
      <c r="G45" s="13"/>
      <c r="H45" s="13"/>
      <c r="I45" s="13"/>
      <c r="J45" s="42"/>
      <c r="K45" s="13"/>
      <c r="L45" s="13"/>
      <c r="M45" s="13"/>
    </row>
    <row r="46" spans="1:16" x14ac:dyDescent="0.2">
      <c r="B46" s="29"/>
    </row>
    <row r="47" spans="1:16" x14ac:dyDescent="0.2">
      <c r="A47" s="5" t="s">
        <v>1231</v>
      </c>
      <c r="B47" s="1328"/>
      <c r="C47" s="1328"/>
      <c r="D47" s="1328"/>
      <c r="E47" s="1328"/>
      <c r="F47" s="1328"/>
      <c r="G47" s="1328"/>
      <c r="H47" s="1328"/>
      <c r="I47" s="1328"/>
      <c r="J47" s="1328"/>
      <c r="K47" s="1328"/>
      <c r="L47" s="1328"/>
    </row>
    <row r="48" spans="1:16" x14ac:dyDescent="0.2">
      <c r="A48" s="1" t="s">
        <v>660</v>
      </c>
      <c r="B48" s="50"/>
    </row>
    <row r="49" spans="1:2" x14ac:dyDescent="0.2">
      <c r="A49" s="18" t="s">
        <v>1093</v>
      </c>
      <c r="B49" s="18"/>
    </row>
    <row r="50" spans="1:2" x14ac:dyDescent="0.2">
      <c r="A50" s="1" t="s">
        <v>1230</v>
      </c>
    </row>
  </sheetData>
  <sheetProtection algorithmName="SHA-512" hashValue="MkeBXqPZQYPBPYVVgDxWWtX5Z7Z5XCxYo1dJJtUooPVlS96p1hMXew462kjbQgznaj09mQCIjakNQd12buctIw==" saltValue="mJrMLI/np/rZETRW3PEJ1A==" spinCount="100000" sheet="1" scenarios="1" formatCells="0" formatColumns="0" formatRows="0" sort="0" autoFilter="0" pivotTables="0"/>
  <mergeCells count="6">
    <mergeCell ref="B47:L47"/>
    <mergeCell ref="M8:M10"/>
    <mergeCell ref="O8:O10"/>
    <mergeCell ref="C8:L8"/>
    <mergeCell ref="C9:H9"/>
    <mergeCell ref="I9:L9"/>
  </mergeCells>
  <hyperlinks>
    <hyperlink ref="A2" location="'Table of Contents'!A1" display="Back to Table of Contents" xr:uid="{00000000-0004-0000-4300-000000000000}"/>
    <hyperlink ref="A49" r:id="rId1" xr:uid="{00000000-0004-0000-4300-000001000000}"/>
  </hyperlinks>
  <pageMargins left="0.70866141732283472" right="0.70866141732283472" top="0.74803149606299213" bottom="0.74803149606299213" header="0.31496062992125984" footer="0.31496062992125984"/>
  <pageSetup paperSize="9" scale="66" orientation="landscape"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AFF0"/>
  </sheetPr>
  <dimension ref="A1:AD42"/>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8.28515625" customWidth="1"/>
    <col min="2" max="8" width="11.7109375" customWidth="1"/>
    <col min="9" max="16" width="12.140625" customWidth="1"/>
  </cols>
  <sheetData>
    <row r="1" spans="1:17" ht="15.75" x14ac:dyDescent="0.2">
      <c r="A1" s="298" t="s">
        <v>1129</v>
      </c>
    </row>
    <row r="2" spans="1:17" ht="15.75" customHeight="1" x14ac:dyDescent="0.2">
      <c r="A2" s="106" t="s">
        <v>578</v>
      </c>
    </row>
    <row r="3" spans="1:17" ht="36.75" customHeight="1" x14ac:dyDescent="0.2">
      <c r="A3" s="120" t="s">
        <v>818</v>
      </c>
      <c r="B3" s="120"/>
      <c r="C3" s="120"/>
      <c r="D3" s="120"/>
      <c r="E3" s="120"/>
    </row>
    <row r="4" spans="1:17" ht="15.75" x14ac:dyDescent="0.25">
      <c r="A4" s="351" t="s">
        <v>579</v>
      </c>
      <c r="B4" s="1043" t="s">
        <v>1318</v>
      </c>
      <c r="C4" s="120"/>
      <c r="D4" s="197"/>
      <c r="E4" s="197"/>
    </row>
    <row r="5" spans="1:17" ht="15.75" x14ac:dyDescent="0.25">
      <c r="A5" s="351" t="s">
        <v>580</v>
      </c>
      <c r="B5" s="351" t="s">
        <v>581</v>
      </c>
      <c r="C5" s="197"/>
      <c r="D5" s="197"/>
      <c r="E5" s="197"/>
    </row>
    <row r="6" spans="1:17" ht="15.75" x14ac:dyDescent="0.25">
      <c r="A6" s="351" t="s">
        <v>582</v>
      </c>
      <c r="B6" s="351" t="s">
        <v>585</v>
      </c>
      <c r="C6" s="197"/>
      <c r="D6" s="197"/>
      <c r="E6" s="197"/>
    </row>
    <row r="7" spans="1:17" ht="15" x14ac:dyDescent="0.25">
      <c r="A7" s="1"/>
      <c r="B7" s="1"/>
      <c r="D7" s="1"/>
      <c r="E7" s="1"/>
      <c r="P7" s="80" t="s">
        <v>0</v>
      </c>
    </row>
    <row r="8" spans="1:17" ht="12.75" customHeight="1" x14ac:dyDescent="0.2">
      <c r="A8" s="1"/>
      <c r="B8" s="1344" t="s">
        <v>819</v>
      </c>
      <c r="C8" s="1344"/>
      <c r="D8" s="1344"/>
      <c r="E8" s="1344"/>
      <c r="F8" s="1344"/>
      <c r="G8" s="1344"/>
      <c r="H8" s="1345"/>
      <c r="I8" s="1347" t="s">
        <v>820</v>
      </c>
      <c r="J8" s="1344"/>
      <c r="K8" s="1344"/>
      <c r="L8" s="1344"/>
      <c r="M8" s="1344"/>
      <c r="N8" s="1344"/>
      <c r="O8" s="1344"/>
      <c r="P8" s="625"/>
      <c r="Q8" s="1"/>
    </row>
    <row r="9" spans="1:17" x14ac:dyDescent="0.2">
      <c r="A9" s="1"/>
      <c r="B9" s="1346" t="s">
        <v>307</v>
      </c>
      <c r="C9" s="1346"/>
      <c r="D9" s="1346"/>
      <c r="E9" s="1346"/>
      <c r="H9" s="602"/>
      <c r="I9" s="1346" t="s">
        <v>307</v>
      </c>
      <c r="J9" s="1346"/>
      <c r="K9" s="1346"/>
      <c r="L9" s="1346"/>
      <c r="P9" s="1343" t="s">
        <v>650</v>
      </c>
      <c r="Q9" s="1"/>
    </row>
    <row r="10" spans="1:17" ht="25.5" x14ac:dyDescent="0.2">
      <c r="A10" s="136" t="s">
        <v>4</v>
      </c>
      <c r="B10" s="136" t="s">
        <v>752</v>
      </c>
      <c r="C10" s="136" t="s">
        <v>6</v>
      </c>
      <c r="D10" s="136" t="s">
        <v>10</v>
      </c>
      <c r="E10" s="136" t="s">
        <v>8</v>
      </c>
      <c r="F10" s="247" t="s">
        <v>308</v>
      </c>
      <c r="G10" s="136" t="s">
        <v>309</v>
      </c>
      <c r="H10" s="624" t="s">
        <v>11</v>
      </c>
      <c r="I10" s="136" t="s">
        <v>752</v>
      </c>
      <c r="J10" s="136" t="s">
        <v>6</v>
      </c>
      <c r="K10" s="136" t="s">
        <v>10</v>
      </c>
      <c r="L10" s="136" t="s">
        <v>8</v>
      </c>
      <c r="M10" s="136" t="s">
        <v>308</v>
      </c>
      <c r="N10" s="136" t="s">
        <v>309</v>
      </c>
      <c r="O10" s="136" t="s">
        <v>11</v>
      </c>
      <c r="P10" s="1280"/>
    </row>
    <row r="11" spans="1:17" ht="14.25" customHeight="1" x14ac:dyDescent="0.2">
      <c r="A11" s="378" t="str">
        <f>T_M!A4</f>
        <v>2009-10</v>
      </c>
      <c r="B11" s="1165">
        <f>T_M!C4</f>
        <v>5367</v>
      </c>
      <c r="C11" s="1165">
        <f>T_M!D4</f>
        <v>2031</v>
      </c>
      <c r="D11" s="1165">
        <f>T_M!E4</f>
        <v>1507</v>
      </c>
      <c r="E11" s="1165">
        <f>T_M!F4</f>
        <v>472</v>
      </c>
      <c r="F11" s="1165">
        <f>T_M!G4</f>
        <v>4718</v>
      </c>
      <c r="G11" s="1165">
        <f>T_M!B4</f>
        <v>1739</v>
      </c>
      <c r="H11" s="1166">
        <f>T_M!H4</f>
        <v>15834</v>
      </c>
      <c r="I11" s="1165">
        <f>T_M!J4</f>
        <v>1193</v>
      </c>
      <c r="J11" s="1165">
        <f>T_M!K4</f>
        <v>973</v>
      </c>
      <c r="K11" s="1165">
        <f>T_M!L4</f>
        <v>1478</v>
      </c>
      <c r="L11" s="1165">
        <f>T_M!M4</f>
        <v>971</v>
      </c>
      <c r="M11" s="1165">
        <f>T_M!N4</f>
        <v>18287</v>
      </c>
      <c r="N11" s="1165">
        <f>T_M!I4</f>
        <v>1</v>
      </c>
      <c r="O11" s="413">
        <f>T_M!O4</f>
        <v>22903</v>
      </c>
      <c r="P11" s="1167">
        <f>T_M!P4</f>
        <v>38737</v>
      </c>
    </row>
    <row r="12" spans="1:17" ht="14.25" customHeight="1" x14ac:dyDescent="0.2">
      <c r="A12" s="29" t="str">
        <f>T_M!A5</f>
        <v>2010-11</v>
      </c>
      <c r="B12" s="43">
        <f>T_M!C5</f>
        <v>5209</v>
      </c>
      <c r="C12" s="43">
        <f>T_M!D5</f>
        <v>1980</v>
      </c>
      <c r="D12" s="43">
        <f>T_M!E5</f>
        <v>1433</v>
      </c>
      <c r="E12" s="43">
        <f>T_M!F5</f>
        <v>438</v>
      </c>
      <c r="F12" s="43">
        <f>T_M!G5</f>
        <v>2615</v>
      </c>
      <c r="G12" s="43">
        <f>T_M!B5</f>
        <v>1570</v>
      </c>
      <c r="H12" s="1168">
        <f>T_M!H5</f>
        <v>13245</v>
      </c>
      <c r="I12" s="43">
        <f>T_M!J5</f>
        <v>1084</v>
      </c>
      <c r="J12" s="43">
        <f>T_M!K5</f>
        <v>815</v>
      </c>
      <c r="K12" s="43">
        <f>T_M!L5</f>
        <v>1251</v>
      </c>
      <c r="L12" s="43">
        <f>T_M!M5</f>
        <v>934</v>
      </c>
      <c r="M12" s="43">
        <f>T_M!N5</f>
        <v>21602</v>
      </c>
      <c r="N12" s="43">
        <f>T_M!I5</f>
        <v>4</v>
      </c>
      <c r="O12" s="21">
        <f>T_M!O5</f>
        <v>25690</v>
      </c>
      <c r="P12" s="1167">
        <f>T_M!P5</f>
        <v>38935</v>
      </c>
    </row>
    <row r="13" spans="1:17" ht="14.25" customHeight="1" x14ac:dyDescent="0.2">
      <c r="A13" s="29" t="str">
        <f>T_M!A6</f>
        <v>2011-12</v>
      </c>
      <c r="B13" s="43">
        <f>T_M!C6</f>
        <v>5117</v>
      </c>
      <c r="C13" s="43">
        <f>T_M!D6</f>
        <v>1854</v>
      </c>
      <c r="D13" s="43">
        <f>T_M!E6</f>
        <v>1247</v>
      </c>
      <c r="E13" s="43">
        <f>T_M!F6</f>
        <v>413</v>
      </c>
      <c r="F13" s="43">
        <f>T_M!G6</f>
        <v>2485</v>
      </c>
      <c r="G13" s="43">
        <f>T_M!B6</f>
        <v>1243</v>
      </c>
      <c r="H13" s="1168">
        <f>T_M!H6</f>
        <v>12359</v>
      </c>
      <c r="I13" s="43">
        <f>T_M!J6</f>
        <v>1040</v>
      </c>
      <c r="J13" s="43">
        <f>T_M!K6</f>
        <v>863</v>
      </c>
      <c r="K13" s="43">
        <f>T_M!L6</f>
        <v>1115</v>
      </c>
      <c r="L13" s="43">
        <f>T_M!M6</f>
        <v>762</v>
      </c>
      <c r="M13" s="43">
        <f>T_M!N6</f>
        <v>16198</v>
      </c>
      <c r="N13" s="43">
        <f>T_M!I6</f>
        <v>2</v>
      </c>
      <c r="O13" s="21">
        <f>T_M!O6</f>
        <v>19980</v>
      </c>
      <c r="P13" s="1167">
        <f>T_M!P6</f>
        <v>32339</v>
      </c>
    </row>
    <row r="14" spans="1:17" ht="14.25" customHeight="1" x14ac:dyDescent="0.2">
      <c r="A14" s="29" t="str">
        <f>T_M!A7</f>
        <v>2012-13</v>
      </c>
      <c r="B14" s="43">
        <f>T_M!C7</f>
        <v>4997</v>
      </c>
      <c r="C14" s="43">
        <f>T_M!D7</f>
        <v>1719</v>
      </c>
      <c r="D14" s="43">
        <f>T_M!E7</f>
        <v>1220</v>
      </c>
      <c r="E14" s="43">
        <f>T_M!F7</f>
        <v>317</v>
      </c>
      <c r="F14" s="43">
        <f>T_M!G7</f>
        <v>2021</v>
      </c>
      <c r="G14" s="43">
        <f>T_M!B7</f>
        <v>1381</v>
      </c>
      <c r="H14" s="1168">
        <f>T_M!H7</f>
        <v>11655</v>
      </c>
      <c r="I14" s="43">
        <f>T_M!J7</f>
        <v>832</v>
      </c>
      <c r="J14" s="43">
        <f>T_M!K7</f>
        <v>689</v>
      </c>
      <c r="K14" s="43">
        <f>T_M!L7</f>
        <v>814</v>
      </c>
      <c r="L14" s="43">
        <f>T_M!M7</f>
        <v>498</v>
      </c>
      <c r="M14" s="43">
        <f>T_M!N7</f>
        <v>12252</v>
      </c>
      <c r="N14" s="43">
        <f>T_M!I7</f>
        <v>0</v>
      </c>
      <c r="O14" s="21">
        <f>T_M!O7</f>
        <v>15085</v>
      </c>
      <c r="P14" s="1167">
        <f>T_M!P7</f>
        <v>26740</v>
      </c>
    </row>
    <row r="15" spans="1:17" ht="14.25" customHeight="1" x14ac:dyDescent="0.2">
      <c r="A15" s="29" t="str">
        <f>T_M!A8</f>
        <v>2013-14</v>
      </c>
      <c r="B15" s="43">
        <f>T_M!C8</f>
        <v>4673</v>
      </c>
      <c r="C15" s="43">
        <f>T_M!D8</f>
        <v>1711</v>
      </c>
      <c r="D15" s="43">
        <f>T_M!E8</f>
        <v>1169</v>
      </c>
      <c r="E15" s="43">
        <f>T_M!F8</f>
        <v>388</v>
      </c>
      <c r="F15" s="43">
        <f>T_M!G8</f>
        <v>2914</v>
      </c>
      <c r="G15" s="43">
        <f>T_M!B8</f>
        <v>1105</v>
      </c>
      <c r="H15" s="1168">
        <f>T_M!H8</f>
        <v>11960</v>
      </c>
      <c r="I15" s="43">
        <f>T_M!J8</f>
        <v>650</v>
      </c>
      <c r="J15" s="43">
        <f>T_M!K8</f>
        <v>635</v>
      </c>
      <c r="K15" s="43">
        <f>T_M!L8</f>
        <v>769</v>
      </c>
      <c r="L15" s="43">
        <f>T_M!M8</f>
        <v>526</v>
      </c>
      <c r="M15" s="43">
        <f>T_M!N8</f>
        <v>13447</v>
      </c>
      <c r="N15" s="43">
        <f>T_M!I8</f>
        <v>2</v>
      </c>
      <c r="O15" s="21">
        <f>T_M!O8</f>
        <v>16029</v>
      </c>
      <c r="P15" s="1167">
        <f>T_M!P8</f>
        <v>27989</v>
      </c>
    </row>
    <row r="16" spans="1:17" ht="14.25" customHeight="1" x14ac:dyDescent="0.2">
      <c r="A16" s="29" t="str">
        <f>T_M!A9</f>
        <v>2014-15</v>
      </c>
      <c r="B16" s="43">
        <f>T_M!C9</f>
        <v>4953</v>
      </c>
      <c r="C16" s="43">
        <f>T_M!D9</f>
        <v>1759</v>
      </c>
      <c r="D16" s="43">
        <f>T_M!E9</f>
        <v>1148</v>
      </c>
      <c r="E16" s="43">
        <f>T_M!F9</f>
        <v>360</v>
      </c>
      <c r="F16" s="43">
        <f>T_M!G9</f>
        <v>2239</v>
      </c>
      <c r="G16" s="43">
        <f>T_M!B9</f>
        <v>983</v>
      </c>
      <c r="H16" s="1168">
        <f>T_M!H9</f>
        <v>11442</v>
      </c>
      <c r="I16" s="43">
        <f>T_M!J9</f>
        <v>621</v>
      </c>
      <c r="J16" s="43">
        <f>T_M!K9</f>
        <v>565</v>
      </c>
      <c r="K16" s="43">
        <f>T_M!L9</f>
        <v>749</v>
      </c>
      <c r="L16" s="43">
        <f>T_M!M9</f>
        <v>478</v>
      </c>
      <c r="M16" s="43">
        <f>T_M!N9</f>
        <v>11167</v>
      </c>
      <c r="N16" s="43">
        <f>T_M!I9</f>
        <v>2</v>
      </c>
      <c r="O16" s="21">
        <f>T_M!O9</f>
        <v>13582</v>
      </c>
      <c r="P16" s="1167">
        <f>T_M!P9</f>
        <v>25024</v>
      </c>
    </row>
    <row r="17" spans="1:30" ht="14.25" customHeight="1" x14ac:dyDescent="0.2">
      <c r="A17" s="29" t="str">
        <f>T_M!A10</f>
        <v>2015-16</v>
      </c>
      <c r="B17" s="43">
        <f>T_M!C10</f>
        <v>5068</v>
      </c>
      <c r="C17" s="43">
        <f>T_M!D10</f>
        <v>1850</v>
      </c>
      <c r="D17" s="43">
        <f>T_M!E10</f>
        <v>1165</v>
      </c>
      <c r="E17" s="43">
        <f>T_M!F10</f>
        <v>336</v>
      </c>
      <c r="F17" s="43">
        <f>T_M!G10</f>
        <v>2454</v>
      </c>
      <c r="G17" s="43">
        <f>T_M!B10</f>
        <v>885</v>
      </c>
      <c r="H17" s="1168">
        <f>T_M!H10</f>
        <v>11758</v>
      </c>
      <c r="I17" s="43">
        <f>T_M!J10</f>
        <v>605</v>
      </c>
      <c r="J17" s="43">
        <f>T_M!K10</f>
        <v>644</v>
      </c>
      <c r="K17" s="43">
        <f>T_M!L10</f>
        <v>800</v>
      </c>
      <c r="L17" s="43">
        <f>T_M!M10</f>
        <v>538</v>
      </c>
      <c r="M17" s="43">
        <f>T_M!N10</f>
        <v>12278</v>
      </c>
      <c r="N17" s="43">
        <f>T_M!I10</f>
        <v>5</v>
      </c>
      <c r="O17" s="21">
        <f>T_M!O10</f>
        <v>14870</v>
      </c>
      <c r="P17" s="1167">
        <f>T_M!P10</f>
        <v>26628</v>
      </c>
    </row>
    <row r="18" spans="1:30" ht="14.25" customHeight="1" x14ac:dyDescent="0.2">
      <c r="A18" s="29" t="str">
        <f>T_M!A11</f>
        <v>2016-17</v>
      </c>
      <c r="B18" s="43">
        <f>T_M!C11</f>
        <v>4922</v>
      </c>
      <c r="C18" s="43">
        <f>T_M!D11</f>
        <v>1720</v>
      </c>
      <c r="D18" s="43">
        <f>T_M!E11</f>
        <v>1211</v>
      </c>
      <c r="E18" s="43">
        <f>T_M!F11</f>
        <v>346</v>
      </c>
      <c r="F18" s="43">
        <f>T_M!G11</f>
        <v>2467</v>
      </c>
      <c r="G18" s="43">
        <f>T_M!B11</f>
        <v>747</v>
      </c>
      <c r="H18" s="1168">
        <f>T_M!H11</f>
        <v>11413</v>
      </c>
      <c r="I18" s="43">
        <f>T_M!J11</f>
        <v>618</v>
      </c>
      <c r="J18" s="43">
        <f>T_M!K11</f>
        <v>557</v>
      </c>
      <c r="K18" s="43">
        <f>T_M!L11</f>
        <v>909</v>
      </c>
      <c r="L18" s="43">
        <f>T_M!M11</f>
        <v>611</v>
      </c>
      <c r="M18" s="43">
        <f>T_M!N11</f>
        <v>13193</v>
      </c>
      <c r="N18" s="43">
        <f>T_M!I11</f>
        <v>3</v>
      </c>
      <c r="O18" s="21">
        <f>T_M!O11</f>
        <v>15891</v>
      </c>
      <c r="P18" s="1167">
        <f>T_M!P11</f>
        <v>27304</v>
      </c>
    </row>
    <row r="19" spans="1:30" ht="14.25" customHeight="1" x14ac:dyDescent="0.2">
      <c r="A19" s="29" t="str">
        <f>T_M!A12</f>
        <v>2017-18</v>
      </c>
      <c r="B19" s="43">
        <f>T_M!C12</f>
        <v>4751</v>
      </c>
      <c r="C19" s="43">
        <f>T_M!D12</f>
        <v>1639</v>
      </c>
      <c r="D19" s="43">
        <f>T_M!E12</f>
        <v>1153</v>
      </c>
      <c r="E19" s="43">
        <f>T_M!F12</f>
        <v>398</v>
      </c>
      <c r="F19" s="43">
        <f>T_M!G12</f>
        <v>2612</v>
      </c>
      <c r="G19" s="43">
        <f>T_M!B12</f>
        <v>771</v>
      </c>
      <c r="H19" s="1168">
        <f>T_M!H12</f>
        <v>11324</v>
      </c>
      <c r="I19" s="43">
        <f>T_M!J12</f>
        <v>560</v>
      </c>
      <c r="J19" s="43">
        <f>T_M!K12</f>
        <v>648</v>
      </c>
      <c r="K19" s="43">
        <f>T_M!L12</f>
        <v>863</v>
      </c>
      <c r="L19" s="43">
        <f>T_M!M12</f>
        <v>660</v>
      </c>
      <c r="M19" s="43">
        <f>T_M!N12</f>
        <v>12116</v>
      </c>
      <c r="N19" s="43">
        <f>T_M!I12</f>
        <v>3</v>
      </c>
      <c r="O19" s="21">
        <f>T_M!O12</f>
        <v>14850</v>
      </c>
      <c r="P19" s="1167">
        <f>T_M!P12</f>
        <v>26174</v>
      </c>
    </row>
    <row r="20" spans="1:30" ht="14.25" customHeight="1" x14ac:dyDescent="0.2">
      <c r="A20" s="29" t="str">
        <f>T_M!A13</f>
        <v>2018-19</v>
      </c>
      <c r="B20" s="43">
        <f>T_M!C13</f>
        <v>4635</v>
      </c>
      <c r="C20" s="43">
        <f>T_M!D13</f>
        <v>1703</v>
      </c>
      <c r="D20" s="43">
        <f>T_M!E13</f>
        <v>1165</v>
      </c>
      <c r="E20" s="43">
        <f>T_M!F13</f>
        <v>466</v>
      </c>
      <c r="F20" s="43">
        <f>T_M!G13</f>
        <v>3212</v>
      </c>
      <c r="G20" s="43">
        <f>T_M!B13</f>
        <v>642</v>
      </c>
      <c r="H20" s="1168">
        <f>T_M!H13</f>
        <v>11823</v>
      </c>
      <c r="I20" s="43">
        <f>T_M!J13</f>
        <v>510</v>
      </c>
      <c r="J20" s="43">
        <f>T_M!K13</f>
        <v>549</v>
      </c>
      <c r="K20" s="43">
        <f>T_M!L13</f>
        <v>787</v>
      </c>
      <c r="L20" s="43">
        <f>T_M!M13</f>
        <v>658</v>
      </c>
      <c r="M20" s="43">
        <f>T_M!N13</f>
        <v>12485</v>
      </c>
      <c r="N20" s="43">
        <f>T_M!I13</f>
        <v>2</v>
      </c>
      <c r="O20" s="21">
        <f>T_M!O13</f>
        <v>14991</v>
      </c>
      <c r="P20" s="1167">
        <f>T_M!P13</f>
        <v>26814</v>
      </c>
    </row>
    <row r="21" spans="1:30" ht="14.25" customHeight="1" x14ac:dyDescent="0.2">
      <c r="A21" s="29" t="str">
        <f>T_M!A14</f>
        <v>2019-20</v>
      </c>
      <c r="B21" s="43">
        <f>T_M!C14</f>
        <v>4365</v>
      </c>
      <c r="C21" s="43">
        <f>T_M!D14</f>
        <v>1506</v>
      </c>
      <c r="D21" s="43">
        <f>T_M!E14</f>
        <v>1207</v>
      </c>
      <c r="E21" s="43">
        <f>T_M!F14</f>
        <v>331</v>
      </c>
      <c r="F21" s="43">
        <f>T_M!G14</f>
        <v>2438</v>
      </c>
      <c r="G21" s="43">
        <f>T_M!B14</f>
        <v>554</v>
      </c>
      <c r="H21" s="1168">
        <f>T_M!H14</f>
        <v>10401</v>
      </c>
      <c r="I21" s="43">
        <f>T_M!J14</f>
        <v>525</v>
      </c>
      <c r="J21" s="43">
        <f>T_M!K14</f>
        <v>474</v>
      </c>
      <c r="K21" s="43">
        <f>T_M!L14</f>
        <v>892</v>
      </c>
      <c r="L21" s="43">
        <f>T_M!M14</f>
        <v>552</v>
      </c>
      <c r="M21" s="43">
        <f>T_M!N14</f>
        <v>11652</v>
      </c>
      <c r="N21" s="43">
        <f>T_M!I14</f>
        <v>2</v>
      </c>
      <c r="O21" s="1168">
        <f>T_M!O14</f>
        <v>14097</v>
      </c>
      <c r="P21" s="21">
        <f>T_M!P14</f>
        <v>24498</v>
      </c>
      <c r="X21" s="605"/>
      <c r="Y21" s="605"/>
      <c r="Z21" s="605"/>
      <c r="AA21" s="605"/>
      <c r="AB21" s="605"/>
      <c r="AC21" s="605"/>
      <c r="AD21" s="605"/>
    </row>
    <row r="22" spans="1:30" ht="13.5" thickBot="1" x14ac:dyDescent="0.25">
      <c r="A22" s="380" t="str">
        <f>T_M!A15</f>
        <v>2020-21</v>
      </c>
      <c r="B22" s="1135">
        <f>T_M!C15</f>
        <v>4141</v>
      </c>
      <c r="C22" s="1135">
        <f>T_M!D15</f>
        <v>1335</v>
      </c>
      <c r="D22" s="1135">
        <f>T_M!E15</f>
        <v>1055</v>
      </c>
      <c r="E22" s="1135">
        <f>T_M!F15</f>
        <v>480</v>
      </c>
      <c r="F22" s="1135">
        <f>T_M!G15</f>
        <v>3073</v>
      </c>
      <c r="G22" s="1135">
        <f>T_M!B15</f>
        <v>600</v>
      </c>
      <c r="H22" s="1169">
        <f>T_M!H15</f>
        <v>10684</v>
      </c>
      <c r="I22" s="1135">
        <f>T_M!J15</f>
        <v>520</v>
      </c>
      <c r="J22" s="1135">
        <f>T_M!K15</f>
        <v>383</v>
      </c>
      <c r="K22" s="1135">
        <f>T_M!L15</f>
        <v>761</v>
      </c>
      <c r="L22" s="1135">
        <f>T_M!M15</f>
        <v>741</v>
      </c>
      <c r="M22" s="1135">
        <f>T_M!N15</f>
        <v>12057</v>
      </c>
      <c r="N22" s="1135">
        <f>T_M!I15</f>
        <v>1</v>
      </c>
      <c r="O22" s="415">
        <f>T_M!O15</f>
        <v>14463</v>
      </c>
      <c r="P22" s="1170">
        <f>T_M!P15</f>
        <v>25147</v>
      </c>
    </row>
    <row r="23" spans="1:30" ht="15" x14ac:dyDescent="0.2">
      <c r="B23" s="604"/>
      <c r="C23" s="604"/>
      <c r="D23" s="604"/>
      <c r="E23" s="604"/>
      <c r="F23" s="604"/>
      <c r="G23" s="604"/>
      <c r="H23" s="604"/>
      <c r="I23" s="604"/>
      <c r="J23" s="604"/>
      <c r="K23" s="604"/>
      <c r="L23" s="604"/>
      <c r="M23" s="604"/>
      <c r="N23" s="604"/>
      <c r="O23" s="604"/>
      <c r="P23" s="604"/>
    </row>
    <row r="24" spans="1:30" x14ac:dyDescent="0.2">
      <c r="A24" s="1273" t="str">
        <f>"One Year Change " &amp; A21 &amp; " to " &amp; A22</f>
        <v>One Year Change 2019-20 to 2020-21</v>
      </c>
      <c r="B24" s="1273"/>
      <c r="C24" s="1273"/>
      <c r="D24" s="615"/>
      <c r="E24" s="615"/>
      <c r="F24" s="615"/>
      <c r="G24" s="615"/>
      <c r="H24" s="616"/>
      <c r="I24" s="615"/>
    </row>
    <row r="25" spans="1:30" x14ac:dyDescent="0.2">
      <c r="A25" s="617" t="s">
        <v>0</v>
      </c>
      <c r="B25" s="618">
        <f>B22-B21</f>
        <v>-224</v>
      </c>
      <c r="C25" s="618">
        <f t="shared" ref="C25:P25" si="0">C22-C21</f>
        <v>-171</v>
      </c>
      <c r="D25" s="618">
        <f t="shared" si="0"/>
        <v>-152</v>
      </c>
      <c r="E25" s="618">
        <f t="shared" si="0"/>
        <v>149</v>
      </c>
      <c r="F25" s="618">
        <f t="shared" si="0"/>
        <v>635</v>
      </c>
      <c r="G25" s="618">
        <f t="shared" si="0"/>
        <v>46</v>
      </c>
      <c r="H25" s="618">
        <f t="shared" si="0"/>
        <v>283</v>
      </c>
      <c r="I25" s="618">
        <f t="shared" si="0"/>
        <v>-5</v>
      </c>
      <c r="J25" s="618">
        <f t="shared" si="0"/>
        <v>-91</v>
      </c>
      <c r="K25" s="618">
        <f t="shared" si="0"/>
        <v>-131</v>
      </c>
      <c r="L25" s="618">
        <f t="shared" si="0"/>
        <v>189</v>
      </c>
      <c r="M25" s="618">
        <f t="shared" si="0"/>
        <v>405</v>
      </c>
      <c r="N25" s="618">
        <f t="shared" si="0"/>
        <v>-1</v>
      </c>
      <c r="O25" s="618">
        <f t="shared" si="0"/>
        <v>366</v>
      </c>
      <c r="P25" s="618">
        <f t="shared" si="0"/>
        <v>649</v>
      </c>
    </row>
    <row r="26" spans="1:30" ht="13.5" thickBot="1" x14ac:dyDescent="0.25">
      <c r="A26" s="619" t="s">
        <v>62</v>
      </c>
      <c r="B26" s="620">
        <f>B25/B21</f>
        <v>-5.1317296678121418E-2</v>
      </c>
      <c r="C26" s="620">
        <f t="shared" ref="C26:P26" si="1">C25/C21</f>
        <v>-0.11354581673306773</v>
      </c>
      <c r="D26" s="620">
        <f t="shared" si="1"/>
        <v>-0.12593206296603149</v>
      </c>
      <c r="E26" s="620">
        <f t="shared" si="1"/>
        <v>0.45015105740181272</v>
      </c>
      <c r="F26" s="620">
        <f t="shared" si="1"/>
        <v>0.26045939294503689</v>
      </c>
      <c r="G26" s="620">
        <f t="shared" si="1"/>
        <v>8.3032490974729242E-2</v>
      </c>
      <c r="H26" s="620">
        <f t="shared" si="1"/>
        <v>2.7208922219017401E-2</v>
      </c>
      <c r="I26" s="620">
        <f t="shared" si="1"/>
        <v>-9.5238095238095247E-3</v>
      </c>
      <c r="J26" s="620">
        <f t="shared" si="1"/>
        <v>-0.19198312236286919</v>
      </c>
      <c r="K26" s="620">
        <f t="shared" si="1"/>
        <v>-0.14686098654708521</v>
      </c>
      <c r="L26" s="620">
        <f t="shared" si="1"/>
        <v>0.34239130434782611</v>
      </c>
      <c r="M26" s="620">
        <f t="shared" si="1"/>
        <v>3.4757981462409888E-2</v>
      </c>
      <c r="N26" s="620">
        <f t="shared" si="1"/>
        <v>-0.5</v>
      </c>
      <c r="O26" s="620">
        <f t="shared" si="1"/>
        <v>2.5962970844860607E-2</v>
      </c>
      <c r="P26" s="620">
        <f t="shared" si="1"/>
        <v>2.6491958527226713E-2</v>
      </c>
    </row>
    <row r="27" spans="1:30" x14ac:dyDescent="0.2">
      <c r="A27" s="1"/>
      <c r="B27" s="1"/>
      <c r="C27" s="1"/>
      <c r="D27" s="1"/>
      <c r="E27" s="1"/>
    </row>
    <row r="28" spans="1:30" x14ac:dyDescent="0.2">
      <c r="A28" s="1"/>
      <c r="B28" s="1"/>
      <c r="C28" s="1"/>
      <c r="D28" s="1"/>
      <c r="E28" s="1"/>
    </row>
    <row r="29" spans="1:30" ht="14.25" x14ac:dyDescent="0.2">
      <c r="A29" s="1"/>
      <c r="F29" s="358"/>
      <c r="G29" s="358"/>
      <c r="H29" s="614" t="s">
        <v>1091</v>
      </c>
    </row>
    <row r="30" spans="1:30" ht="25.5" x14ac:dyDescent="0.2">
      <c r="A30" s="136" t="s">
        <v>4</v>
      </c>
      <c r="B30" s="136" t="s">
        <v>752</v>
      </c>
      <c r="C30" s="136" t="s">
        <v>6</v>
      </c>
      <c r="D30" s="136" t="s">
        <v>10</v>
      </c>
      <c r="E30" s="136" t="s">
        <v>8</v>
      </c>
      <c r="F30" s="136" t="s">
        <v>308</v>
      </c>
      <c r="G30" s="136" t="s">
        <v>309</v>
      </c>
      <c r="H30" s="136" t="s">
        <v>11</v>
      </c>
    </row>
    <row r="31" spans="1:30" ht="14.25" customHeight="1" x14ac:dyDescent="0.2">
      <c r="A31" s="378" t="str">
        <f t="shared" ref="A31:A37" si="2">A11</f>
        <v>2009-10</v>
      </c>
      <c r="B31" s="1171">
        <f>I11/(B11+I11)</f>
        <v>0.18185975609756097</v>
      </c>
      <c r="C31" s="1171">
        <f t="shared" ref="B31:H37" si="3">J11/(C11+J11)</f>
        <v>0.32390146471371506</v>
      </c>
      <c r="D31" s="1171">
        <f t="shared" si="3"/>
        <v>0.49514237855946397</v>
      </c>
      <c r="E31" s="1171">
        <f t="shared" si="3"/>
        <v>0.67290367290367292</v>
      </c>
      <c r="F31" s="1171">
        <f t="shared" si="3"/>
        <v>0.79491414909802216</v>
      </c>
      <c r="G31" s="1171">
        <f t="shared" si="3"/>
        <v>5.7471264367816091E-4</v>
      </c>
      <c r="H31" s="1171">
        <f t="shared" si="3"/>
        <v>0.59124351395306818</v>
      </c>
    </row>
    <row r="32" spans="1:30" ht="14.25" customHeight="1" x14ac:dyDescent="0.2">
      <c r="A32" s="29" t="str">
        <f t="shared" si="2"/>
        <v>2010-11</v>
      </c>
      <c r="B32" s="1172">
        <f t="shared" si="3"/>
        <v>0.17225488638169395</v>
      </c>
      <c r="C32" s="1172">
        <f t="shared" si="3"/>
        <v>0.29159212880143115</v>
      </c>
      <c r="D32" s="1172">
        <f t="shared" si="3"/>
        <v>0.46609538002980627</v>
      </c>
      <c r="E32" s="1172">
        <f t="shared" si="3"/>
        <v>0.68075801749271136</v>
      </c>
      <c r="F32" s="1172">
        <f t="shared" si="3"/>
        <v>0.89201800388157082</v>
      </c>
      <c r="G32" s="1172">
        <f t="shared" si="3"/>
        <v>2.5412960609911056E-3</v>
      </c>
      <c r="H32" s="1172">
        <f t="shared" si="3"/>
        <v>0.65981764479260308</v>
      </c>
    </row>
    <row r="33" spans="1:8" ht="14.25" customHeight="1" x14ac:dyDescent="0.2">
      <c r="A33" s="29" t="str">
        <f t="shared" si="2"/>
        <v>2011-12</v>
      </c>
      <c r="B33" s="1172">
        <f t="shared" si="3"/>
        <v>0.16891343186616858</v>
      </c>
      <c r="C33" s="1172">
        <f t="shared" si="3"/>
        <v>0.31762973868237027</v>
      </c>
      <c r="D33" s="1172">
        <f t="shared" si="3"/>
        <v>0.47205757832345469</v>
      </c>
      <c r="E33" s="1172">
        <f t="shared" si="3"/>
        <v>0.64851063829787237</v>
      </c>
      <c r="F33" s="1172">
        <f t="shared" si="3"/>
        <v>0.8669913825402773</v>
      </c>
      <c r="G33" s="1172">
        <f t="shared" si="3"/>
        <v>1.606425702811245E-3</v>
      </c>
      <c r="H33" s="1172">
        <f t="shared" si="3"/>
        <v>0.61782986486904357</v>
      </c>
    </row>
    <row r="34" spans="1:8" ht="14.25" customHeight="1" x14ac:dyDescent="0.2">
      <c r="A34" s="29" t="str">
        <f t="shared" si="2"/>
        <v>2012-13</v>
      </c>
      <c r="B34" s="1172">
        <f t="shared" si="3"/>
        <v>0.14273460284782982</v>
      </c>
      <c r="C34" s="1172">
        <f t="shared" si="3"/>
        <v>0.28612956810631229</v>
      </c>
      <c r="D34" s="1172">
        <f t="shared" si="3"/>
        <v>0.40019665683382499</v>
      </c>
      <c r="E34" s="1172">
        <f t="shared" si="3"/>
        <v>0.6110429447852761</v>
      </c>
      <c r="F34" s="1172">
        <f t="shared" si="3"/>
        <v>0.85840397954179215</v>
      </c>
      <c r="G34" s="1172">
        <f t="shared" si="3"/>
        <v>0</v>
      </c>
      <c r="H34" s="1172">
        <f t="shared" si="3"/>
        <v>0.56413612565445026</v>
      </c>
    </row>
    <row r="35" spans="1:8" ht="14.25" customHeight="1" x14ac:dyDescent="0.2">
      <c r="A35" s="29" t="str">
        <f t="shared" si="2"/>
        <v>2013-14</v>
      </c>
      <c r="B35" s="1172">
        <f t="shared" si="3"/>
        <v>0.12211159120796543</v>
      </c>
      <c r="C35" s="1172">
        <f t="shared" si="3"/>
        <v>0.27067348678601877</v>
      </c>
      <c r="D35" s="1172">
        <f t="shared" si="3"/>
        <v>0.39680082559339525</v>
      </c>
      <c r="E35" s="1172">
        <f t="shared" si="3"/>
        <v>0.57549234135667393</v>
      </c>
      <c r="F35" s="1172">
        <f t="shared" si="3"/>
        <v>0.82189352729050791</v>
      </c>
      <c r="G35" s="1172">
        <f t="shared" si="3"/>
        <v>1.8066847335140017E-3</v>
      </c>
      <c r="H35" s="1172">
        <f t="shared" si="3"/>
        <v>0.57268927078495124</v>
      </c>
    </row>
    <row r="36" spans="1:8" ht="14.25" customHeight="1" x14ac:dyDescent="0.2">
      <c r="A36" s="29" t="str">
        <f t="shared" si="2"/>
        <v>2014-15</v>
      </c>
      <c r="B36" s="1172">
        <f t="shared" si="3"/>
        <v>0.11141011840688912</v>
      </c>
      <c r="C36" s="1172">
        <f t="shared" si="3"/>
        <v>0.24311531841652323</v>
      </c>
      <c r="D36" s="1172">
        <f t="shared" si="3"/>
        <v>0.39483394833948338</v>
      </c>
      <c r="E36" s="1172">
        <f t="shared" si="3"/>
        <v>0.57040572792362765</v>
      </c>
      <c r="F36" s="1172">
        <f t="shared" si="3"/>
        <v>0.83298523049380879</v>
      </c>
      <c r="G36" s="1172">
        <f t="shared" si="3"/>
        <v>2.0304568527918783E-3</v>
      </c>
      <c r="H36" s="1172">
        <f t="shared" si="3"/>
        <v>0.54275895140664965</v>
      </c>
    </row>
    <row r="37" spans="1:8" ht="14.25" customHeight="1" x14ac:dyDescent="0.2">
      <c r="A37" s="29" t="str">
        <f t="shared" si="2"/>
        <v>2015-16</v>
      </c>
      <c r="B37" s="1172">
        <f t="shared" si="3"/>
        <v>0.10664551383747577</v>
      </c>
      <c r="C37" s="1172">
        <f t="shared" si="3"/>
        <v>0.25821972734562953</v>
      </c>
      <c r="D37" s="1172">
        <f t="shared" si="3"/>
        <v>0.40712468193384221</v>
      </c>
      <c r="E37" s="1172">
        <f t="shared" si="3"/>
        <v>0.61556064073226546</v>
      </c>
      <c r="F37" s="1172">
        <f t="shared" si="3"/>
        <v>0.83342383926147168</v>
      </c>
      <c r="G37" s="1172">
        <f t="shared" si="3"/>
        <v>5.6179775280898875E-3</v>
      </c>
      <c r="H37" s="1172">
        <f t="shared" si="3"/>
        <v>0.55843473035902058</v>
      </c>
    </row>
    <row r="38" spans="1:8" ht="14.25" customHeight="1" x14ac:dyDescent="0.2">
      <c r="A38" s="29" t="str">
        <f t="shared" ref="A38:A42" si="4">A18</f>
        <v>2016-17</v>
      </c>
      <c r="B38" s="1172">
        <f t="shared" ref="B38:H38" si="5">I18/(B18+I18)</f>
        <v>0.11155234657039712</v>
      </c>
      <c r="C38" s="1172">
        <f t="shared" si="5"/>
        <v>0.24462011418533158</v>
      </c>
      <c r="D38" s="1172">
        <f t="shared" si="5"/>
        <v>0.42877358490566037</v>
      </c>
      <c r="E38" s="1172">
        <f t="shared" si="5"/>
        <v>0.63845350052246608</v>
      </c>
      <c r="F38" s="1172">
        <f t="shared" si="5"/>
        <v>0.84246487867177522</v>
      </c>
      <c r="G38" s="1172">
        <f t="shared" si="5"/>
        <v>4.0000000000000001E-3</v>
      </c>
      <c r="H38" s="1172">
        <f t="shared" si="5"/>
        <v>0.5820026369762672</v>
      </c>
    </row>
    <row r="39" spans="1:8" ht="14.25" customHeight="1" x14ac:dyDescent="0.2">
      <c r="A39" s="29" t="str">
        <f t="shared" si="4"/>
        <v>2017-18</v>
      </c>
      <c r="B39" s="1172">
        <f t="shared" ref="B39:H39" si="6">I19/(B19+I19)</f>
        <v>0.10544153643381661</v>
      </c>
      <c r="C39" s="1172">
        <f t="shared" si="6"/>
        <v>0.28334062090074336</v>
      </c>
      <c r="D39" s="1172">
        <f t="shared" si="6"/>
        <v>0.4280753968253968</v>
      </c>
      <c r="E39" s="1172">
        <f t="shared" si="6"/>
        <v>0.62381852551984873</v>
      </c>
      <c r="F39" s="1172">
        <f t="shared" si="6"/>
        <v>0.82265073329712113</v>
      </c>
      <c r="G39" s="1172">
        <f t="shared" si="6"/>
        <v>3.875968992248062E-3</v>
      </c>
      <c r="H39" s="1172">
        <f t="shared" si="6"/>
        <v>0.56735691908000307</v>
      </c>
    </row>
    <row r="40" spans="1:8" ht="14.25" customHeight="1" x14ac:dyDescent="0.2">
      <c r="A40" s="29" t="str">
        <f t="shared" si="4"/>
        <v>2018-19</v>
      </c>
      <c r="B40" s="1172">
        <f t="shared" ref="B40:H40" si="7">I20/(B20+I20)</f>
        <v>9.9125364431486881E-2</v>
      </c>
      <c r="C40" s="1172">
        <f t="shared" si="7"/>
        <v>0.24378330373001778</v>
      </c>
      <c r="D40" s="1172">
        <f t="shared" si="7"/>
        <v>0.4031762295081967</v>
      </c>
      <c r="E40" s="1172">
        <f t="shared" si="7"/>
        <v>0.58540925266903909</v>
      </c>
      <c r="F40" s="1172">
        <f t="shared" si="7"/>
        <v>0.795374912403644</v>
      </c>
      <c r="G40" s="1172">
        <f t="shared" si="7"/>
        <v>3.105590062111801E-3</v>
      </c>
      <c r="H40" s="1172">
        <f t="shared" si="7"/>
        <v>0.55907361825911839</v>
      </c>
    </row>
    <row r="41" spans="1:8" ht="14.25" customHeight="1" x14ac:dyDescent="0.2">
      <c r="A41" s="29" t="str">
        <f t="shared" si="4"/>
        <v>2019-20</v>
      </c>
      <c r="B41" s="1172">
        <f t="shared" ref="B41:H41" si="8">I21/(B21+I21)</f>
        <v>0.10736196319018405</v>
      </c>
      <c r="C41" s="1172">
        <f t="shared" si="8"/>
        <v>0.23939393939393938</v>
      </c>
      <c r="D41" s="1172">
        <f t="shared" si="8"/>
        <v>0.42496426869938064</v>
      </c>
      <c r="E41" s="1172">
        <f t="shared" si="8"/>
        <v>0.6251415628539071</v>
      </c>
      <c r="F41" s="1172">
        <f t="shared" si="8"/>
        <v>0.82696948190205821</v>
      </c>
      <c r="G41" s="1172">
        <f t="shared" si="8"/>
        <v>3.5971223021582736E-3</v>
      </c>
      <c r="H41" s="1172">
        <f t="shared" si="8"/>
        <v>0.57543472936566253</v>
      </c>
    </row>
    <row r="42" spans="1:8" ht="13.5" thickBot="1" x14ac:dyDescent="0.25">
      <c r="A42" s="380" t="str">
        <f t="shared" si="4"/>
        <v>2020-21</v>
      </c>
      <c r="B42" s="1173">
        <f>I22/(B22+I22)</f>
        <v>0.111564042051062</v>
      </c>
      <c r="C42" s="1173">
        <f t="shared" ref="C42" si="9">J22/(C22+J22)</f>
        <v>0.2229336437718277</v>
      </c>
      <c r="D42" s="1173">
        <f t="shared" ref="D42" si="10">K22/(D22+K22)</f>
        <v>0.41905286343612336</v>
      </c>
      <c r="E42" s="1173">
        <f t="shared" ref="E42" si="11">L22/(E22+L22)</f>
        <v>0.60687960687960685</v>
      </c>
      <c r="F42" s="1173">
        <f t="shared" ref="F42" si="12">M22/(F22+M22)</f>
        <v>0.79689358889623263</v>
      </c>
      <c r="G42" s="1173">
        <f t="shared" ref="G42" si="13">N22/(G22+N22)</f>
        <v>1.6638935108153079E-3</v>
      </c>
      <c r="H42" s="1173">
        <f t="shared" ref="H42" si="14">O22/(H22+O22)</f>
        <v>0.57513818745774847</v>
      </c>
    </row>
  </sheetData>
  <sheetProtection algorithmName="SHA-512" hashValue="QPG8xzzXGMh6zV5D1QCS7BezkbzQhf/cG55oaT5Z5VafiDvKEbPhsOG2te9AnWh8+kLZZrKjO2TPRZ4mGnNgrA==" saltValue="cb8XcITjnvFV/KoDEFQRzA==" spinCount="100000" sheet="1" scenarios="1" formatCells="0" formatColumns="0" formatRows="0" sort="0" autoFilter="0" pivotTables="0"/>
  <mergeCells count="6">
    <mergeCell ref="P9:P10"/>
    <mergeCell ref="B8:H8"/>
    <mergeCell ref="B9:E9"/>
    <mergeCell ref="I9:L9"/>
    <mergeCell ref="A24:C24"/>
    <mergeCell ref="I8:O8"/>
  </mergeCells>
  <hyperlinks>
    <hyperlink ref="A2" location="'Table of Contents'!A1" display="Back to Table of Contents" xr:uid="{00000000-0004-0000-44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O49"/>
  <sheetViews>
    <sheetView showGridLines="0" workbookViewId="0">
      <selection sqref="A1:C1"/>
    </sheetView>
  </sheetViews>
  <sheetFormatPr defaultColWidth="9.140625" defaultRowHeight="12.75" x14ac:dyDescent="0.2"/>
  <sheetData>
    <row r="1" spans="1:15" ht="17.25" customHeight="1" x14ac:dyDescent="0.35">
      <c r="A1" s="1271" t="s">
        <v>1247</v>
      </c>
      <c r="B1" s="1271"/>
      <c r="C1" s="1271"/>
      <c r="O1" s="230"/>
    </row>
    <row r="2" spans="1:15" ht="17.25" customHeight="1" x14ac:dyDescent="0.2">
      <c r="A2" s="106" t="s">
        <v>578</v>
      </c>
      <c r="B2" s="1031"/>
      <c r="C2" s="1031"/>
    </row>
    <row r="3" spans="1:15" ht="27.75" customHeight="1" x14ac:dyDescent="0.2">
      <c r="A3" s="1272" t="s">
        <v>1261</v>
      </c>
      <c r="B3" s="1272"/>
      <c r="C3" s="1272"/>
      <c r="D3" s="1272"/>
      <c r="E3" s="1272"/>
      <c r="F3" s="1272"/>
      <c r="G3" s="1272"/>
      <c r="H3" s="1272"/>
    </row>
    <row r="4" spans="1:15" ht="15" x14ac:dyDescent="0.25">
      <c r="A4" s="1032" t="s">
        <v>1246</v>
      </c>
    </row>
    <row r="5" spans="1:15" ht="15" x14ac:dyDescent="0.25">
      <c r="A5" s="1043" t="s">
        <v>1296</v>
      </c>
    </row>
    <row r="46" spans="8:9" x14ac:dyDescent="0.2">
      <c r="H46">
        <v>2</v>
      </c>
      <c r="I46">
        <v>4</v>
      </c>
    </row>
    <row r="47" spans="8:9" x14ac:dyDescent="0.2">
      <c r="H47">
        <v>0</v>
      </c>
      <c r="I47">
        <v>2</v>
      </c>
    </row>
    <row r="48" spans="8:9" x14ac:dyDescent="0.2">
      <c r="H48">
        <v>2</v>
      </c>
      <c r="I48">
        <v>4</v>
      </c>
    </row>
    <row r="49" spans="8:9" x14ac:dyDescent="0.2">
      <c r="H49">
        <v>0</v>
      </c>
      <c r="I49">
        <v>2</v>
      </c>
    </row>
  </sheetData>
  <sheetProtection algorithmName="SHA-512" hashValue="CRbpfuRenGY27uoEiAIKMb7I3di9gkGk47ECgkDyiocI11vUHUSlB8Ypq6zI11TpNqscrXeofiUb9W4M5cn0wg==" saltValue="xnuxGsoK6UUREuQ63Bgfgg=="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600-000000000000}"/>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AFF0"/>
  </sheetPr>
  <dimension ref="A1:AL47"/>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8.28515625" style="1" customWidth="1"/>
    <col min="2" max="2" width="24.28515625" style="1" customWidth="1"/>
    <col min="3" max="6" width="9.42578125" style="1" customWidth="1"/>
    <col min="7" max="7" width="10.5703125" style="1" customWidth="1"/>
    <col min="8" max="13" width="9.42578125" style="1" customWidth="1"/>
    <col min="14" max="14" width="10.5703125" style="1" customWidth="1"/>
    <col min="15" max="18" width="9.42578125" style="1" customWidth="1"/>
    <col min="19" max="19" width="17.85546875" style="1" customWidth="1"/>
    <col min="20" max="16384" width="9.140625" style="1"/>
  </cols>
  <sheetData>
    <row r="1" spans="1:38" ht="18.75" customHeight="1" x14ac:dyDescent="0.2">
      <c r="A1" s="298" t="s">
        <v>1129</v>
      </c>
    </row>
    <row r="2" spans="1:38" ht="18.75" customHeight="1" x14ac:dyDescent="0.2">
      <c r="A2" s="106" t="s">
        <v>578</v>
      </c>
    </row>
    <row r="3" spans="1:38" ht="24.75" customHeight="1" x14ac:dyDescent="0.2">
      <c r="A3" s="129" t="s">
        <v>1036</v>
      </c>
      <c r="B3" s="129"/>
      <c r="C3" s="129"/>
      <c r="D3"/>
      <c r="E3"/>
    </row>
    <row r="4" spans="1:38" ht="15" customHeight="1" x14ac:dyDescent="0.25">
      <c r="A4" s="351" t="s">
        <v>579</v>
      </c>
      <c r="B4" s="1043" t="s">
        <v>1319</v>
      </c>
      <c r="C4" s="129"/>
      <c r="D4" s="129"/>
      <c r="E4" s="120"/>
    </row>
    <row r="5" spans="1:38" ht="15" customHeight="1" x14ac:dyDescent="0.25">
      <c r="A5" s="351" t="s">
        <v>580</v>
      </c>
      <c r="B5" s="351" t="s">
        <v>581</v>
      </c>
      <c r="C5" s="129"/>
      <c r="D5" s="129"/>
      <c r="E5" s="120"/>
    </row>
    <row r="6" spans="1:38" ht="15" customHeight="1" x14ac:dyDescent="0.25">
      <c r="A6" s="351" t="s">
        <v>582</v>
      </c>
      <c r="B6" s="351" t="s">
        <v>585</v>
      </c>
      <c r="C6" s="129"/>
      <c r="D6" s="129"/>
      <c r="E6" s="120"/>
    </row>
    <row r="7" spans="1:38" x14ac:dyDescent="0.2">
      <c r="C7"/>
      <c r="D7"/>
      <c r="F7"/>
      <c r="G7"/>
      <c r="H7"/>
      <c r="I7"/>
      <c r="J7"/>
      <c r="K7"/>
      <c r="L7"/>
      <c r="M7"/>
    </row>
    <row r="8" spans="1:38" x14ac:dyDescent="0.2">
      <c r="C8" s="1348" t="s">
        <v>819</v>
      </c>
      <c r="D8" s="1348"/>
      <c r="E8" s="1348"/>
      <c r="F8" s="1348"/>
      <c r="G8" s="1348"/>
      <c r="H8" s="1348"/>
      <c r="I8" s="1348"/>
      <c r="J8" s="1348" t="s">
        <v>820</v>
      </c>
      <c r="K8" s="1348"/>
      <c r="L8" s="1348"/>
      <c r="M8" s="1348"/>
      <c r="N8" s="1348"/>
      <c r="O8" s="1348"/>
      <c r="P8" s="1348"/>
    </row>
    <row r="9" spans="1:38" x14ac:dyDescent="0.2">
      <c r="C9" s="1344" t="s">
        <v>307</v>
      </c>
      <c r="D9" s="1344"/>
      <c r="E9" s="1344"/>
      <c r="F9" s="1344"/>
      <c r="G9"/>
      <c r="H9"/>
      <c r="I9" s="356"/>
      <c r="J9" s="1344" t="s">
        <v>307</v>
      </c>
      <c r="K9" s="1344"/>
      <c r="L9" s="1344"/>
      <c r="M9" s="1344"/>
      <c r="N9"/>
      <c r="O9"/>
      <c r="P9"/>
      <c r="Q9" s="1282" t="s">
        <v>650</v>
      </c>
    </row>
    <row r="10" spans="1:38" s="591" customFormat="1" ht="38.25" customHeight="1" x14ac:dyDescent="0.2">
      <c r="A10" s="136" t="s">
        <v>586</v>
      </c>
      <c r="B10" s="136" t="s">
        <v>22</v>
      </c>
      <c r="C10" s="590" t="s">
        <v>752</v>
      </c>
      <c r="D10" s="590" t="s">
        <v>6</v>
      </c>
      <c r="E10" s="590" t="s">
        <v>10</v>
      </c>
      <c r="F10" s="590" t="s">
        <v>8</v>
      </c>
      <c r="G10" s="590" t="s">
        <v>308</v>
      </c>
      <c r="H10" s="590" t="s">
        <v>309</v>
      </c>
      <c r="I10" s="603" t="s">
        <v>11</v>
      </c>
      <c r="J10" s="136" t="s">
        <v>752</v>
      </c>
      <c r="K10" s="136" t="s">
        <v>6</v>
      </c>
      <c r="L10" s="136" t="s">
        <v>10</v>
      </c>
      <c r="M10" s="136" t="s">
        <v>8</v>
      </c>
      <c r="N10" s="136" t="s">
        <v>308</v>
      </c>
      <c r="O10" s="136" t="s">
        <v>309</v>
      </c>
      <c r="P10" s="603" t="s">
        <v>11</v>
      </c>
      <c r="Q10" s="1282"/>
      <c r="S10"/>
    </row>
    <row r="11" spans="1:38" ht="18.75" customHeight="1" x14ac:dyDescent="0.2">
      <c r="A11" s="414" t="s">
        <v>587</v>
      </c>
      <c r="B11" s="400" t="s">
        <v>23</v>
      </c>
      <c r="C11" s="941">
        <f>T_MLA!C6</f>
        <v>222</v>
      </c>
      <c r="D11" s="941">
        <f>T_MLA!D6</f>
        <v>74</v>
      </c>
      <c r="E11" s="941">
        <f>T_MLA!E6</f>
        <v>19</v>
      </c>
      <c r="F11" s="941">
        <f>T_MLA!F6</f>
        <v>15</v>
      </c>
      <c r="G11" s="941">
        <f>T_MLA!G6</f>
        <v>82</v>
      </c>
      <c r="H11" s="941">
        <f>T_MLA!B6</f>
        <v>2</v>
      </c>
      <c r="I11" s="626">
        <f>T_MLA!H6</f>
        <v>414</v>
      </c>
      <c r="J11" s="941">
        <f>T_MLA!J6</f>
        <v>21</v>
      </c>
      <c r="K11" s="941">
        <f>T_MLA!K6</f>
        <v>16</v>
      </c>
      <c r="L11" s="941">
        <f>T_MLA!L6</f>
        <v>18</v>
      </c>
      <c r="M11" s="941">
        <f>T_MLA!M6</f>
        <v>42</v>
      </c>
      <c r="N11" s="941">
        <f>T_MLA!N6</f>
        <v>246</v>
      </c>
      <c r="O11" s="941">
        <f>T_MLA!I6</f>
        <v>0</v>
      </c>
      <c r="P11" s="626">
        <f>T_MLA!O6</f>
        <v>343</v>
      </c>
      <c r="Q11" s="941">
        <f>T_MLA!P6</f>
        <v>757</v>
      </c>
      <c r="S11"/>
      <c r="T11"/>
      <c r="U11"/>
      <c r="V11"/>
      <c r="W11"/>
      <c r="X11"/>
      <c r="Y11"/>
      <c r="Z11"/>
      <c r="AA11"/>
      <c r="AB11"/>
      <c r="AC11"/>
      <c r="AD11"/>
      <c r="AE11"/>
      <c r="AF11"/>
      <c r="AG11"/>
      <c r="AH11"/>
      <c r="AI11"/>
      <c r="AJ11"/>
      <c r="AK11"/>
      <c r="AL11"/>
    </row>
    <row r="12" spans="1:38" ht="13.5" customHeight="1" x14ac:dyDescent="0.2">
      <c r="A12" s="1" t="s">
        <v>588</v>
      </c>
      <c r="B12" s="117" t="s">
        <v>24</v>
      </c>
      <c r="C12" s="420">
        <f>T_MLA!C7</f>
        <v>164</v>
      </c>
      <c r="D12" s="420">
        <f>T_MLA!D7</f>
        <v>71</v>
      </c>
      <c r="E12" s="420">
        <f>T_MLA!E7</f>
        <v>60</v>
      </c>
      <c r="F12" s="420">
        <f>T_MLA!F7</f>
        <v>35</v>
      </c>
      <c r="G12" s="420">
        <f>T_MLA!G7</f>
        <v>138</v>
      </c>
      <c r="H12" s="420">
        <f>T_MLA!B7</f>
        <v>45</v>
      </c>
      <c r="I12" s="627">
        <f>T_MLA!H7</f>
        <v>513</v>
      </c>
      <c r="J12" s="420">
        <f>T_MLA!J7</f>
        <v>8</v>
      </c>
      <c r="K12" s="420">
        <f>T_MLA!K7</f>
        <v>20</v>
      </c>
      <c r="L12" s="420">
        <f>T_MLA!L7</f>
        <v>12</v>
      </c>
      <c r="M12" s="420">
        <f>T_MLA!M7</f>
        <v>36</v>
      </c>
      <c r="N12" s="420">
        <f>T_MLA!N7</f>
        <v>157</v>
      </c>
      <c r="O12" s="420">
        <f>T_MLA!I7</f>
        <v>0</v>
      </c>
      <c r="P12" s="627">
        <f>T_MLA!O7</f>
        <v>233</v>
      </c>
      <c r="Q12" s="420">
        <f>T_MLA!P7</f>
        <v>746</v>
      </c>
      <c r="S12"/>
      <c r="T12"/>
      <c r="U12"/>
      <c r="V12"/>
      <c r="W12"/>
      <c r="X12"/>
      <c r="Y12"/>
      <c r="Z12"/>
      <c r="AA12"/>
      <c r="AB12"/>
      <c r="AC12"/>
      <c r="AD12"/>
      <c r="AE12"/>
      <c r="AF12"/>
      <c r="AG12"/>
      <c r="AH12"/>
      <c r="AI12"/>
      <c r="AJ12"/>
      <c r="AK12"/>
      <c r="AL12"/>
    </row>
    <row r="13" spans="1:38" ht="13.5" customHeight="1" x14ac:dyDescent="0.2">
      <c r="A13" s="1" t="s">
        <v>589</v>
      </c>
      <c r="B13" s="117" t="s">
        <v>25</v>
      </c>
      <c r="C13" s="420">
        <f>T_MLA!C8</f>
        <v>74</v>
      </c>
      <c r="D13" s="420">
        <f>T_MLA!D8</f>
        <v>21</v>
      </c>
      <c r="E13" s="420">
        <f>T_MLA!E8</f>
        <v>21</v>
      </c>
      <c r="F13" s="420">
        <f>T_MLA!F8</f>
        <v>14</v>
      </c>
      <c r="G13" s="420">
        <f>T_MLA!G8</f>
        <v>70</v>
      </c>
      <c r="H13" s="420">
        <f>T_MLA!B8</f>
        <v>21</v>
      </c>
      <c r="I13" s="627">
        <f>T_MLA!H8</f>
        <v>221</v>
      </c>
      <c r="J13" s="420">
        <f>T_MLA!J8</f>
        <v>6</v>
      </c>
      <c r="K13" s="420">
        <f>T_MLA!K8</f>
        <v>12</v>
      </c>
      <c r="L13" s="420">
        <f>T_MLA!L8</f>
        <v>5</v>
      </c>
      <c r="M13" s="420">
        <f>T_MLA!M8</f>
        <v>19</v>
      </c>
      <c r="N13" s="420">
        <f>T_MLA!N8</f>
        <v>134</v>
      </c>
      <c r="O13" s="420">
        <f>T_MLA!I8</f>
        <v>0</v>
      </c>
      <c r="P13" s="627">
        <f>T_MLA!O8</f>
        <v>176</v>
      </c>
      <c r="Q13" s="420">
        <f>T_MLA!P8</f>
        <v>397</v>
      </c>
      <c r="S13"/>
      <c r="T13"/>
      <c r="U13"/>
      <c r="V13"/>
      <c r="W13"/>
      <c r="X13"/>
      <c r="Y13"/>
      <c r="Z13"/>
      <c r="AA13"/>
      <c r="AB13"/>
      <c r="AC13"/>
      <c r="AD13"/>
      <c r="AE13"/>
      <c r="AF13"/>
      <c r="AG13"/>
      <c r="AH13"/>
      <c r="AI13"/>
      <c r="AJ13"/>
      <c r="AK13"/>
      <c r="AL13"/>
    </row>
    <row r="14" spans="1:38" ht="13.5" customHeight="1" x14ac:dyDescent="0.2">
      <c r="A14" s="1" t="s">
        <v>590</v>
      </c>
      <c r="B14" s="117" t="s">
        <v>26</v>
      </c>
      <c r="C14" s="420">
        <f>T_MLA!C9</f>
        <v>84</v>
      </c>
      <c r="D14" s="420">
        <f>T_MLA!D9</f>
        <v>30</v>
      </c>
      <c r="E14" s="420">
        <f>T_MLA!E9</f>
        <v>17</v>
      </c>
      <c r="F14" s="420">
        <f>T_MLA!F9</f>
        <v>14</v>
      </c>
      <c r="G14" s="420">
        <f>T_MLA!G9</f>
        <v>68</v>
      </c>
      <c r="H14" s="420">
        <f>T_MLA!B9</f>
        <v>44</v>
      </c>
      <c r="I14" s="627">
        <f>T_MLA!H9</f>
        <v>257</v>
      </c>
      <c r="J14" s="420">
        <f>T_MLA!J9</f>
        <v>2</v>
      </c>
      <c r="K14" s="420">
        <f>T_MLA!K9</f>
        <v>2</v>
      </c>
      <c r="L14" s="420">
        <f>T_MLA!L9</f>
        <v>3</v>
      </c>
      <c r="M14" s="420">
        <f>T_MLA!M9</f>
        <v>6</v>
      </c>
      <c r="N14" s="420">
        <f>T_MLA!N9</f>
        <v>65</v>
      </c>
      <c r="O14" s="420">
        <f>T_MLA!I9</f>
        <v>0</v>
      </c>
      <c r="P14" s="627">
        <f>T_MLA!O9</f>
        <v>78</v>
      </c>
      <c r="Q14" s="420">
        <f>T_MLA!P9</f>
        <v>335</v>
      </c>
      <c r="S14"/>
      <c r="T14"/>
      <c r="U14"/>
      <c r="V14"/>
      <c r="W14"/>
      <c r="X14"/>
      <c r="Y14"/>
      <c r="Z14"/>
      <c r="AA14"/>
      <c r="AB14"/>
      <c r="AC14"/>
      <c r="AD14"/>
      <c r="AE14"/>
      <c r="AF14"/>
      <c r="AG14"/>
      <c r="AH14"/>
      <c r="AI14"/>
      <c r="AJ14"/>
      <c r="AK14"/>
      <c r="AL14"/>
    </row>
    <row r="15" spans="1:38" ht="13.5" customHeight="1" x14ac:dyDescent="0.2">
      <c r="A15" s="1" t="s">
        <v>591</v>
      </c>
      <c r="B15" s="117" t="s">
        <v>619</v>
      </c>
      <c r="C15" s="420">
        <f>T_MLA!C10</f>
        <v>369</v>
      </c>
      <c r="D15" s="420">
        <f>T_MLA!D10</f>
        <v>125</v>
      </c>
      <c r="E15" s="420">
        <f>T_MLA!E10</f>
        <v>63</v>
      </c>
      <c r="F15" s="420">
        <f>T_MLA!F10</f>
        <v>22</v>
      </c>
      <c r="G15" s="420">
        <f>T_MLA!G10</f>
        <v>432</v>
      </c>
      <c r="H15" s="420">
        <f>T_MLA!B10</f>
        <v>13</v>
      </c>
      <c r="I15" s="627">
        <f>T_MLA!H10</f>
        <v>1024</v>
      </c>
      <c r="J15" s="420">
        <f>T_MLA!J10</f>
        <v>53</v>
      </c>
      <c r="K15" s="420">
        <f>T_MLA!K10</f>
        <v>28</v>
      </c>
      <c r="L15" s="420">
        <f>T_MLA!L10</f>
        <v>72</v>
      </c>
      <c r="M15" s="420">
        <f>T_MLA!M10</f>
        <v>84</v>
      </c>
      <c r="N15" s="420">
        <f>T_MLA!N10</f>
        <v>1034</v>
      </c>
      <c r="O15" s="420">
        <f>T_MLA!I10</f>
        <v>0</v>
      </c>
      <c r="P15" s="627">
        <f>T_MLA!O10</f>
        <v>1271</v>
      </c>
      <c r="Q15" s="420">
        <f>T_MLA!P10</f>
        <v>2295</v>
      </c>
      <c r="S15"/>
      <c r="T15"/>
      <c r="U15"/>
      <c r="V15"/>
      <c r="W15"/>
      <c r="X15"/>
      <c r="Y15"/>
      <c r="Z15"/>
      <c r="AA15"/>
      <c r="AB15"/>
      <c r="AC15"/>
      <c r="AD15"/>
      <c r="AE15"/>
      <c r="AF15"/>
      <c r="AG15"/>
      <c r="AH15"/>
      <c r="AI15"/>
      <c r="AJ15"/>
      <c r="AK15"/>
      <c r="AL15"/>
    </row>
    <row r="16" spans="1:38" ht="13.5" customHeight="1" x14ac:dyDescent="0.2">
      <c r="A16" s="1" t="s">
        <v>592</v>
      </c>
      <c r="B16" s="117" t="s">
        <v>27</v>
      </c>
      <c r="C16" s="420">
        <f>T_MLA!C11</f>
        <v>54</v>
      </c>
      <c r="D16" s="420">
        <f>T_MLA!D11</f>
        <v>15</v>
      </c>
      <c r="E16" s="420">
        <f>T_MLA!E11</f>
        <v>1</v>
      </c>
      <c r="F16" s="420">
        <f>T_MLA!F11</f>
        <v>3</v>
      </c>
      <c r="G16" s="420">
        <f>T_MLA!G11</f>
        <v>38</v>
      </c>
      <c r="H16" s="420">
        <f>T_MLA!B11</f>
        <v>3</v>
      </c>
      <c r="I16" s="627">
        <f>T_MLA!H11</f>
        <v>114</v>
      </c>
      <c r="J16" s="420">
        <f>T_MLA!J11</f>
        <v>1</v>
      </c>
      <c r="K16" s="420">
        <f>T_MLA!K11</f>
        <v>6</v>
      </c>
      <c r="L16" s="420">
        <f>T_MLA!L11</f>
        <v>2</v>
      </c>
      <c r="M16" s="420">
        <f>T_MLA!M11</f>
        <v>5</v>
      </c>
      <c r="N16" s="420">
        <f>T_MLA!N11</f>
        <v>74</v>
      </c>
      <c r="O16" s="420">
        <f>T_MLA!I11</f>
        <v>0</v>
      </c>
      <c r="P16" s="627">
        <f>T_MLA!O11</f>
        <v>88</v>
      </c>
      <c r="Q16" s="420">
        <f>T_MLA!P11</f>
        <v>202</v>
      </c>
      <c r="S16"/>
      <c r="T16"/>
      <c r="U16"/>
      <c r="V16"/>
      <c r="W16"/>
      <c r="X16"/>
      <c r="Y16"/>
      <c r="Z16"/>
      <c r="AA16"/>
      <c r="AB16"/>
      <c r="AC16"/>
      <c r="AD16"/>
      <c r="AE16"/>
      <c r="AF16"/>
      <c r="AG16"/>
      <c r="AH16"/>
      <c r="AI16"/>
      <c r="AJ16"/>
      <c r="AK16"/>
      <c r="AL16"/>
    </row>
    <row r="17" spans="1:38" ht="13.5" customHeight="1" x14ac:dyDescent="0.2">
      <c r="A17" s="1" t="s">
        <v>593</v>
      </c>
      <c r="B17" s="117" t="s">
        <v>28</v>
      </c>
      <c r="C17" s="420">
        <f>T_MLA!C12</f>
        <v>69</v>
      </c>
      <c r="D17" s="420">
        <f>T_MLA!D12</f>
        <v>34</v>
      </c>
      <c r="E17" s="420">
        <f>T_MLA!E12</f>
        <v>39</v>
      </c>
      <c r="F17" s="420">
        <f>T_MLA!F12</f>
        <v>22</v>
      </c>
      <c r="G17" s="420">
        <f>T_MLA!G12</f>
        <v>85</v>
      </c>
      <c r="H17" s="420">
        <f>T_MLA!B12</f>
        <v>46</v>
      </c>
      <c r="I17" s="627">
        <f>T_MLA!H12</f>
        <v>295</v>
      </c>
      <c r="J17" s="420">
        <f>T_MLA!J12</f>
        <v>5</v>
      </c>
      <c r="K17" s="420">
        <f>T_MLA!K12</f>
        <v>11</v>
      </c>
      <c r="L17" s="420">
        <f>T_MLA!L12</f>
        <v>5</v>
      </c>
      <c r="M17" s="420">
        <f>T_MLA!M12</f>
        <v>8</v>
      </c>
      <c r="N17" s="420">
        <f>T_MLA!N12</f>
        <v>120</v>
      </c>
      <c r="O17" s="420">
        <f>T_MLA!I12</f>
        <v>0</v>
      </c>
      <c r="P17" s="627">
        <f>T_MLA!O12</f>
        <v>149</v>
      </c>
      <c r="Q17" s="420">
        <f>T_MLA!P12</f>
        <v>444</v>
      </c>
      <c r="S17"/>
      <c r="T17"/>
      <c r="U17"/>
      <c r="V17"/>
      <c r="W17"/>
      <c r="X17"/>
      <c r="Y17"/>
      <c r="Z17"/>
      <c r="AA17"/>
      <c r="AB17"/>
      <c r="AC17"/>
      <c r="AD17"/>
      <c r="AE17"/>
      <c r="AF17"/>
      <c r="AG17"/>
      <c r="AH17"/>
      <c r="AI17"/>
      <c r="AJ17"/>
      <c r="AK17"/>
      <c r="AL17"/>
    </row>
    <row r="18" spans="1:38" ht="13.5" customHeight="1" x14ac:dyDescent="0.2">
      <c r="A18" s="1" t="s">
        <v>594</v>
      </c>
      <c r="B18" s="117" t="s">
        <v>29</v>
      </c>
      <c r="C18" s="420">
        <f>T_MLA!C13</f>
        <v>186</v>
      </c>
      <c r="D18" s="420">
        <f>T_MLA!D13</f>
        <v>42</v>
      </c>
      <c r="E18" s="420">
        <f>T_MLA!E13</f>
        <v>19</v>
      </c>
      <c r="F18" s="420">
        <f>T_MLA!F13</f>
        <v>14</v>
      </c>
      <c r="G18" s="420">
        <f>T_MLA!G13</f>
        <v>119</v>
      </c>
      <c r="H18" s="420">
        <f>T_MLA!B13</f>
        <v>4</v>
      </c>
      <c r="I18" s="627">
        <f>T_MLA!H13</f>
        <v>384</v>
      </c>
      <c r="J18" s="420">
        <f>T_MLA!J13</f>
        <v>23</v>
      </c>
      <c r="K18" s="420">
        <f>T_MLA!K13</f>
        <v>12</v>
      </c>
      <c r="L18" s="420">
        <f>T_MLA!L13</f>
        <v>13</v>
      </c>
      <c r="M18" s="420">
        <f>T_MLA!M13</f>
        <v>24</v>
      </c>
      <c r="N18" s="420">
        <f>T_MLA!N13</f>
        <v>579</v>
      </c>
      <c r="O18" s="420">
        <f>T_MLA!I13</f>
        <v>0</v>
      </c>
      <c r="P18" s="627">
        <f>T_MLA!O13</f>
        <v>651</v>
      </c>
      <c r="Q18" s="420">
        <f>T_MLA!P13</f>
        <v>1035</v>
      </c>
      <c r="S18"/>
      <c r="T18"/>
      <c r="U18"/>
      <c r="V18"/>
      <c r="W18"/>
      <c r="X18"/>
      <c r="Y18"/>
      <c r="Z18"/>
      <c r="AA18"/>
      <c r="AB18"/>
      <c r="AC18"/>
      <c r="AD18"/>
      <c r="AE18"/>
      <c r="AF18"/>
      <c r="AG18"/>
      <c r="AH18"/>
      <c r="AI18"/>
      <c r="AJ18"/>
      <c r="AK18"/>
      <c r="AL18"/>
    </row>
    <row r="19" spans="1:38" ht="13.5" customHeight="1" x14ac:dyDescent="0.2">
      <c r="A19" s="1" t="s">
        <v>595</v>
      </c>
      <c r="B19" s="117" t="s">
        <v>30</v>
      </c>
      <c r="C19" s="420">
        <f>T_MLA!C14</f>
        <v>95</v>
      </c>
      <c r="D19" s="420">
        <f>T_MLA!D14</f>
        <v>21</v>
      </c>
      <c r="E19" s="420">
        <f>T_MLA!E14</f>
        <v>28</v>
      </c>
      <c r="F19" s="420">
        <f>T_MLA!F14</f>
        <v>11</v>
      </c>
      <c r="G19" s="420">
        <f>T_MLA!G14</f>
        <v>56</v>
      </c>
      <c r="H19" s="420">
        <f>T_MLA!B14</f>
        <v>5</v>
      </c>
      <c r="I19" s="627">
        <f>T_MLA!H14</f>
        <v>216</v>
      </c>
      <c r="J19" s="420">
        <f>T_MLA!J14</f>
        <v>14</v>
      </c>
      <c r="K19" s="420">
        <f>T_MLA!K14</f>
        <v>10</v>
      </c>
      <c r="L19" s="420">
        <f>T_MLA!L14</f>
        <v>18</v>
      </c>
      <c r="M19" s="420">
        <f>T_MLA!M14</f>
        <v>23</v>
      </c>
      <c r="N19" s="420">
        <f>T_MLA!N14</f>
        <v>528</v>
      </c>
      <c r="O19" s="420">
        <f>T_MLA!I14</f>
        <v>0</v>
      </c>
      <c r="P19" s="627">
        <f>T_MLA!O14</f>
        <v>593</v>
      </c>
      <c r="Q19" s="420">
        <f>T_MLA!P14</f>
        <v>809</v>
      </c>
      <c r="S19"/>
      <c r="T19"/>
      <c r="U19"/>
      <c r="V19"/>
      <c r="W19"/>
      <c r="X19"/>
      <c r="Y19"/>
      <c r="Z19"/>
      <c r="AA19"/>
      <c r="AB19"/>
      <c r="AC19"/>
      <c r="AD19"/>
      <c r="AE19"/>
      <c r="AF19"/>
      <c r="AG19"/>
      <c r="AH19"/>
      <c r="AI19"/>
      <c r="AJ19"/>
      <c r="AK19"/>
      <c r="AL19"/>
    </row>
    <row r="20" spans="1:38" ht="13.5" customHeight="1" x14ac:dyDescent="0.2">
      <c r="A20" s="1" t="s">
        <v>596</v>
      </c>
      <c r="B20" s="117" t="s">
        <v>31</v>
      </c>
      <c r="C20" s="420">
        <f>T_MLA!C15</f>
        <v>65</v>
      </c>
      <c r="D20" s="420">
        <f>T_MLA!D15</f>
        <v>20</v>
      </c>
      <c r="E20" s="420">
        <f>T_MLA!E15</f>
        <v>10</v>
      </c>
      <c r="F20" s="420">
        <f>T_MLA!F15</f>
        <v>1</v>
      </c>
      <c r="G20" s="420">
        <f>T_MLA!G15</f>
        <v>36</v>
      </c>
      <c r="H20" s="420">
        <f>T_MLA!B15</f>
        <v>5</v>
      </c>
      <c r="I20" s="627">
        <f>T_MLA!H15</f>
        <v>137</v>
      </c>
      <c r="J20" s="420">
        <f>T_MLA!J15</f>
        <v>9</v>
      </c>
      <c r="K20" s="420">
        <f>T_MLA!K15</f>
        <v>1</v>
      </c>
      <c r="L20" s="420">
        <f>T_MLA!L15</f>
        <v>17</v>
      </c>
      <c r="M20" s="420">
        <f>T_MLA!M15</f>
        <v>7</v>
      </c>
      <c r="N20" s="420">
        <f>T_MLA!N15</f>
        <v>205</v>
      </c>
      <c r="O20" s="420">
        <f>T_MLA!I15</f>
        <v>0</v>
      </c>
      <c r="P20" s="627">
        <f>T_MLA!O15</f>
        <v>239</v>
      </c>
      <c r="Q20" s="420">
        <f>T_MLA!P15</f>
        <v>376</v>
      </c>
      <c r="S20"/>
      <c r="T20"/>
      <c r="U20"/>
      <c r="V20"/>
      <c r="W20"/>
      <c r="X20"/>
      <c r="Y20"/>
      <c r="Z20"/>
      <c r="AA20"/>
      <c r="AB20"/>
      <c r="AC20"/>
      <c r="AD20"/>
      <c r="AE20"/>
      <c r="AF20"/>
      <c r="AG20"/>
      <c r="AH20"/>
      <c r="AI20"/>
      <c r="AJ20"/>
      <c r="AK20"/>
      <c r="AL20"/>
    </row>
    <row r="21" spans="1:38" ht="13.5" customHeight="1" x14ac:dyDescent="0.2">
      <c r="A21" s="1" t="s">
        <v>597</v>
      </c>
      <c r="B21" s="117" t="s">
        <v>32</v>
      </c>
      <c r="C21" s="420">
        <f>T_MLA!C16</f>
        <v>46</v>
      </c>
      <c r="D21" s="420">
        <f>T_MLA!D16</f>
        <v>22</v>
      </c>
      <c r="E21" s="420">
        <f>T_MLA!E16</f>
        <v>28</v>
      </c>
      <c r="F21" s="420">
        <f>T_MLA!F16</f>
        <v>12</v>
      </c>
      <c r="G21" s="420">
        <f>T_MLA!G16</f>
        <v>43</v>
      </c>
      <c r="H21" s="420">
        <f>T_MLA!B16</f>
        <v>10</v>
      </c>
      <c r="I21" s="627">
        <f>T_MLA!H16</f>
        <v>161</v>
      </c>
      <c r="J21" s="420">
        <f>T_MLA!J16</f>
        <v>3</v>
      </c>
      <c r="K21" s="420">
        <f>T_MLA!K16</f>
        <v>5</v>
      </c>
      <c r="L21" s="420">
        <f>T_MLA!L16</f>
        <v>8</v>
      </c>
      <c r="M21" s="420">
        <f>T_MLA!M16</f>
        <v>15</v>
      </c>
      <c r="N21" s="420">
        <f>T_MLA!N16</f>
        <v>152</v>
      </c>
      <c r="O21" s="420">
        <f>T_MLA!I16</f>
        <v>0</v>
      </c>
      <c r="P21" s="627">
        <f>T_MLA!O16</f>
        <v>183</v>
      </c>
      <c r="Q21" s="420">
        <f>T_MLA!P16</f>
        <v>344</v>
      </c>
      <c r="S21"/>
      <c r="T21"/>
      <c r="U21"/>
      <c r="V21"/>
      <c r="W21"/>
      <c r="X21"/>
      <c r="Y21"/>
      <c r="Z21"/>
      <c r="AA21"/>
      <c r="AB21"/>
      <c r="AC21"/>
      <c r="AD21"/>
      <c r="AE21"/>
      <c r="AF21"/>
      <c r="AG21"/>
      <c r="AH21"/>
      <c r="AI21"/>
      <c r="AJ21"/>
      <c r="AK21"/>
      <c r="AL21"/>
    </row>
    <row r="22" spans="1:38" ht="13.5" customHeight="1" x14ac:dyDescent="0.2">
      <c r="A22" s="1" t="s">
        <v>598</v>
      </c>
      <c r="B22" s="117" t="s">
        <v>33</v>
      </c>
      <c r="C22" s="420">
        <f>T_MLA!C17</f>
        <v>49</v>
      </c>
      <c r="D22" s="420">
        <f>T_MLA!D17</f>
        <v>6</v>
      </c>
      <c r="E22" s="420">
        <f>T_MLA!E17</f>
        <v>9</v>
      </c>
      <c r="F22" s="420">
        <f>T_MLA!F17</f>
        <v>1</v>
      </c>
      <c r="G22" s="420">
        <f>T_MLA!G17</f>
        <v>32</v>
      </c>
      <c r="H22" s="420">
        <f>T_MLA!B17</f>
        <v>6</v>
      </c>
      <c r="I22" s="627">
        <f>T_MLA!H17</f>
        <v>103</v>
      </c>
      <c r="J22" s="420">
        <f>T_MLA!J17</f>
        <v>4</v>
      </c>
      <c r="K22" s="420">
        <f>T_MLA!K17</f>
        <v>6</v>
      </c>
      <c r="L22" s="420">
        <f>T_MLA!L17</f>
        <v>15</v>
      </c>
      <c r="M22" s="420">
        <f>T_MLA!M17</f>
        <v>8</v>
      </c>
      <c r="N22" s="420">
        <f>T_MLA!N17</f>
        <v>150</v>
      </c>
      <c r="O22" s="420">
        <f>T_MLA!I17</f>
        <v>0</v>
      </c>
      <c r="P22" s="627">
        <f>T_MLA!O17</f>
        <v>183</v>
      </c>
      <c r="Q22" s="420">
        <f>T_MLA!P17</f>
        <v>286</v>
      </c>
      <c r="S22"/>
      <c r="T22"/>
      <c r="U22"/>
      <c r="V22"/>
      <c r="W22"/>
      <c r="X22"/>
      <c r="Y22"/>
      <c r="Z22"/>
      <c r="AA22"/>
      <c r="AB22"/>
      <c r="AC22"/>
      <c r="AD22"/>
      <c r="AE22"/>
      <c r="AF22"/>
      <c r="AG22"/>
      <c r="AH22"/>
      <c r="AI22"/>
      <c r="AJ22"/>
      <c r="AK22"/>
      <c r="AL22"/>
    </row>
    <row r="23" spans="1:38" ht="13.5" customHeight="1" x14ac:dyDescent="0.2">
      <c r="A23" s="1" t="s">
        <v>599</v>
      </c>
      <c r="B23" s="117" t="s">
        <v>34</v>
      </c>
      <c r="C23" s="420">
        <f>T_MLA!C18</f>
        <v>99</v>
      </c>
      <c r="D23" s="420">
        <f>T_MLA!D18</f>
        <v>42</v>
      </c>
      <c r="E23" s="420">
        <f>T_MLA!E18</f>
        <v>40</v>
      </c>
      <c r="F23" s="420">
        <f>T_MLA!F18</f>
        <v>22</v>
      </c>
      <c r="G23" s="420">
        <f>T_MLA!G18</f>
        <v>110</v>
      </c>
      <c r="H23" s="420">
        <f>T_MLA!B18</f>
        <v>4</v>
      </c>
      <c r="I23" s="627">
        <f>T_MLA!H18</f>
        <v>317</v>
      </c>
      <c r="J23" s="420">
        <f>T_MLA!J18</f>
        <v>10</v>
      </c>
      <c r="K23" s="420">
        <f>T_MLA!K18</f>
        <v>16</v>
      </c>
      <c r="L23" s="420">
        <f>T_MLA!L18</f>
        <v>10</v>
      </c>
      <c r="M23" s="420">
        <f>T_MLA!M18</f>
        <v>45</v>
      </c>
      <c r="N23" s="420">
        <f>T_MLA!N18</f>
        <v>313</v>
      </c>
      <c r="O23" s="420">
        <f>T_MLA!I18</f>
        <v>0</v>
      </c>
      <c r="P23" s="627">
        <f>T_MLA!O18</f>
        <v>394</v>
      </c>
      <c r="Q23" s="420">
        <f>T_MLA!P18</f>
        <v>711</v>
      </c>
      <c r="S23"/>
      <c r="T23"/>
      <c r="U23"/>
      <c r="V23"/>
      <c r="W23"/>
      <c r="X23"/>
      <c r="Y23"/>
      <c r="Z23"/>
      <c r="AA23"/>
      <c r="AB23"/>
      <c r="AC23"/>
      <c r="AD23"/>
      <c r="AE23"/>
      <c r="AF23"/>
      <c r="AG23"/>
      <c r="AH23"/>
      <c r="AI23"/>
      <c r="AJ23"/>
      <c r="AK23"/>
      <c r="AL23"/>
    </row>
    <row r="24" spans="1:38" ht="13.5" customHeight="1" x14ac:dyDescent="0.2">
      <c r="A24" s="1" t="s">
        <v>600</v>
      </c>
      <c r="B24" s="117" t="s">
        <v>35</v>
      </c>
      <c r="C24" s="420">
        <f>T_MLA!C19</f>
        <v>227</v>
      </c>
      <c r="D24" s="420">
        <f>T_MLA!D19</f>
        <v>76</v>
      </c>
      <c r="E24" s="420">
        <f>T_MLA!E19</f>
        <v>81</v>
      </c>
      <c r="F24" s="420">
        <f>T_MLA!F19</f>
        <v>35</v>
      </c>
      <c r="G24" s="420">
        <f>T_MLA!G19</f>
        <v>193</v>
      </c>
      <c r="H24" s="420">
        <f>T_MLA!B19</f>
        <v>25</v>
      </c>
      <c r="I24" s="627">
        <f>T_MLA!H19</f>
        <v>637</v>
      </c>
      <c r="J24" s="420">
        <f>T_MLA!J19</f>
        <v>20</v>
      </c>
      <c r="K24" s="420">
        <f>T_MLA!K19</f>
        <v>23</v>
      </c>
      <c r="L24" s="420">
        <f>T_MLA!L19</f>
        <v>28</v>
      </c>
      <c r="M24" s="420">
        <f>T_MLA!M19</f>
        <v>94</v>
      </c>
      <c r="N24" s="420">
        <f>T_MLA!N19</f>
        <v>826</v>
      </c>
      <c r="O24" s="420">
        <f>T_MLA!I19</f>
        <v>0</v>
      </c>
      <c r="P24" s="627">
        <f>T_MLA!O19</f>
        <v>991</v>
      </c>
      <c r="Q24" s="420">
        <f>T_MLA!P19</f>
        <v>1628</v>
      </c>
      <c r="S24"/>
      <c r="T24"/>
      <c r="U24"/>
      <c r="V24"/>
      <c r="W24"/>
      <c r="X24"/>
      <c r="Y24"/>
      <c r="Z24"/>
      <c r="AA24"/>
      <c r="AB24"/>
      <c r="AC24"/>
      <c r="AD24"/>
      <c r="AE24"/>
      <c r="AF24"/>
      <c r="AG24"/>
      <c r="AH24"/>
      <c r="AI24"/>
      <c r="AJ24"/>
      <c r="AK24"/>
      <c r="AL24"/>
    </row>
    <row r="25" spans="1:38" ht="13.5" customHeight="1" x14ac:dyDescent="0.2">
      <c r="A25" s="1" t="s">
        <v>601</v>
      </c>
      <c r="B25" s="117" t="s">
        <v>36</v>
      </c>
      <c r="C25" s="420">
        <f>T_MLA!C20</f>
        <v>685</v>
      </c>
      <c r="D25" s="420">
        <f>T_MLA!D20</f>
        <v>169</v>
      </c>
      <c r="E25" s="420">
        <f>T_MLA!E20</f>
        <v>106</v>
      </c>
      <c r="F25" s="420">
        <f>T_MLA!F20</f>
        <v>31</v>
      </c>
      <c r="G25" s="420">
        <f>T_MLA!G20</f>
        <v>312</v>
      </c>
      <c r="H25" s="420">
        <f>T_MLA!B20</f>
        <v>2</v>
      </c>
      <c r="I25" s="627">
        <f>T_MLA!H20</f>
        <v>1305</v>
      </c>
      <c r="J25" s="420">
        <f>T_MLA!J20</f>
        <v>110</v>
      </c>
      <c r="K25" s="420">
        <f>T_MLA!K20</f>
        <v>66</v>
      </c>
      <c r="L25" s="420">
        <f>T_MLA!L20</f>
        <v>192</v>
      </c>
      <c r="M25" s="420">
        <f>T_MLA!M20</f>
        <v>51</v>
      </c>
      <c r="N25" s="420">
        <f>T_MLA!N20</f>
        <v>2128</v>
      </c>
      <c r="O25" s="420">
        <f>T_MLA!I20</f>
        <v>0</v>
      </c>
      <c r="P25" s="627">
        <f>T_MLA!O20</f>
        <v>2547</v>
      </c>
      <c r="Q25" s="420">
        <f>T_MLA!P20</f>
        <v>3852</v>
      </c>
      <c r="S25"/>
      <c r="T25"/>
      <c r="U25"/>
      <c r="V25"/>
      <c r="W25"/>
      <c r="X25"/>
      <c r="Y25"/>
      <c r="Z25"/>
      <c r="AA25"/>
      <c r="AB25"/>
      <c r="AC25"/>
      <c r="AD25"/>
      <c r="AE25"/>
      <c r="AF25"/>
      <c r="AG25"/>
      <c r="AH25"/>
      <c r="AI25"/>
      <c r="AJ25"/>
      <c r="AK25"/>
      <c r="AL25"/>
    </row>
    <row r="26" spans="1:38" ht="13.5" customHeight="1" x14ac:dyDescent="0.2">
      <c r="A26" s="1" t="s">
        <v>602</v>
      </c>
      <c r="B26" s="117" t="s">
        <v>37</v>
      </c>
      <c r="C26" s="420">
        <f>T_MLA!C21</f>
        <v>126</v>
      </c>
      <c r="D26" s="420">
        <f>T_MLA!D21</f>
        <v>101</v>
      </c>
      <c r="E26" s="420">
        <f>T_MLA!E21</f>
        <v>57</v>
      </c>
      <c r="F26" s="420">
        <f>T_MLA!F21</f>
        <v>53</v>
      </c>
      <c r="G26" s="420">
        <f>T_MLA!G21</f>
        <v>234</v>
      </c>
      <c r="H26" s="420">
        <f>T_MLA!B21</f>
        <v>138</v>
      </c>
      <c r="I26" s="627">
        <f>T_MLA!H21</f>
        <v>709</v>
      </c>
      <c r="J26" s="420">
        <f>T_MLA!J21</f>
        <v>6</v>
      </c>
      <c r="K26" s="420">
        <f>T_MLA!K21</f>
        <v>5</v>
      </c>
      <c r="L26" s="420">
        <f>T_MLA!L21</f>
        <v>4</v>
      </c>
      <c r="M26" s="420">
        <f>T_MLA!M21</f>
        <v>28</v>
      </c>
      <c r="N26" s="420">
        <f>T_MLA!N21</f>
        <v>162</v>
      </c>
      <c r="O26" s="420">
        <f>T_MLA!I21</f>
        <v>0</v>
      </c>
      <c r="P26" s="627">
        <f>T_MLA!O21</f>
        <v>205</v>
      </c>
      <c r="Q26" s="420">
        <f>T_MLA!P21</f>
        <v>914</v>
      </c>
      <c r="S26"/>
      <c r="T26"/>
      <c r="U26"/>
      <c r="V26"/>
      <c r="W26"/>
      <c r="X26"/>
      <c r="Y26"/>
      <c r="Z26"/>
      <c r="AA26"/>
      <c r="AB26"/>
      <c r="AC26"/>
      <c r="AD26"/>
      <c r="AE26"/>
      <c r="AF26"/>
      <c r="AG26"/>
      <c r="AH26"/>
      <c r="AI26"/>
      <c r="AJ26"/>
      <c r="AK26"/>
      <c r="AL26"/>
    </row>
    <row r="27" spans="1:38" ht="13.5" customHeight="1" x14ac:dyDescent="0.2">
      <c r="A27" s="1" t="s">
        <v>603</v>
      </c>
      <c r="B27" s="117" t="s">
        <v>38</v>
      </c>
      <c r="C27" s="420">
        <f>T_MLA!C22</f>
        <v>88</v>
      </c>
      <c r="D27" s="420">
        <f>T_MLA!D22</f>
        <v>14</v>
      </c>
      <c r="E27" s="420">
        <f>T_MLA!E22</f>
        <v>7</v>
      </c>
      <c r="F27" s="420">
        <f>T_MLA!F22</f>
        <v>2</v>
      </c>
      <c r="G27" s="420">
        <f>T_MLA!G22</f>
        <v>26</v>
      </c>
      <c r="H27" s="420">
        <f>T_MLA!B22</f>
        <v>3</v>
      </c>
      <c r="I27" s="627">
        <f>T_MLA!H22</f>
        <v>140</v>
      </c>
      <c r="J27" s="420">
        <f>T_MLA!J22</f>
        <v>22</v>
      </c>
      <c r="K27" s="420">
        <f>T_MLA!K22</f>
        <v>6</v>
      </c>
      <c r="L27" s="420">
        <f>T_MLA!L22</f>
        <v>22</v>
      </c>
      <c r="M27" s="420">
        <f>T_MLA!M22</f>
        <v>5</v>
      </c>
      <c r="N27" s="420">
        <f>T_MLA!N22</f>
        <v>391</v>
      </c>
      <c r="O27" s="420">
        <f>T_MLA!I22</f>
        <v>0</v>
      </c>
      <c r="P27" s="627">
        <f>T_MLA!O22</f>
        <v>446</v>
      </c>
      <c r="Q27" s="420">
        <f>T_MLA!P22</f>
        <v>586</v>
      </c>
      <c r="S27"/>
      <c r="T27"/>
      <c r="U27"/>
      <c r="V27"/>
      <c r="W27"/>
      <c r="X27"/>
      <c r="Y27"/>
      <c r="Z27"/>
      <c r="AA27"/>
      <c r="AB27"/>
      <c r="AC27"/>
      <c r="AD27"/>
      <c r="AE27"/>
      <c r="AF27"/>
      <c r="AG27"/>
      <c r="AH27"/>
      <c r="AI27"/>
      <c r="AJ27"/>
      <c r="AK27"/>
      <c r="AL27"/>
    </row>
    <row r="28" spans="1:38" ht="13.5" customHeight="1" x14ac:dyDescent="0.2">
      <c r="A28" s="1" t="s">
        <v>604</v>
      </c>
      <c r="B28" s="117" t="s">
        <v>39</v>
      </c>
      <c r="C28" s="420">
        <f>T_MLA!C23</f>
        <v>57</v>
      </c>
      <c r="D28" s="420">
        <f>T_MLA!D23</f>
        <v>33</v>
      </c>
      <c r="E28" s="420">
        <f>T_MLA!E23</f>
        <v>12</v>
      </c>
      <c r="F28" s="420">
        <f>T_MLA!F23</f>
        <v>16</v>
      </c>
      <c r="G28" s="420">
        <f>T_MLA!G23</f>
        <v>45</v>
      </c>
      <c r="H28" s="420">
        <f>T_MLA!B23</f>
        <v>6</v>
      </c>
      <c r="I28" s="627">
        <f>T_MLA!H23</f>
        <v>169</v>
      </c>
      <c r="J28" s="420">
        <f>T_MLA!J23</f>
        <v>2</v>
      </c>
      <c r="K28" s="420">
        <f>T_MLA!K23</f>
        <v>2</v>
      </c>
      <c r="L28" s="420">
        <f>T_MLA!L23</f>
        <v>7</v>
      </c>
      <c r="M28" s="420">
        <f>T_MLA!M23</f>
        <v>29</v>
      </c>
      <c r="N28" s="420">
        <f>T_MLA!N23</f>
        <v>158</v>
      </c>
      <c r="O28" s="420">
        <f>T_MLA!I23</f>
        <v>0</v>
      </c>
      <c r="P28" s="627">
        <f>T_MLA!O23</f>
        <v>198</v>
      </c>
      <c r="Q28" s="420">
        <f>T_MLA!P23</f>
        <v>367</v>
      </c>
      <c r="S28"/>
      <c r="T28"/>
      <c r="U28"/>
      <c r="V28"/>
      <c r="W28"/>
      <c r="X28"/>
      <c r="Y28"/>
      <c r="Z28"/>
      <c r="AA28"/>
      <c r="AB28"/>
      <c r="AC28"/>
      <c r="AD28"/>
      <c r="AE28"/>
      <c r="AF28"/>
      <c r="AG28"/>
      <c r="AH28"/>
      <c r="AI28"/>
      <c r="AJ28"/>
      <c r="AK28"/>
      <c r="AL28"/>
    </row>
    <row r="29" spans="1:38" ht="13.5" customHeight="1" x14ac:dyDescent="0.2">
      <c r="A29" s="1" t="s">
        <v>605</v>
      </c>
      <c r="B29" s="117" t="s">
        <v>40</v>
      </c>
      <c r="C29" s="420">
        <f>T_MLA!C24</f>
        <v>50</v>
      </c>
      <c r="D29" s="420">
        <f>T_MLA!D24</f>
        <v>21</v>
      </c>
      <c r="E29" s="420">
        <f>T_MLA!E24</f>
        <v>19</v>
      </c>
      <c r="F29" s="420">
        <f>T_MLA!F24</f>
        <v>23</v>
      </c>
      <c r="G29" s="420">
        <f>T_MLA!G24</f>
        <v>65</v>
      </c>
      <c r="H29" s="420">
        <f>T_MLA!B24</f>
        <v>20</v>
      </c>
      <c r="I29" s="627">
        <f>T_MLA!H24</f>
        <v>198</v>
      </c>
      <c r="J29" s="420">
        <f>T_MLA!J24</f>
        <v>1</v>
      </c>
      <c r="K29" s="420">
        <f>T_MLA!K24</f>
        <v>6</v>
      </c>
      <c r="L29" s="420">
        <f>T_MLA!L24</f>
        <v>4</v>
      </c>
      <c r="M29" s="420">
        <f>T_MLA!M24</f>
        <v>19</v>
      </c>
      <c r="N29" s="420">
        <f>T_MLA!N24</f>
        <v>63</v>
      </c>
      <c r="O29" s="420">
        <f>T_MLA!I24</f>
        <v>0</v>
      </c>
      <c r="P29" s="627">
        <f>T_MLA!O24</f>
        <v>93</v>
      </c>
      <c r="Q29" s="420">
        <f>T_MLA!P24</f>
        <v>291</v>
      </c>
      <c r="S29"/>
      <c r="T29"/>
      <c r="U29"/>
      <c r="V29"/>
      <c r="W29"/>
      <c r="X29"/>
      <c r="Y29"/>
      <c r="Z29"/>
      <c r="AA29"/>
      <c r="AB29"/>
      <c r="AC29"/>
      <c r="AD29"/>
      <c r="AE29"/>
      <c r="AF29"/>
      <c r="AG29"/>
      <c r="AH29"/>
      <c r="AI29"/>
      <c r="AJ29"/>
      <c r="AK29"/>
      <c r="AL29"/>
    </row>
    <row r="30" spans="1:38" ht="13.5" customHeight="1" x14ac:dyDescent="0.2">
      <c r="A30" s="1" t="s">
        <v>606</v>
      </c>
      <c r="B30" s="117" t="s">
        <v>295</v>
      </c>
      <c r="C30" s="420">
        <f>T_MLA!C25</f>
        <v>21</v>
      </c>
      <c r="D30" s="420">
        <f>T_MLA!D25</f>
        <v>6</v>
      </c>
      <c r="E30" s="420">
        <f>T_MLA!E25</f>
        <v>7</v>
      </c>
      <c r="F30" s="420">
        <f>T_MLA!F25</f>
        <v>5</v>
      </c>
      <c r="G30" s="420">
        <f>T_MLA!G25</f>
        <v>58</v>
      </c>
      <c r="H30" s="420">
        <f>T_MLA!B25</f>
        <v>36</v>
      </c>
      <c r="I30" s="627">
        <f>T_MLA!H25</f>
        <v>133</v>
      </c>
      <c r="J30" s="420">
        <f>T_MLA!J25</f>
        <v>1</v>
      </c>
      <c r="K30" s="420">
        <f>T_MLA!K25</f>
        <v>0</v>
      </c>
      <c r="L30" s="420">
        <f>T_MLA!L25</f>
        <v>1</v>
      </c>
      <c r="M30" s="420">
        <f>T_MLA!M25</f>
        <v>0</v>
      </c>
      <c r="N30" s="420">
        <f>T_MLA!N25</f>
        <v>18</v>
      </c>
      <c r="O30" s="420">
        <f>T_MLA!I25</f>
        <v>0</v>
      </c>
      <c r="P30" s="627">
        <f>T_MLA!O25</f>
        <v>20</v>
      </c>
      <c r="Q30" s="420">
        <f>T_MLA!P25</f>
        <v>153</v>
      </c>
      <c r="S30"/>
      <c r="T30"/>
      <c r="U30"/>
      <c r="V30"/>
      <c r="W30"/>
      <c r="X30"/>
      <c r="Y30"/>
      <c r="Z30"/>
      <c r="AA30"/>
      <c r="AB30"/>
      <c r="AC30"/>
      <c r="AD30"/>
      <c r="AE30"/>
      <c r="AF30"/>
      <c r="AG30"/>
      <c r="AH30"/>
      <c r="AI30"/>
      <c r="AJ30"/>
      <c r="AK30"/>
      <c r="AL30"/>
    </row>
    <row r="31" spans="1:38" ht="13.5" customHeight="1" x14ac:dyDescent="0.2">
      <c r="A31" s="1" t="s">
        <v>607</v>
      </c>
      <c r="B31" s="117" t="s">
        <v>41</v>
      </c>
      <c r="C31" s="420">
        <f>T_MLA!C26</f>
        <v>136</v>
      </c>
      <c r="D31" s="420">
        <f>T_MLA!D26</f>
        <v>28</v>
      </c>
      <c r="E31" s="420">
        <f>T_MLA!E26</f>
        <v>25</v>
      </c>
      <c r="F31" s="420">
        <f>T_MLA!F26</f>
        <v>4</v>
      </c>
      <c r="G31" s="420">
        <f>T_MLA!G26</f>
        <v>54</v>
      </c>
      <c r="H31" s="420">
        <f>T_MLA!B26</f>
        <v>12</v>
      </c>
      <c r="I31" s="627">
        <f>T_MLA!H26</f>
        <v>259</v>
      </c>
      <c r="J31" s="420">
        <f>T_MLA!J26</f>
        <v>17</v>
      </c>
      <c r="K31" s="420">
        <f>T_MLA!K26</f>
        <v>7</v>
      </c>
      <c r="L31" s="420">
        <f>T_MLA!L26</f>
        <v>10</v>
      </c>
      <c r="M31" s="420">
        <f>T_MLA!M26</f>
        <v>12</v>
      </c>
      <c r="N31" s="420">
        <f>T_MLA!N26</f>
        <v>437</v>
      </c>
      <c r="O31" s="420">
        <f>T_MLA!I26</f>
        <v>0</v>
      </c>
      <c r="P31" s="627">
        <f>T_MLA!O26</f>
        <v>483</v>
      </c>
      <c r="Q31" s="420">
        <f>T_MLA!P26</f>
        <v>742</v>
      </c>
      <c r="S31"/>
      <c r="T31"/>
      <c r="U31"/>
      <c r="V31"/>
      <c r="W31"/>
      <c r="X31"/>
      <c r="Y31"/>
      <c r="Z31"/>
      <c r="AA31"/>
      <c r="AB31"/>
      <c r="AC31"/>
      <c r="AD31"/>
      <c r="AE31"/>
      <c r="AF31"/>
      <c r="AG31"/>
      <c r="AH31"/>
      <c r="AI31"/>
      <c r="AJ31"/>
      <c r="AK31"/>
      <c r="AL31"/>
    </row>
    <row r="32" spans="1:38" ht="13.5" customHeight="1" x14ac:dyDescent="0.2">
      <c r="A32" s="1" t="s">
        <v>608</v>
      </c>
      <c r="B32" s="117" t="s">
        <v>42</v>
      </c>
      <c r="C32" s="420">
        <f>T_MLA!C27</f>
        <v>279</v>
      </c>
      <c r="D32" s="420">
        <f>T_MLA!D27</f>
        <v>75</v>
      </c>
      <c r="E32" s="420">
        <f>T_MLA!E27</f>
        <v>102</v>
      </c>
      <c r="F32" s="420">
        <f>T_MLA!F27</f>
        <v>16</v>
      </c>
      <c r="G32" s="420">
        <f>T_MLA!G27</f>
        <v>162</v>
      </c>
      <c r="H32" s="420">
        <f>T_MLA!B27</f>
        <v>6</v>
      </c>
      <c r="I32" s="627">
        <f>T_MLA!H27</f>
        <v>640</v>
      </c>
      <c r="J32" s="420">
        <f>T_MLA!J27</f>
        <v>39</v>
      </c>
      <c r="K32" s="420">
        <f>T_MLA!K27</f>
        <v>31</v>
      </c>
      <c r="L32" s="420">
        <f>T_MLA!L27</f>
        <v>115</v>
      </c>
      <c r="M32" s="420">
        <f>T_MLA!M27</f>
        <v>26</v>
      </c>
      <c r="N32" s="420">
        <f>T_MLA!N27</f>
        <v>1313</v>
      </c>
      <c r="O32" s="420">
        <f>T_MLA!I27</f>
        <v>0</v>
      </c>
      <c r="P32" s="627">
        <f>T_MLA!O27</f>
        <v>1524</v>
      </c>
      <c r="Q32" s="420">
        <f>T_MLA!P27</f>
        <v>2164</v>
      </c>
      <c r="S32"/>
      <c r="T32"/>
      <c r="U32"/>
      <c r="V32"/>
      <c r="W32"/>
      <c r="X32"/>
      <c r="Y32"/>
      <c r="Z32"/>
      <c r="AA32"/>
      <c r="AB32"/>
      <c r="AC32"/>
      <c r="AD32"/>
      <c r="AE32"/>
      <c r="AF32"/>
      <c r="AG32"/>
      <c r="AH32"/>
      <c r="AI32"/>
      <c r="AJ32"/>
      <c r="AK32"/>
      <c r="AL32"/>
    </row>
    <row r="33" spans="1:38" ht="13.5" customHeight="1" x14ac:dyDescent="0.2">
      <c r="A33" s="1" t="s">
        <v>609</v>
      </c>
      <c r="B33" s="117" t="s">
        <v>43</v>
      </c>
      <c r="C33" s="420">
        <f>T_MLA!C28</f>
        <v>4</v>
      </c>
      <c r="D33" s="420">
        <f>T_MLA!D28</f>
        <v>2</v>
      </c>
      <c r="E33" s="420">
        <f>T_MLA!E28</f>
        <v>7</v>
      </c>
      <c r="F33" s="420">
        <f>T_MLA!F28</f>
        <v>4</v>
      </c>
      <c r="G33" s="420">
        <f>T_MLA!G28</f>
        <v>8</v>
      </c>
      <c r="H33" s="420">
        <f>T_MLA!B28</f>
        <v>5</v>
      </c>
      <c r="I33" s="627">
        <f>T_MLA!H28</f>
        <v>30</v>
      </c>
      <c r="J33" s="420">
        <f>T_MLA!J28</f>
        <v>0</v>
      </c>
      <c r="K33" s="420">
        <f>T_MLA!K28</f>
        <v>0</v>
      </c>
      <c r="L33" s="420">
        <f>T_MLA!L28</f>
        <v>0</v>
      </c>
      <c r="M33" s="420">
        <f>T_MLA!M28</f>
        <v>0</v>
      </c>
      <c r="N33" s="420">
        <f>T_MLA!N28</f>
        <v>6</v>
      </c>
      <c r="O33" s="420">
        <f>T_MLA!I28</f>
        <v>0</v>
      </c>
      <c r="P33" s="627">
        <f>T_MLA!O28</f>
        <v>6</v>
      </c>
      <c r="Q33" s="420">
        <f>T_MLA!P28</f>
        <v>36</v>
      </c>
      <c r="S33"/>
      <c r="T33"/>
      <c r="U33"/>
      <c r="V33"/>
      <c r="W33"/>
      <c r="X33"/>
      <c r="Y33"/>
      <c r="Z33"/>
      <c r="AA33"/>
      <c r="AB33"/>
      <c r="AC33"/>
      <c r="AD33"/>
      <c r="AE33"/>
      <c r="AF33"/>
      <c r="AG33"/>
      <c r="AH33"/>
      <c r="AI33"/>
      <c r="AJ33"/>
      <c r="AK33"/>
      <c r="AL33"/>
    </row>
    <row r="34" spans="1:38" ht="13.5" customHeight="1" x14ac:dyDescent="0.2">
      <c r="A34" s="1" t="s">
        <v>610</v>
      </c>
      <c r="B34" s="117" t="s">
        <v>44</v>
      </c>
      <c r="C34" s="420">
        <f>T_MLA!C29</f>
        <v>97</v>
      </c>
      <c r="D34" s="420">
        <f>T_MLA!D29</f>
        <v>43</v>
      </c>
      <c r="E34" s="420">
        <f>T_MLA!E29</f>
        <v>45</v>
      </c>
      <c r="F34" s="420">
        <f>T_MLA!F29</f>
        <v>16</v>
      </c>
      <c r="G34" s="420">
        <f>T_MLA!G29</f>
        <v>81</v>
      </c>
      <c r="H34" s="420">
        <f>T_MLA!B29</f>
        <v>41</v>
      </c>
      <c r="I34" s="627">
        <f>T_MLA!H29</f>
        <v>323</v>
      </c>
      <c r="J34" s="420">
        <f>T_MLA!J29</f>
        <v>7</v>
      </c>
      <c r="K34" s="420">
        <f>T_MLA!K29</f>
        <v>1</v>
      </c>
      <c r="L34" s="420">
        <f>T_MLA!L29</f>
        <v>7</v>
      </c>
      <c r="M34" s="420">
        <f>T_MLA!M29</f>
        <v>11</v>
      </c>
      <c r="N34" s="420">
        <f>T_MLA!N29</f>
        <v>64</v>
      </c>
      <c r="O34" s="420">
        <f>T_MLA!I29</f>
        <v>0</v>
      </c>
      <c r="P34" s="627">
        <f>T_MLA!O29</f>
        <v>90</v>
      </c>
      <c r="Q34" s="420">
        <f>T_MLA!P29</f>
        <v>413</v>
      </c>
      <c r="S34"/>
      <c r="T34"/>
      <c r="U34"/>
      <c r="V34"/>
      <c r="W34"/>
      <c r="X34"/>
      <c r="Y34"/>
      <c r="Z34"/>
      <c r="AA34"/>
      <c r="AB34"/>
      <c r="AC34"/>
      <c r="AD34"/>
      <c r="AE34"/>
      <c r="AF34"/>
      <c r="AG34"/>
      <c r="AH34"/>
      <c r="AI34"/>
      <c r="AJ34"/>
      <c r="AK34"/>
      <c r="AL34"/>
    </row>
    <row r="35" spans="1:38" ht="13.5" customHeight="1" x14ac:dyDescent="0.2">
      <c r="A35" s="1" t="s">
        <v>611</v>
      </c>
      <c r="B35" s="117" t="s">
        <v>45</v>
      </c>
      <c r="C35" s="420">
        <f>T_MLA!C30</f>
        <v>151</v>
      </c>
      <c r="D35" s="420">
        <f>T_MLA!D30</f>
        <v>39</v>
      </c>
      <c r="E35" s="420">
        <f>T_MLA!E30</f>
        <v>19</v>
      </c>
      <c r="F35" s="420">
        <f>T_MLA!F30</f>
        <v>8</v>
      </c>
      <c r="G35" s="420">
        <f>T_MLA!G30</f>
        <v>73</v>
      </c>
      <c r="H35" s="420">
        <f>T_MLA!B30</f>
        <v>3</v>
      </c>
      <c r="I35" s="627">
        <f>T_MLA!H30</f>
        <v>293</v>
      </c>
      <c r="J35" s="420">
        <f>T_MLA!J30</f>
        <v>34</v>
      </c>
      <c r="K35" s="420">
        <f>T_MLA!K30</f>
        <v>23</v>
      </c>
      <c r="L35" s="420">
        <f>T_MLA!L30</f>
        <v>36</v>
      </c>
      <c r="M35" s="420">
        <f>T_MLA!M30</f>
        <v>22</v>
      </c>
      <c r="N35" s="420">
        <f>T_MLA!N30</f>
        <v>430</v>
      </c>
      <c r="O35" s="420">
        <f>T_MLA!I30</f>
        <v>0</v>
      </c>
      <c r="P35" s="627">
        <f>T_MLA!O30</f>
        <v>545</v>
      </c>
      <c r="Q35" s="420">
        <f>T_MLA!P30</f>
        <v>838</v>
      </c>
      <c r="S35"/>
      <c r="T35"/>
      <c r="U35"/>
      <c r="V35"/>
      <c r="W35"/>
      <c r="X35"/>
      <c r="Y35"/>
      <c r="Z35"/>
      <c r="AA35"/>
      <c r="AB35"/>
      <c r="AC35"/>
      <c r="AD35"/>
      <c r="AE35"/>
      <c r="AF35"/>
      <c r="AG35"/>
      <c r="AH35"/>
      <c r="AI35"/>
      <c r="AJ35"/>
      <c r="AK35"/>
      <c r="AL35"/>
    </row>
    <row r="36" spans="1:38" ht="13.5" customHeight="1" x14ac:dyDescent="0.2">
      <c r="A36" s="1" t="s">
        <v>612</v>
      </c>
      <c r="B36" s="117" t="s">
        <v>46</v>
      </c>
      <c r="C36" s="420">
        <f>T_MLA!C31</f>
        <v>77</v>
      </c>
      <c r="D36" s="420">
        <f>T_MLA!D31</f>
        <v>36</v>
      </c>
      <c r="E36" s="420">
        <f>T_MLA!E31</f>
        <v>28</v>
      </c>
      <c r="F36" s="420">
        <f>T_MLA!F31</f>
        <v>14</v>
      </c>
      <c r="G36" s="420">
        <f>T_MLA!G31</f>
        <v>30</v>
      </c>
      <c r="H36" s="420">
        <f>T_MLA!B31</f>
        <v>43</v>
      </c>
      <c r="I36" s="627">
        <f>T_MLA!H31</f>
        <v>228</v>
      </c>
      <c r="J36" s="420">
        <f>T_MLA!J31</f>
        <v>8</v>
      </c>
      <c r="K36" s="420">
        <f>T_MLA!K31</f>
        <v>5</v>
      </c>
      <c r="L36" s="420">
        <f>T_MLA!L31</f>
        <v>5</v>
      </c>
      <c r="M36" s="420">
        <f>T_MLA!M31</f>
        <v>14</v>
      </c>
      <c r="N36" s="420">
        <f>T_MLA!N31</f>
        <v>94</v>
      </c>
      <c r="O36" s="420">
        <f>T_MLA!I31</f>
        <v>1</v>
      </c>
      <c r="P36" s="627">
        <f>T_MLA!O31</f>
        <v>127</v>
      </c>
      <c r="Q36" s="420">
        <f>T_MLA!P31</f>
        <v>355</v>
      </c>
      <c r="S36"/>
      <c r="T36"/>
      <c r="U36"/>
      <c r="V36"/>
      <c r="W36"/>
      <c r="X36"/>
      <c r="Y36"/>
      <c r="Z36"/>
      <c r="AA36"/>
      <c r="AB36"/>
      <c r="AC36"/>
      <c r="AD36"/>
      <c r="AE36"/>
      <c r="AF36"/>
      <c r="AG36"/>
      <c r="AH36"/>
      <c r="AI36"/>
      <c r="AJ36"/>
      <c r="AK36"/>
      <c r="AL36"/>
    </row>
    <row r="37" spans="1:38" ht="13.5" customHeight="1" x14ac:dyDescent="0.2">
      <c r="A37" s="1" t="s">
        <v>613</v>
      </c>
      <c r="B37" s="117" t="s">
        <v>47</v>
      </c>
      <c r="C37" s="420">
        <f>T_MLA!C32</f>
        <v>24</v>
      </c>
      <c r="D37" s="420">
        <f>T_MLA!D32</f>
        <v>9</v>
      </c>
      <c r="E37" s="420">
        <f>T_MLA!E32</f>
        <v>13</v>
      </c>
      <c r="F37" s="420">
        <f>T_MLA!F32</f>
        <v>5</v>
      </c>
      <c r="G37" s="420">
        <f>T_MLA!G32</f>
        <v>9</v>
      </c>
      <c r="H37" s="420">
        <f>T_MLA!B32</f>
        <v>14</v>
      </c>
      <c r="I37" s="627">
        <f>T_MLA!H32</f>
        <v>74</v>
      </c>
      <c r="J37" s="420">
        <f>T_MLA!J32</f>
        <v>1</v>
      </c>
      <c r="K37" s="420">
        <f>T_MLA!K32</f>
        <v>0</v>
      </c>
      <c r="L37" s="420">
        <f>T_MLA!L32</f>
        <v>0</v>
      </c>
      <c r="M37" s="420">
        <f>T_MLA!M32</f>
        <v>1</v>
      </c>
      <c r="N37" s="420">
        <f>T_MLA!N32</f>
        <v>6</v>
      </c>
      <c r="O37" s="420">
        <f>T_MLA!I32</f>
        <v>0</v>
      </c>
      <c r="P37" s="627">
        <f>T_MLA!O32</f>
        <v>8</v>
      </c>
      <c r="Q37" s="420">
        <f>T_MLA!P32</f>
        <v>82</v>
      </c>
      <c r="S37"/>
      <c r="T37"/>
      <c r="U37"/>
      <c r="V37"/>
      <c r="W37"/>
      <c r="X37"/>
      <c r="Y37"/>
      <c r="Z37"/>
      <c r="AA37"/>
      <c r="AB37"/>
      <c r="AC37"/>
      <c r="AD37"/>
      <c r="AE37"/>
      <c r="AF37"/>
      <c r="AG37"/>
      <c r="AH37"/>
      <c r="AI37"/>
      <c r="AJ37"/>
      <c r="AK37"/>
      <c r="AL37"/>
    </row>
    <row r="38" spans="1:38" ht="13.5" customHeight="1" x14ac:dyDescent="0.2">
      <c r="A38" s="1" t="s">
        <v>614</v>
      </c>
      <c r="B38" s="117" t="s">
        <v>48</v>
      </c>
      <c r="C38" s="420">
        <f>T_MLA!C33</f>
        <v>73</v>
      </c>
      <c r="D38" s="420">
        <f>T_MLA!D33</f>
        <v>22</v>
      </c>
      <c r="E38" s="420">
        <f>T_MLA!E33</f>
        <v>21</v>
      </c>
      <c r="F38" s="420">
        <f>T_MLA!F33</f>
        <v>12</v>
      </c>
      <c r="G38" s="420">
        <f>T_MLA!G33</f>
        <v>64</v>
      </c>
      <c r="H38" s="420">
        <f>T_MLA!B33</f>
        <v>9</v>
      </c>
      <c r="I38" s="627">
        <f>T_MLA!H33</f>
        <v>201</v>
      </c>
      <c r="J38" s="420">
        <f>T_MLA!J33</f>
        <v>17</v>
      </c>
      <c r="K38" s="420">
        <f>T_MLA!K33</f>
        <v>7</v>
      </c>
      <c r="L38" s="420">
        <f>T_MLA!L33</f>
        <v>5</v>
      </c>
      <c r="M38" s="420">
        <f>T_MLA!M33</f>
        <v>2</v>
      </c>
      <c r="N38" s="420">
        <f>T_MLA!N33</f>
        <v>240</v>
      </c>
      <c r="O38" s="420">
        <f>T_MLA!I33</f>
        <v>0</v>
      </c>
      <c r="P38" s="627">
        <f>T_MLA!O33</f>
        <v>271</v>
      </c>
      <c r="Q38" s="420">
        <f>T_MLA!P33</f>
        <v>472</v>
      </c>
      <c r="S38"/>
      <c r="T38"/>
      <c r="U38"/>
      <c r="V38"/>
      <c r="W38"/>
      <c r="X38"/>
      <c r="Y38"/>
      <c r="Z38"/>
      <c r="AA38"/>
      <c r="AB38"/>
      <c r="AC38"/>
      <c r="AD38"/>
      <c r="AE38"/>
      <c r="AF38"/>
      <c r="AG38"/>
      <c r="AH38"/>
      <c r="AI38"/>
      <c r="AJ38"/>
      <c r="AK38"/>
      <c r="AL38"/>
    </row>
    <row r="39" spans="1:38" ht="13.5" customHeight="1" x14ac:dyDescent="0.2">
      <c r="A39" s="1" t="s">
        <v>615</v>
      </c>
      <c r="B39" s="117" t="s">
        <v>49</v>
      </c>
      <c r="C39" s="420">
        <f>T_MLA!C34</f>
        <v>221</v>
      </c>
      <c r="D39" s="420">
        <f>T_MLA!D34</f>
        <v>54</v>
      </c>
      <c r="E39" s="420">
        <f>T_MLA!E34</f>
        <v>77</v>
      </c>
      <c r="F39" s="420">
        <f>T_MLA!F34</f>
        <v>16</v>
      </c>
      <c r="G39" s="420">
        <f>T_MLA!G34</f>
        <v>126</v>
      </c>
      <c r="H39" s="420">
        <f>T_MLA!B34</f>
        <v>9</v>
      </c>
      <c r="I39" s="627">
        <f>T_MLA!H34</f>
        <v>503</v>
      </c>
      <c r="J39" s="420">
        <f>T_MLA!J34</f>
        <v>34</v>
      </c>
      <c r="K39" s="420">
        <f>T_MLA!K34</f>
        <v>17</v>
      </c>
      <c r="L39" s="420">
        <f>T_MLA!L34</f>
        <v>75</v>
      </c>
      <c r="M39" s="420">
        <f>T_MLA!M34</f>
        <v>22</v>
      </c>
      <c r="N39" s="420">
        <f>T_MLA!N34</f>
        <v>892</v>
      </c>
      <c r="O39" s="420">
        <f>T_MLA!I34</f>
        <v>0</v>
      </c>
      <c r="P39" s="627">
        <f>T_MLA!O34</f>
        <v>1040</v>
      </c>
      <c r="Q39" s="420">
        <f>T_MLA!P34</f>
        <v>1543</v>
      </c>
      <c r="S39"/>
      <c r="T39"/>
      <c r="U39"/>
      <c r="V39"/>
      <c r="W39"/>
      <c r="X39"/>
      <c r="Y39"/>
      <c r="Z39"/>
      <c r="AA39"/>
      <c r="AB39"/>
      <c r="AC39"/>
      <c r="AD39"/>
      <c r="AE39"/>
      <c r="AF39"/>
      <c r="AG39"/>
      <c r="AH39"/>
      <c r="AI39"/>
      <c r="AJ39"/>
      <c r="AK39"/>
      <c r="AL39"/>
    </row>
    <row r="40" spans="1:38" ht="13.5" customHeight="1" x14ac:dyDescent="0.2">
      <c r="A40" s="1" t="s">
        <v>616</v>
      </c>
      <c r="B40" s="117" t="s">
        <v>50</v>
      </c>
      <c r="C40" s="420">
        <f>T_MLA!C35</f>
        <v>48</v>
      </c>
      <c r="D40" s="420">
        <f>T_MLA!D35</f>
        <v>30</v>
      </c>
      <c r="E40" s="420">
        <f>T_MLA!E35</f>
        <v>25</v>
      </c>
      <c r="F40" s="420">
        <f>T_MLA!F35</f>
        <v>14</v>
      </c>
      <c r="G40" s="420">
        <f>T_MLA!G35</f>
        <v>72</v>
      </c>
      <c r="H40" s="420">
        <f>T_MLA!B35</f>
        <v>13</v>
      </c>
      <c r="I40" s="627">
        <f>T_MLA!H35</f>
        <v>202</v>
      </c>
      <c r="J40" s="420">
        <f>T_MLA!J35</f>
        <v>11</v>
      </c>
      <c r="K40" s="420">
        <f>T_MLA!K35</f>
        <v>8</v>
      </c>
      <c r="L40" s="420">
        <f>T_MLA!L35</f>
        <v>8</v>
      </c>
      <c r="M40" s="420">
        <f>T_MLA!M35</f>
        <v>19</v>
      </c>
      <c r="N40" s="420">
        <f>T_MLA!N35</f>
        <v>124</v>
      </c>
      <c r="O40" s="420">
        <f>T_MLA!I35</f>
        <v>0</v>
      </c>
      <c r="P40" s="627">
        <f>T_MLA!O35</f>
        <v>170</v>
      </c>
      <c r="Q40" s="420">
        <f>T_MLA!P35</f>
        <v>372</v>
      </c>
      <c r="S40"/>
      <c r="T40"/>
      <c r="U40"/>
      <c r="V40"/>
      <c r="W40"/>
      <c r="X40"/>
      <c r="Y40"/>
      <c r="Z40"/>
      <c r="AA40"/>
      <c r="AB40"/>
      <c r="AC40"/>
      <c r="AD40"/>
      <c r="AE40"/>
      <c r="AF40"/>
      <c r="AG40"/>
      <c r="AH40"/>
      <c r="AI40"/>
      <c r="AJ40"/>
      <c r="AK40"/>
      <c r="AL40"/>
    </row>
    <row r="41" spans="1:38" ht="13.5" customHeight="1" x14ac:dyDescent="0.2">
      <c r="A41" s="1" t="s">
        <v>617</v>
      </c>
      <c r="B41" s="117" t="s">
        <v>51</v>
      </c>
      <c r="C41" s="420">
        <f>T_MLA!C36</f>
        <v>102</v>
      </c>
      <c r="D41" s="420">
        <f>T_MLA!D36</f>
        <v>19</v>
      </c>
      <c r="E41" s="420">
        <f>T_MLA!E36</f>
        <v>13</v>
      </c>
      <c r="F41" s="420">
        <f>T_MLA!F36</f>
        <v>4</v>
      </c>
      <c r="G41" s="420">
        <f>T_MLA!G36</f>
        <v>22</v>
      </c>
      <c r="H41" s="420">
        <f>T_MLA!B36</f>
        <v>3</v>
      </c>
      <c r="I41" s="627">
        <f>T_MLA!H36</f>
        <v>163</v>
      </c>
      <c r="J41" s="420">
        <f>T_MLA!J36</f>
        <v>15</v>
      </c>
      <c r="K41" s="420">
        <f>T_MLA!K36</f>
        <v>7</v>
      </c>
      <c r="L41" s="420">
        <f>T_MLA!L36</f>
        <v>19</v>
      </c>
      <c r="M41" s="420">
        <f>T_MLA!M36</f>
        <v>21</v>
      </c>
      <c r="N41" s="420">
        <f>T_MLA!N36</f>
        <v>386</v>
      </c>
      <c r="O41" s="420">
        <f>T_MLA!I36</f>
        <v>0</v>
      </c>
      <c r="P41" s="627">
        <f>T_MLA!O36</f>
        <v>448</v>
      </c>
      <c r="Q41" s="420">
        <f>T_MLA!P36</f>
        <v>611</v>
      </c>
      <c r="S41"/>
      <c r="T41"/>
      <c r="U41"/>
      <c r="V41"/>
      <c r="W41"/>
      <c r="X41"/>
      <c r="Y41"/>
      <c r="Z41"/>
      <c r="AA41"/>
      <c r="AB41"/>
      <c r="AC41"/>
      <c r="AD41"/>
      <c r="AE41"/>
      <c r="AF41"/>
      <c r="AG41"/>
      <c r="AH41"/>
      <c r="AI41"/>
      <c r="AJ41"/>
      <c r="AK41"/>
      <c r="AL41"/>
    </row>
    <row r="42" spans="1:38" ht="13.5" customHeight="1" x14ac:dyDescent="0.2">
      <c r="A42" s="1" t="s">
        <v>618</v>
      </c>
      <c r="B42" s="117" t="s">
        <v>52</v>
      </c>
      <c r="C42" s="420">
        <f>T_MLA!C37</f>
        <v>99</v>
      </c>
      <c r="D42" s="420">
        <f>T_MLA!D37</f>
        <v>35</v>
      </c>
      <c r="E42" s="420">
        <f>T_MLA!E37</f>
        <v>37</v>
      </c>
      <c r="F42" s="420">
        <f>T_MLA!F37</f>
        <v>16</v>
      </c>
      <c r="G42" s="420">
        <f>T_MLA!G37</f>
        <v>130</v>
      </c>
      <c r="H42" s="420">
        <f>T_MLA!B37</f>
        <v>4</v>
      </c>
      <c r="I42" s="627">
        <f>T_MLA!H37</f>
        <v>321</v>
      </c>
      <c r="J42" s="420">
        <f>T_MLA!J37</f>
        <v>16</v>
      </c>
      <c r="K42" s="420">
        <f>T_MLA!K37</f>
        <v>24</v>
      </c>
      <c r="L42" s="420">
        <f>T_MLA!L37</f>
        <v>25</v>
      </c>
      <c r="M42" s="420">
        <f>T_MLA!M37</f>
        <v>43</v>
      </c>
      <c r="N42" s="420">
        <f>T_MLA!N37</f>
        <v>562</v>
      </c>
      <c r="O42" s="420">
        <f>T_MLA!I37</f>
        <v>0</v>
      </c>
      <c r="P42" s="627">
        <f>T_MLA!O37</f>
        <v>670</v>
      </c>
      <c r="Q42" s="420">
        <f>T_MLA!P37</f>
        <v>991</v>
      </c>
      <c r="S42"/>
      <c r="T42"/>
      <c r="U42"/>
      <c r="V42"/>
      <c r="W42"/>
      <c r="X42"/>
      <c r="Y42"/>
      <c r="Z42"/>
      <c r="AA42"/>
      <c r="AB42"/>
      <c r="AC42"/>
      <c r="AD42"/>
      <c r="AE42"/>
      <c r="AF42"/>
      <c r="AG42"/>
      <c r="AH42"/>
      <c r="AI42"/>
      <c r="AJ42"/>
      <c r="AK42"/>
      <c r="AL42"/>
    </row>
    <row r="43" spans="1:38" x14ac:dyDescent="0.2">
      <c r="B43" s="117" t="str">
        <f>IF(T_MLA!A38 = "Z_Not Known","Not Known","")</f>
        <v/>
      </c>
      <c r="C43" s="420" t="str">
        <f>IF($B$43="Not Known", T_MLA!C38,"")</f>
        <v/>
      </c>
      <c r="D43" s="420" t="str">
        <f>IF($B$43="Not Known", T_MLA!D38,"")</f>
        <v/>
      </c>
      <c r="E43" s="420" t="str">
        <f>IF($B$43="Not Known", T_MLA!E38,"")</f>
        <v/>
      </c>
      <c r="F43" s="420" t="str">
        <f>IF($B$43="Not Known", T_MLA!F38,"")</f>
        <v/>
      </c>
      <c r="G43" s="420" t="str">
        <f>IF($B$43="Not Known", T_MLA!G38,"")</f>
        <v/>
      </c>
      <c r="H43" s="420" t="str">
        <f>IF($B$43="Not Known", T_MLA!B38,"")</f>
        <v/>
      </c>
      <c r="I43" s="628" t="str">
        <f>IF($B$43="Not Known", T_MLA!H38,"")</f>
        <v/>
      </c>
      <c r="J43" s="420" t="str">
        <f>IF($B$43="Not Known", T_MLA!J38,"")</f>
        <v/>
      </c>
      <c r="K43" s="420" t="str">
        <f>IF($B$43="Not Known", T_MLA!K38,"")</f>
        <v/>
      </c>
      <c r="L43" s="420" t="str">
        <f>IF($B$43="Not Known", T_MLA!L38,"")</f>
        <v/>
      </c>
      <c r="M43" s="420" t="str">
        <f>IF($B$43="Not Known", T_MLA!M38,"")</f>
        <v/>
      </c>
      <c r="N43" s="420" t="str">
        <f>IF($B$43="Not Known", T_MLA!N38,"")</f>
        <v/>
      </c>
      <c r="O43" s="420" t="str">
        <f>IF($B$43="Not Known", T_MLA!I38,"")</f>
        <v/>
      </c>
      <c r="P43" s="628" t="str">
        <f>IF($B$43="Not Known", T_MLA!O38,"")</f>
        <v/>
      </c>
      <c r="Q43" s="420" t="str">
        <f>IF($B$43="Not Known", T_MLA!P38,"")</f>
        <v/>
      </c>
      <c r="S43"/>
      <c r="T43"/>
      <c r="U43"/>
      <c r="V43"/>
      <c r="W43"/>
      <c r="X43"/>
      <c r="Y43"/>
      <c r="Z43"/>
      <c r="AA43"/>
      <c r="AB43"/>
      <c r="AC43"/>
      <c r="AD43"/>
      <c r="AE43"/>
      <c r="AF43"/>
      <c r="AG43"/>
      <c r="AH43"/>
      <c r="AI43"/>
      <c r="AJ43"/>
      <c r="AK43"/>
      <c r="AL43"/>
    </row>
    <row r="44" spans="1:38" s="39" customFormat="1" ht="30" customHeight="1" thickBot="1" x14ac:dyDescent="0.25">
      <c r="A44" s="359" t="s">
        <v>620</v>
      </c>
      <c r="B44" s="360" t="s">
        <v>143</v>
      </c>
      <c r="C44" s="423">
        <f t="shared" ref="C44:Q44" si="0">SUM(C11:C43)</f>
        <v>4141</v>
      </c>
      <c r="D44" s="423">
        <f t="shared" si="0"/>
        <v>1335</v>
      </c>
      <c r="E44" s="423">
        <f t="shared" si="0"/>
        <v>1055</v>
      </c>
      <c r="F44" s="423">
        <f t="shared" si="0"/>
        <v>480</v>
      </c>
      <c r="G44" s="423">
        <f t="shared" si="0"/>
        <v>3073</v>
      </c>
      <c r="H44" s="423">
        <f>SUM(H11:H43)</f>
        <v>600</v>
      </c>
      <c r="I44" s="423">
        <f t="shared" si="0"/>
        <v>10684</v>
      </c>
      <c r="J44" s="423">
        <f t="shared" si="0"/>
        <v>520</v>
      </c>
      <c r="K44" s="423">
        <f t="shared" si="0"/>
        <v>383</v>
      </c>
      <c r="L44" s="423">
        <f t="shared" si="0"/>
        <v>761</v>
      </c>
      <c r="M44" s="423">
        <f t="shared" si="0"/>
        <v>741</v>
      </c>
      <c r="N44" s="423">
        <f t="shared" si="0"/>
        <v>12057</v>
      </c>
      <c r="O44" s="423">
        <f>SUM(O11:O43)</f>
        <v>1</v>
      </c>
      <c r="P44" s="423">
        <f t="shared" si="0"/>
        <v>14463</v>
      </c>
      <c r="Q44" s="423">
        <f t="shared" si="0"/>
        <v>25147</v>
      </c>
      <c r="S44"/>
    </row>
    <row r="45" spans="1:38" ht="12.75" customHeight="1" x14ac:dyDescent="0.2">
      <c r="F45"/>
      <c r="G45"/>
      <c r="H45"/>
      <c r="I45"/>
      <c r="J45"/>
      <c r="K45"/>
      <c r="L45"/>
      <c r="M45"/>
    </row>
    <row r="46" spans="1:38" ht="12.75" customHeight="1" x14ac:dyDescent="0.2">
      <c r="B46" s="97"/>
      <c r="C46" s="97"/>
      <c r="D46" s="97"/>
      <c r="E46" s="97"/>
    </row>
    <row r="47" spans="1:38" ht="12.75" customHeight="1" x14ac:dyDescent="0.2">
      <c r="B47" s="18"/>
    </row>
  </sheetData>
  <sheetProtection algorithmName="SHA-512" hashValue="YpAeKiOoGi/vHhzeO0KdU7kfV5rEnoBEZDLpYFugWUxt/q67SfjJzYgdkDuhjHxd17ZJnBSX59ij1zyD6Qe4Mg==" saltValue="D4x5GfM+EL4W0l84pMD6OA==" spinCount="100000" sheet="1" scenarios="1" formatCells="0" formatColumns="0" formatRows="0" sort="0" autoFilter="0" pivotTables="0"/>
  <mergeCells count="5">
    <mergeCell ref="C9:F9"/>
    <mergeCell ref="C8:I8"/>
    <mergeCell ref="J8:P8"/>
    <mergeCell ref="J9:M9"/>
    <mergeCell ref="Q9:Q10"/>
  </mergeCells>
  <hyperlinks>
    <hyperlink ref="A2" location="'Table of Contents'!A1" display="Back to Table of Contents" xr:uid="{00000000-0004-0000-45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23">
    <tabColor rgb="FFFFAFF0"/>
    <pageSetUpPr fitToPage="1"/>
  </sheetPr>
  <dimension ref="A1:L71"/>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7" style="1" customWidth="1"/>
    <col min="2" max="2" width="22.85546875" style="1" customWidth="1"/>
    <col min="3" max="9" width="12.7109375" style="1" customWidth="1"/>
    <col min="10" max="10" width="7.5703125" style="1" customWidth="1"/>
    <col min="11" max="11" width="11.7109375" style="1" customWidth="1"/>
    <col min="12" max="16384" width="9.140625" style="1"/>
  </cols>
  <sheetData>
    <row r="1" spans="1:11" ht="18.75" customHeight="1" x14ac:dyDescent="0.2">
      <c r="A1" s="298" t="s">
        <v>1129</v>
      </c>
    </row>
    <row r="2" spans="1:11" ht="18.75" customHeight="1" x14ac:dyDescent="0.2">
      <c r="A2" s="106" t="s">
        <v>578</v>
      </c>
    </row>
    <row r="3" spans="1:11" ht="38.25" customHeight="1" x14ac:dyDescent="0.2">
      <c r="A3" s="120" t="s">
        <v>1042</v>
      </c>
      <c r="C3" s="120"/>
      <c r="E3" s="120"/>
      <c r="F3" s="120"/>
      <c r="G3" s="120"/>
      <c r="H3" s="120"/>
      <c r="I3" s="120"/>
    </row>
    <row r="4" spans="1:11" ht="15.75" customHeight="1" x14ac:dyDescent="0.25">
      <c r="A4" s="351" t="s">
        <v>579</v>
      </c>
      <c r="B4" s="1043" t="s">
        <v>1320</v>
      </c>
      <c r="D4" s="129"/>
      <c r="E4" s="129"/>
      <c r="F4" s="129"/>
      <c r="G4" s="120"/>
      <c r="H4" s="120"/>
      <c r="I4" s="120"/>
    </row>
    <row r="5" spans="1:11" ht="15.75" customHeight="1" x14ac:dyDescent="0.25">
      <c r="A5" s="351" t="s">
        <v>580</v>
      </c>
      <c r="B5" s="351" t="s">
        <v>581</v>
      </c>
      <c r="C5" s="129"/>
      <c r="D5" s="129"/>
      <c r="E5" s="129"/>
      <c r="F5" s="129"/>
      <c r="G5" s="120"/>
      <c r="H5" s="120"/>
      <c r="I5" s="120"/>
    </row>
    <row r="6" spans="1:11" ht="15.75" customHeight="1" x14ac:dyDescent="0.25">
      <c r="A6" s="351" t="s">
        <v>582</v>
      </c>
      <c r="B6" s="351" t="s">
        <v>585</v>
      </c>
      <c r="C6" s="129"/>
      <c r="D6" s="129"/>
      <c r="E6" s="129"/>
      <c r="F6"/>
      <c r="G6" s="120"/>
      <c r="H6" s="120"/>
      <c r="I6" s="120"/>
    </row>
    <row r="7" spans="1:11" ht="15" x14ac:dyDescent="0.25">
      <c r="C7" s="79"/>
      <c r="D7" s="79"/>
      <c r="E7" s="113" t="s">
        <v>0</v>
      </c>
      <c r="G7" s="1349" t="s">
        <v>397</v>
      </c>
      <c r="H7" s="1349"/>
      <c r="I7" s="1349"/>
    </row>
    <row r="8" spans="1:11" ht="38.25" x14ac:dyDescent="0.2">
      <c r="A8" s="2" t="s">
        <v>586</v>
      </c>
      <c r="B8" s="2" t="s">
        <v>22</v>
      </c>
      <c r="C8" s="651" t="s">
        <v>108</v>
      </c>
      <c r="D8" s="651" t="s">
        <v>109</v>
      </c>
      <c r="E8" s="652" t="s">
        <v>129</v>
      </c>
      <c r="F8" s="58"/>
      <c r="G8" s="651" t="s">
        <v>108</v>
      </c>
      <c r="H8" s="651" t="s">
        <v>109</v>
      </c>
      <c r="I8" s="652" t="s">
        <v>129</v>
      </c>
      <c r="J8" s="58"/>
    </row>
    <row r="9" spans="1:11" ht="18.75" customHeight="1" x14ac:dyDescent="0.2">
      <c r="A9" s="414" t="s">
        <v>587</v>
      </c>
      <c r="B9" s="400" t="s">
        <v>23</v>
      </c>
      <c r="C9" s="659">
        <f>T_11!C5</f>
        <v>330</v>
      </c>
      <c r="D9" s="659">
        <f>T_11!D5</f>
        <v>97</v>
      </c>
      <c r="E9" s="660">
        <f t="shared" ref="E9:E40" si="0">SUM(C9:D9)</f>
        <v>427</v>
      </c>
      <c r="F9" s="354"/>
      <c r="G9" s="661">
        <f>C9/T_11!$B5*100000</f>
        <v>144.06705666637563</v>
      </c>
      <c r="H9" s="661">
        <f>D9/T_11!$B5*100000</f>
        <v>42.346983323146773</v>
      </c>
      <c r="I9" s="662">
        <f>E9/T_11!$B5*100000</f>
        <v>186.41403998952239</v>
      </c>
      <c r="K9" s="610"/>
    </row>
    <row r="10" spans="1:11" ht="13.5" customHeight="1" x14ac:dyDescent="0.2">
      <c r="A10" s="1" t="s">
        <v>588</v>
      </c>
      <c r="B10" s="117" t="s">
        <v>24</v>
      </c>
      <c r="C10" s="653">
        <f>T_11!C6</f>
        <v>330</v>
      </c>
      <c r="D10" s="653">
        <f>T_11!D6</f>
        <v>76</v>
      </c>
      <c r="E10" s="654">
        <f t="shared" si="0"/>
        <v>406</v>
      </c>
      <c r="F10" s="191"/>
      <c r="G10" s="655">
        <f>C10/T_11!$B6*100000</f>
        <v>126.54344658332695</v>
      </c>
      <c r="H10" s="655">
        <f>D10/T_11!$B6*100000</f>
        <v>29.143339213129842</v>
      </c>
      <c r="I10" s="656">
        <f>E10/T_11!$B6*100000</f>
        <v>155.68678579645677</v>
      </c>
    </row>
    <row r="11" spans="1:11" ht="13.5" customHeight="1" x14ac:dyDescent="0.2">
      <c r="A11" s="1" t="s">
        <v>589</v>
      </c>
      <c r="B11" s="117" t="s">
        <v>25</v>
      </c>
      <c r="C11" s="653">
        <f>T_11!C7</f>
        <v>130</v>
      </c>
      <c r="D11" s="653">
        <f>T_11!D7</f>
        <v>42</v>
      </c>
      <c r="E11" s="654">
        <f t="shared" si="0"/>
        <v>172</v>
      </c>
      <c r="F11" s="191"/>
      <c r="G11" s="655">
        <f>C11/T_11!$B7*100000</f>
        <v>112.24313590053531</v>
      </c>
      <c r="H11" s="655">
        <f>D11/T_11!$B7*100000</f>
        <v>36.263166983249867</v>
      </c>
      <c r="I11" s="656">
        <f>E11/T_11!$B7*100000</f>
        <v>148.5063028837852</v>
      </c>
      <c r="J11"/>
    </row>
    <row r="12" spans="1:11" ht="13.5" customHeight="1" x14ac:dyDescent="0.2">
      <c r="A12" s="1" t="s">
        <v>590</v>
      </c>
      <c r="B12" s="117" t="s">
        <v>26</v>
      </c>
      <c r="C12" s="653">
        <f>T_11!C8</f>
        <v>145</v>
      </c>
      <c r="D12" s="653">
        <f>T_11!D8</f>
        <v>13</v>
      </c>
      <c r="E12" s="654">
        <f t="shared" si="0"/>
        <v>158</v>
      </c>
      <c r="F12" s="191"/>
      <c r="G12" s="655">
        <f>C12/T_11!$B8*100000</f>
        <v>169.72960318389323</v>
      </c>
      <c r="H12" s="655">
        <f>D12/T_11!$B8*100000</f>
        <v>15.217136837176636</v>
      </c>
      <c r="I12" s="656">
        <f>E12/T_11!$B8*100000</f>
        <v>184.94674002106987</v>
      </c>
    </row>
    <row r="13" spans="1:11" ht="13.5" customHeight="1" x14ac:dyDescent="0.2">
      <c r="A13" s="1" t="s">
        <v>591</v>
      </c>
      <c r="B13" s="117" t="s">
        <v>619</v>
      </c>
      <c r="C13" s="653">
        <f>T_11!C9</f>
        <v>579</v>
      </c>
      <c r="D13" s="653">
        <f>T_11!D9</f>
        <v>237</v>
      </c>
      <c r="E13" s="654">
        <f t="shared" si="0"/>
        <v>816</v>
      </c>
      <c r="F13" s="191"/>
      <c r="G13" s="655">
        <f>C13/T_11!$B9*100000</f>
        <v>109.73806906485729</v>
      </c>
      <c r="H13" s="655">
        <f>D13/T_11!$B9*100000</f>
        <v>44.918691482506347</v>
      </c>
      <c r="I13" s="656">
        <f>E13/T_11!$B9*100000</f>
        <v>154.65676054736363</v>
      </c>
    </row>
    <row r="14" spans="1:11" ht="13.5" customHeight="1" x14ac:dyDescent="0.2">
      <c r="A14" s="1" t="s">
        <v>592</v>
      </c>
      <c r="B14" s="117" t="s">
        <v>27</v>
      </c>
      <c r="C14" s="653">
        <f>T_11!C10</f>
        <v>73</v>
      </c>
      <c r="D14" s="653">
        <f>T_11!D10</f>
        <v>14</v>
      </c>
      <c r="E14" s="654">
        <f t="shared" si="0"/>
        <v>87</v>
      </c>
      <c r="F14" s="191"/>
      <c r="G14" s="655">
        <f>C14/T_11!$B10*100000</f>
        <v>142.32793916942873</v>
      </c>
      <c r="H14" s="655">
        <f>D14/T_11!$B10*100000</f>
        <v>27.295769155780853</v>
      </c>
      <c r="I14" s="656">
        <f>E14/T_11!$B10*100000</f>
        <v>169.62370832520961</v>
      </c>
    </row>
    <row r="15" spans="1:11" ht="13.5" customHeight="1" x14ac:dyDescent="0.2">
      <c r="A15" s="1" t="s">
        <v>593</v>
      </c>
      <c r="B15" s="117" t="s">
        <v>28</v>
      </c>
      <c r="C15" s="653">
        <f>T_11!C11</f>
        <v>164</v>
      </c>
      <c r="D15" s="653">
        <f>T_11!D11</f>
        <v>29</v>
      </c>
      <c r="E15" s="654">
        <f t="shared" si="0"/>
        <v>193</v>
      </c>
      <c r="F15" s="191"/>
      <c r="G15" s="655">
        <f>C15/T_11!$B11*100000</f>
        <v>110.59410614336772</v>
      </c>
      <c r="H15" s="655">
        <f>D15/T_11!$B11*100000</f>
        <v>19.556274866815023</v>
      </c>
      <c r="I15" s="656">
        <f>E15/T_11!$B11*100000</f>
        <v>130.15038101018274</v>
      </c>
    </row>
    <row r="16" spans="1:11" ht="13.5" customHeight="1" x14ac:dyDescent="0.2">
      <c r="A16" s="1" t="s">
        <v>594</v>
      </c>
      <c r="B16" s="117" t="s">
        <v>29</v>
      </c>
      <c r="C16" s="653">
        <f>T_11!C12</f>
        <v>261</v>
      </c>
      <c r="D16" s="653">
        <f>T_11!D12</f>
        <v>72</v>
      </c>
      <c r="E16" s="654">
        <f t="shared" si="0"/>
        <v>333</v>
      </c>
      <c r="F16" s="191"/>
      <c r="G16" s="655">
        <f>C16/T_11!$B12*100000</f>
        <v>175.37965327240963</v>
      </c>
      <c r="H16" s="655">
        <f>D16/T_11!$B12*100000</f>
        <v>48.380594006181965</v>
      </c>
      <c r="I16" s="656">
        <f>E16/T_11!$B12*100000</f>
        <v>223.76024727859158</v>
      </c>
    </row>
    <row r="17" spans="1:9" ht="13.5" customHeight="1" x14ac:dyDescent="0.2">
      <c r="A17" s="1" t="s">
        <v>595</v>
      </c>
      <c r="B17" s="117" t="s">
        <v>30</v>
      </c>
      <c r="C17" s="653">
        <f>T_11!C13</f>
        <v>155</v>
      </c>
      <c r="D17" s="653">
        <f>T_11!D13</f>
        <v>65</v>
      </c>
      <c r="E17" s="654">
        <f t="shared" si="0"/>
        <v>220</v>
      </c>
      <c r="F17" s="191"/>
      <c r="G17" s="655">
        <f>C17/T_11!$B13*100000</f>
        <v>127.4671052631579</v>
      </c>
      <c r="H17" s="655">
        <f>D17/T_11!$B13*100000</f>
        <v>53.453947368421055</v>
      </c>
      <c r="I17" s="656">
        <f>E17/T_11!$B13*100000</f>
        <v>180.92105263157896</v>
      </c>
    </row>
    <row r="18" spans="1:9" ht="13.5" customHeight="1" x14ac:dyDescent="0.2">
      <c r="A18" s="1" t="s">
        <v>596</v>
      </c>
      <c r="B18" s="117" t="s">
        <v>31</v>
      </c>
      <c r="C18" s="653">
        <f>T_11!C14</f>
        <v>96</v>
      </c>
      <c r="D18" s="653">
        <f>T_11!D14</f>
        <v>34</v>
      </c>
      <c r="E18" s="654">
        <f t="shared" si="0"/>
        <v>130</v>
      </c>
      <c r="F18" s="191"/>
      <c r="G18" s="655">
        <f>C18/T_11!$B14*100000</f>
        <v>88.275862068965509</v>
      </c>
      <c r="H18" s="655">
        <f>D18/T_11!$B14*100000</f>
        <v>31.264367816091955</v>
      </c>
      <c r="I18" s="656">
        <f>E18/T_11!$B14*100000</f>
        <v>119.54022988505746</v>
      </c>
    </row>
    <row r="19" spans="1:9" ht="13.5" customHeight="1" x14ac:dyDescent="0.2">
      <c r="A19" s="1" t="s">
        <v>597</v>
      </c>
      <c r="B19" s="117" t="s">
        <v>32</v>
      </c>
      <c r="C19" s="653">
        <f>T_11!C15</f>
        <v>108</v>
      </c>
      <c r="D19" s="653">
        <f>T_11!D15</f>
        <v>31</v>
      </c>
      <c r="E19" s="654">
        <f t="shared" si="0"/>
        <v>139</v>
      </c>
      <c r="F19" s="191"/>
      <c r="G19" s="655">
        <f>C19/T_11!$B15*100000</f>
        <v>100.09267840593141</v>
      </c>
      <c r="H19" s="655">
        <f>D19/T_11!$B15*100000</f>
        <v>28.730305838739575</v>
      </c>
      <c r="I19" s="656">
        <f>E19/T_11!$B15*100000</f>
        <v>128.82298424467101</v>
      </c>
    </row>
    <row r="20" spans="1:9" ht="13.5" customHeight="1" x14ac:dyDescent="0.2">
      <c r="A20" s="1" t="s">
        <v>598</v>
      </c>
      <c r="B20" s="117" t="s">
        <v>33</v>
      </c>
      <c r="C20" s="653">
        <f>T_11!C16</f>
        <v>65</v>
      </c>
      <c r="D20" s="653">
        <f>T_11!D16</f>
        <v>33</v>
      </c>
      <c r="E20" s="654">
        <f t="shared" si="0"/>
        <v>98</v>
      </c>
      <c r="F20" s="191"/>
      <c r="G20" s="655">
        <f>C20/T_11!$B16*100000</f>
        <v>67.666042057047676</v>
      </c>
      <c r="H20" s="655">
        <f>D20/T_11!$B16*100000</f>
        <v>34.353529044347283</v>
      </c>
      <c r="I20" s="656">
        <f>E20/T_11!$B16*100000</f>
        <v>102.01957110139496</v>
      </c>
    </row>
    <row r="21" spans="1:9" ht="13.5" customHeight="1" x14ac:dyDescent="0.2">
      <c r="A21" s="1" t="s">
        <v>599</v>
      </c>
      <c r="B21" s="117" t="s">
        <v>34</v>
      </c>
      <c r="C21" s="653">
        <f>T_11!C17</f>
        <v>203</v>
      </c>
      <c r="D21" s="653">
        <f>T_11!D17</f>
        <v>81</v>
      </c>
      <c r="E21" s="654">
        <f t="shared" si="0"/>
        <v>284</v>
      </c>
      <c r="F21" s="191"/>
      <c r="G21" s="655">
        <f>C21/T_11!$B17*100000</f>
        <v>126.43248629795715</v>
      </c>
      <c r="H21" s="655">
        <f>D21/T_11!$B17*100000</f>
        <v>50.448430493273548</v>
      </c>
      <c r="I21" s="656">
        <f>E21/T_11!$B17*100000</f>
        <v>176.8809167912307</v>
      </c>
    </row>
    <row r="22" spans="1:9" ht="13.5" customHeight="1" x14ac:dyDescent="0.2">
      <c r="A22" s="1" t="s">
        <v>600</v>
      </c>
      <c r="B22" s="117" t="s">
        <v>35</v>
      </c>
      <c r="C22" s="653">
        <f>T_11!C18</f>
        <v>419</v>
      </c>
      <c r="D22" s="653">
        <f>T_11!D18</f>
        <v>165</v>
      </c>
      <c r="E22" s="654">
        <f t="shared" si="0"/>
        <v>584</v>
      </c>
      <c r="F22" s="191"/>
      <c r="G22" s="655">
        <f>C22/T_11!$B18*100000</f>
        <v>111.99315745863737</v>
      </c>
      <c r="H22" s="655">
        <f>D22/T_11!$B18*100000</f>
        <v>44.102317376313046</v>
      </c>
      <c r="I22" s="656">
        <f>E22/T_11!$B18*100000</f>
        <v>156.09547483495041</v>
      </c>
    </row>
    <row r="23" spans="1:9" ht="13.5" customHeight="1" x14ac:dyDescent="0.2">
      <c r="A23" s="1" t="s">
        <v>601</v>
      </c>
      <c r="B23" s="117" t="s">
        <v>36</v>
      </c>
      <c r="C23" s="653">
        <f>T_11!C19</f>
        <v>991</v>
      </c>
      <c r="D23" s="653">
        <f>T_11!D19</f>
        <v>419</v>
      </c>
      <c r="E23" s="654">
        <f t="shared" si="0"/>
        <v>1410</v>
      </c>
      <c r="F23" s="191"/>
      <c r="G23" s="655">
        <f>C23/T_11!$B19*100000</f>
        <v>155.90585866213578</v>
      </c>
      <c r="H23" s="655">
        <f>D23/T_11!$B19*100000</f>
        <v>65.91781511547417</v>
      </c>
      <c r="I23" s="656">
        <f>E23/T_11!$B19*100000</f>
        <v>221.82367377760994</v>
      </c>
    </row>
    <row r="24" spans="1:9" ht="13.5" customHeight="1" x14ac:dyDescent="0.2">
      <c r="A24" s="1" t="s">
        <v>602</v>
      </c>
      <c r="B24" s="117" t="s">
        <v>37</v>
      </c>
      <c r="C24" s="653">
        <f>T_11!C20</f>
        <v>337</v>
      </c>
      <c r="D24" s="653">
        <f>T_11!D20</f>
        <v>43</v>
      </c>
      <c r="E24" s="654">
        <f t="shared" si="0"/>
        <v>380</v>
      </c>
      <c r="F24" s="191"/>
      <c r="G24" s="655">
        <f>C24/T_11!$B20*100000</f>
        <v>143.14233530136346</v>
      </c>
      <c r="H24" s="655">
        <f>D24/T_11!$B20*100000</f>
        <v>18.264452278808989</v>
      </c>
      <c r="I24" s="656">
        <f>E24/T_11!$B20*100000</f>
        <v>161.40678758017245</v>
      </c>
    </row>
    <row r="25" spans="1:9" ht="13.5" customHeight="1" x14ac:dyDescent="0.2">
      <c r="A25" s="1" t="s">
        <v>603</v>
      </c>
      <c r="B25" s="117" t="s">
        <v>38</v>
      </c>
      <c r="C25" s="653">
        <f>T_11!C21</f>
        <v>111</v>
      </c>
      <c r="D25" s="653">
        <f>T_11!D21</f>
        <v>55</v>
      </c>
      <c r="E25" s="654">
        <f t="shared" si="0"/>
        <v>166</v>
      </c>
      <c r="F25" s="191"/>
      <c r="G25" s="655">
        <f>C25/T_11!$B21*100000</f>
        <v>144.04360238774981</v>
      </c>
      <c r="H25" s="655">
        <f>D25/T_11!$B21*100000</f>
        <v>71.37295613807423</v>
      </c>
      <c r="I25" s="656">
        <f>E25/T_11!$B21*100000</f>
        <v>215.41655852582403</v>
      </c>
    </row>
    <row r="26" spans="1:9" ht="13.5" customHeight="1" x14ac:dyDescent="0.2">
      <c r="A26" s="1" t="s">
        <v>604</v>
      </c>
      <c r="B26" s="117" t="s">
        <v>39</v>
      </c>
      <c r="C26" s="653">
        <f>T_11!C22</f>
        <v>118</v>
      </c>
      <c r="D26" s="653">
        <f>T_11!D22</f>
        <v>40</v>
      </c>
      <c r="E26" s="654">
        <f t="shared" si="0"/>
        <v>158</v>
      </c>
      <c r="F26" s="191"/>
      <c r="G26" s="655">
        <f>C26/T_11!$B22*100000</f>
        <v>126.67740203972089</v>
      </c>
      <c r="H26" s="655">
        <f>D26/T_11!$B22*100000</f>
        <v>42.941492216854535</v>
      </c>
      <c r="I26" s="656">
        <f>E26/T_11!$B22*100000</f>
        <v>169.6188942565754</v>
      </c>
    </row>
    <row r="27" spans="1:9" ht="13.5" customHeight="1" x14ac:dyDescent="0.2">
      <c r="A27" s="1" t="s">
        <v>605</v>
      </c>
      <c r="B27" s="117" t="s">
        <v>40</v>
      </c>
      <c r="C27" s="653">
        <f>T_11!C23</f>
        <v>113</v>
      </c>
      <c r="D27" s="653">
        <f>T_11!D23</f>
        <v>30</v>
      </c>
      <c r="E27" s="654">
        <f t="shared" si="0"/>
        <v>143</v>
      </c>
      <c r="F27" s="191"/>
      <c r="G27" s="655">
        <f>C27/T_11!$B23*100000</f>
        <v>118.06498798453663</v>
      </c>
      <c r="H27" s="655">
        <f>D27/T_11!$B23*100000</f>
        <v>31.344687075540694</v>
      </c>
      <c r="I27" s="656">
        <f>E27/T_11!$B23*100000</f>
        <v>149.40967506007732</v>
      </c>
    </row>
    <row r="28" spans="1:9" ht="13.5" customHeight="1" x14ac:dyDescent="0.2">
      <c r="A28" s="1" t="s">
        <v>606</v>
      </c>
      <c r="B28" s="117" t="s">
        <v>295</v>
      </c>
      <c r="C28" s="653">
        <f>T_11!C24</f>
        <v>39</v>
      </c>
      <c r="D28" s="653">
        <f>T_11!D24</f>
        <v>2</v>
      </c>
      <c r="E28" s="654">
        <f t="shared" si="0"/>
        <v>41</v>
      </c>
      <c r="F28" s="191"/>
      <c r="G28" s="655">
        <f>C28/T_11!$B24*100000</f>
        <v>147.16981132075472</v>
      </c>
      <c r="H28" s="655">
        <f>D28/T_11!$B24*100000</f>
        <v>7.5471698113207548</v>
      </c>
      <c r="I28" s="656">
        <f>E28/T_11!$B24*100000</f>
        <v>154.71698113207546</v>
      </c>
    </row>
    <row r="29" spans="1:9" ht="13.5" customHeight="1" x14ac:dyDescent="0.2">
      <c r="A29" s="1" t="s">
        <v>607</v>
      </c>
      <c r="B29" s="117" t="s">
        <v>41</v>
      </c>
      <c r="C29" s="653">
        <f>T_11!C25</f>
        <v>193</v>
      </c>
      <c r="D29" s="653">
        <f>T_11!D25</f>
        <v>46</v>
      </c>
      <c r="E29" s="654">
        <f t="shared" si="0"/>
        <v>239</v>
      </c>
      <c r="F29" s="191"/>
      <c r="G29" s="655">
        <f>C29/T_11!$B25*100000</f>
        <v>143.76163873370578</v>
      </c>
      <c r="H29" s="655">
        <f>D29/T_11!$B25*100000</f>
        <v>34.264432029795159</v>
      </c>
      <c r="I29" s="656">
        <f>E29/T_11!$B25*100000</f>
        <v>178.02607076350094</v>
      </c>
    </row>
    <row r="30" spans="1:9" ht="13.5" customHeight="1" x14ac:dyDescent="0.2">
      <c r="A30" s="1" t="s">
        <v>608</v>
      </c>
      <c r="B30" s="117" t="s">
        <v>42</v>
      </c>
      <c r="C30" s="653">
        <f>T_11!C26</f>
        <v>472</v>
      </c>
      <c r="D30" s="653">
        <f>T_11!D26</f>
        <v>211</v>
      </c>
      <c r="E30" s="654">
        <f t="shared" si="0"/>
        <v>683</v>
      </c>
      <c r="F30" s="191"/>
      <c r="G30" s="655">
        <f>C30/T_11!$B26*100000</f>
        <v>138.35961775224249</v>
      </c>
      <c r="H30" s="655">
        <f>D30/T_11!$B26*100000</f>
        <v>61.851439291786363</v>
      </c>
      <c r="I30" s="656">
        <f>E30/T_11!$B26*100000</f>
        <v>200.21105704402885</v>
      </c>
    </row>
    <row r="31" spans="1:9" ht="13.5" customHeight="1" x14ac:dyDescent="0.2">
      <c r="A31" s="1" t="s">
        <v>609</v>
      </c>
      <c r="B31" s="117" t="s">
        <v>43</v>
      </c>
      <c r="C31" s="653">
        <f>T_11!C27</f>
        <v>17</v>
      </c>
      <c r="D31" s="657">
        <f>T_11!D27</f>
        <v>0</v>
      </c>
      <c r="E31" s="654">
        <f t="shared" si="0"/>
        <v>17</v>
      </c>
      <c r="F31" s="658"/>
      <c r="G31" s="655">
        <f>C31/T_11!$B27*100000</f>
        <v>75.892857142857139</v>
      </c>
      <c r="H31" s="655">
        <f>D31/T_11!$B27*100000</f>
        <v>0</v>
      </c>
      <c r="I31" s="656">
        <f>E31/T_11!$B27*100000</f>
        <v>75.892857142857139</v>
      </c>
    </row>
    <row r="32" spans="1:9" ht="13.5" customHeight="1" x14ac:dyDescent="0.2">
      <c r="A32" s="1" t="s">
        <v>610</v>
      </c>
      <c r="B32" s="117" t="s">
        <v>44</v>
      </c>
      <c r="C32" s="653">
        <f>T_11!C28</f>
        <v>201</v>
      </c>
      <c r="D32" s="653">
        <f>T_11!D28</f>
        <v>26</v>
      </c>
      <c r="E32" s="654">
        <f t="shared" si="0"/>
        <v>227</v>
      </c>
      <c r="F32" s="658"/>
      <c r="G32" s="655">
        <f>C32/T_11!$B28*100000</f>
        <v>132.31518662365875</v>
      </c>
      <c r="H32" s="655">
        <f>D32/T_11!$B28*100000</f>
        <v>17.115397274702126</v>
      </c>
      <c r="I32" s="656">
        <f>E32/T_11!$B28*100000</f>
        <v>149.43058389836088</v>
      </c>
    </row>
    <row r="33" spans="1:12" ht="13.5" customHeight="1" x14ac:dyDescent="0.2">
      <c r="A33" s="1" t="s">
        <v>611</v>
      </c>
      <c r="B33" s="117" t="s">
        <v>45</v>
      </c>
      <c r="C33" s="653">
        <f>T_11!C29</f>
        <v>217</v>
      </c>
      <c r="D33" s="653">
        <f>T_11!D29</f>
        <v>115</v>
      </c>
      <c r="E33" s="654">
        <f t="shared" si="0"/>
        <v>332</v>
      </c>
      <c r="F33" s="658"/>
      <c r="G33" s="655">
        <f>C33/T_11!$B29*100000</f>
        <v>120.96549417470315</v>
      </c>
      <c r="H33" s="655">
        <f>D33/T_11!$B29*100000</f>
        <v>64.106137465856506</v>
      </c>
      <c r="I33" s="656">
        <f>E33/T_11!$B29*100000</f>
        <v>185.07163164055967</v>
      </c>
    </row>
    <row r="34" spans="1:12" ht="13.5" customHeight="1" x14ac:dyDescent="0.2">
      <c r="A34" s="1" t="s">
        <v>612</v>
      </c>
      <c r="B34" s="117" t="s">
        <v>46</v>
      </c>
      <c r="C34" s="653">
        <f>T_11!C30</f>
        <v>155</v>
      </c>
      <c r="D34" s="653">
        <f>T_11!D30</f>
        <v>32</v>
      </c>
      <c r="E34" s="654">
        <f t="shared" si="0"/>
        <v>187</v>
      </c>
      <c r="F34" s="658"/>
      <c r="G34" s="655">
        <f>C34/T_11!$B30*100000</f>
        <v>134.5019090593544</v>
      </c>
      <c r="H34" s="655">
        <f>D34/T_11!$B30*100000</f>
        <v>27.768136063866717</v>
      </c>
      <c r="I34" s="656">
        <f>E34/T_11!$B30*100000</f>
        <v>162.27004512322111</v>
      </c>
    </row>
    <row r="35" spans="1:12" ht="13.5" customHeight="1" x14ac:dyDescent="0.2">
      <c r="A35" s="1" t="s">
        <v>613</v>
      </c>
      <c r="B35" s="117" t="s">
        <v>47</v>
      </c>
      <c r="C35" s="653">
        <f>T_11!C31</f>
        <v>51</v>
      </c>
      <c r="D35" s="653">
        <f>T_11!D31</f>
        <v>2</v>
      </c>
      <c r="E35" s="654">
        <f t="shared" si="0"/>
        <v>53</v>
      </c>
      <c r="F35" s="658"/>
      <c r="G35" s="655">
        <f>C35/T_11!$B31*100000</f>
        <v>222.99956274595542</v>
      </c>
      <c r="H35" s="655">
        <f>D35/T_11!$B31*100000</f>
        <v>8.745080891998251</v>
      </c>
      <c r="I35" s="656">
        <f>E35/T_11!$B31*100000</f>
        <v>231.74464363795366</v>
      </c>
    </row>
    <row r="36" spans="1:12" ht="13.5" customHeight="1" x14ac:dyDescent="0.2">
      <c r="A36" s="1" t="s">
        <v>614</v>
      </c>
      <c r="B36" s="117" t="s">
        <v>48</v>
      </c>
      <c r="C36" s="653">
        <f>T_11!C32</f>
        <v>128</v>
      </c>
      <c r="D36" s="653">
        <f>T_11!D32</f>
        <v>31</v>
      </c>
      <c r="E36" s="654">
        <f t="shared" si="0"/>
        <v>159</v>
      </c>
      <c r="F36" s="658"/>
      <c r="G36" s="655">
        <f>C36/T_11!$B32*100000</f>
        <v>114.1430354913501</v>
      </c>
      <c r="H36" s="655">
        <f>D36/T_11!$B32*100000</f>
        <v>27.644016408061351</v>
      </c>
      <c r="I36" s="656">
        <f>E36/T_11!$B32*100000</f>
        <v>141.78705189941144</v>
      </c>
    </row>
    <row r="37" spans="1:12" ht="13.5" customHeight="1" x14ac:dyDescent="0.2">
      <c r="A37" s="1" t="s">
        <v>615</v>
      </c>
      <c r="B37" s="117" t="s">
        <v>49</v>
      </c>
      <c r="C37" s="653">
        <f>T_11!C33</f>
        <v>368</v>
      </c>
      <c r="D37" s="653">
        <f>T_11!D33</f>
        <v>148</v>
      </c>
      <c r="E37" s="654">
        <f t="shared" si="0"/>
        <v>516</v>
      </c>
      <c r="F37" s="658"/>
      <c r="G37" s="655">
        <f>C37/T_11!$B33*100000</f>
        <v>114.70606570662676</v>
      </c>
      <c r="H37" s="655">
        <f>D37/T_11!$B33*100000</f>
        <v>46.131787295056419</v>
      </c>
      <c r="I37" s="656">
        <f>E37/T_11!$B33*100000</f>
        <v>160.83785300168319</v>
      </c>
    </row>
    <row r="38" spans="1:12" ht="13.5" customHeight="1" x14ac:dyDescent="0.2">
      <c r="A38" s="1" t="s">
        <v>616</v>
      </c>
      <c r="B38" s="117" t="s">
        <v>50</v>
      </c>
      <c r="C38" s="653">
        <f>T_11!C34</f>
        <v>117</v>
      </c>
      <c r="D38" s="653">
        <f>T_11!D34</f>
        <v>46</v>
      </c>
      <c r="E38" s="654">
        <f t="shared" si="0"/>
        <v>163</v>
      </c>
      <c r="F38" s="658"/>
      <c r="G38" s="655">
        <f>C38/T_11!$B34*100000</f>
        <v>124.36224489795917</v>
      </c>
      <c r="H38" s="655">
        <f>D38/T_11!$B34*100000</f>
        <v>48.894557823129254</v>
      </c>
      <c r="I38" s="656">
        <f>E38/T_11!$B34*100000</f>
        <v>173.25680272108843</v>
      </c>
    </row>
    <row r="39" spans="1:12" ht="13.5" customHeight="1" x14ac:dyDescent="0.2">
      <c r="A39" s="1" t="s">
        <v>617</v>
      </c>
      <c r="B39" s="117" t="s">
        <v>51</v>
      </c>
      <c r="C39" s="653">
        <f>T_11!C35</f>
        <v>138</v>
      </c>
      <c r="D39" s="653">
        <f>T_11!D35</f>
        <v>62</v>
      </c>
      <c r="E39" s="654">
        <f t="shared" si="0"/>
        <v>200</v>
      </c>
      <c r="F39" s="658"/>
      <c r="G39" s="655">
        <f>C39/T_11!$B35*100000</f>
        <v>156.21462531129725</v>
      </c>
      <c r="H39" s="655">
        <f>D39/T_11!$B35*100000</f>
        <v>70.183382386234996</v>
      </c>
      <c r="I39" s="656">
        <f>E39/T_11!$B35*100000</f>
        <v>226.39800769753225</v>
      </c>
    </row>
    <row r="40" spans="1:12" ht="13.5" customHeight="1" x14ac:dyDescent="0.2">
      <c r="A40" s="1" t="s">
        <v>618</v>
      </c>
      <c r="B40" s="117" t="s">
        <v>52</v>
      </c>
      <c r="C40" s="653">
        <f>T_11!C36</f>
        <v>187</v>
      </c>
      <c r="D40" s="653">
        <f>T_11!D36</f>
        <v>108</v>
      </c>
      <c r="E40" s="654">
        <f t="shared" si="0"/>
        <v>295</v>
      </c>
      <c r="F40" s="658"/>
      <c r="G40" s="655">
        <f>C40/T_11!$B36*100000</f>
        <v>101.72995321510172</v>
      </c>
      <c r="H40" s="655">
        <f>D40/T_11!$B36*100000</f>
        <v>58.753128060058756</v>
      </c>
      <c r="I40" s="656">
        <f>E40/T_11!$B36*100000</f>
        <v>160.48308127516049</v>
      </c>
    </row>
    <row r="41" spans="1:12" ht="13.5" customHeight="1" x14ac:dyDescent="0.2">
      <c r="A41" s="63"/>
      <c r="B41" s="358" t="str">
        <f>IF(T_11!$A$37 = "Z_Not Known", "Not Known","")</f>
        <v/>
      </c>
      <c r="C41" s="666" t="str">
        <f>IF(T_11!$A$37 = "Z_Not Known",GETPIVOTDATA("Sum of Accidental",T_11!$A$4,"PubLANAME","Z_Not Known"),"")</f>
        <v/>
      </c>
      <c r="D41" s="666" t="str">
        <f>IF(T_11!$A$37 = "Z_Not Known",GETPIVOTDATA("Sum of Deliberate",T_11!$A$4,"PubLANAME","Z_Not Known"),"")</f>
        <v/>
      </c>
      <c r="E41" s="667" t="str">
        <f>IF(T_11!$A$37 = "Z_Not Known", C41+D41,"")</f>
        <v/>
      </c>
      <c r="F41" s="668"/>
      <c r="G41" s="669"/>
      <c r="H41" s="669"/>
      <c r="I41" s="670"/>
    </row>
    <row r="42" spans="1:12" ht="30" customHeight="1" thickBot="1" x14ac:dyDescent="0.25">
      <c r="A42" s="522" t="s">
        <v>620</v>
      </c>
      <c r="B42" s="405" t="s">
        <v>143</v>
      </c>
      <c r="C42" s="663">
        <f>SUM(C9:C41)</f>
        <v>7011</v>
      </c>
      <c r="D42" s="663">
        <f>SUM(D9:D41)</f>
        <v>2405</v>
      </c>
      <c r="E42" s="663">
        <f>SUM(E9:E41)</f>
        <v>9416</v>
      </c>
      <c r="F42" s="664"/>
      <c r="G42" s="665">
        <f>C42/GETPIVOTDATA("Sum of pop",T_11!$A$4)*100000</f>
        <v>128.26564215148187</v>
      </c>
      <c r="H42" s="665">
        <f>D42/GETPIVOTDATA("Sum of pop",T_11!$A$4)*100000</f>
        <v>43.999268203439442</v>
      </c>
      <c r="I42" s="665">
        <f>E42/GETPIVOTDATA("Sum of pop",T_11!$A$4)*100000</f>
        <v>172.26491035492134</v>
      </c>
    </row>
    <row r="43" spans="1:12" ht="13.5" customHeight="1" x14ac:dyDescent="0.2">
      <c r="B43" s="82"/>
      <c r="C43" s="114"/>
      <c r="D43" s="114"/>
      <c r="E43" s="114"/>
      <c r="F43" s="28"/>
      <c r="G43" s="115"/>
      <c r="H43" s="115"/>
      <c r="I43" s="115"/>
      <c r="K43" s="44"/>
    </row>
    <row r="44" spans="1:12" x14ac:dyDescent="0.2">
      <c r="A44" s="5" t="s">
        <v>1231</v>
      </c>
      <c r="B44" s="5"/>
    </row>
    <row r="45" spans="1:12" x14ac:dyDescent="0.2">
      <c r="A45" s="1" t="s">
        <v>660</v>
      </c>
      <c r="B45" s="31"/>
      <c r="C45" s="31"/>
      <c r="D45" s="31"/>
      <c r="E45" s="31"/>
      <c r="F45" s="31"/>
      <c r="G45" s="31"/>
      <c r="H45" s="31"/>
      <c r="I45" s="31"/>
      <c r="J45" s="31"/>
      <c r="K45" s="31"/>
      <c r="L45" s="31"/>
    </row>
    <row r="46" spans="1:12" x14ac:dyDescent="0.2">
      <c r="A46" s="18" t="s">
        <v>1093</v>
      </c>
      <c r="B46" s="91"/>
    </row>
    <row r="47" spans="1:12" ht="15" customHeight="1" x14ac:dyDescent="0.2">
      <c r="A47" s="1" t="s">
        <v>1230</v>
      </c>
    </row>
    <row r="48" spans="1:12"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9" ht="13.5" customHeight="1" x14ac:dyDescent="0.2"/>
    <row r="70" ht="12.75" customHeight="1" x14ac:dyDescent="0.2"/>
    <row r="71" ht="25.5" customHeight="1" x14ac:dyDescent="0.2"/>
  </sheetData>
  <sheetProtection algorithmName="SHA-512" hashValue="VshbBxWYHKxjGRElbLs+PTBxuYAQGeC4CjezmbVlnTIXvzUvZe/F02jRVxSoDh4QRFrIhTde5cr3S+xlGPJHjg==" saltValue="DrPYXuefVERThT3I4Ss+HA==" spinCount="100000" sheet="1" scenarios="1" formatCells="0" formatColumns="0" formatRows="0" sort="0" autoFilter="0" pivotTables="0"/>
  <mergeCells count="1">
    <mergeCell ref="G7:I7"/>
  </mergeCells>
  <hyperlinks>
    <hyperlink ref="A2" location="'Table of Contents'!A1" display="Back to Table of Contents" xr:uid="{00000000-0004-0000-4600-000000000000}"/>
    <hyperlink ref="A46" r:id="rId1" xr:uid="{00000000-0004-0000-4600-000001000000}"/>
  </hyperlinks>
  <pageMargins left="0.70866141732283472" right="0.70866141732283472" top="0.74803149606299213" bottom="0.74803149606299213" header="0.31496062992125984" footer="0.31496062992125984"/>
  <pageSetup paperSize="9" scale="76"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25">
    <tabColor rgb="FFFFAFF0"/>
    <pageSetUpPr fitToPage="1"/>
  </sheetPr>
  <dimension ref="A1:X42"/>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6.7109375" style="1" customWidth="1"/>
    <col min="2" max="2" width="11" style="1" customWidth="1"/>
    <col min="3" max="3" width="11.42578125" style="1" customWidth="1"/>
    <col min="4" max="4" width="12.140625" style="1" customWidth="1"/>
    <col min="5" max="6" width="10.42578125" style="1" customWidth="1"/>
    <col min="7" max="7" width="14.42578125" style="1" customWidth="1"/>
    <col min="8" max="8" width="14.28515625" style="1" customWidth="1"/>
    <col min="9" max="9" width="15.7109375" style="1" customWidth="1"/>
    <col min="10" max="10" width="10" style="1" customWidth="1"/>
    <col min="11" max="11" width="10.42578125" style="1" customWidth="1"/>
    <col min="12" max="12" width="12.28515625" style="1" customWidth="1"/>
    <col min="13" max="15" width="9.28515625" style="1" customWidth="1"/>
    <col min="16" max="239" width="9.140625" style="1"/>
    <col min="240" max="240" width="10.28515625" style="1" customWidth="1"/>
    <col min="241" max="241" width="11" style="1" customWidth="1"/>
    <col min="242" max="242" width="11.42578125" style="1" customWidth="1"/>
    <col min="243" max="243" width="10.7109375" style="1" customWidth="1"/>
    <col min="244" max="246" width="10.42578125" style="1" customWidth="1"/>
    <col min="247" max="247" width="13.7109375" style="1" customWidth="1"/>
    <col min="248" max="248" width="13.85546875" style="1" customWidth="1"/>
    <col min="249" max="249" width="12.140625" style="1" customWidth="1"/>
    <col min="250" max="251" width="10.42578125" style="1" customWidth="1"/>
    <col min="252" max="495" width="9.140625" style="1"/>
    <col min="496" max="496" width="10.28515625" style="1" customWidth="1"/>
    <col min="497" max="497" width="11" style="1" customWidth="1"/>
    <col min="498" max="498" width="11.42578125" style="1" customWidth="1"/>
    <col min="499" max="499" width="10.7109375" style="1" customWidth="1"/>
    <col min="500" max="502" width="10.42578125" style="1" customWidth="1"/>
    <col min="503" max="503" width="13.7109375" style="1" customWidth="1"/>
    <col min="504" max="504" width="13.85546875" style="1" customWidth="1"/>
    <col min="505" max="505" width="12.140625" style="1" customWidth="1"/>
    <col min="506" max="507" width="10.42578125" style="1" customWidth="1"/>
    <col min="508" max="751" width="9.140625" style="1"/>
    <col min="752" max="752" width="10.28515625" style="1" customWidth="1"/>
    <col min="753" max="753" width="11" style="1" customWidth="1"/>
    <col min="754" max="754" width="11.42578125" style="1" customWidth="1"/>
    <col min="755" max="755" width="10.7109375" style="1" customWidth="1"/>
    <col min="756" max="758" width="10.42578125" style="1" customWidth="1"/>
    <col min="759" max="759" width="13.7109375" style="1" customWidth="1"/>
    <col min="760" max="760" width="13.85546875" style="1" customWidth="1"/>
    <col min="761" max="761" width="12.140625" style="1" customWidth="1"/>
    <col min="762" max="763" width="10.42578125" style="1" customWidth="1"/>
    <col min="764" max="1007" width="9.140625" style="1"/>
    <col min="1008" max="1008" width="10.28515625" style="1" customWidth="1"/>
    <col min="1009" max="1009" width="11" style="1" customWidth="1"/>
    <col min="1010" max="1010" width="11.42578125" style="1" customWidth="1"/>
    <col min="1011" max="1011" width="10.7109375" style="1" customWidth="1"/>
    <col min="1012" max="1014" width="10.42578125" style="1" customWidth="1"/>
    <col min="1015" max="1015" width="13.7109375" style="1" customWidth="1"/>
    <col min="1016" max="1016" width="13.85546875" style="1" customWidth="1"/>
    <col min="1017" max="1017" width="12.140625" style="1" customWidth="1"/>
    <col min="1018" max="1019" width="10.42578125" style="1" customWidth="1"/>
    <col min="1020" max="1263" width="9.140625" style="1"/>
    <col min="1264" max="1264" width="10.28515625" style="1" customWidth="1"/>
    <col min="1265" max="1265" width="11" style="1" customWidth="1"/>
    <col min="1266" max="1266" width="11.42578125" style="1" customWidth="1"/>
    <col min="1267" max="1267" width="10.7109375" style="1" customWidth="1"/>
    <col min="1268" max="1270" width="10.42578125" style="1" customWidth="1"/>
    <col min="1271" max="1271" width="13.7109375" style="1" customWidth="1"/>
    <col min="1272" max="1272" width="13.85546875" style="1" customWidth="1"/>
    <col min="1273" max="1273" width="12.140625" style="1" customWidth="1"/>
    <col min="1274" max="1275" width="10.42578125" style="1" customWidth="1"/>
    <col min="1276" max="1519" width="9.140625" style="1"/>
    <col min="1520" max="1520" width="10.28515625" style="1" customWidth="1"/>
    <col min="1521" max="1521" width="11" style="1" customWidth="1"/>
    <col min="1522" max="1522" width="11.42578125" style="1" customWidth="1"/>
    <col min="1523" max="1523" width="10.7109375" style="1" customWidth="1"/>
    <col min="1524" max="1526" width="10.42578125" style="1" customWidth="1"/>
    <col min="1527" max="1527" width="13.7109375" style="1" customWidth="1"/>
    <col min="1528" max="1528" width="13.85546875" style="1" customWidth="1"/>
    <col min="1529" max="1529" width="12.140625" style="1" customWidth="1"/>
    <col min="1530" max="1531" width="10.42578125" style="1" customWidth="1"/>
    <col min="1532" max="1775" width="9.140625" style="1"/>
    <col min="1776" max="1776" width="10.28515625" style="1" customWidth="1"/>
    <col min="1777" max="1777" width="11" style="1" customWidth="1"/>
    <col min="1778" max="1778" width="11.42578125" style="1" customWidth="1"/>
    <col min="1779" max="1779" width="10.7109375" style="1" customWidth="1"/>
    <col min="1780" max="1782" width="10.42578125" style="1" customWidth="1"/>
    <col min="1783" max="1783" width="13.7109375" style="1" customWidth="1"/>
    <col min="1784" max="1784" width="13.85546875" style="1" customWidth="1"/>
    <col min="1785" max="1785" width="12.140625" style="1" customWidth="1"/>
    <col min="1786" max="1787" width="10.42578125" style="1" customWidth="1"/>
    <col min="1788" max="2031" width="9.140625" style="1"/>
    <col min="2032" max="2032" width="10.28515625" style="1" customWidth="1"/>
    <col min="2033" max="2033" width="11" style="1" customWidth="1"/>
    <col min="2034" max="2034" width="11.42578125" style="1" customWidth="1"/>
    <col min="2035" max="2035" width="10.7109375" style="1" customWidth="1"/>
    <col min="2036" max="2038" width="10.42578125" style="1" customWidth="1"/>
    <col min="2039" max="2039" width="13.7109375" style="1" customWidth="1"/>
    <col min="2040" max="2040" width="13.85546875" style="1" customWidth="1"/>
    <col min="2041" max="2041" width="12.140625" style="1" customWidth="1"/>
    <col min="2042" max="2043" width="10.42578125" style="1" customWidth="1"/>
    <col min="2044" max="2287" width="9.140625" style="1"/>
    <col min="2288" max="2288" width="10.28515625" style="1" customWidth="1"/>
    <col min="2289" max="2289" width="11" style="1" customWidth="1"/>
    <col min="2290" max="2290" width="11.42578125" style="1" customWidth="1"/>
    <col min="2291" max="2291" width="10.7109375" style="1" customWidth="1"/>
    <col min="2292" max="2294" width="10.42578125" style="1" customWidth="1"/>
    <col min="2295" max="2295" width="13.7109375" style="1" customWidth="1"/>
    <col min="2296" max="2296" width="13.85546875" style="1" customWidth="1"/>
    <col min="2297" max="2297" width="12.140625" style="1" customWidth="1"/>
    <col min="2298" max="2299" width="10.42578125" style="1" customWidth="1"/>
    <col min="2300" max="2543" width="9.140625" style="1"/>
    <col min="2544" max="2544" width="10.28515625" style="1" customWidth="1"/>
    <col min="2545" max="2545" width="11" style="1" customWidth="1"/>
    <col min="2546" max="2546" width="11.42578125" style="1" customWidth="1"/>
    <col min="2547" max="2547" width="10.7109375" style="1" customWidth="1"/>
    <col min="2548" max="2550" width="10.42578125" style="1" customWidth="1"/>
    <col min="2551" max="2551" width="13.7109375" style="1" customWidth="1"/>
    <col min="2552" max="2552" width="13.85546875" style="1" customWidth="1"/>
    <col min="2553" max="2553" width="12.140625" style="1" customWidth="1"/>
    <col min="2554" max="2555" width="10.42578125" style="1" customWidth="1"/>
    <col min="2556" max="2799" width="9.140625" style="1"/>
    <col min="2800" max="2800" width="10.28515625" style="1" customWidth="1"/>
    <col min="2801" max="2801" width="11" style="1" customWidth="1"/>
    <col min="2802" max="2802" width="11.42578125" style="1" customWidth="1"/>
    <col min="2803" max="2803" width="10.7109375" style="1" customWidth="1"/>
    <col min="2804" max="2806" width="10.42578125" style="1" customWidth="1"/>
    <col min="2807" max="2807" width="13.7109375" style="1" customWidth="1"/>
    <col min="2808" max="2808" width="13.85546875" style="1" customWidth="1"/>
    <col min="2809" max="2809" width="12.140625" style="1" customWidth="1"/>
    <col min="2810" max="2811" width="10.42578125" style="1" customWidth="1"/>
    <col min="2812" max="3055" width="9.140625" style="1"/>
    <col min="3056" max="3056" width="10.28515625" style="1" customWidth="1"/>
    <col min="3057" max="3057" width="11" style="1" customWidth="1"/>
    <col min="3058" max="3058" width="11.42578125" style="1" customWidth="1"/>
    <col min="3059" max="3059" width="10.7109375" style="1" customWidth="1"/>
    <col min="3060" max="3062" width="10.42578125" style="1" customWidth="1"/>
    <col min="3063" max="3063" width="13.7109375" style="1" customWidth="1"/>
    <col min="3064" max="3064" width="13.85546875" style="1" customWidth="1"/>
    <col min="3065" max="3065" width="12.140625" style="1" customWidth="1"/>
    <col min="3066" max="3067" width="10.42578125" style="1" customWidth="1"/>
    <col min="3068" max="3311" width="9.140625" style="1"/>
    <col min="3312" max="3312" width="10.28515625" style="1" customWidth="1"/>
    <col min="3313" max="3313" width="11" style="1" customWidth="1"/>
    <col min="3314" max="3314" width="11.42578125" style="1" customWidth="1"/>
    <col min="3315" max="3315" width="10.7109375" style="1" customWidth="1"/>
    <col min="3316" max="3318" width="10.42578125" style="1" customWidth="1"/>
    <col min="3319" max="3319" width="13.7109375" style="1" customWidth="1"/>
    <col min="3320" max="3320" width="13.85546875" style="1" customWidth="1"/>
    <col min="3321" max="3321" width="12.140625" style="1" customWidth="1"/>
    <col min="3322" max="3323" width="10.42578125" style="1" customWidth="1"/>
    <col min="3324" max="3567" width="9.140625" style="1"/>
    <col min="3568" max="3568" width="10.28515625" style="1" customWidth="1"/>
    <col min="3569" max="3569" width="11" style="1" customWidth="1"/>
    <col min="3570" max="3570" width="11.42578125" style="1" customWidth="1"/>
    <col min="3571" max="3571" width="10.7109375" style="1" customWidth="1"/>
    <col min="3572" max="3574" width="10.42578125" style="1" customWidth="1"/>
    <col min="3575" max="3575" width="13.7109375" style="1" customWidth="1"/>
    <col min="3576" max="3576" width="13.85546875" style="1" customWidth="1"/>
    <col min="3577" max="3577" width="12.140625" style="1" customWidth="1"/>
    <col min="3578" max="3579" width="10.42578125" style="1" customWidth="1"/>
    <col min="3580" max="3823" width="9.140625" style="1"/>
    <col min="3824" max="3824" width="10.28515625" style="1" customWidth="1"/>
    <col min="3825" max="3825" width="11" style="1" customWidth="1"/>
    <col min="3826" max="3826" width="11.42578125" style="1" customWidth="1"/>
    <col min="3827" max="3827" width="10.7109375" style="1" customWidth="1"/>
    <col min="3828" max="3830" width="10.42578125" style="1" customWidth="1"/>
    <col min="3831" max="3831" width="13.7109375" style="1" customWidth="1"/>
    <col min="3832" max="3832" width="13.85546875" style="1" customWidth="1"/>
    <col min="3833" max="3833" width="12.140625" style="1" customWidth="1"/>
    <col min="3834" max="3835" width="10.42578125" style="1" customWidth="1"/>
    <col min="3836" max="4079" width="9.140625" style="1"/>
    <col min="4080" max="4080" width="10.28515625" style="1" customWidth="1"/>
    <col min="4081" max="4081" width="11" style="1" customWidth="1"/>
    <col min="4082" max="4082" width="11.42578125" style="1" customWidth="1"/>
    <col min="4083" max="4083" width="10.7109375" style="1" customWidth="1"/>
    <col min="4084" max="4086" width="10.42578125" style="1" customWidth="1"/>
    <col min="4087" max="4087" width="13.7109375" style="1" customWidth="1"/>
    <col min="4088" max="4088" width="13.85546875" style="1" customWidth="1"/>
    <col min="4089" max="4089" width="12.140625" style="1" customWidth="1"/>
    <col min="4090" max="4091" width="10.42578125" style="1" customWidth="1"/>
    <col min="4092" max="4335" width="9.140625" style="1"/>
    <col min="4336" max="4336" width="10.28515625" style="1" customWidth="1"/>
    <col min="4337" max="4337" width="11" style="1" customWidth="1"/>
    <col min="4338" max="4338" width="11.42578125" style="1" customWidth="1"/>
    <col min="4339" max="4339" width="10.7109375" style="1" customWidth="1"/>
    <col min="4340" max="4342" width="10.42578125" style="1" customWidth="1"/>
    <col min="4343" max="4343" width="13.7109375" style="1" customWidth="1"/>
    <col min="4344" max="4344" width="13.85546875" style="1" customWidth="1"/>
    <col min="4345" max="4345" width="12.140625" style="1" customWidth="1"/>
    <col min="4346" max="4347" width="10.42578125" style="1" customWidth="1"/>
    <col min="4348" max="4591" width="9.140625" style="1"/>
    <col min="4592" max="4592" width="10.28515625" style="1" customWidth="1"/>
    <col min="4593" max="4593" width="11" style="1" customWidth="1"/>
    <col min="4594" max="4594" width="11.42578125" style="1" customWidth="1"/>
    <col min="4595" max="4595" width="10.7109375" style="1" customWidth="1"/>
    <col min="4596" max="4598" width="10.42578125" style="1" customWidth="1"/>
    <col min="4599" max="4599" width="13.7109375" style="1" customWidth="1"/>
    <col min="4600" max="4600" width="13.85546875" style="1" customWidth="1"/>
    <col min="4601" max="4601" width="12.140625" style="1" customWidth="1"/>
    <col min="4602" max="4603" width="10.42578125" style="1" customWidth="1"/>
    <col min="4604" max="4847" width="9.140625" style="1"/>
    <col min="4848" max="4848" width="10.28515625" style="1" customWidth="1"/>
    <col min="4849" max="4849" width="11" style="1" customWidth="1"/>
    <col min="4850" max="4850" width="11.42578125" style="1" customWidth="1"/>
    <col min="4851" max="4851" width="10.7109375" style="1" customWidth="1"/>
    <col min="4852" max="4854" width="10.42578125" style="1" customWidth="1"/>
    <col min="4855" max="4855" width="13.7109375" style="1" customWidth="1"/>
    <col min="4856" max="4856" width="13.85546875" style="1" customWidth="1"/>
    <col min="4857" max="4857" width="12.140625" style="1" customWidth="1"/>
    <col min="4858" max="4859" width="10.42578125" style="1" customWidth="1"/>
    <col min="4860" max="5103" width="9.140625" style="1"/>
    <col min="5104" max="5104" width="10.28515625" style="1" customWidth="1"/>
    <col min="5105" max="5105" width="11" style="1" customWidth="1"/>
    <col min="5106" max="5106" width="11.42578125" style="1" customWidth="1"/>
    <col min="5107" max="5107" width="10.7109375" style="1" customWidth="1"/>
    <col min="5108" max="5110" width="10.42578125" style="1" customWidth="1"/>
    <col min="5111" max="5111" width="13.7109375" style="1" customWidth="1"/>
    <col min="5112" max="5112" width="13.85546875" style="1" customWidth="1"/>
    <col min="5113" max="5113" width="12.140625" style="1" customWidth="1"/>
    <col min="5114" max="5115" width="10.42578125" style="1" customWidth="1"/>
    <col min="5116" max="5359" width="9.140625" style="1"/>
    <col min="5360" max="5360" width="10.28515625" style="1" customWidth="1"/>
    <col min="5361" max="5361" width="11" style="1" customWidth="1"/>
    <col min="5362" max="5362" width="11.42578125" style="1" customWidth="1"/>
    <col min="5363" max="5363" width="10.7109375" style="1" customWidth="1"/>
    <col min="5364" max="5366" width="10.42578125" style="1" customWidth="1"/>
    <col min="5367" max="5367" width="13.7109375" style="1" customWidth="1"/>
    <col min="5368" max="5368" width="13.85546875" style="1" customWidth="1"/>
    <col min="5369" max="5369" width="12.140625" style="1" customWidth="1"/>
    <col min="5370" max="5371" width="10.42578125" style="1" customWidth="1"/>
    <col min="5372" max="5615" width="9.140625" style="1"/>
    <col min="5616" max="5616" width="10.28515625" style="1" customWidth="1"/>
    <col min="5617" max="5617" width="11" style="1" customWidth="1"/>
    <col min="5618" max="5618" width="11.42578125" style="1" customWidth="1"/>
    <col min="5619" max="5619" width="10.7109375" style="1" customWidth="1"/>
    <col min="5620" max="5622" width="10.42578125" style="1" customWidth="1"/>
    <col min="5623" max="5623" width="13.7109375" style="1" customWidth="1"/>
    <col min="5624" max="5624" width="13.85546875" style="1" customWidth="1"/>
    <col min="5625" max="5625" width="12.140625" style="1" customWidth="1"/>
    <col min="5626" max="5627" width="10.42578125" style="1" customWidth="1"/>
    <col min="5628" max="5871" width="9.140625" style="1"/>
    <col min="5872" max="5872" width="10.28515625" style="1" customWidth="1"/>
    <col min="5873" max="5873" width="11" style="1" customWidth="1"/>
    <col min="5874" max="5874" width="11.42578125" style="1" customWidth="1"/>
    <col min="5875" max="5875" width="10.7109375" style="1" customWidth="1"/>
    <col min="5876" max="5878" width="10.42578125" style="1" customWidth="1"/>
    <col min="5879" max="5879" width="13.7109375" style="1" customWidth="1"/>
    <col min="5880" max="5880" width="13.85546875" style="1" customWidth="1"/>
    <col min="5881" max="5881" width="12.140625" style="1" customWidth="1"/>
    <col min="5882" max="5883" width="10.42578125" style="1" customWidth="1"/>
    <col min="5884" max="6127" width="9.140625" style="1"/>
    <col min="6128" max="6128" width="10.28515625" style="1" customWidth="1"/>
    <col min="6129" max="6129" width="11" style="1" customWidth="1"/>
    <col min="6130" max="6130" width="11.42578125" style="1" customWidth="1"/>
    <col min="6131" max="6131" width="10.7109375" style="1" customWidth="1"/>
    <col min="6132" max="6134" width="10.42578125" style="1" customWidth="1"/>
    <col min="6135" max="6135" width="13.7109375" style="1" customWidth="1"/>
    <col min="6136" max="6136" width="13.85546875" style="1" customWidth="1"/>
    <col min="6137" max="6137" width="12.140625" style="1" customWidth="1"/>
    <col min="6138" max="6139" width="10.42578125" style="1" customWidth="1"/>
    <col min="6140" max="6383" width="9.140625" style="1"/>
    <col min="6384" max="6384" width="10.28515625" style="1" customWidth="1"/>
    <col min="6385" max="6385" width="11" style="1" customWidth="1"/>
    <col min="6386" max="6386" width="11.42578125" style="1" customWidth="1"/>
    <col min="6387" max="6387" width="10.7109375" style="1" customWidth="1"/>
    <col min="6388" max="6390" width="10.42578125" style="1" customWidth="1"/>
    <col min="6391" max="6391" width="13.7109375" style="1" customWidth="1"/>
    <col min="6392" max="6392" width="13.85546875" style="1" customWidth="1"/>
    <col min="6393" max="6393" width="12.140625" style="1" customWidth="1"/>
    <col min="6394" max="6395" width="10.42578125" style="1" customWidth="1"/>
    <col min="6396" max="6639" width="9.140625" style="1"/>
    <col min="6640" max="6640" width="10.28515625" style="1" customWidth="1"/>
    <col min="6641" max="6641" width="11" style="1" customWidth="1"/>
    <col min="6642" max="6642" width="11.42578125" style="1" customWidth="1"/>
    <col min="6643" max="6643" width="10.7109375" style="1" customWidth="1"/>
    <col min="6644" max="6646" width="10.42578125" style="1" customWidth="1"/>
    <col min="6647" max="6647" width="13.7109375" style="1" customWidth="1"/>
    <col min="6648" max="6648" width="13.85546875" style="1" customWidth="1"/>
    <col min="6649" max="6649" width="12.140625" style="1" customWidth="1"/>
    <col min="6650" max="6651" width="10.42578125" style="1" customWidth="1"/>
    <col min="6652" max="6895" width="9.140625" style="1"/>
    <col min="6896" max="6896" width="10.28515625" style="1" customWidth="1"/>
    <col min="6897" max="6897" width="11" style="1" customWidth="1"/>
    <col min="6898" max="6898" width="11.42578125" style="1" customWidth="1"/>
    <col min="6899" max="6899" width="10.7109375" style="1" customWidth="1"/>
    <col min="6900" max="6902" width="10.42578125" style="1" customWidth="1"/>
    <col min="6903" max="6903" width="13.7109375" style="1" customWidth="1"/>
    <col min="6904" max="6904" width="13.85546875" style="1" customWidth="1"/>
    <col min="6905" max="6905" width="12.140625" style="1" customWidth="1"/>
    <col min="6906" max="6907" width="10.42578125" style="1" customWidth="1"/>
    <col min="6908" max="7151" width="9.140625" style="1"/>
    <col min="7152" max="7152" width="10.28515625" style="1" customWidth="1"/>
    <col min="7153" max="7153" width="11" style="1" customWidth="1"/>
    <col min="7154" max="7154" width="11.42578125" style="1" customWidth="1"/>
    <col min="7155" max="7155" width="10.7109375" style="1" customWidth="1"/>
    <col min="7156" max="7158" width="10.42578125" style="1" customWidth="1"/>
    <col min="7159" max="7159" width="13.7109375" style="1" customWidth="1"/>
    <col min="7160" max="7160" width="13.85546875" style="1" customWidth="1"/>
    <col min="7161" max="7161" width="12.140625" style="1" customWidth="1"/>
    <col min="7162" max="7163" width="10.42578125" style="1" customWidth="1"/>
    <col min="7164" max="7407" width="9.140625" style="1"/>
    <col min="7408" max="7408" width="10.28515625" style="1" customWidth="1"/>
    <col min="7409" max="7409" width="11" style="1" customWidth="1"/>
    <col min="7410" max="7410" width="11.42578125" style="1" customWidth="1"/>
    <col min="7411" max="7411" width="10.7109375" style="1" customWidth="1"/>
    <col min="7412" max="7414" width="10.42578125" style="1" customWidth="1"/>
    <col min="7415" max="7415" width="13.7109375" style="1" customWidth="1"/>
    <col min="7416" max="7416" width="13.85546875" style="1" customWidth="1"/>
    <col min="7417" max="7417" width="12.140625" style="1" customWidth="1"/>
    <col min="7418" max="7419" width="10.42578125" style="1" customWidth="1"/>
    <col min="7420" max="7663" width="9.140625" style="1"/>
    <col min="7664" max="7664" width="10.28515625" style="1" customWidth="1"/>
    <col min="7665" max="7665" width="11" style="1" customWidth="1"/>
    <col min="7666" max="7666" width="11.42578125" style="1" customWidth="1"/>
    <col min="7667" max="7667" width="10.7109375" style="1" customWidth="1"/>
    <col min="7668" max="7670" width="10.42578125" style="1" customWidth="1"/>
    <col min="7671" max="7671" width="13.7109375" style="1" customWidth="1"/>
    <col min="7672" max="7672" width="13.85546875" style="1" customWidth="1"/>
    <col min="7673" max="7673" width="12.140625" style="1" customWidth="1"/>
    <col min="7674" max="7675" width="10.42578125" style="1" customWidth="1"/>
    <col min="7676" max="7919" width="9.140625" style="1"/>
    <col min="7920" max="7920" width="10.28515625" style="1" customWidth="1"/>
    <col min="7921" max="7921" width="11" style="1" customWidth="1"/>
    <col min="7922" max="7922" width="11.42578125" style="1" customWidth="1"/>
    <col min="7923" max="7923" width="10.7109375" style="1" customWidth="1"/>
    <col min="7924" max="7926" width="10.42578125" style="1" customWidth="1"/>
    <col min="7927" max="7927" width="13.7109375" style="1" customWidth="1"/>
    <col min="7928" max="7928" width="13.85546875" style="1" customWidth="1"/>
    <col min="7929" max="7929" width="12.140625" style="1" customWidth="1"/>
    <col min="7930" max="7931" width="10.42578125" style="1" customWidth="1"/>
    <col min="7932" max="8175" width="9.140625" style="1"/>
    <col min="8176" max="8176" width="10.28515625" style="1" customWidth="1"/>
    <col min="8177" max="8177" width="11" style="1" customWidth="1"/>
    <col min="8178" max="8178" width="11.42578125" style="1" customWidth="1"/>
    <col min="8179" max="8179" width="10.7109375" style="1" customWidth="1"/>
    <col min="8180" max="8182" width="10.42578125" style="1" customWidth="1"/>
    <col min="8183" max="8183" width="13.7109375" style="1" customWidth="1"/>
    <col min="8184" max="8184" width="13.85546875" style="1" customWidth="1"/>
    <col min="8185" max="8185" width="12.140625" style="1" customWidth="1"/>
    <col min="8186" max="8187" width="10.42578125" style="1" customWidth="1"/>
    <col min="8188" max="8431" width="9.140625" style="1"/>
    <col min="8432" max="8432" width="10.28515625" style="1" customWidth="1"/>
    <col min="8433" max="8433" width="11" style="1" customWidth="1"/>
    <col min="8434" max="8434" width="11.42578125" style="1" customWidth="1"/>
    <col min="8435" max="8435" width="10.7109375" style="1" customWidth="1"/>
    <col min="8436" max="8438" width="10.42578125" style="1" customWidth="1"/>
    <col min="8439" max="8439" width="13.7109375" style="1" customWidth="1"/>
    <col min="8440" max="8440" width="13.85546875" style="1" customWidth="1"/>
    <col min="8441" max="8441" width="12.140625" style="1" customWidth="1"/>
    <col min="8442" max="8443" width="10.42578125" style="1" customWidth="1"/>
    <col min="8444" max="8687" width="9.140625" style="1"/>
    <col min="8688" max="8688" width="10.28515625" style="1" customWidth="1"/>
    <col min="8689" max="8689" width="11" style="1" customWidth="1"/>
    <col min="8690" max="8690" width="11.42578125" style="1" customWidth="1"/>
    <col min="8691" max="8691" width="10.7109375" style="1" customWidth="1"/>
    <col min="8692" max="8694" width="10.42578125" style="1" customWidth="1"/>
    <col min="8695" max="8695" width="13.7109375" style="1" customWidth="1"/>
    <col min="8696" max="8696" width="13.85546875" style="1" customWidth="1"/>
    <col min="8697" max="8697" width="12.140625" style="1" customWidth="1"/>
    <col min="8698" max="8699" width="10.42578125" style="1" customWidth="1"/>
    <col min="8700" max="8943" width="9.140625" style="1"/>
    <col min="8944" max="8944" width="10.28515625" style="1" customWidth="1"/>
    <col min="8945" max="8945" width="11" style="1" customWidth="1"/>
    <col min="8946" max="8946" width="11.42578125" style="1" customWidth="1"/>
    <col min="8947" max="8947" width="10.7109375" style="1" customWidth="1"/>
    <col min="8948" max="8950" width="10.42578125" style="1" customWidth="1"/>
    <col min="8951" max="8951" width="13.7109375" style="1" customWidth="1"/>
    <col min="8952" max="8952" width="13.85546875" style="1" customWidth="1"/>
    <col min="8953" max="8953" width="12.140625" style="1" customWidth="1"/>
    <col min="8954" max="8955" width="10.42578125" style="1" customWidth="1"/>
    <col min="8956" max="9199" width="9.140625" style="1"/>
    <col min="9200" max="9200" width="10.28515625" style="1" customWidth="1"/>
    <col min="9201" max="9201" width="11" style="1" customWidth="1"/>
    <col min="9202" max="9202" width="11.42578125" style="1" customWidth="1"/>
    <col min="9203" max="9203" width="10.7109375" style="1" customWidth="1"/>
    <col min="9204" max="9206" width="10.42578125" style="1" customWidth="1"/>
    <col min="9207" max="9207" width="13.7109375" style="1" customWidth="1"/>
    <col min="9208" max="9208" width="13.85546875" style="1" customWidth="1"/>
    <col min="9209" max="9209" width="12.140625" style="1" customWidth="1"/>
    <col min="9210" max="9211" width="10.42578125" style="1" customWidth="1"/>
    <col min="9212" max="9455" width="9.140625" style="1"/>
    <col min="9456" max="9456" width="10.28515625" style="1" customWidth="1"/>
    <col min="9457" max="9457" width="11" style="1" customWidth="1"/>
    <col min="9458" max="9458" width="11.42578125" style="1" customWidth="1"/>
    <col min="9459" max="9459" width="10.7109375" style="1" customWidth="1"/>
    <col min="9460" max="9462" width="10.42578125" style="1" customWidth="1"/>
    <col min="9463" max="9463" width="13.7109375" style="1" customWidth="1"/>
    <col min="9464" max="9464" width="13.85546875" style="1" customWidth="1"/>
    <col min="9465" max="9465" width="12.140625" style="1" customWidth="1"/>
    <col min="9466" max="9467" width="10.42578125" style="1" customWidth="1"/>
    <col min="9468" max="9711" width="9.140625" style="1"/>
    <col min="9712" max="9712" width="10.28515625" style="1" customWidth="1"/>
    <col min="9713" max="9713" width="11" style="1" customWidth="1"/>
    <col min="9714" max="9714" width="11.42578125" style="1" customWidth="1"/>
    <col min="9715" max="9715" width="10.7109375" style="1" customWidth="1"/>
    <col min="9716" max="9718" width="10.42578125" style="1" customWidth="1"/>
    <col min="9719" max="9719" width="13.7109375" style="1" customWidth="1"/>
    <col min="9720" max="9720" width="13.85546875" style="1" customWidth="1"/>
    <col min="9721" max="9721" width="12.140625" style="1" customWidth="1"/>
    <col min="9722" max="9723" width="10.42578125" style="1" customWidth="1"/>
    <col min="9724" max="9967" width="9.140625" style="1"/>
    <col min="9968" max="9968" width="10.28515625" style="1" customWidth="1"/>
    <col min="9969" max="9969" width="11" style="1" customWidth="1"/>
    <col min="9970" max="9970" width="11.42578125" style="1" customWidth="1"/>
    <col min="9971" max="9971" width="10.7109375" style="1" customWidth="1"/>
    <col min="9972" max="9974" width="10.42578125" style="1" customWidth="1"/>
    <col min="9975" max="9975" width="13.7109375" style="1" customWidth="1"/>
    <col min="9976" max="9976" width="13.85546875" style="1" customWidth="1"/>
    <col min="9977" max="9977" width="12.140625" style="1" customWidth="1"/>
    <col min="9978" max="9979" width="10.42578125" style="1" customWidth="1"/>
    <col min="9980" max="10223" width="9.140625" style="1"/>
    <col min="10224" max="10224" width="10.28515625" style="1" customWidth="1"/>
    <col min="10225" max="10225" width="11" style="1" customWidth="1"/>
    <col min="10226" max="10226" width="11.42578125" style="1" customWidth="1"/>
    <col min="10227" max="10227" width="10.7109375" style="1" customWidth="1"/>
    <col min="10228" max="10230" width="10.42578125" style="1" customWidth="1"/>
    <col min="10231" max="10231" width="13.7109375" style="1" customWidth="1"/>
    <col min="10232" max="10232" width="13.85546875" style="1" customWidth="1"/>
    <col min="10233" max="10233" width="12.140625" style="1" customWidth="1"/>
    <col min="10234" max="10235" width="10.42578125" style="1" customWidth="1"/>
    <col min="10236" max="10479" width="9.140625" style="1"/>
    <col min="10480" max="10480" width="10.28515625" style="1" customWidth="1"/>
    <col min="10481" max="10481" width="11" style="1" customWidth="1"/>
    <col min="10482" max="10482" width="11.42578125" style="1" customWidth="1"/>
    <col min="10483" max="10483" width="10.7109375" style="1" customWidth="1"/>
    <col min="10484" max="10486" width="10.42578125" style="1" customWidth="1"/>
    <col min="10487" max="10487" width="13.7109375" style="1" customWidth="1"/>
    <col min="10488" max="10488" width="13.85546875" style="1" customWidth="1"/>
    <col min="10489" max="10489" width="12.140625" style="1" customWidth="1"/>
    <col min="10490" max="10491" width="10.42578125" style="1" customWidth="1"/>
    <col min="10492" max="10735" width="9.140625" style="1"/>
    <col min="10736" max="10736" width="10.28515625" style="1" customWidth="1"/>
    <col min="10737" max="10737" width="11" style="1" customWidth="1"/>
    <col min="10738" max="10738" width="11.42578125" style="1" customWidth="1"/>
    <col min="10739" max="10739" width="10.7109375" style="1" customWidth="1"/>
    <col min="10740" max="10742" width="10.42578125" style="1" customWidth="1"/>
    <col min="10743" max="10743" width="13.7109375" style="1" customWidth="1"/>
    <col min="10744" max="10744" width="13.85546875" style="1" customWidth="1"/>
    <col min="10745" max="10745" width="12.140625" style="1" customWidth="1"/>
    <col min="10746" max="10747" width="10.42578125" style="1" customWidth="1"/>
    <col min="10748" max="10991" width="9.140625" style="1"/>
    <col min="10992" max="10992" width="10.28515625" style="1" customWidth="1"/>
    <col min="10993" max="10993" width="11" style="1" customWidth="1"/>
    <col min="10994" max="10994" width="11.42578125" style="1" customWidth="1"/>
    <col min="10995" max="10995" width="10.7109375" style="1" customWidth="1"/>
    <col min="10996" max="10998" width="10.42578125" style="1" customWidth="1"/>
    <col min="10999" max="10999" width="13.7109375" style="1" customWidth="1"/>
    <col min="11000" max="11000" width="13.85546875" style="1" customWidth="1"/>
    <col min="11001" max="11001" width="12.140625" style="1" customWidth="1"/>
    <col min="11002" max="11003" width="10.42578125" style="1" customWidth="1"/>
    <col min="11004" max="11247" width="9.140625" style="1"/>
    <col min="11248" max="11248" width="10.28515625" style="1" customWidth="1"/>
    <col min="11249" max="11249" width="11" style="1" customWidth="1"/>
    <col min="11250" max="11250" width="11.42578125" style="1" customWidth="1"/>
    <col min="11251" max="11251" width="10.7109375" style="1" customWidth="1"/>
    <col min="11252" max="11254" width="10.42578125" style="1" customWidth="1"/>
    <col min="11255" max="11255" width="13.7109375" style="1" customWidth="1"/>
    <col min="11256" max="11256" width="13.85546875" style="1" customWidth="1"/>
    <col min="11257" max="11257" width="12.140625" style="1" customWidth="1"/>
    <col min="11258" max="11259" width="10.42578125" style="1" customWidth="1"/>
    <col min="11260" max="11503" width="9.140625" style="1"/>
    <col min="11504" max="11504" width="10.28515625" style="1" customWidth="1"/>
    <col min="11505" max="11505" width="11" style="1" customWidth="1"/>
    <col min="11506" max="11506" width="11.42578125" style="1" customWidth="1"/>
    <col min="11507" max="11507" width="10.7109375" style="1" customWidth="1"/>
    <col min="11508" max="11510" width="10.42578125" style="1" customWidth="1"/>
    <col min="11511" max="11511" width="13.7109375" style="1" customWidth="1"/>
    <col min="11512" max="11512" width="13.85546875" style="1" customWidth="1"/>
    <col min="11513" max="11513" width="12.140625" style="1" customWidth="1"/>
    <col min="11514" max="11515" width="10.42578125" style="1" customWidth="1"/>
    <col min="11516" max="11759" width="9.140625" style="1"/>
    <col min="11760" max="11760" width="10.28515625" style="1" customWidth="1"/>
    <col min="11761" max="11761" width="11" style="1" customWidth="1"/>
    <col min="11762" max="11762" width="11.42578125" style="1" customWidth="1"/>
    <col min="11763" max="11763" width="10.7109375" style="1" customWidth="1"/>
    <col min="11764" max="11766" width="10.42578125" style="1" customWidth="1"/>
    <col min="11767" max="11767" width="13.7109375" style="1" customWidth="1"/>
    <col min="11768" max="11768" width="13.85546875" style="1" customWidth="1"/>
    <col min="11769" max="11769" width="12.140625" style="1" customWidth="1"/>
    <col min="11770" max="11771" width="10.42578125" style="1" customWidth="1"/>
    <col min="11772" max="12015" width="9.140625" style="1"/>
    <col min="12016" max="12016" width="10.28515625" style="1" customWidth="1"/>
    <col min="12017" max="12017" width="11" style="1" customWidth="1"/>
    <col min="12018" max="12018" width="11.42578125" style="1" customWidth="1"/>
    <col min="12019" max="12019" width="10.7109375" style="1" customWidth="1"/>
    <col min="12020" max="12022" width="10.42578125" style="1" customWidth="1"/>
    <col min="12023" max="12023" width="13.7109375" style="1" customWidth="1"/>
    <col min="12024" max="12024" width="13.85546875" style="1" customWidth="1"/>
    <col min="12025" max="12025" width="12.140625" style="1" customWidth="1"/>
    <col min="12026" max="12027" width="10.42578125" style="1" customWidth="1"/>
    <col min="12028" max="12271" width="9.140625" style="1"/>
    <col min="12272" max="12272" width="10.28515625" style="1" customWidth="1"/>
    <col min="12273" max="12273" width="11" style="1" customWidth="1"/>
    <col min="12274" max="12274" width="11.42578125" style="1" customWidth="1"/>
    <col min="12275" max="12275" width="10.7109375" style="1" customWidth="1"/>
    <col min="12276" max="12278" width="10.42578125" style="1" customWidth="1"/>
    <col min="12279" max="12279" width="13.7109375" style="1" customWidth="1"/>
    <col min="12280" max="12280" width="13.85546875" style="1" customWidth="1"/>
    <col min="12281" max="12281" width="12.140625" style="1" customWidth="1"/>
    <col min="12282" max="12283" width="10.42578125" style="1" customWidth="1"/>
    <col min="12284" max="12527" width="9.140625" style="1"/>
    <col min="12528" max="12528" width="10.28515625" style="1" customWidth="1"/>
    <col min="12529" max="12529" width="11" style="1" customWidth="1"/>
    <col min="12530" max="12530" width="11.42578125" style="1" customWidth="1"/>
    <col min="12531" max="12531" width="10.7109375" style="1" customWidth="1"/>
    <col min="12532" max="12534" width="10.42578125" style="1" customWidth="1"/>
    <col min="12535" max="12535" width="13.7109375" style="1" customWidth="1"/>
    <col min="12536" max="12536" width="13.85546875" style="1" customWidth="1"/>
    <col min="12537" max="12537" width="12.140625" style="1" customWidth="1"/>
    <col min="12538" max="12539" width="10.42578125" style="1" customWidth="1"/>
    <col min="12540" max="12783" width="9.140625" style="1"/>
    <col min="12784" max="12784" width="10.28515625" style="1" customWidth="1"/>
    <col min="12785" max="12785" width="11" style="1" customWidth="1"/>
    <col min="12786" max="12786" width="11.42578125" style="1" customWidth="1"/>
    <col min="12787" max="12787" width="10.7109375" style="1" customWidth="1"/>
    <col min="12788" max="12790" width="10.42578125" style="1" customWidth="1"/>
    <col min="12791" max="12791" width="13.7109375" style="1" customWidth="1"/>
    <col min="12792" max="12792" width="13.85546875" style="1" customWidth="1"/>
    <col min="12793" max="12793" width="12.140625" style="1" customWidth="1"/>
    <col min="12794" max="12795" width="10.42578125" style="1" customWidth="1"/>
    <col min="12796" max="13039" width="9.140625" style="1"/>
    <col min="13040" max="13040" width="10.28515625" style="1" customWidth="1"/>
    <col min="13041" max="13041" width="11" style="1" customWidth="1"/>
    <col min="13042" max="13042" width="11.42578125" style="1" customWidth="1"/>
    <col min="13043" max="13043" width="10.7109375" style="1" customWidth="1"/>
    <col min="13044" max="13046" width="10.42578125" style="1" customWidth="1"/>
    <col min="13047" max="13047" width="13.7109375" style="1" customWidth="1"/>
    <col min="13048" max="13048" width="13.85546875" style="1" customWidth="1"/>
    <col min="13049" max="13049" width="12.140625" style="1" customWidth="1"/>
    <col min="13050" max="13051" width="10.42578125" style="1" customWidth="1"/>
    <col min="13052" max="13295" width="9.140625" style="1"/>
    <col min="13296" max="13296" width="10.28515625" style="1" customWidth="1"/>
    <col min="13297" max="13297" width="11" style="1" customWidth="1"/>
    <col min="13298" max="13298" width="11.42578125" style="1" customWidth="1"/>
    <col min="13299" max="13299" width="10.7109375" style="1" customWidth="1"/>
    <col min="13300" max="13302" width="10.42578125" style="1" customWidth="1"/>
    <col min="13303" max="13303" width="13.7109375" style="1" customWidth="1"/>
    <col min="13304" max="13304" width="13.85546875" style="1" customWidth="1"/>
    <col min="13305" max="13305" width="12.140625" style="1" customWidth="1"/>
    <col min="13306" max="13307" width="10.42578125" style="1" customWidth="1"/>
    <col min="13308" max="13551" width="9.140625" style="1"/>
    <col min="13552" max="13552" width="10.28515625" style="1" customWidth="1"/>
    <col min="13553" max="13553" width="11" style="1" customWidth="1"/>
    <col min="13554" max="13554" width="11.42578125" style="1" customWidth="1"/>
    <col min="13555" max="13555" width="10.7109375" style="1" customWidth="1"/>
    <col min="13556" max="13558" width="10.42578125" style="1" customWidth="1"/>
    <col min="13559" max="13559" width="13.7109375" style="1" customWidth="1"/>
    <col min="13560" max="13560" width="13.85546875" style="1" customWidth="1"/>
    <col min="13561" max="13561" width="12.140625" style="1" customWidth="1"/>
    <col min="13562" max="13563" width="10.42578125" style="1" customWidth="1"/>
    <col min="13564" max="13807" width="9.140625" style="1"/>
    <col min="13808" max="13808" width="10.28515625" style="1" customWidth="1"/>
    <col min="13809" max="13809" width="11" style="1" customWidth="1"/>
    <col min="13810" max="13810" width="11.42578125" style="1" customWidth="1"/>
    <col min="13811" max="13811" width="10.7109375" style="1" customWidth="1"/>
    <col min="13812" max="13814" width="10.42578125" style="1" customWidth="1"/>
    <col min="13815" max="13815" width="13.7109375" style="1" customWidth="1"/>
    <col min="13816" max="13816" width="13.85546875" style="1" customWidth="1"/>
    <col min="13817" max="13817" width="12.140625" style="1" customWidth="1"/>
    <col min="13818" max="13819" width="10.42578125" style="1" customWidth="1"/>
    <col min="13820" max="14063" width="9.140625" style="1"/>
    <col min="14064" max="14064" width="10.28515625" style="1" customWidth="1"/>
    <col min="14065" max="14065" width="11" style="1" customWidth="1"/>
    <col min="14066" max="14066" width="11.42578125" style="1" customWidth="1"/>
    <col min="14067" max="14067" width="10.7109375" style="1" customWidth="1"/>
    <col min="14068" max="14070" width="10.42578125" style="1" customWidth="1"/>
    <col min="14071" max="14071" width="13.7109375" style="1" customWidth="1"/>
    <col min="14072" max="14072" width="13.85546875" style="1" customWidth="1"/>
    <col min="14073" max="14073" width="12.140625" style="1" customWidth="1"/>
    <col min="14074" max="14075" width="10.42578125" style="1" customWidth="1"/>
    <col min="14076" max="14319" width="9.140625" style="1"/>
    <col min="14320" max="14320" width="10.28515625" style="1" customWidth="1"/>
    <col min="14321" max="14321" width="11" style="1" customWidth="1"/>
    <col min="14322" max="14322" width="11.42578125" style="1" customWidth="1"/>
    <col min="14323" max="14323" width="10.7109375" style="1" customWidth="1"/>
    <col min="14324" max="14326" width="10.42578125" style="1" customWidth="1"/>
    <col min="14327" max="14327" width="13.7109375" style="1" customWidth="1"/>
    <col min="14328" max="14328" width="13.85546875" style="1" customWidth="1"/>
    <col min="14329" max="14329" width="12.140625" style="1" customWidth="1"/>
    <col min="14330" max="14331" width="10.42578125" style="1" customWidth="1"/>
    <col min="14332" max="14575" width="9.140625" style="1"/>
    <col min="14576" max="14576" width="10.28515625" style="1" customWidth="1"/>
    <col min="14577" max="14577" width="11" style="1" customWidth="1"/>
    <col min="14578" max="14578" width="11.42578125" style="1" customWidth="1"/>
    <col min="14579" max="14579" width="10.7109375" style="1" customWidth="1"/>
    <col min="14580" max="14582" width="10.42578125" style="1" customWidth="1"/>
    <col min="14583" max="14583" width="13.7109375" style="1" customWidth="1"/>
    <col min="14584" max="14584" width="13.85546875" style="1" customWidth="1"/>
    <col min="14585" max="14585" width="12.140625" style="1" customWidth="1"/>
    <col min="14586" max="14587" width="10.42578125" style="1" customWidth="1"/>
    <col min="14588" max="14831" width="9.140625" style="1"/>
    <col min="14832" max="14832" width="10.28515625" style="1" customWidth="1"/>
    <col min="14833" max="14833" width="11" style="1" customWidth="1"/>
    <col min="14834" max="14834" width="11.42578125" style="1" customWidth="1"/>
    <col min="14835" max="14835" width="10.7109375" style="1" customWidth="1"/>
    <col min="14836" max="14838" width="10.42578125" style="1" customWidth="1"/>
    <col min="14839" max="14839" width="13.7109375" style="1" customWidth="1"/>
    <col min="14840" max="14840" width="13.85546875" style="1" customWidth="1"/>
    <col min="14841" max="14841" width="12.140625" style="1" customWidth="1"/>
    <col min="14842" max="14843" width="10.42578125" style="1" customWidth="1"/>
    <col min="14844" max="15087" width="9.140625" style="1"/>
    <col min="15088" max="15088" width="10.28515625" style="1" customWidth="1"/>
    <col min="15089" max="15089" width="11" style="1" customWidth="1"/>
    <col min="15090" max="15090" width="11.42578125" style="1" customWidth="1"/>
    <col min="15091" max="15091" width="10.7109375" style="1" customWidth="1"/>
    <col min="15092" max="15094" width="10.42578125" style="1" customWidth="1"/>
    <col min="15095" max="15095" width="13.7109375" style="1" customWidth="1"/>
    <col min="15096" max="15096" width="13.85546875" style="1" customWidth="1"/>
    <col min="15097" max="15097" width="12.140625" style="1" customWidth="1"/>
    <col min="15098" max="15099" width="10.42578125" style="1" customWidth="1"/>
    <col min="15100" max="15343" width="9.140625" style="1"/>
    <col min="15344" max="15344" width="10.28515625" style="1" customWidth="1"/>
    <col min="15345" max="15345" width="11" style="1" customWidth="1"/>
    <col min="15346" max="15346" width="11.42578125" style="1" customWidth="1"/>
    <col min="15347" max="15347" width="10.7109375" style="1" customWidth="1"/>
    <col min="15348" max="15350" width="10.42578125" style="1" customWidth="1"/>
    <col min="15351" max="15351" width="13.7109375" style="1" customWidth="1"/>
    <col min="15352" max="15352" width="13.85546875" style="1" customWidth="1"/>
    <col min="15353" max="15353" width="12.140625" style="1" customWidth="1"/>
    <col min="15354" max="15355" width="10.42578125" style="1" customWidth="1"/>
    <col min="15356" max="15599" width="9.140625" style="1"/>
    <col min="15600" max="15600" width="10.28515625" style="1" customWidth="1"/>
    <col min="15601" max="15601" width="11" style="1" customWidth="1"/>
    <col min="15602" max="15602" width="11.42578125" style="1" customWidth="1"/>
    <col min="15603" max="15603" width="10.7109375" style="1" customWidth="1"/>
    <col min="15604" max="15606" width="10.42578125" style="1" customWidth="1"/>
    <col min="15607" max="15607" width="13.7109375" style="1" customWidth="1"/>
    <col min="15608" max="15608" width="13.85546875" style="1" customWidth="1"/>
    <col min="15609" max="15609" width="12.140625" style="1" customWidth="1"/>
    <col min="15610" max="15611" width="10.42578125" style="1" customWidth="1"/>
    <col min="15612" max="15855" width="9.140625" style="1"/>
    <col min="15856" max="15856" width="10.28515625" style="1" customWidth="1"/>
    <col min="15857" max="15857" width="11" style="1" customWidth="1"/>
    <col min="15858" max="15858" width="11.42578125" style="1" customWidth="1"/>
    <col min="15859" max="15859" width="10.7109375" style="1" customWidth="1"/>
    <col min="15860" max="15862" width="10.42578125" style="1" customWidth="1"/>
    <col min="15863" max="15863" width="13.7109375" style="1" customWidth="1"/>
    <col min="15864" max="15864" width="13.85546875" style="1" customWidth="1"/>
    <col min="15865" max="15865" width="12.140625" style="1" customWidth="1"/>
    <col min="15866" max="15867" width="10.42578125" style="1" customWidth="1"/>
    <col min="15868" max="16111" width="9.140625" style="1"/>
    <col min="16112" max="16112" width="10.28515625" style="1" customWidth="1"/>
    <col min="16113" max="16113" width="11" style="1" customWidth="1"/>
    <col min="16114" max="16114" width="11.42578125" style="1" customWidth="1"/>
    <col min="16115" max="16115" width="10.7109375" style="1" customWidth="1"/>
    <col min="16116" max="16118" width="10.42578125" style="1" customWidth="1"/>
    <col min="16119" max="16119" width="13.7109375" style="1" customWidth="1"/>
    <col min="16120" max="16120" width="13.85546875" style="1" customWidth="1"/>
    <col min="16121" max="16121" width="12.140625" style="1" customWidth="1"/>
    <col min="16122" max="16123" width="10.42578125" style="1" customWidth="1"/>
    <col min="16124" max="16384" width="9.140625" style="1"/>
  </cols>
  <sheetData>
    <row r="1" spans="1:24" ht="17.25" customHeight="1" x14ac:dyDescent="0.2">
      <c r="A1" s="298" t="s">
        <v>1129</v>
      </c>
    </row>
    <row r="2" spans="1:24" ht="17.25" customHeight="1" x14ac:dyDescent="0.2">
      <c r="A2" s="106" t="s">
        <v>578</v>
      </c>
    </row>
    <row r="3" spans="1:24" ht="37.5" customHeight="1" x14ac:dyDescent="0.2">
      <c r="A3" s="129" t="s">
        <v>1043</v>
      </c>
      <c r="B3" s="129"/>
      <c r="C3" s="129"/>
      <c r="D3" s="129"/>
      <c r="E3" s="129"/>
      <c r="F3" s="129"/>
      <c r="G3" s="129"/>
      <c r="H3" s="129"/>
      <c r="I3" s="129"/>
      <c r="J3" s="129"/>
    </row>
    <row r="4" spans="1:24" ht="15.75" customHeight="1" x14ac:dyDescent="0.25">
      <c r="A4" s="351" t="s">
        <v>579</v>
      </c>
      <c r="B4" s="1043" t="s">
        <v>1321</v>
      </c>
      <c r="D4" s="129"/>
      <c r="E4" s="129"/>
      <c r="F4" s="129"/>
      <c r="G4" s="129"/>
      <c r="H4" s="129"/>
      <c r="I4" s="129"/>
      <c r="J4" s="129"/>
    </row>
    <row r="5" spans="1:24" ht="15.75" customHeight="1" x14ac:dyDescent="0.25">
      <c r="A5" s="351" t="s">
        <v>580</v>
      </c>
      <c r="B5" s="351" t="s">
        <v>581</v>
      </c>
      <c r="C5" s="129"/>
      <c r="D5" s="129"/>
      <c r="E5" s="129"/>
      <c r="F5" s="129"/>
      <c r="G5" s="129"/>
      <c r="H5" s="129"/>
      <c r="I5" s="129"/>
      <c r="J5" s="129"/>
    </row>
    <row r="6" spans="1:24" ht="15.75" customHeight="1" x14ac:dyDescent="0.25">
      <c r="A6" s="351" t="s">
        <v>582</v>
      </c>
      <c r="B6" s="351" t="s">
        <v>585</v>
      </c>
      <c r="C6" s="129"/>
      <c r="D6" s="129"/>
      <c r="E6" s="129"/>
      <c r="F6" s="129"/>
      <c r="G6" s="129"/>
      <c r="H6" s="129"/>
      <c r="I6" s="129"/>
      <c r="J6" s="129"/>
    </row>
    <row r="7" spans="1:24" ht="15" x14ac:dyDescent="0.25">
      <c r="A7" s="2"/>
      <c r="L7" s="83" t="s">
        <v>0</v>
      </c>
    </row>
    <row r="8" spans="1:24" ht="14.25" customHeight="1" x14ac:dyDescent="0.2">
      <c r="A8" s="1350" t="s">
        <v>4</v>
      </c>
      <c r="B8" s="1304" t="s">
        <v>130</v>
      </c>
      <c r="C8" s="1305"/>
      <c r="D8" s="1305"/>
      <c r="E8" s="1305"/>
      <c r="F8" s="1305"/>
      <c r="G8" s="1305"/>
      <c r="H8" s="1305"/>
      <c r="I8" s="1305"/>
      <c r="J8" s="1305"/>
      <c r="K8" s="1306"/>
      <c r="L8" s="1352" t="s">
        <v>252</v>
      </c>
    </row>
    <row r="9" spans="1:24" ht="52.5" customHeight="1" x14ac:dyDescent="0.2">
      <c r="A9" s="1351"/>
      <c r="B9" s="545" t="s">
        <v>93</v>
      </c>
      <c r="C9" s="546" t="s">
        <v>94</v>
      </c>
      <c r="D9" s="546" t="s">
        <v>541</v>
      </c>
      <c r="E9" s="546" t="s">
        <v>536</v>
      </c>
      <c r="F9" s="546" t="s">
        <v>95</v>
      </c>
      <c r="G9" s="547" t="s">
        <v>91</v>
      </c>
      <c r="H9" s="548" t="s">
        <v>545</v>
      </c>
      <c r="I9" s="549" t="s">
        <v>546</v>
      </c>
      <c r="J9" s="550" t="s">
        <v>547</v>
      </c>
      <c r="K9" s="192" t="s">
        <v>266</v>
      </c>
      <c r="L9" s="1353"/>
    </row>
    <row r="10" spans="1:24" ht="15" customHeight="1" x14ac:dyDescent="0.2">
      <c r="A10" s="378" t="str">
        <f>T_13_1!A4</f>
        <v>2009-10</v>
      </c>
      <c r="B10" s="34">
        <f>T_13_1!B4</f>
        <v>109</v>
      </c>
      <c r="C10" s="34">
        <f>T_13_1!C4</f>
        <v>1754</v>
      </c>
      <c r="D10" s="34">
        <f>T_13_1!D4</f>
        <v>49</v>
      </c>
      <c r="E10" s="34">
        <f>T_13_1!E4</f>
        <v>163</v>
      </c>
      <c r="F10" s="34">
        <f>T_13_1!F4</f>
        <v>72</v>
      </c>
      <c r="G10" s="34">
        <f>T_13_1!G4</f>
        <v>464</v>
      </c>
      <c r="H10" s="34">
        <f>T_13_1!H4</f>
        <v>932</v>
      </c>
      <c r="I10" s="34">
        <f>T_13_1!I4</f>
        <v>197</v>
      </c>
      <c r="J10" s="34">
        <f>T_13_1!J4</f>
        <v>978</v>
      </c>
      <c r="K10" s="636">
        <f>SUM(H10:J10)</f>
        <v>2107</v>
      </c>
      <c r="L10" s="347">
        <f>SUM(B10:J10)</f>
        <v>4718</v>
      </c>
      <c r="M10" s="4"/>
    </row>
    <row r="11" spans="1:24" ht="15" customHeight="1" x14ac:dyDescent="0.2">
      <c r="A11" s="29" t="str">
        <f>T_13_1!A5</f>
        <v>2010-11</v>
      </c>
      <c r="B11" s="7">
        <f>T_13_1!B5</f>
        <v>53</v>
      </c>
      <c r="C11" s="7">
        <f>T_13_1!C5</f>
        <v>1230</v>
      </c>
      <c r="D11" s="7">
        <f>T_13_1!D5</f>
        <v>26</v>
      </c>
      <c r="E11" s="7">
        <f>T_13_1!E5</f>
        <v>166</v>
      </c>
      <c r="F11" s="7">
        <f>T_13_1!F5</f>
        <v>40</v>
      </c>
      <c r="G11" s="7">
        <f>T_13_1!G5</f>
        <v>194</v>
      </c>
      <c r="H11" s="7">
        <f>T_13_1!H5</f>
        <v>523</v>
      </c>
      <c r="I11" s="7">
        <f>T_13_1!I5</f>
        <v>91</v>
      </c>
      <c r="J11" s="7">
        <f>T_13_1!J5</f>
        <v>292</v>
      </c>
      <c r="K11" s="23">
        <f t="shared" ref="K11:K16" si="0">SUM(H11:J11)</f>
        <v>906</v>
      </c>
      <c r="L11" s="13">
        <f t="shared" ref="L11:L16" si="1">SUM(B11:J11)</f>
        <v>2615</v>
      </c>
      <c r="M11" s="4"/>
    </row>
    <row r="12" spans="1:24" ht="15" customHeight="1" x14ac:dyDescent="0.2">
      <c r="A12" s="29" t="str">
        <f>T_13_1!A6</f>
        <v>2011-12</v>
      </c>
      <c r="B12" s="7">
        <f>T_13_1!B6</f>
        <v>55</v>
      </c>
      <c r="C12" s="7">
        <f>T_13_1!C6</f>
        <v>1071</v>
      </c>
      <c r="D12" s="7">
        <f>T_13_1!D6</f>
        <v>34</v>
      </c>
      <c r="E12" s="7">
        <f>T_13_1!E6</f>
        <v>161</v>
      </c>
      <c r="F12" s="7">
        <f>T_13_1!F6</f>
        <v>24</v>
      </c>
      <c r="G12" s="7">
        <f>T_13_1!G6</f>
        <v>184</v>
      </c>
      <c r="H12" s="7">
        <f>T_13_1!H6</f>
        <v>579</v>
      </c>
      <c r="I12" s="7">
        <f>T_13_1!I6</f>
        <v>80</v>
      </c>
      <c r="J12" s="7">
        <f>T_13_1!J6</f>
        <v>297</v>
      </c>
      <c r="K12" s="23">
        <f t="shared" si="0"/>
        <v>956</v>
      </c>
      <c r="L12" s="13">
        <f t="shared" si="1"/>
        <v>2485</v>
      </c>
      <c r="M12" s="4"/>
    </row>
    <row r="13" spans="1:24" ht="15" customHeight="1" x14ac:dyDescent="0.2">
      <c r="A13" s="29" t="str">
        <f>T_13_1!A7</f>
        <v>2012-13</v>
      </c>
      <c r="B13" s="7">
        <f>T_13_1!B7</f>
        <v>44</v>
      </c>
      <c r="C13" s="7">
        <f>T_13_1!C7</f>
        <v>808</v>
      </c>
      <c r="D13" s="7">
        <f>T_13_1!D7</f>
        <v>14</v>
      </c>
      <c r="E13" s="7">
        <f>T_13_1!E7</f>
        <v>145</v>
      </c>
      <c r="F13" s="7">
        <f>T_13_1!F7</f>
        <v>14</v>
      </c>
      <c r="G13" s="7">
        <f>T_13_1!G7</f>
        <v>143</v>
      </c>
      <c r="H13" s="7">
        <f>T_13_1!H7</f>
        <v>528</v>
      </c>
      <c r="I13" s="7">
        <f>T_13_1!I7</f>
        <v>77</v>
      </c>
      <c r="J13" s="7">
        <f>T_13_1!J7</f>
        <v>248</v>
      </c>
      <c r="K13" s="23">
        <f t="shared" si="0"/>
        <v>853</v>
      </c>
      <c r="L13" s="13">
        <f t="shared" si="1"/>
        <v>2021</v>
      </c>
      <c r="M13" s="4"/>
    </row>
    <row r="14" spans="1:24" ht="15" customHeight="1" x14ac:dyDescent="0.2">
      <c r="A14" s="29" t="str">
        <f>T_13_1!A8</f>
        <v>2013-14</v>
      </c>
      <c r="B14" s="7">
        <f>T_13_1!B8</f>
        <v>29</v>
      </c>
      <c r="C14" s="7">
        <f>T_13_1!C8</f>
        <v>1390</v>
      </c>
      <c r="D14" s="7">
        <f>T_13_1!D8</f>
        <v>30</v>
      </c>
      <c r="E14" s="7">
        <f>T_13_1!E8</f>
        <v>186</v>
      </c>
      <c r="F14" s="7">
        <f>T_13_1!F8</f>
        <v>23</v>
      </c>
      <c r="G14" s="7">
        <f>T_13_1!G8</f>
        <v>191</v>
      </c>
      <c r="H14" s="7">
        <f>T_13_1!H8</f>
        <v>631</v>
      </c>
      <c r="I14" s="7">
        <f>T_13_1!I8</f>
        <v>126</v>
      </c>
      <c r="J14" s="7">
        <f>T_13_1!J8</f>
        <v>308</v>
      </c>
      <c r="K14" s="23">
        <f t="shared" si="0"/>
        <v>1065</v>
      </c>
      <c r="L14" s="13">
        <f t="shared" si="1"/>
        <v>2914</v>
      </c>
      <c r="M14" s="4"/>
    </row>
    <row r="15" spans="1:24" ht="15" customHeight="1" x14ac:dyDescent="0.2">
      <c r="A15" s="29" t="str">
        <f>T_13_1!A9</f>
        <v>2014-15</v>
      </c>
      <c r="B15" s="7">
        <f>T_13_1!B9</f>
        <v>37</v>
      </c>
      <c r="C15" s="7">
        <f>T_13_1!C9</f>
        <v>733</v>
      </c>
      <c r="D15" s="7">
        <f>T_13_1!D9</f>
        <v>34</v>
      </c>
      <c r="E15" s="7">
        <f>T_13_1!E9</f>
        <v>143</v>
      </c>
      <c r="F15" s="7">
        <f>T_13_1!F9</f>
        <v>16</v>
      </c>
      <c r="G15" s="7">
        <f>T_13_1!G9</f>
        <v>182</v>
      </c>
      <c r="H15" s="7">
        <f>T_13_1!H9</f>
        <v>713</v>
      </c>
      <c r="I15" s="7">
        <f>T_13_1!I9</f>
        <v>105</v>
      </c>
      <c r="J15" s="7">
        <f>T_13_1!J9</f>
        <v>276</v>
      </c>
      <c r="K15" s="23">
        <f t="shared" si="0"/>
        <v>1094</v>
      </c>
      <c r="L15" s="13">
        <f t="shared" si="1"/>
        <v>2239</v>
      </c>
      <c r="M15" s="4"/>
      <c r="N15"/>
      <c r="O15"/>
      <c r="P15"/>
      <c r="Q15"/>
      <c r="R15"/>
      <c r="S15"/>
      <c r="T15"/>
      <c r="U15"/>
      <c r="V15"/>
      <c r="W15"/>
      <c r="X15"/>
    </row>
    <row r="16" spans="1:24" ht="15" customHeight="1" x14ac:dyDescent="0.2">
      <c r="A16" s="825" t="str">
        <f>T_13_1!A10</f>
        <v>2015-16</v>
      </c>
      <c r="B16" s="7">
        <f>T_13_1!B10</f>
        <v>42</v>
      </c>
      <c r="C16" s="7">
        <f>T_13_1!C10</f>
        <v>864</v>
      </c>
      <c r="D16" s="7">
        <f>T_13_1!D10</f>
        <v>21</v>
      </c>
      <c r="E16" s="7">
        <f>T_13_1!E10</f>
        <v>144</v>
      </c>
      <c r="F16" s="7">
        <f>T_13_1!F10</f>
        <v>14</v>
      </c>
      <c r="G16" s="7">
        <f>T_13_1!G10</f>
        <v>169</v>
      </c>
      <c r="H16" s="7">
        <f>T_13_1!H10</f>
        <v>806</v>
      </c>
      <c r="I16" s="7">
        <f>T_13_1!I10</f>
        <v>135</v>
      </c>
      <c r="J16" s="7">
        <f>T_13_1!J10</f>
        <v>259</v>
      </c>
      <c r="K16" s="23">
        <f t="shared" si="0"/>
        <v>1200</v>
      </c>
      <c r="L16" s="13">
        <f t="shared" si="1"/>
        <v>2454</v>
      </c>
      <c r="M16" s="4"/>
      <c r="N16"/>
      <c r="O16"/>
      <c r="P16"/>
      <c r="Q16"/>
      <c r="R16"/>
      <c r="S16"/>
      <c r="T16"/>
      <c r="U16"/>
      <c r="V16"/>
      <c r="W16"/>
      <c r="X16"/>
    </row>
    <row r="17" spans="1:24" ht="15" customHeight="1" x14ac:dyDescent="0.2">
      <c r="A17" s="825" t="str">
        <f>T_13_1!A11</f>
        <v>2016-17</v>
      </c>
      <c r="B17" s="7">
        <f>T_13_1!B11</f>
        <v>42</v>
      </c>
      <c r="C17" s="7">
        <f>T_13_1!C11</f>
        <v>935</v>
      </c>
      <c r="D17" s="7">
        <f>T_13_1!D11</f>
        <v>15</v>
      </c>
      <c r="E17" s="7">
        <f>T_13_1!E11</f>
        <v>133</v>
      </c>
      <c r="F17" s="7">
        <f>T_13_1!F11</f>
        <v>15</v>
      </c>
      <c r="G17" s="7">
        <f>T_13_1!G11</f>
        <v>188</v>
      </c>
      <c r="H17" s="7">
        <f>T_13_1!H11</f>
        <v>781</v>
      </c>
      <c r="I17" s="7">
        <f>T_13_1!I11</f>
        <v>130</v>
      </c>
      <c r="J17" s="7">
        <f>T_13_1!J11</f>
        <v>228</v>
      </c>
      <c r="K17" s="23">
        <f t="shared" ref="K17:K20" si="2">SUM(H17:J17)</f>
        <v>1139</v>
      </c>
      <c r="L17" s="13">
        <f t="shared" ref="L17:L20" si="3">SUM(B17:J17)</f>
        <v>2467</v>
      </c>
      <c r="M17" s="4"/>
      <c r="N17"/>
      <c r="O17"/>
      <c r="P17"/>
      <c r="Q17"/>
      <c r="R17"/>
      <c r="S17"/>
      <c r="T17"/>
      <c r="U17"/>
      <c r="V17"/>
      <c r="W17"/>
      <c r="X17"/>
    </row>
    <row r="18" spans="1:24" ht="15" customHeight="1" x14ac:dyDescent="0.2">
      <c r="A18" s="825" t="str">
        <f>T_13_1!A12</f>
        <v>2017-18</v>
      </c>
      <c r="B18" s="33">
        <f>T_13_1!B12</f>
        <v>41</v>
      </c>
      <c r="C18" s="33">
        <f>T_13_1!C12</f>
        <v>1133</v>
      </c>
      <c r="D18" s="33">
        <f>T_13_1!D12</f>
        <v>17</v>
      </c>
      <c r="E18" s="33">
        <f>T_13_1!E12</f>
        <v>154</v>
      </c>
      <c r="F18" s="33">
        <f>T_13_1!F12</f>
        <v>16</v>
      </c>
      <c r="G18" s="33">
        <f>T_13_1!G12</f>
        <v>202</v>
      </c>
      <c r="H18" s="33">
        <f>T_13_1!H12</f>
        <v>721</v>
      </c>
      <c r="I18" s="33">
        <f>T_13_1!I12</f>
        <v>118</v>
      </c>
      <c r="J18" s="33">
        <f>T_13_1!J12</f>
        <v>210</v>
      </c>
      <c r="K18" s="23">
        <f t="shared" si="2"/>
        <v>1049</v>
      </c>
      <c r="L18" s="13">
        <f t="shared" si="3"/>
        <v>2612</v>
      </c>
      <c r="M18" s="4"/>
      <c r="N18"/>
      <c r="O18"/>
      <c r="P18"/>
      <c r="Q18"/>
      <c r="R18"/>
      <c r="S18"/>
      <c r="T18"/>
      <c r="U18"/>
      <c r="V18"/>
      <c r="W18"/>
      <c r="X18"/>
    </row>
    <row r="19" spans="1:24" ht="15" customHeight="1" x14ac:dyDescent="0.2">
      <c r="A19" s="825" t="str">
        <f>T_13_1!A13</f>
        <v>2018-19</v>
      </c>
      <c r="B19" s="33">
        <f>T_13_1!B13</f>
        <v>29</v>
      </c>
      <c r="C19" s="33">
        <f>T_13_1!C13</f>
        <v>1612</v>
      </c>
      <c r="D19" s="33">
        <f>T_13_1!D13</f>
        <v>24</v>
      </c>
      <c r="E19" s="33">
        <f>T_13_1!E13</f>
        <v>161</v>
      </c>
      <c r="F19" s="33">
        <f>T_13_1!F13</f>
        <v>25</v>
      </c>
      <c r="G19" s="33">
        <f>T_13_1!G13</f>
        <v>159</v>
      </c>
      <c r="H19" s="33">
        <f>T_13_1!H13</f>
        <v>832</v>
      </c>
      <c r="I19" s="33">
        <f>T_13_1!I13</f>
        <v>124</v>
      </c>
      <c r="J19" s="33">
        <f>T_13_1!J13</f>
        <v>246</v>
      </c>
      <c r="K19" s="23">
        <f t="shared" si="2"/>
        <v>1202</v>
      </c>
      <c r="L19" s="13">
        <f t="shared" si="3"/>
        <v>3212</v>
      </c>
      <c r="M19" s="4"/>
      <c r="N19"/>
      <c r="O19"/>
      <c r="P19"/>
      <c r="Q19"/>
      <c r="R19"/>
      <c r="S19"/>
      <c r="T19"/>
      <c r="U19"/>
      <c r="V19"/>
      <c r="W19"/>
      <c r="X19"/>
    </row>
    <row r="20" spans="1:24" ht="15" customHeight="1" x14ac:dyDescent="0.2">
      <c r="A20" s="5" t="str">
        <f>T_13_1!A14</f>
        <v>2019-20</v>
      </c>
      <c r="B20" s="33">
        <f>T_13_1!B14</f>
        <v>35</v>
      </c>
      <c r="C20" s="33">
        <f>T_13_1!C14</f>
        <v>947</v>
      </c>
      <c r="D20" s="33">
        <f>T_13_1!D14</f>
        <v>21</v>
      </c>
      <c r="E20" s="33">
        <f>T_13_1!E14</f>
        <v>173</v>
      </c>
      <c r="F20" s="33">
        <f>T_13_1!F14</f>
        <v>13</v>
      </c>
      <c r="G20" s="33">
        <f>T_13_1!G14</f>
        <v>90</v>
      </c>
      <c r="H20" s="33">
        <f>T_13_1!H14</f>
        <v>787</v>
      </c>
      <c r="I20" s="33">
        <f>T_13_1!I14</f>
        <v>118</v>
      </c>
      <c r="J20" s="33">
        <f>T_13_1!J14</f>
        <v>254</v>
      </c>
      <c r="K20" s="23">
        <f t="shared" si="2"/>
        <v>1159</v>
      </c>
      <c r="L20" s="13">
        <f t="shared" si="3"/>
        <v>2438</v>
      </c>
      <c r="M20" s="4"/>
      <c r="N20"/>
      <c r="O20"/>
      <c r="P20"/>
      <c r="Q20"/>
      <c r="R20"/>
      <c r="S20"/>
      <c r="T20"/>
      <c r="U20"/>
      <c r="V20"/>
      <c r="W20"/>
      <c r="X20"/>
    </row>
    <row r="21" spans="1:24" ht="15.6" customHeight="1" thickBot="1" x14ac:dyDescent="0.25">
      <c r="A21" s="833" t="str">
        <f>T_13_1!A15</f>
        <v>2020-21</v>
      </c>
      <c r="B21" s="383">
        <f>T_13_1!B15</f>
        <v>34</v>
      </c>
      <c r="C21" s="383">
        <f>T_13_1!C15</f>
        <v>1302</v>
      </c>
      <c r="D21" s="383">
        <f>T_13_1!D15</f>
        <v>26</v>
      </c>
      <c r="E21" s="383">
        <f>T_13_1!E15</f>
        <v>188</v>
      </c>
      <c r="F21" s="383">
        <f>T_13_1!F15</f>
        <v>29</v>
      </c>
      <c r="G21" s="383">
        <f>T_13_1!G15</f>
        <v>284</v>
      </c>
      <c r="H21" s="383">
        <f>T_13_1!H15</f>
        <v>740</v>
      </c>
      <c r="I21" s="383">
        <f>T_13_1!I15</f>
        <v>150</v>
      </c>
      <c r="J21" s="383">
        <f>T_13_1!J15</f>
        <v>320</v>
      </c>
      <c r="K21" s="638">
        <f t="shared" ref="K21" si="4">SUM(H21:J21)</f>
        <v>1210</v>
      </c>
      <c r="L21" s="350">
        <f t="shared" ref="L21" si="5">SUM(B21:J21)</f>
        <v>3073</v>
      </c>
      <c r="M21"/>
      <c r="N21"/>
      <c r="O21"/>
      <c r="P21"/>
      <c r="Q21"/>
      <c r="R21"/>
      <c r="S21"/>
      <c r="T21"/>
      <c r="U21"/>
      <c r="V21"/>
      <c r="W21"/>
      <c r="X21"/>
    </row>
    <row r="22" spans="1:24" ht="15" x14ac:dyDescent="0.2">
      <c r="A22" s="22"/>
      <c r="B22" s="601"/>
      <c r="C22" s="604"/>
      <c r="D22" s="604"/>
      <c r="E22" s="601"/>
      <c r="F22" s="601"/>
      <c r="G22" s="601"/>
      <c r="H22" s="601"/>
      <c r="I22" s="601"/>
      <c r="J22" s="601"/>
      <c r="K22" s="601"/>
      <c r="L22" s="601"/>
      <c r="M22"/>
      <c r="N22"/>
      <c r="O22"/>
      <c r="P22"/>
      <c r="Q22"/>
      <c r="R22"/>
      <c r="S22"/>
      <c r="T22"/>
      <c r="U22"/>
      <c r="V22"/>
      <c r="W22"/>
      <c r="X22"/>
    </row>
    <row r="23" spans="1:24" ht="15" x14ac:dyDescent="0.25">
      <c r="A23" s="22"/>
      <c r="B23" s="13"/>
      <c r="C23" s="13"/>
      <c r="D23" s="13"/>
      <c r="E23" s="13"/>
      <c r="F23" s="13"/>
      <c r="G23" s="13"/>
      <c r="H23" s="13"/>
      <c r="I23" s="13"/>
      <c r="J23" s="13"/>
      <c r="K23" s="23"/>
      <c r="L23" s="83" t="s">
        <v>0</v>
      </c>
      <c r="M23"/>
      <c r="N23"/>
      <c r="O23"/>
      <c r="P23"/>
      <c r="Q23"/>
      <c r="R23"/>
      <c r="S23"/>
      <c r="T23"/>
      <c r="U23"/>
      <c r="V23"/>
      <c r="W23"/>
      <c r="X23"/>
    </row>
    <row r="24" spans="1:24" x14ac:dyDescent="0.2">
      <c r="A24" s="1350" t="s">
        <v>4</v>
      </c>
      <c r="B24" s="1304" t="s">
        <v>131</v>
      </c>
      <c r="C24" s="1305"/>
      <c r="D24" s="1305"/>
      <c r="E24" s="1305"/>
      <c r="F24" s="1305"/>
      <c r="G24" s="1305"/>
      <c r="H24" s="1305"/>
      <c r="I24" s="1305"/>
      <c r="J24" s="1305"/>
      <c r="K24" s="1306"/>
      <c r="L24" s="1352" t="s">
        <v>253</v>
      </c>
      <c r="M24"/>
      <c r="N24"/>
      <c r="O24"/>
      <c r="P24"/>
      <c r="Q24"/>
      <c r="R24"/>
      <c r="S24"/>
      <c r="T24"/>
      <c r="U24"/>
      <c r="V24"/>
      <c r="W24"/>
      <c r="X24"/>
    </row>
    <row r="25" spans="1:24" ht="52.5" customHeight="1" x14ac:dyDescent="0.2">
      <c r="A25" s="1351"/>
      <c r="B25" s="545" t="s">
        <v>93</v>
      </c>
      <c r="C25" s="925" t="s">
        <v>94</v>
      </c>
      <c r="D25" s="546" t="s">
        <v>541</v>
      </c>
      <c r="E25" s="546" t="s">
        <v>536</v>
      </c>
      <c r="F25" s="546" t="s">
        <v>95</v>
      </c>
      <c r="G25" s="547" t="s">
        <v>91</v>
      </c>
      <c r="H25" s="548" t="s">
        <v>545</v>
      </c>
      <c r="I25" s="549" t="s">
        <v>546</v>
      </c>
      <c r="J25" s="550" t="s">
        <v>547</v>
      </c>
      <c r="K25" s="551" t="s">
        <v>266</v>
      </c>
      <c r="L25" s="1353"/>
      <c r="M25"/>
      <c r="N25"/>
      <c r="O25"/>
      <c r="P25"/>
      <c r="Q25"/>
      <c r="R25"/>
      <c r="S25"/>
      <c r="T25"/>
      <c r="U25"/>
      <c r="V25"/>
      <c r="W25"/>
      <c r="X25"/>
    </row>
    <row r="26" spans="1:24" ht="15" customHeight="1" x14ac:dyDescent="0.2">
      <c r="A26" s="378" t="str">
        <f>T_13_1!A4</f>
        <v>2009-10</v>
      </c>
      <c r="B26" s="34">
        <f>T_13_1!L4</f>
        <v>602</v>
      </c>
      <c r="C26" s="34">
        <f>T_13_1!M4</f>
        <v>5225</v>
      </c>
      <c r="D26" s="34">
        <f>T_13_1!N4</f>
        <v>149</v>
      </c>
      <c r="E26" s="34">
        <f>T_13_1!O4</f>
        <v>205</v>
      </c>
      <c r="F26" s="34">
        <f>T_13_1!P4</f>
        <v>113</v>
      </c>
      <c r="G26" s="34">
        <f>T_13_1!Q4</f>
        <v>2271</v>
      </c>
      <c r="H26" s="34">
        <f>T_13_1!R4</f>
        <v>3470</v>
      </c>
      <c r="I26" s="34">
        <f>T_13_1!S4</f>
        <v>678</v>
      </c>
      <c r="J26" s="34">
        <f>T_13_1!T4</f>
        <v>5574</v>
      </c>
      <c r="K26" s="636">
        <f>SUM(H26:J26)</f>
        <v>9722</v>
      </c>
      <c r="L26" s="347">
        <f>SUM(B26:J26)</f>
        <v>18287</v>
      </c>
      <c r="M26" s="4"/>
    </row>
    <row r="27" spans="1:24" ht="15" customHeight="1" x14ac:dyDescent="0.2">
      <c r="A27" s="29" t="str">
        <f>T_13_1!A5</f>
        <v>2010-11</v>
      </c>
      <c r="B27" s="7">
        <f>T_13_1!L5</f>
        <v>693</v>
      </c>
      <c r="C27" s="7">
        <f>T_13_1!M5</f>
        <v>7398</v>
      </c>
      <c r="D27" s="7">
        <f>T_13_1!N5</f>
        <v>101</v>
      </c>
      <c r="E27" s="7">
        <f>T_13_1!O5</f>
        <v>265</v>
      </c>
      <c r="F27" s="7">
        <f>T_13_1!P5</f>
        <v>119</v>
      </c>
      <c r="G27" s="7">
        <f>T_13_1!Q5</f>
        <v>2861</v>
      </c>
      <c r="H27" s="7">
        <f>T_13_1!R5</f>
        <v>4137</v>
      </c>
      <c r="I27" s="7">
        <f>T_13_1!S5</f>
        <v>788</v>
      </c>
      <c r="J27" s="7">
        <f>T_13_1!T5</f>
        <v>5240</v>
      </c>
      <c r="K27" s="23">
        <f t="shared" ref="K27:K32" si="6">SUM(H27:J27)</f>
        <v>10165</v>
      </c>
      <c r="L27" s="13">
        <f t="shared" ref="L27:L32" si="7">SUM(B27:J27)</f>
        <v>21602</v>
      </c>
      <c r="M27" s="4"/>
    </row>
    <row r="28" spans="1:24" ht="15" customHeight="1" x14ac:dyDescent="0.2">
      <c r="A28" s="29" t="str">
        <f>T_13_1!A6</f>
        <v>2011-12</v>
      </c>
      <c r="B28" s="7">
        <f>T_13_1!L6</f>
        <v>587</v>
      </c>
      <c r="C28" s="7">
        <f>T_13_1!M6</f>
        <v>4147</v>
      </c>
      <c r="D28" s="7">
        <f>T_13_1!N6</f>
        <v>86</v>
      </c>
      <c r="E28" s="7">
        <f>T_13_1!O6</f>
        <v>231</v>
      </c>
      <c r="F28" s="7">
        <f>T_13_1!P6</f>
        <v>77</v>
      </c>
      <c r="G28" s="7">
        <f>T_13_1!Q6</f>
        <v>2099</v>
      </c>
      <c r="H28" s="7">
        <f>T_13_1!R6</f>
        <v>3894</v>
      </c>
      <c r="I28" s="7">
        <f>T_13_1!S6</f>
        <v>625</v>
      </c>
      <c r="J28" s="7">
        <f>T_13_1!T6</f>
        <v>4452</v>
      </c>
      <c r="K28" s="23">
        <f t="shared" si="6"/>
        <v>8971</v>
      </c>
      <c r="L28" s="13">
        <f t="shared" si="7"/>
        <v>16198</v>
      </c>
      <c r="M28" s="4"/>
    </row>
    <row r="29" spans="1:24" ht="15" customHeight="1" x14ac:dyDescent="0.2">
      <c r="A29" s="29" t="str">
        <f>T_13_1!A7</f>
        <v>2012-13</v>
      </c>
      <c r="B29" s="7">
        <f>T_13_1!L7</f>
        <v>438</v>
      </c>
      <c r="C29" s="7">
        <f>T_13_1!M7</f>
        <v>2666</v>
      </c>
      <c r="D29" s="7">
        <f>T_13_1!N7</f>
        <v>47</v>
      </c>
      <c r="E29" s="7">
        <f>T_13_1!O7</f>
        <v>191</v>
      </c>
      <c r="F29" s="7">
        <f>T_13_1!P7</f>
        <v>55</v>
      </c>
      <c r="G29" s="7">
        <f>T_13_1!Q7</f>
        <v>1762</v>
      </c>
      <c r="H29" s="7">
        <f>T_13_1!R7</f>
        <v>3194</v>
      </c>
      <c r="I29" s="7">
        <f>T_13_1!S7</f>
        <v>548</v>
      </c>
      <c r="J29" s="7">
        <f>T_13_1!T7</f>
        <v>3351</v>
      </c>
      <c r="K29" s="23">
        <f t="shared" si="6"/>
        <v>7093</v>
      </c>
      <c r="L29" s="13">
        <f t="shared" si="7"/>
        <v>12252</v>
      </c>
      <c r="M29" s="4"/>
    </row>
    <row r="30" spans="1:24" ht="15" customHeight="1" x14ac:dyDescent="0.2">
      <c r="A30" s="29" t="str">
        <f>T_13_1!A8</f>
        <v>2013-14</v>
      </c>
      <c r="B30" s="7">
        <f>T_13_1!L8</f>
        <v>350</v>
      </c>
      <c r="C30" s="7">
        <f>T_13_1!M8</f>
        <v>4697</v>
      </c>
      <c r="D30" s="7">
        <f>T_13_1!N8</f>
        <v>38</v>
      </c>
      <c r="E30" s="7">
        <f>T_13_1!O8</f>
        <v>189</v>
      </c>
      <c r="F30" s="7">
        <f>T_13_1!P8</f>
        <v>58</v>
      </c>
      <c r="G30" s="7">
        <f>T_13_1!Q8</f>
        <v>1625</v>
      </c>
      <c r="H30" s="7">
        <f>T_13_1!R8</f>
        <v>2831</v>
      </c>
      <c r="I30" s="7">
        <f>T_13_1!S8</f>
        <v>522</v>
      </c>
      <c r="J30" s="7">
        <f>T_13_1!T8</f>
        <v>3137</v>
      </c>
      <c r="K30" s="23">
        <f t="shared" si="6"/>
        <v>6490</v>
      </c>
      <c r="L30" s="13">
        <f t="shared" si="7"/>
        <v>13447</v>
      </c>
      <c r="M30" s="4"/>
    </row>
    <row r="31" spans="1:24" ht="15" customHeight="1" x14ac:dyDescent="0.2">
      <c r="A31" s="29" t="str">
        <f>T_13_1!A9</f>
        <v>2014-15</v>
      </c>
      <c r="B31" s="7">
        <f>T_13_1!L9</f>
        <v>306</v>
      </c>
      <c r="C31" s="7">
        <f>T_13_1!M9</f>
        <v>3030</v>
      </c>
      <c r="D31" s="7">
        <f>T_13_1!N9</f>
        <v>44</v>
      </c>
      <c r="E31" s="7">
        <f>T_13_1!O9</f>
        <v>178</v>
      </c>
      <c r="F31" s="7">
        <f>T_13_1!P9</f>
        <v>40</v>
      </c>
      <c r="G31" s="7">
        <f>T_13_1!Q9</f>
        <v>1521</v>
      </c>
      <c r="H31" s="7">
        <f>T_13_1!R9</f>
        <v>2712</v>
      </c>
      <c r="I31" s="7">
        <f>T_13_1!S9</f>
        <v>411</v>
      </c>
      <c r="J31" s="7">
        <f>T_13_1!T9</f>
        <v>2925</v>
      </c>
      <c r="K31" s="23">
        <f t="shared" si="6"/>
        <v>6048</v>
      </c>
      <c r="L31" s="13">
        <f t="shared" si="7"/>
        <v>11167</v>
      </c>
      <c r="M31" s="4"/>
    </row>
    <row r="32" spans="1:24" ht="15" customHeight="1" x14ac:dyDescent="0.2">
      <c r="A32" s="825" t="str">
        <f>T_13_1!A10</f>
        <v>2015-16</v>
      </c>
      <c r="B32" s="7">
        <f>T_13_1!L10</f>
        <v>326</v>
      </c>
      <c r="C32" s="7">
        <f>T_13_1!M10</f>
        <v>3702</v>
      </c>
      <c r="D32" s="7">
        <f>T_13_1!N10</f>
        <v>50</v>
      </c>
      <c r="E32" s="7">
        <f>T_13_1!O10</f>
        <v>190</v>
      </c>
      <c r="F32" s="7">
        <f>T_13_1!P10</f>
        <v>51</v>
      </c>
      <c r="G32" s="7">
        <f>T_13_1!Q10</f>
        <v>1725</v>
      </c>
      <c r="H32" s="7">
        <f>T_13_1!R10</f>
        <v>2865</v>
      </c>
      <c r="I32" s="7">
        <f>T_13_1!S10</f>
        <v>453</v>
      </c>
      <c r="J32" s="7">
        <f>T_13_1!T10</f>
        <v>2916</v>
      </c>
      <c r="K32" s="23">
        <f t="shared" si="6"/>
        <v>6234</v>
      </c>
      <c r="L32" s="13">
        <f t="shared" si="7"/>
        <v>12278</v>
      </c>
      <c r="M32" s="4"/>
      <c r="N32" s="9"/>
    </row>
    <row r="33" spans="1:14" ht="15" customHeight="1" x14ac:dyDescent="0.2">
      <c r="A33" s="825" t="str">
        <f>T_13_1!A11</f>
        <v>2016-17</v>
      </c>
      <c r="B33" s="7">
        <f>T_13_1!L11</f>
        <v>262</v>
      </c>
      <c r="C33" s="7">
        <f>T_13_1!M11</f>
        <v>3991</v>
      </c>
      <c r="D33" s="7">
        <f>T_13_1!N11</f>
        <v>45</v>
      </c>
      <c r="E33" s="7">
        <f>T_13_1!O11</f>
        <v>220</v>
      </c>
      <c r="F33" s="7">
        <f>T_13_1!P11</f>
        <v>47</v>
      </c>
      <c r="G33" s="7">
        <f>T_13_1!Q11</f>
        <v>1833</v>
      </c>
      <c r="H33" s="7">
        <f>T_13_1!R11</f>
        <v>3122</v>
      </c>
      <c r="I33" s="7">
        <f>T_13_1!S11</f>
        <v>426</v>
      </c>
      <c r="J33" s="7">
        <f>T_13_1!T11</f>
        <v>3247</v>
      </c>
      <c r="K33" s="23">
        <f t="shared" ref="K33:K36" si="8">SUM(H33:J33)</f>
        <v>6795</v>
      </c>
      <c r="L33" s="13">
        <f t="shared" ref="L33:L36" si="9">SUM(B33:J33)</f>
        <v>13193</v>
      </c>
      <c r="M33" s="4"/>
      <c r="N33" s="9"/>
    </row>
    <row r="34" spans="1:14" ht="15" customHeight="1" x14ac:dyDescent="0.2">
      <c r="A34" s="825" t="str">
        <f>T_13_1!A12</f>
        <v>2017-18</v>
      </c>
      <c r="B34" s="7">
        <f>T_13_1!L12</f>
        <v>266</v>
      </c>
      <c r="C34" s="7">
        <f>T_13_1!M12</f>
        <v>3937</v>
      </c>
      <c r="D34" s="7">
        <f>T_13_1!N12</f>
        <v>52</v>
      </c>
      <c r="E34" s="7">
        <f>T_13_1!O12</f>
        <v>242</v>
      </c>
      <c r="F34" s="7">
        <f>T_13_1!P12</f>
        <v>44</v>
      </c>
      <c r="G34" s="7">
        <f>T_13_1!Q12</f>
        <v>1721</v>
      </c>
      <c r="H34" s="7">
        <f>T_13_1!R12</f>
        <v>2724</v>
      </c>
      <c r="I34" s="7">
        <f>T_13_1!S12</f>
        <v>387</v>
      </c>
      <c r="J34" s="7">
        <f>T_13_1!T12</f>
        <v>2743</v>
      </c>
      <c r="K34" s="23">
        <f t="shared" si="8"/>
        <v>5854</v>
      </c>
      <c r="L34" s="13">
        <f t="shared" si="9"/>
        <v>12116</v>
      </c>
      <c r="M34" s="4"/>
      <c r="N34" s="9"/>
    </row>
    <row r="35" spans="1:14" ht="15" customHeight="1" x14ac:dyDescent="0.2">
      <c r="A35" s="825" t="str">
        <f>T_13_1!A13</f>
        <v>2018-19</v>
      </c>
      <c r="B35" s="7">
        <f>T_13_1!L13</f>
        <v>193</v>
      </c>
      <c r="C35" s="7">
        <f>T_13_1!M13</f>
        <v>4585</v>
      </c>
      <c r="D35" s="7">
        <f>T_13_1!N13</f>
        <v>53</v>
      </c>
      <c r="E35" s="7">
        <f>T_13_1!O13</f>
        <v>186</v>
      </c>
      <c r="F35" s="7">
        <f>T_13_1!P13</f>
        <v>42</v>
      </c>
      <c r="G35" s="7">
        <f>T_13_1!Q13</f>
        <v>1262</v>
      </c>
      <c r="H35" s="7">
        <f>T_13_1!R13</f>
        <v>2735</v>
      </c>
      <c r="I35" s="7">
        <f>T_13_1!S13</f>
        <v>328</v>
      </c>
      <c r="J35" s="7">
        <f>T_13_1!T13</f>
        <v>3101</v>
      </c>
      <c r="K35" s="23">
        <f t="shared" si="8"/>
        <v>6164</v>
      </c>
      <c r="L35" s="13">
        <f t="shared" si="9"/>
        <v>12485</v>
      </c>
      <c r="M35" s="4"/>
      <c r="N35" s="9"/>
    </row>
    <row r="36" spans="1:14" ht="15" customHeight="1" x14ac:dyDescent="0.2">
      <c r="A36" s="5" t="str">
        <f>T_13_1!A14</f>
        <v>2019-20</v>
      </c>
      <c r="B36" s="7">
        <f>T_13_1!L14</f>
        <v>230</v>
      </c>
      <c r="C36" s="7">
        <f>T_13_1!M14</f>
        <v>3440</v>
      </c>
      <c r="D36" s="7">
        <f>T_13_1!N14</f>
        <v>56</v>
      </c>
      <c r="E36" s="7">
        <f>T_13_1!O14</f>
        <v>196</v>
      </c>
      <c r="F36" s="7">
        <f>T_13_1!P14</f>
        <v>46</v>
      </c>
      <c r="G36" s="7">
        <f>T_13_1!Q14</f>
        <v>891</v>
      </c>
      <c r="H36" s="7">
        <f>T_13_1!R14</f>
        <v>2976</v>
      </c>
      <c r="I36" s="7">
        <f>T_13_1!S14</f>
        <v>329</v>
      </c>
      <c r="J36" s="7">
        <f>T_13_1!T14</f>
        <v>3488</v>
      </c>
      <c r="K36" s="23">
        <f t="shared" si="8"/>
        <v>6793</v>
      </c>
      <c r="L36" s="13">
        <f t="shared" si="9"/>
        <v>11652</v>
      </c>
      <c r="M36" s="4"/>
      <c r="N36" s="9"/>
    </row>
    <row r="37" spans="1:14" ht="15.6" customHeight="1" thickBot="1" x14ac:dyDescent="0.25">
      <c r="A37" s="833" t="str">
        <f>T_13_1!A15</f>
        <v>2020-21</v>
      </c>
      <c r="B37" s="631">
        <f>T_13_1!L15</f>
        <v>151</v>
      </c>
      <c r="C37" s="631">
        <f>T_13_1!M15</f>
        <v>3725</v>
      </c>
      <c r="D37" s="631">
        <f>T_13_1!N15</f>
        <v>69</v>
      </c>
      <c r="E37" s="631">
        <f>T_13_1!O15</f>
        <v>163</v>
      </c>
      <c r="F37" s="631">
        <f>T_13_1!P15</f>
        <v>72</v>
      </c>
      <c r="G37" s="631">
        <f>T_13_1!Q15</f>
        <v>1657</v>
      </c>
      <c r="H37" s="631">
        <f>T_13_1!R15</f>
        <v>2642</v>
      </c>
      <c r="I37" s="631">
        <f>T_13_1!S15</f>
        <v>291</v>
      </c>
      <c r="J37" s="631">
        <f>T_13_1!T15</f>
        <v>3287</v>
      </c>
      <c r="K37" s="638">
        <f t="shared" ref="K37" si="10">SUM(H37:J37)</f>
        <v>6220</v>
      </c>
      <c r="L37" s="350">
        <f t="shared" ref="L37" si="11">SUM(B37:J37)</f>
        <v>12057</v>
      </c>
      <c r="N37" s="9"/>
    </row>
    <row r="38" spans="1:14" x14ac:dyDescent="0.2">
      <c r="A38" s="5"/>
    </row>
    <row r="39" spans="1:14" x14ac:dyDescent="0.2">
      <c r="A39" s="1328"/>
      <c r="B39" s="1328"/>
    </row>
    <row r="40" spans="1:14" x14ac:dyDescent="0.2">
      <c r="A40" s="31"/>
    </row>
    <row r="41" spans="1:14" x14ac:dyDescent="0.2">
      <c r="A41" s="1299"/>
      <c r="B41" s="1299"/>
      <c r="C41" s="1299"/>
      <c r="D41" s="1299"/>
      <c r="E41" s="1299"/>
      <c r="F41" s="1299"/>
      <c r="G41" s="1299"/>
      <c r="H41" s="1299"/>
    </row>
    <row r="42" spans="1:14" x14ac:dyDescent="0.2">
      <c r="A42" s="18"/>
    </row>
  </sheetData>
  <sheetProtection algorithmName="SHA-512" hashValue="s6zpjhz2U8GzU7QD8cO2kWYlGZT7T7bF3vxGO2fRPOZdLes+worGyC6paBcggWsermIvGrF7bTqDTbaeGgSvQQ==" saltValue="FRupDPPqrYtnYJEJDVJpgQ==" spinCount="100000" sheet="1" scenarios="1" formatCells="0" formatColumns="0" formatRows="0" sort="0" autoFilter="0" pivotTables="0"/>
  <mergeCells count="8">
    <mergeCell ref="A41:H41"/>
    <mergeCell ref="A39:B39"/>
    <mergeCell ref="A8:A9"/>
    <mergeCell ref="B8:K8"/>
    <mergeCell ref="L8:L9"/>
    <mergeCell ref="B24:K24"/>
    <mergeCell ref="L24:L25"/>
    <mergeCell ref="A24:A25"/>
  </mergeCells>
  <hyperlinks>
    <hyperlink ref="A2" location="'Table of Contents'!A1" display="Back to Table of Contents" xr:uid="{00000000-0004-0000-4700-000000000000}"/>
  </hyperlinks>
  <pageMargins left="0.70866141732283472" right="0.70866141732283472" top="0.74803149606299213" bottom="0.74803149606299213" header="0.31496062992125984" footer="0.31496062992125984"/>
  <pageSetup paperSize="9" scale="58" orientation="portrait" r:id="rId1"/>
  <headerFooter>
    <oddFooter>&amp;L&amp;P&amp;C&amp;A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26">
    <tabColor rgb="FFFFAFF0"/>
    <pageSetUpPr fitToPage="1"/>
  </sheetPr>
  <dimension ref="A1:AA86"/>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6.85546875" style="1" customWidth="1"/>
    <col min="2" max="2" width="23.42578125" style="1" customWidth="1"/>
    <col min="3" max="3" width="9" style="1" customWidth="1"/>
    <col min="4" max="4" width="10.85546875" style="1" customWidth="1"/>
    <col min="5" max="5" width="12.28515625" style="1" customWidth="1"/>
    <col min="6" max="8" width="10.42578125" style="1" customWidth="1"/>
    <col min="9" max="9" width="14.28515625" style="1" customWidth="1"/>
    <col min="10" max="10" width="15.7109375" style="1" customWidth="1"/>
    <col min="11" max="11" width="10" style="1" customWidth="1"/>
    <col min="12" max="13" width="10.42578125" style="1" customWidth="1"/>
    <col min="14" max="257" width="9.140625" style="1"/>
    <col min="258" max="258" width="22.5703125" style="1" customWidth="1"/>
    <col min="259" max="259" width="9" style="1" customWidth="1"/>
    <col min="260" max="260" width="10.85546875" style="1" customWidth="1"/>
    <col min="261" max="261" width="12.28515625" style="1" customWidth="1"/>
    <col min="262" max="264" width="10.42578125" style="1" customWidth="1"/>
    <col min="265" max="265" width="13.5703125" style="1" customWidth="1"/>
    <col min="266" max="266" width="13.28515625" style="1" customWidth="1"/>
    <col min="267" max="267" width="12.140625" style="1" customWidth="1"/>
    <col min="268" max="269" width="10.42578125" style="1" customWidth="1"/>
    <col min="270" max="513" width="9.140625" style="1"/>
    <col min="514" max="514" width="22.5703125" style="1" customWidth="1"/>
    <col min="515" max="515" width="9" style="1" customWidth="1"/>
    <col min="516" max="516" width="10.85546875" style="1" customWidth="1"/>
    <col min="517" max="517" width="12.28515625" style="1" customWidth="1"/>
    <col min="518" max="520" width="10.42578125" style="1" customWidth="1"/>
    <col min="521" max="521" width="13.5703125" style="1" customWidth="1"/>
    <col min="522" max="522" width="13.28515625" style="1" customWidth="1"/>
    <col min="523" max="523" width="12.140625" style="1" customWidth="1"/>
    <col min="524" max="525" width="10.42578125" style="1" customWidth="1"/>
    <col min="526" max="769" width="9.140625" style="1"/>
    <col min="770" max="770" width="22.5703125" style="1" customWidth="1"/>
    <col min="771" max="771" width="9" style="1" customWidth="1"/>
    <col min="772" max="772" width="10.85546875" style="1" customWidth="1"/>
    <col min="773" max="773" width="12.28515625" style="1" customWidth="1"/>
    <col min="774" max="776" width="10.42578125" style="1" customWidth="1"/>
    <col min="777" max="777" width="13.5703125" style="1" customWidth="1"/>
    <col min="778" max="778" width="13.28515625" style="1" customWidth="1"/>
    <col min="779" max="779" width="12.140625" style="1" customWidth="1"/>
    <col min="780" max="781" width="10.42578125" style="1" customWidth="1"/>
    <col min="782" max="1025" width="9.140625" style="1"/>
    <col min="1026" max="1026" width="22.5703125" style="1" customWidth="1"/>
    <col min="1027" max="1027" width="9" style="1" customWidth="1"/>
    <col min="1028" max="1028" width="10.85546875" style="1" customWidth="1"/>
    <col min="1029" max="1029" width="12.28515625" style="1" customWidth="1"/>
    <col min="1030" max="1032" width="10.42578125" style="1" customWidth="1"/>
    <col min="1033" max="1033" width="13.5703125" style="1" customWidth="1"/>
    <col min="1034" max="1034" width="13.28515625" style="1" customWidth="1"/>
    <col min="1035" max="1035" width="12.140625" style="1" customWidth="1"/>
    <col min="1036" max="1037" width="10.42578125" style="1" customWidth="1"/>
    <col min="1038" max="1281" width="9.140625" style="1"/>
    <col min="1282" max="1282" width="22.5703125" style="1" customWidth="1"/>
    <col min="1283" max="1283" width="9" style="1" customWidth="1"/>
    <col min="1284" max="1284" width="10.85546875" style="1" customWidth="1"/>
    <col min="1285" max="1285" width="12.28515625" style="1" customWidth="1"/>
    <col min="1286" max="1288" width="10.42578125" style="1" customWidth="1"/>
    <col min="1289" max="1289" width="13.5703125" style="1" customWidth="1"/>
    <col min="1290" max="1290" width="13.28515625" style="1" customWidth="1"/>
    <col min="1291" max="1291" width="12.140625" style="1" customWidth="1"/>
    <col min="1292" max="1293" width="10.42578125" style="1" customWidth="1"/>
    <col min="1294" max="1537" width="9.140625" style="1"/>
    <col min="1538" max="1538" width="22.5703125" style="1" customWidth="1"/>
    <col min="1539" max="1539" width="9" style="1" customWidth="1"/>
    <col min="1540" max="1540" width="10.85546875" style="1" customWidth="1"/>
    <col min="1541" max="1541" width="12.28515625" style="1" customWidth="1"/>
    <col min="1542" max="1544" width="10.42578125" style="1" customWidth="1"/>
    <col min="1545" max="1545" width="13.5703125" style="1" customWidth="1"/>
    <col min="1546" max="1546" width="13.28515625" style="1" customWidth="1"/>
    <col min="1547" max="1547" width="12.140625" style="1" customWidth="1"/>
    <col min="1548" max="1549" width="10.42578125" style="1" customWidth="1"/>
    <col min="1550" max="1793" width="9.140625" style="1"/>
    <col min="1794" max="1794" width="22.5703125" style="1" customWidth="1"/>
    <col min="1795" max="1795" width="9" style="1" customWidth="1"/>
    <col min="1796" max="1796" width="10.85546875" style="1" customWidth="1"/>
    <col min="1797" max="1797" width="12.28515625" style="1" customWidth="1"/>
    <col min="1798" max="1800" width="10.42578125" style="1" customWidth="1"/>
    <col min="1801" max="1801" width="13.5703125" style="1" customWidth="1"/>
    <col min="1802" max="1802" width="13.28515625" style="1" customWidth="1"/>
    <col min="1803" max="1803" width="12.140625" style="1" customWidth="1"/>
    <col min="1804" max="1805" width="10.42578125" style="1" customWidth="1"/>
    <col min="1806" max="2049" width="9.140625" style="1"/>
    <col min="2050" max="2050" width="22.5703125" style="1" customWidth="1"/>
    <col min="2051" max="2051" width="9" style="1" customWidth="1"/>
    <col min="2052" max="2052" width="10.85546875" style="1" customWidth="1"/>
    <col min="2053" max="2053" width="12.28515625" style="1" customWidth="1"/>
    <col min="2054" max="2056" width="10.42578125" style="1" customWidth="1"/>
    <col min="2057" max="2057" width="13.5703125" style="1" customWidth="1"/>
    <col min="2058" max="2058" width="13.28515625" style="1" customWidth="1"/>
    <col min="2059" max="2059" width="12.140625" style="1" customWidth="1"/>
    <col min="2060" max="2061" width="10.42578125" style="1" customWidth="1"/>
    <col min="2062" max="2305" width="9.140625" style="1"/>
    <col min="2306" max="2306" width="22.5703125" style="1" customWidth="1"/>
    <col min="2307" max="2307" width="9" style="1" customWidth="1"/>
    <col min="2308" max="2308" width="10.85546875" style="1" customWidth="1"/>
    <col min="2309" max="2309" width="12.28515625" style="1" customWidth="1"/>
    <col min="2310" max="2312" width="10.42578125" style="1" customWidth="1"/>
    <col min="2313" max="2313" width="13.5703125" style="1" customWidth="1"/>
    <col min="2314" max="2314" width="13.28515625" style="1" customWidth="1"/>
    <col min="2315" max="2315" width="12.140625" style="1" customWidth="1"/>
    <col min="2316" max="2317" width="10.42578125" style="1" customWidth="1"/>
    <col min="2318" max="2561" width="9.140625" style="1"/>
    <col min="2562" max="2562" width="22.5703125" style="1" customWidth="1"/>
    <col min="2563" max="2563" width="9" style="1" customWidth="1"/>
    <col min="2564" max="2564" width="10.85546875" style="1" customWidth="1"/>
    <col min="2565" max="2565" width="12.28515625" style="1" customWidth="1"/>
    <col min="2566" max="2568" width="10.42578125" style="1" customWidth="1"/>
    <col min="2569" max="2569" width="13.5703125" style="1" customWidth="1"/>
    <col min="2570" max="2570" width="13.28515625" style="1" customWidth="1"/>
    <col min="2571" max="2571" width="12.140625" style="1" customWidth="1"/>
    <col min="2572" max="2573" width="10.42578125" style="1" customWidth="1"/>
    <col min="2574" max="2817" width="9.140625" style="1"/>
    <col min="2818" max="2818" width="22.5703125" style="1" customWidth="1"/>
    <col min="2819" max="2819" width="9" style="1" customWidth="1"/>
    <col min="2820" max="2820" width="10.85546875" style="1" customWidth="1"/>
    <col min="2821" max="2821" width="12.28515625" style="1" customWidth="1"/>
    <col min="2822" max="2824" width="10.42578125" style="1" customWidth="1"/>
    <col min="2825" max="2825" width="13.5703125" style="1" customWidth="1"/>
    <col min="2826" max="2826" width="13.28515625" style="1" customWidth="1"/>
    <col min="2827" max="2827" width="12.140625" style="1" customWidth="1"/>
    <col min="2828" max="2829" width="10.42578125" style="1" customWidth="1"/>
    <col min="2830" max="3073" width="9.140625" style="1"/>
    <col min="3074" max="3074" width="22.5703125" style="1" customWidth="1"/>
    <col min="3075" max="3075" width="9" style="1" customWidth="1"/>
    <col min="3076" max="3076" width="10.85546875" style="1" customWidth="1"/>
    <col min="3077" max="3077" width="12.28515625" style="1" customWidth="1"/>
    <col min="3078" max="3080" width="10.42578125" style="1" customWidth="1"/>
    <col min="3081" max="3081" width="13.5703125" style="1" customWidth="1"/>
    <col min="3082" max="3082" width="13.28515625" style="1" customWidth="1"/>
    <col min="3083" max="3083" width="12.140625" style="1" customWidth="1"/>
    <col min="3084" max="3085" width="10.42578125" style="1" customWidth="1"/>
    <col min="3086" max="3329" width="9.140625" style="1"/>
    <col min="3330" max="3330" width="22.5703125" style="1" customWidth="1"/>
    <col min="3331" max="3331" width="9" style="1" customWidth="1"/>
    <col min="3332" max="3332" width="10.85546875" style="1" customWidth="1"/>
    <col min="3333" max="3333" width="12.28515625" style="1" customWidth="1"/>
    <col min="3334" max="3336" width="10.42578125" style="1" customWidth="1"/>
    <col min="3337" max="3337" width="13.5703125" style="1" customWidth="1"/>
    <col min="3338" max="3338" width="13.28515625" style="1" customWidth="1"/>
    <col min="3339" max="3339" width="12.140625" style="1" customWidth="1"/>
    <col min="3340" max="3341" width="10.42578125" style="1" customWidth="1"/>
    <col min="3342" max="3585" width="9.140625" style="1"/>
    <col min="3586" max="3586" width="22.5703125" style="1" customWidth="1"/>
    <col min="3587" max="3587" width="9" style="1" customWidth="1"/>
    <col min="3588" max="3588" width="10.85546875" style="1" customWidth="1"/>
    <col min="3589" max="3589" width="12.28515625" style="1" customWidth="1"/>
    <col min="3590" max="3592" width="10.42578125" style="1" customWidth="1"/>
    <col min="3593" max="3593" width="13.5703125" style="1" customWidth="1"/>
    <col min="3594" max="3594" width="13.28515625" style="1" customWidth="1"/>
    <col min="3595" max="3595" width="12.140625" style="1" customWidth="1"/>
    <col min="3596" max="3597" width="10.42578125" style="1" customWidth="1"/>
    <col min="3598" max="3841" width="9.140625" style="1"/>
    <col min="3842" max="3842" width="22.5703125" style="1" customWidth="1"/>
    <col min="3843" max="3843" width="9" style="1" customWidth="1"/>
    <col min="3844" max="3844" width="10.85546875" style="1" customWidth="1"/>
    <col min="3845" max="3845" width="12.28515625" style="1" customWidth="1"/>
    <col min="3846" max="3848" width="10.42578125" style="1" customWidth="1"/>
    <col min="3849" max="3849" width="13.5703125" style="1" customWidth="1"/>
    <col min="3850" max="3850" width="13.28515625" style="1" customWidth="1"/>
    <col min="3851" max="3851" width="12.140625" style="1" customWidth="1"/>
    <col min="3852" max="3853" width="10.42578125" style="1" customWidth="1"/>
    <col min="3854" max="4097" width="9.140625" style="1"/>
    <col min="4098" max="4098" width="22.5703125" style="1" customWidth="1"/>
    <col min="4099" max="4099" width="9" style="1" customWidth="1"/>
    <col min="4100" max="4100" width="10.85546875" style="1" customWidth="1"/>
    <col min="4101" max="4101" width="12.28515625" style="1" customWidth="1"/>
    <col min="4102" max="4104" width="10.42578125" style="1" customWidth="1"/>
    <col min="4105" max="4105" width="13.5703125" style="1" customWidth="1"/>
    <col min="4106" max="4106" width="13.28515625" style="1" customWidth="1"/>
    <col min="4107" max="4107" width="12.140625" style="1" customWidth="1"/>
    <col min="4108" max="4109" width="10.42578125" style="1" customWidth="1"/>
    <col min="4110" max="4353" width="9.140625" style="1"/>
    <col min="4354" max="4354" width="22.5703125" style="1" customWidth="1"/>
    <col min="4355" max="4355" width="9" style="1" customWidth="1"/>
    <col min="4356" max="4356" width="10.85546875" style="1" customWidth="1"/>
    <col min="4357" max="4357" width="12.28515625" style="1" customWidth="1"/>
    <col min="4358" max="4360" width="10.42578125" style="1" customWidth="1"/>
    <col min="4361" max="4361" width="13.5703125" style="1" customWidth="1"/>
    <col min="4362" max="4362" width="13.28515625" style="1" customWidth="1"/>
    <col min="4363" max="4363" width="12.140625" style="1" customWidth="1"/>
    <col min="4364" max="4365" width="10.42578125" style="1" customWidth="1"/>
    <col min="4366" max="4609" width="9.140625" style="1"/>
    <col min="4610" max="4610" width="22.5703125" style="1" customWidth="1"/>
    <col min="4611" max="4611" width="9" style="1" customWidth="1"/>
    <col min="4612" max="4612" width="10.85546875" style="1" customWidth="1"/>
    <col min="4613" max="4613" width="12.28515625" style="1" customWidth="1"/>
    <col min="4614" max="4616" width="10.42578125" style="1" customWidth="1"/>
    <col min="4617" max="4617" width="13.5703125" style="1" customWidth="1"/>
    <col min="4618" max="4618" width="13.28515625" style="1" customWidth="1"/>
    <col min="4619" max="4619" width="12.140625" style="1" customWidth="1"/>
    <col min="4620" max="4621" width="10.42578125" style="1" customWidth="1"/>
    <col min="4622" max="4865" width="9.140625" style="1"/>
    <col min="4866" max="4866" width="22.5703125" style="1" customWidth="1"/>
    <col min="4867" max="4867" width="9" style="1" customWidth="1"/>
    <col min="4868" max="4868" width="10.85546875" style="1" customWidth="1"/>
    <col min="4869" max="4869" width="12.28515625" style="1" customWidth="1"/>
    <col min="4870" max="4872" width="10.42578125" style="1" customWidth="1"/>
    <col min="4873" max="4873" width="13.5703125" style="1" customWidth="1"/>
    <col min="4874" max="4874" width="13.28515625" style="1" customWidth="1"/>
    <col min="4875" max="4875" width="12.140625" style="1" customWidth="1"/>
    <col min="4876" max="4877" width="10.42578125" style="1" customWidth="1"/>
    <col min="4878" max="5121" width="9.140625" style="1"/>
    <col min="5122" max="5122" width="22.5703125" style="1" customWidth="1"/>
    <col min="5123" max="5123" width="9" style="1" customWidth="1"/>
    <col min="5124" max="5124" width="10.85546875" style="1" customWidth="1"/>
    <col min="5125" max="5125" width="12.28515625" style="1" customWidth="1"/>
    <col min="5126" max="5128" width="10.42578125" style="1" customWidth="1"/>
    <col min="5129" max="5129" width="13.5703125" style="1" customWidth="1"/>
    <col min="5130" max="5130" width="13.28515625" style="1" customWidth="1"/>
    <col min="5131" max="5131" width="12.140625" style="1" customWidth="1"/>
    <col min="5132" max="5133" width="10.42578125" style="1" customWidth="1"/>
    <col min="5134" max="5377" width="9.140625" style="1"/>
    <col min="5378" max="5378" width="22.5703125" style="1" customWidth="1"/>
    <col min="5379" max="5379" width="9" style="1" customWidth="1"/>
    <col min="5380" max="5380" width="10.85546875" style="1" customWidth="1"/>
    <col min="5381" max="5381" width="12.28515625" style="1" customWidth="1"/>
    <col min="5382" max="5384" width="10.42578125" style="1" customWidth="1"/>
    <col min="5385" max="5385" width="13.5703125" style="1" customWidth="1"/>
    <col min="5386" max="5386" width="13.28515625" style="1" customWidth="1"/>
    <col min="5387" max="5387" width="12.140625" style="1" customWidth="1"/>
    <col min="5388" max="5389" width="10.42578125" style="1" customWidth="1"/>
    <col min="5390" max="5633" width="9.140625" style="1"/>
    <col min="5634" max="5634" width="22.5703125" style="1" customWidth="1"/>
    <col min="5635" max="5635" width="9" style="1" customWidth="1"/>
    <col min="5636" max="5636" width="10.85546875" style="1" customWidth="1"/>
    <col min="5637" max="5637" width="12.28515625" style="1" customWidth="1"/>
    <col min="5638" max="5640" width="10.42578125" style="1" customWidth="1"/>
    <col min="5641" max="5641" width="13.5703125" style="1" customWidth="1"/>
    <col min="5642" max="5642" width="13.28515625" style="1" customWidth="1"/>
    <col min="5643" max="5643" width="12.140625" style="1" customWidth="1"/>
    <col min="5644" max="5645" width="10.42578125" style="1" customWidth="1"/>
    <col min="5646" max="5889" width="9.140625" style="1"/>
    <col min="5890" max="5890" width="22.5703125" style="1" customWidth="1"/>
    <col min="5891" max="5891" width="9" style="1" customWidth="1"/>
    <col min="5892" max="5892" width="10.85546875" style="1" customWidth="1"/>
    <col min="5893" max="5893" width="12.28515625" style="1" customWidth="1"/>
    <col min="5894" max="5896" width="10.42578125" style="1" customWidth="1"/>
    <col min="5897" max="5897" width="13.5703125" style="1" customWidth="1"/>
    <col min="5898" max="5898" width="13.28515625" style="1" customWidth="1"/>
    <col min="5899" max="5899" width="12.140625" style="1" customWidth="1"/>
    <col min="5900" max="5901" width="10.42578125" style="1" customWidth="1"/>
    <col min="5902" max="6145" width="9.140625" style="1"/>
    <col min="6146" max="6146" width="22.5703125" style="1" customWidth="1"/>
    <col min="6147" max="6147" width="9" style="1" customWidth="1"/>
    <col min="6148" max="6148" width="10.85546875" style="1" customWidth="1"/>
    <col min="6149" max="6149" width="12.28515625" style="1" customWidth="1"/>
    <col min="6150" max="6152" width="10.42578125" style="1" customWidth="1"/>
    <col min="6153" max="6153" width="13.5703125" style="1" customWidth="1"/>
    <col min="6154" max="6154" width="13.28515625" style="1" customWidth="1"/>
    <col min="6155" max="6155" width="12.140625" style="1" customWidth="1"/>
    <col min="6156" max="6157" width="10.42578125" style="1" customWidth="1"/>
    <col min="6158" max="6401" width="9.140625" style="1"/>
    <col min="6402" max="6402" width="22.5703125" style="1" customWidth="1"/>
    <col min="6403" max="6403" width="9" style="1" customWidth="1"/>
    <col min="6404" max="6404" width="10.85546875" style="1" customWidth="1"/>
    <col min="6405" max="6405" width="12.28515625" style="1" customWidth="1"/>
    <col min="6406" max="6408" width="10.42578125" style="1" customWidth="1"/>
    <col min="6409" max="6409" width="13.5703125" style="1" customWidth="1"/>
    <col min="6410" max="6410" width="13.28515625" style="1" customWidth="1"/>
    <col min="6411" max="6411" width="12.140625" style="1" customWidth="1"/>
    <col min="6412" max="6413" width="10.42578125" style="1" customWidth="1"/>
    <col min="6414" max="6657" width="9.140625" style="1"/>
    <col min="6658" max="6658" width="22.5703125" style="1" customWidth="1"/>
    <col min="6659" max="6659" width="9" style="1" customWidth="1"/>
    <col min="6660" max="6660" width="10.85546875" style="1" customWidth="1"/>
    <col min="6661" max="6661" width="12.28515625" style="1" customWidth="1"/>
    <col min="6662" max="6664" width="10.42578125" style="1" customWidth="1"/>
    <col min="6665" max="6665" width="13.5703125" style="1" customWidth="1"/>
    <col min="6666" max="6666" width="13.28515625" style="1" customWidth="1"/>
    <col min="6667" max="6667" width="12.140625" style="1" customWidth="1"/>
    <col min="6668" max="6669" width="10.42578125" style="1" customWidth="1"/>
    <col min="6670" max="6913" width="9.140625" style="1"/>
    <col min="6914" max="6914" width="22.5703125" style="1" customWidth="1"/>
    <col min="6915" max="6915" width="9" style="1" customWidth="1"/>
    <col min="6916" max="6916" width="10.85546875" style="1" customWidth="1"/>
    <col min="6917" max="6917" width="12.28515625" style="1" customWidth="1"/>
    <col min="6918" max="6920" width="10.42578125" style="1" customWidth="1"/>
    <col min="6921" max="6921" width="13.5703125" style="1" customWidth="1"/>
    <col min="6922" max="6922" width="13.28515625" style="1" customWidth="1"/>
    <col min="6923" max="6923" width="12.140625" style="1" customWidth="1"/>
    <col min="6924" max="6925" width="10.42578125" style="1" customWidth="1"/>
    <col min="6926" max="7169" width="9.140625" style="1"/>
    <col min="7170" max="7170" width="22.5703125" style="1" customWidth="1"/>
    <col min="7171" max="7171" width="9" style="1" customWidth="1"/>
    <col min="7172" max="7172" width="10.85546875" style="1" customWidth="1"/>
    <col min="7173" max="7173" width="12.28515625" style="1" customWidth="1"/>
    <col min="7174" max="7176" width="10.42578125" style="1" customWidth="1"/>
    <col min="7177" max="7177" width="13.5703125" style="1" customWidth="1"/>
    <col min="7178" max="7178" width="13.28515625" style="1" customWidth="1"/>
    <col min="7179" max="7179" width="12.140625" style="1" customWidth="1"/>
    <col min="7180" max="7181" width="10.42578125" style="1" customWidth="1"/>
    <col min="7182" max="7425" width="9.140625" style="1"/>
    <col min="7426" max="7426" width="22.5703125" style="1" customWidth="1"/>
    <col min="7427" max="7427" width="9" style="1" customWidth="1"/>
    <col min="7428" max="7428" width="10.85546875" style="1" customWidth="1"/>
    <col min="7429" max="7429" width="12.28515625" style="1" customWidth="1"/>
    <col min="7430" max="7432" width="10.42578125" style="1" customWidth="1"/>
    <col min="7433" max="7433" width="13.5703125" style="1" customWidth="1"/>
    <col min="7434" max="7434" width="13.28515625" style="1" customWidth="1"/>
    <col min="7435" max="7435" width="12.140625" style="1" customWidth="1"/>
    <col min="7436" max="7437" width="10.42578125" style="1" customWidth="1"/>
    <col min="7438" max="7681" width="9.140625" style="1"/>
    <col min="7682" max="7682" width="22.5703125" style="1" customWidth="1"/>
    <col min="7683" max="7683" width="9" style="1" customWidth="1"/>
    <col min="7684" max="7684" width="10.85546875" style="1" customWidth="1"/>
    <col min="7685" max="7685" width="12.28515625" style="1" customWidth="1"/>
    <col min="7686" max="7688" width="10.42578125" style="1" customWidth="1"/>
    <col min="7689" max="7689" width="13.5703125" style="1" customWidth="1"/>
    <col min="7690" max="7690" width="13.28515625" style="1" customWidth="1"/>
    <col min="7691" max="7691" width="12.140625" style="1" customWidth="1"/>
    <col min="7692" max="7693" width="10.42578125" style="1" customWidth="1"/>
    <col min="7694" max="7937" width="9.140625" style="1"/>
    <col min="7938" max="7938" width="22.5703125" style="1" customWidth="1"/>
    <col min="7939" max="7939" width="9" style="1" customWidth="1"/>
    <col min="7940" max="7940" width="10.85546875" style="1" customWidth="1"/>
    <col min="7941" max="7941" width="12.28515625" style="1" customWidth="1"/>
    <col min="7942" max="7944" width="10.42578125" style="1" customWidth="1"/>
    <col min="7945" max="7945" width="13.5703125" style="1" customWidth="1"/>
    <col min="7946" max="7946" width="13.28515625" style="1" customWidth="1"/>
    <col min="7947" max="7947" width="12.140625" style="1" customWidth="1"/>
    <col min="7948" max="7949" width="10.42578125" style="1" customWidth="1"/>
    <col min="7950" max="8193" width="9.140625" style="1"/>
    <col min="8194" max="8194" width="22.5703125" style="1" customWidth="1"/>
    <col min="8195" max="8195" width="9" style="1" customWidth="1"/>
    <col min="8196" max="8196" width="10.85546875" style="1" customWidth="1"/>
    <col min="8197" max="8197" width="12.28515625" style="1" customWidth="1"/>
    <col min="8198" max="8200" width="10.42578125" style="1" customWidth="1"/>
    <col min="8201" max="8201" width="13.5703125" style="1" customWidth="1"/>
    <col min="8202" max="8202" width="13.28515625" style="1" customWidth="1"/>
    <col min="8203" max="8203" width="12.140625" style="1" customWidth="1"/>
    <col min="8204" max="8205" width="10.42578125" style="1" customWidth="1"/>
    <col min="8206" max="8449" width="9.140625" style="1"/>
    <col min="8450" max="8450" width="22.5703125" style="1" customWidth="1"/>
    <col min="8451" max="8451" width="9" style="1" customWidth="1"/>
    <col min="8452" max="8452" width="10.85546875" style="1" customWidth="1"/>
    <col min="8453" max="8453" width="12.28515625" style="1" customWidth="1"/>
    <col min="8454" max="8456" width="10.42578125" style="1" customWidth="1"/>
    <col min="8457" max="8457" width="13.5703125" style="1" customWidth="1"/>
    <col min="8458" max="8458" width="13.28515625" style="1" customWidth="1"/>
    <col min="8459" max="8459" width="12.140625" style="1" customWidth="1"/>
    <col min="8460" max="8461" width="10.42578125" style="1" customWidth="1"/>
    <col min="8462" max="8705" width="9.140625" style="1"/>
    <col min="8706" max="8706" width="22.5703125" style="1" customWidth="1"/>
    <col min="8707" max="8707" width="9" style="1" customWidth="1"/>
    <col min="8708" max="8708" width="10.85546875" style="1" customWidth="1"/>
    <col min="8709" max="8709" width="12.28515625" style="1" customWidth="1"/>
    <col min="8710" max="8712" width="10.42578125" style="1" customWidth="1"/>
    <col min="8713" max="8713" width="13.5703125" style="1" customWidth="1"/>
    <col min="8714" max="8714" width="13.28515625" style="1" customWidth="1"/>
    <col min="8715" max="8715" width="12.140625" style="1" customWidth="1"/>
    <col min="8716" max="8717" width="10.42578125" style="1" customWidth="1"/>
    <col min="8718" max="8961" width="9.140625" style="1"/>
    <col min="8962" max="8962" width="22.5703125" style="1" customWidth="1"/>
    <col min="8963" max="8963" width="9" style="1" customWidth="1"/>
    <col min="8964" max="8964" width="10.85546875" style="1" customWidth="1"/>
    <col min="8965" max="8965" width="12.28515625" style="1" customWidth="1"/>
    <col min="8966" max="8968" width="10.42578125" style="1" customWidth="1"/>
    <col min="8969" max="8969" width="13.5703125" style="1" customWidth="1"/>
    <col min="8970" max="8970" width="13.28515625" style="1" customWidth="1"/>
    <col min="8971" max="8971" width="12.140625" style="1" customWidth="1"/>
    <col min="8972" max="8973" width="10.42578125" style="1" customWidth="1"/>
    <col min="8974" max="9217" width="9.140625" style="1"/>
    <col min="9218" max="9218" width="22.5703125" style="1" customWidth="1"/>
    <col min="9219" max="9219" width="9" style="1" customWidth="1"/>
    <col min="9220" max="9220" width="10.85546875" style="1" customWidth="1"/>
    <col min="9221" max="9221" width="12.28515625" style="1" customWidth="1"/>
    <col min="9222" max="9224" width="10.42578125" style="1" customWidth="1"/>
    <col min="9225" max="9225" width="13.5703125" style="1" customWidth="1"/>
    <col min="9226" max="9226" width="13.28515625" style="1" customWidth="1"/>
    <col min="9227" max="9227" width="12.140625" style="1" customWidth="1"/>
    <col min="9228" max="9229" width="10.42578125" style="1" customWidth="1"/>
    <col min="9230" max="9473" width="9.140625" style="1"/>
    <col min="9474" max="9474" width="22.5703125" style="1" customWidth="1"/>
    <col min="9475" max="9475" width="9" style="1" customWidth="1"/>
    <col min="9476" max="9476" width="10.85546875" style="1" customWidth="1"/>
    <col min="9477" max="9477" width="12.28515625" style="1" customWidth="1"/>
    <col min="9478" max="9480" width="10.42578125" style="1" customWidth="1"/>
    <col min="9481" max="9481" width="13.5703125" style="1" customWidth="1"/>
    <col min="9482" max="9482" width="13.28515625" style="1" customWidth="1"/>
    <col min="9483" max="9483" width="12.140625" style="1" customWidth="1"/>
    <col min="9484" max="9485" width="10.42578125" style="1" customWidth="1"/>
    <col min="9486" max="9729" width="9.140625" style="1"/>
    <col min="9730" max="9730" width="22.5703125" style="1" customWidth="1"/>
    <col min="9731" max="9731" width="9" style="1" customWidth="1"/>
    <col min="9732" max="9732" width="10.85546875" style="1" customWidth="1"/>
    <col min="9733" max="9733" width="12.28515625" style="1" customWidth="1"/>
    <col min="9734" max="9736" width="10.42578125" style="1" customWidth="1"/>
    <col min="9737" max="9737" width="13.5703125" style="1" customWidth="1"/>
    <col min="9738" max="9738" width="13.28515625" style="1" customWidth="1"/>
    <col min="9739" max="9739" width="12.140625" style="1" customWidth="1"/>
    <col min="9740" max="9741" width="10.42578125" style="1" customWidth="1"/>
    <col min="9742" max="9985" width="9.140625" style="1"/>
    <col min="9986" max="9986" width="22.5703125" style="1" customWidth="1"/>
    <col min="9987" max="9987" width="9" style="1" customWidth="1"/>
    <col min="9988" max="9988" width="10.85546875" style="1" customWidth="1"/>
    <col min="9989" max="9989" width="12.28515625" style="1" customWidth="1"/>
    <col min="9990" max="9992" width="10.42578125" style="1" customWidth="1"/>
    <col min="9993" max="9993" width="13.5703125" style="1" customWidth="1"/>
    <col min="9994" max="9994" width="13.28515625" style="1" customWidth="1"/>
    <col min="9995" max="9995" width="12.140625" style="1" customWidth="1"/>
    <col min="9996" max="9997" width="10.42578125" style="1" customWidth="1"/>
    <col min="9998" max="10241" width="9.140625" style="1"/>
    <col min="10242" max="10242" width="22.5703125" style="1" customWidth="1"/>
    <col min="10243" max="10243" width="9" style="1" customWidth="1"/>
    <col min="10244" max="10244" width="10.85546875" style="1" customWidth="1"/>
    <col min="10245" max="10245" width="12.28515625" style="1" customWidth="1"/>
    <col min="10246" max="10248" width="10.42578125" style="1" customWidth="1"/>
    <col min="10249" max="10249" width="13.5703125" style="1" customWidth="1"/>
    <col min="10250" max="10250" width="13.28515625" style="1" customWidth="1"/>
    <col min="10251" max="10251" width="12.140625" style="1" customWidth="1"/>
    <col min="10252" max="10253" width="10.42578125" style="1" customWidth="1"/>
    <col min="10254" max="10497" width="9.140625" style="1"/>
    <col min="10498" max="10498" width="22.5703125" style="1" customWidth="1"/>
    <col min="10499" max="10499" width="9" style="1" customWidth="1"/>
    <col min="10500" max="10500" width="10.85546875" style="1" customWidth="1"/>
    <col min="10501" max="10501" width="12.28515625" style="1" customWidth="1"/>
    <col min="10502" max="10504" width="10.42578125" style="1" customWidth="1"/>
    <col min="10505" max="10505" width="13.5703125" style="1" customWidth="1"/>
    <col min="10506" max="10506" width="13.28515625" style="1" customWidth="1"/>
    <col min="10507" max="10507" width="12.140625" style="1" customWidth="1"/>
    <col min="10508" max="10509" width="10.42578125" style="1" customWidth="1"/>
    <col min="10510" max="10753" width="9.140625" style="1"/>
    <col min="10754" max="10754" width="22.5703125" style="1" customWidth="1"/>
    <col min="10755" max="10755" width="9" style="1" customWidth="1"/>
    <col min="10756" max="10756" width="10.85546875" style="1" customWidth="1"/>
    <col min="10757" max="10757" width="12.28515625" style="1" customWidth="1"/>
    <col min="10758" max="10760" width="10.42578125" style="1" customWidth="1"/>
    <col min="10761" max="10761" width="13.5703125" style="1" customWidth="1"/>
    <col min="10762" max="10762" width="13.28515625" style="1" customWidth="1"/>
    <col min="10763" max="10763" width="12.140625" style="1" customWidth="1"/>
    <col min="10764" max="10765" width="10.42578125" style="1" customWidth="1"/>
    <col min="10766" max="11009" width="9.140625" style="1"/>
    <col min="11010" max="11010" width="22.5703125" style="1" customWidth="1"/>
    <col min="11011" max="11011" width="9" style="1" customWidth="1"/>
    <col min="11012" max="11012" width="10.85546875" style="1" customWidth="1"/>
    <col min="11013" max="11013" width="12.28515625" style="1" customWidth="1"/>
    <col min="11014" max="11016" width="10.42578125" style="1" customWidth="1"/>
    <col min="11017" max="11017" width="13.5703125" style="1" customWidth="1"/>
    <col min="11018" max="11018" width="13.28515625" style="1" customWidth="1"/>
    <col min="11019" max="11019" width="12.140625" style="1" customWidth="1"/>
    <col min="11020" max="11021" width="10.42578125" style="1" customWidth="1"/>
    <col min="11022" max="11265" width="9.140625" style="1"/>
    <col min="11266" max="11266" width="22.5703125" style="1" customWidth="1"/>
    <col min="11267" max="11267" width="9" style="1" customWidth="1"/>
    <col min="11268" max="11268" width="10.85546875" style="1" customWidth="1"/>
    <col min="11269" max="11269" width="12.28515625" style="1" customWidth="1"/>
    <col min="11270" max="11272" width="10.42578125" style="1" customWidth="1"/>
    <col min="11273" max="11273" width="13.5703125" style="1" customWidth="1"/>
    <col min="11274" max="11274" width="13.28515625" style="1" customWidth="1"/>
    <col min="11275" max="11275" width="12.140625" style="1" customWidth="1"/>
    <col min="11276" max="11277" width="10.42578125" style="1" customWidth="1"/>
    <col min="11278" max="11521" width="9.140625" style="1"/>
    <col min="11522" max="11522" width="22.5703125" style="1" customWidth="1"/>
    <col min="11523" max="11523" width="9" style="1" customWidth="1"/>
    <col min="11524" max="11524" width="10.85546875" style="1" customWidth="1"/>
    <col min="11525" max="11525" width="12.28515625" style="1" customWidth="1"/>
    <col min="11526" max="11528" width="10.42578125" style="1" customWidth="1"/>
    <col min="11529" max="11529" width="13.5703125" style="1" customWidth="1"/>
    <col min="11530" max="11530" width="13.28515625" style="1" customWidth="1"/>
    <col min="11531" max="11531" width="12.140625" style="1" customWidth="1"/>
    <col min="11532" max="11533" width="10.42578125" style="1" customWidth="1"/>
    <col min="11534" max="11777" width="9.140625" style="1"/>
    <col min="11778" max="11778" width="22.5703125" style="1" customWidth="1"/>
    <col min="11779" max="11779" width="9" style="1" customWidth="1"/>
    <col min="11780" max="11780" width="10.85546875" style="1" customWidth="1"/>
    <col min="11781" max="11781" width="12.28515625" style="1" customWidth="1"/>
    <col min="11782" max="11784" width="10.42578125" style="1" customWidth="1"/>
    <col min="11785" max="11785" width="13.5703125" style="1" customWidth="1"/>
    <col min="11786" max="11786" width="13.28515625" style="1" customWidth="1"/>
    <col min="11787" max="11787" width="12.140625" style="1" customWidth="1"/>
    <col min="11788" max="11789" width="10.42578125" style="1" customWidth="1"/>
    <col min="11790" max="12033" width="9.140625" style="1"/>
    <col min="12034" max="12034" width="22.5703125" style="1" customWidth="1"/>
    <col min="12035" max="12035" width="9" style="1" customWidth="1"/>
    <col min="12036" max="12036" width="10.85546875" style="1" customWidth="1"/>
    <col min="12037" max="12037" width="12.28515625" style="1" customWidth="1"/>
    <col min="12038" max="12040" width="10.42578125" style="1" customWidth="1"/>
    <col min="12041" max="12041" width="13.5703125" style="1" customWidth="1"/>
    <col min="12042" max="12042" width="13.28515625" style="1" customWidth="1"/>
    <col min="12043" max="12043" width="12.140625" style="1" customWidth="1"/>
    <col min="12044" max="12045" width="10.42578125" style="1" customWidth="1"/>
    <col min="12046" max="12289" width="9.140625" style="1"/>
    <col min="12290" max="12290" width="22.5703125" style="1" customWidth="1"/>
    <col min="12291" max="12291" width="9" style="1" customWidth="1"/>
    <col min="12292" max="12292" width="10.85546875" style="1" customWidth="1"/>
    <col min="12293" max="12293" width="12.28515625" style="1" customWidth="1"/>
    <col min="12294" max="12296" width="10.42578125" style="1" customWidth="1"/>
    <col min="12297" max="12297" width="13.5703125" style="1" customWidth="1"/>
    <col min="12298" max="12298" width="13.28515625" style="1" customWidth="1"/>
    <col min="12299" max="12299" width="12.140625" style="1" customWidth="1"/>
    <col min="12300" max="12301" width="10.42578125" style="1" customWidth="1"/>
    <col min="12302" max="12545" width="9.140625" style="1"/>
    <col min="12546" max="12546" width="22.5703125" style="1" customWidth="1"/>
    <col min="12547" max="12547" width="9" style="1" customWidth="1"/>
    <col min="12548" max="12548" width="10.85546875" style="1" customWidth="1"/>
    <col min="12549" max="12549" width="12.28515625" style="1" customWidth="1"/>
    <col min="12550" max="12552" width="10.42578125" style="1" customWidth="1"/>
    <col min="12553" max="12553" width="13.5703125" style="1" customWidth="1"/>
    <col min="12554" max="12554" width="13.28515625" style="1" customWidth="1"/>
    <col min="12555" max="12555" width="12.140625" style="1" customWidth="1"/>
    <col min="12556" max="12557" width="10.42578125" style="1" customWidth="1"/>
    <col min="12558" max="12801" width="9.140625" style="1"/>
    <col min="12802" max="12802" width="22.5703125" style="1" customWidth="1"/>
    <col min="12803" max="12803" width="9" style="1" customWidth="1"/>
    <col min="12804" max="12804" width="10.85546875" style="1" customWidth="1"/>
    <col min="12805" max="12805" width="12.28515625" style="1" customWidth="1"/>
    <col min="12806" max="12808" width="10.42578125" style="1" customWidth="1"/>
    <col min="12809" max="12809" width="13.5703125" style="1" customWidth="1"/>
    <col min="12810" max="12810" width="13.28515625" style="1" customWidth="1"/>
    <col min="12811" max="12811" width="12.140625" style="1" customWidth="1"/>
    <col min="12812" max="12813" width="10.42578125" style="1" customWidth="1"/>
    <col min="12814" max="13057" width="9.140625" style="1"/>
    <col min="13058" max="13058" width="22.5703125" style="1" customWidth="1"/>
    <col min="13059" max="13059" width="9" style="1" customWidth="1"/>
    <col min="13060" max="13060" width="10.85546875" style="1" customWidth="1"/>
    <col min="13061" max="13061" width="12.28515625" style="1" customWidth="1"/>
    <col min="13062" max="13064" width="10.42578125" style="1" customWidth="1"/>
    <col min="13065" max="13065" width="13.5703125" style="1" customWidth="1"/>
    <col min="13066" max="13066" width="13.28515625" style="1" customWidth="1"/>
    <col min="13067" max="13067" width="12.140625" style="1" customWidth="1"/>
    <col min="13068" max="13069" width="10.42578125" style="1" customWidth="1"/>
    <col min="13070" max="13313" width="9.140625" style="1"/>
    <col min="13314" max="13314" width="22.5703125" style="1" customWidth="1"/>
    <col min="13315" max="13315" width="9" style="1" customWidth="1"/>
    <col min="13316" max="13316" width="10.85546875" style="1" customWidth="1"/>
    <col min="13317" max="13317" width="12.28515625" style="1" customWidth="1"/>
    <col min="13318" max="13320" width="10.42578125" style="1" customWidth="1"/>
    <col min="13321" max="13321" width="13.5703125" style="1" customWidth="1"/>
    <col min="13322" max="13322" width="13.28515625" style="1" customWidth="1"/>
    <col min="13323" max="13323" width="12.140625" style="1" customWidth="1"/>
    <col min="13324" max="13325" width="10.42578125" style="1" customWidth="1"/>
    <col min="13326" max="13569" width="9.140625" style="1"/>
    <col min="13570" max="13570" width="22.5703125" style="1" customWidth="1"/>
    <col min="13571" max="13571" width="9" style="1" customWidth="1"/>
    <col min="13572" max="13572" width="10.85546875" style="1" customWidth="1"/>
    <col min="13573" max="13573" width="12.28515625" style="1" customWidth="1"/>
    <col min="13574" max="13576" width="10.42578125" style="1" customWidth="1"/>
    <col min="13577" max="13577" width="13.5703125" style="1" customWidth="1"/>
    <col min="13578" max="13578" width="13.28515625" style="1" customWidth="1"/>
    <col min="13579" max="13579" width="12.140625" style="1" customWidth="1"/>
    <col min="13580" max="13581" width="10.42578125" style="1" customWidth="1"/>
    <col min="13582" max="13825" width="9.140625" style="1"/>
    <col min="13826" max="13826" width="22.5703125" style="1" customWidth="1"/>
    <col min="13827" max="13827" width="9" style="1" customWidth="1"/>
    <col min="13828" max="13828" width="10.85546875" style="1" customWidth="1"/>
    <col min="13829" max="13829" width="12.28515625" style="1" customWidth="1"/>
    <col min="13830" max="13832" width="10.42578125" style="1" customWidth="1"/>
    <col min="13833" max="13833" width="13.5703125" style="1" customWidth="1"/>
    <col min="13834" max="13834" width="13.28515625" style="1" customWidth="1"/>
    <col min="13835" max="13835" width="12.140625" style="1" customWidth="1"/>
    <col min="13836" max="13837" width="10.42578125" style="1" customWidth="1"/>
    <col min="13838" max="14081" width="9.140625" style="1"/>
    <col min="14082" max="14082" width="22.5703125" style="1" customWidth="1"/>
    <col min="14083" max="14083" width="9" style="1" customWidth="1"/>
    <col min="14084" max="14084" width="10.85546875" style="1" customWidth="1"/>
    <col min="14085" max="14085" width="12.28515625" style="1" customWidth="1"/>
    <col min="14086" max="14088" width="10.42578125" style="1" customWidth="1"/>
    <col min="14089" max="14089" width="13.5703125" style="1" customWidth="1"/>
    <col min="14090" max="14090" width="13.28515625" style="1" customWidth="1"/>
    <col min="14091" max="14091" width="12.140625" style="1" customWidth="1"/>
    <col min="14092" max="14093" width="10.42578125" style="1" customWidth="1"/>
    <col min="14094" max="14337" width="9.140625" style="1"/>
    <col min="14338" max="14338" width="22.5703125" style="1" customWidth="1"/>
    <col min="14339" max="14339" width="9" style="1" customWidth="1"/>
    <col min="14340" max="14340" width="10.85546875" style="1" customWidth="1"/>
    <col min="14341" max="14341" width="12.28515625" style="1" customWidth="1"/>
    <col min="14342" max="14344" width="10.42578125" style="1" customWidth="1"/>
    <col min="14345" max="14345" width="13.5703125" style="1" customWidth="1"/>
    <col min="14346" max="14346" width="13.28515625" style="1" customWidth="1"/>
    <col min="14347" max="14347" width="12.140625" style="1" customWidth="1"/>
    <col min="14348" max="14349" width="10.42578125" style="1" customWidth="1"/>
    <col min="14350" max="14593" width="9.140625" style="1"/>
    <col min="14594" max="14594" width="22.5703125" style="1" customWidth="1"/>
    <col min="14595" max="14595" width="9" style="1" customWidth="1"/>
    <col min="14596" max="14596" width="10.85546875" style="1" customWidth="1"/>
    <col min="14597" max="14597" width="12.28515625" style="1" customWidth="1"/>
    <col min="14598" max="14600" width="10.42578125" style="1" customWidth="1"/>
    <col min="14601" max="14601" width="13.5703125" style="1" customWidth="1"/>
    <col min="14602" max="14602" width="13.28515625" style="1" customWidth="1"/>
    <col min="14603" max="14603" width="12.140625" style="1" customWidth="1"/>
    <col min="14604" max="14605" width="10.42578125" style="1" customWidth="1"/>
    <col min="14606" max="14849" width="9.140625" style="1"/>
    <col min="14850" max="14850" width="22.5703125" style="1" customWidth="1"/>
    <col min="14851" max="14851" width="9" style="1" customWidth="1"/>
    <col min="14852" max="14852" width="10.85546875" style="1" customWidth="1"/>
    <col min="14853" max="14853" width="12.28515625" style="1" customWidth="1"/>
    <col min="14854" max="14856" width="10.42578125" style="1" customWidth="1"/>
    <col min="14857" max="14857" width="13.5703125" style="1" customWidth="1"/>
    <col min="14858" max="14858" width="13.28515625" style="1" customWidth="1"/>
    <col min="14859" max="14859" width="12.140625" style="1" customWidth="1"/>
    <col min="14860" max="14861" width="10.42578125" style="1" customWidth="1"/>
    <col min="14862" max="15105" width="9.140625" style="1"/>
    <col min="15106" max="15106" width="22.5703125" style="1" customWidth="1"/>
    <col min="15107" max="15107" width="9" style="1" customWidth="1"/>
    <col min="15108" max="15108" width="10.85546875" style="1" customWidth="1"/>
    <col min="15109" max="15109" width="12.28515625" style="1" customWidth="1"/>
    <col min="15110" max="15112" width="10.42578125" style="1" customWidth="1"/>
    <col min="15113" max="15113" width="13.5703125" style="1" customWidth="1"/>
    <col min="15114" max="15114" width="13.28515625" style="1" customWidth="1"/>
    <col min="15115" max="15115" width="12.140625" style="1" customWidth="1"/>
    <col min="15116" max="15117" width="10.42578125" style="1" customWidth="1"/>
    <col min="15118" max="15361" width="9.140625" style="1"/>
    <col min="15362" max="15362" width="22.5703125" style="1" customWidth="1"/>
    <col min="15363" max="15363" width="9" style="1" customWidth="1"/>
    <col min="15364" max="15364" width="10.85546875" style="1" customWidth="1"/>
    <col min="15365" max="15365" width="12.28515625" style="1" customWidth="1"/>
    <col min="15366" max="15368" width="10.42578125" style="1" customWidth="1"/>
    <col min="15369" max="15369" width="13.5703125" style="1" customWidth="1"/>
    <col min="15370" max="15370" width="13.28515625" style="1" customWidth="1"/>
    <col min="15371" max="15371" width="12.140625" style="1" customWidth="1"/>
    <col min="15372" max="15373" width="10.42578125" style="1" customWidth="1"/>
    <col min="15374" max="15617" width="9.140625" style="1"/>
    <col min="15618" max="15618" width="22.5703125" style="1" customWidth="1"/>
    <col min="15619" max="15619" width="9" style="1" customWidth="1"/>
    <col min="15620" max="15620" width="10.85546875" style="1" customWidth="1"/>
    <col min="15621" max="15621" width="12.28515625" style="1" customWidth="1"/>
    <col min="15622" max="15624" width="10.42578125" style="1" customWidth="1"/>
    <col min="15625" max="15625" width="13.5703125" style="1" customWidth="1"/>
    <col min="15626" max="15626" width="13.28515625" style="1" customWidth="1"/>
    <col min="15627" max="15627" width="12.140625" style="1" customWidth="1"/>
    <col min="15628" max="15629" width="10.42578125" style="1" customWidth="1"/>
    <col min="15630" max="15873" width="9.140625" style="1"/>
    <col min="15874" max="15874" width="22.5703125" style="1" customWidth="1"/>
    <col min="15875" max="15875" width="9" style="1" customWidth="1"/>
    <col min="15876" max="15876" width="10.85546875" style="1" customWidth="1"/>
    <col min="15877" max="15877" width="12.28515625" style="1" customWidth="1"/>
    <col min="15878" max="15880" width="10.42578125" style="1" customWidth="1"/>
    <col min="15881" max="15881" width="13.5703125" style="1" customWidth="1"/>
    <col min="15882" max="15882" width="13.28515625" style="1" customWidth="1"/>
    <col min="15883" max="15883" width="12.140625" style="1" customWidth="1"/>
    <col min="15884" max="15885" width="10.42578125" style="1" customWidth="1"/>
    <col min="15886" max="16129" width="9.140625" style="1"/>
    <col min="16130" max="16130" width="22.5703125" style="1" customWidth="1"/>
    <col min="16131" max="16131" width="9" style="1" customWidth="1"/>
    <col min="16132" max="16132" width="10.85546875" style="1" customWidth="1"/>
    <col min="16133" max="16133" width="12.28515625" style="1" customWidth="1"/>
    <col min="16134" max="16136" width="10.42578125" style="1" customWidth="1"/>
    <col min="16137" max="16137" width="13.5703125" style="1" customWidth="1"/>
    <col min="16138" max="16138" width="13.28515625" style="1" customWidth="1"/>
    <col min="16139" max="16139" width="12.140625" style="1" customWidth="1"/>
    <col min="16140" max="16141" width="10.42578125" style="1" customWidth="1"/>
    <col min="16142" max="16384" width="9.140625" style="1"/>
  </cols>
  <sheetData>
    <row r="1" spans="1:27" ht="17.25" customHeight="1" x14ac:dyDescent="0.2">
      <c r="A1" s="298" t="s">
        <v>1129</v>
      </c>
    </row>
    <row r="2" spans="1:27" ht="17.25" customHeight="1" x14ac:dyDescent="0.2">
      <c r="A2" s="106" t="s">
        <v>578</v>
      </c>
    </row>
    <row r="3" spans="1:27" ht="38.25" customHeight="1" x14ac:dyDescent="0.2">
      <c r="A3" s="129" t="s">
        <v>1044</v>
      </c>
      <c r="C3" s="120"/>
      <c r="D3" s="120"/>
      <c r="E3" s="120"/>
      <c r="F3" s="120"/>
      <c r="G3" s="120"/>
      <c r="H3" s="120"/>
      <c r="I3" s="120"/>
      <c r="J3" s="120"/>
      <c r="K3" s="120"/>
      <c r="L3" s="120"/>
      <c r="M3" s="120"/>
    </row>
    <row r="4" spans="1:27" ht="15.75" customHeight="1" x14ac:dyDescent="0.25">
      <c r="A4" s="351" t="s">
        <v>579</v>
      </c>
      <c r="B4" s="1043" t="s">
        <v>1322</v>
      </c>
      <c r="D4" s="129"/>
      <c r="E4" s="129"/>
      <c r="F4" s="129"/>
      <c r="G4" s="129"/>
      <c r="H4" s="129"/>
      <c r="I4" s="120"/>
      <c r="J4" s="120"/>
      <c r="K4" s="120"/>
      <c r="L4" s="120"/>
      <c r="M4" s="120"/>
    </row>
    <row r="5" spans="1:27" ht="15.75" customHeight="1" x14ac:dyDescent="0.25">
      <c r="A5" s="351" t="s">
        <v>580</v>
      </c>
      <c r="B5" s="351" t="s">
        <v>581</v>
      </c>
      <c r="C5" s="129"/>
      <c r="D5" s="129"/>
      <c r="E5" s="129"/>
      <c r="F5" s="129"/>
      <c r="G5" s="129"/>
      <c r="H5" s="129"/>
      <c r="I5" s="120"/>
      <c r="J5" s="120"/>
      <c r="K5" s="120"/>
      <c r="L5" s="120"/>
      <c r="M5" s="120"/>
    </row>
    <row r="6" spans="1:27" ht="15.75" customHeight="1" x14ac:dyDescent="0.25">
      <c r="A6" s="351" t="s">
        <v>582</v>
      </c>
      <c r="B6" s="351" t="s">
        <v>585</v>
      </c>
      <c r="C6" s="129"/>
      <c r="D6" s="129"/>
      <c r="E6" s="129"/>
      <c r="F6" s="129"/>
      <c r="G6" s="129"/>
      <c r="H6" s="129"/>
      <c r="I6" s="120"/>
      <c r="J6" s="120"/>
      <c r="K6" s="120"/>
      <c r="L6" s="120"/>
      <c r="M6" s="120"/>
    </row>
    <row r="7" spans="1:27" ht="15" x14ac:dyDescent="0.25">
      <c r="B7" s="2"/>
      <c r="M7" s="80" t="s">
        <v>0</v>
      </c>
    </row>
    <row r="8" spans="1:27" x14ac:dyDescent="0.2">
      <c r="B8"/>
      <c r="C8" s="1304" t="s">
        <v>130</v>
      </c>
      <c r="D8" s="1305"/>
      <c r="E8" s="1305"/>
      <c r="F8" s="1305"/>
      <c r="G8" s="1305"/>
      <c r="H8" s="1305"/>
      <c r="I8" s="1305"/>
      <c r="J8" s="1305"/>
      <c r="K8" s="1305"/>
      <c r="L8" s="1306"/>
      <c r="M8" s="1352" t="s">
        <v>252</v>
      </c>
    </row>
    <row r="9" spans="1:27" ht="52.5" customHeight="1" x14ac:dyDescent="0.2">
      <c r="A9" s="2" t="s">
        <v>586</v>
      </c>
      <c r="B9" s="2" t="s">
        <v>22</v>
      </c>
      <c r="C9" s="545" t="s">
        <v>93</v>
      </c>
      <c r="D9" s="546" t="s">
        <v>94</v>
      </c>
      <c r="E9" s="546" t="s">
        <v>541</v>
      </c>
      <c r="F9" s="546" t="s">
        <v>536</v>
      </c>
      <c r="G9" s="546" t="s">
        <v>95</v>
      </c>
      <c r="H9" s="547" t="s">
        <v>91</v>
      </c>
      <c r="I9" s="548" t="s">
        <v>545</v>
      </c>
      <c r="J9" s="549" t="s">
        <v>546</v>
      </c>
      <c r="K9" s="550" t="s">
        <v>547</v>
      </c>
      <c r="L9" s="551" t="s">
        <v>149</v>
      </c>
      <c r="M9" s="1353"/>
      <c r="O9"/>
      <c r="P9"/>
      <c r="Q9"/>
      <c r="R9"/>
      <c r="S9"/>
      <c r="T9"/>
      <c r="U9"/>
      <c r="V9"/>
      <c r="W9"/>
      <c r="X9"/>
      <c r="Y9"/>
      <c r="Z9"/>
      <c r="AA9"/>
    </row>
    <row r="10" spans="1:27" ht="18.75" customHeight="1" x14ac:dyDescent="0.2">
      <c r="A10" s="414" t="s">
        <v>587</v>
      </c>
      <c r="B10" s="400" t="s">
        <v>23</v>
      </c>
      <c r="C10" s="554">
        <f>T_13!B7</f>
        <v>1</v>
      </c>
      <c r="D10" s="554">
        <f>T_13!C7</f>
        <v>27</v>
      </c>
      <c r="E10" s="554">
        <f>T_13!D7</f>
        <v>0</v>
      </c>
      <c r="F10" s="554">
        <f>T_13!E7</f>
        <v>8</v>
      </c>
      <c r="G10" s="554">
        <f>T_13!F7</f>
        <v>0</v>
      </c>
      <c r="H10" s="554">
        <f>T_13!G7</f>
        <v>6</v>
      </c>
      <c r="I10" s="554">
        <f>T_13!H7</f>
        <v>29</v>
      </c>
      <c r="J10" s="554">
        <f>T_13!I7</f>
        <v>6</v>
      </c>
      <c r="K10" s="554">
        <f>T_13!J7</f>
        <v>5</v>
      </c>
      <c r="L10" s="671">
        <f>SUM(I10:K10)</f>
        <v>40</v>
      </c>
      <c r="M10" s="672">
        <f>SUM(C10:K10)</f>
        <v>82</v>
      </c>
      <c r="N10" s="68"/>
      <c r="O10"/>
      <c r="P10"/>
      <c r="Q10"/>
      <c r="R10"/>
      <c r="S10"/>
      <c r="T10"/>
      <c r="U10"/>
      <c r="V10"/>
      <c r="W10"/>
      <c r="X10"/>
      <c r="Y10"/>
      <c r="Z10"/>
      <c r="AA10"/>
    </row>
    <row r="11" spans="1:27" ht="13.5" customHeight="1" x14ac:dyDescent="0.2">
      <c r="A11" s="1" t="s">
        <v>588</v>
      </c>
      <c r="B11" s="117" t="s">
        <v>24</v>
      </c>
      <c r="C11" s="116">
        <f>T_13!B8</f>
        <v>1</v>
      </c>
      <c r="D11" s="116">
        <f>T_13!C8</f>
        <v>86</v>
      </c>
      <c r="E11" s="116">
        <f>T_13!D8</f>
        <v>2</v>
      </c>
      <c r="F11" s="116">
        <f>T_13!E8</f>
        <v>9</v>
      </c>
      <c r="G11" s="116">
        <f>T_13!F8</f>
        <v>0</v>
      </c>
      <c r="H11" s="116">
        <f>T_13!G8</f>
        <v>16</v>
      </c>
      <c r="I11" s="116">
        <f>T_13!H8</f>
        <v>10</v>
      </c>
      <c r="J11" s="116">
        <f>T_13!I8</f>
        <v>2</v>
      </c>
      <c r="K11" s="116">
        <f>T_13!J8</f>
        <v>12</v>
      </c>
      <c r="L11" s="552">
        <f t="shared" ref="L11:L41" si="0">SUM(I11:K11)</f>
        <v>24</v>
      </c>
      <c r="M11" s="553">
        <f t="shared" ref="M11:M41" si="1">SUM(C11:K11)</f>
        <v>138</v>
      </c>
      <c r="N11" s="68"/>
      <c r="O11"/>
      <c r="P11"/>
      <c r="Q11"/>
      <c r="R11"/>
      <c r="S11"/>
      <c r="T11"/>
      <c r="U11"/>
      <c r="V11"/>
      <c r="W11"/>
      <c r="X11"/>
      <c r="Y11"/>
      <c r="Z11"/>
      <c r="AA11"/>
    </row>
    <row r="12" spans="1:27" ht="13.5" customHeight="1" x14ac:dyDescent="0.2">
      <c r="A12" s="1" t="s">
        <v>589</v>
      </c>
      <c r="B12" s="117" t="s">
        <v>25</v>
      </c>
      <c r="C12" s="116">
        <f>T_13!B9</f>
        <v>2</v>
      </c>
      <c r="D12" s="116">
        <f>T_13!C9</f>
        <v>26</v>
      </c>
      <c r="E12" s="116">
        <f>T_13!D9</f>
        <v>2</v>
      </c>
      <c r="F12" s="116">
        <f>T_13!E9</f>
        <v>5</v>
      </c>
      <c r="G12" s="116">
        <f>T_13!F9</f>
        <v>0</v>
      </c>
      <c r="H12" s="116">
        <f>T_13!G9</f>
        <v>10</v>
      </c>
      <c r="I12" s="116">
        <f>T_13!H9</f>
        <v>19</v>
      </c>
      <c r="J12" s="116">
        <f>T_13!I9</f>
        <v>0</v>
      </c>
      <c r="K12" s="116">
        <f>T_13!J9</f>
        <v>6</v>
      </c>
      <c r="L12" s="552">
        <f t="shared" si="0"/>
        <v>25</v>
      </c>
      <c r="M12" s="553">
        <f t="shared" si="1"/>
        <v>70</v>
      </c>
      <c r="N12" s="68"/>
      <c r="O12"/>
      <c r="P12"/>
      <c r="Q12"/>
      <c r="R12"/>
      <c r="S12"/>
      <c r="T12"/>
      <c r="U12"/>
      <c r="V12"/>
      <c r="W12"/>
      <c r="X12"/>
      <c r="Y12"/>
      <c r="Z12"/>
      <c r="AA12"/>
    </row>
    <row r="13" spans="1:27" ht="13.5" customHeight="1" x14ac:dyDescent="0.2">
      <c r="A13" s="1" t="s">
        <v>590</v>
      </c>
      <c r="B13" s="117" t="s">
        <v>26</v>
      </c>
      <c r="C13" s="116">
        <f>T_13!B10</f>
        <v>3</v>
      </c>
      <c r="D13" s="116">
        <f>T_13!C10</f>
        <v>31</v>
      </c>
      <c r="E13" s="116">
        <f>T_13!D10</f>
        <v>0</v>
      </c>
      <c r="F13" s="116">
        <f>T_13!E10</f>
        <v>5</v>
      </c>
      <c r="G13" s="116">
        <f>T_13!F10</f>
        <v>0</v>
      </c>
      <c r="H13" s="116">
        <f>T_13!G10</f>
        <v>12</v>
      </c>
      <c r="I13" s="116">
        <f>T_13!H10</f>
        <v>8</v>
      </c>
      <c r="J13" s="116">
        <f>T_13!I10</f>
        <v>2</v>
      </c>
      <c r="K13" s="116">
        <f>T_13!J10</f>
        <v>7</v>
      </c>
      <c r="L13" s="552">
        <f t="shared" si="0"/>
        <v>17</v>
      </c>
      <c r="M13" s="553">
        <f t="shared" si="1"/>
        <v>68</v>
      </c>
      <c r="N13" s="68"/>
      <c r="O13"/>
      <c r="P13"/>
      <c r="Q13"/>
      <c r="R13"/>
      <c r="S13"/>
      <c r="T13"/>
      <c r="U13"/>
      <c r="V13"/>
      <c r="W13"/>
      <c r="X13"/>
      <c r="Y13"/>
      <c r="Z13"/>
      <c r="AA13"/>
    </row>
    <row r="14" spans="1:27" ht="13.5" customHeight="1" x14ac:dyDescent="0.2">
      <c r="A14" s="1" t="s">
        <v>591</v>
      </c>
      <c r="B14" s="117" t="s">
        <v>619</v>
      </c>
      <c r="C14" s="116">
        <f>T_13!B11</f>
        <v>1</v>
      </c>
      <c r="D14" s="116">
        <f>T_13!C11</f>
        <v>76</v>
      </c>
      <c r="E14" s="116">
        <f>T_13!D11</f>
        <v>2</v>
      </c>
      <c r="F14" s="116">
        <f>T_13!E11</f>
        <v>11</v>
      </c>
      <c r="G14" s="116">
        <f>T_13!F11</f>
        <v>0</v>
      </c>
      <c r="H14" s="116">
        <f>T_13!G11</f>
        <v>30</v>
      </c>
      <c r="I14" s="116">
        <f>T_13!H11</f>
        <v>218</v>
      </c>
      <c r="J14" s="116">
        <f>T_13!I11</f>
        <v>59</v>
      </c>
      <c r="K14" s="116">
        <f>T_13!J11</f>
        <v>35</v>
      </c>
      <c r="L14" s="552">
        <f t="shared" si="0"/>
        <v>312</v>
      </c>
      <c r="M14" s="553">
        <f t="shared" si="1"/>
        <v>432</v>
      </c>
      <c r="N14" s="68"/>
      <c r="O14"/>
      <c r="P14"/>
      <c r="Q14"/>
      <c r="R14"/>
      <c r="S14"/>
      <c r="T14"/>
      <c r="U14"/>
      <c r="V14"/>
      <c r="W14"/>
      <c r="X14"/>
      <c r="Y14"/>
      <c r="Z14"/>
      <c r="AA14"/>
    </row>
    <row r="15" spans="1:27" ht="13.5" customHeight="1" x14ac:dyDescent="0.2">
      <c r="A15" s="1" t="s">
        <v>592</v>
      </c>
      <c r="B15" s="117" t="s">
        <v>27</v>
      </c>
      <c r="C15" s="116">
        <f>T_13!B12</f>
        <v>1</v>
      </c>
      <c r="D15" s="116">
        <f>T_13!C12</f>
        <v>15</v>
      </c>
      <c r="E15" s="116">
        <f>T_13!D12</f>
        <v>4</v>
      </c>
      <c r="F15" s="116">
        <f>T_13!E12</f>
        <v>8</v>
      </c>
      <c r="G15" s="116">
        <f>T_13!F12</f>
        <v>1</v>
      </c>
      <c r="H15" s="116">
        <f>T_13!G12</f>
        <v>2</v>
      </c>
      <c r="I15" s="116">
        <f>T_13!H12</f>
        <v>3</v>
      </c>
      <c r="J15" s="116">
        <f>T_13!I12</f>
        <v>0</v>
      </c>
      <c r="K15" s="116">
        <f>T_13!J12</f>
        <v>4</v>
      </c>
      <c r="L15" s="552">
        <f t="shared" si="0"/>
        <v>7</v>
      </c>
      <c r="M15" s="553">
        <f t="shared" si="1"/>
        <v>38</v>
      </c>
      <c r="N15" s="68"/>
      <c r="O15"/>
      <c r="P15"/>
      <c r="Q15"/>
      <c r="R15"/>
      <c r="S15"/>
      <c r="T15"/>
      <c r="U15"/>
      <c r="V15"/>
      <c r="W15"/>
      <c r="X15"/>
      <c r="Y15"/>
      <c r="Z15"/>
      <c r="AA15"/>
    </row>
    <row r="16" spans="1:27" ht="13.5" customHeight="1" x14ac:dyDescent="0.2">
      <c r="A16" s="1" t="s">
        <v>593</v>
      </c>
      <c r="B16" s="117" t="s">
        <v>28</v>
      </c>
      <c r="C16" s="116">
        <f>T_13!B13</f>
        <v>2</v>
      </c>
      <c r="D16" s="116">
        <f>T_13!C13</f>
        <v>45</v>
      </c>
      <c r="E16" s="116">
        <f>T_13!D13</f>
        <v>0</v>
      </c>
      <c r="F16" s="116">
        <f>T_13!E13</f>
        <v>8</v>
      </c>
      <c r="G16" s="116">
        <f>T_13!F13</f>
        <v>2</v>
      </c>
      <c r="H16" s="116">
        <f>T_13!G13</f>
        <v>2</v>
      </c>
      <c r="I16" s="116">
        <f>T_13!H13</f>
        <v>13</v>
      </c>
      <c r="J16" s="116">
        <f>T_13!I13</f>
        <v>3</v>
      </c>
      <c r="K16" s="116">
        <f>T_13!J13</f>
        <v>10</v>
      </c>
      <c r="L16" s="552">
        <f t="shared" si="0"/>
        <v>26</v>
      </c>
      <c r="M16" s="553">
        <f t="shared" si="1"/>
        <v>85</v>
      </c>
      <c r="N16" s="68"/>
      <c r="O16"/>
      <c r="P16"/>
      <c r="Q16"/>
      <c r="R16"/>
      <c r="S16"/>
      <c r="T16"/>
      <c r="U16"/>
      <c r="V16"/>
      <c r="W16"/>
      <c r="X16"/>
      <c r="Y16"/>
      <c r="Z16"/>
      <c r="AA16"/>
    </row>
    <row r="17" spans="1:27" ht="13.5" customHeight="1" x14ac:dyDescent="0.2">
      <c r="A17" s="1" t="s">
        <v>594</v>
      </c>
      <c r="B17" s="117" t="s">
        <v>29</v>
      </c>
      <c r="C17" s="116">
        <f>T_13!B14</f>
        <v>2</v>
      </c>
      <c r="D17" s="116">
        <f>T_13!C14</f>
        <v>40</v>
      </c>
      <c r="E17" s="116">
        <f>T_13!D14</f>
        <v>0</v>
      </c>
      <c r="F17" s="116">
        <f>T_13!E14</f>
        <v>8</v>
      </c>
      <c r="G17" s="116">
        <f>T_13!F14</f>
        <v>1</v>
      </c>
      <c r="H17" s="116">
        <f>T_13!G14</f>
        <v>15</v>
      </c>
      <c r="I17" s="116">
        <f>T_13!H14</f>
        <v>31</v>
      </c>
      <c r="J17" s="116">
        <f>T_13!I14</f>
        <v>13</v>
      </c>
      <c r="K17" s="116">
        <f>T_13!J14</f>
        <v>9</v>
      </c>
      <c r="L17" s="552">
        <f t="shared" si="0"/>
        <v>53</v>
      </c>
      <c r="M17" s="553">
        <f t="shared" si="1"/>
        <v>119</v>
      </c>
      <c r="N17" s="68"/>
      <c r="O17"/>
      <c r="P17"/>
      <c r="Q17"/>
      <c r="R17"/>
      <c r="S17"/>
      <c r="T17"/>
      <c r="U17"/>
      <c r="V17"/>
      <c r="W17"/>
      <c r="X17"/>
      <c r="Y17"/>
      <c r="Z17"/>
      <c r="AA17"/>
    </row>
    <row r="18" spans="1:27" ht="13.5" customHeight="1" x14ac:dyDescent="0.2">
      <c r="A18" s="1" t="s">
        <v>595</v>
      </c>
      <c r="B18" s="117" t="s">
        <v>30</v>
      </c>
      <c r="C18" s="116">
        <f>T_13!B15</f>
        <v>1</v>
      </c>
      <c r="D18" s="116">
        <f>T_13!C15</f>
        <v>26</v>
      </c>
      <c r="E18" s="116">
        <f>T_13!D15</f>
        <v>1</v>
      </c>
      <c r="F18" s="116">
        <f>T_13!E15</f>
        <v>3</v>
      </c>
      <c r="G18" s="116">
        <f>T_13!F15</f>
        <v>1</v>
      </c>
      <c r="H18" s="116">
        <f>T_13!G15</f>
        <v>3</v>
      </c>
      <c r="I18" s="116">
        <f>T_13!H15</f>
        <v>17</v>
      </c>
      <c r="J18" s="116">
        <f>T_13!I15</f>
        <v>1</v>
      </c>
      <c r="K18" s="116">
        <f>T_13!J15</f>
        <v>3</v>
      </c>
      <c r="L18" s="552">
        <f t="shared" si="0"/>
        <v>21</v>
      </c>
      <c r="M18" s="553">
        <f t="shared" si="1"/>
        <v>56</v>
      </c>
      <c r="N18" s="68"/>
      <c r="O18"/>
      <c r="P18"/>
      <c r="Q18"/>
      <c r="R18"/>
      <c r="S18"/>
      <c r="T18"/>
      <c r="U18"/>
      <c r="V18"/>
      <c r="W18"/>
      <c r="X18"/>
      <c r="Y18"/>
      <c r="Z18"/>
      <c r="AA18"/>
    </row>
    <row r="19" spans="1:27" ht="13.5" customHeight="1" x14ac:dyDescent="0.2">
      <c r="A19" s="1" t="s">
        <v>596</v>
      </c>
      <c r="B19" s="117" t="s">
        <v>31</v>
      </c>
      <c r="C19" s="116">
        <f>T_13!B16</f>
        <v>0</v>
      </c>
      <c r="D19" s="116">
        <f>T_13!C16</f>
        <v>20</v>
      </c>
      <c r="E19" s="116">
        <f>T_13!D16</f>
        <v>0</v>
      </c>
      <c r="F19" s="116">
        <f>T_13!E16</f>
        <v>2</v>
      </c>
      <c r="G19" s="116">
        <f>T_13!F16</f>
        <v>1</v>
      </c>
      <c r="H19" s="116">
        <f>T_13!G16</f>
        <v>2</v>
      </c>
      <c r="I19" s="116">
        <f>T_13!H16</f>
        <v>5</v>
      </c>
      <c r="J19" s="116">
        <f>T_13!I16</f>
        <v>1</v>
      </c>
      <c r="K19" s="116">
        <f>T_13!J16</f>
        <v>5</v>
      </c>
      <c r="L19" s="552">
        <f t="shared" si="0"/>
        <v>11</v>
      </c>
      <c r="M19" s="553">
        <f t="shared" si="1"/>
        <v>36</v>
      </c>
      <c r="N19" s="68"/>
      <c r="O19"/>
      <c r="P19"/>
      <c r="Q19"/>
      <c r="R19"/>
      <c r="S19"/>
      <c r="T19"/>
      <c r="U19"/>
      <c r="V19"/>
      <c r="W19"/>
      <c r="X19"/>
      <c r="Y19"/>
      <c r="Z19"/>
      <c r="AA19"/>
    </row>
    <row r="20" spans="1:27" ht="13.5" customHeight="1" x14ac:dyDescent="0.2">
      <c r="A20" s="1" t="s">
        <v>597</v>
      </c>
      <c r="B20" s="117" t="s">
        <v>32</v>
      </c>
      <c r="C20" s="116">
        <f>T_13!B17</f>
        <v>0</v>
      </c>
      <c r="D20" s="116">
        <f>T_13!C17</f>
        <v>21</v>
      </c>
      <c r="E20" s="116">
        <f>T_13!D17</f>
        <v>0</v>
      </c>
      <c r="F20" s="116">
        <f>T_13!E17</f>
        <v>2</v>
      </c>
      <c r="G20" s="116">
        <f>T_13!F17</f>
        <v>0</v>
      </c>
      <c r="H20" s="116">
        <f>T_13!G17</f>
        <v>4</v>
      </c>
      <c r="I20" s="116">
        <f>T_13!H17</f>
        <v>10</v>
      </c>
      <c r="J20" s="116">
        <f>T_13!I17</f>
        <v>1</v>
      </c>
      <c r="K20" s="116">
        <f>T_13!J17</f>
        <v>5</v>
      </c>
      <c r="L20" s="552">
        <f t="shared" si="0"/>
        <v>16</v>
      </c>
      <c r="M20" s="553">
        <f t="shared" si="1"/>
        <v>43</v>
      </c>
      <c r="N20" s="68"/>
      <c r="O20"/>
      <c r="P20"/>
      <c r="Q20"/>
      <c r="R20"/>
      <c r="S20"/>
      <c r="T20"/>
      <c r="U20"/>
      <c r="V20"/>
      <c r="W20"/>
      <c r="X20"/>
      <c r="Y20"/>
      <c r="Z20"/>
      <c r="AA20"/>
    </row>
    <row r="21" spans="1:27" ht="13.5" customHeight="1" x14ac:dyDescent="0.2">
      <c r="A21" s="1" t="s">
        <v>598</v>
      </c>
      <c r="B21" s="117" t="s">
        <v>33</v>
      </c>
      <c r="C21" s="116">
        <f>T_13!B18</f>
        <v>0</v>
      </c>
      <c r="D21" s="116">
        <f>T_13!C18</f>
        <v>10</v>
      </c>
      <c r="E21" s="116">
        <f>T_13!D18</f>
        <v>1</v>
      </c>
      <c r="F21" s="116">
        <f>T_13!E18</f>
        <v>2</v>
      </c>
      <c r="G21" s="116">
        <f>T_13!F18</f>
        <v>0</v>
      </c>
      <c r="H21" s="116">
        <f>T_13!G18</f>
        <v>3</v>
      </c>
      <c r="I21" s="116">
        <f>T_13!H18</f>
        <v>14</v>
      </c>
      <c r="J21" s="116">
        <f>T_13!I18</f>
        <v>1</v>
      </c>
      <c r="K21" s="116">
        <f>T_13!J18</f>
        <v>1</v>
      </c>
      <c r="L21" s="552">
        <f t="shared" si="0"/>
        <v>16</v>
      </c>
      <c r="M21" s="553">
        <f t="shared" si="1"/>
        <v>32</v>
      </c>
      <c r="N21" s="68"/>
      <c r="O21"/>
      <c r="P21"/>
      <c r="Q21"/>
      <c r="R21"/>
      <c r="S21"/>
      <c r="T21"/>
      <c r="U21"/>
      <c r="V21"/>
      <c r="W21"/>
      <c r="X21"/>
      <c r="Y21"/>
      <c r="Z21"/>
      <c r="AA21"/>
    </row>
    <row r="22" spans="1:27" ht="13.5" customHeight="1" x14ac:dyDescent="0.2">
      <c r="A22" s="1" t="s">
        <v>599</v>
      </c>
      <c r="B22" s="117" t="s">
        <v>34</v>
      </c>
      <c r="C22" s="116">
        <f>T_13!B19</f>
        <v>2</v>
      </c>
      <c r="D22" s="116">
        <f>T_13!C19</f>
        <v>67</v>
      </c>
      <c r="E22" s="116">
        <f>T_13!D19</f>
        <v>0</v>
      </c>
      <c r="F22" s="116">
        <f>T_13!E19</f>
        <v>9</v>
      </c>
      <c r="G22" s="116">
        <f>T_13!F19</f>
        <v>0</v>
      </c>
      <c r="H22" s="116">
        <f>T_13!G19</f>
        <v>8</v>
      </c>
      <c r="I22" s="116">
        <f>T_13!H19</f>
        <v>13</v>
      </c>
      <c r="J22" s="116">
        <f>T_13!I19</f>
        <v>5</v>
      </c>
      <c r="K22" s="116">
        <f>T_13!J19</f>
        <v>6</v>
      </c>
      <c r="L22" s="552">
        <f t="shared" si="0"/>
        <v>24</v>
      </c>
      <c r="M22" s="553">
        <f t="shared" si="1"/>
        <v>110</v>
      </c>
      <c r="N22" s="68"/>
      <c r="O22"/>
      <c r="P22"/>
      <c r="Q22"/>
      <c r="R22"/>
      <c r="S22"/>
      <c r="T22"/>
      <c r="U22"/>
      <c r="V22"/>
      <c r="W22"/>
      <c r="X22"/>
      <c r="Y22"/>
      <c r="Z22"/>
      <c r="AA22"/>
    </row>
    <row r="23" spans="1:27" ht="13.5" customHeight="1" x14ac:dyDescent="0.2">
      <c r="A23" s="1" t="s">
        <v>600</v>
      </c>
      <c r="B23" s="117" t="s">
        <v>35</v>
      </c>
      <c r="C23" s="116">
        <f>T_13!B20</f>
        <v>3</v>
      </c>
      <c r="D23" s="116">
        <f>T_13!C20</f>
        <v>80</v>
      </c>
      <c r="E23" s="116">
        <f>T_13!D20</f>
        <v>0</v>
      </c>
      <c r="F23" s="116">
        <f>T_13!E20</f>
        <v>18</v>
      </c>
      <c r="G23" s="116">
        <f>T_13!F20</f>
        <v>1</v>
      </c>
      <c r="H23" s="116">
        <f>T_13!G20</f>
        <v>21</v>
      </c>
      <c r="I23" s="116">
        <f>T_13!H20</f>
        <v>39</v>
      </c>
      <c r="J23" s="116">
        <f>T_13!I20</f>
        <v>7</v>
      </c>
      <c r="K23" s="116">
        <f>T_13!J20</f>
        <v>24</v>
      </c>
      <c r="L23" s="552">
        <f>SUM(I23:K23)</f>
        <v>70</v>
      </c>
      <c r="M23" s="553">
        <f>SUM(C23:K23)</f>
        <v>193</v>
      </c>
      <c r="N23" s="68"/>
      <c r="O23"/>
      <c r="P23"/>
      <c r="Q23"/>
      <c r="R23"/>
      <c r="S23"/>
      <c r="T23"/>
      <c r="U23"/>
      <c r="V23"/>
      <c r="W23"/>
      <c r="X23"/>
      <c r="Y23"/>
      <c r="Z23"/>
      <c r="AA23"/>
    </row>
    <row r="24" spans="1:27" ht="13.5" customHeight="1" x14ac:dyDescent="0.2">
      <c r="A24" s="1" t="s">
        <v>601</v>
      </c>
      <c r="B24" s="117" t="s">
        <v>36</v>
      </c>
      <c r="C24" s="116">
        <f>T_13!B21</f>
        <v>2</v>
      </c>
      <c r="D24" s="116">
        <f>T_13!C21</f>
        <v>52</v>
      </c>
      <c r="E24" s="116">
        <f>T_13!D21</f>
        <v>0</v>
      </c>
      <c r="F24" s="116">
        <f>T_13!E21</f>
        <v>17</v>
      </c>
      <c r="G24" s="116">
        <f>T_13!F21</f>
        <v>5</v>
      </c>
      <c r="H24" s="116">
        <f>T_13!G21</f>
        <v>39</v>
      </c>
      <c r="I24" s="116">
        <f>T_13!H21</f>
        <v>120</v>
      </c>
      <c r="J24" s="116">
        <f>T_13!I21</f>
        <v>15</v>
      </c>
      <c r="K24" s="116">
        <f>T_13!J21</f>
        <v>62</v>
      </c>
      <c r="L24" s="552">
        <f t="shared" si="0"/>
        <v>197</v>
      </c>
      <c r="M24" s="553">
        <f t="shared" si="1"/>
        <v>312</v>
      </c>
      <c r="N24" s="68"/>
      <c r="O24"/>
      <c r="P24"/>
      <c r="Q24"/>
      <c r="R24"/>
      <c r="S24"/>
      <c r="T24"/>
      <c r="U24"/>
      <c r="V24"/>
      <c r="W24"/>
      <c r="X24"/>
      <c r="Y24"/>
      <c r="Z24"/>
      <c r="AA24"/>
    </row>
    <row r="25" spans="1:27" ht="13.5" customHeight="1" x14ac:dyDescent="0.2">
      <c r="A25" s="1" t="s">
        <v>602</v>
      </c>
      <c r="B25" s="117" t="s">
        <v>37</v>
      </c>
      <c r="C25" s="116">
        <f>T_13!B22</f>
        <v>2</v>
      </c>
      <c r="D25" s="116">
        <f>T_13!C22</f>
        <v>170</v>
      </c>
      <c r="E25" s="116">
        <f>T_13!D22</f>
        <v>3</v>
      </c>
      <c r="F25" s="116">
        <f>T_13!E22</f>
        <v>5</v>
      </c>
      <c r="G25" s="116">
        <f>T_13!F22</f>
        <v>3</v>
      </c>
      <c r="H25" s="116">
        <f>T_13!G22</f>
        <v>16</v>
      </c>
      <c r="I25" s="116">
        <f>T_13!H22</f>
        <v>14</v>
      </c>
      <c r="J25" s="116">
        <f>T_13!I22</f>
        <v>6</v>
      </c>
      <c r="K25" s="116">
        <f>T_13!J22</f>
        <v>15</v>
      </c>
      <c r="L25" s="552">
        <f t="shared" si="0"/>
        <v>35</v>
      </c>
      <c r="M25" s="553">
        <f t="shared" si="1"/>
        <v>234</v>
      </c>
      <c r="N25" s="68"/>
      <c r="O25"/>
      <c r="P25"/>
      <c r="Q25"/>
      <c r="R25"/>
      <c r="S25"/>
      <c r="T25"/>
      <c r="U25"/>
      <c r="V25"/>
      <c r="W25"/>
      <c r="X25"/>
      <c r="Y25"/>
      <c r="Z25"/>
      <c r="AA25"/>
    </row>
    <row r="26" spans="1:27" ht="13.5" customHeight="1" x14ac:dyDescent="0.2">
      <c r="A26" s="1" t="s">
        <v>603</v>
      </c>
      <c r="B26" s="117" t="s">
        <v>38</v>
      </c>
      <c r="C26" s="116">
        <f>T_13!B23</f>
        <v>0</v>
      </c>
      <c r="D26" s="116">
        <f>T_13!C23</f>
        <v>14</v>
      </c>
      <c r="E26" s="116">
        <f>T_13!D23</f>
        <v>0</v>
      </c>
      <c r="F26" s="116">
        <f>T_13!E23</f>
        <v>1</v>
      </c>
      <c r="G26" s="116">
        <f>T_13!F23</f>
        <v>1</v>
      </c>
      <c r="H26" s="116">
        <f>T_13!G23</f>
        <v>5</v>
      </c>
      <c r="I26" s="116">
        <f>T_13!H23</f>
        <v>4</v>
      </c>
      <c r="J26" s="116">
        <f>T_13!I23</f>
        <v>0</v>
      </c>
      <c r="K26" s="116">
        <f>T_13!J23</f>
        <v>1</v>
      </c>
      <c r="L26" s="552">
        <f t="shared" si="0"/>
        <v>5</v>
      </c>
      <c r="M26" s="553">
        <f t="shared" si="1"/>
        <v>26</v>
      </c>
      <c r="N26" s="68"/>
      <c r="O26"/>
      <c r="P26"/>
      <c r="Q26"/>
      <c r="R26"/>
      <c r="S26"/>
      <c r="T26"/>
      <c r="U26"/>
      <c r="V26"/>
      <c r="W26"/>
      <c r="X26"/>
      <c r="Y26"/>
      <c r="Z26"/>
      <c r="AA26"/>
    </row>
    <row r="27" spans="1:27" ht="13.5" customHeight="1" x14ac:dyDescent="0.2">
      <c r="A27" s="1" t="s">
        <v>604</v>
      </c>
      <c r="B27" s="117" t="s">
        <v>39</v>
      </c>
      <c r="C27" s="116">
        <f>T_13!B24</f>
        <v>2</v>
      </c>
      <c r="D27" s="116">
        <f>T_13!C24</f>
        <v>15</v>
      </c>
      <c r="E27" s="116">
        <f>T_13!D24</f>
        <v>1</v>
      </c>
      <c r="F27" s="116">
        <f>T_13!E24</f>
        <v>5</v>
      </c>
      <c r="G27" s="116">
        <f>T_13!F24</f>
        <v>0</v>
      </c>
      <c r="H27" s="116">
        <f>T_13!G24</f>
        <v>5</v>
      </c>
      <c r="I27" s="116">
        <f>T_13!H24</f>
        <v>8</v>
      </c>
      <c r="J27" s="116">
        <f>T_13!I24</f>
        <v>2</v>
      </c>
      <c r="K27" s="116">
        <f>T_13!J24</f>
        <v>7</v>
      </c>
      <c r="L27" s="552">
        <f t="shared" si="0"/>
        <v>17</v>
      </c>
      <c r="M27" s="553">
        <f t="shared" si="1"/>
        <v>45</v>
      </c>
      <c r="N27" s="68"/>
      <c r="O27"/>
      <c r="P27"/>
      <c r="Q27"/>
      <c r="R27"/>
      <c r="S27"/>
      <c r="T27"/>
      <c r="U27"/>
      <c r="V27"/>
      <c r="W27"/>
      <c r="X27"/>
      <c r="Y27"/>
      <c r="Z27"/>
      <c r="AA27"/>
    </row>
    <row r="28" spans="1:27" ht="13.5" customHeight="1" x14ac:dyDescent="0.2">
      <c r="A28" s="1" t="s">
        <v>605</v>
      </c>
      <c r="B28" s="117" t="s">
        <v>40</v>
      </c>
      <c r="C28" s="116">
        <f>T_13!B25</f>
        <v>0</v>
      </c>
      <c r="D28" s="116">
        <f>T_13!C25</f>
        <v>38</v>
      </c>
      <c r="E28" s="116">
        <f>T_13!D25</f>
        <v>1</v>
      </c>
      <c r="F28" s="116">
        <f>T_13!E25</f>
        <v>5</v>
      </c>
      <c r="G28" s="116">
        <f>T_13!F25</f>
        <v>0</v>
      </c>
      <c r="H28" s="116">
        <f>T_13!G25</f>
        <v>6</v>
      </c>
      <c r="I28" s="116">
        <f>T_13!H25</f>
        <v>9</v>
      </c>
      <c r="J28" s="116">
        <f>T_13!I25</f>
        <v>1</v>
      </c>
      <c r="K28" s="116">
        <f>T_13!J25</f>
        <v>5</v>
      </c>
      <c r="L28" s="552">
        <f t="shared" si="0"/>
        <v>15</v>
      </c>
      <c r="M28" s="553">
        <f t="shared" si="1"/>
        <v>65</v>
      </c>
      <c r="N28" s="68"/>
      <c r="O28"/>
      <c r="P28"/>
      <c r="Q28"/>
      <c r="R28"/>
      <c r="S28"/>
      <c r="T28"/>
      <c r="U28"/>
      <c r="V28"/>
      <c r="W28"/>
      <c r="X28"/>
      <c r="Y28"/>
      <c r="Z28"/>
      <c r="AA28"/>
    </row>
    <row r="29" spans="1:27" ht="13.5" customHeight="1" x14ac:dyDescent="0.2">
      <c r="A29" s="1" t="s">
        <v>606</v>
      </c>
      <c r="B29" s="117" t="s">
        <v>295</v>
      </c>
      <c r="C29" s="116">
        <f>T_13!B26</f>
        <v>3</v>
      </c>
      <c r="D29" s="116">
        <f>T_13!C26</f>
        <v>52</v>
      </c>
      <c r="E29" s="116">
        <f>T_13!D26</f>
        <v>0</v>
      </c>
      <c r="F29" s="116">
        <f>T_13!E26</f>
        <v>1</v>
      </c>
      <c r="G29" s="116">
        <f>T_13!F26</f>
        <v>0</v>
      </c>
      <c r="H29" s="116">
        <f>T_13!G26</f>
        <v>1</v>
      </c>
      <c r="I29" s="116">
        <f>T_13!H26</f>
        <v>0</v>
      </c>
      <c r="J29" s="116">
        <f>T_13!I26</f>
        <v>0</v>
      </c>
      <c r="K29" s="116">
        <f>T_13!J26</f>
        <v>1</v>
      </c>
      <c r="L29" s="552">
        <f>SUM(I29:K29)</f>
        <v>1</v>
      </c>
      <c r="M29" s="553">
        <f t="shared" si="1"/>
        <v>58</v>
      </c>
      <c r="N29" s="68"/>
      <c r="O29"/>
      <c r="P29"/>
      <c r="Q29"/>
      <c r="R29"/>
      <c r="S29"/>
      <c r="T29"/>
      <c r="U29"/>
      <c r="V29"/>
      <c r="W29"/>
      <c r="X29"/>
      <c r="Y29"/>
      <c r="Z29"/>
      <c r="AA29"/>
    </row>
    <row r="30" spans="1:27" ht="13.5" customHeight="1" x14ac:dyDescent="0.2">
      <c r="A30" s="1" t="s">
        <v>607</v>
      </c>
      <c r="B30" s="117" t="s">
        <v>41</v>
      </c>
      <c r="C30" s="116">
        <f>T_13!B27</f>
        <v>0</v>
      </c>
      <c r="D30" s="116">
        <f>T_13!C27</f>
        <v>27</v>
      </c>
      <c r="E30" s="116">
        <f>T_13!D27</f>
        <v>0</v>
      </c>
      <c r="F30" s="116">
        <f>T_13!E27</f>
        <v>5</v>
      </c>
      <c r="G30" s="116">
        <f>T_13!F27</f>
        <v>2</v>
      </c>
      <c r="H30" s="116">
        <f>T_13!G27</f>
        <v>7</v>
      </c>
      <c r="I30" s="116">
        <f>T_13!H27</f>
        <v>7</v>
      </c>
      <c r="J30" s="116">
        <f>T_13!I27</f>
        <v>0</v>
      </c>
      <c r="K30" s="116">
        <f>T_13!J27</f>
        <v>6</v>
      </c>
      <c r="L30" s="552">
        <f t="shared" si="0"/>
        <v>13</v>
      </c>
      <c r="M30" s="553">
        <f>SUM(C30:K30)</f>
        <v>54</v>
      </c>
      <c r="N30" s="68"/>
      <c r="O30"/>
      <c r="P30"/>
      <c r="Q30"/>
      <c r="R30"/>
      <c r="S30"/>
      <c r="T30"/>
      <c r="U30"/>
      <c r="V30"/>
      <c r="W30"/>
      <c r="X30"/>
      <c r="Y30"/>
      <c r="Z30"/>
      <c r="AA30"/>
    </row>
    <row r="31" spans="1:27" ht="13.5" customHeight="1" x14ac:dyDescent="0.2">
      <c r="A31" s="1" t="s">
        <v>608</v>
      </c>
      <c r="B31" s="117" t="s">
        <v>42</v>
      </c>
      <c r="C31" s="116">
        <f>T_13!B28</f>
        <v>2</v>
      </c>
      <c r="D31" s="116">
        <f>T_13!C28</f>
        <v>67</v>
      </c>
      <c r="E31" s="116">
        <f>T_13!D28</f>
        <v>3</v>
      </c>
      <c r="F31" s="116">
        <f>T_13!E28</f>
        <v>15</v>
      </c>
      <c r="G31" s="116">
        <f>T_13!F28</f>
        <v>3</v>
      </c>
      <c r="H31" s="116">
        <f>T_13!G28</f>
        <v>20</v>
      </c>
      <c r="I31" s="116">
        <f>T_13!H28</f>
        <v>18</v>
      </c>
      <c r="J31" s="116">
        <f>T_13!I28</f>
        <v>5</v>
      </c>
      <c r="K31" s="116">
        <f>T_13!J28</f>
        <v>29</v>
      </c>
      <c r="L31" s="552">
        <f t="shared" si="0"/>
        <v>52</v>
      </c>
      <c r="M31" s="553">
        <f t="shared" si="1"/>
        <v>162</v>
      </c>
      <c r="N31" s="68"/>
      <c r="O31"/>
      <c r="P31"/>
      <c r="Q31"/>
      <c r="R31"/>
      <c r="S31"/>
      <c r="T31"/>
      <c r="U31"/>
      <c r="V31"/>
      <c r="W31"/>
      <c r="X31"/>
      <c r="Y31"/>
      <c r="Z31"/>
      <c r="AA31"/>
    </row>
    <row r="32" spans="1:27" ht="13.5" customHeight="1" x14ac:dyDescent="0.2">
      <c r="A32" s="1" t="s">
        <v>609</v>
      </c>
      <c r="B32" s="117" t="s">
        <v>43</v>
      </c>
      <c r="C32" s="116">
        <f>T_13!B29</f>
        <v>0</v>
      </c>
      <c r="D32" s="116">
        <f>T_13!C29</f>
        <v>4</v>
      </c>
      <c r="E32" s="116">
        <f>T_13!D29</f>
        <v>1</v>
      </c>
      <c r="F32" s="116">
        <f>T_13!E29</f>
        <v>1</v>
      </c>
      <c r="G32" s="116">
        <f>T_13!F29</f>
        <v>0</v>
      </c>
      <c r="H32" s="116">
        <f>T_13!G29</f>
        <v>1</v>
      </c>
      <c r="I32" s="116">
        <f>T_13!H29</f>
        <v>1</v>
      </c>
      <c r="J32" s="116">
        <f>T_13!I29</f>
        <v>0</v>
      </c>
      <c r="K32" s="116">
        <f>T_13!J29</f>
        <v>0</v>
      </c>
      <c r="L32" s="552">
        <f t="shared" si="0"/>
        <v>1</v>
      </c>
      <c r="M32" s="553">
        <f t="shared" si="1"/>
        <v>8</v>
      </c>
      <c r="N32" s="68"/>
      <c r="O32"/>
      <c r="P32"/>
      <c r="Q32"/>
      <c r="R32"/>
      <c r="S32"/>
      <c r="T32"/>
      <c r="U32"/>
      <c r="V32"/>
      <c r="W32"/>
      <c r="X32"/>
      <c r="Y32"/>
      <c r="Z32"/>
      <c r="AA32"/>
    </row>
    <row r="33" spans="1:27" ht="13.5" customHeight="1" x14ac:dyDescent="0.2">
      <c r="A33" s="1" t="s">
        <v>610</v>
      </c>
      <c r="B33" s="117" t="s">
        <v>44</v>
      </c>
      <c r="C33" s="116">
        <f>T_13!B30</f>
        <v>2</v>
      </c>
      <c r="D33" s="116">
        <f>T_13!C30</f>
        <v>42</v>
      </c>
      <c r="E33" s="116">
        <f>T_13!D30</f>
        <v>1</v>
      </c>
      <c r="F33" s="116">
        <f>T_13!E30</f>
        <v>4</v>
      </c>
      <c r="G33" s="116">
        <f>T_13!F30</f>
        <v>2</v>
      </c>
      <c r="H33" s="116">
        <f>T_13!G30</f>
        <v>5</v>
      </c>
      <c r="I33" s="116">
        <f>T_13!H30</f>
        <v>18</v>
      </c>
      <c r="J33" s="116">
        <f>T_13!I30</f>
        <v>3</v>
      </c>
      <c r="K33" s="116">
        <f>T_13!J30</f>
        <v>4</v>
      </c>
      <c r="L33" s="552">
        <f t="shared" si="0"/>
        <v>25</v>
      </c>
      <c r="M33" s="553">
        <f t="shared" si="1"/>
        <v>81</v>
      </c>
      <c r="N33" s="68"/>
      <c r="O33"/>
      <c r="P33"/>
      <c r="Q33"/>
      <c r="R33"/>
      <c r="S33"/>
      <c r="T33"/>
      <c r="U33"/>
      <c r="V33"/>
      <c r="W33"/>
      <c r="X33"/>
      <c r="Y33"/>
      <c r="Z33"/>
      <c r="AA33"/>
    </row>
    <row r="34" spans="1:27" ht="13.5" customHeight="1" x14ac:dyDescent="0.2">
      <c r="A34" s="1" t="s">
        <v>611</v>
      </c>
      <c r="B34" s="117" t="s">
        <v>45</v>
      </c>
      <c r="C34" s="116">
        <f>T_13!B31</f>
        <v>0</v>
      </c>
      <c r="D34" s="116">
        <f>T_13!C31</f>
        <v>24</v>
      </c>
      <c r="E34" s="116">
        <f>T_13!D31</f>
        <v>0</v>
      </c>
      <c r="F34" s="116">
        <f>T_13!E31</f>
        <v>4</v>
      </c>
      <c r="G34" s="116">
        <f>T_13!F31</f>
        <v>1</v>
      </c>
      <c r="H34" s="116">
        <f>T_13!G31</f>
        <v>5</v>
      </c>
      <c r="I34" s="116">
        <f>T_13!H31</f>
        <v>17</v>
      </c>
      <c r="J34" s="116">
        <f>T_13!I31</f>
        <v>3</v>
      </c>
      <c r="K34" s="116">
        <f>T_13!J31</f>
        <v>19</v>
      </c>
      <c r="L34" s="552">
        <f t="shared" si="0"/>
        <v>39</v>
      </c>
      <c r="M34" s="553">
        <f t="shared" si="1"/>
        <v>73</v>
      </c>
      <c r="N34" s="68"/>
      <c r="O34"/>
      <c r="P34"/>
      <c r="Q34"/>
      <c r="R34"/>
      <c r="S34"/>
      <c r="T34"/>
      <c r="U34"/>
      <c r="V34"/>
      <c r="W34"/>
      <c r="X34"/>
      <c r="Y34"/>
      <c r="Z34"/>
      <c r="AA34"/>
    </row>
    <row r="35" spans="1:27" ht="13.5" customHeight="1" x14ac:dyDescent="0.2">
      <c r="A35" s="1" t="s">
        <v>612</v>
      </c>
      <c r="B35" s="117" t="s">
        <v>46</v>
      </c>
      <c r="C35" s="116">
        <f>T_13!B32</f>
        <v>0</v>
      </c>
      <c r="D35" s="116">
        <f>T_13!C32</f>
        <v>12</v>
      </c>
      <c r="E35" s="116">
        <f>T_13!D32</f>
        <v>1</v>
      </c>
      <c r="F35" s="116">
        <f>T_13!E32</f>
        <v>3</v>
      </c>
      <c r="G35" s="116">
        <f>T_13!F32</f>
        <v>0</v>
      </c>
      <c r="H35" s="116">
        <f>T_13!G32</f>
        <v>2</v>
      </c>
      <c r="I35" s="116">
        <f>T_13!H32</f>
        <v>7</v>
      </c>
      <c r="J35" s="116">
        <f>T_13!I32</f>
        <v>3</v>
      </c>
      <c r="K35" s="116">
        <f>T_13!J32</f>
        <v>2</v>
      </c>
      <c r="L35" s="552">
        <f t="shared" si="0"/>
        <v>12</v>
      </c>
      <c r="M35" s="553">
        <f t="shared" si="1"/>
        <v>30</v>
      </c>
      <c r="N35" s="68"/>
      <c r="O35"/>
      <c r="P35"/>
      <c r="Q35"/>
      <c r="R35"/>
      <c r="S35"/>
      <c r="T35"/>
      <c r="U35"/>
      <c r="V35"/>
      <c r="W35"/>
      <c r="X35"/>
      <c r="Y35"/>
      <c r="Z35"/>
      <c r="AA35"/>
    </row>
    <row r="36" spans="1:27" ht="13.5" customHeight="1" x14ac:dyDescent="0.2">
      <c r="A36" s="1" t="s">
        <v>613</v>
      </c>
      <c r="B36" s="117" t="s">
        <v>47</v>
      </c>
      <c r="C36" s="116">
        <f>T_13!B33</f>
        <v>0</v>
      </c>
      <c r="D36" s="116">
        <f>T_13!C33</f>
        <v>6</v>
      </c>
      <c r="E36" s="116">
        <f>T_13!D33</f>
        <v>0</v>
      </c>
      <c r="F36" s="116">
        <f>T_13!E33</f>
        <v>2</v>
      </c>
      <c r="G36" s="116">
        <f>T_13!F33</f>
        <v>0</v>
      </c>
      <c r="H36" s="116">
        <f>T_13!G33</f>
        <v>0</v>
      </c>
      <c r="I36" s="116">
        <f>T_13!H33</f>
        <v>0</v>
      </c>
      <c r="J36" s="116">
        <f>T_13!I33</f>
        <v>0</v>
      </c>
      <c r="K36" s="116">
        <f>T_13!J33</f>
        <v>1</v>
      </c>
      <c r="L36" s="552">
        <f t="shared" si="0"/>
        <v>1</v>
      </c>
      <c r="M36" s="553">
        <f t="shared" si="1"/>
        <v>9</v>
      </c>
      <c r="N36" s="68"/>
      <c r="O36"/>
      <c r="P36"/>
      <c r="Q36"/>
      <c r="R36"/>
      <c r="S36"/>
      <c r="T36"/>
      <c r="U36"/>
      <c r="V36"/>
      <c r="W36"/>
      <c r="X36"/>
      <c r="Y36"/>
      <c r="Z36"/>
      <c r="AA36"/>
    </row>
    <row r="37" spans="1:27" ht="13.5" customHeight="1" x14ac:dyDescent="0.2">
      <c r="A37" s="1" t="s">
        <v>614</v>
      </c>
      <c r="B37" s="117" t="s">
        <v>48</v>
      </c>
      <c r="C37" s="116">
        <f>T_13!B34</f>
        <v>1</v>
      </c>
      <c r="D37" s="116">
        <f>T_13!C34</f>
        <v>30</v>
      </c>
      <c r="E37" s="116">
        <f>T_13!D34</f>
        <v>1</v>
      </c>
      <c r="F37" s="116">
        <f>T_13!E34</f>
        <v>3</v>
      </c>
      <c r="G37" s="116">
        <f>T_13!F34</f>
        <v>1</v>
      </c>
      <c r="H37" s="116">
        <f>T_13!G34</f>
        <v>3</v>
      </c>
      <c r="I37" s="116">
        <f>T_13!H34</f>
        <v>20</v>
      </c>
      <c r="J37" s="116">
        <f>T_13!I34</f>
        <v>1</v>
      </c>
      <c r="K37" s="116">
        <f>T_13!J34</f>
        <v>4</v>
      </c>
      <c r="L37" s="552">
        <f t="shared" si="0"/>
        <v>25</v>
      </c>
      <c r="M37" s="553">
        <f t="shared" si="1"/>
        <v>64</v>
      </c>
      <c r="N37" s="68"/>
      <c r="O37"/>
      <c r="P37"/>
      <c r="Q37"/>
      <c r="R37"/>
      <c r="S37"/>
      <c r="T37"/>
      <c r="U37"/>
      <c r="V37"/>
      <c r="W37"/>
      <c r="X37"/>
      <c r="Y37"/>
      <c r="Z37"/>
      <c r="AA37"/>
    </row>
    <row r="38" spans="1:27" ht="13.5" customHeight="1" x14ac:dyDescent="0.2">
      <c r="A38" s="1" t="s">
        <v>615</v>
      </c>
      <c r="B38" s="117" t="s">
        <v>49</v>
      </c>
      <c r="C38" s="116">
        <f>T_13!B35</f>
        <v>1</v>
      </c>
      <c r="D38" s="116">
        <f>T_13!C35</f>
        <v>66</v>
      </c>
      <c r="E38" s="116">
        <f>T_13!D35</f>
        <v>2</v>
      </c>
      <c r="F38" s="116">
        <f>T_13!E35</f>
        <v>4</v>
      </c>
      <c r="G38" s="116">
        <f>T_13!F35</f>
        <v>0</v>
      </c>
      <c r="H38" s="116">
        <f>T_13!G35</f>
        <v>11</v>
      </c>
      <c r="I38" s="116">
        <f>T_13!H35</f>
        <v>17</v>
      </c>
      <c r="J38" s="116">
        <f>T_13!I35</f>
        <v>4</v>
      </c>
      <c r="K38" s="116">
        <f>T_13!J35</f>
        <v>21</v>
      </c>
      <c r="L38" s="552">
        <f t="shared" si="0"/>
        <v>42</v>
      </c>
      <c r="M38" s="553">
        <f t="shared" si="1"/>
        <v>126</v>
      </c>
      <c r="N38" s="68"/>
      <c r="O38"/>
      <c r="P38"/>
      <c r="Q38"/>
      <c r="R38"/>
      <c r="S38"/>
      <c r="T38"/>
      <c r="U38"/>
      <c r="V38"/>
      <c r="W38"/>
      <c r="X38"/>
      <c r="Y38"/>
      <c r="Z38"/>
      <c r="AA38"/>
    </row>
    <row r="39" spans="1:27" ht="13.5" customHeight="1" x14ac:dyDescent="0.2">
      <c r="A39" s="1" t="s">
        <v>616</v>
      </c>
      <c r="B39" s="117" t="s">
        <v>50</v>
      </c>
      <c r="C39" s="116">
        <f>T_13!B36</f>
        <v>0</v>
      </c>
      <c r="D39" s="116">
        <f>T_13!C36</f>
        <v>39</v>
      </c>
      <c r="E39" s="116">
        <f>T_13!D36</f>
        <v>0</v>
      </c>
      <c r="F39" s="116">
        <f>T_13!E36</f>
        <v>3</v>
      </c>
      <c r="G39" s="116">
        <f>T_13!F36</f>
        <v>1</v>
      </c>
      <c r="H39" s="116">
        <f>T_13!G36</f>
        <v>6</v>
      </c>
      <c r="I39" s="116">
        <f>T_13!H36</f>
        <v>16</v>
      </c>
      <c r="J39" s="116">
        <f>T_13!I36</f>
        <v>1</v>
      </c>
      <c r="K39" s="116">
        <f>T_13!J36</f>
        <v>6</v>
      </c>
      <c r="L39" s="552">
        <f t="shared" si="0"/>
        <v>23</v>
      </c>
      <c r="M39" s="553">
        <f t="shared" si="1"/>
        <v>72</v>
      </c>
      <c r="N39" s="68"/>
      <c r="O39"/>
      <c r="P39"/>
      <c r="Q39"/>
      <c r="R39"/>
      <c r="S39"/>
      <c r="T39"/>
      <c r="U39"/>
      <c r="V39"/>
      <c r="W39"/>
      <c r="X39"/>
      <c r="Y39"/>
      <c r="Z39"/>
      <c r="AA39"/>
    </row>
    <row r="40" spans="1:27" ht="13.5" customHeight="1" x14ac:dyDescent="0.2">
      <c r="A40" s="1" t="s">
        <v>617</v>
      </c>
      <c r="B40" s="117" t="s">
        <v>51</v>
      </c>
      <c r="C40" s="116">
        <f>T_13!B37</f>
        <v>0</v>
      </c>
      <c r="D40" s="116">
        <f>T_13!C37</f>
        <v>8</v>
      </c>
      <c r="E40" s="116">
        <f>T_13!D37</f>
        <v>0</v>
      </c>
      <c r="F40" s="116">
        <f>T_13!E37</f>
        <v>2</v>
      </c>
      <c r="G40" s="116">
        <f>T_13!F37</f>
        <v>0</v>
      </c>
      <c r="H40" s="116">
        <f>T_13!G37</f>
        <v>2</v>
      </c>
      <c r="I40" s="116">
        <f>T_13!H37</f>
        <v>8</v>
      </c>
      <c r="J40" s="116">
        <f>T_13!I37</f>
        <v>1</v>
      </c>
      <c r="K40" s="116">
        <f>T_13!J37</f>
        <v>1</v>
      </c>
      <c r="L40" s="552">
        <f t="shared" si="0"/>
        <v>10</v>
      </c>
      <c r="M40" s="553">
        <f t="shared" si="1"/>
        <v>22</v>
      </c>
      <c r="N40" s="68"/>
      <c r="O40"/>
      <c r="P40"/>
      <c r="Q40"/>
      <c r="R40"/>
      <c r="S40"/>
      <c r="T40"/>
      <c r="U40"/>
      <c r="V40"/>
      <c r="W40"/>
      <c r="X40"/>
      <c r="Y40"/>
      <c r="Z40"/>
      <c r="AA40"/>
    </row>
    <row r="41" spans="1:27" ht="13.5" customHeight="1" x14ac:dyDescent="0.2">
      <c r="A41" s="1" t="s">
        <v>618</v>
      </c>
      <c r="B41" s="117" t="s">
        <v>52</v>
      </c>
      <c r="C41" s="116">
        <f>T_13!B38</f>
        <v>0</v>
      </c>
      <c r="D41" s="116">
        <f>T_13!C38</f>
        <v>66</v>
      </c>
      <c r="E41" s="116">
        <f>T_13!D38</f>
        <v>0</v>
      </c>
      <c r="F41" s="116">
        <f>T_13!E38</f>
        <v>10</v>
      </c>
      <c r="G41" s="116">
        <f>T_13!F38</f>
        <v>3</v>
      </c>
      <c r="H41" s="116">
        <f>T_13!G38</f>
        <v>16</v>
      </c>
      <c r="I41" s="116">
        <f>T_13!H38</f>
        <v>27</v>
      </c>
      <c r="J41" s="116">
        <f>T_13!I38</f>
        <v>4</v>
      </c>
      <c r="K41" s="116">
        <f>T_13!J38</f>
        <v>4</v>
      </c>
      <c r="L41" s="552">
        <f t="shared" si="0"/>
        <v>35</v>
      </c>
      <c r="M41" s="553">
        <f t="shared" si="1"/>
        <v>130</v>
      </c>
      <c r="N41" s="68"/>
      <c r="O41"/>
      <c r="P41"/>
      <c r="Q41"/>
      <c r="R41"/>
      <c r="S41"/>
      <c r="T41"/>
      <c r="U41"/>
      <c r="V41"/>
      <c r="W41"/>
      <c r="X41"/>
      <c r="Y41"/>
      <c r="Z41"/>
      <c r="AA41"/>
    </row>
    <row r="42" spans="1:27" ht="13.5" customHeight="1" x14ac:dyDescent="0.2">
      <c r="A42" s="63"/>
      <c r="B42" s="117" t="str">
        <f>IF(T_13!$A$39 = "Z_Not Known", "Not Known","")</f>
        <v/>
      </c>
      <c r="C42" s="116" t="str">
        <f>IF(T_13!$A$39 = "Z_Not Known",T_13!B39,"")</f>
        <v/>
      </c>
      <c r="D42" s="116" t="str">
        <f>IF(T_13!$A$39 = "Z_Not Known",T_13!C39,"")</f>
        <v/>
      </c>
      <c r="E42" s="116" t="str">
        <f>IF(T_13!$A$39 = "Z_Not Known",T_13!D39,"")</f>
        <v/>
      </c>
      <c r="F42" s="116" t="str">
        <f>IF(T_13!$A$39 = "Z_Not Known",T_13!E39,"")</f>
        <v/>
      </c>
      <c r="G42" s="116" t="str">
        <f>IF(T_13!$A$39 = "Z_Not Known",T_13!F39,"")</f>
        <v/>
      </c>
      <c r="H42" s="116" t="str">
        <f>IF(T_13!$A$39 = "Z_Not Known",T_13!G39,"")</f>
        <v/>
      </c>
      <c r="I42" s="116" t="str">
        <f>IF(T_13!$A$39 = "Z_Not Known",T_13!H39,"")</f>
        <v/>
      </c>
      <c r="J42" s="116" t="str">
        <f>IF(T_13!$A$39 = "Z_Not Known",T_13!I39,"")</f>
        <v/>
      </c>
      <c r="K42" s="116" t="str">
        <f>IF(T_13!$A$39 = "Z_Not Known",T_13!J39,"")</f>
        <v/>
      </c>
      <c r="L42" s="552" t="str">
        <f>IF(T_13!$A$39 = "Z_Not Known",SUM(I42:K42),"")</f>
        <v/>
      </c>
      <c r="M42" s="553" t="str">
        <f>IF(T_13!$A$39 = "Z_Not Known",SUM(C42:K42),"")</f>
        <v/>
      </c>
      <c r="N42" s="68"/>
      <c r="O42"/>
      <c r="P42"/>
      <c r="Q42"/>
      <c r="R42"/>
      <c r="S42"/>
      <c r="T42"/>
      <c r="U42"/>
      <c r="V42"/>
      <c r="W42"/>
      <c r="X42"/>
      <c r="Y42"/>
      <c r="Z42"/>
      <c r="AA42"/>
    </row>
    <row r="43" spans="1:27" ht="30" customHeight="1" thickBot="1" x14ac:dyDescent="0.25">
      <c r="A43" s="522" t="s">
        <v>620</v>
      </c>
      <c r="B43" s="360" t="s">
        <v>143</v>
      </c>
      <c r="C43" s="673">
        <f>SUM(C10:C42)</f>
        <v>34</v>
      </c>
      <c r="D43" s="673">
        <f t="shared" ref="D43:M43" si="2">SUM(D10:D42)</f>
        <v>1302</v>
      </c>
      <c r="E43" s="673">
        <f t="shared" si="2"/>
        <v>26</v>
      </c>
      <c r="F43" s="673">
        <f t="shared" si="2"/>
        <v>188</v>
      </c>
      <c r="G43" s="673">
        <f t="shared" si="2"/>
        <v>29</v>
      </c>
      <c r="H43" s="673">
        <f t="shared" si="2"/>
        <v>284</v>
      </c>
      <c r="I43" s="673">
        <f t="shared" si="2"/>
        <v>740</v>
      </c>
      <c r="J43" s="673">
        <f t="shared" si="2"/>
        <v>150</v>
      </c>
      <c r="K43" s="673">
        <f t="shared" si="2"/>
        <v>320</v>
      </c>
      <c r="L43" s="673">
        <f t="shared" si="2"/>
        <v>1210</v>
      </c>
      <c r="M43" s="673">
        <f t="shared" si="2"/>
        <v>3073</v>
      </c>
      <c r="N43" s="68"/>
      <c r="O43"/>
      <c r="P43"/>
      <c r="Q43"/>
      <c r="R43"/>
      <c r="S43"/>
      <c r="T43"/>
      <c r="U43"/>
      <c r="V43"/>
      <c r="W43"/>
      <c r="X43"/>
      <c r="Y43"/>
      <c r="Z43"/>
      <c r="AA43"/>
    </row>
    <row r="44" spans="1:27" x14ac:dyDescent="0.2">
      <c r="B44" s="24"/>
      <c r="C44" s="13"/>
      <c r="D44" s="13"/>
      <c r="E44" s="13"/>
      <c r="F44" s="13"/>
      <c r="G44" s="13"/>
      <c r="H44" s="13"/>
      <c r="I44" s="13"/>
      <c r="J44" s="13"/>
      <c r="K44" s="13"/>
      <c r="L44" s="23"/>
      <c r="M44" s="13"/>
      <c r="O44"/>
      <c r="P44"/>
      <c r="Q44"/>
      <c r="R44"/>
      <c r="S44"/>
      <c r="T44"/>
      <c r="U44"/>
      <c r="V44"/>
      <c r="W44"/>
      <c r="X44"/>
      <c r="Y44"/>
      <c r="Z44"/>
      <c r="AA44"/>
    </row>
    <row r="45" spans="1:27" ht="15" x14ac:dyDescent="0.25">
      <c r="B45" s="24"/>
      <c r="C45" s="13"/>
      <c r="D45" s="13"/>
      <c r="E45" s="13"/>
      <c r="F45" s="13"/>
      <c r="G45" s="13"/>
      <c r="H45" s="13"/>
      <c r="I45" s="13"/>
      <c r="J45" s="13"/>
      <c r="K45" s="13"/>
      <c r="L45" s="23"/>
      <c r="M45" s="80" t="s">
        <v>0</v>
      </c>
      <c r="O45"/>
      <c r="P45"/>
      <c r="Q45"/>
      <c r="R45"/>
      <c r="S45"/>
      <c r="T45"/>
      <c r="U45"/>
      <c r="V45"/>
      <c r="W45"/>
      <c r="X45"/>
      <c r="Y45"/>
      <c r="Z45"/>
      <c r="AA45"/>
    </row>
    <row r="46" spans="1:27" x14ac:dyDescent="0.2">
      <c r="B46"/>
      <c r="C46" s="1304" t="s">
        <v>131</v>
      </c>
      <c r="D46" s="1305"/>
      <c r="E46" s="1305"/>
      <c r="F46" s="1305"/>
      <c r="G46" s="1305"/>
      <c r="H46" s="1305"/>
      <c r="I46" s="1305"/>
      <c r="J46" s="1305"/>
      <c r="K46" s="1305"/>
      <c r="L46" s="1306"/>
      <c r="M46" s="1352" t="s">
        <v>253</v>
      </c>
      <c r="O46"/>
      <c r="P46"/>
      <c r="Q46"/>
      <c r="R46"/>
      <c r="S46"/>
      <c r="T46"/>
      <c r="U46"/>
      <c r="V46"/>
      <c r="W46"/>
      <c r="X46"/>
      <c r="Y46"/>
      <c r="Z46"/>
      <c r="AA46"/>
    </row>
    <row r="47" spans="1:27" ht="52.5" customHeight="1" x14ac:dyDescent="0.2">
      <c r="A47" s="2" t="s">
        <v>586</v>
      </c>
      <c r="B47" s="2" t="s">
        <v>22</v>
      </c>
      <c r="C47" s="545" t="s">
        <v>93</v>
      </c>
      <c r="D47" s="546" t="s">
        <v>94</v>
      </c>
      <c r="E47" s="546" t="s">
        <v>541</v>
      </c>
      <c r="F47" s="546" t="s">
        <v>536</v>
      </c>
      <c r="G47" s="546" t="s">
        <v>95</v>
      </c>
      <c r="H47" s="547" t="s">
        <v>91</v>
      </c>
      <c r="I47" s="548" t="s">
        <v>545</v>
      </c>
      <c r="J47" s="549" t="s">
        <v>546</v>
      </c>
      <c r="K47" s="550" t="s">
        <v>547</v>
      </c>
      <c r="L47" s="192" t="s">
        <v>149</v>
      </c>
      <c r="M47" s="1353"/>
      <c r="O47"/>
      <c r="P47"/>
      <c r="Q47"/>
      <c r="R47"/>
      <c r="S47"/>
      <c r="T47"/>
      <c r="U47"/>
      <c r="V47"/>
      <c r="W47"/>
      <c r="X47"/>
      <c r="Y47"/>
      <c r="Z47"/>
      <c r="AA47"/>
    </row>
    <row r="48" spans="1:27" ht="18.75" customHeight="1" x14ac:dyDescent="0.2">
      <c r="A48" s="414" t="s">
        <v>587</v>
      </c>
      <c r="B48" s="400" t="s">
        <v>23</v>
      </c>
      <c r="C48" s="554">
        <f>T_13!K7</f>
        <v>3</v>
      </c>
      <c r="D48" s="554">
        <f>T_13!L7</f>
        <v>89</v>
      </c>
      <c r="E48" s="554">
        <f>T_13!M7</f>
        <v>0</v>
      </c>
      <c r="F48" s="554">
        <f>T_13!N7</f>
        <v>7</v>
      </c>
      <c r="G48" s="554">
        <f>T_13!O7</f>
        <v>0</v>
      </c>
      <c r="H48" s="554">
        <f>T_13!P7</f>
        <v>26</v>
      </c>
      <c r="I48" s="554">
        <f>T_13!Q7</f>
        <v>62</v>
      </c>
      <c r="J48" s="554">
        <f>T_13!R7</f>
        <v>13</v>
      </c>
      <c r="K48" s="554">
        <f>T_13!S7</f>
        <v>46</v>
      </c>
      <c r="L48" s="675">
        <f>SUM(I48:K48)</f>
        <v>121</v>
      </c>
      <c r="M48" s="672">
        <f>SUM(C48:K48)</f>
        <v>246</v>
      </c>
      <c r="N48" s="68"/>
      <c r="O48"/>
      <c r="P48"/>
      <c r="Q48"/>
      <c r="R48"/>
      <c r="S48"/>
      <c r="T48"/>
      <c r="U48"/>
      <c r="V48"/>
      <c r="W48"/>
      <c r="X48"/>
      <c r="Y48"/>
      <c r="Z48"/>
      <c r="AA48"/>
    </row>
    <row r="49" spans="1:27" ht="13.5" customHeight="1" x14ac:dyDescent="0.2">
      <c r="A49" s="1" t="s">
        <v>588</v>
      </c>
      <c r="B49" s="117" t="s">
        <v>24</v>
      </c>
      <c r="C49" s="116">
        <f>T_13!K8</f>
        <v>5</v>
      </c>
      <c r="D49" s="116">
        <f>T_13!L8</f>
        <v>65</v>
      </c>
      <c r="E49" s="116">
        <f>T_13!M8</f>
        <v>7</v>
      </c>
      <c r="F49" s="116">
        <f>T_13!N8</f>
        <v>9</v>
      </c>
      <c r="G49" s="116">
        <f>T_13!O8</f>
        <v>0</v>
      </c>
      <c r="H49" s="116">
        <f>T_13!P8</f>
        <v>24</v>
      </c>
      <c r="I49" s="116">
        <f>T_13!Q8</f>
        <v>8</v>
      </c>
      <c r="J49" s="116">
        <f>T_13!R8</f>
        <v>0</v>
      </c>
      <c r="K49" s="116">
        <f>T_13!S8</f>
        <v>39</v>
      </c>
      <c r="L49" s="674">
        <f t="shared" ref="L49:L79" si="3">SUM(I49:K49)</f>
        <v>47</v>
      </c>
      <c r="M49" s="553">
        <f t="shared" ref="M49:M79" si="4">SUM(C49:K49)</f>
        <v>157</v>
      </c>
      <c r="N49" s="68"/>
      <c r="O49"/>
      <c r="P49"/>
      <c r="Q49"/>
      <c r="R49"/>
      <c r="S49"/>
      <c r="T49"/>
      <c r="U49"/>
      <c r="V49"/>
      <c r="W49"/>
      <c r="X49"/>
      <c r="Y49"/>
      <c r="Z49"/>
      <c r="AA49"/>
    </row>
    <row r="50" spans="1:27" ht="13.5" customHeight="1" x14ac:dyDescent="0.2">
      <c r="A50" s="1" t="s">
        <v>589</v>
      </c>
      <c r="B50" s="117" t="s">
        <v>25</v>
      </c>
      <c r="C50" s="116">
        <f>T_13!K9</f>
        <v>6</v>
      </c>
      <c r="D50" s="116">
        <f>T_13!L9</f>
        <v>65</v>
      </c>
      <c r="E50" s="116">
        <f>T_13!M9</f>
        <v>1</v>
      </c>
      <c r="F50" s="116">
        <f>T_13!N9</f>
        <v>2</v>
      </c>
      <c r="G50" s="116">
        <f>T_13!O9</f>
        <v>0</v>
      </c>
      <c r="H50" s="116">
        <f>T_13!P9</f>
        <v>17</v>
      </c>
      <c r="I50" s="116">
        <f>T_13!Q9</f>
        <v>21</v>
      </c>
      <c r="J50" s="116">
        <f>T_13!R9</f>
        <v>0</v>
      </c>
      <c r="K50" s="116">
        <f>T_13!S9</f>
        <v>22</v>
      </c>
      <c r="L50" s="674">
        <f t="shared" si="3"/>
        <v>43</v>
      </c>
      <c r="M50" s="553">
        <f t="shared" si="4"/>
        <v>134</v>
      </c>
      <c r="N50" s="68"/>
      <c r="O50"/>
      <c r="P50"/>
      <c r="Q50"/>
      <c r="R50"/>
      <c r="S50"/>
      <c r="T50"/>
      <c r="U50"/>
      <c r="V50"/>
      <c r="W50"/>
      <c r="X50"/>
      <c r="Y50"/>
      <c r="Z50"/>
      <c r="AA50"/>
    </row>
    <row r="51" spans="1:27" ht="13.5" customHeight="1" x14ac:dyDescent="0.2">
      <c r="A51" s="1" t="s">
        <v>590</v>
      </c>
      <c r="B51" s="117" t="s">
        <v>26</v>
      </c>
      <c r="C51" s="116">
        <f>T_13!K10</f>
        <v>0</v>
      </c>
      <c r="D51" s="116">
        <f>T_13!L10</f>
        <v>31</v>
      </c>
      <c r="E51" s="116">
        <f>T_13!M10</f>
        <v>0</v>
      </c>
      <c r="F51" s="116">
        <f>T_13!N10</f>
        <v>0</v>
      </c>
      <c r="G51" s="116">
        <f>T_13!O10</f>
        <v>1</v>
      </c>
      <c r="H51" s="116">
        <f>T_13!P10</f>
        <v>15</v>
      </c>
      <c r="I51" s="116">
        <f>T_13!Q10</f>
        <v>8</v>
      </c>
      <c r="J51" s="116">
        <f>T_13!R10</f>
        <v>1</v>
      </c>
      <c r="K51" s="116">
        <f>T_13!S10</f>
        <v>9</v>
      </c>
      <c r="L51" s="674">
        <f t="shared" si="3"/>
        <v>18</v>
      </c>
      <c r="M51" s="553">
        <f t="shared" si="4"/>
        <v>65</v>
      </c>
      <c r="N51" s="68"/>
      <c r="O51"/>
      <c r="P51"/>
      <c r="Q51"/>
      <c r="R51"/>
      <c r="S51"/>
      <c r="T51"/>
      <c r="U51"/>
      <c r="V51"/>
      <c r="W51"/>
      <c r="X51"/>
      <c r="Y51"/>
      <c r="Z51"/>
      <c r="AA51"/>
    </row>
    <row r="52" spans="1:27" ht="13.5" customHeight="1" x14ac:dyDescent="0.2">
      <c r="A52" s="1" t="s">
        <v>591</v>
      </c>
      <c r="B52" s="117" t="s">
        <v>619</v>
      </c>
      <c r="C52" s="116">
        <f>T_13!K11</f>
        <v>4</v>
      </c>
      <c r="D52" s="116">
        <f>T_13!L11</f>
        <v>301</v>
      </c>
      <c r="E52" s="116">
        <f>T_13!M11</f>
        <v>2</v>
      </c>
      <c r="F52" s="116">
        <f>T_13!N11</f>
        <v>22</v>
      </c>
      <c r="G52" s="116">
        <f>T_13!O11</f>
        <v>1</v>
      </c>
      <c r="H52" s="116">
        <f>T_13!P11</f>
        <v>182</v>
      </c>
      <c r="I52" s="116">
        <f>T_13!Q11</f>
        <v>260</v>
      </c>
      <c r="J52" s="116">
        <f>T_13!R11</f>
        <v>52</v>
      </c>
      <c r="K52" s="116">
        <f>T_13!S11</f>
        <v>210</v>
      </c>
      <c r="L52" s="674">
        <f t="shared" si="3"/>
        <v>522</v>
      </c>
      <c r="M52" s="553">
        <f t="shared" si="4"/>
        <v>1034</v>
      </c>
      <c r="N52" s="68"/>
      <c r="O52"/>
      <c r="P52"/>
      <c r="Q52"/>
      <c r="R52"/>
      <c r="S52"/>
      <c r="T52"/>
      <c r="U52"/>
      <c r="V52"/>
      <c r="W52"/>
      <c r="X52"/>
      <c r="Y52"/>
      <c r="Z52"/>
      <c r="AA52"/>
    </row>
    <row r="53" spans="1:27" ht="13.5" customHeight="1" x14ac:dyDescent="0.2">
      <c r="A53" s="1" t="s">
        <v>592</v>
      </c>
      <c r="B53" s="117" t="s">
        <v>27</v>
      </c>
      <c r="C53" s="116">
        <f>T_13!K12</f>
        <v>4</v>
      </c>
      <c r="D53" s="116">
        <f>T_13!L12</f>
        <v>19</v>
      </c>
      <c r="E53" s="116">
        <f>T_13!M12</f>
        <v>0</v>
      </c>
      <c r="F53" s="116">
        <f>T_13!N12</f>
        <v>1</v>
      </c>
      <c r="G53" s="116">
        <f>T_13!O12</f>
        <v>3</v>
      </c>
      <c r="H53" s="116">
        <f>T_13!P12</f>
        <v>6</v>
      </c>
      <c r="I53" s="116">
        <f>T_13!Q12</f>
        <v>13</v>
      </c>
      <c r="J53" s="116">
        <f>T_13!R12</f>
        <v>1</v>
      </c>
      <c r="K53" s="116">
        <f>T_13!S12</f>
        <v>27</v>
      </c>
      <c r="L53" s="674">
        <f t="shared" si="3"/>
        <v>41</v>
      </c>
      <c r="M53" s="553">
        <f t="shared" si="4"/>
        <v>74</v>
      </c>
      <c r="N53" s="68"/>
      <c r="O53"/>
      <c r="P53"/>
      <c r="Q53"/>
      <c r="R53"/>
      <c r="S53"/>
      <c r="T53"/>
      <c r="U53"/>
      <c r="V53"/>
      <c r="W53"/>
      <c r="X53"/>
      <c r="Y53"/>
      <c r="Z53"/>
      <c r="AA53"/>
    </row>
    <row r="54" spans="1:27" ht="13.5" customHeight="1" x14ac:dyDescent="0.2">
      <c r="A54" s="1" t="s">
        <v>593</v>
      </c>
      <c r="B54" s="117" t="s">
        <v>28</v>
      </c>
      <c r="C54" s="116">
        <f>T_13!K13</f>
        <v>2</v>
      </c>
      <c r="D54" s="116">
        <f>T_13!L13</f>
        <v>53</v>
      </c>
      <c r="E54" s="116">
        <f>T_13!M13</f>
        <v>1</v>
      </c>
      <c r="F54" s="116">
        <f>T_13!N13</f>
        <v>2</v>
      </c>
      <c r="G54" s="116">
        <f>T_13!O13</f>
        <v>4</v>
      </c>
      <c r="H54" s="116">
        <f>T_13!P13</f>
        <v>4</v>
      </c>
      <c r="I54" s="116">
        <f>T_13!Q13</f>
        <v>13</v>
      </c>
      <c r="J54" s="116">
        <f>T_13!R13</f>
        <v>2</v>
      </c>
      <c r="K54" s="116">
        <f>T_13!S13</f>
        <v>39</v>
      </c>
      <c r="L54" s="674">
        <f t="shared" si="3"/>
        <v>54</v>
      </c>
      <c r="M54" s="553">
        <f t="shared" si="4"/>
        <v>120</v>
      </c>
      <c r="N54" s="68"/>
      <c r="O54"/>
      <c r="P54"/>
      <c r="Q54"/>
      <c r="R54"/>
      <c r="S54"/>
      <c r="T54"/>
      <c r="U54"/>
      <c r="V54"/>
      <c r="W54"/>
      <c r="X54"/>
      <c r="Y54"/>
      <c r="Z54"/>
      <c r="AA54"/>
    </row>
    <row r="55" spans="1:27" ht="13.5" customHeight="1" x14ac:dyDescent="0.2">
      <c r="A55" s="1" t="s">
        <v>594</v>
      </c>
      <c r="B55" s="117" t="s">
        <v>29</v>
      </c>
      <c r="C55" s="116">
        <f>T_13!K14</f>
        <v>5</v>
      </c>
      <c r="D55" s="116">
        <f>T_13!L14</f>
        <v>192</v>
      </c>
      <c r="E55" s="116">
        <f>T_13!M14</f>
        <v>3</v>
      </c>
      <c r="F55" s="116">
        <f>T_13!N14</f>
        <v>11</v>
      </c>
      <c r="G55" s="116">
        <f>T_13!O14</f>
        <v>1</v>
      </c>
      <c r="H55" s="116">
        <f>T_13!P14</f>
        <v>95</v>
      </c>
      <c r="I55" s="116">
        <f>T_13!Q14</f>
        <v>198</v>
      </c>
      <c r="J55" s="116">
        <f>T_13!R14</f>
        <v>17</v>
      </c>
      <c r="K55" s="116">
        <f>T_13!S14</f>
        <v>57</v>
      </c>
      <c r="L55" s="674">
        <f t="shared" si="3"/>
        <v>272</v>
      </c>
      <c r="M55" s="553">
        <f t="shared" si="4"/>
        <v>579</v>
      </c>
      <c r="N55" s="68"/>
      <c r="O55"/>
      <c r="P55"/>
      <c r="Q55"/>
      <c r="R55"/>
      <c r="S55"/>
      <c r="T55"/>
      <c r="U55"/>
      <c r="V55"/>
      <c r="W55"/>
      <c r="X55"/>
      <c r="Y55"/>
      <c r="Z55"/>
      <c r="AA55"/>
    </row>
    <row r="56" spans="1:27" ht="13.5" customHeight="1" x14ac:dyDescent="0.2">
      <c r="A56" s="1" t="s">
        <v>595</v>
      </c>
      <c r="B56" s="117" t="s">
        <v>30</v>
      </c>
      <c r="C56" s="116">
        <f>T_13!K15</f>
        <v>4</v>
      </c>
      <c r="D56" s="116">
        <f>T_13!L15</f>
        <v>146</v>
      </c>
      <c r="E56" s="116">
        <f>T_13!M15</f>
        <v>1</v>
      </c>
      <c r="F56" s="116">
        <f>T_13!N15</f>
        <v>4</v>
      </c>
      <c r="G56" s="116">
        <f>T_13!O15</f>
        <v>3</v>
      </c>
      <c r="H56" s="116">
        <f>T_13!P15</f>
        <v>89</v>
      </c>
      <c r="I56" s="116">
        <f>T_13!Q15</f>
        <v>111</v>
      </c>
      <c r="J56" s="116">
        <f>T_13!R15</f>
        <v>4</v>
      </c>
      <c r="K56" s="116">
        <f>T_13!S15</f>
        <v>166</v>
      </c>
      <c r="L56" s="674">
        <f t="shared" si="3"/>
        <v>281</v>
      </c>
      <c r="M56" s="553">
        <f t="shared" si="4"/>
        <v>528</v>
      </c>
      <c r="N56" s="68"/>
      <c r="O56"/>
      <c r="P56"/>
      <c r="Q56"/>
      <c r="R56"/>
      <c r="S56"/>
      <c r="T56"/>
      <c r="U56"/>
      <c r="V56"/>
      <c r="W56"/>
      <c r="X56"/>
      <c r="Y56"/>
      <c r="Z56"/>
      <c r="AA56"/>
    </row>
    <row r="57" spans="1:27" ht="13.5" customHeight="1" x14ac:dyDescent="0.2">
      <c r="A57" s="1" t="s">
        <v>596</v>
      </c>
      <c r="B57" s="117" t="s">
        <v>31</v>
      </c>
      <c r="C57" s="116">
        <f>T_13!K16</f>
        <v>2</v>
      </c>
      <c r="D57" s="116">
        <f>T_13!L16</f>
        <v>85</v>
      </c>
      <c r="E57" s="116">
        <f>T_13!M16</f>
        <v>3</v>
      </c>
      <c r="F57" s="116">
        <f>T_13!N16</f>
        <v>0</v>
      </c>
      <c r="G57" s="116">
        <f>T_13!O16</f>
        <v>0</v>
      </c>
      <c r="H57" s="116">
        <f>T_13!P16</f>
        <v>38</v>
      </c>
      <c r="I57" s="116">
        <f>T_13!Q16</f>
        <v>37</v>
      </c>
      <c r="J57" s="116">
        <f>T_13!R16</f>
        <v>4</v>
      </c>
      <c r="K57" s="116">
        <f>T_13!S16</f>
        <v>36</v>
      </c>
      <c r="L57" s="674">
        <f t="shared" si="3"/>
        <v>77</v>
      </c>
      <c r="M57" s="553">
        <f t="shared" si="4"/>
        <v>205</v>
      </c>
      <c r="N57" s="68"/>
      <c r="O57"/>
      <c r="P57"/>
      <c r="Q57"/>
      <c r="R57"/>
      <c r="S57"/>
      <c r="T57"/>
      <c r="U57"/>
      <c r="V57"/>
      <c r="W57"/>
      <c r="X57"/>
      <c r="Y57"/>
      <c r="Z57"/>
      <c r="AA57"/>
    </row>
    <row r="58" spans="1:27" ht="13.5" customHeight="1" x14ac:dyDescent="0.2">
      <c r="A58" s="1" t="s">
        <v>597</v>
      </c>
      <c r="B58" s="117" t="s">
        <v>32</v>
      </c>
      <c r="C58" s="116">
        <f>T_13!K17</f>
        <v>1</v>
      </c>
      <c r="D58" s="116">
        <f>T_13!L17</f>
        <v>46</v>
      </c>
      <c r="E58" s="116">
        <f>T_13!M17</f>
        <v>0</v>
      </c>
      <c r="F58" s="116">
        <f>T_13!N17</f>
        <v>3</v>
      </c>
      <c r="G58" s="116">
        <f>T_13!O17</f>
        <v>0</v>
      </c>
      <c r="H58" s="116">
        <f>T_13!P17</f>
        <v>33</v>
      </c>
      <c r="I58" s="116">
        <f>T_13!Q17</f>
        <v>20</v>
      </c>
      <c r="J58" s="116">
        <f>T_13!R17</f>
        <v>3</v>
      </c>
      <c r="K58" s="116">
        <f>T_13!S17</f>
        <v>46</v>
      </c>
      <c r="L58" s="674">
        <f t="shared" si="3"/>
        <v>69</v>
      </c>
      <c r="M58" s="553">
        <f t="shared" si="4"/>
        <v>152</v>
      </c>
      <c r="N58" s="68"/>
      <c r="O58"/>
      <c r="P58"/>
      <c r="Q58"/>
      <c r="R58"/>
      <c r="S58"/>
      <c r="T58"/>
      <c r="U58"/>
      <c r="V58"/>
      <c r="W58"/>
      <c r="X58"/>
      <c r="Y58"/>
      <c r="Z58"/>
      <c r="AA58"/>
    </row>
    <row r="59" spans="1:27" ht="13.5" customHeight="1" x14ac:dyDescent="0.2">
      <c r="A59" s="1" t="s">
        <v>598</v>
      </c>
      <c r="B59" s="117" t="s">
        <v>33</v>
      </c>
      <c r="C59" s="116">
        <f>T_13!K18</f>
        <v>6</v>
      </c>
      <c r="D59" s="116">
        <f>T_13!L18</f>
        <v>58</v>
      </c>
      <c r="E59" s="116">
        <f>T_13!M18</f>
        <v>2</v>
      </c>
      <c r="F59" s="116">
        <f>T_13!N18</f>
        <v>3</v>
      </c>
      <c r="G59" s="116">
        <f>T_13!O18</f>
        <v>1</v>
      </c>
      <c r="H59" s="116">
        <f>T_13!P18</f>
        <v>32</v>
      </c>
      <c r="I59" s="116">
        <f>T_13!Q18</f>
        <v>20</v>
      </c>
      <c r="J59" s="116">
        <f>T_13!R18</f>
        <v>2</v>
      </c>
      <c r="K59" s="116">
        <f>T_13!S18</f>
        <v>26</v>
      </c>
      <c r="L59" s="674">
        <f t="shared" si="3"/>
        <v>48</v>
      </c>
      <c r="M59" s="553">
        <f t="shared" si="4"/>
        <v>150</v>
      </c>
      <c r="N59" s="68"/>
      <c r="O59"/>
      <c r="P59"/>
      <c r="Q59"/>
      <c r="R59"/>
      <c r="S59"/>
      <c r="T59"/>
      <c r="U59"/>
      <c r="V59"/>
      <c r="W59"/>
      <c r="X59"/>
      <c r="Y59"/>
      <c r="Z59"/>
      <c r="AA59"/>
    </row>
    <row r="60" spans="1:27" ht="13.5" customHeight="1" x14ac:dyDescent="0.2">
      <c r="A60" s="1" t="s">
        <v>599</v>
      </c>
      <c r="B60" s="117" t="s">
        <v>34</v>
      </c>
      <c r="C60" s="116">
        <f>T_13!K19</f>
        <v>3</v>
      </c>
      <c r="D60" s="116">
        <f>T_13!L19</f>
        <v>139</v>
      </c>
      <c r="E60" s="116">
        <f>T_13!M19</f>
        <v>1</v>
      </c>
      <c r="F60" s="116">
        <f>T_13!N19</f>
        <v>2</v>
      </c>
      <c r="G60" s="116">
        <f>T_13!O19</f>
        <v>1</v>
      </c>
      <c r="H60" s="116">
        <f>T_13!P19</f>
        <v>62</v>
      </c>
      <c r="I60" s="116">
        <f>T_13!Q19</f>
        <v>46</v>
      </c>
      <c r="J60" s="116">
        <f>T_13!R19</f>
        <v>10</v>
      </c>
      <c r="K60" s="116">
        <f>T_13!S19</f>
        <v>49</v>
      </c>
      <c r="L60" s="674">
        <f t="shared" si="3"/>
        <v>105</v>
      </c>
      <c r="M60" s="553">
        <f t="shared" si="4"/>
        <v>313</v>
      </c>
      <c r="N60" s="68"/>
      <c r="O60"/>
      <c r="P60"/>
      <c r="Q60"/>
      <c r="R60"/>
      <c r="S60"/>
      <c r="T60"/>
      <c r="U60"/>
      <c r="V60"/>
      <c r="W60"/>
      <c r="X60"/>
      <c r="Y60"/>
      <c r="Z60"/>
      <c r="AA60"/>
    </row>
    <row r="61" spans="1:27" ht="13.5" customHeight="1" x14ac:dyDescent="0.2">
      <c r="A61" s="1" t="s">
        <v>600</v>
      </c>
      <c r="B61" s="117" t="s">
        <v>35</v>
      </c>
      <c r="C61" s="116">
        <f>T_13!K20</f>
        <v>22</v>
      </c>
      <c r="D61" s="116">
        <f>T_13!L20</f>
        <v>231</v>
      </c>
      <c r="E61" s="116">
        <f>T_13!M20</f>
        <v>6</v>
      </c>
      <c r="F61" s="116">
        <f>T_13!N20</f>
        <v>24</v>
      </c>
      <c r="G61" s="116">
        <f>T_13!O20</f>
        <v>4</v>
      </c>
      <c r="H61" s="116">
        <f>T_13!P20</f>
        <v>115</v>
      </c>
      <c r="I61" s="116">
        <f>T_13!Q20</f>
        <v>172</v>
      </c>
      <c r="J61" s="116">
        <f>T_13!R20</f>
        <v>24</v>
      </c>
      <c r="K61" s="116">
        <f>T_13!S20</f>
        <v>228</v>
      </c>
      <c r="L61" s="674">
        <f t="shared" si="3"/>
        <v>424</v>
      </c>
      <c r="M61" s="553">
        <f t="shared" si="4"/>
        <v>826</v>
      </c>
      <c r="N61" s="68"/>
      <c r="O61"/>
      <c r="P61"/>
      <c r="Q61"/>
      <c r="R61"/>
      <c r="S61"/>
      <c r="T61"/>
      <c r="U61"/>
      <c r="V61"/>
      <c r="W61"/>
      <c r="X61"/>
      <c r="Y61"/>
      <c r="Z61"/>
      <c r="AA61"/>
    </row>
    <row r="62" spans="1:27" ht="13.5" customHeight="1" x14ac:dyDescent="0.2">
      <c r="A62" s="1" t="s">
        <v>601</v>
      </c>
      <c r="B62" s="117" t="s">
        <v>36</v>
      </c>
      <c r="C62" s="116">
        <f>T_13!K21</f>
        <v>16</v>
      </c>
      <c r="D62" s="116">
        <f>T_13!L21</f>
        <v>371</v>
      </c>
      <c r="E62" s="116">
        <f>T_13!M21</f>
        <v>6</v>
      </c>
      <c r="F62" s="116">
        <f>T_13!N21</f>
        <v>20</v>
      </c>
      <c r="G62" s="116">
        <f>T_13!O21</f>
        <v>13</v>
      </c>
      <c r="H62" s="116">
        <f>T_13!P21</f>
        <v>245</v>
      </c>
      <c r="I62" s="116">
        <f>T_13!Q21</f>
        <v>657</v>
      </c>
      <c r="J62" s="116">
        <f>T_13!R21</f>
        <v>46</v>
      </c>
      <c r="K62" s="116">
        <f>T_13!S21</f>
        <v>754</v>
      </c>
      <c r="L62" s="674">
        <f t="shared" si="3"/>
        <v>1457</v>
      </c>
      <c r="M62" s="553">
        <f t="shared" si="4"/>
        <v>2128</v>
      </c>
      <c r="N62" s="68"/>
      <c r="O62"/>
      <c r="P62"/>
      <c r="Q62"/>
      <c r="R62"/>
      <c r="S62"/>
      <c r="T62"/>
      <c r="U62"/>
      <c r="V62"/>
      <c r="W62"/>
      <c r="X62"/>
      <c r="Y62"/>
      <c r="Z62"/>
      <c r="AA62"/>
    </row>
    <row r="63" spans="1:27" ht="13.5" customHeight="1" x14ac:dyDescent="0.2">
      <c r="A63" s="1" t="s">
        <v>602</v>
      </c>
      <c r="B63" s="117" t="s">
        <v>37</v>
      </c>
      <c r="C63" s="116">
        <f>T_13!K22</f>
        <v>4</v>
      </c>
      <c r="D63" s="116">
        <f>T_13!L22</f>
        <v>82</v>
      </c>
      <c r="E63" s="116">
        <f>T_13!M22</f>
        <v>4</v>
      </c>
      <c r="F63" s="116">
        <f>T_13!N22</f>
        <v>3</v>
      </c>
      <c r="G63" s="116">
        <f>T_13!O22</f>
        <v>0</v>
      </c>
      <c r="H63" s="116">
        <f>T_13!P22</f>
        <v>29</v>
      </c>
      <c r="I63" s="116">
        <f>T_13!Q22</f>
        <v>6</v>
      </c>
      <c r="J63" s="116">
        <f>T_13!R22</f>
        <v>0</v>
      </c>
      <c r="K63" s="116">
        <f>T_13!S22</f>
        <v>34</v>
      </c>
      <c r="L63" s="674">
        <f t="shared" si="3"/>
        <v>40</v>
      </c>
      <c r="M63" s="553">
        <f t="shared" si="4"/>
        <v>162</v>
      </c>
      <c r="N63" s="68"/>
      <c r="O63"/>
      <c r="P63"/>
      <c r="Q63"/>
      <c r="R63"/>
      <c r="S63"/>
      <c r="T63"/>
      <c r="U63"/>
      <c r="V63"/>
      <c r="W63"/>
      <c r="X63"/>
      <c r="Y63"/>
      <c r="Z63"/>
      <c r="AA63"/>
    </row>
    <row r="64" spans="1:27" ht="13.5" customHeight="1" x14ac:dyDescent="0.2">
      <c r="A64" s="1" t="s">
        <v>603</v>
      </c>
      <c r="B64" s="117" t="s">
        <v>38</v>
      </c>
      <c r="C64" s="116">
        <f>T_13!K23</f>
        <v>8</v>
      </c>
      <c r="D64" s="116">
        <f>T_13!L23</f>
        <v>190</v>
      </c>
      <c r="E64" s="116">
        <f>T_13!M23</f>
        <v>0</v>
      </c>
      <c r="F64" s="116">
        <f>T_13!N23</f>
        <v>2</v>
      </c>
      <c r="G64" s="116">
        <f>T_13!O23</f>
        <v>2</v>
      </c>
      <c r="H64" s="116">
        <f>T_13!P23</f>
        <v>32</v>
      </c>
      <c r="I64" s="116">
        <f>T_13!Q23</f>
        <v>76</v>
      </c>
      <c r="J64" s="116">
        <f>T_13!R23</f>
        <v>6</v>
      </c>
      <c r="K64" s="116">
        <f>T_13!S23</f>
        <v>75</v>
      </c>
      <c r="L64" s="674">
        <f t="shared" si="3"/>
        <v>157</v>
      </c>
      <c r="M64" s="553">
        <f t="shared" si="4"/>
        <v>391</v>
      </c>
      <c r="N64" s="68"/>
      <c r="O64"/>
      <c r="P64"/>
      <c r="Q64"/>
      <c r="R64"/>
      <c r="S64"/>
      <c r="T64"/>
      <c r="U64"/>
      <c r="V64"/>
      <c r="W64"/>
      <c r="X64"/>
      <c r="Y64"/>
      <c r="Z64"/>
      <c r="AA64"/>
    </row>
    <row r="65" spans="1:27" ht="13.5" customHeight="1" x14ac:dyDescent="0.2">
      <c r="A65" s="1" t="s">
        <v>604</v>
      </c>
      <c r="B65" s="117" t="s">
        <v>39</v>
      </c>
      <c r="C65" s="116">
        <f>T_13!K24</f>
        <v>0</v>
      </c>
      <c r="D65" s="116">
        <f>T_13!L24</f>
        <v>71</v>
      </c>
      <c r="E65" s="116">
        <f>T_13!M24</f>
        <v>3</v>
      </c>
      <c r="F65" s="116">
        <f>T_13!N24</f>
        <v>2</v>
      </c>
      <c r="G65" s="116">
        <f>T_13!O24</f>
        <v>0</v>
      </c>
      <c r="H65" s="116">
        <f>T_13!P24</f>
        <v>19</v>
      </c>
      <c r="I65" s="116">
        <f>T_13!Q24</f>
        <v>25</v>
      </c>
      <c r="J65" s="116">
        <f>T_13!R24</f>
        <v>4</v>
      </c>
      <c r="K65" s="116">
        <f>T_13!S24</f>
        <v>34</v>
      </c>
      <c r="L65" s="674">
        <f t="shared" si="3"/>
        <v>63</v>
      </c>
      <c r="M65" s="553">
        <f t="shared" si="4"/>
        <v>158</v>
      </c>
      <c r="N65" s="68"/>
      <c r="O65"/>
      <c r="P65"/>
      <c r="Q65"/>
      <c r="R65"/>
      <c r="S65"/>
      <c r="T65"/>
      <c r="U65"/>
      <c r="V65"/>
      <c r="W65"/>
      <c r="X65"/>
      <c r="Y65"/>
      <c r="Z65"/>
      <c r="AA65"/>
    </row>
    <row r="66" spans="1:27" ht="13.5" customHeight="1" x14ac:dyDescent="0.2">
      <c r="A66" s="1" t="s">
        <v>605</v>
      </c>
      <c r="B66" s="117" t="s">
        <v>40</v>
      </c>
      <c r="C66" s="116">
        <f>T_13!K25</f>
        <v>1</v>
      </c>
      <c r="D66" s="116">
        <f>T_13!L25</f>
        <v>31</v>
      </c>
      <c r="E66" s="116">
        <f>T_13!M25</f>
        <v>1</v>
      </c>
      <c r="F66" s="116">
        <f>T_13!N25</f>
        <v>1</v>
      </c>
      <c r="G66" s="116">
        <f>T_13!O25</f>
        <v>0</v>
      </c>
      <c r="H66" s="116">
        <f>T_13!P25</f>
        <v>7</v>
      </c>
      <c r="I66" s="116">
        <f>T_13!Q25</f>
        <v>8</v>
      </c>
      <c r="J66" s="116">
        <f>T_13!R25</f>
        <v>0</v>
      </c>
      <c r="K66" s="116">
        <f>T_13!S25</f>
        <v>14</v>
      </c>
      <c r="L66" s="674">
        <f t="shared" si="3"/>
        <v>22</v>
      </c>
      <c r="M66" s="553">
        <f t="shared" si="4"/>
        <v>63</v>
      </c>
      <c r="N66" s="68"/>
      <c r="O66"/>
      <c r="P66"/>
      <c r="Q66"/>
      <c r="R66"/>
      <c r="S66"/>
      <c r="T66"/>
      <c r="U66"/>
      <c r="V66"/>
      <c r="W66"/>
      <c r="X66"/>
      <c r="Y66"/>
      <c r="Z66"/>
      <c r="AA66"/>
    </row>
    <row r="67" spans="1:27" ht="13.5" customHeight="1" x14ac:dyDescent="0.2">
      <c r="A67" s="1" t="s">
        <v>606</v>
      </c>
      <c r="B67" s="117" t="s">
        <v>295</v>
      </c>
      <c r="C67" s="116">
        <f>T_13!K26</f>
        <v>0</v>
      </c>
      <c r="D67" s="116">
        <f>T_13!L26</f>
        <v>18</v>
      </c>
      <c r="E67" s="116">
        <f>T_13!M26</f>
        <v>0</v>
      </c>
      <c r="F67" s="116">
        <f>T_13!N26</f>
        <v>0</v>
      </c>
      <c r="G67" s="116">
        <f>T_13!O26</f>
        <v>0</v>
      </c>
      <c r="H67" s="116">
        <f>T_13!P26</f>
        <v>0</v>
      </c>
      <c r="I67" s="116">
        <f>T_13!Q26</f>
        <v>0</v>
      </c>
      <c r="J67" s="116">
        <f>T_13!R26</f>
        <v>0</v>
      </c>
      <c r="K67" s="116">
        <f>T_13!S26</f>
        <v>0</v>
      </c>
      <c r="L67" s="674">
        <f t="shared" si="3"/>
        <v>0</v>
      </c>
      <c r="M67" s="553">
        <f t="shared" si="4"/>
        <v>18</v>
      </c>
      <c r="N67" s="68"/>
      <c r="O67"/>
      <c r="P67"/>
      <c r="Q67"/>
      <c r="R67"/>
      <c r="S67"/>
      <c r="T67"/>
      <c r="U67"/>
      <c r="V67"/>
      <c r="W67"/>
      <c r="X67"/>
      <c r="Y67"/>
      <c r="Z67"/>
      <c r="AA67"/>
    </row>
    <row r="68" spans="1:27" ht="13.5" customHeight="1" x14ac:dyDescent="0.2">
      <c r="A68" s="1" t="s">
        <v>607</v>
      </c>
      <c r="B68" s="117" t="s">
        <v>41</v>
      </c>
      <c r="C68" s="116">
        <f>T_13!K27</f>
        <v>9</v>
      </c>
      <c r="D68" s="116">
        <f>T_13!L27</f>
        <v>129</v>
      </c>
      <c r="E68" s="116">
        <f>T_13!M27</f>
        <v>5</v>
      </c>
      <c r="F68" s="116">
        <f>T_13!N27</f>
        <v>4</v>
      </c>
      <c r="G68" s="116">
        <f>T_13!O27</f>
        <v>10</v>
      </c>
      <c r="H68" s="116">
        <f>T_13!P27</f>
        <v>84</v>
      </c>
      <c r="I68" s="116">
        <f>T_13!Q27</f>
        <v>94</v>
      </c>
      <c r="J68" s="116">
        <f>T_13!R27</f>
        <v>11</v>
      </c>
      <c r="K68" s="116">
        <f>T_13!S27</f>
        <v>91</v>
      </c>
      <c r="L68" s="674">
        <f t="shared" si="3"/>
        <v>196</v>
      </c>
      <c r="M68" s="553">
        <f t="shared" si="4"/>
        <v>437</v>
      </c>
      <c r="N68" s="68"/>
      <c r="O68"/>
      <c r="P68"/>
      <c r="Q68"/>
      <c r="R68"/>
      <c r="S68"/>
      <c r="T68"/>
      <c r="U68"/>
      <c r="V68"/>
      <c r="W68"/>
      <c r="X68"/>
      <c r="Y68"/>
      <c r="Z68"/>
      <c r="AA68"/>
    </row>
    <row r="69" spans="1:27" ht="13.5" customHeight="1" x14ac:dyDescent="0.2">
      <c r="A69" s="1" t="s">
        <v>608</v>
      </c>
      <c r="B69" s="117" t="s">
        <v>42</v>
      </c>
      <c r="C69" s="116">
        <f>T_13!K28</f>
        <v>12</v>
      </c>
      <c r="D69" s="116">
        <f>T_13!L28</f>
        <v>393</v>
      </c>
      <c r="E69" s="116">
        <f>T_13!M28</f>
        <v>5</v>
      </c>
      <c r="F69" s="116">
        <f>T_13!N28</f>
        <v>14</v>
      </c>
      <c r="G69" s="116">
        <f>T_13!O28</f>
        <v>15</v>
      </c>
      <c r="H69" s="116">
        <f>T_13!P28</f>
        <v>144</v>
      </c>
      <c r="I69" s="116">
        <f>T_13!Q28</f>
        <v>161</v>
      </c>
      <c r="J69" s="116">
        <f>T_13!R28</f>
        <v>24</v>
      </c>
      <c r="K69" s="116">
        <f>T_13!S28</f>
        <v>545</v>
      </c>
      <c r="L69" s="674">
        <f t="shared" si="3"/>
        <v>730</v>
      </c>
      <c r="M69" s="553">
        <f t="shared" si="4"/>
        <v>1313</v>
      </c>
      <c r="N69" s="68"/>
      <c r="O69"/>
      <c r="P69"/>
      <c r="Q69"/>
      <c r="R69"/>
      <c r="S69"/>
      <c r="T69"/>
      <c r="U69"/>
      <c r="V69"/>
      <c r="W69"/>
      <c r="X69"/>
      <c r="Y69"/>
      <c r="Z69"/>
      <c r="AA69"/>
    </row>
    <row r="70" spans="1:27" ht="13.5" customHeight="1" x14ac:dyDescent="0.2">
      <c r="A70" s="1" t="s">
        <v>609</v>
      </c>
      <c r="B70" s="117" t="s">
        <v>43</v>
      </c>
      <c r="C70" s="116">
        <f>T_13!K29</f>
        <v>0</v>
      </c>
      <c r="D70" s="116">
        <f>T_13!L29</f>
        <v>2</v>
      </c>
      <c r="E70" s="116">
        <f>T_13!M29</f>
        <v>0</v>
      </c>
      <c r="F70" s="116">
        <f>T_13!N29</f>
        <v>0</v>
      </c>
      <c r="G70" s="116">
        <f>T_13!O29</f>
        <v>0</v>
      </c>
      <c r="H70" s="116">
        <f>T_13!P29</f>
        <v>2</v>
      </c>
      <c r="I70" s="116">
        <f>T_13!Q29</f>
        <v>0</v>
      </c>
      <c r="J70" s="116">
        <f>T_13!R29</f>
        <v>0</v>
      </c>
      <c r="K70" s="116">
        <f>T_13!S29</f>
        <v>2</v>
      </c>
      <c r="L70" s="674">
        <f t="shared" si="3"/>
        <v>2</v>
      </c>
      <c r="M70" s="553">
        <f t="shared" si="4"/>
        <v>6</v>
      </c>
      <c r="N70" s="68"/>
      <c r="O70"/>
      <c r="P70"/>
      <c r="Q70"/>
      <c r="R70"/>
      <c r="S70"/>
      <c r="T70"/>
      <c r="U70"/>
      <c r="V70"/>
      <c r="W70"/>
      <c r="X70"/>
      <c r="Y70"/>
      <c r="Z70"/>
      <c r="AA70"/>
    </row>
    <row r="71" spans="1:27" ht="13.5" customHeight="1" x14ac:dyDescent="0.2">
      <c r="A71" s="1" t="s">
        <v>610</v>
      </c>
      <c r="B71" s="117" t="s">
        <v>44</v>
      </c>
      <c r="C71" s="116">
        <f>T_13!K30</f>
        <v>0</v>
      </c>
      <c r="D71" s="116">
        <f>T_13!L30</f>
        <v>20</v>
      </c>
      <c r="E71" s="116">
        <f>T_13!M30</f>
        <v>3</v>
      </c>
      <c r="F71" s="116">
        <f>T_13!N30</f>
        <v>1</v>
      </c>
      <c r="G71" s="116">
        <f>T_13!O30</f>
        <v>3</v>
      </c>
      <c r="H71" s="116">
        <f>T_13!P30</f>
        <v>6</v>
      </c>
      <c r="I71" s="116">
        <f>T_13!Q30</f>
        <v>16</v>
      </c>
      <c r="J71" s="116">
        <f>T_13!R30</f>
        <v>2</v>
      </c>
      <c r="K71" s="116">
        <f>T_13!S30</f>
        <v>13</v>
      </c>
      <c r="L71" s="674">
        <f t="shared" si="3"/>
        <v>31</v>
      </c>
      <c r="M71" s="553">
        <f t="shared" si="4"/>
        <v>64</v>
      </c>
      <c r="N71" s="68"/>
    </row>
    <row r="72" spans="1:27" ht="13.5" customHeight="1" x14ac:dyDescent="0.2">
      <c r="A72" s="1" t="s">
        <v>611</v>
      </c>
      <c r="B72" s="117" t="s">
        <v>45</v>
      </c>
      <c r="C72" s="116">
        <f>T_13!K31</f>
        <v>3</v>
      </c>
      <c r="D72" s="116">
        <f>T_13!L31</f>
        <v>113</v>
      </c>
      <c r="E72" s="116">
        <f>T_13!M31</f>
        <v>1</v>
      </c>
      <c r="F72" s="116">
        <f>T_13!N31</f>
        <v>7</v>
      </c>
      <c r="G72" s="116">
        <f>T_13!O31</f>
        <v>2</v>
      </c>
      <c r="H72" s="116">
        <f>T_13!P31</f>
        <v>58</v>
      </c>
      <c r="I72" s="116">
        <f>T_13!Q31</f>
        <v>105</v>
      </c>
      <c r="J72" s="116">
        <f>T_13!R31</f>
        <v>14</v>
      </c>
      <c r="K72" s="116">
        <f>T_13!S31</f>
        <v>127</v>
      </c>
      <c r="L72" s="674">
        <f t="shared" si="3"/>
        <v>246</v>
      </c>
      <c r="M72" s="553">
        <f t="shared" si="4"/>
        <v>430</v>
      </c>
      <c r="N72" s="68"/>
    </row>
    <row r="73" spans="1:27" ht="13.5" customHeight="1" x14ac:dyDescent="0.2">
      <c r="A73" s="1" t="s">
        <v>612</v>
      </c>
      <c r="B73" s="117" t="s">
        <v>46</v>
      </c>
      <c r="C73" s="116">
        <f>T_13!K32</f>
        <v>1</v>
      </c>
      <c r="D73" s="116">
        <f>T_13!L32</f>
        <v>52</v>
      </c>
      <c r="E73" s="116">
        <f>T_13!M32</f>
        <v>1</v>
      </c>
      <c r="F73" s="116">
        <f>T_13!N32</f>
        <v>1</v>
      </c>
      <c r="G73" s="116">
        <f>T_13!O32</f>
        <v>1</v>
      </c>
      <c r="H73" s="116">
        <f>T_13!P32</f>
        <v>10</v>
      </c>
      <c r="I73" s="116">
        <f>T_13!Q32</f>
        <v>16</v>
      </c>
      <c r="J73" s="116">
        <f>T_13!R32</f>
        <v>1</v>
      </c>
      <c r="K73" s="116">
        <f>T_13!S32</f>
        <v>11</v>
      </c>
      <c r="L73" s="674">
        <f t="shared" si="3"/>
        <v>28</v>
      </c>
      <c r="M73" s="553">
        <f t="shared" si="4"/>
        <v>94</v>
      </c>
      <c r="N73" s="68"/>
    </row>
    <row r="74" spans="1:27" ht="13.5" customHeight="1" x14ac:dyDescent="0.2">
      <c r="A74" s="1" t="s">
        <v>613</v>
      </c>
      <c r="B74" s="117" t="s">
        <v>47</v>
      </c>
      <c r="C74" s="116">
        <f>T_13!K33</f>
        <v>0</v>
      </c>
      <c r="D74" s="116">
        <f>T_13!L33</f>
        <v>0</v>
      </c>
      <c r="E74" s="116">
        <f>T_13!M33</f>
        <v>0</v>
      </c>
      <c r="F74" s="116">
        <f>T_13!N33</f>
        <v>0</v>
      </c>
      <c r="G74" s="116">
        <f>T_13!O33</f>
        <v>0</v>
      </c>
      <c r="H74" s="116">
        <f>T_13!P33</f>
        <v>3</v>
      </c>
      <c r="I74" s="116">
        <f>T_13!Q33</f>
        <v>1</v>
      </c>
      <c r="J74" s="116">
        <f>T_13!R33</f>
        <v>0</v>
      </c>
      <c r="K74" s="116">
        <f>T_13!S33</f>
        <v>2</v>
      </c>
      <c r="L74" s="674">
        <f>SUM(I74:K74)</f>
        <v>3</v>
      </c>
      <c r="M74" s="553">
        <f t="shared" si="4"/>
        <v>6</v>
      </c>
      <c r="N74" s="68"/>
    </row>
    <row r="75" spans="1:27" ht="13.5" customHeight="1" x14ac:dyDescent="0.2">
      <c r="A75" s="1" t="s">
        <v>614</v>
      </c>
      <c r="B75" s="117" t="s">
        <v>48</v>
      </c>
      <c r="C75" s="116">
        <f>T_13!K34</f>
        <v>1</v>
      </c>
      <c r="D75" s="116">
        <f>T_13!L34</f>
        <v>72</v>
      </c>
      <c r="E75" s="116">
        <f>T_13!M34</f>
        <v>1</v>
      </c>
      <c r="F75" s="116">
        <f>T_13!N34</f>
        <v>1</v>
      </c>
      <c r="G75" s="116">
        <f>T_13!O34</f>
        <v>0</v>
      </c>
      <c r="H75" s="116">
        <f>T_13!P34</f>
        <v>63</v>
      </c>
      <c r="I75" s="116">
        <f>T_13!Q34</f>
        <v>54</v>
      </c>
      <c r="J75" s="116">
        <f>T_13!R34</f>
        <v>1</v>
      </c>
      <c r="K75" s="116">
        <f>T_13!S34</f>
        <v>47</v>
      </c>
      <c r="L75" s="674">
        <f t="shared" si="3"/>
        <v>102</v>
      </c>
      <c r="M75" s="553">
        <f t="shared" si="4"/>
        <v>240</v>
      </c>
      <c r="N75" s="68"/>
    </row>
    <row r="76" spans="1:27" ht="13.5" customHeight="1" x14ac:dyDescent="0.2">
      <c r="A76" s="1" t="s">
        <v>615</v>
      </c>
      <c r="B76" s="117" t="s">
        <v>49</v>
      </c>
      <c r="C76" s="116">
        <f>T_13!K35</f>
        <v>4</v>
      </c>
      <c r="D76" s="116">
        <f>T_13!L35</f>
        <v>283</v>
      </c>
      <c r="E76" s="116">
        <f>T_13!M35</f>
        <v>6</v>
      </c>
      <c r="F76" s="116">
        <f>T_13!N35</f>
        <v>3</v>
      </c>
      <c r="G76" s="116">
        <f>T_13!O35</f>
        <v>4</v>
      </c>
      <c r="H76" s="116">
        <f>T_13!P35</f>
        <v>86</v>
      </c>
      <c r="I76" s="116">
        <f>T_13!Q35</f>
        <v>154</v>
      </c>
      <c r="J76" s="116">
        <f>T_13!R35</f>
        <v>22</v>
      </c>
      <c r="K76" s="116">
        <f>T_13!S35</f>
        <v>330</v>
      </c>
      <c r="L76" s="674">
        <f t="shared" si="3"/>
        <v>506</v>
      </c>
      <c r="M76" s="553">
        <f t="shared" si="4"/>
        <v>892</v>
      </c>
      <c r="N76" s="68"/>
    </row>
    <row r="77" spans="1:27" ht="13.5" customHeight="1" x14ac:dyDescent="0.2">
      <c r="A77" s="1" t="s">
        <v>616</v>
      </c>
      <c r="B77" s="117" t="s">
        <v>50</v>
      </c>
      <c r="C77" s="116">
        <f>T_13!K36</f>
        <v>2</v>
      </c>
      <c r="D77" s="116">
        <f>T_13!L36</f>
        <v>50</v>
      </c>
      <c r="E77" s="116">
        <f>T_13!M36</f>
        <v>0</v>
      </c>
      <c r="F77" s="116">
        <f>T_13!N36</f>
        <v>5</v>
      </c>
      <c r="G77" s="116">
        <f>T_13!O36</f>
        <v>0</v>
      </c>
      <c r="H77" s="116">
        <f>T_13!P36</f>
        <v>13</v>
      </c>
      <c r="I77" s="116">
        <f>T_13!Q36</f>
        <v>30</v>
      </c>
      <c r="J77" s="116">
        <f>T_13!R36</f>
        <v>3</v>
      </c>
      <c r="K77" s="116">
        <f>T_13!S36</f>
        <v>21</v>
      </c>
      <c r="L77" s="674">
        <f t="shared" si="3"/>
        <v>54</v>
      </c>
      <c r="M77" s="553">
        <f t="shared" si="4"/>
        <v>124</v>
      </c>
      <c r="N77" s="68"/>
    </row>
    <row r="78" spans="1:27" ht="13.5" customHeight="1" x14ac:dyDescent="0.2">
      <c r="A78" s="1" t="s">
        <v>617</v>
      </c>
      <c r="B78" s="117" t="s">
        <v>51</v>
      </c>
      <c r="C78" s="116">
        <f>T_13!K37</f>
        <v>12</v>
      </c>
      <c r="D78" s="116">
        <f>T_13!L37</f>
        <v>111</v>
      </c>
      <c r="E78" s="116">
        <f>T_13!M37</f>
        <v>3</v>
      </c>
      <c r="F78" s="116">
        <f>T_13!N37</f>
        <v>4</v>
      </c>
      <c r="G78" s="116">
        <f>T_13!O37</f>
        <v>0</v>
      </c>
      <c r="H78" s="116">
        <f>T_13!P37</f>
        <v>52</v>
      </c>
      <c r="I78" s="116">
        <f>T_13!Q37</f>
        <v>113</v>
      </c>
      <c r="J78" s="116">
        <f>T_13!R37</f>
        <v>6</v>
      </c>
      <c r="K78" s="116">
        <f>T_13!S37</f>
        <v>85</v>
      </c>
      <c r="L78" s="674">
        <f t="shared" si="3"/>
        <v>204</v>
      </c>
      <c r="M78" s="553">
        <f t="shared" si="4"/>
        <v>386</v>
      </c>
      <c r="N78" s="68"/>
    </row>
    <row r="79" spans="1:27" ht="13.5" customHeight="1" x14ac:dyDescent="0.2">
      <c r="A79" s="1" t="s">
        <v>618</v>
      </c>
      <c r="B79" s="117" t="s">
        <v>52</v>
      </c>
      <c r="C79" s="116">
        <f>T_13!K38</f>
        <v>11</v>
      </c>
      <c r="D79" s="116">
        <f>T_13!L38</f>
        <v>217</v>
      </c>
      <c r="E79" s="116">
        <f>T_13!M38</f>
        <v>3</v>
      </c>
      <c r="F79" s="116">
        <f>T_13!N38</f>
        <v>5</v>
      </c>
      <c r="G79" s="116">
        <f>T_13!O38</f>
        <v>3</v>
      </c>
      <c r="H79" s="116">
        <f>T_13!P38</f>
        <v>66</v>
      </c>
      <c r="I79" s="116">
        <f>T_13!Q38</f>
        <v>137</v>
      </c>
      <c r="J79" s="116">
        <f>T_13!R38</f>
        <v>18</v>
      </c>
      <c r="K79" s="116">
        <f>T_13!S38</f>
        <v>102</v>
      </c>
      <c r="L79" s="674">
        <f t="shared" si="3"/>
        <v>257</v>
      </c>
      <c r="M79" s="553">
        <f t="shared" si="4"/>
        <v>562</v>
      </c>
      <c r="N79" s="68"/>
    </row>
    <row r="80" spans="1:27" ht="13.5" customHeight="1" x14ac:dyDescent="0.2">
      <c r="B80" s="117" t="str">
        <f>IF(T_13!$A$39 = "Z_Not Known", "Not Known","")</f>
        <v/>
      </c>
      <c r="C80" s="116" t="str">
        <f>IF(T_13!$A$39 = "Z_Not Known",T_13!K39,"")</f>
        <v/>
      </c>
      <c r="D80" s="116" t="str">
        <f>IF(T_13!$A$39 = "Z_Not Known",T_13!L39,"")</f>
        <v/>
      </c>
      <c r="E80" s="116" t="str">
        <f>IF(T_13!$A$39 = "Z_Not Known",T_13!M39,"")</f>
        <v/>
      </c>
      <c r="F80" s="116" t="str">
        <f>IF(T_13!$A$39 = "Z_Not Known",T_13!N39,"")</f>
        <v/>
      </c>
      <c r="G80" s="116" t="str">
        <f>IF(T_13!$A$39 = "Z_Not Known",T_13!O39,"")</f>
        <v/>
      </c>
      <c r="H80" s="116" t="str">
        <f>IF(T_13!$A$39 = "Z_Not Known",T_13!P39,"")</f>
        <v/>
      </c>
      <c r="I80" s="116" t="str">
        <f>IF(T_13!$A$39 = "Z_Not Known",T_13!Q39,"")</f>
        <v/>
      </c>
      <c r="J80" s="116" t="str">
        <f>IF(T_13!$A$39 = "Z_Not Known",T_13!R39,"")</f>
        <v/>
      </c>
      <c r="K80" s="116" t="str">
        <f>IF(T_13!$A$39 = "Z_Not Known",T_13!S39,"")</f>
        <v/>
      </c>
      <c r="L80" s="552" t="str">
        <f>IF(T_13!$A$39 = "Z_Not Known",SUM(I80:K80),"")</f>
        <v/>
      </c>
      <c r="M80" s="553" t="str">
        <f>IF(T_13!$A$39 = "Z_Not Known",SUM(C80:K80),"")</f>
        <v/>
      </c>
      <c r="N80" s="68"/>
    </row>
    <row r="81" spans="1:14" ht="30" customHeight="1" thickBot="1" x14ac:dyDescent="0.25">
      <c r="A81" s="359" t="s">
        <v>620</v>
      </c>
      <c r="B81" s="360" t="s">
        <v>143</v>
      </c>
      <c r="C81" s="673">
        <f>SUM(C48:C80)</f>
        <v>151</v>
      </c>
      <c r="D81" s="673">
        <f t="shared" ref="D81:M81" si="5">SUM(D48:D80)</f>
        <v>3725</v>
      </c>
      <c r="E81" s="673">
        <f t="shared" si="5"/>
        <v>69</v>
      </c>
      <c r="F81" s="673">
        <f t="shared" si="5"/>
        <v>163</v>
      </c>
      <c r="G81" s="673">
        <f t="shared" si="5"/>
        <v>72</v>
      </c>
      <c r="H81" s="673">
        <f t="shared" si="5"/>
        <v>1657</v>
      </c>
      <c r="I81" s="673">
        <f t="shared" si="5"/>
        <v>2642</v>
      </c>
      <c r="J81" s="673">
        <f t="shared" si="5"/>
        <v>291</v>
      </c>
      <c r="K81" s="673">
        <f t="shared" si="5"/>
        <v>3287</v>
      </c>
      <c r="L81" s="673">
        <f t="shared" si="5"/>
        <v>6220</v>
      </c>
      <c r="M81" s="673">
        <f t="shared" si="5"/>
        <v>12057</v>
      </c>
      <c r="N81" s="68"/>
    </row>
    <row r="83" spans="1:14" x14ac:dyDescent="0.2">
      <c r="B83" s="5"/>
    </row>
    <row r="84" spans="1:14" x14ac:dyDescent="0.2">
      <c r="B84" s="1328"/>
      <c r="C84" s="1328"/>
      <c r="D84" s="1328"/>
      <c r="E84" s="1328"/>
      <c r="F84" s="1328"/>
      <c r="G84" s="1328"/>
      <c r="H84" s="1328"/>
      <c r="I84" s="1328"/>
      <c r="J84" s="1328"/>
      <c r="K84" s="1328"/>
      <c r="L84" s="1328"/>
    </row>
    <row r="85" spans="1:14" x14ac:dyDescent="0.2">
      <c r="B85" s="1299"/>
      <c r="C85" s="1299"/>
      <c r="D85" s="1299"/>
      <c r="E85" s="1299"/>
      <c r="F85" s="1299"/>
      <c r="G85" s="1299"/>
      <c r="H85" s="1299"/>
    </row>
    <row r="86" spans="1:14" x14ac:dyDescent="0.2">
      <c r="B86" s="18"/>
    </row>
  </sheetData>
  <sheetProtection algorithmName="SHA-512" hashValue="9uHVsohTEG34e11BMf3Qo4zEmbLwpSeuLSKWWg24CQIOjghc7GzbbBQRBC/D0KWIULjYDgpAN6Yg3v5x16pV6w==" saltValue="HHnPICwWsPGYnoqZC+3LSQ==" spinCount="100000" sheet="1" scenarios="1" formatCells="0" formatColumns="0" formatRows="0" sort="0" autoFilter="0" pivotTables="0"/>
  <mergeCells count="6">
    <mergeCell ref="B85:H85"/>
    <mergeCell ref="C8:L8"/>
    <mergeCell ref="M8:M9"/>
    <mergeCell ref="C46:L46"/>
    <mergeCell ref="M46:M47"/>
    <mergeCell ref="B84:L84"/>
  </mergeCells>
  <hyperlinks>
    <hyperlink ref="A2" location="'Table of Contents'!A1" display="Back to Table of Contents" xr:uid="{00000000-0004-0000-4800-000000000000}"/>
  </hyperlinks>
  <pageMargins left="0.70866141732283472" right="0.70866141732283472" top="0.74803149606299213" bottom="0.74803149606299213" header="0.31496062992125984" footer="0.31496062992125984"/>
  <pageSetup paperSize="9" scale="56" orientation="portrait" r:id="rId1"/>
  <headerFooter>
    <oddFooter>&amp;L&amp;P&amp;C&amp;A</oddFooter>
  </headerFooter>
  <rowBreaks count="1" manualBreakCount="1">
    <brk id="44" min="1" max="13" man="1"/>
  </rowBreaks>
  <drawing r:id="rId2"/>
  <extLst>
    <ext xmlns:x14="http://schemas.microsoft.com/office/spreadsheetml/2009/9/main" uri="{A8765BA9-456A-4dab-B4F3-ACF838C121DE}">
      <x14:slicerList>
        <x14:slicer r:id="rId3"/>
      </x14:slicerList>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7">
    <tabColor rgb="FFFFAFF0"/>
    <pageSetUpPr fitToPage="1"/>
  </sheetPr>
  <dimension ref="A1:P47"/>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18.28515625" style="1" customWidth="1"/>
    <col min="2" max="2" width="22.42578125" style="1" customWidth="1"/>
    <col min="3" max="5" width="12.85546875" style="1" customWidth="1"/>
    <col min="6" max="6" width="9.140625" style="1"/>
    <col min="7" max="8" width="13.5703125" style="1" customWidth="1"/>
    <col min="9" max="9" width="12" style="1" customWidth="1"/>
    <col min="10" max="10" width="9.140625" style="1"/>
    <col min="11" max="11" width="11.42578125" style="1" customWidth="1"/>
    <col min="12" max="16384" width="9.140625" style="1"/>
  </cols>
  <sheetData>
    <row r="1" spans="1:9" ht="18" customHeight="1" x14ac:dyDescent="0.2">
      <c r="A1" s="298" t="s">
        <v>1129</v>
      </c>
    </row>
    <row r="2" spans="1:9" ht="18" customHeight="1" x14ac:dyDescent="0.2">
      <c r="A2" s="106" t="s">
        <v>578</v>
      </c>
    </row>
    <row r="3" spans="1:9" ht="38.25" customHeight="1" x14ac:dyDescent="0.2">
      <c r="A3" s="129" t="s">
        <v>1045</v>
      </c>
      <c r="C3" s="120"/>
      <c r="D3" s="120"/>
      <c r="E3" s="120"/>
      <c r="G3" s="120"/>
      <c r="H3" s="120"/>
      <c r="I3" s="120"/>
    </row>
    <row r="4" spans="1:9" ht="15.75" customHeight="1" x14ac:dyDescent="0.25">
      <c r="A4" s="351" t="s">
        <v>579</v>
      </c>
      <c r="B4" s="1043" t="s">
        <v>1323</v>
      </c>
      <c r="D4" s="120"/>
      <c r="E4" s="120"/>
      <c r="F4" s="120"/>
      <c r="G4" s="120"/>
      <c r="H4" s="120"/>
      <c r="I4" s="120"/>
    </row>
    <row r="5" spans="1:9" ht="15.75" customHeight="1" x14ac:dyDescent="0.25">
      <c r="A5" s="351" t="s">
        <v>580</v>
      </c>
      <c r="B5" s="351" t="s">
        <v>581</v>
      </c>
      <c r="C5" s="120"/>
      <c r="D5" s="120"/>
      <c r="E5" s="120"/>
      <c r="F5" s="120"/>
      <c r="G5" s="120"/>
      <c r="H5" s="120"/>
      <c r="I5" s="120"/>
    </row>
    <row r="6" spans="1:9" ht="15.75" customHeight="1" x14ac:dyDescent="0.25">
      <c r="A6" s="351" t="s">
        <v>582</v>
      </c>
      <c r="B6" s="351" t="s">
        <v>585</v>
      </c>
      <c r="C6" s="120"/>
      <c r="D6" s="120"/>
      <c r="E6" s="120"/>
      <c r="F6" s="120"/>
      <c r="G6" s="120"/>
      <c r="H6" s="120"/>
      <c r="I6" s="120"/>
    </row>
    <row r="7" spans="1:9" ht="15" x14ac:dyDescent="0.25">
      <c r="E7" s="80" t="s">
        <v>0</v>
      </c>
      <c r="G7" s="1354" t="s">
        <v>413</v>
      </c>
      <c r="H7" s="1354"/>
      <c r="I7" s="1354"/>
    </row>
    <row r="8" spans="1:9" ht="38.25" x14ac:dyDescent="0.2">
      <c r="A8" s="2" t="s">
        <v>586</v>
      </c>
      <c r="B8" s="2" t="s">
        <v>22</v>
      </c>
      <c r="C8" s="119" t="s">
        <v>130</v>
      </c>
      <c r="D8" s="372" t="s">
        <v>131</v>
      </c>
      <c r="E8" s="169" t="s">
        <v>132</v>
      </c>
      <c r="F8" s="58"/>
      <c r="G8" s="119" t="s">
        <v>130</v>
      </c>
      <c r="H8" s="372" t="s">
        <v>131</v>
      </c>
      <c r="I8" s="169" t="s">
        <v>132</v>
      </c>
    </row>
    <row r="9" spans="1:9" ht="18.75" customHeight="1" x14ac:dyDescent="0.2">
      <c r="A9" s="414" t="s">
        <v>587</v>
      </c>
      <c r="B9" s="400" t="s">
        <v>23</v>
      </c>
      <c r="C9" s="676">
        <f>T_13b!C7</f>
        <v>82</v>
      </c>
      <c r="D9" s="676">
        <f>T_13b!E7</f>
        <v>246</v>
      </c>
      <c r="E9" s="677">
        <f>SUM(C9:D9)</f>
        <v>328</v>
      </c>
      <c r="F9" s="678"/>
      <c r="G9" s="475">
        <f>C9/T_13b!$B7*100000</f>
        <v>35.798480747402429</v>
      </c>
      <c r="H9" s="645">
        <f>D9/T_13b!$B7*100000</f>
        <v>107.39544224220728</v>
      </c>
      <c r="I9" s="476">
        <f>E9/T_13b!$B7*100000</f>
        <v>143.19392298960972</v>
      </c>
    </row>
    <row r="10" spans="1:9" ht="13.5" customHeight="1" x14ac:dyDescent="0.2">
      <c r="A10" s="1" t="s">
        <v>588</v>
      </c>
      <c r="B10" s="117" t="s">
        <v>24</v>
      </c>
      <c r="C10" s="561">
        <f>T_13b!C8</f>
        <v>138</v>
      </c>
      <c r="D10" s="561">
        <f>T_13b!E8</f>
        <v>157</v>
      </c>
      <c r="E10" s="562">
        <f>SUM(C10:D10)</f>
        <v>295</v>
      </c>
      <c r="F10" s="563"/>
      <c r="G10" s="467">
        <f>C10/T_13b!$B8*100000</f>
        <v>52.918168571209449</v>
      </c>
      <c r="H10" s="559">
        <f>D10/T_13b!$B8*100000</f>
        <v>60.204003374491904</v>
      </c>
      <c r="I10" s="468">
        <f>E10/T_13b!$B8*100000</f>
        <v>113.12217194570137</v>
      </c>
    </row>
    <row r="11" spans="1:9" ht="13.5" customHeight="1" x14ac:dyDescent="0.2">
      <c r="A11" s="1" t="s">
        <v>589</v>
      </c>
      <c r="B11" s="117" t="s">
        <v>25</v>
      </c>
      <c r="C11" s="561">
        <f>T_13b!C9</f>
        <v>70</v>
      </c>
      <c r="D11" s="561">
        <f>T_13b!E9</f>
        <v>134</v>
      </c>
      <c r="E11" s="562">
        <f t="shared" ref="E11:E40" si="0">SUM(C11:D11)</f>
        <v>204</v>
      </c>
      <c r="F11" s="563"/>
      <c r="G11" s="467">
        <f>C11/T_13b!$B9*100000</f>
        <v>60.438611638749791</v>
      </c>
      <c r="H11" s="559">
        <f>D11/T_13b!$B9*100000</f>
        <v>115.69677085132102</v>
      </c>
      <c r="I11" s="468">
        <f>E11/T_13b!$B9*100000</f>
        <v>176.13538249007081</v>
      </c>
    </row>
    <row r="12" spans="1:9" ht="13.5" customHeight="1" x14ac:dyDescent="0.2">
      <c r="A12" s="1" t="s">
        <v>590</v>
      </c>
      <c r="B12" s="117" t="s">
        <v>26</v>
      </c>
      <c r="C12" s="561">
        <f>T_13b!C10</f>
        <v>68</v>
      </c>
      <c r="D12" s="561">
        <f>T_13b!E10</f>
        <v>65</v>
      </c>
      <c r="E12" s="562">
        <f t="shared" si="0"/>
        <v>133</v>
      </c>
      <c r="F12" s="563"/>
      <c r="G12" s="467">
        <f>C12/T_13b!$B10*100000</f>
        <v>79.597331148308555</v>
      </c>
      <c r="H12" s="559">
        <f>D12/T_13b!$B10*100000</f>
        <v>76.085684185883181</v>
      </c>
      <c r="I12" s="468">
        <f>E12/T_13b!$B10*100000</f>
        <v>155.68301533419174</v>
      </c>
    </row>
    <row r="13" spans="1:9" ht="13.5" customHeight="1" x14ac:dyDescent="0.2">
      <c r="A13" s="1" t="s">
        <v>591</v>
      </c>
      <c r="B13" s="117" t="s">
        <v>619</v>
      </c>
      <c r="C13" s="561">
        <f>T_13b!C11</f>
        <v>432</v>
      </c>
      <c r="D13" s="561">
        <f>T_13b!E11</f>
        <v>1034</v>
      </c>
      <c r="E13" s="562">
        <f t="shared" si="0"/>
        <v>1466</v>
      </c>
      <c r="F13" s="563"/>
      <c r="G13" s="467">
        <f>C13/T_13b!$B11*100000</f>
        <v>81.87710852507486</v>
      </c>
      <c r="H13" s="559">
        <f>D13/T_13b!$B11*100000</f>
        <v>195.97437549751717</v>
      </c>
      <c r="I13" s="468">
        <f>E13/T_13b!$B11*100000</f>
        <v>277.85148402259205</v>
      </c>
    </row>
    <row r="14" spans="1:9" ht="13.5" customHeight="1" x14ac:dyDescent="0.2">
      <c r="A14" s="1" t="s">
        <v>592</v>
      </c>
      <c r="B14" s="117" t="s">
        <v>27</v>
      </c>
      <c r="C14" s="561">
        <f>T_13b!C12</f>
        <v>38</v>
      </c>
      <c r="D14" s="561">
        <f>T_13b!E12</f>
        <v>74</v>
      </c>
      <c r="E14" s="562">
        <f t="shared" si="0"/>
        <v>112</v>
      </c>
      <c r="F14" s="563"/>
      <c r="G14" s="467">
        <f>C14/T_13b!$B12*100000</f>
        <v>74.088516279976602</v>
      </c>
      <c r="H14" s="559">
        <f>D14/T_13b!$B12*100000</f>
        <v>144.27763696627022</v>
      </c>
      <c r="I14" s="468">
        <f>E14/T_13b!$B12*100000</f>
        <v>218.36615324624682</v>
      </c>
    </row>
    <row r="15" spans="1:9" ht="13.5" customHeight="1" x14ac:dyDescent="0.2">
      <c r="A15" s="1" t="s">
        <v>593</v>
      </c>
      <c r="B15" s="117" t="s">
        <v>28</v>
      </c>
      <c r="C15" s="561">
        <f>T_13b!C13</f>
        <v>85</v>
      </c>
      <c r="D15" s="561">
        <f>T_13b!E13</f>
        <v>120</v>
      </c>
      <c r="E15" s="562">
        <f t="shared" si="0"/>
        <v>205</v>
      </c>
      <c r="F15" s="563"/>
      <c r="G15" s="467">
        <f>C15/T_13b!$B13*100000</f>
        <v>57.320115988940593</v>
      </c>
      <c r="H15" s="559">
        <f>D15/T_13b!$B13*100000</f>
        <v>80.922516690269063</v>
      </c>
      <c r="I15" s="468">
        <f>E15/T_13b!$B13*100000</f>
        <v>138.24263267920966</v>
      </c>
    </row>
    <row r="16" spans="1:9" ht="13.5" customHeight="1" x14ac:dyDescent="0.2">
      <c r="A16" s="1" t="s">
        <v>594</v>
      </c>
      <c r="B16" s="117" t="s">
        <v>29</v>
      </c>
      <c r="C16" s="561">
        <f>T_13b!C14</f>
        <v>119</v>
      </c>
      <c r="D16" s="561">
        <f>T_13b!E14</f>
        <v>579</v>
      </c>
      <c r="E16" s="562">
        <f t="shared" si="0"/>
        <v>698</v>
      </c>
      <c r="F16" s="563"/>
      <c r="G16" s="467">
        <f>C16/T_13b!$B14*100000</f>
        <v>79.962370649106305</v>
      </c>
      <c r="H16" s="559">
        <f>D16/T_13b!$B14*100000</f>
        <v>389.06061013304662</v>
      </c>
      <c r="I16" s="468">
        <f>E16/T_13b!$B14*100000</f>
        <v>469.0229807821529</v>
      </c>
    </row>
    <row r="17" spans="1:9" ht="13.5" customHeight="1" x14ac:dyDescent="0.2">
      <c r="A17" s="1" t="s">
        <v>595</v>
      </c>
      <c r="B17" s="117" t="s">
        <v>30</v>
      </c>
      <c r="C17" s="561">
        <f>T_13b!C15</f>
        <v>56</v>
      </c>
      <c r="D17" s="561">
        <f>T_13b!E15</f>
        <v>528</v>
      </c>
      <c r="E17" s="562">
        <f t="shared" si="0"/>
        <v>584</v>
      </c>
      <c r="F17" s="563"/>
      <c r="G17" s="467">
        <f>C17/T_13b!$B15*100000</f>
        <v>46.05263157894737</v>
      </c>
      <c r="H17" s="559">
        <f>D17/T_13b!$B15*100000</f>
        <v>434.21052631578948</v>
      </c>
      <c r="I17" s="468">
        <f>E17/T_13b!$B15*100000</f>
        <v>480.26315789473682</v>
      </c>
    </row>
    <row r="18" spans="1:9" ht="13.5" customHeight="1" x14ac:dyDescent="0.2">
      <c r="A18" s="1" t="s">
        <v>596</v>
      </c>
      <c r="B18" s="117" t="s">
        <v>31</v>
      </c>
      <c r="C18" s="561">
        <f>T_13b!C16</f>
        <v>36</v>
      </c>
      <c r="D18" s="561">
        <f>T_13b!E16</f>
        <v>205</v>
      </c>
      <c r="E18" s="562">
        <f t="shared" si="0"/>
        <v>241</v>
      </c>
      <c r="F18" s="563"/>
      <c r="G18" s="467">
        <f>C18/T_13b!$B16*100000</f>
        <v>33.103448275862071</v>
      </c>
      <c r="H18" s="559">
        <f>D18/T_13b!$B16*100000</f>
        <v>188.5057471264368</v>
      </c>
      <c r="I18" s="468">
        <f>E18/T_13b!$B16*100000</f>
        <v>221.60919540229887</v>
      </c>
    </row>
    <row r="19" spans="1:9" ht="13.5" customHeight="1" x14ac:dyDescent="0.2">
      <c r="A19" s="1" t="s">
        <v>597</v>
      </c>
      <c r="B19" s="117" t="s">
        <v>32</v>
      </c>
      <c r="C19" s="561">
        <f>T_13b!C17</f>
        <v>43</v>
      </c>
      <c r="D19" s="561">
        <f>T_13b!E17</f>
        <v>152</v>
      </c>
      <c r="E19" s="562">
        <f t="shared" si="0"/>
        <v>195</v>
      </c>
      <c r="F19" s="563"/>
      <c r="G19" s="467">
        <f>C19/T_13b!$B17*100000</f>
        <v>39.851714550509733</v>
      </c>
      <c r="H19" s="559">
        <f>D19/T_13b!$B17*100000</f>
        <v>140.87117701575534</v>
      </c>
      <c r="I19" s="468">
        <f>E19/T_13b!$B17*100000</f>
        <v>180.72289156626508</v>
      </c>
    </row>
    <row r="20" spans="1:9" ht="13.5" customHeight="1" x14ac:dyDescent="0.2">
      <c r="A20" s="1" t="s">
        <v>598</v>
      </c>
      <c r="B20" s="117" t="s">
        <v>33</v>
      </c>
      <c r="C20" s="561">
        <f>T_13b!C18</f>
        <v>32</v>
      </c>
      <c r="D20" s="561">
        <f>T_13b!E18</f>
        <v>150</v>
      </c>
      <c r="E20" s="562">
        <f t="shared" si="0"/>
        <v>182</v>
      </c>
      <c r="F20" s="563"/>
      <c r="G20" s="467">
        <f>C20/T_13b!$B18*100000</f>
        <v>33.312513012700393</v>
      </c>
      <c r="H20" s="559">
        <f>D20/T_13b!$B18*100000</f>
        <v>156.1524047470331</v>
      </c>
      <c r="I20" s="468">
        <f>E20/T_13b!$B18*100000</f>
        <v>189.46491775973351</v>
      </c>
    </row>
    <row r="21" spans="1:9" ht="13.5" customHeight="1" x14ac:dyDescent="0.2">
      <c r="A21" s="1" t="s">
        <v>599</v>
      </c>
      <c r="B21" s="117" t="s">
        <v>34</v>
      </c>
      <c r="C21" s="561">
        <f>T_13b!C19</f>
        <v>110</v>
      </c>
      <c r="D21" s="561">
        <f>T_13b!E19</f>
        <v>313</v>
      </c>
      <c r="E21" s="562">
        <f t="shared" si="0"/>
        <v>423</v>
      </c>
      <c r="F21" s="563"/>
      <c r="G21" s="467">
        <f>C21/T_13b!$B19*100000</f>
        <v>68.510214250124562</v>
      </c>
      <c r="H21" s="559">
        <f>D21/T_13b!$B19*100000</f>
        <v>194.94270054808172</v>
      </c>
      <c r="I21" s="468">
        <f>E21/T_13b!$B19*100000</f>
        <v>263.45291479820628</v>
      </c>
    </row>
    <row r="22" spans="1:9" ht="13.5" customHeight="1" x14ac:dyDescent="0.2">
      <c r="A22" s="1" t="s">
        <v>600</v>
      </c>
      <c r="B22" s="117" t="s">
        <v>35</v>
      </c>
      <c r="C22" s="561">
        <f>T_13b!C20</f>
        <v>193</v>
      </c>
      <c r="D22" s="561">
        <f>T_13b!E20</f>
        <v>826</v>
      </c>
      <c r="E22" s="562">
        <f t="shared" si="0"/>
        <v>1019</v>
      </c>
      <c r="F22" s="563"/>
      <c r="G22" s="467">
        <f>C22/T_13b!$B20*100000</f>
        <v>51.586346991687385</v>
      </c>
      <c r="H22" s="559">
        <f>D22/T_13b!$B20*100000</f>
        <v>220.77887365354292</v>
      </c>
      <c r="I22" s="468">
        <f>E22/T_13b!$B20*100000</f>
        <v>272.36522064523029</v>
      </c>
    </row>
    <row r="23" spans="1:9" ht="13.5" customHeight="1" x14ac:dyDescent="0.2">
      <c r="A23" s="1" t="s">
        <v>601</v>
      </c>
      <c r="B23" s="117" t="s">
        <v>36</v>
      </c>
      <c r="C23" s="561">
        <f>T_13b!C21</f>
        <v>312</v>
      </c>
      <c r="D23" s="561">
        <f>T_13b!E21</f>
        <v>2128</v>
      </c>
      <c r="E23" s="562">
        <f t="shared" si="0"/>
        <v>2440</v>
      </c>
      <c r="F23" s="563"/>
      <c r="G23" s="467">
        <f>C23/T_13b!$B21*100000</f>
        <v>49.084387389088164</v>
      </c>
      <c r="H23" s="559">
        <f>D23/T_13b!$B21*100000</f>
        <v>334.78069347429363</v>
      </c>
      <c r="I23" s="468">
        <f>E23/T_13b!$B21*100000</f>
        <v>383.86508086338176</v>
      </c>
    </row>
    <row r="24" spans="1:9" ht="13.5" customHeight="1" x14ac:dyDescent="0.2">
      <c r="A24" s="1" t="s">
        <v>602</v>
      </c>
      <c r="B24" s="117" t="s">
        <v>37</v>
      </c>
      <c r="C24" s="561">
        <f>T_13b!C22</f>
        <v>234</v>
      </c>
      <c r="D24" s="561">
        <f>T_13b!E22</f>
        <v>162</v>
      </c>
      <c r="E24" s="562">
        <f t="shared" si="0"/>
        <v>396</v>
      </c>
      <c r="F24" s="563"/>
      <c r="G24" s="467">
        <f>C24/T_13b!$B22*100000</f>
        <v>99.392600773053559</v>
      </c>
      <c r="H24" s="559">
        <f>D24/T_13b!$B22*100000</f>
        <v>68.810262073652467</v>
      </c>
      <c r="I24" s="468">
        <f>E24/T_13b!$B22*100000</f>
        <v>168.20286284670601</v>
      </c>
    </row>
    <row r="25" spans="1:9" ht="13.5" customHeight="1" x14ac:dyDescent="0.2">
      <c r="A25" s="1" t="s">
        <v>603</v>
      </c>
      <c r="B25" s="117" t="s">
        <v>38</v>
      </c>
      <c r="C25" s="561">
        <f>T_13b!C23</f>
        <v>26</v>
      </c>
      <c r="D25" s="561">
        <f>T_13b!E23</f>
        <v>391</v>
      </c>
      <c r="E25" s="562">
        <f t="shared" si="0"/>
        <v>417</v>
      </c>
      <c r="F25" s="563"/>
      <c r="G25" s="467">
        <f>C25/T_13b!$B23*100000</f>
        <v>33.739942901635089</v>
      </c>
      <c r="H25" s="559">
        <f>D25/T_13b!$B23*100000</f>
        <v>507.39683363612772</v>
      </c>
      <c r="I25" s="468">
        <f>E25/T_13b!$B23*100000</f>
        <v>541.13677653776278</v>
      </c>
    </row>
    <row r="26" spans="1:9" ht="13.5" customHeight="1" x14ac:dyDescent="0.2">
      <c r="A26" s="1" t="s">
        <v>604</v>
      </c>
      <c r="B26" s="117" t="s">
        <v>39</v>
      </c>
      <c r="C26" s="561">
        <f>T_13b!C24</f>
        <v>45</v>
      </c>
      <c r="D26" s="561">
        <f>T_13b!E24</f>
        <v>158</v>
      </c>
      <c r="E26" s="562">
        <f t="shared" si="0"/>
        <v>203</v>
      </c>
      <c r="F26" s="563"/>
      <c r="G26" s="467">
        <f>C26/T_13b!$B24*100000</f>
        <v>48.309178743961354</v>
      </c>
      <c r="H26" s="559">
        <f>D26/T_13b!$B24*100000</f>
        <v>169.6188942565754</v>
      </c>
      <c r="I26" s="468">
        <f>E26/T_13b!$B24*100000</f>
        <v>217.92807300053678</v>
      </c>
    </row>
    <row r="27" spans="1:9" ht="13.5" customHeight="1" x14ac:dyDescent="0.2">
      <c r="A27" s="1" t="s">
        <v>605</v>
      </c>
      <c r="B27" s="117" t="s">
        <v>40</v>
      </c>
      <c r="C27" s="561">
        <f>T_13b!C25</f>
        <v>65</v>
      </c>
      <c r="D27" s="561">
        <f>T_13b!E25</f>
        <v>63</v>
      </c>
      <c r="E27" s="562">
        <f t="shared" si="0"/>
        <v>128</v>
      </c>
      <c r="F27" s="563"/>
      <c r="G27" s="467">
        <f>C27/T_13b!$B25*100000</f>
        <v>67.913488663671501</v>
      </c>
      <c r="H27" s="559">
        <f>D27/T_13b!$B25*100000</f>
        <v>65.823842858635459</v>
      </c>
      <c r="I27" s="468">
        <f>E27/T_13b!$B25*100000</f>
        <v>133.73733152230696</v>
      </c>
    </row>
    <row r="28" spans="1:9" ht="13.5" customHeight="1" x14ac:dyDescent="0.2">
      <c r="A28" s="1" t="s">
        <v>606</v>
      </c>
      <c r="B28" s="117" t="s">
        <v>295</v>
      </c>
      <c r="C28" s="561">
        <f>T_13b!C26</f>
        <v>58</v>
      </c>
      <c r="D28" s="561">
        <f>T_13b!E26</f>
        <v>18</v>
      </c>
      <c r="E28" s="562">
        <f t="shared" si="0"/>
        <v>76</v>
      </c>
      <c r="F28" s="563"/>
      <c r="G28" s="467">
        <f>C28/T_13b!$B26*100000</f>
        <v>218.8679245283019</v>
      </c>
      <c r="H28" s="559">
        <f>D28/T_13b!$B26*100000</f>
        <v>67.924528301886795</v>
      </c>
      <c r="I28" s="468">
        <f>E28/T_13b!$B26*100000</f>
        <v>286.79245283018867</v>
      </c>
    </row>
    <row r="29" spans="1:9" ht="13.5" customHeight="1" x14ac:dyDescent="0.2">
      <c r="A29" s="1" t="s">
        <v>607</v>
      </c>
      <c r="B29" s="117" t="s">
        <v>41</v>
      </c>
      <c r="C29" s="561">
        <f>T_13b!C27</f>
        <v>54</v>
      </c>
      <c r="D29" s="561">
        <f>T_13b!E27</f>
        <v>437</v>
      </c>
      <c r="E29" s="562">
        <f t="shared" si="0"/>
        <v>491</v>
      </c>
      <c r="F29" s="563"/>
      <c r="G29" s="467">
        <f>C29/T_13b!$B27*100000</f>
        <v>40.22346368715084</v>
      </c>
      <c r="H29" s="559">
        <f>D29/T_13b!$B27*100000</f>
        <v>325.51210428305399</v>
      </c>
      <c r="I29" s="468">
        <f>E29/T_13b!$B27*100000</f>
        <v>365.73556797020484</v>
      </c>
    </row>
    <row r="30" spans="1:9" ht="13.5" customHeight="1" x14ac:dyDescent="0.2">
      <c r="A30" s="1" t="s">
        <v>608</v>
      </c>
      <c r="B30" s="117" t="s">
        <v>42</v>
      </c>
      <c r="C30" s="561">
        <f>T_13b!C28</f>
        <v>162</v>
      </c>
      <c r="D30" s="561">
        <f>T_13b!E28</f>
        <v>1313</v>
      </c>
      <c r="E30" s="562">
        <f t="shared" si="0"/>
        <v>1475</v>
      </c>
      <c r="F30" s="563"/>
      <c r="G30" s="467">
        <f>C30/T_13b!$B28*100000</f>
        <v>47.487834906490008</v>
      </c>
      <c r="H30" s="559">
        <f>D30/T_13b!$B28*100000</f>
        <v>384.88597056926773</v>
      </c>
      <c r="I30" s="468">
        <f>E30/T_13b!$B28*100000</f>
        <v>432.37380547575776</v>
      </c>
    </row>
    <row r="31" spans="1:9" ht="13.5" customHeight="1" x14ac:dyDescent="0.2">
      <c r="A31" s="1" t="s">
        <v>609</v>
      </c>
      <c r="B31" s="117" t="s">
        <v>43</v>
      </c>
      <c r="C31" s="561">
        <f>T_13b!C29</f>
        <v>8</v>
      </c>
      <c r="D31" s="561">
        <f>T_13b!E29</f>
        <v>6</v>
      </c>
      <c r="E31" s="562">
        <f t="shared" si="0"/>
        <v>14</v>
      </c>
      <c r="F31" s="563"/>
      <c r="G31" s="467">
        <f>C31/T_13b!$B29*100000</f>
        <v>35.714285714285715</v>
      </c>
      <c r="H31" s="559">
        <f>D31/T_13b!$B29*100000</f>
        <v>26.785714285714288</v>
      </c>
      <c r="I31" s="468">
        <f>E31/T_13b!$B29*100000</f>
        <v>62.5</v>
      </c>
    </row>
    <row r="32" spans="1:9" ht="13.5" customHeight="1" x14ac:dyDescent="0.2">
      <c r="A32" s="1" t="s">
        <v>610</v>
      </c>
      <c r="B32" s="117" t="s">
        <v>44</v>
      </c>
      <c r="C32" s="561">
        <f>T_13b!C30</f>
        <v>81</v>
      </c>
      <c r="D32" s="561">
        <f>T_13b!E30</f>
        <v>64</v>
      </c>
      <c r="E32" s="562">
        <f t="shared" si="0"/>
        <v>145</v>
      </c>
      <c r="F32" s="563"/>
      <c r="G32" s="467">
        <f>C32/T_13b!$B30*100000</f>
        <v>53.321045355802781</v>
      </c>
      <c r="H32" s="559">
        <f>D32/T_13b!$B30*100000</f>
        <v>42.130208676189845</v>
      </c>
      <c r="I32" s="468">
        <f>E32/T_13b!$B30*100000</f>
        <v>95.451254031992633</v>
      </c>
    </row>
    <row r="33" spans="1:16" ht="13.5" customHeight="1" x14ac:dyDescent="0.2">
      <c r="A33" s="1" t="s">
        <v>611</v>
      </c>
      <c r="B33" s="117" t="s">
        <v>45</v>
      </c>
      <c r="C33" s="561">
        <f>T_13b!C31</f>
        <v>73</v>
      </c>
      <c r="D33" s="561">
        <f>T_13b!E31</f>
        <v>430</v>
      </c>
      <c r="E33" s="562">
        <f t="shared" si="0"/>
        <v>503</v>
      </c>
      <c r="F33" s="563"/>
      <c r="G33" s="467">
        <f>C33/T_13b!$B31*100000</f>
        <v>40.693461173978484</v>
      </c>
      <c r="H33" s="559">
        <f>D33/T_13b!$B31*100000</f>
        <v>239.70120965494172</v>
      </c>
      <c r="I33" s="468">
        <f>E33/T_13b!$B31*100000</f>
        <v>280.39467082892025</v>
      </c>
    </row>
    <row r="34" spans="1:16" ht="13.5" customHeight="1" x14ac:dyDescent="0.2">
      <c r="A34" s="1" t="s">
        <v>612</v>
      </c>
      <c r="B34" s="117" t="s">
        <v>46</v>
      </c>
      <c r="C34" s="561">
        <f>T_13b!C32</f>
        <v>30</v>
      </c>
      <c r="D34" s="561">
        <f>T_13b!E32</f>
        <v>94</v>
      </c>
      <c r="E34" s="562">
        <f t="shared" si="0"/>
        <v>124</v>
      </c>
      <c r="F34" s="563"/>
      <c r="G34" s="467">
        <f>C34/T_13b!$B32*100000</f>
        <v>26.032627559875042</v>
      </c>
      <c r="H34" s="559">
        <f>D34/T_13b!$B32*100000</f>
        <v>81.568899687608464</v>
      </c>
      <c r="I34" s="468">
        <f>E34/T_13b!$B32*100000</f>
        <v>107.6015272474835</v>
      </c>
    </row>
    <row r="35" spans="1:16" ht="13.5" customHeight="1" x14ac:dyDescent="0.2">
      <c r="A35" s="1" t="s">
        <v>613</v>
      </c>
      <c r="B35" s="117" t="s">
        <v>47</v>
      </c>
      <c r="C35" s="561">
        <f>T_13b!C33</f>
        <v>9</v>
      </c>
      <c r="D35" s="561">
        <f>T_13b!E33</f>
        <v>6</v>
      </c>
      <c r="E35" s="562">
        <f t="shared" si="0"/>
        <v>15</v>
      </c>
      <c r="F35" s="563"/>
      <c r="G35" s="467">
        <f>C35/T_13b!$B33*100000</f>
        <v>39.352864013992132</v>
      </c>
      <c r="H35" s="559">
        <f>D35/T_13b!$B33*100000</f>
        <v>26.235242675994751</v>
      </c>
      <c r="I35" s="468">
        <f>E35/T_13b!$B33*100000</f>
        <v>65.588106689986887</v>
      </c>
    </row>
    <row r="36" spans="1:16" ht="13.5" customHeight="1" x14ac:dyDescent="0.2">
      <c r="A36" s="1" t="s">
        <v>614</v>
      </c>
      <c r="B36" s="117" t="s">
        <v>48</v>
      </c>
      <c r="C36" s="561">
        <f>T_13b!C34</f>
        <v>64</v>
      </c>
      <c r="D36" s="561">
        <f>T_13b!E34</f>
        <v>240</v>
      </c>
      <c r="E36" s="562">
        <f t="shared" si="0"/>
        <v>304</v>
      </c>
      <c r="F36" s="563"/>
      <c r="G36" s="467">
        <f>C36/T_13b!$B34*100000</f>
        <v>57.071517745675052</v>
      </c>
      <c r="H36" s="559">
        <f>D36/T_13b!$B34*100000</f>
        <v>214.01819154628143</v>
      </c>
      <c r="I36" s="468">
        <f>E36/T_13b!$B34*100000</f>
        <v>271.08970929195647</v>
      </c>
    </row>
    <row r="37" spans="1:16" ht="13.5" customHeight="1" x14ac:dyDescent="0.2">
      <c r="A37" s="1" t="s">
        <v>615</v>
      </c>
      <c r="B37" s="117" t="s">
        <v>49</v>
      </c>
      <c r="C37" s="561">
        <f>T_13b!C35</f>
        <v>126</v>
      </c>
      <c r="D37" s="561">
        <f>T_13b!E35</f>
        <v>892</v>
      </c>
      <c r="E37" s="562">
        <f t="shared" si="0"/>
        <v>1018</v>
      </c>
      <c r="F37" s="563"/>
      <c r="G37" s="467">
        <f>C37/T_13b!$B35*100000</f>
        <v>39.274359453899379</v>
      </c>
      <c r="H37" s="559">
        <f>D37/T_13b!$B35*100000</f>
        <v>278.03752883236706</v>
      </c>
      <c r="I37" s="468">
        <f>E37/T_13b!$B35*100000</f>
        <v>317.31188828626642</v>
      </c>
    </row>
    <row r="38" spans="1:16" ht="13.5" customHeight="1" x14ac:dyDescent="0.2">
      <c r="A38" s="1" t="s">
        <v>616</v>
      </c>
      <c r="B38" s="117" t="s">
        <v>50</v>
      </c>
      <c r="C38" s="561">
        <f>T_13b!C36</f>
        <v>72</v>
      </c>
      <c r="D38" s="561">
        <f>T_13b!E36</f>
        <v>124</v>
      </c>
      <c r="E38" s="562">
        <f t="shared" si="0"/>
        <v>196</v>
      </c>
      <c r="F38" s="563"/>
      <c r="G38" s="467">
        <f>C38/T_13b!$B36*100000</f>
        <v>76.530612244897952</v>
      </c>
      <c r="H38" s="559">
        <f>D38/T_13b!$B36*100000</f>
        <v>131.80272108843536</v>
      </c>
      <c r="I38" s="468">
        <f>E38/T_13b!$B36*100000</f>
        <v>208.33333333333334</v>
      </c>
    </row>
    <row r="39" spans="1:16" ht="13.5" customHeight="1" x14ac:dyDescent="0.2">
      <c r="A39" s="1" t="s">
        <v>617</v>
      </c>
      <c r="B39" s="117" t="s">
        <v>51</v>
      </c>
      <c r="C39" s="561">
        <f>T_13b!C37</f>
        <v>22</v>
      </c>
      <c r="D39" s="561">
        <f>T_13b!E37</f>
        <v>386</v>
      </c>
      <c r="E39" s="562">
        <f t="shared" si="0"/>
        <v>408</v>
      </c>
      <c r="F39" s="563"/>
      <c r="G39" s="467">
        <f>C39/T_13b!$B37*100000</f>
        <v>24.903780846728548</v>
      </c>
      <c r="H39" s="559">
        <f>D39/T_13b!$B37*100000</f>
        <v>436.94815485623724</v>
      </c>
      <c r="I39" s="468">
        <f>E39/T_13b!$B37*100000</f>
        <v>461.85193570296582</v>
      </c>
    </row>
    <row r="40" spans="1:16" ht="13.5" customHeight="1" x14ac:dyDescent="0.2">
      <c r="A40" s="1" t="s">
        <v>618</v>
      </c>
      <c r="B40" s="117" t="s">
        <v>52</v>
      </c>
      <c r="C40" s="561">
        <f>T_13b!C38</f>
        <v>130</v>
      </c>
      <c r="D40" s="561">
        <f>T_13b!E38</f>
        <v>562</v>
      </c>
      <c r="E40" s="562">
        <f t="shared" si="0"/>
        <v>692</v>
      </c>
      <c r="F40" s="563"/>
      <c r="G40" s="467">
        <f>C40/T_13b!$B38*100000</f>
        <v>70.721357850070717</v>
      </c>
      <c r="H40" s="559">
        <f>D40/T_13b!$B38*100000</f>
        <v>305.73387009030574</v>
      </c>
      <c r="I40" s="468">
        <f>E40/T_13b!$B38*100000</f>
        <v>376.45522794037646</v>
      </c>
    </row>
    <row r="41" spans="1:16" ht="13.5" customHeight="1" x14ac:dyDescent="0.2">
      <c r="B41" s="117" t="str">
        <f>IF(T_13b!$A$39 = "Z_Not Known", "Not Known","")</f>
        <v/>
      </c>
      <c r="C41" s="561" t="str">
        <f>IF(T_13b!$A$39 = "Z_Not Known",T_13b!C39,"")</f>
        <v/>
      </c>
      <c r="D41" s="561" t="str">
        <f>IF(T_13b!$A$39 = "Z_Not Known",T_13b!E39,"")</f>
        <v/>
      </c>
      <c r="E41" s="562" t="str">
        <f>IF(T_13b!$A$39 = "Z_Not Known",SUM(C41:D41),"")</f>
        <v/>
      </c>
      <c r="F41" s="563"/>
      <c r="G41" s="467"/>
      <c r="H41" s="559"/>
      <c r="I41" s="468"/>
    </row>
    <row r="42" spans="1:16" ht="30" customHeight="1" thickBot="1" x14ac:dyDescent="0.25">
      <c r="A42" s="359" t="s">
        <v>620</v>
      </c>
      <c r="B42" s="360" t="s">
        <v>143</v>
      </c>
      <c r="C42" s="679">
        <f>SUM(C9:C41)</f>
        <v>3073</v>
      </c>
      <c r="D42" s="679">
        <f>SUM(D9:D41)</f>
        <v>12057</v>
      </c>
      <c r="E42" s="679">
        <f>SUM(E9:E41)</f>
        <v>15130</v>
      </c>
      <c r="F42" s="680"/>
      <c r="G42" s="681">
        <f>C42/GETPIVOTDATA("Sum of pop",T_13b!$A$4,"Pub_cause_txt","Accidental")*100000</f>
        <v>56.220270764727402</v>
      </c>
      <c r="H42" s="682">
        <f>D42/GETPIVOTDATA("Sum of pop",T_13b!$A$4,"Pub_cause_txt","Accidental")*100000</f>
        <v>220.58177826564216</v>
      </c>
      <c r="I42" s="477">
        <f>E42/GETPIVOTDATA("Sum of pop",T_13b!$A$4,"Pub_cause_txt","Accidental")*100000</f>
        <v>276.80204903036957</v>
      </c>
    </row>
    <row r="44" spans="1:16" x14ac:dyDescent="0.2">
      <c r="A44" s="5" t="s">
        <v>1231</v>
      </c>
    </row>
    <row r="45" spans="1:16" ht="15" x14ac:dyDescent="0.25">
      <c r="A45" s="1000" t="s">
        <v>660</v>
      </c>
    </row>
    <row r="46" spans="1:16" s="86" customFormat="1" ht="15" customHeight="1" x14ac:dyDescent="0.25">
      <c r="A46" s="297" t="s">
        <v>1093</v>
      </c>
      <c r="B46" s="93"/>
      <c r="C46" s="93"/>
      <c r="D46" s="93"/>
      <c r="E46" s="93"/>
      <c r="F46" s="93"/>
      <c r="G46" s="93"/>
      <c r="H46" s="93"/>
      <c r="J46" s="93"/>
      <c r="L46" s="93"/>
      <c r="M46" s="93"/>
      <c r="N46" s="93"/>
      <c r="O46" s="93"/>
      <c r="P46" s="93"/>
    </row>
    <row r="47" spans="1:16" ht="15" x14ac:dyDescent="0.25">
      <c r="A47" s="1000" t="s">
        <v>1230</v>
      </c>
    </row>
  </sheetData>
  <sheetProtection algorithmName="SHA-512" hashValue="Ha5smcsmu6N6FeMrq/mYejYwLIR1TBvCJjPTnoSz/2LjdN3hqEgf8uQUHjtEf/1VybbOebrhVDiQt/flkNI7EQ==" saltValue="sdLlzLW2XRP7pAqXwUJldA==" spinCount="100000" sheet="1" scenarios="1" formatCells="0" formatColumns="0" formatRows="0" sort="0" autoFilter="0" pivotTables="0"/>
  <mergeCells count="1">
    <mergeCell ref="G7:I7"/>
  </mergeCells>
  <hyperlinks>
    <hyperlink ref="A2" location="'Table of Contents'!A1" display="Back to Table of Contents" xr:uid="{00000000-0004-0000-4900-000000000000}"/>
    <hyperlink ref="A46" r:id="rId1" xr:uid="{00000000-0004-0000-4900-000001000000}"/>
  </hyperlinks>
  <pageMargins left="0.70866141732283472" right="0.70866141732283472" top="0.74803149606299213" bottom="0.74803149606299213" header="0.31496062992125984" footer="0.31496062992125984"/>
  <pageSetup paperSize="9" scale="75"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5">
    <tabColor rgb="FFFFAFF0"/>
    <pageSetUpPr fitToPage="1"/>
  </sheetPr>
  <dimension ref="A1:R43"/>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23.42578125" customWidth="1"/>
    <col min="2" max="2" width="10.5703125" customWidth="1"/>
    <col min="3" max="3" width="11.7109375" customWidth="1"/>
    <col min="4" max="4" width="12.140625" customWidth="1"/>
    <col min="5" max="5" width="12.5703125" customWidth="1"/>
    <col min="6" max="6" width="12" customWidth="1"/>
    <col min="7" max="7" width="12.42578125" customWidth="1"/>
    <col min="8" max="8" width="9.42578125" customWidth="1"/>
    <col min="9" max="9" width="11.140625" customWidth="1"/>
    <col min="10" max="10" width="9.5703125" customWidth="1"/>
    <col min="11" max="11" width="11" customWidth="1"/>
    <col min="12" max="12" width="11.28515625" customWidth="1"/>
    <col min="13" max="13" width="10.85546875" customWidth="1"/>
    <col min="14" max="14" width="11.5703125" customWidth="1"/>
    <col min="15" max="15" width="12.7109375" customWidth="1"/>
    <col min="16" max="16" width="12.140625" customWidth="1"/>
    <col min="17" max="17" width="12.42578125" customWidth="1"/>
  </cols>
  <sheetData>
    <row r="1" spans="1:17" ht="17.25" customHeight="1" x14ac:dyDescent="0.2">
      <c r="A1" s="298" t="s">
        <v>1129</v>
      </c>
    </row>
    <row r="2" spans="1:17" ht="17.25" customHeight="1" x14ac:dyDescent="0.2">
      <c r="A2" s="106" t="s">
        <v>578</v>
      </c>
    </row>
    <row r="3" spans="1:17" s="120" customFormat="1" ht="38.25" customHeight="1" x14ac:dyDescent="0.2">
      <c r="A3" s="120" t="s">
        <v>1080</v>
      </c>
    </row>
    <row r="4" spans="1:17" s="135" customFormat="1" ht="15" customHeight="1" x14ac:dyDescent="0.25">
      <c r="A4" s="351" t="s">
        <v>579</v>
      </c>
      <c r="B4" s="1043" t="s">
        <v>1324</v>
      </c>
      <c r="D4" s="129"/>
      <c r="E4" s="129"/>
      <c r="F4" s="129"/>
      <c r="G4" s="129"/>
      <c r="H4" s="129"/>
      <c r="I4" s="129"/>
      <c r="J4" s="129"/>
      <c r="K4" s="129"/>
      <c r="L4" s="129"/>
      <c r="M4" s="129"/>
      <c r="N4" s="165"/>
      <c r="O4" s="165"/>
      <c r="P4" s="165"/>
    </row>
    <row r="5" spans="1:17" s="135" customFormat="1" ht="15" customHeight="1" x14ac:dyDescent="0.25">
      <c r="A5" s="351" t="s">
        <v>580</v>
      </c>
      <c r="B5" s="351" t="s">
        <v>581</v>
      </c>
      <c r="C5" s="129"/>
      <c r="D5" s="129"/>
      <c r="E5" s="129"/>
      <c r="F5" s="129"/>
      <c r="G5" s="129"/>
      <c r="H5" s="129"/>
      <c r="I5" s="129"/>
      <c r="J5" s="129"/>
      <c r="K5" s="129"/>
      <c r="L5" s="129"/>
      <c r="M5" s="129"/>
      <c r="N5" s="165"/>
      <c r="O5" s="165"/>
      <c r="P5" s="165"/>
    </row>
    <row r="6" spans="1:17" s="135" customFormat="1" ht="15" customHeight="1" x14ac:dyDescent="0.25">
      <c r="A6" s="351" t="s">
        <v>582</v>
      </c>
      <c r="B6" s="351" t="s">
        <v>585</v>
      </c>
      <c r="C6" s="129"/>
      <c r="D6" s="129"/>
      <c r="E6" s="129"/>
      <c r="F6" s="129"/>
      <c r="G6" s="129"/>
      <c r="H6" s="129"/>
      <c r="I6" s="129"/>
      <c r="J6" s="129"/>
      <c r="K6" s="129"/>
      <c r="L6" s="129"/>
      <c r="M6" s="129"/>
      <c r="N6" s="165"/>
      <c r="O6" s="165"/>
      <c r="P6" s="165"/>
    </row>
    <row r="7" spans="1:17" ht="15" x14ac:dyDescent="0.25">
      <c r="A7" s="2"/>
      <c r="B7" s="1"/>
      <c r="C7" s="1"/>
      <c r="D7" s="1"/>
      <c r="E7" s="1"/>
      <c r="F7" s="1"/>
      <c r="G7" s="1"/>
      <c r="I7" s="83" t="s">
        <v>0</v>
      </c>
      <c r="J7" s="1"/>
      <c r="K7" s="1"/>
      <c r="L7" s="1"/>
      <c r="M7" s="1"/>
      <c r="N7" s="1"/>
      <c r="P7" s="1"/>
      <c r="Q7" s="60" t="s">
        <v>62</v>
      </c>
    </row>
    <row r="8" spans="1:17" x14ac:dyDescent="0.2">
      <c r="A8" s="62"/>
      <c r="B8" s="1326" t="s">
        <v>322</v>
      </c>
      <c r="C8" s="1326"/>
      <c r="D8" s="1326"/>
      <c r="E8" s="1326"/>
      <c r="F8" s="1326"/>
      <c r="G8" s="1326"/>
      <c r="H8" s="1326"/>
      <c r="I8" s="1326"/>
      <c r="J8" s="1"/>
      <c r="K8" s="1326" t="s">
        <v>218</v>
      </c>
      <c r="L8" s="1326"/>
      <c r="M8" s="1326"/>
      <c r="N8" s="1326"/>
      <c r="O8" s="1326"/>
      <c r="P8" s="1326"/>
      <c r="Q8" s="1326"/>
    </row>
    <row r="9" spans="1:17" ht="26.25" customHeight="1" x14ac:dyDescent="0.2">
      <c r="A9" s="2" t="s">
        <v>4</v>
      </c>
      <c r="B9" s="77" t="s">
        <v>219</v>
      </c>
      <c r="C9" s="77" t="s">
        <v>220</v>
      </c>
      <c r="D9" s="77" t="s">
        <v>221</v>
      </c>
      <c r="E9" s="77" t="s">
        <v>222</v>
      </c>
      <c r="F9" s="77" t="s">
        <v>223</v>
      </c>
      <c r="G9" s="77" t="s">
        <v>249</v>
      </c>
      <c r="H9" s="77" t="s">
        <v>168</v>
      </c>
      <c r="I9" s="77" t="s">
        <v>11</v>
      </c>
      <c r="J9" s="1"/>
      <c r="K9" s="77" t="s">
        <v>219</v>
      </c>
      <c r="L9" s="77" t="s">
        <v>220</v>
      </c>
      <c r="M9" s="77" t="s">
        <v>221</v>
      </c>
      <c r="N9" s="77" t="s">
        <v>222</v>
      </c>
      <c r="O9" s="77" t="s">
        <v>223</v>
      </c>
      <c r="P9" s="77" t="s">
        <v>249</v>
      </c>
      <c r="Q9" s="801" t="s">
        <v>168</v>
      </c>
    </row>
    <row r="10" spans="1:17" ht="18.75" customHeight="1" x14ac:dyDescent="0.2">
      <c r="A10" s="378" t="str">
        <f>T_1_23!A4</f>
        <v>2009-10</v>
      </c>
      <c r="B10" s="184">
        <f>T_1_23!I4</f>
        <v>4864</v>
      </c>
      <c r="C10" s="184">
        <f>T_1_23!J4</f>
        <v>6021</v>
      </c>
      <c r="D10" s="184">
        <f>T_1_23!K4</f>
        <v>2828</v>
      </c>
      <c r="E10" s="184">
        <f>T_1_23!L4</f>
        <v>106</v>
      </c>
      <c r="F10" s="184">
        <f>T_1_23!M4</f>
        <v>32</v>
      </c>
      <c r="G10" s="184">
        <f>T_1_23!N4</f>
        <v>22</v>
      </c>
      <c r="H10" s="184">
        <f>T_1_23!O4</f>
        <v>4</v>
      </c>
      <c r="I10" s="379">
        <f>SUM(B10:H10)</f>
        <v>13877</v>
      </c>
      <c r="J10" s="802"/>
      <c r="K10" s="249">
        <f>B10/I10*100</f>
        <v>35.050803487785544</v>
      </c>
      <c r="L10" s="249">
        <f>C10/I10*100</f>
        <v>43.388340419399007</v>
      </c>
      <c r="M10" s="249">
        <f>D10/I10*100</f>
        <v>20.379044462059522</v>
      </c>
      <c r="N10" s="249">
        <f>E10/I10*100</f>
        <v>0.76385385890322111</v>
      </c>
      <c r="O10" s="249">
        <f>F10/I10*100</f>
        <v>0.23059739136701016</v>
      </c>
      <c r="P10" s="249">
        <f>G10/I10*100</f>
        <v>0.1585357065648195</v>
      </c>
      <c r="Q10" s="806">
        <f>H10/I10*100</f>
        <v>2.882467392087627E-2</v>
      </c>
    </row>
    <row r="11" spans="1:17" ht="13.5" customHeight="1" x14ac:dyDescent="0.2">
      <c r="A11" s="29" t="str">
        <f>T_1_23!A5</f>
        <v>2010-11</v>
      </c>
      <c r="B11" s="68">
        <f>T_1_23!I5</f>
        <v>4514</v>
      </c>
      <c r="C11" s="68">
        <f>T_1_23!J5</f>
        <v>5893</v>
      </c>
      <c r="D11" s="68">
        <f>T_1_23!K5</f>
        <v>2404</v>
      </c>
      <c r="E11" s="68">
        <f>T_1_23!L5</f>
        <v>155</v>
      </c>
      <c r="F11" s="68">
        <f>T_1_23!M5</f>
        <v>29</v>
      </c>
      <c r="G11" s="68">
        <f>T_1_23!N5</f>
        <v>27</v>
      </c>
      <c r="H11" s="68">
        <f>T_1_23!O5</f>
        <v>3</v>
      </c>
      <c r="I11" s="377">
        <f t="shared" ref="I11:I16" si="0">SUM(B11:H11)</f>
        <v>13025</v>
      </c>
      <c r="J11" s="802"/>
      <c r="K11" s="250">
        <f t="shared" ref="K11:K16" si="1">B11/I11*100</f>
        <v>34.656429942418427</v>
      </c>
      <c r="L11" s="250">
        <f t="shared" ref="L11:L16" si="2">C11/I11*100</f>
        <v>45.243761996161233</v>
      </c>
      <c r="M11" s="250">
        <f t="shared" ref="M11:M16" si="3">D11/I11*100</f>
        <v>18.456813819577736</v>
      </c>
      <c r="N11" s="250">
        <f t="shared" ref="N11:N16" si="4">E11/I11*100</f>
        <v>1.1900191938579654</v>
      </c>
      <c r="O11" s="250">
        <f t="shared" ref="O11:O16" si="5">F11/I11*100</f>
        <v>0.22264875239923224</v>
      </c>
      <c r="P11" s="250">
        <f t="shared" ref="P11:P16" si="6">G11/I11*100</f>
        <v>0.20729366602687138</v>
      </c>
      <c r="Q11" s="803">
        <f t="shared" ref="Q11:Q16" si="7">H11/I11*100</f>
        <v>2.3032629558541268E-2</v>
      </c>
    </row>
    <row r="12" spans="1:17" ht="13.5" customHeight="1" x14ac:dyDescent="0.2">
      <c r="A12" s="29" t="str">
        <f>T_1_23!A6</f>
        <v>2011-12</v>
      </c>
      <c r="B12" s="68">
        <f>T_1_23!I6</f>
        <v>3983</v>
      </c>
      <c r="C12" s="68">
        <f>T_1_23!J6</f>
        <v>5443</v>
      </c>
      <c r="D12" s="68">
        <f>T_1_23!K6</f>
        <v>2686</v>
      </c>
      <c r="E12" s="68">
        <f>T_1_23!L6</f>
        <v>131</v>
      </c>
      <c r="F12" s="68">
        <f>T_1_23!M6</f>
        <v>28</v>
      </c>
      <c r="G12" s="68">
        <f>T_1_23!N6</f>
        <v>17</v>
      </c>
      <c r="H12" s="68">
        <f>T_1_23!O6</f>
        <v>7</v>
      </c>
      <c r="I12" s="377">
        <f t="shared" si="0"/>
        <v>12295</v>
      </c>
      <c r="J12" s="802"/>
      <c r="K12" s="250">
        <f t="shared" si="1"/>
        <v>32.395282635217569</v>
      </c>
      <c r="L12" s="250">
        <f t="shared" si="2"/>
        <v>44.270028466856445</v>
      </c>
      <c r="M12" s="250">
        <f t="shared" si="3"/>
        <v>21.846278975193169</v>
      </c>
      <c r="N12" s="250">
        <f t="shared" si="4"/>
        <v>1.0654737698251322</v>
      </c>
      <c r="O12" s="250">
        <f t="shared" si="5"/>
        <v>0.2277348515656771</v>
      </c>
      <c r="P12" s="250">
        <f t="shared" si="6"/>
        <v>0.13826758845058967</v>
      </c>
      <c r="Q12" s="803">
        <f t="shared" si="7"/>
        <v>5.6933712891419276E-2</v>
      </c>
    </row>
    <row r="13" spans="1:17" ht="13.5" customHeight="1" x14ac:dyDescent="0.2">
      <c r="A13" s="29" t="str">
        <f>T_1_23!A7</f>
        <v>2012-13</v>
      </c>
      <c r="B13" s="68">
        <f>T_1_23!I7</f>
        <v>3353</v>
      </c>
      <c r="C13" s="68">
        <f>T_1_23!J7</f>
        <v>5125</v>
      </c>
      <c r="D13" s="68">
        <f>T_1_23!K7</f>
        <v>2355</v>
      </c>
      <c r="E13" s="68">
        <f>T_1_23!L7</f>
        <v>101</v>
      </c>
      <c r="F13" s="68">
        <f>T_1_23!M7</f>
        <v>27</v>
      </c>
      <c r="G13" s="68">
        <f>T_1_23!N7</f>
        <v>21</v>
      </c>
      <c r="H13" s="68">
        <f>T_1_23!O7</f>
        <v>4</v>
      </c>
      <c r="I13" s="377">
        <f t="shared" si="0"/>
        <v>10986</v>
      </c>
      <c r="J13" s="802"/>
      <c r="K13" s="250">
        <f t="shared" si="1"/>
        <v>30.520662661569268</v>
      </c>
      <c r="L13" s="250">
        <f t="shared" si="2"/>
        <v>46.650282177316583</v>
      </c>
      <c r="M13" s="250">
        <f t="shared" si="3"/>
        <v>21.436373566357179</v>
      </c>
      <c r="N13" s="250">
        <f t="shared" si="4"/>
        <v>0.91935190242126341</v>
      </c>
      <c r="O13" s="250">
        <f t="shared" si="5"/>
        <v>0.24576734025122884</v>
      </c>
      <c r="P13" s="250">
        <f t="shared" si="6"/>
        <v>0.19115237575095578</v>
      </c>
      <c r="Q13" s="803">
        <f t="shared" si="7"/>
        <v>3.6409976333515379E-2</v>
      </c>
    </row>
    <row r="14" spans="1:17" ht="13.5" customHeight="1" x14ac:dyDescent="0.2">
      <c r="A14" s="29" t="str">
        <f>T_1_23!A8</f>
        <v>2013-14</v>
      </c>
      <c r="B14" s="68">
        <f>T_1_23!I8</f>
        <v>3352</v>
      </c>
      <c r="C14" s="68">
        <f>T_1_23!J8</f>
        <v>4733</v>
      </c>
      <c r="D14" s="68">
        <f>T_1_23!K8</f>
        <v>2164</v>
      </c>
      <c r="E14" s="68">
        <f>T_1_23!L8</f>
        <v>125</v>
      </c>
      <c r="F14" s="68">
        <f>T_1_23!M8</f>
        <v>18</v>
      </c>
      <c r="G14" s="68">
        <f>T_1_23!N8</f>
        <v>17</v>
      </c>
      <c r="H14" s="68">
        <f>T_1_23!O8</f>
        <v>3</v>
      </c>
      <c r="I14" s="377">
        <f t="shared" si="0"/>
        <v>10412</v>
      </c>
      <c r="J14" s="802"/>
      <c r="K14" s="250">
        <f t="shared" si="1"/>
        <v>32.193622742988858</v>
      </c>
      <c r="L14" s="250">
        <f t="shared" si="2"/>
        <v>45.457164809834808</v>
      </c>
      <c r="M14" s="250">
        <f t="shared" si="3"/>
        <v>20.783711102573953</v>
      </c>
      <c r="N14" s="250">
        <f t="shared" si="4"/>
        <v>1.2005378409527467</v>
      </c>
      <c r="O14" s="250">
        <f t="shared" si="5"/>
        <v>0.17287744909719555</v>
      </c>
      <c r="P14" s="250">
        <f t="shared" si="6"/>
        <v>0.16327314636957357</v>
      </c>
      <c r="Q14" s="803">
        <f t="shared" si="7"/>
        <v>2.8812908182865922E-2</v>
      </c>
    </row>
    <row r="15" spans="1:17" ht="13.5" customHeight="1" x14ac:dyDescent="0.2">
      <c r="A15" s="29" t="str">
        <f>T_1_23!A9</f>
        <v>2014-15</v>
      </c>
      <c r="B15" s="68">
        <f>T_1_23!I9</f>
        <v>3241</v>
      </c>
      <c r="C15" s="68">
        <f>T_1_23!J9</f>
        <v>4840</v>
      </c>
      <c r="D15" s="68">
        <f>T_1_23!K9</f>
        <v>2271</v>
      </c>
      <c r="E15" s="68">
        <f>T_1_23!L9</f>
        <v>114</v>
      </c>
      <c r="F15" s="68">
        <f>T_1_23!M9</f>
        <v>22</v>
      </c>
      <c r="G15" s="68">
        <f>T_1_23!N9</f>
        <v>19</v>
      </c>
      <c r="H15" s="68">
        <f>T_1_23!O9</f>
        <v>5</v>
      </c>
      <c r="I15" s="377">
        <f t="shared" si="0"/>
        <v>10512</v>
      </c>
      <c r="J15" s="802"/>
      <c r="K15" s="250">
        <f t="shared" si="1"/>
        <v>30.831430745814309</v>
      </c>
      <c r="L15" s="250">
        <f t="shared" si="2"/>
        <v>46.042617960426178</v>
      </c>
      <c r="M15" s="250">
        <f t="shared" si="3"/>
        <v>21.603881278538815</v>
      </c>
      <c r="N15" s="250">
        <f t="shared" si="4"/>
        <v>1.0844748858447488</v>
      </c>
      <c r="O15" s="250">
        <f t="shared" si="5"/>
        <v>0.20928462709284626</v>
      </c>
      <c r="P15" s="250">
        <f t="shared" si="6"/>
        <v>0.18074581430745812</v>
      </c>
      <c r="Q15" s="803">
        <f t="shared" si="7"/>
        <v>4.7564687975646877E-2</v>
      </c>
    </row>
    <row r="16" spans="1:17" ht="13.5" customHeight="1" x14ac:dyDescent="0.2">
      <c r="A16" s="29" t="str">
        <f>T_1_23!A10</f>
        <v>2015-16</v>
      </c>
      <c r="B16" s="68">
        <f>T_1_23!I10</f>
        <v>3351</v>
      </c>
      <c r="C16" s="68">
        <f>T_1_23!J10</f>
        <v>4894</v>
      </c>
      <c r="D16" s="68">
        <f>T_1_23!K10</f>
        <v>2352</v>
      </c>
      <c r="E16" s="68">
        <f>T_1_23!L10</f>
        <v>111</v>
      </c>
      <c r="F16" s="68">
        <f>T_1_23!M10</f>
        <v>21</v>
      </c>
      <c r="G16" s="68">
        <f>T_1_23!N10</f>
        <v>17</v>
      </c>
      <c r="H16" s="68">
        <f>T_1_23!O10</f>
        <v>155</v>
      </c>
      <c r="I16" s="377">
        <f t="shared" si="0"/>
        <v>10901</v>
      </c>
      <c r="J16" s="33"/>
      <c r="K16" s="250">
        <f t="shared" si="1"/>
        <v>30.74029905513256</v>
      </c>
      <c r="L16" s="250">
        <f t="shared" si="2"/>
        <v>44.894963764792223</v>
      </c>
      <c r="M16" s="250">
        <f t="shared" si="3"/>
        <v>21.576002201632878</v>
      </c>
      <c r="N16" s="250">
        <f t="shared" si="4"/>
        <v>1.0182552059444088</v>
      </c>
      <c r="O16" s="250">
        <f t="shared" si="5"/>
        <v>0.19264287680029354</v>
      </c>
      <c r="P16" s="250">
        <f t="shared" si="6"/>
        <v>0.15594899550499952</v>
      </c>
      <c r="Q16" s="803">
        <f t="shared" si="7"/>
        <v>1.4218879001926428</v>
      </c>
    </row>
    <row r="17" spans="1:17" ht="13.5" customHeight="1" x14ac:dyDescent="0.2">
      <c r="A17" s="29" t="str">
        <f>T_1_23!A11</f>
        <v>2016-17</v>
      </c>
      <c r="B17" s="68">
        <f>T_1_23!I11</f>
        <v>3565</v>
      </c>
      <c r="C17" s="68">
        <f>T_1_23!J11</f>
        <v>4814</v>
      </c>
      <c r="D17" s="68">
        <f>T_1_23!K11</f>
        <v>2257</v>
      </c>
      <c r="E17" s="68">
        <f>T_1_23!L11</f>
        <v>125</v>
      </c>
      <c r="F17" s="68">
        <f>T_1_23!M11</f>
        <v>16</v>
      </c>
      <c r="G17" s="68">
        <f>T_1_23!N11</f>
        <v>17</v>
      </c>
      <c r="H17" s="68">
        <f>T_1_23!O11</f>
        <v>1</v>
      </c>
      <c r="I17" s="377">
        <f t="shared" ref="I17:I20" si="8">SUM(B17:H17)</f>
        <v>10795</v>
      </c>
      <c r="J17" s="33"/>
      <c r="K17" s="250">
        <f t="shared" ref="K17:K20" si="9">B17/I17*100</f>
        <v>33.024548402037979</v>
      </c>
      <c r="L17" s="250">
        <f t="shared" ref="L17:L20" si="10">C17/I17*100</f>
        <v>44.594719777674854</v>
      </c>
      <c r="M17" s="250">
        <f t="shared" ref="M17:M20" si="11">D17/I17*100</f>
        <v>20.907827698008337</v>
      </c>
      <c r="N17" s="250">
        <f t="shared" ref="N17:N20" si="12">E17/I17*100</f>
        <v>1.1579434923575729</v>
      </c>
      <c r="O17" s="250">
        <f t="shared" ref="O17:O20" si="13">F17/I17*100</f>
        <v>0.14821676702176934</v>
      </c>
      <c r="P17" s="250">
        <f t="shared" ref="P17:P20" si="14">G17/I17*100</f>
        <v>0.15748031496062992</v>
      </c>
      <c r="Q17" s="803">
        <f t="shared" ref="Q17:Q20" si="15">H17/I17*100</f>
        <v>9.2635479388605835E-3</v>
      </c>
    </row>
    <row r="18" spans="1:17" ht="13.5" customHeight="1" x14ac:dyDescent="0.2">
      <c r="A18" s="29" t="str">
        <f>T_1_23!A12</f>
        <v>2017-18</v>
      </c>
      <c r="B18" s="68">
        <f>T_1_23!I12</f>
        <v>3574</v>
      </c>
      <c r="C18" s="68">
        <f>T_1_23!J12</f>
        <v>4612</v>
      </c>
      <c r="D18" s="68">
        <f>T_1_23!K12</f>
        <v>2218</v>
      </c>
      <c r="E18" s="68">
        <f>T_1_23!L12</f>
        <v>125</v>
      </c>
      <c r="F18" s="68">
        <f>T_1_23!M12</f>
        <v>29</v>
      </c>
      <c r="G18" s="68">
        <f>T_1_23!N12</f>
        <v>22</v>
      </c>
      <c r="H18" s="68">
        <f>T_1_23!O12</f>
        <v>1</v>
      </c>
      <c r="I18" s="377">
        <f t="shared" si="8"/>
        <v>10581</v>
      </c>
      <c r="J18" s="33"/>
      <c r="K18" s="250">
        <f t="shared" si="9"/>
        <v>33.777525753709483</v>
      </c>
      <c r="L18" s="250">
        <f t="shared" si="10"/>
        <v>43.587562612229469</v>
      </c>
      <c r="M18" s="250">
        <f t="shared" si="11"/>
        <v>20.962101880729609</v>
      </c>
      <c r="N18" s="250">
        <f t="shared" si="12"/>
        <v>1.1813628201493243</v>
      </c>
      <c r="O18" s="250">
        <f t="shared" si="13"/>
        <v>0.27407617427464326</v>
      </c>
      <c r="P18" s="250">
        <f t="shared" si="14"/>
        <v>0.20791985634628107</v>
      </c>
      <c r="Q18" s="803">
        <f t="shared" si="15"/>
        <v>9.4509025611945949E-3</v>
      </c>
    </row>
    <row r="19" spans="1:17" ht="13.5" customHeight="1" x14ac:dyDescent="0.2">
      <c r="A19" s="29" t="str">
        <f>T_1_23!A13</f>
        <v>2018-19</v>
      </c>
      <c r="B19" s="68">
        <f>T_1_23!I13</f>
        <v>3432</v>
      </c>
      <c r="C19" s="68">
        <f>T_1_23!J13</f>
        <v>4569</v>
      </c>
      <c r="D19" s="68">
        <f>T_1_23!K13</f>
        <v>2149</v>
      </c>
      <c r="E19" s="68">
        <f>T_1_23!L13</f>
        <v>157</v>
      </c>
      <c r="F19" s="68">
        <f>T_1_23!M13</f>
        <v>38</v>
      </c>
      <c r="G19" s="68">
        <f>T_1_23!N13</f>
        <v>37</v>
      </c>
      <c r="H19" s="68">
        <f>T_1_23!O13</f>
        <v>7</v>
      </c>
      <c r="I19" s="377">
        <f t="shared" si="8"/>
        <v>10389</v>
      </c>
      <c r="J19" s="33"/>
      <c r="K19" s="250">
        <f t="shared" si="9"/>
        <v>33.034940802772162</v>
      </c>
      <c r="L19" s="250">
        <f t="shared" si="10"/>
        <v>43.979208778515741</v>
      </c>
      <c r="M19" s="250">
        <f t="shared" si="11"/>
        <v>20.685340263740496</v>
      </c>
      <c r="N19" s="250">
        <f t="shared" si="12"/>
        <v>1.5112137838097988</v>
      </c>
      <c r="O19" s="250">
        <f t="shared" si="13"/>
        <v>0.36577148907498314</v>
      </c>
      <c r="P19" s="250">
        <f t="shared" si="14"/>
        <v>0.35614592357300989</v>
      </c>
      <c r="Q19" s="803">
        <f t="shared" si="15"/>
        <v>6.737895851381269E-2</v>
      </c>
    </row>
    <row r="20" spans="1:17" ht="13.5" customHeight="1" x14ac:dyDescent="0.2">
      <c r="A20" s="346" t="str">
        <f>T_1_23!A14</f>
        <v>2019-20</v>
      </c>
      <c r="B20" s="68">
        <f>T_1_23!I14</f>
        <v>3357</v>
      </c>
      <c r="C20" s="68">
        <f>T_1_23!J14</f>
        <v>4206</v>
      </c>
      <c r="D20" s="68">
        <f>T_1_23!K14</f>
        <v>2053</v>
      </c>
      <c r="E20" s="68">
        <f>T_1_23!L14</f>
        <v>120</v>
      </c>
      <c r="F20" s="68">
        <f>T_1_23!M14</f>
        <v>25</v>
      </c>
      <c r="G20" s="68">
        <f>T_1_23!N14</f>
        <v>22</v>
      </c>
      <c r="H20" s="68">
        <f>T_1_23!O14</f>
        <v>3</v>
      </c>
      <c r="I20" s="377">
        <f t="shared" si="8"/>
        <v>9786</v>
      </c>
      <c r="J20" s="33"/>
      <c r="K20" s="250">
        <f t="shared" si="9"/>
        <v>34.304107909258121</v>
      </c>
      <c r="L20" s="250">
        <f t="shared" si="10"/>
        <v>42.979767014101775</v>
      </c>
      <c r="M20" s="250">
        <f t="shared" si="11"/>
        <v>20.97894951972205</v>
      </c>
      <c r="N20" s="250">
        <f t="shared" si="12"/>
        <v>1.226241569589209</v>
      </c>
      <c r="O20" s="250">
        <f t="shared" si="13"/>
        <v>0.25546699366441855</v>
      </c>
      <c r="P20" s="250">
        <f t="shared" si="14"/>
        <v>0.22481095442468832</v>
      </c>
      <c r="Q20" s="803">
        <f t="shared" si="15"/>
        <v>3.0656039239730225E-2</v>
      </c>
    </row>
    <row r="21" spans="1:17" ht="13.5" thickBot="1" x14ac:dyDescent="0.25">
      <c r="A21" s="348" t="str">
        <f>T_1_23!A15</f>
        <v>2020-21</v>
      </c>
      <c r="B21" s="381">
        <f>T_1_23!I15</f>
        <v>3336</v>
      </c>
      <c r="C21" s="381">
        <f>T_1_23!J15</f>
        <v>4098</v>
      </c>
      <c r="D21" s="381">
        <f>T_1_23!K15</f>
        <v>1719</v>
      </c>
      <c r="E21" s="381">
        <f>T_1_23!L15</f>
        <v>144</v>
      </c>
      <c r="F21" s="381">
        <f>T_1_23!M15</f>
        <v>32</v>
      </c>
      <c r="G21" s="381">
        <f>T_1_23!N15</f>
        <v>26</v>
      </c>
      <c r="H21" s="381">
        <f>T_1_23!O15</f>
        <v>12</v>
      </c>
      <c r="I21" s="382">
        <f t="shared" ref="I21" si="16">SUM(B21:H21)</f>
        <v>9367</v>
      </c>
      <c r="J21" s="89"/>
      <c r="K21" s="807">
        <f t="shared" ref="K21" si="17">B21/I21*100</f>
        <v>35.614390946941384</v>
      </c>
      <c r="L21" s="807">
        <f t="shared" ref="L21" si="18">C21/I21*100</f>
        <v>43.749332763958577</v>
      </c>
      <c r="M21" s="807">
        <f t="shared" ref="M21" si="19">D21/I21*100</f>
        <v>18.351660083271057</v>
      </c>
      <c r="N21" s="807">
        <f t="shared" ref="N21" si="20">E21/I21*100</f>
        <v>1.537311839436319</v>
      </c>
      <c r="O21" s="807">
        <f t="shared" ref="O21" si="21">F21/I21*100</f>
        <v>0.34162485320807084</v>
      </c>
      <c r="P21" s="807">
        <f t="shared" ref="P21" si="22">G21/I21*100</f>
        <v>0.27757019323155763</v>
      </c>
      <c r="Q21" s="808">
        <f t="shared" ref="Q21" si="23">H21/I21*100</f>
        <v>0.12810931995302657</v>
      </c>
    </row>
    <row r="22" spans="1:17" x14ac:dyDescent="0.2">
      <c r="A22" s="2"/>
      <c r="B22" s="4"/>
      <c r="C22" s="4"/>
      <c r="D22" s="4"/>
      <c r="E22" s="4"/>
      <c r="F22" s="4"/>
      <c r="G22" s="4"/>
      <c r="H22" s="13"/>
      <c r="I22" s="1"/>
      <c r="J22" s="89"/>
      <c r="K22" s="89"/>
      <c r="L22" s="89"/>
      <c r="M22" s="89"/>
      <c r="N22" s="89"/>
      <c r="O22" s="89"/>
      <c r="P22" s="1"/>
    </row>
    <row r="23" spans="1:17" ht="15" x14ac:dyDescent="0.25">
      <c r="A23" s="2"/>
      <c r="B23" s="4"/>
      <c r="C23" s="4"/>
      <c r="D23" s="4"/>
      <c r="F23" s="4"/>
      <c r="G23" s="4"/>
      <c r="H23" s="13"/>
      <c r="I23" s="83" t="s">
        <v>0</v>
      </c>
      <c r="J23" s="89"/>
      <c r="K23" s="89"/>
      <c r="N23" s="89"/>
      <c r="O23" s="89"/>
      <c r="P23" s="1"/>
      <c r="Q23" s="60" t="s">
        <v>62</v>
      </c>
    </row>
    <row r="24" spans="1:17" x14ac:dyDescent="0.2">
      <c r="A24" s="1"/>
      <c r="B24" s="1326" t="s">
        <v>113</v>
      </c>
      <c r="C24" s="1326"/>
      <c r="D24" s="1326"/>
      <c r="E24" s="1326"/>
      <c r="F24" s="1326"/>
      <c r="G24" s="1326"/>
      <c r="H24" s="1326"/>
      <c r="I24" s="1326"/>
      <c r="J24" s="283"/>
      <c r="K24" s="1326" t="s">
        <v>113</v>
      </c>
      <c r="L24" s="1326"/>
      <c r="M24" s="1326"/>
      <c r="N24" s="1326"/>
      <c r="O24" s="1326"/>
      <c r="P24" s="1326"/>
      <c r="Q24" s="1326"/>
    </row>
    <row r="25" spans="1:17" ht="26.25" customHeight="1" x14ac:dyDescent="0.2">
      <c r="A25" s="2" t="s">
        <v>4</v>
      </c>
      <c r="B25" s="77" t="s">
        <v>219</v>
      </c>
      <c r="C25" s="77" t="s">
        <v>220</v>
      </c>
      <c r="D25" s="77" t="s">
        <v>221</v>
      </c>
      <c r="E25" s="77" t="s">
        <v>222</v>
      </c>
      <c r="F25" s="77"/>
      <c r="G25" s="799"/>
      <c r="H25" s="77" t="s">
        <v>168</v>
      </c>
      <c r="I25" s="77" t="s">
        <v>11</v>
      </c>
      <c r="J25" s="77"/>
      <c r="K25" s="77" t="s">
        <v>219</v>
      </c>
      <c r="L25" s="77" t="s">
        <v>220</v>
      </c>
      <c r="M25" s="77" t="s">
        <v>221</v>
      </c>
      <c r="N25" s="804" t="s">
        <v>222</v>
      </c>
      <c r="O25" s="77"/>
      <c r="P25" s="77"/>
      <c r="Q25" s="77" t="s">
        <v>168</v>
      </c>
    </row>
    <row r="26" spans="1:17" ht="18.75" customHeight="1" x14ac:dyDescent="0.2">
      <c r="A26" s="446" t="str">
        <f>T_1_23!A4</f>
        <v>2009-10</v>
      </c>
      <c r="B26" s="184">
        <f>T_1_23!B4</f>
        <v>19656</v>
      </c>
      <c r="C26" s="184">
        <f>T_1_23!C4</f>
        <v>2792</v>
      </c>
      <c r="D26" s="184">
        <f>T_1_23!D4</f>
        <v>494</v>
      </c>
      <c r="E26" s="184">
        <f>T_1_23!E4</f>
        <v>1</v>
      </c>
      <c r="F26" s="240"/>
      <c r="G26" s="240"/>
      <c r="H26" s="184">
        <f>T_1_23!H4 + T_1_23!F4 + T_1_23!G4</f>
        <v>46</v>
      </c>
      <c r="I26" s="379">
        <f>SUM(B26:H26)</f>
        <v>22989</v>
      </c>
      <c r="J26" s="13"/>
      <c r="K26" s="249">
        <f>B26/I26*100</f>
        <v>85.501761712123198</v>
      </c>
      <c r="L26" s="249">
        <f>C26/I26*100</f>
        <v>12.144938883813998</v>
      </c>
      <c r="M26" s="249">
        <f>D26/I26*100</f>
        <v>2.1488537996433079</v>
      </c>
      <c r="N26" s="249">
        <f>E26/I26*100</f>
        <v>4.349906477010744E-3</v>
      </c>
      <c r="O26" s="251"/>
      <c r="P26" s="251"/>
      <c r="Q26" s="251">
        <f>H26/I26*100</f>
        <v>0.20009569794249427</v>
      </c>
    </row>
    <row r="27" spans="1:17" ht="13.5" customHeight="1" x14ac:dyDescent="0.2">
      <c r="A27" s="29" t="str">
        <f>T_1_23!A5</f>
        <v>2010-11</v>
      </c>
      <c r="B27" s="68">
        <f>T_1_23!B5</f>
        <v>20475</v>
      </c>
      <c r="C27" s="68">
        <f>T_1_23!C5</f>
        <v>3194</v>
      </c>
      <c r="D27" s="68">
        <f>T_1_23!D5</f>
        <v>491</v>
      </c>
      <c r="E27" s="68">
        <f>T_1_23!E5</f>
        <v>4</v>
      </c>
      <c r="F27" s="193"/>
      <c r="G27" s="193"/>
      <c r="H27" s="68">
        <f>T_1_23!H5 + T_1_23!F5 + T_1_23!G5</f>
        <v>25</v>
      </c>
      <c r="I27" s="377">
        <f t="shared" ref="I27:I32" si="24">SUM(B27:H27)</f>
        <v>24189</v>
      </c>
      <c r="J27" s="13"/>
      <c r="K27" s="250">
        <f t="shared" ref="K27:K32" si="25">B27/I27*100</f>
        <v>84.645913431725162</v>
      </c>
      <c r="L27" s="250">
        <f t="shared" ref="L27:L32" si="26">C27/I27*100</f>
        <v>13.204349084294515</v>
      </c>
      <c r="M27" s="250">
        <f t="shared" ref="M27:M32" si="27">D27/I27*100</f>
        <v>2.0298482781429579</v>
      </c>
      <c r="N27" s="250">
        <f t="shared" ref="N27:N32" si="28">E27/I27*100</f>
        <v>1.6536442184464012E-2</v>
      </c>
      <c r="O27" s="252"/>
      <c r="P27" s="252"/>
      <c r="Q27" s="252">
        <f t="shared" ref="Q27:Q32" si="29">H27/I27*100</f>
        <v>0.10335276365290008</v>
      </c>
    </row>
    <row r="28" spans="1:17" ht="13.5" customHeight="1" x14ac:dyDescent="0.2">
      <c r="A28" s="29" t="str">
        <f>T_1_23!A6</f>
        <v>2011-12</v>
      </c>
      <c r="B28" s="68">
        <f>T_1_23!B6</f>
        <v>15625</v>
      </c>
      <c r="C28" s="68">
        <f>T_1_23!C6</f>
        <v>2576</v>
      </c>
      <c r="D28" s="68">
        <f>T_1_23!D6</f>
        <v>423</v>
      </c>
      <c r="E28" s="68">
        <f>T_1_23!E6</f>
        <v>9</v>
      </c>
      <c r="F28" s="193"/>
      <c r="G28" s="193"/>
      <c r="H28" s="68">
        <f>T_1_23!H6 + T_1_23!F6 + T_1_23!G6</f>
        <v>21</v>
      </c>
      <c r="I28" s="377">
        <f t="shared" si="24"/>
        <v>18654</v>
      </c>
      <c r="J28" s="13"/>
      <c r="K28" s="250">
        <f t="shared" si="25"/>
        <v>83.762195775704939</v>
      </c>
      <c r="L28" s="250">
        <f t="shared" si="26"/>
        <v>13.809370644365821</v>
      </c>
      <c r="M28" s="250">
        <f t="shared" si="27"/>
        <v>2.2676101640398842</v>
      </c>
      <c r="N28" s="250">
        <f t="shared" si="28"/>
        <v>4.8247024766806049E-2</v>
      </c>
      <c r="O28" s="252"/>
      <c r="P28" s="252"/>
      <c r="Q28" s="252">
        <f t="shared" si="29"/>
        <v>0.11257639112254746</v>
      </c>
    </row>
    <row r="29" spans="1:17" ht="13.5" customHeight="1" x14ac:dyDescent="0.2">
      <c r="A29" s="29" t="str">
        <f>T_1_23!A7</f>
        <v>2012-13</v>
      </c>
      <c r="B29" s="68">
        <f>T_1_23!B7</f>
        <v>12007</v>
      </c>
      <c r="C29" s="68">
        <f>T_1_23!C7</f>
        <v>1895</v>
      </c>
      <c r="D29" s="68">
        <f>T_1_23!D7</f>
        <v>345</v>
      </c>
      <c r="E29" s="68">
        <f>T_1_23!E7</f>
        <v>1</v>
      </c>
      <c r="F29" s="193"/>
      <c r="G29" s="193"/>
      <c r="H29" s="68">
        <f>T_1_23!H7 + T_1_23!F7 + T_1_23!G7</f>
        <v>14</v>
      </c>
      <c r="I29" s="377">
        <f t="shared" si="24"/>
        <v>14262</v>
      </c>
      <c r="J29" s="33"/>
      <c r="K29" s="250">
        <f t="shared" si="25"/>
        <v>84.188753330528669</v>
      </c>
      <c r="L29" s="250">
        <f t="shared" si="26"/>
        <v>13.287056513812928</v>
      </c>
      <c r="M29" s="250">
        <f t="shared" si="27"/>
        <v>2.4190155658392931</v>
      </c>
      <c r="N29" s="250">
        <f t="shared" si="28"/>
        <v>7.0116393212733127E-3</v>
      </c>
      <c r="O29" s="252"/>
      <c r="P29" s="252"/>
      <c r="Q29" s="252">
        <f t="shared" si="29"/>
        <v>9.8162950497826404E-2</v>
      </c>
    </row>
    <row r="30" spans="1:17" ht="13.5" customHeight="1" x14ac:dyDescent="0.2">
      <c r="A30" s="29" t="str">
        <f>T_1_23!A8</f>
        <v>2013-14</v>
      </c>
      <c r="B30" s="68">
        <f>T_1_23!B8</f>
        <v>14092</v>
      </c>
      <c r="C30" s="68">
        <f>T_1_23!C8</f>
        <v>1895</v>
      </c>
      <c r="D30" s="68">
        <f>T_1_23!D8</f>
        <v>334</v>
      </c>
      <c r="E30" s="68">
        <f>T_1_23!E8</f>
        <v>5</v>
      </c>
      <c r="F30" s="193"/>
      <c r="G30" s="193"/>
      <c r="H30" s="68">
        <f>T_1_23!H8 + T_1_23!F8 + T_1_23!G8</f>
        <v>25</v>
      </c>
      <c r="I30" s="377">
        <f t="shared" si="24"/>
        <v>16351</v>
      </c>
      <c r="J30" s="13"/>
      <c r="K30" s="250">
        <f t="shared" si="25"/>
        <v>86.184331233563697</v>
      </c>
      <c r="L30" s="250">
        <f t="shared" si="26"/>
        <v>11.589505229037979</v>
      </c>
      <c r="M30" s="250">
        <f t="shared" si="27"/>
        <v>2.0426885205797811</v>
      </c>
      <c r="N30" s="250">
        <f t="shared" si="28"/>
        <v>3.0579169469757202E-2</v>
      </c>
      <c r="O30" s="252"/>
      <c r="P30" s="252"/>
      <c r="Q30" s="252">
        <f t="shared" si="29"/>
        <v>0.152895847348786</v>
      </c>
    </row>
    <row r="31" spans="1:17" ht="13.5" customHeight="1" x14ac:dyDescent="0.2">
      <c r="A31" s="29" t="str">
        <f>T_1_23!A9</f>
        <v>2014-15</v>
      </c>
      <c r="B31" s="68">
        <f>T_1_23!B9</f>
        <v>11495</v>
      </c>
      <c r="C31" s="68">
        <f>T_1_23!C9</f>
        <v>1595</v>
      </c>
      <c r="D31" s="68">
        <f>T_1_23!D9</f>
        <v>287</v>
      </c>
      <c r="E31" s="68">
        <f>T_1_23!E9</f>
        <v>0</v>
      </c>
      <c r="F31" s="193"/>
      <c r="G31" s="193"/>
      <c r="H31" s="68">
        <f>T_1_23!H9 + T_1_23!F9 + T_1_23!G9</f>
        <v>13</v>
      </c>
      <c r="I31" s="377">
        <f t="shared" si="24"/>
        <v>13390</v>
      </c>
      <c r="J31" s="33"/>
      <c r="K31" s="250">
        <f t="shared" si="25"/>
        <v>85.847647498132943</v>
      </c>
      <c r="L31" s="250">
        <f t="shared" si="26"/>
        <v>11.911874533233757</v>
      </c>
      <c r="M31" s="250">
        <f t="shared" si="27"/>
        <v>2.1433905899925318</v>
      </c>
      <c r="N31" s="250">
        <f t="shared" si="28"/>
        <v>0</v>
      </c>
      <c r="O31" s="252"/>
      <c r="P31" s="252"/>
      <c r="Q31" s="252">
        <f t="shared" si="29"/>
        <v>9.7087378640776698E-2</v>
      </c>
    </row>
    <row r="32" spans="1:17" ht="13.5" customHeight="1" x14ac:dyDescent="0.2">
      <c r="A32" s="29" t="str">
        <f>T_1_23!A10</f>
        <v>2015-16</v>
      </c>
      <c r="B32" s="68">
        <f>T_1_23!B10</f>
        <v>12744</v>
      </c>
      <c r="C32" s="68">
        <f>T_1_23!C10</f>
        <v>1522</v>
      </c>
      <c r="D32" s="68">
        <f>T_1_23!D10</f>
        <v>276</v>
      </c>
      <c r="E32" s="68">
        <f>T_1_23!E10</f>
        <v>3</v>
      </c>
      <c r="F32" s="193"/>
      <c r="G32" s="193"/>
      <c r="H32" s="68">
        <f>T_1_23!H10 + T_1_23!F10 + T_1_23!G10</f>
        <v>159</v>
      </c>
      <c r="I32" s="377">
        <f t="shared" si="24"/>
        <v>14704</v>
      </c>
      <c r="J32" s="33"/>
      <c r="K32" s="250">
        <f t="shared" si="25"/>
        <v>86.670293797606092</v>
      </c>
      <c r="L32" s="250">
        <f t="shared" si="26"/>
        <v>10.350924918389554</v>
      </c>
      <c r="M32" s="250">
        <f t="shared" si="27"/>
        <v>1.8770402611534276</v>
      </c>
      <c r="N32" s="250">
        <f t="shared" si="28"/>
        <v>2.0402611534276388E-2</v>
      </c>
      <c r="O32" s="252"/>
      <c r="P32" s="252"/>
      <c r="Q32" s="252">
        <f t="shared" si="29"/>
        <v>1.0813384113166484</v>
      </c>
    </row>
    <row r="33" spans="1:18" ht="13.5" customHeight="1" x14ac:dyDescent="0.2">
      <c r="A33" s="29" t="str">
        <f>T_1_23!A11</f>
        <v>2016-17</v>
      </c>
      <c r="B33" s="68">
        <f>T_1_23!B11</f>
        <v>13945</v>
      </c>
      <c r="C33" s="68">
        <f>T_1_23!C11</f>
        <v>1367</v>
      </c>
      <c r="D33" s="68">
        <f>T_1_23!D11</f>
        <v>313</v>
      </c>
      <c r="E33" s="68">
        <f>T_1_23!E11</f>
        <v>3</v>
      </c>
      <c r="F33" s="193"/>
      <c r="G33" s="193"/>
      <c r="H33" s="68">
        <f>T_1_23!H11 + T_1_23!F11 + T_1_23!G11</f>
        <v>12</v>
      </c>
      <c r="I33" s="377">
        <f t="shared" ref="I33:I35" si="30">SUM(B33:H33)</f>
        <v>15640</v>
      </c>
      <c r="J33" s="33"/>
      <c r="K33" s="250">
        <f t="shared" ref="K33:K36" si="31">B33/I33*100</f>
        <v>89.162404092071611</v>
      </c>
      <c r="L33" s="250">
        <f t="shared" ref="L33:L36" si="32">C33/I33*100</f>
        <v>8.7404092071611252</v>
      </c>
      <c r="M33" s="250">
        <f t="shared" ref="M33:M36" si="33">D33/I33*100</f>
        <v>2.0012787723785168</v>
      </c>
      <c r="N33" s="250">
        <f t="shared" ref="N33:N36" si="34">E33/I33*100</f>
        <v>1.9181585677749361E-2</v>
      </c>
      <c r="O33" s="252"/>
      <c r="P33" s="252"/>
      <c r="Q33" s="252">
        <f t="shared" ref="Q33:Q36" si="35">H33/I33*100</f>
        <v>7.6726342710997444E-2</v>
      </c>
    </row>
    <row r="34" spans="1:18" ht="13.5" customHeight="1" x14ac:dyDescent="0.2">
      <c r="A34" s="29" t="str">
        <f>T_1_23!A12</f>
        <v>2017-18</v>
      </c>
      <c r="B34" s="68">
        <f>T_1_23!B12</f>
        <v>12927</v>
      </c>
      <c r="C34" s="68">
        <f>T_1_23!C12</f>
        <v>1425</v>
      </c>
      <c r="D34" s="68">
        <f>T_1_23!D12</f>
        <v>340</v>
      </c>
      <c r="E34" s="68">
        <f>T_1_23!E12</f>
        <v>0</v>
      </c>
      <c r="F34" s="193"/>
      <c r="G34" s="193"/>
      <c r="H34" s="68">
        <f>T_1_23!H12 + T_1_23!F12 + T_1_23!G12</f>
        <v>11</v>
      </c>
      <c r="I34" s="377">
        <f t="shared" si="30"/>
        <v>14703</v>
      </c>
      <c r="J34" s="33"/>
      <c r="K34" s="250">
        <f t="shared" si="31"/>
        <v>87.920832483166706</v>
      </c>
      <c r="L34" s="250">
        <f t="shared" si="32"/>
        <v>9.6918996123240166</v>
      </c>
      <c r="M34" s="250">
        <f t="shared" si="33"/>
        <v>2.3124532408352034</v>
      </c>
      <c r="N34" s="250">
        <f t="shared" si="34"/>
        <v>0</v>
      </c>
      <c r="O34" s="252"/>
      <c r="P34" s="252"/>
      <c r="Q34" s="252">
        <f t="shared" si="35"/>
        <v>7.4814663674080129E-2</v>
      </c>
    </row>
    <row r="35" spans="1:18" ht="13.5" customHeight="1" x14ac:dyDescent="0.2">
      <c r="A35" s="29" t="str">
        <f>T_1_23!A13</f>
        <v>2018-19</v>
      </c>
      <c r="B35" s="68">
        <f>T_1_23!B13</f>
        <v>13889</v>
      </c>
      <c r="C35" s="68">
        <f>T_1_23!C13</f>
        <v>1394</v>
      </c>
      <c r="D35" s="68">
        <f>T_1_23!D13</f>
        <v>369</v>
      </c>
      <c r="E35" s="68">
        <f>T_1_23!E13</f>
        <v>3</v>
      </c>
      <c r="F35" s="193"/>
      <c r="G35" s="193"/>
      <c r="H35" s="68">
        <f>T_1_23!H13 + T_1_23!F13 + T_1_23!G13</f>
        <v>17</v>
      </c>
      <c r="I35" s="377">
        <f t="shared" si="30"/>
        <v>15672</v>
      </c>
      <c r="J35" s="33"/>
      <c r="K35" s="250">
        <f t="shared" si="31"/>
        <v>88.623021949974472</v>
      </c>
      <c r="L35" s="250">
        <f t="shared" si="32"/>
        <v>8.8948443083205717</v>
      </c>
      <c r="M35" s="250">
        <f t="shared" si="33"/>
        <v>2.3545176110260337</v>
      </c>
      <c r="N35" s="250">
        <f t="shared" si="34"/>
        <v>1.9142419601837674E-2</v>
      </c>
      <c r="O35" s="252"/>
      <c r="P35" s="252"/>
      <c r="Q35" s="252">
        <f t="shared" si="35"/>
        <v>0.10847371107708015</v>
      </c>
    </row>
    <row r="36" spans="1:18" ht="13.5" customHeight="1" x14ac:dyDescent="0.2">
      <c r="A36" s="346" t="str">
        <f>T_1_23!A14</f>
        <v>2019-20</v>
      </c>
      <c r="B36" s="68">
        <f>T_1_23!B14</f>
        <v>12599</v>
      </c>
      <c r="C36" s="68">
        <f>T_1_23!C14</f>
        <v>1148</v>
      </c>
      <c r="D36" s="68">
        <f>T_1_23!D14</f>
        <v>300</v>
      </c>
      <c r="E36" s="68">
        <f>T_1_23!E14</f>
        <v>2</v>
      </c>
      <c r="F36" s="193"/>
      <c r="G36" s="193"/>
      <c r="H36" s="68">
        <f>T_1_23!H14 + T_1_23!F14 + T_1_23!G14</f>
        <v>13</v>
      </c>
      <c r="I36" s="377">
        <f>SUM(B36:H36)</f>
        <v>14062</v>
      </c>
      <c r="J36" s="33"/>
      <c r="K36" s="250">
        <f t="shared" si="31"/>
        <v>89.596074527094288</v>
      </c>
      <c r="L36" s="250">
        <f t="shared" si="32"/>
        <v>8.1638458256293553</v>
      </c>
      <c r="M36" s="250">
        <f t="shared" si="33"/>
        <v>2.1334091878822359</v>
      </c>
      <c r="N36" s="250">
        <f t="shared" si="34"/>
        <v>1.4222727919214907E-2</v>
      </c>
      <c r="O36" s="252"/>
      <c r="P36" s="252"/>
      <c r="Q36" s="252">
        <f t="shared" si="35"/>
        <v>9.2447731474896891E-2</v>
      </c>
    </row>
    <row r="37" spans="1:18" ht="13.5" thickBot="1" x14ac:dyDescent="0.25">
      <c r="A37" s="348" t="str">
        <f>T_1_23!A15</f>
        <v>2020-21</v>
      </c>
      <c r="B37" s="381">
        <f>T_1_23!B15</f>
        <v>13564</v>
      </c>
      <c r="C37" s="381">
        <f>T_1_23!C15</f>
        <v>1261</v>
      </c>
      <c r="D37" s="381">
        <f>T_1_23!D15</f>
        <v>236</v>
      </c>
      <c r="E37" s="381">
        <f>T_1_23!E15</f>
        <v>1</v>
      </c>
      <c r="F37" s="704"/>
      <c r="G37" s="704"/>
      <c r="H37" s="381">
        <f>T_1_23!H15 + T_1_23!F15 + T_1_23!G15</f>
        <v>51</v>
      </c>
      <c r="I37" s="382">
        <f>SUM(B37:H37)</f>
        <v>15113</v>
      </c>
      <c r="J37" s="89"/>
      <c r="K37" s="807">
        <f t="shared" ref="K37" si="36">B37/I37*100</f>
        <v>89.750545887646396</v>
      </c>
      <c r="L37" s="807">
        <f t="shared" ref="L37" si="37">C37/I37*100</f>
        <v>8.3438099649308537</v>
      </c>
      <c r="M37" s="807">
        <f t="shared" ref="M37" si="38">D37/I37*100</f>
        <v>1.5615695096936413</v>
      </c>
      <c r="N37" s="807">
        <f t="shared" ref="N37" si="39">E37/I37*100</f>
        <v>6.6168199563289877E-3</v>
      </c>
      <c r="O37" s="809"/>
      <c r="P37" s="809"/>
      <c r="Q37" s="809">
        <f t="shared" ref="Q37" si="40">H37/I37*100</f>
        <v>0.33745781777277839</v>
      </c>
    </row>
    <row r="38" spans="1:18" x14ac:dyDescent="0.2">
      <c r="A38" s="2"/>
      <c r="B38" s="4"/>
      <c r="C38" s="4"/>
      <c r="D38" s="4"/>
      <c r="E38" s="4"/>
      <c r="F38" s="4"/>
      <c r="G38" s="4"/>
      <c r="H38" s="13"/>
      <c r="I38" s="1"/>
      <c r="J38" s="89"/>
      <c r="K38" s="89"/>
      <c r="L38" s="89"/>
      <c r="M38" s="1"/>
      <c r="N38" s="1"/>
      <c r="O38" s="89"/>
      <c r="P38" s="1"/>
    </row>
    <row r="39" spans="1:18" x14ac:dyDescent="0.2">
      <c r="A39" s="805" t="s">
        <v>146</v>
      </c>
      <c r="E39" s="191"/>
      <c r="M39" s="375"/>
      <c r="N39" s="375"/>
      <c r="O39" s="281"/>
    </row>
    <row r="40" spans="1:18" ht="15.75" customHeight="1" x14ac:dyDescent="0.2">
      <c r="A40" s="1356" t="s">
        <v>1106</v>
      </c>
      <c r="B40" s="1356"/>
      <c r="C40" s="1356"/>
      <c r="D40" s="1356"/>
      <c r="E40" s="1356"/>
      <c r="F40" s="1356"/>
      <c r="G40" s="1356"/>
      <c r="H40" s="1356"/>
      <c r="I40" s="1356"/>
      <c r="J40" s="1356"/>
      <c r="K40" s="1356"/>
      <c r="L40" s="1356"/>
      <c r="M40" s="1356"/>
      <c r="N40" s="1356"/>
      <c r="O40" s="1356"/>
      <c r="P40" s="1356"/>
      <c r="Q40" s="1356"/>
      <c r="R40" s="1356"/>
    </row>
    <row r="41" spans="1:18" x14ac:dyDescent="0.2">
      <c r="A41" s="1355" t="s">
        <v>566</v>
      </c>
      <c r="B41" s="1355"/>
      <c r="C41" s="1355"/>
      <c r="D41" s="1355"/>
      <c r="E41" s="1355"/>
      <c r="F41" s="1355"/>
      <c r="G41" s="1355"/>
      <c r="H41" s="1355"/>
      <c r="I41" s="1355"/>
      <c r="J41" s="1355"/>
      <c r="K41" s="1355"/>
      <c r="L41" s="1355"/>
      <c r="M41" s="1355"/>
      <c r="N41" s="1355"/>
      <c r="O41" s="1355"/>
    </row>
    <row r="42" spans="1:18" x14ac:dyDescent="0.2">
      <c r="A42" s="1355" t="s">
        <v>567</v>
      </c>
      <c r="B42" s="1355"/>
      <c r="C42" s="1355"/>
      <c r="D42" s="1355"/>
      <c r="E42" s="1355"/>
      <c r="F42" s="1355"/>
      <c r="G42" s="1355"/>
      <c r="H42" s="1355"/>
      <c r="I42" s="1355"/>
      <c r="J42" s="1355"/>
      <c r="K42" s="1355"/>
      <c r="L42" s="1355"/>
      <c r="M42" s="1355"/>
      <c r="N42" s="1355"/>
      <c r="O42" s="1355"/>
    </row>
    <row r="43" spans="1:18" x14ac:dyDescent="0.2">
      <c r="A43" s="2"/>
      <c r="B43" s="4"/>
      <c r="C43" s="4"/>
      <c r="D43" s="4"/>
      <c r="E43" s="4"/>
      <c r="F43" s="4"/>
      <c r="G43" s="4"/>
      <c r="H43" s="13"/>
      <c r="I43" s="1"/>
      <c r="J43" s="89"/>
      <c r="K43" s="89"/>
      <c r="L43" s="89"/>
      <c r="M43" s="1"/>
      <c r="N43" s="1"/>
      <c r="O43" s="1"/>
      <c r="P43" s="1"/>
    </row>
  </sheetData>
  <sheetProtection algorithmName="SHA-512" hashValue="gIuYu2YnvaiFHwfVfRXCEdtYBvsGFwrWhiuqb6+VU3chsayxx6IxWrDvxDBjCcbBAe9Dvf7bxmWuTfRFRThDOg==" saltValue="u/KBQ8GDFFfpArkFAXzdww==" spinCount="100000" sheet="1" scenarios="1" formatCells="0" formatColumns="0" formatRows="0" sort="0" autoFilter="0" pivotTables="0"/>
  <mergeCells count="7">
    <mergeCell ref="A41:O41"/>
    <mergeCell ref="A42:O42"/>
    <mergeCell ref="K8:Q8"/>
    <mergeCell ref="B24:I24"/>
    <mergeCell ref="B8:I8"/>
    <mergeCell ref="K24:Q24"/>
    <mergeCell ref="A40:R40"/>
  </mergeCells>
  <hyperlinks>
    <hyperlink ref="A2" location="'Table of Contents'!A1" display="Back to Table of Contents" xr:uid="{00000000-0004-0000-4A00-000000000000}"/>
  </hyperlinks>
  <pageMargins left="0.7" right="0.7" top="0.75" bottom="0.75" header="0.3" footer="0.3"/>
  <pageSetup paperSize="9" scale="62" fitToHeight="0" orientation="landscape" r:id="rId1"/>
  <rowBreaks count="1" manualBreakCount="1">
    <brk id="42" max="17"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AFF0"/>
  </sheetPr>
  <dimension ref="A1:R87"/>
  <sheetViews>
    <sheetView showGridLines="0" workbookViewId="0">
      <pane ySplit="2" topLeftCell="A3" activePane="bottomLeft" state="frozen"/>
      <selection activeCellId="1" sqref="A1 A1"/>
      <selection pane="bottomLeft"/>
    </sheetView>
  </sheetViews>
  <sheetFormatPr defaultColWidth="9.140625" defaultRowHeight="12.75" x14ac:dyDescent="0.2"/>
  <cols>
    <col min="1" max="1" width="17.28515625" customWidth="1"/>
    <col min="2" max="2" width="23.42578125" customWidth="1"/>
    <col min="3" max="3" width="10.5703125" customWidth="1"/>
    <col min="4" max="4" width="11.7109375" customWidth="1"/>
    <col min="5" max="5" width="12.140625" customWidth="1"/>
    <col min="6" max="6" width="12.5703125" customWidth="1"/>
    <col min="7" max="7" width="12" customWidth="1"/>
    <col min="8" max="8" width="12.42578125" customWidth="1"/>
    <col min="9" max="9" width="9.42578125" customWidth="1"/>
    <col min="10" max="10" width="11.140625" customWidth="1"/>
    <col min="11" max="11" width="9.5703125" customWidth="1"/>
    <col min="12" max="12" width="11" customWidth="1"/>
    <col min="13" max="13" width="11.28515625" customWidth="1"/>
    <col min="14" max="14" width="10.85546875" customWidth="1"/>
    <col min="15" max="15" width="11.5703125" customWidth="1"/>
    <col min="16" max="16" width="12.7109375" customWidth="1"/>
    <col min="17" max="17" width="12.140625" customWidth="1"/>
    <col min="18" max="18" width="12.42578125" customWidth="1"/>
  </cols>
  <sheetData>
    <row r="1" spans="1:18" ht="18.75" customHeight="1" x14ac:dyDescent="0.2">
      <c r="A1" s="298" t="s">
        <v>1129</v>
      </c>
    </row>
    <row r="2" spans="1:18" ht="18.75" customHeight="1" x14ac:dyDescent="0.2">
      <c r="A2" s="106" t="s">
        <v>578</v>
      </c>
    </row>
    <row r="3" spans="1:18" ht="38.25" customHeight="1" x14ac:dyDescent="0.2">
      <c r="A3" s="120" t="s">
        <v>1081</v>
      </c>
      <c r="C3" s="120"/>
      <c r="D3" s="120"/>
      <c r="E3" s="120"/>
      <c r="F3" s="120"/>
      <c r="G3" s="120"/>
      <c r="H3" s="120"/>
      <c r="I3" s="120"/>
      <c r="J3" s="120"/>
      <c r="K3" s="120"/>
      <c r="L3" s="120"/>
      <c r="M3" s="120"/>
      <c r="N3" s="120"/>
      <c r="O3" s="120"/>
      <c r="P3" s="120"/>
      <c r="Q3" s="1"/>
    </row>
    <row r="4" spans="1:18" ht="15.75" customHeight="1" x14ac:dyDescent="0.25">
      <c r="A4" s="351" t="s">
        <v>579</v>
      </c>
      <c r="B4" s="1043" t="s">
        <v>1325</v>
      </c>
      <c r="D4" s="120"/>
      <c r="E4" s="120"/>
      <c r="F4" s="120"/>
      <c r="G4" s="120"/>
      <c r="H4" s="120"/>
      <c r="I4" s="120"/>
      <c r="J4" s="120"/>
      <c r="K4" s="120"/>
      <c r="L4" s="120"/>
      <c r="M4" s="120"/>
      <c r="N4" s="120"/>
      <c r="O4" s="120"/>
      <c r="P4" s="120"/>
      <c r="Q4" s="1"/>
    </row>
    <row r="5" spans="1:18" ht="15.75" customHeight="1" x14ac:dyDescent="0.25">
      <c r="A5" s="351" t="s">
        <v>580</v>
      </c>
      <c r="B5" s="351" t="s">
        <v>581</v>
      </c>
      <c r="C5" s="120"/>
      <c r="D5" s="120"/>
      <c r="E5" s="120"/>
      <c r="F5" s="120"/>
      <c r="G5" s="120"/>
      <c r="H5" s="120"/>
      <c r="I5" s="120"/>
      <c r="J5" s="120"/>
      <c r="K5" s="120"/>
      <c r="L5" s="120"/>
      <c r="M5" s="120"/>
      <c r="N5" s="120"/>
      <c r="O5" s="120"/>
      <c r="P5" s="120"/>
      <c r="Q5" s="1"/>
    </row>
    <row r="6" spans="1:18" ht="15.75" customHeight="1" x14ac:dyDescent="0.25">
      <c r="A6" s="351" t="s">
        <v>582</v>
      </c>
      <c r="B6" s="351" t="s">
        <v>585</v>
      </c>
      <c r="C6" s="120"/>
      <c r="D6" s="120"/>
      <c r="E6" s="120"/>
      <c r="F6" s="120"/>
      <c r="G6" s="120"/>
      <c r="H6" s="120"/>
      <c r="I6" s="120"/>
      <c r="J6" s="120"/>
      <c r="K6" s="120"/>
      <c r="L6" s="120"/>
      <c r="M6" s="120"/>
      <c r="N6" s="120"/>
      <c r="O6" s="120"/>
      <c r="P6" s="120"/>
      <c r="Q6" s="1"/>
    </row>
    <row r="7" spans="1:18" ht="15" x14ac:dyDescent="0.25">
      <c r="B7" s="1"/>
      <c r="C7" s="1"/>
      <c r="D7" s="1"/>
      <c r="E7" s="1"/>
      <c r="F7" s="1"/>
      <c r="G7" s="1"/>
      <c r="H7" s="1"/>
      <c r="J7" s="83" t="s">
        <v>0</v>
      </c>
      <c r="K7" s="1"/>
      <c r="L7" s="1"/>
      <c r="M7" s="1"/>
      <c r="N7" s="1"/>
      <c r="O7" s="1"/>
      <c r="Q7" s="1"/>
      <c r="R7" s="60" t="s">
        <v>62</v>
      </c>
    </row>
    <row r="8" spans="1:18" x14ac:dyDescent="0.2">
      <c r="B8" s="1"/>
      <c r="C8" s="1326" t="s">
        <v>218</v>
      </c>
      <c r="D8" s="1326"/>
      <c r="E8" s="1326"/>
      <c r="F8" s="1326"/>
      <c r="G8" s="1326"/>
      <c r="H8" s="1326"/>
      <c r="I8" s="1326"/>
      <c r="J8" s="1326"/>
      <c r="K8" s="1"/>
      <c r="L8" s="1326" t="s">
        <v>218</v>
      </c>
      <c r="M8" s="1326"/>
      <c r="N8" s="1326"/>
      <c r="O8" s="1326"/>
      <c r="P8" s="1326"/>
      <c r="Q8" s="1326"/>
      <c r="R8" s="1326"/>
    </row>
    <row r="9" spans="1:18" ht="26.25" customHeight="1" x14ac:dyDescent="0.2">
      <c r="A9" s="2" t="s">
        <v>586</v>
      </c>
      <c r="B9" s="2" t="s">
        <v>22</v>
      </c>
      <c r="C9" s="77" t="s">
        <v>219</v>
      </c>
      <c r="D9" s="77" t="s">
        <v>220</v>
      </c>
      <c r="E9" s="77" t="s">
        <v>221</v>
      </c>
      <c r="F9" s="77" t="s">
        <v>222</v>
      </c>
      <c r="G9" s="77" t="s">
        <v>223</v>
      </c>
      <c r="H9" s="77" t="s">
        <v>249</v>
      </c>
      <c r="I9" s="77" t="s">
        <v>168</v>
      </c>
      <c r="J9" s="77" t="s">
        <v>11</v>
      </c>
      <c r="K9" s="1"/>
      <c r="L9" s="77" t="s">
        <v>219</v>
      </c>
      <c r="M9" s="77" t="s">
        <v>220</v>
      </c>
      <c r="N9" s="77" t="s">
        <v>221</v>
      </c>
      <c r="O9" s="77" t="s">
        <v>222</v>
      </c>
      <c r="P9" s="77" t="s">
        <v>223</v>
      </c>
      <c r="Q9" s="77" t="s">
        <v>250</v>
      </c>
      <c r="R9" s="801" t="s">
        <v>168</v>
      </c>
    </row>
    <row r="10" spans="1:18" ht="18.75" customHeight="1" x14ac:dyDescent="0.2">
      <c r="A10" s="414" t="s">
        <v>587</v>
      </c>
      <c r="B10" s="400" t="s">
        <v>23</v>
      </c>
      <c r="C10" s="531">
        <f>T_23!I7</f>
        <v>106</v>
      </c>
      <c r="D10" s="531">
        <f>T_23!J7</f>
        <v>226</v>
      </c>
      <c r="E10" s="536">
        <f>T_23!K7</f>
        <v>89</v>
      </c>
      <c r="F10" s="536">
        <f>T_23!L7</f>
        <v>3</v>
      </c>
      <c r="G10" s="536">
        <f>T_23!M7</f>
        <v>1</v>
      </c>
      <c r="H10" s="536">
        <f>T_23!N7</f>
        <v>1</v>
      </c>
      <c r="I10" s="537">
        <f>T_23!O7</f>
        <v>0</v>
      </c>
      <c r="J10" s="816">
        <f>SUM(C10:I10)</f>
        <v>426</v>
      </c>
      <c r="K10" s="193"/>
      <c r="L10" s="461">
        <f>C10/J10*100</f>
        <v>24.88262910798122</v>
      </c>
      <c r="M10" s="461">
        <f>D10/J10*100</f>
        <v>53.051643192488264</v>
      </c>
      <c r="N10" s="461">
        <f>E10/J10*100</f>
        <v>20.89201877934272</v>
      </c>
      <c r="O10" s="461">
        <f>F10/J10*100</f>
        <v>0.70422535211267612</v>
      </c>
      <c r="P10" s="461">
        <f>G10/J10*100</f>
        <v>0.23474178403755869</v>
      </c>
      <c r="Q10" s="461">
        <f>H10/J10*100</f>
        <v>0.23474178403755869</v>
      </c>
      <c r="R10" s="251">
        <f>I10/J10*100</f>
        <v>0</v>
      </c>
    </row>
    <row r="11" spans="1:18" ht="13.5" customHeight="1" x14ac:dyDescent="0.2">
      <c r="A11" s="1" t="s">
        <v>588</v>
      </c>
      <c r="B11" s="117" t="s">
        <v>24</v>
      </c>
      <c r="C11" s="168">
        <f>T_23!I8</f>
        <v>134</v>
      </c>
      <c r="D11" s="168">
        <f>T_23!J8</f>
        <v>212</v>
      </c>
      <c r="E11" s="538">
        <f>T_23!K8</f>
        <v>43</v>
      </c>
      <c r="F11" s="538">
        <f>T_23!L8</f>
        <v>9</v>
      </c>
      <c r="G11" s="538">
        <f>T_23!M8</f>
        <v>1</v>
      </c>
      <c r="H11" s="538">
        <f>T_23!N8</f>
        <v>1</v>
      </c>
      <c r="I11" s="539">
        <f>T_23!O8</f>
        <v>0</v>
      </c>
      <c r="J11" s="810">
        <f t="shared" ref="J11:J41" si="0">SUM(C11:I11)</f>
        <v>400</v>
      </c>
      <c r="K11" s="193"/>
      <c r="L11" s="245">
        <f t="shared" ref="L11:L41" si="1">C11/J11*100</f>
        <v>33.5</v>
      </c>
      <c r="M11" s="245">
        <f t="shared" ref="M11:M41" si="2">D11/J11*100</f>
        <v>53</v>
      </c>
      <c r="N11" s="245">
        <f t="shared" ref="N11:N41" si="3">E11/J11*100</f>
        <v>10.75</v>
      </c>
      <c r="O11" s="245">
        <f t="shared" ref="O11:O41" si="4">F11/J11*100</f>
        <v>2.25</v>
      </c>
      <c r="P11" s="245">
        <f t="shared" ref="P11:P41" si="5">G11/J11*100</f>
        <v>0.25</v>
      </c>
      <c r="Q11" s="245">
        <f t="shared" ref="Q11:Q41" si="6">H11/J11*100</f>
        <v>0.25</v>
      </c>
      <c r="R11" s="252">
        <f t="shared" ref="R11:R41" si="7">I11/J11*100</f>
        <v>0</v>
      </c>
    </row>
    <row r="12" spans="1:18" ht="13.5" customHeight="1" x14ac:dyDescent="0.2">
      <c r="A12" s="1" t="s">
        <v>589</v>
      </c>
      <c r="B12" s="117" t="s">
        <v>25</v>
      </c>
      <c r="C12" s="168">
        <f>T_23!I9</f>
        <v>55</v>
      </c>
      <c r="D12" s="168">
        <f>T_23!J9</f>
        <v>87</v>
      </c>
      <c r="E12" s="538">
        <f>T_23!K9</f>
        <v>19</v>
      </c>
      <c r="F12" s="538">
        <f>T_23!L9</f>
        <v>4</v>
      </c>
      <c r="G12" s="538">
        <f>T_23!M9</f>
        <v>3</v>
      </c>
      <c r="H12" s="538">
        <f>T_23!N9</f>
        <v>0</v>
      </c>
      <c r="I12" s="539">
        <f>T_23!O9</f>
        <v>0</v>
      </c>
      <c r="J12" s="810">
        <f t="shared" si="0"/>
        <v>168</v>
      </c>
      <c r="K12" s="193"/>
      <c r="L12" s="245">
        <f t="shared" si="1"/>
        <v>32.738095238095241</v>
      </c>
      <c r="M12" s="245">
        <f t="shared" si="2"/>
        <v>51.785714285714292</v>
      </c>
      <c r="N12" s="245">
        <f t="shared" si="3"/>
        <v>11.30952380952381</v>
      </c>
      <c r="O12" s="245">
        <f t="shared" si="4"/>
        <v>2.3809523809523809</v>
      </c>
      <c r="P12" s="245">
        <f t="shared" si="5"/>
        <v>1.7857142857142856</v>
      </c>
      <c r="Q12" s="245">
        <f t="shared" si="6"/>
        <v>0</v>
      </c>
      <c r="R12" s="252">
        <f t="shared" si="7"/>
        <v>0</v>
      </c>
    </row>
    <row r="13" spans="1:18" ht="13.5" customHeight="1" x14ac:dyDescent="0.2">
      <c r="A13" s="1" t="s">
        <v>590</v>
      </c>
      <c r="B13" s="117" t="s">
        <v>26</v>
      </c>
      <c r="C13" s="168">
        <f>T_23!I10</f>
        <v>58</v>
      </c>
      <c r="D13" s="168">
        <f>T_23!J10</f>
        <v>85</v>
      </c>
      <c r="E13" s="538">
        <f>T_23!K10</f>
        <v>10</v>
      </c>
      <c r="F13" s="538">
        <f>T_23!L10</f>
        <v>4</v>
      </c>
      <c r="G13" s="538">
        <f>T_23!M10</f>
        <v>0</v>
      </c>
      <c r="H13" s="538">
        <f>T_23!N10</f>
        <v>0</v>
      </c>
      <c r="I13" s="539">
        <f>T_23!O10</f>
        <v>0</v>
      </c>
      <c r="J13" s="810">
        <f t="shared" si="0"/>
        <v>157</v>
      </c>
      <c r="K13" s="193"/>
      <c r="L13" s="245">
        <f t="shared" si="1"/>
        <v>36.942675159235669</v>
      </c>
      <c r="M13" s="245">
        <f t="shared" si="2"/>
        <v>54.140127388535028</v>
      </c>
      <c r="N13" s="245">
        <f t="shared" si="3"/>
        <v>6.369426751592357</v>
      </c>
      <c r="O13" s="245">
        <f t="shared" si="4"/>
        <v>2.547770700636943</v>
      </c>
      <c r="P13" s="245">
        <f t="shared" si="5"/>
        <v>0</v>
      </c>
      <c r="Q13" s="245">
        <f t="shared" si="6"/>
        <v>0</v>
      </c>
      <c r="R13" s="252">
        <f t="shared" si="7"/>
        <v>0</v>
      </c>
    </row>
    <row r="14" spans="1:18" ht="13.5" customHeight="1" x14ac:dyDescent="0.2">
      <c r="A14" s="1" t="s">
        <v>591</v>
      </c>
      <c r="B14" s="117" t="s">
        <v>619</v>
      </c>
      <c r="C14" s="168">
        <f>T_23!I11</f>
        <v>266</v>
      </c>
      <c r="D14" s="168">
        <f>T_23!J11</f>
        <v>242</v>
      </c>
      <c r="E14" s="538">
        <f>T_23!K11</f>
        <v>294</v>
      </c>
      <c r="F14" s="538">
        <f>T_23!L11</f>
        <v>5</v>
      </c>
      <c r="G14" s="538">
        <f>T_23!M11</f>
        <v>1</v>
      </c>
      <c r="H14" s="538">
        <f>T_23!N11</f>
        <v>0</v>
      </c>
      <c r="I14" s="168">
        <f>T_23!O11</f>
        <v>0</v>
      </c>
      <c r="J14" s="810">
        <f t="shared" si="0"/>
        <v>808</v>
      </c>
      <c r="K14" s="193"/>
      <c r="L14" s="245">
        <f t="shared" si="1"/>
        <v>32.920792079207921</v>
      </c>
      <c r="M14" s="245">
        <f t="shared" si="2"/>
        <v>29.950495049504948</v>
      </c>
      <c r="N14" s="245">
        <f t="shared" si="3"/>
        <v>36.386138613861384</v>
      </c>
      <c r="O14" s="245">
        <f t="shared" si="4"/>
        <v>0.61881188118811881</v>
      </c>
      <c r="P14" s="245">
        <f t="shared" si="5"/>
        <v>0.12376237623762376</v>
      </c>
      <c r="Q14" s="245">
        <f t="shared" si="6"/>
        <v>0</v>
      </c>
      <c r="R14" s="252">
        <f t="shared" si="7"/>
        <v>0</v>
      </c>
    </row>
    <row r="15" spans="1:18" ht="13.5" customHeight="1" x14ac:dyDescent="0.2">
      <c r="A15" s="1" t="s">
        <v>592</v>
      </c>
      <c r="B15" s="117" t="s">
        <v>27</v>
      </c>
      <c r="C15" s="168">
        <f>T_23!I12</f>
        <v>27</v>
      </c>
      <c r="D15" s="168">
        <f>T_23!J12</f>
        <v>37</v>
      </c>
      <c r="E15" s="538">
        <f>T_23!K12</f>
        <v>22</v>
      </c>
      <c r="F15" s="538">
        <f>T_23!L12</f>
        <v>0</v>
      </c>
      <c r="G15" s="538">
        <f>T_23!M12</f>
        <v>0</v>
      </c>
      <c r="H15" s="538">
        <f>T_23!N12</f>
        <v>0</v>
      </c>
      <c r="I15" s="539">
        <f>T_23!O12</f>
        <v>0</v>
      </c>
      <c r="J15" s="810">
        <f t="shared" si="0"/>
        <v>86</v>
      </c>
      <c r="K15" s="193"/>
      <c r="L15" s="245">
        <f t="shared" si="1"/>
        <v>31.395348837209301</v>
      </c>
      <c r="M15" s="245">
        <f t="shared" si="2"/>
        <v>43.02325581395349</v>
      </c>
      <c r="N15" s="245">
        <f t="shared" si="3"/>
        <v>25.581395348837212</v>
      </c>
      <c r="O15" s="245">
        <f t="shared" si="4"/>
        <v>0</v>
      </c>
      <c r="P15" s="245">
        <f t="shared" si="5"/>
        <v>0</v>
      </c>
      <c r="Q15" s="245">
        <f t="shared" si="6"/>
        <v>0</v>
      </c>
      <c r="R15" s="252">
        <f t="shared" si="7"/>
        <v>0</v>
      </c>
    </row>
    <row r="16" spans="1:18" ht="13.5" customHeight="1" x14ac:dyDescent="0.2">
      <c r="A16" s="1" t="s">
        <v>593</v>
      </c>
      <c r="B16" s="117" t="s">
        <v>28</v>
      </c>
      <c r="C16" s="168">
        <f>T_23!I13</f>
        <v>66</v>
      </c>
      <c r="D16" s="168">
        <f>T_23!J13</f>
        <v>83</v>
      </c>
      <c r="E16" s="538">
        <f>T_23!K13</f>
        <v>27</v>
      </c>
      <c r="F16" s="538">
        <f>T_23!L13</f>
        <v>3</v>
      </c>
      <c r="G16" s="538">
        <f>T_23!M13</f>
        <v>1</v>
      </c>
      <c r="H16" s="538">
        <f>T_23!N13</f>
        <v>2</v>
      </c>
      <c r="I16" s="539">
        <f>T_23!O13</f>
        <v>9</v>
      </c>
      <c r="J16" s="810">
        <f t="shared" si="0"/>
        <v>191</v>
      </c>
      <c r="K16" s="193"/>
      <c r="L16" s="245">
        <f t="shared" si="1"/>
        <v>34.554973821989527</v>
      </c>
      <c r="M16" s="245">
        <f t="shared" si="2"/>
        <v>43.455497382198956</v>
      </c>
      <c r="N16" s="245">
        <f t="shared" si="3"/>
        <v>14.136125654450263</v>
      </c>
      <c r="O16" s="245">
        <f t="shared" si="4"/>
        <v>1.5706806282722512</v>
      </c>
      <c r="P16" s="245">
        <f t="shared" si="5"/>
        <v>0.52356020942408377</v>
      </c>
      <c r="Q16" s="245">
        <f t="shared" si="6"/>
        <v>1.0471204188481675</v>
      </c>
      <c r="R16" s="252">
        <f t="shared" si="7"/>
        <v>4.7120418848167542</v>
      </c>
    </row>
    <row r="17" spans="1:18" ht="13.5" customHeight="1" x14ac:dyDescent="0.2">
      <c r="A17" s="1" t="s">
        <v>594</v>
      </c>
      <c r="B17" s="117" t="s">
        <v>29</v>
      </c>
      <c r="C17" s="168">
        <f>T_23!I14</f>
        <v>76</v>
      </c>
      <c r="D17" s="168">
        <f>T_23!J14</f>
        <v>182</v>
      </c>
      <c r="E17" s="538">
        <f>T_23!K14</f>
        <v>64</v>
      </c>
      <c r="F17" s="538">
        <f>T_23!L14</f>
        <v>3</v>
      </c>
      <c r="G17" s="538">
        <f>T_23!M14</f>
        <v>1</v>
      </c>
      <c r="H17" s="538">
        <f>T_23!N14</f>
        <v>1</v>
      </c>
      <c r="I17" s="539">
        <f>T_23!O14</f>
        <v>0</v>
      </c>
      <c r="J17" s="810">
        <f t="shared" si="0"/>
        <v>327</v>
      </c>
      <c r="K17" s="193"/>
      <c r="L17" s="245">
        <f t="shared" si="1"/>
        <v>23.24159021406728</v>
      </c>
      <c r="M17" s="245">
        <f t="shared" si="2"/>
        <v>55.657492354740057</v>
      </c>
      <c r="N17" s="245">
        <f t="shared" si="3"/>
        <v>19.571865443425075</v>
      </c>
      <c r="O17" s="245">
        <f t="shared" si="4"/>
        <v>0.91743119266055051</v>
      </c>
      <c r="P17" s="245">
        <f t="shared" si="5"/>
        <v>0.3058103975535168</v>
      </c>
      <c r="Q17" s="245">
        <f t="shared" si="6"/>
        <v>0.3058103975535168</v>
      </c>
      <c r="R17" s="252">
        <f t="shared" si="7"/>
        <v>0</v>
      </c>
    </row>
    <row r="18" spans="1:18" ht="13.5" customHeight="1" x14ac:dyDescent="0.2">
      <c r="A18" s="1" t="s">
        <v>595</v>
      </c>
      <c r="B18" s="117" t="s">
        <v>30</v>
      </c>
      <c r="C18" s="168">
        <f>T_23!I15</f>
        <v>94</v>
      </c>
      <c r="D18" s="168">
        <f>T_23!J15</f>
        <v>97</v>
      </c>
      <c r="E18" s="538">
        <f>T_23!K15</f>
        <v>24</v>
      </c>
      <c r="F18" s="538">
        <f>T_23!L15</f>
        <v>3</v>
      </c>
      <c r="G18" s="538">
        <f>T_23!M15</f>
        <v>2</v>
      </c>
      <c r="H18" s="538">
        <f>T_23!N15</f>
        <v>0</v>
      </c>
      <c r="I18" s="539">
        <f>T_23!O15</f>
        <v>0</v>
      </c>
      <c r="J18" s="810">
        <f t="shared" si="0"/>
        <v>220</v>
      </c>
      <c r="K18" s="193"/>
      <c r="L18" s="245">
        <f t="shared" si="1"/>
        <v>42.727272727272727</v>
      </c>
      <c r="M18" s="245">
        <f t="shared" si="2"/>
        <v>44.090909090909093</v>
      </c>
      <c r="N18" s="245">
        <f t="shared" si="3"/>
        <v>10.909090909090908</v>
      </c>
      <c r="O18" s="245">
        <f t="shared" si="4"/>
        <v>1.3636363636363635</v>
      </c>
      <c r="P18" s="245">
        <f t="shared" si="5"/>
        <v>0.90909090909090906</v>
      </c>
      <c r="Q18" s="245">
        <f t="shared" si="6"/>
        <v>0</v>
      </c>
      <c r="R18" s="252">
        <f t="shared" si="7"/>
        <v>0</v>
      </c>
    </row>
    <row r="19" spans="1:18" ht="13.5" customHeight="1" x14ac:dyDescent="0.2">
      <c r="A19" s="1" t="s">
        <v>596</v>
      </c>
      <c r="B19" s="117" t="s">
        <v>31</v>
      </c>
      <c r="C19" s="168">
        <f>T_23!I16</f>
        <v>61</v>
      </c>
      <c r="D19" s="168">
        <f>T_23!J16</f>
        <v>55</v>
      </c>
      <c r="E19" s="538">
        <f>T_23!K16</f>
        <v>11</v>
      </c>
      <c r="F19" s="538">
        <f>T_23!L16</f>
        <v>1</v>
      </c>
      <c r="G19" s="538">
        <f>T_23!M16</f>
        <v>0</v>
      </c>
      <c r="H19" s="538">
        <f>T_23!N16</f>
        <v>2</v>
      </c>
      <c r="I19" s="168">
        <f>T_23!O16</f>
        <v>0</v>
      </c>
      <c r="J19" s="810">
        <f t="shared" si="0"/>
        <v>130</v>
      </c>
      <c r="K19" s="193"/>
      <c r="L19" s="245">
        <f t="shared" si="1"/>
        <v>46.92307692307692</v>
      </c>
      <c r="M19" s="245">
        <f t="shared" si="2"/>
        <v>42.307692307692307</v>
      </c>
      <c r="N19" s="245">
        <f t="shared" si="3"/>
        <v>8.4615384615384617</v>
      </c>
      <c r="O19" s="245">
        <f t="shared" si="4"/>
        <v>0.76923076923076927</v>
      </c>
      <c r="P19" s="245">
        <f t="shared" si="5"/>
        <v>0</v>
      </c>
      <c r="Q19" s="245">
        <f t="shared" si="6"/>
        <v>1.5384615384615385</v>
      </c>
      <c r="R19" s="252">
        <f t="shared" si="7"/>
        <v>0</v>
      </c>
    </row>
    <row r="20" spans="1:18" ht="13.5" customHeight="1" x14ac:dyDescent="0.2">
      <c r="A20" s="1" t="s">
        <v>597</v>
      </c>
      <c r="B20" s="117" t="s">
        <v>32</v>
      </c>
      <c r="C20" s="168">
        <f>T_23!I17</f>
        <v>59</v>
      </c>
      <c r="D20" s="168">
        <f>T_23!J17</f>
        <v>59</v>
      </c>
      <c r="E20" s="538">
        <f>T_23!K17</f>
        <v>17</v>
      </c>
      <c r="F20" s="538">
        <f>T_23!L17</f>
        <v>3</v>
      </c>
      <c r="G20" s="538">
        <f>T_23!M17</f>
        <v>0</v>
      </c>
      <c r="H20" s="538">
        <f>T_23!N17</f>
        <v>1</v>
      </c>
      <c r="I20" s="539">
        <f>T_23!O17</f>
        <v>0</v>
      </c>
      <c r="J20" s="810">
        <f t="shared" si="0"/>
        <v>139</v>
      </c>
      <c r="K20" s="193"/>
      <c r="L20" s="245">
        <f t="shared" si="1"/>
        <v>42.446043165467628</v>
      </c>
      <c r="M20" s="245">
        <f t="shared" si="2"/>
        <v>42.446043165467628</v>
      </c>
      <c r="N20" s="245">
        <f t="shared" si="3"/>
        <v>12.23021582733813</v>
      </c>
      <c r="O20" s="245">
        <f t="shared" si="4"/>
        <v>2.1582733812949639</v>
      </c>
      <c r="P20" s="245">
        <f t="shared" si="5"/>
        <v>0</v>
      </c>
      <c r="Q20" s="245">
        <f t="shared" si="6"/>
        <v>0.71942446043165476</v>
      </c>
      <c r="R20" s="252">
        <f t="shared" si="7"/>
        <v>0</v>
      </c>
    </row>
    <row r="21" spans="1:18" ht="13.5" customHeight="1" x14ac:dyDescent="0.2">
      <c r="A21" s="1" t="s">
        <v>598</v>
      </c>
      <c r="B21" s="117" t="s">
        <v>33</v>
      </c>
      <c r="C21" s="168">
        <f>T_23!I18</f>
        <v>45</v>
      </c>
      <c r="D21" s="168">
        <f>T_23!J18</f>
        <v>39</v>
      </c>
      <c r="E21" s="538">
        <f>T_23!K18</f>
        <v>10</v>
      </c>
      <c r="F21" s="538">
        <f>T_23!L18</f>
        <v>3</v>
      </c>
      <c r="G21" s="538">
        <f>T_23!M18</f>
        <v>0</v>
      </c>
      <c r="H21" s="538">
        <f>T_23!N18</f>
        <v>1</v>
      </c>
      <c r="I21" s="168">
        <f>T_23!O18</f>
        <v>0</v>
      </c>
      <c r="J21" s="810">
        <f t="shared" si="0"/>
        <v>98</v>
      </c>
      <c r="K21" s="193"/>
      <c r="L21" s="245">
        <f t="shared" si="1"/>
        <v>45.91836734693878</v>
      </c>
      <c r="M21" s="245">
        <f t="shared" si="2"/>
        <v>39.795918367346935</v>
      </c>
      <c r="N21" s="245">
        <f t="shared" si="3"/>
        <v>10.204081632653061</v>
      </c>
      <c r="O21" s="245">
        <f t="shared" si="4"/>
        <v>3.0612244897959182</v>
      </c>
      <c r="P21" s="245">
        <f t="shared" si="5"/>
        <v>0</v>
      </c>
      <c r="Q21" s="245">
        <f t="shared" si="6"/>
        <v>1.0204081632653061</v>
      </c>
      <c r="R21" s="252">
        <f t="shared" si="7"/>
        <v>0</v>
      </c>
    </row>
    <row r="22" spans="1:18" ht="13.5" customHeight="1" x14ac:dyDescent="0.2">
      <c r="A22" s="1" t="s">
        <v>599</v>
      </c>
      <c r="B22" s="117" t="s">
        <v>34</v>
      </c>
      <c r="C22" s="168">
        <f>T_23!I19</f>
        <v>113</v>
      </c>
      <c r="D22" s="168">
        <f>T_23!J19</f>
        <v>121</v>
      </c>
      <c r="E22" s="538">
        <f>T_23!K19</f>
        <v>46</v>
      </c>
      <c r="F22" s="538">
        <f>T_23!L19</f>
        <v>3</v>
      </c>
      <c r="G22" s="538">
        <f>T_23!M19</f>
        <v>0</v>
      </c>
      <c r="H22" s="538">
        <f>T_23!N19</f>
        <v>1</v>
      </c>
      <c r="I22" s="168">
        <f>T_23!O19</f>
        <v>0</v>
      </c>
      <c r="J22" s="810">
        <f t="shared" si="0"/>
        <v>284</v>
      </c>
      <c r="K22" s="193"/>
      <c r="L22" s="245">
        <f t="shared" si="1"/>
        <v>39.7887323943662</v>
      </c>
      <c r="M22" s="245">
        <f t="shared" si="2"/>
        <v>42.605633802816897</v>
      </c>
      <c r="N22" s="245">
        <f t="shared" si="3"/>
        <v>16.197183098591552</v>
      </c>
      <c r="O22" s="245">
        <f t="shared" si="4"/>
        <v>1.056338028169014</v>
      </c>
      <c r="P22" s="245">
        <f t="shared" si="5"/>
        <v>0</v>
      </c>
      <c r="Q22" s="245">
        <f t="shared" si="6"/>
        <v>0.35211267605633806</v>
      </c>
      <c r="R22" s="252">
        <f t="shared" si="7"/>
        <v>0</v>
      </c>
    </row>
    <row r="23" spans="1:18" ht="13.5" customHeight="1" x14ac:dyDescent="0.2">
      <c r="A23" s="1" t="s">
        <v>600</v>
      </c>
      <c r="B23" s="117" t="s">
        <v>35</v>
      </c>
      <c r="C23" s="168">
        <f>T_23!I20</f>
        <v>239</v>
      </c>
      <c r="D23" s="168">
        <f>T_23!J20</f>
        <v>256</v>
      </c>
      <c r="E23" s="538">
        <f>T_23!K20</f>
        <v>76</v>
      </c>
      <c r="F23" s="538">
        <f>T_23!L20</f>
        <v>5</v>
      </c>
      <c r="G23" s="538">
        <f>T_23!M20</f>
        <v>3</v>
      </c>
      <c r="H23" s="538">
        <f>T_23!N20</f>
        <v>2</v>
      </c>
      <c r="I23" s="539">
        <f>T_23!O20</f>
        <v>0</v>
      </c>
      <c r="J23" s="810">
        <f t="shared" si="0"/>
        <v>581</v>
      </c>
      <c r="K23" s="193"/>
      <c r="L23" s="245">
        <f t="shared" si="1"/>
        <v>41.135972461273667</v>
      </c>
      <c r="M23" s="245">
        <f t="shared" si="2"/>
        <v>44.061962134251296</v>
      </c>
      <c r="N23" s="245">
        <f t="shared" si="3"/>
        <v>13.080895008605854</v>
      </c>
      <c r="O23" s="245">
        <f t="shared" si="4"/>
        <v>0.86058519793459543</v>
      </c>
      <c r="P23" s="245">
        <f t="shared" si="5"/>
        <v>0.51635111876075734</v>
      </c>
      <c r="Q23" s="245">
        <f t="shared" si="6"/>
        <v>0.34423407917383825</v>
      </c>
      <c r="R23" s="252">
        <f t="shared" si="7"/>
        <v>0</v>
      </c>
    </row>
    <row r="24" spans="1:18" ht="13.5" customHeight="1" x14ac:dyDescent="0.2">
      <c r="A24" s="1" t="s">
        <v>601</v>
      </c>
      <c r="B24" s="117" t="s">
        <v>36</v>
      </c>
      <c r="C24" s="168">
        <f>T_23!I21</f>
        <v>406</v>
      </c>
      <c r="D24" s="168">
        <f>T_23!J21</f>
        <v>590</v>
      </c>
      <c r="E24" s="538">
        <f>T_23!K21</f>
        <v>379</v>
      </c>
      <c r="F24" s="538">
        <f>T_23!L21</f>
        <v>26</v>
      </c>
      <c r="G24" s="538">
        <f>T_23!M21</f>
        <v>5</v>
      </c>
      <c r="H24" s="538">
        <f>T_23!N21</f>
        <v>2</v>
      </c>
      <c r="I24" s="168">
        <f>T_23!O21</f>
        <v>1</v>
      </c>
      <c r="J24" s="810">
        <f t="shared" si="0"/>
        <v>1409</v>
      </c>
      <c r="K24" s="193"/>
      <c r="L24" s="245">
        <f t="shared" si="1"/>
        <v>28.81476224272534</v>
      </c>
      <c r="M24" s="245">
        <f t="shared" si="2"/>
        <v>41.873669268985097</v>
      </c>
      <c r="N24" s="245">
        <f t="shared" si="3"/>
        <v>26.898509581263308</v>
      </c>
      <c r="O24" s="245">
        <f t="shared" si="4"/>
        <v>1.8452803406671399</v>
      </c>
      <c r="P24" s="245">
        <f t="shared" si="5"/>
        <v>0.35486160397444994</v>
      </c>
      <c r="Q24" s="245">
        <f t="shared" si="6"/>
        <v>0.14194464158977999</v>
      </c>
      <c r="R24" s="252">
        <f t="shared" si="7"/>
        <v>7.0972320794889993E-2</v>
      </c>
    </row>
    <row r="25" spans="1:18" ht="13.5" customHeight="1" x14ac:dyDescent="0.2">
      <c r="A25" s="1" t="s">
        <v>602</v>
      </c>
      <c r="B25" s="117" t="s">
        <v>37</v>
      </c>
      <c r="C25" s="168">
        <f>T_23!I22</f>
        <v>145</v>
      </c>
      <c r="D25" s="168">
        <f>T_23!J22</f>
        <v>172</v>
      </c>
      <c r="E25" s="538">
        <f>T_23!K22</f>
        <v>49</v>
      </c>
      <c r="F25" s="538">
        <f>T_23!L22</f>
        <v>7</v>
      </c>
      <c r="G25" s="538">
        <f>T_23!M22</f>
        <v>1</v>
      </c>
      <c r="H25" s="538">
        <f>T_23!N22</f>
        <v>2</v>
      </c>
      <c r="I25" s="539">
        <f>T_23!O22</f>
        <v>1</v>
      </c>
      <c r="J25" s="810">
        <f t="shared" si="0"/>
        <v>377</v>
      </c>
      <c r="K25" s="193"/>
      <c r="L25" s="245">
        <f t="shared" si="1"/>
        <v>38.461538461538467</v>
      </c>
      <c r="M25" s="245">
        <f t="shared" si="2"/>
        <v>45.623342175066313</v>
      </c>
      <c r="N25" s="245">
        <f t="shared" si="3"/>
        <v>12.9973474801061</v>
      </c>
      <c r="O25" s="245">
        <f t="shared" si="4"/>
        <v>1.8567639257294428</v>
      </c>
      <c r="P25" s="245">
        <f t="shared" si="5"/>
        <v>0.2652519893899204</v>
      </c>
      <c r="Q25" s="245">
        <f t="shared" si="6"/>
        <v>0.53050397877984079</v>
      </c>
      <c r="R25" s="252">
        <f t="shared" si="7"/>
        <v>0.2652519893899204</v>
      </c>
    </row>
    <row r="26" spans="1:18" ht="13.5" customHeight="1" x14ac:dyDescent="0.2">
      <c r="A26" s="1" t="s">
        <v>603</v>
      </c>
      <c r="B26" s="117" t="s">
        <v>38</v>
      </c>
      <c r="C26" s="168">
        <f>T_23!I23</f>
        <v>49</v>
      </c>
      <c r="D26" s="168">
        <f>T_23!J23</f>
        <v>70</v>
      </c>
      <c r="E26" s="538">
        <f>T_23!K23</f>
        <v>44</v>
      </c>
      <c r="F26" s="538">
        <f>T_23!L23</f>
        <v>2</v>
      </c>
      <c r="G26" s="538">
        <f>T_23!M23</f>
        <v>1</v>
      </c>
      <c r="H26" s="538">
        <f>T_23!N23</f>
        <v>0</v>
      </c>
      <c r="I26" s="168">
        <f>T_23!O23</f>
        <v>0</v>
      </c>
      <c r="J26" s="810">
        <f t="shared" si="0"/>
        <v>166</v>
      </c>
      <c r="K26" s="193"/>
      <c r="L26" s="245">
        <f t="shared" si="1"/>
        <v>29.518072289156628</v>
      </c>
      <c r="M26" s="245">
        <f t="shared" si="2"/>
        <v>42.168674698795186</v>
      </c>
      <c r="N26" s="245">
        <f t="shared" si="3"/>
        <v>26.506024096385545</v>
      </c>
      <c r="O26" s="245">
        <f t="shared" si="4"/>
        <v>1.2048192771084338</v>
      </c>
      <c r="P26" s="245">
        <f t="shared" si="5"/>
        <v>0.60240963855421692</v>
      </c>
      <c r="Q26" s="245">
        <f t="shared" si="6"/>
        <v>0</v>
      </c>
      <c r="R26" s="252">
        <f t="shared" si="7"/>
        <v>0</v>
      </c>
    </row>
    <row r="27" spans="1:18" ht="13.5" customHeight="1" x14ac:dyDescent="0.2">
      <c r="A27" s="1" t="s">
        <v>604</v>
      </c>
      <c r="B27" s="117" t="s">
        <v>39</v>
      </c>
      <c r="C27" s="168">
        <f>T_23!I24</f>
        <v>90</v>
      </c>
      <c r="D27" s="168">
        <f>T_23!J24</f>
        <v>51</v>
      </c>
      <c r="E27" s="538">
        <f>T_23!K24</f>
        <v>12</v>
      </c>
      <c r="F27" s="538">
        <f>T_23!L24</f>
        <v>3</v>
      </c>
      <c r="G27" s="538">
        <f>T_23!M24</f>
        <v>1</v>
      </c>
      <c r="H27" s="538">
        <f>T_23!N24</f>
        <v>0</v>
      </c>
      <c r="I27" s="168">
        <f>T_23!O24</f>
        <v>0</v>
      </c>
      <c r="J27" s="810">
        <f t="shared" si="0"/>
        <v>157</v>
      </c>
      <c r="K27" s="193"/>
      <c r="L27" s="245">
        <f t="shared" si="1"/>
        <v>57.324840764331206</v>
      </c>
      <c r="M27" s="245">
        <f t="shared" si="2"/>
        <v>32.484076433121018</v>
      </c>
      <c r="N27" s="245">
        <f t="shared" si="3"/>
        <v>7.6433121019108281</v>
      </c>
      <c r="O27" s="245">
        <f t="shared" si="4"/>
        <v>1.910828025477707</v>
      </c>
      <c r="P27" s="245">
        <f t="shared" si="5"/>
        <v>0.63694267515923575</v>
      </c>
      <c r="Q27" s="245">
        <f t="shared" si="6"/>
        <v>0</v>
      </c>
      <c r="R27" s="252">
        <f t="shared" si="7"/>
        <v>0</v>
      </c>
    </row>
    <row r="28" spans="1:18" ht="13.5" customHeight="1" x14ac:dyDescent="0.2">
      <c r="A28" s="1" t="s">
        <v>605</v>
      </c>
      <c r="B28" s="117" t="s">
        <v>40</v>
      </c>
      <c r="C28" s="168">
        <f>T_23!I25</f>
        <v>71</v>
      </c>
      <c r="D28" s="168">
        <f>T_23!J25</f>
        <v>52</v>
      </c>
      <c r="E28" s="538">
        <f>T_23!K25</f>
        <v>12</v>
      </c>
      <c r="F28" s="538">
        <f>T_23!L25</f>
        <v>4</v>
      </c>
      <c r="G28" s="538">
        <f>T_23!M25</f>
        <v>3</v>
      </c>
      <c r="H28" s="538">
        <f>T_23!N25</f>
        <v>0</v>
      </c>
      <c r="I28" s="539">
        <f>T_23!O25</f>
        <v>0</v>
      </c>
      <c r="J28" s="810">
        <f t="shared" si="0"/>
        <v>142</v>
      </c>
      <c r="K28" s="193"/>
      <c r="L28" s="245">
        <f t="shared" si="1"/>
        <v>50</v>
      </c>
      <c r="M28" s="245">
        <f t="shared" si="2"/>
        <v>36.619718309859159</v>
      </c>
      <c r="N28" s="245">
        <f t="shared" si="3"/>
        <v>8.4507042253521121</v>
      </c>
      <c r="O28" s="245">
        <f t="shared" si="4"/>
        <v>2.8169014084507045</v>
      </c>
      <c r="P28" s="245">
        <f t="shared" si="5"/>
        <v>2.112676056338028</v>
      </c>
      <c r="Q28" s="245">
        <f t="shared" si="6"/>
        <v>0</v>
      </c>
      <c r="R28" s="252">
        <f t="shared" si="7"/>
        <v>0</v>
      </c>
    </row>
    <row r="29" spans="1:18" ht="13.5" customHeight="1" x14ac:dyDescent="0.2">
      <c r="A29" s="1" t="s">
        <v>606</v>
      </c>
      <c r="B29" s="117" t="s">
        <v>295</v>
      </c>
      <c r="C29" s="168">
        <f>T_23!I26</f>
        <v>18</v>
      </c>
      <c r="D29" s="168">
        <f>T_23!J26</f>
        <v>14</v>
      </c>
      <c r="E29" s="538">
        <f>T_23!K26</f>
        <v>8</v>
      </c>
      <c r="F29" s="538">
        <f>T_23!L26</f>
        <v>1</v>
      </c>
      <c r="G29" s="538">
        <f>T_23!M26</f>
        <v>0</v>
      </c>
      <c r="H29" s="538">
        <f>T_23!N26</f>
        <v>0</v>
      </c>
      <c r="I29" s="539">
        <f>T_23!O26</f>
        <v>0</v>
      </c>
      <c r="J29" s="810">
        <f t="shared" si="0"/>
        <v>41</v>
      </c>
      <c r="K29" s="193"/>
      <c r="L29" s="245">
        <f t="shared" si="1"/>
        <v>43.902439024390247</v>
      </c>
      <c r="M29" s="245">
        <f t="shared" si="2"/>
        <v>34.146341463414636</v>
      </c>
      <c r="N29" s="245">
        <f t="shared" si="3"/>
        <v>19.512195121951219</v>
      </c>
      <c r="O29" s="245">
        <f t="shared" si="4"/>
        <v>2.4390243902439024</v>
      </c>
      <c r="P29" s="245">
        <f t="shared" si="5"/>
        <v>0</v>
      </c>
      <c r="Q29" s="245">
        <f t="shared" si="6"/>
        <v>0</v>
      </c>
      <c r="R29" s="252">
        <f t="shared" si="7"/>
        <v>0</v>
      </c>
    </row>
    <row r="30" spans="1:18" ht="13.5" customHeight="1" x14ac:dyDescent="0.2">
      <c r="A30" s="1" t="s">
        <v>607</v>
      </c>
      <c r="B30" s="117" t="s">
        <v>41</v>
      </c>
      <c r="C30" s="168">
        <f>T_23!I27</f>
        <v>87</v>
      </c>
      <c r="D30" s="168">
        <f>T_23!J27</f>
        <v>110</v>
      </c>
      <c r="E30" s="538">
        <f>T_23!K27</f>
        <v>39</v>
      </c>
      <c r="F30" s="538">
        <f>T_23!L27</f>
        <v>3</v>
      </c>
      <c r="G30" s="538">
        <f>T_23!M27</f>
        <v>0</v>
      </c>
      <c r="H30" s="538">
        <f>T_23!N27</f>
        <v>0</v>
      </c>
      <c r="I30" s="168">
        <f>T_23!O27</f>
        <v>0</v>
      </c>
      <c r="J30" s="810">
        <f t="shared" si="0"/>
        <v>239</v>
      </c>
      <c r="K30" s="193"/>
      <c r="L30" s="245">
        <f t="shared" si="1"/>
        <v>36.401673640167367</v>
      </c>
      <c r="M30" s="245">
        <f t="shared" si="2"/>
        <v>46.02510460251046</v>
      </c>
      <c r="N30" s="245">
        <f t="shared" si="3"/>
        <v>16.317991631799163</v>
      </c>
      <c r="O30" s="245">
        <f t="shared" si="4"/>
        <v>1.2552301255230125</v>
      </c>
      <c r="P30" s="245">
        <f t="shared" si="5"/>
        <v>0</v>
      </c>
      <c r="Q30" s="245">
        <f t="shared" si="6"/>
        <v>0</v>
      </c>
      <c r="R30" s="252">
        <f t="shared" si="7"/>
        <v>0</v>
      </c>
    </row>
    <row r="31" spans="1:18" ht="13.5" customHeight="1" x14ac:dyDescent="0.2">
      <c r="A31" s="1" t="s">
        <v>608</v>
      </c>
      <c r="B31" s="117" t="s">
        <v>42</v>
      </c>
      <c r="C31" s="168">
        <f>T_23!I28</f>
        <v>278</v>
      </c>
      <c r="D31" s="168">
        <f>T_23!J28</f>
        <v>292</v>
      </c>
      <c r="E31" s="538">
        <f>T_23!K28</f>
        <v>93</v>
      </c>
      <c r="F31" s="538">
        <f>T_23!L28</f>
        <v>13</v>
      </c>
      <c r="G31" s="538">
        <f>T_23!M28</f>
        <v>3</v>
      </c>
      <c r="H31" s="538">
        <f>T_23!N28</f>
        <v>3</v>
      </c>
      <c r="I31" s="168">
        <f>T_23!O28</f>
        <v>0</v>
      </c>
      <c r="J31" s="810">
        <f t="shared" si="0"/>
        <v>682</v>
      </c>
      <c r="K31" s="193"/>
      <c r="L31" s="245">
        <f t="shared" si="1"/>
        <v>40.762463343108507</v>
      </c>
      <c r="M31" s="245">
        <f t="shared" si="2"/>
        <v>42.815249266862168</v>
      </c>
      <c r="N31" s="245">
        <f t="shared" si="3"/>
        <v>13.636363636363635</v>
      </c>
      <c r="O31" s="245">
        <f t="shared" si="4"/>
        <v>1.9061583577712611</v>
      </c>
      <c r="P31" s="245">
        <f t="shared" si="5"/>
        <v>0.43988269794721413</v>
      </c>
      <c r="Q31" s="245">
        <f t="shared" si="6"/>
        <v>0.43988269794721413</v>
      </c>
      <c r="R31" s="252">
        <f t="shared" si="7"/>
        <v>0</v>
      </c>
    </row>
    <row r="32" spans="1:18" ht="13.5" customHeight="1" x14ac:dyDescent="0.2">
      <c r="A32" s="1" t="s">
        <v>609</v>
      </c>
      <c r="B32" s="117" t="s">
        <v>43</v>
      </c>
      <c r="C32" s="168">
        <f>T_23!I29</f>
        <v>11</v>
      </c>
      <c r="D32" s="168">
        <f>T_23!J29</f>
        <v>4</v>
      </c>
      <c r="E32" s="538">
        <f>T_23!K29</f>
        <v>2</v>
      </c>
      <c r="F32" s="538">
        <f>T_23!L29</f>
        <v>0</v>
      </c>
      <c r="G32" s="538">
        <f>T_23!M29</f>
        <v>0</v>
      </c>
      <c r="H32" s="538">
        <f>T_23!N29</f>
        <v>0</v>
      </c>
      <c r="I32" s="539">
        <f>T_23!O29</f>
        <v>0</v>
      </c>
      <c r="J32" s="810">
        <f t="shared" si="0"/>
        <v>17</v>
      </c>
      <c r="K32" s="193"/>
      <c r="L32" s="245">
        <f t="shared" si="1"/>
        <v>64.705882352941174</v>
      </c>
      <c r="M32" s="245">
        <f t="shared" si="2"/>
        <v>23.52941176470588</v>
      </c>
      <c r="N32" s="245">
        <f t="shared" si="3"/>
        <v>11.76470588235294</v>
      </c>
      <c r="O32" s="245">
        <f t="shared" si="4"/>
        <v>0</v>
      </c>
      <c r="P32" s="245">
        <f t="shared" si="5"/>
        <v>0</v>
      </c>
      <c r="Q32" s="245">
        <f t="shared" si="6"/>
        <v>0</v>
      </c>
      <c r="R32" s="252">
        <f t="shared" si="7"/>
        <v>0</v>
      </c>
    </row>
    <row r="33" spans="1:18" ht="13.5" customHeight="1" x14ac:dyDescent="0.2">
      <c r="A33" s="1" t="s">
        <v>610</v>
      </c>
      <c r="B33" s="117" t="s">
        <v>44</v>
      </c>
      <c r="C33" s="168">
        <f>T_23!I30</f>
        <v>63</v>
      </c>
      <c r="D33" s="168">
        <f>T_23!J30</f>
        <v>114</v>
      </c>
      <c r="E33" s="538">
        <f>T_23!K30</f>
        <v>44</v>
      </c>
      <c r="F33" s="538">
        <f>T_23!L30</f>
        <v>6</v>
      </c>
      <c r="G33" s="538">
        <f>T_23!M30</f>
        <v>0</v>
      </c>
      <c r="H33" s="538">
        <f>T_23!N30</f>
        <v>0</v>
      </c>
      <c r="I33" s="539">
        <f>T_23!O30</f>
        <v>0</v>
      </c>
      <c r="J33" s="810">
        <f t="shared" si="0"/>
        <v>227</v>
      </c>
      <c r="K33" s="193"/>
      <c r="L33" s="245">
        <f t="shared" si="1"/>
        <v>27.753303964757709</v>
      </c>
      <c r="M33" s="245">
        <f t="shared" si="2"/>
        <v>50.220264317180622</v>
      </c>
      <c r="N33" s="245">
        <f t="shared" si="3"/>
        <v>19.383259911894275</v>
      </c>
      <c r="O33" s="245">
        <f t="shared" si="4"/>
        <v>2.643171806167401</v>
      </c>
      <c r="P33" s="245">
        <f t="shared" si="5"/>
        <v>0</v>
      </c>
      <c r="Q33" s="245">
        <f t="shared" si="6"/>
        <v>0</v>
      </c>
      <c r="R33" s="252">
        <f t="shared" si="7"/>
        <v>0</v>
      </c>
    </row>
    <row r="34" spans="1:18" ht="13.5" customHeight="1" x14ac:dyDescent="0.2">
      <c r="A34" s="1" t="s">
        <v>611</v>
      </c>
      <c r="B34" s="117" t="s">
        <v>45</v>
      </c>
      <c r="C34" s="168">
        <f>T_23!I31</f>
        <v>113</v>
      </c>
      <c r="D34" s="168">
        <f>T_23!J31</f>
        <v>141</v>
      </c>
      <c r="E34" s="538">
        <f>T_23!K31</f>
        <v>70</v>
      </c>
      <c r="F34" s="538">
        <f>T_23!L31</f>
        <v>5</v>
      </c>
      <c r="G34" s="538">
        <f>T_23!M31</f>
        <v>1</v>
      </c>
      <c r="H34" s="538">
        <f>T_23!N31</f>
        <v>0</v>
      </c>
      <c r="I34" s="168">
        <f>T_23!O31</f>
        <v>0</v>
      </c>
      <c r="J34" s="810">
        <f t="shared" si="0"/>
        <v>330</v>
      </c>
      <c r="K34" s="193"/>
      <c r="L34" s="245">
        <f t="shared" si="1"/>
        <v>34.242424242424242</v>
      </c>
      <c r="M34" s="245">
        <f t="shared" si="2"/>
        <v>42.727272727272727</v>
      </c>
      <c r="N34" s="245">
        <f t="shared" si="3"/>
        <v>21.212121212121211</v>
      </c>
      <c r="O34" s="245">
        <f t="shared" si="4"/>
        <v>1.5151515151515151</v>
      </c>
      <c r="P34" s="245">
        <f t="shared" si="5"/>
        <v>0.30303030303030304</v>
      </c>
      <c r="Q34" s="245">
        <f t="shared" si="6"/>
        <v>0</v>
      </c>
      <c r="R34" s="252">
        <f t="shared" si="7"/>
        <v>0</v>
      </c>
    </row>
    <row r="35" spans="1:18" ht="13.5" customHeight="1" x14ac:dyDescent="0.2">
      <c r="A35" s="1" t="s">
        <v>612</v>
      </c>
      <c r="B35" s="117" t="s">
        <v>46</v>
      </c>
      <c r="C35" s="168">
        <f>T_23!I32</f>
        <v>77</v>
      </c>
      <c r="D35" s="168">
        <f>T_23!J32</f>
        <v>81</v>
      </c>
      <c r="E35" s="538">
        <f>T_23!K32</f>
        <v>21</v>
      </c>
      <c r="F35" s="538">
        <f>T_23!L32</f>
        <v>4</v>
      </c>
      <c r="G35" s="538">
        <f>T_23!M32</f>
        <v>0</v>
      </c>
      <c r="H35" s="538">
        <f>T_23!N32</f>
        <v>1</v>
      </c>
      <c r="I35" s="168">
        <f>T_23!O32</f>
        <v>0</v>
      </c>
      <c r="J35" s="810">
        <f t="shared" si="0"/>
        <v>184</v>
      </c>
      <c r="K35" s="193"/>
      <c r="L35" s="245">
        <f t="shared" si="1"/>
        <v>41.847826086956523</v>
      </c>
      <c r="M35" s="245">
        <f t="shared" si="2"/>
        <v>44.021739130434781</v>
      </c>
      <c r="N35" s="245">
        <f t="shared" si="3"/>
        <v>11.413043478260869</v>
      </c>
      <c r="O35" s="245">
        <f t="shared" si="4"/>
        <v>2.1739130434782608</v>
      </c>
      <c r="P35" s="245">
        <f t="shared" si="5"/>
        <v>0</v>
      </c>
      <c r="Q35" s="245">
        <f t="shared" si="6"/>
        <v>0.54347826086956519</v>
      </c>
      <c r="R35" s="252">
        <f t="shared" si="7"/>
        <v>0</v>
      </c>
    </row>
    <row r="36" spans="1:18" ht="13.5" customHeight="1" x14ac:dyDescent="0.2">
      <c r="A36" s="1" t="s">
        <v>613</v>
      </c>
      <c r="B36" s="117" t="s">
        <v>47</v>
      </c>
      <c r="C36" s="168">
        <f>T_23!I33</f>
        <v>19</v>
      </c>
      <c r="D36" s="168">
        <f>T_23!J33</f>
        <v>25</v>
      </c>
      <c r="E36" s="538">
        <f>T_23!K33</f>
        <v>8</v>
      </c>
      <c r="F36" s="538">
        <f>T_23!L33</f>
        <v>0</v>
      </c>
      <c r="G36" s="538">
        <f>T_23!M33</f>
        <v>0</v>
      </c>
      <c r="H36" s="538">
        <f>T_23!N33</f>
        <v>1</v>
      </c>
      <c r="I36" s="539">
        <f>T_23!O33</f>
        <v>0</v>
      </c>
      <c r="J36" s="810">
        <f t="shared" si="0"/>
        <v>53</v>
      </c>
      <c r="K36" s="193"/>
      <c r="L36" s="245">
        <f t="shared" si="1"/>
        <v>35.849056603773583</v>
      </c>
      <c r="M36" s="245">
        <f t="shared" si="2"/>
        <v>47.169811320754718</v>
      </c>
      <c r="N36" s="245">
        <f t="shared" si="3"/>
        <v>15.09433962264151</v>
      </c>
      <c r="O36" s="245">
        <f t="shared" si="4"/>
        <v>0</v>
      </c>
      <c r="P36" s="245">
        <f t="shared" si="5"/>
        <v>0</v>
      </c>
      <c r="Q36" s="245">
        <f t="shared" si="6"/>
        <v>1.8867924528301887</v>
      </c>
      <c r="R36" s="252">
        <f t="shared" si="7"/>
        <v>0</v>
      </c>
    </row>
    <row r="37" spans="1:18" ht="13.5" customHeight="1" x14ac:dyDescent="0.2">
      <c r="A37" s="1" t="s">
        <v>614</v>
      </c>
      <c r="B37" s="117" t="s">
        <v>48</v>
      </c>
      <c r="C37" s="168">
        <f>T_23!I34</f>
        <v>47</v>
      </c>
      <c r="D37" s="168">
        <f>T_23!J34</f>
        <v>86</v>
      </c>
      <c r="E37" s="538">
        <f>T_23!K34</f>
        <v>24</v>
      </c>
      <c r="F37" s="538">
        <f>T_23!L34</f>
        <v>1</v>
      </c>
      <c r="G37" s="538">
        <f>T_23!M34</f>
        <v>1</v>
      </c>
      <c r="H37" s="538">
        <f>T_23!N34</f>
        <v>0</v>
      </c>
      <c r="I37" s="539">
        <f>T_23!O34</f>
        <v>0</v>
      </c>
      <c r="J37" s="810">
        <f t="shared" si="0"/>
        <v>159</v>
      </c>
      <c r="K37" s="193"/>
      <c r="L37" s="245">
        <f t="shared" si="1"/>
        <v>29.559748427672954</v>
      </c>
      <c r="M37" s="245">
        <f t="shared" si="2"/>
        <v>54.088050314465406</v>
      </c>
      <c r="N37" s="245">
        <f t="shared" si="3"/>
        <v>15.09433962264151</v>
      </c>
      <c r="O37" s="245">
        <f t="shared" si="4"/>
        <v>0.62893081761006298</v>
      </c>
      <c r="P37" s="245">
        <f t="shared" si="5"/>
        <v>0.62893081761006298</v>
      </c>
      <c r="Q37" s="245">
        <f t="shared" si="6"/>
        <v>0</v>
      </c>
      <c r="R37" s="252">
        <f t="shared" si="7"/>
        <v>0</v>
      </c>
    </row>
    <row r="38" spans="1:18" ht="13.5" customHeight="1" x14ac:dyDescent="0.2">
      <c r="A38" s="1" t="s">
        <v>615</v>
      </c>
      <c r="B38" s="117" t="s">
        <v>49</v>
      </c>
      <c r="C38" s="168">
        <f>T_23!I35</f>
        <v>202</v>
      </c>
      <c r="D38" s="168">
        <f>T_23!J35</f>
        <v>248</v>
      </c>
      <c r="E38" s="538">
        <f>T_23!K35</f>
        <v>54</v>
      </c>
      <c r="F38" s="538">
        <f>T_23!L35</f>
        <v>8</v>
      </c>
      <c r="G38" s="538">
        <f>T_23!M35</f>
        <v>2</v>
      </c>
      <c r="H38" s="538">
        <f>T_23!N35</f>
        <v>1</v>
      </c>
      <c r="I38" s="539">
        <f>T_23!O35</f>
        <v>0</v>
      </c>
      <c r="J38" s="810">
        <f t="shared" si="0"/>
        <v>515</v>
      </c>
      <c r="K38" s="193"/>
      <c r="L38" s="245">
        <f t="shared" si="1"/>
        <v>39.223300970873787</v>
      </c>
      <c r="M38" s="245">
        <f t="shared" si="2"/>
        <v>48.155339805825243</v>
      </c>
      <c r="N38" s="245">
        <f t="shared" si="3"/>
        <v>10.485436893203884</v>
      </c>
      <c r="O38" s="245">
        <f t="shared" si="4"/>
        <v>1.5533980582524272</v>
      </c>
      <c r="P38" s="245">
        <f t="shared" si="5"/>
        <v>0.38834951456310679</v>
      </c>
      <c r="Q38" s="245">
        <f t="shared" si="6"/>
        <v>0.1941747572815534</v>
      </c>
      <c r="R38" s="252">
        <f t="shared" si="7"/>
        <v>0</v>
      </c>
    </row>
    <row r="39" spans="1:18" ht="13.5" customHeight="1" x14ac:dyDescent="0.2">
      <c r="A39" s="1" t="s">
        <v>616</v>
      </c>
      <c r="B39" s="117" t="s">
        <v>50</v>
      </c>
      <c r="C39" s="168">
        <f>T_23!I36</f>
        <v>50</v>
      </c>
      <c r="D39" s="168">
        <f>T_23!J36</f>
        <v>76</v>
      </c>
      <c r="E39" s="538">
        <f>T_23!K36</f>
        <v>34</v>
      </c>
      <c r="F39" s="538">
        <f>T_23!L36</f>
        <v>2</v>
      </c>
      <c r="G39" s="538">
        <f>T_23!M36</f>
        <v>0</v>
      </c>
      <c r="H39" s="538">
        <f>T_23!N36</f>
        <v>0</v>
      </c>
      <c r="I39" s="168">
        <f>T_23!O36</f>
        <v>0</v>
      </c>
      <c r="J39" s="810">
        <f t="shared" si="0"/>
        <v>162</v>
      </c>
      <c r="K39" s="193"/>
      <c r="L39" s="245">
        <f t="shared" si="1"/>
        <v>30.864197530864196</v>
      </c>
      <c r="M39" s="245">
        <f t="shared" si="2"/>
        <v>46.913580246913575</v>
      </c>
      <c r="N39" s="245">
        <f t="shared" si="3"/>
        <v>20.987654320987652</v>
      </c>
      <c r="O39" s="245">
        <f t="shared" si="4"/>
        <v>1.2345679012345678</v>
      </c>
      <c r="P39" s="245">
        <f t="shared" si="5"/>
        <v>0</v>
      </c>
      <c r="Q39" s="245">
        <f t="shared" si="6"/>
        <v>0</v>
      </c>
      <c r="R39" s="252">
        <f t="shared" si="7"/>
        <v>0</v>
      </c>
    </row>
    <row r="40" spans="1:18" ht="13.5" customHeight="1" x14ac:dyDescent="0.2">
      <c r="A40" s="1" t="s">
        <v>617</v>
      </c>
      <c r="B40" s="117" t="s">
        <v>51</v>
      </c>
      <c r="C40" s="168">
        <f>T_23!I37</f>
        <v>78</v>
      </c>
      <c r="D40" s="168">
        <f>T_23!J37</f>
        <v>79</v>
      </c>
      <c r="E40" s="538">
        <f>T_23!K37</f>
        <v>34</v>
      </c>
      <c r="F40" s="538">
        <f>T_23!L37</f>
        <v>6</v>
      </c>
      <c r="G40" s="538">
        <f>T_23!M37</f>
        <v>0</v>
      </c>
      <c r="H40" s="538">
        <f>T_23!N37</f>
        <v>2</v>
      </c>
      <c r="I40" s="539">
        <f>T_23!O37</f>
        <v>1</v>
      </c>
      <c r="J40" s="810">
        <f t="shared" si="0"/>
        <v>200</v>
      </c>
      <c r="K40" s="193"/>
      <c r="L40" s="245">
        <f t="shared" si="1"/>
        <v>39</v>
      </c>
      <c r="M40" s="245">
        <f t="shared" si="2"/>
        <v>39.5</v>
      </c>
      <c r="N40" s="245">
        <f t="shared" si="3"/>
        <v>17</v>
      </c>
      <c r="O40" s="245">
        <f t="shared" si="4"/>
        <v>3</v>
      </c>
      <c r="P40" s="245">
        <f t="shared" si="5"/>
        <v>0</v>
      </c>
      <c r="Q40" s="245">
        <f t="shared" si="6"/>
        <v>1</v>
      </c>
      <c r="R40" s="252">
        <f t="shared" si="7"/>
        <v>0.5</v>
      </c>
    </row>
    <row r="41" spans="1:18" ht="13.5" customHeight="1" x14ac:dyDescent="0.2">
      <c r="A41" s="1" t="s">
        <v>618</v>
      </c>
      <c r="B41" s="117" t="s">
        <v>52</v>
      </c>
      <c r="C41" s="168">
        <f>T_23!I38</f>
        <v>133</v>
      </c>
      <c r="D41" s="168">
        <f>T_23!J38</f>
        <v>112</v>
      </c>
      <c r="E41" s="538">
        <f>T_23!K38</f>
        <v>40</v>
      </c>
      <c r="F41" s="538">
        <f>T_23!L38</f>
        <v>4</v>
      </c>
      <c r="G41" s="538">
        <f>T_23!M38</f>
        <v>1</v>
      </c>
      <c r="H41" s="538">
        <f>T_23!N38</f>
        <v>2</v>
      </c>
      <c r="I41" s="168">
        <f>T_23!O38</f>
        <v>0</v>
      </c>
      <c r="J41" s="810">
        <f t="shared" si="0"/>
        <v>292</v>
      </c>
      <c r="K41" s="193"/>
      <c r="L41" s="245">
        <f t="shared" si="1"/>
        <v>45.547945205479451</v>
      </c>
      <c r="M41" s="245">
        <f t="shared" si="2"/>
        <v>38.356164383561641</v>
      </c>
      <c r="N41" s="245">
        <f t="shared" si="3"/>
        <v>13.698630136986301</v>
      </c>
      <c r="O41" s="245">
        <f t="shared" si="4"/>
        <v>1.3698630136986301</v>
      </c>
      <c r="P41" s="245">
        <f t="shared" si="5"/>
        <v>0.34246575342465752</v>
      </c>
      <c r="Q41" s="245">
        <f t="shared" si="6"/>
        <v>0.68493150684931503</v>
      </c>
      <c r="R41" s="252">
        <f t="shared" si="7"/>
        <v>0</v>
      </c>
    </row>
    <row r="42" spans="1:18" ht="13.5" customHeight="1" x14ac:dyDescent="0.2">
      <c r="A42" s="1"/>
      <c r="B42" s="117" t="str">
        <f>IF(T_09b!$A$37 = "Z_Not Known", "Not Known","")</f>
        <v/>
      </c>
      <c r="C42" s="538"/>
      <c r="D42" s="538"/>
      <c r="E42" s="538"/>
      <c r="F42" s="538"/>
      <c r="G42" s="538"/>
      <c r="H42" s="538"/>
      <c r="I42" s="538"/>
      <c r="J42" s="810"/>
      <c r="L42" s="245"/>
      <c r="M42" s="245"/>
      <c r="N42" s="245"/>
      <c r="O42" s="245"/>
      <c r="P42" s="245"/>
      <c r="Q42" s="245"/>
      <c r="R42" s="252"/>
    </row>
    <row r="43" spans="1:18" ht="30" customHeight="1" thickBot="1" x14ac:dyDescent="0.25">
      <c r="A43" s="359" t="s">
        <v>620</v>
      </c>
      <c r="B43" s="360" t="s">
        <v>143</v>
      </c>
      <c r="C43" s="471">
        <f>SUM(C10:C41)</f>
        <v>3336</v>
      </c>
      <c r="D43" s="471">
        <f t="shared" ref="D43:I43" si="8">SUM(D10:D41)</f>
        <v>4098</v>
      </c>
      <c r="E43" s="471">
        <f>SUM(E10:E41)</f>
        <v>1719</v>
      </c>
      <c r="F43" s="471">
        <f t="shared" si="8"/>
        <v>144</v>
      </c>
      <c r="G43" s="471">
        <f t="shared" si="8"/>
        <v>32</v>
      </c>
      <c r="H43" s="471">
        <f>SUM(H10:H41)</f>
        <v>26</v>
      </c>
      <c r="I43" s="471">
        <f t="shared" si="8"/>
        <v>12</v>
      </c>
      <c r="J43" s="471">
        <f>SUM(J10:J41)</f>
        <v>9367</v>
      </c>
      <c r="K43" s="784"/>
      <c r="L43" s="812">
        <f>C43/J43*100</f>
        <v>35.614390946941384</v>
      </c>
      <c r="M43" s="812">
        <f>D43/J43*100</f>
        <v>43.749332763958577</v>
      </c>
      <c r="N43" s="812">
        <f>E43/J43*100</f>
        <v>18.351660083271057</v>
      </c>
      <c r="O43" s="812">
        <f>F43/J43*100</f>
        <v>1.537311839436319</v>
      </c>
      <c r="P43" s="812">
        <f>G43/J43*100</f>
        <v>0.34162485320807084</v>
      </c>
      <c r="Q43" s="812">
        <f>H43/J43*100</f>
        <v>0.27757019323155763</v>
      </c>
      <c r="R43" s="812">
        <f>I43/J43*100</f>
        <v>0.12810931995302657</v>
      </c>
    </row>
    <row r="44" spans="1:18" x14ac:dyDescent="0.2">
      <c r="B44" s="2"/>
      <c r="C44" s="13"/>
      <c r="D44" s="13"/>
      <c r="E44" s="13"/>
      <c r="F44" s="13"/>
      <c r="G44" s="13"/>
      <c r="H44" s="13"/>
      <c r="I44" s="13"/>
      <c r="J44" s="13"/>
      <c r="K44" s="1"/>
      <c r="L44" s="160"/>
      <c r="M44" s="160"/>
      <c r="N44" s="160"/>
      <c r="O44" s="160"/>
      <c r="P44" s="160"/>
      <c r="Q44" s="160"/>
      <c r="R44" s="1"/>
    </row>
    <row r="45" spans="1:18" ht="52.5" customHeight="1" x14ac:dyDescent="0.25">
      <c r="B45" s="2"/>
      <c r="C45" s="4"/>
      <c r="D45" s="4"/>
      <c r="E45" s="4"/>
      <c r="H45" s="83" t="s">
        <v>0</v>
      </c>
      <c r="I45" s="4"/>
      <c r="J45" s="13"/>
      <c r="K45" s="1"/>
      <c r="L45" s="89"/>
      <c r="M45" s="89"/>
      <c r="O45" s="160"/>
      <c r="P45" s="60" t="s">
        <v>62</v>
      </c>
      <c r="Q45" s="160"/>
      <c r="R45" s="1"/>
    </row>
    <row r="46" spans="1:18" x14ac:dyDescent="0.2">
      <c r="B46" s="1"/>
      <c r="C46" s="1326" t="s">
        <v>113</v>
      </c>
      <c r="D46" s="1326"/>
      <c r="E46" s="1326"/>
      <c r="F46" s="1326"/>
      <c r="G46" s="1326"/>
      <c r="H46" s="1326"/>
      <c r="I46" s="1"/>
      <c r="J46" s="1"/>
      <c r="K46" s="1"/>
      <c r="L46" s="1326" t="s">
        <v>113</v>
      </c>
      <c r="M46" s="1326"/>
      <c r="N46" s="1326"/>
      <c r="O46" s="1326"/>
      <c r="P46" s="1326"/>
      <c r="Q46" s="160"/>
      <c r="R46" s="1"/>
    </row>
    <row r="47" spans="1:18" ht="26.25" customHeight="1" x14ac:dyDescent="0.2">
      <c r="A47" s="2" t="s">
        <v>586</v>
      </c>
      <c r="B47" s="2" t="s">
        <v>22</v>
      </c>
      <c r="C47" s="77" t="s">
        <v>219</v>
      </c>
      <c r="D47" s="77" t="s">
        <v>220</v>
      </c>
      <c r="E47" s="77" t="s">
        <v>221</v>
      </c>
      <c r="F47" s="77" t="s">
        <v>222</v>
      </c>
      <c r="G47" s="799" t="s">
        <v>168</v>
      </c>
      <c r="H47" s="77" t="s">
        <v>11</v>
      </c>
      <c r="I47" s="77"/>
      <c r="J47" s="77"/>
      <c r="K47" s="77"/>
      <c r="L47" s="77" t="s">
        <v>219</v>
      </c>
      <c r="M47" s="77" t="s">
        <v>220</v>
      </c>
      <c r="N47" s="77" t="s">
        <v>221</v>
      </c>
      <c r="O47" s="804" t="s">
        <v>222</v>
      </c>
      <c r="P47" s="811" t="s">
        <v>168</v>
      </c>
      <c r="Q47" s="160"/>
      <c r="R47" s="1"/>
    </row>
    <row r="48" spans="1:18" ht="18.75" customHeight="1" x14ac:dyDescent="0.2">
      <c r="A48" s="414" t="s">
        <v>587</v>
      </c>
      <c r="B48" s="400" t="s">
        <v>23</v>
      </c>
      <c r="C48" s="531">
        <f>T_23!B7</f>
        <v>307</v>
      </c>
      <c r="D48" s="531">
        <f>T_23!C7</f>
        <v>16</v>
      </c>
      <c r="E48" s="532">
        <f>T_23!D7</f>
        <v>5</v>
      </c>
      <c r="F48" s="532">
        <f>T_23!E7</f>
        <v>0</v>
      </c>
      <c r="G48" s="532">
        <f>T_23!F7+T_23!G7+T_23!H7</f>
        <v>0</v>
      </c>
      <c r="H48" s="759">
        <f>SUM(C48:G48)</f>
        <v>328</v>
      </c>
      <c r="I48" s="311"/>
      <c r="J48" s="311"/>
      <c r="K48" s="311"/>
      <c r="L48" s="461">
        <f>C48/H48*100</f>
        <v>93.597560975609767</v>
      </c>
      <c r="M48" s="461">
        <f>D48/H48*100</f>
        <v>4.8780487804878048</v>
      </c>
      <c r="N48" s="461">
        <f>E48/H48*100</f>
        <v>1.524390243902439</v>
      </c>
      <c r="O48" s="533">
        <f>F48/H48*100</f>
        <v>0</v>
      </c>
      <c r="P48" s="251">
        <f>G48/H48*100</f>
        <v>0</v>
      </c>
    </row>
    <row r="49" spans="1:16" ht="13.5" customHeight="1" x14ac:dyDescent="0.2">
      <c r="A49" s="1" t="s">
        <v>588</v>
      </c>
      <c r="B49" s="117" t="s">
        <v>24</v>
      </c>
      <c r="C49" s="168">
        <f>T_23!B8</f>
        <v>241</v>
      </c>
      <c r="D49" s="168">
        <f>T_23!C8</f>
        <v>31</v>
      </c>
      <c r="E49" s="164">
        <f>T_23!D8</f>
        <v>18</v>
      </c>
      <c r="F49" s="164">
        <f>T_23!E8</f>
        <v>0</v>
      </c>
      <c r="G49" s="164">
        <f>T_23!F8+T_23!G8+T_23!H8</f>
        <v>1</v>
      </c>
      <c r="H49" s="455">
        <f t="shared" ref="H49:H79" si="9">SUM(C49:G49)</f>
        <v>291</v>
      </c>
      <c r="I49" s="311"/>
      <c r="J49" s="311"/>
      <c r="K49" s="311"/>
      <c r="L49" s="245">
        <f t="shared" ref="L49:L81" si="10">C49/H49*100</f>
        <v>82.817869415807564</v>
      </c>
      <c r="M49" s="245">
        <f t="shared" ref="M49:M81" si="11">D49/H49*100</f>
        <v>10.652920962199312</v>
      </c>
      <c r="N49" s="245">
        <f t="shared" ref="N49:N81" si="12">E49/H49*100</f>
        <v>6.1855670103092786</v>
      </c>
      <c r="O49" s="534">
        <f t="shared" ref="O49:O81" si="13">F49/H49*100</f>
        <v>0</v>
      </c>
      <c r="P49" s="252">
        <f t="shared" ref="P49:P81" si="14">G49/H49*100</f>
        <v>0.3436426116838488</v>
      </c>
    </row>
    <row r="50" spans="1:16" ht="13.5" customHeight="1" x14ac:dyDescent="0.2">
      <c r="A50" s="1" t="s">
        <v>589</v>
      </c>
      <c r="B50" s="117" t="s">
        <v>25</v>
      </c>
      <c r="C50" s="168">
        <f>T_23!B9</f>
        <v>175</v>
      </c>
      <c r="D50" s="168">
        <f>T_23!C9</f>
        <v>19</v>
      </c>
      <c r="E50" s="164">
        <f>T_23!D9</f>
        <v>8</v>
      </c>
      <c r="F50" s="164">
        <f>T_23!E9</f>
        <v>0</v>
      </c>
      <c r="G50" s="164">
        <f>T_23!F9+T_23!G9+T_23!H9</f>
        <v>0</v>
      </c>
      <c r="H50" s="455">
        <f t="shared" si="9"/>
        <v>202</v>
      </c>
      <c r="I50" s="311"/>
      <c r="J50" s="311"/>
      <c r="K50" s="311"/>
      <c r="L50" s="245">
        <f t="shared" si="10"/>
        <v>86.633663366336634</v>
      </c>
      <c r="M50" s="245">
        <f t="shared" si="11"/>
        <v>9.4059405940594054</v>
      </c>
      <c r="N50" s="245">
        <f t="shared" si="12"/>
        <v>3.9603960396039604</v>
      </c>
      <c r="O50" s="534">
        <f t="shared" si="13"/>
        <v>0</v>
      </c>
      <c r="P50" s="252">
        <f t="shared" si="14"/>
        <v>0</v>
      </c>
    </row>
    <row r="51" spans="1:16" ht="13.5" customHeight="1" x14ac:dyDescent="0.2">
      <c r="A51" s="1" t="s">
        <v>590</v>
      </c>
      <c r="B51" s="117" t="s">
        <v>26</v>
      </c>
      <c r="C51" s="168">
        <f>T_23!B10</f>
        <v>109</v>
      </c>
      <c r="D51" s="168">
        <f>T_23!C10</f>
        <v>19</v>
      </c>
      <c r="E51" s="164">
        <f>T_23!D10</f>
        <v>4</v>
      </c>
      <c r="F51" s="164">
        <f>T_23!E10</f>
        <v>1</v>
      </c>
      <c r="G51" s="164">
        <f>T_23!F10+T_23!G10+T_23!H10</f>
        <v>0</v>
      </c>
      <c r="H51" s="455">
        <f t="shared" si="9"/>
        <v>133</v>
      </c>
      <c r="I51" s="311"/>
      <c r="J51" s="311"/>
      <c r="K51" s="311"/>
      <c r="L51" s="245">
        <f t="shared" si="10"/>
        <v>81.954887218045116</v>
      </c>
      <c r="M51" s="245">
        <f t="shared" si="11"/>
        <v>14.285714285714285</v>
      </c>
      <c r="N51" s="245">
        <f t="shared" si="12"/>
        <v>3.007518796992481</v>
      </c>
      <c r="O51" s="534">
        <f t="shared" si="13"/>
        <v>0.75187969924812026</v>
      </c>
      <c r="P51" s="252">
        <f t="shared" si="14"/>
        <v>0</v>
      </c>
    </row>
    <row r="52" spans="1:16" ht="13.5" customHeight="1" x14ac:dyDescent="0.2">
      <c r="A52" s="1" t="s">
        <v>591</v>
      </c>
      <c r="B52" s="117" t="s">
        <v>619</v>
      </c>
      <c r="C52" s="168">
        <f>T_23!B11</f>
        <v>1382</v>
      </c>
      <c r="D52" s="168">
        <f>T_23!C11</f>
        <v>67</v>
      </c>
      <c r="E52" s="164">
        <f>T_23!D11</f>
        <v>16</v>
      </c>
      <c r="F52" s="164">
        <f>T_23!E11</f>
        <v>0</v>
      </c>
      <c r="G52" s="164">
        <f>T_23!F11+T_23!G11+T_23!H11</f>
        <v>0</v>
      </c>
      <c r="H52" s="455">
        <f t="shared" si="9"/>
        <v>1465</v>
      </c>
      <c r="I52" s="311"/>
      <c r="J52" s="311"/>
      <c r="K52" s="311"/>
      <c r="L52" s="245">
        <f t="shared" si="10"/>
        <v>94.334470989761087</v>
      </c>
      <c r="M52" s="245">
        <f t="shared" si="11"/>
        <v>4.5733788395904442</v>
      </c>
      <c r="N52" s="245">
        <f t="shared" si="12"/>
        <v>1.0921501706484642</v>
      </c>
      <c r="O52" s="534">
        <f t="shared" si="13"/>
        <v>0</v>
      </c>
      <c r="P52" s="252">
        <f t="shared" si="14"/>
        <v>0</v>
      </c>
    </row>
    <row r="53" spans="1:16" ht="13.5" customHeight="1" x14ac:dyDescent="0.2">
      <c r="A53" s="1" t="s">
        <v>592</v>
      </c>
      <c r="B53" s="117" t="s">
        <v>27</v>
      </c>
      <c r="C53" s="168">
        <f>T_23!B12</f>
        <v>100</v>
      </c>
      <c r="D53" s="168">
        <f>T_23!C12</f>
        <v>9</v>
      </c>
      <c r="E53" s="164">
        <f>T_23!D12</f>
        <v>3</v>
      </c>
      <c r="F53" s="164">
        <f>T_23!E12</f>
        <v>0</v>
      </c>
      <c r="G53" s="164">
        <f>T_23!F12+T_23!G12+T_23!H12</f>
        <v>0</v>
      </c>
      <c r="H53" s="455">
        <f t="shared" si="9"/>
        <v>112</v>
      </c>
      <c r="I53" s="311"/>
      <c r="J53" s="311"/>
      <c r="K53" s="311"/>
      <c r="L53" s="245">
        <f t="shared" si="10"/>
        <v>89.285714285714292</v>
      </c>
      <c r="M53" s="245">
        <f t="shared" si="11"/>
        <v>8.0357142857142865</v>
      </c>
      <c r="N53" s="245">
        <f t="shared" si="12"/>
        <v>2.6785714285714284</v>
      </c>
      <c r="O53" s="534">
        <f t="shared" si="13"/>
        <v>0</v>
      </c>
      <c r="P53" s="252">
        <f t="shared" si="14"/>
        <v>0</v>
      </c>
    </row>
    <row r="54" spans="1:16" ht="13.5" customHeight="1" x14ac:dyDescent="0.2">
      <c r="A54" s="1" t="s">
        <v>593</v>
      </c>
      <c r="B54" s="117" t="s">
        <v>28</v>
      </c>
      <c r="C54" s="168">
        <f>T_23!B13</f>
        <v>154</v>
      </c>
      <c r="D54" s="168">
        <f>T_23!C13</f>
        <v>25</v>
      </c>
      <c r="E54" s="164">
        <f>T_23!D13</f>
        <v>5</v>
      </c>
      <c r="F54" s="164">
        <f>T_23!E13</f>
        <v>0</v>
      </c>
      <c r="G54" s="164">
        <f>T_23!F13+T_23!G13+T_23!H13</f>
        <v>21</v>
      </c>
      <c r="H54" s="455">
        <f t="shared" si="9"/>
        <v>205</v>
      </c>
      <c r="I54" s="311"/>
      <c r="J54" s="311"/>
      <c r="K54" s="311"/>
      <c r="L54" s="245">
        <f t="shared" si="10"/>
        <v>75.121951219512198</v>
      </c>
      <c r="M54" s="245">
        <f t="shared" si="11"/>
        <v>12.195121951219512</v>
      </c>
      <c r="N54" s="245">
        <f t="shared" si="12"/>
        <v>2.4390243902439024</v>
      </c>
      <c r="O54" s="534">
        <f t="shared" si="13"/>
        <v>0</v>
      </c>
      <c r="P54" s="252">
        <f t="shared" si="14"/>
        <v>10.24390243902439</v>
      </c>
    </row>
    <row r="55" spans="1:16" ht="13.5" customHeight="1" x14ac:dyDescent="0.2">
      <c r="A55" s="1" t="s">
        <v>594</v>
      </c>
      <c r="B55" s="117" t="s">
        <v>29</v>
      </c>
      <c r="C55" s="168">
        <f>T_23!B14</f>
        <v>660</v>
      </c>
      <c r="D55" s="168">
        <f>T_23!C14</f>
        <v>33</v>
      </c>
      <c r="E55" s="164">
        <f>T_23!D14</f>
        <v>1</v>
      </c>
      <c r="F55" s="164">
        <f>T_23!E14</f>
        <v>0</v>
      </c>
      <c r="G55" s="164">
        <f>T_23!F14+T_23!G14+T_23!H14</f>
        <v>0</v>
      </c>
      <c r="H55" s="455">
        <f t="shared" si="9"/>
        <v>694</v>
      </c>
      <c r="I55" s="311"/>
      <c r="J55" s="311"/>
      <c r="K55" s="311"/>
      <c r="L55" s="245">
        <f t="shared" si="10"/>
        <v>95.100864553314125</v>
      </c>
      <c r="M55" s="245">
        <f t="shared" si="11"/>
        <v>4.7550432276657064</v>
      </c>
      <c r="N55" s="245">
        <f t="shared" si="12"/>
        <v>0.14409221902017291</v>
      </c>
      <c r="O55" s="534">
        <f t="shared" si="13"/>
        <v>0</v>
      </c>
      <c r="P55" s="252">
        <f t="shared" si="14"/>
        <v>0</v>
      </c>
    </row>
    <row r="56" spans="1:16" ht="13.5" customHeight="1" x14ac:dyDescent="0.2">
      <c r="A56" s="1" t="s">
        <v>595</v>
      </c>
      <c r="B56" s="117" t="s">
        <v>30</v>
      </c>
      <c r="C56" s="168">
        <f>T_23!B15</f>
        <v>528</v>
      </c>
      <c r="D56" s="168">
        <f>T_23!C15</f>
        <v>45</v>
      </c>
      <c r="E56" s="164">
        <f>T_23!D15</f>
        <v>4</v>
      </c>
      <c r="F56" s="164">
        <f>T_23!E15</f>
        <v>0</v>
      </c>
      <c r="G56" s="164">
        <f>T_23!F15+T_23!G15+T_23!H15</f>
        <v>7</v>
      </c>
      <c r="H56" s="455">
        <f t="shared" si="9"/>
        <v>584</v>
      </c>
      <c r="I56" s="311"/>
      <c r="J56" s="311"/>
      <c r="K56" s="311"/>
      <c r="L56" s="245">
        <f t="shared" si="10"/>
        <v>90.410958904109577</v>
      </c>
      <c r="M56" s="245">
        <f t="shared" si="11"/>
        <v>7.7054794520547949</v>
      </c>
      <c r="N56" s="245">
        <f t="shared" si="12"/>
        <v>0.68493150684931503</v>
      </c>
      <c r="O56" s="534">
        <f t="shared" si="13"/>
        <v>0</v>
      </c>
      <c r="P56" s="252">
        <f t="shared" si="14"/>
        <v>1.1986301369863013</v>
      </c>
    </row>
    <row r="57" spans="1:16" ht="13.5" customHeight="1" x14ac:dyDescent="0.2">
      <c r="A57" s="1" t="s">
        <v>596</v>
      </c>
      <c r="B57" s="117" t="s">
        <v>31</v>
      </c>
      <c r="C57" s="168">
        <f>T_23!B16</f>
        <v>223</v>
      </c>
      <c r="D57" s="168">
        <f>T_23!C16</f>
        <v>16</v>
      </c>
      <c r="E57" s="164">
        <f>T_23!D16</f>
        <v>1</v>
      </c>
      <c r="F57" s="164">
        <f>T_23!E16</f>
        <v>0</v>
      </c>
      <c r="G57" s="164">
        <f>T_23!F16+T_23!G16+T_23!H16</f>
        <v>1</v>
      </c>
      <c r="H57" s="455">
        <f t="shared" si="9"/>
        <v>241</v>
      </c>
      <c r="I57" s="311"/>
      <c r="J57" s="311"/>
      <c r="K57" s="311"/>
      <c r="L57" s="245">
        <f t="shared" si="10"/>
        <v>92.531120331950206</v>
      </c>
      <c r="M57" s="245">
        <f t="shared" si="11"/>
        <v>6.6390041493775938</v>
      </c>
      <c r="N57" s="245">
        <f t="shared" si="12"/>
        <v>0.41493775933609961</v>
      </c>
      <c r="O57" s="534">
        <f t="shared" si="13"/>
        <v>0</v>
      </c>
      <c r="P57" s="252">
        <f t="shared" si="14"/>
        <v>0.41493775933609961</v>
      </c>
    </row>
    <row r="58" spans="1:16" ht="13.5" customHeight="1" x14ac:dyDescent="0.2">
      <c r="A58" s="1" t="s">
        <v>597</v>
      </c>
      <c r="B58" s="117" t="s">
        <v>32</v>
      </c>
      <c r="C58" s="168">
        <f>T_23!B17</f>
        <v>181</v>
      </c>
      <c r="D58" s="168">
        <f>T_23!C17</f>
        <v>13</v>
      </c>
      <c r="E58" s="164">
        <f>T_23!D17</f>
        <v>1</v>
      </c>
      <c r="F58" s="164">
        <f>T_23!E17</f>
        <v>0</v>
      </c>
      <c r="G58" s="164">
        <f>T_23!F17+T_23!G17+T_23!H17</f>
        <v>0</v>
      </c>
      <c r="H58" s="455">
        <f t="shared" si="9"/>
        <v>195</v>
      </c>
      <c r="I58" s="311"/>
      <c r="J58" s="311"/>
      <c r="K58" s="311"/>
      <c r="L58" s="245">
        <f t="shared" si="10"/>
        <v>92.820512820512818</v>
      </c>
      <c r="M58" s="245">
        <f t="shared" si="11"/>
        <v>6.666666666666667</v>
      </c>
      <c r="N58" s="245">
        <f t="shared" si="12"/>
        <v>0.51282051282051277</v>
      </c>
      <c r="O58" s="534">
        <f t="shared" si="13"/>
        <v>0</v>
      </c>
      <c r="P58" s="252">
        <f t="shared" si="14"/>
        <v>0</v>
      </c>
    </row>
    <row r="59" spans="1:16" ht="13.5" customHeight="1" x14ac:dyDescent="0.2">
      <c r="A59" s="1" t="s">
        <v>598</v>
      </c>
      <c r="B59" s="117" t="s">
        <v>33</v>
      </c>
      <c r="C59" s="168">
        <f>T_23!B18</f>
        <v>156</v>
      </c>
      <c r="D59" s="168">
        <f>T_23!C18</f>
        <v>23</v>
      </c>
      <c r="E59" s="164">
        <f>T_23!D18</f>
        <v>3</v>
      </c>
      <c r="F59" s="164">
        <f>T_23!E18</f>
        <v>0</v>
      </c>
      <c r="G59" s="164">
        <f>T_23!F18+T_23!G18+T_23!H18</f>
        <v>0</v>
      </c>
      <c r="H59" s="455">
        <f t="shared" si="9"/>
        <v>182</v>
      </c>
      <c r="I59" s="311"/>
      <c r="J59" s="311"/>
      <c r="K59" s="311"/>
      <c r="L59" s="245">
        <f t="shared" si="10"/>
        <v>85.714285714285708</v>
      </c>
      <c r="M59" s="245">
        <f t="shared" si="11"/>
        <v>12.637362637362637</v>
      </c>
      <c r="N59" s="245">
        <f t="shared" si="12"/>
        <v>1.6483516483516485</v>
      </c>
      <c r="O59" s="534">
        <f t="shared" si="13"/>
        <v>0</v>
      </c>
      <c r="P59" s="252">
        <f t="shared" si="14"/>
        <v>0</v>
      </c>
    </row>
    <row r="60" spans="1:16" ht="13.5" customHeight="1" x14ac:dyDescent="0.2">
      <c r="A60" s="1" t="s">
        <v>599</v>
      </c>
      <c r="B60" s="117" t="s">
        <v>34</v>
      </c>
      <c r="C60" s="168">
        <f>T_23!B19</f>
        <v>392</v>
      </c>
      <c r="D60" s="168">
        <f>T_23!C19</f>
        <v>28</v>
      </c>
      <c r="E60" s="164">
        <f>T_23!D19</f>
        <v>3</v>
      </c>
      <c r="F60" s="164">
        <f>T_23!E19</f>
        <v>0</v>
      </c>
      <c r="G60" s="164">
        <f>T_23!F19+T_23!G19+T_23!H19</f>
        <v>0</v>
      </c>
      <c r="H60" s="455">
        <f t="shared" si="9"/>
        <v>423</v>
      </c>
      <c r="I60" s="311"/>
      <c r="J60" s="311"/>
      <c r="K60" s="311"/>
      <c r="L60" s="245">
        <f t="shared" si="10"/>
        <v>92.671394799054369</v>
      </c>
      <c r="M60" s="245">
        <f t="shared" si="11"/>
        <v>6.6193853427895979</v>
      </c>
      <c r="N60" s="245">
        <f t="shared" si="12"/>
        <v>0.70921985815602839</v>
      </c>
      <c r="O60" s="534">
        <f t="shared" si="13"/>
        <v>0</v>
      </c>
      <c r="P60" s="252">
        <f t="shared" si="14"/>
        <v>0</v>
      </c>
    </row>
    <row r="61" spans="1:16" ht="13.5" customHeight="1" x14ac:dyDescent="0.2">
      <c r="A61" s="1" t="s">
        <v>600</v>
      </c>
      <c r="B61" s="117" t="s">
        <v>35</v>
      </c>
      <c r="C61" s="168">
        <f>T_23!B20</f>
        <v>888</v>
      </c>
      <c r="D61" s="168">
        <f>T_23!C20</f>
        <v>117</v>
      </c>
      <c r="E61" s="164">
        <f>T_23!D20</f>
        <v>11</v>
      </c>
      <c r="F61" s="164">
        <f>T_23!E20</f>
        <v>0</v>
      </c>
      <c r="G61" s="164">
        <f>T_23!F20+T_23!G20+T_23!H20</f>
        <v>1</v>
      </c>
      <c r="H61" s="455">
        <f t="shared" si="9"/>
        <v>1017</v>
      </c>
      <c r="I61" s="311"/>
      <c r="J61" s="311"/>
      <c r="K61" s="311"/>
      <c r="L61" s="245">
        <f t="shared" si="10"/>
        <v>87.315634218289091</v>
      </c>
      <c r="M61" s="245">
        <f t="shared" si="11"/>
        <v>11.504424778761061</v>
      </c>
      <c r="N61" s="245">
        <f t="shared" si="12"/>
        <v>1.0816125860373649</v>
      </c>
      <c r="O61" s="534">
        <f t="shared" si="13"/>
        <v>0</v>
      </c>
      <c r="P61" s="252">
        <f t="shared" si="14"/>
        <v>9.8328416912487712E-2</v>
      </c>
    </row>
    <row r="62" spans="1:16" ht="13.5" customHeight="1" x14ac:dyDescent="0.2">
      <c r="A62" s="1" t="s">
        <v>601</v>
      </c>
      <c r="B62" s="117" t="s">
        <v>36</v>
      </c>
      <c r="C62" s="168">
        <f>T_23!B21</f>
        <v>2202</v>
      </c>
      <c r="D62" s="168">
        <f>T_23!C21</f>
        <v>191</v>
      </c>
      <c r="E62" s="164">
        <f>T_23!D21</f>
        <v>42</v>
      </c>
      <c r="F62" s="164">
        <f>T_23!E21</f>
        <v>0</v>
      </c>
      <c r="G62" s="164">
        <f>T_23!F21+T_23!G21+T_23!H21</f>
        <v>5</v>
      </c>
      <c r="H62" s="455">
        <f t="shared" si="9"/>
        <v>2440</v>
      </c>
      <c r="I62" s="311"/>
      <c r="J62" s="311"/>
      <c r="K62" s="311"/>
      <c r="L62" s="245">
        <f t="shared" si="10"/>
        <v>90.245901639344268</v>
      </c>
      <c r="M62" s="245">
        <f t="shared" si="11"/>
        <v>7.8278688524590159</v>
      </c>
      <c r="N62" s="245">
        <f t="shared" si="12"/>
        <v>1.7213114754098362</v>
      </c>
      <c r="O62" s="534">
        <f t="shared" si="13"/>
        <v>0</v>
      </c>
      <c r="P62" s="252">
        <f t="shared" si="14"/>
        <v>0.20491803278688525</v>
      </c>
    </row>
    <row r="63" spans="1:16" ht="13.5" customHeight="1" x14ac:dyDescent="0.2">
      <c r="A63" s="1" t="s">
        <v>602</v>
      </c>
      <c r="B63" s="117" t="s">
        <v>37</v>
      </c>
      <c r="C63" s="168">
        <f>T_23!B22</f>
        <v>319</v>
      </c>
      <c r="D63" s="168">
        <f>T_23!C22</f>
        <v>54</v>
      </c>
      <c r="E63" s="164">
        <f>T_23!D22</f>
        <v>22</v>
      </c>
      <c r="F63" s="164">
        <f>T_23!E22</f>
        <v>0</v>
      </c>
      <c r="G63" s="164">
        <f>T_23!F22+T_23!G22+T_23!H22</f>
        <v>1</v>
      </c>
      <c r="H63" s="455">
        <f t="shared" si="9"/>
        <v>396</v>
      </c>
      <c r="I63" s="311"/>
      <c r="J63" s="311"/>
      <c r="K63" s="311"/>
      <c r="L63" s="245">
        <f t="shared" si="10"/>
        <v>80.555555555555557</v>
      </c>
      <c r="M63" s="245">
        <f t="shared" si="11"/>
        <v>13.636363636363635</v>
      </c>
      <c r="N63" s="245">
        <f t="shared" si="12"/>
        <v>5.5555555555555554</v>
      </c>
      <c r="O63" s="534">
        <f t="shared" si="13"/>
        <v>0</v>
      </c>
      <c r="P63" s="252">
        <f t="shared" si="14"/>
        <v>0.25252525252525254</v>
      </c>
    </row>
    <row r="64" spans="1:16" ht="13.5" customHeight="1" x14ac:dyDescent="0.2">
      <c r="A64" s="1" t="s">
        <v>603</v>
      </c>
      <c r="B64" s="117" t="s">
        <v>38</v>
      </c>
      <c r="C64" s="168">
        <f>T_23!B23</f>
        <v>365</v>
      </c>
      <c r="D64" s="168">
        <f>T_23!C23</f>
        <v>42</v>
      </c>
      <c r="E64" s="164">
        <f>T_23!D23</f>
        <v>10</v>
      </c>
      <c r="F64" s="164">
        <f>T_23!E23</f>
        <v>0</v>
      </c>
      <c r="G64" s="164">
        <f>T_23!F23+T_23!G23+T_23!H23</f>
        <v>0</v>
      </c>
      <c r="H64" s="455">
        <f t="shared" si="9"/>
        <v>417</v>
      </c>
      <c r="I64" s="311"/>
      <c r="J64" s="311"/>
      <c r="K64" s="311"/>
      <c r="L64" s="245">
        <f t="shared" si="10"/>
        <v>87.529976019184659</v>
      </c>
      <c r="M64" s="245">
        <f t="shared" si="11"/>
        <v>10.071942446043165</v>
      </c>
      <c r="N64" s="245">
        <f t="shared" si="12"/>
        <v>2.3980815347721824</v>
      </c>
      <c r="O64" s="534">
        <f t="shared" si="13"/>
        <v>0</v>
      </c>
      <c r="P64" s="252">
        <f t="shared" si="14"/>
        <v>0</v>
      </c>
    </row>
    <row r="65" spans="1:16" ht="13.5" customHeight="1" x14ac:dyDescent="0.2">
      <c r="A65" s="1" t="s">
        <v>604</v>
      </c>
      <c r="B65" s="117" t="s">
        <v>39</v>
      </c>
      <c r="C65" s="168">
        <f>T_23!B24</f>
        <v>186</v>
      </c>
      <c r="D65" s="168">
        <f>T_23!C24</f>
        <v>14</v>
      </c>
      <c r="E65" s="164">
        <f>T_23!D24</f>
        <v>1</v>
      </c>
      <c r="F65" s="164">
        <f>T_23!E24</f>
        <v>0</v>
      </c>
      <c r="G65" s="164">
        <f>T_23!F24+T_23!G24+T_23!H24</f>
        <v>0</v>
      </c>
      <c r="H65" s="455">
        <f t="shared" si="9"/>
        <v>201</v>
      </c>
      <c r="I65" s="311"/>
      <c r="J65" s="311"/>
      <c r="K65" s="311"/>
      <c r="L65" s="245">
        <f t="shared" si="10"/>
        <v>92.537313432835816</v>
      </c>
      <c r="M65" s="245">
        <f t="shared" si="11"/>
        <v>6.9651741293532341</v>
      </c>
      <c r="N65" s="245">
        <f t="shared" si="12"/>
        <v>0.49751243781094528</v>
      </c>
      <c r="O65" s="534">
        <f t="shared" si="13"/>
        <v>0</v>
      </c>
      <c r="P65" s="252">
        <f t="shared" si="14"/>
        <v>0</v>
      </c>
    </row>
    <row r="66" spans="1:16" ht="13.5" customHeight="1" x14ac:dyDescent="0.2">
      <c r="A66" s="1" t="s">
        <v>605</v>
      </c>
      <c r="B66" s="117" t="s">
        <v>40</v>
      </c>
      <c r="C66" s="168">
        <f>T_23!B25</f>
        <v>113</v>
      </c>
      <c r="D66" s="168">
        <f>T_23!C25</f>
        <v>8</v>
      </c>
      <c r="E66" s="164">
        <f>T_23!D25</f>
        <v>6</v>
      </c>
      <c r="F66" s="164">
        <f>T_23!E25</f>
        <v>0</v>
      </c>
      <c r="G66" s="164">
        <f>T_23!F25+T_23!G25+T_23!H25</f>
        <v>1</v>
      </c>
      <c r="H66" s="455">
        <f t="shared" si="9"/>
        <v>128</v>
      </c>
      <c r="I66" s="311"/>
      <c r="J66" s="311"/>
      <c r="K66" s="311"/>
      <c r="L66" s="245">
        <f t="shared" si="10"/>
        <v>88.28125</v>
      </c>
      <c r="M66" s="245">
        <f t="shared" si="11"/>
        <v>6.25</v>
      </c>
      <c r="N66" s="245">
        <f t="shared" si="12"/>
        <v>4.6875</v>
      </c>
      <c r="O66" s="534">
        <f t="shared" si="13"/>
        <v>0</v>
      </c>
      <c r="P66" s="252">
        <f t="shared" si="14"/>
        <v>0.78125</v>
      </c>
    </row>
    <row r="67" spans="1:16" ht="13.5" customHeight="1" x14ac:dyDescent="0.2">
      <c r="A67" s="1" t="s">
        <v>606</v>
      </c>
      <c r="B67" s="117" t="s">
        <v>295</v>
      </c>
      <c r="C67" s="168">
        <f>T_23!B26</f>
        <v>53</v>
      </c>
      <c r="D67" s="168">
        <f>T_23!C26</f>
        <v>16</v>
      </c>
      <c r="E67" s="164">
        <f>T_23!D26</f>
        <v>6</v>
      </c>
      <c r="F67" s="164">
        <f>T_23!E26</f>
        <v>0</v>
      </c>
      <c r="G67" s="164">
        <f>T_23!F26+T_23!G26+T_23!H26</f>
        <v>0</v>
      </c>
      <c r="H67" s="455">
        <f t="shared" si="9"/>
        <v>75</v>
      </c>
      <c r="I67" s="311"/>
      <c r="J67" s="311"/>
      <c r="K67" s="311"/>
      <c r="L67" s="245">
        <f t="shared" si="10"/>
        <v>70.666666666666671</v>
      </c>
      <c r="M67" s="245">
        <f t="shared" si="11"/>
        <v>21.333333333333336</v>
      </c>
      <c r="N67" s="245">
        <f>E67/H67*100</f>
        <v>8</v>
      </c>
      <c r="O67" s="534">
        <f t="shared" si="13"/>
        <v>0</v>
      </c>
      <c r="P67" s="252">
        <f t="shared" si="14"/>
        <v>0</v>
      </c>
    </row>
    <row r="68" spans="1:16" ht="13.5" customHeight="1" x14ac:dyDescent="0.2">
      <c r="A68" s="1" t="s">
        <v>607</v>
      </c>
      <c r="B68" s="117" t="s">
        <v>41</v>
      </c>
      <c r="C68" s="168">
        <f>T_23!B27</f>
        <v>448</v>
      </c>
      <c r="D68" s="168">
        <f>T_23!C27</f>
        <v>36</v>
      </c>
      <c r="E68" s="164">
        <f>T_23!D27</f>
        <v>7</v>
      </c>
      <c r="F68" s="164">
        <f>T_23!E27</f>
        <v>0</v>
      </c>
      <c r="G68" s="164">
        <f>T_23!F27+T_23!G27+T_23!H27</f>
        <v>0</v>
      </c>
      <c r="H68" s="455">
        <f t="shared" si="9"/>
        <v>491</v>
      </c>
      <c r="I68" s="311"/>
      <c r="J68" s="311"/>
      <c r="K68" s="311"/>
      <c r="L68" s="245">
        <f t="shared" si="10"/>
        <v>91.242362525458248</v>
      </c>
      <c r="M68" s="245">
        <f t="shared" si="11"/>
        <v>7.3319755600814664</v>
      </c>
      <c r="N68" s="245">
        <f t="shared" si="12"/>
        <v>1.4256619144602851</v>
      </c>
      <c r="O68" s="534">
        <f t="shared" si="13"/>
        <v>0</v>
      </c>
      <c r="P68" s="252">
        <f t="shared" si="14"/>
        <v>0</v>
      </c>
    </row>
    <row r="69" spans="1:16" ht="13.5" customHeight="1" x14ac:dyDescent="0.2">
      <c r="A69" s="1" t="s">
        <v>608</v>
      </c>
      <c r="B69" s="117" t="s">
        <v>42</v>
      </c>
      <c r="C69" s="168">
        <f>T_23!B28</f>
        <v>1315</v>
      </c>
      <c r="D69" s="168">
        <f>T_23!C28</f>
        <v>139</v>
      </c>
      <c r="E69" s="164">
        <f>T_23!D28</f>
        <v>17</v>
      </c>
      <c r="F69" s="164">
        <f>T_23!E28</f>
        <v>0</v>
      </c>
      <c r="G69" s="164">
        <f>T_23!F28+T_23!G28+T_23!H28</f>
        <v>4</v>
      </c>
      <c r="H69" s="455">
        <f t="shared" si="9"/>
        <v>1475</v>
      </c>
      <c r="I69" s="311"/>
      <c r="J69" s="311"/>
      <c r="K69" s="311"/>
      <c r="L69" s="245">
        <f t="shared" si="10"/>
        <v>89.152542372881356</v>
      </c>
      <c r="M69" s="245">
        <f t="shared" si="11"/>
        <v>9.4237288135593218</v>
      </c>
      <c r="N69" s="245">
        <f t="shared" si="12"/>
        <v>1.152542372881356</v>
      </c>
      <c r="O69" s="534">
        <f t="shared" si="13"/>
        <v>0</v>
      </c>
      <c r="P69" s="252">
        <f t="shared" si="14"/>
        <v>0.2711864406779661</v>
      </c>
    </row>
    <row r="70" spans="1:16" ht="13.5" customHeight="1" x14ac:dyDescent="0.2">
      <c r="A70" s="1" t="s">
        <v>609</v>
      </c>
      <c r="B70" s="117" t="s">
        <v>43</v>
      </c>
      <c r="C70" s="168">
        <f>T_23!B29</f>
        <v>12</v>
      </c>
      <c r="D70" s="168">
        <f>T_23!C29</f>
        <v>2</v>
      </c>
      <c r="E70" s="164">
        <f>T_23!D29</f>
        <v>0</v>
      </c>
      <c r="F70" s="164">
        <f>T_23!E29</f>
        <v>0</v>
      </c>
      <c r="G70" s="164">
        <f>T_23!F29+T_23!G29+T_23!H29</f>
        <v>0</v>
      </c>
      <c r="H70" s="455">
        <f t="shared" si="9"/>
        <v>14</v>
      </c>
      <c r="I70" s="311"/>
      <c r="J70" s="311"/>
      <c r="K70" s="311"/>
      <c r="L70" s="245">
        <f t="shared" si="10"/>
        <v>85.714285714285708</v>
      </c>
      <c r="M70" s="245">
        <f t="shared" si="11"/>
        <v>14.285714285714285</v>
      </c>
      <c r="N70" s="245">
        <f t="shared" si="12"/>
        <v>0</v>
      </c>
      <c r="O70" s="534">
        <f t="shared" si="13"/>
        <v>0</v>
      </c>
      <c r="P70" s="252">
        <f t="shared" si="14"/>
        <v>0</v>
      </c>
    </row>
    <row r="71" spans="1:16" ht="13.5" customHeight="1" x14ac:dyDescent="0.2">
      <c r="A71" s="1" t="s">
        <v>610</v>
      </c>
      <c r="B71" s="117" t="s">
        <v>44</v>
      </c>
      <c r="C71" s="168">
        <f>T_23!B30</f>
        <v>127</v>
      </c>
      <c r="D71" s="168">
        <f>T_23!C30</f>
        <v>14</v>
      </c>
      <c r="E71" s="164">
        <f>T_23!D30</f>
        <v>4</v>
      </c>
      <c r="F71" s="164">
        <f>T_23!E30</f>
        <v>0</v>
      </c>
      <c r="G71" s="164">
        <f>T_23!F30+T_23!G30+T_23!H30</f>
        <v>0</v>
      </c>
      <c r="H71" s="455">
        <f t="shared" si="9"/>
        <v>145</v>
      </c>
      <c r="I71" s="311"/>
      <c r="J71" s="311"/>
      <c r="K71" s="311"/>
      <c r="L71" s="245">
        <f t="shared" si="10"/>
        <v>87.586206896551715</v>
      </c>
      <c r="M71" s="245">
        <f t="shared" si="11"/>
        <v>9.6551724137931032</v>
      </c>
      <c r="N71" s="245">
        <f t="shared" si="12"/>
        <v>2.7586206896551726</v>
      </c>
      <c r="O71" s="534">
        <f t="shared" si="13"/>
        <v>0</v>
      </c>
      <c r="P71" s="252">
        <f t="shared" si="14"/>
        <v>0</v>
      </c>
    </row>
    <row r="72" spans="1:16" ht="13.5" customHeight="1" x14ac:dyDescent="0.2">
      <c r="A72" s="1" t="s">
        <v>611</v>
      </c>
      <c r="B72" s="117" t="s">
        <v>45</v>
      </c>
      <c r="C72" s="168">
        <f>T_23!B31</f>
        <v>442</v>
      </c>
      <c r="D72" s="168">
        <f>T_23!C31</f>
        <v>54</v>
      </c>
      <c r="E72" s="164">
        <f>T_23!D31</f>
        <v>4</v>
      </c>
      <c r="F72" s="164">
        <f>T_23!E31</f>
        <v>0</v>
      </c>
      <c r="G72" s="164">
        <f>T_23!F31+T_23!G31+T_23!H31</f>
        <v>3</v>
      </c>
      <c r="H72" s="455">
        <f t="shared" si="9"/>
        <v>503</v>
      </c>
      <c r="I72" s="311"/>
      <c r="J72" s="311"/>
      <c r="K72" s="311"/>
      <c r="L72" s="245">
        <f t="shared" si="10"/>
        <v>87.872763419483107</v>
      </c>
      <c r="M72" s="245">
        <f t="shared" si="11"/>
        <v>10.735586481113319</v>
      </c>
      <c r="N72" s="245">
        <f t="shared" si="12"/>
        <v>0.79522862823061624</v>
      </c>
      <c r="O72" s="534">
        <f t="shared" si="13"/>
        <v>0</v>
      </c>
      <c r="P72" s="252">
        <f t="shared" si="14"/>
        <v>0.59642147117296218</v>
      </c>
    </row>
    <row r="73" spans="1:16" ht="13.5" customHeight="1" x14ac:dyDescent="0.2">
      <c r="A73" s="1" t="s">
        <v>612</v>
      </c>
      <c r="B73" s="117" t="s">
        <v>46</v>
      </c>
      <c r="C73" s="168">
        <f>T_23!B32</f>
        <v>110</v>
      </c>
      <c r="D73" s="168">
        <f>T_23!C32</f>
        <v>13</v>
      </c>
      <c r="E73" s="164">
        <f>T_23!D32</f>
        <v>1</v>
      </c>
      <c r="F73" s="164">
        <f>T_23!E32</f>
        <v>0</v>
      </c>
      <c r="G73" s="164">
        <f>T_23!F32+T_23!G32+T_23!H32</f>
        <v>0</v>
      </c>
      <c r="H73" s="455">
        <f>SUM(C73:G73)</f>
        <v>124</v>
      </c>
      <c r="I73" s="311"/>
      <c r="J73" s="311"/>
      <c r="K73" s="311"/>
      <c r="L73" s="245">
        <f t="shared" si="10"/>
        <v>88.709677419354833</v>
      </c>
      <c r="M73" s="245">
        <f t="shared" si="11"/>
        <v>10.483870967741936</v>
      </c>
      <c r="N73" s="245">
        <f t="shared" si="12"/>
        <v>0.80645161290322576</v>
      </c>
      <c r="O73" s="534">
        <f t="shared" si="13"/>
        <v>0</v>
      </c>
      <c r="P73" s="252">
        <f t="shared" si="14"/>
        <v>0</v>
      </c>
    </row>
    <row r="74" spans="1:16" ht="13.5" customHeight="1" x14ac:dyDescent="0.2">
      <c r="A74" s="1" t="s">
        <v>613</v>
      </c>
      <c r="B74" s="117" t="s">
        <v>47</v>
      </c>
      <c r="C74" s="168">
        <f>T_23!B33</f>
        <v>12</v>
      </c>
      <c r="D74" s="168">
        <f>T_23!C33</f>
        <v>3</v>
      </c>
      <c r="E74" s="164">
        <f>T_23!D33</f>
        <v>0</v>
      </c>
      <c r="F74" s="164">
        <f>T_23!E33</f>
        <v>0</v>
      </c>
      <c r="G74" s="164">
        <f>T_23!F33+T_23!G33+T_23!H33</f>
        <v>0</v>
      </c>
      <c r="H74" s="455">
        <f t="shared" si="9"/>
        <v>15</v>
      </c>
      <c r="I74" s="311"/>
      <c r="J74" s="311"/>
      <c r="K74" s="311"/>
      <c r="L74" s="245">
        <f t="shared" si="10"/>
        <v>80</v>
      </c>
      <c r="M74" s="245">
        <f t="shared" si="11"/>
        <v>20</v>
      </c>
      <c r="N74" s="245">
        <f t="shared" si="12"/>
        <v>0</v>
      </c>
      <c r="O74" s="534">
        <f t="shared" si="13"/>
        <v>0</v>
      </c>
      <c r="P74" s="252">
        <f t="shared" si="14"/>
        <v>0</v>
      </c>
    </row>
    <row r="75" spans="1:16" ht="13.5" customHeight="1" x14ac:dyDescent="0.2">
      <c r="A75" s="1" t="s">
        <v>614</v>
      </c>
      <c r="B75" s="117" t="s">
        <v>48</v>
      </c>
      <c r="C75" s="168">
        <f>T_23!B34</f>
        <v>276</v>
      </c>
      <c r="D75" s="168">
        <f>T_23!C34</f>
        <v>27</v>
      </c>
      <c r="E75" s="164">
        <f>T_23!D34</f>
        <v>1</v>
      </c>
      <c r="F75" s="164">
        <f>T_23!E34</f>
        <v>0</v>
      </c>
      <c r="G75" s="164">
        <f>T_23!F34+T_23!G34+T_23!H34</f>
        <v>0</v>
      </c>
      <c r="H75" s="455">
        <f t="shared" si="9"/>
        <v>304</v>
      </c>
      <c r="I75" s="311"/>
      <c r="J75" s="311"/>
      <c r="K75" s="311"/>
      <c r="L75" s="245">
        <f t="shared" si="10"/>
        <v>90.789473684210535</v>
      </c>
      <c r="M75" s="245">
        <f t="shared" si="11"/>
        <v>8.8815789473684212</v>
      </c>
      <c r="N75" s="245">
        <f t="shared" si="12"/>
        <v>0.3289473684210526</v>
      </c>
      <c r="O75" s="534">
        <f t="shared" si="13"/>
        <v>0</v>
      </c>
      <c r="P75" s="252">
        <f t="shared" si="14"/>
        <v>0</v>
      </c>
    </row>
    <row r="76" spans="1:16" ht="13.5" customHeight="1" x14ac:dyDescent="0.2">
      <c r="A76" s="1" t="s">
        <v>615</v>
      </c>
      <c r="B76" s="117" t="s">
        <v>49</v>
      </c>
      <c r="C76" s="168">
        <f>T_23!B35</f>
        <v>911</v>
      </c>
      <c r="D76" s="168">
        <f>T_23!C35</f>
        <v>88</v>
      </c>
      <c r="E76" s="164">
        <f>T_23!D35</f>
        <v>16</v>
      </c>
      <c r="F76" s="164">
        <f>T_23!E35</f>
        <v>0</v>
      </c>
      <c r="G76" s="164">
        <f>T_23!F35+T_23!G35+T_23!H35</f>
        <v>3</v>
      </c>
      <c r="H76" s="455">
        <f t="shared" si="9"/>
        <v>1018</v>
      </c>
      <c r="I76" s="311"/>
      <c r="J76" s="311"/>
      <c r="K76" s="311"/>
      <c r="L76" s="245">
        <f t="shared" si="10"/>
        <v>89.489194499017671</v>
      </c>
      <c r="M76" s="245">
        <f t="shared" si="11"/>
        <v>8.6444007858546161</v>
      </c>
      <c r="N76" s="245">
        <f t="shared" si="12"/>
        <v>1.5717092337917484</v>
      </c>
      <c r="O76" s="534">
        <f t="shared" si="13"/>
        <v>0</v>
      </c>
      <c r="P76" s="252">
        <f t="shared" si="14"/>
        <v>0.29469548133595286</v>
      </c>
    </row>
    <row r="77" spans="1:16" ht="13.5" customHeight="1" x14ac:dyDescent="0.2">
      <c r="A77" s="1" t="s">
        <v>616</v>
      </c>
      <c r="B77" s="117" t="s">
        <v>50</v>
      </c>
      <c r="C77" s="168">
        <f>T_23!B36</f>
        <v>168</v>
      </c>
      <c r="D77" s="168">
        <f>T_23!C36</f>
        <v>21</v>
      </c>
      <c r="E77" s="164">
        <f>T_23!D36</f>
        <v>6</v>
      </c>
      <c r="F77" s="164">
        <f>T_23!E36</f>
        <v>0</v>
      </c>
      <c r="G77" s="164">
        <f>T_23!F36+T_23!G36+T_23!H36</f>
        <v>0</v>
      </c>
      <c r="H77" s="455">
        <f t="shared" si="9"/>
        <v>195</v>
      </c>
      <c r="I77" s="311"/>
      <c r="J77" s="311"/>
      <c r="K77" s="311"/>
      <c r="L77" s="245">
        <f t="shared" si="10"/>
        <v>86.15384615384616</v>
      </c>
      <c r="M77" s="245">
        <f t="shared" si="11"/>
        <v>10.76923076923077</v>
      </c>
      <c r="N77" s="245">
        <f t="shared" si="12"/>
        <v>3.0769230769230771</v>
      </c>
      <c r="O77" s="534">
        <f t="shared" si="13"/>
        <v>0</v>
      </c>
      <c r="P77" s="252">
        <f>G77/H77*100</f>
        <v>0</v>
      </c>
    </row>
    <row r="78" spans="1:16" ht="13.5" customHeight="1" x14ac:dyDescent="0.2">
      <c r="A78" s="1" t="s">
        <v>617</v>
      </c>
      <c r="B78" s="117" t="s">
        <v>51</v>
      </c>
      <c r="C78" s="168">
        <f>T_23!B37</f>
        <v>366</v>
      </c>
      <c r="D78" s="168">
        <f>T_23!C37</f>
        <v>39</v>
      </c>
      <c r="E78" s="164">
        <f>T_23!D37</f>
        <v>2</v>
      </c>
      <c r="F78" s="164">
        <f>T_23!E37</f>
        <v>0</v>
      </c>
      <c r="G78" s="164">
        <f>T_23!F37+T_23!G37+T_23!H37</f>
        <v>1</v>
      </c>
      <c r="H78" s="455">
        <f t="shared" si="9"/>
        <v>408</v>
      </c>
      <c r="I78" s="311"/>
      <c r="J78" s="311"/>
      <c r="K78" s="311"/>
      <c r="L78" s="245">
        <f t="shared" si="10"/>
        <v>89.705882352941174</v>
      </c>
      <c r="M78" s="245">
        <f t="shared" si="11"/>
        <v>9.5588235294117645</v>
      </c>
      <c r="N78" s="245">
        <f t="shared" si="12"/>
        <v>0.49019607843137253</v>
      </c>
      <c r="O78" s="534">
        <f t="shared" si="13"/>
        <v>0</v>
      </c>
      <c r="P78" s="252">
        <f t="shared" si="14"/>
        <v>0.24509803921568626</v>
      </c>
    </row>
    <row r="79" spans="1:16" ht="13.5" customHeight="1" x14ac:dyDescent="0.2">
      <c r="A79" s="1" t="s">
        <v>618</v>
      </c>
      <c r="B79" s="117" t="s">
        <v>52</v>
      </c>
      <c r="C79" s="168">
        <f>T_23!B38</f>
        <v>643</v>
      </c>
      <c r="D79" s="168">
        <f>T_23!C38</f>
        <v>39</v>
      </c>
      <c r="E79" s="164">
        <f>T_23!D38</f>
        <v>8</v>
      </c>
      <c r="F79" s="164">
        <f>T_23!E38</f>
        <v>0</v>
      </c>
      <c r="G79" s="164">
        <f>T_23!F38+T_23!G38+T_23!H38</f>
        <v>2</v>
      </c>
      <c r="H79" s="455">
        <f t="shared" si="9"/>
        <v>692</v>
      </c>
      <c r="I79" s="311"/>
      <c r="J79" s="311"/>
      <c r="K79" s="311"/>
      <c r="L79" s="245">
        <f t="shared" si="10"/>
        <v>92.919075144508668</v>
      </c>
      <c r="M79" s="245">
        <f t="shared" si="11"/>
        <v>5.6358381502890174</v>
      </c>
      <c r="N79" s="245">
        <f t="shared" si="12"/>
        <v>1.1560693641618496</v>
      </c>
      <c r="O79" s="534">
        <f t="shared" si="13"/>
        <v>0</v>
      </c>
      <c r="P79" s="252">
        <f t="shared" si="14"/>
        <v>0.28901734104046239</v>
      </c>
    </row>
    <row r="80" spans="1:16" ht="13.5" customHeight="1" x14ac:dyDescent="0.2">
      <c r="A80" s="1"/>
      <c r="B80" s="117" t="str">
        <f>IF(T_09b!$A$37 = "Z_Not Known", "Not Known","")</f>
        <v/>
      </c>
      <c r="C80" s="535"/>
      <c r="D80" s="535"/>
      <c r="E80" s="535"/>
      <c r="F80" s="535"/>
      <c r="G80" s="535"/>
      <c r="H80" s="535"/>
      <c r="I80" s="311"/>
      <c r="J80" s="311"/>
      <c r="K80" s="311"/>
      <c r="L80" s="245"/>
      <c r="M80" s="245"/>
      <c r="N80" s="245"/>
      <c r="O80" s="534"/>
      <c r="P80" s="252"/>
    </row>
    <row r="81" spans="1:18" ht="30" customHeight="1" thickBot="1" x14ac:dyDescent="0.25">
      <c r="A81" s="359" t="s">
        <v>620</v>
      </c>
      <c r="B81" s="360" t="s">
        <v>143</v>
      </c>
      <c r="C81" s="480">
        <f t="shared" ref="C81:G81" si="15">SUM(C48:C79)</f>
        <v>13564</v>
      </c>
      <c r="D81" s="480">
        <f t="shared" si="15"/>
        <v>1261</v>
      </c>
      <c r="E81" s="480">
        <f t="shared" si="15"/>
        <v>236</v>
      </c>
      <c r="F81" s="480">
        <f t="shared" si="15"/>
        <v>1</v>
      </c>
      <c r="G81" s="480">
        <f t="shared" si="15"/>
        <v>51</v>
      </c>
      <c r="H81" s="480">
        <f>SUM(H48:H79)</f>
        <v>15113</v>
      </c>
      <c r="I81" s="44"/>
      <c r="J81" s="44"/>
      <c r="K81" s="44"/>
      <c r="L81" s="813">
        <f t="shared" si="10"/>
        <v>89.750545887646396</v>
      </c>
      <c r="M81" s="813">
        <f t="shared" si="11"/>
        <v>8.3438099649308537</v>
      </c>
      <c r="N81" s="813">
        <f t="shared" si="12"/>
        <v>1.5615695096936413</v>
      </c>
      <c r="O81" s="814">
        <f t="shared" si="13"/>
        <v>6.6168199563289877E-3</v>
      </c>
      <c r="P81" s="815">
        <f t="shared" si="14"/>
        <v>0.33745781777277839</v>
      </c>
      <c r="Q81" s="160"/>
      <c r="R81" s="1"/>
    </row>
    <row r="82" spans="1:18" x14ac:dyDescent="0.2">
      <c r="B82" s="1"/>
      <c r="C82" s="1"/>
      <c r="D82" s="1"/>
      <c r="E82" s="1"/>
      <c r="F82" s="1"/>
      <c r="G82" s="1"/>
      <c r="H82" s="1"/>
      <c r="I82" s="1"/>
      <c r="J82" s="1"/>
      <c r="K82" s="1"/>
      <c r="L82" s="1"/>
      <c r="M82" s="1"/>
      <c r="N82" s="1"/>
      <c r="O82" s="1"/>
      <c r="P82" s="1"/>
      <c r="Q82" s="1"/>
    </row>
    <row r="83" spans="1:18" x14ac:dyDescent="0.2">
      <c r="A83" s="273" t="s">
        <v>146</v>
      </c>
      <c r="B83" s="1"/>
      <c r="C83" s="1"/>
      <c r="D83" s="1"/>
      <c r="E83" s="1"/>
      <c r="F83" s="1"/>
      <c r="G83" s="1"/>
      <c r="H83" s="1"/>
      <c r="I83" s="1"/>
      <c r="J83" s="1"/>
      <c r="K83" s="1"/>
      <c r="L83" s="1"/>
      <c r="M83" s="1"/>
      <c r="N83" s="1"/>
      <c r="O83" s="1"/>
      <c r="P83" s="1"/>
    </row>
    <row r="84" spans="1:18" ht="25.5" customHeight="1" x14ac:dyDescent="0.2">
      <c r="A84" s="1356" t="s">
        <v>1106</v>
      </c>
      <c r="B84" s="1356"/>
      <c r="C84" s="1356"/>
      <c r="D84" s="1356"/>
      <c r="E84" s="1356"/>
      <c r="F84" s="1356"/>
      <c r="G84" s="1356"/>
      <c r="H84" s="1356"/>
      <c r="I84" s="1356"/>
      <c r="J84" s="1356"/>
      <c r="K84" s="1356"/>
      <c r="L84" s="1356"/>
      <c r="M84" s="1356"/>
      <c r="N84" s="1356"/>
      <c r="O84" s="1356"/>
      <c r="P84" s="1356"/>
      <c r="Q84" s="1356"/>
      <c r="R84" s="1356"/>
    </row>
    <row r="85" spans="1:18" ht="12.75" customHeight="1" x14ac:dyDescent="0.2">
      <c r="A85" s="584" t="s">
        <v>566</v>
      </c>
      <c r="B85" s="584"/>
      <c r="C85" s="584"/>
      <c r="D85" s="584"/>
      <c r="E85" s="584"/>
      <c r="F85" s="584"/>
      <c r="G85" s="584"/>
      <c r="H85" s="584"/>
      <c r="I85" s="584"/>
      <c r="J85" s="584"/>
      <c r="K85" s="584"/>
      <c r="L85" s="584"/>
      <c r="M85" s="584"/>
      <c r="N85" s="584"/>
      <c r="O85" s="584"/>
    </row>
    <row r="86" spans="1:18" ht="12.75" customHeight="1" x14ac:dyDescent="0.2">
      <c r="A86" s="584" t="s">
        <v>567</v>
      </c>
      <c r="B86" s="584"/>
      <c r="C86" s="584"/>
      <c r="D86" s="584"/>
      <c r="E86" s="584"/>
      <c r="F86" s="584"/>
      <c r="G86" s="584"/>
      <c r="H86" s="584"/>
      <c r="I86" s="584"/>
      <c r="J86" s="584"/>
      <c r="K86" s="584"/>
      <c r="L86" s="584"/>
      <c r="M86" s="584"/>
      <c r="N86" s="584"/>
      <c r="O86" s="584"/>
    </row>
    <row r="87" spans="1:18" x14ac:dyDescent="0.2">
      <c r="B87" s="375"/>
      <c r="C87" s="375"/>
      <c r="D87" s="375"/>
      <c r="E87" s="375"/>
      <c r="F87" s="375"/>
      <c r="G87" s="375"/>
      <c r="H87" s="375"/>
      <c r="I87" s="375"/>
      <c r="J87" s="375"/>
      <c r="K87" s="375"/>
      <c r="L87" s="375"/>
      <c r="M87" s="375"/>
      <c r="N87" s="375"/>
      <c r="O87" s="375"/>
      <c r="P87" s="375"/>
    </row>
  </sheetData>
  <sheetProtection algorithmName="SHA-512" hashValue="2bwPjjZdownRsNKmx1UGCVjlhW5/cvCRNUO+dGRRZBW/X25/GGWBaSiQrsYqUk4WqDEnT0B3Q3aVX+RvxGo+8A==" saltValue="Rw+sjbMKrzq2F7IHUWz4Gg==" spinCount="100000" sheet="1" scenarios="1" formatCells="0" formatColumns="0" formatRows="0" sort="0" autoFilter="0" pivotTables="0"/>
  <mergeCells count="5">
    <mergeCell ref="C8:J8"/>
    <mergeCell ref="L8:R8"/>
    <mergeCell ref="C46:H46"/>
    <mergeCell ref="L46:P46"/>
    <mergeCell ref="A84:R84"/>
  </mergeCells>
  <hyperlinks>
    <hyperlink ref="A2" location="'Table of Contents'!A1" display="Back to Table of Contents" xr:uid="{00000000-0004-0000-4B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6">
    <tabColor rgb="FFFFAFF0"/>
    <pageSetUpPr fitToPage="1"/>
  </sheetPr>
  <dimension ref="A1:AC103"/>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18.140625" customWidth="1"/>
    <col min="26" max="26" width="12.28515625" customWidth="1"/>
    <col min="27" max="27" width="12.140625" customWidth="1"/>
  </cols>
  <sheetData>
    <row r="1" spans="1:28" ht="17.25" customHeight="1" x14ac:dyDescent="0.2">
      <c r="A1" s="298" t="s">
        <v>1129</v>
      </c>
    </row>
    <row r="2" spans="1:28" ht="17.25" customHeight="1" x14ac:dyDescent="0.2">
      <c r="A2" s="106" t="s">
        <v>578</v>
      </c>
    </row>
    <row r="3" spans="1:28" ht="37.5" customHeight="1" x14ac:dyDescent="0.2">
      <c r="A3" s="120" t="s">
        <v>304</v>
      </c>
      <c r="B3" s="120"/>
      <c r="C3" s="120"/>
      <c r="D3" s="120"/>
      <c r="E3" s="120"/>
      <c r="F3" s="120"/>
      <c r="G3" s="120"/>
      <c r="H3" s="120"/>
      <c r="I3" s="120"/>
      <c r="J3" s="120"/>
      <c r="K3" s="1"/>
      <c r="L3" s="1"/>
      <c r="M3" s="1"/>
      <c r="N3" s="1"/>
      <c r="O3" s="1"/>
      <c r="P3" s="1"/>
      <c r="Q3" s="1"/>
      <c r="R3" s="1"/>
      <c r="S3" s="1"/>
      <c r="T3" s="1"/>
      <c r="U3" s="1"/>
      <c r="V3" s="1"/>
      <c r="W3" s="1"/>
      <c r="X3" s="1"/>
      <c r="Y3" s="1"/>
      <c r="Z3" s="1"/>
      <c r="AA3" s="1"/>
      <c r="AB3" s="1"/>
    </row>
    <row r="4" spans="1:28" ht="16.5" customHeight="1" x14ac:dyDescent="0.25">
      <c r="A4" s="351" t="s">
        <v>579</v>
      </c>
      <c r="B4" s="1043" t="s">
        <v>1326</v>
      </c>
      <c r="D4" s="129"/>
      <c r="E4" s="129"/>
      <c r="F4" s="129"/>
      <c r="G4" s="129"/>
      <c r="H4" s="129"/>
      <c r="I4" s="129"/>
      <c r="J4" s="129"/>
      <c r="K4" s="1"/>
      <c r="L4" s="1"/>
      <c r="M4" s="1"/>
      <c r="N4" s="1"/>
      <c r="O4" s="1"/>
      <c r="P4" s="1"/>
      <c r="Q4" s="1"/>
      <c r="R4" s="1"/>
      <c r="S4" s="1"/>
      <c r="T4" s="1"/>
      <c r="U4" s="1"/>
      <c r="V4" s="1"/>
      <c r="W4" s="1"/>
      <c r="X4" s="1"/>
      <c r="Y4" s="1"/>
      <c r="Z4" s="1"/>
      <c r="AA4" s="1"/>
      <c r="AB4" s="1"/>
    </row>
    <row r="5" spans="1:28" ht="16.5" customHeight="1" x14ac:dyDescent="0.25">
      <c r="A5" s="351" t="s">
        <v>580</v>
      </c>
      <c r="B5" s="351" t="s">
        <v>581</v>
      </c>
      <c r="C5" s="129"/>
      <c r="D5" s="129"/>
      <c r="E5" s="129"/>
      <c r="F5" s="129"/>
      <c r="G5" s="129"/>
      <c r="H5" s="129"/>
      <c r="I5" s="129"/>
      <c r="J5" s="129"/>
      <c r="K5" s="1"/>
      <c r="L5" s="1"/>
      <c r="M5" s="1"/>
      <c r="N5" s="1"/>
      <c r="O5" s="1"/>
      <c r="P5" s="1"/>
      <c r="Q5" s="1"/>
      <c r="R5" s="1"/>
      <c r="S5" s="1"/>
      <c r="T5" s="1"/>
      <c r="U5" s="1"/>
      <c r="V5" s="1"/>
      <c r="W5" s="1"/>
      <c r="X5" s="1"/>
      <c r="Y5" s="1"/>
      <c r="Z5" s="1"/>
      <c r="AA5" s="1"/>
      <c r="AB5" s="1"/>
    </row>
    <row r="6" spans="1:28" ht="16.5" customHeight="1" x14ac:dyDescent="0.25">
      <c r="A6" s="351" t="s">
        <v>582</v>
      </c>
      <c r="B6" s="824" t="s">
        <v>1107</v>
      </c>
      <c r="C6" s="129"/>
      <c r="D6" s="129"/>
      <c r="E6" s="129"/>
      <c r="F6" s="129"/>
      <c r="G6" s="129"/>
      <c r="H6" s="129"/>
      <c r="I6" s="129"/>
      <c r="J6" s="129"/>
      <c r="K6" s="1"/>
      <c r="L6" s="1"/>
      <c r="M6" s="1"/>
      <c r="N6" s="1"/>
      <c r="O6" s="1"/>
      <c r="P6" s="1"/>
      <c r="Q6" s="1"/>
      <c r="R6" s="1"/>
      <c r="S6" s="1"/>
      <c r="T6" s="1"/>
      <c r="U6" s="1"/>
      <c r="V6" s="1"/>
      <c r="W6" s="1"/>
      <c r="X6" s="1"/>
      <c r="Y6" s="1"/>
      <c r="Z6" s="1"/>
      <c r="AA6" s="1"/>
      <c r="AB6" s="1"/>
    </row>
    <row r="7" spans="1:28" x14ac:dyDescent="0.2">
      <c r="A7" s="1"/>
      <c r="B7" s="1"/>
      <c r="C7" s="1"/>
      <c r="D7" s="1"/>
      <c r="E7" s="1"/>
      <c r="F7" s="1"/>
      <c r="G7" s="1"/>
      <c r="H7" s="1"/>
      <c r="I7" s="1"/>
      <c r="J7" s="1"/>
      <c r="K7" s="1"/>
      <c r="L7" s="1"/>
      <c r="M7" s="1"/>
      <c r="N7" s="1"/>
      <c r="O7" s="1"/>
      <c r="P7" s="1"/>
      <c r="Q7" s="1"/>
      <c r="R7" s="1"/>
      <c r="S7" s="1"/>
      <c r="T7" s="1"/>
      <c r="U7" s="1"/>
      <c r="V7" s="1"/>
      <c r="W7" s="1"/>
      <c r="X7" s="1"/>
      <c r="Y7" s="1"/>
      <c r="Z7" s="1"/>
      <c r="AA7" s="1"/>
      <c r="AB7" s="1"/>
    </row>
    <row r="8" spans="1:28" ht="18.75" customHeight="1" x14ac:dyDescent="0.2">
      <c r="A8" s="1357" t="s">
        <v>4</v>
      </c>
      <c r="B8" s="1298" t="s">
        <v>224</v>
      </c>
      <c r="C8" s="1298"/>
      <c r="D8" s="1298"/>
      <c r="E8" s="1298"/>
      <c r="F8" s="1298"/>
      <c r="G8" s="1298"/>
      <c r="H8" s="1298"/>
      <c r="I8" s="1298"/>
      <c r="J8" s="1298"/>
      <c r="K8" s="1298"/>
      <c r="L8" s="1298"/>
      <c r="M8" s="1298"/>
      <c r="N8" s="1298"/>
      <c r="O8" s="1298"/>
      <c r="P8" s="1298"/>
      <c r="Q8" s="1298"/>
      <c r="R8" s="1298"/>
      <c r="S8" s="1298"/>
      <c r="T8" s="1298"/>
      <c r="U8" s="1298"/>
      <c r="V8" s="1298"/>
      <c r="W8" s="1298"/>
      <c r="X8" s="1298"/>
      <c r="Y8" s="1298"/>
      <c r="Z8" s="1298"/>
      <c r="AA8" s="1358" t="s">
        <v>269</v>
      </c>
      <c r="AB8" s="1"/>
    </row>
    <row r="9" spans="1:28" ht="18.75" customHeight="1" x14ac:dyDescent="0.2">
      <c r="A9" s="1357"/>
      <c r="B9" s="201" t="s">
        <v>251</v>
      </c>
      <c r="C9" s="201" t="s">
        <v>225</v>
      </c>
      <c r="D9" s="201" t="s">
        <v>226</v>
      </c>
      <c r="E9" s="201" t="s">
        <v>227</v>
      </c>
      <c r="F9" s="201" t="s">
        <v>228</v>
      </c>
      <c r="G9" s="201" t="s">
        <v>229</v>
      </c>
      <c r="H9" s="201" t="s">
        <v>230</v>
      </c>
      <c r="I9" s="201" t="s">
        <v>231</v>
      </c>
      <c r="J9" s="201" t="s">
        <v>232</v>
      </c>
      <c r="K9" s="201" t="s">
        <v>233</v>
      </c>
      <c r="L9" s="201" t="s">
        <v>234</v>
      </c>
      <c r="M9" s="201" t="s">
        <v>235</v>
      </c>
      <c r="N9" s="201" t="s">
        <v>257</v>
      </c>
      <c r="O9" s="201" t="s">
        <v>236</v>
      </c>
      <c r="P9" s="201" t="s">
        <v>237</v>
      </c>
      <c r="Q9" s="201" t="s">
        <v>238</v>
      </c>
      <c r="R9" s="201" t="s">
        <v>239</v>
      </c>
      <c r="S9" s="201" t="s">
        <v>240</v>
      </c>
      <c r="T9" s="201" t="s">
        <v>241</v>
      </c>
      <c r="U9" s="201" t="s">
        <v>242</v>
      </c>
      <c r="V9" s="201" t="s">
        <v>243</v>
      </c>
      <c r="W9" s="201" t="s">
        <v>244</v>
      </c>
      <c r="X9" s="201" t="s">
        <v>245</v>
      </c>
      <c r="Y9" s="201" t="s">
        <v>246</v>
      </c>
      <c r="Z9" s="201" t="s">
        <v>201</v>
      </c>
      <c r="AA9" s="1358"/>
      <c r="AB9" s="1"/>
    </row>
    <row r="10" spans="1:28" ht="18.75" customHeight="1" x14ac:dyDescent="0.2">
      <c r="A10" s="347" t="s">
        <v>16</v>
      </c>
      <c r="B10" s="103">
        <v>598.29999999999995</v>
      </c>
      <c r="C10" s="167">
        <v>532</v>
      </c>
      <c r="D10" s="167">
        <v>511</v>
      </c>
      <c r="E10" s="167">
        <v>422</v>
      </c>
      <c r="F10" s="167">
        <v>381</v>
      </c>
      <c r="G10" s="167">
        <v>290</v>
      </c>
      <c r="H10" s="167">
        <v>231</v>
      </c>
      <c r="I10" s="167">
        <v>301</v>
      </c>
      <c r="J10" s="167">
        <v>278</v>
      </c>
      <c r="K10" s="167">
        <v>406</v>
      </c>
      <c r="L10" s="167">
        <v>411</v>
      </c>
      <c r="M10" s="167">
        <v>461</v>
      </c>
      <c r="N10" s="167">
        <v>565</v>
      </c>
      <c r="O10" s="167">
        <v>510</v>
      </c>
      <c r="P10" s="167">
        <v>597</v>
      </c>
      <c r="Q10" s="167">
        <v>599</v>
      </c>
      <c r="R10" s="167">
        <v>827</v>
      </c>
      <c r="S10" s="167">
        <v>846</v>
      </c>
      <c r="T10" s="167">
        <v>842</v>
      </c>
      <c r="U10" s="167">
        <v>825</v>
      </c>
      <c r="V10" s="167">
        <v>899</v>
      </c>
      <c r="W10" s="167">
        <v>840</v>
      </c>
      <c r="X10" s="167">
        <v>716</v>
      </c>
      <c r="Y10" s="167">
        <v>728</v>
      </c>
      <c r="Z10" s="220"/>
      <c r="AA10" s="818">
        <f t="shared" ref="AA10:AA18" si="0">SUM(B10:Z10)</f>
        <v>13616.3</v>
      </c>
      <c r="AB10" s="802"/>
    </row>
    <row r="11" spans="1:28" ht="13.5" customHeight="1" x14ac:dyDescent="0.2">
      <c r="A11" s="13" t="s">
        <v>18</v>
      </c>
      <c r="B11" s="4">
        <v>604.29999999999995</v>
      </c>
      <c r="C11" s="161">
        <v>564</v>
      </c>
      <c r="D11" s="161">
        <v>522</v>
      </c>
      <c r="E11" s="161">
        <v>393</v>
      </c>
      <c r="F11" s="161">
        <v>397</v>
      </c>
      <c r="G11" s="161">
        <v>254</v>
      </c>
      <c r="H11" s="161">
        <v>264</v>
      </c>
      <c r="I11" s="161">
        <v>296</v>
      </c>
      <c r="J11" s="161">
        <v>268</v>
      </c>
      <c r="K11" s="161">
        <v>330</v>
      </c>
      <c r="L11" s="161">
        <v>401</v>
      </c>
      <c r="M11" s="161">
        <v>505</v>
      </c>
      <c r="N11" s="161">
        <v>505</v>
      </c>
      <c r="O11" s="161">
        <v>535</v>
      </c>
      <c r="P11" s="161">
        <v>538</v>
      </c>
      <c r="Q11" s="161">
        <v>666</v>
      </c>
      <c r="R11" s="161">
        <v>655</v>
      </c>
      <c r="S11" s="161">
        <v>837</v>
      </c>
      <c r="T11" s="161">
        <v>864</v>
      </c>
      <c r="U11" s="161">
        <v>885</v>
      </c>
      <c r="V11" s="161">
        <v>787</v>
      </c>
      <c r="W11" s="161">
        <v>781</v>
      </c>
      <c r="X11" s="161">
        <v>686</v>
      </c>
      <c r="Y11" s="161">
        <v>635</v>
      </c>
      <c r="Z11" s="221">
        <v>1</v>
      </c>
      <c r="AA11" s="817">
        <f t="shared" si="0"/>
        <v>13173.3</v>
      </c>
      <c r="AB11" s="802"/>
    </row>
    <row r="12" spans="1:28" ht="13.5" customHeight="1" x14ac:dyDescent="0.2">
      <c r="A12" s="2" t="str">
        <f>Sheet6!A4</f>
        <v>2009-10</v>
      </c>
      <c r="B12" s="4">
        <f>Sheet6!BY4</f>
        <v>604</v>
      </c>
      <c r="C12" s="161">
        <f>Sheet6!BZ4</f>
        <v>535</v>
      </c>
      <c r="D12" s="4">
        <f>Sheet6!CA4</f>
        <v>522</v>
      </c>
      <c r="E12" s="161">
        <f>Sheet6!CB4</f>
        <v>427</v>
      </c>
      <c r="F12" s="4">
        <f>Sheet6!CC4</f>
        <v>364</v>
      </c>
      <c r="G12" s="161">
        <f>Sheet6!CD4</f>
        <v>243</v>
      </c>
      <c r="H12" s="4">
        <f>Sheet6!CE4</f>
        <v>208</v>
      </c>
      <c r="I12" s="161">
        <f>Sheet6!CF4</f>
        <v>276</v>
      </c>
      <c r="J12" s="4">
        <f>Sheet6!CG4</f>
        <v>293</v>
      </c>
      <c r="K12" s="161">
        <f>Sheet6!CH4</f>
        <v>349</v>
      </c>
      <c r="L12" s="4">
        <f>Sheet6!CI4</f>
        <v>391</v>
      </c>
      <c r="M12" s="161">
        <f>Sheet6!CJ4</f>
        <v>499</v>
      </c>
      <c r="N12" s="4">
        <f>Sheet6!CK4</f>
        <v>578</v>
      </c>
      <c r="O12" s="161">
        <f>Sheet6!CL4</f>
        <v>650</v>
      </c>
      <c r="P12" s="4">
        <f>Sheet6!CM4</f>
        <v>642</v>
      </c>
      <c r="Q12" s="161">
        <f>Sheet6!CN4</f>
        <v>668</v>
      </c>
      <c r="R12" s="4">
        <f>Sheet6!CO4</f>
        <v>743</v>
      </c>
      <c r="S12" s="161">
        <f>Sheet6!CP4</f>
        <v>849</v>
      </c>
      <c r="T12" s="4">
        <f>Sheet6!CQ4</f>
        <v>941</v>
      </c>
      <c r="U12" s="161">
        <f>Sheet6!CR4</f>
        <v>938</v>
      </c>
      <c r="V12" s="4">
        <f>Sheet6!CS4</f>
        <v>905</v>
      </c>
      <c r="W12" s="161">
        <f>Sheet6!CT4</f>
        <v>894</v>
      </c>
      <c r="X12" s="4">
        <f>Sheet6!CU4</f>
        <v>789</v>
      </c>
      <c r="Y12" s="161">
        <f>Sheet6!CV4</f>
        <v>684</v>
      </c>
      <c r="Z12" s="4"/>
      <c r="AA12" s="817">
        <f t="shared" si="0"/>
        <v>13992</v>
      </c>
      <c r="AB12" s="802"/>
    </row>
    <row r="13" spans="1:28" ht="13.5" customHeight="1" x14ac:dyDescent="0.2">
      <c r="A13" s="2" t="str">
        <f>Sheet6!A5</f>
        <v>2010-11</v>
      </c>
      <c r="B13" s="4">
        <f>Sheet6!BY5</f>
        <v>576</v>
      </c>
      <c r="C13" s="161">
        <f>Sheet6!BZ5</f>
        <v>537</v>
      </c>
      <c r="D13" s="161">
        <f>Sheet6!CA5</f>
        <v>456</v>
      </c>
      <c r="E13" s="161">
        <f>Sheet6!CB5</f>
        <v>391</v>
      </c>
      <c r="F13" s="161">
        <f>Sheet6!CC5</f>
        <v>312</v>
      </c>
      <c r="G13" s="161">
        <f>Sheet6!CD5</f>
        <v>282</v>
      </c>
      <c r="H13" s="161">
        <f>Sheet6!CE5</f>
        <v>198</v>
      </c>
      <c r="I13" s="161">
        <f>Sheet6!CF5</f>
        <v>247</v>
      </c>
      <c r="J13" s="161">
        <f>Sheet6!CG5</f>
        <v>284</v>
      </c>
      <c r="K13" s="161">
        <f>Sheet6!CH5</f>
        <v>369</v>
      </c>
      <c r="L13" s="161">
        <f>Sheet6!CI5</f>
        <v>420</v>
      </c>
      <c r="M13" s="161">
        <f>Sheet6!CJ5</f>
        <v>504</v>
      </c>
      <c r="N13" s="161">
        <f>Sheet6!CK5</f>
        <v>549</v>
      </c>
      <c r="O13" s="161">
        <f>Sheet6!CL5</f>
        <v>553</v>
      </c>
      <c r="P13" s="161">
        <f>Sheet6!CM5</f>
        <v>614</v>
      </c>
      <c r="Q13" s="161">
        <f>Sheet6!CN5</f>
        <v>583</v>
      </c>
      <c r="R13" s="161">
        <f>Sheet6!CO5</f>
        <v>740</v>
      </c>
      <c r="S13" s="161">
        <f>Sheet6!CP5</f>
        <v>883</v>
      </c>
      <c r="T13" s="161">
        <f>Sheet6!CQ5</f>
        <v>854</v>
      </c>
      <c r="U13" s="161">
        <f>Sheet6!CR5</f>
        <v>834</v>
      </c>
      <c r="V13" s="161">
        <f>Sheet6!CS5</f>
        <v>870</v>
      </c>
      <c r="W13" s="161">
        <f>Sheet6!CT5</f>
        <v>778</v>
      </c>
      <c r="X13" s="161">
        <f>Sheet6!CU5</f>
        <v>684</v>
      </c>
      <c r="Y13" s="161">
        <f>Sheet6!CV5</f>
        <v>626</v>
      </c>
      <c r="Z13" s="221"/>
      <c r="AA13" s="817">
        <f t="shared" si="0"/>
        <v>13144</v>
      </c>
      <c r="AB13" s="4"/>
    </row>
    <row r="14" spans="1:28" ht="13.5" customHeight="1" x14ac:dyDescent="0.2">
      <c r="A14" s="2" t="str">
        <f>Sheet6!A6</f>
        <v>2011-12</v>
      </c>
      <c r="B14" s="161">
        <f>Sheet6!BY6</f>
        <v>552</v>
      </c>
      <c r="C14" s="161">
        <f>Sheet6!BZ6</f>
        <v>488</v>
      </c>
      <c r="D14" s="161">
        <f>Sheet6!CA6</f>
        <v>416</v>
      </c>
      <c r="E14" s="161">
        <f>Sheet6!CB6</f>
        <v>378</v>
      </c>
      <c r="F14" s="161">
        <f>Sheet6!CC6</f>
        <v>298</v>
      </c>
      <c r="G14" s="161">
        <f>Sheet6!CD6</f>
        <v>225</v>
      </c>
      <c r="H14" s="161">
        <f>Sheet6!CE6</f>
        <v>220</v>
      </c>
      <c r="I14" s="161">
        <f>Sheet6!CF6</f>
        <v>236</v>
      </c>
      <c r="J14" s="161">
        <f>Sheet6!CG6</f>
        <v>306</v>
      </c>
      <c r="K14" s="161">
        <f>Sheet6!CH6</f>
        <v>331</v>
      </c>
      <c r="L14" s="161">
        <f>Sheet6!CI6</f>
        <v>389</v>
      </c>
      <c r="M14" s="161">
        <f>Sheet6!CJ6</f>
        <v>456</v>
      </c>
      <c r="N14" s="161">
        <f>Sheet6!CK6</f>
        <v>506</v>
      </c>
      <c r="O14" s="161">
        <f>Sheet6!CL6</f>
        <v>567</v>
      </c>
      <c r="P14" s="161">
        <f>Sheet6!CM6</f>
        <v>545</v>
      </c>
      <c r="Q14" s="161">
        <f>Sheet6!CN6</f>
        <v>604</v>
      </c>
      <c r="R14" s="161">
        <f>Sheet6!CO6</f>
        <v>719</v>
      </c>
      <c r="S14" s="161">
        <f>Sheet6!CP6</f>
        <v>820</v>
      </c>
      <c r="T14" s="161">
        <f>Sheet6!CQ6</f>
        <v>804</v>
      </c>
      <c r="U14" s="161">
        <f>Sheet6!CR6</f>
        <v>841</v>
      </c>
      <c r="V14" s="161">
        <f>Sheet6!CS6</f>
        <v>773</v>
      </c>
      <c r="W14" s="161">
        <f>Sheet6!CT6</f>
        <v>736</v>
      </c>
      <c r="X14" s="161">
        <f>Sheet6!CU6</f>
        <v>609</v>
      </c>
      <c r="Y14" s="161">
        <f>Sheet6!CV6</f>
        <v>592</v>
      </c>
      <c r="Z14" s="221"/>
      <c r="AA14" s="817">
        <f t="shared" si="0"/>
        <v>12411</v>
      </c>
      <c r="AB14" s="4"/>
    </row>
    <row r="15" spans="1:28" ht="13.5" customHeight="1" x14ac:dyDescent="0.2">
      <c r="A15" s="2" t="str">
        <f>Sheet6!A7</f>
        <v>2012-13</v>
      </c>
      <c r="B15" s="161">
        <f>Sheet6!BY7</f>
        <v>443</v>
      </c>
      <c r="C15" s="161">
        <f>Sheet6!BZ7</f>
        <v>393</v>
      </c>
      <c r="D15" s="161">
        <f>Sheet6!CA7</f>
        <v>335</v>
      </c>
      <c r="E15" s="161">
        <f>Sheet6!CB7</f>
        <v>283</v>
      </c>
      <c r="F15" s="161">
        <f>Sheet6!CC7</f>
        <v>237</v>
      </c>
      <c r="G15" s="161">
        <f>Sheet6!CD7</f>
        <v>213</v>
      </c>
      <c r="H15" s="161">
        <f>Sheet6!CE7</f>
        <v>187</v>
      </c>
      <c r="I15" s="161">
        <f>Sheet6!CF7</f>
        <v>225</v>
      </c>
      <c r="J15" s="161">
        <f>Sheet6!CG7</f>
        <v>312</v>
      </c>
      <c r="K15" s="161">
        <f>Sheet6!CH7</f>
        <v>340</v>
      </c>
      <c r="L15" s="161">
        <f>Sheet6!CI7</f>
        <v>353</v>
      </c>
      <c r="M15" s="161">
        <f>Sheet6!CJ7</f>
        <v>402</v>
      </c>
      <c r="N15" s="161">
        <f>Sheet6!CK7</f>
        <v>466</v>
      </c>
      <c r="O15" s="161">
        <f>Sheet6!CL7</f>
        <v>531</v>
      </c>
      <c r="P15" s="161">
        <f>Sheet6!CM7</f>
        <v>533</v>
      </c>
      <c r="Q15" s="161">
        <f>Sheet6!CN7</f>
        <v>603</v>
      </c>
      <c r="R15" s="161">
        <f>Sheet6!CO7</f>
        <v>664</v>
      </c>
      <c r="S15" s="161">
        <f>Sheet6!CP7</f>
        <v>744</v>
      </c>
      <c r="T15" s="161">
        <f>Sheet6!CQ7</f>
        <v>734</v>
      </c>
      <c r="U15" s="161">
        <f>Sheet6!CR7</f>
        <v>725</v>
      </c>
      <c r="V15" s="161">
        <f>Sheet6!CS7</f>
        <v>701</v>
      </c>
      <c r="W15" s="161">
        <f>Sheet6!CT7</f>
        <v>600</v>
      </c>
      <c r="X15" s="161">
        <f>Sheet6!CU7</f>
        <v>553</v>
      </c>
      <c r="Y15" s="161">
        <f>Sheet6!CV7</f>
        <v>509</v>
      </c>
      <c r="Z15" s="221"/>
      <c r="AA15" s="817">
        <f t="shared" si="0"/>
        <v>11086</v>
      </c>
      <c r="AB15" s="4"/>
    </row>
    <row r="16" spans="1:28" ht="13.5" customHeight="1" x14ac:dyDescent="0.2">
      <c r="A16" s="2" t="str">
        <f>Sheet6!A8</f>
        <v>2013-14</v>
      </c>
      <c r="B16" s="161">
        <f>Sheet6!BY8</f>
        <v>374</v>
      </c>
      <c r="C16" s="161">
        <f>Sheet6!BZ8</f>
        <v>345</v>
      </c>
      <c r="D16" s="161">
        <f>Sheet6!CA8</f>
        <v>311</v>
      </c>
      <c r="E16" s="161">
        <f>Sheet6!CB8</f>
        <v>264</v>
      </c>
      <c r="F16" s="161">
        <f>Sheet6!CC8</f>
        <v>210</v>
      </c>
      <c r="G16" s="161">
        <f>Sheet6!CD8</f>
        <v>183</v>
      </c>
      <c r="H16" s="161">
        <f>Sheet6!CE8</f>
        <v>181</v>
      </c>
      <c r="I16" s="161">
        <f>Sheet6!CF8</f>
        <v>224</v>
      </c>
      <c r="J16" s="161">
        <f>Sheet6!CG8</f>
        <v>274</v>
      </c>
      <c r="K16" s="161">
        <f>Sheet6!CH8</f>
        <v>332</v>
      </c>
      <c r="L16" s="161">
        <f>Sheet6!CI8</f>
        <v>369</v>
      </c>
      <c r="M16" s="161">
        <f>Sheet6!CJ8</f>
        <v>392</v>
      </c>
      <c r="N16" s="161">
        <f>Sheet6!CK8</f>
        <v>491</v>
      </c>
      <c r="O16" s="161">
        <f>Sheet6!CL8</f>
        <v>511</v>
      </c>
      <c r="P16" s="161">
        <f>Sheet6!CM8</f>
        <v>509</v>
      </c>
      <c r="Q16" s="161">
        <f>Sheet6!CN8</f>
        <v>582</v>
      </c>
      <c r="R16" s="161">
        <f>Sheet6!CO8</f>
        <v>617</v>
      </c>
      <c r="S16" s="161">
        <f>Sheet6!CP8</f>
        <v>776</v>
      </c>
      <c r="T16" s="161">
        <f>Sheet6!CQ8</f>
        <v>708</v>
      </c>
      <c r="U16" s="161">
        <f>Sheet6!CR8</f>
        <v>679</v>
      </c>
      <c r="V16" s="161">
        <f>Sheet6!CS8</f>
        <v>696</v>
      </c>
      <c r="W16" s="161">
        <f>Sheet6!CT8</f>
        <v>563</v>
      </c>
      <c r="X16" s="161">
        <f>Sheet6!CU8</f>
        <v>515</v>
      </c>
      <c r="Y16" s="161">
        <f>Sheet6!CV8</f>
        <v>415</v>
      </c>
      <c r="Z16" s="221"/>
      <c r="AA16" s="817">
        <f t="shared" si="0"/>
        <v>10521</v>
      </c>
      <c r="AB16" s="4"/>
    </row>
    <row r="17" spans="1:29" ht="13.5" customHeight="1" x14ac:dyDescent="0.2">
      <c r="A17" s="2" t="str">
        <f>Sheet6!A9</f>
        <v>2014-15</v>
      </c>
      <c r="B17" s="161">
        <f>Sheet6!BY9</f>
        <v>443</v>
      </c>
      <c r="C17" s="161">
        <f>Sheet6!BZ9</f>
        <v>382</v>
      </c>
      <c r="D17" s="161">
        <f>Sheet6!CA9</f>
        <v>324</v>
      </c>
      <c r="E17" s="161">
        <f>Sheet6!CB9</f>
        <v>271</v>
      </c>
      <c r="F17" s="161">
        <f>Sheet6!CC9</f>
        <v>240</v>
      </c>
      <c r="G17" s="161">
        <f>Sheet6!CD9</f>
        <v>175</v>
      </c>
      <c r="H17" s="161">
        <f>Sheet6!CE9</f>
        <v>189</v>
      </c>
      <c r="I17" s="161">
        <f>Sheet6!CF9</f>
        <v>213</v>
      </c>
      <c r="J17" s="161">
        <f>Sheet6!CG9</f>
        <v>282</v>
      </c>
      <c r="K17" s="161">
        <f>Sheet6!CH9</f>
        <v>323</v>
      </c>
      <c r="L17" s="161">
        <f>Sheet6!CI9</f>
        <v>396</v>
      </c>
      <c r="M17" s="161">
        <f>Sheet6!CJ9</f>
        <v>440</v>
      </c>
      <c r="N17" s="161">
        <f>Sheet6!CK9</f>
        <v>482</v>
      </c>
      <c r="O17" s="161">
        <f>Sheet6!CL9</f>
        <v>527</v>
      </c>
      <c r="P17" s="161">
        <f>Sheet6!CM9</f>
        <v>517</v>
      </c>
      <c r="Q17" s="161">
        <f>Sheet6!CN9</f>
        <v>584</v>
      </c>
      <c r="R17" s="161">
        <f>Sheet6!CO9</f>
        <v>601</v>
      </c>
      <c r="S17" s="161">
        <f>Sheet6!CP9</f>
        <v>716</v>
      </c>
      <c r="T17" s="161">
        <f>Sheet6!CQ9</f>
        <v>723</v>
      </c>
      <c r="U17" s="161">
        <f>Sheet6!CR9</f>
        <v>693</v>
      </c>
      <c r="V17" s="161">
        <f>Sheet6!CS9</f>
        <v>615</v>
      </c>
      <c r="W17" s="161">
        <f>Sheet6!CT9</f>
        <v>598</v>
      </c>
      <c r="X17" s="161">
        <f>Sheet6!CU9</f>
        <v>458</v>
      </c>
      <c r="Y17" s="161">
        <f>Sheet6!CV9</f>
        <v>441</v>
      </c>
      <c r="Z17" s="221"/>
      <c r="AA17" s="817">
        <f t="shared" si="0"/>
        <v>10633</v>
      </c>
      <c r="AB17" s="4"/>
    </row>
    <row r="18" spans="1:29" ht="13.5" customHeight="1" x14ac:dyDescent="0.2">
      <c r="A18" s="2" t="str">
        <f>Sheet6!A10</f>
        <v>2015-16</v>
      </c>
      <c r="B18">
        <f>Sheet6!BY10</f>
        <v>396</v>
      </c>
      <c r="C18">
        <f>Sheet6!BZ10</f>
        <v>373</v>
      </c>
      <c r="D18">
        <f>Sheet6!CA10</f>
        <v>306</v>
      </c>
      <c r="E18">
        <f>Sheet6!CB10</f>
        <v>232</v>
      </c>
      <c r="F18">
        <f>Sheet6!CC10</f>
        <v>212</v>
      </c>
      <c r="G18">
        <f>Sheet6!CD10</f>
        <v>188</v>
      </c>
      <c r="H18">
        <f>Sheet6!CE10</f>
        <v>172</v>
      </c>
      <c r="I18">
        <f>Sheet6!CF10</f>
        <v>215</v>
      </c>
      <c r="J18">
        <f>Sheet6!CG10</f>
        <v>297</v>
      </c>
      <c r="K18">
        <f>Sheet6!CH10</f>
        <v>347</v>
      </c>
      <c r="L18">
        <f>Sheet6!CI10</f>
        <v>386</v>
      </c>
      <c r="M18">
        <f>Sheet6!CJ10</f>
        <v>464</v>
      </c>
      <c r="N18">
        <f>Sheet6!CK10</f>
        <v>484</v>
      </c>
      <c r="O18">
        <f>Sheet6!CL10</f>
        <v>577</v>
      </c>
      <c r="P18">
        <f>Sheet6!CM10</f>
        <v>557</v>
      </c>
      <c r="Q18">
        <f>Sheet6!CN10</f>
        <v>612</v>
      </c>
      <c r="R18">
        <f>Sheet6!CO10</f>
        <v>703</v>
      </c>
      <c r="S18">
        <f>Sheet6!CP10</f>
        <v>785</v>
      </c>
      <c r="T18">
        <f>Sheet6!CQ10</f>
        <v>715</v>
      </c>
      <c r="U18">
        <f>Sheet6!CR10</f>
        <v>694</v>
      </c>
      <c r="V18">
        <f>Sheet6!CS10</f>
        <v>637</v>
      </c>
      <c r="W18">
        <f>Sheet6!CT10</f>
        <v>650</v>
      </c>
      <c r="X18">
        <f>Sheet6!CU10</f>
        <v>543</v>
      </c>
      <c r="Y18">
        <f>Sheet6!CV10</f>
        <v>461</v>
      </c>
      <c r="Z18" s="193"/>
      <c r="AA18" s="817">
        <f t="shared" si="0"/>
        <v>11006</v>
      </c>
      <c r="AB18" s="1"/>
    </row>
    <row r="19" spans="1:29" ht="13.5" customHeight="1" x14ac:dyDescent="0.2">
      <c r="A19" s="2" t="str">
        <f>Sheet6!A11</f>
        <v>2016-17</v>
      </c>
      <c r="B19">
        <f>Sheet6!BY11</f>
        <v>400</v>
      </c>
      <c r="C19">
        <f>Sheet6!BZ11</f>
        <v>353</v>
      </c>
      <c r="D19">
        <f>Sheet6!CA11</f>
        <v>314</v>
      </c>
      <c r="E19">
        <f>Sheet6!CB11</f>
        <v>256</v>
      </c>
      <c r="F19">
        <f>Sheet6!CC11</f>
        <v>214</v>
      </c>
      <c r="G19">
        <f>Sheet6!CD11</f>
        <v>190</v>
      </c>
      <c r="H19">
        <f>Sheet6!CE11</f>
        <v>171</v>
      </c>
      <c r="I19">
        <f>Sheet6!CF11</f>
        <v>236</v>
      </c>
      <c r="J19">
        <f>Sheet6!CG11</f>
        <v>316</v>
      </c>
      <c r="K19">
        <f>Sheet6!CH11</f>
        <v>307</v>
      </c>
      <c r="L19">
        <f>Sheet6!CI11</f>
        <v>398</v>
      </c>
      <c r="M19">
        <f>Sheet6!CJ11</f>
        <v>464</v>
      </c>
      <c r="N19">
        <f>Sheet6!CK11</f>
        <v>479</v>
      </c>
      <c r="O19">
        <f>Sheet6!CL11</f>
        <v>494</v>
      </c>
      <c r="P19">
        <f>Sheet6!CM11</f>
        <v>546</v>
      </c>
      <c r="Q19">
        <f>Sheet6!CN11</f>
        <v>531</v>
      </c>
      <c r="R19">
        <f>Sheet6!CO11</f>
        <v>690</v>
      </c>
      <c r="S19">
        <f>Sheet6!CP11</f>
        <v>745</v>
      </c>
      <c r="T19">
        <f>Sheet6!CQ11</f>
        <v>787</v>
      </c>
      <c r="U19">
        <f>Sheet6!CR11</f>
        <v>731</v>
      </c>
      <c r="V19">
        <f>Sheet6!CS11</f>
        <v>677</v>
      </c>
      <c r="W19">
        <f>Sheet6!CT11</f>
        <v>574</v>
      </c>
      <c r="X19">
        <f>Sheet6!CU11</f>
        <v>510</v>
      </c>
      <c r="Y19">
        <f>Sheet6!CV11</f>
        <v>511</v>
      </c>
      <c r="Z19" s="193"/>
      <c r="AA19" s="817">
        <f t="shared" ref="AA19:AA22" si="1">SUM(B19:Z19)</f>
        <v>10894</v>
      </c>
      <c r="AB19" s="1"/>
    </row>
    <row r="20" spans="1:29" ht="13.5" customHeight="1" x14ac:dyDescent="0.2">
      <c r="A20" s="2" t="str">
        <f>Sheet6!A12</f>
        <v>2017-18</v>
      </c>
      <c r="B20">
        <f>Sheet6!BY12</f>
        <v>395</v>
      </c>
      <c r="C20">
        <f>Sheet6!BZ12</f>
        <v>374</v>
      </c>
      <c r="D20">
        <f>Sheet6!CA12</f>
        <v>300</v>
      </c>
      <c r="E20">
        <f>Sheet6!CB12</f>
        <v>241</v>
      </c>
      <c r="F20">
        <f>Sheet6!CC12</f>
        <v>202</v>
      </c>
      <c r="G20">
        <f>Sheet6!CD12</f>
        <v>178</v>
      </c>
      <c r="H20">
        <f>Sheet6!CE12</f>
        <v>165</v>
      </c>
      <c r="I20">
        <f>Sheet6!CF12</f>
        <v>236</v>
      </c>
      <c r="J20">
        <f>Sheet6!CG12</f>
        <v>293</v>
      </c>
      <c r="K20">
        <f>Sheet6!CH12</f>
        <v>344</v>
      </c>
      <c r="L20">
        <f>Sheet6!CI12</f>
        <v>356</v>
      </c>
      <c r="M20">
        <f>Sheet6!CJ12</f>
        <v>433</v>
      </c>
      <c r="N20">
        <f>Sheet6!CK12</f>
        <v>460</v>
      </c>
      <c r="O20">
        <f>Sheet6!CL12</f>
        <v>488</v>
      </c>
      <c r="P20">
        <f>Sheet6!CM12</f>
        <v>558</v>
      </c>
      <c r="Q20">
        <f>Sheet6!CN12</f>
        <v>570</v>
      </c>
      <c r="R20">
        <f>Sheet6!CO12</f>
        <v>620</v>
      </c>
      <c r="S20">
        <f>Sheet6!CP12</f>
        <v>761</v>
      </c>
      <c r="T20">
        <f>Sheet6!CQ12</f>
        <v>732</v>
      </c>
      <c r="U20">
        <f>Sheet6!CR12</f>
        <v>707</v>
      </c>
      <c r="V20">
        <f>Sheet6!CS12</f>
        <v>687</v>
      </c>
      <c r="W20">
        <f>Sheet6!CT12</f>
        <v>595</v>
      </c>
      <c r="X20">
        <f>Sheet6!CU12</f>
        <v>520</v>
      </c>
      <c r="Y20">
        <f>Sheet6!CV12</f>
        <v>457</v>
      </c>
      <c r="Z20" s="193"/>
      <c r="AA20" s="817">
        <f t="shared" si="1"/>
        <v>10672</v>
      </c>
      <c r="AB20" s="1"/>
    </row>
    <row r="21" spans="1:29" ht="13.5" customHeight="1" x14ac:dyDescent="0.2">
      <c r="A21" s="2" t="str">
        <f>Sheet6!A13</f>
        <v>2018-19</v>
      </c>
      <c r="B21">
        <f>Sheet6!BY13</f>
        <v>405</v>
      </c>
      <c r="C21">
        <f>Sheet6!BZ13</f>
        <v>376</v>
      </c>
      <c r="D21">
        <f>Sheet6!CA13</f>
        <v>264</v>
      </c>
      <c r="E21">
        <f>Sheet6!CB13</f>
        <v>264</v>
      </c>
      <c r="F21">
        <f>Sheet6!CC13</f>
        <v>191</v>
      </c>
      <c r="G21">
        <f>Sheet6!CD13</f>
        <v>180</v>
      </c>
      <c r="H21">
        <f>Sheet6!CE13</f>
        <v>165</v>
      </c>
      <c r="I21">
        <f>Sheet6!CF13</f>
        <v>209</v>
      </c>
      <c r="J21">
        <f>Sheet6!CG13</f>
        <v>257</v>
      </c>
      <c r="K21">
        <f>Sheet6!CH13</f>
        <v>349</v>
      </c>
      <c r="L21">
        <f>Sheet6!CI13</f>
        <v>366</v>
      </c>
      <c r="M21">
        <f>Sheet6!CJ13</f>
        <v>438</v>
      </c>
      <c r="N21">
        <f>Sheet6!CK13</f>
        <v>499</v>
      </c>
      <c r="O21">
        <f>Sheet6!CL13</f>
        <v>512</v>
      </c>
      <c r="P21">
        <f>Sheet6!CM13</f>
        <v>489</v>
      </c>
      <c r="Q21">
        <f>Sheet6!CN13</f>
        <v>560</v>
      </c>
      <c r="R21">
        <f>Sheet6!CO13</f>
        <v>642</v>
      </c>
      <c r="S21">
        <f>Sheet6!CP13</f>
        <v>736</v>
      </c>
      <c r="T21">
        <f>Sheet6!CQ13</f>
        <v>717</v>
      </c>
      <c r="U21">
        <f>Sheet6!CR13</f>
        <v>681</v>
      </c>
      <c r="V21">
        <f>Sheet6!CS13</f>
        <v>649</v>
      </c>
      <c r="W21">
        <f>Sheet6!CT13</f>
        <v>579</v>
      </c>
      <c r="X21">
        <f>Sheet6!CU13</f>
        <v>469</v>
      </c>
      <c r="Y21">
        <f>Sheet6!CV13</f>
        <v>476</v>
      </c>
      <c r="Z21" s="193"/>
      <c r="AA21" s="817">
        <f t="shared" si="1"/>
        <v>10473</v>
      </c>
      <c r="AB21" s="1"/>
    </row>
    <row r="22" spans="1:29" ht="13.5" customHeight="1" x14ac:dyDescent="0.2">
      <c r="A22" s="2" t="str">
        <f>Sheet6!A14</f>
        <v>2019-20</v>
      </c>
      <c r="B22">
        <f>Sheet6!BY14</f>
        <v>391</v>
      </c>
      <c r="C22">
        <f>Sheet6!BZ14</f>
        <v>390</v>
      </c>
      <c r="D22">
        <f>Sheet6!CA14</f>
        <v>286</v>
      </c>
      <c r="E22">
        <f>Sheet6!CB14</f>
        <v>225</v>
      </c>
      <c r="F22">
        <f>Sheet6!CC14</f>
        <v>195</v>
      </c>
      <c r="G22">
        <f>Sheet6!CD14</f>
        <v>150</v>
      </c>
      <c r="H22">
        <f>Sheet6!CE14</f>
        <v>154</v>
      </c>
      <c r="I22">
        <f>Sheet6!CF14</f>
        <v>183</v>
      </c>
      <c r="J22">
        <f>Sheet6!CG14</f>
        <v>257</v>
      </c>
      <c r="K22">
        <f>Sheet6!CH14</f>
        <v>297</v>
      </c>
      <c r="L22">
        <f>Sheet6!CI14</f>
        <v>347</v>
      </c>
      <c r="M22">
        <f>Sheet6!CJ14</f>
        <v>398</v>
      </c>
      <c r="N22">
        <f>Sheet6!CK14</f>
        <v>414</v>
      </c>
      <c r="O22">
        <f>Sheet6!CL14</f>
        <v>454</v>
      </c>
      <c r="P22">
        <f>Sheet6!CM14</f>
        <v>502</v>
      </c>
      <c r="Q22">
        <f>Sheet6!CN14</f>
        <v>514</v>
      </c>
      <c r="R22">
        <f>Sheet6!CO14</f>
        <v>602</v>
      </c>
      <c r="S22">
        <f>Sheet6!CP14</f>
        <v>653</v>
      </c>
      <c r="T22">
        <f>Sheet6!CQ14</f>
        <v>699</v>
      </c>
      <c r="U22">
        <f>Sheet6!CR14</f>
        <v>600</v>
      </c>
      <c r="V22">
        <f>Sheet6!CS14</f>
        <v>636</v>
      </c>
      <c r="W22">
        <f>Sheet6!CT14</f>
        <v>532</v>
      </c>
      <c r="X22">
        <f>Sheet6!CU14</f>
        <v>521</v>
      </c>
      <c r="Y22">
        <f>Sheet6!CV14</f>
        <v>452</v>
      </c>
      <c r="Z22" s="193"/>
      <c r="AA22" s="817">
        <f t="shared" si="1"/>
        <v>9852</v>
      </c>
      <c r="AB22" s="1"/>
    </row>
    <row r="23" spans="1:29" ht="13.5" thickBot="1" x14ac:dyDescent="0.25">
      <c r="A23" s="447" t="str">
        <f>Sheet6!A15</f>
        <v>2020-21</v>
      </c>
      <c r="B23" s="510">
        <f>Sheet6!BY15</f>
        <v>390</v>
      </c>
      <c r="C23" s="510">
        <f>Sheet6!BZ15</f>
        <v>342</v>
      </c>
      <c r="D23" s="510">
        <f>Sheet6!CA15</f>
        <v>251</v>
      </c>
      <c r="E23" s="510">
        <f>Sheet6!CB15</f>
        <v>214</v>
      </c>
      <c r="F23" s="510">
        <f>Sheet6!CC15</f>
        <v>183</v>
      </c>
      <c r="G23" s="510">
        <f>Sheet6!CD15</f>
        <v>131</v>
      </c>
      <c r="H23" s="510">
        <f>Sheet6!CE15</f>
        <v>146</v>
      </c>
      <c r="I23" s="510">
        <f>Sheet6!CF15</f>
        <v>160</v>
      </c>
      <c r="J23" s="510">
        <f>Sheet6!CG15</f>
        <v>230</v>
      </c>
      <c r="K23" s="510">
        <f>Sheet6!CH15</f>
        <v>264</v>
      </c>
      <c r="L23" s="510">
        <f>Sheet6!CI15</f>
        <v>306</v>
      </c>
      <c r="M23" s="510">
        <f>Sheet6!CJ15</f>
        <v>372</v>
      </c>
      <c r="N23" s="510">
        <f>Sheet6!CK15</f>
        <v>413</v>
      </c>
      <c r="O23" s="510">
        <f>Sheet6!CL15</f>
        <v>452</v>
      </c>
      <c r="P23" s="510">
        <f>Sheet6!CM15</f>
        <v>433</v>
      </c>
      <c r="Q23" s="510">
        <f>Sheet6!CN15</f>
        <v>499</v>
      </c>
      <c r="R23" s="510">
        <f>Sheet6!CO15</f>
        <v>650</v>
      </c>
      <c r="S23" s="510">
        <f>Sheet6!CP15</f>
        <v>605</v>
      </c>
      <c r="T23" s="510">
        <f>Sheet6!CQ15</f>
        <v>714</v>
      </c>
      <c r="U23" s="510">
        <f>Sheet6!CR15</f>
        <v>633</v>
      </c>
      <c r="V23" s="510">
        <f>Sheet6!CS15</f>
        <v>580</v>
      </c>
      <c r="W23" s="510">
        <f>Sheet6!CT15</f>
        <v>543</v>
      </c>
      <c r="X23" s="510">
        <f>Sheet6!CU15</f>
        <v>466</v>
      </c>
      <c r="Y23" s="510">
        <f>Sheet6!CV15</f>
        <v>439</v>
      </c>
      <c r="Z23" s="704"/>
      <c r="AA23" s="819">
        <f t="shared" ref="AA23" si="2">SUM(B23:Z23)</f>
        <v>9416</v>
      </c>
      <c r="AB23" s="1"/>
    </row>
    <row r="24" spans="1:29"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9" ht="18.75" customHeight="1" x14ac:dyDescent="0.2">
      <c r="A25" s="1357" t="s">
        <v>4</v>
      </c>
      <c r="B25" s="1298" t="s">
        <v>812</v>
      </c>
      <c r="C25" s="1298"/>
      <c r="D25" s="1298"/>
      <c r="E25" s="1298"/>
      <c r="F25" s="1298"/>
      <c r="G25" s="1298"/>
      <c r="H25" s="1298"/>
      <c r="I25" s="1298"/>
      <c r="J25" s="1298"/>
      <c r="K25" s="1298"/>
      <c r="L25" s="1298"/>
      <c r="M25" s="1298"/>
      <c r="N25" s="1298"/>
      <c r="O25" s="1298"/>
      <c r="P25" s="1298"/>
      <c r="Q25" s="1298"/>
      <c r="R25" s="1298"/>
      <c r="S25" s="1298"/>
      <c r="T25" s="1298"/>
      <c r="U25" s="1298"/>
      <c r="V25" s="1298"/>
      <c r="W25" s="1298"/>
      <c r="X25" s="1298"/>
      <c r="Y25" s="1298"/>
      <c r="Z25" s="1298"/>
      <c r="AA25" s="1358" t="s">
        <v>270</v>
      </c>
      <c r="AB25" s="1"/>
    </row>
    <row r="26" spans="1:29" ht="18.75" customHeight="1" x14ac:dyDescent="0.2">
      <c r="A26" s="1357"/>
      <c r="B26" s="201" t="s">
        <v>251</v>
      </c>
      <c r="C26" s="201" t="s">
        <v>225</v>
      </c>
      <c r="D26" s="201" t="s">
        <v>226</v>
      </c>
      <c r="E26" s="201" t="s">
        <v>227</v>
      </c>
      <c r="F26" s="201" t="s">
        <v>228</v>
      </c>
      <c r="G26" s="201" t="s">
        <v>229</v>
      </c>
      <c r="H26" s="201" t="s">
        <v>230</v>
      </c>
      <c r="I26" s="201" t="s">
        <v>231</v>
      </c>
      <c r="J26" s="201" t="s">
        <v>232</v>
      </c>
      <c r="K26" s="201" t="s">
        <v>233</v>
      </c>
      <c r="L26" s="201" t="s">
        <v>234</v>
      </c>
      <c r="M26" s="201" t="s">
        <v>235</v>
      </c>
      <c r="N26" s="201" t="s">
        <v>257</v>
      </c>
      <c r="O26" s="201" t="s">
        <v>236</v>
      </c>
      <c r="P26" s="201" t="s">
        <v>237</v>
      </c>
      <c r="Q26" s="201" t="s">
        <v>238</v>
      </c>
      <c r="R26" s="201" t="s">
        <v>239</v>
      </c>
      <c r="S26" s="201" t="s">
        <v>240</v>
      </c>
      <c r="T26" s="201" t="s">
        <v>241</v>
      </c>
      <c r="U26" s="201" t="s">
        <v>242</v>
      </c>
      <c r="V26" s="201" t="s">
        <v>243</v>
      </c>
      <c r="W26" s="201" t="s">
        <v>244</v>
      </c>
      <c r="X26" s="201" t="s">
        <v>245</v>
      </c>
      <c r="Y26" s="201" t="s">
        <v>246</v>
      </c>
      <c r="Z26" s="201" t="s">
        <v>201</v>
      </c>
      <c r="AA26" s="1358"/>
      <c r="AB26" s="1"/>
    </row>
    <row r="27" spans="1:29" ht="18.75" customHeight="1" x14ac:dyDescent="0.2">
      <c r="A27" s="347" t="s">
        <v>16</v>
      </c>
      <c r="B27" s="103">
        <v>261</v>
      </c>
      <c r="C27" s="167">
        <v>201</v>
      </c>
      <c r="D27" s="167">
        <v>181</v>
      </c>
      <c r="E27" s="167">
        <v>145</v>
      </c>
      <c r="F27" s="167">
        <v>144</v>
      </c>
      <c r="G27" s="167">
        <v>112</v>
      </c>
      <c r="H27" s="167">
        <v>111</v>
      </c>
      <c r="I27" s="167">
        <v>114</v>
      </c>
      <c r="J27" s="167">
        <v>130</v>
      </c>
      <c r="K27" s="167">
        <v>193</v>
      </c>
      <c r="L27" s="167">
        <v>212</v>
      </c>
      <c r="M27" s="167">
        <v>236</v>
      </c>
      <c r="N27" s="167">
        <v>299</v>
      </c>
      <c r="O27" s="167">
        <v>276</v>
      </c>
      <c r="P27" s="167">
        <v>299</v>
      </c>
      <c r="Q27" s="167">
        <v>320</v>
      </c>
      <c r="R27" s="167">
        <v>489</v>
      </c>
      <c r="S27" s="167">
        <v>550</v>
      </c>
      <c r="T27" s="167">
        <v>508</v>
      </c>
      <c r="U27" s="167">
        <v>487</v>
      </c>
      <c r="V27" s="167">
        <v>405</v>
      </c>
      <c r="W27" s="167">
        <v>405</v>
      </c>
      <c r="X27" s="167">
        <v>312</v>
      </c>
      <c r="Y27" s="167">
        <v>277</v>
      </c>
      <c r="Z27" s="222"/>
      <c r="AA27" s="818">
        <f t="shared" ref="AA27:AA35" si="3">SUM(B27:Z27)</f>
        <v>6667</v>
      </c>
      <c r="AB27" s="802"/>
    </row>
    <row r="28" spans="1:29" ht="13.5" customHeight="1" x14ac:dyDescent="0.2">
      <c r="A28" s="13" t="s">
        <v>18</v>
      </c>
      <c r="B28" s="4">
        <v>260</v>
      </c>
      <c r="C28" s="161">
        <v>263</v>
      </c>
      <c r="D28" s="161">
        <v>210</v>
      </c>
      <c r="E28" s="161">
        <v>129</v>
      </c>
      <c r="F28" s="161">
        <v>125</v>
      </c>
      <c r="G28" s="161">
        <v>91</v>
      </c>
      <c r="H28" s="161">
        <v>119</v>
      </c>
      <c r="I28" s="161">
        <v>110</v>
      </c>
      <c r="J28" s="161">
        <v>145</v>
      </c>
      <c r="K28" s="161">
        <v>198</v>
      </c>
      <c r="L28" s="161">
        <v>200</v>
      </c>
      <c r="M28" s="161">
        <v>271</v>
      </c>
      <c r="N28" s="161">
        <v>296</v>
      </c>
      <c r="O28" s="161">
        <v>301</v>
      </c>
      <c r="P28" s="161">
        <v>298</v>
      </c>
      <c r="Q28" s="161">
        <v>367</v>
      </c>
      <c r="R28" s="161">
        <v>386</v>
      </c>
      <c r="S28" s="161">
        <v>531</v>
      </c>
      <c r="T28" s="161">
        <v>513</v>
      </c>
      <c r="U28" s="161">
        <v>522</v>
      </c>
      <c r="V28" s="161">
        <v>399</v>
      </c>
      <c r="W28" s="161">
        <v>340</v>
      </c>
      <c r="X28" s="161">
        <v>348</v>
      </c>
      <c r="Y28" s="161">
        <v>280</v>
      </c>
      <c r="Z28" s="162">
        <v>1</v>
      </c>
      <c r="AA28" s="817">
        <f t="shared" si="3"/>
        <v>6703</v>
      </c>
      <c r="AB28" s="802"/>
    </row>
    <row r="29" spans="1:29" ht="13.5" customHeight="1" x14ac:dyDescent="0.25">
      <c r="A29" s="13" t="str">
        <f>Sheet6!A4</f>
        <v>2009-10</v>
      </c>
      <c r="B29" s="4">
        <f>Sheet6!B4</f>
        <v>242</v>
      </c>
      <c r="C29" s="161">
        <f>Sheet6!C4</f>
        <v>212</v>
      </c>
      <c r="D29" s="161">
        <f>Sheet6!D4</f>
        <v>203</v>
      </c>
      <c r="E29" s="161">
        <f>Sheet6!E4</f>
        <v>175</v>
      </c>
      <c r="F29" s="161">
        <f>Sheet6!F4</f>
        <v>134</v>
      </c>
      <c r="G29" s="161">
        <f>Sheet6!G4</f>
        <v>91</v>
      </c>
      <c r="H29" s="161">
        <f>Sheet6!H4</f>
        <v>84</v>
      </c>
      <c r="I29" s="161">
        <f>Sheet6!I4</f>
        <v>105</v>
      </c>
      <c r="J29" s="161">
        <f>Sheet6!J4</f>
        <v>108</v>
      </c>
      <c r="K29" s="161">
        <f>Sheet6!K4</f>
        <v>150</v>
      </c>
      <c r="L29" s="161">
        <f>Sheet6!L4</f>
        <v>171</v>
      </c>
      <c r="M29" s="161">
        <f>Sheet6!M4</f>
        <v>252</v>
      </c>
      <c r="N29" s="161">
        <f>Sheet6!N4</f>
        <v>298</v>
      </c>
      <c r="O29" s="161">
        <f>Sheet6!O4</f>
        <v>320</v>
      </c>
      <c r="P29" s="161">
        <f>Sheet6!P4</f>
        <v>311</v>
      </c>
      <c r="Q29" s="161">
        <f>Sheet6!Q4</f>
        <v>328</v>
      </c>
      <c r="R29" s="161">
        <f>Sheet6!R4</f>
        <v>418</v>
      </c>
      <c r="S29" s="161">
        <f>Sheet6!S4</f>
        <v>495</v>
      </c>
      <c r="T29" s="161">
        <f>Sheet6!T4</f>
        <v>529</v>
      </c>
      <c r="U29" s="161">
        <f>Sheet6!U4</f>
        <v>470</v>
      </c>
      <c r="V29" s="161">
        <f>Sheet6!V4</f>
        <v>417</v>
      </c>
      <c r="W29" s="161">
        <f>Sheet6!W4</f>
        <v>389</v>
      </c>
      <c r="X29" s="161">
        <f>Sheet6!X4</f>
        <v>369</v>
      </c>
      <c r="Y29" s="161">
        <f>Sheet6!Y4</f>
        <v>289</v>
      </c>
      <c r="Z29" s="162"/>
      <c r="AA29" s="817">
        <f t="shared" si="3"/>
        <v>6560</v>
      </c>
      <c r="AB29" s="802"/>
      <c r="AC29" s="170"/>
    </row>
    <row r="30" spans="1:29" ht="13.5" customHeight="1" x14ac:dyDescent="0.25">
      <c r="A30" s="13" t="str">
        <f>Sheet6!A5</f>
        <v>2010-11</v>
      </c>
      <c r="B30" s="4">
        <f>Sheet6!B5</f>
        <v>230</v>
      </c>
      <c r="C30" s="161">
        <f>Sheet6!C5</f>
        <v>251</v>
      </c>
      <c r="D30" s="161">
        <f>Sheet6!D5</f>
        <v>181</v>
      </c>
      <c r="E30" s="161">
        <f>Sheet6!E5</f>
        <v>158</v>
      </c>
      <c r="F30" s="161">
        <f>Sheet6!F5</f>
        <v>117</v>
      </c>
      <c r="G30" s="161">
        <f>Sheet6!G5</f>
        <v>126</v>
      </c>
      <c r="H30" s="161">
        <f>Sheet6!H5</f>
        <v>81</v>
      </c>
      <c r="I30" s="161">
        <f>Sheet6!I5</f>
        <v>101</v>
      </c>
      <c r="J30" s="161">
        <f>Sheet6!J5</f>
        <v>108</v>
      </c>
      <c r="K30" s="161">
        <f>Sheet6!K5</f>
        <v>154</v>
      </c>
      <c r="L30" s="161">
        <f>Sheet6!L5</f>
        <v>185</v>
      </c>
      <c r="M30" s="161">
        <f>Sheet6!M5</f>
        <v>228</v>
      </c>
      <c r="N30" s="161">
        <f>Sheet6!N5</f>
        <v>291</v>
      </c>
      <c r="O30" s="161">
        <f>Sheet6!O5</f>
        <v>283</v>
      </c>
      <c r="P30" s="161">
        <f>Sheet6!P5</f>
        <v>323</v>
      </c>
      <c r="Q30" s="161">
        <f>Sheet6!Q5</f>
        <v>309</v>
      </c>
      <c r="R30" s="161">
        <f>Sheet6!R5</f>
        <v>425</v>
      </c>
      <c r="S30" s="161">
        <f>Sheet6!S5</f>
        <v>488</v>
      </c>
      <c r="T30" s="161">
        <f>Sheet6!T5</f>
        <v>473</v>
      </c>
      <c r="U30" s="161">
        <f>Sheet6!U5</f>
        <v>448</v>
      </c>
      <c r="V30" s="161">
        <f>Sheet6!V5</f>
        <v>389</v>
      </c>
      <c r="W30" s="161">
        <f>Sheet6!W5</f>
        <v>349</v>
      </c>
      <c r="X30" s="161">
        <f>Sheet6!X5</f>
        <v>318</v>
      </c>
      <c r="Y30" s="161">
        <f>Sheet6!Y5</f>
        <v>277</v>
      </c>
      <c r="Z30" s="162"/>
      <c r="AA30" s="817">
        <f t="shared" si="3"/>
        <v>6293</v>
      </c>
      <c r="AB30" s="4"/>
      <c r="AC30" s="170"/>
    </row>
    <row r="31" spans="1:29" ht="13.5" customHeight="1" x14ac:dyDescent="0.25">
      <c r="A31" s="13" t="str">
        <f>Sheet6!A6</f>
        <v>2011-12</v>
      </c>
      <c r="B31" s="4">
        <f>Sheet6!B6</f>
        <v>246</v>
      </c>
      <c r="C31" s="161">
        <f>Sheet6!C6</f>
        <v>203</v>
      </c>
      <c r="D31" s="161">
        <f>Sheet6!D6</f>
        <v>178</v>
      </c>
      <c r="E31" s="161">
        <f>Sheet6!E6</f>
        <v>154</v>
      </c>
      <c r="F31" s="161">
        <f>Sheet6!F6</f>
        <v>137</v>
      </c>
      <c r="G31" s="161">
        <f>Sheet6!G6</f>
        <v>101</v>
      </c>
      <c r="H31" s="161">
        <f>Sheet6!H6</f>
        <v>86</v>
      </c>
      <c r="I31" s="161">
        <f>Sheet6!I6</f>
        <v>93</v>
      </c>
      <c r="J31" s="161">
        <f>Sheet6!J6</f>
        <v>127</v>
      </c>
      <c r="K31" s="161">
        <f>Sheet6!K6</f>
        <v>151</v>
      </c>
      <c r="L31" s="161">
        <f>Sheet6!L6</f>
        <v>199</v>
      </c>
      <c r="M31" s="161">
        <f>Sheet6!M6</f>
        <v>237</v>
      </c>
      <c r="N31" s="161">
        <f>Sheet6!N6</f>
        <v>253</v>
      </c>
      <c r="O31" s="161">
        <f>Sheet6!O6</f>
        <v>292</v>
      </c>
      <c r="P31" s="161">
        <f>Sheet6!P6</f>
        <v>269</v>
      </c>
      <c r="Q31" s="161">
        <f>Sheet6!Q6</f>
        <v>329</v>
      </c>
      <c r="R31" s="161">
        <f>Sheet6!R6</f>
        <v>419</v>
      </c>
      <c r="S31" s="161">
        <f>Sheet6!S6</f>
        <v>479</v>
      </c>
      <c r="T31" s="161">
        <f>Sheet6!T6</f>
        <v>448</v>
      </c>
      <c r="U31" s="161">
        <f>Sheet6!U6</f>
        <v>453</v>
      </c>
      <c r="V31" s="161">
        <f>Sheet6!V6</f>
        <v>423</v>
      </c>
      <c r="W31" s="161">
        <f>Sheet6!W6</f>
        <v>342</v>
      </c>
      <c r="X31" s="161">
        <f>Sheet6!X6</f>
        <v>280</v>
      </c>
      <c r="Y31" s="161">
        <f>Sheet6!Y6</f>
        <v>258</v>
      </c>
      <c r="Z31" s="162"/>
      <c r="AA31" s="817">
        <f t="shared" si="3"/>
        <v>6157</v>
      </c>
      <c r="AB31" s="4"/>
      <c r="AC31" s="170"/>
    </row>
    <row r="32" spans="1:29" ht="13.5" customHeight="1" x14ac:dyDescent="0.25">
      <c r="A32" s="13" t="str">
        <f>Sheet6!A7</f>
        <v>2012-13</v>
      </c>
      <c r="B32" s="4">
        <f>Sheet6!B7</f>
        <v>218</v>
      </c>
      <c r="C32" s="161">
        <f>Sheet6!C7</f>
        <v>183</v>
      </c>
      <c r="D32" s="161">
        <f>Sheet6!D7</f>
        <v>160</v>
      </c>
      <c r="E32" s="161">
        <f>Sheet6!E7</f>
        <v>124</v>
      </c>
      <c r="F32" s="161">
        <f>Sheet6!F7</f>
        <v>97</v>
      </c>
      <c r="G32" s="161">
        <f>Sheet6!G7</f>
        <v>104</v>
      </c>
      <c r="H32" s="161">
        <f>Sheet6!H7</f>
        <v>78</v>
      </c>
      <c r="I32" s="161">
        <f>Sheet6!I7</f>
        <v>102</v>
      </c>
      <c r="J32" s="161">
        <f>Sheet6!J7</f>
        <v>125</v>
      </c>
      <c r="K32" s="161">
        <f>Sheet6!K7</f>
        <v>165</v>
      </c>
      <c r="L32" s="161">
        <f>Sheet6!L7</f>
        <v>182</v>
      </c>
      <c r="M32" s="161">
        <f>Sheet6!M7</f>
        <v>204</v>
      </c>
      <c r="N32" s="161">
        <f>Sheet6!N7</f>
        <v>223</v>
      </c>
      <c r="O32" s="161">
        <f>Sheet6!O7</f>
        <v>266</v>
      </c>
      <c r="P32" s="161">
        <f>Sheet6!P7</f>
        <v>280</v>
      </c>
      <c r="Q32" s="161">
        <f>Sheet6!Q7</f>
        <v>325</v>
      </c>
      <c r="R32" s="161">
        <f>Sheet6!R7</f>
        <v>382</v>
      </c>
      <c r="S32" s="161">
        <f>Sheet6!S7</f>
        <v>487</v>
      </c>
      <c r="T32" s="161">
        <f>Sheet6!T7</f>
        <v>472</v>
      </c>
      <c r="U32" s="161">
        <f>Sheet6!U7</f>
        <v>410</v>
      </c>
      <c r="V32" s="161">
        <f>Sheet6!V7</f>
        <v>391</v>
      </c>
      <c r="W32" s="161">
        <f>Sheet6!W7</f>
        <v>311</v>
      </c>
      <c r="X32" s="161">
        <f>Sheet6!X7</f>
        <v>290</v>
      </c>
      <c r="Y32" s="161">
        <f>Sheet6!Y7</f>
        <v>250</v>
      </c>
      <c r="Z32" s="162"/>
      <c r="AA32" s="817">
        <f t="shared" si="3"/>
        <v>5829</v>
      </c>
      <c r="AB32" s="4"/>
      <c r="AC32" s="170"/>
    </row>
    <row r="33" spans="1:29" ht="13.5" customHeight="1" x14ac:dyDescent="0.25">
      <c r="A33" s="13" t="str">
        <f>Sheet6!A8</f>
        <v>2013-14</v>
      </c>
      <c r="B33" s="4">
        <f>Sheet6!B8</f>
        <v>164</v>
      </c>
      <c r="C33" s="161">
        <f>Sheet6!C8</f>
        <v>149</v>
      </c>
      <c r="D33" s="161">
        <f>Sheet6!D8</f>
        <v>135</v>
      </c>
      <c r="E33" s="161">
        <f>Sheet6!E8</f>
        <v>117</v>
      </c>
      <c r="F33" s="161">
        <f>Sheet6!F8</f>
        <v>107</v>
      </c>
      <c r="G33" s="161">
        <f>Sheet6!G8</f>
        <v>79</v>
      </c>
      <c r="H33" s="161">
        <f>Sheet6!H8</f>
        <v>82</v>
      </c>
      <c r="I33" s="161">
        <f>Sheet6!I8</f>
        <v>103</v>
      </c>
      <c r="J33" s="161">
        <f>Sheet6!J8</f>
        <v>102</v>
      </c>
      <c r="K33" s="161">
        <f>Sheet6!K8</f>
        <v>139</v>
      </c>
      <c r="L33" s="161">
        <f>Sheet6!L8</f>
        <v>171</v>
      </c>
      <c r="M33" s="161">
        <f>Sheet6!M8</f>
        <v>199</v>
      </c>
      <c r="N33" s="161">
        <f>Sheet6!N8</f>
        <v>252</v>
      </c>
      <c r="O33" s="161">
        <f>Sheet6!O8</f>
        <v>267</v>
      </c>
      <c r="P33" s="161">
        <f>Sheet6!P8</f>
        <v>263</v>
      </c>
      <c r="Q33" s="161">
        <f>Sheet6!Q8</f>
        <v>298</v>
      </c>
      <c r="R33" s="161">
        <f>Sheet6!R8</f>
        <v>339</v>
      </c>
      <c r="S33" s="161">
        <f>Sheet6!S8</f>
        <v>454</v>
      </c>
      <c r="T33" s="161">
        <f>Sheet6!T8</f>
        <v>423</v>
      </c>
      <c r="U33" s="161">
        <f>Sheet6!U8</f>
        <v>365</v>
      </c>
      <c r="V33" s="161">
        <f>Sheet6!V8</f>
        <v>351</v>
      </c>
      <c r="W33" s="161">
        <f>Sheet6!W8</f>
        <v>288</v>
      </c>
      <c r="X33" s="161">
        <f>Sheet6!X8</f>
        <v>273</v>
      </c>
      <c r="Y33" s="161">
        <f>Sheet6!Y8</f>
        <v>203</v>
      </c>
      <c r="Z33" s="162"/>
      <c r="AA33" s="817">
        <f t="shared" si="3"/>
        <v>5323</v>
      </c>
      <c r="AB33" s="4"/>
      <c r="AC33" s="170"/>
    </row>
    <row r="34" spans="1:29" ht="13.5" customHeight="1" x14ac:dyDescent="0.25">
      <c r="A34" s="13" t="str">
        <f>Sheet6!A9</f>
        <v>2014-15</v>
      </c>
      <c r="B34" s="185">
        <f>Sheet6!B9</f>
        <v>199</v>
      </c>
      <c r="C34" s="185">
        <f>Sheet6!C9</f>
        <v>159</v>
      </c>
      <c r="D34" s="185">
        <f>Sheet6!D9</f>
        <v>122</v>
      </c>
      <c r="E34" s="185">
        <f>Sheet6!E9</f>
        <v>112</v>
      </c>
      <c r="F34" s="185">
        <f>Sheet6!F9</f>
        <v>113</v>
      </c>
      <c r="G34" s="185">
        <f>Sheet6!G9</f>
        <v>86</v>
      </c>
      <c r="H34" s="185">
        <f>Sheet6!H9</f>
        <v>87</v>
      </c>
      <c r="I34" s="185">
        <f>Sheet6!I9</f>
        <v>92</v>
      </c>
      <c r="J34" s="185">
        <f>Sheet6!J9</f>
        <v>124</v>
      </c>
      <c r="K34" s="185">
        <f>Sheet6!K9</f>
        <v>153</v>
      </c>
      <c r="L34" s="185">
        <f>Sheet6!L9</f>
        <v>204</v>
      </c>
      <c r="M34" s="185">
        <f>Sheet6!M9</f>
        <v>221</v>
      </c>
      <c r="N34" s="185">
        <f>Sheet6!N9</f>
        <v>277</v>
      </c>
      <c r="O34" s="185">
        <f>Sheet6!O9</f>
        <v>303</v>
      </c>
      <c r="P34" s="185">
        <f>Sheet6!P9</f>
        <v>296</v>
      </c>
      <c r="Q34" s="185">
        <f>Sheet6!Q9</f>
        <v>320</v>
      </c>
      <c r="R34" s="185">
        <f>Sheet6!R9</f>
        <v>357</v>
      </c>
      <c r="S34" s="185">
        <f>Sheet6!S9</f>
        <v>434</v>
      </c>
      <c r="T34" s="185">
        <f>Sheet6!T9</f>
        <v>427</v>
      </c>
      <c r="U34" s="185">
        <f>Sheet6!U9</f>
        <v>415</v>
      </c>
      <c r="V34" s="185">
        <f>Sheet6!V9</f>
        <v>326</v>
      </c>
      <c r="W34" s="185">
        <f>Sheet6!W9</f>
        <v>295</v>
      </c>
      <c r="X34" s="185">
        <f>Sheet6!X9</f>
        <v>238</v>
      </c>
      <c r="Y34" s="185">
        <f>Sheet6!Y9</f>
        <v>214</v>
      </c>
      <c r="Z34" s="199"/>
      <c r="AA34" s="817">
        <f t="shared" si="3"/>
        <v>5574</v>
      </c>
      <c r="AB34" s="4"/>
      <c r="AC34" s="170"/>
    </row>
    <row r="35" spans="1:29" ht="13.5" customHeight="1" x14ac:dyDescent="0.25">
      <c r="A35" s="13" t="str">
        <f>Sheet6!A10</f>
        <v>2015-16</v>
      </c>
      <c r="B35" s="185">
        <f>Sheet6!B10</f>
        <v>170</v>
      </c>
      <c r="C35" s="185">
        <f>Sheet6!C10</f>
        <v>175</v>
      </c>
      <c r="D35" s="185">
        <f>Sheet6!D10</f>
        <v>127</v>
      </c>
      <c r="E35" s="185">
        <f>Sheet6!E10</f>
        <v>110</v>
      </c>
      <c r="F35" s="185">
        <f>Sheet6!F10</f>
        <v>94</v>
      </c>
      <c r="G35" s="185">
        <f>Sheet6!G10</f>
        <v>78</v>
      </c>
      <c r="H35" s="185">
        <f>Sheet6!H10</f>
        <v>76</v>
      </c>
      <c r="I35" s="185">
        <f>Sheet6!I10</f>
        <v>91</v>
      </c>
      <c r="J35" s="185">
        <f>Sheet6!J10</f>
        <v>124</v>
      </c>
      <c r="K35" s="185">
        <f>Sheet6!K10</f>
        <v>154</v>
      </c>
      <c r="L35" s="185">
        <f>Sheet6!L10</f>
        <v>194</v>
      </c>
      <c r="M35" s="185">
        <f>Sheet6!M10</f>
        <v>244</v>
      </c>
      <c r="N35" s="185">
        <f>Sheet6!N10</f>
        <v>232</v>
      </c>
      <c r="O35" s="185">
        <f>Sheet6!O10</f>
        <v>321</v>
      </c>
      <c r="P35" s="185">
        <f>Sheet6!P10</f>
        <v>314</v>
      </c>
      <c r="Q35" s="185">
        <f>Sheet6!Q10</f>
        <v>321</v>
      </c>
      <c r="R35" s="185">
        <f>Sheet6!R10</f>
        <v>401</v>
      </c>
      <c r="S35" s="185">
        <f>Sheet6!S10</f>
        <v>487</v>
      </c>
      <c r="T35" s="185">
        <f>Sheet6!T10</f>
        <v>429</v>
      </c>
      <c r="U35" s="185">
        <f>Sheet6!U10</f>
        <v>373</v>
      </c>
      <c r="V35" s="185">
        <f>Sheet6!V10</f>
        <v>329</v>
      </c>
      <c r="W35" s="185">
        <f>Sheet6!W10</f>
        <v>332</v>
      </c>
      <c r="X35" s="185">
        <f>Sheet6!X10</f>
        <v>262</v>
      </c>
      <c r="Y35" s="185">
        <f>Sheet6!Y10</f>
        <v>235</v>
      </c>
      <c r="Z35" s="223"/>
      <c r="AA35" s="817">
        <f t="shared" si="3"/>
        <v>5673</v>
      </c>
      <c r="AB35" s="4"/>
      <c r="AC35" s="170"/>
    </row>
    <row r="36" spans="1:29" ht="13.5" customHeight="1" x14ac:dyDescent="0.25">
      <c r="A36" s="13" t="str">
        <f>Sheet6!A11</f>
        <v>2016-17</v>
      </c>
      <c r="B36" s="185">
        <f>Sheet6!B11</f>
        <v>201</v>
      </c>
      <c r="C36" s="185">
        <f>Sheet6!C11</f>
        <v>167</v>
      </c>
      <c r="D36" s="185">
        <f>Sheet6!D11</f>
        <v>133</v>
      </c>
      <c r="E36" s="185">
        <f>Sheet6!E11</f>
        <v>104</v>
      </c>
      <c r="F36" s="185">
        <f>Sheet6!F11</f>
        <v>79</v>
      </c>
      <c r="G36" s="185">
        <f>Sheet6!G11</f>
        <v>77</v>
      </c>
      <c r="H36" s="185">
        <f>Sheet6!H11</f>
        <v>82</v>
      </c>
      <c r="I36" s="185">
        <f>Sheet6!I11</f>
        <v>109</v>
      </c>
      <c r="J36" s="185">
        <f>Sheet6!J11</f>
        <v>135</v>
      </c>
      <c r="K36" s="185">
        <f>Sheet6!K11</f>
        <v>156</v>
      </c>
      <c r="L36" s="185">
        <f>Sheet6!L11</f>
        <v>194</v>
      </c>
      <c r="M36" s="185">
        <f>Sheet6!M11</f>
        <v>241</v>
      </c>
      <c r="N36" s="185">
        <f>Sheet6!N11</f>
        <v>243</v>
      </c>
      <c r="O36" s="185">
        <f>Sheet6!O11</f>
        <v>257</v>
      </c>
      <c r="P36" s="185">
        <f>Sheet6!P11</f>
        <v>284</v>
      </c>
      <c r="Q36" s="185">
        <f>Sheet6!Q11</f>
        <v>254</v>
      </c>
      <c r="R36" s="185">
        <f>Sheet6!R11</f>
        <v>380</v>
      </c>
      <c r="S36" s="185">
        <f>Sheet6!S11</f>
        <v>471</v>
      </c>
      <c r="T36" s="185">
        <f>Sheet6!T11</f>
        <v>430</v>
      </c>
      <c r="U36" s="185">
        <f>Sheet6!U11</f>
        <v>408</v>
      </c>
      <c r="V36" s="185">
        <f>Sheet6!V11</f>
        <v>332</v>
      </c>
      <c r="W36" s="185">
        <f>Sheet6!W11</f>
        <v>304</v>
      </c>
      <c r="X36" s="185">
        <f>Sheet6!X11</f>
        <v>265</v>
      </c>
      <c r="Y36" s="185">
        <f>Sheet6!Y11</f>
        <v>234</v>
      </c>
      <c r="Z36" s="223"/>
      <c r="AA36" s="817">
        <f t="shared" ref="AA36:AA39" si="4">SUM(B36:Z36)</f>
        <v>5540</v>
      </c>
      <c r="AB36" s="4"/>
      <c r="AC36" s="170"/>
    </row>
    <row r="37" spans="1:29" ht="13.5" customHeight="1" x14ac:dyDescent="0.25">
      <c r="A37" s="13" t="str">
        <f>Sheet6!A12</f>
        <v>2017-18</v>
      </c>
      <c r="B37" s="185">
        <f>Sheet6!B12</f>
        <v>188</v>
      </c>
      <c r="C37" s="185">
        <f>Sheet6!C12</f>
        <v>144</v>
      </c>
      <c r="D37" s="185">
        <f>Sheet6!D12</f>
        <v>132</v>
      </c>
      <c r="E37" s="185">
        <f>Sheet6!E12</f>
        <v>98</v>
      </c>
      <c r="F37" s="185">
        <f>Sheet6!F12</f>
        <v>99</v>
      </c>
      <c r="G37" s="185">
        <f>Sheet6!G12</f>
        <v>68</v>
      </c>
      <c r="H37" s="185">
        <f>Sheet6!H12</f>
        <v>64</v>
      </c>
      <c r="I37" s="185">
        <f>Sheet6!I12</f>
        <v>99</v>
      </c>
      <c r="J37" s="185">
        <f>Sheet6!J12</f>
        <v>136</v>
      </c>
      <c r="K37" s="185">
        <f>Sheet6!K12</f>
        <v>144</v>
      </c>
      <c r="L37" s="185">
        <f>Sheet6!L12</f>
        <v>176</v>
      </c>
      <c r="M37" s="185">
        <f>Sheet6!M12</f>
        <v>209</v>
      </c>
      <c r="N37" s="185">
        <f>Sheet6!N12</f>
        <v>241</v>
      </c>
      <c r="O37" s="185">
        <f>Sheet6!O12</f>
        <v>258</v>
      </c>
      <c r="P37" s="185">
        <f>Sheet6!P12</f>
        <v>282</v>
      </c>
      <c r="Q37" s="185">
        <f>Sheet6!Q12</f>
        <v>305</v>
      </c>
      <c r="R37" s="185">
        <f>Sheet6!R12</f>
        <v>348</v>
      </c>
      <c r="S37" s="185">
        <f>Sheet6!S12</f>
        <v>460</v>
      </c>
      <c r="T37" s="185">
        <f>Sheet6!T12</f>
        <v>403</v>
      </c>
      <c r="U37" s="185">
        <f>Sheet6!U12</f>
        <v>348</v>
      </c>
      <c r="V37" s="185">
        <f>Sheet6!V12</f>
        <v>351</v>
      </c>
      <c r="W37" s="185">
        <f>Sheet6!W12</f>
        <v>306</v>
      </c>
      <c r="X37" s="185">
        <f>Sheet6!X12</f>
        <v>248</v>
      </c>
      <c r="Y37" s="185">
        <f>Sheet6!Y12</f>
        <v>204</v>
      </c>
      <c r="Z37" s="223"/>
      <c r="AA37" s="817">
        <f t="shared" si="4"/>
        <v>5311</v>
      </c>
      <c r="AB37" s="4"/>
      <c r="AC37" s="170"/>
    </row>
    <row r="38" spans="1:29" ht="13.5" customHeight="1" x14ac:dyDescent="0.25">
      <c r="A38" s="13" t="str">
        <f>Sheet6!A13</f>
        <v>2018-19</v>
      </c>
      <c r="B38" s="185">
        <f>Sheet6!B13</f>
        <v>173</v>
      </c>
      <c r="C38" s="185">
        <f>Sheet6!C13</f>
        <v>157</v>
      </c>
      <c r="D38" s="185">
        <f>Sheet6!D13</f>
        <v>116</v>
      </c>
      <c r="E38" s="185">
        <f>Sheet6!E13</f>
        <v>119</v>
      </c>
      <c r="F38" s="185">
        <f>Sheet6!F13</f>
        <v>84</v>
      </c>
      <c r="G38" s="185">
        <f>Sheet6!G13</f>
        <v>86</v>
      </c>
      <c r="H38" s="185">
        <f>Sheet6!H13</f>
        <v>63</v>
      </c>
      <c r="I38" s="185">
        <f>Sheet6!I13</f>
        <v>104</v>
      </c>
      <c r="J38" s="185">
        <f>Sheet6!J13</f>
        <v>95</v>
      </c>
      <c r="K38" s="185">
        <f>Sheet6!K13</f>
        <v>156</v>
      </c>
      <c r="L38" s="185">
        <f>Sheet6!L13</f>
        <v>145</v>
      </c>
      <c r="M38" s="185">
        <f>Sheet6!M13</f>
        <v>207</v>
      </c>
      <c r="N38" s="185">
        <f>Sheet6!N13</f>
        <v>250</v>
      </c>
      <c r="O38" s="185">
        <f>Sheet6!O13</f>
        <v>265</v>
      </c>
      <c r="P38" s="185">
        <f>Sheet6!P13</f>
        <v>241</v>
      </c>
      <c r="Q38" s="185">
        <f>Sheet6!Q13</f>
        <v>295</v>
      </c>
      <c r="R38" s="185">
        <f>Sheet6!R13</f>
        <v>344</v>
      </c>
      <c r="S38" s="185">
        <f>Sheet6!S13</f>
        <v>427</v>
      </c>
      <c r="T38" s="185">
        <f>Sheet6!T13</f>
        <v>399</v>
      </c>
      <c r="U38" s="185">
        <f>Sheet6!U13</f>
        <v>360</v>
      </c>
      <c r="V38" s="185">
        <f>Sheet6!V13</f>
        <v>325</v>
      </c>
      <c r="W38" s="185">
        <f>Sheet6!W13</f>
        <v>292</v>
      </c>
      <c r="X38" s="185">
        <f>Sheet6!X13</f>
        <v>215</v>
      </c>
      <c r="Y38" s="185">
        <f>Sheet6!Y13</f>
        <v>227</v>
      </c>
      <c r="Z38" s="223"/>
      <c r="AA38" s="817">
        <f t="shared" si="4"/>
        <v>5145</v>
      </c>
      <c r="AB38" s="4"/>
      <c r="AC38" s="170"/>
    </row>
    <row r="39" spans="1:29" ht="13.5" customHeight="1" x14ac:dyDescent="0.25">
      <c r="A39" s="13" t="str">
        <f>Sheet6!A14</f>
        <v>2019-20</v>
      </c>
      <c r="B39" s="185">
        <f>Sheet6!B14</f>
        <v>157</v>
      </c>
      <c r="C39" s="185">
        <f>Sheet6!C14</f>
        <v>152</v>
      </c>
      <c r="D39" s="185">
        <f>Sheet6!D14</f>
        <v>112</v>
      </c>
      <c r="E39" s="185">
        <f>Sheet6!E14</f>
        <v>107</v>
      </c>
      <c r="F39" s="185">
        <f>Sheet6!F14</f>
        <v>91</v>
      </c>
      <c r="G39" s="185">
        <f>Sheet6!G14</f>
        <v>52</v>
      </c>
      <c r="H39" s="185">
        <f>Sheet6!H14</f>
        <v>74</v>
      </c>
      <c r="I39" s="185">
        <f>Sheet6!I14</f>
        <v>88</v>
      </c>
      <c r="J39" s="185">
        <f>Sheet6!J14</f>
        <v>108</v>
      </c>
      <c r="K39" s="185">
        <f>Sheet6!K14</f>
        <v>140</v>
      </c>
      <c r="L39" s="185">
        <f>Sheet6!L14</f>
        <v>166</v>
      </c>
      <c r="M39" s="185">
        <f>Sheet6!M14</f>
        <v>181</v>
      </c>
      <c r="N39" s="185">
        <f>Sheet6!N14</f>
        <v>220</v>
      </c>
      <c r="O39" s="185">
        <f>Sheet6!O14</f>
        <v>231</v>
      </c>
      <c r="P39" s="185">
        <f>Sheet6!P14</f>
        <v>270</v>
      </c>
      <c r="Q39" s="185">
        <f>Sheet6!Q14</f>
        <v>267</v>
      </c>
      <c r="R39" s="185">
        <f>Sheet6!R14</f>
        <v>330</v>
      </c>
      <c r="S39" s="185">
        <f>Sheet6!S14</f>
        <v>344</v>
      </c>
      <c r="T39" s="185">
        <f>Sheet6!T14</f>
        <v>423</v>
      </c>
      <c r="U39" s="185">
        <f>Sheet6!U14</f>
        <v>315</v>
      </c>
      <c r="V39" s="185">
        <f>Sheet6!V14</f>
        <v>358</v>
      </c>
      <c r="W39" s="185">
        <f>Sheet6!W14</f>
        <v>250</v>
      </c>
      <c r="X39" s="185">
        <f>Sheet6!X14</f>
        <v>257</v>
      </c>
      <c r="Y39" s="185">
        <f>Sheet6!Y14</f>
        <v>197</v>
      </c>
      <c r="Z39" s="223"/>
      <c r="AA39" s="817">
        <f t="shared" si="4"/>
        <v>4890</v>
      </c>
      <c r="AB39" s="4"/>
      <c r="AC39" s="170"/>
    </row>
    <row r="40" spans="1:29" ht="13.5" thickBot="1" x14ac:dyDescent="0.25">
      <c r="A40" s="350" t="str">
        <f>Sheet6!A15</f>
        <v>2020-21</v>
      </c>
      <c r="B40" s="820">
        <f>Sheet6!B15</f>
        <v>157</v>
      </c>
      <c r="C40" s="820">
        <f>Sheet6!C15</f>
        <v>133</v>
      </c>
      <c r="D40" s="820">
        <f>Sheet6!D15</f>
        <v>108</v>
      </c>
      <c r="E40" s="820">
        <f>Sheet6!E15</f>
        <v>102</v>
      </c>
      <c r="F40" s="820">
        <f>Sheet6!F15</f>
        <v>87</v>
      </c>
      <c r="G40" s="820">
        <f>Sheet6!G15</f>
        <v>56</v>
      </c>
      <c r="H40" s="820">
        <f>Sheet6!H15</f>
        <v>58</v>
      </c>
      <c r="I40" s="820">
        <f>Sheet6!I15</f>
        <v>62</v>
      </c>
      <c r="J40" s="820">
        <f>Sheet6!J15</f>
        <v>96</v>
      </c>
      <c r="K40" s="820">
        <f>Sheet6!K15</f>
        <v>124</v>
      </c>
      <c r="L40" s="820">
        <f>Sheet6!L15</f>
        <v>153</v>
      </c>
      <c r="M40" s="820">
        <f>Sheet6!M15</f>
        <v>194</v>
      </c>
      <c r="N40" s="820">
        <f>Sheet6!N15</f>
        <v>234</v>
      </c>
      <c r="O40" s="820">
        <f>Sheet6!O15</f>
        <v>240</v>
      </c>
      <c r="P40" s="820">
        <f>Sheet6!P15</f>
        <v>221</v>
      </c>
      <c r="Q40" s="820">
        <f>Sheet6!Q15</f>
        <v>262</v>
      </c>
      <c r="R40" s="820">
        <f>Sheet6!R15</f>
        <v>340</v>
      </c>
      <c r="S40" s="820">
        <f>Sheet6!S15</f>
        <v>348</v>
      </c>
      <c r="T40" s="820">
        <f>Sheet6!T15</f>
        <v>389</v>
      </c>
      <c r="U40" s="820">
        <f>Sheet6!U15</f>
        <v>329</v>
      </c>
      <c r="V40" s="820">
        <f>Sheet6!V15</f>
        <v>287</v>
      </c>
      <c r="W40" s="820">
        <f>Sheet6!W15</f>
        <v>271</v>
      </c>
      <c r="X40" s="820">
        <f>Sheet6!X15</f>
        <v>215</v>
      </c>
      <c r="Y40" s="820">
        <f>Sheet6!Y15</f>
        <v>195</v>
      </c>
      <c r="Z40" s="821"/>
      <c r="AA40" s="819">
        <f t="shared" ref="AA40" si="5">SUM(B40:Z40)</f>
        <v>4661</v>
      </c>
      <c r="AB40" s="1"/>
    </row>
    <row r="41" spans="1:29"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9" ht="18.75" customHeight="1" x14ac:dyDescent="0.2">
      <c r="A42" s="1357" t="s">
        <v>4</v>
      </c>
      <c r="B42" s="1298" t="s">
        <v>813</v>
      </c>
      <c r="C42" s="1298"/>
      <c r="D42" s="1298"/>
      <c r="E42" s="1298"/>
      <c r="F42" s="1298"/>
      <c r="G42" s="1298"/>
      <c r="H42" s="1298"/>
      <c r="I42" s="1298"/>
      <c r="J42" s="1298"/>
      <c r="K42" s="1298"/>
      <c r="L42" s="1298"/>
      <c r="M42" s="1298"/>
      <c r="N42" s="1298"/>
      <c r="O42" s="1298"/>
      <c r="P42" s="1298"/>
      <c r="Q42" s="1298"/>
      <c r="R42" s="1298"/>
      <c r="S42" s="1298"/>
      <c r="T42" s="1298"/>
      <c r="U42" s="1298"/>
      <c r="V42" s="1298"/>
      <c r="W42" s="1298"/>
      <c r="X42" s="1298"/>
      <c r="Y42" s="1298"/>
      <c r="Z42" s="1298"/>
      <c r="AA42" s="1359" t="s">
        <v>271</v>
      </c>
      <c r="AB42" s="1"/>
    </row>
    <row r="43" spans="1:29" ht="18.75" customHeight="1" x14ac:dyDescent="0.2">
      <c r="A43" s="1357"/>
      <c r="B43" s="201" t="s">
        <v>251</v>
      </c>
      <c r="C43" s="201" t="s">
        <v>225</v>
      </c>
      <c r="D43" s="201" t="s">
        <v>226</v>
      </c>
      <c r="E43" s="201" t="s">
        <v>227</v>
      </c>
      <c r="F43" s="201" t="s">
        <v>228</v>
      </c>
      <c r="G43" s="201" t="s">
        <v>229</v>
      </c>
      <c r="H43" s="201" t="s">
        <v>230</v>
      </c>
      <c r="I43" s="201" t="s">
        <v>231</v>
      </c>
      <c r="J43" s="201" t="s">
        <v>232</v>
      </c>
      <c r="K43" s="201" t="s">
        <v>233</v>
      </c>
      <c r="L43" s="201" t="s">
        <v>234</v>
      </c>
      <c r="M43" s="201" t="s">
        <v>235</v>
      </c>
      <c r="N43" s="201" t="s">
        <v>257</v>
      </c>
      <c r="O43" s="201" t="s">
        <v>236</v>
      </c>
      <c r="P43" s="201" t="s">
        <v>237</v>
      </c>
      <c r="Q43" s="201" t="s">
        <v>238</v>
      </c>
      <c r="R43" s="201" t="s">
        <v>239</v>
      </c>
      <c r="S43" s="201" t="s">
        <v>240</v>
      </c>
      <c r="T43" s="201" t="s">
        <v>241</v>
      </c>
      <c r="U43" s="201" t="s">
        <v>242</v>
      </c>
      <c r="V43" s="201" t="s">
        <v>243</v>
      </c>
      <c r="W43" s="201" t="s">
        <v>244</v>
      </c>
      <c r="X43" s="201" t="s">
        <v>245</v>
      </c>
      <c r="Y43" s="201" t="s">
        <v>246</v>
      </c>
      <c r="Z43" s="201" t="s">
        <v>247</v>
      </c>
      <c r="AA43" s="1359"/>
      <c r="AB43" s="1"/>
    </row>
    <row r="44" spans="1:29" ht="18.75" customHeight="1" x14ac:dyDescent="0.2">
      <c r="A44" s="347" t="s">
        <v>16</v>
      </c>
      <c r="B44" s="103">
        <v>110</v>
      </c>
      <c r="C44" s="167">
        <v>99</v>
      </c>
      <c r="D44" s="167">
        <v>131</v>
      </c>
      <c r="E44" s="167">
        <v>88</v>
      </c>
      <c r="F44" s="167">
        <v>62</v>
      </c>
      <c r="G44" s="167">
        <v>59</v>
      </c>
      <c r="H44" s="167">
        <v>56</v>
      </c>
      <c r="I44" s="167">
        <v>86</v>
      </c>
      <c r="J44" s="167">
        <v>101</v>
      </c>
      <c r="K44" s="167">
        <v>106</v>
      </c>
      <c r="L44" s="167">
        <v>133</v>
      </c>
      <c r="M44" s="167">
        <v>127</v>
      </c>
      <c r="N44" s="167">
        <v>130</v>
      </c>
      <c r="O44" s="167">
        <v>118</v>
      </c>
      <c r="P44" s="167">
        <v>156</v>
      </c>
      <c r="Q44" s="167">
        <v>126</v>
      </c>
      <c r="R44" s="167">
        <v>158</v>
      </c>
      <c r="S44" s="167">
        <v>164</v>
      </c>
      <c r="T44" s="167">
        <v>156</v>
      </c>
      <c r="U44" s="167">
        <v>148</v>
      </c>
      <c r="V44" s="167">
        <v>191</v>
      </c>
      <c r="W44" s="167">
        <v>160</v>
      </c>
      <c r="X44" s="167">
        <v>136</v>
      </c>
      <c r="Y44" s="167">
        <v>122</v>
      </c>
      <c r="Z44" s="222"/>
      <c r="AA44" s="818">
        <f t="shared" ref="AA44:AA52" si="6">SUM(B44:Z44)</f>
        <v>2923</v>
      </c>
      <c r="AB44" s="189"/>
    </row>
    <row r="45" spans="1:29" ht="13.5" customHeight="1" x14ac:dyDescent="0.2">
      <c r="A45" s="13" t="s">
        <v>18</v>
      </c>
      <c r="B45" s="4">
        <v>88</v>
      </c>
      <c r="C45" s="161">
        <v>80</v>
      </c>
      <c r="D45" s="161">
        <v>76</v>
      </c>
      <c r="E45" s="161">
        <v>56</v>
      </c>
      <c r="F45" s="161">
        <v>90</v>
      </c>
      <c r="G45" s="161">
        <v>63</v>
      </c>
      <c r="H45" s="161">
        <v>59</v>
      </c>
      <c r="I45" s="161">
        <v>100</v>
      </c>
      <c r="J45" s="161">
        <v>84</v>
      </c>
      <c r="K45" s="161">
        <v>83</v>
      </c>
      <c r="L45" s="161">
        <v>115</v>
      </c>
      <c r="M45" s="161">
        <v>131</v>
      </c>
      <c r="N45" s="161">
        <v>97</v>
      </c>
      <c r="O45" s="161">
        <v>125</v>
      </c>
      <c r="P45" s="161">
        <v>90</v>
      </c>
      <c r="Q45" s="161">
        <v>162</v>
      </c>
      <c r="R45" s="161">
        <v>150</v>
      </c>
      <c r="S45" s="161">
        <v>167</v>
      </c>
      <c r="T45" s="161">
        <v>136</v>
      </c>
      <c r="U45" s="161">
        <v>169</v>
      </c>
      <c r="V45" s="161">
        <v>183</v>
      </c>
      <c r="W45" s="161">
        <v>147</v>
      </c>
      <c r="X45" s="161">
        <v>98</v>
      </c>
      <c r="Y45" s="161">
        <v>81</v>
      </c>
      <c r="Z45" s="162"/>
      <c r="AA45" s="817">
        <f t="shared" si="6"/>
        <v>2630</v>
      </c>
      <c r="AB45" s="189"/>
    </row>
    <row r="46" spans="1:29" ht="13.5" customHeight="1" x14ac:dyDescent="0.2">
      <c r="A46" s="13" t="str">
        <f>Sheet6!A4</f>
        <v>2009-10</v>
      </c>
      <c r="B46" s="4">
        <f>Sheet6!AA4</f>
        <v>92</v>
      </c>
      <c r="C46" s="161">
        <f>Sheet6!AB4</f>
        <v>104</v>
      </c>
      <c r="D46" s="161">
        <f>Sheet6!AC4</f>
        <v>83</v>
      </c>
      <c r="E46" s="161">
        <f>Sheet6!AD4</f>
        <v>80</v>
      </c>
      <c r="F46" s="161">
        <f>Sheet6!AE4</f>
        <v>62</v>
      </c>
      <c r="G46" s="161">
        <f>Sheet6!AF4</f>
        <v>56</v>
      </c>
      <c r="H46" s="161">
        <f>Sheet6!AG4</f>
        <v>51</v>
      </c>
      <c r="I46" s="161">
        <f>Sheet6!AH4</f>
        <v>85</v>
      </c>
      <c r="J46" s="161">
        <f>Sheet6!AI4</f>
        <v>105</v>
      </c>
      <c r="K46" s="161">
        <f>Sheet6!AJ4</f>
        <v>111</v>
      </c>
      <c r="L46" s="161">
        <f>Sheet6!AK4</f>
        <v>125</v>
      </c>
      <c r="M46" s="161">
        <f>Sheet6!AL4</f>
        <v>132</v>
      </c>
      <c r="N46" s="161">
        <f>Sheet6!AM4</f>
        <v>149</v>
      </c>
      <c r="O46" s="161">
        <f>Sheet6!AN4</f>
        <v>165</v>
      </c>
      <c r="P46" s="161">
        <f>Sheet6!AO4</f>
        <v>152</v>
      </c>
      <c r="Q46" s="161">
        <f>Sheet6!AP4</f>
        <v>155</v>
      </c>
      <c r="R46" s="161">
        <f>Sheet6!AQ4</f>
        <v>153</v>
      </c>
      <c r="S46" s="161">
        <f>Sheet6!AR4</f>
        <v>168</v>
      </c>
      <c r="T46" s="161">
        <f>Sheet6!AS4</f>
        <v>183</v>
      </c>
      <c r="U46" s="161">
        <f>Sheet6!AT4</f>
        <v>181</v>
      </c>
      <c r="V46" s="161">
        <f>Sheet6!AU4</f>
        <v>191</v>
      </c>
      <c r="W46" s="161">
        <f>Sheet6!AV4</f>
        <v>180</v>
      </c>
      <c r="X46" s="161">
        <f>Sheet6!AW4</f>
        <v>125</v>
      </c>
      <c r="Y46" s="161">
        <f>Sheet6!AX4</f>
        <v>116</v>
      </c>
      <c r="Z46" s="162"/>
      <c r="AA46" s="817">
        <f t="shared" si="6"/>
        <v>3004</v>
      </c>
      <c r="AB46" s="191"/>
    </row>
    <row r="47" spans="1:29" ht="13.5" customHeight="1" x14ac:dyDescent="0.2">
      <c r="A47" s="13" t="str">
        <f>Sheet6!A5</f>
        <v>2010-11</v>
      </c>
      <c r="B47" s="4">
        <f>Sheet6!AA5</f>
        <v>97</v>
      </c>
      <c r="C47" s="161">
        <f>Sheet6!AB5</f>
        <v>88</v>
      </c>
      <c r="D47" s="161">
        <f>Sheet6!AC5</f>
        <v>78</v>
      </c>
      <c r="E47" s="161">
        <f>Sheet6!AD5</f>
        <v>56</v>
      </c>
      <c r="F47" s="161">
        <f>Sheet6!AE5</f>
        <v>71</v>
      </c>
      <c r="G47" s="161">
        <f>Sheet6!AF5</f>
        <v>49</v>
      </c>
      <c r="H47" s="161">
        <f>Sheet6!AG5</f>
        <v>50</v>
      </c>
      <c r="I47" s="161">
        <f>Sheet6!AH5</f>
        <v>59</v>
      </c>
      <c r="J47" s="161">
        <f>Sheet6!AI5</f>
        <v>91</v>
      </c>
      <c r="K47" s="161">
        <f>Sheet6!AJ5</f>
        <v>121</v>
      </c>
      <c r="L47" s="161">
        <f>Sheet6!AK5</f>
        <v>143</v>
      </c>
      <c r="M47" s="161">
        <f>Sheet6!AL5</f>
        <v>159</v>
      </c>
      <c r="N47" s="161">
        <f>Sheet6!AM5</f>
        <v>137</v>
      </c>
      <c r="O47" s="161">
        <f>Sheet6!AN5</f>
        <v>138</v>
      </c>
      <c r="P47" s="161">
        <f>Sheet6!AO5</f>
        <v>138</v>
      </c>
      <c r="Q47" s="161">
        <f>Sheet6!AP5</f>
        <v>126</v>
      </c>
      <c r="R47" s="161">
        <f>Sheet6!AQ5</f>
        <v>132</v>
      </c>
      <c r="S47" s="161">
        <f>Sheet6!AR5</f>
        <v>168</v>
      </c>
      <c r="T47" s="161">
        <f>Sheet6!AS5</f>
        <v>167</v>
      </c>
      <c r="U47" s="161">
        <f>Sheet6!AT5</f>
        <v>166</v>
      </c>
      <c r="V47" s="161">
        <f>Sheet6!AU5</f>
        <v>192</v>
      </c>
      <c r="W47" s="161">
        <f>Sheet6!AV5</f>
        <v>144</v>
      </c>
      <c r="X47" s="161">
        <f>Sheet6!AW5</f>
        <v>111</v>
      </c>
      <c r="Y47" s="161">
        <f>Sheet6!AX5</f>
        <v>114</v>
      </c>
      <c r="Z47" s="162"/>
      <c r="AA47" s="817">
        <f t="shared" si="6"/>
        <v>2795</v>
      </c>
      <c r="AB47" s="191"/>
    </row>
    <row r="48" spans="1:29" ht="13.5" customHeight="1" x14ac:dyDescent="0.2">
      <c r="A48" s="13" t="str">
        <f>Sheet6!A6</f>
        <v>2011-12</v>
      </c>
      <c r="B48" s="4">
        <f>Sheet6!AA6</f>
        <v>100</v>
      </c>
      <c r="C48" s="161">
        <f>Sheet6!AB6</f>
        <v>73</v>
      </c>
      <c r="D48" s="161">
        <f>Sheet6!AC6</f>
        <v>66</v>
      </c>
      <c r="E48" s="161">
        <f>Sheet6!AD6</f>
        <v>81</v>
      </c>
      <c r="F48" s="161">
        <f>Sheet6!AE6</f>
        <v>60</v>
      </c>
      <c r="G48" s="161">
        <f>Sheet6!AF6</f>
        <v>46</v>
      </c>
      <c r="H48" s="161">
        <f>Sheet6!AG6</f>
        <v>48</v>
      </c>
      <c r="I48" s="161">
        <f>Sheet6!AH6</f>
        <v>68</v>
      </c>
      <c r="J48" s="161">
        <f>Sheet6!AI6</f>
        <v>94</v>
      </c>
      <c r="K48" s="161">
        <f>Sheet6!AJ6</f>
        <v>117</v>
      </c>
      <c r="L48" s="161">
        <f>Sheet6!AK6</f>
        <v>117</v>
      </c>
      <c r="M48" s="161">
        <f>Sheet6!AL6</f>
        <v>119</v>
      </c>
      <c r="N48" s="161">
        <f>Sheet6!AM6</f>
        <v>132</v>
      </c>
      <c r="O48" s="161">
        <f>Sheet6!AN6</f>
        <v>143</v>
      </c>
      <c r="P48" s="161">
        <f>Sheet6!AO6</f>
        <v>149</v>
      </c>
      <c r="Q48" s="161">
        <f>Sheet6!AP6</f>
        <v>125</v>
      </c>
      <c r="R48" s="161">
        <f>Sheet6!AQ6</f>
        <v>154</v>
      </c>
      <c r="S48" s="161">
        <f>Sheet6!AR6</f>
        <v>161</v>
      </c>
      <c r="T48" s="161">
        <f>Sheet6!AS6</f>
        <v>163</v>
      </c>
      <c r="U48" s="161">
        <f>Sheet6!AT6</f>
        <v>183</v>
      </c>
      <c r="V48" s="161">
        <f>Sheet6!AU6</f>
        <v>130</v>
      </c>
      <c r="W48" s="161">
        <f>Sheet6!AV6</f>
        <v>149</v>
      </c>
      <c r="X48" s="161">
        <f>Sheet6!AW6</f>
        <v>121</v>
      </c>
      <c r="Y48" s="161">
        <f>Sheet6!AX6</f>
        <v>118</v>
      </c>
      <c r="Z48" s="162"/>
      <c r="AA48" s="817">
        <f t="shared" si="6"/>
        <v>2717</v>
      </c>
      <c r="AB48" s="191"/>
    </row>
    <row r="49" spans="1:28" ht="13.5" customHeight="1" x14ac:dyDescent="0.2">
      <c r="A49" s="13" t="str">
        <f>Sheet6!A7</f>
        <v>2012-13</v>
      </c>
      <c r="B49" s="4">
        <f>Sheet6!AA7</f>
        <v>73</v>
      </c>
      <c r="C49" s="161">
        <f>Sheet6!AB7</f>
        <v>63</v>
      </c>
      <c r="D49" s="161">
        <f>Sheet6!AC7</f>
        <v>71</v>
      </c>
      <c r="E49" s="161">
        <f>Sheet6!AD7</f>
        <v>66</v>
      </c>
      <c r="F49" s="161">
        <f>Sheet6!AE7</f>
        <v>56</v>
      </c>
      <c r="G49" s="161">
        <f>Sheet6!AF7</f>
        <v>42</v>
      </c>
      <c r="H49" s="161">
        <f>Sheet6!AG7</f>
        <v>49</v>
      </c>
      <c r="I49" s="161">
        <f>Sheet6!AH7</f>
        <v>53</v>
      </c>
      <c r="J49" s="161">
        <f>Sheet6!AI7</f>
        <v>102</v>
      </c>
      <c r="K49" s="161">
        <f>Sheet6!AJ7</f>
        <v>91</v>
      </c>
      <c r="L49" s="161">
        <f>Sheet6!AK7</f>
        <v>94</v>
      </c>
      <c r="M49" s="161">
        <f>Sheet6!AL7</f>
        <v>113</v>
      </c>
      <c r="N49" s="161">
        <f>Sheet6!AM7</f>
        <v>137</v>
      </c>
      <c r="O49" s="161">
        <f>Sheet6!AN7</f>
        <v>140</v>
      </c>
      <c r="P49" s="161">
        <f>Sheet6!AO7</f>
        <v>131</v>
      </c>
      <c r="Q49" s="161">
        <f>Sheet6!AP7</f>
        <v>133</v>
      </c>
      <c r="R49" s="161">
        <f>Sheet6!AQ7</f>
        <v>139</v>
      </c>
      <c r="S49" s="161">
        <f>Sheet6!AR7</f>
        <v>124</v>
      </c>
      <c r="T49" s="161">
        <f>Sheet6!AS7</f>
        <v>121</v>
      </c>
      <c r="U49" s="161">
        <f>Sheet6!AT7</f>
        <v>146</v>
      </c>
      <c r="V49" s="161">
        <f>Sheet6!AU7</f>
        <v>142</v>
      </c>
      <c r="W49" s="161">
        <f>Sheet6!AV7</f>
        <v>125</v>
      </c>
      <c r="X49" s="161">
        <f>Sheet6!AW7</f>
        <v>100</v>
      </c>
      <c r="Y49" s="161">
        <f>Sheet6!AX7</f>
        <v>97</v>
      </c>
      <c r="Z49" s="162"/>
      <c r="AA49" s="817">
        <f t="shared" si="6"/>
        <v>2408</v>
      </c>
      <c r="AB49" s="191"/>
    </row>
    <row r="50" spans="1:28" ht="13.5" customHeight="1" x14ac:dyDescent="0.2">
      <c r="A50" s="13" t="str">
        <f>Sheet6!A8</f>
        <v>2013-14</v>
      </c>
      <c r="B50" s="4">
        <f>Sheet6!AA8</f>
        <v>77</v>
      </c>
      <c r="C50" s="161">
        <f>Sheet6!AB8</f>
        <v>71</v>
      </c>
      <c r="D50" s="161">
        <f>Sheet6!AC8</f>
        <v>61</v>
      </c>
      <c r="E50" s="161">
        <f>Sheet6!AD8</f>
        <v>57</v>
      </c>
      <c r="F50" s="161">
        <f>Sheet6!AE8</f>
        <v>44</v>
      </c>
      <c r="G50" s="161">
        <f>Sheet6!AF8</f>
        <v>39</v>
      </c>
      <c r="H50" s="161">
        <f>Sheet6!AG8</f>
        <v>43</v>
      </c>
      <c r="I50" s="161">
        <f>Sheet6!AH8</f>
        <v>54</v>
      </c>
      <c r="J50" s="161">
        <f>Sheet6!AI8</f>
        <v>91</v>
      </c>
      <c r="K50" s="161">
        <f>Sheet6!AJ8</f>
        <v>112</v>
      </c>
      <c r="L50" s="161">
        <f>Sheet6!AK8</f>
        <v>115</v>
      </c>
      <c r="M50" s="161">
        <f>Sheet6!AL8</f>
        <v>111</v>
      </c>
      <c r="N50" s="161">
        <f>Sheet6!AM8</f>
        <v>133</v>
      </c>
      <c r="O50" s="161">
        <f>Sheet6!AN8</f>
        <v>136</v>
      </c>
      <c r="P50" s="161">
        <f>Sheet6!AO8</f>
        <v>116</v>
      </c>
      <c r="Q50" s="161">
        <f>Sheet6!AP8</f>
        <v>129</v>
      </c>
      <c r="R50" s="161">
        <f>Sheet6!AQ8</f>
        <v>117</v>
      </c>
      <c r="S50" s="161">
        <f>Sheet6!AR8</f>
        <v>121</v>
      </c>
      <c r="T50" s="161">
        <f>Sheet6!AS8</f>
        <v>131</v>
      </c>
      <c r="U50" s="161">
        <f>Sheet6!AT8</f>
        <v>137</v>
      </c>
      <c r="V50" s="161">
        <f>Sheet6!AU8</f>
        <v>156</v>
      </c>
      <c r="W50" s="161">
        <f>Sheet6!AV8</f>
        <v>115</v>
      </c>
      <c r="X50" s="161">
        <f>Sheet6!AW8</f>
        <v>102</v>
      </c>
      <c r="Y50" s="161">
        <f>Sheet6!AX8</f>
        <v>78</v>
      </c>
      <c r="Z50" s="199"/>
      <c r="AA50" s="817">
        <f t="shared" si="6"/>
        <v>2346</v>
      </c>
      <c r="AB50" s="191"/>
    </row>
    <row r="51" spans="1:28" ht="13.5" customHeight="1" x14ac:dyDescent="0.2">
      <c r="A51" s="13" t="str">
        <f>Sheet6!A9</f>
        <v>2014-15</v>
      </c>
      <c r="B51" s="185">
        <f>Sheet6!AA9</f>
        <v>102</v>
      </c>
      <c r="C51" s="185">
        <f>Sheet6!AB9</f>
        <v>72</v>
      </c>
      <c r="D51" s="185">
        <f>Sheet6!AC9</f>
        <v>85</v>
      </c>
      <c r="E51" s="185">
        <f>Sheet6!AD9</f>
        <v>67</v>
      </c>
      <c r="F51" s="185">
        <f>Sheet6!AE9</f>
        <v>48</v>
      </c>
      <c r="G51" s="185">
        <f>Sheet6!AF9</f>
        <v>43</v>
      </c>
      <c r="H51" s="185">
        <f>Sheet6!AG9</f>
        <v>47</v>
      </c>
      <c r="I51" s="185">
        <f>Sheet6!AH9</f>
        <v>58</v>
      </c>
      <c r="J51" s="185">
        <f>Sheet6!AI9</f>
        <v>76</v>
      </c>
      <c r="K51" s="185">
        <f>Sheet6!AJ9</f>
        <v>118</v>
      </c>
      <c r="L51" s="185">
        <f>Sheet6!AK9</f>
        <v>112</v>
      </c>
      <c r="M51" s="185">
        <f>Sheet6!AL9</f>
        <v>116</v>
      </c>
      <c r="N51" s="185">
        <f>Sheet6!AM9</f>
        <v>114</v>
      </c>
      <c r="O51" s="185">
        <f>Sheet6!AN9</f>
        <v>113</v>
      </c>
      <c r="P51" s="185">
        <f>Sheet6!AO9</f>
        <v>111</v>
      </c>
      <c r="Q51" s="185">
        <f>Sheet6!AP9</f>
        <v>118</v>
      </c>
      <c r="R51" s="185">
        <f>Sheet6!AQ9</f>
        <v>117</v>
      </c>
      <c r="S51" s="185">
        <f>Sheet6!AR9</f>
        <v>126</v>
      </c>
      <c r="T51" s="185">
        <f>Sheet6!AS9</f>
        <v>125</v>
      </c>
      <c r="U51" s="185">
        <f>Sheet6!AT9</f>
        <v>110</v>
      </c>
      <c r="V51" s="185">
        <f>Sheet6!AU9</f>
        <v>148</v>
      </c>
      <c r="W51" s="185">
        <f>Sheet6!AV9</f>
        <v>135</v>
      </c>
      <c r="X51" s="185">
        <f>Sheet6!AW9</f>
        <v>88</v>
      </c>
      <c r="Y51" s="185">
        <f>Sheet6!AX9</f>
        <v>75</v>
      </c>
      <c r="Z51" s="223"/>
      <c r="AA51" s="817">
        <f t="shared" si="6"/>
        <v>2324</v>
      </c>
      <c r="AB51" s="191"/>
    </row>
    <row r="52" spans="1:28" ht="13.5" customHeight="1" x14ac:dyDescent="0.2">
      <c r="A52" s="13" t="str">
        <f>Sheet6!A10</f>
        <v>2015-16</v>
      </c>
      <c r="B52" s="185">
        <f>Sheet6!AA10</f>
        <v>85</v>
      </c>
      <c r="C52" s="185">
        <f>Sheet6!AB10</f>
        <v>79</v>
      </c>
      <c r="D52" s="185">
        <f>Sheet6!AC10</f>
        <v>62</v>
      </c>
      <c r="E52" s="185">
        <f>Sheet6!AD10</f>
        <v>53</v>
      </c>
      <c r="F52" s="185">
        <f>Sheet6!AE10</f>
        <v>41</v>
      </c>
      <c r="G52" s="185">
        <f>Sheet6!AF10</f>
        <v>43</v>
      </c>
      <c r="H52" s="185">
        <f>Sheet6!AG10</f>
        <v>50</v>
      </c>
      <c r="I52" s="185">
        <f>Sheet6!AH10</f>
        <v>70</v>
      </c>
      <c r="J52" s="185">
        <f>Sheet6!AI10</f>
        <v>106</v>
      </c>
      <c r="K52" s="185">
        <f>Sheet6!AJ10</f>
        <v>117</v>
      </c>
      <c r="L52" s="185">
        <f>Sheet6!AK10</f>
        <v>115</v>
      </c>
      <c r="M52" s="185">
        <f>Sheet6!AL10</f>
        <v>138</v>
      </c>
      <c r="N52" s="185">
        <f>Sheet6!AM10</f>
        <v>144</v>
      </c>
      <c r="O52" s="185">
        <f>Sheet6!AN10</f>
        <v>132</v>
      </c>
      <c r="P52" s="185">
        <f>Sheet6!AO10</f>
        <v>123</v>
      </c>
      <c r="Q52" s="185">
        <f>Sheet6!AP10</f>
        <v>146</v>
      </c>
      <c r="R52" s="185">
        <f>Sheet6!AQ10</f>
        <v>150</v>
      </c>
      <c r="S52" s="185">
        <f>Sheet6!AR10</f>
        <v>142</v>
      </c>
      <c r="T52" s="185">
        <f>Sheet6!AS10</f>
        <v>114</v>
      </c>
      <c r="U52" s="185">
        <f>Sheet6!AT10</f>
        <v>134</v>
      </c>
      <c r="V52" s="185">
        <f>Sheet6!AU10</f>
        <v>127</v>
      </c>
      <c r="W52" s="185">
        <f>Sheet6!AV10</f>
        <v>134</v>
      </c>
      <c r="X52" s="185">
        <f>Sheet6!AW10</f>
        <v>104</v>
      </c>
      <c r="Y52" s="185">
        <f>Sheet6!AX10</f>
        <v>85</v>
      </c>
      <c r="Z52" s="223"/>
      <c r="AA52" s="817">
        <f t="shared" si="6"/>
        <v>2494</v>
      </c>
      <c r="AB52" s="191"/>
    </row>
    <row r="53" spans="1:28" ht="13.5" customHeight="1" x14ac:dyDescent="0.2">
      <c r="A53" s="13" t="str">
        <f>Sheet6!A11</f>
        <v>2016-17</v>
      </c>
      <c r="B53" s="185">
        <f>Sheet6!AA11</f>
        <v>64</v>
      </c>
      <c r="C53" s="185">
        <f>Sheet6!AB11</f>
        <v>56</v>
      </c>
      <c r="D53" s="185">
        <f>Sheet6!AC11</f>
        <v>60</v>
      </c>
      <c r="E53" s="185">
        <f>Sheet6!AD11</f>
        <v>39</v>
      </c>
      <c r="F53" s="185">
        <f>Sheet6!AE11</f>
        <v>45</v>
      </c>
      <c r="G53" s="185">
        <f>Sheet6!AF11</f>
        <v>50</v>
      </c>
      <c r="H53" s="185">
        <f>Sheet6!AG11</f>
        <v>31</v>
      </c>
      <c r="I53" s="185">
        <f>Sheet6!AH11</f>
        <v>64</v>
      </c>
      <c r="J53" s="185">
        <f>Sheet6!AI11</f>
        <v>94</v>
      </c>
      <c r="K53" s="185">
        <f>Sheet6!AJ11</f>
        <v>95</v>
      </c>
      <c r="L53" s="185">
        <f>Sheet6!AK11</f>
        <v>113</v>
      </c>
      <c r="M53" s="185">
        <f>Sheet6!AL11</f>
        <v>114</v>
      </c>
      <c r="N53" s="185">
        <f>Sheet6!AM11</f>
        <v>127</v>
      </c>
      <c r="O53" s="185">
        <f>Sheet6!AN11</f>
        <v>129</v>
      </c>
      <c r="P53" s="185">
        <f>Sheet6!AO11</f>
        <v>126</v>
      </c>
      <c r="Q53" s="185">
        <f>Sheet6!AP11</f>
        <v>128</v>
      </c>
      <c r="R53" s="185">
        <f>Sheet6!AQ11</f>
        <v>144</v>
      </c>
      <c r="S53" s="185">
        <f>Sheet6!AR11</f>
        <v>118</v>
      </c>
      <c r="T53" s="185">
        <f>Sheet6!AS11</f>
        <v>148</v>
      </c>
      <c r="U53" s="185">
        <f>Sheet6!AT11</f>
        <v>131</v>
      </c>
      <c r="V53" s="185">
        <f>Sheet6!AU11</f>
        <v>138</v>
      </c>
      <c r="W53" s="185">
        <f>Sheet6!AV11</f>
        <v>86</v>
      </c>
      <c r="X53" s="185">
        <f>Sheet6!AW11</f>
        <v>79</v>
      </c>
      <c r="Y53" s="185">
        <f>Sheet6!AX11</f>
        <v>98</v>
      </c>
      <c r="Z53" s="223"/>
      <c r="AA53" s="817">
        <f t="shared" ref="AA53:AA56" si="7">SUM(B53:Z53)</f>
        <v>2277</v>
      </c>
      <c r="AB53" s="191"/>
    </row>
    <row r="54" spans="1:28" ht="13.5" customHeight="1" x14ac:dyDescent="0.2">
      <c r="A54" s="13" t="str">
        <f>Sheet6!A12</f>
        <v>2017-18</v>
      </c>
      <c r="B54" s="185">
        <f>Sheet6!AA12</f>
        <v>64</v>
      </c>
      <c r="C54" s="185">
        <f>Sheet6!AB12</f>
        <v>71</v>
      </c>
      <c r="D54" s="185">
        <f>Sheet6!AC12</f>
        <v>52</v>
      </c>
      <c r="E54" s="185">
        <f>Sheet6!AD12</f>
        <v>63</v>
      </c>
      <c r="F54" s="185">
        <f>Sheet6!AE12</f>
        <v>33</v>
      </c>
      <c r="G54" s="185">
        <f>Sheet6!AF12</f>
        <v>44</v>
      </c>
      <c r="H54" s="185">
        <f>Sheet6!AG12</f>
        <v>46</v>
      </c>
      <c r="I54" s="185">
        <f>Sheet6!AH12</f>
        <v>68</v>
      </c>
      <c r="J54" s="185">
        <f>Sheet6!AI12</f>
        <v>79</v>
      </c>
      <c r="K54" s="185">
        <f>Sheet6!AJ12</f>
        <v>127</v>
      </c>
      <c r="L54" s="185">
        <f>Sheet6!AK12</f>
        <v>98</v>
      </c>
      <c r="M54" s="185">
        <f>Sheet6!AL12</f>
        <v>113</v>
      </c>
      <c r="N54" s="185">
        <f>Sheet6!AM12</f>
        <v>119</v>
      </c>
      <c r="O54" s="185">
        <f>Sheet6!AN12</f>
        <v>124</v>
      </c>
      <c r="P54" s="185">
        <f>Sheet6!AO12</f>
        <v>123</v>
      </c>
      <c r="Q54" s="185">
        <f>Sheet6!AP12</f>
        <v>136</v>
      </c>
      <c r="R54" s="185">
        <f>Sheet6!AQ12</f>
        <v>113</v>
      </c>
      <c r="S54" s="185">
        <f>Sheet6!AR12</f>
        <v>126</v>
      </c>
      <c r="T54" s="185">
        <f>Sheet6!AS12</f>
        <v>135</v>
      </c>
      <c r="U54" s="185">
        <f>Sheet6!AT12</f>
        <v>137</v>
      </c>
      <c r="V54" s="185">
        <f>Sheet6!AU12</f>
        <v>126</v>
      </c>
      <c r="W54" s="185">
        <f>Sheet6!AV12</f>
        <v>113</v>
      </c>
      <c r="X54" s="185">
        <f>Sheet6!AW12</f>
        <v>96</v>
      </c>
      <c r="Y54" s="185">
        <f>Sheet6!AX12</f>
        <v>81</v>
      </c>
      <c r="Z54" s="223"/>
      <c r="AA54" s="817">
        <f t="shared" si="7"/>
        <v>2287</v>
      </c>
      <c r="AB54" s="191"/>
    </row>
    <row r="55" spans="1:28" ht="13.5" customHeight="1" x14ac:dyDescent="0.2">
      <c r="A55" s="13" t="str">
        <f>Sheet6!A13</f>
        <v>2018-19</v>
      </c>
      <c r="B55" s="185">
        <f>Sheet6!AA13</f>
        <v>64</v>
      </c>
      <c r="C55" s="185">
        <f>Sheet6!AB13</f>
        <v>59</v>
      </c>
      <c r="D55" s="185">
        <f>Sheet6!AC13</f>
        <v>48</v>
      </c>
      <c r="E55" s="185">
        <f>Sheet6!AD13</f>
        <v>62</v>
      </c>
      <c r="F55" s="185">
        <f>Sheet6!AE13</f>
        <v>42</v>
      </c>
      <c r="G55" s="185">
        <f>Sheet6!AF13</f>
        <v>39</v>
      </c>
      <c r="H55" s="185">
        <f>Sheet6!AG13</f>
        <v>57</v>
      </c>
      <c r="I55" s="185">
        <f>Sheet6!AH13</f>
        <v>45</v>
      </c>
      <c r="J55" s="185">
        <f>Sheet6!AI13</f>
        <v>90</v>
      </c>
      <c r="K55" s="185">
        <f>Sheet6!AJ13</f>
        <v>107</v>
      </c>
      <c r="L55" s="185">
        <f>Sheet6!AK13</f>
        <v>123</v>
      </c>
      <c r="M55" s="185">
        <f>Sheet6!AL13</f>
        <v>121</v>
      </c>
      <c r="N55" s="185">
        <f>Sheet6!AM13</f>
        <v>129</v>
      </c>
      <c r="O55" s="185">
        <f>Sheet6!AN13</f>
        <v>117</v>
      </c>
      <c r="P55" s="185">
        <f>Sheet6!AO13</f>
        <v>106</v>
      </c>
      <c r="Q55" s="185">
        <f>Sheet6!AP13</f>
        <v>118</v>
      </c>
      <c r="R55" s="185">
        <f>Sheet6!AQ13</f>
        <v>117</v>
      </c>
      <c r="S55" s="185">
        <f>Sheet6!AR13</f>
        <v>139</v>
      </c>
      <c r="T55" s="185">
        <f>Sheet6!AS13</f>
        <v>124</v>
      </c>
      <c r="U55" s="185">
        <f>Sheet6!AT13</f>
        <v>137</v>
      </c>
      <c r="V55" s="185">
        <f>Sheet6!AU13</f>
        <v>123</v>
      </c>
      <c r="W55" s="185">
        <f>Sheet6!AV13</f>
        <v>101</v>
      </c>
      <c r="X55" s="185">
        <f>Sheet6!AW13</f>
        <v>88</v>
      </c>
      <c r="Y55" s="185">
        <f>Sheet6!AX13</f>
        <v>96</v>
      </c>
      <c r="Z55" s="223"/>
      <c r="AA55" s="817">
        <f t="shared" si="7"/>
        <v>2252</v>
      </c>
      <c r="AB55" s="191"/>
    </row>
    <row r="56" spans="1:28" ht="13.5" customHeight="1" x14ac:dyDescent="0.2">
      <c r="A56" s="13" t="str">
        <f>Sheet6!A14</f>
        <v>2019-20</v>
      </c>
      <c r="B56" s="185">
        <f>Sheet6!AA14</f>
        <v>60</v>
      </c>
      <c r="C56" s="185">
        <f>Sheet6!AB14</f>
        <v>72</v>
      </c>
      <c r="D56" s="185">
        <f>Sheet6!AC14</f>
        <v>39</v>
      </c>
      <c r="E56" s="185">
        <f>Sheet6!AD14</f>
        <v>33</v>
      </c>
      <c r="F56" s="185">
        <f>Sheet6!AE14</f>
        <v>38</v>
      </c>
      <c r="G56" s="185">
        <f>Sheet6!AF14</f>
        <v>36</v>
      </c>
      <c r="H56" s="185">
        <f>Sheet6!AG14</f>
        <v>44</v>
      </c>
      <c r="I56" s="185">
        <f>Sheet6!AH14</f>
        <v>46</v>
      </c>
      <c r="J56" s="185">
        <f>Sheet6!AI14</f>
        <v>79</v>
      </c>
      <c r="K56" s="185">
        <f>Sheet6!AJ14</f>
        <v>84</v>
      </c>
      <c r="L56" s="185">
        <f>Sheet6!AK14</f>
        <v>85</v>
      </c>
      <c r="M56" s="185">
        <f>Sheet6!AL14</f>
        <v>127</v>
      </c>
      <c r="N56" s="185">
        <f>Sheet6!AM14</f>
        <v>103</v>
      </c>
      <c r="O56" s="185">
        <f>Sheet6!AN14</f>
        <v>105</v>
      </c>
      <c r="P56" s="185">
        <f>Sheet6!AO14</f>
        <v>123</v>
      </c>
      <c r="Q56" s="185">
        <f>Sheet6!AP14</f>
        <v>97</v>
      </c>
      <c r="R56" s="185">
        <f>Sheet6!AQ14</f>
        <v>106</v>
      </c>
      <c r="S56" s="185">
        <f>Sheet6!AR14</f>
        <v>134</v>
      </c>
      <c r="T56" s="185">
        <f>Sheet6!AS14</f>
        <v>122</v>
      </c>
      <c r="U56" s="185">
        <f>Sheet6!AT14</f>
        <v>109</v>
      </c>
      <c r="V56" s="185">
        <f>Sheet6!AU14</f>
        <v>101</v>
      </c>
      <c r="W56" s="185">
        <f>Sheet6!AV14</f>
        <v>95</v>
      </c>
      <c r="X56" s="185">
        <f>Sheet6!AW14</f>
        <v>74</v>
      </c>
      <c r="Y56" s="185">
        <f>Sheet6!AX14</f>
        <v>68</v>
      </c>
      <c r="Z56" s="223"/>
      <c r="AA56" s="817">
        <f t="shared" si="7"/>
        <v>1980</v>
      </c>
      <c r="AB56" s="191"/>
    </row>
    <row r="57" spans="1:28" ht="13.5" thickBot="1" x14ac:dyDescent="0.25">
      <c r="A57" s="350" t="str">
        <f>Sheet6!A15</f>
        <v>2020-21</v>
      </c>
      <c r="B57" s="820">
        <f>Sheet6!AA15</f>
        <v>54</v>
      </c>
      <c r="C57" s="820">
        <f>Sheet6!AB15</f>
        <v>50</v>
      </c>
      <c r="D57" s="820">
        <f>Sheet6!AC15</f>
        <v>26</v>
      </c>
      <c r="E57" s="820">
        <f>Sheet6!AD15</f>
        <v>26</v>
      </c>
      <c r="F57" s="820">
        <f>Sheet6!AE15</f>
        <v>35</v>
      </c>
      <c r="G57" s="820">
        <f>Sheet6!AF15</f>
        <v>23</v>
      </c>
      <c r="H57" s="820">
        <f>Sheet6!AG15</f>
        <v>47</v>
      </c>
      <c r="I57" s="820">
        <f>Sheet6!AH15</f>
        <v>56</v>
      </c>
      <c r="J57" s="820">
        <f>Sheet6!AI15</f>
        <v>66</v>
      </c>
      <c r="K57" s="820">
        <f>Sheet6!AJ15</f>
        <v>72</v>
      </c>
      <c r="L57" s="820">
        <f>Sheet6!AK15</f>
        <v>75</v>
      </c>
      <c r="M57" s="820">
        <f>Sheet6!AL15</f>
        <v>86</v>
      </c>
      <c r="N57" s="820">
        <f>Sheet6!AM15</f>
        <v>83</v>
      </c>
      <c r="O57" s="820">
        <f>Sheet6!AN15</f>
        <v>90</v>
      </c>
      <c r="P57" s="820">
        <f>Sheet6!AO15</f>
        <v>95</v>
      </c>
      <c r="Q57" s="820">
        <f>Sheet6!AP15</f>
        <v>100</v>
      </c>
      <c r="R57" s="820">
        <f>Sheet6!AQ15</f>
        <v>125</v>
      </c>
      <c r="S57" s="820">
        <f>Sheet6!AR15</f>
        <v>86</v>
      </c>
      <c r="T57" s="820">
        <f>Sheet6!AS15</f>
        <v>128</v>
      </c>
      <c r="U57" s="820">
        <f>Sheet6!AT15</f>
        <v>80</v>
      </c>
      <c r="V57" s="820">
        <f>Sheet6!AU15</f>
        <v>99</v>
      </c>
      <c r="W57" s="820">
        <f>Sheet6!AV15</f>
        <v>77</v>
      </c>
      <c r="X57" s="820">
        <f>Sheet6!AW15</f>
        <v>70</v>
      </c>
      <c r="Y57" s="820">
        <f>Sheet6!AX15</f>
        <v>69</v>
      </c>
      <c r="Z57" s="821"/>
      <c r="AA57" s="819">
        <f t="shared" ref="AA57" si="8">SUM(B57:Z57)</f>
        <v>1718</v>
      </c>
      <c r="AB57" s="1"/>
    </row>
    <row r="58" spans="1:28"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75" customHeight="1" x14ac:dyDescent="0.2">
      <c r="A59" s="1357" t="s">
        <v>4</v>
      </c>
      <c r="B59" s="1298" t="s">
        <v>248</v>
      </c>
      <c r="C59" s="1298"/>
      <c r="D59" s="1298"/>
      <c r="E59" s="1298"/>
      <c r="F59" s="1298"/>
      <c r="G59" s="1298"/>
      <c r="H59" s="1298"/>
      <c r="I59" s="1298"/>
      <c r="J59" s="1298"/>
      <c r="K59" s="1298"/>
      <c r="L59" s="1298"/>
      <c r="M59" s="1298"/>
      <c r="N59" s="1298"/>
      <c r="O59" s="1298"/>
      <c r="P59" s="1298"/>
      <c r="Q59" s="1298"/>
      <c r="R59" s="1298"/>
      <c r="S59" s="1298"/>
      <c r="T59" s="1298"/>
      <c r="U59" s="1298"/>
      <c r="V59" s="1298"/>
      <c r="W59" s="1298"/>
      <c r="X59" s="1298"/>
      <c r="Y59" s="1298"/>
      <c r="Z59" s="1298"/>
      <c r="AA59" s="1358" t="s">
        <v>272</v>
      </c>
      <c r="AB59" s="1"/>
    </row>
    <row r="60" spans="1:28" ht="18.75" customHeight="1" x14ac:dyDescent="0.2">
      <c r="A60" s="1357"/>
      <c r="B60" s="201" t="s">
        <v>251</v>
      </c>
      <c r="C60" s="201" t="s">
        <v>225</v>
      </c>
      <c r="D60" s="201" t="s">
        <v>226</v>
      </c>
      <c r="E60" s="201" t="s">
        <v>227</v>
      </c>
      <c r="F60" s="201" t="s">
        <v>228</v>
      </c>
      <c r="G60" s="201" t="s">
        <v>229</v>
      </c>
      <c r="H60" s="201" t="s">
        <v>230</v>
      </c>
      <c r="I60" s="201" t="s">
        <v>231</v>
      </c>
      <c r="J60" s="201" t="s">
        <v>232</v>
      </c>
      <c r="K60" s="201" t="s">
        <v>233</v>
      </c>
      <c r="L60" s="201" t="s">
        <v>234</v>
      </c>
      <c r="M60" s="201" t="s">
        <v>235</v>
      </c>
      <c r="N60" s="201" t="s">
        <v>257</v>
      </c>
      <c r="O60" s="201" t="s">
        <v>236</v>
      </c>
      <c r="P60" s="201" t="s">
        <v>237</v>
      </c>
      <c r="Q60" s="201" t="s">
        <v>238</v>
      </c>
      <c r="R60" s="201" t="s">
        <v>239</v>
      </c>
      <c r="S60" s="201" t="s">
        <v>240</v>
      </c>
      <c r="T60" s="201" t="s">
        <v>241</v>
      </c>
      <c r="U60" s="201" t="s">
        <v>242</v>
      </c>
      <c r="V60" s="201" t="s">
        <v>243</v>
      </c>
      <c r="W60" s="201" t="s">
        <v>244</v>
      </c>
      <c r="X60" s="201" t="s">
        <v>245</v>
      </c>
      <c r="Y60" s="201" t="s">
        <v>246</v>
      </c>
      <c r="Z60" s="201" t="s">
        <v>247</v>
      </c>
      <c r="AA60" s="1358"/>
      <c r="AB60" s="1"/>
    </row>
    <row r="61" spans="1:28" ht="18.75" customHeight="1" x14ac:dyDescent="0.2">
      <c r="A61" s="347" t="s">
        <v>16</v>
      </c>
      <c r="B61" s="103">
        <v>228</v>
      </c>
      <c r="C61" s="167">
        <v>233</v>
      </c>
      <c r="D61" s="167">
        <v>199</v>
      </c>
      <c r="E61" s="167">
        <v>189</v>
      </c>
      <c r="F61" s="167">
        <v>175</v>
      </c>
      <c r="G61" s="167">
        <v>119</v>
      </c>
      <c r="H61" s="167">
        <v>64</v>
      </c>
      <c r="I61" s="167">
        <v>101</v>
      </c>
      <c r="J61" s="167">
        <v>47</v>
      </c>
      <c r="K61" s="167">
        <v>107</v>
      </c>
      <c r="L61" s="167">
        <v>65</v>
      </c>
      <c r="M61" s="167">
        <v>98</v>
      </c>
      <c r="N61" s="167">
        <v>136</v>
      </c>
      <c r="O61" s="167">
        <v>116</v>
      </c>
      <c r="P61" s="167">
        <v>141</v>
      </c>
      <c r="Q61" s="167">
        <v>153</v>
      </c>
      <c r="R61" s="167">
        <v>180</v>
      </c>
      <c r="S61" s="167">
        <v>132</v>
      </c>
      <c r="T61" s="167">
        <v>178</v>
      </c>
      <c r="U61" s="167">
        <v>190</v>
      </c>
      <c r="V61" s="167">
        <v>303</v>
      </c>
      <c r="W61" s="167">
        <v>274</v>
      </c>
      <c r="X61" s="167">
        <v>269</v>
      </c>
      <c r="Y61" s="167">
        <v>329</v>
      </c>
      <c r="Z61" s="222"/>
      <c r="AA61" s="818">
        <f t="shared" ref="AA61:AA69" si="9">SUM(B61:Z61)</f>
        <v>4026</v>
      </c>
      <c r="AB61" s="802"/>
    </row>
    <row r="62" spans="1:28" ht="13.5" customHeight="1" x14ac:dyDescent="0.2">
      <c r="A62" s="13" t="s">
        <v>18</v>
      </c>
      <c r="B62" s="4">
        <v>256</v>
      </c>
      <c r="C62" s="161">
        <v>221</v>
      </c>
      <c r="D62" s="161">
        <v>236</v>
      </c>
      <c r="E62" s="161">
        <v>207</v>
      </c>
      <c r="F62" s="161">
        <v>183</v>
      </c>
      <c r="G62" s="161">
        <v>100</v>
      </c>
      <c r="H62" s="161">
        <v>87</v>
      </c>
      <c r="I62" s="161">
        <v>87</v>
      </c>
      <c r="J62" s="161">
        <v>39</v>
      </c>
      <c r="K62" s="161">
        <v>48</v>
      </c>
      <c r="L62" s="161">
        <v>87</v>
      </c>
      <c r="M62" s="161">
        <v>103</v>
      </c>
      <c r="N62" s="161">
        <v>112</v>
      </c>
      <c r="O62" s="161">
        <v>109</v>
      </c>
      <c r="P62" s="161">
        <v>149</v>
      </c>
      <c r="Q62" s="161">
        <v>137</v>
      </c>
      <c r="R62" s="161">
        <v>119</v>
      </c>
      <c r="S62" s="161">
        <v>139</v>
      </c>
      <c r="T62" s="161">
        <v>215</v>
      </c>
      <c r="U62" s="161">
        <v>194</v>
      </c>
      <c r="V62" s="161">
        <v>205</v>
      </c>
      <c r="W62" s="161">
        <v>294</v>
      </c>
      <c r="X62" s="161">
        <v>240</v>
      </c>
      <c r="Y62" s="161">
        <v>274</v>
      </c>
      <c r="Z62" s="162"/>
      <c r="AA62" s="817">
        <f t="shared" si="9"/>
        <v>3841</v>
      </c>
      <c r="AB62" s="802"/>
    </row>
    <row r="63" spans="1:28" ht="13.5" customHeight="1" x14ac:dyDescent="0.2">
      <c r="A63" s="13" t="str">
        <f>Sheet6!A4</f>
        <v>2009-10</v>
      </c>
      <c r="B63" s="4">
        <f>Sheet6!AZ4</f>
        <v>270</v>
      </c>
      <c r="C63" s="161">
        <f>Sheet6!BA4</f>
        <v>219</v>
      </c>
      <c r="D63" s="161">
        <f>Sheet6!BB4</f>
        <v>236</v>
      </c>
      <c r="E63" s="161">
        <f>Sheet6!BC4</f>
        <v>172</v>
      </c>
      <c r="F63" s="161">
        <f>Sheet6!BD4</f>
        <v>168</v>
      </c>
      <c r="G63" s="161">
        <f>Sheet6!BE4</f>
        <v>96</v>
      </c>
      <c r="H63" s="161">
        <f>Sheet6!BF4</f>
        <v>73</v>
      </c>
      <c r="I63" s="161">
        <f>Sheet6!BG4</f>
        <v>86</v>
      </c>
      <c r="J63" s="161">
        <f>Sheet6!BH4</f>
        <v>80</v>
      </c>
      <c r="K63" s="161">
        <f>Sheet6!BI4</f>
        <v>88</v>
      </c>
      <c r="L63" s="161">
        <f>Sheet6!BJ4</f>
        <v>95</v>
      </c>
      <c r="M63" s="161">
        <f>Sheet6!BK4</f>
        <v>115</v>
      </c>
      <c r="N63" s="161">
        <f>Sheet6!BL4</f>
        <v>131</v>
      </c>
      <c r="O63" s="161">
        <f>Sheet6!BM4</f>
        <v>165</v>
      </c>
      <c r="P63" s="161">
        <f>Sheet6!BN4</f>
        <v>179</v>
      </c>
      <c r="Q63" s="161">
        <f>Sheet6!BO4</f>
        <v>185</v>
      </c>
      <c r="R63" s="161">
        <f>Sheet6!BP4</f>
        <v>172</v>
      </c>
      <c r="S63" s="161">
        <f>Sheet6!BQ4</f>
        <v>186</v>
      </c>
      <c r="T63" s="161">
        <f>Sheet6!BR4</f>
        <v>229</v>
      </c>
      <c r="U63" s="161">
        <f>Sheet6!BS4</f>
        <v>287</v>
      </c>
      <c r="V63" s="161">
        <f>Sheet6!BT4</f>
        <v>297</v>
      </c>
      <c r="W63" s="161">
        <f>Sheet6!BU4</f>
        <v>325</v>
      </c>
      <c r="X63" s="161">
        <f>Sheet6!BV4</f>
        <v>295</v>
      </c>
      <c r="Y63" s="161">
        <f>Sheet6!BW4</f>
        <v>279</v>
      </c>
      <c r="Z63" s="162"/>
      <c r="AA63" s="817">
        <f t="shared" si="9"/>
        <v>4428</v>
      </c>
      <c r="AB63" s="802"/>
    </row>
    <row r="64" spans="1:28" ht="13.5" customHeight="1" x14ac:dyDescent="0.2">
      <c r="A64" s="13" t="str">
        <f>Sheet6!A5</f>
        <v>2010-11</v>
      </c>
      <c r="B64" s="4">
        <f>Sheet6!AZ5</f>
        <v>249</v>
      </c>
      <c r="C64" s="161">
        <f>Sheet6!BA5</f>
        <v>198</v>
      </c>
      <c r="D64" s="161">
        <f>Sheet6!BB5</f>
        <v>197</v>
      </c>
      <c r="E64" s="163">
        <f>Sheet6!BC5</f>
        <v>177</v>
      </c>
      <c r="F64" s="161">
        <f>Sheet6!BD5</f>
        <v>124</v>
      </c>
      <c r="G64" s="161">
        <f>Sheet6!BE5</f>
        <v>107</v>
      </c>
      <c r="H64" s="161">
        <f>Sheet6!BF5</f>
        <v>67</v>
      </c>
      <c r="I64" s="161">
        <f>Sheet6!BG5</f>
        <v>87</v>
      </c>
      <c r="J64" s="161">
        <f>Sheet6!BH5</f>
        <v>85</v>
      </c>
      <c r="K64" s="161">
        <f>Sheet6!BI5</f>
        <v>94</v>
      </c>
      <c r="L64" s="161">
        <f>Sheet6!BJ5</f>
        <v>92</v>
      </c>
      <c r="M64" s="161">
        <f>Sheet6!BK5</f>
        <v>117</v>
      </c>
      <c r="N64" s="161">
        <f>Sheet6!BL5</f>
        <v>121</v>
      </c>
      <c r="O64" s="161">
        <f>Sheet6!BM5</f>
        <v>132</v>
      </c>
      <c r="P64" s="161">
        <f>Sheet6!BN5</f>
        <v>153</v>
      </c>
      <c r="Q64" s="161">
        <f>Sheet6!BO5</f>
        <v>148</v>
      </c>
      <c r="R64" s="161">
        <f>Sheet6!BP5</f>
        <v>183</v>
      </c>
      <c r="S64" s="161">
        <f>Sheet6!BQ5</f>
        <v>227</v>
      </c>
      <c r="T64" s="161">
        <f>Sheet6!BR5</f>
        <v>214</v>
      </c>
      <c r="U64" s="161">
        <f>Sheet6!BS5</f>
        <v>220</v>
      </c>
      <c r="V64" s="161">
        <f>Sheet6!BT5</f>
        <v>289</v>
      </c>
      <c r="W64" s="161">
        <f>Sheet6!BU5</f>
        <v>285</v>
      </c>
      <c r="X64" s="161">
        <f>Sheet6!BV5</f>
        <v>255</v>
      </c>
      <c r="Y64" s="161">
        <f>Sheet6!BW5</f>
        <v>235</v>
      </c>
      <c r="Z64" s="162"/>
      <c r="AA64" s="817">
        <f t="shared" si="9"/>
        <v>4056</v>
      </c>
      <c r="AB64" s="802"/>
    </row>
    <row r="65" spans="1:28" ht="13.5" customHeight="1" x14ac:dyDescent="0.2">
      <c r="A65" s="13" t="str">
        <f>Sheet6!A6</f>
        <v>2011-12</v>
      </c>
      <c r="B65" s="4">
        <f>Sheet6!AZ6</f>
        <v>206</v>
      </c>
      <c r="C65" s="161">
        <f>Sheet6!BA6</f>
        <v>212</v>
      </c>
      <c r="D65" s="161">
        <f>Sheet6!BB6</f>
        <v>172</v>
      </c>
      <c r="E65" s="161">
        <f>Sheet6!BC6</f>
        <v>143</v>
      </c>
      <c r="F65" s="161">
        <f>Sheet6!BD6</f>
        <v>101</v>
      </c>
      <c r="G65" s="161">
        <f>Sheet6!BE6</f>
        <v>78</v>
      </c>
      <c r="H65" s="161">
        <f>Sheet6!BF6</f>
        <v>86</v>
      </c>
      <c r="I65" s="161">
        <f>Sheet6!BG6</f>
        <v>75</v>
      </c>
      <c r="J65" s="161">
        <f>Sheet6!BH6</f>
        <v>85</v>
      </c>
      <c r="K65" s="161">
        <f>Sheet6!BI6</f>
        <v>63</v>
      </c>
      <c r="L65" s="161">
        <f>Sheet6!BJ6</f>
        <v>73</v>
      </c>
      <c r="M65" s="161">
        <f>Sheet6!BK6</f>
        <v>100</v>
      </c>
      <c r="N65" s="161">
        <f>Sheet6!BL6</f>
        <v>121</v>
      </c>
      <c r="O65" s="161">
        <f>Sheet6!BM6</f>
        <v>132</v>
      </c>
      <c r="P65" s="161">
        <f>Sheet6!BN6</f>
        <v>127</v>
      </c>
      <c r="Q65" s="161">
        <f>Sheet6!BO6</f>
        <v>150</v>
      </c>
      <c r="R65" s="161">
        <f>Sheet6!BP6</f>
        <v>146</v>
      </c>
      <c r="S65" s="161">
        <f>Sheet6!BQ6</f>
        <v>180</v>
      </c>
      <c r="T65" s="161">
        <f>Sheet6!BR6</f>
        <v>193</v>
      </c>
      <c r="U65" s="161">
        <f>Sheet6!BS6</f>
        <v>205</v>
      </c>
      <c r="V65" s="161">
        <f>Sheet6!BT6</f>
        <v>220</v>
      </c>
      <c r="W65" s="161">
        <f>Sheet6!BU6</f>
        <v>245</v>
      </c>
      <c r="X65" s="161">
        <f>Sheet6!BV6</f>
        <v>208</v>
      </c>
      <c r="Y65" s="161">
        <f>Sheet6!BW6</f>
        <v>216</v>
      </c>
      <c r="Z65" s="162"/>
      <c r="AA65" s="817">
        <f t="shared" si="9"/>
        <v>3537</v>
      </c>
      <c r="AB65" s="4"/>
    </row>
    <row r="66" spans="1:28" ht="13.5" customHeight="1" x14ac:dyDescent="0.2">
      <c r="A66" s="13" t="str">
        <f>Sheet6!A7</f>
        <v>2012-13</v>
      </c>
      <c r="B66" s="4">
        <f>Sheet6!AZ7</f>
        <v>152</v>
      </c>
      <c r="C66" s="161">
        <f>Sheet6!BA7</f>
        <v>147</v>
      </c>
      <c r="D66" s="161">
        <f>Sheet6!BB7</f>
        <v>104</v>
      </c>
      <c r="E66" s="161">
        <f>Sheet6!BC7</f>
        <v>93</v>
      </c>
      <c r="F66" s="161">
        <f>Sheet6!BD7</f>
        <v>84</v>
      </c>
      <c r="G66" s="161">
        <f>Sheet6!BE7</f>
        <v>67</v>
      </c>
      <c r="H66" s="161">
        <f>Sheet6!BF7</f>
        <v>60</v>
      </c>
      <c r="I66" s="161">
        <f>Sheet6!BG7</f>
        <v>70</v>
      </c>
      <c r="J66" s="161">
        <f>Sheet6!BH7</f>
        <v>85</v>
      </c>
      <c r="K66" s="161">
        <f>Sheet6!BI7</f>
        <v>84</v>
      </c>
      <c r="L66" s="161">
        <f>Sheet6!BJ7</f>
        <v>77</v>
      </c>
      <c r="M66" s="161">
        <f>Sheet6!BK7</f>
        <v>85</v>
      </c>
      <c r="N66" s="161">
        <f>Sheet6!BL7</f>
        <v>106</v>
      </c>
      <c r="O66" s="161">
        <f>Sheet6!BM7</f>
        <v>125</v>
      </c>
      <c r="P66" s="161">
        <f>Sheet6!BN7</f>
        <v>122</v>
      </c>
      <c r="Q66" s="161">
        <f>Sheet6!BO7</f>
        <v>145</v>
      </c>
      <c r="R66" s="161">
        <f>Sheet6!BP7</f>
        <v>143</v>
      </c>
      <c r="S66" s="161">
        <f>Sheet6!BQ7</f>
        <v>133</v>
      </c>
      <c r="T66" s="161">
        <f>Sheet6!BR7</f>
        <v>141</v>
      </c>
      <c r="U66" s="161">
        <f>Sheet6!BS7</f>
        <v>169</v>
      </c>
      <c r="V66" s="161">
        <f>Sheet6!BT7</f>
        <v>168</v>
      </c>
      <c r="W66" s="161">
        <f>Sheet6!BU7</f>
        <v>164</v>
      </c>
      <c r="X66" s="161">
        <f>Sheet6!BV7</f>
        <v>163</v>
      </c>
      <c r="Y66" s="161">
        <f>Sheet6!BW7</f>
        <v>162</v>
      </c>
      <c r="Z66" s="162"/>
      <c r="AA66" s="817">
        <f t="shared" si="9"/>
        <v>2849</v>
      </c>
      <c r="AB66" s="4"/>
    </row>
    <row r="67" spans="1:28" ht="13.5" customHeight="1" x14ac:dyDescent="0.2">
      <c r="A67" s="13" t="str">
        <f>Sheet6!A8</f>
        <v>2013-14</v>
      </c>
      <c r="B67" s="4">
        <f>Sheet6!AZ8</f>
        <v>133</v>
      </c>
      <c r="C67" s="161">
        <f>Sheet6!BA8</f>
        <v>125</v>
      </c>
      <c r="D67" s="161">
        <f>Sheet6!BB8</f>
        <v>115</v>
      </c>
      <c r="E67" s="161">
        <f>Sheet6!BC8</f>
        <v>90</v>
      </c>
      <c r="F67" s="161">
        <f>Sheet6!BD8</f>
        <v>59</v>
      </c>
      <c r="G67" s="161">
        <f>Sheet6!BE8</f>
        <v>65</v>
      </c>
      <c r="H67" s="161">
        <f>Sheet6!BF8</f>
        <v>56</v>
      </c>
      <c r="I67" s="161">
        <f>Sheet6!BG8</f>
        <v>67</v>
      </c>
      <c r="J67" s="161">
        <f>Sheet6!BH8</f>
        <v>81</v>
      </c>
      <c r="K67" s="161">
        <f>Sheet6!BI8</f>
        <v>81</v>
      </c>
      <c r="L67" s="161">
        <f>Sheet6!BJ8</f>
        <v>83</v>
      </c>
      <c r="M67" s="161">
        <f>Sheet6!BK8</f>
        <v>82</v>
      </c>
      <c r="N67" s="161">
        <f>Sheet6!BL8</f>
        <v>106</v>
      </c>
      <c r="O67" s="161">
        <f>Sheet6!BM8</f>
        <v>108</v>
      </c>
      <c r="P67" s="161">
        <f>Sheet6!BN8</f>
        <v>130</v>
      </c>
      <c r="Q67" s="161">
        <f>Sheet6!BO8</f>
        <v>155</v>
      </c>
      <c r="R67" s="161">
        <f>Sheet6!BP8</f>
        <v>161</v>
      </c>
      <c r="S67" s="161">
        <f>Sheet6!BQ8</f>
        <v>201</v>
      </c>
      <c r="T67" s="161">
        <f>Sheet6!BR8</f>
        <v>154</v>
      </c>
      <c r="U67" s="161">
        <f>Sheet6!BS8</f>
        <v>177</v>
      </c>
      <c r="V67" s="161">
        <f>Sheet6!BT8</f>
        <v>189</v>
      </c>
      <c r="W67" s="161">
        <f>Sheet6!BU8</f>
        <v>160</v>
      </c>
      <c r="X67" s="161">
        <f>Sheet6!BV8</f>
        <v>140</v>
      </c>
      <c r="Y67" s="161">
        <f>Sheet6!BW8</f>
        <v>134</v>
      </c>
      <c r="Z67" s="162"/>
      <c r="AA67" s="817">
        <f t="shared" si="9"/>
        <v>2852</v>
      </c>
      <c r="AB67" s="4"/>
    </row>
    <row r="68" spans="1:28" ht="13.5" customHeight="1" x14ac:dyDescent="0.2">
      <c r="A68" s="13" t="str">
        <f>Sheet6!A9</f>
        <v>2014-15</v>
      </c>
      <c r="B68">
        <f>Sheet6!AZ9</f>
        <v>142</v>
      </c>
      <c r="C68">
        <f>Sheet6!BA9</f>
        <v>151</v>
      </c>
      <c r="D68">
        <f>Sheet6!BB9</f>
        <v>117</v>
      </c>
      <c r="E68">
        <f>Sheet6!BC9</f>
        <v>92</v>
      </c>
      <c r="F68">
        <f>Sheet6!BD9</f>
        <v>79</v>
      </c>
      <c r="G68">
        <f>Sheet6!BE9</f>
        <v>46</v>
      </c>
      <c r="H68">
        <f>Sheet6!BF9</f>
        <v>55</v>
      </c>
      <c r="I68">
        <f>Sheet6!BG9</f>
        <v>63</v>
      </c>
      <c r="J68">
        <f>Sheet6!BH9</f>
        <v>82</v>
      </c>
      <c r="K68">
        <f>Sheet6!BI9</f>
        <v>52</v>
      </c>
      <c r="L68">
        <f>Sheet6!BJ9</f>
        <v>80</v>
      </c>
      <c r="M68">
        <f>Sheet6!BK9</f>
        <v>103</v>
      </c>
      <c r="N68">
        <f>Sheet6!BL9</f>
        <v>91</v>
      </c>
      <c r="O68">
        <f>Sheet6!BM9</f>
        <v>111</v>
      </c>
      <c r="P68">
        <f>Sheet6!BN9</f>
        <v>110</v>
      </c>
      <c r="Q68">
        <f>Sheet6!BO9</f>
        <v>146</v>
      </c>
      <c r="R68">
        <f>Sheet6!BP9</f>
        <v>127</v>
      </c>
      <c r="S68">
        <f>Sheet6!BQ9</f>
        <v>156</v>
      </c>
      <c r="T68">
        <f>Sheet6!BR9</f>
        <v>171</v>
      </c>
      <c r="U68">
        <f>Sheet6!BS9</f>
        <v>168</v>
      </c>
      <c r="V68">
        <f>Sheet6!BT9</f>
        <v>141</v>
      </c>
      <c r="W68">
        <f>Sheet6!BU9</f>
        <v>168</v>
      </c>
      <c r="X68">
        <f>Sheet6!BV9</f>
        <v>132</v>
      </c>
      <c r="Y68">
        <f>Sheet6!BW9</f>
        <v>152</v>
      </c>
      <c r="Z68" s="162"/>
      <c r="AA68" s="817">
        <f t="shared" si="9"/>
        <v>2735</v>
      </c>
      <c r="AB68" s="4"/>
    </row>
    <row r="69" spans="1:28" ht="13.5" customHeight="1" x14ac:dyDescent="0.2">
      <c r="A69" s="13" t="str">
        <f>Sheet6!A10</f>
        <v>2015-16</v>
      </c>
      <c r="B69" s="195">
        <f>Sheet6!AZ10</f>
        <v>141</v>
      </c>
      <c r="C69" s="195">
        <f>Sheet6!BA10</f>
        <v>119</v>
      </c>
      <c r="D69" s="195">
        <f>Sheet6!BB10</f>
        <v>117</v>
      </c>
      <c r="E69" s="195">
        <f>Sheet6!BC10</f>
        <v>69</v>
      </c>
      <c r="F69" s="195">
        <f>Sheet6!BD10</f>
        <v>77</v>
      </c>
      <c r="G69" s="195">
        <f>Sheet6!BE10</f>
        <v>67</v>
      </c>
      <c r="H69" s="195">
        <f>Sheet6!BF10</f>
        <v>46</v>
      </c>
      <c r="I69" s="195">
        <f>Sheet6!BG10</f>
        <v>54</v>
      </c>
      <c r="J69" s="195">
        <f>Sheet6!BH10</f>
        <v>67</v>
      </c>
      <c r="K69" s="195">
        <f>Sheet6!BI10</f>
        <v>76</v>
      </c>
      <c r="L69" s="195">
        <f>Sheet6!BJ10</f>
        <v>77</v>
      </c>
      <c r="M69" s="195">
        <f>Sheet6!BK10</f>
        <v>82</v>
      </c>
      <c r="N69" s="195">
        <f>Sheet6!BL10</f>
        <v>108</v>
      </c>
      <c r="O69" s="195">
        <f>Sheet6!BM10</f>
        <v>124</v>
      </c>
      <c r="P69" s="195">
        <f>Sheet6!BN10</f>
        <v>120</v>
      </c>
      <c r="Q69" s="195">
        <f>Sheet6!BO10</f>
        <v>145</v>
      </c>
      <c r="R69" s="195">
        <f>Sheet6!BP10</f>
        <v>152</v>
      </c>
      <c r="S69" s="195">
        <f>Sheet6!BQ10</f>
        <v>156</v>
      </c>
      <c r="T69" s="195">
        <f>Sheet6!BR10</f>
        <v>172</v>
      </c>
      <c r="U69" s="195">
        <f>Sheet6!BS10</f>
        <v>187</v>
      </c>
      <c r="V69" s="195">
        <f>Sheet6!BT10</f>
        <v>181</v>
      </c>
      <c r="W69" s="195">
        <f>Sheet6!BU10</f>
        <v>184</v>
      </c>
      <c r="X69" s="195">
        <f>Sheet6!BV10</f>
        <v>177</v>
      </c>
      <c r="Y69" s="195">
        <f>Sheet6!BW10</f>
        <v>141</v>
      </c>
      <c r="Z69" s="199"/>
      <c r="AA69" s="817">
        <f t="shared" si="9"/>
        <v>2839</v>
      </c>
      <c r="AB69" s="4"/>
    </row>
    <row r="70" spans="1:28" ht="13.5" customHeight="1" x14ac:dyDescent="0.2">
      <c r="A70" s="13" t="str">
        <f>Sheet6!A11</f>
        <v>2016-17</v>
      </c>
      <c r="B70" s="195">
        <f>Sheet6!AZ11</f>
        <v>135</v>
      </c>
      <c r="C70" s="195">
        <f>Sheet6!BA11</f>
        <v>130</v>
      </c>
      <c r="D70" s="195">
        <f>Sheet6!BB11</f>
        <v>121</v>
      </c>
      <c r="E70" s="195">
        <f>Sheet6!BC11</f>
        <v>113</v>
      </c>
      <c r="F70" s="195">
        <f>Sheet6!BD11</f>
        <v>90</v>
      </c>
      <c r="G70" s="195">
        <f>Sheet6!BE11</f>
        <v>63</v>
      </c>
      <c r="H70" s="195">
        <f>Sheet6!BF11</f>
        <v>58</v>
      </c>
      <c r="I70" s="195">
        <f>Sheet6!BG11</f>
        <v>63</v>
      </c>
      <c r="J70" s="195">
        <f>Sheet6!BH11</f>
        <v>87</v>
      </c>
      <c r="K70" s="195">
        <f>Sheet6!BI11</f>
        <v>56</v>
      </c>
      <c r="L70" s="195">
        <f>Sheet6!BJ11</f>
        <v>91</v>
      </c>
      <c r="M70" s="195">
        <f>Sheet6!BK11</f>
        <v>109</v>
      </c>
      <c r="N70" s="195">
        <f>Sheet6!BL11</f>
        <v>109</v>
      </c>
      <c r="O70" s="195">
        <f>Sheet6!BM11</f>
        <v>108</v>
      </c>
      <c r="P70" s="195">
        <f>Sheet6!BN11</f>
        <v>136</v>
      </c>
      <c r="Q70" s="195">
        <f>Sheet6!BO11</f>
        <v>149</v>
      </c>
      <c r="R70" s="195">
        <f>Sheet6!BP11</f>
        <v>166</v>
      </c>
      <c r="S70" s="195">
        <f>Sheet6!BQ11</f>
        <v>156</v>
      </c>
      <c r="T70" s="195">
        <f>Sheet6!BR11</f>
        <v>209</v>
      </c>
      <c r="U70" s="195">
        <f>Sheet6!BS11</f>
        <v>192</v>
      </c>
      <c r="V70" s="195">
        <f>Sheet6!BT11</f>
        <v>207</v>
      </c>
      <c r="W70" s="195">
        <f>Sheet6!BU11</f>
        <v>184</v>
      </c>
      <c r="X70" s="195">
        <f>Sheet6!BV11</f>
        <v>166</v>
      </c>
      <c r="Y70" s="195">
        <f>Sheet6!BW11</f>
        <v>179</v>
      </c>
      <c r="Z70" s="199"/>
      <c r="AA70" s="817">
        <f t="shared" ref="AA70:AA73" si="10">SUM(B70:Z70)</f>
        <v>3077</v>
      </c>
      <c r="AB70" s="4"/>
    </row>
    <row r="71" spans="1:28" ht="13.5" customHeight="1" x14ac:dyDescent="0.2">
      <c r="A71" s="13" t="str">
        <f>Sheet6!A12</f>
        <v>2017-18</v>
      </c>
      <c r="B71" s="195">
        <f>Sheet6!AZ12</f>
        <v>143</v>
      </c>
      <c r="C71" s="195">
        <f>Sheet6!BA12</f>
        <v>159</v>
      </c>
      <c r="D71" s="195">
        <f>Sheet6!BB12</f>
        <v>116</v>
      </c>
      <c r="E71" s="195">
        <f>Sheet6!BC12</f>
        <v>80</v>
      </c>
      <c r="F71" s="195">
        <f>Sheet6!BD12</f>
        <v>70</v>
      </c>
      <c r="G71" s="195">
        <f>Sheet6!BE12</f>
        <v>66</v>
      </c>
      <c r="H71" s="195">
        <f>Sheet6!BF12</f>
        <v>55</v>
      </c>
      <c r="I71" s="195">
        <f>Sheet6!BG12</f>
        <v>69</v>
      </c>
      <c r="J71" s="195">
        <f>Sheet6!BH12</f>
        <v>78</v>
      </c>
      <c r="K71" s="195">
        <f>Sheet6!BI12</f>
        <v>73</v>
      </c>
      <c r="L71" s="195">
        <f>Sheet6!BJ12</f>
        <v>82</v>
      </c>
      <c r="M71" s="195">
        <f>Sheet6!BK12</f>
        <v>111</v>
      </c>
      <c r="N71" s="195">
        <f>Sheet6!BL12</f>
        <v>100</v>
      </c>
      <c r="O71" s="195">
        <f>Sheet6!BM12</f>
        <v>106</v>
      </c>
      <c r="P71" s="195">
        <f>Sheet6!BN12</f>
        <v>153</v>
      </c>
      <c r="Q71" s="195">
        <f>Sheet6!BO12</f>
        <v>129</v>
      </c>
      <c r="R71" s="195">
        <f>Sheet6!BP12</f>
        <v>159</v>
      </c>
      <c r="S71" s="195">
        <f>Sheet6!BQ12</f>
        <v>175</v>
      </c>
      <c r="T71" s="195">
        <f>Sheet6!BR12</f>
        <v>194</v>
      </c>
      <c r="U71" s="195">
        <f>Sheet6!BS12</f>
        <v>222</v>
      </c>
      <c r="V71" s="195">
        <f>Sheet6!BT12</f>
        <v>210</v>
      </c>
      <c r="W71" s="195">
        <f>Sheet6!BU12</f>
        <v>176</v>
      </c>
      <c r="X71" s="195">
        <f>Sheet6!BV12</f>
        <v>176</v>
      </c>
      <c r="Y71" s="195">
        <f>Sheet6!BW12</f>
        <v>172</v>
      </c>
      <c r="Z71" s="199"/>
      <c r="AA71" s="817">
        <f t="shared" si="10"/>
        <v>3074</v>
      </c>
      <c r="AB71" s="4"/>
    </row>
    <row r="72" spans="1:28" ht="13.5" customHeight="1" x14ac:dyDescent="0.2">
      <c r="A72" s="13" t="str">
        <f>Sheet6!A13</f>
        <v>2018-19</v>
      </c>
      <c r="B72" s="195">
        <f>Sheet6!AZ13</f>
        <v>168</v>
      </c>
      <c r="C72" s="195">
        <f>Sheet6!BA13</f>
        <v>160</v>
      </c>
      <c r="D72" s="195">
        <f>Sheet6!BB13</f>
        <v>100</v>
      </c>
      <c r="E72" s="195">
        <f>Sheet6!BC13</f>
        <v>83</v>
      </c>
      <c r="F72" s="195">
        <f>Sheet6!BD13</f>
        <v>65</v>
      </c>
      <c r="G72" s="195">
        <f>Sheet6!BE13</f>
        <v>55</v>
      </c>
      <c r="H72" s="195">
        <f>Sheet6!BF13</f>
        <v>45</v>
      </c>
      <c r="I72" s="195">
        <f>Sheet6!BG13</f>
        <v>60</v>
      </c>
      <c r="J72" s="195">
        <f>Sheet6!BH13</f>
        <v>72</v>
      </c>
      <c r="K72" s="195">
        <f>Sheet6!BI13</f>
        <v>86</v>
      </c>
      <c r="L72" s="195">
        <f>Sheet6!BJ13</f>
        <v>98</v>
      </c>
      <c r="M72" s="195">
        <f>Sheet6!BK13</f>
        <v>110</v>
      </c>
      <c r="N72" s="195">
        <f>Sheet6!BL13</f>
        <v>120</v>
      </c>
      <c r="O72" s="195">
        <f>Sheet6!BM13</f>
        <v>130</v>
      </c>
      <c r="P72" s="195">
        <f>Sheet6!BN13</f>
        <v>142</v>
      </c>
      <c r="Q72" s="195">
        <f>Sheet6!BO13</f>
        <v>147</v>
      </c>
      <c r="R72" s="195">
        <f>Sheet6!BP13</f>
        <v>181</v>
      </c>
      <c r="S72" s="195">
        <f>Sheet6!BQ13</f>
        <v>170</v>
      </c>
      <c r="T72" s="195">
        <f>Sheet6!BR13</f>
        <v>194</v>
      </c>
      <c r="U72" s="195">
        <f>Sheet6!BS13</f>
        <v>184</v>
      </c>
      <c r="V72" s="195">
        <f>Sheet6!BT13</f>
        <v>201</v>
      </c>
      <c r="W72" s="195">
        <f>Sheet6!BU13</f>
        <v>186</v>
      </c>
      <c r="X72" s="195">
        <f>Sheet6!BV13</f>
        <v>166</v>
      </c>
      <c r="Y72" s="195">
        <f>Sheet6!BW13</f>
        <v>153</v>
      </c>
      <c r="Z72" s="199"/>
      <c r="AA72" s="817">
        <f t="shared" si="10"/>
        <v>3076</v>
      </c>
      <c r="AB72" s="4"/>
    </row>
    <row r="73" spans="1:28" ht="13.5" customHeight="1" x14ac:dyDescent="0.2">
      <c r="A73" s="13" t="str">
        <f>Sheet6!A14</f>
        <v>2019-20</v>
      </c>
      <c r="B73" s="195">
        <f>Sheet6!AZ14</f>
        <v>174</v>
      </c>
      <c r="C73" s="195">
        <f>Sheet6!BA14</f>
        <v>166</v>
      </c>
      <c r="D73" s="195">
        <f>Sheet6!BB14</f>
        <v>135</v>
      </c>
      <c r="E73" s="195">
        <f>Sheet6!BC14</f>
        <v>85</v>
      </c>
      <c r="F73" s="195">
        <f>Sheet6!BD14</f>
        <v>66</v>
      </c>
      <c r="G73" s="195">
        <f>Sheet6!BE14</f>
        <v>62</v>
      </c>
      <c r="H73" s="195">
        <f>Sheet6!BF14</f>
        <v>36</v>
      </c>
      <c r="I73" s="195">
        <f>Sheet6!BG14</f>
        <v>49</v>
      </c>
      <c r="J73" s="195">
        <f>Sheet6!BH14</f>
        <v>70</v>
      </c>
      <c r="K73" s="195">
        <f>Sheet6!BI14</f>
        <v>73</v>
      </c>
      <c r="L73" s="195">
        <f>Sheet6!BJ14</f>
        <v>96</v>
      </c>
      <c r="M73" s="195">
        <f>Sheet6!BK14</f>
        <v>90</v>
      </c>
      <c r="N73" s="195">
        <f>Sheet6!BL14</f>
        <v>91</v>
      </c>
      <c r="O73" s="195">
        <f>Sheet6!BM14</f>
        <v>118</v>
      </c>
      <c r="P73" s="195">
        <f>Sheet6!BN14</f>
        <v>109</v>
      </c>
      <c r="Q73" s="195">
        <f>Sheet6!BO14</f>
        <v>150</v>
      </c>
      <c r="R73" s="195">
        <f>Sheet6!BP14</f>
        <v>166</v>
      </c>
      <c r="S73" s="195">
        <f>Sheet6!BQ14</f>
        <v>175</v>
      </c>
      <c r="T73" s="195">
        <f>Sheet6!BR14</f>
        <v>154</v>
      </c>
      <c r="U73" s="195">
        <f>Sheet6!BS14</f>
        <v>176</v>
      </c>
      <c r="V73" s="195">
        <f>Sheet6!BT14</f>
        <v>177</v>
      </c>
      <c r="W73" s="195">
        <f>Sheet6!BU14</f>
        <v>187</v>
      </c>
      <c r="X73" s="195">
        <f>Sheet6!BV14</f>
        <v>190</v>
      </c>
      <c r="Y73" s="195">
        <f>Sheet6!BW14</f>
        <v>187</v>
      </c>
      <c r="Z73" s="199"/>
      <c r="AA73" s="817">
        <f t="shared" si="10"/>
        <v>2982</v>
      </c>
      <c r="AB73" s="4"/>
    </row>
    <row r="74" spans="1:28" ht="13.5" thickBot="1" x14ac:dyDescent="0.25">
      <c r="A74" s="350" t="str">
        <f>Sheet6!A15</f>
        <v>2020-21</v>
      </c>
      <c r="B74" s="822">
        <f>Sheet6!AZ15</f>
        <v>179</v>
      </c>
      <c r="C74" s="822">
        <f>Sheet6!BA15</f>
        <v>159</v>
      </c>
      <c r="D74" s="822">
        <f>Sheet6!BB15</f>
        <v>117</v>
      </c>
      <c r="E74" s="822">
        <f>Sheet6!BC15</f>
        <v>86</v>
      </c>
      <c r="F74" s="822">
        <f>Sheet6!BD15</f>
        <v>61</v>
      </c>
      <c r="G74" s="822">
        <f>Sheet6!BE15</f>
        <v>52</v>
      </c>
      <c r="H74" s="822">
        <f>Sheet6!BF15</f>
        <v>41</v>
      </c>
      <c r="I74" s="822">
        <f>Sheet6!BG15</f>
        <v>42</v>
      </c>
      <c r="J74" s="822">
        <f>Sheet6!BH15</f>
        <v>68</v>
      </c>
      <c r="K74" s="822">
        <f>Sheet6!BI15</f>
        <v>68</v>
      </c>
      <c r="L74" s="822">
        <f>Sheet6!BJ15</f>
        <v>78</v>
      </c>
      <c r="M74" s="822">
        <f>Sheet6!BK15</f>
        <v>92</v>
      </c>
      <c r="N74" s="822">
        <f>Sheet6!BL15</f>
        <v>96</v>
      </c>
      <c r="O74" s="822">
        <f>Sheet6!BM15</f>
        <v>122</v>
      </c>
      <c r="P74" s="822">
        <f>Sheet6!BN15</f>
        <v>117</v>
      </c>
      <c r="Q74" s="822">
        <f>Sheet6!BO15</f>
        <v>137</v>
      </c>
      <c r="R74" s="822">
        <f>Sheet6!BP15</f>
        <v>185</v>
      </c>
      <c r="S74" s="822">
        <f>Sheet6!BQ15</f>
        <v>171</v>
      </c>
      <c r="T74" s="822">
        <f>Sheet6!BR15</f>
        <v>197</v>
      </c>
      <c r="U74" s="822">
        <f>Sheet6!BS15</f>
        <v>224</v>
      </c>
      <c r="V74" s="822">
        <f>Sheet6!BT15</f>
        <v>194</v>
      </c>
      <c r="W74" s="822">
        <f>Sheet6!BU15</f>
        <v>195</v>
      </c>
      <c r="X74" s="822">
        <f>Sheet6!BV15</f>
        <v>181</v>
      </c>
      <c r="Y74" s="822">
        <f>Sheet6!BW15</f>
        <v>175</v>
      </c>
      <c r="Z74" s="823"/>
      <c r="AA74" s="819">
        <f t="shared" ref="AA74" si="11">SUM(B74:Z74)</f>
        <v>3037</v>
      </c>
      <c r="AB74" s="1"/>
    </row>
    <row r="75" spans="1:28" x14ac:dyDescent="0.2">
      <c r="A75" s="1"/>
      <c r="AA75" s="4"/>
      <c r="AB75" s="1"/>
    </row>
    <row r="76" spans="1:28" x14ac:dyDescent="0.2">
      <c r="A76" s="5" t="s">
        <v>146</v>
      </c>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3.5" customHeight="1" x14ac:dyDescent="0.2">
      <c r="A77" s="1" t="s">
        <v>564</v>
      </c>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3.5" customHeight="1" x14ac:dyDescent="0.2">
      <c r="A78" s="1" t="s">
        <v>565</v>
      </c>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x14ac:dyDescent="0.2">
      <c r="AB79" s="1"/>
    </row>
    <row r="80" spans="1:28" x14ac:dyDescent="0.2">
      <c r="AB80" s="1"/>
    </row>
    <row r="81" spans="28:28" x14ac:dyDescent="0.2">
      <c r="AB81" s="1"/>
    </row>
    <row r="82" spans="28:28" x14ac:dyDescent="0.2">
      <c r="AB82" s="1"/>
    </row>
    <row r="83" spans="28:28" ht="13.5" customHeight="1" x14ac:dyDescent="0.2">
      <c r="AB83" s="1"/>
    </row>
    <row r="84" spans="28:28" x14ac:dyDescent="0.2">
      <c r="AB84" s="1"/>
    </row>
    <row r="85" spans="28:28" x14ac:dyDescent="0.2">
      <c r="AB85" s="1"/>
    </row>
    <row r="86" spans="28:28" x14ac:dyDescent="0.2">
      <c r="AB86" s="1"/>
    </row>
    <row r="87" spans="28:28" ht="13.5" customHeight="1" x14ac:dyDescent="0.2">
      <c r="AB87" s="1"/>
    </row>
    <row r="88" spans="28:28" ht="13.5" customHeight="1" x14ac:dyDescent="0.2">
      <c r="AB88" s="1"/>
    </row>
    <row r="89" spans="28:28" ht="13.5" customHeight="1" x14ac:dyDescent="0.2">
      <c r="AB89" s="1"/>
    </row>
    <row r="90" spans="28:28" x14ac:dyDescent="0.2">
      <c r="AB90" s="1"/>
    </row>
    <row r="91" spans="28:28" x14ac:dyDescent="0.2">
      <c r="AB91" s="1"/>
    </row>
    <row r="92" spans="28:28" x14ac:dyDescent="0.2">
      <c r="AB92" s="1"/>
    </row>
    <row r="93" spans="28:28" x14ac:dyDescent="0.2">
      <c r="AB93" s="1"/>
    </row>
    <row r="94" spans="28:28" x14ac:dyDescent="0.2">
      <c r="AB94" s="1"/>
    </row>
    <row r="95" spans="28:28" x14ac:dyDescent="0.2">
      <c r="AB95" s="1"/>
    </row>
    <row r="96" spans="28:28" x14ac:dyDescent="0.2">
      <c r="AB96" s="1"/>
    </row>
    <row r="97" spans="28:28" x14ac:dyDescent="0.2">
      <c r="AB97" s="1"/>
    </row>
    <row r="98" spans="28:28" x14ac:dyDescent="0.2">
      <c r="AB98" s="1"/>
    </row>
    <row r="99" spans="28:28" x14ac:dyDescent="0.2">
      <c r="AB99" s="1"/>
    </row>
    <row r="100" spans="28:28" x14ac:dyDescent="0.2">
      <c r="AB100" s="1"/>
    </row>
    <row r="101" spans="28:28" x14ac:dyDescent="0.2">
      <c r="AB101" s="1"/>
    </row>
    <row r="102" spans="28:28" ht="13.5" customHeight="1" x14ac:dyDescent="0.2">
      <c r="AB102" s="1"/>
    </row>
    <row r="103" spans="28:28" ht="22.5" customHeight="1" x14ac:dyDescent="0.2">
      <c r="AB103" s="1"/>
    </row>
  </sheetData>
  <sheetProtection algorithmName="SHA-512" hashValue="+YpWivR5qivL3EVdlInuRK9nTYnxCDatsdDgEyU9L1JSULzCsOhsqhy7ZprGcihIiv46RUC6wT9za0caoYeIlw==" saltValue="DDRa/3MGemVImTayszazfQ==" spinCount="100000" sheet="1" scenarios="1" formatCells="0" formatColumns="0" formatRows="0" sort="0" autoFilter="0" pivotTables="0"/>
  <mergeCells count="12">
    <mergeCell ref="A59:A60"/>
    <mergeCell ref="A42:A43"/>
    <mergeCell ref="A25:A26"/>
    <mergeCell ref="A8:A9"/>
    <mergeCell ref="AA8:AA9"/>
    <mergeCell ref="AA25:AA26"/>
    <mergeCell ref="AA42:AA43"/>
    <mergeCell ref="AA59:AA60"/>
    <mergeCell ref="B8:Z8"/>
    <mergeCell ref="B25:Z25"/>
    <mergeCell ref="B42:Z42"/>
    <mergeCell ref="B59:Z59"/>
  </mergeCells>
  <hyperlinks>
    <hyperlink ref="A2" location="'Table of Contents'!A1" display="Back to Table of Contents" xr:uid="{00000000-0004-0000-4C00-000000000000}"/>
  </hyperlinks>
  <pageMargins left="0.7" right="0.7" top="0.75" bottom="0.75" header="0.3" footer="0.3"/>
  <pageSetup paperSize="9" scale="50" orientation="landscape" r:id="rId1"/>
  <colBreaks count="1" manualBreakCount="1">
    <brk id="27" min="2" max="90"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60000"/>
    <pageSetUpPr fitToPage="1"/>
  </sheetPr>
  <dimension ref="A1"/>
  <sheetViews>
    <sheetView showGridLines="0" workbookViewId="0">
      <selection activeCell="M8" sqref="M8"/>
    </sheetView>
  </sheetViews>
  <sheetFormatPr defaultRowHeight="12.75" x14ac:dyDescent="0.2"/>
  <sheetData>
    <row r="1" spans="1:1" ht="38.25" customHeight="1" x14ac:dyDescent="0.35">
      <c r="A1" s="230" t="str">
        <f>"Primary Fires by Time of Call, 2017-18"</f>
        <v>Primary Fires by Time of Call, 2017-18</v>
      </c>
    </row>
  </sheetData>
  <pageMargins left="0.7" right="0.7" top="0.75" bottom="0.75" header="0.3" footer="0.3"/>
  <pageSetup paperSize="9" scale="81"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60000"/>
    <pageSetUpPr fitToPage="1"/>
  </sheetPr>
  <dimension ref="A1:AX9"/>
  <sheetViews>
    <sheetView showGridLines="0" workbookViewId="0">
      <selection activeCell="M8" sqref="M8"/>
    </sheetView>
  </sheetViews>
  <sheetFormatPr defaultColWidth="9.140625" defaultRowHeight="12.75" x14ac:dyDescent="0.2"/>
  <sheetData>
    <row r="1" spans="1:50" ht="38.25" customHeight="1" x14ac:dyDescent="0.35">
      <c r="A1" s="230" t="str">
        <f>"Casualties by Time of Call Long-Term Average"</f>
        <v>Casualties by Time of Call Long-Term Average</v>
      </c>
      <c r="F1" s="254"/>
    </row>
    <row r="5" spans="1:50" x14ac:dyDescent="0.2">
      <c r="I5" s="191" t="str">
        <f>'Time of Call Casualty'!B9</f>
        <v>Midnight</v>
      </c>
      <c r="J5" s="191" t="str">
        <f>'Time of Call Casualty'!C9</f>
        <v>1am</v>
      </c>
      <c r="K5" s="191" t="str">
        <f>'Time of Call Casualty'!D9</f>
        <v>2am</v>
      </c>
      <c r="L5" s="191" t="str">
        <f>'Time of Call Casualty'!E9</f>
        <v>3am</v>
      </c>
      <c r="M5" s="191" t="str">
        <f>'Time of Call Casualty'!F9</f>
        <v>4am</v>
      </c>
      <c r="N5" s="191" t="str">
        <f>'Time of Call Casualty'!G9</f>
        <v>5am</v>
      </c>
      <c r="O5" s="191" t="str">
        <f>'Time of Call Casualty'!H9</f>
        <v>6am</v>
      </c>
      <c r="P5" s="191" t="str">
        <f>'Time of Call Casualty'!I9</f>
        <v>7am</v>
      </c>
      <c r="Q5" s="191" t="str">
        <f>'Time of Call Casualty'!J9</f>
        <v>8am</v>
      </c>
      <c r="R5" s="191" t="str">
        <f>'Time of Call Casualty'!K9</f>
        <v>9am</v>
      </c>
      <c r="S5" s="191" t="str">
        <f>'Time of Call Casualty'!L9</f>
        <v>10am</v>
      </c>
      <c r="T5" s="191" t="str">
        <f>'Time of Call Casualty'!M9</f>
        <v>11am</v>
      </c>
      <c r="U5" s="191" t="str">
        <f>'Time of Call Casualty'!N9</f>
        <v>Midday</v>
      </c>
      <c r="V5" s="191" t="str">
        <f>'Time of Call Casualty'!O9</f>
        <v>1pm</v>
      </c>
      <c r="W5" s="191" t="str">
        <f>'Time of Call Casualty'!P9</f>
        <v>2pm</v>
      </c>
      <c r="X5" s="191" t="str">
        <f>'Time of Call Casualty'!Q9</f>
        <v>3pm</v>
      </c>
      <c r="Y5" s="191" t="str">
        <f>'Time of Call Casualty'!R9</f>
        <v>4pm</v>
      </c>
      <c r="Z5" s="191" t="str">
        <f>'Time of Call Casualty'!S9</f>
        <v>5pm</v>
      </c>
      <c r="AA5" s="191" t="str">
        <f>'Time of Call Casualty'!T9</f>
        <v>6pm</v>
      </c>
      <c r="AB5" s="191" t="str">
        <f>'Time of Call Casualty'!U9</f>
        <v>7pm</v>
      </c>
      <c r="AC5" s="191" t="str">
        <f>'Time of Call Casualty'!V9</f>
        <v>8pm</v>
      </c>
      <c r="AD5" s="191" t="str">
        <f>'Time of Call Casualty'!W9</f>
        <v>9pm</v>
      </c>
      <c r="AE5" s="191" t="str">
        <f>'Time of Call Casualty'!X9</f>
        <v>10pm</v>
      </c>
      <c r="AF5" s="191" t="str">
        <f>'Time of Call Casualty'!Y9</f>
        <v>11pm</v>
      </c>
      <c r="AG5" s="191"/>
      <c r="AH5" s="191"/>
      <c r="AI5" s="191"/>
      <c r="AJ5" s="191"/>
      <c r="AK5" s="191"/>
      <c r="AL5" s="191"/>
      <c r="AM5" s="191"/>
      <c r="AN5" s="191"/>
      <c r="AO5" s="191"/>
      <c r="AP5" s="191"/>
      <c r="AQ5" s="191"/>
      <c r="AR5" s="191"/>
      <c r="AS5" s="191"/>
      <c r="AT5" s="191"/>
      <c r="AU5" s="191"/>
      <c r="AV5" s="191"/>
      <c r="AW5" s="191"/>
      <c r="AX5" s="191"/>
    </row>
    <row r="6" spans="1:50" x14ac:dyDescent="0.2">
      <c r="H6" t="s">
        <v>503</v>
      </c>
      <c r="I6">
        <f>SUM('Time of Call Casualty'!B10:'Time of Call Casualty'!B22)</f>
        <v>19</v>
      </c>
      <c r="J6">
        <f>SUM('Time of Call Casualty'!C10:'Time of Call Casualty'!C22)</f>
        <v>26</v>
      </c>
      <c r="K6">
        <f>SUM('Time of Call Casualty'!D10:'Time of Call Casualty'!D22)</f>
        <v>34</v>
      </c>
      <c r="L6">
        <f>SUM('Time of Call Casualty'!E10:'Time of Call Casualty'!E22)</f>
        <v>25</v>
      </c>
      <c r="M6">
        <f>SUM('Time of Call Casualty'!F10:'Time of Call Casualty'!F22)</f>
        <v>23</v>
      </c>
      <c r="N6">
        <f>SUM('Time of Call Casualty'!G10:'Time of Call Casualty'!G22)</f>
        <v>26</v>
      </c>
      <c r="O6">
        <f>SUM('Time of Call Casualty'!H10:'Time of Call Casualty'!H22)</f>
        <v>15</v>
      </c>
      <c r="P6">
        <f>SUM('Time of Call Casualty'!I10:'Time of Call Casualty'!I22)</f>
        <v>32</v>
      </c>
      <c r="Q6">
        <f>SUM('Time of Call Casualty'!J10:'Time of Call Casualty'!J22)</f>
        <v>20</v>
      </c>
      <c r="R6">
        <f>SUM('Time of Call Casualty'!K10:'Time of Call Casualty'!K22)</f>
        <v>14</v>
      </c>
      <c r="S6">
        <f>SUM('Time of Call Casualty'!L10:'Time of Call Casualty'!L22)</f>
        <v>17</v>
      </c>
      <c r="T6">
        <f>SUM('Time of Call Casualty'!M10:'Time of Call Casualty'!M22)</f>
        <v>15</v>
      </c>
      <c r="U6">
        <f>SUM('Time of Call Casualty'!N10:'Time of Call Casualty'!N22)</f>
        <v>20</v>
      </c>
      <c r="V6">
        <f>SUM('Time of Call Casualty'!O10:'Time of Call Casualty'!O22)</f>
        <v>22</v>
      </c>
      <c r="W6">
        <f>SUM('Time of Call Casualty'!P10:'Time of Call Casualty'!P22)</f>
        <v>16</v>
      </c>
      <c r="X6">
        <f>SUM('Time of Call Casualty'!Q10:'Time of Call Casualty'!Q22)</f>
        <v>23</v>
      </c>
      <c r="Y6">
        <f>SUM('Time of Call Casualty'!R10:'Time of Call Casualty'!R22)</f>
        <v>33</v>
      </c>
      <c r="Z6">
        <f>SUM('Time of Call Casualty'!S10:'Time of Call Casualty'!S22)</f>
        <v>17</v>
      </c>
      <c r="AA6">
        <f>SUM('Time of Call Casualty'!T10:'Time of Call Casualty'!T22)</f>
        <v>31</v>
      </c>
      <c r="AB6">
        <f>SUM('Time of Call Casualty'!U10:'Time of Call Casualty'!U22)</f>
        <v>25</v>
      </c>
      <c r="AC6">
        <f>SUM('Time of Call Casualty'!V10:'Time of Call Casualty'!V22)</f>
        <v>20</v>
      </c>
      <c r="AD6">
        <f>SUM('Time of Call Casualty'!W10:'Time of Call Casualty'!W22)</f>
        <v>19</v>
      </c>
      <c r="AE6">
        <f>SUM('Time of Call Casualty'!X10:'Time of Call Casualty'!X22)</f>
        <v>22</v>
      </c>
      <c r="AF6">
        <f>SUM('Time of Call Casualty'!Y10:'Time of Call Casualty'!Y22)</f>
        <v>20</v>
      </c>
    </row>
    <row r="7" spans="1:50" x14ac:dyDescent="0.2">
      <c r="I7">
        <f>I6/SUM('Time of Call'!B27:B39)*1000</f>
        <v>7.0136581764488746</v>
      </c>
      <c r="J7">
        <f>J6/SUM('Time of Call'!C27:C39)*1000</f>
        <v>10.76158940397351</v>
      </c>
      <c r="K7">
        <f>K6/SUM('Time of Call'!D27:D39)*1000</f>
        <v>17.085427135678394</v>
      </c>
      <c r="L7">
        <f>L6/SUM('Time of Call'!E27:E39)*1000</f>
        <v>15.13317191283293</v>
      </c>
      <c r="M7">
        <f>M6/SUM('Time of Call'!F27:F39)*1000</f>
        <v>16.185784658691063</v>
      </c>
      <c r="N7">
        <f>N6/SUM('Time of Call'!G27:G39)*1000</f>
        <v>22.589052997393573</v>
      </c>
      <c r="O7">
        <f>O6/SUM('Time of Call'!H27:H39)*1000</f>
        <v>13.799448022079117</v>
      </c>
      <c r="P7">
        <f>P6/SUM('Time of Call'!I27:I39)*1000</f>
        <v>24.408848207475209</v>
      </c>
      <c r="Q7">
        <f>Q6/SUM('Time of Call'!J27:J39)*1000</f>
        <v>12.763241863433313</v>
      </c>
      <c r="R7">
        <f>R6/SUM('Time of Call'!K27:K39)*1000</f>
        <v>6.8192888455918164</v>
      </c>
      <c r="S7">
        <f>S6/SUM('Time of Call'!L27:L39)*1000</f>
        <v>7.0862859524801998</v>
      </c>
      <c r="T7">
        <f>T6/SUM('Time of Call'!M27:M39)*1000</f>
        <v>5.1194539249146755</v>
      </c>
      <c r="U7">
        <f>U6/SUM('Time of Call'!N27:N39)*1000</f>
        <v>5.9259259259259256</v>
      </c>
      <c r="V7">
        <f>V6/SUM('Time of Call'!O27:O39)*1000</f>
        <v>6.0439560439560438</v>
      </c>
      <c r="W7">
        <f>W6/SUM('Time of Call'!P27:P39)*1000</f>
        <v>4.2895442359249332</v>
      </c>
      <c r="X7">
        <f>X6/SUM('Time of Call'!Q27:Q39)*1000</f>
        <v>5.6958890539871216</v>
      </c>
      <c r="Y7">
        <f>Y6/SUM('Time of Call'!R27:R39)*1000</f>
        <v>6.5763252291749694</v>
      </c>
      <c r="Z7">
        <f>Z6/SUM('Time of Call'!S27:S39)*1000</f>
        <v>2.7836908465695105</v>
      </c>
      <c r="AA7">
        <f>AA6/SUM('Time of Call'!T27:T39)*1000</f>
        <v>5.2748000680619365</v>
      </c>
      <c r="AB7">
        <f>AB6/SUM('Time of Call'!U27:U39)*1000</f>
        <v>4.6520282843319682</v>
      </c>
      <c r="AC7">
        <f>AC6/SUM('Time of Call'!V27:V39)*1000</f>
        <v>4.1701417848206841</v>
      </c>
      <c r="AD7">
        <f>AD6/SUM('Time of Call'!W27:W39)*1000</f>
        <v>4.5205805377111581</v>
      </c>
      <c r="AE7">
        <f>AE6/SUM('Time of Call'!X27:X39)*1000</f>
        <v>5.9863945578231297</v>
      </c>
      <c r="AF7">
        <f>AF6/SUM('Time of Call'!Y27:Y39)*1000</f>
        <v>6.3593004769475359</v>
      </c>
    </row>
    <row r="8" spans="1:50" x14ac:dyDescent="0.2">
      <c r="I8" s="191" t="e">
        <f>SUM('Time of Call Casualty'!#REF!:'Time of Call Casualty'!B60)</f>
        <v>#REF!</v>
      </c>
      <c r="J8" s="191" t="e">
        <f>SUM('Time of Call Casualty'!#REF!:'Time of Call Casualty'!C60)</f>
        <v>#REF!</v>
      </c>
      <c r="K8" s="191" t="e">
        <f>SUM('Time of Call Casualty'!#REF!:'Time of Call Casualty'!D60)</f>
        <v>#REF!</v>
      </c>
      <c r="L8" s="191" t="e">
        <f>SUM('Time of Call Casualty'!#REF!:'Time of Call Casualty'!E60)</f>
        <v>#REF!</v>
      </c>
      <c r="M8" s="191" t="e">
        <f>SUM('Time of Call Casualty'!#REF!:'Time of Call Casualty'!F60)</f>
        <v>#REF!</v>
      </c>
      <c r="N8" s="191" t="e">
        <f>SUM('Time of Call Casualty'!#REF!:'Time of Call Casualty'!G60)</f>
        <v>#REF!</v>
      </c>
      <c r="O8" s="191" t="e">
        <f>SUM('Time of Call Casualty'!#REF!:'Time of Call Casualty'!H60)</f>
        <v>#REF!</v>
      </c>
      <c r="P8" s="191" t="e">
        <f>SUM('Time of Call Casualty'!#REF!:'Time of Call Casualty'!I60)</f>
        <v>#REF!</v>
      </c>
      <c r="Q8" s="191" t="e">
        <f>SUM('Time of Call Casualty'!#REF!:'Time of Call Casualty'!J60)</f>
        <v>#REF!</v>
      </c>
      <c r="R8" s="191" t="e">
        <f>SUM('Time of Call Casualty'!#REF!:'Time of Call Casualty'!K60)</f>
        <v>#REF!</v>
      </c>
      <c r="S8" s="191" t="e">
        <f>SUM('Time of Call Casualty'!#REF!:'Time of Call Casualty'!L60)</f>
        <v>#REF!</v>
      </c>
      <c r="T8" s="191" t="e">
        <f>SUM('Time of Call Casualty'!#REF!:'Time of Call Casualty'!M60)</f>
        <v>#REF!</v>
      </c>
      <c r="U8" s="191" t="e">
        <f>SUM('Time of Call Casualty'!#REF!:'Time of Call Casualty'!N60)</f>
        <v>#REF!</v>
      </c>
      <c r="V8" s="191" t="e">
        <f>SUM('Time of Call Casualty'!#REF!:'Time of Call Casualty'!O60)</f>
        <v>#REF!</v>
      </c>
      <c r="W8" s="191" t="e">
        <f>SUM('Time of Call Casualty'!#REF!:'Time of Call Casualty'!P60)</f>
        <v>#REF!</v>
      </c>
      <c r="X8" s="191" t="e">
        <f>SUM('Time of Call Casualty'!#REF!:'Time of Call Casualty'!Q60)</f>
        <v>#REF!</v>
      </c>
      <c r="Y8" s="191" t="e">
        <f>SUM('Time of Call Casualty'!#REF!:'Time of Call Casualty'!R60)</f>
        <v>#REF!</v>
      </c>
      <c r="Z8" s="191" t="e">
        <f>SUM('Time of Call Casualty'!#REF!:'Time of Call Casualty'!S60)</f>
        <v>#REF!</v>
      </c>
      <c r="AA8" s="191" t="e">
        <f>SUM('Time of Call Casualty'!#REF!:'Time of Call Casualty'!T60)</f>
        <v>#REF!</v>
      </c>
      <c r="AB8" s="191" t="e">
        <f>SUM('Time of Call Casualty'!#REF!:'Time of Call Casualty'!U60)</f>
        <v>#REF!</v>
      </c>
      <c r="AC8" s="191" t="e">
        <f>SUM('Time of Call Casualty'!#REF!:'Time of Call Casualty'!V60)</f>
        <v>#REF!</v>
      </c>
      <c r="AD8" s="191" t="e">
        <f>SUM('Time of Call Casualty'!#REF!:'Time of Call Casualty'!W60)</f>
        <v>#REF!</v>
      </c>
      <c r="AE8" s="191" t="e">
        <f>SUM('Time of Call Casualty'!#REF!:'Time of Call Casualty'!X60)</f>
        <v>#REF!</v>
      </c>
      <c r="AF8" s="191" t="e">
        <f>SUM('Time of Call Casualty'!#REF!:'Time of Call Casualty'!Y60)</f>
        <v>#REF!</v>
      </c>
    </row>
    <row r="9" spans="1:50" x14ac:dyDescent="0.2">
      <c r="I9" t="e">
        <f>I8/SUM('Time of Call'!B27:B39)*1000</f>
        <v>#REF!</v>
      </c>
      <c r="J9" t="e">
        <f>J8/SUM('Time of Call'!C27:C39)*1000</f>
        <v>#REF!</v>
      </c>
      <c r="K9" t="e">
        <f>K8/SUM('Time of Call'!D27:D39)*1000</f>
        <v>#REF!</v>
      </c>
      <c r="L9" t="e">
        <f>L8/SUM('Time of Call'!E27:E39)*1000</f>
        <v>#REF!</v>
      </c>
      <c r="M9" t="e">
        <f>M8/SUM('Time of Call'!F27:F39)*1000</f>
        <v>#REF!</v>
      </c>
      <c r="N9" t="e">
        <f>N8/SUM('Time of Call'!G27:G39)*1000</f>
        <v>#REF!</v>
      </c>
      <c r="O9" t="e">
        <f>O8/SUM('Time of Call'!H27:H39)*1000</f>
        <v>#REF!</v>
      </c>
      <c r="P9" t="e">
        <f>P8/SUM('Time of Call'!I27:I39)*1000</f>
        <v>#REF!</v>
      </c>
      <c r="Q9" t="e">
        <f>Q8/SUM('Time of Call'!J27:J39)*1000</f>
        <v>#REF!</v>
      </c>
      <c r="R9" t="e">
        <f>R8/SUM('Time of Call'!K27:K39)*1000</f>
        <v>#REF!</v>
      </c>
      <c r="S9" t="e">
        <f>S8/SUM('Time of Call'!L27:L39)*1000</f>
        <v>#REF!</v>
      </c>
      <c r="T9" t="e">
        <f>T8/SUM('Time of Call'!M27:M39)*1000</f>
        <v>#REF!</v>
      </c>
      <c r="U9" t="e">
        <f>U8/SUM('Time of Call'!N27:N39)*1000</f>
        <v>#REF!</v>
      </c>
      <c r="V9" t="e">
        <f>V8/SUM('Time of Call'!O27:O39)*1000</f>
        <v>#REF!</v>
      </c>
      <c r="W9" t="e">
        <f>W8/SUM('Time of Call'!P27:P39)*1000</f>
        <v>#REF!</v>
      </c>
      <c r="X9" t="e">
        <f>X8/SUM('Time of Call'!Q27:Q39)*1000</f>
        <v>#REF!</v>
      </c>
      <c r="Y9" t="e">
        <f>Y8/SUM('Time of Call'!R27:R39)*1000</f>
        <v>#REF!</v>
      </c>
      <c r="Z9" t="e">
        <f>Z8/SUM('Time of Call'!S27:S39)*1000</f>
        <v>#REF!</v>
      </c>
      <c r="AA9" t="e">
        <f>AA8/SUM('Time of Call'!T27:T39)*1000</f>
        <v>#REF!</v>
      </c>
      <c r="AB9" t="e">
        <f>AB8/SUM('Time of Call'!U27:U39)*1000</f>
        <v>#REF!</v>
      </c>
      <c r="AC9" t="e">
        <f>AC8/SUM('Time of Call'!V27:V39)*1000</f>
        <v>#REF!</v>
      </c>
      <c r="AD9" t="e">
        <f>AD8/SUM('Time of Call'!W27:W39)*1000</f>
        <v>#REF!</v>
      </c>
      <c r="AE9" t="e">
        <f>AE8/SUM('Time of Call'!X27:X39)*1000</f>
        <v>#REF!</v>
      </c>
      <c r="AF9" t="e">
        <f>AF8/SUM('Time of Call'!Y27:Y39)*1000</f>
        <v>#REF!</v>
      </c>
    </row>
  </sheetData>
  <pageMargins left="0.7" right="0.7" top="0.75" bottom="0.75" header="0.3" footer="0.3"/>
  <pageSetup paperSize="9" scale="9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O49"/>
  <sheetViews>
    <sheetView showGridLines="0" zoomScaleNormal="100" workbookViewId="0">
      <selection sqref="A1:C1"/>
    </sheetView>
  </sheetViews>
  <sheetFormatPr defaultColWidth="9.140625" defaultRowHeight="12.75" x14ac:dyDescent="0.2"/>
  <sheetData>
    <row r="1" spans="1:15" ht="17.25" customHeight="1" x14ac:dyDescent="0.35">
      <c r="A1" s="1271" t="s">
        <v>1247</v>
      </c>
      <c r="B1" s="1271"/>
      <c r="C1" s="1271"/>
      <c r="O1" s="230"/>
    </row>
    <row r="2" spans="1:15" ht="17.25" customHeight="1" x14ac:dyDescent="0.2">
      <c r="A2" s="106" t="s">
        <v>578</v>
      </c>
      <c r="B2" s="1031"/>
      <c r="C2" s="1031"/>
    </row>
    <row r="3" spans="1:15" ht="27" customHeight="1" x14ac:dyDescent="0.2">
      <c r="A3" s="1272" t="s">
        <v>1262</v>
      </c>
      <c r="B3" s="1272"/>
      <c r="C3" s="1272"/>
      <c r="D3" s="1272"/>
      <c r="E3" s="1272"/>
      <c r="F3" s="1272"/>
      <c r="G3" s="1272"/>
      <c r="H3" s="1272"/>
    </row>
    <row r="4" spans="1:15" ht="15" x14ac:dyDescent="0.25">
      <c r="A4" s="1032" t="s">
        <v>1246</v>
      </c>
    </row>
    <row r="5" spans="1:15" ht="15" x14ac:dyDescent="0.25">
      <c r="A5" s="1043" t="s">
        <v>1413</v>
      </c>
    </row>
    <row r="46" spans="8:9" x14ac:dyDescent="0.2">
      <c r="H46">
        <v>2</v>
      </c>
      <c r="I46">
        <v>4</v>
      </c>
    </row>
    <row r="47" spans="8:9" x14ac:dyDescent="0.2">
      <c r="H47">
        <v>0</v>
      </c>
      <c r="I47">
        <v>2</v>
      </c>
    </row>
    <row r="48" spans="8:9" x14ac:dyDescent="0.2">
      <c r="H48">
        <v>2</v>
      </c>
      <c r="I48">
        <v>4</v>
      </c>
    </row>
    <row r="49" spans="8:9" x14ac:dyDescent="0.2">
      <c r="H49">
        <v>0</v>
      </c>
      <c r="I49">
        <v>2</v>
      </c>
    </row>
  </sheetData>
  <sheetProtection algorithmName="SHA-512" hashValue="mM7ityXejcyPtAxiwE9K3BA4VwxwxzxBdl4MFO25k/Ie/9lzcQ+EyFKJUXkfuI0ck2C8lLa/FP2b6vcLuBtVbw==" saltValue="jesimiGqyfj6c4uun1SKbg=="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700-000000000000}"/>
  </hyperlinks>
  <pageMargins left="0.25" right="0.25" top="0.75" bottom="0.75" header="0.3" footer="0.3"/>
  <pageSetup paperSize="9" scale="84" fitToHeight="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AFF0"/>
  </sheetPr>
  <dimension ref="A1:H5"/>
  <sheetViews>
    <sheetView showGridLines="0" workbookViewId="0">
      <selection sqref="A1:C1"/>
    </sheetView>
  </sheetViews>
  <sheetFormatPr defaultColWidth="9.140625" defaultRowHeight="12.75" x14ac:dyDescent="0.2"/>
  <sheetData>
    <row r="1" spans="1:8" ht="17.25" customHeight="1" x14ac:dyDescent="0.2">
      <c r="A1" s="1271" t="s">
        <v>1248</v>
      </c>
      <c r="B1" s="1271"/>
      <c r="C1" s="1271"/>
    </row>
    <row r="2" spans="1:8" ht="17.25" customHeight="1" x14ac:dyDescent="0.2">
      <c r="A2" s="106" t="s">
        <v>578</v>
      </c>
      <c r="B2" s="1031"/>
      <c r="C2" s="1031"/>
    </row>
    <row r="3" spans="1:8" ht="30.75" customHeight="1" x14ac:dyDescent="0.2">
      <c r="A3" s="1272" t="s">
        <v>1267</v>
      </c>
      <c r="B3" s="1272"/>
      <c r="C3" s="1272"/>
      <c r="D3" s="1272"/>
      <c r="E3" s="1272"/>
      <c r="F3" s="1272"/>
      <c r="G3" s="1272"/>
      <c r="H3" s="1272"/>
    </row>
    <row r="4" spans="1:8" ht="15" x14ac:dyDescent="0.25">
      <c r="A4" s="1032" t="s">
        <v>1246</v>
      </c>
    </row>
    <row r="5" spans="1:8" ht="15" x14ac:dyDescent="0.25">
      <c r="A5" s="1043" t="s">
        <v>1327</v>
      </c>
    </row>
  </sheetData>
  <sheetProtection algorithmName="SHA-512" hashValue="zNKR4tu+WCkAoVaPOlKorYV2jtNpVHwpmcLhyJwkQNcXSfptkRKj8bTqv+A0prPhLHGQtHDRu8Wflw9Ynk493g==" saltValue="2VIAwSWidq1Dlga9n8M38g=="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4F00-000000000000}"/>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AFF0"/>
  </sheetPr>
  <dimension ref="A1:H5"/>
  <sheetViews>
    <sheetView showGridLines="0" workbookViewId="0">
      <selection sqref="A1:C1"/>
    </sheetView>
  </sheetViews>
  <sheetFormatPr defaultColWidth="9.140625" defaultRowHeight="12.75" x14ac:dyDescent="0.2"/>
  <sheetData>
    <row r="1" spans="1:8" ht="17.25" customHeight="1" x14ac:dyDescent="0.2">
      <c r="A1" s="1271" t="s">
        <v>1248</v>
      </c>
      <c r="B1" s="1271"/>
      <c r="C1" s="1271"/>
    </row>
    <row r="2" spans="1:8" ht="17.25" customHeight="1" x14ac:dyDescent="0.2">
      <c r="A2" s="106" t="s">
        <v>578</v>
      </c>
      <c r="B2" s="1031"/>
      <c r="C2" s="1031"/>
    </row>
    <row r="3" spans="1:8" ht="30" customHeight="1" x14ac:dyDescent="0.2">
      <c r="A3" s="1272" t="s">
        <v>1270</v>
      </c>
      <c r="B3" s="1272"/>
      <c r="C3" s="1272"/>
      <c r="D3" s="1272"/>
      <c r="E3" s="1272"/>
      <c r="F3" s="1272"/>
      <c r="G3" s="1272"/>
      <c r="H3" s="1272"/>
    </row>
    <row r="4" spans="1:8" ht="15" x14ac:dyDescent="0.25">
      <c r="A4" s="1032" t="s">
        <v>1246</v>
      </c>
    </row>
    <row r="5" spans="1:8" ht="15" x14ac:dyDescent="0.25">
      <c r="A5" s="1043" t="s">
        <v>1328</v>
      </c>
    </row>
  </sheetData>
  <sheetProtection algorithmName="SHA-512" hashValue="0NGO7zTOulo4t5733Y74vJhD/2wjkEv3IJ/wiI1Ce7CbCWcn60pD6pR+6A/3oHpBZGRjKM/2vMKGWosQ315eWA==" saltValue="+A3ZpfNeq6TwDWIzj+6aog=="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5000-000000000000}"/>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AFF0"/>
  </sheetPr>
  <dimension ref="A1:H5"/>
  <sheetViews>
    <sheetView showGridLines="0" workbookViewId="0">
      <selection sqref="A1:C1"/>
    </sheetView>
  </sheetViews>
  <sheetFormatPr defaultColWidth="9.140625" defaultRowHeight="12.75" x14ac:dyDescent="0.2"/>
  <sheetData>
    <row r="1" spans="1:8" ht="17.25" customHeight="1" x14ac:dyDescent="0.2">
      <c r="A1" s="1271" t="s">
        <v>1248</v>
      </c>
      <c r="B1" s="1271"/>
      <c r="C1" s="1271"/>
    </row>
    <row r="2" spans="1:8" ht="17.25" customHeight="1" x14ac:dyDescent="0.2">
      <c r="A2" s="106" t="s">
        <v>578</v>
      </c>
      <c r="B2" s="1031"/>
      <c r="C2" s="1031"/>
    </row>
    <row r="3" spans="1:8" ht="30" customHeight="1" x14ac:dyDescent="0.2">
      <c r="A3" s="1272" t="s">
        <v>1606</v>
      </c>
      <c r="B3" s="1272"/>
      <c r="C3" s="1272"/>
      <c r="D3" s="1272"/>
      <c r="E3" s="1272"/>
      <c r="F3" s="1272"/>
      <c r="G3" s="1272"/>
      <c r="H3" s="1272"/>
    </row>
    <row r="4" spans="1:8" ht="15" x14ac:dyDescent="0.25">
      <c r="A4" s="1032" t="s">
        <v>1246</v>
      </c>
    </row>
    <row r="5" spans="1:8" ht="15" x14ac:dyDescent="0.25">
      <c r="A5" s="1043" t="s">
        <v>1329</v>
      </c>
    </row>
  </sheetData>
  <sheetProtection algorithmName="SHA-512" hashValue="UaC28kn7yOg8Tcjl9OfYxIId+gSembdbaNRLLMqlyI+pKdaZV/EalWlswLJx/OR5HOngbbH6aQPJaaIoHWCsdw==" saltValue="2HLf/p6yo8wpcAK9Pr9xrg=="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5100-000000000000}"/>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AFF0"/>
  </sheetPr>
  <dimension ref="A1:H5"/>
  <sheetViews>
    <sheetView showGridLines="0" workbookViewId="0">
      <selection sqref="A1:C1"/>
    </sheetView>
  </sheetViews>
  <sheetFormatPr defaultColWidth="9.140625" defaultRowHeight="12.75" x14ac:dyDescent="0.2"/>
  <sheetData>
    <row r="1" spans="1:8" ht="17.25" customHeight="1" x14ac:dyDescent="0.2">
      <c r="A1" s="1271" t="s">
        <v>1248</v>
      </c>
      <c r="B1" s="1271"/>
      <c r="C1" s="1271"/>
    </row>
    <row r="2" spans="1:8" ht="17.25" customHeight="1" x14ac:dyDescent="0.2">
      <c r="A2" s="106" t="s">
        <v>578</v>
      </c>
      <c r="B2" s="1031"/>
      <c r="C2" s="1031"/>
    </row>
    <row r="3" spans="1:8" ht="33" customHeight="1" x14ac:dyDescent="0.2">
      <c r="A3" s="120" t="s">
        <v>1607</v>
      </c>
      <c r="B3" s="120"/>
      <c r="C3" s="120"/>
      <c r="D3" s="120"/>
      <c r="E3" s="120"/>
      <c r="F3" s="120"/>
      <c r="G3" s="120"/>
      <c r="H3" s="120"/>
    </row>
    <row r="4" spans="1:8" ht="15" x14ac:dyDescent="0.25">
      <c r="A4" s="1032" t="s">
        <v>1246</v>
      </c>
    </row>
    <row r="5" spans="1:8" ht="15" x14ac:dyDescent="0.25">
      <c r="A5" s="1043" t="s">
        <v>1330</v>
      </c>
    </row>
  </sheetData>
  <sheetProtection algorithmName="SHA-512" hashValue="kV/nk6FuU5/8fLmmjUL5dDweYLCHayOXp0x+dfhcnIo9/NouA+O+UYU5HtITCFIU3y6aiGkuVZYs1k7w2GYLgg==" saltValue="npHZv3R4jHREbHSmwuADlw==" spinCount="100000" sheet="1" scenarios="1" formatCells="0" formatColumns="0" formatRows="0" sort="0" autoFilter="0" pivotTables="0"/>
  <mergeCells count="1">
    <mergeCell ref="A1:C1"/>
  </mergeCells>
  <hyperlinks>
    <hyperlink ref="A2" location="'Table of Contents'!A1" display="Back to Table of Contents" xr:uid="{00000000-0004-0000-5200-000000000000}"/>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AFF0"/>
  </sheetPr>
  <dimension ref="A1:H5"/>
  <sheetViews>
    <sheetView showGridLines="0" workbookViewId="0">
      <selection sqref="A1:C1"/>
    </sheetView>
  </sheetViews>
  <sheetFormatPr defaultColWidth="9.140625" defaultRowHeight="12.75" x14ac:dyDescent="0.2"/>
  <sheetData>
    <row r="1" spans="1:8" ht="17.25" customHeight="1" x14ac:dyDescent="0.2">
      <c r="A1" s="1271" t="s">
        <v>1248</v>
      </c>
      <c r="B1" s="1271"/>
      <c r="C1" s="1271"/>
    </row>
    <row r="2" spans="1:8" ht="17.25" customHeight="1" x14ac:dyDescent="0.2">
      <c r="A2" s="106" t="s">
        <v>578</v>
      </c>
      <c r="B2" s="1031"/>
      <c r="C2" s="1031"/>
    </row>
    <row r="3" spans="1:8" ht="33" customHeight="1" x14ac:dyDescent="0.2">
      <c r="A3" s="120" t="s">
        <v>1608</v>
      </c>
      <c r="B3" s="120"/>
      <c r="C3" s="120"/>
      <c r="D3" s="120"/>
      <c r="E3" s="120"/>
      <c r="F3" s="120"/>
      <c r="G3" s="120"/>
      <c r="H3" s="120"/>
    </row>
    <row r="4" spans="1:8" ht="15" x14ac:dyDescent="0.25">
      <c r="A4" s="1032" t="s">
        <v>1246</v>
      </c>
    </row>
    <row r="5" spans="1:8" ht="15" x14ac:dyDescent="0.25">
      <c r="A5" s="1043" t="s">
        <v>1331</v>
      </c>
    </row>
  </sheetData>
  <sheetProtection algorithmName="SHA-512" hashValue="UjpOrKADOZSLxtxJel96o6T5POHtlR0E/vpgu6V6W8Q42Nq1Sv7B0J2XoGD0DdLW9SGVUtao/SkxXVK0Jh3gIA==" saltValue="DqRooOIAM/GXYbWfvkKunA==" spinCount="100000" sheet="1" scenarios="1" formatCells="0" formatColumns="0" formatRows="0" sort="0" autoFilter="0" pivotTables="0"/>
  <mergeCells count="1">
    <mergeCell ref="A1:C1"/>
  </mergeCells>
  <hyperlinks>
    <hyperlink ref="A2" location="'Table of Contents'!A1" display="Back to Table of Contents" xr:uid="{00000000-0004-0000-5300-000000000000}"/>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AFF0"/>
  </sheetPr>
  <dimension ref="A1:H5"/>
  <sheetViews>
    <sheetView showGridLines="0" workbookViewId="0">
      <selection sqref="A1:C1"/>
    </sheetView>
  </sheetViews>
  <sheetFormatPr defaultColWidth="9.140625" defaultRowHeight="12.75" x14ac:dyDescent="0.2"/>
  <sheetData>
    <row r="1" spans="1:8" ht="17.25" customHeight="1" x14ac:dyDescent="0.2">
      <c r="A1" s="1271" t="s">
        <v>1248</v>
      </c>
      <c r="B1" s="1271"/>
      <c r="C1" s="1271"/>
    </row>
    <row r="2" spans="1:8" ht="17.25" customHeight="1" x14ac:dyDescent="0.2">
      <c r="A2" s="106" t="s">
        <v>578</v>
      </c>
      <c r="B2" s="1031"/>
      <c r="C2" s="1031"/>
    </row>
    <row r="3" spans="1:8" ht="32.25" customHeight="1" x14ac:dyDescent="0.2">
      <c r="A3" s="120" t="s">
        <v>1609</v>
      </c>
      <c r="B3" s="120"/>
      <c r="C3" s="120"/>
      <c r="D3" s="120"/>
      <c r="E3" s="120"/>
      <c r="F3" s="120"/>
      <c r="G3" s="120"/>
      <c r="H3" s="120"/>
    </row>
    <row r="4" spans="1:8" ht="15" x14ac:dyDescent="0.25">
      <c r="A4" s="1032" t="s">
        <v>1246</v>
      </c>
    </row>
    <row r="5" spans="1:8" ht="15" x14ac:dyDescent="0.25">
      <c r="A5" s="1043" t="s">
        <v>1332</v>
      </c>
    </row>
  </sheetData>
  <sheetProtection algorithmName="SHA-512" hashValue="wWhfGk3+Awnxsx6bB7dXo3KBK4ikU8xmToa0wrQyIPsQGgbcmhN5kn5ZuuzDzjaplAIJxeVOKXMc9H0qnZiggA==" saltValue="AKJbfgyddo++ZdTZuRcUNA==" spinCount="100000" sheet="1" scenarios="1" formatCells="0" formatColumns="0" formatRows="0" sort="0" autoFilter="0" pivotTables="0"/>
  <mergeCells count="1">
    <mergeCell ref="A1:C1"/>
  </mergeCells>
  <hyperlinks>
    <hyperlink ref="A2" location="'Table of Contents'!A1" display="Back to Table of Contents" xr:uid="{00000000-0004-0000-5400-000000000000}"/>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AFF0"/>
  </sheetPr>
  <dimension ref="A1:H5"/>
  <sheetViews>
    <sheetView showGridLines="0" workbookViewId="0">
      <selection sqref="A1:C1"/>
    </sheetView>
  </sheetViews>
  <sheetFormatPr defaultColWidth="9.140625" defaultRowHeight="12.75" x14ac:dyDescent="0.2"/>
  <sheetData>
    <row r="1" spans="1:8" ht="17.25" customHeight="1" x14ac:dyDescent="0.2">
      <c r="A1" s="1271" t="s">
        <v>1248</v>
      </c>
      <c r="B1" s="1271"/>
      <c r="C1" s="1271"/>
    </row>
    <row r="2" spans="1:8" ht="17.25" customHeight="1" x14ac:dyDescent="0.2">
      <c r="A2" s="106" t="s">
        <v>578</v>
      </c>
      <c r="B2" s="1031"/>
      <c r="C2" s="1031"/>
    </row>
    <row r="3" spans="1:8" ht="30" customHeight="1" x14ac:dyDescent="0.2">
      <c r="A3" s="120" t="s">
        <v>1610</v>
      </c>
      <c r="B3" s="120"/>
      <c r="C3" s="120"/>
      <c r="D3" s="120"/>
      <c r="E3" s="120"/>
      <c r="F3" s="120"/>
      <c r="G3" s="120"/>
      <c r="H3" s="120"/>
    </row>
    <row r="4" spans="1:8" ht="15" x14ac:dyDescent="0.25">
      <c r="A4" s="1032" t="s">
        <v>1246</v>
      </c>
    </row>
    <row r="5" spans="1:8" ht="15" x14ac:dyDescent="0.25">
      <c r="A5" s="1043" t="s">
        <v>1333</v>
      </c>
    </row>
  </sheetData>
  <sheetProtection algorithmName="SHA-512" hashValue="LWSOXEE/P54zDlrb2Ty2Pijvy13b3yKAoGLPTmtipgqWEigSjNHStF1zwYjW/hmVc2TS3ofr2CzZnSjcfqqphw==" saltValue="ul/VENmfylLiOTA17yNt+g==" spinCount="100000" sheet="1" scenarios="1" formatCells="0" formatColumns="0" formatRows="0" sort="0" autoFilter="0" pivotTables="0"/>
  <mergeCells count="1">
    <mergeCell ref="A1:C1"/>
  </mergeCells>
  <hyperlinks>
    <hyperlink ref="A2" location="'Table of Contents'!A1" display="Back to Table of Contents" xr:uid="{00000000-0004-0000-5500-000000000000}"/>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AFF0"/>
  </sheetPr>
  <dimension ref="A1:H5"/>
  <sheetViews>
    <sheetView showGridLines="0" workbookViewId="0">
      <selection sqref="A1:C1"/>
    </sheetView>
  </sheetViews>
  <sheetFormatPr defaultColWidth="9.140625" defaultRowHeight="12.75" x14ac:dyDescent="0.2"/>
  <sheetData>
    <row r="1" spans="1:8" ht="17.25" customHeight="1" x14ac:dyDescent="0.2">
      <c r="A1" s="1271" t="s">
        <v>1248</v>
      </c>
      <c r="B1" s="1271"/>
      <c r="C1" s="1271"/>
    </row>
    <row r="2" spans="1:8" ht="17.25" customHeight="1" x14ac:dyDescent="0.2">
      <c r="A2" s="106" t="s">
        <v>578</v>
      </c>
      <c r="B2" s="1031"/>
      <c r="C2" s="1031"/>
    </row>
    <row r="3" spans="1:8" ht="33" customHeight="1" x14ac:dyDescent="0.2">
      <c r="A3" s="120" t="s">
        <v>1611</v>
      </c>
      <c r="B3" s="120"/>
      <c r="C3" s="120"/>
      <c r="D3" s="120"/>
      <c r="E3" s="120"/>
      <c r="F3" s="120"/>
      <c r="G3" s="120"/>
      <c r="H3" s="120"/>
    </row>
    <row r="4" spans="1:8" ht="15" x14ac:dyDescent="0.25">
      <c r="A4" s="1032" t="s">
        <v>1246</v>
      </c>
    </row>
    <row r="5" spans="1:8" ht="15" x14ac:dyDescent="0.25">
      <c r="A5" s="1043" t="s">
        <v>1334</v>
      </c>
    </row>
  </sheetData>
  <sheetProtection algorithmName="SHA-512" hashValue="dYLdFzM0Rf3NGcl73QfPOxcUaj9kIBHaMOogOfl/oSlWP4LWixmuV3WCObY/DQRGUkXiQ+SrCZD2us3ItcdXqg==" saltValue="pIXKcEMJcUC/wKtKHyKNzg==" spinCount="100000" sheet="1" scenarios="1" formatCells="0" formatColumns="0" formatRows="0" sort="0" autoFilter="0" pivotTables="0"/>
  <mergeCells count="1">
    <mergeCell ref="A1:C1"/>
  </mergeCells>
  <hyperlinks>
    <hyperlink ref="A2" location="'Table of Contents'!A1" display="Back to Table of Contents" xr:uid="{00000000-0004-0000-5600-000000000000}"/>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
    <tabColor theme="4" tint="0.59999389629810485"/>
    <pageSetUpPr fitToPage="1"/>
  </sheetPr>
  <dimension ref="A1:R115"/>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23.140625" style="1" customWidth="1"/>
    <col min="2" max="2" width="12.7109375" style="1" customWidth="1"/>
    <col min="3" max="3" width="4.5703125" style="1" customWidth="1"/>
    <col min="4" max="4" width="10" style="1" customWidth="1"/>
    <col min="5" max="5" width="11.42578125" style="1" customWidth="1"/>
    <col min="6" max="6" width="9.28515625" style="1" customWidth="1"/>
    <col min="7" max="7" width="4" style="1" customWidth="1"/>
    <col min="8" max="8" width="12.28515625" style="1" customWidth="1"/>
    <col min="9" max="9" width="10.28515625" style="1" customWidth="1"/>
    <col min="10" max="10" width="12.140625" style="1" customWidth="1"/>
    <col min="11" max="11" width="9.140625" style="1"/>
    <col min="12" max="12" width="10.5703125" style="1" customWidth="1"/>
    <col min="13" max="16384" width="9.140625" style="1"/>
  </cols>
  <sheetData>
    <row r="1" spans="1:10" ht="17.25" customHeight="1" x14ac:dyDescent="0.2">
      <c r="A1" s="298" t="s">
        <v>1130</v>
      </c>
    </row>
    <row r="2" spans="1:10" ht="17.25" customHeight="1" x14ac:dyDescent="0.2">
      <c r="A2" s="106" t="s">
        <v>578</v>
      </c>
    </row>
    <row r="3" spans="1:10" ht="38.25" customHeight="1" x14ac:dyDescent="0.2">
      <c r="A3" s="120" t="s">
        <v>114</v>
      </c>
      <c r="B3" s="120"/>
      <c r="C3" s="120"/>
      <c r="D3" s="120"/>
      <c r="E3"/>
      <c r="F3" s="120"/>
      <c r="G3" s="120"/>
      <c r="H3" s="120"/>
      <c r="I3" s="120"/>
      <c r="J3" s="120"/>
    </row>
    <row r="4" spans="1:10" ht="15" customHeight="1" x14ac:dyDescent="0.25">
      <c r="A4" s="351" t="s">
        <v>579</v>
      </c>
      <c r="B4" s="1043" t="s">
        <v>1335</v>
      </c>
      <c r="E4" s="129"/>
      <c r="F4" s="129"/>
      <c r="G4" s="129"/>
      <c r="H4" s="129"/>
      <c r="I4" s="129"/>
      <c r="J4" s="129"/>
    </row>
    <row r="5" spans="1:10" ht="15" customHeight="1" x14ac:dyDescent="0.25">
      <c r="A5" s="351" t="s">
        <v>580</v>
      </c>
      <c r="B5" s="351" t="s">
        <v>581</v>
      </c>
      <c r="C5" s="129"/>
      <c r="D5" s="129"/>
      <c r="E5" s="129"/>
      <c r="F5" s="129"/>
      <c r="G5" s="129"/>
      <c r="H5" s="129"/>
      <c r="I5" s="129"/>
      <c r="J5" s="129"/>
    </row>
    <row r="6" spans="1:10" ht="15" customHeight="1" x14ac:dyDescent="0.25">
      <c r="A6" s="351" t="s">
        <v>582</v>
      </c>
      <c r="B6" s="351" t="s">
        <v>585</v>
      </c>
      <c r="C6" s="129"/>
      <c r="D6" s="129"/>
      <c r="E6" s="129"/>
      <c r="F6" s="129"/>
      <c r="G6" s="129"/>
      <c r="H6" s="129"/>
      <c r="I6" s="129"/>
      <c r="J6" s="129"/>
    </row>
    <row r="7" spans="1:10" ht="15" customHeight="1" x14ac:dyDescent="0.2">
      <c r="A7" s="129"/>
      <c r="B7" s="129"/>
      <c r="C7" s="129"/>
      <c r="D7" s="129"/>
      <c r="E7" s="129"/>
      <c r="F7" s="129"/>
      <c r="G7" s="129"/>
      <c r="H7" s="129"/>
      <c r="I7" s="129"/>
      <c r="J7" s="129"/>
    </row>
    <row r="8" spans="1:10" ht="15" customHeight="1" x14ac:dyDescent="0.25">
      <c r="F8" s="80" t="s">
        <v>0</v>
      </c>
      <c r="G8" s="83"/>
      <c r="J8" s="60" t="s">
        <v>62</v>
      </c>
    </row>
    <row r="9" spans="1:10" ht="26.25" customHeight="1" x14ac:dyDescent="0.2">
      <c r="A9" s="1153" t="s">
        <v>4</v>
      </c>
      <c r="B9" s="186" t="s">
        <v>625</v>
      </c>
      <c r="C9" s="1154"/>
      <c r="D9" s="255" t="s">
        <v>137</v>
      </c>
      <c r="E9" s="256" t="s">
        <v>145</v>
      </c>
      <c r="F9" s="257" t="s">
        <v>139</v>
      </c>
      <c r="G9" s="338"/>
      <c r="H9" s="255" t="s">
        <v>137</v>
      </c>
      <c r="I9" s="256" t="s">
        <v>145</v>
      </c>
      <c r="J9" s="257" t="s">
        <v>139</v>
      </c>
    </row>
    <row r="10" spans="1:10" ht="18.75" customHeight="1" x14ac:dyDescent="0.2">
      <c r="A10" s="2" t="str">
        <f>'T04'!A5</f>
        <v>2009-10</v>
      </c>
      <c r="B10" s="13">
        <f>'T04'!B5</f>
        <v>52075</v>
      </c>
      <c r="C10" s="13"/>
      <c r="D10" s="33">
        <f>'T04'!E5</f>
        <v>2937</v>
      </c>
      <c r="E10" s="33">
        <f>'T04'!C5</f>
        <v>36311</v>
      </c>
      <c r="F10" s="33">
        <f>'T04'!D5</f>
        <v>12827</v>
      </c>
      <c r="G10" s="13"/>
      <c r="H10" s="89">
        <f t="shared" ref="H10:H16" si="0">D10/B10*100</f>
        <v>5.639942390782525</v>
      </c>
      <c r="I10" s="89">
        <f t="shared" ref="I10:I16" si="1">E10/B10*100</f>
        <v>69.728276524243881</v>
      </c>
      <c r="J10" s="89">
        <f t="shared" ref="J10:J16" si="2">F10/B10*100</f>
        <v>24.631781084973596</v>
      </c>
    </row>
    <row r="11" spans="1:10" ht="13.5" customHeight="1" x14ac:dyDescent="0.2">
      <c r="A11" s="2" t="str">
        <f>'T04'!A6</f>
        <v>2010-11</v>
      </c>
      <c r="B11" s="13">
        <f>'T04'!B6</f>
        <v>49851</v>
      </c>
      <c r="C11" s="13"/>
      <c r="D11" s="33">
        <f>'T04'!E6</f>
        <v>2753</v>
      </c>
      <c r="E11" s="33">
        <f>'T04'!C6</f>
        <v>35291</v>
      </c>
      <c r="F11" s="33">
        <f>'T04'!D6</f>
        <v>11807</v>
      </c>
      <c r="G11" s="13"/>
      <c r="H11" s="89">
        <f t="shared" si="0"/>
        <v>5.5224569216264463</v>
      </c>
      <c r="I11" s="89">
        <f t="shared" si="1"/>
        <v>70.792963029828897</v>
      </c>
      <c r="J11" s="89">
        <f t="shared" si="2"/>
        <v>23.684580048544664</v>
      </c>
    </row>
    <row r="12" spans="1:10" ht="13.5" customHeight="1" x14ac:dyDescent="0.2">
      <c r="A12" s="2" t="str">
        <f>'T04'!A7</f>
        <v>2011-12</v>
      </c>
      <c r="B12" s="13">
        <f>'T04'!B7</f>
        <v>47922</v>
      </c>
      <c r="C12" s="13"/>
      <c r="D12" s="33">
        <f>'T04'!E7</f>
        <v>2622</v>
      </c>
      <c r="E12" s="33">
        <f>'T04'!C7</f>
        <v>34954</v>
      </c>
      <c r="F12" s="33">
        <f>'T04'!D7</f>
        <v>10346</v>
      </c>
      <c r="G12" s="13"/>
      <c r="H12" s="89">
        <f t="shared" si="0"/>
        <v>5.471391010391887</v>
      </c>
      <c r="I12" s="89">
        <f t="shared" si="1"/>
        <v>72.939359792996953</v>
      </c>
      <c r="J12" s="89">
        <f t="shared" si="2"/>
        <v>21.58924919661116</v>
      </c>
    </row>
    <row r="13" spans="1:10" ht="13.5" customHeight="1" x14ac:dyDescent="0.2">
      <c r="A13" s="2" t="str">
        <f>'T04'!A8</f>
        <v>2012-13</v>
      </c>
      <c r="B13" s="13">
        <f>'T04'!B8</f>
        <v>47288</v>
      </c>
      <c r="C13" s="13"/>
      <c r="D13" s="33">
        <f>'T04'!E8</f>
        <v>2307</v>
      </c>
      <c r="E13" s="33">
        <f>'T04'!C8</f>
        <v>35110</v>
      </c>
      <c r="F13" s="33">
        <f>'T04'!D8</f>
        <v>9871</v>
      </c>
      <c r="G13" s="13"/>
      <c r="H13" s="89">
        <f t="shared" si="0"/>
        <v>4.8786161394011165</v>
      </c>
      <c r="I13" s="89">
        <f t="shared" si="1"/>
        <v>74.247166300118423</v>
      </c>
      <c r="J13" s="89">
        <f t="shared" si="2"/>
        <v>20.87421756048046</v>
      </c>
    </row>
    <row r="14" spans="1:10" ht="13.5" customHeight="1" x14ac:dyDescent="0.2">
      <c r="A14" s="2" t="str">
        <f>'T04'!A9</f>
        <v>2013-14</v>
      </c>
      <c r="B14" s="13">
        <f>'T04'!B9</f>
        <v>47195</v>
      </c>
      <c r="C14" s="13"/>
      <c r="D14" s="33">
        <f>'T04'!E9</f>
        <v>2365</v>
      </c>
      <c r="E14" s="33">
        <f>'T04'!C9</f>
        <v>35213</v>
      </c>
      <c r="F14" s="33">
        <f>'T04'!D9</f>
        <v>9617</v>
      </c>
      <c r="G14" s="13"/>
      <c r="H14" s="89">
        <f t="shared" si="0"/>
        <v>5.0111240597520919</v>
      </c>
      <c r="I14" s="89">
        <f t="shared" si="1"/>
        <v>74.61171734293886</v>
      </c>
      <c r="J14" s="89">
        <f t="shared" si="2"/>
        <v>20.377158597309037</v>
      </c>
    </row>
    <row r="15" spans="1:10" ht="13.5" customHeight="1" x14ac:dyDescent="0.2">
      <c r="A15" s="2" t="str">
        <f>'T04'!A10</f>
        <v>2014-15</v>
      </c>
      <c r="B15" s="13">
        <f>'T04'!B10</f>
        <v>48649</v>
      </c>
      <c r="C15" s="13"/>
      <c r="D15" s="33">
        <f>'T04'!E10</f>
        <v>2056</v>
      </c>
      <c r="E15" s="33">
        <f>'T04'!C10</f>
        <v>37337</v>
      </c>
      <c r="F15" s="33">
        <f>'T04'!D10</f>
        <v>9256</v>
      </c>
      <c r="G15" s="13"/>
      <c r="H15" s="89">
        <f t="shared" si="0"/>
        <v>4.2261916997266136</v>
      </c>
      <c r="I15" s="89">
        <f t="shared" si="1"/>
        <v>76.747723488663695</v>
      </c>
      <c r="J15" s="89">
        <f t="shared" si="2"/>
        <v>19.026084811609696</v>
      </c>
    </row>
    <row r="16" spans="1:10" ht="13.5" customHeight="1" x14ac:dyDescent="0.2">
      <c r="A16" s="2" t="str">
        <f>'T04'!A11</f>
        <v>2015-16</v>
      </c>
      <c r="B16" s="13">
        <f>'T04'!B11</f>
        <v>48846</v>
      </c>
      <c r="C16" s="13"/>
      <c r="D16" s="33">
        <f>'T04'!E11</f>
        <v>2375</v>
      </c>
      <c r="E16" s="33">
        <f>'T04'!C11</f>
        <v>37621</v>
      </c>
      <c r="F16" s="33">
        <f>'T04'!D11</f>
        <v>8850</v>
      </c>
      <c r="G16" s="13"/>
      <c r="H16" s="89">
        <f t="shared" si="0"/>
        <v>4.8622200384883101</v>
      </c>
      <c r="I16" s="89">
        <f t="shared" si="1"/>
        <v>77.019612660197353</v>
      </c>
      <c r="J16" s="89">
        <f t="shared" si="2"/>
        <v>18.118167301314333</v>
      </c>
    </row>
    <row r="17" spans="1:18" ht="13.5" customHeight="1" x14ac:dyDescent="0.2">
      <c r="A17" s="2" t="str">
        <f>'T04'!A12</f>
        <v>2016-17</v>
      </c>
      <c r="B17" s="13">
        <f>'T04'!B12</f>
        <v>50868</v>
      </c>
      <c r="C17" s="13"/>
      <c r="D17" s="33">
        <f>'T04'!E12</f>
        <v>2281</v>
      </c>
      <c r="E17" s="33">
        <f>'T04'!C12</f>
        <v>39630</v>
      </c>
      <c r="F17" s="33">
        <f>'T04'!D12</f>
        <v>8957</v>
      </c>
      <c r="G17" s="13"/>
      <c r="H17" s="89">
        <f t="shared" ref="H17:H20" si="3">D17/B17*100</f>
        <v>4.4841550680191871</v>
      </c>
      <c r="I17" s="89">
        <f t="shared" ref="I17:I20" si="4">E17/B17*100</f>
        <v>77.907525359754658</v>
      </c>
      <c r="J17" s="89">
        <f t="shared" ref="J17:J20" si="5">F17/B17*100</f>
        <v>17.608319572226154</v>
      </c>
    </row>
    <row r="18" spans="1:18" ht="13.5" customHeight="1" x14ac:dyDescent="0.2">
      <c r="A18" s="2" t="str">
        <f>'T04'!A13</f>
        <v>2017-18</v>
      </c>
      <c r="B18" s="13">
        <f>'T04'!B13</f>
        <v>51884</v>
      </c>
      <c r="C18" s="13"/>
      <c r="D18" s="33">
        <f>'T04'!E13</f>
        <v>2337</v>
      </c>
      <c r="E18" s="33">
        <f>'T04'!C13</f>
        <v>40436</v>
      </c>
      <c r="F18" s="33">
        <f>'T04'!D13</f>
        <v>9111</v>
      </c>
      <c r="G18" s="13"/>
      <c r="H18" s="89">
        <f t="shared" si="3"/>
        <v>4.5042787757304756</v>
      </c>
      <c r="I18" s="89">
        <f t="shared" si="4"/>
        <v>77.935394341222732</v>
      </c>
      <c r="J18" s="89">
        <f t="shared" si="5"/>
        <v>17.560326883046798</v>
      </c>
    </row>
    <row r="19" spans="1:18" s="31" customFormat="1" ht="13.5" customHeight="1" x14ac:dyDescent="0.2">
      <c r="A19" s="2" t="str">
        <f>'T04'!A14</f>
        <v>2018-19</v>
      </c>
      <c r="B19" s="13">
        <f>'T04'!B14</f>
        <v>52158</v>
      </c>
      <c r="C19" s="33"/>
      <c r="D19" s="33">
        <f>'T04'!E14</f>
        <v>2279</v>
      </c>
      <c r="E19" s="33">
        <f>'T04'!C14</f>
        <v>40641</v>
      </c>
      <c r="F19" s="33">
        <f>'T04'!D14</f>
        <v>9238</v>
      </c>
      <c r="G19" s="33"/>
      <c r="H19" s="89">
        <f t="shared" si="3"/>
        <v>4.3694160052149238</v>
      </c>
      <c r="I19" s="89">
        <f t="shared" si="4"/>
        <v>77.919015299666398</v>
      </c>
      <c r="J19" s="89">
        <f t="shared" si="5"/>
        <v>17.711568695118679</v>
      </c>
      <c r="K19" s="33"/>
    </row>
    <row r="20" spans="1:18" s="31" customFormat="1" ht="13.5" customHeight="1" x14ac:dyDescent="0.2">
      <c r="A20" s="2" t="str">
        <f>'T04'!A15</f>
        <v>2019-20</v>
      </c>
      <c r="B20" s="13">
        <f>'T04'!B15</f>
        <v>52302</v>
      </c>
      <c r="C20" s="33"/>
      <c r="D20" s="33">
        <f>'T04'!E15</f>
        <v>2198</v>
      </c>
      <c r="E20" s="33">
        <f>'T04'!C15</f>
        <v>41467</v>
      </c>
      <c r="F20" s="33">
        <f>'T04'!D15</f>
        <v>8637</v>
      </c>
      <c r="G20" s="33"/>
      <c r="H20" s="89">
        <f t="shared" si="3"/>
        <v>4.2025161561699358</v>
      </c>
      <c r="I20" s="89">
        <f t="shared" si="4"/>
        <v>79.283774999044013</v>
      </c>
      <c r="J20" s="89">
        <f t="shared" si="5"/>
        <v>16.513708844786052</v>
      </c>
      <c r="K20" s="33"/>
    </row>
    <row r="21" spans="1:18" s="31" customFormat="1" ht="13.5" customHeight="1" thickBot="1" x14ac:dyDescent="0.25">
      <c r="A21" s="447" t="str">
        <f>'T04'!A16</f>
        <v>2020-21</v>
      </c>
      <c r="B21" s="350">
        <f>'T04'!B16</f>
        <v>46820</v>
      </c>
      <c r="C21" s="383"/>
      <c r="D21" s="383">
        <f>'T04'!E16</f>
        <v>1494</v>
      </c>
      <c r="E21" s="383">
        <f>'T04'!C16</f>
        <v>35809</v>
      </c>
      <c r="F21" s="383">
        <f>'T04'!D16</f>
        <v>9517</v>
      </c>
      <c r="G21" s="383"/>
      <c r="H21" s="394">
        <f t="shared" ref="H21" si="6">D21/B21*100</f>
        <v>3.190944041008116</v>
      </c>
      <c r="I21" s="394">
        <f t="shared" ref="I21" si="7">E21/B21*100</f>
        <v>76.482272533105515</v>
      </c>
      <c r="J21" s="394">
        <f t="shared" ref="J21" si="8">F21/B21*100</f>
        <v>20.326783425886376</v>
      </c>
      <c r="K21" s="33"/>
    </row>
    <row r="22" spans="1:18" s="31" customFormat="1" ht="13.5" customHeight="1" x14ac:dyDescent="0.2">
      <c r="A22" s="2"/>
      <c r="B22" s="13"/>
      <c r="C22" s="33"/>
      <c r="D22" s="33"/>
      <c r="E22" s="33"/>
      <c r="F22" s="33"/>
      <c r="G22" s="33"/>
      <c r="H22" s="89"/>
      <c r="I22" s="89"/>
      <c r="J22" s="89"/>
      <c r="K22" s="33"/>
    </row>
    <row r="23" spans="1:18" s="31" customFormat="1" ht="13.5" customHeight="1" x14ac:dyDescent="0.2">
      <c r="A23" s="1273" t="str">
        <f>"One Year Change " &amp; A20 &amp; " to " &amp; A21</f>
        <v>One Year Change 2019-20 to 2020-21</v>
      </c>
      <c r="B23" s="1273"/>
      <c r="C23" s="1273"/>
      <c r="D23" s="615"/>
      <c r="E23" s="615"/>
      <c r="F23" s="615"/>
      <c r="G23" s="615"/>
      <c r="H23" s="616"/>
      <c r="I23" s="615"/>
      <c r="J23" s="89"/>
      <c r="K23" s="33"/>
    </row>
    <row r="24" spans="1:18" s="31" customFormat="1" ht="13.5" customHeight="1" x14ac:dyDescent="0.2">
      <c r="A24" s="617" t="s">
        <v>0</v>
      </c>
      <c r="B24" s="618">
        <f>B21-B20</f>
        <v>-5482</v>
      </c>
      <c r="C24" s="618"/>
      <c r="D24" s="618">
        <f t="shared" ref="D24:F24" si="9">D21-D20</f>
        <v>-704</v>
      </c>
      <c r="E24" s="618">
        <f t="shared" si="9"/>
        <v>-5658</v>
      </c>
      <c r="F24" s="618">
        <f t="shared" si="9"/>
        <v>880</v>
      </c>
      <c r="G24"/>
      <c r="H24"/>
      <c r="I24"/>
      <c r="J24"/>
      <c r="K24" s="33"/>
    </row>
    <row r="25" spans="1:18" ht="13.5" thickBot="1" x14ac:dyDescent="0.25">
      <c r="A25" s="619" t="s">
        <v>62</v>
      </c>
      <c r="B25" s="620">
        <f>B24/B20</f>
        <v>-0.1048143474436924</v>
      </c>
      <c r="C25" s="620"/>
      <c r="D25" s="620">
        <f t="shared" ref="D25:F25" si="10">D24/D20</f>
        <v>-0.32029117379435851</v>
      </c>
      <c r="E25" s="620">
        <f t="shared" si="10"/>
        <v>-0.13644584850604094</v>
      </c>
      <c r="F25" s="620">
        <f t="shared" si="10"/>
        <v>0.10188722936204701</v>
      </c>
      <c r="G25"/>
      <c r="H25"/>
      <c r="I25"/>
      <c r="J25"/>
    </row>
    <row r="26" spans="1:18" x14ac:dyDescent="0.2">
      <c r="A26" s="621"/>
      <c r="B26" s="622"/>
      <c r="C26" s="622"/>
      <c r="D26" s="622"/>
      <c r="E26" s="622"/>
      <c r="F26" s="622"/>
      <c r="G26" s="622"/>
      <c r="H26" s="622"/>
      <c r="I26" s="622"/>
    </row>
    <row r="27" spans="1:18" x14ac:dyDescent="0.2">
      <c r="A27" s="2" t="s">
        <v>146</v>
      </c>
      <c r="M27" s="9"/>
    </row>
    <row r="28" spans="1:18" ht="15" x14ac:dyDescent="0.25">
      <c r="A28" s="1075" t="s">
        <v>1417</v>
      </c>
      <c r="F28"/>
      <c r="G28" s="278"/>
      <c r="H28" s="278"/>
      <c r="I28" s="278"/>
      <c r="J28" s="278"/>
      <c r="K28" s="278"/>
      <c r="L28" s="278"/>
      <c r="M28" s="278"/>
      <c r="N28" s="278"/>
      <c r="O28" s="278"/>
      <c r="P28" s="278"/>
      <c r="Q28" s="278"/>
      <c r="R28" s="278"/>
    </row>
    <row r="29" spans="1:18" ht="15" x14ac:dyDescent="0.25">
      <c r="B29" s="297"/>
    </row>
    <row r="30" spans="1:18" ht="37.5" customHeight="1" x14ac:dyDescent="0.2"/>
    <row r="31" spans="1:18" ht="15" customHeight="1" x14ac:dyDescent="0.2"/>
    <row r="32" spans="1:18" ht="15" customHeight="1" x14ac:dyDescent="0.2"/>
    <row r="33" ht="15" customHeight="1" x14ac:dyDescent="0.2"/>
    <row r="34" ht="13.5" customHeight="1" x14ac:dyDescent="0.2"/>
    <row r="35" ht="26.25" customHeight="1" x14ac:dyDescent="0.2"/>
    <row r="36" ht="18.7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9" ht="30" customHeight="1" x14ac:dyDescent="0.2"/>
    <row r="70" ht="13.5" customHeight="1" x14ac:dyDescent="0.2"/>
    <row r="74" ht="38.25" customHeight="1" x14ac:dyDescent="0.2"/>
    <row r="75" ht="33" customHeight="1" x14ac:dyDescent="0.2"/>
    <row r="76" ht="40.5" customHeight="1" x14ac:dyDescent="0.2"/>
    <row r="77" ht="18.7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10" ht="30" customHeight="1" x14ac:dyDescent="0.2"/>
    <row r="111" ht="14.25" customHeight="1" x14ac:dyDescent="0.2"/>
    <row r="112" ht="13.5" customHeight="1" x14ac:dyDescent="0.2"/>
    <row r="114" spans="1:3" x14ac:dyDescent="0.2">
      <c r="A114" s="91"/>
    </row>
    <row r="115" spans="1:3" x14ac:dyDescent="0.2">
      <c r="A115" s="18"/>
      <c r="B115" s="18"/>
      <c r="C115" s="18"/>
    </row>
  </sheetData>
  <sheetProtection algorithmName="SHA-512" hashValue="NecFdd3yUUAu7LVLXDVNERfCWbhdIjo4N9OwcrlWDg6r4Z175kXb6STsS/dtlh4gH0gLRqYwoBYNJkTMm4NpYg==" saltValue="o5da580fcx2PbpwoZUCYLw==" spinCount="100000" sheet="1" scenarios="1" formatCells="0" formatColumns="0" formatRows="0" sort="0" autoFilter="0" pivotTables="0"/>
  <mergeCells count="1">
    <mergeCell ref="A23:C23"/>
  </mergeCells>
  <hyperlinks>
    <hyperlink ref="A2" location="'Table of Contents'!A1" display="Back to Table of Contents" xr:uid="{00000000-0004-0000-5700-000000000000}"/>
  </hyperlinks>
  <pageMargins left="0.70866141732283472" right="0.70866141732283472" top="0.74803149606299213" bottom="0.74803149606299213" header="0.31496062992125984" footer="0.31496062992125984"/>
  <pageSetup paperSize="9" scale="74" fitToHeight="0" orientation="portrait" r:id="rId1"/>
  <headerFooter>
    <oddFooter>&amp;L&amp;P&amp;C&amp;A</oddFooter>
  </headerFooter>
  <rowBreaks count="1" manualBreakCount="1">
    <brk id="73"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4" tint="0.59999389629810485"/>
  </sheetPr>
  <dimension ref="A1:J91"/>
  <sheetViews>
    <sheetView showGridLines="0" workbookViewId="0">
      <pane ySplit="2" topLeftCell="A3" activePane="bottomLeft" state="frozen"/>
      <selection activeCellId="1" sqref="A1 A1"/>
      <selection pane="bottomLeft"/>
    </sheetView>
  </sheetViews>
  <sheetFormatPr defaultRowHeight="12.75" x14ac:dyDescent="0.2"/>
  <cols>
    <col min="1" max="1" width="17.28515625" customWidth="1"/>
    <col min="2" max="2" width="25.5703125" bestFit="1" customWidth="1"/>
    <col min="3" max="3" width="12.140625" customWidth="1"/>
    <col min="4" max="4" width="11.5703125" customWidth="1"/>
    <col min="5" max="5" width="11.42578125" customWidth="1"/>
    <col min="6" max="6" width="11.28515625" customWidth="1"/>
    <col min="8" max="8" width="11.42578125" customWidth="1"/>
    <col min="9" max="9" width="12.140625" customWidth="1"/>
    <col min="10" max="10" width="11.7109375" customWidth="1"/>
  </cols>
  <sheetData>
    <row r="1" spans="1:10" ht="18" customHeight="1" x14ac:dyDescent="0.2">
      <c r="A1" s="298" t="s">
        <v>1130</v>
      </c>
    </row>
    <row r="2" spans="1:10" ht="18" customHeight="1" x14ac:dyDescent="0.2">
      <c r="A2" s="106" t="s">
        <v>578</v>
      </c>
    </row>
    <row r="3" spans="1:10" ht="36.75" customHeight="1" x14ac:dyDescent="0.2">
      <c r="A3" s="120" t="s">
        <v>1018</v>
      </c>
      <c r="C3" s="120"/>
      <c r="D3" s="120"/>
      <c r="E3" s="1"/>
      <c r="F3" s="1"/>
      <c r="G3" s="1"/>
      <c r="H3" s="1"/>
      <c r="I3" s="1"/>
      <c r="J3" s="1"/>
    </row>
    <row r="4" spans="1:10" ht="15.75" x14ac:dyDescent="0.25">
      <c r="A4" s="351" t="s">
        <v>579</v>
      </c>
      <c r="B4" s="1043" t="s">
        <v>1336</v>
      </c>
      <c r="D4" s="129"/>
      <c r="E4" s="120"/>
      <c r="F4" s="120"/>
      <c r="G4" s="120"/>
      <c r="H4" s="120"/>
      <c r="I4" s="120"/>
      <c r="J4" s="1"/>
    </row>
    <row r="5" spans="1:10" ht="15.75" x14ac:dyDescent="0.25">
      <c r="A5" s="351" t="s">
        <v>580</v>
      </c>
      <c r="B5" s="351" t="s">
        <v>581</v>
      </c>
      <c r="D5" s="129"/>
      <c r="E5" s="120"/>
      <c r="F5" s="120"/>
      <c r="G5" s="120"/>
      <c r="H5" s="120"/>
      <c r="I5" s="120"/>
      <c r="J5" s="1"/>
    </row>
    <row r="6" spans="1:10" ht="15.75" x14ac:dyDescent="0.25">
      <c r="A6" s="351" t="s">
        <v>582</v>
      </c>
      <c r="B6" s="351" t="s">
        <v>585</v>
      </c>
      <c r="D6" s="129"/>
      <c r="E6" s="120"/>
      <c r="F6" s="120"/>
      <c r="G6" s="120"/>
      <c r="H6" s="120"/>
      <c r="I6" s="120"/>
      <c r="J6" s="1"/>
    </row>
    <row r="7" spans="1:10" ht="15" x14ac:dyDescent="0.25">
      <c r="B7" s="1"/>
      <c r="C7" s="1"/>
      <c r="D7" s="1"/>
      <c r="E7" s="1"/>
      <c r="F7" s="80" t="s">
        <v>0</v>
      </c>
      <c r="G7" s="60"/>
      <c r="H7" s="1"/>
      <c r="I7" s="1"/>
      <c r="J7" s="60" t="s">
        <v>62</v>
      </c>
    </row>
    <row r="8" spans="1:10" ht="25.5" x14ac:dyDescent="0.2">
      <c r="A8" s="363" t="s">
        <v>586</v>
      </c>
      <c r="B8" s="2" t="s">
        <v>22</v>
      </c>
      <c r="C8" s="169" t="s">
        <v>148</v>
      </c>
      <c r="D8" s="336" t="s">
        <v>137</v>
      </c>
      <c r="E8" s="345" t="s">
        <v>145</v>
      </c>
      <c r="F8" s="233" t="s">
        <v>139</v>
      </c>
      <c r="G8" s="105"/>
      <c r="H8" s="336" t="s">
        <v>137</v>
      </c>
      <c r="I8" s="345" t="s">
        <v>145</v>
      </c>
      <c r="J8" s="233" t="s">
        <v>139</v>
      </c>
    </row>
    <row r="9" spans="1:10" x14ac:dyDescent="0.2">
      <c r="A9" s="1" t="s">
        <v>587</v>
      </c>
      <c r="B9" s="400" t="s">
        <v>23</v>
      </c>
      <c r="C9" s="440">
        <f>T_04!B5</f>
        <v>2115</v>
      </c>
      <c r="D9" s="436">
        <f>T_04!C5</f>
        <v>86</v>
      </c>
      <c r="E9" s="436">
        <f>T_04!D5</f>
        <v>1717</v>
      </c>
      <c r="F9" s="436">
        <f>T_04!E5</f>
        <v>312</v>
      </c>
      <c r="G9" s="403"/>
      <c r="H9" s="441">
        <f t="shared" ref="H9:H40" si="0">D9/C9*100</f>
        <v>4.0661938534278965</v>
      </c>
      <c r="I9" s="441">
        <f t="shared" ref="I9:I42" si="1">E9/C9*100</f>
        <v>81.182033096926716</v>
      </c>
      <c r="J9" s="441">
        <f t="shared" ref="J9:J42" si="2">F9/C9*100</f>
        <v>14.75177304964539</v>
      </c>
    </row>
    <row r="10" spans="1:10" x14ac:dyDescent="0.2">
      <c r="A10" s="1" t="s">
        <v>588</v>
      </c>
      <c r="B10" s="117" t="s">
        <v>24</v>
      </c>
      <c r="C10" s="435">
        <f>T_04!B6</f>
        <v>1143</v>
      </c>
      <c r="D10" s="99">
        <f>T_04!C6</f>
        <v>36</v>
      </c>
      <c r="E10" s="99">
        <f>T_04!D6</f>
        <v>822</v>
      </c>
      <c r="F10" s="99">
        <f>T_04!E6</f>
        <v>285</v>
      </c>
      <c r="G10" s="65"/>
      <c r="H10" s="437">
        <f t="shared" si="0"/>
        <v>3.1496062992125982</v>
      </c>
      <c r="I10" s="437">
        <f t="shared" si="1"/>
        <v>71.916010498687669</v>
      </c>
      <c r="J10" s="437">
        <f t="shared" si="2"/>
        <v>24.934383202099738</v>
      </c>
    </row>
    <row r="11" spans="1:10" x14ac:dyDescent="0.2">
      <c r="A11" s="1" t="s">
        <v>589</v>
      </c>
      <c r="B11" s="117" t="s">
        <v>25</v>
      </c>
      <c r="C11" s="435">
        <f>T_04!B7</f>
        <v>796</v>
      </c>
      <c r="D11" s="99">
        <f>T_04!C7</f>
        <v>21</v>
      </c>
      <c r="E11" s="99">
        <f>T_04!D7</f>
        <v>636</v>
      </c>
      <c r="F11" s="99">
        <f>T_04!E7</f>
        <v>139</v>
      </c>
      <c r="G11" s="65"/>
      <c r="H11" s="437">
        <f t="shared" si="0"/>
        <v>2.6381909547738691</v>
      </c>
      <c r="I11" s="437">
        <f t="shared" si="1"/>
        <v>79.899497487437188</v>
      </c>
      <c r="J11" s="437">
        <f t="shared" si="2"/>
        <v>17.462311557788944</v>
      </c>
    </row>
    <row r="12" spans="1:10" x14ac:dyDescent="0.2">
      <c r="A12" s="1" t="s">
        <v>590</v>
      </c>
      <c r="B12" s="117" t="s">
        <v>26</v>
      </c>
      <c r="C12" s="435">
        <f>T_04!B8</f>
        <v>993</v>
      </c>
      <c r="D12" s="99">
        <f>T_04!C8</f>
        <v>7</v>
      </c>
      <c r="E12" s="99">
        <f>T_04!D8</f>
        <v>855</v>
      </c>
      <c r="F12" s="99">
        <f>T_04!E8</f>
        <v>131</v>
      </c>
      <c r="G12" s="65"/>
      <c r="H12" s="437">
        <f t="shared" si="0"/>
        <v>0.70493454179254789</v>
      </c>
      <c r="I12" s="437">
        <f t="shared" si="1"/>
        <v>86.102719033232631</v>
      </c>
      <c r="J12" s="437">
        <f t="shared" si="2"/>
        <v>13.192346424974824</v>
      </c>
    </row>
    <row r="13" spans="1:10" x14ac:dyDescent="0.2">
      <c r="A13" s="1" t="s">
        <v>591</v>
      </c>
      <c r="B13" s="117" t="s">
        <v>619</v>
      </c>
      <c r="C13" s="435">
        <f>T_04!B9</f>
        <v>5401</v>
      </c>
      <c r="D13" s="99">
        <f>T_04!C9</f>
        <v>218</v>
      </c>
      <c r="E13" s="99">
        <f>T_04!D9</f>
        <v>4235</v>
      </c>
      <c r="F13" s="99">
        <f>T_04!E9</f>
        <v>948</v>
      </c>
      <c r="G13" s="65"/>
      <c r="H13" s="437">
        <f t="shared" si="0"/>
        <v>4.0362895760044433</v>
      </c>
      <c r="I13" s="437">
        <f t="shared" si="1"/>
        <v>78.411405295315689</v>
      </c>
      <c r="J13" s="437">
        <f t="shared" si="2"/>
        <v>17.552305128679873</v>
      </c>
    </row>
    <row r="14" spans="1:10" x14ac:dyDescent="0.2">
      <c r="A14" s="1" t="s">
        <v>592</v>
      </c>
      <c r="B14" s="117" t="s">
        <v>27</v>
      </c>
      <c r="C14" s="435">
        <f>T_04!B10</f>
        <v>416</v>
      </c>
      <c r="D14" s="99">
        <f>T_04!C10</f>
        <v>11</v>
      </c>
      <c r="E14" s="99">
        <f>T_04!D10</f>
        <v>286</v>
      </c>
      <c r="F14" s="99">
        <f>T_04!E10</f>
        <v>119</v>
      </c>
      <c r="G14" s="65"/>
      <c r="H14" s="437">
        <f t="shared" si="0"/>
        <v>2.6442307692307692</v>
      </c>
      <c r="I14" s="437">
        <f t="shared" si="1"/>
        <v>68.75</v>
      </c>
      <c r="J14" s="437">
        <f t="shared" si="2"/>
        <v>28.60576923076923</v>
      </c>
    </row>
    <row r="15" spans="1:10" x14ac:dyDescent="0.2">
      <c r="A15" s="1" t="s">
        <v>593</v>
      </c>
      <c r="B15" s="117" t="s">
        <v>28</v>
      </c>
      <c r="C15" s="435">
        <f>T_04!B11</f>
        <v>877</v>
      </c>
      <c r="D15" s="99">
        <f>T_04!C11</f>
        <v>24</v>
      </c>
      <c r="E15" s="99">
        <f>T_04!D11</f>
        <v>655</v>
      </c>
      <c r="F15" s="99">
        <f>T_04!E11</f>
        <v>198</v>
      </c>
      <c r="G15" s="65"/>
      <c r="H15" s="437">
        <f t="shared" si="0"/>
        <v>2.7366020524515395</v>
      </c>
      <c r="I15" s="437">
        <f t="shared" si="1"/>
        <v>74.686431014823256</v>
      </c>
      <c r="J15" s="437">
        <f t="shared" si="2"/>
        <v>22.576966932725199</v>
      </c>
    </row>
    <row r="16" spans="1:10" x14ac:dyDescent="0.2">
      <c r="A16" s="1" t="s">
        <v>594</v>
      </c>
      <c r="B16" s="117" t="s">
        <v>29</v>
      </c>
      <c r="C16" s="435">
        <f>T_04!B12</f>
        <v>1826</v>
      </c>
      <c r="D16" s="99">
        <f>T_04!C12</f>
        <v>79</v>
      </c>
      <c r="E16" s="99">
        <f>T_04!D12</f>
        <v>1516</v>
      </c>
      <c r="F16" s="99">
        <f>T_04!E12</f>
        <v>231</v>
      </c>
      <c r="G16" s="65"/>
      <c r="H16" s="437">
        <f t="shared" si="0"/>
        <v>4.3263964950711937</v>
      </c>
      <c r="I16" s="437">
        <f t="shared" si="1"/>
        <v>83.023001095290255</v>
      </c>
      <c r="J16" s="437">
        <f t="shared" si="2"/>
        <v>12.650602409638553</v>
      </c>
    </row>
    <row r="17" spans="1:10" x14ac:dyDescent="0.2">
      <c r="A17" s="1" t="s">
        <v>595</v>
      </c>
      <c r="B17" s="117" t="s">
        <v>30</v>
      </c>
      <c r="C17" s="435">
        <f>T_04!B13</f>
        <v>1161</v>
      </c>
      <c r="D17" s="99">
        <f>T_04!C13</f>
        <v>29</v>
      </c>
      <c r="E17" s="99">
        <f>T_04!D13</f>
        <v>813</v>
      </c>
      <c r="F17" s="99">
        <f>T_04!E13</f>
        <v>319</v>
      </c>
      <c r="G17" s="65"/>
      <c r="H17" s="437">
        <f t="shared" si="0"/>
        <v>2.4978466838931954</v>
      </c>
      <c r="I17" s="437">
        <f t="shared" si="1"/>
        <v>70.025839793281648</v>
      </c>
      <c r="J17" s="437">
        <f t="shared" si="2"/>
        <v>27.476313522825151</v>
      </c>
    </row>
    <row r="18" spans="1:10" x14ac:dyDescent="0.2">
      <c r="A18" s="1" t="s">
        <v>596</v>
      </c>
      <c r="B18" s="117" t="s">
        <v>31</v>
      </c>
      <c r="C18" s="435">
        <f>T_04!B14</f>
        <v>571</v>
      </c>
      <c r="D18" s="99">
        <f>T_04!C14</f>
        <v>18</v>
      </c>
      <c r="E18" s="99">
        <f>T_04!D14</f>
        <v>389</v>
      </c>
      <c r="F18" s="99">
        <f>T_04!E14</f>
        <v>164</v>
      </c>
      <c r="G18" s="65"/>
      <c r="H18" s="437">
        <f t="shared" si="0"/>
        <v>3.1523642732049035</v>
      </c>
      <c r="I18" s="437">
        <f t="shared" si="1"/>
        <v>68.126094570928203</v>
      </c>
      <c r="J18" s="437">
        <f t="shared" si="2"/>
        <v>28.721541155866898</v>
      </c>
    </row>
    <row r="19" spans="1:10" x14ac:dyDescent="0.2">
      <c r="A19" s="1" t="s">
        <v>597</v>
      </c>
      <c r="B19" s="117" t="s">
        <v>32</v>
      </c>
      <c r="C19" s="435">
        <f>T_04!B15</f>
        <v>826</v>
      </c>
      <c r="D19" s="99">
        <f>T_04!C15</f>
        <v>38</v>
      </c>
      <c r="E19" s="99">
        <f>T_04!D15</f>
        <v>615</v>
      </c>
      <c r="F19" s="99">
        <f>T_04!E15</f>
        <v>173</v>
      </c>
      <c r="G19" s="65"/>
      <c r="H19" s="437">
        <f t="shared" si="0"/>
        <v>4.6004842615012107</v>
      </c>
      <c r="I19" s="437">
        <f t="shared" si="1"/>
        <v>74.455205811138015</v>
      </c>
      <c r="J19" s="437">
        <f t="shared" si="2"/>
        <v>20.944309927360774</v>
      </c>
    </row>
    <row r="20" spans="1:10" x14ac:dyDescent="0.2">
      <c r="A20" s="1" t="s">
        <v>598</v>
      </c>
      <c r="B20" s="117" t="s">
        <v>33</v>
      </c>
      <c r="C20" s="435">
        <f>T_04!B16</f>
        <v>610</v>
      </c>
      <c r="D20" s="99">
        <f>T_04!C16</f>
        <v>7</v>
      </c>
      <c r="E20" s="99">
        <f>T_04!D16</f>
        <v>459</v>
      </c>
      <c r="F20" s="99">
        <f>T_04!E16</f>
        <v>144</v>
      </c>
      <c r="G20" s="65"/>
      <c r="H20" s="437">
        <f t="shared" si="0"/>
        <v>1.1475409836065573</v>
      </c>
      <c r="I20" s="437">
        <f t="shared" si="1"/>
        <v>75.245901639344254</v>
      </c>
      <c r="J20" s="437">
        <f t="shared" si="2"/>
        <v>23.606557377049182</v>
      </c>
    </row>
    <row r="21" spans="1:10" x14ac:dyDescent="0.2">
      <c r="A21" s="1" t="s">
        <v>599</v>
      </c>
      <c r="B21" s="117" t="s">
        <v>34</v>
      </c>
      <c r="C21" s="435">
        <f>T_04!B17</f>
        <v>1121</v>
      </c>
      <c r="D21" s="99">
        <f>T_04!C17</f>
        <v>34</v>
      </c>
      <c r="E21" s="99">
        <f>T_04!D17</f>
        <v>705</v>
      </c>
      <c r="F21" s="99">
        <f>T_04!E17</f>
        <v>382</v>
      </c>
      <c r="G21" s="65"/>
      <c r="H21" s="437">
        <f t="shared" si="0"/>
        <v>3.0330062444246209</v>
      </c>
      <c r="I21" s="437">
        <f t="shared" si="1"/>
        <v>62.890276538804635</v>
      </c>
      <c r="J21" s="437">
        <f t="shared" si="2"/>
        <v>34.076717216770739</v>
      </c>
    </row>
    <row r="22" spans="1:10" x14ac:dyDescent="0.2">
      <c r="A22" s="1" t="s">
        <v>600</v>
      </c>
      <c r="B22" s="117" t="s">
        <v>35</v>
      </c>
      <c r="C22" s="435">
        <f>T_04!B18</f>
        <v>2783</v>
      </c>
      <c r="D22" s="99">
        <f>T_04!C18</f>
        <v>93</v>
      </c>
      <c r="E22" s="99">
        <f>T_04!D18</f>
        <v>2132</v>
      </c>
      <c r="F22" s="99">
        <f>T_04!E18</f>
        <v>558</v>
      </c>
      <c r="G22" s="65"/>
      <c r="H22" s="437">
        <f t="shared" si="0"/>
        <v>3.3417175709665825</v>
      </c>
      <c r="I22" s="437">
        <f t="shared" si="1"/>
        <v>76.607977003233913</v>
      </c>
      <c r="J22" s="437">
        <f t="shared" si="2"/>
        <v>20.050305425799497</v>
      </c>
    </row>
    <row r="23" spans="1:10" x14ac:dyDescent="0.2">
      <c r="A23" s="1" t="s">
        <v>601</v>
      </c>
      <c r="B23" s="117" t="s">
        <v>36</v>
      </c>
      <c r="C23" s="435">
        <f>T_04!B19</f>
        <v>7294</v>
      </c>
      <c r="D23" s="99">
        <f>T_04!C19</f>
        <v>190</v>
      </c>
      <c r="E23" s="99">
        <f>T_04!D19</f>
        <v>5878</v>
      </c>
      <c r="F23" s="99">
        <f>T_04!E19</f>
        <v>1226</v>
      </c>
      <c r="G23" s="65"/>
      <c r="H23" s="437">
        <f t="shared" si="0"/>
        <v>2.6048807238826432</v>
      </c>
      <c r="I23" s="437">
        <f t="shared" si="1"/>
        <v>80.586783657800936</v>
      </c>
      <c r="J23" s="437">
        <f t="shared" si="2"/>
        <v>16.808335618316423</v>
      </c>
    </row>
    <row r="24" spans="1:10" x14ac:dyDescent="0.2">
      <c r="A24" s="1" t="s">
        <v>602</v>
      </c>
      <c r="B24" s="117" t="s">
        <v>37</v>
      </c>
      <c r="C24" s="435">
        <f>T_04!B20</f>
        <v>2046</v>
      </c>
      <c r="D24" s="99">
        <f>T_04!C20</f>
        <v>73</v>
      </c>
      <c r="E24" s="99">
        <f>T_04!D20</f>
        <v>1531</v>
      </c>
      <c r="F24" s="99">
        <f>T_04!E20</f>
        <v>442</v>
      </c>
      <c r="G24" s="65"/>
      <c r="H24" s="437">
        <f t="shared" si="0"/>
        <v>3.5679374389051812</v>
      </c>
      <c r="I24" s="437">
        <f t="shared" si="1"/>
        <v>74.82893450635386</v>
      </c>
      <c r="J24" s="437">
        <f t="shared" si="2"/>
        <v>21.603128054740957</v>
      </c>
    </row>
    <row r="25" spans="1:10" x14ac:dyDescent="0.2">
      <c r="A25" s="1" t="s">
        <v>603</v>
      </c>
      <c r="B25" s="117" t="s">
        <v>38</v>
      </c>
      <c r="C25" s="435">
        <f>T_04!B21</f>
        <v>700</v>
      </c>
      <c r="D25" s="99">
        <f>T_04!C21</f>
        <v>20</v>
      </c>
      <c r="E25" s="99">
        <f>T_04!D21</f>
        <v>490</v>
      </c>
      <c r="F25" s="99">
        <f>T_04!E21</f>
        <v>190</v>
      </c>
      <c r="G25" s="65"/>
      <c r="H25" s="437">
        <f t="shared" si="0"/>
        <v>2.8571428571428572</v>
      </c>
      <c r="I25" s="437">
        <f t="shared" si="1"/>
        <v>70</v>
      </c>
      <c r="J25" s="437">
        <f t="shared" si="2"/>
        <v>27.142857142857142</v>
      </c>
    </row>
    <row r="26" spans="1:10" x14ac:dyDescent="0.2">
      <c r="A26" s="1" t="s">
        <v>604</v>
      </c>
      <c r="B26" s="117" t="s">
        <v>39</v>
      </c>
      <c r="C26" s="435">
        <f>T_04!B22</f>
        <v>632</v>
      </c>
      <c r="D26" s="99">
        <f>T_04!C22</f>
        <v>24</v>
      </c>
      <c r="E26" s="99">
        <f>T_04!D22</f>
        <v>454</v>
      </c>
      <c r="F26" s="99">
        <f>T_04!E22</f>
        <v>154</v>
      </c>
      <c r="G26" s="65"/>
      <c r="H26" s="437">
        <f t="shared" si="0"/>
        <v>3.79746835443038</v>
      </c>
      <c r="I26" s="437">
        <f t="shared" si="1"/>
        <v>71.835443037974684</v>
      </c>
      <c r="J26" s="437">
        <f t="shared" si="2"/>
        <v>24.367088607594937</v>
      </c>
    </row>
    <row r="27" spans="1:10" x14ac:dyDescent="0.2">
      <c r="A27" s="1" t="s">
        <v>605</v>
      </c>
      <c r="B27" s="117" t="s">
        <v>40</v>
      </c>
      <c r="C27" s="435">
        <f>T_04!B23</f>
        <v>591</v>
      </c>
      <c r="D27" s="99">
        <f>T_04!C23</f>
        <v>13</v>
      </c>
      <c r="E27" s="99">
        <f>T_04!D23</f>
        <v>472</v>
      </c>
      <c r="F27" s="99">
        <f>T_04!E23</f>
        <v>106</v>
      </c>
      <c r="G27" s="65"/>
      <c r="H27" s="437">
        <f t="shared" si="0"/>
        <v>2.1996615905245349</v>
      </c>
      <c r="I27" s="437">
        <f t="shared" si="1"/>
        <v>79.864636209813881</v>
      </c>
      <c r="J27" s="437">
        <f t="shared" si="2"/>
        <v>17.935702199661591</v>
      </c>
    </row>
    <row r="28" spans="1:10" x14ac:dyDescent="0.2">
      <c r="A28" s="1" t="s">
        <v>606</v>
      </c>
      <c r="B28" s="117" t="s">
        <v>295</v>
      </c>
      <c r="C28" s="435">
        <f>T_04!B24</f>
        <v>221</v>
      </c>
      <c r="D28" s="99">
        <f>T_04!C24</f>
        <v>1</v>
      </c>
      <c r="E28" s="99">
        <f>T_04!D24</f>
        <v>148</v>
      </c>
      <c r="F28" s="99">
        <f>T_04!E24</f>
        <v>72</v>
      </c>
      <c r="G28" s="65"/>
      <c r="H28" s="437">
        <f t="shared" si="0"/>
        <v>0.45248868778280549</v>
      </c>
      <c r="I28" s="437">
        <f t="shared" si="1"/>
        <v>66.968325791855193</v>
      </c>
      <c r="J28" s="437">
        <f t="shared" si="2"/>
        <v>32.579185520361989</v>
      </c>
    </row>
    <row r="29" spans="1:10" x14ac:dyDescent="0.2">
      <c r="A29" s="1" t="s">
        <v>607</v>
      </c>
      <c r="B29" s="117" t="s">
        <v>41</v>
      </c>
      <c r="C29" s="435">
        <f>T_04!B25</f>
        <v>1516</v>
      </c>
      <c r="D29" s="99">
        <f>T_04!C25</f>
        <v>30</v>
      </c>
      <c r="E29" s="99">
        <f>T_04!D25</f>
        <v>1137</v>
      </c>
      <c r="F29" s="99">
        <f>T_04!E25</f>
        <v>349</v>
      </c>
      <c r="G29" s="65"/>
      <c r="H29" s="437">
        <f t="shared" si="0"/>
        <v>1.9788918205804751</v>
      </c>
      <c r="I29" s="437">
        <f t="shared" si="1"/>
        <v>75</v>
      </c>
      <c r="J29" s="437">
        <f t="shared" si="2"/>
        <v>23.021108179419524</v>
      </c>
    </row>
    <row r="30" spans="1:10" x14ac:dyDescent="0.2">
      <c r="A30" s="1" t="s">
        <v>608</v>
      </c>
      <c r="B30" s="117" t="s">
        <v>42</v>
      </c>
      <c r="C30" s="435">
        <f>T_04!B26</f>
        <v>2531</v>
      </c>
      <c r="D30" s="99">
        <f>T_04!C26</f>
        <v>74</v>
      </c>
      <c r="E30" s="99">
        <f>T_04!D26</f>
        <v>1849</v>
      </c>
      <c r="F30" s="99">
        <f>T_04!E26</f>
        <v>608</v>
      </c>
      <c r="G30" s="65"/>
      <c r="H30" s="437">
        <f t="shared" si="0"/>
        <v>2.9237455551165548</v>
      </c>
      <c r="I30" s="437">
        <f t="shared" si="1"/>
        <v>73.054128802844716</v>
      </c>
      <c r="J30" s="437">
        <f t="shared" si="2"/>
        <v>24.02212564203872</v>
      </c>
    </row>
    <row r="31" spans="1:10" x14ac:dyDescent="0.2">
      <c r="A31" s="1" t="s">
        <v>609</v>
      </c>
      <c r="B31" s="117" t="s">
        <v>43</v>
      </c>
      <c r="C31" s="435">
        <f>T_04!B27</f>
        <v>63</v>
      </c>
      <c r="D31" s="439">
        <f>T_04!C27</f>
        <v>0</v>
      </c>
      <c r="E31" s="99">
        <f>T_04!D27</f>
        <v>44</v>
      </c>
      <c r="F31" s="99">
        <f>T_04!E27</f>
        <v>19</v>
      </c>
      <c r="G31" s="65"/>
      <c r="H31" s="437">
        <f t="shared" si="0"/>
        <v>0</v>
      </c>
      <c r="I31" s="437">
        <f t="shared" si="1"/>
        <v>69.841269841269835</v>
      </c>
      <c r="J31" s="437">
        <f t="shared" si="2"/>
        <v>30.158730158730158</v>
      </c>
    </row>
    <row r="32" spans="1:10" x14ac:dyDescent="0.2">
      <c r="A32" s="1" t="s">
        <v>610</v>
      </c>
      <c r="B32" s="117" t="s">
        <v>44</v>
      </c>
      <c r="C32" s="435">
        <f>T_04!B28</f>
        <v>1158</v>
      </c>
      <c r="D32" s="99">
        <f>T_04!C28</f>
        <v>37</v>
      </c>
      <c r="E32" s="99">
        <f>T_04!D28</f>
        <v>892</v>
      </c>
      <c r="F32" s="99">
        <f>T_04!E28</f>
        <v>229</v>
      </c>
      <c r="G32" s="65"/>
      <c r="H32" s="437">
        <f t="shared" si="0"/>
        <v>3.1951640759930915</v>
      </c>
      <c r="I32" s="437">
        <f t="shared" si="1"/>
        <v>77.0293609671848</v>
      </c>
      <c r="J32" s="437">
        <f t="shared" si="2"/>
        <v>19.775474956822105</v>
      </c>
    </row>
    <row r="33" spans="1:10" x14ac:dyDescent="0.2">
      <c r="A33" s="1" t="s">
        <v>611</v>
      </c>
      <c r="B33" s="117" t="s">
        <v>45</v>
      </c>
      <c r="C33" s="435">
        <f>T_04!B29</f>
        <v>1532</v>
      </c>
      <c r="D33" s="99">
        <f>T_04!C29</f>
        <v>70</v>
      </c>
      <c r="E33" s="99">
        <f>T_04!D29</f>
        <v>1143</v>
      </c>
      <c r="F33" s="99">
        <f>T_04!E29</f>
        <v>319</v>
      </c>
      <c r="G33" s="65"/>
      <c r="H33" s="437">
        <f t="shared" si="0"/>
        <v>4.5691906005221927</v>
      </c>
      <c r="I33" s="437">
        <f t="shared" si="1"/>
        <v>74.608355091383814</v>
      </c>
      <c r="J33" s="437">
        <f t="shared" si="2"/>
        <v>20.822454308093995</v>
      </c>
    </row>
    <row r="34" spans="1:10" x14ac:dyDescent="0.2">
      <c r="A34" s="1" t="s">
        <v>612</v>
      </c>
      <c r="B34" s="117" t="s">
        <v>46</v>
      </c>
      <c r="C34" s="435">
        <f>T_04!B30</f>
        <v>835</v>
      </c>
      <c r="D34" s="99">
        <f>T_04!C30</f>
        <v>33</v>
      </c>
      <c r="E34" s="99">
        <f>T_04!D30</f>
        <v>600</v>
      </c>
      <c r="F34" s="99">
        <f>T_04!E30</f>
        <v>202</v>
      </c>
      <c r="G34" s="65"/>
      <c r="H34" s="437">
        <f t="shared" si="0"/>
        <v>3.952095808383234</v>
      </c>
      <c r="I34" s="437">
        <f t="shared" si="1"/>
        <v>71.856287425149702</v>
      </c>
      <c r="J34" s="437">
        <f t="shared" si="2"/>
        <v>24.191616766467067</v>
      </c>
    </row>
    <row r="35" spans="1:10" x14ac:dyDescent="0.2">
      <c r="A35" s="1" t="s">
        <v>613</v>
      </c>
      <c r="B35" s="117" t="s">
        <v>47</v>
      </c>
      <c r="C35" s="435">
        <f>T_04!B31</f>
        <v>132</v>
      </c>
      <c r="D35" s="99">
        <f>T_04!C31</f>
        <v>2</v>
      </c>
      <c r="E35" s="99">
        <f>T_04!D31</f>
        <v>100</v>
      </c>
      <c r="F35" s="99">
        <f>T_04!E31</f>
        <v>30</v>
      </c>
      <c r="G35" s="65"/>
      <c r="H35" s="437">
        <f t="shared" si="0"/>
        <v>1.5151515151515151</v>
      </c>
      <c r="I35" s="437">
        <f t="shared" si="1"/>
        <v>75.757575757575751</v>
      </c>
      <c r="J35" s="437">
        <f t="shared" si="2"/>
        <v>22.727272727272727</v>
      </c>
    </row>
    <row r="36" spans="1:10" x14ac:dyDescent="0.2">
      <c r="A36" s="1" t="s">
        <v>614</v>
      </c>
      <c r="B36" s="117" t="s">
        <v>48</v>
      </c>
      <c r="C36" s="435">
        <f>T_04!B32</f>
        <v>1106</v>
      </c>
      <c r="D36" s="99">
        <f>T_04!C32</f>
        <v>34</v>
      </c>
      <c r="E36" s="99">
        <f>T_04!D32</f>
        <v>914</v>
      </c>
      <c r="F36" s="99">
        <f>T_04!E32</f>
        <v>158</v>
      </c>
      <c r="G36" s="65"/>
      <c r="H36" s="437">
        <f t="shared" si="0"/>
        <v>3.0741410488245928</v>
      </c>
      <c r="I36" s="437">
        <f t="shared" si="1"/>
        <v>82.640144665461122</v>
      </c>
      <c r="J36" s="437">
        <f t="shared" si="2"/>
        <v>14.285714285714285</v>
      </c>
    </row>
    <row r="37" spans="1:10" x14ac:dyDescent="0.2">
      <c r="A37" s="1" t="s">
        <v>615</v>
      </c>
      <c r="B37" s="117" t="s">
        <v>49</v>
      </c>
      <c r="C37" s="435">
        <f>T_04!B33</f>
        <v>2645</v>
      </c>
      <c r="D37" s="99">
        <f>T_04!C33</f>
        <v>80</v>
      </c>
      <c r="E37" s="99">
        <f>T_04!D33</f>
        <v>2034</v>
      </c>
      <c r="F37" s="99">
        <f>T_04!E33</f>
        <v>531</v>
      </c>
      <c r="G37" s="65"/>
      <c r="H37" s="437">
        <f t="shared" si="0"/>
        <v>3.0245746691871456</v>
      </c>
      <c r="I37" s="437">
        <f t="shared" si="1"/>
        <v>76.899810964083173</v>
      </c>
      <c r="J37" s="437">
        <f t="shared" si="2"/>
        <v>20.075614366729681</v>
      </c>
    </row>
    <row r="38" spans="1:10" x14ac:dyDescent="0.2">
      <c r="A38" s="1" t="s">
        <v>616</v>
      </c>
      <c r="B38" s="117" t="s">
        <v>50</v>
      </c>
      <c r="C38" s="435">
        <f>T_04!B34</f>
        <v>846</v>
      </c>
      <c r="D38" s="99">
        <f>T_04!C34</f>
        <v>11</v>
      </c>
      <c r="E38" s="99">
        <f>T_04!D34</f>
        <v>649</v>
      </c>
      <c r="F38" s="99">
        <f>T_04!E34</f>
        <v>186</v>
      </c>
      <c r="G38" s="65"/>
      <c r="H38" s="437">
        <f t="shared" si="0"/>
        <v>1.3002364066193852</v>
      </c>
      <c r="I38" s="437">
        <f t="shared" si="1"/>
        <v>76.713947990543744</v>
      </c>
      <c r="J38" s="437">
        <f t="shared" si="2"/>
        <v>21.98581560283688</v>
      </c>
    </row>
    <row r="39" spans="1:10" x14ac:dyDescent="0.2">
      <c r="A39" s="1" t="s">
        <v>617</v>
      </c>
      <c r="B39" s="117" t="s">
        <v>51</v>
      </c>
      <c r="C39" s="435">
        <f>T_04!B35</f>
        <v>609</v>
      </c>
      <c r="D39" s="99">
        <f>T_04!C35</f>
        <v>45</v>
      </c>
      <c r="E39" s="99">
        <f>T_04!D35</f>
        <v>394</v>
      </c>
      <c r="F39" s="99">
        <f>T_04!E35</f>
        <v>170</v>
      </c>
      <c r="G39" s="65"/>
      <c r="H39" s="437">
        <f t="shared" si="0"/>
        <v>7.389162561576355</v>
      </c>
      <c r="I39" s="437">
        <f t="shared" si="1"/>
        <v>64.696223316912977</v>
      </c>
      <c r="J39" s="437">
        <f t="shared" si="2"/>
        <v>27.914614121510674</v>
      </c>
    </row>
    <row r="40" spans="1:10" x14ac:dyDescent="0.2">
      <c r="A40" s="1" t="s">
        <v>618</v>
      </c>
      <c r="B40" s="117" t="s">
        <v>52</v>
      </c>
      <c r="C40" s="435">
        <f>T_04!B36</f>
        <v>1723</v>
      </c>
      <c r="D40" s="99">
        <f>T_04!C36</f>
        <v>56</v>
      </c>
      <c r="E40" s="99">
        <f>T_04!D36</f>
        <v>1244</v>
      </c>
      <c r="F40" s="99">
        <f>T_04!E36</f>
        <v>423</v>
      </c>
      <c r="G40" s="65"/>
      <c r="H40" s="437">
        <f t="shared" si="0"/>
        <v>3.2501450957632039</v>
      </c>
      <c r="I40" s="437">
        <f t="shared" si="1"/>
        <v>72.199651770168316</v>
      </c>
      <c r="J40" s="437">
        <f t="shared" si="2"/>
        <v>24.550203134068486</v>
      </c>
    </row>
    <row r="41" spans="1:10" x14ac:dyDescent="0.2">
      <c r="A41" s="1"/>
      <c r="B41" s="117" t="str">
        <f>IF(T_04!A37 = "Z_Not Known", "Not Known","")</f>
        <v>Not Known</v>
      </c>
      <c r="C41" s="353">
        <f>IF(T_04!A37 = "Z_Not Known",T_04!B37,"")</f>
        <v>1</v>
      </c>
      <c r="D41" s="191">
        <f>IF(T_04!A37 = "Z_Not Known",T_04!C37,"")</f>
        <v>0</v>
      </c>
      <c r="E41" s="191">
        <f>IF(T_04!A37 = "Z_Not Known",T_04!D37,"")</f>
        <v>1</v>
      </c>
      <c r="F41" s="191">
        <f>IF(T_04!A37= "Z_Not Known",T_04!E37,"")</f>
        <v>0</v>
      </c>
      <c r="G41" s="353" t="str">
        <f>IF(T_01!A36 = "Z_Not Known",T_01!F36,"")</f>
        <v/>
      </c>
      <c r="H41" s="437"/>
      <c r="I41" s="437"/>
      <c r="J41" s="437"/>
    </row>
    <row r="42" spans="1:10" ht="15.75" thickBot="1" x14ac:dyDescent="0.25">
      <c r="A42" s="359" t="s">
        <v>620</v>
      </c>
      <c r="B42" s="360" t="s">
        <v>143</v>
      </c>
      <c r="C42" s="423">
        <f>SUM(C9:C41)</f>
        <v>46820</v>
      </c>
      <c r="D42" s="423">
        <f>SUM(D9:D41)</f>
        <v>1494</v>
      </c>
      <c r="E42" s="423">
        <f>SUM(E9:E41)</f>
        <v>35809</v>
      </c>
      <c r="F42" s="423">
        <f>SUM(F9:F41)</f>
        <v>9517</v>
      </c>
      <c r="G42" s="450"/>
      <c r="H42" s="451">
        <f>D42/C42*100</f>
        <v>3.190944041008116</v>
      </c>
      <c r="I42" s="451">
        <f t="shared" si="1"/>
        <v>76.482272533105515</v>
      </c>
      <c r="J42" s="451">
        <f t="shared" si="2"/>
        <v>20.326783425886376</v>
      </c>
    </row>
    <row r="43" spans="1:10" ht="15" x14ac:dyDescent="0.2">
      <c r="B43" s="98"/>
      <c r="C43" s="44"/>
      <c r="D43" s="44"/>
      <c r="E43" s="44"/>
      <c r="F43" s="44"/>
      <c r="G43" s="65"/>
      <c r="H43" s="175"/>
      <c r="I43" s="175"/>
      <c r="J43" s="175"/>
    </row>
    <row r="44" spans="1:10" x14ac:dyDescent="0.2">
      <c r="B44" s="2"/>
      <c r="C44" s="1"/>
      <c r="D44" s="1"/>
      <c r="E44" s="1"/>
      <c r="F44" s="1"/>
      <c r="G44" s="1"/>
      <c r="H44" s="1"/>
      <c r="I44" s="1"/>
      <c r="J44" s="1"/>
    </row>
    <row r="45" spans="1:10" x14ac:dyDescent="0.2">
      <c r="B45" s="1"/>
      <c r="C45" s="1"/>
      <c r="D45" s="1"/>
      <c r="E45" s="1"/>
      <c r="F45" s="1"/>
      <c r="G45" s="1"/>
      <c r="H45" s="1"/>
      <c r="I45" s="1"/>
      <c r="J45" s="1"/>
    </row>
    <row r="46" spans="1:10" x14ac:dyDescent="0.2">
      <c r="B46" s="91"/>
      <c r="C46" s="1"/>
      <c r="D46" s="1"/>
      <c r="E46" s="1"/>
      <c r="F46" s="1"/>
      <c r="G46" s="1"/>
      <c r="H46" s="1"/>
      <c r="I46" s="1"/>
      <c r="J46" s="1"/>
    </row>
    <row r="47" spans="1:10" ht="15.75" x14ac:dyDescent="0.2">
      <c r="A47" s="129" t="s">
        <v>1019</v>
      </c>
      <c r="B47" s="129"/>
      <c r="C47" s="129"/>
      <c r="D47" s="129"/>
      <c r="E47" s="129"/>
      <c r="F47" s="129"/>
      <c r="G47" s="129"/>
      <c r="H47" s="129"/>
      <c r="J47" s="1"/>
    </row>
    <row r="48" spans="1:10" ht="15.75" x14ac:dyDescent="0.25">
      <c r="A48" s="351" t="s">
        <v>579</v>
      </c>
      <c r="B48" s="1043" t="s">
        <v>1337</v>
      </c>
      <c r="D48" s="120"/>
      <c r="E48" s="120"/>
      <c r="F48" s="120"/>
      <c r="G48" s="120"/>
      <c r="H48" s="120"/>
      <c r="I48" s="120"/>
      <c r="J48" s="120"/>
    </row>
    <row r="49" spans="1:10" ht="15.75" x14ac:dyDescent="0.25">
      <c r="A49" s="351" t="s">
        <v>580</v>
      </c>
      <c r="B49" s="351" t="s">
        <v>581</v>
      </c>
      <c r="D49" s="129"/>
      <c r="E49" s="129"/>
      <c r="F49" s="129"/>
      <c r="G49" s="129"/>
      <c r="H49" s="129"/>
      <c r="I49" s="129"/>
      <c r="J49" s="1"/>
    </row>
    <row r="50" spans="1:10" ht="15.75" x14ac:dyDescent="0.25">
      <c r="A50" s="351" t="s">
        <v>582</v>
      </c>
      <c r="B50" s="351" t="s">
        <v>585</v>
      </c>
      <c r="D50" s="129"/>
      <c r="E50" s="129"/>
      <c r="F50" s="129"/>
      <c r="G50" s="129"/>
      <c r="H50" s="129"/>
      <c r="I50" s="129"/>
      <c r="J50" s="1"/>
    </row>
    <row r="51" spans="1:10" ht="14.25" x14ac:dyDescent="0.2">
      <c r="B51" s="1"/>
      <c r="C51" s="1"/>
      <c r="D51" s="1"/>
      <c r="E51" s="73"/>
      <c r="F51" s="74" t="s">
        <v>57</v>
      </c>
      <c r="G51" s="61"/>
      <c r="H51" s="1"/>
      <c r="I51" s="1"/>
    </row>
    <row r="52" spans="1:10" ht="25.5" x14ac:dyDescent="0.2">
      <c r="A52" s="363" t="s">
        <v>586</v>
      </c>
      <c r="B52" s="2" t="s">
        <v>22</v>
      </c>
      <c r="C52" s="186" t="s">
        <v>148</v>
      </c>
      <c r="D52" s="255" t="s">
        <v>137</v>
      </c>
      <c r="E52" s="256" t="s">
        <v>145</v>
      </c>
      <c r="F52" s="257" t="s">
        <v>139</v>
      </c>
      <c r="G52" s="77"/>
      <c r="H52" s="44"/>
      <c r="I52" s="1"/>
    </row>
    <row r="53" spans="1:10" x14ac:dyDescent="0.2">
      <c r="A53" s="1" t="s">
        <v>587</v>
      </c>
      <c r="B53" s="400" t="s">
        <v>23</v>
      </c>
      <c r="C53" s="443">
        <f>C9/T_04!F5*100000</f>
        <v>923.3388631799528</v>
      </c>
      <c r="D53" s="444">
        <f>D9/T_04!F5*100000</f>
        <v>37.544748100934257</v>
      </c>
      <c r="E53" s="444">
        <f>E9/T_04!F5*100000</f>
        <v>749.58526150353623</v>
      </c>
      <c r="F53" s="444">
        <f>F9/T_04!F5*100000</f>
        <v>136.20885357548241</v>
      </c>
      <c r="G53" s="445"/>
      <c r="I53" s="1"/>
    </row>
    <row r="54" spans="1:10" x14ac:dyDescent="0.2">
      <c r="A54" s="1" t="s">
        <v>588</v>
      </c>
      <c r="B54" s="117" t="s">
        <v>24</v>
      </c>
      <c r="C54" s="443">
        <f>C10/T_04!F6*100000</f>
        <v>438.30048316588699</v>
      </c>
      <c r="D54" s="444">
        <f>D10/T_04!F6*100000</f>
        <v>13.804739627272031</v>
      </c>
      <c r="E54" s="444">
        <f>E10/T_04!F6*100000</f>
        <v>315.20822148937805</v>
      </c>
      <c r="F54" s="444">
        <f>F10/T_04!F6*100000</f>
        <v>109.2875220492369</v>
      </c>
      <c r="G54" s="445"/>
      <c r="I54" s="1"/>
      <c r="J54" s="1"/>
    </row>
    <row r="55" spans="1:10" x14ac:dyDescent="0.2">
      <c r="A55" s="1" t="s">
        <v>589</v>
      </c>
      <c r="B55" s="117" t="s">
        <v>25</v>
      </c>
      <c r="C55" s="443">
        <f>C11/T_04!F7*100000</f>
        <v>687.27335520635461</v>
      </c>
      <c r="D55" s="444">
        <f>D11/T_04!F7*100000</f>
        <v>18.131583491624934</v>
      </c>
      <c r="E55" s="444">
        <f>E11/T_04!F7*100000</f>
        <v>549.12795717492656</v>
      </c>
      <c r="F55" s="444">
        <f>F11/T_04!F7*100000</f>
        <v>120.01381453980314</v>
      </c>
      <c r="G55" s="445"/>
      <c r="I55" s="1"/>
      <c r="J55" s="1"/>
    </row>
    <row r="56" spans="1:10" x14ac:dyDescent="0.2">
      <c r="A56" s="1" t="s">
        <v>590</v>
      </c>
      <c r="B56" s="117" t="s">
        <v>26</v>
      </c>
      <c r="C56" s="443">
        <f>C12/T_04!F8*100000</f>
        <v>1162.3551445628</v>
      </c>
      <c r="D56" s="444">
        <f>D12/T_04!F8*100000</f>
        <v>8.1938429123258807</v>
      </c>
      <c r="E56" s="444">
        <f>E12/T_04!F8*100000</f>
        <v>1000.8193842912325</v>
      </c>
      <c r="F56" s="444">
        <f>F12/T_04!F8*100000</f>
        <v>153.34191735924148</v>
      </c>
      <c r="G56" s="445"/>
      <c r="I56" s="1"/>
      <c r="J56" s="1"/>
    </row>
    <row r="57" spans="1:10" x14ac:dyDescent="0.2">
      <c r="A57" s="1" t="s">
        <v>591</v>
      </c>
      <c r="B57" s="117" t="s">
        <v>619</v>
      </c>
      <c r="C57" s="443">
        <f>C13/T_04!F9*100000</f>
        <v>1023.6533869072438</v>
      </c>
      <c r="D57" s="444">
        <f>D13/T_04!F9*100000</f>
        <v>41.317614950153519</v>
      </c>
      <c r="E57" s="444">
        <f>E13/T_04!F9*100000</f>
        <v>802.66100602706501</v>
      </c>
      <c r="F57" s="444">
        <f>F13/T_04!F9*100000</f>
        <v>179.67476593002539</v>
      </c>
      <c r="G57" s="445"/>
      <c r="I57" s="1"/>
      <c r="J57" s="1"/>
    </row>
    <row r="58" spans="1:10" x14ac:dyDescent="0.2">
      <c r="A58" s="1" t="s">
        <v>592</v>
      </c>
      <c r="B58" s="117" t="s">
        <v>27</v>
      </c>
      <c r="C58" s="443">
        <f>C14/T_04!F10*100000</f>
        <v>811.07428348605958</v>
      </c>
      <c r="D58" s="444">
        <f>D14/T_04!F10*100000</f>
        <v>21.446675765256387</v>
      </c>
      <c r="E58" s="444">
        <f>E14/T_04!F10*100000</f>
        <v>557.61356989666604</v>
      </c>
      <c r="F58" s="444">
        <f>F14/T_04!F10*100000</f>
        <v>232.01403782413726</v>
      </c>
      <c r="G58" s="445"/>
      <c r="I58" s="1"/>
      <c r="J58" s="1"/>
    </row>
    <row r="59" spans="1:10" x14ac:dyDescent="0.2">
      <c r="A59" s="1" t="s">
        <v>593</v>
      </c>
      <c r="B59" s="117" t="s">
        <v>28</v>
      </c>
      <c r="C59" s="443">
        <f>C15/T_04!F11*100000</f>
        <v>591.40872614471641</v>
      </c>
      <c r="D59" s="444">
        <f>D15/T_04!F11*100000</f>
        <v>16.184503338053815</v>
      </c>
      <c r="E59" s="444">
        <f>E15/T_04!F11*100000</f>
        <v>441.70207026771863</v>
      </c>
      <c r="F59" s="444">
        <f>F15/T_04!F11*100000</f>
        <v>133.52215253894397</v>
      </c>
      <c r="G59" s="445"/>
      <c r="I59" s="1"/>
      <c r="J59" s="1"/>
    </row>
    <row r="60" spans="1:10" x14ac:dyDescent="0.2">
      <c r="A60" s="1" t="s">
        <v>594</v>
      </c>
      <c r="B60" s="117" t="s">
        <v>29</v>
      </c>
      <c r="C60" s="443">
        <f>C16/T_04!F12*100000</f>
        <v>1226.9856202123372</v>
      </c>
      <c r="D60" s="444">
        <f>D16/T_04!F12*100000</f>
        <v>53.084262867894104</v>
      </c>
      <c r="E60" s="444">
        <f>E16/T_04!F12*100000</f>
        <v>1018.6802849079425</v>
      </c>
      <c r="F60" s="444">
        <f>F16/T_04!F12*100000</f>
        <v>155.22107243650046</v>
      </c>
      <c r="G60" s="445"/>
      <c r="I60" s="1"/>
      <c r="J60" s="1"/>
    </row>
    <row r="61" spans="1:10" x14ac:dyDescent="0.2">
      <c r="A61" s="1" t="s">
        <v>595</v>
      </c>
      <c r="B61" s="117" t="s">
        <v>30</v>
      </c>
      <c r="C61" s="443">
        <f>C17/T_04!F13*100000</f>
        <v>954.76973684210532</v>
      </c>
      <c r="D61" s="444">
        <f>D17/T_04!F13*100000</f>
        <v>23.848684210526315</v>
      </c>
      <c r="E61" s="444">
        <f>E17/T_04!F13*100000</f>
        <v>668.58552631578948</v>
      </c>
      <c r="F61" s="444">
        <f>F17/T_04!F13*100000</f>
        <v>262.33552631578948</v>
      </c>
      <c r="G61" s="445"/>
      <c r="I61" s="1"/>
      <c r="J61" s="1"/>
    </row>
    <row r="62" spans="1:10" x14ac:dyDescent="0.2">
      <c r="A62" s="1" t="s">
        <v>596</v>
      </c>
      <c r="B62" s="117" t="s">
        <v>31</v>
      </c>
      <c r="C62" s="443">
        <f>C18/T_04!F14*100000</f>
        <v>525.0574712643679</v>
      </c>
      <c r="D62" s="444">
        <f>D18/T_04!F14*100000</f>
        <v>16.551724137931036</v>
      </c>
      <c r="E62" s="444">
        <f>E18/T_04!F14*100000</f>
        <v>357.70114942528738</v>
      </c>
      <c r="F62" s="444">
        <f>F18/T_04!F14*100000</f>
        <v>150.80459770114942</v>
      </c>
      <c r="G62" s="445"/>
      <c r="I62" s="1"/>
      <c r="J62" s="1"/>
    </row>
    <row r="63" spans="1:10" x14ac:dyDescent="0.2">
      <c r="A63" s="1" t="s">
        <v>597</v>
      </c>
      <c r="B63" s="117" t="s">
        <v>32</v>
      </c>
      <c r="C63" s="443">
        <f>C19/T_04!F15*100000</f>
        <v>765.52363299351259</v>
      </c>
      <c r="D63" s="444">
        <f>D19/T_04!F15*100000</f>
        <v>35.217794253938834</v>
      </c>
      <c r="E63" s="444">
        <f>E19/T_04!F15*100000</f>
        <v>569.97219647822055</v>
      </c>
      <c r="F63" s="444">
        <f>F19/T_04!F15*100000</f>
        <v>160.33364226135311</v>
      </c>
      <c r="G63" s="445"/>
      <c r="I63" s="1"/>
      <c r="J63" s="1"/>
    </row>
    <row r="64" spans="1:10" x14ac:dyDescent="0.2">
      <c r="A64" s="1" t="s">
        <v>598</v>
      </c>
      <c r="B64" s="117" t="s">
        <v>33</v>
      </c>
      <c r="C64" s="443">
        <f>C20/T_04!F16*100000</f>
        <v>635.01977930460123</v>
      </c>
      <c r="D64" s="444">
        <f>D20/T_04!F16*100000</f>
        <v>7.2871122215282114</v>
      </c>
      <c r="E64" s="444">
        <f>E20/T_04!F16*100000</f>
        <v>477.82635852592131</v>
      </c>
      <c r="F64" s="444">
        <f>F20/T_04!F16*100000</f>
        <v>149.90630855715179</v>
      </c>
      <c r="G64" s="445"/>
      <c r="I64" s="1"/>
      <c r="J64" s="1"/>
    </row>
    <row r="65" spans="1:10" x14ac:dyDescent="0.2">
      <c r="A65" s="1" t="s">
        <v>599</v>
      </c>
      <c r="B65" s="117" t="s">
        <v>34</v>
      </c>
      <c r="C65" s="443">
        <f>C21/T_04!F17*100000</f>
        <v>698.18136522172392</v>
      </c>
      <c r="D65" s="444">
        <f>D21/T_04!F17*100000</f>
        <v>21.175884404583954</v>
      </c>
      <c r="E65" s="444">
        <f>E21/T_04!F17*100000</f>
        <v>439.08819133034382</v>
      </c>
      <c r="F65" s="444">
        <f>F21/T_04!F17*100000</f>
        <v>237.91728948679619</v>
      </c>
      <c r="G65" s="445"/>
      <c r="I65" s="1"/>
      <c r="J65" s="1"/>
    </row>
    <row r="66" spans="1:10" x14ac:dyDescent="0.2">
      <c r="A66" s="1" t="s">
        <v>600</v>
      </c>
      <c r="B66" s="117" t="s">
        <v>35</v>
      </c>
      <c r="C66" s="443">
        <f>C22/T_04!F18*100000</f>
        <v>743.85908641381332</v>
      </c>
      <c r="D66" s="444">
        <f>D22/T_04!F18*100000</f>
        <v>24.857669793921897</v>
      </c>
      <c r="E66" s="444">
        <f>E22/T_04!F18*100000</f>
        <v>569.85539785636013</v>
      </c>
      <c r="F66" s="444">
        <f>F22/T_04!F18*100000</f>
        <v>149.1460187635314</v>
      </c>
      <c r="G66" s="445"/>
      <c r="I66" s="1"/>
      <c r="J66" s="1"/>
    </row>
    <row r="67" spans="1:10" x14ac:dyDescent="0.2">
      <c r="A67" s="1" t="s">
        <v>601</v>
      </c>
      <c r="B67" s="117" t="s">
        <v>36</v>
      </c>
      <c r="C67" s="443">
        <f>C23/T_04!F19*100000</f>
        <v>1147.504876974388</v>
      </c>
      <c r="D67" s="444">
        <f>D23/T_04!F19*100000</f>
        <v>29.891133345919073</v>
      </c>
      <c r="E67" s="444">
        <f>E23/T_04!F19*100000</f>
        <v>924.73727267006473</v>
      </c>
      <c r="F67" s="444">
        <f>F23/T_04!F19*100000</f>
        <v>192.87647095840413</v>
      </c>
      <c r="G67" s="445"/>
      <c r="I67" s="1"/>
      <c r="J67" s="1"/>
    </row>
    <row r="68" spans="1:10" x14ac:dyDescent="0.2">
      <c r="A68" s="1" t="s">
        <v>602</v>
      </c>
      <c r="B68" s="117" t="s">
        <v>37</v>
      </c>
      <c r="C68" s="443">
        <f>C24/T_04!F20*100000</f>
        <v>869.04812470798117</v>
      </c>
      <c r="D68" s="444">
        <f>D24/T_04!F20*100000</f>
        <v>31.007093403559445</v>
      </c>
      <c r="E68" s="444">
        <f>E24/T_04!F20*100000</f>
        <v>650.29945206643163</v>
      </c>
      <c r="F68" s="444">
        <f>F24/T_04!F20*100000</f>
        <v>187.74157923799007</v>
      </c>
      <c r="G68" s="445"/>
      <c r="I68" s="1"/>
      <c r="J68" s="1"/>
    </row>
    <row r="69" spans="1:10" x14ac:dyDescent="0.2">
      <c r="A69" s="1" t="s">
        <v>603</v>
      </c>
      <c r="B69" s="117" t="s">
        <v>38</v>
      </c>
      <c r="C69" s="443">
        <f>C25/T_04!F21*100000</f>
        <v>908.38307812094467</v>
      </c>
      <c r="D69" s="444">
        <f>D25/T_04!F21*100000</f>
        <v>25.953802232026991</v>
      </c>
      <c r="E69" s="444">
        <f>E25/T_04!F21*100000</f>
        <v>635.86815468466125</v>
      </c>
      <c r="F69" s="444">
        <f>F25/T_04!F21*100000</f>
        <v>246.56112120425644</v>
      </c>
      <c r="G69" s="445"/>
      <c r="I69" s="1"/>
      <c r="J69" s="1"/>
    </row>
    <row r="70" spans="1:10" x14ac:dyDescent="0.2">
      <c r="A70" s="1" t="s">
        <v>604</v>
      </c>
      <c r="B70" s="117" t="s">
        <v>39</v>
      </c>
      <c r="C70" s="443">
        <f>C26/T_04!F22*100000</f>
        <v>678.47557702630161</v>
      </c>
      <c r="D70" s="444">
        <f>D26/T_04!F22*100000</f>
        <v>25.764895330112719</v>
      </c>
      <c r="E70" s="444">
        <f>E26/T_04!F22*100000</f>
        <v>487.38593666129896</v>
      </c>
      <c r="F70" s="444">
        <f>F26/T_04!F22*100000</f>
        <v>165.32474503488996</v>
      </c>
      <c r="G70" s="445"/>
      <c r="I70" s="1"/>
      <c r="J70" s="1"/>
    </row>
    <row r="71" spans="1:10" x14ac:dyDescent="0.2">
      <c r="A71" s="1" t="s">
        <v>605</v>
      </c>
      <c r="B71" s="117" t="s">
        <v>40</v>
      </c>
      <c r="C71" s="443">
        <f>C27/T_04!F23*100000</f>
        <v>617.49033538815172</v>
      </c>
      <c r="D71" s="444">
        <f>D27/T_04!F23*100000</f>
        <v>13.582697732734301</v>
      </c>
      <c r="E71" s="444">
        <f>E27/T_04!F23*100000</f>
        <v>493.15640998850694</v>
      </c>
      <c r="F71" s="444">
        <f>F27/T_04!F23*100000</f>
        <v>110.75122766691047</v>
      </c>
      <c r="G71" s="445"/>
      <c r="I71" s="1"/>
      <c r="J71" s="1"/>
    </row>
    <row r="72" spans="1:10" x14ac:dyDescent="0.2">
      <c r="A72" s="1" t="s">
        <v>606</v>
      </c>
      <c r="B72" s="117" t="s">
        <v>295</v>
      </c>
      <c r="C72" s="443">
        <f>C28/T_04!F24*100000</f>
        <v>833.96226415094338</v>
      </c>
      <c r="D72" s="444">
        <f>D28/T_04!F24*100000</f>
        <v>3.7735849056603774</v>
      </c>
      <c r="E72" s="444">
        <f>E28/T_04!F24*100000</f>
        <v>558.49056603773579</v>
      </c>
      <c r="F72" s="444">
        <f>F28/T_04!F24*100000</f>
        <v>271.69811320754718</v>
      </c>
      <c r="G72" s="445"/>
      <c r="I72" s="1"/>
      <c r="J72" s="1"/>
    </row>
    <row r="73" spans="1:10" x14ac:dyDescent="0.2">
      <c r="A73" s="1" t="s">
        <v>607</v>
      </c>
      <c r="B73" s="117" t="s">
        <v>41</v>
      </c>
      <c r="C73" s="443">
        <f>C29/T_04!F25*100000</f>
        <v>1129.2364990689014</v>
      </c>
      <c r="D73" s="444">
        <f>D29/T_04!F25*100000</f>
        <v>22.346368715083798</v>
      </c>
      <c r="E73" s="444">
        <f>E29/T_04!F25*100000</f>
        <v>846.92737430167608</v>
      </c>
      <c r="F73" s="444">
        <f>F29/T_04!F25*100000</f>
        <v>259.96275605214151</v>
      </c>
      <c r="G73" s="445"/>
      <c r="I73" s="1"/>
      <c r="J73" s="1"/>
    </row>
    <row r="74" spans="1:10" x14ac:dyDescent="0.2">
      <c r="A74" s="1" t="s">
        <v>608</v>
      </c>
      <c r="B74" s="117" t="s">
        <v>42</v>
      </c>
      <c r="C74" s="443">
        <f>C30/T_04!F26*100000</f>
        <v>741.92413671806298</v>
      </c>
      <c r="D74" s="444">
        <f>D30/T_04!F26*100000</f>
        <v>21.691973969631235</v>
      </c>
      <c r="E74" s="444">
        <f>E30/T_04!F26*100000</f>
        <v>542.00621445740751</v>
      </c>
      <c r="F74" s="444">
        <f>F30/T_04!F26*100000</f>
        <v>178.22594829102422</v>
      </c>
      <c r="G74" s="445"/>
      <c r="I74" s="1"/>
      <c r="J74" s="1"/>
    </row>
    <row r="75" spans="1:10" x14ac:dyDescent="0.2">
      <c r="A75" s="1" t="s">
        <v>609</v>
      </c>
      <c r="B75" s="117" t="s">
        <v>43</v>
      </c>
      <c r="C75" s="443">
        <f>C31/T_04!F27*100000</f>
        <v>281.25</v>
      </c>
      <c r="D75" s="444">
        <f>D31/T_04!F27*100000</f>
        <v>0</v>
      </c>
      <c r="E75" s="444">
        <f>E31/T_04!F27*100000</f>
        <v>196.42857142857144</v>
      </c>
      <c r="F75" s="444">
        <f>F31/T_04!F27*100000</f>
        <v>84.821428571428569</v>
      </c>
      <c r="G75" s="445"/>
      <c r="I75" s="1"/>
      <c r="J75" s="1"/>
    </row>
    <row r="76" spans="1:10" x14ac:dyDescent="0.2">
      <c r="A76" s="1" t="s">
        <v>610</v>
      </c>
      <c r="B76" s="117" t="s">
        <v>44</v>
      </c>
      <c r="C76" s="443">
        <f>C32/T_04!F28*100000</f>
        <v>762.29346323481002</v>
      </c>
      <c r="D76" s="444">
        <f>D32/T_04!F28*100000</f>
        <v>24.356526890922257</v>
      </c>
      <c r="E76" s="444">
        <f>E32/T_04!F28*100000</f>
        <v>587.18978342439607</v>
      </c>
      <c r="F76" s="444">
        <f>F32/T_04!F28*100000</f>
        <v>150.74715291949178</v>
      </c>
      <c r="G76" s="445"/>
      <c r="I76" s="1"/>
      <c r="J76" s="1"/>
    </row>
    <row r="77" spans="1:10" x14ac:dyDescent="0.2">
      <c r="A77" s="1" t="s">
        <v>611</v>
      </c>
      <c r="B77" s="117" t="s">
        <v>45</v>
      </c>
      <c r="C77" s="443">
        <f>C33/T_04!F29*100000</f>
        <v>854.00523997993196</v>
      </c>
      <c r="D77" s="444">
        <f>D33/T_04!F29*100000</f>
        <v>39.021127153130053</v>
      </c>
      <c r="E77" s="444">
        <f>E33/T_04!F29*100000</f>
        <v>637.1592619432522</v>
      </c>
      <c r="F77" s="444">
        <f>F33/T_04!F29*100000</f>
        <v>177.8248508835498</v>
      </c>
      <c r="G77" s="445"/>
      <c r="I77" s="1"/>
      <c r="J77" s="1"/>
    </row>
    <row r="78" spans="1:10" x14ac:dyDescent="0.2">
      <c r="A78" s="1" t="s">
        <v>612</v>
      </c>
      <c r="B78" s="117" t="s">
        <v>46</v>
      </c>
      <c r="C78" s="443">
        <f>C34/T_04!F30*100000</f>
        <v>724.57480041652195</v>
      </c>
      <c r="D78" s="444">
        <f>D34/T_04!F30*100000</f>
        <v>28.635890315862547</v>
      </c>
      <c r="E78" s="444">
        <f>E34/T_04!F30*100000</f>
        <v>520.65255119750088</v>
      </c>
      <c r="F78" s="444">
        <f>F34/T_04!F30*100000</f>
        <v>175.28635890315863</v>
      </c>
      <c r="G78" s="445"/>
      <c r="I78" s="1"/>
      <c r="J78" s="1"/>
    </row>
    <row r="79" spans="1:10" x14ac:dyDescent="0.2">
      <c r="A79" s="1" t="s">
        <v>613</v>
      </c>
      <c r="B79" s="117" t="s">
        <v>47</v>
      </c>
      <c r="C79" s="443">
        <f>C35/T_04!F31*100000</f>
        <v>577.17533887188449</v>
      </c>
      <c r="D79" s="444">
        <f>D35/T_04!F31*100000</f>
        <v>8.745080891998251</v>
      </c>
      <c r="E79" s="444">
        <f>E35/T_04!F31*100000</f>
        <v>437.2540445999125</v>
      </c>
      <c r="F79" s="444">
        <f>F35/T_04!F31*100000</f>
        <v>131.17621337997377</v>
      </c>
      <c r="G79" s="445"/>
      <c r="I79" s="1"/>
      <c r="J79" s="1"/>
    </row>
    <row r="80" spans="1:10" x14ac:dyDescent="0.2">
      <c r="A80" s="1" t="s">
        <v>614</v>
      </c>
      <c r="B80" s="117" t="s">
        <v>48</v>
      </c>
      <c r="C80" s="443">
        <f>C36/T_04!F32*100000</f>
        <v>986.267166042447</v>
      </c>
      <c r="D80" s="444">
        <f>D36/T_04!F32*100000</f>
        <v>30.31924380238987</v>
      </c>
      <c r="E80" s="444">
        <f>E36/T_04!F32*100000</f>
        <v>815.05261280542186</v>
      </c>
      <c r="F80" s="444">
        <f>F36/T_04!F32*100000</f>
        <v>140.89530943463527</v>
      </c>
      <c r="G80" s="445"/>
      <c r="I80" s="1"/>
      <c r="J80" s="1"/>
    </row>
    <row r="81" spans="1:10" x14ac:dyDescent="0.2">
      <c r="A81" s="1" t="s">
        <v>615</v>
      </c>
      <c r="B81" s="117" t="s">
        <v>49</v>
      </c>
      <c r="C81" s="443">
        <f>C37/T_04!F33*100000</f>
        <v>824.44984726637995</v>
      </c>
      <c r="D81" s="444">
        <f>D37/T_04!F33*100000</f>
        <v>24.936101240571038</v>
      </c>
      <c r="E81" s="444">
        <f>E37/T_04!F33*100000</f>
        <v>634.00037404151863</v>
      </c>
      <c r="F81" s="444">
        <f>F37/T_04!F33*100000</f>
        <v>165.51337198429025</v>
      </c>
      <c r="G81" s="445"/>
      <c r="I81" s="1"/>
      <c r="J81" s="1"/>
    </row>
    <row r="82" spans="1:10" x14ac:dyDescent="0.2">
      <c r="A82" s="1" t="s">
        <v>616</v>
      </c>
      <c r="B82" s="117" t="s">
        <v>50</v>
      </c>
      <c r="C82" s="443">
        <f>C38/T_04!F34*100000</f>
        <v>899.23469387755108</v>
      </c>
      <c r="D82" s="444">
        <f>D38/T_04!F34*100000</f>
        <v>11.692176870748298</v>
      </c>
      <c r="E82" s="444">
        <f>E38/T_04!F34*100000</f>
        <v>689.83843537414964</v>
      </c>
      <c r="F82" s="444">
        <f>F38/T_04!F34*100000</f>
        <v>197.70408163265304</v>
      </c>
      <c r="G82" s="445"/>
      <c r="I82" s="1"/>
      <c r="J82" s="1"/>
    </row>
    <row r="83" spans="1:10" x14ac:dyDescent="0.2">
      <c r="A83" s="1" t="s">
        <v>617</v>
      </c>
      <c r="B83" s="117" t="s">
        <v>51</v>
      </c>
      <c r="C83" s="443">
        <f>C39/T_04!F35*100000</f>
        <v>689.38193343898581</v>
      </c>
      <c r="D83" s="444">
        <f>D39/T_04!F35*100000</f>
        <v>50.939551731944761</v>
      </c>
      <c r="E83" s="444">
        <f>E39/T_04!F35*100000</f>
        <v>446.00407516413856</v>
      </c>
      <c r="F83" s="444">
        <f>F39/T_04!F35*100000</f>
        <v>192.43830654290241</v>
      </c>
      <c r="G83" s="445"/>
      <c r="I83" s="1"/>
      <c r="J83" s="1"/>
    </row>
    <row r="84" spans="1:10" x14ac:dyDescent="0.2">
      <c r="A84" s="1" t="s">
        <v>618</v>
      </c>
      <c r="B84" s="117" t="s">
        <v>52</v>
      </c>
      <c r="C84" s="443">
        <f>C40/T_04!F36*100000</f>
        <v>937.32999673593736</v>
      </c>
      <c r="D84" s="444">
        <f>D40/T_04!F36*100000</f>
        <v>30.464584920030461</v>
      </c>
      <c r="E84" s="444">
        <f>E40/T_04!F36*100000</f>
        <v>676.74899358067682</v>
      </c>
      <c r="F84" s="444">
        <f>F40/T_04!F36*100000</f>
        <v>230.11641823523013</v>
      </c>
      <c r="G84" s="445"/>
      <c r="I84" s="1"/>
      <c r="J84" s="1"/>
    </row>
    <row r="85" spans="1:10" x14ac:dyDescent="0.2">
      <c r="A85" s="1"/>
      <c r="B85" s="117"/>
      <c r="C85" s="443"/>
      <c r="D85" s="444"/>
      <c r="E85" s="444"/>
      <c r="F85" s="444"/>
      <c r="G85" s="445"/>
      <c r="I85" s="1"/>
      <c r="J85" s="1"/>
    </row>
    <row r="86" spans="1:10" ht="15.75" thickBot="1" x14ac:dyDescent="0.25">
      <c r="A86" s="359" t="s">
        <v>620</v>
      </c>
      <c r="B86" s="360" t="s">
        <v>143</v>
      </c>
      <c r="C86" s="449">
        <f>C42/(SUM(T_04!F5:'T_04'!F36))*100000</f>
        <v>856.56787413099164</v>
      </c>
      <c r="D86" s="448">
        <f>D42/SUM(SUM(T_04!F5:'T_04'!F36))*100000</f>
        <v>27.332601536772778</v>
      </c>
      <c r="E86" s="448">
        <f>E42/SUM(SUM(T_04!F5:'T_04'!F36))*100000</f>
        <v>655.12257592389312</v>
      </c>
      <c r="F86" s="448">
        <f>F42/SUM(SUM(T_04!F5:'T_04'!F36))*100000</f>
        <v>174.11269667032565</v>
      </c>
      <c r="G86" s="101"/>
      <c r="H86" s="1"/>
      <c r="I86" s="1"/>
      <c r="J86" s="1"/>
    </row>
    <row r="87" spans="1:10" ht="15" x14ac:dyDescent="0.2">
      <c r="B87" s="98"/>
      <c r="C87" s="176"/>
      <c r="D87" s="101"/>
      <c r="E87" s="101"/>
      <c r="F87" s="101"/>
      <c r="G87" s="101"/>
      <c r="H87" s="1"/>
      <c r="I87" s="1"/>
      <c r="J87" s="1"/>
    </row>
    <row r="88" spans="1:10" x14ac:dyDescent="0.2">
      <c r="A88" s="5" t="s">
        <v>1231</v>
      </c>
      <c r="B88" s="2"/>
      <c r="C88" s="30"/>
      <c r="D88" s="101"/>
      <c r="E88" s="101"/>
      <c r="F88" s="101"/>
      <c r="G88" s="101"/>
      <c r="H88" s="1"/>
      <c r="I88" s="1"/>
      <c r="J88" s="1"/>
    </row>
    <row r="89" spans="1:10" ht="15" x14ac:dyDescent="0.25">
      <c r="A89" s="1000" t="s">
        <v>660</v>
      </c>
      <c r="B89" s="1"/>
      <c r="C89" s="1"/>
      <c r="D89" s="1"/>
      <c r="E89" s="1"/>
      <c r="F89" s="1"/>
      <c r="G89" s="1"/>
      <c r="H89" s="1"/>
      <c r="I89" s="1"/>
      <c r="J89" s="1"/>
    </row>
    <row r="90" spans="1:10" ht="15" x14ac:dyDescent="0.25">
      <c r="A90" s="297" t="s">
        <v>1093</v>
      </c>
    </row>
    <row r="91" spans="1:10" ht="15" x14ac:dyDescent="0.25">
      <c r="A91" s="1000" t="s">
        <v>1230</v>
      </c>
    </row>
  </sheetData>
  <sheetProtection algorithmName="SHA-512" hashValue="IyVuzloyWfhJk/gAn33F8xOuorQdcfBPtutsIQdf8LAajNsxN9/fUoCJIyi4n8t+fOzXa+XmUPbBmriPVCqpfg==" saltValue="p9IPGTp6yVZGXbz/mQsxWQ==" spinCount="100000" sheet="1" scenarios="1" formatCells="0" formatColumns="0" formatRows="0" sort="0" autoFilter="0" pivotTables="0"/>
  <hyperlinks>
    <hyperlink ref="A2" location="'Table of Contents'!A1" display="Back to Table of Contents" xr:uid="{00000000-0004-0000-5800-000000000000}"/>
    <hyperlink ref="A90" r:id="rId1" xr:uid="{00000000-0004-0000-5800-000001000000}"/>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
  <sheetViews>
    <sheetView showGridLines="0" workbookViewId="0">
      <selection sqref="A1:C1"/>
    </sheetView>
  </sheetViews>
  <sheetFormatPr defaultRowHeight="12.75" x14ac:dyDescent="0.2"/>
  <sheetData>
    <row r="1" spans="1:8" ht="17.25" customHeight="1" x14ac:dyDescent="0.2">
      <c r="A1" s="1271" t="s">
        <v>1247</v>
      </c>
      <c r="B1" s="1271"/>
      <c r="C1" s="1271"/>
    </row>
    <row r="2" spans="1:8" ht="17.25" customHeight="1" x14ac:dyDescent="0.2">
      <c r="A2" s="106" t="s">
        <v>578</v>
      </c>
      <c r="B2" s="1031"/>
      <c r="C2" s="1031"/>
    </row>
    <row r="3" spans="1:8" ht="27.75" customHeight="1" x14ac:dyDescent="0.2">
      <c r="A3" s="1272" t="s">
        <v>1266</v>
      </c>
      <c r="B3" s="1272"/>
      <c r="C3" s="1272"/>
      <c r="D3" s="1272"/>
      <c r="E3" s="1272"/>
      <c r="F3" s="1272"/>
      <c r="G3" s="1272"/>
      <c r="H3" s="1272"/>
    </row>
    <row r="4" spans="1:8" ht="15" x14ac:dyDescent="0.25">
      <c r="A4" s="1032" t="s">
        <v>1246</v>
      </c>
    </row>
    <row r="5" spans="1:8" ht="15" x14ac:dyDescent="0.25">
      <c r="A5" s="1043" t="s">
        <v>1299</v>
      </c>
    </row>
  </sheetData>
  <sheetProtection algorithmName="SHA-512" hashValue="e90Jfgat/yyPjwN9ZK/zBB2cqTDxTRkWinFdORFl6ifjEXtKDi7/NLEjR6+Zqp8fF71OfUqjmYhbdXE+2TYDnA==" saltValue="tn5yO1uYLGiSrMAVrj277g=="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800-000000000000}"/>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4" tint="0.59999389629810485"/>
  </sheetPr>
  <dimension ref="A1:B30"/>
  <sheetViews>
    <sheetView workbookViewId="0"/>
  </sheetViews>
  <sheetFormatPr defaultColWidth="8.7109375" defaultRowHeight="12.75" x14ac:dyDescent="0.2"/>
  <cols>
    <col min="1" max="1" width="32.42578125" style="1" customWidth="1"/>
    <col min="2" max="2" width="22.7109375" style="1" customWidth="1"/>
    <col min="3" max="16384" width="8.7109375" style="1"/>
  </cols>
  <sheetData>
    <row r="1" spans="1:2" ht="15.75" x14ac:dyDescent="0.2">
      <c r="A1" s="1197" t="s">
        <v>1578</v>
      </c>
    </row>
    <row r="2" spans="1:2" x14ac:dyDescent="0.2">
      <c r="A2" s="18" t="s">
        <v>578</v>
      </c>
    </row>
    <row r="4" spans="1:2" ht="29.45" customHeight="1" x14ac:dyDescent="0.2">
      <c r="A4" s="120" t="s">
        <v>1599</v>
      </c>
    </row>
    <row r="5" spans="1:2" ht="13.5" customHeight="1" x14ac:dyDescent="0.25">
      <c r="A5" s="352" t="s">
        <v>579</v>
      </c>
      <c r="B5" s="1198" t="s">
        <v>1587</v>
      </c>
    </row>
    <row r="6" spans="1:2" ht="13.5" customHeight="1" x14ac:dyDescent="0.25">
      <c r="A6" s="352" t="s">
        <v>580</v>
      </c>
      <c r="B6" s="352" t="s">
        <v>581</v>
      </c>
    </row>
    <row r="7" spans="1:2" ht="13.5" customHeight="1" x14ac:dyDescent="0.25">
      <c r="A7" s="352" t="s">
        <v>582</v>
      </c>
      <c r="B7" s="352" t="s">
        <v>585</v>
      </c>
    </row>
    <row r="8" spans="1:2" ht="15" x14ac:dyDescent="0.25">
      <c r="A8" s="1199" t="s">
        <v>1579</v>
      </c>
      <c r="B8" s="352"/>
    </row>
    <row r="9" spans="1:2" ht="15" x14ac:dyDescent="0.25">
      <c r="A9" s="1199"/>
      <c r="B9" s="352"/>
    </row>
    <row r="10" spans="1:2" ht="31.5" customHeight="1" x14ac:dyDescent="0.25">
      <c r="A10" s="1200" t="s">
        <v>4</v>
      </c>
      <c r="B10" s="1201" t="s">
        <v>1580</v>
      </c>
    </row>
    <row r="11" spans="1:2" ht="17.45" customHeight="1" x14ac:dyDescent="0.2">
      <c r="A11" s="5" t="s">
        <v>19</v>
      </c>
      <c r="B11" s="1202">
        <v>30448</v>
      </c>
    </row>
    <row r="12" spans="1:2" x14ac:dyDescent="0.2">
      <c r="A12" s="5" t="s">
        <v>20</v>
      </c>
      <c r="B12" s="1203">
        <v>28620</v>
      </c>
    </row>
    <row r="13" spans="1:2" x14ac:dyDescent="0.2">
      <c r="A13" s="5" t="s">
        <v>13</v>
      </c>
      <c r="B13" s="1203">
        <v>27364</v>
      </c>
    </row>
    <row r="14" spans="1:2" x14ac:dyDescent="0.2">
      <c r="A14" s="5" t="s">
        <v>15</v>
      </c>
      <c r="B14" s="1203">
        <v>26542</v>
      </c>
    </row>
    <row r="15" spans="1:2" x14ac:dyDescent="0.2">
      <c r="A15" s="5" t="s">
        <v>17</v>
      </c>
      <c r="B15" s="1203">
        <v>26394</v>
      </c>
    </row>
    <row r="16" spans="1:2" x14ac:dyDescent="0.2">
      <c r="A16" s="5" t="s">
        <v>133</v>
      </c>
      <c r="B16" s="1203">
        <v>27116</v>
      </c>
    </row>
    <row r="17" spans="1:2" x14ac:dyDescent="0.2">
      <c r="A17" s="5" t="s">
        <v>144</v>
      </c>
      <c r="B17" s="1203">
        <v>27417</v>
      </c>
    </row>
    <row r="18" spans="1:2" x14ac:dyDescent="0.2">
      <c r="A18" s="5" t="s">
        <v>282</v>
      </c>
      <c r="B18" s="1203">
        <v>28428</v>
      </c>
    </row>
    <row r="19" spans="1:2" x14ac:dyDescent="0.2">
      <c r="A19" s="5" t="s">
        <v>311</v>
      </c>
      <c r="B19" s="1203">
        <v>28515</v>
      </c>
    </row>
    <row r="20" spans="1:2" x14ac:dyDescent="0.2">
      <c r="A20" s="5" t="s">
        <v>621</v>
      </c>
      <c r="B20" s="1203">
        <v>28755</v>
      </c>
    </row>
    <row r="21" spans="1:2" x14ac:dyDescent="0.2">
      <c r="A21" s="5" t="s">
        <v>1419</v>
      </c>
      <c r="B21" s="1203">
        <v>29285</v>
      </c>
    </row>
    <row r="22" spans="1:2" ht="13.5" thickBot="1" x14ac:dyDescent="0.25">
      <c r="A22" s="833" t="s">
        <v>1572</v>
      </c>
      <c r="B22" s="1204">
        <v>23733</v>
      </c>
    </row>
    <row r="24" spans="1:2" x14ac:dyDescent="0.2">
      <c r="A24" s="5" t="str">
        <f>"One Year Change " &amp; A21 &amp; " to " &amp; A22</f>
        <v>One Year Change 2019-20 to 2020-21</v>
      </c>
    </row>
    <row r="25" spans="1:2" x14ac:dyDescent="0.2">
      <c r="A25" s="1205" t="s">
        <v>0</v>
      </c>
      <c r="B25" s="1206">
        <f>B22-B21</f>
        <v>-5552</v>
      </c>
    </row>
    <row r="26" spans="1:2" ht="13.5" thickBot="1" x14ac:dyDescent="0.25">
      <c r="A26" s="1207" t="s">
        <v>62</v>
      </c>
      <c r="B26" s="1208">
        <f>B25/B21</f>
        <v>-0.18958511183199589</v>
      </c>
    </row>
    <row r="28" spans="1:2" x14ac:dyDescent="0.2">
      <c r="A28" s="5" t="str">
        <f>"Five Year Change " &amp; A17 &amp; " to " &amp; A22</f>
        <v>Five Year Change 2015-16 to 2020-21</v>
      </c>
    </row>
    <row r="29" spans="1:2" x14ac:dyDescent="0.2">
      <c r="A29" s="1205" t="s">
        <v>0</v>
      </c>
      <c r="B29" s="1206">
        <f>B22-B17</f>
        <v>-3684</v>
      </c>
    </row>
    <row r="30" spans="1:2" ht="13.5" thickBot="1" x14ac:dyDescent="0.25">
      <c r="A30" s="1207" t="s">
        <v>62</v>
      </c>
      <c r="B30" s="1208">
        <f>B29/B17</f>
        <v>-0.13436918700076594</v>
      </c>
    </row>
  </sheetData>
  <sheetProtection algorithmName="SHA-512" hashValue="aomoBmjtopi1gbJyZ0g7a7ioI+uU2bgEk9+e7DwLOI4nTJbPev/CZ7G2EukwzZIDyNTqshH8a/Yg9tNtlYI9mg==" saltValue="p4iEU8ZI3uYYC8VEcXxXTg==" spinCount="100000" sheet="1" scenarios="1" formatCells="0" formatColumns="0" formatRows="0" sort="0" autoFilter="0" pivotTables="0"/>
  <hyperlinks>
    <hyperlink ref="A2" location="'Table of Contents'!A1" display="Back to Table of Contents" xr:uid="{00000000-0004-0000-5900-000000000000}"/>
  </hyperlink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4" tint="0.59999389629810485"/>
  </sheetPr>
  <dimension ref="A1:I44"/>
  <sheetViews>
    <sheetView workbookViewId="0"/>
  </sheetViews>
  <sheetFormatPr defaultColWidth="8.7109375" defaultRowHeight="12.75" x14ac:dyDescent="0.2"/>
  <cols>
    <col min="1" max="1" width="19.140625" style="1" customWidth="1"/>
    <col min="2" max="2" width="30.42578125" style="1" customWidth="1"/>
    <col min="3" max="3" width="19.85546875" style="1" customWidth="1"/>
    <col min="4" max="4" width="27.28515625" style="1" customWidth="1"/>
    <col min="5" max="5" width="8.7109375" style="1"/>
    <col min="6" max="6" width="14.42578125" style="1" customWidth="1"/>
    <col min="7" max="16384" width="8.7109375" style="1"/>
  </cols>
  <sheetData>
    <row r="1" spans="1:9" ht="15.75" x14ac:dyDescent="0.2">
      <c r="A1" s="1197" t="s">
        <v>1578</v>
      </c>
    </row>
    <row r="2" spans="1:9" x14ac:dyDescent="0.2">
      <c r="A2" s="18" t="s">
        <v>578</v>
      </c>
    </row>
    <row r="4" spans="1:9" ht="15.75" x14ac:dyDescent="0.2">
      <c r="A4" s="120" t="s">
        <v>1578</v>
      </c>
      <c r="C4" s="120"/>
      <c r="D4" s="120"/>
      <c r="E4" s="120"/>
      <c r="F4" s="120"/>
      <c r="G4" s="120"/>
      <c r="H4" s="120"/>
      <c r="I4" s="120"/>
    </row>
    <row r="5" spans="1:9" ht="15.75" x14ac:dyDescent="0.25">
      <c r="A5" s="352" t="s">
        <v>579</v>
      </c>
      <c r="B5" s="1198" t="s">
        <v>1588</v>
      </c>
      <c r="D5" s="120"/>
      <c r="E5" s="120"/>
      <c r="F5" s="120"/>
      <c r="G5" s="120"/>
      <c r="H5" s="120"/>
      <c r="I5" s="120"/>
    </row>
    <row r="6" spans="1:9" ht="15.75" x14ac:dyDescent="0.25">
      <c r="A6" s="352" t="s">
        <v>580</v>
      </c>
      <c r="B6" s="352" t="s">
        <v>581</v>
      </c>
      <c r="C6" s="120"/>
      <c r="D6" s="120"/>
      <c r="E6" s="120"/>
      <c r="F6" s="120"/>
      <c r="G6" s="120"/>
      <c r="H6" s="120"/>
      <c r="I6" s="120"/>
    </row>
    <row r="7" spans="1:9" ht="15.75" x14ac:dyDescent="0.25">
      <c r="A7" s="352" t="s">
        <v>582</v>
      </c>
      <c r="B7" s="352" t="s">
        <v>585</v>
      </c>
      <c r="C7" s="120"/>
      <c r="D7" s="120"/>
      <c r="E7" s="120"/>
      <c r="F7" s="120"/>
      <c r="G7" s="120"/>
      <c r="H7" s="120"/>
      <c r="I7" s="120"/>
    </row>
    <row r="8" spans="1:9" ht="15.75" x14ac:dyDescent="0.25">
      <c r="A8" s="1199" t="s">
        <v>1579</v>
      </c>
      <c r="B8" s="352"/>
      <c r="C8" s="120"/>
      <c r="D8" s="120"/>
      <c r="E8" s="120"/>
      <c r="F8" s="120"/>
      <c r="G8" s="120"/>
      <c r="H8" s="120"/>
      <c r="I8" s="120"/>
    </row>
    <row r="9" spans="1:9" ht="14.25" x14ac:dyDescent="0.2">
      <c r="D9" s="1184" t="s">
        <v>413</v>
      </c>
      <c r="E9" s="156"/>
      <c r="F9" s="156"/>
    </row>
    <row r="10" spans="1:9" ht="25.5" x14ac:dyDescent="0.2">
      <c r="A10" s="2" t="s">
        <v>586</v>
      </c>
      <c r="B10" s="2" t="s">
        <v>22</v>
      </c>
      <c r="C10" s="215" t="s">
        <v>1580</v>
      </c>
      <c r="D10" s="1185" t="s">
        <v>1581</v>
      </c>
      <c r="E10" s="77"/>
      <c r="F10" s="77"/>
    </row>
    <row r="11" spans="1:9" x14ac:dyDescent="0.2">
      <c r="A11" s="414" t="s">
        <v>587</v>
      </c>
      <c r="B11" s="1209" t="s">
        <v>23</v>
      </c>
      <c r="C11" s="1210">
        <f>GETPIVOTDATA("Total",Tufas!$F$8,"Council","Aberdeen City")</f>
        <v>1220</v>
      </c>
      <c r="D11" s="1211">
        <f>C11/Tufas!$N7*100000</f>
        <v>532.61154282720679</v>
      </c>
    </row>
    <row r="12" spans="1:9" x14ac:dyDescent="0.2">
      <c r="A12" s="1" t="s">
        <v>588</v>
      </c>
      <c r="B12" s="5" t="s">
        <v>24</v>
      </c>
      <c r="C12" s="1212">
        <f>GETPIVOTDATA("Total",Tufas!$F$8,"Council","Aberdeenshire")</f>
        <v>553</v>
      </c>
      <c r="D12" s="1211">
        <f>C12/Tufas!$N8*100000</f>
        <v>212.05613927448422</v>
      </c>
    </row>
    <row r="13" spans="1:9" x14ac:dyDescent="0.2">
      <c r="A13" s="1" t="s">
        <v>589</v>
      </c>
      <c r="B13" s="5" t="s">
        <v>25</v>
      </c>
      <c r="C13" s="1212">
        <f>GETPIVOTDATA("Total",Tufas!$F$8,"Council","Angus")</f>
        <v>270</v>
      </c>
      <c r="D13" s="1211">
        <f>C13/Tufas!$N9*100000</f>
        <v>233.12035917803487</v>
      </c>
    </row>
    <row r="14" spans="1:9" x14ac:dyDescent="0.2">
      <c r="A14" s="1" t="s">
        <v>590</v>
      </c>
      <c r="B14" s="5" t="s">
        <v>26</v>
      </c>
      <c r="C14" s="1212">
        <f>GETPIVOTDATA("Total",Tufas!$F$8,"Council","Argyll and Bute")</f>
        <v>531</v>
      </c>
      <c r="D14" s="1211">
        <f>C14/Tufas!$N10*100000</f>
        <v>621.56151234929177</v>
      </c>
    </row>
    <row r="15" spans="1:9" x14ac:dyDescent="0.2">
      <c r="A15" s="1" t="s">
        <v>591</v>
      </c>
      <c r="B15" s="5" t="s">
        <v>619</v>
      </c>
      <c r="C15" s="1212">
        <f>GETPIVOTDATA("Total",Tufas!$F$8,"Council","City of Edinburgh")</f>
        <v>2998</v>
      </c>
      <c r="D15" s="1211">
        <f>C15/Tufas!$N11*100000</f>
        <v>568.2119707365149</v>
      </c>
    </row>
    <row r="16" spans="1:9" x14ac:dyDescent="0.2">
      <c r="A16" s="1" t="s">
        <v>592</v>
      </c>
      <c r="B16" s="5" t="s">
        <v>27</v>
      </c>
      <c r="C16" s="1212">
        <f>GETPIVOTDATA("Total",Tufas!$F$8,"Council","Clackmannanshire")</f>
        <v>201</v>
      </c>
      <c r="D16" s="1211">
        <f>C16/Tufas!$N12*100000</f>
        <v>391.88925716513938</v>
      </c>
    </row>
    <row r="17" spans="1:4" x14ac:dyDescent="0.2">
      <c r="A17" s="1" t="s">
        <v>593</v>
      </c>
      <c r="B17" s="5" t="s">
        <v>28</v>
      </c>
      <c r="C17" s="1212">
        <f>GETPIVOTDATA("Total",Tufas!$F$8,"Council","Dumfries and Galloway")</f>
        <v>359</v>
      </c>
      <c r="D17" s="1211">
        <f>C17/Tufas!$N13*100000</f>
        <v>242.09319576505496</v>
      </c>
    </row>
    <row r="18" spans="1:4" x14ac:dyDescent="0.2">
      <c r="A18" s="1" t="s">
        <v>594</v>
      </c>
      <c r="B18" s="5" t="s">
        <v>29</v>
      </c>
      <c r="C18" s="1212">
        <f>GETPIVOTDATA("Total",Tufas!$F$8,"Council","Dundee City")</f>
        <v>927</v>
      </c>
      <c r="D18" s="1211">
        <f>C18/Tufas!$N14*100000</f>
        <v>622.90014782959281</v>
      </c>
    </row>
    <row r="19" spans="1:4" x14ac:dyDescent="0.2">
      <c r="A19" s="1" t="s">
        <v>595</v>
      </c>
      <c r="B19" s="5" t="s">
        <v>30</v>
      </c>
      <c r="C19" s="1212">
        <f>GETPIVOTDATA("Total",Tufas!$F$8,"Council","East Ayrshire")</f>
        <v>501</v>
      </c>
      <c r="D19" s="1211">
        <f>C19/Tufas!$N15*100000</f>
        <v>412.00657894736844</v>
      </c>
    </row>
    <row r="20" spans="1:4" x14ac:dyDescent="0.2">
      <c r="A20" s="1" t="s">
        <v>596</v>
      </c>
      <c r="B20" s="5" t="s">
        <v>31</v>
      </c>
      <c r="C20" s="1212">
        <f>GETPIVOTDATA("Total",Tufas!$F$8,"Council","East Dunbartonshire")</f>
        <v>277</v>
      </c>
      <c r="D20" s="1211">
        <f>C20/Tufas!$N16*100000</f>
        <v>254.71264367816093</v>
      </c>
    </row>
    <row r="21" spans="1:4" x14ac:dyDescent="0.2">
      <c r="A21" s="1" t="s">
        <v>597</v>
      </c>
      <c r="B21" s="5" t="s">
        <v>32</v>
      </c>
      <c r="C21" s="1212">
        <f>GETPIVOTDATA("Total",Tufas!$F$8,"Council","East Lothian")</f>
        <v>454</v>
      </c>
      <c r="D21" s="1211">
        <f>C21/Tufas!$N17*100000</f>
        <v>420.75996292863761</v>
      </c>
    </row>
    <row r="22" spans="1:4" x14ac:dyDescent="0.2">
      <c r="A22" s="1" t="s">
        <v>598</v>
      </c>
      <c r="B22" s="5" t="s">
        <v>33</v>
      </c>
      <c r="C22" s="1212">
        <f>GETPIVOTDATA("Total",Tufas!$F$8,"Council","East Renfrewshire")</f>
        <v>221</v>
      </c>
      <c r="D22" s="1211">
        <f>C22/Tufas!$N18*100000</f>
        <v>230.06454299396214</v>
      </c>
    </row>
    <row r="23" spans="1:4" x14ac:dyDescent="0.2">
      <c r="A23" s="1" t="s">
        <v>599</v>
      </c>
      <c r="B23" s="5" t="s">
        <v>34</v>
      </c>
      <c r="C23" s="1212">
        <f>GETPIVOTDATA("Total",Tufas!$F$8,"Council","Falkirk")</f>
        <v>455</v>
      </c>
      <c r="D23" s="1211">
        <f>C23/Tufas!$N19*100000</f>
        <v>283.38315894369708</v>
      </c>
    </row>
    <row r="24" spans="1:4" x14ac:dyDescent="0.2">
      <c r="A24" s="1" t="s">
        <v>600</v>
      </c>
      <c r="B24" s="5" t="s">
        <v>35</v>
      </c>
      <c r="C24" s="1212">
        <f>GETPIVOTDATA("Total",Tufas!$F$8,"Council","Fife")</f>
        <v>1305</v>
      </c>
      <c r="D24" s="1211">
        <f>C24/Tufas!$N20*100000</f>
        <v>348.80923743083952</v>
      </c>
    </row>
    <row r="25" spans="1:4" x14ac:dyDescent="0.2">
      <c r="A25" s="1" t="s">
        <v>601</v>
      </c>
      <c r="B25" s="5" t="s">
        <v>36</v>
      </c>
      <c r="C25" s="1212">
        <f>GETPIVOTDATA("Total",Tufas!$F$8,"Council","Glasgow City")</f>
        <v>4169</v>
      </c>
      <c r="D25" s="1211">
        <f>C25/Tufas!$N21*100000</f>
        <v>655.87439431124528</v>
      </c>
    </row>
    <row r="26" spans="1:4" x14ac:dyDescent="0.2">
      <c r="A26" s="1" t="s">
        <v>602</v>
      </c>
      <c r="B26" s="5" t="s">
        <v>37</v>
      </c>
      <c r="C26" s="1212">
        <f>GETPIVOTDATA("Total",Tufas!$F$8,"Council","Highland")</f>
        <v>1142</v>
      </c>
      <c r="D26" s="1211">
        <f>C26/Tufas!$N22*100000</f>
        <v>485.06987214883401</v>
      </c>
    </row>
    <row r="27" spans="1:4" x14ac:dyDescent="0.2">
      <c r="A27" s="1" t="s">
        <v>603</v>
      </c>
      <c r="B27" s="5" t="s">
        <v>38</v>
      </c>
      <c r="C27" s="1212">
        <f>GETPIVOTDATA("Total",Tufas!$F$8,"Council","Inverclyde")</f>
        <v>323</v>
      </c>
      <c r="D27" s="1211">
        <f>C27/Tufas!$N23*100000</f>
        <v>419.15390604723592</v>
      </c>
    </row>
    <row r="28" spans="1:4" x14ac:dyDescent="0.2">
      <c r="A28" s="1" t="s">
        <v>604</v>
      </c>
      <c r="B28" s="5" t="s">
        <v>39</v>
      </c>
      <c r="C28" s="1212">
        <f>GETPIVOTDATA("Total",Tufas!$F$8,"Council","Midlothian")</f>
        <v>293</v>
      </c>
      <c r="D28" s="1211">
        <f>C28/Tufas!$N24*100000</f>
        <v>314.54643048845946</v>
      </c>
    </row>
    <row r="29" spans="1:4" x14ac:dyDescent="0.2">
      <c r="A29" s="1" t="s">
        <v>605</v>
      </c>
      <c r="B29" s="5" t="s">
        <v>40</v>
      </c>
      <c r="C29" s="1212">
        <f>GETPIVOTDATA("Total",Tufas!$F$8,"Council","Moray")</f>
        <v>354</v>
      </c>
      <c r="D29" s="1211">
        <f>C29/Tufas!$N25*100000</f>
        <v>369.86730749138019</v>
      </c>
    </row>
    <row r="30" spans="1:4" x14ac:dyDescent="0.2">
      <c r="A30" s="1" t="s">
        <v>606</v>
      </c>
      <c r="B30" s="5" t="s">
        <v>295</v>
      </c>
      <c r="C30" s="1212">
        <f>GETPIVOTDATA("Total",Tufas!$F$8,"Council","Na h-Eileanan Siar")</f>
        <v>135</v>
      </c>
      <c r="D30" s="1211">
        <f>C30/Tufas!$N26*100000</f>
        <v>509.43396226415092</v>
      </c>
    </row>
    <row r="31" spans="1:4" x14ac:dyDescent="0.2">
      <c r="A31" s="1" t="s">
        <v>607</v>
      </c>
      <c r="B31" s="5" t="s">
        <v>41</v>
      </c>
      <c r="C31" s="1212">
        <f>GETPIVOTDATA("Total",Tufas!$F$8,"Council","North Ayrshire")</f>
        <v>594</v>
      </c>
      <c r="D31" s="1211">
        <f>C31/Tufas!$N27*100000</f>
        <v>442.45810055865923</v>
      </c>
    </row>
    <row r="32" spans="1:4" x14ac:dyDescent="0.2">
      <c r="A32" s="1" t="s">
        <v>608</v>
      </c>
      <c r="B32" s="5" t="s">
        <v>42</v>
      </c>
      <c r="C32" s="1212">
        <f>GETPIVOTDATA("Total",Tufas!$F$8,"Council","North Lanarkshire")</f>
        <v>1221</v>
      </c>
      <c r="D32" s="1211">
        <f>C32/Tufas!$N28*100000</f>
        <v>357.91757049891538</v>
      </c>
    </row>
    <row r="33" spans="1:4" x14ac:dyDescent="0.2">
      <c r="A33" s="1" t="s">
        <v>609</v>
      </c>
      <c r="B33" s="5" t="s">
        <v>43</v>
      </c>
      <c r="C33" s="1212">
        <f>GETPIVOTDATA("Total",Tufas!$F$8,"Council","Orkney Islands")</f>
        <v>37</v>
      </c>
      <c r="D33" s="1211">
        <f>C33/Tufas!$N29*100000</f>
        <v>165.17857142857144</v>
      </c>
    </row>
    <row r="34" spans="1:4" x14ac:dyDescent="0.2">
      <c r="A34" s="1" t="s">
        <v>610</v>
      </c>
      <c r="B34" s="5" t="s">
        <v>44</v>
      </c>
      <c r="C34" s="1212">
        <f>GETPIVOTDATA("Total",Tufas!$F$8,"Council","Perth and Kinross")</f>
        <v>595</v>
      </c>
      <c r="D34" s="1211">
        <f>C34/Tufas!$N30*100000</f>
        <v>391.67928378645246</v>
      </c>
    </row>
    <row r="35" spans="1:4" x14ac:dyDescent="0.2">
      <c r="A35" s="1" t="s">
        <v>611</v>
      </c>
      <c r="B35" s="5" t="s">
        <v>45</v>
      </c>
      <c r="C35" s="1212">
        <f>GETPIVOTDATA("Total",Tufas!$F$8,"Council","Renfrewshire")</f>
        <v>732</v>
      </c>
      <c r="D35" s="1211">
        <f>C35/Tufas!$N31*100000</f>
        <v>408.04950108701712</v>
      </c>
    </row>
    <row r="36" spans="1:4" x14ac:dyDescent="0.2">
      <c r="A36" s="1" t="s">
        <v>612</v>
      </c>
      <c r="B36" s="5" t="s">
        <v>46</v>
      </c>
      <c r="C36" s="1212">
        <f>GETPIVOTDATA("Total",Tufas!$F$8,"Council","Scottish Borders")</f>
        <v>451</v>
      </c>
      <c r="D36" s="1211">
        <f>C36/Tufas!$N32*100000</f>
        <v>391.35716765012148</v>
      </c>
    </row>
    <row r="37" spans="1:4" x14ac:dyDescent="0.2">
      <c r="A37" s="1" t="s">
        <v>613</v>
      </c>
      <c r="B37" s="5" t="s">
        <v>47</v>
      </c>
      <c r="C37" s="1212">
        <f>GETPIVOTDATA("Total",Tufas!$F$8,"Council","Shetland Islands")</f>
        <v>66</v>
      </c>
      <c r="D37" s="1211">
        <f>C37/Tufas!$N33*100000</f>
        <v>288.58766943594225</v>
      </c>
    </row>
    <row r="38" spans="1:4" x14ac:dyDescent="0.2">
      <c r="A38" s="1" t="s">
        <v>614</v>
      </c>
      <c r="B38" s="5" t="s">
        <v>48</v>
      </c>
      <c r="C38" s="1212">
        <f>GETPIVOTDATA("Total",Tufas!$F$8,"Council","South Ayrshire")</f>
        <v>581</v>
      </c>
      <c r="D38" s="1211">
        <f>C38/Tufas!$N34*100000</f>
        <v>518.10237203495626</v>
      </c>
    </row>
    <row r="39" spans="1:4" x14ac:dyDescent="0.2">
      <c r="A39" s="1" t="s">
        <v>615</v>
      </c>
      <c r="B39" s="5" t="s">
        <v>49</v>
      </c>
      <c r="C39" s="1212">
        <f>GETPIVOTDATA("Total",Tufas!$F$8,"Council","South Lanarkshire")</f>
        <v>1152</v>
      </c>
      <c r="D39" s="1211">
        <f>C39/Tufas!$N35*100000</f>
        <v>359.0798578642229</v>
      </c>
    </row>
    <row r="40" spans="1:4" x14ac:dyDescent="0.2">
      <c r="A40" s="1" t="s">
        <v>616</v>
      </c>
      <c r="B40" s="5" t="s">
        <v>50</v>
      </c>
      <c r="C40" s="1212">
        <f>GETPIVOTDATA("Total",Tufas!$F$8,"Council","Stirling")</f>
        <v>455</v>
      </c>
      <c r="D40" s="1211">
        <f>C40/Tufas!$N36*100000</f>
        <v>483.63095238095241</v>
      </c>
    </row>
    <row r="41" spans="1:4" x14ac:dyDescent="0.2">
      <c r="A41" s="1" t="s">
        <v>617</v>
      </c>
      <c r="B41" s="5" t="s">
        <v>51</v>
      </c>
      <c r="C41" s="1212">
        <f>GETPIVOTDATA("Total",Tufas!$F$8,"Council","West Dunbartonshire")</f>
        <v>355</v>
      </c>
      <c r="D41" s="1211">
        <f>C41/Tufas!$N37*100000</f>
        <v>401.85646366311977</v>
      </c>
    </row>
    <row r="42" spans="1:4" x14ac:dyDescent="0.2">
      <c r="A42" s="1" t="s">
        <v>618</v>
      </c>
      <c r="B42" s="5" t="s">
        <v>52</v>
      </c>
      <c r="C42" s="1212">
        <f>GETPIVOTDATA("Total",Tufas!$F$8,"Council","West Lothian")</f>
        <v>806</v>
      </c>
      <c r="D42" s="1211">
        <f>C42/Tufas!$N38*100000</f>
        <v>438.47241867043851</v>
      </c>
    </row>
    <row r="43" spans="1:4" x14ac:dyDescent="0.2">
      <c r="B43" s="5" t="str">
        <f>IF(T_05!$A$37 = "Z_Not Known", "Not Known","")</f>
        <v/>
      </c>
      <c r="C43" s="146" t="str">
        <f>IF(B43 = "Not Known", SUM(E43:F43),"")</f>
        <v/>
      </c>
      <c r="D43" s="1211"/>
    </row>
    <row r="44" spans="1:4" ht="15.75" thickBot="1" x14ac:dyDescent="0.25">
      <c r="A44" s="359" t="s">
        <v>620</v>
      </c>
      <c r="B44" s="360" t="s">
        <v>143</v>
      </c>
      <c r="C44" s="865">
        <f>SUM(C11:C43)</f>
        <v>23733</v>
      </c>
      <c r="D44" s="1213">
        <f>AVERAGE(D11:D42)</f>
        <v>399.20300162058311</v>
      </c>
    </row>
  </sheetData>
  <sheetProtection algorithmName="SHA-512" hashValue="0hDDakpGyP0tGeZpcafQTLbLOod6Xte/dp13CzO/1l3M235HOJSpYTQw2nIp1g/sz8+FOPDryLdbgBrUCU1HSA==" saltValue="VhPtPMvMTOuEpVZyBbptNg==" spinCount="100000" sheet="1" scenarios="1" formatCells="0" formatColumns="0" formatRows="0" sort="0" autoFilter="0" pivotTables="0"/>
  <hyperlinks>
    <hyperlink ref="A2" location="'Table of Contents'!A1" display="Back to Table of Contents" xr:uid="{00000000-0004-0000-5A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4" tint="0.59999389629810485"/>
  </sheetPr>
  <dimension ref="A1:N387"/>
  <sheetViews>
    <sheetView workbookViewId="0">
      <selection activeCell="G11" sqref="G11"/>
    </sheetView>
  </sheetViews>
  <sheetFormatPr defaultRowHeight="12.75" x14ac:dyDescent="0.2"/>
  <cols>
    <col min="6" max="6" width="19.5703125" bestFit="1" customWidth="1"/>
    <col min="7" max="7" width="11.85546875" bestFit="1" customWidth="1"/>
    <col min="9" max="9" width="19.5703125" bestFit="1" customWidth="1"/>
    <col min="10" max="10" width="11.85546875" bestFit="1" customWidth="1"/>
  </cols>
  <sheetData>
    <row r="1" spans="1:14" x14ac:dyDescent="0.2">
      <c r="A1" t="s">
        <v>1575</v>
      </c>
      <c r="B1" t="s">
        <v>1576</v>
      </c>
      <c r="C1" t="s">
        <v>11</v>
      </c>
    </row>
    <row r="2" spans="1:14" x14ac:dyDescent="0.2">
      <c r="A2" t="s">
        <v>133</v>
      </c>
      <c r="B2" t="s">
        <v>1577</v>
      </c>
      <c r="C2">
        <v>1</v>
      </c>
    </row>
    <row r="3" spans="1:14" x14ac:dyDescent="0.2">
      <c r="A3" t="s">
        <v>15</v>
      </c>
      <c r="B3" t="s">
        <v>23</v>
      </c>
      <c r="C3">
        <v>1193</v>
      </c>
    </row>
    <row r="4" spans="1:14" x14ac:dyDescent="0.2">
      <c r="A4" t="s">
        <v>13</v>
      </c>
      <c r="B4" t="s">
        <v>24</v>
      </c>
      <c r="C4">
        <v>378</v>
      </c>
    </row>
    <row r="5" spans="1:14" x14ac:dyDescent="0.2">
      <c r="A5" t="s">
        <v>1419</v>
      </c>
      <c r="B5" t="s">
        <v>24</v>
      </c>
      <c r="C5">
        <v>595</v>
      </c>
    </row>
    <row r="6" spans="1:14" x14ac:dyDescent="0.2">
      <c r="A6" t="s">
        <v>20</v>
      </c>
      <c r="B6" t="s">
        <v>25</v>
      </c>
      <c r="C6">
        <v>406</v>
      </c>
      <c r="F6" s="234" t="s">
        <v>1575</v>
      </c>
      <c r="G6" t="s">
        <v>1572</v>
      </c>
      <c r="I6" s="234" t="s">
        <v>1575</v>
      </c>
      <c r="J6" t="s">
        <v>373</v>
      </c>
      <c r="M6" t="s">
        <v>1583</v>
      </c>
      <c r="N6" t="s">
        <v>1582</v>
      </c>
    </row>
    <row r="7" spans="1:14" x14ac:dyDescent="0.2">
      <c r="A7" t="s">
        <v>15</v>
      </c>
      <c r="B7" t="s">
        <v>25</v>
      </c>
      <c r="C7">
        <v>404</v>
      </c>
      <c r="M7" s="400" t="s">
        <v>23</v>
      </c>
      <c r="N7" s="1186">
        <v>229060</v>
      </c>
    </row>
    <row r="8" spans="1:14" x14ac:dyDescent="0.2">
      <c r="A8" t="s">
        <v>282</v>
      </c>
      <c r="B8" t="s">
        <v>26</v>
      </c>
      <c r="C8">
        <v>494</v>
      </c>
      <c r="F8" s="234" t="s">
        <v>326</v>
      </c>
      <c r="G8" t="s">
        <v>344</v>
      </c>
      <c r="I8" s="234" t="s">
        <v>326</v>
      </c>
      <c r="J8" t="s">
        <v>344</v>
      </c>
      <c r="M8" s="117" t="s">
        <v>24</v>
      </c>
      <c r="N8" s="1186">
        <v>260780</v>
      </c>
    </row>
    <row r="9" spans="1:14" x14ac:dyDescent="0.2">
      <c r="A9" t="s">
        <v>282</v>
      </c>
      <c r="B9" t="s">
        <v>619</v>
      </c>
      <c r="C9">
        <v>3961</v>
      </c>
      <c r="F9" s="235" t="s">
        <v>23</v>
      </c>
      <c r="G9">
        <v>1220</v>
      </c>
      <c r="I9" s="235" t="s">
        <v>23</v>
      </c>
      <c r="J9">
        <v>15435</v>
      </c>
      <c r="M9" s="117" t="s">
        <v>25</v>
      </c>
      <c r="N9" s="1186">
        <v>115820</v>
      </c>
    </row>
    <row r="10" spans="1:14" x14ac:dyDescent="0.2">
      <c r="A10" t="s">
        <v>13</v>
      </c>
      <c r="B10" t="s">
        <v>27</v>
      </c>
      <c r="C10">
        <v>270</v>
      </c>
      <c r="F10" s="235" t="s">
        <v>24</v>
      </c>
      <c r="G10">
        <v>553</v>
      </c>
      <c r="I10" s="235" t="s">
        <v>24</v>
      </c>
      <c r="J10">
        <v>6167</v>
      </c>
      <c r="M10" s="117" t="s">
        <v>26</v>
      </c>
      <c r="N10" s="1186">
        <v>85430</v>
      </c>
    </row>
    <row r="11" spans="1:14" x14ac:dyDescent="0.2">
      <c r="A11" t="s">
        <v>15</v>
      </c>
      <c r="B11" t="s">
        <v>28</v>
      </c>
      <c r="C11">
        <v>278</v>
      </c>
      <c r="F11" s="235" t="s">
        <v>25</v>
      </c>
      <c r="G11">
        <v>270</v>
      </c>
      <c r="I11" s="235" t="s">
        <v>25</v>
      </c>
      <c r="J11">
        <v>4568</v>
      </c>
      <c r="M11" s="117" t="s">
        <v>619</v>
      </c>
      <c r="N11" s="1186">
        <v>527620</v>
      </c>
    </row>
    <row r="12" spans="1:14" x14ac:dyDescent="0.2">
      <c r="A12" t="s">
        <v>20</v>
      </c>
      <c r="B12" t="s">
        <v>29</v>
      </c>
      <c r="C12">
        <v>1380</v>
      </c>
      <c r="F12" s="235" t="s">
        <v>26</v>
      </c>
      <c r="G12">
        <v>531</v>
      </c>
      <c r="I12" s="235" t="s">
        <v>26</v>
      </c>
      <c r="J12">
        <v>7172</v>
      </c>
      <c r="M12" s="117" t="s">
        <v>27</v>
      </c>
      <c r="N12" s="1186">
        <v>51290</v>
      </c>
    </row>
    <row r="13" spans="1:14" x14ac:dyDescent="0.2">
      <c r="A13" t="s">
        <v>15</v>
      </c>
      <c r="B13" t="s">
        <v>29</v>
      </c>
      <c r="C13">
        <v>1226</v>
      </c>
      <c r="F13" s="235" t="s">
        <v>619</v>
      </c>
      <c r="G13">
        <v>2998</v>
      </c>
      <c r="I13" s="235" t="s">
        <v>619</v>
      </c>
      <c r="J13">
        <v>47431</v>
      </c>
      <c r="M13" s="117" t="s">
        <v>28</v>
      </c>
      <c r="N13" s="1186">
        <v>148290</v>
      </c>
    </row>
    <row r="14" spans="1:14" x14ac:dyDescent="0.2">
      <c r="A14" t="s">
        <v>19</v>
      </c>
      <c r="B14" t="s">
        <v>30</v>
      </c>
      <c r="C14">
        <v>570</v>
      </c>
      <c r="F14" s="235" t="s">
        <v>27</v>
      </c>
      <c r="G14">
        <v>201</v>
      </c>
      <c r="I14" s="235" t="s">
        <v>27</v>
      </c>
      <c r="J14">
        <v>2898</v>
      </c>
      <c r="M14" s="117" t="s">
        <v>29</v>
      </c>
      <c r="N14" s="1186">
        <v>148820</v>
      </c>
    </row>
    <row r="15" spans="1:14" x14ac:dyDescent="0.2">
      <c r="A15" t="s">
        <v>621</v>
      </c>
      <c r="B15" t="s">
        <v>30</v>
      </c>
      <c r="C15">
        <v>632</v>
      </c>
      <c r="F15" s="235" t="s">
        <v>28</v>
      </c>
      <c r="G15">
        <v>359</v>
      </c>
      <c r="I15" s="235" t="s">
        <v>28</v>
      </c>
      <c r="J15">
        <v>4704</v>
      </c>
      <c r="M15" s="117" t="s">
        <v>30</v>
      </c>
      <c r="N15" s="1186">
        <v>121600</v>
      </c>
    </row>
    <row r="16" spans="1:14" x14ac:dyDescent="0.2">
      <c r="A16" t="s">
        <v>17</v>
      </c>
      <c r="B16" t="s">
        <v>31</v>
      </c>
      <c r="C16">
        <v>311</v>
      </c>
      <c r="F16" s="235" t="s">
        <v>29</v>
      </c>
      <c r="G16">
        <v>927</v>
      </c>
      <c r="I16" s="235" t="s">
        <v>29</v>
      </c>
      <c r="J16">
        <v>14855</v>
      </c>
      <c r="M16" s="117" t="s">
        <v>31</v>
      </c>
      <c r="N16" s="1186">
        <v>108750</v>
      </c>
    </row>
    <row r="17" spans="1:14" x14ac:dyDescent="0.2">
      <c r="A17" t="s">
        <v>133</v>
      </c>
      <c r="B17" t="s">
        <v>31</v>
      </c>
      <c r="C17">
        <v>280</v>
      </c>
      <c r="F17" s="235" t="s">
        <v>30</v>
      </c>
      <c r="G17">
        <v>501</v>
      </c>
      <c r="I17" s="235" t="s">
        <v>30</v>
      </c>
      <c r="J17">
        <v>7245</v>
      </c>
      <c r="M17" s="117" t="s">
        <v>32</v>
      </c>
      <c r="N17" s="1186">
        <v>107900</v>
      </c>
    </row>
    <row r="18" spans="1:14" x14ac:dyDescent="0.2">
      <c r="A18" t="s">
        <v>144</v>
      </c>
      <c r="B18" t="s">
        <v>31</v>
      </c>
      <c r="C18">
        <v>294</v>
      </c>
      <c r="F18" s="235" t="s">
        <v>31</v>
      </c>
      <c r="G18">
        <v>277</v>
      </c>
      <c r="I18" s="235" t="s">
        <v>31</v>
      </c>
      <c r="J18">
        <v>3843</v>
      </c>
      <c r="M18" s="117" t="s">
        <v>33</v>
      </c>
      <c r="N18" s="1186">
        <v>96060</v>
      </c>
    </row>
    <row r="19" spans="1:14" x14ac:dyDescent="0.2">
      <c r="A19" t="s">
        <v>311</v>
      </c>
      <c r="B19" t="s">
        <v>31</v>
      </c>
      <c r="C19">
        <v>377</v>
      </c>
      <c r="F19" s="235" t="s">
        <v>32</v>
      </c>
      <c r="G19">
        <v>454</v>
      </c>
      <c r="I19" s="235" t="s">
        <v>32</v>
      </c>
      <c r="J19">
        <v>5494</v>
      </c>
      <c r="M19" s="117" t="s">
        <v>34</v>
      </c>
      <c r="N19" s="1186">
        <v>160560</v>
      </c>
    </row>
    <row r="20" spans="1:14" x14ac:dyDescent="0.2">
      <c r="A20" t="s">
        <v>144</v>
      </c>
      <c r="B20" t="s">
        <v>33</v>
      </c>
      <c r="C20">
        <v>259</v>
      </c>
      <c r="F20" s="235" t="s">
        <v>33</v>
      </c>
      <c r="G20">
        <v>221</v>
      </c>
      <c r="I20" s="235" t="s">
        <v>33</v>
      </c>
      <c r="J20">
        <v>3009</v>
      </c>
      <c r="M20" s="117" t="s">
        <v>35</v>
      </c>
      <c r="N20" s="1186">
        <v>374130</v>
      </c>
    </row>
    <row r="21" spans="1:14" x14ac:dyDescent="0.2">
      <c r="A21" t="s">
        <v>621</v>
      </c>
      <c r="B21" t="s">
        <v>33</v>
      </c>
      <c r="C21">
        <v>281</v>
      </c>
      <c r="F21" s="235" t="s">
        <v>34</v>
      </c>
      <c r="G21">
        <v>455</v>
      </c>
      <c r="I21" s="235" t="s">
        <v>34</v>
      </c>
      <c r="J21">
        <v>7652</v>
      </c>
      <c r="M21" s="117" t="s">
        <v>36</v>
      </c>
      <c r="N21" s="1186">
        <v>635640</v>
      </c>
    </row>
    <row r="22" spans="1:14" x14ac:dyDescent="0.2">
      <c r="A22" t="s">
        <v>13</v>
      </c>
      <c r="B22" t="s">
        <v>34</v>
      </c>
      <c r="C22">
        <v>721</v>
      </c>
      <c r="F22" s="235" t="s">
        <v>35</v>
      </c>
      <c r="G22">
        <v>1305</v>
      </c>
      <c r="I22" s="235" t="s">
        <v>35</v>
      </c>
      <c r="J22">
        <v>16518</v>
      </c>
      <c r="M22" s="117" t="s">
        <v>37</v>
      </c>
      <c r="N22" s="1186">
        <v>235430</v>
      </c>
    </row>
    <row r="23" spans="1:14" x14ac:dyDescent="0.2">
      <c r="A23" t="s">
        <v>282</v>
      </c>
      <c r="B23" t="s">
        <v>35</v>
      </c>
      <c r="C23">
        <v>1666</v>
      </c>
      <c r="F23" s="235" t="s">
        <v>36</v>
      </c>
      <c r="G23">
        <v>4169</v>
      </c>
      <c r="I23" s="235" t="s">
        <v>36</v>
      </c>
      <c r="J23">
        <v>66935</v>
      </c>
      <c r="M23" s="117" t="s">
        <v>38</v>
      </c>
      <c r="N23" s="1186">
        <v>77060</v>
      </c>
    </row>
    <row r="24" spans="1:14" x14ac:dyDescent="0.2">
      <c r="A24" t="s">
        <v>19</v>
      </c>
      <c r="B24" t="s">
        <v>37</v>
      </c>
      <c r="C24">
        <v>1090</v>
      </c>
      <c r="F24" s="235" t="s">
        <v>37</v>
      </c>
      <c r="G24">
        <v>1142</v>
      </c>
      <c r="I24" s="235" t="s">
        <v>37</v>
      </c>
      <c r="J24">
        <v>12391</v>
      </c>
      <c r="M24" s="117" t="s">
        <v>39</v>
      </c>
      <c r="N24" s="1186">
        <v>93150</v>
      </c>
    </row>
    <row r="25" spans="1:14" x14ac:dyDescent="0.2">
      <c r="A25" t="s">
        <v>282</v>
      </c>
      <c r="B25" t="s">
        <v>37</v>
      </c>
      <c r="C25">
        <v>1034</v>
      </c>
      <c r="F25" s="235" t="s">
        <v>38</v>
      </c>
      <c r="G25">
        <v>323</v>
      </c>
      <c r="I25" s="235" t="s">
        <v>38</v>
      </c>
      <c r="J25">
        <v>4991</v>
      </c>
      <c r="M25" s="117" t="s">
        <v>40</v>
      </c>
      <c r="N25" s="1186">
        <v>95710</v>
      </c>
    </row>
    <row r="26" spans="1:14" x14ac:dyDescent="0.2">
      <c r="A26" t="s">
        <v>621</v>
      </c>
      <c r="B26" t="s">
        <v>39</v>
      </c>
      <c r="C26">
        <v>376</v>
      </c>
      <c r="F26" s="235" t="s">
        <v>39</v>
      </c>
      <c r="G26">
        <v>293</v>
      </c>
      <c r="I26" s="235" t="s">
        <v>39</v>
      </c>
      <c r="J26">
        <v>3680</v>
      </c>
      <c r="M26" s="117" t="s">
        <v>295</v>
      </c>
      <c r="N26" s="1186">
        <v>26500</v>
      </c>
    </row>
    <row r="27" spans="1:14" x14ac:dyDescent="0.2">
      <c r="A27" t="s">
        <v>13</v>
      </c>
      <c r="B27" t="s">
        <v>295</v>
      </c>
      <c r="C27">
        <v>151</v>
      </c>
      <c r="F27" s="235" t="s">
        <v>40</v>
      </c>
      <c r="G27">
        <v>354</v>
      </c>
      <c r="I27" s="235" t="s">
        <v>40</v>
      </c>
      <c r="J27">
        <v>4190</v>
      </c>
      <c r="M27" s="117" t="s">
        <v>41</v>
      </c>
      <c r="N27" s="1186">
        <v>134250</v>
      </c>
    </row>
    <row r="28" spans="1:14" x14ac:dyDescent="0.2">
      <c r="A28" t="s">
        <v>1419</v>
      </c>
      <c r="B28" t="s">
        <v>295</v>
      </c>
      <c r="C28">
        <v>182</v>
      </c>
      <c r="F28" s="235" t="s">
        <v>295</v>
      </c>
      <c r="G28">
        <v>135</v>
      </c>
      <c r="I28" s="235" t="s">
        <v>295</v>
      </c>
      <c r="J28">
        <v>1882</v>
      </c>
      <c r="M28" s="117" t="s">
        <v>42</v>
      </c>
      <c r="N28" s="1186">
        <v>341140</v>
      </c>
    </row>
    <row r="29" spans="1:14" x14ac:dyDescent="0.2">
      <c r="A29" t="s">
        <v>1572</v>
      </c>
      <c r="B29" t="s">
        <v>295</v>
      </c>
      <c r="C29">
        <v>135</v>
      </c>
      <c r="F29" s="235" t="s">
        <v>41</v>
      </c>
      <c r="G29">
        <v>594</v>
      </c>
      <c r="I29" s="235" t="s">
        <v>41</v>
      </c>
      <c r="J29">
        <v>6741</v>
      </c>
      <c r="M29" s="117" t="s">
        <v>43</v>
      </c>
      <c r="N29" s="1186">
        <v>22400</v>
      </c>
    </row>
    <row r="30" spans="1:14" x14ac:dyDescent="0.2">
      <c r="A30" t="s">
        <v>282</v>
      </c>
      <c r="B30" t="s">
        <v>41</v>
      </c>
      <c r="C30">
        <v>629</v>
      </c>
      <c r="F30" s="235" t="s">
        <v>42</v>
      </c>
      <c r="G30">
        <v>1221</v>
      </c>
      <c r="I30" s="235" t="s">
        <v>42</v>
      </c>
      <c r="J30">
        <v>14473</v>
      </c>
      <c r="M30" s="117" t="s">
        <v>44</v>
      </c>
      <c r="N30" s="1186">
        <v>151910</v>
      </c>
    </row>
    <row r="31" spans="1:14" x14ac:dyDescent="0.2">
      <c r="A31" t="s">
        <v>19</v>
      </c>
      <c r="B31" t="s">
        <v>42</v>
      </c>
      <c r="C31">
        <v>1385</v>
      </c>
      <c r="F31" s="235" t="s">
        <v>43</v>
      </c>
      <c r="G31">
        <v>37</v>
      </c>
      <c r="I31" s="235" t="s">
        <v>1577</v>
      </c>
      <c r="J31">
        <v>2</v>
      </c>
      <c r="M31" s="117" t="s">
        <v>45</v>
      </c>
      <c r="N31" s="1186">
        <v>179390</v>
      </c>
    </row>
    <row r="32" spans="1:14" x14ac:dyDescent="0.2">
      <c r="A32" t="s">
        <v>19</v>
      </c>
      <c r="B32" t="s">
        <v>44</v>
      </c>
      <c r="C32">
        <v>691</v>
      </c>
      <c r="F32" s="235" t="s">
        <v>44</v>
      </c>
      <c r="G32">
        <v>595</v>
      </c>
      <c r="I32" s="235" t="s">
        <v>43</v>
      </c>
      <c r="J32">
        <v>647</v>
      </c>
      <c r="M32" s="117" t="s">
        <v>46</v>
      </c>
      <c r="N32" s="1186">
        <v>115240</v>
      </c>
    </row>
    <row r="33" spans="1:14" x14ac:dyDescent="0.2">
      <c r="A33" t="s">
        <v>621</v>
      </c>
      <c r="B33" t="s">
        <v>46</v>
      </c>
      <c r="C33">
        <v>521</v>
      </c>
      <c r="F33" s="235" t="s">
        <v>45</v>
      </c>
      <c r="G33">
        <v>732</v>
      </c>
      <c r="I33" s="235" t="s">
        <v>44</v>
      </c>
      <c r="J33">
        <v>7359</v>
      </c>
      <c r="M33" s="117" t="s">
        <v>47</v>
      </c>
      <c r="N33" s="1186">
        <v>22870</v>
      </c>
    </row>
    <row r="34" spans="1:14" x14ac:dyDescent="0.2">
      <c r="A34" t="s">
        <v>20</v>
      </c>
      <c r="B34" t="s">
        <v>47</v>
      </c>
      <c r="C34">
        <v>94</v>
      </c>
      <c r="F34" s="235" t="s">
        <v>46</v>
      </c>
      <c r="G34">
        <v>451</v>
      </c>
      <c r="I34" s="235" t="s">
        <v>45</v>
      </c>
      <c r="J34">
        <v>10340</v>
      </c>
      <c r="M34" s="117" t="s">
        <v>48</v>
      </c>
      <c r="N34" s="1186">
        <v>112140</v>
      </c>
    </row>
    <row r="35" spans="1:14" x14ac:dyDescent="0.2">
      <c r="A35" t="s">
        <v>20</v>
      </c>
      <c r="B35" t="s">
        <v>50</v>
      </c>
      <c r="C35">
        <v>556</v>
      </c>
      <c r="F35" s="235" t="s">
        <v>47</v>
      </c>
      <c r="G35">
        <v>66</v>
      </c>
      <c r="I35" s="235" t="s">
        <v>46</v>
      </c>
      <c r="J35">
        <v>5530</v>
      </c>
      <c r="M35" s="117" t="s">
        <v>49</v>
      </c>
      <c r="N35" s="1186">
        <v>320820</v>
      </c>
    </row>
    <row r="36" spans="1:14" x14ac:dyDescent="0.2">
      <c r="A36" t="s">
        <v>144</v>
      </c>
      <c r="B36" t="s">
        <v>51</v>
      </c>
      <c r="C36">
        <v>351</v>
      </c>
      <c r="F36" s="235" t="s">
        <v>48</v>
      </c>
      <c r="G36">
        <v>581</v>
      </c>
      <c r="I36" s="235" t="s">
        <v>47</v>
      </c>
      <c r="J36">
        <v>908</v>
      </c>
      <c r="M36" s="117" t="s">
        <v>50</v>
      </c>
      <c r="N36" s="1186">
        <v>94080</v>
      </c>
    </row>
    <row r="37" spans="1:14" x14ac:dyDescent="0.2">
      <c r="A37" t="s">
        <v>621</v>
      </c>
      <c r="B37" t="s">
        <v>51</v>
      </c>
      <c r="C37">
        <v>381</v>
      </c>
      <c r="F37" s="235" t="s">
        <v>49</v>
      </c>
      <c r="G37">
        <v>1152</v>
      </c>
      <c r="I37" s="235" t="s">
        <v>48</v>
      </c>
      <c r="J37">
        <v>7935</v>
      </c>
      <c r="M37" s="117" t="s">
        <v>51</v>
      </c>
      <c r="N37" s="1186">
        <v>88340</v>
      </c>
    </row>
    <row r="38" spans="1:14" x14ac:dyDescent="0.2">
      <c r="A38" t="s">
        <v>15</v>
      </c>
      <c r="B38" t="s">
        <v>52</v>
      </c>
      <c r="C38">
        <v>966</v>
      </c>
      <c r="F38" s="235" t="s">
        <v>50</v>
      </c>
      <c r="G38">
        <v>455</v>
      </c>
      <c r="I38" s="235" t="s">
        <v>49</v>
      </c>
      <c r="J38">
        <v>14955</v>
      </c>
      <c r="M38" s="117" t="s">
        <v>52</v>
      </c>
      <c r="N38" s="1186">
        <v>183820</v>
      </c>
    </row>
    <row r="39" spans="1:14" x14ac:dyDescent="0.2">
      <c r="A39" t="s">
        <v>282</v>
      </c>
      <c r="B39" t="s">
        <v>23</v>
      </c>
      <c r="C39">
        <v>1471</v>
      </c>
      <c r="F39" s="235" t="s">
        <v>51</v>
      </c>
      <c r="G39">
        <v>355</v>
      </c>
      <c r="I39" s="235" t="s">
        <v>50</v>
      </c>
      <c r="J39">
        <v>6052</v>
      </c>
    </row>
    <row r="40" spans="1:14" x14ac:dyDescent="0.2">
      <c r="A40" t="s">
        <v>17</v>
      </c>
      <c r="B40" t="s">
        <v>25</v>
      </c>
      <c r="C40">
        <v>409</v>
      </c>
      <c r="F40" s="235" t="s">
        <v>52</v>
      </c>
      <c r="G40">
        <v>806</v>
      </c>
      <c r="I40" s="235" t="s">
        <v>51</v>
      </c>
      <c r="J40">
        <v>4721</v>
      </c>
    </row>
    <row r="41" spans="1:14" x14ac:dyDescent="0.2">
      <c r="A41" t="s">
        <v>133</v>
      </c>
      <c r="B41" t="s">
        <v>25</v>
      </c>
      <c r="C41">
        <v>370</v>
      </c>
      <c r="F41" s="235" t="s">
        <v>333</v>
      </c>
      <c r="G41">
        <v>23733</v>
      </c>
      <c r="I41" s="235" t="s">
        <v>52</v>
      </c>
      <c r="J41">
        <v>11894</v>
      </c>
    </row>
    <row r="42" spans="1:14" x14ac:dyDescent="0.2">
      <c r="A42" t="s">
        <v>144</v>
      </c>
      <c r="B42" t="s">
        <v>25</v>
      </c>
      <c r="C42">
        <v>428</v>
      </c>
      <c r="I42" s="235" t="s">
        <v>333</v>
      </c>
      <c r="J42">
        <v>332617</v>
      </c>
    </row>
    <row r="43" spans="1:14" x14ac:dyDescent="0.2">
      <c r="A43" t="s">
        <v>311</v>
      </c>
      <c r="B43" t="s">
        <v>25</v>
      </c>
      <c r="C43">
        <v>380</v>
      </c>
    </row>
    <row r="44" spans="1:14" x14ac:dyDescent="0.2">
      <c r="A44" t="s">
        <v>15</v>
      </c>
      <c r="B44" t="s">
        <v>26</v>
      </c>
      <c r="C44">
        <v>569</v>
      </c>
    </row>
    <row r="45" spans="1:14" x14ac:dyDescent="0.2">
      <c r="A45" t="s">
        <v>15</v>
      </c>
      <c r="B45" t="s">
        <v>619</v>
      </c>
      <c r="C45">
        <v>4105</v>
      </c>
    </row>
    <row r="46" spans="1:14" x14ac:dyDescent="0.2">
      <c r="A46" t="s">
        <v>17</v>
      </c>
      <c r="B46" t="s">
        <v>28</v>
      </c>
      <c r="C46">
        <v>265</v>
      </c>
    </row>
    <row r="47" spans="1:14" x14ac:dyDescent="0.2">
      <c r="A47" t="s">
        <v>133</v>
      </c>
      <c r="B47" t="s">
        <v>28</v>
      </c>
      <c r="C47">
        <v>350</v>
      </c>
    </row>
    <row r="48" spans="1:14" x14ac:dyDescent="0.2">
      <c r="A48" t="s">
        <v>311</v>
      </c>
      <c r="B48" t="s">
        <v>28</v>
      </c>
      <c r="C48">
        <v>540</v>
      </c>
    </row>
    <row r="49" spans="1:3" x14ac:dyDescent="0.2">
      <c r="A49" t="s">
        <v>17</v>
      </c>
      <c r="B49" t="s">
        <v>29</v>
      </c>
      <c r="C49">
        <v>1288</v>
      </c>
    </row>
    <row r="50" spans="1:3" x14ac:dyDescent="0.2">
      <c r="A50" t="s">
        <v>133</v>
      </c>
      <c r="B50" t="s">
        <v>29</v>
      </c>
      <c r="C50">
        <v>1238</v>
      </c>
    </row>
    <row r="51" spans="1:3" x14ac:dyDescent="0.2">
      <c r="A51" t="s">
        <v>311</v>
      </c>
      <c r="B51" t="s">
        <v>29</v>
      </c>
      <c r="C51">
        <v>1290</v>
      </c>
    </row>
    <row r="52" spans="1:3" x14ac:dyDescent="0.2">
      <c r="A52" t="s">
        <v>1572</v>
      </c>
      <c r="B52" t="s">
        <v>30</v>
      </c>
      <c r="C52">
        <v>501</v>
      </c>
    </row>
    <row r="53" spans="1:3" x14ac:dyDescent="0.2">
      <c r="A53" t="s">
        <v>20</v>
      </c>
      <c r="B53" t="s">
        <v>31</v>
      </c>
      <c r="C53">
        <v>318</v>
      </c>
    </row>
    <row r="54" spans="1:3" x14ac:dyDescent="0.2">
      <c r="A54" t="s">
        <v>15</v>
      </c>
      <c r="B54" t="s">
        <v>31</v>
      </c>
      <c r="C54">
        <v>318</v>
      </c>
    </row>
    <row r="55" spans="1:3" x14ac:dyDescent="0.2">
      <c r="A55" t="s">
        <v>1572</v>
      </c>
      <c r="B55" t="s">
        <v>31</v>
      </c>
      <c r="C55">
        <v>277</v>
      </c>
    </row>
    <row r="56" spans="1:3" x14ac:dyDescent="0.2">
      <c r="A56" t="s">
        <v>15</v>
      </c>
      <c r="B56" t="s">
        <v>32</v>
      </c>
      <c r="C56">
        <v>438</v>
      </c>
    </row>
    <row r="57" spans="1:3" x14ac:dyDescent="0.2">
      <c r="A57" t="s">
        <v>1572</v>
      </c>
      <c r="B57" t="s">
        <v>33</v>
      </c>
      <c r="C57">
        <v>221</v>
      </c>
    </row>
    <row r="58" spans="1:3" x14ac:dyDescent="0.2">
      <c r="A58" t="s">
        <v>15</v>
      </c>
      <c r="B58" t="s">
        <v>35</v>
      </c>
      <c r="C58">
        <v>1117</v>
      </c>
    </row>
    <row r="59" spans="1:3" x14ac:dyDescent="0.2">
      <c r="A59" t="s">
        <v>15</v>
      </c>
      <c r="B59" t="s">
        <v>36</v>
      </c>
      <c r="C59">
        <v>5360</v>
      </c>
    </row>
    <row r="60" spans="1:3" x14ac:dyDescent="0.2">
      <c r="A60" t="s">
        <v>17</v>
      </c>
      <c r="B60" t="s">
        <v>37</v>
      </c>
      <c r="C60">
        <v>879</v>
      </c>
    </row>
    <row r="61" spans="1:3" x14ac:dyDescent="0.2">
      <c r="A61" t="s">
        <v>144</v>
      </c>
      <c r="B61" t="s">
        <v>37</v>
      </c>
      <c r="C61">
        <v>928</v>
      </c>
    </row>
    <row r="62" spans="1:3" x14ac:dyDescent="0.2">
      <c r="A62" t="s">
        <v>19</v>
      </c>
      <c r="B62" t="s">
        <v>38</v>
      </c>
      <c r="C62">
        <v>487</v>
      </c>
    </row>
    <row r="63" spans="1:3" x14ac:dyDescent="0.2">
      <c r="A63" t="s">
        <v>13</v>
      </c>
      <c r="B63" t="s">
        <v>38</v>
      </c>
      <c r="C63">
        <v>467</v>
      </c>
    </row>
    <row r="64" spans="1:3" x14ac:dyDescent="0.2">
      <c r="A64" t="s">
        <v>1419</v>
      </c>
      <c r="B64" t="s">
        <v>38</v>
      </c>
      <c r="C64">
        <v>394</v>
      </c>
    </row>
    <row r="65" spans="1:3" x14ac:dyDescent="0.2">
      <c r="A65" t="s">
        <v>19</v>
      </c>
      <c r="B65" t="s">
        <v>39</v>
      </c>
      <c r="C65">
        <v>255</v>
      </c>
    </row>
    <row r="66" spans="1:3" x14ac:dyDescent="0.2">
      <c r="A66" t="s">
        <v>13</v>
      </c>
      <c r="B66" t="s">
        <v>39</v>
      </c>
      <c r="C66">
        <v>283</v>
      </c>
    </row>
    <row r="67" spans="1:3" x14ac:dyDescent="0.2">
      <c r="A67" t="s">
        <v>1419</v>
      </c>
      <c r="B67" t="s">
        <v>39</v>
      </c>
      <c r="C67">
        <v>386</v>
      </c>
    </row>
    <row r="68" spans="1:3" x14ac:dyDescent="0.2">
      <c r="A68" t="s">
        <v>20</v>
      </c>
      <c r="B68" t="s">
        <v>40</v>
      </c>
      <c r="C68">
        <v>301</v>
      </c>
    </row>
    <row r="69" spans="1:3" x14ac:dyDescent="0.2">
      <c r="A69" t="s">
        <v>15</v>
      </c>
      <c r="B69" t="s">
        <v>40</v>
      </c>
      <c r="C69">
        <v>404</v>
      </c>
    </row>
    <row r="70" spans="1:3" x14ac:dyDescent="0.2">
      <c r="A70" t="s">
        <v>621</v>
      </c>
      <c r="B70" t="s">
        <v>295</v>
      </c>
      <c r="C70">
        <v>160</v>
      </c>
    </row>
    <row r="71" spans="1:3" x14ac:dyDescent="0.2">
      <c r="A71" t="s">
        <v>15</v>
      </c>
      <c r="B71" t="s">
        <v>41</v>
      </c>
      <c r="C71">
        <v>477</v>
      </c>
    </row>
    <row r="72" spans="1:3" x14ac:dyDescent="0.2">
      <c r="A72" t="s">
        <v>621</v>
      </c>
      <c r="B72" t="s">
        <v>42</v>
      </c>
      <c r="C72">
        <v>1265</v>
      </c>
    </row>
    <row r="73" spans="1:3" x14ac:dyDescent="0.2">
      <c r="A73" t="s">
        <v>282</v>
      </c>
      <c r="B73" t="s">
        <v>43</v>
      </c>
      <c r="C73">
        <v>51</v>
      </c>
    </row>
    <row r="74" spans="1:3" x14ac:dyDescent="0.2">
      <c r="A74" t="s">
        <v>282</v>
      </c>
      <c r="B74" t="s">
        <v>45</v>
      </c>
      <c r="C74">
        <v>763</v>
      </c>
    </row>
    <row r="75" spans="1:3" x14ac:dyDescent="0.2">
      <c r="A75" t="s">
        <v>1572</v>
      </c>
      <c r="B75" t="s">
        <v>46</v>
      </c>
      <c r="C75">
        <v>451</v>
      </c>
    </row>
    <row r="76" spans="1:3" x14ac:dyDescent="0.2">
      <c r="A76" t="s">
        <v>1572</v>
      </c>
      <c r="B76" t="s">
        <v>47</v>
      </c>
      <c r="C76">
        <v>66</v>
      </c>
    </row>
    <row r="77" spans="1:3" x14ac:dyDescent="0.2">
      <c r="A77" t="s">
        <v>20</v>
      </c>
      <c r="B77" t="s">
        <v>48</v>
      </c>
      <c r="C77">
        <v>653</v>
      </c>
    </row>
    <row r="78" spans="1:3" x14ac:dyDescent="0.2">
      <c r="A78" t="s">
        <v>15</v>
      </c>
      <c r="B78" t="s">
        <v>48</v>
      </c>
      <c r="C78">
        <v>667</v>
      </c>
    </row>
    <row r="79" spans="1:3" x14ac:dyDescent="0.2">
      <c r="A79" t="s">
        <v>1419</v>
      </c>
      <c r="B79" t="s">
        <v>50</v>
      </c>
      <c r="C79">
        <v>534</v>
      </c>
    </row>
    <row r="80" spans="1:3" x14ac:dyDescent="0.2">
      <c r="A80" t="s">
        <v>1572</v>
      </c>
      <c r="B80" t="s">
        <v>50</v>
      </c>
      <c r="C80">
        <v>455</v>
      </c>
    </row>
    <row r="81" spans="1:3" x14ac:dyDescent="0.2">
      <c r="A81" t="s">
        <v>1572</v>
      </c>
      <c r="B81" t="s">
        <v>51</v>
      </c>
      <c r="C81">
        <v>355</v>
      </c>
    </row>
    <row r="82" spans="1:3" x14ac:dyDescent="0.2">
      <c r="A82" t="s">
        <v>282</v>
      </c>
      <c r="B82" t="s">
        <v>52</v>
      </c>
      <c r="C82">
        <v>1127</v>
      </c>
    </row>
    <row r="83" spans="1:3" x14ac:dyDescent="0.2">
      <c r="A83" t="s">
        <v>621</v>
      </c>
      <c r="B83" t="s">
        <v>23</v>
      </c>
      <c r="C83">
        <v>1349</v>
      </c>
    </row>
    <row r="84" spans="1:3" x14ac:dyDescent="0.2">
      <c r="A84" t="s">
        <v>20</v>
      </c>
      <c r="B84" t="s">
        <v>24</v>
      </c>
      <c r="C84">
        <v>392</v>
      </c>
    </row>
    <row r="85" spans="1:3" x14ac:dyDescent="0.2">
      <c r="A85" t="s">
        <v>19</v>
      </c>
      <c r="B85" t="s">
        <v>25</v>
      </c>
      <c r="C85">
        <v>377</v>
      </c>
    </row>
    <row r="86" spans="1:3" x14ac:dyDescent="0.2">
      <c r="A86" t="s">
        <v>13</v>
      </c>
      <c r="B86" t="s">
        <v>25</v>
      </c>
      <c r="C86">
        <v>419</v>
      </c>
    </row>
    <row r="87" spans="1:3" x14ac:dyDescent="0.2">
      <c r="A87" t="s">
        <v>1419</v>
      </c>
      <c r="B87" t="s">
        <v>25</v>
      </c>
      <c r="C87">
        <v>361</v>
      </c>
    </row>
    <row r="88" spans="1:3" x14ac:dyDescent="0.2">
      <c r="A88" t="s">
        <v>1572</v>
      </c>
      <c r="B88" t="s">
        <v>619</v>
      </c>
      <c r="C88">
        <v>2998</v>
      </c>
    </row>
    <row r="89" spans="1:3" x14ac:dyDescent="0.2">
      <c r="A89" t="s">
        <v>20</v>
      </c>
      <c r="B89" t="s">
        <v>27</v>
      </c>
      <c r="C89">
        <v>233</v>
      </c>
    </row>
    <row r="90" spans="1:3" x14ac:dyDescent="0.2">
      <c r="A90" t="s">
        <v>1419</v>
      </c>
      <c r="B90" t="s">
        <v>27</v>
      </c>
      <c r="C90">
        <v>225</v>
      </c>
    </row>
    <row r="91" spans="1:3" x14ac:dyDescent="0.2">
      <c r="A91" t="s">
        <v>19</v>
      </c>
      <c r="B91" t="s">
        <v>28</v>
      </c>
      <c r="C91">
        <v>354</v>
      </c>
    </row>
    <row r="92" spans="1:3" x14ac:dyDescent="0.2">
      <c r="A92" t="s">
        <v>20</v>
      </c>
      <c r="B92" t="s">
        <v>28</v>
      </c>
      <c r="C92">
        <v>335</v>
      </c>
    </row>
    <row r="93" spans="1:3" x14ac:dyDescent="0.2">
      <c r="A93" t="s">
        <v>13</v>
      </c>
      <c r="B93" t="s">
        <v>28</v>
      </c>
      <c r="C93">
        <v>318</v>
      </c>
    </row>
    <row r="94" spans="1:3" x14ac:dyDescent="0.2">
      <c r="A94" t="s">
        <v>1419</v>
      </c>
      <c r="B94" t="s">
        <v>28</v>
      </c>
      <c r="C94">
        <v>446</v>
      </c>
    </row>
    <row r="95" spans="1:3" x14ac:dyDescent="0.2">
      <c r="A95" t="s">
        <v>13</v>
      </c>
      <c r="B95" t="s">
        <v>29</v>
      </c>
      <c r="C95">
        <v>1275</v>
      </c>
    </row>
    <row r="96" spans="1:3" x14ac:dyDescent="0.2">
      <c r="A96" t="s">
        <v>15</v>
      </c>
      <c r="B96" t="s">
        <v>30</v>
      </c>
      <c r="C96">
        <v>581</v>
      </c>
    </row>
    <row r="97" spans="1:3" x14ac:dyDescent="0.2">
      <c r="A97" t="s">
        <v>1572</v>
      </c>
      <c r="B97" t="s">
        <v>32</v>
      </c>
      <c r="C97">
        <v>454</v>
      </c>
    </row>
    <row r="98" spans="1:3" x14ac:dyDescent="0.2">
      <c r="A98" t="s">
        <v>20</v>
      </c>
      <c r="B98" t="s">
        <v>34</v>
      </c>
      <c r="C98">
        <v>767</v>
      </c>
    </row>
    <row r="99" spans="1:3" x14ac:dyDescent="0.2">
      <c r="A99" t="s">
        <v>1419</v>
      </c>
      <c r="B99" t="s">
        <v>34</v>
      </c>
      <c r="C99">
        <v>674</v>
      </c>
    </row>
    <row r="100" spans="1:3" x14ac:dyDescent="0.2">
      <c r="A100" t="s">
        <v>19</v>
      </c>
      <c r="B100" t="s">
        <v>35</v>
      </c>
      <c r="C100">
        <v>1389</v>
      </c>
    </row>
    <row r="101" spans="1:3" x14ac:dyDescent="0.2">
      <c r="A101" t="s">
        <v>1419</v>
      </c>
      <c r="B101" t="s">
        <v>35</v>
      </c>
      <c r="C101">
        <v>1550</v>
      </c>
    </row>
    <row r="102" spans="1:3" x14ac:dyDescent="0.2">
      <c r="A102" t="s">
        <v>1572</v>
      </c>
      <c r="B102" t="s">
        <v>35</v>
      </c>
      <c r="C102">
        <v>1305</v>
      </c>
    </row>
    <row r="103" spans="1:3" x14ac:dyDescent="0.2">
      <c r="A103" t="s">
        <v>17</v>
      </c>
      <c r="B103" t="s">
        <v>38</v>
      </c>
      <c r="C103">
        <v>385</v>
      </c>
    </row>
    <row r="104" spans="1:3" x14ac:dyDescent="0.2">
      <c r="A104" t="s">
        <v>133</v>
      </c>
      <c r="B104" t="s">
        <v>38</v>
      </c>
      <c r="C104">
        <v>420</v>
      </c>
    </row>
    <row r="105" spans="1:3" x14ac:dyDescent="0.2">
      <c r="A105" t="s">
        <v>144</v>
      </c>
      <c r="B105" t="s">
        <v>38</v>
      </c>
      <c r="C105">
        <v>367</v>
      </c>
    </row>
    <row r="106" spans="1:3" x14ac:dyDescent="0.2">
      <c r="A106" t="s">
        <v>311</v>
      </c>
      <c r="B106" t="s">
        <v>38</v>
      </c>
      <c r="C106">
        <v>391</v>
      </c>
    </row>
    <row r="107" spans="1:3" x14ac:dyDescent="0.2">
      <c r="A107" t="s">
        <v>17</v>
      </c>
      <c r="B107" t="s">
        <v>39</v>
      </c>
      <c r="C107">
        <v>264</v>
      </c>
    </row>
    <row r="108" spans="1:3" x14ac:dyDescent="0.2">
      <c r="A108" t="s">
        <v>133</v>
      </c>
      <c r="B108" t="s">
        <v>39</v>
      </c>
      <c r="C108">
        <v>252</v>
      </c>
    </row>
    <row r="109" spans="1:3" x14ac:dyDescent="0.2">
      <c r="A109" t="s">
        <v>144</v>
      </c>
      <c r="B109" t="s">
        <v>39</v>
      </c>
      <c r="C109">
        <v>308</v>
      </c>
    </row>
    <row r="110" spans="1:3" x14ac:dyDescent="0.2">
      <c r="A110" t="s">
        <v>311</v>
      </c>
      <c r="B110" t="s">
        <v>39</v>
      </c>
      <c r="C110">
        <v>364</v>
      </c>
    </row>
    <row r="111" spans="1:3" x14ac:dyDescent="0.2">
      <c r="A111" t="s">
        <v>282</v>
      </c>
      <c r="B111" t="s">
        <v>295</v>
      </c>
      <c r="C111">
        <v>177</v>
      </c>
    </row>
    <row r="112" spans="1:3" x14ac:dyDescent="0.2">
      <c r="A112" t="s">
        <v>1572</v>
      </c>
      <c r="B112" t="s">
        <v>41</v>
      </c>
      <c r="C112">
        <v>594</v>
      </c>
    </row>
    <row r="113" spans="1:3" x14ac:dyDescent="0.2">
      <c r="A113" t="s">
        <v>282</v>
      </c>
      <c r="B113" t="s">
        <v>42</v>
      </c>
      <c r="C113">
        <v>1198</v>
      </c>
    </row>
    <row r="114" spans="1:3" x14ac:dyDescent="0.2">
      <c r="A114" t="s">
        <v>621</v>
      </c>
      <c r="B114" t="s">
        <v>43</v>
      </c>
      <c r="C114">
        <v>47</v>
      </c>
    </row>
    <row r="115" spans="1:3" x14ac:dyDescent="0.2">
      <c r="A115" t="s">
        <v>20</v>
      </c>
      <c r="B115" t="s">
        <v>44</v>
      </c>
      <c r="C115">
        <v>585</v>
      </c>
    </row>
    <row r="116" spans="1:3" x14ac:dyDescent="0.2">
      <c r="A116" t="s">
        <v>15</v>
      </c>
      <c r="B116" t="s">
        <v>44</v>
      </c>
      <c r="C116">
        <v>627</v>
      </c>
    </row>
    <row r="117" spans="1:3" x14ac:dyDescent="0.2">
      <c r="A117" t="s">
        <v>621</v>
      </c>
      <c r="B117" t="s">
        <v>45</v>
      </c>
      <c r="C117">
        <v>863</v>
      </c>
    </row>
    <row r="118" spans="1:3" x14ac:dyDescent="0.2">
      <c r="A118" t="s">
        <v>15</v>
      </c>
      <c r="B118" t="s">
        <v>46</v>
      </c>
      <c r="C118">
        <v>469</v>
      </c>
    </row>
    <row r="119" spans="1:3" x14ac:dyDescent="0.2">
      <c r="A119" t="s">
        <v>15</v>
      </c>
      <c r="B119" t="s">
        <v>47</v>
      </c>
      <c r="C119">
        <v>72</v>
      </c>
    </row>
    <row r="120" spans="1:3" x14ac:dyDescent="0.2">
      <c r="A120" t="s">
        <v>1572</v>
      </c>
      <c r="B120" t="s">
        <v>49</v>
      </c>
      <c r="C120">
        <v>1152</v>
      </c>
    </row>
    <row r="121" spans="1:3" x14ac:dyDescent="0.2">
      <c r="A121" t="s">
        <v>15</v>
      </c>
      <c r="B121" t="s">
        <v>50</v>
      </c>
      <c r="C121">
        <v>555</v>
      </c>
    </row>
    <row r="122" spans="1:3" x14ac:dyDescent="0.2">
      <c r="A122" t="s">
        <v>621</v>
      </c>
      <c r="B122" t="s">
        <v>52</v>
      </c>
      <c r="C122">
        <v>1018</v>
      </c>
    </row>
    <row r="123" spans="1:3" x14ac:dyDescent="0.2">
      <c r="A123" t="s">
        <v>1419</v>
      </c>
      <c r="B123" t="s">
        <v>23</v>
      </c>
      <c r="C123">
        <v>1428</v>
      </c>
    </row>
    <row r="124" spans="1:3" x14ac:dyDescent="0.2">
      <c r="A124" t="s">
        <v>17</v>
      </c>
      <c r="B124" t="s">
        <v>24</v>
      </c>
      <c r="C124">
        <v>436</v>
      </c>
    </row>
    <row r="125" spans="1:3" x14ac:dyDescent="0.2">
      <c r="A125" t="s">
        <v>133</v>
      </c>
      <c r="B125" t="s">
        <v>24</v>
      </c>
      <c r="C125">
        <v>513</v>
      </c>
    </row>
    <row r="126" spans="1:3" x14ac:dyDescent="0.2">
      <c r="A126" t="s">
        <v>144</v>
      </c>
      <c r="B126" t="s">
        <v>24</v>
      </c>
      <c r="C126">
        <v>568</v>
      </c>
    </row>
    <row r="127" spans="1:3" x14ac:dyDescent="0.2">
      <c r="A127" t="s">
        <v>311</v>
      </c>
      <c r="B127" t="s">
        <v>24</v>
      </c>
      <c r="C127">
        <v>647</v>
      </c>
    </row>
    <row r="128" spans="1:3" x14ac:dyDescent="0.2">
      <c r="A128" t="s">
        <v>1572</v>
      </c>
      <c r="B128" t="s">
        <v>24</v>
      </c>
      <c r="C128">
        <v>553</v>
      </c>
    </row>
    <row r="129" spans="1:3" x14ac:dyDescent="0.2">
      <c r="A129" t="s">
        <v>621</v>
      </c>
      <c r="B129" t="s">
        <v>26</v>
      </c>
      <c r="C129">
        <v>631</v>
      </c>
    </row>
    <row r="130" spans="1:3" x14ac:dyDescent="0.2">
      <c r="A130" t="s">
        <v>1572</v>
      </c>
      <c r="B130" t="s">
        <v>26</v>
      </c>
      <c r="C130">
        <v>531</v>
      </c>
    </row>
    <row r="131" spans="1:3" x14ac:dyDescent="0.2">
      <c r="A131" t="s">
        <v>19</v>
      </c>
      <c r="B131" t="s">
        <v>619</v>
      </c>
      <c r="C131">
        <v>4211</v>
      </c>
    </row>
    <row r="132" spans="1:3" x14ac:dyDescent="0.2">
      <c r="A132" t="s">
        <v>621</v>
      </c>
      <c r="B132" t="s">
        <v>619</v>
      </c>
      <c r="C132">
        <v>4017</v>
      </c>
    </row>
    <row r="133" spans="1:3" x14ac:dyDescent="0.2">
      <c r="A133" t="s">
        <v>17</v>
      </c>
      <c r="B133" t="s">
        <v>27</v>
      </c>
      <c r="C133">
        <v>224</v>
      </c>
    </row>
    <row r="134" spans="1:3" x14ac:dyDescent="0.2">
      <c r="A134" t="s">
        <v>133</v>
      </c>
      <c r="B134" t="s">
        <v>27</v>
      </c>
      <c r="C134">
        <v>251</v>
      </c>
    </row>
    <row r="135" spans="1:3" x14ac:dyDescent="0.2">
      <c r="A135" t="s">
        <v>144</v>
      </c>
      <c r="B135" t="s">
        <v>27</v>
      </c>
      <c r="C135">
        <v>238</v>
      </c>
    </row>
    <row r="136" spans="1:3" x14ac:dyDescent="0.2">
      <c r="A136" t="s">
        <v>311</v>
      </c>
      <c r="B136" t="s">
        <v>27</v>
      </c>
      <c r="C136">
        <v>240</v>
      </c>
    </row>
    <row r="137" spans="1:3" x14ac:dyDescent="0.2">
      <c r="A137" t="s">
        <v>1572</v>
      </c>
      <c r="B137" t="s">
        <v>27</v>
      </c>
      <c r="C137">
        <v>201</v>
      </c>
    </row>
    <row r="138" spans="1:3" x14ac:dyDescent="0.2">
      <c r="A138" t="s">
        <v>1419</v>
      </c>
      <c r="B138" t="s">
        <v>29</v>
      </c>
      <c r="C138">
        <v>1148</v>
      </c>
    </row>
    <row r="139" spans="1:3" x14ac:dyDescent="0.2">
      <c r="A139" t="s">
        <v>282</v>
      </c>
      <c r="B139" t="s">
        <v>30</v>
      </c>
      <c r="C139">
        <v>583</v>
      </c>
    </row>
    <row r="140" spans="1:3" x14ac:dyDescent="0.2">
      <c r="A140" t="s">
        <v>13</v>
      </c>
      <c r="B140" t="s">
        <v>31</v>
      </c>
      <c r="C140">
        <v>334</v>
      </c>
    </row>
    <row r="141" spans="1:3" x14ac:dyDescent="0.2">
      <c r="A141" t="s">
        <v>1419</v>
      </c>
      <c r="B141" t="s">
        <v>31</v>
      </c>
      <c r="C141">
        <v>365</v>
      </c>
    </row>
    <row r="142" spans="1:3" x14ac:dyDescent="0.2">
      <c r="A142" t="s">
        <v>20</v>
      </c>
      <c r="B142" t="s">
        <v>32</v>
      </c>
      <c r="C142">
        <v>416</v>
      </c>
    </row>
    <row r="143" spans="1:3" x14ac:dyDescent="0.2">
      <c r="A143" t="s">
        <v>1419</v>
      </c>
      <c r="B143" t="s">
        <v>32</v>
      </c>
      <c r="C143">
        <v>531</v>
      </c>
    </row>
    <row r="144" spans="1:3" x14ac:dyDescent="0.2">
      <c r="A144" t="s">
        <v>19</v>
      </c>
      <c r="B144" t="s">
        <v>33</v>
      </c>
      <c r="C144">
        <v>240</v>
      </c>
    </row>
    <row r="145" spans="1:3" x14ac:dyDescent="0.2">
      <c r="A145" t="s">
        <v>282</v>
      </c>
      <c r="B145" t="s">
        <v>33</v>
      </c>
      <c r="C145">
        <v>258</v>
      </c>
    </row>
    <row r="146" spans="1:3" x14ac:dyDescent="0.2">
      <c r="A146" t="s">
        <v>17</v>
      </c>
      <c r="B146" t="s">
        <v>34</v>
      </c>
      <c r="C146">
        <v>646</v>
      </c>
    </row>
    <row r="147" spans="1:3" x14ac:dyDescent="0.2">
      <c r="A147" t="s">
        <v>133</v>
      </c>
      <c r="B147" t="s">
        <v>34</v>
      </c>
      <c r="C147">
        <v>638</v>
      </c>
    </row>
    <row r="148" spans="1:3" x14ac:dyDescent="0.2">
      <c r="A148" t="s">
        <v>144</v>
      </c>
      <c r="B148" t="s">
        <v>34</v>
      </c>
      <c r="C148">
        <v>570</v>
      </c>
    </row>
    <row r="149" spans="1:3" x14ac:dyDescent="0.2">
      <c r="A149" t="s">
        <v>311</v>
      </c>
      <c r="B149" t="s">
        <v>34</v>
      </c>
      <c r="C149">
        <v>626</v>
      </c>
    </row>
    <row r="150" spans="1:3" x14ac:dyDescent="0.2">
      <c r="A150" t="s">
        <v>1572</v>
      </c>
      <c r="B150" t="s">
        <v>34</v>
      </c>
      <c r="C150">
        <v>455</v>
      </c>
    </row>
    <row r="151" spans="1:3" x14ac:dyDescent="0.2">
      <c r="A151" t="s">
        <v>621</v>
      </c>
      <c r="B151" t="s">
        <v>35</v>
      </c>
      <c r="C151">
        <v>1553</v>
      </c>
    </row>
    <row r="152" spans="1:3" x14ac:dyDescent="0.2">
      <c r="A152" t="s">
        <v>20</v>
      </c>
      <c r="B152" t="s">
        <v>36</v>
      </c>
      <c r="C152">
        <v>6406</v>
      </c>
    </row>
    <row r="153" spans="1:3" x14ac:dyDescent="0.2">
      <c r="A153" t="s">
        <v>621</v>
      </c>
      <c r="B153" t="s">
        <v>37</v>
      </c>
      <c r="C153">
        <v>1268</v>
      </c>
    </row>
    <row r="154" spans="1:3" x14ac:dyDescent="0.2">
      <c r="A154" t="s">
        <v>20</v>
      </c>
      <c r="B154" t="s">
        <v>38</v>
      </c>
      <c r="C154">
        <v>449</v>
      </c>
    </row>
    <row r="155" spans="1:3" x14ac:dyDescent="0.2">
      <c r="A155" t="s">
        <v>15</v>
      </c>
      <c r="B155" t="s">
        <v>38</v>
      </c>
      <c r="C155">
        <v>451</v>
      </c>
    </row>
    <row r="156" spans="1:3" x14ac:dyDescent="0.2">
      <c r="A156" t="s">
        <v>282</v>
      </c>
      <c r="B156" t="s">
        <v>39</v>
      </c>
      <c r="C156">
        <v>377</v>
      </c>
    </row>
    <row r="157" spans="1:3" x14ac:dyDescent="0.2">
      <c r="A157" t="s">
        <v>19</v>
      </c>
      <c r="B157" t="s">
        <v>40</v>
      </c>
      <c r="C157">
        <v>303</v>
      </c>
    </row>
    <row r="158" spans="1:3" x14ac:dyDescent="0.2">
      <c r="A158" t="s">
        <v>17</v>
      </c>
      <c r="B158" t="s">
        <v>295</v>
      </c>
      <c r="C158">
        <v>184</v>
      </c>
    </row>
    <row r="159" spans="1:3" x14ac:dyDescent="0.2">
      <c r="A159" t="s">
        <v>133</v>
      </c>
      <c r="B159" t="s">
        <v>295</v>
      </c>
      <c r="C159">
        <v>161</v>
      </c>
    </row>
    <row r="160" spans="1:3" x14ac:dyDescent="0.2">
      <c r="A160" t="s">
        <v>144</v>
      </c>
      <c r="B160" t="s">
        <v>295</v>
      </c>
      <c r="C160">
        <v>157</v>
      </c>
    </row>
    <row r="161" spans="1:3" x14ac:dyDescent="0.2">
      <c r="A161" t="s">
        <v>311</v>
      </c>
      <c r="B161" t="s">
        <v>295</v>
      </c>
      <c r="C161">
        <v>156</v>
      </c>
    </row>
    <row r="162" spans="1:3" x14ac:dyDescent="0.2">
      <c r="A162" t="s">
        <v>621</v>
      </c>
      <c r="B162" t="s">
        <v>41</v>
      </c>
      <c r="C162">
        <v>656</v>
      </c>
    </row>
    <row r="163" spans="1:3" x14ac:dyDescent="0.2">
      <c r="A163" t="s">
        <v>19</v>
      </c>
      <c r="B163" t="s">
        <v>43</v>
      </c>
      <c r="C163">
        <v>64</v>
      </c>
    </row>
    <row r="164" spans="1:3" x14ac:dyDescent="0.2">
      <c r="A164" t="s">
        <v>19</v>
      </c>
      <c r="B164" t="s">
        <v>45</v>
      </c>
      <c r="C164">
        <v>1150</v>
      </c>
    </row>
    <row r="165" spans="1:3" x14ac:dyDescent="0.2">
      <c r="A165" t="s">
        <v>282</v>
      </c>
      <c r="B165" t="s">
        <v>46</v>
      </c>
      <c r="C165">
        <v>447</v>
      </c>
    </row>
    <row r="166" spans="1:3" x14ac:dyDescent="0.2">
      <c r="A166" t="s">
        <v>19</v>
      </c>
      <c r="B166" t="s">
        <v>48</v>
      </c>
      <c r="C166">
        <v>620</v>
      </c>
    </row>
    <row r="167" spans="1:3" x14ac:dyDescent="0.2">
      <c r="A167" t="s">
        <v>20</v>
      </c>
      <c r="B167" t="s">
        <v>49</v>
      </c>
      <c r="C167">
        <v>1221</v>
      </c>
    </row>
    <row r="168" spans="1:3" x14ac:dyDescent="0.2">
      <c r="A168" t="s">
        <v>15</v>
      </c>
      <c r="B168" t="s">
        <v>49</v>
      </c>
      <c r="C168">
        <v>1152</v>
      </c>
    </row>
    <row r="169" spans="1:3" x14ac:dyDescent="0.2">
      <c r="A169" t="s">
        <v>19</v>
      </c>
      <c r="B169" t="s">
        <v>51</v>
      </c>
      <c r="C169">
        <v>493</v>
      </c>
    </row>
    <row r="170" spans="1:3" x14ac:dyDescent="0.2">
      <c r="A170" t="s">
        <v>282</v>
      </c>
      <c r="B170" t="s">
        <v>51</v>
      </c>
      <c r="C170">
        <v>378</v>
      </c>
    </row>
    <row r="171" spans="1:3" x14ac:dyDescent="0.2">
      <c r="A171" t="s">
        <v>621</v>
      </c>
      <c r="B171" t="s">
        <v>1577</v>
      </c>
      <c r="C171">
        <v>1</v>
      </c>
    </row>
    <row r="172" spans="1:3" x14ac:dyDescent="0.2">
      <c r="A172" t="s">
        <v>20</v>
      </c>
      <c r="B172" t="s">
        <v>23</v>
      </c>
      <c r="C172">
        <v>1131</v>
      </c>
    </row>
    <row r="173" spans="1:3" x14ac:dyDescent="0.2">
      <c r="A173" t="s">
        <v>13</v>
      </c>
      <c r="B173" t="s">
        <v>23</v>
      </c>
      <c r="C173">
        <v>1136</v>
      </c>
    </row>
    <row r="174" spans="1:3" x14ac:dyDescent="0.2">
      <c r="A174" t="s">
        <v>17</v>
      </c>
      <c r="B174" t="s">
        <v>23</v>
      </c>
      <c r="C174">
        <v>1282</v>
      </c>
    </row>
    <row r="175" spans="1:3" x14ac:dyDescent="0.2">
      <c r="A175" t="s">
        <v>133</v>
      </c>
      <c r="B175" t="s">
        <v>23</v>
      </c>
      <c r="C175">
        <v>1340</v>
      </c>
    </row>
    <row r="176" spans="1:3" x14ac:dyDescent="0.2">
      <c r="A176" t="s">
        <v>311</v>
      </c>
      <c r="B176" t="s">
        <v>23</v>
      </c>
      <c r="C176">
        <v>1412</v>
      </c>
    </row>
    <row r="177" spans="1:3" x14ac:dyDescent="0.2">
      <c r="A177" t="s">
        <v>282</v>
      </c>
      <c r="B177" t="s">
        <v>24</v>
      </c>
      <c r="C177">
        <v>606</v>
      </c>
    </row>
    <row r="178" spans="1:3" x14ac:dyDescent="0.2">
      <c r="A178" t="s">
        <v>621</v>
      </c>
      <c r="B178" t="s">
        <v>24</v>
      </c>
      <c r="C178">
        <v>689</v>
      </c>
    </row>
    <row r="179" spans="1:3" x14ac:dyDescent="0.2">
      <c r="A179" t="s">
        <v>282</v>
      </c>
      <c r="B179" t="s">
        <v>28</v>
      </c>
      <c r="C179">
        <v>520</v>
      </c>
    </row>
    <row r="180" spans="1:3" x14ac:dyDescent="0.2">
      <c r="A180" t="s">
        <v>621</v>
      </c>
      <c r="B180" t="s">
        <v>28</v>
      </c>
      <c r="C180">
        <v>470</v>
      </c>
    </row>
    <row r="181" spans="1:3" x14ac:dyDescent="0.2">
      <c r="A181" t="s">
        <v>144</v>
      </c>
      <c r="B181" t="s">
        <v>30</v>
      </c>
      <c r="C181">
        <v>534</v>
      </c>
    </row>
    <row r="182" spans="1:3" x14ac:dyDescent="0.2">
      <c r="A182" t="s">
        <v>282</v>
      </c>
      <c r="B182" t="s">
        <v>31</v>
      </c>
      <c r="C182">
        <v>322</v>
      </c>
    </row>
    <row r="183" spans="1:3" x14ac:dyDescent="0.2">
      <c r="A183" t="s">
        <v>621</v>
      </c>
      <c r="B183" t="s">
        <v>31</v>
      </c>
      <c r="C183">
        <v>332</v>
      </c>
    </row>
    <row r="184" spans="1:3" x14ac:dyDescent="0.2">
      <c r="A184" t="s">
        <v>13</v>
      </c>
      <c r="B184" t="s">
        <v>32</v>
      </c>
      <c r="C184">
        <v>404</v>
      </c>
    </row>
    <row r="185" spans="1:3" x14ac:dyDescent="0.2">
      <c r="A185" t="s">
        <v>17</v>
      </c>
      <c r="B185" t="s">
        <v>32</v>
      </c>
      <c r="C185">
        <v>461</v>
      </c>
    </row>
    <row r="186" spans="1:3" x14ac:dyDescent="0.2">
      <c r="A186" t="s">
        <v>133</v>
      </c>
      <c r="B186" t="s">
        <v>32</v>
      </c>
      <c r="C186">
        <v>450</v>
      </c>
    </row>
    <row r="187" spans="1:3" x14ac:dyDescent="0.2">
      <c r="A187" t="s">
        <v>144</v>
      </c>
      <c r="B187" t="s">
        <v>32</v>
      </c>
      <c r="C187">
        <v>466</v>
      </c>
    </row>
    <row r="188" spans="1:3" x14ac:dyDescent="0.2">
      <c r="A188" t="s">
        <v>311</v>
      </c>
      <c r="B188" t="s">
        <v>32</v>
      </c>
      <c r="C188">
        <v>514</v>
      </c>
    </row>
    <row r="189" spans="1:3" x14ac:dyDescent="0.2">
      <c r="A189" t="s">
        <v>282</v>
      </c>
      <c r="B189" t="s">
        <v>34</v>
      </c>
      <c r="C189">
        <v>598</v>
      </c>
    </row>
    <row r="190" spans="1:3" x14ac:dyDescent="0.2">
      <c r="A190" t="s">
        <v>621</v>
      </c>
      <c r="B190" t="s">
        <v>34</v>
      </c>
      <c r="C190">
        <v>590</v>
      </c>
    </row>
    <row r="191" spans="1:3" x14ac:dyDescent="0.2">
      <c r="A191" t="s">
        <v>13</v>
      </c>
      <c r="B191" t="s">
        <v>36</v>
      </c>
      <c r="C191">
        <v>5841</v>
      </c>
    </row>
    <row r="192" spans="1:3" x14ac:dyDescent="0.2">
      <c r="A192" t="s">
        <v>17</v>
      </c>
      <c r="B192" t="s">
        <v>36</v>
      </c>
      <c r="C192">
        <v>5471</v>
      </c>
    </row>
    <row r="193" spans="1:3" x14ac:dyDescent="0.2">
      <c r="A193" t="s">
        <v>133</v>
      </c>
      <c r="B193" t="s">
        <v>36</v>
      </c>
      <c r="C193">
        <v>5380</v>
      </c>
    </row>
    <row r="194" spans="1:3" x14ac:dyDescent="0.2">
      <c r="A194" t="s">
        <v>144</v>
      </c>
      <c r="B194" t="s">
        <v>36</v>
      </c>
      <c r="C194">
        <v>5383</v>
      </c>
    </row>
    <row r="195" spans="1:3" x14ac:dyDescent="0.2">
      <c r="A195" t="s">
        <v>311</v>
      </c>
      <c r="B195" t="s">
        <v>36</v>
      </c>
      <c r="C195">
        <v>5447</v>
      </c>
    </row>
    <row r="196" spans="1:3" x14ac:dyDescent="0.2">
      <c r="A196" t="s">
        <v>15</v>
      </c>
      <c r="B196" t="s">
        <v>37</v>
      </c>
      <c r="C196">
        <v>862</v>
      </c>
    </row>
    <row r="197" spans="1:3" x14ac:dyDescent="0.2">
      <c r="A197" t="s">
        <v>1572</v>
      </c>
      <c r="B197" t="s">
        <v>39</v>
      </c>
      <c r="C197">
        <v>293</v>
      </c>
    </row>
    <row r="198" spans="1:3" x14ac:dyDescent="0.2">
      <c r="A198" t="s">
        <v>282</v>
      </c>
      <c r="B198" t="s">
        <v>40</v>
      </c>
      <c r="C198">
        <v>373</v>
      </c>
    </row>
    <row r="199" spans="1:3" x14ac:dyDescent="0.2">
      <c r="A199" t="s">
        <v>621</v>
      </c>
      <c r="B199" t="s">
        <v>40</v>
      </c>
      <c r="C199">
        <v>374</v>
      </c>
    </row>
    <row r="200" spans="1:3" x14ac:dyDescent="0.2">
      <c r="A200" t="s">
        <v>1419</v>
      </c>
      <c r="B200" t="s">
        <v>41</v>
      </c>
      <c r="C200">
        <v>613</v>
      </c>
    </row>
    <row r="201" spans="1:3" x14ac:dyDescent="0.2">
      <c r="A201" t="s">
        <v>20</v>
      </c>
      <c r="B201" t="s">
        <v>43</v>
      </c>
      <c r="C201">
        <v>39</v>
      </c>
    </row>
    <row r="202" spans="1:3" x14ac:dyDescent="0.2">
      <c r="A202" t="s">
        <v>15</v>
      </c>
      <c r="B202" t="s">
        <v>43</v>
      </c>
      <c r="C202">
        <v>54</v>
      </c>
    </row>
    <row r="203" spans="1:3" x14ac:dyDescent="0.2">
      <c r="A203" t="s">
        <v>1572</v>
      </c>
      <c r="B203" t="s">
        <v>43</v>
      </c>
      <c r="C203">
        <v>37</v>
      </c>
    </row>
    <row r="204" spans="1:3" x14ac:dyDescent="0.2">
      <c r="A204" t="s">
        <v>282</v>
      </c>
      <c r="B204" t="s">
        <v>44</v>
      </c>
      <c r="C204">
        <v>615</v>
      </c>
    </row>
    <row r="205" spans="1:3" x14ac:dyDescent="0.2">
      <c r="A205" t="s">
        <v>621</v>
      </c>
      <c r="B205" t="s">
        <v>44</v>
      </c>
      <c r="C205">
        <v>606</v>
      </c>
    </row>
    <row r="206" spans="1:3" x14ac:dyDescent="0.2">
      <c r="A206" t="s">
        <v>19</v>
      </c>
      <c r="B206" t="s">
        <v>46</v>
      </c>
      <c r="C206">
        <v>478</v>
      </c>
    </row>
    <row r="207" spans="1:3" x14ac:dyDescent="0.2">
      <c r="A207" t="s">
        <v>13</v>
      </c>
      <c r="B207" t="s">
        <v>46</v>
      </c>
      <c r="C207">
        <v>460</v>
      </c>
    </row>
    <row r="208" spans="1:3" x14ac:dyDescent="0.2">
      <c r="A208" t="s">
        <v>17</v>
      </c>
      <c r="B208" t="s">
        <v>46</v>
      </c>
      <c r="C208">
        <v>441</v>
      </c>
    </row>
    <row r="209" spans="1:3" x14ac:dyDescent="0.2">
      <c r="A209" t="s">
        <v>133</v>
      </c>
      <c r="B209" t="s">
        <v>46</v>
      </c>
      <c r="C209">
        <v>444</v>
      </c>
    </row>
    <row r="210" spans="1:3" x14ac:dyDescent="0.2">
      <c r="A210" t="s">
        <v>144</v>
      </c>
      <c r="B210" t="s">
        <v>46</v>
      </c>
      <c r="C210">
        <v>430</v>
      </c>
    </row>
    <row r="211" spans="1:3" x14ac:dyDescent="0.2">
      <c r="A211" t="s">
        <v>311</v>
      </c>
      <c r="B211" t="s">
        <v>46</v>
      </c>
      <c r="C211">
        <v>455</v>
      </c>
    </row>
    <row r="212" spans="1:3" x14ac:dyDescent="0.2">
      <c r="A212" t="s">
        <v>13</v>
      </c>
      <c r="B212" t="s">
        <v>47</v>
      </c>
      <c r="C212">
        <v>62</v>
      </c>
    </row>
    <row r="213" spans="1:3" x14ac:dyDescent="0.2">
      <c r="A213" t="s">
        <v>17</v>
      </c>
      <c r="B213" t="s">
        <v>47</v>
      </c>
      <c r="C213">
        <v>59</v>
      </c>
    </row>
    <row r="214" spans="1:3" x14ac:dyDescent="0.2">
      <c r="A214" t="s">
        <v>133</v>
      </c>
      <c r="B214" t="s">
        <v>47</v>
      </c>
      <c r="C214">
        <v>81</v>
      </c>
    </row>
    <row r="215" spans="1:3" x14ac:dyDescent="0.2">
      <c r="A215" t="s">
        <v>144</v>
      </c>
      <c r="B215" t="s">
        <v>47</v>
      </c>
      <c r="C215">
        <v>68</v>
      </c>
    </row>
    <row r="216" spans="1:3" x14ac:dyDescent="0.2">
      <c r="A216" t="s">
        <v>311</v>
      </c>
      <c r="B216" t="s">
        <v>47</v>
      </c>
      <c r="C216">
        <v>78</v>
      </c>
    </row>
    <row r="217" spans="1:3" x14ac:dyDescent="0.2">
      <c r="A217" t="s">
        <v>282</v>
      </c>
      <c r="B217" t="s">
        <v>48</v>
      </c>
      <c r="C217">
        <v>644</v>
      </c>
    </row>
    <row r="218" spans="1:3" x14ac:dyDescent="0.2">
      <c r="A218" t="s">
        <v>621</v>
      </c>
      <c r="B218" t="s">
        <v>48</v>
      </c>
      <c r="C218">
        <v>706</v>
      </c>
    </row>
    <row r="219" spans="1:3" x14ac:dyDescent="0.2">
      <c r="A219" t="s">
        <v>19</v>
      </c>
      <c r="B219" t="s">
        <v>49</v>
      </c>
      <c r="C219">
        <v>1305</v>
      </c>
    </row>
    <row r="220" spans="1:3" x14ac:dyDescent="0.2">
      <c r="A220" t="s">
        <v>1419</v>
      </c>
      <c r="B220" t="s">
        <v>49</v>
      </c>
      <c r="C220">
        <v>1453</v>
      </c>
    </row>
    <row r="221" spans="1:3" x14ac:dyDescent="0.2">
      <c r="A221" t="s">
        <v>1419</v>
      </c>
      <c r="B221" t="s">
        <v>51</v>
      </c>
      <c r="C221">
        <v>388</v>
      </c>
    </row>
    <row r="222" spans="1:3" x14ac:dyDescent="0.2">
      <c r="A222" t="s">
        <v>19</v>
      </c>
      <c r="B222" t="s">
        <v>52</v>
      </c>
      <c r="C222">
        <v>1008</v>
      </c>
    </row>
    <row r="223" spans="1:3" x14ac:dyDescent="0.2">
      <c r="A223" t="s">
        <v>1419</v>
      </c>
      <c r="B223" t="s">
        <v>52</v>
      </c>
      <c r="C223">
        <v>1005</v>
      </c>
    </row>
    <row r="224" spans="1:3" x14ac:dyDescent="0.2">
      <c r="A224" t="s">
        <v>1572</v>
      </c>
      <c r="B224" t="s">
        <v>23</v>
      </c>
      <c r="C224">
        <v>1220</v>
      </c>
    </row>
    <row r="225" spans="1:3" x14ac:dyDescent="0.2">
      <c r="A225" t="s">
        <v>19</v>
      </c>
      <c r="B225" t="s">
        <v>24</v>
      </c>
      <c r="C225">
        <v>392</v>
      </c>
    </row>
    <row r="226" spans="1:3" x14ac:dyDescent="0.2">
      <c r="A226" t="s">
        <v>15</v>
      </c>
      <c r="B226" t="s">
        <v>24</v>
      </c>
      <c r="C226">
        <v>398</v>
      </c>
    </row>
    <row r="227" spans="1:3" x14ac:dyDescent="0.2">
      <c r="A227" t="s">
        <v>20</v>
      </c>
      <c r="B227" t="s">
        <v>26</v>
      </c>
      <c r="C227">
        <v>578</v>
      </c>
    </row>
    <row r="228" spans="1:3" x14ac:dyDescent="0.2">
      <c r="A228" t="s">
        <v>20</v>
      </c>
      <c r="B228" t="s">
        <v>619</v>
      </c>
      <c r="C228">
        <v>4084</v>
      </c>
    </row>
    <row r="229" spans="1:3" x14ac:dyDescent="0.2">
      <c r="A229" t="s">
        <v>13</v>
      </c>
      <c r="B229" t="s">
        <v>619</v>
      </c>
      <c r="C229">
        <v>4156</v>
      </c>
    </row>
    <row r="230" spans="1:3" x14ac:dyDescent="0.2">
      <c r="A230" t="s">
        <v>17</v>
      </c>
      <c r="B230" t="s">
        <v>619</v>
      </c>
      <c r="C230">
        <v>3959</v>
      </c>
    </row>
    <row r="231" spans="1:3" x14ac:dyDescent="0.2">
      <c r="A231" t="s">
        <v>133</v>
      </c>
      <c r="B231" t="s">
        <v>619</v>
      </c>
      <c r="C231">
        <v>4024</v>
      </c>
    </row>
    <row r="232" spans="1:3" x14ac:dyDescent="0.2">
      <c r="A232" t="s">
        <v>311</v>
      </c>
      <c r="B232" t="s">
        <v>619</v>
      </c>
      <c r="C232">
        <v>3760</v>
      </c>
    </row>
    <row r="233" spans="1:3" x14ac:dyDescent="0.2">
      <c r="A233" t="s">
        <v>1572</v>
      </c>
      <c r="B233" t="s">
        <v>28</v>
      </c>
      <c r="C233">
        <v>359</v>
      </c>
    </row>
    <row r="234" spans="1:3" x14ac:dyDescent="0.2">
      <c r="A234" t="s">
        <v>1419</v>
      </c>
      <c r="B234" t="s">
        <v>30</v>
      </c>
      <c r="C234">
        <v>622</v>
      </c>
    </row>
    <row r="235" spans="1:3" x14ac:dyDescent="0.2">
      <c r="A235" t="s">
        <v>19</v>
      </c>
      <c r="B235" t="s">
        <v>31</v>
      </c>
      <c r="C235">
        <v>315</v>
      </c>
    </row>
    <row r="236" spans="1:3" x14ac:dyDescent="0.2">
      <c r="A236" t="s">
        <v>20</v>
      </c>
      <c r="B236" t="s">
        <v>33</v>
      </c>
      <c r="C236">
        <v>234</v>
      </c>
    </row>
    <row r="237" spans="1:3" x14ac:dyDescent="0.2">
      <c r="A237" t="s">
        <v>15</v>
      </c>
      <c r="B237" t="s">
        <v>33</v>
      </c>
      <c r="C237">
        <v>212</v>
      </c>
    </row>
    <row r="238" spans="1:3" x14ac:dyDescent="0.2">
      <c r="A238" t="s">
        <v>1419</v>
      </c>
      <c r="B238" t="s">
        <v>33</v>
      </c>
      <c r="C238">
        <v>326</v>
      </c>
    </row>
    <row r="239" spans="1:3" x14ac:dyDescent="0.2">
      <c r="A239" t="s">
        <v>19</v>
      </c>
      <c r="B239" t="s">
        <v>34</v>
      </c>
      <c r="C239">
        <v>667</v>
      </c>
    </row>
    <row r="240" spans="1:3" x14ac:dyDescent="0.2">
      <c r="A240" t="s">
        <v>15</v>
      </c>
      <c r="B240" t="s">
        <v>34</v>
      </c>
      <c r="C240">
        <v>700</v>
      </c>
    </row>
    <row r="241" spans="1:3" x14ac:dyDescent="0.2">
      <c r="A241" t="s">
        <v>20</v>
      </c>
      <c r="B241" t="s">
        <v>35</v>
      </c>
      <c r="C241">
        <v>1241</v>
      </c>
    </row>
    <row r="242" spans="1:3" x14ac:dyDescent="0.2">
      <c r="A242" t="s">
        <v>13</v>
      </c>
      <c r="B242" t="s">
        <v>35</v>
      </c>
      <c r="C242">
        <v>1303</v>
      </c>
    </row>
    <row r="243" spans="1:3" x14ac:dyDescent="0.2">
      <c r="A243" t="s">
        <v>133</v>
      </c>
      <c r="B243" t="s">
        <v>35</v>
      </c>
      <c r="C243">
        <v>1264</v>
      </c>
    </row>
    <row r="244" spans="1:3" x14ac:dyDescent="0.2">
      <c r="A244" t="s">
        <v>311</v>
      </c>
      <c r="B244" t="s">
        <v>35</v>
      </c>
      <c r="C244">
        <v>1472</v>
      </c>
    </row>
    <row r="245" spans="1:3" x14ac:dyDescent="0.2">
      <c r="A245" t="s">
        <v>1419</v>
      </c>
      <c r="B245" t="s">
        <v>37</v>
      </c>
      <c r="C245">
        <v>1243</v>
      </c>
    </row>
    <row r="246" spans="1:3" x14ac:dyDescent="0.2">
      <c r="A246" t="s">
        <v>20</v>
      </c>
      <c r="B246" t="s">
        <v>39</v>
      </c>
      <c r="C246">
        <v>257</v>
      </c>
    </row>
    <row r="247" spans="1:3" x14ac:dyDescent="0.2">
      <c r="A247" t="s">
        <v>1419</v>
      </c>
      <c r="B247" t="s">
        <v>40</v>
      </c>
      <c r="C247">
        <v>402</v>
      </c>
    </row>
    <row r="248" spans="1:3" x14ac:dyDescent="0.2">
      <c r="A248" t="s">
        <v>1572</v>
      </c>
      <c r="B248" t="s">
        <v>40</v>
      </c>
      <c r="C248">
        <v>354</v>
      </c>
    </row>
    <row r="249" spans="1:3" x14ac:dyDescent="0.2">
      <c r="A249" t="s">
        <v>19</v>
      </c>
      <c r="B249" t="s">
        <v>295</v>
      </c>
      <c r="C249">
        <v>145</v>
      </c>
    </row>
    <row r="250" spans="1:3" x14ac:dyDescent="0.2">
      <c r="A250" t="s">
        <v>20</v>
      </c>
      <c r="B250" t="s">
        <v>41</v>
      </c>
      <c r="C250">
        <v>545</v>
      </c>
    </row>
    <row r="251" spans="1:3" x14ac:dyDescent="0.2">
      <c r="A251" t="s">
        <v>13</v>
      </c>
      <c r="B251" t="s">
        <v>42</v>
      </c>
      <c r="C251">
        <v>1027</v>
      </c>
    </row>
    <row r="252" spans="1:3" x14ac:dyDescent="0.2">
      <c r="A252" t="s">
        <v>17</v>
      </c>
      <c r="B252" t="s">
        <v>42</v>
      </c>
      <c r="C252">
        <v>1079</v>
      </c>
    </row>
    <row r="253" spans="1:3" x14ac:dyDescent="0.2">
      <c r="A253" t="s">
        <v>133</v>
      </c>
      <c r="B253" t="s">
        <v>42</v>
      </c>
      <c r="C253">
        <v>1193</v>
      </c>
    </row>
    <row r="254" spans="1:3" x14ac:dyDescent="0.2">
      <c r="A254" t="s">
        <v>144</v>
      </c>
      <c r="B254" t="s">
        <v>42</v>
      </c>
      <c r="C254">
        <v>1174</v>
      </c>
    </row>
    <row r="255" spans="1:3" x14ac:dyDescent="0.2">
      <c r="A255" t="s">
        <v>311</v>
      </c>
      <c r="B255" t="s">
        <v>42</v>
      </c>
      <c r="C255">
        <v>1291</v>
      </c>
    </row>
    <row r="256" spans="1:3" x14ac:dyDescent="0.2">
      <c r="A256" t="s">
        <v>1419</v>
      </c>
      <c r="B256" t="s">
        <v>43</v>
      </c>
      <c r="C256">
        <v>58</v>
      </c>
    </row>
    <row r="257" spans="1:3" x14ac:dyDescent="0.2">
      <c r="A257" t="s">
        <v>1419</v>
      </c>
      <c r="B257" t="s">
        <v>44</v>
      </c>
      <c r="C257">
        <v>587</v>
      </c>
    </row>
    <row r="258" spans="1:3" x14ac:dyDescent="0.2">
      <c r="A258" t="s">
        <v>1572</v>
      </c>
      <c r="B258" t="s">
        <v>44</v>
      </c>
      <c r="C258">
        <v>595</v>
      </c>
    </row>
    <row r="259" spans="1:3" x14ac:dyDescent="0.2">
      <c r="A259" t="s">
        <v>13</v>
      </c>
      <c r="B259" t="s">
        <v>45</v>
      </c>
      <c r="C259">
        <v>881</v>
      </c>
    </row>
    <row r="260" spans="1:3" x14ac:dyDescent="0.2">
      <c r="A260" t="s">
        <v>17</v>
      </c>
      <c r="B260" t="s">
        <v>45</v>
      </c>
      <c r="C260">
        <v>738</v>
      </c>
    </row>
    <row r="261" spans="1:3" x14ac:dyDescent="0.2">
      <c r="A261" t="s">
        <v>133</v>
      </c>
      <c r="B261" t="s">
        <v>45</v>
      </c>
      <c r="C261">
        <v>751</v>
      </c>
    </row>
    <row r="262" spans="1:3" x14ac:dyDescent="0.2">
      <c r="A262" t="s">
        <v>144</v>
      </c>
      <c r="B262" t="s">
        <v>45</v>
      </c>
      <c r="C262">
        <v>800</v>
      </c>
    </row>
    <row r="263" spans="1:3" x14ac:dyDescent="0.2">
      <c r="A263" t="s">
        <v>311</v>
      </c>
      <c r="B263" t="s">
        <v>45</v>
      </c>
      <c r="C263">
        <v>939</v>
      </c>
    </row>
    <row r="264" spans="1:3" x14ac:dyDescent="0.2">
      <c r="A264" t="s">
        <v>1419</v>
      </c>
      <c r="B264" t="s">
        <v>48</v>
      </c>
      <c r="C264">
        <v>741</v>
      </c>
    </row>
    <row r="265" spans="1:3" x14ac:dyDescent="0.2">
      <c r="A265" t="s">
        <v>1572</v>
      </c>
      <c r="B265" t="s">
        <v>48</v>
      </c>
      <c r="C265">
        <v>581</v>
      </c>
    </row>
    <row r="266" spans="1:3" x14ac:dyDescent="0.2">
      <c r="A266" t="s">
        <v>282</v>
      </c>
      <c r="B266" t="s">
        <v>49</v>
      </c>
      <c r="C266">
        <v>1335</v>
      </c>
    </row>
    <row r="267" spans="1:3" x14ac:dyDescent="0.2">
      <c r="A267" t="s">
        <v>621</v>
      </c>
      <c r="B267" t="s">
        <v>49</v>
      </c>
      <c r="C267">
        <v>1328</v>
      </c>
    </row>
    <row r="268" spans="1:3" x14ac:dyDescent="0.2">
      <c r="A268" t="s">
        <v>19</v>
      </c>
      <c r="B268" t="s">
        <v>50</v>
      </c>
      <c r="C268">
        <v>667</v>
      </c>
    </row>
    <row r="269" spans="1:3" x14ac:dyDescent="0.2">
      <c r="A269" t="s">
        <v>282</v>
      </c>
      <c r="B269" t="s">
        <v>50</v>
      </c>
      <c r="C269">
        <v>463</v>
      </c>
    </row>
    <row r="270" spans="1:3" x14ac:dyDescent="0.2">
      <c r="A270" t="s">
        <v>621</v>
      </c>
      <c r="B270" t="s">
        <v>50</v>
      </c>
      <c r="C270">
        <v>505</v>
      </c>
    </row>
    <row r="271" spans="1:3" x14ac:dyDescent="0.2">
      <c r="A271" t="s">
        <v>20</v>
      </c>
      <c r="B271" t="s">
        <v>51</v>
      </c>
      <c r="C271">
        <v>435</v>
      </c>
    </row>
    <row r="272" spans="1:3" x14ac:dyDescent="0.2">
      <c r="A272" t="s">
        <v>15</v>
      </c>
      <c r="B272" t="s">
        <v>51</v>
      </c>
      <c r="C272">
        <v>380</v>
      </c>
    </row>
    <row r="273" spans="1:3" x14ac:dyDescent="0.2">
      <c r="A273" t="s">
        <v>144</v>
      </c>
      <c r="B273" t="s">
        <v>52</v>
      </c>
      <c r="C273">
        <v>1074</v>
      </c>
    </row>
    <row r="274" spans="1:3" x14ac:dyDescent="0.2">
      <c r="A274" t="s">
        <v>19</v>
      </c>
      <c r="B274" t="s">
        <v>23</v>
      </c>
      <c r="C274">
        <v>1126</v>
      </c>
    </row>
    <row r="275" spans="1:3" x14ac:dyDescent="0.2">
      <c r="A275" t="s">
        <v>144</v>
      </c>
      <c r="B275" t="s">
        <v>23</v>
      </c>
      <c r="C275">
        <v>1347</v>
      </c>
    </row>
    <row r="276" spans="1:3" x14ac:dyDescent="0.2">
      <c r="A276" t="s">
        <v>282</v>
      </c>
      <c r="B276" t="s">
        <v>25</v>
      </c>
      <c r="C276">
        <v>375</v>
      </c>
    </row>
    <row r="277" spans="1:3" x14ac:dyDescent="0.2">
      <c r="A277" t="s">
        <v>621</v>
      </c>
      <c r="B277" t="s">
        <v>25</v>
      </c>
      <c r="C277">
        <v>369</v>
      </c>
    </row>
    <row r="278" spans="1:3" x14ac:dyDescent="0.2">
      <c r="A278" t="s">
        <v>1419</v>
      </c>
      <c r="B278" t="s">
        <v>26</v>
      </c>
      <c r="C278">
        <v>673</v>
      </c>
    </row>
    <row r="279" spans="1:3" x14ac:dyDescent="0.2">
      <c r="A279" t="s">
        <v>1419</v>
      </c>
      <c r="B279" t="s">
        <v>619</v>
      </c>
      <c r="C279">
        <v>4128</v>
      </c>
    </row>
    <row r="280" spans="1:3" x14ac:dyDescent="0.2">
      <c r="A280" t="s">
        <v>19</v>
      </c>
      <c r="B280" t="s">
        <v>27</v>
      </c>
      <c r="C280">
        <v>287</v>
      </c>
    </row>
    <row r="281" spans="1:3" x14ac:dyDescent="0.2">
      <c r="A281" t="s">
        <v>15</v>
      </c>
      <c r="B281" t="s">
        <v>27</v>
      </c>
      <c r="C281">
        <v>260</v>
      </c>
    </row>
    <row r="282" spans="1:3" x14ac:dyDescent="0.2">
      <c r="A282" t="s">
        <v>144</v>
      </c>
      <c r="B282" t="s">
        <v>28</v>
      </c>
      <c r="C282">
        <v>469</v>
      </c>
    </row>
    <row r="283" spans="1:3" x14ac:dyDescent="0.2">
      <c r="A283" t="s">
        <v>19</v>
      </c>
      <c r="B283" t="s">
        <v>29</v>
      </c>
      <c r="C283">
        <v>1293</v>
      </c>
    </row>
    <row r="284" spans="1:3" x14ac:dyDescent="0.2">
      <c r="A284" t="s">
        <v>144</v>
      </c>
      <c r="B284" t="s">
        <v>29</v>
      </c>
      <c r="C284">
        <v>1244</v>
      </c>
    </row>
    <row r="285" spans="1:3" x14ac:dyDescent="0.2">
      <c r="A285" t="s">
        <v>282</v>
      </c>
      <c r="B285" t="s">
        <v>29</v>
      </c>
      <c r="C285">
        <v>1270</v>
      </c>
    </row>
    <row r="286" spans="1:3" x14ac:dyDescent="0.2">
      <c r="A286" t="s">
        <v>621</v>
      </c>
      <c r="B286" t="s">
        <v>29</v>
      </c>
      <c r="C286">
        <v>1276</v>
      </c>
    </row>
    <row r="287" spans="1:3" x14ac:dyDescent="0.2">
      <c r="A287" t="s">
        <v>20</v>
      </c>
      <c r="B287" t="s">
        <v>30</v>
      </c>
      <c r="C287">
        <v>810</v>
      </c>
    </row>
    <row r="288" spans="1:3" x14ac:dyDescent="0.2">
      <c r="A288" t="s">
        <v>13</v>
      </c>
      <c r="B288" t="s">
        <v>30</v>
      </c>
      <c r="C288">
        <v>697</v>
      </c>
    </row>
    <row r="289" spans="1:3" x14ac:dyDescent="0.2">
      <c r="A289" t="s">
        <v>17</v>
      </c>
      <c r="B289" t="s">
        <v>30</v>
      </c>
      <c r="C289">
        <v>549</v>
      </c>
    </row>
    <row r="290" spans="1:3" x14ac:dyDescent="0.2">
      <c r="A290" t="s">
        <v>133</v>
      </c>
      <c r="B290" t="s">
        <v>30</v>
      </c>
      <c r="C290">
        <v>594</v>
      </c>
    </row>
    <row r="291" spans="1:3" x14ac:dyDescent="0.2">
      <c r="A291" t="s">
        <v>311</v>
      </c>
      <c r="B291" t="s">
        <v>30</v>
      </c>
      <c r="C291">
        <v>572</v>
      </c>
    </row>
    <row r="292" spans="1:3" x14ac:dyDescent="0.2">
      <c r="A292" t="s">
        <v>282</v>
      </c>
      <c r="B292" t="s">
        <v>32</v>
      </c>
      <c r="C292">
        <v>455</v>
      </c>
    </row>
    <row r="293" spans="1:3" x14ac:dyDescent="0.2">
      <c r="A293" t="s">
        <v>621</v>
      </c>
      <c r="B293" t="s">
        <v>32</v>
      </c>
      <c r="C293">
        <v>490</v>
      </c>
    </row>
    <row r="294" spans="1:3" x14ac:dyDescent="0.2">
      <c r="A294" t="s">
        <v>282</v>
      </c>
      <c r="B294" t="s">
        <v>36</v>
      </c>
      <c r="C294">
        <v>5479</v>
      </c>
    </row>
    <row r="295" spans="1:3" x14ac:dyDescent="0.2">
      <c r="A295" t="s">
        <v>621</v>
      </c>
      <c r="B295" t="s">
        <v>36</v>
      </c>
      <c r="C295">
        <v>5281</v>
      </c>
    </row>
    <row r="296" spans="1:3" x14ac:dyDescent="0.2">
      <c r="A296" t="s">
        <v>1572</v>
      </c>
      <c r="B296" t="s">
        <v>36</v>
      </c>
      <c r="C296">
        <v>4169</v>
      </c>
    </row>
    <row r="297" spans="1:3" x14ac:dyDescent="0.2">
      <c r="A297" t="s">
        <v>20</v>
      </c>
      <c r="B297" t="s">
        <v>37</v>
      </c>
      <c r="C297">
        <v>897</v>
      </c>
    </row>
    <row r="298" spans="1:3" x14ac:dyDescent="0.2">
      <c r="A298" t="s">
        <v>13</v>
      </c>
      <c r="B298" t="s">
        <v>37</v>
      </c>
      <c r="C298">
        <v>904</v>
      </c>
    </row>
    <row r="299" spans="1:3" x14ac:dyDescent="0.2">
      <c r="A299" t="s">
        <v>133</v>
      </c>
      <c r="B299" t="s">
        <v>37</v>
      </c>
      <c r="C299">
        <v>1000</v>
      </c>
    </row>
    <row r="300" spans="1:3" x14ac:dyDescent="0.2">
      <c r="A300" t="s">
        <v>311</v>
      </c>
      <c r="B300" t="s">
        <v>37</v>
      </c>
      <c r="C300">
        <v>1144</v>
      </c>
    </row>
    <row r="301" spans="1:3" x14ac:dyDescent="0.2">
      <c r="A301" t="s">
        <v>282</v>
      </c>
      <c r="B301" t="s">
        <v>38</v>
      </c>
      <c r="C301">
        <v>445</v>
      </c>
    </row>
    <row r="302" spans="1:3" x14ac:dyDescent="0.2">
      <c r="A302" t="s">
        <v>621</v>
      </c>
      <c r="B302" t="s">
        <v>38</v>
      </c>
      <c r="C302">
        <v>412</v>
      </c>
    </row>
    <row r="303" spans="1:3" x14ac:dyDescent="0.2">
      <c r="A303" t="s">
        <v>13</v>
      </c>
      <c r="B303" t="s">
        <v>40</v>
      </c>
      <c r="C303">
        <v>287</v>
      </c>
    </row>
    <row r="304" spans="1:3" x14ac:dyDescent="0.2">
      <c r="A304" t="s">
        <v>17</v>
      </c>
      <c r="B304" t="s">
        <v>40</v>
      </c>
      <c r="C304">
        <v>295</v>
      </c>
    </row>
    <row r="305" spans="1:3" x14ac:dyDescent="0.2">
      <c r="A305" t="s">
        <v>133</v>
      </c>
      <c r="B305" t="s">
        <v>40</v>
      </c>
      <c r="C305">
        <v>377</v>
      </c>
    </row>
    <row r="306" spans="1:3" x14ac:dyDescent="0.2">
      <c r="A306" t="s">
        <v>144</v>
      </c>
      <c r="B306" t="s">
        <v>40</v>
      </c>
      <c r="C306">
        <v>345</v>
      </c>
    </row>
    <row r="307" spans="1:3" x14ac:dyDescent="0.2">
      <c r="A307" t="s">
        <v>311</v>
      </c>
      <c r="B307" t="s">
        <v>40</v>
      </c>
      <c r="C307">
        <v>375</v>
      </c>
    </row>
    <row r="308" spans="1:3" x14ac:dyDescent="0.2">
      <c r="A308" t="s">
        <v>1419</v>
      </c>
      <c r="B308" t="s">
        <v>42</v>
      </c>
      <c r="C308">
        <v>1332</v>
      </c>
    </row>
    <row r="309" spans="1:3" x14ac:dyDescent="0.2">
      <c r="A309" t="s">
        <v>1572</v>
      </c>
      <c r="B309" t="s">
        <v>42</v>
      </c>
      <c r="C309">
        <v>1221</v>
      </c>
    </row>
    <row r="310" spans="1:3" x14ac:dyDescent="0.2">
      <c r="A310" t="s">
        <v>13</v>
      </c>
      <c r="B310" t="s">
        <v>43</v>
      </c>
      <c r="C310">
        <v>58</v>
      </c>
    </row>
    <row r="311" spans="1:3" x14ac:dyDescent="0.2">
      <c r="A311" t="s">
        <v>17</v>
      </c>
      <c r="B311" t="s">
        <v>43</v>
      </c>
      <c r="C311">
        <v>59</v>
      </c>
    </row>
    <row r="312" spans="1:3" x14ac:dyDescent="0.2">
      <c r="A312" t="s">
        <v>133</v>
      </c>
      <c r="B312" t="s">
        <v>43</v>
      </c>
      <c r="C312">
        <v>87</v>
      </c>
    </row>
    <row r="313" spans="1:3" x14ac:dyDescent="0.2">
      <c r="A313" t="s">
        <v>144</v>
      </c>
      <c r="B313" t="s">
        <v>43</v>
      </c>
      <c r="C313">
        <v>57</v>
      </c>
    </row>
    <row r="314" spans="1:3" x14ac:dyDescent="0.2">
      <c r="A314" t="s">
        <v>311</v>
      </c>
      <c r="B314" t="s">
        <v>43</v>
      </c>
      <c r="C314">
        <v>36</v>
      </c>
    </row>
    <row r="315" spans="1:3" x14ac:dyDescent="0.2">
      <c r="A315" t="s">
        <v>13</v>
      </c>
      <c r="B315" t="s">
        <v>44</v>
      </c>
      <c r="C315">
        <v>618</v>
      </c>
    </row>
    <row r="316" spans="1:3" x14ac:dyDescent="0.2">
      <c r="A316" t="s">
        <v>17</v>
      </c>
      <c r="B316" t="s">
        <v>44</v>
      </c>
      <c r="C316">
        <v>610</v>
      </c>
    </row>
    <row r="317" spans="1:3" x14ac:dyDescent="0.2">
      <c r="A317" t="s">
        <v>133</v>
      </c>
      <c r="B317" t="s">
        <v>44</v>
      </c>
      <c r="C317">
        <v>656</v>
      </c>
    </row>
    <row r="318" spans="1:3" x14ac:dyDescent="0.2">
      <c r="A318" t="s">
        <v>144</v>
      </c>
      <c r="B318" t="s">
        <v>44</v>
      </c>
      <c r="C318">
        <v>570</v>
      </c>
    </row>
    <row r="319" spans="1:3" x14ac:dyDescent="0.2">
      <c r="A319" t="s">
        <v>311</v>
      </c>
      <c r="B319" t="s">
        <v>44</v>
      </c>
      <c r="C319">
        <v>599</v>
      </c>
    </row>
    <row r="320" spans="1:3" x14ac:dyDescent="0.2">
      <c r="A320" t="s">
        <v>1419</v>
      </c>
      <c r="B320" t="s">
        <v>45</v>
      </c>
      <c r="C320">
        <v>911</v>
      </c>
    </row>
    <row r="321" spans="1:3" x14ac:dyDescent="0.2">
      <c r="A321" t="s">
        <v>20</v>
      </c>
      <c r="B321" t="s">
        <v>46</v>
      </c>
      <c r="C321">
        <v>470</v>
      </c>
    </row>
    <row r="322" spans="1:3" x14ac:dyDescent="0.2">
      <c r="A322" t="s">
        <v>282</v>
      </c>
      <c r="B322" t="s">
        <v>47</v>
      </c>
      <c r="C322">
        <v>76</v>
      </c>
    </row>
    <row r="323" spans="1:3" x14ac:dyDescent="0.2">
      <c r="A323" t="s">
        <v>621</v>
      </c>
      <c r="B323" t="s">
        <v>47</v>
      </c>
      <c r="C323">
        <v>77</v>
      </c>
    </row>
    <row r="324" spans="1:3" x14ac:dyDescent="0.2">
      <c r="A324" t="s">
        <v>13</v>
      </c>
      <c r="B324" t="s">
        <v>48</v>
      </c>
      <c r="C324">
        <v>629</v>
      </c>
    </row>
    <row r="325" spans="1:3" x14ac:dyDescent="0.2">
      <c r="A325" t="s">
        <v>17</v>
      </c>
      <c r="B325" t="s">
        <v>48</v>
      </c>
      <c r="C325">
        <v>651</v>
      </c>
    </row>
    <row r="326" spans="1:3" x14ac:dyDescent="0.2">
      <c r="A326" t="s">
        <v>133</v>
      </c>
      <c r="B326" t="s">
        <v>48</v>
      </c>
      <c r="C326">
        <v>687</v>
      </c>
    </row>
    <row r="327" spans="1:3" x14ac:dyDescent="0.2">
      <c r="A327" t="s">
        <v>144</v>
      </c>
      <c r="B327" t="s">
        <v>48</v>
      </c>
      <c r="C327">
        <v>652</v>
      </c>
    </row>
    <row r="328" spans="1:3" x14ac:dyDescent="0.2">
      <c r="A328" t="s">
        <v>311</v>
      </c>
      <c r="B328" t="s">
        <v>48</v>
      </c>
      <c r="C328">
        <v>704</v>
      </c>
    </row>
    <row r="329" spans="1:3" x14ac:dyDescent="0.2">
      <c r="A329" t="s">
        <v>1572</v>
      </c>
      <c r="B329" t="s">
        <v>52</v>
      </c>
      <c r="C329">
        <v>806</v>
      </c>
    </row>
    <row r="330" spans="1:3" x14ac:dyDescent="0.2">
      <c r="A330" t="s">
        <v>1572</v>
      </c>
      <c r="B330" t="s">
        <v>25</v>
      </c>
      <c r="C330">
        <v>270</v>
      </c>
    </row>
    <row r="331" spans="1:3" x14ac:dyDescent="0.2">
      <c r="A331" t="s">
        <v>19</v>
      </c>
      <c r="B331" t="s">
        <v>26</v>
      </c>
      <c r="C331">
        <v>657</v>
      </c>
    </row>
    <row r="332" spans="1:3" x14ac:dyDescent="0.2">
      <c r="A332" t="s">
        <v>13</v>
      </c>
      <c r="B332" t="s">
        <v>26</v>
      </c>
      <c r="C332">
        <v>651</v>
      </c>
    </row>
    <row r="333" spans="1:3" x14ac:dyDescent="0.2">
      <c r="A333" t="s">
        <v>17</v>
      </c>
      <c r="B333" t="s">
        <v>26</v>
      </c>
      <c r="C333">
        <v>609</v>
      </c>
    </row>
    <row r="334" spans="1:3" x14ac:dyDescent="0.2">
      <c r="A334" t="s">
        <v>133</v>
      </c>
      <c r="B334" t="s">
        <v>26</v>
      </c>
      <c r="C334">
        <v>600</v>
      </c>
    </row>
    <row r="335" spans="1:3" x14ac:dyDescent="0.2">
      <c r="A335" t="s">
        <v>144</v>
      </c>
      <c r="B335" t="s">
        <v>26</v>
      </c>
      <c r="C335">
        <v>591</v>
      </c>
    </row>
    <row r="336" spans="1:3" x14ac:dyDescent="0.2">
      <c r="A336" t="s">
        <v>311</v>
      </c>
      <c r="B336" t="s">
        <v>26</v>
      </c>
      <c r="C336">
        <v>588</v>
      </c>
    </row>
    <row r="337" spans="1:3" x14ac:dyDescent="0.2">
      <c r="A337" t="s">
        <v>144</v>
      </c>
      <c r="B337" t="s">
        <v>619</v>
      </c>
      <c r="C337">
        <v>4028</v>
      </c>
    </row>
    <row r="338" spans="1:3" x14ac:dyDescent="0.2">
      <c r="A338" t="s">
        <v>282</v>
      </c>
      <c r="B338" t="s">
        <v>27</v>
      </c>
      <c r="C338">
        <v>238</v>
      </c>
    </row>
    <row r="339" spans="1:3" x14ac:dyDescent="0.2">
      <c r="A339" t="s">
        <v>621</v>
      </c>
      <c r="B339" t="s">
        <v>27</v>
      </c>
      <c r="C339">
        <v>231</v>
      </c>
    </row>
    <row r="340" spans="1:3" x14ac:dyDescent="0.2">
      <c r="A340" t="s">
        <v>1572</v>
      </c>
      <c r="B340" t="s">
        <v>29</v>
      </c>
      <c r="C340">
        <v>927</v>
      </c>
    </row>
    <row r="341" spans="1:3" x14ac:dyDescent="0.2">
      <c r="A341" t="s">
        <v>19</v>
      </c>
      <c r="B341" t="s">
        <v>32</v>
      </c>
      <c r="C341">
        <v>415</v>
      </c>
    </row>
    <row r="342" spans="1:3" x14ac:dyDescent="0.2">
      <c r="A342" t="s">
        <v>13</v>
      </c>
      <c r="B342" t="s">
        <v>33</v>
      </c>
      <c r="C342">
        <v>204</v>
      </c>
    </row>
    <row r="343" spans="1:3" x14ac:dyDescent="0.2">
      <c r="A343" t="s">
        <v>17</v>
      </c>
      <c r="B343" t="s">
        <v>33</v>
      </c>
      <c r="C343">
        <v>225</v>
      </c>
    </row>
    <row r="344" spans="1:3" x14ac:dyDescent="0.2">
      <c r="A344" t="s">
        <v>133</v>
      </c>
      <c r="B344" t="s">
        <v>33</v>
      </c>
      <c r="C344">
        <v>231</v>
      </c>
    </row>
    <row r="345" spans="1:3" x14ac:dyDescent="0.2">
      <c r="A345" t="s">
        <v>311</v>
      </c>
      <c r="B345" t="s">
        <v>33</v>
      </c>
      <c r="C345">
        <v>318</v>
      </c>
    </row>
    <row r="346" spans="1:3" x14ac:dyDescent="0.2">
      <c r="A346" t="s">
        <v>17</v>
      </c>
      <c r="B346" t="s">
        <v>35</v>
      </c>
      <c r="C346">
        <v>1178</v>
      </c>
    </row>
    <row r="347" spans="1:3" x14ac:dyDescent="0.2">
      <c r="A347" t="s">
        <v>144</v>
      </c>
      <c r="B347" t="s">
        <v>35</v>
      </c>
      <c r="C347">
        <v>1480</v>
      </c>
    </row>
    <row r="348" spans="1:3" x14ac:dyDescent="0.2">
      <c r="A348" t="s">
        <v>19</v>
      </c>
      <c r="B348" t="s">
        <v>36</v>
      </c>
      <c r="C348">
        <v>7263</v>
      </c>
    </row>
    <row r="349" spans="1:3" x14ac:dyDescent="0.2">
      <c r="A349" t="s">
        <v>1419</v>
      </c>
      <c r="B349" t="s">
        <v>36</v>
      </c>
      <c r="C349">
        <v>5455</v>
      </c>
    </row>
    <row r="350" spans="1:3" x14ac:dyDescent="0.2">
      <c r="A350" t="s">
        <v>1572</v>
      </c>
      <c r="B350" t="s">
        <v>37</v>
      </c>
      <c r="C350">
        <v>1142</v>
      </c>
    </row>
    <row r="351" spans="1:3" x14ac:dyDescent="0.2">
      <c r="A351" t="s">
        <v>1572</v>
      </c>
      <c r="B351" t="s">
        <v>38</v>
      </c>
      <c r="C351">
        <v>323</v>
      </c>
    </row>
    <row r="352" spans="1:3" x14ac:dyDescent="0.2">
      <c r="A352" t="s">
        <v>15</v>
      </c>
      <c r="B352" t="s">
        <v>39</v>
      </c>
      <c r="C352">
        <v>265</v>
      </c>
    </row>
    <row r="353" spans="1:3" x14ac:dyDescent="0.2">
      <c r="A353" t="s">
        <v>20</v>
      </c>
      <c r="B353" t="s">
        <v>295</v>
      </c>
      <c r="C353">
        <v>124</v>
      </c>
    </row>
    <row r="354" spans="1:3" x14ac:dyDescent="0.2">
      <c r="A354" t="s">
        <v>15</v>
      </c>
      <c r="B354" t="s">
        <v>295</v>
      </c>
      <c r="C354">
        <v>150</v>
      </c>
    </row>
    <row r="355" spans="1:3" x14ac:dyDescent="0.2">
      <c r="A355" t="s">
        <v>19</v>
      </c>
      <c r="B355" t="s">
        <v>41</v>
      </c>
      <c r="C355">
        <v>641</v>
      </c>
    </row>
    <row r="356" spans="1:3" x14ac:dyDescent="0.2">
      <c r="A356" t="s">
        <v>13</v>
      </c>
      <c r="B356" t="s">
        <v>41</v>
      </c>
      <c r="C356">
        <v>481</v>
      </c>
    </row>
    <row r="357" spans="1:3" x14ac:dyDescent="0.2">
      <c r="A357" t="s">
        <v>17</v>
      </c>
      <c r="B357" t="s">
        <v>41</v>
      </c>
      <c r="C357">
        <v>572</v>
      </c>
    </row>
    <row r="358" spans="1:3" x14ac:dyDescent="0.2">
      <c r="A358" t="s">
        <v>133</v>
      </c>
      <c r="B358" t="s">
        <v>41</v>
      </c>
      <c r="C358">
        <v>463</v>
      </c>
    </row>
    <row r="359" spans="1:3" x14ac:dyDescent="0.2">
      <c r="A359" t="s">
        <v>144</v>
      </c>
      <c r="B359" t="s">
        <v>41</v>
      </c>
      <c r="C359">
        <v>474</v>
      </c>
    </row>
    <row r="360" spans="1:3" x14ac:dyDescent="0.2">
      <c r="A360" t="s">
        <v>311</v>
      </c>
      <c r="B360" t="s">
        <v>41</v>
      </c>
      <c r="C360">
        <v>596</v>
      </c>
    </row>
    <row r="361" spans="1:3" x14ac:dyDescent="0.2">
      <c r="A361" t="s">
        <v>20</v>
      </c>
      <c r="B361" t="s">
        <v>42</v>
      </c>
      <c r="C361">
        <v>1266</v>
      </c>
    </row>
    <row r="362" spans="1:3" x14ac:dyDescent="0.2">
      <c r="A362" t="s">
        <v>15</v>
      </c>
      <c r="B362" t="s">
        <v>42</v>
      </c>
      <c r="C362">
        <v>1042</v>
      </c>
    </row>
    <row r="363" spans="1:3" x14ac:dyDescent="0.2">
      <c r="A363" t="s">
        <v>20</v>
      </c>
      <c r="B363" t="s">
        <v>45</v>
      </c>
      <c r="C363">
        <v>1022</v>
      </c>
    </row>
    <row r="364" spans="1:3" x14ac:dyDescent="0.2">
      <c r="A364" t="s">
        <v>15</v>
      </c>
      <c r="B364" t="s">
        <v>45</v>
      </c>
      <c r="C364">
        <v>790</v>
      </c>
    </row>
    <row r="365" spans="1:3" x14ac:dyDescent="0.2">
      <c r="A365" t="s">
        <v>1572</v>
      </c>
      <c r="B365" t="s">
        <v>45</v>
      </c>
      <c r="C365">
        <v>732</v>
      </c>
    </row>
    <row r="366" spans="1:3" x14ac:dyDescent="0.2">
      <c r="A366" t="s">
        <v>1419</v>
      </c>
      <c r="B366" t="s">
        <v>46</v>
      </c>
      <c r="C366">
        <v>464</v>
      </c>
    </row>
    <row r="367" spans="1:3" x14ac:dyDescent="0.2">
      <c r="A367" t="s">
        <v>19</v>
      </c>
      <c r="B367" t="s">
        <v>47</v>
      </c>
      <c r="C367">
        <v>110</v>
      </c>
    </row>
    <row r="368" spans="1:3" x14ac:dyDescent="0.2">
      <c r="A368" t="s">
        <v>1419</v>
      </c>
      <c r="B368" t="s">
        <v>47</v>
      </c>
      <c r="C368">
        <v>65</v>
      </c>
    </row>
    <row r="369" spans="1:3" x14ac:dyDescent="0.2">
      <c r="A369" t="s">
        <v>13</v>
      </c>
      <c r="B369" t="s">
        <v>49</v>
      </c>
      <c r="C369">
        <v>1143</v>
      </c>
    </row>
    <row r="370" spans="1:3" x14ac:dyDescent="0.2">
      <c r="A370" t="s">
        <v>17</v>
      </c>
      <c r="B370" t="s">
        <v>49</v>
      </c>
      <c r="C370">
        <v>1124</v>
      </c>
    </row>
    <row r="371" spans="1:3" x14ac:dyDescent="0.2">
      <c r="A371" t="s">
        <v>133</v>
      </c>
      <c r="B371" t="s">
        <v>49</v>
      </c>
      <c r="C371">
        <v>1160</v>
      </c>
    </row>
    <row r="372" spans="1:3" x14ac:dyDescent="0.2">
      <c r="A372" t="s">
        <v>144</v>
      </c>
      <c r="B372" t="s">
        <v>49</v>
      </c>
      <c r="C372">
        <v>1335</v>
      </c>
    </row>
    <row r="373" spans="1:3" x14ac:dyDescent="0.2">
      <c r="A373" t="s">
        <v>311</v>
      </c>
      <c r="B373" t="s">
        <v>49</v>
      </c>
      <c r="C373">
        <v>1247</v>
      </c>
    </row>
    <row r="374" spans="1:3" x14ac:dyDescent="0.2">
      <c r="A374" t="s">
        <v>13</v>
      </c>
      <c r="B374" t="s">
        <v>50</v>
      </c>
      <c r="C374">
        <v>520</v>
      </c>
    </row>
    <row r="375" spans="1:3" x14ac:dyDescent="0.2">
      <c r="A375" t="s">
        <v>17</v>
      </c>
      <c r="B375" t="s">
        <v>50</v>
      </c>
      <c r="C375">
        <v>484</v>
      </c>
    </row>
    <row r="376" spans="1:3" x14ac:dyDescent="0.2">
      <c r="A376" t="s">
        <v>133</v>
      </c>
      <c r="B376" t="s">
        <v>50</v>
      </c>
      <c r="C376">
        <v>433</v>
      </c>
    </row>
    <row r="377" spans="1:3" x14ac:dyDescent="0.2">
      <c r="A377" t="s">
        <v>144</v>
      </c>
      <c r="B377" t="s">
        <v>50</v>
      </c>
      <c r="C377">
        <v>428</v>
      </c>
    </row>
    <row r="378" spans="1:3" x14ac:dyDescent="0.2">
      <c r="A378" t="s">
        <v>311</v>
      </c>
      <c r="B378" t="s">
        <v>50</v>
      </c>
      <c r="C378">
        <v>452</v>
      </c>
    </row>
    <row r="379" spans="1:3" x14ac:dyDescent="0.2">
      <c r="A379" t="s">
        <v>13</v>
      </c>
      <c r="B379" t="s">
        <v>51</v>
      </c>
      <c r="C379">
        <v>382</v>
      </c>
    </row>
    <row r="380" spans="1:3" x14ac:dyDescent="0.2">
      <c r="A380" t="s">
        <v>17</v>
      </c>
      <c r="B380" t="s">
        <v>51</v>
      </c>
      <c r="C380">
        <v>336</v>
      </c>
    </row>
    <row r="381" spans="1:3" x14ac:dyDescent="0.2">
      <c r="A381" t="s">
        <v>133</v>
      </c>
      <c r="B381" t="s">
        <v>51</v>
      </c>
      <c r="C381">
        <v>377</v>
      </c>
    </row>
    <row r="382" spans="1:3" x14ac:dyDescent="0.2">
      <c r="A382" t="s">
        <v>311</v>
      </c>
      <c r="B382" t="s">
        <v>51</v>
      </c>
      <c r="C382">
        <v>465</v>
      </c>
    </row>
    <row r="383" spans="1:3" x14ac:dyDescent="0.2">
      <c r="A383" t="s">
        <v>20</v>
      </c>
      <c r="B383" t="s">
        <v>52</v>
      </c>
      <c r="C383">
        <v>975</v>
      </c>
    </row>
    <row r="384" spans="1:3" x14ac:dyDescent="0.2">
      <c r="A384" t="s">
        <v>13</v>
      </c>
      <c r="B384" t="s">
        <v>52</v>
      </c>
      <c r="C384">
        <v>904</v>
      </c>
    </row>
    <row r="385" spans="1:3" x14ac:dyDescent="0.2">
      <c r="A385" t="s">
        <v>17</v>
      </c>
      <c r="B385" t="s">
        <v>52</v>
      </c>
      <c r="C385">
        <v>921</v>
      </c>
    </row>
    <row r="386" spans="1:3" x14ac:dyDescent="0.2">
      <c r="A386" t="s">
        <v>133</v>
      </c>
      <c r="B386" t="s">
        <v>52</v>
      </c>
      <c r="C386">
        <v>1050</v>
      </c>
    </row>
    <row r="387" spans="1:3" x14ac:dyDescent="0.2">
      <c r="A387" t="s">
        <v>311</v>
      </c>
      <c r="B387" t="s">
        <v>52</v>
      </c>
      <c r="C387">
        <v>1040</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0">
    <tabColor theme="4" tint="0.59999389629810485"/>
  </sheetPr>
  <dimension ref="A1:S57"/>
  <sheetViews>
    <sheetView showGridLines="0" zoomScaleNormal="100" workbookViewId="0">
      <pane ySplit="2" topLeftCell="A3" activePane="bottomLeft" state="frozen"/>
      <selection activeCellId="1" sqref="A1 A1"/>
      <selection pane="bottomLeft"/>
    </sheetView>
  </sheetViews>
  <sheetFormatPr defaultRowHeight="12.75" x14ac:dyDescent="0.2"/>
  <cols>
    <col min="1" max="1" width="22.85546875" bestFit="1" customWidth="1"/>
    <col min="2" max="2" width="10.28515625" customWidth="1"/>
    <col min="6" max="6" width="10" customWidth="1"/>
    <col min="18" max="18" width="31.42578125" customWidth="1"/>
  </cols>
  <sheetData>
    <row r="1" spans="1:11" ht="17.25" customHeight="1" x14ac:dyDescent="0.2">
      <c r="A1" s="298" t="s">
        <v>1130</v>
      </c>
    </row>
    <row r="2" spans="1:11" ht="17.25" customHeight="1" x14ac:dyDescent="0.2">
      <c r="A2" s="106" t="s">
        <v>578</v>
      </c>
    </row>
    <row r="3" spans="1:11" ht="38.25" customHeight="1" x14ac:dyDescent="0.2">
      <c r="A3" s="1361" t="s">
        <v>1020</v>
      </c>
      <c r="B3" s="1361"/>
      <c r="C3" s="1361"/>
      <c r="D3" s="1361"/>
      <c r="E3" s="1361"/>
      <c r="F3" s="1361"/>
      <c r="G3" s="1361"/>
      <c r="H3" s="1361"/>
      <c r="I3" s="1361"/>
      <c r="J3" s="1361"/>
      <c r="K3" s="1361"/>
    </row>
    <row r="4" spans="1:11" ht="15" customHeight="1" x14ac:dyDescent="0.25">
      <c r="A4" s="351" t="s">
        <v>579</v>
      </c>
      <c r="B4" s="1187" t="s">
        <v>1338</v>
      </c>
    </row>
    <row r="5" spans="1:11" ht="15" customHeight="1" x14ac:dyDescent="0.25">
      <c r="A5" s="351" t="s">
        <v>580</v>
      </c>
      <c r="B5" s="351" t="s">
        <v>581</v>
      </c>
      <c r="C5" s="129"/>
      <c r="D5" s="129"/>
      <c r="E5" s="129"/>
      <c r="F5" s="129"/>
      <c r="G5" s="129"/>
      <c r="H5" s="129"/>
      <c r="I5" s="129"/>
      <c r="J5" s="129"/>
      <c r="K5" s="129"/>
    </row>
    <row r="6" spans="1:11" ht="15" customHeight="1" x14ac:dyDescent="0.25">
      <c r="A6" s="351" t="s">
        <v>582</v>
      </c>
      <c r="B6" s="351" t="s">
        <v>585</v>
      </c>
      <c r="C6" s="129"/>
      <c r="D6" s="129"/>
      <c r="E6" s="129"/>
      <c r="F6" s="129"/>
      <c r="G6" s="129"/>
      <c r="H6" s="129"/>
      <c r="I6" s="129"/>
      <c r="J6" s="129"/>
      <c r="K6" s="129"/>
    </row>
    <row r="7" spans="1:11" ht="15" customHeight="1" x14ac:dyDescent="0.25">
      <c r="A7" s="351"/>
      <c r="B7" s="351"/>
      <c r="C7" s="129"/>
      <c r="D7" s="129"/>
      <c r="E7" s="129"/>
      <c r="F7" s="129"/>
      <c r="G7" s="129"/>
      <c r="H7" s="129"/>
      <c r="I7" s="129"/>
      <c r="J7" s="129"/>
      <c r="K7" s="129"/>
    </row>
    <row r="8" spans="1:11" ht="15" customHeight="1" x14ac:dyDescent="0.2">
      <c r="A8" s="1362" t="s">
        <v>137</v>
      </c>
      <c r="B8" s="1362"/>
      <c r="C8" s="1362"/>
      <c r="D8" s="1362"/>
      <c r="E8" s="1362"/>
      <c r="F8" s="1362"/>
      <c r="G8" s="1362"/>
      <c r="H8" s="1362"/>
      <c r="I8" s="1362"/>
      <c r="J8" s="1362"/>
      <c r="K8" s="1362"/>
    </row>
    <row r="9" spans="1:11" ht="15" x14ac:dyDescent="0.25">
      <c r="A9" s="1"/>
      <c r="B9" s="1"/>
      <c r="C9" s="1"/>
      <c r="D9" s="1"/>
      <c r="E9" s="1"/>
      <c r="F9" s="1"/>
      <c r="G9" s="83" t="s">
        <v>0</v>
      </c>
      <c r="H9" s="1"/>
      <c r="I9" s="1"/>
    </row>
    <row r="10" spans="1:11" ht="30" customHeight="1" x14ac:dyDescent="0.2">
      <c r="A10" s="6" t="s">
        <v>4</v>
      </c>
      <c r="B10" s="336" t="s">
        <v>5</v>
      </c>
      <c r="C10" s="345" t="s">
        <v>6</v>
      </c>
      <c r="D10" s="345" t="s">
        <v>7</v>
      </c>
      <c r="E10" s="345" t="s">
        <v>8</v>
      </c>
      <c r="F10" s="233" t="s">
        <v>150</v>
      </c>
      <c r="G10" s="233" t="s">
        <v>11</v>
      </c>
      <c r="H10" s="1"/>
      <c r="I10" s="1"/>
    </row>
    <row r="11" spans="1:11" ht="18.75" customHeight="1" x14ac:dyDescent="0.2">
      <c r="A11" s="378" t="str">
        <f>T04cde!$A5</f>
        <v>2009-10</v>
      </c>
      <c r="B11" s="103">
        <f>T04cde!D29</f>
        <v>860</v>
      </c>
      <c r="C11" s="103">
        <f>T04cde!E29</f>
        <v>1161</v>
      </c>
      <c r="D11" s="103">
        <f>T04cde!F29</f>
        <v>57</v>
      </c>
      <c r="E11" s="103">
        <f>T04cde!G29</f>
        <v>676</v>
      </c>
      <c r="F11" s="103">
        <f>T04cde!H29</f>
        <v>183</v>
      </c>
      <c r="G11" s="347">
        <f>T04cde!C29</f>
        <v>2937</v>
      </c>
      <c r="H11" s="4"/>
      <c r="I11" s="1"/>
    </row>
    <row r="12" spans="1:11" ht="13.5" customHeight="1" x14ac:dyDescent="0.2">
      <c r="A12" s="29" t="str">
        <f>T04cde!$A6</f>
        <v>2010-11</v>
      </c>
      <c r="B12" s="4">
        <f>T04cde!D30</f>
        <v>782</v>
      </c>
      <c r="C12" s="4">
        <f>T04cde!E30</f>
        <v>1176</v>
      </c>
      <c r="D12" s="4">
        <f>T04cde!F30</f>
        <v>44</v>
      </c>
      <c r="E12" s="4">
        <f>T04cde!G30</f>
        <v>571</v>
      </c>
      <c r="F12" s="4">
        <f>T04cde!H30</f>
        <v>180</v>
      </c>
      <c r="G12" s="13">
        <f>T04cde!C30</f>
        <v>2753</v>
      </c>
      <c r="H12" s="4"/>
      <c r="I12" s="1"/>
    </row>
    <row r="13" spans="1:11" ht="13.5" customHeight="1" x14ac:dyDescent="0.2">
      <c r="A13" s="29" t="str">
        <f>T04cde!$A7</f>
        <v>2011-12</v>
      </c>
      <c r="B13" s="4">
        <f>T04cde!D31</f>
        <v>811</v>
      </c>
      <c r="C13" s="4">
        <f>T04cde!E31</f>
        <v>1106</v>
      </c>
      <c r="D13" s="4">
        <f>T04cde!F31</f>
        <v>39</v>
      </c>
      <c r="E13" s="4">
        <f>T04cde!G31</f>
        <v>510</v>
      </c>
      <c r="F13" s="4">
        <f>T04cde!H31</f>
        <v>156</v>
      </c>
      <c r="G13" s="13">
        <f>T04cde!C31</f>
        <v>2622</v>
      </c>
      <c r="H13" s="4"/>
      <c r="I13" s="1"/>
    </row>
    <row r="14" spans="1:11" ht="13.5" customHeight="1" x14ac:dyDescent="0.2">
      <c r="A14" s="29" t="str">
        <f>T04cde!$A8</f>
        <v>2012-13</v>
      </c>
      <c r="B14" s="4">
        <f>T04cde!D32</f>
        <v>677</v>
      </c>
      <c r="C14" s="4">
        <f>T04cde!E32</f>
        <v>1158</v>
      </c>
      <c r="D14" s="4">
        <f>T04cde!F32</f>
        <v>18</v>
      </c>
      <c r="E14" s="4">
        <f>T04cde!G32</f>
        <v>329</v>
      </c>
      <c r="F14" s="4">
        <f>T04cde!H32</f>
        <v>125</v>
      </c>
      <c r="G14" s="13">
        <f>T04cde!C32</f>
        <v>2307</v>
      </c>
      <c r="H14" s="4"/>
      <c r="I14" s="1"/>
    </row>
    <row r="15" spans="1:11" ht="13.5" customHeight="1" x14ac:dyDescent="0.2">
      <c r="A15" s="29" t="str">
        <f>T04cde!$A9</f>
        <v>2013-14</v>
      </c>
      <c r="B15" s="4">
        <f>T04cde!D33</f>
        <v>651</v>
      </c>
      <c r="C15" s="4">
        <f>T04cde!E33</f>
        <v>1219</v>
      </c>
      <c r="D15" s="4">
        <f>T04cde!F33</f>
        <v>31</v>
      </c>
      <c r="E15" s="4">
        <f>T04cde!G33</f>
        <v>339</v>
      </c>
      <c r="F15" s="4">
        <f>T04cde!H33</f>
        <v>125</v>
      </c>
      <c r="G15" s="13">
        <f>T04cde!C33</f>
        <v>2365</v>
      </c>
      <c r="H15" s="4"/>
      <c r="I15" s="1"/>
    </row>
    <row r="16" spans="1:11" ht="13.5" customHeight="1" x14ac:dyDescent="0.2">
      <c r="A16" s="29" t="str">
        <f>T04cde!$A10</f>
        <v>2014-15</v>
      </c>
      <c r="B16" s="4">
        <f>T04cde!D34</f>
        <v>512</v>
      </c>
      <c r="C16" s="4">
        <f>T04cde!E34</f>
        <v>1104</v>
      </c>
      <c r="D16" s="4">
        <f>T04cde!F34</f>
        <v>33</v>
      </c>
      <c r="E16" s="4">
        <f>T04cde!G34</f>
        <v>291</v>
      </c>
      <c r="F16" s="4">
        <f>T04cde!H34</f>
        <v>116</v>
      </c>
      <c r="G16" s="13">
        <f>T04cde!C34</f>
        <v>2056</v>
      </c>
      <c r="H16" s="4"/>
      <c r="I16" s="1"/>
    </row>
    <row r="17" spans="1:19" ht="13.5" customHeight="1" x14ac:dyDescent="0.2">
      <c r="A17" s="29" t="str">
        <f>T04cde!$A11</f>
        <v>2015-16</v>
      </c>
      <c r="B17" s="4">
        <f>T04cde!D35</f>
        <v>524</v>
      </c>
      <c r="C17" s="4">
        <f>T04cde!E35</f>
        <v>1349</v>
      </c>
      <c r="D17" s="4">
        <f>T04cde!F35</f>
        <v>33</v>
      </c>
      <c r="E17" s="4">
        <f>T04cde!G35</f>
        <v>350</v>
      </c>
      <c r="F17" s="4">
        <f>T04cde!H35</f>
        <v>119</v>
      </c>
      <c r="G17" s="13">
        <f>T04cde!C35</f>
        <v>2375</v>
      </c>
      <c r="H17" s="4"/>
      <c r="I17" s="1"/>
    </row>
    <row r="18" spans="1:19" ht="13.5" customHeight="1" x14ac:dyDescent="0.2">
      <c r="A18" s="29" t="str">
        <f>T04cde!$A12</f>
        <v>2016-17</v>
      </c>
      <c r="B18" s="4">
        <f>T04cde!D36</f>
        <v>497</v>
      </c>
      <c r="C18" s="4">
        <f>T04cde!E36</f>
        <v>1318</v>
      </c>
      <c r="D18" s="4">
        <f>T04cde!F36</f>
        <v>25</v>
      </c>
      <c r="E18" s="4">
        <f>T04cde!G36</f>
        <v>309</v>
      </c>
      <c r="F18" s="4">
        <f>T04cde!H36</f>
        <v>132</v>
      </c>
      <c r="G18" s="13">
        <f>T04cde!C36</f>
        <v>2281</v>
      </c>
      <c r="H18" s="4"/>
      <c r="I18" s="1"/>
    </row>
    <row r="19" spans="1:19" ht="13.5" customHeight="1" x14ac:dyDescent="0.2">
      <c r="A19" s="29" t="str">
        <f>T04cde!$A13</f>
        <v>2017-18</v>
      </c>
      <c r="B19" s="4">
        <f>T04cde!D37</f>
        <v>424</v>
      </c>
      <c r="C19" s="4">
        <f>T04cde!E37</f>
        <v>1449</v>
      </c>
      <c r="D19" s="4">
        <f>T04cde!F37</f>
        <v>35</v>
      </c>
      <c r="E19" s="4">
        <f>T04cde!G37</f>
        <v>299</v>
      </c>
      <c r="F19" s="4">
        <f>T04cde!H37</f>
        <v>130</v>
      </c>
      <c r="G19" s="13">
        <f>T04cde!C37</f>
        <v>2337</v>
      </c>
      <c r="H19" s="4"/>
      <c r="I19" s="1"/>
    </row>
    <row r="20" spans="1:19" x14ac:dyDescent="0.2">
      <c r="A20" s="29" t="str">
        <f>T04cde!$A14</f>
        <v>2018-19</v>
      </c>
      <c r="B20" s="4">
        <f>T04cde!D38</f>
        <v>427</v>
      </c>
      <c r="C20" s="4">
        <f>T04cde!E38</f>
        <v>1542</v>
      </c>
      <c r="D20" s="4">
        <f>T04cde!F38</f>
        <v>12</v>
      </c>
      <c r="E20" s="4">
        <f>T04cde!G38</f>
        <v>204</v>
      </c>
      <c r="F20" s="4">
        <f>T04cde!H38</f>
        <v>94</v>
      </c>
      <c r="G20" s="13">
        <f>T04cde!C38</f>
        <v>2279</v>
      </c>
      <c r="H20" s="1"/>
      <c r="I20" s="1"/>
    </row>
    <row r="21" spans="1:19" x14ac:dyDescent="0.2">
      <c r="A21" s="29" t="str">
        <f>T04cde!$A15</f>
        <v>2019-20</v>
      </c>
      <c r="B21" s="4">
        <f>T04cde!D39</f>
        <v>435</v>
      </c>
      <c r="C21" s="4">
        <f>T04cde!E39</f>
        <v>1455</v>
      </c>
      <c r="D21" s="4">
        <f>T04cde!F39</f>
        <v>12</v>
      </c>
      <c r="E21" s="4">
        <f>T04cde!G39</f>
        <v>190</v>
      </c>
      <c r="F21" s="4">
        <f>T04cde!H39</f>
        <v>106</v>
      </c>
      <c r="G21" s="13">
        <f>T04cde!C39</f>
        <v>2198</v>
      </c>
      <c r="H21" s="1"/>
      <c r="I21" s="1"/>
    </row>
    <row r="22" spans="1:19" ht="13.5" thickBot="1" x14ac:dyDescent="0.25">
      <c r="A22" s="380" t="str">
        <f>T04cde!$A16</f>
        <v>2020-21</v>
      </c>
      <c r="B22" s="349">
        <f>T04cde!D40</f>
        <v>300</v>
      </c>
      <c r="C22" s="349">
        <f>T04cde!E40</f>
        <v>934</v>
      </c>
      <c r="D22" s="349">
        <f>T04cde!F40</f>
        <v>24</v>
      </c>
      <c r="E22" s="349">
        <f>T04cde!G40</f>
        <v>143</v>
      </c>
      <c r="F22" s="349">
        <f>T04cde!H40</f>
        <v>93</v>
      </c>
      <c r="G22" s="350">
        <f>T04cde!C40</f>
        <v>1494</v>
      </c>
      <c r="H22" s="1"/>
      <c r="I22" s="1"/>
    </row>
    <row r="23" spans="1:19" x14ac:dyDescent="0.2">
      <c r="A23" s="273"/>
      <c r="B23" s="1"/>
      <c r="C23" s="4"/>
      <c r="D23" s="1"/>
      <c r="E23" s="1"/>
      <c r="F23" s="1"/>
      <c r="G23" s="123"/>
      <c r="H23" s="1"/>
      <c r="I23" s="1"/>
    </row>
    <row r="24" spans="1:19" ht="15.75" x14ac:dyDescent="0.2">
      <c r="A24" s="1362" t="s">
        <v>145</v>
      </c>
      <c r="B24" s="1362"/>
      <c r="C24" s="1362"/>
      <c r="D24" s="1362"/>
      <c r="E24" s="1362"/>
      <c r="F24" s="1362"/>
      <c r="G24" s="1362"/>
      <c r="H24" s="1362"/>
      <c r="I24" s="1362"/>
      <c r="J24" s="1362"/>
      <c r="K24" s="1362"/>
    </row>
    <row r="25" spans="1:19" ht="15" customHeight="1" x14ac:dyDescent="0.25">
      <c r="A25" s="1"/>
      <c r="B25" s="1"/>
      <c r="C25" s="1"/>
      <c r="D25" s="1"/>
      <c r="E25" s="1"/>
      <c r="F25" s="1"/>
      <c r="G25" s="83" t="s">
        <v>0</v>
      </c>
      <c r="H25" s="1"/>
      <c r="I25" s="1"/>
    </row>
    <row r="26" spans="1:19" ht="30" customHeight="1" x14ac:dyDescent="0.25">
      <c r="A26" s="153" t="s">
        <v>4</v>
      </c>
      <c r="B26" s="336" t="s">
        <v>5</v>
      </c>
      <c r="C26" s="345" t="s">
        <v>6</v>
      </c>
      <c r="D26" s="345" t="s">
        <v>7</v>
      </c>
      <c r="E26" s="345" t="s">
        <v>8</v>
      </c>
      <c r="F26" s="233" t="s">
        <v>150</v>
      </c>
      <c r="G26" s="337" t="s">
        <v>11</v>
      </c>
      <c r="H26" s="1"/>
      <c r="I26" s="1"/>
      <c r="L26" s="121"/>
      <c r="M26" s="121"/>
      <c r="N26" s="122"/>
      <c r="O26" s="122"/>
      <c r="P26" s="122"/>
      <c r="Q26" s="122"/>
      <c r="R26" s="122"/>
      <c r="S26" s="122"/>
    </row>
    <row r="27" spans="1:19" ht="18.75" customHeight="1" x14ac:dyDescent="0.2">
      <c r="A27" s="378" t="str">
        <f>A11</f>
        <v>2009-10</v>
      </c>
      <c r="B27" s="103">
        <f>T04cde!D5</f>
        <v>9142</v>
      </c>
      <c r="C27" s="103">
        <f>T04cde!E5</f>
        <v>27103</v>
      </c>
      <c r="D27" s="103">
        <f>T04cde!F5</f>
        <v>9</v>
      </c>
      <c r="E27" s="103">
        <f>T04cde!G5</f>
        <v>51</v>
      </c>
      <c r="F27" s="103">
        <f>T04cde!H5</f>
        <v>6</v>
      </c>
      <c r="G27" s="13">
        <f>T04cde!C5</f>
        <v>36311</v>
      </c>
      <c r="H27" s="4"/>
      <c r="I27" s="1"/>
    </row>
    <row r="28" spans="1:19" ht="13.5" customHeight="1" x14ac:dyDescent="0.2">
      <c r="A28" s="29" t="str">
        <f t="shared" ref="A28:A38" si="0">A12</f>
        <v>2010-11</v>
      </c>
      <c r="B28" s="4">
        <f>T04cde!D6</f>
        <v>9321</v>
      </c>
      <c r="C28" s="4">
        <f>T04cde!E6</f>
        <v>25912</v>
      </c>
      <c r="D28" s="4">
        <f>T04cde!F6</f>
        <v>2</v>
      </c>
      <c r="E28" s="4">
        <f>T04cde!G6</f>
        <v>51</v>
      </c>
      <c r="F28" s="4">
        <f>T04cde!H6</f>
        <v>5</v>
      </c>
      <c r="G28" s="13">
        <f>T04cde!C6</f>
        <v>35291</v>
      </c>
      <c r="H28" s="4"/>
      <c r="I28" s="1"/>
    </row>
    <row r="29" spans="1:19" ht="13.5" customHeight="1" x14ac:dyDescent="0.2">
      <c r="A29" s="29" t="str">
        <f t="shared" si="0"/>
        <v>2011-12</v>
      </c>
      <c r="B29" s="4">
        <f>T04cde!D7</f>
        <v>9778</v>
      </c>
      <c r="C29" s="4">
        <f>T04cde!E7</f>
        <v>25108</v>
      </c>
      <c r="D29" s="4">
        <f>T04cde!F7</f>
        <v>7</v>
      </c>
      <c r="E29" s="4">
        <f>T04cde!G7</f>
        <v>54</v>
      </c>
      <c r="F29" s="4">
        <f>T04cde!H7</f>
        <v>7</v>
      </c>
      <c r="G29" s="13">
        <f>T04cde!C7</f>
        <v>34954</v>
      </c>
      <c r="H29" s="4"/>
      <c r="I29" s="1"/>
    </row>
    <row r="30" spans="1:19" ht="13.5" customHeight="1" x14ac:dyDescent="0.2">
      <c r="A30" s="29" t="str">
        <f t="shared" si="0"/>
        <v>2012-13</v>
      </c>
      <c r="B30" s="4">
        <f>T04cde!D8</f>
        <v>10430</v>
      </c>
      <c r="C30" s="4">
        <f>T04cde!E8</f>
        <v>24619</v>
      </c>
      <c r="D30" s="4">
        <f>T04cde!F8</f>
        <v>10</v>
      </c>
      <c r="E30" s="4">
        <f>T04cde!G8</f>
        <v>43</v>
      </c>
      <c r="F30" s="4">
        <f>T04cde!H8</f>
        <v>8</v>
      </c>
      <c r="G30" s="13">
        <f>T04cde!C8</f>
        <v>35110</v>
      </c>
      <c r="H30" s="4"/>
      <c r="I30" s="1"/>
    </row>
    <row r="31" spans="1:19" ht="13.5" customHeight="1" x14ac:dyDescent="0.2">
      <c r="A31" s="29" t="str">
        <f t="shared" si="0"/>
        <v>2013-14</v>
      </c>
      <c r="B31" s="4">
        <f>T04cde!D9</f>
        <v>10643</v>
      </c>
      <c r="C31" s="4">
        <f>T04cde!E9</f>
        <v>24518</v>
      </c>
      <c r="D31" s="4">
        <f>T04cde!F9</f>
        <v>3</v>
      </c>
      <c r="E31" s="4">
        <f>T04cde!G9</f>
        <v>44</v>
      </c>
      <c r="F31" s="4">
        <f>T04cde!H9</f>
        <v>5</v>
      </c>
      <c r="G31" s="13">
        <f>T04cde!C9</f>
        <v>35213</v>
      </c>
      <c r="H31" s="4"/>
      <c r="I31" s="1"/>
    </row>
    <row r="32" spans="1:19" ht="13.5" customHeight="1" x14ac:dyDescent="0.2">
      <c r="A32" s="29" t="str">
        <f t="shared" si="0"/>
        <v>2014-15</v>
      </c>
      <c r="B32" s="4">
        <f>T04cde!D10</f>
        <v>11640</v>
      </c>
      <c r="C32" s="4">
        <f>T04cde!E10</f>
        <v>25628</v>
      </c>
      <c r="D32" s="4">
        <f>T04cde!F10</f>
        <v>11</v>
      </c>
      <c r="E32" s="4">
        <f>T04cde!G10</f>
        <v>51</v>
      </c>
      <c r="F32" s="4">
        <f>T04cde!H10</f>
        <v>7</v>
      </c>
      <c r="G32" s="13">
        <f>T04cde!C10</f>
        <v>37337</v>
      </c>
      <c r="H32" s="4"/>
      <c r="I32" s="1"/>
    </row>
    <row r="33" spans="1:19" ht="13.5" customHeight="1" x14ac:dyDescent="0.2">
      <c r="A33" s="29" t="str">
        <f t="shared" si="0"/>
        <v>2015-16</v>
      </c>
      <c r="B33" s="4">
        <f>T04cde!D11</f>
        <v>11615</v>
      </c>
      <c r="C33" s="4">
        <f>T04cde!E11</f>
        <v>25953</v>
      </c>
      <c r="D33" s="4">
        <f>T04cde!F11</f>
        <v>9</v>
      </c>
      <c r="E33" s="4">
        <f>T04cde!G11</f>
        <v>39</v>
      </c>
      <c r="F33" s="4">
        <f>T04cde!H11</f>
        <v>5</v>
      </c>
      <c r="G33" s="13">
        <f>T04cde!C11</f>
        <v>37621</v>
      </c>
      <c r="H33" s="4"/>
      <c r="I33" s="1"/>
    </row>
    <row r="34" spans="1:19" ht="13.5" customHeight="1" x14ac:dyDescent="0.2">
      <c r="A34" s="29" t="str">
        <f t="shared" si="0"/>
        <v>2016-17</v>
      </c>
      <c r="B34" s="4">
        <f>T04cde!D12</f>
        <v>12603</v>
      </c>
      <c r="C34" s="4">
        <f>T04cde!E12</f>
        <v>26972</v>
      </c>
      <c r="D34" s="4">
        <f>T04cde!F12</f>
        <v>6</v>
      </c>
      <c r="E34" s="4">
        <f>T04cde!G12</f>
        <v>35</v>
      </c>
      <c r="F34" s="4">
        <f>T04cde!H12</f>
        <v>14</v>
      </c>
      <c r="G34" s="13">
        <f>T04cde!C12</f>
        <v>39630</v>
      </c>
      <c r="H34" s="4"/>
      <c r="I34" s="1"/>
    </row>
    <row r="35" spans="1:19" ht="13.5" customHeight="1" x14ac:dyDescent="0.2">
      <c r="A35" s="29" t="str">
        <f t="shared" si="0"/>
        <v>2017-18</v>
      </c>
      <c r="B35" s="4">
        <f>T04cde!D13</f>
        <v>13443</v>
      </c>
      <c r="C35" s="4">
        <f>T04cde!E13</f>
        <v>26933</v>
      </c>
      <c r="D35" s="4">
        <f>T04cde!F13</f>
        <v>10</v>
      </c>
      <c r="E35" s="4">
        <f>T04cde!G13</f>
        <v>41</v>
      </c>
      <c r="F35" s="4">
        <f>T04cde!H13</f>
        <v>9</v>
      </c>
      <c r="G35" s="13">
        <f>T04cde!C13</f>
        <v>40436</v>
      </c>
      <c r="H35" s="4"/>
      <c r="I35" s="1"/>
    </row>
    <row r="36" spans="1:19" x14ac:dyDescent="0.2">
      <c r="A36" s="29" t="str">
        <f t="shared" si="0"/>
        <v>2018-19</v>
      </c>
      <c r="B36" s="4">
        <f>T04cde!D14</f>
        <v>13668</v>
      </c>
      <c r="C36" s="4">
        <f>T04cde!E14</f>
        <v>26897</v>
      </c>
      <c r="D36" s="4">
        <f>T04cde!F14</f>
        <v>10</v>
      </c>
      <c r="E36" s="4">
        <f>T04cde!G14</f>
        <v>52</v>
      </c>
      <c r="F36" s="4">
        <f>T04cde!H14</f>
        <v>14</v>
      </c>
      <c r="G36" s="13">
        <f>T04cde!C14</f>
        <v>40641</v>
      </c>
      <c r="H36" s="1"/>
      <c r="I36" s="1"/>
    </row>
    <row r="37" spans="1:19" x14ac:dyDescent="0.2">
      <c r="A37" s="29" t="str">
        <f t="shared" si="0"/>
        <v>2019-20</v>
      </c>
      <c r="B37" s="4">
        <f>T04cde!D15</f>
        <v>13859</v>
      </c>
      <c r="C37" s="4">
        <f>T04cde!E15</f>
        <v>27518</v>
      </c>
      <c r="D37" s="4">
        <f>T04cde!F15</f>
        <v>11</v>
      </c>
      <c r="E37" s="4">
        <f>T04cde!G15</f>
        <v>63</v>
      </c>
      <c r="F37" s="4">
        <f>T04cde!H15</f>
        <v>16</v>
      </c>
      <c r="G37" s="13">
        <f>T04cde!C15</f>
        <v>41467</v>
      </c>
      <c r="H37" s="1"/>
      <c r="I37" s="1"/>
    </row>
    <row r="38" spans="1:19" ht="13.5" thickBot="1" x14ac:dyDescent="0.25">
      <c r="A38" s="380" t="str">
        <f t="shared" si="0"/>
        <v>2020-21</v>
      </c>
      <c r="B38" s="349">
        <f>T04cde!D16</f>
        <v>13325</v>
      </c>
      <c r="C38" s="349">
        <f>T04cde!E16</f>
        <v>22426</v>
      </c>
      <c r="D38" s="349">
        <f>T04cde!F16</f>
        <v>4</v>
      </c>
      <c r="E38" s="349">
        <f>T04cde!G16</f>
        <v>36</v>
      </c>
      <c r="F38" s="349">
        <f>T04cde!H16</f>
        <v>18</v>
      </c>
      <c r="G38" s="350">
        <f>T04cde!C16</f>
        <v>35809</v>
      </c>
      <c r="H38" s="1"/>
      <c r="I38" s="1"/>
    </row>
    <row r="39" spans="1:19" x14ac:dyDescent="0.2">
      <c r="A39" s="273"/>
      <c r="B39" s="1"/>
      <c r="C39" s="1"/>
      <c r="D39" s="1"/>
      <c r="E39" s="1"/>
      <c r="F39" s="1"/>
      <c r="G39" s="1"/>
      <c r="H39" s="1"/>
      <c r="I39" s="1"/>
    </row>
    <row r="40" spans="1:19" ht="15.75" x14ac:dyDescent="0.2">
      <c r="A40" s="1362" t="s">
        <v>139</v>
      </c>
      <c r="B40" s="1362"/>
      <c r="C40" s="1362"/>
      <c r="D40" s="1362"/>
      <c r="E40" s="1362"/>
      <c r="F40" s="1362"/>
      <c r="G40" s="1362"/>
      <c r="H40" s="1362"/>
      <c r="I40" s="1362"/>
      <c r="J40" s="1362"/>
      <c r="K40" s="1362"/>
    </row>
    <row r="41" spans="1:19" ht="15" x14ac:dyDescent="0.25">
      <c r="A41" s="1"/>
      <c r="B41" s="1"/>
      <c r="C41" s="1"/>
      <c r="D41" s="1"/>
      <c r="E41" s="1"/>
      <c r="F41" s="1"/>
      <c r="G41" s="83" t="s">
        <v>0</v>
      </c>
      <c r="H41" s="1"/>
      <c r="I41" s="1"/>
    </row>
    <row r="42" spans="1:19" ht="30" customHeight="1" x14ac:dyDescent="0.25">
      <c r="A42" s="37" t="s">
        <v>4</v>
      </c>
      <c r="B42" s="255" t="s">
        <v>5</v>
      </c>
      <c r="C42" s="256" t="s">
        <v>6</v>
      </c>
      <c r="D42" s="256" t="s">
        <v>7</v>
      </c>
      <c r="E42" s="256" t="s">
        <v>8</v>
      </c>
      <c r="F42" s="257" t="s">
        <v>150</v>
      </c>
      <c r="G42" s="233" t="s">
        <v>11</v>
      </c>
      <c r="H42" s="1"/>
      <c r="I42" s="1"/>
      <c r="L42" s="121"/>
      <c r="M42" s="121"/>
      <c r="N42" s="122"/>
      <c r="O42" s="122"/>
      <c r="P42" s="122"/>
      <c r="Q42" s="122"/>
      <c r="R42" s="122"/>
      <c r="S42" s="122"/>
    </row>
    <row r="43" spans="1:19" ht="18.75" customHeight="1" x14ac:dyDescent="0.2">
      <c r="A43" s="29" t="str">
        <f>A27</f>
        <v>2009-10</v>
      </c>
      <c r="B43" s="4">
        <f>T04cde!D17</f>
        <v>4644</v>
      </c>
      <c r="C43" s="4">
        <f>T04cde!E17</f>
        <v>4669</v>
      </c>
      <c r="D43" s="4">
        <f>T04cde!F17</f>
        <v>460</v>
      </c>
      <c r="E43" s="4">
        <f>T04cde!G17</f>
        <v>2844</v>
      </c>
      <c r="F43" s="4">
        <f>T04cde!H17</f>
        <v>210</v>
      </c>
      <c r="G43" s="347">
        <f>T04cde!$C17</f>
        <v>12827</v>
      </c>
      <c r="H43" s="4"/>
      <c r="I43" s="1"/>
    </row>
    <row r="44" spans="1:19" ht="13.5" customHeight="1" x14ac:dyDescent="0.2">
      <c r="A44" s="29" t="str">
        <f t="shared" ref="A44:A54" si="1">A28</f>
        <v>2010-11</v>
      </c>
      <c r="B44" s="4">
        <f>T04cde!D18</f>
        <v>4479</v>
      </c>
      <c r="C44" s="4">
        <f>T04cde!E18</f>
        <v>3817</v>
      </c>
      <c r="D44" s="4">
        <f>T04cde!F18</f>
        <v>395</v>
      </c>
      <c r="E44" s="4">
        <f>T04cde!G18</f>
        <v>2913</v>
      </c>
      <c r="F44" s="4">
        <f>T04cde!H18</f>
        <v>203</v>
      </c>
      <c r="G44" s="13">
        <f>T04cde!$C18</f>
        <v>11807</v>
      </c>
      <c r="H44" s="4"/>
      <c r="I44" s="1"/>
    </row>
    <row r="45" spans="1:19" ht="13.5" customHeight="1" x14ac:dyDescent="0.2">
      <c r="A45" s="29" t="str">
        <f t="shared" si="1"/>
        <v>2011-12</v>
      </c>
      <c r="B45" s="4">
        <f>T04cde!D19</f>
        <v>3896</v>
      </c>
      <c r="C45" s="4">
        <f>T04cde!E19</f>
        <v>3164</v>
      </c>
      <c r="D45" s="4">
        <f>T04cde!F19</f>
        <v>359</v>
      </c>
      <c r="E45" s="4">
        <f>T04cde!G19</f>
        <v>2757</v>
      </c>
      <c r="F45" s="4">
        <f>T04cde!H19</f>
        <v>170</v>
      </c>
      <c r="G45" s="13">
        <f>T04cde!$C19</f>
        <v>10346</v>
      </c>
      <c r="H45" s="4"/>
      <c r="I45" s="1"/>
    </row>
    <row r="46" spans="1:19" ht="13.5" customHeight="1" x14ac:dyDescent="0.2">
      <c r="A46" s="29" t="str">
        <f t="shared" si="1"/>
        <v>2012-13</v>
      </c>
      <c r="B46" s="4">
        <f>T04cde!D20</f>
        <v>3880</v>
      </c>
      <c r="C46" s="4">
        <f>T04cde!E20</f>
        <v>3102</v>
      </c>
      <c r="D46" s="4">
        <f>T04cde!F20</f>
        <v>417</v>
      </c>
      <c r="E46" s="4">
        <f>T04cde!G20</f>
        <v>2337</v>
      </c>
      <c r="F46" s="4">
        <f>T04cde!H20</f>
        <v>135</v>
      </c>
      <c r="G46" s="13">
        <f>T04cde!$C20</f>
        <v>9871</v>
      </c>
      <c r="H46" s="4"/>
      <c r="I46" s="1"/>
    </row>
    <row r="47" spans="1:19" ht="13.5" customHeight="1" x14ac:dyDescent="0.2">
      <c r="A47" s="29" t="str">
        <f t="shared" si="1"/>
        <v>2013-14</v>
      </c>
      <c r="B47" s="4">
        <f>T04cde!D21</f>
        <v>3648</v>
      </c>
      <c r="C47" s="4">
        <f>T04cde!E21</f>
        <v>2737</v>
      </c>
      <c r="D47" s="4">
        <f>T04cde!F21</f>
        <v>366</v>
      </c>
      <c r="E47" s="4">
        <f>T04cde!G21</f>
        <v>2683</v>
      </c>
      <c r="F47" s="4">
        <f>T04cde!H21</f>
        <v>183</v>
      </c>
      <c r="G47" s="13">
        <f>T04cde!$C21</f>
        <v>9617</v>
      </c>
      <c r="H47" s="4"/>
      <c r="I47" s="1"/>
    </row>
    <row r="48" spans="1:19" ht="13.5" customHeight="1" x14ac:dyDescent="0.2">
      <c r="A48" s="29" t="str">
        <f t="shared" si="1"/>
        <v>2014-15</v>
      </c>
      <c r="B48" s="4">
        <f>T04cde!D22</f>
        <v>3687</v>
      </c>
      <c r="C48" s="4">
        <f>T04cde!E22</f>
        <v>2436</v>
      </c>
      <c r="D48" s="4">
        <f>T04cde!F22</f>
        <v>399</v>
      </c>
      <c r="E48" s="4">
        <f>T04cde!G22</f>
        <v>2537</v>
      </c>
      <c r="F48" s="4">
        <f>T04cde!H22</f>
        <v>197</v>
      </c>
      <c r="G48" s="13">
        <f>T04cde!$C22</f>
        <v>9256</v>
      </c>
      <c r="H48" s="4"/>
      <c r="I48" s="1"/>
    </row>
    <row r="49" spans="1:9" ht="13.5" customHeight="1" x14ac:dyDescent="0.2">
      <c r="A49" s="29" t="str">
        <f t="shared" si="1"/>
        <v>2015-16</v>
      </c>
      <c r="B49" s="4">
        <f>T04cde!D23</f>
        <v>3565</v>
      </c>
      <c r="C49" s="4">
        <f>T04cde!E23</f>
        <v>2158</v>
      </c>
      <c r="D49" s="4">
        <f>T04cde!F23</f>
        <v>396</v>
      </c>
      <c r="E49" s="4">
        <f>T04cde!G23</f>
        <v>2532</v>
      </c>
      <c r="F49" s="4">
        <f>T04cde!H23</f>
        <v>199</v>
      </c>
      <c r="G49" s="13">
        <f>T04cde!$C23</f>
        <v>8850</v>
      </c>
      <c r="H49" s="4"/>
      <c r="I49" s="1"/>
    </row>
    <row r="50" spans="1:9" ht="13.5" customHeight="1" x14ac:dyDescent="0.2">
      <c r="A50" s="29" t="str">
        <f t="shared" si="1"/>
        <v>2016-17</v>
      </c>
      <c r="B50" s="4">
        <f>T04cde!D24</f>
        <v>3487</v>
      </c>
      <c r="C50" s="4">
        <f>T04cde!E24</f>
        <v>2162</v>
      </c>
      <c r="D50" s="4">
        <f>T04cde!F24</f>
        <v>414</v>
      </c>
      <c r="E50" s="4">
        <f>T04cde!G24</f>
        <v>2680</v>
      </c>
      <c r="F50" s="4">
        <f>T04cde!H24</f>
        <v>214</v>
      </c>
      <c r="G50" s="13">
        <f>T04cde!$C24</f>
        <v>8957</v>
      </c>
      <c r="H50" s="4"/>
      <c r="I50" s="1"/>
    </row>
    <row r="51" spans="1:9" ht="13.5" customHeight="1" x14ac:dyDescent="0.2">
      <c r="A51" s="29" t="str">
        <f t="shared" si="1"/>
        <v>2017-18</v>
      </c>
      <c r="B51" s="4">
        <f>T04cde!D25</f>
        <v>3720</v>
      </c>
      <c r="C51" s="4">
        <f>T04cde!E25</f>
        <v>2178</v>
      </c>
      <c r="D51" s="4">
        <f>T04cde!F25</f>
        <v>340</v>
      </c>
      <c r="E51" s="4">
        <f>T04cde!G25</f>
        <v>2659</v>
      </c>
      <c r="F51" s="4">
        <f>T04cde!H25</f>
        <v>214</v>
      </c>
      <c r="G51" s="13">
        <f>T04cde!$C25</f>
        <v>9111</v>
      </c>
      <c r="H51" s="4"/>
      <c r="I51" s="1"/>
    </row>
    <row r="52" spans="1:9" x14ac:dyDescent="0.2">
      <c r="A52" s="29" t="str">
        <f t="shared" si="1"/>
        <v>2018-19</v>
      </c>
      <c r="B52" s="4">
        <f>T04cde!D26</f>
        <v>3483</v>
      </c>
      <c r="C52" s="4">
        <f>T04cde!E26</f>
        <v>1994</v>
      </c>
      <c r="D52" s="4">
        <f>T04cde!F26</f>
        <v>359</v>
      </c>
      <c r="E52" s="4">
        <f>T04cde!G26</f>
        <v>3140</v>
      </c>
      <c r="F52" s="4">
        <f>T04cde!H26</f>
        <v>262</v>
      </c>
      <c r="G52" s="13">
        <f>T04cde!$C26</f>
        <v>9238</v>
      </c>
      <c r="H52" s="1"/>
      <c r="I52" s="1"/>
    </row>
    <row r="53" spans="1:9" x14ac:dyDescent="0.2">
      <c r="A53" s="29" t="str">
        <f t="shared" si="1"/>
        <v>2019-20</v>
      </c>
      <c r="B53" s="4">
        <f>T04cde!D27</f>
        <v>3385</v>
      </c>
      <c r="C53" s="4">
        <f>T04cde!E27</f>
        <v>1918</v>
      </c>
      <c r="D53" s="4">
        <f>T04cde!F27</f>
        <v>365</v>
      </c>
      <c r="E53" s="4">
        <f>T04cde!G27</f>
        <v>2709</v>
      </c>
      <c r="F53" s="4">
        <f>T04cde!H27</f>
        <v>260</v>
      </c>
      <c r="G53" s="13">
        <f>T04cde!$C27</f>
        <v>8637</v>
      </c>
      <c r="H53" s="1"/>
      <c r="I53" s="1"/>
    </row>
    <row r="54" spans="1:9" ht="13.5" thickBot="1" x14ac:dyDescent="0.25">
      <c r="A54" s="380" t="str">
        <f t="shared" si="1"/>
        <v>2020-21</v>
      </c>
      <c r="B54" s="349">
        <f>T04cde!D28</f>
        <v>3535</v>
      </c>
      <c r="C54" s="349">
        <f>T04cde!E28</f>
        <v>1680</v>
      </c>
      <c r="D54" s="349">
        <f>T04cde!F28</f>
        <v>262</v>
      </c>
      <c r="E54" s="349">
        <f>T04cde!G28</f>
        <v>3713</v>
      </c>
      <c r="F54" s="349">
        <f>T04cde!H28</f>
        <v>327</v>
      </c>
      <c r="G54" s="350">
        <f>T04cde!$C28</f>
        <v>9517</v>
      </c>
      <c r="H54" s="1"/>
      <c r="I54" s="1"/>
    </row>
    <row r="55" spans="1:9" x14ac:dyDescent="0.2">
      <c r="A55" s="1328"/>
      <c r="B55" s="1328"/>
      <c r="C55" s="1"/>
      <c r="D55" s="1"/>
      <c r="E55" s="1"/>
      <c r="F55" s="1"/>
      <c r="G55" s="1"/>
      <c r="H55" s="1"/>
      <c r="I55" s="1"/>
    </row>
    <row r="57" spans="1:9" x14ac:dyDescent="0.2">
      <c r="A57" s="1360"/>
      <c r="B57" s="1360"/>
    </row>
  </sheetData>
  <sheetProtection algorithmName="SHA-512" hashValue="Nc+kO4tEDwC0UFBOFGNqA9vhlyz/dCOsNhCS+A0kCkx0Jj7gKoRl6ihPJBCe82+QbMaZvhjsvuLjb7QmrP3moA==" saltValue="RC6EeN75Fs7s2eH3UcCrwQ==" spinCount="100000" sheet="1" scenarios="1" formatCells="0" formatColumns="0" formatRows="0" sort="0" autoFilter="0" pivotTables="0"/>
  <mergeCells count="6">
    <mergeCell ref="A57:B57"/>
    <mergeCell ref="A3:K3"/>
    <mergeCell ref="A24:K24"/>
    <mergeCell ref="A40:K40"/>
    <mergeCell ref="A55:B55"/>
    <mergeCell ref="A8:K8"/>
  </mergeCells>
  <hyperlinks>
    <hyperlink ref="A2" location="'Table of Contents'!A1" display="Back to Table of Contents" xr:uid="{00000000-0004-0000-5C00-000000000000}"/>
  </hyperlinks>
  <pageMargins left="0.7" right="0.7" top="0.75" bottom="0.75" header="0.3" footer="0.3"/>
  <pageSetup paperSize="9" scale="84"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1">
    <tabColor theme="4" tint="0.59999389629810485"/>
    <pageSetUpPr fitToPage="1"/>
  </sheetPr>
  <dimension ref="A1:M21"/>
  <sheetViews>
    <sheetView showGridLines="0" zoomScaleNormal="100" workbookViewId="0">
      <pane ySplit="2" topLeftCell="A3" activePane="bottomLeft" state="frozen"/>
      <selection activeCellId="1" sqref="A1 A1"/>
      <selection pane="bottomLeft"/>
    </sheetView>
  </sheetViews>
  <sheetFormatPr defaultColWidth="9.140625" defaultRowHeight="12.75" x14ac:dyDescent="0.2"/>
  <cols>
    <col min="1" max="1" width="23.28515625" customWidth="1"/>
    <col min="2" max="2" width="12.5703125" customWidth="1"/>
    <col min="3" max="3" width="7.85546875" customWidth="1"/>
    <col min="4" max="4" width="11.42578125" customWidth="1"/>
    <col min="5" max="5" width="12.5703125" customWidth="1"/>
    <col min="6" max="6" width="7.85546875" customWidth="1"/>
    <col min="7" max="7" width="11.42578125" customWidth="1"/>
    <col min="8" max="8" width="12.85546875" customWidth="1"/>
  </cols>
  <sheetData>
    <row r="1" spans="1:13" ht="17.25" customHeight="1" x14ac:dyDescent="0.2">
      <c r="A1" s="298" t="s">
        <v>1130</v>
      </c>
    </row>
    <row r="2" spans="1:13" ht="17.25" customHeight="1" x14ac:dyDescent="0.2">
      <c r="A2" s="106" t="s">
        <v>578</v>
      </c>
    </row>
    <row r="3" spans="1:13" ht="38.25" customHeight="1" x14ac:dyDescent="0.2">
      <c r="A3" s="181" t="s">
        <v>1021</v>
      </c>
      <c r="B3" s="181"/>
      <c r="C3" s="181"/>
      <c r="E3" s="181"/>
      <c r="F3" s="181"/>
      <c r="G3" s="181"/>
      <c r="H3" s="181"/>
      <c r="I3" s="181"/>
      <c r="J3" s="181"/>
      <c r="K3" s="181"/>
      <c r="L3" s="181"/>
      <c r="M3" s="181"/>
    </row>
    <row r="4" spans="1:13" ht="15" customHeight="1" x14ac:dyDescent="0.25">
      <c r="A4" s="351" t="s">
        <v>579</v>
      </c>
      <c r="B4" s="1043" t="s">
        <v>1339</v>
      </c>
      <c r="D4" s="339"/>
      <c r="E4" s="339"/>
      <c r="F4" s="339"/>
      <c r="G4" s="339"/>
      <c r="H4" s="339"/>
      <c r="I4" s="181"/>
      <c r="J4" s="181"/>
      <c r="K4" s="181"/>
      <c r="L4" s="181"/>
      <c r="M4" s="181"/>
    </row>
    <row r="5" spans="1:13" ht="15" customHeight="1" x14ac:dyDescent="0.25">
      <c r="A5" s="351" t="s">
        <v>580</v>
      </c>
      <c r="B5" s="351" t="s">
        <v>581</v>
      </c>
      <c r="C5" s="339"/>
      <c r="D5" s="339"/>
      <c r="E5" s="339"/>
      <c r="F5" s="339"/>
      <c r="G5" s="339"/>
      <c r="H5" s="339"/>
      <c r="I5" s="181"/>
      <c r="J5" s="181"/>
      <c r="K5" s="181"/>
      <c r="L5" s="181"/>
      <c r="M5" s="181"/>
    </row>
    <row r="6" spans="1:13" ht="15" customHeight="1" x14ac:dyDescent="0.25">
      <c r="A6" s="351" t="s">
        <v>582</v>
      </c>
      <c r="B6" s="351" t="s">
        <v>585</v>
      </c>
      <c r="C6" s="339"/>
      <c r="D6" s="339"/>
      <c r="E6" s="339"/>
      <c r="F6" s="339"/>
      <c r="G6" s="339"/>
      <c r="H6" s="339"/>
      <c r="I6" s="181"/>
      <c r="J6" s="181"/>
      <c r="K6" s="181"/>
      <c r="L6" s="181"/>
      <c r="M6" s="181"/>
    </row>
    <row r="7" spans="1:13" ht="15" x14ac:dyDescent="0.25">
      <c r="A7" s="1"/>
      <c r="B7" s="1"/>
      <c r="C7" s="1"/>
      <c r="D7" s="1"/>
      <c r="E7" s="80" t="s">
        <v>0</v>
      </c>
      <c r="F7" s="83"/>
      <c r="G7" s="1"/>
      <c r="H7" s="60" t="s">
        <v>62</v>
      </c>
    </row>
    <row r="8" spans="1:13" ht="27.75" customHeight="1" x14ac:dyDescent="0.2">
      <c r="A8" s="6" t="s">
        <v>4</v>
      </c>
      <c r="B8" s="215" t="s">
        <v>148</v>
      </c>
      <c r="C8" s="188"/>
      <c r="D8" s="336" t="s">
        <v>137</v>
      </c>
      <c r="E8" s="233" t="s">
        <v>139</v>
      </c>
      <c r="F8" s="105"/>
      <c r="G8" s="336" t="s">
        <v>137</v>
      </c>
      <c r="H8" s="233" t="s">
        <v>139</v>
      </c>
    </row>
    <row r="9" spans="1:13" ht="18.75" customHeight="1" x14ac:dyDescent="0.2">
      <c r="A9" s="378" t="str">
        <f>'T05'!A5</f>
        <v>2009-10</v>
      </c>
      <c r="B9" s="1192">
        <f>'T05'!B5</f>
        <v>1502</v>
      </c>
      <c r="C9" s="378"/>
      <c r="D9" s="103">
        <f>'T05'!C5</f>
        <v>145</v>
      </c>
      <c r="E9" s="103">
        <f>'T05'!D5</f>
        <v>1357</v>
      </c>
      <c r="F9" s="354"/>
      <c r="G9" s="216">
        <f>D9/B9*100</f>
        <v>9.6537949400798926</v>
      </c>
      <c r="H9" s="216">
        <f>E9/B9*100</f>
        <v>90.346205059920109</v>
      </c>
    </row>
    <row r="10" spans="1:13" ht="13.5" customHeight="1" x14ac:dyDescent="0.2">
      <c r="A10" s="29" t="str">
        <f>'T05'!A6</f>
        <v>2010-11</v>
      </c>
      <c r="B10" s="1193">
        <f>'T05'!B6</f>
        <v>1312</v>
      </c>
      <c r="C10" s="29"/>
      <c r="D10" s="4">
        <f>'T05'!C6</f>
        <v>87</v>
      </c>
      <c r="E10" s="4">
        <f>'T05'!D6</f>
        <v>1225</v>
      </c>
      <c r="F10" s="191"/>
      <c r="G10" s="10">
        <f t="shared" ref="G10:G16" si="0">D10/B10*100</f>
        <v>6.6310975609756104</v>
      </c>
      <c r="H10" s="10">
        <f t="shared" ref="H10:H16" si="1">E10/B10*100</f>
        <v>93.368902439024396</v>
      </c>
    </row>
    <row r="11" spans="1:13" ht="13.5" customHeight="1" x14ac:dyDescent="0.2">
      <c r="A11" s="29" t="str">
        <f>'T05'!A7</f>
        <v>2011-12</v>
      </c>
      <c r="B11" s="1193">
        <f>'T05'!B7</f>
        <v>1186</v>
      </c>
      <c r="C11" s="29"/>
      <c r="D11" s="4">
        <f>'T05'!C7</f>
        <v>63</v>
      </c>
      <c r="E11" s="4">
        <f>'T05'!D7</f>
        <v>1123</v>
      </c>
      <c r="F11" s="191"/>
      <c r="G11" s="10">
        <f t="shared" si="0"/>
        <v>5.3119730185497467</v>
      </c>
      <c r="H11" s="10">
        <f t="shared" si="1"/>
        <v>94.688026981450264</v>
      </c>
    </row>
    <row r="12" spans="1:13" ht="13.5" customHeight="1" x14ac:dyDescent="0.2">
      <c r="A12" s="29" t="str">
        <f>'T05'!A8</f>
        <v>2012-13</v>
      </c>
      <c r="B12" s="1193">
        <f>'T05'!B8</f>
        <v>638</v>
      </c>
      <c r="C12" s="29"/>
      <c r="D12" s="4">
        <f>'T05'!C8</f>
        <v>18</v>
      </c>
      <c r="E12" s="4">
        <f>'T05'!D8</f>
        <v>620</v>
      </c>
      <c r="F12" s="191"/>
      <c r="G12" s="10">
        <f t="shared" si="0"/>
        <v>2.8213166144200628</v>
      </c>
      <c r="H12" s="10">
        <f t="shared" si="1"/>
        <v>97.17868338557993</v>
      </c>
    </row>
    <row r="13" spans="1:13" ht="13.5" customHeight="1" x14ac:dyDescent="0.2">
      <c r="A13" s="29" t="str">
        <f>'T05'!A9</f>
        <v>2013-14</v>
      </c>
      <c r="B13" s="1193">
        <f>'T05'!B9</f>
        <v>532</v>
      </c>
      <c r="C13" s="29"/>
      <c r="D13" s="4">
        <f>'T05'!C9</f>
        <v>15</v>
      </c>
      <c r="E13" s="4">
        <f>'T05'!D9</f>
        <v>517</v>
      </c>
      <c r="F13" s="191"/>
      <c r="G13" s="10">
        <f t="shared" si="0"/>
        <v>2.8195488721804511</v>
      </c>
      <c r="H13" s="10">
        <f t="shared" si="1"/>
        <v>97.180451127819538</v>
      </c>
    </row>
    <row r="14" spans="1:13" ht="13.5" customHeight="1" x14ac:dyDescent="0.2">
      <c r="A14" s="29" t="str">
        <f>'T05'!A10</f>
        <v>2014-15</v>
      </c>
      <c r="B14" s="1193">
        <f>'T05'!B10</f>
        <v>635</v>
      </c>
      <c r="C14" s="29"/>
      <c r="D14" s="4">
        <f>'T05'!C10</f>
        <v>19</v>
      </c>
      <c r="E14" s="4">
        <f>'T05'!D10</f>
        <v>616</v>
      </c>
      <c r="F14" s="191"/>
      <c r="G14" s="10">
        <f t="shared" si="0"/>
        <v>2.9921259842519685</v>
      </c>
      <c r="H14" s="10">
        <f t="shared" si="1"/>
        <v>97.00787401574803</v>
      </c>
    </row>
    <row r="15" spans="1:13" ht="13.5" customHeight="1" x14ac:dyDescent="0.2">
      <c r="A15" s="29" t="str">
        <f>'T05'!A11</f>
        <v>2015-16</v>
      </c>
      <c r="B15" s="1193">
        <f>'T05'!B11</f>
        <v>556</v>
      </c>
      <c r="C15" s="29"/>
      <c r="D15" s="4">
        <f>'T05'!C11</f>
        <v>24</v>
      </c>
      <c r="E15" s="4">
        <f>'T05'!D11</f>
        <v>532</v>
      </c>
      <c r="F15" s="191"/>
      <c r="G15" s="10">
        <f t="shared" si="0"/>
        <v>4.3165467625899279</v>
      </c>
      <c r="H15" s="10">
        <f t="shared" si="1"/>
        <v>95.683453237410077</v>
      </c>
    </row>
    <row r="16" spans="1:13" ht="13.5" customHeight="1" x14ac:dyDescent="0.2">
      <c r="A16" s="29" t="str">
        <f>'T05'!A12</f>
        <v>2016-17</v>
      </c>
      <c r="B16" s="1193">
        <f>'T05'!B12</f>
        <v>717</v>
      </c>
      <c r="C16" s="29"/>
      <c r="D16" s="4">
        <f>'T05'!C12</f>
        <v>19</v>
      </c>
      <c r="E16" s="4">
        <f>'T05'!D12</f>
        <v>698</v>
      </c>
      <c r="F16" s="191"/>
      <c r="G16" s="10">
        <f t="shared" si="0"/>
        <v>2.6499302649930265</v>
      </c>
      <c r="H16" s="10">
        <f t="shared" si="1"/>
        <v>97.350069735006969</v>
      </c>
    </row>
    <row r="17" spans="1:8" ht="13.5" customHeight="1" x14ac:dyDescent="0.2">
      <c r="A17" s="29" t="str">
        <f>'T05'!A13</f>
        <v>2017-18</v>
      </c>
      <c r="B17" s="1193">
        <f>'T05'!B13</f>
        <v>668</v>
      </c>
      <c r="C17" s="29"/>
      <c r="D17" s="4">
        <f>'T05'!C13</f>
        <v>19</v>
      </c>
      <c r="E17" s="4">
        <f>'T05'!D13</f>
        <v>649</v>
      </c>
      <c r="F17" s="191"/>
      <c r="G17" s="10">
        <f t="shared" ref="G17:G19" si="2">D17/B17*100</f>
        <v>2.8443113772455089</v>
      </c>
      <c r="H17" s="10">
        <f t="shared" ref="H17:H19" si="3">E17/B17*100</f>
        <v>97.155688622754482</v>
      </c>
    </row>
    <row r="18" spans="1:8" x14ac:dyDescent="0.2">
      <c r="A18" s="29" t="str">
        <f>'T05'!A14</f>
        <v>2018-19</v>
      </c>
      <c r="B18" s="1193">
        <f>'T05'!B14</f>
        <v>782</v>
      </c>
      <c r="C18" s="29"/>
      <c r="D18" s="4">
        <f>'T05'!C14</f>
        <v>13</v>
      </c>
      <c r="E18" s="4">
        <f>'T05'!D14</f>
        <v>769</v>
      </c>
      <c r="F18" s="13"/>
      <c r="G18" s="10">
        <f t="shared" si="2"/>
        <v>1.6624040920716114</v>
      </c>
      <c r="H18" s="10">
        <f t="shared" si="3"/>
        <v>98.337595907928389</v>
      </c>
    </row>
    <row r="19" spans="1:8" x14ac:dyDescent="0.2">
      <c r="A19" s="29" t="str">
        <f>'T05'!A15</f>
        <v>2019-20</v>
      </c>
      <c r="B19" s="1193">
        <f>'T05'!B15</f>
        <v>875</v>
      </c>
      <c r="C19" s="1155"/>
      <c r="D19" s="4">
        <f>'T05'!C15</f>
        <v>21</v>
      </c>
      <c r="E19" s="4">
        <f>'T05'!D15</f>
        <v>854</v>
      </c>
      <c r="F19" s="31"/>
      <c r="G19" s="10">
        <f t="shared" si="2"/>
        <v>2.4</v>
      </c>
      <c r="H19" s="10">
        <f t="shared" si="3"/>
        <v>97.6</v>
      </c>
    </row>
    <row r="20" spans="1:8" ht="13.5" thickBot="1" x14ac:dyDescent="0.25">
      <c r="A20" s="380" t="str">
        <f>'T05'!A16</f>
        <v>2020-21</v>
      </c>
      <c r="B20" s="1194">
        <f>'T05'!B16</f>
        <v>922</v>
      </c>
      <c r="C20" s="1156"/>
      <c r="D20" s="349">
        <f>'T05'!C16</f>
        <v>31</v>
      </c>
      <c r="E20" s="349">
        <f>'T05'!D16</f>
        <v>891</v>
      </c>
      <c r="F20" s="409"/>
      <c r="G20" s="393">
        <f t="shared" ref="G20" si="4">D20/B20*100</f>
        <v>3.3622559652928414</v>
      </c>
      <c r="H20" s="393">
        <f t="shared" ref="H20" si="5">E20/B20*100</f>
        <v>96.637744034707168</v>
      </c>
    </row>
    <row r="21" spans="1:8" x14ac:dyDescent="0.2">
      <c r="A21" s="31"/>
      <c r="B21" s="31"/>
      <c r="C21" s="91"/>
      <c r="D21" s="1"/>
      <c r="E21" s="1"/>
      <c r="F21" s="1"/>
      <c r="G21" s="1"/>
      <c r="H21" s="1"/>
    </row>
  </sheetData>
  <sheetProtection algorithmName="SHA-512" hashValue="WOxb1Pc5/0qKB5HgLihzibEuuEWqZKWLJhj506NIEGD4lfqe23vhcuWgD6QG7TMscRw4vZ8sVGK5pt/JOva9+w==" saltValue="63NJlS6QBABlyJFPHHTmkQ==" spinCount="100000" sheet="1" scenarios="1" formatCells="0" formatColumns="0" formatRows="0" sort="0" autoFilter="0" pivotTables="0"/>
  <hyperlinks>
    <hyperlink ref="A2" location="'Table of Contents'!A1" display="Back to Table of Contents" xr:uid="{00000000-0004-0000-5D00-000000000000}"/>
  </hyperlinks>
  <pageMargins left="0.70866141732283472" right="0.70866141732283472" top="0.74803149606299213" bottom="0.74803149606299213" header="0.31496062992125984" footer="0.31496062992125984"/>
  <pageSetup paperSize="9" scale="81"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4" tint="0.59999389629810485"/>
  </sheetPr>
  <dimension ref="A1:I47"/>
  <sheetViews>
    <sheetView showGridLines="0" workbookViewId="0">
      <pane ySplit="2" topLeftCell="A3" activePane="bottomLeft" state="frozen"/>
      <selection activeCellId="1" sqref="A1 A1"/>
      <selection pane="bottomLeft"/>
    </sheetView>
  </sheetViews>
  <sheetFormatPr defaultColWidth="9.140625" defaultRowHeight="12.75" x14ac:dyDescent="0.2"/>
  <cols>
    <col min="1" max="1" width="17.42578125" customWidth="1"/>
    <col min="2" max="2" width="23.28515625" customWidth="1"/>
    <col min="3" max="3" width="12.5703125" customWidth="1"/>
    <col min="4" max="4" width="7.85546875" customWidth="1"/>
    <col min="5" max="5" width="11.42578125" customWidth="1"/>
    <col min="6" max="6" width="12.5703125" customWidth="1"/>
    <col min="7" max="7" width="7.85546875" customWidth="1"/>
    <col min="8" max="8" width="11.42578125" customWidth="1"/>
    <col min="9" max="9" width="12.85546875" customWidth="1"/>
  </cols>
  <sheetData>
    <row r="1" spans="1:9" ht="18" customHeight="1" x14ac:dyDescent="0.2">
      <c r="A1" s="298" t="s">
        <v>1130</v>
      </c>
    </row>
    <row r="2" spans="1:9" ht="18" customHeight="1" x14ac:dyDescent="0.2">
      <c r="A2" s="106" t="s">
        <v>578</v>
      </c>
    </row>
    <row r="3" spans="1:9" ht="38.25" customHeight="1" x14ac:dyDescent="0.2">
      <c r="A3" s="120" t="s">
        <v>1022</v>
      </c>
      <c r="C3" s="120"/>
      <c r="D3" s="120"/>
      <c r="E3" s="120"/>
      <c r="F3" s="120"/>
      <c r="G3" s="120"/>
      <c r="H3" s="120"/>
      <c r="I3" s="120"/>
    </row>
    <row r="4" spans="1:9" ht="15" customHeight="1" x14ac:dyDescent="0.25">
      <c r="A4" s="351" t="s">
        <v>579</v>
      </c>
      <c r="B4" s="1043" t="s">
        <v>1340</v>
      </c>
      <c r="D4" s="120"/>
      <c r="E4" s="120"/>
      <c r="F4" s="120"/>
      <c r="G4" s="120"/>
      <c r="H4" s="120"/>
      <c r="I4" s="120"/>
    </row>
    <row r="5" spans="1:9" ht="15" customHeight="1" x14ac:dyDescent="0.25">
      <c r="A5" s="351" t="s">
        <v>580</v>
      </c>
      <c r="B5" s="351" t="s">
        <v>581</v>
      </c>
      <c r="C5" s="120"/>
      <c r="D5" s="120"/>
      <c r="E5" s="120"/>
      <c r="F5" s="120"/>
      <c r="G5" s="120"/>
      <c r="H5" s="120"/>
      <c r="I5" s="120"/>
    </row>
    <row r="6" spans="1:9" ht="15" customHeight="1" x14ac:dyDescent="0.25">
      <c r="A6" s="351" t="s">
        <v>582</v>
      </c>
      <c r="B6" s="351" t="s">
        <v>585</v>
      </c>
      <c r="C6" s="120"/>
      <c r="D6" s="120"/>
      <c r="E6" s="120"/>
      <c r="F6" s="120"/>
      <c r="G6" s="120"/>
      <c r="H6" s="120"/>
      <c r="I6" s="120"/>
    </row>
    <row r="7" spans="1:9" ht="15" x14ac:dyDescent="0.25">
      <c r="B7" s="1"/>
      <c r="C7" s="1"/>
      <c r="D7" s="1"/>
      <c r="E7" s="1"/>
      <c r="F7" s="80" t="s">
        <v>0</v>
      </c>
      <c r="G7" s="83"/>
      <c r="H7" s="1"/>
      <c r="I7" s="60" t="s">
        <v>62</v>
      </c>
    </row>
    <row r="8" spans="1:9" ht="27.75" customHeight="1" x14ac:dyDescent="0.2">
      <c r="A8" s="2" t="s">
        <v>586</v>
      </c>
      <c r="B8" s="2" t="s">
        <v>22</v>
      </c>
      <c r="C8" s="215" t="s">
        <v>148</v>
      </c>
      <c r="D8" s="188"/>
      <c r="E8" s="336" t="s">
        <v>137</v>
      </c>
      <c r="F8" s="233" t="s">
        <v>139</v>
      </c>
      <c r="G8" s="105"/>
      <c r="H8" s="336" t="s">
        <v>137</v>
      </c>
      <c r="I8" s="233" t="s">
        <v>139</v>
      </c>
    </row>
    <row r="9" spans="1:9" ht="18.75" customHeight="1" x14ac:dyDescent="0.2">
      <c r="A9" s="414" t="s">
        <v>587</v>
      </c>
      <c r="B9" s="400" t="s">
        <v>23</v>
      </c>
      <c r="C9" s="458">
        <f>E9+F9</f>
        <v>29</v>
      </c>
      <c r="D9" s="442"/>
      <c r="E9" s="459">
        <f>IFERROR(GETPIVOTDATA("1Malicious False Alarm",T_05!$A$4,"PubLANAME",B9), 0)</f>
        <v>2</v>
      </c>
      <c r="F9" s="459">
        <f>IFERROR(GETPIVOTDATA("Sum of 3Good Intent false alarm",T_05!$A$4,"PubLANAME",B9),0)</f>
        <v>27</v>
      </c>
      <c r="G9" s="403"/>
      <c r="H9" s="460">
        <f>IFERROR(E9/C9*100, 0)</f>
        <v>6.8965517241379306</v>
      </c>
      <c r="I9" s="461">
        <f>IFERROR(F9/C9*100, 0)</f>
        <v>93.103448275862064</v>
      </c>
    </row>
    <row r="10" spans="1:9" ht="13.5" customHeight="1" x14ac:dyDescent="0.2">
      <c r="A10" s="1" t="s">
        <v>588</v>
      </c>
      <c r="B10" s="117" t="s">
        <v>24</v>
      </c>
      <c r="C10" s="452">
        <f t="shared" ref="C10:C40" si="0">E10+F10</f>
        <v>21</v>
      </c>
      <c r="D10" s="438"/>
      <c r="E10" s="453">
        <f>IFERROR(GETPIVOTDATA("1Malicious False Alarm",T_05!$A$4,"PubLANAME",B10), 0)</f>
        <v>1</v>
      </c>
      <c r="F10" s="453">
        <f>IFERROR(GETPIVOTDATA("Sum of 3Good Intent false alarm",T_05!$A$4,"PubLANAME",B10),0)</f>
        <v>20</v>
      </c>
      <c r="G10" s="65"/>
      <c r="H10" s="454">
        <f t="shared" ref="H10:H40" si="1">IFERROR(E10/C10*100, 0)</f>
        <v>4.7619047619047619</v>
      </c>
      <c r="I10" s="245">
        <f t="shared" ref="I10:I40" si="2">IFERROR(F10/C10*100, 0)</f>
        <v>95.238095238095227</v>
      </c>
    </row>
    <row r="11" spans="1:9" ht="13.5" customHeight="1" x14ac:dyDescent="0.2">
      <c r="A11" s="1" t="s">
        <v>589</v>
      </c>
      <c r="B11" s="117" t="s">
        <v>25</v>
      </c>
      <c r="C11" s="452">
        <f t="shared" si="0"/>
        <v>6</v>
      </c>
      <c r="D11" s="438"/>
      <c r="E11" s="453">
        <f>IFERROR(GETPIVOTDATA("1Malicious False Alarm",T_05!$A$4,"PubLANAME",B11), 0)</f>
        <v>0</v>
      </c>
      <c r="F11" s="453">
        <f>IFERROR(GETPIVOTDATA("Sum of 3Good Intent false alarm",T_05!$A$4,"PubLANAME",B11),0)</f>
        <v>6</v>
      </c>
      <c r="G11" s="65"/>
      <c r="H11" s="454">
        <f t="shared" si="1"/>
        <v>0</v>
      </c>
      <c r="I11" s="245">
        <f t="shared" si="2"/>
        <v>100</v>
      </c>
    </row>
    <row r="12" spans="1:9" ht="13.5" customHeight="1" x14ac:dyDescent="0.2">
      <c r="A12" s="1" t="s">
        <v>590</v>
      </c>
      <c r="B12" s="117" t="s">
        <v>26</v>
      </c>
      <c r="C12" s="452">
        <f t="shared" si="0"/>
        <v>13</v>
      </c>
      <c r="D12" s="438"/>
      <c r="E12" s="453">
        <f>IFERROR(GETPIVOTDATA("1Malicious False Alarm",T_05!$A$4,"PubLANAME",B12), 0)</f>
        <v>0</v>
      </c>
      <c r="F12" s="453">
        <f>IFERROR(GETPIVOTDATA("Sum of 3Good Intent false alarm",T_05!$A$4,"PubLANAME",B12),0)</f>
        <v>13</v>
      </c>
      <c r="G12" s="65"/>
      <c r="H12" s="454">
        <f t="shared" si="1"/>
        <v>0</v>
      </c>
      <c r="I12" s="245">
        <f t="shared" si="2"/>
        <v>100</v>
      </c>
    </row>
    <row r="13" spans="1:9" ht="13.5" customHeight="1" x14ac:dyDescent="0.2">
      <c r="A13" s="1" t="s">
        <v>591</v>
      </c>
      <c r="B13" s="117" t="s">
        <v>619</v>
      </c>
      <c r="C13" s="452">
        <f t="shared" si="0"/>
        <v>141</v>
      </c>
      <c r="D13" s="438"/>
      <c r="E13" s="453">
        <f>IFERROR(GETPIVOTDATA("1Malicious False Alarm",T_05!$A$4,"PubLANAME",B13), 0)</f>
        <v>5</v>
      </c>
      <c r="F13" s="453">
        <f>IFERROR(GETPIVOTDATA("Sum of 3Good Intent false alarm",T_05!$A$4,"PubLANAME",B13),0)</f>
        <v>136</v>
      </c>
      <c r="G13" s="65"/>
      <c r="H13" s="454">
        <f>IFERROR(E13/C13*100, 0)</f>
        <v>3.5460992907801421</v>
      </c>
      <c r="I13" s="245">
        <f t="shared" si="2"/>
        <v>96.453900709219852</v>
      </c>
    </row>
    <row r="14" spans="1:9" ht="13.5" customHeight="1" x14ac:dyDescent="0.2">
      <c r="A14" s="1" t="s">
        <v>592</v>
      </c>
      <c r="B14" s="117" t="s">
        <v>27</v>
      </c>
      <c r="C14" s="452">
        <f t="shared" si="0"/>
        <v>6</v>
      </c>
      <c r="D14" s="438"/>
      <c r="E14" s="453">
        <f>IFERROR(GETPIVOTDATA("1Malicious False Alarm",T_05!$A$4,"PubLANAME",B14), 0)</f>
        <v>0</v>
      </c>
      <c r="F14" s="453">
        <f>IFERROR(GETPIVOTDATA("Sum of 3Good Intent false alarm",T_05!$A$4,"PubLANAME",B14),0)</f>
        <v>6</v>
      </c>
      <c r="G14" s="65"/>
      <c r="H14" s="454">
        <f t="shared" si="1"/>
        <v>0</v>
      </c>
      <c r="I14" s="245">
        <f t="shared" si="2"/>
        <v>100</v>
      </c>
    </row>
    <row r="15" spans="1:9" ht="13.5" customHeight="1" x14ac:dyDescent="0.2">
      <c r="A15" s="1" t="s">
        <v>593</v>
      </c>
      <c r="B15" s="117" t="s">
        <v>28</v>
      </c>
      <c r="C15" s="452">
        <f t="shared" si="0"/>
        <v>14</v>
      </c>
      <c r="D15" s="438"/>
      <c r="E15" s="453">
        <f>IFERROR(GETPIVOTDATA("1Malicious False Alarm",T_05!$A$4,"PubLANAME",B15), 0)</f>
        <v>0</v>
      </c>
      <c r="F15" s="453">
        <f>IFERROR(GETPIVOTDATA("Sum of 3Good Intent false alarm",T_05!$A$4,"PubLANAME",B15),0)</f>
        <v>14</v>
      </c>
      <c r="G15" s="65"/>
      <c r="H15" s="454">
        <f t="shared" si="1"/>
        <v>0</v>
      </c>
      <c r="I15" s="245">
        <f t="shared" si="2"/>
        <v>100</v>
      </c>
    </row>
    <row r="16" spans="1:9" ht="13.5" customHeight="1" x14ac:dyDescent="0.2">
      <c r="A16" s="1" t="s">
        <v>594</v>
      </c>
      <c r="B16" s="117" t="s">
        <v>29</v>
      </c>
      <c r="C16" s="452">
        <f t="shared" si="0"/>
        <v>28</v>
      </c>
      <c r="D16" s="438"/>
      <c r="E16" s="453">
        <f>IFERROR(GETPIVOTDATA("1Malicious False Alarm",T_05!$A$4,"PubLANAME",B16), 0)</f>
        <v>1</v>
      </c>
      <c r="F16" s="453">
        <f>IFERROR(GETPIVOTDATA("Sum of 3Good Intent false alarm",T_05!$A$4,"PubLANAME",B16),0)</f>
        <v>27</v>
      </c>
      <c r="G16" s="65"/>
      <c r="H16" s="454">
        <f t="shared" si="1"/>
        <v>3.5714285714285712</v>
      </c>
      <c r="I16" s="245">
        <f t="shared" si="2"/>
        <v>96.428571428571431</v>
      </c>
    </row>
    <row r="17" spans="1:9" ht="13.5" customHeight="1" x14ac:dyDescent="0.2">
      <c r="A17" s="1" t="s">
        <v>595</v>
      </c>
      <c r="B17" s="117" t="s">
        <v>30</v>
      </c>
      <c r="C17" s="452">
        <f t="shared" si="0"/>
        <v>16</v>
      </c>
      <c r="D17" s="438"/>
      <c r="E17" s="453">
        <f>IFERROR(GETPIVOTDATA("1Malicious False Alarm",T_05!$A$4,"PubLANAME",B17), 0)</f>
        <v>2</v>
      </c>
      <c r="F17" s="453">
        <f>IFERROR(GETPIVOTDATA("Sum of 3Good Intent false alarm",T_05!$A$4,"PubLANAME",B17),0)</f>
        <v>14</v>
      </c>
      <c r="G17" s="65"/>
      <c r="H17" s="454">
        <f t="shared" si="1"/>
        <v>12.5</v>
      </c>
      <c r="I17" s="245">
        <f t="shared" si="2"/>
        <v>87.5</v>
      </c>
    </row>
    <row r="18" spans="1:9" ht="13.5" customHeight="1" x14ac:dyDescent="0.2">
      <c r="A18" s="1" t="s">
        <v>596</v>
      </c>
      <c r="B18" s="117" t="s">
        <v>31</v>
      </c>
      <c r="C18" s="452">
        <f t="shared" si="0"/>
        <v>8</v>
      </c>
      <c r="D18" s="438"/>
      <c r="E18" s="453">
        <f>IFERROR(GETPIVOTDATA("1Malicious False Alarm",T_05!$A$4,"PubLANAME",B18), 0)</f>
        <v>0</v>
      </c>
      <c r="F18" s="453">
        <f>IFERROR(GETPIVOTDATA("Sum of 3Good Intent false alarm",T_05!$A$4,"PubLANAME",B18),0)</f>
        <v>8</v>
      </c>
      <c r="G18" s="65"/>
      <c r="H18" s="454">
        <f t="shared" si="1"/>
        <v>0</v>
      </c>
      <c r="I18" s="245">
        <f t="shared" si="2"/>
        <v>100</v>
      </c>
    </row>
    <row r="19" spans="1:9" ht="13.5" customHeight="1" x14ac:dyDescent="0.2">
      <c r="A19" s="1" t="s">
        <v>597</v>
      </c>
      <c r="B19" s="117" t="s">
        <v>32</v>
      </c>
      <c r="C19" s="452">
        <f t="shared" si="0"/>
        <v>9</v>
      </c>
      <c r="D19" s="438"/>
      <c r="E19" s="453">
        <f>IFERROR(GETPIVOTDATA("1Malicious False Alarm",T_05!$A$4,"PubLANAME",B19), 0)</f>
        <v>2</v>
      </c>
      <c r="F19" s="453">
        <f>IFERROR(GETPIVOTDATA("Sum of 3Good Intent false alarm",T_05!$A$4,"PubLANAME",B19),0)</f>
        <v>7</v>
      </c>
      <c r="G19" s="65"/>
      <c r="H19" s="454">
        <f t="shared" si="1"/>
        <v>22.222222222222221</v>
      </c>
      <c r="I19" s="245">
        <f t="shared" si="2"/>
        <v>77.777777777777786</v>
      </c>
    </row>
    <row r="20" spans="1:9" ht="13.5" customHeight="1" x14ac:dyDescent="0.2">
      <c r="A20" s="1" t="s">
        <v>598</v>
      </c>
      <c r="B20" s="117" t="s">
        <v>33</v>
      </c>
      <c r="C20" s="452">
        <f t="shared" si="0"/>
        <v>5</v>
      </c>
      <c r="D20" s="438"/>
      <c r="E20" s="453">
        <f>IFERROR(GETPIVOTDATA("1Malicious False Alarm",T_05!$A$4,"PubLANAME",B20), 0)</f>
        <v>0</v>
      </c>
      <c r="F20" s="453">
        <f>IFERROR(GETPIVOTDATA("Sum of 3Good Intent false alarm",T_05!$A$4,"PubLANAME",B20),0)</f>
        <v>5</v>
      </c>
      <c r="G20" s="65"/>
      <c r="H20" s="454">
        <f t="shared" si="1"/>
        <v>0</v>
      </c>
      <c r="I20" s="245">
        <f t="shared" si="2"/>
        <v>100</v>
      </c>
    </row>
    <row r="21" spans="1:9" ht="13.5" customHeight="1" x14ac:dyDescent="0.2">
      <c r="A21" s="1" t="s">
        <v>599</v>
      </c>
      <c r="B21" s="117" t="s">
        <v>34</v>
      </c>
      <c r="C21" s="452">
        <f t="shared" si="0"/>
        <v>24</v>
      </c>
      <c r="D21" s="438"/>
      <c r="E21" s="453">
        <f>IFERROR(GETPIVOTDATA("1Malicious False Alarm",T_05!$A$4,"PubLANAME",B21), 0)</f>
        <v>0</v>
      </c>
      <c r="F21" s="453">
        <f>IFERROR(GETPIVOTDATA("Sum of 3Good Intent false alarm",T_05!$A$4,"PubLANAME",B21),0)</f>
        <v>24</v>
      </c>
      <c r="G21" s="65"/>
      <c r="H21" s="454">
        <f t="shared" si="1"/>
        <v>0</v>
      </c>
      <c r="I21" s="245">
        <f t="shared" si="2"/>
        <v>100</v>
      </c>
    </row>
    <row r="22" spans="1:9" ht="13.5" customHeight="1" x14ac:dyDescent="0.2">
      <c r="A22" s="1" t="s">
        <v>600</v>
      </c>
      <c r="B22" s="117" t="s">
        <v>35</v>
      </c>
      <c r="C22" s="452">
        <f t="shared" si="0"/>
        <v>40</v>
      </c>
      <c r="D22" s="438"/>
      <c r="E22" s="453">
        <f>IFERROR(GETPIVOTDATA("1Malicious False Alarm",T_05!$A$4,"PubLANAME",B22), 0)</f>
        <v>1</v>
      </c>
      <c r="F22" s="453">
        <f>IFERROR(GETPIVOTDATA("Sum of 3Good Intent false alarm",T_05!$A$4,"PubLANAME",B22),0)</f>
        <v>39</v>
      </c>
      <c r="G22" s="65"/>
      <c r="H22" s="454">
        <f t="shared" si="1"/>
        <v>2.5</v>
      </c>
      <c r="I22" s="245">
        <f t="shared" si="2"/>
        <v>97.5</v>
      </c>
    </row>
    <row r="23" spans="1:9" ht="13.5" customHeight="1" x14ac:dyDescent="0.2">
      <c r="A23" s="1" t="s">
        <v>601</v>
      </c>
      <c r="B23" s="117" t="s">
        <v>36</v>
      </c>
      <c r="C23" s="452">
        <f t="shared" si="0"/>
        <v>147</v>
      </c>
      <c r="D23" s="438"/>
      <c r="E23" s="453">
        <f>IFERROR(GETPIVOTDATA("1Malicious False Alarm",T_05!$A$4,"PubLANAME",B23), 0)</f>
        <v>6</v>
      </c>
      <c r="F23" s="453">
        <f>IFERROR(GETPIVOTDATA("Sum of 3Good Intent false alarm",T_05!$A$4,"PubLANAME",B23),0)</f>
        <v>141</v>
      </c>
      <c r="G23" s="65"/>
      <c r="H23" s="454">
        <f t="shared" si="1"/>
        <v>4.0816326530612246</v>
      </c>
      <c r="I23" s="245">
        <f t="shared" si="2"/>
        <v>95.918367346938766</v>
      </c>
    </row>
    <row r="24" spans="1:9" ht="13.5" customHeight="1" x14ac:dyDescent="0.2">
      <c r="A24" s="1" t="s">
        <v>602</v>
      </c>
      <c r="B24" s="117" t="s">
        <v>37</v>
      </c>
      <c r="C24" s="452">
        <f t="shared" si="0"/>
        <v>42</v>
      </c>
      <c r="D24" s="438"/>
      <c r="E24" s="453">
        <f>IFERROR(GETPIVOTDATA("1Malicious False Alarm",T_05!$A$4,"PubLANAME",B24), 0)</f>
        <v>3</v>
      </c>
      <c r="F24" s="453">
        <f>IFERROR(GETPIVOTDATA("Sum of 3Good Intent false alarm",T_05!$A$4,"PubLANAME",B24),0)</f>
        <v>39</v>
      </c>
      <c r="G24" s="65"/>
      <c r="H24" s="454">
        <f t="shared" si="1"/>
        <v>7.1428571428571423</v>
      </c>
      <c r="I24" s="245">
        <f t="shared" si="2"/>
        <v>92.857142857142861</v>
      </c>
    </row>
    <row r="25" spans="1:9" ht="13.5" customHeight="1" x14ac:dyDescent="0.2">
      <c r="A25" s="1" t="s">
        <v>603</v>
      </c>
      <c r="B25" s="117" t="s">
        <v>38</v>
      </c>
      <c r="C25" s="452">
        <f t="shared" si="0"/>
        <v>19</v>
      </c>
      <c r="D25" s="438"/>
      <c r="E25" s="453">
        <f>IFERROR(GETPIVOTDATA("1Malicious False Alarm",T_05!$A$4,"PubLANAME",B25), 0)</f>
        <v>1</v>
      </c>
      <c r="F25" s="453">
        <f>IFERROR(GETPIVOTDATA("Sum of 3Good Intent false alarm",T_05!$A$4,"PubLANAME",B25),0)</f>
        <v>18</v>
      </c>
      <c r="G25" s="65"/>
      <c r="H25" s="454">
        <f t="shared" si="1"/>
        <v>5.2631578947368416</v>
      </c>
      <c r="I25" s="245">
        <f t="shared" si="2"/>
        <v>94.73684210526315</v>
      </c>
    </row>
    <row r="26" spans="1:9" ht="13.5" customHeight="1" x14ac:dyDescent="0.2">
      <c r="A26" s="1" t="s">
        <v>604</v>
      </c>
      <c r="B26" s="117" t="s">
        <v>39</v>
      </c>
      <c r="C26" s="452">
        <f t="shared" si="0"/>
        <v>15</v>
      </c>
      <c r="D26" s="438"/>
      <c r="E26" s="453">
        <f>IFERROR(GETPIVOTDATA("1Malicious False Alarm",T_05!$A$4,"PubLANAME",B26), 0)</f>
        <v>0</v>
      </c>
      <c r="F26" s="453">
        <f>IFERROR(GETPIVOTDATA("Sum of 3Good Intent false alarm",T_05!$A$4,"PubLANAME",B26),0)</f>
        <v>15</v>
      </c>
      <c r="G26" s="65"/>
      <c r="H26" s="454">
        <f t="shared" si="1"/>
        <v>0</v>
      </c>
      <c r="I26" s="245">
        <f t="shared" si="2"/>
        <v>100</v>
      </c>
    </row>
    <row r="27" spans="1:9" ht="13.5" customHeight="1" x14ac:dyDescent="0.2">
      <c r="A27" s="1" t="s">
        <v>605</v>
      </c>
      <c r="B27" s="117" t="s">
        <v>40</v>
      </c>
      <c r="C27" s="452">
        <f t="shared" si="0"/>
        <v>9</v>
      </c>
      <c r="D27" s="438"/>
      <c r="E27" s="453">
        <f>IFERROR(GETPIVOTDATA("1Malicious False Alarm",T_05!$A$4,"PubLANAME",B27), 0)</f>
        <v>0</v>
      </c>
      <c r="F27" s="453">
        <f>IFERROR(GETPIVOTDATA("Sum of 3Good Intent false alarm",T_05!$A$4,"PubLANAME",B27),0)</f>
        <v>9</v>
      </c>
      <c r="G27" s="65"/>
      <c r="H27" s="454">
        <f t="shared" si="1"/>
        <v>0</v>
      </c>
      <c r="I27" s="245">
        <f t="shared" si="2"/>
        <v>100</v>
      </c>
    </row>
    <row r="28" spans="1:9" ht="13.5" customHeight="1" x14ac:dyDescent="0.2">
      <c r="A28" s="1" t="s">
        <v>606</v>
      </c>
      <c r="B28" s="117" t="s">
        <v>295</v>
      </c>
      <c r="C28" s="452">
        <f t="shared" si="0"/>
        <v>2</v>
      </c>
      <c r="D28" s="438"/>
      <c r="E28" s="453">
        <f>IFERROR(GETPIVOTDATA("1Malicious False Alarm",T_05!$A$4,"PubLANAME",B28), 0)</f>
        <v>0</v>
      </c>
      <c r="F28" s="453">
        <f>IFERROR(GETPIVOTDATA("Sum of 3Good Intent false alarm",T_05!$A$4,"PubLANAME",B28),0)</f>
        <v>2</v>
      </c>
      <c r="G28" s="65"/>
      <c r="H28" s="454">
        <f t="shared" si="1"/>
        <v>0</v>
      </c>
      <c r="I28" s="454">
        <f t="shared" si="2"/>
        <v>100</v>
      </c>
    </row>
    <row r="29" spans="1:9" ht="13.5" customHeight="1" x14ac:dyDescent="0.2">
      <c r="A29" s="1" t="s">
        <v>607</v>
      </c>
      <c r="B29" s="117" t="s">
        <v>41</v>
      </c>
      <c r="C29" s="452">
        <f t="shared" si="0"/>
        <v>57</v>
      </c>
      <c r="D29" s="438"/>
      <c r="E29" s="453">
        <f>IFERROR(GETPIVOTDATA("1Malicious False Alarm",T_05!$A$4,"PubLANAME",B29), 0)</f>
        <v>1</v>
      </c>
      <c r="F29" s="453">
        <f>IFERROR(GETPIVOTDATA("Sum of 3Good Intent false alarm",T_05!$A$4,"PubLANAME",B29),0)</f>
        <v>56</v>
      </c>
      <c r="G29" s="65"/>
      <c r="H29" s="454">
        <f t="shared" si="1"/>
        <v>1.7543859649122806</v>
      </c>
      <c r="I29" s="245">
        <f t="shared" si="2"/>
        <v>98.245614035087712</v>
      </c>
    </row>
    <row r="30" spans="1:9" ht="13.5" customHeight="1" x14ac:dyDescent="0.2">
      <c r="A30" s="1" t="s">
        <v>608</v>
      </c>
      <c r="B30" s="117" t="s">
        <v>42</v>
      </c>
      <c r="C30" s="452">
        <f t="shared" si="0"/>
        <v>49</v>
      </c>
      <c r="D30" s="438"/>
      <c r="E30" s="453">
        <f>IFERROR(GETPIVOTDATA("1Malicious False Alarm",T_05!$A$4,"PubLANAME",B30), 0)</f>
        <v>1</v>
      </c>
      <c r="F30" s="453">
        <f>IFERROR(GETPIVOTDATA("Sum of 3Good Intent false alarm",T_05!$A$4,"PubLANAME",B30),0)</f>
        <v>48</v>
      </c>
      <c r="G30" s="65"/>
      <c r="H30" s="454">
        <f t="shared" si="1"/>
        <v>2.0408163265306123</v>
      </c>
      <c r="I30" s="245">
        <f t="shared" si="2"/>
        <v>97.959183673469383</v>
      </c>
    </row>
    <row r="31" spans="1:9" ht="13.5" customHeight="1" x14ac:dyDescent="0.2">
      <c r="A31" s="1" t="s">
        <v>609</v>
      </c>
      <c r="B31" s="117" t="s">
        <v>43</v>
      </c>
      <c r="C31" s="452">
        <f t="shared" si="0"/>
        <v>10</v>
      </c>
      <c r="D31" s="438"/>
      <c r="E31" s="453">
        <f>IFERROR(GETPIVOTDATA("1Malicious False Alarm",T_05!$A$4,"PubLANAME",B31), 0)</f>
        <v>0</v>
      </c>
      <c r="F31" s="453">
        <f>IFERROR(GETPIVOTDATA("Sum of 3Good Intent false alarm",T_05!$A$4,"PubLANAME",B31),0)</f>
        <v>10</v>
      </c>
      <c r="G31" s="65"/>
      <c r="H31" s="454">
        <f t="shared" si="1"/>
        <v>0</v>
      </c>
      <c r="I31" s="245">
        <f t="shared" si="2"/>
        <v>100</v>
      </c>
    </row>
    <row r="32" spans="1:9" ht="13.5" customHeight="1" x14ac:dyDescent="0.2">
      <c r="A32" s="1" t="s">
        <v>610</v>
      </c>
      <c r="B32" s="117" t="s">
        <v>44</v>
      </c>
      <c r="C32" s="452">
        <f t="shared" si="0"/>
        <v>13</v>
      </c>
      <c r="D32" s="438"/>
      <c r="E32" s="453">
        <f>IFERROR(GETPIVOTDATA("1Malicious False Alarm",T_05!$A$4,"PubLANAME",B32), 0)</f>
        <v>1</v>
      </c>
      <c r="F32" s="453">
        <f>IFERROR(GETPIVOTDATA("Sum of 3Good Intent false alarm",T_05!$A$4,"PubLANAME",B32),0)</f>
        <v>12</v>
      </c>
      <c r="G32" s="65"/>
      <c r="H32" s="454">
        <f t="shared" si="1"/>
        <v>7.6923076923076925</v>
      </c>
      <c r="I32" s="245">
        <f t="shared" si="2"/>
        <v>92.307692307692307</v>
      </c>
    </row>
    <row r="33" spans="1:9" ht="13.5" customHeight="1" x14ac:dyDescent="0.2">
      <c r="A33" s="1" t="s">
        <v>611</v>
      </c>
      <c r="B33" s="117" t="s">
        <v>45</v>
      </c>
      <c r="C33" s="452">
        <f t="shared" si="0"/>
        <v>46</v>
      </c>
      <c r="D33" s="438"/>
      <c r="E33" s="453">
        <f>IFERROR(GETPIVOTDATA("1Malicious False Alarm",T_05!$A$4,"PubLANAME",B33), 0)</f>
        <v>1</v>
      </c>
      <c r="F33" s="453">
        <f>IFERROR(GETPIVOTDATA("Sum of 3Good Intent false alarm",T_05!$A$4,"PubLANAME",B33),0)</f>
        <v>45</v>
      </c>
      <c r="G33" s="65"/>
      <c r="H33" s="454">
        <f t="shared" si="1"/>
        <v>2.1739130434782608</v>
      </c>
      <c r="I33" s="245">
        <f t="shared" si="2"/>
        <v>97.826086956521735</v>
      </c>
    </row>
    <row r="34" spans="1:9" ht="13.5" customHeight="1" x14ac:dyDescent="0.2">
      <c r="A34" s="1" t="s">
        <v>612</v>
      </c>
      <c r="B34" s="117" t="s">
        <v>46</v>
      </c>
      <c r="C34" s="452">
        <f t="shared" si="0"/>
        <v>16</v>
      </c>
      <c r="D34" s="274"/>
      <c r="E34" s="453">
        <f>IFERROR(GETPIVOTDATA("1Malicious False Alarm",T_05!$A$4,"PubLANAME",B34), 0)</f>
        <v>0</v>
      </c>
      <c r="F34" s="453">
        <f>IFERROR(GETPIVOTDATA("Sum of 3Good Intent false alarm",T_05!$A$4,"PubLANAME",B34),0)</f>
        <v>16</v>
      </c>
      <c r="G34" s="65"/>
      <c r="H34" s="454">
        <f t="shared" si="1"/>
        <v>0</v>
      </c>
      <c r="I34" s="245">
        <f t="shared" si="2"/>
        <v>100</v>
      </c>
    </row>
    <row r="35" spans="1:9" ht="13.5" customHeight="1" x14ac:dyDescent="0.2">
      <c r="A35" s="1" t="s">
        <v>613</v>
      </c>
      <c r="B35" s="117" t="s">
        <v>47</v>
      </c>
      <c r="C35" s="452">
        <f t="shared" si="0"/>
        <v>3</v>
      </c>
      <c r="D35" s="438"/>
      <c r="E35" s="453">
        <f>IFERROR(GETPIVOTDATA("1Malicious False Alarm",T_05!$A$4,"PubLANAME",B35), 0)</f>
        <v>0</v>
      </c>
      <c r="F35" s="453">
        <f>IFERROR(GETPIVOTDATA("Sum of 3Good Intent false alarm",T_05!$A$4,"PubLANAME",B35),0)</f>
        <v>3</v>
      </c>
      <c r="G35" s="65"/>
      <c r="H35" s="454">
        <f t="shared" si="1"/>
        <v>0</v>
      </c>
      <c r="I35" s="454">
        <f t="shared" si="2"/>
        <v>100</v>
      </c>
    </row>
    <row r="36" spans="1:9" ht="13.5" customHeight="1" x14ac:dyDescent="0.2">
      <c r="A36" s="1" t="s">
        <v>614</v>
      </c>
      <c r="B36" s="117" t="s">
        <v>48</v>
      </c>
      <c r="C36" s="452">
        <f t="shared" si="0"/>
        <v>14</v>
      </c>
      <c r="D36" s="438"/>
      <c r="E36" s="453">
        <f>IFERROR(GETPIVOTDATA("1Malicious False Alarm",T_05!$A$4,"PubLANAME",B36), 0)</f>
        <v>1</v>
      </c>
      <c r="F36" s="453">
        <f>IFERROR(GETPIVOTDATA("Sum of 3Good Intent false alarm",T_05!$A$4,"PubLANAME",B36),0)</f>
        <v>13</v>
      </c>
      <c r="G36" s="65"/>
      <c r="H36" s="454">
        <f t="shared" si="1"/>
        <v>7.1428571428571423</v>
      </c>
      <c r="I36" s="245">
        <f t="shared" si="2"/>
        <v>92.857142857142861</v>
      </c>
    </row>
    <row r="37" spans="1:9" ht="13.5" customHeight="1" x14ac:dyDescent="0.2">
      <c r="A37" s="1" t="s">
        <v>615</v>
      </c>
      <c r="B37" s="117" t="s">
        <v>49</v>
      </c>
      <c r="C37" s="452">
        <f t="shared" si="0"/>
        <v>62</v>
      </c>
      <c r="D37" s="438"/>
      <c r="E37" s="453">
        <f>IFERROR(GETPIVOTDATA("1Malicious False Alarm",T_05!$A$4,"PubLANAME",B37), 0)</f>
        <v>2</v>
      </c>
      <c r="F37" s="453">
        <f>IFERROR(GETPIVOTDATA("Sum of 3Good Intent false alarm",T_05!$A$4,"PubLANAME",B37),0)</f>
        <v>60</v>
      </c>
      <c r="G37" s="65"/>
      <c r="H37" s="454">
        <f t="shared" si="1"/>
        <v>3.225806451612903</v>
      </c>
      <c r="I37" s="245">
        <f t="shared" si="2"/>
        <v>96.774193548387103</v>
      </c>
    </row>
    <row r="38" spans="1:9" ht="13.5" customHeight="1" x14ac:dyDescent="0.2">
      <c r="A38" s="1" t="s">
        <v>616</v>
      </c>
      <c r="B38" s="117" t="s">
        <v>50</v>
      </c>
      <c r="C38" s="452">
        <f t="shared" si="0"/>
        <v>14</v>
      </c>
      <c r="D38" s="438"/>
      <c r="E38" s="453">
        <f>IFERROR(GETPIVOTDATA("1Malicious False Alarm",T_05!$A$4,"PubLANAME",B38), 0)</f>
        <v>0</v>
      </c>
      <c r="F38" s="453">
        <f>IFERROR(GETPIVOTDATA("Sum of 3Good Intent false alarm",T_05!$A$4,"PubLANAME",B38),0)</f>
        <v>14</v>
      </c>
      <c r="G38" s="65"/>
      <c r="H38" s="454">
        <f t="shared" si="1"/>
        <v>0</v>
      </c>
      <c r="I38" s="245">
        <f t="shared" si="2"/>
        <v>100</v>
      </c>
    </row>
    <row r="39" spans="1:9" ht="13.5" customHeight="1" x14ac:dyDescent="0.2">
      <c r="A39" s="1" t="s">
        <v>617</v>
      </c>
      <c r="B39" s="117" t="s">
        <v>51</v>
      </c>
      <c r="C39" s="452">
        <f t="shared" si="0"/>
        <v>25</v>
      </c>
      <c r="D39" s="438"/>
      <c r="E39" s="453">
        <f>IFERROR(GETPIVOTDATA("1Malicious False Alarm",T_05!$A$4,"PubLANAME",B39), 0)</f>
        <v>0</v>
      </c>
      <c r="F39" s="453">
        <f>IFERROR(GETPIVOTDATA("Sum of 3Good Intent false alarm",T_05!$A$4,"PubLANAME",B39),0)</f>
        <v>25</v>
      </c>
      <c r="G39" s="65"/>
      <c r="H39" s="454">
        <f t="shared" si="1"/>
        <v>0</v>
      </c>
      <c r="I39" s="245">
        <f t="shared" si="2"/>
        <v>100</v>
      </c>
    </row>
    <row r="40" spans="1:9" ht="13.5" customHeight="1" x14ac:dyDescent="0.2">
      <c r="A40" s="1" t="s">
        <v>618</v>
      </c>
      <c r="B40" s="117" t="s">
        <v>52</v>
      </c>
      <c r="C40" s="452">
        <f t="shared" si="0"/>
        <v>19</v>
      </c>
      <c r="D40" s="438"/>
      <c r="E40" s="453">
        <f>IFERROR(GETPIVOTDATA("1Malicious False Alarm",T_05!$A$4,"PubLANAME",B40), 0)</f>
        <v>0</v>
      </c>
      <c r="F40" s="453">
        <f>IFERROR(GETPIVOTDATA("Sum of 3Good Intent false alarm",T_05!$A$4,"PubLANAME",B40),0)</f>
        <v>19</v>
      </c>
      <c r="G40" s="65"/>
      <c r="H40" s="454">
        <f t="shared" si="1"/>
        <v>0</v>
      </c>
      <c r="I40" s="245">
        <f t="shared" si="2"/>
        <v>100</v>
      </c>
    </row>
    <row r="41" spans="1:9" x14ac:dyDescent="0.2">
      <c r="A41" s="1"/>
      <c r="B41" s="117" t="str">
        <f>IF(T_05!$A$37 = "Z_Not Known", "Not Known","")</f>
        <v/>
      </c>
      <c r="C41" s="455" t="str">
        <f>IF(B41 = "Not Known", SUM(E41:F41),"")</f>
        <v/>
      </c>
      <c r="D41" s="438"/>
      <c r="E41" s="453" t="str">
        <f>IFERROR(GETPIVOTDATA("1Malicious False Alarm",T_05!$A$4,"PubLANAME",B41), "")</f>
        <v/>
      </c>
      <c r="F41" s="453" t="str">
        <f>IFERROR(GETPIVOTDATA("Sum of 3Good Intent false alarm",T_05!$A$4,"PubLANAME",B41),"")</f>
        <v/>
      </c>
      <c r="G41" s="65"/>
      <c r="H41" s="456" t="str">
        <f>IFERROR(E41/C41*100, "")</f>
        <v/>
      </c>
      <c r="I41" s="457" t="str">
        <f>IFERROR(F41/C41*100, "")</f>
        <v/>
      </c>
    </row>
    <row r="42" spans="1:9" ht="30" customHeight="1" thickBot="1" x14ac:dyDescent="0.25">
      <c r="A42" s="359" t="s">
        <v>620</v>
      </c>
      <c r="B42" s="360" t="s">
        <v>143</v>
      </c>
      <c r="C42" s="462">
        <f>SUM(C9:C41)</f>
        <v>922</v>
      </c>
      <c r="D42" s="424"/>
      <c r="E42" s="463">
        <f>SUM(E9:E41)</f>
        <v>31</v>
      </c>
      <c r="F42" s="463">
        <f>SUM(F9:F41)</f>
        <v>891</v>
      </c>
      <c r="G42" s="450"/>
      <c r="H42" s="464">
        <f>E42/C42*100</f>
        <v>3.3622559652928414</v>
      </c>
      <c r="I42" s="465">
        <f>F42/C42*100</f>
        <v>96.637744034707168</v>
      </c>
    </row>
    <row r="43" spans="1:9" x14ac:dyDescent="0.2">
      <c r="B43" s="2"/>
      <c r="C43" s="2"/>
      <c r="D43" s="2"/>
      <c r="E43" s="47"/>
      <c r="F43" s="47"/>
      <c r="G43" s="21"/>
      <c r="H43" s="210"/>
      <c r="I43" s="49"/>
    </row>
    <row r="44" spans="1:9" x14ac:dyDescent="0.2">
      <c r="B44" s="2"/>
      <c r="C44" s="2"/>
      <c r="D44" s="2"/>
      <c r="E44" s="47"/>
      <c r="F44" s="47"/>
      <c r="G44" s="21"/>
      <c r="H44" s="48"/>
      <c r="I44" s="49"/>
    </row>
    <row r="45" spans="1:9" x14ac:dyDescent="0.2">
      <c r="B45" s="1"/>
      <c r="C45" s="31"/>
      <c r="D45" s="31"/>
      <c r="E45" s="31"/>
      <c r="F45" s="31"/>
      <c r="G45" s="31"/>
      <c r="H45" s="31"/>
      <c r="I45" s="31"/>
    </row>
    <row r="46" spans="1:9" x14ac:dyDescent="0.2">
      <c r="B46" s="2"/>
      <c r="C46" s="2"/>
      <c r="D46" s="2"/>
      <c r="E46" s="21"/>
      <c r="F46" s="21"/>
      <c r="G46" s="21"/>
      <c r="H46" s="45"/>
      <c r="I46" s="46"/>
    </row>
    <row r="47" spans="1:9" x14ac:dyDescent="0.2">
      <c r="B47" s="106"/>
    </row>
  </sheetData>
  <sheetProtection algorithmName="SHA-512" hashValue="TpKqDcDfEk/J+9AVfpMYoxJPQHCMKTrlaBSb5f8a7yCz9blR212W9eo+uautRY3eWJOBkeLelW6SFQWBLO8GNA==" saltValue="xsXrF870FmY+VpxlGW424g==" spinCount="100000" sheet="1" scenarios="1" formatCells="0" formatColumns="0" formatRows="0" sort="0" autoFilter="0" pivotTables="0"/>
  <hyperlinks>
    <hyperlink ref="A2" location="'Table of Contents'!A1" display="Back to Table of Contents" xr:uid="{00000000-0004-0000-5E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4" tint="0.59999389629810485"/>
  </sheetPr>
  <dimension ref="A1:H21"/>
  <sheetViews>
    <sheetView showGridLines="0" zoomScaleNormal="100" workbookViewId="0">
      <selection sqref="A1:C1"/>
    </sheetView>
  </sheetViews>
  <sheetFormatPr defaultColWidth="9.140625" defaultRowHeight="12.75" x14ac:dyDescent="0.2"/>
  <cols>
    <col min="1" max="1" width="16.28515625" customWidth="1"/>
  </cols>
  <sheetData>
    <row r="1" spans="1:8" ht="15.75" x14ac:dyDescent="0.2">
      <c r="A1" s="1271" t="s">
        <v>1269</v>
      </c>
      <c r="B1" s="1271"/>
      <c r="C1" s="1271"/>
    </row>
    <row r="2" spans="1:8" ht="15.75" x14ac:dyDescent="0.2">
      <c r="A2" s="106" t="s">
        <v>578</v>
      </c>
      <c r="B2" s="1031"/>
      <c r="C2" s="1031"/>
    </row>
    <row r="3" spans="1:8" ht="31.5" customHeight="1" x14ac:dyDescent="0.2">
      <c r="A3" s="1272" t="s">
        <v>1268</v>
      </c>
      <c r="B3" s="1272"/>
      <c r="C3" s="1272"/>
      <c r="D3" s="1272"/>
      <c r="E3" s="1272"/>
      <c r="F3" s="1272"/>
      <c r="G3" s="1272"/>
      <c r="H3" s="1272"/>
    </row>
    <row r="4" spans="1:8" ht="15" x14ac:dyDescent="0.25">
      <c r="A4" s="1032" t="s">
        <v>1246</v>
      </c>
    </row>
    <row r="5" spans="1:8" ht="15" x14ac:dyDescent="0.25">
      <c r="A5" s="1043" t="s">
        <v>1343</v>
      </c>
    </row>
    <row r="6" spans="1:8" ht="38.25" customHeight="1" x14ac:dyDescent="0.35">
      <c r="A6" s="230"/>
    </row>
    <row r="8" spans="1:8" x14ac:dyDescent="0.2">
      <c r="A8" s="106"/>
    </row>
    <row r="15" spans="1:8" x14ac:dyDescent="0.2">
      <c r="B15" s="241"/>
      <c r="C15" s="191"/>
      <c r="D15" s="191"/>
      <c r="E15" s="191"/>
    </row>
    <row r="16" spans="1:8" x14ac:dyDescent="0.2">
      <c r="B16" s="241"/>
      <c r="C16" s="191"/>
      <c r="D16" s="191"/>
      <c r="E16" s="191"/>
    </row>
    <row r="17" spans="2:5" x14ac:dyDescent="0.2">
      <c r="B17" s="241"/>
      <c r="C17" s="191"/>
      <c r="D17" s="191"/>
      <c r="E17" s="191"/>
    </row>
    <row r="18" spans="2:5" x14ac:dyDescent="0.2">
      <c r="B18" s="241"/>
      <c r="C18" s="191"/>
      <c r="D18" s="191"/>
      <c r="E18" s="191"/>
    </row>
    <row r="19" spans="2:5" x14ac:dyDescent="0.2">
      <c r="B19" s="241"/>
      <c r="C19" s="191"/>
      <c r="D19" s="191"/>
      <c r="E19" s="191"/>
    </row>
    <row r="20" spans="2:5" x14ac:dyDescent="0.2">
      <c r="B20" s="241"/>
      <c r="C20" s="191"/>
      <c r="D20" s="191"/>
      <c r="E20" s="191"/>
    </row>
    <row r="21" spans="2:5" x14ac:dyDescent="0.2">
      <c r="B21" s="241"/>
      <c r="C21" s="191"/>
      <c r="D21" s="191"/>
      <c r="E21" s="191"/>
    </row>
  </sheetData>
  <sheetProtection algorithmName="SHA-512" hashValue="nfB+qYTUJafo8XdLvX9+NzumFoHhm/JQG3919cwM9R2ldI5DPZO0v9wsy96fOiehZFhfC7+dyafPMLgUnQUs3Q==" saltValue="Sqcz8fB/U0GjyG7FUjhPDQ=="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5F00-000000000000}"/>
  </hyperlinks>
  <pageMargins left="0.25" right="0.25"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4" tint="0.59999389629810485"/>
  </sheetPr>
  <dimension ref="A1:H5"/>
  <sheetViews>
    <sheetView workbookViewId="0">
      <selection sqref="A1:C1"/>
    </sheetView>
  </sheetViews>
  <sheetFormatPr defaultColWidth="8.7109375" defaultRowHeight="12.75" x14ac:dyDescent="0.2"/>
  <cols>
    <col min="1" max="16384" width="8.7109375" style="1"/>
  </cols>
  <sheetData>
    <row r="1" spans="1:8" ht="15.75" x14ac:dyDescent="0.2">
      <c r="A1" s="1363" t="s">
        <v>1269</v>
      </c>
      <c r="B1" s="1363"/>
      <c r="C1" s="1363"/>
    </row>
    <row r="2" spans="1:8" ht="18" customHeight="1" x14ac:dyDescent="0.2">
      <c r="A2" s="18" t="s">
        <v>578</v>
      </c>
    </row>
    <row r="3" spans="1:8" ht="30" customHeight="1" x14ac:dyDescent="0.2">
      <c r="A3" s="1272" t="s">
        <v>1602</v>
      </c>
      <c r="B3" s="1272"/>
      <c r="C3" s="1272"/>
      <c r="D3" s="1272"/>
      <c r="E3" s="1272"/>
      <c r="F3" s="1272"/>
      <c r="G3" s="1272"/>
      <c r="H3" s="1272"/>
    </row>
    <row r="4" spans="1:8" ht="15" x14ac:dyDescent="0.25">
      <c r="A4" s="1199" t="s">
        <v>1246</v>
      </c>
    </row>
    <row r="5" spans="1:8" ht="15" x14ac:dyDescent="0.25">
      <c r="A5" s="1215" t="s">
        <v>1604</v>
      </c>
    </row>
  </sheetData>
  <sheetProtection algorithmName="SHA-512" hashValue="jnIwT40NXIJRY7CqGtjnB7RzSa12tnGcirlNB1e6IX+HJar84XyVhHyyltkiGumknO4ewQ+LPbut8ljDLvIXUw==" saltValue="TG7SDJaq4DBF5X4najC4M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6000-000000000000}"/>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4" tint="0.59999389629810485"/>
  </sheetPr>
  <dimension ref="A1:N5"/>
  <sheetViews>
    <sheetView workbookViewId="0">
      <selection sqref="A1:C1"/>
    </sheetView>
  </sheetViews>
  <sheetFormatPr defaultColWidth="8.7109375" defaultRowHeight="12.75" x14ac:dyDescent="0.2"/>
  <cols>
    <col min="1" max="16384" width="8.7109375" style="1"/>
  </cols>
  <sheetData>
    <row r="1" spans="1:14" ht="15.75" x14ac:dyDescent="0.2">
      <c r="A1" s="1363" t="s">
        <v>1269</v>
      </c>
      <c r="B1" s="1363"/>
      <c r="C1" s="1363"/>
    </row>
    <row r="2" spans="1:14" x14ac:dyDescent="0.2">
      <c r="A2" s="18" t="s">
        <v>578</v>
      </c>
    </row>
    <row r="3" spans="1:14" ht="26.1" customHeight="1" x14ac:dyDescent="0.2">
      <c r="A3" s="1272" t="s">
        <v>1603</v>
      </c>
      <c r="B3" s="1272"/>
      <c r="C3" s="1272"/>
      <c r="D3" s="1272"/>
      <c r="E3" s="1272"/>
      <c r="F3" s="1272"/>
      <c r="G3" s="1272"/>
      <c r="H3" s="1272"/>
      <c r="I3" s="1272"/>
      <c r="J3" s="1272"/>
      <c r="K3" s="1272"/>
      <c r="L3" s="1272"/>
      <c r="M3" s="1272"/>
      <c r="N3" s="1272"/>
    </row>
    <row r="4" spans="1:14" ht="15" x14ac:dyDescent="0.25">
      <c r="A4" s="1199" t="s">
        <v>1246</v>
      </c>
    </row>
    <row r="5" spans="1:14" ht="15" x14ac:dyDescent="0.25">
      <c r="A5" s="1215" t="s">
        <v>1605</v>
      </c>
    </row>
  </sheetData>
  <sheetProtection algorithmName="SHA-512" hashValue="qOJ3XjDB4eWR9EB4MSbYg75gLG0be+SDNKV+8ps9KvSbC6BuzQWC//FRMuAmk9/rLPhiLV02roYiTPJAKhlf9g==" saltValue="O99BJKGjYchJhiaM9t5pWw==" spinCount="100000" sheet="1" scenarios="1" formatCells="0" formatColumns="0" formatRows="0" sort="0" autoFilter="0" pivotTables="0"/>
  <mergeCells count="2">
    <mergeCell ref="A1:C1"/>
    <mergeCell ref="A3:N3"/>
  </mergeCells>
  <hyperlinks>
    <hyperlink ref="A2" location="'Table of Contents'!A1" display="Back to Table of Contents" xr:uid="{00000000-0004-0000-6100-000000000000}"/>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4" tint="0.59999389629810485"/>
  </sheetPr>
  <dimension ref="A1:H21"/>
  <sheetViews>
    <sheetView showGridLines="0" workbookViewId="0">
      <selection sqref="A1:C1"/>
    </sheetView>
  </sheetViews>
  <sheetFormatPr defaultColWidth="9.140625" defaultRowHeight="12.75" x14ac:dyDescent="0.2"/>
  <cols>
    <col min="1" max="1" width="16.28515625" customWidth="1"/>
  </cols>
  <sheetData>
    <row r="1" spans="1:8" ht="15.75" customHeight="1" x14ac:dyDescent="0.2">
      <c r="A1" s="1271" t="s">
        <v>1269</v>
      </c>
      <c r="B1" s="1271"/>
      <c r="C1" s="1271"/>
    </row>
    <row r="2" spans="1:8" ht="15.75" x14ac:dyDescent="0.2">
      <c r="A2" s="106" t="s">
        <v>578</v>
      </c>
      <c r="B2" s="1031"/>
      <c r="C2" s="1031"/>
    </row>
    <row r="3" spans="1:8" ht="33" customHeight="1" x14ac:dyDescent="0.2">
      <c r="A3" s="1272" t="s">
        <v>1250</v>
      </c>
      <c r="B3" s="1272"/>
      <c r="C3" s="1272"/>
      <c r="D3" s="1272"/>
      <c r="E3" s="1272"/>
      <c r="F3" s="1272"/>
      <c r="G3" s="1272"/>
      <c r="H3" s="1272"/>
    </row>
    <row r="4" spans="1:8" ht="15" x14ac:dyDescent="0.25">
      <c r="A4" s="1032" t="s">
        <v>1246</v>
      </c>
    </row>
    <row r="5" spans="1:8" ht="15" x14ac:dyDescent="0.25">
      <c r="A5" s="1043" t="s">
        <v>1342</v>
      </c>
    </row>
    <row r="6" spans="1:8" ht="38.25" customHeight="1" x14ac:dyDescent="0.35">
      <c r="A6" s="230"/>
    </row>
    <row r="8" spans="1:8" x14ac:dyDescent="0.2">
      <c r="A8" s="106"/>
    </row>
    <row r="15" spans="1:8" x14ac:dyDescent="0.2">
      <c r="B15" s="241"/>
      <c r="C15" s="191"/>
      <c r="D15" s="191"/>
      <c r="E15" s="191"/>
    </row>
    <row r="16" spans="1:8" x14ac:dyDescent="0.2">
      <c r="B16" s="241"/>
      <c r="C16" s="191"/>
      <c r="D16" s="191"/>
      <c r="E16" s="191"/>
    </row>
    <row r="17" spans="2:5" x14ac:dyDescent="0.2">
      <c r="B17" s="241"/>
      <c r="C17" s="191"/>
      <c r="D17" s="191"/>
      <c r="E17" s="191"/>
    </row>
    <row r="18" spans="2:5" x14ac:dyDescent="0.2">
      <c r="B18" s="241"/>
      <c r="C18" s="191"/>
      <c r="D18" s="191"/>
      <c r="E18" s="191"/>
    </row>
    <row r="19" spans="2:5" x14ac:dyDescent="0.2">
      <c r="B19" s="241"/>
      <c r="C19" s="191"/>
      <c r="D19" s="191"/>
      <c r="E19" s="191"/>
    </row>
    <row r="20" spans="2:5" x14ac:dyDescent="0.2">
      <c r="B20" s="241"/>
      <c r="C20" s="191"/>
      <c r="D20" s="191"/>
      <c r="E20" s="191"/>
    </row>
    <row r="21" spans="2:5" x14ac:dyDescent="0.2">
      <c r="B21" s="241"/>
      <c r="C21" s="191"/>
      <c r="D21" s="191"/>
      <c r="E21" s="191"/>
    </row>
  </sheetData>
  <sheetProtection algorithmName="SHA-512" hashValue="SOfSyRsXRQ3Zi7TaF74CP2SpAE5J2CW7T6GSAKBOPX216UCF2hZBjwMDFiiEUT1szGyMbI6pOwoXQ7zsznm2Ew==" saltValue="17depqbj0gN2yNtpMYPdLw=="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62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ation" ma:contentTypeID="0x0101004D3BEEE8C71E0441ABCD602B2883CF2303002F0AEBBF2B74A8408CFDD78D345B4A87" ma:contentTypeVersion="40" ma:contentTypeDescription="" ma:contentTypeScope="" ma:versionID="c6e4704b09f64b7ce45b4f8301f5c7b6">
  <xsd:schema xmlns:xsd="http://www.w3.org/2001/XMLSchema" xmlns:xs="http://www.w3.org/2001/XMLSchema" xmlns:p="http://schemas.microsoft.com/office/2006/metadata/properties" xmlns:ns1="361c438b-452b-4051-9cda-3a6b8527f04f" xmlns:ns3="858ae7c7-9454-45c7-a50c-4c9144226ea3" targetNamespace="http://schemas.microsoft.com/office/2006/metadata/properties" ma:root="true" ma:fieldsID="5081fa8bb0d0f42b20b415282392dcec" ns1:_="" ns3:_="">
    <xsd:import namespace="361c438b-452b-4051-9cda-3a6b8527f04f"/>
    <xsd:import namespace="858ae7c7-9454-45c7-a50c-4c9144226ea3"/>
    <xsd:element name="properties">
      <xsd:complexType>
        <xsd:sequence>
          <xsd:element name="documentManagement">
            <xsd:complexType>
              <xsd:all>
                <xsd:element ref="ns1:Doc_x0020_Type" minOccurs="0"/>
                <xsd:element ref="ns1:_dlc_DocIdUrl" minOccurs="0"/>
                <xsd:element ref="ns1:Summary" minOccurs="0"/>
                <xsd:element ref="ns1:Document_x0020_Status" minOccurs="0"/>
                <xsd:element ref="ns1:Security_x0020_Classification" minOccurs="0"/>
                <xsd:element ref="ns1:Abbreviation_x0028_s_x0029_" minOccurs="0"/>
                <xsd:element ref="ns1:Version_x0020_Number" minOccurs="0"/>
                <xsd:element ref="ns1:Effective_x0020_Date" minOccurs="0"/>
                <xsd:element ref="ns1:Review_x0020_Period" minOccurs="0"/>
                <xsd:element ref="ns3:ProperReviewDate" minOccurs="0"/>
                <xsd:element ref="ns1:Intranet_x0020_content" minOccurs="0"/>
                <xsd:element ref="ns1:Related_x0020_Intranet_x0020_page" minOccurs="0"/>
                <xsd:element ref="ns1:Published_x0020_to_x0020_website" minOccurs="0"/>
                <xsd:element ref="ns1:Publication_x0020_Scheme_x0020_Class" minOccurs="0"/>
                <xsd:element ref="ns1:Sub_x0020_Class_x0020_Heading" minOccurs="0"/>
                <xsd:element ref="ns1:Related_x0020_PDF" minOccurs="0"/>
                <xsd:element ref="ns1:DocumentReadyForApproval" minOccurs="0"/>
                <xsd:element ref="ns1:Delete" minOccurs="0"/>
                <xsd:element ref="ns1:External" minOccurs="0"/>
                <xsd:element ref="ns1:_dlc_DocId" minOccurs="0"/>
                <xsd:element ref="ns1:_dlc_DocIdPersistId" minOccurs="0"/>
                <xsd:element ref="ns1:TaxKeywordTaxHTField" minOccurs="0"/>
                <xsd:element ref="ns1:TaxCatchAll" minOccurs="0"/>
                <xsd:element ref="ns3:lcf76f155ced4ddcb4097134ff3c332f" minOccurs="0"/>
                <xsd:element ref="ns1:TaxCatchAllLabel" minOccurs="0"/>
                <xsd:element ref="ns3:MediaServiceSearchProperties" minOccurs="0"/>
                <xsd:element ref="ns3:xPDF" minOccurs="0"/>
                <xsd:element ref="ns1:SharedWithUsers" minOccurs="0"/>
                <xsd:element ref="ns1:SharedWithDetails" minOccurs="0"/>
                <xsd:element ref="ns1:Approver" minOccurs="0"/>
                <xsd:element ref="ns1:k383230df22e4c6daee9d7a3c1495057" minOccurs="0"/>
                <xsd:element ref="ns3:RelatedWebsitePage" minOccurs="0"/>
                <xsd:element ref="ns3:InitialPublishDate" minOccurs="0"/>
                <xsd:element ref="ns3:ActivePublish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1c438b-452b-4051-9cda-3a6b8527f04f" elementFormDefault="qualified">
    <xsd:import namespace="http://schemas.microsoft.com/office/2006/documentManagement/types"/>
    <xsd:import namespace="http://schemas.microsoft.com/office/infopath/2007/PartnerControls"/>
    <xsd:element name="Doc_x0020_Type" ma:index="0" nillable="true" ma:displayName="Doc Type" ma:format="Dropdown" ma:indexed="true" ma:internalName="Doc_x0020_Type">
      <xsd:simpleType>
        <xsd:restriction base="dms:Choice">
          <xsd:enumeration value="Awareness Briefing (AB)"/>
          <xsd:enumeration value="Board Paper"/>
          <xsd:enumeration value="Campaign Material"/>
          <xsd:enumeration value="Consultation"/>
          <xsd:enumeration value="Control Operating Procedure (COP)"/>
          <xsd:enumeration value="Equality and Human Rights Impact Assessment (EHRIA)"/>
          <xsd:enumeration value="Equipment Information Card (EIC)"/>
          <xsd:enumeration value="Executive Meeting"/>
          <xsd:enumeration value="Form"/>
          <xsd:enumeration value="Framework"/>
          <xsd:enumeration value="Frequently Asked Questions (FAQs)"/>
          <xsd:enumeration value="Frontline Update (FU)"/>
          <xsd:enumeration value="General Information Note (GIN)"/>
          <xsd:enumeration value="Generic Risk Assessment (GRA)"/>
          <xsd:enumeration value="Guidance"/>
          <xsd:enumeration value="Leaflet / Poster"/>
          <xsd:enumeration value="Magazine / Newsletter"/>
          <xsd:enumeration value="Management Arrangement (MA)"/>
          <xsd:enumeration value="Memorandum of Understanding (MOU)"/>
          <xsd:enumeration value="National Training Standard (NTS)"/>
          <xsd:enumeration value="Operational Aide Memoire (OAM)"/>
          <xsd:enumeration value="Periodic Inspection and Testing Sheet (PIT)"/>
          <xsd:enumeration value="Plan"/>
          <xsd:enumeration value="Policy"/>
          <xsd:enumeration value="Policy and Operational Guidance (POG)"/>
          <xsd:enumeration value="Presentation"/>
          <xsd:enumeration value="Privacy Notice"/>
          <xsd:enumeration value="Procedure"/>
          <xsd:enumeration value="Report"/>
          <xsd:enumeration value="Risk Assessment"/>
          <xsd:enumeration value="Risk Information Card"/>
          <xsd:enumeration value="Risk Register"/>
          <xsd:enumeration value="Safe System of Work (SSOW)"/>
          <xsd:enumeration value="Standard Operating Procedure (SOP)"/>
          <xsd:enumeration value="Strategy"/>
          <xsd:enumeration value="Structure"/>
          <xsd:enumeration value="Task Card"/>
          <xsd:enumeration value="Technical Information Note (TIN)"/>
          <xsd:enumeration value="Template"/>
          <xsd:enumeration value="Terms of Reference (ToR)"/>
          <xsd:enumeration value="Toolkit"/>
          <xsd:enumeration value="Urgent Instruction (UI)"/>
        </xsd:restriction>
      </xsd:simpleType>
    </xsd:element>
    <xsd:element name="_dlc_DocIdUrl" ma:index="1"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ummary" ma:index="4" nillable="true" ma:displayName="Summary" ma:internalName="Summary" ma:readOnly="false">
      <xsd:simpleType>
        <xsd:restriction base="dms:Note">
          <xsd:maxLength value="255"/>
        </xsd:restriction>
      </xsd:simpleType>
    </xsd:element>
    <xsd:element name="Document_x0020_Status" ma:index="6" nillable="true" ma:displayName="Document Status" ma:default="Unpublished" ma:format="Dropdown" ma:indexed="true" ma:internalName="Document_x0020_Status" ma:readOnly="false">
      <xsd:simpleType>
        <xsd:restriction base="dms:Choice">
          <xsd:enumeration value="Unpublished"/>
          <xsd:enumeration value="Out for quality check"/>
          <xsd:enumeration value="Out for approval"/>
          <xsd:enumeration value="Out for familiarization"/>
          <xsd:enumeration value="Ready for publication"/>
          <xsd:enumeration value="Live"/>
        </xsd:restriction>
      </xsd:simpleType>
    </xsd:element>
    <xsd:element name="Security_x0020_Classification" ma:index="7" nillable="true" ma:displayName="Security Classification" ma:default="Official" ma:format="Dropdown" ma:internalName="Security_x0020_Classification" ma:readOnly="false">
      <xsd:simpleType>
        <xsd:restriction base="dms:Choice">
          <xsd:enumeration value="Official"/>
          <xsd:enumeration value="Official Internal"/>
        </xsd:restriction>
      </xsd:simpleType>
    </xsd:element>
    <xsd:element name="Abbreviation_x0028_s_x0029_" ma:index="8" nillable="true" ma:displayName="Abbreviation(s)" ma:list="{cb5a0069-96fc-49cd-a8ec-b11d3665ab89}" ma:internalName="Abbreviation_x0028_s_x0029_" ma:readOnly="false" ma:showField="Full_x0020_Title"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Version_x0020_Number" ma:index="10" nillable="true" ma:displayName="Version Number" ma:decimals="2" ma:indexed="true" ma:internalName="Version_x0020_Number" ma:readOnly="false" ma:percentage="FALSE">
      <xsd:simpleType>
        <xsd:restriction base="dms:Number"/>
      </xsd:simpleType>
    </xsd:element>
    <xsd:element name="Effective_x0020_Date" ma:index="11" nillable="true" ma:displayName="Effective Date" ma:format="DateOnly" ma:indexed="true" ma:internalName="Effective_x0020_Date">
      <xsd:simpleType>
        <xsd:restriction base="dms:DateTime"/>
      </xsd:simpleType>
    </xsd:element>
    <xsd:element name="Review_x0020_Period" ma:index="12" nillable="true" ma:displayName="Review Period" ma:default="3 years" ma:format="Dropdown" ma:internalName="Review_x0020_Period" ma:readOnly="false">
      <xsd:simpleType>
        <xsd:restriction base="dms:Choice">
          <xsd:enumeration value="3 months"/>
          <xsd:enumeration value="6 months"/>
          <xsd:enumeration value="1 year"/>
          <xsd:enumeration value="3 years"/>
          <xsd:enumeration value="5 years"/>
        </xsd:restriction>
      </xsd:simpleType>
    </xsd:element>
    <xsd:element name="Intranet_x0020_content" ma:index="15" nillable="true" ma:displayName="Intranet content" ma:default="0" ma:indexed="true" ma:internalName="Intranet_x0020_content">
      <xsd:simpleType>
        <xsd:restriction base="dms:Boolean"/>
      </xsd:simpleType>
    </xsd:element>
    <xsd:element name="Related_x0020_Intranet_x0020_page" ma:index="16" nillable="true" ma:displayName="Related Intranet page" ma:format="Hyperlink" ma:internalName="Related_x0020_Intranet_x0020_p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ublished_x0020_to_x0020_website" ma:index="17" nillable="true" ma:displayName="Published to website" ma:default="0" ma:internalName="Published_x0020_to_x0020_website" ma:readOnly="false">
      <xsd:simpleType>
        <xsd:restriction base="dms:Boolean"/>
      </xsd:simpleType>
    </xsd:element>
    <xsd:element name="Publication_x0020_Scheme_x0020_Class" ma:index="18" nillable="true" ma:displayName="Publication Scheme Class" ma:format="Dropdown" ma:internalName="Publication_x0020_Scheme_x0020_Class" ma:readOnly="false">
      <xsd:simpleType>
        <xsd:restriction base="dms:Choice">
          <xsd:enumeration value="About SFRS"/>
          <xsd:enumeration value="How we are performing"/>
          <xsd:enumeration value="How we deliver our functions and services"/>
          <xsd:enumeration value="How we manage our human, physical and information resources"/>
          <xsd:enumeration value="How we procure goods and services from external providers"/>
          <xsd:enumeration value="How we take decisions and what we have decided"/>
          <xsd:enumeration value="What we spend and how we spend it"/>
          <xsd:enumeration value="Our commercial publications"/>
          <xsd:enumeration value="Our open data"/>
        </xsd:restriction>
      </xsd:simpleType>
    </xsd:element>
    <xsd:element name="Sub_x0020_Class_x0020_Heading" ma:index="19" nillable="true" ma:displayName="Sub Class Heading" ma:format="Dropdown" ma:internalName="Sub_x0020_Class_x0020_Heading" ma:readOnly="false">
      <xsd:simpleType>
        <xsd:restriction base="dms:Choice">
          <xsd:enumeration value="External relations/Working with others"/>
          <xsd:enumeration value="Functions"/>
          <xsd:enumeration value="General Information about SFRS"/>
          <xsd:enumeration value="Governance and Accountability/ Corporate planning"/>
          <xsd:enumeration value="How we are run"/>
          <xsd:enumeration value="Human resources"/>
          <xsd:enumeration value="Information resources"/>
          <xsd:enumeration value="Physical resources"/>
          <xsd:enumeration value="Services"/>
        </xsd:restriction>
      </xsd:simpleType>
    </xsd:element>
    <xsd:element name="Related_x0020_PDF" ma:index="21" nillable="true" ma:displayName="Related PDF" ma:format="Hyperlink" ma:internalName="Related_x0020_PDF"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DocumentReadyForApproval" ma:index="23" nillable="true" ma:displayName="Document ready to progress" ma:default="0" ma:indexed="true" ma:internalName="DocumentReadyForApproval" ma:readOnly="false">
      <xsd:simpleType>
        <xsd:restriction base="dms:Boolean"/>
      </xsd:simpleType>
    </xsd:element>
    <xsd:element name="Delete" ma:index="24" nillable="true" ma:displayName="Withdraw" ma:default="0" ma:internalName="Delete" ma:readOnly="false">
      <xsd:simpleType>
        <xsd:restriction base="dms:Boolean"/>
      </xsd:simpleType>
    </xsd:element>
    <xsd:element name="External" ma:index="25" nillable="true" ma:displayName="External" ma:default="0" ma:hidden="true" ma:indexed="true" ma:internalName="External" ma:readOnly="false">
      <xsd:simpleType>
        <xsd:restriction base="dms:Boolean"/>
      </xsd:simpleType>
    </xsd:element>
    <xsd:element name="_dlc_DocId" ma:index="26" nillable="true" ma:displayName="Document ID Value" ma:description="The value of the document ID assigned to this item." ma:hidden="true" ma:indexed="true" ma:internalName="_dlc_DocId" ma:readOnly="false">
      <xsd:simpleType>
        <xsd:restriction base="dms:Text"/>
      </xsd:simpleType>
    </xsd:element>
    <xsd:element name="_dlc_DocIdPersistId" ma:index="27" nillable="true" ma:displayName="Persist ID" ma:description="Keep ID on add." ma:hidden="true" ma:internalName="_dlc_DocIdPersistId" ma:readOnly="false">
      <xsd:simpleType>
        <xsd:restriction base="dms:Boolean"/>
      </xsd:simpleType>
    </xsd:element>
    <xsd:element name="TaxKeywordTaxHTField" ma:index="28" nillable="true" ma:taxonomy="true" ma:internalName="TaxKeywordTaxHTField" ma:taxonomyFieldName="TaxKeyword" ma:displayName="Enterprise Keywords" ma:readOnly="false" ma:fieldId="{23f27201-bee3-471e-b2e7-b64fd8b7ca38}" ma:taxonomyMulti="true" ma:sspId="b512196b-5a0a-432a-bb17-e1b4922fa624" ma:termSetId="00000000-0000-0000-0000-000000000000" ma:anchorId="00000000-0000-0000-0000-000000000000" ma:open="true" ma:isKeyword="true">
      <xsd:complexType>
        <xsd:sequence>
          <xsd:element ref="pc:Terms" minOccurs="0" maxOccurs="1"/>
        </xsd:sequence>
      </xsd:complexType>
    </xsd:element>
    <xsd:element name="TaxCatchAll" ma:index="29" nillable="true" ma:displayName="Taxonomy Catch All Column" ma:hidden="true" ma:list="{27df03d8-9a97-46e6-9e9c-10932c826c7e}" ma:internalName="TaxCatchAll" ma:readOnly="false" ma:showField="CatchAllData"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27df03d8-9a97-46e6-9e9c-10932c826c7e}" ma:internalName="TaxCatchAllLabel" ma:readOnly="false" ma:showField="CatchAllDataLabel"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SharedWithUsers" ma:index="4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1" nillable="true" ma:displayName="Shared With Details" ma:hidden="true" ma:internalName="SharedWithDetails" ma:readOnly="true">
      <xsd:simpleType>
        <xsd:restriction base="dms:Note"/>
      </xsd:simpleType>
    </xsd:element>
    <xsd:element name="Approver" ma:index="42" nillable="true" ma:displayName="Approver" ma:hidden="true" ma:list="UserInfo" ma:SharePointGroup="0" ma:internalName="Approv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383230df22e4c6daee9d7a3c1495057" ma:index="44" nillable="true" ma:taxonomy="true" ma:internalName="k383230df22e4c6daee9d7a3c1495057" ma:taxonomyFieldName="Directorate" ma:displayName="Directorate" ma:readOnly="false" ma:default="" ma:fieldId="{4383230d-f22e-4c6d-aee9-d7a3c1495057}" ma:taxonomyMulti="true" ma:sspId="b512196b-5a0a-432a-bb17-e1b4922fa624" ma:termSetId="118f2308-ed62-41c1-a4cd-b6e6f40956a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58ae7c7-9454-45c7-a50c-4c9144226ea3" elementFormDefault="qualified">
    <xsd:import namespace="http://schemas.microsoft.com/office/2006/documentManagement/types"/>
    <xsd:import namespace="http://schemas.microsoft.com/office/infopath/2007/PartnerControls"/>
    <xsd:element name="ProperReviewDate" ma:index="14" nillable="true" ma:displayName="Proper Review Date" ma:format="DateOnly" ma:indexed="true" ma:internalName="ProperReviewDate" ma:readOnly="false">
      <xsd:simpleType>
        <xsd:restriction base="dms:DateTime"/>
      </xsd:simpleType>
    </xsd:element>
    <xsd:element name="lcf76f155ced4ddcb4097134ff3c332f" ma:index="30" nillable="true" ma:displayName="Image Tags_0" ma:hidden="true" ma:internalName="lcf76f155ced4ddcb4097134ff3c332f" ma:readOnly="false">
      <xsd:simpleType>
        <xsd:restriction base="dms:Note"/>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xPDF" ma:index="39" nillable="true" ma:displayName="xPDF" ma:default="0" ma:format="Dropdown" ma:hidden="true" ma:internalName="xPDF" ma:readOnly="false">
      <xsd:simpleType>
        <xsd:restriction base="dms:Boolean"/>
      </xsd:simpleType>
    </xsd:element>
    <xsd:element name="RelatedWebsitePage" ma:index="45" nillable="true" ma:displayName="Related Website Page" ma:format="Hyperlink" ma:internalName="RelatedWebsitePage">
      <xsd:complexType>
        <xsd:complexContent>
          <xsd:extension base="dms:URL">
            <xsd:sequence>
              <xsd:element name="Url" type="dms:ValidUrl" minOccurs="0" nillable="true"/>
              <xsd:element name="Description" type="xsd:string" nillable="true"/>
            </xsd:sequence>
          </xsd:extension>
        </xsd:complexContent>
      </xsd:complexType>
    </xsd:element>
    <xsd:element name="InitialPublishDate" ma:index="46" nillable="true" ma:displayName="Initial Publish Date" ma:default="[today]" ma:format="DateOnly" ma:internalName="InitialPublishDate">
      <xsd:simpleType>
        <xsd:restriction base="dms:DateTime"/>
      </xsd:simpleType>
    </xsd:element>
    <xsd:element name="ActivePublishDate" ma:index="47" nillable="true" ma:displayName="Active Publish Date" ma:format="DateOnly" ma:internalName="ActivePublish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ma:index="2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Version_x0020_Number xmlns="361c438b-452b-4051-9cda-3a6b8527f04f" xsi:nil="true"/>
    <Effective_x0020_Date xmlns="361c438b-452b-4051-9cda-3a6b8527f04f">2023-09-18T23:00:00+00:00</Effective_x0020_Date>
    <Abbreviation_x0028_s_x0029_ xmlns="361c438b-452b-4051-9cda-3a6b8527f04f">
      <Value>132</Value>
    </Abbreviation_x0028_s_x0029_>
    <TaxCatchAll xmlns="361c438b-452b-4051-9cda-3a6b8527f04f">
      <Value>2077</Value>
      <Value>40</Value>
    </TaxCatchAll>
    <External xmlns="361c438b-452b-4051-9cda-3a6b8527f04f">true</External>
    <Publication_x0020_Scheme_x0020_Class xmlns="361c438b-452b-4051-9cda-3a6b8527f04f">How we are performing</Publication_x0020_Scheme_x0020_Class>
    <Security_x0020_Classification xmlns="361c438b-452b-4051-9cda-3a6b8527f04f">Official</Security_x0020_Classification>
    <Doc_x0020_Type xmlns="361c438b-452b-4051-9cda-3a6b8527f04f">Report</Doc_x0020_Type>
    <TaxKeywordTaxHTField xmlns="361c438b-452b-4051-9cda-3a6b8527f04f">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4fdbaa0e-82da-4f02-8c00-4c1730b59b67</TermId>
        </TermInfo>
      </Terms>
    </TaxKeywordTaxHTField>
    <Approver xmlns="361c438b-452b-4051-9cda-3a6b8527f04f">
      <UserInfo>
        <DisplayName/>
        <AccountId xsi:nil="true"/>
        <AccountType/>
      </UserInfo>
    </Approver>
    <Review_x0020_Period xmlns="361c438b-452b-4051-9cda-3a6b8527f04f">3 years</Review_x0020_Period>
    <Sub_x0020_Class_x0020_Heading xmlns="361c438b-452b-4051-9cda-3a6b8527f04f" xsi:nil="true"/>
    <Document_x0020_Status xmlns="361c438b-452b-4051-9cda-3a6b8527f04f">Live</Document_x0020_Status>
    <lcf76f155ced4ddcb4097134ff3c332f xmlns="858ae7c7-9454-45c7-a50c-4c9144226ea3" xsi:nil="true"/>
    <Summary xmlns="361c438b-452b-4051-9cda-3a6b8527f04f" xsi:nil="true"/>
    <_dlc_DocId xmlns="361c438b-452b-4051-9cda-3a6b8527f04f">CORPDL-747745404-446</_dlc_DocId>
    <_dlc_DocIdUrl xmlns="361c438b-452b-4051-9cda-3a6b8527f04f">
      <Url>https://firescotland.sharepoint.com/sites/SFRSDocumentLibrary/_layouts/15/DocIdRedir.aspx?ID=CORPDL-747745404-446</Url>
      <Description>CORPDL-747745404-446</Description>
    </_dlc_DocIdUrl>
    <Related_x0020_PDF xmlns="361c438b-452b-4051-9cda-3a6b8527f04f">
      <Url xsi:nil="true"/>
      <Description xsi:nil="true"/>
    </Related_x0020_PDF>
    <Published_x0020_to_x0020_website xmlns="361c438b-452b-4051-9cda-3a6b8527f04f">false</Published_x0020_to_x0020_website>
    <_dlc_DocIdPersistId xmlns="361c438b-452b-4051-9cda-3a6b8527f04f" xsi:nil="true"/>
    <TaxCatchAllLabel xmlns="361c438b-452b-4051-9cda-3a6b8527f04f" xsi:nil="true"/>
    <DocumentReadyForApproval xmlns="361c438b-452b-4051-9cda-3a6b8527f04f">false</DocumentReadyForApproval>
    <Intranet_x0020_content xmlns="361c438b-452b-4051-9cda-3a6b8527f04f">true</Intranet_x0020_content>
    <Related_x0020_Intranet_x0020_page xmlns="361c438b-452b-4051-9cda-3a6b8527f04f">
      <Url xsi:nil="true"/>
      <Description xsi:nil="true"/>
    </Related_x0020_Intranet_x0020_page>
    <Delete xmlns="361c438b-452b-4051-9cda-3a6b8527f04f">false</Delete>
    <xPDF xmlns="858ae7c7-9454-45c7-a50c-4c9144226ea3">false</xPDF>
    <ProperReviewDate xmlns="858ae7c7-9454-45c7-a50c-4c9144226ea3">2026-09-18T23:00:00+00:00</ProperReviewDate>
    <k383230df22e4c6daee9d7a3c1495057 xmlns="361c438b-452b-4051-9cda-3a6b8527f04f">
      <Terms xmlns="http://schemas.microsoft.com/office/infopath/2007/PartnerControls">
        <TermInfo xmlns="http://schemas.microsoft.com/office/infopath/2007/PartnerControls">
          <TermName xmlns="http://schemas.microsoft.com/office/infopath/2007/PartnerControls">Strategic Planning, Performance and Communications (SPPC)</TermName>
          <TermId xmlns="http://schemas.microsoft.com/office/infopath/2007/PartnerControls">c9dfca0c-2d79-4a95-9878-54827f0e6791</TermId>
        </TermInfo>
      </Terms>
    </k383230df22e4c6daee9d7a3c1495057>
    <ActivePublishDate xmlns="858ae7c7-9454-45c7-a50c-4c9144226ea3">2023-09-18T23:00:00+00:00</ActivePublishDate>
    <RelatedWebsitePage xmlns="858ae7c7-9454-45c7-a50c-4c9144226ea3">
      <Url xsi:nil="true"/>
      <Description xsi:nil="true"/>
    </RelatedWebsitePage>
    <InitialPublishDate xmlns="858ae7c7-9454-45c7-a50c-4c9144226ea3">2023-09-18T23:00:00+00:00</InitialPublishDate>
  </documentManagement>
</p:properties>
</file>

<file path=customXml/itemProps1.xml><?xml version="1.0" encoding="utf-8"?>
<ds:datastoreItem xmlns:ds="http://schemas.openxmlformats.org/officeDocument/2006/customXml" ds:itemID="{0445AEE1-ED5E-46BE-B444-BC13B7F59CC9}"/>
</file>

<file path=customXml/itemProps2.xml><?xml version="1.0" encoding="utf-8"?>
<ds:datastoreItem xmlns:ds="http://schemas.openxmlformats.org/officeDocument/2006/customXml" ds:itemID="{0D01B9C7-5293-4AB1-AB9D-D5D93932738B}"/>
</file>

<file path=customXml/itemProps3.xml><?xml version="1.0" encoding="utf-8"?>
<ds:datastoreItem xmlns:ds="http://schemas.openxmlformats.org/officeDocument/2006/customXml" ds:itemID="{142F4D2F-F336-4EFD-8643-7B665179C2C9}"/>
</file>

<file path=customXml/itemProps4.xml><?xml version="1.0" encoding="utf-8"?>
<ds:datastoreItem xmlns:ds="http://schemas.openxmlformats.org/officeDocument/2006/customXml" ds:itemID="{3E887C19-FB56-403E-8C62-292DCDC205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253</vt:i4>
      </vt:variant>
      <vt:variant>
        <vt:lpstr>Named Ranges</vt:lpstr>
      </vt:variant>
      <vt:variant>
        <vt:i4>242</vt:i4>
      </vt:variant>
    </vt:vector>
  </HeadingPairs>
  <TitlesOfParts>
    <vt:vector size="495" baseType="lpstr">
      <vt:lpstr>Introduction</vt:lpstr>
      <vt:lpstr>Table of Contents</vt:lpstr>
      <vt:lpstr>Incidents Timeseries</vt:lpstr>
      <vt:lpstr>Casualties Timeseries</vt:lpstr>
      <vt:lpstr>Chart Fires</vt:lpstr>
      <vt:lpstr>Chart Fire False Alarms</vt:lpstr>
      <vt:lpstr>Chart Non-fire</vt:lpstr>
      <vt:lpstr>Chart Share Incidents</vt:lpstr>
      <vt:lpstr>Chart Share Fatal</vt:lpstr>
      <vt:lpstr>Chart Share Non-fatal</vt:lpstr>
      <vt:lpstr>Chart Fatal Fire Casualties</vt:lpstr>
      <vt:lpstr>Chart Non-fatal Fire Casualties</vt:lpstr>
      <vt:lpstr>Chart Non-fire Casualties</vt:lpstr>
      <vt:lpstr>Fires</vt:lpstr>
      <vt:lpstr>T_01</vt:lpstr>
      <vt:lpstr>Fires LA</vt:lpstr>
      <vt:lpstr>Building Fires-old</vt:lpstr>
      <vt:lpstr>Building Fires</vt:lpstr>
      <vt:lpstr>Building Fires LA-old</vt:lpstr>
      <vt:lpstr>Building Fires LA</vt:lpstr>
      <vt:lpstr>Multistorey</vt:lpstr>
      <vt:lpstr>T_08</vt:lpstr>
      <vt:lpstr>T_02</vt:lpstr>
      <vt:lpstr>T__02</vt:lpstr>
      <vt:lpstr>T_03</vt:lpstr>
      <vt:lpstr>T_04</vt:lpstr>
      <vt:lpstr>T_05</vt:lpstr>
      <vt:lpstr>T_06</vt:lpstr>
      <vt:lpstr>T_06b</vt:lpstr>
      <vt:lpstr>T_09</vt:lpstr>
      <vt:lpstr>T_09b</vt:lpstr>
      <vt:lpstr>T_M</vt:lpstr>
      <vt:lpstr>T_MLA</vt:lpstr>
      <vt:lpstr>T_03b</vt:lpstr>
      <vt:lpstr>T_12</vt:lpstr>
      <vt:lpstr>T_11_1</vt:lpstr>
      <vt:lpstr>T_11</vt:lpstr>
      <vt:lpstr>T_13_1</vt:lpstr>
      <vt:lpstr>T_13</vt:lpstr>
      <vt:lpstr>T_13b</vt:lpstr>
      <vt:lpstr>T_14_1</vt:lpstr>
      <vt:lpstr>T_14</vt:lpstr>
      <vt:lpstr>T_15</vt:lpstr>
      <vt:lpstr>T_1616a_old</vt:lpstr>
      <vt:lpstr>T_17_2</vt:lpstr>
      <vt:lpstr>T_18</vt:lpstr>
      <vt:lpstr>T_1_19</vt:lpstr>
      <vt:lpstr>T_19</vt:lpstr>
      <vt:lpstr>T_21</vt:lpstr>
      <vt:lpstr>Sheet3</vt:lpstr>
      <vt:lpstr>Sheet1</vt:lpstr>
      <vt:lpstr>T_1_23</vt:lpstr>
      <vt:lpstr>T_23</vt:lpstr>
      <vt:lpstr>Sheet6</vt:lpstr>
      <vt:lpstr>Sheet7</vt:lpstr>
      <vt:lpstr>Building Fires Spread</vt:lpstr>
      <vt:lpstr>Sheet16</vt:lpstr>
      <vt:lpstr>Building Fires Area</vt:lpstr>
      <vt:lpstr>Dwelling Fires Motive LA</vt:lpstr>
      <vt:lpstr>Smoke Alarms</vt:lpstr>
      <vt:lpstr>Smoke Alarms LA</vt:lpstr>
      <vt:lpstr>Alarms Non-op Reason</vt:lpstr>
      <vt:lpstr>ADF Source</vt:lpstr>
      <vt:lpstr>ADF AlcoholDrugs</vt:lpstr>
      <vt:lpstr>ADF AlcoholDrugs LA</vt:lpstr>
      <vt:lpstr>Outdoor Fires</vt:lpstr>
      <vt:lpstr>Outdoor Fires Prim LA</vt:lpstr>
      <vt:lpstr>Outdoor Fires Sec LA</vt:lpstr>
      <vt:lpstr>Motive</vt:lpstr>
      <vt:lpstr>Motive LA</vt:lpstr>
      <vt:lpstr>Motive Primary LA Rate</vt:lpstr>
      <vt:lpstr>Motive Secondary</vt:lpstr>
      <vt:lpstr>Motive Secondary LA</vt:lpstr>
      <vt:lpstr>Motive Secondary LA Rate</vt:lpstr>
      <vt:lpstr>Appliances</vt:lpstr>
      <vt:lpstr>Appliances LA</vt:lpstr>
      <vt:lpstr>Time of Call</vt:lpstr>
      <vt:lpstr>Chart - Time of Incident</vt:lpstr>
      <vt:lpstr>Chart - Time of Injury</vt:lpstr>
      <vt:lpstr>Chart Primary Fire</vt:lpstr>
      <vt:lpstr>Chart Secondary Fire</vt:lpstr>
      <vt:lpstr>Chart Fire Motive</vt:lpstr>
      <vt:lpstr>Chart Fire Map</vt:lpstr>
      <vt:lpstr>Chart Primary Fire Map</vt:lpstr>
      <vt:lpstr>Chart Secondary Fire Map</vt:lpstr>
      <vt:lpstr>Chart Deliberate Fire Map</vt:lpstr>
      <vt:lpstr>Chart ADF Map</vt:lpstr>
      <vt:lpstr>Fire False Alarms</vt:lpstr>
      <vt:lpstr>Fire False Alarms LA</vt:lpstr>
      <vt:lpstr>UFAS</vt:lpstr>
      <vt:lpstr>UFAS LA</vt:lpstr>
      <vt:lpstr>Tufas</vt:lpstr>
      <vt:lpstr>Fire False Alarms Location</vt:lpstr>
      <vt:lpstr>Non-fire False Alarms</vt:lpstr>
      <vt:lpstr>Non-fire False Alarms LA</vt:lpstr>
      <vt:lpstr>Chart FFA Type</vt:lpstr>
      <vt:lpstr>Chart UFAS</vt:lpstr>
      <vt:lpstr>Chart UFAS Map</vt:lpstr>
      <vt:lpstr>Chart FFA Apparatus</vt:lpstr>
      <vt:lpstr>Chart False Alarm App Map</vt:lpstr>
      <vt:lpstr>Non-fire</vt:lpstr>
      <vt:lpstr>Non-fire LA</vt:lpstr>
      <vt:lpstr>Non-fire LA Rate</vt:lpstr>
      <vt:lpstr>RTC Flooding</vt:lpstr>
      <vt:lpstr>Chart Non-fire Type</vt:lpstr>
      <vt:lpstr>Chart Non-fire Map</vt:lpstr>
      <vt:lpstr>Chart RTC Map</vt:lpstr>
      <vt:lpstr>Chart EEE Map</vt:lpstr>
      <vt:lpstr>Casualties Non-fire</vt:lpstr>
      <vt:lpstr>Chart Non-fire Fatal</vt:lpstr>
      <vt:lpstr>Chart Non-fire Non-fatal</vt:lpstr>
      <vt:lpstr>Casualties Fire</vt:lpstr>
      <vt:lpstr>Casualties Fire LA</vt:lpstr>
      <vt:lpstr>Casualties Building</vt:lpstr>
      <vt:lpstr>T_buildcas</vt:lpstr>
      <vt:lpstr>Casualties Multistorey</vt:lpstr>
      <vt:lpstr>Casualties Motive</vt:lpstr>
      <vt:lpstr>Casualties Motive LA</vt:lpstr>
      <vt:lpstr>Dwelling Non-fatal Rate</vt:lpstr>
      <vt:lpstr>ADF Casualty</vt:lpstr>
      <vt:lpstr>ADF Casualty LA</vt:lpstr>
      <vt:lpstr>ADF Casualty AlcoholDrugs</vt:lpstr>
      <vt:lpstr>Treatment</vt:lpstr>
      <vt:lpstr>Casualty Gender</vt:lpstr>
      <vt:lpstr>Casualty Gender Rate</vt:lpstr>
      <vt:lpstr>Treatment Gender</vt:lpstr>
      <vt:lpstr>Treatment Gender Rate</vt:lpstr>
      <vt:lpstr>Type of Injury Gender</vt:lpstr>
      <vt:lpstr>Type of Injury Gender Rate</vt:lpstr>
      <vt:lpstr>Casualty Age</vt:lpstr>
      <vt:lpstr>Casualty Age Rate</vt:lpstr>
      <vt:lpstr>T_16</vt:lpstr>
      <vt:lpstr>Type of Injury Age</vt:lpstr>
      <vt:lpstr>Type of Injury Age Rate</vt:lpstr>
      <vt:lpstr>Treatment Age</vt:lpstr>
      <vt:lpstr>Treatment Age Rate</vt:lpstr>
      <vt:lpstr>Rescues</vt:lpstr>
      <vt:lpstr>Time of Call Casualty</vt:lpstr>
      <vt:lpstr>Chart Casualty Treatment</vt:lpstr>
      <vt:lpstr>Chart Fatal Age</vt:lpstr>
      <vt:lpstr>Chart Non-fatal Age</vt:lpstr>
      <vt:lpstr>Deprivation Incident</vt:lpstr>
      <vt:lpstr>Deprivation Incident Rate</vt:lpstr>
      <vt:lpstr>Deprivation Casualty</vt:lpstr>
      <vt:lpstr>Deprivation Casualty Rate</vt:lpstr>
      <vt:lpstr>Rurality Incident</vt:lpstr>
      <vt:lpstr>Rurality Incident Rate</vt:lpstr>
      <vt:lpstr>Rurality Casualty</vt:lpstr>
      <vt:lpstr>Rurality Casualty Rate</vt:lpstr>
      <vt:lpstr>Chart Deprivation</vt:lpstr>
      <vt:lpstr>Chart Fatality Profile</vt:lpstr>
      <vt:lpstr>Chart Hospitalised Profile</vt:lpstr>
      <vt:lpstr>Chart Rurality</vt:lpstr>
      <vt:lpstr>T_simd</vt:lpstr>
      <vt:lpstr>T_simdcas</vt:lpstr>
      <vt:lpstr>T_ur</vt:lpstr>
      <vt:lpstr>T_urcas</vt:lpstr>
      <vt:lpstr>GB Incident</vt:lpstr>
      <vt:lpstr>GB Fires</vt:lpstr>
      <vt:lpstr>T_10</vt:lpstr>
      <vt:lpstr>GB Casualties</vt:lpstr>
      <vt:lpstr>Chart Incidents GB</vt:lpstr>
      <vt:lpstr>Chart Fire Types GB</vt:lpstr>
      <vt:lpstr>Chart Casualties GB</vt:lpstr>
      <vt:lpstr>PopulationScotland</vt:lpstr>
      <vt:lpstr>PopulationOtherArea</vt:lpstr>
      <vt:lpstr>Dwellings</vt:lpstr>
      <vt:lpstr>T_ref</vt:lpstr>
      <vt:lpstr>T_Qtr</vt:lpstr>
      <vt:lpstr>MultiAll</vt:lpstr>
      <vt:lpstr>MultiAllFatal</vt:lpstr>
      <vt:lpstr>MultiAllNonFatal</vt:lpstr>
      <vt:lpstr>MultiOverSixNonFatal</vt:lpstr>
      <vt:lpstr>MultiOverSixFatal</vt:lpstr>
      <vt:lpstr>MultiOverSix</vt:lpstr>
      <vt:lpstr>T01</vt:lpstr>
      <vt:lpstr>T01a</vt:lpstr>
      <vt:lpstr>T02</vt:lpstr>
      <vt:lpstr>T02b</vt:lpstr>
      <vt:lpstr>T03</vt:lpstr>
      <vt:lpstr>T03a</vt:lpstr>
      <vt:lpstr>T04</vt:lpstr>
      <vt:lpstr>T04a</vt:lpstr>
      <vt:lpstr>T04cde</vt:lpstr>
      <vt:lpstr>T05</vt:lpstr>
      <vt:lpstr>T05a</vt:lpstr>
      <vt:lpstr>T06</vt:lpstr>
      <vt:lpstr>T06a</vt:lpstr>
      <vt:lpstr>T06c</vt:lpstr>
      <vt:lpstr>T06d</vt:lpstr>
      <vt:lpstr>T07</vt:lpstr>
      <vt:lpstr>T08</vt:lpstr>
      <vt:lpstr>T08a</vt:lpstr>
      <vt:lpstr>T09</vt:lpstr>
      <vt:lpstr>T09_2</vt:lpstr>
      <vt:lpstr>T09a</vt:lpstr>
      <vt:lpstr>T09b</vt:lpstr>
      <vt:lpstr>T11</vt:lpstr>
      <vt:lpstr>T11f</vt:lpstr>
      <vt:lpstr>T11nf</vt:lpstr>
      <vt:lpstr>T11a</vt:lpstr>
      <vt:lpstr>T12</vt:lpstr>
      <vt:lpstr>T17c</vt:lpstr>
      <vt:lpstr>Tnull</vt:lpstr>
      <vt:lpstr>T13</vt:lpstr>
      <vt:lpstr>T13a</vt:lpstr>
      <vt:lpstr>T14</vt:lpstr>
      <vt:lpstr>T14a</vt:lpstr>
      <vt:lpstr>T14b</vt:lpstr>
      <vt:lpstr>T14c</vt:lpstr>
      <vt:lpstr>T14d</vt:lpstr>
      <vt:lpstr>T14e</vt:lpstr>
      <vt:lpstr>T14f</vt:lpstr>
      <vt:lpstr>T16</vt:lpstr>
      <vt:lpstr>T16a</vt:lpstr>
      <vt:lpstr>T16b</vt:lpstr>
      <vt:lpstr>T16c</vt:lpstr>
      <vt:lpstr>T16d</vt:lpstr>
      <vt:lpstr>T18</vt:lpstr>
      <vt:lpstr>T18a</vt:lpstr>
      <vt:lpstr>T19</vt:lpstr>
      <vt:lpstr>T19a</vt:lpstr>
      <vt:lpstr>T19b</vt:lpstr>
      <vt:lpstr>T20</vt:lpstr>
      <vt:lpstr>T21</vt:lpstr>
      <vt:lpstr>T21b</vt:lpstr>
      <vt:lpstr>T21a</vt:lpstr>
      <vt:lpstr>T22</vt:lpstr>
      <vt:lpstr>T23</vt:lpstr>
      <vt:lpstr>T23a</vt:lpstr>
      <vt:lpstr>T24</vt:lpstr>
      <vt:lpstr>T25</vt:lpstr>
      <vt:lpstr>T03b</vt:lpstr>
      <vt:lpstr>T10</vt:lpstr>
      <vt:lpstr>Tref</vt:lpstr>
      <vt:lpstr>T17b</vt:lpstr>
      <vt:lpstr>Tsimd</vt:lpstr>
      <vt:lpstr>Tur</vt:lpstr>
      <vt:lpstr>Tmotive</vt:lpstr>
      <vt:lpstr>Tqtrmotive</vt:lpstr>
      <vt:lpstr>TqtrIncidents</vt:lpstr>
      <vt:lpstr>TqtrCasF</vt:lpstr>
      <vt:lpstr>TqtrCasNF</vt:lpstr>
      <vt:lpstr>TqtrCAS</vt:lpstr>
      <vt:lpstr>T16_new</vt:lpstr>
      <vt:lpstr>T16a_new</vt:lpstr>
      <vt:lpstr>TsimdCas</vt:lpstr>
      <vt:lpstr>TurCas</vt:lpstr>
      <vt:lpstr>Tbuildingarea</vt:lpstr>
      <vt:lpstr>T17d</vt:lpstr>
      <vt:lpstr>T08v2</vt:lpstr>
      <vt:lpstr>T08av2</vt:lpstr>
      <vt:lpstr>T08v2caslong</vt:lpstr>
      <vt:lpstr>Dwellings</vt:lpstr>
      <vt:lpstr>DwellingsPage</vt:lpstr>
      <vt:lpstr>Figure1</vt:lpstr>
      <vt:lpstr>Figure15</vt:lpstr>
      <vt:lpstr>Figure2</vt:lpstr>
      <vt:lpstr>Population</vt:lpstr>
      <vt:lpstr>PopulationPage</vt:lpstr>
      <vt:lpstr>'ADF AlcoholDrugs'!Print_Area</vt:lpstr>
      <vt:lpstr>'ADF Casualty'!Print_Area</vt:lpstr>
      <vt:lpstr>'ADF Casualty AlcoholDrugs'!Print_Area</vt:lpstr>
      <vt:lpstr>'ADF Source'!Print_Area</vt:lpstr>
      <vt:lpstr>'Alarms Non-op Reason'!Print_Area</vt:lpstr>
      <vt:lpstr>Appliances!Print_Area</vt:lpstr>
      <vt:lpstr>'Building Fires Spread'!Print_Area</vt:lpstr>
      <vt:lpstr>'Building Fires-old'!Print_Area</vt:lpstr>
      <vt:lpstr>'Casualties Fire'!Print_Area</vt:lpstr>
      <vt:lpstr>'Casualties Motive'!Print_Area</vt:lpstr>
      <vt:lpstr>'Casualties Motive LA'!Print_Area</vt:lpstr>
      <vt:lpstr>'Casualties Non-fire'!Print_Area</vt:lpstr>
      <vt:lpstr>'Casualty Gender'!Print_Area</vt:lpstr>
      <vt:lpstr>'Casualty Gender Rate'!Print_Area</vt:lpstr>
      <vt:lpstr>'Chart - Time of Incident'!Print_Area</vt:lpstr>
      <vt:lpstr>'Chart - Time of Injury'!Print_Area</vt:lpstr>
      <vt:lpstr>'Chart FFA Type'!Print_Area</vt:lpstr>
      <vt:lpstr>'Chart Fires'!Print_Area</vt:lpstr>
      <vt:lpstr>'Chart Non-fatal Fire Casualties'!Print_Area</vt:lpstr>
      <vt:lpstr>'Chart Share Incidents'!Print_Area</vt:lpstr>
      <vt:lpstr>'Dwelling Fires Motive LA'!Print_Area</vt:lpstr>
      <vt:lpstr>Dwellings!Print_Area</vt:lpstr>
      <vt:lpstr>'Fire False Alarms'!Print_Area</vt:lpstr>
      <vt:lpstr>'Fire False Alarms Location'!Print_Area</vt:lpstr>
      <vt:lpstr>Fires!Print_Area</vt:lpstr>
      <vt:lpstr>'GB Casualties'!Print_Area</vt:lpstr>
      <vt:lpstr>'GB Incident'!Print_Area</vt:lpstr>
      <vt:lpstr>'Incidents Timeseries'!Print_Area</vt:lpstr>
      <vt:lpstr>Introduction!Print_Area</vt:lpstr>
      <vt:lpstr>'Motive Primary LA Rate'!Print_Area</vt:lpstr>
      <vt:lpstr>'Motive Secondary'!Print_Area</vt:lpstr>
      <vt:lpstr>'Motive Secondary LA'!Print_Area</vt:lpstr>
      <vt:lpstr>'Motive Secondary LA Rate'!Print_Area</vt:lpstr>
      <vt:lpstr>'Non-fire'!Print_Area</vt:lpstr>
      <vt:lpstr>'Non-fire False Alarms'!Print_Area</vt:lpstr>
      <vt:lpstr>'Non-fire LA Rate'!Print_Area</vt:lpstr>
      <vt:lpstr>'Outdoor Fires'!Print_Area</vt:lpstr>
      <vt:lpstr>'Outdoor Fires Prim LA'!Print_Area</vt:lpstr>
      <vt:lpstr>'Outdoor Fires Sec LA'!Print_Area</vt:lpstr>
      <vt:lpstr>PopulationScotland!Print_Area</vt:lpstr>
      <vt:lpstr>Rescues!Print_Area</vt:lpstr>
      <vt:lpstr>'RTC Flooding'!Print_Area</vt:lpstr>
      <vt:lpstr>'Smoke Alarms'!Print_Area</vt:lpstr>
      <vt:lpstr>'Smoke Alarms LA'!Print_Area</vt:lpstr>
      <vt:lpstr>T_1616a_old!Print_Area</vt:lpstr>
      <vt:lpstr>'Time of Call'!Print_Area</vt:lpstr>
      <vt:lpstr>'Time of Call Casualty'!Print_Area</vt:lpstr>
      <vt:lpstr>Treatment!Print_Area</vt:lpstr>
      <vt:lpstr>'Type of Injury Age'!Print_Area</vt:lpstr>
      <vt:lpstr>'Type of Injury Age Rate'!Print_Area</vt:lpstr>
      <vt:lpstr>'Type of Injury Gender'!Print_Area</vt:lpstr>
      <vt:lpstr>'Type of Injury Gender Rate'!Print_Area</vt:lpstr>
      <vt:lpstr>'T01'!Print_Titles</vt:lpstr>
      <vt:lpstr>T01a!Print_Titles</vt:lpstr>
      <vt:lpstr>'T02'!Print_Titles</vt:lpstr>
      <vt:lpstr>T02b!Print_Titles</vt:lpstr>
      <vt:lpstr>'T03'!Print_Titles</vt:lpstr>
      <vt:lpstr>T03a!Print_Titles</vt:lpstr>
      <vt:lpstr>T03b!Print_Titles</vt:lpstr>
      <vt:lpstr>'T04'!Print_Titles</vt:lpstr>
      <vt:lpstr>T04a!Print_Titles</vt:lpstr>
      <vt:lpstr>T04cde!Print_Titles</vt:lpstr>
      <vt:lpstr>'T05'!Print_Titles</vt:lpstr>
      <vt:lpstr>T05a!Print_Titles</vt:lpstr>
      <vt:lpstr>'T06'!Print_Titles</vt:lpstr>
      <vt:lpstr>T06a!Print_Titles</vt:lpstr>
      <vt:lpstr>T06c!Print_Titles</vt:lpstr>
      <vt:lpstr>T06d!Print_Titles</vt:lpstr>
      <vt:lpstr>'T07'!Print_Titles</vt:lpstr>
      <vt:lpstr>'T08'!Print_Titles</vt:lpstr>
      <vt:lpstr>T08a!Print_Titles</vt:lpstr>
      <vt:lpstr>T08av2!Print_Titles</vt:lpstr>
      <vt:lpstr>T08v2!Print_Titles</vt:lpstr>
      <vt:lpstr>T08v2caslong!Print_Titles</vt:lpstr>
      <vt:lpstr>'T09'!Print_Titles</vt:lpstr>
      <vt:lpstr>T09_2!Print_Titles</vt:lpstr>
      <vt:lpstr>T09a!Print_Titles</vt:lpstr>
      <vt:lpstr>T09b!Print_Titles</vt:lpstr>
      <vt:lpstr>'T10'!Print_Titles</vt:lpstr>
      <vt:lpstr>'T11'!Print_Titles</vt:lpstr>
      <vt:lpstr>T11a!Print_Titles</vt:lpstr>
      <vt:lpstr>T11f!Print_Titles</vt:lpstr>
      <vt:lpstr>T11nf!Print_Titles</vt:lpstr>
      <vt:lpstr>'T12'!Print_Titles</vt:lpstr>
      <vt:lpstr>'T13'!Print_Titles</vt:lpstr>
      <vt:lpstr>T13a!Print_Titles</vt:lpstr>
      <vt:lpstr>'T14'!Print_Titles</vt:lpstr>
      <vt:lpstr>T14a!Print_Titles</vt:lpstr>
      <vt:lpstr>T14b!Print_Titles</vt:lpstr>
      <vt:lpstr>T14c!Print_Titles</vt:lpstr>
      <vt:lpstr>T14d!Print_Titles</vt:lpstr>
      <vt:lpstr>T14e!Print_Titles</vt:lpstr>
      <vt:lpstr>T14f!Print_Titles</vt:lpstr>
      <vt:lpstr>'T16'!Print_Titles</vt:lpstr>
      <vt:lpstr>T16_new!Print_Titles</vt:lpstr>
      <vt:lpstr>T16a!Print_Titles</vt:lpstr>
      <vt:lpstr>T16a_new!Print_Titles</vt:lpstr>
      <vt:lpstr>T16b!Print_Titles</vt:lpstr>
      <vt:lpstr>T16c!Print_Titles</vt:lpstr>
      <vt:lpstr>T16d!Print_Titles</vt:lpstr>
      <vt:lpstr>T17b!Print_Titles</vt:lpstr>
      <vt:lpstr>T17c!Print_Titles</vt:lpstr>
      <vt:lpstr>T17d!Print_Titles</vt:lpstr>
      <vt:lpstr>'T18'!Print_Titles</vt:lpstr>
      <vt:lpstr>T18a!Print_Titles</vt:lpstr>
      <vt:lpstr>'T19'!Print_Titles</vt:lpstr>
      <vt:lpstr>T19a!Print_Titles</vt:lpstr>
      <vt:lpstr>T19b!Print_Titles</vt:lpstr>
      <vt:lpstr>'T20'!Print_Titles</vt:lpstr>
      <vt:lpstr>'T21'!Print_Titles</vt:lpstr>
      <vt:lpstr>T21a!Print_Titles</vt:lpstr>
      <vt:lpstr>T21b!Print_Titles</vt:lpstr>
      <vt:lpstr>'T22'!Print_Titles</vt:lpstr>
      <vt:lpstr>'T23'!Print_Titles</vt:lpstr>
      <vt:lpstr>T23a!Print_Titles</vt:lpstr>
      <vt:lpstr>'T24'!Print_Titles</vt:lpstr>
      <vt:lpstr>'T25'!Print_Titles</vt:lpstr>
      <vt:lpstr>Tbuildingarea!Print_Titles</vt:lpstr>
      <vt:lpstr>Tmotive!Print_Titles</vt:lpstr>
      <vt:lpstr>Tnull!Print_Titles</vt:lpstr>
      <vt:lpstr>TqtrCAS!Print_Titles</vt:lpstr>
      <vt:lpstr>TqtrCasF!Print_Titles</vt:lpstr>
      <vt:lpstr>TqtrCasNF!Print_Titles</vt:lpstr>
      <vt:lpstr>TqtrIncidents!Print_Titles</vt:lpstr>
      <vt:lpstr>Tqtrmotive!Print_Titles</vt:lpstr>
      <vt:lpstr>Tref!Print_Titles</vt:lpstr>
      <vt:lpstr>Tsimd!Print_Titles</vt:lpstr>
      <vt:lpstr>TsimdCas!Print_Titles</vt:lpstr>
      <vt:lpstr>Tur!Print_Titles</vt:lpstr>
      <vt:lpstr>TurCas!Print_Titles</vt:lpstr>
      <vt:lpstr>Table0</vt:lpstr>
      <vt:lpstr>Table1</vt:lpstr>
      <vt:lpstr>Table10</vt:lpstr>
      <vt:lpstr>Table10b</vt:lpstr>
      <vt:lpstr>Table11</vt:lpstr>
      <vt:lpstr>Table11a</vt:lpstr>
      <vt:lpstr>Table11b</vt:lpstr>
      <vt:lpstr>Table12</vt:lpstr>
      <vt:lpstr>Table12a</vt:lpstr>
      <vt:lpstr>Table13</vt:lpstr>
      <vt:lpstr>Table13a</vt:lpstr>
      <vt:lpstr>Table14</vt:lpstr>
      <vt:lpstr>Table14b</vt:lpstr>
      <vt:lpstr>Table14e</vt:lpstr>
      <vt:lpstr>Table14f</vt:lpstr>
      <vt:lpstr>Table14g</vt:lpstr>
      <vt:lpstr>Table15</vt:lpstr>
      <vt:lpstr>Table15b</vt:lpstr>
      <vt:lpstr>Table15c</vt:lpstr>
      <vt:lpstr>Table15d</vt:lpstr>
      <vt:lpstr>T_1616a_old!Table16</vt:lpstr>
      <vt:lpstr>Table16b</vt:lpstr>
      <vt:lpstr>Table16c</vt:lpstr>
      <vt:lpstr>Table17b</vt:lpstr>
      <vt:lpstr>Table17c</vt:lpstr>
      <vt:lpstr>Table18</vt:lpstr>
      <vt:lpstr>Table18a</vt:lpstr>
      <vt:lpstr>Table18b</vt:lpstr>
      <vt:lpstr>Table19</vt:lpstr>
      <vt:lpstr>Table19a</vt:lpstr>
      <vt:lpstr>Table19b</vt:lpstr>
      <vt:lpstr>Table1a</vt:lpstr>
      <vt:lpstr>Fires!Table1b</vt:lpstr>
      <vt:lpstr>Table2</vt:lpstr>
      <vt:lpstr>Table20</vt:lpstr>
      <vt:lpstr>Table21</vt:lpstr>
      <vt:lpstr>Table21b</vt:lpstr>
      <vt:lpstr>Table22</vt:lpstr>
      <vt:lpstr>Table23</vt:lpstr>
      <vt:lpstr>Table24</vt:lpstr>
      <vt:lpstr>Table25</vt:lpstr>
      <vt:lpstr>'Casualties Fire'!Table2a</vt:lpstr>
      <vt:lpstr>'Casualties Fire'!Table2b</vt:lpstr>
      <vt:lpstr>Table3</vt:lpstr>
      <vt:lpstr>Table3b</vt:lpstr>
      <vt:lpstr>Table4</vt:lpstr>
      <vt:lpstr>Table4a</vt:lpstr>
      <vt:lpstr>Table4b</vt:lpstr>
      <vt:lpstr>Table4c</vt:lpstr>
      <vt:lpstr>Table4d</vt:lpstr>
      <vt:lpstr>Table4e</vt:lpstr>
      <vt:lpstr>Table5</vt:lpstr>
      <vt:lpstr>Table6</vt:lpstr>
      <vt:lpstr>Table6c</vt:lpstr>
      <vt:lpstr>Table6d</vt:lpstr>
      <vt:lpstr>Table7</vt:lpstr>
      <vt:lpstr>Table8</vt:lpstr>
      <vt:lpstr>Table8a</vt:lpstr>
      <vt:lpstr>Table9</vt:lpstr>
      <vt:lpstr>Table9a</vt:lpstr>
      <vt:lpstr>Table9b</vt:lpstr>
      <vt:lpstr>WorkSheet_10</vt:lpstr>
      <vt:lpstr>WorkSheet_11</vt:lpstr>
      <vt:lpstr>WorkSheet_12</vt:lpstr>
      <vt:lpstr>WorkSheet_13</vt:lpstr>
      <vt:lpstr>WorkSheet_14</vt:lpstr>
      <vt:lpstr>WorkSheet_15</vt:lpstr>
      <vt:lpstr>WorkSheet_16</vt:lpstr>
      <vt:lpstr>WorkSheet_17</vt:lpstr>
      <vt:lpstr>WorkSheet_18</vt:lpstr>
      <vt:lpstr>WorkSheet_19</vt:lpstr>
      <vt:lpstr>WorkSheet_20</vt:lpstr>
      <vt:lpstr>WorkSheet_21</vt:lpstr>
      <vt:lpstr>WorkSheet_22</vt:lpstr>
      <vt:lpstr>WorkSheet_23</vt:lpstr>
      <vt:lpstr>WorkSheet_24</vt:lpstr>
      <vt:lpstr>WorkSheet_25</vt:lpstr>
      <vt:lpstr>WorkSheet_26</vt:lpstr>
      <vt:lpstr>WorkSheet_27</vt:lpstr>
      <vt:lpstr>WorkSheet_28</vt:lpstr>
      <vt:lpstr>WorkSheet_29</vt:lpstr>
      <vt:lpstr>WorkSheet_30</vt:lpstr>
      <vt:lpstr>WorkSheet_31</vt:lpstr>
      <vt:lpstr>T_1616a_old!WorkSheet_32</vt:lpstr>
      <vt:lpstr>WorkSheet_33</vt:lpstr>
      <vt:lpstr>WorkSheet_35</vt:lpstr>
      <vt:lpstr>WorkSheet_36</vt:lpstr>
      <vt:lpstr>WorkSheet_37</vt:lpstr>
      <vt:lpstr>WorkSheet_38</vt:lpstr>
      <vt:lpstr>WorkSheet_39</vt:lpstr>
      <vt:lpstr>WorkSheet_4</vt:lpstr>
      <vt:lpstr>WorkSheet_40</vt:lpstr>
      <vt:lpstr>WorkSheet_41</vt:lpstr>
      <vt:lpstr>WorkSheet_42</vt:lpstr>
      <vt:lpstr>WorkSheet_43</vt:lpstr>
      <vt:lpstr>WorkSheet_44</vt:lpstr>
      <vt:lpstr>WorkSheet_45</vt:lpstr>
      <vt:lpstr>WorkSheet_46</vt:lpstr>
      <vt:lpstr>WorkSheet_5</vt:lpstr>
      <vt:lpstr>WorkSheet_58</vt:lpstr>
      <vt:lpstr>WorkSheet_6</vt:lpstr>
      <vt:lpstr>WorkSheet_61</vt:lpstr>
      <vt:lpstr>WorkSheet_7</vt:lpstr>
      <vt:lpstr>WorkSheet_8</vt:lpstr>
      <vt:lpstr>WorkSheet_9</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 and Rescue Incident Statistics, 2020-2021, Tables and Charts</dc:title>
  <dc:creator>u414773</dc:creator>
  <cp:keywords>Statistics</cp:keywords>
  <cp:lastModifiedBy>Allan, Morag</cp:lastModifiedBy>
  <cp:lastPrinted>2018-10-23T13:15:47Z</cp:lastPrinted>
  <dcterms:created xsi:type="dcterms:W3CDTF">2014-11-20T14:18:33Z</dcterms:created>
  <dcterms:modified xsi:type="dcterms:W3CDTF">2023-09-19T13:58:43Z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A9766793</vt:lpwstr>
  </property>
  <property fmtid="{D5CDD505-2E9C-101B-9397-08002B2CF9AE}" pid="4" name="Objective-Title">
    <vt:lpwstr>Fire and Rescue Statistics Scotland 2013-14 - Dataset for publication</vt:lpwstr>
  </property>
  <property fmtid="{D5CDD505-2E9C-101B-9397-08002B2CF9AE}" pid="5" name="Objective-Comment">
    <vt:lpwstr>
    </vt:lpwstr>
  </property>
  <property fmtid="{D5CDD505-2E9C-101B-9397-08002B2CF9AE}" pid="6" name="Objective-CreationStamp">
    <vt:filetime>2014-11-20T15:07:05Z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2014-12-15T11:57:45Z</vt:filetime>
  </property>
  <property fmtid="{D5CDD505-2E9C-101B-9397-08002B2CF9AE}" pid="10" name="Objective-ModificationStamp">
    <vt:filetime>2014-12-15T11:57:45Z</vt:filetime>
  </property>
  <property fmtid="{D5CDD505-2E9C-101B-9397-08002B2CF9AE}" pid="11" name="Objective-Owner">
    <vt:lpwstr>Haxton, Phillipa P (U414773)</vt:lpwstr>
  </property>
  <property fmtid="{D5CDD505-2E9C-101B-9397-08002B2CF9AE}" pid="12" name="Objective-Path">
    <vt:lpwstr>Objective Global Folder:SG File Plan:Crime, law, justice and rights:Emergencies:Fire service:Research and analysis: Fire service:Statistics: Fire statistics Scotland: Restricted working papers: Research and analysis: Fire service: 2012-2017:</vt:lpwstr>
  </property>
  <property fmtid="{D5CDD505-2E9C-101B-9397-08002B2CF9AE}" pid="13" name="Objective-Parent">
    <vt:lpwstr>Statistics: Fire statistics Scotland: Restricted working papers: Research and analysis: Fire service: 2012-2017</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i4>36</vt:i4>
  </property>
  <property fmtid="{D5CDD505-2E9C-101B-9397-08002B2CF9AE}" pid="17" name="Objective-VersionComment">
    <vt:lpwstr>
    </vt:lpwstr>
  </property>
  <property fmtid="{D5CDD505-2E9C-101B-9397-08002B2CF9AE}" pid="18" name="Objective-FileNumber">
    <vt:lpwstr>
    </vt:lpwstr>
  </property>
  <property fmtid="{D5CDD505-2E9C-101B-9397-08002B2CF9AE}" pid="19" name="Objective-Classification">
    <vt:lpwstr>[Inherited - Not Protectively Marked]</vt:lpwstr>
  </property>
  <property fmtid="{D5CDD505-2E9C-101B-9397-08002B2CF9AE}" pid="20" name="Objective-Caveats">
    <vt:lpwstr>
    </vt:lpwstr>
  </property>
  <property fmtid="{D5CDD505-2E9C-101B-9397-08002B2CF9AE}" pid="21" name="Objective-Date of Original [system]">
    <vt:lpwstr>
    </vt:lpwstr>
  </property>
  <property fmtid="{D5CDD505-2E9C-101B-9397-08002B2CF9AE}" pid="22" name="Objective-Date Received [system]">
    <vt:lpwstr>
    </vt:lpwstr>
  </property>
  <property fmtid="{D5CDD505-2E9C-101B-9397-08002B2CF9AE}" pid="23" name="Objective-SG Web Publication - Category [system]">
    <vt:lpwstr>
    </vt:lpwstr>
  </property>
  <property fmtid="{D5CDD505-2E9C-101B-9397-08002B2CF9AE}" pid="24" name="Objective-SG Web Publication - Category 2 Classification [system]">
    <vt:lpwstr>
    </vt:lpwstr>
  </property>
  <property fmtid="{D5CDD505-2E9C-101B-9397-08002B2CF9AE}" pid="25" name="ContentTypeId">
    <vt:lpwstr>0x0101004D3BEEE8C71E0441ABCD602B2883CF2303002F0AEBBF2B74A8408CFDD78D345B4A87</vt:lpwstr>
  </property>
  <property fmtid="{D5CDD505-2E9C-101B-9397-08002B2CF9AE}" pid="26" name="_dlc_DocIdItemGuid">
    <vt:lpwstr>c7b60442-e671-4a96-8c03-b8870c45773b</vt:lpwstr>
  </property>
  <property fmtid="{D5CDD505-2E9C-101B-9397-08002B2CF9AE}" pid="27" name="TaxKeyword">
    <vt:lpwstr>40;#Statistics|4fdbaa0e-82da-4f02-8c00-4c1730b59b67</vt:lpwstr>
  </property>
  <property fmtid="{D5CDD505-2E9C-101B-9397-08002B2CF9AE}" pid="28" name="MediaServiceImageTags">
    <vt:lpwstr/>
  </property>
  <property fmtid="{D5CDD505-2E9C-101B-9397-08002B2CF9AE}" pid="29" name="DirectorateTEMP">
    <vt:lpwstr>Strategic Planning, Performance and Communications</vt:lpwstr>
  </property>
  <property fmtid="{D5CDD505-2E9C-101B-9397-08002B2CF9AE}" pid="30" name="Directorate">
    <vt:lpwstr>2077;#Strategic Planning, Performance and Communications (SPPC)|c9dfca0c-2d79-4a95-9878-54827f0e6791</vt:lpwstr>
  </property>
  <property fmtid="{D5CDD505-2E9C-101B-9397-08002B2CF9AE}" pid="31" name="Directorate0">
    <vt:lpwstr/>
  </property>
</Properties>
</file>